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comments2.xml" ContentType="application/vnd.openxmlformats-officedocument.spreadsheetml.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ilever-my.sharepoint.com/personal/john_chedid_unilever_com/Documents/Desktop/"/>
    </mc:Choice>
  </mc:AlternateContent>
  <xr:revisionPtr revIDLastSave="0" documentId="8_{CC58EDCE-E7E8-45FE-9D00-A34D8BFCD004}" xr6:coauthVersionLast="47" xr6:coauthVersionMax="47" xr10:uidLastSave="{00000000-0000-0000-0000-000000000000}"/>
  <bookViews>
    <workbookView xWindow="-120" yWindow="-120" windowWidth="29040" windowHeight="15720" tabRatio="999" firstSheet="2" activeTab="4" xr2:uid="{00000000-000D-0000-FFFF-FFFF00000000}"/>
  </bookViews>
  <sheets>
    <sheet name="Recap" sheetId="128" state="hidden" r:id="rId1"/>
    <sheet name="Sup-Dmd" sheetId="129" state="hidden" r:id="rId2"/>
    <sheet name="Recap2" sheetId="137" r:id="rId3"/>
    <sheet name="Cases post Attain" sheetId="104" r:id="rId4"/>
    <sheet name="Litons Post Attain" sheetId="103" r:id="rId5"/>
    <sheet name="Pallets post Attain" sheetId="105" r:id="rId6"/>
    <sheet name="Holidays" sheetId="124" state="hidden" r:id="rId7"/>
    <sheet name="26 Pivot" sheetId="135" r:id="rId8"/>
    <sheet name="2026" sheetId="58" r:id="rId9"/>
    <sheet name="YTG Shutdown" sheetId="115" state="hidden" r:id="rId10"/>
    <sheet name="Inv By Tech Post Attain" sheetId="110" r:id="rId11"/>
    <sheet name="Sheet2" sheetId="133" state="hidden" r:id="rId12"/>
    <sheet name="In-Out" sheetId="121" state="hidden" r:id="rId13"/>
    <sheet name="Staffing Changes" sheetId="123" state="hidden" r:id="rId14"/>
    <sheet name="Tech Litons" sheetId="66" r:id="rId15"/>
    <sheet name="Attain %" sheetId="101" r:id="rId16"/>
    <sheet name="MRF3 Demand" sheetId="106" r:id="rId17"/>
    <sheet name="Phasing MAT DI" sheetId="131" r:id="rId18"/>
    <sheet name="Vs Target" sheetId="118" r:id="rId19"/>
    <sheet name="Vs PM" sheetId="136" r:id="rId20"/>
    <sheet name="Club Info" sheetId="134" r:id="rId21"/>
    <sheet name="BW" sheetId="127" state="hidden" r:id="rId22"/>
    <sheet name="MR7_2026 Demand (2)" sheetId="130" state="hidden" r:id="rId23"/>
    <sheet name="MG Pivot" sheetId="109" state="hidden" r:id="rId24"/>
  </sheets>
  <definedNames>
    <definedName name="\P" localSheetId="14">#REF!</definedName>
    <definedName name="\P">#REF!</definedName>
    <definedName name="__bas8" localSheetId="14">#REF!</definedName>
    <definedName name="__bas8">#REF!</definedName>
    <definedName name="_10QRY_OCTCD_SUMMARY" localSheetId="14">#REF!</definedName>
    <definedName name="_10QRY_OCTCD_SUMMARY">#REF!</definedName>
    <definedName name="_10QRY_OCTST_SUMMARY" localSheetId="14">#REF!</definedName>
    <definedName name="_10QRY_OCTST_SUMMARY">#REF!</definedName>
    <definedName name="_1a_qr_CD_standard_rate_per_case">#REF!</definedName>
    <definedName name="_2007AC_Q1_Shipped_Paid_CD">#REF!</definedName>
    <definedName name="_2007AC_Q1_Shipped_Paid_ST">#REF!</definedName>
    <definedName name="_2a_qr_ST_rate_per_standard_case">#REF!</definedName>
    <definedName name="_6QRY_JUNCD_SUMMARY">#REF!</definedName>
    <definedName name="_6QRY_JUNST_SUMMARY">#REF!</definedName>
    <definedName name="_8QRY_AUGCD_SUMMARY">#REF!</definedName>
    <definedName name="_8QRY_AUGST_SUMMARY">#REF!</definedName>
    <definedName name="_9QRY_SEPCD_SUMMARY">#REF!</definedName>
    <definedName name="_9QRY_SEPST_SUMMARY">#REF!</definedName>
    <definedName name="_ACC0320">#REF!</definedName>
    <definedName name="_BAL0320">#REF!</definedName>
    <definedName name="_BAL0344">#REF!</definedName>
    <definedName name="_BAL0348">#REF!</definedName>
    <definedName name="_BAL0360">#REF!</definedName>
    <definedName name="_BAL0361">#REF!</definedName>
    <definedName name="_BAL0367">#REF!</definedName>
    <definedName name="_BAL0370">#REF!</definedName>
    <definedName name="_BAL0375">#REF!</definedName>
    <definedName name="_BAL0384">#REF!</definedName>
    <definedName name="_BAL0385">#REF!</definedName>
    <definedName name="_BAL0386">#REF!</definedName>
    <definedName name="_BAL0387">#REF!</definedName>
    <definedName name="_BAL0388">#REF!</definedName>
    <definedName name="_BAL0395">#REF!</definedName>
    <definedName name="_bal0397">#REF!</definedName>
    <definedName name="_BAL0399">#REF!</definedName>
    <definedName name="_BAL0400">#REF!</definedName>
    <definedName name="_BAL0810">#REF!</definedName>
    <definedName name="_BAL0811">#REF!</definedName>
    <definedName name="_BAL0815">#REF!</definedName>
    <definedName name="_BAL6791">#REF!</definedName>
    <definedName name="_bas8">#REF!</definedName>
    <definedName name="_BLA0811">#REF!</definedName>
    <definedName name="_Fill" hidden="1">#REF!</definedName>
    <definedName name="_xlnm._FilterDatabase" localSheetId="8" hidden="1">'2026'!$A$1:$S$7262</definedName>
    <definedName name="_xlnm._FilterDatabase" localSheetId="15" hidden="1">'Attain %'!$A$1:$X$74</definedName>
    <definedName name="_xlnm._FilterDatabase" localSheetId="3" hidden="1">'Cases post Attain'!$A$4:$AJ$119</definedName>
    <definedName name="_xlnm._FilterDatabase" localSheetId="22" hidden="1">'MR7_2026 Demand (2)'!$A$3:$AF$372</definedName>
    <definedName name="_xlnm._FilterDatabase" localSheetId="16" hidden="1">'MRF3 Demand'!$A$3:$AF$395</definedName>
    <definedName name="_xlnm._FilterDatabase" localSheetId="14" hidden="1">'Tech Litons'!$A$1:$N$3284</definedName>
    <definedName name="_xlnm._FilterDatabase" localSheetId="9" hidden="1">'YTG Shutdown'!$A$2:$AN$52</definedName>
    <definedName name="_Key1" localSheetId="14" hidden="1">#REF!</definedName>
    <definedName name="_Key1" hidden="1">#REF!</definedName>
    <definedName name="_Key2" localSheetId="14" hidden="1">#REF!</definedName>
    <definedName name="_Key2" hidden="1">#REF!</definedName>
    <definedName name="_Order1" hidden="1">255</definedName>
    <definedName name="_Order2" hidden="1">0</definedName>
    <definedName name="_Sort" localSheetId="14" hidden="1">#REF!</definedName>
    <definedName name="_Sort" hidden="1">#REF!</definedName>
    <definedName name="_top15" localSheetId="14">#REF!</definedName>
    <definedName name="_top15">#REF!</definedName>
    <definedName name="aaa" localSheetId="14">#REF!</definedName>
    <definedName name="aaa">#REF!</definedName>
    <definedName name="ACTUAL_RATE" localSheetId="14">#REF!</definedName>
    <definedName name="ACTUAL_RATE">#REF!</definedName>
    <definedName name="Adjustment" localSheetId="14">#REF!</definedName>
    <definedName name="Adjustment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llocationTable">#REF!</definedName>
    <definedName name="Americas_Apr">#REF!</definedName>
    <definedName name="Americas_Aug">#REF!</definedName>
    <definedName name="Americas_Backlog_Apr">#REF!</definedName>
    <definedName name="Americas_Backlog_Aug">#REF!</definedName>
    <definedName name="Americas_Backlog_Dec">#REF!</definedName>
    <definedName name="Americas_Backlog_Feb">#REF!</definedName>
    <definedName name="Americas_Backlog_Jan">#REF!</definedName>
    <definedName name="Americas_Backlog_Jul">#REF!</definedName>
    <definedName name="Americas_backlog_Jun">#REF!</definedName>
    <definedName name="Americas_Backlog_Mar">#REF!</definedName>
    <definedName name="Americas_Backlog_May">#REF!</definedName>
    <definedName name="Americas_Backlog_NextFY">#REF!</definedName>
    <definedName name="Americas_backlog_Nov">#REF!</definedName>
    <definedName name="Americas_Backlog_Oct">#REF!</definedName>
    <definedName name="Americas_Backlog_Sept">#REF!</definedName>
    <definedName name="Americas_Backlog_ThisFY">#REF!</definedName>
    <definedName name="Americas_Dec">#REF!</definedName>
    <definedName name="Americas_Feb">#REF!</definedName>
    <definedName name="Americas_Jan">#REF!</definedName>
    <definedName name="Americas_Jul">#REF!</definedName>
    <definedName name="Americas_Jun">#REF!</definedName>
    <definedName name="Americas_Mar">#REF!</definedName>
    <definedName name="Americas_May">#REF!</definedName>
    <definedName name="Americas_Oct">#REF!</definedName>
    <definedName name="Americas_Plan">#REF!</definedName>
    <definedName name="Americas_Sales_NextFY">#REF!</definedName>
    <definedName name="Americas_Sales_ThisFY">#REF!</definedName>
    <definedName name="Americas_Sept">#REF!</definedName>
    <definedName name="Amerricas_Nov">#REF!</definedName>
    <definedName name="AP_APr">#REF!</definedName>
    <definedName name="AP_Aug">#REF!</definedName>
    <definedName name="AP_Backlog_Apr">#REF!</definedName>
    <definedName name="AP_Backlog_Aug">#REF!</definedName>
    <definedName name="AP_Backlog_Dec">#REF!</definedName>
    <definedName name="AP_Backlog_Feb">#REF!</definedName>
    <definedName name="AP_Backlog_Jan">#REF!</definedName>
    <definedName name="AP_Backlog_Jul">#REF!</definedName>
    <definedName name="AP_Backlog_Jun">#REF!</definedName>
    <definedName name="AP_Backlog_Mar">#REF!</definedName>
    <definedName name="AP_Backlog_May">#REF!</definedName>
    <definedName name="AP_Backlog_NextFY">#REF!</definedName>
    <definedName name="AP_Backlog_Nov">#REF!</definedName>
    <definedName name="AP_Backlog_Oct">#REF!</definedName>
    <definedName name="AP_Backlog_sept">#REF!</definedName>
    <definedName name="AP_Backlog_ThisFY">#REF!</definedName>
    <definedName name="AP_Dec">#REF!</definedName>
    <definedName name="AP_Feb">#REF!</definedName>
    <definedName name="AP_Jan">#REF!</definedName>
    <definedName name="AP_Jul">#REF!</definedName>
    <definedName name="AP_Jun">#REF!</definedName>
    <definedName name="AP_Mar">#REF!</definedName>
    <definedName name="AP_May">#REF!</definedName>
    <definedName name="AP_Nov">#REF!</definedName>
    <definedName name="AP_Oct">#REF!</definedName>
    <definedName name="AP_Plan">#REF!</definedName>
    <definedName name="AP_Sales_NextFY">#REF!</definedName>
    <definedName name="AP_Sales_ThisFY">#REF!</definedName>
    <definedName name="AP_Sept">#REF!</definedName>
    <definedName name="APROV">#REF!</definedName>
    <definedName name="Aqua.Price">#REF!</definedName>
    <definedName name="as" localSheetId="14">#REF!</definedName>
    <definedName name="as">#REF!</definedName>
    <definedName name="AWCONTS" localSheetId="14">#REF!</definedName>
    <definedName name="AWCONTS">#REF!</definedName>
    <definedName name="b" localSheetId="14">#REF!</definedName>
    <definedName name="b">#REF!</definedName>
    <definedName name="Backup">#REF!</definedName>
    <definedName name="BAL03955555">#REF!</definedName>
    <definedName name="begindate">#REF!</definedName>
    <definedName name="begindatesides" localSheetId="14">#REF!</definedName>
    <definedName name="begindatesides">#REF!</definedName>
    <definedName name="beginyear">#REF!</definedName>
    <definedName name="BJDEMAND_2008">#REF!</definedName>
    <definedName name="BJDEMAND_2009">#REF!</definedName>
    <definedName name="Blank">"-"</definedName>
    <definedName name="BookEquipDep">#REF!</definedName>
    <definedName name="BPROV">#REF!</definedName>
    <definedName name="Brand">#REF!</definedName>
    <definedName name="BRNDTD">#REF!</definedName>
    <definedName name="budmain" localSheetId="14">#REF!</definedName>
    <definedName name="budmain">#REF!</definedName>
    <definedName name="BUDSALES" localSheetId="14">#REF!</definedName>
    <definedName name="BUDSALES">#REF!</definedName>
    <definedName name="Business.Group">#REF!</definedName>
    <definedName name="buyothacc" localSheetId="14">#REF!</definedName>
    <definedName name="buyothacc">#REF!</definedName>
    <definedName name="CalcAgencyPrice" localSheetId="14">#REF!</definedName>
    <definedName name="CalcAgencyPrice">#REF!</definedName>
    <definedName name="CalcStart">#REF!</definedName>
    <definedName name="CANADA_RATES" localSheetId="14">#REF!</definedName>
    <definedName name="CANADA_RATES">#REF!</definedName>
    <definedName name="CANADA_VOLUME" localSheetId="14">#REF!</definedName>
    <definedName name="CANADA_VOLUME">#REF!</definedName>
    <definedName name="CANADA2006_VOLUME" localSheetId="14">#REF!</definedName>
    <definedName name="CANADA2006_VOLUME">#REF!</definedName>
    <definedName name="CANADA2008_VOLUME">#REF!</definedName>
    <definedName name="CANADA2009_VOLUME">#REF!</definedName>
    <definedName name="CANCEL">#REF!</definedName>
    <definedName name="CANDEMAND_2008">#REF!</definedName>
    <definedName name="CANDEMAND_2009">#REF!</definedName>
    <definedName name="CAP_PTG">#REF!</definedName>
    <definedName name="CapDays">#REF!</definedName>
    <definedName name="CAPSUM">#REF!</definedName>
    <definedName name="catacc">#REF!</definedName>
    <definedName name="Category">#REF!</definedName>
    <definedName name="CI" localSheetId="14">#REF!</definedName>
    <definedName name="CI">#REF!</definedName>
    <definedName name="CN" localSheetId="14">#REF!</definedName>
    <definedName name="CN">#REF!</definedName>
    <definedName name="cofother" localSheetId="14">#REF!,#REF!,#REF!,#REF!,#REF!,#REF!,#REF!,#REF!</definedName>
    <definedName name="cofother">#REF!,#REF!,#REF!,#REF!,#REF!,#REF!,#REF!,#REF!</definedName>
    <definedName name="cogs">#REF!</definedName>
    <definedName name="Commission">#REF!</definedName>
    <definedName name="conm">#REF!</definedName>
    <definedName name="CostCurrent">#REF!</definedName>
    <definedName name="CostNew">#REF!</definedName>
    <definedName name="CurMonth" localSheetId="14">#REF!</definedName>
    <definedName name="CurMonth">#REF!</definedName>
    <definedName name="CurQtr" localSheetId="14">#REF!</definedName>
    <definedName name="CurQtr">#REF!</definedName>
    <definedName name="D" localSheetId="14">#REF!</definedName>
    <definedName name="D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 localSheetId="8">#REF!</definedName>
    <definedName name="Data" localSheetId="4">#REF!</definedName>
    <definedName name="Data">#REF!</definedName>
    <definedName name="data2" localSheetId="8">#REF!</definedName>
    <definedName name="data2" localSheetId="4">#REF!</definedName>
    <definedName name="data2">#REF!</definedName>
    <definedName name="DATA8">#REF!</definedName>
    <definedName name="DATA9">#REF!</definedName>
    <definedName name="_xlnm.Database" localSheetId="14">#REF!</definedName>
    <definedName name="_xlnm.Database">#REF!</definedName>
    <definedName name="DATE" localSheetId="14">#REF!</definedName>
    <definedName name="DATE">#REF!</definedName>
    <definedName name="DaWk7" localSheetId="14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elDC">#REF!</definedName>
    <definedName name="DelDm">#REF!</definedName>
    <definedName name="Delivery">#REF!</definedName>
    <definedName name="DelType">#REF!</definedName>
    <definedName name="Demand">#REF!</definedName>
    <definedName name="deptLookup">#REF!</definedName>
    <definedName name="DISCONT">#REF!</definedName>
    <definedName name="ditinvacc">#REF!</definedName>
    <definedName name="dollars">#REF!</definedName>
    <definedName name="DOVEACC">#REF!</definedName>
    <definedName name="drscore">#REF!</definedName>
    <definedName name="dumppr">#REF!</definedName>
    <definedName name="dutyacc">#REF!</definedName>
    <definedName name="DUTYACCCALC">#REF!</definedName>
    <definedName name="EAST">#REF!</definedName>
    <definedName name="EMEAI_Apr" localSheetId="14">#REF!</definedName>
    <definedName name="EMEAI_Apr">#REF!</definedName>
    <definedName name="EMEAI_Aug" localSheetId="14">#REF!</definedName>
    <definedName name="EMEAI_Aug">#REF!</definedName>
    <definedName name="EMEAI_Backlog_Apr" localSheetId="14">#REF!</definedName>
    <definedName name="EMEAI_Backlog_Apr">#REF!</definedName>
    <definedName name="EMEAI_Backlog_Aug">#REF!</definedName>
    <definedName name="EMEAI_Backlog_Dec">#REF!</definedName>
    <definedName name="EMEAI_Backlog_Feb">#REF!</definedName>
    <definedName name="EMEAI_Backlog_Jan">#REF!</definedName>
    <definedName name="EMEAI_Backlog_Jul">#REF!</definedName>
    <definedName name="EMEAI_Backlog_Jun">#REF!</definedName>
    <definedName name="EMEAI_Backlog_Mar">#REF!</definedName>
    <definedName name="EMEAI_Backlog_May">#REF!</definedName>
    <definedName name="EMEAI_Backlog_NextFY">#REF!</definedName>
    <definedName name="EMEAI_Backlog_Nov">#REF!</definedName>
    <definedName name="EMEAI_Backlog_Oct">#REF!</definedName>
    <definedName name="EMEAI_Backlog_Sept">#REF!</definedName>
    <definedName name="EMEAI_Backlog_ThisFY">#REF!</definedName>
    <definedName name="EMEAI_Dec">#REF!</definedName>
    <definedName name="EMEAI_Feb">#REF!</definedName>
    <definedName name="EMEAI_Jan">#REF!</definedName>
    <definedName name="EMEAI_Jul">#REF!</definedName>
    <definedName name="EMEAI_Jun">#REF!</definedName>
    <definedName name="EMEAI_Mar">#REF!</definedName>
    <definedName name="EMEAI_May">#REF!</definedName>
    <definedName name="EMEAI_Nov">#REF!</definedName>
    <definedName name="EMEAI_Oct">#REF!</definedName>
    <definedName name="EMEAI_Plan">#REF!</definedName>
    <definedName name="EMEAI_Sales_NextFY">#REF!</definedName>
    <definedName name="EMEAI_Sales_ThisFY">#REF!</definedName>
    <definedName name="EMEAI_Sept">#REF!</definedName>
    <definedName name="EV__EVCOM_OPTIONS__" hidden="1">8</definedName>
    <definedName name="EV__EXPOPTIONS__" hidden="1">0</definedName>
    <definedName name="EV__LASTREFTIME__" hidden="1">"(GMT-05:00)12/10/2012 1:37:13 PM"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134217796</definedName>
    <definedName name="EV__WBVERSION__" hidden="1">0</definedName>
    <definedName name="ExtHrsImport">#REF!</definedName>
    <definedName name="FACE">#REF!</definedName>
    <definedName name="Feature">#REF!</definedName>
    <definedName name="First" localSheetId="14">#REF!</definedName>
    <definedName name="First">#REF!</definedName>
    <definedName name="FirstOutput" localSheetId="14">#REF!</definedName>
    <definedName name="FirstOutput">#REF!</definedName>
    <definedName name="FirstPrice">#REF!</definedName>
    <definedName name="FORECAST" localSheetId="14">#REF!</definedName>
    <definedName name="FORECAST">#REF!</definedName>
    <definedName name="FORECAST_2008" localSheetId="14">#REF!</definedName>
    <definedName name="FORECAST_2008">#REF!</definedName>
    <definedName name="GHBUS_VOLUME" localSheetId="14">#REF!</definedName>
    <definedName name="GHBUS_VOLUME">#REF!</definedName>
    <definedName name="GradeTable" localSheetId="14">#REF!</definedName>
    <definedName name="GradeTable">#REF!</definedName>
    <definedName name="GrphActSales" localSheetId="14">#REF!</definedName>
    <definedName name="GrphActSales">#REF!</definedName>
    <definedName name="GrphActStk" localSheetId="14">#REF!</definedName>
    <definedName name="GrphActStk">#REF!</definedName>
    <definedName name="GrphPlanSales" localSheetId="14">#REF!</definedName>
    <definedName name="GrphPlanSales">#REF!</definedName>
    <definedName name="GrphTgtStk">#REF!</definedName>
    <definedName name="HeadCntMatrix">#REF!</definedName>
    <definedName name="High">#REF!</definedName>
    <definedName name="HrsperdayImport" localSheetId="14">#REF!</definedName>
    <definedName name="HrsperdayImport">#REF!</definedName>
    <definedName name="idcprov" localSheetId="14">#REF!</definedName>
    <definedName name="idcprov">#REF!</definedName>
    <definedName name="IELWSALES" localSheetId="14">#REF!</definedName>
    <definedName name="IELWSALES">#REF!</definedName>
    <definedName name="IELYSALES">#REF!</definedName>
    <definedName name="IEPLANSALES">#REF!</definedName>
    <definedName name="IESP">#REF!</definedName>
    <definedName name="INFLOUT">#REF!</definedName>
    <definedName name="IntFreeCred" localSheetId="14">#REF!</definedName>
    <definedName name="IntFreeCred">#REF!</definedName>
    <definedName name="keyerracc" localSheetId="14">#REF!</definedName>
    <definedName name="keyerracc">#REF!</definedName>
    <definedName name="l">#REF!</definedName>
    <definedName name="LastPrice">#REF!</definedName>
    <definedName name="littest" localSheetId="8">#REF!</definedName>
    <definedName name="littest" localSheetId="14">#REF!</definedName>
    <definedName name="littest">#REF!</definedName>
    <definedName name="lloyacc" localSheetId="14">#REF!</definedName>
    <definedName name="lloyacc">#REF!</definedName>
    <definedName name="LOCRTNPROV">#REF!</definedName>
    <definedName name="LOCSTKPROV">#REF!</definedName>
    <definedName name="lotcprov">#REF!</definedName>
    <definedName name="lotprov">#REF!</definedName>
    <definedName name="Low">#REF!</definedName>
    <definedName name="lstyr">#REF!</definedName>
    <definedName name="LWSALES" localSheetId="14">#REF!</definedName>
    <definedName name="LWSALES">#REF!</definedName>
    <definedName name="LYBin" localSheetId="14">#REF!</definedName>
    <definedName name="LYBin">#REF!</definedName>
    <definedName name="LYHolds" localSheetId="14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CHINE_HRS">#REF!</definedName>
    <definedName name="MARGINPLAN">#REF!</definedName>
    <definedName name="MARGINPROJ">#REF!</definedName>
    <definedName name="mdownacc">#REF!</definedName>
    <definedName name="MerlinProds">#REF!</definedName>
    <definedName name="Mkt_Vouch" localSheetId="14">#REF!,#REF!</definedName>
    <definedName name="Mkt_Vouch">#REF!,#REF!</definedName>
    <definedName name="MMC">#REF!</definedName>
    <definedName name="MONTHLYIMPORT" localSheetId="14">#REF!</definedName>
    <definedName name="MONTHLYIMPORT">#REF!</definedName>
    <definedName name="MonthTable">#REF!</definedName>
    <definedName name="MonthTable2">#REF!</definedName>
    <definedName name="NESNACC" localSheetId="14">#REF!</definedName>
    <definedName name="NESNACC">#REF!</definedName>
    <definedName name="nilacc" localSheetId="14">#REF!</definedName>
    <definedName name="nilacc">#REF!</definedName>
    <definedName name="niltrnacc" localSheetId="14">#REF!</definedName>
    <definedName name="niltrnacc">#REF!</definedName>
    <definedName name="nip">#REF!</definedName>
    <definedName name="NOTE1">#REF!</definedName>
    <definedName name="NOTE2">#REF!</definedName>
    <definedName name="O">#REF!</definedName>
    <definedName name="ODF">#REF!</definedName>
    <definedName name="OutputStart" localSheetId="14">#REF!</definedName>
    <definedName name="OutputStart">#REF!</definedName>
    <definedName name="P" localSheetId="14">#REF!</definedName>
    <definedName name="P">#REF!</definedName>
    <definedName name="pal_conv">#REF!</definedName>
    <definedName name="PER3DUTY" localSheetId="14">#REF!</definedName>
    <definedName name="PER3DUTY">#REF!</definedName>
    <definedName name="percentacv">#REF!</definedName>
    <definedName name="percentacvlabel">#REF!</definedName>
    <definedName name="percentsales">#REF!</definedName>
    <definedName name="percentsaleslabel">#REF!</definedName>
    <definedName name="Period" localSheetId="14">#REF!</definedName>
    <definedName name="Period">#REF!</definedName>
    <definedName name="PERLOOKUP">#REF!</definedName>
    <definedName name="PERNO" localSheetId="14">#REF!</definedName>
    <definedName name="PERNO">#REF!</definedName>
    <definedName name="PERSONAL">"Button 31"</definedName>
    <definedName name="plant__2003">"SKS_IMPORT"</definedName>
    <definedName name="plant__5014">#REF!</definedName>
    <definedName name="PlantName">#REF!</definedName>
    <definedName name="poinvacc" localSheetId="14">#REF!</definedName>
    <definedName name="poinvacc">#REF!</definedName>
    <definedName name="PRDump" localSheetId="14">#REF!</definedName>
    <definedName name="PRDump">#REF!</definedName>
    <definedName name="price">#REF!</definedName>
    <definedName name="Price_Change">#REF!</definedName>
    <definedName name="Price_List">#REF!</definedName>
    <definedName name="PriceEnd">#REF!</definedName>
    <definedName name="_xlnm.Print_Area" localSheetId="14">#REF!</definedName>
    <definedName name="_xlnm.Print_Area">#REF!</definedName>
    <definedName name="Print_Area_MI" localSheetId="14">#REF!</definedName>
    <definedName name="Print_Area_MI">#REF!</definedName>
    <definedName name="_xlnm.Print_Titles">#N/A</definedName>
    <definedName name="PRINTLOC">#N/A</definedName>
    <definedName name="PROD_RATE" localSheetId="14">#REF!</definedName>
    <definedName name="PROD_RATE">#REF!</definedName>
    <definedName name="Promo">#REF!</definedName>
    <definedName name="PTG" localSheetId="14">#REF!</definedName>
    <definedName name="PTG">#REF!</definedName>
    <definedName name="Q1_Pager_1">#REF!</definedName>
    <definedName name="Q1_Pager_2">#REF!</definedName>
    <definedName name="Q1_Pager_3">#REF!</definedName>
    <definedName name="Q1_Pager_4">#REF!</definedName>
    <definedName name="Q1_Pager_5">#REF!</definedName>
    <definedName name="Q1_Pager_6">#REF!</definedName>
    <definedName name="Q1_Pager_7">#REF!</definedName>
    <definedName name="Q3_Pager_1">#REF!</definedName>
    <definedName name="Q3_Pager_2">#REF!</definedName>
    <definedName name="Q3_Pager_3">#REF!</definedName>
    <definedName name="Q3_Pager_4">#REF!</definedName>
    <definedName name="Q3_Pager_5">#REF!</definedName>
    <definedName name="Q3_Pager_6">#REF!</definedName>
    <definedName name="Q7_Pager_1">#REF!</definedName>
    <definedName name="Q7_Pager_2">#REF!</definedName>
    <definedName name="Q7_Pager_3">#REF!</definedName>
    <definedName name="Q7_Pager_4">#REF!</definedName>
    <definedName name="Q7_Pager_5">#REF!</definedName>
    <definedName name="Q7_Pager_6">#REF!</definedName>
    <definedName name="Q7_Pager_7">#REF!</definedName>
    <definedName name="Q8_Pager_1">#REF!</definedName>
    <definedName name="Q8_Pager_2">#REF!</definedName>
    <definedName name="Q8_Pager_3">#REF!</definedName>
    <definedName name="Q8_Pager_4">#REF!</definedName>
    <definedName name="Q8_Pager_5">#REF!</definedName>
    <definedName name="Q8_Pager_6">#REF!</definedName>
    <definedName name="Q8_Pager_7">#REF!</definedName>
    <definedName name="Quarter" localSheetId="14">#REF!</definedName>
    <definedName name="Quarter">#REF!</definedName>
    <definedName name="Query1" localSheetId="14">#REF!</definedName>
    <definedName name="Query1">#REF!</definedName>
    <definedName name="raw" localSheetId="14">#REF!</definedName>
    <definedName name="raw">#REF!</definedName>
    <definedName name="RawAgencyPrice">#REF!</definedName>
    <definedName name="RBData">#REF!</definedName>
    <definedName name="RECCANACC">#REF!</definedName>
    <definedName name="RECEXACC">#REF!</definedName>
    <definedName name="RECINACC">#REF!</definedName>
    <definedName name="Report">#REF!</definedName>
    <definedName name="Reselects">#REF!</definedName>
    <definedName name="RESIDVAL">#REF!</definedName>
    <definedName name="retrieve" localSheetId="14">#REF!</definedName>
    <definedName name="retrieve">#REF!</definedName>
    <definedName name="returnprov" localSheetId="14">#REF!</definedName>
    <definedName name="returnprov">#REF!</definedName>
    <definedName name="returns_prov" localSheetId="14">#REF!</definedName>
    <definedName name="returns_prov">#REF!</definedName>
    <definedName name="REVACC">#REF!</definedName>
    <definedName name="REVPER">#REF!</definedName>
    <definedName name="SALESPLAN">#REF!</definedName>
    <definedName name="salesvar" localSheetId="14">#REF!,#REF!,#REF!,#REF!,#REF!,#REF!,#REF!,#REF!,#REF!</definedName>
    <definedName name="salesvar">#REF!,#REF!,#REF!,#REF!,#REF!,#REF!,#REF!,#REF!,#REF!</definedName>
    <definedName name="sc">#REF!</definedName>
    <definedName name="Scale_Report">#REF!</definedName>
    <definedName name="sdf">#REF!</definedName>
    <definedName name="SKULIST2">#REF!</definedName>
    <definedName name="SkuretProds">#REF!</definedName>
    <definedName name="SLE_EXT">#REF!</definedName>
    <definedName name="STOREMISC" localSheetId="14">#REF!,#REF!,#REF!,#REF!,#REF!,#REF!</definedName>
    <definedName name="STOREMISC">#REF!,#REF!,#REF!,#REF!,#REF!,#REF!</definedName>
    <definedName name="storerates" localSheetId="14">#REF!,#REF!</definedName>
    <definedName name="storerates">#REF!,#REF!</definedName>
    <definedName name="storerent" localSheetId="14">#REF!,#REF!,#REF!</definedName>
    <definedName name="storerent">#REF!,#REF!,#REF!</definedName>
    <definedName name="SubCat">#REF!</definedName>
    <definedName name="sum">#REF!</definedName>
    <definedName name="summary" localSheetId="14">#REF!</definedName>
    <definedName name="summary">#REF!</definedName>
    <definedName name="Table1" localSheetId="14">#REF!</definedName>
    <definedName name="Table1">#REF!</definedName>
    <definedName name="TEST" localSheetId="14">#REF!</definedName>
    <definedName name="TEST">#REF!</definedName>
    <definedName name="Total_Apr">#REF!</definedName>
    <definedName name="Total_Aug">#REF!</definedName>
    <definedName name="Total_Backlog_Apr">#REF!</definedName>
    <definedName name="Total_Backlog_Aug">#REF!</definedName>
    <definedName name="Total_Backlog_Dec">#REF!</definedName>
    <definedName name="Total_Backlog_Feb">#REF!</definedName>
    <definedName name="Total_Backlog_Jan">#REF!</definedName>
    <definedName name="Total_Backlog_Jul">#REF!</definedName>
    <definedName name="Total_Backlog_Jun">#REF!</definedName>
    <definedName name="Total_Backlog_Mar">#REF!</definedName>
    <definedName name="Total_Backlog_May">#REF!</definedName>
    <definedName name="Total_Backlog_NextFY">#REF!</definedName>
    <definedName name="Total_Backlog_Nov">#REF!</definedName>
    <definedName name="Total_Backlog_Oct">#REF!</definedName>
    <definedName name="Total_Backlog_Sept">#REF!</definedName>
    <definedName name="Total_Backlog_thisfy">#REF!</definedName>
    <definedName name="Total_Dec">#REF!</definedName>
    <definedName name="Total_Feb">#REF!</definedName>
    <definedName name="Total_Jan">#REF!</definedName>
    <definedName name="Total_Jul">#REF!</definedName>
    <definedName name="Total_Jun">#REF!</definedName>
    <definedName name="Total_Mar">#REF!</definedName>
    <definedName name="Total_May">#REF!</definedName>
    <definedName name="Total_Nov">#REF!</definedName>
    <definedName name="Total_Oct">#REF!</definedName>
    <definedName name="Total_Plan">#REF!</definedName>
    <definedName name="Total_produced_2904">#REF!</definedName>
    <definedName name="Total_produced_2909">#REF!</definedName>
    <definedName name="Total_produced_2923">#REF!</definedName>
    <definedName name="Total_produced_2925">#REF!</definedName>
    <definedName name="Total_Sales_NextFY">#REF!</definedName>
    <definedName name="Total_Sales_ThisFY">#REF!</definedName>
    <definedName name="Total_Sept">#REF!</definedName>
    <definedName name="TotalProjAcv">#REF!</definedName>
    <definedName name="TotEquipNonCapCost">#REF!</definedName>
    <definedName name="units">#REF!</definedName>
    <definedName name="unitsales">#REF!</definedName>
    <definedName name="unitsaleslabel">#REF!</definedName>
    <definedName name="unitsalestext">#REF!</definedName>
    <definedName name="upcModNew" localSheetId="14">#REF!</definedName>
    <definedName name="upcModNew">#REF!</definedName>
    <definedName name="upcModNew2" localSheetId="14">#REF!</definedName>
    <definedName name="upcModNew2">#REF!</definedName>
    <definedName name="UPCModOld" localSheetId="14">#REF!</definedName>
    <definedName name="UPCModOld">#REF!</definedName>
    <definedName name="Updated_with_March_Actuals_and_Forecast_as_of_04_27_06" localSheetId="14">#REF!</definedName>
    <definedName name="Updated_with_March_Actuals_and_Forecast_as_of_04_27_06">#REF!</definedName>
    <definedName name="USDEMAND_2007" localSheetId="14">#REF!</definedName>
    <definedName name="USDEMAND_2007">#REF!</definedName>
    <definedName name="USDEMAND_2008">#REF!</definedName>
    <definedName name="USDEMAND_2009">#REF!</definedName>
    <definedName name="WBGOSOLREP">0</definedName>
    <definedName name="WBGOWRNLKP">0</definedName>
    <definedName name="WBLSCALEM">0</definedName>
    <definedName name="WBLSOLVER">1</definedName>
    <definedName name="WBREDUCTN">0</definedName>
    <definedName name="WCSC">#REF!</definedName>
    <definedName name="WEEK_NO" localSheetId="14">#REF!</definedName>
    <definedName name="WEEK_NO">#REF!</definedName>
    <definedName name="WEEKSPERPERIOD" localSheetId="14">#REF!</definedName>
    <definedName name="WEEKSPERPERIOD">#REF!</definedName>
    <definedName name="Whwork" localSheetId="14">#REF!,#REF!</definedName>
    <definedName name="Whwork">#REF!,#REF!</definedName>
    <definedName name="WMWK">#REF!</definedName>
    <definedName name="workings" localSheetId="14">#REF!</definedName>
    <definedName name="workings">#REF!</definedName>
    <definedName name="x">#REF!</definedName>
    <definedName name="Year">#REF!</definedName>
    <definedName name="YearTable">#REF!</definedName>
    <definedName name="YearTable2">#REF!</definedName>
    <definedName name="YTD" localSheetId="14">#REF!</definedName>
    <definedName name="YTD">#REF!</definedName>
    <definedName name="YTD_Actual" localSheetId="14">#REF!</definedName>
    <definedName name="YTD_Actual">#REF!</definedName>
  </definedNames>
  <calcPr calcId="191028"/>
  <pivotCaches>
    <pivotCache cacheId="86" r:id="rId25"/>
    <pivotCache cacheId="87" r:id="rId26"/>
    <pivotCache cacheId="88" r:id="rId27"/>
    <pivotCache cacheId="89" r:id="rId28"/>
    <pivotCache cacheId="90" r:id="rId29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37" l="1"/>
  <c r="D27" i="137"/>
  <c r="N26" i="131"/>
  <c r="N25" i="131"/>
  <c r="D24" i="131" l="1"/>
  <c r="C27" i="137" l="1"/>
  <c r="C11" i="137"/>
  <c r="C24" i="137" s="1"/>
  <c r="E10" i="137"/>
  <c r="F10" i="137" s="1"/>
  <c r="D10" i="137"/>
  <c r="D11" i="137" s="1"/>
  <c r="D24" i="137" s="1"/>
  <c r="E9" i="137"/>
  <c r="F9" i="137" s="1"/>
  <c r="E8" i="137"/>
  <c r="E7" i="137"/>
  <c r="G7" i="137" s="1"/>
  <c r="E6" i="137"/>
  <c r="G6" i="137" s="1"/>
  <c r="E5" i="137"/>
  <c r="F5" i="137" s="1"/>
  <c r="R33" i="131"/>
  <c r="R32" i="131"/>
  <c r="R31" i="131"/>
  <c r="N27" i="131"/>
  <c r="O31" i="131"/>
  <c r="O34" i="131"/>
  <c r="O33" i="131"/>
  <c r="G5" i="137" l="1"/>
  <c r="E11" i="137"/>
  <c r="E24" i="137" s="1"/>
  <c r="G9" i="137"/>
  <c r="G10" i="137"/>
  <c r="F7" i="137"/>
  <c r="G8" i="137"/>
  <c r="F11" i="137"/>
  <c r="G11" i="137"/>
  <c r="F8" i="137"/>
  <c r="F6" i="137"/>
  <c r="C174" i="110"/>
  <c r="O13" i="134" l="1"/>
  <c r="N13" i="134"/>
  <c r="M13" i="134"/>
  <c r="L13" i="134"/>
  <c r="K13" i="134"/>
  <c r="J13" i="134"/>
  <c r="I13" i="134"/>
  <c r="H13" i="134"/>
  <c r="G13" i="134"/>
  <c r="F13" i="134"/>
  <c r="E13" i="134"/>
  <c r="S8" i="106" l="1"/>
  <c r="B8" i="106"/>
  <c r="C8" i="106" s="1"/>
  <c r="S7" i="106"/>
  <c r="B7" i="106"/>
  <c r="C7" i="106" s="1"/>
  <c r="C5304" i="58"/>
  <c r="O32" i="131"/>
  <c r="O30" i="131"/>
  <c r="C22" i="131"/>
  <c r="D22" i="131"/>
  <c r="E43" i="131"/>
  <c r="N43" i="131"/>
  <c r="M43" i="131"/>
  <c r="L43" i="131"/>
  <c r="K43" i="131"/>
  <c r="J43" i="131"/>
  <c r="I43" i="131"/>
  <c r="H43" i="131"/>
  <c r="G43" i="131"/>
  <c r="F43" i="131"/>
  <c r="D43" i="131"/>
  <c r="C43" i="131"/>
  <c r="C24" i="131" l="1"/>
  <c r="D8" i="106"/>
  <c r="T8" i="106"/>
  <c r="AE8" i="106" s="1"/>
  <c r="T7" i="106"/>
  <c r="AF7" i="106" s="1"/>
  <c r="D7" i="106"/>
  <c r="D39" i="131"/>
  <c r="C39" i="131"/>
  <c r="N16" i="131"/>
  <c r="M16" i="131"/>
  <c r="L16" i="131"/>
  <c r="K16" i="131"/>
  <c r="J16" i="131"/>
  <c r="I16" i="131"/>
  <c r="H16" i="131"/>
  <c r="G16" i="131"/>
  <c r="F16" i="131"/>
  <c r="E16" i="131"/>
  <c r="P7262" i="58"/>
  <c r="O7262" i="58"/>
  <c r="L7262" i="58"/>
  <c r="I7262" i="58"/>
  <c r="J7262" i="58" s="1"/>
  <c r="H7262" i="58"/>
  <c r="P7261" i="58"/>
  <c r="O7261" i="58"/>
  <c r="L7261" i="58"/>
  <c r="I7261" i="58"/>
  <c r="J7261" i="58" s="1"/>
  <c r="H7261" i="58"/>
  <c r="C5302" i="58"/>
  <c r="C5295" i="58"/>
  <c r="C5294" i="58"/>
  <c r="C5300" i="58"/>
  <c r="C5293" i="58"/>
  <c r="C162" i="110"/>
  <c r="C164" i="110" s="1"/>
  <c r="C5393" i="58"/>
  <c r="D217" i="105"/>
  <c r="D7" i="131"/>
  <c r="C7" i="131"/>
  <c r="E163" i="110"/>
  <c r="D163" i="110"/>
  <c r="E15" i="134"/>
  <c r="D15" i="134"/>
  <c r="J4" i="131"/>
  <c r="AC8" i="106" l="1"/>
  <c r="AB8" i="106"/>
  <c r="AA8" i="106"/>
  <c r="Y8" i="106"/>
  <c r="X8" i="106"/>
  <c r="W8" i="106"/>
  <c r="V8" i="106"/>
  <c r="U8" i="106"/>
  <c r="AD8" i="106"/>
  <c r="Z8" i="106"/>
  <c r="AF8" i="106"/>
  <c r="AE7" i="106"/>
  <c r="AA7" i="106"/>
  <c r="U7" i="106"/>
  <c r="AD7" i="106"/>
  <c r="AB7" i="106"/>
  <c r="W7" i="106"/>
  <c r="AC7" i="106"/>
  <c r="Y7" i="106"/>
  <c r="X7" i="106"/>
  <c r="V7" i="106"/>
  <c r="Z7" i="106"/>
  <c r="N7261" i="58"/>
  <c r="N7262" i="58"/>
  <c r="B370" i="106" l="1"/>
  <c r="C370" i="106" s="1"/>
  <c r="B371" i="106"/>
  <c r="D371" i="106" s="1"/>
  <c r="B372" i="106"/>
  <c r="C372" i="106" s="1"/>
  <c r="B373" i="106"/>
  <c r="T373" i="106" s="1"/>
  <c r="Z373" i="106" s="1"/>
  <c r="B374" i="106"/>
  <c r="D374" i="106" s="1"/>
  <c r="B375" i="106"/>
  <c r="C375" i="106" s="1"/>
  <c r="B376" i="106"/>
  <c r="C376" i="106" s="1"/>
  <c r="B377" i="106"/>
  <c r="T377" i="106" s="1"/>
  <c r="Z377" i="106" s="1"/>
  <c r="B378" i="106"/>
  <c r="T378" i="106" s="1"/>
  <c r="B379" i="106"/>
  <c r="C379" i="106" s="1"/>
  <c r="B380" i="106"/>
  <c r="C380" i="106" s="1"/>
  <c r="B381" i="106"/>
  <c r="C381" i="106" s="1"/>
  <c r="B382" i="106"/>
  <c r="T382" i="106" s="1"/>
  <c r="B383" i="106"/>
  <c r="C383" i="106" s="1"/>
  <c r="B384" i="106"/>
  <c r="D384" i="106" s="1"/>
  <c r="B385" i="106"/>
  <c r="T385" i="106" s="1"/>
  <c r="Y385" i="106" s="1"/>
  <c r="B386" i="106"/>
  <c r="D386" i="106" s="1"/>
  <c r="B387" i="106"/>
  <c r="C387" i="106" s="1"/>
  <c r="B388" i="106"/>
  <c r="B389" i="106"/>
  <c r="C389" i="106" s="1"/>
  <c r="B390" i="106"/>
  <c r="C390" i="106" s="1"/>
  <c r="B391" i="106"/>
  <c r="D391" i="106" s="1"/>
  <c r="B392" i="106"/>
  <c r="B393" i="106"/>
  <c r="C393" i="106" s="1"/>
  <c r="B394" i="106"/>
  <c r="C394" i="106" s="1"/>
  <c r="B395" i="106"/>
  <c r="T395" i="106" s="1"/>
  <c r="AE395" i="106" s="1"/>
  <c r="S16" i="106"/>
  <c r="S17" i="106"/>
  <c r="S18" i="106"/>
  <c r="S19" i="106"/>
  <c r="S20" i="106"/>
  <c r="S21" i="106"/>
  <c r="S22" i="106"/>
  <c r="S23" i="106"/>
  <c r="S24" i="106"/>
  <c r="S25" i="106"/>
  <c r="S26" i="106"/>
  <c r="S27" i="106"/>
  <c r="S28" i="106"/>
  <c r="S29" i="106"/>
  <c r="S30" i="106"/>
  <c r="S31" i="106"/>
  <c r="S32" i="106"/>
  <c r="S33" i="106"/>
  <c r="S34" i="106"/>
  <c r="S35" i="106"/>
  <c r="S36" i="106"/>
  <c r="S37" i="106"/>
  <c r="S38" i="106"/>
  <c r="S39" i="106"/>
  <c r="S40" i="106"/>
  <c r="S41" i="106"/>
  <c r="S42" i="106"/>
  <c r="S43" i="106"/>
  <c r="S44" i="106"/>
  <c r="S45" i="106"/>
  <c r="S46" i="106"/>
  <c r="S47" i="106"/>
  <c r="S48" i="106"/>
  <c r="S49" i="106"/>
  <c r="S50" i="106"/>
  <c r="S51" i="106"/>
  <c r="S52" i="106"/>
  <c r="S53" i="106"/>
  <c r="S54" i="106"/>
  <c r="S55" i="106"/>
  <c r="S56" i="106"/>
  <c r="S57" i="106"/>
  <c r="S58" i="106"/>
  <c r="S59" i="106"/>
  <c r="S60" i="106"/>
  <c r="S61" i="106"/>
  <c r="S62" i="106"/>
  <c r="S63" i="106"/>
  <c r="S64" i="106"/>
  <c r="S65" i="106"/>
  <c r="S66" i="106"/>
  <c r="S67" i="106"/>
  <c r="S68" i="106"/>
  <c r="S69" i="106"/>
  <c r="S70" i="106"/>
  <c r="S71" i="106"/>
  <c r="S72" i="106"/>
  <c r="S73" i="106"/>
  <c r="S74" i="106"/>
  <c r="S75" i="106"/>
  <c r="S76" i="106"/>
  <c r="S77" i="106"/>
  <c r="S78" i="106"/>
  <c r="S79" i="106"/>
  <c r="S80" i="106"/>
  <c r="S81" i="106"/>
  <c r="S82" i="106"/>
  <c r="S83" i="106"/>
  <c r="S84" i="106"/>
  <c r="S85" i="106"/>
  <c r="S86" i="106"/>
  <c r="S87" i="106"/>
  <c r="S88" i="106"/>
  <c r="S89" i="106"/>
  <c r="S90" i="106"/>
  <c r="S91" i="106"/>
  <c r="S92" i="106"/>
  <c r="S93" i="106"/>
  <c r="S94" i="106"/>
  <c r="S95" i="106"/>
  <c r="S96" i="106"/>
  <c r="S97" i="106"/>
  <c r="S98" i="106"/>
  <c r="S99" i="106"/>
  <c r="S100" i="106"/>
  <c r="S101" i="106"/>
  <c r="S102" i="106"/>
  <c r="S103" i="106"/>
  <c r="S104" i="106"/>
  <c r="S105" i="106"/>
  <c r="S106" i="106"/>
  <c r="S107" i="106"/>
  <c r="S108" i="106"/>
  <c r="S109" i="106"/>
  <c r="S110" i="106"/>
  <c r="S111" i="106"/>
  <c r="S112" i="106"/>
  <c r="S113" i="106"/>
  <c r="S114" i="106"/>
  <c r="S115" i="106"/>
  <c r="S116" i="106"/>
  <c r="S117" i="106"/>
  <c r="S118" i="106"/>
  <c r="S119" i="106"/>
  <c r="S120" i="106"/>
  <c r="S121" i="106"/>
  <c r="S122" i="106"/>
  <c r="S123" i="106"/>
  <c r="S124" i="106"/>
  <c r="S125" i="106"/>
  <c r="S126" i="106"/>
  <c r="S127" i="106"/>
  <c r="S128" i="106"/>
  <c r="S129" i="106"/>
  <c r="S130" i="106"/>
  <c r="S131" i="106"/>
  <c r="S132" i="106"/>
  <c r="S133" i="106"/>
  <c r="S134" i="106"/>
  <c r="S135" i="106"/>
  <c r="S136" i="106"/>
  <c r="S137" i="106"/>
  <c r="S138" i="106"/>
  <c r="S139" i="106"/>
  <c r="S140" i="106"/>
  <c r="S141" i="106"/>
  <c r="S142" i="106"/>
  <c r="S143" i="106"/>
  <c r="S144" i="106"/>
  <c r="S145" i="106"/>
  <c r="S146" i="106"/>
  <c r="S147" i="106"/>
  <c r="S148" i="106"/>
  <c r="S149" i="106"/>
  <c r="S150" i="106"/>
  <c r="S151" i="106"/>
  <c r="S152" i="106"/>
  <c r="S153" i="106"/>
  <c r="S154" i="106"/>
  <c r="S155" i="106"/>
  <c r="S156" i="106"/>
  <c r="S157" i="106"/>
  <c r="S158" i="106"/>
  <c r="S159" i="106"/>
  <c r="S160" i="106"/>
  <c r="S161" i="106"/>
  <c r="S162" i="106"/>
  <c r="S163" i="106"/>
  <c r="S164" i="106"/>
  <c r="S165" i="106"/>
  <c r="S166" i="106"/>
  <c r="S167" i="106"/>
  <c r="S168" i="106"/>
  <c r="S169" i="106"/>
  <c r="S170" i="106"/>
  <c r="S171" i="106"/>
  <c r="S172" i="106"/>
  <c r="S173" i="106"/>
  <c r="S174" i="106"/>
  <c r="S175" i="106"/>
  <c r="S176" i="106"/>
  <c r="S177" i="106"/>
  <c r="S178" i="106"/>
  <c r="S179" i="106"/>
  <c r="S180" i="106"/>
  <c r="S181" i="106"/>
  <c r="S182" i="106"/>
  <c r="S183" i="106"/>
  <c r="S184" i="106"/>
  <c r="S185" i="106"/>
  <c r="S186" i="106"/>
  <c r="S187" i="106"/>
  <c r="S188" i="106"/>
  <c r="S189" i="106"/>
  <c r="S190" i="106"/>
  <c r="S191" i="106"/>
  <c r="S192" i="106"/>
  <c r="S193" i="106"/>
  <c r="S194" i="106"/>
  <c r="S195" i="106"/>
  <c r="S196" i="106"/>
  <c r="S197" i="106"/>
  <c r="S198" i="106"/>
  <c r="S199" i="106"/>
  <c r="S200" i="106"/>
  <c r="S201" i="106"/>
  <c r="S202" i="106"/>
  <c r="S203" i="106"/>
  <c r="S204" i="106"/>
  <c r="S205" i="106"/>
  <c r="S206" i="106"/>
  <c r="S207" i="106"/>
  <c r="S208" i="106"/>
  <c r="S209" i="106"/>
  <c r="S210" i="106"/>
  <c r="S211" i="106"/>
  <c r="S212" i="106"/>
  <c r="S213" i="106"/>
  <c r="S214" i="106"/>
  <c r="S215" i="106"/>
  <c r="S216" i="106"/>
  <c r="S217" i="106"/>
  <c r="S218" i="106"/>
  <c r="S219" i="106"/>
  <c r="S220" i="106"/>
  <c r="S221" i="106"/>
  <c r="S222" i="106"/>
  <c r="S223" i="106"/>
  <c r="S224" i="106"/>
  <c r="S225" i="106"/>
  <c r="S226" i="106"/>
  <c r="S227" i="106"/>
  <c r="S228" i="106"/>
  <c r="S229" i="106"/>
  <c r="S230" i="106"/>
  <c r="S231" i="106"/>
  <c r="S232" i="106"/>
  <c r="S233" i="106"/>
  <c r="S234" i="106"/>
  <c r="S235" i="106"/>
  <c r="S236" i="106"/>
  <c r="S237" i="106"/>
  <c r="S238" i="106"/>
  <c r="S239" i="106"/>
  <c r="S240" i="106"/>
  <c r="S241" i="106"/>
  <c r="S242" i="106"/>
  <c r="S243" i="106"/>
  <c r="S244" i="106"/>
  <c r="S245" i="106"/>
  <c r="S246" i="106"/>
  <c r="S247" i="106"/>
  <c r="S248" i="106"/>
  <c r="S249" i="106"/>
  <c r="S250" i="106"/>
  <c r="S251" i="106"/>
  <c r="S252" i="106"/>
  <c r="S253" i="106"/>
  <c r="S254" i="106"/>
  <c r="S255" i="106"/>
  <c r="S256" i="106"/>
  <c r="S257" i="106"/>
  <c r="S258" i="106"/>
  <c r="S259" i="106"/>
  <c r="S260" i="106"/>
  <c r="S261" i="106"/>
  <c r="S262" i="106"/>
  <c r="S263" i="106"/>
  <c r="S264" i="106"/>
  <c r="S265" i="106"/>
  <c r="S266" i="106"/>
  <c r="S267" i="106"/>
  <c r="S268" i="106"/>
  <c r="S269" i="106"/>
  <c r="S270" i="106"/>
  <c r="S271" i="106"/>
  <c r="S272" i="106"/>
  <c r="S273" i="106"/>
  <c r="S274" i="106"/>
  <c r="S275" i="106"/>
  <c r="S276" i="106"/>
  <c r="S277" i="106"/>
  <c r="S278" i="106"/>
  <c r="S279" i="106"/>
  <c r="S280" i="106"/>
  <c r="S281" i="106"/>
  <c r="S282" i="106"/>
  <c r="S283" i="106"/>
  <c r="S284" i="106"/>
  <c r="S285" i="106"/>
  <c r="S286" i="106"/>
  <c r="S287" i="106"/>
  <c r="S288" i="106"/>
  <c r="S289" i="106"/>
  <c r="S290" i="106"/>
  <c r="S291" i="106"/>
  <c r="S292" i="106"/>
  <c r="S293" i="106"/>
  <c r="S294" i="106"/>
  <c r="S295" i="106"/>
  <c r="S296" i="106"/>
  <c r="S297" i="106"/>
  <c r="S298" i="106"/>
  <c r="S299" i="106"/>
  <c r="S300" i="106"/>
  <c r="S301" i="106"/>
  <c r="S302" i="106"/>
  <c r="S303" i="106"/>
  <c r="S304" i="106"/>
  <c r="S305" i="106"/>
  <c r="S306" i="106"/>
  <c r="S307" i="106"/>
  <c r="S308" i="106"/>
  <c r="S309" i="106"/>
  <c r="S310" i="106"/>
  <c r="S311" i="106"/>
  <c r="S312" i="106"/>
  <c r="S313" i="106"/>
  <c r="S314" i="106"/>
  <c r="S315" i="106"/>
  <c r="S316" i="106"/>
  <c r="S317" i="106"/>
  <c r="S318" i="106"/>
  <c r="S319" i="106"/>
  <c r="S320" i="106"/>
  <c r="S321" i="106"/>
  <c r="S322" i="106"/>
  <c r="S323" i="106"/>
  <c r="S324" i="106"/>
  <c r="S325" i="106"/>
  <c r="S326" i="106"/>
  <c r="S327" i="106"/>
  <c r="S328" i="106"/>
  <c r="S329" i="106"/>
  <c r="S330" i="106"/>
  <c r="S331" i="106"/>
  <c r="S332" i="106"/>
  <c r="S333" i="106"/>
  <c r="S334" i="106"/>
  <c r="S335" i="106"/>
  <c r="S336" i="106"/>
  <c r="S337" i="106"/>
  <c r="S338" i="106"/>
  <c r="S339" i="106"/>
  <c r="S340" i="106"/>
  <c r="S341" i="106"/>
  <c r="S342" i="106"/>
  <c r="S343" i="106"/>
  <c r="S344" i="106"/>
  <c r="S345" i="106"/>
  <c r="S346" i="106"/>
  <c r="S347" i="106"/>
  <c r="S348" i="106"/>
  <c r="S349" i="106"/>
  <c r="S350" i="106"/>
  <c r="S351" i="106"/>
  <c r="S352" i="106"/>
  <c r="S353" i="106"/>
  <c r="S354" i="106"/>
  <c r="S355" i="106"/>
  <c r="S356" i="106"/>
  <c r="S357" i="106"/>
  <c r="S358" i="106"/>
  <c r="S359" i="106"/>
  <c r="S360" i="106"/>
  <c r="S361" i="106"/>
  <c r="S362" i="106"/>
  <c r="S363" i="106"/>
  <c r="S364" i="106"/>
  <c r="S365" i="106"/>
  <c r="S366" i="106"/>
  <c r="S367" i="106"/>
  <c r="S368" i="106"/>
  <c r="S369" i="106"/>
  <c r="S370" i="106"/>
  <c r="T370" i="106"/>
  <c r="Z370" i="106" s="1"/>
  <c r="S371" i="106"/>
  <c r="T371" i="106"/>
  <c r="Z371" i="106" s="1"/>
  <c r="S372" i="106"/>
  <c r="T372" i="106"/>
  <c r="Z372" i="106" s="1"/>
  <c r="S373" i="106"/>
  <c r="S374" i="106"/>
  <c r="S375" i="106"/>
  <c r="S376" i="106"/>
  <c r="S377" i="106"/>
  <c r="S378" i="106"/>
  <c r="S379" i="106"/>
  <c r="S380" i="106"/>
  <c r="S381" i="106"/>
  <c r="S382" i="106"/>
  <c r="S383" i="106"/>
  <c r="S384" i="106"/>
  <c r="T384" i="106"/>
  <c r="S385" i="106"/>
  <c r="S386" i="106"/>
  <c r="S387" i="106"/>
  <c r="S388" i="106"/>
  <c r="S389" i="106"/>
  <c r="S390" i="106"/>
  <c r="S391" i="106"/>
  <c r="S392" i="106"/>
  <c r="S393" i="106"/>
  <c r="S394" i="106"/>
  <c r="S395" i="106"/>
  <c r="U158" i="110"/>
  <c r="T158" i="110"/>
  <c r="U151" i="110"/>
  <c r="T151" i="110"/>
  <c r="U144" i="110"/>
  <c r="T144" i="110"/>
  <c r="U137" i="110"/>
  <c r="T137" i="110"/>
  <c r="U130" i="110"/>
  <c r="T130" i="110"/>
  <c r="U123" i="110"/>
  <c r="T123" i="110"/>
  <c r="U116" i="110"/>
  <c r="T116" i="110"/>
  <c r="U109" i="110"/>
  <c r="T109" i="110"/>
  <c r="U102" i="110"/>
  <c r="T102" i="110"/>
  <c r="U95" i="110"/>
  <c r="T95" i="110"/>
  <c r="U88" i="110"/>
  <c r="T88" i="110"/>
  <c r="U80" i="110"/>
  <c r="T80" i="110"/>
  <c r="U73" i="110"/>
  <c r="T73" i="110"/>
  <c r="U66" i="110"/>
  <c r="T66" i="110"/>
  <c r="U59" i="110"/>
  <c r="T59" i="110"/>
  <c r="U52" i="110"/>
  <c r="T52" i="110"/>
  <c r="U45" i="110"/>
  <c r="T45" i="110"/>
  <c r="U35" i="110"/>
  <c r="T35" i="110"/>
  <c r="U26" i="110"/>
  <c r="T26" i="110"/>
  <c r="U19" i="110"/>
  <c r="T19" i="110"/>
  <c r="U12" i="110"/>
  <c r="T12" i="110"/>
  <c r="U5" i="110"/>
  <c r="T5" i="110"/>
  <c r="T381" i="106" l="1"/>
  <c r="Z381" i="106" s="1"/>
  <c r="D378" i="106"/>
  <c r="C378" i="106"/>
  <c r="T389" i="106"/>
  <c r="Z389" i="106" s="1"/>
  <c r="T394" i="106"/>
  <c r="U394" i="106" s="1"/>
  <c r="T390" i="106"/>
  <c r="Z390" i="106" s="1"/>
  <c r="T380" i="106"/>
  <c r="U380" i="106" s="1"/>
  <c r="C384" i="106"/>
  <c r="T376" i="106"/>
  <c r="AF376" i="106" s="1"/>
  <c r="T375" i="106"/>
  <c r="Z375" i="106" s="1"/>
  <c r="T374" i="106"/>
  <c r="Z374" i="106" s="1"/>
  <c r="C374" i="106"/>
  <c r="T391" i="106"/>
  <c r="AC391" i="106" s="1"/>
  <c r="C386" i="106"/>
  <c r="D395" i="106"/>
  <c r="C395" i="106"/>
  <c r="D382" i="106"/>
  <c r="C391" i="106"/>
  <c r="D381" i="106"/>
  <c r="C371" i="106"/>
  <c r="T386" i="106"/>
  <c r="Z386" i="106" s="1"/>
  <c r="AC395" i="106"/>
  <c r="Y395" i="106"/>
  <c r="T387" i="106"/>
  <c r="AE387" i="106" s="1"/>
  <c r="D380" i="106"/>
  <c r="D387" i="106"/>
  <c r="T392" i="106"/>
  <c r="U392" i="106" s="1"/>
  <c r="C392" i="106"/>
  <c r="D392" i="106"/>
  <c r="D388" i="106"/>
  <c r="C388" i="106"/>
  <c r="D385" i="106"/>
  <c r="C385" i="106"/>
  <c r="D377" i="106"/>
  <c r="C377" i="106"/>
  <c r="T383" i="106"/>
  <c r="AE383" i="106" s="1"/>
  <c r="D383" i="106"/>
  <c r="C373" i="106"/>
  <c r="D373" i="106"/>
  <c r="D394" i="106"/>
  <c r="D372" i="106"/>
  <c r="C382" i="106"/>
  <c r="T379" i="106"/>
  <c r="Z379" i="106" s="1"/>
  <c r="D390" i="106"/>
  <c r="D376" i="106"/>
  <c r="T393" i="106"/>
  <c r="AE393" i="106" s="1"/>
  <c r="D389" i="106"/>
  <c r="D375" i="106"/>
  <c r="D370" i="106"/>
  <c r="D393" i="106"/>
  <c r="D379" i="106"/>
  <c r="T388" i="106"/>
  <c r="Y388" i="106" s="1"/>
  <c r="W394" i="106"/>
  <c r="V394" i="106"/>
  <c r="X394" i="106"/>
  <c r="AD394" i="106"/>
  <c r="AA380" i="106"/>
  <c r="AD380" i="106"/>
  <c r="AB385" i="106"/>
  <c r="AC381" i="106"/>
  <c r="AC377" i="106"/>
  <c r="AC373" i="106"/>
  <c r="AC371" i="106"/>
  <c r="Y394" i="106"/>
  <c r="AB389" i="106"/>
  <c r="U384" i="106"/>
  <c r="W384" i="106"/>
  <c r="X384" i="106"/>
  <c r="V384" i="106"/>
  <c r="Y384" i="106"/>
  <c r="AA384" i="106"/>
  <c r="AD384" i="106"/>
  <c r="U378" i="106"/>
  <c r="W378" i="106"/>
  <c r="Y378" i="106"/>
  <c r="V378" i="106"/>
  <c r="X378" i="106"/>
  <c r="AA378" i="106"/>
  <c r="AD378" i="106"/>
  <c r="U395" i="106"/>
  <c r="W395" i="106"/>
  <c r="V395" i="106"/>
  <c r="X395" i="106"/>
  <c r="AD395" i="106"/>
  <c r="Z385" i="106"/>
  <c r="AB381" i="106"/>
  <c r="AB377" i="106"/>
  <c r="AB373" i="106"/>
  <c r="U382" i="106"/>
  <c r="W382" i="106"/>
  <c r="V382" i="106"/>
  <c r="X382" i="106"/>
  <c r="Y382" i="106"/>
  <c r="AA382" i="106"/>
  <c r="AD382" i="106"/>
  <c r="AB371" i="106"/>
  <c r="AD390" i="106"/>
  <c r="AF394" i="106"/>
  <c r="Y390" i="106"/>
  <c r="U371" i="106"/>
  <c r="W371" i="106"/>
  <c r="Y371" i="106"/>
  <c r="V371" i="106"/>
  <c r="X371" i="106"/>
  <c r="AA371" i="106"/>
  <c r="AD371" i="106"/>
  <c r="AF384" i="106"/>
  <c r="AF382" i="106"/>
  <c r="AF378" i="106"/>
  <c r="AF372" i="106"/>
  <c r="AF370" i="106"/>
  <c r="U373" i="106"/>
  <c r="W373" i="106"/>
  <c r="V373" i="106"/>
  <c r="X373" i="106"/>
  <c r="Y373" i="106"/>
  <c r="AA373" i="106"/>
  <c r="AD373" i="106"/>
  <c r="AC394" i="106"/>
  <c r="AB394" i="106"/>
  <c r="AF389" i="106"/>
  <c r="AE384" i="106"/>
  <c r="AE382" i="106"/>
  <c r="AE378" i="106"/>
  <c r="AE370" i="106"/>
  <c r="U385" i="106"/>
  <c r="W385" i="106"/>
  <c r="V385" i="106"/>
  <c r="X385" i="106"/>
  <c r="AA385" i="106"/>
  <c r="AD385" i="106"/>
  <c r="U381" i="106"/>
  <c r="W381" i="106"/>
  <c r="V381" i="106"/>
  <c r="X381" i="106"/>
  <c r="Y381" i="106"/>
  <c r="AA381" i="106"/>
  <c r="AD381" i="106"/>
  <c r="U377" i="106"/>
  <c r="W377" i="106"/>
  <c r="V377" i="106"/>
  <c r="X377" i="106"/>
  <c r="Y377" i="106"/>
  <c r="AA377" i="106"/>
  <c r="AD377" i="106"/>
  <c r="AE394" i="106"/>
  <c r="AE372" i="106"/>
  <c r="AA394" i="106"/>
  <c r="AC384" i="106"/>
  <c r="AC382" i="106"/>
  <c r="AC378" i="106"/>
  <c r="AC372" i="106"/>
  <c r="AC370" i="106"/>
  <c r="AF395" i="106"/>
  <c r="Z394" i="106"/>
  <c r="AC389" i="106"/>
  <c r="AB384" i="106"/>
  <c r="AB382" i="106"/>
  <c r="AB378" i="106"/>
  <c r="AB372" i="106"/>
  <c r="AB370" i="106"/>
  <c r="Z384" i="106"/>
  <c r="Z382" i="106"/>
  <c r="Z380" i="106"/>
  <c r="Z378" i="106"/>
  <c r="U372" i="106"/>
  <c r="W372" i="106"/>
  <c r="V372" i="106"/>
  <c r="X372" i="106"/>
  <c r="Y372" i="106"/>
  <c r="AA372" i="106"/>
  <c r="AD372" i="106"/>
  <c r="AB395" i="106"/>
  <c r="AF385" i="106"/>
  <c r="U370" i="106"/>
  <c r="W370" i="106"/>
  <c r="V370" i="106"/>
  <c r="X370" i="106"/>
  <c r="Y370" i="106"/>
  <c r="AA370" i="106"/>
  <c r="AD370" i="106"/>
  <c r="AA395" i="106"/>
  <c r="U389" i="106"/>
  <c r="W389" i="106"/>
  <c r="V389" i="106"/>
  <c r="X389" i="106"/>
  <c r="Y389" i="106"/>
  <c r="AD389" i="106"/>
  <c r="AE385" i="106"/>
  <c r="AF381" i="106"/>
  <c r="AF377" i="106"/>
  <c r="AF373" i="106"/>
  <c r="AF371" i="106"/>
  <c r="Z395" i="106"/>
  <c r="AC390" i="106"/>
  <c r="AC385" i="106"/>
  <c r="AE381" i="106"/>
  <c r="AE377" i="106"/>
  <c r="AE373" i="106"/>
  <c r="AE371" i="106"/>
  <c r="AF380" i="106" l="1"/>
  <c r="U386" i="106"/>
  <c r="AE390" i="106"/>
  <c r="X390" i="106"/>
  <c r="W386" i="106"/>
  <c r="AB386" i="106"/>
  <c r="V390" i="106"/>
  <c r="AB390" i="106"/>
  <c r="AF390" i="106"/>
  <c r="W390" i="106"/>
  <c r="AA390" i="106"/>
  <c r="U390" i="106"/>
  <c r="AA374" i="106"/>
  <c r="AC374" i="106"/>
  <c r="AF374" i="106"/>
  <c r="U391" i="106"/>
  <c r="Y376" i="106"/>
  <c r="AD374" i="106"/>
  <c r="W376" i="106"/>
  <c r="U376" i="106"/>
  <c r="Z376" i="106"/>
  <c r="AC375" i="106"/>
  <c r="AC376" i="106"/>
  <c r="X374" i="106"/>
  <c r="V380" i="106"/>
  <c r="W375" i="106"/>
  <c r="X380" i="106"/>
  <c r="AD375" i="106"/>
  <c r="Y375" i="106"/>
  <c r="AB374" i="106"/>
  <c r="AC380" i="106"/>
  <c r="AE374" i="106"/>
  <c r="V374" i="106"/>
  <c r="AB376" i="106"/>
  <c r="AE376" i="106"/>
  <c r="AD376" i="106"/>
  <c r="AD391" i="106"/>
  <c r="Y380" i="106"/>
  <c r="Y374" i="106"/>
  <c r="AA376" i="106"/>
  <c r="X391" i="106"/>
  <c r="W380" i="106"/>
  <c r="W374" i="106"/>
  <c r="AB380" i="106"/>
  <c r="AE389" i="106"/>
  <c r="AE380" i="106"/>
  <c r="X376" i="106"/>
  <c r="V391" i="106"/>
  <c r="AA375" i="106"/>
  <c r="AE375" i="106"/>
  <c r="U374" i="106"/>
  <c r="V376" i="106"/>
  <c r="W391" i="106"/>
  <c r="AA389" i="106"/>
  <c r="AB391" i="106"/>
  <c r="Z391" i="106"/>
  <c r="X375" i="106"/>
  <c r="V375" i="106"/>
  <c r="AF391" i="106"/>
  <c r="AE391" i="106"/>
  <c r="Y391" i="106"/>
  <c r="AA391" i="106"/>
  <c r="U375" i="106"/>
  <c r="AF375" i="106"/>
  <c r="AB375" i="106"/>
  <c r="AD386" i="106"/>
  <c r="Y386" i="106"/>
  <c r="V387" i="106"/>
  <c r="W387" i="106"/>
  <c r="U387" i="106"/>
  <c r="AA387" i="106"/>
  <c r="AF386" i="106"/>
  <c r="AC387" i="106"/>
  <c r="V392" i="106"/>
  <c r="Y392" i="106"/>
  <c r="X392" i="106"/>
  <c r="AE386" i="106"/>
  <c r="AA386" i="106"/>
  <c r="AC386" i="106"/>
  <c r="AC379" i="106"/>
  <c r="Z392" i="106"/>
  <c r="AF392" i="106"/>
  <c r="AA392" i="106"/>
  <c r="AB387" i="106"/>
  <c r="X386" i="106"/>
  <c r="Y387" i="106"/>
  <c r="AD392" i="106"/>
  <c r="X388" i="106"/>
  <c r="AD387" i="106"/>
  <c r="V386" i="106"/>
  <c r="AE392" i="106"/>
  <c r="X387" i="106"/>
  <c r="AB392" i="106"/>
  <c r="V379" i="106"/>
  <c r="Z387" i="106"/>
  <c r="AF387" i="106"/>
  <c r="Z383" i="106"/>
  <c r="AB383" i="106"/>
  <c r="U383" i="106"/>
  <c r="W383" i="106"/>
  <c r="Y383" i="106"/>
  <c r="AC383" i="106"/>
  <c r="V383" i="106"/>
  <c r="X383" i="106"/>
  <c r="AA383" i="106"/>
  <c r="AD383" i="106"/>
  <c r="AF383" i="106"/>
  <c r="U393" i="106"/>
  <c r="W393" i="106"/>
  <c r="V393" i="106"/>
  <c r="AB393" i="106"/>
  <c r="AD393" i="106"/>
  <c r="X393" i="106"/>
  <c r="AF393" i="106"/>
  <c r="W392" i="106"/>
  <c r="AC392" i="106"/>
  <c r="W388" i="106"/>
  <c r="U388" i="106"/>
  <c r="Z388" i="106"/>
  <c r="AD379" i="106"/>
  <c r="V388" i="106"/>
  <c r="AE388" i="106"/>
  <c r="AA379" i="106"/>
  <c r="AB388" i="106"/>
  <c r="AA393" i="106"/>
  <c r="Z393" i="106"/>
  <c r="AC393" i="106"/>
  <c r="Y393" i="106"/>
  <c r="AE379" i="106"/>
  <c r="Y379" i="106"/>
  <c r="X379" i="106"/>
  <c r="AC388" i="106"/>
  <c r="AF388" i="106"/>
  <c r="W379" i="106"/>
  <c r="AB379" i="106"/>
  <c r="AF379" i="106"/>
  <c r="U379" i="106"/>
  <c r="AD388" i="106"/>
  <c r="AA388" i="106"/>
  <c r="C5394" i="58" l="1"/>
  <c r="C5396" i="58"/>
  <c r="C5390" i="58"/>
  <c r="S10" i="106" l="1"/>
  <c r="B10" i="106"/>
  <c r="D10" i="106" s="1"/>
  <c r="H5624" i="58"/>
  <c r="I5624" i="58"/>
  <c r="J5624" i="58" s="1"/>
  <c r="O5624" i="58"/>
  <c r="P5624" i="58"/>
  <c r="H5625" i="58"/>
  <c r="I5625" i="58"/>
  <c r="K5625" i="58" s="1"/>
  <c r="L5625" i="58" s="1"/>
  <c r="O5625" i="58"/>
  <c r="P5625" i="58"/>
  <c r="G5626" i="58"/>
  <c r="H5626" i="58"/>
  <c r="I5626" i="58"/>
  <c r="O5626" i="58"/>
  <c r="P5626" i="58"/>
  <c r="H5627" i="58"/>
  <c r="I5627" i="58"/>
  <c r="O5627" i="58"/>
  <c r="P5627" i="58"/>
  <c r="H5628" i="58"/>
  <c r="I5628" i="58"/>
  <c r="J5628" i="58" s="1"/>
  <c r="O5628" i="58"/>
  <c r="P5628" i="58"/>
  <c r="G5629" i="58"/>
  <c r="H5629" i="58"/>
  <c r="I5629" i="58"/>
  <c r="J5629" i="58" s="1"/>
  <c r="O5629" i="58"/>
  <c r="P5629" i="58"/>
  <c r="H5630" i="58"/>
  <c r="I5630" i="58"/>
  <c r="J5630" i="58" s="1"/>
  <c r="O5630" i="58"/>
  <c r="P5630" i="58"/>
  <c r="H5631" i="58"/>
  <c r="I5631" i="58"/>
  <c r="J5631" i="58" s="1"/>
  <c r="O5631" i="58"/>
  <c r="P5631" i="58"/>
  <c r="H5632" i="58"/>
  <c r="I5632" i="58"/>
  <c r="K5632" i="58" s="1"/>
  <c r="L5632" i="58" s="1"/>
  <c r="O5632" i="58"/>
  <c r="P5632" i="58"/>
  <c r="H5633" i="58"/>
  <c r="I5633" i="58"/>
  <c r="O5633" i="58"/>
  <c r="P5633" i="58"/>
  <c r="H5634" i="58"/>
  <c r="I5634" i="58"/>
  <c r="K5634" i="58" s="1"/>
  <c r="L5634" i="58" s="1"/>
  <c r="O5634" i="58"/>
  <c r="P5634" i="58"/>
  <c r="G5635" i="58"/>
  <c r="H5635" i="58"/>
  <c r="I5635" i="58"/>
  <c r="O5635" i="58"/>
  <c r="P5635" i="58"/>
  <c r="H5636" i="58"/>
  <c r="I5636" i="58"/>
  <c r="O5636" i="58"/>
  <c r="P5636" i="58"/>
  <c r="H5637" i="58"/>
  <c r="I5637" i="58"/>
  <c r="O5637" i="58"/>
  <c r="P5637" i="58"/>
  <c r="H5638" i="58"/>
  <c r="I5638" i="58"/>
  <c r="J5638" i="58" s="1"/>
  <c r="O5638" i="58"/>
  <c r="P5638" i="58"/>
  <c r="H5639" i="58"/>
  <c r="I5639" i="58"/>
  <c r="K5639" i="58" s="1"/>
  <c r="L5639" i="58" s="1"/>
  <c r="O5639" i="58"/>
  <c r="P5639" i="58"/>
  <c r="H5640" i="58"/>
  <c r="I5640" i="58"/>
  <c r="O5640" i="58"/>
  <c r="P5640" i="58"/>
  <c r="H5641" i="58"/>
  <c r="I5641" i="58"/>
  <c r="O5641" i="58"/>
  <c r="P5641" i="58"/>
  <c r="H5642" i="58"/>
  <c r="I5642" i="58"/>
  <c r="O5642" i="58"/>
  <c r="P5642" i="58"/>
  <c r="H5643" i="58"/>
  <c r="I5643" i="58"/>
  <c r="J5643" i="58" s="1"/>
  <c r="O5643" i="58"/>
  <c r="P5643" i="58"/>
  <c r="H5644" i="58"/>
  <c r="I5644" i="58"/>
  <c r="K5644" i="58" s="1"/>
  <c r="L5644" i="58" s="1"/>
  <c r="O5644" i="58"/>
  <c r="P5644" i="58"/>
  <c r="H5645" i="58"/>
  <c r="I5645" i="58"/>
  <c r="J5645" i="58" s="1"/>
  <c r="O5645" i="58"/>
  <c r="P5645" i="58"/>
  <c r="H5646" i="58"/>
  <c r="I5646" i="58"/>
  <c r="K5646" i="58" s="1"/>
  <c r="L5646" i="58" s="1"/>
  <c r="O5646" i="58"/>
  <c r="P5646" i="58"/>
  <c r="H5647" i="58"/>
  <c r="I5647" i="58"/>
  <c r="O5647" i="58"/>
  <c r="P5647" i="58"/>
  <c r="H5648" i="58"/>
  <c r="I5648" i="58"/>
  <c r="O5648" i="58"/>
  <c r="P5648" i="58"/>
  <c r="H5649" i="58"/>
  <c r="I5649" i="58"/>
  <c r="O5649" i="58"/>
  <c r="P5649" i="58"/>
  <c r="H5650" i="58"/>
  <c r="I5650" i="58"/>
  <c r="O5650" i="58"/>
  <c r="P5650" i="58"/>
  <c r="H5651" i="58"/>
  <c r="I5651" i="58"/>
  <c r="J5651" i="58" s="1"/>
  <c r="O5651" i="58"/>
  <c r="P5651" i="58"/>
  <c r="H5652" i="58"/>
  <c r="I5652" i="58"/>
  <c r="J5652" i="58" s="1"/>
  <c r="O5652" i="58"/>
  <c r="P5652" i="58"/>
  <c r="H5653" i="58"/>
  <c r="I5653" i="58"/>
  <c r="K5653" i="58" s="1"/>
  <c r="L5653" i="58" s="1"/>
  <c r="O5653" i="58"/>
  <c r="P5653" i="58"/>
  <c r="H5654" i="58"/>
  <c r="I5654" i="58"/>
  <c r="O5654" i="58"/>
  <c r="P5654" i="58"/>
  <c r="H5655" i="58"/>
  <c r="I5655" i="58"/>
  <c r="K5655" i="58" s="1"/>
  <c r="L5655" i="58" s="1"/>
  <c r="O5655" i="58"/>
  <c r="P5655" i="58"/>
  <c r="H5656" i="58"/>
  <c r="I5656" i="58"/>
  <c r="J5656" i="58" s="1"/>
  <c r="O5656" i="58"/>
  <c r="P5656" i="58"/>
  <c r="H5657" i="58"/>
  <c r="I5657" i="58"/>
  <c r="J5657" i="58" s="1"/>
  <c r="O5657" i="58"/>
  <c r="P5657" i="58"/>
  <c r="H5658" i="58"/>
  <c r="I5658" i="58"/>
  <c r="O5658" i="58"/>
  <c r="P5658" i="58"/>
  <c r="H5659" i="58"/>
  <c r="I5659" i="58"/>
  <c r="J5659" i="58" s="1"/>
  <c r="O5659" i="58"/>
  <c r="P5659" i="58"/>
  <c r="H5660" i="58"/>
  <c r="I5660" i="58"/>
  <c r="K5660" i="58" s="1"/>
  <c r="L5660" i="58" s="1"/>
  <c r="O5660" i="58"/>
  <c r="P5660" i="58"/>
  <c r="H5661" i="58"/>
  <c r="I5661" i="58"/>
  <c r="O5661" i="58"/>
  <c r="P5661" i="58"/>
  <c r="H5662" i="58"/>
  <c r="I5662" i="58"/>
  <c r="K5662" i="58" s="1"/>
  <c r="L5662" i="58" s="1"/>
  <c r="O5662" i="58"/>
  <c r="P5662" i="58"/>
  <c r="H5663" i="58"/>
  <c r="I5663" i="58"/>
  <c r="O5663" i="58"/>
  <c r="P5663" i="58"/>
  <c r="H5664" i="58"/>
  <c r="I5664" i="58"/>
  <c r="J5664" i="58" s="1"/>
  <c r="O5664" i="58"/>
  <c r="P5664" i="58"/>
  <c r="G5665" i="58"/>
  <c r="H5665" i="58"/>
  <c r="I5665" i="58"/>
  <c r="O5665" i="58"/>
  <c r="P5665" i="58"/>
  <c r="G5666" i="58"/>
  <c r="H5666" i="58"/>
  <c r="I5666" i="58"/>
  <c r="J5666" i="58" s="1"/>
  <c r="O5666" i="58"/>
  <c r="P5666" i="58"/>
  <c r="H5667" i="58"/>
  <c r="I5667" i="58"/>
  <c r="K5667" i="58" s="1"/>
  <c r="L5667" i="58" s="1"/>
  <c r="O5667" i="58"/>
  <c r="P5667" i="58"/>
  <c r="H5668" i="58"/>
  <c r="I5668" i="58"/>
  <c r="O5668" i="58"/>
  <c r="P5668" i="58"/>
  <c r="H5669" i="58"/>
  <c r="I5669" i="58"/>
  <c r="K5669" i="58" s="1"/>
  <c r="L5669" i="58" s="1"/>
  <c r="O5669" i="58"/>
  <c r="P5669" i="58"/>
  <c r="H5670" i="58"/>
  <c r="I5670" i="58"/>
  <c r="O5670" i="58"/>
  <c r="P5670" i="58"/>
  <c r="H5671" i="58"/>
  <c r="I5671" i="58"/>
  <c r="O5671" i="58"/>
  <c r="P5671" i="58"/>
  <c r="H5672" i="58"/>
  <c r="I5672" i="58"/>
  <c r="J5672" i="58" s="1"/>
  <c r="O5672" i="58"/>
  <c r="P5672" i="58"/>
  <c r="H5673" i="58"/>
  <c r="I5673" i="58"/>
  <c r="J5673" i="58" s="1"/>
  <c r="O5673" i="58"/>
  <c r="P5673" i="58"/>
  <c r="H5674" i="58"/>
  <c r="I5674" i="58"/>
  <c r="K5674" i="58" s="1"/>
  <c r="L5674" i="58" s="1"/>
  <c r="O5674" i="58"/>
  <c r="P5674" i="58"/>
  <c r="H5675" i="58"/>
  <c r="I5675" i="58"/>
  <c r="O5675" i="58"/>
  <c r="P5675" i="58"/>
  <c r="H5676" i="58"/>
  <c r="I5676" i="58"/>
  <c r="O5676" i="58"/>
  <c r="P5676" i="58"/>
  <c r="H5677" i="58"/>
  <c r="I5677" i="58"/>
  <c r="J5677" i="58" s="1"/>
  <c r="O5677" i="58"/>
  <c r="P5677" i="58"/>
  <c r="H5678" i="58"/>
  <c r="I5678" i="58"/>
  <c r="J5678" i="58" s="1"/>
  <c r="O5678" i="58"/>
  <c r="P5678" i="58"/>
  <c r="H5679" i="58"/>
  <c r="I5679" i="58"/>
  <c r="O5679" i="58"/>
  <c r="P5679" i="58"/>
  <c r="H5680" i="58"/>
  <c r="I5680" i="58"/>
  <c r="O5680" i="58"/>
  <c r="P5680" i="58"/>
  <c r="H5681" i="58"/>
  <c r="I5681" i="58"/>
  <c r="O5681" i="58"/>
  <c r="P5681" i="58"/>
  <c r="H5682" i="58"/>
  <c r="I5682" i="58"/>
  <c r="O5682" i="58"/>
  <c r="P5682" i="58"/>
  <c r="H5683" i="58"/>
  <c r="I5683" i="58"/>
  <c r="K5683" i="58" s="1"/>
  <c r="L5683" i="58" s="1"/>
  <c r="O5683" i="58"/>
  <c r="P5683" i="58"/>
  <c r="H5684" i="58"/>
  <c r="I5684" i="58"/>
  <c r="J5684" i="58" s="1"/>
  <c r="O5684" i="58"/>
  <c r="P5684" i="58"/>
  <c r="H5685" i="58"/>
  <c r="I5685" i="58"/>
  <c r="J5685" i="58" s="1"/>
  <c r="O5685" i="58"/>
  <c r="P5685" i="58"/>
  <c r="H5686" i="58"/>
  <c r="I5686" i="58"/>
  <c r="J5686" i="58" s="1"/>
  <c r="O5686" i="58"/>
  <c r="P5686" i="58"/>
  <c r="H5687" i="58"/>
  <c r="I5687" i="58"/>
  <c r="O5687" i="58"/>
  <c r="P5687" i="58"/>
  <c r="H5688" i="58"/>
  <c r="I5688" i="58"/>
  <c r="O5688" i="58"/>
  <c r="P5688" i="58"/>
  <c r="H5689" i="58"/>
  <c r="I5689" i="58"/>
  <c r="O5689" i="58"/>
  <c r="P5689" i="58"/>
  <c r="H5690" i="58"/>
  <c r="I5690" i="58"/>
  <c r="O5690" i="58"/>
  <c r="P5690" i="58"/>
  <c r="H5691" i="58"/>
  <c r="I5691" i="58"/>
  <c r="J5691" i="58" s="1"/>
  <c r="O5691" i="58"/>
  <c r="P5691" i="58"/>
  <c r="H5692" i="58"/>
  <c r="I5692" i="58"/>
  <c r="O5692" i="58"/>
  <c r="P5692" i="58"/>
  <c r="H5693" i="58"/>
  <c r="I5693" i="58"/>
  <c r="J5693" i="58" s="1"/>
  <c r="O5693" i="58"/>
  <c r="P5693" i="58"/>
  <c r="G5694" i="58"/>
  <c r="H5694" i="58"/>
  <c r="I5694" i="58"/>
  <c r="J5694" i="58" s="1"/>
  <c r="O5694" i="58"/>
  <c r="P5694" i="58"/>
  <c r="G5695" i="58"/>
  <c r="H5695" i="58"/>
  <c r="I5695" i="58"/>
  <c r="O5695" i="58"/>
  <c r="P5695" i="58"/>
  <c r="G5696" i="58"/>
  <c r="H5696" i="58"/>
  <c r="I5696" i="58"/>
  <c r="O5696" i="58"/>
  <c r="P5696" i="58"/>
  <c r="G5697" i="58"/>
  <c r="H5697" i="58"/>
  <c r="I5697" i="58"/>
  <c r="O5697" i="58"/>
  <c r="P5697" i="58"/>
  <c r="H5698" i="58"/>
  <c r="I5698" i="58"/>
  <c r="O5698" i="58"/>
  <c r="P5698" i="58"/>
  <c r="G5699" i="58"/>
  <c r="H5699" i="58"/>
  <c r="I5699" i="58"/>
  <c r="J5699" i="58" s="1"/>
  <c r="O5699" i="58"/>
  <c r="P5699" i="58"/>
  <c r="G5700" i="58"/>
  <c r="H5700" i="58"/>
  <c r="I5700" i="58"/>
  <c r="O5700" i="58"/>
  <c r="P5700" i="58"/>
  <c r="G5701" i="58"/>
  <c r="H5701" i="58"/>
  <c r="I5701" i="58"/>
  <c r="J5701" i="58" s="1"/>
  <c r="O5701" i="58"/>
  <c r="P5701" i="58"/>
  <c r="G5702" i="58"/>
  <c r="H5702" i="58"/>
  <c r="I5702" i="58"/>
  <c r="O5702" i="58"/>
  <c r="P5702" i="58"/>
  <c r="G5703" i="58"/>
  <c r="H5703" i="58"/>
  <c r="I5703" i="58"/>
  <c r="O5703" i="58"/>
  <c r="P5703" i="58"/>
  <c r="H5704" i="58"/>
  <c r="I5704" i="58"/>
  <c r="K5704" i="58" s="1"/>
  <c r="L5704" i="58" s="1"/>
  <c r="O5704" i="58"/>
  <c r="P5704" i="58"/>
  <c r="H5705" i="58"/>
  <c r="I5705" i="58"/>
  <c r="O5705" i="58"/>
  <c r="P5705" i="58"/>
  <c r="H5706" i="58"/>
  <c r="I5706" i="58"/>
  <c r="J5706" i="58" s="1"/>
  <c r="O5706" i="58"/>
  <c r="P5706" i="58"/>
  <c r="H5707" i="58"/>
  <c r="I5707" i="58"/>
  <c r="J5707" i="58" s="1"/>
  <c r="O5707" i="58"/>
  <c r="P5707" i="58"/>
  <c r="H5708" i="58"/>
  <c r="I5708" i="58"/>
  <c r="O5708" i="58"/>
  <c r="P5708" i="58"/>
  <c r="H5709" i="58"/>
  <c r="I5709" i="58"/>
  <c r="O5709" i="58"/>
  <c r="P5709" i="58"/>
  <c r="H5710" i="58"/>
  <c r="I5710" i="58"/>
  <c r="J5710" i="58" s="1"/>
  <c r="O5710" i="58"/>
  <c r="P5710" i="58"/>
  <c r="G5711" i="58"/>
  <c r="H5711" i="58"/>
  <c r="I5711" i="58"/>
  <c r="O5711" i="58"/>
  <c r="P5711" i="58"/>
  <c r="G5712" i="58"/>
  <c r="H5712" i="58"/>
  <c r="I5712" i="58"/>
  <c r="J5712" i="58" s="1"/>
  <c r="O5712" i="58"/>
  <c r="P5712" i="58"/>
  <c r="H5713" i="58"/>
  <c r="I5713" i="58"/>
  <c r="J5713" i="58" s="1"/>
  <c r="O5713" i="58"/>
  <c r="P5713" i="58"/>
  <c r="G5714" i="58"/>
  <c r="H5714" i="58"/>
  <c r="I5714" i="58"/>
  <c r="J5714" i="58" s="1"/>
  <c r="O5714" i="58"/>
  <c r="P5714" i="58"/>
  <c r="G5715" i="58"/>
  <c r="H5715" i="58"/>
  <c r="I5715" i="58"/>
  <c r="J5715" i="58" s="1"/>
  <c r="O5715" i="58"/>
  <c r="P5715" i="58"/>
  <c r="G5716" i="58"/>
  <c r="H5716" i="58"/>
  <c r="I5716" i="58"/>
  <c r="O5716" i="58"/>
  <c r="P5716" i="58"/>
  <c r="G5717" i="58"/>
  <c r="H5717" i="58"/>
  <c r="I5717" i="58"/>
  <c r="J5717" i="58" s="1"/>
  <c r="O5717" i="58"/>
  <c r="P5717" i="58"/>
  <c r="G5718" i="58"/>
  <c r="H5718" i="58"/>
  <c r="I5718" i="58"/>
  <c r="K5718" i="58" s="1"/>
  <c r="L5718" i="58" s="1"/>
  <c r="O5718" i="58"/>
  <c r="P5718" i="58"/>
  <c r="G5719" i="58"/>
  <c r="H5719" i="58"/>
  <c r="I5719" i="58"/>
  <c r="O5719" i="58"/>
  <c r="P5719" i="58"/>
  <c r="G5720" i="58"/>
  <c r="H5720" i="58"/>
  <c r="I5720" i="58"/>
  <c r="J5720" i="58" s="1"/>
  <c r="O5720" i="58"/>
  <c r="P5720" i="58"/>
  <c r="G5721" i="58"/>
  <c r="H5721" i="58"/>
  <c r="I5721" i="58"/>
  <c r="J5721" i="58" s="1"/>
  <c r="O5721" i="58"/>
  <c r="P5721" i="58"/>
  <c r="G5722" i="58"/>
  <c r="H5722" i="58"/>
  <c r="I5722" i="58"/>
  <c r="J5722" i="58" s="1"/>
  <c r="O5722" i="58"/>
  <c r="P5722" i="58"/>
  <c r="G5723" i="58"/>
  <c r="H5723" i="58"/>
  <c r="I5723" i="58"/>
  <c r="O5723" i="58"/>
  <c r="P5723" i="58"/>
  <c r="G5724" i="58"/>
  <c r="H5724" i="58"/>
  <c r="I5724" i="58"/>
  <c r="O5724" i="58"/>
  <c r="P5724" i="58"/>
  <c r="G5725" i="58"/>
  <c r="H5725" i="58"/>
  <c r="I5725" i="58"/>
  <c r="J5725" i="58" s="1"/>
  <c r="O5725" i="58"/>
  <c r="P5725" i="58"/>
  <c r="G5726" i="58"/>
  <c r="H5726" i="58"/>
  <c r="I5726" i="58"/>
  <c r="J5726" i="58" s="1"/>
  <c r="O5726" i="58"/>
  <c r="P5726" i="58"/>
  <c r="G5727" i="58"/>
  <c r="H5727" i="58"/>
  <c r="I5727" i="58"/>
  <c r="J5727" i="58" s="1"/>
  <c r="O5727" i="58"/>
  <c r="P5727" i="58"/>
  <c r="G5728" i="58"/>
  <c r="H5728" i="58"/>
  <c r="I5728" i="58"/>
  <c r="O5728" i="58"/>
  <c r="P5728" i="58"/>
  <c r="G5729" i="58"/>
  <c r="H5729" i="58"/>
  <c r="I5729" i="58"/>
  <c r="J5729" i="58" s="1"/>
  <c r="O5729" i="58"/>
  <c r="P5729" i="58"/>
  <c r="G5730" i="58"/>
  <c r="H5730" i="58"/>
  <c r="I5730" i="58"/>
  <c r="J5730" i="58" s="1"/>
  <c r="O5730" i="58"/>
  <c r="P5730" i="58"/>
  <c r="H5731" i="58"/>
  <c r="I5731" i="58"/>
  <c r="J5731" i="58" s="1"/>
  <c r="O5731" i="58"/>
  <c r="P5731" i="58"/>
  <c r="H5732" i="58"/>
  <c r="I5732" i="58"/>
  <c r="J5732" i="58" s="1"/>
  <c r="O5732" i="58"/>
  <c r="P5732" i="58"/>
  <c r="H5733" i="58"/>
  <c r="I5733" i="58"/>
  <c r="J5733" i="58" s="1"/>
  <c r="O5733" i="58"/>
  <c r="P5733" i="58"/>
  <c r="G5734" i="58"/>
  <c r="H5734" i="58"/>
  <c r="I5734" i="58"/>
  <c r="O5734" i="58"/>
  <c r="P5734" i="58"/>
  <c r="G5735" i="58"/>
  <c r="H5735" i="58"/>
  <c r="I5735" i="58"/>
  <c r="O5735" i="58"/>
  <c r="P5735" i="58"/>
  <c r="G5736" i="58"/>
  <c r="H5736" i="58"/>
  <c r="I5736" i="58"/>
  <c r="J5736" i="58" s="1"/>
  <c r="O5736" i="58"/>
  <c r="P5736" i="58"/>
  <c r="H5737" i="58"/>
  <c r="I5737" i="58"/>
  <c r="O5737" i="58"/>
  <c r="P5737" i="58"/>
  <c r="H5738" i="58"/>
  <c r="I5738" i="58"/>
  <c r="J5738" i="58" s="1"/>
  <c r="O5738" i="58"/>
  <c r="P5738" i="58"/>
  <c r="H5739" i="58"/>
  <c r="I5739" i="58"/>
  <c r="J5739" i="58" s="1"/>
  <c r="O5739" i="58"/>
  <c r="P5739" i="58"/>
  <c r="H5740" i="58"/>
  <c r="I5740" i="58"/>
  <c r="O5740" i="58"/>
  <c r="P5740" i="58"/>
  <c r="H5741" i="58"/>
  <c r="I5741" i="58"/>
  <c r="J5741" i="58" s="1"/>
  <c r="O5741" i="58"/>
  <c r="P5741" i="58"/>
  <c r="H5742" i="58"/>
  <c r="I5742" i="58"/>
  <c r="J5742" i="58" s="1"/>
  <c r="O5742" i="58"/>
  <c r="P5742" i="58"/>
  <c r="H5743" i="58"/>
  <c r="I5743" i="58"/>
  <c r="O5743" i="58"/>
  <c r="P5743" i="58"/>
  <c r="H5744" i="58"/>
  <c r="I5744" i="58"/>
  <c r="J5744" i="58" s="1"/>
  <c r="O5744" i="58"/>
  <c r="P5744" i="58"/>
  <c r="H5745" i="58"/>
  <c r="I5745" i="58"/>
  <c r="J5745" i="58" s="1"/>
  <c r="O5745" i="58"/>
  <c r="P5745" i="58"/>
  <c r="H5746" i="58"/>
  <c r="I5746" i="58"/>
  <c r="J5746" i="58" s="1"/>
  <c r="O5746" i="58"/>
  <c r="P5746" i="58"/>
  <c r="H5747" i="58"/>
  <c r="I5747" i="58"/>
  <c r="J5747" i="58" s="1"/>
  <c r="O5747" i="58"/>
  <c r="P5747" i="58"/>
  <c r="H5748" i="58"/>
  <c r="I5748" i="58"/>
  <c r="J5748" i="58" s="1"/>
  <c r="O5748" i="58"/>
  <c r="P5748" i="58"/>
  <c r="H5749" i="58"/>
  <c r="I5749" i="58"/>
  <c r="O5749" i="58"/>
  <c r="P5749" i="58"/>
  <c r="H5750" i="58"/>
  <c r="I5750" i="58"/>
  <c r="K5750" i="58" s="1"/>
  <c r="L5750" i="58" s="1"/>
  <c r="O5750" i="58"/>
  <c r="P5750" i="58"/>
  <c r="G5751" i="58"/>
  <c r="H5751" i="58"/>
  <c r="I5751" i="58"/>
  <c r="J5751" i="58" s="1"/>
  <c r="O5751" i="58"/>
  <c r="P5751" i="58"/>
  <c r="G5752" i="58"/>
  <c r="H5752" i="58"/>
  <c r="I5752" i="58"/>
  <c r="J5752" i="58" s="1"/>
  <c r="O5752" i="58"/>
  <c r="P5752" i="58"/>
  <c r="H5753" i="58"/>
  <c r="I5753" i="58"/>
  <c r="O5753" i="58"/>
  <c r="P5753" i="58"/>
  <c r="H5754" i="58"/>
  <c r="I5754" i="58"/>
  <c r="J5754" i="58" s="1"/>
  <c r="O5754" i="58"/>
  <c r="P5754" i="58"/>
  <c r="H5755" i="58"/>
  <c r="I5755" i="58"/>
  <c r="O5755" i="58"/>
  <c r="P5755" i="58"/>
  <c r="H5756" i="58"/>
  <c r="I5756" i="58"/>
  <c r="J5756" i="58" s="1"/>
  <c r="O5756" i="58"/>
  <c r="P5756" i="58"/>
  <c r="H5757" i="58"/>
  <c r="I5757" i="58"/>
  <c r="O5757" i="58"/>
  <c r="P5757" i="58"/>
  <c r="H5758" i="58"/>
  <c r="I5758" i="58"/>
  <c r="O5758" i="58"/>
  <c r="P5758" i="58"/>
  <c r="H5759" i="58"/>
  <c r="I5759" i="58"/>
  <c r="J5759" i="58" s="1"/>
  <c r="O5759" i="58"/>
  <c r="P5759" i="58"/>
  <c r="H5760" i="58"/>
  <c r="I5760" i="58"/>
  <c r="J5760" i="58" s="1"/>
  <c r="O5760" i="58"/>
  <c r="P5760" i="58"/>
  <c r="H5761" i="58"/>
  <c r="I5761" i="58"/>
  <c r="J5761" i="58" s="1"/>
  <c r="O5761" i="58"/>
  <c r="P5761" i="58"/>
  <c r="H5762" i="58"/>
  <c r="I5762" i="58"/>
  <c r="J5762" i="58" s="1"/>
  <c r="O5762" i="58"/>
  <c r="P5762" i="58"/>
  <c r="H5763" i="58"/>
  <c r="I5763" i="58"/>
  <c r="J5763" i="58" s="1"/>
  <c r="O5763" i="58"/>
  <c r="P5763" i="58"/>
  <c r="H5764" i="58"/>
  <c r="I5764" i="58"/>
  <c r="J5764" i="58" s="1"/>
  <c r="O5764" i="58"/>
  <c r="P5764" i="58"/>
  <c r="H5765" i="58"/>
  <c r="I5765" i="58"/>
  <c r="J5765" i="58" s="1"/>
  <c r="O5765" i="58"/>
  <c r="P5765" i="58"/>
  <c r="H5766" i="58"/>
  <c r="I5766" i="58"/>
  <c r="J5766" i="58" s="1"/>
  <c r="O5766" i="58"/>
  <c r="P5766" i="58"/>
  <c r="H5767" i="58"/>
  <c r="I5767" i="58"/>
  <c r="O5767" i="58"/>
  <c r="P5767" i="58"/>
  <c r="H5768" i="58"/>
  <c r="I5768" i="58"/>
  <c r="O5768" i="58"/>
  <c r="P5768" i="58"/>
  <c r="H5769" i="58"/>
  <c r="I5769" i="58"/>
  <c r="J5769" i="58" s="1"/>
  <c r="O5769" i="58"/>
  <c r="P5769" i="58"/>
  <c r="H5770" i="58"/>
  <c r="I5770" i="58"/>
  <c r="J5770" i="58" s="1"/>
  <c r="O5770" i="58"/>
  <c r="P5770" i="58"/>
  <c r="H5771" i="58"/>
  <c r="I5771" i="58"/>
  <c r="K5771" i="58" s="1"/>
  <c r="L5771" i="58" s="1"/>
  <c r="O5771" i="58"/>
  <c r="P5771" i="58"/>
  <c r="H5772" i="58"/>
  <c r="I5772" i="58"/>
  <c r="J5772" i="58" s="1"/>
  <c r="O5772" i="58"/>
  <c r="P5772" i="58"/>
  <c r="H5773" i="58"/>
  <c r="I5773" i="58"/>
  <c r="O5773" i="58"/>
  <c r="P5773" i="58"/>
  <c r="H5774" i="58"/>
  <c r="I5774" i="58"/>
  <c r="K5774" i="58" s="1"/>
  <c r="L5774" i="58" s="1"/>
  <c r="O5774" i="58"/>
  <c r="P5774" i="58"/>
  <c r="H5775" i="58"/>
  <c r="I5775" i="58"/>
  <c r="J5775" i="58" s="1"/>
  <c r="O5775" i="58"/>
  <c r="P5775" i="58"/>
  <c r="H5776" i="58"/>
  <c r="I5776" i="58"/>
  <c r="J5776" i="58" s="1"/>
  <c r="O5776" i="58"/>
  <c r="P5776" i="58"/>
  <c r="H5777" i="58"/>
  <c r="I5777" i="58"/>
  <c r="K5777" i="58" s="1"/>
  <c r="L5777" i="58" s="1"/>
  <c r="O5777" i="58"/>
  <c r="P5777" i="58"/>
  <c r="H5778" i="58"/>
  <c r="I5778" i="58"/>
  <c r="J5778" i="58" s="1"/>
  <c r="O5778" i="58"/>
  <c r="P5778" i="58"/>
  <c r="H5779" i="58"/>
  <c r="I5779" i="58"/>
  <c r="J5779" i="58" s="1"/>
  <c r="O5779" i="58"/>
  <c r="P5779" i="58"/>
  <c r="H5780" i="58"/>
  <c r="I5780" i="58"/>
  <c r="J5780" i="58" s="1"/>
  <c r="O5780" i="58"/>
  <c r="P5780" i="58"/>
  <c r="G5781" i="58"/>
  <c r="H5781" i="58"/>
  <c r="I5781" i="58"/>
  <c r="K5781" i="58" s="1"/>
  <c r="L5781" i="58" s="1"/>
  <c r="O5781" i="58"/>
  <c r="P5781" i="58"/>
  <c r="G5782" i="58"/>
  <c r="H5782" i="58"/>
  <c r="I5782" i="58"/>
  <c r="O5782" i="58"/>
  <c r="P5782" i="58"/>
  <c r="G5783" i="58"/>
  <c r="H5783" i="58"/>
  <c r="I5783" i="58"/>
  <c r="O5783" i="58"/>
  <c r="P5783" i="58"/>
  <c r="G5784" i="58"/>
  <c r="H5784" i="58"/>
  <c r="I5784" i="58"/>
  <c r="O5784" i="58"/>
  <c r="P5784" i="58"/>
  <c r="H5785" i="58"/>
  <c r="I5785" i="58"/>
  <c r="J5785" i="58" s="1"/>
  <c r="O5785" i="58"/>
  <c r="P5785" i="58"/>
  <c r="H5786" i="58"/>
  <c r="I5786" i="58"/>
  <c r="O5786" i="58"/>
  <c r="P5786" i="58"/>
  <c r="G5787" i="58"/>
  <c r="H5787" i="58"/>
  <c r="I5787" i="58"/>
  <c r="O5787" i="58"/>
  <c r="P5787" i="58"/>
  <c r="G5788" i="58"/>
  <c r="H5788" i="58"/>
  <c r="I5788" i="58"/>
  <c r="J5788" i="58" s="1"/>
  <c r="O5788" i="58"/>
  <c r="P5788" i="58"/>
  <c r="G5789" i="58"/>
  <c r="H5789" i="58"/>
  <c r="I5789" i="58"/>
  <c r="J5789" i="58" s="1"/>
  <c r="O5789" i="58"/>
  <c r="P5789" i="58"/>
  <c r="G5790" i="58"/>
  <c r="H5790" i="58"/>
  <c r="I5790" i="58"/>
  <c r="O5790" i="58"/>
  <c r="P5790" i="58"/>
  <c r="G5791" i="58"/>
  <c r="H5791" i="58"/>
  <c r="I5791" i="58"/>
  <c r="O5791" i="58"/>
  <c r="P5791" i="58"/>
  <c r="G5792" i="58"/>
  <c r="H5792" i="58"/>
  <c r="I5792" i="58"/>
  <c r="O5792" i="58"/>
  <c r="P5792" i="58"/>
  <c r="H5793" i="58"/>
  <c r="I5793" i="58"/>
  <c r="J5793" i="58" s="1"/>
  <c r="O5793" i="58"/>
  <c r="P5793" i="58"/>
  <c r="H5794" i="58"/>
  <c r="I5794" i="58"/>
  <c r="K5794" i="58" s="1"/>
  <c r="L5794" i="58" s="1"/>
  <c r="O5794" i="58"/>
  <c r="P5794" i="58"/>
  <c r="H5795" i="58"/>
  <c r="I5795" i="58"/>
  <c r="K5795" i="58" s="1"/>
  <c r="L5795" i="58" s="1"/>
  <c r="O5795" i="58"/>
  <c r="P5795" i="58"/>
  <c r="H5796" i="58"/>
  <c r="I5796" i="58"/>
  <c r="O5796" i="58"/>
  <c r="P5796" i="58"/>
  <c r="H5797" i="58"/>
  <c r="I5797" i="58"/>
  <c r="O5797" i="58"/>
  <c r="P5797" i="58"/>
  <c r="H5798" i="58"/>
  <c r="I5798" i="58"/>
  <c r="J5798" i="58" s="1"/>
  <c r="O5798" i="58"/>
  <c r="P5798" i="58"/>
  <c r="H5799" i="58"/>
  <c r="I5799" i="58"/>
  <c r="J5799" i="58" s="1"/>
  <c r="O5799" i="58"/>
  <c r="P5799" i="58"/>
  <c r="H5800" i="58"/>
  <c r="I5800" i="58"/>
  <c r="J5800" i="58" s="1"/>
  <c r="O5800" i="58"/>
  <c r="P5800" i="58"/>
  <c r="H5801" i="58"/>
  <c r="I5801" i="58"/>
  <c r="O5801" i="58"/>
  <c r="P5801" i="58"/>
  <c r="H5802" i="58"/>
  <c r="I5802" i="58"/>
  <c r="O5802" i="58"/>
  <c r="P5802" i="58"/>
  <c r="H5803" i="58"/>
  <c r="I5803" i="58"/>
  <c r="O5803" i="58"/>
  <c r="P5803" i="58"/>
  <c r="H5804" i="58"/>
  <c r="I5804" i="58"/>
  <c r="K5804" i="58" s="1"/>
  <c r="L5804" i="58" s="1"/>
  <c r="O5804" i="58"/>
  <c r="P5804" i="58"/>
  <c r="H5805" i="58"/>
  <c r="I5805" i="58"/>
  <c r="J5805" i="58" s="1"/>
  <c r="O5805" i="58"/>
  <c r="P5805" i="58"/>
  <c r="H5806" i="58"/>
  <c r="I5806" i="58"/>
  <c r="O5806" i="58"/>
  <c r="P5806" i="58"/>
  <c r="H5807" i="58"/>
  <c r="I5807" i="58"/>
  <c r="K5807" i="58" s="1"/>
  <c r="L5807" i="58" s="1"/>
  <c r="O5807" i="58"/>
  <c r="P5807" i="58"/>
  <c r="H5808" i="58"/>
  <c r="I5808" i="58"/>
  <c r="O5808" i="58"/>
  <c r="P5808" i="58"/>
  <c r="H5809" i="58"/>
  <c r="I5809" i="58"/>
  <c r="J5809" i="58" s="1"/>
  <c r="O5809" i="58"/>
  <c r="P5809" i="58"/>
  <c r="H5810" i="58"/>
  <c r="I5810" i="58"/>
  <c r="O5810" i="58"/>
  <c r="P5810" i="58"/>
  <c r="H5811" i="58"/>
  <c r="I5811" i="58"/>
  <c r="J5811" i="58" s="1"/>
  <c r="O5811" i="58"/>
  <c r="P5811" i="58"/>
  <c r="H5812" i="58"/>
  <c r="I5812" i="58"/>
  <c r="K5812" i="58" s="1"/>
  <c r="L5812" i="58" s="1"/>
  <c r="O5812" i="58"/>
  <c r="P5812" i="58"/>
  <c r="H5813" i="58"/>
  <c r="I5813" i="58"/>
  <c r="O5813" i="58"/>
  <c r="P5813" i="58"/>
  <c r="H5814" i="58"/>
  <c r="I5814" i="58"/>
  <c r="K5814" i="58" s="1"/>
  <c r="L5814" i="58" s="1"/>
  <c r="O5814" i="58"/>
  <c r="P5814" i="58"/>
  <c r="H5815" i="58"/>
  <c r="I5815" i="58"/>
  <c r="K5815" i="58" s="1"/>
  <c r="L5815" i="58" s="1"/>
  <c r="O5815" i="58"/>
  <c r="P5815" i="58"/>
  <c r="H5816" i="58"/>
  <c r="I5816" i="58"/>
  <c r="K5816" i="58" s="1"/>
  <c r="L5816" i="58" s="1"/>
  <c r="O5816" i="58"/>
  <c r="P5816" i="58"/>
  <c r="H5817" i="58"/>
  <c r="I5817" i="58"/>
  <c r="O5817" i="58"/>
  <c r="P5817" i="58"/>
  <c r="H5818" i="58"/>
  <c r="I5818" i="58"/>
  <c r="O5818" i="58"/>
  <c r="P5818" i="58"/>
  <c r="H5819" i="58"/>
  <c r="I5819" i="58"/>
  <c r="K5819" i="58" s="1"/>
  <c r="L5819" i="58" s="1"/>
  <c r="O5819" i="58"/>
  <c r="P5819" i="58"/>
  <c r="H5820" i="58"/>
  <c r="I5820" i="58"/>
  <c r="O5820" i="58"/>
  <c r="P5820" i="58"/>
  <c r="H5821" i="58"/>
  <c r="I5821" i="58"/>
  <c r="J5821" i="58" s="1"/>
  <c r="O5821" i="58"/>
  <c r="P5821" i="58"/>
  <c r="H5822" i="58"/>
  <c r="I5822" i="58"/>
  <c r="J5822" i="58" s="1"/>
  <c r="O5822" i="58"/>
  <c r="P5822" i="58"/>
  <c r="H5823" i="58"/>
  <c r="I5823" i="58"/>
  <c r="O5823" i="58"/>
  <c r="P5823" i="58"/>
  <c r="H5824" i="58"/>
  <c r="I5824" i="58"/>
  <c r="J5824" i="58" s="1"/>
  <c r="O5824" i="58"/>
  <c r="P5824" i="58"/>
  <c r="H5825" i="58"/>
  <c r="I5825" i="58"/>
  <c r="K5825" i="58" s="1"/>
  <c r="L5825" i="58" s="1"/>
  <c r="O5825" i="58"/>
  <c r="P5825" i="58"/>
  <c r="H5826" i="58"/>
  <c r="I5826" i="58"/>
  <c r="O5826" i="58"/>
  <c r="P5826" i="58"/>
  <c r="H5827" i="58"/>
  <c r="I5827" i="58"/>
  <c r="O5827" i="58"/>
  <c r="P5827" i="58"/>
  <c r="H5828" i="58"/>
  <c r="I5828" i="58"/>
  <c r="J5828" i="58" s="1"/>
  <c r="O5828" i="58"/>
  <c r="P5828" i="58"/>
  <c r="H5829" i="58"/>
  <c r="I5829" i="58"/>
  <c r="J5829" i="58" s="1"/>
  <c r="O5829" i="58"/>
  <c r="P5829" i="58"/>
  <c r="H5830" i="58"/>
  <c r="I5830" i="58"/>
  <c r="J5830" i="58" s="1"/>
  <c r="O5830" i="58"/>
  <c r="P5830" i="58"/>
  <c r="H5831" i="58"/>
  <c r="I5831" i="58"/>
  <c r="K5831" i="58" s="1"/>
  <c r="L5831" i="58" s="1"/>
  <c r="O5831" i="58"/>
  <c r="P5831" i="58"/>
  <c r="H5832" i="58"/>
  <c r="I5832" i="58"/>
  <c r="J5832" i="58" s="1"/>
  <c r="O5832" i="58"/>
  <c r="P5832" i="58"/>
  <c r="H5833" i="58"/>
  <c r="I5833" i="58"/>
  <c r="O5833" i="58"/>
  <c r="P5833" i="58"/>
  <c r="H5834" i="58"/>
  <c r="I5834" i="58"/>
  <c r="K5834" i="58" s="1"/>
  <c r="L5834" i="58" s="1"/>
  <c r="O5834" i="58"/>
  <c r="P5834" i="58"/>
  <c r="H5835" i="58"/>
  <c r="I5835" i="58"/>
  <c r="J5835" i="58" s="1"/>
  <c r="O5835" i="58"/>
  <c r="P5835" i="58"/>
  <c r="H5836" i="58"/>
  <c r="I5836" i="58"/>
  <c r="J5836" i="58" s="1"/>
  <c r="O5836" i="58"/>
  <c r="P5836" i="58"/>
  <c r="H5837" i="58"/>
  <c r="I5837" i="58"/>
  <c r="O5837" i="58"/>
  <c r="P5837" i="58"/>
  <c r="H5838" i="58"/>
  <c r="I5838" i="58"/>
  <c r="J5838" i="58" s="1"/>
  <c r="O5838" i="58"/>
  <c r="P5838" i="58"/>
  <c r="H5839" i="58"/>
  <c r="I5839" i="58"/>
  <c r="O5839" i="58"/>
  <c r="P5839" i="58"/>
  <c r="H5840" i="58"/>
  <c r="I5840" i="58"/>
  <c r="O5840" i="58"/>
  <c r="P5840" i="58"/>
  <c r="H5841" i="58"/>
  <c r="I5841" i="58"/>
  <c r="O5841" i="58"/>
  <c r="P5841" i="58"/>
  <c r="H5842" i="58"/>
  <c r="I5842" i="58"/>
  <c r="J5842" i="58" s="1"/>
  <c r="O5842" i="58"/>
  <c r="P5842" i="58"/>
  <c r="H5843" i="58"/>
  <c r="I5843" i="58"/>
  <c r="O5843" i="58"/>
  <c r="P5843" i="58"/>
  <c r="H5844" i="58"/>
  <c r="I5844" i="58"/>
  <c r="J5844" i="58" s="1"/>
  <c r="O5844" i="58"/>
  <c r="P5844" i="58"/>
  <c r="H5845" i="58"/>
  <c r="I5845" i="58"/>
  <c r="O5845" i="58"/>
  <c r="P5845" i="58"/>
  <c r="H5846" i="58"/>
  <c r="I5846" i="58"/>
  <c r="J5846" i="58" s="1"/>
  <c r="O5846" i="58"/>
  <c r="P5846" i="58"/>
  <c r="H5847" i="58"/>
  <c r="I5847" i="58"/>
  <c r="J5847" i="58" s="1"/>
  <c r="O5847" i="58"/>
  <c r="P5847" i="58"/>
  <c r="H5848" i="58"/>
  <c r="I5848" i="58"/>
  <c r="K5848" i="58" s="1"/>
  <c r="L5848" i="58" s="1"/>
  <c r="O5848" i="58"/>
  <c r="P5848" i="58"/>
  <c r="H5849" i="58"/>
  <c r="I5849" i="58"/>
  <c r="O5849" i="58"/>
  <c r="P5849" i="58"/>
  <c r="H5850" i="58"/>
  <c r="I5850" i="58"/>
  <c r="K5850" i="58" s="1"/>
  <c r="L5850" i="58" s="1"/>
  <c r="O5850" i="58"/>
  <c r="P5850" i="58"/>
  <c r="H5851" i="58"/>
  <c r="I5851" i="58"/>
  <c r="O5851" i="58"/>
  <c r="P5851" i="58"/>
  <c r="H5852" i="58"/>
  <c r="I5852" i="58"/>
  <c r="K5852" i="58" s="1"/>
  <c r="L5852" i="58" s="1"/>
  <c r="O5852" i="58"/>
  <c r="P5852" i="58"/>
  <c r="H5853" i="58"/>
  <c r="I5853" i="58"/>
  <c r="O5853" i="58"/>
  <c r="P5853" i="58"/>
  <c r="H5854" i="58"/>
  <c r="I5854" i="58"/>
  <c r="J5854" i="58" s="1"/>
  <c r="O5854" i="58"/>
  <c r="P5854" i="58"/>
  <c r="H5855" i="58"/>
  <c r="I5855" i="58"/>
  <c r="J5855" i="58" s="1"/>
  <c r="O5855" i="58"/>
  <c r="P5855" i="58"/>
  <c r="H5856" i="58"/>
  <c r="I5856" i="58"/>
  <c r="J5856" i="58" s="1"/>
  <c r="O5856" i="58"/>
  <c r="P5856" i="58"/>
  <c r="H5857" i="58"/>
  <c r="I5857" i="58"/>
  <c r="O5857" i="58"/>
  <c r="P5857" i="58"/>
  <c r="H5858" i="58"/>
  <c r="I5858" i="58"/>
  <c r="O5858" i="58"/>
  <c r="P5858" i="58"/>
  <c r="H5859" i="58"/>
  <c r="I5859" i="58"/>
  <c r="J5859" i="58" s="1"/>
  <c r="O5859" i="58"/>
  <c r="P5859" i="58"/>
  <c r="H5860" i="58"/>
  <c r="I5860" i="58"/>
  <c r="J5860" i="58" s="1"/>
  <c r="O5860" i="58"/>
  <c r="P5860" i="58"/>
  <c r="H5861" i="58"/>
  <c r="I5861" i="58"/>
  <c r="J5861" i="58" s="1"/>
  <c r="O5861" i="58"/>
  <c r="P5861" i="58"/>
  <c r="H5862" i="58"/>
  <c r="I5862" i="58"/>
  <c r="J5862" i="58" s="1"/>
  <c r="O5862" i="58"/>
  <c r="P5862" i="58"/>
  <c r="H5863" i="58"/>
  <c r="I5863" i="58"/>
  <c r="J5863" i="58" s="1"/>
  <c r="O5863" i="58"/>
  <c r="P5863" i="58"/>
  <c r="H5864" i="58"/>
  <c r="I5864" i="58"/>
  <c r="K5864" i="58" s="1"/>
  <c r="L5864" i="58" s="1"/>
  <c r="O5864" i="58"/>
  <c r="P5864" i="58"/>
  <c r="H5865" i="58"/>
  <c r="I5865" i="58"/>
  <c r="O5865" i="58"/>
  <c r="P5865" i="58"/>
  <c r="H5866" i="58"/>
  <c r="I5866" i="58"/>
  <c r="K5866" i="58" s="1"/>
  <c r="L5866" i="58" s="1"/>
  <c r="O5866" i="58"/>
  <c r="P5866" i="58"/>
  <c r="H5867" i="58"/>
  <c r="I5867" i="58"/>
  <c r="K5867" i="58" s="1"/>
  <c r="L5867" i="58" s="1"/>
  <c r="O5867" i="58"/>
  <c r="P5867" i="58"/>
  <c r="H5868" i="58"/>
  <c r="I5868" i="58"/>
  <c r="J5868" i="58" s="1"/>
  <c r="O5868" i="58"/>
  <c r="P5868" i="58"/>
  <c r="H5869" i="58"/>
  <c r="I5869" i="58"/>
  <c r="J5869" i="58" s="1"/>
  <c r="O5869" i="58"/>
  <c r="P5869" i="58"/>
  <c r="H5870" i="58"/>
  <c r="I5870" i="58"/>
  <c r="J5870" i="58" s="1"/>
  <c r="O5870" i="58"/>
  <c r="P5870" i="58"/>
  <c r="H5871" i="58"/>
  <c r="I5871" i="58"/>
  <c r="J5871" i="58" s="1"/>
  <c r="O5871" i="58"/>
  <c r="P5871" i="58"/>
  <c r="H5872" i="58"/>
  <c r="I5872" i="58"/>
  <c r="O5872" i="58"/>
  <c r="P5872" i="58"/>
  <c r="H5873" i="58"/>
  <c r="I5873" i="58"/>
  <c r="K5873" i="58" s="1"/>
  <c r="L5873" i="58" s="1"/>
  <c r="O5873" i="58"/>
  <c r="P5873" i="58"/>
  <c r="H5874" i="58"/>
  <c r="I5874" i="58"/>
  <c r="K5874" i="58" s="1"/>
  <c r="L5874" i="58" s="1"/>
  <c r="O5874" i="58"/>
  <c r="P5874" i="58"/>
  <c r="H5875" i="58"/>
  <c r="I5875" i="58"/>
  <c r="O5875" i="58"/>
  <c r="P5875" i="58"/>
  <c r="H5876" i="58"/>
  <c r="I5876" i="58"/>
  <c r="J5876" i="58" s="1"/>
  <c r="O5876" i="58"/>
  <c r="P5876" i="58"/>
  <c r="H5877" i="58"/>
  <c r="I5877" i="58"/>
  <c r="K5877" i="58" s="1"/>
  <c r="L5877" i="58" s="1"/>
  <c r="O5877" i="58"/>
  <c r="P5877" i="58"/>
  <c r="H5878" i="58"/>
  <c r="I5878" i="58"/>
  <c r="J5878" i="58" s="1"/>
  <c r="O5878" i="58"/>
  <c r="P5878" i="58"/>
  <c r="H5879" i="58"/>
  <c r="I5879" i="58"/>
  <c r="J5879" i="58" s="1"/>
  <c r="O5879" i="58"/>
  <c r="P5879" i="58"/>
  <c r="H5880" i="58"/>
  <c r="I5880" i="58"/>
  <c r="J5880" i="58" s="1"/>
  <c r="O5880" i="58"/>
  <c r="P5880" i="58"/>
  <c r="H5881" i="58"/>
  <c r="I5881" i="58"/>
  <c r="J5881" i="58" s="1"/>
  <c r="O5881" i="58"/>
  <c r="P5881" i="58"/>
  <c r="H5882" i="58"/>
  <c r="I5882" i="58"/>
  <c r="O5882" i="58"/>
  <c r="P5882" i="58"/>
  <c r="H5883" i="58"/>
  <c r="I5883" i="58"/>
  <c r="O5883" i="58"/>
  <c r="P5883" i="58"/>
  <c r="H5884" i="58"/>
  <c r="I5884" i="58"/>
  <c r="J5884" i="58" s="1"/>
  <c r="O5884" i="58"/>
  <c r="P5884" i="58"/>
  <c r="H5885" i="58"/>
  <c r="I5885" i="58"/>
  <c r="O5885" i="58"/>
  <c r="P5885" i="58"/>
  <c r="H5886" i="58"/>
  <c r="I5886" i="58"/>
  <c r="O5886" i="58"/>
  <c r="P5886" i="58"/>
  <c r="H5887" i="58"/>
  <c r="I5887" i="58"/>
  <c r="K5887" i="58" s="1"/>
  <c r="L5887" i="58" s="1"/>
  <c r="O5887" i="58"/>
  <c r="P5887" i="58"/>
  <c r="H5888" i="58"/>
  <c r="I5888" i="58"/>
  <c r="K5888" i="58" s="1"/>
  <c r="L5888" i="58" s="1"/>
  <c r="O5888" i="58"/>
  <c r="P5888" i="58"/>
  <c r="H5889" i="58"/>
  <c r="I5889" i="58"/>
  <c r="O5889" i="58"/>
  <c r="P5889" i="58"/>
  <c r="H5890" i="58"/>
  <c r="I5890" i="58"/>
  <c r="J5890" i="58" s="1"/>
  <c r="O5890" i="58"/>
  <c r="P5890" i="58"/>
  <c r="H5891" i="58"/>
  <c r="I5891" i="58"/>
  <c r="K5891" i="58" s="1"/>
  <c r="L5891" i="58" s="1"/>
  <c r="O5891" i="58"/>
  <c r="P5891" i="58"/>
  <c r="H5892" i="58"/>
  <c r="I5892" i="58"/>
  <c r="K5892" i="58" s="1"/>
  <c r="L5892" i="58" s="1"/>
  <c r="O5892" i="58"/>
  <c r="P5892" i="58"/>
  <c r="H5893" i="58"/>
  <c r="I5893" i="58"/>
  <c r="J5893" i="58" s="1"/>
  <c r="O5893" i="58"/>
  <c r="P5893" i="58"/>
  <c r="H5894" i="58"/>
  <c r="I5894" i="58"/>
  <c r="O5894" i="58"/>
  <c r="P5894" i="58"/>
  <c r="H5895" i="58"/>
  <c r="I5895" i="58"/>
  <c r="J5895" i="58" s="1"/>
  <c r="O5895" i="58"/>
  <c r="P5895" i="58"/>
  <c r="H5896" i="58"/>
  <c r="I5896" i="58"/>
  <c r="J5896" i="58" s="1"/>
  <c r="O5896" i="58"/>
  <c r="P5896" i="58"/>
  <c r="H5897" i="58"/>
  <c r="I5897" i="58"/>
  <c r="J5897" i="58" s="1"/>
  <c r="O5897" i="58"/>
  <c r="P5897" i="58"/>
  <c r="H5898" i="58"/>
  <c r="I5898" i="58"/>
  <c r="J5898" i="58" s="1"/>
  <c r="O5898" i="58"/>
  <c r="P5898" i="58"/>
  <c r="H5899" i="58"/>
  <c r="I5899" i="58"/>
  <c r="J5899" i="58" s="1"/>
  <c r="O5899" i="58"/>
  <c r="P5899" i="58"/>
  <c r="H5900" i="58"/>
  <c r="I5900" i="58"/>
  <c r="O5900" i="58"/>
  <c r="P5900" i="58"/>
  <c r="H5901" i="58"/>
  <c r="I5901" i="58"/>
  <c r="J5901" i="58" s="1"/>
  <c r="O5901" i="58"/>
  <c r="P5901" i="58"/>
  <c r="H5902" i="58"/>
  <c r="I5902" i="58"/>
  <c r="K5902" i="58" s="1"/>
  <c r="L5902" i="58" s="1"/>
  <c r="O5902" i="58"/>
  <c r="P5902" i="58"/>
  <c r="H5903" i="58"/>
  <c r="I5903" i="58"/>
  <c r="J5903" i="58" s="1"/>
  <c r="O5903" i="58"/>
  <c r="P5903" i="58"/>
  <c r="H5904" i="58"/>
  <c r="I5904" i="58"/>
  <c r="O5904" i="58"/>
  <c r="P5904" i="58"/>
  <c r="H5905" i="58"/>
  <c r="I5905" i="58"/>
  <c r="K5905" i="58" s="1"/>
  <c r="L5905" i="58" s="1"/>
  <c r="O5905" i="58"/>
  <c r="P5905" i="58"/>
  <c r="H5906" i="58"/>
  <c r="I5906" i="58"/>
  <c r="K5906" i="58" s="1"/>
  <c r="L5906" i="58" s="1"/>
  <c r="O5906" i="58"/>
  <c r="P5906" i="58"/>
  <c r="H5907" i="58"/>
  <c r="I5907" i="58"/>
  <c r="O5907" i="58"/>
  <c r="P5907" i="58"/>
  <c r="H5908" i="58"/>
  <c r="I5908" i="58"/>
  <c r="O5908" i="58"/>
  <c r="P5908" i="58"/>
  <c r="H5909" i="58"/>
  <c r="I5909" i="58"/>
  <c r="J5909" i="58" s="1"/>
  <c r="O5909" i="58"/>
  <c r="P5909" i="58"/>
  <c r="H5910" i="58"/>
  <c r="I5910" i="58"/>
  <c r="O5910" i="58"/>
  <c r="P5910" i="58"/>
  <c r="H5911" i="58"/>
  <c r="I5911" i="58"/>
  <c r="J5911" i="58" s="1"/>
  <c r="O5911" i="58"/>
  <c r="P5911" i="58"/>
  <c r="H5912" i="58"/>
  <c r="I5912" i="58"/>
  <c r="J5912" i="58" s="1"/>
  <c r="O5912" i="58"/>
  <c r="P5912" i="58"/>
  <c r="H5913" i="58"/>
  <c r="I5913" i="58"/>
  <c r="O5913" i="58"/>
  <c r="P5913" i="58"/>
  <c r="H5914" i="58"/>
  <c r="I5914" i="58"/>
  <c r="O5914" i="58"/>
  <c r="P5914" i="58"/>
  <c r="H5915" i="58"/>
  <c r="I5915" i="58"/>
  <c r="J5915" i="58" s="1"/>
  <c r="O5915" i="58"/>
  <c r="P5915" i="58"/>
  <c r="H5916" i="58"/>
  <c r="I5916" i="58"/>
  <c r="J5916" i="58" s="1"/>
  <c r="O5916" i="58"/>
  <c r="P5916" i="58"/>
  <c r="H5917" i="58"/>
  <c r="I5917" i="58"/>
  <c r="O5917" i="58"/>
  <c r="P5917" i="58"/>
  <c r="H5918" i="58"/>
  <c r="I5918" i="58"/>
  <c r="J5918" i="58" s="1"/>
  <c r="O5918" i="58"/>
  <c r="P5918" i="58"/>
  <c r="H5919" i="58"/>
  <c r="I5919" i="58"/>
  <c r="O5919" i="58"/>
  <c r="P5919" i="58"/>
  <c r="H5920" i="58"/>
  <c r="I5920" i="58"/>
  <c r="O5920" i="58"/>
  <c r="P5920" i="58"/>
  <c r="H5921" i="58"/>
  <c r="I5921" i="58"/>
  <c r="O5921" i="58"/>
  <c r="P5921" i="58"/>
  <c r="H5922" i="58"/>
  <c r="I5922" i="58"/>
  <c r="J5922" i="58" s="1"/>
  <c r="O5922" i="58"/>
  <c r="P5922" i="58"/>
  <c r="H5923" i="58"/>
  <c r="I5923" i="58"/>
  <c r="J5923" i="58" s="1"/>
  <c r="O5923" i="58"/>
  <c r="P5923" i="58"/>
  <c r="H5924" i="58"/>
  <c r="I5924" i="58"/>
  <c r="J5924" i="58" s="1"/>
  <c r="O5924" i="58"/>
  <c r="P5924" i="58"/>
  <c r="H5925" i="58"/>
  <c r="I5925" i="58"/>
  <c r="O5925" i="58"/>
  <c r="P5925" i="58"/>
  <c r="H5926" i="58"/>
  <c r="I5926" i="58"/>
  <c r="J5926" i="58" s="1"/>
  <c r="O5926" i="58"/>
  <c r="P5926" i="58"/>
  <c r="H5927" i="58"/>
  <c r="I5927" i="58"/>
  <c r="K5927" i="58" s="1"/>
  <c r="L5927" i="58" s="1"/>
  <c r="O5927" i="58"/>
  <c r="P5927" i="58"/>
  <c r="H5928" i="58"/>
  <c r="I5928" i="58"/>
  <c r="O5928" i="58"/>
  <c r="P5928" i="58"/>
  <c r="H5929" i="58"/>
  <c r="I5929" i="58"/>
  <c r="O5929" i="58"/>
  <c r="P5929" i="58"/>
  <c r="H5930" i="58"/>
  <c r="I5930" i="58"/>
  <c r="O5930" i="58"/>
  <c r="P5930" i="58"/>
  <c r="H5931" i="58"/>
  <c r="I5931" i="58"/>
  <c r="K5931" i="58" s="1"/>
  <c r="L5931" i="58" s="1"/>
  <c r="O5931" i="58"/>
  <c r="P5931" i="58"/>
  <c r="H5932" i="58"/>
  <c r="I5932" i="58"/>
  <c r="O5932" i="58"/>
  <c r="P5932" i="58"/>
  <c r="H5933" i="58"/>
  <c r="I5933" i="58"/>
  <c r="K5933" i="58" s="1"/>
  <c r="L5933" i="58" s="1"/>
  <c r="O5933" i="58"/>
  <c r="P5933" i="58"/>
  <c r="H5934" i="58"/>
  <c r="I5934" i="58"/>
  <c r="J5934" i="58" s="1"/>
  <c r="O5934" i="58"/>
  <c r="P5934" i="58"/>
  <c r="H5935" i="58"/>
  <c r="I5935" i="58"/>
  <c r="O5935" i="58"/>
  <c r="P5935" i="58"/>
  <c r="H5936" i="58"/>
  <c r="I5936" i="58"/>
  <c r="O5936" i="58"/>
  <c r="P5936" i="58"/>
  <c r="H5937" i="58"/>
  <c r="I5937" i="58"/>
  <c r="O5937" i="58"/>
  <c r="P5937" i="58"/>
  <c r="H5938" i="58"/>
  <c r="I5938" i="58"/>
  <c r="K5938" i="58" s="1"/>
  <c r="L5938" i="58" s="1"/>
  <c r="O5938" i="58"/>
  <c r="P5938" i="58"/>
  <c r="H5939" i="58"/>
  <c r="I5939" i="58"/>
  <c r="K5939" i="58" s="1"/>
  <c r="L5939" i="58" s="1"/>
  <c r="O5939" i="58"/>
  <c r="P5939" i="58"/>
  <c r="H5940" i="58"/>
  <c r="I5940" i="58"/>
  <c r="O5940" i="58"/>
  <c r="P5940" i="58"/>
  <c r="H5941" i="58"/>
  <c r="I5941" i="58"/>
  <c r="J5941" i="58" s="1"/>
  <c r="O5941" i="58"/>
  <c r="P5941" i="58"/>
  <c r="H5942" i="58"/>
  <c r="I5942" i="58"/>
  <c r="K5942" i="58" s="1"/>
  <c r="L5942" i="58" s="1"/>
  <c r="O5942" i="58"/>
  <c r="P5942" i="58"/>
  <c r="H5943" i="58"/>
  <c r="I5943" i="58"/>
  <c r="K5943" i="58" s="1"/>
  <c r="L5943" i="58" s="1"/>
  <c r="O5943" i="58"/>
  <c r="P5943" i="58"/>
  <c r="H5944" i="58"/>
  <c r="I5944" i="58"/>
  <c r="O5944" i="58"/>
  <c r="P5944" i="58"/>
  <c r="H5945" i="58"/>
  <c r="I5945" i="58"/>
  <c r="K5945" i="58" s="1"/>
  <c r="L5945" i="58" s="1"/>
  <c r="O5945" i="58"/>
  <c r="P5945" i="58"/>
  <c r="H5946" i="58"/>
  <c r="I5946" i="58"/>
  <c r="K5946" i="58" s="1"/>
  <c r="L5946" i="58" s="1"/>
  <c r="O5946" i="58"/>
  <c r="P5946" i="58"/>
  <c r="H5947" i="58"/>
  <c r="I5947" i="58"/>
  <c r="K5947" i="58" s="1"/>
  <c r="L5947" i="58" s="1"/>
  <c r="O5947" i="58"/>
  <c r="P5947" i="58"/>
  <c r="H5948" i="58"/>
  <c r="I5948" i="58"/>
  <c r="J5948" i="58" s="1"/>
  <c r="O5948" i="58"/>
  <c r="P5948" i="58"/>
  <c r="H5949" i="58"/>
  <c r="I5949" i="58"/>
  <c r="K5949" i="58" s="1"/>
  <c r="L5949" i="58" s="1"/>
  <c r="O5949" i="58"/>
  <c r="P5949" i="58"/>
  <c r="H5950" i="58"/>
  <c r="I5950" i="58"/>
  <c r="K5950" i="58" s="1"/>
  <c r="L5950" i="58" s="1"/>
  <c r="O5950" i="58"/>
  <c r="P5950" i="58"/>
  <c r="H5951" i="58"/>
  <c r="I5951" i="58"/>
  <c r="O5951" i="58"/>
  <c r="P5951" i="58"/>
  <c r="H5952" i="58"/>
  <c r="I5952" i="58"/>
  <c r="K5952" i="58" s="1"/>
  <c r="L5952" i="58" s="1"/>
  <c r="O5952" i="58"/>
  <c r="P5952" i="58"/>
  <c r="H5953" i="58"/>
  <c r="I5953" i="58"/>
  <c r="J5953" i="58" s="1"/>
  <c r="O5953" i="58"/>
  <c r="P5953" i="58"/>
  <c r="H5954" i="58"/>
  <c r="I5954" i="58"/>
  <c r="O5954" i="58"/>
  <c r="P5954" i="58"/>
  <c r="H5955" i="58"/>
  <c r="I5955" i="58"/>
  <c r="K5955" i="58" s="1"/>
  <c r="L5955" i="58" s="1"/>
  <c r="O5955" i="58"/>
  <c r="P5955" i="58"/>
  <c r="H5956" i="58"/>
  <c r="I5956" i="58"/>
  <c r="K5956" i="58" s="1"/>
  <c r="L5956" i="58" s="1"/>
  <c r="O5956" i="58"/>
  <c r="P5956" i="58"/>
  <c r="H5957" i="58"/>
  <c r="I5957" i="58"/>
  <c r="O5957" i="58"/>
  <c r="P5957" i="58"/>
  <c r="H5958" i="58"/>
  <c r="I5958" i="58"/>
  <c r="O5958" i="58"/>
  <c r="P5958" i="58"/>
  <c r="H5959" i="58"/>
  <c r="I5959" i="58"/>
  <c r="K5959" i="58" s="1"/>
  <c r="L5959" i="58" s="1"/>
  <c r="O5959" i="58"/>
  <c r="P5959" i="58"/>
  <c r="H5960" i="58"/>
  <c r="I5960" i="58"/>
  <c r="J5960" i="58" s="1"/>
  <c r="O5960" i="58"/>
  <c r="P5960" i="58"/>
  <c r="H5961" i="58"/>
  <c r="I5961" i="58"/>
  <c r="O5961" i="58"/>
  <c r="P5961" i="58"/>
  <c r="H5962" i="58"/>
  <c r="I5962" i="58"/>
  <c r="K5962" i="58" s="1"/>
  <c r="L5962" i="58" s="1"/>
  <c r="O5962" i="58"/>
  <c r="P5962" i="58"/>
  <c r="H5963" i="58"/>
  <c r="I5963" i="58"/>
  <c r="O5963" i="58"/>
  <c r="P5963" i="58"/>
  <c r="H5964" i="58"/>
  <c r="I5964" i="58"/>
  <c r="K5964" i="58" s="1"/>
  <c r="L5964" i="58" s="1"/>
  <c r="O5964" i="58"/>
  <c r="P5964" i="58"/>
  <c r="H5965" i="58"/>
  <c r="I5965" i="58"/>
  <c r="O5965" i="58"/>
  <c r="P5965" i="58"/>
  <c r="H5966" i="58"/>
  <c r="I5966" i="58"/>
  <c r="O5966" i="58"/>
  <c r="P5966" i="58"/>
  <c r="H5967" i="58"/>
  <c r="I5967" i="58"/>
  <c r="J5967" i="58" s="1"/>
  <c r="O5967" i="58"/>
  <c r="P5967" i="58"/>
  <c r="H5968" i="58"/>
  <c r="I5968" i="58"/>
  <c r="K5968" i="58" s="1"/>
  <c r="L5968" i="58" s="1"/>
  <c r="O5968" i="58"/>
  <c r="P5968" i="58"/>
  <c r="H5969" i="58"/>
  <c r="I5969" i="58"/>
  <c r="O5969" i="58"/>
  <c r="P5969" i="58"/>
  <c r="H5970" i="58"/>
  <c r="I5970" i="58"/>
  <c r="K5970" i="58" s="1"/>
  <c r="L5970" i="58" s="1"/>
  <c r="O5970" i="58"/>
  <c r="P5970" i="58"/>
  <c r="H5971" i="58"/>
  <c r="I5971" i="58"/>
  <c r="O5971" i="58"/>
  <c r="P5971" i="58"/>
  <c r="H5972" i="58"/>
  <c r="I5972" i="58"/>
  <c r="O5972" i="58"/>
  <c r="P5972" i="58"/>
  <c r="H5973" i="58"/>
  <c r="I5973" i="58"/>
  <c r="J5973" i="58" s="1"/>
  <c r="O5973" i="58"/>
  <c r="P5973" i="58"/>
  <c r="H5974" i="58"/>
  <c r="I5974" i="58"/>
  <c r="K5974" i="58" s="1"/>
  <c r="L5974" i="58" s="1"/>
  <c r="O5974" i="58"/>
  <c r="P5974" i="58"/>
  <c r="H5975" i="58"/>
  <c r="I5975" i="58"/>
  <c r="K5975" i="58" s="1"/>
  <c r="L5975" i="58" s="1"/>
  <c r="O5975" i="58"/>
  <c r="P5975" i="58"/>
  <c r="H5976" i="58"/>
  <c r="I5976" i="58"/>
  <c r="O5976" i="58"/>
  <c r="P5976" i="58"/>
  <c r="H5977" i="58"/>
  <c r="I5977" i="58"/>
  <c r="K5977" i="58" s="1"/>
  <c r="L5977" i="58" s="1"/>
  <c r="O5977" i="58"/>
  <c r="P5977" i="58"/>
  <c r="H5978" i="58"/>
  <c r="I5978" i="58"/>
  <c r="O5978" i="58"/>
  <c r="P5978" i="58"/>
  <c r="H5979" i="58"/>
  <c r="I5979" i="58"/>
  <c r="O5979" i="58"/>
  <c r="P5979" i="58"/>
  <c r="H5980" i="58"/>
  <c r="I5980" i="58"/>
  <c r="J5980" i="58" s="1"/>
  <c r="O5980" i="58"/>
  <c r="P5980" i="58"/>
  <c r="H5981" i="58"/>
  <c r="I5981" i="58"/>
  <c r="K5981" i="58" s="1"/>
  <c r="L5981" i="58" s="1"/>
  <c r="O5981" i="58"/>
  <c r="P5981" i="58"/>
  <c r="H5982" i="58"/>
  <c r="I5982" i="58"/>
  <c r="O5982" i="58"/>
  <c r="P5982" i="58"/>
  <c r="H5983" i="58"/>
  <c r="I5983" i="58"/>
  <c r="J5983" i="58" s="1"/>
  <c r="O5983" i="58"/>
  <c r="P5983" i="58"/>
  <c r="H5984" i="58"/>
  <c r="I5984" i="58"/>
  <c r="K5984" i="58" s="1"/>
  <c r="L5984" i="58" s="1"/>
  <c r="O5984" i="58"/>
  <c r="P5984" i="58"/>
  <c r="H5985" i="58"/>
  <c r="I5985" i="58"/>
  <c r="O5985" i="58"/>
  <c r="P5985" i="58"/>
  <c r="H5986" i="58"/>
  <c r="I5986" i="58"/>
  <c r="O5986" i="58"/>
  <c r="P5986" i="58"/>
  <c r="H5987" i="58"/>
  <c r="I5987" i="58"/>
  <c r="J5987" i="58" s="1"/>
  <c r="O5987" i="58"/>
  <c r="P5987" i="58"/>
  <c r="G5988" i="58"/>
  <c r="H5988" i="58"/>
  <c r="I5988" i="58"/>
  <c r="J5988" i="58" s="1"/>
  <c r="O5988" i="58"/>
  <c r="P5988" i="58"/>
  <c r="G5989" i="58"/>
  <c r="H5989" i="58"/>
  <c r="I5989" i="58"/>
  <c r="K5989" i="58" s="1"/>
  <c r="L5989" i="58" s="1"/>
  <c r="O5989" i="58"/>
  <c r="P5989" i="58"/>
  <c r="G5990" i="58"/>
  <c r="H5990" i="58"/>
  <c r="I5990" i="58"/>
  <c r="J5990" i="58" s="1"/>
  <c r="O5990" i="58"/>
  <c r="P5990" i="58"/>
  <c r="H5991" i="58"/>
  <c r="I5991" i="58"/>
  <c r="J5991" i="58" s="1"/>
  <c r="O5991" i="58"/>
  <c r="P5991" i="58"/>
  <c r="H5992" i="58"/>
  <c r="I5992" i="58"/>
  <c r="K5992" i="58" s="1"/>
  <c r="L5992" i="58" s="1"/>
  <c r="O5992" i="58"/>
  <c r="P5992" i="58"/>
  <c r="H5993" i="58"/>
  <c r="I5993" i="58"/>
  <c r="O5993" i="58"/>
  <c r="P5993" i="58"/>
  <c r="H5994" i="58"/>
  <c r="I5994" i="58"/>
  <c r="O5994" i="58"/>
  <c r="P5994" i="58"/>
  <c r="H5995" i="58"/>
  <c r="I5995" i="58"/>
  <c r="O5995" i="58"/>
  <c r="P5995" i="58"/>
  <c r="H5996" i="58"/>
  <c r="I5996" i="58"/>
  <c r="J5996" i="58" s="1"/>
  <c r="O5996" i="58"/>
  <c r="P5996" i="58"/>
  <c r="H5997" i="58"/>
  <c r="I5997" i="58"/>
  <c r="J5997" i="58" s="1"/>
  <c r="O5997" i="58"/>
  <c r="P5997" i="58"/>
  <c r="H5998" i="58"/>
  <c r="I5998" i="58"/>
  <c r="O5998" i="58"/>
  <c r="P5998" i="58"/>
  <c r="H5999" i="58"/>
  <c r="I5999" i="58"/>
  <c r="J5999" i="58" s="1"/>
  <c r="O5999" i="58"/>
  <c r="P5999" i="58"/>
  <c r="H6000" i="58"/>
  <c r="I6000" i="58"/>
  <c r="O6000" i="58"/>
  <c r="P6000" i="58"/>
  <c r="H6001" i="58"/>
  <c r="I6001" i="58"/>
  <c r="O6001" i="58"/>
  <c r="P6001" i="58"/>
  <c r="H6002" i="58"/>
  <c r="I6002" i="58"/>
  <c r="O6002" i="58"/>
  <c r="P6002" i="58"/>
  <c r="H6003" i="58"/>
  <c r="I6003" i="58"/>
  <c r="J6003" i="58" s="1"/>
  <c r="O6003" i="58"/>
  <c r="P6003" i="58"/>
  <c r="H6004" i="58"/>
  <c r="I6004" i="58"/>
  <c r="O6004" i="58"/>
  <c r="P6004" i="58"/>
  <c r="H6005" i="58"/>
  <c r="I6005" i="58"/>
  <c r="J6005" i="58" s="1"/>
  <c r="O6005" i="58"/>
  <c r="P6005" i="58"/>
  <c r="H6006" i="58"/>
  <c r="I6006" i="58"/>
  <c r="O6006" i="58"/>
  <c r="P6006" i="58"/>
  <c r="H6007" i="58"/>
  <c r="I6007" i="58"/>
  <c r="O6007" i="58"/>
  <c r="P6007" i="58"/>
  <c r="H6008" i="58"/>
  <c r="I6008" i="58"/>
  <c r="J6008" i="58" s="1"/>
  <c r="O6008" i="58"/>
  <c r="P6008" i="58"/>
  <c r="H6009" i="58"/>
  <c r="I6009" i="58"/>
  <c r="K6009" i="58" s="1"/>
  <c r="L6009" i="58" s="1"/>
  <c r="O6009" i="58"/>
  <c r="P6009" i="58"/>
  <c r="H6010" i="58"/>
  <c r="I6010" i="58"/>
  <c r="J6010" i="58" s="1"/>
  <c r="O6010" i="58"/>
  <c r="P6010" i="58"/>
  <c r="H6011" i="58"/>
  <c r="I6011" i="58"/>
  <c r="K6011" i="58" s="1"/>
  <c r="L6011" i="58" s="1"/>
  <c r="O6011" i="58"/>
  <c r="P6011" i="58"/>
  <c r="H6012" i="58"/>
  <c r="I6012" i="58"/>
  <c r="O6012" i="58"/>
  <c r="P6012" i="58"/>
  <c r="H6013" i="58"/>
  <c r="I6013" i="58"/>
  <c r="O6013" i="58"/>
  <c r="P6013" i="58"/>
  <c r="H6014" i="58"/>
  <c r="I6014" i="58"/>
  <c r="J6014" i="58" s="1"/>
  <c r="O6014" i="58"/>
  <c r="P6014" i="58"/>
  <c r="H6015" i="58"/>
  <c r="I6015" i="58"/>
  <c r="J6015" i="58" s="1"/>
  <c r="O6015" i="58"/>
  <c r="P6015" i="58"/>
  <c r="H6016" i="58"/>
  <c r="I6016" i="58"/>
  <c r="O6016" i="58"/>
  <c r="P6016" i="58"/>
  <c r="H6017" i="58"/>
  <c r="I6017" i="58"/>
  <c r="J6017" i="58" s="1"/>
  <c r="O6017" i="58"/>
  <c r="P6017" i="58"/>
  <c r="H6018" i="58"/>
  <c r="I6018" i="58"/>
  <c r="K6018" i="58" s="1"/>
  <c r="L6018" i="58" s="1"/>
  <c r="O6018" i="58"/>
  <c r="P6018" i="58"/>
  <c r="H6019" i="58"/>
  <c r="I6019" i="58"/>
  <c r="J6019" i="58" s="1"/>
  <c r="O6019" i="58"/>
  <c r="P6019" i="58"/>
  <c r="H6020" i="58"/>
  <c r="I6020" i="58"/>
  <c r="K6020" i="58" s="1"/>
  <c r="L6020" i="58" s="1"/>
  <c r="O6020" i="58"/>
  <c r="P6020" i="58"/>
  <c r="H6021" i="58"/>
  <c r="I6021" i="58"/>
  <c r="O6021" i="58"/>
  <c r="P6021" i="58"/>
  <c r="H6022" i="58"/>
  <c r="I6022" i="58"/>
  <c r="J6022" i="58" s="1"/>
  <c r="O6022" i="58"/>
  <c r="P6022" i="58"/>
  <c r="H6023" i="58"/>
  <c r="I6023" i="58"/>
  <c r="O6023" i="58"/>
  <c r="P6023" i="58"/>
  <c r="H6024" i="58"/>
  <c r="I6024" i="58"/>
  <c r="J6024" i="58" s="1"/>
  <c r="O6024" i="58"/>
  <c r="P6024" i="58"/>
  <c r="H6025" i="58"/>
  <c r="I6025" i="58"/>
  <c r="O6025" i="58"/>
  <c r="P6025" i="58"/>
  <c r="H6026" i="58"/>
  <c r="I6026" i="58"/>
  <c r="K6026" i="58" s="1"/>
  <c r="L6026" i="58" s="1"/>
  <c r="O6026" i="58"/>
  <c r="P6026" i="58"/>
  <c r="H6027" i="58"/>
  <c r="I6027" i="58"/>
  <c r="O6027" i="58"/>
  <c r="P6027" i="58"/>
  <c r="H6028" i="58"/>
  <c r="I6028" i="58"/>
  <c r="J6028" i="58" s="1"/>
  <c r="O6028" i="58"/>
  <c r="P6028" i="58"/>
  <c r="H6029" i="58"/>
  <c r="I6029" i="58"/>
  <c r="K6029" i="58" s="1"/>
  <c r="L6029" i="58" s="1"/>
  <c r="O6029" i="58"/>
  <c r="P6029" i="58"/>
  <c r="H6030" i="58"/>
  <c r="I6030" i="58"/>
  <c r="J6030" i="58" s="1"/>
  <c r="O6030" i="58"/>
  <c r="P6030" i="58"/>
  <c r="H6031" i="58"/>
  <c r="I6031" i="58"/>
  <c r="K6031" i="58" s="1"/>
  <c r="L6031" i="58" s="1"/>
  <c r="O6031" i="58"/>
  <c r="P6031" i="58"/>
  <c r="H6032" i="58"/>
  <c r="I6032" i="58"/>
  <c r="O6032" i="58"/>
  <c r="P6032" i="58"/>
  <c r="H6033" i="58"/>
  <c r="I6033" i="58"/>
  <c r="K6033" i="58" s="1"/>
  <c r="L6033" i="58" s="1"/>
  <c r="O6033" i="58"/>
  <c r="P6033" i="58"/>
  <c r="H6034" i="58"/>
  <c r="I6034" i="58"/>
  <c r="J6034" i="58" s="1"/>
  <c r="O6034" i="58"/>
  <c r="P6034" i="58"/>
  <c r="H6035" i="58"/>
  <c r="I6035" i="58"/>
  <c r="O6035" i="58"/>
  <c r="P6035" i="58"/>
  <c r="H6036" i="58"/>
  <c r="I6036" i="58"/>
  <c r="O6036" i="58"/>
  <c r="P6036" i="58"/>
  <c r="H6037" i="58"/>
  <c r="I6037" i="58"/>
  <c r="J6037" i="58" s="1"/>
  <c r="O6037" i="58"/>
  <c r="P6037" i="58"/>
  <c r="H6038" i="58"/>
  <c r="I6038" i="58"/>
  <c r="J6038" i="58" s="1"/>
  <c r="O6038" i="58"/>
  <c r="P6038" i="58"/>
  <c r="H6039" i="58"/>
  <c r="I6039" i="58"/>
  <c r="J6039" i="58" s="1"/>
  <c r="O6039" i="58"/>
  <c r="P6039" i="58"/>
  <c r="H6040" i="58"/>
  <c r="I6040" i="58"/>
  <c r="J6040" i="58" s="1"/>
  <c r="O6040" i="58"/>
  <c r="P6040" i="58"/>
  <c r="H6041" i="58"/>
  <c r="I6041" i="58"/>
  <c r="J6041" i="58" s="1"/>
  <c r="O6041" i="58"/>
  <c r="P6041" i="58"/>
  <c r="H6042" i="58"/>
  <c r="I6042" i="58"/>
  <c r="J6042" i="58" s="1"/>
  <c r="O6042" i="58"/>
  <c r="P6042" i="58"/>
  <c r="H6043" i="58"/>
  <c r="I6043" i="58"/>
  <c r="J6043" i="58" s="1"/>
  <c r="O6043" i="58"/>
  <c r="P6043" i="58"/>
  <c r="H6044" i="58"/>
  <c r="I6044" i="58"/>
  <c r="O6044" i="58"/>
  <c r="P6044" i="58"/>
  <c r="H6045" i="58"/>
  <c r="I6045" i="58"/>
  <c r="J6045" i="58" s="1"/>
  <c r="O6045" i="58"/>
  <c r="P6045" i="58"/>
  <c r="H6046" i="58"/>
  <c r="I6046" i="58"/>
  <c r="J6046" i="58" s="1"/>
  <c r="O6046" i="58"/>
  <c r="P6046" i="58"/>
  <c r="H6047" i="58"/>
  <c r="I6047" i="58"/>
  <c r="K6047" i="58" s="1"/>
  <c r="L6047" i="58" s="1"/>
  <c r="O6047" i="58"/>
  <c r="P6047" i="58"/>
  <c r="H6048" i="58"/>
  <c r="I6048" i="58"/>
  <c r="J6048" i="58" s="1"/>
  <c r="O6048" i="58"/>
  <c r="P6048" i="58"/>
  <c r="H6049" i="58"/>
  <c r="I6049" i="58"/>
  <c r="K6049" i="58" s="1"/>
  <c r="L6049" i="58" s="1"/>
  <c r="O6049" i="58"/>
  <c r="P6049" i="58"/>
  <c r="H6050" i="58"/>
  <c r="I6050" i="58"/>
  <c r="O6050" i="58"/>
  <c r="P6050" i="58"/>
  <c r="H6051" i="58"/>
  <c r="I6051" i="58"/>
  <c r="O6051" i="58"/>
  <c r="P6051" i="58"/>
  <c r="H6052" i="58"/>
  <c r="I6052" i="58"/>
  <c r="O6052" i="58"/>
  <c r="P6052" i="58"/>
  <c r="H6053" i="58"/>
  <c r="I6053" i="58"/>
  <c r="J6053" i="58" s="1"/>
  <c r="O6053" i="58"/>
  <c r="P6053" i="58"/>
  <c r="H6054" i="58"/>
  <c r="I6054" i="58"/>
  <c r="K6054" i="58" s="1"/>
  <c r="L6054" i="58" s="1"/>
  <c r="O6054" i="58"/>
  <c r="P6054" i="58"/>
  <c r="H6055" i="58"/>
  <c r="I6055" i="58"/>
  <c r="O6055" i="58"/>
  <c r="P6055" i="58"/>
  <c r="H6056" i="58"/>
  <c r="I6056" i="58"/>
  <c r="J6056" i="58" s="1"/>
  <c r="O6056" i="58"/>
  <c r="P6056" i="58"/>
  <c r="H6057" i="58"/>
  <c r="I6057" i="58"/>
  <c r="J6057" i="58" s="1"/>
  <c r="O6057" i="58"/>
  <c r="P6057" i="58"/>
  <c r="H6058" i="58"/>
  <c r="I6058" i="58"/>
  <c r="O6058" i="58"/>
  <c r="P6058" i="58"/>
  <c r="H6059" i="58"/>
  <c r="I6059" i="58"/>
  <c r="O6059" i="58"/>
  <c r="P6059" i="58"/>
  <c r="H6060" i="58"/>
  <c r="I6060" i="58"/>
  <c r="O6060" i="58"/>
  <c r="P6060" i="58"/>
  <c r="H6061" i="58"/>
  <c r="I6061" i="58"/>
  <c r="K6061" i="58" s="1"/>
  <c r="L6061" i="58" s="1"/>
  <c r="O6061" i="58"/>
  <c r="P6061" i="58"/>
  <c r="H6062" i="58"/>
  <c r="I6062" i="58"/>
  <c r="J6062" i="58" s="1"/>
  <c r="O6062" i="58"/>
  <c r="P6062" i="58"/>
  <c r="H6063" i="58"/>
  <c r="I6063" i="58"/>
  <c r="O6063" i="58"/>
  <c r="P6063" i="58"/>
  <c r="H6064" i="58"/>
  <c r="I6064" i="58"/>
  <c r="O6064" i="58"/>
  <c r="P6064" i="58"/>
  <c r="H6065" i="58"/>
  <c r="I6065" i="58"/>
  <c r="K6065" i="58" s="1"/>
  <c r="L6065" i="58" s="1"/>
  <c r="O6065" i="58"/>
  <c r="P6065" i="58"/>
  <c r="H6066" i="58"/>
  <c r="I6066" i="58"/>
  <c r="J6066" i="58" s="1"/>
  <c r="O6066" i="58"/>
  <c r="P6066" i="58"/>
  <c r="H6067" i="58"/>
  <c r="I6067" i="58"/>
  <c r="K6067" i="58" s="1"/>
  <c r="L6067" i="58" s="1"/>
  <c r="O6067" i="58"/>
  <c r="P6067" i="58"/>
  <c r="H6068" i="58"/>
  <c r="I6068" i="58"/>
  <c r="O6068" i="58"/>
  <c r="P6068" i="58"/>
  <c r="H6069" i="58"/>
  <c r="I6069" i="58"/>
  <c r="J6069" i="58" s="1"/>
  <c r="O6069" i="58"/>
  <c r="P6069" i="58"/>
  <c r="H6070" i="58"/>
  <c r="I6070" i="58"/>
  <c r="J6070" i="58" s="1"/>
  <c r="O6070" i="58"/>
  <c r="P6070" i="58"/>
  <c r="H6071" i="58"/>
  <c r="I6071" i="58"/>
  <c r="J6071" i="58" s="1"/>
  <c r="O6071" i="58"/>
  <c r="P6071" i="58"/>
  <c r="H6072" i="58"/>
  <c r="I6072" i="58"/>
  <c r="J6072" i="58" s="1"/>
  <c r="O6072" i="58"/>
  <c r="P6072" i="58"/>
  <c r="H6073" i="58"/>
  <c r="I6073" i="58"/>
  <c r="O6073" i="58"/>
  <c r="P6073" i="58"/>
  <c r="H6074" i="58"/>
  <c r="I6074" i="58"/>
  <c r="O6074" i="58"/>
  <c r="P6074" i="58"/>
  <c r="H6075" i="58"/>
  <c r="I6075" i="58"/>
  <c r="O6075" i="58"/>
  <c r="P6075" i="58"/>
  <c r="H6076" i="58"/>
  <c r="I6076" i="58"/>
  <c r="O6076" i="58"/>
  <c r="P6076" i="58"/>
  <c r="H6077" i="58"/>
  <c r="I6077" i="58"/>
  <c r="O6077" i="58"/>
  <c r="P6077" i="58"/>
  <c r="H6078" i="58"/>
  <c r="I6078" i="58"/>
  <c r="K6078" i="58" s="1"/>
  <c r="L6078" i="58" s="1"/>
  <c r="O6078" i="58"/>
  <c r="P6078" i="58"/>
  <c r="H6079" i="58"/>
  <c r="I6079" i="58"/>
  <c r="O6079" i="58"/>
  <c r="P6079" i="58"/>
  <c r="H6080" i="58"/>
  <c r="I6080" i="58"/>
  <c r="K6080" i="58" s="1"/>
  <c r="L6080" i="58" s="1"/>
  <c r="O6080" i="58"/>
  <c r="P6080" i="58"/>
  <c r="H6081" i="58"/>
  <c r="I6081" i="58"/>
  <c r="O6081" i="58"/>
  <c r="P6081" i="58"/>
  <c r="H6082" i="58"/>
  <c r="I6082" i="58"/>
  <c r="O6082" i="58"/>
  <c r="P6082" i="58"/>
  <c r="H6083" i="58"/>
  <c r="I6083" i="58"/>
  <c r="J6083" i="58" s="1"/>
  <c r="O6083" i="58"/>
  <c r="P6083" i="58"/>
  <c r="H6084" i="58"/>
  <c r="I6084" i="58"/>
  <c r="K6084" i="58" s="1"/>
  <c r="L6084" i="58" s="1"/>
  <c r="O6084" i="58"/>
  <c r="P6084" i="58"/>
  <c r="H6085" i="58"/>
  <c r="I6085" i="58"/>
  <c r="J6085" i="58" s="1"/>
  <c r="O6085" i="58"/>
  <c r="P6085" i="58"/>
  <c r="H6086" i="58"/>
  <c r="I6086" i="58"/>
  <c r="O6086" i="58"/>
  <c r="P6086" i="58"/>
  <c r="H6087" i="58"/>
  <c r="I6087" i="58"/>
  <c r="K6087" i="58" s="1"/>
  <c r="L6087" i="58" s="1"/>
  <c r="O6087" i="58"/>
  <c r="P6087" i="58"/>
  <c r="H6088" i="58"/>
  <c r="I6088" i="58"/>
  <c r="J6088" i="58" s="1"/>
  <c r="O6088" i="58"/>
  <c r="P6088" i="58"/>
  <c r="H6089" i="58"/>
  <c r="I6089" i="58"/>
  <c r="K6089" i="58" s="1"/>
  <c r="L6089" i="58" s="1"/>
  <c r="O6089" i="58"/>
  <c r="P6089" i="58"/>
  <c r="H6090" i="58"/>
  <c r="I6090" i="58"/>
  <c r="J6090" i="58" s="1"/>
  <c r="O6090" i="58"/>
  <c r="P6090" i="58"/>
  <c r="H6091" i="58"/>
  <c r="I6091" i="58"/>
  <c r="K6091" i="58" s="1"/>
  <c r="L6091" i="58" s="1"/>
  <c r="O6091" i="58"/>
  <c r="P6091" i="58"/>
  <c r="H6092" i="58"/>
  <c r="I6092" i="58"/>
  <c r="K6092" i="58" s="1"/>
  <c r="L6092" i="58" s="1"/>
  <c r="O6092" i="58"/>
  <c r="P6092" i="58"/>
  <c r="H6093" i="58"/>
  <c r="I6093" i="58"/>
  <c r="O6093" i="58"/>
  <c r="P6093" i="58"/>
  <c r="H6094" i="58"/>
  <c r="I6094" i="58"/>
  <c r="O6094" i="58"/>
  <c r="P6094" i="58"/>
  <c r="H6095" i="58"/>
  <c r="I6095" i="58"/>
  <c r="J6095" i="58" s="1"/>
  <c r="O6095" i="58"/>
  <c r="P6095" i="58"/>
  <c r="H6096" i="58"/>
  <c r="I6096" i="58"/>
  <c r="K6096" i="58" s="1"/>
  <c r="L6096" i="58" s="1"/>
  <c r="O6096" i="58"/>
  <c r="P6096" i="58"/>
  <c r="H6097" i="58"/>
  <c r="I6097" i="58"/>
  <c r="J6097" i="58" s="1"/>
  <c r="O6097" i="58"/>
  <c r="P6097" i="58"/>
  <c r="H6098" i="58"/>
  <c r="I6098" i="58"/>
  <c r="J6098" i="58" s="1"/>
  <c r="O6098" i="58"/>
  <c r="P6098" i="58"/>
  <c r="H6099" i="58"/>
  <c r="I6099" i="58"/>
  <c r="J6099" i="58" s="1"/>
  <c r="O6099" i="58"/>
  <c r="P6099" i="58"/>
  <c r="H6100" i="58"/>
  <c r="I6100" i="58"/>
  <c r="K6100" i="58" s="1"/>
  <c r="L6100" i="58" s="1"/>
  <c r="O6100" i="58"/>
  <c r="P6100" i="58"/>
  <c r="H6101" i="58"/>
  <c r="I6101" i="58"/>
  <c r="J6101" i="58" s="1"/>
  <c r="O6101" i="58"/>
  <c r="P6101" i="58"/>
  <c r="H6102" i="58"/>
  <c r="I6102" i="58"/>
  <c r="J6102" i="58" s="1"/>
  <c r="O6102" i="58"/>
  <c r="P6102" i="58"/>
  <c r="H6103" i="58"/>
  <c r="I6103" i="58"/>
  <c r="K6103" i="58" s="1"/>
  <c r="L6103" i="58" s="1"/>
  <c r="O6103" i="58"/>
  <c r="P6103" i="58"/>
  <c r="H6104" i="58"/>
  <c r="I6104" i="58"/>
  <c r="K6104" i="58" s="1"/>
  <c r="L6104" i="58" s="1"/>
  <c r="O6104" i="58"/>
  <c r="P6104" i="58"/>
  <c r="H6105" i="58"/>
  <c r="I6105" i="58"/>
  <c r="O6105" i="58"/>
  <c r="P6105" i="58"/>
  <c r="H6106" i="58"/>
  <c r="I6106" i="58"/>
  <c r="O6106" i="58"/>
  <c r="P6106" i="58"/>
  <c r="H6107" i="58"/>
  <c r="I6107" i="58"/>
  <c r="O6107" i="58"/>
  <c r="P6107" i="58"/>
  <c r="H6108" i="58"/>
  <c r="I6108" i="58"/>
  <c r="K6108" i="58" s="1"/>
  <c r="L6108" i="58" s="1"/>
  <c r="O6108" i="58"/>
  <c r="P6108" i="58"/>
  <c r="H6109" i="58"/>
  <c r="I6109" i="58"/>
  <c r="K6109" i="58" s="1"/>
  <c r="L6109" i="58" s="1"/>
  <c r="O6109" i="58"/>
  <c r="P6109" i="58"/>
  <c r="H6110" i="58"/>
  <c r="I6110" i="58"/>
  <c r="K6110" i="58" s="1"/>
  <c r="L6110" i="58" s="1"/>
  <c r="O6110" i="58"/>
  <c r="P6110" i="58"/>
  <c r="H6111" i="58"/>
  <c r="I6111" i="58"/>
  <c r="J6111" i="58" s="1"/>
  <c r="O6111" i="58"/>
  <c r="P6111" i="58"/>
  <c r="H6112" i="58"/>
  <c r="I6112" i="58"/>
  <c r="O6112" i="58"/>
  <c r="P6112" i="58"/>
  <c r="H6113" i="58"/>
  <c r="I6113" i="58"/>
  <c r="K6113" i="58" s="1"/>
  <c r="L6113" i="58" s="1"/>
  <c r="O6113" i="58"/>
  <c r="P6113" i="58"/>
  <c r="H6114" i="58"/>
  <c r="I6114" i="58"/>
  <c r="K6114" i="58" s="1"/>
  <c r="L6114" i="58" s="1"/>
  <c r="O6114" i="58"/>
  <c r="P6114" i="58"/>
  <c r="H6115" i="58"/>
  <c r="I6115" i="58"/>
  <c r="J6115" i="58" s="1"/>
  <c r="O6115" i="58"/>
  <c r="P6115" i="58"/>
  <c r="H6116" i="58"/>
  <c r="I6116" i="58"/>
  <c r="K6116" i="58" s="1"/>
  <c r="L6116" i="58" s="1"/>
  <c r="O6116" i="58"/>
  <c r="P6116" i="58"/>
  <c r="H6117" i="58"/>
  <c r="I6117" i="58"/>
  <c r="O6117" i="58"/>
  <c r="P6117" i="58"/>
  <c r="H6118" i="58"/>
  <c r="I6118" i="58"/>
  <c r="J6118" i="58" s="1"/>
  <c r="O6118" i="58"/>
  <c r="P6118" i="58"/>
  <c r="H6119" i="58"/>
  <c r="I6119" i="58"/>
  <c r="J6119" i="58" s="1"/>
  <c r="O6119" i="58"/>
  <c r="P6119" i="58"/>
  <c r="H6120" i="58"/>
  <c r="I6120" i="58"/>
  <c r="O6120" i="58"/>
  <c r="P6120" i="58"/>
  <c r="H6121" i="58"/>
  <c r="I6121" i="58"/>
  <c r="K6121" i="58" s="1"/>
  <c r="L6121" i="58" s="1"/>
  <c r="O6121" i="58"/>
  <c r="P6121" i="58"/>
  <c r="H6122" i="58"/>
  <c r="I6122" i="58"/>
  <c r="K6122" i="58" s="1"/>
  <c r="L6122" i="58" s="1"/>
  <c r="O6122" i="58"/>
  <c r="P6122" i="58"/>
  <c r="H6123" i="58"/>
  <c r="I6123" i="58"/>
  <c r="J6123" i="58" s="1"/>
  <c r="O6123" i="58"/>
  <c r="P6123" i="58"/>
  <c r="H6124" i="58"/>
  <c r="I6124" i="58"/>
  <c r="K6124" i="58" s="1"/>
  <c r="L6124" i="58" s="1"/>
  <c r="O6124" i="58"/>
  <c r="P6124" i="58"/>
  <c r="H6125" i="58"/>
  <c r="I6125" i="58"/>
  <c r="O6125" i="58"/>
  <c r="P6125" i="58"/>
  <c r="H6126" i="58"/>
  <c r="I6126" i="58"/>
  <c r="K6126" i="58" s="1"/>
  <c r="L6126" i="58" s="1"/>
  <c r="O6126" i="58"/>
  <c r="P6126" i="58"/>
  <c r="H6127" i="58"/>
  <c r="I6127" i="58"/>
  <c r="O6127" i="58"/>
  <c r="P6127" i="58"/>
  <c r="H6128" i="58"/>
  <c r="I6128" i="58"/>
  <c r="J6128" i="58" s="1"/>
  <c r="O6128" i="58"/>
  <c r="P6128" i="58"/>
  <c r="H6129" i="58"/>
  <c r="I6129" i="58"/>
  <c r="O6129" i="58"/>
  <c r="P6129" i="58"/>
  <c r="H6130" i="58"/>
  <c r="I6130" i="58"/>
  <c r="O6130" i="58"/>
  <c r="P6130" i="58"/>
  <c r="H6131" i="58"/>
  <c r="I6131" i="58"/>
  <c r="O6131" i="58"/>
  <c r="P6131" i="58"/>
  <c r="H6132" i="58"/>
  <c r="I6132" i="58"/>
  <c r="J6132" i="58" s="1"/>
  <c r="O6132" i="58"/>
  <c r="P6132" i="58"/>
  <c r="H6133" i="58"/>
  <c r="I6133" i="58"/>
  <c r="K6133" i="58" s="1"/>
  <c r="L6133" i="58" s="1"/>
  <c r="O6133" i="58"/>
  <c r="P6133" i="58"/>
  <c r="H6134" i="58"/>
  <c r="I6134" i="58"/>
  <c r="K6134" i="58" s="1"/>
  <c r="L6134" i="58" s="1"/>
  <c r="O6134" i="58"/>
  <c r="P6134" i="58"/>
  <c r="H6135" i="58"/>
  <c r="I6135" i="58"/>
  <c r="O6135" i="58"/>
  <c r="P6135" i="58"/>
  <c r="H6136" i="58"/>
  <c r="I6136" i="58"/>
  <c r="O6136" i="58"/>
  <c r="P6136" i="58"/>
  <c r="H6137" i="58"/>
  <c r="I6137" i="58"/>
  <c r="J6137" i="58" s="1"/>
  <c r="O6137" i="58"/>
  <c r="P6137" i="58"/>
  <c r="H6138" i="58"/>
  <c r="I6138" i="58"/>
  <c r="K6138" i="58" s="1"/>
  <c r="L6138" i="58" s="1"/>
  <c r="O6138" i="58"/>
  <c r="P6138" i="58"/>
  <c r="H6139" i="58"/>
  <c r="I6139" i="58"/>
  <c r="K6139" i="58" s="1"/>
  <c r="L6139" i="58" s="1"/>
  <c r="O6139" i="58"/>
  <c r="P6139" i="58"/>
  <c r="H6140" i="58"/>
  <c r="I6140" i="58"/>
  <c r="K6140" i="58" s="1"/>
  <c r="L6140" i="58" s="1"/>
  <c r="O6140" i="58"/>
  <c r="P6140" i="58"/>
  <c r="H6141" i="58"/>
  <c r="I6141" i="58"/>
  <c r="O6141" i="58"/>
  <c r="P6141" i="58"/>
  <c r="H6142" i="58"/>
  <c r="I6142" i="58"/>
  <c r="O6142" i="58"/>
  <c r="P6142" i="58"/>
  <c r="H6143" i="58"/>
  <c r="I6143" i="58"/>
  <c r="O6143" i="58"/>
  <c r="P6143" i="58"/>
  <c r="H6144" i="58"/>
  <c r="I6144" i="58"/>
  <c r="J6144" i="58" s="1"/>
  <c r="O6144" i="58"/>
  <c r="P6144" i="58"/>
  <c r="H6145" i="58"/>
  <c r="I6145" i="58"/>
  <c r="O6145" i="58"/>
  <c r="P6145" i="58"/>
  <c r="H6146" i="58"/>
  <c r="I6146" i="58"/>
  <c r="O6146" i="58"/>
  <c r="P6146" i="58"/>
  <c r="H6147" i="58"/>
  <c r="I6147" i="58"/>
  <c r="J6147" i="58" s="1"/>
  <c r="O6147" i="58"/>
  <c r="P6147" i="58"/>
  <c r="H6148" i="58"/>
  <c r="I6148" i="58"/>
  <c r="K6148" i="58" s="1"/>
  <c r="L6148" i="58" s="1"/>
  <c r="O6148" i="58"/>
  <c r="P6148" i="58"/>
  <c r="H6149" i="58"/>
  <c r="I6149" i="58"/>
  <c r="O6149" i="58"/>
  <c r="P6149" i="58"/>
  <c r="H6150" i="58"/>
  <c r="I6150" i="58"/>
  <c r="K6150" i="58" s="1"/>
  <c r="L6150" i="58" s="1"/>
  <c r="O6150" i="58"/>
  <c r="P6150" i="58"/>
  <c r="H6151" i="58"/>
  <c r="I6151" i="58"/>
  <c r="O6151" i="58"/>
  <c r="P6151" i="58"/>
  <c r="H6152" i="58"/>
  <c r="I6152" i="58"/>
  <c r="K6152" i="58" s="1"/>
  <c r="L6152" i="58" s="1"/>
  <c r="O6152" i="58"/>
  <c r="P6152" i="58"/>
  <c r="H6153" i="58"/>
  <c r="I6153" i="58"/>
  <c r="K6153" i="58" s="1"/>
  <c r="L6153" i="58" s="1"/>
  <c r="O6153" i="58"/>
  <c r="P6153" i="58"/>
  <c r="H6154" i="58"/>
  <c r="I6154" i="58"/>
  <c r="J6154" i="58" s="1"/>
  <c r="O6154" i="58"/>
  <c r="P6154" i="58"/>
  <c r="H6155" i="58"/>
  <c r="I6155" i="58"/>
  <c r="K6155" i="58" s="1"/>
  <c r="L6155" i="58" s="1"/>
  <c r="O6155" i="58"/>
  <c r="P6155" i="58"/>
  <c r="H6156" i="58"/>
  <c r="I6156" i="58"/>
  <c r="J6156" i="58" s="1"/>
  <c r="O6156" i="58"/>
  <c r="P6156" i="58"/>
  <c r="H6157" i="58"/>
  <c r="I6157" i="58"/>
  <c r="K6157" i="58" s="1"/>
  <c r="L6157" i="58" s="1"/>
  <c r="O6157" i="58"/>
  <c r="P6157" i="58"/>
  <c r="H6158" i="58"/>
  <c r="I6158" i="58"/>
  <c r="K6158" i="58" s="1"/>
  <c r="L6158" i="58" s="1"/>
  <c r="O6158" i="58"/>
  <c r="P6158" i="58"/>
  <c r="H6159" i="58"/>
  <c r="I6159" i="58"/>
  <c r="O6159" i="58"/>
  <c r="P6159" i="58"/>
  <c r="H6160" i="58"/>
  <c r="I6160" i="58"/>
  <c r="O6160" i="58"/>
  <c r="P6160" i="58"/>
  <c r="H6161" i="58"/>
  <c r="I6161" i="58"/>
  <c r="K6161" i="58" s="1"/>
  <c r="L6161" i="58" s="1"/>
  <c r="O6161" i="58"/>
  <c r="P6161" i="58"/>
  <c r="H6162" i="58"/>
  <c r="I6162" i="58"/>
  <c r="K6162" i="58" s="1"/>
  <c r="L6162" i="58" s="1"/>
  <c r="O6162" i="58"/>
  <c r="P6162" i="58"/>
  <c r="H6163" i="58"/>
  <c r="I6163" i="58"/>
  <c r="O6163" i="58"/>
  <c r="P6163" i="58"/>
  <c r="H6164" i="58"/>
  <c r="I6164" i="58"/>
  <c r="O6164" i="58"/>
  <c r="P6164" i="58"/>
  <c r="H6165" i="58"/>
  <c r="I6165" i="58"/>
  <c r="O6165" i="58"/>
  <c r="P6165" i="58"/>
  <c r="H6166" i="58"/>
  <c r="I6166" i="58"/>
  <c r="O6166" i="58"/>
  <c r="P6166" i="58"/>
  <c r="H6167" i="58"/>
  <c r="I6167" i="58"/>
  <c r="J6167" i="58" s="1"/>
  <c r="O6167" i="58"/>
  <c r="P6167" i="58"/>
  <c r="H6168" i="58"/>
  <c r="I6168" i="58"/>
  <c r="O6168" i="58"/>
  <c r="P6168" i="58"/>
  <c r="H6169" i="58"/>
  <c r="I6169" i="58"/>
  <c r="K6169" i="58" s="1"/>
  <c r="L6169" i="58" s="1"/>
  <c r="O6169" i="58"/>
  <c r="P6169" i="58"/>
  <c r="G6170" i="58"/>
  <c r="H6170" i="58"/>
  <c r="I6170" i="58"/>
  <c r="K6170" i="58" s="1"/>
  <c r="L6170" i="58" s="1"/>
  <c r="O6170" i="58"/>
  <c r="P6170" i="58"/>
  <c r="G6171" i="58"/>
  <c r="H6171" i="58"/>
  <c r="I6171" i="58"/>
  <c r="K6171" i="58" s="1"/>
  <c r="L6171" i="58" s="1"/>
  <c r="O6171" i="58"/>
  <c r="P6171" i="58"/>
  <c r="H6172" i="58"/>
  <c r="I6172" i="58"/>
  <c r="J6172" i="58" s="1"/>
  <c r="O6172" i="58"/>
  <c r="P6172" i="58"/>
  <c r="H6173" i="58"/>
  <c r="I6173" i="58"/>
  <c r="K6173" i="58" s="1"/>
  <c r="L6173" i="58" s="1"/>
  <c r="O6173" i="58"/>
  <c r="P6173" i="58"/>
  <c r="H6174" i="58"/>
  <c r="I6174" i="58"/>
  <c r="O6174" i="58"/>
  <c r="P6174" i="58"/>
  <c r="H6175" i="58"/>
  <c r="I6175" i="58"/>
  <c r="O6175" i="58"/>
  <c r="P6175" i="58"/>
  <c r="H6176" i="58"/>
  <c r="I6176" i="58"/>
  <c r="K6176" i="58" s="1"/>
  <c r="L6176" i="58" s="1"/>
  <c r="O6176" i="58"/>
  <c r="P6176" i="58"/>
  <c r="H6177" i="58"/>
  <c r="I6177" i="58"/>
  <c r="J6177" i="58" s="1"/>
  <c r="O6177" i="58"/>
  <c r="P6177" i="58"/>
  <c r="H6178" i="58"/>
  <c r="I6178" i="58"/>
  <c r="O6178" i="58"/>
  <c r="P6178" i="58"/>
  <c r="H6179" i="58"/>
  <c r="I6179" i="58"/>
  <c r="O6179" i="58"/>
  <c r="P6179" i="58"/>
  <c r="H6180" i="58"/>
  <c r="I6180" i="58"/>
  <c r="O6180" i="58"/>
  <c r="P6180" i="58"/>
  <c r="H6181" i="58"/>
  <c r="I6181" i="58"/>
  <c r="J6181" i="58" s="1"/>
  <c r="O6181" i="58"/>
  <c r="P6181" i="58"/>
  <c r="H6182" i="58"/>
  <c r="I6182" i="58"/>
  <c r="O6182" i="58"/>
  <c r="P6182" i="58"/>
  <c r="H6183" i="58"/>
  <c r="I6183" i="58"/>
  <c r="K6183" i="58" s="1"/>
  <c r="L6183" i="58" s="1"/>
  <c r="O6183" i="58"/>
  <c r="P6183" i="58"/>
  <c r="H6184" i="58"/>
  <c r="I6184" i="58"/>
  <c r="K6184" i="58" s="1"/>
  <c r="L6184" i="58" s="1"/>
  <c r="O6184" i="58"/>
  <c r="P6184" i="58"/>
  <c r="H6185" i="58"/>
  <c r="I6185" i="58"/>
  <c r="J6185" i="58" s="1"/>
  <c r="O6185" i="58"/>
  <c r="P6185" i="58"/>
  <c r="H6186" i="58"/>
  <c r="I6186" i="58"/>
  <c r="K6186" i="58" s="1"/>
  <c r="L6186" i="58" s="1"/>
  <c r="O6186" i="58"/>
  <c r="P6186" i="58"/>
  <c r="H6187" i="58"/>
  <c r="I6187" i="58"/>
  <c r="O6187" i="58"/>
  <c r="P6187" i="58"/>
  <c r="H6188" i="58"/>
  <c r="I6188" i="58"/>
  <c r="K6188" i="58" s="1"/>
  <c r="L6188" i="58" s="1"/>
  <c r="O6188" i="58"/>
  <c r="P6188" i="58"/>
  <c r="H6189" i="58"/>
  <c r="I6189" i="58"/>
  <c r="O6189" i="58"/>
  <c r="P6189" i="58"/>
  <c r="H6190" i="58"/>
  <c r="I6190" i="58"/>
  <c r="K6190" i="58" s="1"/>
  <c r="L6190" i="58" s="1"/>
  <c r="O6190" i="58"/>
  <c r="P6190" i="58"/>
  <c r="H6191" i="58"/>
  <c r="I6191" i="58"/>
  <c r="O6191" i="58"/>
  <c r="P6191" i="58"/>
  <c r="H6192" i="58"/>
  <c r="I6192" i="58"/>
  <c r="O6192" i="58"/>
  <c r="P6192" i="58"/>
  <c r="H6193" i="58"/>
  <c r="I6193" i="58"/>
  <c r="K6193" i="58" s="1"/>
  <c r="L6193" i="58" s="1"/>
  <c r="O6193" i="58"/>
  <c r="P6193" i="58"/>
  <c r="H6194" i="58"/>
  <c r="I6194" i="58"/>
  <c r="O6194" i="58"/>
  <c r="P6194" i="58"/>
  <c r="H6195" i="58"/>
  <c r="I6195" i="58"/>
  <c r="K6195" i="58" s="1"/>
  <c r="L6195" i="58" s="1"/>
  <c r="O6195" i="58"/>
  <c r="P6195" i="58"/>
  <c r="H6196" i="58"/>
  <c r="I6196" i="58"/>
  <c r="O6196" i="58"/>
  <c r="P6196" i="58"/>
  <c r="H6197" i="58"/>
  <c r="I6197" i="58"/>
  <c r="O6197" i="58"/>
  <c r="P6197" i="58"/>
  <c r="H6198" i="58"/>
  <c r="I6198" i="58"/>
  <c r="O6198" i="58"/>
  <c r="P6198" i="58"/>
  <c r="H6199" i="58"/>
  <c r="I6199" i="58"/>
  <c r="J6199" i="58" s="1"/>
  <c r="O6199" i="58"/>
  <c r="P6199" i="58"/>
  <c r="H6200" i="58"/>
  <c r="I6200" i="58"/>
  <c r="J6200" i="58" s="1"/>
  <c r="O6200" i="58"/>
  <c r="P6200" i="58"/>
  <c r="H6201" i="58"/>
  <c r="I6201" i="58"/>
  <c r="O6201" i="58"/>
  <c r="P6201" i="58"/>
  <c r="H6202" i="58"/>
  <c r="I6202" i="58"/>
  <c r="J6202" i="58" s="1"/>
  <c r="O6202" i="58"/>
  <c r="P6202" i="58"/>
  <c r="H6203" i="58"/>
  <c r="I6203" i="58"/>
  <c r="O6203" i="58"/>
  <c r="P6203" i="58"/>
  <c r="H6204" i="58"/>
  <c r="I6204" i="58"/>
  <c r="K6204" i="58" s="1"/>
  <c r="L6204" i="58" s="1"/>
  <c r="O6204" i="58"/>
  <c r="P6204" i="58"/>
  <c r="H6205" i="58"/>
  <c r="I6205" i="58"/>
  <c r="K6205" i="58" s="1"/>
  <c r="L6205" i="58" s="1"/>
  <c r="O6205" i="58"/>
  <c r="P6205" i="58"/>
  <c r="H6206" i="58"/>
  <c r="I6206" i="58"/>
  <c r="O6206" i="58"/>
  <c r="P6206" i="58"/>
  <c r="H6207" i="58"/>
  <c r="I6207" i="58"/>
  <c r="O6207" i="58"/>
  <c r="P6207" i="58"/>
  <c r="H6208" i="58"/>
  <c r="I6208" i="58"/>
  <c r="O6208" i="58"/>
  <c r="P6208" i="58"/>
  <c r="H6209" i="58"/>
  <c r="I6209" i="58"/>
  <c r="K6209" i="58" s="1"/>
  <c r="L6209" i="58" s="1"/>
  <c r="O6209" i="58"/>
  <c r="P6209" i="58"/>
  <c r="H6210" i="58"/>
  <c r="I6210" i="58"/>
  <c r="O6210" i="58"/>
  <c r="P6210" i="58"/>
  <c r="H6211" i="58"/>
  <c r="I6211" i="58"/>
  <c r="O6211" i="58"/>
  <c r="P6211" i="58"/>
  <c r="H6212" i="58"/>
  <c r="I6212" i="58"/>
  <c r="K6212" i="58" s="1"/>
  <c r="L6212" i="58" s="1"/>
  <c r="O6212" i="58"/>
  <c r="P6212" i="58"/>
  <c r="H6213" i="58"/>
  <c r="I6213" i="58"/>
  <c r="O6213" i="58"/>
  <c r="P6213" i="58"/>
  <c r="H6214" i="58"/>
  <c r="I6214" i="58"/>
  <c r="O6214" i="58"/>
  <c r="P6214" i="58"/>
  <c r="H6215" i="58"/>
  <c r="I6215" i="58"/>
  <c r="O6215" i="58"/>
  <c r="P6215" i="58"/>
  <c r="H6216" i="58"/>
  <c r="I6216" i="58"/>
  <c r="K6216" i="58" s="1"/>
  <c r="L6216" i="58" s="1"/>
  <c r="O6216" i="58"/>
  <c r="P6216" i="58"/>
  <c r="H6217" i="58"/>
  <c r="I6217" i="58"/>
  <c r="J6217" i="58" s="1"/>
  <c r="O6217" i="58"/>
  <c r="P6217" i="58"/>
  <c r="H6218" i="58"/>
  <c r="I6218" i="58"/>
  <c r="O6218" i="58"/>
  <c r="P6218" i="58"/>
  <c r="H6219" i="58"/>
  <c r="I6219" i="58"/>
  <c r="K6219" i="58" s="1"/>
  <c r="L6219" i="58" s="1"/>
  <c r="O6219" i="58"/>
  <c r="P6219" i="58"/>
  <c r="H6220" i="58"/>
  <c r="I6220" i="58"/>
  <c r="J6220" i="58" s="1"/>
  <c r="O6220" i="58"/>
  <c r="P6220" i="58"/>
  <c r="H6221" i="58"/>
  <c r="I6221" i="58"/>
  <c r="O6221" i="58"/>
  <c r="P6221" i="58"/>
  <c r="H6222" i="58"/>
  <c r="I6222" i="58"/>
  <c r="O6222" i="58"/>
  <c r="P6222" i="58"/>
  <c r="H6223" i="58"/>
  <c r="I6223" i="58"/>
  <c r="O6223" i="58"/>
  <c r="P6223" i="58"/>
  <c r="H6224" i="58"/>
  <c r="I6224" i="58"/>
  <c r="K6224" i="58" s="1"/>
  <c r="L6224" i="58" s="1"/>
  <c r="O6224" i="58"/>
  <c r="P6224" i="58"/>
  <c r="H6225" i="58"/>
  <c r="I6225" i="58"/>
  <c r="O6225" i="58"/>
  <c r="P6225" i="58"/>
  <c r="H6226" i="58"/>
  <c r="I6226" i="58"/>
  <c r="J6226" i="58" s="1"/>
  <c r="O6226" i="58"/>
  <c r="P6226" i="58"/>
  <c r="H6227" i="58"/>
  <c r="I6227" i="58"/>
  <c r="K6227" i="58" s="1"/>
  <c r="L6227" i="58" s="1"/>
  <c r="O6227" i="58"/>
  <c r="P6227" i="58"/>
  <c r="H6228" i="58"/>
  <c r="I6228" i="58"/>
  <c r="O6228" i="58"/>
  <c r="P6228" i="58"/>
  <c r="H6229" i="58"/>
  <c r="I6229" i="58"/>
  <c r="O6229" i="58"/>
  <c r="P6229" i="58"/>
  <c r="H6230" i="58"/>
  <c r="I6230" i="58"/>
  <c r="O6230" i="58"/>
  <c r="P6230" i="58"/>
  <c r="H6231" i="58"/>
  <c r="I6231" i="58"/>
  <c r="O6231" i="58"/>
  <c r="P6231" i="58"/>
  <c r="H6232" i="58"/>
  <c r="I6232" i="58"/>
  <c r="K6232" i="58" s="1"/>
  <c r="L6232" i="58" s="1"/>
  <c r="O6232" i="58"/>
  <c r="P6232" i="58"/>
  <c r="H6233" i="58"/>
  <c r="I6233" i="58"/>
  <c r="O6233" i="58"/>
  <c r="P6233" i="58"/>
  <c r="H6234" i="58"/>
  <c r="I6234" i="58"/>
  <c r="O6234" i="58"/>
  <c r="P6234" i="58"/>
  <c r="H6235" i="58"/>
  <c r="I6235" i="58"/>
  <c r="O6235" i="58"/>
  <c r="P6235" i="58"/>
  <c r="H6236" i="58"/>
  <c r="I6236" i="58"/>
  <c r="O6236" i="58"/>
  <c r="P6236" i="58"/>
  <c r="H6237" i="58"/>
  <c r="I6237" i="58"/>
  <c r="J6237" i="58" s="1"/>
  <c r="O6237" i="58"/>
  <c r="P6237" i="58"/>
  <c r="H6238" i="58"/>
  <c r="I6238" i="58"/>
  <c r="J6238" i="58" s="1"/>
  <c r="O6238" i="58"/>
  <c r="P6238" i="58"/>
  <c r="H6239" i="58"/>
  <c r="I6239" i="58"/>
  <c r="J6239" i="58" s="1"/>
  <c r="O6239" i="58"/>
  <c r="P6239" i="58"/>
  <c r="H6240" i="58"/>
  <c r="I6240" i="58"/>
  <c r="J6240" i="58" s="1"/>
  <c r="O6240" i="58"/>
  <c r="P6240" i="58"/>
  <c r="H6241" i="58"/>
  <c r="I6241" i="58"/>
  <c r="K6241" i="58" s="1"/>
  <c r="L6241" i="58" s="1"/>
  <c r="O6241" i="58"/>
  <c r="P6241" i="58"/>
  <c r="H6242" i="58"/>
  <c r="I6242" i="58"/>
  <c r="J6242" i="58" s="1"/>
  <c r="O6242" i="58"/>
  <c r="P6242" i="58"/>
  <c r="H6243" i="58"/>
  <c r="I6243" i="58"/>
  <c r="J6243" i="58" s="1"/>
  <c r="O6243" i="58"/>
  <c r="P6243" i="58"/>
  <c r="H6244" i="58"/>
  <c r="I6244" i="58"/>
  <c r="J6244" i="58" s="1"/>
  <c r="O6244" i="58"/>
  <c r="P6244" i="58"/>
  <c r="H6245" i="58"/>
  <c r="I6245" i="58"/>
  <c r="O6245" i="58"/>
  <c r="P6245" i="58"/>
  <c r="H6246" i="58"/>
  <c r="I6246" i="58"/>
  <c r="K6246" i="58" s="1"/>
  <c r="L6246" i="58" s="1"/>
  <c r="O6246" i="58"/>
  <c r="P6246" i="58"/>
  <c r="H6247" i="58"/>
  <c r="I6247" i="58"/>
  <c r="K6247" i="58" s="1"/>
  <c r="L6247" i="58" s="1"/>
  <c r="O6247" i="58"/>
  <c r="P6247" i="58"/>
  <c r="H6248" i="58"/>
  <c r="I6248" i="58"/>
  <c r="O6248" i="58"/>
  <c r="P6248" i="58"/>
  <c r="H6249" i="58"/>
  <c r="I6249" i="58"/>
  <c r="O6249" i="58"/>
  <c r="P6249" i="58"/>
  <c r="H6250" i="58"/>
  <c r="I6250" i="58"/>
  <c r="O6250" i="58"/>
  <c r="P6250" i="58"/>
  <c r="H6251" i="58"/>
  <c r="I6251" i="58"/>
  <c r="J6251" i="58" s="1"/>
  <c r="O6251" i="58"/>
  <c r="P6251" i="58"/>
  <c r="H6252" i="58"/>
  <c r="I6252" i="58"/>
  <c r="O6252" i="58"/>
  <c r="P6252" i="58"/>
  <c r="H6253" i="58"/>
  <c r="I6253" i="58"/>
  <c r="J6253" i="58" s="1"/>
  <c r="O6253" i="58"/>
  <c r="P6253" i="58"/>
  <c r="H6254" i="58"/>
  <c r="I6254" i="58"/>
  <c r="K6254" i="58" s="1"/>
  <c r="L6254" i="58" s="1"/>
  <c r="O6254" i="58"/>
  <c r="P6254" i="58"/>
  <c r="H6255" i="58"/>
  <c r="I6255" i="58"/>
  <c r="J6255" i="58" s="1"/>
  <c r="O6255" i="58"/>
  <c r="P6255" i="58"/>
  <c r="H6256" i="58"/>
  <c r="I6256" i="58"/>
  <c r="J6256" i="58" s="1"/>
  <c r="O6256" i="58"/>
  <c r="P6256" i="58"/>
  <c r="H6257" i="58"/>
  <c r="I6257" i="58"/>
  <c r="J6257" i="58" s="1"/>
  <c r="O6257" i="58"/>
  <c r="P6257" i="58"/>
  <c r="H6258" i="58"/>
  <c r="I6258" i="58"/>
  <c r="J6258" i="58" s="1"/>
  <c r="O6258" i="58"/>
  <c r="P6258" i="58"/>
  <c r="H6259" i="58"/>
  <c r="I6259" i="58"/>
  <c r="J6259" i="58" s="1"/>
  <c r="O6259" i="58"/>
  <c r="P6259" i="58"/>
  <c r="H6260" i="58"/>
  <c r="I6260" i="58"/>
  <c r="O6260" i="58"/>
  <c r="P6260" i="58"/>
  <c r="H6261" i="58"/>
  <c r="I6261" i="58"/>
  <c r="J6261" i="58" s="1"/>
  <c r="O6261" i="58"/>
  <c r="P6261" i="58"/>
  <c r="H6262" i="58"/>
  <c r="I6262" i="58"/>
  <c r="O6262" i="58"/>
  <c r="P6262" i="58"/>
  <c r="H6263" i="58"/>
  <c r="I6263" i="58"/>
  <c r="O6263" i="58"/>
  <c r="P6263" i="58"/>
  <c r="H6264" i="58"/>
  <c r="I6264" i="58"/>
  <c r="K6264" i="58" s="1"/>
  <c r="L6264" i="58" s="1"/>
  <c r="O6264" i="58"/>
  <c r="P6264" i="58"/>
  <c r="H6265" i="58"/>
  <c r="I6265" i="58"/>
  <c r="J6265" i="58" s="1"/>
  <c r="O6265" i="58"/>
  <c r="P6265" i="58"/>
  <c r="H6266" i="58"/>
  <c r="I6266" i="58"/>
  <c r="K6266" i="58" s="1"/>
  <c r="L6266" i="58" s="1"/>
  <c r="O6266" i="58"/>
  <c r="P6266" i="58"/>
  <c r="H6267" i="58"/>
  <c r="I6267" i="58"/>
  <c r="J6267" i="58" s="1"/>
  <c r="O6267" i="58"/>
  <c r="P6267" i="58"/>
  <c r="H6268" i="58"/>
  <c r="I6268" i="58"/>
  <c r="J6268" i="58" s="1"/>
  <c r="O6268" i="58"/>
  <c r="P6268" i="58"/>
  <c r="H6269" i="58"/>
  <c r="I6269" i="58"/>
  <c r="K6269" i="58" s="1"/>
  <c r="L6269" i="58" s="1"/>
  <c r="O6269" i="58"/>
  <c r="P6269" i="58"/>
  <c r="H6270" i="58"/>
  <c r="I6270" i="58"/>
  <c r="O6270" i="58"/>
  <c r="P6270" i="58"/>
  <c r="H6271" i="58"/>
  <c r="I6271" i="58"/>
  <c r="K6271" i="58" s="1"/>
  <c r="L6271" i="58" s="1"/>
  <c r="O6271" i="58"/>
  <c r="P6271" i="58"/>
  <c r="H6272" i="58"/>
  <c r="I6272" i="58"/>
  <c r="J6272" i="58" s="1"/>
  <c r="O6272" i="58"/>
  <c r="P6272" i="58"/>
  <c r="H6273" i="58"/>
  <c r="I6273" i="58"/>
  <c r="O6273" i="58"/>
  <c r="P6273" i="58"/>
  <c r="H6274" i="58"/>
  <c r="I6274" i="58"/>
  <c r="J6274" i="58" s="1"/>
  <c r="O6274" i="58"/>
  <c r="P6274" i="58"/>
  <c r="H6275" i="58"/>
  <c r="I6275" i="58"/>
  <c r="O6275" i="58"/>
  <c r="P6275" i="58"/>
  <c r="H6276" i="58"/>
  <c r="I6276" i="58"/>
  <c r="K6276" i="58" s="1"/>
  <c r="L6276" i="58" s="1"/>
  <c r="O6276" i="58"/>
  <c r="P6276" i="58"/>
  <c r="H6277" i="58"/>
  <c r="I6277" i="58"/>
  <c r="O6277" i="58"/>
  <c r="P6277" i="58"/>
  <c r="H6278" i="58"/>
  <c r="I6278" i="58"/>
  <c r="O6278" i="58"/>
  <c r="P6278" i="58"/>
  <c r="H6279" i="58"/>
  <c r="I6279" i="58"/>
  <c r="J6279" i="58" s="1"/>
  <c r="O6279" i="58"/>
  <c r="P6279" i="58"/>
  <c r="H6280" i="58"/>
  <c r="I6280" i="58"/>
  <c r="J6280" i="58" s="1"/>
  <c r="O6280" i="58"/>
  <c r="P6280" i="58"/>
  <c r="H6281" i="58"/>
  <c r="I6281" i="58"/>
  <c r="O6281" i="58"/>
  <c r="P6281" i="58"/>
  <c r="H6282" i="58"/>
  <c r="I6282" i="58"/>
  <c r="J6282" i="58" s="1"/>
  <c r="O6282" i="58"/>
  <c r="P6282" i="58"/>
  <c r="H6283" i="58"/>
  <c r="I6283" i="58"/>
  <c r="O6283" i="58"/>
  <c r="P6283" i="58"/>
  <c r="H6284" i="58"/>
  <c r="I6284" i="58"/>
  <c r="O6284" i="58"/>
  <c r="P6284" i="58"/>
  <c r="H6285" i="58"/>
  <c r="I6285" i="58"/>
  <c r="K6285" i="58" s="1"/>
  <c r="L6285" i="58" s="1"/>
  <c r="O6285" i="58"/>
  <c r="P6285" i="58"/>
  <c r="H6286" i="58"/>
  <c r="I6286" i="58"/>
  <c r="O6286" i="58"/>
  <c r="P6286" i="58"/>
  <c r="H6287" i="58"/>
  <c r="I6287" i="58"/>
  <c r="J6287" i="58" s="1"/>
  <c r="O6287" i="58"/>
  <c r="P6287" i="58"/>
  <c r="H6288" i="58"/>
  <c r="I6288" i="58"/>
  <c r="K6288" i="58" s="1"/>
  <c r="L6288" i="58" s="1"/>
  <c r="O6288" i="58"/>
  <c r="P6288" i="58"/>
  <c r="H6289" i="58"/>
  <c r="I6289" i="58"/>
  <c r="O6289" i="58"/>
  <c r="P6289" i="58"/>
  <c r="H6290" i="58"/>
  <c r="I6290" i="58"/>
  <c r="K6290" i="58" s="1"/>
  <c r="L6290" i="58" s="1"/>
  <c r="O6290" i="58"/>
  <c r="P6290" i="58"/>
  <c r="H6291" i="58"/>
  <c r="I6291" i="58"/>
  <c r="O6291" i="58"/>
  <c r="P6291" i="58"/>
  <c r="H6292" i="58"/>
  <c r="I6292" i="58"/>
  <c r="K6292" i="58" s="1"/>
  <c r="L6292" i="58" s="1"/>
  <c r="O6292" i="58"/>
  <c r="P6292" i="58"/>
  <c r="H6293" i="58"/>
  <c r="I6293" i="58"/>
  <c r="K6293" i="58" s="1"/>
  <c r="L6293" i="58" s="1"/>
  <c r="O6293" i="58"/>
  <c r="P6293" i="58"/>
  <c r="H6294" i="58"/>
  <c r="I6294" i="58"/>
  <c r="J6294" i="58" s="1"/>
  <c r="O6294" i="58"/>
  <c r="P6294" i="58"/>
  <c r="H6295" i="58"/>
  <c r="I6295" i="58"/>
  <c r="K6295" i="58" s="1"/>
  <c r="L6295" i="58" s="1"/>
  <c r="O6295" i="58"/>
  <c r="P6295" i="58"/>
  <c r="H6296" i="58"/>
  <c r="I6296" i="58"/>
  <c r="J6296" i="58" s="1"/>
  <c r="O6296" i="58"/>
  <c r="P6296" i="58"/>
  <c r="H6297" i="58"/>
  <c r="I6297" i="58"/>
  <c r="K6297" i="58" s="1"/>
  <c r="L6297" i="58" s="1"/>
  <c r="O6297" i="58"/>
  <c r="P6297" i="58"/>
  <c r="H6298" i="58"/>
  <c r="I6298" i="58"/>
  <c r="O6298" i="58"/>
  <c r="P6298" i="58"/>
  <c r="H6299" i="58"/>
  <c r="I6299" i="58"/>
  <c r="K6299" i="58" s="1"/>
  <c r="L6299" i="58" s="1"/>
  <c r="O6299" i="58"/>
  <c r="P6299" i="58"/>
  <c r="H6300" i="58"/>
  <c r="I6300" i="58"/>
  <c r="K6300" i="58" s="1"/>
  <c r="L6300" i="58" s="1"/>
  <c r="O6300" i="58"/>
  <c r="P6300" i="58"/>
  <c r="H6301" i="58"/>
  <c r="I6301" i="58"/>
  <c r="K6301" i="58" s="1"/>
  <c r="L6301" i="58" s="1"/>
  <c r="O6301" i="58"/>
  <c r="P6301" i="58"/>
  <c r="H6302" i="58"/>
  <c r="I6302" i="58"/>
  <c r="J6302" i="58" s="1"/>
  <c r="O6302" i="58"/>
  <c r="P6302" i="58"/>
  <c r="H6303" i="58"/>
  <c r="I6303" i="58"/>
  <c r="J6303" i="58" s="1"/>
  <c r="O6303" i="58"/>
  <c r="P6303" i="58"/>
  <c r="H6304" i="58"/>
  <c r="I6304" i="58"/>
  <c r="K6304" i="58" s="1"/>
  <c r="L6304" i="58" s="1"/>
  <c r="O6304" i="58"/>
  <c r="P6304" i="58"/>
  <c r="H6305" i="58"/>
  <c r="I6305" i="58"/>
  <c r="K6305" i="58" s="1"/>
  <c r="L6305" i="58" s="1"/>
  <c r="O6305" i="58"/>
  <c r="P6305" i="58"/>
  <c r="H6306" i="58"/>
  <c r="I6306" i="58"/>
  <c r="O6306" i="58"/>
  <c r="P6306" i="58"/>
  <c r="H6307" i="58"/>
  <c r="I6307" i="58"/>
  <c r="O6307" i="58"/>
  <c r="P6307" i="58"/>
  <c r="H6308" i="58"/>
  <c r="I6308" i="58"/>
  <c r="K6308" i="58" s="1"/>
  <c r="L6308" i="58" s="1"/>
  <c r="O6308" i="58"/>
  <c r="P6308" i="58"/>
  <c r="H6309" i="58"/>
  <c r="I6309" i="58"/>
  <c r="O6309" i="58"/>
  <c r="P6309" i="58"/>
  <c r="H6310" i="58"/>
  <c r="I6310" i="58"/>
  <c r="J6310" i="58" s="1"/>
  <c r="O6310" i="58"/>
  <c r="P6310" i="58"/>
  <c r="H6311" i="58"/>
  <c r="I6311" i="58"/>
  <c r="K6311" i="58" s="1"/>
  <c r="L6311" i="58" s="1"/>
  <c r="O6311" i="58"/>
  <c r="P6311" i="58"/>
  <c r="H6312" i="58"/>
  <c r="I6312" i="58"/>
  <c r="O6312" i="58"/>
  <c r="P6312" i="58"/>
  <c r="H6313" i="58"/>
  <c r="I6313" i="58"/>
  <c r="K6313" i="58" s="1"/>
  <c r="L6313" i="58" s="1"/>
  <c r="O6313" i="58"/>
  <c r="P6313" i="58"/>
  <c r="H6314" i="58"/>
  <c r="I6314" i="58"/>
  <c r="J6314" i="58" s="1"/>
  <c r="O6314" i="58"/>
  <c r="P6314" i="58"/>
  <c r="H6315" i="58"/>
  <c r="I6315" i="58"/>
  <c r="O6315" i="58"/>
  <c r="P6315" i="58"/>
  <c r="H6316" i="58"/>
  <c r="I6316" i="58"/>
  <c r="K6316" i="58" s="1"/>
  <c r="L6316" i="58" s="1"/>
  <c r="O6316" i="58"/>
  <c r="P6316" i="58"/>
  <c r="H6317" i="58"/>
  <c r="I6317" i="58"/>
  <c r="O6317" i="58"/>
  <c r="P6317" i="58"/>
  <c r="H6318" i="58"/>
  <c r="I6318" i="58"/>
  <c r="K6318" i="58" s="1"/>
  <c r="L6318" i="58" s="1"/>
  <c r="O6318" i="58"/>
  <c r="P6318" i="58"/>
  <c r="H6319" i="58"/>
  <c r="I6319" i="58"/>
  <c r="O6319" i="58"/>
  <c r="P6319" i="58"/>
  <c r="H6320" i="58"/>
  <c r="I6320" i="58"/>
  <c r="O6320" i="58"/>
  <c r="P6320" i="58"/>
  <c r="H6321" i="58"/>
  <c r="I6321" i="58"/>
  <c r="J6321" i="58" s="1"/>
  <c r="O6321" i="58"/>
  <c r="P6321" i="58"/>
  <c r="H6322" i="58"/>
  <c r="I6322" i="58"/>
  <c r="J6322" i="58" s="1"/>
  <c r="O6322" i="58"/>
  <c r="P6322" i="58"/>
  <c r="H6323" i="58"/>
  <c r="I6323" i="58"/>
  <c r="K6323" i="58" s="1"/>
  <c r="L6323" i="58" s="1"/>
  <c r="O6323" i="58"/>
  <c r="P6323" i="58"/>
  <c r="H6324" i="58"/>
  <c r="I6324" i="58"/>
  <c r="J6324" i="58" s="1"/>
  <c r="O6324" i="58"/>
  <c r="P6324" i="58"/>
  <c r="H6325" i="58"/>
  <c r="I6325" i="58"/>
  <c r="K6325" i="58" s="1"/>
  <c r="L6325" i="58" s="1"/>
  <c r="O6325" i="58"/>
  <c r="P6325" i="58"/>
  <c r="H6326" i="58"/>
  <c r="I6326" i="58"/>
  <c r="J6326" i="58" s="1"/>
  <c r="O6326" i="58"/>
  <c r="P6326" i="58"/>
  <c r="H6327" i="58"/>
  <c r="I6327" i="58"/>
  <c r="K6327" i="58" s="1"/>
  <c r="L6327" i="58" s="1"/>
  <c r="O6327" i="58"/>
  <c r="P6327" i="58"/>
  <c r="H6328" i="58"/>
  <c r="I6328" i="58"/>
  <c r="J6328" i="58" s="1"/>
  <c r="O6328" i="58"/>
  <c r="P6328" i="58"/>
  <c r="H6329" i="58"/>
  <c r="I6329" i="58"/>
  <c r="O6329" i="58"/>
  <c r="P6329" i="58"/>
  <c r="H6330" i="58"/>
  <c r="I6330" i="58"/>
  <c r="O6330" i="58"/>
  <c r="P6330" i="58"/>
  <c r="H6331" i="58"/>
  <c r="I6331" i="58"/>
  <c r="J6331" i="58" s="1"/>
  <c r="O6331" i="58"/>
  <c r="P6331" i="58"/>
  <c r="H6332" i="58"/>
  <c r="I6332" i="58"/>
  <c r="O6332" i="58"/>
  <c r="P6332" i="58"/>
  <c r="H6333" i="58"/>
  <c r="I6333" i="58"/>
  <c r="O6333" i="58"/>
  <c r="P6333" i="58"/>
  <c r="H6334" i="58"/>
  <c r="I6334" i="58"/>
  <c r="O6334" i="58"/>
  <c r="P6334" i="58"/>
  <c r="H6335" i="58"/>
  <c r="I6335" i="58"/>
  <c r="K6335" i="58" s="1"/>
  <c r="L6335" i="58" s="1"/>
  <c r="O6335" i="58"/>
  <c r="P6335" i="58"/>
  <c r="H6336" i="58"/>
  <c r="I6336" i="58"/>
  <c r="K6336" i="58" s="1"/>
  <c r="L6336" i="58" s="1"/>
  <c r="O6336" i="58"/>
  <c r="P6336" i="58"/>
  <c r="H6337" i="58"/>
  <c r="I6337" i="58"/>
  <c r="J6337" i="58" s="1"/>
  <c r="O6337" i="58"/>
  <c r="P6337" i="58"/>
  <c r="H6338" i="58"/>
  <c r="I6338" i="58"/>
  <c r="J6338" i="58" s="1"/>
  <c r="O6338" i="58"/>
  <c r="P6338" i="58"/>
  <c r="H6339" i="58"/>
  <c r="I6339" i="58"/>
  <c r="K6339" i="58" s="1"/>
  <c r="L6339" i="58" s="1"/>
  <c r="O6339" i="58"/>
  <c r="P6339" i="58"/>
  <c r="H6340" i="58"/>
  <c r="I6340" i="58"/>
  <c r="K6340" i="58" s="1"/>
  <c r="L6340" i="58" s="1"/>
  <c r="O6340" i="58"/>
  <c r="P6340" i="58"/>
  <c r="H6341" i="58"/>
  <c r="I6341" i="58"/>
  <c r="O6341" i="58"/>
  <c r="P6341" i="58"/>
  <c r="H6342" i="58"/>
  <c r="I6342" i="58"/>
  <c r="J6342" i="58" s="1"/>
  <c r="O6342" i="58"/>
  <c r="P6342" i="58"/>
  <c r="H6343" i="58"/>
  <c r="I6343" i="58"/>
  <c r="K6343" i="58" s="1"/>
  <c r="L6343" i="58" s="1"/>
  <c r="O6343" i="58"/>
  <c r="P6343" i="58"/>
  <c r="H6344" i="58"/>
  <c r="I6344" i="58"/>
  <c r="O6344" i="58"/>
  <c r="P6344" i="58"/>
  <c r="H6345" i="58"/>
  <c r="I6345" i="58"/>
  <c r="J6345" i="58" s="1"/>
  <c r="O6345" i="58"/>
  <c r="P6345" i="58"/>
  <c r="H6346" i="58"/>
  <c r="I6346" i="58"/>
  <c r="O6346" i="58"/>
  <c r="P6346" i="58"/>
  <c r="H6347" i="58"/>
  <c r="I6347" i="58"/>
  <c r="J6347" i="58" s="1"/>
  <c r="O6347" i="58"/>
  <c r="P6347" i="58"/>
  <c r="H6348" i="58"/>
  <c r="I6348" i="58"/>
  <c r="O6348" i="58"/>
  <c r="P6348" i="58"/>
  <c r="H6349" i="58"/>
  <c r="I6349" i="58"/>
  <c r="J6349" i="58" s="1"/>
  <c r="O6349" i="58"/>
  <c r="P6349" i="58"/>
  <c r="H6350" i="58"/>
  <c r="I6350" i="58"/>
  <c r="O6350" i="58"/>
  <c r="P6350" i="58"/>
  <c r="H6351" i="58"/>
  <c r="I6351" i="58"/>
  <c r="K6351" i="58" s="1"/>
  <c r="L6351" i="58" s="1"/>
  <c r="O6351" i="58"/>
  <c r="P6351" i="58"/>
  <c r="H6352" i="58"/>
  <c r="I6352" i="58"/>
  <c r="J6352" i="58" s="1"/>
  <c r="O6352" i="58"/>
  <c r="P6352" i="58"/>
  <c r="H6353" i="58"/>
  <c r="I6353" i="58"/>
  <c r="K6353" i="58" s="1"/>
  <c r="L6353" i="58" s="1"/>
  <c r="O6353" i="58"/>
  <c r="P6353" i="58"/>
  <c r="H6354" i="58"/>
  <c r="I6354" i="58"/>
  <c r="O6354" i="58"/>
  <c r="P6354" i="58"/>
  <c r="H6355" i="58"/>
  <c r="I6355" i="58"/>
  <c r="O6355" i="58"/>
  <c r="P6355" i="58"/>
  <c r="H6356" i="58"/>
  <c r="I6356" i="58"/>
  <c r="O6356" i="58"/>
  <c r="P6356" i="58"/>
  <c r="H6357" i="58"/>
  <c r="I6357" i="58"/>
  <c r="O6357" i="58"/>
  <c r="P6357" i="58"/>
  <c r="H6358" i="58"/>
  <c r="I6358" i="58"/>
  <c r="O6358" i="58"/>
  <c r="P6358" i="58"/>
  <c r="H6359" i="58"/>
  <c r="I6359" i="58"/>
  <c r="J6359" i="58" s="1"/>
  <c r="O6359" i="58"/>
  <c r="P6359" i="58"/>
  <c r="H6360" i="58"/>
  <c r="I6360" i="58"/>
  <c r="K6360" i="58" s="1"/>
  <c r="L6360" i="58" s="1"/>
  <c r="O6360" i="58"/>
  <c r="P6360" i="58"/>
  <c r="H6361" i="58"/>
  <c r="I6361" i="58"/>
  <c r="O6361" i="58"/>
  <c r="P6361" i="58"/>
  <c r="H6362" i="58"/>
  <c r="I6362" i="58"/>
  <c r="K6362" i="58" s="1"/>
  <c r="L6362" i="58" s="1"/>
  <c r="O6362" i="58"/>
  <c r="P6362" i="58"/>
  <c r="H6363" i="58"/>
  <c r="I6363" i="58"/>
  <c r="J6363" i="58" s="1"/>
  <c r="O6363" i="58"/>
  <c r="P6363" i="58"/>
  <c r="H6364" i="58"/>
  <c r="I6364" i="58"/>
  <c r="O6364" i="58"/>
  <c r="P6364" i="58"/>
  <c r="H6365" i="58"/>
  <c r="I6365" i="58"/>
  <c r="J6365" i="58" s="1"/>
  <c r="O6365" i="58"/>
  <c r="P6365" i="58"/>
  <c r="H6366" i="58"/>
  <c r="I6366" i="58"/>
  <c r="O6366" i="58"/>
  <c r="P6366" i="58"/>
  <c r="H6367" i="58"/>
  <c r="I6367" i="58"/>
  <c r="K6367" i="58" s="1"/>
  <c r="L6367" i="58" s="1"/>
  <c r="O6367" i="58"/>
  <c r="P6367" i="58"/>
  <c r="H6368" i="58"/>
  <c r="I6368" i="58"/>
  <c r="K6368" i="58" s="1"/>
  <c r="L6368" i="58" s="1"/>
  <c r="O6368" i="58"/>
  <c r="P6368" i="58"/>
  <c r="H6369" i="58"/>
  <c r="I6369" i="58"/>
  <c r="K6369" i="58" s="1"/>
  <c r="L6369" i="58" s="1"/>
  <c r="O6369" i="58"/>
  <c r="P6369" i="58"/>
  <c r="H6370" i="58"/>
  <c r="I6370" i="58"/>
  <c r="J6370" i="58" s="1"/>
  <c r="O6370" i="58"/>
  <c r="P6370" i="58"/>
  <c r="H6371" i="58"/>
  <c r="I6371" i="58"/>
  <c r="J6371" i="58" s="1"/>
  <c r="O6371" i="58"/>
  <c r="P6371" i="58"/>
  <c r="H6372" i="58"/>
  <c r="I6372" i="58"/>
  <c r="O6372" i="58"/>
  <c r="P6372" i="58"/>
  <c r="H6373" i="58"/>
  <c r="I6373" i="58"/>
  <c r="O6373" i="58"/>
  <c r="P6373" i="58"/>
  <c r="H6374" i="58"/>
  <c r="I6374" i="58"/>
  <c r="K6374" i="58" s="1"/>
  <c r="L6374" i="58" s="1"/>
  <c r="O6374" i="58"/>
  <c r="P6374" i="58"/>
  <c r="H6375" i="58"/>
  <c r="I6375" i="58"/>
  <c r="J6375" i="58" s="1"/>
  <c r="O6375" i="58"/>
  <c r="P6375" i="58"/>
  <c r="H6376" i="58"/>
  <c r="I6376" i="58"/>
  <c r="O6376" i="58"/>
  <c r="P6376" i="58"/>
  <c r="H6377" i="58"/>
  <c r="I6377" i="58"/>
  <c r="K6377" i="58" s="1"/>
  <c r="L6377" i="58" s="1"/>
  <c r="O6377" i="58"/>
  <c r="P6377" i="58"/>
  <c r="H6378" i="58"/>
  <c r="I6378" i="58"/>
  <c r="K6378" i="58" s="1"/>
  <c r="L6378" i="58" s="1"/>
  <c r="O6378" i="58"/>
  <c r="P6378" i="58"/>
  <c r="H6379" i="58"/>
  <c r="I6379" i="58"/>
  <c r="J6379" i="58" s="1"/>
  <c r="O6379" i="58"/>
  <c r="P6379" i="58"/>
  <c r="H6380" i="58"/>
  <c r="I6380" i="58"/>
  <c r="O6380" i="58"/>
  <c r="P6380" i="58"/>
  <c r="H6381" i="58"/>
  <c r="I6381" i="58"/>
  <c r="K6381" i="58" s="1"/>
  <c r="L6381" i="58" s="1"/>
  <c r="O6381" i="58"/>
  <c r="P6381" i="58"/>
  <c r="H6382" i="58"/>
  <c r="I6382" i="58"/>
  <c r="O6382" i="58"/>
  <c r="P6382" i="58"/>
  <c r="H6383" i="58"/>
  <c r="I6383" i="58"/>
  <c r="K6383" i="58" s="1"/>
  <c r="L6383" i="58" s="1"/>
  <c r="O6383" i="58"/>
  <c r="P6383" i="58"/>
  <c r="H6384" i="58"/>
  <c r="I6384" i="58"/>
  <c r="K6384" i="58" s="1"/>
  <c r="L6384" i="58" s="1"/>
  <c r="O6384" i="58"/>
  <c r="P6384" i="58"/>
  <c r="H6385" i="58"/>
  <c r="I6385" i="58"/>
  <c r="K6385" i="58" s="1"/>
  <c r="L6385" i="58" s="1"/>
  <c r="O6385" i="58"/>
  <c r="P6385" i="58"/>
  <c r="H6386" i="58"/>
  <c r="I6386" i="58"/>
  <c r="J6386" i="58" s="1"/>
  <c r="O6386" i="58"/>
  <c r="P6386" i="58"/>
  <c r="H6387" i="58"/>
  <c r="I6387" i="58"/>
  <c r="J6387" i="58" s="1"/>
  <c r="O6387" i="58"/>
  <c r="P6387" i="58"/>
  <c r="H6388" i="58"/>
  <c r="I6388" i="58"/>
  <c r="K6388" i="58" s="1"/>
  <c r="L6388" i="58" s="1"/>
  <c r="O6388" i="58"/>
  <c r="P6388" i="58"/>
  <c r="H6389" i="58"/>
  <c r="I6389" i="58"/>
  <c r="O6389" i="58"/>
  <c r="P6389" i="58"/>
  <c r="H6390" i="58"/>
  <c r="I6390" i="58"/>
  <c r="J6390" i="58" s="1"/>
  <c r="O6390" i="58"/>
  <c r="P6390" i="58"/>
  <c r="H6391" i="58"/>
  <c r="I6391" i="58"/>
  <c r="K6391" i="58" s="1"/>
  <c r="L6391" i="58" s="1"/>
  <c r="O6391" i="58"/>
  <c r="P6391" i="58"/>
  <c r="H6392" i="58"/>
  <c r="I6392" i="58"/>
  <c r="O6392" i="58"/>
  <c r="P6392" i="58"/>
  <c r="H6393" i="58"/>
  <c r="I6393" i="58"/>
  <c r="K6393" i="58" s="1"/>
  <c r="L6393" i="58" s="1"/>
  <c r="O6393" i="58"/>
  <c r="P6393" i="58"/>
  <c r="H6394" i="58"/>
  <c r="I6394" i="58"/>
  <c r="J6394" i="58" s="1"/>
  <c r="O6394" i="58"/>
  <c r="P6394" i="58"/>
  <c r="H6395" i="58"/>
  <c r="I6395" i="58"/>
  <c r="K6395" i="58" s="1"/>
  <c r="L6395" i="58" s="1"/>
  <c r="O6395" i="58"/>
  <c r="P6395" i="58"/>
  <c r="H6396" i="58"/>
  <c r="I6396" i="58"/>
  <c r="J6396" i="58" s="1"/>
  <c r="O6396" i="58"/>
  <c r="P6396" i="58"/>
  <c r="H6397" i="58"/>
  <c r="I6397" i="58"/>
  <c r="O6397" i="58"/>
  <c r="P6397" i="58"/>
  <c r="H6398" i="58"/>
  <c r="I6398" i="58"/>
  <c r="J6398" i="58" s="1"/>
  <c r="O6398" i="58"/>
  <c r="P6398" i="58"/>
  <c r="H6399" i="58"/>
  <c r="I6399" i="58"/>
  <c r="K6399" i="58" s="1"/>
  <c r="L6399" i="58" s="1"/>
  <c r="O6399" i="58"/>
  <c r="P6399" i="58"/>
  <c r="H6400" i="58"/>
  <c r="I6400" i="58"/>
  <c r="J6400" i="58" s="1"/>
  <c r="O6400" i="58"/>
  <c r="P6400" i="58"/>
  <c r="H6401" i="58"/>
  <c r="I6401" i="58"/>
  <c r="J6401" i="58" s="1"/>
  <c r="O6401" i="58"/>
  <c r="P6401" i="58"/>
  <c r="H6402" i="58"/>
  <c r="I6402" i="58"/>
  <c r="K6402" i="58" s="1"/>
  <c r="L6402" i="58" s="1"/>
  <c r="O6402" i="58"/>
  <c r="P6402" i="58"/>
  <c r="G6403" i="58"/>
  <c r="H6403" i="58"/>
  <c r="I6403" i="58"/>
  <c r="J6403" i="58" s="1"/>
  <c r="O6403" i="58"/>
  <c r="P6403" i="58"/>
  <c r="H6404" i="58"/>
  <c r="I6404" i="58"/>
  <c r="O6404" i="58"/>
  <c r="P6404" i="58"/>
  <c r="H6405" i="58"/>
  <c r="I6405" i="58"/>
  <c r="J6405" i="58" s="1"/>
  <c r="O6405" i="58"/>
  <c r="P6405" i="58"/>
  <c r="H6406" i="58"/>
  <c r="I6406" i="58"/>
  <c r="O6406" i="58"/>
  <c r="P6406" i="58"/>
  <c r="H6407" i="58"/>
  <c r="I6407" i="58"/>
  <c r="O6407" i="58"/>
  <c r="P6407" i="58"/>
  <c r="H6408" i="58"/>
  <c r="I6408" i="58"/>
  <c r="J6408" i="58" s="1"/>
  <c r="O6408" i="58"/>
  <c r="P6408" i="58"/>
  <c r="H6409" i="58"/>
  <c r="I6409" i="58"/>
  <c r="K6409" i="58" s="1"/>
  <c r="L6409" i="58" s="1"/>
  <c r="O6409" i="58"/>
  <c r="P6409" i="58"/>
  <c r="H6410" i="58"/>
  <c r="I6410" i="58"/>
  <c r="J6410" i="58" s="1"/>
  <c r="O6410" i="58"/>
  <c r="P6410" i="58"/>
  <c r="H6411" i="58"/>
  <c r="I6411" i="58"/>
  <c r="O6411" i="58"/>
  <c r="P6411" i="58"/>
  <c r="H6412" i="58"/>
  <c r="I6412" i="58"/>
  <c r="O6412" i="58"/>
  <c r="P6412" i="58"/>
  <c r="H6413" i="58"/>
  <c r="I6413" i="58"/>
  <c r="K6413" i="58" s="1"/>
  <c r="L6413" i="58" s="1"/>
  <c r="O6413" i="58"/>
  <c r="P6413" i="58"/>
  <c r="H6414" i="58"/>
  <c r="I6414" i="58"/>
  <c r="J6414" i="58" s="1"/>
  <c r="O6414" i="58"/>
  <c r="P6414" i="58"/>
  <c r="H6415" i="58"/>
  <c r="I6415" i="58"/>
  <c r="O6415" i="58"/>
  <c r="P6415" i="58"/>
  <c r="H6416" i="58"/>
  <c r="I6416" i="58"/>
  <c r="K6416" i="58" s="1"/>
  <c r="L6416" i="58" s="1"/>
  <c r="O6416" i="58"/>
  <c r="P6416" i="58"/>
  <c r="H6417" i="58"/>
  <c r="I6417" i="58"/>
  <c r="J6417" i="58" s="1"/>
  <c r="O6417" i="58"/>
  <c r="P6417" i="58"/>
  <c r="H6418" i="58"/>
  <c r="I6418" i="58"/>
  <c r="O6418" i="58"/>
  <c r="P6418" i="58"/>
  <c r="H6419" i="58"/>
  <c r="I6419" i="58"/>
  <c r="J6419" i="58" s="1"/>
  <c r="O6419" i="58"/>
  <c r="P6419" i="58"/>
  <c r="H6420" i="58"/>
  <c r="I6420" i="58"/>
  <c r="K6420" i="58" s="1"/>
  <c r="L6420" i="58" s="1"/>
  <c r="O6420" i="58"/>
  <c r="P6420" i="58"/>
  <c r="H6421" i="58"/>
  <c r="I6421" i="58"/>
  <c r="K6421" i="58" s="1"/>
  <c r="L6421" i="58" s="1"/>
  <c r="O6421" i="58"/>
  <c r="P6421" i="58"/>
  <c r="H6422" i="58"/>
  <c r="I6422" i="58"/>
  <c r="J6422" i="58" s="1"/>
  <c r="O6422" i="58"/>
  <c r="P6422" i="58"/>
  <c r="H6423" i="58"/>
  <c r="I6423" i="58"/>
  <c r="K6423" i="58" s="1"/>
  <c r="L6423" i="58" s="1"/>
  <c r="O6423" i="58"/>
  <c r="P6423" i="58"/>
  <c r="H6424" i="58"/>
  <c r="I6424" i="58"/>
  <c r="O6424" i="58"/>
  <c r="P6424" i="58"/>
  <c r="H6425" i="58"/>
  <c r="I6425" i="58"/>
  <c r="O6425" i="58"/>
  <c r="P6425" i="58"/>
  <c r="H6426" i="58"/>
  <c r="I6426" i="58"/>
  <c r="K6426" i="58" s="1"/>
  <c r="L6426" i="58" s="1"/>
  <c r="O6426" i="58"/>
  <c r="P6426" i="58"/>
  <c r="H6427" i="58"/>
  <c r="I6427" i="58"/>
  <c r="K6427" i="58" s="1"/>
  <c r="L6427" i="58" s="1"/>
  <c r="O6427" i="58"/>
  <c r="P6427" i="58"/>
  <c r="H6428" i="58"/>
  <c r="I6428" i="58"/>
  <c r="K6428" i="58" s="1"/>
  <c r="L6428" i="58" s="1"/>
  <c r="O6428" i="58"/>
  <c r="P6428" i="58"/>
  <c r="H6429" i="58"/>
  <c r="I6429" i="58"/>
  <c r="J6429" i="58" s="1"/>
  <c r="O6429" i="58"/>
  <c r="P6429" i="58"/>
  <c r="H6430" i="58"/>
  <c r="I6430" i="58"/>
  <c r="K6430" i="58" s="1"/>
  <c r="L6430" i="58" s="1"/>
  <c r="O6430" i="58"/>
  <c r="P6430" i="58"/>
  <c r="H6431" i="58"/>
  <c r="I6431" i="58"/>
  <c r="K6431" i="58" s="1"/>
  <c r="L6431" i="58" s="1"/>
  <c r="O6431" i="58"/>
  <c r="P6431" i="58"/>
  <c r="H6432" i="58"/>
  <c r="I6432" i="58"/>
  <c r="J6432" i="58" s="1"/>
  <c r="O6432" i="58"/>
  <c r="P6432" i="58"/>
  <c r="H6433" i="58"/>
  <c r="I6433" i="58"/>
  <c r="K6433" i="58" s="1"/>
  <c r="L6433" i="58" s="1"/>
  <c r="O6433" i="58"/>
  <c r="P6433" i="58"/>
  <c r="H6434" i="58"/>
  <c r="I6434" i="58"/>
  <c r="K6434" i="58" s="1"/>
  <c r="L6434" i="58" s="1"/>
  <c r="O6434" i="58"/>
  <c r="P6434" i="58"/>
  <c r="H6435" i="58"/>
  <c r="I6435" i="58"/>
  <c r="K6435" i="58" s="1"/>
  <c r="L6435" i="58" s="1"/>
  <c r="O6435" i="58"/>
  <c r="P6435" i="58"/>
  <c r="H6436" i="58"/>
  <c r="I6436" i="58"/>
  <c r="J6436" i="58" s="1"/>
  <c r="O6436" i="58"/>
  <c r="P6436" i="58"/>
  <c r="H6437" i="58"/>
  <c r="I6437" i="58"/>
  <c r="K6437" i="58" s="1"/>
  <c r="L6437" i="58" s="1"/>
  <c r="O6437" i="58"/>
  <c r="P6437" i="58"/>
  <c r="H6438" i="58"/>
  <c r="I6438" i="58"/>
  <c r="J6438" i="58" s="1"/>
  <c r="O6438" i="58"/>
  <c r="P6438" i="58"/>
  <c r="H6439" i="58"/>
  <c r="I6439" i="58"/>
  <c r="J6439" i="58" s="1"/>
  <c r="O6439" i="58"/>
  <c r="P6439" i="58"/>
  <c r="H6440" i="58"/>
  <c r="I6440" i="58"/>
  <c r="O6440" i="58"/>
  <c r="P6440" i="58"/>
  <c r="H6441" i="58"/>
  <c r="I6441" i="58"/>
  <c r="J6441" i="58" s="1"/>
  <c r="O6441" i="58"/>
  <c r="P6441" i="58"/>
  <c r="H6442" i="58"/>
  <c r="I6442" i="58"/>
  <c r="O6442" i="58"/>
  <c r="P6442" i="58"/>
  <c r="H6443" i="58"/>
  <c r="I6443" i="58"/>
  <c r="J6443" i="58" s="1"/>
  <c r="O6443" i="58"/>
  <c r="P6443" i="58"/>
  <c r="H6444" i="58"/>
  <c r="I6444" i="58"/>
  <c r="J6444" i="58" s="1"/>
  <c r="O6444" i="58"/>
  <c r="P6444" i="58"/>
  <c r="H6445" i="58"/>
  <c r="I6445" i="58"/>
  <c r="O6445" i="58"/>
  <c r="P6445" i="58"/>
  <c r="H6446" i="58"/>
  <c r="I6446" i="58"/>
  <c r="J6446" i="58" s="1"/>
  <c r="O6446" i="58"/>
  <c r="P6446" i="58"/>
  <c r="H6447" i="58"/>
  <c r="I6447" i="58"/>
  <c r="O6447" i="58"/>
  <c r="P6447" i="58"/>
  <c r="H6448" i="58"/>
  <c r="I6448" i="58"/>
  <c r="K6448" i="58" s="1"/>
  <c r="L6448" i="58" s="1"/>
  <c r="O6448" i="58"/>
  <c r="P6448" i="58"/>
  <c r="H6449" i="58"/>
  <c r="I6449" i="58"/>
  <c r="J6449" i="58" s="1"/>
  <c r="O6449" i="58"/>
  <c r="P6449" i="58"/>
  <c r="H6450" i="58"/>
  <c r="I6450" i="58"/>
  <c r="O6450" i="58"/>
  <c r="P6450" i="58"/>
  <c r="H6451" i="58"/>
  <c r="I6451" i="58"/>
  <c r="O6451" i="58"/>
  <c r="P6451" i="58"/>
  <c r="H6452" i="58"/>
  <c r="I6452" i="58"/>
  <c r="J6452" i="58" s="1"/>
  <c r="O6452" i="58"/>
  <c r="P6452" i="58"/>
  <c r="H6453" i="58"/>
  <c r="I6453" i="58"/>
  <c r="K6453" i="58" s="1"/>
  <c r="L6453" i="58" s="1"/>
  <c r="O6453" i="58"/>
  <c r="P6453" i="58"/>
  <c r="H6454" i="58"/>
  <c r="I6454" i="58"/>
  <c r="J6454" i="58" s="1"/>
  <c r="O6454" i="58"/>
  <c r="P6454" i="58"/>
  <c r="H6455" i="58"/>
  <c r="I6455" i="58"/>
  <c r="K6455" i="58" s="1"/>
  <c r="L6455" i="58" s="1"/>
  <c r="O6455" i="58"/>
  <c r="P6455" i="58"/>
  <c r="H6456" i="58"/>
  <c r="I6456" i="58"/>
  <c r="J6456" i="58" s="1"/>
  <c r="O6456" i="58"/>
  <c r="P6456" i="58"/>
  <c r="H6457" i="58"/>
  <c r="I6457" i="58"/>
  <c r="K6457" i="58" s="1"/>
  <c r="L6457" i="58" s="1"/>
  <c r="O6457" i="58"/>
  <c r="P6457" i="58"/>
  <c r="H6458" i="58"/>
  <c r="I6458" i="58"/>
  <c r="O6458" i="58"/>
  <c r="P6458" i="58"/>
  <c r="H6459" i="58"/>
  <c r="I6459" i="58"/>
  <c r="K6459" i="58" s="1"/>
  <c r="L6459" i="58" s="1"/>
  <c r="O6459" i="58"/>
  <c r="P6459" i="58"/>
  <c r="H6460" i="58"/>
  <c r="I6460" i="58"/>
  <c r="J6460" i="58" s="1"/>
  <c r="O6460" i="58"/>
  <c r="P6460" i="58"/>
  <c r="H6461" i="58"/>
  <c r="I6461" i="58"/>
  <c r="J6461" i="58" s="1"/>
  <c r="O6461" i="58"/>
  <c r="P6461" i="58"/>
  <c r="H6462" i="58"/>
  <c r="I6462" i="58"/>
  <c r="K6462" i="58" s="1"/>
  <c r="L6462" i="58" s="1"/>
  <c r="O6462" i="58"/>
  <c r="P6462" i="58"/>
  <c r="H6463" i="58"/>
  <c r="I6463" i="58"/>
  <c r="J6463" i="58" s="1"/>
  <c r="O6463" i="58"/>
  <c r="P6463" i="58"/>
  <c r="H6464" i="58"/>
  <c r="I6464" i="58"/>
  <c r="O6464" i="58"/>
  <c r="P6464" i="58"/>
  <c r="H6465" i="58"/>
  <c r="I6465" i="58"/>
  <c r="O6465" i="58"/>
  <c r="P6465" i="58"/>
  <c r="H6466" i="58"/>
  <c r="I6466" i="58"/>
  <c r="O6466" i="58"/>
  <c r="P6466" i="58"/>
  <c r="H6467" i="58"/>
  <c r="I6467" i="58"/>
  <c r="K6467" i="58" s="1"/>
  <c r="L6467" i="58" s="1"/>
  <c r="O6467" i="58"/>
  <c r="P6467" i="58"/>
  <c r="H6468" i="58"/>
  <c r="I6468" i="58"/>
  <c r="J6468" i="58" s="1"/>
  <c r="O6468" i="58"/>
  <c r="P6468" i="58"/>
  <c r="H6469" i="58"/>
  <c r="I6469" i="58"/>
  <c r="J6469" i="58" s="1"/>
  <c r="O6469" i="58"/>
  <c r="P6469" i="58"/>
  <c r="H6470" i="58"/>
  <c r="I6470" i="58"/>
  <c r="J6470" i="58" s="1"/>
  <c r="O6470" i="58"/>
  <c r="P6470" i="58"/>
  <c r="H6471" i="58"/>
  <c r="I6471" i="58"/>
  <c r="K6471" i="58" s="1"/>
  <c r="L6471" i="58" s="1"/>
  <c r="O6471" i="58"/>
  <c r="P6471" i="58"/>
  <c r="H6472" i="58"/>
  <c r="I6472" i="58"/>
  <c r="O6472" i="58"/>
  <c r="P6472" i="58"/>
  <c r="H6473" i="58"/>
  <c r="I6473" i="58"/>
  <c r="J6473" i="58" s="1"/>
  <c r="O6473" i="58"/>
  <c r="P6473" i="58"/>
  <c r="H6474" i="58"/>
  <c r="I6474" i="58"/>
  <c r="K6474" i="58" s="1"/>
  <c r="L6474" i="58" s="1"/>
  <c r="O6474" i="58"/>
  <c r="P6474" i="58"/>
  <c r="H6475" i="58"/>
  <c r="I6475" i="58"/>
  <c r="J6475" i="58" s="1"/>
  <c r="O6475" i="58"/>
  <c r="P6475" i="58"/>
  <c r="H6476" i="58"/>
  <c r="I6476" i="58"/>
  <c r="J6476" i="58" s="1"/>
  <c r="O6476" i="58"/>
  <c r="P6476" i="58"/>
  <c r="H6477" i="58"/>
  <c r="I6477" i="58"/>
  <c r="J6477" i="58" s="1"/>
  <c r="O6477" i="58"/>
  <c r="P6477" i="58"/>
  <c r="H6478" i="58"/>
  <c r="I6478" i="58"/>
  <c r="K6478" i="58" s="1"/>
  <c r="L6478" i="58" s="1"/>
  <c r="O6478" i="58"/>
  <c r="P6478" i="58"/>
  <c r="H6479" i="58"/>
  <c r="I6479" i="58"/>
  <c r="O6479" i="58"/>
  <c r="P6479" i="58"/>
  <c r="H6480" i="58"/>
  <c r="I6480" i="58"/>
  <c r="K6480" i="58" s="1"/>
  <c r="L6480" i="58" s="1"/>
  <c r="O6480" i="58"/>
  <c r="P6480" i="58"/>
  <c r="H6481" i="58"/>
  <c r="I6481" i="58"/>
  <c r="O6481" i="58"/>
  <c r="P6481" i="58"/>
  <c r="H6482" i="58"/>
  <c r="I6482" i="58"/>
  <c r="J6482" i="58" s="1"/>
  <c r="O6482" i="58"/>
  <c r="P6482" i="58"/>
  <c r="H6483" i="58"/>
  <c r="I6483" i="58"/>
  <c r="O6483" i="58"/>
  <c r="P6483" i="58"/>
  <c r="H6484" i="58"/>
  <c r="I6484" i="58"/>
  <c r="J6484" i="58" s="1"/>
  <c r="O6484" i="58"/>
  <c r="P6484" i="58"/>
  <c r="H6485" i="58"/>
  <c r="I6485" i="58"/>
  <c r="K6485" i="58" s="1"/>
  <c r="L6485" i="58" s="1"/>
  <c r="O6485" i="58"/>
  <c r="P6485" i="58"/>
  <c r="H6486" i="58"/>
  <c r="I6486" i="58"/>
  <c r="O6486" i="58"/>
  <c r="P6486" i="58"/>
  <c r="H6487" i="58"/>
  <c r="I6487" i="58"/>
  <c r="J6487" i="58" s="1"/>
  <c r="O6487" i="58"/>
  <c r="P6487" i="58"/>
  <c r="H6488" i="58"/>
  <c r="I6488" i="58"/>
  <c r="J6488" i="58" s="1"/>
  <c r="O6488" i="58"/>
  <c r="P6488" i="58"/>
  <c r="H6489" i="58"/>
  <c r="I6489" i="58"/>
  <c r="K6489" i="58" s="1"/>
  <c r="L6489" i="58" s="1"/>
  <c r="O6489" i="58"/>
  <c r="P6489" i="58"/>
  <c r="H6490" i="58"/>
  <c r="I6490" i="58"/>
  <c r="K6490" i="58" s="1"/>
  <c r="L6490" i="58" s="1"/>
  <c r="O6490" i="58"/>
  <c r="P6490" i="58"/>
  <c r="H6491" i="58"/>
  <c r="I6491" i="58"/>
  <c r="J6491" i="58" s="1"/>
  <c r="O6491" i="58"/>
  <c r="P6491" i="58"/>
  <c r="H6492" i="58"/>
  <c r="I6492" i="58"/>
  <c r="K6492" i="58" s="1"/>
  <c r="L6492" i="58" s="1"/>
  <c r="O6492" i="58"/>
  <c r="P6492" i="58"/>
  <c r="H6493" i="58"/>
  <c r="I6493" i="58"/>
  <c r="O6493" i="58"/>
  <c r="P6493" i="58"/>
  <c r="H6494" i="58"/>
  <c r="I6494" i="58"/>
  <c r="K6494" i="58" s="1"/>
  <c r="L6494" i="58" s="1"/>
  <c r="O6494" i="58"/>
  <c r="P6494" i="58"/>
  <c r="H6495" i="58"/>
  <c r="I6495" i="58"/>
  <c r="K6495" i="58" s="1"/>
  <c r="L6495" i="58" s="1"/>
  <c r="O6495" i="58"/>
  <c r="P6495" i="58"/>
  <c r="H6496" i="58"/>
  <c r="I6496" i="58"/>
  <c r="O6496" i="58"/>
  <c r="P6496" i="58"/>
  <c r="H6497" i="58"/>
  <c r="I6497" i="58"/>
  <c r="J6497" i="58" s="1"/>
  <c r="O6497" i="58"/>
  <c r="P6497" i="58"/>
  <c r="H6498" i="58"/>
  <c r="I6498" i="58"/>
  <c r="O6498" i="58"/>
  <c r="P6498" i="58"/>
  <c r="H6499" i="58"/>
  <c r="I6499" i="58"/>
  <c r="K6499" i="58" s="1"/>
  <c r="L6499" i="58" s="1"/>
  <c r="O6499" i="58"/>
  <c r="P6499" i="58"/>
  <c r="H6500" i="58"/>
  <c r="I6500" i="58"/>
  <c r="J6500" i="58" s="1"/>
  <c r="O6500" i="58"/>
  <c r="P6500" i="58"/>
  <c r="H6501" i="58"/>
  <c r="I6501" i="58"/>
  <c r="K6501" i="58" s="1"/>
  <c r="L6501" i="58" s="1"/>
  <c r="O6501" i="58"/>
  <c r="P6501" i="58"/>
  <c r="H6502" i="58"/>
  <c r="I6502" i="58"/>
  <c r="J6502" i="58" s="1"/>
  <c r="O6502" i="58"/>
  <c r="P6502" i="58"/>
  <c r="H6503" i="58"/>
  <c r="I6503" i="58"/>
  <c r="O6503" i="58"/>
  <c r="P6503" i="58"/>
  <c r="H6504" i="58"/>
  <c r="I6504" i="58"/>
  <c r="J6504" i="58" s="1"/>
  <c r="O6504" i="58"/>
  <c r="P6504" i="58"/>
  <c r="H6505" i="58"/>
  <c r="I6505" i="58"/>
  <c r="O6505" i="58"/>
  <c r="P6505" i="58"/>
  <c r="H6506" i="58"/>
  <c r="I6506" i="58"/>
  <c r="K6506" i="58" s="1"/>
  <c r="L6506" i="58" s="1"/>
  <c r="O6506" i="58"/>
  <c r="P6506" i="58"/>
  <c r="H6507" i="58"/>
  <c r="I6507" i="58"/>
  <c r="J6507" i="58" s="1"/>
  <c r="O6507" i="58"/>
  <c r="P6507" i="58"/>
  <c r="H6508" i="58"/>
  <c r="I6508" i="58"/>
  <c r="O6508" i="58"/>
  <c r="P6508" i="58"/>
  <c r="H6509" i="58"/>
  <c r="I6509" i="58"/>
  <c r="K6509" i="58" s="1"/>
  <c r="L6509" i="58" s="1"/>
  <c r="O6509" i="58"/>
  <c r="P6509" i="58"/>
  <c r="H6510" i="58"/>
  <c r="I6510" i="58"/>
  <c r="J6510" i="58" s="1"/>
  <c r="O6510" i="58"/>
  <c r="P6510" i="58"/>
  <c r="H6511" i="58"/>
  <c r="I6511" i="58"/>
  <c r="J6511" i="58" s="1"/>
  <c r="O6511" i="58"/>
  <c r="P6511" i="58"/>
  <c r="H6512" i="58"/>
  <c r="I6512" i="58"/>
  <c r="O6512" i="58"/>
  <c r="P6512" i="58"/>
  <c r="H6513" i="58"/>
  <c r="I6513" i="58"/>
  <c r="O6513" i="58"/>
  <c r="P6513" i="58"/>
  <c r="H6514" i="58"/>
  <c r="I6514" i="58"/>
  <c r="J6514" i="58" s="1"/>
  <c r="O6514" i="58"/>
  <c r="P6514" i="58"/>
  <c r="H6515" i="58"/>
  <c r="I6515" i="58"/>
  <c r="J6515" i="58" s="1"/>
  <c r="O6515" i="58"/>
  <c r="P6515" i="58"/>
  <c r="H6516" i="58"/>
  <c r="I6516" i="58"/>
  <c r="K6516" i="58" s="1"/>
  <c r="L6516" i="58" s="1"/>
  <c r="O6516" i="58"/>
  <c r="P6516" i="58"/>
  <c r="H6517" i="58"/>
  <c r="I6517" i="58"/>
  <c r="O6517" i="58"/>
  <c r="P6517" i="58"/>
  <c r="H6518" i="58"/>
  <c r="I6518" i="58"/>
  <c r="J6518" i="58" s="1"/>
  <c r="O6518" i="58"/>
  <c r="P6518" i="58"/>
  <c r="H6519" i="58"/>
  <c r="I6519" i="58"/>
  <c r="O6519" i="58"/>
  <c r="P6519" i="58"/>
  <c r="H6520" i="58"/>
  <c r="I6520" i="58"/>
  <c r="K6520" i="58" s="1"/>
  <c r="L6520" i="58" s="1"/>
  <c r="O6520" i="58"/>
  <c r="P6520" i="58"/>
  <c r="H6521" i="58"/>
  <c r="I6521" i="58"/>
  <c r="O6521" i="58"/>
  <c r="P6521" i="58"/>
  <c r="H6522" i="58"/>
  <c r="I6522" i="58"/>
  <c r="J6522" i="58" s="1"/>
  <c r="O6522" i="58"/>
  <c r="P6522" i="58"/>
  <c r="H6523" i="58"/>
  <c r="I6523" i="58"/>
  <c r="O6523" i="58"/>
  <c r="P6523" i="58"/>
  <c r="H6524" i="58"/>
  <c r="I6524" i="58"/>
  <c r="O6524" i="58"/>
  <c r="P6524" i="58"/>
  <c r="H6525" i="58"/>
  <c r="I6525" i="58"/>
  <c r="J6525" i="58" s="1"/>
  <c r="O6525" i="58"/>
  <c r="P6525" i="58"/>
  <c r="H6526" i="58"/>
  <c r="I6526" i="58"/>
  <c r="O6526" i="58"/>
  <c r="P6526" i="58"/>
  <c r="H6527" i="58"/>
  <c r="I6527" i="58"/>
  <c r="K6527" i="58" s="1"/>
  <c r="L6527" i="58" s="1"/>
  <c r="O6527" i="58"/>
  <c r="P6527" i="58"/>
  <c r="H6528" i="58"/>
  <c r="I6528" i="58"/>
  <c r="J6528" i="58" s="1"/>
  <c r="O6528" i="58"/>
  <c r="P6528" i="58"/>
  <c r="H6529" i="58"/>
  <c r="I6529" i="58"/>
  <c r="J6529" i="58" s="1"/>
  <c r="O6529" i="58"/>
  <c r="P6529" i="58"/>
  <c r="H6530" i="58"/>
  <c r="I6530" i="58"/>
  <c r="O6530" i="58"/>
  <c r="P6530" i="58"/>
  <c r="H6531" i="58"/>
  <c r="I6531" i="58"/>
  <c r="O6531" i="58"/>
  <c r="P6531" i="58"/>
  <c r="H6532" i="58"/>
  <c r="I6532" i="58"/>
  <c r="K6532" i="58" s="1"/>
  <c r="L6532" i="58" s="1"/>
  <c r="O6532" i="58"/>
  <c r="P6532" i="58"/>
  <c r="H6533" i="58"/>
  <c r="I6533" i="58"/>
  <c r="O6533" i="58"/>
  <c r="P6533" i="58"/>
  <c r="H6534" i="58"/>
  <c r="I6534" i="58"/>
  <c r="K6534" i="58" s="1"/>
  <c r="L6534" i="58" s="1"/>
  <c r="O6534" i="58"/>
  <c r="P6534" i="58"/>
  <c r="H6535" i="58"/>
  <c r="I6535" i="58"/>
  <c r="J6535" i="58" s="1"/>
  <c r="O6535" i="58"/>
  <c r="P6535" i="58"/>
  <c r="H6536" i="58"/>
  <c r="I6536" i="58"/>
  <c r="J6536" i="58" s="1"/>
  <c r="O6536" i="58"/>
  <c r="P6536" i="58"/>
  <c r="H6537" i="58"/>
  <c r="I6537" i="58"/>
  <c r="K6537" i="58" s="1"/>
  <c r="L6537" i="58" s="1"/>
  <c r="O6537" i="58"/>
  <c r="P6537" i="58"/>
  <c r="H6538" i="58"/>
  <c r="I6538" i="58"/>
  <c r="J6538" i="58" s="1"/>
  <c r="O6538" i="58"/>
  <c r="P6538" i="58"/>
  <c r="H6539" i="58"/>
  <c r="I6539" i="58"/>
  <c r="O6539" i="58"/>
  <c r="P6539" i="58"/>
  <c r="H6540" i="58"/>
  <c r="I6540" i="58"/>
  <c r="O6540" i="58"/>
  <c r="P6540" i="58"/>
  <c r="H6541" i="58"/>
  <c r="I6541" i="58"/>
  <c r="O6541" i="58"/>
  <c r="P6541" i="58"/>
  <c r="H6542" i="58"/>
  <c r="I6542" i="58"/>
  <c r="K6542" i="58" s="1"/>
  <c r="L6542" i="58" s="1"/>
  <c r="O6542" i="58"/>
  <c r="P6542" i="58"/>
  <c r="H6543" i="58"/>
  <c r="I6543" i="58"/>
  <c r="O6543" i="58"/>
  <c r="P6543" i="58"/>
  <c r="H6544" i="58"/>
  <c r="I6544" i="58"/>
  <c r="K6544" i="58" s="1"/>
  <c r="L6544" i="58" s="1"/>
  <c r="O6544" i="58"/>
  <c r="P6544" i="58"/>
  <c r="H6545" i="58"/>
  <c r="I6545" i="58"/>
  <c r="K6545" i="58" s="1"/>
  <c r="L6545" i="58" s="1"/>
  <c r="O6545" i="58"/>
  <c r="P6545" i="58"/>
  <c r="H6546" i="58"/>
  <c r="I6546" i="58"/>
  <c r="J6546" i="58" s="1"/>
  <c r="O6546" i="58"/>
  <c r="P6546" i="58"/>
  <c r="H6547" i="58"/>
  <c r="I6547" i="58"/>
  <c r="O6547" i="58"/>
  <c r="P6547" i="58"/>
  <c r="H6548" i="58"/>
  <c r="I6548" i="58"/>
  <c r="K6548" i="58" s="1"/>
  <c r="L6548" i="58" s="1"/>
  <c r="O6548" i="58"/>
  <c r="P6548" i="58"/>
  <c r="H6549" i="58"/>
  <c r="I6549" i="58"/>
  <c r="O6549" i="58"/>
  <c r="P6549" i="58"/>
  <c r="H6550" i="58"/>
  <c r="I6550" i="58"/>
  <c r="J6550" i="58" s="1"/>
  <c r="O6550" i="58"/>
  <c r="P6550" i="58"/>
  <c r="H6551" i="58"/>
  <c r="I6551" i="58"/>
  <c r="K6551" i="58" s="1"/>
  <c r="L6551" i="58" s="1"/>
  <c r="O6551" i="58"/>
  <c r="P6551" i="58"/>
  <c r="H6552" i="58"/>
  <c r="I6552" i="58"/>
  <c r="J6552" i="58" s="1"/>
  <c r="O6552" i="58"/>
  <c r="P6552" i="58"/>
  <c r="H6553" i="58"/>
  <c r="I6553" i="58"/>
  <c r="J6553" i="58" s="1"/>
  <c r="O6553" i="58"/>
  <c r="P6553" i="58"/>
  <c r="H6554" i="58"/>
  <c r="I6554" i="58"/>
  <c r="O6554" i="58"/>
  <c r="P6554" i="58"/>
  <c r="H6555" i="58"/>
  <c r="I6555" i="58"/>
  <c r="K6555" i="58" s="1"/>
  <c r="L6555" i="58" s="1"/>
  <c r="O6555" i="58"/>
  <c r="P6555" i="58"/>
  <c r="H6556" i="58"/>
  <c r="I6556" i="58"/>
  <c r="J6556" i="58" s="1"/>
  <c r="O6556" i="58"/>
  <c r="P6556" i="58"/>
  <c r="H6557" i="58"/>
  <c r="I6557" i="58"/>
  <c r="K6557" i="58" s="1"/>
  <c r="L6557" i="58" s="1"/>
  <c r="O6557" i="58"/>
  <c r="P6557" i="58"/>
  <c r="H6558" i="58"/>
  <c r="I6558" i="58"/>
  <c r="J6558" i="58" s="1"/>
  <c r="O6558" i="58"/>
  <c r="P6558" i="58"/>
  <c r="H6559" i="58"/>
  <c r="I6559" i="58"/>
  <c r="J6559" i="58" s="1"/>
  <c r="O6559" i="58"/>
  <c r="P6559" i="58"/>
  <c r="H6560" i="58"/>
  <c r="I6560" i="58"/>
  <c r="O6560" i="58"/>
  <c r="P6560" i="58"/>
  <c r="H6561" i="58"/>
  <c r="I6561" i="58"/>
  <c r="O6561" i="58"/>
  <c r="P6561" i="58"/>
  <c r="H6562" i="58"/>
  <c r="I6562" i="58"/>
  <c r="O6562" i="58"/>
  <c r="P6562" i="58"/>
  <c r="H6563" i="58"/>
  <c r="I6563" i="58"/>
  <c r="O6563" i="58"/>
  <c r="P6563" i="58"/>
  <c r="H6564" i="58"/>
  <c r="I6564" i="58"/>
  <c r="J6564" i="58" s="1"/>
  <c r="O6564" i="58"/>
  <c r="P6564" i="58"/>
  <c r="H6565" i="58"/>
  <c r="I6565" i="58"/>
  <c r="O6565" i="58"/>
  <c r="P6565" i="58"/>
  <c r="H6566" i="58"/>
  <c r="I6566" i="58"/>
  <c r="K6566" i="58" s="1"/>
  <c r="L6566" i="58" s="1"/>
  <c r="O6566" i="58"/>
  <c r="P6566" i="58"/>
  <c r="H6567" i="58"/>
  <c r="I6567" i="58"/>
  <c r="K6567" i="58" s="1"/>
  <c r="L6567" i="58" s="1"/>
  <c r="O6567" i="58"/>
  <c r="P6567" i="58"/>
  <c r="H6568" i="58"/>
  <c r="I6568" i="58"/>
  <c r="J6568" i="58" s="1"/>
  <c r="O6568" i="58"/>
  <c r="P6568" i="58"/>
  <c r="H6569" i="58"/>
  <c r="I6569" i="58"/>
  <c r="O6569" i="58"/>
  <c r="P6569" i="58"/>
  <c r="H6570" i="58"/>
  <c r="I6570" i="58"/>
  <c r="O6570" i="58"/>
  <c r="P6570" i="58"/>
  <c r="H6571" i="58"/>
  <c r="I6571" i="58"/>
  <c r="K6571" i="58" s="1"/>
  <c r="L6571" i="58" s="1"/>
  <c r="O6571" i="58"/>
  <c r="P6571" i="58"/>
  <c r="H6572" i="58"/>
  <c r="I6572" i="58"/>
  <c r="K6572" i="58" s="1"/>
  <c r="L6572" i="58" s="1"/>
  <c r="O6572" i="58"/>
  <c r="P6572" i="58"/>
  <c r="H6573" i="58"/>
  <c r="I6573" i="58"/>
  <c r="J6573" i="58" s="1"/>
  <c r="O6573" i="58"/>
  <c r="P6573" i="58"/>
  <c r="G6574" i="58"/>
  <c r="H6574" i="58"/>
  <c r="I6574" i="58"/>
  <c r="J6574" i="58" s="1"/>
  <c r="O6574" i="58"/>
  <c r="P6574" i="58"/>
  <c r="G6575" i="58"/>
  <c r="H6575" i="58"/>
  <c r="I6575" i="58"/>
  <c r="O6575" i="58"/>
  <c r="P6575" i="58"/>
  <c r="G6576" i="58"/>
  <c r="H6576" i="58"/>
  <c r="I6576" i="58"/>
  <c r="K6576" i="58" s="1"/>
  <c r="L6576" i="58" s="1"/>
  <c r="O6576" i="58"/>
  <c r="P6576" i="58"/>
  <c r="G6577" i="58"/>
  <c r="H6577" i="58"/>
  <c r="I6577" i="58"/>
  <c r="O6577" i="58"/>
  <c r="P6577" i="58"/>
  <c r="G6578" i="58"/>
  <c r="H6578" i="58"/>
  <c r="I6578" i="58"/>
  <c r="K6578" i="58" s="1"/>
  <c r="L6578" i="58" s="1"/>
  <c r="O6578" i="58"/>
  <c r="P6578" i="58"/>
  <c r="G6579" i="58"/>
  <c r="H6579" i="58"/>
  <c r="I6579" i="58"/>
  <c r="K6579" i="58" s="1"/>
  <c r="L6579" i="58" s="1"/>
  <c r="O6579" i="58"/>
  <c r="P6579" i="58"/>
  <c r="G6580" i="58"/>
  <c r="H6580" i="58"/>
  <c r="I6580" i="58"/>
  <c r="K6580" i="58" s="1"/>
  <c r="L6580" i="58" s="1"/>
  <c r="O6580" i="58"/>
  <c r="P6580" i="58"/>
  <c r="G6581" i="58"/>
  <c r="H6581" i="58"/>
  <c r="I6581" i="58"/>
  <c r="J6581" i="58" s="1"/>
  <c r="O6581" i="58"/>
  <c r="P6581" i="58"/>
  <c r="G6582" i="58"/>
  <c r="H6582" i="58"/>
  <c r="I6582" i="58"/>
  <c r="J6582" i="58" s="1"/>
  <c r="O6582" i="58"/>
  <c r="P6582" i="58"/>
  <c r="G6583" i="58"/>
  <c r="H6583" i="58"/>
  <c r="I6583" i="58"/>
  <c r="K6583" i="58" s="1"/>
  <c r="L6583" i="58" s="1"/>
  <c r="O6583" i="58"/>
  <c r="P6583" i="58"/>
  <c r="G6584" i="58"/>
  <c r="H6584" i="58"/>
  <c r="I6584" i="58"/>
  <c r="J6584" i="58" s="1"/>
  <c r="O6584" i="58"/>
  <c r="P6584" i="58"/>
  <c r="G6585" i="58"/>
  <c r="H6585" i="58"/>
  <c r="I6585" i="58"/>
  <c r="K6585" i="58" s="1"/>
  <c r="L6585" i="58" s="1"/>
  <c r="O6585" i="58"/>
  <c r="P6585" i="58"/>
  <c r="H6586" i="58"/>
  <c r="I6586" i="58"/>
  <c r="J6586" i="58" s="1"/>
  <c r="O6586" i="58"/>
  <c r="P6586" i="58"/>
  <c r="H6587" i="58"/>
  <c r="I6587" i="58"/>
  <c r="K6587" i="58" s="1"/>
  <c r="L6587" i="58" s="1"/>
  <c r="O6587" i="58"/>
  <c r="P6587" i="58"/>
  <c r="H6588" i="58"/>
  <c r="I6588" i="58"/>
  <c r="K6588" i="58" s="1"/>
  <c r="L6588" i="58" s="1"/>
  <c r="O6588" i="58"/>
  <c r="P6588" i="58"/>
  <c r="H6589" i="58"/>
  <c r="I6589" i="58"/>
  <c r="O6589" i="58"/>
  <c r="P6589" i="58"/>
  <c r="H6590" i="58"/>
  <c r="I6590" i="58"/>
  <c r="O6590" i="58"/>
  <c r="P6590" i="58"/>
  <c r="H6591" i="58"/>
  <c r="I6591" i="58"/>
  <c r="J6591" i="58" s="1"/>
  <c r="O6591" i="58"/>
  <c r="P6591" i="58"/>
  <c r="H6592" i="58"/>
  <c r="I6592" i="58"/>
  <c r="K6592" i="58" s="1"/>
  <c r="L6592" i="58" s="1"/>
  <c r="O6592" i="58"/>
  <c r="P6592" i="58"/>
  <c r="H6593" i="58"/>
  <c r="I6593" i="58"/>
  <c r="O6593" i="58"/>
  <c r="P6593" i="58"/>
  <c r="H6594" i="58"/>
  <c r="I6594" i="58"/>
  <c r="K6594" i="58" s="1"/>
  <c r="L6594" i="58" s="1"/>
  <c r="O6594" i="58"/>
  <c r="P6594" i="58"/>
  <c r="H6595" i="58"/>
  <c r="I6595" i="58"/>
  <c r="O6595" i="58"/>
  <c r="P6595" i="58"/>
  <c r="H6596" i="58"/>
  <c r="I6596" i="58"/>
  <c r="J6596" i="58" s="1"/>
  <c r="O6596" i="58"/>
  <c r="P6596" i="58"/>
  <c r="H6597" i="58"/>
  <c r="I6597" i="58"/>
  <c r="K6597" i="58" s="1"/>
  <c r="L6597" i="58" s="1"/>
  <c r="O6597" i="58"/>
  <c r="P6597" i="58"/>
  <c r="H6598" i="58"/>
  <c r="I6598" i="58"/>
  <c r="J6598" i="58" s="1"/>
  <c r="O6598" i="58"/>
  <c r="P6598" i="58"/>
  <c r="H6599" i="58"/>
  <c r="I6599" i="58"/>
  <c r="K6599" i="58" s="1"/>
  <c r="L6599" i="58" s="1"/>
  <c r="O6599" i="58"/>
  <c r="P6599" i="58"/>
  <c r="H6600" i="58"/>
  <c r="I6600" i="58"/>
  <c r="O6600" i="58"/>
  <c r="P6600" i="58"/>
  <c r="H6601" i="58"/>
  <c r="I6601" i="58"/>
  <c r="O6601" i="58"/>
  <c r="P6601" i="58"/>
  <c r="H6602" i="58"/>
  <c r="I6602" i="58"/>
  <c r="J6602" i="58" s="1"/>
  <c r="O6602" i="58"/>
  <c r="P6602" i="58"/>
  <c r="H6603" i="58"/>
  <c r="I6603" i="58"/>
  <c r="O6603" i="58"/>
  <c r="P6603" i="58"/>
  <c r="H6604" i="58"/>
  <c r="I6604" i="58"/>
  <c r="O6604" i="58"/>
  <c r="P6604" i="58"/>
  <c r="H6605" i="58"/>
  <c r="I6605" i="58"/>
  <c r="J6605" i="58" s="1"/>
  <c r="O6605" i="58"/>
  <c r="P6605" i="58"/>
  <c r="H6606" i="58"/>
  <c r="I6606" i="58"/>
  <c r="J6606" i="58" s="1"/>
  <c r="O6606" i="58"/>
  <c r="P6606" i="58"/>
  <c r="H6607" i="58"/>
  <c r="I6607" i="58"/>
  <c r="J6607" i="58" s="1"/>
  <c r="O6607" i="58"/>
  <c r="P6607" i="58"/>
  <c r="H6608" i="58"/>
  <c r="I6608" i="58"/>
  <c r="J6608" i="58" s="1"/>
  <c r="O6608" i="58"/>
  <c r="P6608" i="58"/>
  <c r="H6609" i="58"/>
  <c r="I6609" i="58"/>
  <c r="O6609" i="58"/>
  <c r="P6609" i="58"/>
  <c r="H6610" i="58"/>
  <c r="I6610" i="58"/>
  <c r="J6610" i="58" s="1"/>
  <c r="O6610" i="58"/>
  <c r="P6610" i="58"/>
  <c r="H6611" i="58"/>
  <c r="I6611" i="58"/>
  <c r="K6611" i="58" s="1"/>
  <c r="L6611" i="58" s="1"/>
  <c r="O6611" i="58"/>
  <c r="P6611" i="58"/>
  <c r="H6612" i="58"/>
  <c r="I6612" i="58"/>
  <c r="J6612" i="58" s="1"/>
  <c r="O6612" i="58"/>
  <c r="P6612" i="58"/>
  <c r="H6613" i="58"/>
  <c r="I6613" i="58"/>
  <c r="K6613" i="58" s="1"/>
  <c r="L6613" i="58" s="1"/>
  <c r="O6613" i="58"/>
  <c r="P6613" i="58"/>
  <c r="H6614" i="58"/>
  <c r="I6614" i="58"/>
  <c r="J6614" i="58" s="1"/>
  <c r="O6614" i="58"/>
  <c r="P6614" i="58"/>
  <c r="H6615" i="58"/>
  <c r="I6615" i="58"/>
  <c r="O6615" i="58"/>
  <c r="P6615" i="58"/>
  <c r="H6616" i="58"/>
  <c r="I6616" i="58"/>
  <c r="J6616" i="58" s="1"/>
  <c r="O6616" i="58"/>
  <c r="P6616" i="58"/>
  <c r="H6617" i="58"/>
  <c r="I6617" i="58"/>
  <c r="O6617" i="58"/>
  <c r="P6617" i="58"/>
  <c r="H6618" i="58"/>
  <c r="I6618" i="58"/>
  <c r="K6618" i="58" s="1"/>
  <c r="L6618" i="58" s="1"/>
  <c r="O6618" i="58"/>
  <c r="P6618" i="58"/>
  <c r="H6619" i="58"/>
  <c r="I6619" i="58"/>
  <c r="J6619" i="58" s="1"/>
  <c r="O6619" i="58"/>
  <c r="P6619" i="58"/>
  <c r="H6620" i="58"/>
  <c r="I6620" i="58"/>
  <c r="K6620" i="58" s="1"/>
  <c r="L6620" i="58" s="1"/>
  <c r="O6620" i="58"/>
  <c r="P6620" i="58"/>
  <c r="H6621" i="58"/>
  <c r="I6621" i="58"/>
  <c r="K6621" i="58" s="1"/>
  <c r="L6621" i="58" s="1"/>
  <c r="O6621" i="58"/>
  <c r="P6621" i="58"/>
  <c r="H6622" i="58"/>
  <c r="I6622" i="58"/>
  <c r="O6622" i="58"/>
  <c r="P6622" i="58"/>
  <c r="H6623" i="58"/>
  <c r="I6623" i="58"/>
  <c r="J6623" i="58" s="1"/>
  <c r="O6623" i="58"/>
  <c r="P6623" i="58"/>
  <c r="H6624" i="58"/>
  <c r="I6624" i="58"/>
  <c r="J6624" i="58" s="1"/>
  <c r="O6624" i="58"/>
  <c r="P6624" i="58"/>
  <c r="H6625" i="58"/>
  <c r="I6625" i="58"/>
  <c r="K6625" i="58" s="1"/>
  <c r="L6625" i="58" s="1"/>
  <c r="O6625" i="58"/>
  <c r="P6625" i="58"/>
  <c r="H6626" i="58"/>
  <c r="I6626" i="58"/>
  <c r="K6626" i="58" s="1"/>
  <c r="L6626" i="58" s="1"/>
  <c r="O6626" i="58"/>
  <c r="P6626" i="58"/>
  <c r="H6627" i="58"/>
  <c r="I6627" i="58"/>
  <c r="K6627" i="58" s="1"/>
  <c r="L6627" i="58" s="1"/>
  <c r="O6627" i="58"/>
  <c r="P6627" i="58"/>
  <c r="H6628" i="58"/>
  <c r="I6628" i="58"/>
  <c r="J6628" i="58" s="1"/>
  <c r="O6628" i="58"/>
  <c r="P6628" i="58"/>
  <c r="H6629" i="58"/>
  <c r="I6629" i="58"/>
  <c r="O6629" i="58"/>
  <c r="P6629" i="58"/>
  <c r="H6630" i="58"/>
  <c r="I6630" i="58"/>
  <c r="O6630" i="58"/>
  <c r="P6630" i="58"/>
  <c r="H6631" i="58"/>
  <c r="I6631" i="58"/>
  <c r="O6631" i="58"/>
  <c r="P6631" i="58"/>
  <c r="H6632" i="58"/>
  <c r="I6632" i="58"/>
  <c r="K6632" i="58" s="1"/>
  <c r="L6632" i="58" s="1"/>
  <c r="O6632" i="58"/>
  <c r="P6632" i="58"/>
  <c r="H6633" i="58"/>
  <c r="I6633" i="58"/>
  <c r="J6633" i="58" s="1"/>
  <c r="O6633" i="58"/>
  <c r="P6633" i="58"/>
  <c r="H6634" i="58"/>
  <c r="I6634" i="58"/>
  <c r="K6634" i="58" s="1"/>
  <c r="L6634" i="58" s="1"/>
  <c r="O6634" i="58"/>
  <c r="P6634" i="58"/>
  <c r="H6635" i="58"/>
  <c r="I6635" i="58"/>
  <c r="K6635" i="58" s="1"/>
  <c r="L6635" i="58" s="1"/>
  <c r="O6635" i="58"/>
  <c r="P6635" i="58"/>
  <c r="H6636" i="58"/>
  <c r="I6636" i="58"/>
  <c r="J6636" i="58" s="1"/>
  <c r="O6636" i="58"/>
  <c r="P6636" i="58"/>
  <c r="H6637" i="58"/>
  <c r="I6637" i="58"/>
  <c r="J6637" i="58" s="1"/>
  <c r="O6637" i="58"/>
  <c r="P6637" i="58"/>
  <c r="H6638" i="58"/>
  <c r="I6638" i="58"/>
  <c r="J6638" i="58" s="1"/>
  <c r="O6638" i="58"/>
  <c r="P6638" i="58"/>
  <c r="H6639" i="58"/>
  <c r="I6639" i="58"/>
  <c r="K6639" i="58" s="1"/>
  <c r="L6639" i="58" s="1"/>
  <c r="O6639" i="58"/>
  <c r="P6639" i="58"/>
  <c r="H6640" i="58"/>
  <c r="I6640" i="58"/>
  <c r="O6640" i="58"/>
  <c r="P6640" i="58"/>
  <c r="H6641" i="58"/>
  <c r="I6641" i="58"/>
  <c r="O6641" i="58"/>
  <c r="P6641" i="58"/>
  <c r="H6642" i="58"/>
  <c r="I6642" i="58"/>
  <c r="J6642" i="58" s="1"/>
  <c r="O6642" i="58"/>
  <c r="P6642" i="58"/>
  <c r="H6643" i="58"/>
  <c r="I6643" i="58"/>
  <c r="J6643" i="58" s="1"/>
  <c r="O6643" i="58"/>
  <c r="P6643" i="58"/>
  <c r="H6644" i="58"/>
  <c r="I6644" i="58"/>
  <c r="J6644" i="58" s="1"/>
  <c r="O6644" i="58"/>
  <c r="P6644" i="58"/>
  <c r="H6645" i="58"/>
  <c r="I6645" i="58"/>
  <c r="O6645" i="58"/>
  <c r="P6645" i="58"/>
  <c r="H6646" i="58"/>
  <c r="I6646" i="58"/>
  <c r="O6646" i="58"/>
  <c r="P6646" i="58"/>
  <c r="H6647" i="58"/>
  <c r="I6647" i="58"/>
  <c r="J6647" i="58" s="1"/>
  <c r="O6647" i="58"/>
  <c r="P6647" i="58"/>
  <c r="H6648" i="58"/>
  <c r="I6648" i="58"/>
  <c r="O6648" i="58"/>
  <c r="P6648" i="58"/>
  <c r="H6649" i="58"/>
  <c r="I6649" i="58"/>
  <c r="O6649" i="58"/>
  <c r="P6649" i="58"/>
  <c r="H6650" i="58"/>
  <c r="I6650" i="58"/>
  <c r="J6650" i="58" s="1"/>
  <c r="O6650" i="58"/>
  <c r="P6650" i="58"/>
  <c r="H6651" i="58"/>
  <c r="I6651" i="58"/>
  <c r="J6651" i="58" s="1"/>
  <c r="O6651" i="58"/>
  <c r="P6651" i="58"/>
  <c r="H6652" i="58"/>
  <c r="I6652" i="58"/>
  <c r="O6652" i="58"/>
  <c r="P6652" i="58"/>
  <c r="H6653" i="58"/>
  <c r="I6653" i="58"/>
  <c r="J6653" i="58" s="1"/>
  <c r="O6653" i="58"/>
  <c r="P6653" i="58"/>
  <c r="H6654" i="58"/>
  <c r="I6654" i="58"/>
  <c r="O6654" i="58"/>
  <c r="P6654" i="58"/>
  <c r="H6655" i="58"/>
  <c r="I6655" i="58"/>
  <c r="O6655" i="58"/>
  <c r="P6655" i="58"/>
  <c r="H6656" i="58"/>
  <c r="I6656" i="58"/>
  <c r="J6656" i="58" s="1"/>
  <c r="O6656" i="58"/>
  <c r="P6656" i="58"/>
  <c r="H6657" i="58"/>
  <c r="I6657" i="58"/>
  <c r="K6657" i="58" s="1"/>
  <c r="L6657" i="58" s="1"/>
  <c r="O6657" i="58"/>
  <c r="P6657" i="58"/>
  <c r="H6658" i="58"/>
  <c r="I6658" i="58"/>
  <c r="J6658" i="58" s="1"/>
  <c r="O6658" i="58"/>
  <c r="P6658" i="58"/>
  <c r="H6659" i="58"/>
  <c r="I6659" i="58"/>
  <c r="J6659" i="58" s="1"/>
  <c r="O6659" i="58"/>
  <c r="P6659" i="58"/>
  <c r="H6660" i="58"/>
  <c r="I6660" i="58"/>
  <c r="O6660" i="58"/>
  <c r="P6660" i="58"/>
  <c r="H6661" i="58"/>
  <c r="I6661" i="58"/>
  <c r="J6661" i="58" s="1"/>
  <c r="O6661" i="58"/>
  <c r="P6661" i="58"/>
  <c r="H6662" i="58"/>
  <c r="I6662" i="58"/>
  <c r="O6662" i="58"/>
  <c r="P6662" i="58"/>
  <c r="H6663" i="58"/>
  <c r="I6663" i="58"/>
  <c r="O6663" i="58"/>
  <c r="P6663" i="58"/>
  <c r="H6664" i="58"/>
  <c r="I6664" i="58"/>
  <c r="J6664" i="58" s="1"/>
  <c r="O6664" i="58"/>
  <c r="P6664" i="58"/>
  <c r="H6665" i="58"/>
  <c r="I6665" i="58"/>
  <c r="J6665" i="58" s="1"/>
  <c r="O6665" i="58"/>
  <c r="P6665" i="58"/>
  <c r="H6666" i="58"/>
  <c r="I6666" i="58"/>
  <c r="J6666" i="58" s="1"/>
  <c r="O6666" i="58"/>
  <c r="P6666" i="58"/>
  <c r="H6667" i="58"/>
  <c r="I6667" i="58"/>
  <c r="J6667" i="58" s="1"/>
  <c r="O6667" i="58"/>
  <c r="P6667" i="58"/>
  <c r="H6668" i="58"/>
  <c r="I6668" i="58"/>
  <c r="K6668" i="58" s="1"/>
  <c r="L6668" i="58" s="1"/>
  <c r="O6668" i="58"/>
  <c r="P6668" i="58"/>
  <c r="H6669" i="58"/>
  <c r="I6669" i="58"/>
  <c r="O6669" i="58"/>
  <c r="P6669" i="58"/>
  <c r="H6670" i="58"/>
  <c r="I6670" i="58"/>
  <c r="J6670" i="58" s="1"/>
  <c r="O6670" i="58"/>
  <c r="P6670" i="58"/>
  <c r="H6671" i="58"/>
  <c r="I6671" i="58"/>
  <c r="K6671" i="58" s="1"/>
  <c r="L6671" i="58" s="1"/>
  <c r="O6671" i="58"/>
  <c r="P6671" i="58"/>
  <c r="H6672" i="58"/>
  <c r="I6672" i="58"/>
  <c r="O6672" i="58"/>
  <c r="P6672" i="58"/>
  <c r="H6673" i="58"/>
  <c r="I6673" i="58"/>
  <c r="J6673" i="58" s="1"/>
  <c r="O6673" i="58"/>
  <c r="P6673" i="58"/>
  <c r="H6674" i="58"/>
  <c r="I6674" i="58"/>
  <c r="J6674" i="58" s="1"/>
  <c r="O6674" i="58"/>
  <c r="P6674" i="58"/>
  <c r="H6675" i="58"/>
  <c r="I6675" i="58"/>
  <c r="O6675" i="58"/>
  <c r="P6675" i="58"/>
  <c r="H6676" i="58"/>
  <c r="I6676" i="58"/>
  <c r="J6676" i="58" s="1"/>
  <c r="O6676" i="58"/>
  <c r="P6676" i="58"/>
  <c r="H6677" i="58"/>
  <c r="I6677" i="58"/>
  <c r="J6677" i="58" s="1"/>
  <c r="O6677" i="58"/>
  <c r="P6677" i="58"/>
  <c r="G6678" i="58"/>
  <c r="H6678" i="58"/>
  <c r="I6678" i="58"/>
  <c r="O6678" i="58"/>
  <c r="P6678" i="58"/>
  <c r="H6679" i="58"/>
  <c r="I6679" i="58"/>
  <c r="O6679" i="58"/>
  <c r="P6679" i="58"/>
  <c r="H6680" i="58"/>
  <c r="I6680" i="58"/>
  <c r="O6680" i="58"/>
  <c r="P6680" i="58"/>
  <c r="H6681" i="58"/>
  <c r="I6681" i="58"/>
  <c r="O6681" i="58"/>
  <c r="P6681" i="58"/>
  <c r="H6682" i="58"/>
  <c r="I6682" i="58"/>
  <c r="O6682" i="58"/>
  <c r="P6682" i="58"/>
  <c r="H6683" i="58"/>
  <c r="I6683" i="58"/>
  <c r="J6683" i="58" s="1"/>
  <c r="O6683" i="58"/>
  <c r="P6683" i="58"/>
  <c r="H6684" i="58"/>
  <c r="I6684" i="58"/>
  <c r="O6684" i="58"/>
  <c r="P6684" i="58"/>
  <c r="H6685" i="58"/>
  <c r="I6685" i="58"/>
  <c r="J6685" i="58" s="1"/>
  <c r="O6685" i="58"/>
  <c r="P6685" i="58"/>
  <c r="H6686" i="58"/>
  <c r="I6686" i="58"/>
  <c r="O6686" i="58"/>
  <c r="P6686" i="58"/>
  <c r="H6687" i="58"/>
  <c r="I6687" i="58"/>
  <c r="J6687" i="58" s="1"/>
  <c r="O6687" i="58"/>
  <c r="P6687" i="58"/>
  <c r="H6688" i="58"/>
  <c r="I6688" i="58"/>
  <c r="O6688" i="58"/>
  <c r="P6688" i="58"/>
  <c r="H6689" i="58"/>
  <c r="I6689" i="58"/>
  <c r="K6689" i="58" s="1"/>
  <c r="L6689" i="58" s="1"/>
  <c r="O6689" i="58"/>
  <c r="P6689" i="58"/>
  <c r="H6690" i="58"/>
  <c r="I6690" i="58"/>
  <c r="K6690" i="58" s="1"/>
  <c r="L6690" i="58" s="1"/>
  <c r="O6690" i="58"/>
  <c r="P6690" i="58"/>
  <c r="H6691" i="58"/>
  <c r="I6691" i="58"/>
  <c r="J6691" i="58" s="1"/>
  <c r="O6691" i="58"/>
  <c r="P6691" i="58"/>
  <c r="H6692" i="58"/>
  <c r="I6692" i="58"/>
  <c r="K6692" i="58" s="1"/>
  <c r="L6692" i="58" s="1"/>
  <c r="O6692" i="58"/>
  <c r="P6692" i="58"/>
  <c r="H6693" i="58"/>
  <c r="I6693" i="58"/>
  <c r="J6693" i="58" s="1"/>
  <c r="O6693" i="58"/>
  <c r="P6693" i="58"/>
  <c r="H6694" i="58"/>
  <c r="I6694" i="58"/>
  <c r="J6694" i="58" s="1"/>
  <c r="O6694" i="58"/>
  <c r="P6694" i="58"/>
  <c r="H6695" i="58"/>
  <c r="I6695" i="58"/>
  <c r="K6695" i="58" s="1"/>
  <c r="L6695" i="58" s="1"/>
  <c r="O6695" i="58"/>
  <c r="P6695" i="58"/>
  <c r="H6696" i="58"/>
  <c r="I6696" i="58"/>
  <c r="J6696" i="58" s="1"/>
  <c r="O6696" i="58"/>
  <c r="P6696" i="58"/>
  <c r="H6697" i="58"/>
  <c r="I6697" i="58"/>
  <c r="O6697" i="58"/>
  <c r="P6697" i="58"/>
  <c r="H6698" i="58"/>
  <c r="I6698" i="58"/>
  <c r="O6698" i="58"/>
  <c r="P6698" i="58"/>
  <c r="H6699" i="58"/>
  <c r="I6699" i="58"/>
  <c r="K6699" i="58" s="1"/>
  <c r="L6699" i="58" s="1"/>
  <c r="O6699" i="58"/>
  <c r="P6699" i="58"/>
  <c r="H6700" i="58"/>
  <c r="I6700" i="58"/>
  <c r="K6700" i="58" s="1"/>
  <c r="L6700" i="58" s="1"/>
  <c r="O6700" i="58"/>
  <c r="P6700" i="58"/>
  <c r="H6701" i="58"/>
  <c r="I6701" i="58"/>
  <c r="O6701" i="58"/>
  <c r="P6701" i="58"/>
  <c r="H6702" i="58"/>
  <c r="I6702" i="58"/>
  <c r="J6702" i="58" s="1"/>
  <c r="O6702" i="58"/>
  <c r="P6702" i="58"/>
  <c r="H6703" i="58"/>
  <c r="I6703" i="58"/>
  <c r="K6703" i="58" s="1"/>
  <c r="L6703" i="58" s="1"/>
  <c r="O6703" i="58"/>
  <c r="P6703" i="58"/>
  <c r="H6704" i="58"/>
  <c r="I6704" i="58"/>
  <c r="J6704" i="58" s="1"/>
  <c r="O6704" i="58"/>
  <c r="P6704" i="58"/>
  <c r="H6705" i="58"/>
  <c r="I6705" i="58"/>
  <c r="K6705" i="58" s="1"/>
  <c r="L6705" i="58" s="1"/>
  <c r="O6705" i="58"/>
  <c r="P6705" i="58"/>
  <c r="H6706" i="58"/>
  <c r="I6706" i="58"/>
  <c r="J6706" i="58" s="1"/>
  <c r="O6706" i="58"/>
  <c r="P6706" i="58"/>
  <c r="H6707" i="58"/>
  <c r="I6707" i="58"/>
  <c r="K6707" i="58" s="1"/>
  <c r="L6707" i="58" s="1"/>
  <c r="O6707" i="58"/>
  <c r="P6707" i="58"/>
  <c r="H6708" i="58"/>
  <c r="I6708" i="58"/>
  <c r="J6708" i="58" s="1"/>
  <c r="O6708" i="58"/>
  <c r="P6708" i="58"/>
  <c r="H6709" i="58"/>
  <c r="I6709" i="58"/>
  <c r="O6709" i="58"/>
  <c r="P6709" i="58"/>
  <c r="H6710" i="58"/>
  <c r="I6710" i="58"/>
  <c r="K6710" i="58" s="1"/>
  <c r="L6710" i="58" s="1"/>
  <c r="O6710" i="58"/>
  <c r="P6710" i="58"/>
  <c r="H6711" i="58"/>
  <c r="I6711" i="58"/>
  <c r="K6711" i="58" s="1"/>
  <c r="L6711" i="58" s="1"/>
  <c r="O6711" i="58"/>
  <c r="P6711" i="58"/>
  <c r="H6712" i="58"/>
  <c r="I6712" i="58"/>
  <c r="J6712" i="58" s="1"/>
  <c r="O6712" i="58"/>
  <c r="P6712" i="58"/>
  <c r="H6713" i="58"/>
  <c r="I6713" i="58"/>
  <c r="J6713" i="58" s="1"/>
  <c r="O6713" i="58"/>
  <c r="P6713" i="58"/>
  <c r="H6714" i="58"/>
  <c r="I6714" i="58"/>
  <c r="J6714" i="58" s="1"/>
  <c r="O6714" i="58"/>
  <c r="P6714" i="58"/>
  <c r="H6715" i="58"/>
  <c r="I6715" i="58"/>
  <c r="J6715" i="58" s="1"/>
  <c r="O6715" i="58"/>
  <c r="P6715" i="58"/>
  <c r="H6716" i="58"/>
  <c r="I6716" i="58"/>
  <c r="J6716" i="58" s="1"/>
  <c r="O6716" i="58"/>
  <c r="P6716" i="58"/>
  <c r="H6717" i="58"/>
  <c r="I6717" i="58"/>
  <c r="J6717" i="58" s="1"/>
  <c r="O6717" i="58"/>
  <c r="P6717" i="58"/>
  <c r="H6718" i="58"/>
  <c r="I6718" i="58"/>
  <c r="O6718" i="58"/>
  <c r="P6718" i="58"/>
  <c r="H6719" i="58"/>
  <c r="I6719" i="58"/>
  <c r="J6719" i="58" s="1"/>
  <c r="O6719" i="58"/>
  <c r="P6719" i="58"/>
  <c r="H6720" i="58"/>
  <c r="I6720" i="58"/>
  <c r="K6720" i="58" s="1"/>
  <c r="L6720" i="58" s="1"/>
  <c r="O6720" i="58"/>
  <c r="P6720" i="58"/>
  <c r="H6721" i="58"/>
  <c r="I6721" i="58"/>
  <c r="J6721" i="58" s="1"/>
  <c r="O6721" i="58"/>
  <c r="P6721" i="58"/>
  <c r="H6722" i="58"/>
  <c r="I6722" i="58"/>
  <c r="O6722" i="58"/>
  <c r="P6722" i="58"/>
  <c r="G6723" i="58"/>
  <c r="H6723" i="58"/>
  <c r="I6723" i="58"/>
  <c r="O6723" i="58"/>
  <c r="P6723" i="58"/>
  <c r="H6724" i="58"/>
  <c r="I6724" i="58"/>
  <c r="O6724" i="58"/>
  <c r="P6724" i="58"/>
  <c r="H6725" i="58"/>
  <c r="I6725" i="58"/>
  <c r="O6725" i="58"/>
  <c r="P6725" i="58"/>
  <c r="H6726" i="58"/>
  <c r="I6726" i="58"/>
  <c r="J6726" i="58" s="1"/>
  <c r="O6726" i="58"/>
  <c r="P6726" i="58"/>
  <c r="H6727" i="58"/>
  <c r="I6727" i="58"/>
  <c r="J6727" i="58" s="1"/>
  <c r="O6727" i="58"/>
  <c r="P6727" i="58"/>
  <c r="H6728" i="58"/>
  <c r="I6728" i="58"/>
  <c r="O6728" i="58"/>
  <c r="P6728" i="58"/>
  <c r="H6729" i="58"/>
  <c r="I6729" i="58"/>
  <c r="O6729" i="58"/>
  <c r="P6729" i="58"/>
  <c r="H6730" i="58"/>
  <c r="I6730" i="58"/>
  <c r="J6730" i="58" s="1"/>
  <c r="O6730" i="58"/>
  <c r="P6730" i="58"/>
  <c r="H6731" i="58"/>
  <c r="I6731" i="58"/>
  <c r="K6731" i="58" s="1"/>
  <c r="L6731" i="58" s="1"/>
  <c r="O6731" i="58"/>
  <c r="P6731" i="58"/>
  <c r="H6732" i="58"/>
  <c r="I6732" i="58"/>
  <c r="J6732" i="58" s="1"/>
  <c r="O6732" i="58"/>
  <c r="P6732" i="58"/>
  <c r="H6733" i="58"/>
  <c r="I6733" i="58"/>
  <c r="J6733" i="58" s="1"/>
  <c r="O6733" i="58"/>
  <c r="P6733" i="58"/>
  <c r="H6734" i="58"/>
  <c r="I6734" i="58"/>
  <c r="O6734" i="58"/>
  <c r="P6734" i="58"/>
  <c r="H6735" i="58"/>
  <c r="I6735" i="58"/>
  <c r="K6735" i="58" s="1"/>
  <c r="L6735" i="58" s="1"/>
  <c r="O6735" i="58"/>
  <c r="P6735" i="58"/>
  <c r="H6736" i="58"/>
  <c r="I6736" i="58"/>
  <c r="J6736" i="58" s="1"/>
  <c r="O6736" i="58"/>
  <c r="P6736" i="58"/>
  <c r="H6737" i="58"/>
  <c r="I6737" i="58"/>
  <c r="K6737" i="58" s="1"/>
  <c r="L6737" i="58" s="1"/>
  <c r="O6737" i="58"/>
  <c r="P6737" i="58"/>
  <c r="H6738" i="58"/>
  <c r="I6738" i="58"/>
  <c r="J6738" i="58" s="1"/>
  <c r="O6738" i="58"/>
  <c r="P6738" i="58"/>
  <c r="G6739" i="58"/>
  <c r="H6739" i="58"/>
  <c r="I6739" i="58"/>
  <c r="O6739" i="58"/>
  <c r="P6739" i="58"/>
  <c r="G6740" i="58"/>
  <c r="H6740" i="58"/>
  <c r="I6740" i="58"/>
  <c r="O6740" i="58"/>
  <c r="P6740" i="58"/>
  <c r="G6741" i="58"/>
  <c r="H6741" i="58"/>
  <c r="I6741" i="58"/>
  <c r="J6741" i="58" s="1"/>
  <c r="O6741" i="58"/>
  <c r="P6741" i="58"/>
  <c r="G6742" i="58"/>
  <c r="H6742" i="58"/>
  <c r="I6742" i="58"/>
  <c r="K6742" i="58" s="1"/>
  <c r="L6742" i="58" s="1"/>
  <c r="O6742" i="58"/>
  <c r="P6742" i="58"/>
  <c r="H6743" i="58"/>
  <c r="I6743" i="58"/>
  <c r="K6743" i="58" s="1"/>
  <c r="L6743" i="58" s="1"/>
  <c r="O6743" i="58"/>
  <c r="P6743" i="58"/>
  <c r="H6744" i="58"/>
  <c r="I6744" i="58"/>
  <c r="J6744" i="58" s="1"/>
  <c r="O6744" i="58"/>
  <c r="P6744" i="58"/>
  <c r="H6745" i="58"/>
  <c r="I6745" i="58"/>
  <c r="O6745" i="58"/>
  <c r="P6745" i="58"/>
  <c r="H6746" i="58"/>
  <c r="I6746" i="58"/>
  <c r="K6746" i="58" s="1"/>
  <c r="L6746" i="58" s="1"/>
  <c r="O6746" i="58"/>
  <c r="P6746" i="58"/>
  <c r="H6747" i="58"/>
  <c r="I6747" i="58"/>
  <c r="O6747" i="58"/>
  <c r="P6747" i="58"/>
  <c r="H6748" i="58"/>
  <c r="I6748" i="58"/>
  <c r="J6748" i="58" s="1"/>
  <c r="O6748" i="58"/>
  <c r="P6748" i="58"/>
  <c r="H6749" i="58"/>
  <c r="I6749" i="58"/>
  <c r="O6749" i="58"/>
  <c r="P6749" i="58"/>
  <c r="H6750" i="58"/>
  <c r="I6750" i="58"/>
  <c r="J6750" i="58" s="1"/>
  <c r="O6750" i="58"/>
  <c r="P6750" i="58"/>
  <c r="H6751" i="58"/>
  <c r="I6751" i="58"/>
  <c r="J6751" i="58" s="1"/>
  <c r="O6751" i="58"/>
  <c r="P6751" i="58"/>
  <c r="H6752" i="58"/>
  <c r="I6752" i="58"/>
  <c r="J6752" i="58" s="1"/>
  <c r="O6752" i="58"/>
  <c r="P6752" i="58"/>
  <c r="H6753" i="58"/>
  <c r="I6753" i="58"/>
  <c r="K6753" i="58" s="1"/>
  <c r="L6753" i="58" s="1"/>
  <c r="O6753" i="58"/>
  <c r="P6753" i="58"/>
  <c r="H6754" i="58"/>
  <c r="I6754" i="58"/>
  <c r="J6754" i="58" s="1"/>
  <c r="O6754" i="58"/>
  <c r="P6754" i="58"/>
  <c r="H6755" i="58"/>
  <c r="I6755" i="58"/>
  <c r="O6755" i="58"/>
  <c r="P6755" i="58"/>
  <c r="H6756" i="58"/>
  <c r="I6756" i="58"/>
  <c r="J6756" i="58" s="1"/>
  <c r="O6756" i="58"/>
  <c r="P6756" i="58"/>
  <c r="H6757" i="58"/>
  <c r="I6757" i="58"/>
  <c r="J6757" i="58" s="1"/>
  <c r="O6757" i="58"/>
  <c r="P6757" i="58"/>
  <c r="H6758" i="58"/>
  <c r="I6758" i="58"/>
  <c r="J6758" i="58" s="1"/>
  <c r="O6758" i="58"/>
  <c r="P6758" i="58"/>
  <c r="H6759" i="58"/>
  <c r="I6759" i="58"/>
  <c r="J6759" i="58" s="1"/>
  <c r="O6759" i="58"/>
  <c r="P6759" i="58"/>
  <c r="H6760" i="58"/>
  <c r="I6760" i="58"/>
  <c r="J6760" i="58" s="1"/>
  <c r="O6760" i="58"/>
  <c r="P6760" i="58"/>
  <c r="H6761" i="58"/>
  <c r="I6761" i="58"/>
  <c r="J6761" i="58" s="1"/>
  <c r="O6761" i="58"/>
  <c r="P6761" i="58"/>
  <c r="H6762" i="58"/>
  <c r="I6762" i="58"/>
  <c r="J6762" i="58" s="1"/>
  <c r="O6762" i="58"/>
  <c r="P6762" i="58"/>
  <c r="H6763" i="58"/>
  <c r="I6763" i="58"/>
  <c r="J6763" i="58" s="1"/>
  <c r="O6763" i="58"/>
  <c r="P6763" i="58"/>
  <c r="H6764" i="58"/>
  <c r="I6764" i="58"/>
  <c r="O6764" i="58"/>
  <c r="P6764" i="58"/>
  <c r="H6765" i="58"/>
  <c r="I6765" i="58"/>
  <c r="O6765" i="58"/>
  <c r="P6765" i="58"/>
  <c r="H6766" i="58"/>
  <c r="I6766" i="58"/>
  <c r="O6766" i="58"/>
  <c r="P6766" i="58"/>
  <c r="H6767" i="58"/>
  <c r="I6767" i="58"/>
  <c r="K6767" i="58" s="1"/>
  <c r="L6767" i="58" s="1"/>
  <c r="O6767" i="58"/>
  <c r="P6767" i="58"/>
  <c r="H6768" i="58"/>
  <c r="I6768" i="58"/>
  <c r="K6768" i="58" s="1"/>
  <c r="L6768" i="58" s="1"/>
  <c r="O6768" i="58"/>
  <c r="P6768" i="58"/>
  <c r="H6769" i="58"/>
  <c r="I6769" i="58"/>
  <c r="J6769" i="58" s="1"/>
  <c r="O6769" i="58"/>
  <c r="P6769" i="58"/>
  <c r="H6770" i="58"/>
  <c r="I6770" i="58"/>
  <c r="J6770" i="58" s="1"/>
  <c r="O6770" i="58"/>
  <c r="P6770" i="58"/>
  <c r="H6771" i="58"/>
  <c r="I6771" i="58"/>
  <c r="O6771" i="58"/>
  <c r="P6771" i="58"/>
  <c r="H6772" i="58"/>
  <c r="I6772" i="58"/>
  <c r="J6772" i="58" s="1"/>
  <c r="O6772" i="58"/>
  <c r="P6772" i="58"/>
  <c r="H6773" i="58"/>
  <c r="I6773" i="58"/>
  <c r="O6773" i="58"/>
  <c r="P6773" i="58"/>
  <c r="H6774" i="58"/>
  <c r="I6774" i="58"/>
  <c r="O6774" i="58"/>
  <c r="P6774" i="58"/>
  <c r="H6775" i="58"/>
  <c r="I6775" i="58"/>
  <c r="K6775" i="58" s="1"/>
  <c r="L6775" i="58" s="1"/>
  <c r="O6775" i="58"/>
  <c r="P6775" i="58"/>
  <c r="H6776" i="58"/>
  <c r="I6776" i="58"/>
  <c r="J6776" i="58" s="1"/>
  <c r="O6776" i="58"/>
  <c r="P6776" i="58"/>
  <c r="H6777" i="58"/>
  <c r="I6777" i="58"/>
  <c r="J6777" i="58" s="1"/>
  <c r="O6777" i="58"/>
  <c r="P6777" i="58"/>
  <c r="H6778" i="58"/>
  <c r="I6778" i="58"/>
  <c r="O6778" i="58"/>
  <c r="P6778" i="58"/>
  <c r="H6779" i="58"/>
  <c r="I6779" i="58"/>
  <c r="J6779" i="58" s="1"/>
  <c r="O6779" i="58"/>
  <c r="P6779" i="58"/>
  <c r="H6780" i="58"/>
  <c r="I6780" i="58"/>
  <c r="K6780" i="58" s="1"/>
  <c r="L6780" i="58" s="1"/>
  <c r="O6780" i="58"/>
  <c r="P6780" i="58"/>
  <c r="H6781" i="58"/>
  <c r="I6781" i="58"/>
  <c r="O6781" i="58"/>
  <c r="P6781" i="58"/>
  <c r="H6782" i="58"/>
  <c r="I6782" i="58"/>
  <c r="J6782" i="58" s="1"/>
  <c r="O6782" i="58"/>
  <c r="P6782" i="58"/>
  <c r="H6783" i="58"/>
  <c r="I6783" i="58"/>
  <c r="K6783" i="58" s="1"/>
  <c r="L6783" i="58" s="1"/>
  <c r="O6783" i="58"/>
  <c r="P6783" i="58"/>
  <c r="H6784" i="58"/>
  <c r="I6784" i="58"/>
  <c r="J6784" i="58" s="1"/>
  <c r="O6784" i="58"/>
  <c r="P6784" i="58"/>
  <c r="H6785" i="58"/>
  <c r="I6785" i="58"/>
  <c r="K6785" i="58" s="1"/>
  <c r="L6785" i="58" s="1"/>
  <c r="O6785" i="58"/>
  <c r="P6785" i="58"/>
  <c r="H6786" i="58"/>
  <c r="I6786" i="58"/>
  <c r="O6786" i="58"/>
  <c r="P6786" i="58"/>
  <c r="H6787" i="58"/>
  <c r="I6787" i="58"/>
  <c r="O6787" i="58"/>
  <c r="P6787" i="58"/>
  <c r="H6788" i="58"/>
  <c r="I6788" i="58"/>
  <c r="K6788" i="58" s="1"/>
  <c r="L6788" i="58" s="1"/>
  <c r="O6788" i="58"/>
  <c r="P6788" i="58"/>
  <c r="H6789" i="58"/>
  <c r="I6789" i="58"/>
  <c r="O6789" i="58"/>
  <c r="P6789" i="58"/>
  <c r="H6790" i="58"/>
  <c r="I6790" i="58"/>
  <c r="O6790" i="58"/>
  <c r="P6790" i="58"/>
  <c r="H6791" i="58"/>
  <c r="I6791" i="58"/>
  <c r="J6791" i="58" s="1"/>
  <c r="O6791" i="58"/>
  <c r="P6791" i="58"/>
  <c r="H6792" i="58"/>
  <c r="I6792" i="58"/>
  <c r="K6792" i="58" s="1"/>
  <c r="L6792" i="58" s="1"/>
  <c r="O6792" i="58"/>
  <c r="P6792" i="58"/>
  <c r="H6793" i="58"/>
  <c r="I6793" i="58"/>
  <c r="O6793" i="58"/>
  <c r="P6793" i="58"/>
  <c r="H6794" i="58"/>
  <c r="I6794" i="58"/>
  <c r="J6794" i="58" s="1"/>
  <c r="O6794" i="58"/>
  <c r="P6794" i="58"/>
  <c r="H6795" i="58"/>
  <c r="I6795" i="58"/>
  <c r="K6795" i="58" s="1"/>
  <c r="L6795" i="58" s="1"/>
  <c r="O6795" i="58"/>
  <c r="P6795" i="58"/>
  <c r="H6796" i="58"/>
  <c r="I6796" i="58"/>
  <c r="J6796" i="58" s="1"/>
  <c r="O6796" i="58"/>
  <c r="P6796" i="58"/>
  <c r="H6797" i="58"/>
  <c r="I6797" i="58"/>
  <c r="O6797" i="58"/>
  <c r="P6797" i="58"/>
  <c r="H6798" i="58"/>
  <c r="I6798" i="58"/>
  <c r="J6798" i="58" s="1"/>
  <c r="O6798" i="58"/>
  <c r="P6798" i="58"/>
  <c r="H6799" i="58"/>
  <c r="I6799" i="58"/>
  <c r="J6799" i="58" s="1"/>
  <c r="O6799" i="58"/>
  <c r="P6799" i="58"/>
  <c r="H6800" i="58"/>
  <c r="I6800" i="58"/>
  <c r="J6800" i="58" s="1"/>
  <c r="O6800" i="58"/>
  <c r="P6800" i="58"/>
  <c r="H6801" i="58"/>
  <c r="I6801" i="58"/>
  <c r="K6801" i="58" s="1"/>
  <c r="L6801" i="58" s="1"/>
  <c r="O6801" i="58"/>
  <c r="P6801" i="58"/>
  <c r="H6802" i="58"/>
  <c r="I6802" i="58"/>
  <c r="J6802" i="58" s="1"/>
  <c r="O6802" i="58"/>
  <c r="P6802" i="58"/>
  <c r="H6803" i="58"/>
  <c r="I6803" i="58"/>
  <c r="J6803" i="58" s="1"/>
  <c r="O6803" i="58"/>
  <c r="P6803" i="58"/>
  <c r="H6804" i="58"/>
  <c r="I6804" i="58"/>
  <c r="O6804" i="58"/>
  <c r="P6804" i="58"/>
  <c r="H6805" i="58"/>
  <c r="I6805" i="58"/>
  <c r="J6805" i="58" s="1"/>
  <c r="O6805" i="58"/>
  <c r="P6805" i="58"/>
  <c r="H6806" i="58"/>
  <c r="I6806" i="58"/>
  <c r="J6806" i="58" s="1"/>
  <c r="O6806" i="58"/>
  <c r="P6806" i="58"/>
  <c r="H6807" i="58"/>
  <c r="I6807" i="58"/>
  <c r="O6807" i="58"/>
  <c r="P6807" i="58"/>
  <c r="H6808" i="58"/>
  <c r="I6808" i="58"/>
  <c r="K6808" i="58" s="1"/>
  <c r="L6808" i="58" s="1"/>
  <c r="O6808" i="58"/>
  <c r="P6808" i="58"/>
  <c r="H6809" i="58"/>
  <c r="I6809" i="58"/>
  <c r="K6809" i="58" s="1"/>
  <c r="L6809" i="58" s="1"/>
  <c r="O6809" i="58"/>
  <c r="P6809" i="58"/>
  <c r="H6810" i="58"/>
  <c r="I6810" i="58"/>
  <c r="J6810" i="58" s="1"/>
  <c r="O6810" i="58"/>
  <c r="P6810" i="58"/>
  <c r="H6811" i="58"/>
  <c r="I6811" i="58"/>
  <c r="J6811" i="58" s="1"/>
  <c r="O6811" i="58"/>
  <c r="P6811" i="58"/>
  <c r="H6812" i="58"/>
  <c r="I6812" i="58"/>
  <c r="K6812" i="58" s="1"/>
  <c r="L6812" i="58" s="1"/>
  <c r="O6812" i="58"/>
  <c r="P6812" i="58"/>
  <c r="H6813" i="58"/>
  <c r="I6813" i="58"/>
  <c r="K6813" i="58" s="1"/>
  <c r="L6813" i="58" s="1"/>
  <c r="O6813" i="58"/>
  <c r="P6813" i="58"/>
  <c r="H6814" i="58"/>
  <c r="I6814" i="58"/>
  <c r="O6814" i="58"/>
  <c r="P6814" i="58"/>
  <c r="H6815" i="58"/>
  <c r="I6815" i="58"/>
  <c r="J6815" i="58" s="1"/>
  <c r="O6815" i="58"/>
  <c r="P6815" i="58"/>
  <c r="H6816" i="58"/>
  <c r="I6816" i="58"/>
  <c r="K6816" i="58" s="1"/>
  <c r="L6816" i="58" s="1"/>
  <c r="O6816" i="58"/>
  <c r="P6816" i="58"/>
  <c r="H6817" i="58"/>
  <c r="I6817" i="58"/>
  <c r="O6817" i="58"/>
  <c r="P6817" i="58"/>
  <c r="H6818" i="58"/>
  <c r="I6818" i="58"/>
  <c r="K6818" i="58" s="1"/>
  <c r="L6818" i="58" s="1"/>
  <c r="O6818" i="58"/>
  <c r="P6818" i="58"/>
  <c r="H6819" i="58"/>
  <c r="I6819" i="58"/>
  <c r="K6819" i="58" s="1"/>
  <c r="L6819" i="58" s="1"/>
  <c r="O6819" i="58"/>
  <c r="P6819" i="58"/>
  <c r="H6820" i="58"/>
  <c r="I6820" i="58"/>
  <c r="O6820" i="58"/>
  <c r="P6820" i="58"/>
  <c r="H6821" i="58"/>
  <c r="I6821" i="58"/>
  <c r="J6821" i="58" s="1"/>
  <c r="O6821" i="58"/>
  <c r="P6821" i="58"/>
  <c r="H6822" i="58"/>
  <c r="I6822" i="58"/>
  <c r="J6822" i="58" s="1"/>
  <c r="O6822" i="58"/>
  <c r="P6822" i="58"/>
  <c r="H6823" i="58"/>
  <c r="I6823" i="58"/>
  <c r="J6823" i="58" s="1"/>
  <c r="O6823" i="58"/>
  <c r="P6823" i="58"/>
  <c r="H6824" i="58"/>
  <c r="I6824" i="58"/>
  <c r="J6824" i="58" s="1"/>
  <c r="O6824" i="58"/>
  <c r="P6824" i="58"/>
  <c r="H6825" i="58"/>
  <c r="I6825" i="58"/>
  <c r="J6825" i="58" s="1"/>
  <c r="O6825" i="58"/>
  <c r="P6825" i="58"/>
  <c r="H6826" i="58"/>
  <c r="I6826" i="58"/>
  <c r="K6826" i="58" s="1"/>
  <c r="L6826" i="58" s="1"/>
  <c r="O6826" i="58"/>
  <c r="P6826" i="58"/>
  <c r="H6827" i="58"/>
  <c r="I6827" i="58"/>
  <c r="K6827" i="58" s="1"/>
  <c r="L6827" i="58" s="1"/>
  <c r="O6827" i="58"/>
  <c r="P6827" i="58"/>
  <c r="H6828" i="58"/>
  <c r="I6828" i="58"/>
  <c r="O6828" i="58"/>
  <c r="P6828" i="58"/>
  <c r="H6829" i="58"/>
  <c r="I6829" i="58"/>
  <c r="J6829" i="58" s="1"/>
  <c r="O6829" i="58"/>
  <c r="P6829" i="58"/>
  <c r="H6830" i="58"/>
  <c r="I6830" i="58"/>
  <c r="J6830" i="58" s="1"/>
  <c r="O6830" i="58"/>
  <c r="P6830" i="58"/>
  <c r="H6831" i="58"/>
  <c r="I6831" i="58"/>
  <c r="K6831" i="58" s="1"/>
  <c r="L6831" i="58" s="1"/>
  <c r="O6831" i="58"/>
  <c r="P6831" i="58"/>
  <c r="H6832" i="58"/>
  <c r="I6832" i="58"/>
  <c r="O6832" i="58"/>
  <c r="P6832" i="58"/>
  <c r="H6833" i="58"/>
  <c r="I6833" i="58"/>
  <c r="O6833" i="58"/>
  <c r="P6833" i="58"/>
  <c r="H6834" i="58"/>
  <c r="I6834" i="58"/>
  <c r="J6834" i="58" s="1"/>
  <c r="O6834" i="58"/>
  <c r="P6834" i="58"/>
  <c r="H6835" i="58"/>
  <c r="I6835" i="58"/>
  <c r="O6835" i="58"/>
  <c r="P6835" i="58"/>
  <c r="H6836" i="58"/>
  <c r="I6836" i="58"/>
  <c r="O6836" i="58"/>
  <c r="P6836" i="58"/>
  <c r="H6837" i="58"/>
  <c r="I6837" i="58"/>
  <c r="J6837" i="58" s="1"/>
  <c r="O6837" i="58"/>
  <c r="P6837" i="58"/>
  <c r="H6838" i="58"/>
  <c r="I6838" i="58"/>
  <c r="K6838" i="58" s="1"/>
  <c r="L6838" i="58" s="1"/>
  <c r="O6838" i="58"/>
  <c r="P6838" i="58"/>
  <c r="H6839" i="58"/>
  <c r="I6839" i="58"/>
  <c r="J6839" i="58" s="1"/>
  <c r="O6839" i="58"/>
  <c r="P6839" i="58"/>
  <c r="H6840" i="58"/>
  <c r="I6840" i="58"/>
  <c r="J6840" i="58" s="1"/>
  <c r="O6840" i="58"/>
  <c r="P6840" i="58"/>
  <c r="H6841" i="58"/>
  <c r="I6841" i="58"/>
  <c r="J6841" i="58" s="1"/>
  <c r="O6841" i="58"/>
  <c r="P6841" i="58"/>
  <c r="H6842" i="58"/>
  <c r="I6842" i="58"/>
  <c r="J6842" i="58" s="1"/>
  <c r="O6842" i="58"/>
  <c r="P6842" i="58"/>
  <c r="H6843" i="58"/>
  <c r="I6843" i="58"/>
  <c r="J6843" i="58" s="1"/>
  <c r="O6843" i="58"/>
  <c r="P6843" i="58"/>
  <c r="H6844" i="58"/>
  <c r="I6844" i="58"/>
  <c r="J6844" i="58" s="1"/>
  <c r="O6844" i="58"/>
  <c r="P6844" i="58"/>
  <c r="H6845" i="58"/>
  <c r="I6845" i="58"/>
  <c r="K6845" i="58" s="1"/>
  <c r="L6845" i="58" s="1"/>
  <c r="O6845" i="58"/>
  <c r="P6845" i="58"/>
  <c r="H6846" i="58"/>
  <c r="I6846" i="58"/>
  <c r="K6846" i="58" s="1"/>
  <c r="L6846" i="58" s="1"/>
  <c r="O6846" i="58"/>
  <c r="P6846" i="58"/>
  <c r="H6847" i="58"/>
  <c r="I6847" i="58"/>
  <c r="J6847" i="58" s="1"/>
  <c r="O6847" i="58"/>
  <c r="P6847" i="58"/>
  <c r="H6848" i="58"/>
  <c r="I6848" i="58"/>
  <c r="J6848" i="58" s="1"/>
  <c r="O6848" i="58"/>
  <c r="P6848" i="58"/>
  <c r="H6849" i="58"/>
  <c r="I6849" i="58"/>
  <c r="J6849" i="58" s="1"/>
  <c r="O6849" i="58"/>
  <c r="P6849" i="58"/>
  <c r="H6850" i="58"/>
  <c r="I6850" i="58"/>
  <c r="K6850" i="58" s="1"/>
  <c r="L6850" i="58" s="1"/>
  <c r="O6850" i="58"/>
  <c r="P6850" i="58"/>
  <c r="H6851" i="58"/>
  <c r="I6851" i="58"/>
  <c r="J6851" i="58" s="1"/>
  <c r="O6851" i="58"/>
  <c r="P6851" i="58"/>
  <c r="H6852" i="58"/>
  <c r="I6852" i="58"/>
  <c r="K6852" i="58" s="1"/>
  <c r="L6852" i="58" s="1"/>
  <c r="O6852" i="58"/>
  <c r="P6852" i="58"/>
  <c r="H6853" i="58"/>
  <c r="I6853" i="58"/>
  <c r="J6853" i="58" s="1"/>
  <c r="O6853" i="58"/>
  <c r="P6853" i="58"/>
  <c r="H6854" i="58"/>
  <c r="I6854" i="58"/>
  <c r="J6854" i="58" s="1"/>
  <c r="O6854" i="58"/>
  <c r="P6854" i="58"/>
  <c r="H6855" i="58"/>
  <c r="I6855" i="58"/>
  <c r="K6855" i="58" s="1"/>
  <c r="L6855" i="58" s="1"/>
  <c r="O6855" i="58"/>
  <c r="P6855" i="58"/>
  <c r="H6856" i="58"/>
  <c r="I6856" i="58"/>
  <c r="J6856" i="58" s="1"/>
  <c r="O6856" i="58"/>
  <c r="P6856" i="58"/>
  <c r="H6857" i="58"/>
  <c r="I6857" i="58"/>
  <c r="K6857" i="58" s="1"/>
  <c r="L6857" i="58" s="1"/>
  <c r="O6857" i="58"/>
  <c r="P6857" i="58"/>
  <c r="H6858" i="58"/>
  <c r="I6858" i="58"/>
  <c r="J6858" i="58" s="1"/>
  <c r="O6858" i="58"/>
  <c r="P6858" i="58"/>
  <c r="H6859" i="58"/>
  <c r="I6859" i="58"/>
  <c r="J6859" i="58" s="1"/>
  <c r="O6859" i="58"/>
  <c r="P6859" i="58"/>
  <c r="H6860" i="58"/>
  <c r="I6860" i="58"/>
  <c r="J6860" i="58" s="1"/>
  <c r="O6860" i="58"/>
  <c r="P6860" i="58"/>
  <c r="H6861" i="58"/>
  <c r="I6861" i="58"/>
  <c r="J6861" i="58" s="1"/>
  <c r="O6861" i="58"/>
  <c r="P6861" i="58"/>
  <c r="H6862" i="58"/>
  <c r="I6862" i="58"/>
  <c r="O6862" i="58"/>
  <c r="P6862" i="58"/>
  <c r="H6863" i="58"/>
  <c r="I6863" i="58"/>
  <c r="J6863" i="58" s="1"/>
  <c r="O6863" i="58"/>
  <c r="P6863" i="58"/>
  <c r="H6864" i="58"/>
  <c r="I6864" i="58"/>
  <c r="O6864" i="58"/>
  <c r="P6864" i="58"/>
  <c r="H6865" i="58"/>
  <c r="I6865" i="58"/>
  <c r="K6865" i="58" s="1"/>
  <c r="L6865" i="58" s="1"/>
  <c r="O6865" i="58"/>
  <c r="P6865" i="58"/>
  <c r="H6866" i="58"/>
  <c r="I6866" i="58"/>
  <c r="J6866" i="58" s="1"/>
  <c r="O6866" i="58"/>
  <c r="P6866" i="58"/>
  <c r="H6867" i="58"/>
  <c r="I6867" i="58"/>
  <c r="J6867" i="58" s="1"/>
  <c r="O6867" i="58"/>
  <c r="P6867" i="58"/>
  <c r="H6868" i="58"/>
  <c r="I6868" i="58"/>
  <c r="J6868" i="58" s="1"/>
  <c r="O6868" i="58"/>
  <c r="P6868" i="58"/>
  <c r="H6869" i="58"/>
  <c r="I6869" i="58"/>
  <c r="K6869" i="58" s="1"/>
  <c r="L6869" i="58" s="1"/>
  <c r="O6869" i="58"/>
  <c r="P6869" i="58"/>
  <c r="H6870" i="58"/>
  <c r="I6870" i="58"/>
  <c r="J6870" i="58" s="1"/>
  <c r="O6870" i="58"/>
  <c r="P6870" i="58"/>
  <c r="H6871" i="58"/>
  <c r="I6871" i="58"/>
  <c r="K6871" i="58" s="1"/>
  <c r="L6871" i="58" s="1"/>
  <c r="O6871" i="58"/>
  <c r="P6871" i="58"/>
  <c r="H6872" i="58"/>
  <c r="I6872" i="58"/>
  <c r="O6872" i="58"/>
  <c r="P6872" i="58"/>
  <c r="H6873" i="58"/>
  <c r="I6873" i="58"/>
  <c r="J6873" i="58" s="1"/>
  <c r="O6873" i="58"/>
  <c r="P6873" i="58"/>
  <c r="H6874" i="58"/>
  <c r="I6874" i="58"/>
  <c r="J6874" i="58" s="1"/>
  <c r="O6874" i="58"/>
  <c r="P6874" i="58"/>
  <c r="H6875" i="58"/>
  <c r="I6875" i="58"/>
  <c r="J6875" i="58" s="1"/>
  <c r="O6875" i="58"/>
  <c r="P6875" i="58"/>
  <c r="H6876" i="58"/>
  <c r="I6876" i="58"/>
  <c r="J6876" i="58" s="1"/>
  <c r="O6876" i="58"/>
  <c r="P6876" i="58"/>
  <c r="H6877" i="58"/>
  <c r="I6877" i="58"/>
  <c r="K6877" i="58" s="1"/>
  <c r="L6877" i="58" s="1"/>
  <c r="O6877" i="58"/>
  <c r="P6877" i="58"/>
  <c r="H6878" i="58"/>
  <c r="I6878" i="58"/>
  <c r="J6878" i="58" s="1"/>
  <c r="O6878" i="58"/>
  <c r="P6878" i="58"/>
  <c r="H6879" i="58"/>
  <c r="I6879" i="58"/>
  <c r="K6879" i="58" s="1"/>
  <c r="L6879" i="58" s="1"/>
  <c r="O6879" i="58"/>
  <c r="P6879" i="58"/>
  <c r="H6880" i="58"/>
  <c r="I6880" i="58"/>
  <c r="K6880" i="58" s="1"/>
  <c r="L6880" i="58" s="1"/>
  <c r="O6880" i="58"/>
  <c r="P6880" i="58"/>
  <c r="H6881" i="58"/>
  <c r="I6881" i="58"/>
  <c r="J6881" i="58" s="1"/>
  <c r="O6881" i="58"/>
  <c r="P6881" i="58"/>
  <c r="H6882" i="58"/>
  <c r="I6882" i="58"/>
  <c r="J6882" i="58" s="1"/>
  <c r="O6882" i="58"/>
  <c r="P6882" i="58"/>
  <c r="H6883" i="58"/>
  <c r="I6883" i="58"/>
  <c r="J6883" i="58" s="1"/>
  <c r="O6883" i="58"/>
  <c r="P6883" i="58"/>
  <c r="H6884" i="58"/>
  <c r="I6884" i="58"/>
  <c r="O6884" i="58"/>
  <c r="P6884" i="58"/>
  <c r="H6885" i="58"/>
  <c r="I6885" i="58"/>
  <c r="J6885" i="58" s="1"/>
  <c r="O6885" i="58"/>
  <c r="P6885" i="58"/>
  <c r="H6886" i="58"/>
  <c r="I6886" i="58"/>
  <c r="O6886" i="58"/>
  <c r="P6886" i="58"/>
  <c r="H6887" i="58"/>
  <c r="I6887" i="58"/>
  <c r="O6887" i="58"/>
  <c r="P6887" i="58"/>
  <c r="H6888" i="58"/>
  <c r="I6888" i="58"/>
  <c r="K6888" i="58" s="1"/>
  <c r="L6888" i="58" s="1"/>
  <c r="O6888" i="58"/>
  <c r="P6888" i="58"/>
  <c r="H6889" i="58"/>
  <c r="I6889" i="58"/>
  <c r="K6889" i="58" s="1"/>
  <c r="L6889" i="58" s="1"/>
  <c r="O6889" i="58"/>
  <c r="P6889" i="58"/>
  <c r="H6890" i="58"/>
  <c r="I6890" i="58"/>
  <c r="J6890" i="58" s="1"/>
  <c r="O6890" i="58"/>
  <c r="P6890" i="58"/>
  <c r="H6891" i="58"/>
  <c r="I6891" i="58"/>
  <c r="K6891" i="58" s="1"/>
  <c r="L6891" i="58" s="1"/>
  <c r="O6891" i="58"/>
  <c r="P6891" i="58"/>
  <c r="H6892" i="58"/>
  <c r="I6892" i="58"/>
  <c r="K6892" i="58" s="1"/>
  <c r="L6892" i="58" s="1"/>
  <c r="O6892" i="58"/>
  <c r="P6892" i="58"/>
  <c r="H6893" i="58"/>
  <c r="I6893" i="58"/>
  <c r="K6893" i="58" s="1"/>
  <c r="L6893" i="58" s="1"/>
  <c r="O6893" i="58"/>
  <c r="P6893" i="58"/>
  <c r="H6894" i="58"/>
  <c r="I6894" i="58"/>
  <c r="J6894" i="58" s="1"/>
  <c r="O6894" i="58"/>
  <c r="P6894" i="58"/>
  <c r="H6895" i="58"/>
  <c r="I6895" i="58"/>
  <c r="J6895" i="58" s="1"/>
  <c r="O6895" i="58"/>
  <c r="P6895" i="58"/>
  <c r="H6896" i="58"/>
  <c r="I6896" i="58"/>
  <c r="J6896" i="58" s="1"/>
  <c r="O6896" i="58"/>
  <c r="P6896" i="58"/>
  <c r="G6897" i="58"/>
  <c r="H6897" i="58"/>
  <c r="I6897" i="58"/>
  <c r="J6897" i="58" s="1"/>
  <c r="O6897" i="58"/>
  <c r="P6897" i="58"/>
  <c r="G6898" i="58"/>
  <c r="H6898" i="58"/>
  <c r="I6898" i="58"/>
  <c r="K6898" i="58" s="1"/>
  <c r="L6898" i="58" s="1"/>
  <c r="O6898" i="58"/>
  <c r="P6898" i="58"/>
  <c r="H6899" i="58"/>
  <c r="I6899" i="58"/>
  <c r="K6899" i="58" s="1"/>
  <c r="L6899" i="58" s="1"/>
  <c r="O6899" i="58"/>
  <c r="P6899" i="58"/>
  <c r="H6900" i="58"/>
  <c r="I6900" i="58"/>
  <c r="O6900" i="58"/>
  <c r="P6900" i="58"/>
  <c r="H6901" i="58"/>
  <c r="I6901" i="58"/>
  <c r="J6901" i="58" s="1"/>
  <c r="O6901" i="58"/>
  <c r="P6901" i="58"/>
  <c r="H6902" i="58"/>
  <c r="I6902" i="58"/>
  <c r="K6902" i="58" s="1"/>
  <c r="L6902" i="58" s="1"/>
  <c r="O6902" i="58"/>
  <c r="P6902" i="58"/>
  <c r="H6903" i="58"/>
  <c r="I6903" i="58"/>
  <c r="K6903" i="58" s="1"/>
  <c r="L6903" i="58" s="1"/>
  <c r="O6903" i="58"/>
  <c r="P6903" i="58"/>
  <c r="H6904" i="58"/>
  <c r="I6904" i="58"/>
  <c r="J6904" i="58" s="1"/>
  <c r="O6904" i="58"/>
  <c r="P6904" i="58"/>
  <c r="H6905" i="58"/>
  <c r="I6905" i="58"/>
  <c r="K6905" i="58" s="1"/>
  <c r="L6905" i="58" s="1"/>
  <c r="O6905" i="58"/>
  <c r="P6905" i="58"/>
  <c r="H6906" i="58"/>
  <c r="I6906" i="58"/>
  <c r="J6906" i="58" s="1"/>
  <c r="O6906" i="58"/>
  <c r="P6906" i="58"/>
  <c r="H6907" i="58"/>
  <c r="I6907" i="58"/>
  <c r="K6907" i="58" s="1"/>
  <c r="L6907" i="58" s="1"/>
  <c r="O6907" i="58"/>
  <c r="P6907" i="58"/>
  <c r="H6908" i="58"/>
  <c r="I6908" i="58"/>
  <c r="J6908" i="58" s="1"/>
  <c r="O6908" i="58"/>
  <c r="P6908" i="58"/>
  <c r="H6909" i="58"/>
  <c r="I6909" i="58"/>
  <c r="K6909" i="58" s="1"/>
  <c r="L6909" i="58" s="1"/>
  <c r="O6909" i="58"/>
  <c r="P6909" i="58"/>
  <c r="H6910" i="58"/>
  <c r="I6910" i="58"/>
  <c r="J6910" i="58" s="1"/>
  <c r="O6910" i="58"/>
  <c r="P6910" i="58"/>
  <c r="H6911" i="58"/>
  <c r="I6911" i="58"/>
  <c r="O6911" i="58"/>
  <c r="P6911" i="58"/>
  <c r="H6912" i="58"/>
  <c r="I6912" i="58"/>
  <c r="K6912" i="58" s="1"/>
  <c r="L6912" i="58" s="1"/>
  <c r="O6912" i="58"/>
  <c r="P6912" i="58"/>
  <c r="H6913" i="58"/>
  <c r="I6913" i="58"/>
  <c r="K6913" i="58" s="1"/>
  <c r="L6913" i="58" s="1"/>
  <c r="O6913" i="58"/>
  <c r="P6913" i="58"/>
  <c r="H6914" i="58"/>
  <c r="I6914" i="58"/>
  <c r="O6914" i="58"/>
  <c r="P6914" i="58"/>
  <c r="H6915" i="58"/>
  <c r="I6915" i="58"/>
  <c r="J6915" i="58" s="1"/>
  <c r="O6915" i="58"/>
  <c r="P6915" i="58"/>
  <c r="H6916" i="58"/>
  <c r="I6916" i="58"/>
  <c r="K6916" i="58" s="1"/>
  <c r="L6916" i="58" s="1"/>
  <c r="O6916" i="58"/>
  <c r="P6916" i="58"/>
  <c r="H6917" i="58"/>
  <c r="I6917" i="58"/>
  <c r="O6917" i="58"/>
  <c r="P6917" i="58"/>
  <c r="H6918" i="58"/>
  <c r="I6918" i="58"/>
  <c r="J6918" i="58" s="1"/>
  <c r="O6918" i="58"/>
  <c r="P6918" i="58"/>
  <c r="H6919" i="58"/>
  <c r="I6919" i="58"/>
  <c r="O6919" i="58"/>
  <c r="P6919" i="58"/>
  <c r="H6920" i="58"/>
  <c r="I6920" i="58"/>
  <c r="K6920" i="58" s="1"/>
  <c r="L6920" i="58" s="1"/>
  <c r="O6920" i="58"/>
  <c r="P6920" i="58"/>
  <c r="H6921" i="58"/>
  <c r="I6921" i="58"/>
  <c r="K6921" i="58" s="1"/>
  <c r="L6921" i="58" s="1"/>
  <c r="O6921" i="58"/>
  <c r="P6921" i="58"/>
  <c r="H6922" i="58"/>
  <c r="I6922" i="58"/>
  <c r="J6922" i="58" s="1"/>
  <c r="O6922" i="58"/>
  <c r="P6922" i="58"/>
  <c r="H6923" i="58"/>
  <c r="I6923" i="58"/>
  <c r="O6923" i="58"/>
  <c r="P6923" i="58"/>
  <c r="H6924" i="58"/>
  <c r="I6924" i="58"/>
  <c r="J6924" i="58" s="1"/>
  <c r="O6924" i="58"/>
  <c r="P6924" i="58"/>
  <c r="H6925" i="58"/>
  <c r="I6925" i="58"/>
  <c r="J6925" i="58" s="1"/>
  <c r="O6925" i="58"/>
  <c r="P6925" i="58"/>
  <c r="H6926" i="58"/>
  <c r="I6926" i="58"/>
  <c r="O6926" i="58"/>
  <c r="P6926" i="58"/>
  <c r="H6927" i="58"/>
  <c r="I6927" i="58"/>
  <c r="J6927" i="58" s="1"/>
  <c r="O6927" i="58"/>
  <c r="P6927" i="58"/>
  <c r="H6928" i="58"/>
  <c r="I6928" i="58"/>
  <c r="J6928" i="58" s="1"/>
  <c r="O6928" i="58"/>
  <c r="P6928" i="58"/>
  <c r="H6929" i="58"/>
  <c r="I6929" i="58"/>
  <c r="J6929" i="58" s="1"/>
  <c r="O6929" i="58"/>
  <c r="P6929" i="58"/>
  <c r="H6930" i="58"/>
  <c r="I6930" i="58"/>
  <c r="K6930" i="58" s="1"/>
  <c r="L6930" i="58" s="1"/>
  <c r="O6930" i="58"/>
  <c r="P6930" i="58"/>
  <c r="H6931" i="58"/>
  <c r="I6931" i="58"/>
  <c r="J6931" i="58" s="1"/>
  <c r="O6931" i="58"/>
  <c r="P6931" i="58"/>
  <c r="H6932" i="58"/>
  <c r="I6932" i="58"/>
  <c r="O6932" i="58"/>
  <c r="P6932" i="58"/>
  <c r="H6933" i="58"/>
  <c r="I6933" i="58"/>
  <c r="K6933" i="58" s="1"/>
  <c r="L6933" i="58" s="1"/>
  <c r="O6933" i="58"/>
  <c r="P6933" i="58"/>
  <c r="H6934" i="58"/>
  <c r="I6934" i="58"/>
  <c r="J6934" i="58" s="1"/>
  <c r="O6934" i="58"/>
  <c r="P6934" i="58"/>
  <c r="H6935" i="58"/>
  <c r="I6935" i="58"/>
  <c r="K6935" i="58" s="1"/>
  <c r="L6935" i="58" s="1"/>
  <c r="O6935" i="58"/>
  <c r="P6935" i="58"/>
  <c r="H6936" i="58"/>
  <c r="I6936" i="58"/>
  <c r="O6936" i="58"/>
  <c r="P6936" i="58"/>
  <c r="H6937" i="58"/>
  <c r="I6937" i="58"/>
  <c r="J6937" i="58" s="1"/>
  <c r="O6937" i="58"/>
  <c r="P6937" i="58"/>
  <c r="H6938" i="58"/>
  <c r="I6938" i="58"/>
  <c r="K6938" i="58" s="1"/>
  <c r="L6938" i="58" s="1"/>
  <c r="O6938" i="58"/>
  <c r="P6938" i="58"/>
  <c r="H6939" i="58"/>
  <c r="I6939" i="58"/>
  <c r="J6939" i="58" s="1"/>
  <c r="O6939" i="58"/>
  <c r="P6939" i="58"/>
  <c r="H6940" i="58"/>
  <c r="I6940" i="58"/>
  <c r="K6940" i="58" s="1"/>
  <c r="L6940" i="58" s="1"/>
  <c r="O6940" i="58"/>
  <c r="P6940" i="58"/>
  <c r="H6941" i="58"/>
  <c r="I6941" i="58"/>
  <c r="J6941" i="58" s="1"/>
  <c r="O6941" i="58"/>
  <c r="P6941" i="58"/>
  <c r="H6942" i="58"/>
  <c r="I6942" i="58"/>
  <c r="J6942" i="58" s="1"/>
  <c r="O6942" i="58"/>
  <c r="P6942" i="58"/>
  <c r="H6943" i="58"/>
  <c r="I6943" i="58"/>
  <c r="K6943" i="58" s="1"/>
  <c r="L6943" i="58" s="1"/>
  <c r="O6943" i="58"/>
  <c r="P6943" i="58"/>
  <c r="H6944" i="58"/>
  <c r="I6944" i="58"/>
  <c r="K6944" i="58" s="1"/>
  <c r="L6944" i="58" s="1"/>
  <c r="O6944" i="58"/>
  <c r="P6944" i="58"/>
  <c r="H6945" i="58"/>
  <c r="I6945" i="58"/>
  <c r="J6945" i="58" s="1"/>
  <c r="O6945" i="58"/>
  <c r="P6945" i="58"/>
  <c r="H6946" i="58"/>
  <c r="I6946" i="58"/>
  <c r="J6946" i="58" s="1"/>
  <c r="O6946" i="58"/>
  <c r="P6946" i="58"/>
  <c r="H6947" i="58"/>
  <c r="I6947" i="58"/>
  <c r="K6947" i="58" s="1"/>
  <c r="L6947" i="58" s="1"/>
  <c r="O6947" i="58"/>
  <c r="P6947" i="58"/>
  <c r="H6948" i="58"/>
  <c r="I6948" i="58"/>
  <c r="K6948" i="58" s="1"/>
  <c r="L6948" i="58" s="1"/>
  <c r="O6948" i="58"/>
  <c r="P6948" i="58"/>
  <c r="H6949" i="58"/>
  <c r="I6949" i="58"/>
  <c r="J6949" i="58" s="1"/>
  <c r="O6949" i="58"/>
  <c r="P6949" i="58"/>
  <c r="H6950" i="58"/>
  <c r="I6950" i="58"/>
  <c r="J6950" i="58" s="1"/>
  <c r="O6950" i="58"/>
  <c r="P6950" i="58"/>
  <c r="H6951" i="58"/>
  <c r="I6951" i="58"/>
  <c r="K6951" i="58" s="1"/>
  <c r="L6951" i="58" s="1"/>
  <c r="O6951" i="58"/>
  <c r="P6951" i="58"/>
  <c r="H6952" i="58"/>
  <c r="I6952" i="58"/>
  <c r="O6952" i="58"/>
  <c r="P6952" i="58"/>
  <c r="H6953" i="58"/>
  <c r="I6953" i="58"/>
  <c r="J6953" i="58" s="1"/>
  <c r="O6953" i="58"/>
  <c r="P6953" i="58"/>
  <c r="H6954" i="58"/>
  <c r="I6954" i="58"/>
  <c r="K6954" i="58" s="1"/>
  <c r="L6954" i="58" s="1"/>
  <c r="O6954" i="58"/>
  <c r="P6954" i="58"/>
  <c r="H6955" i="58"/>
  <c r="I6955" i="58"/>
  <c r="J6955" i="58" s="1"/>
  <c r="O6955" i="58"/>
  <c r="P6955" i="58"/>
  <c r="H6956" i="58"/>
  <c r="I6956" i="58"/>
  <c r="K6956" i="58" s="1"/>
  <c r="L6956" i="58" s="1"/>
  <c r="O6956" i="58"/>
  <c r="P6956" i="58"/>
  <c r="H6957" i="58"/>
  <c r="I6957" i="58"/>
  <c r="K6957" i="58" s="1"/>
  <c r="L6957" i="58" s="1"/>
  <c r="O6957" i="58"/>
  <c r="P6957" i="58"/>
  <c r="H6958" i="58"/>
  <c r="I6958" i="58"/>
  <c r="J6958" i="58" s="1"/>
  <c r="O6958" i="58"/>
  <c r="P6958" i="58"/>
  <c r="H6959" i="58"/>
  <c r="I6959" i="58"/>
  <c r="O6959" i="58"/>
  <c r="P6959" i="58"/>
  <c r="H6960" i="58"/>
  <c r="I6960" i="58"/>
  <c r="O6960" i="58"/>
  <c r="P6960" i="58"/>
  <c r="H6961" i="58"/>
  <c r="I6961" i="58"/>
  <c r="K6961" i="58" s="1"/>
  <c r="L6961" i="58" s="1"/>
  <c r="O6961" i="58"/>
  <c r="P6961" i="58"/>
  <c r="H6962" i="58"/>
  <c r="I6962" i="58"/>
  <c r="K6962" i="58" s="1"/>
  <c r="L6962" i="58" s="1"/>
  <c r="O6962" i="58"/>
  <c r="P6962" i="58"/>
  <c r="H6963" i="58"/>
  <c r="I6963" i="58"/>
  <c r="O6963" i="58"/>
  <c r="P6963" i="58"/>
  <c r="H6964" i="58"/>
  <c r="I6964" i="58"/>
  <c r="K6964" i="58" s="1"/>
  <c r="L6964" i="58" s="1"/>
  <c r="O6964" i="58"/>
  <c r="P6964" i="58"/>
  <c r="H6965" i="58"/>
  <c r="I6965" i="58"/>
  <c r="J6965" i="58" s="1"/>
  <c r="O6965" i="58"/>
  <c r="P6965" i="58"/>
  <c r="H6966" i="58"/>
  <c r="I6966" i="58"/>
  <c r="J6966" i="58" s="1"/>
  <c r="O6966" i="58"/>
  <c r="P6966" i="58"/>
  <c r="H6967" i="58"/>
  <c r="I6967" i="58"/>
  <c r="J6967" i="58" s="1"/>
  <c r="O6967" i="58"/>
  <c r="P6967" i="58"/>
  <c r="H6968" i="58"/>
  <c r="I6968" i="58"/>
  <c r="K6968" i="58" s="1"/>
  <c r="L6968" i="58" s="1"/>
  <c r="O6968" i="58"/>
  <c r="P6968" i="58"/>
  <c r="H6969" i="58"/>
  <c r="I6969" i="58"/>
  <c r="J6969" i="58" s="1"/>
  <c r="O6969" i="58"/>
  <c r="P6969" i="58"/>
  <c r="H6970" i="58"/>
  <c r="I6970" i="58"/>
  <c r="O6970" i="58"/>
  <c r="P6970" i="58"/>
  <c r="H6971" i="58"/>
  <c r="I6971" i="58"/>
  <c r="K6971" i="58" s="1"/>
  <c r="L6971" i="58" s="1"/>
  <c r="O6971" i="58"/>
  <c r="P6971" i="58"/>
  <c r="H6972" i="58"/>
  <c r="I6972" i="58"/>
  <c r="J6972" i="58" s="1"/>
  <c r="O6972" i="58"/>
  <c r="P6972" i="58"/>
  <c r="H6973" i="58"/>
  <c r="I6973" i="58"/>
  <c r="K6973" i="58" s="1"/>
  <c r="L6973" i="58" s="1"/>
  <c r="O6973" i="58"/>
  <c r="P6973" i="58"/>
  <c r="H6974" i="58"/>
  <c r="I6974" i="58"/>
  <c r="J6974" i="58" s="1"/>
  <c r="O6974" i="58"/>
  <c r="P6974" i="58"/>
  <c r="H6975" i="58"/>
  <c r="I6975" i="58"/>
  <c r="K6975" i="58" s="1"/>
  <c r="L6975" i="58" s="1"/>
  <c r="O6975" i="58"/>
  <c r="P6975" i="58"/>
  <c r="H6976" i="58"/>
  <c r="I6976" i="58"/>
  <c r="J6976" i="58" s="1"/>
  <c r="O6976" i="58"/>
  <c r="P6976" i="58"/>
  <c r="H6977" i="58"/>
  <c r="I6977" i="58"/>
  <c r="J6977" i="58" s="1"/>
  <c r="O6977" i="58"/>
  <c r="P6977" i="58"/>
  <c r="H6978" i="58"/>
  <c r="I6978" i="58"/>
  <c r="J6978" i="58" s="1"/>
  <c r="O6978" i="58"/>
  <c r="P6978" i="58"/>
  <c r="H6979" i="58"/>
  <c r="I6979" i="58"/>
  <c r="J6979" i="58" s="1"/>
  <c r="O6979" i="58"/>
  <c r="P6979" i="58"/>
  <c r="H6980" i="58"/>
  <c r="I6980" i="58"/>
  <c r="J6980" i="58" s="1"/>
  <c r="O6980" i="58"/>
  <c r="P6980" i="58"/>
  <c r="H6981" i="58"/>
  <c r="I6981" i="58"/>
  <c r="J6981" i="58" s="1"/>
  <c r="O6981" i="58"/>
  <c r="P6981" i="58"/>
  <c r="H6982" i="58"/>
  <c r="I6982" i="58"/>
  <c r="K6982" i="58" s="1"/>
  <c r="L6982" i="58" s="1"/>
  <c r="O6982" i="58"/>
  <c r="P6982" i="58"/>
  <c r="H6983" i="58"/>
  <c r="I6983" i="58"/>
  <c r="J6983" i="58" s="1"/>
  <c r="O6983" i="58"/>
  <c r="P6983" i="58"/>
  <c r="H6984" i="58"/>
  <c r="I6984" i="58"/>
  <c r="J6984" i="58" s="1"/>
  <c r="O6984" i="58"/>
  <c r="P6984" i="58"/>
  <c r="H6985" i="58"/>
  <c r="I6985" i="58"/>
  <c r="J6985" i="58" s="1"/>
  <c r="O6985" i="58"/>
  <c r="P6985" i="58"/>
  <c r="H6986" i="58"/>
  <c r="I6986" i="58"/>
  <c r="J6986" i="58" s="1"/>
  <c r="O6986" i="58"/>
  <c r="P6986" i="58"/>
  <c r="H6987" i="58"/>
  <c r="I6987" i="58"/>
  <c r="J6987" i="58" s="1"/>
  <c r="O6987" i="58"/>
  <c r="P6987" i="58"/>
  <c r="H6988" i="58"/>
  <c r="I6988" i="58"/>
  <c r="O6988" i="58"/>
  <c r="P6988" i="58"/>
  <c r="H6989" i="58"/>
  <c r="I6989" i="58"/>
  <c r="K6989" i="58" s="1"/>
  <c r="L6989" i="58" s="1"/>
  <c r="O6989" i="58"/>
  <c r="P6989" i="58"/>
  <c r="H6990" i="58"/>
  <c r="I6990" i="58"/>
  <c r="J6990" i="58" s="1"/>
  <c r="O6990" i="58"/>
  <c r="P6990" i="58"/>
  <c r="H6991" i="58"/>
  <c r="I6991" i="58"/>
  <c r="J6991" i="58" s="1"/>
  <c r="O6991" i="58"/>
  <c r="P6991" i="58"/>
  <c r="H6992" i="58"/>
  <c r="I6992" i="58"/>
  <c r="J6992" i="58" s="1"/>
  <c r="O6992" i="58"/>
  <c r="P6992" i="58"/>
  <c r="H6993" i="58"/>
  <c r="I6993" i="58"/>
  <c r="J6993" i="58" s="1"/>
  <c r="O6993" i="58"/>
  <c r="P6993" i="58"/>
  <c r="H6994" i="58"/>
  <c r="I6994" i="58"/>
  <c r="J6994" i="58" s="1"/>
  <c r="O6994" i="58"/>
  <c r="P6994" i="58"/>
  <c r="H6995" i="58"/>
  <c r="I6995" i="58"/>
  <c r="J6995" i="58" s="1"/>
  <c r="O6995" i="58"/>
  <c r="P6995" i="58"/>
  <c r="H6996" i="58"/>
  <c r="I6996" i="58"/>
  <c r="J6996" i="58" s="1"/>
  <c r="O6996" i="58"/>
  <c r="P6996" i="58"/>
  <c r="H6997" i="58"/>
  <c r="I6997" i="58"/>
  <c r="J6997" i="58" s="1"/>
  <c r="O6997" i="58"/>
  <c r="P6997" i="58"/>
  <c r="H6998" i="58"/>
  <c r="I6998" i="58"/>
  <c r="K6998" i="58" s="1"/>
  <c r="L6998" i="58" s="1"/>
  <c r="O6998" i="58"/>
  <c r="P6998" i="58"/>
  <c r="H6999" i="58"/>
  <c r="I6999" i="58"/>
  <c r="O6999" i="58"/>
  <c r="P6999" i="58"/>
  <c r="H7000" i="58"/>
  <c r="I7000" i="58"/>
  <c r="J7000" i="58" s="1"/>
  <c r="O7000" i="58"/>
  <c r="P7000" i="58"/>
  <c r="H7001" i="58"/>
  <c r="I7001" i="58"/>
  <c r="J7001" i="58" s="1"/>
  <c r="O7001" i="58"/>
  <c r="P7001" i="58"/>
  <c r="H7002" i="58"/>
  <c r="I7002" i="58"/>
  <c r="O7002" i="58"/>
  <c r="P7002" i="58"/>
  <c r="H7003" i="58"/>
  <c r="I7003" i="58"/>
  <c r="J7003" i="58" s="1"/>
  <c r="O7003" i="58"/>
  <c r="P7003" i="58"/>
  <c r="H7004" i="58"/>
  <c r="I7004" i="58"/>
  <c r="J7004" i="58" s="1"/>
  <c r="O7004" i="58"/>
  <c r="P7004" i="58"/>
  <c r="H7005" i="58"/>
  <c r="I7005" i="58"/>
  <c r="K7005" i="58" s="1"/>
  <c r="L7005" i="58" s="1"/>
  <c r="O7005" i="58"/>
  <c r="P7005" i="58"/>
  <c r="H7006" i="58"/>
  <c r="I7006" i="58"/>
  <c r="J7006" i="58" s="1"/>
  <c r="O7006" i="58"/>
  <c r="P7006" i="58"/>
  <c r="H7007" i="58"/>
  <c r="I7007" i="58"/>
  <c r="K7007" i="58" s="1"/>
  <c r="L7007" i="58" s="1"/>
  <c r="O7007" i="58"/>
  <c r="P7007" i="58"/>
  <c r="H7008" i="58"/>
  <c r="I7008" i="58"/>
  <c r="J7008" i="58" s="1"/>
  <c r="O7008" i="58"/>
  <c r="P7008" i="58"/>
  <c r="H7009" i="58"/>
  <c r="I7009" i="58"/>
  <c r="J7009" i="58" s="1"/>
  <c r="O7009" i="58"/>
  <c r="P7009" i="58"/>
  <c r="H7010" i="58"/>
  <c r="I7010" i="58"/>
  <c r="O7010" i="58"/>
  <c r="P7010" i="58"/>
  <c r="H7011" i="58"/>
  <c r="I7011" i="58"/>
  <c r="J7011" i="58" s="1"/>
  <c r="O7011" i="58"/>
  <c r="P7011" i="58"/>
  <c r="H7012" i="58"/>
  <c r="I7012" i="58"/>
  <c r="J7012" i="58" s="1"/>
  <c r="O7012" i="58"/>
  <c r="P7012" i="58"/>
  <c r="H7013" i="58"/>
  <c r="I7013" i="58"/>
  <c r="J7013" i="58" s="1"/>
  <c r="O7013" i="58"/>
  <c r="P7013" i="58"/>
  <c r="H7014" i="58"/>
  <c r="I7014" i="58"/>
  <c r="J7014" i="58" s="1"/>
  <c r="O7014" i="58"/>
  <c r="P7014" i="58"/>
  <c r="H7015" i="58"/>
  <c r="I7015" i="58"/>
  <c r="J7015" i="58" s="1"/>
  <c r="O7015" i="58"/>
  <c r="P7015" i="58"/>
  <c r="H7016" i="58"/>
  <c r="I7016" i="58"/>
  <c r="J7016" i="58" s="1"/>
  <c r="O7016" i="58"/>
  <c r="P7016" i="58"/>
  <c r="H7017" i="58"/>
  <c r="I7017" i="58"/>
  <c r="K7017" i="58" s="1"/>
  <c r="L7017" i="58" s="1"/>
  <c r="O7017" i="58"/>
  <c r="P7017" i="58"/>
  <c r="H7018" i="58"/>
  <c r="I7018" i="58"/>
  <c r="J7018" i="58" s="1"/>
  <c r="O7018" i="58"/>
  <c r="P7018" i="58"/>
  <c r="H7019" i="58"/>
  <c r="I7019" i="58"/>
  <c r="J7019" i="58" s="1"/>
  <c r="O7019" i="58"/>
  <c r="P7019" i="58"/>
  <c r="H7020" i="58"/>
  <c r="I7020" i="58"/>
  <c r="J7020" i="58" s="1"/>
  <c r="O7020" i="58"/>
  <c r="P7020" i="58"/>
  <c r="H7021" i="58"/>
  <c r="I7021" i="58"/>
  <c r="O7021" i="58"/>
  <c r="P7021" i="58"/>
  <c r="H7022" i="58"/>
  <c r="I7022" i="58"/>
  <c r="J7022" i="58" s="1"/>
  <c r="O7022" i="58"/>
  <c r="P7022" i="58"/>
  <c r="H7023" i="58"/>
  <c r="I7023" i="58"/>
  <c r="J7023" i="58" s="1"/>
  <c r="O7023" i="58"/>
  <c r="P7023" i="58"/>
  <c r="H7024" i="58"/>
  <c r="I7024" i="58"/>
  <c r="J7024" i="58" s="1"/>
  <c r="O7024" i="58"/>
  <c r="P7024" i="58"/>
  <c r="H7025" i="58"/>
  <c r="I7025" i="58"/>
  <c r="J7025" i="58" s="1"/>
  <c r="O7025" i="58"/>
  <c r="P7025" i="58"/>
  <c r="H7026" i="58"/>
  <c r="I7026" i="58"/>
  <c r="K7026" i="58" s="1"/>
  <c r="L7026" i="58" s="1"/>
  <c r="O7026" i="58"/>
  <c r="P7026" i="58"/>
  <c r="H7027" i="58"/>
  <c r="I7027" i="58"/>
  <c r="O7027" i="58"/>
  <c r="P7027" i="58"/>
  <c r="H7028" i="58"/>
  <c r="I7028" i="58"/>
  <c r="J7028" i="58" s="1"/>
  <c r="O7028" i="58"/>
  <c r="P7028" i="58"/>
  <c r="H7029" i="58"/>
  <c r="I7029" i="58"/>
  <c r="O7029" i="58"/>
  <c r="P7029" i="58"/>
  <c r="H7030" i="58"/>
  <c r="I7030" i="58"/>
  <c r="O7030" i="58"/>
  <c r="P7030" i="58"/>
  <c r="H7031" i="58"/>
  <c r="I7031" i="58"/>
  <c r="J7031" i="58" s="1"/>
  <c r="O7031" i="58"/>
  <c r="P7031" i="58"/>
  <c r="H7032" i="58"/>
  <c r="I7032" i="58"/>
  <c r="O7032" i="58"/>
  <c r="P7032" i="58"/>
  <c r="H7033" i="58"/>
  <c r="I7033" i="58"/>
  <c r="K7033" i="58" s="1"/>
  <c r="L7033" i="58" s="1"/>
  <c r="O7033" i="58"/>
  <c r="P7033" i="58"/>
  <c r="H7034" i="58"/>
  <c r="I7034" i="58"/>
  <c r="J7034" i="58" s="1"/>
  <c r="O7034" i="58"/>
  <c r="P7034" i="58"/>
  <c r="H7035" i="58"/>
  <c r="I7035" i="58"/>
  <c r="J7035" i="58" s="1"/>
  <c r="O7035" i="58"/>
  <c r="P7035" i="58"/>
  <c r="H7036" i="58"/>
  <c r="I7036" i="58"/>
  <c r="J7036" i="58" s="1"/>
  <c r="O7036" i="58"/>
  <c r="P7036" i="58"/>
  <c r="H7037" i="58"/>
  <c r="I7037" i="58"/>
  <c r="J7037" i="58" s="1"/>
  <c r="O7037" i="58"/>
  <c r="P7037" i="58"/>
  <c r="H7038" i="58"/>
  <c r="I7038" i="58"/>
  <c r="J7038" i="58" s="1"/>
  <c r="O7038" i="58"/>
  <c r="P7038" i="58"/>
  <c r="H7039" i="58"/>
  <c r="I7039" i="58"/>
  <c r="J7039" i="58" s="1"/>
  <c r="O7039" i="58"/>
  <c r="P7039" i="58"/>
  <c r="H7040" i="58"/>
  <c r="I7040" i="58"/>
  <c r="J7040" i="58" s="1"/>
  <c r="O7040" i="58"/>
  <c r="P7040" i="58"/>
  <c r="H7041" i="58"/>
  <c r="I7041" i="58"/>
  <c r="O7041" i="58"/>
  <c r="P7041" i="58"/>
  <c r="H7042" i="58"/>
  <c r="I7042" i="58"/>
  <c r="J7042" i="58" s="1"/>
  <c r="O7042" i="58"/>
  <c r="P7042" i="58"/>
  <c r="H7043" i="58"/>
  <c r="I7043" i="58"/>
  <c r="J7043" i="58" s="1"/>
  <c r="O7043" i="58"/>
  <c r="P7043" i="58"/>
  <c r="H7044" i="58"/>
  <c r="I7044" i="58"/>
  <c r="J7044" i="58" s="1"/>
  <c r="O7044" i="58"/>
  <c r="P7044" i="58"/>
  <c r="H7045" i="58"/>
  <c r="I7045" i="58"/>
  <c r="K7045" i="58" s="1"/>
  <c r="L7045" i="58" s="1"/>
  <c r="O7045" i="58"/>
  <c r="P7045" i="58"/>
  <c r="H7046" i="58"/>
  <c r="I7046" i="58"/>
  <c r="K7046" i="58" s="1"/>
  <c r="L7046" i="58" s="1"/>
  <c r="O7046" i="58"/>
  <c r="P7046" i="58"/>
  <c r="H7047" i="58"/>
  <c r="I7047" i="58"/>
  <c r="J7047" i="58" s="1"/>
  <c r="O7047" i="58"/>
  <c r="P7047" i="58"/>
  <c r="H7048" i="58"/>
  <c r="I7048" i="58"/>
  <c r="O7048" i="58"/>
  <c r="P7048" i="58"/>
  <c r="H7049" i="58"/>
  <c r="I7049" i="58"/>
  <c r="K7049" i="58" s="1"/>
  <c r="L7049" i="58" s="1"/>
  <c r="O7049" i="58"/>
  <c r="P7049" i="58"/>
  <c r="H7050" i="58"/>
  <c r="I7050" i="58"/>
  <c r="J7050" i="58" s="1"/>
  <c r="O7050" i="58"/>
  <c r="P7050" i="58"/>
  <c r="H7051" i="58"/>
  <c r="I7051" i="58"/>
  <c r="J7051" i="58" s="1"/>
  <c r="O7051" i="58"/>
  <c r="P7051" i="58"/>
  <c r="H7052" i="58"/>
  <c r="I7052" i="58"/>
  <c r="J7052" i="58" s="1"/>
  <c r="O7052" i="58"/>
  <c r="P7052" i="58"/>
  <c r="H7053" i="58"/>
  <c r="I7053" i="58"/>
  <c r="J7053" i="58" s="1"/>
  <c r="O7053" i="58"/>
  <c r="P7053" i="58"/>
  <c r="H7054" i="58"/>
  <c r="I7054" i="58"/>
  <c r="J7054" i="58" s="1"/>
  <c r="O7054" i="58"/>
  <c r="P7054" i="58"/>
  <c r="H7055" i="58"/>
  <c r="I7055" i="58"/>
  <c r="O7055" i="58"/>
  <c r="P7055" i="58"/>
  <c r="H7056" i="58"/>
  <c r="I7056" i="58"/>
  <c r="J7056" i="58" s="1"/>
  <c r="O7056" i="58"/>
  <c r="P7056" i="58"/>
  <c r="H7057" i="58"/>
  <c r="I7057" i="58"/>
  <c r="K7057" i="58" s="1"/>
  <c r="L7057" i="58" s="1"/>
  <c r="O7057" i="58"/>
  <c r="P7057" i="58"/>
  <c r="H7058" i="58"/>
  <c r="I7058" i="58"/>
  <c r="J7058" i="58" s="1"/>
  <c r="O7058" i="58"/>
  <c r="P7058" i="58"/>
  <c r="H7059" i="58"/>
  <c r="I7059" i="58"/>
  <c r="J7059" i="58" s="1"/>
  <c r="O7059" i="58"/>
  <c r="P7059" i="58"/>
  <c r="H7060" i="58"/>
  <c r="I7060" i="58"/>
  <c r="J7060" i="58" s="1"/>
  <c r="O7060" i="58"/>
  <c r="P7060" i="58"/>
  <c r="H7061" i="58"/>
  <c r="I7061" i="58"/>
  <c r="O7061" i="58"/>
  <c r="P7061" i="58"/>
  <c r="H7062" i="58"/>
  <c r="I7062" i="58"/>
  <c r="K7062" i="58" s="1"/>
  <c r="L7062" i="58" s="1"/>
  <c r="O7062" i="58"/>
  <c r="P7062" i="58"/>
  <c r="H7063" i="58"/>
  <c r="I7063" i="58"/>
  <c r="O7063" i="58"/>
  <c r="P7063" i="58"/>
  <c r="H7064" i="58"/>
  <c r="I7064" i="58"/>
  <c r="J7064" i="58" s="1"/>
  <c r="O7064" i="58"/>
  <c r="P7064" i="58"/>
  <c r="H7065" i="58"/>
  <c r="I7065" i="58"/>
  <c r="K7065" i="58" s="1"/>
  <c r="L7065" i="58" s="1"/>
  <c r="O7065" i="58"/>
  <c r="P7065" i="58"/>
  <c r="H7066" i="58"/>
  <c r="I7066" i="58"/>
  <c r="J7066" i="58" s="1"/>
  <c r="O7066" i="58"/>
  <c r="P7066" i="58"/>
  <c r="H7067" i="58"/>
  <c r="I7067" i="58"/>
  <c r="O7067" i="58"/>
  <c r="P7067" i="58"/>
  <c r="H7068" i="58"/>
  <c r="I7068" i="58"/>
  <c r="K7068" i="58" s="1"/>
  <c r="L7068" i="58" s="1"/>
  <c r="O7068" i="58"/>
  <c r="P7068" i="58"/>
  <c r="H7069" i="58"/>
  <c r="I7069" i="58"/>
  <c r="J7069" i="58" s="1"/>
  <c r="O7069" i="58"/>
  <c r="P7069" i="58"/>
  <c r="H7070" i="58"/>
  <c r="I7070" i="58"/>
  <c r="O7070" i="58"/>
  <c r="P7070" i="58"/>
  <c r="H7071" i="58"/>
  <c r="I7071" i="58"/>
  <c r="J7071" i="58" s="1"/>
  <c r="O7071" i="58"/>
  <c r="P7071" i="58"/>
  <c r="H7072" i="58"/>
  <c r="I7072" i="58"/>
  <c r="J7072" i="58" s="1"/>
  <c r="O7072" i="58"/>
  <c r="P7072" i="58"/>
  <c r="H7073" i="58"/>
  <c r="I7073" i="58"/>
  <c r="J7073" i="58" s="1"/>
  <c r="O7073" i="58"/>
  <c r="P7073" i="58"/>
  <c r="H7074" i="58"/>
  <c r="I7074" i="58"/>
  <c r="J7074" i="58" s="1"/>
  <c r="O7074" i="58"/>
  <c r="P7074" i="58"/>
  <c r="H7075" i="58"/>
  <c r="I7075" i="58"/>
  <c r="K7075" i="58" s="1"/>
  <c r="L7075" i="58" s="1"/>
  <c r="O7075" i="58"/>
  <c r="P7075" i="58"/>
  <c r="H7076" i="58"/>
  <c r="I7076" i="58"/>
  <c r="J7076" i="58" s="1"/>
  <c r="O7076" i="58"/>
  <c r="P7076" i="58"/>
  <c r="H7077" i="58"/>
  <c r="I7077" i="58"/>
  <c r="O7077" i="58"/>
  <c r="P7077" i="58"/>
  <c r="H7078" i="58"/>
  <c r="I7078" i="58"/>
  <c r="J7078" i="58" s="1"/>
  <c r="O7078" i="58"/>
  <c r="P7078" i="58"/>
  <c r="H7079" i="58"/>
  <c r="I7079" i="58"/>
  <c r="J7079" i="58" s="1"/>
  <c r="O7079" i="58"/>
  <c r="P7079" i="58"/>
  <c r="H7080" i="58"/>
  <c r="I7080" i="58"/>
  <c r="J7080" i="58" s="1"/>
  <c r="O7080" i="58"/>
  <c r="P7080" i="58"/>
  <c r="H7081" i="58"/>
  <c r="I7081" i="58"/>
  <c r="J7081" i="58" s="1"/>
  <c r="O7081" i="58"/>
  <c r="P7081" i="58"/>
  <c r="H7082" i="58"/>
  <c r="I7082" i="58"/>
  <c r="K7082" i="58" s="1"/>
  <c r="L7082" i="58" s="1"/>
  <c r="O7082" i="58"/>
  <c r="P7082" i="58"/>
  <c r="H7083" i="58"/>
  <c r="I7083" i="58"/>
  <c r="K7083" i="58" s="1"/>
  <c r="L7083" i="58" s="1"/>
  <c r="O7083" i="58"/>
  <c r="P7083" i="58"/>
  <c r="H7084" i="58"/>
  <c r="I7084" i="58"/>
  <c r="O7084" i="58"/>
  <c r="P7084" i="58"/>
  <c r="H7085" i="58"/>
  <c r="I7085" i="58"/>
  <c r="J7085" i="58" s="1"/>
  <c r="O7085" i="58"/>
  <c r="P7085" i="58"/>
  <c r="H7086" i="58"/>
  <c r="I7086" i="58"/>
  <c r="K7086" i="58" s="1"/>
  <c r="L7086" i="58" s="1"/>
  <c r="O7086" i="58"/>
  <c r="P7086" i="58"/>
  <c r="H7087" i="58"/>
  <c r="I7087" i="58"/>
  <c r="J7087" i="58" s="1"/>
  <c r="O7087" i="58"/>
  <c r="P7087" i="58"/>
  <c r="H7088" i="58"/>
  <c r="I7088" i="58"/>
  <c r="J7088" i="58" s="1"/>
  <c r="O7088" i="58"/>
  <c r="P7088" i="58"/>
  <c r="H7089" i="58"/>
  <c r="I7089" i="58"/>
  <c r="K7089" i="58" s="1"/>
  <c r="L7089" i="58" s="1"/>
  <c r="O7089" i="58"/>
  <c r="P7089" i="58"/>
  <c r="H7090" i="58"/>
  <c r="I7090" i="58"/>
  <c r="K7090" i="58" s="1"/>
  <c r="L7090" i="58" s="1"/>
  <c r="O7090" i="58"/>
  <c r="P7090" i="58"/>
  <c r="H7091" i="58"/>
  <c r="I7091" i="58"/>
  <c r="O7091" i="58"/>
  <c r="P7091" i="58"/>
  <c r="H7092" i="58"/>
  <c r="I7092" i="58"/>
  <c r="J7092" i="58" s="1"/>
  <c r="O7092" i="58"/>
  <c r="P7092" i="58"/>
  <c r="H7093" i="58"/>
  <c r="I7093" i="58"/>
  <c r="J7093" i="58" s="1"/>
  <c r="O7093" i="58"/>
  <c r="P7093" i="58"/>
  <c r="H7094" i="58"/>
  <c r="I7094" i="58"/>
  <c r="J7094" i="58" s="1"/>
  <c r="O7094" i="58"/>
  <c r="P7094" i="58"/>
  <c r="H7095" i="58"/>
  <c r="I7095" i="58"/>
  <c r="J7095" i="58" s="1"/>
  <c r="O7095" i="58"/>
  <c r="P7095" i="58"/>
  <c r="H7096" i="58"/>
  <c r="I7096" i="58"/>
  <c r="J7096" i="58" s="1"/>
  <c r="O7096" i="58"/>
  <c r="P7096" i="58"/>
  <c r="H7097" i="58"/>
  <c r="I7097" i="58"/>
  <c r="K7097" i="58" s="1"/>
  <c r="L7097" i="58" s="1"/>
  <c r="O7097" i="58"/>
  <c r="P7097" i="58"/>
  <c r="H7098" i="58"/>
  <c r="I7098" i="58"/>
  <c r="O7098" i="58"/>
  <c r="P7098" i="58"/>
  <c r="H7099" i="58"/>
  <c r="I7099" i="58"/>
  <c r="J7099" i="58" s="1"/>
  <c r="O7099" i="58"/>
  <c r="P7099" i="58"/>
  <c r="H7100" i="58"/>
  <c r="I7100" i="58"/>
  <c r="J7100" i="58" s="1"/>
  <c r="O7100" i="58"/>
  <c r="P7100" i="58"/>
  <c r="H7101" i="58"/>
  <c r="I7101" i="58"/>
  <c r="O7101" i="58"/>
  <c r="P7101" i="58"/>
  <c r="H7102" i="58"/>
  <c r="I7102" i="58"/>
  <c r="J7102" i="58" s="1"/>
  <c r="O7102" i="58"/>
  <c r="P7102" i="58"/>
  <c r="H7103" i="58"/>
  <c r="I7103" i="58"/>
  <c r="J7103" i="58" s="1"/>
  <c r="O7103" i="58"/>
  <c r="P7103" i="58"/>
  <c r="H7104" i="58"/>
  <c r="I7104" i="58"/>
  <c r="J7104" i="58" s="1"/>
  <c r="O7104" i="58"/>
  <c r="P7104" i="58"/>
  <c r="H7105" i="58"/>
  <c r="I7105" i="58"/>
  <c r="O7105" i="58"/>
  <c r="P7105" i="58"/>
  <c r="H7106" i="58"/>
  <c r="I7106" i="58"/>
  <c r="J7106" i="58" s="1"/>
  <c r="O7106" i="58"/>
  <c r="P7106" i="58"/>
  <c r="H7107" i="58"/>
  <c r="I7107" i="58"/>
  <c r="K7107" i="58" s="1"/>
  <c r="L7107" i="58" s="1"/>
  <c r="O7107" i="58"/>
  <c r="P7107" i="58"/>
  <c r="H7108" i="58"/>
  <c r="I7108" i="58"/>
  <c r="J7108" i="58" s="1"/>
  <c r="O7108" i="58"/>
  <c r="P7108" i="58"/>
  <c r="H7109" i="58"/>
  <c r="I7109" i="58"/>
  <c r="J7109" i="58" s="1"/>
  <c r="O7109" i="58"/>
  <c r="P7109" i="58"/>
  <c r="H7110" i="58"/>
  <c r="I7110" i="58"/>
  <c r="J7110" i="58" s="1"/>
  <c r="O7110" i="58"/>
  <c r="P7110" i="58"/>
  <c r="H7111" i="58"/>
  <c r="I7111" i="58"/>
  <c r="K7111" i="58" s="1"/>
  <c r="L7111" i="58" s="1"/>
  <c r="O7111" i="58"/>
  <c r="P7111" i="58"/>
  <c r="H7112" i="58"/>
  <c r="I7112" i="58"/>
  <c r="O7112" i="58"/>
  <c r="P7112" i="58"/>
  <c r="H7113" i="58"/>
  <c r="I7113" i="58"/>
  <c r="J7113" i="58" s="1"/>
  <c r="O7113" i="58"/>
  <c r="P7113" i="58"/>
  <c r="H7114" i="58"/>
  <c r="I7114" i="58"/>
  <c r="J7114" i="58" s="1"/>
  <c r="O7114" i="58"/>
  <c r="P7114" i="58"/>
  <c r="H7115" i="58"/>
  <c r="I7115" i="58"/>
  <c r="J7115" i="58" s="1"/>
  <c r="O7115" i="58"/>
  <c r="P7115" i="58"/>
  <c r="H7116" i="58"/>
  <c r="I7116" i="58"/>
  <c r="J7116" i="58" s="1"/>
  <c r="O7116" i="58"/>
  <c r="P7116" i="58"/>
  <c r="H7117" i="58"/>
  <c r="I7117" i="58"/>
  <c r="J7117" i="58" s="1"/>
  <c r="O7117" i="58"/>
  <c r="P7117" i="58"/>
  <c r="H7118" i="58"/>
  <c r="I7118" i="58"/>
  <c r="J7118" i="58" s="1"/>
  <c r="O7118" i="58"/>
  <c r="P7118" i="58"/>
  <c r="H7119" i="58"/>
  <c r="I7119" i="58"/>
  <c r="O7119" i="58"/>
  <c r="P7119" i="58"/>
  <c r="H7120" i="58"/>
  <c r="I7120" i="58"/>
  <c r="J7120" i="58" s="1"/>
  <c r="O7120" i="58"/>
  <c r="P7120" i="58"/>
  <c r="H7121" i="58"/>
  <c r="I7121" i="58"/>
  <c r="K7121" i="58" s="1"/>
  <c r="L7121" i="58" s="1"/>
  <c r="O7121" i="58"/>
  <c r="P7121" i="58"/>
  <c r="H7122" i="58"/>
  <c r="I7122" i="58"/>
  <c r="J7122" i="58" s="1"/>
  <c r="O7122" i="58"/>
  <c r="P7122" i="58"/>
  <c r="H7123" i="58"/>
  <c r="I7123" i="58"/>
  <c r="J7123" i="58" s="1"/>
  <c r="O7123" i="58"/>
  <c r="P7123" i="58"/>
  <c r="H7124" i="58"/>
  <c r="I7124" i="58"/>
  <c r="J7124" i="58" s="1"/>
  <c r="O7124" i="58"/>
  <c r="P7124" i="58"/>
  <c r="H7125" i="58"/>
  <c r="I7125" i="58"/>
  <c r="K7125" i="58" s="1"/>
  <c r="L7125" i="58" s="1"/>
  <c r="O7125" i="58"/>
  <c r="P7125" i="58"/>
  <c r="H7126" i="58"/>
  <c r="I7126" i="58"/>
  <c r="K7126" i="58" s="1"/>
  <c r="L7126" i="58" s="1"/>
  <c r="O7126" i="58"/>
  <c r="P7126" i="58"/>
  <c r="H7127" i="58"/>
  <c r="I7127" i="58"/>
  <c r="J7127" i="58" s="1"/>
  <c r="O7127" i="58"/>
  <c r="P7127" i="58"/>
  <c r="H7128" i="58"/>
  <c r="I7128" i="58"/>
  <c r="K7128" i="58" s="1"/>
  <c r="L7128" i="58" s="1"/>
  <c r="O7128" i="58"/>
  <c r="P7128" i="58"/>
  <c r="H7129" i="58"/>
  <c r="I7129" i="58"/>
  <c r="J7129" i="58" s="1"/>
  <c r="O7129" i="58"/>
  <c r="P7129" i="58"/>
  <c r="H7130" i="58"/>
  <c r="I7130" i="58"/>
  <c r="J7130" i="58" s="1"/>
  <c r="O7130" i="58"/>
  <c r="P7130" i="58"/>
  <c r="H7131" i="58"/>
  <c r="I7131" i="58"/>
  <c r="J7131" i="58" s="1"/>
  <c r="O7131" i="58"/>
  <c r="P7131" i="58"/>
  <c r="H7132" i="58"/>
  <c r="I7132" i="58"/>
  <c r="K7132" i="58" s="1"/>
  <c r="L7132" i="58" s="1"/>
  <c r="O7132" i="58"/>
  <c r="P7132" i="58"/>
  <c r="H7133" i="58"/>
  <c r="I7133" i="58"/>
  <c r="K7133" i="58" s="1"/>
  <c r="L7133" i="58" s="1"/>
  <c r="O7133" i="58"/>
  <c r="P7133" i="58"/>
  <c r="H7134" i="58"/>
  <c r="I7134" i="58"/>
  <c r="J7134" i="58" s="1"/>
  <c r="O7134" i="58"/>
  <c r="P7134" i="58"/>
  <c r="H7135" i="58"/>
  <c r="I7135" i="58"/>
  <c r="J7135" i="58" s="1"/>
  <c r="O7135" i="58"/>
  <c r="P7135" i="58"/>
  <c r="H7136" i="58"/>
  <c r="I7136" i="58"/>
  <c r="J7136" i="58" s="1"/>
  <c r="O7136" i="58"/>
  <c r="P7136" i="58"/>
  <c r="H7137" i="58"/>
  <c r="I7137" i="58"/>
  <c r="J7137" i="58" s="1"/>
  <c r="O7137" i="58"/>
  <c r="P7137" i="58"/>
  <c r="H7138" i="58"/>
  <c r="I7138" i="58"/>
  <c r="K7138" i="58" s="1"/>
  <c r="L7138" i="58" s="1"/>
  <c r="O7138" i="58"/>
  <c r="P7138" i="58"/>
  <c r="H7139" i="58"/>
  <c r="I7139" i="58"/>
  <c r="K7139" i="58" s="1"/>
  <c r="L7139" i="58" s="1"/>
  <c r="O7139" i="58"/>
  <c r="P7139" i="58"/>
  <c r="H7140" i="58"/>
  <c r="I7140" i="58"/>
  <c r="K7140" i="58" s="1"/>
  <c r="L7140" i="58" s="1"/>
  <c r="O7140" i="58"/>
  <c r="P7140" i="58"/>
  <c r="H7141" i="58"/>
  <c r="I7141" i="58"/>
  <c r="J7141" i="58" s="1"/>
  <c r="O7141" i="58"/>
  <c r="P7141" i="58"/>
  <c r="H7142" i="58"/>
  <c r="I7142" i="58"/>
  <c r="O7142" i="58"/>
  <c r="P7142" i="58"/>
  <c r="H7143" i="58"/>
  <c r="I7143" i="58"/>
  <c r="O7143" i="58"/>
  <c r="P7143" i="58"/>
  <c r="H7144" i="58"/>
  <c r="I7144" i="58"/>
  <c r="O7144" i="58"/>
  <c r="P7144" i="58"/>
  <c r="H7145" i="58"/>
  <c r="I7145" i="58"/>
  <c r="J7145" i="58" s="1"/>
  <c r="O7145" i="58"/>
  <c r="P7145" i="58"/>
  <c r="H7146" i="58"/>
  <c r="I7146" i="58"/>
  <c r="J7146" i="58" s="1"/>
  <c r="O7146" i="58"/>
  <c r="P7146" i="58"/>
  <c r="H7147" i="58"/>
  <c r="I7147" i="58"/>
  <c r="K7147" i="58" s="1"/>
  <c r="L7147" i="58" s="1"/>
  <c r="O7147" i="58"/>
  <c r="P7147" i="58"/>
  <c r="H7148" i="58"/>
  <c r="I7148" i="58"/>
  <c r="J7148" i="58" s="1"/>
  <c r="O7148" i="58"/>
  <c r="P7148" i="58"/>
  <c r="H7149" i="58"/>
  <c r="I7149" i="58"/>
  <c r="J7149" i="58" s="1"/>
  <c r="O7149" i="58"/>
  <c r="P7149" i="58"/>
  <c r="H7150" i="58"/>
  <c r="I7150" i="58"/>
  <c r="J7150" i="58" s="1"/>
  <c r="O7150" i="58"/>
  <c r="P7150" i="58"/>
  <c r="H7151" i="58"/>
  <c r="I7151" i="58"/>
  <c r="J7151" i="58" s="1"/>
  <c r="O7151" i="58"/>
  <c r="P7151" i="58"/>
  <c r="H7152" i="58"/>
  <c r="I7152" i="58"/>
  <c r="K7152" i="58" s="1"/>
  <c r="L7152" i="58" s="1"/>
  <c r="O7152" i="58"/>
  <c r="P7152" i="58"/>
  <c r="H7153" i="58"/>
  <c r="I7153" i="58"/>
  <c r="K7153" i="58" s="1"/>
  <c r="L7153" i="58" s="1"/>
  <c r="O7153" i="58"/>
  <c r="P7153" i="58"/>
  <c r="H7154" i="58"/>
  <c r="I7154" i="58"/>
  <c r="K7154" i="58" s="1"/>
  <c r="L7154" i="58" s="1"/>
  <c r="O7154" i="58"/>
  <c r="P7154" i="58"/>
  <c r="H7155" i="58"/>
  <c r="I7155" i="58"/>
  <c r="J7155" i="58" s="1"/>
  <c r="O7155" i="58"/>
  <c r="P7155" i="58"/>
  <c r="H7156" i="58"/>
  <c r="I7156" i="58"/>
  <c r="J7156" i="58" s="1"/>
  <c r="O7156" i="58"/>
  <c r="P7156" i="58"/>
  <c r="H7157" i="58"/>
  <c r="I7157" i="58"/>
  <c r="J7157" i="58" s="1"/>
  <c r="O7157" i="58"/>
  <c r="P7157" i="58"/>
  <c r="H7158" i="58"/>
  <c r="I7158" i="58"/>
  <c r="J7158" i="58" s="1"/>
  <c r="O7158" i="58"/>
  <c r="P7158" i="58"/>
  <c r="H7159" i="58"/>
  <c r="I7159" i="58"/>
  <c r="J7159" i="58" s="1"/>
  <c r="O7159" i="58"/>
  <c r="P7159" i="58"/>
  <c r="H7160" i="58"/>
  <c r="I7160" i="58"/>
  <c r="J7160" i="58" s="1"/>
  <c r="O7160" i="58"/>
  <c r="P7160" i="58"/>
  <c r="H7161" i="58"/>
  <c r="I7161" i="58"/>
  <c r="K7161" i="58" s="1"/>
  <c r="L7161" i="58" s="1"/>
  <c r="O7161" i="58"/>
  <c r="P7161" i="58"/>
  <c r="H7162" i="58"/>
  <c r="I7162" i="58"/>
  <c r="J7162" i="58" s="1"/>
  <c r="O7162" i="58"/>
  <c r="P7162" i="58"/>
  <c r="H7163" i="58"/>
  <c r="I7163" i="58"/>
  <c r="O7163" i="58"/>
  <c r="P7163" i="58"/>
  <c r="H7164" i="58"/>
  <c r="I7164" i="58"/>
  <c r="J7164" i="58" s="1"/>
  <c r="O7164" i="58"/>
  <c r="P7164" i="58"/>
  <c r="H7165" i="58"/>
  <c r="I7165" i="58"/>
  <c r="J7165" i="58" s="1"/>
  <c r="O7165" i="58"/>
  <c r="P7165" i="58"/>
  <c r="H7166" i="58"/>
  <c r="I7166" i="58"/>
  <c r="J7166" i="58" s="1"/>
  <c r="O7166" i="58"/>
  <c r="P7166" i="58"/>
  <c r="H7167" i="58"/>
  <c r="I7167" i="58"/>
  <c r="K7167" i="58" s="1"/>
  <c r="L7167" i="58" s="1"/>
  <c r="O7167" i="58"/>
  <c r="P7167" i="58"/>
  <c r="H7168" i="58"/>
  <c r="I7168" i="58"/>
  <c r="K7168" i="58" s="1"/>
  <c r="L7168" i="58" s="1"/>
  <c r="O7168" i="58"/>
  <c r="P7168" i="58"/>
  <c r="H7169" i="58"/>
  <c r="I7169" i="58"/>
  <c r="J7169" i="58" s="1"/>
  <c r="O7169" i="58"/>
  <c r="P7169" i="58"/>
  <c r="H7170" i="58"/>
  <c r="I7170" i="58"/>
  <c r="J7170" i="58" s="1"/>
  <c r="O7170" i="58"/>
  <c r="P7170" i="58"/>
  <c r="H7171" i="58"/>
  <c r="I7171" i="58"/>
  <c r="J7171" i="58" s="1"/>
  <c r="O7171" i="58"/>
  <c r="P7171" i="58"/>
  <c r="H7172" i="58"/>
  <c r="I7172" i="58"/>
  <c r="J7172" i="58" s="1"/>
  <c r="O7172" i="58"/>
  <c r="P7172" i="58"/>
  <c r="H7173" i="58"/>
  <c r="I7173" i="58"/>
  <c r="O7173" i="58"/>
  <c r="P7173" i="58"/>
  <c r="H7174" i="58"/>
  <c r="I7174" i="58"/>
  <c r="J7174" i="58" s="1"/>
  <c r="O7174" i="58"/>
  <c r="P7174" i="58"/>
  <c r="H7175" i="58"/>
  <c r="I7175" i="58"/>
  <c r="O7175" i="58"/>
  <c r="P7175" i="58"/>
  <c r="H7176" i="58"/>
  <c r="I7176" i="58"/>
  <c r="J7176" i="58" s="1"/>
  <c r="O7176" i="58"/>
  <c r="P7176" i="58"/>
  <c r="H7177" i="58"/>
  <c r="I7177" i="58"/>
  <c r="K7177" i="58" s="1"/>
  <c r="L7177" i="58" s="1"/>
  <c r="O7177" i="58"/>
  <c r="P7177" i="58"/>
  <c r="H7178" i="58"/>
  <c r="I7178" i="58"/>
  <c r="J7178" i="58" s="1"/>
  <c r="O7178" i="58"/>
  <c r="P7178" i="58"/>
  <c r="H7179" i="58"/>
  <c r="I7179" i="58"/>
  <c r="J7179" i="58" s="1"/>
  <c r="O7179" i="58"/>
  <c r="P7179" i="58"/>
  <c r="H7180" i="58"/>
  <c r="I7180" i="58"/>
  <c r="J7180" i="58" s="1"/>
  <c r="O7180" i="58"/>
  <c r="P7180" i="58"/>
  <c r="H7181" i="58"/>
  <c r="I7181" i="58"/>
  <c r="K7181" i="58" s="1"/>
  <c r="L7181" i="58" s="1"/>
  <c r="O7181" i="58"/>
  <c r="P7181" i="58"/>
  <c r="H7182" i="58"/>
  <c r="I7182" i="58"/>
  <c r="K7182" i="58" s="1"/>
  <c r="L7182" i="58" s="1"/>
  <c r="O7182" i="58"/>
  <c r="P7182" i="58"/>
  <c r="H7183" i="58"/>
  <c r="I7183" i="58"/>
  <c r="J7183" i="58" s="1"/>
  <c r="O7183" i="58"/>
  <c r="P7183" i="58"/>
  <c r="H7184" i="58"/>
  <c r="I7184" i="58"/>
  <c r="K7184" i="58" s="1"/>
  <c r="L7184" i="58" s="1"/>
  <c r="O7184" i="58"/>
  <c r="P7184" i="58"/>
  <c r="H7185" i="58"/>
  <c r="I7185" i="58"/>
  <c r="J7185" i="58" s="1"/>
  <c r="O7185" i="58"/>
  <c r="P7185" i="58"/>
  <c r="H7186" i="58"/>
  <c r="I7186" i="58"/>
  <c r="J7186" i="58" s="1"/>
  <c r="O7186" i="58"/>
  <c r="P7186" i="58"/>
  <c r="H7187" i="58"/>
  <c r="I7187" i="58"/>
  <c r="J7187" i="58" s="1"/>
  <c r="O7187" i="58"/>
  <c r="P7187" i="58"/>
  <c r="H7188" i="58"/>
  <c r="I7188" i="58"/>
  <c r="O7188" i="58"/>
  <c r="P7188" i="58"/>
  <c r="H7189" i="58"/>
  <c r="I7189" i="58"/>
  <c r="K7189" i="58" s="1"/>
  <c r="L7189" i="58" s="1"/>
  <c r="O7189" i="58"/>
  <c r="P7189" i="58"/>
  <c r="H7190" i="58"/>
  <c r="I7190" i="58"/>
  <c r="J7190" i="58" s="1"/>
  <c r="O7190" i="58"/>
  <c r="P7190" i="58"/>
  <c r="H7191" i="58"/>
  <c r="I7191" i="58"/>
  <c r="J7191" i="58" s="1"/>
  <c r="O7191" i="58"/>
  <c r="P7191" i="58"/>
  <c r="H7192" i="58"/>
  <c r="I7192" i="58"/>
  <c r="J7192" i="58" s="1"/>
  <c r="O7192" i="58"/>
  <c r="P7192" i="58"/>
  <c r="H7193" i="58"/>
  <c r="I7193" i="58"/>
  <c r="J7193" i="58" s="1"/>
  <c r="O7193" i="58"/>
  <c r="P7193" i="58"/>
  <c r="H7194" i="58"/>
  <c r="I7194" i="58"/>
  <c r="J7194" i="58" s="1"/>
  <c r="O7194" i="58"/>
  <c r="P7194" i="58"/>
  <c r="H7195" i="58"/>
  <c r="I7195" i="58"/>
  <c r="J7195" i="58" s="1"/>
  <c r="O7195" i="58"/>
  <c r="P7195" i="58"/>
  <c r="H7196" i="58"/>
  <c r="I7196" i="58"/>
  <c r="K7196" i="58" s="1"/>
  <c r="L7196" i="58" s="1"/>
  <c r="O7196" i="58"/>
  <c r="P7196" i="58"/>
  <c r="H7197" i="58"/>
  <c r="I7197" i="58"/>
  <c r="J7197" i="58" s="1"/>
  <c r="O7197" i="58"/>
  <c r="P7197" i="58"/>
  <c r="H7198" i="58"/>
  <c r="I7198" i="58"/>
  <c r="K7198" i="58" s="1"/>
  <c r="L7198" i="58" s="1"/>
  <c r="O7198" i="58"/>
  <c r="P7198" i="58"/>
  <c r="H7199" i="58"/>
  <c r="I7199" i="58"/>
  <c r="J7199" i="58" s="1"/>
  <c r="O7199" i="58"/>
  <c r="P7199" i="58"/>
  <c r="H7200" i="58"/>
  <c r="I7200" i="58"/>
  <c r="K7200" i="58" s="1"/>
  <c r="L7200" i="58" s="1"/>
  <c r="O7200" i="58"/>
  <c r="P7200" i="58"/>
  <c r="H7201" i="58"/>
  <c r="I7201" i="58"/>
  <c r="J7201" i="58" s="1"/>
  <c r="O7201" i="58"/>
  <c r="P7201" i="58"/>
  <c r="H7202" i="58"/>
  <c r="I7202" i="58"/>
  <c r="J7202" i="58" s="1"/>
  <c r="O7202" i="58"/>
  <c r="P7202" i="58"/>
  <c r="H7203" i="58"/>
  <c r="I7203" i="58"/>
  <c r="K7203" i="58" s="1"/>
  <c r="L7203" i="58" s="1"/>
  <c r="O7203" i="58"/>
  <c r="P7203" i="58"/>
  <c r="H7204" i="58"/>
  <c r="I7204" i="58"/>
  <c r="O7204" i="58"/>
  <c r="P7204" i="58"/>
  <c r="H7205" i="58"/>
  <c r="I7205" i="58"/>
  <c r="J7205" i="58" s="1"/>
  <c r="O7205" i="58"/>
  <c r="P7205" i="58"/>
  <c r="H7206" i="58"/>
  <c r="I7206" i="58"/>
  <c r="O7206" i="58"/>
  <c r="P7206" i="58"/>
  <c r="H7207" i="58"/>
  <c r="I7207" i="58"/>
  <c r="O7207" i="58"/>
  <c r="P7207" i="58"/>
  <c r="H7208" i="58"/>
  <c r="I7208" i="58"/>
  <c r="J7208" i="58" s="1"/>
  <c r="O7208" i="58"/>
  <c r="P7208" i="58"/>
  <c r="H7209" i="58"/>
  <c r="I7209" i="58"/>
  <c r="J7209" i="58" s="1"/>
  <c r="O7209" i="58"/>
  <c r="P7209" i="58"/>
  <c r="H7210" i="58"/>
  <c r="I7210" i="58"/>
  <c r="K7210" i="58" s="1"/>
  <c r="L7210" i="58" s="1"/>
  <c r="O7210" i="58"/>
  <c r="P7210" i="58"/>
  <c r="H7211" i="58"/>
  <c r="I7211" i="58"/>
  <c r="J7211" i="58" s="1"/>
  <c r="O7211" i="58"/>
  <c r="P7211" i="58"/>
  <c r="H7212" i="58"/>
  <c r="I7212" i="58"/>
  <c r="J7212" i="58" s="1"/>
  <c r="O7212" i="58"/>
  <c r="P7212" i="58"/>
  <c r="H7213" i="58"/>
  <c r="I7213" i="58"/>
  <c r="J7213" i="58" s="1"/>
  <c r="O7213" i="58"/>
  <c r="P7213" i="58"/>
  <c r="H7214" i="58"/>
  <c r="I7214" i="58"/>
  <c r="J7214" i="58" s="1"/>
  <c r="O7214" i="58"/>
  <c r="P7214" i="58"/>
  <c r="H7215" i="58"/>
  <c r="I7215" i="58"/>
  <c r="K7215" i="58" s="1"/>
  <c r="L7215" i="58" s="1"/>
  <c r="O7215" i="58"/>
  <c r="P7215" i="58"/>
  <c r="H7216" i="58"/>
  <c r="I7216" i="58"/>
  <c r="K7216" i="58" s="1"/>
  <c r="L7216" i="58" s="1"/>
  <c r="O7216" i="58"/>
  <c r="P7216" i="58"/>
  <c r="H7217" i="58"/>
  <c r="I7217" i="58"/>
  <c r="K7217" i="58" s="1"/>
  <c r="L7217" i="58" s="1"/>
  <c r="O7217" i="58"/>
  <c r="P7217" i="58"/>
  <c r="H7218" i="58"/>
  <c r="I7218" i="58"/>
  <c r="J7218" i="58" s="1"/>
  <c r="O7218" i="58"/>
  <c r="P7218" i="58"/>
  <c r="H7219" i="58"/>
  <c r="I7219" i="58"/>
  <c r="J7219" i="58" s="1"/>
  <c r="O7219" i="58"/>
  <c r="P7219" i="58"/>
  <c r="H7220" i="58"/>
  <c r="I7220" i="58"/>
  <c r="J7220" i="58" s="1"/>
  <c r="O7220" i="58"/>
  <c r="P7220" i="58"/>
  <c r="H7221" i="58"/>
  <c r="I7221" i="58"/>
  <c r="K7221" i="58" s="1"/>
  <c r="L7221" i="58" s="1"/>
  <c r="O7221" i="58"/>
  <c r="P7221" i="58"/>
  <c r="H7222" i="58"/>
  <c r="I7222" i="58"/>
  <c r="O7222" i="58"/>
  <c r="P7222" i="58"/>
  <c r="H7223" i="58"/>
  <c r="I7223" i="58"/>
  <c r="J7223" i="58" s="1"/>
  <c r="O7223" i="58"/>
  <c r="P7223" i="58"/>
  <c r="H7224" i="58"/>
  <c r="I7224" i="58"/>
  <c r="K7224" i="58" s="1"/>
  <c r="L7224" i="58" s="1"/>
  <c r="O7224" i="58"/>
  <c r="P7224" i="58"/>
  <c r="H7225" i="58"/>
  <c r="I7225" i="58"/>
  <c r="J7225" i="58" s="1"/>
  <c r="O7225" i="58"/>
  <c r="P7225" i="58"/>
  <c r="H7226" i="58"/>
  <c r="I7226" i="58"/>
  <c r="K7226" i="58" s="1"/>
  <c r="L7226" i="58" s="1"/>
  <c r="O7226" i="58"/>
  <c r="P7226" i="58"/>
  <c r="H7227" i="58"/>
  <c r="I7227" i="58"/>
  <c r="J7227" i="58" s="1"/>
  <c r="O7227" i="58"/>
  <c r="P7227" i="58"/>
  <c r="H7228" i="58"/>
  <c r="I7228" i="58"/>
  <c r="K7228" i="58" s="1"/>
  <c r="L7228" i="58" s="1"/>
  <c r="O7228" i="58"/>
  <c r="P7228" i="58"/>
  <c r="H7229" i="58"/>
  <c r="I7229" i="58"/>
  <c r="K7229" i="58" s="1"/>
  <c r="L7229" i="58" s="1"/>
  <c r="O7229" i="58"/>
  <c r="P7229" i="58"/>
  <c r="H7230" i="58"/>
  <c r="I7230" i="58"/>
  <c r="K7230" i="58" s="1"/>
  <c r="L7230" i="58" s="1"/>
  <c r="O7230" i="58"/>
  <c r="P7230" i="58"/>
  <c r="H7231" i="58"/>
  <c r="I7231" i="58"/>
  <c r="K7231" i="58" s="1"/>
  <c r="L7231" i="58" s="1"/>
  <c r="O7231" i="58"/>
  <c r="P7231" i="58"/>
  <c r="H7232" i="58"/>
  <c r="I7232" i="58"/>
  <c r="J7232" i="58" s="1"/>
  <c r="O7232" i="58"/>
  <c r="P7232" i="58"/>
  <c r="H7233" i="58"/>
  <c r="I7233" i="58"/>
  <c r="J7233" i="58" s="1"/>
  <c r="O7233" i="58"/>
  <c r="P7233" i="58"/>
  <c r="H7234" i="58"/>
  <c r="I7234" i="58"/>
  <c r="O7234" i="58"/>
  <c r="P7234" i="58"/>
  <c r="H7235" i="58"/>
  <c r="I7235" i="58"/>
  <c r="K7235" i="58" s="1"/>
  <c r="L7235" i="58" s="1"/>
  <c r="O7235" i="58"/>
  <c r="P7235" i="58"/>
  <c r="H7236" i="58"/>
  <c r="I7236" i="58"/>
  <c r="J7236" i="58" s="1"/>
  <c r="O7236" i="58"/>
  <c r="P7236" i="58"/>
  <c r="H7237" i="58"/>
  <c r="I7237" i="58"/>
  <c r="J7237" i="58" s="1"/>
  <c r="O7237" i="58"/>
  <c r="P7237" i="58"/>
  <c r="H7238" i="58"/>
  <c r="I7238" i="58"/>
  <c r="K7238" i="58" s="1"/>
  <c r="L7238" i="58" s="1"/>
  <c r="O7238" i="58"/>
  <c r="P7238" i="58"/>
  <c r="H7239" i="58"/>
  <c r="I7239" i="58"/>
  <c r="J7239" i="58" s="1"/>
  <c r="O7239" i="58"/>
  <c r="P7239" i="58"/>
  <c r="H7240" i="58"/>
  <c r="I7240" i="58"/>
  <c r="K7240" i="58" s="1"/>
  <c r="L7240" i="58" s="1"/>
  <c r="O7240" i="58"/>
  <c r="P7240" i="58"/>
  <c r="H7241" i="58"/>
  <c r="I7241" i="58"/>
  <c r="J7241" i="58" s="1"/>
  <c r="O7241" i="58"/>
  <c r="P7241" i="58"/>
  <c r="H7242" i="58"/>
  <c r="I7242" i="58"/>
  <c r="J7242" i="58" s="1"/>
  <c r="O7242" i="58"/>
  <c r="P7242" i="58"/>
  <c r="H7243" i="58"/>
  <c r="I7243" i="58"/>
  <c r="K7243" i="58" s="1"/>
  <c r="L7243" i="58" s="1"/>
  <c r="O7243" i="58"/>
  <c r="P7243" i="58"/>
  <c r="H7244" i="58"/>
  <c r="I7244" i="58"/>
  <c r="J7244" i="58" s="1"/>
  <c r="O7244" i="58"/>
  <c r="P7244" i="58"/>
  <c r="H7245" i="58"/>
  <c r="I7245" i="58"/>
  <c r="K7245" i="58" s="1"/>
  <c r="L7245" i="58" s="1"/>
  <c r="O7245" i="58"/>
  <c r="P7245" i="58"/>
  <c r="H7246" i="58"/>
  <c r="I7246" i="58"/>
  <c r="J7246" i="58" s="1"/>
  <c r="O7246" i="58"/>
  <c r="P7246" i="58"/>
  <c r="H7247" i="58"/>
  <c r="I7247" i="58"/>
  <c r="J7247" i="58" s="1"/>
  <c r="O7247" i="58"/>
  <c r="P7247" i="58"/>
  <c r="H7248" i="58"/>
  <c r="I7248" i="58"/>
  <c r="J7248" i="58" s="1"/>
  <c r="O7248" i="58"/>
  <c r="P7248" i="58"/>
  <c r="H7249" i="58"/>
  <c r="I7249" i="58"/>
  <c r="J7249" i="58" s="1"/>
  <c r="O7249" i="58"/>
  <c r="P7249" i="58"/>
  <c r="H7250" i="58"/>
  <c r="I7250" i="58"/>
  <c r="J7250" i="58" s="1"/>
  <c r="O7250" i="58"/>
  <c r="P7250" i="58"/>
  <c r="H7251" i="58"/>
  <c r="I7251" i="58"/>
  <c r="J7251" i="58" s="1"/>
  <c r="O7251" i="58"/>
  <c r="P7251" i="58"/>
  <c r="H7252" i="58"/>
  <c r="I7252" i="58"/>
  <c r="J7252" i="58" s="1"/>
  <c r="O7252" i="58"/>
  <c r="P7252" i="58"/>
  <c r="H7253" i="58"/>
  <c r="I7253" i="58"/>
  <c r="K7253" i="58" s="1"/>
  <c r="L7253" i="58" s="1"/>
  <c r="O7253" i="58"/>
  <c r="P7253" i="58"/>
  <c r="H7254" i="58"/>
  <c r="I7254" i="58"/>
  <c r="K7254" i="58" s="1"/>
  <c r="L7254" i="58" s="1"/>
  <c r="O7254" i="58"/>
  <c r="P7254" i="58"/>
  <c r="H7255" i="58"/>
  <c r="I7255" i="58"/>
  <c r="J7255" i="58" s="1"/>
  <c r="O7255" i="58"/>
  <c r="P7255" i="58"/>
  <c r="H7256" i="58"/>
  <c r="I7256" i="58"/>
  <c r="K7256" i="58" s="1"/>
  <c r="L7256" i="58" s="1"/>
  <c r="O7256" i="58"/>
  <c r="P7256" i="58"/>
  <c r="H7257" i="58"/>
  <c r="I7257" i="58"/>
  <c r="J7257" i="58" s="1"/>
  <c r="O7257" i="58"/>
  <c r="P7257" i="58"/>
  <c r="H7258" i="58"/>
  <c r="I7258" i="58"/>
  <c r="J7258" i="58" s="1"/>
  <c r="O7258" i="58"/>
  <c r="P7258" i="58"/>
  <c r="H7259" i="58"/>
  <c r="I7259" i="58"/>
  <c r="K7259" i="58" s="1"/>
  <c r="L7259" i="58" s="1"/>
  <c r="O7259" i="58"/>
  <c r="P7259" i="58"/>
  <c r="H7260" i="58"/>
  <c r="I7260" i="58"/>
  <c r="K7260" i="58" s="1"/>
  <c r="L7260" i="58" s="1"/>
  <c r="O7260" i="58"/>
  <c r="P7260" i="58"/>
  <c r="W26" i="105"/>
  <c r="V28" i="105"/>
  <c r="V27" i="105"/>
  <c r="X32" i="105"/>
  <c r="W32" i="105"/>
  <c r="J6588" i="58" l="1"/>
  <c r="N6632" i="58"/>
  <c r="J6080" i="58"/>
  <c r="N5892" i="58"/>
  <c r="J6190" i="58"/>
  <c r="K6664" i="58"/>
  <c r="L6664" i="58" s="1"/>
  <c r="N6664" i="58" s="1"/>
  <c r="J6516" i="58"/>
  <c r="K6756" i="58"/>
  <c r="L6756" i="58" s="1"/>
  <c r="N6756" i="58" s="1"/>
  <c r="K6099" i="58"/>
  <c r="L6099" i="58" s="1"/>
  <c r="N6099" i="58" s="1"/>
  <c r="K6806" i="58"/>
  <c r="L6806" i="58" s="1"/>
  <c r="N5906" i="58"/>
  <c r="K7074" i="58"/>
  <c r="L7074" i="58" s="1"/>
  <c r="K5793" i="58"/>
  <c r="L5793" i="58" s="1"/>
  <c r="K5754" i="58"/>
  <c r="L5754" i="58" s="1"/>
  <c r="J6368" i="58"/>
  <c r="N6571" i="58"/>
  <c r="J6557" i="58"/>
  <c r="J6532" i="58"/>
  <c r="N6247" i="58"/>
  <c r="K7190" i="58"/>
  <c r="L7190" i="58" s="1"/>
  <c r="K7179" i="58"/>
  <c r="L7179" i="58" s="1"/>
  <c r="J6707" i="58"/>
  <c r="K6866" i="58"/>
  <c r="L6866" i="58" s="1"/>
  <c r="J7253" i="58"/>
  <c r="K6874" i="58"/>
  <c r="L6874" i="58" s="1"/>
  <c r="K6849" i="58"/>
  <c r="L6849" i="58" s="1"/>
  <c r="N6849" i="58" s="1"/>
  <c r="J6710" i="58"/>
  <c r="J7152" i="58"/>
  <c r="K7060" i="58"/>
  <c r="L7060" i="58" s="1"/>
  <c r="J7049" i="58"/>
  <c r="N6826" i="58"/>
  <c r="N7210" i="58"/>
  <c r="N5956" i="58"/>
  <c r="K6371" i="58"/>
  <c r="L6371" i="58" s="1"/>
  <c r="J7240" i="58"/>
  <c r="N7140" i="58"/>
  <c r="K6825" i="58"/>
  <c r="L6825" i="58" s="1"/>
  <c r="K6349" i="58"/>
  <c r="L6349" i="58" s="1"/>
  <c r="N6349" i="58" s="1"/>
  <c r="K6310" i="58"/>
  <c r="L6310" i="58" s="1"/>
  <c r="N6310" i="58" s="1"/>
  <c r="J6134" i="58"/>
  <c r="K5829" i="58"/>
  <c r="L5829" i="58" s="1"/>
  <c r="N5829" i="58" s="1"/>
  <c r="K7157" i="58"/>
  <c r="L7157" i="58" s="1"/>
  <c r="K6444" i="58"/>
  <c r="L6444" i="58" s="1"/>
  <c r="N6444" i="58" s="1"/>
  <c r="K6394" i="58"/>
  <c r="L6394" i="58" s="1"/>
  <c r="N6394" i="58" s="1"/>
  <c r="N7062" i="58"/>
  <c r="N6907" i="58"/>
  <c r="N6852" i="58"/>
  <c r="J6816" i="58"/>
  <c r="K6658" i="58"/>
  <c r="L6658" i="58" s="1"/>
  <c r="N6658" i="58" s="1"/>
  <c r="K7233" i="58"/>
  <c r="L7233" i="58" s="1"/>
  <c r="J6898" i="58"/>
  <c r="K6799" i="58"/>
  <c r="L6799" i="58" s="1"/>
  <c r="K6928" i="58"/>
  <c r="L6928" i="58" s="1"/>
  <c r="N7230" i="58"/>
  <c r="K7202" i="58"/>
  <c r="L7202" i="58" s="1"/>
  <c r="K7191" i="58"/>
  <c r="L7191" i="58" s="1"/>
  <c r="N7191" i="58" s="1"/>
  <c r="K5916" i="58"/>
  <c r="L5916" i="58" s="1"/>
  <c r="N5916" i="58" s="1"/>
  <c r="J5866" i="58"/>
  <c r="K6966" i="58"/>
  <c r="L6966" i="58" s="1"/>
  <c r="K6955" i="58"/>
  <c r="L6955" i="58" s="1"/>
  <c r="J6420" i="58"/>
  <c r="J6930" i="58"/>
  <c r="J6520" i="58"/>
  <c r="N6108" i="58"/>
  <c r="K6030" i="58"/>
  <c r="L6030" i="58" s="1"/>
  <c r="N6030" i="58" s="1"/>
  <c r="K6019" i="58"/>
  <c r="L6019" i="58" s="1"/>
  <c r="N6019" i="58" s="1"/>
  <c r="N5634" i="58"/>
  <c r="K5686" i="58"/>
  <c r="L5686" i="58" s="1"/>
  <c r="N5686" i="58" s="1"/>
  <c r="J6968" i="58"/>
  <c r="K6761" i="58"/>
  <c r="L6761" i="58" s="1"/>
  <c r="N6761" i="58" s="1"/>
  <c r="K5922" i="58"/>
  <c r="L5922" i="58" s="1"/>
  <c r="J7238" i="58"/>
  <c r="J6846" i="58"/>
  <c r="J6489" i="58"/>
  <c r="K6239" i="58"/>
  <c r="L6239" i="58" s="1"/>
  <c r="K5822" i="58"/>
  <c r="L5822" i="58" s="1"/>
  <c r="K7102" i="58"/>
  <c r="L7102" i="58" s="1"/>
  <c r="K7008" i="58"/>
  <c r="L7008" i="58" s="1"/>
  <c r="K7000" i="58"/>
  <c r="L7000" i="58" s="1"/>
  <c r="N6989" i="58"/>
  <c r="J6951" i="58"/>
  <c r="J6940" i="58"/>
  <c r="J6902" i="58"/>
  <c r="J6785" i="58"/>
  <c r="N6613" i="58"/>
  <c r="N6599" i="58"/>
  <c r="K6502" i="58"/>
  <c r="L6502" i="58" s="1"/>
  <c r="K6983" i="58"/>
  <c r="L6983" i="58" s="1"/>
  <c r="N6983" i="58" s="1"/>
  <c r="J6907" i="58"/>
  <c r="J6899" i="58"/>
  <c r="K6894" i="58"/>
  <c r="L6894" i="58" s="1"/>
  <c r="K6883" i="58"/>
  <c r="L6883" i="58" s="1"/>
  <c r="J6801" i="58"/>
  <c r="N6671" i="58"/>
  <c r="N6374" i="58"/>
  <c r="M6576" i="58"/>
  <c r="J7065" i="58"/>
  <c r="J7046" i="58"/>
  <c r="J6737" i="58"/>
  <c r="N6548" i="58"/>
  <c r="K6401" i="58"/>
  <c r="L6401" i="58" s="1"/>
  <c r="J6176" i="58"/>
  <c r="J5945" i="58"/>
  <c r="N5873" i="58"/>
  <c r="K5798" i="58"/>
  <c r="L5798" i="58" s="1"/>
  <c r="T10" i="106"/>
  <c r="U10" i="106" s="1"/>
  <c r="C10" i="106"/>
  <c r="J7215" i="58"/>
  <c r="J7125" i="58"/>
  <c r="J6742" i="58"/>
  <c r="K6651" i="58"/>
  <c r="L6651" i="58" s="1"/>
  <c r="N6651" i="58" s="1"/>
  <c r="J6626" i="58"/>
  <c r="N5825" i="58"/>
  <c r="K7114" i="58"/>
  <c r="L7114" i="58" s="1"/>
  <c r="N7114" i="58" s="1"/>
  <c r="K7130" i="58"/>
  <c r="L7130" i="58" s="1"/>
  <c r="K7103" i="58"/>
  <c r="L7103" i="58" s="1"/>
  <c r="N7103" i="58" s="1"/>
  <c r="K6834" i="58"/>
  <c r="L6834" i="58" s="1"/>
  <c r="K6777" i="58"/>
  <c r="L6777" i="58" s="1"/>
  <c r="J6499" i="58"/>
  <c r="J6301" i="58"/>
  <c r="K5694" i="58"/>
  <c r="L5694" i="58" s="1"/>
  <c r="N5694" i="58" s="1"/>
  <c r="J5874" i="58"/>
  <c r="K5699" i="58"/>
  <c r="L5699" i="58" s="1"/>
  <c r="M5699" i="58" s="1"/>
  <c r="K5666" i="58"/>
  <c r="L5666" i="58" s="1"/>
  <c r="N5666" i="58" s="1"/>
  <c r="N6898" i="58"/>
  <c r="J6435" i="58"/>
  <c r="J6427" i="58"/>
  <c r="K6405" i="58"/>
  <c r="L6405" i="58" s="1"/>
  <c r="N6295" i="58"/>
  <c r="K6167" i="58"/>
  <c r="L6167" i="58" s="1"/>
  <c r="N6167" i="58" s="1"/>
  <c r="K5879" i="58"/>
  <c r="L5879" i="58" s="1"/>
  <c r="N5879" i="58" s="1"/>
  <c r="J7184" i="58"/>
  <c r="J7121" i="58"/>
  <c r="J7083" i="58"/>
  <c r="J6879" i="58"/>
  <c r="K6844" i="58"/>
  <c r="L6844" i="58" s="1"/>
  <c r="N6844" i="58" s="1"/>
  <c r="J6594" i="58"/>
  <c r="K6586" i="58"/>
  <c r="L6586" i="58" s="1"/>
  <c r="N6586" i="58" s="1"/>
  <c r="K6553" i="58"/>
  <c r="L6553" i="58" s="1"/>
  <c r="N6553" i="58" s="1"/>
  <c r="K6432" i="58"/>
  <c r="L6432" i="58" s="1"/>
  <c r="K6261" i="58"/>
  <c r="L6261" i="58" s="1"/>
  <c r="N6261" i="58" s="1"/>
  <c r="K6095" i="58"/>
  <c r="L6095" i="58" s="1"/>
  <c r="N6095" i="58" s="1"/>
  <c r="J6087" i="58"/>
  <c r="J6795" i="58"/>
  <c r="K6776" i="58"/>
  <c r="L6776" i="58" s="1"/>
  <c r="N6776" i="58" s="1"/>
  <c r="K6487" i="58"/>
  <c r="L6487" i="58" s="1"/>
  <c r="N6487" i="58" s="1"/>
  <c r="K6476" i="58"/>
  <c r="L6476" i="58" s="1"/>
  <c r="N6476" i="58" s="1"/>
  <c r="J6391" i="58"/>
  <c r="J6100" i="58"/>
  <c r="J7181" i="58"/>
  <c r="K7088" i="58"/>
  <c r="L7088" i="58" s="1"/>
  <c r="K6981" i="58"/>
  <c r="L6981" i="58" s="1"/>
  <c r="N6981" i="58" s="1"/>
  <c r="J6699" i="58"/>
  <c r="J6583" i="58"/>
  <c r="N6572" i="58"/>
  <c r="N6369" i="58"/>
  <c r="K5860" i="58"/>
  <c r="L5860" i="58" s="1"/>
  <c r="K7212" i="58"/>
  <c r="L7212" i="58" s="1"/>
  <c r="K7183" i="58"/>
  <c r="L7183" i="58" s="1"/>
  <c r="N7183" i="58" s="1"/>
  <c r="N7167" i="58"/>
  <c r="K7014" i="58"/>
  <c r="L7014" i="58" s="1"/>
  <c r="N7014" i="58" s="1"/>
  <c r="K7006" i="58"/>
  <c r="L7006" i="58" s="1"/>
  <c r="N7006" i="58" s="1"/>
  <c r="K6979" i="58"/>
  <c r="L6979" i="58" s="1"/>
  <c r="N6979" i="58" s="1"/>
  <c r="J6933" i="58"/>
  <c r="K6798" i="58"/>
  <c r="L6798" i="58" s="1"/>
  <c r="K6763" i="58"/>
  <c r="L6763" i="58" s="1"/>
  <c r="N6763" i="58" s="1"/>
  <c r="K6758" i="58"/>
  <c r="L6758" i="58" s="1"/>
  <c r="J6753" i="58"/>
  <c r="K6619" i="58"/>
  <c r="L6619" i="58" s="1"/>
  <c r="N6619" i="58" s="1"/>
  <c r="K6608" i="58"/>
  <c r="L6608" i="58" s="1"/>
  <c r="J6567" i="58"/>
  <c r="J6537" i="58"/>
  <c r="J6393" i="58"/>
  <c r="J6183" i="58"/>
  <c r="N6091" i="58"/>
  <c r="K5846" i="58"/>
  <c r="L5846" i="58" s="1"/>
  <c r="N5846" i="58" s="1"/>
  <c r="K5727" i="58"/>
  <c r="L5727" i="58" s="1"/>
  <c r="N5727" i="58" s="1"/>
  <c r="J7228" i="58"/>
  <c r="N7217" i="58"/>
  <c r="K7201" i="58"/>
  <c r="L7201" i="58" s="1"/>
  <c r="J7090" i="58"/>
  <c r="J7033" i="58"/>
  <c r="K6853" i="58"/>
  <c r="L6853" i="58" s="1"/>
  <c r="K6564" i="58"/>
  <c r="L6564" i="58" s="1"/>
  <c r="K6414" i="58"/>
  <c r="L6414" i="58" s="1"/>
  <c r="J6158" i="58"/>
  <c r="J6150" i="58"/>
  <c r="K6038" i="58"/>
  <c r="L6038" i="58" s="1"/>
  <c r="N6038" i="58" s="1"/>
  <c r="K6005" i="58"/>
  <c r="L6005" i="58" s="1"/>
  <c r="J5947" i="58"/>
  <c r="K5732" i="58"/>
  <c r="L5732" i="58" s="1"/>
  <c r="N5732" i="58" s="1"/>
  <c r="J6850" i="58"/>
  <c r="K6821" i="58"/>
  <c r="L6821" i="58" s="1"/>
  <c r="K6268" i="58"/>
  <c r="L6268" i="58" s="1"/>
  <c r="J6193" i="58"/>
  <c r="J6155" i="58"/>
  <c r="K6057" i="58"/>
  <c r="L6057" i="58" s="1"/>
  <c r="J5974" i="58"/>
  <c r="K5693" i="58"/>
  <c r="L5693" i="58" s="1"/>
  <c r="K7171" i="58"/>
  <c r="L7171" i="58" s="1"/>
  <c r="N7152" i="58"/>
  <c r="J6871" i="58"/>
  <c r="K6863" i="58"/>
  <c r="L6863" i="58" s="1"/>
  <c r="J6634" i="58"/>
  <c r="M6585" i="58"/>
  <c r="K6473" i="58"/>
  <c r="L6473" i="58" s="1"/>
  <c r="N6473" i="58" s="1"/>
  <c r="J6421" i="58"/>
  <c r="J5968" i="58"/>
  <c r="K6661" i="58"/>
  <c r="L6661" i="58" s="1"/>
  <c r="J7259" i="58"/>
  <c r="N7224" i="58"/>
  <c r="K7197" i="58"/>
  <c r="L7197" i="58" s="1"/>
  <c r="N7197" i="58" s="1"/>
  <c r="J6921" i="58"/>
  <c r="J6743" i="58"/>
  <c r="J6705" i="58"/>
  <c r="J6426" i="58"/>
  <c r="N6184" i="58"/>
  <c r="J6067" i="58"/>
  <c r="J6621" i="58"/>
  <c r="K6475" i="58"/>
  <c r="L6475" i="58" s="1"/>
  <c r="K6400" i="58"/>
  <c r="L6400" i="58" s="1"/>
  <c r="J6308" i="58"/>
  <c r="J6300" i="58"/>
  <c r="J6169" i="58"/>
  <c r="J6148" i="58"/>
  <c r="K6043" i="58"/>
  <c r="L6043" i="58" s="1"/>
  <c r="N6043" i="58" s="1"/>
  <c r="N5887" i="58"/>
  <c r="K5762" i="58"/>
  <c r="L5762" i="58" s="1"/>
  <c r="N5762" i="58" s="1"/>
  <c r="N5683" i="58"/>
  <c r="K5884" i="58"/>
  <c r="L5884" i="58" s="1"/>
  <c r="J5704" i="58"/>
  <c r="N6384" i="58"/>
  <c r="K7242" i="58"/>
  <c r="L7242" i="58" s="1"/>
  <c r="N7242" i="58" s="1"/>
  <c r="K7164" i="58"/>
  <c r="L7164" i="58" s="1"/>
  <c r="K7148" i="58"/>
  <c r="L7148" i="58" s="1"/>
  <c r="N7148" i="58" s="1"/>
  <c r="N7121" i="58"/>
  <c r="K7079" i="58"/>
  <c r="L7079" i="58" s="1"/>
  <c r="K6927" i="58"/>
  <c r="L6927" i="58" s="1"/>
  <c r="J6880" i="58"/>
  <c r="K6875" i="58"/>
  <c r="L6875" i="58" s="1"/>
  <c r="J6792" i="58"/>
  <c r="K6650" i="58"/>
  <c r="L6650" i="58" s="1"/>
  <c r="J6639" i="58"/>
  <c r="J6509" i="58"/>
  <c r="J6490" i="58"/>
  <c r="J6431" i="58"/>
  <c r="N6264" i="58"/>
  <c r="K6217" i="58"/>
  <c r="L6217" i="58" s="1"/>
  <c r="N6217" i="58" s="1"/>
  <c r="N6195" i="58"/>
  <c r="K5960" i="58"/>
  <c r="L5960" i="58" s="1"/>
  <c r="J5867" i="58"/>
  <c r="K5862" i="58"/>
  <c r="L5862" i="58" s="1"/>
  <c r="N5862" i="58" s="1"/>
  <c r="K5824" i="58"/>
  <c r="L5824" i="58" s="1"/>
  <c r="N5824" i="58" s="1"/>
  <c r="K5805" i="58"/>
  <c r="L5805" i="58" s="1"/>
  <c r="N5805" i="58" s="1"/>
  <c r="K7237" i="58"/>
  <c r="L7237" i="58" s="1"/>
  <c r="K7211" i="58"/>
  <c r="L7211" i="58" s="1"/>
  <c r="K7185" i="58"/>
  <c r="L7185" i="58" s="1"/>
  <c r="N7185" i="58" s="1"/>
  <c r="K7071" i="58"/>
  <c r="L7071" i="58" s="1"/>
  <c r="K7036" i="58"/>
  <c r="L7036" i="58" s="1"/>
  <c r="K7028" i="58"/>
  <c r="L7028" i="58" s="1"/>
  <c r="J7017" i="58"/>
  <c r="N6961" i="58"/>
  <c r="J6903" i="58"/>
  <c r="K6885" i="58"/>
  <c r="L6885" i="58" s="1"/>
  <c r="J6865" i="58"/>
  <c r="J6711" i="58"/>
  <c r="K6676" i="58"/>
  <c r="L6676" i="58" s="1"/>
  <c r="K6452" i="58"/>
  <c r="L6452" i="58" s="1"/>
  <c r="N6452" i="58" s="1"/>
  <c r="N6285" i="58"/>
  <c r="K5652" i="58"/>
  <c r="L5652" i="58" s="1"/>
  <c r="N5652" i="58" s="1"/>
  <c r="J7229" i="58"/>
  <c r="J7224" i="58"/>
  <c r="N7161" i="58"/>
  <c r="K7115" i="58"/>
  <c r="L7115" i="58" s="1"/>
  <c r="N7115" i="58" s="1"/>
  <c r="K7110" i="58"/>
  <c r="L7110" i="58" s="1"/>
  <c r="N7110" i="58" s="1"/>
  <c r="J7097" i="58"/>
  <c r="K7076" i="58"/>
  <c r="L7076" i="58" s="1"/>
  <c r="N7076" i="58" s="1"/>
  <c r="K6942" i="58"/>
  <c r="L6942" i="58" s="1"/>
  <c r="K6924" i="58"/>
  <c r="L6924" i="58" s="1"/>
  <c r="K6870" i="58"/>
  <c r="L6870" i="58" s="1"/>
  <c r="N6857" i="58"/>
  <c r="K6665" i="58"/>
  <c r="L6665" i="58" s="1"/>
  <c r="N6506" i="58"/>
  <c r="K6460" i="58"/>
  <c r="L6460" i="58" s="1"/>
  <c r="K6274" i="58"/>
  <c r="L6274" i="58" s="1"/>
  <c r="N6274" i="58" s="1"/>
  <c r="K6200" i="58"/>
  <c r="L6200" i="58" s="1"/>
  <c r="K6144" i="58"/>
  <c r="L6144" i="58" s="1"/>
  <c r="N6144" i="58" s="1"/>
  <c r="J6109" i="58"/>
  <c r="J6047" i="58"/>
  <c r="K5657" i="58"/>
  <c r="L5657" i="58" s="1"/>
  <c r="J5992" i="58"/>
  <c r="K5821" i="58"/>
  <c r="L5821" i="58" s="1"/>
  <c r="N5821" i="58" s="1"/>
  <c r="K5673" i="58"/>
  <c r="L5673" i="58" s="1"/>
  <c r="J7260" i="58"/>
  <c r="J7221" i="58"/>
  <c r="K7208" i="58"/>
  <c r="L7208" i="58" s="1"/>
  <c r="K7192" i="58"/>
  <c r="L7192" i="58" s="1"/>
  <c r="N7192" i="58" s="1"/>
  <c r="J7128" i="58"/>
  <c r="J7086" i="58"/>
  <c r="K6910" i="58"/>
  <c r="L6910" i="58" s="1"/>
  <c r="N6910" i="58" s="1"/>
  <c r="J6703" i="58"/>
  <c r="K6670" i="58"/>
  <c r="L6670" i="58" s="1"/>
  <c r="M6579" i="58"/>
  <c r="J6377" i="58"/>
  <c r="K6328" i="58"/>
  <c r="L6328" i="58" s="1"/>
  <c r="K6255" i="58"/>
  <c r="L6255" i="58" s="1"/>
  <c r="N6255" i="58" s="1"/>
  <c r="J6162" i="58"/>
  <c r="J6122" i="58"/>
  <c r="J5981" i="58"/>
  <c r="K5741" i="58"/>
  <c r="L5741" i="58" s="1"/>
  <c r="N5741" i="58" s="1"/>
  <c r="J7226" i="58"/>
  <c r="K7155" i="58"/>
  <c r="L7155" i="58" s="1"/>
  <c r="N7155" i="58" s="1"/>
  <c r="K7104" i="58"/>
  <c r="L7104" i="58" s="1"/>
  <c r="K7099" i="58"/>
  <c r="L7099" i="58" s="1"/>
  <c r="N7099" i="58" s="1"/>
  <c r="J6944" i="58"/>
  <c r="K6895" i="58"/>
  <c r="L6895" i="58" s="1"/>
  <c r="N6895" i="58" s="1"/>
  <c r="K6859" i="58"/>
  <c r="L6859" i="58" s="1"/>
  <c r="N6859" i="58" s="1"/>
  <c r="K6841" i="58"/>
  <c r="L6841" i="58" s="1"/>
  <c r="N6841" i="58" s="1"/>
  <c r="J6809" i="58"/>
  <c r="N6775" i="58"/>
  <c r="J6657" i="58"/>
  <c r="K6314" i="58"/>
  <c r="L6314" i="58" s="1"/>
  <c r="J6276" i="58"/>
  <c r="J6271" i="58"/>
  <c r="K6154" i="58"/>
  <c r="L6154" i="58" s="1"/>
  <c r="K6111" i="58"/>
  <c r="L6111" i="58" s="1"/>
  <c r="K6071" i="58"/>
  <c r="L6071" i="58" s="1"/>
  <c r="J5989" i="58"/>
  <c r="K5842" i="58"/>
  <c r="L5842" i="58" s="1"/>
  <c r="N5842" i="58" s="1"/>
  <c r="K6656" i="58"/>
  <c r="L6656" i="58" s="1"/>
  <c r="K6482" i="58"/>
  <c r="L6482" i="58" s="1"/>
  <c r="K7024" i="58"/>
  <c r="L7024" i="58" s="1"/>
  <c r="N7024" i="58" s="1"/>
  <c r="K6929" i="58"/>
  <c r="L6929" i="58" s="1"/>
  <c r="N6929" i="58" s="1"/>
  <c r="J7198" i="58"/>
  <c r="K7193" i="58"/>
  <c r="L7193" i="58" s="1"/>
  <c r="N7193" i="58" s="1"/>
  <c r="J7168" i="58"/>
  <c r="J7139" i="58"/>
  <c r="N7126" i="58"/>
  <c r="K7118" i="58"/>
  <c r="L7118" i="58" s="1"/>
  <c r="K7108" i="58"/>
  <c r="L7108" i="58" s="1"/>
  <c r="N7108" i="58" s="1"/>
  <c r="K7072" i="58"/>
  <c r="L7072" i="58" s="1"/>
  <c r="J7057" i="58"/>
  <c r="K7039" i="58"/>
  <c r="L7039" i="58" s="1"/>
  <c r="J6964" i="58"/>
  <c r="J6956" i="58"/>
  <c r="J6954" i="58"/>
  <c r="K6949" i="58"/>
  <c r="L6949" i="58" s="1"/>
  <c r="J6827" i="58"/>
  <c r="K6822" i="58"/>
  <c r="L6822" i="58" s="1"/>
  <c r="N6822" i="58" s="1"/>
  <c r="K6726" i="58"/>
  <c r="L6726" i="58" s="1"/>
  <c r="J6692" i="58"/>
  <c r="J6671" i="58"/>
  <c r="J6548" i="58"/>
  <c r="N6516" i="58"/>
  <c r="J6453" i="58"/>
  <c r="J6448" i="58"/>
  <c r="N6109" i="58"/>
  <c r="K7236" i="58"/>
  <c r="L7236" i="58" s="1"/>
  <c r="K7170" i="58"/>
  <c r="L7170" i="58" s="1"/>
  <c r="K6637" i="58"/>
  <c r="L6637" i="58" s="1"/>
  <c r="K6518" i="58"/>
  <c r="L6518" i="58" s="1"/>
  <c r="K6417" i="58"/>
  <c r="L6417" i="58" s="1"/>
  <c r="J6384" i="58"/>
  <c r="J6205" i="58"/>
  <c r="K6085" i="58"/>
  <c r="L6085" i="58" s="1"/>
  <c r="K5897" i="58"/>
  <c r="L5897" i="58" s="1"/>
  <c r="K5881" i="58"/>
  <c r="L5881" i="58" s="1"/>
  <c r="J5795" i="58"/>
  <c r="K7059" i="58"/>
  <c r="L7059" i="58" s="1"/>
  <c r="J7245" i="58"/>
  <c r="K7165" i="58"/>
  <c r="L7165" i="58" s="1"/>
  <c r="N7165" i="58" s="1"/>
  <c r="J7026" i="58"/>
  <c r="K6992" i="58"/>
  <c r="L6992" i="58" s="1"/>
  <c r="N6992" i="58" s="1"/>
  <c r="J6971" i="58"/>
  <c r="K6946" i="58"/>
  <c r="L6946" i="58" s="1"/>
  <c r="K6941" i="58"/>
  <c r="L6941" i="58" s="1"/>
  <c r="J6913" i="58"/>
  <c r="K6908" i="58"/>
  <c r="L6908" i="58" s="1"/>
  <c r="J6888" i="58"/>
  <c r="K6873" i="58"/>
  <c r="L6873" i="58" s="1"/>
  <c r="N6873" i="58" s="1"/>
  <c r="K6848" i="58"/>
  <c r="L6848" i="58" s="1"/>
  <c r="K6794" i="58"/>
  <c r="L6794" i="58" s="1"/>
  <c r="K6770" i="58"/>
  <c r="L6770" i="58" s="1"/>
  <c r="K6760" i="58"/>
  <c r="L6760" i="58" s="1"/>
  <c r="J6731" i="58"/>
  <c r="J6689" i="58"/>
  <c r="N6621" i="58"/>
  <c r="J6579" i="58"/>
  <c r="K6550" i="58"/>
  <c r="L6550" i="58" s="1"/>
  <c r="K6386" i="58"/>
  <c r="L6386" i="58" s="1"/>
  <c r="K6296" i="58"/>
  <c r="L6296" i="58" s="1"/>
  <c r="N6171" i="58"/>
  <c r="J6124" i="58"/>
  <c r="J6061" i="58"/>
  <c r="K6040" i="58"/>
  <c r="L6040" i="58" s="1"/>
  <c r="J5984" i="58"/>
  <c r="K5628" i="58"/>
  <c r="L5628" i="58" s="1"/>
  <c r="K6772" i="58"/>
  <c r="L6772" i="58" s="1"/>
  <c r="N6772" i="58" s="1"/>
  <c r="J6767" i="58"/>
  <c r="N6576" i="58"/>
  <c r="K6552" i="58"/>
  <c r="L6552" i="58" s="1"/>
  <c r="K6515" i="58"/>
  <c r="L6515" i="58" s="1"/>
  <c r="N6515" i="58" s="1"/>
  <c r="K6468" i="58"/>
  <c r="L6468" i="58" s="1"/>
  <c r="J6434" i="58"/>
  <c r="N6391" i="58"/>
  <c r="K6253" i="58"/>
  <c r="L6253" i="58" s="1"/>
  <c r="K6199" i="58"/>
  <c r="L6199" i="58" s="1"/>
  <c r="N6199" i="58" s="1"/>
  <c r="J6186" i="58"/>
  <c r="J6126" i="58"/>
  <c r="N6087" i="58"/>
  <c r="K6010" i="58"/>
  <c r="L6010" i="58" s="1"/>
  <c r="J5952" i="58"/>
  <c r="K5915" i="58"/>
  <c r="L5915" i="58" s="1"/>
  <c r="K5789" i="58"/>
  <c r="L5789" i="58" s="1"/>
  <c r="N5789" i="58" s="1"/>
  <c r="K5759" i="58"/>
  <c r="L5759" i="58" s="1"/>
  <c r="N5759" i="58" s="1"/>
  <c r="K6507" i="58"/>
  <c r="L6507" i="58" s="1"/>
  <c r="N6507" i="58" s="1"/>
  <c r="J6457" i="58"/>
  <c r="K6429" i="58"/>
  <c r="L6429" i="58" s="1"/>
  <c r="K6375" i="58"/>
  <c r="L6375" i="58" s="1"/>
  <c r="N6375" i="58" s="1"/>
  <c r="K6370" i="58"/>
  <c r="L6370" i="58" s="1"/>
  <c r="J6316" i="58"/>
  <c r="J6311" i="58"/>
  <c r="J6266" i="58"/>
  <c r="K6237" i="58"/>
  <c r="L6237" i="58" s="1"/>
  <c r="N6237" i="58" s="1"/>
  <c r="J6157" i="58"/>
  <c r="J6110" i="58"/>
  <c r="J6026" i="58"/>
  <c r="J6018" i="58"/>
  <c r="K5999" i="58"/>
  <c r="L5999" i="58" s="1"/>
  <c r="K5973" i="58"/>
  <c r="L5973" i="58" s="1"/>
  <c r="N5973" i="58" s="1"/>
  <c r="K5799" i="58"/>
  <c r="L5799" i="58" s="1"/>
  <c r="K5729" i="58"/>
  <c r="L5729" i="58" s="1"/>
  <c r="M5729" i="58" s="1"/>
  <c r="K5691" i="58"/>
  <c r="L5691" i="58" s="1"/>
  <c r="N6930" i="58"/>
  <c r="K7038" i="58"/>
  <c r="L7038" i="58" s="1"/>
  <c r="N7038" i="58" s="1"/>
  <c r="K6677" i="58"/>
  <c r="L6677" i="58" s="1"/>
  <c r="K6607" i="58"/>
  <c r="L6607" i="58" s="1"/>
  <c r="J5939" i="58"/>
  <c r="J7217" i="58"/>
  <c r="K7169" i="58"/>
  <c r="L7169" i="58" s="1"/>
  <c r="J7132" i="58"/>
  <c r="K7058" i="58"/>
  <c r="L7058" i="58" s="1"/>
  <c r="K7040" i="58"/>
  <c r="L7040" i="58" s="1"/>
  <c r="N7033" i="58"/>
  <c r="J6975" i="58"/>
  <c r="N6912" i="58"/>
  <c r="K6706" i="58"/>
  <c r="L6706" i="58" s="1"/>
  <c r="J6599" i="58"/>
  <c r="K6454" i="58"/>
  <c r="L6454" i="58" s="1"/>
  <c r="K6337" i="58"/>
  <c r="L6337" i="58" s="1"/>
  <c r="N6337" i="58" s="1"/>
  <c r="J6295" i="58"/>
  <c r="J6209" i="58"/>
  <c r="N6204" i="58"/>
  <c r="K5996" i="58"/>
  <c r="L5996" i="58" s="1"/>
  <c r="J5975" i="58"/>
  <c r="K5901" i="58"/>
  <c r="L5901" i="58" s="1"/>
  <c r="K5830" i="58"/>
  <c r="L5830" i="58" s="1"/>
  <c r="J5825" i="58"/>
  <c r="K5772" i="58"/>
  <c r="L5772" i="58" s="1"/>
  <c r="K5742" i="58"/>
  <c r="L5742" i="58" s="1"/>
  <c r="N5742" i="58" s="1"/>
  <c r="J5812" i="58"/>
  <c r="K5651" i="58"/>
  <c r="L5651" i="58" s="1"/>
  <c r="N5651" i="58" s="1"/>
  <c r="J6501" i="58"/>
  <c r="K6438" i="58"/>
  <c r="L6438" i="58" s="1"/>
  <c r="N6438" i="58" s="1"/>
  <c r="J6413" i="58"/>
  <c r="K6244" i="58"/>
  <c r="L6244" i="58" s="1"/>
  <c r="J6133" i="58"/>
  <c r="K6046" i="58"/>
  <c r="L6046" i="58" s="1"/>
  <c r="K6041" i="58"/>
  <c r="L6041" i="58" s="1"/>
  <c r="N6041" i="58" s="1"/>
  <c r="K5941" i="58"/>
  <c r="L5941" i="58" s="1"/>
  <c r="J5877" i="58"/>
  <c r="K5869" i="58"/>
  <c r="L5869" i="58" s="1"/>
  <c r="N5869" i="58" s="1"/>
  <c r="K5832" i="58"/>
  <c r="L5832" i="58" s="1"/>
  <c r="K7047" i="58"/>
  <c r="L7047" i="58" s="1"/>
  <c r="N7047" i="58" s="1"/>
  <c r="K6614" i="58"/>
  <c r="L6614" i="58" s="1"/>
  <c r="J7254" i="58"/>
  <c r="K7209" i="58"/>
  <c r="L7209" i="58" s="1"/>
  <c r="K7129" i="58"/>
  <c r="L7129" i="58" s="1"/>
  <c r="K7116" i="58"/>
  <c r="L7116" i="58" s="1"/>
  <c r="K7080" i="58"/>
  <c r="L7080" i="58" s="1"/>
  <c r="K6937" i="58"/>
  <c r="L6937" i="58" s="1"/>
  <c r="K6851" i="58"/>
  <c r="L6851" i="58" s="1"/>
  <c r="N6851" i="58" s="1"/>
  <c r="K6802" i="58"/>
  <c r="L6802" i="58" s="1"/>
  <c r="J6572" i="58"/>
  <c r="K6546" i="58"/>
  <c r="L6546" i="58" s="1"/>
  <c r="K6514" i="58"/>
  <c r="L6514" i="58" s="1"/>
  <c r="J6433" i="58"/>
  <c r="N6353" i="58"/>
  <c r="K6331" i="58"/>
  <c r="L6331" i="58" s="1"/>
  <c r="J6323" i="58"/>
  <c r="N6104" i="58"/>
  <c r="J6096" i="58"/>
  <c r="K6070" i="58"/>
  <c r="L6070" i="58" s="1"/>
  <c r="J6033" i="58"/>
  <c r="J5977" i="58"/>
  <c r="K5859" i="58"/>
  <c r="L5859" i="58" s="1"/>
  <c r="N5859" i="58" s="1"/>
  <c r="J5774" i="58"/>
  <c r="K5685" i="58"/>
  <c r="L5685" i="58" s="1"/>
  <c r="N7097" i="58"/>
  <c r="N7083" i="58"/>
  <c r="N6743" i="58"/>
  <c r="J5858" i="58"/>
  <c r="K5858" i="58"/>
  <c r="L5858" i="58" s="1"/>
  <c r="J5801" i="58"/>
  <c r="K5801" i="58"/>
  <c r="L5801" i="58" s="1"/>
  <c r="N5801" i="58" s="1"/>
  <c r="J6248" i="58"/>
  <c r="K6248" i="58"/>
  <c r="L6248" i="58" s="1"/>
  <c r="J6214" i="58"/>
  <c r="K6214" i="58"/>
  <c r="L6214" i="58" s="1"/>
  <c r="K5839" i="58"/>
  <c r="L5839" i="58" s="1"/>
  <c r="J5839" i="58"/>
  <c r="K5788" i="58"/>
  <c r="L5788" i="58" s="1"/>
  <c r="N5788" i="58" s="1"/>
  <c r="K6372" i="58"/>
  <c r="L6372" i="58" s="1"/>
  <c r="J6372" i="58"/>
  <c r="K7019" i="58"/>
  <c r="L7019" i="58" s="1"/>
  <c r="N7019" i="58" s="1"/>
  <c r="J7007" i="58"/>
  <c r="K6978" i="58"/>
  <c r="L6978" i="58" s="1"/>
  <c r="N6954" i="58"/>
  <c r="N6933" i="58"/>
  <c r="J6909" i="58"/>
  <c r="K6896" i="58"/>
  <c r="L6896" i="58" s="1"/>
  <c r="N6896" i="58" s="1"/>
  <c r="J6722" i="58"/>
  <c r="K6722" i="58"/>
  <c r="L6722" i="58" s="1"/>
  <c r="K6687" i="58"/>
  <c r="L6687" i="58" s="1"/>
  <c r="K6647" i="58"/>
  <c r="L6647" i="58" s="1"/>
  <c r="K6584" i="58"/>
  <c r="L6584" i="58" s="1"/>
  <c r="M6584" i="58" s="1"/>
  <c r="J6551" i="58"/>
  <c r="K6511" i="58"/>
  <c r="L6511" i="58" s="1"/>
  <c r="N6511" i="58" s="1"/>
  <c r="J6399" i="58"/>
  <c r="K6338" i="58"/>
  <c r="L6338" i="58" s="1"/>
  <c r="J6289" i="58"/>
  <c r="K6289" i="58"/>
  <c r="L6289" i="58" s="1"/>
  <c r="N6271" i="58"/>
  <c r="J6127" i="58"/>
  <c r="K6127" i="58"/>
  <c r="L6127" i="58" s="1"/>
  <c r="N6127" i="58" s="1"/>
  <c r="N6089" i="58"/>
  <c r="K5967" i="58"/>
  <c r="L5967" i="58" s="1"/>
  <c r="N5967" i="58" s="1"/>
  <c r="K5934" i="58"/>
  <c r="L5934" i="58" s="1"/>
  <c r="J5900" i="58"/>
  <c r="K5900" i="58"/>
  <c r="L5900" i="58" s="1"/>
  <c r="N5900" i="58" s="1"/>
  <c r="J5882" i="58"/>
  <c r="K5882" i="58"/>
  <c r="L5882" i="58" s="1"/>
  <c r="J5852" i="58"/>
  <c r="J5753" i="58"/>
  <c r="K5753" i="58"/>
  <c r="L5753" i="58" s="1"/>
  <c r="N5753" i="58" s="1"/>
  <c r="K5676" i="58"/>
  <c r="L5676" i="58" s="1"/>
  <c r="N5676" i="58" s="1"/>
  <c r="J5676" i="58"/>
  <c r="J5650" i="58"/>
  <c r="K5650" i="58"/>
  <c r="L5650" i="58" s="1"/>
  <c r="J5636" i="58"/>
  <c r="K5636" i="58"/>
  <c r="L5636" i="58" s="1"/>
  <c r="J6672" i="58"/>
  <c r="K6672" i="58"/>
  <c r="L6672" i="58" s="1"/>
  <c r="K7213" i="58"/>
  <c r="L7213" i="58" s="1"/>
  <c r="N7213" i="58" s="1"/>
  <c r="K7150" i="58"/>
  <c r="L7150" i="58" s="1"/>
  <c r="K7081" i="58"/>
  <c r="L7081" i="58" s="1"/>
  <c r="J7062" i="58"/>
  <c r="J6989" i="58"/>
  <c r="J6982" i="58"/>
  <c r="J6973" i="58"/>
  <c r="J6916" i="58"/>
  <c r="K6876" i="58"/>
  <c r="L6876" i="58" s="1"/>
  <c r="N6876" i="58" s="1"/>
  <c r="K6867" i="58"/>
  <c r="L6867" i="58" s="1"/>
  <c r="N6865" i="58"/>
  <c r="K6860" i="58"/>
  <c r="L6860" i="58" s="1"/>
  <c r="J6855" i="58"/>
  <c r="J6826" i="58"/>
  <c r="K6757" i="58"/>
  <c r="L6757" i="58" s="1"/>
  <c r="J6755" i="58"/>
  <c r="K6755" i="58"/>
  <c r="L6755" i="58" s="1"/>
  <c r="K6644" i="58"/>
  <c r="L6644" i="58" s="1"/>
  <c r="J6576" i="58"/>
  <c r="K6538" i="58"/>
  <c r="L6538" i="58" s="1"/>
  <c r="N6538" i="58" s="1"/>
  <c r="K6488" i="58"/>
  <c r="L6488" i="58" s="1"/>
  <c r="N6488" i="58" s="1"/>
  <c r="J6471" i="58"/>
  <c r="N6453" i="58"/>
  <c r="J6351" i="58"/>
  <c r="J6286" i="58"/>
  <c r="K6286" i="58"/>
  <c r="L6286" i="58" s="1"/>
  <c r="J6232" i="58"/>
  <c r="J6152" i="58"/>
  <c r="K6147" i="58"/>
  <c r="L6147" i="58" s="1"/>
  <c r="K6055" i="58"/>
  <c r="L6055" i="58" s="1"/>
  <c r="J6055" i="58"/>
  <c r="K6003" i="58"/>
  <c r="L6003" i="58" s="1"/>
  <c r="N6003" i="58" s="1"/>
  <c r="J5946" i="58"/>
  <c r="J5931" i="58"/>
  <c r="N5816" i="58"/>
  <c r="K5678" i="58"/>
  <c r="L5678" i="58" s="1"/>
  <c r="K5907" i="58"/>
  <c r="L5907" i="58" s="1"/>
  <c r="J5907" i="58"/>
  <c r="K5841" i="58"/>
  <c r="L5841" i="58" s="1"/>
  <c r="J5841" i="58"/>
  <c r="J5670" i="58"/>
  <c r="K5670" i="58"/>
  <c r="L5670" i="58" s="1"/>
  <c r="N5670" i="58" s="1"/>
  <c r="N6474" i="58"/>
  <c r="K6107" i="58"/>
  <c r="L6107" i="58" s="1"/>
  <c r="J6107" i="58"/>
  <c r="J6035" i="58"/>
  <c r="K6035" i="58"/>
  <c r="L6035" i="58" s="1"/>
  <c r="N5625" i="58"/>
  <c r="K6165" i="58"/>
  <c r="L6165" i="58" s="1"/>
  <c r="J6165" i="58"/>
  <c r="J6740" i="58"/>
  <c r="K6740" i="58"/>
  <c r="L6740" i="58" s="1"/>
  <c r="M6740" i="58" s="1"/>
  <c r="K6503" i="58"/>
  <c r="L6503" i="58" s="1"/>
  <c r="J6503" i="58"/>
  <c r="K6073" i="58"/>
  <c r="L6073" i="58" s="1"/>
  <c r="N6073" i="58" s="1"/>
  <c r="J6073" i="58"/>
  <c r="K6060" i="58"/>
  <c r="L6060" i="58" s="1"/>
  <c r="N6060" i="58" s="1"/>
  <c r="J6060" i="58"/>
  <c r="K5961" i="58"/>
  <c r="L5961" i="58" s="1"/>
  <c r="J5961" i="58"/>
  <c r="J5928" i="58"/>
  <c r="K5928" i="58"/>
  <c r="L5928" i="58" s="1"/>
  <c r="J5889" i="58"/>
  <c r="K5889" i="58"/>
  <c r="L5889" i="58" s="1"/>
  <c r="K5808" i="58"/>
  <c r="L5808" i="58" s="1"/>
  <c r="J5808" i="58"/>
  <c r="J5723" i="58"/>
  <c r="K5723" i="58"/>
  <c r="L5723" i="58" s="1"/>
  <c r="N5723" i="58" s="1"/>
  <c r="K7199" i="58"/>
  <c r="L7199" i="58" s="1"/>
  <c r="N7199" i="58" s="1"/>
  <c r="N7154" i="58"/>
  <c r="K7134" i="58"/>
  <c r="L7134" i="58" s="1"/>
  <c r="N7134" i="58" s="1"/>
  <c r="K7025" i="58"/>
  <c r="L7025" i="58" s="1"/>
  <c r="K7023" i="58"/>
  <c r="L7023" i="58" s="1"/>
  <c r="N7023" i="58" s="1"/>
  <c r="K7016" i="58"/>
  <c r="L7016" i="58" s="1"/>
  <c r="K6918" i="58"/>
  <c r="L6918" i="58" s="1"/>
  <c r="K6904" i="58"/>
  <c r="L6904" i="58" s="1"/>
  <c r="J6893" i="58"/>
  <c r="J6869" i="58"/>
  <c r="K6628" i="58"/>
  <c r="L6628" i="58" s="1"/>
  <c r="N6628" i="58" s="1"/>
  <c r="K6535" i="58"/>
  <c r="L6535" i="58" s="1"/>
  <c r="N6535" i="58" s="1"/>
  <c r="J6517" i="58"/>
  <c r="K6517" i="58"/>
  <c r="L6517" i="58" s="1"/>
  <c r="J6480" i="58"/>
  <c r="J6437" i="58"/>
  <c r="J6378" i="58"/>
  <c r="J6353" i="58"/>
  <c r="N6335" i="58"/>
  <c r="J6288" i="58"/>
  <c r="J6247" i="58"/>
  <c r="K6226" i="58"/>
  <c r="L6226" i="58" s="1"/>
  <c r="J6161" i="58"/>
  <c r="K6156" i="58"/>
  <c r="L6156" i="58" s="1"/>
  <c r="N6156" i="58" s="1"/>
  <c r="K5953" i="58"/>
  <c r="L5953" i="58" s="1"/>
  <c r="K5861" i="58"/>
  <c r="L5861" i="58" s="1"/>
  <c r="N5861" i="58" s="1"/>
  <c r="K5843" i="58"/>
  <c r="L5843" i="58" s="1"/>
  <c r="N5843" i="58" s="1"/>
  <c r="J5843" i="58"/>
  <c r="K5630" i="58"/>
  <c r="L5630" i="58" s="1"/>
  <c r="K6025" i="58"/>
  <c r="L6025" i="58" s="1"/>
  <c r="J6025" i="58"/>
  <c r="N7005" i="58"/>
  <c r="J5976" i="58"/>
  <c r="K5976" i="58"/>
  <c r="L5976" i="58" s="1"/>
  <c r="J7256" i="58"/>
  <c r="J7235" i="58"/>
  <c r="N7203" i="58"/>
  <c r="K7158" i="58"/>
  <c r="L7158" i="58" s="1"/>
  <c r="K7156" i="58"/>
  <c r="L7156" i="58" s="1"/>
  <c r="K7136" i="58"/>
  <c r="L7136" i="58" s="1"/>
  <c r="K7122" i="58"/>
  <c r="L7122" i="58" s="1"/>
  <c r="N7122" i="58" s="1"/>
  <c r="K7087" i="58"/>
  <c r="L7087" i="58" s="1"/>
  <c r="K7037" i="58"/>
  <c r="L7037" i="58" s="1"/>
  <c r="N7037" i="58" s="1"/>
  <c r="J6948" i="58"/>
  <c r="K6939" i="58"/>
  <c r="L6939" i="58" s="1"/>
  <c r="K6934" i="58"/>
  <c r="L6934" i="58" s="1"/>
  <c r="J6852" i="58"/>
  <c r="J6818" i="58"/>
  <c r="J6808" i="58"/>
  <c r="K6803" i="58"/>
  <c r="L6803" i="58" s="1"/>
  <c r="N6801" i="58"/>
  <c r="J6668" i="58"/>
  <c r="K6633" i="58"/>
  <c r="L6633" i="58" s="1"/>
  <c r="J6545" i="58"/>
  <c r="J6385" i="58"/>
  <c r="J6383" i="58"/>
  <c r="J6329" i="58"/>
  <c r="K6329" i="58"/>
  <c r="L6329" i="58" s="1"/>
  <c r="J6293" i="58"/>
  <c r="J6207" i="58"/>
  <c r="K6207" i="58"/>
  <c r="L6207" i="58" s="1"/>
  <c r="N6207" i="58" s="1"/>
  <c r="J6171" i="58"/>
  <c r="K6128" i="58"/>
  <c r="L6128" i="58" s="1"/>
  <c r="K6039" i="58"/>
  <c r="L6039" i="58" s="1"/>
  <c r="N6039" i="58" s="1"/>
  <c r="J5943" i="58"/>
  <c r="J5891" i="58"/>
  <c r="J5815" i="58"/>
  <c r="J5797" i="58"/>
  <c r="K5797" i="58"/>
  <c r="L5797" i="58" s="1"/>
  <c r="J5757" i="58"/>
  <c r="K5757" i="58"/>
  <c r="L5757" i="58" s="1"/>
  <c r="K5730" i="58"/>
  <c r="L5730" i="58" s="1"/>
  <c r="N5730" i="58" s="1"/>
  <c r="K5725" i="58"/>
  <c r="L5725" i="58" s="1"/>
  <c r="N5725" i="58" s="1"/>
  <c r="J5698" i="58"/>
  <c r="K5698" i="58"/>
  <c r="L5698" i="58" s="1"/>
  <c r="N5698" i="58" s="1"/>
  <c r="K5656" i="58"/>
  <c r="L5656" i="58" s="1"/>
  <c r="J6120" i="58"/>
  <c r="K6120" i="58"/>
  <c r="L6120" i="58" s="1"/>
  <c r="J5919" i="58"/>
  <c r="K5919" i="58"/>
  <c r="L5919" i="58" s="1"/>
  <c r="N5919" i="58" s="1"/>
  <c r="J6466" i="58"/>
  <c r="K6466" i="58"/>
  <c r="L6466" i="58" s="1"/>
  <c r="K6175" i="58"/>
  <c r="L6175" i="58" s="1"/>
  <c r="N6175" i="58" s="1"/>
  <c r="J6175" i="58"/>
  <c r="N6304" i="58"/>
  <c r="K6141" i="58"/>
  <c r="L6141" i="58" s="1"/>
  <c r="N6141" i="58" s="1"/>
  <c r="J6141" i="58"/>
  <c r="K6106" i="58"/>
  <c r="L6106" i="58" s="1"/>
  <c r="N6106" i="58" s="1"/>
  <c r="J6106" i="58"/>
  <c r="J6146" i="58"/>
  <c r="K6146" i="58"/>
  <c r="L6146" i="58" s="1"/>
  <c r="N6146" i="58" s="1"/>
  <c r="K6075" i="58"/>
  <c r="L6075" i="58" s="1"/>
  <c r="J6075" i="58"/>
  <c r="J7243" i="58"/>
  <c r="K7225" i="58"/>
  <c r="L7225" i="58" s="1"/>
  <c r="N7225" i="58" s="1"/>
  <c r="K7218" i="58"/>
  <c r="L7218" i="58" s="1"/>
  <c r="J7216" i="58"/>
  <c r="K7214" i="58"/>
  <c r="L7214" i="58" s="1"/>
  <c r="J7210" i="58"/>
  <c r="J7177" i="58"/>
  <c r="K7160" i="58"/>
  <c r="L7160" i="58" s="1"/>
  <c r="K7151" i="58"/>
  <c r="L7151" i="58" s="1"/>
  <c r="J7138" i="58"/>
  <c r="K7117" i="58"/>
  <c r="L7117" i="58" s="1"/>
  <c r="K7096" i="58"/>
  <c r="L7096" i="58" s="1"/>
  <c r="N7096" i="58" s="1"/>
  <c r="K7094" i="58"/>
  <c r="L7094" i="58" s="1"/>
  <c r="J7089" i="58"/>
  <c r="J7075" i="58"/>
  <c r="K7073" i="58"/>
  <c r="L7073" i="58" s="1"/>
  <c r="K6974" i="58"/>
  <c r="L6974" i="58" s="1"/>
  <c r="J6943" i="58"/>
  <c r="N6845" i="58"/>
  <c r="K6693" i="58"/>
  <c r="L6693" i="58" s="1"/>
  <c r="J6620" i="58"/>
  <c r="J6592" i="58"/>
  <c r="J6587" i="58"/>
  <c r="N6585" i="58"/>
  <c r="J6542" i="58"/>
  <c r="K6497" i="58"/>
  <c r="L6497" i="58" s="1"/>
  <c r="J6459" i="58"/>
  <c r="K6334" i="58"/>
  <c r="L6334" i="58" s="1"/>
  <c r="J6334" i="58"/>
  <c r="J6318" i="58"/>
  <c r="J6264" i="58"/>
  <c r="K6123" i="58"/>
  <c r="L6123" i="58" s="1"/>
  <c r="N6123" i="58" s="1"/>
  <c r="J6108" i="58"/>
  <c r="J6059" i="58"/>
  <c r="K6059" i="58"/>
  <c r="L6059" i="58" s="1"/>
  <c r="K6048" i="58"/>
  <c r="L6048" i="58" s="1"/>
  <c r="N6048" i="58" s="1"/>
  <c r="K5935" i="58"/>
  <c r="L5935" i="58" s="1"/>
  <c r="J5935" i="58"/>
  <c r="J5906" i="58"/>
  <c r="K5893" i="58"/>
  <c r="L5893" i="58" s="1"/>
  <c r="K5883" i="58"/>
  <c r="L5883" i="58" s="1"/>
  <c r="J5883" i="58"/>
  <c r="J5873" i="58"/>
  <c r="K5853" i="58"/>
  <c r="L5853" i="58" s="1"/>
  <c r="N5853" i="58" s="1"/>
  <c r="J5853" i="58"/>
  <c r="K5775" i="58"/>
  <c r="L5775" i="58" s="1"/>
  <c r="N5775" i="58" s="1"/>
  <c r="K5770" i="58"/>
  <c r="L5770" i="58" s="1"/>
  <c r="N5770" i="58" s="1"/>
  <c r="K6682" i="58"/>
  <c r="L6682" i="58" s="1"/>
  <c r="J6682" i="58"/>
  <c r="K7258" i="58"/>
  <c r="L7258" i="58" s="1"/>
  <c r="N7258" i="58" s="1"/>
  <c r="K7248" i="58"/>
  <c r="L7248" i="58" s="1"/>
  <c r="N7248" i="58" s="1"/>
  <c r="K7232" i="58"/>
  <c r="L7232" i="58" s="1"/>
  <c r="J7196" i="58"/>
  <c r="J7153" i="58"/>
  <c r="J7126" i="58"/>
  <c r="K7124" i="58"/>
  <c r="L7124" i="58" s="1"/>
  <c r="N7089" i="58"/>
  <c r="J7082" i="58"/>
  <c r="J7068" i="58"/>
  <c r="K7003" i="58"/>
  <c r="L7003" i="58" s="1"/>
  <c r="N7003" i="58" s="1"/>
  <c r="J6998" i="58"/>
  <c r="K6985" i="58"/>
  <c r="L6985" i="58" s="1"/>
  <c r="N6985" i="58" s="1"/>
  <c r="K6972" i="58"/>
  <c r="L6972" i="58" s="1"/>
  <c r="K6945" i="58"/>
  <c r="L6945" i="58" s="1"/>
  <c r="N6945" i="58" s="1"/>
  <c r="J6912" i="58"/>
  <c r="K6887" i="58"/>
  <c r="L6887" i="58" s="1"/>
  <c r="J6887" i="58"/>
  <c r="K6733" i="58"/>
  <c r="L6733" i="58" s="1"/>
  <c r="J6640" i="58"/>
  <c r="K6640" i="58"/>
  <c r="L6640" i="58" s="1"/>
  <c r="K6559" i="58"/>
  <c r="L6559" i="58" s="1"/>
  <c r="N6559" i="58" s="1"/>
  <c r="K6529" i="58"/>
  <c r="L6529" i="58" s="1"/>
  <c r="K6449" i="58"/>
  <c r="L6449" i="58" s="1"/>
  <c r="K6279" i="58"/>
  <c r="L6279" i="58" s="1"/>
  <c r="J6236" i="58"/>
  <c r="K6236" i="58"/>
  <c r="L6236" i="58" s="1"/>
  <c r="K5940" i="58"/>
  <c r="L5940" i="58" s="1"/>
  <c r="J5940" i="58"/>
  <c r="J5837" i="58"/>
  <c r="K5837" i="58"/>
  <c r="L5837" i="58" s="1"/>
  <c r="K5700" i="58"/>
  <c r="L5700" i="58" s="1"/>
  <c r="M5700" i="58" s="1"/>
  <c r="J5700" i="58"/>
  <c r="K5658" i="58"/>
  <c r="L5658" i="58" s="1"/>
  <c r="J5658" i="58"/>
  <c r="K6082" i="58"/>
  <c r="L6082" i="58" s="1"/>
  <c r="N6082" i="58" s="1"/>
  <c r="J6082" i="58"/>
  <c r="J7200" i="58"/>
  <c r="J7167" i="58"/>
  <c r="K7022" i="58"/>
  <c r="L7022" i="58" s="1"/>
  <c r="K6901" i="58"/>
  <c r="L6901" i="58" s="1"/>
  <c r="J6892" i="58"/>
  <c r="K6829" i="58"/>
  <c r="L6829" i="58" s="1"/>
  <c r="K6815" i="58"/>
  <c r="L6815" i="58" s="1"/>
  <c r="J6788" i="58"/>
  <c r="J6775" i="58"/>
  <c r="K6748" i="58"/>
  <c r="L6748" i="58" s="1"/>
  <c r="N6748" i="58" s="1"/>
  <c r="J6720" i="58"/>
  <c r="J6695" i="58"/>
  <c r="N6627" i="58"/>
  <c r="J6534" i="58"/>
  <c r="J6474" i="58"/>
  <c r="J6360" i="58"/>
  <c r="J6305" i="58"/>
  <c r="K6256" i="58"/>
  <c r="L6256" i="58" s="1"/>
  <c r="N6256" i="58" s="1"/>
  <c r="K6196" i="58"/>
  <c r="L6196" i="58" s="1"/>
  <c r="N6196" i="58" s="1"/>
  <c r="J6196" i="58"/>
  <c r="J6160" i="58"/>
  <c r="K6160" i="58"/>
  <c r="L6160" i="58" s="1"/>
  <c r="N6148" i="58"/>
  <c r="J6140" i="58"/>
  <c r="J6092" i="58"/>
  <c r="J6077" i="58"/>
  <c r="K6077" i="58"/>
  <c r="L6077" i="58" s="1"/>
  <c r="J6064" i="58"/>
  <c r="K6064" i="58"/>
  <c r="L6064" i="58" s="1"/>
  <c r="K6004" i="58"/>
  <c r="L6004" i="58" s="1"/>
  <c r="N6004" i="58" s="1"/>
  <c r="J6004" i="58"/>
  <c r="J5932" i="58"/>
  <c r="K5932" i="58"/>
  <c r="L5932" i="58" s="1"/>
  <c r="K5748" i="58"/>
  <c r="L5748" i="58" s="1"/>
  <c r="N5748" i="58" s="1"/>
  <c r="J5705" i="58"/>
  <c r="K5705" i="58"/>
  <c r="L5705" i="58" s="1"/>
  <c r="N5705" i="58" s="1"/>
  <c r="J5679" i="58"/>
  <c r="K5679" i="58"/>
  <c r="L5679" i="58" s="1"/>
  <c r="N5679" i="58" s="1"/>
  <c r="N6065" i="58"/>
  <c r="N6905" i="58"/>
  <c r="N6618" i="58"/>
  <c r="N6377" i="58"/>
  <c r="N6339" i="58"/>
  <c r="J6292" i="58"/>
  <c r="K6287" i="58"/>
  <c r="L6287" i="58" s="1"/>
  <c r="N6287" i="58" s="1"/>
  <c r="J6285" i="58"/>
  <c r="K6272" i="58"/>
  <c r="L6272" i="58" s="1"/>
  <c r="N6272" i="58" s="1"/>
  <c r="K6265" i="58"/>
  <c r="L6265" i="58" s="1"/>
  <c r="N6265" i="58" s="1"/>
  <c r="K6258" i="58"/>
  <c r="L6258" i="58" s="1"/>
  <c r="J6241" i="58"/>
  <c r="K6172" i="58"/>
  <c r="L6172" i="58" s="1"/>
  <c r="J6170" i="58"/>
  <c r="J6139" i="58"/>
  <c r="J6113" i="58"/>
  <c r="J5964" i="58"/>
  <c r="J5942" i="58"/>
  <c r="K5878" i="58"/>
  <c r="L5878" i="58" s="1"/>
  <c r="K5876" i="58"/>
  <c r="L5876" i="58" s="1"/>
  <c r="N5876" i="58" s="1"/>
  <c r="K5871" i="58"/>
  <c r="L5871" i="58" s="1"/>
  <c r="N5871" i="58" s="1"/>
  <c r="K5838" i="58"/>
  <c r="L5838" i="58" s="1"/>
  <c r="K5836" i="58"/>
  <c r="L5836" i="58" s="1"/>
  <c r="J5814" i="58"/>
  <c r="K5809" i="58"/>
  <c r="L5809" i="58" s="1"/>
  <c r="N5809" i="58" s="1"/>
  <c r="K5778" i="58"/>
  <c r="L5778" i="58" s="1"/>
  <c r="K5739" i="58"/>
  <c r="L5739" i="58" s="1"/>
  <c r="K5707" i="58"/>
  <c r="L5707" i="58" s="1"/>
  <c r="K5677" i="58"/>
  <c r="L5677" i="58" s="1"/>
  <c r="J5662" i="58"/>
  <c r="J5634" i="58"/>
  <c r="K5629" i="58"/>
  <c r="L5629" i="58" s="1"/>
  <c r="M5629" i="58" s="1"/>
  <c r="J6304" i="58"/>
  <c r="K6118" i="58"/>
  <c r="L6118" i="58" s="1"/>
  <c r="N6113" i="58"/>
  <c r="J6084" i="58"/>
  <c r="J5959" i="58"/>
  <c r="J5887" i="58"/>
  <c r="J5864" i="58"/>
  <c r="K5855" i="58"/>
  <c r="L5855" i="58" s="1"/>
  <c r="J5850" i="58"/>
  <c r="N5814" i="58"/>
  <c r="K5765" i="58"/>
  <c r="L5765" i="58" s="1"/>
  <c r="K5672" i="58"/>
  <c r="L5672" i="58" s="1"/>
  <c r="J5644" i="58"/>
  <c r="N7216" i="58"/>
  <c r="N6393" i="58"/>
  <c r="N7153" i="58"/>
  <c r="N6948" i="58"/>
  <c r="N7245" i="58"/>
  <c r="N7046" i="58"/>
  <c r="N6707" i="58"/>
  <c r="N6592" i="58"/>
  <c r="N6490" i="58"/>
  <c r="J6483" i="58"/>
  <c r="K6483" i="58"/>
  <c r="L6483" i="58" s="1"/>
  <c r="J6058" i="58"/>
  <c r="K6058" i="58"/>
  <c r="L6058" i="58" s="1"/>
  <c r="J7206" i="58"/>
  <c r="K7206" i="58"/>
  <c r="L7206" i="58" s="1"/>
  <c r="K7146" i="58"/>
  <c r="L7146" i="58" s="1"/>
  <c r="K7043" i="58"/>
  <c r="L7043" i="58" s="1"/>
  <c r="J6999" i="58"/>
  <c r="K6999" i="58"/>
  <c r="L6999" i="58" s="1"/>
  <c r="K6915" i="58"/>
  <c r="L6915" i="58" s="1"/>
  <c r="K6847" i="58"/>
  <c r="L6847" i="58" s="1"/>
  <c r="K6839" i="58"/>
  <c r="L6839" i="58" s="1"/>
  <c r="K6766" i="58"/>
  <c r="L6766" i="58" s="1"/>
  <c r="N6766" i="58" s="1"/>
  <c r="J6766" i="58"/>
  <c r="K6714" i="58"/>
  <c r="L6714" i="58" s="1"/>
  <c r="N6537" i="58"/>
  <c r="K6180" i="58"/>
  <c r="L6180" i="58" s="1"/>
  <c r="J6180" i="58"/>
  <c r="J6646" i="58"/>
  <c r="K6646" i="58"/>
  <c r="L6646" i="58" s="1"/>
  <c r="N6646" i="58" s="1"/>
  <c r="K6208" i="58"/>
  <c r="L6208" i="58" s="1"/>
  <c r="J6208" i="58"/>
  <c r="J7204" i="58"/>
  <c r="K7204" i="58"/>
  <c r="L7204" i="58" s="1"/>
  <c r="J6862" i="58"/>
  <c r="K6862" i="58"/>
  <c r="L6862" i="58" s="1"/>
  <c r="N6862" i="58" s="1"/>
  <c r="K7257" i="58"/>
  <c r="L7257" i="58" s="1"/>
  <c r="N7257" i="58" s="1"/>
  <c r="K7251" i="58"/>
  <c r="L7251" i="58" s="1"/>
  <c r="K6922" i="58"/>
  <c r="L6922" i="58" s="1"/>
  <c r="N6922" i="58" s="1"/>
  <c r="K6881" i="58"/>
  <c r="L6881" i="58" s="1"/>
  <c r="N6879" i="58"/>
  <c r="J7230" i="58"/>
  <c r="J7188" i="58"/>
  <c r="K7188" i="58"/>
  <c r="L7188" i="58" s="1"/>
  <c r="K7174" i="58"/>
  <c r="L7174" i="58" s="1"/>
  <c r="K7141" i="58"/>
  <c r="L7141" i="58" s="1"/>
  <c r="K7066" i="58"/>
  <c r="L7066" i="58" s="1"/>
  <c r="J7045" i="58"/>
  <c r="K6890" i="58"/>
  <c r="L6890" i="58" s="1"/>
  <c r="J6857" i="58"/>
  <c r="J6845" i="58"/>
  <c r="N6818" i="58"/>
  <c r="J6813" i="58"/>
  <c r="J6780" i="58"/>
  <c r="J6768" i="58"/>
  <c r="J6724" i="58"/>
  <c r="K6724" i="58"/>
  <c r="L6724" i="58" s="1"/>
  <c r="K6691" i="58"/>
  <c r="L6691" i="58" s="1"/>
  <c r="K6681" i="58"/>
  <c r="L6681" i="58" s="1"/>
  <c r="N6681" i="58" s="1"/>
  <c r="J6681" i="58"/>
  <c r="J6648" i="58"/>
  <c r="K6648" i="58"/>
  <c r="L6648" i="58" s="1"/>
  <c r="K6397" i="58"/>
  <c r="L6397" i="58" s="1"/>
  <c r="J6397" i="58"/>
  <c r="N6313" i="58"/>
  <c r="J6260" i="58"/>
  <c r="K6260" i="58"/>
  <c r="L6260" i="58" s="1"/>
  <c r="N6951" i="58"/>
  <c r="J6686" i="58"/>
  <c r="K6686" i="58"/>
  <c r="L6686" i="58" s="1"/>
  <c r="N6686" i="58" s="1"/>
  <c r="K6569" i="58"/>
  <c r="L6569" i="58" s="1"/>
  <c r="J6569" i="58"/>
  <c r="J6404" i="58"/>
  <c r="K6404" i="58"/>
  <c r="L6404" i="58" s="1"/>
  <c r="K6669" i="58"/>
  <c r="L6669" i="58" s="1"/>
  <c r="J6669" i="58"/>
  <c r="K6630" i="58"/>
  <c r="L6630" i="58" s="1"/>
  <c r="J6630" i="58"/>
  <c r="N6611" i="58"/>
  <c r="J6593" i="58"/>
  <c r="K6593" i="58"/>
  <c r="L6593" i="58" s="1"/>
  <c r="K6182" i="58"/>
  <c r="L6182" i="58" s="1"/>
  <c r="N6182" i="58" s="1"/>
  <c r="J6182" i="58"/>
  <c r="K5969" i="58"/>
  <c r="L5969" i="58" s="1"/>
  <c r="J5969" i="58"/>
  <c r="K5827" i="58"/>
  <c r="L5827" i="58" s="1"/>
  <c r="J5827" i="58"/>
  <c r="J7144" i="58"/>
  <c r="K7144" i="58"/>
  <c r="L7144" i="58" s="1"/>
  <c r="J6970" i="58"/>
  <c r="K6970" i="58"/>
  <c r="L6970" i="58" s="1"/>
  <c r="N6813" i="58"/>
  <c r="J6773" i="58"/>
  <c r="K6773" i="58"/>
  <c r="L6773" i="58" s="1"/>
  <c r="K6739" i="58"/>
  <c r="L6739" i="58" s="1"/>
  <c r="J6739" i="58"/>
  <c r="K6539" i="58"/>
  <c r="L6539" i="58" s="1"/>
  <c r="N6539" i="58" s="1"/>
  <c r="J6539" i="58"/>
  <c r="J7021" i="58"/>
  <c r="K7021" i="58"/>
  <c r="L7021" i="58" s="1"/>
  <c r="K6790" i="58"/>
  <c r="L6790" i="58" s="1"/>
  <c r="J6790" i="58"/>
  <c r="J7143" i="58"/>
  <c r="K7143" i="58"/>
  <c r="L7143" i="58" s="1"/>
  <c r="K7061" i="58"/>
  <c r="L7061" i="58" s="1"/>
  <c r="J7061" i="58"/>
  <c r="J6960" i="58"/>
  <c r="K6960" i="58"/>
  <c r="L6960" i="58" s="1"/>
  <c r="J6765" i="58"/>
  <c r="K6765" i="58"/>
  <c r="L6765" i="58" s="1"/>
  <c r="N6620" i="58"/>
  <c r="J6406" i="58"/>
  <c r="K6406" i="58"/>
  <c r="L6406" i="58" s="1"/>
  <c r="N6406" i="58" s="1"/>
  <c r="J6382" i="58"/>
  <c r="K6382" i="58"/>
  <c r="L6382" i="58" s="1"/>
  <c r="J6317" i="58"/>
  <c r="K6317" i="58"/>
  <c r="L6317" i="58" s="1"/>
  <c r="J6281" i="58"/>
  <c r="K6281" i="58"/>
  <c r="L6281" i="58" s="1"/>
  <c r="K6194" i="58"/>
  <c r="L6194" i="58" s="1"/>
  <c r="N6194" i="58" s="1"/>
  <c r="J6194" i="58"/>
  <c r="J6136" i="58"/>
  <c r="K6136" i="58"/>
  <c r="L6136" i="58" s="1"/>
  <c r="N6136" i="58" s="1"/>
  <c r="J5920" i="58"/>
  <c r="K5920" i="58"/>
  <c r="L5920" i="58" s="1"/>
  <c r="J6952" i="58"/>
  <c r="K6952" i="58"/>
  <c r="L6952" i="58" s="1"/>
  <c r="N6952" i="58" s="1"/>
  <c r="J6376" i="58"/>
  <c r="K6376" i="58"/>
  <c r="L6376" i="58" s="1"/>
  <c r="N6376" i="58" s="1"/>
  <c r="J6221" i="58"/>
  <c r="K6221" i="58"/>
  <c r="L6221" i="58" s="1"/>
  <c r="N6221" i="58" s="1"/>
  <c r="J7041" i="58"/>
  <c r="K7041" i="58"/>
  <c r="L7041" i="58" s="1"/>
  <c r="N6362" i="58"/>
  <c r="K7222" i="58"/>
  <c r="L7222" i="58" s="1"/>
  <c r="N7222" i="58" s="1"/>
  <c r="J7222" i="58"/>
  <c r="J7055" i="58"/>
  <c r="K7055" i="58"/>
  <c r="L7055" i="58" s="1"/>
  <c r="N7055" i="58" s="1"/>
  <c r="J6729" i="58"/>
  <c r="K6729" i="58"/>
  <c r="L6729" i="58" s="1"/>
  <c r="J7163" i="58"/>
  <c r="K7163" i="58"/>
  <c r="L7163" i="58" s="1"/>
  <c r="J6988" i="58"/>
  <c r="K6988" i="58"/>
  <c r="L6988" i="58" s="1"/>
  <c r="J6549" i="58"/>
  <c r="K6549" i="58"/>
  <c r="L6549" i="58" s="1"/>
  <c r="K7252" i="58"/>
  <c r="L7252" i="58" s="1"/>
  <c r="N7252" i="58" s="1"/>
  <c r="K7239" i="58"/>
  <c r="L7239" i="58" s="1"/>
  <c r="K7223" i="58"/>
  <c r="L7223" i="58" s="1"/>
  <c r="K7195" i="58"/>
  <c r="L7195" i="58" s="1"/>
  <c r="K7180" i="58"/>
  <c r="L7180" i="58" s="1"/>
  <c r="N7138" i="58"/>
  <c r="K7131" i="58"/>
  <c r="L7131" i="58" s="1"/>
  <c r="K7109" i="58"/>
  <c r="L7109" i="58" s="1"/>
  <c r="J7107" i="58"/>
  <c r="K7085" i="58"/>
  <c r="L7085" i="58" s="1"/>
  <c r="J7027" i="58"/>
  <c r="K7027" i="58"/>
  <c r="L7027" i="58" s="1"/>
  <c r="J7005" i="58"/>
  <c r="N6957" i="58"/>
  <c r="K6919" i="58"/>
  <c r="L6919" i="58" s="1"/>
  <c r="N6919" i="58" s="1"/>
  <c r="J6919" i="58"/>
  <c r="K6882" i="58"/>
  <c r="L6882" i="58" s="1"/>
  <c r="K6854" i="58"/>
  <c r="L6854" i="58" s="1"/>
  <c r="K6840" i="58"/>
  <c r="L6840" i="58" s="1"/>
  <c r="K6817" i="58"/>
  <c r="L6817" i="58" s="1"/>
  <c r="J6817" i="58"/>
  <c r="J6787" i="58"/>
  <c r="K6787" i="58"/>
  <c r="L6787" i="58" s="1"/>
  <c r="J6745" i="58"/>
  <c r="K6745" i="58"/>
  <c r="L6745" i="58" s="1"/>
  <c r="N6745" i="58" s="1"/>
  <c r="J6718" i="58"/>
  <c r="K6718" i="58"/>
  <c r="L6718" i="58" s="1"/>
  <c r="N6705" i="58"/>
  <c r="J6680" i="58"/>
  <c r="K6680" i="58"/>
  <c r="L6680" i="58" s="1"/>
  <c r="J6622" i="58"/>
  <c r="K6622" i="58"/>
  <c r="L6622" i="58" s="1"/>
  <c r="N6622" i="58" s="1"/>
  <c r="J6523" i="58"/>
  <c r="K6523" i="58"/>
  <c r="L6523" i="58" s="1"/>
  <c r="N6523" i="58" s="1"/>
  <c r="K6332" i="58"/>
  <c r="L6332" i="58" s="1"/>
  <c r="N6332" i="58" s="1"/>
  <c r="J6332" i="58"/>
  <c r="K6319" i="58"/>
  <c r="L6319" i="58" s="1"/>
  <c r="N6319" i="58" s="1"/>
  <c r="J6319" i="58"/>
  <c r="N6288" i="58"/>
  <c r="J6245" i="58"/>
  <c r="K6245" i="58"/>
  <c r="L6245" i="58" s="1"/>
  <c r="J6079" i="58"/>
  <c r="K6079" i="58"/>
  <c r="L6079" i="58" s="1"/>
  <c r="N6079" i="58" s="1"/>
  <c r="N6816" i="58"/>
  <c r="N6737" i="58"/>
  <c r="J7030" i="58"/>
  <c r="K7030" i="58"/>
  <c r="L7030" i="58" s="1"/>
  <c r="J6963" i="58"/>
  <c r="K6963" i="58"/>
  <c r="L6963" i="58" s="1"/>
  <c r="J6601" i="58"/>
  <c r="K6601" i="58"/>
  <c r="L6601" i="58" s="1"/>
  <c r="J6836" i="58"/>
  <c r="K6836" i="58"/>
  <c r="L6836" i="58" s="1"/>
  <c r="N6836" i="58" s="1"/>
  <c r="J6315" i="58"/>
  <c r="K6315" i="58"/>
  <c r="L6315" i="58" s="1"/>
  <c r="K6262" i="58"/>
  <c r="L6262" i="58" s="1"/>
  <c r="N6262" i="58" s="1"/>
  <c r="J6262" i="58"/>
  <c r="J7101" i="58"/>
  <c r="K7101" i="58"/>
  <c r="L7101" i="58" s="1"/>
  <c r="J7231" i="58"/>
  <c r="K7178" i="58"/>
  <c r="L7178" i="58" s="1"/>
  <c r="J7173" i="58"/>
  <c r="K7173" i="58"/>
  <c r="L7173" i="58" s="1"/>
  <c r="J7140" i="58"/>
  <c r="J7111" i="58"/>
  <c r="K7044" i="58"/>
  <c r="L7044" i="58" s="1"/>
  <c r="N7044" i="58" s="1"/>
  <c r="J6957" i="58"/>
  <c r="J6889" i="58"/>
  <c r="K6856" i="58"/>
  <c r="L6856" i="58" s="1"/>
  <c r="K6842" i="58"/>
  <c r="L6842" i="58" s="1"/>
  <c r="N6842" i="58" s="1"/>
  <c r="K6796" i="58"/>
  <c r="L6796" i="58" s="1"/>
  <c r="K6754" i="58"/>
  <c r="L6754" i="58" s="1"/>
  <c r="K6728" i="58"/>
  <c r="L6728" i="58" s="1"/>
  <c r="J6728" i="58"/>
  <c r="K6708" i="58"/>
  <c r="L6708" i="58" s="1"/>
  <c r="N6708" i="58" s="1"/>
  <c r="J6690" i="58"/>
  <c r="J6632" i="58"/>
  <c r="J6462" i="58"/>
  <c r="N6416" i="58"/>
  <c r="J6350" i="58"/>
  <c r="K6350" i="58"/>
  <c r="L6350" i="58" s="1"/>
  <c r="J6273" i="58"/>
  <c r="K6273" i="58"/>
  <c r="L6273" i="58" s="1"/>
  <c r="J6201" i="58"/>
  <c r="K6201" i="58"/>
  <c r="L6201" i="58" s="1"/>
  <c r="N6162" i="58"/>
  <c r="J6074" i="58"/>
  <c r="K6074" i="58"/>
  <c r="L6074" i="58" s="1"/>
  <c r="J6663" i="58"/>
  <c r="K6663" i="58"/>
  <c r="L6663" i="58" s="1"/>
  <c r="K6481" i="58"/>
  <c r="L6481" i="58" s="1"/>
  <c r="J6481" i="58"/>
  <c r="J6229" i="58"/>
  <c r="K6229" i="58"/>
  <c r="L6229" i="58" s="1"/>
  <c r="N6229" i="58" s="1"/>
  <c r="K6145" i="58"/>
  <c r="L6145" i="58" s="1"/>
  <c r="N6145" i="58" s="1"/>
  <c r="J6145" i="58"/>
  <c r="J7067" i="58"/>
  <c r="K7067" i="58"/>
  <c r="L7067" i="58" s="1"/>
  <c r="J6936" i="58"/>
  <c r="K6936" i="58"/>
  <c r="L6936" i="58" s="1"/>
  <c r="J6835" i="58"/>
  <c r="K6835" i="58"/>
  <c r="L6835" i="58" s="1"/>
  <c r="J6789" i="58"/>
  <c r="K6789" i="58"/>
  <c r="L6789" i="58" s="1"/>
  <c r="K6784" i="58"/>
  <c r="L6784" i="58" s="1"/>
  <c r="K6779" i="58"/>
  <c r="L6779" i="58" s="1"/>
  <c r="K6762" i="58"/>
  <c r="L6762" i="58" s="1"/>
  <c r="K6752" i="58"/>
  <c r="L6752" i="58" s="1"/>
  <c r="J6747" i="58"/>
  <c r="K6747" i="58"/>
  <c r="L6747" i="58" s="1"/>
  <c r="K6715" i="58"/>
  <c r="L6715" i="58" s="1"/>
  <c r="J6555" i="58"/>
  <c r="J6467" i="58"/>
  <c r="K6442" i="58"/>
  <c r="L6442" i="58" s="1"/>
  <c r="J6442" i="58"/>
  <c r="J6428" i="58"/>
  <c r="J6307" i="58"/>
  <c r="K6307" i="58"/>
  <c r="L6307" i="58" s="1"/>
  <c r="K6302" i="58"/>
  <c r="L6302" i="58" s="1"/>
  <c r="K6283" i="58"/>
  <c r="L6283" i="58" s="1"/>
  <c r="J6283" i="58"/>
  <c r="N6133" i="58"/>
  <c r="J6044" i="58"/>
  <c r="K6044" i="58"/>
  <c r="L6044" i="58" s="1"/>
  <c r="J6832" i="58"/>
  <c r="K6832" i="58"/>
  <c r="L6832" i="58" s="1"/>
  <c r="N6735" i="58"/>
  <c r="J7207" i="58"/>
  <c r="K7207" i="58"/>
  <c r="L7207" i="58" s="1"/>
  <c r="J7142" i="58"/>
  <c r="K7142" i="58"/>
  <c r="L7142" i="58" s="1"/>
  <c r="N7142" i="58" s="1"/>
  <c r="K7069" i="58"/>
  <c r="L7069" i="58" s="1"/>
  <c r="K7011" i="58"/>
  <c r="L7011" i="58" s="1"/>
  <c r="K6950" i="58"/>
  <c r="L6950" i="58" s="1"/>
  <c r="N6950" i="58" s="1"/>
  <c r="K6931" i="58"/>
  <c r="L6931" i="58" s="1"/>
  <c r="K6823" i="58"/>
  <c r="L6823" i="58" s="1"/>
  <c r="J6530" i="58"/>
  <c r="K6530" i="58"/>
  <c r="L6530" i="58" s="1"/>
  <c r="K6884" i="58"/>
  <c r="L6884" i="58" s="1"/>
  <c r="J6884" i="58"/>
  <c r="K6654" i="58"/>
  <c r="L6654" i="58" s="1"/>
  <c r="N6654" i="58" s="1"/>
  <c r="J6654" i="58"/>
  <c r="N7196" i="58"/>
  <c r="K7175" i="58"/>
  <c r="L7175" i="58" s="1"/>
  <c r="J7175" i="58"/>
  <c r="N7168" i="58"/>
  <c r="K7078" i="58"/>
  <c r="L7078" i="58" s="1"/>
  <c r="J7002" i="58"/>
  <c r="K7002" i="58"/>
  <c r="L7002" i="58" s="1"/>
  <c r="J6959" i="58"/>
  <c r="K6959" i="58"/>
  <c r="L6959" i="58" s="1"/>
  <c r="N6940" i="58"/>
  <c r="J6911" i="58"/>
  <c r="K6911" i="58"/>
  <c r="L6911" i="58" s="1"/>
  <c r="K6897" i="58"/>
  <c r="L6897" i="58" s="1"/>
  <c r="M6897" i="58" s="1"/>
  <c r="N6893" i="58"/>
  <c r="N6880" i="58"/>
  <c r="J6814" i="58"/>
  <c r="K6814" i="58"/>
  <c r="L6814" i="58" s="1"/>
  <c r="N6814" i="58" s="1"/>
  <c r="J6749" i="58"/>
  <c r="K6749" i="58"/>
  <c r="L6749" i="58" s="1"/>
  <c r="J6735" i="58"/>
  <c r="K6725" i="58"/>
  <c r="L6725" i="58" s="1"/>
  <c r="J6725" i="58"/>
  <c r="N6720" i="58"/>
  <c r="N6597" i="58"/>
  <c r="J6565" i="58"/>
  <c r="K6565" i="58"/>
  <c r="L6565" i="58" s="1"/>
  <c r="N6565" i="58" s="1"/>
  <c r="K6447" i="58"/>
  <c r="L6447" i="58" s="1"/>
  <c r="N6447" i="58" s="1"/>
  <c r="J6447" i="58"/>
  <c r="K6309" i="58"/>
  <c r="L6309" i="58" s="1"/>
  <c r="J6309" i="58"/>
  <c r="J6254" i="58"/>
  <c r="N6140" i="58"/>
  <c r="J5649" i="58"/>
  <c r="K5649" i="58"/>
  <c r="L5649" i="58" s="1"/>
  <c r="K6440" i="58"/>
  <c r="L6440" i="58" s="1"/>
  <c r="J6440" i="58"/>
  <c r="J6424" i="58"/>
  <c r="K6424" i="58"/>
  <c r="L6424" i="58" s="1"/>
  <c r="N6424" i="58" s="1"/>
  <c r="J6189" i="58"/>
  <c r="K6189" i="58"/>
  <c r="L6189" i="58" s="1"/>
  <c r="N6189" i="58" s="1"/>
  <c r="N5946" i="58"/>
  <c r="K6804" i="58"/>
  <c r="L6804" i="58" s="1"/>
  <c r="N6804" i="58" s="1"/>
  <c r="J6804" i="58"/>
  <c r="K6727" i="58"/>
  <c r="L6727" i="58" s="1"/>
  <c r="J6600" i="58"/>
  <c r="K6600" i="58"/>
  <c r="L6600" i="58" s="1"/>
  <c r="K6558" i="58"/>
  <c r="L6558" i="58" s="1"/>
  <c r="N6551" i="58"/>
  <c r="J6544" i="58"/>
  <c r="J6495" i="58"/>
  <c r="J6407" i="58"/>
  <c r="K6407" i="58"/>
  <c r="L6407" i="58" s="1"/>
  <c r="N6407" i="58" s="1"/>
  <c r="J6358" i="58"/>
  <c r="K6358" i="58"/>
  <c r="L6358" i="58" s="1"/>
  <c r="K6243" i="58"/>
  <c r="L6243" i="58" s="1"/>
  <c r="N6243" i="58" s="1"/>
  <c r="K6105" i="58"/>
  <c r="L6105" i="58" s="1"/>
  <c r="J6105" i="58"/>
  <c r="K6028" i="58"/>
  <c r="L6028" i="58" s="1"/>
  <c r="J6688" i="58"/>
  <c r="K6688" i="58"/>
  <c r="L6688" i="58" s="1"/>
  <c r="N6688" i="58" s="1"/>
  <c r="N6544" i="58"/>
  <c r="N6495" i="58"/>
  <c r="K6355" i="58"/>
  <c r="L6355" i="58" s="1"/>
  <c r="J6355" i="58"/>
  <c r="J6275" i="58"/>
  <c r="K6275" i="58"/>
  <c r="L6275" i="58" s="1"/>
  <c r="J5982" i="58"/>
  <c r="K5982" i="58"/>
  <c r="L5982" i="58" s="1"/>
  <c r="J5735" i="58"/>
  <c r="K5735" i="58"/>
  <c r="L5735" i="58" s="1"/>
  <c r="N5735" i="58" s="1"/>
  <c r="J6380" i="58"/>
  <c r="K6380" i="58"/>
  <c r="L6380" i="58" s="1"/>
  <c r="N5952" i="58"/>
  <c r="K5885" i="58"/>
  <c r="L5885" i="58" s="1"/>
  <c r="J5885" i="58"/>
  <c r="N5867" i="58"/>
  <c r="J6962" i="58"/>
  <c r="K6958" i="58"/>
  <c r="L6958" i="58" s="1"/>
  <c r="N6958" i="58" s="1"/>
  <c r="J6831" i="58"/>
  <c r="N6753" i="58"/>
  <c r="J6635" i="58"/>
  <c r="J6219" i="58"/>
  <c r="M6171" i="58"/>
  <c r="N6635" i="58"/>
  <c r="K6425" i="58"/>
  <c r="L6425" i="58" s="1"/>
  <c r="J6425" i="58"/>
  <c r="J6389" i="58"/>
  <c r="K6389" i="58"/>
  <c r="L6389" i="58" s="1"/>
  <c r="N6389" i="58" s="1"/>
  <c r="K6131" i="58"/>
  <c r="L6131" i="58" s="1"/>
  <c r="J6131" i="58"/>
  <c r="J6366" i="58"/>
  <c r="K6366" i="58"/>
  <c r="L6366" i="58" s="1"/>
  <c r="K6346" i="58"/>
  <c r="L6346" i="58" s="1"/>
  <c r="J6346" i="58"/>
  <c r="J6234" i="58"/>
  <c r="K6234" i="58"/>
  <c r="L6234" i="58" s="1"/>
  <c r="N6234" i="58" s="1"/>
  <c r="J6093" i="58"/>
  <c r="K6093" i="58"/>
  <c r="L6093" i="58" s="1"/>
  <c r="N5959" i="58"/>
  <c r="N5942" i="58"/>
  <c r="N5974" i="58"/>
  <c r="J5740" i="58"/>
  <c r="K5740" i="58"/>
  <c r="L5740" i="58" s="1"/>
  <c r="J5708" i="58"/>
  <c r="K5708" i="58"/>
  <c r="L5708" i="58" s="1"/>
  <c r="J5635" i="58"/>
  <c r="K5635" i="58"/>
  <c r="L5635" i="58" s="1"/>
  <c r="K6666" i="58"/>
  <c r="L6666" i="58" s="1"/>
  <c r="K6642" i="58"/>
  <c r="L6642" i="58" s="1"/>
  <c r="J6625" i="58"/>
  <c r="K6612" i="58"/>
  <c r="L6612" i="58" s="1"/>
  <c r="K6605" i="58"/>
  <c r="L6605" i="58" s="1"/>
  <c r="N6605" i="58" s="1"/>
  <c r="J6585" i="58"/>
  <c r="N6583" i="58"/>
  <c r="J6578" i="58"/>
  <c r="J6571" i="58"/>
  <c r="J6543" i="58"/>
  <c r="K6543" i="58"/>
  <c r="L6543" i="58" s="1"/>
  <c r="K6536" i="58"/>
  <c r="L6536" i="58" s="1"/>
  <c r="K6522" i="58"/>
  <c r="L6522" i="58" s="1"/>
  <c r="J6494" i="58"/>
  <c r="J6430" i="58"/>
  <c r="K6419" i="58"/>
  <c r="L6419" i="58" s="1"/>
  <c r="K6379" i="58"/>
  <c r="L6379" i="58" s="1"/>
  <c r="J6369" i="58"/>
  <c r="K6365" i="58"/>
  <c r="L6365" i="58" s="1"/>
  <c r="K6363" i="58"/>
  <c r="L6363" i="58" s="1"/>
  <c r="K6347" i="58"/>
  <c r="L6347" i="58" s="1"/>
  <c r="J6335" i="58"/>
  <c r="K6326" i="58"/>
  <c r="L6326" i="58" s="1"/>
  <c r="K6321" i="58"/>
  <c r="L6321" i="58" s="1"/>
  <c r="J6290" i="58"/>
  <c r="K6282" i="58"/>
  <c r="L6282" i="58" s="1"/>
  <c r="K6280" i="58"/>
  <c r="L6280" i="58" s="1"/>
  <c r="K6251" i="58"/>
  <c r="L6251" i="58" s="1"/>
  <c r="K6240" i="58"/>
  <c r="L6240" i="58" s="1"/>
  <c r="N6240" i="58" s="1"/>
  <c r="N6205" i="58"/>
  <c r="J6191" i="58"/>
  <c r="K6191" i="58"/>
  <c r="L6191" i="58" s="1"/>
  <c r="N6161" i="58"/>
  <c r="N6122" i="58"/>
  <c r="K6101" i="58"/>
  <c r="L6101" i="58" s="1"/>
  <c r="K6097" i="58"/>
  <c r="L6097" i="58" s="1"/>
  <c r="N6097" i="58" s="1"/>
  <c r="K6062" i="58"/>
  <c r="L6062" i="58" s="1"/>
  <c r="N6062" i="58" s="1"/>
  <c r="K6050" i="58"/>
  <c r="L6050" i="58" s="1"/>
  <c r="J6050" i="58"/>
  <c r="N5981" i="58"/>
  <c r="K5957" i="58"/>
  <c r="L5957" i="58" s="1"/>
  <c r="J5957" i="58"/>
  <c r="K5904" i="58"/>
  <c r="L5904" i="58" s="1"/>
  <c r="N5904" i="58" s="1"/>
  <c r="J5904" i="58"/>
  <c r="K5899" i="58"/>
  <c r="L5899" i="58" s="1"/>
  <c r="N5812" i="58"/>
  <c r="J5802" i="58"/>
  <c r="K5802" i="58"/>
  <c r="L5802" i="58" s="1"/>
  <c r="J5787" i="58"/>
  <c r="K5787" i="58"/>
  <c r="L5787" i="58" s="1"/>
  <c r="N5787" i="58" s="1"/>
  <c r="K6653" i="58"/>
  <c r="L6653" i="58" s="1"/>
  <c r="N6653" i="58" s="1"/>
  <c r="J6627" i="58"/>
  <c r="N6625" i="58"/>
  <c r="K6616" i="58"/>
  <c r="L6616" i="58" s="1"/>
  <c r="J6580" i="58"/>
  <c r="M6578" i="58"/>
  <c r="J6566" i="58"/>
  <c r="J6527" i="58"/>
  <c r="K6445" i="58"/>
  <c r="L6445" i="58" s="1"/>
  <c r="J6445" i="58"/>
  <c r="J6423" i="58"/>
  <c r="K6403" i="58"/>
  <c r="L6403" i="58" s="1"/>
  <c r="N6403" i="58" s="1"/>
  <c r="K6390" i="58"/>
  <c r="L6390" i="58" s="1"/>
  <c r="N6367" i="58"/>
  <c r="K6303" i="58"/>
  <c r="L6303" i="58" s="1"/>
  <c r="J6299" i="58"/>
  <c r="J6153" i="58"/>
  <c r="N6126" i="58"/>
  <c r="K6069" i="58"/>
  <c r="L6069" i="58" s="1"/>
  <c r="K6052" i="58"/>
  <c r="L6052" i="58" s="1"/>
  <c r="N6052" i="58" s="1"/>
  <c r="J6052" i="58"/>
  <c r="J6020" i="58"/>
  <c r="J5758" i="58"/>
  <c r="K5758" i="58"/>
  <c r="L5758" i="58" s="1"/>
  <c r="J5716" i="58"/>
  <c r="K5716" i="58"/>
  <c r="L5716" i="58" s="1"/>
  <c r="N5716" i="58" s="1"/>
  <c r="J6412" i="58"/>
  <c r="K6412" i="58"/>
  <c r="L6412" i="58" s="1"/>
  <c r="J6392" i="58"/>
  <c r="K6392" i="58"/>
  <c r="L6392" i="58" s="1"/>
  <c r="J6356" i="58"/>
  <c r="K6356" i="58"/>
  <c r="L6356" i="58" s="1"/>
  <c r="N6356" i="58" s="1"/>
  <c r="N6193" i="58"/>
  <c r="K6027" i="58"/>
  <c r="L6027" i="58" s="1"/>
  <c r="J6027" i="58"/>
  <c r="K5926" i="58"/>
  <c r="L5926" i="58" s="1"/>
  <c r="J5921" i="58"/>
  <c r="K5921" i="58"/>
  <c r="L5921" i="58" s="1"/>
  <c r="J5914" i="58"/>
  <c r="K5914" i="58"/>
  <c r="L5914" i="58" s="1"/>
  <c r="J5819" i="58"/>
  <c r="J5724" i="58"/>
  <c r="K5724" i="58"/>
  <c r="L5724" i="58" s="1"/>
  <c r="N5724" i="58" s="1"/>
  <c r="N6305" i="58"/>
  <c r="K6278" i="58"/>
  <c r="L6278" i="58" s="1"/>
  <c r="J6278" i="58"/>
  <c r="K6259" i="58"/>
  <c r="L6259" i="58" s="1"/>
  <c r="N6216" i="58"/>
  <c r="K6202" i="58"/>
  <c r="L6202" i="58" s="1"/>
  <c r="K6022" i="58"/>
  <c r="L6022" i="58" s="1"/>
  <c r="N6022" i="58" s="1"/>
  <c r="N5819" i="58"/>
  <c r="J5804" i="58"/>
  <c r="K5760" i="58"/>
  <c r="L5760" i="58" s="1"/>
  <c r="N5760" i="58" s="1"/>
  <c r="K5690" i="58"/>
  <c r="L5690" i="58" s="1"/>
  <c r="J5690" i="58"/>
  <c r="N6668" i="58"/>
  <c r="J6508" i="58"/>
  <c r="K6508" i="58"/>
  <c r="L6508" i="58" s="1"/>
  <c r="N6508" i="58" s="1"/>
  <c r="N6459" i="58"/>
  <c r="J6344" i="58"/>
  <c r="K6344" i="58"/>
  <c r="L6344" i="58" s="1"/>
  <c r="K6330" i="58"/>
  <c r="L6330" i="58" s="1"/>
  <c r="N6330" i="58" s="1"/>
  <c r="J6330" i="58"/>
  <c r="K6294" i="58"/>
  <c r="L6294" i="58" s="1"/>
  <c r="K6267" i="58"/>
  <c r="L6267" i="58" s="1"/>
  <c r="K6220" i="58"/>
  <c r="L6220" i="58" s="1"/>
  <c r="J6188" i="58"/>
  <c r="K6181" i="58"/>
  <c r="L6181" i="58" s="1"/>
  <c r="N6181" i="58" s="1"/>
  <c r="J6121" i="58"/>
  <c r="K6119" i="58"/>
  <c r="L6119" i="58" s="1"/>
  <c r="N6103" i="58"/>
  <c r="N6018" i="58"/>
  <c r="K5990" i="58"/>
  <c r="L5990" i="58" s="1"/>
  <c r="N5990" i="58" s="1"/>
  <c r="J5933" i="58"/>
  <c r="N5931" i="58"/>
  <c r="K5844" i="58"/>
  <c r="L5844" i="58" s="1"/>
  <c r="J5687" i="58"/>
  <c r="K5687" i="58"/>
  <c r="L5687" i="58" s="1"/>
  <c r="J6269" i="58"/>
  <c r="J6227" i="58"/>
  <c r="J6216" i="58"/>
  <c r="N6176" i="58"/>
  <c r="J5786" i="58"/>
  <c r="K5786" i="58"/>
  <c r="L5786" i="58" s="1"/>
  <c r="K6211" i="58"/>
  <c r="L6211" i="58" s="1"/>
  <c r="J6211" i="58"/>
  <c r="K6174" i="58"/>
  <c r="L6174" i="58" s="1"/>
  <c r="J6174" i="58"/>
  <c r="N6150" i="58"/>
  <c r="J5692" i="58"/>
  <c r="K5692" i="58"/>
  <c r="L5692" i="58" s="1"/>
  <c r="N5667" i="58"/>
  <c r="J6560" i="58"/>
  <c r="K6560" i="58"/>
  <c r="L6560" i="58" s="1"/>
  <c r="J6521" i="58"/>
  <c r="K6521" i="58"/>
  <c r="L6521" i="58" s="1"/>
  <c r="N6521" i="58" s="1"/>
  <c r="J6418" i="58"/>
  <c r="K6418" i="58"/>
  <c r="L6418" i="58" s="1"/>
  <c r="J5697" i="58"/>
  <c r="K5697" i="58"/>
  <c r="L5697" i="58" s="1"/>
  <c r="N5697" i="58" s="1"/>
  <c r="J5823" i="58"/>
  <c r="K5823" i="58"/>
  <c r="L5823" i="58" s="1"/>
  <c r="J5665" i="58"/>
  <c r="K5665" i="58"/>
  <c r="L5665" i="58" s="1"/>
  <c r="M5665" i="58" s="1"/>
  <c r="J5816" i="58"/>
  <c r="K5800" i="58"/>
  <c r="L5800" i="58" s="1"/>
  <c r="J5737" i="58"/>
  <c r="K5737" i="58"/>
  <c r="L5737" i="58" s="1"/>
  <c r="N5737" i="58" s="1"/>
  <c r="N5653" i="58"/>
  <c r="J5954" i="58"/>
  <c r="K5954" i="58"/>
  <c r="L5954" i="58" s="1"/>
  <c r="N5954" i="58" s="1"/>
  <c r="J5851" i="58"/>
  <c r="K5851" i="58"/>
  <c r="L5851" i="58" s="1"/>
  <c r="N5851" i="58" s="1"/>
  <c r="K5726" i="58"/>
  <c r="L5726" i="58" s="1"/>
  <c r="M5726" i="58" s="1"/>
  <c r="K5710" i="58"/>
  <c r="L5710" i="58" s="1"/>
  <c r="N5710" i="58" s="1"/>
  <c r="N5674" i="58"/>
  <c r="N5669" i="58"/>
  <c r="K5664" i="58"/>
  <c r="L5664" i="58" s="1"/>
  <c r="J5637" i="58"/>
  <c r="K5637" i="58"/>
  <c r="L5637" i="58" s="1"/>
  <c r="N5637" i="58" s="1"/>
  <c r="K5749" i="58"/>
  <c r="L5749" i="58" s="1"/>
  <c r="J5749" i="58"/>
  <c r="J6065" i="58"/>
  <c r="N6061" i="58"/>
  <c r="N6054" i="58"/>
  <c r="K6037" i="58"/>
  <c r="L6037" i="58" s="1"/>
  <c r="K5997" i="58"/>
  <c r="L5997" i="58" s="1"/>
  <c r="N5997" i="58" s="1"/>
  <c r="J5949" i="58"/>
  <c r="J5917" i="58"/>
  <c r="K5917" i="58"/>
  <c r="L5917" i="58" s="1"/>
  <c r="N5917" i="58" s="1"/>
  <c r="K5895" i="58"/>
  <c r="L5895" i="58" s="1"/>
  <c r="N5895" i="58" s="1"/>
  <c r="K5845" i="58"/>
  <c r="L5845" i="58" s="1"/>
  <c r="J5845" i="58"/>
  <c r="J5642" i="58"/>
  <c r="K5642" i="58"/>
  <c r="L5642" i="58" s="1"/>
  <c r="J5671" i="58"/>
  <c r="K5671" i="58"/>
  <c r="L5671" i="58" s="1"/>
  <c r="J6492" i="58"/>
  <c r="K6461" i="58"/>
  <c r="L6461" i="58" s="1"/>
  <c r="N6461" i="58" s="1"/>
  <c r="K6441" i="58"/>
  <c r="L6441" i="58" s="1"/>
  <c r="K6439" i="58"/>
  <c r="L6439" i="58" s="1"/>
  <c r="K6398" i="58"/>
  <c r="L6398" i="58" s="1"/>
  <c r="K6342" i="58"/>
  <c r="L6342" i="58" s="1"/>
  <c r="K6322" i="58"/>
  <c r="L6322" i="58" s="1"/>
  <c r="K6177" i="58"/>
  <c r="L6177" i="58" s="1"/>
  <c r="N6177" i="58" s="1"/>
  <c r="J6173" i="58"/>
  <c r="J6114" i="58"/>
  <c r="K6098" i="58"/>
  <c r="L6098" i="58" s="1"/>
  <c r="N6098" i="58" s="1"/>
  <c r="J6078" i="58"/>
  <c r="K6056" i="58"/>
  <c r="L6056" i="58" s="1"/>
  <c r="J6049" i="58"/>
  <c r="K6002" i="58"/>
  <c r="L6002" i="58" s="1"/>
  <c r="J6002" i="58"/>
  <c r="K5980" i="58"/>
  <c r="L5980" i="58" s="1"/>
  <c r="N5980" i="58" s="1"/>
  <c r="J5955" i="58"/>
  <c r="J5938" i="58"/>
  <c r="K5847" i="58"/>
  <c r="L5847" i="58" s="1"/>
  <c r="N5847" i="58" s="1"/>
  <c r="J5831" i="58"/>
  <c r="J5794" i="58"/>
  <c r="J5781" i="58"/>
  <c r="K5756" i="58"/>
  <c r="L5756" i="58" s="1"/>
  <c r="N5756" i="58" s="1"/>
  <c r="N5639" i="58"/>
  <c r="K6410" i="58"/>
  <c r="L6410" i="58" s="1"/>
  <c r="K6408" i="58"/>
  <c r="L6408" i="58" s="1"/>
  <c r="K6396" i="58"/>
  <c r="L6396" i="58" s="1"/>
  <c r="N6318" i="58"/>
  <c r="J6223" i="58"/>
  <c r="K6223" i="58"/>
  <c r="L6223" i="58" s="1"/>
  <c r="J5966" i="58"/>
  <c r="K5966" i="58"/>
  <c r="L5966" i="58" s="1"/>
  <c r="N6402" i="58"/>
  <c r="N6388" i="58"/>
  <c r="N6114" i="58"/>
  <c r="N6078" i="58"/>
  <c r="J5875" i="58"/>
  <c r="K5875" i="58"/>
  <c r="L5875" i="58" s="1"/>
  <c r="J5702" i="58"/>
  <c r="K5702" i="58"/>
  <c r="L5702" i="58" s="1"/>
  <c r="J5680" i="58"/>
  <c r="K5680" i="58"/>
  <c r="L5680" i="58" s="1"/>
  <c r="J5663" i="58"/>
  <c r="K5663" i="58"/>
  <c r="L5663" i="58" s="1"/>
  <c r="N5660" i="58"/>
  <c r="N5646" i="58"/>
  <c r="N5632" i="58"/>
  <c r="J5970" i="58"/>
  <c r="N5964" i="58"/>
  <c r="J5956" i="58"/>
  <c r="N5888" i="58"/>
  <c r="N5866" i="58"/>
  <c r="J5848" i="58"/>
  <c r="J5834" i="58"/>
  <c r="N5795" i="58"/>
  <c r="K5720" i="58"/>
  <c r="L5720" i="58" s="1"/>
  <c r="N5720" i="58" s="1"/>
  <c r="K5643" i="58"/>
  <c r="L5643" i="58" s="1"/>
  <c r="J5771" i="58"/>
  <c r="K5769" i="58"/>
  <c r="L5769" i="58" s="1"/>
  <c r="K5684" i="58"/>
  <c r="L5684" i="58" s="1"/>
  <c r="K5659" i="58"/>
  <c r="L5659" i="58" s="1"/>
  <c r="N6158" i="58"/>
  <c r="N6152" i="58"/>
  <c r="J5950" i="58"/>
  <c r="K5948" i="58"/>
  <c r="L5948" i="58" s="1"/>
  <c r="N5927" i="58"/>
  <c r="J5892" i="58"/>
  <c r="N5850" i="58"/>
  <c r="K5811" i="58"/>
  <c r="L5811" i="58" s="1"/>
  <c r="J5807" i="58"/>
  <c r="K5785" i="58"/>
  <c r="L5785" i="58" s="1"/>
  <c r="N5785" i="58" s="1"/>
  <c r="K5766" i="58"/>
  <c r="L5766" i="58" s="1"/>
  <c r="N5766" i="58" s="1"/>
  <c r="K5761" i="58"/>
  <c r="L5761" i="58" s="1"/>
  <c r="J5750" i="58"/>
  <c r="K5736" i="58"/>
  <c r="L5736" i="58" s="1"/>
  <c r="M5736" i="58" s="1"/>
  <c r="K5714" i="58"/>
  <c r="L5714" i="58" s="1"/>
  <c r="M5714" i="58" s="1"/>
  <c r="K5631" i="58"/>
  <c r="L5631" i="58" s="1"/>
  <c r="K5898" i="58"/>
  <c r="L5898" i="58" s="1"/>
  <c r="K5896" i="58"/>
  <c r="L5896" i="58" s="1"/>
  <c r="K5780" i="58"/>
  <c r="L5780" i="58" s="1"/>
  <c r="N5780" i="58" s="1"/>
  <c r="K5745" i="58"/>
  <c r="L5745" i="58" s="1"/>
  <c r="N5745" i="58" s="1"/>
  <c r="N5950" i="58"/>
  <c r="N7243" i="58"/>
  <c r="N7235" i="58"/>
  <c r="N7090" i="58"/>
  <c r="N7049" i="58"/>
  <c r="N7231" i="58"/>
  <c r="N7086" i="58"/>
  <c r="N7229" i="58"/>
  <c r="N7139" i="58"/>
  <c r="N7111" i="58"/>
  <c r="N7240" i="58"/>
  <c r="N7184" i="58"/>
  <c r="N7132" i="58"/>
  <c r="N7107" i="58"/>
  <c r="N7177" i="58"/>
  <c r="N7259" i="58"/>
  <c r="N7198" i="58"/>
  <c r="N7238" i="58"/>
  <c r="N7226" i="58"/>
  <c r="N7128" i="58"/>
  <c r="N7260" i="58"/>
  <c r="N7200" i="58"/>
  <c r="N6808" i="58"/>
  <c r="N7254" i="58"/>
  <c r="N7228" i="58"/>
  <c r="N7181" i="58"/>
  <c r="N6962" i="58"/>
  <c r="N6831" i="58"/>
  <c r="N7065" i="58"/>
  <c r="N7256" i="58"/>
  <c r="N7125" i="58"/>
  <c r="N7017" i="58"/>
  <c r="N7007" i="58"/>
  <c r="N6892" i="58"/>
  <c r="N6888" i="58"/>
  <c r="N6877" i="58"/>
  <c r="N6871" i="58"/>
  <c r="N6869" i="58"/>
  <c r="J6828" i="58"/>
  <c r="K6828" i="58"/>
  <c r="L6828" i="58" s="1"/>
  <c r="J7105" i="58"/>
  <c r="K7105" i="58"/>
  <c r="L7105" i="58" s="1"/>
  <c r="J6923" i="58"/>
  <c r="K6923" i="58"/>
  <c r="L6923" i="58" s="1"/>
  <c r="J6617" i="58"/>
  <c r="K6617" i="58"/>
  <c r="L6617" i="58" s="1"/>
  <c r="J6570" i="58"/>
  <c r="K6570" i="58"/>
  <c r="L6570" i="58" s="1"/>
  <c r="J7112" i="58"/>
  <c r="K7112" i="58"/>
  <c r="L7112" i="58" s="1"/>
  <c r="N6634" i="58"/>
  <c r="J7119" i="58"/>
  <c r="K7119" i="58"/>
  <c r="L7119" i="58" s="1"/>
  <c r="N6594" i="58"/>
  <c r="N6462" i="58"/>
  <c r="J7029" i="58"/>
  <c r="K7029" i="58"/>
  <c r="L7029" i="58" s="1"/>
  <c r="N6968" i="58"/>
  <c r="M6742" i="58"/>
  <c r="N6742" i="58"/>
  <c r="K7255" i="58"/>
  <c r="L7255" i="58" s="1"/>
  <c r="J7161" i="58"/>
  <c r="K7092" i="58"/>
  <c r="L7092" i="58" s="1"/>
  <c r="J7077" i="58"/>
  <c r="K7077" i="58"/>
  <c r="L7077" i="58" s="1"/>
  <c r="K6953" i="58"/>
  <c r="L6953" i="58" s="1"/>
  <c r="J6938" i="58"/>
  <c r="J6932" i="58"/>
  <c r="K6932" i="58"/>
  <c r="L6932" i="58" s="1"/>
  <c r="N6903" i="58"/>
  <c r="N6899" i="58"/>
  <c r="J6820" i="58"/>
  <c r="K6820" i="58"/>
  <c r="L6820" i="58" s="1"/>
  <c r="K6764" i="58"/>
  <c r="L6764" i="58" s="1"/>
  <c r="J6764" i="58"/>
  <c r="N6935" i="58"/>
  <c r="J6833" i="58"/>
  <c r="K6833" i="58"/>
  <c r="L6833" i="58" s="1"/>
  <c r="N6909" i="58"/>
  <c r="N6690" i="58"/>
  <c r="J5908" i="58"/>
  <c r="K5908" i="58"/>
  <c r="L5908" i="58" s="1"/>
  <c r="N6692" i="58"/>
  <c r="K7249" i="58"/>
  <c r="L7249" i="58" s="1"/>
  <c r="K7186" i="58"/>
  <c r="L7186" i="58" s="1"/>
  <c r="K7166" i="58"/>
  <c r="L7166" i="58" s="1"/>
  <c r="K7052" i="58"/>
  <c r="L7052" i="58" s="1"/>
  <c r="J7048" i="58"/>
  <c r="K7048" i="58"/>
  <c r="L7048" i="58" s="1"/>
  <c r="K7001" i="58"/>
  <c r="L7001" i="58" s="1"/>
  <c r="K6986" i="58"/>
  <c r="L6986" i="58" s="1"/>
  <c r="N6938" i="58"/>
  <c r="K6886" i="58"/>
  <c r="L6886" i="58" s="1"/>
  <c r="J6886" i="58"/>
  <c r="K6900" i="58"/>
  <c r="L6900" i="58" s="1"/>
  <c r="J6900" i="58"/>
  <c r="N6855" i="58"/>
  <c r="J6577" i="58"/>
  <c r="K6577" i="58"/>
  <c r="L6577" i="58" s="1"/>
  <c r="N7221" i="58"/>
  <c r="J7070" i="58"/>
  <c r="K7070" i="58"/>
  <c r="L7070" i="58" s="1"/>
  <c r="N7045" i="58"/>
  <c r="N6998" i="58"/>
  <c r="J6917" i="58"/>
  <c r="K6917" i="58"/>
  <c r="L6917" i="58" s="1"/>
  <c r="J6771" i="58"/>
  <c r="K6771" i="58"/>
  <c r="L6771" i="58" s="1"/>
  <c r="J6734" i="58"/>
  <c r="K6734" i="58"/>
  <c r="L6734" i="58" s="1"/>
  <c r="N6944" i="58"/>
  <c r="J6786" i="58"/>
  <c r="K6786" i="58"/>
  <c r="L6786" i="58" s="1"/>
  <c r="J6629" i="58"/>
  <c r="K6629" i="58"/>
  <c r="L6629" i="58" s="1"/>
  <c r="K6590" i="58"/>
  <c r="L6590" i="58" s="1"/>
  <c r="J6590" i="58"/>
  <c r="N6092" i="58"/>
  <c r="N5947" i="58"/>
  <c r="N6812" i="58"/>
  <c r="N6788" i="58"/>
  <c r="K7219" i="58"/>
  <c r="L7219" i="58" s="1"/>
  <c r="N7253" i="58"/>
  <c r="K7246" i="58"/>
  <c r="L7246" i="58" s="1"/>
  <c r="K7194" i="58"/>
  <c r="L7194" i="58" s="1"/>
  <c r="N7189" i="58"/>
  <c r="J7154" i="58"/>
  <c r="K7149" i="58"/>
  <c r="L7149" i="58" s="1"/>
  <c r="K7106" i="58"/>
  <c r="L7106" i="58" s="1"/>
  <c r="N7075" i="58"/>
  <c r="K6995" i="58"/>
  <c r="L6995" i="58" s="1"/>
  <c r="J6947" i="58"/>
  <c r="N6916" i="58"/>
  <c r="J6914" i="58"/>
  <c r="K6914" i="58"/>
  <c r="L6914" i="58" s="1"/>
  <c r="K6805" i="58"/>
  <c r="L6805" i="58" s="1"/>
  <c r="N6795" i="58"/>
  <c r="K6602" i="58"/>
  <c r="L6602" i="58" s="1"/>
  <c r="N6532" i="58"/>
  <c r="J6519" i="58"/>
  <c r="K6519" i="58"/>
  <c r="L6519" i="58" s="1"/>
  <c r="K7205" i="58"/>
  <c r="L7205" i="58" s="1"/>
  <c r="J7189" i="58"/>
  <c r="K7176" i="58"/>
  <c r="L7176" i="58" s="1"/>
  <c r="K7159" i="58"/>
  <c r="L7159" i="58" s="1"/>
  <c r="N7147" i="58"/>
  <c r="K7137" i="58"/>
  <c r="L7137" i="58" s="1"/>
  <c r="K7127" i="58"/>
  <c r="L7127" i="58" s="1"/>
  <c r="K7113" i="58"/>
  <c r="L7113" i="58" s="1"/>
  <c r="K7095" i="58"/>
  <c r="L7095" i="58" s="1"/>
  <c r="K7042" i="58"/>
  <c r="L7042" i="58" s="1"/>
  <c r="K6977" i="58"/>
  <c r="L6977" i="58" s="1"/>
  <c r="N6947" i="58"/>
  <c r="K6926" i="58"/>
  <c r="L6926" i="58" s="1"/>
  <c r="J6926" i="58"/>
  <c r="J6920" i="58"/>
  <c r="N6850" i="58"/>
  <c r="J6793" i="58"/>
  <c r="K6793" i="58"/>
  <c r="L6793" i="58" s="1"/>
  <c r="K6791" i="58"/>
  <c r="L6791" i="58" s="1"/>
  <c r="J6700" i="58"/>
  <c r="K6673" i="58"/>
  <c r="L6673" i="58" s="1"/>
  <c r="J7147" i="58"/>
  <c r="K7120" i="58"/>
  <c r="L7120" i="58" s="1"/>
  <c r="J7084" i="58"/>
  <c r="K7084" i="58"/>
  <c r="L7084" i="58" s="1"/>
  <c r="N6920" i="58"/>
  <c r="N6846" i="58"/>
  <c r="N6838" i="58"/>
  <c r="N6827" i="58"/>
  <c r="N6780" i="58"/>
  <c r="N6700" i="58"/>
  <c r="K6698" i="58"/>
  <c r="L6698" i="58" s="1"/>
  <c r="J6698" i="58"/>
  <c r="J7063" i="58"/>
  <c r="K7063" i="58"/>
  <c r="L7063" i="58" s="1"/>
  <c r="N6971" i="58"/>
  <c r="N6956" i="58"/>
  <c r="K6864" i="58"/>
  <c r="L6864" i="58" s="1"/>
  <c r="J6864" i="58"/>
  <c r="N6819" i="58"/>
  <c r="J6778" i="58"/>
  <c r="K6778" i="58"/>
  <c r="L6778" i="58" s="1"/>
  <c r="J6684" i="58"/>
  <c r="K6684" i="58"/>
  <c r="L6684" i="58" s="1"/>
  <c r="M6580" i="58"/>
  <c r="N6580" i="58"/>
  <c r="N6555" i="58"/>
  <c r="J7234" i="58"/>
  <c r="K7234" i="58"/>
  <c r="L7234" i="58" s="1"/>
  <c r="K7250" i="58"/>
  <c r="L7250" i="58" s="1"/>
  <c r="K7135" i="58"/>
  <c r="L7135" i="58" s="1"/>
  <c r="K7093" i="58"/>
  <c r="L7093" i="58" s="1"/>
  <c r="N7082" i="58"/>
  <c r="N7026" i="58"/>
  <c r="K7020" i="58"/>
  <c r="L7020" i="58" s="1"/>
  <c r="J7010" i="58"/>
  <c r="K7010" i="58"/>
  <c r="L7010" i="58" s="1"/>
  <c r="K6980" i="58"/>
  <c r="L6980" i="58" s="1"/>
  <c r="K6965" i="58"/>
  <c r="L6965" i="58" s="1"/>
  <c r="N6889" i="58"/>
  <c r="K6878" i="58"/>
  <c r="L6878" i="58" s="1"/>
  <c r="K6782" i="58"/>
  <c r="L6782" i="58" s="1"/>
  <c r="N6767" i="58"/>
  <c r="J6615" i="58"/>
  <c r="K6615" i="58"/>
  <c r="L6615" i="58" s="1"/>
  <c r="N6566" i="58"/>
  <c r="K7247" i="58"/>
  <c r="L7247" i="58" s="1"/>
  <c r="K7244" i="58"/>
  <c r="L7244" i="58" s="1"/>
  <c r="N7215" i="58"/>
  <c r="J7203" i="58"/>
  <c r="K7187" i="58"/>
  <c r="L7187" i="58" s="1"/>
  <c r="N7182" i="58"/>
  <c r="K7172" i="58"/>
  <c r="L7172" i="58" s="1"/>
  <c r="K7162" i="58"/>
  <c r="L7162" i="58" s="1"/>
  <c r="K7145" i="58"/>
  <c r="L7145" i="58" s="1"/>
  <c r="N7133" i="58"/>
  <c r="K7123" i="58"/>
  <c r="L7123" i="58" s="1"/>
  <c r="K7100" i="58"/>
  <c r="L7100" i="58" s="1"/>
  <c r="J7091" i="58"/>
  <c r="K7091" i="58"/>
  <c r="L7091" i="58" s="1"/>
  <c r="J7032" i="58"/>
  <c r="K7032" i="58"/>
  <c r="L7032" i="58" s="1"/>
  <c r="K7004" i="58"/>
  <c r="L7004" i="58" s="1"/>
  <c r="N6921" i="58"/>
  <c r="N6913" i="58"/>
  <c r="K6906" i="58"/>
  <c r="L6906" i="58" s="1"/>
  <c r="N6902" i="58"/>
  <c r="M6898" i="58"/>
  <c r="N6891" i="58"/>
  <c r="K6872" i="58"/>
  <c r="L6872" i="58" s="1"/>
  <c r="J6872" i="58"/>
  <c r="K6769" i="58"/>
  <c r="L6769" i="58" s="1"/>
  <c r="K6751" i="58"/>
  <c r="L6751" i="58" s="1"/>
  <c r="K6712" i="58"/>
  <c r="L6712" i="58" s="1"/>
  <c r="N6695" i="58"/>
  <c r="N7068" i="58"/>
  <c r="K7241" i="58"/>
  <c r="L7241" i="58" s="1"/>
  <c r="J7182" i="58"/>
  <c r="J7133" i="58"/>
  <c r="J7098" i="58"/>
  <c r="K7098" i="58"/>
  <c r="L7098" i="58" s="1"/>
  <c r="J6935" i="58"/>
  <c r="K6810" i="58"/>
  <c r="L6810" i="58" s="1"/>
  <c r="N6557" i="58"/>
  <c r="N6657" i="58"/>
  <c r="K6604" i="58"/>
  <c r="L6604" i="58" s="1"/>
  <c r="J6604" i="58"/>
  <c r="N6587" i="58"/>
  <c r="K6411" i="58"/>
  <c r="L6411" i="58" s="1"/>
  <c r="J6411" i="58"/>
  <c r="N6975" i="58"/>
  <c r="N6785" i="58"/>
  <c r="N6783" i="58"/>
  <c r="J6774" i="58"/>
  <c r="K6774" i="58"/>
  <c r="L6774" i="58" s="1"/>
  <c r="K6679" i="58"/>
  <c r="L6679" i="58" s="1"/>
  <c r="J6679" i="58"/>
  <c r="J6675" i="58"/>
  <c r="K6675" i="58"/>
  <c r="L6675" i="58" s="1"/>
  <c r="N6423" i="58"/>
  <c r="K7227" i="58"/>
  <c r="L7227" i="58" s="1"/>
  <c r="K7220" i="58"/>
  <c r="L7220" i="58" s="1"/>
  <c r="K7056" i="58"/>
  <c r="L7056" i="58" s="1"/>
  <c r="K7034" i="58"/>
  <c r="L7034" i="58" s="1"/>
  <c r="K7018" i="58"/>
  <c r="L7018" i="58" s="1"/>
  <c r="K7015" i="58"/>
  <c r="L7015" i="58" s="1"/>
  <c r="K6996" i="58"/>
  <c r="L6996" i="58" s="1"/>
  <c r="K6993" i="58"/>
  <c r="L6993" i="58" s="1"/>
  <c r="K6987" i="58"/>
  <c r="L6987" i="58" s="1"/>
  <c r="K6984" i="58"/>
  <c r="L6984" i="58" s="1"/>
  <c r="K6969" i="58"/>
  <c r="L6969" i="58" s="1"/>
  <c r="N6943" i="58"/>
  <c r="K6868" i="58"/>
  <c r="L6868" i="58" s="1"/>
  <c r="K6824" i="58"/>
  <c r="L6824" i="58" s="1"/>
  <c r="K6811" i="58"/>
  <c r="L6811" i="58" s="1"/>
  <c r="N6809" i="58"/>
  <c r="N6792" i="58"/>
  <c r="N6768" i="58"/>
  <c r="N6731" i="58"/>
  <c r="J6655" i="58"/>
  <c r="K6655" i="58"/>
  <c r="L6655" i="58" s="1"/>
  <c r="N6639" i="58"/>
  <c r="N6542" i="58"/>
  <c r="N6501" i="58"/>
  <c r="N6494" i="58"/>
  <c r="N7057" i="58"/>
  <c r="K7053" i="58"/>
  <c r="L7053" i="58" s="1"/>
  <c r="K7050" i="58"/>
  <c r="L7050" i="58" s="1"/>
  <c r="K7031" i="58"/>
  <c r="L7031" i="58" s="1"/>
  <c r="K7012" i="58"/>
  <c r="L7012" i="58" s="1"/>
  <c r="K6990" i="58"/>
  <c r="L6990" i="58" s="1"/>
  <c r="N6973" i="58"/>
  <c r="N6964" i="58"/>
  <c r="K6837" i="58"/>
  <c r="L6837" i="58" s="1"/>
  <c r="J6819" i="58"/>
  <c r="J6783" i="58"/>
  <c r="N6711" i="58"/>
  <c r="N6699" i="58"/>
  <c r="N6689" i="58"/>
  <c r="K6649" i="58"/>
  <c r="L6649" i="58" s="1"/>
  <c r="J6649" i="58"/>
  <c r="J6645" i="58"/>
  <c r="K6645" i="58"/>
  <c r="L6645" i="58" s="1"/>
  <c r="N6578" i="58"/>
  <c r="N6567" i="58"/>
  <c r="K7009" i="58"/>
  <c r="L7009" i="58" s="1"/>
  <c r="K6925" i="58"/>
  <c r="L6925" i="58" s="1"/>
  <c r="J6781" i="58"/>
  <c r="K6781" i="58"/>
  <c r="L6781" i="58" s="1"/>
  <c r="K6709" i="58"/>
  <c r="L6709" i="58" s="1"/>
  <c r="J6709" i="58"/>
  <c r="J6697" i="58"/>
  <c r="K6697" i="58"/>
  <c r="L6697" i="58" s="1"/>
  <c r="N6626" i="58"/>
  <c r="K6563" i="58"/>
  <c r="L6563" i="58" s="1"/>
  <c r="J6563" i="58"/>
  <c r="J6524" i="58"/>
  <c r="K6524" i="58"/>
  <c r="L6524" i="58" s="1"/>
  <c r="K6496" i="58"/>
  <c r="L6496" i="58" s="1"/>
  <c r="J6496" i="58"/>
  <c r="K6858" i="58"/>
  <c r="L6858" i="58" s="1"/>
  <c r="J6723" i="58"/>
  <c r="K6723" i="58"/>
  <c r="L6723" i="58" s="1"/>
  <c r="K6717" i="58"/>
  <c r="L6717" i="58" s="1"/>
  <c r="N6703" i="58"/>
  <c r="J6595" i="58"/>
  <c r="K6595" i="58"/>
  <c r="L6595" i="58" s="1"/>
  <c r="K6573" i="58"/>
  <c r="L6573" i="58" s="1"/>
  <c r="K6230" i="58"/>
  <c r="L6230" i="58" s="1"/>
  <c r="J6230" i="58"/>
  <c r="N6982" i="58"/>
  <c r="K6967" i="58"/>
  <c r="L6967" i="58" s="1"/>
  <c r="J6961" i="58"/>
  <c r="J6905" i="58"/>
  <c r="J6891" i="58"/>
  <c r="J6877" i="58"/>
  <c r="J6797" i="58"/>
  <c r="K6797" i="58"/>
  <c r="L6797" i="58" s="1"/>
  <c r="N6746" i="58"/>
  <c r="J6701" i="58"/>
  <c r="K6701" i="58"/>
  <c r="L6701" i="58" s="1"/>
  <c r="J6678" i="58"/>
  <c r="K6678" i="58"/>
  <c r="L6678" i="58" s="1"/>
  <c r="J6597" i="58"/>
  <c r="N6588" i="58"/>
  <c r="K7064" i="58"/>
  <c r="L7064" i="58" s="1"/>
  <c r="K7054" i="58"/>
  <c r="L7054" i="58" s="1"/>
  <c r="K7035" i="58"/>
  <c r="L7035" i="58" s="1"/>
  <c r="K7013" i="58"/>
  <c r="L7013" i="58" s="1"/>
  <c r="K6997" i="58"/>
  <c r="L6997" i="58" s="1"/>
  <c r="K6994" i="58"/>
  <c r="L6994" i="58" s="1"/>
  <c r="K6991" i="58"/>
  <c r="L6991" i="58" s="1"/>
  <c r="K6976" i="58"/>
  <c r="L6976" i="58" s="1"/>
  <c r="K6861" i="58"/>
  <c r="L6861" i="58" s="1"/>
  <c r="K6843" i="58"/>
  <c r="L6843" i="58" s="1"/>
  <c r="K6830" i="58"/>
  <c r="L6830" i="58" s="1"/>
  <c r="J6807" i="58"/>
  <c r="K6807" i="58"/>
  <c r="L6807" i="58" s="1"/>
  <c r="J6662" i="58"/>
  <c r="K6662" i="58"/>
  <c r="L6662" i="58" s="1"/>
  <c r="N6545" i="58"/>
  <c r="N6509" i="58"/>
  <c r="J6498" i="58"/>
  <c r="K6498" i="58"/>
  <c r="L6498" i="58" s="1"/>
  <c r="K6469" i="58"/>
  <c r="L6469" i="58" s="1"/>
  <c r="N6368" i="58"/>
  <c r="K7051" i="58"/>
  <c r="L7051" i="58" s="1"/>
  <c r="J6838" i="58"/>
  <c r="J6812" i="58"/>
  <c r="K6736" i="58"/>
  <c r="L6736" i="58" s="1"/>
  <c r="N6710" i="58"/>
  <c r="J6660" i="58"/>
  <c r="K6660" i="58"/>
  <c r="L6660" i="58" s="1"/>
  <c r="J6526" i="58"/>
  <c r="K6526" i="58"/>
  <c r="L6526" i="58" s="1"/>
  <c r="N6467" i="58"/>
  <c r="J6364" i="58"/>
  <c r="K6364" i="58"/>
  <c r="L6364" i="58" s="1"/>
  <c r="J6652" i="58"/>
  <c r="K6652" i="58"/>
  <c r="L6652" i="58" s="1"/>
  <c r="J6609" i="58"/>
  <c r="K6609" i="58"/>
  <c r="L6609" i="58" s="1"/>
  <c r="J6575" i="58"/>
  <c r="K6575" i="58"/>
  <c r="L6575" i="58" s="1"/>
  <c r="J6547" i="58"/>
  <c r="K6547" i="58"/>
  <c r="L6547" i="58" s="1"/>
  <c r="K6513" i="58"/>
  <c r="L6513" i="58" s="1"/>
  <c r="J6513" i="58"/>
  <c r="N6471" i="58"/>
  <c r="N6299" i="58"/>
  <c r="N6047" i="58"/>
  <c r="N5975" i="58"/>
  <c r="M6583" i="58"/>
  <c r="J6415" i="58"/>
  <c r="K6415" i="58"/>
  <c r="L6415" i="58" s="1"/>
  <c r="K6562" i="58"/>
  <c r="L6562" i="58" s="1"/>
  <c r="J6562" i="58"/>
  <c r="K6541" i="58"/>
  <c r="L6541" i="58" s="1"/>
  <c r="J6541" i="58"/>
  <c r="N6448" i="58"/>
  <c r="J6746" i="58"/>
  <c r="K6732" i="58"/>
  <c r="L6732" i="58" s="1"/>
  <c r="K6721" i="58"/>
  <c r="L6721" i="58" s="1"/>
  <c r="K6704" i="58"/>
  <c r="L6704" i="58" s="1"/>
  <c r="K6685" i="58"/>
  <c r="L6685" i="58" s="1"/>
  <c r="K6674" i="58"/>
  <c r="L6674" i="58" s="1"/>
  <c r="K6643" i="58"/>
  <c r="L6643" i="58" s="1"/>
  <c r="K6623" i="58"/>
  <c r="L6623" i="58" s="1"/>
  <c r="J6613" i="58"/>
  <c r="K6598" i="58"/>
  <c r="L6598" i="58" s="1"/>
  <c r="K6581" i="58"/>
  <c r="L6581" i="58" s="1"/>
  <c r="N6579" i="58"/>
  <c r="K6574" i="58"/>
  <c r="L6574" i="58" s="1"/>
  <c r="K6504" i="58"/>
  <c r="L6504" i="58" s="1"/>
  <c r="J6373" i="58"/>
  <c r="K6373" i="58"/>
  <c r="L6373" i="58" s="1"/>
  <c r="N6308" i="58"/>
  <c r="J6249" i="58"/>
  <c r="K6249" i="58"/>
  <c r="L6249" i="58" s="1"/>
  <c r="K6696" i="58"/>
  <c r="L6696" i="58" s="1"/>
  <c r="J6618" i="58"/>
  <c r="J6603" i="58"/>
  <c r="K6603" i="58"/>
  <c r="L6603" i="58" s="1"/>
  <c r="K6556" i="58"/>
  <c r="L6556" i="58" s="1"/>
  <c r="J6506" i="58"/>
  <c r="N6489" i="58"/>
  <c r="J6485" i="58"/>
  <c r="K6464" i="58"/>
  <c r="L6464" i="58" s="1"/>
  <c r="J6464" i="58"/>
  <c r="N6420" i="58"/>
  <c r="K6137" i="58"/>
  <c r="L6137" i="58" s="1"/>
  <c r="N6485" i="58"/>
  <c r="N6316" i="58"/>
  <c r="K6800" i="58"/>
  <c r="L6800" i="58" s="1"/>
  <c r="K6759" i="58"/>
  <c r="L6759" i="58" s="1"/>
  <c r="K6750" i="58"/>
  <c r="L6750" i="58" s="1"/>
  <c r="K6741" i="58"/>
  <c r="L6741" i="58" s="1"/>
  <c r="K6738" i="58"/>
  <c r="L6738" i="58" s="1"/>
  <c r="K6730" i="58"/>
  <c r="L6730" i="58" s="1"/>
  <c r="K6719" i="58"/>
  <c r="L6719" i="58" s="1"/>
  <c r="K6716" i="58"/>
  <c r="L6716" i="58" s="1"/>
  <c r="K6713" i="58"/>
  <c r="L6713" i="58" s="1"/>
  <c r="K6702" i="58"/>
  <c r="L6702" i="58" s="1"/>
  <c r="K6683" i="58"/>
  <c r="L6683" i="58" s="1"/>
  <c r="K6667" i="58"/>
  <c r="L6667" i="58" s="1"/>
  <c r="K6659" i="58"/>
  <c r="L6659" i="58" s="1"/>
  <c r="K6636" i="58"/>
  <c r="L6636" i="58" s="1"/>
  <c r="J6611" i="58"/>
  <c r="K6606" i="58"/>
  <c r="L6606" i="58" s="1"/>
  <c r="K6591" i="58"/>
  <c r="L6591" i="58" s="1"/>
  <c r="J6149" i="58"/>
  <c r="K6149" i="58"/>
  <c r="L6149" i="58" s="1"/>
  <c r="K6744" i="58"/>
  <c r="L6744" i="58" s="1"/>
  <c r="K6694" i="58"/>
  <c r="L6694" i="58" s="1"/>
  <c r="J6478" i="58"/>
  <c r="J6455" i="58"/>
  <c r="N6190" i="58"/>
  <c r="J6641" i="58"/>
  <c r="K6641" i="58"/>
  <c r="L6641" i="58" s="1"/>
  <c r="J6631" i="58"/>
  <c r="K6631" i="58"/>
  <c r="L6631" i="58" s="1"/>
  <c r="J6531" i="58"/>
  <c r="K6531" i="58"/>
  <c r="L6531" i="58" s="1"/>
  <c r="N6478" i="58"/>
  <c r="N6455" i="58"/>
  <c r="N6426" i="58"/>
  <c r="J6589" i="58"/>
  <c r="K6589" i="58"/>
  <c r="L6589" i="58" s="1"/>
  <c r="J6561" i="58"/>
  <c r="K6561" i="58"/>
  <c r="L6561" i="58" s="1"/>
  <c r="J6540" i="58"/>
  <c r="K6540" i="58"/>
  <c r="L6540" i="58" s="1"/>
  <c r="N6480" i="58"/>
  <c r="N6378" i="58"/>
  <c r="K6198" i="58"/>
  <c r="L6198" i="58" s="1"/>
  <c r="J6198" i="58"/>
  <c r="N6527" i="58"/>
  <c r="N6499" i="58"/>
  <c r="N6492" i="58"/>
  <c r="K6436" i="58"/>
  <c r="L6436" i="58" s="1"/>
  <c r="N6430" i="58"/>
  <c r="N6399" i="58"/>
  <c r="K6352" i="58"/>
  <c r="L6352" i="58" s="1"/>
  <c r="J6340" i="58"/>
  <c r="J6336" i="58"/>
  <c r="K6320" i="58"/>
  <c r="L6320" i="58" s="1"/>
  <c r="J6320" i="58"/>
  <c r="K6306" i="58"/>
  <c r="L6306" i="58" s="1"/>
  <c r="J6306" i="58"/>
  <c r="N6290" i="58"/>
  <c r="J6263" i="58"/>
  <c r="K6263" i="58"/>
  <c r="L6263" i="58" s="1"/>
  <c r="N6232" i="58"/>
  <c r="K6218" i="58"/>
  <c r="L6218" i="58" s="1"/>
  <c r="J6218" i="58"/>
  <c r="N6153" i="58"/>
  <c r="N6434" i="58"/>
  <c r="N6428" i="58"/>
  <c r="K6348" i="58"/>
  <c r="L6348" i="58" s="1"/>
  <c r="J6348" i="58"/>
  <c r="N6340" i="58"/>
  <c r="N6336" i="58"/>
  <c r="K6312" i="58"/>
  <c r="L6312" i="58" s="1"/>
  <c r="J6312" i="58"/>
  <c r="K6638" i="58"/>
  <c r="L6638" i="58" s="1"/>
  <c r="K6624" i="58"/>
  <c r="L6624" i="58" s="1"/>
  <c r="K6610" i="58"/>
  <c r="L6610" i="58" s="1"/>
  <c r="K6596" i="58"/>
  <c r="L6596" i="58" s="1"/>
  <c r="K6582" i="58"/>
  <c r="L6582" i="58" s="1"/>
  <c r="K6568" i="58"/>
  <c r="L6568" i="58" s="1"/>
  <c r="J6554" i="58"/>
  <c r="K6554" i="58"/>
  <c r="L6554" i="58" s="1"/>
  <c r="K6525" i="58"/>
  <c r="L6525" i="58" s="1"/>
  <c r="J6451" i="58"/>
  <c r="K6451" i="58"/>
  <c r="L6451" i="58" s="1"/>
  <c r="N6300" i="58"/>
  <c r="N6292" i="58"/>
  <c r="N6134" i="58"/>
  <c r="J6533" i="58"/>
  <c r="K6533" i="58"/>
  <c r="L6533" i="58" s="1"/>
  <c r="J6458" i="58"/>
  <c r="K6458" i="58"/>
  <c r="L6458" i="58" s="1"/>
  <c r="N6421" i="58"/>
  <c r="J6354" i="58"/>
  <c r="K6354" i="58"/>
  <c r="L6354" i="58" s="1"/>
  <c r="J6203" i="58"/>
  <c r="K6203" i="58"/>
  <c r="L6203" i="58" s="1"/>
  <c r="J6512" i="58"/>
  <c r="K6512" i="58"/>
  <c r="L6512" i="58" s="1"/>
  <c r="J6465" i="58"/>
  <c r="K6465" i="58"/>
  <c r="L6465" i="58" s="1"/>
  <c r="N6323" i="58"/>
  <c r="K6178" i="58"/>
  <c r="L6178" i="58" s="1"/>
  <c r="J6178" i="58"/>
  <c r="N6084" i="58"/>
  <c r="K6528" i="58"/>
  <c r="L6528" i="58" s="1"/>
  <c r="N6520" i="58"/>
  <c r="K6510" i="58"/>
  <c r="L6510" i="58" s="1"/>
  <c r="J6472" i="58"/>
  <c r="K6472" i="58"/>
  <c r="L6472" i="58" s="1"/>
  <c r="J6367" i="58"/>
  <c r="K6359" i="58"/>
  <c r="L6359" i="58" s="1"/>
  <c r="N6266" i="58"/>
  <c r="J6246" i="58"/>
  <c r="J6231" i="58"/>
  <c r="K6231" i="58"/>
  <c r="L6231" i="58" s="1"/>
  <c r="N6209" i="58"/>
  <c r="J6505" i="58"/>
  <c r="K6505" i="58"/>
  <c r="L6505" i="58" s="1"/>
  <c r="K6500" i="58"/>
  <c r="L6500" i="58" s="1"/>
  <c r="J6479" i="58"/>
  <c r="K6479" i="58"/>
  <c r="L6479" i="58" s="1"/>
  <c r="N6435" i="58"/>
  <c r="N6433" i="58"/>
  <c r="N6427" i="58"/>
  <c r="N6385" i="58"/>
  <c r="N6351" i="58"/>
  <c r="J6250" i="58"/>
  <c r="K6250" i="58"/>
  <c r="L6250" i="58" s="1"/>
  <c r="N6246" i="58"/>
  <c r="J6031" i="58"/>
  <c r="J6486" i="58"/>
  <c r="K6486" i="58"/>
  <c r="L6486" i="58" s="1"/>
  <c r="J6450" i="58"/>
  <c r="K6450" i="58"/>
  <c r="L6450" i="58" s="1"/>
  <c r="N6431" i="58"/>
  <c r="K6387" i="58"/>
  <c r="L6387" i="58" s="1"/>
  <c r="J6361" i="58"/>
  <c r="K6361" i="58"/>
  <c r="L6361" i="58" s="1"/>
  <c r="J6357" i="58"/>
  <c r="K6357" i="58"/>
  <c r="L6357" i="58" s="1"/>
  <c r="J6343" i="58"/>
  <c r="J6327" i="58"/>
  <c r="J6297" i="58"/>
  <c r="N6110" i="58"/>
  <c r="N6031" i="58"/>
  <c r="J6493" i="58"/>
  <c r="K6493" i="58"/>
  <c r="L6493" i="58" s="1"/>
  <c r="N6437" i="58"/>
  <c r="N6413" i="58"/>
  <c r="N6343" i="58"/>
  <c r="N6327" i="58"/>
  <c r="N6297" i="58"/>
  <c r="N6254" i="58"/>
  <c r="J6215" i="58"/>
  <c r="K6215" i="58"/>
  <c r="L6215" i="58" s="1"/>
  <c r="N6186" i="58"/>
  <c r="N6121" i="58"/>
  <c r="K6051" i="58"/>
  <c r="L6051" i="58" s="1"/>
  <c r="J6051" i="58"/>
  <c r="N6033" i="58"/>
  <c r="N6534" i="58"/>
  <c r="N6457" i="58"/>
  <c r="N6383" i="58"/>
  <c r="K6341" i="58"/>
  <c r="L6341" i="58" s="1"/>
  <c r="J6341" i="58"/>
  <c r="J6333" i="58"/>
  <c r="K6333" i="58"/>
  <c r="L6333" i="58" s="1"/>
  <c r="N6301" i="58"/>
  <c r="N6219" i="58"/>
  <c r="J6213" i="58"/>
  <c r="K6213" i="58"/>
  <c r="L6213" i="58" s="1"/>
  <c r="K6129" i="58"/>
  <c r="L6129" i="58" s="1"/>
  <c r="J6129" i="58"/>
  <c r="J6409" i="58"/>
  <c r="J6395" i="58"/>
  <c r="J6381" i="58"/>
  <c r="J6362" i="58"/>
  <c r="J6325" i="58"/>
  <c r="N6293" i="58"/>
  <c r="J6270" i="58"/>
  <c r="K6270" i="58"/>
  <c r="L6270" i="58" s="1"/>
  <c r="K6257" i="58"/>
  <c r="L6257" i="58" s="1"/>
  <c r="J6168" i="58"/>
  <c r="K6168" i="58"/>
  <c r="L6168" i="58" s="1"/>
  <c r="J6164" i="58"/>
  <c r="K6164" i="58"/>
  <c r="L6164" i="58" s="1"/>
  <c r="J6143" i="58"/>
  <c r="K6143" i="58"/>
  <c r="L6143" i="58" s="1"/>
  <c r="J6112" i="58"/>
  <c r="K6112" i="58"/>
  <c r="L6112" i="58" s="1"/>
  <c r="J5993" i="58"/>
  <c r="K5993" i="58"/>
  <c r="L5993" i="58" s="1"/>
  <c r="N6409" i="58"/>
  <c r="N6395" i="58"/>
  <c r="N6381" i="58"/>
  <c r="N6325" i="58"/>
  <c r="K6238" i="58"/>
  <c r="L6238" i="58" s="1"/>
  <c r="J6224" i="58"/>
  <c r="J6192" i="58"/>
  <c r="K6192" i="58"/>
  <c r="L6192" i="58" s="1"/>
  <c r="J6094" i="58"/>
  <c r="K6094" i="58"/>
  <c r="L6094" i="58" s="1"/>
  <c r="N6020" i="58"/>
  <c r="J6016" i="58"/>
  <c r="K6016" i="58"/>
  <c r="L6016" i="58" s="1"/>
  <c r="N5977" i="58"/>
  <c r="J6277" i="58"/>
  <c r="K6277" i="58"/>
  <c r="L6277" i="58" s="1"/>
  <c r="N6224" i="58"/>
  <c r="J6222" i="58"/>
  <c r="K6222" i="58"/>
  <c r="L6222" i="58" s="1"/>
  <c r="K6197" i="58"/>
  <c r="L6197" i="58" s="1"/>
  <c r="J6197" i="58"/>
  <c r="N6067" i="58"/>
  <c r="N6026" i="58"/>
  <c r="N5968" i="58"/>
  <c r="J5995" i="58"/>
  <c r="K5995" i="58"/>
  <c r="L5995" i="58" s="1"/>
  <c r="N6360" i="58"/>
  <c r="J6339" i="58"/>
  <c r="J6284" i="58"/>
  <c r="K6284" i="58"/>
  <c r="L6284" i="58" s="1"/>
  <c r="N6241" i="58"/>
  <c r="J6228" i="58"/>
  <c r="K6228" i="58"/>
  <c r="L6228" i="58" s="1"/>
  <c r="J6212" i="58"/>
  <c r="J6195" i="58"/>
  <c r="N6116" i="58"/>
  <c r="K6083" i="58"/>
  <c r="L6083" i="58" s="1"/>
  <c r="N5970" i="58"/>
  <c r="N6212" i="58"/>
  <c r="J6206" i="58"/>
  <c r="K6206" i="58"/>
  <c r="L6206" i="58" s="1"/>
  <c r="K6163" i="58"/>
  <c r="L6163" i="58" s="1"/>
  <c r="J6163" i="58"/>
  <c r="J6032" i="58"/>
  <c r="K6032" i="58"/>
  <c r="L6032" i="58" s="1"/>
  <c r="K6491" i="58"/>
  <c r="L6491" i="58" s="1"/>
  <c r="K6484" i="58"/>
  <c r="L6484" i="58" s="1"/>
  <c r="K6477" i="58"/>
  <c r="L6477" i="58" s="1"/>
  <c r="K6470" i="58"/>
  <c r="L6470" i="58" s="1"/>
  <c r="K6463" i="58"/>
  <c r="L6463" i="58" s="1"/>
  <c r="K6456" i="58"/>
  <c r="L6456" i="58" s="1"/>
  <c r="K6446" i="58"/>
  <c r="L6446" i="58" s="1"/>
  <c r="J6291" i="58"/>
  <c r="K6291" i="58"/>
  <c r="L6291" i="58" s="1"/>
  <c r="N6269" i="58"/>
  <c r="J6210" i="58"/>
  <c r="K6210" i="58"/>
  <c r="L6210" i="58" s="1"/>
  <c r="J6179" i="58"/>
  <c r="K6179" i="58"/>
  <c r="L6179" i="58" s="1"/>
  <c r="N6173" i="58"/>
  <c r="N6157" i="58"/>
  <c r="J6142" i="58"/>
  <c r="K6142" i="58"/>
  <c r="L6142" i="58" s="1"/>
  <c r="N6138" i="58"/>
  <c r="K6443" i="58"/>
  <c r="L6443" i="58" s="1"/>
  <c r="K6422" i="58"/>
  <c r="L6422" i="58" s="1"/>
  <c r="J6416" i="58"/>
  <c r="J6402" i="58"/>
  <c r="J6388" i="58"/>
  <c r="J6374" i="58"/>
  <c r="K6345" i="58"/>
  <c r="L6345" i="58" s="1"/>
  <c r="J6313" i="58"/>
  <c r="J6298" i="58"/>
  <c r="K6298" i="58"/>
  <c r="L6298" i="58" s="1"/>
  <c r="K6187" i="58"/>
  <c r="L6187" i="58" s="1"/>
  <c r="J6187" i="58"/>
  <c r="N6169" i="58"/>
  <c r="K6324" i="58"/>
  <c r="L6324" i="58" s="1"/>
  <c r="N6276" i="58"/>
  <c r="K6159" i="58"/>
  <c r="L6159" i="58" s="1"/>
  <c r="J6159" i="58"/>
  <c r="J6233" i="58"/>
  <c r="K6233" i="58"/>
  <c r="L6233" i="58" s="1"/>
  <c r="J6036" i="58"/>
  <c r="K6036" i="58"/>
  <c r="L6036" i="58" s="1"/>
  <c r="J6023" i="58"/>
  <c r="K6023" i="58"/>
  <c r="L6023" i="58" s="1"/>
  <c r="N6311" i="58"/>
  <c r="J6252" i="58"/>
  <c r="K6252" i="58"/>
  <c r="L6252" i="58" s="1"/>
  <c r="J6235" i="58"/>
  <c r="K6235" i="58"/>
  <c r="L6235" i="58" s="1"/>
  <c r="N6227" i="58"/>
  <c r="K6225" i="58"/>
  <c r="L6225" i="58" s="1"/>
  <c r="J6225" i="58"/>
  <c r="J6204" i="58"/>
  <c r="J6184" i="58"/>
  <c r="N6139" i="58"/>
  <c r="K6132" i="58"/>
  <c r="L6132" i="58" s="1"/>
  <c r="J6104" i="58"/>
  <c r="K6090" i="58"/>
  <c r="L6090" i="58" s="1"/>
  <c r="J6076" i="58"/>
  <c r="K6076" i="58"/>
  <c r="L6076" i="58" s="1"/>
  <c r="N6049" i="58"/>
  <c r="J6021" i="58"/>
  <c r="K6021" i="58"/>
  <c r="L6021" i="58" s="1"/>
  <c r="J6011" i="58"/>
  <c r="N5984" i="58"/>
  <c r="K6166" i="58"/>
  <c r="L6166" i="58" s="1"/>
  <c r="J6166" i="58"/>
  <c r="J6151" i="58"/>
  <c r="K6151" i="58"/>
  <c r="L6151" i="58" s="1"/>
  <c r="N6100" i="58"/>
  <c r="K6088" i="58"/>
  <c r="L6088" i="58" s="1"/>
  <c r="K6072" i="58"/>
  <c r="L6072" i="58" s="1"/>
  <c r="J6063" i="58"/>
  <c r="K6063" i="58"/>
  <c r="L6063" i="58" s="1"/>
  <c r="N6011" i="58"/>
  <c r="N6009" i="58"/>
  <c r="J6001" i="58"/>
  <c r="K6001" i="58"/>
  <c r="L6001" i="58" s="1"/>
  <c r="J6125" i="58"/>
  <c r="K6125" i="58"/>
  <c r="L6125" i="58" s="1"/>
  <c r="J6116" i="58"/>
  <c r="J6081" i="58"/>
  <c r="K6081" i="58"/>
  <c r="L6081" i="58" s="1"/>
  <c r="J6054" i="58"/>
  <c r="K6045" i="58"/>
  <c r="L6045" i="58" s="1"/>
  <c r="K6017" i="58"/>
  <c r="L6017" i="58" s="1"/>
  <c r="K6015" i="58"/>
  <c r="L6015" i="58" s="1"/>
  <c r="N5992" i="58"/>
  <c r="J6130" i="58"/>
  <c r="K6130" i="58"/>
  <c r="L6130" i="58" s="1"/>
  <c r="J6086" i="58"/>
  <c r="K6086" i="58"/>
  <c r="L6086" i="58" s="1"/>
  <c r="K5988" i="58"/>
  <c r="L5988" i="58" s="1"/>
  <c r="J5994" i="58"/>
  <c r="K5994" i="58"/>
  <c r="L5994" i="58" s="1"/>
  <c r="J5930" i="58"/>
  <c r="K5930" i="58"/>
  <c r="L5930" i="58" s="1"/>
  <c r="N6188" i="58"/>
  <c r="K6185" i="58"/>
  <c r="L6185" i="58" s="1"/>
  <c r="N6183" i="58"/>
  <c r="M6170" i="58"/>
  <c r="N6170" i="58"/>
  <c r="N6155" i="58"/>
  <c r="J6135" i="58"/>
  <c r="K6135" i="58"/>
  <c r="L6135" i="58" s="1"/>
  <c r="K6068" i="58"/>
  <c r="L6068" i="58" s="1"/>
  <c r="J6068" i="58"/>
  <c r="J6006" i="58"/>
  <c r="K6006" i="58"/>
  <c r="L6006" i="58" s="1"/>
  <c r="K6242" i="58"/>
  <c r="L6242" i="58" s="1"/>
  <c r="N6124" i="58"/>
  <c r="J6103" i="58"/>
  <c r="J6091" i="58"/>
  <c r="N6080" i="58"/>
  <c r="J5979" i="58"/>
  <c r="K5979" i="58"/>
  <c r="L5979" i="58" s="1"/>
  <c r="N5874" i="58"/>
  <c r="K5963" i="58"/>
  <c r="L5963" i="58" s="1"/>
  <c r="J5963" i="58"/>
  <c r="J5872" i="58"/>
  <c r="K5872" i="58"/>
  <c r="L5872" i="58" s="1"/>
  <c r="N6096" i="58"/>
  <c r="K6012" i="58"/>
  <c r="L6012" i="58" s="1"/>
  <c r="J6012" i="58"/>
  <c r="K6117" i="58"/>
  <c r="L6117" i="58" s="1"/>
  <c r="J6117" i="58"/>
  <c r="N5989" i="58"/>
  <c r="M5989" i="58"/>
  <c r="K6008" i="58"/>
  <c r="L6008" i="58" s="1"/>
  <c r="N5943" i="58"/>
  <c r="J5728" i="58"/>
  <c r="K5728" i="58"/>
  <c r="L5728" i="58" s="1"/>
  <c r="J6013" i="58"/>
  <c r="K6013" i="58"/>
  <c r="L6013" i="58" s="1"/>
  <c r="J5998" i="58"/>
  <c r="K5998" i="58"/>
  <c r="L5998" i="58" s="1"/>
  <c r="K5991" i="58"/>
  <c r="L5991" i="58" s="1"/>
  <c r="K5936" i="58"/>
  <c r="L5936" i="58" s="1"/>
  <c r="J5936" i="58"/>
  <c r="K5918" i="58"/>
  <c r="L5918" i="58" s="1"/>
  <c r="J5910" i="58"/>
  <c r="K5910" i="58"/>
  <c r="L5910" i="58" s="1"/>
  <c r="J5784" i="58"/>
  <c r="K5784" i="58"/>
  <c r="L5784" i="58" s="1"/>
  <c r="N5955" i="58"/>
  <c r="K5912" i="58"/>
  <c r="L5912" i="58" s="1"/>
  <c r="N5877" i="58"/>
  <c r="N5815" i="58"/>
  <c r="J5865" i="58"/>
  <c r="K5865" i="58"/>
  <c r="L5865" i="58" s="1"/>
  <c r="J5790" i="58"/>
  <c r="K5790" i="58"/>
  <c r="L5790" i="58" s="1"/>
  <c r="N5781" i="58"/>
  <c r="M5781" i="58"/>
  <c r="J5962" i="58"/>
  <c r="N5939" i="58"/>
  <c r="N5891" i="58"/>
  <c r="K5978" i="58"/>
  <c r="L5978" i="58" s="1"/>
  <c r="J5978" i="58"/>
  <c r="N5962" i="58"/>
  <c r="K6115" i="58"/>
  <c r="L6115" i="58" s="1"/>
  <c r="K6102" i="58"/>
  <c r="L6102" i="58" s="1"/>
  <c r="K6066" i="58"/>
  <c r="L6066" i="58" s="1"/>
  <c r="K6053" i="58"/>
  <c r="L6053" i="58" s="1"/>
  <c r="K6014" i="58"/>
  <c r="L6014" i="58" s="1"/>
  <c r="J6009" i="58"/>
  <c r="K5987" i="58"/>
  <c r="L5987" i="58" s="1"/>
  <c r="K5971" i="58"/>
  <c r="L5971" i="58" s="1"/>
  <c r="J5971" i="58"/>
  <c r="K5923" i="58"/>
  <c r="L5923" i="58" s="1"/>
  <c r="J6138" i="58"/>
  <c r="J6089" i="58"/>
  <c r="K6042" i="58"/>
  <c r="L6042" i="58" s="1"/>
  <c r="K6034" i="58"/>
  <c r="L6034" i="58" s="1"/>
  <c r="J6029" i="58"/>
  <c r="K6024" i="58"/>
  <c r="L6024" i="58" s="1"/>
  <c r="K5983" i="58"/>
  <c r="L5983" i="58" s="1"/>
  <c r="J5937" i="58"/>
  <c r="K5937" i="58"/>
  <c r="L5937" i="58" s="1"/>
  <c r="N6029" i="58"/>
  <c r="K5985" i="58"/>
  <c r="L5985" i="58" s="1"/>
  <c r="J5985" i="58"/>
  <c r="N5933" i="58"/>
  <c r="J5927" i="58"/>
  <c r="J5902" i="58"/>
  <c r="J5944" i="58"/>
  <c r="K5944" i="58"/>
  <c r="L5944" i="58" s="1"/>
  <c r="K5929" i="58"/>
  <c r="L5929" i="58" s="1"/>
  <c r="J5929" i="58"/>
  <c r="K5925" i="58"/>
  <c r="L5925" i="58" s="1"/>
  <c r="J5925" i="58"/>
  <c r="N5902" i="58"/>
  <c r="N5949" i="58"/>
  <c r="J5913" i="58"/>
  <c r="K5913" i="58"/>
  <c r="L5913" i="58" s="1"/>
  <c r="J5986" i="58"/>
  <c r="K5986" i="58"/>
  <c r="L5986" i="58" s="1"/>
  <c r="J5972" i="58"/>
  <c r="K5972" i="58"/>
  <c r="L5972" i="58" s="1"/>
  <c r="N5938" i="58"/>
  <c r="N5774" i="58"/>
  <c r="J6007" i="58"/>
  <c r="K6007" i="58"/>
  <c r="L6007" i="58" s="1"/>
  <c r="J5951" i="58"/>
  <c r="K5951" i="58"/>
  <c r="L5951" i="58" s="1"/>
  <c r="K5856" i="58"/>
  <c r="L5856" i="58" s="1"/>
  <c r="N5852" i="58"/>
  <c r="N5807" i="58"/>
  <c r="J5783" i="58"/>
  <c r="K5783" i="58"/>
  <c r="L5783" i="58" s="1"/>
  <c r="N5662" i="58"/>
  <c r="K5641" i="58"/>
  <c r="L5641" i="58" s="1"/>
  <c r="J5641" i="58"/>
  <c r="J5894" i="58"/>
  <c r="K5894" i="58"/>
  <c r="L5894" i="58" s="1"/>
  <c r="K5868" i="58"/>
  <c r="L5868" i="58" s="1"/>
  <c r="N5864" i="58"/>
  <c r="J5792" i="58"/>
  <c r="K5792" i="58"/>
  <c r="L5792" i="58" s="1"/>
  <c r="N5771" i="58"/>
  <c r="J5755" i="58"/>
  <c r="K5755" i="58"/>
  <c r="L5755" i="58" s="1"/>
  <c r="J5965" i="58"/>
  <c r="K5965" i="58"/>
  <c r="L5965" i="58" s="1"/>
  <c r="K5909" i="58"/>
  <c r="L5909" i="58" s="1"/>
  <c r="J5905" i="58"/>
  <c r="K5890" i="58"/>
  <c r="L5890" i="58" s="1"/>
  <c r="J5888" i="58"/>
  <c r="N5804" i="58"/>
  <c r="J5734" i="58"/>
  <c r="K5734" i="58"/>
  <c r="L5734" i="58" s="1"/>
  <c r="N5905" i="58"/>
  <c r="K5903" i="58"/>
  <c r="L5903" i="58" s="1"/>
  <c r="J5886" i="58"/>
  <c r="K5886" i="58"/>
  <c r="L5886" i="58" s="1"/>
  <c r="J5806" i="58"/>
  <c r="K5806" i="58"/>
  <c r="L5806" i="58" s="1"/>
  <c r="J5796" i="58"/>
  <c r="K5796" i="58"/>
  <c r="L5796" i="58" s="1"/>
  <c r="K5880" i="58"/>
  <c r="L5880" i="58" s="1"/>
  <c r="J5782" i="58"/>
  <c r="K5782" i="58"/>
  <c r="L5782" i="58" s="1"/>
  <c r="K5924" i="58"/>
  <c r="L5924" i="58" s="1"/>
  <c r="J5849" i="58"/>
  <c r="K5849" i="58"/>
  <c r="L5849" i="58" s="1"/>
  <c r="J5818" i="58"/>
  <c r="K5818" i="58"/>
  <c r="L5818" i="58" s="1"/>
  <c r="K5791" i="58"/>
  <c r="L5791" i="58" s="1"/>
  <c r="J5791" i="58"/>
  <c r="N5945" i="58"/>
  <c r="N5777" i="58"/>
  <c r="J6000" i="58"/>
  <c r="K6000" i="58"/>
  <c r="L6000" i="58" s="1"/>
  <c r="J5958" i="58"/>
  <c r="K5958" i="58"/>
  <c r="L5958" i="58" s="1"/>
  <c r="J5857" i="58"/>
  <c r="K5857" i="58"/>
  <c r="L5857" i="58" s="1"/>
  <c r="J5813" i="58"/>
  <c r="K5813" i="58"/>
  <c r="L5813" i="58" s="1"/>
  <c r="K5911" i="58"/>
  <c r="L5911" i="58" s="1"/>
  <c r="K5870" i="58"/>
  <c r="L5870" i="58" s="1"/>
  <c r="K5854" i="58"/>
  <c r="L5854" i="58" s="1"/>
  <c r="N5834" i="58"/>
  <c r="J5820" i="58"/>
  <c r="K5820" i="58"/>
  <c r="L5820" i="58" s="1"/>
  <c r="J5718" i="58"/>
  <c r="J5711" i="58"/>
  <c r="K5711" i="58"/>
  <c r="L5711" i="58" s="1"/>
  <c r="J5768" i="58"/>
  <c r="K5768" i="58"/>
  <c r="L5768" i="58" s="1"/>
  <c r="J5743" i="58"/>
  <c r="K5743" i="58"/>
  <c r="L5743" i="58" s="1"/>
  <c r="N5718" i="58"/>
  <c r="M5718" i="58"/>
  <c r="N5704" i="58"/>
  <c r="N5794" i="58"/>
  <c r="N5750" i="58"/>
  <c r="K5688" i="58"/>
  <c r="L5688" i="58" s="1"/>
  <c r="J5688" i="58"/>
  <c r="K5863" i="58"/>
  <c r="L5863" i="58" s="1"/>
  <c r="K5835" i="58"/>
  <c r="L5835" i="58" s="1"/>
  <c r="K5828" i="58"/>
  <c r="L5828" i="58" s="1"/>
  <c r="J5803" i="58"/>
  <c r="K5803" i="58"/>
  <c r="L5803" i="58" s="1"/>
  <c r="J5767" i="58"/>
  <c r="K5767" i="58"/>
  <c r="L5767" i="58" s="1"/>
  <c r="N5655" i="58"/>
  <c r="K5648" i="58"/>
  <c r="L5648" i="58" s="1"/>
  <c r="J5648" i="58"/>
  <c r="J5840" i="58"/>
  <c r="K5840" i="58"/>
  <c r="L5840" i="58" s="1"/>
  <c r="J5833" i="58"/>
  <c r="K5833" i="58"/>
  <c r="L5833" i="58" s="1"/>
  <c r="N5831" i="58"/>
  <c r="J5826" i="58"/>
  <c r="K5826" i="58"/>
  <c r="L5826" i="58" s="1"/>
  <c r="J5810" i="58"/>
  <c r="K5810" i="58"/>
  <c r="L5810" i="58" s="1"/>
  <c r="J5668" i="58"/>
  <c r="K5668" i="58"/>
  <c r="L5668" i="58" s="1"/>
  <c r="K5627" i="58"/>
  <c r="L5627" i="58" s="1"/>
  <c r="J5627" i="58"/>
  <c r="J5773" i="58"/>
  <c r="K5773" i="58"/>
  <c r="L5773" i="58" s="1"/>
  <c r="J5703" i="58"/>
  <c r="K5703" i="58"/>
  <c r="L5703" i="58" s="1"/>
  <c r="J5817" i="58"/>
  <c r="K5817" i="58"/>
  <c r="L5817" i="58" s="1"/>
  <c r="J5719" i="58"/>
  <c r="K5719" i="58"/>
  <c r="L5719" i="58" s="1"/>
  <c r="N5848" i="58"/>
  <c r="J5777" i="58"/>
  <c r="J5709" i="58"/>
  <c r="K5709" i="58"/>
  <c r="L5709" i="58" s="1"/>
  <c r="J5696" i="58"/>
  <c r="K5696" i="58"/>
  <c r="L5696" i="58" s="1"/>
  <c r="J5682" i="58"/>
  <c r="K5682" i="58"/>
  <c r="L5682" i="58" s="1"/>
  <c r="K5763" i="58"/>
  <c r="L5763" i="58" s="1"/>
  <c r="K5746" i="58"/>
  <c r="L5746" i="58" s="1"/>
  <c r="K5721" i="58"/>
  <c r="L5721" i="58" s="1"/>
  <c r="K5751" i="58"/>
  <c r="L5751" i="58" s="1"/>
  <c r="K5744" i="58"/>
  <c r="L5744" i="58" s="1"/>
  <c r="K5712" i="58"/>
  <c r="L5712" i="58" s="1"/>
  <c r="K5645" i="58"/>
  <c r="L5645" i="58" s="1"/>
  <c r="J5633" i="58"/>
  <c r="K5633" i="58"/>
  <c r="L5633" i="58" s="1"/>
  <c r="J5647" i="58"/>
  <c r="K5647" i="58"/>
  <c r="L5647" i="58" s="1"/>
  <c r="K5776" i="58"/>
  <c r="L5776" i="58" s="1"/>
  <c r="K5733" i="58"/>
  <c r="L5733" i="58" s="1"/>
  <c r="K5717" i="58"/>
  <c r="L5717" i="58" s="1"/>
  <c r="K5701" i="58"/>
  <c r="L5701" i="58" s="1"/>
  <c r="J5661" i="58"/>
  <c r="K5661" i="58"/>
  <c r="L5661" i="58" s="1"/>
  <c r="J5655" i="58"/>
  <c r="K5695" i="58"/>
  <c r="L5695" i="58" s="1"/>
  <c r="J5695" i="58"/>
  <c r="K5681" i="58"/>
  <c r="L5681" i="58" s="1"/>
  <c r="J5681" i="58"/>
  <c r="K5764" i="58"/>
  <c r="L5764" i="58" s="1"/>
  <c r="K5747" i="58"/>
  <c r="L5747" i="58" s="1"/>
  <c r="K5731" i="58"/>
  <c r="L5731" i="58" s="1"/>
  <c r="K5715" i="58"/>
  <c r="L5715" i="58" s="1"/>
  <c r="K5706" i="58"/>
  <c r="L5706" i="58" s="1"/>
  <c r="J5689" i="58"/>
  <c r="K5689" i="58"/>
  <c r="L5689" i="58" s="1"/>
  <c r="J5683" i="58"/>
  <c r="J5675" i="58"/>
  <c r="K5675" i="58"/>
  <c r="L5675" i="58" s="1"/>
  <c r="J5669" i="58"/>
  <c r="K5779" i="58"/>
  <c r="L5779" i="58" s="1"/>
  <c r="K5752" i="58"/>
  <c r="L5752" i="58" s="1"/>
  <c r="K5738" i="58"/>
  <c r="L5738" i="58" s="1"/>
  <c r="K5722" i="58"/>
  <c r="L5722" i="58" s="1"/>
  <c r="K5713" i="58"/>
  <c r="L5713" i="58" s="1"/>
  <c r="N5644" i="58"/>
  <c r="K5638" i="58"/>
  <c r="L5638" i="58" s="1"/>
  <c r="K5624" i="58"/>
  <c r="L5624" i="58" s="1"/>
  <c r="J5640" i="58"/>
  <c r="K5640" i="58"/>
  <c r="L5640" i="58" s="1"/>
  <c r="J5626" i="58"/>
  <c r="K5626" i="58"/>
  <c r="L5626" i="58" s="1"/>
  <c r="J5654" i="58"/>
  <c r="K5654" i="58"/>
  <c r="L5654" i="58" s="1"/>
  <c r="J5674" i="58"/>
  <c r="J5667" i="58"/>
  <c r="J5660" i="58"/>
  <c r="J5653" i="58"/>
  <c r="J5646" i="58"/>
  <c r="J5639" i="58"/>
  <c r="J5632" i="58"/>
  <c r="J5625" i="58"/>
  <c r="G533" i="66"/>
  <c r="H533" i="66" s="1"/>
  <c r="G6435" i="58" s="1"/>
  <c r="M6435" i="58" s="1"/>
  <c r="G532" i="66"/>
  <c r="H532" i="66" s="1"/>
  <c r="G531" i="66"/>
  <c r="H531" i="66" s="1"/>
  <c r="G4800" i="58" s="1"/>
  <c r="G530" i="66"/>
  <c r="H530" i="66" s="1"/>
  <c r="G529" i="66"/>
  <c r="H529" i="66" s="1"/>
  <c r="G528" i="66"/>
  <c r="H528" i="66" s="1"/>
  <c r="P5623" i="58"/>
  <c r="O5623" i="58"/>
  <c r="I5623" i="58"/>
  <c r="K5623" i="58" s="1"/>
  <c r="L5623" i="58" s="1"/>
  <c r="H5623" i="58"/>
  <c r="P5289" i="58"/>
  <c r="O5289" i="58"/>
  <c r="L5289" i="58"/>
  <c r="I5289" i="58"/>
  <c r="J5289" i="58" s="1"/>
  <c r="H5289" i="58"/>
  <c r="P5288" i="58"/>
  <c r="O5288" i="58"/>
  <c r="L5288" i="58"/>
  <c r="I5288" i="58"/>
  <c r="J5288" i="58" s="1"/>
  <c r="H5288" i="58"/>
  <c r="P5287" i="58"/>
  <c r="O5287" i="58"/>
  <c r="L5287" i="58"/>
  <c r="I5287" i="58"/>
  <c r="J5287" i="58" s="1"/>
  <c r="H5287" i="58"/>
  <c r="P5286" i="58"/>
  <c r="O5286" i="58"/>
  <c r="L5286" i="58"/>
  <c r="I5286" i="58"/>
  <c r="J5286" i="58" s="1"/>
  <c r="H5286" i="58"/>
  <c r="P5285" i="58"/>
  <c r="O5285" i="58"/>
  <c r="L5285" i="58"/>
  <c r="I5285" i="58"/>
  <c r="J5285" i="58" s="1"/>
  <c r="H5285" i="58"/>
  <c r="P5284" i="58"/>
  <c r="O5284" i="58"/>
  <c r="L5284" i="58"/>
  <c r="I5284" i="58"/>
  <c r="J5284" i="58" s="1"/>
  <c r="H5284" i="58"/>
  <c r="P5283" i="58"/>
  <c r="O5283" i="58"/>
  <c r="L5283" i="58"/>
  <c r="I5283" i="58"/>
  <c r="J5283" i="58" s="1"/>
  <c r="H5283" i="58"/>
  <c r="P5282" i="58"/>
  <c r="O5282" i="58"/>
  <c r="L5282" i="58"/>
  <c r="I5282" i="58"/>
  <c r="J5282" i="58" s="1"/>
  <c r="H5282" i="58"/>
  <c r="P5281" i="58"/>
  <c r="O5281" i="58"/>
  <c r="L5281" i="58"/>
  <c r="I5281" i="58"/>
  <c r="J5281" i="58" s="1"/>
  <c r="H5281" i="58"/>
  <c r="P5280" i="58"/>
  <c r="O5280" i="58"/>
  <c r="L5280" i="58"/>
  <c r="I5280" i="58"/>
  <c r="J5280" i="58" s="1"/>
  <c r="H5280" i="58"/>
  <c r="P5279" i="58"/>
  <c r="O5279" i="58"/>
  <c r="L5279" i="58"/>
  <c r="I5279" i="58"/>
  <c r="J5279" i="58" s="1"/>
  <c r="H5279" i="58"/>
  <c r="P5278" i="58"/>
  <c r="O5278" i="58"/>
  <c r="L5278" i="58"/>
  <c r="I5278" i="58"/>
  <c r="J5278" i="58" s="1"/>
  <c r="H5278" i="58"/>
  <c r="P5277" i="58"/>
  <c r="O5277" i="58"/>
  <c r="L5277" i="58"/>
  <c r="I5277" i="58"/>
  <c r="J5277" i="58" s="1"/>
  <c r="H5277" i="58"/>
  <c r="P5276" i="58"/>
  <c r="O5276" i="58"/>
  <c r="L5276" i="58"/>
  <c r="I5276" i="58"/>
  <c r="J5276" i="58" s="1"/>
  <c r="H5276" i="58"/>
  <c r="P5275" i="58"/>
  <c r="O5275" i="58"/>
  <c r="L5275" i="58"/>
  <c r="I5275" i="58"/>
  <c r="J5275" i="58" s="1"/>
  <c r="H5275" i="58"/>
  <c r="P5274" i="58"/>
  <c r="O5274" i="58"/>
  <c r="L5274" i="58"/>
  <c r="I5274" i="58"/>
  <c r="J5274" i="58" s="1"/>
  <c r="H5274" i="58"/>
  <c r="P5273" i="58"/>
  <c r="O5273" i="58"/>
  <c r="L5273" i="58"/>
  <c r="I5273" i="58"/>
  <c r="J5273" i="58" s="1"/>
  <c r="H5273" i="58"/>
  <c r="P5272" i="58"/>
  <c r="O5272" i="58"/>
  <c r="L5272" i="58"/>
  <c r="I5272" i="58"/>
  <c r="J5272" i="58" s="1"/>
  <c r="H5272" i="58"/>
  <c r="P5271" i="58"/>
  <c r="O5271" i="58"/>
  <c r="L5271" i="58"/>
  <c r="I5271" i="58"/>
  <c r="J5271" i="58" s="1"/>
  <c r="H5271" i="58"/>
  <c r="P5270" i="58"/>
  <c r="O5270" i="58"/>
  <c r="L5270" i="58"/>
  <c r="I5270" i="58"/>
  <c r="J5270" i="58" s="1"/>
  <c r="H5270" i="58"/>
  <c r="P5269" i="58"/>
  <c r="O5269" i="58"/>
  <c r="L5269" i="58"/>
  <c r="I5269" i="58"/>
  <c r="J5269" i="58" s="1"/>
  <c r="H5269" i="58"/>
  <c r="P5268" i="58"/>
  <c r="O5268" i="58"/>
  <c r="L5268" i="58"/>
  <c r="I5268" i="58"/>
  <c r="J5268" i="58" s="1"/>
  <c r="H5268" i="58"/>
  <c r="P5267" i="58"/>
  <c r="O5267" i="58"/>
  <c r="L5267" i="58"/>
  <c r="I5267" i="58"/>
  <c r="J5267" i="58" s="1"/>
  <c r="H5267" i="58"/>
  <c r="P5266" i="58"/>
  <c r="O5266" i="58"/>
  <c r="L5266" i="58"/>
  <c r="I5266" i="58"/>
  <c r="J5266" i="58" s="1"/>
  <c r="H5266" i="58"/>
  <c r="P5265" i="58"/>
  <c r="O5265" i="58"/>
  <c r="L5265" i="58"/>
  <c r="I5265" i="58"/>
  <c r="J5265" i="58" s="1"/>
  <c r="H5265" i="58"/>
  <c r="P5264" i="58"/>
  <c r="O5264" i="58"/>
  <c r="L5264" i="58"/>
  <c r="I5264" i="58"/>
  <c r="J5264" i="58" s="1"/>
  <c r="H5264" i="58"/>
  <c r="P5263" i="58"/>
  <c r="O5263" i="58"/>
  <c r="L5263" i="58"/>
  <c r="I5263" i="58"/>
  <c r="J5263" i="58" s="1"/>
  <c r="H5263" i="58"/>
  <c r="P5262" i="58"/>
  <c r="O5262" i="58"/>
  <c r="L5262" i="58"/>
  <c r="I5262" i="58"/>
  <c r="J5262" i="58" s="1"/>
  <c r="H5262" i="58"/>
  <c r="P5261" i="58"/>
  <c r="O5261" i="58"/>
  <c r="L5261" i="58"/>
  <c r="I5261" i="58"/>
  <c r="J5261" i="58" s="1"/>
  <c r="H5261" i="58"/>
  <c r="P5260" i="58"/>
  <c r="O5260" i="58"/>
  <c r="L5260" i="58"/>
  <c r="I5260" i="58"/>
  <c r="J5260" i="58" s="1"/>
  <c r="H5260" i="58"/>
  <c r="P5259" i="58"/>
  <c r="O5259" i="58"/>
  <c r="L5259" i="58"/>
  <c r="I5259" i="58"/>
  <c r="J5259" i="58" s="1"/>
  <c r="H5259" i="58"/>
  <c r="P5258" i="58"/>
  <c r="O5258" i="58"/>
  <c r="L5258" i="58"/>
  <c r="I5258" i="58"/>
  <c r="J5258" i="58" s="1"/>
  <c r="H5258" i="58"/>
  <c r="P5257" i="58"/>
  <c r="O5257" i="58"/>
  <c r="L5257" i="58"/>
  <c r="I5257" i="58"/>
  <c r="J5257" i="58" s="1"/>
  <c r="H5257" i="58"/>
  <c r="P5256" i="58"/>
  <c r="O5256" i="58"/>
  <c r="L5256" i="58"/>
  <c r="I5256" i="58"/>
  <c r="J5256" i="58" s="1"/>
  <c r="H5256" i="58"/>
  <c r="P5255" i="58"/>
  <c r="O5255" i="58"/>
  <c r="L5255" i="58"/>
  <c r="I5255" i="58"/>
  <c r="J5255" i="58" s="1"/>
  <c r="H5255" i="58"/>
  <c r="P5254" i="58"/>
  <c r="O5254" i="58"/>
  <c r="L5254" i="58"/>
  <c r="I5254" i="58"/>
  <c r="J5254" i="58" s="1"/>
  <c r="H5254" i="58"/>
  <c r="P5253" i="58"/>
  <c r="O5253" i="58"/>
  <c r="L5253" i="58"/>
  <c r="I5253" i="58"/>
  <c r="J5253" i="58" s="1"/>
  <c r="H5253" i="58"/>
  <c r="P5252" i="58"/>
  <c r="O5252" i="58"/>
  <c r="L5252" i="58"/>
  <c r="I5252" i="58"/>
  <c r="J5252" i="58" s="1"/>
  <c r="H5252" i="58"/>
  <c r="P5251" i="58"/>
  <c r="O5251" i="58"/>
  <c r="L5251" i="58"/>
  <c r="I5251" i="58"/>
  <c r="J5251" i="58" s="1"/>
  <c r="H5251" i="58"/>
  <c r="P5250" i="58"/>
  <c r="O5250" i="58"/>
  <c r="L5250" i="58"/>
  <c r="I5250" i="58"/>
  <c r="J5250" i="58" s="1"/>
  <c r="H5250" i="58"/>
  <c r="P5249" i="58"/>
  <c r="O5249" i="58"/>
  <c r="L5249" i="58"/>
  <c r="I5249" i="58"/>
  <c r="J5249" i="58" s="1"/>
  <c r="H5249" i="58"/>
  <c r="P5248" i="58"/>
  <c r="O5248" i="58"/>
  <c r="L5248" i="58"/>
  <c r="I5248" i="58"/>
  <c r="J5248" i="58" s="1"/>
  <c r="H5248" i="58"/>
  <c r="P5247" i="58"/>
  <c r="O5247" i="58"/>
  <c r="L5247" i="58"/>
  <c r="I5247" i="58"/>
  <c r="J5247" i="58" s="1"/>
  <c r="H5247" i="58"/>
  <c r="P5246" i="58"/>
  <c r="O5246" i="58"/>
  <c r="L5246" i="58"/>
  <c r="I5246" i="58"/>
  <c r="J5246" i="58" s="1"/>
  <c r="H5246" i="58"/>
  <c r="P5245" i="58"/>
  <c r="O5245" i="58"/>
  <c r="L5245" i="58"/>
  <c r="I5245" i="58"/>
  <c r="J5245" i="58" s="1"/>
  <c r="H5245" i="58"/>
  <c r="P5244" i="58"/>
  <c r="O5244" i="58"/>
  <c r="L5244" i="58"/>
  <c r="I5244" i="58"/>
  <c r="J5244" i="58" s="1"/>
  <c r="H5244" i="58"/>
  <c r="P5243" i="58"/>
  <c r="O5243" i="58"/>
  <c r="L5243" i="58"/>
  <c r="I5243" i="58"/>
  <c r="J5243" i="58" s="1"/>
  <c r="H5243" i="58"/>
  <c r="P5242" i="58"/>
  <c r="O5242" i="58"/>
  <c r="L5242" i="58"/>
  <c r="I5242" i="58"/>
  <c r="J5242" i="58" s="1"/>
  <c r="H5242" i="58"/>
  <c r="P5241" i="58"/>
  <c r="O5241" i="58"/>
  <c r="L5241" i="58"/>
  <c r="I5241" i="58"/>
  <c r="J5241" i="58" s="1"/>
  <c r="H5241" i="58"/>
  <c r="P5240" i="58"/>
  <c r="O5240" i="58"/>
  <c r="L5240" i="58"/>
  <c r="I5240" i="58"/>
  <c r="J5240" i="58" s="1"/>
  <c r="H5240" i="58"/>
  <c r="P5239" i="58"/>
  <c r="O5239" i="58"/>
  <c r="L5239" i="58"/>
  <c r="I5239" i="58"/>
  <c r="J5239" i="58" s="1"/>
  <c r="H5239" i="58"/>
  <c r="P5238" i="58"/>
  <c r="O5238" i="58"/>
  <c r="L5238" i="58"/>
  <c r="I5238" i="58"/>
  <c r="J5238" i="58" s="1"/>
  <c r="H5238" i="58"/>
  <c r="P5237" i="58"/>
  <c r="O5237" i="58"/>
  <c r="L5237" i="58"/>
  <c r="I5237" i="58"/>
  <c r="J5237" i="58" s="1"/>
  <c r="H5237" i="58"/>
  <c r="P5236" i="58"/>
  <c r="O5236" i="58"/>
  <c r="L5236" i="58"/>
  <c r="I5236" i="58"/>
  <c r="J5236" i="58" s="1"/>
  <c r="H5236" i="58"/>
  <c r="P5235" i="58"/>
  <c r="O5235" i="58"/>
  <c r="L5235" i="58"/>
  <c r="I5235" i="58"/>
  <c r="J5235" i="58" s="1"/>
  <c r="H5235" i="58"/>
  <c r="P5234" i="58"/>
  <c r="O5234" i="58"/>
  <c r="L5234" i="58"/>
  <c r="I5234" i="58"/>
  <c r="J5234" i="58" s="1"/>
  <c r="H5234" i="58"/>
  <c r="P5233" i="58"/>
  <c r="O5233" i="58"/>
  <c r="L5233" i="58"/>
  <c r="I5233" i="58"/>
  <c r="J5233" i="58" s="1"/>
  <c r="H5233" i="58"/>
  <c r="P5232" i="58"/>
  <c r="O5232" i="58"/>
  <c r="L5232" i="58"/>
  <c r="I5232" i="58"/>
  <c r="J5232" i="58" s="1"/>
  <c r="H5232" i="58"/>
  <c r="P5231" i="58"/>
  <c r="O5231" i="58"/>
  <c r="L5231" i="58"/>
  <c r="I5231" i="58"/>
  <c r="J5231" i="58" s="1"/>
  <c r="H5231" i="58"/>
  <c r="P5230" i="58"/>
  <c r="O5230" i="58"/>
  <c r="L5230" i="58"/>
  <c r="I5230" i="58"/>
  <c r="J5230" i="58" s="1"/>
  <c r="H5230" i="58"/>
  <c r="P5229" i="58"/>
  <c r="O5229" i="58"/>
  <c r="L5229" i="58"/>
  <c r="I5229" i="58"/>
  <c r="J5229" i="58" s="1"/>
  <c r="H5229" i="58"/>
  <c r="P5228" i="58"/>
  <c r="O5228" i="58"/>
  <c r="L5228" i="58"/>
  <c r="I5228" i="58"/>
  <c r="J5228" i="58" s="1"/>
  <c r="H5228" i="58"/>
  <c r="P5227" i="58"/>
  <c r="O5227" i="58"/>
  <c r="L5227" i="58"/>
  <c r="I5227" i="58"/>
  <c r="J5227" i="58" s="1"/>
  <c r="H5227" i="58"/>
  <c r="P5226" i="58"/>
  <c r="O5226" i="58"/>
  <c r="L5226" i="58"/>
  <c r="I5226" i="58"/>
  <c r="J5226" i="58" s="1"/>
  <c r="H5226" i="58"/>
  <c r="P5225" i="58"/>
  <c r="O5225" i="58"/>
  <c r="L5225" i="58"/>
  <c r="I5225" i="58"/>
  <c r="J5225" i="58" s="1"/>
  <c r="H5225" i="58"/>
  <c r="P5224" i="58"/>
  <c r="O5224" i="58"/>
  <c r="L5224" i="58"/>
  <c r="I5224" i="58"/>
  <c r="J5224" i="58" s="1"/>
  <c r="H5224" i="58"/>
  <c r="P5223" i="58"/>
  <c r="O5223" i="58"/>
  <c r="L5223" i="58"/>
  <c r="I5223" i="58"/>
  <c r="J5223" i="58" s="1"/>
  <c r="H5223" i="58"/>
  <c r="P5222" i="58"/>
  <c r="O5222" i="58"/>
  <c r="L5222" i="58"/>
  <c r="I5222" i="58"/>
  <c r="J5222" i="58" s="1"/>
  <c r="H5222" i="58"/>
  <c r="P5221" i="58"/>
  <c r="O5221" i="58"/>
  <c r="L5221" i="58"/>
  <c r="I5221" i="58"/>
  <c r="J5221" i="58" s="1"/>
  <c r="H5221" i="58"/>
  <c r="P5220" i="58"/>
  <c r="O5220" i="58"/>
  <c r="L5220" i="58"/>
  <c r="I5220" i="58"/>
  <c r="J5220" i="58" s="1"/>
  <c r="H5220" i="58"/>
  <c r="P5219" i="58"/>
  <c r="O5219" i="58"/>
  <c r="L5219" i="58"/>
  <c r="I5219" i="58"/>
  <c r="J5219" i="58" s="1"/>
  <c r="H5219" i="58"/>
  <c r="P5218" i="58"/>
  <c r="O5218" i="58"/>
  <c r="L5218" i="58"/>
  <c r="I5218" i="58"/>
  <c r="J5218" i="58" s="1"/>
  <c r="H5218" i="58"/>
  <c r="P5217" i="58"/>
  <c r="O5217" i="58"/>
  <c r="L5217" i="58"/>
  <c r="I5217" i="58"/>
  <c r="J5217" i="58" s="1"/>
  <c r="H5217" i="58"/>
  <c r="P5216" i="58"/>
  <c r="O5216" i="58"/>
  <c r="L5216" i="58"/>
  <c r="I5216" i="58"/>
  <c r="J5216" i="58" s="1"/>
  <c r="H5216" i="58"/>
  <c r="P5215" i="58"/>
  <c r="O5215" i="58"/>
  <c r="L5215" i="58"/>
  <c r="I5215" i="58"/>
  <c r="J5215" i="58" s="1"/>
  <c r="H5215" i="58"/>
  <c r="P5214" i="58"/>
  <c r="O5214" i="58"/>
  <c r="L5214" i="58"/>
  <c r="I5214" i="58"/>
  <c r="J5214" i="58" s="1"/>
  <c r="H5214" i="58"/>
  <c r="P5213" i="58"/>
  <c r="O5213" i="58"/>
  <c r="L5213" i="58"/>
  <c r="I5213" i="58"/>
  <c r="J5213" i="58" s="1"/>
  <c r="H5213" i="58"/>
  <c r="P5212" i="58"/>
  <c r="O5212" i="58"/>
  <c r="L5212" i="58"/>
  <c r="I5212" i="58"/>
  <c r="J5212" i="58" s="1"/>
  <c r="H5212" i="58"/>
  <c r="P5211" i="58"/>
  <c r="O5211" i="58"/>
  <c r="L5211" i="58"/>
  <c r="I5211" i="58"/>
  <c r="J5211" i="58" s="1"/>
  <c r="H5211" i="58"/>
  <c r="P5210" i="58"/>
  <c r="O5210" i="58"/>
  <c r="L5210" i="58"/>
  <c r="I5210" i="58"/>
  <c r="J5210" i="58" s="1"/>
  <c r="H5210" i="58"/>
  <c r="P5209" i="58"/>
  <c r="O5209" i="58"/>
  <c r="L5209" i="58"/>
  <c r="I5209" i="58"/>
  <c r="J5209" i="58" s="1"/>
  <c r="H5209" i="58"/>
  <c r="P5208" i="58"/>
  <c r="O5208" i="58"/>
  <c r="L5208" i="58"/>
  <c r="I5208" i="58"/>
  <c r="J5208" i="58" s="1"/>
  <c r="H5208" i="58"/>
  <c r="P5207" i="58"/>
  <c r="O5207" i="58"/>
  <c r="L5207" i="58"/>
  <c r="I5207" i="58"/>
  <c r="J5207" i="58" s="1"/>
  <c r="H5207" i="58"/>
  <c r="P5206" i="58"/>
  <c r="O5206" i="58"/>
  <c r="L5206" i="58"/>
  <c r="I5206" i="58"/>
  <c r="J5206" i="58" s="1"/>
  <c r="H5206" i="58"/>
  <c r="P5205" i="58"/>
  <c r="O5205" i="58"/>
  <c r="L5205" i="58"/>
  <c r="I5205" i="58"/>
  <c r="J5205" i="58" s="1"/>
  <c r="H5205" i="58"/>
  <c r="P5204" i="58"/>
  <c r="O5204" i="58"/>
  <c r="L5204" i="58"/>
  <c r="I5204" i="58"/>
  <c r="J5204" i="58" s="1"/>
  <c r="H5204" i="58"/>
  <c r="P5203" i="58"/>
  <c r="O5203" i="58"/>
  <c r="L5203" i="58"/>
  <c r="I5203" i="58"/>
  <c r="J5203" i="58" s="1"/>
  <c r="H5203" i="58"/>
  <c r="P5202" i="58"/>
  <c r="O5202" i="58"/>
  <c r="L5202" i="58"/>
  <c r="I5202" i="58"/>
  <c r="J5202" i="58" s="1"/>
  <c r="H5202" i="58"/>
  <c r="P5201" i="58"/>
  <c r="O5201" i="58"/>
  <c r="L5201" i="58"/>
  <c r="I5201" i="58"/>
  <c r="J5201" i="58" s="1"/>
  <c r="H5201" i="58"/>
  <c r="P5200" i="58"/>
  <c r="O5200" i="58"/>
  <c r="L5200" i="58"/>
  <c r="I5200" i="58"/>
  <c r="J5200" i="58" s="1"/>
  <c r="H5200" i="58"/>
  <c r="P5199" i="58"/>
  <c r="O5199" i="58"/>
  <c r="L5199" i="58"/>
  <c r="I5199" i="58"/>
  <c r="J5199" i="58" s="1"/>
  <c r="H5199" i="58"/>
  <c r="P5198" i="58"/>
  <c r="O5198" i="58"/>
  <c r="L5198" i="58"/>
  <c r="I5198" i="58"/>
  <c r="J5198" i="58" s="1"/>
  <c r="H5198" i="58"/>
  <c r="P5197" i="58"/>
  <c r="O5197" i="58"/>
  <c r="L5197" i="58"/>
  <c r="I5197" i="58"/>
  <c r="J5197" i="58" s="1"/>
  <c r="H5197" i="58"/>
  <c r="P5196" i="58"/>
  <c r="O5196" i="58"/>
  <c r="L5196" i="58"/>
  <c r="I5196" i="58"/>
  <c r="J5196" i="58" s="1"/>
  <c r="H5196" i="58"/>
  <c r="P5195" i="58"/>
  <c r="O5195" i="58"/>
  <c r="L5195" i="58"/>
  <c r="I5195" i="58"/>
  <c r="J5195" i="58" s="1"/>
  <c r="H5195" i="58"/>
  <c r="P5194" i="58"/>
  <c r="O5194" i="58"/>
  <c r="L5194" i="58"/>
  <c r="I5194" i="58"/>
  <c r="J5194" i="58" s="1"/>
  <c r="H5194" i="58"/>
  <c r="P5193" i="58"/>
  <c r="O5193" i="58"/>
  <c r="L5193" i="58"/>
  <c r="I5193" i="58"/>
  <c r="J5193" i="58" s="1"/>
  <c r="H5193" i="58"/>
  <c r="P5192" i="58"/>
  <c r="O5192" i="58"/>
  <c r="L5192" i="58"/>
  <c r="I5192" i="58"/>
  <c r="J5192" i="58" s="1"/>
  <c r="H5192" i="58"/>
  <c r="P5191" i="58"/>
  <c r="O5191" i="58"/>
  <c r="L5191" i="58"/>
  <c r="I5191" i="58"/>
  <c r="J5191" i="58" s="1"/>
  <c r="H5191" i="58"/>
  <c r="P5190" i="58"/>
  <c r="O5190" i="58"/>
  <c r="L5190" i="58"/>
  <c r="I5190" i="58"/>
  <c r="J5190" i="58" s="1"/>
  <c r="H5190" i="58"/>
  <c r="P5189" i="58"/>
  <c r="O5189" i="58"/>
  <c r="L5189" i="58"/>
  <c r="I5189" i="58"/>
  <c r="J5189" i="58" s="1"/>
  <c r="H5189" i="58"/>
  <c r="P5188" i="58"/>
  <c r="O5188" i="58"/>
  <c r="L5188" i="58"/>
  <c r="I5188" i="58"/>
  <c r="J5188" i="58" s="1"/>
  <c r="H5188" i="58"/>
  <c r="P5187" i="58"/>
  <c r="O5187" i="58"/>
  <c r="L5187" i="58"/>
  <c r="I5187" i="58"/>
  <c r="J5187" i="58" s="1"/>
  <c r="H5187" i="58"/>
  <c r="P5186" i="58"/>
  <c r="O5186" i="58"/>
  <c r="L5186" i="58"/>
  <c r="I5186" i="58"/>
  <c r="J5186" i="58" s="1"/>
  <c r="H5186" i="58"/>
  <c r="P5185" i="58"/>
  <c r="O5185" i="58"/>
  <c r="L5185" i="58"/>
  <c r="I5185" i="58"/>
  <c r="J5185" i="58" s="1"/>
  <c r="H5185" i="58"/>
  <c r="P5184" i="58"/>
  <c r="O5184" i="58"/>
  <c r="L5184" i="58"/>
  <c r="I5184" i="58"/>
  <c r="J5184" i="58" s="1"/>
  <c r="H5184" i="58"/>
  <c r="P5183" i="58"/>
  <c r="O5183" i="58"/>
  <c r="L5183" i="58"/>
  <c r="I5183" i="58"/>
  <c r="J5183" i="58" s="1"/>
  <c r="H5183" i="58"/>
  <c r="P5182" i="58"/>
  <c r="O5182" i="58"/>
  <c r="L5182" i="58"/>
  <c r="I5182" i="58"/>
  <c r="J5182" i="58" s="1"/>
  <c r="H5182" i="58"/>
  <c r="P5181" i="58"/>
  <c r="O5181" i="58"/>
  <c r="L5181" i="58"/>
  <c r="I5181" i="58"/>
  <c r="J5181" i="58" s="1"/>
  <c r="H5181" i="58"/>
  <c r="P5180" i="58"/>
  <c r="O5180" i="58"/>
  <c r="L5180" i="58"/>
  <c r="I5180" i="58"/>
  <c r="J5180" i="58" s="1"/>
  <c r="H5180" i="58"/>
  <c r="P5179" i="58"/>
  <c r="O5179" i="58"/>
  <c r="L5179" i="58"/>
  <c r="I5179" i="58"/>
  <c r="J5179" i="58" s="1"/>
  <c r="H5179" i="58"/>
  <c r="P5178" i="58"/>
  <c r="O5178" i="58"/>
  <c r="L5178" i="58"/>
  <c r="I5178" i="58"/>
  <c r="J5178" i="58" s="1"/>
  <c r="H5178" i="58"/>
  <c r="P5177" i="58"/>
  <c r="O5177" i="58"/>
  <c r="L5177" i="58"/>
  <c r="I5177" i="58"/>
  <c r="J5177" i="58" s="1"/>
  <c r="H5177" i="58"/>
  <c r="P5176" i="58"/>
  <c r="O5176" i="58"/>
  <c r="L5176" i="58"/>
  <c r="I5176" i="58"/>
  <c r="J5176" i="58" s="1"/>
  <c r="H5176" i="58"/>
  <c r="P5175" i="58"/>
  <c r="O5175" i="58"/>
  <c r="L5175" i="58"/>
  <c r="I5175" i="58"/>
  <c r="J5175" i="58" s="1"/>
  <c r="H5175" i="58"/>
  <c r="P5174" i="58"/>
  <c r="O5174" i="58"/>
  <c r="L5174" i="58"/>
  <c r="I5174" i="58"/>
  <c r="J5174" i="58" s="1"/>
  <c r="H5174" i="58"/>
  <c r="P5173" i="58"/>
  <c r="O5173" i="58"/>
  <c r="L5173" i="58"/>
  <c r="I5173" i="58"/>
  <c r="J5173" i="58" s="1"/>
  <c r="H5173" i="58"/>
  <c r="P5172" i="58"/>
  <c r="O5172" i="58"/>
  <c r="L5172" i="58"/>
  <c r="I5172" i="58"/>
  <c r="J5172" i="58" s="1"/>
  <c r="H5172" i="58"/>
  <c r="P5171" i="58"/>
  <c r="O5171" i="58"/>
  <c r="L5171" i="58"/>
  <c r="I5171" i="58"/>
  <c r="J5171" i="58" s="1"/>
  <c r="H5171" i="58"/>
  <c r="P5170" i="58"/>
  <c r="O5170" i="58"/>
  <c r="L5170" i="58"/>
  <c r="I5170" i="58"/>
  <c r="J5170" i="58" s="1"/>
  <c r="H5170" i="58"/>
  <c r="P5169" i="58"/>
  <c r="O5169" i="58"/>
  <c r="L5169" i="58"/>
  <c r="I5169" i="58"/>
  <c r="J5169" i="58" s="1"/>
  <c r="H5169" i="58"/>
  <c r="P5168" i="58"/>
  <c r="O5168" i="58"/>
  <c r="L5168" i="58"/>
  <c r="I5168" i="58"/>
  <c r="J5168" i="58" s="1"/>
  <c r="H5168" i="58"/>
  <c r="P5167" i="58"/>
  <c r="O5167" i="58"/>
  <c r="L5167" i="58"/>
  <c r="I5167" i="58"/>
  <c r="J5167" i="58" s="1"/>
  <c r="H5167" i="58"/>
  <c r="P5166" i="58"/>
  <c r="O5166" i="58"/>
  <c r="L5166" i="58"/>
  <c r="I5166" i="58"/>
  <c r="J5166" i="58" s="1"/>
  <c r="H5166" i="58"/>
  <c r="P5165" i="58"/>
  <c r="O5165" i="58"/>
  <c r="L5165" i="58"/>
  <c r="I5165" i="58"/>
  <c r="J5165" i="58" s="1"/>
  <c r="H5165" i="58"/>
  <c r="P5164" i="58"/>
  <c r="O5164" i="58"/>
  <c r="L5164" i="58"/>
  <c r="I5164" i="58"/>
  <c r="J5164" i="58" s="1"/>
  <c r="H5164" i="58"/>
  <c r="P5163" i="58"/>
  <c r="O5163" i="58"/>
  <c r="L5163" i="58"/>
  <c r="I5163" i="58"/>
  <c r="J5163" i="58" s="1"/>
  <c r="H5163" i="58"/>
  <c r="P5162" i="58"/>
  <c r="O5162" i="58"/>
  <c r="L5162" i="58"/>
  <c r="I5162" i="58"/>
  <c r="J5162" i="58" s="1"/>
  <c r="H5162" i="58"/>
  <c r="P5161" i="58"/>
  <c r="O5161" i="58"/>
  <c r="L5161" i="58"/>
  <c r="I5161" i="58"/>
  <c r="J5161" i="58" s="1"/>
  <c r="H5161" i="58"/>
  <c r="P5160" i="58"/>
  <c r="O5160" i="58"/>
  <c r="L5160" i="58"/>
  <c r="I5160" i="58"/>
  <c r="J5160" i="58" s="1"/>
  <c r="H5160" i="58"/>
  <c r="P5159" i="58"/>
  <c r="O5159" i="58"/>
  <c r="L5159" i="58"/>
  <c r="I5159" i="58"/>
  <c r="J5159" i="58" s="1"/>
  <c r="H5159" i="58"/>
  <c r="P5158" i="58"/>
  <c r="O5158" i="58"/>
  <c r="L5158" i="58"/>
  <c r="I5158" i="58"/>
  <c r="J5158" i="58" s="1"/>
  <c r="H5158" i="58"/>
  <c r="P5157" i="58"/>
  <c r="O5157" i="58"/>
  <c r="L5157" i="58"/>
  <c r="I5157" i="58"/>
  <c r="J5157" i="58" s="1"/>
  <c r="H5157" i="58"/>
  <c r="P5156" i="58"/>
  <c r="O5156" i="58"/>
  <c r="L5156" i="58"/>
  <c r="I5156" i="58"/>
  <c r="J5156" i="58" s="1"/>
  <c r="H5156" i="58"/>
  <c r="P5155" i="58"/>
  <c r="O5155" i="58"/>
  <c r="L5155" i="58"/>
  <c r="I5155" i="58"/>
  <c r="J5155" i="58" s="1"/>
  <c r="H5155" i="58"/>
  <c r="P5154" i="58"/>
  <c r="O5154" i="58"/>
  <c r="L5154" i="58"/>
  <c r="I5154" i="58"/>
  <c r="J5154" i="58" s="1"/>
  <c r="H5154" i="58"/>
  <c r="P5153" i="58"/>
  <c r="O5153" i="58"/>
  <c r="L5153" i="58"/>
  <c r="I5153" i="58"/>
  <c r="J5153" i="58" s="1"/>
  <c r="H5153" i="58"/>
  <c r="P5152" i="58"/>
  <c r="O5152" i="58"/>
  <c r="L5152" i="58"/>
  <c r="I5152" i="58"/>
  <c r="J5152" i="58" s="1"/>
  <c r="H5152" i="58"/>
  <c r="P5151" i="58"/>
  <c r="O5151" i="58"/>
  <c r="L5151" i="58"/>
  <c r="I5151" i="58"/>
  <c r="J5151" i="58" s="1"/>
  <c r="H5151" i="58"/>
  <c r="P5150" i="58"/>
  <c r="O5150" i="58"/>
  <c r="L5150" i="58"/>
  <c r="I5150" i="58"/>
  <c r="J5150" i="58" s="1"/>
  <c r="H5150" i="58"/>
  <c r="P5149" i="58"/>
  <c r="O5149" i="58"/>
  <c r="L5149" i="58"/>
  <c r="I5149" i="58"/>
  <c r="J5149" i="58" s="1"/>
  <c r="H5149" i="58"/>
  <c r="P5148" i="58"/>
  <c r="O5148" i="58"/>
  <c r="L5148" i="58"/>
  <c r="I5148" i="58"/>
  <c r="J5148" i="58" s="1"/>
  <c r="H5148" i="58"/>
  <c r="P5147" i="58"/>
  <c r="O5147" i="58"/>
  <c r="L5147" i="58"/>
  <c r="I5147" i="58"/>
  <c r="J5147" i="58" s="1"/>
  <c r="H5147" i="58"/>
  <c r="P5146" i="58"/>
  <c r="O5146" i="58"/>
  <c r="L5146" i="58"/>
  <c r="I5146" i="58"/>
  <c r="J5146" i="58" s="1"/>
  <c r="H5146" i="58"/>
  <c r="P5145" i="58"/>
  <c r="O5145" i="58"/>
  <c r="L5145" i="58"/>
  <c r="I5145" i="58"/>
  <c r="J5145" i="58" s="1"/>
  <c r="H5145" i="58"/>
  <c r="P5144" i="58"/>
  <c r="O5144" i="58"/>
  <c r="L5144" i="58"/>
  <c r="I5144" i="58"/>
  <c r="J5144" i="58" s="1"/>
  <c r="H5144" i="58"/>
  <c r="P5143" i="58"/>
  <c r="O5143" i="58"/>
  <c r="L5143" i="58"/>
  <c r="I5143" i="58"/>
  <c r="J5143" i="58" s="1"/>
  <c r="H5143" i="58"/>
  <c r="P5142" i="58"/>
  <c r="O5142" i="58"/>
  <c r="L5142" i="58"/>
  <c r="I5142" i="58"/>
  <c r="J5142" i="58" s="1"/>
  <c r="H5142" i="58"/>
  <c r="P5141" i="58"/>
  <c r="O5141" i="58"/>
  <c r="L5141" i="58"/>
  <c r="I5141" i="58"/>
  <c r="J5141" i="58" s="1"/>
  <c r="H5141" i="58"/>
  <c r="P5140" i="58"/>
  <c r="O5140" i="58"/>
  <c r="L5140" i="58"/>
  <c r="I5140" i="58"/>
  <c r="J5140" i="58" s="1"/>
  <c r="H5140" i="58"/>
  <c r="P5139" i="58"/>
  <c r="O5139" i="58"/>
  <c r="L5139" i="58"/>
  <c r="I5139" i="58"/>
  <c r="J5139" i="58" s="1"/>
  <c r="H5139" i="58"/>
  <c r="P5138" i="58"/>
  <c r="O5138" i="58"/>
  <c r="L5138" i="58"/>
  <c r="I5138" i="58"/>
  <c r="J5138" i="58" s="1"/>
  <c r="H5138" i="58"/>
  <c r="P5137" i="58"/>
  <c r="O5137" i="58"/>
  <c r="L5137" i="58"/>
  <c r="I5137" i="58"/>
  <c r="J5137" i="58" s="1"/>
  <c r="H5137" i="58"/>
  <c r="P5136" i="58"/>
  <c r="O5136" i="58"/>
  <c r="L5136" i="58"/>
  <c r="I5136" i="58"/>
  <c r="J5136" i="58" s="1"/>
  <c r="H5136" i="58"/>
  <c r="P5135" i="58"/>
  <c r="O5135" i="58"/>
  <c r="L5135" i="58"/>
  <c r="I5135" i="58"/>
  <c r="J5135" i="58" s="1"/>
  <c r="H5135" i="58"/>
  <c r="P5134" i="58"/>
  <c r="O5134" i="58"/>
  <c r="L5134" i="58"/>
  <c r="I5134" i="58"/>
  <c r="J5134" i="58" s="1"/>
  <c r="H5134" i="58"/>
  <c r="P5133" i="58"/>
  <c r="O5133" i="58"/>
  <c r="L5133" i="58"/>
  <c r="I5133" i="58"/>
  <c r="J5133" i="58" s="1"/>
  <c r="H5133" i="58"/>
  <c r="P5132" i="58"/>
  <c r="O5132" i="58"/>
  <c r="L5132" i="58"/>
  <c r="I5132" i="58"/>
  <c r="J5132" i="58" s="1"/>
  <c r="H5132" i="58"/>
  <c r="P5131" i="58"/>
  <c r="O5131" i="58"/>
  <c r="L5131" i="58"/>
  <c r="I5131" i="58"/>
  <c r="J5131" i="58" s="1"/>
  <c r="H5131" i="58"/>
  <c r="P5130" i="58"/>
  <c r="O5130" i="58"/>
  <c r="L5130" i="58"/>
  <c r="I5130" i="58"/>
  <c r="J5130" i="58" s="1"/>
  <c r="H5130" i="58"/>
  <c r="P5129" i="58"/>
  <c r="O5129" i="58"/>
  <c r="L5129" i="58"/>
  <c r="I5129" i="58"/>
  <c r="J5129" i="58" s="1"/>
  <c r="H5129" i="58"/>
  <c r="P5128" i="58"/>
  <c r="O5128" i="58"/>
  <c r="L5128" i="58"/>
  <c r="I5128" i="58"/>
  <c r="J5128" i="58" s="1"/>
  <c r="H5128" i="58"/>
  <c r="P5127" i="58"/>
  <c r="O5127" i="58"/>
  <c r="L5127" i="58"/>
  <c r="I5127" i="58"/>
  <c r="J5127" i="58" s="1"/>
  <c r="H5127" i="58"/>
  <c r="P5126" i="58"/>
  <c r="O5126" i="58"/>
  <c r="L5126" i="58"/>
  <c r="I5126" i="58"/>
  <c r="J5126" i="58" s="1"/>
  <c r="H5126" i="58"/>
  <c r="P5125" i="58"/>
  <c r="O5125" i="58"/>
  <c r="L5125" i="58"/>
  <c r="I5125" i="58"/>
  <c r="J5125" i="58" s="1"/>
  <c r="H5125" i="58"/>
  <c r="P5124" i="58"/>
  <c r="O5124" i="58"/>
  <c r="L5124" i="58"/>
  <c r="I5124" i="58"/>
  <c r="J5124" i="58" s="1"/>
  <c r="H5124" i="58"/>
  <c r="P5123" i="58"/>
  <c r="O5123" i="58"/>
  <c r="L5123" i="58"/>
  <c r="I5123" i="58"/>
  <c r="J5123" i="58" s="1"/>
  <c r="H5123" i="58"/>
  <c r="P5122" i="58"/>
  <c r="O5122" i="58"/>
  <c r="L5122" i="58"/>
  <c r="I5122" i="58"/>
  <c r="J5122" i="58" s="1"/>
  <c r="H5122" i="58"/>
  <c r="P5121" i="58"/>
  <c r="O5121" i="58"/>
  <c r="L5121" i="58"/>
  <c r="I5121" i="58"/>
  <c r="J5121" i="58" s="1"/>
  <c r="H5121" i="58"/>
  <c r="P5120" i="58"/>
  <c r="O5120" i="58"/>
  <c r="L5120" i="58"/>
  <c r="I5120" i="58"/>
  <c r="J5120" i="58" s="1"/>
  <c r="H5120" i="58"/>
  <c r="P5119" i="58"/>
  <c r="O5119" i="58"/>
  <c r="L5119" i="58"/>
  <c r="I5119" i="58"/>
  <c r="J5119" i="58" s="1"/>
  <c r="H5119" i="58"/>
  <c r="P5118" i="58"/>
  <c r="O5118" i="58"/>
  <c r="L5118" i="58"/>
  <c r="I5118" i="58"/>
  <c r="J5118" i="58" s="1"/>
  <c r="H5118" i="58"/>
  <c r="P5117" i="58"/>
  <c r="O5117" i="58"/>
  <c r="L5117" i="58"/>
  <c r="I5117" i="58"/>
  <c r="J5117" i="58" s="1"/>
  <c r="H5117" i="58"/>
  <c r="P5116" i="58"/>
  <c r="O5116" i="58"/>
  <c r="L5116" i="58"/>
  <c r="I5116" i="58"/>
  <c r="J5116" i="58" s="1"/>
  <c r="H5116" i="58"/>
  <c r="P5115" i="58"/>
  <c r="O5115" i="58"/>
  <c r="L5115" i="58"/>
  <c r="I5115" i="58"/>
  <c r="J5115" i="58" s="1"/>
  <c r="H5115" i="58"/>
  <c r="P5114" i="58"/>
  <c r="O5114" i="58"/>
  <c r="L5114" i="58"/>
  <c r="I5114" i="58"/>
  <c r="J5114" i="58" s="1"/>
  <c r="H5114" i="58"/>
  <c r="P5113" i="58"/>
  <c r="O5113" i="58"/>
  <c r="L5113" i="58"/>
  <c r="I5113" i="58"/>
  <c r="J5113" i="58" s="1"/>
  <c r="H5113" i="58"/>
  <c r="P5112" i="58"/>
  <c r="O5112" i="58"/>
  <c r="L5112" i="58"/>
  <c r="I5112" i="58"/>
  <c r="J5112" i="58" s="1"/>
  <c r="H5112" i="58"/>
  <c r="P5111" i="58"/>
  <c r="O5111" i="58"/>
  <c r="L5111" i="58"/>
  <c r="I5111" i="58"/>
  <c r="J5111" i="58" s="1"/>
  <c r="H5111" i="58"/>
  <c r="P5110" i="58"/>
  <c r="O5110" i="58"/>
  <c r="L5110" i="58"/>
  <c r="I5110" i="58"/>
  <c r="J5110" i="58" s="1"/>
  <c r="H5110" i="58"/>
  <c r="P5109" i="58"/>
  <c r="O5109" i="58"/>
  <c r="L5109" i="58"/>
  <c r="I5109" i="58"/>
  <c r="J5109" i="58" s="1"/>
  <c r="H5109" i="58"/>
  <c r="P5108" i="58"/>
  <c r="O5108" i="58"/>
  <c r="L5108" i="58"/>
  <c r="I5108" i="58"/>
  <c r="J5108" i="58" s="1"/>
  <c r="H5108" i="58"/>
  <c r="P5107" i="58"/>
  <c r="O5107" i="58"/>
  <c r="L5107" i="58"/>
  <c r="I5107" i="58"/>
  <c r="J5107" i="58" s="1"/>
  <c r="H5107" i="58"/>
  <c r="P5106" i="58"/>
  <c r="O5106" i="58"/>
  <c r="L5106" i="58"/>
  <c r="I5106" i="58"/>
  <c r="J5106" i="58" s="1"/>
  <c r="H5106" i="58"/>
  <c r="P5105" i="58"/>
  <c r="O5105" i="58"/>
  <c r="L5105" i="58"/>
  <c r="I5105" i="58"/>
  <c r="J5105" i="58" s="1"/>
  <c r="H5105" i="58"/>
  <c r="P5104" i="58"/>
  <c r="O5104" i="58"/>
  <c r="L5104" i="58"/>
  <c r="I5104" i="58"/>
  <c r="J5104" i="58" s="1"/>
  <c r="H5104" i="58"/>
  <c r="P5103" i="58"/>
  <c r="O5103" i="58"/>
  <c r="L5103" i="58"/>
  <c r="I5103" i="58"/>
  <c r="J5103" i="58" s="1"/>
  <c r="H5103" i="58"/>
  <c r="P5102" i="58"/>
  <c r="O5102" i="58"/>
  <c r="L5102" i="58"/>
  <c r="I5102" i="58"/>
  <c r="J5102" i="58" s="1"/>
  <c r="H5102" i="58"/>
  <c r="P5101" i="58"/>
  <c r="O5101" i="58"/>
  <c r="L5101" i="58"/>
  <c r="I5101" i="58"/>
  <c r="J5101" i="58" s="1"/>
  <c r="H5101" i="58"/>
  <c r="G5101" i="58"/>
  <c r="P5100" i="58"/>
  <c r="O5100" i="58"/>
  <c r="L5100" i="58"/>
  <c r="I5100" i="58"/>
  <c r="J5100" i="58" s="1"/>
  <c r="H5100" i="58"/>
  <c r="P5099" i="58"/>
  <c r="O5099" i="58"/>
  <c r="L5099" i="58"/>
  <c r="I5099" i="58"/>
  <c r="J5099" i="58" s="1"/>
  <c r="H5099" i="58"/>
  <c r="G5099" i="58"/>
  <c r="P5098" i="58"/>
  <c r="O5098" i="58"/>
  <c r="L5098" i="58"/>
  <c r="I5098" i="58"/>
  <c r="J5098" i="58" s="1"/>
  <c r="H5098" i="58"/>
  <c r="P5097" i="58"/>
  <c r="O5097" i="58"/>
  <c r="L5097" i="58"/>
  <c r="I5097" i="58"/>
  <c r="J5097" i="58" s="1"/>
  <c r="H5097" i="58"/>
  <c r="P5096" i="58"/>
  <c r="O5096" i="58"/>
  <c r="L5096" i="58"/>
  <c r="I5096" i="58"/>
  <c r="J5096" i="58" s="1"/>
  <c r="H5096" i="58"/>
  <c r="G5096" i="58"/>
  <c r="P5095" i="58"/>
  <c r="O5095" i="58"/>
  <c r="L5095" i="58"/>
  <c r="I5095" i="58"/>
  <c r="J5095" i="58" s="1"/>
  <c r="H5095" i="58"/>
  <c r="G5095" i="58"/>
  <c r="P5094" i="58"/>
  <c r="O5094" i="58"/>
  <c r="L5094" i="58"/>
  <c r="I5094" i="58"/>
  <c r="J5094" i="58" s="1"/>
  <c r="H5094" i="58"/>
  <c r="P5093" i="58"/>
  <c r="O5093" i="58"/>
  <c r="L5093" i="58"/>
  <c r="I5093" i="58"/>
  <c r="J5093" i="58" s="1"/>
  <c r="H5093" i="58"/>
  <c r="P5092" i="58"/>
  <c r="O5092" i="58"/>
  <c r="L5092" i="58"/>
  <c r="I5092" i="58"/>
  <c r="J5092" i="58" s="1"/>
  <c r="H5092" i="58"/>
  <c r="P5091" i="58"/>
  <c r="O5091" i="58"/>
  <c r="L5091" i="58"/>
  <c r="I5091" i="58"/>
  <c r="J5091" i="58" s="1"/>
  <c r="H5091" i="58"/>
  <c r="P5090" i="58"/>
  <c r="O5090" i="58"/>
  <c r="L5090" i="58"/>
  <c r="I5090" i="58"/>
  <c r="J5090" i="58" s="1"/>
  <c r="H5090" i="58"/>
  <c r="P5089" i="58"/>
  <c r="O5089" i="58"/>
  <c r="L5089" i="58"/>
  <c r="I5089" i="58"/>
  <c r="J5089" i="58" s="1"/>
  <c r="H5089" i="58"/>
  <c r="P5088" i="58"/>
  <c r="O5088" i="58"/>
  <c r="L5088" i="58"/>
  <c r="I5088" i="58"/>
  <c r="J5088" i="58" s="1"/>
  <c r="H5088" i="58"/>
  <c r="P5087" i="58"/>
  <c r="O5087" i="58"/>
  <c r="L5087" i="58"/>
  <c r="I5087" i="58"/>
  <c r="J5087" i="58" s="1"/>
  <c r="H5087" i="58"/>
  <c r="P5086" i="58"/>
  <c r="O5086" i="58"/>
  <c r="L5086" i="58"/>
  <c r="I5086" i="58"/>
  <c r="J5086" i="58" s="1"/>
  <c r="H5086" i="58"/>
  <c r="P5085" i="58"/>
  <c r="O5085" i="58"/>
  <c r="L5085" i="58"/>
  <c r="I5085" i="58"/>
  <c r="J5085" i="58" s="1"/>
  <c r="H5085" i="58"/>
  <c r="P5084" i="58"/>
  <c r="O5084" i="58"/>
  <c r="L5084" i="58"/>
  <c r="I5084" i="58"/>
  <c r="J5084" i="58" s="1"/>
  <c r="H5084" i="58"/>
  <c r="P5083" i="58"/>
  <c r="O5083" i="58"/>
  <c r="L5083" i="58"/>
  <c r="I5083" i="58"/>
  <c r="J5083" i="58" s="1"/>
  <c r="H5083" i="58"/>
  <c r="P5082" i="58"/>
  <c r="O5082" i="58"/>
  <c r="L5082" i="58"/>
  <c r="I5082" i="58"/>
  <c r="J5082" i="58" s="1"/>
  <c r="H5082" i="58"/>
  <c r="P5081" i="58"/>
  <c r="O5081" i="58"/>
  <c r="L5081" i="58"/>
  <c r="I5081" i="58"/>
  <c r="J5081" i="58" s="1"/>
  <c r="H5081" i="58"/>
  <c r="P5080" i="58"/>
  <c r="O5080" i="58"/>
  <c r="L5080" i="58"/>
  <c r="I5080" i="58"/>
  <c r="J5080" i="58" s="1"/>
  <c r="H5080" i="58"/>
  <c r="P5079" i="58"/>
  <c r="O5079" i="58"/>
  <c r="L5079" i="58"/>
  <c r="I5079" i="58"/>
  <c r="J5079" i="58" s="1"/>
  <c r="H5079" i="58"/>
  <c r="P5078" i="58"/>
  <c r="O5078" i="58"/>
  <c r="L5078" i="58"/>
  <c r="I5078" i="58"/>
  <c r="J5078" i="58" s="1"/>
  <c r="H5078" i="58"/>
  <c r="P5077" i="58"/>
  <c r="O5077" i="58"/>
  <c r="L5077" i="58"/>
  <c r="I5077" i="58"/>
  <c r="J5077" i="58" s="1"/>
  <c r="H5077" i="58"/>
  <c r="P5076" i="58"/>
  <c r="O5076" i="58"/>
  <c r="L5076" i="58"/>
  <c r="I5076" i="58"/>
  <c r="J5076" i="58" s="1"/>
  <c r="H5076" i="58"/>
  <c r="P5075" i="58"/>
  <c r="O5075" i="58"/>
  <c r="L5075" i="58"/>
  <c r="I5075" i="58"/>
  <c r="J5075" i="58" s="1"/>
  <c r="H5075" i="58"/>
  <c r="P5074" i="58"/>
  <c r="O5074" i="58"/>
  <c r="L5074" i="58"/>
  <c r="I5074" i="58"/>
  <c r="J5074" i="58" s="1"/>
  <c r="H5074" i="58"/>
  <c r="P5073" i="58"/>
  <c r="O5073" i="58"/>
  <c r="L5073" i="58"/>
  <c r="I5073" i="58"/>
  <c r="J5073" i="58" s="1"/>
  <c r="H5073" i="58"/>
  <c r="P5072" i="58"/>
  <c r="O5072" i="58"/>
  <c r="L5072" i="58"/>
  <c r="I5072" i="58"/>
  <c r="J5072" i="58" s="1"/>
  <c r="H5072" i="58"/>
  <c r="P5071" i="58"/>
  <c r="O5071" i="58"/>
  <c r="L5071" i="58"/>
  <c r="I5071" i="58"/>
  <c r="J5071" i="58" s="1"/>
  <c r="H5071" i="58"/>
  <c r="P5070" i="58"/>
  <c r="O5070" i="58"/>
  <c r="L5070" i="58"/>
  <c r="I5070" i="58"/>
  <c r="J5070" i="58" s="1"/>
  <c r="H5070" i="58"/>
  <c r="P5069" i="58"/>
  <c r="O5069" i="58"/>
  <c r="L5069" i="58"/>
  <c r="I5069" i="58"/>
  <c r="J5069" i="58" s="1"/>
  <c r="H5069" i="58"/>
  <c r="P5068" i="58"/>
  <c r="O5068" i="58"/>
  <c r="L5068" i="58"/>
  <c r="I5068" i="58"/>
  <c r="J5068" i="58" s="1"/>
  <c r="H5068" i="58"/>
  <c r="P5067" i="58"/>
  <c r="O5067" i="58"/>
  <c r="L5067" i="58"/>
  <c r="I5067" i="58"/>
  <c r="J5067" i="58" s="1"/>
  <c r="H5067" i="58"/>
  <c r="P5066" i="58"/>
  <c r="O5066" i="58"/>
  <c r="L5066" i="58"/>
  <c r="I5066" i="58"/>
  <c r="J5066" i="58" s="1"/>
  <c r="H5066" i="58"/>
  <c r="P5065" i="58"/>
  <c r="O5065" i="58"/>
  <c r="L5065" i="58"/>
  <c r="I5065" i="58"/>
  <c r="J5065" i="58" s="1"/>
  <c r="H5065" i="58"/>
  <c r="P5064" i="58"/>
  <c r="O5064" i="58"/>
  <c r="L5064" i="58"/>
  <c r="I5064" i="58"/>
  <c r="J5064" i="58" s="1"/>
  <c r="H5064" i="58"/>
  <c r="P5063" i="58"/>
  <c r="O5063" i="58"/>
  <c r="L5063" i="58"/>
  <c r="I5063" i="58"/>
  <c r="J5063" i="58" s="1"/>
  <c r="H5063" i="58"/>
  <c r="P5062" i="58"/>
  <c r="O5062" i="58"/>
  <c r="L5062" i="58"/>
  <c r="I5062" i="58"/>
  <c r="J5062" i="58" s="1"/>
  <c r="H5062" i="58"/>
  <c r="P5061" i="58"/>
  <c r="O5061" i="58"/>
  <c r="L5061" i="58"/>
  <c r="I5061" i="58"/>
  <c r="J5061" i="58" s="1"/>
  <c r="H5061" i="58"/>
  <c r="P5060" i="58"/>
  <c r="O5060" i="58"/>
  <c r="L5060" i="58"/>
  <c r="I5060" i="58"/>
  <c r="J5060" i="58" s="1"/>
  <c r="H5060" i="58"/>
  <c r="P5059" i="58"/>
  <c r="O5059" i="58"/>
  <c r="L5059" i="58"/>
  <c r="I5059" i="58"/>
  <c r="J5059" i="58" s="1"/>
  <c r="H5059" i="58"/>
  <c r="P5058" i="58"/>
  <c r="O5058" i="58"/>
  <c r="L5058" i="58"/>
  <c r="I5058" i="58"/>
  <c r="J5058" i="58" s="1"/>
  <c r="H5058" i="58"/>
  <c r="P5057" i="58"/>
  <c r="O5057" i="58"/>
  <c r="L5057" i="58"/>
  <c r="I5057" i="58"/>
  <c r="J5057" i="58" s="1"/>
  <c r="H5057" i="58"/>
  <c r="P5056" i="58"/>
  <c r="O5056" i="58"/>
  <c r="L5056" i="58"/>
  <c r="I5056" i="58"/>
  <c r="J5056" i="58" s="1"/>
  <c r="H5056" i="58"/>
  <c r="P5055" i="58"/>
  <c r="O5055" i="58"/>
  <c r="L5055" i="58"/>
  <c r="I5055" i="58"/>
  <c r="J5055" i="58" s="1"/>
  <c r="H5055" i="58"/>
  <c r="P5054" i="58"/>
  <c r="O5054" i="58"/>
  <c r="L5054" i="58"/>
  <c r="I5054" i="58"/>
  <c r="J5054" i="58" s="1"/>
  <c r="H5054" i="58"/>
  <c r="P5053" i="58"/>
  <c r="O5053" i="58"/>
  <c r="L5053" i="58"/>
  <c r="I5053" i="58"/>
  <c r="J5053" i="58" s="1"/>
  <c r="H5053" i="58"/>
  <c r="P5052" i="58"/>
  <c r="O5052" i="58"/>
  <c r="L5052" i="58"/>
  <c r="I5052" i="58"/>
  <c r="J5052" i="58" s="1"/>
  <c r="H5052" i="58"/>
  <c r="P5051" i="58"/>
  <c r="O5051" i="58"/>
  <c r="L5051" i="58"/>
  <c r="I5051" i="58"/>
  <c r="J5051" i="58" s="1"/>
  <c r="H5051" i="58"/>
  <c r="P5050" i="58"/>
  <c r="O5050" i="58"/>
  <c r="L5050" i="58"/>
  <c r="I5050" i="58"/>
  <c r="J5050" i="58" s="1"/>
  <c r="H5050" i="58"/>
  <c r="P5049" i="58"/>
  <c r="O5049" i="58"/>
  <c r="L5049" i="58"/>
  <c r="I5049" i="58"/>
  <c r="J5049" i="58" s="1"/>
  <c r="H5049" i="58"/>
  <c r="P5048" i="58"/>
  <c r="O5048" i="58"/>
  <c r="L5048" i="58"/>
  <c r="I5048" i="58"/>
  <c r="J5048" i="58" s="1"/>
  <c r="H5048" i="58"/>
  <c r="P5047" i="58"/>
  <c r="O5047" i="58"/>
  <c r="L5047" i="58"/>
  <c r="I5047" i="58"/>
  <c r="J5047" i="58" s="1"/>
  <c r="H5047" i="58"/>
  <c r="P5046" i="58"/>
  <c r="O5046" i="58"/>
  <c r="L5046" i="58"/>
  <c r="I5046" i="58"/>
  <c r="J5046" i="58" s="1"/>
  <c r="H5046" i="58"/>
  <c r="P5045" i="58"/>
  <c r="O5045" i="58"/>
  <c r="L5045" i="58"/>
  <c r="I5045" i="58"/>
  <c r="J5045" i="58" s="1"/>
  <c r="H5045" i="58"/>
  <c r="P5044" i="58"/>
  <c r="O5044" i="58"/>
  <c r="L5044" i="58"/>
  <c r="I5044" i="58"/>
  <c r="J5044" i="58" s="1"/>
  <c r="H5044" i="58"/>
  <c r="P5043" i="58"/>
  <c r="O5043" i="58"/>
  <c r="L5043" i="58"/>
  <c r="I5043" i="58"/>
  <c r="J5043" i="58" s="1"/>
  <c r="H5043" i="58"/>
  <c r="P5042" i="58"/>
  <c r="O5042" i="58"/>
  <c r="L5042" i="58"/>
  <c r="I5042" i="58"/>
  <c r="J5042" i="58" s="1"/>
  <c r="H5042" i="58"/>
  <c r="P5041" i="58"/>
  <c r="O5041" i="58"/>
  <c r="L5041" i="58"/>
  <c r="I5041" i="58"/>
  <c r="J5041" i="58" s="1"/>
  <c r="H5041" i="58"/>
  <c r="P5040" i="58"/>
  <c r="O5040" i="58"/>
  <c r="L5040" i="58"/>
  <c r="I5040" i="58"/>
  <c r="J5040" i="58" s="1"/>
  <c r="H5040" i="58"/>
  <c r="P5039" i="58"/>
  <c r="O5039" i="58"/>
  <c r="L5039" i="58"/>
  <c r="I5039" i="58"/>
  <c r="J5039" i="58" s="1"/>
  <c r="H5039" i="58"/>
  <c r="P5038" i="58"/>
  <c r="O5038" i="58"/>
  <c r="L5038" i="58"/>
  <c r="I5038" i="58"/>
  <c r="J5038" i="58" s="1"/>
  <c r="H5038" i="58"/>
  <c r="P5037" i="58"/>
  <c r="O5037" i="58"/>
  <c r="L5037" i="58"/>
  <c r="I5037" i="58"/>
  <c r="J5037" i="58" s="1"/>
  <c r="H5037" i="58"/>
  <c r="P5036" i="58"/>
  <c r="O5036" i="58"/>
  <c r="L5036" i="58"/>
  <c r="I5036" i="58"/>
  <c r="J5036" i="58" s="1"/>
  <c r="H5036" i="58"/>
  <c r="P5035" i="58"/>
  <c r="O5035" i="58"/>
  <c r="L5035" i="58"/>
  <c r="I5035" i="58"/>
  <c r="J5035" i="58" s="1"/>
  <c r="H5035" i="58"/>
  <c r="P5034" i="58"/>
  <c r="O5034" i="58"/>
  <c r="L5034" i="58"/>
  <c r="I5034" i="58"/>
  <c r="J5034" i="58" s="1"/>
  <c r="H5034" i="58"/>
  <c r="P5033" i="58"/>
  <c r="O5033" i="58"/>
  <c r="L5033" i="58"/>
  <c r="I5033" i="58"/>
  <c r="J5033" i="58" s="1"/>
  <c r="H5033" i="58"/>
  <c r="P5032" i="58"/>
  <c r="O5032" i="58"/>
  <c r="L5032" i="58"/>
  <c r="I5032" i="58"/>
  <c r="J5032" i="58" s="1"/>
  <c r="H5032" i="58"/>
  <c r="P5031" i="58"/>
  <c r="O5031" i="58"/>
  <c r="L5031" i="58"/>
  <c r="I5031" i="58"/>
  <c r="J5031" i="58" s="1"/>
  <c r="H5031" i="58"/>
  <c r="P5030" i="58"/>
  <c r="O5030" i="58"/>
  <c r="L5030" i="58"/>
  <c r="I5030" i="58"/>
  <c r="J5030" i="58" s="1"/>
  <c r="H5030" i="58"/>
  <c r="P5029" i="58"/>
  <c r="O5029" i="58"/>
  <c r="L5029" i="58"/>
  <c r="I5029" i="58"/>
  <c r="J5029" i="58" s="1"/>
  <c r="H5029" i="58"/>
  <c r="P5028" i="58"/>
  <c r="O5028" i="58"/>
  <c r="L5028" i="58"/>
  <c r="I5028" i="58"/>
  <c r="J5028" i="58" s="1"/>
  <c r="H5028" i="58"/>
  <c r="P5027" i="58"/>
  <c r="O5027" i="58"/>
  <c r="L5027" i="58"/>
  <c r="I5027" i="58"/>
  <c r="J5027" i="58" s="1"/>
  <c r="H5027" i="58"/>
  <c r="P5026" i="58"/>
  <c r="O5026" i="58"/>
  <c r="L5026" i="58"/>
  <c r="I5026" i="58"/>
  <c r="J5026" i="58" s="1"/>
  <c r="H5026" i="58"/>
  <c r="P5025" i="58"/>
  <c r="O5025" i="58"/>
  <c r="L5025" i="58"/>
  <c r="I5025" i="58"/>
  <c r="J5025" i="58" s="1"/>
  <c r="H5025" i="58"/>
  <c r="P5024" i="58"/>
  <c r="O5024" i="58"/>
  <c r="L5024" i="58"/>
  <c r="I5024" i="58"/>
  <c r="J5024" i="58" s="1"/>
  <c r="H5024" i="58"/>
  <c r="P5023" i="58"/>
  <c r="O5023" i="58"/>
  <c r="L5023" i="58"/>
  <c r="I5023" i="58"/>
  <c r="J5023" i="58" s="1"/>
  <c r="H5023" i="58"/>
  <c r="P5022" i="58"/>
  <c r="O5022" i="58"/>
  <c r="L5022" i="58"/>
  <c r="I5022" i="58"/>
  <c r="J5022" i="58" s="1"/>
  <c r="H5022" i="58"/>
  <c r="P5021" i="58"/>
  <c r="O5021" i="58"/>
  <c r="L5021" i="58"/>
  <c r="I5021" i="58"/>
  <c r="J5021" i="58" s="1"/>
  <c r="H5021" i="58"/>
  <c r="P5020" i="58"/>
  <c r="O5020" i="58"/>
  <c r="L5020" i="58"/>
  <c r="I5020" i="58"/>
  <c r="J5020" i="58" s="1"/>
  <c r="H5020" i="58"/>
  <c r="P5019" i="58"/>
  <c r="O5019" i="58"/>
  <c r="L5019" i="58"/>
  <c r="I5019" i="58"/>
  <c r="J5019" i="58" s="1"/>
  <c r="H5019" i="58"/>
  <c r="P5018" i="58"/>
  <c r="O5018" i="58"/>
  <c r="L5018" i="58"/>
  <c r="I5018" i="58"/>
  <c r="J5018" i="58" s="1"/>
  <c r="H5018" i="58"/>
  <c r="P5017" i="58"/>
  <c r="O5017" i="58"/>
  <c r="L5017" i="58"/>
  <c r="I5017" i="58"/>
  <c r="J5017" i="58" s="1"/>
  <c r="H5017" i="58"/>
  <c r="P5016" i="58"/>
  <c r="O5016" i="58"/>
  <c r="L5016" i="58"/>
  <c r="I5016" i="58"/>
  <c r="J5016" i="58" s="1"/>
  <c r="H5016" i="58"/>
  <c r="P5015" i="58"/>
  <c r="O5015" i="58"/>
  <c r="L5015" i="58"/>
  <c r="I5015" i="58"/>
  <c r="J5015" i="58" s="1"/>
  <c r="H5015" i="58"/>
  <c r="P5014" i="58"/>
  <c r="O5014" i="58"/>
  <c r="L5014" i="58"/>
  <c r="I5014" i="58"/>
  <c r="J5014" i="58" s="1"/>
  <c r="H5014" i="58"/>
  <c r="P5013" i="58"/>
  <c r="O5013" i="58"/>
  <c r="L5013" i="58"/>
  <c r="I5013" i="58"/>
  <c r="J5013" i="58" s="1"/>
  <c r="H5013" i="58"/>
  <c r="P5012" i="58"/>
  <c r="O5012" i="58"/>
  <c r="L5012" i="58"/>
  <c r="I5012" i="58"/>
  <c r="J5012" i="58" s="1"/>
  <c r="H5012" i="58"/>
  <c r="P5011" i="58"/>
  <c r="O5011" i="58"/>
  <c r="L5011" i="58"/>
  <c r="I5011" i="58"/>
  <c r="J5011" i="58" s="1"/>
  <c r="H5011" i="58"/>
  <c r="P5010" i="58"/>
  <c r="O5010" i="58"/>
  <c r="L5010" i="58"/>
  <c r="I5010" i="58"/>
  <c r="J5010" i="58" s="1"/>
  <c r="H5010" i="58"/>
  <c r="P5009" i="58"/>
  <c r="O5009" i="58"/>
  <c r="L5009" i="58"/>
  <c r="I5009" i="58"/>
  <c r="J5009" i="58" s="1"/>
  <c r="H5009" i="58"/>
  <c r="P5008" i="58"/>
  <c r="O5008" i="58"/>
  <c r="L5008" i="58"/>
  <c r="I5008" i="58"/>
  <c r="J5008" i="58" s="1"/>
  <c r="H5008" i="58"/>
  <c r="P5007" i="58"/>
  <c r="O5007" i="58"/>
  <c r="L5007" i="58"/>
  <c r="I5007" i="58"/>
  <c r="J5007" i="58" s="1"/>
  <c r="H5007" i="58"/>
  <c r="P5006" i="58"/>
  <c r="O5006" i="58"/>
  <c r="L5006" i="58"/>
  <c r="I5006" i="58"/>
  <c r="J5006" i="58" s="1"/>
  <c r="H5006" i="58"/>
  <c r="P5005" i="58"/>
  <c r="O5005" i="58"/>
  <c r="L5005" i="58"/>
  <c r="I5005" i="58"/>
  <c r="J5005" i="58" s="1"/>
  <c r="H5005" i="58"/>
  <c r="P5004" i="58"/>
  <c r="O5004" i="58"/>
  <c r="L5004" i="58"/>
  <c r="I5004" i="58"/>
  <c r="J5004" i="58" s="1"/>
  <c r="H5004" i="58"/>
  <c r="P5003" i="58"/>
  <c r="O5003" i="58"/>
  <c r="L5003" i="58"/>
  <c r="I5003" i="58"/>
  <c r="J5003" i="58" s="1"/>
  <c r="H5003" i="58"/>
  <c r="P5002" i="58"/>
  <c r="O5002" i="58"/>
  <c r="L5002" i="58"/>
  <c r="I5002" i="58"/>
  <c r="J5002" i="58" s="1"/>
  <c r="H5002" i="58"/>
  <c r="P5001" i="58"/>
  <c r="O5001" i="58"/>
  <c r="L5001" i="58"/>
  <c r="I5001" i="58"/>
  <c r="J5001" i="58" s="1"/>
  <c r="H5001" i="58"/>
  <c r="P5000" i="58"/>
  <c r="O5000" i="58"/>
  <c r="L5000" i="58"/>
  <c r="I5000" i="58"/>
  <c r="J5000" i="58" s="1"/>
  <c r="H5000" i="58"/>
  <c r="P4999" i="58"/>
  <c r="O4999" i="58"/>
  <c r="L4999" i="58"/>
  <c r="I4999" i="58"/>
  <c r="J4999" i="58" s="1"/>
  <c r="H4999" i="58"/>
  <c r="P4998" i="58"/>
  <c r="O4998" i="58"/>
  <c r="L4998" i="58"/>
  <c r="I4998" i="58"/>
  <c r="J4998" i="58" s="1"/>
  <c r="H4998" i="58"/>
  <c r="P4997" i="58"/>
  <c r="O4997" i="58"/>
  <c r="L4997" i="58"/>
  <c r="I4997" i="58"/>
  <c r="J4997" i="58" s="1"/>
  <c r="H4997" i="58"/>
  <c r="P4996" i="58"/>
  <c r="O4996" i="58"/>
  <c r="L4996" i="58"/>
  <c r="I4996" i="58"/>
  <c r="J4996" i="58" s="1"/>
  <c r="H4996" i="58"/>
  <c r="P4995" i="58"/>
  <c r="O4995" i="58"/>
  <c r="L4995" i="58"/>
  <c r="I4995" i="58"/>
  <c r="J4995" i="58" s="1"/>
  <c r="H4995" i="58"/>
  <c r="P4994" i="58"/>
  <c r="O4994" i="58"/>
  <c r="L4994" i="58"/>
  <c r="I4994" i="58"/>
  <c r="J4994" i="58" s="1"/>
  <c r="H4994" i="58"/>
  <c r="P4993" i="58"/>
  <c r="O4993" i="58"/>
  <c r="L4993" i="58"/>
  <c r="I4993" i="58"/>
  <c r="J4993" i="58" s="1"/>
  <c r="H4993" i="58"/>
  <c r="P4992" i="58"/>
  <c r="O4992" i="58"/>
  <c r="L4992" i="58"/>
  <c r="I4992" i="58"/>
  <c r="J4992" i="58" s="1"/>
  <c r="H4992" i="58"/>
  <c r="P4991" i="58"/>
  <c r="O4991" i="58"/>
  <c r="L4991" i="58"/>
  <c r="I4991" i="58"/>
  <c r="J4991" i="58" s="1"/>
  <c r="H4991" i="58"/>
  <c r="P4990" i="58"/>
  <c r="O4990" i="58"/>
  <c r="L4990" i="58"/>
  <c r="I4990" i="58"/>
  <c r="J4990" i="58" s="1"/>
  <c r="H4990" i="58"/>
  <c r="P4989" i="58"/>
  <c r="O4989" i="58"/>
  <c r="L4989" i="58"/>
  <c r="I4989" i="58"/>
  <c r="J4989" i="58" s="1"/>
  <c r="H4989" i="58"/>
  <c r="P4988" i="58"/>
  <c r="O4988" i="58"/>
  <c r="L4988" i="58"/>
  <c r="I4988" i="58"/>
  <c r="J4988" i="58" s="1"/>
  <c r="H4988" i="58"/>
  <c r="P4987" i="58"/>
  <c r="O4987" i="58"/>
  <c r="L4987" i="58"/>
  <c r="I4987" i="58"/>
  <c r="J4987" i="58" s="1"/>
  <c r="H4987" i="58"/>
  <c r="P4986" i="58"/>
  <c r="O4986" i="58"/>
  <c r="L4986" i="58"/>
  <c r="I4986" i="58"/>
  <c r="J4986" i="58" s="1"/>
  <c r="H4986" i="58"/>
  <c r="P4985" i="58"/>
  <c r="O4985" i="58"/>
  <c r="L4985" i="58"/>
  <c r="I4985" i="58"/>
  <c r="J4985" i="58" s="1"/>
  <c r="H4985" i="58"/>
  <c r="P4984" i="58"/>
  <c r="O4984" i="58"/>
  <c r="L4984" i="58"/>
  <c r="I4984" i="58"/>
  <c r="J4984" i="58" s="1"/>
  <c r="H4984" i="58"/>
  <c r="P4983" i="58"/>
  <c r="O4983" i="58"/>
  <c r="L4983" i="58"/>
  <c r="I4983" i="58"/>
  <c r="J4983" i="58" s="1"/>
  <c r="H4983" i="58"/>
  <c r="P4982" i="58"/>
  <c r="O4982" i="58"/>
  <c r="L4982" i="58"/>
  <c r="I4982" i="58"/>
  <c r="J4982" i="58" s="1"/>
  <c r="H4982" i="58"/>
  <c r="P4981" i="58"/>
  <c r="O4981" i="58"/>
  <c r="L4981" i="58"/>
  <c r="I4981" i="58"/>
  <c r="J4981" i="58" s="1"/>
  <c r="H4981" i="58"/>
  <c r="P4980" i="58"/>
  <c r="O4980" i="58"/>
  <c r="L4980" i="58"/>
  <c r="I4980" i="58"/>
  <c r="J4980" i="58" s="1"/>
  <c r="H4980" i="58"/>
  <c r="P4979" i="58"/>
  <c r="O4979" i="58"/>
  <c r="L4979" i="58"/>
  <c r="I4979" i="58"/>
  <c r="J4979" i="58" s="1"/>
  <c r="H4979" i="58"/>
  <c r="P4978" i="58"/>
  <c r="O4978" i="58"/>
  <c r="L4978" i="58"/>
  <c r="I4978" i="58"/>
  <c r="J4978" i="58" s="1"/>
  <c r="H4978" i="58"/>
  <c r="P4977" i="58"/>
  <c r="O4977" i="58"/>
  <c r="L4977" i="58"/>
  <c r="I4977" i="58"/>
  <c r="J4977" i="58" s="1"/>
  <c r="H4977" i="58"/>
  <c r="P4976" i="58"/>
  <c r="O4976" i="58"/>
  <c r="L4976" i="58"/>
  <c r="I4976" i="58"/>
  <c r="J4976" i="58" s="1"/>
  <c r="H4976" i="58"/>
  <c r="P4975" i="58"/>
  <c r="O4975" i="58"/>
  <c r="L4975" i="58"/>
  <c r="I4975" i="58"/>
  <c r="J4975" i="58" s="1"/>
  <c r="H4975" i="58"/>
  <c r="P4974" i="58"/>
  <c r="O4974" i="58"/>
  <c r="L4974" i="58"/>
  <c r="I4974" i="58"/>
  <c r="J4974" i="58" s="1"/>
  <c r="H4974" i="58"/>
  <c r="P4973" i="58"/>
  <c r="O4973" i="58"/>
  <c r="L4973" i="58"/>
  <c r="I4973" i="58"/>
  <c r="J4973" i="58" s="1"/>
  <c r="H4973" i="58"/>
  <c r="P4972" i="58"/>
  <c r="O4972" i="58"/>
  <c r="L4972" i="58"/>
  <c r="I4972" i="58"/>
  <c r="J4972" i="58" s="1"/>
  <c r="H4972" i="58"/>
  <c r="P4971" i="58"/>
  <c r="O4971" i="58"/>
  <c r="L4971" i="58"/>
  <c r="I4971" i="58"/>
  <c r="J4971" i="58" s="1"/>
  <c r="H4971" i="58"/>
  <c r="P4970" i="58"/>
  <c r="O4970" i="58"/>
  <c r="L4970" i="58"/>
  <c r="I4970" i="58"/>
  <c r="J4970" i="58" s="1"/>
  <c r="H4970" i="58"/>
  <c r="P4969" i="58"/>
  <c r="O4969" i="58"/>
  <c r="L4969" i="58"/>
  <c r="I4969" i="58"/>
  <c r="J4969" i="58" s="1"/>
  <c r="H4969" i="58"/>
  <c r="P4968" i="58"/>
  <c r="O4968" i="58"/>
  <c r="L4968" i="58"/>
  <c r="I4968" i="58"/>
  <c r="J4968" i="58" s="1"/>
  <c r="H4968" i="58"/>
  <c r="P4967" i="58"/>
  <c r="O4967" i="58"/>
  <c r="L4967" i="58"/>
  <c r="I4967" i="58"/>
  <c r="J4967" i="58" s="1"/>
  <c r="H4967" i="58"/>
  <c r="P4966" i="58"/>
  <c r="O4966" i="58"/>
  <c r="L4966" i="58"/>
  <c r="I4966" i="58"/>
  <c r="J4966" i="58" s="1"/>
  <c r="H4966" i="58"/>
  <c r="P4965" i="58"/>
  <c r="O4965" i="58"/>
  <c r="L4965" i="58"/>
  <c r="I4965" i="58"/>
  <c r="J4965" i="58" s="1"/>
  <c r="H4965" i="58"/>
  <c r="P4964" i="58"/>
  <c r="O4964" i="58"/>
  <c r="L4964" i="58"/>
  <c r="I4964" i="58"/>
  <c r="J4964" i="58" s="1"/>
  <c r="H4964" i="58"/>
  <c r="P4963" i="58"/>
  <c r="O4963" i="58"/>
  <c r="L4963" i="58"/>
  <c r="I4963" i="58"/>
  <c r="J4963" i="58" s="1"/>
  <c r="H4963" i="58"/>
  <c r="P4962" i="58"/>
  <c r="O4962" i="58"/>
  <c r="L4962" i="58"/>
  <c r="I4962" i="58"/>
  <c r="J4962" i="58" s="1"/>
  <c r="H4962" i="58"/>
  <c r="P4961" i="58"/>
  <c r="O4961" i="58"/>
  <c r="L4961" i="58"/>
  <c r="I4961" i="58"/>
  <c r="J4961" i="58" s="1"/>
  <c r="H4961" i="58"/>
  <c r="P4960" i="58"/>
  <c r="O4960" i="58"/>
  <c r="L4960" i="58"/>
  <c r="I4960" i="58"/>
  <c r="J4960" i="58" s="1"/>
  <c r="H4960" i="58"/>
  <c r="P4959" i="58"/>
  <c r="O4959" i="58"/>
  <c r="L4959" i="58"/>
  <c r="I4959" i="58"/>
  <c r="J4959" i="58" s="1"/>
  <c r="H4959" i="58"/>
  <c r="P4958" i="58"/>
  <c r="O4958" i="58"/>
  <c r="L4958" i="58"/>
  <c r="I4958" i="58"/>
  <c r="J4958" i="58" s="1"/>
  <c r="H4958" i="58"/>
  <c r="P4957" i="58"/>
  <c r="O4957" i="58"/>
  <c r="L4957" i="58"/>
  <c r="I4957" i="58"/>
  <c r="J4957" i="58" s="1"/>
  <c r="H4957" i="58"/>
  <c r="P4956" i="58"/>
  <c r="O4956" i="58"/>
  <c r="L4956" i="58"/>
  <c r="I4956" i="58"/>
  <c r="J4956" i="58" s="1"/>
  <c r="H4956" i="58"/>
  <c r="P4955" i="58"/>
  <c r="O4955" i="58"/>
  <c r="L4955" i="58"/>
  <c r="I4955" i="58"/>
  <c r="J4955" i="58" s="1"/>
  <c r="H4955" i="58"/>
  <c r="P4954" i="58"/>
  <c r="O4954" i="58"/>
  <c r="L4954" i="58"/>
  <c r="I4954" i="58"/>
  <c r="J4954" i="58" s="1"/>
  <c r="H4954" i="58"/>
  <c r="P4953" i="58"/>
  <c r="O4953" i="58"/>
  <c r="L4953" i="58"/>
  <c r="I4953" i="58"/>
  <c r="J4953" i="58" s="1"/>
  <c r="H4953" i="58"/>
  <c r="P4952" i="58"/>
  <c r="O4952" i="58"/>
  <c r="L4952" i="58"/>
  <c r="I4952" i="58"/>
  <c r="J4952" i="58" s="1"/>
  <c r="H4952" i="58"/>
  <c r="P4951" i="58"/>
  <c r="O4951" i="58"/>
  <c r="L4951" i="58"/>
  <c r="I4951" i="58"/>
  <c r="J4951" i="58" s="1"/>
  <c r="H4951" i="58"/>
  <c r="P4950" i="58"/>
  <c r="O4950" i="58"/>
  <c r="L4950" i="58"/>
  <c r="I4950" i="58"/>
  <c r="J4950" i="58" s="1"/>
  <c r="H4950" i="58"/>
  <c r="P4949" i="58"/>
  <c r="O4949" i="58"/>
  <c r="L4949" i="58"/>
  <c r="I4949" i="58"/>
  <c r="J4949" i="58" s="1"/>
  <c r="H4949" i="58"/>
  <c r="P4948" i="58"/>
  <c r="O4948" i="58"/>
  <c r="L4948" i="58"/>
  <c r="I4948" i="58"/>
  <c r="J4948" i="58" s="1"/>
  <c r="H4948" i="58"/>
  <c r="P4947" i="58"/>
  <c r="O4947" i="58"/>
  <c r="L4947" i="58"/>
  <c r="I4947" i="58"/>
  <c r="J4947" i="58" s="1"/>
  <c r="H4947" i="58"/>
  <c r="P4946" i="58"/>
  <c r="O4946" i="58"/>
  <c r="L4946" i="58"/>
  <c r="I4946" i="58"/>
  <c r="J4946" i="58" s="1"/>
  <c r="H4946" i="58"/>
  <c r="P4945" i="58"/>
  <c r="O4945" i="58"/>
  <c r="L4945" i="58"/>
  <c r="I4945" i="58"/>
  <c r="J4945" i="58" s="1"/>
  <c r="H4945" i="58"/>
  <c r="P4944" i="58"/>
  <c r="O4944" i="58"/>
  <c r="L4944" i="58"/>
  <c r="I4944" i="58"/>
  <c r="J4944" i="58" s="1"/>
  <c r="H4944" i="58"/>
  <c r="P4943" i="58"/>
  <c r="O4943" i="58"/>
  <c r="L4943" i="58"/>
  <c r="I4943" i="58"/>
  <c r="J4943" i="58" s="1"/>
  <c r="H4943" i="58"/>
  <c r="P4942" i="58"/>
  <c r="O4942" i="58"/>
  <c r="L4942" i="58"/>
  <c r="I4942" i="58"/>
  <c r="J4942" i="58" s="1"/>
  <c r="H4942" i="58"/>
  <c r="P4941" i="58"/>
  <c r="O4941" i="58"/>
  <c r="L4941" i="58"/>
  <c r="I4941" i="58"/>
  <c r="J4941" i="58" s="1"/>
  <c r="H4941" i="58"/>
  <c r="P4940" i="58"/>
  <c r="O4940" i="58"/>
  <c r="L4940" i="58"/>
  <c r="I4940" i="58"/>
  <c r="J4940" i="58" s="1"/>
  <c r="H4940" i="58"/>
  <c r="P4939" i="58"/>
  <c r="O4939" i="58"/>
  <c r="L4939" i="58"/>
  <c r="I4939" i="58"/>
  <c r="J4939" i="58" s="1"/>
  <c r="H4939" i="58"/>
  <c r="P4938" i="58"/>
  <c r="O4938" i="58"/>
  <c r="L4938" i="58"/>
  <c r="I4938" i="58"/>
  <c r="J4938" i="58" s="1"/>
  <c r="H4938" i="58"/>
  <c r="P4937" i="58"/>
  <c r="O4937" i="58"/>
  <c r="L4937" i="58"/>
  <c r="I4937" i="58"/>
  <c r="J4937" i="58" s="1"/>
  <c r="H4937" i="58"/>
  <c r="P4936" i="58"/>
  <c r="O4936" i="58"/>
  <c r="L4936" i="58"/>
  <c r="I4936" i="58"/>
  <c r="J4936" i="58" s="1"/>
  <c r="H4936" i="58"/>
  <c r="P4935" i="58"/>
  <c r="O4935" i="58"/>
  <c r="L4935" i="58"/>
  <c r="I4935" i="58"/>
  <c r="J4935" i="58" s="1"/>
  <c r="H4935" i="58"/>
  <c r="P4934" i="58"/>
  <c r="O4934" i="58"/>
  <c r="L4934" i="58"/>
  <c r="I4934" i="58"/>
  <c r="J4934" i="58" s="1"/>
  <c r="H4934" i="58"/>
  <c r="P4933" i="58"/>
  <c r="O4933" i="58"/>
  <c r="L4933" i="58"/>
  <c r="I4933" i="58"/>
  <c r="J4933" i="58" s="1"/>
  <c r="H4933" i="58"/>
  <c r="P4932" i="58"/>
  <c r="O4932" i="58"/>
  <c r="L4932" i="58"/>
  <c r="I4932" i="58"/>
  <c r="J4932" i="58" s="1"/>
  <c r="H4932" i="58"/>
  <c r="P4931" i="58"/>
  <c r="O4931" i="58"/>
  <c r="L4931" i="58"/>
  <c r="I4931" i="58"/>
  <c r="J4931" i="58" s="1"/>
  <c r="H4931" i="58"/>
  <c r="P4930" i="58"/>
  <c r="O4930" i="58"/>
  <c r="L4930" i="58"/>
  <c r="I4930" i="58"/>
  <c r="J4930" i="58" s="1"/>
  <c r="H4930" i="58"/>
  <c r="P4929" i="58"/>
  <c r="O4929" i="58"/>
  <c r="L4929" i="58"/>
  <c r="I4929" i="58"/>
  <c r="J4929" i="58" s="1"/>
  <c r="H4929" i="58"/>
  <c r="P4928" i="58"/>
  <c r="O4928" i="58"/>
  <c r="L4928" i="58"/>
  <c r="I4928" i="58"/>
  <c r="J4928" i="58" s="1"/>
  <c r="H4928" i="58"/>
  <c r="P4927" i="58"/>
  <c r="O4927" i="58"/>
  <c r="L4927" i="58"/>
  <c r="I4927" i="58"/>
  <c r="J4927" i="58" s="1"/>
  <c r="H4927" i="58"/>
  <c r="P4926" i="58"/>
  <c r="O4926" i="58"/>
  <c r="L4926" i="58"/>
  <c r="I4926" i="58"/>
  <c r="J4926" i="58" s="1"/>
  <c r="H4926" i="58"/>
  <c r="P4925" i="58"/>
  <c r="O4925" i="58"/>
  <c r="L4925" i="58"/>
  <c r="I4925" i="58"/>
  <c r="J4925" i="58" s="1"/>
  <c r="H4925" i="58"/>
  <c r="P4924" i="58"/>
  <c r="O4924" i="58"/>
  <c r="L4924" i="58"/>
  <c r="I4924" i="58"/>
  <c r="J4924" i="58" s="1"/>
  <c r="H4924" i="58"/>
  <c r="P4923" i="58"/>
  <c r="O4923" i="58"/>
  <c r="L4923" i="58"/>
  <c r="I4923" i="58"/>
  <c r="J4923" i="58" s="1"/>
  <c r="H4923" i="58"/>
  <c r="P4922" i="58"/>
  <c r="O4922" i="58"/>
  <c r="L4922" i="58"/>
  <c r="I4922" i="58"/>
  <c r="J4922" i="58" s="1"/>
  <c r="H4922" i="58"/>
  <c r="P4921" i="58"/>
  <c r="O4921" i="58"/>
  <c r="L4921" i="58"/>
  <c r="I4921" i="58"/>
  <c r="J4921" i="58" s="1"/>
  <c r="H4921" i="58"/>
  <c r="P4920" i="58"/>
  <c r="O4920" i="58"/>
  <c r="L4920" i="58"/>
  <c r="I4920" i="58"/>
  <c r="J4920" i="58" s="1"/>
  <c r="H4920" i="58"/>
  <c r="P4919" i="58"/>
  <c r="O4919" i="58"/>
  <c r="L4919" i="58"/>
  <c r="I4919" i="58"/>
  <c r="J4919" i="58" s="1"/>
  <c r="H4919" i="58"/>
  <c r="P4918" i="58"/>
  <c r="O4918" i="58"/>
  <c r="L4918" i="58"/>
  <c r="I4918" i="58"/>
  <c r="J4918" i="58" s="1"/>
  <c r="H4918" i="58"/>
  <c r="P4917" i="58"/>
  <c r="O4917" i="58"/>
  <c r="L4917" i="58"/>
  <c r="I4917" i="58"/>
  <c r="J4917" i="58" s="1"/>
  <c r="H4917" i="58"/>
  <c r="P4916" i="58"/>
  <c r="O4916" i="58"/>
  <c r="L4916" i="58"/>
  <c r="I4916" i="58"/>
  <c r="J4916" i="58" s="1"/>
  <c r="H4916" i="58"/>
  <c r="P4915" i="58"/>
  <c r="O4915" i="58"/>
  <c r="L4915" i="58"/>
  <c r="I4915" i="58"/>
  <c r="J4915" i="58" s="1"/>
  <c r="H4915" i="58"/>
  <c r="P4914" i="58"/>
  <c r="O4914" i="58"/>
  <c r="L4914" i="58"/>
  <c r="I4914" i="58"/>
  <c r="J4914" i="58" s="1"/>
  <c r="H4914" i="58"/>
  <c r="P4913" i="58"/>
  <c r="O4913" i="58"/>
  <c r="L4913" i="58"/>
  <c r="I4913" i="58"/>
  <c r="J4913" i="58" s="1"/>
  <c r="H4913" i="58"/>
  <c r="P4912" i="58"/>
  <c r="O4912" i="58"/>
  <c r="L4912" i="58"/>
  <c r="I4912" i="58"/>
  <c r="J4912" i="58" s="1"/>
  <c r="H4912" i="58"/>
  <c r="P4911" i="58"/>
  <c r="O4911" i="58"/>
  <c r="L4911" i="58"/>
  <c r="I4911" i="58"/>
  <c r="J4911" i="58" s="1"/>
  <c r="H4911" i="58"/>
  <c r="P4910" i="58"/>
  <c r="O4910" i="58"/>
  <c r="L4910" i="58"/>
  <c r="I4910" i="58"/>
  <c r="J4910" i="58" s="1"/>
  <c r="H4910" i="58"/>
  <c r="P4909" i="58"/>
  <c r="O4909" i="58"/>
  <c r="L4909" i="58"/>
  <c r="I4909" i="58"/>
  <c r="J4909" i="58" s="1"/>
  <c r="H4909" i="58"/>
  <c r="P4908" i="58"/>
  <c r="O4908" i="58"/>
  <c r="L4908" i="58"/>
  <c r="I4908" i="58"/>
  <c r="J4908" i="58" s="1"/>
  <c r="H4908" i="58"/>
  <c r="P4907" i="58"/>
  <c r="O4907" i="58"/>
  <c r="L4907" i="58"/>
  <c r="I4907" i="58"/>
  <c r="J4907" i="58" s="1"/>
  <c r="H4907" i="58"/>
  <c r="P4906" i="58"/>
  <c r="O4906" i="58"/>
  <c r="L4906" i="58"/>
  <c r="I4906" i="58"/>
  <c r="J4906" i="58" s="1"/>
  <c r="H4906" i="58"/>
  <c r="P4905" i="58"/>
  <c r="O4905" i="58"/>
  <c r="L4905" i="58"/>
  <c r="I4905" i="58"/>
  <c r="J4905" i="58" s="1"/>
  <c r="H4905" i="58"/>
  <c r="P4904" i="58"/>
  <c r="O4904" i="58"/>
  <c r="L4904" i="58"/>
  <c r="I4904" i="58"/>
  <c r="J4904" i="58" s="1"/>
  <c r="H4904" i="58"/>
  <c r="P4903" i="58"/>
  <c r="O4903" i="58"/>
  <c r="L4903" i="58"/>
  <c r="I4903" i="58"/>
  <c r="J4903" i="58" s="1"/>
  <c r="H4903" i="58"/>
  <c r="P4902" i="58"/>
  <c r="O4902" i="58"/>
  <c r="L4902" i="58"/>
  <c r="I4902" i="58"/>
  <c r="J4902" i="58" s="1"/>
  <c r="H4902" i="58"/>
  <c r="P4901" i="58"/>
  <c r="O4901" i="58"/>
  <c r="L4901" i="58"/>
  <c r="I4901" i="58"/>
  <c r="J4901" i="58" s="1"/>
  <c r="H4901" i="58"/>
  <c r="P4900" i="58"/>
  <c r="O4900" i="58"/>
  <c r="L4900" i="58"/>
  <c r="I4900" i="58"/>
  <c r="J4900" i="58" s="1"/>
  <c r="H4900" i="58"/>
  <c r="P4899" i="58"/>
  <c r="O4899" i="58"/>
  <c r="L4899" i="58"/>
  <c r="I4899" i="58"/>
  <c r="J4899" i="58" s="1"/>
  <c r="H4899" i="58"/>
  <c r="P4898" i="58"/>
  <c r="O4898" i="58"/>
  <c r="L4898" i="58"/>
  <c r="I4898" i="58"/>
  <c r="J4898" i="58" s="1"/>
  <c r="H4898" i="58"/>
  <c r="P4897" i="58"/>
  <c r="O4897" i="58"/>
  <c r="L4897" i="58"/>
  <c r="I4897" i="58"/>
  <c r="J4897" i="58" s="1"/>
  <c r="H4897" i="58"/>
  <c r="P4896" i="58"/>
  <c r="O4896" i="58"/>
  <c r="L4896" i="58"/>
  <c r="I4896" i="58"/>
  <c r="J4896" i="58" s="1"/>
  <c r="H4896" i="58"/>
  <c r="P4895" i="58"/>
  <c r="O4895" i="58"/>
  <c r="L4895" i="58"/>
  <c r="I4895" i="58"/>
  <c r="J4895" i="58" s="1"/>
  <c r="H4895" i="58"/>
  <c r="P4894" i="58"/>
  <c r="O4894" i="58"/>
  <c r="L4894" i="58"/>
  <c r="I4894" i="58"/>
  <c r="J4894" i="58" s="1"/>
  <c r="H4894" i="58"/>
  <c r="P4893" i="58"/>
  <c r="O4893" i="58"/>
  <c r="L4893" i="58"/>
  <c r="I4893" i="58"/>
  <c r="J4893" i="58" s="1"/>
  <c r="H4893" i="58"/>
  <c r="P4892" i="58"/>
  <c r="O4892" i="58"/>
  <c r="L4892" i="58"/>
  <c r="I4892" i="58"/>
  <c r="J4892" i="58" s="1"/>
  <c r="H4892" i="58"/>
  <c r="P4891" i="58"/>
  <c r="O4891" i="58"/>
  <c r="L4891" i="58"/>
  <c r="I4891" i="58"/>
  <c r="J4891" i="58" s="1"/>
  <c r="H4891" i="58"/>
  <c r="P4890" i="58"/>
  <c r="O4890" i="58"/>
  <c r="L4890" i="58"/>
  <c r="I4890" i="58"/>
  <c r="J4890" i="58" s="1"/>
  <c r="H4890" i="58"/>
  <c r="P4889" i="58"/>
  <c r="O4889" i="58"/>
  <c r="L4889" i="58"/>
  <c r="I4889" i="58"/>
  <c r="J4889" i="58" s="1"/>
  <c r="H4889" i="58"/>
  <c r="P4888" i="58"/>
  <c r="O4888" i="58"/>
  <c r="L4888" i="58"/>
  <c r="I4888" i="58"/>
  <c r="J4888" i="58" s="1"/>
  <c r="H4888" i="58"/>
  <c r="P4887" i="58"/>
  <c r="O4887" i="58"/>
  <c r="L4887" i="58"/>
  <c r="I4887" i="58"/>
  <c r="J4887" i="58" s="1"/>
  <c r="H4887" i="58"/>
  <c r="P4886" i="58"/>
  <c r="O4886" i="58"/>
  <c r="L4886" i="58"/>
  <c r="I4886" i="58"/>
  <c r="J4886" i="58" s="1"/>
  <c r="H4886" i="58"/>
  <c r="P4885" i="58"/>
  <c r="O4885" i="58"/>
  <c r="L4885" i="58"/>
  <c r="I4885" i="58"/>
  <c r="J4885" i="58" s="1"/>
  <c r="H4885" i="58"/>
  <c r="P4884" i="58"/>
  <c r="O4884" i="58"/>
  <c r="L4884" i="58"/>
  <c r="I4884" i="58"/>
  <c r="J4884" i="58" s="1"/>
  <c r="H4884" i="58"/>
  <c r="P4883" i="58"/>
  <c r="O4883" i="58"/>
  <c r="L4883" i="58"/>
  <c r="I4883" i="58"/>
  <c r="J4883" i="58" s="1"/>
  <c r="H4883" i="58"/>
  <c r="P4882" i="58"/>
  <c r="O4882" i="58"/>
  <c r="L4882" i="58"/>
  <c r="I4882" i="58"/>
  <c r="J4882" i="58" s="1"/>
  <c r="H4882" i="58"/>
  <c r="P4881" i="58"/>
  <c r="O4881" i="58"/>
  <c r="L4881" i="58"/>
  <c r="I4881" i="58"/>
  <c r="J4881" i="58" s="1"/>
  <c r="H4881" i="58"/>
  <c r="P4880" i="58"/>
  <c r="O4880" i="58"/>
  <c r="L4880" i="58"/>
  <c r="I4880" i="58"/>
  <c r="J4880" i="58" s="1"/>
  <c r="H4880" i="58"/>
  <c r="P4879" i="58"/>
  <c r="O4879" i="58"/>
  <c r="L4879" i="58"/>
  <c r="I4879" i="58"/>
  <c r="J4879" i="58" s="1"/>
  <c r="H4879" i="58"/>
  <c r="P4878" i="58"/>
  <c r="O4878" i="58"/>
  <c r="L4878" i="58"/>
  <c r="I4878" i="58"/>
  <c r="J4878" i="58" s="1"/>
  <c r="H4878" i="58"/>
  <c r="P4877" i="58"/>
  <c r="O4877" i="58"/>
  <c r="L4877" i="58"/>
  <c r="I4877" i="58"/>
  <c r="J4877" i="58" s="1"/>
  <c r="H4877" i="58"/>
  <c r="P4876" i="58"/>
  <c r="O4876" i="58"/>
  <c r="L4876" i="58"/>
  <c r="I4876" i="58"/>
  <c r="J4876" i="58" s="1"/>
  <c r="H4876" i="58"/>
  <c r="P4875" i="58"/>
  <c r="O4875" i="58"/>
  <c r="L4875" i="58"/>
  <c r="I4875" i="58"/>
  <c r="J4875" i="58" s="1"/>
  <c r="H4875" i="58"/>
  <c r="P4874" i="58"/>
  <c r="O4874" i="58"/>
  <c r="L4874" i="58"/>
  <c r="I4874" i="58"/>
  <c r="J4874" i="58" s="1"/>
  <c r="H4874" i="58"/>
  <c r="P4873" i="58"/>
  <c r="O4873" i="58"/>
  <c r="L4873" i="58"/>
  <c r="I4873" i="58"/>
  <c r="J4873" i="58" s="1"/>
  <c r="H4873" i="58"/>
  <c r="P4872" i="58"/>
  <c r="O4872" i="58"/>
  <c r="L4872" i="58"/>
  <c r="I4872" i="58"/>
  <c r="J4872" i="58" s="1"/>
  <c r="H4872" i="58"/>
  <c r="P4871" i="58"/>
  <c r="O4871" i="58"/>
  <c r="L4871" i="58"/>
  <c r="I4871" i="58"/>
  <c r="J4871" i="58" s="1"/>
  <c r="H4871" i="58"/>
  <c r="P4870" i="58"/>
  <c r="O4870" i="58"/>
  <c r="L4870" i="58"/>
  <c r="I4870" i="58"/>
  <c r="J4870" i="58" s="1"/>
  <c r="H4870" i="58"/>
  <c r="P4869" i="58"/>
  <c r="O4869" i="58"/>
  <c r="L4869" i="58"/>
  <c r="I4869" i="58"/>
  <c r="J4869" i="58" s="1"/>
  <c r="H4869" i="58"/>
  <c r="P4868" i="58"/>
  <c r="O4868" i="58"/>
  <c r="L4868" i="58"/>
  <c r="I4868" i="58"/>
  <c r="J4868" i="58" s="1"/>
  <c r="H4868" i="58"/>
  <c r="P4867" i="58"/>
  <c r="O4867" i="58"/>
  <c r="L4867" i="58"/>
  <c r="I4867" i="58"/>
  <c r="J4867" i="58" s="1"/>
  <c r="H4867" i="58"/>
  <c r="P4866" i="58"/>
  <c r="O4866" i="58"/>
  <c r="L4866" i="58"/>
  <c r="I4866" i="58"/>
  <c r="J4866" i="58" s="1"/>
  <c r="H4866" i="58"/>
  <c r="P4865" i="58"/>
  <c r="O4865" i="58"/>
  <c r="L4865" i="58"/>
  <c r="I4865" i="58"/>
  <c r="J4865" i="58" s="1"/>
  <c r="H4865" i="58"/>
  <c r="P4864" i="58"/>
  <c r="O4864" i="58"/>
  <c r="L4864" i="58"/>
  <c r="I4864" i="58"/>
  <c r="J4864" i="58" s="1"/>
  <c r="H4864" i="58"/>
  <c r="P4863" i="58"/>
  <c r="O4863" i="58"/>
  <c r="L4863" i="58"/>
  <c r="I4863" i="58"/>
  <c r="J4863" i="58" s="1"/>
  <c r="H4863" i="58"/>
  <c r="P4862" i="58"/>
  <c r="O4862" i="58"/>
  <c r="L4862" i="58"/>
  <c r="I4862" i="58"/>
  <c r="J4862" i="58" s="1"/>
  <c r="H4862" i="58"/>
  <c r="P4861" i="58"/>
  <c r="O4861" i="58"/>
  <c r="L4861" i="58"/>
  <c r="I4861" i="58"/>
  <c r="J4861" i="58" s="1"/>
  <c r="H4861" i="58"/>
  <c r="P4860" i="58"/>
  <c r="O4860" i="58"/>
  <c r="L4860" i="58"/>
  <c r="I4860" i="58"/>
  <c r="J4860" i="58" s="1"/>
  <c r="H4860" i="58"/>
  <c r="P4859" i="58"/>
  <c r="O4859" i="58"/>
  <c r="L4859" i="58"/>
  <c r="I4859" i="58"/>
  <c r="J4859" i="58" s="1"/>
  <c r="H4859" i="58"/>
  <c r="P4858" i="58"/>
  <c r="O4858" i="58"/>
  <c r="L4858" i="58"/>
  <c r="I4858" i="58"/>
  <c r="J4858" i="58" s="1"/>
  <c r="H4858" i="58"/>
  <c r="P4857" i="58"/>
  <c r="O4857" i="58"/>
  <c r="L4857" i="58"/>
  <c r="I4857" i="58"/>
  <c r="J4857" i="58" s="1"/>
  <c r="H4857" i="58"/>
  <c r="P4856" i="58"/>
  <c r="O4856" i="58"/>
  <c r="L4856" i="58"/>
  <c r="I4856" i="58"/>
  <c r="J4856" i="58" s="1"/>
  <c r="H4856" i="58"/>
  <c r="P4855" i="58"/>
  <c r="O4855" i="58"/>
  <c r="L4855" i="58"/>
  <c r="I4855" i="58"/>
  <c r="J4855" i="58" s="1"/>
  <c r="H4855" i="58"/>
  <c r="P4854" i="58"/>
  <c r="O4854" i="58"/>
  <c r="L4854" i="58"/>
  <c r="I4854" i="58"/>
  <c r="J4854" i="58" s="1"/>
  <c r="H4854" i="58"/>
  <c r="P4853" i="58"/>
  <c r="O4853" i="58"/>
  <c r="L4853" i="58"/>
  <c r="I4853" i="58"/>
  <c r="J4853" i="58" s="1"/>
  <c r="H4853" i="58"/>
  <c r="P4852" i="58"/>
  <c r="O4852" i="58"/>
  <c r="L4852" i="58"/>
  <c r="I4852" i="58"/>
  <c r="J4852" i="58" s="1"/>
  <c r="H4852" i="58"/>
  <c r="P4851" i="58"/>
  <c r="O4851" i="58"/>
  <c r="L4851" i="58"/>
  <c r="I4851" i="58"/>
  <c r="J4851" i="58" s="1"/>
  <c r="H4851" i="58"/>
  <c r="P4850" i="58"/>
  <c r="O4850" i="58"/>
  <c r="L4850" i="58"/>
  <c r="I4850" i="58"/>
  <c r="J4850" i="58" s="1"/>
  <c r="H4850" i="58"/>
  <c r="P4849" i="58"/>
  <c r="O4849" i="58"/>
  <c r="L4849" i="58"/>
  <c r="I4849" i="58"/>
  <c r="J4849" i="58" s="1"/>
  <c r="H4849" i="58"/>
  <c r="P4848" i="58"/>
  <c r="O4848" i="58"/>
  <c r="L4848" i="58"/>
  <c r="I4848" i="58"/>
  <c r="J4848" i="58" s="1"/>
  <c r="H4848" i="58"/>
  <c r="P4847" i="58"/>
  <c r="O4847" i="58"/>
  <c r="L4847" i="58"/>
  <c r="I4847" i="58"/>
  <c r="J4847" i="58" s="1"/>
  <c r="H4847" i="58"/>
  <c r="P4846" i="58"/>
  <c r="O4846" i="58"/>
  <c r="L4846" i="58"/>
  <c r="I4846" i="58"/>
  <c r="J4846" i="58" s="1"/>
  <c r="H4846" i="58"/>
  <c r="P4845" i="58"/>
  <c r="O4845" i="58"/>
  <c r="L4845" i="58"/>
  <c r="I4845" i="58"/>
  <c r="J4845" i="58" s="1"/>
  <c r="H4845" i="58"/>
  <c r="P4844" i="58"/>
  <c r="O4844" i="58"/>
  <c r="L4844" i="58"/>
  <c r="I4844" i="58"/>
  <c r="J4844" i="58" s="1"/>
  <c r="H4844" i="58"/>
  <c r="P4843" i="58"/>
  <c r="O4843" i="58"/>
  <c r="L4843" i="58"/>
  <c r="I4843" i="58"/>
  <c r="J4843" i="58" s="1"/>
  <c r="H4843" i="58"/>
  <c r="P4842" i="58"/>
  <c r="O4842" i="58"/>
  <c r="L4842" i="58"/>
  <c r="I4842" i="58"/>
  <c r="J4842" i="58" s="1"/>
  <c r="H4842" i="58"/>
  <c r="P4841" i="58"/>
  <c r="O4841" i="58"/>
  <c r="L4841" i="58"/>
  <c r="I4841" i="58"/>
  <c r="J4841" i="58" s="1"/>
  <c r="H4841" i="58"/>
  <c r="P4840" i="58"/>
  <c r="O4840" i="58"/>
  <c r="L4840" i="58"/>
  <c r="I4840" i="58"/>
  <c r="J4840" i="58" s="1"/>
  <c r="H4840" i="58"/>
  <c r="P4839" i="58"/>
  <c r="O4839" i="58"/>
  <c r="L4839" i="58"/>
  <c r="I4839" i="58"/>
  <c r="J4839" i="58" s="1"/>
  <c r="H4839" i="58"/>
  <c r="P4838" i="58"/>
  <c r="O4838" i="58"/>
  <c r="L4838" i="58"/>
  <c r="I4838" i="58"/>
  <c r="J4838" i="58" s="1"/>
  <c r="H4838" i="58"/>
  <c r="P4837" i="58"/>
  <c r="O4837" i="58"/>
  <c r="L4837" i="58"/>
  <c r="I4837" i="58"/>
  <c r="J4837" i="58" s="1"/>
  <c r="H4837" i="58"/>
  <c r="P4836" i="58"/>
  <c r="O4836" i="58"/>
  <c r="L4836" i="58"/>
  <c r="I4836" i="58"/>
  <c r="J4836" i="58" s="1"/>
  <c r="H4836" i="58"/>
  <c r="P4835" i="58"/>
  <c r="O4835" i="58"/>
  <c r="L4835" i="58"/>
  <c r="I4835" i="58"/>
  <c r="J4835" i="58" s="1"/>
  <c r="H4835" i="58"/>
  <c r="P4834" i="58"/>
  <c r="O4834" i="58"/>
  <c r="L4834" i="58"/>
  <c r="I4834" i="58"/>
  <c r="J4834" i="58" s="1"/>
  <c r="H4834" i="58"/>
  <c r="P4833" i="58"/>
  <c r="O4833" i="58"/>
  <c r="L4833" i="58"/>
  <c r="I4833" i="58"/>
  <c r="J4833" i="58" s="1"/>
  <c r="H4833" i="58"/>
  <c r="P4832" i="58"/>
  <c r="O4832" i="58"/>
  <c r="L4832" i="58"/>
  <c r="I4832" i="58"/>
  <c r="J4832" i="58" s="1"/>
  <c r="H4832" i="58"/>
  <c r="P4831" i="58"/>
  <c r="O4831" i="58"/>
  <c r="L4831" i="58"/>
  <c r="I4831" i="58"/>
  <c r="J4831" i="58" s="1"/>
  <c r="H4831" i="58"/>
  <c r="P4830" i="58"/>
  <c r="O4830" i="58"/>
  <c r="L4830" i="58"/>
  <c r="I4830" i="58"/>
  <c r="J4830" i="58" s="1"/>
  <c r="H4830" i="58"/>
  <c r="P4829" i="58"/>
  <c r="O4829" i="58"/>
  <c r="L4829" i="58"/>
  <c r="I4829" i="58"/>
  <c r="J4829" i="58" s="1"/>
  <c r="H4829" i="58"/>
  <c r="P4828" i="58"/>
  <c r="O4828" i="58"/>
  <c r="L4828" i="58"/>
  <c r="I4828" i="58"/>
  <c r="J4828" i="58" s="1"/>
  <c r="H4828" i="58"/>
  <c r="P4827" i="58"/>
  <c r="O4827" i="58"/>
  <c r="L4827" i="58"/>
  <c r="I4827" i="58"/>
  <c r="J4827" i="58" s="1"/>
  <c r="H4827" i="58"/>
  <c r="P4826" i="58"/>
  <c r="O4826" i="58"/>
  <c r="L4826" i="58"/>
  <c r="I4826" i="58"/>
  <c r="J4826" i="58" s="1"/>
  <c r="H4826" i="58"/>
  <c r="P4825" i="58"/>
  <c r="O4825" i="58"/>
  <c r="L4825" i="58"/>
  <c r="I4825" i="58"/>
  <c r="J4825" i="58" s="1"/>
  <c r="H4825" i="58"/>
  <c r="P4824" i="58"/>
  <c r="O4824" i="58"/>
  <c r="L4824" i="58"/>
  <c r="I4824" i="58"/>
  <c r="J4824" i="58" s="1"/>
  <c r="H4824" i="58"/>
  <c r="P4823" i="58"/>
  <c r="O4823" i="58"/>
  <c r="L4823" i="58"/>
  <c r="I4823" i="58"/>
  <c r="J4823" i="58" s="1"/>
  <c r="H4823" i="58"/>
  <c r="P4822" i="58"/>
  <c r="O4822" i="58"/>
  <c r="L4822" i="58"/>
  <c r="I4822" i="58"/>
  <c r="J4822" i="58" s="1"/>
  <c r="H4822" i="58"/>
  <c r="P4821" i="58"/>
  <c r="O4821" i="58"/>
  <c r="L4821" i="58"/>
  <c r="I4821" i="58"/>
  <c r="J4821" i="58" s="1"/>
  <c r="H4821" i="58"/>
  <c r="P4820" i="58"/>
  <c r="O4820" i="58"/>
  <c r="L4820" i="58"/>
  <c r="I4820" i="58"/>
  <c r="J4820" i="58" s="1"/>
  <c r="H4820" i="58"/>
  <c r="P4819" i="58"/>
  <c r="O4819" i="58"/>
  <c r="L4819" i="58"/>
  <c r="I4819" i="58"/>
  <c r="J4819" i="58" s="1"/>
  <c r="H4819" i="58"/>
  <c r="P4818" i="58"/>
  <c r="O4818" i="58"/>
  <c r="L4818" i="58"/>
  <c r="I4818" i="58"/>
  <c r="J4818" i="58" s="1"/>
  <c r="H4818" i="58"/>
  <c r="P4817" i="58"/>
  <c r="O4817" i="58"/>
  <c r="L4817" i="58"/>
  <c r="I4817" i="58"/>
  <c r="J4817" i="58" s="1"/>
  <c r="H4817" i="58"/>
  <c r="P4816" i="58"/>
  <c r="O4816" i="58"/>
  <c r="L4816" i="58"/>
  <c r="I4816" i="58"/>
  <c r="J4816" i="58" s="1"/>
  <c r="H4816" i="58"/>
  <c r="P4815" i="58"/>
  <c r="O4815" i="58"/>
  <c r="L4815" i="58"/>
  <c r="I4815" i="58"/>
  <c r="J4815" i="58" s="1"/>
  <c r="H4815" i="58"/>
  <c r="P4814" i="58"/>
  <c r="O4814" i="58"/>
  <c r="L4814" i="58"/>
  <c r="I4814" i="58"/>
  <c r="J4814" i="58" s="1"/>
  <c r="H4814" i="58"/>
  <c r="P4813" i="58"/>
  <c r="O4813" i="58"/>
  <c r="L4813" i="58"/>
  <c r="I4813" i="58"/>
  <c r="J4813" i="58" s="1"/>
  <c r="H4813" i="58"/>
  <c r="P4812" i="58"/>
  <c r="O4812" i="58"/>
  <c r="L4812" i="58"/>
  <c r="I4812" i="58"/>
  <c r="J4812" i="58" s="1"/>
  <c r="H4812" i="58"/>
  <c r="P4811" i="58"/>
  <c r="O4811" i="58"/>
  <c r="L4811" i="58"/>
  <c r="I4811" i="58"/>
  <c r="J4811" i="58" s="1"/>
  <c r="H4811" i="58"/>
  <c r="P4810" i="58"/>
  <c r="O4810" i="58"/>
  <c r="L4810" i="58"/>
  <c r="I4810" i="58"/>
  <c r="J4810" i="58" s="1"/>
  <c r="H4810" i="58"/>
  <c r="P4809" i="58"/>
  <c r="O4809" i="58"/>
  <c r="L4809" i="58"/>
  <c r="I4809" i="58"/>
  <c r="J4809" i="58" s="1"/>
  <c r="H4809" i="58"/>
  <c r="P4808" i="58"/>
  <c r="O4808" i="58"/>
  <c r="L4808" i="58"/>
  <c r="I4808" i="58"/>
  <c r="J4808" i="58" s="1"/>
  <c r="H4808" i="58"/>
  <c r="P4807" i="58"/>
  <c r="O4807" i="58"/>
  <c r="L4807" i="58"/>
  <c r="I4807" i="58"/>
  <c r="J4807" i="58" s="1"/>
  <c r="H4807" i="58"/>
  <c r="P4806" i="58"/>
  <c r="O4806" i="58"/>
  <c r="L4806" i="58"/>
  <c r="I4806" i="58"/>
  <c r="J4806" i="58" s="1"/>
  <c r="H4806" i="58"/>
  <c r="P4805" i="58"/>
  <c r="O4805" i="58"/>
  <c r="L4805" i="58"/>
  <c r="I4805" i="58"/>
  <c r="J4805" i="58" s="1"/>
  <c r="H4805" i="58"/>
  <c r="P4804" i="58"/>
  <c r="O4804" i="58"/>
  <c r="L4804" i="58"/>
  <c r="I4804" i="58"/>
  <c r="J4804" i="58" s="1"/>
  <c r="H4804" i="58"/>
  <c r="P4803" i="58"/>
  <c r="O4803" i="58"/>
  <c r="L4803" i="58"/>
  <c r="I4803" i="58"/>
  <c r="J4803" i="58" s="1"/>
  <c r="H4803" i="58"/>
  <c r="P4802" i="58"/>
  <c r="O4802" i="58"/>
  <c r="L4802" i="58"/>
  <c r="I4802" i="58"/>
  <c r="J4802" i="58" s="1"/>
  <c r="H4802" i="58"/>
  <c r="P4801" i="58"/>
  <c r="O4801" i="58"/>
  <c r="L4801" i="58"/>
  <c r="I4801" i="58"/>
  <c r="J4801" i="58" s="1"/>
  <c r="H4801" i="58"/>
  <c r="P4800" i="58"/>
  <c r="O4800" i="58"/>
  <c r="L4800" i="58"/>
  <c r="I4800" i="58"/>
  <c r="J4800" i="58" s="1"/>
  <c r="H4800" i="58"/>
  <c r="P4799" i="58"/>
  <c r="O4799" i="58"/>
  <c r="L4799" i="58"/>
  <c r="I4799" i="58"/>
  <c r="J4799" i="58" s="1"/>
  <c r="H4799" i="58"/>
  <c r="P4798" i="58"/>
  <c r="O4798" i="58"/>
  <c r="L4798" i="58"/>
  <c r="I4798" i="58"/>
  <c r="J4798" i="58" s="1"/>
  <c r="H4798" i="58"/>
  <c r="P4797" i="58"/>
  <c r="O4797" i="58"/>
  <c r="L4797" i="58"/>
  <c r="I4797" i="58"/>
  <c r="J4797" i="58" s="1"/>
  <c r="H4797" i="58"/>
  <c r="P4796" i="58"/>
  <c r="O4796" i="58"/>
  <c r="L4796" i="58"/>
  <c r="I4796" i="58"/>
  <c r="J4796" i="58" s="1"/>
  <c r="H4796" i="58"/>
  <c r="P4795" i="58"/>
  <c r="O4795" i="58"/>
  <c r="L4795" i="58"/>
  <c r="I4795" i="58"/>
  <c r="J4795" i="58" s="1"/>
  <c r="H4795" i="58"/>
  <c r="P4794" i="58"/>
  <c r="O4794" i="58"/>
  <c r="L4794" i="58"/>
  <c r="I4794" i="58"/>
  <c r="J4794" i="58" s="1"/>
  <c r="H4794" i="58"/>
  <c r="P4793" i="58"/>
  <c r="O4793" i="58"/>
  <c r="L4793" i="58"/>
  <c r="I4793" i="58"/>
  <c r="J4793" i="58" s="1"/>
  <c r="H4793" i="58"/>
  <c r="P4792" i="58"/>
  <c r="O4792" i="58"/>
  <c r="L4792" i="58"/>
  <c r="I4792" i="58"/>
  <c r="J4792" i="58" s="1"/>
  <c r="H4792" i="58"/>
  <c r="P4791" i="58"/>
  <c r="O4791" i="58"/>
  <c r="L4791" i="58"/>
  <c r="I4791" i="58"/>
  <c r="J4791" i="58" s="1"/>
  <c r="H4791" i="58"/>
  <c r="P4790" i="58"/>
  <c r="O4790" i="58"/>
  <c r="L4790" i="58"/>
  <c r="I4790" i="58"/>
  <c r="J4790" i="58" s="1"/>
  <c r="H4790" i="58"/>
  <c r="P4789" i="58"/>
  <c r="O4789" i="58"/>
  <c r="L4789" i="58"/>
  <c r="I4789" i="58"/>
  <c r="J4789" i="58" s="1"/>
  <c r="H4789" i="58"/>
  <c r="P4788" i="58"/>
  <c r="O4788" i="58"/>
  <c r="L4788" i="58"/>
  <c r="I4788" i="58"/>
  <c r="J4788" i="58" s="1"/>
  <c r="H4788" i="58"/>
  <c r="P4787" i="58"/>
  <c r="O4787" i="58"/>
  <c r="L4787" i="58"/>
  <c r="I4787" i="58"/>
  <c r="J4787" i="58" s="1"/>
  <c r="H4787" i="58"/>
  <c r="P4786" i="58"/>
  <c r="O4786" i="58"/>
  <c r="L4786" i="58"/>
  <c r="I4786" i="58"/>
  <c r="J4786" i="58" s="1"/>
  <c r="H4786" i="58"/>
  <c r="P4785" i="58"/>
  <c r="O4785" i="58"/>
  <c r="L4785" i="58"/>
  <c r="I4785" i="58"/>
  <c r="J4785" i="58" s="1"/>
  <c r="H4785" i="58"/>
  <c r="P4784" i="58"/>
  <c r="O4784" i="58"/>
  <c r="L4784" i="58"/>
  <c r="I4784" i="58"/>
  <c r="J4784" i="58" s="1"/>
  <c r="H4784" i="58"/>
  <c r="P4783" i="58"/>
  <c r="O4783" i="58"/>
  <c r="L4783" i="58"/>
  <c r="I4783" i="58"/>
  <c r="J4783" i="58" s="1"/>
  <c r="H4783" i="58"/>
  <c r="P4782" i="58"/>
  <c r="O4782" i="58"/>
  <c r="L4782" i="58"/>
  <c r="I4782" i="58"/>
  <c r="J4782" i="58" s="1"/>
  <c r="H4782" i="58"/>
  <c r="P4781" i="58"/>
  <c r="O4781" i="58"/>
  <c r="L4781" i="58"/>
  <c r="I4781" i="58"/>
  <c r="J4781" i="58" s="1"/>
  <c r="H4781" i="58"/>
  <c r="P4780" i="58"/>
  <c r="O4780" i="58"/>
  <c r="L4780" i="58"/>
  <c r="I4780" i="58"/>
  <c r="J4780" i="58" s="1"/>
  <c r="H4780" i="58"/>
  <c r="P4779" i="58"/>
  <c r="O4779" i="58"/>
  <c r="L4779" i="58"/>
  <c r="I4779" i="58"/>
  <c r="J4779" i="58" s="1"/>
  <c r="H4779" i="58"/>
  <c r="P4778" i="58"/>
  <c r="O4778" i="58"/>
  <c r="L4778" i="58"/>
  <c r="I4778" i="58"/>
  <c r="J4778" i="58" s="1"/>
  <c r="H4778" i="58"/>
  <c r="P4777" i="58"/>
  <c r="O4777" i="58"/>
  <c r="L4777" i="58"/>
  <c r="I4777" i="58"/>
  <c r="J4777" i="58" s="1"/>
  <c r="H4777" i="58"/>
  <c r="P4776" i="58"/>
  <c r="O4776" i="58"/>
  <c r="L4776" i="58"/>
  <c r="I4776" i="58"/>
  <c r="J4776" i="58" s="1"/>
  <c r="H4776" i="58"/>
  <c r="P4775" i="58"/>
  <c r="O4775" i="58"/>
  <c r="L4775" i="58"/>
  <c r="I4775" i="58"/>
  <c r="J4775" i="58" s="1"/>
  <c r="H4775" i="58"/>
  <c r="P4774" i="58"/>
  <c r="O4774" i="58"/>
  <c r="L4774" i="58"/>
  <c r="I4774" i="58"/>
  <c r="J4774" i="58" s="1"/>
  <c r="H4774" i="58"/>
  <c r="P4773" i="58"/>
  <c r="O4773" i="58"/>
  <c r="L4773" i="58"/>
  <c r="I4773" i="58"/>
  <c r="J4773" i="58" s="1"/>
  <c r="H4773" i="58"/>
  <c r="P4772" i="58"/>
  <c r="O4772" i="58"/>
  <c r="L4772" i="58"/>
  <c r="I4772" i="58"/>
  <c r="J4772" i="58" s="1"/>
  <c r="H4772" i="58"/>
  <c r="P4771" i="58"/>
  <c r="O4771" i="58"/>
  <c r="L4771" i="58"/>
  <c r="I4771" i="58"/>
  <c r="J4771" i="58" s="1"/>
  <c r="H4771" i="58"/>
  <c r="P4770" i="58"/>
  <c r="O4770" i="58"/>
  <c r="L4770" i="58"/>
  <c r="I4770" i="58"/>
  <c r="J4770" i="58" s="1"/>
  <c r="H4770" i="58"/>
  <c r="P4769" i="58"/>
  <c r="O4769" i="58"/>
  <c r="L4769" i="58"/>
  <c r="I4769" i="58"/>
  <c r="J4769" i="58" s="1"/>
  <c r="H4769" i="58"/>
  <c r="P4768" i="58"/>
  <c r="O4768" i="58"/>
  <c r="L4768" i="58"/>
  <c r="I4768" i="58"/>
  <c r="J4768" i="58" s="1"/>
  <c r="H4768" i="58"/>
  <c r="P4767" i="58"/>
  <c r="O4767" i="58"/>
  <c r="L4767" i="58"/>
  <c r="I4767" i="58"/>
  <c r="J4767" i="58" s="1"/>
  <c r="H4767" i="58"/>
  <c r="P4766" i="58"/>
  <c r="O4766" i="58"/>
  <c r="L4766" i="58"/>
  <c r="I4766" i="58"/>
  <c r="J4766" i="58" s="1"/>
  <c r="H4766" i="58"/>
  <c r="P4765" i="58"/>
  <c r="O4765" i="58"/>
  <c r="L4765" i="58"/>
  <c r="I4765" i="58"/>
  <c r="J4765" i="58" s="1"/>
  <c r="H4765" i="58"/>
  <c r="P4764" i="58"/>
  <c r="O4764" i="58"/>
  <c r="L4764" i="58"/>
  <c r="I4764" i="58"/>
  <c r="J4764" i="58" s="1"/>
  <c r="H4764" i="58"/>
  <c r="P4763" i="58"/>
  <c r="O4763" i="58"/>
  <c r="L4763" i="58"/>
  <c r="I4763" i="58"/>
  <c r="J4763" i="58" s="1"/>
  <c r="H4763" i="58"/>
  <c r="P4762" i="58"/>
  <c r="O4762" i="58"/>
  <c r="L4762" i="58"/>
  <c r="I4762" i="58"/>
  <c r="J4762" i="58" s="1"/>
  <c r="H4762" i="58"/>
  <c r="P4761" i="58"/>
  <c r="O4761" i="58"/>
  <c r="L4761" i="58"/>
  <c r="I4761" i="58"/>
  <c r="J4761" i="58" s="1"/>
  <c r="H4761" i="58"/>
  <c r="P4760" i="58"/>
  <c r="O4760" i="58"/>
  <c r="L4760" i="58"/>
  <c r="I4760" i="58"/>
  <c r="J4760" i="58" s="1"/>
  <c r="H4760" i="58"/>
  <c r="P4759" i="58"/>
  <c r="O4759" i="58"/>
  <c r="L4759" i="58"/>
  <c r="I4759" i="58"/>
  <c r="J4759" i="58" s="1"/>
  <c r="H4759" i="58"/>
  <c r="P4758" i="58"/>
  <c r="O4758" i="58"/>
  <c r="L4758" i="58"/>
  <c r="I4758" i="58"/>
  <c r="J4758" i="58" s="1"/>
  <c r="H4758" i="58"/>
  <c r="P4757" i="58"/>
  <c r="O4757" i="58"/>
  <c r="L4757" i="58"/>
  <c r="I4757" i="58"/>
  <c r="J4757" i="58" s="1"/>
  <c r="H4757" i="58"/>
  <c r="P4756" i="58"/>
  <c r="O4756" i="58"/>
  <c r="L4756" i="58"/>
  <c r="I4756" i="58"/>
  <c r="J4756" i="58" s="1"/>
  <c r="H4756" i="58"/>
  <c r="P4755" i="58"/>
  <c r="O4755" i="58"/>
  <c r="L4755" i="58"/>
  <c r="I4755" i="58"/>
  <c r="J4755" i="58" s="1"/>
  <c r="H4755" i="58"/>
  <c r="P4754" i="58"/>
  <c r="O4754" i="58"/>
  <c r="L4754" i="58"/>
  <c r="I4754" i="58"/>
  <c r="J4754" i="58" s="1"/>
  <c r="H4754" i="58"/>
  <c r="P4753" i="58"/>
  <c r="O4753" i="58"/>
  <c r="L4753" i="58"/>
  <c r="I4753" i="58"/>
  <c r="J4753" i="58" s="1"/>
  <c r="H4753" i="58"/>
  <c r="P4752" i="58"/>
  <c r="O4752" i="58"/>
  <c r="L4752" i="58"/>
  <c r="I4752" i="58"/>
  <c r="J4752" i="58" s="1"/>
  <c r="H4752" i="58"/>
  <c r="P4751" i="58"/>
  <c r="O4751" i="58"/>
  <c r="L4751" i="58"/>
  <c r="I4751" i="58"/>
  <c r="J4751" i="58" s="1"/>
  <c r="H4751" i="58"/>
  <c r="P4750" i="58"/>
  <c r="O4750" i="58"/>
  <c r="L4750" i="58"/>
  <c r="I4750" i="58"/>
  <c r="J4750" i="58" s="1"/>
  <c r="H4750" i="58"/>
  <c r="P4749" i="58"/>
  <c r="O4749" i="58"/>
  <c r="L4749" i="58"/>
  <c r="I4749" i="58"/>
  <c r="J4749" i="58" s="1"/>
  <c r="H4749" i="58"/>
  <c r="P4748" i="58"/>
  <c r="O4748" i="58"/>
  <c r="L4748" i="58"/>
  <c r="I4748" i="58"/>
  <c r="J4748" i="58" s="1"/>
  <c r="H4748" i="58"/>
  <c r="P4747" i="58"/>
  <c r="O4747" i="58"/>
  <c r="L4747" i="58"/>
  <c r="I4747" i="58"/>
  <c r="J4747" i="58" s="1"/>
  <c r="H4747" i="58"/>
  <c r="P4746" i="58"/>
  <c r="O4746" i="58"/>
  <c r="L4746" i="58"/>
  <c r="I4746" i="58"/>
  <c r="J4746" i="58" s="1"/>
  <c r="H4746" i="58"/>
  <c r="P4745" i="58"/>
  <c r="O4745" i="58"/>
  <c r="L4745" i="58"/>
  <c r="I4745" i="58"/>
  <c r="J4745" i="58" s="1"/>
  <c r="H4745" i="58"/>
  <c r="P4744" i="58"/>
  <c r="O4744" i="58"/>
  <c r="L4744" i="58"/>
  <c r="I4744" i="58"/>
  <c r="J4744" i="58" s="1"/>
  <c r="H4744" i="58"/>
  <c r="P4743" i="58"/>
  <c r="O4743" i="58"/>
  <c r="L4743" i="58"/>
  <c r="I4743" i="58"/>
  <c r="J4743" i="58" s="1"/>
  <c r="H4743" i="58"/>
  <c r="P4742" i="58"/>
  <c r="O4742" i="58"/>
  <c r="L4742" i="58"/>
  <c r="I4742" i="58"/>
  <c r="J4742" i="58" s="1"/>
  <c r="H4742" i="58"/>
  <c r="P4741" i="58"/>
  <c r="O4741" i="58"/>
  <c r="L4741" i="58"/>
  <c r="I4741" i="58"/>
  <c r="J4741" i="58" s="1"/>
  <c r="H4741" i="58"/>
  <c r="P4740" i="58"/>
  <c r="O4740" i="58"/>
  <c r="L4740" i="58"/>
  <c r="I4740" i="58"/>
  <c r="J4740" i="58" s="1"/>
  <c r="H4740" i="58"/>
  <c r="P4739" i="58"/>
  <c r="O4739" i="58"/>
  <c r="L4739" i="58"/>
  <c r="I4739" i="58"/>
  <c r="J4739" i="58" s="1"/>
  <c r="H4739" i="58"/>
  <c r="P4738" i="58"/>
  <c r="O4738" i="58"/>
  <c r="L4738" i="58"/>
  <c r="I4738" i="58"/>
  <c r="J4738" i="58" s="1"/>
  <c r="H4738" i="58"/>
  <c r="P4737" i="58"/>
  <c r="O4737" i="58"/>
  <c r="L4737" i="58"/>
  <c r="I4737" i="58"/>
  <c r="J4737" i="58" s="1"/>
  <c r="H4737" i="58"/>
  <c r="P4736" i="58"/>
  <c r="O4736" i="58"/>
  <c r="L4736" i="58"/>
  <c r="I4736" i="58"/>
  <c r="J4736" i="58" s="1"/>
  <c r="H4736" i="58"/>
  <c r="P4735" i="58"/>
  <c r="O4735" i="58"/>
  <c r="L4735" i="58"/>
  <c r="I4735" i="58"/>
  <c r="J4735" i="58" s="1"/>
  <c r="H4735" i="58"/>
  <c r="P4734" i="58"/>
  <c r="O4734" i="58"/>
  <c r="L4734" i="58"/>
  <c r="I4734" i="58"/>
  <c r="J4734" i="58" s="1"/>
  <c r="H4734" i="58"/>
  <c r="P4733" i="58"/>
  <c r="O4733" i="58"/>
  <c r="L4733" i="58"/>
  <c r="I4733" i="58"/>
  <c r="J4733" i="58" s="1"/>
  <c r="H4733" i="58"/>
  <c r="P4732" i="58"/>
  <c r="O4732" i="58"/>
  <c r="L4732" i="58"/>
  <c r="I4732" i="58"/>
  <c r="J4732" i="58" s="1"/>
  <c r="H4732" i="58"/>
  <c r="P4731" i="58"/>
  <c r="O4731" i="58"/>
  <c r="L4731" i="58"/>
  <c r="I4731" i="58"/>
  <c r="J4731" i="58" s="1"/>
  <c r="H4731" i="58"/>
  <c r="P4730" i="58"/>
  <c r="O4730" i="58"/>
  <c r="L4730" i="58"/>
  <c r="I4730" i="58"/>
  <c r="J4730" i="58" s="1"/>
  <c r="H4730" i="58"/>
  <c r="P4729" i="58"/>
  <c r="O4729" i="58"/>
  <c r="L4729" i="58"/>
  <c r="I4729" i="58"/>
  <c r="J4729" i="58" s="1"/>
  <c r="H4729" i="58"/>
  <c r="P4728" i="58"/>
  <c r="O4728" i="58"/>
  <c r="L4728" i="58"/>
  <c r="I4728" i="58"/>
  <c r="J4728" i="58" s="1"/>
  <c r="H4728" i="58"/>
  <c r="P4727" i="58"/>
  <c r="O4727" i="58"/>
  <c r="L4727" i="58"/>
  <c r="I4727" i="58"/>
  <c r="J4727" i="58" s="1"/>
  <c r="H4727" i="58"/>
  <c r="P4726" i="58"/>
  <c r="O4726" i="58"/>
  <c r="L4726" i="58"/>
  <c r="I4726" i="58"/>
  <c r="J4726" i="58" s="1"/>
  <c r="H4726" i="58"/>
  <c r="P4725" i="58"/>
  <c r="O4725" i="58"/>
  <c r="L4725" i="58"/>
  <c r="I4725" i="58"/>
  <c r="J4725" i="58" s="1"/>
  <c r="H4725" i="58"/>
  <c r="P4724" i="58"/>
  <c r="O4724" i="58"/>
  <c r="L4724" i="58"/>
  <c r="I4724" i="58"/>
  <c r="J4724" i="58" s="1"/>
  <c r="H4724" i="58"/>
  <c r="P4723" i="58"/>
  <c r="O4723" i="58"/>
  <c r="L4723" i="58"/>
  <c r="I4723" i="58"/>
  <c r="J4723" i="58" s="1"/>
  <c r="H4723" i="58"/>
  <c r="P4722" i="58"/>
  <c r="O4722" i="58"/>
  <c r="L4722" i="58"/>
  <c r="I4722" i="58"/>
  <c r="J4722" i="58" s="1"/>
  <c r="H4722" i="58"/>
  <c r="P4721" i="58"/>
  <c r="O4721" i="58"/>
  <c r="L4721" i="58"/>
  <c r="I4721" i="58"/>
  <c r="J4721" i="58" s="1"/>
  <c r="H4721" i="58"/>
  <c r="P4720" i="58"/>
  <c r="O4720" i="58"/>
  <c r="L4720" i="58"/>
  <c r="I4720" i="58"/>
  <c r="J4720" i="58" s="1"/>
  <c r="H4720" i="58"/>
  <c r="P4719" i="58"/>
  <c r="O4719" i="58"/>
  <c r="L4719" i="58"/>
  <c r="I4719" i="58"/>
  <c r="J4719" i="58" s="1"/>
  <c r="H4719" i="58"/>
  <c r="P4718" i="58"/>
  <c r="O4718" i="58"/>
  <c r="L4718" i="58"/>
  <c r="I4718" i="58"/>
  <c r="J4718" i="58" s="1"/>
  <c r="H4718" i="58"/>
  <c r="P4717" i="58"/>
  <c r="O4717" i="58"/>
  <c r="L4717" i="58"/>
  <c r="I4717" i="58"/>
  <c r="J4717" i="58" s="1"/>
  <c r="H4717" i="58"/>
  <c r="P4716" i="58"/>
  <c r="O4716" i="58"/>
  <c r="L4716" i="58"/>
  <c r="I4716" i="58"/>
  <c r="J4716" i="58" s="1"/>
  <c r="H4716" i="58"/>
  <c r="P4715" i="58"/>
  <c r="O4715" i="58"/>
  <c r="L4715" i="58"/>
  <c r="I4715" i="58"/>
  <c r="J4715" i="58" s="1"/>
  <c r="H4715" i="58"/>
  <c r="P4714" i="58"/>
  <c r="O4714" i="58"/>
  <c r="L4714" i="58"/>
  <c r="I4714" i="58"/>
  <c r="J4714" i="58" s="1"/>
  <c r="H4714" i="58"/>
  <c r="P4713" i="58"/>
  <c r="O4713" i="58"/>
  <c r="L4713" i="58"/>
  <c r="I4713" i="58"/>
  <c r="J4713" i="58" s="1"/>
  <c r="H4713" i="58"/>
  <c r="P4712" i="58"/>
  <c r="O4712" i="58"/>
  <c r="L4712" i="58"/>
  <c r="I4712" i="58"/>
  <c r="J4712" i="58" s="1"/>
  <c r="H4712" i="58"/>
  <c r="P4711" i="58"/>
  <c r="O4711" i="58"/>
  <c r="L4711" i="58"/>
  <c r="I4711" i="58"/>
  <c r="J4711" i="58" s="1"/>
  <c r="H4711" i="58"/>
  <c r="P4710" i="58"/>
  <c r="O4710" i="58"/>
  <c r="L4710" i="58"/>
  <c r="I4710" i="58"/>
  <c r="J4710" i="58" s="1"/>
  <c r="H4710" i="58"/>
  <c r="P4709" i="58"/>
  <c r="O4709" i="58"/>
  <c r="L4709" i="58"/>
  <c r="I4709" i="58"/>
  <c r="J4709" i="58" s="1"/>
  <c r="H4709" i="58"/>
  <c r="P4708" i="58"/>
  <c r="O4708" i="58"/>
  <c r="L4708" i="58"/>
  <c r="I4708" i="58"/>
  <c r="J4708" i="58" s="1"/>
  <c r="H4708" i="58"/>
  <c r="P4707" i="58"/>
  <c r="O4707" i="58"/>
  <c r="L4707" i="58"/>
  <c r="I4707" i="58"/>
  <c r="J4707" i="58" s="1"/>
  <c r="H4707" i="58"/>
  <c r="P4706" i="58"/>
  <c r="O4706" i="58"/>
  <c r="L4706" i="58"/>
  <c r="I4706" i="58"/>
  <c r="J4706" i="58" s="1"/>
  <c r="H4706" i="58"/>
  <c r="P4705" i="58"/>
  <c r="O4705" i="58"/>
  <c r="L4705" i="58"/>
  <c r="I4705" i="58"/>
  <c r="J4705" i="58" s="1"/>
  <c r="H4705" i="58"/>
  <c r="P4704" i="58"/>
  <c r="O4704" i="58"/>
  <c r="L4704" i="58"/>
  <c r="I4704" i="58"/>
  <c r="J4704" i="58" s="1"/>
  <c r="H4704" i="58"/>
  <c r="P4703" i="58"/>
  <c r="O4703" i="58"/>
  <c r="L4703" i="58"/>
  <c r="I4703" i="58"/>
  <c r="J4703" i="58" s="1"/>
  <c r="H4703" i="58"/>
  <c r="P4702" i="58"/>
  <c r="O4702" i="58"/>
  <c r="L4702" i="58"/>
  <c r="I4702" i="58"/>
  <c r="J4702" i="58" s="1"/>
  <c r="H4702" i="58"/>
  <c r="P4701" i="58"/>
  <c r="O4701" i="58"/>
  <c r="L4701" i="58"/>
  <c r="I4701" i="58"/>
  <c r="J4701" i="58" s="1"/>
  <c r="H4701" i="58"/>
  <c r="P4700" i="58"/>
  <c r="O4700" i="58"/>
  <c r="L4700" i="58"/>
  <c r="I4700" i="58"/>
  <c r="J4700" i="58" s="1"/>
  <c r="H4700" i="58"/>
  <c r="P4699" i="58"/>
  <c r="O4699" i="58"/>
  <c r="L4699" i="58"/>
  <c r="I4699" i="58"/>
  <c r="J4699" i="58" s="1"/>
  <c r="H4699" i="58"/>
  <c r="P4698" i="58"/>
  <c r="O4698" i="58"/>
  <c r="L4698" i="58"/>
  <c r="I4698" i="58"/>
  <c r="J4698" i="58" s="1"/>
  <c r="H4698" i="58"/>
  <c r="P4697" i="58"/>
  <c r="O4697" i="58"/>
  <c r="L4697" i="58"/>
  <c r="I4697" i="58"/>
  <c r="J4697" i="58" s="1"/>
  <c r="H4697" i="58"/>
  <c r="P4696" i="58"/>
  <c r="O4696" i="58"/>
  <c r="L4696" i="58"/>
  <c r="I4696" i="58"/>
  <c r="J4696" i="58" s="1"/>
  <c r="H4696" i="58"/>
  <c r="P4695" i="58"/>
  <c r="O4695" i="58"/>
  <c r="L4695" i="58"/>
  <c r="I4695" i="58"/>
  <c r="J4695" i="58" s="1"/>
  <c r="H4695" i="58"/>
  <c r="P4694" i="58"/>
  <c r="O4694" i="58"/>
  <c r="L4694" i="58"/>
  <c r="I4694" i="58"/>
  <c r="J4694" i="58" s="1"/>
  <c r="H4694" i="58"/>
  <c r="P4693" i="58"/>
  <c r="O4693" i="58"/>
  <c r="L4693" i="58"/>
  <c r="I4693" i="58"/>
  <c r="J4693" i="58" s="1"/>
  <c r="H4693" i="58"/>
  <c r="P4692" i="58"/>
  <c r="O4692" i="58"/>
  <c r="L4692" i="58"/>
  <c r="I4692" i="58"/>
  <c r="J4692" i="58" s="1"/>
  <c r="H4692" i="58"/>
  <c r="P4691" i="58"/>
  <c r="O4691" i="58"/>
  <c r="L4691" i="58"/>
  <c r="I4691" i="58"/>
  <c r="J4691" i="58" s="1"/>
  <c r="H4691" i="58"/>
  <c r="P4690" i="58"/>
  <c r="O4690" i="58"/>
  <c r="L4690" i="58"/>
  <c r="I4690" i="58"/>
  <c r="J4690" i="58" s="1"/>
  <c r="H4690" i="58"/>
  <c r="P4689" i="58"/>
  <c r="O4689" i="58"/>
  <c r="L4689" i="58"/>
  <c r="I4689" i="58"/>
  <c r="J4689" i="58" s="1"/>
  <c r="H4689" i="58"/>
  <c r="P4688" i="58"/>
  <c r="O4688" i="58"/>
  <c r="L4688" i="58"/>
  <c r="I4688" i="58"/>
  <c r="J4688" i="58" s="1"/>
  <c r="H4688" i="58"/>
  <c r="P4687" i="58"/>
  <c r="O4687" i="58"/>
  <c r="L4687" i="58"/>
  <c r="I4687" i="58"/>
  <c r="J4687" i="58" s="1"/>
  <c r="H4687" i="58"/>
  <c r="P4686" i="58"/>
  <c r="O4686" i="58"/>
  <c r="L4686" i="58"/>
  <c r="I4686" i="58"/>
  <c r="J4686" i="58" s="1"/>
  <c r="H4686" i="58"/>
  <c r="P4685" i="58"/>
  <c r="O4685" i="58"/>
  <c r="L4685" i="58"/>
  <c r="I4685" i="58"/>
  <c r="J4685" i="58" s="1"/>
  <c r="H4685" i="58"/>
  <c r="P4684" i="58"/>
  <c r="O4684" i="58"/>
  <c r="L4684" i="58"/>
  <c r="I4684" i="58"/>
  <c r="J4684" i="58" s="1"/>
  <c r="H4684" i="58"/>
  <c r="P4683" i="58"/>
  <c r="O4683" i="58"/>
  <c r="L4683" i="58"/>
  <c r="I4683" i="58"/>
  <c r="J4683" i="58" s="1"/>
  <c r="H4683" i="58"/>
  <c r="P4682" i="58"/>
  <c r="O4682" i="58"/>
  <c r="L4682" i="58"/>
  <c r="I4682" i="58"/>
  <c r="J4682" i="58" s="1"/>
  <c r="H4682" i="58"/>
  <c r="P4681" i="58"/>
  <c r="O4681" i="58"/>
  <c r="L4681" i="58"/>
  <c r="I4681" i="58"/>
  <c r="J4681" i="58" s="1"/>
  <c r="H4681" i="58"/>
  <c r="P4680" i="58"/>
  <c r="O4680" i="58"/>
  <c r="L4680" i="58"/>
  <c r="I4680" i="58"/>
  <c r="J4680" i="58" s="1"/>
  <c r="H4680" i="58"/>
  <c r="P4679" i="58"/>
  <c r="O4679" i="58"/>
  <c r="L4679" i="58"/>
  <c r="I4679" i="58"/>
  <c r="J4679" i="58" s="1"/>
  <c r="H4679" i="58"/>
  <c r="P4678" i="58"/>
  <c r="O4678" i="58"/>
  <c r="L4678" i="58"/>
  <c r="I4678" i="58"/>
  <c r="J4678" i="58" s="1"/>
  <c r="H4678" i="58"/>
  <c r="P4677" i="58"/>
  <c r="O4677" i="58"/>
  <c r="L4677" i="58"/>
  <c r="I4677" i="58"/>
  <c r="J4677" i="58" s="1"/>
  <c r="H4677" i="58"/>
  <c r="P4676" i="58"/>
  <c r="O4676" i="58"/>
  <c r="L4676" i="58"/>
  <c r="I4676" i="58"/>
  <c r="J4676" i="58" s="1"/>
  <c r="H4676" i="58"/>
  <c r="P4675" i="58"/>
  <c r="O4675" i="58"/>
  <c r="L4675" i="58"/>
  <c r="I4675" i="58"/>
  <c r="J4675" i="58" s="1"/>
  <c r="H4675" i="58"/>
  <c r="P4674" i="58"/>
  <c r="O4674" i="58"/>
  <c r="L4674" i="58"/>
  <c r="I4674" i="58"/>
  <c r="J4674" i="58" s="1"/>
  <c r="H4674" i="58"/>
  <c r="P4673" i="58"/>
  <c r="O4673" i="58"/>
  <c r="L4673" i="58"/>
  <c r="I4673" i="58"/>
  <c r="J4673" i="58" s="1"/>
  <c r="H4673" i="58"/>
  <c r="P4672" i="58"/>
  <c r="O4672" i="58"/>
  <c r="L4672" i="58"/>
  <c r="I4672" i="58"/>
  <c r="J4672" i="58" s="1"/>
  <c r="H4672" i="58"/>
  <c r="P4671" i="58"/>
  <c r="O4671" i="58"/>
  <c r="L4671" i="58"/>
  <c r="I4671" i="58"/>
  <c r="J4671" i="58" s="1"/>
  <c r="H4671" i="58"/>
  <c r="P4670" i="58"/>
  <c r="O4670" i="58"/>
  <c r="L4670" i="58"/>
  <c r="I4670" i="58"/>
  <c r="J4670" i="58" s="1"/>
  <c r="H4670" i="58"/>
  <c r="P4669" i="58"/>
  <c r="O4669" i="58"/>
  <c r="L4669" i="58"/>
  <c r="I4669" i="58"/>
  <c r="J4669" i="58" s="1"/>
  <c r="H4669" i="58"/>
  <c r="P4668" i="58"/>
  <c r="O4668" i="58"/>
  <c r="L4668" i="58"/>
  <c r="I4668" i="58"/>
  <c r="J4668" i="58" s="1"/>
  <c r="H4668" i="58"/>
  <c r="P4667" i="58"/>
  <c r="O4667" i="58"/>
  <c r="L4667" i="58"/>
  <c r="I4667" i="58"/>
  <c r="J4667" i="58" s="1"/>
  <c r="H4667" i="58"/>
  <c r="P4666" i="58"/>
  <c r="O4666" i="58"/>
  <c r="L4666" i="58"/>
  <c r="I4666" i="58"/>
  <c r="J4666" i="58" s="1"/>
  <c r="H4666" i="58"/>
  <c r="P4665" i="58"/>
  <c r="O4665" i="58"/>
  <c r="L4665" i="58"/>
  <c r="I4665" i="58"/>
  <c r="J4665" i="58" s="1"/>
  <c r="H4665" i="58"/>
  <c r="P4664" i="58"/>
  <c r="O4664" i="58"/>
  <c r="L4664" i="58"/>
  <c r="I4664" i="58"/>
  <c r="J4664" i="58" s="1"/>
  <c r="H4664" i="58"/>
  <c r="P4663" i="58"/>
  <c r="O4663" i="58"/>
  <c r="L4663" i="58"/>
  <c r="I4663" i="58"/>
  <c r="J4663" i="58" s="1"/>
  <c r="H4663" i="58"/>
  <c r="P4662" i="58"/>
  <c r="O4662" i="58"/>
  <c r="L4662" i="58"/>
  <c r="I4662" i="58"/>
  <c r="J4662" i="58" s="1"/>
  <c r="H4662" i="58"/>
  <c r="P4661" i="58"/>
  <c r="O4661" i="58"/>
  <c r="L4661" i="58"/>
  <c r="I4661" i="58"/>
  <c r="J4661" i="58" s="1"/>
  <c r="H4661" i="58"/>
  <c r="P4660" i="58"/>
  <c r="O4660" i="58"/>
  <c r="L4660" i="58"/>
  <c r="I4660" i="58"/>
  <c r="J4660" i="58" s="1"/>
  <c r="H4660" i="58"/>
  <c r="P4659" i="58"/>
  <c r="O4659" i="58"/>
  <c r="L4659" i="58"/>
  <c r="I4659" i="58"/>
  <c r="J4659" i="58" s="1"/>
  <c r="H4659" i="58"/>
  <c r="P4658" i="58"/>
  <c r="O4658" i="58"/>
  <c r="L4658" i="58"/>
  <c r="I4658" i="58"/>
  <c r="J4658" i="58" s="1"/>
  <c r="H4658" i="58"/>
  <c r="P4657" i="58"/>
  <c r="O4657" i="58"/>
  <c r="L4657" i="58"/>
  <c r="I4657" i="58"/>
  <c r="J4657" i="58" s="1"/>
  <c r="H4657" i="58"/>
  <c r="P4656" i="58"/>
  <c r="O4656" i="58"/>
  <c r="L4656" i="58"/>
  <c r="I4656" i="58"/>
  <c r="J4656" i="58" s="1"/>
  <c r="H4656" i="58"/>
  <c r="P4655" i="58"/>
  <c r="O4655" i="58"/>
  <c r="L4655" i="58"/>
  <c r="I4655" i="58"/>
  <c r="J4655" i="58" s="1"/>
  <c r="H4655" i="58"/>
  <c r="P4654" i="58"/>
  <c r="O4654" i="58"/>
  <c r="L4654" i="58"/>
  <c r="I4654" i="58"/>
  <c r="J4654" i="58" s="1"/>
  <c r="H4654" i="58"/>
  <c r="P4653" i="58"/>
  <c r="O4653" i="58"/>
  <c r="L4653" i="58"/>
  <c r="I4653" i="58"/>
  <c r="J4653" i="58" s="1"/>
  <c r="H4653" i="58"/>
  <c r="P4652" i="58"/>
  <c r="O4652" i="58"/>
  <c r="L4652" i="58"/>
  <c r="I4652" i="58"/>
  <c r="J4652" i="58" s="1"/>
  <c r="H4652" i="58"/>
  <c r="P4651" i="58"/>
  <c r="O4651" i="58"/>
  <c r="L4651" i="58"/>
  <c r="I4651" i="58"/>
  <c r="J4651" i="58" s="1"/>
  <c r="H4651" i="58"/>
  <c r="P4650" i="58"/>
  <c r="O4650" i="58"/>
  <c r="L4650" i="58"/>
  <c r="I4650" i="58"/>
  <c r="J4650" i="58" s="1"/>
  <c r="H4650" i="58"/>
  <c r="P4649" i="58"/>
  <c r="O4649" i="58"/>
  <c r="L4649" i="58"/>
  <c r="I4649" i="58"/>
  <c r="J4649" i="58" s="1"/>
  <c r="H4649" i="58"/>
  <c r="P4648" i="58"/>
  <c r="O4648" i="58"/>
  <c r="L4648" i="58"/>
  <c r="I4648" i="58"/>
  <c r="J4648" i="58" s="1"/>
  <c r="H4648" i="58"/>
  <c r="P4647" i="58"/>
  <c r="O4647" i="58"/>
  <c r="L4647" i="58"/>
  <c r="I4647" i="58"/>
  <c r="J4647" i="58" s="1"/>
  <c r="H4647" i="58"/>
  <c r="P4646" i="58"/>
  <c r="O4646" i="58"/>
  <c r="L4646" i="58"/>
  <c r="I4646" i="58"/>
  <c r="J4646" i="58" s="1"/>
  <c r="H4646" i="58"/>
  <c r="P4645" i="58"/>
  <c r="O4645" i="58"/>
  <c r="L4645" i="58"/>
  <c r="I4645" i="58"/>
  <c r="J4645" i="58" s="1"/>
  <c r="H4645" i="58"/>
  <c r="P4644" i="58"/>
  <c r="O4644" i="58"/>
  <c r="L4644" i="58"/>
  <c r="I4644" i="58"/>
  <c r="J4644" i="58" s="1"/>
  <c r="H4644" i="58"/>
  <c r="P4643" i="58"/>
  <c r="O4643" i="58"/>
  <c r="L4643" i="58"/>
  <c r="I4643" i="58"/>
  <c r="J4643" i="58" s="1"/>
  <c r="H4643" i="58"/>
  <c r="P4642" i="58"/>
  <c r="O4642" i="58"/>
  <c r="L4642" i="58"/>
  <c r="I4642" i="58"/>
  <c r="J4642" i="58" s="1"/>
  <c r="H4642" i="58"/>
  <c r="P4641" i="58"/>
  <c r="O4641" i="58"/>
  <c r="L4641" i="58"/>
  <c r="I4641" i="58"/>
  <c r="J4641" i="58" s="1"/>
  <c r="H4641" i="58"/>
  <c r="P4640" i="58"/>
  <c r="O4640" i="58"/>
  <c r="L4640" i="58"/>
  <c r="I4640" i="58"/>
  <c r="J4640" i="58" s="1"/>
  <c r="H4640" i="58"/>
  <c r="P4639" i="58"/>
  <c r="O4639" i="58"/>
  <c r="L4639" i="58"/>
  <c r="I4639" i="58"/>
  <c r="J4639" i="58" s="1"/>
  <c r="H4639" i="58"/>
  <c r="P4638" i="58"/>
  <c r="O4638" i="58"/>
  <c r="L4638" i="58"/>
  <c r="I4638" i="58"/>
  <c r="J4638" i="58" s="1"/>
  <c r="H4638" i="58"/>
  <c r="P4637" i="58"/>
  <c r="O4637" i="58"/>
  <c r="L4637" i="58"/>
  <c r="I4637" i="58"/>
  <c r="J4637" i="58" s="1"/>
  <c r="H4637" i="58"/>
  <c r="P4636" i="58"/>
  <c r="O4636" i="58"/>
  <c r="L4636" i="58"/>
  <c r="I4636" i="58"/>
  <c r="J4636" i="58" s="1"/>
  <c r="H4636" i="58"/>
  <c r="P4635" i="58"/>
  <c r="O4635" i="58"/>
  <c r="L4635" i="58"/>
  <c r="I4635" i="58"/>
  <c r="J4635" i="58" s="1"/>
  <c r="H4635" i="58"/>
  <c r="P4634" i="58"/>
  <c r="O4634" i="58"/>
  <c r="L4634" i="58"/>
  <c r="I4634" i="58"/>
  <c r="J4634" i="58" s="1"/>
  <c r="H4634" i="58"/>
  <c r="P4633" i="58"/>
  <c r="O4633" i="58"/>
  <c r="L4633" i="58"/>
  <c r="I4633" i="58"/>
  <c r="J4633" i="58" s="1"/>
  <c r="H4633" i="58"/>
  <c r="P4632" i="58"/>
  <c r="O4632" i="58"/>
  <c r="L4632" i="58"/>
  <c r="I4632" i="58"/>
  <c r="J4632" i="58" s="1"/>
  <c r="H4632" i="58"/>
  <c r="P4631" i="58"/>
  <c r="O4631" i="58"/>
  <c r="L4631" i="58"/>
  <c r="I4631" i="58"/>
  <c r="J4631" i="58" s="1"/>
  <c r="H4631" i="58"/>
  <c r="P4630" i="58"/>
  <c r="O4630" i="58"/>
  <c r="L4630" i="58"/>
  <c r="I4630" i="58"/>
  <c r="J4630" i="58" s="1"/>
  <c r="H4630" i="58"/>
  <c r="P4629" i="58"/>
  <c r="O4629" i="58"/>
  <c r="L4629" i="58"/>
  <c r="I4629" i="58"/>
  <c r="J4629" i="58" s="1"/>
  <c r="H4629" i="58"/>
  <c r="P4628" i="58"/>
  <c r="O4628" i="58"/>
  <c r="L4628" i="58"/>
  <c r="I4628" i="58"/>
  <c r="J4628" i="58" s="1"/>
  <c r="H4628" i="58"/>
  <c r="P4627" i="58"/>
  <c r="O4627" i="58"/>
  <c r="L4627" i="58"/>
  <c r="I4627" i="58"/>
  <c r="J4627" i="58" s="1"/>
  <c r="H4627" i="58"/>
  <c r="P4626" i="58"/>
  <c r="O4626" i="58"/>
  <c r="L4626" i="58"/>
  <c r="I4626" i="58"/>
  <c r="J4626" i="58" s="1"/>
  <c r="H4626" i="58"/>
  <c r="P4625" i="58"/>
  <c r="O4625" i="58"/>
  <c r="L4625" i="58"/>
  <c r="I4625" i="58"/>
  <c r="J4625" i="58" s="1"/>
  <c r="H4625" i="58"/>
  <c r="P4624" i="58"/>
  <c r="O4624" i="58"/>
  <c r="L4624" i="58"/>
  <c r="I4624" i="58"/>
  <c r="J4624" i="58" s="1"/>
  <c r="H4624" i="58"/>
  <c r="P4623" i="58"/>
  <c r="O4623" i="58"/>
  <c r="L4623" i="58"/>
  <c r="I4623" i="58"/>
  <c r="J4623" i="58" s="1"/>
  <c r="H4623" i="58"/>
  <c r="P4622" i="58"/>
  <c r="O4622" i="58"/>
  <c r="L4622" i="58"/>
  <c r="I4622" i="58"/>
  <c r="J4622" i="58" s="1"/>
  <c r="H4622" i="58"/>
  <c r="P4621" i="58"/>
  <c r="O4621" i="58"/>
  <c r="L4621" i="58"/>
  <c r="I4621" i="58"/>
  <c r="J4621" i="58" s="1"/>
  <c r="H4621" i="58"/>
  <c r="P4620" i="58"/>
  <c r="O4620" i="58"/>
  <c r="L4620" i="58"/>
  <c r="I4620" i="58"/>
  <c r="J4620" i="58" s="1"/>
  <c r="H4620" i="58"/>
  <c r="P4619" i="58"/>
  <c r="O4619" i="58"/>
  <c r="L4619" i="58"/>
  <c r="I4619" i="58"/>
  <c r="J4619" i="58" s="1"/>
  <c r="H4619" i="58"/>
  <c r="P4618" i="58"/>
  <c r="O4618" i="58"/>
  <c r="L4618" i="58"/>
  <c r="I4618" i="58"/>
  <c r="J4618" i="58" s="1"/>
  <c r="H4618" i="58"/>
  <c r="P4617" i="58"/>
  <c r="O4617" i="58"/>
  <c r="L4617" i="58"/>
  <c r="I4617" i="58"/>
  <c r="J4617" i="58" s="1"/>
  <c r="H4617" i="58"/>
  <c r="P4616" i="58"/>
  <c r="O4616" i="58"/>
  <c r="L4616" i="58"/>
  <c r="I4616" i="58"/>
  <c r="J4616" i="58" s="1"/>
  <c r="H4616" i="58"/>
  <c r="P4615" i="58"/>
  <c r="O4615" i="58"/>
  <c r="L4615" i="58"/>
  <c r="I4615" i="58"/>
  <c r="J4615" i="58" s="1"/>
  <c r="H4615" i="58"/>
  <c r="P4614" i="58"/>
  <c r="O4614" i="58"/>
  <c r="L4614" i="58"/>
  <c r="I4614" i="58"/>
  <c r="J4614" i="58" s="1"/>
  <c r="H4614" i="58"/>
  <c r="P4613" i="58"/>
  <c r="O4613" i="58"/>
  <c r="L4613" i="58"/>
  <c r="I4613" i="58"/>
  <c r="J4613" i="58" s="1"/>
  <c r="H4613" i="58"/>
  <c r="P4612" i="58"/>
  <c r="O4612" i="58"/>
  <c r="L4612" i="58"/>
  <c r="I4612" i="58"/>
  <c r="J4612" i="58" s="1"/>
  <c r="H4612" i="58"/>
  <c r="P4611" i="58"/>
  <c r="O4611" i="58"/>
  <c r="L4611" i="58"/>
  <c r="I4611" i="58"/>
  <c r="J4611" i="58" s="1"/>
  <c r="H4611" i="58"/>
  <c r="P4610" i="58"/>
  <c r="O4610" i="58"/>
  <c r="L4610" i="58"/>
  <c r="I4610" i="58"/>
  <c r="J4610" i="58" s="1"/>
  <c r="H4610" i="58"/>
  <c r="P4609" i="58"/>
  <c r="O4609" i="58"/>
  <c r="L4609" i="58"/>
  <c r="I4609" i="58"/>
  <c r="J4609" i="58" s="1"/>
  <c r="H4609" i="58"/>
  <c r="P4608" i="58"/>
  <c r="O4608" i="58"/>
  <c r="L4608" i="58"/>
  <c r="I4608" i="58"/>
  <c r="J4608" i="58" s="1"/>
  <c r="H4608" i="58"/>
  <c r="P4607" i="58"/>
  <c r="O4607" i="58"/>
  <c r="L4607" i="58"/>
  <c r="I4607" i="58"/>
  <c r="J4607" i="58" s="1"/>
  <c r="H4607" i="58"/>
  <c r="P4606" i="58"/>
  <c r="O4606" i="58"/>
  <c r="L4606" i="58"/>
  <c r="I4606" i="58"/>
  <c r="J4606" i="58" s="1"/>
  <c r="H4606" i="58"/>
  <c r="P4605" i="58"/>
  <c r="O4605" i="58"/>
  <c r="L4605" i="58"/>
  <c r="I4605" i="58"/>
  <c r="J4605" i="58" s="1"/>
  <c r="H4605" i="58"/>
  <c r="P4604" i="58"/>
  <c r="O4604" i="58"/>
  <c r="L4604" i="58"/>
  <c r="I4604" i="58"/>
  <c r="J4604" i="58" s="1"/>
  <c r="H4604" i="58"/>
  <c r="P4603" i="58"/>
  <c r="O4603" i="58"/>
  <c r="L4603" i="58"/>
  <c r="I4603" i="58"/>
  <c r="J4603" i="58" s="1"/>
  <c r="H4603" i="58"/>
  <c r="P4602" i="58"/>
  <c r="O4602" i="58"/>
  <c r="L4602" i="58"/>
  <c r="I4602" i="58"/>
  <c r="J4602" i="58" s="1"/>
  <c r="H4602" i="58"/>
  <c r="P4601" i="58"/>
  <c r="O4601" i="58"/>
  <c r="L4601" i="58"/>
  <c r="I4601" i="58"/>
  <c r="J4601" i="58" s="1"/>
  <c r="H4601" i="58"/>
  <c r="P4600" i="58"/>
  <c r="O4600" i="58"/>
  <c r="L4600" i="58"/>
  <c r="I4600" i="58"/>
  <c r="J4600" i="58" s="1"/>
  <c r="H4600" i="58"/>
  <c r="P4599" i="58"/>
  <c r="O4599" i="58"/>
  <c r="L4599" i="58"/>
  <c r="I4599" i="58"/>
  <c r="J4599" i="58" s="1"/>
  <c r="H4599" i="58"/>
  <c r="P4598" i="58"/>
  <c r="O4598" i="58"/>
  <c r="L4598" i="58"/>
  <c r="I4598" i="58"/>
  <c r="J4598" i="58" s="1"/>
  <c r="H4598" i="58"/>
  <c r="P4597" i="58"/>
  <c r="O4597" i="58"/>
  <c r="L4597" i="58"/>
  <c r="I4597" i="58"/>
  <c r="J4597" i="58" s="1"/>
  <c r="H4597" i="58"/>
  <c r="P4596" i="58"/>
  <c r="O4596" i="58"/>
  <c r="L4596" i="58"/>
  <c r="I4596" i="58"/>
  <c r="J4596" i="58" s="1"/>
  <c r="H4596" i="58"/>
  <c r="P4595" i="58"/>
  <c r="O4595" i="58"/>
  <c r="L4595" i="58"/>
  <c r="I4595" i="58"/>
  <c r="J4595" i="58" s="1"/>
  <c r="H4595" i="58"/>
  <c r="P4594" i="58"/>
  <c r="O4594" i="58"/>
  <c r="L4594" i="58"/>
  <c r="I4594" i="58"/>
  <c r="J4594" i="58" s="1"/>
  <c r="H4594" i="58"/>
  <c r="P4593" i="58"/>
  <c r="O4593" i="58"/>
  <c r="L4593" i="58"/>
  <c r="I4593" i="58"/>
  <c r="J4593" i="58" s="1"/>
  <c r="H4593" i="58"/>
  <c r="P4592" i="58"/>
  <c r="O4592" i="58"/>
  <c r="L4592" i="58"/>
  <c r="I4592" i="58"/>
  <c r="J4592" i="58" s="1"/>
  <c r="H4592" i="58"/>
  <c r="P4591" i="58"/>
  <c r="O4591" i="58"/>
  <c r="L4591" i="58"/>
  <c r="I4591" i="58"/>
  <c r="J4591" i="58" s="1"/>
  <c r="H4591" i="58"/>
  <c r="P4590" i="58"/>
  <c r="O4590" i="58"/>
  <c r="L4590" i="58"/>
  <c r="I4590" i="58"/>
  <c r="J4590" i="58" s="1"/>
  <c r="H4590" i="58"/>
  <c r="P4589" i="58"/>
  <c r="O4589" i="58"/>
  <c r="L4589" i="58"/>
  <c r="I4589" i="58"/>
  <c r="J4589" i="58" s="1"/>
  <c r="H4589" i="58"/>
  <c r="P4588" i="58"/>
  <c r="O4588" i="58"/>
  <c r="L4588" i="58"/>
  <c r="I4588" i="58"/>
  <c r="J4588" i="58" s="1"/>
  <c r="H4588" i="58"/>
  <c r="P4587" i="58"/>
  <c r="O4587" i="58"/>
  <c r="L4587" i="58"/>
  <c r="I4587" i="58"/>
  <c r="J4587" i="58" s="1"/>
  <c r="H4587" i="58"/>
  <c r="P4586" i="58"/>
  <c r="O4586" i="58"/>
  <c r="L4586" i="58"/>
  <c r="I4586" i="58"/>
  <c r="J4586" i="58" s="1"/>
  <c r="H4586" i="58"/>
  <c r="P4585" i="58"/>
  <c r="O4585" i="58"/>
  <c r="L4585" i="58"/>
  <c r="I4585" i="58"/>
  <c r="J4585" i="58" s="1"/>
  <c r="H4585" i="58"/>
  <c r="P4584" i="58"/>
  <c r="O4584" i="58"/>
  <c r="L4584" i="58"/>
  <c r="I4584" i="58"/>
  <c r="J4584" i="58" s="1"/>
  <c r="H4584" i="58"/>
  <c r="P4583" i="58"/>
  <c r="O4583" i="58"/>
  <c r="L4583" i="58"/>
  <c r="I4583" i="58"/>
  <c r="J4583" i="58" s="1"/>
  <c r="H4583" i="58"/>
  <c r="P4582" i="58"/>
  <c r="O4582" i="58"/>
  <c r="L4582" i="58"/>
  <c r="I4582" i="58"/>
  <c r="J4582" i="58" s="1"/>
  <c r="H4582" i="58"/>
  <c r="P4581" i="58"/>
  <c r="O4581" i="58"/>
  <c r="L4581" i="58"/>
  <c r="I4581" i="58"/>
  <c r="J4581" i="58" s="1"/>
  <c r="H4581" i="58"/>
  <c r="P4580" i="58"/>
  <c r="O4580" i="58"/>
  <c r="L4580" i="58"/>
  <c r="I4580" i="58"/>
  <c r="J4580" i="58" s="1"/>
  <c r="H4580" i="58"/>
  <c r="P4579" i="58"/>
  <c r="O4579" i="58"/>
  <c r="L4579" i="58"/>
  <c r="I4579" i="58"/>
  <c r="J4579" i="58" s="1"/>
  <c r="H4579" i="58"/>
  <c r="P4578" i="58"/>
  <c r="O4578" i="58"/>
  <c r="L4578" i="58"/>
  <c r="I4578" i="58"/>
  <c r="J4578" i="58" s="1"/>
  <c r="H4578" i="58"/>
  <c r="P4577" i="58"/>
  <c r="O4577" i="58"/>
  <c r="L4577" i="58"/>
  <c r="I4577" i="58"/>
  <c r="J4577" i="58" s="1"/>
  <c r="H4577" i="58"/>
  <c r="P4576" i="58"/>
  <c r="O4576" i="58"/>
  <c r="L4576" i="58"/>
  <c r="I4576" i="58"/>
  <c r="J4576" i="58" s="1"/>
  <c r="H4576" i="58"/>
  <c r="P4575" i="58"/>
  <c r="O4575" i="58"/>
  <c r="L4575" i="58"/>
  <c r="I4575" i="58"/>
  <c r="J4575" i="58" s="1"/>
  <c r="H4575" i="58"/>
  <c r="P4574" i="58"/>
  <c r="O4574" i="58"/>
  <c r="L4574" i="58"/>
  <c r="I4574" i="58"/>
  <c r="J4574" i="58" s="1"/>
  <c r="H4574" i="58"/>
  <c r="P4573" i="58"/>
  <c r="O4573" i="58"/>
  <c r="L4573" i="58"/>
  <c r="I4573" i="58"/>
  <c r="J4573" i="58" s="1"/>
  <c r="H4573" i="58"/>
  <c r="P4572" i="58"/>
  <c r="O4572" i="58"/>
  <c r="L4572" i="58"/>
  <c r="I4572" i="58"/>
  <c r="J4572" i="58" s="1"/>
  <c r="H4572" i="58"/>
  <c r="P4571" i="58"/>
  <c r="O4571" i="58"/>
  <c r="L4571" i="58"/>
  <c r="I4571" i="58"/>
  <c r="J4571" i="58" s="1"/>
  <c r="H4571" i="58"/>
  <c r="P4570" i="58"/>
  <c r="O4570" i="58"/>
  <c r="L4570" i="58"/>
  <c r="I4570" i="58"/>
  <c r="J4570" i="58" s="1"/>
  <c r="H4570" i="58"/>
  <c r="P4569" i="58"/>
  <c r="O4569" i="58"/>
  <c r="L4569" i="58"/>
  <c r="I4569" i="58"/>
  <c r="J4569" i="58" s="1"/>
  <c r="H4569" i="58"/>
  <c r="P4568" i="58"/>
  <c r="O4568" i="58"/>
  <c r="L4568" i="58"/>
  <c r="I4568" i="58"/>
  <c r="J4568" i="58" s="1"/>
  <c r="H4568" i="58"/>
  <c r="P4567" i="58"/>
  <c r="O4567" i="58"/>
  <c r="L4567" i="58"/>
  <c r="I4567" i="58"/>
  <c r="J4567" i="58" s="1"/>
  <c r="H4567" i="58"/>
  <c r="P4566" i="58"/>
  <c r="O4566" i="58"/>
  <c r="L4566" i="58"/>
  <c r="I4566" i="58"/>
  <c r="J4566" i="58" s="1"/>
  <c r="H4566" i="58"/>
  <c r="P4565" i="58"/>
  <c r="O4565" i="58"/>
  <c r="L4565" i="58"/>
  <c r="I4565" i="58"/>
  <c r="J4565" i="58" s="1"/>
  <c r="H4565" i="58"/>
  <c r="P4564" i="58"/>
  <c r="O4564" i="58"/>
  <c r="L4564" i="58"/>
  <c r="I4564" i="58"/>
  <c r="J4564" i="58" s="1"/>
  <c r="H4564" i="58"/>
  <c r="P4563" i="58"/>
  <c r="O4563" i="58"/>
  <c r="L4563" i="58"/>
  <c r="I4563" i="58"/>
  <c r="J4563" i="58" s="1"/>
  <c r="H4563" i="58"/>
  <c r="P4562" i="58"/>
  <c r="O4562" i="58"/>
  <c r="L4562" i="58"/>
  <c r="I4562" i="58"/>
  <c r="J4562" i="58" s="1"/>
  <c r="H4562" i="58"/>
  <c r="P4561" i="58"/>
  <c r="O4561" i="58"/>
  <c r="L4561" i="58"/>
  <c r="I4561" i="58"/>
  <c r="J4561" i="58" s="1"/>
  <c r="H4561" i="58"/>
  <c r="P4560" i="58"/>
  <c r="O4560" i="58"/>
  <c r="L4560" i="58"/>
  <c r="I4560" i="58"/>
  <c r="J4560" i="58" s="1"/>
  <c r="H4560" i="58"/>
  <c r="P4559" i="58"/>
  <c r="O4559" i="58"/>
  <c r="L4559" i="58"/>
  <c r="I4559" i="58"/>
  <c r="J4559" i="58" s="1"/>
  <c r="H4559" i="58"/>
  <c r="P4558" i="58"/>
  <c r="O4558" i="58"/>
  <c r="L4558" i="58"/>
  <c r="I4558" i="58"/>
  <c r="J4558" i="58" s="1"/>
  <c r="H4558" i="58"/>
  <c r="P4557" i="58"/>
  <c r="O4557" i="58"/>
  <c r="L4557" i="58"/>
  <c r="I4557" i="58"/>
  <c r="J4557" i="58" s="1"/>
  <c r="H4557" i="58"/>
  <c r="P4556" i="58"/>
  <c r="O4556" i="58"/>
  <c r="L4556" i="58"/>
  <c r="I4556" i="58"/>
  <c r="J4556" i="58" s="1"/>
  <c r="H4556" i="58"/>
  <c r="P4555" i="58"/>
  <c r="O4555" i="58"/>
  <c r="L4555" i="58"/>
  <c r="I4555" i="58"/>
  <c r="J4555" i="58" s="1"/>
  <c r="H4555" i="58"/>
  <c r="P4554" i="58"/>
  <c r="O4554" i="58"/>
  <c r="L4554" i="58"/>
  <c r="I4554" i="58"/>
  <c r="J4554" i="58" s="1"/>
  <c r="H4554" i="58"/>
  <c r="P4553" i="58"/>
  <c r="O4553" i="58"/>
  <c r="L4553" i="58"/>
  <c r="I4553" i="58"/>
  <c r="J4553" i="58" s="1"/>
  <c r="H4553" i="58"/>
  <c r="P4552" i="58"/>
  <c r="O4552" i="58"/>
  <c r="L4552" i="58"/>
  <c r="I4552" i="58"/>
  <c r="J4552" i="58" s="1"/>
  <c r="H4552" i="58"/>
  <c r="P4551" i="58"/>
  <c r="O4551" i="58"/>
  <c r="L4551" i="58"/>
  <c r="I4551" i="58"/>
  <c r="J4551" i="58" s="1"/>
  <c r="H4551" i="58"/>
  <c r="P4550" i="58"/>
  <c r="O4550" i="58"/>
  <c r="L4550" i="58"/>
  <c r="I4550" i="58"/>
  <c r="J4550" i="58" s="1"/>
  <c r="H4550" i="58"/>
  <c r="P4549" i="58"/>
  <c r="O4549" i="58"/>
  <c r="L4549" i="58"/>
  <c r="I4549" i="58"/>
  <c r="J4549" i="58" s="1"/>
  <c r="H4549" i="58"/>
  <c r="P4548" i="58"/>
  <c r="O4548" i="58"/>
  <c r="L4548" i="58"/>
  <c r="I4548" i="58"/>
  <c r="J4548" i="58" s="1"/>
  <c r="H4548" i="58"/>
  <c r="P4547" i="58"/>
  <c r="O4547" i="58"/>
  <c r="L4547" i="58"/>
  <c r="I4547" i="58"/>
  <c r="J4547" i="58" s="1"/>
  <c r="H4547" i="58"/>
  <c r="P4546" i="58"/>
  <c r="O4546" i="58"/>
  <c r="L4546" i="58"/>
  <c r="I4546" i="58"/>
  <c r="J4546" i="58" s="1"/>
  <c r="H4546" i="58"/>
  <c r="P4545" i="58"/>
  <c r="O4545" i="58"/>
  <c r="L4545" i="58"/>
  <c r="I4545" i="58"/>
  <c r="J4545" i="58" s="1"/>
  <c r="H4545" i="58"/>
  <c r="P4544" i="58"/>
  <c r="O4544" i="58"/>
  <c r="L4544" i="58"/>
  <c r="I4544" i="58"/>
  <c r="J4544" i="58" s="1"/>
  <c r="H4544" i="58"/>
  <c r="P4543" i="58"/>
  <c r="O4543" i="58"/>
  <c r="L4543" i="58"/>
  <c r="I4543" i="58"/>
  <c r="J4543" i="58" s="1"/>
  <c r="H4543" i="58"/>
  <c r="P4542" i="58"/>
  <c r="O4542" i="58"/>
  <c r="L4542" i="58"/>
  <c r="I4542" i="58"/>
  <c r="J4542" i="58" s="1"/>
  <c r="H4542" i="58"/>
  <c r="P4541" i="58"/>
  <c r="O4541" i="58"/>
  <c r="L4541" i="58"/>
  <c r="I4541" i="58"/>
  <c r="J4541" i="58" s="1"/>
  <c r="H4541" i="58"/>
  <c r="P4540" i="58"/>
  <c r="O4540" i="58"/>
  <c r="L4540" i="58"/>
  <c r="I4540" i="58"/>
  <c r="J4540" i="58" s="1"/>
  <c r="H4540" i="58"/>
  <c r="P4539" i="58"/>
  <c r="O4539" i="58"/>
  <c r="L4539" i="58"/>
  <c r="I4539" i="58"/>
  <c r="J4539" i="58" s="1"/>
  <c r="H4539" i="58"/>
  <c r="P4538" i="58"/>
  <c r="O4538" i="58"/>
  <c r="L4538" i="58"/>
  <c r="I4538" i="58"/>
  <c r="J4538" i="58" s="1"/>
  <c r="H4538" i="58"/>
  <c r="P4537" i="58"/>
  <c r="O4537" i="58"/>
  <c r="L4537" i="58"/>
  <c r="I4537" i="58"/>
  <c r="J4537" i="58" s="1"/>
  <c r="H4537" i="58"/>
  <c r="P4536" i="58"/>
  <c r="O4536" i="58"/>
  <c r="L4536" i="58"/>
  <c r="I4536" i="58"/>
  <c r="J4536" i="58" s="1"/>
  <c r="H4536" i="58"/>
  <c r="P4535" i="58"/>
  <c r="O4535" i="58"/>
  <c r="L4535" i="58"/>
  <c r="I4535" i="58"/>
  <c r="J4535" i="58" s="1"/>
  <c r="H4535" i="58"/>
  <c r="P4534" i="58"/>
  <c r="O4534" i="58"/>
  <c r="L4534" i="58"/>
  <c r="I4534" i="58"/>
  <c r="J4534" i="58" s="1"/>
  <c r="H4534" i="58"/>
  <c r="P4533" i="58"/>
  <c r="O4533" i="58"/>
  <c r="L4533" i="58"/>
  <c r="I4533" i="58"/>
  <c r="J4533" i="58" s="1"/>
  <c r="H4533" i="58"/>
  <c r="P4532" i="58"/>
  <c r="O4532" i="58"/>
  <c r="L4532" i="58"/>
  <c r="I4532" i="58"/>
  <c r="J4532" i="58" s="1"/>
  <c r="H4532" i="58"/>
  <c r="P4531" i="58"/>
  <c r="O4531" i="58"/>
  <c r="L4531" i="58"/>
  <c r="I4531" i="58"/>
  <c r="J4531" i="58" s="1"/>
  <c r="H4531" i="58"/>
  <c r="P4530" i="58"/>
  <c r="O4530" i="58"/>
  <c r="L4530" i="58"/>
  <c r="I4530" i="58"/>
  <c r="J4530" i="58" s="1"/>
  <c r="H4530" i="58"/>
  <c r="P4529" i="58"/>
  <c r="O4529" i="58"/>
  <c r="L4529" i="58"/>
  <c r="I4529" i="58"/>
  <c r="J4529" i="58" s="1"/>
  <c r="H4529" i="58"/>
  <c r="P4528" i="58"/>
  <c r="O4528" i="58"/>
  <c r="L4528" i="58"/>
  <c r="I4528" i="58"/>
  <c r="J4528" i="58" s="1"/>
  <c r="H4528" i="58"/>
  <c r="P4527" i="58"/>
  <c r="O4527" i="58"/>
  <c r="L4527" i="58"/>
  <c r="I4527" i="58"/>
  <c r="J4527" i="58" s="1"/>
  <c r="H4527" i="58"/>
  <c r="P4526" i="58"/>
  <c r="O4526" i="58"/>
  <c r="L4526" i="58"/>
  <c r="I4526" i="58"/>
  <c r="J4526" i="58" s="1"/>
  <c r="H4526" i="58"/>
  <c r="P4525" i="58"/>
  <c r="O4525" i="58"/>
  <c r="L4525" i="58"/>
  <c r="I4525" i="58"/>
  <c r="J4525" i="58" s="1"/>
  <c r="H4525" i="58"/>
  <c r="P4524" i="58"/>
  <c r="O4524" i="58"/>
  <c r="L4524" i="58"/>
  <c r="I4524" i="58"/>
  <c r="J4524" i="58" s="1"/>
  <c r="H4524" i="58"/>
  <c r="P4523" i="58"/>
  <c r="O4523" i="58"/>
  <c r="L4523" i="58"/>
  <c r="I4523" i="58"/>
  <c r="J4523" i="58" s="1"/>
  <c r="H4523" i="58"/>
  <c r="P4522" i="58"/>
  <c r="O4522" i="58"/>
  <c r="L4522" i="58"/>
  <c r="I4522" i="58"/>
  <c r="J4522" i="58" s="1"/>
  <c r="H4522" i="58"/>
  <c r="P4521" i="58"/>
  <c r="O4521" i="58"/>
  <c r="L4521" i="58"/>
  <c r="I4521" i="58"/>
  <c r="J4521" i="58" s="1"/>
  <c r="H4521" i="58"/>
  <c r="P4520" i="58"/>
  <c r="O4520" i="58"/>
  <c r="L4520" i="58"/>
  <c r="I4520" i="58"/>
  <c r="J4520" i="58" s="1"/>
  <c r="H4520" i="58"/>
  <c r="P4519" i="58"/>
  <c r="O4519" i="58"/>
  <c r="L4519" i="58"/>
  <c r="I4519" i="58"/>
  <c r="J4519" i="58" s="1"/>
  <c r="H4519" i="58"/>
  <c r="P4518" i="58"/>
  <c r="O4518" i="58"/>
  <c r="L4518" i="58"/>
  <c r="I4518" i="58"/>
  <c r="J4518" i="58" s="1"/>
  <c r="H4518" i="58"/>
  <c r="P4517" i="58"/>
  <c r="O4517" i="58"/>
  <c r="L4517" i="58"/>
  <c r="I4517" i="58"/>
  <c r="J4517" i="58" s="1"/>
  <c r="H4517" i="58"/>
  <c r="P4516" i="58"/>
  <c r="O4516" i="58"/>
  <c r="L4516" i="58"/>
  <c r="I4516" i="58"/>
  <c r="J4516" i="58" s="1"/>
  <c r="H4516" i="58"/>
  <c r="P4515" i="58"/>
  <c r="O4515" i="58"/>
  <c r="L4515" i="58"/>
  <c r="I4515" i="58"/>
  <c r="J4515" i="58" s="1"/>
  <c r="H4515" i="58"/>
  <c r="P4514" i="58"/>
  <c r="O4514" i="58"/>
  <c r="L4514" i="58"/>
  <c r="I4514" i="58"/>
  <c r="J4514" i="58" s="1"/>
  <c r="H4514" i="58"/>
  <c r="P4513" i="58"/>
  <c r="O4513" i="58"/>
  <c r="L4513" i="58"/>
  <c r="I4513" i="58"/>
  <c r="J4513" i="58" s="1"/>
  <c r="H4513" i="58"/>
  <c r="P4512" i="58"/>
  <c r="O4512" i="58"/>
  <c r="L4512" i="58"/>
  <c r="I4512" i="58"/>
  <c r="J4512" i="58" s="1"/>
  <c r="H4512" i="58"/>
  <c r="P4511" i="58"/>
  <c r="O4511" i="58"/>
  <c r="L4511" i="58"/>
  <c r="I4511" i="58"/>
  <c r="J4511" i="58" s="1"/>
  <c r="H4511" i="58"/>
  <c r="P4510" i="58"/>
  <c r="O4510" i="58"/>
  <c r="L4510" i="58"/>
  <c r="I4510" i="58"/>
  <c r="J4510" i="58" s="1"/>
  <c r="H4510" i="58"/>
  <c r="P4509" i="58"/>
  <c r="O4509" i="58"/>
  <c r="L4509" i="58"/>
  <c r="I4509" i="58"/>
  <c r="J4509" i="58" s="1"/>
  <c r="H4509" i="58"/>
  <c r="P4508" i="58"/>
  <c r="O4508" i="58"/>
  <c r="L4508" i="58"/>
  <c r="I4508" i="58"/>
  <c r="J4508" i="58" s="1"/>
  <c r="H4508" i="58"/>
  <c r="P4507" i="58"/>
  <c r="O4507" i="58"/>
  <c r="L4507" i="58"/>
  <c r="I4507" i="58"/>
  <c r="J4507" i="58" s="1"/>
  <c r="H4507" i="58"/>
  <c r="P4506" i="58"/>
  <c r="O4506" i="58"/>
  <c r="L4506" i="58"/>
  <c r="I4506" i="58"/>
  <c r="J4506" i="58" s="1"/>
  <c r="H4506" i="58"/>
  <c r="P4505" i="58"/>
  <c r="O4505" i="58"/>
  <c r="L4505" i="58"/>
  <c r="I4505" i="58"/>
  <c r="J4505" i="58" s="1"/>
  <c r="H4505" i="58"/>
  <c r="P4504" i="58"/>
  <c r="O4504" i="58"/>
  <c r="L4504" i="58"/>
  <c r="I4504" i="58"/>
  <c r="J4504" i="58" s="1"/>
  <c r="H4504" i="58"/>
  <c r="P4503" i="58"/>
  <c r="O4503" i="58"/>
  <c r="L4503" i="58"/>
  <c r="I4503" i="58"/>
  <c r="J4503" i="58" s="1"/>
  <c r="H4503" i="58"/>
  <c r="P4502" i="58"/>
  <c r="O4502" i="58"/>
  <c r="L4502" i="58"/>
  <c r="I4502" i="58"/>
  <c r="J4502" i="58" s="1"/>
  <c r="H4502" i="58"/>
  <c r="P4501" i="58"/>
  <c r="O4501" i="58"/>
  <c r="L4501" i="58"/>
  <c r="I4501" i="58"/>
  <c r="J4501" i="58" s="1"/>
  <c r="H4501" i="58"/>
  <c r="P4500" i="58"/>
  <c r="O4500" i="58"/>
  <c r="L4500" i="58"/>
  <c r="I4500" i="58"/>
  <c r="J4500" i="58" s="1"/>
  <c r="H4500" i="58"/>
  <c r="P4499" i="58"/>
  <c r="O4499" i="58"/>
  <c r="L4499" i="58"/>
  <c r="I4499" i="58"/>
  <c r="J4499" i="58" s="1"/>
  <c r="H4499" i="58"/>
  <c r="P4498" i="58"/>
  <c r="O4498" i="58"/>
  <c r="L4498" i="58"/>
  <c r="I4498" i="58"/>
  <c r="J4498" i="58" s="1"/>
  <c r="H4498" i="58"/>
  <c r="P4497" i="58"/>
  <c r="O4497" i="58"/>
  <c r="L4497" i="58"/>
  <c r="I4497" i="58"/>
  <c r="J4497" i="58" s="1"/>
  <c r="H4497" i="58"/>
  <c r="P4496" i="58"/>
  <c r="O4496" i="58"/>
  <c r="L4496" i="58"/>
  <c r="I4496" i="58"/>
  <c r="J4496" i="58" s="1"/>
  <c r="H4496" i="58"/>
  <c r="P4495" i="58"/>
  <c r="O4495" i="58"/>
  <c r="L4495" i="58"/>
  <c r="I4495" i="58"/>
  <c r="J4495" i="58" s="1"/>
  <c r="H4495" i="58"/>
  <c r="P4494" i="58"/>
  <c r="O4494" i="58"/>
  <c r="L4494" i="58"/>
  <c r="I4494" i="58"/>
  <c r="J4494" i="58" s="1"/>
  <c r="H4494" i="58"/>
  <c r="P4493" i="58"/>
  <c r="O4493" i="58"/>
  <c r="L4493" i="58"/>
  <c r="I4493" i="58"/>
  <c r="J4493" i="58" s="1"/>
  <c r="H4493" i="58"/>
  <c r="P4492" i="58"/>
  <c r="O4492" i="58"/>
  <c r="L4492" i="58"/>
  <c r="I4492" i="58"/>
  <c r="J4492" i="58" s="1"/>
  <c r="H4492" i="58"/>
  <c r="P4491" i="58"/>
  <c r="O4491" i="58"/>
  <c r="L4491" i="58"/>
  <c r="I4491" i="58"/>
  <c r="J4491" i="58" s="1"/>
  <c r="H4491" i="58"/>
  <c r="P4490" i="58"/>
  <c r="O4490" i="58"/>
  <c r="L4490" i="58"/>
  <c r="I4490" i="58"/>
  <c r="J4490" i="58" s="1"/>
  <c r="H4490" i="58"/>
  <c r="P4489" i="58"/>
  <c r="O4489" i="58"/>
  <c r="L4489" i="58"/>
  <c r="I4489" i="58"/>
  <c r="J4489" i="58" s="1"/>
  <c r="H4489" i="58"/>
  <c r="P4488" i="58"/>
  <c r="O4488" i="58"/>
  <c r="L4488" i="58"/>
  <c r="I4488" i="58"/>
  <c r="J4488" i="58" s="1"/>
  <c r="H4488" i="58"/>
  <c r="P4487" i="58"/>
  <c r="O4487" i="58"/>
  <c r="L4487" i="58"/>
  <c r="I4487" i="58"/>
  <c r="J4487" i="58" s="1"/>
  <c r="H4487" i="58"/>
  <c r="P4486" i="58"/>
  <c r="O4486" i="58"/>
  <c r="L4486" i="58"/>
  <c r="I4486" i="58"/>
  <c r="J4486" i="58" s="1"/>
  <c r="H4486" i="58"/>
  <c r="P4485" i="58"/>
  <c r="O4485" i="58"/>
  <c r="L4485" i="58"/>
  <c r="I4485" i="58"/>
  <c r="J4485" i="58" s="1"/>
  <c r="H4485" i="58"/>
  <c r="P4484" i="58"/>
  <c r="O4484" i="58"/>
  <c r="L4484" i="58"/>
  <c r="I4484" i="58"/>
  <c r="J4484" i="58" s="1"/>
  <c r="H4484" i="58"/>
  <c r="P4483" i="58"/>
  <c r="O4483" i="58"/>
  <c r="L4483" i="58"/>
  <c r="I4483" i="58"/>
  <c r="J4483" i="58" s="1"/>
  <c r="H4483" i="58"/>
  <c r="P4482" i="58"/>
  <c r="O4482" i="58"/>
  <c r="L4482" i="58"/>
  <c r="I4482" i="58"/>
  <c r="J4482" i="58" s="1"/>
  <c r="H4482" i="58"/>
  <c r="P4481" i="58"/>
  <c r="O4481" i="58"/>
  <c r="L4481" i="58"/>
  <c r="I4481" i="58"/>
  <c r="J4481" i="58" s="1"/>
  <c r="H4481" i="58"/>
  <c r="P4480" i="58"/>
  <c r="O4480" i="58"/>
  <c r="L4480" i="58"/>
  <c r="I4480" i="58"/>
  <c r="J4480" i="58" s="1"/>
  <c r="H4480" i="58"/>
  <c r="P4479" i="58"/>
  <c r="O4479" i="58"/>
  <c r="L4479" i="58"/>
  <c r="I4479" i="58"/>
  <c r="J4479" i="58" s="1"/>
  <c r="H4479" i="58"/>
  <c r="P4478" i="58"/>
  <c r="O4478" i="58"/>
  <c r="L4478" i="58"/>
  <c r="I4478" i="58"/>
  <c r="J4478" i="58" s="1"/>
  <c r="H4478" i="58"/>
  <c r="P4477" i="58"/>
  <c r="O4477" i="58"/>
  <c r="L4477" i="58"/>
  <c r="I4477" i="58"/>
  <c r="J4477" i="58" s="1"/>
  <c r="H4477" i="58"/>
  <c r="P4476" i="58"/>
  <c r="O4476" i="58"/>
  <c r="L4476" i="58"/>
  <c r="I4476" i="58"/>
  <c r="J4476" i="58" s="1"/>
  <c r="H4476" i="58"/>
  <c r="P4475" i="58"/>
  <c r="O4475" i="58"/>
  <c r="L4475" i="58"/>
  <c r="I4475" i="58"/>
  <c r="J4475" i="58" s="1"/>
  <c r="H4475" i="58"/>
  <c r="P4474" i="58"/>
  <c r="O4474" i="58"/>
  <c r="L4474" i="58"/>
  <c r="I4474" i="58"/>
  <c r="J4474" i="58" s="1"/>
  <c r="H4474" i="58"/>
  <c r="P4473" i="58"/>
  <c r="O4473" i="58"/>
  <c r="L4473" i="58"/>
  <c r="I4473" i="58"/>
  <c r="J4473" i="58" s="1"/>
  <c r="H4473" i="58"/>
  <c r="P4472" i="58"/>
  <c r="O4472" i="58"/>
  <c r="L4472" i="58"/>
  <c r="I4472" i="58"/>
  <c r="J4472" i="58" s="1"/>
  <c r="H4472" i="58"/>
  <c r="P4471" i="58"/>
  <c r="O4471" i="58"/>
  <c r="L4471" i="58"/>
  <c r="I4471" i="58"/>
  <c r="J4471" i="58" s="1"/>
  <c r="H4471" i="58"/>
  <c r="P4470" i="58"/>
  <c r="O4470" i="58"/>
  <c r="L4470" i="58"/>
  <c r="I4470" i="58"/>
  <c r="J4470" i="58" s="1"/>
  <c r="H4470" i="58"/>
  <c r="P4469" i="58"/>
  <c r="O4469" i="58"/>
  <c r="L4469" i="58"/>
  <c r="I4469" i="58"/>
  <c r="J4469" i="58" s="1"/>
  <c r="H4469" i="58"/>
  <c r="P4468" i="58"/>
  <c r="O4468" i="58"/>
  <c r="L4468" i="58"/>
  <c r="I4468" i="58"/>
  <c r="J4468" i="58" s="1"/>
  <c r="H4468" i="58"/>
  <c r="P4467" i="58"/>
  <c r="O4467" i="58"/>
  <c r="L4467" i="58"/>
  <c r="I4467" i="58"/>
  <c r="J4467" i="58" s="1"/>
  <c r="H4467" i="58"/>
  <c r="P4466" i="58"/>
  <c r="O4466" i="58"/>
  <c r="L4466" i="58"/>
  <c r="I4466" i="58"/>
  <c r="J4466" i="58" s="1"/>
  <c r="H4466" i="58"/>
  <c r="P4465" i="58"/>
  <c r="O4465" i="58"/>
  <c r="L4465" i="58"/>
  <c r="I4465" i="58"/>
  <c r="J4465" i="58" s="1"/>
  <c r="H4465" i="58"/>
  <c r="P4464" i="58"/>
  <c r="O4464" i="58"/>
  <c r="L4464" i="58"/>
  <c r="I4464" i="58"/>
  <c r="J4464" i="58" s="1"/>
  <c r="H4464" i="58"/>
  <c r="P4463" i="58"/>
  <c r="O4463" i="58"/>
  <c r="L4463" i="58"/>
  <c r="I4463" i="58"/>
  <c r="J4463" i="58" s="1"/>
  <c r="H4463" i="58"/>
  <c r="P4462" i="58"/>
  <c r="O4462" i="58"/>
  <c r="L4462" i="58"/>
  <c r="I4462" i="58"/>
  <c r="J4462" i="58" s="1"/>
  <c r="H4462" i="58"/>
  <c r="P4461" i="58"/>
  <c r="O4461" i="58"/>
  <c r="L4461" i="58"/>
  <c r="I4461" i="58"/>
  <c r="J4461" i="58" s="1"/>
  <c r="H4461" i="58"/>
  <c r="P4460" i="58"/>
  <c r="O4460" i="58"/>
  <c r="L4460" i="58"/>
  <c r="I4460" i="58"/>
  <c r="J4460" i="58" s="1"/>
  <c r="H4460" i="58"/>
  <c r="P4459" i="58"/>
  <c r="O4459" i="58"/>
  <c r="L4459" i="58"/>
  <c r="I4459" i="58"/>
  <c r="J4459" i="58" s="1"/>
  <c r="H4459" i="58"/>
  <c r="P4458" i="58"/>
  <c r="O4458" i="58"/>
  <c r="L4458" i="58"/>
  <c r="I4458" i="58"/>
  <c r="J4458" i="58" s="1"/>
  <c r="H4458" i="58"/>
  <c r="P4457" i="58"/>
  <c r="O4457" i="58"/>
  <c r="L4457" i="58"/>
  <c r="I4457" i="58"/>
  <c r="J4457" i="58" s="1"/>
  <c r="H4457" i="58"/>
  <c r="P4456" i="58"/>
  <c r="O4456" i="58"/>
  <c r="L4456" i="58"/>
  <c r="I4456" i="58"/>
  <c r="J4456" i="58" s="1"/>
  <c r="H4456" i="58"/>
  <c r="P4455" i="58"/>
  <c r="O4455" i="58"/>
  <c r="L4455" i="58"/>
  <c r="I4455" i="58"/>
  <c r="J4455" i="58" s="1"/>
  <c r="H4455" i="58"/>
  <c r="P4454" i="58"/>
  <c r="O4454" i="58"/>
  <c r="L4454" i="58"/>
  <c r="I4454" i="58"/>
  <c r="J4454" i="58" s="1"/>
  <c r="H4454" i="58"/>
  <c r="P4453" i="58"/>
  <c r="O4453" i="58"/>
  <c r="L4453" i="58"/>
  <c r="I4453" i="58"/>
  <c r="J4453" i="58" s="1"/>
  <c r="H4453" i="58"/>
  <c r="P4452" i="58"/>
  <c r="O4452" i="58"/>
  <c r="L4452" i="58"/>
  <c r="I4452" i="58"/>
  <c r="J4452" i="58" s="1"/>
  <c r="H4452" i="58"/>
  <c r="P4451" i="58"/>
  <c r="O4451" i="58"/>
  <c r="L4451" i="58"/>
  <c r="I4451" i="58"/>
  <c r="J4451" i="58" s="1"/>
  <c r="H4451" i="58"/>
  <c r="P4450" i="58"/>
  <c r="O4450" i="58"/>
  <c r="L4450" i="58"/>
  <c r="I4450" i="58"/>
  <c r="J4450" i="58" s="1"/>
  <c r="H4450" i="58"/>
  <c r="P4449" i="58"/>
  <c r="O4449" i="58"/>
  <c r="L4449" i="58"/>
  <c r="I4449" i="58"/>
  <c r="J4449" i="58" s="1"/>
  <c r="H4449" i="58"/>
  <c r="P4448" i="58"/>
  <c r="O4448" i="58"/>
  <c r="L4448" i="58"/>
  <c r="I4448" i="58"/>
  <c r="J4448" i="58" s="1"/>
  <c r="H4448" i="58"/>
  <c r="P4447" i="58"/>
  <c r="O4447" i="58"/>
  <c r="L4447" i="58"/>
  <c r="I4447" i="58"/>
  <c r="J4447" i="58" s="1"/>
  <c r="H4447" i="58"/>
  <c r="P4446" i="58"/>
  <c r="O4446" i="58"/>
  <c r="L4446" i="58"/>
  <c r="I4446" i="58"/>
  <c r="J4446" i="58" s="1"/>
  <c r="H4446" i="58"/>
  <c r="P4445" i="58"/>
  <c r="O4445" i="58"/>
  <c r="L4445" i="58"/>
  <c r="I4445" i="58"/>
  <c r="J4445" i="58" s="1"/>
  <c r="H4445" i="58"/>
  <c r="P4444" i="58"/>
  <c r="O4444" i="58"/>
  <c r="L4444" i="58"/>
  <c r="I4444" i="58"/>
  <c r="J4444" i="58" s="1"/>
  <c r="H4444" i="58"/>
  <c r="P4443" i="58"/>
  <c r="O4443" i="58"/>
  <c r="L4443" i="58"/>
  <c r="I4443" i="58"/>
  <c r="J4443" i="58" s="1"/>
  <c r="H4443" i="58"/>
  <c r="P4442" i="58"/>
  <c r="O4442" i="58"/>
  <c r="L4442" i="58"/>
  <c r="I4442" i="58"/>
  <c r="J4442" i="58" s="1"/>
  <c r="H4442" i="58"/>
  <c r="P4441" i="58"/>
  <c r="O4441" i="58"/>
  <c r="L4441" i="58"/>
  <c r="I4441" i="58"/>
  <c r="J4441" i="58" s="1"/>
  <c r="H4441" i="58"/>
  <c r="P4440" i="58"/>
  <c r="O4440" i="58"/>
  <c r="L4440" i="58"/>
  <c r="I4440" i="58"/>
  <c r="J4440" i="58" s="1"/>
  <c r="H4440" i="58"/>
  <c r="P4439" i="58"/>
  <c r="O4439" i="58"/>
  <c r="L4439" i="58"/>
  <c r="I4439" i="58"/>
  <c r="J4439" i="58" s="1"/>
  <c r="H4439" i="58"/>
  <c r="P4438" i="58"/>
  <c r="O4438" i="58"/>
  <c r="L4438" i="58"/>
  <c r="I4438" i="58"/>
  <c r="J4438" i="58" s="1"/>
  <c r="H4438" i="58"/>
  <c r="P4437" i="58"/>
  <c r="O4437" i="58"/>
  <c r="L4437" i="58"/>
  <c r="I4437" i="58"/>
  <c r="J4437" i="58" s="1"/>
  <c r="H4437" i="58"/>
  <c r="P4436" i="58"/>
  <c r="O4436" i="58"/>
  <c r="L4436" i="58"/>
  <c r="I4436" i="58"/>
  <c r="J4436" i="58" s="1"/>
  <c r="H4436" i="58"/>
  <c r="P4435" i="58"/>
  <c r="O4435" i="58"/>
  <c r="L4435" i="58"/>
  <c r="I4435" i="58"/>
  <c r="J4435" i="58" s="1"/>
  <c r="H4435" i="58"/>
  <c r="P4434" i="58"/>
  <c r="O4434" i="58"/>
  <c r="L4434" i="58"/>
  <c r="I4434" i="58"/>
  <c r="J4434" i="58" s="1"/>
  <c r="H4434" i="58"/>
  <c r="P4433" i="58"/>
  <c r="O4433" i="58"/>
  <c r="L4433" i="58"/>
  <c r="I4433" i="58"/>
  <c r="J4433" i="58" s="1"/>
  <c r="H4433" i="58"/>
  <c r="P4432" i="58"/>
  <c r="O4432" i="58"/>
  <c r="L4432" i="58"/>
  <c r="I4432" i="58"/>
  <c r="J4432" i="58" s="1"/>
  <c r="H4432" i="58"/>
  <c r="P4431" i="58"/>
  <c r="O4431" i="58"/>
  <c r="L4431" i="58"/>
  <c r="I4431" i="58"/>
  <c r="J4431" i="58" s="1"/>
  <c r="H4431" i="58"/>
  <c r="P4430" i="58"/>
  <c r="O4430" i="58"/>
  <c r="L4430" i="58"/>
  <c r="I4430" i="58"/>
  <c r="J4430" i="58" s="1"/>
  <c r="H4430" i="58"/>
  <c r="P4429" i="58"/>
  <c r="O4429" i="58"/>
  <c r="L4429" i="58"/>
  <c r="I4429" i="58"/>
  <c r="J4429" i="58" s="1"/>
  <c r="H4429" i="58"/>
  <c r="P4428" i="58"/>
  <c r="O4428" i="58"/>
  <c r="L4428" i="58"/>
  <c r="I4428" i="58"/>
  <c r="J4428" i="58" s="1"/>
  <c r="H4428" i="58"/>
  <c r="P4427" i="58"/>
  <c r="O4427" i="58"/>
  <c r="L4427" i="58"/>
  <c r="I4427" i="58"/>
  <c r="J4427" i="58" s="1"/>
  <c r="H4427" i="58"/>
  <c r="P4426" i="58"/>
  <c r="O4426" i="58"/>
  <c r="L4426" i="58"/>
  <c r="I4426" i="58"/>
  <c r="J4426" i="58" s="1"/>
  <c r="H4426" i="58"/>
  <c r="P4425" i="58"/>
  <c r="O4425" i="58"/>
  <c r="L4425" i="58"/>
  <c r="I4425" i="58"/>
  <c r="J4425" i="58" s="1"/>
  <c r="H4425" i="58"/>
  <c r="P4424" i="58"/>
  <c r="O4424" i="58"/>
  <c r="L4424" i="58"/>
  <c r="I4424" i="58"/>
  <c r="J4424" i="58" s="1"/>
  <c r="H4424" i="58"/>
  <c r="P4423" i="58"/>
  <c r="O4423" i="58"/>
  <c r="L4423" i="58"/>
  <c r="I4423" i="58"/>
  <c r="J4423" i="58" s="1"/>
  <c r="H4423" i="58"/>
  <c r="P4422" i="58"/>
  <c r="O4422" i="58"/>
  <c r="L4422" i="58"/>
  <c r="I4422" i="58"/>
  <c r="J4422" i="58" s="1"/>
  <c r="H4422" i="58"/>
  <c r="P4421" i="58"/>
  <c r="O4421" i="58"/>
  <c r="L4421" i="58"/>
  <c r="I4421" i="58"/>
  <c r="J4421" i="58" s="1"/>
  <c r="H4421" i="58"/>
  <c r="P4420" i="58"/>
  <c r="O4420" i="58"/>
  <c r="L4420" i="58"/>
  <c r="I4420" i="58"/>
  <c r="J4420" i="58" s="1"/>
  <c r="H4420" i="58"/>
  <c r="P4419" i="58"/>
  <c r="O4419" i="58"/>
  <c r="L4419" i="58"/>
  <c r="I4419" i="58"/>
  <c r="J4419" i="58" s="1"/>
  <c r="H4419" i="58"/>
  <c r="P4418" i="58"/>
  <c r="O4418" i="58"/>
  <c r="L4418" i="58"/>
  <c r="I4418" i="58"/>
  <c r="J4418" i="58" s="1"/>
  <c r="H4418" i="58"/>
  <c r="P4417" i="58"/>
  <c r="O4417" i="58"/>
  <c r="L4417" i="58"/>
  <c r="I4417" i="58"/>
  <c r="J4417" i="58" s="1"/>
  <c r="H4417" i="58"/>
  <c r="P4416" i="58"/>
  <c r="O4416" i="58"/>
  <c r="L4416" i="58"/>
  <c r="I4416" i="58"/>
  <c r="J4416" i="58" s="1"/>
  <c r="H4416" i="58"/>
  <c r="P4415" i="58"/>
  <c r="O4415" i="58"/>
  <c r="L4415" i="58"/>
  <c r="I4415" i="58"/>
  <c r="J4415" i="58" s="1"/>
  <c r="H4415" i="58"/>
  <c r="P4414" i="58"/>
  <c r="O4414" i="58"/>
  <c r="L4414" i="58"/>
  <c r="I4414" i="58"/>
  <c r="J4414" i="58" s="1"/>
  <c r="H4414" i="58"/>
  <c r="P4413" i="58"/>
  <c r="O4413" i="58"/>
  <c r="L4413" i="58"/>
  <c r="I4413" i="58"/>
  <c r="J4413" i="58" s="1"/>
  <c r="H4413" i="58"/>
  <c r="P4412" i="58"/>
  <c r="O4412" i="58"/>
  <c r="L4412" i="58"/>
  <c r="I4412" i="58"/>
  <c r="J4412" i="58" s="1"/>
  <c r="H4412" i="58"/>
  <c r="P4411" i="58"/>
  <c r="O4411" i="58"/>
  <c r="L4411" i="58"/>
  <c r="I4411" i="58"/>
  <c r="J4411" i="58" s="1"/>
  <c r="H4411" i="58"/>
  <c r="P4410" i="58"/>
  <c r="O4410" i="58"/>
  <c r="L4410" i="58"/>
  <c r="I4410" i="58"/>
  <c r="J4410" i="58" s="1"/>
  <c r="H4410" i="58"/>
  <c r="P4409" i="58"/>
  <c r="O4409" i="58"/>
  <c r="L4409" i="58"/>
  <c r="I4409" i="58"/>
  <c r="J4409" i="58" s="1"/>
  <c r="H4409" i="58"/>
  <c r="P4408" i="58"/>
  <c r="O4408" i="58"/>
  <c r="L4408" i="58"/>
  <c r="I4408" i="58"/>
  <c r="J4408" i="58" s="1"/>
  <c r="H4408" i="58"/>
  <c r="P4407" i="58"/>
  <c r="O4407" i="58"/>
  <c r="L4407" i="58"/>
  <c r="I4407" i="58"/>
  <c r="J4407" i="58" s="1"/>
  <c r="H4407" i="58"/>
  <c r="P4406" i="58"/>
  <c r="O4406" i="58"/>
  <c r="L4406" i="58"/>
  <c r="I4406" i="58"/>
  <c r="J4406" i="58" s="1"/>
  <c r="H4406" i="58"/>
  <c r="P4405" i="58"/>
  <c r="O4405" i="58"/>
  <c r="L4405" i="58"/>
  <c r="I4405" i="58"/>
  <c r="J4405" i="58" s="1"/>
  <c r="H4405" i="58"/>
  <c r="P4404" i="58"/>
  <c r="O4404" i="58"/>
  <c r="L4404" i="58"/>
  <c r="I4404" i="58"/>
  <c r="J4404" i="58" s="1"/>
  <c r="H4404" i="58"/>
  <c r="P4403" i="58"/>
  <c r="O4403" i="58"/>
  <c r="L4403" i="58"/>
  <c r="I4403" i="58"/>
  <c r="J4403" i="58" s="1"/>
  <c r="H4403" i="58"/>
  <c r="P4402" i="58"/>
  <c r="O4402" i="58"/>
  <c r="L4402" i="58"/>
  <c r="I4402" i="58"/>
  <c r="J4402" i="58" s="1"/>
  <c r="H4402" i="58"/>
  <c r="P4401" i="58"/>
  <c r="O4401" i="58"/>
  <c r="L4401" i="58"/>
  <c r="I4401" i="58"/>
  <c r="J4401" i="58" s="1"/>
  <c r="H4401" i="58"/>
  <c r="P4400" i="58"/>
  <c r="O4400" i="58"/>
  <c r="L4400" i="58"/>
  <c r="I4400" i="58"/>
  <c r="J4400" i="58" s="1"/>
  <c r="H4400" i="58"/>
  <c r="P4399" i="58"/>
  <c r="O4399" i="58"/>
  <c r="L4399" i="58"/>
  <c r="I4399" i="58"/>
  <c r="J4399" i="58" s="1"/>
  <c r="H4399" i="58"/>
  <c r="P4398" i="58"/>
  <c r="O4398" i="58"/>
  <c r="L4398" i="58"/>
  <c r="I4398" i="58"/>
  <c r="J4398" i="58" s="1"/>
  <c r="H4398" i="58"/>
  <c r="P4397" i="58"/>
  <c r="O4397" i="58"/>
  <c r="L4397" i="58"/>
  <c r="I4397" i="58"/>
  <c r="J4397" i="58" s="1"/>
  <c r="H4397" i="58"/>
  <c r="P4396" i="58"/>
  <c r="O4396" i="58"/>
  <c r="L4396" i="58"/>
  <c r="I4396" i="58"/>
  <c r="J4396" i="58" s="1"/>
  <c r="H4396" i="58"/>
  <c r="P4395" i="58"/>
  <c r="O4395" i="58"/>
  <c r="L4395" i="58"/>
  <c r="I4395" i="58"/>
  <c r="J4395" i="58" s="1"/>
  <c r="H4395" i="58"/>
  <c r="P4394" i="58"/>
  <c r="O4394" i="58"/>
  <c r="L4394" i="58"/>
  <c r="I4394" i="58"/>
  <c r="J4394" i="58" s="1"/>
  <c r="H4394" i="58"/>
  <c r="P4393" i="58"/>
  <c r="O4393" i="58"/>
  <c r="L4393" i="58"/>
  <c r="I4393" i="58"/>
  <c r="J4393" i="58" s="1"/>
  <c r="H4393" i="58"/>
  <c r="P4392" i="58"/>
  <c r="O4392" i="58"/>
  <c r="L4392" i="58"/>
  <c r="I4392" i="58"/>
  <c r="J4392" i="58" s="1"/>
  <c r="H4392" i="58"/>
  <c r="P4391" i="58"/>
  <c r="O4391" i="58"/>
  <c r="L4391" i="58"/>
  <c r="I4391" i="58"/>
  <c r="J4391" i="58" s="1"/>
  <c r="H4391" i="58"/>
  <c r="P4390" i="58"/>
  <c r="O4390" i="58"/>
  <c r="L4390" i="58"/>
  <c r="I4390" i="58"/>
  <c r="J4390" i="58" s="1"/>
  <c r="H4390" i="58"/>
  <c r="P4389" i="58"/>
  <c r="O4389" i="58"/>
  <c r="L4389" i="58"/>
  <c r="I4389" i="58"/>
  <c r="J4389" i="58" s="1"/>
  <c r="H4389" i="58"/>
  <c r="P4388" i="58"/>
  <c r="O4388" i="58"/>
  <c r="L4388" i="58"/>
  <c r="I4388" i="58"/>
  <c r="J4388" i="58" s="1"/>
  <c r="H4388" i="58"/>
  <c r="P4387" i="58"/>
  <c r="O4387" i="58"/>
  <c r="L4387" i="58"/>
  <c r="I4387" i="58"/>
  <c r="J4387" i="58" s="1"/>
  <c r="H4387" i="58"/>
  <c r="P4386" i="58"/>
  <c r="O4386" i="58"/>
  <c r="L4386" i="58"/>
  <c r="I4386" i="58"/>
  <c r="J4386" i="58" s="1"/>
  <c r="H4386" i="58"/>
  <c r="P4385" i="58"/>
  <c r="O4385" i="58"/>
  <c r="L4385" i="58"/>
  <c r="I4385" i="58"/>
  <c r="J4385" i="58" s="1"/>
  <c r="H4385" i="58"/>
  <c r="P4384" i="58"/>
  <c r="O4384" i="58"/>
  <c r="L4384" i="58"/>
  <c r="I4384" i="58"/>
  <c r="J4384" i="58" s="1"/>
  <c r="H4384" i="58"/>
  <c r="P4383" i="58"/>
  <c r="O4383" i="58"/>
  <c r="L4383" i="58"/>
  <c r="I4383" i="58"/>
  <c r="J4383" i="58" s="1"/>
  <c r="H4383" i="58"/>
  <c r="P4382" i="58"/>
  <c r="O4382" i="58"/>
  <c r="L4382" i="58"/>
  <c r="I4382" i="58"/>
  <c r="J4382" i="58" s="1"/>
  <c r="H4382" i="58"/>
  <c r="P4381" i="58"/>
  <c r="O4381" i="58"/>
  <c r="L4381" i="58"/>
  <c r="I4381" i="58"/>
  <c r="J4381" i="58" s="1"/>
  <c r="H4381" i="58"/>
  <c r="P4380" i="58"/>
  <c r="O4380" i="58"/>
  <c r="L4380" i="58"/>
  <c r="I4380" i="58"/>
  <c r="J4380" i="58" s="1"/>
  <c r="H4380" i="58"/>
  <c r="P4379" i="58"/>
  <c r="O4379" i="58"/>
  <c r="L4379" i="58"/>
  <c r="I4379" i="58"/>
  <c r="J4379" i="58" s="1"/>
  <c r="H4379" i="58"/>
  <c r="P4378" i="58"/>
  <c r="O4378" i="58"/>
  <c r="L4378" i="58"/>
  <c r="I4378" i="58"/>
  <c r="J4378" i="58" s="1"/>
  <c r="H4378" i="58"/>
  <c r="P4377" i="58"/>
  <c r="O4377" i="58"/>
  <c r="L4377" i="58"/>
  <c r="I4377" i="58"/>
  <c r="J4377" i="58" s="1"/>
  <c r="H4377" i="58"/>
  <c r="P4376" i="58"/>
  <c r="O4376" i="58"/>
  <c r="L4376" i="58"/>
  <c r="I4376" i="58"/>
  <c r="J4376" i="58" s="1"/>
  <c r="H4376" i="58"/>
  <c r="P4375" i="58"/>
  <c r="O4375" i="58"/>
  <c r="L4375" i="58"/>
  <c r="I4375" i="58"/>
  <c r="J4375" i="58" s="1"/>
  <c r="H4375" i="58"/>
  <c r="P4374" i="58"/>
  <c r="O4374" i="58"/>
  <c r="L4374" i="58"/>
  <c r="I4374" i="58"/>
  <c r="J4374" i="58" s="1"/>
  <c r="H4374" i="58"/>
  <c r="P4373" i="58"/>
  <c r="O4373" i="58"/>
  <c r="L4373" i="58"/>
  <c r="I4373" i="58"/>
  <c r="J4373" i="58" s="1"/>
  <c r="H4373" i="58"/>
  <c r="P4372" i="58"/>
  <c r="O4372" i="58"/>
  <c r="L4372" i="58"/>
  <c r="I4372" i="58"/>
  <c r="J4372" i="58" s="1"/>
  <c r="H4372" i="58"/>
  <c r="P4371" i="58"/>
  <c r="O4371" i="58"/>
  <c r="L4371" i="58"/>
  <c r="I4371" i="58"/>
  <c r="J4371" i="58" s="1"/>
  <c r="H4371" i="58"/>
  <c r="P4370" i="58"/>
  <c r="O4370" i="58"/>
  <c r="L4370" i="58"/>
  <c r="I4370" i="58"/>
  <c r="J4370" i="58" s="1"/>
  <c r="H4370" i="58"/>
  <c r="P4369" i="58"/>
  <c r="O4369" i="58"/>
  <c r="L4369" i="58"/>
  <c r="I4369" i="58"/>
  <c r="J4369" i="58" s="1"/>
  <c r="H4369" i="58"/>
  <c r="P4368" i="58"/>
  <c r="O4368" i="58"/>
  <c r="L4368" i="58"/>
  <c r="I4368" i="58"/>
  <c r="J4368" i="58" s="1"/>
  <c r="H4368" i="58"/>
  <c r="P4367" i="58"/>
  <c r="O4367" i="58"/>
  <c r="L4367" i="58"/>
  <c r="I4367" i="58"/>
  <c r="J4367" i="58" s="1"/>
  <c r="H4367" i="58"/>
  <c r="P4366" i="58"/>
  <c r="O4366" i="58"/>
  <c r="L4366" i="58"/>
  <c r="I4366" i="58"/>
  <c r="J4366" i="58" s="1"/>
  <c r="H4366" i="58"/>
  <c r="P4365" i="58"/>
  <c r="O4365" i="58"/>
  <c r="L4365" i="58"/>
  <c r="I4365" i="58"/>
  <c r="J4365" i="58" s="1"/>
  <c r="H4365" i="58"/>
  <c r="P4364" i="58"/>
  <c r="O4364" i="58"/>
  <c r="L4364" i="58"/>
  <c r="I4364" i="58"/>
  <c r="J4364" i="58" s="1"/>
  <c r="H4364" i="58"/>
  <c r="P4363" i="58"/>
  <c r="O4363" i="58"/>
  <c r="L4363" i="58"/>
  <c r="I4363" i="58"/>
  <c r="J4363" i="58" s="1"/>
  <c r="H4363" i="58"/>
  <c r="P4362" i="58"/>
  <c r="O4362" i="58"/>
  <c r="L4362" i="58"/>
  <c r="I4362" i="58"/>
  <c r="J4362" i="58" s="1"/>
  <c r="H4362" i="58"/>
  <c r="P4361" i="58"/>
  <c r="O4361" i="58"/>
  <c r="L4361" i="58"/>
  <c r="I4361" i="58"/>
  <c r="J4361" i="58" s="1"/>
  <c r="H4361" i="58"/>
  <c r="P4360" i="58"/>
  <c r="O4360" i="58"/>
  <c r="L4360" i="58"/>
  <c r="I4360" i="58"/>
  <c r="J4360" i="58" s="1"/>
  <c r="H4360" i="58"/>
  <c r="P4359" i="58"/>
  <c r="O4359" i="58"/>
  <c r="L4359" i="58"/>
  <c r="I4359" i="58"/>
  <c r="J4359" i="58" s="1"/>
  <c r="H4359" i="58"/>
  <c r="P4358" i="58"/>
  <c r="O4358" i="58"/>
  <c r="L4358" i="58"/>
  <c r="I4358" i="58"/>
  <c r="J4358" i="58" s="1"/>
  <c r="H4358" i="58"/>
  <c r="P4357" i="58"/>
  <c r="O4357" i="58"/>
  <c r="L4357" i="58"/>
  <c r="I4357" i="58"/>
  <c r="J4357" i="58" s="1"/>
  <c r="H4357" i="58"/>
  <c r="P4356" i="58"/>
  <c r="O4356" i="58"/>
  <c r="L4356" i="58"/>
  <c r="I4356" i="58"/>
  <c r="J4356" i="58" s="1"/>
  <c r="H4356" i="58"/>
  <c r="P4355" i="58"/>
  <c r="O4355" i="58"/>
  <c r="L4355" i="58"/>
  <c r="I4355" i="58"/>
  <c r="J4355" i="58" s="1"/>
  <c r="H4355" i="58"/>
  <c r="P4354" i="58"/>
  <c r="O4354" i="58"/>
  <c r="L4354" i="58"/>
  <c r="I4354" i="58"/>
  <c r="J4354" i="58" s="1"/>
  <c r="H4354" i="58"/>
  <c r="P4353" i="58"/>
  <c r="O4353" i="58"/>
  <c r="L4353" i="58"/>
  <c r="I4353" i="58"/>
  <c r="J4353" i="58" s="1"/>
  <c r="H4353" i="58"/>
  <c r="P4352" i="58"/>
  <c r="O4352" i="58"/>
  <c r="L4352" i="58"/>
  <c r="I4352" i="58"/>
  <c r="J4352" i="58" s="1"/>
  <c r="H4352" i="58"/>
  <c r="P4351" i="58"/>
  <c r="O4351" i="58"/>
  <c r="L4351" i="58"/>
  <c r="I4351" i="58"/>
  <c r="J4351" i="58" s="1"/>
  <c r="H4351" i="58"/>
  <c r="P4350" i="58"/>
  <c r="O4350" i="58"/>
  <c r="L4350" i="58"/>
  <c r="I4350" i="58"/>
  <c r="J4350" i="58" s="1"/>
  <c r="H4350" i="58"/>
  <c r="P4349" i="58"/>
  <c r="O4349" i="58"/>
  <c r="L4349" i="58"/>
  <c r="I4349" i="58"/>
  <c r="J4349" i="58" s="1"/>
  <c r="H4349" i="58"/>
  <c r="P4348" i="58"/>
  <c r="O4348" i="58"/>
  <c r="L4348" i="58"/>
  <c r="I4348" i="58"/>
  <c r="J4348" i="58" s="1"/>
  <c r="H4348" i="58"/>
  <c r="P4347" i="58"/>
  <c r="O4347" i="58"/>
  <c r="L4347" i="58"/>
  <c r="I4347" i="58"/>
  <c r="J4347" i="58" s="1"/>
  <c r="H4347" i="58"/>
  <c r="P4346" i="58"/>
  <c r="O4346" i="58"/>
  <c r="L4346" i="58"/>
  <c r="I4346" i="58"/>
  <c r="J4346" i="58" s="1"/>
  <c r="H4346" i="58"/>
  <c r="P4345" i="58"/>
  <c r="O4345" i="58"/>
  <c r="L4345" i="58"/>
  <c r="I4345" i="58"/>
  <c r="J4345" i="58" s="1"/>
  <c r="H4345" i="58"/>
  <c r="P4344" i="58"/>
  <c r="O4344" i="58"/>
  <c r="L4344" i="58"/>
  <c r="I4344" i="58"/>
  <c r="J4344" i="58" s="1"/>
  <c r="H4344" i="58"/>
  <c r="P4343" i="58"/>
  <c r="O4343" i="58"/>
  <c r="L4343" i="58"/>
  <c r="I4343" i="58"/>
  <c r="J4343" i="58" s="1"/>
  <c r="H4343" i="58"/>
  <c r="P4342" i="58"/>
  <c r="O4342" i="58"/>
  <c r="L4342" i="58"/>
  <c r="I4342" i="58"/>
  <c r="J4342" i="58" s="1"/>
  <c r="H4342" i="58"/>
  <c r="P4341" i="58"/>
  <c r="O4341" i="58"/>
  <c r="L4341" i="58"/>
  <c r="I4341" i="58"/>
  <c r="J4341" i="58" s="1"/>
  <c r="H4341" i="58"/>
  <c r="P4340" i="58"/>
  <c r="O4340" i="58"/>
  <c r="L4340" i="58"/>
  <c r="I4340" i="58"/>
  <c r="J4340" i="58" s="1"/>
  <c r="H4340" i="58"/>
  <c r="P4339" i="58"/>
  <c r="O4339" i="58"/>
  <c r="L4339" i="58"/>
  <c r="I4339" i="58"/>
  <c r="J4339" i="58" s="1"/>
  <c r="H4339" i="58"/>
  <c r="P4338" i="58"/>
  <c r="O4338" i="58"/>
  <c r="L4338" i="58"/>
  <c r="I4338" i="58"/>
  <c r="J4338" i="58" s="1"/>
  <c r="H4338" i="58"/>
  <c r="P4337" i="58"/>
  <c r="O4337" i="58"/>
  <c r="L4337" i="58"/>
  <c r="I4337" i="58"/>
  <c r="J4337" i="58" s="1"/>
  <c r="H4337" i="58"/>
  <c r="P4336" i="58"/>
  <c r="O4336" i="58"/>
  <c r="L4336" i="58"/>
  <c r="I4336" i="58"/>
  <c r="J4336" i="58" s="1"/>
  <c r="H4336" i="58"/>
  <c r="P4335" i="58"/>
  <c r="O4335" i="58"/>
  <c r="L4335" i="58"/>
  <c r="I4335" i="58"/>
  <c r="J4335" i="58" s="1"/>
  <c r="H4335" i="58"/>
  <c r="P4334" i="58"/>
  <c r="O4334" i="58"/>
  <c r="L4334" i="58"/>
  <c r="I4334" i="58"/>
  <c r="J4334" i="58" s="1"/>
  <c r="H4334" i="58"/>
  <c r="P4333" i="58"/>
  <c r="O4333" i="58"/>
  <c r="L4333" i="58"/>
  <c r="I4333" i="58"/>
  <c r="J4333" i="58" s="1"/>
  <c r="H4333" i="58"/>
  <c r="P4332" i="58"/>
  <c r="O4332" i="58"/>
  <c r="L4332" i="58"/>
  <c r="I4332" i="58"/>
  <c r="J4332" i="58" s="1"/>
  <c r="H4332" i="58"/>
  <c r="P4331" i="58"/>
  <c r="O4331" i="58"/>
  <c r="L4331" i="58"/>
  <c r="I4331" i="58"/>
  <c r="J4331" i="58" s="1"/>
  <c r="H4331" i="58"/>
  <c r="P4330" i="58"/>
  <c r="O4330" i="58"/>
  <c r="L4330" i="58"/>
  <c r="I4330" i="58"/>
  <c r="J4330" i="58" s="1"/>
  <c r="H4330" i="58"/>
  <c r="P4329" i="58"/>
  <c r="O4329" i="58"/>
  <c r="L4329" i="58"/>
  <c r="I4329" i="58"/>
  <c r="J4329" i="58" s="1"/>
  <c r="H4329" i="58"/>
  <c r="P4328" i="58"/>
  <c r="O4328" i="58"/>
  <c r="L4328" i="58"/>
  <c r="I4328" i="58"/>
  <c r="J4328" i="58" s="1"/>
  <c r="H4328" i="58"/>
  <c r="P4327" i="58"/>
  <c r="O4327" i="58"/>
  <c r="L4327" i="58"/>
  <c r="I4327" i="58"/>
  <c r="J4327" i="58" s="1"/>
  <c r="H4327" i="58"/>
  <c r="P4326" i="58"/>
  <c r="O4326" i="58"/>
  <c r="L4326" i="58"/>
  <c r="I4326" i="58"/>
  <c r="J4326" i="58" s="1"/>
  <c r="H4326" i="58"/>
  <c r="P4325" i="58"/>
  <c r="O4325" i="58"/>
  <c r="L4325" i="58"/>
  <c r="I4325" i="58"/>
  <c r="J4325" i="58" s="1"/>
  <c r="H4325" i="58"/>
  <c r="P4324" i="58"/>
  <c r="O4324" i="58"/>
  <c r="L4324" i="58"/>
  <c r="I4324" i="58"/>
  <c r="J4324" i="58" s="1"/>
  <c r="H4324" i="58"/>
  <c r="P4323" i="58"/>
  <c r="O4323" i="58"/>
  <c r="L4323" i="58"/>
  <c r="I4323" i="58"/>
  <c r="J4323" i="58" s="1"/>
  <c r="H4323" i="58"/>
  <c r="P4322" i="58"/>
  <c r="O4322" i="58"/>
  <c r="L4322" i="58"/>
  <c r="I4322" i="58"/>
  <c r="J4322" i="58" s="1"/>
  <c r="H4322" i="58"/>
  <c r="P4321" i="58"/>
  <c r="O4321" i="58"/>
  <c r="L4321" i="58"/>
  <c r="I4321" i="58"/>
  <c r="J4321" i="58" s="1"/>
  <c r="H4321" i="58"/>
  <c r="P4320" i="58"/>
  <c r="O4320" i="58"/>
  <c r="L4320" i="58"/>
  <c r="I4320" i="58"/>
  <c r="J4320" i="58" s="1"/>
  <c r="H4320" i="58"/>
  <c r="P4319" i="58"/>
  <c r="O4319" i="58"/>
  <c r="L4319" i="58"/>
  <c r="I4319" i="58"/>
  <c r="J4319" i="58" s="1"/>
  <c r="H4319" i="58"/>
  <c r="P4318" i="58"/>
  <c r="O4318" i="58"/>
  <c r="L4318" i="58"/>
  <c r="I4318" i="58"/>
  <c r="J4318" i="58" s="1"/>
  <c r="H4318" i="58"/>
  <c r="P4317" i="58"/>
  <c r="O4317" i="58"/>
  <c r="L4317" i="58"/>
  <c r="I4317" i="58"/>
  <c r="J4317" i="58" s="1"/>
  <c r="H4317" i="58"/>
  <c r="P4316" i="58"/>
  <c r="O4316" i="58"/>
  <c r="L4316" i="58"/>
  <c r="I4316" i="58"/>
  <c r="J4316" i="58" s="1"/>
  <c r="H4316" i="58"/>
  <c r="P4315" i="58"/>
  <c r="O4315" i="58"/>
  <c r="L4315" i="58"/>
  <c r="I4315" i="58"/>
  <c r="J4315" i="58" s="1"/>
  <c r="H4315" i="58"/>
  <c r="P4314" i="58"/>
  <c r="O4314" i="58"/>
  <c r="L4314" i="58"/>
  <c r="I4314" i="58"/>
  <c r="J4314" i="58" s="1"/>
  <c r="H4314" i="58"/>
  <c r="P4313" i="58"/>
  <c r="O4313" i="58"/>
  <c r="L4313" i="58"/>
  <c r="I4313" i="58"/>
  <c r="J4313" i="58" s="1"/>
  <c r="H4313" i="58"/>
  <c r="P4312" i="58"/>
  <c r="O4312" i="58"/>
  <c r="L4312" i="58"/>
  <c r="I4312" i="58"/>
  <c r="J4312" i="58" s="1"/>
  <c r="H4312" i="58"/>
  <c r="P4311" i="58"/>
  <c r="O4311" i="58"/>
  <c r="L4311" i="58"/>
  <c r="I4311" i="58"/>
  <c r="J4311" i="58" s="1"/>
  <c r="H4311" i="58"/>
  <c r="P4310" i="58"/>
  <c r="O4310" i="58"/>
  <c r="L4310" i="58"/>
  <c r="I4310" i="58"/>
  <c r="J4310" i="58" s="1"/>
  <c r="H4310" i="58"/>
  <c r="P4309" i="58"/>
  <c r="O4309" i="58"/>
  <c r="L4309" i="58"/>
  <c r="I4309" i="58"/>
  <c r="J4309" i="58" s="1"/>
  <c r="H4309" i="58"/>
  <c r="P4308" i="58"/>
  <c r="O4308" i="58"/>
  <c r="L4308" i="58"/>
  <c r="I4308" i="58"/>
  <c r="J4308" i="58" s="1"/>
  <c r="H4308" i="58"/>
  <c r="P4307" i="58"/>
  <c r="O4307" i="58"/>
  <c r="L4307" i="58"/>
  <c r="I4307" i="58"/>
  <c r="J4307" i="58" s="1"/>
  <c r="H4307" i="58"/>
  <c r="P4306" i="58"/>
  <c r="O4306" i="58"/>
  <c r="L4306" i="58"/>
  <c r="I4306" i="58"/>
  <c r="J4306" i="58" s="1"/>
  <c r="H4306" i="58"/>
  <c r="P4305" i="58"/>
  <c r="O4305" i="58"/>
  <c r="L4305" i="58"/>
  <c r="I4305" i="58"/>
  <c r="J4305" i="58" s="1"/>
  <c r="H4305" i="58"/>
  <c r="P4304" i="58"/>
  <c r="O4304" i="58"/>
  <c r="L4304" i="58"/>
  <c r="I4304" i="58"/>
  <c r="J4304" i="58" s="1"/>
  <c r="H4304" i="58"/>
  <c r="P4303" i="58"/>
  <c r="O4303" i="58"/>
  <c r="L4303" i="58"/>
  <c r="I4303" i="58"/>
  <c r="J4303" i="58" s="1"/>
  <c r="H4303" i="58"/>
  <c r="P4302" i="58"/>
  <c r="O4302" i="58"/>
  <c r="L4302" i="58"/>
  <c r="I4302" i="58"/>
  <c r="J4302" i="58" s="1"/>
  <c r="H4302" i="58"/>
  <c r="P4301" i="58"/>
  <c r="O4301" i="58"/>
  <c r="L4301" i="58"/>
  <c r="I4301" i="58"/>
  <c r="J4301" i="58" s="1"/>
  <c r="H4301" i="58"/>
  <c r="P4300" i="58"/>
  <c r="O4300" i="58"/>
  <c r="L4300" i="58"/>
  <c r="I4300" i="58"/>
  <c r="J4300" i="58" s="1"/>
  <c r="H4300" i="58"/>
  <c r="P4299" i="58"/>
  <c r="O4299" i="58"/>
  <c r="L4299" i="58"/>
  <c r="I4299" i="58"/>
  <c r="J4299" i="58" s="1"/>
  <c r="H4299" i="58"/>
  <c r="P4298" i="58"/>
  <c r="O4298" i="58"/>
  <c r="L4298" i="58"/>
  <c r="I4298" i="58"/>
  <c r="J4298" i="58" s="1"/>
  <c r="H4298" i="58"/>
  <c r="P4297" i="58"/>
  <c r="O4297" i="58"/>
  <c r="L4297" i="58"/>
  <c r="I4297" i="58"/>
  <c r="J4297" i="58" s="1"/>
  <c r="H4297" i="58"/>
  <c r="P4296" i="58"/>
  <c r="O4296" i="58"/>
  <c r="L4296" i="58"/>
  <c r="I4296" i="58"/>
  <c r="J4296" i="58" s="1"/>
  <c r="H4296" i="58"/>
  <c r="P4295" i="58"/>
  <c r="O4295" i="58"/>
  <c r="L4295" i="58"/>
  <c r="I4295" i="58"/>
  <c r="J4295" i="58" s="1"/>
  <c r="H4295" i="58"/>
  <c r="P4294" i="58"/>
  <c r="O4294" i="58"/>
  <c r="L4294" i="58"/>
  <c r="I4294" i="58"/>
  <c r="J4294" i="58" s="1"/>
  <c r="H4294" i="58"/>
  <c r="P4293" i="58"/>
  <c r="O4293" i="58"/>
  <c r="L4293" i="58"/>
  <c r="I4293" i="58"/>
  <c r="J4293" i="58" s="1"/>
  <c r="H4293" i="58"/>
  <c r="P4292" i="58"/>
  <c r="O4292" i="58"/>
  <c r="L4292" i="58"/>
  <c r="I4292" i="58"/>
  <c r="J4292" i="58" s="1"/>
  <c r="H4292" i="58"/>
  <c r="P4291" i="58"/>
  <c r="O4291" i="58"/>
  <c r="L4291" i="58"/>
  <c r="I4291" i="58"/>
  <c r="J4291" i="58" s="1"/>
  <c r="H4291" i="58"/>
  <c r="P4290" i="58"/>
  <c r="O4290" i="58"/>
  <c r="L4290" i="58"/>
  <c r="I4290" i="58"/>
  <c r="J4290" i="58" s="1"/>
  <c r="H4290" i="58"/>
  <c r="P4289" i="58"/>
  <c r="O4289" i="58"/>
  <c r="L4289" i="58"/>
  <c r="I4289" i="58"/>
  <c r="J4289" i="58" s="1"/>
  <c r="H4289" i="58"/>
  <c r="P4288" i="58"/>
  <c r="O4288" i="58"/>
  <c r="L4288" i="58"/>
  <c r="I4288" i="58"/>
  <c r="J4288" i="58" s="1"/>
  <c r="H4288" i="58"/>
  <c r="P4287" i="58"/>
  <c r="O4287" i="58"/>
  <c r="L4287" i="58"/>
  <c r="I4287" i="58"/>
  <c r="J4287" i="58" s="1"/>
  <c r="H4287" i="58"/>
  <c r="P4286" i="58"/>
  <c r="O4286" i="58"/>
  <c r="L4286" i="58"/>
  <c r="I4286" i="58"/>
  <c r="J4286" i="58" s="1"/>
  <c r="H4286" i="58"/>
  <c r="P4285" i="58"/>
  <c r="O4285" i="58"/>
  <c r="L4285" i="58"/>
  <c r="I4285" i="58"/>
  <c r="J4285" i="58" s="1"/>
  <c r="H4285" i="58"/>
  <c r="P4284" i="58"/>
  <c r="O4284" i="58"/>
  <c r="L4284" i="58"/>
  <c r="I4284" i="58"/>
  <c r="J4284" i="58" s="1"/>
  <c r="H4284" i="58"/>
  <c r="P4283" i="58"/>
  <c r="O4283" i="58"/>
  <c r="L4283" i="58"/>
  <c r="I4283" i="58"/>
  <c r="J4283" i="58" s="1"/>
  <c r="H4283" i="58"/>
  <c r="P4282" i="58"/>
  <c r="O4282" i="58"/>
  <c r="L4282" i="58"/>
  <c r="I4282" i="58"/>
  <c r="J4282" i="58" s="1"/>
  <c r="H4282" i="58"/>
  <c r="P4281" i="58"/>
  <c r="O4281" i="58"/>
  <c r="L4281" i="58"/>
  <c r="I4281" i="58"/>
  <c r="J4281" i="58" s="1"/>
  <c r="H4281" i="58"/>
  <c r="P4280" i="58"/>
  <c r="O4280" i="58"/>
  <c r="L4280" i="58"/>
  <c r="I4280" i="58"/>
  <c r="J4280" i="58" s="1"/>
  <c r="H4280" i="58"/>
  <c r="P4279" i="58"/>
  <c r="O4279" i="58"/>
  <c r="L4279" i="58"/>
  <c r="I4279" i="58"/>
  <c r="J4279" i="58" s="1"/>
  <c r="H4279" i="58"/>
  <c r="P4278" i="58"/>
  <c r="O4278" i="58"/>
  <c r="L4278" i="58"/>
  <c r="I4278" i="58"/>
  <c r="J4278" i="58" s="1"/>
  <c r="H4278" i="58"/>
  <c r="P4277" i="58"/>
  <c r="O4277" i="58"/>
  <c r="L4277" i="58"/>
  <c r="I4277" i="58"/>
  <c r="J4277" i="58" s="1"/>
  <c r="H4277" i="58"/>
  <c r="P4276" i="58"/>
  <c r="O4276" i="58"/>
  <c r="L4276" i="58"/>
  <c r="I4276" i="58"/>
  <c r="J4276" i="58" s="1"/>
  <c r="H4276" i="58"/>
  <c r="P4275" i="58"/>
  <c r="O4275" i="58"/>
  <c r="L4275" i="58"/>
  <c r="I4275" i="58"/>
  <c r="J4275" i="58" s="1"/>
  <c r="H4275" i="58"/>
  <c r="P4274" i="58"/>
  <c r="O4274" i="58"/>
  <c r="L4274" i="58"/>
  <c r="I4274" i="58"/>
  <c r="J4274" i="58" s="1"/>
  <c r="H4274" i="58"/>
  <c r="P4273" i="58"/>
  <c r="O4273" i="58"/>
  <c r="L4273" i="58"/>
  <c r="I4273" i="58"/>
  <c r="J4273" i="58" s="1"/>
  <c r="H4273" i="58"/>
  <c r="P4272" i="58"/>
  <c r="O4272" i="58"/>
  <c r="L4272" i="58"/>
  <c r="I4272" i="58"/>
  <c r="J4272" i="58" s="1"/>
  <c r="H4272" i="58"/>
  <c r="P4271" i="58"/>
  <c r="O4271" i="58"/>
  <c r="L4271" i="58"/>
  <c r="I4271" i="58"/>
  <c r="J4271" i="58" s="1"/>
  <c r="H4271" i="58"/>
  <c r="P4270" i="58"/>
  <c r="O4270" i="58"/>
  <c r="L4270" i="58"/>
  <c r="I4270" i="58"/>
  <c r="J4270" i="58" s="1"/>
  <c r="H4270" i="58"/>
  <c r="P4269" i="58"/>
  <c r="O4269" i="58"/>
  <c r="L4269" i="58"/>
  <c r="I4269" i="58"/>
  <c r="J4269" i="58" s="1"/>
  <c r="H4269" i="58"/>
  <c r="P4268" i="58"/>
  <c r="O4268" i="58"/>
  <c r="L4268" i="58"/>
  <c r="I4268" i="58"/>
  <c r="J4268" i="58" s="1"/>
  <c r="H4268" i="58"/>
  <c r="P4267" i="58"/>
  <c r="O4267" i="58"/>
  <c r="L4267" i="58"/>
  <c r="I4267" i="58"/>
  <c r="J4267" i="58" s="1"/>
  <c r="H4267" i="58"/>
  <c r="P4266" i="58"/>
  <c r="O4266" i="58"/>
  <c r="L4266" i="58"/>
  <c r="I4266" i="58"/>
  <c r="J4266" i="58" s="1"/>
  <c r="H4266" i="58"/>
  <c r="P4265" i="58"/>
  <c r="O4265" i="58"/>
  <c r="L4265" i="58"/>
  <c r="I4265" i="58"/>
  <c r="J4265" i="58" s="1"/>
  <c r="H4265" i="58"/>
  <c r="P4264" i="58"/>
  <c r="O4264" i="58"/>
  <c r="L4264" i="58"/>
  <c r="I4264" i="58"/>
  <c r="J4264" i="58" s="1"/>
  <c r="H4264" i="58"/>
  <c r="P4263" i="58"/>
  <c r="O4263" i="58"/>
  <c r="L4263" i="58"/>
  <c r="I4263" i="58"/>
  <c r="J4263" i="58" s="1"/>
  <c r="H4263" i="58"/>
  <c r="P4262" i="58"/>
  <c r="O4262" i="58"/>
  <c r="L4262" i="58"/>
  <c r="I4262" i="58"/>
  <c r="J4262" i="58" s="1"/>
  <c r="H4262" i="58"/>
  <c r="P4261" i="58"/>
  <c r="O4261" i="58"/>
  <c r="L4261" i="58"/>
  <c r="I4261" i="58"/>
  <c r="J4261" i="58" s="1"/>
  <c r="H4261" i="58"/>
  <c r="P4260" i="58"/>
  <c r="O4260" i="58"/>
  <c r="L4260" i="58"/>
  <c r="I4260" i="58"/>
  <c r="J4260" i="58" s="1"/>
  <c r="H4260" i="58"/>
  <c r="P4259" i="58"/>
  <c r="O4259" i="58"/>
  <c r="L4259" i="58"/>
  <c r="I4259" i="58"/>
  <c r="J4259" i="58" s="1"/>
  <c r="H4259" i="58"/>
  <c r="P4258" i="58"/>
  <c r="O4258" i="58"/>
  <c r="L4258" i="58"/>
  <c r="I4258" i="58"/>
  <c r="J4258" i="58" s="1"/>
  <c r="H4258" i="58"/>
  <c r="P4257" i="58"/>
  <c r="O4257" i="58"/>
  <c r="L4257" i="58"/>
  <c r="I4257" i="58"/>
  <c r="J4257" i="58" s="1"/>
  <c r="H4257" i="58"/>
  <c r="P4256" i="58"/>
  <c r="O4256" i="58"/>
  <c r="L4256" i="58"/>
  <c r="I4256" i="58"/>
  <c r="J4256" i="58" s="1"/>
  <c r="H4256" i="58"/>
  <c r="P4255" i="58"/>
  <c r="O4255" i="58"/>
  <c r="L4255" i="58"/>
  <c r="I4255" i="58"/>
  <c r="J4255" i="58" s="1"/>
  <c r="H4255" i="58"/>
  <c r="P4254" i="58"/>
  <c r="O4254" i="58"/>
  <c r="L4254" i="58"/>
  <c r="I4254" i="58"/>
  <c r="J4254" i="58" s="1"/>
  <c r="H4254" i="58"/>
  <c r="P4253" i="58"/>
  <c r="O4253" i="58"/>
  <c r="L4253" i="58"/>
  <c r="I4253" i="58"/>
  <c r="J4253" i="58" s="1"/>
  <c r="H4253" i="58"/>
  <c r="P4252" i="58"/>
  <c r="O4252" i="58"/>
  <c r="L4252" i="58"/>
  <c r="I4252" i="58"/>
  <c r="J4252" i="58" s="1"/>
  <c r="H4252" i="58"/>
  <c r="P4251" i="58"/>
  <c r="O4251" i="58"/>
  <c r="L4251" i="58"/>
  <c r="I4251" i="58"/>
  <c r="J4251" i="58" s="1"/>
  <c r="H4251" i="58"/>
  <c r="P4250" i="58"/>
  <c r="O4250" i="58"/>
  <c r="L4250" i="58"/>
  <c r="I4250" i="58"/>
  <c r="J4250" i="58" s="1"/>
  <c r="H4250" i="58"/>
  <c r="P4249" i="58"/>
  <c r="O4249" i="58"/>
  <c r="L4249" i="58"/>
  <c r="I4249" i="58"/>
  <c r="J4249" i="58" s="1"/>
  <c r="H4249" i="58"/>
  <c r="P4248" i="58"/>
  <c r="O4248" i="58"/>
  <c r="L4248" i="58"/>
  <c r="I4248" i="58"/>
  <c r="J4248" i="58" s="1"/>
  <c r="H4248" i="58"/>
  <c r="P4247" i="58"/>
  <c r="O4247" i="58"/>
  <c r="L4247" i="58"/>
  <c r="I4247" i="58"/>
  <c r="J4247" i="58" s="1"/>
  <c r="H4247" i="58"/>
  <c r="P4246" i="58"/>
  <c r="O4246" i="58"/>
  <c r="L4246" i="58"/>
  <c r="I4246" i="58"/>
  <c r="J4246" i="58" s="1"/>
  <c r="H4246" i="58"/>
  <c r="P4245" i="58"/>
  <c r="O4245" i="58"/>
  <c r="L4245" i="58"/>
  <c r="I4245" i="58"/>
  <c r="J4245" i="58" s="1"/>
  <c r="H4245" i="58"/>
  <c r="P4244" i="58"/>
  <c r="O4244" i="58"/>
  <c r="L4244" i="58"/>
  <c r="I4244" i="58"/>
  <c r="J4244" i="58" s="1"/>
  <c r="H4244" i="58"/>
  <c r="P4243" i="58"/>
  <c r="O4243" i="58"/>
  <c r="L4243" i="58"/>
  <c r="I4243" i="58"/>
  <c r="J4243" i="58" s="1"/>
  <c r="H4243" i="58"/>
  <c r="P4242" i="58"/>
  <c r="O4242" i="58"/>
  <c r="L4242" i="58"/>
  <c r="I4242" i="58"/>
  <c r="J4242" i="58" s="1"/>
  <c r="H4242" i="58"/>
  <c r="P4241" i="58"/>
  <c r="O4241" i="58"/>
  <c r="L4241" i="58"/>
  <c r="I4241" i="58"/>
  <c r="J4241" i="58" s="1"/>
  <c r="H4241" i="58"/>
  <c r="P4240" i="58"/>
  <c r="O4240" i="58"/>
  <c r="L4240" i="58"/>
  <c r="I4240" i="58"/>
  <c r="J4240" i="58" s="1"/>
  <c r="H4240" i="58"/>
  <c r="P4239" i="58"/>
  <c r="O4239" i="58"/>
  <c r="L4239" i="58"/>
  <c r="I4239" i="58"/>
  <c r="J4239" i="58" s="1"/>
  <c r="H4239" i="58"/>
  <c r="P4238" i="58"/>
  <c r="O4238" i="58"/>
  <c r="L4238" i="58"/>
  <c r="I4238" i="58"/>
  <c r="J4238" i="58" s="1"/>
  <c r="H4238" i="58"/>
  <c r="P4237" i="58"/>
  <c r="O4237" i="58"/>
  <c r="L4237" i="58"/>
  <c r="I4237" i="58"/>
  <c r="J4237" i="58" s="1"/>
  <c r="H4237" i="58"/>
  <c r="P4236" i="58"/>
  <c r="O4236" i="58"/>
  <c r="L4236" i="58"/>
  <c r="I4236" i="58"/>
  <c r="J4236" i="58" s="1"/>
  <c r="H4236" i="58"/>
  <c r="P4235" i="58"/>
  <c r="O4235" i="58"/>
  <c r="L4235" i="58"/>
  <c r="I4235" i="58"/>
  <c r="J4235" i="58" s="1"/>
  <c r="H4235" i="58"/>
  <c r="P4234" i="58"/>
  <c r="O4234" i="58"/>
  <c r="L4234" i="58"/>
  <c r="I4234" i="58"/>
  <c r="J4234" i="58" s="1"/>
  <c r="H4234" i="58"/>
  <c r="P4233" i="58"/>
  <c r="O4233" i="58"/>
  <c r="L4233" i="58"/>
  <c r="I4233" i="58"/>
  <c r="J4233" i="58" s="1"/>
  <c r="H4233" i="58"/>
  <c r="P4232" i="58"/>
  <c r="O4232" i="58"/>
  <c r="L4232" i="58"/>
  <c r="I4232" i="58"/>
  <c r="J4232" i="58" s="1"/>
  <c r="H4232" i="58"/>
  <c r="P4231" i="58"/>
  <c r="O4231" i="58"/>
  <c r="L4231" i="58"/>
  <c r="I4231" i="58"/>
  <c r="J4231" i="58" s="1"/>
  <c r="H4231" i="58"/>
  <c r="P4230" i="58"/>
  <c r="O4230" i="58"/>
  <c r="L4230" i="58"/>
  <c r="I4230" i="58"/>
  <c r="J4230" i="58" s="1"/>
  <c r="H4230" i="58"/>
  <c r="P4229" i="58"/>
  <c r="O4229" i="58"/>
  <c r="L4229" i="58"/>
  <c r="I4229" i="58"/>
  <c r="J4229" i="58" s="1"/>
  <c r="H4229" i="58"/>
  <c r="P4228" i="58"/>
  <c r="O4228" i="58"/>
  <c r="L4228" i="58"/>
  <c r="I4228" i="58"/>
  <c r="J4228" i="58" s="1"/>
  <c r="H4228" i="58"/>
  <c r="P4227" i="58"/>
  <c r="O4227" i="58"/>
  <c r="L4227" i="58"/>
  <c r="I4227" i="58"/>
  <c r="J4227" i="58" s="1"/>
  <c r="H4227" i="58"/>
  <c r="P4226" i="58"/>
  <c r="O4226" i="58"/>
  <c r="L4226" i="58"/>
  <c r="I4226" i="58"/>
  <c r="J4226" i="58" s="1"/>
  <c r="H4226" i="58"/>
  <c r="P4225" i="58"/>
  <c r="O4225" i="58"/>
  <c r="L4225" i="58"/>
  <c r="I4225" i="58"/>
  <c r="J4225" i="58" s="1"/>
  <c r="H4225" i="58"/>
  <c r="P4224" i="58"/>
  <c r="O4224" i="58"/>
  <c r="L4224" i="58"/>
  <c r="I4224" i="58"/>
  <c r="J4224" i="58" s="1"/>
  <c r="H4224" i="58"/>
  <c r="P4223" i="58"/>
  <c r="O4223" i="58"/>
  <c r="L4223" i="58"/>
  <c r="I4223" i="58"/>
  <c r="J4223" i="58" s="1"/>
  <c r="H4223" i="58"/>
  <c r="P4222" i="58"/>
  <c r="O4222" i="58"/>
  <c r="L4222" i="58"/>
  <c r="I4222" i="58"/>
  <c r="J4222" i="58" s="1"/>
  <c r="H4222" i="58"/>
  <c r="P4221" i="58"/>
  <c r="O4221" i="58"/>
  <c r="L4221" i="58"/>
  <c r="I4221" i="58"/>
  <c r="J4221" i="58" s="1"/>
  <c r="H4221" i="58"/>
  <c r="P4220" i="58"/>
  <c r="O4220" i="58"/>
  <c r="L4220" i="58"/>
  <c r="I4220" i="58"/>
  <c r="J4220" i="58" s="1"/>
  <c r="H4220" i="58"/>
  <c r="P4219" i="58"/>
  <c r="O4219" i="58"/>
  <c r="L4219" i="58"/>
  <c r="I4219" i="58"/>
  <c r="J4219" i="58" s="1"/>
  <c r="H4219" i="58"/>
  <c r="P4218" i="58"/>
  <c r="O4218" i="58"/>
  <c r="L4218" i="58"/>
  <c r="I4218" i="58"/>
  <c r="J4218" i="58" s="1"/>
  <c r="H4218" i="58"/>
  <c r="P4217" i="58"/>
  <c r="O4217" i="58"/>
  <c r="L4217" i="58"/>
  <c r="I4217" i="58"/>
  <c r="J4217" i="58" s="1"/>
  <c r="H4217" i="58"/>
  <c r="P4216" i="58"/>
  <c r="O4216" i="58"/>
  <c r="L4216" i="58"/>
  <c r="I4216" i="58"/>
  <c r="J4216" i="58" s="1"/>
  <c r="H4216" i="58"/>
  <c r="P4215" i="58"/>
  <c r="O4215" i="58"/>
  <c r="L4215" i="58"/>
  <c r="I4215" i="58"/>
  <c r="J4215" i="58" s="1"/>
  <c r="H4215" i="58"/>
  <c r="P4214" i="58"/>
  <c r="O4214" i="58"/>
  <c r="L4214" i="58"/>
  <c r="I4214" i="58"/>
  <c r="J4214" i="58" s="1"/>
  <c r="H4214" i="58"/>
  <c r="P4213" i="58"/>
  <c r="O4213" i="58"/>
  <c r="L4213" i="58"/>
  <c r="I4213" i="58"/>
  <c r="J4213" i="58" s="1"/>
  <c r="H4213" i="58"/>
  <c r="P4212" i="58"/>
  <c r="O4212" i="58"/>
  <c r="L4212" i="58"/>
  <c r="I4212" i="58"/>
  <c r="J4212" i="58" s="1"/>
  <c r="H4212" i="58"/>
  <c r="P4211" i="58"/>
  <c r="O4211" i="58"/>
  <c r="L4211" i="58"/>
  <c r="I4211" i="58"/>
  <c r="J4211" i="58" s="1"/>
  <c r="H4211" i="58"/>
  <c r="P4210" i="58"/>
  <c r="O4210" i="58"/>
  <c r="L4210" i="58"/>
  <c r="I4210" i="58"/>
  <c r="J4210" i="58" s="1"/>
  <c r="H4210" i="58"/>
  <c r="P4209" i="58"/>
  <c r="O4209" i="58"/>
  <c r="L4209" i="58"/>
  <c r="I4209" i="58"/>
  <c r="J4209" i="58" s="1"/>
  <c r="H4209" i="58"/>
  <c r="P4208" i="58"/>
  <c r="O4208" i="58"/>
  <c r="L4208" i="58"/>
  <c r="I4208" i="58"/>
  <c r="J4208" i="58" s="1"/>
  <c r="H4208" i="58"/>
  <c r="P4207" i="58"/>
  <c r="O4207" i="58"/>
  <c r="L4207" i="58"/>
  <c r="I4207" i="58"/>
  <c r="J4207" i="58" s="1"/>
  <c r="H4207" i="58"/>
  <c r="P4206" i="58"/>
  <c r="O4206" i="58"/>
  <c r="L4206" i="58"/>
  <c r="I4206" i="58"/>
  <c r="J4206" i="58" s="1"/>
  <c r="H4206" i="58"/>
  <c r="P4205" i="58"/>
  <c r="O4205" i="58"/>
  <c r="L4205" i="58"/>
  <c r="I4205" i="58"/>
  <c r="J4205" i="58" s="1"/>
  <c r="H4205" i="58"/>
  <c r="P4204" i="58"/>
  <c r="O4204" i="58"/>
  <c r="L4204" i="58"/>
  <c r="I4204" i="58"/>
  <c r="J4204" i="58" s="1"/>
  <c r="H4204" i="58"/>
  <c r="P4203" i="58"/>
  <c r="O4203" i="58"/>
  <c r="L4203" i="58"/>
  <c r="I4203" i="58"/>
  <c r="J4203" i="58" s="1"/>
  <c r="H4203" i="58"/>
  <c r="P4202" i="58"/>
  <c r="O4202" i="58"/>
  <c r="L4202" i="58"/>
  <c r="I4202" i="58"/>
  <c r="J4202" i="58" s="1"/>
  <c r="H4202" i="58"/>
  <c r="P4201" i="58"/>
  <c r="O4201" i="58"/>
  <c r="L4201" i="58"/>
  <c r="I4201" i="58"/>
  <c r="J4201" i="58" s="1"/>
  <c r="H4201" i="58"/>
  <c r="P4200" i="58"/>
  <c r="O4200" i="58"/>
  <c r="L4200" i="58"/>
  <c r="I4200" i="58"/>
  <c r="J4200" i="58" s="1"/>
  <c r="H4200" i="58"/>
  <c r="P4199" i="58"/>
  <c r="O4199" i="58"/>
  <c r="L4199" i="58"/>
  <c r="I4199" i="58"/>
  <c r="J4199" i="58" s="1"/>
  <c r="H4199" i="58"/>
  <c r="P4198" i="58"/>
  <c r="O4198" i="58"/>
  <c r="L4198" i="58"/>
  <c r="I4198" i="58"/>
  <c r="J4198" i="58" s="1"/>
  <c r="H4198" i="58"/>
  <c r="P4197" i="58"/>
  <c r="O4197" i="58"/>
  <c r="L4197" i="58"/>
  <c r="I4197" i="58"/>
  <c r="J4197" i="58" s="1"/>
  <c r="H4197" i="58"/>
  <c r="P4196" i="58"/>
  <c r="O4196" i="58"/>
  <c r="L4196" i="58"/>
  <c r="I4196" i="58"/>
  <c r="J4196" i="58" s="1"/>
  <c r="H4196" i="58"/>
  <c r="P4195" i="58"/>
  <c r="O4195" i="58"/>
  <c r="L4195" i="58"/>
  <c r="I4195" i="58"/>
  <c r="J4195" i="58" s="1"/>
  <c r="H4195" i="58"/>
  <c r="P4194" i="58"/>
  <c r="O4194" i="58"/>
  <c r="L4194" i="58"/>
  <c r="I4194" i="58"/>
  <c r="J4194" i="58" s="1"/>
  <c r="H4194" i="58"/>
  <c r="P4193" i="58"/>
  <c r="O4193" i="58"/>
  <c r="L4193" i="58"/>
  <c r="I4193" i="58"/>
  <c r="J4193" i="58" s="1"/>
  <c r="H4193" i="58"/>
  <c r="G4193" i="58"/>
  <c r="P4192" i="58"/>
  <c r="O4192" i="58"/>
  <c r="L4192" i="58"/>
  <c r="I4192" i="58"/>
  <c r="J4192" i="58" s="1"/>
  <c r="H4192" i="58"/>
  <c r="G4192" i="58"/>
  <c r="P4191" i="58"/>
  <c r="O4191" i="58"/>
  <c r="L4191" i="58"/>
  <c r="I4191" i="58"/>
  <c r="J4191" i="58" s="1"/>
  <c r="H4191" i="58"/>
  <c r="P4190" i="58"/>
  <c r="O4190" i="58"/>
  <c r="L4190" i="58"/>
  <c r="I4190" i="58"/>
  <c r="J4190" i="58" s="1"/>
  <c r="H4190" i="58"/>
  <c r="P4189" i="58"/>
  <c r="O4189" i="58"/>
  <c r="L4189" i="58"/>
  <c r="I4189" i="58"/>
  <c r="J4189" i="58" s="1"/>
  <c r="H4189" i="58"/>
  <c r="P4188" i="58"/>
  <c r="O4188" i="58"/>
  <c r="L4188" i="58"/>
  <c r="I4188" i="58"/>
  <c r="J4188" i="58" s="1"/>
  <c r="H4188" i="58"/>
  <c r="P4187" i="58"/>
  <c r="O4187" i="58"/>
  <c r="L4187" i="58"/>
  <c r="I4187" i="58"/>
  <c r="J4187" i="58" s="1"/>
  <c r="H4187" i="58"/>
  <c r="P4186" i="58"/>
  <c r="O4186" i="58"/>
  <c r="L4186" i="58"/>
  <c r="I4186" i="58"/>
  <c r="J4186" i="58" s="1"/>
  <c r="H4186" i="58"/>
  <c r="P4185" i="58"/>
  <c r="O4185" i="58"/>
  <c r="L4185" i="58"/>
  <c r="I4185" i="58"/>
  <c r="J4185" i="58" s="1"/>
  <c r="H4185" i="58"/>
  <c r="P4184" i="58"/>
  <c r="O4184" i="58"/>
  <c r="L4184" i="58"/>
  <c r="I4184" i="58"/>
  <c r="J4184" i="58" s="1"/>
  <c r="H4184" i="58"/>
  <c r="P4183" i="58"/>
  <c r="O4183" i="58"/>
  <c r="L4183" i="58"/>
  <c r="I4183" i="58"/>
  <c r="J4183" i="58" s="1"/>
  <c r="H4183" i="58"/>
  <c r="P4182" i="58"/>
  <c r="O4182" i="58"/>
  <c r="L4182" i="58"/>
  <c r="I4182" i="58"/>
  <c r="J4182" i="58" s="1"/>
  <c r="H4182" i="58"/>
  <c r="P4181" i="58"/>
  <c r="O4181" i="58"/>
  <c r="L4181" i="58"/>
  <c r="I4181" i="58"/>
  <c r="J4181" i="58" s="1"/>
  <c r="H4181" i="58"/>
  <c r="P4180" i="58"/>
  <c r="O4180" i="58"/>
  <c r="L4180" i="58"/>
  <c r="I4180" i="58"/>
  <c r="J4180" i="58" s="1"/>
  <c r="H4180" i="58"/>
  <c r="P4179" i="58"/>
  <c r="O4179" i="58"/>
  <c r="L4179" i="58"/>
  <c r="I4179" i="58"/>
  <c r="J4179" i="58" s="1"/>
  <c r="H4179" i="58"/>
  <c r="P4178" i="58"/>
  <c r="O4178" i="58"/>
  <c r="L4178" i="58"/>
  <c r="I4178" i="58"/>
  <c r="J4178" i="58" s="1"/>
  <c r="H4178" i="58"/>
  <c r="P4177" i="58"/>
  <c r="O4177" i="58"/>
  <c r="L4177" i="58"/>
  <c r="I4177" i="58"/>
  <c r="J4177" i="58" s="1"/>
  <c r="H4177" i="58"/>
  <c r="P4176" i="58"/>
  <c r="O4176" i="58"/>
  <c r="L4176" i="58"/>
  <c r="I4176" i="58"/>
  <c r="J4176" i="58" s="1"/>
  <c r="H4176" i="58"/>
  <c r="P4175" i="58"/>
  <c r="O4175" i="58"/>
  <c r="L4175" i="58"/>
  <c r="I4175" i="58"/>
  <c r="J4175" i="58" s="1"/>
  <c r="H4175" i="58"/>
  <c r="P4174" i="58"/>
  <c r="O4174" i="58"/>
  <c r="L4174" i="58"/>
  <c r="I4174" i="58"/>
  <c r="J4174" i="58" s="1"/>
  <c r="H4174" i="58"/>
  <c r="P4173" i="58"/>
  <c r="O4173" i="58"/>
  <c r="L4173" i="58"/>
  <c r="I4173" i="58"/>
  <c r="J4173" i="58" s="1"/>
  <c r="H4173" i="58"/>
  <c r="P4172" i="58"/>
  <c r="O4172" i="58"/>
  <c r="L4172" i="58"/>
  <c r="I4172" i="58"/>
  <c r="J4172" i="58" s="1"/>
  <c r="H4172" i="58"/>
  <c r="P4171" i="58"/>
  <c r="O4171" i="58"/>
  <c r="L4171" i="58"/>
  <c r="I4171" i="58"/>
  <c r="J4171" i="58" s="1"/>
  <c r="H4171" i="58"/>
  <c r="P4170" i="58"/>
  <c r="O4170" i="58"/>
  <c r="L4170" i="58"/>
  <c r="I4170" i="58"/>
  <c r="J4170" i="58" s="1"/>
  <c r="H4170" i="58"/>
  <c r="P4169" i="58"/>
  <c r="O4169" i="58"/>
  <c r="L4169" i="58"/>
  <c r="I4169" i="58"/>
  <c r="J4169" i="58" s="1"/>
  <c r="H4169" i="58"/>
  <c r="P4168" i="58"/>
  <c r="O4168" i="58"/>
  <c r="L4168" i="58"/>
  <c r="I4168" i="58"/>
  <c r="J4168" i="58" s="1"/>
  <c r="H4168" i="58"/>
  <c r="P4167" i="58"/>
  <c r="O4167" i="58"/>
  <c r="L4167" i="58"/>
  <c r="I4167" i="58"/>
  <c r="J4167" i="58" s="1"/>
  <c r="H4167" i="58"/>
  <c r="P4166" i="58"/>
  <c r="O4166" i="58"/>
  <c r="L4166" i="58"/>
  <c r="I4166" i="58"/>
  <c r="J4166" i="58" s="1"/>
  <c r="H4166" i="58"/>
  <c r="P4165" i="58"/>
  <c r="O4165" i="58"/>
  <c r="L4165" i="58"/>
  <c r="I4165" i="58"/>
  <c r="J4165" i="58" s="1"/>
  <c r="H4165" i="58"/>
  <c r="P4164" i="58"/>
  <c r="O4164" i="58"/>
  <c r="L4164" i="58"/>
  <c r="I4164" i="58"/>
  <c r="J4164" i="58" s="1"/>
  <c r="H4164" i="58"/>
  <c r="P4163" i="58"/>
  <c r="O4163" i="58"/>
  <c r="L4163" i="58"/>
  <c r="I4163" i="58"/>
  <c r="J4163" i="58" s="1"/>
  <c r="H4163" i="58"/>
  <c r="P4162" i="58"/>
  <c r="O4162" i="58"/>
  <c r="L4162" i="58"/>
  <c r="I4162" i="58"/>
  <c r="J4162" i="58" s="1"/>
  <c r="H4162" i="58"/>
  <c r="P4161" i="58"/>
  <c r="O4161" i="58"/>
  <c r="L4161" i="58"/>
  <c r="I4161" i="58"/>
  <c r="J4161" i="58" s="1"/>
  <c r="H4161" i="58"/>
  <c r="P4160" i="58"/>
  <c r="O4160" i="58"/>
  <c r="L4160" i="58"/>
  <c r="I4160" i="58"/>
  <c r="J4160" i="58" s="1"/>
  <c r="H4160" i="58"/>
  <c r="P4159" i="58"/>
  <c r="O4159" i="58"/>
  <c r="L4159" i="58"/>
  <c r="I4159" i="58"/>
  <c r="J4159" i="58" s="1"/>
  <c r="H4159" i="58"/>
  <c r="P4158" i="58"/>
  <c r="O4158" i="58"/>
  <c r="L4158" i="58"/>
  <c r="I4158" i="58"/>
  <c r="J4158" i="58" s="1"/>
  <c r="H4158" i="58"/>
  <c r="P4157" i="58"/>
  <c r="O4157" i="58"/>
  <c r="L4157" i="58"/>
  <c r="I4157" i="58"/>
  <c r="J4157" i="58" s="1"/>
  <c r="H4157" i="58"/>
  <c r="P4156" i="58"/>
  <c r="O4156" i="58"/>
  <c r="L4156" i="58"/>
  <c r="I4156" i="58"/>
  <c r="J4156" i="58" s="1"/>
  <c r="H4156" i="58"/>
  <c r="P4155" i="58"/>
  <c r="O4155" i="58"/>
  <c r="L4155" i="58"/>
  <c r="I4155" i="58"/>
  <c r="J4155" i="58" s="1"/>
  <c r="H4155" i="58"/>
  <c r="P4154" i="58"/>
  <c r="O4154" i="58"/>
  <c r="L4154" i="58"/>
  <c r="I4154" i="58"/>
  <c r="J4154" i="58" s="1"/>
  <c r="H4154" i="58"/>
  <c r="P4153" i="58"/>
  <c r="O4153" i="58"/>
  <c r="L4153" i="58"/>
  <c r="I4153" i="58"/>
  <c r="J4153" i="58" s="1"/>
  <c r="H4153" i="58"/>
  <c r="P4152" i="58"/>
  <c r="O4152" i="58"/>
  <c r="L4152" i="58"/>
  <c r="I4152" i="58"/>
  <c r="J4152" i="58" s="1"/>
  <c r="H4152" i="58"/>
  <c r="P4151" i="58"/>
  <c r="O4151" i="58"/>
  <c r="L4151" i="58"/>
  <c r="I4151" i="58"/>
  <c r="J4151" i="58" s="1"/>
  <c r="H4151" i="58"/>
  <c r="P4150" i="58"/>
  <c r="O4150" i="58"/>
  <c r="L4150" i="58"/>
  <c r="I4150" i="58"/>
  <c r="J4150" i="58" s="1"/>
  <c r="H4150" i="58"/>
  <c r="P4149" i="58"/>
  <c r="O4149" i="58"/>
  <c r="L4149" i="58"/>
  <c r="I4149" i="58"/>
  <c r="J4149" i="58" s="1"/>
  <c r="H4149" i="58"/>
  <c r="P4148" i="58"/>
  <c r="O4148" i="58"/>
  <c r="L4148" i="58"/>
  <c r="I4148" i="58"/>
  <c r="J4148" i="58" s="1"/>
  <c r="H4148" i="58"/>
  <c r="P4147" i="58"/>
  <c r="O4147" i="58"/>
  <c r="L4147" i="58"/>
  <c r="I4147" i="58"/>
  <c r="J4147" i="58" s="1"/>
  <c r="H4147" i="58"/>
  <c r="P4146" i="58"/>
  <c r="O4146" i="58"/>
  <c r="L4146" i="58"/>
  <c r="I4146" i="58"/>
  <c r="J4146" i="58" s="1"/>
  <c r="H4146" i="58"/>
  <c r="P4145" i="58"/>
  <c r="O4145" i="58"/>
  <c r="L4145" i="58"/>
  <c r="I4145" i="58"/>
  <c r="J4145" i="58" s="1"/>
  <c r="H4145" i="58"/>
  <c r="P4144" i="58"/>
  <c r="O4144" i="58"/>
  <c r="L4144" i="58"/>
  <c r="I4144" i="58"/>
  <c r="J4144" i="58" s="1"/>
  <c r="H4144" i="58"/>
  <c r="P4143" i="58"/>
  <c r="O4143" i="58"/>
  <c r="L4143" i="58"/>
  <c r="I4143" i="58"/>
  <c r="J4143" i="58" s="1"/>
  <c r="H4143" i="58"/>
  <c r="P4142" i="58"/>
  <c r="O4142" i="58"/>
  <c r="L4142" i="58"/>
  <c r="I4142" i="58"/>
  <c r="J4142" i="58" s="1"/>
  <c r="H4142" i="58"/>
  <c r="P4141" i="58"/>
  <c r="O4141" i="58"/>
  <c r="L4141" i="58"/>
  <c r="I4141" i="58"/>
  <c r="J4141" i="58" s="1"/>
  <c r="H4141" i="58"/>
  <c r="P4140" i="58"/>
  <c r="O4140" i="58"/>
  <c r="L4140" i="58"/>
  <c r="I4140" i="58"/>
  <c r="J4140" i="58" s="1"/>
  <c r="H4140" i="58"/>
  <c r="P4139" i="58"/>
  <c r="O4139" i="58"/>
  <c r="L4139" i="58"/>
  <c r="I4139" i="58"/>
  <c r="J4139" i="58" s="1"/>
  <c r="H4139" i="58"/>
  <c r="P4138" i="58"/>
  <c r="O4138" i="58"/>
  <c r="L4138" i="58"/>
  <c r="I4138" i="58"/>
  <c r="J4138" i="58" s="1"/>
  <c r="H4138" i="58"/>
  <c r="P4137" i="58"/>
  <c r="O4137" i="58"/>
  <c r="L4137" i="58"/>
  <c r="I4137" i="58"/>
  <c r="J4137" i="58" s="1"/>
  <c r="H4137" i="58"/>
  <c r="P4136" i="58"/>
  <c r="O4136" i="58"/>
  <c r="L4136" i="58"/>
  <c r="I4136" i="58"/>
  <c r="J4136" i="58" s="1"/>
  <c r="H4136" i="58"/>
  <c r="P4135" i="58"/>
  <c r="O4135" i="58"/>
  <c r="L4135" i="58"/>
  <c r="I4135" i="58"/>
  <c r="J4135" i="58" s="1"/>
  <c r="H4135" i="58"/>
  <c r="P4134" i="58"/>
  <c r="O4134" i="58"/>
  <c r="L4134" i="58"/>
  <c r="I4134" i="58"/>
  <c r="J4134" i="58" s="1"/>
  <c r="H4134" i="58"/>
  <c r="P4133" i="58"/>
  <c r="O4133" i="58"/>
  <c r="L4133" i="58"/>
  <c r="I4133" i="58"/>
  <c r="J4133" i="58" s="1"/>
  <c r="H4133" i="58"/>
  <c r="P4132" i="58"/>
  <c r="O4132" i="58"/>
  <c r="L4132" i="58"/>
  <c r="I4132" i="58"/>
  <c r="J4132" i="58" s="1"/>
  <c r="H4132" i="58"/>
  <c r="P4131" i="58"/>
  <c r="O4131" i="58"/>
  <c r="L4131" i="58"/>
  <c r="I4131" i="58"/>
  <c r="J4131" i="58" s="1"/>
  <c r="H4131" i="58"/>
  <c r="P4130" i="58"/>
  <c r="O4130" i="58"/>
  <c r="L4130" i="58"/>
  <c r="I4130" i="58"/>
  <c r="J4130" i="58" s="1"/>
  <c r="H4130" i="58"/>
  <c r="P4129" i="58"/>
  <c r="O4129" i="58"/>
  <c r="L4129" i="58"/>
  <c r="I4129" i="58"/>
  <c r="J4129" i="58" s="1"/>
  <c r="H4129" i="58"/>
  <c r="P4128" i="58"/>
  <c r="O4128" i="58"/>
  <c r="L4128" i="58"/>
  <c r="I4128" i="58"/>
  <c r="J4128" i="58" s="1"/>
  <c r="H4128" i="58"/>
  <c r="P4127" i="58"/>
  <c r="O4127" i="58"/>
  <c r="L4127" i="58"/>
  <c r="I4127" i="58"/>
  <c r="J4127" i="58" s="1"/>
  <c r="H4127" i="58"/>
  <c r="P4126" i="58"/>
  <c r="O4126" i="58"/>
  <c r="L4126" i="58"/>
  <c r="I4126" i="58"/>
  <c r="J4126" i="58" s="1"/>
  <c r="H4126" i="58"/>
  <c r="P4125" i="58"/>
  <c r="O4125" i="58"/>
  <c r="L4125" i="58"/>
  <c r="I4125" i="58"/>
  <c r="J4125" i="58" s="1"/>
  <c r="H4125" i="58"/>
  <c r="P4124" i="58"/>
  <c r="O4124" i="58"/>
  <c r="L4124" i="58"/>
  <c r="I4124" i="58"/>
  <c r="J4124" i="58" s="1"/>
  <c r="H4124" i="58"/>
  <c r="P4123" i="58"/>
  <c r="O4123" i="58"/>
  <c r="L4123" i="58"/>
  <c r="I4123" i="58"/>
  <c r="J4123" i="58" s="1"/>
  <c r="H4123" i="58"/>
  <c r="P4122" i="58"/>
  <c r="O4122" i="58"/>
  <c r="L4122" i="58"/>
  <c r="I4122" i="58"/>
  <c r="J4122" i="58" s="1"/>
  <c r="H4122" i="58"/>
  <c r="P4121" i="58"/>
  <c r="O4121" i="58"/>
  <c r="L4121" i="58"/>
  <c r="I4121" i="58"/>
  <c r="J4121" i="58" s="1"/>
  <c r="H4121" i="58"/>
  <c r="P4120" i="58"/>
  <c r="O4120" i="58"/>
  <c r="L4120" i="58"/>
  <c r="I4120" i="58"/>
  <c r="J4120" i="58" s="1"/>
  <c r="H4120" i="58"/>
  <c r="P4119" i="58"/>
  <c r="O4119" i="58"/>
  <c r="L4119" i="58"/>
  <c r="I4119" i="58"/>
  <c r="J4119" i="58" s="1"/>
  <c r="H4119" i="58"/>
  <c r="P4118" i="58"/>
  <c r="O4118" i="58"/>
  <c r="L4118" i="58"/>
  <c r="I4118" i="58"/>
  <c r="J4118" i="58" s="1"/>
  <c r="H4118" i="58"/>
  <c r="P4117" i="58"/>
  <c r="O4117" i="58"/>
  <c r="L4117" i="58"/>
  <c r="I4117" i="58"/>
  <c r="J4117" i="58" s="1"/>
  <c r="H4117" i="58"/>
  <c r="P4116" i="58"/>
  <c r="O4116" i="58"/>
  <c r="L4116" i="58"/>
  <c r="I4116" i="58"/>
  <c r="J4116" i="58" s="1"/>
  <c r="H4116" i="58"/>
  <c r="P4115" i="58"/>
  <c r="O4115" i="58"/>
  <c r="L4115" i="58"/>
  <c r="I4115" i="58"/>
  <c r="J4115" i="58" s="1"/>
  <c r="H4115" i="58"/>
  <c r="P4114" i="58"/>
  <c r="O4114" i="58"/>
  <c r="L4114" i="58"/>
  <c r="I4114" i="58"/>
  <c r="J4114" i="58" s="1"/>
  <c r="H4114" i="58"/>
  <c r="P4113" i="58"/>
  <c r="O4113" i="58"/>
  <c r="L4113" i="58"/>
  <c r="I4113" i="58"/>
  <c r="J4113" i="58" s="1"/>
  <c r="H4113" i="58"/>
  <c r="P4112" i="58"/>
  <c r="O4112" i="58"/>
  <c r="L4112" i="58"/>
  <c r="I4112" i="58"/>
  <c r="J4112" i="58" s="1"/>
  <c r="H4112" i="58"/>
  <c r="P4111" i="58"/>
  <c r="O4111" i="58"/>
  <c r="L4111" i="58"/>
  <c r="I4111" i="58"/>
  <c r="J4111" i="58" s="1"/>
  <c r="H4111" i="58"/>
  <c r="P4110" i="58"/>
  <c r="O4110" i="58"/>
  <c r="L4110" i="58"/>
  <c r="I4110" i="58"/>
  <c r="J4110" i="58" s="1"/>
  <c r="H4110" i="58"/>
  <c r="P4109" i="58"/>
  <c r="O4109" i="58"/>
  <c r="L4109" i="58"/>
  <c r="I4109" i="58"/>
  <c r="J4109" i="58" s="1"/>
  <c r="H4109" i="58"/>
  <c r="P4108" i="58"/>
  <c r="O4108" i="58"/>
  <c r="L4108" i="58"/>
  <c r="I4108" i="58"/>
  <c r="J4108" i="58" s="1"/>
  <c r="H4108" i="58"/>
  <c r="P4107" i="58"/>
  <c r="O4107" i="58"/>
  <c r="L4107" i="58"/>
  <c r="I4107" i="58"/>
  <c r="J4107" i="58" s="1"/>
  <c r="H4107" i="58"/>
  <c r="P4106" i="58"/>
  <c r="O4106" i="58"/>
  <c r="L4106" i="58"/>
  <c r="I4106" i="58"/>
  <c r="J4106" i="58" s="1"/>
  <c r="H4106" i="58"/>
  <c r="P4105" i="58"/>
  <c r="O4105" i="58"/>
  <c r="L4105" i="58"/>
  <c r="I4105" i="58"/>
  <c r="J4105" i="58" s="1"/>
  <c r="H4105" i="58"/>
  <c r="P4104" i="58"/>
  <c r="O4104" i="58"/>
  <c r="L4104" i="58"/>
  <c r="I4104" i="58"/>
  <c r="J4104" i="58" s="1"/>
  <c r="H4104" i="58"/>
  <c r="P4103" i="58"/>
  <c r="O4103" i="58"/>
  <c r="L4103" i="58"/>
  <c r="I4103" i="58"/>
  <c r="J4103" i="58" s="1"/>
  <c r="H4103" i="58"/>
  <c r="P4102" i="58"/>
  <c r="O4102" i="58"/>
  <c r="L4102" i="58"/>
  <c r="I4102" i="58"/>
  <c r="J4102" i="58" s="1"/>
  <c r="H4102" i="58"/>
  <c r="P4101" i="58"/>
  <c r="O4101" i="58"/>
  <c r="L4101" i="58"/>
  <c r="I4101" i="58"/>
  <c r="J4101" i="58" s="1"/>
  <c r="H4101" i="58"/>
  <c r="P4100" i="58"/>
  <c r="O4100" i="58"/>
  <c r="L4100" i="58"/>
  <c r="I4100" i="58"/>
  <c r="J4100" i="58" s="1"/>
  <c r="H4100" i="58"/>
  <c r="P4099" i="58"/>
  <c r="O4099" i="58"/>
  <c r="L4099" i="58"/>
  <c r="I4099" i="58"/>
  <c r="J4099" i="58" s="1"/>
  <c r="H4099" i="58"/>
  <c r="P4098" i="58"/>
  <c r="O4098" i="58"/>
  <c r="L4098" i="58"/>
  <c r="I4098" i="58"/>
  <c r="J4098" i="58" s="1"/>
  <c r="H4098" i="58"/>
  <c r="P4097" i="58"/>
  <c r="O4097" i="58"/>
  <c r="L4097" i="58"/>
  <c r="I4097" i="58"/>
  <c r="J4097" i="58" s="1"/>
  <c r="H4097" i="58"/>
  <c r="P4096" i="58"/>
  <c r="O4096" i="58"/>
  <c r="L4096" i="58"/>
  <c r="I4096" i="58"/>
  <c r="J4096" i="58" s="1"/>
  <c r="H4096" i="58"/>
  <c r="P4095" i="58"/>
  <c r="O4095" i="58"/>
  <c r="L4095" i="58"/>
  <c r="I4095" i="58"/>
  <c r="J4095" i="58" s="1"/>
  <c r="H4095" i="58"/>
  <c r="P4094" i="58"/>
  <c r="O4094" i="58"/>
  <c r="L4094" i="58"/>
  <c r="I4094" i="58"/>
  <c r="J4094" i="58" s="1"/>
  <c r="H4094" i="58"/>
  <c r="P4093" i="58"/>
  <c r="O4093" i="58"/>
  <c r="L4093" i="58"/>
  <c r="I4093" i="58"/>
  <c r="J4093" i="58" s="1"/>
  <c r="H4093" i="58"/>
  <c r="P4092" i="58"/>
  <c r="O4092" i="58"/>
  <c r="L4092" i="58"/>
  <c r="I4092" i="58"/>
  <c r="J4092" i="58" s="1"/>
  <c r="H4092" i="58"/>
  <c r="P4091" i="58"/>
  <c r="O4091" i="58"/>
  <c r="L4091" i="58"/>
  <c r="I4091" i="58"/>
  <c r="J4091" i="58" s="1"/>
  <c r="H4091" i="58"/>
  <c r="P4090" i="58"/>
  <c r="O4090" i="58"/>
  <c r="L4090" i="58"/>
  <c r="I4090" i="58"/>
  <c r="J4090" i="58" s="1"/>
  <c r="H4090" i="58"/>
  <c r="P4089" i="58"/>
  <c r="O4089" i="58"/>
  <c r="L4089" i="58"/>
  <c r="I4089" i="58"/>
  <c r="J4089" i="58" s="1"/>
  <c r="H4089" i="58"/>
  <c r="P4088" i="58"/>
  <c r="O4088" i="58"/>
  <c r="L4088" i="58"/>
  <c r="I4088" i="58"/>
  <c r="J4088" i="58" s="1"/>
  <c r="H4088" i="58"/>
  <c r="P4087" i="58"/>
  <c r="O4087" i="58"/>
  <c r="L4087" i="58"/>
  <c r="I4087" i="58"/>
  <c r="J4087" i="58" s="1"/>
  <c r="H4087" i="58"/>
  <c r="P4086" i="58"/>
  <c r="O4086" i="58"/>
  <c r="L4086" i="58"/>
  <c r="I4086" i="58"/>
  <c r="J4086" i="58" s="1"/>
  <c r="H4086" i="58"/>
  <c r="P4085" i="58"/>
  <c r="O4085" i="58"/>
  <c r="L4085" i="58"/>
  <c r="I4085" i="58"/>
  <c r="J4085" i="58" s="1"/>
  <c r="H4085" i="58"/>
  <c r="P4084" i="58"/>
  <c r="O4084" i="58"/>
  <c r="L4084" i="58"/>
  <c r="I4084" i="58"/>
  <c r="J4084" i="58" s="1"/>
  <c r="H4084" i="58"/>
  <c r="P4083" i="58"/>
  <c r="O4083" i="58"/>
  <c r="L4083" i="58"/>
  <c r="I4083" i="58"/>
  <c r="J4083" i="58" s="1"/>
  <c r="H4083" i="58"/>
  <c r="P4082" i="58"/>
  <c r="O4082" i="58"/>
  <c r="L4082" i="58"/>
  <c r="I4082" i="58"/>
  <c r="J4082" i="58" s="1"/>
  <c r="H4082" i="58"/>
  <c r="P4081" i="58"/>
  <c r="O4081" i="58"/>
  <c r="L4081" i="58"/>
  <c r="I4081" i="58"/>
  <c r="J4081" i="58" s="1"/>
  <c r="H4081" i="58"/>
  <c r="P4080" i="58"/>
  <c r="O4080" i="58"/>
  <c r="L4080" i="58"/>
  <c r="I4080" i="58"/>
  <c r="J4080" i="58" s="1"/>
  <c r="H4080" i="58"/>
  <c r="P4079" i="58"/>
  <c r="O4079" i="58"/>
  <c r="L4079" i="58"/>
  <c r="I4079" i="58"/>
  <c r="J4079" i="58" s="1"/>
  <c r="H4079" i="58"/>
  <c r="P4078" i="58"/>
  <c r="O4078" i="58"/>
  <c r="L4078" i="58"/>
  <c r="I4078" i="58"/>
  <c r="J4078" i="58" s="1"/>
  <c r="H4078" i="58"/>
  <c r="P4077" i="58"/>
  <c r="O4077" i="58"/>
  <c r="L4077" i="58"/>
  <c r="I4077" i="58"/>
  <c r="J4077" i="58" s="1"/>
  <c r="H4077" i="58"/>
  <c r="P4076" i="58"/>
  <c r="O4076" i="58"/>
  <c r="L4076" i="58"/>
  <c r="I4076" i="58"/>
  <c r="J4076" i="58" s="1"/>
  <c r="H4076" i="58"/>
  <c r="P4075" i="58"/>
  <c r="O4075" i="58"/>
  <c r="L4075" i="58"/>
  <c r="I4075" i="58"/>
  <c r="J4075" i="58" s="1"/>
  <c r="H4075" i="58"/>
  <c r="P4074" i="58"/>
  <c r="O4074" i="58"/>
  <c r="L4074" i="58"/>
  <c r="I4074" i="58"/>
  <c r="J4074" i="58" s="1"/>
  <c r="H4074" i="58"/>
  <c r="P4073" i="58"/>
  <c r="O4073" i="58"/>
  <c r="L4073" i="58"/>
  <c r="I4073" i="58"/>
  <c r="J4073" i="58" s="1"/>
  <c r="H4073" i="58"/>
  <c r="P4072" i="58"/>
  <c r="O4072" i="58"/>
  <c r="L4072" i="58"/>
  <c r="I4072" i="58"/>
  <c r="J4072" i="58" s="1"/>
  <c r="H4072" i="58"/>
  <c r="P4071" i="58"/>
  <c r="O4071" i="58"/>
  <c r="L4071" i="58"/>
  <c r="I4071" i="58"/>
  <c r="J4071" i="58" s="1"/>
  <c r="H4071" i="58"/>
  <c r="P4070" i="58"/>
  <c r="O4070" i="58"/>
  <c r="L4070" i="58"/>
  <c r="I4070" i="58"/>
  <c r="J4070" i="58" s="1"/>
  <c r="H4070" i="58"/>
  <c r="P4069" i="58"/>
  <c r="O4069" i="58"/>
  <c r="L4069" i="58"/>
  <c r="I4069" i="58"/>
  <c r="J4069" i="58" s="1"/>
  <c r="H4069" i="58"/>
  <c r="P4068" i="58"/>
  <c r="O4068" i="58"/>
  <c r="L4068" i="58"/>
  <c r="I4068" i="58"/>
  <c r="J4068" i="58" s="1"/>
  <c r="H4068" i="58"/>
  <c r="P4067" i="58"/>
  <c r="O4067" i="58"/>
  <c r="L4067" i="58"/>
  <c r="I4067" i="58"/>
  <c r="J4067" i="58" s="1"/>
  <c r="H4067" i="58"/>
  <c r="P4066" i="58"/>
  <c r="O4066" i="58"/>
  <c r="L4066" i="58"/>
  <c r="I4066" i="58"/>
  <c r="J4066" i="58" s="1"/>
  <c r="H4066" i="58"/>
  <c r="P4065" i="58"/>
  <c r="O4065" i="58"/>
  <c r="L4065" i="58"/>
  <c r="I4065" i="58"/>
  <c r="J4065" i="58" s="1"/>
  <c r="H4065" i="58"/>
  <c r="P4064" i="58"/>
  <c r="O4064" i="58"/>
  <c r="L4064" i="58"/>
  <c r="I4064" i="58"/>
  <c r="J4064" i="58" s="1"/>
  <c r="H4064" i="58"/>
  <c r="P4063" i="58"/>
  <c r="O4063" i="58"/>
  <c r="L4063" i="58"/>
  <c r="I4063" i="58"/>
  <c r="J4063" i="58" s="1"/>
  <c r="H4063" i="58"/>
  <c r="P4062" i="58"/>
  <c r="O4062" i="58"/>
  <c r="L4062" i="58"/>
  <c r="I4062" i="58"/>
  <c r="J4062" i="58" s="1"/>
  <c r="H4062" i="58"/>
  <c r="P4061" i="58"/>
  <c r="O4061" i="58"/>
  <c r="L4061" i="58"/>
  <c r="I4061" i="58"/>
  <c r="J4061" i="58" s="1"/>
  <c r="H4061" i="58"/>
  <c r="P4060" i="58"/>
  <c r="O4060" i="58"/>
  <c r="L4060" i="58"/>
  <c r="I4060" i="58"/>
  <c r="J4060" i="58" s="1"/>
  <c r="H4060" i="58"/>
  <c r="P4059" i="58"/>
  <c r="O4059" i="58"/>
  <c r="L4059" i="58"/>
  <c r="I4059" i="58"/>
  <c r="J4059" i="58" s="1"/>
  <c r="H4059" i="58"/>
  <c r="P4058" i="58"/>
  <c r="O4058" i="58"/>
  <c r="L4058" i="58"/>
  <c r="I4058" i="58"/>
  <c r="J4058" i="58" s="1"/>
  <c r="H4058" i="58"/>
  <c r="P4057" i="58"/>
  <c r="O4057" i="58"/>
  <c r="L4057" i="58"/>
  <c r="I4057" i="58"/>
  <c r="J4057" i="58" s="1"/>
  <c r="H4057" i="58"/>
  <c r="P4056" i="58"/>
  <c r="O4056" i="58"/>
  <c r="L4056" i="58"/>
  <c r="I4056" i="58"/>
  <c r="J4056" i="58" s="1"/>
  <c r="H4056" i="58"/>
  <c r="P4055" i="58"/>
  <c r="O4055" i="58"/>
  <c r="L4055" i="58"/>
  <c r="I4055" i="58"/>
  <c r="J4055" i="58" s="1"/>
  <c r="H4055" i="58"/>
  <c r="P4054" i="58"/>
  <c r="O4054" i="58"/>
  <c r="L4054" i="58"/>
  <c r="I4054" i="58"/>
  <c r="J4054" i="58" s="1"/>
  <c r="H4054" i="58"/>
  <c r="P4053" i="58"/>
  <c r="O4053" i="58"/>
  <c r="L4053" i="58"/>
  <c r="I4053" i="58"/>
  <c r="J4053" i="58" s="1"/>
  <c r="H4053" i="58"/>
  <c r="P4052" i="58"/>
  <c r="O4052" i="58"/>
  <c r="L4052" i="58"/>
  <c r="I4052" i="58"/>
  <c r="J4052" i="58" s="1"/>
  <c r="H4052" i="58"/>
  <c r="P4051" i="58"/>
  <c r="O4051" i="58"/>
  <c r="L4051" i="58"/>
  <c r="I4051" i="58"/>
  <c r="J4051" i="58" s="1"/>
  <c r="H4051" i="58"/>
  <c r="P4050" i="58"/>
  <c r="O4050" i="58"/>
  <c r="L4050" i="58"/>
  <c r="I4050" i="58"/>
  <c r="J4050" i="58" s="1"/>
  <c r="H4050" i="58"/>
  <c r="P4049" i="58"/>
  <c r="O4049" i="58"/>
  <c r="L4049" i="58"/>
  <c r="I4049" i="58"/>
  <c r="J4049" i="58" s="1"/>
  <c r="H4049" i="58"/>
  <c r="P4048" i="58"/>
  <c r="O4048" i="58"/>
  <c r="L4048" i="58"/>
  <c r="I4048" i="58"/>
  <c r="J4048" i="58" s="1"/>
  <c r="H4048" i="58"/>
  <c r="P4047" i="58"/>
  <c r="O4047" i="58"/>
  <c r="L4047" i="58"/>
  <c r="I4047" i="58"/>
  <c r="J4047" i="58" s="1"/>
  <c r="H4047" i="58"/>
  <c r="P4046" i="58"/>
  <c r="O4046" i="58"/>
  <c r="L4046" i="58"/>
  <c r="I4046" i="58"/>
  <c r="J4046" i="58" s="1"/>
  <c r="H4046" i="58"/>
  <c r="P4045" i="58"/>
  <c r="O4045" i="58"/>
  <c r="L4045" i="58"/>
  <c r="I4045" i="58"/>
  <c r="J4045" i="58" s="1"/>
  <c r="H4045" i="58"/>
  <c r="P4044" i="58"/>
  <c r="O4044" i="58"/>
  <c r="L4044" i="58"/>
  <c r="I4044" i="58"/>
  <c r="J4044" i="58" s="1"/>
  <c r="H4044" i="58"/>
  <c r="P4043" i="58"/>
  <c r="O4043" i="58"/>
  <c r="L4043" i="58"/>
  <c r="I4043" i="58"/>
  <c r="J4043" i="58" s="1"/>
  <c r="H4043" i="58"/>
  <c r="P4042" i="58"/>
  <c r="O4042" i="58"/>
  <c r="L4042" i="58"/>
  <c r="I4042" i="58"/>
  <c r="J4042" i="58" s="1"/>
  <c r="H4042" i="58"/>
  <c r="P4041" i="58"/>
  <c r="O4041" i="58"/>
  <c r="L4041" i="58"/>
  <c r="I4041" i="58"/>
  <c r="J4041" i="58" s="1"/>
  <c r="H4041" i="58"/>
  <c r="P4040" i="58"/>
  <c r="O4040" i="58"/>
  <c r="L4040" i="58"/>
  <c r="I4040" i="58"/>
  <c r="J4040" i="58" s="1"/>
  <c r="H4040" i="58"/>
  <c r="P4039" i="58"/>
  <c r="O4039" i="58"/>
  <c r="L4039" i="58"/>
  <c r="I4039" i="58"/>
  <c r="J4039" i="58" s="1"/>
  <c r="H4039" i="58"/>
  <c r="P4038" i="58"/>
  <c r="O4038" i="58"/>
  <c r="L4038" i="58"/>
  <c r="I4038" i="58"/>
  <c r="J4038" i="58" s="1"/>
  <c r="H4038" i="58"/>
  <c r="P4037" i="58"/>
  <c r="O4037" i="58"/>
  <c r="L4037" i="58"/>
  <c r="I4037" i="58"/>
  <c r="J4037" i="58" s="1"/>
  <c r="H4037" i="58"/>
  <c r="P4036" i="58"/>
  <c r="O4036" i="58"/>
  <c r="L4036" i="58"/>
  <c r="I4036" i="58"/>
  <c r="J4036" i="58" s="1"/>
  <c r="H4036" i="58"/>
  <c r="P4035" i="58"/>
  <c r="O4035" i="58"/>
  <c r="L4035" i="58"/>
  <c r="I4035" i="58"/>
  <c r="J4035" i="58" s="1"/>
  <c r="H4035" i="58"/>
  <c r="P4034" i="58"/>
  <c r="O4034" i="58"/>
  <c r="L4034" i="58"/>
  <c r="I4034" i="58"/>
  <c r="J4034" i="58" s="1"/>
  <c r="H4034" i="58"/>
  <c r="P4033" i="58"/>
  <c r="O4033" i="58"/>
  <c r="L4033" i="58"/>
  <c r="I4033" i="58"/>
  <c r="J4033" i="58" s="1"/>
  <c r="H4033" i="58"/>
  <c r="P4032" i="58"/>
  <c r="O4032" i="58"/>
  <c r="L4032" i="58"/>
  <c r="I4032" i="58"/>
  <c r="J4032" i="58" s="1"/>
  <c r="H4032" i="58"/>
  <c r="P4031" i="58"/>
  <c r="O4031" i="58"/>
  <c r="L4031" i="58"/>
  <c r="I4031" i="58"/>
  <c r="J4031" i="58" s="1"/>
  <c r="H4031" i="58"/>
  <c r="P4030" i="58"/>
  <c r="O4030" i="58"/>
  <c r="L4030" i="58"/>
  <c r="I4030" i="58"/>
  <c r="J4030" i="58" s="1"/>
  <c r="H4030" i="58"/>
  <c r="P4029" i="58"/>
  <c r="O4029" i="58"/>
  <c r="L4029" i="58"/>
  <c r="I4029" i="58"/>
  <c r="J4029" i="58" s="1"/>
  <c r="H4029" i="58"/>
  <c r="P4028" i="58"/>
  <c r="O4028" i="58"/>
  <c r="L4028" i="58"/>
  <c r="I4028" i="58"/>
  <c r="J4028" i="58" s="1"/>
  <c r="H4028" i="58"/>
  <c r="P4027" i="58"/>
  <c r="O4027" i="58"/>
  <c r="L4027" i="58"/>
  <c r="I4027" i="58"/>
  <c r="J4027" i="58" s="1"/>
  <c r="H4027" i="58"/>
  <c r="P4026" i="58"/>
  <c r="O4026" i="58"/>
  <c r="L4026" i="58"/>
  <c r="I4026" i="58"/>
  <c r="J4026" i="58" s="1"/>
  <c r="H4026" i="58"/>
  <c r="P4025" i="58"/>
  <c r="O4025" i="58"/>
  <c r="L4025" i="58"/>
  <c r="I4025" i="58"/>
  <c r="J4025" i="58" s="1"/>
  <c r="H4025" i="58"/>
  <c r="P4024" i="58"/>
  <c r="O4024" i="58"/>
  <c r="L4024" i="58"/>
  <c r="I4024" i="58"/>
  <c r="J4024" i="58" s="1"/>
  <c r="H4024" i="58"/>
  <c r="P4023" i="58"/>
  <c r="O4023" i="58"/>
  <c r="L4023" i="58"/>
  <c r="I4023" i="58"/>
  <c r="J4023" i="58" s="1"/>
  <c r="H4023" i="58"/>
  <c r="P4022" i="58"/>
  <c r="O4022" i="58"/>
  <c r="L4022" i="58"/>
  <c r="I4022" i="58"/>
  <c r="J4022" i="58" s="1"/>
  <c r="H4022" i="58"/>
  <c r="P4021" i="58"/>
  <c r="O4021" i="58"/>
  <c r="L4021" i="58"/>
  <c r="I4021" i="58"/>
  <c r="J4021" i="58" s="1"/>
  <c r="H4021" i="58"/>
  <c r="P4020" i="58"/>
  <c r="O4020" i="58"/>
  <c r="L4020" i="58"/>
  <c r="I4020" i="58"/>
  <c r="J4020" i="58" s="1"/>
  <c r="H4020" i="58"/>
  <c r="P4019" i="58"/>
  <c r="O4019" i="58"/>
  <c r="L4019" i="58"/>
  <c r="I4019" i="58"/>
  <c r="J4019" i="58" s="1"/>
  <c r="H4019" i="58"/>
  <c r="P4018" i="58"/>
  <c r="O4018" i="58"/>
  <c r="L4018" i="58"/>
  <c r="I4018" i="58"/>
  <c r="J4018" i="58" s="1"/>
  <c r="H4018" i="58"/>
  <c r="P4017" i="58"/>
  <c r="O4017" i="58"/>
  <c r="L4017" i="58"/>
  <c r="I4017" i="58"/>
  <c r="J4017" i="58" s="1"/>
  <c r="H4017" i="58"/>
  <c r="P4016" i="58"/>
  <c r="O4016" i="58"/>
  <c r="L4016" i="58"/>
  <c r="I4016" i="58"/>
  <c r="J4016" i="58" s="1"/>
  <c r="H4016" i="58"/>
  <c r="P4015" i="58"/>
  <c r="O4015" i="58"/>
  <c r="L4015" i="58"/>
  <c r="I4015" i="58"/>
  <c r="J4015" i="58" s="1"/>
  <c r="H4015" i="58"/>
  <c r="P4014" i="58"/>
  <c r="O4014" i="58"/>
  <c r="L4014" i="58"/>
  <c r="I4014" i="58"/>
  <c r="J4014" i="58" s="1"/>
  <c r="H4014" i="58"/>
  <c r="P4013" i="58"/>
  <c r="O4013" i="58"/>
  <c r="L4013" i="58"/>
  <c r="I4013" i="58"/>
  <c r="J4013" i="58" s="1"/>
  <c r="H4013" i="58"/>
  <c r="P4012" i="58"/>
  <c r="O4012" i="58"/>
  <c r="L4012" i="58"/>
  <c r="I4012" i="58"/>
  <c r="J4012" i="58" s="1"/>
  <c r="H4012" i="58"/>
  <c r="P4011" i="58"/>
  <c r="O4011" i="58"/>
  <c r="L4011" i="58"/>
  <c r="I4011" i="58"/>
  <c r="J4011" i="58" s="1"/>
  <c r="H4011" i="58"/>
  <c r="P4010" i="58"/>
  <c r="O4010" i="58"/>
  <c r="L4010" i="58"/>
  <c r="I4010" i="58"/>
  <c r="J4010" i="58" s="1"/>
  <c r="H4010" i="58"/>
  <c r="P4009" i="58"/>
  <c r="O4009" i="58"/>
  <c r="L4009" i="58"/>
  <c r="I4009" i="58"/>
  <c r="J4009" i="58" s="1"/>
  <c r="H4009" i="58"/>
  <c r="P4008" i="58"/>
  <c r="O4008" i="58"/>
  <c r="L4008" i="58"/>
  <c r="I4008" i="58"/>
  <c r="J4008" i="58" s="1"/>
  <c r="H4008" i="58"/>
  <c r="P4007" i="58"/>
  <c r="O4007" i="58"/>
  <c r="L4007" i="58"/>
  <c r="I4007" i="58"/>
  <c r="J4007" i="58" s="1"/>
  <c r="H4007" i="58"/>
  <c r="P4006" i="58"/>
  <c r="O4006" i="58"/>
  <c r="L4006" i="58"/>
  <c r="I4006" i="58"/>
  <c r="J4006" i="58" s="1"/>
  <c r="H4006" i="58"/>
  <c r="P4005" i="58"/>
  <c r="O4005" i="58"/>
  <c r="L4005" i="58"/>
  <c r="I4005" i="58"/>
  <c r="J4005" i="58" s="1"/>
  <c r="H4005" i="58"/>
  <c r="P4004" i="58"/>
  <c r="O4004" i="58"/>
  <c r="L4004" i="58"/>
  <c r="I4004" i="58"/>
  <c r="J4004" i="58" s="1"/>
  <c r="H4004" i="58"/>
  <c r="P4003" i="58"/>
  <c r="O4003" i="58"/>
  <c r="L4003" i="58"/>
  <c r="I4003" i="58"/>
  <c r="J4003" i="58" s="1"/>
  <c r="H4003" i="58"/>
  <c r="P4002" i="58"/>
  <c r="O4002" i="58"/>
  <c r="L4002" i="58"/>
  <c r="I4002" i="58"/>
  <c r="J4002" i="58" s="1"/>
  <c r="H4002" i="58"/>
  <c r="P4001" i="58"/>
  <c r="O4001" i="58"/>
  <c r="L4001" i="58"/>
  <c r="I4001" i="58"/>
  <c r="J4001" i="58" s="1"/>
  <c r="H4001" i="58"/>
  <c r="P4000" i="58"/>
  <c r="O4000" i="58"/>
  <c r="L4000" i="58"/>
  <c r="I4000" i="58"/>
  <c r="J4000" i="58" s="1"/>
  <c r="H4000" i="58"/>
  <c r="P3999" i="58"/>
  <c r="O3999" i="58"/>
  <c r="L3999" i="58"/>
  <c r="I3999" i="58"/>
  <c r="J3999" i="58" s="1"/>
  <c r="H3999" i="58"/>
  <c r="P3998" i="58"/>
  <c r="O3998" i="58"/>
  <c r="L3998" i="58"/>
  <c r="I3998" i="58"/>
  <c r="J3998" i="58" s="1"/>
  <c r="H3998" i="58"/>
  <c r="P3997" i="58"/>
  <c r="O3997" i="58"/>
  <c r="L3997" i="58"/>
  <c r="I3997" i="58"/>
  <c r="J3997" i="58" s="1"/>
  <c r="H3997" i="58"/>
  <c r="P3996" i="58"/>
  <c r="O3996" i="58"/>
  <c r="L3996" i="58"/>
  <c r="I3996" i="58"/>
  <c r="J3996" i="58" s="1"/>
  <c r="H3996" i="58"/>
  <c r="P3995" i="58"/>
  <c r="O3995" i="58"/>
  <c r="L3995" i="58"/>
  <c r="I3995" i="58"/>
  <c r="J3995" i="58" s="1"/>
  <c r="H3995" i="58"/>
  <c r="P3994" i="58"/>
  <c r="O3994" i="58"/>
  <c r="L3994" i="58"/>
  <c r="I3994" i="58"/>
  <c r="J3994" i="58" s="1"/>
  <c r="H3994" i="58"/>
  <c r="P3993" i="58"/>
  <c r="O3993" i="58"/>
  <c r="L3993" i="58"/>
  <c r="I3993" i="58"/>
  <c r="J3993" i="58" s="1"/>
  <c r="H3993" i="58"/>
  <c r="P3992" i="58"/>
  <c r="O3992" i="58"/>
  <c r="L3992" i="58"/>
  <c r="I3992" i="58"/>
  <c r="J3992" i="58" s="1"/>
  <c r="H3992" i="58"/>
  <c r="P3991" i="58"/>
  <c r="O3991" i="58"/>
  <c r="L3991" i="58"/>
  <c r="I3991" i="58"/>
  <c r="J3991" i="58" s="1"/>
  <c r="H3991" i="58"/>
  <c r="P3990" i="58"/>
  <c r="O3990" i="58"/>
  <c r="L3990" i="58"/>
  <c r="I3990" i="58"/>
  <c r="J3990" i="58" s="1"/>
  <c r="H3990" i="58"/>
  <c r="P3989" i="58"/>
  <c r="O3989" i="58"/>
  <c r="L3989" i="58"/>
  <c r="I3989" i="58"/>
  <c r="J3989" i="58" s="1"/>
  <c r="H3989" i="58"/>
  <c r="P3988" i="58"/>
  <c r="O3988" i="58"/>
  <c r="L3988" i="58"/>
  <c r="I3988" i="58"/>
  <c r="J3988" i="58" s="1"/>
  <c r="H3988" i="58"/>
  <c r="P3987" i="58"/>
  <c r="O3987" i="58"/>
  <c r="L3987" i="58"/>
  <c r="I3987" i="58"/>
  <c r="J3987" i="58" s="1"/>
  <c r="H3987" i="58"/>
  <c r="P3986" i="58"/>
  <c r="O3986" i="58"/>
  <c r="L3986" i="58"/>
  <c r="I3986" i="58"/>
  <c r="J3986" i="58" s="1"/>
  <c r="H3986" i="58"/>
  <c r="P3985" i="58"/>
  <c r="O3985" i="58"/>
  <c r="L3985" i="58"/>
  <c r="I3985" i="58"/>
  <c r="J3985" i="58" s="1"/>
  <c r="H3985" i="58"/>
  <c r="P3984" i="58"/>
  <c r="O3984" i="58"/>
  <c r="L3984" i="58"/>
  <c r="I3984" i="58"/>
  <c r="J3984" i="58" s="1"/>
  <c r="H3984" i="58"/>
  <c r="P3983" i="58"/>
  <c r="O3983" i="58"/>
  <c r="L3983" i="58"/>
  <c r="I3983" i="58"/>
  <c r="J3983" i="58" s="1"/>
  <c r="H3983" i="58"/>
  <c r="P3982" i="58"/>
  <c r="O3982" i="58"/>
  <c r="L3982" i="58"/>
  <c r="I3982" i="58"/>
  <c r="J3982" i="58" s="1"/>
  <c r="H3982" i="58"/>
  <c r="P3981" i="58"/>
  <c r="O3981" i="58"/>
  <c r="L3981" i="58"/>
  <c r="I3981" i="58"/>
  <c r="J3981" i="58" s="1"/>
  <c r="H3981" i="58"/>
  <c r="P3980" i="58"/>
  <c r="O3980" i="58"/>
  <c r="L3980" i="58"/>
  <c r="I3980" i="58"/>
  <c r="J3980" i="58" s="1"/>
  <c r="H3980" i="58"/>
  <c r="P3979" i="58"/>
  <c r="O3979" i="58"/>
  <c r="L3979" i="58"/>
  <c r="I3979" i="58"/>
  <c r="J3979" i="58" s="1"/>
  <c r="H3979" i="58"/>
  <c r="P3978" i="58"/>
  <c r="O3978" i="58"/>
  <c r="L3978" i="58"/>
  <c r="I3978" i="58"/>
  <c r="J3978" i="58" s="1"/>
  <c r="H3978" i="58"/>
  <c r="P3977" i="58"/>
  <c r="O3977" i="58"/>
  <c r="L3977" i="58"/>
  <c r="I3977" i="58"/>
  <c r="J3977" i="58" s="1"/>
  <c r="H3977" i="58"/>
  <c r="P3976" i="58"/>
  <c r="O3976" i="58"/>
  <c r="L3976" i="58"/>
  <c r="I3976" i="58"/>
  <c r="J3976" i="58" s="1"/>
  <c r="H3976" i="58"/>
  <c r="P3975" i="58"/>
  <c r="O3975" i="58"/>
  <c r="L3975" i="58"/>
  <c r="I3975" i="58"/>
  <c r="J3975" i="58" s="1"/>
  <c r="H3975" i="58"/>
  <c r="P3974" i="58"/>
  <c r="O3974" i="58"/>
  <c r="L3974" i="58"/>
  <c r="I3974" i="58"/>
  <c r="J3974" i="58" s="1"/>
  <c r="H3974" i="58"/>
  <c r="P3973" i="58"/>
  <c r="O3973" i="58"/>
  <c r="L3973" i="58"/>
  <c r="I3973" i="58"/>
  <c r="J3973" i="58" s="1"/>
  <c r="H3973" i="58"/>
  <c r="P3972" i="58"/>
  <c r="O3972" i="58"/>
  <c r="L3972" i="58"/>
  <c r="I3972" i="58"/>
  <c r="J3972" i="58" s="1"/>
  <c r="H3972" i="58"/>
  <c r="P3971" i="58"/>
  <c r="O3971" i="58"/>
  <c r="L3971" i="58"/>
  <c r="I3971" i="58"/>
  <c r="J3971" i="58" s="1"/>
  <c r="H3971" i="58"/>
  <c r="P3970" i="58"/>
  <c r="O3970" i="58"/>
  <c r="L3970" i="58"/>
  <c r="I3970" i="58"/>
  <c r="J3970" i="58" s="1"/>
  <c r="H3970" i="58"/>
  <c r="P3969" i="58"/>
  <c r="O3969" i="58"/>
  <c r="L3969" i="58"/>
  <c r="I3969" i="58"/>
  <c r="J3969" i="58" s="1"/>
  <c r="H3969" i="58"/>
  <c r="P3968" i="58"/>
  <c r="O3968" i="58"/>
  <c r="L3968" i="58"/>
  <c r="I3968" i="58"/>
  <c r="J3968" i="58" s="1"/>
  <c r="H3968" i="58"/>
  <c r="P3967" i="58"/>
  <c r="O3967" i="58"/>
  <c r="L3967" i="58"/>
  <c r="I3967" i="58"/>
  <c r="J3967" i="58" s="1"/>
  <c r="H3967" i="58"/>
  <c r="P3966" i="58"/>
  <c r="O3966" i="58"/>
  <c r="L3966" i="58"/>
  <c r="I3966" i="58"/>
  <c r="J3966" i="58" s="1"/>
  <c r="H3966" i="58"/>
  <c r="P3965" i="58"/>
  <c r="O3965" i="58"/>
  <c r="L3965" i="58"/>
  <c r="I3965" i="58"/>
  <c r="J3965" i="58" s="1"/>
  <c r="H3965" i="58"/>
  <c r="P3964" i="58"/>
  <c r="O3964" i="58"/>
  <c r="L3964" i="58"/>
  <c r="I3964" i="58"/>
  <c r="J3964" i="58" s="1"/>
  <c r="H3964" i="58"/>
  <c r="P3963" i="58"/>
  <c r="O3963" i="58"/>
  <c r="L3963" i="58"/>
  <c r="I3963" i="58"/>
  <c r="J3963" i="58" s="1"/>
  <c r="H3963" i="58"/>
  <c r="P3962" i="58"/>
  <c r="O3962" i="58"/>
  <c r="L3962" i="58"/>
  <c r="I3962" i="58"/>
  <c r="J3962" i="58" s="1"/>
  <c r="H3962" i="58"/>
  <c r="P3961" i="58"/>
  <c r="O3961" i="58"/>
  <c r="L3961" i="58"/>
  <c r="I3961" i="58"/>
  <c r="J3961" i="58" s="1"/>
  <c r="H3961" i="58"/>
  <c r="P3960" i="58"/>
  <c r="O3960" i="58"/>
  <c r="L3960" i="58"/>
  <c r="I3960" i="58"/>
  <c r="J3960" i="58" s="1"/>
  <c r="H3960" i="58"/>
  <c r="P3959" i="58"/>
  <c r="O3959" i="58"/>
  <c r="L3959" i="58"/>
  <c r="I3959" i="58"/>
  <c r="J3959" i="58" s="1"/>
  <c r="H3959" i="58"/>
  <c r="P3958" i="58"/>
  <c r="O3958" i="58"/>
  <c r="L3958" i="58"/>
  <c r="I3958" i="58"/>
  <c r="J3958" i="58" s="1"/>
  <c r="H3958" i="58"/>
  <c r="P3957" i="58"/>
  <c r="O3957" i="58"/>
  <c r="L3957" i="58"/>
  <c r="I3957" i="58"/>
  <c r="J3957" i="58" s="1"/>
  <c r="H3957" i="58"/>
  <c r="P3956" i="58"/>
  <c r="O3956" i="58"/>
  <c r="L3956" i="58"/>
  <c r="I3956" i="58"/>
  <c r="J3956" i="58" s="1"/>
  <c r="H3956" i="58"/>
  <c r="P3955" i="58"/>
  <c r="O3955" i="58"/>
  <c r="L3955" i="58"/>
  <c r="I3955" i="58"/>
  <c r="J3955" i="58" s="1"/>
  <c r="H3955" i="58"/>
  <c r="P3954" i="58"/>
  <c r="O3954" i="58"/>
  <c r="L3954" i="58"/>
  <c r="I3954" i="58"/>
  <c r="J3954" i="58" s="1"/>
  <c r="H3954" i="58"/>
  <c r="P3953" i="58"/>
  <c r="O3953" i="58"/>
  <c r="L3953" i="58"/>
  <c r="I3953" i="58"/>
  <c r="J3953" i="58" s="1"/>
  <c r="H3953" i="58"/>
  <c r="P3952" i="58"/>
  <c r="O3952" i="58"/>
  <c r="L3952" i="58"/>
  <c r="I3952" i="58"/>
  <c r="J3952" i="58" s="1"/>
  <c r="H3952" i="58"/>
  <c r="P3951" i="58"/>
  <c r="O3951" i="58"/>
  <c r="L3951" i="58"/>
  <c r="I3951" i="58"/>
  <c r="J3951" i="58" s="1"/>
  <c r="H3951" i="58"/>
  <c r="P3950" i="58"/>
  <c r="O3950" i="58"/>
  <c r="L3950" i="58"/>
  <c r="I3950" i="58"/>
  <c r="J3950" i="58" s="1"/>
  <c r="H3950" i="58"/>
  <c r="P3949" i="58"/>
  <c r="O3949" i="58"/>
  <c r="L3949" i="58"/>
  <c r="I3949" i="58"/>
  <c r="J3949" i="58" s="1"/>
  <c r="H3949" i="58"/>
  <c r="P3948" i="58"/>
  <c r="O3948" i="58"/>
  <c r="L3948" i="58"/>
  <c r="I3948" i="58"/>
  <c r="J3948" i="58" s="1"/>
  <c r="H3948" i="58"/>
  <c r="P3947" i="58"/>
  <c r="O3947" i="58"/>
  <c r="L3947" i="58"/>
  <c r="I3947" i="58"/>
  <c r="J3947" i="58" s="1"/>
  <c r="H3947" i="58"/>
  <c r="P3946" i="58"/>
  <c r="O3946" i="58"/>
  <c r="L3946" i="58"/>
  <c r="I3946" i="58"/>
  <c r="J3946" i="58" s="1"/>
  <c r="H3946" i="58"/>
  <c r="P3945" i="58"/>
  <c r="O3945" i="58"/>
  <c r="L3945" i="58"/>
  <c r="I3945" i="58"/>
  <c r="J3945" i="58" s="1"/>
  <c r="H3945" i="58"/>
  <c r="P3944" i="58"/>
  <c r="O3944" i="58"/>
  <c r="L3944" i="58"/>
  <c r="I3944" i="58"/>
  <c r="J3944" i="58" s="1"/>
  <c r="H3944" i="58"/>
  <c r="P3943" i="58"/>
  <c r="O3943" i="58"/>
  <c r="L3943" i="58"/>
  <c r="I3943" i="58"/>
  <c r="J3943" i="58" s="1"/>
  <c r="H3943" i="58"/>
  <c r="P3942" i="58"/>
  <c r="O3942" i="58"/>
  <c r="L3942" i="58"/>
  <c r="I3942" i="58"/>
  <c r="J3942" i="58" s="1"/>
  <c r="H3942" i="58"/>
  <c r="P3941" i="58"/>
  <c r="O3941" i="58"/>
  <c r="L3941" i="58"/>
  <c r="I3941" i="58"/>
  <c r="J3941" i="58" s="1"/>
  <c r="H3941" i="58"/>
  <c r="P3940" i="58"/>
  <c r="O3940" i="58"/>
  <c r="L3940" i="58"/>
  <c r="I3940" i="58"/>
  <c r="J3940" i="58" s="1"/>
  <c r="H3940" i="58"/>
  <c r="P3939" i="58"/>
  <c r="O3939" i="58"/>
  <c r="L3939" i="58"/>
  <c r="I3939" i="58"/>
  <c r="J3939" i="58" s="1"/>
  <c r="H3939" i="58"/>
  <c r="P3938" i="58"/>
  <c r="O3938" i="58"/>
  <c r="L3938" i="58"/>
  <c r="I3938" i="58"/>
  <c r="J3938" i="58" s="1"/>
  <c r="H3938" i="58"/>
  <c r="P3937" i="58"/>
  <c r="O3937" i="58"/>
  <c r="L3937" i="58"/>
  <c r="I3937" i="58"/>
  <c r="J3937" i="58" s="1"/>
  <c r="H3937" i="58"/>
  <c r="P3936" i="58"/>
  <c r="O3936" i="58"/>
  <c r="L3936" i="58"/>
  <c r="I3936" i="58"/>
  <c r="J3936" i="58" s="1"/>
  <c r="H3936" i="58"/>
  <c r="P3935" i="58"/>
  <c r="O3935" i="58"/>
  <c r="L3935" i="58"/>
  <c r="I3935" i="58"/>
  <c r="J3935" i="58" s="1"/>
  <c r="H3935" i="58"/>
  <c r="P3934" i="58"/>
  <c r="O3934" i="58"/>
  <c r="L3934" i="58"/>
  <c r="I3934" i="58"/>
  <c r="J3934" i="58" s="1"/>
  <c r="H3934" i="58"/>
  <c r="P3933" i="58"/>
  <c r="O3933" i="58"/>
  <c r="L3933" i="58"/>
  <c r="I3933" i="58"/>
  <c r="J3933" i="58" s="1"/>
  <c r="H3933" i="58"/>
  <c r="P3932" i="58"/>
  <c r="O3932" i="58"/>
  <c r="L3932" i="58"/>
  <c r="I3932" i="58"/>
  <c r="J3932" i="58" s="1"/>
  <c r="H3932" i="58"/>
  <c r="P3931" i="58"/>
  <c r="O3931" i="58"/>
  <c r="L3931" i="58"/>
  <c r="I3931" i="58"/>
  <c r="J3931" i="58" s="1"/>
  <c r="H3931" i="58"/>
  <c r="P3930" i="58"/>
  <c r="O3930" i="58"/>
  <c r="L3930" i="58"/>
  <c r="I3930" i="58"/>
  <c r="J3930" i="58" s="1"/>
  <c r="H3930" i="58"/>
  <c r="P3929" i="58"/>
  <c r="O3929" i="58"/>
  <c r="L3929" i="58"/>
  <c r="I3929" i="58"/>
  <c r="J3929" i="58" s="1"/>
  <c r="H3929" i="58"/>
  <c r="P3928" i="58"/>
  <c r="O3928" i="58"/>
  <c r="L3928" i="58"/>
  <c r="I3928" i="58"/>
  <c r="J3928" i="58" s="1"/>
  <c r="H3928" i="58"/>
  <c r="P3927" i="58"/>
  <c r="O3927" i="58"/>
  <c r="L3927" i="58"/>
  <c r="I3927" i="58"/>
  <c r="J3927" i="58" s="1"/>
  <c r="H3927" i="58"/>
  <c r="P3926" i="58"/>
  <c r="O3926" i="58"/>
  <c r="L3926" i="58"/>
  <c r="I3926" i="58"/>
  <c r="J3926" i="58" s="1"/>
  <c r="H3926" i="58"/>
  <c r="P3925" i="58"/>
  <c r="O3925" i="58"/>
  <c r="L3925" i="58"/>
  <c r="I3925" i="58"/>
  <c r="J3925" i="58" s="1"/>
  <c r="H3925" i="58"/>
  <c r="P3924" i="58"/>
  <c r="O3924" i="58"/>
  <c r="L3924" i="58"/>
  <c r="I3924" i="58"/>
  <c r="J3924" i="58" s="1"/>
  <c r="H3924" i="58"/>
  <c r="P3923" i="58"/>
  <c r="O3923" i="58"/>
  <c r="L3923" i="58"/>
  <c r="I3923" i="58"/>
  <c r="J3923" i="58" s="1"/>
  <c r="H3923" i="58"/>
  <c r="P3922" i="58"/>
  <c r="O3922" i="58"/>
  <c r="L3922" i="58"/>
  <c r="I3922" i="58"/>
  <c r="J3922" i="58" s="1"/>
  <c r="H3922" i="58"/>
  <c r="P3921" i="58"/>
  <c r="O3921" i="58"/>
  <c r="L3921" i="58"/>
  <c r="I3921" i="58"/>
  <c r="J3921" i="58" s="1"/>
  <c r="H3921" i="58"/>
  <c r="P3920" i="58"/>
  <c r="O3920" i="58"/>
  <c r="L3920" i="58"/>
  <c r="I3920" i="58"/>
  <c r="J3920" i="58" s="1"/>
  <c r="H3920" i="58"/>
  <c r="P3919" i="58"/>
  <c r="O3919" i="58"/>
  <c r="L3919" i="58"/>
  <c r="I3919" i="58"/>
  <c r="J3919" i="58" s="1"/>
  <c r="H3919" i="58"/>
  <c r="P3918" i="58"/>
  <c r="O3918" i="58"/>
  <c r="L3918" i="58"/>
  <c r="I3918" i="58"/>
  <c r="J3918" i="58" s="1"/>
  <c r="H3918" i="58"/>
  <c r="P3917" i="58"/>
  <c r="O3917" i="58"/>
  <c r="L3917" i="58"/>
  <c r="I3917" i="58"/>
  <c r="J3917" i="58" s="1"/>
  <c r="H3917" i="58"/>
  <c r="P3916" i="58"/>
  <c r="O3916" i="58"/>
  <c r="L3916" i="58"/>
  <c r="I3916" i="58"/>
  <c r="J3916" i="58" s="1"/>
  <c r="H3916" i="58"/>
  <c r="P3915" i="58"/>
  <c r="O3915" i="58"/>
  <c r="L3915" i="58"/>
  <c r="I3915" i="58"/>
  <c r="J3915" i="58" s="1"/>
  <c r="H3915" i="58"/>
  <c r="P3914" i="58"/>
  <c r="O3914" i="58"/>
  <c r="L3914" i="58"/>
  <c r="I3914" i="58"/>
  <c r="J3914" i="58" s="1"/>
  <c r="H3914" i="58"/>
  <c r="P3913" i="58"/>
  <c r="O3913" i="58"/>
  <c r="L3913" i="58"/>
  <c r="I3913" i="58"/>
  <c r="J3913" i="58" s="1"/>
  <c r="H3913" i="58"/>
  <c r="P3912" i="58"/>
  <c r="O3912" i="58"/>
  <c r="L3912" i="58"/>
  <c r="I3912" i="58"/>
  <c r="J3912" i="58" s="1"/>
  <c r="H3912" i="58"/>
  <c r="P3911" i="58"/>
  <c r="O3911" i="58"/>
  <c r="L3911" i="58"/>
  <c r="I3911" i="58"/>
  <c r="J3911" i="58" s="1"/>
  <c r="H3911" i="58"/>
  <c r="P3910" i="58"/>
  <c r="O3910" i="58"/>
  <c r="L3910" i="58"/>
  <c r="I3910" i="58"/>
  <c r="J3910" i="58" s="1"/>
  <c r="H3910" i="58"/>
  <c r="P3909" i="58"/>
  <c r="O3909" i="58"/>
  <c r="L3909" i="58"/>
  <c r="I3909" i="58"/>
  <c r="J3909" i="58" s="1"/>
  <c r="H3909" i="58"/>
  <c r="P3908" i="58"/>
  <c r="O3908" i="58"/>
  <c r="L3908" i="58"/>
  <c r="I3908" i="58"/>
  <c r="J3908" i="58" s="1"/>
  <c r="H3908" i="58"/>
  <c r="P3907" i="58"/>
  <c r="O3907" i="58"/>
  <c r="L3907" i="58"/>
  <c r="I3907" i="58"/>
  <c r="J3907" i="58" s="1"/>
  <c r="H3907" i="58"/>
  <c r="P3906" i="58"/>
  <c r="O3906" i="58"/>
  <c r="L3906" i="58"/>
  <c r="I3906" i="58"/>
  <c r="J3906" i="58" s="1"/>
  <c r="H3906" i="58"/>
  <c r="P3905" i="58"/>
  <c r="O3905" i="58"/>
  <c r="L3905" i="58"/>
  <c r="I3905" i="58"/>
  <c r="J3905" i="58" s="1"/>
  <c r="H3905" i="58"/>
  <c r="P3904" i="58"/>
  <c r="O3904" i="58"/>
  <c r="L3904" i="58"/>
  <c r="I3904" i="58"/>
  <c r="J3904" i="58" s="1"/>
  <c r="H3904" i="58"/>
  <c r="P3903" i="58"/>
  <c r="O3903" i="58"/>
  <c r="L3903" i="58"/>
  <c r="I3903" i="58"/>
  <c r="J3903" i="58" s="1"/>
  <c r="H3903" i="58"/>
  <c r="P3902" i="58"/>
  <c r="O3902" i="58"/>
  <c r="L3902" i="58"/>
  <c r="I3902" i="58"/>
  <c r="J3902" i="58" s="1"/>
  <c r="H3902" i="58"/>
  <c r="P3901" i="58"/>
  <c r="O3901" i="58"/>
  <c r="L3901" i="58"/>
  <c r="I3901" i="58"/>
  <c r="J3901" i="58" s="1"/>
  <c r="H3901" i="58"/>
  <c r="P3900" i="58"/>
  <c r="O3900" i="58"/>
  <c r="L3900" i="58"/>
  <c r="I3900" i="58"/>
  <c r="J3900" i="58" s="1"/>
  <c r="H3900" i="58"/>
  <c r="P3899" i="58"/>
  <c r="O3899" i="58"/>
  <c r="L3899" i="58"/>
  <c r="I3899" i="58"/>
  <c r="J3899" i="58" s="1"/>
  <c r="H3899" i="58"/>
  <c r="P3898" i="58"/>
  <c r="O3898" i="58"/>
  <c r="L3898" i="58"/>
  <c r="I3898" i="58"/>
  <c r="J3898" i="58" s="1"/>
  <c r="H3898" i="58"/>
  <c r="P3897" i="58"/>
  <c r="O3897" i="58"/>
  <c r="L3897" i="58"/>
  <c r="I3897" i="58"/>
  <c r="J3897" i="58" s="1"/>
  <c r="H3897" i="58"/>
  <c r="P3896" i="58"/>
  <c r="O3896" i="58"/>
  <c r="L3896" i="58"/>
  <c r="I3896" i="58"/>
  <c r="J3896" i="58" s="1"/>
  <c r="H3896" i="58"/>
  <c r="P3895" i="58"/>
  <c r="O3895" i="58"/>
  <c r="L3895" i="58"/>
  <c r="I3895" i="58"/>
  <c r="J3895" i="58" s="1"/>
  <c r="H3895" i="58"/>
  <c r="P3894" i="58"/>
  <c r="O3894" i="58"/>
  <c r="L3894" i="58"/>
  <c r="I3894" i="58"/>
  <c r="J3894" i="58" s="1"/>
  <c r="H3894" i="58"/>
  <c r="P3893" i="58"/>
  <c r="O3893" i="58"/>
  <c r="L3893" i="58"/>
  <c r="I3893" i="58"/>
  <c r="J3893" i="58" s="1"/>
  <c r="H3893" i="58"/>
  <c r="P3892" i="58"/>
  <c r="O3892" i="58"/>
  <c r="L3892" i="58"/>
  <c r="I3892" i="58"/>
  <c r="J3892" i="58" s="1"/>
  <c r="H3892" i="58"/>
  <c r="P3891" i="58"/>
  <c r="O3891" i="58"/>
  <c r="L3891" i="58"/>
  <c r="I3891" i="58"/>
  <c r="J3891" i="58" s="1"/>
  <c r="H3891" i="58"/>
  <c r="P3890" i="58"/>
  <c r="O3890" i="58"/>
  <c r="L3890" i="58"/>
  <c r="I3890" i="58"/>
  <c r="J3890" i="58" s="1"/>
  <c r="H3890" i="58"/>
  <c r="P3889" i="58"/>
  <c r="O3889" i="58"/>
  <c r="L3889" i="58"/>
  <c r="I3889" i="58"/>
  <c r="J3889" i="58" s="1"/>
  <c r="H3889" i="58"/>
  <c r="P3888" i="58"/>
  <c r="O3888" i="58"/>
  <c r="L3888" i="58"/>
  <c r="I3888" i="58"/>
  <c r="J3888" i="58" s="1"/>
  <c r="H3888" i="58"/>
  <c r="P3887" i="58"/>
  <c r="O3887" i="58"/>
  <c r="L3887" i="58"/>
  <c r="I3887" i="58"/>
  <c r="J3887" i="58" s="1"/>
  <c r="H3887" i="58"/>
  <c r="P3886" i="58"/>
  <c r="O3886" i="58"/>
  <c r="L3886" i="58"/>
  <c r="I3886" i="58"/>
  <c r="J3886" i="58" s="1"/>
  <c r="H3886" i="58"/>
  <c r="P3885" i="58"/>
  <c r="O3885" i="58"/>
  <c r="L3885" i="58"/>
  <c r="I3885" i="58"/>
  <c r="J3885" i="58" s="1"/>
  <c r="H3885" i="58"/>
  <c r="P3884" i="58"/>
  <c r="O3884" i="58"/>
  <c r="L3884" i="58"/>
  <c r="I3884" i="58"/>
  <c r="J3884" i="58" s="1"/>
  <c r="H3884" i="58"/>
  <c r="P3883" i="58"/>
  <c r="O3883" i="58"/>
  <c r="L3883" i="58"/>
  <c r="I3883" i="58"/>
  <c r="J3883" i="58" s="1"/>
  <c r="H3883" i="58"/>
  <c r="P3882" i="58"/>
  <c r="O3882" i="58"/>
  <c r="L3882" i="58"/>
  <c r="I3882" i="58"/>
  <c r="J3882" i="58" s="1"/>
  <c r="H3882" i="58"/>
  <c r="P3881" i="58"/>
  <c r="O3881" i="58"/>
  <c r="L3881" i="58"/>
  <c r="I3881" i="58"/>
  <c r="J3881" i="58" s="1"/>
  <c r="H3881" i="58"/>
  <c r="P3880" i="58"/>
  <c r="O3880" i="58"/>
  <c r="L3880" i="58"/>
  <c r="I3880" i="58"/>
  <c r="J3880" i="58" s="1"/>
  <c r="H3880" i="58"/>
  <c r="P3879" i="58"/>
  <c r="O3879" i="58"/>
  <c r="L3879" i="58"/>
  <c r="I3879" i="58"/>
  <c r="J3879" i="58" s="1"/>
  <c r="H3879" i="58"/>
  <c r="P3878" i="58"/>
  <c r="O3878" i="58"/>
  <c r="L3878" i="58"/>
  <c r="I3878" i="58"/>
  <c r="J3878" i="58" s="1"/>
  <c r="H3878" i="58"/>
  <c r="P3877" i="58"/>
  <c r="O3877" i="58"/>
  <c r="L3877" i="58"/>
  <c r="I3877" i="58"/>
  <c r="J3877" i="58" s="1"/>
  <c r="H3877" i="58"/>
  <c r="P3876" i="58"/>
  <c r="O3876" i="58"/>
  <c r="L3876" i="58"/>
  <c r="I3876" i="58"/>
  <c r="J3876" i="58" s="1"/>
  <c r="H3876" i="58"/>
  <c r="P3875" i="58"/>
  <c r="O3875" i="58"/>
  <c r="L3875" i="58"/>
  <c r="I3875" i="58"/>
  <c r="J3875" i="58" s="1"/>
  <c r="H3875" i="58"/>
  <c r="P3874" i="58"/>
  <c r="O3874" i="58"/>
  <c r="L3874" i="58"/>
  <c r="I3874" i="58"/>
  <c r="J3874" i="58" s="1"/>
  <c r="H3874" i="58"/>
  <c r="P3873" i="58"/>
  <c r="O3873" i="58"/>
  <c r="L3873" i="58"/>
  <c r="I3873" i="58"/>
  <c r="J3873" i="58" s="1"/>
  <c r="H3873" i="58"/>
  <c r="P3872" i="58"/>
  <c r="O3872" i="58"/>
  <c r="L3872" i="58"/>
  <c r="I3872" i="58"/>
  <c r="J3872" i="58" s="1"/>
  <c r="H3872" i="58"/>
  <c r="P3871" i="58"/>
  <c r="O3871" i="58"/>
  <c r="L3871" i="58"/>
  <c r="I3871" i="58"/>
  <c r="J3871" i="58" s="1"/>
  <c r="H3871" i="58"/>
  <c r="P3870" i="58"/>
  <c r="O3870" i="58"/>
  <c r="L3870" i="58"/>
  <c r="I3870" i="58"/>
  <c r="J3870" i="58" s="1"/>
  <c r="H3870" i="58"/>
  <c r="P3869" i="58"/>
  <c r="O3869" i="58"/>
  <c r="L3869" i="58"/>
  <c r="I3869" i="58"/>
  <c r="J3869" i="58" s="1"/>
  <c r="H3869" i="58"/>
  <c r="P3868" i="58"/>
  <c r="O3868" i="58"/>
  <c r="L3868" i="58"/>
  <c r="I3868" i="58"/>
  <c r="J3868" i="58" s="1"/>
  <c r="H3868" i="58"/>
  <c r="P3867" i="58"/>
  <c r="O3867" i="58"/>
  <c r="L3867" i="58"/>
  <c r="I3867" i="58"/>
  <c r="J3867" i="58" s="1"/>
  <c r="H3867" i="58"/>
  <c r="P3866" i="58"/>
  <c r="O3866" i="58"/>
  <c r="L3866" i="58"/>
  <c r="I3866" i="58"/>
  <c r="J3866" i="58" s="1"/>
  <c r="H3866" i="58"/>
  <c r="P3865" i="58"/>
  <c r="O3865" i="58"/>
  <c r="L3865" i="58"/>
  <c r="I3865" i="58"/>
  <c r="J3865" i="58" s="1"/>
  <c r="H3865" i="58"/>
  <c r="P3864" i="58"/>
  <c r="O3864" i="58"/>
  <c r="L3864" i="58"/>
  <c r="I3864" i="58"/>
  <c r="J3864" i="58" s="1"/>
  <c r="H3864" i="58"/>
  <c r="P3863" i="58"/>
  <c r="O3863" i="58"/>
  <c r="L3863" i="58"/>
  <c r="I3863" i="58"/>
  <c r="J3863" i="58" s="1"/>
  <c r="H3863" i="58"/>
  <c r="P3862" i="58"/>
  <c r="O3862" i="58"/>
  <c r="L3862" i="58"/>
  <c r="I3862" i="58"/>
  <c r="J3862" i="58" s="1"/>
  <c r="H3862" i="58"/>
  <c r="P3861" i="58"/>
  <c r="O3861" i="58"/>
  <c r="L3861" i="58"/>
  <c r="I3861" i="58"/>
  <c r="J3861" i="58" s="1"/>
  <c r="H3861" i="58"/>
  <c r="P3860" i="58"/>
  <c r="O3860" i="58"/>
  <c r="L3860" i="58"/>
  <c r="I3860" i="58"/>
  <c r="J3860" i="58" s="1"/>
  <c r="H3860" i="58"/>
  <c r="P3859" i="58"/>
  <c r="O3859" i="58"/>
  <c r="L3859" i="58"/>
  <c r="I3859" i="58"/>
  <c r="J3859" i="58" s="1"/>
  <c r="H3859" i="58"/>
  <c r="P3858" i="58"/>
  <c r="O3858" i="58"/>
  <c r="L3858" i="58"/>
  <c r="I3858" i="58"/>
  <c r="J3858" i="58" s="1"/>
  <c r="H3858" i="58"/>
  <c r="P3857" i="58"/>
  <c r="O3857" i="58"/>
  <c r="L3857" i="58"/>
  <c r="I3857" i="58"/>
  <c r="J3857" i="58" s="1"/>
  <c r="H3857" i="58"/>
  <c r="P3856" i="58"/>
  <c r="O3856" i="58"/>
  <c r="L3856" i="58"/>
  <c r="I3856" i="58"/>
  <c r="J3856" i="58" s="1"/>
  <c r="H3856" i="58"/>
  <c r="P3855" i="58"/>
  <c r="O3855" i="58"/>
  <c r="L3855" i="58"/>
  <c r="I3855" i="58"/>
  <c r="J3855" i="58" s="1"/>
  <c r="H3855" i="58"/>
  <c r="P3854" i="58"/>
  <c r="O3854" i="58"/>
  <c r="L3854" i="58"/>
  <c r="I3854" i="58"/>
  <c r="J3854" i="58" s="1"/>
  <c r="H3854" i="58"/>
  <c r="P3853" i="58"/>
  <c r="O3853" i="58"/>
  <c r="L3853" i="58"/>
  <c r="I3853" i="58"/>
  <c r="J3853" i="58" s="1"/>
  <c r="H3853" i="58"/>
  <c r="P3852" i="58"/>
  <c r="O3852" i="58"/>
  <c r="L3852" i="58"/>
  <c r="I3852" i="58"/>
  <c r="J3852" i="58" s="1"/>
  <c r="H3852" i="58"/>
  <c r="P3851" i="58"/>
  <c r="O3851" i="58"/>
  <c r="L3851" i="58"/>
  <c r="I3851" i="58"/>
  <c r="J3851" i="58" s="1"/>
  <c r="H3851" i="58"/>
  <c r="P3850" i="58"/>
  <c r="O3850" i="58"/>
  <c r="L3850" i="58"/>
  <c r="I3850" i="58"/>
  <c r="J3850" i="58" s="1"/>
  <c r="H3850" i="58"/>
  <c r="P3849" i="58"/>
  <c r="O3849" i="58"/>
  <c r="L3849" i="58"/>
  <c r="I3849" i="58"/>
  <c r="J3849" i="58" s="1"/>
  <c r="H3849" i="58"/>
  <c r="P3848" i="58"/>
  <c r="O3848" i="58"/>
  <c r="L3848" i="58"/>
  <c r="I3848" i="58"/>
  <c r="J3848" i="58" s="1"/>
  <c r="H3848" i="58"/>
  <c r="P3847" i="58"/>
  <c r="O3847" i="58"/>
  <c r="L3847" i="58"/>
  <c r="I3847" i="58"/>
  <c r="J3847" i="58" s="1"/>
  <c r="H3847" i="58"/>
  <c r="P3846" i="58"/>
  <c r="O3846" i="58"/>
  <c r="L3846" i="58"/>
  <c r="I3846" i="58"/>
  <c r="J3846" i="58" s="1"/>
  <c r="H3846" i="58"/>
  <c r="P3845" i="58"/>
  <c r="O3845" i="58"/>
  <c r="L3845" i="58"/>
  <c r="I3845" i="58"/>
  <c r="J3845" i="58" s="1"/>
  <c r="H3845" i="58"/>
  <c r="P3844" i="58"/>
  <c r="O3844" i="58"/>
  <c r="L3844" i="58"/>
  <c r="I3844" i="58"/>
  <c r="J3844" i="58" s="1"/>
  <c r="H3844" i="58"/>
  <c r="P3843" i="58"/>
  <c r="O3843" i="58"/>
  <c r="L3843" i="58"/>
  <c r="I3843" i="58"/>
  <c r="J3843" i="58" s="1"/>
  <c r="H3843" i="58"/>
  <c r="P3842" i="58"/>
  <c r="O3842" i="58"/>
  <c r="L3842" i="58"/>
  <c r="I3842" i="58"/>
  <c r="J3842" i="58" s="1"/>
  <c r="H3842" i="58"/>
  <c r="P3841" i="58"/>
  <c r="O3841" i="58"/>
  <c r="L3841" i="58"/>
  <c r="I3841" i="58"/>
  <c r="J3841" i="58" s="1"/>
  <c r="H3841" i="58"/>
  <c r="P3840" i="58"/>
  <c r="O3840" i="58"/>
  <c r="L3840" i="58"/>
  <c r="I3840" i="58"/>
  <c r="J3840" i="58" s="1"/>
  <c r="H3840" i="58"/>
  <c r="P3839" i="58"/>
  <c r="O3839" i="58"/>
  <c r="L3839" i="58"/>
  <c r="I3839" i="58"/>
  <c r="J3839" i="58" s="1"/>
  <c r="H3839" i="58"/>
  <c r="P3838" i="58"/>
  <c r="O3838" i="58"/>
  <c r="L3838" i="58"/>
  <c r="I3838" i="58"/>
  <c r="J3838" i="58" s="1"/>
  <c r="H3838" i="58"/>
  <c r="P3837" i="58"/>
  <c r="O3837" i="58"/>
  <c r="L3837" i="58"/>
  <c r="I3837" i="58"/>
  <c r="J3837" i="58" s="1"/>
  <c r="H3837" i="58"/>
  <c r="P3836" i="58"/>
  <c r="O3836" i="58"/>
  <c r="L3836" i="58"/>
  <c r="I3836" i="58"/>
  <c r="J3836" i="58" s="1"/>
  <c r="H3836" i="58"/>
  <c r="P3835" i="58"/>
  <c r="O3835" i="58"/>
  <c r="L3835" i="58"/>
  <c r="I3835" i="58"/>
  <c r="J3835" i="58" s="1"/>
  <c r="H3835" i="58"/>
  <c r="P3834" i="58"/>
  <c r="O3834" i="58"/>
  <c r="L3834" i="58"/>
  <c r="I3834" i="58"/>
  <c r="J3834" i="58" s="1"/>
  <c r="H3834" i="58"/>
  <c r="P3833" i="58"/>
  <c r="O3833" i="58"/>
  <c r="L3833" i="58"/>
  <c r="I3833" i="58"/>
  <c r="J3833" i="58" s="1"/>
  <c r="H3833" i="58"/>
  <c r="P3832" i="58"/>
  <c r="O3832" i="58"/>
  <c r="L3832" i="58"/>
  <c r="I3832" i="58"/>
  <c r="J3832" i="58" s="1"/>
  <c r="H3832" i="58"/>
  <c r="P3831" i="58"/>
  <c r="O3831" i="58"/>
  <c r="L3831" i="58"/>
  <c r="I3831" i="58"/>
  <c r="J3831" i="58" s="1"/>
  <c r="H3831" i="58"/>
  <c r="P3830" i="58"/>
  <c r="O3830" i="58"/>
  <c r="L3830" i="58"/>
  <c r="I3830" i="58"/>
  <c r="J3830" i="58" s="1"/>
  <c r="H3830" i="58"/>
  <c r="P3829" i="58"/>
  <c r="O3829" i="58"/>
  <c r="L3829" i="58"/>
  <c r="I3829" i="58"/>
  <c r="J3829" i="58" s="1"/>
  <c r="H3829" i="58"/>
  <c r="P3828" i="58"/>
  <c r="O3828" i="58"/>
  <c r="L3828" i="58"/>
  <c r="I3828" i="58"/>
  <c r="J3828" i="58" s="1"/>
  <c r="H3828" i="58"/>
  <c r="P3827" i="58"/>
  <c r="O3827" i="58"/>
  <c r="L3827" i="58"/>
  <c r="I3827" i="58"/>
  <c r="J3827" i="58" s="1"/>
  <c r="H3827" i="58"/>
  <c r="P3826" i="58"/>
  <c r="O3826" i="58"/>
  <c r="L3826" i="58"/>
  <c r="I3826" i="58"/>
  <c r="J3826" i="58" s="1"/>
  <c r="H3826" i="58"/>
  <c r="P3825" i="58"/>
  <c r="O3825" i="58"/>
  <c r="L3825" i="58"/>
  <c r="I3825" i="58"/>
  <c r="J3825" i="58" s="1"/>
  <c r="H3825" i="58"/>
  <c r="P3824" i="58"/>
  <c r="O3824" i="58"/>
  <c r="L3824" i="58"/>
  <c r="I3824" i="58"/>
  <c r="J3824" i="58" s="1"/>
  <c r="H3824" i="58"/>
  <c r="P3823" i="58"/>
  <c r="O3823" i="58"/>
  <c r="L3823" i="58"/>
  <c r="I3823" i="58"/>
  <c r="J3823" i="58" s="1"/>
  <c r="H3823" i="58"/>
  <c r="P3822" i="58"/>
  <c r="O3822" i="58"/>
  <c r="L3822" i="58"/>
  <c r="I3822" i="58"/>
  <c r="J3822" i="58" s="1"/>
  <c r="H3822" i="58"/>
  <c r="P3821" i="58"/>
  <c r="O3821" i="58"/>
  <c r="L3821" i="58"/>
  <c r="I3821" i="58"/>
  <c r="J3821" i="58" s="1"/>
  <c r="H3821" i="58"/>
  <c r="P3820" i="58"/>
  <c r="O3820" i="58"/>
  <c r="L3820" i="58"/>
  <c r="I3820" i="58"/>
  <c r="J3820" i="58" s="1"/>
  <c r="H3820" i="58"/>
  <c r="P3819" i="58"/>
  <c r="O3819" i="58"/>
  <c r="L3819" i="58"/>
  <c r="I3819" i="58"/>
  <c r="J3819" i="58" s="1"/>
  <c r="H3819" i="58"/>
  <c r="P3818" i="58"/>
  <c r="O3818" i="58"/>
  <c r="L3818" i="58"/>
  <c r="I3818" i="58"/>
  <c r="J3818" i="58" s="1"/>
  <c r="H3818" i="58"/>
  <c r="P3817" i="58"/>
  <c r="O3817" i="58"/>
  <c r="L3817" i="58"/>
  <c r="I3817" i="58"/>
  <c r="J3817" i="58" s="1"/>
  <c r="H3817" i="58"/>
  <c r="P3816" i="58"/>
  <c r="O3816" i="58"/>
  <c r="L3816" i="58"/>
  <c r="I3816" i="58"/>
  <c r="J3816" i="58" s="1"/>
  <c r="H3816" i="58"/>
  <c r="P3815" i="58"/>
  <c r="O3815" i="58"/>
  <c r="L3815" i="58"/>
  <c r="I3815" i="58"/>
  <c r="J3815" i="58" s="1"/>
  <c r="H3815" i="58"/>
  <c r="P3814" i="58"/>
  <c r="O3814" i="58"/>
  <c r="L3814" i="58"/>
  <c r="I3814" i="58"/>
  <c r="J3814" i="58" s="1"/>
  <c r="H3814" i="58"/>
  <c r="P3813" i="58"/>
  <c r="O3813" i="58"/>
  <c r="L3813" i="58"/>
  <c r="I3813" i="58"/>
  <c r="J3813" i="58" s="1"/>
  <c r="H3813" i="58"/>
  <c r="P3812" i="58"/>
  <c r="O3812" i="58"/>
  <c r="L3812" i="58"/>
  <c r="I3812" i="58"/>
  <c r="J3812" i="58" s="1"/>
  <c r="H3812" i="58"/>
  <c r="P3811" i="58"/>
  <c r="O3811" i="58"/>
  <c r="L3811" i="58"/>
  <c r="I3811" i="58"/>
  <c r="J3811" i="58" s="1"/>
  <c r="H3811" i="58"/>
  <c r="P3810" i="58"/>
  <c r="O3810" i="58"/>
  <c r="L3810" i="58"/>
  <c r="I3810" i="58"/>
  <c r="J3810" i="58" s="1"/>
  <c r="H3810" i="58"/>
  <c r="P3809" i="58"/>
  <c r="O3809" i="58"/>
  <c r="L3809" i="58"/>
  <c r="I3809" i="58"/>
  <c r="J3809" i="58" s="1"/>
  <c r="H3809" i="58"/>
  <c r="P3808" i="58"/>
  <c r="O3808" i="58"/>
  <c r="L3808" i="58"/>
  <c r="I3808" i="58"/>
  <c r="J3808" i="58" s="1"/>
  <c r="H3808" i="58"/>
  <c r="P3807" i="58"/>
  <c r="O3807" i="58"/>
  <c r="L3807" i="58"/>
  <c r="I3807" i="58"/>
  <c r="J3807" i="58" s="1"/>
  <c r="H3807" i="58"/>
  <c r="P3806" i="58"/>
  <c r="O3806" i="58"/>
  <c r="L3806" i="58"/>
  <c r="I3806" i="58"/>
  <c r="J3806" i="58" s="1"/>
  <c r="H3806" i="58"/>
  <c r="P3805" i="58"/>
  <c r="O3805" i="58"/>
  <c r="L3805" i="58"/>
  <c r="I3805" i="58"/>
  <c r="J3805" i="58" s="1"/>
  <c r="H3805" i="58"/>
  <c r="P3804" i="58"/>
  <c r="O3804" i="58"/>
  <c r="L3804" i="58"/>
  <c r="I3804" i="58"/>
  <c r="J3804" i="58" s="1"/>
  <c r="H3804" i="58"/>
  <c r="P3803" i="58"/>
  <c r="O3803" i="58"/>
  <c r="L3803" i="58"/>
  <c r="I3803" i="58"/>
  <c r="J3803" i="58" s="1"/>
  <c r="H3803" i="58"/>
  <c r="P3802" i="58"/>
  <c r="O3802" i="58"/>
  <c r="L3802" i="58"/>
  <c r="I3802" i="58"/>
  <c r="J3802" i="58" s="1"/>
  <c r="H3802" i="58"/>
  <c r="P3801" i="58"/>
  <c r="O3801" i="58"/>
  <c r="L3801" i="58"/>
  <c r="I3801" i="58"/>
  <c r="J3801" i="58" s="1"/>
  <c r="H3801" i="58"/>
  <c r="P3800" i="58"/>
  <c r="O3800" i="58"/>
  <c r="L3800" i="58"/>
  <c r="I3800" i="58"/>
  <c r="J3800" i="58" s="1"/>
  <c r="H3800" i="58"/>
  <c r="P3799" i="58"/>
  <c r="O3799" i="58"/>
  <c r="L3799" i="58"/>
  <c r="I3799" i="58"/>
  <c r="J3799" i="58" s="1"/>
  <c r="H3799" i="58"/>
  <c r="P3798" i="58"/>
  <c r="O3798" i="58"/>
  <c r="L3798" i="58"/>
  <c r="I3798" i="58"/>
  <c r="J3798" i="58" s="1"/>
  <c r="H3798" i="58"/>
  <c r="P3797" i="58"/>
  <c r="O3797" i="58"/>
  <c r="L3797" i="58"/>
  <c r="I3797" i="58"/>
  <c r="J3797" i="58" s="1"/>
  <c r="H3797" i="58"/>
  <c r="P3796" i="58"/>
  <c r="O3796" i="58"/>
  <c r="L3796" i="58"/>
  <c r="I3796" i="58"/>
  <c r="J3796" i="58" s="1"/>
  <c r="H3796" i="58"/>
  <c r="P3795" i="58"/>
  <c r="O3795" i="58"/>
  <c r="L3795" i="58"/>
  <c r="I3795" i="58"/>
  <c r="J3795" i="58" s="1"/>
  <c r="H3795" i="58"/>
  <c r="P3794" i="58"/>
  <c r="O3794" i="58"/>
  <c r="L3794" i="58"/>
  <c r="I3794" i="58"/>
  <c r="J3794" i="58" s="1"/>
  <c r="H3794" i="58"/>
  <c r="P3793" i="58"/>
  <c r="O3793" i="58"/>
  <c r="L3793" i="58"/>
  <c r="I3793" i="58"/>
  <c r="J3793" i="58" s="1"/>
  <c r="H3793" i="58"/>
  <c r="P3792" i="58"/>
  <c r="O3792" i="58"/>
  <c r="L3792" i="58"/>
  <c r="I3792" i="58"/>
  <c r="J3792" i="58" s="1"/>
  <c r="H3792" i="58"/>
  <c r="P3791" i="58"/>
  <c r="O3791" i="58"/>
  <c r="L3791" i="58"/>
  <c r="I3791" i="58"/>
  <c r="J3791" i="58" s="1"/>
  <c r="H3791" i="58"/>
  <c r="P3790" i="58"/>
  <c r="O3790" i="58"/>
  <c r="L3790" i="58"/>
  <c r="I3790" i="58"/>
  <c r="J3790" i="58" s="1"/>
  <c r="H3790" i="58"/>
  <c r="P3789" i="58"/>
  <c r="O3789" i="58"/>
  <c r="L3789" i="58"/>
  <c r="I3789" i="58"/>
  <c r="J3789" i="58" s="1"/>
  <c r="H3789" i="58"/>
  <c r="P3788" i="58"/>
  <c r="O3788" i="58"/>
  <c r="L3788" i="58"/>
  <c r="I3788" i="58"/>
  <c r="J3788" i="58" s="1"/>
  <c r="H3788" i="58"/>
  <c r="P3787" i="58"/>
  <c r="O3787" i="58"/>
  <c r="L3787" i="58"/>
  <c r="I3787" i="58"/>
  <c r="J3787" i="58" s="1"/>
  <c r="H3787" i="58"/>
  <c r="P3786" i="58"/>
  <c r="O3786" i="58"/>
  <c r="L3786" i="58"/>
  <c r="I3786" i="58"/>
  <c r="J3786" i="58" s="1"/>
  <c r="H3786" i="58"/>
  <c r="P3785" i="58"/>
  <c r="O3785" i="58"/>
  <c r="L3785" i="58"/>
  <c r="I3785" i="58"/>
  <c r="J3785" i="58" s="1"/>
  <c r="H3785" i="58"/>
  <c r="P3784" i="58"/>
  <c r="O3784" i="58"/>
  <c r="L3784" i="58"/>
  <c r="I3784" i="58"/>
  <c r="J3784" i="58" s="1"/>
  <c r="H3784" i="58"/>
  <c r="P3783" i="58"/>
  <c r="O3783" i="58"/>
  <c r="L3783" i="58"/>
  <c r="I3783" i="58"/>
  <c r="J3783" i="58" s="1"/>
  <c r="H3783" i="58"/>
  <c r="P3782" i="58"/>
  <c r="O3782" i="58"/>
  <c r="L3782" i="58"/>
  <c r="I3782" i="58"/>
  <c r="J3782" i="58" s="1"/>
  <c r="H3782" i="58"/>
  <c r="P3781" i="58"/>
  <c r="O3781" i="58"/>
  <c r="L3781" i="58"/>
  <c r="I3781" i="58"/>
  <c r="J3781" i="58" s="1"/>
  <c r="H3781" i="58"/>
  <c r="P3780" i="58"/>
  <c r="O3780" i="58"/>
  <c r="L3780" i="58"/>
  <c r="I3780" i="58"/>
  <c r="J3780" i="58" s="1"/>
  <c r="H3780" i="58"/>
  <c r="P3779" i="58"/>
  <c r="O3779" i="58"/>
  <c r="L3779" i="58"/>
  <c r="I3779" i="58"/>
  <c r="J3779" i="58" s="1"/>
  <c r="H3779" i="58"/>
  <c r="P3778" i="58"/>
  <c r="O3778" i="58"/>
  <c r="L3778" i="58"/>
  <c r="I3778" i="58"/>
  <c r="J3778" i="58" s="1"/>
  <c r="H3778" i="58"/>
  <c r="P3777" i="58"/>
  <c r="O3777" i="58"/>
  <c r="L3777" i="58"/>
  <c r="I3777" i="58"/>
  <c r="J3777" i="58" s="1"/>
  <c r="H3777" i="58"/>
  <c r="P3776" i="58"/>
  <c r="O3776" i="58"/>
  <c r="L3776" i="58"/>
  <c r="I3776" i="58"/>
  <c r="J3776" i="58" s="1"/>
  <c r="H3776" i="58"/>
  <c r="P3775" i="58"/>
  <c r="O3775" i="58"/>
  <c r="L3775" i="58"/>
  <c r="I3775" i="58"/>
  <c r="J3775" i="58" s="1"/>
  <c r="H3775" i="58"/>
  <c r="P3774" i="58"/>
  <c r="O3774" i="58"/>
  <c r="L3774" i="58"/>
  <c r="I3774" i="58"/>
  <c r="J3774" i="58" s="1"/>
  <c r="H3774" i="58"/>
  <c r="P3773" i="58"/>
  <c r="O3773" i="58"/>
  <c r="L3773" i="58"/>
  <c r="I3773" i="58"/>
  <c r="J3773" i="58" s="1"/>
  <c r="H3773" i="58"/>
  <c r="P3772" i="58"/>
  <c r="O3772" i="58"/>
  <c r="L3772" i="58"/>
  <c r="I3772" i="58"/>
  <c r="J3772" i="58" s="1"/>
  <c r="H3772" i="58"/>
  <c r="P3771" i="58"/>
  <c r="O3771" i="58"/>
  <c r="L3771" i="58"/>
  <c r="I3771" i="58"/>
  <c r="J3771" i="58" s="1"/>
  <c r="H3771" i="58"/>
  <c r="P3770" i="58"/>
  <c r="O3770" i="58"/>
  <c r="L3770" i="58"/>
  <c r="I3770" i="58"/>
  <c r="J3770" i="58" s="1"/>
  <c r="H3770" i="58"/>
  <c r="P3769" i="58"/>
  <c r="O3769" i="58"/>
  <c r="L3769" i="58"/>
  <c r="I3769" i="58"/>
  <c r="J3769" i="58" s="1"/>
  <c r="H3769" i="58"/>
  <c r="P3768" i="58"/>
  <c r="O3768" i="58"/>
  <c r="L3768" i="58"/>
  <c r="I3768" i="58"/>
  <c r="J3768" i="58" s="1"/>
  <c r="H3768" i="58"/>
  <c r="P3767" i="58"/>
  <c r="O3767" i="58"/>
  <c r="L3767" i="58"/>
  <c r="I3767" i="58"/>
  <c r="J3767" i="58" s="1"/>
  <c r="H3767" i="58"/>
  <c r="P3766" i="58"/>
  <c r="O3766" i="58"/>
  <c r="L3766" i="58"/>
  <c r="I3766" i="58"/>
  <c r="J3766" i="58" s="1"/>
  <c r="H3766" i="58"/>
  <c r="P3765" i="58"/>
  <c r="O3765" i="58"/>
  <c r="L3765" i="58"/>
  <c r="I3765" i="58"/>
  <c r="J3765" i="58" s="1"/>
  <c r="H3765" i="58"/>
  <c r="P3764" i="58"/>
  <c r="O3764" i="58"/>
  <c r="L3764" i="58"/>
  <c r="I3764" i="58"/>
  <c r="J3764" i="58" s="1"/>
  <c r="H3764" i="58"/>
  <c r="P3763" i="58"/>
  <c r="O3763" i="58"/>
  <c r="L3763" i="58"/>
  <c r="I3763" i="58"/>
  <c r="J3763" i="58" s="1"/>
  <c r="H3763" i="58"/>
  <c r="P3762" i="58"/>
  <c r="O3762" i="58"/>
  <c r="L3762" i="58"/>
  <c r="I3762" i="58"/>
  <c r="J3762" i="58" s="1"/>
  <c r="H3762" i="58"/>
  <c r="P3761" i="58"/>
  <c r="O3761" i="58"/>
  <c r="L3761" i="58"/>
  <c r="I3761" i="58"/>
  <c r="J3761" i="58" s="1"/>
  <c r="H3761" i="58"/>
  <c r="P3760" i="58"/>
  <c r="O3760" i="58"/>
  <c r="L3760" i="58"/>
  <c r="I3760" i="58"/>
  <c r="J3760" i="58" s="1"/>
  <c r="H3760" i="58"/>
  <c r="P3759" i="58"/>
  <c r="O3759" i="58"/>
  <c r="L3759" i="58"/>
  <c r="I3759" i="58"/>
  <c r="J3759" i="58" s="1"/>
  <c r="H3759" i="58"/>
  <c r="P3758" i="58"/>
  <c r="O3758" i="58"/>
  <c r="L3758" i="58"/>
  <c r="I3758" i="58"/>
  <c r="J3758" i="58" s="1"/>
  <c r="H3758" i="58"/>
  <c r="P3757" i="58"/>
  <c r="O3757" i="58"/>
  <c r="L3757" i="58"/>
  <c r="I3757" i="58"/>
  <c r="J3757" i="58" s="1"/>
  <c r="H3757" i="58"/>
  <c r="P3756" i="58"/>
  <c r="O3756" i="58"/>
  <c r="L3756" i="58"/>
  <c r="I3756" i="58"/>
  <c r="J3756" i="58" s="1"/>
  <c r="H3756" i="58"/>
  <c r="P3755" i="58"/>
  <c r="O3755" i="58"/>
  <c r="L3755" i="58"/>
  <c r="I3755" i="58"/>
  <c r="J3755" i="58" s="1"/>
  <c r="H3755" i="58"/>
  <c r="P3754" i="58"/>
  <c r="O3754" i="58"/>
  <c r="L3754" i="58"/>
  <c r="I3754" i="58"/>
  <c r="J3754" i="58" s="1"/>
  <c r="H3754" i="58"/>
  <c r="P3753" i="58"/>
  <c r="O3753" i="58"/>
  <c r="L3753" i="58"/>
  <c r="I3753" i="58"/>
  <c r="J3753" i="58" s="1"/>
  <c r="H3753" i="58"/>
  <c r="P3752" i="58"/>
  <c r="O3752" i="58"/>
  <c r="L3752" i="58"/>
  <c r="I3752" i="58"/>
  <c r="J3752" i="58" s="1"/>
  <c r="H3752" i="58"/>
  <c r="P3751" i="58"/>
  <c r="O3751" i="58"/>
  <c r="L3751" i="58"/>
  <c r="I3751" i="58"/>
  <c r="J3751" i="58" s="1"/>
  <c r="H3751" i="58"/>
  <c r="P3750" i="58"/>
  <c r="O3750" i="58"/>
  <c r="L3750" i="58"/>
  <c r="I3750" i="58"/>
  <c r="J3750" i="58" s="1"/>
  <c r="H3750" i="58"/>
  <c r="P3749" i="58"/>
  <c r="O3749" i="58"/>
  <c r="L3749" i="58"/>
  <c r="I3749" i="58"/>
  <c r="J3749" i="58" s="1"/>
  <c r="H3749" i="58"/>
  <c r="P3748" i="58"/>
  <c r="O3748" i="58"/>
  <c r="L3748" i="58"/>
  <c r="I3748" i="58"/>
  <c r="J3748" i="58" s="1"/>
  <c r="H3748" i="58"/>
  <c r="P3747" i="58"/>
  <c r="O3747" i="58"/>
  <c r="L3747" i="58"/>
  <c r="I3747" i="58"/>
  <c r="J3747" i="58" s="1"/>
  <c r="H3747" i="58"/>
  <c r="P3746" i="58"/>
  <c r="O3746" i="58"/>
  <c r="L3746" i="58"/>
  <c r="I3746" i="58"/>
  <c r="J3746" i="58" s="1"/>
  <c r="H3746" i="58"/>
  <c r="P3745" i="58"/>
  <c r="O3745" i="58"/>
  <c r="L3745" i="58"/>
  <c r="I3745" i="58"/>
  <c r="J3745" i="58" s="1"/>
  <c r="H3745" i="58"/>
  <c r="P3744" i="58"/>
  <c r="O3744" i="58"/>
  <c r="L3744" i="58"/>
  <c r="I3744" i="58"/>
  <c r="J3744" i="58" s="1"/>
  <c r="H3744" i="58"/>
  <c r="P3743" i="58"/>
  <c r="O3743" i="58"/>
  <c r="L3743" i="58"/>
  <c r="I3743" i="58"/>
  <c r="J3743" i="58" s="1"/>
  <c r="H3743" i="58"/>
  <c r="P3742" i="58"/>
  <c r="O3742" i="58"/>
  <c r="L3742" i="58"/>
  <c r="I3742" i="58"/>
  <c r="J3742" i="58" s="1"/>
  <c r="H3742" i="58"/>
  <c r="P3741" i="58"/>
  <c r="O3741" i="58"/>
  <c r="L3741" i="58"/>
  <c r="I3741" i="58"/>
  <c r="J3741" i="58" s="1"/>
  <c r="H3741" i="58"/>
  <c r="P3740" i="58"/>
  <c r="O3740" i="58"/>
  <c r="L3740" i="58"/>
  <c r="I3740" i="58"/>
  <c r="J3740" i="58" s="1"/>
  <c r="H3740" i="58"/>
  <c r="P3739" i="58"/>
  <c r="O3739" i="58"/>
  <c r="L3739" i="58"/>
  <c r="I3739" i="58"/>
  <c r="J3739" i="58" s="1"/>
  <c r="H3739" i="58"/>
  <c r="P3738" i="58"/>
  <c r="O3738" i="58"/>
  <c r="L3738" i="58"/>
  <c r="I3738" i="58"/>
  <c r="J3738" i="58" s="1"/>
  <c r="H3738" i="58"/>
  <c r="P3737" i="58"/>
  <c r="O3737" i="58"/>
  <c r="L3737" i="58"/>
  <c r="I3737" i="58"/>
  <c r="J3737" i="58" s="1"/>
  <c r="H3737" i="58"/>
  <c r="P3736" i="58"/>
  <c r="O3736" i="58"/>
  <c r="L3736" i="58"/>
  <c r="I3736" i="58"/>
  <c r="J3736" i="58" s="1"/>
  <c r="H3736" i="58"/>
  <c r="P3735" i="58"/>
  <c r="O3735" i="58"/>
  <c r="L3735" i="58"/>
  <c r="I3735" i="58"/>
  <c r="J3735" i="58" s="1"/>
  <c r="H3735" i="58"/>
  <c r="P3734" i="58"/>
  <c r="O3734" i="58"/>
  <c r="L3734" i="58"/>
  <c r="I3734" i="58"/>
  <c r="J3734" i="58" s="1"/>
  <c r="H3734" i="58"/>
  <c r="P3733" i="58"/>
  <c r="O3733" i="58"/>
  <c r="L3733" i="58"/>
  <c r="I3733" i="58"/>
  <c r="J3733" i="58" s="1"/>
  <c r="H3733" i="58"/>
  <c r="P3732" i="58"/>
  <c r="O3732" i="58"/>
  <c r="L3732" i="58"/>
  <c r="I3732" i="58"/>
  <c r="J3732" i="58" s="1"/>
  <c r="H3732" i="58"/>
  <c r="P3731" i="58"/>
  <c r="O3731" i="58"/>
  <c r="L3731" i="58"/>
  <c r="I3731" i="58"/>
  <c r="J3731" i="58" s="1"/>
  <c r="H3731" i="58"/>
  <c r="P3730" i="58"/>
  <c r="O3730" i="58"/>
  <c r="L3730" i="58"/>
  <c r="I3730" i="58"/>
  <c r="J3730" i="58" s="1"/>
  <c r="H3730" i="58"/>
  <c r="P3729" i="58"/>
  <c r="O3729" i="58"/>
  <c r="L3729" i="58"/>
  <c r="I3729" i="58"/>
  <c r="J3729" i="58" s="1"/>
  <c r="H3729" i="58"/>
  <c r="P3728" i="58"/>
  <c r="O3728" i="58"/>
  <c r="L3728" i="58"/>
  <c r="I3728" i="58"/>
  <c r="J3728" i="58" s="1"/>
  <c r="H3728" i="58"/>
  <c r="P3727" i="58"/>
  <c r="O3727" i="58"/>
  <c r="L3727" i="58"/>
  <c r="I3727" i="58"/>
  <c r="J3727" i="58" s="1"/>
  <c r="H3727" i="58"/>
  <c r="P3726" i="58"/>
  <c r="O3726" i="58"/>
  <c r="L3726" i="58"/>
  <c r="I3726" i="58"/>
  <c r="J3726" i="58" s="1"/>
  <c r="H3726" i="58"/>
  <c r="P3725" i="58"/>
  <c r="O3725" i="58"/>
  <c r="L3725" i="58"/>
  <c r="I3725" i="58"/>
  <c r="J3725" i="58" s="1"/>
  <c r="H3725" i="58"/>
  <c r="P3724" i="58"/>
  <c r="O3724" i="58"/>
  <c r="L3724" i="58"/>
  <c r="I3724" i="58"/>
  <c r="J3724" i="58" s="1"/>
  <c r="H3724" i="58"/>
  <c r="P3723" i="58"/>
  <c r="O3723" i="58"/>
  <c r="L3723" i="58"/>
  <c r="I3723" i="58"/>
  <c r="J3723" i="58" s="1"/>
  <c r="H3723" i="58"/>
  <c r="P3722" i="58"/>
  <c r="O3722" i="58"/>
  <c r="L3722" i="58"/>
  <c r="I3722" i="58"/>
  <c r="J3722" i="58" s="1"/>
  <c r="H3722" i="58"/>
  <c r="P3721" i="58"/>
  <c r="O3721" i="58"/>
  <c r="L3721" i="58"/>
  <c r="I3721" i="58"/>
  <c r="J3721" i="58" s="1"/>
  <c r="H3721" i="58"/>
  <c r="P3720" i="58"/>
  <c r="O3720" i="58"/>
  <c r="L3720" i="58"/>
  <c r="I3720" i="58"/>
  <c r="J3720" i="58" s="1"/>
  <c r="H3720" i="58"/>
  <c r="P3719" i="58"/>
  <c r="O3719" i="58"/>
  <c r="L3719" i="58"/>
  <c r="I3719" i="58"/>
  <c r="J3719" i="58" s="1"/>
  <c r="H3719" i="58"/>
  <c r="P3718" i="58"/>
  <c r="O3718" i="58"/>
  <c r="L3718" i="58"/>
  <c r="I3718" i="58"/>
  <c r="J3718" i="58" s="1"/>
  <c r="H3718" i="58"/>
  <c r="P3717" i="58"/>
  <c r="O3717" i="58"/>
  <c r="L3717" i="58"/>
  <c r="I3717" i="58"/>
  <c r="J3717" i="58" s="1"/>
  <c r="H3717" i="58"/>
  <c r="P3716" i="58"/>
  <c r="O3716" i="58"/>
  <c r="L3716" i="58"/>
  <c r="I3716" i="58"/>
  <c r="J3716" i="58" s="1"/>
  <c r="H3716" i="58"/>
  <c r="P3715" i="58"/>
  <c r="O3715" i="58"/>
  <c r="L3715" i="58"/>
  <c r="I3715" i="58"/>
  <c r="J3715" i="58" s="1"/>
  <c r="H3715" i="58"/>
  <c r="P3714" i="58"/>
  <c r="O3714" i="58"/>
  <c r="L3714" i="58"/>
  <c r="I3714" i="58"/>
  <c r="J3714" i="58" s="1"/>
  <c r="H3714" i="58"/>
  <c r="P3713" i="58"/>
  <c r="O3713" i="58"/>
  <c r="L3713" i="58"/>
  <c r="I3713" i="58"/>
  <c r="J3713" i="58" s="1"/>
  <c r="H3713" i="58"/>
  <c r="P3712" i="58"/>
  <c r="O3712" i="58"/>
  <c r="L3712" i="58"/>
  <c r="I3712" i="58"/>
  <c r="J3712" i="58" s="1"/>
  <c r="H3712" i="58"/>
  <c r="P3711" i="58"/>
  <c r="O3711" i="58"/>
  <c r="L3711" i="58"/>
  <c r="I3711" i="58"/>
  <c r="J3711" i="58" s="1"/>
  <c r="H3711" i="58"/>
  <c r="P3710" i="58"/>
  <c r="O3710" i="58"/>
  <c r="L3710" i="58"/>
  <c r="I3710" i="58"/>
  <c r="J3710" i="58" s="1"/>
  <c r="H3710" i="58"/>
  <c r="P3709" i="58"/>
  <c r="O3709" i="58"/>
  <c r="L3709" i="58"/>
  <c r="I3709" i="58"/>
  <c r="J3709" i="58" s="1"/>
  <c r="H3709" i="58"/>
  <c r="P3708" i="58"/>
  <c r="O3708" i="58"/>
  <c r="L3708" i="58"/>
  <c r="I3708" i="58"/>
  <c r="J3708" i="58" s="1"/>
  <c r="H3708" i="58"/>
  <c r="P3707" i="58"/>
  <c r="O3707" i="58"/>
  <c r="L3707" i="58"/>
  <c r="I3707" i="58"/>
  <c r="J3707" i="58" s="1"/>
  <c r="H3707" i="58"/>
  <c r="P3706" i="58"/>
  <c r="O3706" i="58"/>
  <c r="L3706" i="58"/>
  <c r="I3706" i="58"/>
  <c r="J3706" i="58" s="1"/>
  <c r="H3706" i="58"/>
  <c r="P3705" i="58"/>
  <c r="O3705" i="58"/>
  <c r="L3705" i="58"/>
  <c r="I3705" i="58"/>
  <c r="J3705" i="58" s="1"/>
  <c r="H3705" i="58"/>
  <c r="P3704" i="58"/>
  <c r="O3704" i="58"/>
  <c r="L3704" i="58"/>
  <c r="I3704" i="58"/>
  <c r="J3704" i="58" s="1"/>
  <c r="H3704" i="58"/>
  <c r="P3703" i="58"/>
  <c r="O3703" i="58"/>
  <c r="L3703" i="58"/>
  <c r="I3703" i="58"/>
  <c r="J3703" i="58" s="1"/>
  <c r="H3703" i="58"/>
  <c r="P3702" i="58"/>
  <c r="O3702" i="58"/>
  <c r="L3702" i="58"/>
  <c r="I3702" i="58"/>
  <c r="J3702" i="58" s="1"/>
  <c r="H3702" i="58"/>
  <c r="P3701" i="58"/>
  <c r="O3701" i="58"/>
  <c r="L3701" i="58"/>
  <c r="I3701" i="58"/>
  <c r="J3701" i="58" s="1"/>
  <c r="H3701" i="58"/>
  <c r="P3700" i="58"/>
  <c r="O3700" i="58"/>
  <c r="L3700" i="58"/>
  <c r="I3700" i="58"/>
  <c r="J3700" i="58" s="1"/>
  <c r="H3700" i="58"/>
  <c r="P3699" i="58"/>
  <c r="O3699" i="58"/>
  <c r="L3699" i="58"/>
  <c r="I3699" i="58"/>
  <c r="J3699" i="58" s="1"/>
  <c r="H3699" i="58"/>
  <c r="P3698" i="58"/>
  <c r="O3698" i="58"/>
  <c r="L3698" i="58"/>
  <c r="I3698" i="58"/>
  <c r="J3698" i="58" s="1"/>
  <c r="H3698" i="58"/>
  <c r="P3697" i="58"/>
  <c r="O3697" i="58"/>
  <c r="L3697" i="58"/>
  <c r="I3697" i="58"/>
  <c r="J3697" i="58" s="1"/>
  <c r="H3697" i="58"/>
  <c r="P3696" i="58"/>
  <c r="O3696" i="58"/>
  <c r="L3696" i="58"/>
  <c r="I3696" i="58"/>
  <c r="J3696" i="58" s="1"/>
  <c r="H3696" i="58"/>
  <c r="P3695" i="58"/>
  <c r="O3695" i="58"/>
  <c r="L3695" i="58"/>
  <c r="I3695" i="58"/>
  <c r="J3695" i="58" s="1"/>
  <c r="H3695" i="58"/>
  <c r="P3694" i="58"/>
  <c r="O3694" i="58"/>
  <c r="L3694" i="58"/>
  <c r="I3694" i="58"/>
  <c r="J3694" i="58" s="1"/>
  <c r="H3694" i="58"/>
  <c r="P3693" i="58"/>
  <c r="O3693" i="58"/>
  <c r="L3693" i="58"/>
  <c r="I3693" i="58"/>
  <c r="J3693" i="58" s="1"/>
  <c r="H3693" i="58"/>
  <c r="P3692" i="58"/>
  <c r="O3692" i="58"/>
  <c r="L3692" i="58"/>
  <c r="I3692" i="58"/>
  <c r="J3692" i="58" s="1"/>
  <c r="H3692" i="58"/>
  <c r="P3691" i="58"/>
  <c r="O3691" i="58"/>
  <c r="L3691" i="58"/>
  <c r="I3691" i="58"/>
  <c r="J3691" i="58" s="1"/>
  <c r="H3691" i="58"/>
  <c r="P3690" i="58"/>
  <c r="O3690" i="58"/>
  <c r="L3690" i="58"/>
  <c r="I3690" i="58"/>
  <c r="J3690" i="58" s="1"/>
  <c r="H3690" i="58"/>
  <c r="P3689" i="58"/>
  <c r="O3689" i="58"/>
  <c r="L3689" i="58"/>
  <c r="I3689" i="58"/>
  <c r="J3689" i="58" s="1"/>
  <c r="H3689" i="58"/>
  <c r="P3688" i="58"/>
  <c r="O3688" i="58"/>
  <c r="L3688" i="58"/>
  <c r="I3688" i="58"/>
  <c r="J3688" i="58" s="1"/>
  <c r="H3688" i="58"/>
  <c r="P3687" i="58"/>
  <c r="O3687" i="58"/>
  <c r="L3687" i="58"/>
  <c r="I3687" i="58"/>
  <c r="J3687" i="58" s="1"/>
  <c r="H3687" i="58"/>
  <c r="P3686" i="58"/>
  <c r="O3686" i="58"/>
  <c r="L3686" i="58"/>
  <c r="I3686" i="58"/>
  <c r="J3686" i="58" s="1"/>
  <c r="H3686" i="58"/>
  <c r="P3685" i="58"/>
  <c r="O3685" i="58"/>
  <c r="L3685" i="58"/>
  <c r="I3685" i="58"/>
  <c r="J3685" i="58" s="1"/>
  <c r="H3685" i="58"/>
  <c r="P3684" i="58"/>
  <c r="O3684" i="58"/>
  <c r="L3684" i="58"/>
  <c r="I3684" i="58"/>
  <c r="J3684" i="58" s="1"/>
  <c r="H3684" i="58"/>
  <c r="P3683" i="58"/>
  <c r="O3683" i="58"/>
  <c r="L3683" i="58"/>
  <c r="I3683" i="58"/>
  <c r="J3683" i="58" s="1"/>
  <c r="H3683" i="58"/>
  <c r="P3682" i="58"/>
  <c r="O3682" i="58"/>
  <c r="L3682" i="58"/>
  <c r="I3682" i="58"/>
  <c r="J3682" i="58" s="1"/>
  <c r="H3682" i="58"/>
  <c r="P3681" i="58"/>
  <c r="O3681" i="58"/>
  <c r="L3681" i="58"/>
  <c r="I3681" i="58"/>
  <c r="J3681" i="58" s="1"/>
  <c r="H3681" i="58"/>
  <c r="P3680" i="58"/>
  <c r="O3680" i="58"/>
  <c r="L3680" i="58"/>
  <c r="I3680" i="58"/>
  <c r="J3680" i="58" s="1"/>
  <c r="H3680" i="58"/>
  <c r="P3679" i="58"/>
  <c r="O3679" i="58"/>
  <c r="L3679" i="58"/>
  <c r="I3679" i="58"/>
  <c r="J3679" i="58" s="1"/>
  <c r="H3679" i="58"/>
  <c r="P3678" i="58"/>
  <c r="O3678" i="58"/>
  <c r="L3678" i="58"/>
  <c r="I3678" i="58"/>
  <c r="J3678" i="58" s="1"/>
  <c r="H3678" i="58"/>
  <c r="P3677" i="58"/>
  <c r="O3677" i="58"/>
  <c r="L3677" i="58"/>
  <c r="I3677" i="58"/>
  <c r="J3677" i="58" s="1"/>
  <c r="H3677" i="58"/>
  <c r="P3676" i="58"/>
  <c r="O3676" i="58"/>
  <c r="L3676" i="58"/>
  <c r="I3676" i="58"/>
  <c r="J3676" i="58" s="1"/>
  <c r="H3676" i="58"/>
  <c r="P3675" i="58"/>
  <c r="O3675" i="58"/>
  <c r="L3675" i="58"/>
  <c r="I3675" i="58"/>
  <c r="J3675" i="58" s="1"/>
  <c r="H3675" i="58"/>
  <c r="P3674" i="58"/>
  <c r="O3674" i="58"/>
  <c r="L3674" i="58"/>
  <c r="I3674" i="58"/>
  <c r="J3674" i="58" s="1"/>
  <c r="H3674" i="58"/>
  <c r="P3673" i="58"/>
  <c r="O3673" i="58"/>
  <c r="L3673" i="58"/>
  <c r="I3673" i="58"/>
  <c r="J3673" i="58" s="1"/>
  <c r="H3673" i="58"/>
  <c r="P3672" i="58"/>
  <c r="O3672" i="58"/>
  <c r="L3672" i="58"/>
  <c r="I3672" i="58"/>
  <c r="J3672" i="58" s="1"/>
  <c r="H3672" i="58"/>
  <c r="P3671" i="58"/>
  <c r="O3671" i="58"/>
  <c r="L3671" i="58"/>
  <c r="I3671" i="58"/>
  <c r="J3671" i="58" s="1"/>
  <c r="H3671" i="58"/>
  <c r="P3670" i="58"/>
  <c r="O3670" i="58"/>
  <c r="L3670" i="58"/>
  <c r="I3670" i="58"/>
  <c r="J3670" i="58" s="1"/>
  <c r="H3670" i="58"/>
  <c r="P3669" i="58"/>
  <c r="O3669" i="58"/>
  <c r="L3669" i="58"/>
  <c r="I3669" i="58"/>
  <c r="J3669" i="58" s="1"/>
  <c r="H3669" i="58"/>
  <c r="P3668" i="58"/>
  <c r="O3668" i="58"/>
  <c r="L3668" i="58"/>
  <c r="I3668" i="58"/>
  <c r="J3668" i="58" s="1"/>
  <c r="H3668" i="58"/>
  <c r="P3667" i="58"/>
  <c r="O3667" i="58"/>
  <c r="L3667" i="58"/>
  <c r="I3667" i="58"/>
  <c r="J3667" i="58" s="1"/>
  <c r="H3667" i="58"/>
  <c r="P3666" i="58"/>
  <c r="O3666" i="58"/>
  <c r="L3666" i="58"/>
  <c r="I3666" i="58"/>
  <c r="J3666" i="58" s="1"/>
  <c r="H3666" i="58"/>
  <c r="P3665" i="58"/>
  <c r="O3665" i="58"/>
  <c r="L3665" i="58"/>
  <c r="I3665" i="58"/>
  <c r="J3665" i="58" s="1"/>
  <c r="H3665" i="58"/>
  <c r="P3664" i="58"/>
  <c r="O3664" i="58"/>
  <c r="L3664" i="58"/>
  <c r="I3664" i="58"/>
  <c r="J3664" i="58" s="1"/>
  <c r="H3664" i="58"/>
  <c r="P3663" i="58"/>
  <c r="O3663" i="58"/>
  <c r="L3663" i="58"/>
  <c r="I3663" i="58"/>
  <c r="J3663" i="58" s="1"/>
  <c r="H3663" i="58"/>
  <c r="P3662" i="58"/>
  <c r="O3662" i="58"/>
  <c r="L3662" i="58"/>
  <c r="I3662" i="58"/>
  <c r="J3662" i="58" s="1"/>
  <c r="H3662" i="58"/>
  <c r="P3661" i="58"/>
  <c r="O3661" i="58"/>
  <c r="L3661" i="58"/>
  <c r="I3661" i="58"/>
  <c r="J3661" i="58" s="1"/>
  <c r="H3661" i="58"/>
  <c r="P3660" i="58"/>
  <c r="O3660" i="58"/>
  <c r="L3660" i="58"/>
  <c r="I3660" i="58"/>
  <c r="J3660" i="58" s="1"/>
  <c r="H3660" i="58"/>
  <c r="P3659" i="58"/>
  <c r="O3659" i="58"/>
  <c r="L3659" i="58"/>
  <c r="I3659" i="58"/>
  <c r="J3659" i="58" s="1"/>
  <c r="H3659" i="58"/>
  <c r="P3658" i="58"/>
  <c r="O3658" i="58"/>
  <c r="L3658" i="58"/>
  <c r="I3658" i="58"/>
  <c r="J3658" i="58" s="1"/>
  <c r="H3658" i="58"/>
  <c r="P3657" i="58"/>
  <c r="O3657" i="58"/>
  <c r="L3657" i="58"/>
  <c r="I3657" i="58"/>
  <c r="J3657" i="58" s="1"/>
  <c r="H3657" i="58"/>
  <c r="P3656" i="58"/>
  <c r="O3656" i="58"/>
  <c r="L3656" i="58"/>
  <c r="I3656" i="58"/>
  <c r="J3656" i="58" s="1"/>
  <c r="H3656" i="58"/>
  <c r="P3655" i="58"/>
  <c r="O3655" i="58"/>
  <c r="L3655" i="58"/>
  <c r="I3655" i="58"/>
  <c r="J3655" i="58" s="1"/>
  <c r="H3655" i="58"/>
  <c r="P3654" i="58"/>
  <c r="O3654" i="58"/>
  <c r="L3654" i="58"/>
  <c r="I3654" i="58"/>
  <c r="J3654" i="58" s="1"/>
  <c r="H3654" i="58"/>
  <c r="P3653" i="58"/>
  <c r="O3653" i="58"/>
  <c r="L3653" i="58"/>
  <c r="I3653" i="58"/>
  <c r="J3653" i="58" s="1"/>
  <c r="H3653" i="58"/>
  <c r="P3652" i="58"/>
  <c r="O3652" i="58"/>
  <c r="L3652" i="58"/>
  <c r="I3652" i="58"/>
  <c r="J3652" i="58" s="1"/>
  <c r="H3652" i="58"/>
  <c r="P3651" i="58"/>
  <c r="O3651" i="58"/>
  <c r="L3651" i="58"/>
  <c r="I3651" i="58"/>
  <c r="J3651" i="58" s="1"/>
  <c r="H3651" i="58"/>
  <c r="P3650" i="58"/>
  <c r="O3650" i="58"/>
  <c r="L3650" i="58"/>
  <c r="I3650" i="58"/>
  <c r="J3650" i="58" s="1"/>
  <c r="H3650" i="58"/>
  <c r="P3649" i="58"/>
  <c r="O3649" i="58"/>
  <c r="L3649" i="58"/>
  <c r="I3649" i="58"/>
  <c r="J3649" i="58" s="1"/>
  <c r="H3649" i="58"/>
  <c r="P3648" i="58"/>
  <c r="O3648" i="58"/>
  <c r="L3648" i="58"/>
  <c r="I3648" i="58"/>
  <c r="J3648" i="58" s="1"/>
  <c r="H3648" i="58"/>
  <c r="P3647" i="58"/>
  <c r="O3647" i="58"/>
  <c r="L3647" i="58"/>
  <c r="I3647" i="58"/>
  <c r="J3647" i="58" s="1"/>
  <c r="H3647" i="58"/>
  <c r="P3646" i="58"/>
  <c r="O3646" i="58"/>
  <c r="L3646" i="58"/>
  <c r="I3646" i="58"/>
  <c r="J3646" i="58" s="1"/>
  <c r="H3646" i="58"/>
  <c r="P3645" i="58"/>
  <c r="O3645" i="58"/>
  <c r="L3645" i="58"/>
  <c r="I3645" i="58"/>
  <c r="J3645" i="58" s="1"/>
  <c r="H3645" i="58"/>
  <c r="P3644" i="58"/>
  <c r="O3644" i="58"/>
  <c r="L3644" i="58"/>
  <c r="I3644" i="58"/>
  <c r="J3644" i="58" s="1"/>
  <c r="H3644" i="58"/>
  <c r="P3643" i="58"/>
  <c r="O3643" i="58"/>
  <c r="L3643" i="58"/>
  <c r="I3643" i="58"/>
  <c r="J3643" i="58" s="1"/>
  <c r="H3643" i="58"/>
  <c r="P3642" i="58"/>
  <c r="O3642" i="58"/>
  <c r="L3642" i="58"/>
  <c r="I3642" i="58"/>
  <c r="J3642" i="58" s="1"/>
  <c r="H3642" i="58"/>
  <c r="P3641" i="58"/>
  <c r="O3641" i="58"/>
  <c r="L3641" i="58"/>
  <c r="I3641" i="58"/>
  <c r="J3641" i="58" s="1"/>
  <c r="H3641" i="58"/>
  <c r="P3640" i="58"/>
  <c r="O3640" i="58"/>
  <c r="L3640" i="58"/>
  <c r="I3640" i="58"/>
  <c r="J3640" i="58" s="1"/>
  <c r="H3640" i="58"/>
  <c r="P3639" i="58"/>
  <c r="O3639" i="58"/>
  <c r="L3639" i="58"/>
  <c r="I3639" i="58"/>
  <c r="J3639" i="58" s="1"/>
  <c r="H3639" i="58"/>
  <c r="P3638" i="58"/>
  <c r="O3638" i="58"/>
  <c r="L3638" i="58"/>
  <c r="I3638" i="58"/>
  <c r="J3638" i="58" s="1"/>
  <c r="H3638" i="58"/>
  <c r="P3637" i="58"/>
  <c r="O3637" i="58"/>
  <c r="L3637" i="58"/>
  <c r="I3637" i="58"/>
  <c r="J3637" i="58" s="1"/>
  <c r="H3637" i="58"/>
  <c r="P3636" i="58"/>
  <c r="O3636" i="58"/>
  <c r="L3636" i="58"/>
  <c r="I3636" i="58"/>
  <c r="J3636" i="58" s="1"/>
  <c r="H3636" i="58"/>
  <c r="P3635" i="58"/>
  <c r="O3635" i="58"/>
  <c r="L3635" i="58"/>
  <c r="I3635" i="58"/>
  <c r="J3635" i="58" s="1"/>
  <c r="H3635" i="58"/>
  <c r="P3634" i="58"/>
  <c r="O3634" i="58"/>
  <c r="L3634" i="58"/>
  <c r="I3634" i="58"/>
  <c r="J3634" i="58" s="1"/>
  <c r="H3634" i="58"/>
  <c r="P3633" i="58"/>
  <c r="O3633" i="58"/>
  <c r="L3633" i="58"/>
  <c r="I3633" i="58"/>
  <c r="J3633" i="58" s="1"/>
  <c r="H3633" i="58"/>
  <c r="P3632" i="58"/>
  <c r="O3632" i="58"/>
  <c r="L3632" i="58"/>
  <c r="I3632" i="58"/>
  <c r="J3632" i="58" s="1"/>
  <c r="H3632" i="58"/>
  <c r="P3631" i="58"/>
  <c r="O3631" i="58"/>
  <c r="L3631" i="58"/>
  <c r="I3631" i="58"/>
  <c r="J3631" i="58" s="1"/>
  <c r="H3631" i="58"/>
  <c r="P3630" i="58"/>
  <c r="O3630" i="58"/>
  <c r="L3630" i="58"/>
  <c r="I3630" i="58"/>
  <c r="J3630" i="58" s="1"/>
  <c r="H3630" i="58"/>
  <c r="P3629" i="58"/>
  <c r="O3629" i="58"/>
  <c r="L3629" i="58"/>
  <c r="I3629" i="58"/>
  <c r="J3629" i="58" s="1"/>
  <c r="H3629" i="58"/>
  <c r="P3628" i="58"/>
  <c r="O3628" i="58"/>
  <c r="L3628" i="58"/>
  <c r="I3628" i="58"/>
  <c r="J3628" i="58" s="1"/>
  <c r="H3628" i="58"/>
  <c r="P3627" i="58"/>
  <c r="O3627" i="58"/>
  <c r="L3627" i="58"/>
  <c r="I3627" i="58"/>
  <c r="J3627" i="58" s="1"/>
  <c r="H3627" i="58"/>
  <c r="P3626" i="58"/>
  <c r="O3626" i="58"/>
  <c r="L3626" i="58"/>
  <c r="I3626" i="58"/>
  <c r="J3626" i="58" s="1"/>
  <c r="H3626" i="58"/>
  <c r="P3625" i="58"/>
  <c r="O3625" i="58"/>
  <c r="L3625" i="58"/>
  <c r="I3625" i="58"/>
  <c r="J3625" i="58" s="1"/>
  <c r="H3625" i="58"/>
  <c r="P3624" i="58"/>
  <c r="O3624" i="58"/>
  <c r="L3624" i="58"/>
  <c r="I3624" i="58"/>
  <c r="J3624" i="58" s="1"/>
  <c r="H3624" i="58"/>
  <c r="P3623" i="58"/>
  <c r="O3623" i="58"/>
  <c r="L3623" i="58"/>
  <c r="I3623" i="58"/>
  <c r="J3623" i="58" s="1"/>
  <c r="H3623" i="58"/>
  <c r="P3622" i="58"/>
  <c r="O3622" i="58"/>
  <c r="L3622" i="58"/>
  <c r="I3622" i="58"/>
  <c r="J3622" i="58" s="1"/>
  <c r="H3622" i="58"/>
  <c r="P3621" i="58"/>
  <c r="O3621" i="58"/>
  <c r="L3621" i="58"/>
  <c r="I3621" i="58"/>
  <c r="J3621" i="58" s="1"/>
  <c r="H3621" i="58"/>
  <c r="P3620" i="58"/>
  <c r="O3620" i="58"/>
  <c r="L3620" i="58"/>
  <c r="I3620" i="58"/>
  <c r="J3620" i="58" s="1"/>
  <c r="H3620" i="58"/>
  <c r="P3619" i="58"/>
  <c r="O3619" i="58"/>
  <c r="L3619" i="58"/>
  <c r="I3619" i="58"/>
  <c r="J3619" i="58" s="1"/>
  <c r="H3619" i="58"/>
  <c r="P3618" i="58"/>
  <c r="O3618" i="58"/>
  <c r="L3618" i="58"/>
  <c r="I3618" i="58"/>
  <c r="J3618" i="58" s="1"/>
  <c r="H3618" i="58"/>
  <c r="P3617" i="58"/>
  <c r="O3617" i="58"/>
  <c r="L3617" i="58"/>
  <c r="I3617" i="58"/>
  <c r="J3617" i="58" s="1"/>
  <c r="H3617" i="58"/>
  <c r="P3616" i="58"/>
  <c r="O3616" i="58"/>
  <c r="L3616" i="58"/>
  <c r="I3616" i="58"/>
  <c r="J3616" i="58" s="1"/>
  <c r="H3616" i="58"/>
  <c r="P3615" i="58"/>
  <c r="O3615" i="58"/>
  <c r="L3615" i="58"/>
  <c r="I3615" i="58"/>
  <c r="J3615" i="58" s="1"/>
  <c r="H3615" i="58"/>
  <c r="P3614" i="58"/>
  <c r="O3614" i="58"/>
  <c r="L3614" i="58"/>
  <c r="I3614" i="58"/>
  <c r="J3614" i="58" s="1"/>
  <c r="H3614" i="58"/>
  <c r="P3613" i="58"/>
  <c r="O3613" i="58"/>
  <c r="L3613" i="58"/>
  <c r="I3613" i="58"/>
  <c r="J3613" i="58" s="1"/>
  <c r="H3613" i="58"/>
  <c r="P3612" i="58"/>
  <c r="O3612" i="58"/>
  <c r="L3612" i="58"/>
  <c r="I3612" i="58"/>
  <c r="J3612" i="58" s="1"/>
  <c r="H3612" i="58"/>
  <c r="P3611" i="58"/>
  <c r="O3611" i="58"/>
  <c r="L3611" i="58"/>
  <c r="I3611" i="58"/>
  <c r="J3611" i="58" s="1"/>
  <c r="H3611" i="58"/>
  <c r="P3610" i="58"/>
  <c r="O3610" i="58"/>
  <c r="L3610" i="58"/>
  <c r="I3610" i="58"/>
  <c r="J3610" i="58" s="1"/>
  <c r="H3610" i="58"/>
  <c r="P3609" i="58"/>
  <c r="O3609" i="58"/>
  <c r="L3609" i="58"/>
  <c r="I3609" i="58"/>
  <c r="J3609" i="58" s="1"/>
  <c r="H3609" i="58"/>
  <c r="P3608" i="58"/>
  <c r="O3608" i="58"/>
  <c r="L3608" i="58"/>
  <c r="I3608" i="58"/>
  <c r="J3608" i="58" s="1"/>
  <c r="H3608" i="58"/>
  <c r="P3607" i="58"/>
  <c r="O3607" i="58"/>
  <c r="L3607" i="58"/>
  <c r="I3607" i="58"/>
  <c r="J3607" i="58" s="1"/>
  <c r="H3607" i="58"/>
  <c r="P3606" i="58"/>
  <c r="O3606" i="58"/>
  <c r="L3606" i="58"/>
  <c r="I3606" i="58"/>
  <c r="J3606" i="58" s="1"/>
  <c r="H3606" i="58"/>
  <c r="P3605" i="58"/>
  <c r="O3605" i="58"/>
  <c r="L3605" i="58"/>
  <c r="I3605" i="58"/>
  <c r="J3605" i="58" s="1"/>
  <c r="H3605" i="58"/>
  <c r="P3604" i="58"/>
  <c r="O3604" i="58"/>
  <c r="L3604" i="58"/>
  <c r="I3604" i="58"/>
  <c r="J3604" i="58" s="1"/>
  <c r="H3604" i="58"/>
  <c r="P3603" i="58"/>
  <c r="O3603" i="58"/>
  <c r="L3603" i="58"/>
  <c r="I3603" i="58"/>
  <c r="J3603" i="58" s="1"/>
  <c r="H3603" i="58"/>
  <c r="P3602" i="58"/>
  <c r="O3602" i="58"/>
  <c r="L3602" i="58"/>
  <c r="I3602" i="58"/>
  <c r="J3602" i="58" s="1"/>
  <c r="H3602" i="58"/>
  <c r="P3601" i="58"/>
  <c r="O3601" i="58"/>
  <c r="L3601" i="58"/>
  <c r="I3601" i="58"/>
  <c r="J3601" i="58" s="1"/>
  <c r="H3601" i="58"/>
  <c r="P3600" i="58"/>
  <c r="O3600" i="58"/>
  <c r="L3600" i="58"/>
  <c r="I3600" i="58"/>
  <c r="J3600" i="58" s="1"/>
  <c r="H3600" i="58"/>
  <c r="P3599" i="58"/>
  <c r="O3599" i="58"/>
  <c r="L3599" i="58"/>
  <c r="I3599" i="58"/>
  <c r="J3599" i="58" s="1"/>
  <c r="H3599" i="58"/>
  <c r="P3598" i="58"/>
  <c r="O3598" i="58"/>
  <c r="L3598" i="58"/>
  <c r="I3598" i="58"/>
  <c r="J3598" i="58" s="1"/>
  <c r="H3598" i="58"/>
  <c r="P3597" i="58"/>
  <c r="O3597" i="58"/>
  <c r="L3597" i="58"/>
  <c r="I3597" i="58"/>
  <c r="J3597" i="58" s="1"/>
  <c r="H3597" i="58"/>
  <c r="P3596" i="58"/>
  <c r="O3596" i="58"/>
  <c r="L3596" i="58"/>
  <c r="I3596" i="58"/>
  <c r="J3596" i="58" s="1"/>
  <c r="H3596" i="58"/>
  <c r="P3595" i="58"/>
  <c r="O3595" i="58"/>
  <c r="L3595" i="58"/>
  <c r="I3595" i="58"/>
  <c r="J3595" i="58" s="1"/>
  <c r="H3595" i="58"/>
  <c r="P3594" i="58"/>
  <c r="O3594" i="58"/>
  <c r="L3594" i="58"/>
  <c r="I3594" i="58"/>
  <c r="J3594" i="58" s="1"/>
  <c r="H3594" i="58"/>
  <c r="P3593" i="58"/>
  <c r="O3593" i="58"/>
  <c r="L3593" i="58"/>
  <c r="I3593" i="58"/>
  <c r="J3593" i="58" s="1"/>
  <c r="H3593" i="58"/>
  <c r="P3592" i="58"/>
  <c r="O3592" i="58"/>
  <c r="L3592" i="58"/>
  <c r="I3592" i="58"/>
  <c r="J3592" i="58" s="1"/>
  <c r="H3592" i="58"/>
  <c r="P3591" i="58"/>
  <c r="O3591" i="58"/>
  <c r="L3591" i="58"/>
  <c r="I3591" i="58"/>
  <c r="J3591" i="58" s="1"/>
  <c r="H3591" i="58"/>
  <c r="P3590" i="58"/>
  <c r="O3590" i="58"/>
  <c r="L3590" i="58"/>
  <c r="I3590" i="58"/>
  <c r="J3590" i="58" s="1"/>
  <c r="H3590" i="58"/>
  <c r="P3589" i="58"/>
  <c r="O3589" i="58"/>
  <c r="L3589" i="58"/>
  <c r="I3589" i="58"/>
  <c r="J3589" i="58" s="1"/>
  <c r="H3589" i="58"/>
  <c r="P3588" i="58"/>
  <c r="O3588" i="58"/>
  <c r="L3588" i="58"/>
  <c r="I3588" i="58"/>
  <c r="J3588" i="58" s="1"/>
  <c r="H3588" i="58"/>
  <c r="P3587" i="58"/>
  <c r="O3587" i="58"/>
  <c r="L3587" i="58"/>
  <c r="I3587" i="58"/>
  <c r="J3587" i="58" s="1"/>
  <c r="H3587" i="58"/>
  <c r="P3586" i="58"/>
  <c r="O3586" i="58"/>
  <c r="L3586" i="58"/>
  <c r="I3586" i="58"/>
  <c r="J3586" i="58" s="1"/>
  <c r="H3586" i="58"/>
  <c r="P3585" i="58"/>
  <c r="O3585" i="58"/>
  <c r="L3585" i="58"/>
  <c r="I3585" i="58"/>
  <c r="J3585" i="58" s="1"/>
  <c r="H3585" i="58"/>
  <c r="P3584" i="58"/>
  <c r="O3584" i="58"/>
  <c r="L3584" i="58"/>
  <c r="I3584" i="58"/>
  <c r="J3584" i="58" s="1"/>
  <c r="H3584" i="58"/>
  <c r="P3583" i="58"/>
  <c r="O3583" i="58"/>
  <c r="L3583" i="58"/>
  <c r="I3583" i="58"/>
  <c r="J3583" i="58" s="1"/>
  <c r="H3583" i="58"/>
  <c r="P3582" i="58"/>
  <c r="O3582" i="58"/>
  <c r="L3582" i="58"/>
  <c r="I3582" i="58"/>
  <c r="J3582" i="58" s="1"/>
  <c r="H3582" i="58"/>
  <c r="P3581" i="58"/>
  <c r="O3581" i="58"/>
  <c r="L3581" i="58"/>
  <c r="I3581" i="58"/>
  <c r="J3581" i="58" s="1"/>
  <c r="H3581" i="58"/>
  <c r="P3580" i="58"/>
  <c r="O3580" i="58"/>
  <c r="L3580" i="58"/>
  <c r="I3580" i="58"/>
  <c r="J3580" i="58" s="1"/>
  <c r="H3580" i="58"/>
  <c r="P3579" i="58"/>
  <c r="O3579" i="58"/>
  <c r="L3579" i="58"/>
  <c r="I3579" i="58"/>
  <c r="J3579" i="58" s="1"/>
  <c r="H3579" i="58"/>
  <c r="P3578" i="58"/>
  <c r="O3578" i="58"/>
  <c r="L3578" i="58"/>
  <c r="I3578" i="58"/>
  <c r="J3578" i="58" s="1"/>
  <c r="H3578" i="58"/>
  <c r="P3577" i="58"/>
  <c r="O3577" i="58"/>
  <c r="L3577" i="58"/>
  <c r="I3577" i="58"/>
  <c r="J3577" i="58" s="1"/>
  <c r="H3577" i="58"/>
  <c r="P3576" i="58"/>
  <c r="O3576" i="58"/>
  <c r="L3576" i="58"/>
  <c r="I3576" i="58"/>
  <c r="J3576" i="58" s="1"/>
  <c r="H3576" i="58"/>
  <c r="P3575" i="58"/>
  <c r="O3575" i="58"/>
  <c r="L3575" i="58"/>
  <c r="I3575" i="58"/>
  <c r="J3575" i="58" s="1"/>
  <c r="H3575" i="58"/>
  <c r="P3574" i="58"/>
  <c r="O3574" i="58"/>
  <c r="L3574" i="58"/>
  <c r="I3574" i="58"/>
  <c r="J3574" i="58" s="1"/>
  <c r="H3574" i="58"/>
  <c r="P3573" i="58"/>
  <c r="O3573" i="58"/>
  <c r="L3573" i="58"/>
  <c r="I3573" i="58"/>
  <c r="J3573" i="58" s="1"/>
  <c r="H3573" i="58"/>
  <c r="P3572" i="58"/>
  <c r="O3572" i="58"/>
  <c r="L3572" i="58"/>
  <c r="I3572" i="58"/>
  <c r="J3572" i="58" s="1"/>
  <c r="H3572" i="58"/>
  <c r="P3571" i="58"/>
  <c r="O3571" i="58"/>
  <c r="L3571" i="58"/>
  <c r="I3571" i="58"/>
  <c r="J3571" i="58" s="1"/>
  <c r="H3571" i="58"/>
  <c r="P3570" i="58"/>
  <c r="O3570" i="58"/>
  <c r="L3570" i="58"/>
  <c r="I3570" i="58"/>
  <c r="J3570" i="58" s="1"/>
  <c r="H3570" i="58"/>
  <c r="P3569" i="58"/>
  <c r="O3569" i="58"/>
  <c r="L3569" i="58"/>
  <c r="I3569" i="58"/>
  <c r="J3569" i="58" s="1"/>
  <c r="H3569" i="58"/>
  <c r="P3568" i="58"/>
  <c r="O3568" i="58"/>
  <c r="L3568" i="58"/>
  <c r="I3568" i="58"/>
  <c r="J3568" i="58" s="1"/>
  <c r="H3568" i="58"/>
  <c r="P3567" i="58"/>
  <c r="O3567" i="58"/>
  <c r="L3567" i="58"/>
  <c r="I3567" i="58"/>
  <c r="J3567" i="58" s="1"/>
  <c r="H3567" i="58"/>
  <c r="P3566" i="58"/>
  <c r="O3566" i="58"/>
  <c r="L3566" i="58"/>
  <c r="I3566" i="58"/>
  <c r="J3566" i="58" s="1"/>
  <c r="H3566" i="58"/>
  <c r="P3565" i="58"/>
  <c r="O3565" i="58"/>
  <c r="L3565" i="58"/>
  <c r="I3565" i="58"/>
  <c r="J3565" i="58" s="1"/>
  <c r="H3565" i="58"/>
  <c r="P3564" i="58"/>
  <c r="O3564" i="58"/>
  <c r="L3564" i="58"/>
  <c r="I3564" i="58"/>
  <c r="J3564" i="58" s="1"/>
  <c r="H3564" i="58"/>
  <c r="P3563" i="58"/>
  <c r="O3563" i="58"/>
  <c r="L3563" i="58"/>
  <c r="I3563" i="58"/>
  <c r="J3563" i="58" s="1"/>
  <c r="H3563" i="58"/>
  <c r="P3562" i="58"/>
  <c r="O3562" i="58"/>
  <c r="L3562" i="58"/>
  <c r="I3562" i="58"/>
  <c r="J3562" i="58" s="1"/>
  <c r="H3562" i="58"/>
  <c r="P3561" i="58"/>
  <c r="O3561" i="58"/>
  <c r="L3561" i="58"/>
  <c r="I3561" i="58"/>
  <c r="J3561" i="58" s="1"/>
  <c r="H3561" i="58"/>
  <c r="P3560" i="58"/>
  <c r="O3560" i="58"/>
  <c r="L3560" i="58"/>
  <c r="I3560" i="58"/>
  <c r="J3560" i="58" s="1"/>
  <c r="H3560" i="58"/>
  <c r="P3559" i="58"/>
  <c r="O3559" i="58"/>
  <c r="L3559" i="58"/>
  <c r="I3559" i="58"/>
  <c r="J3559" i="58" s="1"/>
  <c r="H3559" i="58"/>
  <c r="P3558" i="58"/>
  <c r="O3558" i="58"/>
  <c r="L3558" i="58"/>
  <c r="I3558" i="58"/>
  <c r="J3558" i="58" s="1"/>
  <c r="H3558" i="58"/>
  <c r="P3557" i="58"/>
  <c r="O3557" i="58"/>
  <c r="L3557" i="58"/>
  <c r="I3557" i="58"/>
  <c r="J3557" i="58" s="1"/>
  <c r="H3557" i="58"/>
  <c r="P3556" i="58"/>
  <c r="O3556" i="58"/>
  <c r="L3556" i="58"/>
  <c r="I3556" i="58"/>
  <c r="J3556" i="58" s="1"/>
  <c r="H3556" i="58"/>
  <c r="P3555" i="58"/>
  <c r="O3555" i="58"/>
  <c r="L3555" i="58"/>
  <c r="I3555" i="58"/>
  <c r="J3555" i="58" s="1"/>
  <c r="H3555" i="58"/>
  <c r="P3554" i="58"/>
  <c r="O3554" i="58"/>
  <c r="L3554" i="58"/>
  <c r="I3554" i="58"/>
  <c r="J3554" i="58" s="1"/>
  <c r="H3554" i="58"/>
  <c r="P3553" i="58"/>
  <c r="O3553" i="58"/>
  <c r="L3553" i="58"/>
  <c r="I3553" i="58"/>
  <c r="J3553" i="58" s="1"/>
  <c r="H3553" i="58"/>
  <c r="P3552" i="58"/>
  <c r="O3552" i="58"/>
  <c r="L3552" i="58"/>
  <c r="I3552" i="58"/>
  <c r="J3552" i="58" s="1"/>
  <c r="H3552" i="58"/>
  <c r="P3551" i="58"/>
  <c r="O3551" i="58"/>
  <c r="L3551" i="58"/>
  <c r="I3551" i="58"/>
  <c r="J3551" i="58" s="1"/>
  <c r="H3551" i="58"/>
  <c r="P3550" i="58"/>
  <c r="O3550" i="58"/>
  <c r="L3550" i="58"/>
  <c r="I3550" i="58"/>
  <c r="J3550" i="58" s="1"/>
  <c r="H3550" i="58"/>
  <c r="P3549" i="58"/>
  <c r="O3549" i="58"/>
  <c r="L3549" i="58"/>
  <c r="I3549" i="58"/>
  <c r="J3549" i="58" s="1"/>
  <c r="H3549" i="58"/>
  <c r="P3548" i="58"/>
  <c r="O3548" i="58"/>
  <c r="L3548" i="58"/>
  <c r="I3548" i="58"/>
  <c r="J3548" i="58" s="1"/>
  <c r="H3548" i="58"/>
  <c r="P3547" i="58"/>
  <c r="O3547" i="58"/>
  <c r="L3547" i="58"/>
  <c r="I3547" i="58"/>
  <c r="J3547" i="58" s="1"/>
  <c r="H3547" i="58"/>
  <c r="P3546" i="58"/>
  <c r="O3546" i="58"/>
  <c r="L3546" i="58"/>
  <c r="I3546" i="58"/>
  <c r="J3546" i="58" s="1"/>
  <c r="H3546" i="58"/>
  <c r="P3545" i="58"/>
  <c r="O3545" i="58"/>
  <c r="L3545" i="58"/>
  <c r="I3545" i="58"/>
  <c r="J3545" i="58" s="1"/>
  <c r="H3545" i="58"/>
  <c r="P3544" i="58"/>
  <c r="O3544" i="58"/>
  <c r="L3544" i="58"/>
  <c r="I3544" i="58"/>
  <c r="J3544" i="58" s="1"/>
  <c r="H3544" i="58"/>
  <c r="P3543" i="58"/>
  <c r="O3543" i="58"/>
  <c r="L3543" i="58"/>
  <c r="I3543" i="58"/>
  <c r="J3543" i="58" s="1"/>
  <c r="H3543" i="58"/>
  <c r="P3542" i="58"/>
  <c r="O3542" i="58"/>
  <c r="L3542" i="58"/>
  <c r="I3542" i="58"/>
  <c r="J3542" i="58" s="1"/>
  <c r="H3542" i="58"/>
  <c r="P3541" i="58"/>
  <c r="O3541" i="58"/>
  <c r="L3541" i="58"/>
  <c r="I3541" i="58"/>
  <c r="J3541" i="58" s="1"/>
  <c r="H3541" i="58"/>
  <c r="P3540" i="58"/>
  <c r="O3540" i="58"/>
  <c r="L3540" i="58"/>
  <c r="I3540" i="58"/>
  <c r="J3540" i="58" s="1"/>
  <c r="H3540" i="58"/>
  <c r="P3539" i="58"/>
  <c r="O3539" i="58"/>
  <c r="L3539" i="58"/>
  <c r="I3539" i="58"/>
  <c r="J3539" i="58" s="1"/>
  <c r="H3539" i="58"/>
  <c r="P3538" i="58"/>
  <c r="O3538" i="58"/>
  <c r="L3538" i="58"/>
  <c r="I3538" i="58"/>
  <c r="J3538" i="58" s="1"/>
  <c r="H3538" i="58"/>
  <c r="P3537" i="58"/>
  <c r="O3537" i="58"/>
  <c r="L3537" i="58"/>
  <c r="I3537" i="58"/>
  <c r="J3537" i="58" s="1"/>
  <c r="H3537" i="58"/>
  <c r="P3536" i="58"/>
  <c r="O3536" i="58"/>
  <c r="L3536" i="58"/>
  <c r="I3536" i="58"/>
  <c r="J3536" i="58" s="1"/>
  <c r="H3536" i="58"/>
  <c r="P3535" i="58"/>
  <c r="O3535" i="58"/>
  <c r="L3535" i="58"/>
  <c r="I3535" i="58"/>
  <c r="J3535" i="58" s="1"/>
  <c r="H3535" i="58"/>
  <c r="P3534" i="58"/>
  <c r="O3534" i="58"/>
  <c r="L3534" i="58"/>
  <c r="I3534" i="58"/>
  <c r="J3534" i="58" s="1"/>
  <c r="H3534" i="58"/>
  <c r="P3533" i="58"/>
  <c r="O3533" i="58"/>
  <c r="L3533" i="58"/>
  <c r="I3533" i="58"/>
  <c r="J3533" i="58" s="1"/>
  <c r="H3533" i="58"/>
  <c r="P3532" i="58"/>
  <c r="O3532" i="58"/>
  <c r="L3532" i="58"/>
  <c r="I3532" i="58"/>
  <c r="J3532" i="58" s="1"/>
  <c r="H3532" i="58"/>
  <c r="P3531" i="58"/>
  <c r="O3531" i="58"/>
  <c r="L3531" i="58"/>
  <c r="I3531" i="58"/>
  <c r="J3531" i="58" s="1"/>
  <c r="H3531" i="58"/>
  <c r="P3530" i="58"/>
  <c r="O3530" i="58"/>
  <c r="L3530" i="58"/>
  <c r="I3530" i="58"/>
  <c r="J3530" i="58" s="1"/>
  <c r="H3530" i="58"/>
  <c r="P3529" i="58"/>
  <c r="O3529" i="58"/>
  <c r="L3529" i="58"/>
  <c r="I3529" i="58"/>
  <c r="J3529" i="58" s="1"/>
  <c r="H3529" i="58"/>
  <c r="P3528" i="58"/>
  <c r="O3528" i="58"/>
  <c r="L3528" i="58"/>
  <c r="I3528" i="58"/>
  <c r="J3528" i="58" s="1"/>
  <c r="H3528" i="58"/>
  <c r="P3527" i="58"/>
  <c r="O3527" i="58"/>
  <c r="L3527" i="58"/>
  <c r="I3527" i="58"/>
  <c r="J3527" i="58" s="1"/>
  <c r="H3527" i="58"/>
  <c r="P3526" i="58"/>
  <c r="O3526" i="58"/>
  <c r="L3526" i="58"/>
  <c r="I3526" i="58"/>
  <c r="J3526" i="58" s="1"/>
  <c r="H3526" i="58"/>
  <c r="P3525" i="58"/>
  <c r="O3525" i="58"/>
  <c r="L3525" i="58"/>
  <c r="I3525" i="58"/>
  <c r="J3525" i="58" s="1"/>
  <c r="H3525" i="58"/>
  <c r="P3524" i="58"/>
  <c r="O3524" i="58"/>
  <c r="L3524" i="58"/>
  <c r="I3524" i="58"/>
  <c r="J3524" i="58" s="1"/>
  <c r="H3524" i="58"/>
  <c r="P3523" i="58"/>
  <c r="O3523" i="58"/>
  <c r="L3523" i="58"/>
  <c r="I3523" i="58"/>
  <c r="J3523" i="58" s="1"/>
  <c r="H3523" i="58"/>
  <c r="P3522" i="58"/>
  <c r="O3522" i="58"/>
  <c r="L3522" i="58"/>
  <c r="I3522" i="58"/>
  <c r="J3522" i="58" s="1"/>
  <c r="H3522" i="58"/>
  <c r="P3521" i="58"/>
  <c r="O3521" i="58"/>
  <c r="L3521" i="58"/>
  <c r="I3521" i="58"/>
  <c r="J3521" i="58" s="1"/>
  <c r="H3521" i="58"/>
  <c r="P3520" i="58"/>
  <c r="O3520" i="58"/>
  <c r="L3520" i="58"/>
  <c r="I3520" i="58"/>
  <c r="J3520" i="58" s="1"/>
  <c r="H3520" i="58"/>
  <c r="P3519" i="58"/>
  <c r="O3519" i="58"/>
  <c r="L3519" i="58"/>
  <c r="I3519" i="58"/>
  <c r="J3519" i="58" s="1"/>
  <c r="H3519" i="58"/>
  <c r="P3518" i="58"/>
  <c r="O3518" i="58"/>
  <c r="L3518" i="58"/>
  <c r="I3518" i="58"/>
  <c r="J3518" i="58" s="1"/>
  <c r="H3518" i="58"/>
  <c r="P3517" i="58"/>
  <c r="O3517" i="58"/>
  <c r="L3517" i="58"/>
  <c r="I3517" i="58"/>
  <c r="J3517" i="58" s="1"/>
  <c r="H3517" i="58"/>
  <c r="P3516" i="58"/>
  <c r="O3516" i="58"/>
  <c r="L3516" i="58"/>
  <c r="I3516" i="58"/>
  <c r="J3516" i="58" s="1"/>
  <c r="H3516" i="58"/>
  <c r="P3515" i="58"/>
  <c r="O3515" i="58"/>
  <c r="L3515" i="58"/>
  <c r="I3515" i="58"/>
  <c r="J3515" i="58" s="1"/>
  <c r="H3515" i="58"/>
  <c r="P3514" i="58"/>
  <c r="O3514" i="58"/>
  <c r="L3514" i="58"/>
  <c r="I3514" i="58"/>
  <c r="J3514" i="58" s="1"/>
  <c r="H3514" i="58"/>
  <c r="P3513" i="58"/>
  <c r="O3513" i="58"/>
  <c r="L3513" i="58"/>
  <c r="I3513" i="58"/>
  <c r="J3513" i="58" s="1"/>
  <c r="H3513" i="58"/>
  <c r="P3512" i="58"/>
  <c r="O3512" i="58"/>
  <c r="L3512" i="58"/>
  <c r="I3512" i="58"/>
  <c r="J3512" i="58" s="1"/>
  <c r="H3512" i="58"/>
  <c r="P3511" i="58"/>
  <c r="O3511" i="58"/>
  <c r="L3511" i="58"/>
  <c r="I3511" i="58"/>
  <c r="J3511" i="58" s="1"/>
  <c r="H3511" i="58"/>
  <c r="P3510" i="58"/>
  <c r="O3510" i="58"/>
  <c r="L3510" i="58"/>
  <c r="I3510" i="58"/>
  <c r="J3510" i="58" s="1"/>
  <c r="H3510" i="58"/>
  <c r="P3509" i="58"/>
  <c r="O3509" i="58"/>
  <c r="L3509" i="58"/>
  <c r="I3509" i="58"/>
  <c r="J3509" i="58" s="1"/>
  <c r="H3509" i="58"/>
  <c r="P3508" i="58"/>
  <c r="O3508" i="58"/>
  <c r="L3508" i="58"/>
  <c r="I3508" i="58"/>
  <c r="J3508" i="58" s="1"/>
  <c r="H3508" i="58"/>
  <c r="P3507" i="58"/>
  <c r="O3507" i="58"/>
  <c r="L3507" i="58"/>
  <c r="I3507" i="58"/>
  <c r="J3507" i="58" s="1"/>
  <c r="H3507" i="58"/>
  <c r="P3506" i="58"/>
  <c r="O3506" i="58"/>
  <c r="L3506" i="58"/>
  <c r="I3506" i="58"/>
  <c r="J3506" i="58" s="1"/>
  <c r="H3506" i="58"/>
  <c r="P3505" i="58"/>
  <c r="O3505" i="58"/>
  <c r="L3505" i="58"/>
  <c r="I3505" i="58"/>
  <c r="J3505" i="58" s="1"/>
  <c r="H3505" i="58"/>
  <c r="P3504" i="58"/>
  <c r="O3504" i="58"/>
  <c r="L3504" i="58"/>
  <c r="I3504" i="58"/>
  <c r="J3504" i="58" s="1"/>
  <c r="H3504" i="58"/>
  <c r="P3503" i="58"/>
  <c r="O3503" i="58"/>
  <c r="L3503" i="58"/>
  <c r="I3503" i="58"/>
  <c r="J3503" i="58" s="1"/>
  <c r="H3503" i="58"/>
  <c r="P3502" i="58"/>
  <c r="O3502" i="58"/>
  <c r="L3502" i="58"/>
  <c r="I3502" i="58"/>
  <c r="J3502" i="58" s="1"/>
  <c r="H3502" i="58"/>
  <c r="P3501" i="58"/>
  <c r="O3501" i="58"/>
  <c r="L3501" i="58"/>
  <c r="I3501" i="58"/>
  <c r="J3501" i="58" s="1"/>
  <c r="H3501" i="58"/>
  <c r="P3500" i="58"/>
  <c r="O3500" i="58"/>
  <c r="L3500" i="58"/>
  <c r="I3500" i="58"/>
  <c r="J3500" i="58" s="1"/>
  <c r="H3500" i="58"/>
  <c r="P3499" i="58"/>
  <c r="O3499" i="58"/>
  <c r="L3499" i="58"/>
  <c r="I3499" i="58"/>
  <c r="J3499" i="58" s="1"/>
  <c r="H3499" i="58"/>
  <c r="P3498" i="58"/>
  <c r="O3498" i="58"/>
  <c r="L3498" i="58"/>
  <c r="I3498" i="58"/>
  <c r="J3498" i="58" s="1"/>
  <c r="H3498" i="58"/>
  <c r="P3497" i="58"/>
  <c r="O3497" i="58"/>
  <c r="L3497" i="58"/>
  <c r="I3497" i="58"/>
  <c r="J3497" i="58" s="1"/>
  <c r="H3497" i="58"/>
  <c r="P3496" i="58"/>
  <c r="O3496" i="58"/>
  <c r="L3496" i="58"/>
  <c r="I3496" i="58"/>
  <c r="J3496" i="58" s="1"/>
  <c r="H3496" i="58"/>
  <c r="P3495" i="58"/>
  <c r="O3495" i="58"/>
  <c r="L3495" i="58"/>
  <c r="I3495" i="58"/>
  <c r="J3495" i="58" s="1"/>
  <c r="H3495" i="58"/>
  <c r="P3494" i="58"/>
  <c r="O3494" i="58"/>
  <c r="L3494" i="58"/>
  <c r="I3494" i="58"/>
  <c r="J3494" i="58" s="1"/>
  <c r="H3494" i="58"/>
  <c r="P3493" i="58"/>
  <c r="O3493" i="58"/>
  <c r="L3493" i="58"/>
  <c r="I3493" i="58"/>
  <c r="J3493" i="58" s="1"/>
  <c r="H3493" i="58"/>
  <c r="P3492" i="58"/>
  <c r="O3492" i="58"/>
  <c r="L3492" i="58"/>
  <c r="I3492" i="58"/>
  <c r="J3492" i="58" s="1"/>
  <c r="H3492" i="58"/>
  <c r="P3491" i="58"/>
  <c r="O3491" i="58"/>
  <c r="L3491" i="58"/>
  <c r="I3491" i="58"/>
  <c r="J3491" i="58" s="1"/>
  <c r="H3491" i="58"/>
  <c r="P3490" i="58"/>
  <c r="O3490" i="58"/>
  <c r="L3490" i="58"/>
  <c r="I3490" i="58"/>
  <c r="J3490" i="58" s="1"/>
  <c r="H3490" i="58"/>
  <c r="P3489" i="58"/>
  <c r="O3489" i="58"/>
  <c r="L3489" i="58"/>
  <c r="I3489" i="58"/>
  <c r="J3489" i="58" s="1"/>
  <c r="H3489" i="58"/>
  <c r="P3488" i="58"/>
  <c r="O3488" i="58"/>
  <c r="L3488" i="58"/>
  <c r="I3488" i="58"/>
  <c r="J3488" i="58" s="1"/>
  <c r="H3488" i="58"/>
  <c r="P3487" i="58"/>
  <c r="O3487" i="58"/>
  <c r="L3487" i="58"/>
  <c r="I3487" i="58"/>
  <c r="J3487" i="58" s="1"/>
  <c r="H3487" i="58"/>
  <c r="P3486" i="58"/>
  <c r="O3486" i="58"/>
  <c r="L3486" i="58"/>
  <c r="I3486" i="58"/>
  <c r="J3486" i="58" s="1"/>
  <c r="H3486" i="58"/>
  <c r="P3485" i="58"/>
  <c r="O3485" i="58"/>
  <c r="L3485" i="58"/>
  <c r="I3485" i="58"/>
  <c r="J3485" i="58" s="1"/>
  <c r="H3485" i="58"/>
  <c r="P3484" i="58"/>
  <c r="O3484" i="58"/>
  <c r="L3484" i="58"/>
  <c r="I3484" i="58"/>
  <c r="J3484" i="58" s="1"/>
  <c r="H3484" i="58"/>
  <c r="P3483" i="58"/>
  <c r="O3483" i="58"/>
  <c r="L3483" i="58"/>
  <c r="I3483" i="58"/>
  <c r="J3483" i="58" s="1"/>
  <c r="H3483" i="58"/>
  <c r="P3482" i="58"/>
  <c r="O3482" i="58"/>
  <c r="L3482" i="58"/>
  <c r="I3482" i="58"/>
  <c r="J3482" i="58" s="1"/>
  <c r="H3482" i="58"/>
  <c r="P3481" i="58"/>
  <c r="O3481" i="58"/>
  <c r="L3481" i="58"/>
  <c r="I3481" i="58"/>
  <c r="J3481" i="58" s="1"/>
  <c r="H3481" i="58"/>
  <c r="P3480" i="58"/>
  <c r="O3480" i="58"/>
  <c r="L3480" i="58"/>
  <c r="I3480" i="58"/>
  <c r="J3480" i="58" s="1"/>
  <c r="H3480" i="58"/>
  <c r="P3479" i="58"/>
  <c r="O3479" i="58"/>
  <c r="L3479" i="58"/>
  <c r="I3479" i="58"/>
  <c r="J3479" i="58" s="1"/>
  <c r="H3479" i="58"/>
  <c r="P3478" i="58"/>
  <c r="O3478" i="58"/>
  <c r="L3478" i="58"/>
  <c r="I3478" i="58"/>
  <c r="J3478" i="58" s="1"/>
  <c r="H3478" i="58"/>
  <c r="P3477" i="58"/>
  <c r="O3477" i="58"/>
  <c r="L3477" i="58"/>
  <c r="I3477" i="58"/>
  <c r="J3477" i="58" s="1"/>
  <c r="H3477" i="58"/>
  <c r="P3476" i="58"/>
  <c r="O3476" i="58"/>
  <c r="L3476" i="58"/>
  <c r="I3476" i="58"/>
  <c r="J3476" i="58" s="1"/>
  <c r="H3476" i="58"/>
  <c r="P3475" i="58"/>
  <c r="O3475" i="58"/>
  <c r="L3475" i="58"/>
  <c r="I3475" i="58"/>
  <c r="J3475" i="58" s="1"/>
  <c r="H3475" i="58"/>
  <c r="P3474" i="58"/>
  <c r="O3474" i="58"/>
  <c r="L3474" i="58"/>
  <c r="I3474" i="58"/>
  <c r="J3474" i="58" s="1"/>
  <c r="H3474" i="58"/>
  <c r="P3473" i="58"/>
  <c r="O3473" i="58"/>
  <c r="L3473" i="58"/>
  <c r="I3473" i="58"/>
  <c r="J3473" i="58" s="1"/>
  <c r="H3473" i="58"/>
  <c r="P3472" i="58"/>
  <c r="O3472" i="58"/>
  <c r="L3472" i="58"/>
  <c r="I3472" i="58"/>
  <c r="J3472" i="58" s="1"/>
  <c r="H3472" i="58"/>
  <c r="P3471" i="58"/>
  <c r="O3471" i="58"/>
  <c r="L3471" i="58"/>
  <c r="I3471" i="58"/>
  <c r="J3471" i="58" s="1"/>
  <c r="H3471" i="58"/>
  <c r="P3470" i="58"/>
  <c r="O3470" i="58"/>
  <c r="L3470" i="58"/>
  <c r="I3470" i="58"/>
  <c r="J3470" i="58" s="1"/>
  <c r="H3470" i="58"/>
  <c r="P3469" i="58"/>
  <c r="O3469" i="58"/>
  <c r="L3469" i="58"/>
  <c r="I3469" i="58"/>
  <c r="J3469" i="58" s="1"/>
  <c r="H3469" i="58"/>
  <c r="P3468" i="58"/>
  <c r="O3468" i="58"/>
  <c r="L3468" i="58"/>
  <c r="I3468" i="58"/>
  <c r="J3468" i="58" s="1"/>
  <c r="H3468" i="58"/>
  <c r="P3467" i="58"/>
  <c r="O3467" i="58"/>
  <c r="L3467" i="58"/>
  <c r="I3467" i="58"/>
  <c r="J3467" i="58" s="1"/>
  <c r="H3467" i="58"/>
  <c r="P3466" i="58"/>
  <c r="O3466" i="58"/>
  <c r="L3466" i="58"/>
  <c r="I3466" i="58"/>
  <c r="J3466" i="58" s="1"/>
  <c r="H3466" i="58"/>
  <c r="P3465" i="58"/>
  <c r="O3465" i="58"/>
  <c r="L3465" i="58"/>
  <c r="I3465" i="58"/>
  <c r="J3465" i="58" s="1"/>
  <c r="H3465" i="58"/>
  <c r="P3464" i="58"/>
  <c r="O3464" i="58"/>
  <c r="L3464" i="58"/>
  <c r="I3464" i="58"/>
  <c r="J3464" i="58" s="1"/>
  <c r="H3464" i="58"/>
  <c r="P3463" i="58"/>
  <c r="O3463" i="58"/>
  <c r="L3463" i="58"/>
  <c r="I3463" i="58"/>
  <c r="J3463" i="58" s="1"/>
  <c r="H3463" i="58"/>
  <c r="P3462" i="58"/>
  <c r="O3462" i="58"/>
  <c r="L3462" i="58"/>
  <c r="I3462" i="58"/>
  <c r="J3462" i="58" s="1"/>
  <c r="H3462" i="58"/>
  <c r="P3461" i="58"/>
  <c r="O3461" i="58"/>
  <c r="L3461" i="58"/>
  <c r="I3461" i="58"/>
  <c r="J3461" i="58" s="1"/>
  <c r="H3461" i="58"/>
  <c r="P3460" i="58"/>
  <c r="O3460" i="58"/>
  <c r="L3460" i="58"/>
  <c r="I3460" i="58"/>
  <c r="J3460" i="58" s="1"/>
  <c r="H3460" i="58"/>
  <c r="P3459" i="58"/>
  <c r="O3459" i="58"/>
  <c r="L3459" i="58"/>
  <c r="I3459" i="58"/>
  <c r="J3459" i="58" s="1"/>
  <c r="H3459" i="58"/>
  <c r="P3458" i="58"/>
  <c r="O3458" i="58"/>
  <c r="L3458" i="58"/>
  <c r="I3458" i="58"/>
  <c r="J3458" i="58" s="1"/>
  <c r="H3458" i="58"/>
  <c r="P3457" i="58"/>
  <c r="O3457" i="58"/>
  <c r="L3457" i="58"/>
  <c r="I3457" i="58"/>
  <c r="J3457" i="58" s="1"/>
  <c r="H3457" i="58"/>
  <c r="P3456" i="58"/>
  <c r="O3456" i="58"/>
  <c r="L3456" i="58"/>
  <c r="I3456" i="58"/>
  <c r="J3456" i="58" s="1"/>
  <c r="H3456" i="58"/>
  <c r="P3455" i="58"/>
  <c r="O3455" i="58"/>
  <c r="L3455" i="58"/>
  <c r="I3455" i="58"/>
  <c r="J3455" i="58" s="1"/>
  <c r="H3455" i="58"/>
  <c r="P3454" i="58"/>
  <c r="O3454" i="58"/>
  <c r="L3454" i="58"/>
  <c r="I3454" i="58"/>
  <c r="J3454" i="58" s="1"/>
  <c r="H3454" i="58"/>
  <c r="P3453" i="58"/>
  <c r="O3453" i="58"/>
  <c r="L3453" i="58"/>
  <c r="I3453" i="58"/>
  <c r="J3453" i="58" s="1"/>
  <c r="H3453" i="58"/>
  <c r="P3452" i="58"/>
  <c r="O3452" i="58"/>
  <c r="L3452" i="58"/>
  <c r="I3452" i="58"/>
  <c r="J3452" i="58" s="1"/>
  <c r="H3452" i="58"/>
  <c r="P3451" i="58"/>
  <c r="O3451" i="58"/>
  <c r="L3451" i="58"/>
  <c r="I3451" i="58"/>
  <c r="J3451" i="58" s="1"/>
  <c r="H3451" i="58"/>
  <c r="P3450" i="58"/>
  <c r="O3450" i="58"/>
  <c r="L3450" i="58"/>
  <c r="I3450" i="58"/>
  <c r="J3450" i="58" s="1"/>
  <c r="H3450" i="58"/>
  <c r="P3449" i="58"/>
  <c r="O3449" i="58"/>
  <c r="L3449" i="58"/>
  <c r="I3449" i="58"/>
  <c r="J3449" i="58" s="1"/>
  <c r="H3449" i="58"/>
  <c r="P3448" i="58"/>
  <c r="O3448" i="58"/>
  <c r="L3448" i="58"/>
  <c r="I3448" i="58"/>
  <c r="J3448" i="58" s="1"/>
  <c r="H3448" i="58"/>
  <c r="P3447" i="58"/>
  <c r="O3447" i="58"/>
  <c r="L3447" i="58"/>
  <c r="I3447" i="58"/>
  <c r="J3447" i="58" s="1"/>
  <c r="H3447" i="58"/>
  <c r="P3446" i="58"/>
  <c r="O3446" i="58"/>
  <c r="L3446" i="58"/>
  <c r="I3446" i="58"/>
  <c r="J3446" i="58" s="1"/>
  <c r="H3446" i="58"/>
  <c r="P3445" i="58"/>
  <c r="O3445" i="58"/>
  <c r="L3445" i="58"/>
  <c r="I3445" i="58"/>
  <c r="J3445" i="58" s="1"/>
  <c r="H3445" i="58"/>
  <c r="P3444" i="58"/>
  <c r="O3444" i="58"/>
  <c r="L3444" i="58"/>
  <c r="I3444" i="58"/>
  <c r="J3444" i="58" s="1"/>
  <c r="H3444" i="58"/>
  <c r="P3443" i="58"/>
  <c r="O3443" i="58"/>
  <c r="L3443" i="58"/>
  <c r="I3443" i="58"/>
  <c r="J3443" i="58" s="1"/>
  <c r="H3443" i="58"/>
  <c r="P3442" i="58"/>
  <c r="O3442" i="58"/>
  <c r="L3442" i="58"/>
  <c r="I3442" i="58"/>
  <c r="J3442" i="58" s="1"/>
  <c r="H3442" i="58"/>
  <c r="P3441" i="58"/>
  <c r="O3441" i="58"/>
  <c r="L3441" i="58"/>
  <c r="I3441" i="58"/>
  <c r="J3441" i="58" s="1"/>
  <c r="H3441" i="58"/>
  <c r="P3440" i="58"/>
  <c r="O3440" i="58"/>
  <c r="L3440" i="58"/>
  <c r="I3440" i="58"/>
  <c r="J3440" i="58" s="1"/>
  <c r="H3440" i="58"/>
  <c r="P3439" i="58"/>
  <c r="O3439" i="58"/>
  <c r="L3439" i="58"/>
  <c r="I3439" i="58"/>
  <c r="J3439" i="58" s="1"/>
  <c r="H3439" i="58"/>
  <c r="P3438" i="58"/>
  <c r="O3438" i="58"/>
  <c r="L3438" i="58"/>
  <c r="I3438" i="58"/>
  <c r="J3438" i="58" s="1"/>
  <c r="H3438" i="58"/>
  <c r="P3437" i="58"/>
  <c r="O3437" i="58"/>
  <c r="L3437" i="58"/>
  <c r="I3437" i="58"/>
  <c r="J3437" i="58" s="1"/>
  <c r="H3437" i="58"/>
  <c r="P3436" i="58"/>
  <c r="O3436" i="58"/>
  <c r="L3436" i="58"/>
  <c r="I3436" i="58"/>
  <c r="J3436" i="58" s="1"/>
  <c r="H3436" i="58"/>
  <c r="P3435" i="58"/>
  <c r="O3435" i="58"/>
  <c r="L3435" i="58"/>
  <c r="I3435" i="58"/>
  <c r="J3435" i="58" s="1"/>
  <c r="H3435" i="58"/>
  <c r="P3434" i="58"/>
  <c r="O3434" i="58"/>
  <c r="L3434" i="58"/>
  <c r="I3434" i="58"/>
  <c r="J3434" i="58" s="1"/>
  <c r="H3434" i="58"/>
  <c r="P3433" i="58"/>
  <c r="O3433" i="58"/>
  <c r="L3433" i="58"/>
  <c r="I3433" i="58"/>
  <c r="J3433" i="58" s="1"/>
  <c r="H3433" i="58"/>
  <c r="P3432" i="58"/>
  <c r="O3432" i="58"/>
  <c r="L3432" i="58"/>
  <c r="I3432" i="58"/>
  <c r="J3432" i="58" s="1"/>
  <c r="H3432" i="58"/>
  <c r="P3431" i="58"/>
  <c r="O3431" i="58"/>
  <c r="L3431" i="58"/>
  <c r="I3431" i="58"/>
  <c r="J3431" i="58" s="1"/>
  <c r="H3431" i="58"/>
  <c r="P3430" i="58"/>
  <c r="O3430" i="58"/>
  <c r="L3430" i="58"/>
  <c r="I3430" i="58"/>
  <c r="J3430" i="58" s="1"/>
  <c r="H3430" i="58"/>
  <c r="P3429" i="58"/>
  <c r="O3429" i="58"/>
  <c r="L3429" i="58"/>
  <c r="I3429" i="58"/>
  <c r="J3429" i="58" s="1"/>
  <c r="H3429" i="58"/>
  <c r="P3428" i="58"/>
  <c r="O3428" i="58"/>
  <c r="L3428" i="58"/>
  <c r="I3428" i="58"/>
  <c r="J3428" i="58" s="1"/>
  <c r="H3428" i="58"/>
  <c r="P3427" i="58"/>
  <c r="O3427" i="58"/>
  <c r="L3427" i="58"/>
  <c r="I3427" i="58"/>
  <c r="J3427" i="58" s="1"/>
  <c r="H3427" i="58"/>
  <c r="P3426" i="58"/>
  <c r="O3426" i="58"/>
  <c r="L3426" i="58"/>
  <c r="I3426" i="58"/>
  <c r="J3426" i="58" s="1"/>
  <c r="H3426" i="58"/>
  <c r="P3425" i="58"/>
  <c r="O3425" i="58"/>
  <c r="L3425" i="58"/>
  <c r="I3425" i="58"/>
  <c r="J3425" i="58" s="1"/>
  <c r="H3425" i="58"/>
  <c r="P3424" i="58"/>
  <c r="O3424" i="58"/>
  <c r="L3424" i="58"/>
  <c r="I3424" i="58"/>
  <c r="J3424" i="58" s="1"/>
  <c r="H3424" i="58"/>
  <c r="P3423" i="58"/>
  <c r="O3423" i="58"/>
  <c r="L3423" i="58"/>
  <c r="I3423" i="58"/>
  <c r="J3423" i="58" s="1"/>
  <c r="H3423" i="58"/>
  <c r="P3422" i="58"/>
  <c r="O3422" i="58"/>
  <c r="L3422" i="58"/>
  <c r="I3422" i="58"/>
  <c r="J3422" i="58" s="1"/>
  <c r="H3422" i="58"/>
  <c r="P3421" i="58"/>
  <c r="O3421" i="58"/>
  <c r="L3421" i="58"/>
  <c r="I3421" i="58"/>
  <c r="J3421" i="58" s="1"/>
  <c r="H3421" i="58"/>
  <c r="P3420" i="58"/>
  <c r="O3420" i="58"/>
  <c r="L3420" i="58"/>
  <c r="I3420" i="58"/>
  <c r="J3420" i="58" s="1"/>
  <c r="H3420" i="58"/>
  <c r="P3419" i="58"/>
  <c r="O3419" i="58"/>
  <c r="L3419" i="58"/>
  <c r="I3419" i="58"/>
  <c r="J3419" i="58" s="1"/>
  <c r="H3419" i="58"/>
  <c r="P3418" i="58"/>
  <c r="O3418" i="58"/>
  <c r="L3418" i="58"/>
  <c r="I3418" i="58"/>
  <c r="J3418" i="58" s="1"/>
  <c r="H3418" i="58"/>
  <c r="P3417" i="58"/>
  <c r="O3417" i="58"/>
  <c r="L3417" i="58"/>
  <c r="I3417" i="58"/>
  <c r="J3417" i="58" s="1"/>
  <c r="H3417" i="58"/>
  <c r="P3416" i="58"/>
  <c r="O3416" i="58"/>
  <c r="L3416" i="58"/>
  <c r="I3416" i="58"/>
  <c r="J3416" i="58" s="1"/>
  <c r="H3416" i="58"/>
  <c r="P3415" i="58"/>
  <c r="O3415" i="58"/>
  <c r="L3415" i="58"/>
  <c r="I3415" i="58"/>
  <c r="J3415" i="58" s="1"/>
  <c r="H3415" i="58"/>
  <c r="P3414" i="58"/>
  <c r="O3414" i="58"/>
  <c r="L3414" i="58"/>
  <c r="I3414" i="58"/>
  <c r="J3414" i="58" s="1"/>
  <c r="H3414" i="58"/>
  <c r="P3413" i="58"/>
  <c r="O3413" i="58"/>
  <c r="L3413" i="58"/>
  <c r="I3413" i="58"/>
  <c r="J3413" i="58" s="1"/>
  <c r="H3413" i="58"/>
  <c r="P3412" i="58"/>
  <c r="O3412" i="58"/>
  <c r="L3412" i="58"/>
  <c r="I3412" i="58"/>
  <c r="J3412" i="58" s="1"/>
  <c r="H3412" i="58"/>
  <c r="P3411" i="58"/>
  <c r="O3411" i="58"/>
  <c r="L3411" i="58"/>
  <c r="I3411" i="58"/>
  <c r="J3411" i="58" s="1"/>
  <c r="H3411" i="58"/>
  <c r="P3410" i="58"/>
  <c r="O3410" i="58"/>
  <c r="L3410" i="58"/>
  <c r="I3410" i="58"/>
  <c r="J3410" i="58" s="1"/>
  <c r="H3410" i="58"/>
  <c r="P3409" i="58"/>
  <c r="O3409" i="58"/>
  <c r="L3409" i="58"/>
  <c r="I3409" i="58"/>
  <c r="J3409" i="58" s="1"/>
  <c r="H3409" i="58"/>
  <c r="P3408" i="58"/>
  <c r="O3408" i="58"/>
  <c r="L3408" i="58"/>
  <c r="I3408" i="58"/>
  <c r="J3408" i="58" s="1"/>
  <c r="H3408" i="58"/>
  <c r="P3407" i="58"/>
  <c r="O3407" i="58"/>
  <c r="L3407" i="58"/>
  <c r="I3407" i="58"/>
  <c r="J3407" i="58" s="1"/>
  <c r="H3407" i="58"/>
  <c r="P3406" i="58"/>
  <c r="O3406" i="58"/>
  <c r="L3406" i="58"/>
  <c r="I3406" i="58"/>
  <c r="J3406" i="58" s="1"/>
  <c r="H3406" i="58"/>
  <c r="P3405" i="58"/>
  <c r="O3405" i="58"/>
  <c r="L3405" i="58"/>
  <c r="I3405" i="58"/>
  <c r="J3405" i="58" s="1"/>
  <c r="H3405" i="58"/>
  <c r="P3404" i="58"/>
  <c r="O3404" i="58"/>
  <c r="L3404" i="58"/>
  <c r="I3404" i="58"/>
  <c r="J3404" i="58" s="1"/>
  <c r="H3404" i="58"/>
  <c r="P3403" i="58"/>
  <c r="O3403" i="58"/>
  <c r="L3403" i="58"/>
  <c r="I3403" i="58"/>
  <c r="J3403" i="58" s="1"/>
  <c r="H3403" i="58"/>
  <c r="P3402" i="58"/>
  <c r="O3402" i="58"/>
  <c r="L3402" i="58"/>
  <c r="I3402" i="58"/>
  <c r="J3402" i="58" s="1"/>
  <c r="H3402" i="58"/>
  <c r="P3401" i="58"/>
  <c r="O3401" i="58"/>
  <c r="L3401" i="58"/>
  <c r="I3401" i="58"/>
  <c r="J3401" i="58" s="1"/>
  <c r="H3401" i="58"/>
  <c r="P3400" i="58"/>
  <c r="O3400" i="58"/>
  <c r="L3400" i="58"/>
  <c r="I3400" i="58"/>
  <c r="J3400" i="58" s="1"/>
  <c r="H3400" i="58"/>
  <c r="P3399" i="58"/>
  <c r="O3399" i="58"/>
  <c r="L3399" i="58"/>
  <c r="I3399" i="58"/>
  <c r="J3399" i="58" s="1"/>
  <c r="H3399" i="58"/>
  <c r="P3398" i="58"/>
  <c r="O3398" i="58"/>
  <c r="L3398" i="58"/>
  <c r="I3398" i="58"/>
  <c r="J3398" i="58" s="1"/>
  <c r="H3398" i="58"/>
  <c r="P3397" i="58"/>
  <c r="O3397" i="58"/>
  <c r="L3397" i="58"/>
  <c r="I3397" i="58"/>
  <c r="J3397" i="58" s="1"/>
  <c r="H3397" i="58"/>
  <c r="P3396" i="58"/>
  <c r="O3396" i="58"/>
  <c r="L3396" i="58"/>
  <c r="I3396" i="58"/>
  <c r="J3396" i="58" s="1"/>
  <c r="H3396" i="58"/>
  <c r="P3395" i="58"/>
  <c r="O3395" i="58"/>
  <c r="L3395" i="58"/>
  <c r="I3395" i="58"/>
  <c r="J3395" i="58" s="1"/>
  <c r="H3395" i="58"/>
  <c r="P3394" i="58"/>
  <c r="O3394" i="58"/>
  <c r="L3394" i="58"/>
  <c r="I3394" i="58"/>
  <c r="J3394" i="58" s="1"/>
  <c r="H3394" i="58"/>
  <c r="P3393" i="58"/>
  <c r="O3393" i="58"/>
  <c r="L3393" i="58"/>
  <c r="I3393" i="58"/>
  <c r="J3393" i="58" s="1"/>
  <c r="H3393" i="58"/>
  <c r="P3392" i="58"/>
  <c r="O3392" i="58"/>
  <c r="L3392" i="58"/>
  <c r="I3392" i="58"/>
  <c r="J3392" i="58" s="1"/>
  <c r="H3392" i="58"/>
  <c r="P3391" i="58"/>
  <c r="O3391" i="58"/>
  <c r="L3391" i="58"/>
  <c r="I3391" i="58"/>
  <c r="J3391" i="58" s="1"/>
  <c r="H3391" i="58"/>
  <c r="P3390" i="58"/>
  <c r="O3390" i="58"/>
  <c r="L3390" i="58"/>
  <c r="I3390" i="58"/>
  <c r="J3390" i="58" s="1"/>
  <c r="H3390" i="58"/>
  <c r="P3389" i="58"/>
  <c r="O3389" i="58"/>
  <c r="L3389" i="58"/>
  <c r="I3389" i="58"/>
  <c r="J3389" i="58" s="1"/>
  <c r="H3389" i="58"/>
  <c r="P3388" i="58"/>
  <c r="O3388" i="58"/>
  <c r="L3388" i="58"/>
  <c r="I3388" i="58"/>
  <c r="J3388" i="58" s="1"/>
  <c r="H3388" i="58"/>
  <c r="P3387" i="58"/>
  <c r="O3387" i="58"/>
  <c r="L3387" i="58"/>
  <c r="I3387" i="58"/>
  <c r="J3387" i="58" s="1"/>
  <c r="H3387" i="58"/>
  <c r="P3386" i="58"/>
  <c r="O3386" i="58"/>
  <c r="L3386" i="58"/>
  <c r="I3386" i="58"/>
  <c r="J3386" i="58" s="1"/>
  <c r="H3386" i="58"/>
  <c r="P3385" i="58"/>
  <c r="O3385" i="58"/>
  <c r="L3385" i="58"/>
  <c r="I3385" i="58"/>
  <c r="J3385" i="58" s="1"/>
  <c r="H3385" i="58"/>
  <c r="P3384" i="58"/>
  <c r="O3384" i="58"/>
  <c r="L3384" i="58"/>
  <c r="I3384" i="58"/>
  <c r="J3384" i="58" s="1"/>
  <c r="H3384" i="58"/>
  <c r="P3383" i="58"/>
  <c r="O3383" i="58"/>
  <c r="L3383" i="58"/>
  <c r="I3383" i="58"/>
  <c r="J3383" i="58" s="1"/>
  <c r="H3383" i="58"/>
  <c r="P3382" i="58"/>
  <c r="O3382" i="58"/>
  <c r="L3382" i="58"/>
  <c r="I3382" i="58"/>
  <c r="J3382" i="58" s="1"/>
  <c r="H3382" i="58"/>
  <c r="P3381" i="58"/>
  <c r="O3381" i="58"/>
  <c r="L3381" i="58"/>
  <c r="I3381" i="58"/>
  <c r="J3381" i="58" s="1"/>
  <c r="H3381" i="58"/>
  <c r="P3380" i="58"/>
  <c r="O3380" i="58"/>
  <c r="L3380" i="58"/>
  <c r="I3380" i="58"/>
  <c r="J3380" i="58" s="1"/>
  <c r="H3380" i="58"/>
  <c r="P3379" i="58"/>
  <c r="O3379" i="58"/>
  <c r="L3379" i="58"/>
  <c r="I3379" i="58"/>
  <c r="J3379" i="58" s="1"/>
  <c r="H3379" i="58"/>
  <c r="P3378" i="58"/>
  <c r="O3378" i="58"/>
  <c r="L3378" i="58"/>
  <c r="I3378" i="58"/>
  <c r="J3378" i="58" s="1"/>
  <c r="H3378" i="58"/>
  <c r="P3377" i="58"/>
  <c r="O3377" i="58"/>
  <c r="L3377" i="58"/>
  <c r="I3377" i="58"/>
  <c r="J3377" i="58" s="1"/>
  <c r="H3377" i="58"/>
  <c r="P3376" i="58"/>
  <c r="O3376" i="58"/>
  <c r="L3376" i="58"/>
  <c r="I3376" i="58"/>
  <c r="J3376" i="58" s="1"/>
  <c r="H3376" i="58"/>
  <c r="P3375" i="58"/>
  <c r="O3375" i="58"/>
  <c r="L3375" i="58"/>
  <c r="I3375" i="58"/>
  <c r="J3375" i="58" s="1"/>
  <c r="H3375" i="58"/>
  <c r="P3374" i="58"/>
  <c r="O3374" i="58"/>
  <c r="L3374" i="58"/>
  <c r="I3374" i="58"/>
  <c r="J3374" i="58" s="1"/>
  <c r="H3374" i="58"/>
  <c r="P3373" i="58"/>
  <c r="O3373" i="58"/>
  <c r="L3373" i="58"/>
  <c r="I3373" i="58"/>
  <c r="J3373" i="58" s="1"/>
  <c r="H3373" i="58"/>
  <c r="P3372" i="58"/>
  <c r="O3372" i="58"/>
  <c r="L3372" i="58"/>
  <c r="I3372" i="58"/>
  <c r="J3372" i="58" s="1"/>
  <c r="H3372" i="58"/>
  <c r="P3371" i="58"/>
  <c r="O3371" i="58"/>
  <c r="L3371" i="58"/>
  <c r="I3371" i="58"/>
  <c r="J3371" i="58" s="1"/>
  <c r="H3371" i="58"/>
  <c r="P3370" i="58"/>
  <c r="O3370" i="58"/>
  <c r="L3370" i="58"/>
  <c r="I3370" i="58"/>
  <c r="J3370" i="58" s="1"/>
  <c r="H3370" i="58"/>
  <c r="P3369" i="58"/>
  <c r="O3369" i="58"/>
  <c r="L3369" i="58"/>
  <c r="I3369" i="58"/>
  <c r="J3369" i="58" s="1"/>
  <c r="H3369" i="58"/>
  <c r="P3368" i="58"/>
  <c r="O3368" i="58"/>
  <c r="L3368" i="58"/>
  <c r="I3368" i="58"/>
  <c r="J3368" i="58" s="1"/>
  <c r="H3368" i="58"/>
  <c r="P3367" i="58"/>
  <c r="O3367" i="58"/>
  <c r="L3367" i="58"/>
  <c r="I3367" i="58"/>
  <c r="J3367" i="58" s="1"/>
  <c r="H3367" i="58"/>
  <c r="P3366" i="58"/>
  <c r="O3366" i="58"/>
  <c r="L3366" i="58"/>
  <c r="I3366" i="58"/>
  <c r="J3366" i="58" s="1"/>
  <c r="H3366" i="58"/>
  <c r="P3365" i="58"/>
  <c r="O3365" i="58"/>
  <c r="L3365" i="58"/>
  <c r="I3365" i="58"/>
  <c r="J3365" i="58" s="1"/>
  <c r="H3365" i="58"/>
  <c r="P3364" i="58"/>
  <c r="O3364" i="58"/>
  <c r="L3364" i="58"/>
  <c r="I3364" i="58"/>
  <c r="J3364" i="58" s="1"/>
  <c r="H3364" i="58"/>
  <c r="P3363" i="58"/>
  <c r="O3363" i="58"/>
  <c r="L3363" i="58"/>
  <c r="I3363" i="58"/>
  <c r="J3363" i="58" s="1"/>
  <c r="H3363" i="58"/>
  <c r="P3362" i="58"/>
  <c r="O3362" i="58"/>
  <c r="L3362" i="58"/>
  <c r="I3362" i="58"/>
  <c r="J3362" i="58" s="1"/>
  <c r="H3362" i="58"/>
  <c r="P3361" i="58"/>
  <c r="O3361" i="58"/>
  <c r="L3361" i="58"/>
  <c r="I3361" i="58"/>
  <c r="J3361" i="58" s="1"/>
  <c r="H3361" i="58"/>
  <c r="P3360" i="58"/>
  <c r="O3360" i="58"/>
  <c r="L3360" i="58"/>
  <c r="I3360" i="58"/>
  <c r="J3360" i="58" s="1"/>
  <c r="H3360" i="58"/>
  <c r="P3359" i="58"/>
  <c r="O3359" i="58"/>
  <c r="L3359" i="58"/>
  <c r="I3359" i="58"/>
  <c r="J3359" i="58" s="1"/>
  <c r="H3359" i="58"/>
  <c r="P3358" i="58"/>
  <c r="O3358" i="58"/>
  <c r="L3358" i="58"/>
  <c r="I3358" i="58"/>
  <c r="J3358" i="58" s="1"/>
  <c r="H3358" i="58"/>
  <c r="P3357" i="58"/>
  <c r="O3357" i="58"/>
  <c r="L3357" i="58"/>
  <c r="I3357" i="58"/>
  <c r="J3357" i="58" s="1"/>
  <c r="H3357" i="58"/>
  <c r="P3356" i="58"/>
  <c r="O3356" i="58"/>
  <c r="L3356" i="58"/>
  <c r="I3356" i="58"/>
  <c r="J3356" i="58" s="1"/>
  <c r="H3356" i="58"/>
  <c r="P3355" i="58"/>
  <c r="O3355" i="58"/>
  <c r="L3355" i="58"/>
  <c r="I3355" i="58"/>
  <c r="J3355" i="58" s="1"/>
  <c r="H3355" i="58"/>
  <c r="P3354" i="58"/>
  <c r="O3354" i="58"/>
  <c r="L3354" i="58"/>
  <c r="I3354" i="58"/>
  <c r="J3354" i="58" s="1"/>
  <c r="H3354" i="58"/>
  <c r="P3353" i="58"/>
  <c r="O3353" i="58"/>
  <c r="L3353" i="58"/>
  <c r="I3353" i="58"/>
  <c r="J3353" i="58" s="1"/>
  <c r="H3353" i="58"/>
  <c r="P3352" i="58"/>
  <c r="O3352" i="58"/>
  <c r="L3352" i="58"/>
  <c r="I3352" i="58"/>
  <c r="J3352" i="58" s="1"/>
  <c r="H3352" i="58"/>
  <c r="P3351" i="58"/>
  <c r="O3351" i="58"/>
  <c r="L3351" i="58"/>
  <c r="I3351" i="58"/>
  <c r="J3351" i="58" s="1"/>
  <c r="H3351" i="58"/>
  <c r="P3350" i="58"/>
  <c r="O3350" i="58"/>
  <c r="L3350" i="58"/>
  <c r="I3350" i="58"/>
  <c r="J3350" i="58" s="1"/>
  <c r="H3350" i="58"/>
  <c r="P3349" i="58"/>
  <c r="O3349" i="58"/>
  <c r="L3349" i="58"/>
  <c r="I3349" i="58"/>
  <c r="J3349" i="58" s="1"/>
  <c r="H3349" i="58"/>
  <c r="P3348" i="58"/>
  <c r="O3348" i="58"/>
  <c r="L3348" i="58"/>
  <c r="I3348" i="58"/>
  <c r="J3348" i="58" s="1"/>
  <c r="H3348" i="58"/>
  <c r="P3347" i="58"/>
  <c r="O3347" i="58"/>
  <c r="L3347" i="58"/>
  <c r="I3347" i="58"/>
  <c r="J3347" i="58" s="1"/>
  <c r="H3347" i="58"/>
  <c r="P3346" i="58"/>
  <c r="O3346" i="58"/>
  <c r="L3346" i="58"/>
  <c r="I3346" i="58"/>
  <c r="J3346" i="58" s="1"/>
  <c r="H3346" i="58"/>
  <c r="P3345" i="58"/>
  <c r="O3345" i="58"/>
  <c r="L3345" i="58"/>
  <c r="I3345" i="58"/>
  <c r="J3345" i="58" s="1"/>
  <c r="H3345" i="58"/>
  <c r="P3344" i="58"/>
  <c r="O3344" i="58"/>
  <c r="L3344" i="58"/>
  <c r="I3344" i="58"/>
  <c r="J3344" i="58" s="1"/>
  <c r="H3344" i="58"/>
  <c r="P3343" i="58"/>
  <c r="O3343" i="58"/>
  <c r="L3343" i="58"/>
  <c r="I3343" i="58"/>
  <c r="J3343" i="58" s="1"/>
  <c r="H3343" i="58"/>
  <c r="P3342" i="58"/>
  <c r="O3342" i="58"/>
  <c r="L3342" i="58"/>
  <c r="I3342" i="58"/>
  <c r="J3342" i="58" s="1"/>
  <c r="H3342" i="58"/>
  <c r="P3341" i="58"/>
  <c r="O3341" i="58"/>
  <c r="L3341" i="58"/>
  <c r="I3341" i="58"/>
  <c r="J3341" i="58" s="1"/>
  <c r="H3341" i="58"/>
  <c r="P3340" i="58"/>
  <c r="O3340" i="58"/>
  <c r="L3340" i="58"/>
  <c r="I3340" i="58"/>
  <c r="J3340" i="58" s="1"/>
  <c r="H3340" i="58"/>
  <c r="P3339" i="58"/>
  <c r="O3339" i="58"/>
  <c r="L3339" i="58"/>
  <c r="I3339" i="58"/>
  <c r="J3339" i="58" s="1"/>
  <c r="H3339" i="58"/>
  <c r="P3338" i="58"/>
  <c r="O3338" i="58"/>
  <c r="L3338" i="58"/>
  <c r="I3338" i="58"/>
  <c r="J3338" i="58" s="1"/>
  <c r="H3338" i="58"/>
  <c r="P3337" i="58"/>
  <c r="O3337" i="58"/>
  <c r="L3337" i="58"/>
  <c r="I3337" i="58"/>
  <c r="J3337" i="58" s="1"/>
  <c r="H3337" i="58"/>
  <c r="P3336" i="58"/>
  <c r="O3336" i="58"/>
  <c r="L3336" i="58"/>
  <c r="I3336" i="58"/>
  <c r="J3336" i="58" s="1"/>
  <c r="H3336" i="58"/>
  <c r="P3335" i="58"/>
  <c r="O3335" i="58"/>
  <c r="L3335" i="58"/>
  <c r="I3335" i="58"/>
  <c r="J3335" i="58" s="1"/>
  <c r="H3335" i="58"/>
  <c r="P3334" i="58"/>
  <c r="O3334" i="58"/>
  <c r="L3334" i="58"/>
  <c r="I3334" i="58"/>
  <c r="J3334" i="58" s="1"/>
  <c r="H3334" i="58"/>
  <c r="P3333" i="58"/>
  <c r="O3333" i="58"/>
  <c r="L3333" i="58"/>
  <c r="I3333" i="58"/>
  <c r="J3333" i="58" s="1"/>
  <c r="H3333" i="58"/>
  <c r="P3332" i="58"/>
  <c r="O3332" i="58"/>
  <c r="L3332" i="58"/>
  <c r="I3332" i="58"/>
  <c r="J3332" i="58" s="1"/>
  <c r="H3332" i="58"/>
  <c r="P3331" i="58"/>
  <c r="O3331" i="58"/>
  <c r="L3331" i="58"/>
  <c r="I3331" i="58"/>
  <c r="J3331" i="58" s="1"/>
  <c r="H3331" i="58"/>
  <c r="P3330" i="58"/>
  <c r="O3330" i="58"/>
  <c r="L3330" i="58"/>
  <c r="I3330" i="58"/>
  <c r="J3330" i="58" s="1"/>
  <c r="H3330" i="58"/>
  <c r="P3329" i="58"/>
  <c r="O3329" i="58"/>
  <c r="L3329" i="58"/>
  <c r="I3329" i="58"/>
  <c r="J3329" i="58" s="1"/>
  <c r="H3329" i="58"/>
  <c r="P3328" i="58"/>
  <c r="O3328" i="58"/>
  <c r="L3328" i="58"/>
  <c r="I3328" i="58"/>
  <c r="J3328" i="58" s="1"/>
  <c r="H3328" i="58"/>
  <c r="P3327" i="58"/>
  <c r="O3327" i="58"/>
  <c r="L3327" i="58"/>
  <c r="I3327" i="58"/>
  <c r="J3327" i="58" s="1"/>
  <c r="H3327" i="58"/>
  <c r="P3326" i="58"/>
  <c r="O3326" i="58"/>
  <c r="L3326" i="58"/>
  <c r="I3326" i="58"/>
  <c r="J3326" i="58" s="1"/>
  <c r="H3326" i="58"/>
  <c r="P3325" i="58"/>
  <c r="O3325" i="58"/>
  <c r="L3325" i="58"/>
  <c r="I3325" i="58"/>
  <c r="J3325" i="58" s="1"/>
  <c r="H3325" i="58"/>
  <c r="P3324" i="58"/>
  <c r="O3324" i="58"/>
  <c r="L3324" i="58"/>
  <c r="I3324" i="58"/>
  <c r="J3324" i="58" s="1"/>
  <c r="H3324" i="58"/>
  <c r="P3323" i="58"/>
  <c r="O3323" i="58"/>
  <c r="L3323" i="58"/>
  <c r="I3323" i="58"/>
  <c r="J3323" i="58" s="1"/>
  <c r="H3323" i="58"/>
  <c r="P3322" i="58"/>
  <c r="O3322" i="58"/>
  <c r="L3322" i="58"/>
  <c r="I3322" i="58"/>
  <c r="J3322" i="58" s="1"/>
  <c r="H3322" i="58"/>
  <c r="P3321" i="58"/>
  <c r="O3321" i="58"/>
  <c r="L3321" i="58"/>
  <c r="I3321" i="58"/>
  <c r="J3321" i="58" s="1"/>
  <c r="H3321" i="58"/>
  <c r="P3320" i="58"/>
  <c r="O3320" i="58"/>
  <c r="L3320" i="58"/>
  <c r="I3320" i="58"/>
  <c r="J3320" i="58" s="1"/>
  <c r="H3320" i="58"/>
  <c r="P3319" i="58"/>
  <c r="O3319" i="58"/>
  <c r="L3319" i="58"/>
  <c r="I3319" i="58"/>
  <c r="J3319" i="58" s="1"/>
  <c r="H3319" i="58"/>
  <c r="P3318" i="58"/>
  <c r="O3318" i="58"/>
  <c r="L3318" i="58"/>
  <c r="I3318" i="58"/>
  <c r="J3318" i="58" s="1"/>
  <c r="H3318" i="58"/>
  <c r="P3317" i="58"/>
  <c r="O3317" i="58"/>
  <c r="L3317" i="58"/>
  <c r="I3317" i="58"/>
  <c r="J3317" i="58" s="1"/>
  <c r="H3317" i="58"/>
  <c r="P3316" i="58"/>
  <c r="O3316" i="58"/>
  <c r="L3316" i="58"/>
  <c r="I3316" i="58"/>
  <c r="J3316" i="58" s="1"/>
  <c r="H3316" i="58"/>
  <c r="P3315" i="58"/>
  <c r="O3315" i="58"/>
  <c r="L3315" i="58"/>
  <c r="I3315" i="58"/>
  <c r="J3315" i="58" s="1"/>
  <c r="H3315" i="58"/>
  <c r="P3314" i="58"/>
  <c r="O3314" i="58"/>
  <c r="L3314" i="58"/>
  <c r="I3314" i="58"/>
  <c r="J3314" i="58" s="1"/>
  <c r="H3314" i="58"/>
  <c r="P3313" i="58"/>
  <c r="O3313" i="58"/>
  <c r="L3313" i="58"/>
  <c r="I3313" i="58"/>
  <c r="J3313" i="58" s="1"/>
  <c r="H3313" i="58"/>
  <c r="P3312" i="58"/>
  <c r="O3312" i="58"/>
  <c r="L3312" i="58"/>
  <c r="I3312" i="58"/>
  <c r="J3312" i="58" s="1"/>
  <c r="H3312" i="58"/>
  <c r="P3311" i="58"/>
  <c r="O3311" i="58"/>
  <c r="L3311" i="58"/>
  <c r="I3311" i="58"/>
  <c r="J3311" i="58" s="1"/>
  <c r="H3311" i="58"/>
  <c r="P3310" i="58"/>
  <c r="O3310" i="58"/>
  <c r="L3310" i="58"/>
  <c r="I3310" i="58"/>
  <c r="J3310" i="58" s="1"/>
  <c r="H3310" i="58"/>
  <c r="P3309" i="58"/>
  <c r="O3309" i="58"/>
  <c r="L3309" i="58"/>
  <c r="I3309" i="58"/>
  <c r="J3309" i="58" s="1"/>
  <c r="H3309" i="58"/>
  <c r="P3308" i="58"/>
  <c r="O3308" i="58"/>
  <c r="L3308" i="58"/>
  <c r="I3308" i="58"/>
  <c r="J3308" i="58" s="1"/>
  <c r="H3308" i="58"/>
  <c r="P3307" i="58"/>
  <c r="O3307" i="58"/>
  <c r="L3307" i="58"/>
  <c r="I3307" i="58"/>
  <c r="J3307" i="58" s="1"/>
  <c r="H3307" i="58"/>
  <c r="P3306" i="58"/>
  <c r="O3306" i="58"/>
  <c r="L3306" i="58"/>
  <c r="I3306" i="58"/>
  <c r="J3306" i="58" s="1"/>
  <c r="H3306" i="58"/>
  <c r="P3305" i="58"/>
  <c r="O3305" i="58"/>
  <c r="L3305" i="58"/>
  <c r="I3305" i="58"/>
  <c r="J3305" i="58" s="1"/>
  <c r="H3305" i="58"/>
  <c r="P3304" i="58"/>
  <c r="O3304" i="58"/>
  <c r="L3304" i="58"/>
  <c r="I3304" i="58"/>
  <c r="J3304" i="58" s="1"/>
  <c r="H3304" i="58"/>
  <c r="P3303" i="58"/>
  <c r="O3303" i="58"/>
  <c r="L3303" i="58"/>
  <c r="I3303" i="58"/>
  <c r="J3303" i="58" s="1"/>
  <c r="H3303" i="58"/>
  <c r="P3302" i="58"/>
  <c r="O3302" i="58"/>
  <c r="L3302" i="58"/>
  <c r="I3302" i="58"/>
  <c r="J3302" i="58" s="1"/>
  <c r="H3302" i="58"/>
  <c r="P3301" i="58"/>
  <c r="O3301" i="58"/>
  <c r="L3301" i="58"/>
  <c r="I3301" i="58"/>
  <c r="J3301" i="58" s="1"/>
  <c r="H3301" i="58"/>
  <c r="P3300" i="58"/>
  <c r="O3300" i="58"/>
  <c r="L3300" i="58"/>
  <c r="I3300" i="58"/>
  <c r="J3300" i="58" s="1"/>
  <c r="H3300" i="58"/>
  <c r="P3299" i="58"/>
  <c r="O3299" i="58"/>
  <c r="L3299" i="58"/>
  <c r="I3299" i="58"/>
  <c r="J3299" i="58" s="1"/>
  <c r="H3299" i="58"/>
  <c r="P3298" i="58"/>
  <c r="O3298" i="58"/>
  <c r="L3298" i="58"/>
  <c r="I3298" i="58"/>
  <c r="J3298" i="58" s="1"/>
  <c r="H3298" i="58"/>
  <c r="P3297" i="58"/>
  <c r="O3297" i="58"/>
  <c r="L3297" i="58"/>
  <c r="I3297" i="58"/>
  <c r="J3297" i="58" s="1"/>
  <c r="H3297" i="58"/>
  <c r="P3296" i="58"/>
  <c r="O3296" i="58"/>
  <c r="L3296" i="58"/>
  <c r="I3296" i="58"/>
  <c r="J3296" i="58" s="1"/>
  <c r="H3296" i="58"/>
  <c r="P3295" i="58"/>
  <c r="O3295" i="58"/>
  <c r="L3295" i="58"/>
  <c r="I3295" i="58"/>
  <c r="J3295" i="58" s="1"/>
  <c r="H3295" i="58"/>
  <c r="P3294" i="58"/>
  <c r="O3294" i="58"/>
  <c r="L3294" i="58"/>
  <c r="I3294" i="58"/>
  <c r="J3294" i="58" s="1"/>
  <c r="H3294" i="58"/>
  <c r="P3293" i="58"/>
  <c r="O3293" i="58"/>
  <c r="L3293" i="58"/>
  <c r="I3293" i="58"/>
  <c r="J3293" i="58" s="1"/>
  <c r="H3293" i="58"/>
  <c r="P3292" i="58"/>
  <c r="O3292" i="58"/>
  <c r="L3292" i="58"/>
  <c r="I3292" i="58"/>
  <c r="J3292" i="58" s="1"/>
  <c r="H3292" i="58"/>
  <c r="P3291" i="58"/>
  <c r="O3291" i="58"/>
  <c r="L3291" i="58"/>
  <c r="I3291" i="58"/>
  <c r="J3291" i="58" s="1"/>
  <c r="H3291" i="58"/>
  <c r="P3290" i="58"/>
  <c r="O3290" i="58"/>
  <c r="L3290" i="58"/>
  <c r="I3290" i="58"/>
  <c r="J3290" i="58" s="1"/>
  <c r="H3290" i="58"/>
  <c r="P3289" i="58"/>
  <c r="O3289" i="58"/>
  <c r="L3289" i="58"/>
  <c r="I3289" i="58"/>
  <c r="J3289" i="58" s="1"/>
  <c r="H3289" i="58"/>
  <c r="P3288" i="58"/>
  <c r="O3288" i="58"/>
  <c r="L3288" i="58"/>
  <c r="I3288" i="58"/>
  <c r="J3288" i="58" s="1"/>
  <c r="H3288" i="58"/>
  <c r="P3287" i="58"/>
  <c r="O3287" i="58"/>
  <c r="L3287" i="58"/>
  <c r="I3287" i="58"/>
  <c r="J3287" i="58" s="1"/>
  <c r="H3287" i="58"/>
  <c r="P3286" i="58"/>
  <c r="O3286" i="58"/>
  <c r="L3286" i="58"/>
  <c r="I3286" i="58"/>
  <c r="J3286" i="58" s="1"/>
  <c r="H3286" i="58"/>
  <c r="P3285" i="58"/>
  <c r="O3285" i="58"/>
  <c r="L3285" i="58"/>
  <c r="I3285" i="58"/>
  <c r="J3285" i="58" s="1"/>
  <c r="H3285" i="58"/>
  <c r="P3284" i="58"/>
  <c r="O3284" i="58"/>
  <c r="L3284" i="58"/>
  <c r="I3284" i="58"/>
  <c r="J3284" i="58" s="1"/>
  <c r="H3284" i="58"/>
  <c r="P3283" i="58"/>
  <c r="O3283" i="58"/>
  <c r="L3283" i="58"/>
  <c r="I3283" i="58"/>
  <c r="J3283" i="58" s="1"/>
  <c r="H3283" i="58"/>
  <c r="P3282" i="58"/>
  <c r="O3282" i="58"/>
  <c r="L3282" i="58"/>
  <c r="I3282" i="58"/>
  <c r="J3282" i="58" s="1"/>
  <c r="H3282" i="58"/>
  <c r="P3281" i="58"/>
  <c r="O3281" i="58"/>
  <c r="L3281" i="58"/>
  <c r="I3281" i="58"/>
  <c r="J3281" i="58" s="1"/>
  <c r="H3281" i="58"/>
  <c r="P3280" i="58"/>
  <c r="O3280" i="58"/>
  <c r="L3280" i="58"/>
  <c r="I3280" i="58"/>
  <c r="J3280" i="58" s="1"/>
  <c r="H3280" i="58"/>
  <c r="P3279" i="58"/>
  <c r="O3279" i="58"/>
  <c r="L3279" i="58"/>
  <c r="I3279" i="58"/>
  <c r="J3279" i="58" s="1"/>
  <c r="H3279" i="58"/>
  <c r="P3278" i="58"/>
  <c r="O3278" i="58"/>
  <c r="L3278" i="58"/>
  <c r="I3278" i="58"/>
  <c r="J3278" i="58" s="1"/>
  <c r="H3278" i="58"/>
  <c r="P3277" i="58"/>
  <c r="O3277" i="58"/>
  <c r="L3277" i="58"/>
  <c r="I3277" i="58"/>
  <c r="J3277" i="58" s="1"/>
  <c r="H3277" i="58"/>
  <c r="P3276" i="58"/>
  <c r="O3276" i="58"/>
  <c r="L3276" i="58"/>
  <c r="I3276" i="58"/>
  <c r="J3276" i="58" s="1"/>
  <c r="H3276" i="58"/>
  <c r="P3275" i="58"/>
  <c r="O3275" i="58"/>
  <c r="L3275" i="58"/>
  <c r="I3275" i="58"/>
  <c r="J3275" i="58" s="1"/>
  <c r="H3275" i="58"/>
  <c r="P3274" i="58"/>
  <c r="O3274" i="58"/>
  <c r="L3274" i="58"/>
  <c r="I3274" i="58"/>
  <c r="J3274" i="58" s="1"/>
  <c r="H3274" i="58"/>
  <c r="P3273" i="58"/>
  <c r="O3273" i="58"/>
  <c r="L3273" i="58"/>
  <c r="I3273" i="58"/>
  <c r="J3273" i="58" s="1"/>
  <c r="H3273" i="58"/>
  <c r="P3272" i="58"/>
  <c r="O3272" i="58"/>
  <c r="L3272" i="58"/>
  <c r="I3272" i="58"/>
  <c r="J3272" i="58" s="1"/>
  <c r="H3272" i="58"/>
  <c r="P3271" i="58"/>
  <c r="O3271" i="58"/>
  <c r="L3271" i="58"/>
  <c r="I3271" i="58"/>
  <c r="J3271" i="58" s="1"/>
  <c r="H3271" i="58"/>
  <c r="P3270" i="58"/>
  <c r="O3270" i="58"/>
  <c r="L3270" i="58"/>
  <c r="I3270" i="58"/>
  <c r="J3270" i="58" s="1"/>
  <c r="H3270" i="58"/>
  <c r="P3269" i="58"/>
  <c r="O3269" i="58"/>
  <c r="L3269" i="58"/>
  <c r="I3269" i="58"/>
  <c r="J3269" i="58" s="1"/>
  <c r="H3269" i="58"/>
  <c r="P3268" i="58"/>
  <c r="O3268" i="58"/>
  <c r="L3268" i="58"/>
  <c r="I3268" i="58"/>
  <c r="J3268" i="58" s="1"/>
  <c r="H3268" i="58"/>
  <c r="P3267" i="58"/>
  <c r="O3267" i="58"/>
  <c r="L3267" i="58"/>
  <c r="I3267" i="58"/>
  <c r="J3267" i="58" s="1"/>
  <c r="H3267" i="58"/>
  <c r="P3266" i="58"/>
  <c r="O3266" i="58"/>
  <c r="L3266" i="58"/>
  <c r="I3266" i="58"/>
  <c r="J3266" i="58" s="1"/>
  <c r="H3266" i="58"/>
  <c r="P3265" i="58"/>
  <c r="O3265" i="58"/>
  <c r="L3265" i="58"/>
  <c r="I3265" i="58"/>
  <c r="J3265" i="58" s="1"/>
  <c r="H3265" i="58"/>
  <c r="P3264" i="58"/>
  <c r="O3264" i="58"/>
  <c r="L3264" i="58"/>
  <c r="I3264" i="58"/>
  <c r="J3264" i="58" s="1"/>
  <c r="H3264" i="58"/>
  <c r="P3263" i="58"/>
  <c r="O3263" i="58"/>
  <c r="L3263" i="58"/>
  <c r="I3263" i="58"/>
  <c r="J3263" i="58" s="1"/>
  <c r="H3263" i="58"/>
  <c r="P3262" i="58"/>
  <c r="O3262" i="58"/>
  <c r="L3262" i="58"/>
  <c r="I3262" i="58"/>
  <c r="J3262" i="58" s="1"/>
  <c r="H3262" i="58"/>
  <c r="P3261" i="58"/>
  <c r="O3261" i="58"/>
  <c r="L3261" i="58"/>
  <c r="I3261" i="58"/>
  <c r="J3261" i="58" s="1"/>
  <c r="H3261" i="58"/>
  <c r="P3260" i="58"/>
  <c r="O3260" i="58"/>
  <c r="L3260" i="58"/>
  <c r="I3260" i="58"/>
  <c r="J3260" i="58" s="1"/>
  <c r="H3260" i="58"/>
  <c r="P3259" i="58"/>
  <c r="O3259" i="58"/>
  <c r="L3259" i="58"/>
  <c r="I3259" i="58"/>
  <c r="J3259" i="58" s="1"/>
  <c r="H3259" i="58"/>
  <c r="P3258" i="58"/>
  <c r="O3258" i="58"/>
  <c r="L3258" i="58"/>
  <c r="I3258" i="58"/>
  <c r="J3258" i="58" s="1"/>
  <c r="H3258" i="58"/>
  <c r="P3257" i="58"/>
  <c r="O3257" i="58"/>
  <c r="L3257" i="58"/>
  <c r="I3257" i="58"/>
  <c r="J3257" i="58" s="1"/>
  <c r="H3257" i="58"/>
  <c r="P3256" i="58"/>
  <c r="O3256" i="58"/>
  <c r="L3256" i="58"/>
  <c r="I3256" i="58"/>
  <c r="J3256" i="58" s="1"/>
  <c r="H3256" i="58"/>
  <c r="P3255" i="58"/>
  <c r="O3255" i="58"/>
  <c r="L3255" i="58"/>
  <c r="I3255" i="58"/>
  <c r="J3255" i="58" s="1"/>
  <c r="H3255" i="58"/>
  <c r="P3254" i="58"/>
  <c r="O3254" i="58"/>
  <c r="L3254" i="58"/>
  <c r="I3254" i="58"/>
  <c r="J3254" i="58" s="1"/>
  <c r="H3254" i="58"/>
  <c r="P3253" i="58"/>
  <c r="O3253" i="58"/>
  <c r="L3253" i="58"/>
  <c r="I3253" i="58"/>
  <c r="J3253" i="58" s="1"/>
  <c r="H3253" i="58"/>
  <c r="P3252" i="58"/>
  <c r="O3252" i="58"/>
  <c r="L3252" i="58"/>
  <c r="I3252" i="58"/>
  <c r="J3252" i="58" s="1"/>
  <c r="H3252" i="58"/>
  <c r="P3251" i="58"/>
  <c r="O3251" i="58"/>
  <c r="L3251" i="58"/>
  <c r="I3251" i="58"/>
  <c r="J3251" i="58" s="1"/>
  <c r="H3251" i="58"/>
  <c r="P3250" i="58"/>
  <c r="O3250" i="58"/>
  <c r="L3250" i="58"/>
  <c r="I3250" i="58"/>
  <c r="J3250" i="58" s="1"/>
  <c r="H3250" i="58"/>
  <c r="P3249" i="58"/>
  <c r="O3249" i="58"/>
  <c r="L3249" i="58"/>
  <c r="I3249" i="58"/>
  <c r="J3249" i="58" s="1"/>
  <c r="H3249" i="58"/>
  <c r="P3248" i="58"/>
  <c r="O3248" i="58"/>
  <c r="L3248" i="58"/>
  <c r="I3248" i="58"/>
  <c r="J3248" i="58" s="1"/>
  <c r="H3248" i="58"/>
  <c r="P3247" i="58"/>
  <c r="O3247" i="58"/>
  <c r="L3247" i="58"/>
  <c r="I3247" i="58"/>
  <c r="J3247" i="58" s="1"/>
  <c r="H3247" i="58"/>
  <c r="P3246" i="58"/>
  <c r="O3246" i="58"/>
  <c r="L3246" i="58"/>
  <c r="I3246" i="58"/>
  <c r="J3246" i="58" s="1"/>
  <c r="H3246" i="58"/>
  <c r="P3245" i="58"/>
  <c r="O3245" i="58"/>
  <c r="L3245" i="58"/>
  <c r="I3245" i="58"/>
  <c r="J3245" i="58" s="1"/>
  <c r="H3245" i="58"/>
  <c r="P3244" i="58"/>
  <c r="O3244" i="58"/>
  <c r="L3244" i="58"/>
  <c r="I3244" i="58"/>
  <c r="J3244" i="58" s="1"/>
  <c r="H3244" i="58"/>
  <c r="P3243" i="58"/>
  <c r="O3243" i="58"/>
  <c r="L3243" i="58"/>
  <c r="I3243" i="58"/>
  <c r="J3243" i="58" s="1"/>
  <c r="H3243" i="58"/>
  <c r="P3242" i="58"/>
  <c r="O3242" i="58"/>
  <c r="L3242" i="58"/>
  <c r="I3242" i="58"/>
  <c r="J3242" i="58" s="1"/>
  <c r="H3242" i="58"/>
  <c r="P3241" i="58"/>
  <c r="O3241" i="58"/>
  <c r="L3241" i="58"/>
  <c r="I3241" i="58"/>
  <c r="J3241" i="58" s="1"/>
  <c r="H3241" i="58"/>
  <c r="P3240" i="58"/>
  <c r="O3240" i="58"/>
  <c r="L3240" i="58"/>
  <c r="I3240" i="58"/>
  <c r="J3240" i="58" s="1"/>
  <c r="H3240" i="58"/>
  <c r="P3239" i="58"/>
  <c r="O3239" i="58"/>
  <c r="L3239" i="58"/>
  <c r="I3239" i="58"/>
  <c r="J3239" i="58" s="1"/>
  <c r="H3239" i="58"/>
  <c r="P3238" i="58"/>
  <c r="O3238" i="58"/>
  <c r="L3238" i="58"/>
  <c r="I3238" i="58"/>
  <c r="J3238" i="58" s="1"/>
  <c r="H3238" i="58"/>
  <c r="P3237" i="58"/>
  <c r="O3237" i="58"/>
  <c r="L3237" i="58"/>
  <c r="I3237" i="58"/>
  <c r="J3237" i="58" s="1"/>
  <c r="H3237" i="58"/>
  <c r="P3236" i="58"/>
  <c r="O3236" i="58"/>
  <c r="L3236" i="58"/>
  <c r="I3236" i="58"/>
  <c r="J3236" i="58" s="1"/>
  <c r="H3236" i="58"/>
  <c r="P3235" i="58"/>
  <c r="O3235" i="58"/>
  <c r="L3235" i="58"/>
  <c r="I3235" i="58"/>
  <c r="J3235" i="58" s="1"/>
  <c r="H3235" i="58"/>
  <c r="P3234" i="58"/>
  <c r="O3234" i="58"/>
  <c r="L3234" i="58"/>
  <c r="I3234" i="58"/>
  <c r="J3234" i="58" s="1"/>
  <c r="H3234" i="58"/>
  <c r="P3233" i="58"/>
  <c r="O3233" i="58"/>
  <c r="L3233" i="58"/>
  <c r="I3233" i="58"/>
  <c r="J3233" i="58" s="1"/>
  <c r="H3233" i="58"/>
  <c r="P3232" i="58"/>
  <c r="O3232" i="58"/>
  <c r="L3232" i="58"/>
  <c r="I3232" i="58"/>
  <c r="J3232" i="58" s="1"/>
  <c r="H3232" i="58"/>
  <c r="P3231" i="58"/>
  <c r="O3231" i="58"/>
  <c r="L3231" i="58"/>
  <c r="I3231" i="58"/>
  <c r="J3231" i="58" s="1"/>
  <c r="H3231" i="58"/>
  <c r="P3230" i="58"/>
  <c r="O3230" i="58"/>
  <c r="L3230" i="58"/>
  <c r="I3230" i="58"/>
  <c r="J3230" i="58" s="1"/>
  <c r="H3230" i="58"/>
  <c r="P3229" i="58"/>
  <c r="O3229" i="58"/>
  <c r="L3229" i="58"/>
  <c r="I3229" i="58"/>
  <c r="J3229" i="58" s="1"/>
  <c r="H3229" i="58"/>
  <c r="P3228" i="58"/>
  <c r="O3228" i="58"/>
  <c r="L3228" i="58"/>
  <c r="I3228" i="58"/>
  <c r="J3228" i="58" s="1"/>
  <c r="H3228" i="58"/>
  <c r="P3227" i="58"/>
  <c r="O3227" i="58"/>
  <c r="L3227" i="58"/>
  <c r="I3227" i="58"/>
  <c r="J3227" i="58" s="1"/>
  <c r="H3227" i="58"/>
  <c r="P3226" i="58"/>
  <c r="O3226" i="58"/>
  <c r="L3226" i="58"/>
  <c r="I3226" i="58"/>
  <c r="J3226" i="58" s="1"/>
  <c r="H3226" i="58"/>
  <c r="P3225" i="58"/>
  <c r="O3225" i="58"/>
  <c r="L3225" i="58"/>
  <c r="I3225" i="58"/>
  <c r="J3225" i="58" s="1"/>
  <c r="H3225" i="58"/>
  <c r="P3224" i="58"/>
  <c r="O3224" i="58"/>
  <c r="L3224" i="58"/>
  <c r="I3224" i="58"/>
  <c r="J3224" i="58" s="1"/>
  <c r="H3224" i="58"/>
  <c r="P3223" i="58"/>
  <c r="O3223" i="58"/>
  <c r="L3223" i="58"/>
  <c r="I3223" i="58"/>
  <c r="J3223" i="58" s="1"/>
  <c r="H3223" i="58"/>
  <c r="P3222" i="58"/>
  <c r="O3222" i="58"/>
  <c r="L3222" i="58"/>
  <c r="I3222" i="58"/>
  <c r="J3222" i="58" s="1"/>
  <c r="H3222" i="58"/>
  <c r="P3221" i="58"/>
  <c r="O3221" i="58"/>
  <c r="L3221" i="58"/>
  <c r="I3221" i="58"/>
  <c r="J3221" i="58" s="1"/>
  <c r="H3221" i="58"/>
  <c r="P3220" i="58"/>
  <c r="O3220" i="58"/>
  <c r="L3220" i="58"/>
  <c r="I3220" i="58"/>
  <c r="J3220" i="58" s="1"/>
  <c r="H3220" i="58"/>
  <c r="P3219" i="58"/>
  <c r="O3219" i="58"/>
  <c r="L3219" i="58"/>
  <c r="I3219" i="58"/>
  <c r="J3219" i="58" s="1"/>
  <c r="H3219" i="58"/>
  <c r="P3218" i="58"/>
  <c r="O3218" i="58"/>
  <c r="L3218" i="58"/>
  <c r="I3218" i="58"/>
  <c r="J3218" i="58" s="1"/>
  <c r="H3218" i="58"/>
  <c r="P3217" i="58"/>
  <c r="O3217" i="58"/>
  <c r="L3217" i="58"/>
  <c r="I3217" i="58"/>
  <c r="J3217" i="58" s="1"/>
  <c r="H3217" i="58"/>
  <c r="P3216" i="58"/>
  <c r="O3216" i="58"/>
  <c r="L3216" i="58"/>
  <c r="I3216" i="58"/>
  <c r="J3216" i="58" s="1"/>
  <c r="H3216" i="58"/>
  <c r="P3215" i="58"/>
  <c r="O3215" i="58"/>
  <c r="L3215" i="58"/>
  <c r="I3215" i="58"/>
  <c r="J3215" i="58" s="1"/>
  <c r="H3215" i="58"/>
  <c r="P3214" i="58"/>
  <c r="O3214" i="58"/>
  <c r="L3214" i="58"/>
  <c r="I3214" i="58"/>
  <c r="J3214" i="58" s="1"/>
  <c r="H3214" i="58"/>
  <c r="P3213" i="58"/>
  <c r="O3213" i="58"/>
  <c r="L3213" i="58"/>
  <c r="I3213" i="58"/>
  <c r="J3213" i="58" s="1"/>
  <c r="H3213" i="58"/>
  <c r="P3212" i="58"/>
  <c r="O3212" i="58"/>
  <c r="L3212" i="58"/>
  <c r="I3212" i="58"/>
  <c r="J3212" i="58" s="1"/>
  <c r="H3212" i="58"/>
  <c r="P3211" i="58"/>
  <c r="O3211" i="58"/>
  <c r="L3211" i="58"/>
  <c r="I3211" i="58"/>
  <c r="J3211" i="58" s="1"/>
  <c r="H3211" i="58"/>
  <c r="P3210" i="58"/>
  <c r="O3210" i="58"/>
  <c r="L3210" i="58"/>
  <c r="I3210" i="58"/>
  <c r="J3210" i="58" s="1"/>
  <c r="H3210" i="58"/>
  <c r="P3209" i="58"/>
  <c r="O3209" i="58"/>
  <c r="L3209" i="58"/>
  <c r="I3209" i="58"/>
  <c r="J3209" i="58" s="1"/>
  <c r="H3209" i="58"/>
  <c r="P3208" i="58"/>
  <c r="O3208" i="58"/>
  <c r="L3208" i="58"/>
  <c r="I3208" i="58"/>
  <c r="J3208" i="58" s="1"/>
  <c r="H3208" i="58"/>
  <c r="P3207" i="58"/>
  <c r="O3207" i="58"/>
  <c r="L3207" i="58"/>
  <c r="I3207" i="58"/>
  <c r="J3207" i="58" s="1"/>
  <c r="H3207" i="58"/>
  <c r="P3206" i="58"/>
  <c r="O3206" i="58"/>
  <c r="L3206" i="58"/>
  <c r="I3206" i="58"/>
  <c r="J3206" i="58" s="1"/>
  <c r="H3206" i="58"/>
  <c r="P3205" i="58"/>
  <c r="O3205" i="58"/>
  <c r="L3205" i="58"/>
  <c r="I3205" i="58"/>
  <c r="J3205" i="58" s="1"/>
  <c r="H3205" i="58"/>
  <c r="P3204" i="58"/>
  <c r="O3204" i="58"/>
  <c r="L3204" i="58"/>
  <c r="I3204" i="58"/>
  <c r="J3204" i="58" s="1"/>
  <c r="H3204" i="58"/>
  <c r="P3203" i="58"/>
  <c r="O3203" i="58"/>
  <c r="L3203" i="58"/>
  <c r="I3203" i="58"/>
  <c r="J3203" i="58" s="1"/>
  <c r="H3203" i="58"/>
  <c r="P3202" i="58"/>
  <c r="O3202" i="58"/>
  <c r="L3202" i="58"/>
  <c r="I3202" i="58"/>
  <c r="J3202" i="58" s="1"/>
  <c r="H3202" i="58"/>
  <c r="P3201" i="58"/>
  <c r="O3201" i="58"/>
  <c r="L3201" i="58"/>
  <c r="I3201" i="58"/>
  <c r="J3201" i="58" s="1"/>
  <c r="H3201" i="58"/>
  <c r="P3200" i="58"/>
  <c r="O3200" i="58"/>
  <c r="L3200" i="58"/>
  <c r="I3200" i="58"/>
  <c r="J3200" i="58" s="1"/>
  <c r="H3200" i="58"/>
  <c r="P3199" i="58"/>
  <c r="O3199" i="58"/>
  <c r="L3199" i="58"/>
  <c r="I3199" i="58"/>
  <c r="J3199" i="58" s="1"/>
  <c r="H3199" i="58"/>
  <c r="P3198" i="58"/>
  <c r="O3198" i="58"/>
  <c r="L3198" i="58"/>
  <c r="I3198" i="58"/>
  <c r="J3198" i="58" s="1"/>
  <c r="H3198" i="58"/>
  <c r="P3197" i="58"/>
  <c r="O3197" i="58"/>
  <c r="L3197" i="58"/>
  <c r="I3197" i="58"/>
  <c r="J3197" i="58" s="1"/>
  <c r="H3197" i="58"/>
  <c r="P3196" i="58"/>
  <c r="O3196" i="58"/>
  <c r="L3196" i="58"/>
  <c r="I3196" i="58"/>
  <c r="J3196" i="58" s="1"/>
  <c r="H3196" i="58"/>
  <c r="P3195" i="58"/>
  <c r="O3195" i="58"/>
  <c r="L3195" i="58"/>
  <c r="I3195" i="58"/>
  <c r="J3195" i="58" s="1"/>
  <c r="H3195" i="58"/>
  <c r="P3194" i="58"/>
  <c r="O3194" i="58"/>
  <c r="L3194" i="58"/>
  <c r="I3194" i="58"/>
  <c r="J3194" i="58" s="1"/>
  <c r="H3194" i="58"/>
  <c r="P3193" i="58"/>
  <c r="O3193" i="58"/>
  <c r="L3193" i="58"/>
  <c r="I3193" i="58"/>
  <c r="J3193" i="58" s="1"/>
  <c r="H3193" i="58"/>
  <c r="P3192" i="58"/>
  <c r="O3192" i="58"/>
  <c r="L3192" i="58"/>
  <c r="I3192" i="58"/>
  <c r="J3192" i="58" s="1"/>
  <c r="H3192" i="58"/>
  <c r="P3191" i="58"/>
  <c r="O3191" i="58"/>
  <c r="L3191" i="58"/>
  <c r="I3191" i="58"/>
  <c r="J3191" i="58" s="1"/>
  <c r="H3191" i="58"/>
  <c r="P3190" i="58"/>
  <c r="O3190" i="58"/>
  <c r="L3190" i="58"/>
  <c r="I3190" i="58"/>
  <c r="J3190" i="58" s="1"/>
  <c r="H3190" i="58"/>
  <c r="P3189" i="58"/>
  <c r="O3189" i="58"/>
  <c r="L3189" i="58"/>
  <c r="I3189" i="58"/>
  <c r="J3189" i="58" s="1"/>
  <c r="H3189" i="58"/>
  <c r="P3188" i="58"/>
  <c r="O3188" i="58"/>
  <c r="L3188" i="58"/>
  <c r="I3188" i="58"/>
  <c r="J3188" i="58" s="1"/>
  <c r="H3188" i="58"/>
  <c r="P3187" i="58"/>
  <c r="O3187" i="58"/>
  <c r="L3187" i="58"/>
  <c r="I3187" i="58"/>
  <c r="J3187" i="58" s="1"/>
  <c r="H3187" i="58"/>
  <c r="P3186" i="58"/>
  <c r="O3186" i="58"/>
  <c r="L3186" i="58"/>
  <c r="I3186" i="58"/>
  <c r="J3186" i="58" s="1"/>
  <c r="H3186" i="58"/>
  <c r="P3185" i="58"/>
  <c r="O3185" i="58"/>
  <c r="L3185" i="58"/>
  <c r="I3185" i="58"/>
  <c r="J3185" i="58" s="1"/>
  <c r="H3185" i="58"/>
  <c r="S13" i="106"/>
  <c r="S14" i="106"/>
  <c r="B13" i="106"/>
  <c r="D13" i="106" s="1"/>
  <c r="B14" i="106"/>
  <c r="D14" i="106" s="1"/>
  <c r="G6002" i="58" l="1"/>
  <c r="M6002" i="58" s="1"/>
  <c r="G6005" i="58"/>
  <c r="G6411" i="58"/>
  <c r="G6803" i="58"/>
  <c r="M6803" i="58" s="1"/>
  <c r="G6009" i="58"/>
  <c r="M6009" i="58" s="1"/>
  <c r="G6807" i="58"/>
  <c r="G6799" i="58"/>
  <c r="G6004" i="58"/>
  <c r="M6004" i="58" s="1"/>
  <c r="G6007" i="58"/>
  <c r="M6007" i="58" s="1"/>
  <c r="G6800" i="58"/>
  <c r="M6800" i="58" s="1"/>
  <c r="G6008" i="58"/>
  <c r="M6008" i="58" s="1"/>
  <c r="G6409" i="58"/>
  <c r="M6409" i="58" s="1"/>
  <c r="G6412" i="58"/>
  <c r="M6412" i="58" s="1"/>
  <c r="G6806" i="58"/>
  <c r="M6806" i="58" s="1"/>
  <c r="G6408" i="58"/>
  <c r="M6408" i="58" s="1"/>
  <c r="G6801" i="58"/>
  <c r="M6801" i="58" s="1"/>
  <c r="G6804" i="58"/>
  <c r="M6804" i="58" s="1"/>
  <c r="G6805" i="58"/>
  <c r="G6410" i="58"/>
  <c r="M6410" i="58" s="1"/>
  <c r="G6407" i="58"/>
  <c r="M6407" i="58" s="1"/>
  <c r="G6802" i="58"/>
  <c r="M6802" i="58" s="1"/>
  <c r="G6006" i="58"/>
  <c r="M6006" i="58" s="1"/>
  <c r="G6003" i="58"/>
  <c r="M6003" i="58" s="1"/>
  <c r="G4802" i="58"/>
  <c r="M4802" i="58" s="1"/>
  <c r="M6005" i="58"/>
  <c r="M6799" i="58"/>
  <c r="G6348" i="58"/>
  <c r="M6348" i="58" s="1"/>
  <c r="G6349" i="58"/>
  <c r="M6349" i="58" s="1"/>
  <c r="G6115" i="58"/>
  <c r="G6352" i="58"/>
  <c r="G6351" i="58"/>
  <c r="M6351" i="58" s="1"/>
  <c r="G6350" i="58"/>
  <c r="M6350" i="58" s="1"/>
  <c r="G6347" i="58"/>
  <c r="G4804" i="58"/>
  <c r="G4799" i="58"/>
  <c r="G4801" i="58"/>
  <c r="G4803" i="58"/>
  <c r="M4803" i="58" s="1"/>
  <c r="G4805" i="58"/>
  <c r="G4798" i="58"/>
  <c r="G6016" i="58"/>
  <c r="M6016" i="58" s="1"/>
  <c r="G6019" i="58"/>
  <c r="M6019" i="58" s="1"/>
  <c r="G6023" i="58"/>
  <c r="M6023" i="58" s="1"/>
  <c r="G6415" i="58"/>
  <c r="G6012" i="58"/>
  <c r="M6012" i="58" s="1"/>
  <c r="G6026" i="58"/>
  <c r="M6026" i="58" s="1"/>
  <c r="G6010" i="58"/>
  <c r="G6013" i="58"/>
  <c r="G6011" i="58"/>
  <c r="M6011" i="58" s="1"/>
  <c r="G6014" i="58"/>
  <c r="M6014" i="58" s="1"/>
  <c r="G6017" i="58"/>
  <c r="M6017" i="58" s="1"/>
  <c r="G6020" i="58"/>
  <c r="M6020" i="58" s="1"/>
  <c r="G6414" i="58"/>
  <c r="G6018" i="58"/>
  <c r="M6018" i="58" s="1"/>
  <c r="G6015" i="58"/>
  <c r="M6015" i="58" s="1"/>
  <c r="G6022" i="58"/>
  <c r="M6022" i="58" s="1"/>
  <c r="G6025" i="58"/>
  <c r="M6025" i="58" s="1"/>
  <c r="G6021" i="58"/>
  <c r="G6027" i="58"/>
  <c r="G6416" i="58"/>
  <c r="M6416" i="58" s="1"/>
  <c r="G6413" i="58"/>
  <c r="M6413" i="58" s="1"/>
  <c r="G6024" i="58"/>
  <c r="G6341" i="58"/>
  <c r="G6345" i="58"/>
  <c r="G6343" i="58"/>
  <c r="M6343" i="58" s="1"/>
  <c r="G6346" i="58"/>
  <c r="M6346" i="58" s="1"/>
  <c r="G6342" i="58"/>
  <c r="G5777" i="58"/>
  <c r="M5777" i="58" s="1"/>
  <c r="G6344" i="58"/>
  <c r="M6344" i="58" s="1"/>
  <c r="M6414" i="58"/>
  <c r="G6355" i="58"/>
  <c r="M6355" i="58" s="1"/>
  <c r="G6354" i="58"/>
  <c r="G6353" i="58"/>
  <c r="M6353" i="58" s="1"/>
  <c r="G6356" i="58"/>
  <c r="M6356" i="58" s="1"/>
  <c r="M6010" i="58"/>
  <c r="M6027" i="58"/>
  <c r="M6347" i="58"/>
  <c r="N5999" i="58"/>
  <c r="N6866" i="58"/>
  <c r="N6550" i="58"/>
  <c r="M5666" i="58"/>
  <c r="N6386" i="58"/>
  <c r="N6966" i="58"/>
  <c r="N7190" i="58"/>
  <c r="AD10" i="106"/>
  <c r="AE10" i="106"/>
  <c r="AB10" i="106"/>
  <c r="AA10" i="106"/>
  <c r="W10" i="106"/>
  <c r="AC10" i="106"/>
  <c r="V10" i="106"/>
  <c r="N6806" i="58"/>
  <c r="N6755" i="58"/>
  <c r="N6955" i="58"/>
  <c r="N5922" i="58"/>
  <c r="N6777" i="58"/>
  <c r="N7212" i="58"/>
  <c r="N6027" i="58"/>
  <c r="N6239" i="58"/>
  <c r="N7211" i="58"/>
  <c r="N6853" i="58"/>
  <c r="N7164" i="58"/>
  <c r="N6055" i="58"/>
  <c r="N6564" i="58"/>
  <c r="N5636" i="58"/>
  <c r="N5797" i="58"/>
  <c r="N5934" i="58"/>
  <c r="N5793" i="58"/>
  <c r="N6727" i="58"/>
  <c r="N6075" i="58"/>
  <c r="N6414" i="58"/>
  <c r="N6273" i="58"/>
  <c r="M5694" i="58"/>
  <c r="N7157" i="58"/>
  <c r="N5798" i="58"/>
  <c r="N5754" i="58"/>
  <c r="N6529" i="58"/>
  <c r="N6502" i="58"/>
  <c r="N6656" i="58"/>
  <c r="N5940" i="58"/>
  <c r="N6825" i="58"/>
  <c r="N7074" i="58"/>
  <c r="N7208" i="58"/>
  <c r="N6346" i="58"/>
  <c r="M5990" i="58"/>
  <c r="N5650" i="58"/>
  <c r="N6372" i="58"/>
  <c r="N7060" i="58"/>
  <c r="N6128" i="58"/>
  <c r="N6644" i="58"/>
  <c r="N6475" i="58"/>
  <c r="N7202" i="58"/>
  <c r="N6883" i="58"/>
  <c r="N5672" i="58"/>
  <c r="N6119" i="58"/>
  <c r="N5673" i="58"/>
  <c r="N6867" i="58"/>
  <c r="N5897" i="58"/>
  <c r="N7233" i="58"/>
  <c r="N6432" i="58"/>
  <c r="N7116" i="58"/>
  <c r="N6401" i="58"/>
  <c r="N7072" i="58"/>
  <c r="N5714" i="58"/>
  <c r="N5799" i="58"/>
  <c r="N6874" i="58"/>
  <c r="N6798" i="58"/>
  <c r="N6647" i="58"/>
  <c r="N7179" i="58"/>
  <c r="N6057" i="58"/>
  <c r="N5708" i="58"/>
  <c r="N6371" i="58"/>
  <c r="N7214" i="58"/>
  <c r="N6059" i="58"/>
  <c r="N5830" i="58"/>
  <c r="M5723" i="58"/>
  <c r="N7030" i="58"/>
  <c r="N6665" i="58"/>
  <c r="N6928" i="58"/>
  <c r="N7171" i="58"/>
  <c r="N6226" i="58"/>
  <c r="N6726" i="58"/>
  <c r="N7000" i="58"/>
  <c r="N6856" i="58"/>
  <c r="N6740" i="58"/>
  <c r="N6924" i="58"/>
  <c r="N6005" i="58"/>
  <c r="N5860" i="58"/>
  <c r="M5788" i="58"/>
  <c r="N6147" i="58"/>
  <c r="N5658" i="58"/>
  <c r="N6834" i="58"/>
  <c r="N5960" i="58"/>
  <c r="N6268" i="58"/>
  <c r="N6687" i="58"/>
  <c r="N6894" i="58"/>
  <c r="N6799" i="58"/>
  <c r="N5953" i="58"/>
  <c r="N6481" i="58"/>
  <c r="N6722" i="58"/>
  <c r="M5789" i="58"/>
  <c r="N6875" i="58"/>
  <c r="N6405" i="58"/>
  <c r="N5837" i="58"/>
  <c r="N5685" i="58"/>
  <c r="N6172" i="58"/>
  <c r="N6760" i="58"/>
  <c r="N7104" i="58"/>
  <c r="N5778" i="58"/>
  <c r="N5822" i="58"/>
  <c r="N5628" i="58"/>
  <c r="N6927" i="58"/>
  <c r="N5883" i="58"/>
  <c r="N7102" i="58"/>
  <c r="N6773" i="58"/>
  <c r="N6677" i="58"/>
  <c r="N5726" i="58"/>
  <c r="N6077" i="58"/>
  <c r="N6154" i="58"/>
  <c r="N6454" i="58"/>
  <c r="N6614" i="58"/>
  <c r="N6770" i="58"/>
  <c r="N7008" i="58"/>
  <c r="N6821" i="58"/>
  <c r="AF10" i="106"/>
  <c r="Z10" i="106"/>
  <c r="Y10" i="106"/>
  <c r="X10" i="106"/>
  <c r="N5693" i="58"/>
  <c r="N6400" i="58"/>
  <c r="N6468" i="58"/>
  <c r="N7088" i="58"/>
  <c r="M5727" i="58"/>
  <c r="M5730" i="58"/>
  <c r="N7218" i="58"/>
  <c r="N5786" i="58"/>
  <c r="N6208" i="58"/>
  <c r="N6552" i="58"/>
  <c r="N7071" i="58"/>
  <c r="N6093" i="58"/>
  <c r="N7130" i="58"/>
  <c r="N7118" i="58"/>
  <c r="N6802" i="58"/>
  <c r="N6035" i="58"/>
  <c r="N7150" i="58"/>
  <c r="N5838" i="58"/>
  <c r="N6661" i="58"/>
  <c r="N6946" i="58"/>
  <c r="N5699" i="58"/>
  <c r="N5765" i="58"/>
  <c r="N6317" i="58"/>
  <c r="N6397" i="58"/>
  <c r="N7036" i="58"/>
  <c r="N5684" i="58"/>
  <c r="N5757" i="58"/>
  <c r="N6200" i="58"/>
  <c r="N6466" i="58"/>
  <c r="N6601" i="58"/>
  <c r="N6941" i="58"/>
  <c r="N6460" i="58"/>
  <c r="N6085" i="58"/>
  <c r="N6560" i="58"/>
  <c r="N7028" i="58"/>
  <c r="N6328" i="58"/>
  <c r="N5882" i="58"/>
  <c r="N5832" i="58"/>
  <c r="N6676" i="58"/>
  <c r="N5878" i="58"/>
  <c r="N6939" i="58"/>
  <c r="N6283" i="58"/>
  <c r="N7016" i="58"/>
  <c r="N7039" i="58"/>
  <c r="M5720" i="58"/>
  <c r="N5657" i="58"/>
  <c r="N6329" i="58"/>
  <c r="N6497" i="58"/>
  <c r="N7058" i="58"/>
  <c r="M5725" i="58"/>
  <c r="N6282" i="58"/>
  <c r="N6429" i="58"/>
  <c r="N7209" i="58"/>
  <c r="N5996" i="58"/>
  <c r="N6885" i="58"/>
  <c r="N7201" i="58"/>
  <c r="N6863" i="58"/>
  <c r="N6918" i="58"/>
  <c r="N5928" i="58"/>
  <c r="N6253" i="58"/>
  <c r="N5736" i="58"/>
  <c r="N5976" i="58"/>
  <c r="N6191" i="58"/>
  <c r="N6608" i="58"/>
  <c r="N6887" i="58"/>
  <c r="N5678" i="58"/>
  <c r="N5961" i="58"/>
  <c r="N6934" i="58"/>
  <c r="N6482" i="58"/>
  <c r="N7109" i="58"/>
  <c r="N6758" i="58"/>
  <c r="N7174" i="58"/>
  <c r="N5729" i="58"/>
  <c r="N6517" i="58"/>
  <c r="N6279" i="58"/>
  <c r="N6071" i="58"/>
  <c r="N6794" i="58"/>
  <c r="N7170" i="58"/>
  <c r="N5884" i="58"/>
  <c r="N6046" i="58"/>
  <c r="N7237" i="58"/>
  <c r="N6025" i="58"/>
  <c r="N6331" i="58"/>
  <c r="N7158" i="58"/>
  <c r="N5811" i="58"/>
  <c r="N6296" i="58"/>
  <c r="N6908" i="58"/>
  <c r="N6160" i="58"/>
  <c r="N6870" i="58"/>
  <c r="N5665" i="58"/>
  <c r="N6058" i="58"/>
  <c r="N6670" i="58"/>
  <c r="N6314" i="58"/>
  <c r="N6642" i="58"/>
  <c r="N6630" i="58"/>
  <c r="N7079" i="58"/>
  <c r="N7129" i="58"/>
  <c r="N6390" i="58"/>
  <c r="N6650" i="58"/>
  <c r="N6682" i="58"/>
  <c r="N6749" i="58"/>
  <c r="N7081" i="58"/>
  <c r="N6111" i="58"/>
  <c r="N5881" i="58"/>
  <c r="N5901" i="58"/>
  <c r="N5948" i="58"/>
  <c r="N6338" i="58"/>
  <c r="N7207" i="58"/>
  <c r="N5691" i="58"/>
  <c r="N6350" i="58"/>
  <c r="N6942" i="58"/>
  <c r="N6514" i="58"/>
  <c r="N7169" i="58"/>
  <c r="N6546" i="58"/>
  <c r="N5664" i="58"/>
  <c r="N6307" i="58"/>
  <c r="N7059" i="58"/>
  <c r="N6398" i="58"/>
  <c r="N5915" i="58"/>
  <c r="N5839" i="58"/>
  <c r="N5700" i="58"/>
  <c r="M5787" i="58"/>
  <c r="N6280" i="58"/>
  <c r="M6403" i="58"/>
  <c r="N6417" i="58"/>
  <c r="N6680" i="58"/>
  <c r="N6286" i="58"/>
  <c r="N6251" i="58"/>
  <c r="N6002" i="58"/>
  <c r="N6370" i="58"/>
  <c r="N6733" i="58"/>
  <c r="N6829" i="58"/>
  <c r="N6931" i="58"/>
  <c r="M5735" i="58"/>
  <c r="N6633" i="58"/>
  <c r="N7087" i="58"/>
  <c r="N6220" i="58"/>
  <c r="N6558" i="58"/>
  <c r="N6796" i="58"/>
  <c r="N6757" i="58"/>
  <c r="N7022" i="58"/>
  <c r="N6848" i="58"/>
  <c r="N6949" i="58"/>
  <c r="N5677" i="58"/>
  <c r="N7040" i="58"/>
  <c r="N5772" i="58"/>
  <c r="N5671" i="58"/>
  <c r="N5808" i="58"/>
  <c r="M5697" i="58"/>
  <c r="N5893" i="58"/>
  <c r="N6439" i="58"/>
  <c r="N6752" i="58"/>
  <c r="N6010" i="58"/>
  <c r="N5643" i="58"/>
  <c r="N6107" i="58"/>
  <c r="N6503" i="58"/>
  <c r="N6518" i="58"/>
  <c r="N6691" i="58"/>
  <c r="N7251" i="58"/>
  <c r="N7080" i="58"/>
  <c r="N6706" i="58"/>
  <c r="N7236" i="58"/>
  <c r="N5739" i="58"/>
  <c r="N6236" i="58"/>
  <c r="N6937" i="58"/>
  <c r="N5656" i="58"/>
  <c r="N5649" i="58"/>
  <c r="N6815" i="58"/>
  <c r="N7151" i="58"/>
  <c r="N6607" i="58"/>
  <c r="N6637" i="58"/>
  <c r="N5907" i="58"/>
  <c r="N5630" i="58"/>
  <c r="N5827" i="58"/>
  <c r="N5941" i="58"/>
  <c r="N5932" i="58"/>
  <c r="N6070" i="58"/>
  <c r="N6425" i="58"/>
  <c r="N6244" i="58"/>
  <c r="N6718" i="58"/>
  <c r="N6040" i="58"/>
  <c r="N5845" i="58"/>
  <c r="N6988" i="58"/>
  <c r="N5707" i="58"/>
  <c r="N6201" i="58"/>
  <c r="N6728" i="58"/>
  <c r="N6289" i="58"/>
  <c r="N7124" i="58"/>
  <c r="N5858" i="58"/>
  <c r="N5692" i="58"/>
  <c r="N6762" i="58"/>
  <c r="N6449" i="58"/>
  <c r="N6784" i="58"/>
  <c r="N7206" i="58"/>
  <c r="N7136" i="58"/>
  <c r="N6118" i="58"/>
  <c r="N5836" i="58"/>
  <c r="N6901" i="58"/>
  <c r="N6120" i="58"/>
  <c r="N6028" i="58"/>
  <c r="N6366" i="58"/>
  <c r="N6584" i="58"/>
  <c r="N7069" i="58"/>
  <c r="N6258" i="58"/>
  <c r="N6334" i="58"/>
  <c r="N7073" i="58"/>
  <c r="N5889" i="58"/>
  <c r="N6860" i="58"/>
  <c r="N5885" i="58"/>
  <c r="N6972" i="58"/>
  <c r="N6648" i="58"/>
  <c r="N6974" i="58"/>
  <c r="N7094" i="58"/>
  <c r="N5899" i="58"/>
  <c r="N7061" i="58"/>
  <c r="N7232" i="58"/>
  <c r="N6693" i="58"/>
  <c r="N5761" i="58"/>
  <c r="N5680" i="58"/>
  <c r="N5921" i="58"/>
  <c r="N6037" i="58"/>
  <c r="N6074" i="58"/>
  <c r="N6725" i="58"/>
  <c r="N6970" i="58"/>
  <c r="N6840" i="58"/>
  <c r="N6214" i="58"/>
  <c r="N6064" i="58"/>
  <c r="N5855" i="58"/>
  <c r="N5935" i="58"/>
  <c r="N6640" i="58"/>
  <c r="N7117" i="58"/>
  <c r="N6904" i="58"/>
  <c r="N5841" i="58"/>
  <c r="N6978" i="58"/>
  <c r="N5629" i="58"/>
  <c r="N5687" i="58"/>
  <c r="N6105" i="58"/>
  <c r="N6672" i="58"/>
  <c r="N6715" i="58"/>
  <c r="N6729" i="58"/>
  <c r="N6897" i="58"/>
  <c r="N7025" i="58"/>
  <c r="N7160" i="58"/>
  <c r="N6803" i="58"/>
  <c r="M5716" i="58"/>
  <c r="N6347" i="58"/>
  <c r="N6259" i="58"/>
  <c r="N6911" i="58"/>
  <c r="N6915" i="58"/>
  <c r="N6248" i="58"/>
  <c r="N6281" i="58"/>
  <c r="N7156" i="58"/>
  <c r="N6165" i="58"/>
  <c r="N6101" i="58"/>
  <c r="N6309" i="58"/>
  <c r="N6392" i="58"/>
  <c r="N6817" i="58"/>
  <c r="N5898" i="58"/>
  <c r="N6410" i="58"/>
  <c r="N6321" i="58"/>
  <c r="M5635" i="58"/>
  <c r="N5635" i="58"/>
  <c r="N6823" i="58"/>
  <c r="N6960" i="58"/>
  <c r="N6669" i="58"/>
  <c r="N6832" i="58"/>
  <c r="N6408" i="58"/>
  <c r="N6835" i="58"/>
  <c r="N7239" i="58"/>
  <c r="N6382" i="58"/>
  <c r="N5969" i="58"/>
  <c r="N6890" i="58"/>
  <c r="N6445" i="58"/>
  <c r="N6959" i="58"/>
  <c r="N6881" i="58"/>
  <c r="N5631" i="58"/>
  <c r="N6412" i="58"/>
  <c r="N6326" i="58"/>
  <c r="N6663" i="58"/>
  <c r="N6787" i="58"/>
  <c r="N7027" i="58"/>
  <c r="N5920" i="58"/>
  <c r="N6739" i="58"/>
  <c r="M6739" i="58"/>
  <c r="N7146" i="58"/>
  <c r="N5800" i="58"/>
  <c r="N6322" i="58"/>
  <c r="N7078" i="58"/>
  <c r="N5769" i="58"/>
  <c r="N5844" i="58"/>
  <c r="N5690" i="58"/>
  <c r="N6543" i="58"/>
  <c r="N5982" i="58"/>
  <c r="N7175" i="58"/>
  <c r="N6044" i="58"/>
  <c r="N6936" i="58"/>
  <c r="N7066" i="58"/>
  <c r="N6180" i="58"/>
  <c r="N5663" i="58"/>
  <c r="N6069" i="58"/>
  <c r="N6302" i="58"/>
  <c r="N6789" i="58"/>
  <c r="N5702" i="58"/>
  <c r="M5702" i="58"/>
  <c r="N6278" i="58"/>
  <c r="N7011" i="58"/>
  <c r="N7085" i="58"/>
  <c r="N6724" i="58"/>
  <c r="N6441" i="58"/>
  <c r="N6267" i="58"/>
  <c r="N6363" i="58"/>
  <c r="N5740" i="58"/>
  <c r="N6275" i="58"/>
  <c r="N6600" i="58"/>
  <c r="N6747" i="58"/>
  <c r="N5659" i="58"/>
  <c r="N6522" i="58"/>
  <c r="N7067" i="58"/>
  <c r="N5957" i="58"/>
  <c r="N6365" i="58"/>
  <c r="N6358" i="58"/>
  <c r="N7163" i="58"/>
  <c r="N6260" i="58"/>
  <c r="N7141" i="58"/>
  <c r="N6056" i="58"/>
  <c r="N6418" i="58"/>
  <c r="N6174" i="58"/>
  <c r="N6380" i="58"/>
  <c r="N7173" i="58"/>
  <c r="N6245" i="58"/>
  <c r="N6854" i="58"/>
  <c r="N6549" i="58"/>
  <c r="N5966" i="58"/>
  <c r="N6616" i="58"/>
  <c r="N5749" i="58"/>
  <c r="N5758" i="58"/>
  <c r="N6379" i="58"/>
  <c r="N6131" i="58"/>
  <c r="N6355" i="58"/>
  <c r="N6440" i="58"/>
  <c r="N6882" i="58"/>
  <c r="N7131" i="58"/>
  <c r="N6790" i="58"/>
  <c r="N6593" i="58"/>
  <c r="N5642" i="58"/>
  <c r="N6211" i="58"/>
  <c r="N6344" i="58"/>
  <c r="N6884" i="58"/>
  <c r="N6754" i="58"/>
  <c r="N7178" i="58"/>
  <c r="N7021" i="58"/>
  <c r="N6569" i="58"/>
  <c r="N7188" i="58"/>
  <c r="N7204" i="58"/>
  <c r="N5926" i="58"/>
  <c r="N6294" i="58"/>
  <c r="N6303" i="58"/>
  <c r="N6315" i="58"/>
  <c r="N6779" i="58"/>
  <c r="N6536" i="58"/>
  <c r="N7144" i="58"/>
  <c r="N6223" i="58"/>
  <c r="M6342" i="58"/>
  <c r="N6342" i="58"/>
  <c r="N5823" i="58"/>
  <c r="N5914" i="58"/>
  <c r="N6050" i="58"/>
  <c r="N6419" i="58"/>
  <c r="N6530" i="58"/>
  <c r="N6765" i="58"/>
  <c r="N6839" i="58"/>
  <c r="N6404" i="58"/>
  <c r="N7043" i="58"/>
  <c r="N7143" i="58"/>
  <c r="N6442" i="58"/>
  <c r="N6612" i="58"/>
  <c r="N7002" i="58"/>
  <c r="N7101" i="58"/>
  <c r="N6963" i="58"/>
  <c r="N7180" i="58"/>
  <c r="N6847" i="58"/>
  <c r="N5896" i="58"/>
  <c r="N6666" i="58"/>
  <c r="N7041" i="58"/>
  <c r="N6714" i="58"/>
  <c r="N6202" i="58"/>
  <c r="N5802" i="58"/>
  <c r="N7195" i="58"/>
  <c r="N6483" i="58"/>
  <c r="M5724" i="58"/>
  <c r="N5875" i="58"/>
  <c r="N6396" i="58"/>
  <c r="N7223" i="58"/>
  <c r="N6999" i="58"/>
  <c r="M5722" i="58"/>
  <c r="N5722" i="58"/>
  <c r="N5717" i="58"/>
  <c r="M5717" i="58"/>
  <c r="N5810" i="58"/>
  <c r="N5803" i="58"/>
  <c r="N5711" i="58"/>
  <c r="M5711" i="58"/>
  <c r="N5818" i="58"/>
  <c r="N5856" i="58"/>
  <c r="N5987" i="58"/>
  <c r="N5910" i="58"/>
  <c r="N6185" i="58"/>
  <c r="N6001" i="58"/>
  <c r="N6036" i="58"/>
  <c r="N6446" i="58"/>
  <c r="N6277" i="58"/>
  <c r="N6129" i="58"/>
  <c r="N6450" i="58"/>
  <c r="N6479" i="58"/>
  <c r="N6458" i="58"/>
  <c r="N6568" i="58"/>
  <c r="N6263" i="58"/>
  <c r="N6540" i="58"/>
  <c r="N6659" i="58"/>
  <c r="N6464" i="58"/>
  <c r="N6696" i="58"/>
  <c r="N6704" i="58"/>
  <c r="N6976" i="58"/>
  <c r="N6655" i="58"/>
  <c r="N6868" i="58"/>
  <c r="N6774" i="58"/>
  <c r="N6810" i="58"/>
  <c r="N6906" i="58"/>
  <c r="N7145" i="58"/>
  <c r="N6673" i="58"/>
  <c r="N7127" i="58"/>
  <c r="N7077" i="58"/>
  <c r="N5703" i="58"/>
  <c r="M5703" i="58"/>
  <c r="N5640" i="58"/>
  <c r="N5738" i="58"/>
  <c r="N5661" i="58"/>
  <c r="M5712" i="58"/>
  <c r="N5712" i="58"/>
  <c r="N5648" i="58"/>
  <c r="N6000" i="58"/>
  <c r="N5782" i="58"/>
  <c r="M5782" i="58"/>
  <c r="N5783" i="58"/>
  <c r="M5783" i="58"/>
  <c r="N5951" i="58"/>
  <c r="N5872" i="58"/>
  <c r="N6166" i="58"/>
  <c r="N6090" i="58"/>
  <c r="N6252" i="58"/>
  <c r="N6456" i="58"/>
  <c r="N6213" i="58"/>
  <c r="M6582" i="58"/>
  <c r="N6582" i="58"/>
  <c r="N6198" i="58"/>
  <c r="N6667" i="58"/>
  <c r="N6137" i="58"/>
  <c r="N6249" i="58"/>
  <c r="N6721" i="58"/>
  <c r="N6562" i="58"/>
  <c r="N6609" i="58"/>
  <c r="N6991" i="58"/>
  <c r="N6678" i="58"/>
  <c r="M6678" i="58"/>
  <c r="N6649" i="58"/>
  <c r="N7050" i="58"/>
  <c r="N6615" i="58"/>
  <c r="N6965" i="58"/>
  <c r="N7135" i="58"/>
  <c r="N7137" i="58"/>
  <c r="N6602" i="58"/>
  <c r="N7246" i="58"/>
  <c r="N6923" i="58"/>
  <c r="N6828" i="58"/>
  <c r="N5689" i="58"/>
  <c r="N5733" i="58"/>
  <c r="N5682" i="58"/>
  <c r="N5773" i="58"/>
  <c r="N5849" i="58"/>
  <c r="N5886" i="58"/>
  <c r="N5983" i="58"/>
  <c r="N6014" i="58"/>
  <c r="N5918" i="58"/>
  <c r="N6008" i="58"/>
  <c r="N6233" i="58"/>
  <c r="N6179" i="58"/>
  <c r="N6463" i="58"/>
  <c r="N5995" i="58"/>
  <c r="N6257" i="58"/>
  <c r="N6596" i="58"/>
  <c r="N6561" i="58"/>
  <c r="N6149" i="58"/>
  <c r="N6683" i="58"/>
  <c r="N6732" i="58"/>
  <c r="N6994" i="58"/>
  <c r="N6717" i="58"/>
  <c r="N6563" i="58"/>
  <c r="N6837" i="58"/>
  <c r="N7053" i="58"/>
  <c r="N6969" i="58"/>
  <c r="N6712" i="58"/>
  <c r="N7162" i="58"/>
  <c r="N6980" i="58"/>
  <c r="N7250" i="58"/>
  <c r="N6977" i="58"/>
  <c r="N6917" i="58"/>
  <c r="N7166" i="58"/>
  <c r="N7092" i="58"/>
  <c r="N5713" i="58"/>
  <c r="N5840" i="58"/>
  <c r="N6006" i="58"/>
  <c r="N6083" i="58"/>
  <c r="N5993" i="58"/>
  <c r="N6800" i="58"/>
  <c r="N6660" i="58"/>
  <c r="N6604" i="58"/>
  <c r="N7247" i="58"/>
  <c r="N6577" i="58"/>
  <c r="M6577" i="58"/>
  <c r="N5675" i="58"/>
  <c r="N5958" i="58"/>
  <c r="N5937" i="58"/>
  <c r="N5994" i="58"/>
  <c r="N6348" i="58"/>
  <c r="N6744" i="58"/>
  <c r="M6575" i="58"/>
  <c r="N6575" i="58"/>
  <c r="N6781" i="58"/>
  <c r="N7113" i="58"/>
  <c r="N6886" i="58"/>
  <c r="N6132" i="58"/>
  <c r="N6270" i="58"/>
  <c r="N6203" i="58"/>
  <c r="N6652" i="58"/>
  <c r="N6751" i="58"/>
  <c r="N7010" i="58"/>
  <c r="N5706" i="58"/>
  <c r="N5776" i="58"/>
  <c r="M5751" i="58"/>
  <c r="N5751" i="58"/>
  <c r="N5696" i="58"/>
  <c r="M5696" i="58"/>
  <c r="N5826" i="58"/>
  <c r="N5835" i="58"/>
  <c r="N5868" i="58"/>
  <c r="N5972" i="58"/>
  <c r="N6066" i="58"/>
  <c r="N5963" i="58"/>
  <c r="N6015" i="58"/>
  <c r="N6422" i="58"/>
  <c r="N6477" i="58"/>
  <c r="N6228" i="58"/>
  <c r="N6016" i="58"/>
  <c r="N6238" i="58"/>
  <c r="N6500" i="58"/>
  <c r="N6624" i="58"/>
  <c r="N6589" i="58"/>
  <c r="N6713" i="58"/>
  <c r="N7013" i="58"/>
  <c r="N6967" i="58"/>
  <c r="N6925" i="58"/>
  <c r="N6987" i="58"/>
  <c r="N6675" i="58"/>
  <c r="N6769" i="58"/>
  <c r="N6782" i="58"/>
  <c r="N6793" i="58"/>
  <c r="N7159" i="58"/>
  <c r="N6986" i="58"/>
  <c r="N7249" i="58"/>
  <c r="N6932" i="58"/>
  <c r="N7255" i="58"/>
  <c r="N5817" i="58"/>
  <c r="N5978" i="58"/>
  <c r="N6163" i="58"/>
  <c r="N6192" i="58"/>
  <c r="N6685" i="58"/>
  <c r="N6709" i="58"/>
  <c r="N7093" i="58"/>
  <c r="N6771" i="58"/>
  <c r="M5791" i="58"/>
  <c r="N5791" i="58"/>
  <c r="N5971" i="58"/>
  <c r="N6076" i="58"/>
  <c r="N7227" i="58"/>
  <c r="N6926" i="58"/>
  <c r="N6833" i="58"/>
  <c r="N6053" i="58"/>
  <c r="N6610" i="58"/>
  <c r="N6736" i="58"/>
  <c r="N6997" i="58"/>
  <c r="N7219" i="58"/>
  <c r="N5624" i="58"/>
  <c r="N5779" i="58"/>
  <c r="M5715" i="58"/>
  <c r="N5715" i="58"/>
  <c r="N5647" i="58"/>
  <c r="N5863" i="58"/>
  <c r="N5813" i="58"/>
  <c r="N5880" i="58"/>
  <c r="N5894" i="58"/>
  <c r="M6024" i="58"/>
  <c r="N6024" i="58"/>
  <c r="N6102" i="58"/>
  <c r="N6012" i="58"/>
  <c r="N5930" i="58"/>
  <c r="N6086" i="58"/>
  <c r="N6017" i="58"/>
  <c r="N6443" i="58"/>
  <c r="N6484" i="58"/>
  <c r="N6361" i="58"/>
  <c r="N6505" i="58"/>
  <c r="N6451" i="58"/>
  <c r="N6638" i="58"/>
  <c r="N6531" i="58"/>
  <c r="N6716" i="58"/>
  <c r="N6373" i="58"/>
  <c r="M6581" i="58"/>
  <c r="N6581" i="58"/>
  <c r="N6469" i="58"/>
  <c r="N7035" i="58"/>
  <c r="N6993" i="58"/>
  <c r="N7241" i="58"/>
  <c r="N7187" i="58"/>
  <c r="N6878" i="58"/>
  <c r="N7020" i="58"/>
  <c r="N7063" i="58"/>
  <c r="N7001" i="58"/>
  <c r="N7112" i="58"/>
  <c r="N7105" i="58"/>
  <c r="N5731" i="58"/>
  <c r="M5719" i="58"/>
  <c r="N5719" i="58"/>
  <c r="N5820" i="58"/>
  <c r="N5903" i="58"/>
  <c r="N5890" i="58"/>
  <c r="N5986" i="58"/>
  <c r="N5925" i="58"/>
  <c r="N5985" i="58"/>
  <c r="M6115" i="58"/>
  <c r="N6115" i="58"/>
  <c r="N6135" i="58"/>
  <c r="N6045" i="58"/>
  <c r="N6159" i="58"/>
  <c r="N6210" i="58"/>
  <c r="N6491" i="58"/>
  <c r="N6112" i="58"/>
  <c r="N6359" i="58"/>
  <c r="N6436" i="58"/>
  <c r="N6719" i="58"/>
  <c r="N6598" i="58"/>
  <c r="M6415" i="58"/>
  <c r="N6415" i="58"/>
  <c r="N6498" i="58"/>
  <c r="N7054" i="58"/>
  <c r="N6701" i="58"/>
  <c r="N7009" i="58"/>
  <c r="N6996" i="58"/>
  <c r="N6872" i="58"/>
  <c r="N7084" i="58"/>
  <c r="N7176" i="58"/>
  <c r="N6995" i="58"/>
  <c r="N6764" i="58"/>
  <c r="N5695" i="58"/>
  <c r="M5695" i="58"/>
  <c r="N5988" i="58"/>
  <c r="M5988" i="58"/>
  <c r="N6357" i="58"/>
  <c r="N5654" i="58"/>
  <c r="N5638" i="58"/>
  <c r="N5709" i="58"/>
  <c r="N5627" i="58"/>
  <c r="N5688" i="58"/>
  <c r="N5755" i="58"/>
  <c r="N6034" i="58"/>
  <c r="N5912" i="58"/>
  <c r="N5936" i="58"/>
  <c r="N6063" i="58"/>
  <c r="N6187" i="58"/>
  <c r="N6032" i="58"/>
  <c r="N6215" i="58"/>
  <c r="N6493" i="58"/>
  <c r="N6387" i="58"/>
  <c r="M6354" i="58"/>
  <c r="N6354" i="58"/>
  <c r="N6312" i="58"/>
  <c r="N6631" i="58"/>
  <c r="N6730" i="58"/>
  <c r="N6556" i="58"/>
  <c r="N6526" i="58"/>
  <c r="N7064" i="58"/>
  <c r="N6230" i="58"/>
  <c r="N6679" i="58"/>
  <c r="N7091" i="58"/>
  <c r="N7042" i="58"/>
  <c r="N6900" i="58"/>
  <c r="N6820" i="58"/>
  <c r="M5626" i="58"/>
  <c r="N5626" i="58"/>
  <c r="N6178" i="58"/>
  <c r="N5747" i="58"/>
  <c r="N5833" i="58"/>
  <c r="N5909" i="58"/>
  <c r="N5641" i="58"/>
  <c r="N5929" i="58"/>
  <c r="N6042" i="58"/>
  <c r="N5991" i="58"/>
  <c r="N6130" i="58"/>
  <c r="N6081" i="58"/>
  <c r="N6021" i="58"/>
  <c r="M6021" i="58"/>
  <c r="N6023" i="58"/>
  <c r="N6142" i="58"/>
  <c r="N6143" i="58"/>
  <c r="N6051" i="58"/>
  <c r="N6306" i="58"/>
  <c r="N6591" i="58"/>
  <c r="N6738" i="58"/>
  <c r="N6603" i="58"/>
  <c r="N6513" i="58"/>
  <c r="M6807" i="58"/>
  <c r="N6807" i="58"/>
  <c r="N6858" i="58"/>
  <c r="N6811" i="58"/>
  <c r="N7015" i="58"/>
  <c r="M6411" i="58"/>
  <c r="N6411" i="58"/>
  <c r="N7004" i="58"/>
  <c r="N6864" i="58"/>
  <c r="N7070" i="58"/>
  <c r="N7048" i="58"/>
  <c r="N5911" i="58"/>
  <c r="N6168" i="58"/>
  <c r="N6636" i="58"/>
  <c r="N6524" i="58"/>
  <c r="N6645" i="58"/>
  <c r="N7095" i="58"/>
  <c r="N6786" i="58"/>
  <c r="M5792" i="58"/>
  <c r="N5792" i="58"/>
  <c r="N5728" i="58"/>
  <c r="M5728" i="58"/>
  <c r="N6206" i="58"/>
  <c r="N6512" i="58"/>
  <c r="N6541" i="58"/>
  <c r="N7031" i="58"/>
  <c r="N6778" i="58"/>
  <c r="N5752" i="58"/>
  <c r="M5752" i="58"/>
  <c r="N5828" i="58"/>
  <c r="N6007" i="58"/>
  <c r="N6068" i="58"/>
  <c r="N6533" i="58"/>
  <c r="M6574" i="58"/>
  <c r="N6574" i="58"/>
  <c r="N6662" i="58"/>
  <c r="N6984" i="58"/>
  <c r="N7234" i="58"/>
  <c r="N7186" i="58"/>
  <c r="N5764" i="58"/>
  <c r="N5633" i="58"/>
  <c r="N5721" i="58"/>
  <c r="M5721" i="58"/>
  <c r="N5743" i="58"/>
  <c r="N5734" i="58"/>
  <c r="M5734" i="58"/>
  <c r="N5965" i="58"/>
  <c r="N5944" i="58"/>
  <c r="N5790" i="58"/>
  <c r="M5790" i="58"/>
  <c r="N5998" i="58"/>
  <c r="N6242" i="58"/>
  <c r="N6072" i="58"/>
  <c r="N6298" i="58"/>
  <c r="N6284" i="58"/>
  <c r="N6197" i="58"/>
  <c r="N6333" i="58"/>
  <c r="N6472" i="58"/>
  <c r="N6465" i="58"/>
  <c r="N6641" i="58"/>
  <c r="N6606" i="58"/>
  <c r="N6741" i="58"/>
  <c r="M6741" i="58"/>
  <c r="N6504" i="58"/>
  <c r="N6623" i="58"/>
  <c r="N6547" i="58"/>
  <c r="N6364" i="58"/>
  <c r="N6697" i="58"/>
  <c r="N6990" i="58"/>
  <c r="N6824" i="58"/>
  <c r="N7018" i="58"/>
  <c r="N7100" i="58"/>
  <c r="N7244" i="58"/>
  <c r="N6684" i="58"/>
  <c r="N7205" i="58"/>
  <c r="M6805" i="58"/>
  <c r="N6805" i="58"/>
  <c r="N7106" i="58"/>
  <c r="N6590" i="58"/>
  <c r="N7029" i="58"/>
  <c r="N6570" i="58"/>
  <c r="N6117" i="58"/>
  <c r="N6151" i="58"/>
  <c r="M6345" i="58"/>
  <c r="N6345" i="58"/>
  <c r="M6341" i="58"/>
  <c r="N6341" i="58"/>
  <c r="N6554" i="58"/>
  <c r="N6861" i="58"/>
  <c r="N7220" i="58"/>
  <c r="N6914" i="58"/>
  <c r="M5701" i="58"/>
  <c r="N5701" i="58"/>
  <c r="N5806" i="58"/>
  <c r="N5865" i="58"/>
  <c r="N6235" i="58"/>
  <c r="N6528" i="58"/>
  <c r="M6352" i="58"/>
  <c r="N6352" i="58"/>
  <c r="N7194" i="58"/>
  <c r="N5744" i="58"/>
  <c r="N6470" i="58"/>
  <c r="N6486" i="58"/>
  <c r="N6702" i="58"/>
  <c r="N6723" i="58"/>
  <c r="M6723" i="58"/>
  <c r="N7172" i="58"/>
  <c r="N6791" i="58"/>
  <c r="N5746" i="58"/>
  <c r="N5668" i="58"/>
  <c r="N5767" i="58"/>
  <c r="N5854" i="58"/>
  <c r="N5924" i="58"/>
  <c r="N5796" i="58"/>
  <c r="N5913" i="58"/>
  <c r="N6088" i="58"/>
  <c r="N6225" i="58"/>
  <c r="N6291" i="58"/>
  <c r="N6222" i="58"/>
  <c r="N6094" i="58"/>
  <c r="N6164" i="58"/>
  <c r="N6250" i="58"/>
  <c r="N6320" i="58"/>
  <c r="N6750" i="58"/>
  <c r="N6643" i="58"/>
  <c r="N7051" i="58"/>
  <c r="N6830" i="58"/>
  <c r="N6573" i="58"/>
  <c r="N7034" i="58"/>
  <c r="N7123" i="58"/>
  <c r="N6698" i="58"/>
  <c r="N7120" i="58"/>
  <c r="N6519" i="58"/>
  <c r="N7149" i="58"/>
  <c r="N6629" i="58"/>
  <c r="N6734" i="58"/>
  <c r="N7052" i="58"/>
  <c r="N5681" i="58"/>
  <c r="N5645" i="58"/>
  <c r="N5763" i="58"/>
  <c r="N5768" i="58"/>
  <c r="N5870" i="58"/>
  <c r="N5857" i="58"/>
  <c r="N5923" i="58"/>
  <c r="M5784" i="58"/>
  <c r="N5784" i="58"/>
  <c r="M6013" i="58"/>
  <c r="N6013" i="58"/>
  <c r="N5979" i="58"/>
  <c r="N6125" i="58"/>
  <c r="N6324" i="58"/>
  <c r="N6231" i="58"/>
  <c r="N6510" i="58"/>
  <c r="N6525" i="58"/>
  <c r="N6218" i="58"/>
  <c r="N6694" i="58"/>
  <c r="N6759" i="58"/>
  <c r="N6674" i="58"/>
  <c r="N6843" i="58"/>
  <c r="N6797" i="58"/>
  <c r="N6595" i="58"/>
  <c r="N6496" i="58"/>
  <c r="N7012" i="58"/>
  <c r="N7056" i="58"/>
  <c r="N7098" i="58"/>
  <c r="N7032" i="58"/>
  <c r="N5908" i="58"/>
  <c r="N6953" i="58"/>
  <c r="N7119" i="58"/>
  <c r="N6617" i="58"/>
  <c r="N5284" i="58"/>
  <c r="N5010" i="58"/>
  <c r="N5024" i="58"/>
  <c r="N5115" i="58"/>
  <c r="N5250" i="58"/>
  <c r="N5285" i="58"/>
  <c r="N3198" i="58"/>
  <c r="N3205" i="58"/>
  <c r="N3282" i="58"/>
  <c r="N3464" i="58"/>
  <c r="N3520" i="58"/>
  <c r="N3541" i="58"/>
  <c r="N5286" i="58"/>
  <c r="N5623" i="58"/>
  <c r="J5623" i="58"/>
  <c r="N4950" i="58"/>
  <c r="N4985" i="58"/>
  <c r="N5104" i="58"/>
  <c r="N5082" i="58"/>
  <c r="N4083" i="58"/>
  <c r="N4426" i="58"/>
  <c r="N4189" i="58"/>
  <c r="N5127" i="58"/>
  <c r="N5141" i="58"/>
  <c r="N5155" i="58"/>
  <c r="N4644" i="58"/>
  <c r="N4911" i="58"/>
  <c r="N4932" i="58"/>
  <c r="N5084" i="58"/>
  <c r="N3753" i="58"/>
  <c r="N4719" i="58"/>
  <c r="N3778" i="58"/>
  <c r="N3820" i="58"/>
  <c r="N4342" i="58"/>
  <c r="N4356" i="58"/>
  <c r="N4391" i="58"/>
  <c r="N3596" i="58"/>
  <c r="N3315" i="58"/>
  <c r="N4532" i="58"/>
  <c r="N3677" i="58"/>
  <c r="N4997" i="58"/>
  <c r="N3979" i="58"/>
  <c r="N4007" i="58"/>
  <c r="N4042" i="58"/>
  <c r="N4783" i="58"/>
  <c r="N4429" i="58"/>
  <c r="N4823" i="58"/>
  <c r="N3816" i="58"/>
  <c r="N3625" i="58"/>
  <c r="N4800" i="58"/>
  <c r="N3865" i="58"/>
  <c r="N3327" i="58"/>
  <c r="N3751" i="58"/>
  <c r="N4180" i="58"/>
  <c r="N4255" i="58"/>
  <c r="N4269" i="58"/>
  <c r="N3472" i="58"/>
  <c r="N3283" i="58"/>
  <c r="N3528" i="58"/>
  <c r="N3948" i="58"/>
  <c r="N3978" i="58"/>
  <c r="N4253" i="58"/>
  <c r="N4286" i="58"/>
  <c r="N4761" i="58"/>
  <c r="N4905" i="58"/>
  <c r="N5266" i="58"/>
  <c r="N4181" i="58"/>
  <c r="N4195" i="58"/>
  <c r="N3953" i="58"/>
  <c r="N5055" i="58"/>
  <c r="N5197" i="58"/>
  <c r="N3326" i="58"/>
  <c r="N3340" i="58"/>
  <c r="N3382" i="58"/>
  <c r="N3494" i="58"/>
  <c r="N3585" i="58"/>
  <c r="N3874" i="58"/>
  <c r="N4158" i="58"/>
  <c r="N4568" i="58"/>
  <c r="N4582" i="58"/>
  <c r="N3649" i="58"/>
  <c r="N3370" i="58"/>
  <c r="N3372" i="58"/>
  <c r="N3412" i="58"/>
  <c r="N3442" i="58"/>
  <c r="N3449" i="58"/>
  <c r="N3566" i="58"/>
  <c r="N3805" i="58"/>
  <c r="N4071" i="58"/>
  <c r="N4108" i="58"/>
  <c r="N4365" i="58"/>
  <c r="N4446" i="58"/>
  <c r="N4518" i="58"/>
  <c r="N4704" i="58"/>
  <c r="N4806" i="58"/>
  <c r="N4820" i="58"/>
  <c r="N3642" i="58"/>
  <c r="N3708" i="58"/>
  <c r="N4001" i="58"/>
  <c r="N4150" i="58"/>
  <c r="N4560" i="58"/>
  <c r="N4581" i="58"/>
  <c r="N4855" i="58"/>
  <c r="N4862" i="58"/>
  <c r="N5027" i="58"/>
  <c r="N5041" i="58"/>
  <c r="N4055" i="58"/>
  <c r="N4062" i="58"/>
  <c r="N4435" i="58"/>
  <c r="N4442" i="58"/>
  <c r="N4463" i="58"/>
  <c r="N4602" i="58"/>
  <c r="N4802" i="58"/>
  <c r="N3699" i="58"/>
  <c r="N4004" i="58"/>
  <c r="N4296" i="58"/>
  <c r="N4867" i="58"/>
  <c r="N3429" i="58"/>
  <c r="N3576" i="58"/>
  <c r="N3762" i="58"/>
  <c r="N3890" i="58"/>
  <c r="N4125" i="58"/>
  <c r="N4155" i="58"/>
  <c r="N4359" i="58"/>
  <c r="N3581" i="58"/>
  <c r="N3683" i="58"/>
  <c r="N3697" i="58"/>
  <c r="N3774" i="58"/>
  <c r="N3909" i="58"/>
  <c r="N3932" i="58"/>
  <c r="N3972" i="58"/>
  <c r="N4000" i="58"/>
  <c r="N4570" i="58"/>
  <c r="N4844" i="58"/>
  <c r="M5101" i="58"/>
  <c r="N3203" i="58"/>
  <c r="N3287" i="58"/>
  <c r="N3539" i="58"/>
  <c r="N3888" i="58"/>
  <c r="N4070" i="58"/>
  <c r="N4081" i="58"/>
  <c r="N4202" i="58"/>
  <c r="N4271" i="58"/>
  <c r="N4276" i="58"/>
  <c r="N4327" i="58"/>
  <c r="N4937" i="58"/>
  <c r="N5164" i="58"/>
  <c r="N3735" i="58"/>
  <c r="N3772" i="58"/>
  <c r="N3353" i="58"/>
  <c r="N3453" i="58"/>
  <c r="N4223" i="58"/>
  <c r="N4237" i="58"/>
  <c r="N5054" i="58"/>
  <c r="N3505" i="58"/>
  <c r="N3593" i="58"/>
  <c r="N3674" i="58"/>
  <c r="N3681" i="58"/>
  <c r="N3764" i="58"/>
  <c r="N3949" i="58"/>
  <c r="N4009" i="58"/>
  <c r="N4487" i="58"/>
  <c r="N4501" i="58"/>
  <c r="N4676" i="58"/>
  <c r="N5230" i="58"/>
  <c r="N3331" i="58"/>
  <c r="N3433" i="58"/>
  <c r="N3452" i="58"/>
  <c r="N3623" i="58"/>
  <c r="N3852" i="58"/>
  <c r="N3917" i="58"/>
  <c r="N3968" i="58"/>
  <c r="N4067" i="58"/>
  <c r="N4097" i="58"/>
  <c r="N4187" i="58"/>
  <c r="N4230" i="58"/>
  <c r="N4347" i="58"/>
  <c r="N4589" i="58"/>
  <c r="N4614" i="58"/>
  <c r="N4759" i="58"/>
  <c r="N4796" i="58"/>
  <c r="N4895" i="58"/>
  <c r="N3391" i="58"/>
  <c r="N3403" i="58"/>
  <c r="N3417" i="58"/>
  <c r="N4285" i="58"/>
  <c r="N4465" i="58"/>
  <c r="N4529" i="58"/>
  <c r="N4771" i="58"/>
  <c r="N4826" i="58"/>
  <c r="N4835" i="58"/>
  <c r="N5149" i="58"/>
  <c r="N4951" i="58"/>
  <c r="N4986" i="58"/>
  <c r="N5002" i="58"/>
  <c r="N5009" i="58"/>
  <c r="N5168" i="58"/>
  <c r="N5177" i="58"/>
  <c r="N3401" i="58"/>
  <c r="N3422" i="58"/>
  <c r="N3670" i="58"/>
  <c r="N3767" i="58"/>
  <c r="N5085" i="58"/>
  <c r="N5124" i="58"/>
  <c r="N5138" i="58"/>
  <c r="N4557" i="58"/>
  <c r="N3869" i="58"/>
  <c r="N3959" i="58"/>
  <c r="N3996" i="58"/>
  <c r="N4040" i="58"/>
  <c r="N3269" i="58"/>
  <c r="N3350" i="58"/>
  <c r="N3355" i="58"/>
  <c r="N3369" i="58"/>
  <c r="N3485" i="58"/>
  <c r="N3550" i="58"/>
  <c r="N3557" i="58"/>
  <c r="N3564" i="58"/>
  <c r="N3594" i="58"/>
  <c r="N3654" i="58"/>
  <c r="N3719" i="58"/>
  <c r="N3781" i="58"/>
  <c r="N3825" i="58"/>
  <c r="N4447" i="58"/>
  <c r="N4454" i="58"/>
  <c r="N4933" i="58"/>
  <c r="N5056" i="58"/>
  <c r="N3206" i="58"/>
  <c r="N3213" i="58"/>
  <c r="N3462" i="58"/>
  <c r="N3925" i="58"/>
  <c r="N3934" i="58"/>
  <c r="N4052" i="58"/>
  <c r="N4479" i="58"/>
  <c r="N4834" i="58"/>
  <c r="N5028" i="58"/>
  <c r="N4401" i="58"/>
  <c r="N4903" i="58"/>
  <c r="N4523" i="58"/>
  <c r="N3610" i="58"/>
  <c r="N3230" i="58"/>
  <c r="N3286" i="58"/>
  <c r="N3655" i="58"/>
  <c r="N3701" i="58"/>
  <c r="N3722" i="58"/>
  <c r="N3734" i="58"/>
  <c r="N3777" i="58"/>
  <c r="N3974" i="58"/>
  <c r="N3976" i="58"/>
  <c r="N4025" i="58"/>
  <c r="N4161" i="58"/>
  <c r="N4293" i="58"/>
  <c r="N4309" i="58"/>
  <c r="N4420" i="58"/>
  <c r="N4459" i="58"/>
  <c r="N4528" i="58"/>
  <c r="N4846" i="58"/>
  <c r="N5067" i="58"/>
  <c r="N5111" i="58"/>
  <c r="N3316" i="58"/>
  <c r="N3330" i="58"/>
  <c r="N3639" i="58"/>
  <c r="N3641" i="58"/>
  <c r="N3690" i="58"/>
  <c r="N3692" i="58"/>
  <c r="N3921" i="58"/>
  <c r="N4147" i="58"/>
  <c r="N4225" i="58"/>
  <c r="N4234" i="58"/>
  <c r="N4542" i="58"/>
  <c r="N4551" i="58"/>
  <c r="N4556" i="58"/>
  <c r="N4611" i="58"/>
  <c r="N4625" i="58"/>
  <c r="N4722" i="58"/>
  <c r="N4897" i="58"/>
  <c r="N4959" i="58"/>
  <c r="N5100" i="58"/>
  <c r="N5181" i="58"/>
  <c r="N4955" i="58"/>
  <c r="N4417" i="58"/>
  <c r="N5017" i="58"/>
  <c r="N3259" i="58"/>
  <c r="N3567" i="58"/>
  <c r="N3879" i="58"/>
  <c r="N3886" i="58"/>
  <c r="N3911" i="58"/>
  <c r="N4249" i="58"/>
  <c r="N4449" i="58"/>
  <c r="N4772" i="58"/>
  <c r="N4978" i="58"/>
  <c r="N5253" i="58"/>
  <c r="N3238" i="58"/>
  <c r="N3542" i="58"/>
  <c r="N3579" i="58"/>
  <c r="N3650" i="58"/>
  <c r="N3749" i="58"/>
  <c r="N3266" i="58"/>
  <c r="N3271" i="58"/>
  <c r="N3298" i="58"/>
  <c r="N3471" i="58"/>
  <c r="N3478" i="58"/>
  <c r="N3533" i="58"/>
  <c r="N3588" i="58"/>
  <c r="N3611" i="58"/>
  <c r="N3629" i="58"/>
  <c r="N3636" i="58"/>
  <c r="N3657" i="58"/>
  <c r="N3668" i="58"/>
  <c r="N3729" i="58"/>
  <c r="N3736" i="58"/>
  <c r="N3758" i="58"/>
  <c r="N3794" i="58"/>
  <c r="N4013" i="58"/>
  <c r="N4022" i="58"/>
  <c r="N4065" i="58"/>
  <c r="N4162" i="58"/>
  <c r="M4193" i="58"/>
  <c r="N4209" i="58"/>
  <c r="N4333" i="58"/>
  <c r="N4383" i="58"/>
  <c r="N4474" i="58"/>
  <c r="N4533" i="58"/>
  <c r="N4881" i="58"/>
  <c r="M5099" i="58"/>
  <c r="N5131" i="58"/>
  <c r="N5265" i="58"/>
  <c r="N3241" i="58"/>
  <c r="N3243" i="58"/>
  <c r="N3317" i="58"/>
  <c r="N3349" i="58"/>
  <c r="N3409" i="58"/>
  <c r="N3506" i="58"/>
  <c r="N3682" i="58"/>
  <c r="N3718" i="58"/>
  <c r="N3725" i="58"/>
  <c r="N3792" i="58"/>
  <c r="N4063" i="58"/>
  <c r="N4090" i="58"/>
  <c r="N4149" i="58"/>
  <c r="N4272" i="58"/>
  <c r="N4349" i="58"/>
  <c r="N4372" i="58"/>
  <c r="N4379" i="58"/>
  <c r="N4468" i="58"/>
  <c r="N4695" i="58"/>
  <c r="N4711" i="58"/>
  <c r="N4732" i="58"/>
  <c r="N4786" i="58"/>
  <c r="M4800" i="58"/>
  <c r="N4827" i="58"/>
  <c r="N4877" i="58"/>
  <c r="N5106" i="58"/>
  <c r="N5231" i="58"/>
  <c r="N5242" i="58"/>
  <c r="N5256" i="58"/>
  <c r="N5263" i="58"/>
  <c r="N3790" i="58"/>
  <c r="N3829" i="58"/>
  <c r="N3907" i="58"/>
  <c r="N3954" i="58"/>
  <c r="N3977" i="58"/>
  <c r="N4086" i="58"/>
  <c r="N4102" i="58"/>
  <c r="N4174" i="58"/>
  <c r="N3190" i="58"/>
  <c r="N3202" i="58"/>
  <c r="N3209" i="58"/>
  <c r="N3211" i="58"/>
  <c r="N3313" i="58"/>
  <c r="N3469" i="58"/>
  <c r="N3483" i="58"/>
  <c r="N3488" i="58"/>
  <c r="N3529" i="58"/>
  <c r="N3637" i="58"/>
  <c r="N3664" i="58"/>
  <c r="N3678" i="58"/>
  <c r="N3694" i="58"/>
  <c r="N3707" i="58"/>
  <c r="N3795" i="58"/>
  <c r="N3806" i="58"/>
  <c r="N3818" i="58"/>
  <c r="N5079" i="58"/>
  <c r="N3338" i="58"/>
  <c r="N3511" i="58"/>
  <c r="N3543" i="58"/>
  <c r="N3591" i="58"/>
  <c r="N4190" i="58"/>
  <c r="N4196" i="58"/>
  <c r="N4261" i="58"/>
  <c r="N4295" i="58"/>
  <c r="N4655" i="58"/>
  <c r="N4714" i="58"/>
  <c r="N4902" i="58"/>
  <c r="N5109" i="58"/>
  <c r="N5185" i="58"/>
  <c r="N5240" i="58"/>
  <c r="N5261" i="58"/>
  <c r="N5277" i="58"/>
  <c r="N3200" i="58"/>
  <c r="N3311" i="58"/>
  <c r="N3493" i="58"/>
  <c r="N3892" i="58"/>
  <c r="N4547" i="58"/>
  <c r="N4590" i="58"/>
  <c r="N4608" i="58"/>
  <c r="N4651" i="58"/>
  <c r="N4653" i="58"/>
  <c r="N4764" i="58"/>
  <c r="N4805" i="58"/>
  <c r="N4934" i="58"/>
  <c r="N5125" i="58"/>
  <c r="N5132" i="58"/>
  <c r="N3297" i="58"/>
  <c r="N3500" i="58"/>
  <c r="N3846" i="58"/>
  <c r="N3368" i="58"/>
  <c r="N3380" i="58"/>
  <c r="N3454" i="58"/>
  <c r="N3514" i="58"/>
  <c r="N3573" i="58"/>
  <c r="N3660" i="58"/>
  <c r="N3791" i="58"/>
  <c r="N3883" i="58"/>
  <c r="N3957" i="58"/>
  <c r="N3998" i="58"/>
  <c r="N4073" i="58"/>
  <c r="N4082" i="58"/>
  <c r="N4100" i="58"/>
  <c r="N4123" i="58"/>
  <c r="N4183" i="58"/>
  <c r="N4346" i="58"/>
  <c r="N4491" i="58"/>
  <c r="N4500" i="58"/>
  <c r="N4552" i="58"/>
  <c r="N4606" i="58"/>
  <c r="N4769" i="58"/>
  <c r="N4792" i="58"/>
  <c r="M4801" i="58"/>
  <c r="N4837" i="58"/>
  <c r="N4860" i="58"/>
  <c r="N4869" i="58"/>
  <c r="N4909" i="58"/>
  <c r="N4914" i="58"/>
  <c r="N4995" i="58"/>
  <c r="N5000" i="58"/>
  <c r="N5039" i="58"/>
  <c r="N5282" i="58"/>
  <c r="N3553" i="58"/>
  <c r="N4337" i="58"/>
  <c r="N4622" i="58"/>
  <c r="N4636" i="58"/>
  <c r="N4794" i="58"/>
  <c r="N4801" i="58"/>
  <c r="N4830" i="58"/>
  <c r="N4894" i="58"/>
  <c r="N5068" i="58"/>
  <c r="N5116" i="58"/>
  <c r="N3378" i="58"/>
  <c r="N3624" i="58"/>
  <c r="N3706" i="58"/>
  <c r="N3828" i="58"/>
  <c r="N3897" i="58"/>
  <c r="N4010" i="58"/>
  <c r="N4186" i="58"/>
  <c r="N4210" i="58"/>
  <c r="N4314" i="58"/>
  <c r="N4410" i="58"/>
  <c r="N4858" i="58"/>
  <c r="N4946" i="58"/>
  <c r="N5241" i="58"/>
  <c r="N5248" i="58"/>
  <c r="N5255" i="58"/>
  <c r="N3226" i="58"/>
  <c r="N3189" i="58"/>
  <c r="N3268" i="58"/>
  <c r="N3275" i="58"/>
  <c r="N3284" i="58"/>
  <c r="N3300" i="58"/>
  <c r="N3431" i="58"/>
  <c r="N3461" i="58"/>
  <c r="N3491" i="58"/>
  <c r="N3583" i="58"/>
  <c r="N3622" i="58"/>
  <c r="N3633" i="58"/>
  <c r="N3638" i="58"/>
  <c r="N3837" i="58"/>
  <c r="N3844" i="58"/>
  <c r="N4069" i="58"/>
  <c r="N4206" i="58"/>
  <c r="N4242" i="58"/>
  <c r="N4335" i="58"/>
  <c r="N4385" i="58"/>
  <c r="N4618" i="58"/>
  <c r="N4652" i="58"/>
  <c r="N3535" i="58"/>
  <c r="N4119" i="58"/>
  <c r="N5042" i="58"/>
  <c r="N3397" i="58"/>
  <c r="N3377" i="58"/>
  <c r="N4141" i="58"/>
  <c r="N3270" i="58"/>
  <c r="N3965" i="58"/>
  <c r="N4143" i="58"/>
  <c r="N4363" i="58"/>
  <c r="N3257" i="58"/>
  <c r="N3279" i="58"/>
  <c r="N3445" i="58"/>
  <c r="N3497" i="58"/>
  <c r="N3513" i="58"/>
  <c r="N3518" i="58"/>
  <c r="N3565" i="58"/>
  <c r="N3671" i="58"/>
  <c r="N3797" i="58"/>
  <c r="N3804" i="58"/>
  <c r="N3904" i="58"/>
  <c r="N3928" i="58"/>
  <c r="N3983" i="58"/>
  <c r="N3990" i="58"/>
  <c r="N4220" i="58"/>
  <c r="N4310" i="58"/>
  <c r="N4323" i="58"/>
  <c r="N4328" i="58"/>
  <c r="N3335" i="58"/>
  <c r="N3216" i="58"/>
  <c r="N3324" i="58"/>
  <c r="N3364" i="58"/>
  <c r="N3393" i="58"/>
  <c r="N3434" i="58"/>
  <c r="N3604" i="58"/>
  <c r="N3739" i="58"/>
  <c r="N3752" i="58"/>
  <c r="N3833" i="58"/>
  <c r="N3853" i="58"/>
  <c r="N3862" i="58"/>
  <c r="N3900" i="58"/>
  <c r="N3926" i="58"/>
  <c r="N4124" i="58"/>
  <c r="N4247" i="58"/>
  <c r="N4411" i="58"/>
  <c r="N5097" i="58"/>
  <c r="N3864" i="58"/>
  <c r="N3308" i="58"/>
  <c r="N3207" i="58"/>
  <c r="N3255" i="58"/>
  <c r="N3559" i="58"/>
  <c r="N3223" i="58"/>
  <c r="N3228" i="58"/>
  <c r="N3244" i="58"/>
  <c r="N3246" i="58"/>
  <c r="N3262" i="58"/>
  <c r="N3322" i="58"/>
  <c r="N3367" i="58"/>
  <c r="N3389" i="58"/>
  <c r="N3527" i="58"/>
  <c r="N3549" i="58"/>
  <c r="N3609" i="58"/>
  <c r="N3613" i="58"/>
  <c r="N3688" i="58"/>
  <c r="N3727" i="58"/>
  <c r="N3746" i="58"/>
  <c r="N3757" i="58"/>
  <c r="N3776" i="58"/>
  <c r="N3831" i="58"/>
  <c r="N3847" i="58"/>
  <c r="N3946" i="58"/>
  <c r="N4072" i="58"/>
  <c r="N4074" i="58"/>
  <c r="N4111" i="58"/>
  <c r="N4175" i="58"/>
  <c r="N4319" i="58"/>
  <c r="N4409" i="58"/>
  <c r="N4789" i="58"/>
  <c r="N3459" i="58"/>
  <c r="N3477" i="58"/>
  <c r="N3525" i="58"/>
  <c r="N3538" i="58"/>
  <c r="N3646" i="58"/>
  <c r="N3684" i="58"/>
  <c r="N3705" i="58"/>
  <c r="N3858" i="58"/>
  <c r="N3935" i="58"/>
  <c r="N4006" i="58"/>
  <c r="N4205" i="58"/>
  <c r="N4308" i="58"/>
  <c r="N4389" i="58"/>
  <c r="N4762" i="58"/>
  <c r="N3221" i="58"/>
  <c r="N3811" i="58"/>
  <c r="N4166" i="58"/>
  <c r="N4317" i="58"/>
  <c r="N4380" i="58"/>
  <c r="N4396" i="58"/>
  <c r="N4488" i="58"/>
  <c r="N3906" i="58"/>
  <c r="N3210" i="58"/>
  <c r="N3242" i="58"/>
  <c r="N3256" i="58"/>
  <c r="N3280" i="58"/>
  <c r="N3356" i="58"/>
  <c r="N3426" i="58"/>
  <c r="N3473" i="58"/>
  <c r="N3507" i="58"/>
  <c r="N3532" i="58"/>
  <c r="N3618" i="58"/>
  <c r="N3850" i="58"/>
  <c r="N3872" i="58"/>
  <c r="N3881" i="58"/>
  <c r="N3951" i="58"/>
  <c r="N4138" i="58"/>
  <c r="N4364" i="58"/>
  <c r="N4473" i="58"/>
  <c r="N3866" i="58"/>
  <c r="N3325" i="58"/>
  <c r="N3457" i="58"/>
  <c r="N3215" i="58"/>
  <c r="N3217" i="58"/>
  <c r="N3224" i="58"/>
  <c r="N3247" i="58"/>
  <c r="N3296" i="58"/>
  <c r="N3336" i="58"/>
  <c r="N3343" i="58"/>
  <c r="N3354" i="58"/>
  <c r="N3374" i="58"/>
  <c r="N3394" i="58"/>
  <c r="N3405" i="58"/>
  <c r="N3410" i="58"/>
  <c r="N3419" i="58"/>
  <c r="N3440" i="58"/>
  <c r="N3580" i="58"/>
  <c r="N3586" i="58"/>
  <c r="N3712" i="58"/>
  <c r="N3809" i="58"/>
  <c r="N3832" i="58"/>
  <c r="N3834" i="58"/>
  <c r="N3848" i="58"/>
  <c r="N3914" i="58"/>
  <c r="N3955" i="58"/>
  <c r="N3964" i="58"/>
  <c r="N4105" i="58"/>
  <c r="N4160" i="58"/>
  <c r="N4171" i="58"/>
  <c r="N4228" i="58"/>
  <c r="N4239" i="58"/>
  <c r="N4248" i="58"/>
  <c r="N4259" i="58"/>
  <c r="N4360" i="58"/>
  <c r="N4467" i="58"/>
  <c r="N3303" i="58"/>
  <c r="N3621" i="58"/>
  <c r="N4941" i="58"/>
  <c r="N4018" i="58"/>
  <c r="N3730" i="58"/>
  <c r="N3339" i="58"/>
  <c r="N3408" i="58"/>
  <c r="N3438" i="58"/>
  <c r="N3492" i="58"/>
  <c r="N3608" i="58"/>
  <c r="N3783" i="58"/>
  <c r="N3962" i="58"/>
  <c r="N3967" i="58"/>
  <c r="N4027" i="58"/>
  <c r="N4077" i="58"/>
  <c r="N4156" i="58"/>
  <c r="N4576" i="58"/>
  <c r="N3227" i="58"/>
  <c r="N3346" i="58"/>
  <c r="N3366" i="58"/>
  <c r="N3406" i="58"/>
  <c r="N3632" i="58"/>
  <c r="N3341" i="58"/>
  <c r="N3274" i="58"/>
  <c r="N3294" i="58"/>
  <c r="N3301" i="58"/>
  <c r="N3352" i="58"/>
  <c r="N3359" i="58"/>
  <c r="N3424" i="58"/>
  <c r="N3552" i="58"/>
  <c r="N3571" i="58"/>
  <c r="N3578" i="58"/>
  <c r="N3627" i="58"/>
  <c r="N3687" i="58"/>
  <c r="N3747" i="58"/>
  <c r="N3936" i="58"/>
  <c r="N3958" i="58"/>
  <c r="N3960" i="58"/>
  <c r="N4060" i="58"/>
  <c r="N4139" i="58"/>
  <c r="N4646" i="58"/>
  <c r="N4888" i="58"/>
  <c r="N4899" i="58"/>
  <c r="N4519" i="58"/>
  <c r="N4526" i="58"/>
  <c r="N4633" i="58"/>
  <c r="N4697" i="58"/>
  <c r="N4857" i="58"/>
  <c r="N4486" i="58"/>
  <c r="N4609" i="58"/>
  <c r="N4675" i="58"/>
  <c r="N4778" i="58"/>
  <c r="N4821" i="58"/>
  <c r="N4924" i="58"/>
  <c r="N5180" i="58"/>
  <c r="N4649" i="58"/>
  <c r="N4660" i="58"/>
  <c r="N4848" i="58"/>
  <c r="N4942" i="58"/>
  <c r="N5235" i="58"/>
  <c r="N3859" i="58"/>
  <c r="N3941" i="58"/>
  <c r="N3980" i="58"/>
  <c r="N3987" i="58"/>
  <c r="N4029" i="58"/>
  <c r="N4066" i="58"/>
  <c r="N4068" i="58"/>
  <c r="N4085" i="58"/>
  <c r="N4096" i="58"/>
  <c r="N4107" i="58"/>
  <c r="N4118" i="58"/>
  <c r="N4133" i="58"/>
  <c r="N4167" i="58"/>
  <c r="N4218" i="58"/>
  <c r="N4264" i="58"/>
  <c r="N4297" i="58"/>
  <c r="N4370" i="58"/>
  <c r="N4405" i="58"/>
  <c r="N4412" i="58"/>
  <c r="N4438" i="58"/>
  <c r="N4634" i="58"/>
  <c r="N4741" i="58"/>
  <c r="N5015" i="58"/>
  <c r="N5051" i="58"/>
  <c r="N5066" i="58"/>
  <c r="N5208" i="58"/>
  <c r="N4191" i="58"/>
  <c r="N4197" i="58"/>
  <c r="N4208" i="58"/>
  <c r="N4262" i="58"/>
  <c r="N4313" i="58"/>
  <c r="N4403" i="58"/>
  <c r="N4434" i="58"/>
  <c r="N4436" i="58"/>
  <c r="N4443" i="58"/>
  <c r="N4445" i="58"/>
  <c r="N4476" i="58"/>
  <c r="N4546" i="58"/>
  <c r="N4610" i="58"/>
  <c r="N4743" i="58"/>
  <c r="N4813" i="58"/>
  <c r="N4853" i="58"/>
  <c r="N5022" i="58"/>
  <c r="N5047" i="58"/>
  <c r="N5049" i="58"/>
  <c r="N5110" i="58"/>
  <c r="N4300" i="58"/>
  <c r="N4368" i="58"/>
  <c r="N4381" i="58"/>
  <c r="N4421" i="58"/>
  <c r="N4428" i="58"/>
  <c r="N5062" i="58"/>
  <c r="N5213" i="58"/>
  <c r="N4880" i="58"/>
  <c r="N5167" i="58"/>
  <c r="N4639" i="58"/>
  <c r="N4667" i="58"/>
  <c r="N4712" i="58"/>
  <c r="N4770" i="58"/>
  <c r="N5036" i="58"/>
  <c r="N3899" i="58"/>
  <c r="N3963" i="58"/>
  <c r="N4110" i="58"/>
  <c r="N4221" i="58"/>
  <c r="N4245" i="58"/>
  <c r="N4287" i="58"/>
  <c r="N4450" i="58"/>
  <c r="N4538" i="58"/>
  <c r="N4617" i="58"/>
  <c r="N4630" i="58"/>
  <c r="N4648" i="58"/>
  <c r="N4654" i="58"/>
  <c r="M4804" i="58"/>
  <c r="N4811" i="58"/>
  <c r="N4885" i="58"/>
  <c r="N4890" i="58"/>
  <c r="N3895" i="58"/>
  <c r="N3923" i="58"/>
  <c r="N3927" i="58"/>
  <c r="N3929" i="58"/>
  <c r="N3942" i="58"/>
  <c r="N3986" i="58"/>
  <c r="N4054" i="58"/>
  <c r="N4153" i="58"/>
  <c r="N4185" i="58"/>
  <c r="N4213" i="58"/>
  <c r="N4256" i="58"/>
  <c r="N4258" i="58"/>
  <c r="N4371" i="58"/>
  <c r="N4375" i="58"/>
  <c r="N4424" i="58"/>
  <c r="N4475" i="58"/>
  <c r="N4477" i="58"/>
  <c r="N4525" i="58"/>
  <c r="N4726" i="58"/>
  <c r="N5258" i="58"/>
  <c r="M5095" i="58"/>
  <c r="N5130" i="58"/>
  <c r="N5186" i="58"/>
  <c r="N5193" i="58"/>
  <c r="N5209" i="58"/>
  <c r="N5222" i="58"/>
  <c r="N5139" i="58"/>
  <c r="N5229" i="58"/>
  <c r="N5279" i="58"/>
  <c r="N5272" i="58"/>
  <c r="N4919" i="58"/>
  <c r="N4962" i="58"/>
  <c r="N5160" i="58"/>
  <c r="N4733" i="58"/>
  <c r="N4757" i="58"/>
  <c r="N4785" i="58"/>
  <c r="N4816" i="58"/>
  <c r="N4945" i="58"/>
  <c r="N4958" i="58"/>
  <c r="N4991" i="58"/>
  <c r="N4998" i="58"/>
  <c r="N5023" i="58"/>
  <c r="N5078" i="58"/>
  <c r="N5089" i="58"/>
  <c r="N5158" i="58"/>
  <c r="N5194" i="58"/>
  <c r="N5205" i="58"/>
  <c r="N4114" i="58"/>
  <c r="N4129" i="58"/>
  <c r="N4199" i="58"/>
  <c r="N4226" i="58"/>
  <c r="N4336" i="58"/>
  <c r="N4338" i="58"/>
  <c r="N4340" i="58"/>
  <c r="N4351" i="58"/>
  <c r="N4406" i="58"/>
  <c r="N4484" i="58"/>
  <c r="N4524" i="58"/>
  <c r="N4628" i="58"/>
  <c r="N4669" i="58"/>
  <c r="N4755" i="58"/>
  <c r="N4798" i="58"/>
  <c r="N4849" i="58"/>
  <c r="N4928" i="58"/>
  <c r="N4956" i="58"/>
  <c r="N4965" i="58"/>
  <c r="N4969" i="58"/>
  <c r="N5014" i="58"/>
  <c r="N5135" i="58"/>
  <c r="N5140" i="58"/>
  <c r="N5225" i="58"/>
  <c r="N5234" i="58"/>
  <c r="N5245" i="58"/>
  <c r="N5252" i="58"/>
  <c r="N5259" i="58"/>
  <c r="N5275" i="58"/>
  <c r="N5154" i="58"/>
  <c r="N5165" i="58"/>
  <c r="N5264" i="58"/>
  <c r="N4663" i="58"/>
  <c r="N4716" i="58"/>
  <c r="N4861" i="58"/>
  <c r="N4863" i="58"/>
  <c r="N4900" i="58"/>
  <c r="N4918" i="58"/>
  <c r="N4983" i="58"/>
  <c r="N5012" i="58"/>
  <c r="N5026" i="58"/>
  <c r="N5061" i="58"/>
  <c r="N5072" i="58"/>
  <c r="N5101" i="58"/>
  <c r="N5105" i="58"/>
  <c r="N5145" i="58"/>
  <c r="N5280" i="58"/>
  <c r="N4561" i="58"/>
  <c r="N4579" i="58"/>
  <c r="N4601" i="58"/>
  <c r="N4661" i="58"/>
  <c r="N4681" i="58"/>
  <c r="N4705" i="58"/>
  <c r="N4727" i="58"/>
  <c r="N4751" i="58"/>
  <c r="N4760" i="58"/>
  <c r="N4797" i="58"/>
  <c r="N4843" i="58"/>
  <c r="N4872" i="58"/>
  <c r="N4953" i="58"/>
  <c r="N5070" i="58"/>
  <c r="N5159" i="58"/>
  <c r="N5163" i="58"/>
  <c r="N5179" i="58"/>
  <c r="N5219" i="58"/>
  <c r="N5224" i="58"/>
  <c r="N5276" i="58"/>
  <c r="N3342" i="58"/>
  <c r="N3383" i="58"/>
  <c r="N3398" i="58"/>
  <c r="N3463" i="58"/>
  <c r="N3515" i="58"/>
  <c r="N3519" i="58"/>
  <c r="N3885" i="58"/>
  <c r="N4115" i="58"/>
  <c r="N4130" i="58"/>
  <c r="N3252" i="58"/>
  <c r="N3201" i="58"/>
  <c r="N3240" i="58"/>
  <c r="N3328" i="58"/>
  <c r="N3344" i="58"/>
  <c r="N3396" i="58"/>
  <c r="N3425" i="58"/>
  <c r="N3436" i="58"/>
  <c r="N3487" i="58"/>
  <c r="N3530" i="58"/>
  <c r="N3606" i="58"/>
  <c r="N3332" i="58"/>
  <c r="N3400" i="58"/>
  <c r="N3402" i="58"/>
  <c r="N3631" i="58"/>
  <c r="N3679" i="58"/>
  <c r="N3715" i="58"/>
  <c r="N4361" i="58"/>
  <c r="N4684" i="58"/>
  <c r="N3444" i="58"/>
  <c r="N4132" i="58"/>
  <c r="N3231" i="58"/>
  <c r="N3191" i="58"/>
  <c r="N3193" i="58"/>
  <c r="N3199" i="58"/>
  <c r="N3212" i="58"/>
  <c r="N3261" i="58"/>
  <c r="N3285" i="58"/>
  <c r="N3384" i="58"/>
  <c r="N3388" i="58"/>
  <c r="N3501" i="58"/>
  <c r="N3659" i="58"/>
  <c r="N3732" i="58"/>
  <c r="N3229" i="58"/>
  <c r="N3299" i="58"/>
  <c r="N3195" i="58"/>
  <c r="N3214" i="58"/>
  <c r="N3220" i="58"/>
  <c r="N3234" i="58"/>
  <c r="N3273" i="58"/>
  <c r="N3310" i="58"/>
  <c r="N3312" i="58"/>
  <c r="N3314" i="58"/>
  <c r="N3386" i="58"/>
  <c r="N3392" i="58"/>
  <c r="N3443" i="58"/>
  <c r="N3447" i="58"/>
  <c r="N3499" i="58"/>
  <c r="N3548" i="58"/>
  <c r="N3318" i="58"/>
  <c r="N3439" i="58"/>
  <c r="N3603" i="58"/>
  <c r="N3185" i="58"/>
  <c r="N3251" i="58"/>
  <c r="N3333" i="58"/>
  <c r="N3407" i="58"/>
  <c r="N3510" i="58"/>
  <c r="N3546" i="58"/>
  <c r="N3562" i="58"/>
  <c r="N3568" i="58"/>
  <c r="N4292" i="58"/>
  <c r="N3302" i="58"/>
  <c r="N3304" i="58"/>
  <c r="N3411" i="58"/>
  <c r="N3420" i="58"/>
  <c r="N3450" i="58"/>
  <c r="N3599" i="58"/>
  <c r="N3643" i="58"/>
  <c r="N4016" i="58"/>
  <c r="N4144" i="58"/>
  <c r="N3219" i="58"/>
  <c r="N3233" i="58"/>
  <c r="N3272" i="58"/>
  <c r="N3290" i="58"/>
  <c r="N3323" i="58"/>
  <c r="N3358" i="58"/>
  <c r="N3360" i="58"/>
  <c r="N3381" i="58"/>
  <c r="N3521" i="58"/>
  <c r="N3544" i="58"/>
  <c r="N4014" i="58"/>
  <c r="N3232" i="58"/>
  <c r="N3192" i="58"/>
  <c r="N3196" i="58"/>
  <c r="N3245" i="58"/>
  <c r="N3254" i="58"/>
  <c r="N3258" i="58"/>
  <c r="N3276" i="58"/>
  <c r="N3288" i="58"/>
  <c r="N3387" i="58"/>
  <c r="N3448" i="58"/>
  <c r="N3465" i="58"/>
  <c r="N3482" i="58"/>
  <c r="N3534" i="58"/>
  <c r="N4045" i="58"/>
  <c r="N4127" i="58"/>
  <c r="N3870" i="58"/>
  <c r="N3982" i="58"/>
  <c r="N4357" i="58"/>
  <c r="N3536" i="58"/>
  <c r="N3575" i="58"/>
  <c r="N3589" i="58"/>
  <c r="N3612" i="58"/>
  <c r="N3653" i="58"/>
  <c r="N3695" i="58"/>
  <c r="N3711" i="58"/>
  <c r="N3720" i="58"/>
  <c r="N3823" i="58"/>
  <c r="N3838" i="58"/>
  <c r="N3898" i="58"/>
  <c r="N4041" i="58"/>
  <c r="N4267" i="58"/>
  <c r="N4307" i="58"/>
  <c r="N4866" i="58"/>
  <c r="N3689" i="58"/>
  <c r="N3755" i="58"/>
  <c r="N3808" i="58"/>
  <c r="N3851" i="58"/>
  <c r="N4039" i="58"/>
  <c r="N4104" i="58"/>
  <c r="N4388" i="58"/>
  <c r="N3456" i="58"/>
  <c r="N3458" i="58"/>
  <c r="N3466" i="58"/>
  <c r="N3486" i="58"/>
  <c r="N3508" i="58"/>
  <c r="N3512" i="58"/>
  <c r="N3558" i="58"/>
  <c r="N3570" i="58"/>
  <c r="N3574" i="58"/>
  <c r="N3601" i="58"/>
  <c r="N3626" i="58"/>
  <c r="N3651" i="58"/>
  <c r="N3665" i="58"/>
  <c r="N3669" i="58"/>
  <c r="N3759" i="58"/>
  <c r="N3788" i="58"/>
  <c r="N3918" i="58"/>
  <c r="N3943" i="58"/>
  <c r="N3414" i="58"/>
  <c r="N3416" i="58"/>
  <c r="N3428" i="58"/>
  <c r="N3430" i="58"/>
  <c r="N3480" i="58"/>
  <c r="N3516" i="58"/>
  <c r="N3572" i="58"/>
  <c r="N3614" i="58"/>
  <c r="N3710" i="58"/>
  <c r="N3716" i="58"/>
  <c r="N4515" i="58"/>
  <c r="N3470" i="58"/>
  <c r="N3490" i="58"/>
  <c r="N3496" i="58"/>
  <c r="N3498" i="58"/>
  <c r="N3502" i="58"/>
  <c r="N3522" i="58"/>
  <c r="N4011" i="58"/>
  <c r="N4461" i="58"/>
  <c r="N3704" i="58"/>
  <c r="N3723" i="58"/>
  <c r="N3878" i="58"/>
  <c r="N3893" i="58"/>
  <c r="N4277" i="58"/>
  <c r="N3248" i="58"/>
  <c r="N3260" i="58"/>
  <c r="N3351" i="58"/>
  <c r="N3363" i="58"/>
  <c r="N3423" i="58"/>
  <c r="N3468" i="58"/>
  <c r="N3547" i="58"/>
  <c r="N3561" i="58"/>
  <c r="N3582" i="58"/>
  <c r="N3634" i="58"/>
  <c r="N3652" i="58"/>
  <c r="N3662" i="58"/>
  <c r="N3666" i="58"/>
  <c r="N3680" i="58"/>
  <c r="N3822" i="58"/>
  <c r="N3839" i="58"/>
  <c r="N3867" i="58"/>
  <c r="N3937" i="58"/>
  <c r="N3944" i="58"/>
  <c r="N3988" i="58"/>
  <c r="N3289" i="58"/>
  <c r="N3307" i="58"/>
  <c r="N3319" i="58"/>
  <c r="N3345" i="58"/>
  <c r="N3347" i="58"/>
  <c r="N3361" i="58"/>
  <c r="N3373" i="58"/>
  <c r="N3375" i="58"/>
  <c r="N3395" i="58"/>
  <c r="N3415" i="58"/>
  <c r="N3437" i="58"/>
  <c r="N3451" i="58"/>
  <c r="N3481" i="58"/>
  <c r="N3509" i="58"/>
  <c r="N3598" i="58"/>
  <c r="N3619" i="58"/>
  <c r="N3648" i="58"/>
  <c r="N3702" i="58"/>
  <c r="N3731" i="58"/>
  <c r="N3799" i="58"/>
  <c r="N3876" i="58"/>
  <c r="N3902" i="58"/>
  <c r="N4422" i="58"/>
  <c r="N4049" i="58"/>
  <c r="N4353" i="58"/>
  <c r="N3748" i="58"/>
  <c r="N3750" i="58"/>
  <c r="N3763" i="58"/>
  <c r="N3841" i="58"/>
  <c r="N3845" i="58"/>
  <c r="N3916" i="58"/>
  <c r="N3950" i="58"/>
  <c r="N3969" i="58"/>
  <c r="N3971" i="58"/>
  <c r="N4023" i="58"/>
  <c r="N4035" i="58"/>
  <c r="N4037" i="58"/>
  <c r="N4043" i="58"/>
  <c r="N4157" i="58"/>
  <c r="N4193" i="58"/>
  <c r="N4250" i="58"/>
  <c r="N4263" i="58"/>
  <c r="N4330" i="58"/>
  <c r="N4502" i="58"/>
  <c r="N4596" i="58"/>
  <c r="N4713" i="58"/>
  <c r="N4763" i="58"/>
  <c r="N4302" i="58"/>
  <c r="N5029" i="58"/>
  <c r="N5045" i="58"/>
  <c r="N3855" i="58"/>
  <c r="N3973" i="58"/>
  <c r="N3981" i="58"/>
  <c r="N3985" i="58"/>
  <c r="N4056" i="58"/>
  <c r="N4080" i="58"/>
  <c r="N4088" i="58"/>
  <c r="N4163" i="58"/>
  <c r="N4179" i="58"/>
  <c r="N4224" i="58"/>
  <c r="N4246" i="58"/>
  <c r="N4394" i="58"/>
  <c r="N4509" i="58"/>
  <c r="N4886" i="58"/>
  <c r="N5182" i="58"/>
  <c r="N3771" i="58"/>
  <c r="N3880" i="58"/>
  <c r="N3920" i="58"/>
  <c r="N3956" i="58"/>
  <c r="N3999" i="58"/>
  <c r="N4003" i="58"/>
  <c r="N4109" i="58"/>
  <c r="N4165" i="58"/>
  <c r="N4203" i="58"/>
  <c r="N5162" i="58"/>
  <c r="N3685" i="58"/>
  <c r="N3740" i="58"/>
  <c r="N3769" i="58"/>
  <c r="N3775" i="58"/>
  <c r="N3836" i="58"/>
  <c r="N3857" i="58"/>
  <c r="N3989" i="58"/>
  <c r="N3993" i="58"/>
  <c r="N3995" i="58"/>
  <c r="N4021" i="58"/>
  <c r="N4058" i="58"/>
  <c r="N4238" i="58"/>
  <c r="N4324" i="58"/>
  <c r="N4398" i="58"/>
  <c r="N4592" i="58"/>
  <c r="N5069" i="58"/>
  <c r="N4030" i="58"/>
  <c r="N4087" i="58"/>
  <c r="N4113" i="58"/>
  <c r="N4322" i="58"/>
  <c r="N4373" i="58"/>
  <c r="N4790" i="58"/>
  <c r="N3717" i="58"/>
  <c r="N3760" i="58"/>
  <c r="N3827" i="58"/>
  <c r="N3939" i="58"/>
  <c r="N3970" i="58"/>
  <c r="N4034" i="58"/>
  <c r="N4044" i="58"/>
  <c r="N4146" i="58"/>
  <c r="M4192" i="58"/>
  <c r="N4305" i="58"/>
  <c r="N4377" i="58"/>
  <c r="N4386" i="58"/>
  <c r="N4987" i="58"/>
  <c r="N3860" i="58"/>
  <c r="N3871" i="58"/>
  <c r="N3873" i="58"/>
  <c r="N3930" i="58"/>
  <c r="N4026" i="58"/>
  <c r="N4091" i="58"/>
  <c r="N4136" i="58"/>
  <c r="N4142" i="58"/>
  <c r="N4172" i="58"/>
  <c r="N4182" i="58"/>
  <c r="N4192" i="58"/>
  <c r="N4214" i="58"/>
  <c r="N4316" i="58"/>
  <c r="N3894" i="58"/>
  <c r="N3915" i="58"/>
  <c r="N3994" i="58"/>
  <c r="N4002" i="58"/>
  <c r="N4093" i="58"/>
  <c r="N4176" i="58"/>
  <c r="N4188" i="58"/>
  <c r="N4194" i="58"/>
  <c r="N4284" i="58"/>
  <c r="N4301" i="58"/>
  <c r="N4367" i="58"/>
  <c r="N4369" i="58"/>
  <c r="N4575" i="58"/>
  <c r="N4623" i="58"/>
  <c r="N4795" i="58"/>
  <c r="N4922" i="58"/>
  <c r="N4992" i="58"/>
  <c r="N4972" i="58"/>
  <c r="N5153" i="58"/>
  <c r="N4211" i="58"/>
  <c r="N4282" i="58"/>
  <c r="N4430" i="58"/>
  <c r="N4511" i="58"/>
  <c r="N4638" i="58"/>
  <c r="N4689" i="58"/>
  <c r="N4961" i="58"/>
  <c r="N4008" i="58"/>
  <c r="N4078" i="58"/>
  <c r="N4148" i="58"/>
  <c r="N4152" i="58"/>
  <c r="N4154" i="58"/>
  <c r="N4177" i="58"/>
  <c r="N4215" i="58"/>
  <c r="N4219" i="58"/>
  <c r="N4233" i="58"/>
  <c r="N4278" i="58"/>
  <c r="N4318" i="58"/>
  <c r="N4332" i="58"/>
  <c r="N4416" i="58"/>
  <c r="N4433" i="58"/>
  <c r="N4594" i="58"/>
  <c r="N4624" i="58"/>
  <c r="N4632" i="58"/>
  <c r="N4647" i="58"/>
  <c r="N4700" i="58"/>
  <c r="N4724" i="58"/>
  <c r="N5227" i="58"/>
  <c r="N4053" i="58"/>
  <c r="N4137" i="58"/>
  <c r="N4164" i="58"/>
  <c r="N4170" i="58"/>
  <c r="N4229" i="58"/>
  <c r="N4241" i="58"/>
  <c r="N4266" i="58"/>
  <c r="N4274" i="58"/>
  <c r="N4312" i="58"/>
  <c r="N4350" i="58"/>
  <c r="N4354" i="58"/>
  <c r="N4395" i="58"/>
  <c r="N4402" i="58"/>
  <c r="N4414" i="58"/>
  <c r="N4543" i="58"/>
  <c r="N4571" i="58"/>
  <c r="N4698" i="58"/>
  <c r="N4878" i="58"/>
  <c r="N5196" i="58"/>
  <c r="N4227" i="58"/>
  <c r="N4270" i="58"/>
  <c r="N4537" i="58"/>
  <c r="N4662" i="58"/>
  <c r="N4815" i="58"/>
  <c r="N4876" i="58"/>
  <c r="N4977" i="58"/>
  <c r="N4999" i="58"/>
  <c r="N4397" i="58"/>
  <c r="N4720" i="58"/>
  <c r="N4737" i="58"/>
  <c r="N4024" i="58"/>
  <c r="N4028" i="58"/>
  <c r="N4032" i="58"/>
  <c r="N4079" i="58"/>
  <c r="N4112" i="58"/>
  <c r="N4151" i="58"/>
  <c r="N4168" i="58"/>
  <c r="N4216" i="58"/>
  <c r="N4283" i="58"/>
  <c r="N4291" i="58"/>
  <c r="N4325" i="58"/>
  <c r="N4352" i="58"/>
  <c r="N4464" i="58"/>
  <c r="N4510" i="58"/>
  <c r="N4565" i="58"/>
  <c r="N4673" i="58"/>
  <c r="N4754" i="58"/>
  <c r="N4947" i="58"/>
  <c r="N4128" i="58"/>
  <c r="N4178" i="58"/>
  <c r="N4204" i="58"/>
  <c r="N4212" i="58"/>
  <c r="N4275" i="58"/>
  <c r="N4281" i="58"/>
  <c r="N4311" i="58"/>
  <c r="N4321" i="58"/>
  <c r="N4374" i="58"/>
  <c r="N4384" i="58"/>
  <c r="N4415" i="58"/>
  <c r="N4419" i="58"/>
  <c r="N4448" i="58"/>
  <c r="N4495" i="58"/>
  <c r="N4593" i="58"/>
  <c r="N4671" i="58"/>
  <c r="N4735" i="58"/>
  <c r="N4489" i="58"/>
  <c r="N4807" i="58"/>
  <c r="N5183" i="58"/>
  <c r="N4232" i="58"/>
  <c r="N4399" i="58"/>
  <c r="N4407" i="58"/>
  <c r="N4440" i="58"/>
  <c r="N4485" i="58"/>
  <c r="N4748" i="58"/>
  <c r="N4913" i="58"/>
  <c r="N4980" i="58"/>
  <c r="N5169" i="58"/>
  <c r="N5184" i="58"/>
  <c r="N4555" i="58"/>
  <c r="N4718" i="58"/>
  <c r="N4747" i="58"/>
  <c r="N4829" i="58"/>
  <c r="N4839" i="58"/>
  <c r="N4973" i="58"/>
  <c r="N4981" i="58"/>
  <c r="N5057" i="58"/>
  <c r="N5095" i="58"/>
  <c r="N5099" i="58"/>
  <c r="N5103" i="58"/>
  <c r="N5211" i="58"/>
  <c r="N4642" i="58"/>
  <c r="N4825" i="58"/>
  <c r="N4906" i="58"/>
  <c r="N4925" i="58"/>
  <c r="N5123" i="58"/>
  <c r="N5151" i="58"/>
  <c r="N5174" i="58"/>
  <c r="N5176" i="58"/>
  <c r="N5249" i="58"/>
  <c r="N4541" i="58"/>
  <c r="N4577" i="58"/>
  <c r="N4585" i="58"/>
  <c r="N4668" i="58"/>
  <c r="N4678" i="58"/>
  <c r="N4746" i="58"/>
  <c r="N4765" i="58"/>
  <c r="N4767" i="58"/>
  <c r="N4781" i="58"/>
  <c r="N4787" i="58"/>
  <c r="N4799" i="58"/>
  <c r="N4927" i="58"/>
  <c r="N5093" i="58"/>
  <c r="N5166" i="58"/>
  <c r="N4469" i="58"/>
  <c r="N4481" i="58"/>
  <c r="N4505" i="58"/>
  <c r="N4566" i="58"/>
  <c r="N4583" i="58"/>
  <c r="N4587" i="58"/>
  <c r="N4597" i="58"/>
  <c r="N4619" i="58"/>
  <c r="N4690" i="58"/>
  <c r="N4706" i="58"/>
  <c r="N4728" i="58"/>
  <c r="N4730" i="58"/>
  <c r="N4773" i="58"/>
  <c r="N4775" i="58"/>
  <c r="N4779" i="58"/>
  <c r="M4799" i="58"/>
  <c r="N4921" i="58"/>
  <c r="N4923" i="58"/>
  <c r="N5043" i="58"/>
  <c r="N5152" i="58"/>
  <c r="N5214" i="58"/>
  <c r="N5232" i="58"/>
  <c r="N4828" i="58"/>
  <c r="N4574" i="58"/>
  <c r="N4641" i="58"/>
  <c r="M4798" i="58"/>
  <c r="N4964" i="58"/>
  <c r="N4970" i="58"/>
  <c r="N4974" i="58"/>
  <c r="N5173" i="58"/>
  <c r="N5190" i="58"/>
  <c r="N5210" i="58"/>
  <c r="N4462" i="58"/>
  <c r="N4496" i="58"/>
  <c r="N4498" i="58"/>
  <c r="N4514" i="58"/>
  <c r="N4534" i="58"/>
  <c r="N4562" i="58"/>
  <c r="N4588" i="58"/>
  <c r="N4604" i="58"/>
  <c r="N4616" i="58"/>
  <c r="N4620" i="58"/>
  <c r="N4637" i="58"/>
  <c r="N4657" i="58"/>
  <c r="N4703" i="58"/>
  <c r="N4774" i="58"/>
  <c r="N4776" i="58"/>
  <c r="N4788" i="58"/>
  <c r="N4824" i="58"/>
  <c r="N4871" i="58"/>
  <c r="N4889" i="58"/>
  <c r="N4930" i="58"/>
  <c r="N5013" i="58"/>
  <c r="N5064" i="58"/>
  <c r="N5083" i="58"/>
  <c r="N5226" i="58"/>
  <c r="N4425" i="58"/>
  <c r="N4439" i="58"/>
  <c r="N4472" i="58"/>
  <c r="N4482" i="58"/>
  <c r="N4490" i="58"/>
  <c r="N4504" i="58"/>
  <c r="N4548" i="58"/>
  <c r="N4554" i="58"/>
  <c r="N4580" i="58"/>
  <c r="N4679" i="58"/>
  <c r="N4683" i="58"/>
  <c r="N4753" i="58"/>
  <c r="N4784" i="58"/>
  <c r="N4804" i="58"/>
  <c r="N4841" i="58"/>
  <c r="N4847" i="58"/>
  <c r="N4891" i="58"/>
  <c r="N4936" i="58"/>
  <c r="N4944" i="58"/>
  <c r="N5011" i="58"/>
  <c r="N5040" i="58"/>
  <c r="N5048" i="58"/>
  <c r="N5050" i="58"/>
  <c r="N5094" i="58"/>
  <c r="N5098" i="58"/>
  <c r="N5126" i="58"/>
  <c r="N5146" i="58"/>
  <c r="N5195" i="58"/>
  <c r="N5204" i="58"/>
  <c r="N4854" i="58"/>
  <c r="N4856" i="58"/>
  <c r="N4875" i="58"/>
  <c r="N4883" i="58"/>
  <c r="N4904" i="58"/>
  <c r="N5001" i="58"/>
  <c r="N5033" i="58"/>
  <c r="N5035" i="58"/>
  <c r="N5075" i="58"/>
  <c r="N5081" i="58"/>
  <c r="M5096" i="58"/>
  <c r="N5112" i="58"/>
  <c r="N5114" i="58"/>
  <c r="N5137" i="58"/>
  <c r="N5200" i="58"/>
  <c r="N5244" i="58"/>
  <c r="N5257" i="58"/>
  <c r="N5262" i="58"/>
  <c r="N5268" i="58"/>
  <c r="N5281" i="58"/>
  <c r="N4819" i="58"/>
  <c r="N4832" i="58"/>
  <c r="N4852" i="58"/>
  <c r="N4896" i="58"/>
  <c r="N4917" i="58"/>
  <c r="N4967" i="58"/>
  <c r="N5003" i="58"/>
  <c r="N5005" i="58"/>
  <c r="N5007" i="58"/>
  <c r="N5019" i="58"/>
  <c r="N5052" i="58"/>
  <c r="N5058" i="58"/>
  <c r="N5071" i="58"/>
  <c r="N5096" i="58"/>
  <c r="N5118" i="58"/>
  <c r="N5120" i="58"/>
  <c r="N5198" i="58"/>
  <c r="N5251" i="58"/>
  <c r="N5207" i="58"/>
  <c r="N5228" i="58"/>
  <c r="N5238" i="58"/>
  <c r="N5247" i="58"/>
  <c r="N5269" i="58"/>
  <c r="N5273" i="58"/>
  <c r="N5236" i="58"/>
  <c r="N4598" i="58"/>
  <c r="N4670" i="58"/>
  <c r="N4840" i="58"/>
  <c r="N5090" i="58"/>
  <c r="N5144" i="58"/>
  <c r="N5148" i="58"/>
  <c r="N5172" i="58"/>
  <c r="N5271" i="58"/>
  <c r="N4810" i="58"/>
  <c r="N4838" i="58"/>
  <c r="N4851" i="58"/>
  <c r="N4874" i="58"/>
  <c r="N4908" i="58"/>
  <c r="N4931" i="58"/>
  <c r="N4939" i="58"/>
  <c r="N4960" i="58"/>
  <c r="N5034" i="58"/>
  <c r="N5038" i="58"/>
  <c r="N5053" i="58"/>
  <c r="N5076" i="58"/>
  <c r="N5121" i="58"/>
  <c r="N5170" i="58"/>
  <c r="N4818" i="58"/>
  <c r="N4833" i="58"/>
  <c r="N4916" i="58"/>
  <c r="N4952" i="58"/>
  <c r="N4984" i="58"/>
  <c r="N4996" i="58"/>
  <c r="N5006" i="58"/>
  <c r="N5008" i="58"/>
  <c r="N5020" i="58"/>
  <c r="N5065" i="58"/>
  <c r="N5107" i="58"/>
  <c r="N5113" i="58"/>
  <c r="N5117" i="58"/>
  <c r="N5191" i="58"/>
  <c r="N5199" i="58"/>
  <c r="N5220" i="58"/>
  <c r="N5233" i="58"/>
  <c r="N5243" i="58"/>
  <c r="N5254" i="58"/>
  <c r="N5267" i="58"/>
  <c r="N5289" i="58"/>
  <c r="N5237" i="58"/>
  <c r="N5278" i="58"/>
  <c r="N5212" i="58"/>
  <c r="N5218" i="58"/>
  <c r="N5223" i="58"/>
  <c r="N5239" i="58"/>
  <c r="N5270" i="58"/>
  <c r="N5283" i="58"/>
  <c r="N5287" i="58"/>
  <c r="N5119" i="58"/>
  <c r="N4976" i="58"/>
  <c r="N5074" i="58"/>
  <c r="N5156" i="58"/>
  <c r="N5246" i="58"/>
  <c r="N4988" i="58"/>
  <c r="N5021" i="58"/>
  <c r="N5031" i="58"/>
  <c r="N5086" i="58"/>
  <c r="N5142" i="58"/>
  <c r="N4990" i="58"/>
  <c r="N5088" i="58"/>
  <c r="N5128" i="58"/>
  <c r="N5178" i="58"/>
  <c r="N5187" i="58"/>
  <c r="N5189" i="58"/>
  <c r="N5202" i="58"/>
  <c r="N5206" i="58"/>
  <c r="N5215" i="58"/>
  <c r="N5217" i="58"/>
  <c r="N5221" i="58"/>
  <c r="N5288" i="58"/>
  <c r="N4975" i="58"/>
  <c r="N4982" i="58"/>
  <c r="N4994" i="58"/>
  <c r="N5025" i="58"/>
  <c r="N5030" i="58"/>
  <c r="N5037" i="58"/>
  <c r="N5063" i="58"/>
  <c r="N5073" i="58"/>
  <c r="N5080" i="58"/>
  <c r="N5092" i="58"/>
  <c r="N5134" i="58"/>
  <c r="N5136" i="58"/>
  <c r="N5171" i="58"/>
  <c r="N5150" i="58"/>
  <c r="N5260" i="58"/>
  <c r="N5032" i="58"/>
  <c r="N5122" i="58"/>
  <c r="N5157" i="58"/>
  <c r="N5004" i="58"/>
  <c r="N5102" i="58"/>
  <c r="N5059" i="58"/>
  <c r="N5018" i="58"/>
  <c r="N4979" i="58"/>
  <c r="N4989" i="58"/>
  <c r="N5044" i="58"/>
  <c r="N5077" i="58"/>
  <c r="N5087" i="58"/>
  <c r="N5108" i="58"/>
  <c r="N5143" i="58"/>
  <c r="N5175" i="58"/>
  <c r="N5188" i="58"/>
  <c r="N5192" i="58"/>
  <c r="N5201" i="58"/>
  <c r="N5203" i="58"/>
  <c r="N5216" i="58"/>
  <c r="N5016" i="58"/>
  <c r="N5046" i="58"/>
  <c r="N5129" i="58"/>
  <c r="N5161" i="58"/>
  <c r="N4993" i="58"/>
  <c r="N5091" i="58"/>
  <c r="N5147" i="58"/>
  <c r="N5060" i="58"/>
  <c r="N5133" i="58"/>
  <c r="N5274" i="58"/>
  <c r="N3208" i="58"/>
  <c r="N3237" i="58"/>
  <c r="N3239" i="58"/>
  <c r="N3265" i="58"/>
  <c r="N3267" i="58"/>
  <c r="N3293" i="58"/>
  <c r="N3295" i="58"/>
  <c r="N3321" i="58"/>
  <c r="N3365" i="58"/>
  <c r="N3676" i="58"/>
  <c r="N3744" i="58"/>
  <c r="N3800" i="58"/>
  <c r="N4901" i="58"/>
  <c r="N4935" i="58"/>
  <c r="N3524" i="58"/>
  <c r="N3691" i="58"/>
  <c r="N4222" i="58"/>
  <c r="N3250" i="58"/>
  <c r="N3278" i="58"/>
  <c r="N3357" i="58"/>
  <c r="N3390" i="58"/>
  <c r="N3413" i="58"/>
  <c r="N4121" i="58"/>
  <c r="N3348" i="58"/>
  <c r="N3421" i="58"/>
  <c r="N3186" i="58"/>
  <c r="N3329" i="58"/>
  <c r="N3371" i="58"/>
  <c r="N3663" i="58"/>
  <c r="N3709" i="58"/>
  <c r="N3830" i="58"/>
  <c r="N4047" i="58"/>
  <c r="N4051" i="58"/>
  <c r="N3188" i="58"/>
  <c r="N3337" i="58"/>
  <c r="N3379" i="58"/>
  <c r="N3779" i="58"/>
  <c r="N3404" i="58"/>
  <c r="N3427" i="58"/>
  <c r="N3460" i="58"/>
  <c r="N3554" i="58"/>
  <c r="N3656" i="58"/>
  <c r="N3785" i="58"/>
  <c r="N3235" i="58"/>
  <c r="N3263" i="58"/>
  <c r="N3291" i="58"/>
  <c r="N3742" i="58"/>
  <c r="N3479" i="58"/>
  <c r="N3854" i="58"/>
  <c r="N3446" i="58"/>
  <c r="N3236" i="58"/>
  <c r="N3249" i="58"/>
  <c r="N3264" i="58"/>
  <c r="N3277" i="58"/>
  <c r="N3292" i="58"/>
  <c r="N3305" i="58"/>
  <c r="N3320" i="58"/>
  <c r="N3435" i="58"/>
  <c r="N3504" i="58"/>
  <c r="N3194" i="58"/>
  <c r="N3222" i="58"/>
  <c r="N3306" i="58"/>
  <c r="N3432" i="58"/>
  <c r="N3802" i="58"/>
  <c r="N3225" i="58"/>
  <c r="N3253" i="58"/>
  <c r="N3281" i="58"/>
  <c r="N3309" i="58"/>
  <c r="N3362" i="58"/>
  <c r="N3385" i="58"/>
  <c r="N3476" i="58"/>
  <c r="N3517" i="58"/>
  <c r="N3587" i="58"/>
  <c r="N3197" i="58"/>
  <c r="N3441" i="58"/>
  <c r="N3698" i="58"/>
  <c r="N3724" i="58"/>
  <c r="N3819" i="58"/>
  <c r="N3418" i="58"/>
  <c r="N3474" i="58"/>
  <c r="N3537" i="58"/>
  <c r="N3645" i="58"/>
  <c r="N3807" i="58"/>
  <c r="N3945" i="58"/>
  <c r="N3187" i="58"/>
  <c r="N3204" i="58"/>
  <c r="N3218" i="58"/>
  <c r="N3334" i="58"/>
  <c r="N3376" i="58"/>
  <c r="N3399" i="58"/>
  <c r="N3455" i="58"/>
  <c r="N3813" i="58"/>
  <c r="N3484" i="58"/>
  <c r="N3489" i="58"/>
  <c r="N3600" i="58"/>
  <c r="N3733" i="58"/>
  <c r="N3868" i="58"/>
  <c r="N4059" i="58"/>
  <c r="N4140" i="58"/>
  <c r="N4169" i="58"/>
  <c r="N4480" i="58"/>
  <c r="N4494" i="58"/>
  <c r="N3607" i="58"/>
  <c r="N3620" i="58"/>
  <c r="N3726" i="58"/>
  <c r="N3887" i="58"/>
  <c r="N3913" i="58"/>
  <c r="N3966" i="58"/>
  <c r="N3997" i="58"/>
  <c r="N4057" i="58"/>
  <c r="N4478" i="58"/>
  <c r="N3616" i="58"/>
  <c r="N3693" i="58"/>
  <c r="N3713" i="58"/>
  <c r="N3821" i="58"/>
  <c r="N3861" i="58"/>
  <c r="N3889" i="58"/>
  <c r="N4444" i="58"/>
  <c r="N3551" i="58"/>
  <c r="N3556" i="58"/>
  <c r="N3584" i="58"/>
  <c r="N3595" i="58"/>
  <c r="N3673" i="58"/>
  <c r="N3737" i="58"/>
  <c r="N3761" i="58"/>
  <c r="N3780" i="58"/>
  <c r="N3842" i="58"/>
  <c r="N4038" i="58"/>
  <c r="N3526" i="58"/>
  <c r="N3531" i="58"/>
  <c r="N3577" i="58"/>
  <c r="N3597" i="58"/>
  <c r="N3640" i="58"/>
  <c r="N3743" i="58"/>
  <c r="N3793" i="58"/>
  <c r="N3840" i="58"/>
  <c r="N4094" i="58"/>
  <c r="N3686" i="58"/>
  <c r="N3721" i="58"/>
  <c r="N3741" i="58"/>
  <c r="N3754" i="58"/>
  <c r="N3503" i="58"/>
  <c r="N3644" i="58"/>
  <c r="N3908" i="58"/>
  <c r="N3786" i="58"/>
  <c r="N3812" i="58"/>
  <c r="N3814" i="58"/>
  <c r="N3835" i="58"/>
  <c r="N3475" i="58"/>
  <c r="N3523" i="58"/>
  <c r="N3560" i="58"/>
  <c r="N3590" i="58"/>
  <c r="N3592" i="58"/>
  <c r="N3617" i="58"/>
  <c r="N3635" i="58"/>
  <c r="N3984" i="58"/>
  <c r="N3555" i="58"/>
  <c r="N3615" i="58"/>
  <c r="N3628" i="58"/>
  <c r="N3714" i="58"/>
  <c r="N3875" i="58"/>
  <c r="N3931" i="58"/>
  <c r="N3467" i="58"/>
  <c r="N3495" i="58"/>
  <c r="N3540" i="58"/>
  <c r="N3545" i="58"/>
  <c r="N3569" i="58"/>
  <c r="N3661" i="58"/>
  <c r="N3696" i="58"/>
  <c r="N3738" i="58"/>
  <c r="N3766" i="58"/>
  <c r="N3826" i="58"/>
  <c r="N3901" i="58"/>
  <c r="N3903" i="58"/>
  <c r="N3922" i="58"/>
  <c r="N4064" i="58"/>
  <c r="N3952" i="58"/>
  <c r="N3975" i="58"/>
  <c r="N4012" i="58"/>
  <c r="N4076" i="58"/>
  <c r="N3849" i="58"/>
  <c r="N3882" i="58"/>
  <c r="N3938" i="58"/>
  <c r="N3961" i="58"/>
  <c r="N4404" i="58"/>
  <c r="N4758" i="58"/>
  <c r="N3605" i="58"/>
  <c r="N3658" i="58"/>
  <c r="N3703" i="58"/>
  <c r="N3756" i="58"/>
  <c r="N3773" i="58"/>
  <c r="N3856" i="58"/>
  <c r="N3863" i="58"/>
  <c r="N3896" i="58"/>
  <c r="N3924" i="58"/>
  <c r="N3947" i="58"/>
  <c r="N4048" i="58"/>
  <c r="N4131" i="58"/>
  <c r="N4207" i="58"/>
  <c r="N4257" i="58"/>
  <c r="N4603" i="58"/>
  <c r="N4715" i="58"/>
  <c r="N3768" i="58"/>
  <c r="N3787" i="58"/>
  <c r="N3877" i="58"/>
  <c r="N3910" i="58"/>
  <c r="N3933" i="58"/>
  <c r="N4005" i="58"/>
  <c r="N4244" i="58"/>
  <c r="N3630" i="58"/>
  <c r="N3675" i="58"/>
  <c r="N3728" i="58"/>
  <c r="N3801" i="58"/>
  <c r="N3884" i="58"/>
  <c r="N3891" i="58"/>
  <c r="N3919" i="58"/>
  <c r="N3940" i="58"/>
  <c r="N3992" i="58"/>
  <c r="N4020" i="58"/>
  <c r="N4031" i="58"/>
  <c r="N4046" i="58"/>
  <c r="N4095" i="58"/>
  <c r="N4116" i="58"/>
  <c r="N4393" i="58"/>
  <c r="N3782" i="58"/>
  <c r="N3815" i="58"/>
  <c r="N3905" i="58"/>
  <c r="N4099" i="58"/>
  <c r="N4135" i="58"/>
  <c r="N3602" i="58"/>
  <c r="N3647" i="58"/>
  <c r="N3700" i="58"/>
  <c r="N3745" i="58"/>
  <c r="N3770" i="58"/>
  <c r="N3789" i="58"/>
  <c r="N3796" i="58"/>
  <c r="N3912" i="58"/>
  <c r="N4101" i="58"/>
  <c r="N4126" i="58"/>
  <c r="N3563" i="58"/>
  <c r="N3765" i="58"/>
  <c r="N3803" i="58"/>
  <c r="N3810" i="58"/>
  <c r="N3843" i="58"/>
  <c r="N4075" i="58"/>
  <c r="N4231" i="58"/>
  <c r="N4235" i="58"/>
  <c r="N4339" i="58"/>
  <c r="N3672" i="58"/>
  <c r="N3784" i="58"/>
  <c r="N3817" i="58"/>
  <c r="N3824" i="58"/>
  <c r="N3667" i="58"/>
  <c r="N3798" i="58"/>
  <c r="N4015" i="58"/>
  <c r="N4017" i="58"/>
  <c r="N4145" i="58"/>
  <c r="N4294" i="58"/>
  <c r="N4036" i="58"/>
  <c r="N4092" i="58"/>
  <c r="N4198" i="58"/>
  <c r="N4605" i="58"/>
  <c r="N4793" i="58"/>
  <c r="N4791" i="58"/>
  <c r="N4033" i="58"/>
  <c r="N4084" i="58"/>
  <c r="N4089" i="58"/>
  <c r="N4173" i="58"/>
  <c r="N4200" i="58"/>
  <c r="N4252" i="58"/>
  <c r="N4326" i="58"/>
  <c r="N4756" i="58"/>
  <c r="N4106" i="58"/>
  <c r="N4184" i="58"/>
  <c r="N4273" i="58"/>
  <c r="N4304" i="58"/>
  <c r="N4471" i="58"/>
  <c r="N4723" i="58"/>
  <c r="N3991" i="58"/>
  <c r="N4061" i="58"/>
  <c r="N4217" i="58"/>
  <c r="N4243" i="58"/>
  <c r="N4279" i="58"/>
  <c r="N4289" i="58"/>
  <c r="N4103" i="58"/>
  <c r="N4120" i="58"/>
  <c r="N4159" i="58"/>
  <c r="N4260" i="58"/>
  <c r="N4334" i="58"/>
  <c r="N4050" i="58"/>
  <c r="N4098" i="58"/>
  <c r="N4134" i="58"/>
  <c r="N4545" i="58"/>
  <c r="N4019" i="58"/>
  <c r="N4236" i="58"/>
  <c r="N4299" i="58"/>
  <c r="N4458" i="58"/>
  <c r="N4117" i="58"/>
  <c r="N4122" i="58"/>
  <c r="N4201" i="58"/>
  <c r="N4329" i="58"/>
  <c r="N4344" i="58"/>
  <c r="N4400" i="58"/>
  <c r="N4456" i="58"/>
  <c r="N4492" i="58"/>
  <c r="N4508" i="58"/>
  <c r="N4522" i="58"/>
  <c r="N4659" i="58"/>
  <c r="N4688" i="58"/>
  <c r="N4966" i="58"/>
  <c r="N4268" i="58"/>
  <c r="N4358" i="58"/>
  <c r="N4460" i="58"/>
  <c r="N4506" i="58"/>
  <c r="N4512" i="58"/>
  <c r="N4520" i="58"/>
  <c r="N4536" i="58"/>
  <c r="N4686" i="58"/>
  <c r="N4692" i="58"/>
  <c r="N4817" i="58"/>
  <c r="N4865" i="58"/>
  <c r="N4390" i="58"/>
  <c r="N4408" i="58"/>
  <c r="N4423" i="58"/>
  <c r="N4540" i="58"/>
  <c r="N4559" i="58"/>
  <c r="N4702" i="58"/>
  <c r="N4845" i="58"/>
  <c r="N4306" i="58"/>
  <c r="N4341" i="58"/>
  <c r="N4392" i="58"/>
  <c r="N4254" i="58"/>
  <c r="N4265" i="58"/>
  <c r="N4331" i="58"/>
  <c r="N4348" i="58"/>
  <c r="N4362" i="58"/>
  <c r="N4378" i="58"/>
  <c r="N4431" i="58"/>
  <c r="N4621" i="58"/>
  <c r="N4627" i="58"/>
  <c r="N4677" i="58"/>
  <c r="N4708" i="58"/>
  <c r="N4745" i="58"/>
  <c r="N4387" i="58"/>
  <c r="N4298" i="58"/>
  <c r="N4355" i="58"/>
  <c r="N4441" i="58"/>
  <c r="N4466" i="58"/>
  <c r="N4483" i="58"/>
  <c r="N4493" i="58"/>
  <c r="N4600" i="58"/>
  <c r="N4812" i="58"/>
  <c r="N4240" i="58"/>
  <c r="N4251" i="58"/>
  <c r="N4288" i="58"/>
  <c r="N4303" i="58"/>
  <c r="N4343" i="58"/>
  <c r="N4366" i="58"/>
  <c r="N4382" i="58"/>
  <c r="N4453" i="58"/>
  <c r="N4470" i="58"/>
  <c r="N4497" i="58"/>
  <c r="N4517" i="58"/>
  <c r="N4531" i="58"/>
  <c r="N4558" i="58"/>
  <c r="N4280" i="58"/>
  <c r="N4290" i="58"/>
  <c r="N4315" i="58"/>
  <c r="N4451" i="58"/>
  <c r="N4693" i="58"/>
  <c r="N4345" i="58"/>
  <c r="N4499" i="58"/>
  <c r="N4513" i="58"/>
  <c r="N4527" i="58"/>
  <c r="N4664" i="58"/>
  <c r="N4666" i="58"/>
  <c r="N4734" i="58"/>
  <c r="N4413" i="58"/>
  <c r="N4740" i="58"/>
  <c r="N4717" i="58"/>
  <c r="N4736" i="58"/>
  <c r="N4782" i="58"/>
  <c r="N4873" i="58"/>
  <c r="N4907" i="58"/>
  <c r="N4968" i="58"/>
  <c r="N4563" i="58"/>
  <c r="N4572" i="58"/>
  <c r="N4699" i="58"/>
  <c r="N4780" i="58"/>
  <c r="N4808" i="58"/>
  <c r="N4836" i="58"/>
  <c r="N4320" i="58"/>
  <c r="N4418" i="58"/>
  <c r="N4549" i="58"/>
  <c r="N4567" i="58"/>
  <c r="N4591" i="58"/>
  <c r="N4607" i="58"/>
  <c r="N4650" i="58"/>
  <c r="N4672" i="58"/>
  <c r="N4701" i="58"/>
  <c r="N4721" i="58"/>
  <c r="N4725" i="58"/>
  <c r="N4742" i="58"/>
  <c r="N4814" i="58"/>
  <c r="N4879" i="58"/>
  <c r="N4949" i="58"/>
  <c r="N4674" i="58"/>
  <c r="N4744" i="58"/>
  <c r="N4938" i="58"/>
  <c r="N4376" i="58"/>
  <c r="N4455" i="58"/>
  <c r="N4535" i="58"/>
  <c r="N4553" i="58"/>
  <c r="N4578" i="58"/>
  <c r="N4613" i="58"/>
  <c r="N4629" i="58"/>
  <c r="N4643" i="58"/>
  <c r="N4645" i="58"/>
  <c r="N4694" i="58"/>
  <c r="N4729" i="58"/>
  <c r="N4731" i="58"/>
  <c r="N4766" i="58"/>
  <c r="N4831" i="58"/>
  <c r="N4868" i="58"/>
  <c r="N4957" i="58"/>
  <c r="N4544" i="58"/>
  <c r="N4569" i="58"/>
  <c r="N4631" i="58"/>
  <c r="N4685" i="58"/>
  <c r="N4503" i="58"/>
  <c r="N4521" i="58"/>
  <c r="N4539" i="58"/>
  <c r="N4586" i="58"/>
  <c r="N4665" i="58"/>
  <c r="N4687" i="58"/>
  <c r="N4707" i="58"/>
  <c r="N4750" i="58"/>
  <c r="N4768" i="58"/>
  <c r="N4777" i="58"/>
  <c r="N4803" i="58"/>
  <c r="N4910" i="58"/>
  <c r="N4963" i="58"/>
  <c r="N4432" i="58"/>
  <c r="N4530" i="58"/>
  <c r="N4564" i="58"/>
  <c r="N4584" i="58"/>
  <c r="N4615" i="58"/>
  <c r="N4640" i="58"/>
  <c r="N4656" i="58"/>
  <c r="N4680" i="58"/>
  <c r="N4691" i="58"/>
  <c r="N4929" i="58"/>
  <c r="N4427" i="58"/>
  <c r="N4452" i="58"/>
  <c r="N4457" i="58"/>
  <c r="N4507" i="58"/>
  <c r="N4709" i="58"/>
  <c r="N4739" i="58"/>
  <c r="N4893" i="58"/>
  <c r="N4437" i="58"/>
  <c r="N4516" i="58"/>
  <c r="N4550" i="58"/>
  <c r="N4573" i="58"/>
  <c r="N4595" i="58"/>
  <c r="N4599" i="58"/>
  <c r="N4635" i="58"/>
  <c r="N4658" i="58"/>
  <c r="N4752" i="58"/>
  <c r="N4882" i="58"/>
  <c r="N4710" i="58"/>
  <c r="N4884" i="58"/>
  <c r="N4912" i="58"/>
  <c r="N4940" i="58"/>
  <c r="N4696" i="58"/>
  <c r="N4864" i="58"/>
  <c r="N4626" i="58"/>
  <c r="N4842" i="58"/>
  <c r="N4892" i="58"/>
  <c r="N4920" i="58"/>
  <c r="N4948" i="58"/>
  <c r="N4682" i="58"/>
  <c r="N4870" i="58"/>
  <c r="N4612" i="58"/>
  <c r="N4822" i="58"/>
  <c r="N4859" i="58"/>
  <c r="N4898" i="58"/>
  <c r="N4926" i="58"/>
  <c r="N4954" i="58"/>
  <c r="N4971" i="58"/>
  <c r="N4738" i="58"/>
  <c r="N4749" i="58"/>
  <c r="N4809" i="58"/>
  <c r="N4850" i="58"/>
  <c r="N4887" i="58"/>
  <c r="N4915" i="58"/>
  <c r="N4943" i="58"/>
  <c r="M4805" i="58"/>
  <c r="T13" i="106"/>
  <c r="V13" i="106" s="1"/>
  <c r="C13" i="106"/>
  <c r="T14" i="106"/>
  <c r="AF14" i="106" s="1"/>
  <c r="C14" i="106"/>
  <c r="V14" i="106" l="1"/>
  <c r="AE13" i="106"/>
  <c r="Y13" i="106"/>
  <c r="AC13" i="106"/>
  <c r="AA13" i="106"/>
  <c r="AD13" i="106"/>
  <c r="AB13" i="106"/>
  <c r="Z13" i="106"/>
  <c r="X13" i="106"/>
  <c r="W13" i="106"/>
  <c r="AE14" i="106"/>
  <c r="AD14" i="106"/>
  <c r="AC14" i="106"/>
  <c r="AA14" i="106"/>
  <c r="AB14" i="106"/>
  <c r="Z14" i="106"/>
  <c r="W14" i="106"/>
  <c r="AF13" i="106"/>
  <c r="U13" i="106"/>
  <c r="Y14" i="106"/>
  <c r="X14" i="106"/>
  <c r="U14" i="106"/>
  <c r="Q166" i="105" l="1"/>
  <c r="Q161" i="105"/>
  <c r="Q158" i="105"/>
  <c r="Q155" i="105"/>
  <c r="Q143" i="105"/>
  <c r="Q122" i="105"/>
  <c r="Q93" i="105"/>
  <c r="Q79" i="105"/>
  <c r="Q62" i="105"/>
  <c r="Q56" i="105"/>
  <c r="Q44" i="105"/>
  <c r="Q25" i="105"/>
  <c r="Q17" i="105"/>
  <c r="E217" i="105" l="1"/>
  <c r="D11" i="134"/>
  <c r="D13" i="134" s="1"/>
  <c r="E11" i="134"/>
  <c r="F10" i="134" l="1"/>
  <c r="F15" i="134" s="1"/>
  <c r="F17" i="134" l="1"/>
  <c r="F163" i="110"/>
  <c r="G10" i="134"/>
  <c r="G15" i="134" s="1"/>
  <c r="G163" i="110" s="1"/>
  <c r="F11" i="134"/>
  <c r="H10" i="134" l="1"/>
  <c r="H15" i="134" s="1"/>
  <c r="H163" i="110" s="1"/>
  <c r="G11" i="134"/>
  <c r="I10" i="134" l="1"/>
  <c r="I15" i="134" s="1"/>
  <c r="I163" i="110" s="1"/>
  <c r="H11" i="134"/>
  <c r="J10" i="134" l="1"/>
  <c r="J15" i="134" s="1"/>
  <c r="J163" i="110" s="1"/>
  <c r="I11" i="134"/>
  <c r="K10" i="134" l="1"/>
  <c r="K15" i="134" s="1"/>
  <c r="K163" i="110" s="1"/>
  <c r="J11" i="134"/>
  <c r="L10" i="134" l="1"/>
  <c r="L15" i="134" s="1"/>
  <c r="L163" i="110" s="1"/>
  <c r="K11" i="134"/>
  <c r="M10" i="134" l="1"/>
  <c r="M15" i="134" s="1"/>
  <c r="M163" i="110" s="1"/>
  <c r="L11" i="134"/>
  <c r="N10" i="134" l="1"/>
  <c r="N15" i="134" s="1"/>
  <c r="N163" i="110" s="1"/>
  <c r="M11" i="134"/>
  <c r="N11" i="134" l="1"/>
  <c r="O10" i="134"/>
  <c r="P5607" i="58"/>
  <c r="O5607" i="58"/>
  <c r="I5607" i="58"/>
  <c r="J5607" i="58" s="1"/>
  <c r="H5607" i="58"/>
  <c r="G5607" i="58"/>
  <c r="P5606" i="58"/>
  <c r="O5606" i="58"/>
  <c r="I5606" i="58"/>
  <c r="L5606" i="58" s="1"/>
  <c r="H5606" i="58"/>
  <c r="G5606" i="58"/>
  <c r="P5605" i="58"/>
  <c r="O5605" i="58"/>
  <c r="I5605" i="58"/>
  <c r="L5605" i="58" s="1"/>
  <c r="H5605" i="58"/>
  <c r="G5605" i="58"/>
  <c r="P5604" i="58"/>
  <c r="O5604" i="58"/>
  <c r="L5604" i="58"/>
  <c r="I5604" i="58"/>
  <c r="J5604" i="58" s="1"/>
  <c r="H5604" i="58"/>
  <c r="G5604" i="58"/>
  <c r="P5603" i="58"/>
  <c r="O5603" i="58"/>
  <c r="I5603" i="58"/>
  <c r="J5603" i="58" s="1"/>
  <c r="H5603" i="58"/>
  <c r="G5603" i="58"/>
  <c r="P5602" i="58"/>
  <c r="O5602" i="58"/>
  <c r="I5602" i="58"/>
  <c r="L5602" i="58" s="1"/>
  <c r="H5602" i="58"/>
  <c r="G5602" i="58"/>
  <c r="P5601" i="58"/>
  <c r="O5601" i="58"/>
  <c r="I5601" i="58"/>
  <c r="J5601" i="58" s="1"/>
  <c r="H5601" i="58"/>
  <c r="G5601" i="58"/>
  <c r="P5600" i="58"/>
  <c r="O5600" i="58"/>
  <c r="I5600" i="58"/>
  <c r="L5600" i="58" s="1"/>
  <c r="H5600" i="58"/>
  <c r="G5600" i="58"/>
  <c r="P5599" i="58"/>
  <c r="O5599" i="58"/>
  <c r="L5599" i="58"/>
  <c r="I5599" i="58"/>
  <c r="J5599" i="58" s="1"/>
  <c r="H5599" i="58"/>
  <c r="G5599" i="58"/>
  <c r="P5598" i="58"/>
  <c r="O5598" i="58"/>
  <c r="I5598" i="58"/>
  <c r="L5598" i="58" s="1"/>
  <c r="H5598" i="58"/>
  <c r="G5598" i="58"/>
  <c r="P5597" i="58"/>
  <c r="O5597" i="58"/>
  <c r="I5597" i="58"/>
  <c r="L5597" i="58" s="1"/>
  <c r="H5597" i="58"/>
  <c r="G5597" i="58"/>
  <c r="P5596" i="58"/>
  <c r="O5596" i="58"/>
  <c r="I5596" i="58"/>
  <c r="J5596" i="58" s="1"/>
  <c r="H5596" i="58"/>
  <c r="G5596" i="58"/>
  <c r="P5595" i="58"/>
  <c r="O5595" i="58"/>
  <c r="I5595" i="58"/>
  <c r="L5595" i="58" s="1"/>
  <c r="H5595" i="58"/>
  <c r="G5595" i="58"/>
  <c r="P5594" i="58"/>
  <c r="O5594" i="58"/>
  <c r="I5594" i="58"/>
  <c r="L5594" i="58" s="1"/>
  <c r="H5594" i="58"/>
  <c r="G5594" i="58"/>
  <c r="P5593" i="58"/>
  <c r="O5593" i="58"/>
  <c r="I5593" i="58"/>
  <c r="L5593" i="58" s="1"/>
  <c r="H5593" i="58"/>
  <c r="G5593" i="58"/>
  <c r="P5592" i="58"/>
  <c r="O5592" i="58"/>
  <c r="I5592" i="58"/>
  <c r="L5592" i="58" s="1"/>
  <c r="H5592" i="58"/>
  <c r="G5592" i="58"/>
  <c r="P5591" i="58"/>
  <c r="O5591" i="58"/>
  <c r="I5591" i="58"/>
  <c r="L5591" i="58" s="1"/>
  <c r="H5591" i="58"/>
  <c r="G5591" i="58"/>
  <c r="P5590" i="58"/>
  <c r="O5590" i="58"/>
  <c r="L5590" i="58"/>
  <c r="I5590" i="58"/>
  <c r="J5590" i="58" s="1"/>
  <c r="H5590" i="58"/>
  <c r="G5590" i="58"/>
  <c r="P5589" i="58"/>
  <c r="O5589" i="58"/>
  <c r="I5589" i="58"/>
  <c r="L5589" i="58" s="1"/>
  <c r="H5589" i="58"/>
  <c r="G5589" i="58"/>
  <c r="P5588" i="58"/>
  <c r="O5588" i="58"/>
  <c r="L5588" i="58"/>
  <c r="I5588" i="58"/>
  <c r="J5588" i="58" s="1"/>
  <c r="H5588" i="58"/>
  <c r="G5588" i="58"/>
  <c r="P5587" i="58"/>
  <c r="O5587" i="58"/>
  <c r="I5587" i="58"/>
  <c r="L5587" i="58" s="1"/>
  <c r="H5587" i="58"/>
  <c r="G5587" i="58"/>
  <c r="P17" i="105"/>
  <c r="P25" i="105"/>
  <c r="P44" i="105"/>
  <c r="P56" i="105"/>
  <c r="P62" i="105"/>
  <c r="P79" i="105"/>
  <c r="P93" i="105"/>
  <c r="P122" i="105"/>
  <c r="P143" i="105"/>
  <c r="P155" i="105"/>
  <c r="P158" i="105"/>
  <c r="P161" i="105"/>
  <c r="P166" i="105"/>
  <c r="H5566" i="58"/>
  <c r="I5566" i="58"/>
  <c r="J5566" i="58" s="1"/>
  <c r="L5566" i="58"/>
  <c r="O5566" i="58"/>
  <c r="P5566" i="58"/>
  <c r="H5567" i="58"/>
  <c r="I5567" i="58"/>
  <c r="J5567" i="58" s="1"/>
  <c r="L5567" i="58"/>
  <c r="O5567" i="58"/>
  <c r="P5567" i="58"/>
  <c r="H5568" i="58"/>
  <c r="I5568" i="58"/>
  <c r="J5568" i="58" s="1"/>
  <c r="L5568" i="58"/>
  <c r="O5568" i="58"/>
  <c r="P5568" i="58"/>
  <c r="H5569" i="58"/>
  <c r="I5569" i="58"/>
  <c r="J5569" i="58" s="1"/>
  <c r="L5569" i="58"/>
  <c r="O5569" i="58"/>
  <c r="P5569" i="58"/>
  <c r="H5570" i="58"/>
  <c r="I5570" i="58"/>
  <c r="J5570" i="58" s="1"/>
  <c r="L5570" i="58"/>
  <c r="O5570" i="58"/>
  <c r="P5570" i="58"/>
  <c r="H5571" i="58"/>
  <c r="I5571" i="58"/>
  <c r="J5571" i="58" s="1"/>
  <c r="L5571" i="58"/>
  <c r="O5571" i="58"/>
  <c r="P5571" i="58"/>
  <c r="H5572" i="58"/>
  <c r="I5572" i="58"/>
  <c r="J5572" i="58" s="1"/>
  <c r="L5572" i="58"/>
  <c r="O5572" i="58"/>
  <c r="P5572" i="58"/>
  <c r="H5573" i="58"/>
  <c r="I5573" i="58"/>
  <c r="J5573" i="58" s="1"/>
  <c r="L5573" i="58"/>
  <c r="O5573" i="58"/>
  <c r="P5573" i="58"/>
  <c r="H5574" i="58"/>
  <c r="I5574" i="58"/>
  <c r="J5574" i="58" s="1"/>
  <c r="L5574" i="58"/>
  <c r="O5574" i="58"/>
  <c r="P5574" i="58"/>
  <c r="H5575" i="58"/>
  <c r="I5575" i="58"/>
  <c r="J5575" i="58" s="1"/>
  <c r="L5575" i="58"/>
  <c r="O5575" i="58"/>
  <c r="P5575" i="58"/>
  <c r="H5576" i="58"/>
  <c r="I5576" i="58"/>
  <c r="J5576" i="58" s="1"/>
  <c r="L5576" i="58"/>
  <c r="O5576" i="58"/>
  <c r="P5576" i="58"/>
  <c r="H5577" i="58"/>
  <c r="I5577" i="58"/>
  <c r="J5577" i="58" s="1"/>
  <c r="L5577" i="58"/>
  <c r="O5577" i="58"/>
  <c r="P5577" i="58"/>
  <c r="H5578" i="58"/>
  <c r="I5578" i="58"/>
  <c r="J5578" i="58" s="1"/>
  <c r="L5578" i="58"/>
  <c r="O5578" i="58"/>
  <c r="P5578" i="58"/>
  <c r="H5579" i="58"/>
  <c r="I5579" i="58"/>
  <c r="J5579" i="58" s="1"/>
  <c r="L5579" i="58"/>
  <c r="O5579" i="58"/>
  <c r="P5579" i="58"/>
  <c r="H5580" i="58"/>
  <c r="I5580" i="58"/>
  <c r="J5580" i="58" s="1"/>
  <c r="L5580" i="58"/>
  <c r="O5580" i="58"/>
  <c r="P5580" i="58"/>
  <c r="H5581" i="58"/>
  <c r="I5581" i="58"/>
  <c r="J5581" i="58" s="1"/>
  <c r="L5581" i="58"/>
  <c r="O5581" i="58"/>
  <c r="P5581" i="58"/>
  <c r="H5582" i="58"/>
  <c r="I5582" i="58"/>
  <c r="J5582" i="58" s="1"/>
  <c r="L5582" i="58"/>
  <c r="O5582" i="58"/>
  <c r="P5582" i="58"/>
  <c r="H5583" i="58"/>
  <c r="I5583" i="58"/>
  <c r="J5583" i="58" s="1"/>
  <c r="L5583" i="58"/>
  <c r="O5583" i="58"/>
  <c r="P5583" i="58"/>
  <c r="H5584" i="58"/>
  <c r="I5584" i="58"/>
  <c r="J5584" i="58" s="1"/>
  <c r="L5584" i="58"/>
  <c r="O5584" i="58"/>
  <c r="P5584" i="58"/>
  <c r="H5585" i="58"/>
  <c r="I5585" i="58"/>
  <c r="J5585" i="58" s="1"/>
  <c r="L5585" i="58"/>
  <c r="O5585" i="58"/>
  <c r="P5585" i="58"/>
  <c r="H5586" i="58"/>
  <c r="I5586" i="58"/>
  <c r="J5586" i="58" s="1"/>
  <c r="L5586" i="58"/>
  <c r="O5586" i="58"/>
  <c r="P5586" i="58"/>
  <c r="O11" i="134" l="1"/>
  <c r="O15" i="134"/>
  <c r="O163" i="110" s="1"/>
  <c r="N5597" i="58"/>
  <c r="M5597" i="58"/>
  <c r="N5598" i="58"/>
  <c r="M5598" i="58"/>
  <c r="N5606" i="58"/>
  <c r="M5606" i="58"/>
  <c r="M5604" i="58"/>
  <c r="N5604" i="58"/>
  <c r="N5602" i="58"/>
  <c r="M5602" i="58"/>
  <c r="M5594" i="58"/>
  <c r="N5594" i="58"/>
  <c r="N5595" i="58"/>
  <c r="M5595" i="58"/>
  <c r="N5600" i="58"/>
  <c r="M5600" i="58"/>
  <c r="M5599" i="58"/>
  <c r="N5599" i="58"/>
  <c r="M5605" i="58"/>
  <c r="N5605" i="58"/>
  <c r="J5597" i="58"/>
  <c r="J5602" i="58"/>
  <c r="L5596" i="58"/>
  <c r="L5601" i="58"/>
  <c r="L5607" i="58"/>
  <c r="J5595" i="58"/>
  <c r="J5606" i="58"/>
  <c r="L5603" i="58"/>
  <c r="J5598" i="58"/>
  <c r="J5594" i="58"/>
  <c r="J5600" i="58"/>
  <c r="J5605" i="58"/>
  <c r="N5592" i="58"/>
  <c r="M5592" i="58"/>
  <c r="N5587" i="58"/>
  <c r="M5587" i="58"/>
  <c r="N5590" i="58"/>
  <c r="M5590" i="58"/>
  <c r="M5588" i="58"/>
  <c r="N5588" i="58"/>
  <c r="M5589" i="58"/>
  <c r="N5589" i="58"/>
  <c r="N5593" i="58"/>
  <c r="M5593" i="58"/>
  <c r="M5591" i="58"/>
  <c r="N5591" i="58"/>
  <c r="J5589" i="58"/>
  <c r="J5587" i="58"/>
  <c r="J5593" i="58"/>
  <c r="J5592" i="58"/>
  <c r="J5591" i="58"/>
  <c r="N5585" i="58"/>
  <c r="N5578" i="58"/>
  <c r="N5582" i="58"/>
  <c r="N5586" i="58"/>
  <c r="N5568" i="58"/>
  <c r="N5567" i="58"/>
  <c r="N5575" i="58"/>
  <c r="N5581" i="58"/>
  <c r="N5571" i="58"/>
  <c r="N5572" i="58"/>
  <c r="N5579" i="58"/>
  <c r="N5574" i="58"/>
  <c r="N5583" i="58"/>
  <c r="N5576" i="58"/>
  <c r="N5569" i="58"/>
  <c r="N5580" i="58"/>
  <c r="N5577" i="58"/>
  <c r="N5573" i="58"/>
  <c r="N5570" i="58"/>
  <c r="N5566" i="58"/>
  <c r="N5584" i="58"/>
  <c r="N5607" i="58" l="1"/>
  <c r="M5607" i="58"/>
  <c r="N5603" i="58"/>
  <c r="M5603" i="58"/>
  <c r="N5601" i="58"/>
  <c r="M5601" i="58"/>
  <c r="M5596" i="58"/>
  <c r="N5596" i="58"/>
  <c r="D166" i="110"/>
  <c r="G527" i="66" l="1"/>
  <c r="H527" i="66" s="1"/>
  <c r="G526" i="66"/>
  <c r="H526" i="66" s="1"/>
  <c r="G525" i="66"/>
  <c r="H525" i="66" s="1"/>
  <c r="G524" i="66"/>
  <c r="H524" i="66" s="1"/>
  <c r="G523" i="66"/>
  <c r="H523" i="66" s="1"/>
  <c r="G522" i="66"/>
  <c r="H522" i="66" s="1"/>
  <c r="S5" i="106"/>
  <c r="S6" i="106"/>
  <c r="S9" i="106"/>
  <c r="S11" i="106"/>
  <c r="T11" i="106"/>
  <c r="Y11" i="106" s="1"/>
  <c r="S12" i="106"/>
  <c r="S15" i="106"/>
  <c r="B364" i="106"/>
  <c r="T364" i="106" s="1"/>
  <c r="B365" i="106"/>
  <c r="B366" i="106"/>
  <c r="B367" i="106"/>
  <c r="B368" i="106"/>
  <c r="T368" i="106" s="1"/>
  <c r="B369" i="106"/>
  <c r="T369" i="106" s="1"/>
  <c r="G521" i="66"/>
  <c r="H521" i="66" s="1"/>
  <c r="G520" i="66"/>
  <c r="H520" i="66" s="1"/>
  <c r="G519" i="66"/>
  <c r="H519" i="66" s="1"/>
  <c r="G6838" i="58" s="1"/>
  <c r="M6838" i="58" s="1"/>
  <c r="G518" i="66"/>
  <c r="H518" i="66" s="1"/>
  <c r="G517" i="66"/>
  <c r="H517" i="66" s="1"/>
  <c r="G516" i="66"/>
  <c r="H516" i="66" s="1"/>
  <c r="G515" i="66"/>
  <c r="H515" i="66" s="1"/>
  <c r="G514" i="66"/>
  <c r="H514" i="66" s="1"/>
  <c r="G513" i="66"/>
  <c r="H513" i="66" s="1"/>
  <c r="Z364" i="106" l="1"/>
  <c r="AC364" i="106"/>
  <c r="AE364" i="106"/>
  <c r="AF364" i="106"/>
  <c r="W364" i="106"/>
  <c r="AB364" i="106"/>
  <c r="U364" i="106"/>
  <c r="V364" i="106"/>
  <c r="X364" i="106"/>
  <c r="Y364" i="106"/>
  <c r="AA364" i="106"/>
  <c r="AD364" i="106"/>
  <c r="Z369" i="106"/>
  <c r="AC369" i="106"/>
  <c r="AB369" i="106"/>
  <c r="U369" i="106"/>
  <c r="W369" i="106"/>
  <c r="Y369" i="106"/>
  <c r="AF369" i="106"/>
  <c r="AE369" i="106"/>
  <c r="V369" i="106"/>
  <c r="X369" i="106"/>
  <c r="AA369" i="106"/>
  <c r="AD369" i="106"/>
  <c r="Z368" i="106"/>
  <c r="AE368" i="106"/>
  <c r="AF368" i="106"/>
  <c r="AC368" i="106"/>
  <c r="W368" i="106"/>
  <c r="AB368" i="106"/>
  <c r="U368" i="106"/>
  <c r="V368" i="106"/>
  <c r="X368" i="106"/>
  <c r="Y368" i="106"/>
  <c r="AA368" i="106"/>
  <c r="AD368" i="106"/>
  <c r="C367" i="106"/>
  <c r="T367" i="106"/>
  <c r="C366" i="106"/>
  <c r="T366" i="106"/>
  <c r="C365" i="106"/>
  <c r="T365" i="106"/>
  <c r="X11" i="106"/>
  <c r="C369" i="106"/>
  <c r="D369" i="106"/>
  <c r="C368" i="106"/>
  <c r="C364" i="106"/>
  <c r="D367" i="106"/>
  <c r="AF11" i="106"/>
  <c r="AE11" i="106"/>
  <c r="AD11" i="106"/>
  <c r="AC11" i="106"/>
  <c r="AB11" i="106"/>
  <c r="AA11" i="106"/>
  <c r="W11" i="106"/>
  <c r="V11" i="106"/>
  <c r="U11" i="106"/>
  <c r="Z11" i="106"/>
  <c r="D366" i="106"/>
  <c r="D365" i="106"/>
  <c r="D364" i="106"/>
  <c r="D368" i="106"/>
  <c r="Z366" i="106" l="1"/>
  <c r="AC366" i="106"/>
  <c r="AE366" i="106"/>
  <c r="AF366" i="106"/>
  <c r="U366" i="106"/>
  <c r="V366" i="106"/>
  <c r="AB366" i="106"/>
  <c r="W366" i="106"/>
  <c r="X366" i="106"/>
  <c r="Y366" i="106"/>
  <c r="AA366" i="106"/>
  <c r="AD366" i="106"/>
  <c r="Z365" i="106"/>
  <c r="AC365" i="106"/>
  <c r="AB365" i="106"/>
  <c r="U365" i="106"/>
  <c r="W365" i="106"/>
  <c r="Y365" i="106"/>
  <c r="V365" i="106"/>
  <c r="AF365" i="106"/>
  <c r="AE365" i="106"/>
  <c r="X365" i="106"/>
  <c r="AA365" i="106"/>
  <c r="AD365" i="106"/>
  <c r="Z367" i="106"/>
  <c r="V367" i="106"/>
  <c r="AF367" i="106"/>
  <c r="AC367" i="106"/>
  <c r="X367" i="106"/>
  <c r="AA367" i="106"/>
  <c r="AD367" i="106"/>
  <c r="AB367" i="106"/>
  <c r="U367" i="106"/>
  <c r="AE367" i="106"/>
  <c r="W367" i="106"/>
  <c r="Y367" i="106"/>
  <c r="G512" i="66"/>
  <c r="H512" i="66" s="1"/>
  <c r="G511" i="66"/>
  <c r="H511" i="66" s="1"/>
  <c r="G510" i="66"/>
  <c r="H510" i="66" s="1"/>
  <c r="H5531" i="58"/>
  <c r="I5531" i="58"/>
  <c r="J5531" i="58" s="1"/>
  <c r="L5531" i="58"/>
  <c r="O5531" i="58"/>
  <c r="P5531" i="58"/>
  <c r="H5532" i="58"/>
  <c r="I5532" i="58"/>
  <c r="J5532" i="58" s="1"/>
  <c r="L5532" i="58"/>
  <c r="O5532" i="58"/>
  <c r="P5532" i="58"/>
  <c r="H5533" i="58"/>
  <c r="I5533" i="58"/>
  <c r="J5533" i="58" s="1"/>
  <c r="L5533" i="58"/>
  <c r="O5533" i="58"/>
  <c r="P5533" i="58"/>
  <c r="H5534" i="58"/>
  <c r="I5534" i="58"/>
  <c r="J5534" i="58" s="1"/>
  <c r="L5534" i="58"/>
  <c r="O5534" i="58"/>
  <c r="P5534" i="58"/>
  <c r="H5535" i="58"/>
  <c r="I5535" i="58"/>
  <c r="J5535" i="58" s="1"/>
  <c r="L5535" i="58"/>
  <c r="O5535" i="58"/>
  <c r="P5535" i="58"/>
  <c r="H5536" i="58"/>
  <c r="I5536" i="58"/>
  <c r="J5536" i="58" s="1"/>
  <c r="L5536" i="58"/>
  <c r="O5536" i="58"/>
  <c r="P5536" i="58"/>
  <c r="H5537" i="58"/>
  <c r="I5537" i="58"/>
  <c r="J5537" i="58" s="1"/>
  <c r="L5537" i="58"/>
  <c r="O5537" i="58"/>
  <c r="P5537" i="58"/>
  <c r="P5616" i="58"/>
  <c r="O5616" i="58"/>
  <c r="I5616" i="58"/>
  <c r="H5616" i="58"/>
  <c r="P5615" i="58"/>
  <c r="O5615" i="58"/>
  <c r="I5615" i="58"/>
  <c r="H5615" i="58"/>
  <c r="P5614" i="58"/>
  <c r="O5614" i="58"/>
  <c r="I5614" i="58"/>
  <c r="J5614" i="58" s="1"/>
  <c r="H5614" i="58"/>
  <c r="P5613" i="58"/>
  <c r="O5613" i="58"/>
  <c r="I5613" i="58"/>
  <c r="J5613" i="58" s="1"/>
  <c r="H5613" i="58"/>
  <c r="P5612" i="58"/>
  <c r="O5612" i="58"/>
  <c r="I5612" i="58"/>
  <c r="H5612" i="58"/>
  <c r="P5611" i="58"/>
  <c r="O5611" i="58"/>
  <c r="I5611" i="58"/>
  <c r="H5611" i="58"/>
  <c r="P5610" i="58"/>
  <c r="O5610" i="58"/>
  <c r="I5610" i="58"/>
  <c r="H5610" i="58"/>
  <c r="P5622" i="58"/>
  <c r="O5622" i="58"/>
  <c r="I5622" i="58"/>
  <c r="H5622" i="58"/>
  <c r="P5621" i="58"/>
  <c r="O5621" i="58"/>
  <c r="I5621" i="58"/>
  <c r="H5621" i="58"/>
  <c r="P5620" i="58"/>
  <c r="O5620" i="58"/>
  <c r="I5620" i="58"/>
  <c r="J5620" i="58" s="1"/>
  <c r="H5620" i="58"/>
  <c r="P5619" i="58"/>
  <c r="O5619" i="58"/>
  <c r="I5619" i="58"/>
  <c r="J5619" i="58" s="1"/>
  <c r="H5619" i="58"/>
  <c r="P5618" i="58"/>
  <c r="O5618" i="58"/>
  <c r="I5618" i="58"/>
  <c r="H5618" i="58"/>
  <c r="P5617" i="58"/>
  <c r="O5617" i="58"/>
  <c r="I5617" i="58"/>
  <c r="J5617" i="58" s="1"/>
  <c r="H5617" i="58"/>
  <c r="P5530" i="58"/>
  <c r="O5530" i="58"/>
  <c r="I5530" i="58"/>
  <c r="H5530" i="58"/>
  <c r="P5529" i="58"/>
  <c r="O5529" i="58"/>
  <c r="I5529" i="58"/>
  <c r="H5529" i="58"/>
  <c r="P5528" i="58"/>
  <c r="O5528" i="58"/>
  <c r="I5528" i="58"/>
  <c r="J5528" i="58" s="1"/>
  <c r="H5528" i="58"/>
  <c r="P5527" i="58"/>
  <c r="O5527" i="58"/>
  <c r="I5527" i="58"/>
  <c r="J5527" i="58" s="1"/>
  <c r="H5527" i="58"/>
  <c r="P5526" i="58"/>
  <c r="O5526" i="58"/>
  <c r="I5526" i="58"/>
  <c r="H5526" i="58"/>
  <c r="P5525" i="58"/>
  <c r="O5525" i="58"/>
  <c r="I5525" i="58"/>
  <c r="H5525" i="58"/>
  <c r="P5524" i="58"/>
  <c r="O5524" i="58"/>
  <c r="I5524" i="58"/>
  <c r="J5524" i="58" s="1"/>
  <c r="H5524" i="58"/>
  <c r="P5368" i="58"/>
  <c r="O5368" i="58"/>
  <c r="I5368" i="58"/>
  <c r="H5368" i="58"/>
  <c r="P5367" i="58"/>
  <c r="O5367" i="58"/>
  <c r="I5367" i="58"/>
  <c r="H5367" i="58"/>
  <c r="P5366" i="58"/>
  <c r="O5366" i="58"/>
  <c r="I5366" i="58"/>
  <c r="J5366" i="58" s="1"/>
  <c r="H5366" i="58"/>
  <c r="P5365" i="58"/>
  <c r="O5365" i="58"/>
  <c r="I5365" i="58"/>
  <c r="J5365" i="58" s="1"/>
  <c r="H5365" i="58"/>
  <c r="P5364" i="58"/>
  <c r="O5364" i="58"/>
  <c r="I5364" i="58"/>
  <c r="J5364" i="58" s="1"/>
  <c r="H5364" i="58"/>
  <c r="P5363" i="58"/>
  <c r="O5363" i="58"/>
  <c r="I5363" i="58"/>
  <c r="J5363" i="58" s="1"/>
  <c r="H5363" i="58"/>
  <c r="P5362" i="58"/>
  <c r="O5362" i="58"/>
  <c r="I5362" i="58"/>
  <c r="J5362" i="58" s="1"/>
  <c r="H5362" i="58"/>
  <c r="P5424" i="58"/>
  <c r="O5424" i="58"/>
  <c r="I5424" i="58"/>
  <c r="H5424" i="58"/>
  <c r="P5423" i="58"/>
  <c r="O5423" i="58"/>
  <c r="I5423" i="58"/>
  <c r="H5423" i="58"/>
  <c r="P5422" i="58"/>
  <c r="O5422" i="58"/>
  <c r="I5422" i="58"/>
  <c r="J5422" i="58" s="1"/>
  <c r="H5422" i="58"/>
  <c r="P5421" i="58"/>
  <c r="O5421" i="58"/>
  <c r="I5421" i="58"/>
  <c r="J5421" i="58" s="1"/>
  <c r="H5421" i="58"/>
  <c r="P5420" i="58"/>
  <c r="O5420" i="58"/>
  <c r="I5420" i="58"/>
  <c r="J5420" i="58" s="1"/>
  <c r="H5420" i="58"/>
  <c r="P5419" i="58"/>
  <c r="O5419" i="58"/>
  <c r="I5419" i="58"/>
  <c r="H5419" i="58"/>
  <c r="P5418" i="58"/>
  <c r="O5418" i="58"/>
  <c r="I5418" i="58"/>
  <c r="J5418" i="58" s="1"/>
  <c r="H5418" i="58"/>
  <c r="P5417" i="58"/>
  <c r="O5417" i="58"/>
  <c r="I5417" i="58"/>
  <c r="J5417" i="58" s="1"/>
  <c r="H5417" i="58"/>
  <c r="P5416" i="58"/>
  <c r="O5416" i="58"/>
  <c r="I5416" i="58"/>
  <c r="J5416" i="58" s="1"/>
  <c r="H5416" i="58"/>
  <c r="P5415" i="58"/>
  <c r="O5415" i="58"/>
  <c r="I5415" i="58"/>
  <c r="J5415" i="58" s="1"/>
  <c r="H5415" i="58"/>
  <c r="P5414" i="58"/>
  <c r="O5414" i="58"/>
  <c r="I5414" i="58"/>
  <c r="H5414" i="58"/>
  <c r="P5413" i="58"/>
  <c r="O5413" i="58"/>
  <c r="I5413" i="58"/>
  <c r="J5413" i="58" s="1"/>
  <c r="H5413" i="58"/>
  <c r="P5412" i="58"/>
  <c r="O5412" i="58"/>
  <c r="I5412" i="58"/>
  <c r="H5412" i="58"/>
  <c r="P5411" i="58"/>
  <c r="O5411" i="58"/>
  <c r="I5411" i="58"/>
  <c r="J5411" i="58" s="1"/>
  <c r="H5411" i="58"/>
  <c r="P5473" i="58"/>
  <c r="O5473" i="58"/>
  <c r="I5473" i="58"/>
  <c r="H5473" i="58"/>
  <c r="P5472" i="58"/>
  <c r="O5472" i="58"/>
  <c r="I5472" i="58"/>
  <c r="J5472" i="58" s="1"/>
  <c r="H5472" i="58"/>
  <c r="P5471" i="58"/>
  <c r="O5471" i="58"/>
  <c r="I5471" i="58"/>
  <c r="H5471" i="58"/>
  <c r="P5470" i="58"/>
  <c r="O5470" i="58"/>
  <c r="I5470" i="58"/>
  <c r="J5470" i="58" s="1"/>
  <c r="H5470" i="58"/>
  <c r="P5469" i="58"/>
  <c r="O5469" i="58"/>
  <c r="I5469" i="58"/>
  <c r="J5469" i="58" s="1"/>
  <c r="H5469" i="58"/>
  <c r="P5468" i="58"/>
  <c r="O5468" i="58"/>
  <c r="I5468" i="58"/>
  <c r="J5468" i="58" s="1"/>
  <c r="H5468" i="58"/>
  <c r="P5467" i="58"/>
  <c r="O5467" i="58"/>
  <c r="I5467" i="58"/>
  <c r="H5467" i="58"/>
  <c r="P5459" i="58"/>
  <c r="O5459" i="58"/>
  <c r="I5459" i="58"/>
  <c r="J5459" i="58" s="1"/>
  <c r="H5459" i="58"/>
  <c r="P5458" i="58"/>
  <c r="O5458" i="58"/>
  <c r="I5458" i="58"/>
  <c r="J5458" i="58" s="1"/>
  <c r="H5458" i="58"/>
  <c r="P5457" i="58"/>
  <c r="O5457" i="58"/>
  <c r="I5457" i="58"/>
  <c r="J5457" i="58" s="1"/>
  <c r="H5457" i="58"/>
  <c r="P5456" i="58"/>
  <c r="O5456" i="58"/>
  <c r="I5456" i="58"/>
  <c r="H5456" i="58"/>
  <c r="P5455" i="58"/>
  <c r="O5455" i="58"/>
  <c r="I5455" i="58"/>
  <c r="J5455" i="58" s="1"/>
  <c r="H5455" i="58"/>
  <c r="P5454" i="58"/>
  <c r="O5454" i="58"/>
  <c r="I5454" i="58"/>
  <c r="H5454" i="58"/>
  <c r="P5453" i="58"/>
  <c r="O5453" i="58"/>
  <c r="I5453" i="58"/>
  <c r="J5453" i="58" s="1"/>
  <c r="H5453" i="58"/>
  <c r="P5516" i="58"/>
  <c r="O5516" i="58"/>
  <c r="I5516" i="58"/>
  <c r="H5516" i="58"/>
  <c r="P5515" i="58"/>
  <c r="O5515" i="58"/>
  <c r="I5515" i="58"/>
  <c r="H5515" i="58"/>
  <c r="P5514" i="58"/>
  <c r="O5514" i="58"/>
  <c r="I5514" i="58"/>
  <c r="J5514" i="58" s="1"/>
  <c r="H5514" i="58"/>
  <c r="P5513" i="58"/>
  <c r="O5513" i="58"/>
  <c r="I5513" i="58"/>
  <c r="J5513" i="58" s="1"/>
  <c r="H5513" i="58"/>
  <c r="P5512" i="58"/>
  <c r="O5512" i="58"/>
  <c r="I5512" i="58"/>
  <c r="J5512" i="58" s="1"/>
  <c r="H5512" i="58"/>
  <c r="P5511" i="58"/>
  <c r="O5511" i="58"/>
  <c r="I5511" i="58"/>
  <c r="H5511" i="58"/>
  <c r="P5510" i="58"/>
  <c r="O5510" i="58"/>
  <c r="I5510" i="58"/>
  <c r="J5510" i="58" s="1"/>
  <c r="H5510" i="58"/>
  <c r="P5509" i="58"/>
  <c r="O5509" i="58"/>
  <c r="I5509" i="58"/>
  <c r="J5509" i="58" s="1"/>
  <c r="H5509" i="58"/>
  <c r="P5508" i="58"/>
  <c r="O5508" i="58"/>
  <c r="I5508" i="58"/>
  <c r="J5508" i="58" s="1"/>
  <c r="H5508" i="58"/>
  <c r="P5507" i="58"/>
  <c r="O5507" i="58"/>
  <c r="I5507" i="58"/>
  <c r="H5507" i="58"/>
  <c r="P5506" i="58"/>
  <c r="O5506" i="58"/>
  <c r="I5506" i="58"/>
  <c r="J5506" i="58" s="1"/>
  <c r="H5506" i="58"/>
  <c r="P5505" i="58"/>
  <c r="O5505" i="58"/>
  <c r="I5505" i="58"/>
  <c r="H5505" i="58"/>
  <c r="P5504" i="58"/>
  <c r="O5504" i="58"/>
  <c r="I5504" i="58"/>
  <c r="J5504" i="58" s="1"/>
  <c r="H5504" i="58"/>
  <c r="P5503" i="58"/>
  <c r="O5503" i="58"/>
  <c r="I5503" i="58"/>
  <c r="J5503" i="58" s="1"/>
  <c r="H5503" i="58"/>
  <c r="P5502" i="58"/>
  <c r="O5502" i="58"/>
  <c r="I5502" i="58"/>
  <c r="J5502" i="58" s="1"/>
  <c r="H5502" i="58"/>
  <c r="P5501" i="58"/>
  <c r="O5501" i="58"/>
  <c r="I5501" i="58"/>
  <c r="H5501" i="58"/>
  <c r="P5500" i="58"/>
  <c r="O5500" i="58"/>
  <c r="I5500" i="58"/>
  <c r="J5500" i="58" s="1"/>
  <c r="H5500" i="58"/>
  <c r="P5499" i="58"/>
  <c r="O5499" i="58"/>
  <c r="I5499" i="58"/>
  <c r="J5499" i="58" s="1"/>
  <c r="H5499" i="58"/>
  <c r="P5498" i="58"/>
  <c r="O5498" i="58"/>
  <c r="I5498" i="58"/>
  <c r="J5498" i="58" s="1"/>
  <c r="H5498" i="58"/>
  <c r="P5497" i="58"/>
  <c r="O5497" i="58"/>
  <c r="I5497" i="58"/>
  <c r="H5497" i="58"/>
  <c r="P5496" i="58"/>
  <c r="O5496" i="58"/>
  <c r="I5496" i="58"/>
  <c r="J5496" i="58" s="1"/>
  <c r="H5496" i="58"/>
  <c r="P5495" i="58"/>
  <c r="O5495" i="58"/>
  <c r="I5495" i="58"/>
  <c r="J5495" i="58" s="1"/>
  <c r="H5495" i="58"/>
  <c r="P5494" i="58"/>
  <c r="O5494" i="58"/>
  <c r="I5494" i="58"/>
  <c r="H5494" i="58"/>
  <c r="P5493" i="58"/>
  <c r="O5493" i="58"/>
  <c r="I5493" i="58"/>
  <c r="J5493" i="58" s="1"/>
  <c r="H5493" i="58"/>
  <c r="P5492" i="58"/>
  <c r="O5492" i="58"/>
  <c r="I5492" i="58"/>
  <c r="H5492" i="58"/>
  <c r="P5491" i="58"/>
  <c r="O5491" i="58"/>
  <c r="I5491" i="58"/>
  <c r="J5491" i="58" s="1"/>
  <c r="H5491" i="58"/>
  <c r="P5490" i="58"/>
  <c r="O5490" i="58"/>
  <c r="I5490" i="58"/>
  <c r="J5490" i="58" s="1"/>
  <c r="H5490" i="58"/>
  <c r="P5489" i="58"/>
  <c r="O5489" i="58"/>
  <c r="I5489" i="58"/>
  <c r="J5489" i="58" s="1"/>
  <c r="H5489" i="58"/>
  <c r="P5488" i="58"/>
  <c r="O5488" i="58"/>
  <c r="I5488" i="58"/>
  <c r="H5488" i="58"/>
  <c r="P5487" i="58"/>
  <c r="O5487" i="58"/>
  <c r="I5487" i="58"/>
  <c r="J5487" i="58" s="1"/>
  <c r="H5487" i="58"/>
  <c r="P5486" i="58"/>
  <c r="O5486" i="58"/>
  <c r="I5486" i="58"/>
  <c r="J5486" i="58" s="1"/>
  <c r="H5486" i="58"/>
  <c r="P5485" i="58"/>
  <c r="O5485" i="58"/>
  <c r="I5485" i="58"/>
  <c r="J5485" i="58" s="1"/>
  <c r="H5485" i="58"/>
  <c r="P5484" i="58"/>
  <c r="O5484" i="58"/>
  <c r="I5484" i="58"/>
  <c r="H5484" i="58"/>
  <c r="P5483" i="58"/>
  <c r="O5483" i="58"/>
  <c r="I5483" i="58"/>
  <c r="J5483" i="58" s="1"/>
  <c r="H5483" i="58"/>
  <c r="P5482" i="58"/>
  <c r="O5482" i="58"/>
  <c r="I5482" i="58"/>
  <c r="H5482" i="58"/>
  <c r="P5481" i="58"/>
  <c r="O5481" i="58"/>
  <c r="I5481" i="58"/>
  <c r="J5481" i="58" s="1"/>
  <c r="H5481" i="58"/>
  <c r="P5466" i="58"/>
  <c r="O5466" i="58"/>
  <c r="I5466" i="58"/>
  <c r="J5466" i="58" s="1"/>
  <c r="H5466" i="58"/>
  <c r="P5465" i="58"/>
  <c r="O5465" i="58"/>
  <c r="I5465" i="58"/>
  <c r="H5465" i="58"/>
  <c r="P5464" i="58"/>
  <c r="O5464" i="58"/>
  <c r="I5464" i="58"/>
  <c r="J5464" i="58" s="1"/>
  <c r="H5464" i="58"/>
  <c r="P5463" i="58"/>
  <c r="O5463" i="58"/>
  <c r="I5463" i="58"/>
  <c r="H5463" i="58"/>
  <c r="P5462" i="58"/>
  <c r="O5462" i="58"/>
  <c r="I5462" i="58"/>
  <c r="J5462" i="58" s="1"/>
  <c r="H5462" i="58"/>
  <c r="P5461" i="58"/>
  <c r="O5461" i="58"/>
  <c r="I5461" i="58"/>
  <c r="J5461" i="58" s="1"/>
  <c r="H5461" i="58"/>
  <c r="P5460" i="58"/>
  <c r="O5460" i="58"/>
  <c r="I5460" i="58"/>
  <c r="J5460" i="58" s="1"/>
  <c r="H5460" i="58"/>
  <c r="P5452" i="58"/>
  <c r="O5452" i="58"/>
  <c r="I5452" i="58"/>
  <c r="H5452" i="58"/>
  <c r="P5451" i="58"/>
  <c r="O5451" i="58"/>
  <c r="I5451" i="58"/>
  <c r="J5451" i="58" s="1"/>
  <c r="H5451" i="58"/>
  <c r="P5450" i="58"/>
  <c r="O5450" i="58"/>
  <c r="I5450" i="58"/>
  <c r="J5450" i="58" s="1"/>
  <c r="H5450" i="58"/>
  <c r="P5449" i="58"/>
  <c r="O5449" i="58"/>
  <c r="I5449" i="58"/>
  <c r="J5449" i="58" s="1"/>
  <c r="H5449" i="58"/>
  <c r="P5448" i="58"/>
  <c r="O5448" i="58"/>
  <c r="I5448" i="58"/>
  <c r="H5448" i="58"/>
  <c r="P5447" i="58"/>
  <c r="O5447" i="58"/>
  <c r="I5447" i="58"/>
  <c r="J5447" i="58" s="1"/>
  <c r="H5447" i="58"/>
  <c r="P5446" i="58"/>
  <c r="O5446" i="58"/>
  <c r="I5446" i="58"/>
  <c r="H5446" i="58"/>
  <c r="P5445" i="58"/>
  <c r="O5445" i="58"/>
  <c r="I5445" i="58"/>
  <c r="J5445" i="58" s="1"/>
  <c r="H5445" i="58"/>
  <c r="P5444" i="58"/>
  <c r="O5444" i="58"/>
  <c r="I5444" i="58"/>
  <c r="H5444" i="58"/>
  <c r="P5443" i="58"/>
  <c r="O5443" i="58"/>
  <c r="I5443" i="58"/>
  <c r="J5443" i="58" s="1"/>
  <c r="H5443" i="58"/>
  <c r="P5442" i="58"/>
  <c r="O5442" i="58"/>
  <c r="I5442" i="58"/>
  <c r="H5442" i="58"/>
  <c r="P5441" i="58"/>
  <c r="O5441" i="58"/>
  <c r="I5441" i="58"/>
  <c r="J5441" i="58" s="1"/>
  <c r="H5441" i="58"/>
  <c r="P5440" i="58"/>
  <c r="O5440" i="58"/>
  <c r="I5440" i="58"/>
  <c r="J5440" i="58" s="1"/>
  <c r="H5440" i="58"/>
  <c r="P5439" i="58"/>
  <c r="O5439" i="58"/>
  <c r="I5439" i="58"/>
  <c r="J5439" i="58" s="1"/>
  <c r="H5439" i="58"/>
  <c r="P5438" i="58"/>
  <c r="O5438" i="58"/>
  <c r="I5438" i="58"/>
  <c r="H5438" i="58"/>
  <c r="P5437" i="58"/>
  <c r="O5437" i="58"/>
  <c r="I5437" i="58"/>
  <c r="J5437" i="58" s="1"/>
  <c r="H5437" i="58"/>
  <c r="P5436" i="58"/>
  <c r="O5436" i="58"/>
  <c r="I5436" i="58"/>
  <c r="J5436" i="58" s="1"/>
  <c r="H5436" i="58"/>
  <c r="P5435" i="58"/>
  <c r="O5435" i="58"/>
  <c r="I5435" i="58"/>
  <c r="J5435" i="58" s="1"/>
  <c r="H5435" i="58"/>
  <c r="P5434" i="58"/>
  <c r="O5434" i="58"/>
  <c r="I5434" i="58"/>
  <c r="H5434" i="58"/>
  <c r="P5433" i="58"/>
  <c r="O5433" i="58"/>
  <c r="I5433" i="58"/>
  <c r="J5433" i="58" s="1"/>
  <c r="H5433" i="58"/>
  <c r="P5432" i="58"/>
  <c r="O5432" i="58"/>
  <c r="I5432" i="58"/>
  <c r="H5432" i="58"/>
  <c r="P5352" i="58"/>
  <c r="O5352" i="58"/>
  <c r="I5352" i="58"/>
  <c r="J5352" i="58" s="1"/>
  <c r="H5352" i="58"/>
  <c r="P5351" i="58"/>
  <c r="O5351" i="58"/>
  <c r="I5351" i="58"/>
  <c r="J5351" i="58" s="1"/>
  <c r="H5351" i="58"/>
  <c r="P5350" i="58"/>
  <c r="O5350" i="58"/>
  <c r="I5350" i="58"/>
  <c r="H5350" i="58"/>
  <c r="P5349" i="58"/>
  <c r="O5349" i="58"/>
  <c r="I5349" i="58"/>
  <c r="J5349" i="58" s="1"/>
  <c r="H5349" i="58"/>
  <c r="P5348" i="58"/>
  <c r="O5348" i="58"/>
  <c r="I5348" i="58"/>
  <c r="H5348" i="58"/>
  <c r="P5347" i="58"/>
  <c r="O5347" i="58"/>
  <c r="I5347" i="58"/>
  <c r="J5347" i="58" s="1"/>
  <c r="H5347" i="58"/>
  <c r="P5346" i="58"/>
  <c r="O5346" i="58"/>
  <c r="I5346" i="58"/>
  <c r="J5346" i="58" s="1"/>
  <c r="H5346" i="58"/>
  <c r="P5345" i="58"/>
  <c r="O5345" i="58"/>
  <c r="I5345" i="58"/>
  <c r="J5345" i="58" s="1"/>
  <c r="H5345" i="58"/>
  <c r="P5344" i="58"/>
  <c r="O5344" i="58"/>
  <c r="I5344" i="58"/>
  <c r="H5344" i="58"/>
  <c r="P5343" i="58"/>
  <c r="O5343" i="58"/>
  <c r="I5343" i="58"/>
  <c r="J5343" i="58" s="1"/>
  <c r="H5343" i="58"/>
  <c r="P5342" i="58"/>
  <c r="O5342" i="58"/>
  <c r="I5342" i="58"/>
  <c r="J5342" i="58" s="1"/>
  <c r="H5342" i="58"/>
  <c r="P5341" i="58"/>
  <c r="O5341" i="58"/>
  <c r="I5341" i="58"/>
  <c r="J5341" i="58" s="1"/>
  <c r="H5341" i="58"/>
  <c r="P5340" i="58"/>
  <c r="O5340" i="58"/>
  <c r="I5340" i="58"/>
  <c r="H5340" i="58"/>
  <c r="P5339" i="58"/>
  <c r="O5339" i="58"/>
  <c r="I5339" i="58"/>
  <c r="J5339" i="58" s="1"/>
  <c r="H5339" i="58"/>
  <c r="P5338" i="58"/>
  <c r="O5338" i="58"/>
  <c r="I5338" i="58"/>
  <c r="J5338" i="58" s="1"/>
  <c r="H5338" i="58"/>
  <c r="P5337" i="58"/>
  <c r="O5337" i="58"/>
  <c r="I5337" i="58"/>
  <c r="J5337" i="58" s="1"/>
  <c r="H5337" i="58"/>
  <c r="P5336" i="58"/>
  <c r="O5336" i="58"/>
  <c r="I5336" i="58"/>
  <c r="H5336" i="58"/>
  <c r="P5335" i="58"/>
  <c r="O5335" i="58"/>
  <c r="I5335" i="58"/>
  <c r="J5335" i="58" s="1"/>
  <c r="H5335" i="58"/>
  <c r="P5334" i="58"/>
  <c r="O5334" i="58"/>
  <c r="I5334" i="58"/>
  <c r="H5334" i="58"/>
  <c r="P5333" i="58"/>
  <c r="O5333" i="58"/>
  <c r="I5333" i="58"/>
  <c r="J5333" i="58" s="1"/>
  <c r="H5333" i="58"/>
  <c r="P5332" i="58"/>
  <c r="O5332" i="58"/>
  <c r="I5332" i="58"/>
  <c r="J5332" i="58" s="1"/>
  <c r="H5332" i="58"/>
  <c r="P5331" i="58"/>
  <c r="O5331" i="58"/>
  <c r="I5331" i="58"/>
  <c r="J5331" i="58" s="1"/>
  <c r="H5331" i="58"/>
  <c r="P5330" i="58"/>
  <c r="O5330" i="58"/>
  <c r="I5330" i="58"/>
  <c r="H5330" i="58"/>
  <c r="P5329" i="58"/>
  <c r="O5329" i="58"/>
  <c r="I5329" i="58"/>
  <c r="J5329" i="58" s="1"/>
  <c r="H5329" i="58"/>
  <c r="P5328" i="58"/>
  <c r="O5328" i="58"/>
  <c r="I5328" i="58"/>
  <c r="J5328" i="58" s="1"/>
  <c r="H5328" i="58"/>
  <c r="P5327" i="58"/>
  <c r="O5327" i="58"/>
  <c r="I5327" i="58"/>
  <c r="J5327" i="58" s="1"/>
  <c r="H5327" i="58"/>
  <c r="P5326" i="58"/>
  <c r="O5326" i="58"/>
  <c r="I5326" i="58"/>
  <c r="H5326" i="58"/>
  <c r="P5325" i="58"/>
  <c r="O5325" i="58"/>
  <c r="I5325" i="58"/>
  <c r="J5325" i="58" s="1"/>
  <c r="H5325" i="58"/>
  <c r="P5523" i="58"/>
  <c r="O5523" i="58"/>
  <c r="I5523" i="58"/>
  <c r="H5523" i="58"/>
  <c r="P5522" i="58"/>
  <c r="O5522" i="58"/>
  <c r="I5522" i="58"/>
  <c r="H5522" i="58"/>
  <c r="P5521" i="58"/>
  <c r="O5521" i="58"/>
  <c r="I5521" i="58"/>
  <c r="J5521" i="58" s="1"/>
  <c r="H5521" i="58"/>
  <c r="P5520" i="58"/>
  <c r="O5520" i="58"/>
  <c r="I5520" i="58"/>
  <c r="J5520" i="58" s="1"/>
  <c r="H5520" i="58"/>
  <c r="P5519" i="58"/>
  <c r="O5519" i="58"/>
  <c r="I5519" i="58"/>
  <c r="J5519" i="58" s="1"/>
  <c r="H5519" i="58"/>
  <c r="P5518" i="58"/>
  <c r="O5518" i="58"/>
  <c r="I5518" i="58"/>
  <c r="H5518" i="58"/>
  <c r="P5517" i="58"/>
  <c r="O5517" i="58"/>
  <c r="I5517" i="58"/>
  <c r="J5517" i="58" s="1"/>
  <c r="H5517" i="58"/>
  <c r="P5480" i="58"/>
  <c r="O5480" i="58"/>
  <c r="I5480" i="58"/>
  <c r="J5480" i="58" s="1"/>
  <c r="H5480" i="58"/>
  <c r="P5479" i="58"/>
  <c r="O5479" i="58"/>
  <c r="I5479" i="58"/>
  <c r="J5479" i="58" s="1"/>
  <c r="H5479" i="58"/>
  <c r="P5478" i="58"/>
  <c r="O5478" i="58"/>
  <c r="I5478" i="58"/>
  <c r="J5478" i="58" s="1"/>
  <c r="H5478" i="58"/>
  <c r="P5477" i="58"/>
  <c r="O5477" i="58"/>
  <c r="I5477" i="58"/>
  <c r="J5477" i="58" s="1"/>
  <c r="H5477" i="58"/>
  <c r="P5476" i="58"/>
  <c r="O5476" i="58"/>
  <c r="I5476" i="58"/>
  <c r="J5476" i="58" s="1"/>
  <c r="H5476" i="58"/>
  <c r="P5475" i="58"/>
  <c r="O5475" i="58"/>
  <c r="I5475" i="58"/>
  <c r="H5475" i="58"/>
  <c r="P5474" i="58"/>
  <c r="O5474" i="58"/>
  <c r="I5474" i="58"/>
  <c r="J5474" i="58" s="1"/>
  <c r="H5474" i="58"/>
  <c r="P5403" i="58"/>
  <c r="O5403" i="58"/>
  <c r="I5403" i="58"/>
  <c r="J5403" i="58" s="1"/>
  <c r="H5403" i="58"/>
  <c r="P5402" i="58"/>
  <c r="O5402" i="58"/>
  <c r="I5402" i="58"/>
  <c r="J5402" i="58" s="1"/>
  <c r="H5402" i="58"/>
  <c r="P5401" i="58"/>
  <c r="O5401" i="58"/>
  <c r="I5401" i="58"/>
  <c r="J5401" i="58" s="1"/>
  <c r="H5401" i="58"/>
  <c r="P5400" i="58"/>
  <c r="O5400" i="58"/>
  <c r="I5400" i="58"/>
  <c r="H5400" i="58"/>
  <c r="P5399" i="58"/>
  <c r="O5399" i="58"/>
  <c r="I5399" i="58"/>
  <c r="J5399" i="58" s="1"/>
  <c r="H5399" i="58"/>
  <c r="P5398" i="58"/>
  <c r="O5398" i="58"/>
  <c r="I5398" i="58"/>
  <c r="J5398" i="58" s="1"/>
  <c r="H5398" i="58"/>
  <c r="P5397" i="58"/>
  <c r="O5397" i="58"/>
  <c r="I5397" i="58"/>
  <c r="J5397" i="58" s="1"/>
  <c r="H5397" i="58"/>
  <c r="P5324" i="58"/>
  <c r="O5324" i="58"/>
  <c r="I5324" i="58"/>
  <c r="J5324" i="58" s="1"/>
  <c r="H5324" i="58"/>
  <c r="P5323" i="58"/>
  <c r="O5323" i="58"/>
  <c r="I5323" i="58"/>
  <c r="H5323" i="58"/>
  <c r="P5322" i="58"/>
  <c r="O5322" i="58"/>
  <c r="I5322" i="58"/>
  <c r="J5322" i="58" s="1"/>
  <c r="H5322" i="58"/>
  <c r="P5321" i="58"/>
  <c r="O5321" i="58"/>
  <c r="I5321" i="58"/>
  <c r="J5321" i="58" s="1"/>
  <c r="H5321" i="58"/>
  <c r="P5320" i="58"/>
  <c r="O5320" i="58"/>
  <c r="I5320" i="58"/>
  <c r="J5320" i="58" s="1"/>
  <c r="H5320" i="58"/>
  <c r="P5319" i="58"/>
  <c r="O5319" i="58"/>
  <c r="I5319" i="58"/>
  <c r="J5319" i="58" s="1"/>
  <c r="H5319" i="58"/>
  <c r="P5318" i="58"/>
  <c r="O5318" i="58"/>
  <c r="I5318" i="58"/>
  <c r="J5318" i="58" s="1"/>
  <c r="H5318" i="58"/>
  <c r="P5317" i="58"/>
  <c r="O5317" i="58"/>
  <c r="I5317" i="58"/>
  <c r="J5317" i="58" s="1"/>
  <c r="H5317" i="58"/>
  <c r="P5316" i="58"/>
  <c r="O5316" i="58"/>
  <c r="I5316" i="58"/>
  <c r="J5316" i="58" s="1"/>
  <c r="H5316" i="58"/>
  <c r="P5315" i="58"/>
  <c r="O5315" i="58"/>
  <c r="I5315" i="58"/>
  <c r="J5315" i="58" s="1"/>
  <c r="H5315" i="58"/>
  <c r="P5314" i="58"/>
  <c r="O5314" i="58"/>
  <c r="I5314" i="58"/>
  <c r="J5314" i="58" s="1"/>
  <c r="H5314" i="58"/>
  <c r="P5313" i="58"/>
  <c r="O5313" i="58"/>
  <c r="I5313" i="58"/>
  <c r="H5313" i="58"/>
  <c r="P5312" i="58"/>
  <c r="O5312" i="58"/>
  <c r="I5312" i="58"/>
  <c r="J5312" i="58" s="1"/>
  <c r="H5312" i="58"/>
  <c r="P5311" i="58"/>
  <c r="O5311" i="58"/>
  <c r="I5311" i="58"/>
  <c r="J5311" i="58" s="1"/>
  <c r="H5311" i="58"/>
  <c r="P5310" i="58"/>
  <c r="O5310" i="58"/>
  <c r="I5310" i="58"/>
  <c r="J5310" i="58" s="1"/>
  <c r="H5310" i="58"/>
  <c r="P5309" i="58"/>
  <c r="O5309" i="58"/>
  <c r="I5309" i="58"/>
  <c r="H5309" i="58"/>
  <c r="P5308" i="58"/>
  <c r="O5308" i="58"/>
  <c r="I5308" i="58"/>
  <c r="J5308" i="58" s="1"/>
  <c r="H5308" i="58"/>
  <c r="P5307" i="58"/>
  <c r="O5307" i="58"/>
  <c r="I5307" i="58"/>
  <c r="J5307" i="58" s="1"/>
  <c r="H5307" i="58"/>
  <c r="P5306" i="58"/>
  <c r="O5306" i="58"/>
  <c r="I5306" i="58"/>
  <c r="J5306" i="58" s="1"/>
  <c r="H5306" i="58"/>
  <c r="P5305" i="58"/>
  <c r="O5305" i="58"/>
  <c r="I5305" i="58"/>
  <c r="J5305" i="58" s="1"/>
  <c r="H5305" i="58"/>
  <c r="P5304" i="58"/>
  <c r="O5304" i="58"/>
  <c r="I5304" i="58"/>
  <c r="J5304" i="58" s="1"/>
  <c r="H5304" i="58"/>
  <c r="P5558" i="58"/>
  <c r="O5558" i="58"/>
  <c r="I5558" i="58"/>
  <c r="H5558" i="58"/>
  <c r="P5557" i="58"/>
  <c r="O5557" i="58"/>
  <c r="I5557" i="58"/>
  <c r="H5557" i="58"/>
  <c r="P5556" i="58"/>
  <c r="O5556" i="58"/>
  <c r="I5556" i="58"/>
  <c r="J5556" i="58" s="1"/>
  <c r="H5556" i="58"/>
  <c r="P5555" i="58"/>
  <c r="O5555" i="58"/>
  <c r="I5555" i="58"/>
  <c r="J5555" i="58" s="1"/>
  <c r="H5555" i="58"/>
  <c r="P5554" i="58"/>
  <c r="O5554" i="58"/>
  <c r="I5554" i="58"/>
  <c r="H5554" i="58"/>
  <c r="P5553" i="58"/>
  <c r="O5553" i="58"/>
  <c r="I5553" i="58"/>
  <c r="H5553" i="58"/>
  <c r="P5552" i="58"/>
  <c r="O5552" i="58"/>
  <c r="I5552" i="58"/>
  <c r="J5552" i="58" s="1"/>
  <c r="H5552" i="58"/>
  <c r="P5551" i="58"/>
  <c r="O5551" i="58"/>
  <c r="I5551" i="58"/>
  <c r="J5551" i="58" s="1"/>
  <c r="H5551" i="58"/>
  <c r="P5550" i="58"/>
  <c r="O5550" i="58"/>
  <c r="I5550" i="58"/>
  <c r="H5550" i="58"/>
  <c r="P5549" i="58"/>
  <c r="O5549" i="58"/>
  <c r="I5549" i="58"/>
  <c r="H5549" i="58"/>
  <c r="P5548" i="58"/>
  <c r="O5548" i="58"/>
  <c r="I5548" i="58"/>
  <c r="J5548" i="58" s="1"/>
  <c r="H5548" i="58"/>
  <c r="P5547" i="58"/>
  <c r="O5547" i="58"/>
  <c r="I5547" i="58"/>
  <c r="H5547" i="58"/>
  <c r="P5546" i="58"/>
  <c r="O5546" i="58"/>
  <c r="I5546" i="58"/>
  <c r="J5546" i="58" s="1"/>
  <c r="H5546" i="58"/>
  <c r="P5545" i="58"/>
  <c r="O5545" i="58"/>
  <c r="I5545" i="58"/>
  <c r="J5545" i="58" s="1"/>
  <c r="H5545" i="58"/>
  <c r="P5544" i="58"/>
  <c r="O5544" i="58"/>
  <c r="I5544" i="58"/>
  <c r="J5544" i="58" s="1"/>
  <c r="H5544" i="58"/>
  <c r="P5543" i="58"/>
  <c r="O5543" i="58"/>
  <c r="I5543" i="58"/>
  <c r="H5543" i="58"/>
  <c r="P5542" i="58"/>
  <c r="O5542" i="58"/>
  <c r="I5542" i="58"/>
  <c r="J5542" i="58" s="1"/>
  <c r="H5542" i="58"/>
  <c r="P5541" i="58"/>
  <c r="O5541" i="58"/>
  <c r="I5541" i="58"/>
  <c r="J5541" i="58" s="1"/>
  <c r="H5541" i="58"/>
  <c r="P5540" i="58"/>
  <c r="O5540" i="58"/>
  <c r="I5540" i="58"/>
  <c r="H5540" i="58"/>
  <c r="P5539" i="58"/>
  <c r="O5539" i="58"/>
  <c r="I5539" i="58"/>
  <c r="J5539" i="58" s="1"/>
  <c r="H5539" i="58"/>
  <c r="P5538" i="58"/>
  <c r="O5538" i="58"/>
  <c r="I5538" i="58"/>
  <c r="J5538" i="58" s="1"/>
  <c r="H5538" i="58"/>
  <c r="P3184" i="58"/>
  <c r="O3184" i="58"/>
  <c r="L3184" i="58"/>
  <c r="I3184" i="58"/>
  <c r="J3184" i="58" s="1"/>
  <c r="H3184" i="58"/>
  <c r="P3183" i="58"/>
  <c r="O3183" i="58"/>
  <c r="L3183" i="58"/>
  <c r="I3183" i="58"/>
  <c r="J3183" i="58" s="1"/>
  <c r="H3183" i="58"/>
  <c r="P3182" i="58"/>
  <c r="O3182" i="58"/>
  <c r="L3182" i="58"/>
  <c r="I3182" i="58"/>
  <c r="J3182" i="58" s="1"/>
  <c r="H3182" i="58"/>
  <c r="P3181" i="58"/>
  <c r="O3181" i="58"/>
  <c r="L3181" i="58"/>
  <c r="I3181" i="58"/>
  <c r="J3181" i="58" s="1"/>
  <c r="H3181" i="58"/>
  <c r="P3180" i="58"/>
  <c r="O3180" i="58"/>
  <c r="L3180" i="58"/>
  <c r="I3180" i="58"/>
  <c r="J3180" i="58" s="1"/>
  <c r="H3180" i="58"/>
  <c r="P3179" i="58"/>
  <c r="O3179" i="58"/>
  <c r="L3179" i="58"/>
  <c r="I3179" i="58"/>
  <c r="J3179" i="58" s="1"/>
  <c r="H3179" i="58"/>
  <c r="P3178" i="58"/>
  <c r="O3178" i="58"/>
  <c r="L3178" i="58"/>
  <c r="I3178" i="58"/>
  <c r="J3178" i="58" s="1"/>
  <c r="H3178" i="58"/>
  <c r="P3177" i="58"/>
  <c r="O3177" i="58"/>
  <c r="L3177" i="58"/>
  <c r="I3177" i="58"/>
  <c r="J3177" i="58" s="1"/>
  <c r="H3177" i="58"/>
  <c r="P3176" i="58"/>
  <c r="O3176" i="58"/>
  <c r="L3176" i="58"/>
  <c r="I3176" i="58"/>
  <c r="J3176" i="58" s="1"/>
  <c r="H3176" i="58"/>
  <c r="P3175" i="58"/>
  <c r="O3175" i="58"/>
  <c r="L3175" i="58"/>
  <c r="I3175" i="58"/>
  <c r="J3175" i="58" s="1"/>
  <c r="H3175" i="58"/>
  <c r="P3174" i="58"/>
  <c r="O3174" i="58"/>
  <c r="L3174" i="58"/>
  <c r="I3174" i="58"/>
  <c r="J3174" i="58" s="1"/>
  <c r="H3174" i="58"/>
  <c r="P3173" i="58"/>
  <c r="O3173" i="58"/>
  <c r="L3173" i="58"/>
  <c r="I3173" i="58"/>
  <c r="J3173" i="58" s="1"/>
  <c r="H3173" i="58"/>
  <c r="P3172" i="58"/>
  <c r="O3172" i="58"/>
  <c r="L3172" i="58"/>
  <c r="I3172" i="58"/>
  <c r="J3172" i="58" s="1"/>
  <c r="H3172" i="58"/>
  <c r="P3171" i="58"/>
  <c r="O3171" i="58"/>
  <c r="L3171" i="58"/>
  <c r="I3171" i="58"/>
  <c r="J3171" i="58" s="1"/>
  <c r="H3171" i="58"/>
  <c r="P3170" i="58"/>
  <c r="O3170" i="58"/>
  <c r="L3170" i="58"/>
  <c r="I3170" i="58"/>
  <c r="J3170" i="58" s="1"/>
  <c r="H3170" i="58"/>
  <c r="P3169" i="58"/>
  <c r="O3169" i="58"/>
  <c r="L3169" i="58"/>
  <c r="I3169" i="58"/>
  <c r="J3169" i="58" s="1"/>
  <c r="H3169" i="58"/>
  <c r="P3168" i="58"/>
  <c r="O3168" i="58"/>
  <c r="L3168" i="58"/>
  <c r="I3168" i="58"/>
  <c r="J3168" i="58" s="1"/>
  <c r="H3168" i="58"/>
  <c r="P3167" i="58"/>
  <c r="O3167" i="58"/>
  <c r="L3167" i="58"/>
  <c r="I3167" i="58"/>
  <c r="J3167" i="58" s="1"/>
  <c r="H3167" i="58"/>
  <c r="P3166" i="58"/>
  <c r="O3166" i="58"/>
  <c r="L3166" i="58"/>
  <c r="I3166" i="58"/>
  <c r="J3166" i="58" s="1"/>
  <c r="H3166" i="58"/>
  <c r="P3165" i="58"/>
  <c r="O3165" i="58"/>
  <c r="L3165" i="58"/>
  <c r="I3165" i="58"/>
  <c r="J3165" i="58" s="1"/>
  <c r="H3165" i="58"/>
  <c r="P3164" i="58"/>
  <c r="O3164" i="58"/>
  <c r="L3164" i="58"/>
  <c r="I3164" i="58"/>
  <c r="J3164" i="58" s="1"/>
  <c r="H3164" i="58"/>
  <c r="P3163" i="58"/>
  <c r="O3163" i="58"/>
  <c r="L3163" i="58"/>
  <c r="I3163" i="58"/>
  <c r="J3163" i="58" s="1"/>
  <c r="H3163" i="58"/>
  <c r="P3162" i="58"/>
  <c r="O3162" i="58"/>
  <c r="L3162" i="58"/>
  <c r="I3162" i="58"/>
  <c r="J3162" i="58" s="1"/>
  <c r="H3162" i="58"/>
  <c r="P3161" i="58"/>
  <c r="O3161" i="58"/>
  <c r="L3161" i="58"/>
  <c r="I3161" i="58"/>
  <c r="J3161" i="58" s="1"/>
  <c r="H3161" i="58"/>
  <c r="P3160" i="58"/>
  <c r="O3160" i="58"/>
  <c r="L3160" i="58"/>
  <c r="I3160" i="58"/>
  <c r="J3160" i="58" s="1"/>
  <c r="H3160" i="58"/>
  <c r="P3159" i="58"/>
  <c r="O3159" i="58"/>
  <c r="L3159" i="58"/>
  <c r="I3159" i="58"/>
  <c r="J3159" i="58" s="1"/>
  <c r="H3159" i="58"/>
  <c r="G3159" i="58"/>
  <c r="P3158" i="58"/>
  <c r="O3158" i="58"/>
  <c r="L3158" i="58"/>
  <c r="I3158" i="58"/>
  <c r="J3158" i="58" s="1"/>
  <c r="H3158" i="58"/>
  <c r="P3157" i="58"/>
  <c r="O3157" i="58"/>
  <c r="L3157" i="58"/>
  <c r="I3157" i="58"/>
  <c r="J3157" i="58" s="1"/>
  <c r="H3157" i="58"/>
  <c r="P3156" i="58"/>
  <c r="O3156" i="58"/>
  <c r="L3156" i="58"/>
  <c r="I3156" i="58"/>
  <c r="J3156" i="58" s="1"/>
  <c r="H3156" i="58"/>
  <c r="P3155" i="58"/>
  <c r="O3155" i="58"/>
  <c r="L3155" i="58"/>
  <c r="I3155" i="58"/>
  <c r="J3155" i="58" s="1"/>
  <c r="H3155" i="58"/>
  <c r="P3154" i="58"/>
  <c r="O3154" i="58"/>
  <c r="L3154" i="58"/>
  <c r="I3154" i="58"/>
  <c r="J3154" i="58" s="1"/>
  <c r="H3154" i="58"/>
  <c r="P3153" i="58"/>
  <c r="O3153" i="58"/>
  <c r="L3153" i="58"/>
  <c r="I3153" i="58"/>
  <c r="J3153" i="58" s="1"/>
  <c r="H3153" i="58"/>
  <c r="P3152" i="58"/>
  <c r="O3152" i="58"/>
  <c r="L3152" i="58"/>
  <c r="I3152" i="58"/>
  <c r="J3152" i="58" s="1"/>
  <c r="H3152" i="58"/>
  <c r="P3151" i="58"/>
  <c r="O3151" i="58"/>
  <c r="L3151" i="58"/>
  <c r="I3151" i="58"/>
  <c r="J3151" i="58" s="1"/>
  <c r="H3151" i="58"/>
  <c r="P3150" i="58"/>
  <c r="O3150" i="58"/>
  <c r="L3150" i="58"/>
  <c r="I3150" i="58"/>
  <c r="J3150" i="58" s="1"/>
  <c r="H3150" i="58"/>
  <c r="P3149" i="58"/>
  <c r="O3149" i="58"/>
  <c r="L3149" i="58"/>
  <c r="I3149" i="58"/>
  <c r="J3149" i="58" s="1"/>
  <c r="H3149" i="58"/>
  <c r="P3148" i="58"/>
  <c r="O3148" i="58"/>
  <c r="L3148" i="58"/>
  <c r="I3148" i="58"/>
  <c r="J3148" i="58" s="1"/>
  <c r="H3148" i="58"/>
  <c r="P3147" i="58"/>
  <c r="O3147" i="58"/>
  <c r="L3147" i="58"/>
  <c r="I3147" i="58"/>
  <c r="J3147" i="58" s="1"/>
  <c r="H3147" i="58"/>
  <c r="P3146" i="58"/>
  <c r="O3146" i="58"/>
  <c r="L3146" i="58"/>
  <c r="I3146" i="58"/>
  <c r="J3146" i="58" s="1"/>
  <c r="H3146" i="58"/>
  <c r="P3145" i="58"/>
  <c r="O3145" i="58"/>
  <c r="L3145" i="58"/>
  <c r="I3145" i="58"/>
  <c r="J3145" i="58" s="1"/>
  <c r="H3145" i="58"/>
  <c r="P3144" i="58"/>
  <c r="O3144" i="58"/>
  <c r="L3144" i="58"/>
  <c r="I3144" i="58"/>
  <c r="J3144" i="58" s="1"/>
  <c r="H3144" i="58"/>
  <c r="P3143" i="58"/>
  <c r="O3143" i="58"/>
  <c r="L3143" i="58"/>
  <c r="I3143" i="58"/>
  <c r="J3143" i="58" s="1"/>
  <c r="H3143" i="58"/>
  <c r="P3142" i="58"/>
  <c r="O3142" i="58"/>
  <c r="L3142" i="58"/>
  <c r="I3142" i="58"/>
  <c r="J3142" i="58" s="1"/>
  <c r="H3142" i="58"/>
  <c r="P3141" i="58"/>
  <c r="O3141" i="58"/>
  <c r="L3141" i="58"/>
  <c r="I3141" i="58"/>
  <c r="J3141" i="58" s="1"/>
  <c r="H3141" i="58"/>
  <c r="P3140" i="58"/>
  <c r="O3140" i="58"/>
  <c r="L3140" i="58"/>
  <c r="I3140" i="58"/>
  <c r="J3140" i="58" s="1"/>
  <c r="H3140" i="58"/>
  <c r="P3139" i="58"/>
  <c r="O3139" i="58"/>
  <c r="L3139" i="58"/>
  <c r="I3139" i="58"/>
  <c r="J3139" i="58" s="1"/>
  <c r="H3139" i="58"/>
  <c r="P3138" i="58"/>
  <c r="O3138" i="58"/>
  <c r="L3138" i="58"/>
  <c r="I3138" i="58"/>
  <c r="J3138" i="58" s="1"/>
  <c r="H3138" i="58"/>
  <c r="P3137" i="58"/>
  <c r="O3137" i="58"/>
  <c r="L3137" i="58"/>
  <c r="I3137" i="58"/>
  <c r="J3137" i="58" s="1"/>
  <c r="H3137" i="58"/>
  <c r="P3136" i="58"/>
  <c r="O3136" i="58"/>
  <c r="L3136" i="58"/>
  <c r="I3136" i="58"/>
  <c r="J3136" i="58" s="1"/>
  <c r="H3136" i="58"/>
  <c r="P3135" i="58"/>
  <c r="O3135" i="58"/>
  <c r="L3135" i="58"/>
  <c r="I3135" i="58"/>
  <c r="J3135" i="58" s="1"/>
  <c r="H3135" i="58"/>
  <c r="P3134" i="58"/>
  <c r="O3134" i="58"/>
  <c r="L3134" i="58"/>
  <c r="I3134" i="58"/>
  <c r="J3134" i="58" s="1"/>
  <c r="H3134" i="58"/>
  <c r="P3133" i="58"/>
  <c r="O3133" i="58"/>
  <c r="L3133" i="58"/>
  <c r="I3133" i="58"/>
  <c r="J3133" i="58" s="1"/>
  <c r="H3133" i="58"/>
  <c r="P3132" i="58"/>
  <c r="O3132" i="58"/>
  <c r="L3132" i="58"/>
  <c r="I3132" i="58"/>
  <c r="J3132" i="58" s="1"/>
  <c r="H3132" i="58"/>
  <c r="P3131" i="58"/>
  <c r="O3131" i="58"/>
  <c r="L3131" i="58"/>
  <c r="I3131" i="58"/>
  <c r="J3131" i="58" s="1"/>
  <c r="H3131" i="58"/>
  <c r="P3130" i="58"/>
  <c r="O3130" i="58"/>
  <c r="L3130" i="58"/>
  <c r="I3130" i="58"/>
  <c r="J3130" i="58" s="1"/>
  <c r="H3130" i="58"/>
  <c r="P3129" i="58"/>
  <c r="O3129" i="58"/>
  <c r="L3129" i="58"/>
  <c r="I3129" i="58"/>
  <c r="J3129" i="58" s="1"/>
  <c r="H3129" i="58"/>
  <c r="P3128" i="58"/>
  <c r="O3128" i="58"/>
  <c r="L3128" i="58"/>
  <c r="I3128" i="58"/>
  <c r="J3128" i="58" s="1"/>
  <c r="H3128" i="58"/>
  <c r="P3127" i="58"/>
  <c r="O3127" i="58"/>
  <c r="L3127" i="58"/>
  <c r="I3127" i="58"/>
  <c r="J3127" i="58" s="1"/>
  <c r="H3127" i="58"/>
  <c r="P3126" i="58"/>
  <c r="O3126" i="58"/>
  <c r="L3126" i="58"/>
  <c r="I3126" i="58"/>
  <c r="J3126" i="58" s="1"/>
  <c r="H3126" i="58"/>
  <c r="P3125" i="58"/>
  <c r="O3125" i="58"/>
  <c r="L3125" i="58"/>
  <c r="I3125" i="58"/>
  <c r="J3125" i="58" s="1"/>
  <c r="H3125" i="58"/>
  <c r="P3124" i="58"/>
  <c r="O3124" i="58"/>
  <c r="L3124" i="58"/>
  <c r="I3124" i="58"/>
  <c r="J3124" i="58" s="1"/>
  <c r="H3124" i="58"/>
  <c r="P3123" i="58"/>
  <c r="O3123" i="58"/>
  <c r="L3123" i="58"/>
  <c r="I3123" i="58"/>
  <c r="J3123" i="58" s="1"/>
  <c r="H3123" i="58"/>
  <c r="P3122" i="58"/>
  <c r="O3122" i="58"/>
  <c r="L3122" i="58"/>
  <c r="I3122" i="58"/>
  <c r="J3122" i="58" s="1"/>
  <c r="H3122" i="58"/>
  <c r="P3121" i="58"/>
  <c r="O3121" i="58"/>
  <c r="L3121" i="58"/>
  <c r="I3121" i="58"/>
  <c r="J3121" i="58" s="1"/>
  <c r="H3121" i="58"/>
  <c r="P3120" i="58"/>
  <c r="O3120" i="58"/>
  <c r="L3120" i="58"/>
  <c r="I3120" i="58"/>
  <c r="J3120" i="58" s="1"/>
  <c r="H3120" i="58"/>
  <c r="P3119" i="58"/>
  <c r="O3119" i="58"/>
  <c r="L3119" i="58"/>
  <c r="I3119" i="58"/>
  <c r="J3119" i="58" s="1"/>
  <c r="H3119" i="58"/>
  <c r="P3118" i="58"/>
  <c r="O3118" i="58"/>
  <c r="L3118" i="58"/>
  <c r="I3118" i="58"/>
  <c r="J3118" i="58" s="1"/>
  <c r="H3118" i="58"/>
  <c r="P3117" i="58"/>
  <c r="O3117" i="58"/>
  <c r="L3117" i="58"/>
  <c r="I3117" i="58"/>
  <c r="J3117" i="58" s="1"/>
  <c r="H3117" i="58"/>
  <c r="P3116" i="58"/>
  <c r="O3116" i="58"/>
  <c r="L3116" i="58"/>
  <c r="I3116" i="58"/>
  <c r="J3116" i="58" s="1"/>
  <c r="H3116" i="58"/>
  <c r="P3115" i="58"/>
  <c r="O3115" i="58"/>
  <c r="L3115" i="58"/>
  <c r="I3115" i="58"/>
  <c r="J3115" i="58" s="1"/>
  <c r="H3115" i="58"/>
  <c r="P3114" i="58"/>
  <c r="O3114" i="58"/>
  <c r="L3114" i="58"/>
  <c r="I3114" i="58"/>
  <c r="J3114" i="58" s="1"/>
  <c r="H3114" i="58"/>
  <c r="P3113" i="58"/>
  <c r="O3113" i="58"/>
  <c r="L3113" i="58"/>
  <c r="I3113" i="58"/>
  <c r="J3113" i="58" s="1"/>
  <c r="H3113" i="58"/>
  <c r="P3112" i="58"/>
  <c r="O3112" i="58"/>
  <c r="L3112" i="58"/>
  <c r="I3112" i="58"/>
  <c r="J3112" i="58" s="1"/>
  <c r="H3112" i="58"/>
  <c r="P3111" i="58"/>
  <c r="O3111" i="58"/>
  <c r="L3111" i="58"/>
  <c r="I3111" i="58"/>
  <c r="J3111" i="58" s="1"/>
  <c r="H3111" i="58"/>
  <c r="P3110" i="58"/>
  <c r="O3110" i="58"/>
  <c r="L3110" i="58"/>
  <c r="I3110" i="58"/>
  <c r="J3110" i="58" s="1"/>
  <c r="H3110" i="58"/>
  <c r="P3109" i="58"/>
  <c r="O3109" i="58"/>
  <c r="L3109" i="58"/>
  <c r="I3109" i="58"/>
  <c r="J3109" i="58" s="1"/>
  <c r="H3109" i="58"/>
  <c r="P3108" i="58"/>
  <c r="O3108" i="58"/>
  <c r="L3108" i="58"/>
  <c r="I3108" i="58"/>
  <c r="J3108" i="58" s="1"/>
  <c r="H3108" i="58"/>
  <c r="P3107" i="58"/>
  <c r="O3107" i="58"/>
  <c r="L3107" i="58"/>
  <c r="I3107" i="58"/>
  <c r="J3107" i="58" s="1"/>
  <c r="H3107" i="58"/>
  <c r="P3106" i="58"/>
  <c r="O3106" i="58"/>
  <c r="L3106" i="58"/>
  <c r="I3106" i="58"/>
  <c r="J3106" i="58" s="1"/>
  <c r="H3106" i="58"/>
  <c r="P3105" i="58"/>
  <c r="O3105" i="58"/>
  <c r="L3105" i="58"/>
  <c r="I3105" i="58"/>
  <c r="J3105" i="58" s="1"/>
  <c r="H3105" i="58"/>
  <c r="P3104" i="58"/>
  <c r="O3104" i="58"/>
  <c r="L3104" i="58"/>
  <c r="I3104" i="58"/>
  <c r="J3104" i="58" s="1"/>
  <c r="H3104" i="58"/>
  <c r="P3103" i="58"/>
  <c r="O3103" i="58"/>
  <c r="L3103" i="58"/>
  <c r="I3103" i="58"/>
  <c r="J3103" i="58" s="1"/>
  <c r="H3103" i="58"/>
  <c r="P3102" i="58"/>
  <c r="O3102" i="58"/>
  <c r="L3102" i="58"/>
  <c r="I3102" i="58"/>
  <c r="J3102" i="58" s="1"/>
  <c r="H3102" i="58"/>
  <c r="P3101" i="58"/>
  <c r="O3101" i="58"/>
  <c r="L3101" i="58"/>
  <c r="I3101" i="58"/>
  <c r="J3101" i="58" s="1"/>
  <c r="H3101" i="58"/>
  <c r="P3100" i="58"/>
  <c r="O3100" i="58"/>
  <c r="L3100" i="58"/>
  <c r="I3100" i="58"/>
  <c r="J3100" i="58" s="1"/>
  <c r="H3100" i="58"/>
  <c r="P3099" i="58"/>
  <c r="O3099" i="58"/>
  <c r="L3099" i="58"/>
  <c r="I3099" i="58"/>
  <c r="J3099" i="58" s="1"/>
  <c r="H3099" i="58"/>
  <c r="P3098" i="58"/>
  <c r="O3098" i="58"/>
  <c r="L3098" i="58"/>
  <c r="I3098" i="58"/>
  <c r="J3098" i="58" s="1"/>
  <c r="H3098" i="58"/>
  <c r="P3097" i="58"/>
  <c r="O3097" i="58"/>
  <c r="L3097" i="58"/>
  <c r="I3097" i="58"/>
  <c r="J3097" i="58" s="1"/>
  <c r="H3097" i="58"/>
  <c r="P3096" i="58"/>
  <c r="O3096" i="58"/>
  <c r="L3096" i="58"/>
  <c r="I3096" i="58"/>
  <c r="J3096" i="58" s="1"/>
  <c r="H3096" i="58"/>
  <c r="P3095" i="58"/>
  <c r="O3095" i="58"/>
  <c r="L3095" i="58"/>
  <c r="I3095" i="58"/>
  <c r="J3095" i="58" s="1"/>
  <c r="H3095" i="58"/>
  <c r="P3094" i="58"/>
  <c r="O3094" i="58"/>
  <c r="L3094" i="58"/>
  <c r="I3094" i="58"/>
  <c r="J3094" i="58" s="1"/>
  <c r="H3094" i="58"/>
  <c r="P3093" i="58"/>
  <c r="O3093" i="58"/>
  <c r="L3093" i="58"/>
  <c r="I3093" i="58"/>
  <c r="J3093" i="58" s="1"/>
  <c r="H3093" i="58"/>
  <c r="P3092" i="58"/>
  <c r="O3092" i="58"/>
  <c r="L3092" i="58"/>
  <c r="I3092" i="58"/>
  <c r="J3092" i="58" s="1"/>
  <c r="H3092" i="58"/>
  <c r="P3091" i="58"/>
  <c r="O3091" i="58"/>
  <c r="L3091" i="58"/>
  <c r="I3091" i="58"/>
  <c r="J3091" i="58" s="1"/>
  <c r="H3091" i="58"/>
  <c r="P3090" i="58"/>
  <c r="O3090" i="58"/>
  <c r="L3090" i="58"/>
  <c r="I3090" i="58"/>
  <c r="J3090" i="58" s="1"/>
  <c r="H3090" i="58"/>
  <c r="P3089" i="58"/>
  <c r="O3089" i="58"/>
  <c r="L3089" i="58"/>
  <c r="I3089" i="58"/>
  <c r="J3089" i="58" s="1"/>
  <c r="H3089" i="58"/>
  <c r="P3088" i="58"/>
  <c r="O3088" i="58"/>
  <c r="L3088" i="58"/>
  <c r="I3088" i="58"/>
  <c r="J3088" i="58" s="1"/>
  <c r="H3088" i="58"/>
  <c r="P3087" i="58"/>
  <c r="O3087" i="58"/>
  <c r="L3087" i="58"/>
  <c r="I3087" i="58"/>
  <c r="J3087" i="58" s="1"/>
  <c r="H3087" i="58"/>
  <c r="P3086" i="58"/>
  <c r="O3086" i="58"/>
  <c r="L3086" i="58"/>
  <c r="I3086" i="58"/>
  <c r="J3086" i="58" s="1"/>
  <c r="H3086" i="58"/>
  <c r="P3085" i="58"/>
  <c r="O3085" i="58"/>
  <c r="L3085" i="58"/>
  <c r="I3085" i="58"/>
  <c r="J3085" i="58" s="1"/>
  <c r="H3085" i="58"/>
  <c r="P3084" i="58"/>
  <c r="O3084" i="58"/>
  <c r="L3084" i="58"/>
  <c r="I3084" i="58"/>
  <c r="J3084" i="58" s="1"/>
  <c r="H3084" i="58"/>
  <c r="P3083" i="58"/>
  <c r="O3083" i="58"/>
  <c r="L3083" i="58"/>
  <c r="I3083" i="58"/>
  <c r="J3083" i="58" s="1"/>
  <c r="H3083" i="58"/>
  <c r="P3082" i="58"/>
  <c r="O3082" i="58"/>
  <c r="L3082" i="58"/>
  <c r="I3082" i="58"/>
  <c r="J3082" i="58" s="1"/>
  <c r="H3082" i="58"/>
  <c r="P3081" i="58"/>
  <c r="O3081" i="58"/>
  <c r="L3081" i="58"/>
  <c r="I3081" i="58"/>
  <c r="J3081" i="58" s="1"/>
  <c r="H3081" i="58"/>
  <c r="P3080" i="58"/>
  <c r="O3080" i="58"/>
  <c r="L3080" i="58"/>
  <c r="I3080" i="58"/>
  <c r="J3080" i="58" s="1"/>
  <c r="H3080" i="58"/>
  <c r="P3079" i="58"/>
  <c r="O3079" i="58"/>
  <c r="L3079" i="58"/>
  <c r="I3079" i="58"/>
  <c r="J3079" i="58" s="1"/>
  <c r="H3079" i="58"/>
  <c r="P3078" i="58"/>
  <c r="O3078" i="58"/>
  <c r="L3078" i="58"/>
  <c r="I3078" i="58"/>
  <c r="J3078" i="58" s="1"/>
  <c r="H3078" i="58"/>
  <c r="P3077" i="58"/>
  <c r="O3077" i="58"/>
  <c r="L3077" i="58"/>
  <c r="I3077" i="58"/>
  <c r="J3077" i="58" s="1"/>
  <c r="H3077" i="58"/>
  <c r="P3076" i="58"/>
  <c r="O3076" i="58"/>
  <c r="L3076" i="58"/>
  <c r="I3076" i="58"/>
  <c r="J3076" i="58" s="1"/>
  <c r="H3076" i="58"/>
  <c r="P3075" i="58"/>
  <c r="O3075" i="58"/>
  <c r="L3075" i="58"/>
  <c r="I3075" i="58"/>
  <c r="J3075" i="58" s="1"/>
  <c r="H3075" i="58"/>
  <c r="P3074" i="58"/>
  <c r="O3074" i="58"/>
  <c r="L3074" i="58"/>
  <c r="I3074" i="58"/>
  <c r="J3074" i="58" s="1"/>
  <c r="H3074" i="58"/>
  <c r="P3073" i="58"/>
  <c r="O3073" i="58"/>
  <c r="L3073" i="58"/>
  <c r="I3073" i="58"/>
  <c r="J3073" i="58" s="1"/>
  <c r="H3073" i="58"/>
  <c r="P3072" i="58"/>
  <c r="O3072" i="58"/>
  <c r="L3072" i="58"/>
  <c r="I3072" i="58"/>
  <c r="J3072" i="58" s="1"/>
  <c r="H3072" i="58"/>
  <c r="P3071" i="58"/>
  <c r="O3071" i="58"/>
  <c r="L3071" i="58"/>
  <c r="I3071" i="58"/>
  <c r="J3071" i="58" s="1"/>
  <c r="H3071" i="58"/>
  <c r="P3070" i="58"/>
  <c r="O3070" i="58"/>
  <c r="L3070" i="58"/>
  <c r="I3070" i="58"/>
  <c r="J3070" i="58" s="1"/>
  <c r="H3070" i="58"/>
  <c r="P3069" i="58"/>
  <c r="O3069" i="58"/>
  <c r="L3069" i="58"/>
  <c r="I3069" i="58"/>
  <c r="J3069" i="58" s="1"/>
  <c r="H3069" i="58"/>
  <c r="P3068" i="58"/>
  <c r="O3068" i="58"/>
  <c r="L3068" i="58"/>
  <c r="I3068" i="58"/>
  <c r="J3068" i="58" s="1"/>
  <c r="H3068" i="58"/>
  <c r="P3067" i="58"/>
  <c r="O3067" i="58"/>
  <c r="L3067" i="58"/>
  <c r="I3067" i="58"/>
  <c r="J3067" i="58" s="1"/>
  <c r="H3067" i="58"/>
  <c r="P3066" i="58"/>
  <c r="O3066" i="58"/>
  <c r="L3066" i="58"/>
  <c r="I3066" i="58"/>
  <c r="J3066" i="58" s="1"/>
  <c r="H3066" i="58"/>
  <c r="P3065" i="58"/>
  <c r="O3065" i="58"/>
  <c r="L3065" i="58"/>
  <c r="I3065" i="58"/>
  <c r="J3065" i="58" s="1"/>
  <c r="H3065" i="58"/>
  <c r="P3064" i="58"/>
  <c r="O3064" i="58"/>
  <c r="L3064" i="58"/>
  <c r="I3064" i="58"/>
  <c r="J3064" i="58" s="1"/>
  <c r="H3064" i="58"/>
  <c r="P3063" i="58"/>
  <c r="O3063" i="58"/>
  <c r="L3063" i="58"/>
  <c r="I3063" i="58"/>
  <c r="J3063" i="58" s="1"/>
  <c r="H3063" i="58"/>
  <c r="P3062" i="58"/>
  <c r="O3062" i="58"/>
  <c r="L3062" i="58"/>
  <c r="I3062" i="58"/>
  <c r="J3062" i="58" s="1"/>
  <c r="H3062" i="58"/>
  <c r="P3061" i="58"/>
  <c r="O3061" i="58"/>
  <c r="L3061" i="58"/>
  <c r="I3061" i="58"/>
  <c r="J3061" i="58" s="1"/>
  <c r="H3061" i="58"/>
  <c r="P3060" i="58"/>
  <c r="O3060" i="58"/>
  <c r="L3060" i="58"/>
  <c r="I3060" i="58"/>
  <c r="J3060" i="58" s="1"/>
  <c r="H3060" i="58"/>
  <c r="P3059" i="58"/>
  <c r="O3059" i="58"/>
  <c r="L3059" i="58"/>
  <c r="I3059" i="58"/>
  <c r="J3059" i="58" s="1"/>
  <c r="H3059" i="58"/>
  <c r="P3058" i="58"/>
  <c r="O3058" i="58"/>
  <c r="L3058" i="58"/>
  <c r="I3058" i="58"/>
  <c r="J3058" i="58" s="1"/>
  <c r="H3058" i="58"/>
  <c r="P3057" i="58"/>
  <c r="O3057" i="58"/>
  <c r="L3057" i="58"/>
  <c r="I3057" i="58"/>
  <c r="J3057" i="58" s="1"/>
  <c r="H3057" i="58"/>
  <c r="P3056" i="58"/>
  <c r="O3056" i="58"/>
  <c r="L3056" i="58"/>
  <c r="I3056" i="58"/>
  <c r="J3056" i="58" s="1"/>
  <c r="H3056" i="58"/>
  <c r="P3055" i="58"/>
  <c r="O3055" i="58"/>
  <c r="L3055" i="58"/>
  <c r="I3055" i="58"/>
  <c r="J3055" i="58" s="1"/>
  <c r="H3055" i="58"/>
  <c r="P3054" i="58"/>
  <c r="O3054" i="58"/>
  <c r="L3054" i="58"/>
  <c r="I3054" i="58"/>
  <c r="J3054" i="58" s="1"/>
  <c r="H3054" i="58"/>
  <c r="P3053" i="58"/>
  <c r="O3053" i="58"/>
  <c r="L3053" i="58"/>
  <c r="I3053" i="58"/>
  <c r="J3053" i="58" s="1"/>
  <c r="H3053" i="58"/>
  <c r="P3052" i="58"/>
  <c r="O3052" i="58"/>
  <c r="L3052" i="58"/>
  <c r="I3052" i="58"/>
  <c r="J3052" i="58" s="1"/>
  <c r="H3052" i="58"/>
  <c r="P3051" i="58"/>
  <c r="O3051" i="58"/>
  <c r="L3051" i="58"/>
  <c r="I3051" i="58"/>
  <c r="J3051" i="58" s="1"/>
  <c r="H3051" i="58"/>
  <c r="P3050" i="58"/>
  <c r="O3050" i="58"/>
  <c r="L3050" i="58"/>
  <c r="I3050" i="58"/>
  <c r="J3050" i="58" s="1"/>
  <c r="H3050" i="58"/>
  <c r="P3049" i="58"/>
  <c r="O3049" i="58"/>
  <c r="L3049" i="58"/>
  <c r="I3049" i="58"/>
  <c r="J3049" i="58" s="1"/>
  <c r="H3049" i="58"/>
  <c r="P3048" i="58"/>
  <c r="O3048" i="58"/>
  <c r="L3048" i="58"/>
  <c r="I3048" i="58"/>
  <c r="J3048" i="58" s="1"/>
  <c r="H3048" i="58"/>
  <c r="P3047" i="58"/>
  <c r="O3047" i="58"/>
  <c r="L3047" i="58"/>
  <c r="I3047" i="58"/>
  <c r="J3047" i="58" s="1"/>
  <c r="H3047" i="58"/>
  <c r="P3046" i="58"/>
  <c r="O3046" i="58"/>
  <c r="L3046" i="58"/>
  <c r="I3046" i="58"/>
  <c r="J3046" i="58" s="1"/>
  <c r="H3046" i="58"/>
  <c r="P3045" i="58"/>
  <c r="O3045" i="58"/>
  <c r="L3045" i="58"/>
  <c r="I3045" i="58"/>
  <c r="J3045" i="58" s="1"/>
  <c r="H3045" i="58"/>
  <c r="P3044" i="58"/>
  <c r="O3044" i="58"/>
  <c r="L3044" i="58"/>
  <c r="I3044" i="58"/>
  <c r="J3044" i="58" s="1"/>
  <c r="H3044" i="58"/>
  <c r="P3043" i="58"/>
  <c r="O3043" i="58"/>
  <c r="L3043" i="58"/>
  <c r="I3043" i="58"/>
  <c r="J3043" i="58" s="1"/>
  <c r="H3043" i="58"/>
  <c r="P3042" i="58"/>
  <c r="O3042" i="58"/>
  <c r="L3042" i="58"/>
  <c r="I3042" i="58"/>
  <c r="J3042" i="58" s="1"/>
  <c r="H3042" i="58"/>
  <c r="P3041" i="58"/>
  <c r="O3041" i="58"/>
  <c r="L3041" i="58"/>
  <c r="I3041" i="58"/>
  <c r="J3041" i="58" s="1"/>
  <c r="H3041" i="58"/>
  <c r="P3040" i="58"/>
  <c r="O3040" i="58"/>
  <c r="L3040" i="58"/>
  <c r="I3040" i="58"/>
  <c r="J3040" i="58" s="1"/>
  <c r="H3040" i="58"/>
  <c r="P3039" i="58"/>
  <c r="O3039" i="58"/>
  <c r="L3039" i="58"/>
  <c r="I3039" i="58"/>
  <c r="J3039" i="58" s="1"/>
  <c r="H3039" i="58"/>
  <c r="P3038" i="58"/>
  <c r="O3038" i="58"/>
  <c r="L3038" i="58"/>
  <c r="I3038" i="58"/>
  <c r="J3038" i="58" s="1"/>
  <c r="H3038" i="58"/>
  <c r="P3037" i="58"/>
  <c r="O3037" i="58"/>
  <c r="L3037" i="58"/>
  <c r="I3037" i="58"/>
  <c r="J3037" i="58" s="1"/>
  <c r="H3037" i="58"/>
  <c r="P3036" i="58"/>
  <c r="O3036" i="58"/>
  <c r="L3036" i="58"/>
  <c r="I3036" i="58"/>
  <c r="J3036" i="58" s="1"/>
  <c r="H3036" i="58"/>
  <c r="P3035" i="58"/>
  <c r="O3035" i="58"/>
  <c r="L3035" i="58"/>
  <c r="I3035" i="58"/>
  <c r="J3035" i="58" s="1"/>
  <c r="H3035" i="58"/>
  <c r="P3034" i="58"/>
  <c r="O3034" i="58"/>
  <c r="L3034" i="58"/>
  <c r="I3034" i="58"/>
  <c r="J3034" i="58" s="1"/>
  <c r="H3034" i="58"/>
  <c r="P3033" i="58"/>
  <c r="O3033" i="58"/>
  <c r="L3033" i="58"/>
  <c r="I3033" i="58"/>
  <c r="J3033" i="58" s="1"/>
  <c r="H3033" i="58"/>
  <c r="P3032" i="58"/>
  <c r="O3032" i="58"/>
  <c r="L3032" i="58"/>
  <c r="I3032" i="58"/>
  <c r="J3032" i="58" s="1"/>
  <c r="H3032" i="58"/>
  <c r="P3031" i="58"/>
  <c r="O3031" i="58"/>
  <c r="L3031" i="58"/>
  <c r="I3031" i="58"/>
  <c r="J3031" i="58" s="1"/>
  <c r="H3031" i="58"/>
  <c r="P3030" i="58"/>
  <c r="O3030" i="58"/>
  <c r="L3030" i="58"/>
  <c r="I3030" i="58"/>
  <c r="J3030" i="58" s="1"/>
  <c r="H3030" i="58"/>
  <c r="P3029" i="58"/>
  <c r="O3029" i="58"/>
  <c r="L3029" i="58"/>
  <c r="I3029" i="58"/>
  <c r="J3029" i="58" s="1"/>
  <c r="H3029" i="58"/>
  <c r="P3028" i="58"/>
  <c r="O3028" i="58"/>
  <c r="L3028" i="58"/>
  <c r="I3028" i="58"/>
  <c r="J3028" i="58" s="1"/>
  <c r="H3028" i="58"/>
  <c r="P3027" i="58"/>
  <c r="O3027" i="58"/>
  <c r="L3027" i="58"/>
  <c r="I3027" i="58"/>
  <c r="J3027" i="58" s="1"/>
  <c r="H3027" i="58"/>
  <c r="P3026" i="58"/>
  <c r="O3026" i="58"/>
  <c r="L3026" i="58"/>
  <c r="I3026" i="58"/>
  <c r="J3026" i="58" s="1"/>
  <c r="H3026" i="58"/>
  <c r="P3025" i="58"/>
  <c r="O3025" i="58"/>
  <c r="L3025" i="58"/>
  <c r="I3025" i="58"/>
  <c r="J3025" i="58" s="1"/>
  <c r="H3025" i="58"/>
  <c r="P3024" i="58"/>
  <c r="O3024" i="58"/>
  <c r="L3024" i="58"/>
  <c r="I3024" i="58"/>
  <c r="J3024" i="58" s="1"/>
  <c r="H3024" i="58"/>
  <c r="P3023" i="58"/>
  <c r="O3023" i="58"/>
  <c r="L3023" i="58"/>
  <c r="I3023" i="58"/>
  <c r="J3023" i="58" s="1"/>
  <c r="H3023" i="58"/>
  <c r="P3022" i="58"/>
  <c r="O3022" i="58"/>
  <c r="L3022" i="58"/>
  <c r="I3022" i="58"/>
  <c r="J3022" i="58" s="1"/>
  <c r="H3022" i="58"/>
  <c r="P3021" i="58"/>
  <c r="O3021" i="58"/>
  <c r="L3021" i="58"/>
  <c r="I3021" i="58"/>
  <c r="J3021" i="58" s="1"/>
  <c r="H3021" i="58"/>
  <c r="P3020" i="58"/>
  <c r="O3020" i="58"/>
  <c r="L3020" i="58"/>
  <c r="I3020" i="58"/>
  <c r="J3020" i="58" s="1"/>
  <c r="H3020" i="58"/>
  <c r="P3019" i="58"/>
  <c r="O3019" i="58"/>
  <c r="L3019" i="58"/>
  <c r="I3019" i="58"/>
  <c r="J3019" i="58" s="1"/>
  <c r="H3019" i="58"/>
  <c r="P3018" i="58"/>
  <c r="O3018" i="58"/>
  <c r="L3018" i="58"/>
  <c r="I3018" i="58"/>
  <c r="J3018" i="58" s="1"/>
  <c r="H3018" i="58"/>
  <c r="P3017" i="58"/>
  <c r="O3017" i="58"/>
  <c r="L3017" i="58"/>
  <c r="I3017" i="58"/>
  <c r="J3017" i="58" s="1"/>
  <c r="H3017" i="58"/>
  <c r="P3016" i="58"/>
  <c r="O3016" i="58"/>
  <c r="L3016" i="58"/>
  <c r="I3016" i="58"/>
  <c r="J3016" i="58" s="1"/>
  <c r="H3016" i="58"/>
  <c r="P3015" i="58"/>
  <c r="O3015" i="58"/>
  <c r="L3015" i="58"/>
  <c r="I3015" i="58"/>
  <c r="J3015" i="58" s="1"/>
  <c r="H3015" i="58"/>
  <c r="P3014" i="58"/>
  <c r="O3014" i="58"/>
  <c r="L3014" i="58"/>
  <c r="I3014" i="58"/>
  <c r="J3014" i="58" s="1"/>
  <c r="H3014" i="58"/>
  <c r="P3013" i="58"/>
  <c r="O3013" i="58"/>
  <c r="L3013" i="58"/>
  <c r="I3013" i="58"/>
  <c r="J3013" i="58" s="1"/>
  <c r="H3013" i="58"/>
  <c r="P3012" i="58"/>
  <c r="O3012" i="58"/>
  <c r="L3012" i="58"/>
  <c r="I3012" i="58"/>
  <c r="J3012" i="58" s="1"/>
  <c r="H3012" i="58"/>
  <c r="P3011" i="58"/>
  <c r="O3011" i="58"/>
  <c r="L3011" i="58"/>
  <c r="I3011" i="58"/>
  <c r="J3011" i="58" s="1"/>
  <c r="H3011" i="58"/>
  <c r="P3010" i="58"/>
  <c r="O3010" i="58"/>
  <c r="L3010" i="58"/>
  <c r="I3010" i="58"/>
  <c r="J3010" i="58" s="1"/>
  <c r="H3010" i="58"/>
  <c r="P3009" i="58"/>
  <c r="O3009" i="58"/>
  <c r="L3009" i="58"/>
  <c r="I3009" i="58"/>
  <c r="J3009" i="58" s="1"/>
  <c r="H3009" i="58"/>
  <c r="P3008" i="58"/>
  <c r="O3008" i="58"/>
  <c r="L3008" i="58"/>
  <c r="I3008" i="58"/>
  <c r="J3008" i="58" s="1"/>
  <c r="H3008" i="58"/>
  <c r="P3007" i="58"/>
  <c r="O3007" i="58"/>
  <c r="L3007" i="58"/>
  <c r="I3007" i="58"/>
  <c r="J3007" i="58" s="1"/>
  <c r="H3007" i="58"/>
  <c r="P3006" i="58"/>
  <c r="O3006" i="58"/>
  <c r="L3006" i="58"/>
  <c r="I3006" i="58"/>
  <c r="J3006" i="58" s="1"/>
  <c r="H3006" i="58"/>
  <c r="P3005" i="58"/>
  <c r="O3005" i="58"/>
  <c r="L3005" i="58"/>
  <c r="I3005" i="58"/>
  <c r="J3005" i="58" s="1"/>
  <c r="H3005" i="58"/>
  <c r="P3004" i="58"/>
  <c r="O3004" i="58"/>
  <c r="L3004" i="58"/>
  <c r="I3004" i="58"/>
  <c r="J3004" i="58" s="1"/>
  <c r="H3004" i="58"/>
  <c r="P3003" i="58"/>
  <c r="O3003" i="58"/>
  <c r="L3003" i="58"/>
  <c r="I3003" i="58"/>
  <c r="J3003" i="58" s="1"/>
  <c r="H3003" i="58"/>
  <c r="P3002" i="58"/>
  <c r="O3002" i="58"/>
  <c r="L3002" i="58"/>
  <c r="I3002" i="58"/>
  <c r="J3002" i="58" s="1"/>
  <c r="H3002" i="58"/>
  <c r="P3001" i="58"/>
  <c r="O3001" i="58"/>
  <c r="L3001" i="58"/>
  <c r="I3001" i="58"/>
  <c r="J3001" i="58" s="1"/>
  <c r="H3001" i="58"/>
  <c r="P3000" i="58"/>
  <c r="O3000" i="58"/>
  <c r="L3000" i="58"/>
  <c r="I3000" i="58"/>
  <c r="J3000" i="58" s="1"/>
  <c r="H3000" i="58"/>
  <c r="P2999" i="58"/>
  <c r="O2999" i="58"/>
  <c r="L2999" i="58"/>
  <c r="I2999" i="58"/>
  <c r="J2999" i="58" s="1"/>
  <c r="H2999" i="58"/>
  <c r="P2998" i="58"/>
  <c r="O2998" i="58"/>
  <c r="L2998" i="58"/>
  <c r="I2998" i="58"/>
  <c r="J2998" i="58" s="1"/>
  <c r="H2998" i="58"/>
  <c r="P2997" i="58"/>
  <c r="O2997" i="58"/>
  <c r="L2997" i="58"/>
  <c r="I2997" i="58"/>
  <c r="J2997" i="58" s="1"/>
  <c r="H2997" i="58"/>
  <c r="P2996" i="58"/>
  <c r="O2996" i="58"/>
  <c r="L2996" i="58"/>
  <c r="I2996" i="58"/>
  <c r="J2996" i="58" s="1"/>
  <c r="H2996" i="58"/>
  <c r="P2995" i="58"/>
  <c r="O2995" i="58"/>
  <c r="L2995" i="58"/>
  <c r="I2995" i="58"/>
  <c r="J2995" i="58" s="1"/>
  <c r="H2995" i="58"/>
  <c r="P2994" i="58"/>
  <c r="O2994" i="58"/>
  <c r="L2994" i="58"/>
  <c r="I2994" i="58"/>
  <c r="J2994" i="58" s="1"/>
  <c r="H2994" i="58"/>
  <c r="P2993" i="58"/>
  <c r="O2993" i="58"/>
  <c r="L2993" i="58"/>
  <c r="I2993" i="58"/>
  <c r="J2993" i="58" s="1"/>
  <c r="H2993" i="58"/>
  <c r="P2992" i="58"/>
  <c r="O2992" i="58"/>
  <c r="L2992" i="58"/>
  <c r="I2992" i="58"/>
  <c r="J2992" i="58" s="1"/>
  <c r="H2992" i="58"/>
  <c r="P2991" i="58"/>
  <c r="O2991" i="58"/>
  <c r="L2991" i="58"/>
  <c r="I2991" i="58"/>
  <c r="J2991" i="58" s="1"/>
  <c r="H2991" i="58"/>
  <c r="P2990" i="58"/>
  <c r="O2990" i="58"/>
  <c r="L2990" i="58"/>
  <c r="I2990" i="58"/>
  <c r="J2990" i="58" s="1"/>
  <c r="H2990" i="58"/>
  <c r="P2989" i="58"/>
  <c r="O2989" i="58"/>
  <c r="L2989" i="58"/>
  <c r="I2989" i="58"/>
  <c r="J2989" i="58" s="1"/>
  <c r="H2989" i="58"/>
  <c r="P2988" i="58"/>
  <c r="O2988" i="58"/>
  <c r="L2988" i="58"/>
  <c r="I2988" i="58"/>
  <c r="J2988" i="58" s="1"/>
  <c r="H2988" i="58"/>
  <c r="P2987" i="58"/>
  <c r="O2987" i="58"/>
  <c r="L2987" i="58"/>
  <c r="I2987" i="58"/>
  <c r="J2987" i="58" s="1"/>
  <c r="H2987" i="58"/>
  <c r="P2986" i="58"/>
  <c r="O2986" i="58"/>
  <c r="L2986" i="58"/>
  <c r="I2986" i="58"/>
  <c r="J2986" i="58" s="1"/>
  <c r="H2986" i="58"/>
  <c r="P2985" i="58"/>
  <c r="O2985" i="58"/>
  <c r="L2985" i="58"/>
  <c r="I2985" i="58"/>
  <c r="J2985" i="58" s="1"/>
  <c r="H2985" i="58"/>
  <c r="P2984" i="58"/>
  <c r="O2984" i="58"/>
  <c r="L2984" i="58"/>
  <c r="I2984" i="58"/>
  <c r="J2984" i="58" s="1"/>
  <c r="H2984" i="58"/>
  <c r="P2983" i="58"/>
  <c r="O2983" i="58"/>
  <c r="L2983" i="58"/>
  <c r="I2983" i="58"/>
  <c r="J2983" i="58" s="1"/>
  <c r="H2983" i="58"/>
  <c r="P2982" i="58"/>
  <c r="O2982" i="58"/>
  <c r="L2982" i="58"/>
  <c r="I2982" i="58"/>
  <c r="J2982" i="58" s="1"/>
  <c r="H2982" i="58"/>
  <c r="P2981" i="58"/>
  <c r="O2981" i="58"/>
  <c r="L2981" i="58"/>
  <c r="I2981" i="58"/>
  <c r="J2981" i="58" s="1"/>
  <c r="H2981" i="58"/>
  <c r="P2980" i="58"/>
  <c r="O2980" i="58"/>
  <c r="L2980" i="58"/>
  <c r="I2980" i="58"/>
  <c r="J2980" i="58" s="1"/>
  <c r="H2980" i="58"/>
  <c r="P2979" i="58"/>
  <c r="O2979" i="58"/>
  <c r="L2979" i="58"/>
  <c r="I2979" i="58"/>
  <c r="J2979" i="58" s="1"/>
  <c r="H2979" i="58"/>
  <c r="P2978" i="58"/>
  <c r="O2978" i="58"/>
  <c r="L2978" i="58"/>
  <c r="I2978" i="58"/>
  <c r="J2978" i="58" s="1"/>
  <c r="H2978" i="58"/>
  <c r="P2977" i="58"/>
  <c r="O2977" i="58"/>
  <c r="L2977" i="58"/>
  <c r="I2977" i="58"/>
  <c r="J2977" i="58" s="1"/>
  <c r="H2977" i="58"/>
  <c r="P2976" i="58"/>
  <c r="O2976" i="58"/>
  <c r="L2976" i="58"/>
  <c r="I2976" i="58"/>
  <c r="J2976" i="58" s="1"/>
  <c r="H2976" i="58"/>
  <c r="P2975" i="58"/>
  <c r="O2975" i="58"/>
  <c r="L2975" i="58"/>
  <c r="I2975" i="58"/>
  <c r="J2975" i="58" s="1"/>
  <c r="H2975" i="58"/>
  <c r="P2974" i="58"/>
  <c r="O2974" i="58"/>
  <c r="L2974" i="58"/>
  <c r="I2974" i="58"/>
  <c r="J2974" i="58" s="1"/>
  <c r="H2974" i="58"/>
  <c r="P2973" i="58"/>
  <c r="O2973" i="58"/>
  <c r="L2973" i="58"/>
  <c r="I2973" i="58"/>
  <c r="J2973" i="58" s="1"/>
  <c r="H2973" i="58"/>
  <c r="P2972" i="58"/>
  <c r="O2972" i="58"/>
  <c r="L2972" i="58"/>
  <c r="I2972" i="58"/>
  <c r="J2972" i="58" s="1"/>
  <c r="H2972" i="58"/>
  <c r="P2971" i="58"/>
  <c r="O2971" i="58"/>
  <c r="L2971" i="58"/>
  <c r="I2971" i="58"/>
  <c r="J2971" i="58" s="1"/>
  <c r="H2971" i="58"/>
  <c r="P2970" i="58"/>
  <c r="O2970" i="58"/>
  <c r="L2970" i="58"/>
  <c r="I2970" i="58"/>
  <c r="J2970" i="58" s="1"/>
  <c r="H2970" i="58"/>
  <c r="P2969" i="58"/>
  <c r="O2969" i="58"/>
  <c r="L2969" i="58"/>
  <c r="I2969" i="58"/>
  <c r="J2969" i="58" s="1"/>
  <c r="H2969" i="58"/>
  <c r="P2968" i="58"/>
  <c r="O2968" i="58"/>
  <c r="L2968" i="58"/>
  <c r="I2968" i="58"/>
  <c r="J2968" i="58" s="1"/>
  <c r="H2968" i="58"/>
  <c r="P2967" i="58"/>
  <c r="O2967" i="58"/>
  <c r="L2967" i="58"/>
  <c r="I2967" i="58"/>
  <c r="J2967" i="58" s="1"/>
  <c r="H2967" i="58"/>
  <c r="P2966" i="58"/>
  <c r="O2966" i="58"/>
  <c r="L2966" i="58"/>
  <c r="I2966" i="58"/>
  <c r="J2966" i="58" s="1"/>
  <c r="H2966" i="58"/>
  <c r="P2965" i="58"/>
  <c r="O2965" i="58"/>
  <c r="L2965" i="58"/>
  <c r="I2965" i="58"/>
  <c r="J2965" i="58" s="1"/>
  <c r="H2965" i="58"/>
  <c r="P2964" i="58"/>
  <c r="O2964" i="58"/>
  <c r="L2964" i="58"/>
  <c r="I2964" i="58"/>
  <c r="J2964" i="58" s="1"/>
  <c r="H2964" i="58"/>
  <c r="P2963" i="58"/>
  <c r="O2963" i="58"/>
  <c r="L2963" i="58"/>
  <c r="I2963" i="58"/>
  <c r="J2963" i="58" s="1"/>
  <c r="H2963" i="58"/>
  <c r="P2962" i="58"/>
  <c r="O2962" i="58"/>
  <c r="L2962" i="58"/>
  <c r="I2962" i="58"/>
  <c r="J2962" i="58" s="1"/>
  <c r="H2962" i="58"/>
  <c r="P2961" i="58"/>
  <c r="O2961" i="58"/>
  <c r="L2961" i="58"/>
  <c r="I2961" i="58"/>
  <c r="J2961" i="58" s="1"/>
  <c r="H2961" i="58"/>
  <c r="P2960" i="58"/>
  <c r="O2960" i="58"/>
  <c r="L2960" i="58"/>
  <c r="I2960" i="58"/>
  <c r="J2960" i="58" s="1"/>
  <c r="H2960" i="58"/>
  <c r="P2959" i="58"/>
  <c r="O2959" i="58"/>
  <c r="L2959" i="58"/>
  <c r="I2959" i="58"/>
  <c r="J2959" i="58" s="1"/>
  <c r="H2959" i="58"/>
  <c r="P2958" i="58"/>
  <c r="O2958" i="58"/>
  <c r="L2958" i="58"/>
  <c r="I2958" i="58"/>
  <c r="J2958" i="58" s="1"/>
  <c r="H2958" i="58"/>
  <c r="P2957" i="58"/>
  <c r="O2957" i="58"/>
  <c r="L2957" i="58"/>
  <c r="I2957" i="58"/>
  <c r="J2957" i="58" s="1"/>
  <c r="H2957" i="58"/>
  <c r="P2956" i="58"/>
  <c r="O2956" i="58"/>
  <c r="L2956" i="58"/>
  <c r="I2956" i="58"/>
  <c r="J2956" i="58" s="1"/>
  <c r="H2956" i="58"/>
  <c r="P2955" i="58"/>
  <c r="O2955" i="58"/>
  <c r="L2955" i="58"/>
  <c r="I2955" i="58"/>
  <c r="J2955" i="58" s="1"/>
  <c r="H2955" i="58"/>
  <c r="P2954" i="58"/>
  <c r="O2954" i="58"/>
  <c r="L2954" i="58"/>
  <c r="I2954" i="58"/>
  <c r="J2954" i="58" s="1"/>
  <c r="H2954" i="58"/>
  <c r="P2953" i="58"/>
  <c r="O2953" i="58"/>
  <c r="L2953" i="58"/>
  <c r="I2953" i="58"/>
  <c r="J2953" i="58" s="1"/>
  <c r="H2953" i="58"/>
  <c r="P2952" i="58"/>
  <c r="O2952" i="58"/>
  <c r="L2952" i="58"/>
  <c r="I2952" i="58"/>
  <c r="J2952" i="58" s="1"/>
  <c r="H2952" i="58"/>
  <c r="P2951" i="58"/>
  <c r="O2951" i="58"/>
  <c r="L2951" i="58"/>
  <c r="I2951" i="58"/>
  <c r="J2951" i="58" s="1"/>
  <c r="H2951" i="58"/>
  <c r="P2950" i="58"/>
  <c r="O2950" i="58"/>
  <c r="L2950" i="58"/>
  <c r="I2950" i="58"/>
  <c r="J2950" i="58" s="1"/>
  <c r="H2950" i="58"/>
  <c r="P2949" i="58"/>
  <c r="O2949" i="58"/>
  <c r="L2949" i="58"/>
  <c r="I2949" i="58"/>
  <c r="J2949" i="58" s="1"/>
  <c r="H2949" i="58"/>
  <c r="P2948" i="58"/>
  <c r="O2948" i="58"/>
  <c r="L2948" i="58"/>
  <c r="I2948" i="58"/>
  <c r="J2948" i="58" s="1"/>
  <c r="H2948" i="58"/>
  <c r="P2947" i="58"/>
  <c r="O2947" i="58"/>
  <c r="L2947" i="58"/>
  <c r="I2947" i="58"/>
  <c r="J2947" i="58" s="1"/>
  <c r="H2947" i="58"/>
  <c r="P2946" i="58"/>
  <c r="O2946" i="58"/>
  <c r="L2946" i="58"/>
  <c r="I2946" i="58"/>
  <c r="J2946" i="58" s="1"/>
  <c r="H2946" i="58"/>
  <c r="P2945" i="58"/>
  <c r="O2945" i="58"/>
  <c r="L2945" i="58"/>
  <c r="I2945" i="58"/>
  <c r="J2945" i="58" s="1"/>
  <c r="H2945" i="58"/>
  <c r="P2944" i="58"/>
  <c r="O2944" i="58"/>
  <c r="L2944" i="58"/>
  <c r="I2944" i="58"/>
  <c r="J2944" i="58" s="1"/>
  <c r="H2944" i="58"/>
  <c r="P2943" i="58"/>
  <c r="O2943" i="58"/>
  <c r="L2943" i="58"/>
  <c r="I2943" i="58"/>
  <c r="J2943" i="58" s="1"/>
  <c r="H2943" i="58"/>
  <c r="P2942" i="58"/>
  <c r="O2942" i="58"/>
  <c r="L2942" i="58"/>
  <c r="I2942" i="58"/>
  <c r="J2942" i="58" s="1"/>
  <c r="H2942" i="58"/>
  <c r="P2941" i="58"/>
  <c r="O2941" i="58"/>
  <c r="L2941" i="58"/>
  <c r="I2941" i="58"/>
  <c r="J2941" i="58" s="1"/>
  <c r="H2941" i="58"/>
  <c r="P2940" i="58"/>
  <c r="O2940" i="58"/>
  <c r="L2940" i="58"/>
  <c r="I2940" i="58"/>
  <c r="J2940" i="58" s="1"/>
  <c r="H2940" i="58"/>
  <c r="P2939" i="58"/>
  <c r="O2939" i="58"/>
  <c r="L2939" i="58"/>
  <c r="I2939" i="58"/>
  <c r="J2939" i="58" s="1"/>
  <c r="H2939" i="58"/>
  <c r="P2938" i="58"/>
  <c r="O2938" i="58"/>
  <c r="L2938" i="58"/>
  <c r="I2938" i="58"/>
  <c r="J2938" i="58" s="1"/>
  <c r="H2938" i="58"/>
  <c r="P2937" i="58"/>
  <c r="O2937" i="58"/>
  <c r="L2937" i="58"/>
  <c r="I2937" i="58"/>
  <c r="J2937" i="58" s="1"/>
  <c r="H2937" i="58"/>
  <c r="P2936" i="58"/>
  <c r="O2936" i="58"/>
  <c r="L2936" i="58"/>
  <c r="I2936" i="58"/>
  <c r="J2936" i="58" s="1"/>
  <c r="H2936" i="58"/>
  <c r="P2935" i="58"/>
  <c r="O2935" i="58"/>
  <c r="L2935" i="58"/>
  <c r="I2935" i="58"/>
  <c r="J2935" i="58" s="1"/>
  <c r="H2935" i="58"/>
  <c r="P2934" i="58"/>
  <c r="O2934" i="58"/>
  <c r="L2934" i="58"/>
  <c r="I2934" i="58"/>
  <c r="J2934" i="58" s="1"/>
  <c r="H2934" i="58"/>
  <c r="P2933" i="58"/>
  <c r="O2933" i="58"/>
  <c r="L2933" i="58"/>
  <c r="I2933" i="58"/>
  <c r="J2933" i="58" s="1"/>
  <c r="H2933" i="58"/>
  <c r="P2932" i="58"/>
  <c r="O2932" i="58"/>
  <c r="L2932" i="58"/>
  <c r="I2932" i="58"/>
  <c r="J2932" i="58" s="1"/>
  <c r="H2932" i="58"/>
  <c r="P2931" i="58"/>
  <c r="O2931" i="58"/>
  <c r="L2931" i="58"/>
  <c r="I2931" i="58"/>
  <c r="J2931" i="58" s="1"/>
  <c r="H2931" i="58"/>
  <c r="P2930" i="58"/>
  <c r="O2930" i="58"/>
  <c r="L2930" i="58"/>
  <c r="I2930" i="58"/>
  <c r="J2930" i="58" s="1"/>
  <c r="H2930" i="58"/>
  <c r="P2929" i="58"/>
  <c r="O2929" i="58"/>
  <c r="L2929" i="58"/>
  <c r="I2929" i="58"/>
  <c r="J2929" i="58" s="1"/>
  <c r="H2929" i="58"/>
  <c r="P2928" i="58"/>
  <c r="O2928" i="58"/>
  <c r="L2928" i="58"/>
  <c r="I2928" i="58"/>
  <c r="J2928" i="58" s="1"/>
  <c r="H2928" i="58"/>
  <c r="P2927" i="58"/>
  <c r="O2927" i="58"/>
  <c r="L2927" i="58"/>
  <c r="I2927" i="58"/>
  <c r="J2927" i="58" s="1"/>
  <c r="H2927" i="58"/>
  <c r="P2926" i="58"/>
  <c r="O2926" i="58"/>
  <c r="L2926" i="58"/>
  <c r="I2926" i="58"/>
  <c r="J2926" i="58" s="1"/>
  <c r="H2926" i="58"/>
  <c r="P2925" i="58"/>
  <c r="O2925" i="58"/>
  <c r="L2925" i="58"/>
  <c r="I2925" i="58"/>
  <c r="J2925" i="58" s="1"/>
  <c r="H2925" i="58"/>
  <c r="P2924" i="58"/>
  <c r="O2924" i="58"/>
  <c r="L2924" i="58"/>
  <c r="I2924" i="58"/>
  <c r="J2924" i="58" s="1"/>
  <c r="H2924" i="58"/>
  <c r="P2923" i="58"/>
  <c r="O2923" i="58"/>
  <c r="L2923" i="58"/>
  <c r="I2923" i="58"/>
  <c r="J2923" i="58" s="1"/>
  <c r="H2923" i="58"/>
  <c r="P2922" i="58"/>
  <c r="O2922" i="58"/>
  <c r="L2922" i="58"/>
  <c r="I2922" i="58"/>
  <c r="J2922" i="58" s="1"/>
  <c r="H2922" i="58"/>
  <c r="P2921" i="58"/>
  <c r="O2921" i="58"/>
  <c r="L2921" i="58"/>
  <c r="I2921" i="58"/>
  <c r="J2921" i="58" s="1"/>
  <c r="H2921" i="58"/>
  <c r="P2920" i="58"/>
  <c r="O2920" i="58"/>
  <c r="L2920" i="58"/>
  <c r="I2920" i="58"/>
  <c r="J2920" i="58" s="1"/>
  <c r="H2920" i="58"/>
  <c r="P2919" i="58"/>
  <c r="O2919" i="58"/>
  <c r="L2919" i="58"/>
  <c r="I2919" i="58"/>
  <c r="J2919" i="58" s="1"/>
  <c r="H2919" i="58"/>
  <c r="P2918" i="58"/>
  <c r="O2918" i="58"/>
  <c r="L2918" i="58"/>
  <c r="I2918" i="58"/>
  <c r="J2918" i="58" s="1"/>
  <c r="H2918" i="58"/>
  <c r="P2917" i="58"/>
  <c r="O2917" i="58"/>
  <c r="L2917" i="58"/>
  <c r="I2917" i="58"/>
  <c r="J2917" i="58" s="1"/>
  <c r="H2917" i="58"/>
  <c r="P2916" i="58"/>
  <c r="O2916" i="58"/>
  <c r="L2916" i="58"/>
  <c r="I2916" i="58"/>
  <c r="J2916" i="58" s="1"/>
  <c r="H2916" i="58"/>
  <c r="P2915" i="58"/>
  <c r="O2915" i="58"/>
  <c r="L2915" i="58"/>
  <c r="I2915" i="58"/>
  <c r="J2915" i="58" s="1"/>
  <c r="H2915" i="58"/>
  <c r="P2914" i="58"/>
  <c r="O2914" i="58"/>
  <c r="L2914" i="58"/>
  <c r="I2914" i="58"/>
  <c r="J2914" i="58" s="1"/>
  <c r="H2914" i="58"/>
  <c r="P2913" i="58"/>
  <c r="O2913" i="58"/>
  <c r="L2913" i="58"/>
  <c r="I2913" i="58"/>
  <c r="J2913" i="58" s="1"/>
  <c r="H2913" i="58"/>
  <c r="P2912" i="58"/>
  <c r="O2912" i="58"/>
  <c r="L2912" i="58"/>
  <c r="I2912" i="58"/>
  <c r="J2912" i="58" s="1"/>
  <c r="H2912" i="58"/>
  <c r="P2911" i="58"/>
  <c r="O2911" i="58"/>
  <c r="L2911" i="58"/>
  <c r="I2911" i="58"/>
  <c r="J2911" i="58" s="1"/>
  <c r="H2911" i="58"/>
  <c r="P2910" i="58"/>
  <c r="O2910" i="58"/>
  <c r="L2910" i="58"/>
  <c r="I2910" i="58"/>
  <c r="J2910" i="58" s="1"/>
  <c r="H2910" i="58"/>
  <c r="P2909" i="58"/>
  <c r="O2909" i="58"/>
  <c r="L2909" i="58"/>
  <c r="I2909" i="58"/>
  <c r="J2909" i="58" s="1"/>
  <c r="H2909" i="58"/>
  <c r="P2908" i="58"/>
  <c r="O2908" i="58"/>
  <c r="L2908" i="58"/>
  <c r="I2908" i="58"/>
  <c r="J2908" i="58" s="1"/>
  <c r="H2908" i="58"/>
  <c r="P2907" i="58"/>
  <c r="O2907" i="58"/>
  <c r="L2907" i="58"/>
  <c r="I2907" i="58"/>
  <c r="J2907" i="58" s="1"/>
  <c r="H2907" i="58"/>
  <c r="P2906" i="58"/>
  <c r="O2906" i="58"/>
  <c r="L2906" i="58"/>
  <c r="I2906" i="58"/>
  <c r="J2906" i="58" s="1"/>
  <c r="H2906" i="58"/>
  <c r="P2905" i="58"/>
  <c r="O2905" i="58"/>
  <c r="L2905" i="58"/>
  <c r="I2905" i="58"/>
  <c r="J2905" i="58" s="1"/>
  <c r="H2905" i="58"/>
  <c r="P2904" i="58"/>
  <c r="O2904" i="58"/>
  <c r="L2904" i="58"/>
  <c r="I2904" i="58"/>
  <c r="J2904" i="58" s="1"/>
  <c r="H2904" i="58"/>
  <c r="P2903" i="58"/>
  <c r="O2903" i="58"/>
  <c r="L2903" i="58"/>
  <c r="I2903" i="58"/>
  <c r="J2903" i="58" s="1"/>
  <c r="H2903" i="58"/>
  <c r="P2902" i="58"/>
  <c r="O2902" i="58"/>
  <c r="L2902" i="58"/>
  <c r="I2902" i="58"/>
  <c r="J2902" i="58" s="1"/>
  <c r="H2902" i="58"/>
  <c r="P2901" i="58"/>
  <c r="O2901" i="58"/>
  <c r="L2901" i="58"/>
  <c r="I2901" i="58"/>
  <c r="J2901" i="58" s="1"/>
  <c r="H2901" i="58"/>
  <c r="P2900" i="58"/>
  <c r="O2900" i="58"/>
  <c r="L2900" i="58"/>
  <c r="I2900" i="58"/>
  <c r="J2900" i="58" s="1"/>
  <c r="H2900" i="58"/>
  <c r="P2899" i="58"/>
  <c r="O2899" i="58"/>
  <c r="L2899" i="58"/>
  <c r="I2899" i="58"/>
  <c r="J2899" i="58" s="1"/>
  <c r="H2899" i="58"/>
  <c r="P2898" i="58"/>
  <c r="O2898" i="58"/>
  <c r="L2898" i="58"/>
  <c r="I2898" i="58"/>
  <c r="J2898" i="58" s="1"/>
  <c r="H2898" i="58"/>
  <c r="P2897" i="58"/>
  <c r="O2897" i="58"/>
  <c r="L2897" i="58"/>
  <c r="I2897" i="58"/>
  <c r="J2897" i="58" s="1"/>
  <c r="H2897" i="58"/>
  <c r="P2896" i="58"/>
  <c r="O2896" i="58"/>
  <c r="L2896" i="58"/>
  <c r="I2896" i="58"/>
  <c r="J2896" i="58" s="1"/>
  <c r="H2896" i="58"/>
  <c r="P2895" i="58"/>
  <c r="O2895" i="58"/>
  <c r="L2895" i="58"/>
  <c r="I2895" i="58"/>
  <c r="J2895" i="58" s="1"/>
  <c r="H2895" i="58"/>
  <c r="P2894" i="58"/>
  <c r="O2894" i="58"/>
  <c r="L2894" i="58"/>
  <c r="I2894" i="58"/>
  <c r="J2894" i="58" s="1"/>
  <c r="H2894" i="58"/>
  <c r="P2893" i="58"/>
  <c r="O2893" i="58"/>
  <c r="L2893" i="58"/>
  <c r="I2893" i="58"/>
  <c r="J2893" i="58" s="1"/>
  <c r="H2893" i="58"/>
  <c r="P2892" i="58"/>
  <c r="O2892" i="58"/>
  <c r="L2892" i="58"/>
  <c r="I2892" i="58"/>
  <c r="J2892" i="58" s="1"/>
  <c r="H2892" i="58"/>
  <c r="P2891" i="58"/>
  <c r="O2891" i="58"/>
  <c r="L2891" i="58"/>
  <c r="I2891" i="58"/>
  <c r="J2891" i="58" s="1"/>
  <c r="H2891" i="58"/>
  <c r="P2890" i="58"/>
  <c r="O2890" i="58"/>
  <c r="L2890" i="58"/>
  <c r="I2890" i="58"/>
  <c r="J2890" i="58" s="1"/>
  <c r="H2890" i="58"/>
  <c r="P2889" i="58"/>
  <c r="O2889" i="58"/>
  <c r="L2889" i="58"/>
  <c r="I2889" i="58"/>
  <c r="J2889" i="58" s="1"/>
  <c r="H2889" i="58"/>
  <c r="P2888" i="58"/>
  <c r="O2888" i="58"/>
  <c r="L2888" i="58"/>
  <c r="I2888" i="58"/>
  <c r="J2888" i="58" s="1"/>
  <c r="H2888" i="58"/>
  <c r="P2887" i="58"/>
  <c r="O2887" i="58"/>
  <c r="L2887" i="58"/>
  <c r="I2887" i="58"/>
  <c r="J2887" i="58" s="1"/>
  <c r="H2887" i="58"/>
  <c r="P2886" i="58"/>
  <c r="O2886" i="58"/>
  <c r="L2886" i="58"/>
  <c r="I2886" i="58"/>
  <c r="J2886" i="58" s="1"/>
  <c r="H2886" i="58"/>
  <c r="P2885" i="58"/>
  <c r="O2885" i="58"/>
  <c r="L2885" i="58"/>
  <c r="I2885" i="58"/>
  <c r="J2885" i="58" s="1"/>
  <c r="H2885" i="58"/>
  <c r="P2884" i="58"/>
  <c r="O2884" i="58"/>
  <c r="L2884" i="58"/>
  <c r="I2884" i="58"/>
  <c r="J2884" i="58" s="1"/>
  <c r="H2884" i="58"/>
  <c r="P2883" i="58"/>
  <c r="O2883" i="58"/>
  <c r="L2883" i="58"/>
  <c r="I2883" i="58"/>
  <c r="J2883" i="58" s="1"/>
  <c r="H2883" i="58"/>
  <c r="P2882" i="58"/>
  <c r="O2882" i="58"/>
  <c r="L2882" i="58"/>
  <c r="I2882" i="58"/>
  <c r="J2882" i="58" s="1"/>
  <c r="H2882" i="58"/>
  <c r="P2881" i="58"/>
  <c r="O2881" i="58"/>
  <c r="L2881" i="58"/>
  <c r="I2881" i="58"/>
  <c r="J2881" i="58" s="1"/>
  <c r="H2881" i="58"/>
  <c r="P2880" i="58"/>
  <c r="O2880" i="58"/>
  <c r="L2880" i="58"/>
  <c r="I2880" i="58"/>
  <c r="J2880" i="58" s="1"/>
  <c r="H2880" i="58"/>
  <c r="P2879" i="58"/>
  <c r="O2879" i="58"/>
  <c r="L2879" i="58"/>
  <c r="I2879" i="58"/>
  <c r="J2879" i="58" s="1"/>
  <c r="H2879" i="58"/>
  <c r="P2878" i="58"/>
  <c r="O2878" i="58"/>
  <c r="L2878" i="58"/>
  <c r="I2878" i="58"/>
  <c r="J2878" i="58" s="1"/>
  <c r="H2878" i="58"/>
  <c r="P2877" i="58"/>
  <c r="O2877" i="58"/>
  <c r="L2877" i="58"/>
  <c r="I2877" i="58"/>
  <c r="J2877" i="58" s="1"/>
  <c r="H2877" i="58"/>
  <c r="P2876" i="58"/>
  <c r="O2876" i="58"/>
  <c r="L2876" i="58"/>
  <c r="I2876" i="58"/>
  <c r="J2876" i="58" s="1"/>
  <c r="H2876" i="58"/>
  <c r="P2875" i="58"/>
  <c r="O2875" i="58"/>
  <c r="L2875" i="58"/>
  <c r="I2875" i="58"/>
  <c r="J2875" i="58" s="1"/>
  <c r="H2875" i="58"/>
  <c r="P2874" i="58"/>
  <c r="O2874" i="58"/>
  <c r="L2874" i="58"/>
  <c r="I2874" i="58"/>
  <c r="J2874" i="58" s="1"/>
  <c r="H2874" i="58"/>
  <c r="P2873" i="58"/>
  <c r="O2873" i="58"/>
  <c r="L2873" i="58"/>
  <c r="I2873" i="58"/>
  <c r="J2873" i="58" s="1"/>
  <c r="H2873" i="58"/>
  <c r="P2872" i="58"/>
  <c r="O2872" i="58"/>
  <c r="L2872" i="58"/>
  <c r="I2872" i="58"/>
  <c r="J2872" i="58" s="1"/>
  <c r="H2872" i="58"/>
  <c r="P2871" i="58"/>
  <c r="O2871" i="58"/>
  <c r="L2871" i="58"/>
  <c r="I2871" i="58"/>
  <c r="J2871" i="58" s="1"/>
  <c r="H2871" i="58"/>
  <c r="P2870" i="58"/>
  <c r="O2870" i="58"/>
  <c r="L2870" i="58"/>
  <c r="I2870" i="58"/>
  <c r="J2870" i="58" s="1"/>
  <c r="H2870" i="58"/>
  <c r="P2869" i="58"/>
  <c r="O2869" i="58"/>
  <c r="L2869" i="58"/>
  <c r="I2869" i="58"/>
  <c r="J2869" i="58" s="1"/>
  <c r="H2869" i="58"/>
  <c r="P2868" i="58"/>
  <c r="O2868" i="58"/>
  <c r="L2868" i="58"/>
  <c r="I2868" i="58"/>
  <c r="J2868" i="58" s="1"/>
  <c r="H2868" i="58"/>
  <c r="P2867" i="58"/>
  <c r="O2867" i="58"/>
  <c r="L2867" i="58"/>
  <c r="I2867" i="58"/>
  <c r="J2867" i="58" s="1"/>
  <c r="H2867" i="58"/>
  <c r="P2866" i="58"/>
  <c r="O2866" i="58"/>
  <c r="L2866" i="58"/>
  <c r="I2866" i="58"/>
  <c r="J2866" i="58" s="1"/>
  <c r="H2866" i="58"/>
  <c r="P2865" i="58"/>
  <c r="O2865" i="58"/>
  <c r="L2865" i="58"/>
  <c r="I2865" i="58"/>
  <c r="J2865" i="58" s="1"/>
  <c r="H2865" i="58"/>
  <c r="P2864" i="58"/>
  <c r="O2864" i="58"/>
  <c r="L2864" i="58"/>
  <c r="I2864" i="58"/>
  <c r="J2864" i="58" s="1"/>
  <c r="H2864" i="58"/>
  <c r="P2863" i="58"/>
  <c r="O2863" i="58"/>
  <c r="L2863" i="58"/>
  <c r="I2863" i="58"/>
  <c r="J2863" i="58" s="1"/>
  <c r="H2863" i="58"/>
  <c r="P2862" i="58"/>
  <c r="O2862" i="58"/>
  <c r="L2862" i="58"/>
  <c r="I2862" i="58"/>
  <c r="J2862" i="58" s="1"/>
  <c r="H2862" i="58"/>
  <c r="P2861" i="58"/>
  <c r="O2861" i="58"/>
  <c r="L2861" i="58"/>
  <c r="I2861" i="58"/>
  <c r="J2861" i="58" s="1"/>
  <c r="H2861" i="58"/>
  <c r="P2860" i="58"/>
  <c r="O2860" i="58"/>
  <c r="L2860" i="58"/>
  <c r="I2860" i="58"/>
  <c r="J2860" i="58" s="1"/>
  <c r="H2860" i="58"/>
  <c r="P2859" i="58"/>
  <c r="O2859" i="58"/>
  <c r="L2859" i="58"/>
  <c r="I2859" i="58"/>
  <c r="J2859" i="58" s="1"/>
  <c r="H2859" i="58"/>
  <c r="P2858" i="58"/>
  <c r="O2858" i="58"/>
  <c r="L2858" i="58"/>
  <c r="I2858" i="58"/>
  <c r="J2858" i="58" s="1"/>
  <c r="H2858" i="58"/>
  <c r="P2857" i="58"/>
  <c r="O2857" i="58"/>
  <c r="L2857" i="58"/>
  <c r="I2857" i="58"/>
  <c r="J2857" i="58" s="1"/>
  <c r="H2857" i="58"/>
  <c r="P2856" i="58"/>
  <c r="O2856" i="58"/>
  <c r="L2856" i="58"/>
  <c r="I2856" i="58"/>
  <c r="J2856" i="58" s="1"/>
  <c r="H2856" i="58"/>
  <c r="P2855" i="58"/>
  <c r="O2855" i="58"/>
  <c r="L2855" i="58"/>
  <c r="I2855" i="58"/>
  <c r="J2855" i="58" s="1"/>
  <c r="H2855" i="58"/>
  <c r="P2854" i="58"/>
  <c r="O2854" i="58"/>
  <c r="L2854" i="58"/>
  <c r="I2854" i="58"/>
  <c r="J2854" i="58" s="1"/>
  <c r="H2854" i="58"/>
  <c r="P2853" i="58"/>
  <c r="O2853" i="58"/>
  <c r="L2853" i="58"/>
  <c r="I2853" i="58"/>
  <c r="J2853" i="58" s="1"/>
  <c r="H2853" i="58"/>
  <c r="P2852" i="58"/>
  <c r="O2852" i="58"/>
  <c r="L2852" i="58"/>
  <c r="I2852" i="58"/>
  <c r="J2852" i="58" s="1"/>
  <c r="H2852" i="58"/>
  <c r="P2851" i="58"/>
  <c r="O2851" i="58"/>
  <c r="L2851" i="58"/>
  <c r="I2851" i="58"/>
  <c r="J2851" i="58" s="1"/>
  <c r="H2851" i="58"/>
  <c r="P2850" i="58"/>
  <c r="O2850" i="58"/>
  <c r="L2850" i="58"/>
  <c r="I2850" i="58"/>
  <c r="J2850" i="58" s="1"/>
  <c r="H2850" i="58"/>
  <c r="P2849" i="58"/>
  <c r="O2849" i="58"/>
  <c r="L2849" i="58"/>
  <c r="I2849" i="58"/>
  <c r="J2849" i="58" s="1"/>
  <c r="H2849" i="58"/>
  <c r="P2848" i="58"/>
  <c r="O2848" i="58"/>
  <c r="L2848" i="58"/>
  <c r="I2848" i="58"/>
  <c r="J2848" i="58" s="1"/>
  <c r="H2848" i="58"/>
  <c r="P2847" i="58"/>
  <c r="O2847" i="58"/>
  <c r="L2847" i="58"/>
  <c r="I2847" i="58"/>
  <c r="J2847" i="58" s="1"/>
  <c r="H2847" i="58"/>
  <c r="P2846" i="58"/>
  <c r="O2846" i="58"/>
  <c r="L2846" i="58"/>
  <c r="I2846" i="58"/>
  <c r="J2846" i="58" s="1"/>
  <c r="H2846" i="58"/>
  <c r="P2845" i="58"/>
  <c r="O2845" i="58"/>
  <c r="L2845" i="58"/>
  <c r="I2845" i="58"/>
  <c r="J2845" i="58" s="1"/>
  <c r="H2845" i="58"/>
  <c r="P2844" i="58"/>
  <c r="O2844" i="58"/>
  <c r="L2844" i="58"/>
  <c r="I2844" i="58"/>
  <c r="J2844" i="58" s="1"/>
  <c r="H2844" i="58"/>
  <c r="P2843" i="58"/>
  <c r="O2843" i="58"/>
  <c r="L2843" i="58"/>
  <c r="I2843" i="58"/>
  <c r="J2843" i="58" s="1"/>
  <c r="H2843" i="58"/>
  <c r="P2842" i="58"/>
  <c r="O2842" i="58"/>
  <c r="L2842" i="58"/>
  <c r="I2842" i="58"/>
  <c r="J2842" i="58" s="1"/>
  <c r="H2842" i="58"/>
  <c r="P2841" i="58"/>
  <c r="O2841" i="58"/>
  <c r="L2841" i="58"/>
  <c r="I2841" i="58"/>
  <c r="J2841" i="58" s="1"/>
  <c r="H2841" i="58"/>
  <c r="P2840" i="58"/>
  <c r="O2840" i="58"/>
  <c r="L2840" i="58"/>
  <c r="I2840" i="58"/>
  <c r="J2840" i="58" s="1"/>
  <c r="H2840" i="58"/>
  <c r="P2839" i="58"/>
  <c r="O2839" i="58"/>
  <c r="L2839" i="58"/>
  <c r="I2839" i="58"/>
  <c r="J2839" i="58" s="1"/>
  <c r="H2839" i="58"/>
  <c r="P2838" i="58"/>
  <c r="O2838" i="58"/>
  <c r="L2838" i="58"/>
  <c r="I2838" i="58"/>
  <c r="J2838" i="58" s="1"/>
  <c r="H2838" i="58"/>
  <c r="P2837" i="58"/>
  <c r="O2837" i="58"/>
  <c r="L2837" i="58"/>
  <c r="I2837" i="58"/>
  <c r="J2837" i="58" s="1"/>
  <c r="H2837" i="58"/>
  <c r="P2836" i="58"/>
  <c r="O2836" i="58"/>
  <c r="L2836" i="58"/>
  <c r="I2836" i="58"/>
  <c r="J2836" i="58" s="1"/>
  <c r="H2836" i="58"/>
  <c r="P2835" i="58"/>
  <c r="O2835" i="58"/>
  <c r="L2835" i="58"/>
  <c r="I2835" i="58"/>
  <c r="J2835" i="58" s="1"/>
  <c r="H2835" i="58"/>
  <c r="P2834" i="58"/>
  <c r="O2834" i="58"/>
  <c r="L2834" i="58"/>
  <c r="I2834" i="58"/>
  <c r="J2834" i="58" s="1"/>
  <c r="H2834" i="58"/>
  <c r="P2833" i="58"/>
  <c r="O2833" i="58"/>
  <c r="L2833" i="58"/>
  <c r="I2833" i="58"/>
  <c r="J2833" i="58" s="1"/>
  <c r="H2833" i="58"/>
  <c r="P2832" i="58"/>
  <c r="O2832" i="58"/>
  <c r="L2832" i="58"/>
  <c r="I2832" i="58"/>
  <c r="J2832" i="58" s="1"/>
  <c r="H2832" i="58"/>
  <c r="P2831" i="58"/>
  <c r="O2831" i="58"/>
  <c r="L2831" i="58"/>
  <c r="I2831" i="58"/>
  <c r="J2831" i="58" s="1"/>
  <c r="H2831" i="58"/>
  <c r="P2830" i="58"/>
  <c r="O2830" i="58"/>
  <c r="L2830" i="58"/>
  <c r="I2830" i="58"/>
  <c r="J2830" i="58" s="1"/>
  <c r="H2830" i="58"/>
  <c r="P2829" i="58"/>
  <c r="O2829" i="58"/>
  <c r="L2829" i="58"/>
  <c r="I2829" i="58"/>
  <c r="J2829" i="58" s="1"/>
  <c r="H2829" i="58"/>
  <c r="P2828" i="58"/>
  <c r="O2828" i="58"/>
  <c r="L2828" i="58"/>
  <c r="I2828" i="58"/>
  <c r="J2828" i="58" s="1"/>
  <c r="H2828" i="58"/>
  <c r="P2827" i="58"/>
  <c r="O2827" i="58"/>
  <c r="L2827" i="58"/>
  <c r="I2827" i="58"/>
  <c r="J2827" i="58" s="1"/>
  <c r="H2827" i="58"/>
  <c r="P2826" i="58"/>
  <c r="O2826" i="58"/>
  <c r="L2826" i="58"/>
  <c r="I2826" i="58"/>
  <c r="J2826" i="58" s="1"/>
  <c r="H2826" i="58"/>
  <c r="P2825" i="58"/>
  <c r="O2825" i="58"/>
  <c r="L2825" i="58"/>
  <c r="I2825" i="58"/>
  <c r="J2825" i="58" s="1"/>
  <c r="H2825" i="58"/>
  <c r="P2824" i="58"/>
  <c r="O2824" i="58"/>
  <c r="L2824" i="58"/>
  <c r="I2824" i="58"/>
  <c r="J2824" i="58" s="1"/>
  <c r="H2824" i="58"/>
  <c r="P2823" i="58"/>
  <c r="O2823" i="58"/>
  <c r="L2823" i="58"/>
  <c r="I2823" i="58"/>
  <c r="J2823" i="58" s="1"/>
  <c r="H2823" i="58"/>
  <c r="P2822" i="58"/>
  <c r="O2822" i="58"/>
  <c r="L2822" i="58"/>
  <c r="I2822" i="58"/>
  <c r="J2822" i="58" s="1"/>
  <c r="H2822" i="58"/>
  <c r="P2821" i="58"/>
  <c r="O2821" i="58"/>
  <c r="L2821" i="58"/>
  <c r="I2821" i="58"/>
  <c r="J2821" i="58" s="1"/>
  <c r="H2821" i="58"/>
  <c r="P2820" i="58"/>
  <c r="O2820" i="58"/>
  <c r="L2820" i="58"/>
  <c r="I2820" i="58"/>
  <c r="J2820" i="58" s="1"/>
  <c r="H2820" i="58"/>
  <c r="P2819" i="58"/>
  <c r="O2819" i="58"/>
  <c r="L2819" i="58"/>
  <c r="I2819" i="58"/>
  <c r="J2819" i="58" s="1"/>
  <c r="H2819" i="58"/>
  <c r="P2818" i="58"/>
  <c r="O2818" i="58"/>
  <c r="L2818" i="58"/>
  <c r="I2818" i="58"/>
  <c r="J2818" i="58" s="1"/>
  <c r="H2818" i="58"/>
  <c r="P2817" i="58"/>
  <c r="O2817" i="58"/>
  <c r="L2817" i="58"/>
  <c r="I2817" i="58"/>
  <c r="J2817" i="58" s="1"/>
  <c r="H2817" i="58"/>
  <c r="P2816" i="58"/>
  <c r="O2816" i="58"/>
  <c r="L2816" i="58"/>
  <c r="I2816" i="58"/>
  <c r="J2816" i="58" s="1"/>
  <c r="H2816" i="58"/>
  <c r="P2815" i="58"/>
  <c r="O2815" i="58"/>
  <c r="L2815" i="58"/>
  <c r="I2815" i="58"/>
  <c r="J2815" i="58" s="1"/>
  <c r="H2815" i="58"/>
  <c r="P2814" i="58"/>
  <c r="O2814" i="58"/>
  <c r="L2814" i="58"/>
  <c r="I2814" i="58"/>
  <c r="J2814" i="58" s="1"/>
  <c r="H2814" i="58"/>
  <c r="P2813" i="58"/>
  <c r="O2813" i="58"/>
  <c r="L2813" i="58"/>
  <c r="I2813" i="58"/>
  <c r="J2813" i="58" s="1"/>
  <c r="H2813" i="58"/>
  <c r="P2812" i="58"/>
  <c r="O2812" i="58"/>
  <c r="L2812" i="58"/>
  <c r="I2812" i="58"/>
  <c r="J2812" i="58" s="1"/>
  <c r="H2812" i="58"/>
  <c r="P2811" i="58"/>
  <c r="O2811" i="58"/>
  <c r="L2811" i="58"/>
  <c r="I2811" i="58"/>
  <c r="J2811" i="58" s="1"/>
  <c r="H2811" i="58"/>
  <c r="P2810" i="58"/>
  <c r="O2810" i="58"/>
  <c r="L2810" i="58"/>
  <c r="I2810" i="58"/>
  <c r="J2810" i="58" s="1"/>
  <c r="H2810" i="58"/>
  <c r="P2809" i="58"/>
  <c r="O2809" i="58"/>
  <c r="L2809" i="58"/>
  <c r="I2809" i="58"/>
  <c r="J2809" i="58" s="1"/>
  <c r="H2809" i="58"/>
  <c r="P2808" i="58"/>
  <c r="O2808" i="58"/>
  <c r="L2808" i="58"/>
  <c r="I2808" i="58"/>
  <c r="J2808" i="58" s="1"/>
  <c r="H2808" i="58"/>
  <c r="P2807" i="58"/>
  <c r="O2807" i="58"/>
  <c r="L2807" i="58"/>
  <c r="I2807" i="58"/>
  <c r="J2807" i="58" s="1"/>
  <c r="H2807" i="58"/>
  <c r="P2806" i="58"/>
  <c r="O2806" i="58"/>
  <c r="L2806" i="58"/>
  <c r="I2806" i="58"/>
  <c r="J2806" i="58" s="1"/>
  <c r="H2806" i="58"/>
  <c r="P2805" i="58"/>
  <c r="O2805" i="58"/>
  <c r="L2805" i="58"/>
  <c r="I2805" i="58"/>
  <c r="J2805" i="58" s="1"/>
  <c r="H2805" i="58"/>
  <c r="P2804" i="58"/>
  <c r="O2804" i="58"/>
  <c r="L2804" i="58"/>
  <c r="I2804" i="58"/>
  <c r="J2804" i="58" s="1"/>
  <c r="H2804" i="58"/>
  <c r="P2803" i="58"/>
  <c r="O2803" i="58"/>
  <c r="L2803" i="58"/>
  <c r="I2803" i="58"/>
  <c r="J2803" i="58" s="1"/>
  <c r="H2803" i="58"/>
  <c r="P2802" i="58"/>
  <c r="O2802" i="58"/>
  <c r="L2802" i="58"/>
  <c r="I2802" i="58"/>
  <c r="J2802" i="58" s="1"/>
  <c r="H2802" i="58"/>
  <c r="P2801" i="58"/>
  <c r="O2801" i="58"/>
  <c r="L2801" i="58"/>
  <c r="I2801" i="58"/>
  <c r="J2801" i="58" s="1"/>
  <c r="H2801" i="58"/>
  <c r="P2800" i="58"/>
  <c r="O2800" i="58"/>
  <c r="L2800" i="58"/>
  <c r="I2800" i="58"/>
  <c r="J2800" i="58" s="1"/>
  <c r="H2800" i="58"/>
  <c r="P2799" i="58"/>
  <c r="O2799" i="58"/>
  <c r="L2799" i="58"/>
  <c r="I2799" i="58"/>
  <c r="J2799" i="58" s="1"/>
  <c r="H2799" i="58"/>
  <c r="P2798" i="58"/>
  <c r="O2798" i="58"/>
  <c r="L2798" i="58"/>
  <c r="I2798" i="58"/>
  <c r="J2798" i="58" s="1"/>
  <c r="H2798" i="58"/>
  <c r="P2797" i="58"/>
  <c r="O2797" i="58"/>
  <c r="L2797" i="58"/>
  <c r="I2797" i="58"/>
  <c r="J2797" i="58" s="1"/>
  <c r="H2797" i="58"/>
  <c r="P2796" i="58"/>
  <c r="O2796" i="58"/>
  <c r="L2796" i="58"/>
  <c r="I2796" i="58"/>
  <c r="J2796" i="58" s="1"/>
  <c r="H2796" i="58"/>
  <c r="P2795" i="58"/>
  <c r="O2795" i="58"/>
  <c r="L2795" i="58"/>
  <c r="I2795" i="58"/>
  <c r="J2795" i="58" s="1"/>
  <c r="H2795" i="58"/>
  <c r="P2794" i="58"/>
  <c r="O2794" i="58"/>
  <c r="L2794" i="58"/>
  <c r="I2794" i="58"/>
  <c r="J2794" i="58" s="1"/>
  <c r="H2794" i="58"/>
  <c r="P2793" i="58"/>
  <c r="O2793" i="58"/>
  <c r="L2793" i="58"/>
  <c r="I2793" i="58"/>
  <c r="J2793" i="58" s="1"/>
  <c r="H2793" i="58"/>
  <c r="P2792" i="58"/>
  <c r="O2792" i="58"/>
  <c r="L2792" i="58"/>
  <c r="I2792" i="58"/>
  <c r="J2792" i="58" s="1"/>
  <c r="H2792" i="58"/>
  <c r="P2791" i="58"/>
  <c r="O2791" i="58"/>
  <c r="L2791" i="58"/>
  <c r="I2791" i="58"/>
  <c r="J2791" i="58" s="1"/>
  <c r="H2791" i="58"/>
  <c r="P2790" i="58"/>
  <c r="O2790" i="58"/>
  <c r="L2790" i="58"/>
  <c r="I2790" i="58"/>
  <c r="J2790" i="58" s="1"/>
  <c r="H2790" i="58"/>
  <c r="P2789" i="58"/>
  <c r="O2789" i="58"/>
  <c r="L2789" i="58"/>
  <c r="I2789" i="58"/>
  <c r="J2789" i="58" s="1"/>
  <c r="H2789" i="58"/>
  <c r="P2788" i="58"/>
  <c r="O2788" i="58"/>
  <c r="L2788" i="58"/>
  <c r="I2788" i="58"/>
  <c r="J2788" i="58" s="1"/>
  <c r="H2788" i="58"/>
  <c r="P2787" i="58"/>
  <c r="O2787" i="58"/>
  <c r="L2787" i="58"/>
  <c r="I2787" i="58"/>
  <c r="J2787" i="58" s="1"/>
  <c r="H2787" i="58"/>
  <c r="P2786" i="58"/>
  <c r="O2786" i="58"/>
  <c r="L2786" i="58"/>
  <c r="I2786" i="58"/>
  <c r="J2786" i="58" s="1"/>
  <c r="H2786" i="58"/>
  <c r="P2785" i="58"/>
  <c r="O2785" i="58"/>
  <c r="L2785" i="58"/>
  <c r="I2785" i="58"/>
  <c r="J2785" i="58" s="1"/>
  <c r="H2785" i="58"/>
  <c r="P2784" i="58"/>
  <c r="O2784" i="58"/>
  <c r="L2784" i="58"/>
  <c r="I2784" i="58"/>
  <c r="J2784" i="58" s="1"/>
  <c r="H2784" i="58"/>
  <c r="P2783" i="58"/>
  <c r="O2783" i="58"/>
  <c r="L2783" i="58"/>
  <c r="I2783" i="58"/>
  <c r="J2783" i="58" s="1"/>
  <c r="H2783" i="58"/>
  <c r="P2782" i="58"/>
  <c r="O2782" i="58"/>
  <c r="L2782" i="58"/>
  <c r="I2782" i="58"/>
  <c r="J2782" i="58" s="1"/>
  <c r="H2782" i="58"/>
  <c r="P2781" i="58"/>
  <c r="O2781" i="58"/>
  <c r="L2781" i="58"/>
  <c r="I2781" i="58"/>
  <c r="J2781" i="58" s="1"/>
  <c r="H2781" i="58"/>
  <c r="P2780" i="58"/>
  <c r="O2780" i="58"/>
  <c r="L2780" i="58"/>
  <c r="I2780" i="58"/>
  <c r="J2780" i="58" s="1"/>
  <c r="H2780" i="58"/>
  <c r="P2779" i="58"/>
  <c r="O2779" i="58"/>
  <c r="L2779" i="58"/>
  <c r="I2779" i="58"/>
  <c r="J2779" i="58" s="1"/>
  <c r="H2779" i="58"/>
  <c r="P2778" i="58"/>
  <c r="O2778" i="58"/>
  <c r="L2778" i="58"/>
  <c r="I2778" i="58"/>
  <c r="J2778" i="58" s="1"/>
  <c r="H2778" i="58"/>
  <c r="P2777" i="58"/>
  <c r="O2777" i="58"/>
  <c r="L2777" i="58"/>
  <c r="I2777" i="58"/>
  <c r="J2777" i="58" s="1"/>
  <c r="H2777" i="58"/>
  <c r="P2776" i="58"/>
  <c r="O2776" i="58"/>
  <c r="L2776" i="58"/>
  <c r="I2776" i="58"/>
  <c r="J2776" i="58" s="1"/>
  <c r="H2776" i="58"/>
  <c r="P2775" i="58"/>
  <c r="O2775" i="58"/>
  <c r="L2775" i="58"/>
  <c r="I2775" i="58"/>
  <c r="J2775" i="58" s="1"/>
  <c r="H2775" i="58"/>
  <c r="P2774" i="58"/>
  <c r="O2774" i="58"/>
  <c r="L2774" i="58"/>
  <c r="I2774" i="58"/>
  <c r="J2774" i="58" s="1"/>
  <c r="H2774" i="58"/>
  <c r="P2773" i="58"/>
  <c r="O2773" i="58"/>
  <c r="L2773" i="58"/>
  <c r="I2773" i="58"/>
  <c r="J2773" i="58" s="1"/>
  <c r="H2773" i="58"/>
  <c r="P2772" i="58"/>
  <c r="O2772" i="58"/>
  <c r="L2772" i="58"/>
  <c r="I2772" i="58"/>
  <c r="J2772" i="58" s="1"/>
  <c r="H2772" i="58"/>
  <c r="P2771" i="58"/>
  <c r="O2771" i="58"/>
  <c r="L2771" i="58"/>
  <c r="I2771" i="58"/>
  <c r="J2771" i="58" s="1"/>
  <c r="H2771" i="58"/>
  <c r="P2770" i="58"/>
  <c r="O2770" i="58"/>
  <c r="L2770" i="58"/>
  <c r="I2770" i="58"/>
  <c r="J2770" i="58" s="1"/>
  <c r="H2770" i="58"/>
  <c r="P2769" i="58"/>
  <c r="O2769" i="58"/>
  <c r="L2769" i="58"/>
  <c r="I2769" i="58"/>
  <c r="J2769" i="58" s="1"/>
  <c r="H2769" i="58"/>
  <c r="P2768" i="58"/>
  <c r="O2768" i="58"/>
  <c r="L2768" i="58"/>
  <c r="I2768" i="58"/>
  <c r="J2768" i="58" s="1"/>
  <c r="H2768" i="58"/>
  <c r="P2767" i="58"/>
  <c r="O2767" i="58"/>
  <c r="L2767" i="58"/>
  <c r="I2767" i="58"/>
  <c r="J2767" i="58" s="1"/>
  <c r="H2767" i="58"/>
  <c r="P2766" i="58"/>
  <c r="O2766" i="58"/>
  <c r="L2766" i="58"/>
  <c r="I2766" i="58"/>
  <c r="J2766" i="58" s="1"/>
  <c r="H2766" i="58"/>
  <c r="P2765" i="58"/>
  <c r="O2765" i="58"/>
  <c r="L2765" i="58"/>
  <c r="I2765" i="58"/>
  <c r="J2765" i="58" s="1"/>
  <c r="H2765" i="58"/>
  <c r="P2764" i="58"/>
  <c r="O2764" i="58"/>
  <c r="L2764" i="58"/>
  <c r="I2764" i="58"/>
  <c r="J2764" i="58" s="1"/>
  <c r="H2764" i="58"/>
  <c r="P2763" i="58"/>
  <c r="O2763" i="58"/>
  <c r="L2763" i="58"/>
  <c r="I2763" i="58"/>
  <c r="J2763" i="58" s="1"/>
  <c r="H2763" i="58"/>
  <c r="P2762" i="58"/>
  <c r="O2762" i="58"/>
  <c r="L2762" i="58"/>
  <c r="I2762" i="58"/>
  <c r="J2762" i="58" s="1"/>
  <c r="H2762" i="58"/>
  <c r="P2761" i="58"/>
  <c r="O2761" i="58"/>
  <c r="L2761" i="58"/>
  <c r="I2761" i="58"/>
  <c r="J2761" i="58" s="1"/>
  <c r="H2761" i="58"/>
  <c r="P2760" i="58"/>
  <c r="O2760" i="58"/>
  <c r="L2760" i="58"/>
  <c r="I2760" i="58"/>
  <c r="J2760" i="58" s="1"/>
  <c r="H2760" i="58"/>
  <c r="P2759" i="58"/>
  <c r="O2759" i="58"/>
  <c r="L2759" i="58"/>
  <c r="I2759" i="58"/>
  <c r="J2759" i="58" s="1"/>
  <c r="H2759" i="58"/>
  <c r="P2758" i="58"/>
  <c r="O2758" i="58"/>
  <c r="L2758" i="58"/>
  <c r="I2758" i="58"/>
  <c r="J2758" i="58" s="1"/>
  <c r="H2758" i="58"/>
  <c r="P2757" i="58"/>
  <c r="O2757" i="58"/>
  <c r="L2757" i="58"/>
  <c r="I2757" i="58"/>
  <c r="J2757" i="58" s="1"/>
  <c r="H2757" i="58"/>
  <c r="P2756" i="58"/>
  <c r="O2756" i="58"/>
  <c r="L2756" i="58"/>
  <c r="I2756" i="58"/>
  <c r="J2756" i="58" s="1"/>
  <c r="H2756" i="58"/>
  <c r="P2755" i="58"/>
  <c r="O2755" i="58"/>
  <c r="L2755" i="58"/>
  <c r="I2755" i="58"/>
  <c r="J2755" i="58" s="1"/>
  <c r="H2755" i="58"/>
  <c r="P2754" i="58"/>
  <c r="O2754" i="58"/>
  <c r="L2754" i="58"/>
  <c r="I2754" i="58"/>
  <c r="J2754" i="58" s="1"/>
  <c r="H2754" i="58"/>
  <c r="P2753" i="58"/>
  <c r="O2753" i="58"/>
  <c r="L2753" i="58"/>
  <c r="I2753" i="58"/>
  <c r="J2753" i="58" s="1"/>
  <c r="H2753" i="58"/>
  <c r="P2752" i="58"/>
  <c r="O2752" i="58"/>
  <c r="L2752" i="58"/>
  <c r="I2752" i="58"/>
  <c r="J2752" i="58" s="1"/>
  <c r="H2752" i="58"/>
  <c r="P2751" i="58"/>
  <c r="O2751" i="58"/>
  <c r="L2751" i="58"/>
  <c r="I2751" i="58"/>
  <c r="J2751" i="58" s="1"/>
  <c r="H2751" i="58"/>
  <c r="P2750" i="58"/>
  <c r="O2750" i="58"/>
  <c r="L2750" i="58"/>
  <c r="I2750" i="58"/>
  <c r="J2750" i="58" s="1"/>
  <c r="H2750" i="58"/>
  <c r="P2749" i="58"/>
  <c r="O2749" i="58"/>
  <c r="L2749" i="58"/>
  <c r="I2749" i="58"/>
  <c r="J2749" i="58" s="1"/>
  <c r="H2749" i="58"/>
  <c r="P2748" i="58"/>
  <c r="O2748" i="58"/>
  <c r="L2748" i="58"/>
  <c r="I2748" i="58"/>
  <c r="J2748" i="58" s="1"/>
  <c r="H2748" i="58"/>
  <c r="P2747" i="58"/>
  <c r="O2747" i="58"/>
  <c r="L2747" i="58"/>
  <c r="I2747" i="58"/>
  <c r="J2747" i="58" s="1"/>
  <c r="H2747" i="58"/>
  <c r="P2746" i="58"/>
  <c r="O2746" i="58"/>
  <c r="L2746" i="58"/>
  <c r="I2746" i="58"/>
  <c r="J2746" i="58" s="1"/>
  <c r="H2746" i="58"/>
  <c r="P2745" i="58"/>
  <c r="O2745" i="58"/>
  <c r="L2745" i="58"/>
  <c r="I2745" i="58"/>
  <c r="J2745" i="58" s="1"/>
  <c r="H2745" i="58"/>
  <c r="P2744" i="58"/>
  <c r="O2744" i="58"/>
  <c r="L2744" i="58"/>
  <c r="I2744" i="58"/>
  <c r="J2744" i="58" s="1"/>
  <c r="H2744" i="58"/>
  <c r="P2743" i="58"/>
  <c r="O2743" i="58"/>
  <c r="L2743" i="58"/>
  <c r="I2743" i="58"/>
  <c r="J2743" i="58" s="1"/>
  <c r="H2743" i="58"/>
  <c r="P2742" i="58"/>
  <c r="O2742" i="58"/>
  <c r="L2742" i="58"/>
  <c r="I2742" i="58"/>
  <c r="J2742" i="58" s="1"/>
  <c r="H2742" i="58"/>
  <c r="P2741" i="58"/>
  <c r="O2741" i="58"/>
  <c r="L2741" i="58"/>
  <c r="I2741" i="58"/>
  <c r="J2741" i="58" s="1"/>
  <c r="H2741" i="58"/>
  <c r="P2740" i="58"/>
  <c r="O2740" i="58"/>
  <c r="L2740" i="58"/>
  <c r="I2740" i="58"/>
  <c r="J2740" i="58" s="1"/>
  <c r="H2740" i="58"/>
  <c r="P2739" i="58"/>
  <c r="O2739" i="58"/>
  <c r="L2739" i="58"/>
  <c r="I2739" i="58"/>
  <c r="J2739" i="58" s="1"/>
  <c r="H2739" i="58"/>
  <c r="P2738" i="58"/>
  <c r="O2738" i="58"/>
  <c r="L2738" i="58"/>
  <c r="I2738" i="58"/>
  <c r="J2738" i="58" s="1"/>
  <c r="H2738" i="58"/>
  <c r="P2737" i="58"/>
  <c r="O2737" i="58"/>
  <c r="L2737" i="58"/>
  <c r="I2737" i="58"/>
  <c r="J2737" i="58" s="1"/>
  <c r="H2737" i="58"/>
  <c r="P2736" i="58"/>
  <c r="O2736" i="58"/>
  <c r="L2736" i="58"/>
  <c r="I2736" i="58"/>
  <c r="J2736" i="58" s="1"/>
  <c r="H2736" i="58"/>
  <c r="P2735" i="58"/>
  <c r="O2735" i="58"/>
  <c r="L2735" i="58"/>
  <c r="I2735" i="58"/>
  <c r="J2735" i="58" s="1"/>
  <c r="H2735" i="58"/>
  <c r="P2734" i="58"/>
  <c r="O2734" i="58"/>
  <c r="L2734" i="58"/>
  <c r="I2734" i="58"/>
  <c r="J2734" i="58" s="1"/>
  <c r="H2734" i="58"/>
  <c r="P2733" i="58"/>
  <c r="O2733" i="58"/>
  <c r="L2733" i="58"/>
  <c r="I2733" i="58"/>
  <c r="J2733" i="58" s="1"/>
  <c r="H2733" i="58"/>
  <c r="P2732" i="58"/>
  <c r="O2732" i="58"/>
  <c r="L2732" i="58"/>
  <c r="I2732" i="58"/>
  <c r="J2732" i="58" s="1"/>
  <c r="H2732" i="58"/>
  <c r="P2731" i="58"/>
  <c r="O2731" i="58"/>
  <c r="L2731" i="58"/>
  <c r="I2731" i="58"/>
  <c r="J2731" i="58" s="1"/>
  <c r="H2731" i="58"/>
  <c r="P2730" i="58"/>
  <c r="O2730" i="58"/>
  <c r="L2730" i="58"/>
  <c r="I2730" i="58"/>
  <c r="J2730" i="58" s="1"/>
  <c r="H2730" i="58"/>
  <c r="P2729" i="58"/>
  <c r="O2729" i="58"/>
  <c r="L2729" i="58"/>
  <c r="I2729" i="58"/>
  <c r="J2729" i="58" s="1"/>
  <c r="H2729" i="58"/>
  <c r="P2728" i="58"/>
  <c r="O2728" i="58"/>
  <c r="L2728" i="58"/>
  <c r="I2728" i="58"/>
  <c r="J2728" i="58" s="1"/>
  <c r="H2728" i="58"/>
  <c r="P2727" i="58"/>
  <c r="O2727" i="58"/>
  <c r="L2727" i="58"/>
  <c r="I2727" i="58"/>
  <c r="J2727" i="58" s="1"/>
  <c r="H2727" i="58"/>
  <c r="P2726" i="58"/>
  <c r="O2726" i="58"/>
  <c r="L2726" i="58"/>
  <c r="I2726" i="58"/>
  <c r="J2726" i="58" s="1"/>
  <c r="H2726" i="58"/>
  <c r="P2725" i="58"/>
  <c r="O2725" i="58"/>
  <c r="L2725" i="58"/>
  <c r="I2725" i="58"/>
  <c r="J2725" i="58" s="1"/>
  <c r="H2725" i="58"/>
  <c r="P2724" i="58"/>
  <c r="O2724" i="58"/>
  <c r="L2724" i="58"/>
  <c r="I2724" i="58"/>
  <c r="J2724" i="58" s="1"/>
  <c r="H2724" i="58"/>
  <c r="P2723" i="58"/>
  <c r="O2723" i="58"/>
  <c r="L2723" i="58"/>
  <c r="I2723" i="58"/>
  <c r="J2723" i="58" s="1"/>
  <c r="H2723" i="58"/>
  <c r="P2722" i="58"/>
  <c r="O2722" i="58"/>
  <c r="L2722" i="58"/>
  <c r="I2722" i="58"/>
  <c r="J2722" i="58" s="1"/>
  <c r="H2722" i="58"/>
  <c r="P2721" i="58"/>
  <c r="O2721" i="58"/>
  <c r="L2721" i="58"/>
  <c r="I2721" i="58"/>
  <c r="J2721" i="58" s="1"/>
  <c r="H2721" i="58"/>
  <c r="P2720" i="58"/>
  <c r="O2720" i="58"/>
  <c r="L2720" i="58"/>
  <c r="I2720" i="58"/>
  <c r="J2720" i="58" s="1"/>
  <c r="H2720" i="58"/>
  <c r="P2719" i="58"/>
  <c r="O2719" i="58"/>
  <c r="L2719" i="58"/>
  <c r="I2719" i="58"/>
  <c r="J2719" i="58" s="1"/>
  <c r="H2719" i="58"/>
  <c r="P2718" i="58"/>
  <c r="O2718" i="58"/>
  <c r="L2718" i="58"/>
  <c r="I2718" i="58"/>
  <c r="J2718" i="58" s="1"/>
  <c r="H2718" i="58"/>
  <c r="P2717" i="58"/>
  <c r="O2717" i="58"/>
  <c r="L2717" i="58"/>
  <c r="I2717" i="58"/>
  <c r="J2717" i="58" s="1"/>
  <c r="H2717" i="58"/>
  <c r="P2716" i="58"/>
  <c r="O2716" i="58"/>
  <c r="L2716" i="58"/>
  <c r="I2716" i="58"/>
  <c r="J2716" i="58" s="1"/>
  <c r="H2716" i="58"/>
  <c r="P2715" i="58"/>
  <c r="O2715" i="58"/>
  <c r="L2715" i="58"/>
  <c r="I2715" i="58"/>
  <c r="J2715" i="58" s="1"/>
  <c r="H2715" i="58"/>
  <c r="P2714" i="58"/>
  <c r="O2714" i="58"/>
  <c r="L2714" i="58"/>
  <c r="I2714" i="58"/>
  <c r="J2714" i="58" s="1"/>
  <c r="H2714" i="58"/>
  <c r="P2713" i="58"/>
  <c r="O2713" i="58"/>
  <c r="L2713" i="58"/>
  <c r="I2713" i="58"/>
  <c r="J2713" i="58" s="1"/>
  <c r="H2713" i="58"/>
  <c r="P2712" i="58"/>
  <c r="O2712" i="58"/>
  <c r="L2712" i="58"/>
  <c r="I2712" i="58"/>
  <c r="J2712" i="58" s="1"/>
  <c r="H2712" i="58"/>
  <c r="P2711" i="58"/>
  <c r="O2711" i="58"/>
  <c r="L2711" i="58"/>
  <c r="I2711" i="58"/>
  <c r="J2711" i="58" s="1"/>
  <c r="H2711" i="58"/>
  <c r="P2710" i="58"/>
  <c r="O2710" i="58"/>
  <c r="L2710" i="58"/>
  <c r="I2710" i="58"/>
  <c r="J2710" i="58" s="1"/>
  <c r="H2710" i="58"/>
  <c r="P2709" i="58"/>
  <c r="O2709" i="58"/>
  <c r="L2709" i="58"/>
  <c r="I2709" i="58"/>
  <c r="J2709" i="58" s="1"/>
  <c r="H2709" i="58"/>
  <c r="P2708" i="58"/>
  <c r="O2708" i="58"/>
  <c r="L2708" i="58"/>
  <c r="I2708" i="58"/>
  <c r="J2708" i="58" s="1"/>
  <c r="H2708" i="58"/>
  <c r="P2707" i="58"/>
  <c r="O2707" i="58"/>
  <c r="L2707" i="58"/>
  <c r="I2707" i="58"/>
  <c r="J2707" i="58" s="1"/>
  <c r="H2707" i="58"/>
  <c r="P2706" i="58"/>
  <c r="O2706" i="58"/>
  <c r="L2706" i="58"/>
  <c r="I2706" i="58"/>
  <c r="J2706" i="58" s="1"/>
  <c r="H2706" i="58"/>
  <c r="P2705" i="58"/>
  <c r="O2705" i="58"/>
  <c r="L2705" i="58"/>
  <c r="I2705" i="58"/>
  <c r="J2705" i="58" s="1"/>
  <c r="H2705" i="58"/>
  <c r="P2704" i="58"/>
  <c r="O2704" i="58"/>
  <c r="L2704" i="58"/>
  <c r="I2704" i="58"/>
  <c r="J2704" i="58" s="1"/>
  <c r="H2704" i="58"/>
  <c r="P2703" i="58"/>
  <c r="O2703" i="58"/>
  <c r="L2703" i="58"/>
  <c r="I2703" i="58"/>
  <c r="J2703" i="58" s="1"/>
  <c r="H2703" i="58"/>
  <c r="P2702" i="58"/>
  <c r="O2702" i="58"/>
  <c r="L2702" i="58"/>
  <c r="I2702" i="58"/>
  <c r="J2702" i="58" s="1"/>
  <c r="H2702" i="58"/>
  <c r="P2701" i="58"/>
  <c r="O2701" i="58"/>
  <c r="L2701" i="58"/>
  <c r="I2701" i="58"/>
  <c r="J2701" i="58" s="1"/>
  <c r="H2701" i="58"/>
  <c r="P2700" i="58"/>
  <c r="O2700" i="58"/>
  <c r="L2700" i="58"/>
  <c r="I2700" i="58"/>
  <c r="J2700" i="58" s="1"/>
  <c r="H2700" i="58"/>
  <c r="P2699" i="58"/>
  <c r="O2699" i="58"/>
  <c r="L2699" i="58"/>
  <c r="I2699" i="58"/>
  <c r="J2699" i="58" s="1"/>
  <c r="H2699" i="58"/>
  <c r="P2698" i="58"/>
  <c r="O2698" i="58"/>
  <c r="L2698" i="58"/>
  <c r="I2698" i="58"/>
  <c r="J2698" i="58" s="1"/>
  <c r="H2698" i="58"/>
  <c r="P2697" i="58"/>
  <c r="O2697" i="58"/>
  <c r="L2697" i="58"/>
  <c r="I2697" i="58"/>
  <c r="J2697" i="58" s="1"/>
  <c r="H2697" i="58"/>
  <c r="P2696" i="58"/>
  <c r="O2696" i="58"/>
  <c r="L2696" i="58"/>
  <c r="I2696" i="58"/>
  <c r="J2696" i="58" s="1"/>
  <c r="H2696" i="58"/>
  <c r="P2695" i="58"/>
  <c r="O2695" i="58"/>
  <c r="L2695" i="58"/>
  <c r="I2695" i="58"/>
  <c r="J2695" i="58" s="1"/>
  <c r="H2695" i="58"/>
  <c r="P2694" i="58"/>
  <c r="O2694" i="58"/>
  <c r="L2694" i="58"/>
  <c r="I2694" i="58"/>
  <c r="J2694" i="58" s="1"/>
  <c r="H2694" i="58"/>
  <c r="P2693" i="58"/>
  <c r="O2693" i="58"/>
  <c r="L2693" i="58"/>
  <c r="I2693" i="58"/>
  <c r="J2693" i="58" s="1"/>
  <c r="H2693" i="58"/>
  <c r="P2692" i="58"/>
  <c r="O2692" i="58"/>
  <c r="L2692" i="58"/>
  <c r="I2692" i="58"/>
  <c r="J2692" i="58" s="1"/>
  <c r="H2692" i="58"/>
  <c r="P2691" i="58"/>
  <c r="O2691" i="58"/>
  <c r="L2691" i="58"/>
  <c r="I2691" i="58"/>
  <c r="J2691" i="58" s="1"/>
  <c r="H2691" i="58"/>
  <c r="P2690" i="58"/>
  <c r="O2690" i="58"/>
  <c r="L2690" i="58"/>
  <c r="I2690" i="58"/>
  <c r="J2690" i="58" s="1"/>
  <c r="H2690" i="58"/>
  <c r="P2689" i="58"/>
  <c r="O2689" i="58"/>
  <c r="L2689" i="58"/>
  <c r="I2689" i="58"/>
  <c r="J2689" i="58" s="1"/>
  <c r="H2689" i="58"/>
  <c r="P2688" i="58"/>
  <c r="O2688" i="58"/>
  <c r="L2688" i="58"/>
  <c r="I2688" i="58"/>
  <c r="J2688" i="58" s="1"/>
  <c r="H2688" i="58"/>
  <c r="P2687" i="58"/>
  <c r="O2687" i="58"/>
  <c r="L2687" i="58"/>
  <c r="I2687" i="58"/>
  <c r="J2687" i="58" s="1"/>
  <c r="H2687" i="58"/>
  <c r="P2686" i="58"/>
  <c r="O2686" i="58"/>
  <c r="L2686" i="58"/>
  <c r="I2686" i="58"/>
  <c r="J2686" i="58" s="1"/>
  <c r="H2686" i="58"/>
  <c r="P2685" i="58"/>
  <c r="O2685" i="58"/>
  <c r="L2685" i="58"/>
  <c r="I2685" i="58"/>
  <c r="J2685" i="58" s="1"/>
  <c r="H2685" i="58"/>
  <c r="P2684" i="58"/>
  <c r="O2684" i="58"/>
  <c r="L2684" i="58"/>
  <c r="I2684" i="58"/>
  <c r="J2684" i="58" s="1"/>
  <c r="H2684" i="58"/>
  <c r="P2683" i="58"/>
  <c r="O2683" i="58"/>
  <c r="L2683" i="58"/>
  <c r="I2683" i="58"/>
  <c r="J2683" i="58" s="1"/>
  <c r="H2683" i="58"/>
  <c r="P2682" i="58"/>
  <c r="O2682" i="58"/>
  <c r="L2682" i="58"/>
  <c r="I2682" i="58"/>
  <c r="J2682" i="58" s="1"/>
  <c r="H2682" i="58"/>
  <c r="P2681" i="58"/>
  <c r="O2681" i="58"/>
  <c r="L2681" i="58"/>
  <c r="I2681" i="58"/>
  <c r="J2681" i="58" s="1"/>
  <c r="H2681" i="58"/>
  <c r="P2680" i="58"/>
  <c r="O2680" i="58"/>
  <c r="L2680" i="58"/>
  <c r="I2680" i="58"/>
  <c r="J2680" i="58" s="1"/>
  <c r="H2680" i="58"/>
  <c r="P2679" i="58"/>
  <c r="O2679" i="58"/>
  <c r="L2679" i="58"/>
  <c r="I2679" i="58"/>
  <c r="J2679" i="58" s="1"/>
  <c r="H2679" i="58"/>
  <c r="P2678" i="58"/>
  <c r="O2678" i="58"/>
  <c r="L2678" i="58"/>
  <c r="I2678" i="58"/>
  <c r="J2678" i="58" s="1"/>
  <c r="H2678" i="58"/>
  <c r="P2677" i="58"/>
  <c r="O2677" i="58"/>
  <c r="L2677" i="58"/>
  <c r="I2677" i="58"/>
  <c r="J2677" i="58" s="1"/>
  <c r="H2677" i="58"/>
  <c r="P2676" i="58"/>
  <c r="O2676" i="58"/>
  <c r="L2676" i="58"/>
  <c r="I2676" i="58"/>
  <c r="J2676" i="58" s="1"/>
  <c r="H2676" i="58"/>
  <c r="P2675" i="58"/>
  <c r="O2675" i="58"/>
  <c r="L2675" i="58"/>
  <c r="I2675" i="58"/>
  <c r="J2675" i="58" s="1"/>
  <c r="H2675" i="58"/>
  <c r="P2674" i="58"/>
  <c r="O2674" i="58"/>
  <c r="L2674" i="58"/>
  <c r="I2674" i="58"/>
  <c r="J2674" i="58" s="1"/>
  <c r="H2674" i="58"/>
  <c r="P2673" i="58"/>
  <c r="O2673" i="58"/>
  <c r="L2673" i="58"/>
  <c r="I2673" i="58"/>
  <c r="J2673" i="58" s="1"/>
  <c r="H2673" i="58"/>
  <c r="P2672" i="58"/>
  <c r="O2672" i="58"/>
  <c r="L2672" i="58"/>
  <c r="I2672" i="58"/>
  <c r="J2672" i="58" s="1"/>
  <c r="H2672" i="58"/>
  <c r="P2671" i="58"/>
  <c r="O2671" i="58"/>
  <c r="L2671" i="58"/>
  <c r="I2671" i="58"/>
  <c r="J2671" i="58" s="1"/>
  <c r="H2671" i="58"/>
  <c r="P2670" i="58"/>
  <c r="O2670" i="58"/>
  <c r="L2670" i="58"/>
  <c r="I2670" i="58"/>
  <c r="J2670" i="58" s="1"/>
  <c r="H2670" i="58"/>
  <c r="P2669" i="58"/>
  <c r="O2669" i="58"/>
  <c r="L2669" i="58"/>
  <c r="I2669" i="58"/>
  <c r="J2669" i="58" s="1"/>
  <c r="H2669" i="58"/>
  <c r="P2668" i="58"/>
  <c r="O2668" i="58"/>
  <c r="L2668" i="58"/>
  <c r="I2668" i="58"/>
  <c r="J2668" i="58" s="1"/>
  <c r="H2668" i="58"/>
  <c r="P2667" i="58"/>
  <c r="O2667" i="58"/>
  <c r="L2667" i="58"/>
  <c r="I2667" i="58"/>
  <c r="J2667" i="58" s="1"/>
  <c r="H2667" i="58"/>
  <c r="P2666" i="58"/>
  <c r="O2666" i="58"/>
  <c r="L2666" i="58"/>
  <c r="I2666" i="58"/>
  <c r="J2666" i="58" s="1"/>
  <c r="H2666" i="58"/>
  <c r="P2665" i="58"/>
  <c r="O2665" i="58"/>
  <c r="L2665" i="58"/>
  <c r="I2665" i="58"/>
  <c r="J2665" i="58" s="1"/>
  <c r="H2665" i="58"/>
  <c r="P2664" i="58"/>
  <c r="O2664" i="58"/>
  <c r="L2664" i="58"/>
  <c r="I2664" i="58"/>
  <c r="J2664" i="58" s="1"/>
  <c r="H2664" i="58"/>
  <c r="P2663" i="58"/>
  <c r="O2663" i="58"/>
  <c r="L2663" i="58"/>
  <c r="I2663" i="58"/>
  <c r="J2663" i="58" s="1"/>
  <c r="H2663" i="58"/>
  <c r="P2662" i="58"/>
  <c r="O2662" i="58"/>
  <c r="L2662" i="58"/>
  <c r="I2662" i="58"/>
  <c r="J2662" i="58" s="1"/>
  <c r="H2662" i="58"/>
  <c r="P2661" i="58"/>
  <c r="O2661" i="58"/>
  <c r="L2661" i="58"/>
  <c r="I2661" i="58"/>
  <c r="J2661" i="58" s="1"/>
  <c r="H2661" i="58"/>
  <c r="P2660" i="58"/>
  <c r="O2660" i="58"/>
  <c r="L2660" i="58"/>
  <c r="I2660" i="58"/>
  <c r="J2660" i="58" s="1"/>
  <c r="H2660" i="58"/>
  <c r="P2659" i="58"/>
  <c r="O2659" i="58"/>
  <c r="L2659" i="58"/>
  <c r="I2659" i="58"/>
  <c r="J2659" i="58" s="1"/>
  <c r="H2659" i="58"/>
  <c r="P2658" i="58"/>
  <c r="O2658" i="58"/>
  <c r="L2658" i="58"/>
  <c r="I2658" i="58"/>
  <c r="J2658" i="58" s="1"/>
  <c r="H2658" i="58"/>
  <c r="P2657" i="58"/>
  <c r="O2657" i="58"/>
  <c r="L2657" i="58"/>
  <c r="I2657" i="58"/>
  <c r="J2657" i="58" s="1"/>
  <c r="H2657" i="58"/>
  <c r="P2656" i="58"/>
  <c r="O2656" i="58"/>
  <c r="L2656" i="58"/>
  <c r="I2656" i="58"/>
  <c r="J2656" i="58" s="1"/>
  <c r="H2656" i="58"/>
  <c r="P2655" i="58"/>
  <c r="O2655" i="58"/>
  <c r="L2655" i="58"/>
  <c r="I2655" i="58"/>
  <c r="J2655" i="58" s="1"/>
  <c r="H2655" i="58"/>
  <c r="P2654" i="58"/>
  <c r="O2654" i="58"/>
  <c r="L2654" i="58"/>
  <c r="I2654" i="58"/>
  <c r="J2654" i="58" s="1"/>
  <c r="H2654" i="58"/>
  <c r="P2653" i="58"/>
  <c r="O2653" i="58"/>
  <c r="L2653" i="58"/>
  <c r="I2653" i="58"/>
  <c r="J2653" i="58" s="1"/>
  <c r="H2653" i="58"/>
  <c r="P2652" i="58"/>
  <c r="O2652" i="58"/>
  <c r="L2652" i="58"/>
  <c r="I2652" i="58"/>
  <c r="J2652" i="58" s="1"/>
  <c r="H2652" i="58"/>
  <c r="P2651" i="58"/>
  <c r="O2651" i="58"/>
  <c r="L2651" i="58"/>
  <c r="I2651" i="58"/>
  <c r="J2651" i="58" s="1"/>
  <c r="H2651" i="58"/>
  <c r="P2650" i="58"/>
  <c r="O2650" i="58"/>
  <c r="L2650" i="58"/>
  <c r="I2650" i="58"/>
  <c r="J2650" i="58" s="1"/>
  <c r="H2650" i="58"/>
  <c r="P2649" i="58"/>
  <c r="O2649" i="58"/>
  <c r="L2649" i="58"/>
  <c r="I2649" i="58"/>
  <c r="J2649" i="58" s="1"/>
  <c r="H2649" i="58"/>
  <c r="P2648" i="58"/>
  <c r="O2648" i="58"/>
  <c r="L2648" i="58"/>
  <c r="I2648" i="58"/>
  <c r="J2648" i="58" s="1"/>
  <c r="H2648" i="58"/>
  <c r="P2647" i="58"/>
  <c r="O2647" i="58"/>
  <c r="L2647" i="58"/>
  <c r="I2647" i="58"/>
  <c r="J2647" i="58" s="1"/>
  <c r="H2647" i="58"/>
  <c r="P2646" i="58"/>
  <c r="O2646" i="58"/>
  <c r="L2646" i="58"/>
  <c r="I2646" i="58"/>
  <c r="J2646" i="58" s="1"/>
  <c r="H2646" i="58"/>
  <c r="P2645" i="58"/>
  <c r="O2645" i="58"/>
  <c r="L2645" i="58"/>
  <c r="I2645" i="58"/>
  <c r="J2645" i="58" s="1"/>
  <c r="H2645" i="58"/>
  <c r="P2644" i="58"/>
  <c r="O2644" i="58"/>
  <c r="L2644" i="58"/>
  <c r="I2644" i="58"/>
  <c r="J2644" i="58" s="1"/>
  <c r="H2644" i="58"/>
  <c r="P2643" i="58"/>
  <c r="O2643" i="58"/>
  <c r="L2643" i="58"/>
  <c r="I2643" i="58"/>
  <c r="J2643" i="58" s="1"/>
  <c r="H2643" i="58"/>
  <c r="P2642" i="58"/>
  <c r="O2642" i="58"/>
  <c r="L2642" i="58"/>
  <c r="I2642" i="58"/>
  <c r="J2642" i="58" s="1"/>
  <c r="H2642" i="58"/>
  <c r="P2641" i="58"/>
  <c r="O2641" i="58"/>
  <c r="L2641" i="58"/>
  <c r="I2641" i="58"/>
  <c r="J2641" i="58" s="1"/>
  <c r="H2641" i="58"/>
  <c r="P2640" i="58"/>
  <c r="O2640" i="58"/>
  <c r="L2640" i="58"/>
  <c r="I2640" i="58"/>
  <c r="J2640" i="58" s="1"/>
  <c r="H2640" i="58"/>
  <c r="P2639" i="58"/>
  <c r="O2639" i="58"/>
  <c r="L2639" i="58"/>
  <c r="I2639" i="58"/>
  <c r="J2639" i="58" s="1"/>
  <c r="H2639" i="58"/>
  <c r="P2638" i="58"/>
  <c r="O2638" i="58"/>
  <c r="L2638" i="58"/>
  <c r="I2638" i="58"/>
  <c r="J2638" i="58" s="1"/>
  <c r="H2638" i="58"/>
  <c r="P2637" i="58"/>
  <c r="O2637" i="58"/>
  <c r="L2637" i="58"/>
  <c r="I2637" i="58"/>
  <c r="J2637" i="58" s="1"/>
  <c r="H2637" i="58"/>
  <c r="P2636" i="58"/>
  <c r="O2636" i="58"/>
  <c r="L2636" i="58"/>
  <c r="I2636" i="58"/>
  <c r="J2636" i="58" s="1"/>
  <c r="H2636" i="58"/>
  <c r="P2635" i="58"/>
  <c r="O2635" i="58"/>
  <c r="L2635" i="58"/>
  <c r="I2635" i="58"/>
  <c r="J2635" i="58" s="1"/>
  <c r="H2635" i="58"/>
  <c r="P2634" i="58"/>
  <c r="O2634" i="58"/>
  <c r="L2634" i="58"/>
  <c r="I2634" i="58"/>
  <c r="J2634" i="58" s="1"/>
  <c r="H2634" i="58"/>
  <c r="P2633" i="58"/>
  <c r="O2633" i="58"/>
  <c r="L2633" i="58"/>
  <c r="I2633" i="58"/>
  <c r="J2633" i="58" s="1"/>
  <c r="H2633" i="58"/>
  <c r="P2632" i="58"/>
  <c r="O2632" i="58"/>
  <c r="L2632" i="58"/>
  <c r="I2632" i="58"/>
  <c r="J2632" i="58" s="1"/>
  <c r="H2632" i="58"/>
  <c r="P2631" i="58"/>
  <c r="O2631" i="58"/>
  <c r="L2631" i="58"/>
  <c r="I2631" i="58"/>
  <c r="J2631" i="58" s="1"/>
  <c r="H2631" i="58"/>
  <c r="P2630" i="58"/>
  <c r="O2630" i="58"/>
  <c r="L2630" i="58"/>
  <c r="I2630" i="58"/>
  <c r="J2630" i="58" s="1"/>
  <c r="H2630" i="58"/>
  <c r="P2629" i="58"/>
  <c r="O2629" i="58"/>
  <c r="L2629" i="58"/>
  <c r="I2629" i="58"/>
  <c r="J2629" i="58" s="1"/>
  <c r="H2629" i="58"/>
  <c r="P2628" i="58"/>
  <c r="O2628" i="58"/>
  <c r="L2628" i="58"/>
  <c r="I2628" i="58"/>
  <c r="J2628" i="58" s="1"/>
  <c r="H2628" i="58"/>
  <c r="P2627" i="58"/>
  <c r="O2627" i="58"/>
  <c r="L2627" i="58"/>
  <c r="I2627" i="58"/>
  <c r="J2627" i="58" s="1"/>
  <c r="H2627" i="58"/>
  <c r="P2626" i="58"/>
  <c r="O2626" i="58"/>
  <c r="L2626" i="58"/>
  <c r="I2626" i="58"/>
  <c r="J2626" i="58" s="1"/>
  <c r="H2626" i="58"/>
  <c r="P2625" i="58"/>
  <c r="O2625" i="58"/>
  <c r="L2625" i="58"/>
  <c r="I2625" i="58"/>
  <c r="J2625" i="58" s="1"/>
  <c r="H2625" i="58"/>
  <c r="P2624" i="58"/>
  <c r="O2624" i="58"/>
  <c r="L2624" i="58"/>
  <c r="I2624" i="58"/>
  <c r="J2624" i="58" s="1"/>
  <c r="H2624" i="58"/>
  <c r="P2623" i="58"/>
  <c r="O2623" i="58"/>
  <c r="L2623" i="58"/>
  <c r="I2623" i="58"/>
  <c r="J2623" i="58" s="1"/>
  <c r="H2623" i="58"/>
  <c r="P2622" i="58"/>
  <c r="O2622" i="58"/>
  <c r="L2622" i="58"/>
  <c r="I2622" i="58"/>
  <c r="J2622" i="58" s="1"/>
  <c r="H2622" i="58"/>
  <c r="P2621" i="58"/>
  <c r="O2621" i="58"/>
  <c r="L2621" i="58"/>
  <c r="I2621" i="58"/>
  <c r="J2621" i="58" s="1"/>
  <c r="H2621" i="58"/>
  <c r="P2620" i="58"/>
  <c r="O2620" i="58"/>
  <c r="L2620" i="58"/>
  <c r="I2620" i="58"/>
  <c r="J2620" i="58" s="1"/>
  <c r="H2620" i="58"/>
  <c r="P2619" i="58"/>
  <c r="O2619" i="58"/>
  <c r="L2619" i="58"/>
  <c r="I2619" i="58"/>
  <c r="J2619" i="58" s="1"/>
  <c r="H2619" i="58"/>
  <c r="P2618" i="58"/>
  <c r="O2618" i="58"/>
  <c r="L2618" i="58"/>
  <c r="I2618" i="58"/>
  <c r="J2618" i="58" s="1"/>
  <c r="H2618" i="58"/>
  <c r="P2617" i="58"/>
  <c r="O2617" i="58"/>
  <c r="L2617" i="58"/>
  <c r="I2617" i="58"/>
  <c r="J2617" i="58" s="1"/>
  <c r="H2617" i="58"/>
  <c r="P2616" i="58"/>
  <c r="O2616" i="58"/>
  <c r="L2616" i="58"/>
  <c r="I2616" i="58"/>
  <c r="J2616" i="58" s="1"/>
  <c r="H2616" i="58"/>
  <c r="P2615" i="58"/>
  <c r="O2615" i="58"/>
  <c r="L2615" i="58"/>
  <c r="I2615" i="58"/>
  <c r="J2615" i="58" s="1"/>
  <c r="H2615" i="58"/>
  <c r="P2614" i="58"/>
  <c r="O2614" i="58"/>
  <c r="L2614" i="58"/>
  <c r="I2614" i="58"/>
  <c r="J2614" i="58" s="1"/>
  <c r="H2614" i="58"/>
  <c r="P2613" i="58"/>
  <c r="O2613" i="58"/>
  <c r="L2613" i="58"/>
  <c r="I2613" i="58"/>
  <c r="J2613" i="58" s="1"/>
  <c r="H2613" i="58"/>
  <c r="P2612" i="58"/>
  <c r="O2612" i="58"/>
  <c r="L2612" i="58"/>
  <c r="I2612" i="58"/>
  <c r="J2612" i="58" s="1"/>
  <c r="H2612" i="58"/>
  <c r="P2611" i="58"/>
  <c r="O2611" i="58"/>
  <c r="L2611" i="58"/>
  <c r="I2611" i="58"/>
  <c r="J2611" i="58" s="1"/>
  <c r="H2611" i="58"/>
  <c r="P2610" i="58"/>
  <c r="O2610" i="58"/>
  <c r="L2610" i="58"/>
  <c r="I2610" i="58"/>
  <c r="J2610" i="58" s="1"/>
  <c r="H2610" i="58"/>
  <c r="P2609" i="58"/>
  <c r="O2609" i="58"/>
  <c r="L2609" i="58"/>
  <c r="I2609" i="58"/>
  <c r="J2609" i="58" s="1"/>
  <c r="H2609" i="58"/>
  <c r="P2608" i="58"/>
  <c r="O2608" i="58"/>
  <c r="L2608" i="58"/>
  <c r="I2608" i="58"/>
  <c r="J2608" i="58" s="1"/>
  <c r="H2608" i="58"/>
  <c r="P2607" i="58"/>
  <c r="O2607" i="58"/>
  <c r="L2607" i="58"/>
  <c r="I2607" i="58"/>
  <c r="J2607" i="58" s="1"/>
  <c r="H2607" i="58"/>
  <c r="P2606" i="58"/>
  <c r="O2606" i="58"/>
  <c r="L2606" i="58"/>
  <c r="I2606" i="58"/>
  <c r="J2606" i="58" s="1"/>
  <c r="H2606" i="58"/>
  <c r="P2605" i="58"/>
  <c r="O2605" i="58"/>
  <c r="L2605" i="58"/>
  <c r="I2605" i="58"/>
  <c r="J2605" i="58" s="1"/>
  <c r="H2605" i="58"/>
  <c r="P2604" i="58"/>
  <c r="O2604" i="58"/>
  <c r="L2604" i="58"/>
  <c r="I2604" i="58"/>
  <c r="J2604" i="58" s="1"/>
  <c r="H2604" i="58"/>
  <c r="P2603" i="58"/>
  <c r="O2603" i="58"/>
  <c r="L2603" i="58"/>
  <c r="I2603" i="58"/>
  <c r="J2603" i="58" s="1"/>
  <c r="H2603" i="58"/>
  <c r="P2602" i="58"/>
  <c r="O2602" i="58"/>
  <c r="L2602" i="58"/>
  <c r="I2602" i="58"/>
  <c r="J2602" i="58" s="1"/>
  <c r="H2602" i="58"/>
  <c r="P2601" i="58"/>
  <c r="O2601" i="58"/>
  <c r="L2601" i="58"/>
  <c r="I2601" i="58"/>
  <c r="J2601" i="58" s="1"/>
  <c r="H2601" i="58"/>
  <c r="P2600" i="58"/>
  <c r="O2600" i="58"/>
  <c r="L2600" i="58"/>
  <c r="I2600" i="58"/>
  <c r="J2600" i="58" s="1"/>
  <c r="H2600" i="58"/>
  <c r="P2599" i="58"/>
  <c r="O2599" i="58"/>
  <c r="L2599" i="58"/>
  <c r="I2599" i="58"/>
  <c r="J2599" i="58" s="1"/>
  <c r="H2599" i="58"/>
  <c r="P2598" i="58"/>
  <c r="O2598" i="58"/>
  <c r="L2598" i="58"/>
  <c r="I2598" i="58"/>
  <c r="J2598" i="58" s="1"/>
  <c r="H2598" i="58"/>
  <c r="P2597" i="58"/>
  <c r="O2597" i="58"/>
  <c r="L2597" i="58"/>
  <c r="I2597" i="58"/>
  <c r="J2597" i="58" s="1"/>
  <c r="H2597" i="58"/>
  <c r="P2596" i="58"/>
  <c r="O2596" i="58"/>
  <c r="L2596" i="58"/>
  <c r="I2596" i="58"/>
  <c r="J2596" i="58" s="1"/>
  <c r="H2596" i="58"/>
  <c r="P2595" i="58"/>
  <c r="O2595" i="58"/>
  <c r="L2595" i="58"/>
  <c r="I2595" i="58"/>
  <c r="J2595" i="58" s="1"/>
  <c r="H2595" i="58"/>
  <c r="P2594" i="58"/>
  <c r="O2594" i="58"/>
  <c r="L2594" i="58"/>
  <c r="I2594" i="58"/>
  <c r="J2594" i="58" s="1"/>
  <c r="H2594" i="58"/>
  <c r="P2593" i="58"/>
  <c r="O2593" i="58"/>
  <c r="L2593" i="58"/>
  <c r="I2593" i="58"/>
  <c r="J2593" i="58" s="1"/>
  <c r="H2593" i="58"/>
  <c r="P2592" i="58"/>
  <c r="O2592" i="58"/>
  <c r="L2592" i="58"/>
  <c r="I2592" i="58"/>
  <c r="J2592" i="58" s="1"/>
  <c r="H2592" i="58"/>
  <c r="P2591" i="58"/>
  <c r="O2591" i="58"/>
  <c r="L2591" i="58"/>
  <c r="I2591" i="58"/>
  <c r="J2591" i="58" s="1"/>
  <c r="H2591" i="58"/>
  <c r="P2590" i="58"/>
  <c r="O2590" i="58"/>
  <c r="L2590" i="58"/>
  <c r="I2590" i="58"/>
  <c r="J2590" i="58" s="1"/>
  <c r="H2590" i="58"/>
  <c r="P2589" i="58"/>
  <c r="O2589" i="58"/>
  <c r="L2589" i="58"/>
  <c r="I2589" i="58"/>
  <c r="J2589" i="58" s="1"/>
  <c r="H2589" i="58"/>
  <c r="P2588" i="58"/>
  <c r="O2588" i="58"/>
  <c r="L2588" i="58"/>
  <c r="I2588" i="58"/>
  <c r="J2588" i="58" s="1"/>
  <c r="H2588" i="58"/>
  <c r="P2587" i="58"/>
  <c r="O2587" i="58"/>
  <c r="L2587" i="58"/>
  <c r="I2587" i="58"/>
  <c r="J2587" i="58" s="1"/>
  <c r="H2587" i="58"/>
  <c r="P2586" i="58"/>
  <c r="O2586" i="58"/>
  <c r="L2586" i="58"/>
  <c r="I2586" i="58"/>
  <c r="J2586" i="58" s="1"/>
  <c r="H2586" i="58"/>
  <c r="P2585" i="58"/>
  <c r="O2585" i="58"/>
  <c r="L2585" i="58"/>
  <c r="I2585" i="58"/>
  <c r="J2585" i="58" s="1"/>
  <c r="H2585" i="58"/>
  <c r="P2584" i="58"/>
  <c r="O2584" i="58"/>
  <c r="L2584" i="58"/>
  <c r="I2584" i="58"/>
  <c r="J2584" i="58" s="1"/>
  <c r="H2584" i="58"/>
  <c r="P2583" i="58"/>
  <c r="O2583" i="58"/>
  <c r="L2583" i="58"/>
  <c r="I2583" i="58"/>
  <c r="J2583" i="58" s="1"/>
  <c r="H2583" i="58"/>
  <c r="P2582" i="58"/>
  <c r="O2582" i="58"/>
  <c r="L2582" i="58"/>
  <c r="I2582" i="58"/>
  <c r="J2582" i="58" s="1"/>
  <c r="H2582" i="58"/>
  <c r="P2581" i="58"/>
  <c r="O2581" i="58"/>
  <c r="L2581" i="58"/>
  <c r="I2581" i="58"/>
  <c r="J2581" i="58" s="1"/>
  <c r="H2581" i="58"/>
  <c r="P2580" i="58"/>
  <c r="O2580" i="58"/>
  <c r="L2580" i="58"/>
  <c r="I2580" i="58"/>
  <c r="J2580" i="58" s="1"/>
  <c r="H2580" i="58"/>
  <c r="P2579" i="58"/>
  <c r="O2579" i="58"/>
  <c r="L2579" i="58"/>
  <c r="I2579" i="58"/>
  <c r="J2579" i="58" s="1"/>
  <c r="H2579" i="58"/>
  <c r="P2578" i="58"/>
  <c r="O2578" i="58"/>
  <c r="L2578" i="58"/>
  <c r="I2578" i="58"/>
  <c r="J2578" i="58" s="1"/>
  <c r="H2578" i="58"/>
  <c r="P2577" i="58"/>
  <c r="O2577" i="58"/>
  <c r="L2577" i="58"/>
  <c r="I2577" i="58"/>
  <c r="J2577" i="58" s="1"/>
  <c r="H2577" i="58"/>
  <c r="P2576" i="58"/>
  <c r="O2576" i="58"/>
  <c r="L2576" i="58"/>
  <c r="I2576" i="58"/>
  <c r="J2576" i="58" s="1"/>
  <c r="H2576" i="58"/>
  <c r="P2575" i="58"/>
  <c r="O2575" i="58"/>
  <c r="L2575" i="58"/>
  <c r="I2575" i="58"/>
  <c r="J2575" i="58" s="1"/>
  <c r="H2575" i="58"/>
  <c r="P2574" i="58"/>
  <c r="O2574" i="58"/>
  <c r="L2574" i="58"/>
  <c r="I2574" i="58"/>
  <c r="J2574" i="58" s="1"/>
  <c r="H2574" i="58"/>
  <c r="P2573" i="58"/>
  <c r="O2573" i="58"/>
  <c r="L2573" i="58"/>
  <c r="I2573" i="58"/>
  <c r="J2573" i="58" s="1"/>
  <c r="H2573" i="58"/>
  <c r="P2572" i="58"/>
  <c r="O2572" i="58"/>
  <c r="L2572" i="58"/>
  <c r="I2572" i="58"/>
  <c r="J2572" i="58" s="1"/>
  <c r="H2572" i="58"/>
  <c r="P2571" i="58"/>
  <c r="O2571" i="58"/>
  <c r="L2571" i="58"/>
  <c r="I2571" i="58"/>
  <c r="J2571" i="58" s="1"/>
  <c r="H2571" i="58"/>
  <c r="P2570" i="58"/>
  <c r="O2570" i="58"/>
  <c r="L2570" i="58"/>
  <c r="I2570" i="58"/>
  <c r="J2570" i="58" s="1"/>
  <c r="H2570" i="58"/>
  <c r="P2569" i="58"/>
  <c r="O2569" i="58"/>
  <c r="L2569" i="58"/>
  <c r="I2569" i="58"/>
  <c r="J2569" i="58" s="1"/>
  <c r="H2569" i="58"/>
  <c r="P2568" i="58"/>
  <c r="O2568" i="58"/>
  <c r="L2568" i="58"/>
  <c r="I2568" i="58"/>
  <c r="J2568" i="58" s="1"/>
  <c r="H2568" i="58"/>
  <c r="P2567" i="58"/>
  <c r="O2567" i="58"/>
  <c r="L2567" i="58"/>
  <c r="I2567" i="58"/>
  <c r="J2567" i="58" s="1"/>
  <c r="H2567" i="58"/>
  <c r="P2566" i="58"/>
  <c r="O2566" i="58"/>
  <c r="L2566" i="58"/>
  <c r="I2566" i="58"/>
  <c r="J2566" i="58" s="1"/>
  <c r="H2566" i="58"/>
  <c r="P2565" i="58"/>
  <c r="O2565" i="58"/>
  <c r="L2565" i="58"/>
  <c r="I2565" i="58"/>
  <c r="J2565" i="58" s="1"/>
  <c r="H2565" i="58"/>
  <c r="P2564" i="58"/>
  <c r="O2564" i="58"/>
  <c r="L2564" i="58"/>
  <c r="I2564" i="58"/>
  <c r="J2564" i="58" s="1"/>
  <c r="H2564" i="58"/>
  <c r="P2563" i="58"/>
  <c r="O2563" i="58"/>
  <c r="L2563" i="58"/>
  <c r="I2563" i="58"/>
  <c r="J2563" i="58" s="1"/>
  <c r="H2563" i="58"/>
  <c r="P2562" i="58"/>
  <c r="O2562" i="58"/>
  <c r="L2562" i="58"/>
  <c r="I2562" i="58"/>
  <c r="J2562" i="58" s="1"/>
  <c r="H2562" i="58"/>
  <c r="P2561" i="58"/>
  <c r="O2561" i="58"/>
  <c r="L2561" i="58"/>
  <c r="I2561" i="58"/>
  <c r="J2561" i="58" s="1"/>
  <c r="H2561" i="58"/>
  <c r="P2560" i="58"/>
  <c r="O2560" i="58"/>
  <c r="L2560" i="58"/>
  <c r="I2560" i="58"/>
  <c r="J2560" i="58" s="1"/>
  <c r="H2560" i="58"/>
  <c r="P2559" i="58"/>
  <c r="O2559" i="58"/>
  <c r="L2559" i="58"/>
  <c r="I2559" i="58"/>
  <c r="J2559" i="58" s="1"/>
  <c r="H2559" i="58"/>
  <c r="P2558" i="58"/>
  <c r="O2558" i="58"/>
  <c r="L2558" i="58"/>
  <c r="I2558" i="58"/>
  <c r="J2558" i="58" s="1"/>
  <c r="H2558" i="58"/>
  <c r="P2557" i="58"/>
  <c r="O2557" i="58"/>
  <c r="L2557" i="58"/>
  <c r="I2557" i="58"/>
  <c r="J2557" i="58" s="1"/>
  <c r="H2557" i="58"/>
  <c r="P2556" i="58"/>
  <c r="O2556" i="58"/>
  <c r="L2556" i="58"/>
  <c r="I2556" i="58"/>
  <c r="J2556" i="58" s="1"/>
  <c r="H2556" i="58"/>
  <c r="P2555" i="58"/>
  <c r="O2555" i="58"/>
  <c r="L2555" i="58"/>
  <c r="I2555" i="58"/>
  <c r="J2555" i="58" s="1"/>
  <c r="H2555" i="58"/>
  <c r="P2554" i="58"/>
  <c r="O2554" i="58"/>
  <c r="L2554" i="58"/>
  <c r="I2554" i="58"/>
  <c r="J2554" i="58" s="1"/>
  <c r="H2554" i="58"/>
  <c r="P2553" i="58"/>
  <c r="O2553" i="58"/>
  <c r="L2553" i="58"/>
  <c r="I2553" i="58"/>
  <c r="J2553" i="58" s="1"/>
  <c r="H2553" i="58"/>
  <c r="P2552" i="58"/>
  <c r="O2552" i="58"/>
  <c r="L2552" i="58"/>
  <c r="I2552" i="58"/>
  <c r="J2552" i="58" s="1"/>
  <c r="H2552" i="58"/>
  <c r="P2551" i="58"/>
  <c r="O2551" i="58"/>
  <c r="L2551" i="58"/>
  <c r="I2551" i="58"/>
  <c r="J2551" i="58" s="1"/>
  <c r="H2551" i="58"/>
  <c r="P2550" i="58"/>
  <c r="O2550" i="58"/>
  <c r="L2550" i="58"/>
  <c r="I2550" i="58"/>
  <c r="J2550" i="58" s="1"/>
  <c r="H2550" i="58"/>
  <c r="P2549" i="58"/>
  <c r="O2549" i="58"/>
  <c r="L2549" i="58"/>
  <c r="I2549" i="58"/>
  <c r="J2549" i="58" s="1"/>
  <c r="H2549" i="58"/>
  <c r="P2548" i="58"/>
  <c r="O2548" i="58"/>
  <c r="L2548" i="58"/>
  <c r="I2548" i="58"/>
  <c r="J2548" i="58" s="1"/>
  <c r="H2548" i="58"/>
  <c r="P2547" i="58"/>
  <c r="O2547" i="58"/>
  <c r="L2547" i="58"/>
  <c r="I2547" i="58"/>
  <c r="J2547" i="58" s="1"/>
  <c r="H2547" i="58"/>
  <c r="P2546" i="58"/>
  <c r="O2546" i="58"/>
  <c r="L2546" i="58"/>
  <c r="I2546" i="58"/>
  <c r="J2546" i="58" s="1"/>
  <c r="H2546" i="58"/>
  <c r="P2545" i="58"/>
  <c r="O2545" i="58"/>
  <c r="L2545" i="58"/>
  <c r="I2545" i="58"/>
  <c r="J2545" i="58" s="1"/>
  <c r="H2545" i="58"/>
  <c r="P2544" i="58"/>
  <c r="O2544" i="58"/>
  <c r="L2544" i="58"/>
  <c r="I2544" i="58"/>
  <c r="J2544" i="58" s="1"/>
  <c r="H2544" i="58"/>
  <c r="P2543" i="58"/>
  <c r="O2543" i="58"/>
  <c r="L2543" i="58"/>
  <c r="I2543" i="58"/>
  <c r="J2543" i="58" s="1"/>
  <c r="H2543" i="58"/>
  <c r="P2542" i="58"/>
  <c r="O2542" i="58"/>
  <c r="L2542" i="58"/>
  <c r="I2542" i="58"/>
  <c r="J2542" i="58" s="1"/>
  <c r="H2542" i="58"/>
  <c r="P2541" i="58"/>
  <c r="O2541" i="58"/>
  <c r="L2541" i="58"/>
  <c r="I2541" i="58"/>
  <c r="J2541" i="58" s="1"/>
  <c r="H2541" i="58"/>
  <c r="P2540" i="58"/>
  <c r="O2540" i="58"/>
  <c r="L2540" i="58"/>
  <c r="I2540" i="58"/>
  <c r="J2540" i="58" s="1"/>
  <c r="H2540" i="58"/>
  <c r="P2539" i="58"/>
  <c r="O2539" i="58"/>
  <c r="L2539" i="58"/>
  <c r="I2539" i="58"/>
  <c r="J2539" i="58" s="1"/>
  <c r="H2539" i="58"/>
  <c r="P2538" i="58"/>
  <c r="O2538" i="58"/>
  <c r="L2538" i="58"/>
  <c r="I2538" i="58"/>
  <c r="J2538" i="58" s="1"/>
  <c r="H2538" i="58"/>
  <c r="P2537" i="58"/>
  <c r="O2537" i="58"/>
  <c r="L2537" i="58"/>
  <c r="I2537" i="58"/>
  <c r="J2537" i="58" s="1"/>
  <c r="H2537" i="58"/>
  <c r="P2536" i="58"/>
  <c r="O2536" i="58"/>
  <c r="L2536" i="58"/>
  <c r="I2536" i="58"/>
  <c r="J2536" i="58" s="1"/>
  <c r="H2536" i="58"/>
  <c r="P2535" i="58"/>
  <c r="O2535" i="58"/>
  <c r="L2535" i="58"/>
  <c r="I2535" i="58"/>
  <c r="J2535" i="58" s="1"/>
  <c r="H2535" i="58"/>
  <c r="P2534" i="58"/>
  <c r="O2534" i="58"/>
  <c r="L2534" i="58"/>
  <c r="I2534" i="58"/>
  <c r="J2534" i="58" s="1"/>
  <c r="H2534" i="58"/>
  <c r="P2533" i="58"/>
  <c r="O2533" i="58"/>
  <c r="L2533" i="58"/>
  <c r="I2533" i="58"/>
  <c r="J2533" i="58" s="1"/>
  <c r="H2533" i="58"/>
  <c r="P2532" i="58"/>
  <c r="O2532" i="58"/>
  <c r="L2532" i="58"/>
  <c r="I2532" i="58"/>
  <c r="J2532" i="58" s="1"/>
  <c r="H2532" i="58"/>
  <c r="P2531" i="58"/>
  <c r="O2531" i="58"/>
  <c r="L2531" i="58"/>
  <c r="I2531" i="58"/>
  <c r="J2531" i="58" s="1"/>
  <c r="H2531" i="58"/>
  <c r="P2530" i="58"/>
  <c r="O2530" i="58"/>
  <c r="L2530" i="58"/>
  <c r="I2530" i="58"/>
  <c r="J2530" i="58" s="1"/>
  <c r="H2530" i="58"/>
  <c r="P2529" i="58"/>
  <c r="O2529" i="58"/>
  <c r="L2529" i="58"/>
  <c r="I2529" i="58"/>
  <c r="J2529" i="58" s="1"/>
  <c r="H2529" i="58"/>
  <c r="P2528" i="58"/>
  <c r="O2528" i="58"/>
  <c r="L2528" i="58"/>
  <c r="I2528" i="58"/>
  <c r="J2528" i="58" s="1"/>
  <c r="H2528" i="58"/>
  <c r="P2527" i="58"/>
  <c r="O2527" i="58"/>
  <c r="L2527" i="58"/>
  <c r="I2527" i="58"/>
  <c r="J2527" i="58" s="1"/>
  <c r="H2527" i="58"/>
  <c r="P2526" i="58"/>
  <c r="O2526" i="58"/>
  <c r="L2526" i="58"/>
  <c r="I2526" i="58"/>
  <c r="J2526" i="58" s="1"/>
  <c r="H2526" i="58"/>
  <c r="P2525" i="58"/>
  <c r="O2525" i="58"/>
  <c r="L2525" i="58"/>
  <c r="I2525" i="58"/>
  <c r="J2525" i="58" s="1"/>
  <c r="H2525" i="58"/>
  <c r="P2524" i="58"/>
  <c r="O2524" i="58"/>
  <c r="L2524" i="58"/>
  <c r="I2524" i="58"/>
  <c r="J2524" i="58" s="1"/>
  <c r="H2524" i="58"/>
  <c r="P2523" i="58"/>
  <c r="O2523" i="58"/>
  <c r="L2523" i="58"/>
  <c r="I2523" i="58"/>
  <c r="J2523" i="58" s="1"/>
  <c r="H2523" i="58"/>
  <c r="P2522" i="58"/>
  <c r="O2522" i="58"/>
  <c r="L2522" i="58"/>
  <c r="I2522" i="58"/>
  <c r="J2522" i="58" s="1"/>
  <c r="H2522" i="58"/>
  <c r="P2521" i="58"/>
  <c r="O2521" i="58"/>
  <c r="L2521" i="58"/>
  <c r="I2521" i="58"/>
  <c r="J2521" i="58" s="1"/>
  <c r="H2521" i="58"/>
  <c r="P2520" i="58"/>
  <c r="O2520" i="58"/>
  <c r="L2520" i="58"/>
  <c r="I2520" i="58"/>
  <c r="J2520" i="58" s="1"/>
  <c r="H2520" i="58"/>
  <c r="P2519" i="58"/>
  <c r="O2519" i="58"/>
  <c r="L2519" i="58"/>
  <c r="I2519" i="58"/>
  <c r="J2519" i="58" s="1"/>
  <c r="H2519" i="58"/>
  <c r="P2518" i="58"/>
  <c r="O2518" i="58"/>
  <c r="L2518" i="58"/>
  <c r="I2518" i="58"/>
  <c r="J2518" i="58" s="1"/>
  <c r="H2518" i="58"/>
  <c r="P2517" i="58"/>
  <c r="O2517" i="58"/>
  <c r="L2517" i="58"/>
  <c r="I2517" i="58"/>
  <c r="J2517" i="58" s="1"/>
  <c r="H2517" i="58"/>
  <c r="P2516" i="58"/>
  <c r="O2516" i="58"/>
  <c r="L2516" i="58"/>
  <c r="I2516" i="58"/>
  <c r="J2516" i="58" s="1"/>
  <c r="H2516" i="58"/>
  <c r="P2515" i="58"/>
  <c r="O2515" i="58"/>
  <c r="L2515" i="58"/>
  <c r="I2515" i="58"/>
  <c r="J2515" i="58" s="1"/>
  <c r="H2515" i="58"/>
  <c r="P2514" i="58"/>
  <c r="O2514" i="58"/>
  <c r="L2514" i="58"/>
  <c r="I2514" i="58"/>
  <c r="J2514" i="58" s="1"/>
  <c r="H2514" i="58"/>
  <c r="P2513" i="58"/>
  <c r="O2513" i="58"/>
  <c r="L2513" i="58"/>
  <c r="I2513" i="58"/>
  <c r="J2513" i="58" s="1"/>
  <c r="H2513" i="58"/>
  <c r="P2512" i="58"/>
  <c r="O2512" i="58"/>
  <c r="L2512" i="58"/>
  <c r="I2512" i="58"/>
  <c r="J2512" i="58" s="1"/>
  <c r="H2512" i="58"/>
  <c r="P2511" i="58"/>
  <c r="O2511" i="58"/>
  <c r="L2511" i="58"/>
  <c r="I2511" i="58"/>
  <c r="J2511" i="58" s="1"/>
  <c r="H2511" i="58"/>
  <c r="P2510" i="58"/>
  <c r="O2510" i="58"/>
  <c r="L2510" i="58"/>
  <c r="I2510" i="58"/>
  <c r="J2510" i="58" s="1"/>
  <c r="H2510" i="58"/>
  <c r="P2509" i="58"/>
  <c r="O2509" i="58"/>
  <c r="L2509" i="58"/>
  <c r="I2509" i="58"/>
  <c r="J2509" i="58" s="1"/>
  <c r="H2509" i="58"/>
  <c r="P2508" i="58"/>
  <c r="O2508" i="58"/>
  <c r="L2508" i="58"/>
  <c r="I2508" i="58"/>
  <c r="J2508" i="58" s="1"/>
  <c r="H2508" i="58"/>
  <c r="P2507" i="58"/>
  <c r="O2507" i="58"/>
  <c r="L2507" i="58"/>
  <c r="I2507" i="58"/>
  <c r="J2507" i="58" s="1"/>
  <c r="H2507" i="58"/>
  <c r="P2506" i="58"/>
  <c r="O2506" i="58"/>
  <c r="L2506" i="58"/>
  <c r="I2506" i="58"/>
  <c r="J2506" i="58" s="1"/>
  <c r="H2506" i="58"/>
  <c r="P2505" i="58"/>
  <c r="O2505" i="58"/>
  <c r="L2505" i="58"/>
  <c r="I2505" i="58"/>
  <c r="J2505" i="58" s="1"/>
  <c r="H2505" i="58"/>
  <c r="P2504" i="58"/>
  <c r="O2504" i="58"/>
  <c r="L2504" i="58"/>
  <c r="I2504" i="58"/>
  <c r="J2504" i="58" s="1"/>
  <c r="H2504" i="58"/>
  <c r="P2503" i="58"/>
  <c r="O2503" i="58"/>
  <c r="L2503" i="58"/>
  <c r="I2503" i="58"/>
  <c r="J2503" i="58" s="1"/>
  <c r="H2503" i="58"/>
  <c r="P2502" i="58"/>
  <c r="O2502" i="58"/>
  <c r="L2502" i="58"/>
  <c r="I2502" i="58"/>
  <c r="J2502" i="58" s="1"/>
  <c r="H2502" i="58"/>
  <c r="P2501" i="58"/>
  <c r="O2501" i="58"/>
  <c r="L2501" i="58"/>
  <c r="I2501" i="58"/>
  <c r="J2501" i="58" s="1"/>
  <c r="H2501" i="58"/>
  <c r="P2500" i="58"/>
  <c r="O2500" i="58"/>
  <c r="L2500" i="58"/>
  <c r="I2500" i="58"/>
  <c r="J2500" i="58" s="1"/>
  <c r="H2500" i="58"/>
  <c r="P2499" i="58"/>
  <c r="O2499" i="58"/>
  <c r="L2499" i="58"/>
  <c r="I2499" i="58"/>
  <c r="J2499" i="58" s="1"/>
  <c r="H2499" i="58"/>
  <c r="P2498" i="58"/>
  <c r="O2498" i="58"/>
  <c r="L2498" i="58"/>
  <c r="I2498" i="58"/>
  <c r="J2498" i="58" s="1"/>
  <c r="H2498" i="58"/>
  <c r="P2497" i="58"/>
  <c r="O2497" i="58"/>
  <c r="L2497" i="58"/>
  <c r="I2497" i="58"/>
  <c r="J2497" i="58" s="1"/>
  <c r="H2497" i="58"/>
  <c r="P2496" i="58"/>
  <c r="O2496" i="58"/>
  <c r="L2496" i="58"/>
  <c r="I2496" i="58"/>
  <c r="J2496" i="58" s="1"/>
  <c r="H2496" i="58"/>
  <c r="P2495" i="58"/>
  <c r="O2495" i="58"/>
  <c r="L2495" i="58"/>
  <c r="I2495" i="58"/>
  <c r="J2495" i="58" s="1"/>
  <c r="H2495" i="58"/>
  <c r="P2494" i="58"/>
  <c r="O2494" i="58"/>
  <c r="L2494" i="58"/>
  <c r="I2494" i="58"/>
  <c r="J2494" i="58" s="1"/>
  <c r="H2494" i="58"/>
  <c r="P2493" i="58"/>
  <c r="O2493" i="58"/>
  <c r="L2493" i="58"/>
  <c r="I2493" i="58"/>
  <c r="J2493" i="58" s="1"/>
  <c r="H2493" i="58"/>
  <c r="P2492" i="58"/>
  <c r="O2492" i="58"/>
  <c r="L2492" i="58"/>
  <c r="I2492" i="58"/>
  <c r="J2492" i="58" s="1"/>
  <c r="H2492" i="58"/>
  <c r="P2491" i="58"/>
  <c r="O2491" i="58"/>
  <c r="L2491" i="58"/>
  <c r="I2491" i="58"/>
  <c r="J2491" i="58" s="1"/>
  <c r="H2491" i="58"/>
  <c r="P2490" i="58"/>
  <c r="O2490" i="58"/>
  <c r="L2490" i="58"/>
  <c r="I2490" i="58"/>
  <c r="J2490" i="58" s="1"/>
  <c r="H2490" i="58"/>
  <c r="P2489" i="58"/>
  <c r="O2489" i="58"/>
  <c r="L2489" i="58"/>
  <c r="I2489" i="58"/>
  <c r="J2489" i="58" s="1"/>
  <c r="H2489" i="58"/>
  <c r="P2488" i="58"/>
  <c r="O2488" i="58"/>
  <c r="L2488" i="58"/>
  <c r="I2488" i="58"/>
  <c r="J2488" i="58" s="1"/>
  <c r="H2488" i="58"/>
  <c r="P2487" i="58"/>
  <c r="O2487" i="58"/>
  <c r="L2487" i="58"/>
  <c r="I2487" i="58"/>
  <c r="J2487" i="58" s="1"/>
  <c r="H2487" i="58"/>
  <c r="P2486" i="58"/>
  <c r="O2486" i="58"/>
  <c r="L2486" i="58"/>
  <c r="I2486" i="58"/>
  <c r="J2486" i="58" s="1"/>
  <c r="H2486" i="58"/>
  <c r="P2485" i="58"/>
  <c r="O2485" i="58"/>
  <c r="L2485" i="58"/>
  <c r="I2485" i="58"/>
  <c r="J2485" i="58" s="1"/>
  <c r="H2485" i="58"/>
  <c r="P2484" i="58"/>
  <c r="O2484" i="58"/>
  <c r="L2484" i="58"/>
  <c r="I2484" i="58"/>
  <c r="J2484" i="58" s="1"/>
  <c r="H2484" i="58"/>
  <c r="P2483" i="58"/>
  <c r="O2483" i="58"/>
  <c r="L2483" i="58"/>
  <c r="I2483" i="58"/>
  <c r="J2483" i="58" s="1"/>
  <c r="H2483" i="58"/>
  <c r="P2482" i="58"/>
  <c r="O2482" i="58"/>
  <c r="L2482" i="58"/>
  <c r="I2482" i="58"/>
  <c r="J2482" i="58" s="1"/>
  <c r="H2482" i="58"/>
  <c r="P2481" i="58"/>
  <c r="O2481" i="58"/>
  <c r="L2481" i="58"/>
  <c r="I2481" i="58"/>
  <c r="J2481" i="58" s="1"/>
  <c r="H2481" i="58"/>
  <c r="P2480" i="58"/>
  <c r="O2480" i="58"/>
  <c r="L2480" i="58"/>
  <c r="I2480" i="58"/>
  <c r="J2480" i="58" s="1"/>
  <c r="H2480" i="58"/>
  <c r="P2479" i="58"/>
  <c r="O2479" i="58"/>
  <c r="L2479" i="58"/>
  <c r="I2479" i="58"/>
  <c r="J2479" i="58" s="1"/>
  <c r="H2479" i="58"/>
  <c r="P2478" i="58"/>
  <c r="O2478" i="58"/>
  <c r="L2478" i="58"/>
  <c r="I2478" i="58"/>
  <c r="J2478" i="58" s="1"/>
  <c r="H2478" i="58"/>
  <c r="P2477" i="58"/>
  <c r="O2477" i="58"/>
  <c r="L2477" i="58"/>
  <c r="I2477" i="58"/>
  <c r="J2477" i="58" s="1"/>
  <c r="H2477" i="58"/>
  <c r="P2476" i="58"/>
  <c r="O2476" i="58"/>
  <c r="L2476" i="58"/>
  <c r="I2476" i="58"/>
  <c r="J2476" i="58" s="1"/>
  <c r="H2476" i="58"/>
  <c r="P2475" i="58"/>
  <c r="O2475" i="58"/>
  <c r="L2475" i="58"/>
  <c r="I2475" i="58"/>
  <c r="J2475" i="58" s="1"/>
  <c r="H2475" i="58"/>
  <c r="P2474" i="58"/>
  <c r="O2474" i="58"/>
  <c r="L2474" i="58"/>
  <c r="I2474" i="58"/>
  <c r="J2474" i="58" s="1"/>
  <c r="H2474" i="58"/>
  <c r="P2473" i="58"/>
  <c r="O2473" i="58"/>
  <c r="L2473" i="58"/>
  <c r="I2473" i="58"/>
  <c r="J2473" i="58" s="1"/>
  <c r="H2473" i="58"/>
  <c r="P2472" i="58"/>
  <c r="O2472" i="58"/>
  <c r="L2472" i="58"/>
  <c r="I2472" i="58"/>
  <c r="J2472" i="58" s="1"/>
  <c r="H2472" i="58"/>
  <c r="P2471" i="58"/>
  <c r="O2471" i="58"/>
  <c r="L2471" i="58"/>
  <c r="I2471" i="58"/>
  <c r="J2471" i="58" s="1"/>
  <c r="H2471" i="58"/>
  <c r="P2470" i="58"/>
  <c r="O2470" i="58"/>
  <c r="L2470" i="58"/>
  <c r="I2470" i="58"/>
  <c r="J2470" i="58" s="1"/>
  <c r="H2470" i="58"/>
  <c r="P2469" i="58"/>
  <c r="O2469" i="58"/>
  <c r="L2469" i="58"/>
  <c r="I2469" i="58"/>
  <c r="J2469" i="58" s="1"/>
  <c r="H2469" i="58"/>
  <c r="P2468" i="58"/>
  <c r="O2468" i="58"/>
  <c r="L2468" i="58"/>
  <c r="I2468" i="58"/>
  <c r="J2468" i="58" s="1"/>
  <c r="H2468" i="58"/>
  <c r="P2467" i="58"/>
  <c r="O2467" i="58"/>
  <c r="L2467" i="58"/>
  <c r="I2467" i="58"/>
  <c r="J2467" i="58" s="1"/>
  <c r="H2467" i="58"/>
  <c r="P2466" i="58"/>
  <c r="O2466" i="58"/>
  <c r="L2466" i="58"/>
  <c r="I2466" i="58"/>
  <c r="J2466" i="58" s="1"/>
  <c r="H2466" i="58"/>
  <c r="P2465" i="58"/>
  <c r="O2465" i="58"/>
  <c r="L2465" i="58"/>
  <c r="I2465" i="58"/>
  <c r="J2465" i="58" s="1"/>
  <c r="H2465" i="58"/>
  <c r="P2464" i="58"/>
  <c r="O2464" i="58"/>
  <c r="L2464" i="58"/>
  <c r="I2464" i="58"/>
  <c r="J2464" i="58" s="1"/>
  <c r="H2464" i="58"/>
  <c r="P2463" i="58"/>
  <c r="O2463" i="58"/>
  <c r="L2463" i="58"/>
  <c r="I2463" i="58"/>
  <c r="J2463" i="58" s="1"/>
  <c r="H2463" i="58"/>
  <c r="P2462" i="58"/>
  <c r="O2462" i="58"/>
  <c r="L2462" i="58"/>
  <c r="I2462" i="58"/>
  <c r="J2462" i="58" s="1"/>
  <c r="H2462" i="58"/>
  <c r="P2461" i="58"/>
  <c r="O2461" i="58"/>
  <c r="L2461" i="58"/>
  <c r="I2461" i="58"/>
  <c r="J2461" i="58" s="1"/>
  <c r="H2461" i="58"/>
  <c r="P2460" i="58"/>
  <c r="O2460" i="58"/>
  <c r="L2460" i="58"/>
  <c r="I2460" i="58"/>
  <c r="J2460" i="58" s="1"/>
  <c r="H2460" i="58"/>
  <c r="P2459" i="58"/>
  <c r="O2459" i="58"/>
  <c r="L2459" i="58"/>
  <c r="I2459" i="58"/>
  <c r="J2459" i="58" s="1"/>
  <c r="H2459" i="58"/>
  <c r="P2458" i="58"/>
  <c r="O2458" i="58"/>
  <c r="L2458" i="58"/>
  <c r="I2458" i="58"/>
  <c r="J2458" i="58" s="1"/>
  <c r="H2458" i="58"/>
  <c r="P2457" i="58"/>
  <c r="O2457" i="58"/>
  <c r="L2457" i="58"/>
  <c r="I2457" i="58"/>
  <c r="J2457" i="58" s="1"/>
  <c r="H2457" i="58"/>
  <c r="P2456" i="58"/>
  <c r="O2456" i="58"/>
  <c r="L2456" i="58"/>
  <c r="I2456" i="58"/>
  <c r="J2456" i="58" s="1"/>
  <c r="H2456" i="58"/>
  <c r="P2455" i="58"/>
  <c r="O2455" i="58"/>
  <c r="L2455" i="58"/>
  <c r="I2455" i="58"/>
  <c r="J2455" i="58" s="1"/>
  <c r="H2455" i="58"/>
  <c r="P2454" i="58"/>
  <c r="O2454" i="58"/>
  <c r="L2454" i="58"/>
  <c r="I2454" i="58"/>
  <c r="J2454" i="58" s="1"/>
  <c r="H2454" i="58"/>
  <c r="P2453" i="58"/>
  <c r="O2453" i="58"/>
  <c r="L2453" i="58"/>
  <c r="I2453" i="58"/>
  <c r="J2453" i="58" s="1"/>
  <c r="H2453" i="58"/>
  <c r="P2452" i="58"/>
  <c r="O2452" i="58"/>
  <c r="L2452" i="58"/>
  <c r="I2452" i="58"/>
  <c r="J2452" i="58" s="1"/>
  <c r="H2452" i="58"/>
  <c r="P2451" i="58"/>
  <c r="O2451" i="58"/>
  <c r="L2451" i="58"/>
  <c r="I2451" i="58"/>
  <c r="J2451" i="58" s="1"/>
  <c r="H2451" i="58"/>
  <c r="P2450" i="58"/>
  <c r="O2450" i="58"/>
  <c r="L2450" i="58"/>
  <c r="I2450" i="58"/>
  <c r="J2450" i="58" s="1"/>
  <c r="H2450" i="58"/>
  <c r="P2449" i="58"/>
  <c r="O2449" i="58"/>
  <c r="L2449" i="58"/>
  <c r="I2449" i="58"/>
  <c r="J2449" i="58" s="1"/>
  <c r="H2449" i="58"/>
  <c r="P2448" i="58"/>
  <c r="O2448" i="58"/>
  <c r="L2448" i="58"/>
  <c r="I2448" i="58"/>
  <c r="J2448" i="58" s="1"/>
  <c r="H2448" i="58"/>
  <c r="P2447" i="58"/>
  <c r="O2447" i="58"/>
  <c r="L2447" i="58"/>
  <c r="I2447" i="58"/>
  <c r="J2447" i="58" s="1"/>
  <c r="H2447" i="58"/>
  <c r="P2446" i="58"/>
  <c r="O2446" i="58"/>
  <c r="L2446" i="58"/>
  <c r="I2446" i="58"/>
  <c r="J2446" i="58" s="1"/>
  <c r="H2446" i="58"/>
  <c r="P2445" i="58"/>
  <c r="O2445" i="58"/>
  <c r="L2445" i="58"/>
  <c r="I2445" i="58"/>
  <c r="J2445" i="58" s="1"/>
  <c r="H2445" i="58"/>
  <c r="P2444" i="58"/>
  <c r="O2444" i="58"/>
  <c r="L2444" i="58"/>
  <c r="I2444" i="58"/>
  <c r="J2444" i="58" s="1"/>
  <c r="H2444" i="58"/>
  <c r="P2443" i="58"/>
  <c r="O2443" i="58"/>
  <c r="L2443" i="58"/>
  <c r="I2443" i="58"/>
  <c r="J2443" i="58" s="1"/>
  <c r="H2443" i="58"/>
  <c r="P2442" i="58"/>
  <c r="O2442" i="58"/>
  <c r="L2442" i="58"/>
  <c r="I2442" i="58"/>
  <c r="J2442" i="58" s="1"/>
  <c r="H2442" i="58"/>
  <c r="P2441" i="58"/>
  <c r="O2441" i="58"/>
  <c r="L2441" i="58"/>
  <c r="I2441" i="58"/>
  <c r="J2441" i="58" s="1"/>
  <c r="H2441" i="58"/>
  <c r="P2440" i="58"/>
  <c r="O2440" i="58"/>
  <c r="L2440" i="58"/>
  <c r="I2440" i="58"/>
  <c r="J2440" i="58" s="1"/>
  <c r="H2440" i="58"/>
  <c r="P2439" i="58"/>
  <c r="O2439" i="58"/>
  <c r="L2439" i="58"/>
  <c r="I2439" i="58"/>
  <c r="J2439" i="58" s="1"/>
  <c r="H2439" i="58"/>
  <c r="P2438" i="58"/>
  <c r="O2438" i="58"/>
  <c r="L2438" i="58"/>
  <c r="I2438" i="58"/>
  <c r="J2438" i="58" s="1"/>
  <c r="H2438" i="58"/>
  <c r="P2437" i="58"/>
  <c r="O2437" i="58"/>
  <c r="L2437" i="58"/>
  <c r="I2437" i="58"/>
  <c r="J2437" i="58" s="1"/>
  <c r="H2437" i="58"/>
  <c r="P2436" i="58"/>
  <c r="O2436" i="58"/>
  <c r="L2436" i="58"/>
  <c r="I2436" i="58"/>
  <c r="J2436" i="58" s="1"/>
  <c r="H2436" i="58"/>
  <c r="P2435" i="58"/>
  <c r="O2435" i="58"/>
  <c r="L2435" i="58"/>
  <c r="I2435" i="58"/>
  <c r="J2435" i="58" s="1"/>
  <c r="H2435" i="58"/>
  <c r="P2434" i="58"/>
  <c r="O2434" i="58"/>
  <c r="L2434" i="58"/>
  <c r="I2434" i="58"/>
  <c r="J2434" i="58" s="1"/>
  <c r="H2434" i="58"/>
  <c r="P2433" i="58"/>
  <c r="O2433" i="58"/>
  <c r="L2433" i="58"/>
  <c r="I2433" i="58"/>
  <c r="J2433" i="58" s="1"/>
  <c r="H2433" i="58"/>
  <c r="P2432" i="58"/>
  <c r="O2432" i="58"/>
  <c r="L2432" i="58"/>
  <c r="I2432" i="58"/>
  <c r="J2432" i="58" s="1"/>
  <c r="H2432" i="58"/>
  <c r="P2431" i="58"/>
  <c r="O2431" i="58"/>
  <c r="L2431" i="58"/>
  <c r="I2431" i="58"/>
  <c r="J2431" i="58" s="1"/>
  <c r="H2431" i="58"/>
  <c r="P2430" i="58"/>
  <c r="O2430" i="58"/>
  <c r="L2430" i="58"/>
  <c r="I2430" i="58"/>
  <c r="J2430" i="58" s="1"/>
  <c r="H2430" i="58"/>
  <c r="P2429" i="58"/>
  <c r="O2429" i="58"/>
  <c r="L2429" i="58"/>
  <c r="I2429" i="58"/>
  <c r="J2429" i="58" s="1"/>
  <c r="H2429" i="58"/>
  <c r="P2428" i="58"/>
  <c r="O2428" i="58"/>
  <c r="L2428" i="58"/>
  <c r="I2428" i="58"/>
  <c r="J2428" i="58" s="1"/>
  <c r="H2428" i="58"/>
  <c r="P2427" i="58"/>
  <c r="O2427" i="58"/>
  <c r="L2427" i="58"/>
  <c r="I2427" i="58"/>
  <c r="J2427" i="58" s="1"/>
  <c r="H2427" i="58"/>
  <c r="P2426" i="58"/>
  <c r="O2426" i="58"/>
  <c r="L2426" i="58"/>
  <c r="I2426" i="58"/>
  <c r="J2426" i="58" s="1"/>
  <c r="H2426" i="58"/>
  <c r="P2425" i="58"/>
  <c r="O2425" i="58"/>
  <c r="L2425" i="58"/>
  <c r="I2425" i="58"/>
  <c r="J2425" i="58" s="1"/>
  <c r="H2425" i="58"/>
  <c r="P2424" i="58"/>
  <c r="O2424" i="58"/>
  <c r="L2424" i="58"/>
  <c r="I2424" i="58"/>
  <c r="J2424" i="58" s="1"/>
  <c r="H2424" i="58"/>
  <c r="P2423" i="58"/>
  <c r="O2423" i="58"/>
  <c r="L2423" i="58"/>
  <c r="I2423" i="58"/>
  <c r="J2423" i="58" s="1"/>
  <c r="H2423" i="58"/>
  <c r="P2422" i="58"/>
  <c r="O2422" i="58"/>
  <c r="L2422" i="58"/>
  <c r="I2422" i="58"/>
  <c r="J2422" i="58" s="1"/>
  <c r="H2422" i="58"/>
  <c r="P2421" i="58"/>
  <c r="O2421" i="58"/>
  <c r="L2421" i="58"/>
  <c r="I2421" i="58"/>
  <c r="J2421" i="58" s="1"/>
  <c r="H2421" i="58"/>
  <c r="P2420" i="58"/>
  <c r="O2420" i="58"/>
  <c r="L2420" i="58"/>
  <c r="I2420" i="58"/>
  <c r="J2420" i="58" s="1"/>
  <c r="H2420" i="58"/>
  <c r="P2419" i="58"/>
  <c r="O2419" i="58"/>
  <c r="L2419" i="58"/>
  <c r="I2419" i="58"/>
  <c r="J2419" i="58" s="1"/>
  <c r="H2419" i="58"/>
  <c r="P2418" i="58"/>
  <c r="O2418" i="58"/>
  <c r="L2418" i="58"/>
  <c r="I2418" i="58"/>
  <c r="J2418" i="58" s="1"/>
  <c r="H2418" i="58"/>
  <c r="P2417" i="58"/>
  <c r="O2417" i="58"/>
  <c r="L2417" i="58"/>
  <c r="I2417" i="58"/>
  <c r="J2417" i="58" s="1"/>
  <c r="H2417" i="58"/>
  <c r="P2416" i="58"/>
  <c r="O2416" i="58"/>
  <c r="L2416" i="58"/>
  <c r="I2416" i="58"/>
  <c r="J2416" i="58" s="1"/>
  <c r="H2416" i="58"/>
  <c r="P2415" i="58"/>
  <c r="O2415" i="58"/>
  <c r="L2415" i="58"/>
  <c r="I2415" i="58"/>
  <c r="J2415" i="58" s="1"/>
  <c r="H2415" i="58"/>
  <c r="P2414" i="58"/>
  <c r="O2414" i="58"/>
  <c r="L2414" i="58"/>
  <c r="I2414" i="58"/>
  <c r="J2414" i="58" s="1"/>
  <c r="H2414" i="58"/>
  <c r="P2413" i="58"/>
  <c r="O2413" i="58"/>
  <c r="L2413" i="58"/>
  <c r="I2413" i="58"/>
  <c r="J2413" i="58" s="1"/>
  <c r="H2413" i="58"/>
  <c r="P2412" i="58"/>
  <c r="O2412" i="58"/>
  <c r="L2412" i="58"/>
  <c r="I2412" i="58"/>
  <c r="J2412" i="58" s="1"/>
  <c r="H2412" i="58"/>
  <c r="P2411" i="58"/>
  <c r="O2411" i="58"/>
  <c r="L2411" i="58"/>
  <c r="I2411" i="58"/>
  <c r="J2411" i="58" s="1"/>
  <c r="H2411" i="58"/>
  <c r="P2410" i="58"/>
  <c r="O2410" i="58"/>
  <c r="L2410" i="58"/>
  <c r="I2410" i="58"/>
  <c r="J2410" i="58" s="1"/>
  <c r="H2410" i="58"/>
  <c r="P2409" i="58"/>
  <c r="O2409" i="58"/>
  <c r="L2409" i="58"/>
  <c r="I2409" i="58"/>
  <c r="J2409" i="58" s="1"/>
  <c r="H2409" i="58"/>
  <c r="P2408" i="58"/>
  <c r="O2408" i="58"/>
  <c r="L2408" i="58"/>
  <c r="I2408" i="58"/>
  <c r="J2408" i="58" s="1"/>
  <c r="H2408" i="58"/>
  <c r="P2407" i="58"/>
  <c r="O2407" i="58"/>
  <c r="L2407" i="58"/>
  <c r="I2407" i="58"/>
  <c r="J2407" i="58" s="1"/>
  <c r="H2407" i="58"/>
  <c r="P2406" i="58"/>
  <c r="O2406" i="58"/>
  <c r="L2406" i="58"/>
  <c r="I2406" i="58"/>
  <c r="J2406" i="58" s="1"/>
  <c r="H2406" i="58"/>
  <c r="P2405" i="58"/>
  <c r="O2405" i="58"/>
  <c r="L2405" i="58"/>
  <c r="I2405" i="58"/>
  <c r="J2405" i="58" s="1"/>
  <c r="H2405" i="58"/>
  <c r="P2404" i="58"/>
  <c r="O2404" i="58"/>
  <c r="L2404" i="58"/>
  <c r="I2404" i="58"/>
  <c r="J2404" i="58" s="1"/>
  <c r="H2404" i="58"/>
  <c r="P2403" i="58"/>
  <c r="O2403" i="58"/>
  <c r="L2403" i="58"/>
  <c r="I2403" i="58"/>
  <c r="J2403" i="58" s="1"/>
  <c r="H2403" i="58"/>
  <c r="P2402" i="58"/>
  <c r="O2402" i="58"/>
  <c r="L2402" i="58"/>
  <c r="I2402" i="58"/>
  <c r="J2402" i="58" s="1"/>
  <c r="H2402" i="58"/>
  <c r="P2401" i="58"/>
  <c r="O2401" i="58"/>
  <c r="L2401" i="58"/>
  <c r="I2401" i="58"/>
  <c r="J2401" i="58" s="1"/>
  <c r="H2401" i="58"/>
  <c r="P2400" i="58"/>
  <c r="O2400" i="58"/>
  <c r="L2400" i="58"/>
  <c r="I2400" i="58"/>
  <c r="J2400" i="58" s="1"/>
  <c r="H2400" i="58"/>
  <c r="P2399" i="58"/>
  <c r="O2399" i="58"/>
  <c r="L2399" i="58"/>
  <c r="I2399" i="58"/>
  <c r="J2399" i="58" s="1"/>
  <c r="H2399" i="58"/>
  <c r="P2398" i="58"/>
  <c r="O2398" i="58"/>
  <c r="L2398" i="58"/>
  <c r="I2398" i="58"/>
  <c r="J2398" i="58" s="1"/>
  <c r="H2398" i="58"/>
  <c r="P2397" i="58"/>
  <c r="O2397" i="58"/>
  <c r="L2397" i="58"/>
  <c r="I2397" i="58"/>
  <c r="J2397" i="58" s="1"/>
  <c r="H2397" i="58"/>
  <c r="P2396" i="58"/>
  <c r="O2396" i="58"/>
  <c r="L2396" i="58"/>
  <c r="I2396" i="58"/>
  <c r="J2396" i="58" s="1"/>
  <c r="H2396" i="58"/>
  <c r="P2395" i="58"/>
  <c r="O2395" i="58"/>
  <c r="L2395" i="58"/>
  <c r="I2395" i="58"/>
  <c r="J2395" i="58" s="1"/>
  <c r="H2395" i="58"/>
  <c r="P2394" i="58"/>
  <c r="O2394" i="58"/>
  <c r="L2394" i="58"/>
  <c r="I2394" i="58"/>
  <c r="J2394" i="58" s="1"/>
  <c r="H2394" i="58"/>
  <c r="P2393" i="58"/>
  <c r="O2393" i="58"/>
  <c r="L2393" i="58"/>
  <c r="I2393" i="58"/>
  <c r="J2393" i="58" s="1"/>
  <c r="H2393" i="58"/>
  <c r="P2392" i="58"/>
  <c r="O2392" i="58"/>
  <c r="L2392" i="58"/>
  <c r="I2392" i="58"/>
  <c r="J2392" i="58" s="1"/>
  <c r="H2392" i="58"/>
  <c r="P2391" i="58"/>
  <c r="O2391" i="58"/>
  <c r="L2391" i="58"/>
  <c r="I2391" i="58"/>
  <c r="J2391" i="58" s="1"/>
  <c r="H2391" i="58"/>
  <c r="P2390" i="58"/>
  <c r="O2390" i="58"/>
  <c r="L2390" i="58"/>
  <c r="I2390" i="58"/>
  <c r="J2390" i="58" s="1"/>
  <c r="H2390" i="58"/>
  <c r="P2389" i="58"/>
  <c r="O2389" i="58"/>
  <c r="L2389" i="58"/>
  <c r="I2389" i="58"/>
  <c r="J2389" i="58" s="1"/>
  <c r="H2389" i="58"/>
  <c r="P2388" i="58"/>
  <c r="O2388" i="58"/>
  <c r="L2388" i="58"/>
  <c r="I2388" i="58"/>
  <c r="J2388" i="58" s="1"/>
  <c r="H2388" i="58"/>
  <c r="P2387" i="58"/>
  <c r="O2387" i="58"/>
  <c r="L2387" i="58"/>
  <c r="I2387" i="58"/>
  <c r="J2387" i="58" s="1"/>
  <c r="H2387" i="58"/>
  <c r="P2386" i="58"/>
  <c r="O2386" i="58"/>
  <c r="L2386" i="58"/>
  <c r="I2386" i="58"/>
  <c r="J2386" i="58" s="1"/>
  <c r="H2386" i="58"/>
  <c r="P2385" i="58"/>
  <c r="O2385" i="58"/>
  <c r="L2385" i="58"/>
  <c r="I2385" i="58"/>
  <c r="J2385" i="58" s="1"/>
  <c r="H2385" i="58"/>
  <c r="P2384" i="58"/>
  <c r="O2384" i="58"/>
  <c r="L2384" i="58"/>
  <c r="I2384" i="58"/>
  <c r="J2384" i="58" s="1"/>
  <c r="H2384" i="58"/>
  <c r="P2383" i="58"/>
  <c r="O2383" i="58"/>
  <c r="L2383" i="58"/>
  <c r="I2383" i="58"/>
  <c r="J2383" i="58" s="1"/>
  <c r="H2383" i="58"/>
  <c r="P2382" i="58"/>
  <c r="O2382" i="58"/>
  <c r="L2382" i="58"/>
  <c r="I2382" i="58"/>
  <c r="J2382" i="58" s="1"/>
  <c r="H2382" i="58"/>
  <c r="P2381" i="58"/>
  <c r="O2381" i="58"/>
  <c r="L2381" i="58"/>
  <c r="I2381" i="58"/>
  <c r="J2381" i="58" s="1"/>
  <c r="H2381" i="58"/>
  <c r="P2380" i="58"/>
  <c r="O2380" i="58"/>
  <c r="L2380" i="58"/>
  <c r="I2380" i="58"/>
  <c r="J2380" i="58" s="1"/>
  <c r="H2380" i="58"/>
  <c r="P2379" i="58"/>
  <c r="O2379" i="58"/>
  <c r="L2379" i="58"/>
  <c r="I2379" i="58"/>
  <c r="J2379" i="58" s="1"/>
  <c r="H2379" i="58"/>
  <c r="P2378" i="58"/>
  <c r="O2378" i="58"/>
  <c r="L2378" i="58"/>
  <c r="I2378" i="58"/>
  <c r="J2378" i="58" s="1"/>
  <c r="H2378" i="58"/>
  <c r="P2377" i="58"/>
  <c r="O2377" i="58"/>
  <c r="L2377" i="58"/>
  <c r="I2377" i="58"/>
  <c r="J2377" i="58" s="1"/>
  <c r="H2377" i="58"/>
  <c r="P2376" i="58"/>
  <c r="O2376" i="58"/>
  <c r="L2376" i="58"/>
  <c r="I2376" i="58"/>
  <c r="J2376" i="58" s="1"/>
  <c r="H2376" i="58"/>
  <c r="P2375" i="58"/>
  <c r="O2375" i="58"/>
  <c r="L2375" i="58"/>
  <c r="I2375" i="58"/>
  <c r="J2375" i="58" s="1"/>
  <c r="H2375" i="58"/>
  <c r="P2374" i="58"/>
  <c r="O2374" i="58"/>
  <c r="L2374" i="58"/>
  <c r="I2374" i="58"/>
  <c r="J2374" i="58" s="1"/>
  <c r="H2374" i="58"/>
  <c r="P2373" i="58"/>
  <c r="O2373" i="58"/>
  <c r="L2373" i="58"/>
  <c r="I2373" i="58"/>
  <c r="J2373" i="58" s="1"/>
  <c r="H2373" i="58"/>
  <c r="P2372" i="58"/>
  <c r="O2372" i="58"/>
  <c r="L2372" i="58"/>
  <c r="I2372" i="58"/>
  <c r="J2372" i="58" s="1"/>
  <c r="H2372" i="58"/>
  <c r="P2371" i="58"/>
  <c r="O2371" i="58"/>
  <c r="L2371" i="58"/>
  <c r="I2371" i="58"/>
  <c r="J2371" i="58" s="1"/>
  <c r="H2371" i="58"/>
  <c r="P2370" i="58"/>
  <c r="O2370" i="58"/>
  <c r="L2370" i="58"/>
  <c r="I2370" i="58"/>
  <c r="J2370" i="58" s="1"/>
  <c r="H2370" i="58"/>
  <c r="P2369" i="58"/>
  <c r="O2369" i="58"/>
  <c r="L2369" i="58"/>
  <c r="I2369" i="58"/>
  <c r="J2369" i="58" s="1"/>
  <c r="H2369" i="58"/>
  <c r="P2368" i="58"/>
  <c r="O2368" i="58"/>
  <c r="L2368" i="58"/>
  <c r="I2368" i="58"/>
  <c r="J2368" i="58" s="1"/>
  <c r="H2368" i="58"/>
  <c r="P2367" i="58"/>
  <c r="O2367" i="58"/>
  <c r="L2367" i="58"/>
  <c r="I2367" i="58"/>
  <c r="J2367" i="58" s="1"/>
  <c r="H2367" i="58"/>
  <c r="P2366" i="58"/>
  <c r="O2366" i="58"/>
  <c r="L2366" i="58"/>
  <c r="I2366" i="58"/>
  <c r="J2366" i="58" s="1"/>
  <c r="H2366" i="58"/>
  <c r="P2365" i="58"/>
  <c r="O2365" i="58"/>
  <c r="L2365" i="58"/>
  <c r="I2365" i="58"/>
  <c r="J2365" i="58" s="1"/>
  <c r="H2365" i="58"/>
  <c r="G2365" i="58"/>
  <c r="P2364" i="58"/>
  <c r="O2364" i="58"/>
  <c r="L2364" i="58"/>
  <c r="I2364" i="58"/>
  <c r="J2364" i="58" s="1"/>
  <c r="H2364" i="58"/>
  <c r="G2364" i="58"/>
  <c r="P2363" i="58"/>
  <c r="O2363" i="58"/>
  <c r="L2363" i="58"/>
  <c r="I2363" i="58"/>
  <c r="J2363" i="58" s="1"/>
  <c r="H2363" i="58"/>
  <c r="G2363" i="58"/>
  <c r="P2362" i="58"/>
  <c r="O2362" i="58"/>
  <c r="L2362" i="58"/>
  <c r="I2362" i="58"/>
  <c r="J2362" i="58" s="1"/>
  <c r="H2362" i="58"/>
  <c r="G2362" i="58"/>
  <c r="P2361" i="58"/>
  <c r="O2361" i="58"/>
  <c r="L2361" i="58"/>
  <c r="I2361" i="58"/>
  <c r="J2361" i="58" s="1"/>
  <c r="H2361" i="58"/>
  <c r="G2361" i="58"/>
  <c r="P2360" i="58"/>
  <c r="O2360" i="58"/>
  <c r="L2360" i="58"/>
  <c r="I2360" i="58"/>
  <c r="J2360" i="58" s="1"/>
  <c r="H2360" i="58"/>
  <c r="G2360" i="58"/>
  <c r="P2359" i="58"/>
  <c r="O2359" i="58"/>
  <c r="L2359" i="58"/>
  <c r="I2359" i="58"/>
  <c r="J2359" i="58" s="1"/>
  <c r="H2359" i="58"/>
  <c r="G2359" i="58"/>
  <c r="P2358" i="58"/>
  <c r="O2358" i="58"/>
  <c r="L2358" i="58"/>
  <c r="I2358" i="58"/>
  <c r="J2358" i="58" s="1"/>
  <c r="H2358" i="58"/>
  <c r="G2358" i="58"/>
  <c r="P2357" i="58"/>
  <c r="O2357" i="58"/>
  <c r="L2357" i="58"/>
  <c r="I2357" i="58"/>
  <c r="J2357" i="58" s="1"/>
  <c r="H2357" i="58"/>
  <c r="G2357" i="58"/>
  <c r="P2356" i="58"/>
  <c r="O2356" i="58"/>
  <c r="L2356" i="58"/>
  <c r="I2356" i="58"/>
  <c r="J2356" i="58" s="1"/>
  <c r="H2356" i="58"/>
  <c r="G2356" i="58"/>
  <c r="P2355" i="58"/>
  <c r="O2355" i="58"/>
  <c r="L2355" i="58"/>
  <c r="I2355" i="58"/>
  <c r="J2355" i="58" s="1"/>
  <c r="H2355" i="58"/>
  <c r="G2355" i="58"/>
  <c r="P2354" i="58"/>
  <c r="O2354" i="58"/>
  <c r="L2354" i="58"/>
  <c r="I2354" i="58"/>
  <c r="J2354" i="58" s="1"/>
  <c r="H2354" i="58"/>
  <c r="G2354" i="58"/>
  <c r="P2353" i="58"/>
  <c r="O2353" i="58"/>
  <c r="L2353" i="58"/>
  <c r="I2353" i="58"/>
  <c r="J2353" i="58" s="1"/>
  <c r="H2353" i="58"/>
  <c r="G2353" i="58"/>
  <c r="P2352" i="58"/>
  <c r="O2352" i="58"/>
  <c r="L2352" i="58"/>
  <c r="I2352" i="58"/>
  <c r="J2352" i="58" s="1"/>
  <c r="H2352" i="58"/>
  <c r="G2352" i="58"/>
  <c r="P2351" i="58"/>
  <c r="O2351" i="58"/>
  <c r="L2351" i="58"/>
  <c r="I2351" i="58"/>
  <c r="J2351" i="58" s="1"/>
  <c r="H2351" i="58"/>
  <c r="G2351" i="58"/>
  <c r="P2350" i="58"/>
  <c r="O2350" i="58"/>
  <c r="L2350" i="58"/>
  <c r="I2350" i="58"/>
  <c r="J2350" i="58" s="1"/>
  <c r="H2350" i="58"/>
  <c r="G2350" i="58"/>
  <c r="P2349" i="58"/>
  <c r="O2349" i="58"/>
  <c r="L2349" i="58"/>
  <c r="I2349" i="58"/>
  <c r="J2349" i="58" s="1"/>
  <c r="H2349" i="58"/>
  <c r="G2349" i="58"/>
  <c r="P2348" i="58"/>
  <c r="O2348" i="58"/>
  <c r="L2348" i="58"/>
  <c r="I2348" i="58"/>
  <c r="J2348" i="58" s="1"/>
  <c r="H2348" i="58"/>
  <c r="G2348" i="58"/>
  <c r="P2347" i="58"/>
  <c r="O2347" i="58"/>
  <c r="L2347" i="58"/>
  <c r="I2347" i="58"/>
  <c r="J2347" i="58" s="1"/>
  <c r="H2347" i="58"/>
  <c r="G2347" i="58"/>
  <c r="P2346" i="58"/>
  <c r="O2346" i="58"/>
  <c r="L2346" i="58"/>
  <c r="I2346" i="58"/>
  <c r="J2346" i="58" s="1"/>
  <c r="H2346" i="58"/>
  <c r="G2346" i="58"/>
  <c r="P2345" i="58"/>
  <c r="O2345" i="58"/>
  <c r="L2345" i="58"/>
  <c r="I2345" i="58"/>
  <c r="J2345" i="58" s="1"/>
  <c r="H2345" i="58"/>
  <c r="G2345" i="58"/>
  <c r="P2344" i="58"/>
  <c r="O2344" i="58"/>
  <c r="L2344" i="58"/>
  <c r="I2344" i="58"/>
  <c r="J2344" i="58" s="1"/>
  <c r="H2344" i="58"/>
  <c r="P2343" i="58"/>
  <c r="O2343" i="58"/>
  <c r="L2343" i="58"/>
  <c r="I2343" i="58"/>
  <c r="J2343" i="58" s="1"/>
  <c r="H2343" i="58"/>
  <c r="P2342" i="58"/>
  <c r="O2342" i="58"/>
  <c r="L2342" i="58"/>
  <c r="I2342" i="58"/>
  <c r="J2342" i="58" s="1"/>
  <c r="H2342" i="58"/>
  <c r="P2341" i="58"/>
  <c r="O2341" i="58"/>
  <c r="L2341" i="58"/>
  <c r="I2341" i="58"/>
  <c r="J2341" i="58" s="1"/>
  <c r="H2341" i="58"/>
  <c r="P2340" i="58"/>
  <c r="O2340" i="58"/>
  <c r="L2340" i="58"/>
  <c r="I2340" i="58"/>
  <c r="J2340" i="58" s="1"/>
  <c r="H2340" i="58"/>
  <c r="P2339" i="58"/>
  <c r="O2339" i="58"/>
  <c r="L2339" i="58"/>
  <c r="I2339" i="58"/>
  <c r="J2339" i="58" s="1"/>
  <c r="H2339" i="58"/>
  <c r="P2338" i="58"/>
  <c r="O2338" i="58"/>
  <c r="L2338" i="58"/>
  <c r="I2338" i="58"/>
  <c r="J2338" i="58" s="1"/>
  <c r="H2338" i="58"/>
  <c r="P2337" i="58"/>
  <c r="O2337" i="58"/>
  <c r="L2337" i="58"/>
  <c r="I2337" i="58"/>
  <c r="J2337" i="58" s="1"/>
  <c r="H2337" i="58"/>
  <c r="P2336" i="58"/>
  <c r="O2336" i="58"/>
  <c r="L2336" i="58"/>
  <c r="I2336" i="58"/>
  <c r="J2336" i="58" s="1"/>
  <c r="H2336" i="58"/>
  <c r="P2335" i="58"/>
  <c r="O2335" i="58"/>
  <c r="L2335" i="58"/>
  <c r="I2335" i="58"/>
  <c r="J2335" i="58" s="1"/>
  <c r="H2335" i="58"/>
  <c r="P2334" i="58"/>
  <c r="O2334" i="58"/>
  <c r="L2334" i="58"/>
  <c r="I2334" i="58"/>
  <c r="J2334" i="58" s="1"/>
  <c r="H2334" i="58"/>
  <c r="P2333" i="58"/>
  <c r="O2333" i="58"/>
  <c r="L2333" i="58"/>
  <c r="I2333" i="58"/>
  <c r="J2333" i="58" s="1"/>
  <c r="H2333" i="58"/>
  <c r="P2332" i="58"/>
  <c r="O2332" i="58"/>
  <c r="L2332" i="58"/>
  <c r="I2332" i="58"/>
  <c r="J2332" i="58" s="1"/>
  <c r="H2332" i="58"/>
  <c r="P2331" i="58"/>
  <c r="O2331" i="58"/>
  <c r="L2331" i="58"/>
  <c r="I2331" i="58"/>
  <c r="J2331" i="58" s="1"/>
  <c r="H2331" i="58"/>
  <c r="P2330" i="58"/>
  <c r="O2330" i="58"/>
  <c r="L2330" i="58"/>
  <c r="I2330" i="58"/>
  <c r="J2330" i="58" s="1"/>
  <c r="H2330" i="58"/>
  <c r="P2329" i="58"/>
  <c r="O2329" i="58"/>
  <c r="L2329" i="58"/>
  <c r="I2329" i="58"/>
  <c r="J2329" i="58" s="1"/>
  <c r="H2329" i="58"/>
  <c r="P2328" i="58"/>
  <c r="O2328" i="58"/>
  <c r="L2328" i="58"/>
  <c r="I2328" i="58"/>
  <c r="J2328" i="58" s="1"/>
  <c r="H2328" i="58"/>
  <c r="P2327" i="58"/>
  <c r="O2327" i="58"/>
  <c r="L2327" i="58"/>
  <c r="I2327" i="58"/>
  <c r="J2327" i="58" s="1"/>
  <c r="H2327" i="58"/>
  <c r="P2326" i="58"/>
  <c r="O2326" i="58"/>
  <c r="L2326" i="58"/>
  <c r="I2326" i="58"/>
  <c r="J2326" i="58" s="1"/>
  <c r="H2326" i="58"/>
  <c r="P2325" i="58"/>
  <c r="O2325" i="58"/>
  <c r="L2325" i="58"/>
  <c r="I2325" i="58"/>
  <c r="J2325" i="58" s="1"/>
  <c r="H2325" i="58"/>
  <c r="P2324" i="58"/>
  <c r="O2324" i="58"/>
  <c r="L2324" i="58"/>
  <c r="I2324" i="58"/>
  <c r="J2324" i="58" s="1"/>
  <c r="H2324" i="58"/>
  <c r="P2323" i="58"/>
  <c r="O2323" i="58"/>
  <c r="L2323" i="58"/>
  <c r="I2323" i="58"/>
  <c r="J2323" i="58" s="1"/>
  <c r="H2323" i="58"/>
  <c r="P2322" i="58"/>
  <c r="O2322" i="58"/>
  <c r="L2322" i="58"/>
  <c r="I2322" i="58"/>
  <c r="J2322" i="58" s="1"/>
  <c r="H2322" i="58"/>
  <c r="P2321" i="58"/>
  <c r="O2321" i="58"/>
  <c r="L2321" i="58"/>
  <c r="I2321" i="58"/>
  <c r="J2321" i="58" s="1"/>
  <c r="H2321" i="58"/>
  <c r="P2320" i="58"/>
  <c r="O2320" i="58"/>
  <c r="L2320" i="58"/>
  <c r="I2320" i="58"/>
  <c r="J2320" i="58" s="1"/>
  <c r="H2320" i="58"/>
  <c r="P2319" i="58"/>
  <c r="O2319" i="58"/>
  <c r="L2319" i="58"/>
  <c r="I2319" i="58"/>
  <c r="J2319" i="58" s="1"/>
  <c r="H2319" i="58"/>
  <c r="P2318" i="58"/>
  <c r="O2318" i="58"/>
  <c r="L2318" i="58"/>
  <c r="I2318" i="58"/>
  <c r="J2318" i="58" s="1"/>
  <c r="H2318" i="58"/>
  <c r="P2317" i="58"/>
  <c r="O2317" i="58"/>
  <c r="L2317" i="58"/>
  <c r="I2317" i="58"/>
  <c r="J2317" i="58" s="1"/>
  <c r="H2317" i="58"/>
  <c r="P2316" i="58"/>
  <c r="O2316" i="58"/>
  <c r="L2316" i="58"/>
  <c r="I2316" i="58"/>
  <c r="J2316" i="58" s="1"/>
  <c r="H2316" i="58"/>
  <c r="P2315" i="58"/>
  <c r="O2315" i="58"/>
  <c r="L2315" i="58"/>
  <c r="I2315" i="58"/>
  <c r="J2315" i="58" s="1"/>
  <c r="H2315" i="58"/>
  <c r="P2314" i="58"/>
  <c r="O2314" i="58"/>
  <c r="L2314" i="58"/>
  <c r="I2314" i="58"/>
  <c r="J2314" i="58" s="1"/>
  <c r="H2314" i="58"/>
  <c r="P2313" i="58"/>
  <c r="O2313" i="58"/>
  <c r="L2313" i="58"/>
  <c r="I2313" i="58"/>
  <c r="J2313" i="58" s="1"/>
  <c r="H2313" i="58"/>
  <c r="P2312" i="58"/>
  <c r="O2312" i="58"/>
  <c r="L2312" i="58"/>
  <c r="I2312" i="58"/>
  <c r="J2312" i="58" s="1"/>
  <c r="H2312" i="58"/>
  <c r="P2311" i="58"/>
  <c r="O2311" i="58"/>
  <c r="L2311" i="58"/>
  <c r="I2311" i="58"/>
  <c r="J2311" i="58" s="1"/>
  <c r="H2311" i="58"/>
  <c r="P2310" i="58"/>
  <c r="O2310" i="58"/>
  <c r="L2310" i="58"/>
  <c r="I2310" i="58"/>
  <c r="J2310" i="58" s="1"/>
  <c r="H2310" i="58"/>
  <c r="P2309" i="58"/>
  <c r="O2309" i="58"/>
  <c r="L2309" i="58"/>
  <c r="I2309" i="58"/>
  <c r="J2309" i="58" s="1"/>
  <c r="H2309" i="58"/>
  <c r="P2308" i="58"/>
  <c r="O2308" i="58"/>
  <c r="L2308" i="58"/>
  <c r="I2308" i="58"/>
  <c r="J2308" i="58" s="1"/>
  <c r="H2308" i="58"/>
  <c r="P2307" i="58"/>
  <c r="O2307" i="58"/>
  <c r="L2307" i="58"/>
  <c r="I2307" i="58"/>
  <c r="J2307" i="58" s="1"/>
  <c r="H2307" i="58"/>
  <c r="P2306" i="58"/>
  <c r="O2306" i="58"/>
  <c r="L2306" i="58"/>
  <c r="I2306" i="58"/>
  <c r="J2306" i="58" s="1"/>
  <c r="H2306" i="58"/>
  <c r="P2305" i="58"/>
  <c r="O2305" i="58"/>
  <c r="L2305" i="58"/>
  <c r="I2305" i="58"/>
  <c r="J2305" i="58" s="1"/>
  <c r="H2305" i="58"/>
  <c r="P2304" i="58"/>
  <c r="O2304" i="58"/>
  <c r="L2304" i="58"/>
  <c r="I2304" i="58"/>
  <c r="J2304" i="58" s="1"/>
  <c r="H2304" i="58"/>
  <c r="P2303" i="58"/>
  <c r="O2303" i="58"/>
  <c r="L2303" i="58"/>
  <c r="I2303" i="58"/>
  <c r="J2303" i="58" s="1"/>
  <c r="H2303" i="58"/>
  <c r="P2302" i="58"/>
  <c r="O2302" i="58"/>
  <c r="L2302" i="58"/>
  <c r="I2302" i="58"/>
  <c r="J2302" i="58" s="1"/>
  <c r="H2302" i="58"/>
  <c r="P2301" i="58"/>
  <c r="O2301" i="58"/>
  <c r="L2301" i="58"/>
  <c r="I2301" i="58"/>
  <c r="J2301" i="58" s="1"/>
  <c r="H2301" i="58"/>
  <c r="P2300" i="58"/>
  <c r="O2300" i="58"/>
  <c r="L2300" i="58"/>
  <c r="I2300" i="58"/>
  <c r="J2300" i="58" s="1"/>
  <c r="H2300" i="58"/>
  <c r="P2299" i="58"/>
  <c r="O2299" i="58"/>
  <c r="L2299" i="58"/>
  <c r="I2299" i="58"/>
  <c r="J2299" i="58" s="1"/>
  <c r="H2299" i="58"/>
  <c r="P2298" i="58"/>
  <c r="O2298" i="58"/>
  <c r="L2298" i="58"/>
  <c r="I2298" i="58"/>
  <c r="J2298" i="58" s="1"/>
  <c r="H2298" i="58"/>
  <c r="P2297" i="58"/>
  <c r="O2297" i="58"/>
  <c r="L2297" i="58"/>
  <c r="I2297" i="58"/>
  <c r="J2297" i="58" s="1"/>
  <c r="H2297" i="58"/>
  <c r="P2296" i="58"/>
  <c r="O2296" i="58"/>
  <c r="L2296" i="58"/>
  <c r="I2296" i="58"/>
  <c r="J2296" i="58" s="1"/>
  <c r="H2296" i="58"/>
  <c r="P2295" i="58"/>
  <c r="O2295" i="58"/>
  <c r="L2295" i="58"/>
  <c r="I2295" i="58"/>
  <c r="J2295" i="58" s="1"/>
  <c r="H2295" i="58"/>
  <c r="P2294" i="58"/>
  <c r="O2294" i="58"/>
  <c r="L2294" i="58"/>
  <c r="I2294" i="58"/>
  <c r="J2294" i="58" s="1"/>
  <c r="H2294" i="58"/>
  <c r="P2293" i="58"/>
  <c r="O2293" i="58"/>
  <c r="L2293" i="58"/>
  <c r="I2293" i="58"/>
  <c r="J2293" i="58" s="1"/>
  <c r="H2293" i="58"/>
  <c r="P2292" i="58"/>
  <c r="O2292" i="58"/>
  <c r="L2292" i="58"/>
  <c r="I2292" i="58"/>
  <c r="J2292" i="58" s="1"/>
  <c r="H2292" i="58"/>
  <c r="P2291" i="58"/>
  <c r="O2291" i="58"/>
  <c r="L2291" i="58"/>
  <c r="I2291" i="58"/>
  <c r="J2291" i="58" s="1"/>
  <c r="H2291" i="58"/>
  <c r="P2290" i="58"/>
  <c r="O2290" i="58"/>
  <c r="L2290" i="58"/>
  <c r="I2290" i="58"/>
  <c r="J2290" i="58" s="1"/>
  <c r="H2290" i="58"/>
  <c r="P2289" i="58"/>
  <c r="O2289" i="58"/>
  <c r="L2289" i="58"/>
  <c r="I2289" i="58"/>
  <c r="J2289" i="58" s="1"/>
  <c r="H2289" i="58"/>
  <c r="P2288" i="58"/>
  <c r="O2288" i="58"/>
  <c r="L2288" i="58"/>
  <c r="I2288" i="58"/>
  <c r="J2288" i="58" s="1"/>
  <c r="H2288" i="58"/>
  <c r="P2287" i="58"/>
  <c r="O2287" i="58"/>
  <c r="L2287" i="58"/>
  <c r="I2287" i="58"/>
  <c r="J2287" i="58" s="1"/>
  <c r="H2287" i="58"/>
  <c r="P2286" i="58"/>
  <c r="O2286" i="58"/>
  <c r="L2286" i="58"/>
  <c r="I2286" i="58"/>
  <c r="J2286" i="58" s="1"/>
  <c r="H2286" i="58"/>
  <c r="P2285" i="58"/>
  <c r="O2285" i="58"/>
  <c r="L2285" i="58"/>
  <c r="I2285" i="58"/>
  <c r="J2285" i="58" s="1"/>
  <c r="H2285" i="58"/>
  <c r="P2284" i="58"/>
  <c r="O2284" i="58"/>
  <c r="L2284" i="58"/>
  <c r="I2284" i="58"/>
  <c r="J2284" i="58" s="1"/>
  <c r="H2284" i="58"/>
  <c r="P2283" i="58"/>
  <c r="O2283" i="58"/>
  <c r="L2283" i="58"/>
  <c r="I2283" i="58"/>
  <c r="J2283" i="58" s="1"/>
  <c r="H2283" i="58"/>
  <c r="P2282" i="58"/>
  <c r="O2282" i="58"/>
  <c r="L2282" i="58"/>
  <c r="I2282" i="58"/>
  <c r="J2282" i="58" s="1"/>
  <c r="H2282" i="58"/>
  <c r="P2281" i="58"/>
  <c r="O2281" i="58"/>
  <c r="L2281" i="58"/>
  <c r="I2281" i="58"/>
  <c r="J2281" i="58" s="1"/>
  <c r="H2281" i="58"/>
  <c r="P2280" i="58"/>
  <c r="O2280" i="58"/>
  <c r="L2280" i="58"/>
  <c r="I2280" i="58"/>
  <c r="J2280" i="58" s="1"/>
  <c r="H2280" i="58"/>
  <c r="P2279" i="58"/>
  <c r="O2279" i="58"/>
  <c r="L2279" i="58"/>
  <c r="I2279" i="58"/>
  <c r="J2279" i="58" s="1"/>
  <c r="H2279" i="58"/>
  <c r="P2278" i="58"/>
  <c r="O2278" i="58"/>
  <c r="L2278" i="58"/>
  <c r="I2278" i="58"/>
  <c r="J2278" i="58" s="1"/>
  <c r="H2278" i="58"/>
  <c r="P2277" i="58"/>
  <c r="O2277" i="58"/>
  <c r="L2277" i="58"/>
  <c r="I2277" i="58"/>
  <c r="J2277" i="58" s="1"/>
  <c r="H2277" i="58"/>
  <c r="P2276" i="58"/>
  <c r="O2276" i="58"/>
  <c r="L2276" i="58"/>
  <c r="I2276" i="58"/>
  <c r="J2276" i="58" s="1"/>
  <c r="H2276" i="58"/>
  <c r="P2275" i="58"/>
  <c r="O2275" i="58"/>
  <c r="L2275" i="58"/>
  <c r="I2275" i="58"/>
  <c r="J2275" i="58" s="1"/>
  <c r="H2275" i="58"/>
  <c r="P2274" i="58"/>
  <c r="O2274" i="58"/>
  <c r="L2274" i="58"/>
  <c r="I2274" i="58"/>
  <c r="J2274" i="58" s="1"/>
  <c r="H2274" i="58"/>
  <c r="P2273" i="58"/>
  <c r="O2273" i="58"/>
  <c r="L2273" i="58"/>
  <c r="I2273" i="58"/>
  <c r="J2273" i="58" s="1"/>
  <c r="H2273" i="58"/>
  <c r="P2272" i="58"/>
  <c r="O2272" i="58"/>
  <c r="L2272" i="58"/>
  <c r="I2272" i="58"/>
  <c r="J2272" i="58" s="1"/>
  <c r="H2272" i="58"/>
  <c r="P2271" i="58"/>
  <c r="O2271" i="58"/>
  <c r="L2271" i="58"/>
  <c r="I2271" i="58"/>
  <c r="J2271" i="58" s="1"/>
  <c r="H2271" i="58"/>
  <c r="P2270" i="58"/>
  <c r="O2270" i="58"/>
  <c r="L2270" i="58"/>
  <c r="I2270" i="58"/>
  <c r="J2270" i="58" s="1"/>
  <c r="H2270" i="58"/>
  <c r="P2269" i="58"/>
  <c r="O2269" i="58"/>
  <c r="L2269" i="58"/>
  <c r="I2269" i="58"/>
  <c r="J2269" i="58" s="1"/>
  <c r="H2269" i="58"/>
  <c r="P2268" i="58"/>
  <c r="O2268" i="58"/>
  <c r="L2268" i="58"/>
  <c r="I2268" i="58"/>
  <c r="J2268" i="58" s="1"/>
  <c r="H2268" i="58"/>
  <c r="P2267" i="58"/>
  <c r="O2267" i="58"/>
  <c r="L2267" i="58"/>
  <c r="I2267" i="58"/>
  <c r="J2267" i="58" s="1"/>
  <c r="H2267" i="58"/>
  <c r="P2266" i="58"/>
  <c r="O2266" i="58"/>
  <c r="L2266" i="58"/>
  <c r="I2266" i="58"/>
  <c r="J2266" i="58" s="1"/>
  <c r="H2266" i="58"/>
  <c r="P2265" i="58"/>
  <c r="O2265" i="58"/>
  <c r="L2265" i="58"/>
  <c r="I2265" i="58"/>
  <c r="J2265" i="58" s="1"/>
  <c r="H2265" i="58"/>
  <c r="P2264" i="58"/>
  <c r="O2264" i="58"/>
  <c r="L2264" i="58"/>
  <c r="I2264" i="58"/>
  <c r="J2264" i="58" s="1"/>
  <c r="H2264" i="58"/>
  <c r="P2263" i="58"/>
  <c r="O2263" i="58"/>
  <c r="L2263" i="58"/>
  <c r="I2263" i="58"/>
  <c r="J2263" i="58" s="1"/>
  <c r="H2263" i="58"/>
  <c r="P2262" i="58"/>
  <c r="O2262" i="58"/>
  <c r="L2262" i="58"/>
  <c r="I2262" i="58"/>
  <c r="J2262" i="58" s="1"/>
  <c r="H2262" i="58"/>
  <c r="P2261" i="58"/>
  <c r="O2261" i="58"/>
  <c r="L2261" i="58"/>
  <c r="I2261" i="58"/>
  <c r="J2261" i="58" s="1"/>
  <c r="H2261" i="58"/>
  <c r="P2260" i="58"/>
  <c r="O2260" i="58"/>
  <c r="L2260" i="58"/>
  <c r="I2260" i="58"/>
  <c r="J2260" i="58" s="1"/>
  <c r="H2260" i="58"/>
  <c r="P2259" i="58"/>
  <c r="O2259" i="58"/>
  <c r="L2259" i="58"/>
  <c r="I2259" i="58"/>
  <c r="J2259" i="58" s="1"/>
  <c r="H2259" i="58"/>
  <c r="P2258" i="58"/>
  <c r="O2258" i="58"/>
  <c r="L2258" i="58"/>
  <c r="I2258" i="58"/>
  <c r="J2258" i="58" s="1"/>
  <c r="H2258" i="58"/>
  <c r="P2257" i="58"/>
  <c r="O2257" i="58"/>
  <c r="L2257" i="58"/>
  <c r="I2257" i="58"/>
  <c r="J2257" i="58" s="1"/>
  <c r="H2257" i="58"/>
  <c r="P2256" i="58"/>
  <c r="O2256" i="58"/>
  <c r="L2256" i="58"/>
  <c r="I2256" i="58"/>
  <c r="J2256" i="58" s="1"/>
  <c r="H2256" i="58"/>
  <c r="P2255" i="58"/>
  <c r="O2255" i="58"/>
  <c r="L2255" i="58"/>
  <c r="I2255" i="58"/>
  <c r="J2255" i="58" s="1"/>
  <c r="H2255" i="58"/>
  <c r="P2254" i="58"/>
  <c r="O2254" i="58"/>
  <c r="L2254" i="58"/>
  <c r="I2254" i="58"/>
  <c r="J2254" i="58" s="1"/>
  <c r="H2254" i="58"/>
  <c r="P2253" i="58"/>
  <c r="O2253" i="58"/>
  <c r="L2253" i="58"/>
  <c r="I2253" i="58"/>
  <c r="J2253" i="58" s="1"/>
  <c r="H2253" i="58"/>
  <c r="P2252" i="58"/>
  <c r="O2252" i="58"/>
  <c r="L2252" i="58"/>
  <c r="I2252" i="58"/>
  <c r="J2252" i="58" s="1"/>
  <c r="H2252" i="58"/>
  <c r="P2251" i="58"/>
  <c r="O2251" i="58"/>
  <c r="L2251" i="58"/>
  <c r="I2251" i="58"/>
  <c r="J2251" i="58" s="1"/>
  <c r="H2251" i="58"/>
  <c r="P2250" i="58"/>
  <c r="O2250" i="58"/>
  <c r="L2250" i="58"/>
  <c r="I2250" i="58"/>
  <c r="J2250" i="58" s="1"/>
  <c r="H2250" i="58"/>
  <c r="P2249" i="58"/>
  <c r="O2249" i="58"/>
  <c r="L2249" i="58"/>
  <c r="I2249" i="58"/>
  <c r="J2249" i="58" s="1"/>
  <c r="H2249" i="58"/>
  <c r="P2248" i="58"/>
  <c r="O2248" i="58"/>
  <c r="L2248" i="58"/>
  <c r="I2248" i="58"/>
  <c r="J2248" i="58" s="1"/>
  <c r="H2248" i="58"/>
  <c r="P2247" i="58"/>
  <c r="O2247" i="58"/>
  <c r="L2247" i="58"/>
  <c r="I2247" i="58"/>
  <c r="J2247" i="58" s="1"/>
  <c r="H2247" i="58"/>
  <c r="P2246" i="58"/>
  <c r="O2246" i="58"/>
  <c r="L2246" i="58"/>
  <c r="I2246" i="58"/>
  <c r="J2246" i="58" s="1"/>
  <c r="H2246" i="58"/>
  <c r="P2245" i="58"/>
  <c r="O2245" i="58"/>
  <c r="L2245" i="58"/>
  <c r="I2245" i="58"/>
  <c r="J2245" i="58" s="1"/>
  <c r="H2245" i="58"/>
  <c r="P2244" i="58"/>
  <c r="O2244" i="58"/>
  <c r="L2244" i="58"/>
  <c r="I2244" i="58"/>
  <c r="J2244" i="58" s="1"/>
  <c r="H2244" i="58"/>
  <c r="P2243" i="58"/>
  <c r="O2243" i="58"/>
  <c r="L2243" i="58"/>
  <c r="I2243" i="58"/>
  <c r="J2243" i="58" s="1"/>
  <c r="H2243" i="58"/>
  <c r="P2242" i="58"/>
  <c r="O2242" i="58"/>
  <c r="L2242" i="58"/>
  <c r="I2242" i="58"/>
  <c r="J2242" i="58" s="1"/>
  <c r="H2242" i="58"/>
  <c r="P2241" i="58"/>
  <c r="O2241" i="58"/>
  <c r="L2241" i="58"/>
  <c r="I2241" i="58"/>
  <c r="J2241" i="58" s="1"/>
  <c r="H2241" i="58"/>
  <c r="P2240" i="58"/>
  <c r="O2240" i="58"/>
  <c r="L2240" i="58"/>
  <c r="I2240" i="58"/>
  <c r="J2240" i="58" s="1"/>
  <c r="H2240" i="58"/>
  <c r="P2239" i="58"/>
  <c r="O2239" i="58"/>
  <c r="L2239" i="58"/>
  <c r="I2239" i="58"/>
  <c r="J2239" i="58" s="1"/>
  <c r="H2239" i="58"/>
  <c r="P2238" i="58"/>
  <c r="O2238" i="58"/>
  <c r="L2238" i="58"/>
  <c r="I2238" i="58"/>
  <c r="J2238" i="58" s="1"/>
  <c r="H2238" i="58"/>
  <c r="P2237" i="58"/>
  <c r="O2237" i="58"/>
  <c r="L2237" i="58"/>
  <c r="I2237" i="58"/>
  <c r="J2237" i="58" s="1"/>
  <c r="H2237" i="58"/>
  <c r="P2236" i="58"/>
  <c r="O2236" i="58"/>
  <c r="L2236" i="58"/>
  <c r="I2236" i="58"/>
  <c r="J2236" i="58" s="1"/>
  <c r="H2236" i="58"/>
  <c r="P2235" i="58"/>
  <c r="O2235" i="58"/>
  <c r="L2235" i="58"/>
  <c r="I2235" i="58"/>
  <c r="J2235" i="58" s="1"/>
  <c r="H2235" i="58"/>
  <c r="P2234" i="58"/>
  <c r="O2234" i="58"/>
  <c r="L2234" i="58"/>
  <c r="I2234" i="58"/>
  <c r="J2234" i="58" s="1"/>
  <c r="H2234" i="58"/>
  <c r="P2233" i="58"/>
  <c r="O2233" i="58"/>
  <c r="L2233" i="58"/>
  <c r="I2233" i="58"/>
  <c r="J2233" i="58" s="1"/>
  <c r="H2233" i="58"/>
  <c r="P2232" i="58"/>
  <c r="O2232" i="58"/>
  <c r="L2232" i="58"/>
  <c r="I2232" i="58"/>
  <c r="J2232" i="58" s="1"/>
  <c r="H2232" i="58"/>
  <c r="P2231" i="58"/>
  <c r="O2231" i="58"/>
  <c r="L2231" i="58"/>
  <c r="I2231" i="58"/>
  <c r="J2231" i="58" s="1"/>
  <c r="H2231" i="58"/>
  <c r="P2230" i="58"/>
  <c r="O2230" i="58"/>
  <c r="L2230" i="58"/>
  <c r="I2230" i="58"/>
  <c r="J2230" i="58" s="1"/>
  <c r="H2230" i="58"/>
  <c r="P2229" i="58"/>
  <c r="O2229" i="58"/>
  <c r="L2229" i="58"/>
  <c r="I2229" i="58"/>
  <c r="J2229" i="58" s="1"/>
  <c r="H2229" i="58"/>
  <c r="P2228" i="58"/>
  <c r="O2228" i="58"/>
  <c r="L2228" i="58"/>
  <c r="I2228" i="58"/>
  <c r="J2228" i="58" s="1"/>
  <c r="H2228" i="58"/>
  <c r="P2227" i="58"/>
  <c r="O2227" i="58"/>
  <c r="L2227" i="58"/>
  <c r="I2227" i="58"/>
  <c r="J2227" i="58" s="1"/>
  <c r="H2227" i="58"/>
  <c r="P2226" i="58"/>
  <c r="O2226" i="58"/>
  <c r="L2226" i="58"/>
  <c r="I2226" i="58"/>
  <c r="J2226" i="58" s="1"/>
  <c r="H2226" i="58"/>
  <c r="P2225" i="58"/>
  <c r="O2225" i="58"/>
  <c r="L2225" i="58"/>
  <c r="I2225" i="58"/>
  <c r="J2225" i="58" s="1"/>
  <c r="H2225" i="58"/>
  <c r="P2224" i="58"/>
  <c r="O2224" i="58"/>
  <c r="L2224" i="58"/>
  <c r="I2224" i="58"/>
  <c r="J2224" i="58" s="1"/>
  <c r="H2224" i="58"/>
  <c r="P2223" i="58"/>
  <c r="O2223" i="58"/>
  <c r="L2223" i="58"/>
  <c r="I2223" i="58"/>
  <c r="J2223" i="58" s="1"/>
  <c r="H2223" i="58"/>
  <c r="P2222" i="58"/>
  <c r="O2222" i="58"/>
  <c r="L2222" i="58"/>
  <c r="I2222" i="58"/>
  <c r="J2222" i="58" s="1"/>
  <c r="H2222" i="58"/>
  <c r="P2221" i="58"/>
  <c r="O2221" i="58"/>
  <c r="L2221" i="58"/>
  <c r="I2221" i="58"/>
  <c r="J2221" i="58" s="1"/>
  <c r="H2221" i="58"/>
  <c r="P2220" i="58"/>
  <c r="O2220" i="58"/>
  <c r="L2220" i="58"/>
  <c r="I2220" i="58"/>
  <c r="J2220" i="58" s="1"/>
  <c r="H2220" i="58"/>
  <c r="P2219" i="58"/>
  <c r="O2219" i="58"/>
  <c r="L2219" i="58"/>
  <c r="I2219" i="58"/>
  <c r="J2219" i="58" s="1"/>
  <c r="H2219" i="58"/>
  <c r="P2218" i="58"/>
  <c r="O2218" i="58"/>
  <c r="L2218" i="58"/>
  <c r="I2218" i="58"/>
  <c r="J2218" i="58" s="1"/>
  <c r="H2218" i="58"/>
  <c r="P2217" i="58"/>
  <c r="O2217" i="58"/>
  <c r="L2217" i="58"/>
  <c r="I2217" i="58"/>
  <c r="J2217" i="58" s="1"/>
  <c r="H2217" i="58"/>
  <c r="P2216" i="58"/>
  <c r="O2216" i="58"/>
  <c r="L2216" i="58"/>
  <c r="I2216" i="58"/>
  <c r="J2216" i="58" s="1"/>
  <c r="H2216" i="58"/>
  <c r="P2215" i="58"/>
  <c r="O2215" i="58"/>
  <c r="L2215" i="58"/>
  <c r="I2215" i="58"/>
  <c r="J2215" i="58" s="1"/>
  <c r="H2215" i="58"/>
  <c r="P2214" i="58"/>
  <c r="O2214" i="58"/>
  <c r="L2214" i="58"/>
  <c r="I2214" i="58"/>
  <c r="J2214" i="58" s="1"/>
  <c r="H2214" i="58"/>
  <c r="P2213" i="58"/>
  <c r="O2213" i="58"/>
  <c r="L2213" i="58"/>
  <c r="I2213" i="58"/>
  <c r="J2213" i="58" s="1"/>
  <c r="H2213" i="58"/>
  <c r="P2212" i="58"/>
  <c r="O2212" i="58"/>
  <c r="L2212" i="58"/>
  <c r="I2212" i="58"/>
  <c r="J2212" i="58" s="1"/>
  <c r="H2212" i="58"/>
  <c r="P2211" i="58"/>
  <c r="O2211" i="58"/>
  <c r="L2211" i="58"/>
  <c r="I2211" i="58"/>
  <c r="J2211" i="58" s="1"/>
  <c r="H2211" i="58"/>
  <c r="P2210" i="58"/>
  <c r="O2210" i="58"/>
  <c r="L2210" i="58"/>
  <c r="I2210" i="58"/>
  <c r="J2210" i="58" s="1"/>
  <c r="H2210" i="58"/>
  <c r="P2209" i="58"/>
  <c r="O2209" i="58"/>
  <c r="L2209" i="58"/>
  <c r="I2209" i="58"/>
  <c r="J2209" i="58" s="1"/>
  <c r="H2209" i="58"/>
  <c r="P2208" i="58"/>
  <c r="O2208" i="58"/>
  <c r="L2208" i="58"/>
  <c r="I2208" i="58"/>
  <c r="J2208" i="58" s="1"/>
  <c r="H2208" i="58"/>
  <c r="P2207" i="58"/>
  <c r="O2207" i="58"/>
  <c r="L2207" i="58"/>
  <c r="I2207" i="58"/>
  <c r="J2207" i="58" s="1"/>
  <c r="H2207" i="58"/>
  <c r="P2206" i="58"/>
  <c r="O2206" i="58"/>
  <c r="L2206" i="58"/>
  <c r="I2206" i="58"/>
  <c r="J2206" i="58" s="1"/>
  <c r="H2206" i="58"/>
  <c r="P2205" i="58"/>
  <c r="O2205" i="58"/>
  <c r="L2205" i="58"/>
  <c r="I2205" i="58"/>
  <c r="J2205" i="58" s="1"/>
  <c r="H2205" i="58"/>
  <c r="P2204" i="58"/>
  <c r="O2204" i="58"/>
  <c r="L2204" i="58"/>
  <c r="I2204" i="58"/>
  <c r="J2204" i="58" s="1"/>
  <c r="H2204" i="58"/>
  <c r="P2203" i="58"/>
  <c r="O2203" i="58"/>
  <c r="L2203" i="58"/>
  <c r="I2203" i="58"/>
  <c r="J2203" i="58" s="1"/>
  <c r="H2203" i="58"/>
  <c r="P2202" i="58"/>
  <c r="O2202" i="58"/>
  <c r="L2202" i="58"/>
  <c r="I2202" i="58"/>
  <c r="J2202" i="58" s="1"/>
  <c r="H2202" i="58"/>
  <c r="P2201" i="58"/>
  <c r="O2201" i="58"/>
  <c r="L2201" i="58"/>
  <c r="I2201" i="58"/>
  <c r="J2201" i="58" s="1"/>
  <c r="H2201" i="58"/>
  <c r="P2200" i="58"/>
  <c r="O2200" i="58"/>
  <c r="L2200" i="58"/>
  <c r="I2200" i="58"/>
  <c r="J2200" i="58" s="1"/>
  <c r="H2200" i="58"/>
  <c r="P2199" i="58"/>
  <c r="O2199" i="58"/>
  <c r="L2199" i="58"/>
  <c r="I2199" i="58"/>
  <c r="J2199" i="58" s="1"/>
  <c r="H2199" i="58"/>
  <c r="P2198" i="58"/>
  <c r="O2198" i="58"/>
  <c r="L2198" i="58"/>
  <c r="I2198" i="58"/>
  <c r="J2198" i="58" s="1"/>
  <c r="H2198" i="58"/>
  <c r="P2197" i="58"/>
  <c r="O2197" i="58"/>
  <c r="L2197" i="58"/>
  <c r="I2197" i="58"/>
  <c r="J2197" i="58" s="1"/>
  <c r="H2197" i="58"/>
  <c r="P2196" i="58"/>
  <c r="O2196" i="58"/>
  <c r="L2196" i="58"/>
  <c r="I2196" i="58"/>
  <c r="J2196" i="58" s="1"/>
  <c r="H2196" i="58"/>
  <c r="P2195" i="58"/>
  <c r="O2195" i="58"/>
  <c r="L2195" i="58"/>
  <c r="I2195" i="58"/>
  <c r="J2195" i="58" s="1"/>
  <c r="H2195" i="58"/>
  <c r="P2194" i="58"/>
  <c r="O2194" i="58"/>
  <c r="L2194" i="58"/>
  <c r="I2194" i="58"/>
  <c r="J2194" i="58" s="1"/>
  <c r="H2194" i="58"/>
  <c r="P2193" i="58"/>
  <c r="O2193" i="58"/>
  <c r="L2193" i="58"/>
  <c r="I2193" i="58"/>
  <c r="J2193" i="58" s="1"/>
  <c r="H2193" i="58"/>
  <c r="P2192" i="58"/>
  <c r="O2192" i="58"/>
  <c r="L2192" i="58"/>
  <c r="I2192" i="58"/>
  <c r="J2192" i="58" s="1"/>
  <c r="H2192" i="58"/>
  <c r="P2191" i="58"/>
  <c r="O2191" i="58"/>
  <c r="L2191" i="58"/>
  <c r="I2191" i="58"/>
  <c r="J2191" i="58" s="1"/>
  <c r="H2191" i="58"/>
  <c r="P2190" i="58"/>
  <c r="O2190" i="58"/>
  <c r="L2190" i="58"/>
  <c r="I2190" i="58"/>
  <c r="J2190" i="58" s="1"/>
  <c r="H2190" i="58"/>
  <c r="P2189" i="58"/>
  <c r="O2189" i="58"/>
  <c r="L2189" i="58"/>
  <c r="I2189" i="58"/>
  <c r="J2189" i="58" s="1"/>
  <c r="H2189" i="58"/>
  <c r="P2188" i="58"/>
  <c r="O2188" i="58"/>
  <c r="L2188" i="58"/>
  <c r="I2188" i="58"/>
  <c r="J2188" i="58" s="1"/>
  <c r="H2188" i="58"/>
  <c r="P2187" i="58"/>
  <c r="O2187" i="58"/>
  <c r="L2187" i="58"/>
  <c r="I2187" i="58"/>
  <c r="J2187" i="58" s="1"/>
  <c r="H2187" i="58"/>
  <c r="P2186" i="58"/>
  <c r="O2186" i="58"/>
  <c r="L2186" i="58"/>
  <c r="I2186" i="58"/>
  <c r="J2186" i="58" s="1"/>
  <c r="H2186" i="58"/>
  <c r="P2185" i="58"/>
  <c r="O2185" i="58"/>
  <c r="L2185" i="58"/>
  <c r="I2185" i="58"/>
  <c r="J2185" i="58" s="1"/>
  <c r="H2185" i="58"/>
  <c r="P2184" i="58"/>
  <c r="O2184" i="58"/>
  <c r="L2184" i="58"/>
  <c r="I2184" i="58"/>
  <c r="J2184" i="58" s="1"/>
  <c r="H2184" i="58"/>
  <c r="P2183" i="58"/>
  <c r="O2183" i="58"/>
  <c r="L2183" i="58"/>
  <c r="I2183" i="58"/>
  <c r="J2183" i="58" s="1"/>
  <c r="H2183" i="58"/>
  <c r="P2182" i="58"/>
  <c r="O2182" i="58"/>
  <c r="L2182" i="58"/>
  <c r="I2182" i="58"/>
  <c r="J2182" i="58" s="1"/>
  <c r="H2182" i="58"/>
  <c r="P2181" i="58"/>
  <c r="O2181" i="58"/>
  <c r="L2181" i="58"/>
  <c r="I2181" i="58"/>
  <c r="J2181" i="58" s="1"/>
  <c r="H2181" i="58"/>
  <c r="P2180" i="58"/>
  <c r="O2180" i="58"/>
  <c r="L2180" i="58"/>
  <c r="I2180" i="58"/>
  <c r="J2180" i="58" s="1"/>
  <c r="H2180" i="58"/>
  <c r="P2179" i="58"/>
  <c r="O2179" i="58"/>
  <c r="L2179" i="58"/>
  <c r="I2179" i="58"/>
  <c r="J2179" i="58" s="1"/>
  <c r="H2179" i="58"/>
  <c r="P2178" i="58"/>
  <c r="O2178" i="58"/>
  <c r="L2178" i="58"/>
  <c r="I2178" i="58"/>
  <c r="J2178" i="58" s="1"/>
  <c r="H2178" i="58"/>
  <c r="P2177" i="58"/>
  <c r="O2177" i="58"/>
  <c r="L2177" i="58"/>
  <c r="I2177" i="58"/>
  <c r="J2177" i="58" s="1"/>
  <c r="H2177" i="58"/>
  <c r="P2176" i="58"/>
  <c r="O2176" i="58"/>
  <c r="L2176" i="58"/>
  <c r="I2176" i="58"/>
  <c r="J2176" i="58" s="1"/>
  <c r="H2176" i="58"/>
  <c r="P2175" i="58"/>
  <c r="O2175" i="58"/>
  <c r="L2175" i="58"/>
  <c r="I2175" i="58"/>
  <c r="J2175" i="58" s="1"/>
  <c r="H2175" i="58"/>
  <c r="P2174" i="58"/>
  <c r="O2174" i="58"/>
  <c r="L2174" i="58"/>
  <c r="I2174" i="58"/>
  <c r="J2174" i="58" s="1"/>
  <c r="H2174" i="58"/>
  <c r="P2173" i="58"/>
  <c r="O2173" i="58"/>
  <c r="L2173" i="58"/>
  <c r="I2173" i="58"/>
  <c r="J2173" i="58" s="1"/>
  <c r="H2173" i="58"/>
  <c r="P2172" i="58"/>
  <c r="O2172" i="58"/>
  <c r="L2172" i="58"/>
  <c r="I2172" i="58"/>
  <c r="J2172" i="58" s="1"/>
  <c r="H2172" i="58"/>
  <c r="P2171" i="58"/>
  <c r="O2171" i="58"/>
  <c r="L2171" i="58"/>
  <c r="I2171" i="58"/>
  <c r="J2171" i="58" s="1"/>
  <c r="H2171" i="58"/>
  <c r="P2170" i="58"/>
  <c r="O2170" i="58"/>
  <c r="L2170" i="58"/>
  <c r="I2170" i="58"/>
  <c r="J2170" i="58" s="1"/>
  <c r="H2170" i="58"/>
  <c r="P2169" i="58"/>
  <c r="O2169" i="58"/>
  <c r="L2169" i="58"/>
  <c r="I2169" i="58"/>
  <c r="J2169" i="58" s="1"/>
  <c r="H2169" i="58"/>
  <c r="P2168" i="58"/>
  <c r="O2168" i="58"/>
  <c r="L2168" i="58"/>
  <c r="I2168" i="58"/>
  <c r="J2168" i="58" s="1"/>
  <c r="H2168" i="58"/>
  <c r="P2167" i="58"/>
  <c r="O2167" i="58"/>
  <c r="L2167" i="58"/>
  <c r="I2167" i="58"/>
  <c r="J2167" i="58" s="1"/>
  <c r="H2167" i="58"/>
  <c r="P2166" i="58"/>
  <c r="O2166" i="58"/>
  <c r="L2166" i="58"/>
  <c r="I2166" i="58"/>
  <c r="J2166" i="58" s="1"/>
  <c r="H2166" i="58"/>
  <c r="P2165" i="58"/>
  <c r="O2165" i="58"/>
  <c r="L2165" i="58"/>
  <c r="I2165" i="58"/>
  <c r="J2165" i="58" s="1"/>
  <c r="H2165" i="58"/>
  <c r="P2164" i="58"/>
  <c r="O2164" i="58"/>
  <c r="L2164" i="58"/>
  <c r="I2164" i="58"/>
  <c r="J2164" i="58" s="1"/>
  <c r="H2164" i="58"/>
  <c r="P2163" i="58"/>
  <c r="O2163" i="58"/>
  <c r="L2163" i="58"/>
  <c r="I2163" i="58"/>
  <c r="J2163" i="58" s="1"/>
  <c r="H2163" i="58"/>
  <c r="P2162" i="58"/>
  <c r="O2162" i="58"/>
  <c r="L2162" i="58"/>
  <c r="I2162" i="58"/>
  <c r="J2162" i="58" s="1"/>
  <c r="H2162" i="58"/>
  <c r="P2161" i="58"/>
  <c r="O2161" i="58"/>
  <c r="L2161" i="58"/>
  <c r="I2161" i="58"/>
  <c r="J2161" i="58" s="1"/>
  <c r="H2161" i="58"/>
  <c r="P2160" i="58"/>
  <c r="O2160" i="58"/>
  <c r="L2160" i="58"/>
  <c r="I2160" i="58"/>
  <c r="J2160" i="58" s="1"/>
  <c r="H2160" i="58"/>
  <c r="P2159" i="58"/>
  <c r="O2159" i="58"/>
  <c r="L2159" i="58"/>
  <c r="I2159" i="58"/>
  <c r="J2159" i="58" s="1"/>
  <c r="H2159" i="58"/>
  <c r="P2158" i="58"/>
  <c r="O2158" i="58"/>
  <c r="L2158" i="58"/>
  <c r="I2158" i="58"/>
  <c r="J2158" i="58" s="1"/>
  <c r="H2158" i="58"/>
  <c r="P2157" i="58"/>
  <c r="O2157" i="58"/>
  <c r="L2157" i="58"/>
  <c r="I2157" i="58"/>
  <c r="J2157" i="58" s="1"/>
  <c r="H2157" i="58"/>
  <c r="P2156" i="58"/>
  <c r="O2156" i="58"/>
  <c r="L2156" i="58"/>
  <c r="I2156" i="58"/>
  <c r="J2156" i="58" s="1"/>
  <c r="H2156" i="58"/>
  <c r="P2155" i="58"/>
  <c r="O2155" i="58"/>
  <c r="L2155" i="58"/>
  <c r="I2155" i="58"/>
  <c r="J2155" i="58" s="1"/>
  <c r="H2155" i="58"/>
  <c r="P2154" i="58"/>
  <c r="O2154" i="58"/>
  <c r="L2154" i="58"/>
  <c r="I2154" i="58"/>
  <c r="J2154" i="58" s="1"/>
  <c r="H2154" i="58"/>
  <c r="P2153" i="58"/>
  <c r="O2153" i="58"/>
  <c r="L2153" i="58"/>
  <c r="I2153" i="58"/>
  <c r="J2153" i="58" s="1"/>
  <c r="H2153" i="58"/>
  <c r="P2152" i="58"/>
  <c r="O2152" i="58"/>
  <c r="L2152" i="58"/>
  <c r="I2152" i="58"/>
  <c r="J2152" i="58" s="1"/>
  <c r="H2152" i="58"/>
  <c r="P2151" i="58"/>
  <c r="O2151" i="58"/>
  <c r="L2151" i="58"/>
  <c r="I2151" i="58"/>
  <c r="J2151" i="58" s="1"/>
  <c r="H2151" i="58"/>
  <c r="P2150" i="58"/>
  <c r="O2150" i="58"/>
  <c r="L2150" i="58"/>
  <c r="I2150" i="58"/>
  <c r="J2150" i="58" s="1"/>
  <c r="H2150" i="58"/>
  <c r="P2149" i="58"/>
  <c r="O2149" i="58"/>
  <c r="L2149" i="58"/>
  <c r="I2149" i="58"/>
  <c r="J2149" i="58" s="1"/>
  <c r="H2149" i="58"/>
  <c r="P2148" i="58"/>
  <c r="O2148" i="58"/>
  <c r="L2148" i="58"/>
  <c r="I2148" i="58"/>
  <c r="J2148" i="58" s="1"/>
  <c r="H2148" i="58"/>
  <c r="P2147" i="58"/>
  <c r="O2147" i="58"/>
  <c r="L2147" i="58"/>
  <c r="I2147" i="58"/>
  <c r="J2147" i="58" s="1"/>
  <c r="H2147" i="58"/>
  <c r="P2146" i="58"/>
  <c r="O2146" i="58"/>
  <c r="L2146" i="58"/>
  <c r="I2146" i="58"/>
  <c r="J2146" i="58" s="1"/>
  <c r="H2146" i="58"/>
  <c r="P2145" i="58"/>
  <c r="O2145" i="58"/>
  <c r="L2145" i="58"/>
  <c r="I2145" i="58"/>
  <c r="J2145" i="58" s="1"/>
  <c r="H2145" i="58"/>
  <c r="P2144" i="58"/>
  <c r="O2144" i="58"/>
  <c r="L2144" i="58"/>
  <c r="I2144" i="58"/>
  <c r="J2144" i="58" s="1"/>
  <c r="H2144" i="58"/>
  <c r="P2143" i="58"/>
  <c r="O2143" i="58"/>
  <c r="L2143" i="58"/>
  <c r="I2143" i="58"/>
  <c r="J2143" i="58" s="1"/>
  <c r="H2143" i="58"/>
  <c r="P2142" i="58"/>
  <c r="O2142" i="58"/>
  <c r="L2142" i="58"/>
  <c r="I2142" i="58"/>
  <c r="J2142" i="58" s="1"/>
  <c r="H2142" i="58"/>
  <c r="P2141" i="58"/>
  <c r="O2141" i="58"/>
  <c r="L2141" i="58"/>
  <c r="I2141" i="58"/>
  <c r="J2141" i="58" s="1"/>
  <c r="H2141" i="58"/>
  <c r="P2140" i="58"/>
  <c r="O2140" i="58"/>
  <c r="L2140" i="58"/>
  <c r="I2140" i="58"/>
  <c r="J2140" i="58" s="1"/>
  <c r="H2140" i="58"/>
  <c r="P2139" i="58"/>
  <c r="O2139" i="58"/>
  <c r="L2139" i="58"/>
  <c r="I2139" i="58"/>
  <c r="J2139" i="58" s="1"/>
  <c r="H2139" i="58"/>
  <c r="P2138" i="58"/>
  <c r="O2138" i="58"/>
  <c r="L2138" i="58"/>
  <c r="I2138" i="58"/>
  <c r="J2138" i="58" s="1"/>
  <c r="H2138" i="58"/>
  <c r="P2137" i="58"/>
  <c r="O2137" i="58"/>
  <c r="L2137" i="58"/>
  <c r="I2137" i="58"/>
  <c r="J2137" i="58" s="1"/>
  <c r="H2137" i="58"/>
  <c r="P2136" i="58"/>
  <c r="O2136" i="58"/>
  <c r="L2136" i="58"/>
  <c r="I2136" i="58"/>
  <c r="J2136" i="58" s="1"/>
  <c r="H2136" i="58"/>
  <c r="P2135" i="58"/>
  <c r="O2135" i="58"/>
  <c r="L2135" i="58"/>
  <c r="I2135" i="58"/>
  <c r="J2135" i="58" s="1"/>
  <c r="H2135" i="58"/>
  <c r="P2134" i="58"/>
  <c r="O2134" i="58"/>
  <c r="L2134" i="58"/>
  <c r="I2134" i="58"/>
  <c r="J2134" i="58" s="1"/>
  <c r="H2134" i="58"/>
  <c r="P2133" i="58"/>
  <c r="O2133" i="58"/>
  <c r="L2133" i="58"/>
  <c r="I2133" i="58"/>
  <c r="J2133" i="58" s="1"/>
  <c r="H2133" i="58"/>
  <c r="P2132" i="58"/>
  <c r="O2132" i="58"/>
  <c r="L2132" i="58"/>
  <c r="I2132" i="58"/>
  <c r="J2132" i="58" s="1"/>
  <c r="H2132" i="58"/>
  <c r="P2131" i="58"/>
  <c r="O2131" i="58"/>
  <c r="L2131" i="58"/>
  <c r="I2131" i="58"/>
  <c r="J2131" i="58" s="1"/>
  <c r="H2131" i="58"/>
  <c r="P2130" i="58"/>
  <c r="O2130" i="58"/>
  <c r="L2130" i="58"/>
  <c r="I2130" i="58"/>
  <c r="J2130" i="58" s="1"/>
  <c r="H2130" i="58"/>
  <c r="P2129" i="58"/>
  <c r="O2129" i="58"/>
  <c r="L2129" i="58"/>
  <c r="I2129" i="58"/>
  <c r="J2129" i="58" s="1"/>
  <c r="H2129" i="58"/>
  <c r="P2128" i="58"/>
  <c r="O2128" i="58"/>
  <c r="L2128" i="58"/>
  <c r="I2128" i="58"/>
  <c r="J2128" i="58" s="1"/>
  <c r="H2128" i="58"/>
  <c r="P2127" i="58"/>
  <c r="O2127" i="58"/>
  <c r="L2127" i="58"/>
  <c r="I2127" i="58"/>
  <c r="J2127" i="58" s="1"/>
  <c r="H2127" i="58"/>
  <c r="P2126" i="58"/>
  <c r="O2126" i="58"/>
  <c r="L2126" i="58"/>
  <c r="I2126" i="58"/>
  <c r="J2126" i="58" s="1"/>
  <c r="H2126" i="58"/>
  <c r="P2125" i="58"/>
  <c r="O2125" i="58"/>
  <c r="L2125" i="58"/>
  <c r="I2125" i="58"/>
  <c r="J2125" i="58" s="1"/>
  <c r="H2125" i="58"/>
  <c r="P2124" i="58"/>
  <c r="O2124" i="58"/>
  <c r="L2124" i="58"/>
  <c r="I2124" i="58"/>
  <c r="J2124" i="58" s="1"/>
  <c r="H2124" i="58"/>
  <c r="P2123" i="58"/>
  <c r="O2123" i="58"/>
  <c r="L2123" i="58"/>
  <c r="I2123" i="58"/>
  <c r="J2123" i="58" s="1"/>
  <c r="H2123" i="58"/>
  <c r="P2122" i="58"/>
  <c r="O2122" i="58"/>
  <c r="L2122" i="58"/>
  <c r="I2122" i="58"/>
  <c r="J2122" i="58" s="1"/>
  <c r="H2122" i="58"/>
  <c r="P2121" i="58"/>
  <c r="O2121" i="58"/>
  <c r="L2121" i="58"/>
  <c r="I2121" i="58"/>
  <c r="J2121" i="58" s="1"/>
  <c r="H2121" i="58"/>
  <c r="P2120" i="58"/>
  <c r="O2120" i="58"/>
  <c r="L2120" i="58"/>
  <c r="I2120" i="58"/>
  <c r="J2120" i="58" s="1"/>
  <c r="H2120" i="58"/>
  <c r="P2119" i="58"/>
  <c r="O2119" i="58"/>
  <c r="L2119" i="58"/>
  <c r="I2119" i="58"/>
  <c r="J2119" i="58" s="1"/>
  <c r="H2119" i="58"/>
  <c r="P2118" i="58"/>
  <c r="O2118" i="58"/>
  <c r="L2118" i="58"/>
  <c r="I2118" i="58"/>
  <c r="J2118" i="58" s="1"/>
  <c r="H2118" i="58"/>
  <c r="P2117" i="58"/>
  <c r="O2117" i="58"/>
  <c r="L2117" i="58"/>
  <c r="I2117" i="58"/>
  <c r="J2117" i="58" s="1"/>
  <c r="H2117" i="58"/>
  <c r="P2116" i="58"/>
  <c r="O2116" i="58"/>
  <c r="L2116" i="58"/>
  <c r="I2116" i="58"/>
  <c r="J2116" i="58" s="1"/>
  <c r="H2116" i="58"/>
  <c r="P2115" i="58"/>
  <c r="O2115" i="58"/>
  <c r="L2115" i="58"/>
  <c r="I2115" i="58"/>
  <c r="J2115" i="58" s="1"/>
  <c r="H2115" i="58"/>
  <c r="P2114" i="58"/>
  <c r="O2114" i="58"/>
  <c r="L2114" i="58"/>
  <c r="I2114" i="58"/>
  <c r="J2114" i="58" s="1"/>
  <c r="H2114" i="58"/>
  <c r="P2113" i="58"/>
  <c r="O2113" i="58"/>
  <c r="L2113" i="58"/>
  <c r="I2113" i="58"/>
  <c r="J2113" i="58" s="1"/>
  <c r="H2113" i="58"/>
  <c r="P2112" i="58"/>
  <c r="O2112" i="58"/>
  <c r="L2112" i="58"/>
  <c r="I2112" i="58"/>
  <c r="J2112" i="58" s="1"/>
  <c r="H2112" i="58"/>
  <c r="P2111" i="58"/>
  <c r="O2111" i="58"/>
  <c r="L2111" i="58"/>
  <c r="I2111" i="58"/>
  <c r="J2111" i="58" s="1"/>
  <c r="H2111" i="58"/>
  <c r="P2110" i="58"/>
  <c r="O2110" i="58"/>
  <c r="L2110" i="58"/>
  <c r="I2110" i="58"/>
  <c r="J2110" i="58" s="1"/>
  <c r="H2110" i="58"/>
  <c r="P2109" i="58"/>
  <c r="O2109" i="58"/>
  <c r="L2109" i="58"/>
  <c r="I2109" i="58"/>
  <c r="J2109" i="58" s="1"/>
  <c r="H2109" i="58"/>
  <c r="P2108" i="58"/>
  <c r="O2108" i="58"/>
  <c r="L2108" i="58"/>
  <c r="I2108" i="58"/>
  <c r="J2108" i="58" s="1"/>
  <c r="H2108" i="58"/>
  <c r="P2107" i="58"/>
  <c r="O2107" i="58"/>
  <c r="L2107" i="58"/>
  <c r="I2107" i="58"/>
  <c r="J2107" i="58" s="1"/>
  <c r="H2107" i="58"/>
  <c r="P2106" i="58"/>
  <c r="O2106" i="58"/>
  <c r="L2106" i="58"/>
  <c r="I2106" i="58"/>
  <c r="J2106" i="58" s="1"/>
  <c r="H2106" i="58"/>
  <c r="P2105" i="58"/>
  <c r="O2105" i="58"/>
  <c r="L2105" i="58"/>
  <c r="I2105" i="58"/>
  <c r="J2105" i="58" s="1"/>
  <c r="H2105" i="58"/>
  <c r="P2104" i="58"/>
  <c r="O2104" i="58"/>
  <c r="L2104" i="58"/>
  <c r="I2104" i="58"/>
  <c r="J2104" i="58" s="1"/>
  <c r="H2104" i="58"/>
  <c r="P2103" i="58"/>
  <c r="O2103" i="58"/>
  <c r="L2103" i="58"/>
  <c r="I2103" i="58"/>
  <c r="J2103" i="58" s="1"/>
  <c r="H2103" i="58"/>
  <c r="P2102" i="58"/>
  <c r="O2102" i="58"/>
  <c r="L2102" i="58"/>
  <c r="I2102" i="58"/>
  <c r="J2102" i="58" s="1"/>
  <c r="H2102" i="58"/>
  <c r="P2101" i="58"/>
  <c r="O2101" i="58"/>
  <c r="L2101" i="58"/>
  <c r="I2101" i="58"/>
  <c r="J2101" i="58" s="1"/>
  <c r="H2101" i="58"/>
  <c r="P2100" i="58"/>
  <c r="O2100" i="58"/>
  <c r="L2100" i="58"/>
  <c r="I2100" i="58"/>
  <c r="J2100" i="58" s="1"/>
  <c r="H2100" i="58"/>
  <c r="P2099" i="58"/>
  <c r="O2099" i="58"/>
  <c r="L2099" i="58"/>
  <c r="I2099" i="58"/>
  <c r="J2099" i="58" s="1"/>
  <c r="H2099" i="58"/>
  <c r="P2098" i="58"/>
  <c r="O2098" i="58"/>
  <c r="L2098" i="58"/>
  <c r="I2098" i="58"/>
  <c r="J2098" i="58" s="1"/>
  <c r="H2098" i="58"/>
  <c r="P2097" i="58"/>
  <c r="O2097" i="58"/>
  <c r="L2097" i="58"/>
  <c r="I2097" i="58"/>
  <c r="J2097" i="58" s="1"/>
  <c r="H2097" i="58"/>
  <c r="P2096" i="58"/>
  <c r="O2096" i="58"/>
  <c r="L2096" i="58"/>
  <c r="I2096" i="58"/>
  <c r="J2096" i="58" s="1"/>
  <c r="H2096" i="58"/>
  <c r="P2095" i="58"/>
  <c r="O2095" i="58"/>
  <c r="L2095" i="58"/>
  <c r="I2095" i="58"/>
  <c r="J2095" i="58" s="1"/>
  <c r="H2095" i="58"/>
  <c r="P2094" i="58"/>
  <c r="O2094" i="58"/>
  <c r="L2094" i="58"/>
  <c r="I2094" i="58"/>
  <c r="J2094" i="58" s="1"/>
  <c r="H2094" i="58"/>
  <c r="P2093" i="58"/>
  <c r="O2093" i="58"/>
  <c r="L2093" i="58"/>
  <c r="I2093" i="58"/>
  <c r="J2093" i="58" s="1"/>
  <c r="H2093" i="58"/>
  <c r="P2092" i="58"/>
  <c r="O2092" i="58"/>
  <c r="L2092" i="58"/>
  <c r="I2092" i="58"/>
  <c r="J2092" i="58" s="1"/>
  <c r="H2092" i="58"/>
  <c r="P2091" i="58"/>
  <c r="O2091" i="58"/>
  <c r="L2091" i="58"/>
  <c r="I2091" i="58"/>
  <c r="J2091" i="58" s="1"/>
  <c r="H2091" i="58"/>
  <c r="P2090" i="58"/>
  <c r="O2090" i="58"/>
  <c r="L2090" i="58"/>
  <c r="I2090" i="58"/>
  <c r="J2090" i="58" s="1"/>
  <c r="H2090" i="58"/>
  <c r="P2089" i="58"/>
  <c r="O2089" i="58"/>
  <c r="L2089" i="58"/>
  <c r="I2089" i="58"/>
  <c r="J2089" i="58" s="1"/>
  <c r="H2089" i="58"/>
  <c r="P2088" i="58"/>
  <c r="O2088" i="58"/>
  <c r="L2088" i="58"/>
  <c r="I2088" i="58"/>
  <c r="J2088" i="58" s="1"/>
  <c r="H2088" i="58"/>
  <c r="P2087" i="58"/>
  <c r="O2087" i="58"/>
  <c r="L2087" i="58"/>
  <c r="I2087" i="58"/>
  <c r="J2087" i="58" s="1"/>
  <c r="H2087" i="58"/>
  <c r="P2086" i="58"/>
  <c r="O2086" i="58"/>
  <c r="L2086" i="58"/>
  <c r="I2086" i="58"/>
  <c r="J2086" i="58" s="1"/>
  <c r="H2086" i="58"/>
  <c r="P2085" i="58"/>
  <c r="O2085" i="58"/>
  <c r="L2085" i="58"/>
  <c r="I2085" i="58"/>
  <c r="J2085" i="58" s="1"/>
  <c r="H2085" i="58"/>
  <c r="P2084" i="58"/>
  <c r="O2084" i="58"/>
  <c r="L2084" i="58"/>
  <c r="I2084" i="58"/>
  <c r="J2084" i="58" s="1"/>
  <c r="H2084" i="58"/>
  <c r="P2083" i="58"/>
  <c r="O2083" i="58"/>
  <c r="L2083" i="58"/>
  <c r="I2083" i="58"/>
  <c r="J2083" i="58" s="1"/>
  <c r="H2083" i="58"/>
  <c r="P2082" i="58"/>
  <c r="O2082" i="58"/>
  <c r="L2082" i="58"/>
  <c r="I2082" i="58"/>
  <c r="J2082" i="58" s="1"/>
  <c r="H2082" i="58"/>
  <c r="P2081" i="58"/>
  <c r="O2081" i="58"/>
  <c r="L2081" i="58"/>
  <c r="I2081" i="58"/>
  <c r="J2081" i="58" s="1"/>
  <c r="H2081" i="58"/>
  <c r="P2080" i="58"/>
  <c r="O2080" i="58"/>
  <c r="L2080" i="58"/>
  <c r="I2080" i="58"/>
  <c r="J2080" i="58" s="1"/>
  <c r="H2080" i="58"/>
  <c r="P2079" i="58"/>
  <c r="O2079" i="58"/>
  <c r="L2079" i="58"/>
  <c r="I2079" i="58"/>
  <c r="J2079" i="58" s="1"/>
  <c r="H2079" i="58"/>
  <c r="P2078" i="58"/>
  <c r="O2078" i="58"/>
  <c r="L2078" i="58"/>
  <c r="I2078" i="58"/>
  <c r="J2078" i="58" s="1"/>
  <c r="H2078" i="58"/>
  <c r="P2077" i="58"/>
  <c r="O2077" i="58"/>
  <c r="L2077" i="58"/>
  <c r="I2077" i="58"/>
  <c r="J2077" i="58" s="1"/>
  <c r="H2077" i="58"/>
  <c r="P2076" i="58"/>
  <c r="O2076" i="58"/>
  <c r="L2076" i="58"/>
  <c r="I2076" i="58"/>
  <c r="J2076" i="58" s="1"/>
  <c r="H2076" i="58"/>
  <c r="P2075" i="58"/>
  <c r="O2075" i="58"/>
  <c r="L2075" i="58"/>
  <c r="I2075" i="58"/>
  <c r="J2075" i="58" s="1"/>
  <c r="H2075" i="58"/>
  <c r="P2074" i="58"/>
  <c r="O2074" i="58"/>
  <c r="L2074" i="58"/>
  <c r="I2074" i="58"/>
  <c r="J2074" i="58" s="1"/>
  <c r="H2074" i="58"/>
  <c r="P2073" i="58"/>
  <c r="O2073" i="58"/>
  <c r="L2073" i="58"/>
  <c r="I2073" i="58"/>
  <c r="J2073" i="58" s="1"/>
  <c r="H2073" i="58"/>
  <c r="P2072" i="58"/>
  <c r="O2072" i="58"/>
  <c r="L2072" i="58"/>
  <c r="I2072" i="58"/>
  <c r="J2072" i="58" s="1"/>
  <c r="H2072" i="58"/>
  <c r="P2071" i="58"/>
  <c r="O2071" i="58"/>
  <c r="L2071" i="58"/>
  <c r="I2071" i="58"/>
  <c r="J2071" i="58" s="1"/>
  <c r="H2071" i="58"/>
  <c r="P2070" i="58"/>
  <c r="O2070" i="58"/>
  <c r="L2070" i="58"/>
  <c r="I2070" i="58"/>
  <c r="J2070" i="58" s="1"/>
  <c r="H2070" i="58"/>
  <c r="P2069" i="58"/>
  <c r="O2069" i="58"/>
  <c r="L2069" i="58"/>
  <c r="I2069" i="58"/>
  <c r="J2069" i="58" s="1"/>
  <c r="H2069" i="58"/>
  <c r="P2068" i="58"/>
  <c r="O2068" i="58"/>
  <c r="L2068" i="58"/>
  <c r="I2068" i="58"/>
  <c r="J2068" i="58" s="1"/>
  <c r="H2068" i="58"/>
  <c r="P2067" i="58"/>
  <c r="O2067" i="58"/>
  <c r="L2067" i="58"/>
  <c r="I2067" i="58"/>
  <c r="J2067" i="58" s="1"/>
  <c r="H2067" i="58"/>
  <c r="P2066" i="58"/>
  <c r="O2066" i="58"/>
  <c r="L2066" i="58"/>
  <c r="I2066" i="58"/>
  <c r="J2066" i="58" s="1"/>
  <c r="H2066" i="58"/>
  <c r="P2065" i="58"/>
  <c r="O2065" i="58"/>
  <c r="L2065" i="58"/>
  <c r="I2065" i="58"/>
  <c r="J2065" i="58" s="1"/>
  <c r="H2065" i="58"/>
  <c r="P2064" i="58"/>
  <c r="O2064" i="58"/>
  <c r="L2064" i="58"/>
  <c r="I2064" i="58"/>
  <c r="J2064" i="58" s="1"/>
  <c r="H2064" i="58"/>
  <c r="P2063" i="58"/>
  <c r="O2063" i="58"/>
  <c r="L2063" i="58"/>
  <c r="I2063" i="58"/>
  <c r="J2063" i="58" s="1"/>
  <c r="H2063" i="58"/>
  <c r="P2062" i="58"/>
  <c r="O2062" i="58"/>
  <c r="L2062" i="58"/>
  <c r="I2062" i="58"/>
  <c r="J2062" i="58" s="1"/>
  <c r="H2062" i="58"/>
  <c r="P2061" i="58"/>
  <c r="O2061" i="58"/>
  <c r="L2061" i="58"/>
  <c r="I2061" i="58"/>
  <c r="J2061" i="58" s="1"/>
  <c r="H2061" i="58"/>
  <c r="P2060" i="58"/>
  <c r="O2060" i="58"/>
  <c r="L2060" i="58"/>
  <c r="I2060" i="58"/>
  <c r="J2060" i="58" s="1"/>
  <c r="H2060" i="58"/>
  <c r="P2059" i="58"/>
  <c r="O2059" i="58"/>
  <c r="L2059" i="58"/>
  <c r="I2059" i="58"/>
  <c r="J2059" i="58" s="1"/>
  <c r="H2059" i="58"/>
  <c r="P2058" i="58"/>
  <c r="O2058" i="58"/>
  <c r="L2058" i="58"/>
  <c r="I2058" i="58"/>
  <c r="J2058" i="58" s="1"/>
  <c r="H2058" i="58"/>
  <c r="P2057" i="58"/>
  <c r="O2057" i="58"/>
  <c r="L2057" i="58"/>
  <c r="I2057" i="58"/>
  <c r="J2057" i="58" s="1"/>
  <c r="H2057" i="58"/>
  <c r="P2056" i="58"/>
  <c r="O2056" i="58"/>
  <c r="L2056" i="58"/>
  <c r="I2056" i="58"/>
  <c r="J2056" i="58" s="1"/>
  <c r="H2056" i="58"/>
  <c r="P2055" i="58"/>
  <c r="O2055" i="58"/>
  <c r="L2055" i="58"/>
  <c r="I2055" i="58"/>
  <c r="J2055" i="58" s="1"/>
  <c r="H2055" i="58"/>
  <c r="P2054" i="58"/>
  <c r="O2054" i="58"/>
  <c r="L2054" i="58"/>
  <c r="I2054" i="58"/>
  <c r="J2054" i="58" s="1"/>
  <c r="H2054" i="58"/>
  <c r="P2053" i="58"/>
  <c r="O2053" i="58"/>
  <c r="L2053" i="58"/>
  <c r="I2053" i="58"/>
  <c r="J2053" i="58" s="1"/>
  <c r="H2053" i="58"/>
  <c r="P2052" i="58"/>
  <c r="O2052" i="58"/>
  <c r="L2052" i="58"/>
  <c r="I2052" i="58"/>
  <c r="J2052" i="58" s="1"/>
  <c r="H2052" i="58"/>
  <c r="P2051" i="58"/>
  <c r="O2051" i="58"/>
  <c r="L2051" i="58"/>
  <c r="I2051" i="58"/>
  <c r="J2051" i="58" s="1"/>
  <c r="H2051" i="58"/>
  <c r="P2050" i="58"/>
  <c r="O2050" i="58"/>
  <c r="L2050" i="58"/>
  <c r="I2050" i="58"/>
  <c r="J2050" i="58" s="1"/>
  <c r="H2050" i="58"/>
  <c r="P2049" i="58"/>
  <c r="O2049" i="58"/>
  <c r="L2049" i="58"/>
  <c r="I2049" i="58"/>
  <c r="J2049" i="58" s="1"/>
  <c r="H2049" i="58"/>
  <c r="P2048" i="58"/>
  <c r="O2048" i="58"/>
  <c r="L2048" i="58"/>
  <c r="I2048" i="58"/>
  <c r="J2048" i="58" s="1"/>
  <c r="H2048" i="58"/>
  <c r="P2047" i="58"/>
  <c r="O2047" i="58"/>
  <c r="L2047" i="58"/>
  <c r="I2047" i="58"/>
  <c r="J2047" i="58" s="1"/>
  <c r="H2047" i="58"/>
  <c r="P2046" i="58"/>
  <c r="O2046" i="58"/>
  <c r="L2046" i="58"/>
  <c r="I2046" i="58"/>
  <c r="J2046" i="58" s="1"/>
  <c r="H2046" i="58"/>
  <c r="P2045" i="58"/>
  <c r="O2045" i="58"/>
  <c r="L2045" i="58"/>
  <c r="I2045" i="58"/>
  <c r="J2045" i="58" s="1"/>
  <c r="H2045" i="58"/>
  <c r="P2044" i="58"/>
  <c r="O2044" i="58"/>
  <c r="L2044" i="58"/>
  <c r="I2044" i="58"/>
  <c r="J2044" i="58" s="1"/>
  <c r="H2044" i="58"/>
  <c r="P2043" i="58"/>
  <c r="O2043" i="58"/>
  <c r="L2043" i="58"/>
  <c r="I2043" i="58"/>
  <c r="J2043" i="58" s="1"/>
  <c r="H2043" i="58"/>
  <c r="P2042" i="58"/>
  <c r="O2042" i="58"/>
  <c r="L2042" i="58"/>
  <c r="I2042" i="58"/>
  <c r="J2042" i="58" s="1"/>
  <c r="H2042" i="58"/>
  <c r="P2041" i="58"/>
  <c r="O2041" i="58"/>
  <c r="L2041" i="58"/>
  <c r="I2041" i="58"/>
  <c r="J2041" i="58" s="1"/>
  <c r="H2041" i="58"/>
  <c r="P2040" i="58"/>
  <c r="O2040" i="58"/>
  <c r="L2040" i="58"/>
  <c r="I2040" i="58"/>
  <c r="J2040" i="58" s="1"/>
  <c r="H2040" i="58"/>
  <c r="P2039" i="58"/>
  <c r="O2039" i="58"/>
  <c r="L2039" i="58"/>
  <c r="I2039" i="58"/>
  <c r="J2039" i="58" s="1"/>
  <c r="H2039" i="58"/>
  <c r="P2038" i="58"/>
  <c r="O2038" i="58"/>
  <c r="L2038" i="58"/>
  <c r="I2038" i="58"/>
  <c r="J2038" i="58" s="1"/>
  <c r="H2038" i="58"/>
  <c r="P2037" i="58"/>
  <c r="O2037" i="58"/>
  <c r="L2037" i="58"/>
  <c r="I2037" i="58"/>
  <c r="J2037" i="58" s="1"/>
  <c r="H2037" i="58"/>
  <c r="P2036" i="58"/>
  <c r="O2036" i="58"/>
  <c r="L2036" i="58"/>
  <c r="I2036" i="58"/>
  <c r="J2036" i="58" s="1"/>
  <c r="H2036" i="58"/>
  <c r="P2035" i="58"/>
  <c r="O2035" i="58"/>
  <c r="L2035" i="58"/>
  <c r="I2035" i="58"/>
  <c r="J2035" i="58" s="1"/>
  <c r="H2035" i="58"/>
  <c r="P2034" i="58"/>
  <c r="O2034" i="58"/>
  <c r="L2034" i="58"/>
  <c r="I2034" i="58"/>
  <c r="J2034" i="58" s="1"/>
  <c r="H2034" i="58"/>
  <c r="P2033" i="58"/>
  <c r="O2033" i="58"/>
  <c r="L2033" i="58"/>
  <c r="I2033" i="58"/>
  <c r="J2033" i="58" s="1"/>
  <c r="H2033" i="58"/>
  <c r="P2032" i="58"/>
  <c r="O2032" i="58"/>
  <c r="L2032" i="58"/>
  <c r="I2032" i="58"/>
  <c r="J2032" i="58" s="1"/>
  <c r="H2032" i="58"/>
  <c r="P2031" i="58"/>
  <c r="O2031" i="58"/>
  <c r="L2031" i="58"/>
  <c r="I2031" i="58"/>
  <c r="J2031" i="58" s="1"/>
  <c r="H2031" i="58"/>
  <c r="P2030" i="58"/>
  <c r="O2030" i="58"/>
  <c r="L2030" i="58"/>
  <c r="I2030" i="58"/>
  <c r="J2030" i="58" s="1"/>
  <c r="H2030" i="58"/>
  <c r="P2029" i="58"/>
  <c r="O2029" i="58"/>
  <c r="L2029" i="58"/>
  <c r="I2029" i="58"/>
  <c r="J2029" i="58" s="1"/>
  <c r="H2029" i="58"/>
  <c r="P2028" i="58"/>
  <c r="O2028" i="58"/>
  <c r="L2028" i="58"/>
  <c r="I2028" i="58"/>
  <c r="J2028" i="58" s="1"/>
  <c r="H2028" i="58"/>
  <c r="P2027" i="58"/>
  <c r="O2027" i="58"/>
  <c r="L2027" i="58"/>
  <c r="I2027" i="58"/>
  <c r="J2027" i="58" s="1"/>
  <c r="H2027" i="58"/>
  <c r="P2026" i="58"/>
  <c r="O2026" i="58"/>
  <c r="L2026" i="58"/>
  <c r="I2026" i="58"/>
  <c r="J2026" i="58" s="1"/>
  <c r="H2026" i="58"/>
  <c r="P2025" i="58"/>
  <c r="O2025" i="58"/>
  <c r="L2025" i="58"/>
  <c r="I2025" i="58"/>
  <c r="J2025" i="58" s="1"/>
  <c r="H2025" i="58"/>
  <c r="P2024" i="58"/>
  <c r="O2024" i="58"/>
  <c r="L2024" i="58"/>
  <c r="I2024" i="58"/>
  <c r="J2024" i="58" s="1"/>
  <c r="H2024" i="58"/>
  <c r="P2023" i="58"/>
  <c r="O2023" i="58"/>
  <c r="L2023" i="58"/>
  <c r="I2023" i="58"/>
  <c r="J2023" i="58" s="1"/>
  <c r="H2023" i="58"/>
  <c r="P2022" i="58"/>
  <c r="O2022" i="58"/>
  <c r="L2022" i="58"/>
  <c r="I2022" i="58"/>
  <c r="J2022" i="58" s="1"/>
  <c r="H2022" i="58"/>
  <c r="P2021" i="58"/>
  <c r="O2021" i="58"/>
  <c r="L2021" i="58"/>
  <c r="I2021" i="58"/>
  <c r="J2021" i="58" s="1"/>
  <c r="H2021" i="58"/>
  <c r="P2020" i="58"/>
  <c r="O2020" i="58"/>
  <c r="L2020" i="58"/>
  <c r="I2020" i="58"/>
  <c r="J2020" i="58" s="1"/>
  <c r="H2020" i="58"/>
  <c r="P2019" i="58"/>
  <c r="O2019" i="58"/>
  <c r="L2019" i="58"/>
  <c r="I2019" i="58"/>
  <c r="J2019" i="58" s="1"/>
  <c r="H2019" i="58"/>
  <c r="P2018" i="58"/>
  <c r="O2018" i="58"/>
  <c r="L2018" i="58"/>
  <c r="I2018" i="58"/>
  <c r="J2018" i="58" s="1"/>
  <c r="H2018" i="58"/>
  <c r="P2017" i="58"/>
  <c r="O2017" i="58"/>
  <c r="L2017" i="58"/>
  <c r="I2017" i="58"/>
  <c r="J2017" i="58" s="1"/>
  <c r="H2017" i="58"/>
  <c r="P2016" i="58"/>
  <c r="O2016" i="58"/>
  <c r="L2016" i="58"/>
  <c r="I2016" i="58"/>
  <c r="J2016" i="58" s="1"/>
  <c r="H2016" i="58"/>
  <c r="P2015" i="58"/>
  <c r="O2015" i="58"/>
  <c r="L2015" i="58"/>
  <c r="I2015" i="58"/>
  <c r="J2015" i="58" s="1"/>
  <c r="H2015" i="58"/>
  <c r="P2014" i="58"/>
  <c r="O2014" i="58"/>
  <c r="L2014" i="58"/>
  <c r="I2014" i="58"/>
  <c r="J2014" i="58" s="1"/>
  <c r="H2014" i="58"/>
  <c r="P2013" i="58"/>
  <c r="O2013" i="58"/>
  <c r="L2013" i="58"/>
  <c r="I2013" i="58"/>
  <c r="J2013" i="58" s="1"/>
  <c r="H2013" i="58"/>
  <c r="P2012" i="58"/>
  <c r="O2012" i="58"/>
  <c r="L2012" i="58"/>
  <c r="I2012" i="58"/>
  <c r="J2012" i="58" s="1"/>
  <c r="H2012" i="58"/>
  <c r="P2011" i="58"/>
  <c r="O2011" i="58"/>
  <c r="L2011" i="58"/>
  <c r="I2011" i="58"/>
  <c r="J2011" i="58" s="1"/>
  <c r="H2011" i="58"/>
  <c r="P2010" i="58"/>
  <c r="O2010" i="58"/>
  <c r="L2010" i="58"/>
  <c r="I2010" i="58"/>
  <c r="J2010" i="58" s="1"/>
  <c r="H2010" i="58"/>
  <c r="P2009" i="58"/>
  <c r="O2009" i="58"/>
  <c r="L2009" i="58"/>
  <c r="I2009" i="58"/>
  <c r="J2009" i="58" s="1"/>
  <c r="H2009" i="58"/>
  <c r="P2008" i="58"/>
  <c r="O2008" i="58"/>
  <c r="L2008" i="58"/>
  <c r="I2008" i="58"/>
  <c r="J2008" i="58" s="1"/>
  <c r="H2008" i="58"/>
  <c r="P2007" i="58"/>
  <c r="O2007" i="58"/>
  <c r="L2007" i="58"/>
  <c r="I2007" i="58"/>
  <c r="J2007" i="58" s="1"/>
  <c r="H2007" i="58"/>
  <c r="P2006" i="58"/>
  <c r="O2006" i="58"/>
  <c r="L2006" i="58"/>
  <c r="I2006" i="58"/>
  <c r="J2006" i="58" s="1"/>
  <c r="H2006" i="58"/>
  <c r="P2005" i="58"/>
  <c r="O2005" i="58"/>
  <c r="L2005" i="58"/>
  <c r="I2005" i="58"/>
  <c r="J2005" i="58" s="1"/>
  <c r="H2005" i="58"/>
  <c r="P2004" i="58"/>
  <c r="O2004" i="58"/>
  <c r="L2004" i="58"/>
  <c r="I2004" i="58"/>
  <c r="J2004" i="58" s="1"/>
  <c r="H2004" i="58"/>
  <c r="P2003" i="58"/>
  <c r="O2003" i="58"/>
  <c r="L2003" i="58"/>
  <c r="I2003" i="58"/>
  <c r="J2003" i="58" s="1"/>
  <c r="H2003" i="58"/>
  <c r="P2002" i="58"/>
  <c r="O2002" i="58"/>
  <c r="L2002" i="58"/>
  <c r="I2002" i="58"/>
  <c r="J2002" i="58" s="1"/>
  <c r="H2002" i="58"/>
  <c r="P2001" i="58"/>
  <c r="O2001" i="58"/>
  <c r="L2001" i="58"/>
  <c r="I2001" i="58"/>
  <c r="J2001" i="58" s="1"/>
  <c r="H2001" i="58"/>
  <c r="P2000" i="58"/>
  <c r="O2000" i="58"/>
  <c r="L2000" i="58"/>
  <c r="I2000" i="58"/>
  <c r="J2000" i="58" s="1"/>
  <c r="H2000" i="58"/>
  <c r="P1999" i="58"/>
  <c r="O1999" i="58"/>
  <c r="L1999" i="58"/>
  <c r="I1999" i="58"/>
  <c r="J1999" i="58" s="1"/>
  <c r="H1999" i="58"/>
  <c r="P1998" i="58"/>
  <c r="O1998" i="58"/>
  <c r="L1998" i="58"/>
  <c r="I1998" i="58"/>
  <c r="J1998" i="58" s="1"/>
  <c r="H1998" i="58"/>
  <c r="P1997" i="58"/>
  <c r="O1997" i="58"/>
  <c r="L1997" i="58"/>
  <c r="I1997" i="58"/>
  <c r="J1997" i="58" s="1"/>
  <c r="H1997" i="58"/>
  <c r="P1996" i="58"/>
  <c r="O1996" i="58"/>
  <c r="L1996" i="58"/>
  <c r="I1996" i="58"/>
  <c r="J1996" i="58" s="1"/>
  <c r="H1996" i="58"/>
  <c r="P1995" i="58"/>
  <c r="O1995" i="58"/>
  <c r="L1995" i="58"/>
  <c r="I1995" i="58"/>
  <c r="J1995" i="58" s="1"/>
  <c r="H1995" i="58"/>
  <c r="P1994" i="58"/>
  <c r="O1994" i="58"/>
  <c r="L1994" i="58"/>
  <c r="I1994" i="58"/>
  <c r="J1994" i="58" s="1"/>
  <c r="H1994" i="58"/>
  <c r="P1993" i="58"/>
  <c r="O1993" i="58"/>
  <c r="L1993" i="58"/>
  <c r="I1993" i="58"/>
  <c r="J1993" i="58" s="1"/>
  <c r="H1993" i="58"/>
  <c r="P1992" i="58"/>
  <c r="O1992" i="58"/>
  <c r="L1992" i="58"/>
  <c r="I1992" i="58"/>
  <c r="J1992" i="58" s="1"/>
  <c r="H1992" i="58"/>
  <c r="P1991" i="58"/>
  <c r="O1991" i="58"/>
  <c r="L1991" i="58"/>
  <c r="I1991" i="58"/>
  <c r="J1991" i="58" s="1"/>
  <c r="H1991" i="58"/>
  <c r="P1990" i="58"/>
  <c r="O1990" i="58"/>
  <c r="L1990" i="58"/>
  <c r="I1990" i="58"/>
  <c r="J1990" i="58" s="1"/>
  <c r="H1990" i="58"/>
  <c r="P1989" i="58"/>
  <c r="O1989" i="58"/>
  <c r="L1989" i="58"/>
  <c r="I1989" i="58"/>
  <c r="J1989" i="58" s="1"/>
  <c r="H1989" i="58"/>
  <c r="P1988" i="58"/>
  <c r="O1988" i="58"/>
  <c r="L1988" i="58"/>
  <c r="I1988" i="58"/>
  <c r="J1988" i="58" s="1"/>
  <c r="H1988" i="58"/>
  <c r="P1987" i="58"/>
  <c r="O1987" i="58"/>
  <c r="L1987" i="58"/>
  <c r="I1987" i="58"/>
  <c r="J1987" i="58" s="1"/>
  <c r="H1987" i="58"/>
  <c r="P1986" i="58"/>
  <c r="O1986" i="58"/>
  <c r="L1986" i="58"/>
  <c r="I1986" i="58"/>
  <c r="J1986" i="58" s="1"/>
  <c r="H1986" i="58"/>
  <c r="P1985" i="58"/>
  <c r="O1985" i="58"/>
  <c r="L1985" i="58"/>
  <c r="I1985" i="58"/>
  <c r="J1985" i="58" s="1"/>
  <c r="H1985" i="58"/>
  <c r="P1984" i="58"/>
  <c r="O1984" i="58"/>
  <c r="L1984" i="58"/>
  <c r="I1984" i="58"/>
  <c r="J1984" i="58" s="1"/>
  <c r="H1984" i="58"/>
  <c r="P1983" i="58"/>
  <c r="O1983" i="58"/>
  <c r="L1983" i="58"/>
  <c r="I1983" i="58"/>
  <c r="J1983" i="58" s="1"/>
  <c r="H1983" i="58"/>
  <c r="P1982" i="58"/>
  <c r="O1982" i="58"/>
  <c r="L1982" i="58"/>
  <c r="I1982" i="58"/>
  <c r="J1982" i="58" s="1"/>
  <c r="H1982" i="58"/>
  <c r="P1981" i="58"/>
  <c r="O1981" i="58"/>
  <c r="L1981" i="58"/>
  <c r="I1981" i="58"/>
  <c r="J1981" i="58" s="1"/>
  <c r="H1981" i="58"/>
  <c r="P1980" i="58"/>
  <c r="O1980" i="58"/>
  <c r="L1980" i="58"/>
  <c r="I1980" i="58"/>
  <c r="J1980" i="58" s="1"/>
  <c r="H1980" i="58"/>
  <c r="P1979" i="58"/>
  <c r="O1979" i="58"/>
  <c r="L1979" i="58"/>
  <c r="I1979" i="58"/>
  <c r="J1979" i="58" s="1"/>
  <c r="H1979" i="58"/>
  <c r="P1978" i="58"/>
  <c r="O1978" i="58"/>
  <c r="L1978" i="58"/>
  <c r="I1978" i="58"/>
  <c r="J1978" i="58" s="1"/>
  <c r="H1978" i="58"/>
  <c r="P1977" i="58"/>
  <c r="O1977" i="58"/>
  <c r="L1977" i="58"/>
  <c r="I1977" i="58"/>
  <c r="J1977" i="58" s="1"/>
  <c r="H1977" i="58"/>
  <c r="P1976" i="58"/>
  <c r="O1976" i="58"/>
  <c r="L1976" i="58"/>
  <c r="I1976" i="58"/>
  <c r="J1976" i="58" s="1"/>
  <c r="H1976" i="58"/>
  <c r="P1975" i="58"/>
  <c r="O1975" i="58"/>
  <c r="L1975" i="58"/>
  <c r="I1975" i="58"/>
  <c r="J1975" i="58" s="1"/>
  <c r="H1975" i="58"/>
  <c r="P1974" i="58"/>
  <c r="O1974" i="58"/>
  <c r="L1974" i="58"/>
  <c r="I1974" i="58"/>
  <c r="J1974" i="58" s="1"/>
  <c r="H1974" i="58"/>
  <c r="P1973" i="58"/>
  <c r="O1973" i="58"/>
  <c r="L1973" i="58"/>
  <c r="I1973" i="58"/>
  <c r="J1973" i="58" s="1"/>
  <c r="H1973" i="58"/>
  <c r="P1972" i="58"/>
  <c r="O1972" i="58"/>
  <c r="L1972" i="58"/>
  <c r="I1972" i="58"/>
  <c r="J1972" i="58" s="1"/>
  <c r="H1972" i="58"/>
  <c r="P1971" i="58"/>
  <c r="O1971" i="58"/>
  <c r="L1971" i="58"/>
  <c r="I1971" i="58"/>
  <c r="J1971" i="58" s="1"/>
  <c r="H1971" i="58"/>
  <c r="P1970" i="58"/>
  <c r="O1970" i="58"/>
  <c r="L1970" i="58"/>
  <c r="I1970" i="58"/>
  <c r="J1970" i="58" s="1"/>
  <c r="H1970" i="58"/>
  <c r="P1969" i="58"/>
  <c r="O1969" i="58"/>
  <c r="L1969" i="58"/>
  <c r="I1969" i="58"/>
  <c r="J1969" i="58" s="1"/>
  <c r="H1969" i="58"/>
  <c r="P1968" i="58"/>
  <c r="O1968" i="58"/>
  <c r="L1968" i="58"/>
  <c r="I1968" i="58"/>
  <c r="J1968" i="58" s="1"/>
  <c r="H1968" i="58"/>
  <c r="P1967" i="58"/>
  <c r="O1967" i="58"/>
  <c r="L1967" i="58"/>
  <c r="I1967" i="58"/>
  <c r="J1967" i="58" s="1"/>
  <c r="H1967" i="58"/>
  <c r="P1966" i="58"/>
  <c r="O1966" i="58"/>
  <c r="L1966" i="58"/>
  <c r="I1966" i="58"/>
  <c r="J1966" i="58" s="1"/>
  <c r="H1966" i="58"/>
  <c r="P1965" i="58"/>
  <c r="O1965" i="58"/>
  <c r="L1965" i="58"/>
  <c r="I1965" i="58"/>
  <c r="J1965" i="58" s="1"/>
  <c r="H1965" i="58"/>
  <c r="P1964" i="58"/>
  <c r="O1964" i="58"/>
  <c r="L1964" i="58"/>
  <c r="I1964" i="58"/>
  <c r="J1964" i="58" s="1"/>
  <c r="H1964" i="58"/>
  <c r="P1963" i="58"/>
  <c r="O1963" i="58"/>
  <c r="L1963" i="58"/>
  <c r="I1963" i="58"/>
  <c r="J1963" i="58" s="1"/>
  <c r="H1963" i="58"/>
  <c r="P1962" i="58"/>
  <c r="O1962" i="58"/>
  <c r="L1962" i="58"/>
  <c r="I1962" i="58"/>
  <c r="J1962" i="58" s="1"/>
  <c r="H1962" i="58"/>
  <c r="P1961" i="58"/>
  <c r="O1961" i="58"/>
  <c r="L1961" i="58"/>
  <c r="I1961" i="58"/>
  <c r="J1961" i="58" s="1"/>
  <c r="H1961" i="58"/>
  <c r="P1960" i="58"/>
  <c r="O1960" i="58"/>
  <c r="L1960" i="58"/>
  <c r="I1960" i="58"/>
  <c r="J1960" i="58" s="1"/>
  <c r="H1960" i="58"/>
  <c r="P1959" i="58"/>
  <c r="O1959" i="58"/>
  <c r="L1959" i="58"/>
  <c r="I1959" i="58"/>
  <c r="J1959" i="58" s="1"/>
  <c r="H1959" i="58"/>
  <c r="P1958" i="58"/>
  <c r="O1958" i="58"/>
  <c r="L1958" i="58"/>
  <c r="I1958" i="58"/>
  <c r="J1958" i="58" s="1"/>
  <c r="H1958" i="58"/>
  <c r="P1957" i="58"/>
  <c r="O1957" i="58"/>
  <c r="L1957" i="58"/>
  <c r="I1957" i="58"/>
  <c r="J1957" i="58" s="1"/>
  <c r="H1957" i="58"/>
  <c r="P1956" i="58"/>
  <c r="O1956" i="58"/>
  <c r="L1956" i="58"/>
  <c r="I1956" i="58"/>
  <c r="J1956" i="58" s="1"/>
  <c r="H1956" i="58"/>
  <c r="P1955" i="58"/>
  <c r="O1955" i="58"/>
  <c r="L1955" i="58"/>
  <c r="I1955" i="58"/>
  <c r="J1955" i="58" s="1"/>
  <c r="H1955" i="58"/>
  <c r="P1954" i="58"/>
  <c r="O1954" i="58"/>
  <c r="L1954" i="58"/>
  <c r="I1954" i="58"/>
  <c r="J1954" i="58" s="1"/>
  <c r="H1954" i="58"/>
  <c r="P1953" i="58"/>
  <c r="O1953" i="58"/>
  <c r="L1953" i="58"/>
  <c r="I1953" i="58"/>
  <c r="J1953" i="58" s="1"/>
  <c r="H1953" i="58"/>
  <c r="P1952" i="58"/>
  <c r="O1952" i="58"/>
  <c r="L1952" i="58"/>
  <c r="I1952" i="58"/>
  <c r="J1952" i="58" s="1"/>
  <c r="H1952" i="58"/>
  <c r="P1951" i="58"/>
  <c r="O1951" i="58"/>
  <c r="L1951" i="58"/>
  <c r="I1951" i="58"/>
  <c r="J1951" i="58" s="1"/>
  <c r="H1951" i="58"/>
  <c r="P1950" i="58"/>
  <c r="O1950" i="58"/>
  <c r="L1950" i="58"/>
  <c r="I1950" i="58"/>
  <c r="J1950" i="58" s="1"/>
  <c r="H1950" i="58"/>
  <c r="P1949" i="58"/>
  <c r="O1949" i="58"/>
  <c r="L1949" i="58"/>
  <c r="I1949" i="58"/>
  <c r="J1949" i="58" s="1"/>
  <c r="H1949" i="58"/>
  <c r="P1948" i="58"/>
  <c r="O1948" i="58"/>
  <c r="L1948" i="58"/>
  <c r="I1948" i="58"/>
  <c r="J1948" i="58" s="1"/>
  <c r="H1948" i="58"/>
  <c r="P1947" i="58"/>
  <c r="O1947" i="58"/>
  <c r="L1947" i="58"/>
  <c r="I1947" i="58"/>
  <c r="J1947" i="58" s="1"/>
  <c r="H1947" i="58"/>
  <c r="P1946" i="58"/>
  <c r="O1946" i="58"/>
  <c r="L1946" i="58"/>
  <c r="I1946" i="58"/>
  <c r="J1946" i="58" s="1"/>
  <c r="H1946" i="58"/>
  <c r="P1945" i="58"/>
  <c r="O1945" i="58"/>
  <c r="L1945" i="58"/>
  <c r="I1945" i="58"/>
  <c r="J1945" i="58" s="1"/>
  <c r="H1945" i="58"/>
  <c r="P1944" i="58"/>
  <c r="O1944" i="58"/>
  <c r="L1944" i="58"/>
  <c r="I1944" i="58"/>
  <c r="J1944" i="58" s="1"/>
  <c r="H1944" i="58"/>
  <c r="P1943" i="58"/>
  <c r="O1943" i="58"/>
  <c r="L1943" i="58"/>
  <c r="I1943" i="58"/>
  <c r="J1943" i="58" s="1"/>
  <c r="H1943" i="58"/>
  <c r="P1942" i="58"/>
  <c r="O1942" i="58"/>
  <c r="L1942" i="58"/>
  <c r="I1942" i="58"/>
  <c r="J1942" i="58" s="1"/>
  <c r="H1942" i="58"/>
  <c r="P1941" i="58"/>
  <c r="O1941" i="58"/>
  <c r="L1941" i="58"/>
  <c r="I1941" i="58"/>
  <c r="J1941" i="58" s="1"/>
  <c r="H1941" i="58"/>
  <c r="P1940" i="58"/>
  <c r="O1940" i="58"/>
  <c r="L1940" i="58"/>
  <c r="I1940" i="58"/>
  <c r="J1940" i="58" s="1"/>
  <c r="H1940" i="58"/>
  <c r="P1939" i="58"/>
  <c r="O1939" i="58"/>
  <c r="L1939" i="58"/>
  <c r="I1939" i="58"/>
  <c r="J1939" i="58" s="1"/>
  <c r="H1939" i="58"/>
  <c r="P1938" i="58"/>
  <c r="O1938" i="58"/>
  <c r="L1938" i="58"/>
  <c r="I1938" i="58"/>
  <c r="J1938" i="58" s="1"/>
  <c r="H1938" i="58"/>
  <c r="P1937" i="58"/>
  <c r="O1937" i="58"/>
  <c r="L1937" i="58"/>
  <c r="I1937" i="58"/>
  <c r="J1937" i="58" s="1"/>
  <c r="H1937" i="58"/>
  <c r="P1936" i="58"/>
  <c r="O1936" i="58"/>
  <c r="L1936" i="58"/>
  <c r="I1936" i="58"/>
  <c r="J1936" i="58" s="1"/>
  <c r="H1936" i="58"/>
  <c r="P1935" i="58"/>
  <c r="O1935" i="58"/>
  <c r="L1935" i="58"/>
  <c r="I1935" i="58"/>
  <c r="J1935" i="58" s="1"/>
  <c r="H1935" i="58"/>
  <c r="P1934" i="58"/>
  <c r="O1934" i="58"/>
  <c r="L1934" i="58"/>
  <c r="I1934" i="58"/>
  <c r="J1934" i="58" s="1"/>
  <c r="H1934" i="58"/>
  <c r="P1933" i="58"/>
  <c r="O1933" i="58"/>
  <c r="L1933" i="58"/>
  <c r="I1933" i="58"/>
  <c r="J1933" i="58" s="1"/>
  <c r="H1933" i="58"/>
  <c r="P1932" i="58"/>
  <c r="O1932" i="58"/>
  <c r="L1932" i="58"/>
  <c r="I1932" i="58"/>
  <c r="J1932" i="58" s="1"/>
  <c r="H1932" i="58"/>
  <c r="P1931" i="58"/>
  <c r="O1931" i="58"/>
  <c r="L1931" i="58"/>
  <c r="I1931" i="58"/>
  <c r="J1931" i="58" s="1"/>
  <c r="H1931" i="58"/>
  <c r="P1930" i="58"/>
  <c r="O1930" i="58"/>
  <c r="L1930" i="58"/>
  <c r="I1930" i="58"/>
  <c r="J1930" i="58" s="1"/>
  <c r="H1930" i="58"/>
  <c r="P1929" i="58"/>
  <c r="O1929" i="58"/>
  <c r="L1929" i="58"/>
  <c r="I1929" i="58"/>
  <c r="J1929" i="58" s="1"/>
  <c r="H1929" i="58"/>
  <c r="P1928" i="58"/>
  <c r="O1928" i="58"/>
  <c r="L1928" i="58"/>
  <c r="I1928" i="58"/>
  <c r="J1928" i="58" s="1"/>
  <c r="H1928" i="58"/>
  <c r="P1927" i="58"/>
  <c r="O1927" i="58"/>
  <c r="L1927" i="58"/>
  <c r="I1927" i="58"/>
  <c r="J1927" i="58" s="1"/>
  <c r="H1927" i="58"/>
  <c r="P1926" i="58"/>
  <c r="O1926" i="58"/>
  <c r="L1926" i="58"/>
  <c r="I1926" i="58"/>
  <c r="J1926" i="58" s="1"/>
  <c r="H1926" i="58"/>
  <c r="P1925" i="58"/>
  <c r="O1925" i="58"/>
  <c r="L1925" i="58"/>
  <c r="I1925" i="58"/>
  <c r="J1925" i="58" s="1"/>
  <c r="H1925" i="58"/>
  <c r="P1924" i="58"/>
  <c r="O1924" i="58"/>
  <c r="L1924" i="58"/>
  <c r="I1924" i="58"/>
  <c r="J1924" i="58" s="1"/>
  <c r="H1924" i="58"/>
  <c r="P1923" i="58"/>
  <c r="O1923" i="58"/>
  <c r="L1923" i="58"/>
  <c r="I1923" i="58"/>
  <c r="J1923" i="58" s="1"/>
  <c r="H1923" i="58"/>
  <c r="P1922" i="58"/>
  <c r="O1922" i="58"/>
  <c r="L1922" i="58"/>
  <c r="I1922" i="58"/>
  <c r="J1922" i="58" s="1"/>
  <c r="H1922" i="58"/>
  <c r="P1921" i="58"/>
  <c r="O1921" i="58"/>
  <c r="L1921" i="58"/>
  <c r="I1921" i="58"/>
  <c r="J1921" i="58" s="1"/>
  <c r="H1921" i="58"/>
  <c r="P1920" i="58"/>
  <c r="O1920" i="58"/>
  <c r="L1920" i="58"/>
  <c r="I1920" i="58"/>
  <c r="J1920" i="58" s="1"/>
  <c r="H1920" i="58"/>
  <c r="P1919" i="58"/>
  <c r="O1919" i="58"/>
  <c r="L1919" i="58"/>
  <c r="I1919" i="58"/>
  <c r="J1919" i="58" s="1"/>
  <c r="H1919" i="58"/>
  <c r="P1918" i="58"/>
  <c r="O1918" i="58"/>
  <c r="L1918" i="58"/>
  <c r="I1918" i="58"/>
  <c r="J1918" i="58" s="1"/>
  <c r="H1918" i="58"/>
  <c r="P1917" i="58"/>
  <c r="O1917" i="58"/>
  <c r="L1917" i="58"/>
  <c r="I1917" i="58"/>
  <c r="J1917" i="58" s="1"/>
  <c r="H1917" i="58"/>
  <c r="P1916" i="58"/>
  <c r="O1916" i="58"/>
  <c r="L1916" i="58"/>
  <c r="I1916" i="58"/>
  <c r="J1916" i="58" s="1"/>
  <c r="H1916" i="58"/>
  <c r="P1915" i="58"/>
  <c r="O1915" i="58"/>
  <c r="L1915" i="58"/>
  <c r="I1915" i="58"/>
  <c r="J1915" i="58" s="1"/>
  <c r="H1915" i="58"/>
  <c r="P1914" i="58"/>
  <c r="O1914" i="58"/>
  <c r="L1914" i="58"/>
  <c r="I1914" i="58"/>
  <c r="J1914" i="58" s="1"/>
  <c r="H1914" i="58"/>
  <c r="P1913" i="58"/>
  <c r="O1913" i="58"/>
  <c r="L1913" i="58"/>
  <c r="I1913" i="58"/>
  <c r="J1913" i="58" s="1"/>
  <c r="H1913" i="58"/>
  <c r="P1912" i="58"/>
  <c r="O1912" i="58"/>
  <c r="L1912" i="58"/>
  <c r="I1912" i="58"/>
  <c r="J1912" i="58" s="1"/>
  <c r="H1912" i="58"/>
  <c r="P1911" i="58"/>
  <c r="O1911" i="58"/>
  <c r="L1911" i="58"/>
  <c r="I1911" i="58"/>
  <c r="J1911" i="58" s="1"/>
  <c r="H1911" i="58"/>
  <c r="P1910" i="58"/>
  <c r="O1910" i="58"/>
  <c r="L1910" i="58"/>
  <c r="I1910" i="58"/>
  <c r="J1910" i="58" s="1"/>
  <c r="H1910" i="58"/>
  <c r="P1909" i="58"/>
  <c r="O1909" i="58"/>
  <c r="L1909" i="58"/>
  <c r="I1909" i="58"/>
  <c r="J1909" i="58" s="1"/>
  <c r="H1909" i="58"/>
  <c r="P1908" i="58"/>
  <c r="O1908" i="58"/>
  <c r="L1908" i="58"/>
  <c r="I1908" i="58"/>
  <c r="J1908" i="58" s="1"/>
  <c r="H1908" i="58"/>
  <c r="P1907" i="58"/>
  <c r="O1907" i="58"/>
  <c r="L1907" i="58"/>
  <c r="I1907" i="58"/>
  <c r="J1907" i="58" s="1"/>
  <c r="H1907" i="58"/>
  <c r="P1906" i="58"/>
  <c r="O1906" i="58"/>
  <c r="L1906" i="58"/>
  <c r="I1906" i="58"/>
  <c r="J1906" i="58" s="1"/>
  <c r="H1906" i="58"/>
  <c r="P1905" i="58"/>
  <c r="O1905" i="58"/>
  <c r="L1905" i="58"/>
  <c r="I1905" i="58"/>
  <c r="J1905" i="58" s="1"/>
  <c r="H1905" i="58"/>
  <c r="P1904" i="58"/>
  <c r="O1904" i="58"/>
  <c r="L1904" i="58"/>
  <c r="I1904" i="58"/>
  <c r="J1904" i="58" s="1"/>
  <c r="H1904" i="58"/>
  <c r="P1903" i="58"/>
  <c r="O1903" i="58"/>
  <c r="L1903" i="58"/>
  <c r="I1903" i="58"/>
  <c r="J1903" i="58" s="1"/>
  <c r="H1903" i="58"/>
  <c r="P1902" i="58"/>
  <c r="O1902" i="58"/>
  <c r="L1902" i="58"/>
  <c r="I1902" i="58"/>
  <c r="J1902" i="58" s="1"/>
  <c r="H1902" i="58"/>
  <c r="P1901" i="58"/>
  <c r="O1901" i="58"/>
  <c r="L1901" i="58"/>
  <c r="I1901" i="58"/>
  <c r="J1901" i="58" s="1"/>
  <c r="H1901" i="58"/>
  <c r="P1900" i="58"/>
  <c r="O1900" i="58"/>
  <c r="L1900" i="58"/>
  <c r="I1900" i="58"/>
  <c r="J1900" i="58" s="1"/>
  <c r="H1900" i="58"/>
  <c r="P1899" i="58"/>
  <c r="O1899" i="58"/>
  <c r="L1899" i="58"/>
  <c r="I1899" i="58"/>
  <c r="J1899" i="58" s="1"/>
  <c r="H1899" i="58"/>
  <c r="P1898" i="58"/>
  <c r="O1898" i="58"/>
  <c r="L1898" i="58"/>
  <c r="I1898" i="58"/>
  <c r="J1898" i="58" s="1"/>
  <c r="H1898" i="58"/>
  <c r="P1897" i="58"/>
  <c r="O1897" i="58"/>
  <c r="L1897" i="58"/>
  <c r="I1897" i="58"/>
  <c r="J1897" i="58" s="1"/>
  <c r="H1897" i="58"/>
  <c r="P1896" i="58"/>
  <c r="O1896" i="58"/>
  <c r="L1896" i="58"/>
  <c r="I1896" i="58"/>
  <c r="J1896" i="58" s="1"/>
  <c r="H1896" i="58"/>
  <c r="P1895" i="58"/>
  <c r="O1895" i="58"/>
  <c r="L1895" i="58"/>
  <c r="I1895" i="58"/>
  <c r="J1895" i="58" s="1"/>
  <c r="H1895" i="58"/>
  <c r="P1894" i="58"/>
  <c r="O1894" i="58"/>
  <c r="L1894" i="58"/>
  <c r="I1894" i="58"/>
  <c r="J1894" i="58" s="1"/>
  <c r="H1894" i="58"/>
  <c r="P1893" i="58"/>
  <c r="O1893" i="58"/>
  <c r="L1893" i="58"/>
  <c r="I1893" i="58"/>
  <c r="J1893" i="58" s="1"/>
  <c r="H1893" i="58"/>
  <c r="P1892" i="58"/>
  <c r="O1892" i="58"/>
  <c r="L1892" i="58"/>
  <c r="I1892" i="58"/>
  <c r="J1892" i="58" s="1"/>
  <c r="H1892" i="58"/>
  <c r="P1891" i="58"/>
  <c r="O1891" i="58"/>
  <c r="L1891" i="58"/>
  <c r="I1891" i="58"/>
  <c r="J1891" i="58" s="1"/>
  <c r="H1891" i="58"/>
  <c r="P1890" i="58"/>
  <c r="O1890" i="58"/>
  <c r="L1890" i="58"/>
  <c r="I1890" i="58"/>
  <c r="J1890" i="58" s="1"/>
  <c r="H1890" i="58"/>
  <c r="P1889" i="58"/>
  <c r="O1889" i="58"/>
  <c r="L1889" i="58"/>
  <c r="I1889" i="58"/>
  <c r="J1889" i="58" s="1"/>
  <c r="H1889" i="58"/>
  <c r="P1888" i="58"/>
  <c r="O1888" i="58"/>
  <c r="L1888" i="58"/>
  <c r="I1888" i="58"/>
  <c r="J1888" i="58" s="1"/>
  <c r="H1888" i="58"/>
  <c r="P1887" i="58"/>
  <c r="O1887" i="58"/>
  <c r="L1887" i="58"/>
  <c r="I1887" i="58"/>
  <c r="J1887" i="58" s="1"/>
  <c r="H1887" i="58"/>
  <c r="P1886" i="58"/>
  <c r="O1886" i="58"/>
  <c r="L1886" i="58"/>
  <c r="I1886" i="58"/>
  <c r="J1886" i="58" s="1"/>
  <c r="H1886" i="58"/>
  <c r="P1885" i="58"/>
  <c r="O1885" i="58"/>
  <c r="L1885" i="58"/>
  <c r="I1885" i="58"/>
  <c r="J1885" i="58" s="1"/>
  <c r="H1885" i="58"/>
  <c r="P1884" i="58"/>
  <c r="O1884" i="58"/>
  <c r="L1884" i="58"/>
  <c r="I1884" i="58"/>
  <c r="J1884" i="58" s="1"/>
  <c r="H1884" i="58"/>
  <c r="P1883" i="58"/>
  <c r="O1883" i="58"/>
  <c r="L1883" i="58"/>
  <c r="I1883" i="58"/>
  <c r="J1883" i="58" s="1"/>
  <c r="H1883" i="58"/>
  <c r="P1882" i="58"/>
  <c r="O1882" i="58"/>
  <c r="L1882" i="58"/>
  <c r="I1882" i="58"/>
  <c r="J1882" i="58" s="1"/>
  <c r="H1882" i="58"/>
  <c r="P1881" i="58"/>
  <c r="O1881" i="58"/>
  <c r="L1881" i="58"/>
  <c r="I1881" i="58"/>
  <c r="J1881" i="58" s="1"/>
  <c r="H1881" i="58"/>
  <c r="P1880" i="58"/>
  <c r="O1880" i="58"/>
  <c r="L1880" i="58"/>
  <c r="I1880" i="58"/>
  <c r="J1880" i="58" s="1"/>
  <c r="H1880" i="58"/>
  <c r="P1879" i="58"/>
  <c r="O1879" i="58"/>
  <c r="L1879" i="58"/>
  <c r="I1879" i="58"/>
  <c r="J1879" i="58" s="1"/>
  <c r="H1879" i="58"/>
  <c r="P1878" i="58"/>
  <c r="O1878" i="58"/>
  <c r="L1878" i="58"/>
  <c r="I1878" i="58"/>
  <c r="J1878" i="58" s="1"/>
  <c r="H1878" i="58"/>
  <c r="P1877" i="58"/>
  <c r="O1877" i="58"/>
  <c r="L1877" i="58"/>
  <c r="I1877" i="58"/>
  <c r="J1877" i="58" s="1"/>
  <c r="H1877" i="58"/>
  <c r="P1876" i="58"/>
  <c r="O1876" i="58"/>
  <c r="L1876" i="58"/>
  <c r="I1876" i="58"/>
  <c r="J1876" i="58" s="1"/>
  <c r="H1876" i="58"/>
  <c r="P1875" i="58"/>
  <c r="O1875" i="58"/>
  <c r="L1875" i="58"/>
  <c r="I1875" i="58"/>
  <c r="J1875" i="58" s="1"/>
  <c r="H1875" i="58"/>
  <c r="P1874" i="58"/>
  <c r="O1874" i="58"/>
  <c r="L1874" i="58"/>
  <c r="I1874" i="58"/>
  <c r="J1874" i="58" s="1"/>
  <c r="H1874" i="58"/>
  <c r="P1873" i="58"/>
  <c r="O1873" i="58"/>
  <c r="L1873" i="58"/>
  <c r="I1873" i="58"/>
  <c r="J1873" i="58" s="1"/>
  <c r="H1873" i="58"/>
  <c r="P1872" i="58"/>
  <c r="O1872" i="58"/>
  <c r="L1872" i="58"/>
  <c r="I1872" i="58"/>
  <c r="J1872" i="58" s="1"/>
  <c r="H1872" i="58"/>
  <c r="P1871" i="58"/>
  <c r="O1871" i="58"/>
  <c r="L1871" i="58"/>
  <c r="I1871" i="58"/>
  <c r="J1871" i="58" s="1"/>
  <c r="H1871" i="58"/>
  <c r="P1870" i="58"/>
  <c r="O1870" i="58"/>
  <c r="L1870" i="58"/>
  <c r="I1870" i="58"/>
  <c r="J1870" i="58" s="1"/>
  <c r="H1870" i="58"/>
  <c r="P1869" i="58"/>
  <c r="O1869" i="58"/>
  <c r="L1869" i="58"/>
  <c r="I1869" i="58"/>
  <c r="J1869" i="58" s="1"/>
  <c r="H1869" i="58"/>
  <c r="P1868" i="58"/>
  <c r="O1868" i="58"/>
  <c r="L1868" i="58"/>
  <c r="I1868" i="58"/>
  <c r="J1868" i="58" s="1"/>
  <c r="H1868" i="58"/>
  <c r="P1867" i="58"/>
  <c r="O1867" i="58"/>
  <c r="L1867" i="58"/>
  <c r="I1867" i="58"/>
  <c r="J1867" i="58" s="1"/>
  <c r="H1867" i="58"/>
  <c r="P1866" i="58"/>
  <c r="O1866" i="58"/>
  <c r="L1866" i="58"/>
  <c r="I1866" i="58"/>
  <c r="J1866" i="58" s="1"/>
  <c r="H1866" i="58"/>
  <c r="P1865" i="58"/>
  <c r="O1865" i="58"/>
  <c r="L1865" i="58"/>
  <c r="I1865" i="58"/>
  <c r="J1865" i="58" s="1"/>
  <c r="H1865" i="58"/>
  <c r="P1864" i="58"/>
  <c r="O1864" i="58"/>
  <c r="L1864" i="58"/>
  <c r="I1864" i="58"/>
  <c r="J1864" i="58" s="1"/>
  <c r="H1864" i="58"/>
  <c r="P1863" i="58"/>
  <c r="O1863" i="58"/>
  <c r="L1863" i="58"/>
  <c r="I1863" i="58"/>
  <c r="J1863" i="58" s="1"/>
  <c r="H1863" i="58"/>
  <c r="P1862" i="58"/>
  <c r="O1862" i="58"/>
  <c r="L1862" i="58"/>
  <c r="I1862" i="58"/>
  <c r="J1862" i="58" s="1"/>
  <c r="H1862" i="58"/>
  <c r="P1861" i="58"/>
  <c r="O1861" i="58"/>
  <c r="L1861" i="58"/>
  <c r="I1861" i="58"/>
  <c r="J1861" i="58" s="1"/>
  <c r="H1861" i="58"/>
  <c r="P1860" i="58"/>
  <c r="O1860" i="58"/>
  <c r="L1860" i="58"/>
  <c r="I1860" i="58"/>
  <c r="J1860" i="58" s="1"/>
  <c r="H1860" i="58"/>
  <c r="P1859" i="58"/>
  <c r="O1859" i="58"/>
  <c r="L1859" i="58"/>
  <c r="I1859" i="58"/>
  <c r="J1859" i="58" s="1"/>
  <c r="H1859" i="58"/>
  <c r="P1858" i="58"/>
  <c r="O1858" i="58"/>
  <c r="L1858" i="58"/>
  <c r="I1858" i="58"/>
  <c r="J1858" i="58" s="1"/>
  <c r="H1858" i="58"/>
  <c r="P1857" i="58"/>
  <c r="O1857" i="58"/>
  <c r="L1857" i="58"/>
  <c r="I1857" i="58"/>
  <c r="J1857" i="58" s="1"/>
  <c r="H1857" i="58"/>
  <c r="P1856" i="58"/>
  <c r="O1856" i="58"/>
  <c r="L1856" i="58"/>
  <c r="I1856" i="58"/>
  <c r="J1856" i="58" s="1"/>
  <c r="H1856" i="58"/>
  <c r="P1855" i="58"/>
  <c r="O1855" i="58"/>
  <c r="L1855" i="58"/>
  <c r="I1855" i="58"/>
  <c r="J1855" i="58" s="1"/>
  <c r="H1855" i="58"/>
  <c r="P1854" i="58"/>
  <c r="O1854" i="58"/>
  <c r="L1854" i="58"/>
  <c r="I1854" i="58"/>
  <c r="J1854" i="58" s="1"/>
  <c r="H1854" i="58"/>
  <c r="P1853" i="58"/>
  <c r="O1853" i="58"/>
  <c r="L1853" i="58"/>
  <c r="I1853" i="58"/>
  <c r="J1853" i="58" s="1"/>
  <c r="H1853" i="58"/>
  <c r="P1852" i="58"/>
  <c r="O1852" i="58"/>
  <c r="L1852" i="58"/>
  <c r="I1852" i="58"/>
  <c r="J1852" i="58" s="1"/>
  <c r="H1852" i="58"/>
  <c r="P1851" i="58"/>
  <c r="O1851" i="58"/>
  <c r="L1851" i="58"/>
  <c r="I1851" i="58"/>
  <c r="J1851" i="58" s="1"/>
  <c r="H1851" i="58"/>
  <c r="P1850" i="58"/>
  <c r="O1850" i="58"/>
  <c r="L1850" i="58"/>
  <c r="I1850" i="58"/>
  <c r="J1850" i="58" s="1"/>
  <c r="H1850" i="58"/>
  <c r="P1849" i="58"/>
  <c r="O1849" i="58"/>
  <c r="L1849" i="58"/>
  <c r="I1849" i="58"/>
  <c r="J1849" i="58" s="1"/>
  <c r="H1849" i="58"/>
  <c r="P1848" i="58"/>
  <c r="O1848" i="58"/>
  <c r="L1848" i="58"/>
  <c r="I1848" i="58"/>
  <c r="J1848" i="58" s="1"/>
  <c r="H1848" i="58"/>
  <c r="P1847" i="58"/>
  <c r="O1847" i="58"/>
  <c r="L1847" i="58"/>
  <c r="I1847" i="58"/>
  <c r="J1847" i="58" s="1"/>
  <c r="H1847" i="58"/>
  <c r="P1846" i="58"/>
  <c r="O1846" i="58"/>
  <c r="L1846" i="58"/>
  <c r="I1846" i="58"/>
  <c r="J1846" i="58" s="1"/>
  <c r="H1846" i="58"/>
  <c r="P1845" i="58"/>
  <c r="O1845" i="58"/>
  <c r="L1845" i="58"/>
  <c r="I1845" i="58"/>
  <c r="J1845" i="58" s="1"/>
  <c r="H1845" i="58"/>
  <c r="P1844" i="58"/>
  <c r="O1844" i="58"/>
  <c r="L1844" i="58"/>
  <c r="I1844" i="58"/>
  <c r="J1844" i="58" s="1"/>
  <c r="H1844" i="58"/>
  <c r="P1843" i="58"/>
  <c r="O1843" i="58"/>
  <c r="L1843" i="58"/>
  <c r="I1843" i="58"/>
  <c r="J1843" i="58" s="1"/>
  <c r="H1843" i="58"/>
  <c r="P1842" i="58"/>
  <c r="O1842" i="58"/>
  <c r="L1842" i="58"/>
  <c r="I1842" i="58"/>
  <c r="J1842" i="58" s="1"/>
  <c r="H1842" i="58"/>
  <c r="P1841" i="58"/>
  <c r="O1841" i="58"/>
  <c r="L1841" i="58"/>
  <c r="I1841" i="58"/>
  <c r="J1841" i="58" s="1"/>
  <c r="H1841" i="58"/>
  <c r="P1840" i="58"/>
  <c r="O1840" i="58"/>
  <c r="L1840" i="58"/>
  <c r="I1840" i="58"/>
  <c r="J1840" i="58" s="1"/>
  <c r="H1840" i="58"/>
  <c r="P1839" i="58"/>
  <c r="O1839" i="58"/>
  <c r="L1839" i="58"/>
  <c r="I1839" i="58"/>
  <c r="J1839" i="58" s="1"/>
  <c r="H1839" i="58"/>
  <c r="P1838" i="58"/>
  <c r="O1838" i="58"/>
  <c r="L1838" i="58"/>
  <c r="I1838" i="58"/>
  <c r="J1838" i="58" s="1"/>
  <c r="H1838" i="58"/>
  <c r="P1837" i="58"/>
  <c r="O1837" i="58"/>
  <c r="L1837" i="58"/>
  <c r="I1837" i="58"/>
  <c r="J1837" i="58" s="1"/>
  <c r="H1837" i="58"/>
  <c r="P1836" i="58"/>
  <c r="O1836" i="58"/>
  <c r="L1836" i="58"/>
  <c r="I1836" i="58"/>
  <c r="J1836" i="58" s="1"/>
  <c r="H1836" i="58"/>
  <c r="P1835" i="58"/>
  <c r="O1835" i="58"/>
  <c r="L1835" i="58"/>
  <c r="I1835" i="58"/>
  <c r="J1835" i="58" s="1"/>
  <c r="H1835" i="58"/>
  <c r="P1834" i="58"/>
  <c r="O1834" i="58"/>
  <c r="L1834" i="58"/>
  <c r="I1834" i="58"/>
  <c r="J1834" i="58" s="1"/>
  <c r="H1834" i="58"/>
  <c r="P1833" i="58"/>
  <c r="O1833" i="58"/>
  <c r="L1833" i="58"/>
  <c r="I1833" i="58"/>
  <c r="J1833" i="58" s="1"/>
  <c r="H1833" i="58"/>
  <c r="P1832" i="58"/>
  <c r="O1832" i="58"/>
  <c r="L1832" i="58"/>
  <c r="I1832" i="58"/>
  <c r="J1832" i="58" s="1"/>
  <c r="H1832" i="58"/>
  <c r="P1831" i="58"/>
  <c r="O1831" i="58"/>
  <c r="L1831" i="58"/>
  <c r="I1831" i="58"/>
  <c r="J1831" i="58" s="1"/>
  <c r="H1831" i="58"/>
  <c r="P1830" i="58"/>
  <c r="O1830" i="58"/>
  <c r="L1830" i="58"/>
  <c r="I1830" i="58"/>
  <c r="J1830" i="58" s="1"/>
  <c r="H1830" i="58"/>
  <c r="P1829" i="58"/>
  <c r="O1829" i="58"/>
  <c r="L1829" i="58"/>
  <c r="I1829" i="58"/>
  <c r="J1829" i="58" s="1"/>
  <c r="H1829" i="58"/>
  <c r="P1828" i="58"/>
  <c r="O1828" i="58"/>
  <c r="L1828" i="58"/>
  <c r="I1828" i="58"/>
  <c r="J1828" i="58" s="1"/>
  <c r="H1828" i="58"/>
  <c r="P1827" i="58"/>
  <c r="O1827" i="58"/>
  <c r="L1827" i="58"/>
  <c r="I1827" i="58"/>
  <c r="J1827" i="58" s="1"/>
  <c r="H1827" i="58"/>
  <c r="P1826" i="58"/>
  <c r="O1826" i="58"/>
  <c r="L1826" i="58"/>
  <c r="I1826" i="58"/>
  <c r="J1826" i="58" s="1"/>
  <c r="H1826" i="58"/>
  <c r="P1825" i="58"/>
  <c r="O1825" i="58"/>
  <c r="L1825" i="58"/>
  <c r="I1825" i="58"/>
  <c r="J1825" i="58" s="1"/>
  <c r="H1825" i="58"/>
  <c r="P1824" i="58"/>
  <c r="O1824" i="58"/>
  <c r="L1824" i="58"/>
  <c r="I1824" i="58"/>
  <c r="J1824" i="58" s="1"/>
  <c r="H1824" i="58"/>
  <c r="P1823" i="58"/>
  <c r="O1823" i="58"/>
  <c r="L1823" i="58"/>
  <c r="I1823" i="58"/>
  <c r="J1823" i="58" s="1"/>
  <c r="H1823" i="58"/>
  <c r="P1822" i="58"/>
  <c r="O1822" i="58"/>
  <c r="L1822" i="58"/>
  <c r="I1822" i="58"/>
  <c r="J1822" i="58" s="1"/>
  <c r="H1822" i="58"/>
  <c r="P1821" i="58"/>
  <c r="O1821" i="58"/>
  <c r="L1821" i="58"/>
  <c r="I1821" i="58"/>
  <c r="J1821" i="58" s="1"/>
  <c r="H1821" i="58"/>
  <c r="P1820" i="58"/>
  <c r="O1820" i="58"/>
  <c r="L1820" i="58"/>
  <c r="I1820" i="58"/>
  <c r="J1820" i="58" s="1"/>
  <c r="H1820" i="58"/>
  <c r="P1819" i="58"/>
  <c r="O1819" i="58"/>
  <c r="L1819" i="58"/>
  <c r="I1819" i="58"/>
  <c r="J1819" i="58" s="1"/>
  <c r="H1819" i="58"/>
  <c r="P1818" i="58"/>
  <c r="O1818" i="58"/>
  <c r="L1818" i="58"/>
  <c r="I1818" i="58"/>
  <c r="J1818" i="58" s="1"/>
  <c r="H1818" i="58"/>
  <c r="P1817" i="58"/>
  <c r="O1817" i="58"/>
  <c r="L1817" i="58"/>
  <c r="I1817" i="58"/>
  <c r="J1817" i="58" s="1"/>
  <c r="H1817" i="58"/>
  <c r="P1816" i="58"/>
  <c r="O1816" i="58"/>
  <c r="L1816" i="58"/>
  <c r="I1816" i="58"/>
  <c r="J1816" i="58" s="1"/>
  <c r="H1816" i="58"/>
  <c r="P1815" i="58"/>
  <c r="O1815" i="58"/>
  <c r="L1815" i="58"/>
  <c r="I1815" i="58"/>
  <c r="J1815" i="58" s="1"/>
  <c r="H1815" i="58"/>
  <c r="P1814" i="58"/>
  <c r="O1814" i="58"/>
  <c r="L1814" i="58"/>
  <c r="I1814" i="58"/>
  <c r="J1814" i="58" s="1"/>
  <c r="H1814" i="58"/>
  <c r="P1813" i="58"/>
  <c r="O1813" i="58"/>
  <c r="L1813" i="58"/>
  <c r="I1813" i="58"/>
  <c r="J1813" i="58" s="1"/>
  <c r="H1813" i="58"/>
  <c r="P1812" i="58"/>
  <c r="O1812" i="58"/>
  <c r="L1812" i="58"/>
  <c r="I1812" i="58"/>
  <c r="J1812" i="58" s="1"/>
  <c r="H1812" i="58"/>
  <c r="P1811" i="58"/>
  <c r="O1811" i="58"/>
  <c r="L1811" i="58"/>
  <c r="I1811" i="58"/>
  <c r="J1811" i="58" s="1"/>
  <c r="H1811" i="58"/>
  <c r="P1810" i="58"/>
  <c r="O1810" i="58"/>
  <c r="L1810" i="58"/>
  <c r="I1810" i="58"/>
  <c r="J1810" i="58" s="1"/>
  <c r="H1810" i="58"/>
  <c r="P1809" i="58"/>
  <c r="O1809" i="58"/>
  <c r="L1809" i="58"/>
  <c r="I1809" i="58"/>
  <c r="J1809" i="58" s="1"/>
  <c r="H1809" i="58"/>
  <c r="P1808" i="58"/>
  <c r="O1808" i="58"/>
  <c r="L1808" i="58"/>
  <c r="I1808" i="58"/>
  <c r="J1808" i="58" s="1"/>
  <c r="H1808" i="58"/>
  <c r="P1807" i="58"/>
  <c r="O1807" i="58"/>
  <c r="L1807" i="58"/>
  <c r="I1807" i="58"/>
  <c r="J1807" i="58" s="1"/>
  <c r="H1807" i="58"/>
  <c r="P1806" i="58"/>
  <c r="O1806" i="58"/>
  <c r="L1806" i="58"/>
  <c r="I1806" i="58"/>
  <c r="J1806" i="58" s="1"/>
  <c r="H1806" i="58"/>
  <c r="P1805" i="58"/>
  <c r="O1805" i="58"/>
  <c r="L1805" i="58"/>
  <c r="I1805" i="58"/>
  <c r="J1805" i="58" s="1"/>
  <c r="H1805" i="58"/>
  <c r="P1804" i="58"/>
  <c r="O1804" i="58"/>
  <c r="L1804" i="58"/>
  <c r="I1804" i="58"/>
  <c r="J1804" i="58" s="1"/>
  <c r="H1804" i="58"/>
  <c r="P1803" i="58"/>
  <c r="O1803" i="58"/>
  <c r="L1803" i="58"/>
  <c r="I1803" i="58"/>
  <c r="J1803" i="58" s="1"/>
  <c r="H1803" i="58"/>
  <c r="P1802" i="58"/>
  <c r="O1802" i="58"/>
  <c r="L1802" i="58"/>
  <c r="I1802" i="58"/>
  <c r="J1802" i="58" s="1"/>
  <c r="H1802" i="58"/>
  <c r="P1801" i="58"/>
  <c r="O1801" i="58"/>
  <c r="L1801" i="58"/>
  <c r="I1801" i="58"/>
  <c r="J1801" i="58" s="1"/>
  <c r="H1801" i="58"/>
  <c r="P1800" i="58"/>
  <c r="O1800" i="58"/>
  <c r="L1800" i="58"/>
  <c r="I1800" i="58"/>
  <c r="J1800" i="58" s="1"/>
  <c r="H1800" i="58"/>
  <c r="P1799" i="58"/>
  <c r="O1799" i="58"/>
  <c r="L1799" i="58"/>
  <c r="I1799" i="58"/>
  <c r="J1799" i="58" s="1"/>
  <c r="H1799" i="58"/>
  <c r="P1798" i="58"/>
  <c r="O1798" i="58"/>
  <c r="L1798" i="58"/>
  <c r="I1798" i="58"/>
  <c r="J1798" i="58" s="1"/>
  <c r="H1798" i="58"/>
  <c r="P1797" i="58"/>
  <c r="O1797" i="58"/>
  <c r="L1797" i="58"/>
  <c r="I1797" i="58"/>
  <c r="J1797" i="58" s="1"/>
  <c r="H1797" i="58"/>
  <c r="P1796" i="58"/>
  <c r="O1796" i="58"/>
  <c r="L1796" i="58"/>
  <c r="I1796" i="58"/>
  <c r="J1796" i="58" s="1"/>
  <c r="H1796" i="58"/>
  <c r="P1795" i="58"/>
  <c r="O1795" i="58"/>
  <c r="L1795" i="58"/>
  <c r="I1795" i="58"/>
  <c r="J1795" i="58" s="1"/>
  <c r="H1795" i="58"/>
  <c r="P1794" i="58"/>
  <c r="O1794" i="58"/>
  <c r="L1794" i="58"/>
  <c r="I1794" i="58"/>
  <c r="J1794" i="58" s="1"/>
  <c r="H1794" i="58"/>
  <c r="P1793" i="58"/>
  <c r="O1793" i="58"/>
  <c r="L1793" i="58"/>
  <c r="I1793" i="58"/>
  <c r="J1793" i="58" s="1"/>
  <c r="H1793" i="58"/>
  <c r="P1792" i="58"/>
  <c r="O1792" i="58"/>
  <c r="L1792" i="58"/>
  <c r="I1792" i="58"/>
  <c r="J1792" i="58" s="1"/>
  <c r="H1792" i="58"/>
  <c r="P1791" i="58"/>
  <c r="O1791" i="58"/>
  <c r="L1791" i="58"/>
  <c r="I1791" i="58"/>
  <c r="J1791" i="58" s="1"/>
  <c r="H1791" i="58"/>
  <c r="P1790" i="58"/>
  <c r="O1790" i="58"/>
  <c r="L1790" i="58"/>
  <c r="I1790" i="58"/>
  <c r="J1790" i="58" s="1"/>
  <c r="H1790" i="58"/>
  <c r="P1789" i="58"/>
  <c r="O1789" i="58"/>
  <c r="L1789" i="58"/>
  <c r="I1789" i="58"/>
  <c r="J1789" i="58" s="1"/>
  <c r="H1789" i="58"/>
  <c r="P1788" i="58"/>
  <c r="O1788" i="58"/>
  <c r="L1788" i="58"/>
  <c r="I1788" i="58"/>
  <c r="J1788" i="58" s="1"/>
  <c r="H1788" i="58"/>
  <c r="P1787" i="58"/>
  <c r="O1787" i="58"/>
  <c r="L1787" i="58"/>
  <c r="I1787" i="58"/>
  <c r="J1787" i="58" s="1"/>
  <c r="H1787" i="58"/>
  <c r="P1786" i="58"/>
  <c r="O1786" i="58"/>
  <c r="L1786" i="58"/>
  <c r="I1786" i="58"/>
  <c r="J1786" i="58" s="1"/>
  <c r="H1786" i="58"/>
  <c r="P1785" i="58"/>
  <c r="O1785" i="58"/>
  <c r="L1785" i="58"/>
  <c r="I1785" i="58"/>
  <c r="J1785" i="58" s="1"/>
  <c r="H1785" i="58"/>
  <c r="P1784" i="58"/>
  <c r="O1784" i="58"/>
  <c r="L1784" i="58"/>
  <c r="I1784" i="58"/>
  <c r="J1784" i="58" s="1"/>
  <c r="H1784" i="58"/>
  <c r="P1783" i="58"/>
  <c r="O1783" i="58"/>
  <c r="L1783" i="58"/>
  <c r="I1783" i="58"/>
  <c r="J1783" i="58" s="1"/>
  <c r="H1783" i="58"/>
  <c r="P1782" i="58"/>
  <c r="O1782" i="58"/>
  <c r="L1782" i="58"/>
  <c r="I1782" i="58"/>
  <c r="J1782" i="58" s="1"/>
  <c r="H1782" i="58"/>
  <c r="P1781" i="58"/>
  <c r="O1781" i="58"/>
  <c r="L1781" i="58"/>
  <c r="I1781" i="58"/>
  <c r="J1781" i="58" s="1"/>
  <c r="H1781" i="58"/>
  <c r="P1780" i="58"/>
  <c r="O1780" i="58"/>
  <c r="L1780" i="58"/>
  <c r="I1780" i="58"/>
  <c r="J1780" i="58" s="1"/>
  <c r="H1780" i="58"/>
  <c r="P1779" i="58"/>
  <c r="O1779" i="58"/>
  <c r="L1779" i="58"/>
  <c r="I1779" i="58"/>
  <c r="J1779" i="58" s="1"/>
  <c r="H1779" i="58"/>
  <c r="P1778" i="58"/>
  <c r="O1778" i="58"/>
  <c r="L1778" i="58"/>
  <c r="I1778" i="58"/>
  <c r="J1778" i="58" s="1"/>
  <c r="H1778" i="58"/>
  <c r="P1777" i="58"/>
  <c r="O1777" i="58"/>
  <c r="L1777" i="58"/>
  <c r="I1777" i="58"/>
  <c r="J1777" i="58" s="1"/>
  <c r="H1777" i="58"/>
  <c r="P1776" i="58"/>
  <c r="O1776" i="58"/>
  <c r="L1776" i="58"/>
  <c r="I1776" i="58"/>
  <c r="J1776" i="58" s="1"/>
  <c r="H1776" i="58"/>
  <c r="P1775" i="58"/>
  <c r="O1775" i="58"/>
  <c r="L1775" i="58"/>
  <c r="I1775" i="58"/>
  <c r="J1775" i="58" s="1"/>
  <c r="H1775" i="58"/>
  <c r="P1774" i="58"/>
  <c r="O1774" i="58"/>
  <c r="L1774" i="58"/>
  <c r="I1774" i="58"/>
  <c r="J1774" i="58" s="1"/>
  <c r="H1774" i="58"/>
  <c r="P1773" i="58"/>
  <c r="O1773" i="58"/>
  <c r="L1773" i="58"/>
  <c r="I1773" i="58"/>
  <c r="J1773" i="58" s="1"/>
  <c r="H1773" i="58"/>
  <c r="P1772" i="58"/>
  <c r="O1772" i="58"/>
  <c r="L1772" i="58"/>
  <c r="I1772" i="58"/>
  <c r="J1772" i="58" s="1"/>
  <c r="H1772" i="58"/>
  <c r="P1771" i="58"/>
  <c r="O1771" i="58"/>
  <c r="L1771" i="58"/>
  <c r="I1771" i="58"/>
  <c r="J1771" i="58" s="1"/>
  <c r="H1771" i="58"/>
  <c r="P1770" i="58"/>
  <c r="O1770" i="58"/>
  <c r="L1770" i="58"/>
  <c r="I1770" i="58"/>
  <c r="J1770" i="58" s="1"/>
  <c r="H1770" i="58"/>
  <c r="P1769" i="58"/>
  <c r="O1769" i="58"/>
  <c r="L1769" i="58"/>
  <c r="I1769" i="58"/>
  <c r="J1769" i="58" s="1"/>
  <c r="H1769" i="58"/>
  <c r="P1768" i="58"/>
  <c r="O1768" i="58"/>
  <c r="L1768" i="58"/>
  <c r="I1768" i="58"/>
  <c r="J1768" i="58" s="1"/>
  <c r="H1768" i="58"/>
  <c r="P1767" i="58"/>
  <c r="O1767" i="58"/>
  <c r="L1767" i="58"/>
  <c r="I1767" i="58"/>
  <c r="J1767" i="58" s="1"/>
  <c r="H1767" i="58"/>
  <c r="P1766" i="58"/>
  <c r="O1766" i="58"/>
  <c r="L1766" i="58"/>
  <c r="I1766" i="58"/>
  <c r="J1766" i="58" s="1"/>
  <c r="H1766" i="58"/>
  <c r="P1765" i="58"/>
  <c r="O1765" i="58"/>
  <c r="L1765" i="58"/>
  <c r="I1765" i="58"/>
  <c r="J1765" i="58" s="1"/>
  <c r="H1765" i="58"/>
  <c r="P1764" i="58"/>
  <c r="O1764" i="58"/>
  <c r="L1764" i="58"/>
  <c r="I1764" i="58"/>
  <c r="J1764" i="58" s="1"/>
  <c r="H1764" i="58"/>
  <c r="P1763" i="58"/>
  <c r="O1763" i="58"/>
  <c r="L1763" i="58"/>
  <c r="I1763" i="58"/>
  <c r="J1763" i="58" s="1"/>
  <c r="H1763" i="58"/>
  <c r="P1762" i="58"/>
  <c r="O1762" i="58"/>
  <c r="L1762" i="58"/>
  <c r="I1762" i="58"/>
  <c r="J1762" i="58" s="1"/>
  <c r="H1762" i="58"/>
  <c r="P1761" i="58"/>
  <c r="O1761" i="58"/>
  <c r="L1761" i="58"/>
  <c r="I1761" i="58"/>
  <c r="J1761" i="58" s="1"/>
  <c r="H1761" i="58"/>
  <c r="P1760" i="58"/>
  <c r="O1760" i="58"/>
  <c r="L1760" i="58"/>
  <c r="I1760" i="58"/>
  <c r="J1760" i="58" s="1"/>
  <c r="H1760" i="58"/>
  <c r="P1759" i="58"/>
  <c r="O1759" i="58"/>
  <c r="L1759" i="58"/>
  <c r="I1759" i="58"/>
  <c r="J1759" i="58" s="1"/>
  <c r="H1759" i="58"/>
  <c r="P1758" i="58"/>
  <c r="O1758" i="58"/>
  <c r="L1758" i="58"/>
  <c r="I1758" i="58"/>
  <c r="J1758" i="58" s="1"/>
  <c r="H1758" i="58"/>
  <c r="P1757" i="58"/>
  <c r="O1757" i="58"/>
  <c r="L1757" i="58"/>
  <c r="I1757" i="58"/>
  <c r="J1757" i="58" s="1"/>
  <c r="H1757" i="58"/>
  <c r="P1756" i="58"/>
  <c r="O1756" i="58"/>
  <c r="L1756" i="58"/>
  <c r="I1756" i="58"/>
  <c r="J1756" i="58" s="1"/>
  <c r="H1756" i="58"/>
  <c r="P1755" i="58"/>
  <c r="O1755" i="58"/>
  <c r="L1755" i="58"/>
  <c r="I1755" i="58"/>
  <c r="J1755" i="58" s="1"/>
  <c r="H1755" i="58"/>
  <c r="P1754" i="58"/>
  <c r="O1754" i="58"/>
  <c r="L1754" i="58"/>
  <c r="I1754" i="58"/>
  <c r="J1754" i="58" s="1"/>
  <c r="H1754" i="58"/>
  <c r="P1753" i="58"/>
  <c r="O1753" i="58"/>
  <c r="L1753" i="58"/>
  <c r="I1753" i="58"/>
  <c r="J1753" i="58" s="1"/>
  <c r="H1753" i="58"/>
  <c r="P1752" i="58"/>
  <c r="O1752" i="58"/>
  <c r="L1752" i="58"/>
  <c r="I1752" i="58"/>
  <c r="J1752" i="58" s="1"/>
  <c r="H1752" i="58"/>
  <c r="P1751" i="58"/>
  <c r="O1751" i="58"/>
  <c r="L1751" i="58"/>
  <c r="I1751" i="58"/>
  <c r="J1751" i="58" s="1"/>
  <c r="H1751" i="58"/>
  <c r="P1750" i="58"/>
  <c r="O1750" i="58"/>
  <c r="L1750" i="58"/>
  <c r="I1750" i="58"/>
  <c r="J1750" i="58" s="1"/>
  <c r="H1750" i="58"/>
  <c r="P1749" i="58"/>
  <c r="O1749" i="58"/>
  <c r="L1749" i="58"/>
  <c r="I1749" i="58"/>
  <c r="J1749" i="58" s="1"/>
  <c r="H1749" i="58"/>
  <c r="P1748" i="58"/>
  <c r="O1748" i="58"/>
  <c r="L1748" i="58"/>
  <c r="I1748" i="58"/>
  <c r="J1748" i="58" s="1"/>
  <c r="H1748" i="58"/>
  <c r="P1747" i="58"/>
  <c r="O1747" i="58"/>
  <c r="L1747" i="58"/>
  <c r="I1747" i="58"/>
  <c r="J1747" i="58" s="1"/>
  <c r="H1747" i="58"/>
  <c r="P1746" i="58"/>
  <c r="O1746" i="58"/>
  <c r="L1746" i="58"/>
  <c r="I1746" i="58"/>
  <c r="J1746" i="58" s="1"/>
  <c r="H1746" i="58"/>
  <c r="P1745" i="58"/>
  <c r="O1745" i="58"/>
  <c r="L1745" i="58"/>
  <c r="I1745" i="58"/>
  <c r="J1745" i="58" s="1"/>
  <c r="H1745" i="58"/>
  <c r="P1744" i="58"/>
  <c r="O1744" i="58"/>
  <c r="L1744" i="58"/>
  <c r="I1744" i="58"/>
  <c r="J1744" i="58" s="1"/>
  <c r="H1744" i="58"/>
  <c r="P1743" i="58"/>
  <c r="O1743" i="58"/>
  <c r="L1743" i="58"/>
  <c r="I1743" i="58"/>
  <c r="J1743" i="58" s="1"/>
  <c r="H1743" i="58"/>
  <c r="P1742" i="58"/>
  <c r="O1742" i="58"/>
  <c r="L1742" i="58"/>
  <c r="I1742" i="58"/>
  <c r="J1742" i="58" s="1"/>
  <c r="H1742" i="58"/>
  <c r="P1741" i="58"/>
  <c r="O1741" i="58"/>
  <c r="L1741" i="58"/>
  <c r="I1741" i="58"/>
  <c r="J1741" i="58" s="1"/>
  <c r="H1741" i="58"/>
  <c r="P1740" i="58"/>
  <c r="O1740" i="58"/>
  <c r="L1740" i="58"/>
  <c r="I1740" i="58"/>
  <c r="J1740" i="58" s="1"/>
  <c r="H1740" i="58"/>
  <c r="P1739" i="58"/>
  <c r="O1739" i="58"/>
  <c r="L1739" i="58"/>
  <c r="I1739" i="58"/>
  <c r="J1739" i="58" s="1"/>
  <c r="H1739" i="58"/>
  <c r="P1738" i="58"/>
  <c r="O1738" i="58"/>
  <c r="L1738" i="58"/>
  <c r="I1738" i="58"/>
  <c r="J1738" i="58" s="1"/>
  <c r="H1738" i="58"/>
  <c r="P1737" i="58"/>
  <c r="O1737" i="58"/>
  <c r="L1737" i="58"/>
  <c r="I1737" i="58"/>
  <c r="J1737" i="58" s="1"/>
  <c r="H1737" i="58"/>
  <c r="P1736" i="58"/>
  <c r="O1736" i="58"/>
  <c r="L1736" i="58"/>
  <c r="I1736" i="58"/>
  <c r="J1736" i="58" s="1"/>
  <c r="H1736" i="58"/>
  <c r="P1735" i="58"/>
  <c r="O1735" i="58"/>
  <c r="L1735" i="58"/>
  <c r="I1735" i="58"/>
  <c r="J1735" i="58" s="1"/>
  <c r="H1735" i="58"/>
  <c r="P1734" i="58"/>
  <c r="O1734" i="58"/>
  <c r="L1734" i="58"/>
  <c r="I1734" i="58"/>
  <c r="J1734" i="58" s="1"/>
  <c r="H1734" i="58"/>
  <c r="P1733" i="58"/>
  <c r="O1733" i="58"/>
  <c r="L1733" i="58"/>
  <c r="I1733" i="58"/>
  <c r="J1733" i="58" s="1"/>
  <c r="H1733" i="58"/>
  <c r="P1732" i="58"/>
  <c r="O1732" i="58"/>
  <c r="L1732" i="58"/>
  <c r="I1732" i="58"/>
  <c r="J1732" i="58" s="1"/>
  <c r="H1732" i="58"/>
  <c r="P1731" i="58"/>
  <c r="O1731" i="58"/>
  <c r="L1731" i="58"/>
  <c r="I1731" i="58"/>
  <c r="J1731" i="58" s="1"/>
  <c r="H1731" i="58"/>
  <c r="P1730" i="58"/>
  <c r="O1730" i="58"/>
  <c r="L1730" i="58"/>
  <c r="I1730" i="58"/>
  <c r="J1730" i="58" s="1"/>
  <c r="H1730" i="58"/>
  <c r="P1729" i="58"/>
  <c r="O1729" i="58"/>
  <c r="L1729" i="58"/>
  <c r="I1729" i="58"/>
  <c r="J1729" i="58" s="1"/>
  <c r="H1729" i="58"/>
  <c r="P1728" i="58"/>
  <c r="O1728" i="58"/>
  <c r="L1728" i="58"/>
  <c r="I1728" i="58"/>
  <c r="J1728" i="58" s="1"/>
  <c r="H1728" i="58"/>
  <c r="P1727" i="58"/>
  <c r="O1727" i="58"/>
  <c r="L1727" i="58"/>
  <c r="I1727" i="58"/>
  <c r="J1727" i="58" s="1"/>
  <c r="H1727" i="58"/>
  <c r="P1726" i="58"/>
  <c r="O1726" i="58"/>
  <c r="L1726" i="58"/>
  <c r="I1726" i="58"/>
  <c r="J1726" i="58" s="1"/>
  <c r="H1726" i="58"/>
  <c r="P1725" i="58"/>
  <c r="O1725" i="58"/>
  <c r="L1725" i="58"/>
  <c r="I1725" i="58"/>
  <c r="J1725" i="58" s="1"/>
  <c r="H1725" i="58"/>
  <c r="P1724" i="58"/>
  <c r="O1724" i="58"/>
  <c r="L1724" i="58"/>
  <c r="I1724" i="58"/>
  <c r="J1724" i="58" s="1"/>
  <c r="H1724" i="58"/>
  <c r="P1723" i="58"/>
  <c r="O1723" i="58"/>
  <c r="L1723" i="58"/>
  <c r="I1723" i="58"/>
  <c r="J1723" i="58" s="1"/>
  <c r="H1723" i="58"/>
  <c r="P1722" i="58"/>
  <c r="O1722" i="58"/>
  <c r="L1722" i="58"/>
  <c r="I1722" i="58"/>
  <c r="J1722" i="58" s="1"/>
  <c r="H1722" i="58"/>
  <c r="P1721" i="58"/>
  <c r="O1721" i="58"/>
  <c r="L1721" i="58"/>
  <c r="I1721" i="58"/>
  <c r="J1721" i="58" s="1"/>
  <c r="H1721" i="58"/>
  <c r="P1720" i="58"/>
  <c r="O1720" i="58"/>
  <c r="L1720" i="58"/>
  <c r="I1720" i="58"/>
  <c r="J1720" i="58" s="1"/>
  <c r="H1720" i="58"/>
  <c r="P1719" i="58"/>
  <c r="O1719" i="58"/>
  <c r="L1719" i="58"/>
  <c r="I1719" i="58"/>
  <c r="J1719" i="58" s="1"/>
  <c r="H1719" i="58"/>
  <c r="P1718" i="58"/>
  <c r="O1718" i="58"/>
  <c r="L1718" i="58"/>
  <c r="I1718" i="58"/>
  <c r="J1718" i="58" s="1"/>
  <c r="H1718" i="58"/>
  <c r="P1717" i="58"/>
  <c r="O1717" i="58"/>
  <c r="L1717" i="58"/>
  <c r="I1717" i="58"/>
  <c r="J1717" i="58" s="1"/>
  <c r="H1717" i="58"/>
  <c r="P1716" i="58"/>
  <c r="O1716" i="58"/>
  <c r="L1716" i="58"/>
  <c r="I1716" i="58"/>
  <c r="J1716" i="58" s="1"/>
  <c r="H1716" i="58"/>
  <c r="P1715" i="58"/>
  <c r="O1715" i="58"/>
  <c r="L1715" i="58"/>
  <c r="I1715" i="58"/>
  <c r="J1715" i="58" s="1"/>
  <c r="H1715" i="58"/>
  <c r="P1714" i="58"/>
  <c r="O1714" i="58"/>
  <c r="L1714" i="58"/>
  <c r="I1714" i="58"/>
  <c r="J1714" i="58" s="1"/>
  <c r="H1714" i="58"/>
  <c r="P1713" i="58"/>
  <c r="O1713" i="58"/>
  <c r="L1713" i="58"/>
  <c r="I1713" i="58"/>
  <c r="J1713" i="58" s="1"/>
  <c r="H1713" i="58"/>
  <c r="P1712" i="58"/>
  <c r="O1712" i="58"/>
  <c r="L1712" i="58"/>
  <c r="I1712" i="58"/>
  <c r="J1712" i="58" s="1"/>
  <c r="H1712" i="58"/>
  <c r="P1711" i="58"/>
  <c r="O1711" i="58"/>
  <c r="L1711" i="58"/>
  <c r="I1711" i="58"/>
  <c r="J1711" i="58" s="1"/>
  <c r="H1711" i="58"/>
  <c r="P1710" i="58"/>
  <c r="O1710" i="58"/>
  <c r="L1710" i="58"/>
  <c r="I1710" i="58"/>
  <c r="J1710" i="58" s="1"/>
  <c r="H1710" i="58"/>
  <c r="P1709" i="58"/>
  <c r="O1709" i="58"/>
  <c r="L1709" i="58"/>
  <c r="I1709" i="58"/>
  <c r="J1709" i="58" s="1"/>
  <c r="H1709" i="58"/>
  <c r="P1708" i="58"/>
  <c r="O1708" i="58"/>
  <c r="L1708" i="58"/>
  <c r="I1708" i="58"/>
  <c r="J1708" i="58" s="1"/>
  <c r="H1708" i="58"/>
  <c r="P1707" i="58"/>
  <c r="O1707" i="58"/>
  <c r="L1707" i="58"/>
  <c r="I1707" i="58"/>
  <c r="J1707" i="58" s="1"/>
  <c r="H1707" i="58"/>
  <c r="P1706" i="58"/>
  <c r="O1706" i="58"/>
  <c r="L1706" i="58"/>
  <c r="I1706" i="58"/>
  <c r="J1706" i="58" s="1"/>
  <c r="H1706" i="58"/>
  <c r="P1705" i="58"/>
  <c r="O1705" i="58"/>
  <c r="L1705" i="58"/>
  <c r="I1705" i="58"/>
  <c r="J1705" i="58" s="1"/>
  <c r="H1705" i="58"/>
  <c r="P1704" i="58"/>
  <c r="O1704" i="58"/>
  <c r="L1704" i="58"/>
  <c r="I1704" i="58"/>
  <c r="J1704" i="58" s="1"/>
  <c r="H1704" i="58"/>
  <c r="P1703" i="58"/>
  <c r="O1703" i="58"/>
  <c r="L1703" i="58"/>
  <c r="I1703" i="58"/>
  <c r="J1703" i="58" s="1"/>
  <c r="H1703" i="58"/>
  <c r="P1702" i="58"/>
  <c r="O1702" i="58"/>
  <c r="L1702" i="58"/>
  <c r="I1702" i="58"/>
  <c r="J1702" i="58" s="1"/>
  <c r="H1702" i="58"/>
  <c r="P1701" i="58"/>
  <c r="O1701" i="58"/>
  <c r="L1701" i="58"/>
  <c r="I1701" i="58"/>
  <c r="J1701" i="58" s="1"/>
  <c r="H1701" i="58"/>
  <c r="P1700" i="58"/>
  <c r="O1700" i="58"/>
  <c r="L1700" i="58"/>
  <c r="I1700" i="58"/>
  <c r="J1700" i="58" s="1"/>
  <c r="H1700" i="58"/>
  <c r="P1699" i="58"/>
  <c r="O1699" i="58"/>
  <c r="L1699" i="58"/>
  <c r="I1699" i="58"/>
  <c r="J1699" i="58" s="1"/>
  <c r="H1699" i="58"/>
  <c r="P1698" i="58"/>
  <c r="O1698" i="58"/>
  <c r="L1698" i="58"/>
  <c r="I1698" i="58"/>
  <c r="J1698" i="58" s="1"/>
  <c r="H1698" i="58"/>
  <c r="P1697" i="58"/>
  <c r="O1697" i="58"/>
  <c r="L1697" i="58"/>
  <c r="I1697" i="58"/>
  <c r="J1697" i="58" s="1"/>
  <c r="H1697" i="58"/>
  <c r="P1696" i="58"/>
  <c r="O1696" i="58"/>
  <c r="L1696" i="58"/>
  <c r="I1696" i="58"/>
  <c r="J1696" i="58" s="1"/>
  <c r="H1696" i="58"/>
  <c r="P1695" i="58"/>
  <c r="O1695" i="58"/>
  <c r="L1695" i="58"/>
  <c r="I1695" i="58"/>
  <c r="J1695" i="58" s="1"/>
  <c r="H1695" i="58"/>
  <c r="P1694" i="58"/>
  <c r="O1694" i="58"/>
  <c r="L1694" i="58"/>
  <c r="I1694" i="58"/>
  <c r="J1694" i="58" s="1"/>
  <c r="H1694" i="58"/>
  <c r="P1693" i="58"/>
  <c r="O1693" i="58"/>
  <c r="L1693" i="58"/>
  <c r="I1693" i="58"/>
  <c r="J1693" i="58" s="1"/>
  <c r="H1693" i="58"/>
  <c r="P1692" i="58"/>
  <c r="O1692" i="58"/>
  <c r="L1692" i="58"/>
  <c r="I1692" i="58"/>
  <c r="J1692" i="58" s="1"/>
  <c r="H1692" i="58"/>
  <c r="P1691" i="58"/>
  <c r="O1691" i="58"/>
  <c r="L1691" i="58"/>
  <c r="I1691" i="58"/>
  <c r="J1691" i="58" s="1"/>
  <c r="H1691" i="58"/>
  <c r="P1690" i="58"/>
  <c r="O1690" i="58"/>
  <c r="L1690" i="58"/>
  <c r="I1690" i="58"/>
  <c r="J1690" i="58" s="1"/>
  <c r="H1690" i="58"/>
  <c r="P1689" i="58"/>
  <c r="O1689" i="58"/>
  <c r="L1689" i="58"/>
  <c r="I1689" i="58"/>
  <c r="J1689" i="58" s="1"/>
  <c r="H1689" i="58"/>
  <c r="P1688" i="58"/>
  <c r="O1688" i="58"/>
  <c r="L1688" i="58"/>
  <c r="I1688" i="58"/>
  <c r="J1688" i="58" s="1"/>
  <c r="H1688" i="58"/>
  <c r="P1687" i="58"/>
  <c r="O1687" i="58"/>
  <c r="L1687" i="58"/>
  <c r="I1687" i="58"/>
  <c r="J1687" i="58" s="1"/>
  <c r="H1687" i="58"/>
  <c r="P1686" i="58"/>
  <c r="O1686" i="58"/>
  <c r="L1686" i="58"/>
  <c r="I1686" i="58"/>
  <c r="J1686" i="58" s="1"/>
  <c r="H1686" i="58"/>
  <c r="P1685" i="58"/>
  <c r="O1685" i="58"/>
  <c r="L1685" i="58"/>
  <c r="I1685" i="58"/>
  <c r="J1685" i="58" s="1"/>
  <c r="H1685" i="58"/>
  <c r="P1684" i="58"/>
  <c r="O1684" i="58"/>
  <c r="L1684" i="58"/>
  <c r="I1684" i="58"/>
  <c r="J1684" i="58" s="1"/>
  <c r="H1684" i="58"/>
  <c r="P1683" i="58"/>
  <c r="O1683" i="58"/>
  <c r="L1683" i="58"/>
  <c r="I1683" i="58"/>
  <c r="J1683" i="58" s="1"/>
  <c r="H1683" i="58"/>
  <c r="P1682" i="58"/>
  <c r="O1682" i="58"/>
  <c r="L1682" i="58"/>
  <c r="I1682" i="58"/>
  <c r="J1682" i="58" s="1"/>
  <c r="H1682" i="58"/>
  <c r="P1681" i="58"/>
  <c r="O1681" i="58"/>
  <c r="L1681" i="58"/>
  <c r="I1681" i="58"/>
  <c r="J1681" i="58" s="1"/>
  <c r="H1681" i="58"/>
  <c r="P1680" i="58"/>
  <c r="O1680" i="58"/>
  <c r="L1680" i="58"/>
  <c r="I1680" i="58"/>
  <c r="J1680" i="58" s="1"/>
  <c r="H1680" i="58"/>
  <c r="P1679" i="58"/>
  <c r="O1679" i="58"/>
  <c r="L1679" i="58"/>
  <c r="I1679" i="58"/>
  <c r="J1679" i="58" s="1"/>
  <c r="H1679" i="58"/>
  <c r="P1678" i="58"/>
  <c r="O1678" i="58"/>
  <c r="L1678" i="58"/>
  <c r="I1678" i="58"/>
  <c r="J1678" i="58" s="1"/>
  <c r="H1678" i="58"/>
  <c r="P1677" i="58"/>
  <c r="O1677" i="58"/>
  <c r="L1677" i="58"/>
  <c r="I1677" i="58"/>
  <c r="J1677" i="58" s="1"/>
  <c r="H1677" i="58"/>
  <c r="P1676" i="58"/>
  <c r="O1676" i="58"/>
  <c r="L1676" i="58"/>
  <c r="I1676" i="58"/>
  <c r="J1676" i="58" s="1"/>
  <c r="H1676" i="58"/>
  <c r="P1675" i="58"/>
  <c r="O1675" i="58"/>
  <c r="L1675" i="58"/>
  <c r="I1675" i="58"/>
  <c r="J1675" i="58" s="1"/>
  <c r="H1675" i="58"/>
  <c r="P1674" i="58"/>
  <c r="O1674" i="58"/>
  <c r="L1674" i="58"/>
  <c r="I1674" i="58"/>
  <c r="J1674" i="58" s="1"/>
  <c r="H1674" i="58"/>
  <c r="P1673" i="58"/>
  <c r="O1673" i="58"/>
  <c r="L1673" i="58"/>
  <c r="I1673" i="58"/>
  <c r="J1673" i="58" s="1"/>
  <c r="H1673" i="58"/>
  <c r="P1672" i="58"/>
  <c r="O1672" i="58"/>
  <c r="L1672" i="58"/>
  <c r="I1672" i="58"/>
  <c r="J1672" i="58" s="1"/>
  <c r="H1672" i="58"/>
  <c r="P1671" i="58"/>
  <c r="O1671" i="58"/>
  <c r="L1671" i="58"/>
  <c r="I1671" i="58"/>
  <c r="J1671" i="58" s="1"/>
  <c r="H1671" i="58"/>
  <c r="P1670" i="58"/>
  <c r="O1670" i="58"/>
  <c r="L1670" i="58"/>
  <c r="I1670" i="58"/>
  <c r="J1670" i="58" s="1"/>
  <c r="H1670" i="58"/>
  <c r="P1669" i="58"/>
  <c r="O1669" i="58"/>
  <c r="L1669" i="58"/>
  <c r="I1669" i="58"/>
  <c r="J1669" i="58" s="1"/>
  <c r="H1669" i="58"/>
  <c r="P1668" i="58"/>
  <c r="O1668" i="58"/>
  <c r="L1668" i="58"/>
  <c r="I1668" i="58"/>
  <c r="J1668" i="58" s="1"/>
  <c r="H1668" i="58"/>
  <c r="P1667" i="58"/>
  <c r="O1667" i="58"/>
  <c r="L1667" i="58"/>
  <c r="I1667" i="58"/>
  <c r="J1667" i="58" s="1"/>
  <c r="H1667" i="58"/>
  <c r="P1666" i="58"/>
  <c r="O1666" i="58"/>
  <c r="L1666" i="58"/>
  <c r="I1666" i="58"/>
  <c r="J1666" i="58" s="1"/>
  <c r="H1666" i="58"/>
  <c r="P1665" i="58"/>
  <c r="O1665" i="58"/>
  <c r="L1665" i="58"/>
  <c r="I1665" i="58"/>
  <c r="J1665" i="58" s="1"/>
  <c r="H1665" i="58"/>
  <c r="P1664" i="58"/>
  <c r="O1664" i="58"/>
  <c r="L1664" i="58"/>
  <c r="I1664" i="58"/>
  <c r="J1664" i="58" s="1"/>
  <c r="H1664" i="58"/>
  <c r="P1663" i="58"/>
  <c r="O1663" i="58"/>
  <c r="L1663" i="58"/>
  <c r="I1663" i="58"/>
  <c r="J1663" i="58" s="1"/>
  <c r="H1663" i="58"/>
  <c r="P1662" i="58"/>
  <c r="O1662" i="58"/>
  <c r="L1662" i="58"/>
  <c r="I1662" i="58"/>
  <c r="J1662" i="58" s="1"/>
  <c r="H1662" i="58"/>
  <c r="P1661" i="58"/>
  <c r="O1661" i="58"/>
  <c r="L1661" i="58"/>
  <c r="I1661" i="58"/>
  <c r="J1661" i="58" s="1"/>
  <c r="H1661" i="58"/>
  <c r="P1660" i="58"/>
  <c r="O1660" i="58"/>
  <c r="L1660" i="58"/>
  <c r="I1660" i="58"/>
  <c r="J1660" i="58" s="1"/>
  <c r="H1660" i="58"/>
  <c r="P1659" i="58"/>
  <c r="O1659" i="58"/>
  <c r="L1659" i="58"/>
  <c r="I1659" i="58"/>
  <c r="J1659" i="58" s="1"/>
  <c r="H1659" i="58"/>
  <c r="P1658" i="58"/>
  <c r="O1658" i="58"/>
  <c r="L1658" i="58"/>
  <c r="I1658" i="58"/>
  <c r="J1658" i="58" s="1"/>
  <c r="H1658" i="58"/>
  <c r="P1657" i="58"/>
  <c r="O1657" i="58"/>
  <c r="L1657" i="58"/>
  <c r="I1657" i="58"/>
  <c r="J1657" i="58" s="1"/>
  <c r="H1657" i="58"/>
  <c r="P1656" i="58"/>
  <c r="O1656" i="58"/>
  <c r="L1656" i="58"/>
  <c r="I1656" i="58"/>
  <c r="J1656" i="58" s="1"/>
  <c r="H1656" i="58"/>
  <c r="P1655" i="58"/>
  <c r="O1655" i="58"/>
  <c r="L1655" i="58"/>
  <c r="I1655" i="58"/>
  <c r="J1655" i="58" s="1"/>
  <c r="H1655" i="58"/>
  <c r="P1654" i="58"/>
  <c r="O1654" i="58"/>
  <c r="L1654" i="58"/>
  <c r="I1654" i="58"/>
  <c r="J1654" i="58" s="1"/>
  <c r="H1654" i="58"/>
  <c r="P1653" i="58"/>
  <c r="O1653" i="58"/>
  <c r="L1653" i="58"/>
  <c r="I1653" i="58"/>
  <c r="J1653" i="58" s="1"/>
  <c r="H1653" i="58"/>
  <c r="P1652" i="58"/>
  <c r="O1652" i="58"/>
  <c r="L1652" i="58"/>
  <c r="I1652" i="58"/>
  <c r="J1652" i="58" s="1"/>
  <c r="H1652" i="58"/>
  <c r="P1651" i="58"/>
  <c r="O1651" i="58"/>
  <c r="L1651" i="58"/>
  <c r="I1651" i="58"/>
  <c r="J1651" i="58" s="1"/>
  <c r="H1651" i="58"/>
  <c r="P1650" i="58"/>
  <c r="O1650" i="58"/>
  <c r="L1650" i="58"/>
  <c r="I1650" i="58"/>
  <c r="J1650" i="58" s="1"/>
  <c r="H1650" i="58"/>
  <c r="P1649" i="58"/>
  <c r="O1649" i="58"/>
  <c r="L1649" i="58"/>
  <c r="I1649" i="58"/>
  <c r="J1649" i="58" s="1"/>
  <c r="H1649" i="58"/>
  <c r="P1648" i="58"/>
  <c r="O1648" i="58"/>
  <c r="L1648" i="58"/>
  <c r="I1648" i="58"/>
  <c r="J1648" i="58" s="1"/>
  <c r="H1648" i="58"/>
  <c r="P1647" i="58"/>
  <c r="O1647" i="58"/>
  <c r="L1647" i="58"/>
  <c r="I1647" i="58"/>
  <c r="J1647" i="58" s="1"/>
  <c r="H1647" i="58"/>
  <c r="P1646" i="58"/>
  <c r="O1646" i="58"/>
  <c r="L1646" i="58"/>
  <c r="I1646" i="58"/>
  <c r="J1646" i="58" s="1"/>
  <c r="H1646" i="58"/>
  <c r="P1645" i="58"/>
  <c r="O1645" i="58"/>
  <c r="L1645" i="58"/>
  <c r="I1645" i="58"/>
  <c r="J1645" i="58" s="1"/>
  <c r="H1645" i="58"/>
  <c r="P1644" i="58"/>
  <c r="O1644" i="58"/>
  <c r="L1644" i="58"/>
  <c r="I1644" i="58"/>
  <c r="J1644" i="58" s="1"/>
  <c r="H1644" i="58"/>
  <c r="P1643" i="58"/>
  <c r="O1643" i="58"/>
  <c r="L1643" i="58"/>
  <c r="I1643" i="58"/>
  <c r="J1643" i="58" s="1"/>
  <c r="H1643" i="58"/>
  <c r="P1642" i="58"/>
  <c r="O1642" i="58"/>
  <c r="L1642" i="58"/>
  <c r="I1642" i="58"/>
  <c r="J1642" i="58" s="1"/>
  <c r="H1642" i="58"/>
  <c r="P1641" i="58"/>
  <c r="O1641" i="58"/>
  <c r="L1641" i="58"/>
  <c r="I1641" i="58"/>
  <c r="J1641" i="58" s="1"/>
  <c r="H1641" i="58"/>
  <c r="P1640" i="58"/>
  <c r="O1640" i="58"/>
  <c r="L1640" i="58"/>
  <c r="I1640" i="58"/>
  <c r="J1640" i="58" s="1"/>
  <c r="H1640" i="58"/>
  <c r="P1639" i="58"/>
  <c r="O1639" i="58"/>
  <c r="L1639" i="58"/>
  <c r="I1639" i="58"/>
  <c r="J1639" i="58" s="1"/>
  <c r="H1639" i="58"/>
  <c r="P1638" i="58"/>
  <c r="O1638" i="58"/>
  <c r="L1638" i="58"/>
  <c r="I1638" i="58"/>
  <c r="J1638" i="58" s="1"/>
  <c r="H1638" i="58"/>
  <c r="P1637" i="58"/>
  <c r="O1637" i="58"/>
  <c r="L1637" i="58"/>
  <c r="I1637" i="58"/>
  <c r="J1637" i="58" s="1"/>
  <c r="H1637" i="58"/>
  <c r="P1636" i="58"/>
  <c r="O1636" i="58"/>
  <c r="L1636" i="58"/>
  <c r="I1636" i="58"/>
  <c r="J1636" i="58" s="1"/>
  <c r="H1636" i="58"/>
  <c r="P1635" i="58"/>
  <c r="O1635" i="58"/>
  <c r="L1635" i="58"/>
  <c r="I1635" i="58"/>
  <c r="J1635" i="58" s="1"/>
  <c r="H1635" i="58"/>
  <c r="P1634" i="58"/>
  <c r="O1634" i="58"/>
  <c r="L1634" i="58"/>
  <c r="I1634" i="58"/>
  <c r="J1634" i="58" s="1"/>
  <c r="H1634" i="58"/>
  <c r="P1633" i="58"/>
  <c r="O1633" i="58"/>
  <c r="L1633" i="58"/>
  <c r="I1633" i="58"/>
  <c r="J1633" i="58" s="1"/>
  <c r="H1633" i="58"/>
  <c r="P1632" i="58"/>
  <c r="O1632" i="58"/>
  <c r="L1632" i="58"/>
  <c r="I1632" i="58"/>
  <c r="J1632" i="58" s="1"/>
  <c r="H1632" i="58"/>
  <c r="P1631" i="58"/>
  <c r="O1631" i="58"/>
  <c r="L1631" i="58"/>
  <c r="I1631" i="58"/>
  <c r="J1631" i="58" s="1"/>
  <c r="H1631" i="58"/>
  <c r="P1630" i="58"/>
  <c r="O1630" i="58"/>
  <c r="L1630" i="58"/>
  <c r="I1630" i="58"/>
  <c r="J1630" i="58" s="1"/>
  <c r="H1630" i="58"/>
  <c r="P1629" i="58"/>
  <c r="O1629" i="58"/>
  <c r="L1629" i="58"/>
  <c r="I1629" i="58"/>
  <c r="J1629" i="58" s="1"/>
  <c r="H1629" i="58"/>
  <c r="P1628" i="58"/>
  <c r="O1628" i="58"/>
  <c r="L1628" i="58"/>
  <c r="I1628" i="58"/>
  <c r="J1628" i="58" s="1"/>
  <c r="H1628" i="58"/>
  <c r="P1627" i="58"/>
  <c r="O1627" i="58"/>
  <c r="L1627" i="58"/>
  <c r="I1627" i="58"/>
  <c r="J1627" i="58" s="1"/>
  <c r="H1627" i="58"/>
  <c r="P1626" i="58"/>
  <c r="O1626" i="58"/>
  <c r="L1626" i="58"/>
  <c r="I1626" i="58"/>
  <c r="J1626" i="58" s="1"/>
  <c r="H1626" i="58"/>
  <c r="P1625" i="58"/>
  <c r="O1625" i="58"/>
  <c r="L1625" i="58"/>
  <c r="I1625" i="58"/>
  <c r="J1625" i="58" s="1"/>
  <c r="H1625" i="58"/>
  <c r="P1624" i="58"/>
  <c r="O1624" i="58"/>
  <c r="L1624" i="58"/>
  <c r="I1624" i="58"/>
  <c r="J1624" i="58" s="1"/>
  <c r="H1624" i="58"/>
  <c r="P1623" i="58"/>
  <c r="O1623" i="58"/>
  <c r="L1623" i="58"/>
  <c r="I1623" i="58"/>
  <c r="J1623" i="58" s="1"/>
  <c r="H1623" i="58"/>
  <c r="P1622" i="58"/>
  <c r="O1622" i="58"/>
  <c r="L1622" i="58"/>
  <c r="I1622" i="58"/>
  <c r="J1622" i="58" s="1"/>
  <c r="H1622" i="58"/>
  <c r="P1621" i="58"/>
  <c r="O1621" i="58"/>
  <c r="L1621" i="58"/>
  <c r="I1621" i="58"/>
  <c r="J1621" i="58" s="1"/>
  <c r="H1621" i="58"/>
  <c r="P1620" i="58"/>
  <c r="O1620" i="58"/>
  <c r="L1620" i="58"/>
  <c r="I1620" i="58"/>
  <c r="J1620" i="58" s="1"/>
  <c r="H1620" i="58"/>
  <c r="P1619" i="58"/>
  <c r="O1619" i="58"/>
  <c r="L1619" i="58"/>
  <c r="I1619" i="58"/>
  <c r="J1619" i="58" s="1"/>
  <c r="H1619" i="58"/>
  <c r="P1618" i="58"/>
  <c r="O1618" i="58"/>
  <c r="L1618" i="58"/>
  <c r="I1618" i="58"/>
  <c r="J1618" i="58" s="1"/>
  <c r="H1618" i="58"/>
  <c r="P1617" i="58"/>
  <c r="O1617" i="58"/>
  <c r="L1617" i="58"/>
  <c r="I1617" i="58"/>
  <c r="J1617" i="58" s="1"/>
  <c r="H1617" i="58"/>
  <c r="P1616" i="58"/>
  <c r="O1616" i="58"/>
  <c r="L1616" i="58"/>
  <c r="I1616" i="58"/>
  <c r="J1616" i="58" s="1"/>
  <c r="H1616" i="58"/>
  <c r="P1615" i="58"/>
  <c r="O1615" i="58"/>
  <c r="L1615" i="58"/>
  <c r="I1615" i="58"/>
  <c r="J1615" i="58" s="1"/>
  <c r="H1615" i="58"/>
  <c r="P1614" i="58"/>
  <c r="O1614" i="58"/>
  <c r="L1614" i="58"/>
  <c r="I1614" i="58"/>
  <c r="J1614" i="58" s="1"/>
  <c r="H1614" i="58"/>
  <c r="P1613" i="58"/>
  <c r="O1613" i="58"/>
  <c r="L1613" i="58"/>
  <c r="I1613" i="58"/>
  <c r="J1613" i="58" s="1"/>
  <c r="H1613" i="58"/>
  <c r="P1612" i="58"/>
  <c r="O1612" i="58"/>
  <c r="L1612" i="58"/>
  <c r="I1612" i="58"/>
  <c r="J1612" i="58" s="1"/>
  <c r="H1612" i="58"/>
  <c r="P1611" i="58"/>
  <c r="O1611" i="58"/>
  <c r="L1611" i="58"/>
  <c r="I1611" i="58"/>
  <c r="J1611" i="58" s="1"/>
  <c r="H1611" i="58"/>
  <c r="P1610" i="58"/>
  <c r="O1610" i="58"/>
  <c r="L1610" i="58"/>
  <c r="I1610" i="58"/>
  <c r="J1610" i="58" s="1"/>
  <c r="H1610" i="58"/>
  <c r="P1609" i="58"/>
  <c r="O1609" i="58"/>
  <c r="L1609" i="58"/>
  <c r="I1609" i="58"/>
  <c r="J1609" i="58" s="1"/>
  <c r="H1609" i="58"/>
  <c r="P1608" i="58"/>
  <c r="O1608" i="58"/>
  <c r="L1608" i="58"/>
  <c r="I1608" i="58"/>
  <c r="J1608" i="58" s="1"/>
  <c r="H1608" i="58"/>
  <c r="P1607" i="58"/>
  <c r="O1607" i="58"/>
  <c r="L1607" i="58"/>
  <c r="I1607" i="58"/>
  <c r="J1607" i="58" s="1"/>
  <c r="H1607" i="58"/>
  <c r="P1606" i="58"/>
  <c r="O1606" i="58"/>
  <c r="L1606" i="58"/>
  <c r="I1606" i="58"/>
  <c r="J1606" i="58" s="1"/>
  <c r="H1606" i="58"/>
  <c r="P1605" i="58"/>
  <c r="O1605" i="58"/>
  <c r="L1605" i="58"/>
  <c r="I1605" i="58"/>
  <c r="J1605" i="58" s="1"/>
  <c r="H1605" i="58"/>
  <c r="P1604" i="58"/>
  <c r="O1604" i="58"/>
  <c r="L1604" i="58"/>
  <c r="I1604" i="58"/>
  <c r="J1604" i="58" s="1"/>
  <c r="H1604" i="58"/>
  <c r="P1603" i="58"/>
  <c r="O1603" i="58"/>
  <c r="L1603" i="58"/>
  <c r="I1603" i="58"/>
  <c r="J1603" i="58" s="1"/>
  <c r="H1603" i="58"/>
  <c r="P1602" i="58"/>
  <c r="O1602" i="58"/>
  <c r="L1602" i="58"/>
  <c r="I1602" i="58"/>
  <c r="J1602" i="58" s="1"/>
  <c r="H1602" i="58"/>
  <c r="P1601" i="58"/>
  <c r="O1601" i="58"/>
  <c r="L1601" i="58"/>
  <c r="I1601" i="58"/>
  <c r="J1601" i="58" s="1"/>
  <c r="H1601" i="58"/>
  <c r="P1600" i="58"/>
  <c r="O1600" i="58"/>
  <c r="L1600" i="58"/>
  <c r="I1600" i="58"/>
  <c r="J1600" i="58" s="1"/>
  <c r="H1600" i="58"/>
  <c r="P1599" i="58"/>
  <c r="O1599" i="58"/>
  <c r="L1599" i="58"/>
  <c r="I1599" i="58"/>
  <c r="J1599" i="58" s="1"/>
  <c r="H1599" i="58"/>
  <c r="P1598" i="58"/>
  <c r="O1598" i="58"/>
  <c r="L1598" i="58"/>
  <c r="I1598" i="58"/>
  <c r="J1598" i="58" s="1"/>
  <c r="H1598" i="58"/>
  <c r="P1597" i="58"/>
  <c r="O1597" i="58"/>
  <c r="L1597" i="58"/>
  <c r="I1597" i="58"/>
  <c r="J1597" i="58" s="1"/>
  <c r="H1597" i="58"/>
  <c r="P1596" i="58"/>
  <c r="O1596" i="58"/>
  <c r="L1596" i="58"/>
  <c r="I1596" i="58"/>
  <c r="J1596" i="58" s="1"/>
  <c r="H1596" i="58"/>
  <c r="P1595" i="58"/>
  <c r="O1595" i="58"/>
  <c r="L1595" i="58"/>
  <c r="I1595" i="58"/>
  <c r="J1595" i="58" s="1"/>
  <c r="H1595" i="58"/>
  <c r="P1594" i="58"/>
  <c r="O1594" i="58"/>
  <c r="L1594" i="58"/>
  <c r="I1594" i="58"/>
  <c r="J1594" i="58" s="1"/>
  <c r="H1594" i="58"/>
  <c r="P1593" i="58"/>
  <c r="O1593" i="58"/>
  <c r="L1593" i="58"/>
  <c r="I1593" i="58"/>
  <c r="J1593" i="58" s="1"/>
  <c r="H1593" i="58"/>
  <c r="P1592" i="58"/>
  <c r="O1592" i="58"/>
  <c r="L1592" i="58"/>
  <c r="I1592" i="58"/>
  <c r="J1592" i="58" s="1"/>
  <c r="H1592" i="58"/>
  <c r="P1591" i="58"/>
  <c r="O1591" i="58"/>
  <c r="L1591" i="58"/>
  <c r="I1591" i="58"/>
  <c r="J1591" i="58" s="1"/>
  <c r="H1591" i="58"/>
  <c r="P1590" i="58"/>
  <c r="O1590" i="58"/>
  <c r="L1590" i="58"/>
  <c r="I1590" i="58"/>
  <c r="J1590" i="58" s="1"/>
  <c r="H1590" i="58"/>
  <c r="P1589" i="58"/>
  <c r="O1589" i="58"/>
  <c r="L1589" i="58"/>
  <c r="I1589" i="58"/>
  <c r="J1589" i="58" s="1"/>
  <c r="H1589" i="58"/>
  <c r="P1588" i="58"/>
  <c r="O1588" i="58"/>
  <c r="L1588" i="58"/>
  <c r="I1588" i="58"/>
  <c r="J1588" i="58" s="1"/>
  <c r="H1588" i="58"/>
  <c r="P1587" i="58"/>
  <c r="O1587" i="58"/>
  <c r="L1587" i="58"/>
  <c r="I1587" i="58"/>
  <c r="J1587" i="58" s="1"/>
  <c r="H1587" i="58"/>
  <c r="P1586" i="58"/>
  <c r="O1586" i="58"/>
  <c r="L1586" i="58"/>
  <c r="I1586" i="58"/>
  <c r="J1586" i="58" s="1"/>
  <c r="H1586" i="58"/>
  <c r="P1585" i="58"/>
  <c r="O1585" i="58"/>
  <c r="L1585" i="58"/>
  <c r="I1585" i="58"/>
  <c r="J1585" i="58" s="1"/>
  <c r="H1585" i="58"/>
  <c r="P1584" i="58"/>
  <c r="O1584" i="58"/>
  <c r="L1584" i="58"/>
  <c r="I1584" i="58"/>
  <c r="J1584" i="58" s="1"/>
  <c r="H1584" i="58"/>
  <c r="P1583" i="58"/>
  <c r="O1583" i="58"/>
  <c r="L1583" i="58"/>
  <c r="I1583" i="58"/>
  <c r="J1583" i="58" s="1"/>
  <c r="H1583" i="58"/>
  <c r="P1582" i="58"/>
  <c r="O1582" i="58"/>
  <c r="L1582" i="58"/>
  <c r="I1582" i="58"/>
  <c r="J1582" i="58" s="1"/>
  <c r="H1582" i="58"/>
  <c r="P1581" i="58"/>
  <c r="O1581" i="58"/>
  <c r="L1581" i="58"/>
  <c r="I1581" i="58"/>
  <c r="J1581" i="58" s="1"/>
  <c r="H1581" i="58"/>
  <c r="P1580" i="58"/>
  <c r="O1580" i="58"/>
  <c r="L1580" i="58"/>
  <c r="I1580" i="58"/>
  <c r="J1580" i="58" s="1"/>
  <c r="H1580" i="58"/>
  <c r="P1579" i="58"/>
  <c r="O1579" i="58"/>
  <c r="L1579" i="58"/>
  <c r="I1579" i="58"/>
  <c r="J1579" i="58" s="1"/>
  <c r="H1579" i="58"/>
  <c r="P1578" i="58"/>
  <c r="O1578" i="58"/>
  <c r="L1578" i="58"/>
  <c r="I1578" i="58"/>
  <c r="J1578" i="58" s="1"/>
  <c r="H1578" i="58"/>
  <c r="P1577" i="58"/>
  <c r="O1577" i="58"/>
  <c r="L1577" i="58"/>
  <c r="I1577" i="58"/>
  <c r="J1577" i="58" s="1"/>
  <c r="H1577" i="58"/>
  <c r="P1576" i="58"/>
  <c r="O1576" i="58"/>
  <c r="L1576" i="58"/>
  <c r="I1576" i="58"/>
  <c r="J1576" i="58" s="1"/>
  <c r="H1576" i="58"/>
  <c r="P1575" i="58"/>
  <c r="O1575" i="58"/>
  <c r="L1575" i="58"/>
  <c r="I1575" i="58"/>
  <c r="J1575" i="58" s="1"/>
  <c r="H1575" i="58"/>
  <c r="P1574" i="58"/>
  <c r="O1574" i="58"/>
  <c r="L1574" i="58"/>
  <c r="I1574" i="58"/>
  <c r="J1574" i="58" s="1"/>
  <c r="H1574" i="58"/>
  <c r="P1573" i="58"/>
  <c r="O1573" i="58"/>
  <c r="L1573" i="58"/>
  <c r="I1573" i="58"/>
  <c r="J1573" i="58" s="1"/>
  <c r="H1573" i="58"/>
  <c r="P1572" i="58"/>
  <c r="O1572" i="58"/>
  <c r="L1572" i="58"/>
  <c r="I1572" i="58"/>
  <c r="J1572" i="58" s="1"/>
  <c r="H1572" i="58"/>
  <c r="P1571" i="58"/>
  <c r="O1571" i="58"/>
  <c r="L1571" i="58"/>
  <c r="I1571" i="58"/>
  <c r="J1571" i="58" s="1"/>
  <c r="H1571" i="58"/>
  <c r="P1570" i="58"/>
  <c r="O1570" i="58"/>
  <c r="L1570" i="58"/>
  <c r="I1570" i="58"/>
  <c r="J1570" i="58" s="1"/>
  <c r="H1570" i="58"/>
  <c r="P1569" i="58"/>
  <c r="O1569" i="58"/>
  <c r="L1569" i="58"/>
  <c r="I1569" i="58"/>
  <c r="J1569" i="58" s="1"/>
  <c r="H1569" i="58"/>
  <c r="P1568" i="58"/>
  <c r="O1568" i="58"/>
  <c r="L1568" i="58"/>
  <c r="I1568" i="58"/>
  <c r="J1568" i="58" s="1"/>
  <c r="H1568" i="58"/>
  <c r="P1567" i="58"/>
  <c r="O1567" i="58"/>
  <c r="L1567" i="58"/>
  <c r="I1567" i="58"/>
  <c r="J1567" i="58" s="1"/>
  <c r="H1567" i="58"/>
  <c r="P1566" i="58"/>
  <c r="O1566" i="58"/>
  <c r="L1566" i="58"/>
  <c r="I1566" i="58"/>
  <c r="J1566" i="58" s="1"/>
  <c r="H1566" i="58"/>
  <c r="P1565" i="58"/>
  <c r="O1565" i="58"/>
  <c r="L1565" i="58"/>
  <c r="I1565" i="58"/>
  <c r="J1565" i="58" s="1"/>
  <c r="H1565" i="58"/>
  <c r="P1564" i="58"/>
  <c r="O1564" i="58"/>
  <c r="L1564" i="58"/>
  <c r="I1564" i="58"/>
  <c r="J1564" i="58" s="1"/>
  <c r="H1564" i="58"/>
  <c r="P1563" i="58"/>
  <c r="O1563" i="58"/>
  <c r="L1563" i="58"/>
  <c r="I1563" i="58"/>
  <c r="J1563" i="58" s="1"/>
  <c r="H1563" i="58"/>
  <c r="P1562" i="58"/>
  <c r="O1562" i="58"/>
  <c r="L1562" i="58"/>
  <c r="I1562" i="58"/>
  <c r="J1562" i="58" s="1"/>
  <c r="H1562" i="58"/>
  <c r="P1561" i="58"/>
  <c r="O1561" i="58"/>
  <c r="L1561" i="58"/>
  <c r="I1561" i="58"/>
  <c r="J1561" i="58" s="1"/>
  <c r="H1561" i="58"/>
  <c r="P1560" i="58"/>
  <c r="O1560" i="58"/>
  <c r="L1560" i="58"/>
  <c r="I1560" i="58"/>
  <c r="J1560" i="58" s="1"/>
  <c r="H1560" i="58"/>
  <c r="P1559" i="58"/>
  <c r="O1559" i="58"/>
  <c r="L1559" i="58"/>
  <c r="I1559" i="58"/>
  <c r="J1559" i="58" s="1"/>
  <c r="H1559" i="58"/>
  <c r="P1558" i="58"/>
  <c r="O1558" i="58"/>
  <c r="L1558" i="58"/>
  <c r="I1558" i="58"/>
  <c r="J1558" i="58" s="1"/>
  <c r="H1558" i="58"/>
  <c r="P1557" i="58"/>
  <c r="O1557" i="58"/>
  <c r="L1557" i="58"/>
  <c r="I1557" i="58"/>
  <c r="J1557" i="58" s="1"/>
  <c r="H1557" i="58"/>
  <c r="P1556" i="58"/>
  <c r="O1556" i="58"/>
  <c r="L1556" i="58"/>
  <c r="I1556" i="58"/>
  <c r="J1556" i="58" s="1"/>
  <c r="H1556" i="58"/>
  <c r="P1555" i="58"/>
  <c r="O1555" i="58"/>
  <c r="L1555" i="58"/>
  <c r="I1555" i="58"/>
  <c r="J1555" i="58" s="1"/>
  <c r="H1555" i="58"/>
  <c r="P1554" i="58"/>
  <c r="O1554" i="58"/>
  <c r="L1554" i="58"/>
  <c r="I1554" i="58"/>
  <c r="J1554" i="58" s="1"/>
  <c r="H1554" i="58"/>
  <c r="P1553" i="58"/>
  <c r="O1553" i="58"/>
  <c r="L1553" i="58"/>
  <c r="I1553" i="58"/>
  <c r="J1553" i="58" s="1"/>
  <c r="H1553" i="58"/>
  <c r="P1552" i="58"/>
  <c r="O1552" i="58"/>
  <c r="L1552" i="58"/>
  <c r="I1552" i="58"/>
  <c r="J1552" i="58" s="1"/>
  <c r="H1552" i="58"/>
  <c r="P1551" i="58"/>
  <c r="O1551" i="58"/>
  <c r="L1551" i="58"/>
  <c r="I1551" i="58"/>
  <c r="J1551" i="58" s="1"/>
  <c r="H1551" i="58"/>
  <c r="P1550" i="58"/>
  <c r="O1550" i="58"/>
  <c r="L1550" i="58"/>
  <c r="I1550" i="58"/>
  <c r="J1550" i="58" s="1"/>
  <c r="H1550" i="58"/>
  <c r="P1549" i="58"/>
  <c r="O1549" i="58"/>
  <c r="L1549" i="58"/>
  <c r="I1549" i="58"/>
  <c r="J1549" i="58" s="1"/>
  <c r="H1549" i="58"/>
  <c r="P1548" i="58"/>
  <c r="O1548" i="58"/>
  <c r="L1548" i="58"/>
  <c r="I1548" i="58"/>
  <c r="J1548" i="58" s="1"/>
  <c r="H1548" i="58"/>
  <c r="P1547" i="58"/>
  <c r="O1547" i="58"/>
  <c r="L1547" i="58"/>
  <c r="I1547" i="58"/>
  <c r="J1547" i="58" s="1"/>
  <c r="H1547" i="58"/>
  <c r="P1546" i="58"/>
  <c r="O1546" i="58"/>
  <c r="L1546" i="58"/>
  <c r="I1546" i="58"/>
  <c r="J1546" i="58" s="1"/>
  <c r="H1546" i="58"/>
  <c r="P1545" i="58"/>
  <c r="O1545" i="58"/>
  <c r="L1545" i="58"/>
  <c r="I1545" i="58"/>
  <c r="J1545" i="58" s="1"/>
  <c r="H1545" i="58"/>
  <c r="P1544" i="58"/>
  <c r="O1544" i="58"/>
  <c r="L1544" i="58"/>
  <c r="I1544" i="58"/>
  <c r="J1544" i="58" s="1"/>
  <c r="H1544" i="58"/>
  <c r="P1543" i="58"/>
  <c r="O1543" i="58"/>
  <c r="L1543" i="58"/>
  <c r="I1543" i="58"/>
  <c r="J1543" i="58" s="1"/>
  <c r="H1543" i="58"/>
  <c r="P1542" i="58"/>
  <c r="O1542" i="58"/>
  <c r="L1542" i="58"/>
  <c r="I1542" i="58"/>
  <c r="J1542" i="58" s="1"/>
  <c r="H1542" i="58"/>
  <c r="P1541" i="58"/>
  <c r="O1541" i="58"/>
  <c r="L1541" i="58"/>
  <c r="I1541" i="58"/>
  <c r="J1541" i="58" s="1"/>
  <c r="H1541" i="58"/>
  <c r="P1540" i="58"/>
  <c r="O1540" i="58"/>
  <c r="L1540" i="58"/>
  <c r="I1540" i="58"/>
  <c r="J1540" i="58" s="1"/>
  <c r="H1540" i="58"/>
  <c r="P1539" i="58"/>
  <c r="O1539" i="58"/>
  <c r="L1539" i="58"/>
  <c r="I1539" i="58"/>
  <c r="J1539" i="58" s="1"/>
  <c r="H1539" i="58"/>
  <c r="P1538" i="58"/>
  <c r="O1538" i="58"/>
  <c r="L1538" i="58"/>
  <c r="I1538" i="58"/>
  <c r="J1538" i="58" s="1"/>
  <c r="H1538" i="58"/>
  <c r="P1537" i="58"/>
  <c r="O1537" i="58"/>
  <c r="L1537" i="58"/>
  <c r="I1537" i="58"/>
  <c r="J1537" i="58" s="1"/>
  <c r="H1537" i="58"/>
  <c r="P1536" i="58"/>
  <c r="O1536" i="58"/>
  <c r="L1536" i="58"/>
  <c r="I1536" i="58"/>
  <c r="J1536" i="58" s="1"/>
  <c r="H1536" i="58"/>
  <c r="P1535" i="58"/>
  <c r="O1535" i="58"/>
  <c r="L1535" i="58"/>
  <c r="I1535" i="58"/>
  <c r="J1535" i="58" s="1"/>
  <c r="H1535" i="58"/>
  <c r="P1534" i="58"/>
  <c r="O1534" i="58"/>
  <c r="L1534" i="58"/>
  <c r="I1534" i="58"/>
  <c r="J1534" i="58" s="1"/>
  <c r="H1534" i="58"/>
  <c r="P1533" i="58"/>
  <c r="O1533" i="58"/>
  <c r="L1533" i="58"/>
  <c r="I1533" i="58"/>
  <c r="J1533" i="58" s="1"/>
  <c r="H1533" i="58"/>
  <c r="P1532" i="58"/>
  <c r="O1532" i="58"/>
  <c r="L1532" i="58"/>
  <c r="I1532" i="58"/>
  <c r="J1532" i="58" s="1"/>
  <c r="H1532" i="58"/>
  <c r="P1531" i="58"/>
  <c r="O1531" i="58"/>
  <c r="L1531" i="58"/>
  <c r="I1531" i="58"/>
  <c r="J1531" i="58" s="1"/>
  <c r="H1531" i="58"/>
  <c r="P1530" i="58"/>
  <c r="O1530" i="58"/>
  <c r="L1530" i="58"/>
  <c r="I1530" i="58"/>
  <c r="J1530" i="58" s="1"/>
  <c r="H1530" i="58"/>
  <c r="P1529" i="58"/>
  <c r="O1529" i="58"/>
  <c r="L1529" i="58"/>
  <c r="I1529" i="58"/>
  <c r="J1529" i="58" s="1"/>
  <c r="H1529" i="58"/>
  <c r="P1528" i="58"/>
  <c r="O1528" i="58"/>
  <c r="L1528" i="58"/>
  <c r="I1528" i="58"/>
  <c r="J1528" i="58" s="1"/>
  <c r="H1528" i="58"/>
  <c r="P1527" i="58"/>
  <c r="O1527" i="58"/>
  <c r="L1527" i="58"/>
  <c r="I1527" i="58"/>
  <c r="J1527" i="58" s="1"/>
  <c r="H1527" i="58"/>
  <c r="P1526" i="58"/>
  <c r="O1526" i="58"/>
  <c r="L1526" i="58"/>
  <c r="I1526" i="58"/>
  <c r="J1526" i="58" s="1"/>
  <c r="H1526" i="58"/>
  <c r="P1525" i="58"/>
  <c r="O1525" i="58"/>
  <c r="L1525" i="58"/>
  <c r="I1525" i="58"/>
  <c r="J1525" i="58" s="1"/>
  <c r="H1525" i="58"/>
  <c r="P1524" i="58"/>
  <c r="O1524" i="58"/>
  <c r="L1524" i="58"/>
  <c r="I1524" i="58"/>
  <c r="J1524" i="58" s="1"/>
  <c r="H1524" i="58"/>
  <c r="P1523" i="58"/>
  <c r="O1523" i="58"/>
  <c r="L1523" i="58"/>
  <c r="I1523" i="58"/>
  <c r="J1523" i="58" s="1"/>
  <c r="H1523" i="58"/>
  <c r="P1522" i="58"/>
  <c r="O1522" i="58"/>
  <c r="L1522" i="58"/>
  <c r="I1522" i="58"/>
  <c r="J1522" i="58" s="1"/>
  <c r="H1522" i="58"/>
  <c r="P1521" i="58"/>
  <c r="O1521" i="58"/>
  <c r="L1521" i="58"/>
  <c r="I1521" i="58"/>
  <c r="J1521" i="58" s="1"/>
  <c r="H1521" i="58"/>
  <c r="P1520" i="58"/>
  <c r="O1520" i="58"/>
  <c r="L1520" i="58"/>
  <c r="I1520" i="58"/>
  <c r="J1520" i="58" s="1"/>
  <c r="H1520" i="58"/>
  <c r="P1519" i="58"/>
  <c r="O1519" i="58"/>
  <c r="L1519" i="58"/>
  <c r="I1519" i="58"/>
  <c r="J1519" i="58" s="1"/>
  <c r="H1519" i="58"/>
  <c r="P1518" i="58"/>
  <c r="O1518" i="58"/>
  <c r="L1518" i="58"/>
  <c r="I1518" i="58"/>
  <c r="J1518" i="58" s="1"/>
  <c r="H1518" i="58"/>
  <c r="P1517" i="58"/>
  <c r="O1517" i="58"/>
  <c r="L1517" i="58"/>
  <c r="I1517" i="58"/>
  <c r="J1517" i="58" s="1"/>
  <c r="H1517" i="58"/>
  <c r="P1516" i="58"/>
  <c r="O1516" i="58"/>
  <c r="L1516" i="58"/>
  <c r="I1516" i="58"/>
  <c r="J1516" i="58" s="1"/>
  <c r="H1516" i="58"/>
  <c r="P1515" i="58"/>
  <c r="O1515" i="58"/>
  <c r="L1515" i="58"/>
  <c r="I1515" i="58"/>
  <c r="J1515" i="58" s="1"/>
  <c r="H1515" i="58"/>
  <c r="P1514" i="58"/>
  <c r="O1514" i="58"/>
  <c r="L1514" i="58"/>
  <c r="I1514" i="58"/>
  <c r="J1514" i="58" s="1"/>
  <c r="H1514" i="58"/>
  <c r="P1513" i="58"/>
  <c r="O1513" i="58"/>
  <c r="L1513" i="58"/>
  <c r="I1513" i="58"/>
  <c r="J1513" i="58" s="1"/>
  <c r="H1513" i="58"/>
  <c r="P1512" i="58"/>
  <c r="O1512" i="58"/>
  <c r="L1512" i="58"/>
  <c r="I1512" i="58"/>
  <c r="J1512" i="58" s="1"/>
  <c r="H1512" i="58"/>
  <c r="P1511" i="58"/>
  <c r="O1511" i="58"/>
  <c r="L1511" i="58"/>
  <c r="I1511" i="58"/>
  <c r="J1511" i="58" s="1"/>
  <c r="H1511" i="58"/>
  <c r="P1510" i="58"/>
  <c r="O1510" i="58"/>
  <c r="L1510" i="58"/>
  <c r="I1510" i="58"/>
  <c r="J1510" i="58" s="1"/>
  <c r="H1510" i="58"/>
  <c r="P1509" i="58"/>
  <c r="O1509" i="58"/>
  <c r="L1509" i="58"/>
  <c r="I1509" i="58"/>
  <c r="J1509" i="58" s="1"/>
  <c r="H1509" i="58"/>
  <c r="P1508" i="58"/>
  <c r="O1508" i="58"/>
  <c r="L1508" i="58"/>
  <c r="I1508" i="58"/>
  <c r="J1508" i="58" s="1"/>
  <c r="H1508" i="58"/>
  <c r="P1507" i="58"/>
  <c r="O1507" i="58"/>
  <c r="L1507" i="58"/>
  <c r="I1507" i="58"/>
  <c r="J1507" i="58" s="1"/>
  <c r="H1507" i="58"/>
  <c r="P1506" i="58"/>
  <c r="O1506" i="58"/>
  <c r="L1506" i="58"/>
  <c r="I1506" i="58"/>
  <c r="J1506" i="58" s="1"/>
  <c r="H1506" i="58"/>
  <c r="P1505" i="58"/>
  <c r="O1505" i="58"/>
  <c r="L1505" i="58"/>
  <c r="I1505" i="58"/>
  <c r="J1505" i="58" s="1"/>
  <c r="H1505" i="58"/>
  <c r="P1504" i="58"/>
  <c r="O1504" i="58"/>
  <c r="L1504" i="58"/>
  <c r="I1504" i="58"/>
  <c r="J1504" i="58" s="1"/>
  <c r="H1504" i="58"/>
  <c r="P1503" i="58"/>
  <c r="O1503" i="58"/>
  <c r="L1503" i="58"/>
  <c r="I1503" i="58"/>
  <c r="J1503" i="58" s="1"/>
  <c r="H1503" i="58"/>
  <c r="P1502" i="58"/>
  <c r="O1502" i="58"/>
  <c r="L1502" i="58"/>
  <c r="I1502" i="58"/>
  <c r="J1502" i="58" s="1"/>
  <c r="H1502" i="58"/>
  <c r="P1501" i="58"/>
  <c r="O1501" i="58"/>
  <c r="L1501" i="58"/>
  <c r="I1501" i="58"/>
  <c r="J1501" i="58" s="1"/>
  <c r="H1501" i="58"/>
  <c r="P1500" i="58"/>
  <c r="O1500" i="58"/>
  <c r="L1500" i="58"/>
  <c r="I1500" i="58"/>
  <c r="J1500" i="58" s="1"/>
  <c r="H1500" i="58"/>
  <c r="P1499" i="58"/>
  <c r="O1499" i="58"/>
  <c r="L1499" i="58"/>
  <c r="I1499" i="58"/>
  <c r="J1499" i="58" s="1"/>
  <c r="H1499" i="58"/>
  <c r="P1498" i="58"/>
  <c r="O1498" i="58"/>
  <c r="L1498" i="58"/>
  <c r="I1498" i="58"/>
  <c r="J1498" i="58" s="1"/>
  <c r="H1498" i="58"/>
  <c r="P1497" i="58"/>
  <c r="O1497" i="58"/>
  <c r="L1497" i="58"/>
  <c r="I1497" i="58"/>
  <c r="J1497" i="58" s="1"/>
  <c r="H1497" i="58"/>
  <c r="P1496" i="58"/>
  <c r="O1496" i="58"/>
  <c r="L1496" i="58"/>
  <c r="I1496" i="58"/>
  <c r="J1496" i="58" s="1"/>
  <c r="H1496" i="58"/>
  <c r="P1495" i="58"/>
  <c r="O1495" i="58"/>
  <c r="L1495" i="58"/>
  <c r="I1495" i="58"/>
  <c r="J1495" i="58" s="1"/>
  <c r="H1495" i="58"/>
  <c r="P1494" i="58"/>
  <c r="O1494" i="58"/>
  <c r="L1494" i="58"/>
  <c r="I1494" i="58"/>
  <c r="J1494" i="58" s="1"/>
  <c r="H1494" i="58"/>
  <c r="P1493" i="58"/>
  <c r="O1493" i="58"/>
  <c r="L1493" i="58"/>
  <c r="I1493" i="58"/>
  <c r="J1493" i="58" s="1"/>
  <c r="H1493" i="58"/>
  <c r="P1492" i="58"/>
  <c r="O1492" i="58"/>
  <c r="L1492" i="58"/>
  <c r="I1492" i="58"/>
  <c r="J1492" i="58" s="1"/>
  <c r="H1492" i="58"/>
  <c r="P1491" i="58"/>
  <c r="O1491" i="58"/>
  <c r="L1491" i="58"/>
  <c r="I1491" i="58"/>
  <c r="J1491" i="58" s="1"/>
  <c r="H1491" i="58"/>
  <c r="P1490" i="58"/>
  <c r="O1490" i="58"/>
  <c r="L1490" i="58"/>
  <c r="I1490" i="58"/>
  <c r="J1490" i="58" s="1"/>
  <c r="H1490" i="58"/>
  <c r="P1489" i="58"/>
  <c r="O1489" i="58"/>
  <c r="L1489" i="58"/>
  <c r="I1489" i="58"/>
  <c r="J1489" i="58" s="1"/>
  <c r="H1489" i="58"/>
  <c r="P1488" i="58"/>
  <c r="O1488" i="58"/>
  <c r="L1488" i="58"/>
  <c r="I1488" i="58"/>
  <c r="J1488" i="58" s="1"/>
  <c r="H1488" i="58"/>
  <c r="P1487" i="58"/>
  <c r="O1487" i="58"/>
  <c r="L1487" i="58"/>
  <c r="I1487" i="58"/>
  <c r="J1487" i="58" s="1"/>
  <c r="H1487" i="58"/>
  <c r="P1486" i="58"/>
  <c r="O1486" i="58"/>
  <c r="L1486" i="58"/>
  <c r="I1486" i="58"/>
  <c r="J1486" i="58" s="1"/>
  <c r="H1486" i="58"/>
  <c r="P1485" i="58"/>
  <c r="O1485" i="58"/>
  <c r="L1485" i="58"/>
  <c r="I1485" i="58"/>
  <c r="J1485" i="58" s="1"/>
  <c r="H1485" i="58"/>
  <c r="P1484" i="58"/>
  <c r="O1484" i="58"/>
  <c r="L1484" i="58"/>
  <c r="I1484" i="58"/>
  <c r="J1484" i="58" s="1"/>
  <c r="H1484" i="58"/>
  <c r="P1483" i="58"/>
  <c r="O1483" i="58"/>
  <c r="L1483" i="58"/>
  <c r="I1483" i="58"/>
  <c r="J1483" i="58" s="1"/>
  <c r="H1483" i="58"/>
  <c r="P1482" i="58"/>
  <c r="O1482" i="58"/>
  <c r="L1482" i="58"/>
  <c r="I1482" i="58"/>
  <c r="J1482" i="58" s="1"/>
  <c r="H1482" i="58"/>
  <c r="P1481" i="58"/>
  <c r="O1481" i="58"/>
  <c r="L1481" i="58"/>
  <c r="I1481" i="58"/>
  <c r="J1481" i="58" s="1"/>
  <c r="H1481" i="58"/>
  <c r="P1480" i="58"/>
  <c r="O1480" i="58"/>
  <c r="L1480" i="58"/>
  <c r="I1480" i="58"/>
  <c r="J1480" i="58" s="1"/>
  <c r="H1480" i="58"/>
  <c r="P1479" i="58"/>
  <c r="O1479" i="58"/>
  <c r="L1479" i="58"/>
  <c r="I1479" i="58"/>
  <c r="J1479" i="58" s="1"/>
  <c r="H1479" i="58"/>
  <c r="P1478" i="58"/>
  <c r="O1478" i="58"/>
  <c r="L1478" i="58"/>
  <c r="I1478" i="58"/>
  <c r="J1478" i="58" s="1"/>
  <c r="H1478" i="58"/>
  <c r="P1477" i="58"/>
  <c r="O1477" i="58"/>
  <c r="L1477" i="58"/>
  <c r="I1477" i="58"/>
  <c r="J1477" i="58" s="1"/>
  <c r="H1477" i="58"/>
  <c r="P1476" i="58"/>
  <c r="O1476" i="58"/>
  <c r="L1476" i="58"/>
  <c r="I1476" i="58"/>
  <c r="J1476" i="58" s="1"/>
  <c r="H1476" i="58"/>
  <c r="P1475" i="58"/>
  <c r="O1475" i="58"/>
  <c r="L1475" i="58"/>
  <c r="I1475" i="58"/>
  <c r="J1475" i="58" s="1"/>
  <c r="H1475" i="58"/>
  <c r="P1474" i="58"/>
  <c r="O1474" i="58"/>
  <c r="L1474" i="58"/>
  <c r="I1474" i="58"/>
  <c r="J1474" i="58" s="1"/>
  <c r="H1474" i="58"/>
  <c r="P1473" i="58"/>
  <c r="O1473" i="58"/>
  <c r="L1473" i="58"/>
  <c r="I1473" i="58"/>
  <c r="J1473" i="58" s="1"/>
  <c r="H1473" i="58"/>
  <c r="P1472" i="58"/>
  <c r="O1472" i="58"/>
  <c r="L1472" i="58"/>
  <c r="I1472" i="58"/>
  <c r="J1472" i="58" s="1"/>
  <c r="H1472" i="58"/>
  <c r="P1471" i="58"/>
  <c r="O1471" i="58"/>
  <c r="L1471" i="58"/>
  <c r="I1471" i="58"/>
  <c r="J1471" i="58" s="1"/>
  <c r="H1471" i="58"/>
  <c r="P1470" i="58"/>
  <c r="O1470" i="58"/>
  <c r="L1470" i="58"/>
  <c r="I1470" i="58"/>
  <c r="J1470" i="58" s="1"/>
  <c r="H1470" i="58"/>
  <c r="P1469" i="58"/>
  <c r="O1469" i="58"/>
  <c r="L1469" i="58"/>
  <c r="I1469" i="58"/>
  <c r="J1469" i="58" s="1"/>
  <c r="H1469" i="58"/>
  <c r="P1468" i="58"/>
  <c r="O1468" i="58"/>
  <c r="L1468" i="58"/>
  <c r="I1468" i="58"/>
  <c r="J1468" i="58" s="1"/>
  <c r="H1468" i="58"/>
  <c r="P1467" i="58"/>
  <c r="O1467" i="58"/>
  <c r="L1467" i="58"/>
  <c r="I1467" i="58"/>
  <c r="J1467" i="58" s="1"/>
  <c r="H1467" i="58"/>
  <c r="P1466" i="58"/>
  <c r="O1466" i="58"/>
  <c r="L1466" i="58"/>
  <c r="I1466" i="58"/>
  <c r="J1466" i="58" s="1"/>
  <c r="H1466" i="58"/>
  <c r="P1465" i="58"/>
  <c r="O1465" i="58"/>
  <c r="L1465" i="58"/>
  <c r="I1465" i="58"/>
  <c r="J1465" i="58" s="1"/>
  <c r="H1465" i="58"/>
  <c r="P1464" i="58"/>
  <c r="O1464" i="58"/>
  <c r="L1464" i="58"/>
  <c r="I1464" i="58"/>
  <c r="J1464" i="58" s="1"/>
  <c r="H1464" i="58"/>
  <c r="P1463" i="58"/>
  <c r="O1463" i="58"/>
  <c r="L1463" i="58"/>
  <c r="I1463" i="58"/>
  <c r="J1463" i="58" s="1"/>
  <c r="H1463" i="58"/>
  <c r="P1462" i="58"/>
  <c r="O1462" i="58"/>
  <c r="L1462" i="58"/>
  <c r="I1462" i="58"/>
  <c r="J1462" i="58" s="1"/>
  <c r="H1462" i="58"/>
  <c r="P1461" i="58"/>
  <c r="O1461" i="58"/>
  <c r="L1461" i="58"/>
  <c r="I1461" i="58"/>
  <c r="J1461" i="58" s="1"/>
  <c r="H1461" i="58"/>
  <c r="P1460" i="58"/>
  <c r="O1460" i="58"/>
  <c r="L1460" i="58"/>
  <c r="I1460" i="58"/>
  <c r="J1460" i="58" s="1"/>
  <c r="H1460" i="58"/>
  <c r="P1459" i="58"/>
  <c r="O1459" i="58"/>
  <c r="L1459" i="58"/>
  <c r="I1459" i="58"/>
  <c r="J1459" i="58" s="1"/>
  <c r="H1459" i="58"/>
  <c r="P1458" i="58"/>
  <c r="O1458" i="58"/>
  <c r="L1458" i="58"/>
  <c r="I1458" i="58"/>
  <c r="J1458" i="58" s="1"/>
  <c r="H1458" i="58"/>
  <c r="P1457" i="58"/>
  <c r="O1457" i="58"/>
  <c r="L1457" i="58"/>
  <c r="I1457" i="58"/>
  <c r="J1457" i="58" s="1"/>
  <c r="H1457" i="58"/>
  <c r="P1456" i="58"/>
  <c r="O1456" i="58"/>
  <c r="L1456" i="58"/>
  <c r="I1456" i="58"/>
  <c r="J1456" i="58" s="1"/>
  <c r="H1456" i="58"/>
  <c r="P1455" i="58"/>
  <c r="O1455" i="58"/>
  <c r="L1455" i="58"/>
  <c r="I1455" i="58"/>
  <c r="J1455" i="58" s="1"/>
  <c r="H1455" i="58"/>
  <c r="P1454" i="58"/>
  <c r="O1454" i="58"/>
  <c r="L1454" i="58"/>
  <c r="I1454" i="58"/>
  <c r="J1454" i="58" s="1"/>
  <c r="H1454" i="58"/>
  <c r="P1453" i="58"/>
  <c r="O1453" i="58"/>
  <c r="L1453" i="58"/>
  <c r="I1453" i="58"/>
  <c r="J1453" i="58" s="1"/>
  <c r="H1453" i="58"/>
  <c r="P1452" i="58"/>
  <c r="O1452" i="58"/>
  <c r="L1452" i="58"/>
  <c r="I1452" i="58"/>
  <c r="J1452" i="58" s="1"/>
  <c r="H1452" i="58"/>
  <c r="P1451" i="58"/>
  <c r="O1451" i="58"/>
  <c r="L1451" i="58"/>
  <c r="I1451" i="58"/>
  <c r="J1451" i="58" s="1"/>
  <c r="H1451" i="58"/>
  <c r="P1450" i="58"/>
  <c r="O1450" i="58"/>
  <c r="L1450" i="58"/>
  <c r="I1450" i="58"/>
  <c r="J1450" i="58" s="1"/>
  <c r="H1450" i="58"/>
  <c r="P1449" i="58"/>
  <c r="O1449" i="58"/>
  <c r="L1449" i="58"/>
  <c r="I1449" i="58"/>
  <c r="J1449" i="58" s="1"/>
  <c r="H1449" i="58"/>
  <c r="P1448" i="58"/>
  <c r="O1448" i="58"/>
  <c r="L1448" i="58"/>
  <c r="I1448" i="58"/>
  <c r="J1448" i="58" s="1"/>
  <c r="H1448" i="58"/>
  <c r="P1447" i="58"/>
  <c r="O1447" i="58"/>
  <c r="L1447" i="58"/>
  <c r="I1447" i="58"/>
  <c r="J1447" i="58" s="1"/>
  <c r="H1447" i="58"/>
  <c r="P1446" i="58"/>
  <c r="O1446" i="58"/>
  <c r="L1446" i="58"/>
  <c r="I1446" i="58"/>
  <c r="J1446" i="58" s="1"/>
  <c r="H1446" i="58"/>
  <c r="P1445" i="58"/>
  <c r="O1445" i="58"/>
  <c r="L1445" i="58"/>
  <c r="I1445" i="58"/>
  <c r="J1445" i="58" s="1"/>
  <c r="H1445" i="58"/>
  <c r="P1444" i="58"/>
  <c r="O1444" i="58"/>
  <c r="L1444" i="58"/>
  <c r="I1444" i="58"/>
  <c r="J1444" i="58" s="1"/>
  <c r="H1444" i="58"/>
  <c r="P1443" i="58"/>
  <c r="O1443" i="58"/>
  <c r="L1443" i="58"/>
  <c r="I1443" i="58"/>
  <c r="J1443" i="58" s="1"/>
  <c r="H1443" i="58"/>
  <c r="P1442" i="58"/>
  <c r="O1442" i="58"/>
  <c r="L1442" i="58"/>
  <c r="I1442" i="58"/>
  <c r="J1442" i="58" s="1"/>
  <c r="H1442" i="58"/>
  <c r="P1441" i="58"/>
  <c r="O1441" i="58"/>
  <c r="L1441" i="58"/>
  <c r="I1441" i="58"/>
  <c r="J1441" i="58" s="1"/>
  <c r="H1441" i="58"/>
  <c r="P1440" i="58"/>
  <c r="O1440" i="58"/>
  <c r="L1440" i="58"/>
  <c r="I1440" i="58"/>
  <c r="J1440" i="58" s="1"/>
  <c r="H1440" i="58"/>
  <c r="P1439" i="58"/>
  <c r="O1439" i="58"/>
  <c r="L1439" i="58"/>
  <c r="I1439" i="58"/>
  <c r="J1439" i="58" s="1"/>
  <c r="H1439" i="58"/>
  <c r="P1438" i="58"/>
  <c r="O1438" i="58"/>
  <c r="L1438" i="58"/>
  <c r="I1438" i="58"/>
  <c r="J1438" i="58" s="1"/>
  <c r="H1438" i="58"/>
  <c r="P1437" i="58"/>
  <c r="O1437" i="58"/>
  <c r="L1437" i="58"/>
  <c r="I1437" i="58"/>
  <c r="J1437" i="58" s="1"/>
  <c r="H1437" i="58"/>
  <c r="G5705" i="58" l="1"/>
  <c r="M5705" i="58" s="1"/>
  <c r="G5706" i="58"/>
  <c r="M5706" i="58" s="1"/>
  <c r="G5704" i="58"/>
  <c r="M5704" i="58" s="1"/>
  <c r="G5760" i="58"/>
  <c r="M5760" i="58" s="1"/>
  <c r="G6162" i="58"/>
  <c r="M6162" i="58" s="1"/>
  <c r="G6114" i="58"/>
  <c r="M6114" i="58" s="1"/>
  <c r="G5708" i="58"/>
  <c r="M5708" i="58" s="1"/>
  <c r="G5756" i="58"/>
  <c r="M5756" i="58" s="1"/>
  <c r="G5934" i="58"/>
  <c r="M5934" i="58" s="1"/>
  <c r="G5709" i="58"/>
  <c r="M5709" i="58" s="1"/>
  <c r="G5971" i="58"/>
  <c r="M5971" i="58" s="1"/>
  <c r="G5707" i="58"/>
  <c r="M5707" i="58" s="1"/>
  <c r="G5933" i="58"/>
  <c r="M5933" i="58" s="1"/>
  <c r="G5911" i="58"/>
  <c r="M5911" i="58" s="1"/>
  <c r="G6810" i="58"/>
  <c r="M6810" i="58" s="1"/>
  <c r="G6202" i="58"/>
  <c r="M6202" i="58" s="1"/>
  <c r="G5912" i="58"/>
  <c r="M5912" i="58" s="1"/>
  <c r="G6813" i="58"/>
  <c r="M6813" i="58" s="1"/>
  <c r="G5072" i="58"/>
  <c r="M5072" i="58" s="1"/>
  <c r="G5076" i="58"/>
  <c r="M5076" i="58" s="1"/>
  <c r="N5536" i="58"/>
  <c r="L5617" i="58"/>
  <c r="N5617" i="58" s="1"/>
  <c r="L5417" i="58"/>
  <c r="N5417" i="58" s="1"/>
  <c r="L5503" i="58"/>
  <c r="N5503" i="58" s="1"/>
  <c r="L5486" i="58"/>
  <c r="N5486" i="58" s="1"/>
  <c r="L5466" i="58"/>
  <c r="L5455" i="58"/>
  <c r="L5436" i="58"/>
  <c r="N5436" i="58" s="1"/>
  <c r="L5416" i="58"/>
  <c r="L5399" i="58"/>
  <c r="N5399" i="58" s="1"/>
  <c r="L5364" i="58"/>
  <c r="N5364" i="58" s="1"/>
  <c r="L5526" i="58"/>
  <c r="L5552" i="58"/>
  <c r="L5544" i="58"/>
  <c r="N5544" i="58" s="1"/>
  <c r="L5614" i="58"/>
  <c r="L5464" i="58"/>
  <c r="N5464" i="58" s="1"/>
  <c r="L5445" i="58"/>
  <c r="L5346" i="58"/>
  <c r="N5346" i="58" s="1"/>
  <c r="L5338" i="58"/>
  <c r="L5328" i="58"/>
  <c r="L5524" i="58"/>
  <c r="N5524" i="58" s="1"/>
  <c r="L5521" i="58"/>
  <c r="L5510" i="58"/>
  <c r="N5510" i="58" s="1"/>
  <c r="L5483" i="58"/>
  <c r="N5483" i="58" s="1"/>
  <c r="L5453" i="58"/>
  <c r="N5453" i="58" s="1"/>
  <c r="L5397" i="58"/>
  <c r="L5327" i="58"/>
  <c r="L5308" i="58"/>
  <c r="N5308" i="58" s="1"/>
  <c r="L5553" i="58"/>
  <c r="N5553" i="58" s="1"/>
  <c r="L5523" i="58"/>
  <c r="N5523" i="58" s="1"/>
  <c r="L5330" i="58"/>
  <c r="N5330" i="58" s="1"/>
  <c r="L5348" i="58"/>
  <c r="N5348" i="58" s="1"/>
  <c r="L5463" i="58"/>
  <c r="N5463" i="58" s="1"/>
  <c r="L5520" i="58"/>
  <c r="N5520" i="58" s="1"/>
  <c r="L5501" i="58"/>
  <c r="N5501" i="58" s="1"/>
  <c r="L5492" i="58"/>
  <c r="N5492" i="58" s="1"/>
  <c r="L5482" i="58"/>
  <c r="N5482" i="58" s="1"/>
  <c r="L5326" i="58"/>
  <c r="N5326" i="58" s="1"/>
  <c r="L5317" i="58"/>
  <c r="N5317" i="58" s="1"/>
  <c r="L5307" i="58"/>
  <c r="N5532" i="58"/>
  <c r="L5611" i="58"/>
  <c r="L5519" i="58"/>
  <c r="L5500" i="58"/>
  <c r="N5500" i="58" s="1"/>
  <c r="L5491" i="58"/>
  <c r="N5491" i="58" s="1"/>
  <c r="L5481" i="58"/>
  <c r="L5461" i="58"/>
  <c r="N5461" i="58" s="1"/>
  <c r="L5452" i="58"/>
  <c r="N5452" i="58" s="1"/>
  <c r="L5442" i="58"/>
  <c r="N5442" i="58" s="1"/>
  <c r="L5432" i="58"/>
  <c r="N5432" i="58" s="1"/>
  <c r="L5316" i="58"/>
  <c r="L5615" i="58"/>
  <c r="N5615" i="58" s="1"/>
  <c r="L5509" i="58"/>
  <c r="N5509" i="58" s="1"/>
  <c r="L5470" i="58"/>
  <c r="L5460" i="58"/>
  <c r="L5422" i="58"/>
  <c r="L5411" i="58"/>
  <c r="L5344" i="58"/>
  <c r="N5344" i="58" s="1"/>
  <c r="L5334" i="58"/>
  <c r="N5334" i="58" s="1"/>
  <c r="L5412" i="58"/>
  <c r="N5412" i="58" s="1"/>
  <c r="L5423" i="58"/>
  <c r="N5423" i="58" s="1"/>
  <c r="L5549" i="58"/>
  <c r="N5549" i="58" s="1"/>
  <c r="L5517" i="58"/>
  <c r="L5508" i="58"/>
  <c r="N5508" i="58" s="1"/>
  <c r="L5498" i="58"/>
  <c r="N5498" i="58" s="1"/>
  <c r="L5480" i="58"/>
  <c r="N5480" i="58" s="1"/>
  <c r="L5469" i="58"/>
  <c r="L5450" i="58"/>
  <c r="N5450" i="58" s="1"/>
  <c r="L5622" i="58"/>
  <c r="N5622" i="58" s="1"/>
  <c r="L5333" i="58"/>
  <c r="L5324" i="58"/>
  <c r="N5324" i="58" s="1"/>
  <c r="L5304" i="58"/>
  <c r="L5437" i="58"/>
  <c r="N5437" i="58" s="1"/>
  <c r="L5540" i="58"/>
  <c r="N5540" i="58" s="1"/>
  <c r="L5550" i="58"/>
  <c r="N5550" i="58" s="1"/>
  <c r="L5518" i="58"/>
  <c r="N5518" i="58" s="1"/>
  <c r="L5558" i="58"/>
  <c r="N5558" i="58" s="1"/>
  <c r="L5479" i="58"/>
  <c r="N5479" i="58" s="1"/>
  <c r="L5468" i="58"/>
  <c r="L5449" i="58"/>
  <c r="L5323" i="58"/>
  <c r="N5323" i="58" s="1"/>
  <c r="L5336" i="58"/>
  <c r="N5336" i="58" s="1"/>
  <c r="L5621" i="58"/>
  <c r="L5612" i="58"/>
  <c r="N5612" i="58" s="1"/>
  <c r="L5557" i="58"/>
  <c r="N5557" i="58" s="1"/>
  <c r="L5547" i="58"/>
  <c r="N5547" i="58" s="1"/>
  <c r="L5516" i="58"/>
  <c r="N5516" i="58" s="1"/>
  <c r="L5467" i="58"/>
  <c r="L5620" i="58"/>
  <c r="L5403" i="58"/>
  <c r="L5351" i="58"/>
  <c r="L5341" i="58"/>
  <c r="L5322" i="58"/>
  <c r="N5322" i="58" s="1"/>
  <c r="L5424" i="58"/>
  <c r="N5424" i="58" s="1"/>
  <c r="L5530" i="58"/>
  <c r="N5530" i="58" s="1"/>
  <c r="L5556" i="58"/>
  <c r="N5556" i="58" s="1"/>
  <c r="L5546" i="58"/>
  <c r="N5546" i="58" s="1"/>
  <c r="L5529" i="58"/>
  <c r="L5515" i="58"/>
  <c r="N5515" i="58" s="1"/>
  <c r="L5505" i="58"/>
  <c r="N5505" i="58" s="1"/>
  <c r="L5447" i="58"/>
  <c r="N5447" i="58" s="1"/>
  <c r="L5619" i="58"/>
  <c r="N5619" i="58" s="1"/>
  <c r="L5418" i="58"/>
  <c r="N5418" i="58" s="1"/>
  <c r="L5367" i="58"/>
  <c r="L5340" i="58"/>
  <c r="N5340" i="58" s="1"/>
  <c r="L5311" i="58"/>
  <c r="N5311" i="58" s="1"/>
  <c r="L5313" i="58"/>
  <c r="N5313" i="58" s="1"/>
  <c r="L5471" i="58"/>
  <c r="N5471" i="58" s="1"/>
  <c r="L5419" i="58"/>
  <c r="N5419" i="58" s="1"/>
  <c r="L5368" i="58"/>
  <c r="N5368" i="58" s="1"/>
  <c r="L5610" i="58"/>
  <c r="L5514" i="58"/>
  <c r="N5514" i="58" s="1"/>
  <c r="L5504" i="58"/>
  <c r="N5504" i="58" s="1"/>
  <c r="L5495" i="58"/>
  <c r="N5495" i="58" s="1"/>
  <c r="L5487" i="58"/>
  <c r="L5476" i="58"/>
  <c r="N5476" i="58" s="1"/>
  <c r="L5457" i="58"/>
  <c r="L5446" i="58"/>
  <c r="N5446" i="58" s="1"/>
  <c r="L5438" i="58"/>
  <c r="N5438" i="58" s="1"/>
  <c r="L5618" i="58"/>
  <c r="L5401" i="58"/>
  <c r="N5401" i="58" s="1"/>
  <c r="L5366" i="58"/>
  <c r="N5366" i="58" s="1"/>
  <c r="L5349" i="58"/>
  <c r="N5349" i="58" s="1"/>
  <c r="L5339" i="58"/>
  <c r="L5331" i="58"/>
  <c r="L5320" i="58"/>
  <c r="L5414" i="58"/>
  <c r="N5414" i="58" s="1"/>
  <c r="L5616" i="58"/>
  <c r="L5543" i="58"/>
  <c r="N5543" i="58" s="1"/>
  <c r="L5554" i="58"/>
  <c r="N5554" i="58" s="1"/>
  <c r="L5456" i="58"/>
  <c r="N5456" i="58" s="1"/>
  <c r="L5473" i="58"/>
  <c r="N5473" i="58" s="1"/>
  <c r="L5525" i="58"/>
  <c r="N5525" i="58" s="1"/>
  <c r="L5454" i="58"/>
  <c r="L5309" i="58"/>
  <c r="N5309" i="58" s="1"/>
  <c r="L5400" i="58"/>
  <c r="N5400" i="58" s="1"/>
  <c r="L5475" i="58"/>
  <c r="N5475" i="58" s="1"/>
  <c r="L5522" i="58"/>
  <c r="N5522" i="58" s="1"/>
  <c r="N5537" i="58"/>
  <c r="N5533" i="58"/>
  <c r="N5534" i="58"/>
  <c r="N5535" i="58"/>
  <c r="N5531" i="58"/>
  <c r="J5612" i="58"/>
  <c r="J5611" i="58"/>
  <c r="J5610" i="58"/>
  <c r="J5616" i="58"/>
  <c r="J5615" i="58"/>
  <c r="N3026" i="58"/>
  <c r="N3041" i="58"/>
  <c r="J5618" i="58"/>
  <c r="J5622" i="58"/>
  <c r="J5621" i="58"/>
  <c r="L5527" i="58"/>
  <c r="L5528" i="58"/>
  <c r="N5528" i="58" s="1"/>
  <c r="J5526" i="58"/>
  <c r="J5525" i="58"/>
  <c r="J5530" i="58"/>
  <c r="J5529" i="58"/>
  <c r="L5363" i="58"/>
  <c r="N5363" i="58" s="1"/>
  <c r="L5365" i="58"/>
  <c r="J5368" i="58"/>
  <c r="L5362" i="58"/>
  <c r="J5367" i="58"/>
  <c r="L5459" i="58"/>
  <c r="N5459" i="58" s="1"/>
  <c r="L5413" i="58"/>
  <c r="L5421" i="58"/>
  <c r="N5421" i="58" s="1"/>
  <c r="L5415" i="58"/>
  <c r="L5420" i="58"/>
  <c r="J5414" i="58"/>
  <c r="J5419" i="58"/>
  <c r="J5424" i="58"/>
  <c r="J5412" i="58"/>
  <c r="J5423" i="58"/>
  <c r="L5458" i="58"/>
  <c r="L5472" i="58"/>
  <c r="N5472" i="58" s="1"/>
  <c r="L5499" i="58"/>
  <c r="N5499" i="58" s="1"/>
  <c r="J5456" i="58"/>
  <c r="J5467" i="58"/>
  <c r="J5473" i="58"/>
  <c r="J5454" i="58"/>
  <c r="J5471" i="58"/>
  <c r="N3092" i="58"/>
  <c r="L5462" i="58"/>
  <c r="N5462" i="58" s="1"/>
  <c r="L5305" i="58"/>
  <c r="N5305" i="58" s="1"/>
  <c r="L5474" i="58"/>
  <c r="N5474" i="58" s="1"/>
  <c r="L5329" i="58"/>
  <c r="L5347" i="58"/>
  <c r="N5347" i="58" s="1"/>
  <c r="L5451" i="58"/>
  <c r="N5451" i="58" s="1"/>
  <c r="L5506" i="58"/>
  <c r="N5506" i="58" s="1"/>
  <c r="L5352" i="58"/>
  <c r="L5343" i="58"/>
  <c r="N5343" i="58" s="1"/>
  <c r="L5440" i="58"/>
  <c r="L5325" i="58"/>
  <c r="N5325" i="58" s="1"/>
  <c r="L5542" i="58"/>
  <c r="N5542" i="58" s="1"/>
  <c r="L5332" i="58"/>
  <c r="L5490" i="58"/>
  <c r="N5490" i="58" s="1"/>
  <c r="L5538" i="58"/>
  <c r="N5538" i="58" s="1"/>
  <c r="L5312" i="58"/>
  <c r="N5312" i="58" s="1"/>
  <c r="L5441" i="58"/>
  <c r="N5441" i="58" s="1"/>
  <c r="L5513" i="58"/>
  <c r="N5513" i="58" s="1"/>
  <c r="L5539" i="58"/>
  <c r="N5539" i="58" s="1"/>
  <c r="L5318" i="58"/>
  <c r="N5318" i="58" s="1"/>
  <c r="L5345" i="58"/>
  <c r="N5345" i="58" s="1"/>
  <c r="L5443" i="58"/>
  <c r="N5443" i="58" s="1"/>
  <c r="L5321" i="58"/>
  <c r="N5321" i="58" s="1"/>
  <c r="L5335" i="58"/>
  <c r="N5335" i="58" s="1"/>
  <c r="L5496" i="58"/>
  <c r="N5496" i="58" s="1"/>
  <c r="L5342" i="58"/>
  <c r="L5433" i="58"/>
  <c r="N5433" i="58" s="1"/>
  <c r="L5493" i="58"/>
  <c r="N5493" i="58" s="1"/>
  <c r="L5398" i="58"/>
  <c r="N5398" i="58" s="1"/>
  <c r="L5512" i="58"/>
  <c r="N5512" i="58" s="1"/>
  <c r="J5336" i="58"/>
  <c r="J5511" i="58"/>
  <c r="L5511" i="58"/>
  <c r="J5507" i="58"/>
  <c r="L5507" i="58"/>
  <c r="L5485" i="58"/>
  <c r="L5435" i="58"/>
  <c r="J5340" i="58"/>
  <c r="L5497" i="58"/>
  <c r="J5497" i="58"/>
  <c r="J5494" i="58"/>
  <c r="L5494" i="58"/>
  <c r="J5350" i="58"/>
  <c r="L5350" i="58"/>
  <c r="J5434" i="58"/>
  <c r="L5434" i="58"/>
  <c r="J5444" i="58"/>
  <c r="L5444" i="58"/>
  <c r="J5448" i="58"/>
  <c r="L5448" i="58"/>
  <c r="L5465" i="58"/>
  <c r="J5465" i="58"/>
  <c r="J5484" i="58"/>
  <c r="L5484" i="58"/>
  <c r="J5488" i="58"/>
  <c r="L5488" i="58"/>
  <c r="L5439" i="58"/>
  <c r="L5489" i="58"/>
  <c r="J5326" i="58"/>
  <c r="L5337" i="58"/>
  <c r="J5516" i="58"/>
  <c r="J5330" i="58"/>
  <c r="J5334" i="58"/>
  <c r="J5344" i="58"/>
  <c r="J5348" i="58"/>
  <c r="J5432" i="58"/>
  <c r="J5438" i="58"/>
  <c r="J5442" i="58"/>
  <c r="J5446" i="58"/>
  <c r="J5452" i="58"/>
  <c r="J5463" i="58"/>
  <c r="J5482" i="58"/>
  <c r="J5492" i="58"/>
  <c r="J5501" i="58"/>
  <c r="J5505" i="58"/>
  <c r="J5515" i="58"/>
  <c r="L5310" i="58"/>
  <c r="N5310" i="58" s="1"/>
  <c r="L5319" i="58"/>
  <c r="N5319" i="58" s="1"/>
  <c r="L5315" i="58"/>
  <c r="L5477" i="58"/>
  <c r="N5477" i="58" s="1"/>
  <c r="L5551" i="58"/>
  <c r="N5551" i="58" s="1"/>
  <c r="L5314" i="58"/>
  <c r="N5314" i="58" s="1"/>
  <c r="L5402" i="58"/>
  <c r="N5402" i="58" s="1"/>
  <c r="L5306" i="58"/>
  <c r="L5478" i="58"/>
  <c r="J5518" i="58"/>
  <c r="J5523" i="58"/>
  <c r="J5309" i="58"/>
  <c r="J5313" i="58"/>
  <c r="J5323" i="58"/>
  <c r="J5400" i="58"/>
  <c r="J5475" i="58"/>
  <c r="J5522" i="58"/>
  <c r="L5541" i="58"/>
  <c r="N5541" i="58" s="1"/>
  <c r="L5548" i="58"/>
  <c r="N5548" i="58" s="1"/>
  <c r="L5555" i="58"/>
  <c r="N5555" i="58" s="1"/>
  <c r="L5545" i="58"/>
  <c r="N5545" i="58" s="1"/>
  <c r="J5540" i="58"/>
  <c r="J5550" i="58"/>
  <c r="J5554" i="58"/>
  <c r="J5549" i="58"/>
  <c r="J5553" i="58"/>
  <c r="J5558" i="58"/>
  <c r="J5543" i="58"/>
  <c r="J5547" i="58"/>
  <c r="J5557" i="58"/>
  <c r="N2829" i="58"/>
  <c r="N2982" i="58"/>
  <c r="N2986" i="58"/>
  <c r="N3006" i="58"/>
  <c r="N3005" i="58"/>
  <c r="N3007" i="58"/>
  <c r="N3060" i="58"/>
  <c r="N3056" i="58"/>
  <c r="N2993" i="58"/>
  <c r="N2535" i="58"/>
  <c r="N2563" i="58"/>
  <c r="N2571" i="58"/>
  <c r="N2573" i="58"/>
  <c r="N2961" i="58"/>
  <c r="N3037" i="58"/>
  <c r="N3104" i="58"/>
  <c r="N3120" i="58"/>
  <c r="N3128" i="58"/>
  <c r="N3049" i="58"/>
  <c r="N3075" i="58"/>
  <c r="N3135" i="58"/>
  <c r="M2345" i="58"/>
  <c r="N3150" i="58"/>
  <c r="N3009" i="58"/>
  <c r="N3052" i="58"/>
  <c r="N3085" i="58"/>
  <c r="N3162" i="58"/>
  <c r="N3168" i="58"/>
  <c r="N2965" i="58"/>
  <c r="N3044" i="58"/>
  <c r="N1857" i="58"/>
  <c r="N1861" i="58"/>
  <c r="N1865" i="58"/>
  <c r="N1867" i="58"/>
  <c r="N1879" i="58"/>
  <c r="N3101" i="58"/>
  <c r="N1802" i="58"/>
  <c r="N3080" i="58"/>
  <c r="N3149" i="58"/>
  <c r="N3053" i="58"/>
  <c r="N3167" i="58"/>
  <c r="N3169" i="58"/>
  <c r="N3173" i="58"/>
  <c r="N3065" i="58"/>
  <c r="N3073" i="58"/>
  <c r="N3116" i="58"/>
  <c r="N1961" i="58"/>
  <c r="N2981" i="58"/>
  <c r="N2997" i="58"/>
  <c r="N3111" i="58"/>
  <c r="N3113" i="58"/>
  <c r="N3125" i="58"/>
  <c r="N2968" i="58"/>
  <c r="N3100" i="58"/>
  <c r="N3133" i="58"/>
  <c r="N3064" i="58"/>
  <c r="N3077" i="58"/>
  <c r="N3176" i="58"/>
  <c r="N2717" i="58"/>
  <c r="N3021" i="58"/>
  <c r="N3031" i="58"/>
  <c r="N3068" i="58"/>
  <c r="N3089" i="58"/>
  <c r="N2786" i="58"/>
  <c r="N2967" i="58"/>
  <c r="N2994" i="58"/>
  <c r="N2998" i="58"/>
  <c r="N3051" i="58"/>
  <c r="N3076" i="58"/>
  <c r="N3124" i="58"/>
  <c r="N2824" i="58"/>
  <c r="N2985" i="58"/>
  <c r="N3019" i="58"/>
  <c r="N3087" i="58"/>
  <c r="N2139" i="58"/>
  <c r="N2155" i="58"/>
  <c r="N1709" i="58"/>
  <c r="N3175" i="58"/>
  <c r="N3177" i="58"/>
  <c r="N3061" i="58"/>
  <c r="N3014" i="58"/>
  <c r="N3018" i="58"/>
  <c r="N3109" i="58"/>
  <c r="N3138" i="58"/>
  <c r="N2652" i="58"/>
  <c r="N3084" i="58"/>
  <c r="N3013" i="58"/>
  <c r="N3155" i="58"/>
  <c r="N3182" i="58"/>
  <c r="N1502" i="58"/>
  <c r="N1505" i="58"/>
  <c r="N2718" i="58"/>
  <c r="N2765" i="58"/>
  <c r="N3001" i="58"/>
  <c r="N3022" i="58"/>
  <c r="N3033" i="58"/>
  <c r="N3129" i="58"/>
  <c r="N3139" i="58"/>
  <c r="N3144" i="58"/>
  <c r="N3157" i="58"/>
  <c r="N3184" i="58"/>
  <c r="N1656" i="58"/>
  <c r="N1682" i="58"/>
  <c r="N1836" i="58"/>
  <c r="N2365" i="58"/>
  <c r="N2374" i="58"/>
  <c r="N2971" i="58"/>
  <c r="N2977" i="58"/>
  <c r="N2989" i="58"/>
  <c r="N3035" i="58"/>
  <c r="N3057" i="58"/>
  <c r="N3081" i="58"/>
  <c r="N3088" i="58"/>
  <c r="N3097" i="58"/>
  <c r="N3161" i="58"/>
  <c r="N2966" i="58"/>
  <c r="N3010" i="58"/>
  <c r="N3030" i="58"/>
  <c r="N3039" i="58"/>
  <c r="N3099" i="58"/>
  <c r="N3108" i="58"/>
  <c r="N3112" i="58"/>
  <c r="N3017" i="58"/>
  <c r="N3126" i="58"/>
  <c r="N3174" i="58"/>
  <c r="N2049" i="58"/>
  <c r="N2290" i="58"/>
  <c r="N2316" i="58"/>
  <c r="N2322" i="58"/>
  <c r="N3181" i="58"/>
  <c r="N1781" i="58"/>
  <c r="N2109" i="58"/>
  <c r="N3143" i="58"/>
  <c r="N2523" i="58"/>
  <c r="N2746" i="58"/>
  <c r="N3002" i="58"/>
  <c r="N3034" i="58"/>
  <c r="N3063" i="58"/>
  <c r="N3096" i="58"/>
  <c r="N3121" i="58"/>
  <c r="N3145" i="58"/>
  <c r="N3156" i="58"/>
  <c r="N2344" i="58"/>
  <c r="N2348" i="58"/>
  <c r="N2368" i="58"/>
  <c r="N2375" i="58"/>
  <c r="N2425" i="58"/>
  <c r="N2430" i="58"/>
  <c r="N2963" i="58"/>
  <c r="N2970" i="58"/>
  <c r="N2974" i="58"/>
  <c r="N2978" i="58"/>
  <c r="N2983" i="58"/>
  <c r="N2990" i="58"/>
  <c r="N2995" i="58"/>
  <c r="N3036" i="58"/>
  <c r="N3123" i="58"/>
  <c r="N2972" i="58"/>
  <c r="N3027" i="58"/>
  <c r="N3040" i="58"/>
  <c r="N3048" i="58"/>
  <c r="N3072" i="58"/>
  <c r="N3132" i="58"/>
  <c r="N2976" i="58"/>
  <c r="N2988" i="58"/>
  <c r="N3000" i="58"/>
  <c r="N3012" i="58"/>
  <c r="N3038" i="58"/>
  <c r="N3024" i="58"/>
  <c r="N3028" i="58"/>
  <c r="N2964" i="58"/>
  <c r="N2969" i="58"/>
  <c r="N2980" i="58"/>
  <c r="N2992" i="58"/>
  <c r="N3004" i="58"/>
  <c r="N3016" i="58"/>
  <c r="N2975" i="58"/>
  <c r="N2987" i="58"/>
  <c r="N2999" i="58"/>
  <c r="N3011" i="58"/>
  <c r="N3025" i="58"/>
  <c r="N3045" i="58"/>
  <c r="N3117" i="58"/>
  <c r="N3023" i="58"/>
  <c r="N3105" i="58"/>
  <c r="N2973" i="58"/>
  <c r="N2984" i="58"/>
  <c r="N2996" i="58"/>
  <c r="N3008" i="58"/>
  <c r="N2979" i="58"/>
  <c r="N2991" i="58"/>
  <c r="N3003" i="58"/>
  <c r="N3015" i="58"/>
  <c r="N3020" i="58"/>
  <c r="N3029" i="58"/>
  <c r="N3042" i="58"/>
  <c r="N3069" i="58"/>
  <c r="N3093" i="58"/>
  <c r="N3054" i="58"/>
  <c r="N3066" i="58"/>
  <c r="N3078" i="58"/>
  <c r="N3090" i="58"/>
  <c r="N3102" i="58"/>
  <c r="N3114" i="58"/>
  <c r="N3032" i="58"/>
  <c r="N3140" i="58"/>
  <c r="N3152" i="58"/>
  <c r="N3164" i="58"/>
  <c r="N3137" i="58"/>
  <c r="N3147" i="58"/>
  <c r="N3159" i="58"/>
  <c r="N3171" i="58"/>
  <c r="N3179" i="58"/>
  <c r="N3047" i="58"/>
  <c r="N3050" i="58"/>
  <c r="N3059" i="58"/>
  <c r="N3062" i="58"/>
  <c r="N3071" i="58"/>
  <c r="N3074" i="58"/>
  <c r="N3083" i="58"/>
  <c r="N3086" i="58"/>
  <c r="N3095" i="58"/>
  <c r="N3098" i="58"/>
  <c r="N3107" i="58"/>
  <c r="N3110" i="58"/>
  <c r="N3119" i="58"/>
  <c r="N3122" i="58"/>
  <c r="N3131" i="58"/>
  <c r="N3134" i="58"/>
  <c r="N3142" i="58"/>
  <c r="N3154" i="58"/>
  <c r="M3159" i="58"/>
  <c r="N3166" i="58"/>
  <c r="N3151" i="58"/>
  <c r="N3163" i="58"/>
  <c r="N3183" i="58"/>
  <c r="N3043" i="58"/>
  <c r="N3046" i="58"/>
  <c r="N3055" i="58"/>
  <c r="N3058" i="58"/>
  <c r="N3067" i="58"/>
  <c r="N3070" i="58"/>
  <c r="N3079" i="58"/>
  <c r="N3082" i="58"/>
  <c r="N3091" i="58"/>
  <c r="N3094" i="58"/>
  <c r="N3103" i="58"/>
  <c r="N3106" i="58"/>
  <c r="N3115" i="58"/>
  <c r="N3118" i="58"/>
  <c r="N3127" i="58"/>
  <c r="N3130" i="58"/>
  <c r="N3136" i="58"/>
  <c r="N3146" i="58"/>
  <c r="N3158" i="58"/>
  <c r="N3170" i="58"/>
  <c r="N3178" i="58"/>
  <c r="N3141" i="58"/>
  <c r="N3153" i="58"/>
  <c r="N3165" i="58"/>
  <c r="N3148" i="58"/>
  <c r="N3160" i="58"/>
  <c r="N3172" i="58"/>
  <c r="N3180" i="58"/>
  <c r="N2741" i="58"/>
  <c r="N2766" i="58"/>
  <c r="N2892" i="58"/>
  <c r="N2911" i="58"/>
  <c r="N1734" i="58"/>
  <c r="N1447" i="58"/>
  <c r="N1768" i="58"/>
  <c r="N2608" i="58"/>
  <c r="N2788" i="58"/>
  <c r="N2794" i="58"/>
  <c r="N2796" i="58"/>
  <c r="N1579" i="58"/>
  <c r="N1689" i="58"/>
  <c r="N1852" i="58"/>
  <c r="N1858" i="58"/>
  <c r="N1994" i="58"/>
  <c r="N2720" i="58"/>
  <c r="N1947" i="58"/>
  <c r="N1441" i="58"/>
  <c r="N2170" i="58"/>
  <c r="N2471" i="58"/>
  <c r="N2517" i="58"/>
  <c r="N2743" i="58"/>
  <c r="N1890" i="58"/>
  <c r="N1896" i="58"/>
  <c r="N1900" i="58"/>
  <c r="N1916" i="58"/>
  <c r="N2184" i="58"/>
  <c r="N2191" i="58"/>
  <c r="N2192" i="58"/>
  <c r="N2777" i="58"/>
  <c r="N2782" i="58"/>
  <c r="N2785" i="58"/>
  <c r="N2384" i="58"/>
  <c r="N2396" i="58"/>
  <c r="N2605" i="58"/>
  <c r="N2812" i="58"/>
  <c r="N2926" i="58"/>
  <c r="N2928" i="58"/>
  <c r="N1568" i="58"/>
  <c r="N1570" i="58"/>
  <c r="N1574" i="58"/>
  <c r="N2117" i="58"/>
  <c r="N2119" i="58"/>
  <c r="N2123" i="58"/>
  <c r="N2681" i="58"/>
  <c r="N2693" i="58"/>
  <c r="N2839" i="58"/>
  <c r="N1624" i="58"/>
  <c r="N1640" i="58"/>
  <c r="N1849" i="58"/>
  <c r="N1461" i="58"/>
  <c r="N2088" i="58"/>
  <c r="N1942" i="58"/>
  <c r="N2092" i="58"/>
  <c r="N2185" i="58"/>
  <c r="N2193" i="58"/>
  <c r="N2483" i="58"/>
  <c r="N2489" i="58"/>
  <c r="N2620" i="58"/>
  <c r="N2640" i="58"/>
  <c r="N2779" i="58"/>
  <c r="N2955" i="58"/>
  <c r="N2957" i="58"/>
  <c r="N1727" i="58"/>
  <c r="N1864" i="58"/>
  <c r="N2118" i="58"/>
  <c r="N2201" i="58"/>
  <c r="N2207" i="58"/>
  <c r="N2672" i="58"/>
  <c r="M2355" i="58"/>
  <c r="N1912" i="58"/>
  <c r="N2053" i="58"/>
  <c r="N2057" i="58"/>
  <c r="N2061" i="58"/>
  <c r="N2142" i="58"/>
  <c r="N2150" i="58"/>
  <c r="N2154" i="58"/>
  <c r="N2406" i="58"/>
  <c r="N2554" i="58"/>
  <c r="N2556" i="58"/>
  <c r="N2194" i="58"/>
  <c r="N2879" i="58"/>
  <c r="N1450" i="58"/>
  <c r="N2762" i="58"/>
  <c r="N1754" i="58"/>
  <c r="N1933" i="58"/>
  <c r="N1939" i="58"/>
  <c r="N1941" i="58"/>
  <c r="N1945" i="58"/>
  <c r="N2332" i="58"/>
  <c r="N2486" i="58"/>
  <c r="N2649" i="58"/>
  <c r="N1543" i="58"/>
  <c r="N1726" i="58"/>
  <c r="N1823" i="58"/>
  <c r="N1829" i="58"/>
  <c r="N1970" i="58"/>
  <c r="N2391" i="58"/>
  <c r="N2409" i="58"/>
  <c r="N2745" i="58"/>
  <c r="N2048" i="58"/>
  <c r="M2358" i="58"/>
  <c r="N2524" i="58"/>
  <c r="N2749" i="58"/>
  <c r="N2751" i="58"/>
  <c r="N2903" i="58"/>
  <c r="N1459" i="58"/>
  <c r="N1484" i="58"/>
  <c r="N1530" i="58"/>
  <c r="N1531" i="58"/>
  <c r="N1533" i="58"/>
  <c r="N1551" i="58"/>
  <c r="N1685" i="58"/>
  <c r="N1812" i="58"/>
  <c r="N1833" i="58"/>
  <c r="N1967" i="58"/>
  <c r="N2072" i="58"/>
  <c r="N2115" i="58"/>
  <c r="N2158" i="58"/>
  <c r="N2224" i="58"/>
  <c r="N2236" i="58"/>
  <c r="N2238" i="58"/>
  <c r="N2252" i="58"/>
  <c r="N2297" i="58"/>
  <c r="N2318" i="58"/>
  <c r="N2626" i="58"/>
  <c r="N2630" i="58"/>
  <c r="N2764" i="58"/>
  <c r="N2783" i="58"/>
  <c r="N2802" i="58"/>
  <c r="N2805" i="58"/>
  <c r="N2835" i="58"/>
  <c r="N1990" i="58"/>
  <c r="N1469" i="58"/>
  <c r="N1472" i="58"/>
  <c r="N1701" i="58"/>
  <c r="N1835" i="58"/>
  <c r="N1853" i="58"/>
  <c r="N1870" i="58"/>
  <c r="N2399" i="58"/>
  <c r="N2419" i="58"/>
  <c r="N2532" i="58"/>
  <c r="N2551" i="58"/>
  <c r="N2642" i="58"/>
  <c r="N2646" i="58"/>
  <c r="N2650" i="58"/>
  <c r="N2677" i="58"/>
  <c r="N2733" i="58"/>
  <c r="N2739" i="58"/>
  <c r="N2768" i="58"/>
  <c r="N2772" i="58"/>
  <c r="N2807" i="58"/>
  <c r="N2858" i="58"/>
  <c r="N2959" i="58"/>
  <c r="N1805" i="58"/>
  <c r="N1983" i="58"/>
  <c r="N1985" i="58"/>
  <c r="N2513" i="58"/>
  <c r="N2587" i="58"/>
  <c r="N2789" i="58"/>
  <c r="N2793" i="58"/>
  <c r="N2216" i="58"/>
  <c r="N2340" i="58"/>
  <c r="N2589" i="58"/>
  <c r="N2922" i="58"/>
  <c r="N1442" i="58"/>
  <c r="N1840" i="58"/>
  <c r="N2143" i="58"/>
  <c r="N2449" i="58"/>
  <c r="N2500" i="58"/>
  <c r="N2655" i="58"/>
  <c r="N2795" i="58"/>
  <c r="N2797" i="58"/>
  <c r="N2936" i="58"/>
  <c r="N1438" i="58"/>
  <c r="N1458" i="58"/>
  <c r="N1460" i="58"/>
  <c r="N1485" i="58"/>
  <c r="N1542" i="58"/>
  <c r="N1684" i="58"/>
  <c r="N1694" i="58"/>
  <c r="N1765" i="58"/>
  <c r="N1807" i="58"/>
  <c r="N1927" i="58"/>
  <c r="N2073" i="58"/>
  <c r="N2159" i="58"/>
  <c r="N2171" i="58"/>
  <c r="N2173" i="58"/>
  <c r="N2313" i="58"/>
  <c r="N2315" i="58"/>
  <c r="N2354" i="58"/>
  <c r="N2382" i="58"/>
  <c r="N2538" i="58"/>
  <c r="N2600" i="58"/>
  <c r="N2709" i="58"/>
  <c r="N2806" i="58"/>
  <c r="N1696" i="58"/>
  <c r="N1860" i="58"/>
  <c r="N2040" i="58"/>
  <c r="M2346" i="58"/>
  <c r="N2358" i="58"/>
  <c r="N1779" i="58"/>
  <c r="N2183" i="58"/>
  <c r="N2310" i="58"/>
  <c r="N2479" i="58"/>
  <c r="N2495" i="58"/>
  <c r="N2923" i="58"/>
  <c r="N2927" i="58"/>
  <c r="N1657" i="58"/>
  <c r="N1663" i="58"/>
  <c r="N1800" i="58"/>
  <c r="N1862" i="58"/>
  <c r="N1869" i="58"/>
  <c r="N1887" i="58"/>
  <c r="N2060" i="58"/>
  <c r="N2097" i="58"/>
  <c r="N2101" i="58"/>
  <c r="N2105" i="58"/>
  <c r="N2177" i="58"/>
  <c r="N2195" i="58"/>
  <c r="N2277" i="58"/>
  <c r="N2531" i="58"/>
  <c r="N2738" i="58"/>
  <c r="N2931" i="58"/>
  <c r="N2475" i="58"/>
  <c r="N1462" i="58"/>
  <c r="N2148" i="58"/>
  <c r="N2341" i="58"/>
  <c r="N1664" i="58"/>
  <c r="N1868" i="58"/>
  <c r="N1489" i="58"/>
  <c r="N1495" i="58"/>
  <c r="N1555" i="58"/>
  <c r="N1586" i="58"/>
  <c r="N1609" i="58"/>
  <c r="N1753" i="58"/>
  <c r="N1755" i="58"/>
  <c r="N1955" i="58"/>
  <c r="N1989" i="58"/>
  <c r="N2084" i="58"/>
  <c r="N1457" i="58"/>
  <c r="N1691" i="58"/>
  <c r="N1778" i="58"/>
  <c r="N1837" i="58"/>
  <c r="N1839" i="58"/>
  <c r="N1841" i="58"/>
  <c r="N1872" i="58"/>
  <c r="N1582" i="58"/>
  <c r="N1448" i="58"/>
  <c r="N1463" i="58"/>
  <c r="N1697" i="58"/>
  <c r="N1874" i="58"/>
  <c r="N1910" i="58"/>
  <c r="N2131" i="58"/>
  <c r="N1544" i="58"/>
  <c r="N1665" i="58"/>
  <c r="N1693" i="58"/>
  <c r="N1695" i="58"/>
  <c r="N1710" i="58"/>
  <c r="N1750" i="58"/>
  <c r="N1763" i="58"/>
  <c r="N1767" i="58"/>
  <c r="N1815" i="58"/>
  <c r="N1817" i="58"/>
  <c r="N1819" i="58"/>
  <c r="N1845" i="58"/>
  <c r="N1847" i="58"/>
  <c r="N1876" i="58"/>
  <c r="N1878" i="58"/>
  <c r="N1903" i="58"/>
  <c r="N1662" i="58"/>
  <c r="N1546" i="58"/>
  <c r="N1600" i="58"/>
  <c r="N1712" i="58"/>
  <c r="N1748" i="58"/>
  <c r="N2440" i="58"/>
  <c r="N2759" i="58"/>
  <c r="N2799" i="58"/>
  <c r="N1719" i="58"/>
  <c r="N1801" i="58"/>
  <c r="N1439" i="58"/>
  <c r="N1556" i="58"/>
  <c r="N1739" i="58"/>
  <c r="N1773" i="58"/>
  <c r="N1825" i="58"/>
  <c r="N1875" i="58"/>
  <c r="N1921" i="58"/>
  <c r="N1452" i="58"/>
  <c r="N1486" i="58"/>
  <c r="N1488" i="58"/>
  <c r="N1492" i="58"/>
  <c r="N1496" i="58"/>
  <c r="N1443" i="58"/>
  <c r="N1446" i="58"/>
  <c r="N1513" i="58"/>
  <c r="N1515" i="58"/>
  <c r="N1517" i="58"/>
  <c r="N1519" i="58"/>
  <c r="N1525" i="58"/>
  <c r="N1527" i="58"/>
  <c r="N1558" i="58"/>
  <c r="N1587" i="58"/>
  <c r="N1669" i="58"/>
  <c r="N1671" i="58"/>
  <c r="N1675" i="58"/>
  <c r="N1722" i="58"/>
  <c r="N1766" i="58"/>
  <c r="N1775" i="58"/>
  <c r="N1777" i="58"/>
  <c r="N1816" i="58"/>
  <c r="N1846" i="58"/>
  <c r="N1873" i="58"/>
  <c r="N1923" i="58"/>
  <c r="N1935" i="58"/>
  <c r="N1702" i="58"/>
  <c r="N1681" i="58"/>
  <c r="N1760" i="58"/>
  <c r="N1772" i="58"/>
  <c r="N1785" i="58"/>
  <c r="N1814" i="58"/>
  <c r="N1848" i="58"/>
  <c r="N2740" i="58"/>
  <c r="N2392" i="58"/>
  <c r="N2501" i="58"/>
  <c r="N2512" i="58"/>
  <c r="N2634" i="58"/>
  <c r="N2664" i="58"/>
  <c r="N2736" i="58"/>
  <c r="N2388" i="58"/>
  <c r="N2401" i="58"/>
  <c r="N2069" i="58"/>
  <c r="N2086" i="58"/>
  <c r="N2264" i="58"/>
  <c r="N2266" i="58"/>
  <c r="N2268" i="58"/>
  <c r="N2289" i="58"/>
  <c r="N2352" i="58"/>
  <c r="N2379" i="58"/>
  <c r="N2383" i="58"/>
  <c r="N2417" i="58"/>
  <c r="N2477" i="58"/>
  <c r="N2525" i="58"/>
  <c r="N2540" i="58"/>
  <c r="N2542" i="58"/>
  <c r="N2638" i="58"/>
  <c r="N2748" i="58"/>
  <c r="N2767" i="58"/>
  <c r="N2769" i="58"/>
  <c r="N2790" i="58"/>
  <c r="N2819" i="58"/>
  <c r="N2822" i="58"/>
  <c r="N2907" i="58"/>
  <c r="N2930" i="58"/>
  <c r="N2223" i="58"/>
  <c r="N2411" i="58"/>
  <c r="N2446" i="58"/>
  <c r="N2843" i="58"/>
  <c r="N2050" i="58"/>
  <c r="N2126" i="58"/>
  <c r="N2135" i="58"/>
  <c r="N2188" i="58"/>
  <c r="M2354" i="58"/>
  <c r="N2398" i="58"/>
  <c r="N2518" i="58"/>
  <c r="N2731" i="58"/>
  <c r="N2801" i="58"/>
  <c r="N2039" i="58"/>
  <c r="N2096" i="58"/>
  <c r="N2175" i="58"/>
  <c r="N2203" i="58"/>
  <c r="N2245" i="58"/>
  <c r="N2249" i="58"/>
  <c r="N2253" i="58"/>
  <c r="N2615" i="58"/>
  <c r="N2684" i="58"/>
  <c r="N2756" i="58"/>
  <c r="N2913" i="58"/>
  <c r="N2941" i="58"/>
  <c r="N2943" i="58"/>
  <c r="N2945" i="58"/>
  <c r="N2949" i="58"/>
  <c r="N2951" i="58"/>
  <c r="N2954" i="58"/>
  <c r="N2956" i="58"/>
  <c r="N1863" i="58"/>
  <c r="N1902" i="58"/>
  <c r="N1956" i="58"/>
  <c r="N2045" i="58"/>
  <c r="N2108" i="58"/>
  <c r="N2130" i="58"/>
  <c r="N2147" i="58"/>
  <c r="N2181" i="58"/>
  <c r="N2294" i="58"/>
  <c r="M2357" i="58"/>
  <c r="N2451" i="58"/>
  <c r="N2463" i="58"/>
  <c r="N2493" i="58"/>
  <c r="N2509" i="58"/>
  <c r="N2511" i="58"/>
  <c r="N2621" i="58"/>
  <c r="N2629" i="58"/>
  <c r="N2663" i="58"/>
  <c r="N2711" i="58"/>
  <c r="N2773" i="58"/>
  <c r="N2775" i="58"/>
  <c r="N2781" i="58"/>
  <c r="N2787" i="58"/>
  <c r="N2862" i="58"/>
  <c r="N1984" i="58"/>
  <c r="N2064" i="58"/>
  <c r="N2162" i="58"/>
  <c r="N2196" i="58"/>
  <c r="N2217" i="58"/>
  <c r="N2261" i="58"/>
  <c r="N2288" i="58"/>
  <c r="N2298" i="58"/>
  <c r="N2346" i="58"/>
  <c r="N2351" i="58"/>
  <c r="N2353" i="58"/>
  <c r="N2395" i="58"/>
  <c r="N2502" i="58"/>
  <c r="N2543" i="58"/>
  <c r="N2545" i="58"/>
  <c r="N2549" i="58"/>
  <c r="N2637" i="58"/>
  <c r="N2654" i="58"/>
  <c r="N2667" i="58"/>
  <c r="N2708" i="58"/>
  <c r="N2730" i="58"/>
  <c r="N2747" i="58"/>
  <c r="N2753" i="58"/>
  <c r="N2823" i="58"/>
  <c r="N2872" i="58"/>
  <c r="N2899" i="58"/>
  <c r="N2902" i="58"/>
  <c r="N2168" i="58"/>
  <c r="N2283" i="58"/>
  <c r="N2302" i="58"/>
  <c r="N2311" i="58"/>
  <c r="N2333" i="58"/>
  <c r="M2353" i="58"/>
  <c r="N2559" i="58"/>
  <c r="N2565" i="58"/>
  <c r="N2614" i="58"/>
  <c r="N2618" i="58"/>
  <c r="N2093" i="58"/>
  <c r="N2136" i="58"/>
  <c r="N2138" i="58"/>
  <c r="N2153" i="58"/>
  <c r="N2180" i="58"/>
  <c r="N2189" i="58"/>
  <c r="N2200" i="58"/>
  <c r="M2361" i="58"/>
  <c r="N2372" i="58"/>
  <c r="N2438" i="58"/>
  <c r="N2467" i="58"/>
  <c r="N2519" i="58"/>
  <c r="N2534" i="58"/>
  <c r="N2555" i="58"/>
  <c r="N2557" i="58"/>
  <c r="N2757" i="58"/>
  <c r="N2880" i="58"/>
  <c r="N2888" i="58"/>
  <c r="N2908" i="58"/>
  <c r="N2935" i="58"/>
  <c r="N1929" i="58"/>
  <c r="N2350" i="58"/>
  <c r="M2350" i="58"/>
  <c r="N2755" i="58"/>
  <c r="N2939" i="58"/>
  <c r="N1444" i="58"/>
  <c r="N1673" i="58"/>
  <c r="N1741" i="58"/>
  <c r="N1769" i="58"/>
  <c r="N1809" i="58"/>
  <c r="N1826" i="58"/>
  <c r="N1880" i="58"/>
  <c r="N1882" i="58"/>
  <c r="N1968" i="58"/>
  <c r="N1725" i="58"/>
  <c r="N1498" i="58"/>
  <c r="N1856" i="58"/>
  <c r="N1451" i="58"/>
  <c r="N1471" i="58"/>
  <c r="N1507" i="58"/>
  <c r="N1535" i="58"/>
  <c r="N1537" i="58"/>
  <c r="N1550" i="58"/>
  <c r="N1563" i="58"/>
  <c r="N1617" i="58"/>
  <c r="N1632" i="58"/>
  <c r="N1668" i="58"/>
  <c r="N1677" i="58"/>
  <c r="N1679" i="58"/>
  <c r="N1688" i="58"/>
  <c r="N1715" i="58"/>
  <c r="N1729" i="58"/>
  <c r="N1736" i="58"/>
  <c r="N1757" i="58"/>
  <c r="N1803" i="58"/>
  <c r="N1806" i="58"/>
  <c r="N1811" i="58"/>
  <c r="N1831" i="58"/>
  <c r="N1844" i="58"/>
  <c r="N1851" i="58"/>
  <c r="N1918" i="58"/>
  <c r="N1951" i="58"/>
  <c r="N1973" i="58"/>
  <c r="N1993" i="58"/>
  <c r="N2085" i="58"/>
  <c r="N2098" i="58"/>
  <c r="N2187" i="58"/>
  <c r="N2299" i="58"/>
  <c r="N1713" i="58"/>
  <c r="N1764" i="58"/>
  <c r="N1445" i="58"/>
  <c r="N1449" i="58"/>
  <c r="N1454" i="58"/>
  <c r="N1470" i="58"/>
  <c r="N1478" i="58"/>
  <c r="N1509" i="58"/>
  <c r="N1511" i="58"/>
  <c r="N1539" i="58"/>
  <c r="N1578" i="58"/>
  <c r="N1649" i="58"/>
  <c r="N1731" i="58"/>
  <c r="N1738" i="58"/>
  <c r="N1752" i="58"/>
  <c r="N1791" i="58"/>
  <c r="N1957" i="58"/>
  <c r="N1962" i="58"/>
  <c r="N2068" i="58"/>
  <c r="N2174" i="58"/>
  <c r="N2750" i="58"/>
  <c r="N1500" i="58"/>
  <c r="N1504" i="58"/>
  <c r="N2077" i="58"/>
  <c r="N2628" i="58"/>
  <c r="N1464" i="58"/>
  <c r="N1473" i="58"/>
  <c r="N1481" i="58"/>
  <c r="N1483" i="58"/>
  <c r="N1554" i="58"/>
  <c r="N1567" i="58"/>
  <c r="N1580" i="58"/>
  <c r="N1595" i="58"/>
  <c r="N1608" i="58"/>
  <c r="N1670" i="58"/>
  <c r="N1692" i="58"/>
  <c r="N1703" i="58"/>
  <c r="N1717" i="58"/>
  <c r="N1724" i="58"/>
  <c r="N1745" i="58"/>
  <c r="N1793" i="58"/>
  <c r="N1818" i="58"/>
  <c r="N1828" i="58"/>
  <c r="N1904" i="58"/>
  <c r="N2070" i="58"/>
  <c r="N2176" i="58"/>
  <c r="N2457" i="58"/>
  <c r="N1672" i="58"/>
  <c r="N1740" i="58"/>
  <c r="N1761" i="58"/>
  <c r="N1804" i="58"/>
  <c r="N1906" i="58"/>
  <c r="N1959" i="58"/>
  <c r="N1666" i="58"/>
  <c r="N1625" i="58"/>
  <c r="N1705" i="58"/>
  <c r="N1733" i="58"/>
  <c r="N1686" i="58"/>
  <c r="N1466" i="58"/>
  <c r="N1440" i="58"/>
  <c r="N1455" i="58"/>
  <c r="N1475" i="58"/>
  <c r="N1479" i="58"/>
  <c r="N1497" i="58"/>
  <c r="N1501" i="58"/>
  <c r="N1547" i="58"/>
  <c r="N1562" i="58"/>
  <c r="N1575" i="58"/>
  <c r="N1601" i="58"/>
  <c r="N1616" i="58"/>
  <c r="N1676" i="58"/>
  <c r="N1687" i="58"/>
  <c r="N1698" i="58"/>
  <c r="N1707" i="58"/>
  <c r="N1714" i="58"/>
  <c r="N1728" i="58"/>
  <c r="N1749" i="58"/>
  <c r="N1788" i="58"/>
  <c r="N1820" i="58"/>
  <c r="N1827" i="58"/>
  <c r="N1855" i="58"/>
  <c r="N1892" i="58"/>
  <c r="N1969" i="58"/>
  <c r="N1977" i="58"/>
  <c r="N2114" i="58"/>
  <c r="N2127" i="58"/>
  <c r="N2167" i="58"/>
  <c r="N2232" i="58"/>
  <c r="N1456" i="58"/>
  <c r="N1493" i="58"/>
  <c r="N1437" i="58"/>
  <c r="N1453" i="58"/>
  <c r="N1465" i="58"/>
  <c r="N1474" i="58"/>
  <c r="N1482" i="58"/>
  <c r="N1506" i="58"/>
  <c r="N1521" i="58"/>
  <c r="N1523" i="58"/>
  <c r="N1648" i="58"/>
  <c r="N1678" i="58"/>
  <c r="N1700" i="58"/>
  <c r="N1721" i="58"/>
  <c r="N1751" i="58"/>
  <c r="N1790" i="58"/>
  <c r="N1885" i="58"/>
  <c r="N1948" i="58"/>
  <c r="N1971" i="58"/>
  <c r="N1981" i="58"/>
  <c r="N2116" i="58"/>
  <c r="N2240" i="58"/>
  <c r="N2244" i="58"/>
  <c r="N2248" i="58"/>
  <c r="N1743" i="58"/>
  <c r="N2081" i="58"/>
  <c r="N1468" i="58"/>
  <c r="N1477" i="58"/>
  <c r="N1490" i="58"/>
  <c r="N1508" i="58"/>
  <c r="N1566" i="58"/>
  <c r="N1594" i="58"/>
  <c r="N1633" i="58"/>
  <c r="N1680" i="58"/>
  <c r="N1716" i="58"/>
  <c r="N1737" i="58"/>
  <c r="N1762" i="58"/>
  <c r="N1774" i="58"/>
  <c r="N1854" i="58"/>
  <c r="N1859" i="58"/>
  <c r="N1866" i="58"/>
  <c r="N2199" i="58"/>
  <c r="N1704" i="58"/>
  <c r="N1824" i="58"/>
  <c r="N1467" i="58"/>
  <c r="N1494" i="58"/>
  <c r="N2723" i="58"/>
  <c r="N2066" i="58"/>
  <c r="N2112" i="58"/>
  <c r="N2128" i="58"/>
  <c r="N2164" i="58"/>
  <c r="N2209" i="58"/>
  <c r="N2403" i="58"/>
  <c r="N2198" i="58"/>
  <c r="N2469" i="58"/>
  <c r="N2480" i="58"/>
  <c r="N2515" i="58"/>
  <c r="N2537" i="58"/>
  <c r="N2847" i="58"/>
  <c r="N2919" i="58"/>
  <c r="N2281" i="58"/>
  <c r="N2336" i="58"/>
  <c r="N1711" i="58"/>
  <c r="N1723" i="58"/>
  <c r="N1735" i="58"/>
  <c r="N1747" i="58"/>
  <c r="N1759" i="58"/>
  <c r="N1771" i="58"/>
  <c r="N1843" i="58"/>
  <c r="N1850" i="58"/>
  <c r="N1884" i="58"/>
  <c r="N1898" i="58"/>
  <c r="N2052" i="58"/>
  <c r="N2065" i="58"/>
  <c r="N2076" i="58"/>
  <c r="N2089" i="58"/>
  <c r="N2100" i="58"/>
  <c r="N2111" i="58"/>
  <c r="N2166" i="58"/>
  <c r="N2220" i="58"/>
  <c r="N2329" i="58"/>
  <c r="N2387" i="58"/>
  <c r="N2758" i="58"/>
  <c r="N2798" i="58"/>
  <c r="N2818" i="58"/>
  <c r="N1641" i="58"/>
  <c r="N1667" i="58"/>
  <c r="N1674" i="58"/>
  <c r="N1683" i="58"/>
  <c r="N1690" i="58"/>
  <c r="N1699" i="58"/>
  <c r="N1706" i="58"/>
  <c r="N1718" i="58"/>
  <c r="N1730" i="58"/>
  <c r="N1742" i="58"/>
  <c r="N1795" i="58"/>
  <c r="N1799" i="58"/>
  <c r="N1808" i="58"/>
  <c r="N1821" i="58"/>
  <c r="N1832" i="58"/>
  <c r="N1891" i="58"/>
  <c r="N1894" i="58"/>
  <c r="N1950" i="58"/>
  <c r="N2054" i="58"/>
  <c r="N2102" i="58"/>
  <c r="N2151" i="58"/>
  <c r="N2161" i="58"/>
  <c r="N2182" i="58"/>
  <c r="N2190" i="58"/>
  <c r="N2208" i="58"/>
  <c r="N2317" i="58"/>
  <c r="N2326" i="58"/>
  <c r="N2056" i="58"/>
  <c r="N2080" i="58"/>
  <c r="N2104" i="58"/>
  <c r="N2122" i="58"/>
  <c r="N2134" i="58"/>
  <c r="N2146" i="58"/>
  <c r="N2160" i="58"/>
  <c r="N2255" i="58"/>
  <c r="N2362" i="58"/>
  <c r="M2362" i="58"/>
  <c r="N1708" i="58"/>
  <c r="N1720" i="58"/>
  <c r="N1732" i="58"/>
  <c r="N1744" i="58"/>
  <c r="N1746" i="58"/>
  <c r="N1756" i="58"/>
  <c r="N1758" i="58"/>
  <c r="N1770" i="58"/>
  <c r="N2036" i="58"/>
  <c r="N2082" i="58"/>
  <c r="N2129" i="58"/>
  <c r="N2163" i="58"/>
  <c r="N2172" i="58"/>
  <c r="N2251" i="58"/>
  <c r="N2487" i="58"/>
  <c r="N2492" i="58"/>
  <c r="N2510" i="58"/>
  <c r="N2561" i="58"/>
  <c r="N2581" i="58"/>
  <c r="N2676" i="58"/>
  <c r="N2704" i="58"/>
  <c r="N2713" i="58"/>
  <c r="N2725" i="58"/>
  <c r="N2735" i="58"/>
  <c r="N2744" i="58"/>
  <c r="N2776" i="58"/>
  <c r="N2811" i="58"/>
  <c r="N2828" i="58"/>
  <c r="N2883" i="58"/>
  <c r="N2896" i="58"/>
  <c r="N2910" i="58"/>
  <c r="N2932" i="58"/>
  <c r="N2257" i="58"/>
  <c r="N2270" i="58"/>
  <c r="N2272" i="58"/>
  <c r="N2292" i="58"/>
  <c r="N2301" i="58"/>
  <c r="N2357" i="58"/>
  <c r="N2402" i="58"/>
  <c r="N2413" i="58"/>
  <c r="N2436" i="58"/>
  <c r="N2530" i="58"/>
  <c r="N2548" i="58"/>
  <c r="N2625" i="58"/>
  <c r="N2653" i="58"/>
  <c r="N2699" i="58"/>
  <c r="N2701" i="58"/>
  <c r="N2706" i="58"/>
  <c r="N2742" i="58"/>
  <c r="N2752" i="58"/>
  <c r="N2760" i="58"/>
  <c r="N2887" i="58"/>
  <c r="N2912" i="58"/>
  <c r="N2934" i="58"/>
  <c r="N2942" i="58"/>
  <c r="N2944" i="58"/>
  <c r="N2367" i="58"/>
  <c r="N2522" i="58"/>
  <c r="N2567" i="58"/>
  <c r="N2604" i="58"/>
  <c r="N2660" i="58"/>
  <c r="N2671" i="58"/>
  <c r="N2678" i="58"/>
  <c r="N2732" i="58"/>
  <c r="N2770" i="58"/>
  <c r="N2778" i="58"/>
  <c r="N2784" i="58"/>
  <c r="N2792" i="58"/>
  <c r="N2891" i="58"/>
  <c r="N2914" i="58"/>
  <c r="N2239" i="58"/>
  <c r="N2285" i="58"/>
  <c r="N2305" i="58"/>
  <c r="N2328" i="58"/>
  <c r="M2347" i="58"/>
  <c r="N2407" i="58"/>
  <c r="N2415" i="58"/>
  <c r="N2459" i="58"/>
  <c r="N2541" i="58"/>
  <c r="N2609" i="58"/>
  <c r="N2622" i="58"/>
  <c r="N2641" i="58"/>
  <c r="N2722" i="58"/>
  <c r="N2813" i="58"/>
  <c r="N2830" i="58"/>
  <c r="N2855" i="58"/>
  <c r="N2876" i="58"/>
  <c r="N2916" i="58"/>
  <c r="N2938" i="58"/>
  <c r="N2946" i="58"/>
  <c r="N2235" i="58"/>
  <c r="N2237" i="58"/>
  <c r="N2250" i="58"/>
  <c r="N2265" i="58"/>
  <c r="N2276" i="58"/>
  <c r="N2282" i="58"/>
  <c r="N2361" i="58"/>
  <c r="N2386" i="58"/>
  <c r="N2394" i="58"/>
  <c r="N2461" i="58"/>
  <c r="N2514" i="58"/>
  <c r="N2516" i="58"/>
  <c r="N2527" i="58"/>
  <c r="N2593" i="58"/>
  <c r="N2657" i="58"/>
  <c r="N2680" i="58"/>
  <c r="N2710" i="58"/>
  <c r="N2715" i="58"/>
  <c r="N2727" i="58"/>
  <c r="N2734" i="58"/>
  <c r="N2754" i="58"/>
  <c r="N2800" i="58"/>
  <c r="N2817" i="58"/>
  <c r="N2918" i="58"/>
  <c r="N2929" i="58"/>
  <c r="N2958" i="58"/>
  <c r="N2271" i="58"/>
  <c r="N2376" i="58"/>
  <c r="N2434" i="58"/>
  <c r="N2506" i="58"/>
  <c r="N2547" i="58"/>
  <c r="N2791" i="58"/>
  <c r="N2834" i="58"/>
  <c r="N2846" i="58"/>
  <c r="N2867" i="58"/>
  <c r="N2895" i="58"/>
  <c r="N2920" i="58"/>
  <c r="N2940" i="58"/>
  <c r="N2950" i="58"/>
  <c r="N2960" i="58"/>
  <c r="N2241" i="58"/>
  <c r="N2254" i="58"/>
  <c r="N2256" i="58"/>
  <c r="N2267" i="58"/>
  <c r="N2269" i="58"/>
  <c r="N2280" i="58"/>
  <c r="N2307" i="58"/>
  <c r="N2309" i="58"/>
  <c r="N2330" i="58"/>
  <c r="N2335" i="58"/>
  <c r="M2348" i="58"/>
  <c r="M2360" i="58"/>
  <c r="N2363" i="58"/>
  <c r="N2366" i="58"/>
  <c r="N2369" i="58"/>
  <c r="N2412" i="58"/>
  <c r="N2444" i="58"/>
  <c r="N2481" i="58"/>
  <c r="N2529" i="58"/>
  <c r="N2536" i="58"/>
  <c r="N2560" i="58"/>
  <c r="N2562" i="58"/>
  <c r="N2613" i="58"/>
  <c r="N2645" i="58"/>
  <c r="N2659" i="58"/>
  <c r="N2691" i="58"/>
  <c r="N2705" i="58"/>
  <c r="N2712" i="58"/>
  <c r="N2724" i="58"/>
  <c r="N2761" i="58"/>
  <c r="N2780" i="58"/>
  <c r="N2286" i="58"/>
  <c r="N2306" i="58"/>
  <c r="N2324" i="58"/>
  <c r="N2380" i="58"/>
  <c r="N2423" i="58"/>
  <c r="N2508" i="58"/>
  <c r="N2579" i="58"/>
  <c r="N2592" i="58"/>
  <c r="N2610" i="58"/>
  <c r="N2771" i="58"/>
  <c r="N2962" i="58"/>
  <c r="N2260" i="58"/>
  <c r="N2273" i="58"/>
  <c r="N2284" i="58"/>
  <c r="N2293" i="58"/>
  <c r="N2295" i="58"/>
  <c r="N2337" i="58"/>
  <c r="M2351" i="58"/>
  <c r="M2363" i="58"/>
  <c r="N2373" i="58"/>
  <c r="N2414" i="58"/>
  <c r="N2498" i="58"/>
  <c r="N2503" i="58"/>
  <c r="N2521" i="58"/>
  <c r="N2553" i="58"/>
  <c r="N2617" i="58"/>
  <c r="N2633" i="58"/>
  <c r="N2714" i="58"/>
  <c r="N2716" i="58"/>
  <c r="N2719" i="58"/>
  <c r="N2726" i="58"/>
  <c r="N2728" i="58"/>
  <c r="N2904" i="58"/>
  <c r="N2924" i="58"/>
  <c r="N2953" i="58"/>
  <c r="N2520" i="58"/>
  <c r="N2596" i="58"/>
  <c r="N2763" i="58"/>
  <c r="N2850" i="58"/>
  <c r="N2906" i="58"/>
  <c r="N2915" i="58"/>
  <c r="N2947" i="58"/>
  <c r="N2026" i="58"/>
  <c r="N2125" i="58"/>
  <c r="N2204" i="58"/>
  <c r="N2505" i="58"/>
  <c r="N2533" i="58"/>
  <c r="N1776" i="58"/>
  <c r="N1783" i="58"/>
  <c r="N1541" i="58"/>
  <c r="N1553" i="58"/>
  <c r="N1565" i="58"/>
  <c r="N1577" i="58"/>
  <c r="N1598" i="58"/>
  <c r="N1612" i="58"/>
  <c r="N1628" i="58"/>
  <c r="N1644" i="58"/>
  <c r="N1660" i="58"/>
  <c r="N1589" i="58"/>
  <c r="N2019" i="58"/>
  <c r="N1480" i="58"/>
  <c r="N1491" i="58"/>
  <c r="N1503" i="58"/>
  <c r="N1548" i="58"/>
  <c r="N1560" i="58"/>
  <c r="N1572" i="58"/>
  <c r="N1584" i="58"/>
  <c r="N1787" i="58"/>
  <c r="N1596" i="58"/>
  <c r="N1516" i="58"/>
  <c r="N1524" i="58"/>
  <c r="N1538" i="58"/>
  <c r="N1591" i="58"/>
  <c r="N1593" i="58"/>
  <c r="N1605" i="58"/>
  <c r="N1607" i="58"/>
  <c r="N1614" i="58"/>
  <c r="N1621" i="58"/>
  <c r="N1623" i="58"/>
  <c r="N1630" i="58"/>
  <c r="N1637" i="58"/>
  <c r="N1639" i="58"/>
  <c r="N1646" i="58"/>
  <c r="N1653" i="58"/>
  <c r="N1655" i="58"/>
  <c r="N1797" i="58"/>
  <c r="N1529" i="58"/>
  <c r="N1603" i="58"/>
  <c r="N1642" i="58"/>
  <c r="N1651" i="58"/>
  <c r="N2737" i="58"/>
  <c r="N1789" i="58"/>
  <c r="N1658" i="58"/>
  <c r="N2279" i="58"/>
  <c r="N1476" i="58"/>
  <c r="N1545" i="58"/>
  <c r="N1557" i="58"/>
  <c r="N1569" i="58"/>
  <c r="N1581" i="58"/>
  <c r="N1784" i="58"/>
  <c r="N1522" i="58"/>
  <c r="N1619" i="58"/>
  <c r="N1626" i="58"/>
  <c r="N1487" i="58"/>
  <c r="N1499" i="58"/>
  <c r="N1510" i="58"/>
  <c r="N1518" i="58"/>
  <c r="N1526" i="58"/>
  <c r="N1532" i="58"/>
  <c r="N1540" i="58"/>
  <c r="N1552" i="58"/>
  <c r="N1564" i="58"/>
  <c r="N1576" i="58"/>
  <c r="N1588" i="58"/>
  <c r="N1597" i="58"/>
  <c r="N1602" i="58"/>
  <c r="N1611" i="58"/>
  <c r="N1618" i="58"/>
  <c r="N1627" i="58"/>
  <c r="N1634" i="58"/>
  <c r="N1643" i="58"/>
  <c r="N1650" i="58"/>
  <c r="N1659" i="58"/>
  <c r="N1514" i="58"/>
  <c r="N1610" i="58"/>
  <c r="N1635" i="58"/>
  <c r="N2898" i="58"/>
  <c r="N1590" i="58"/>
  <c r="N1604" i="58"/>
  <c r="N1620" i="58"/>
  <c r="N1636" i="58"/>
  <c r="N1652" i="58"/>
  <c r="N1871" i="58"/>
  <c r="N1559" i="58"/>
  <c r="N1571" i="58"/>
  <c r="N1583" i="58"/>
  <c r="N1536" i="58"/>
  <c r="N1512" i="58"/>
  <c r="N1520" i="58"/>
  <c r="N1528" i="58"/>
  <c r="N1534" i="58"/>
  <c r="N1549" i="58"/>
  <c r="N1561" i="58"/>
  <c r="N1573" i="58"/>
  <c r="N1585" i="58"/>
  <c r="N1592" i="58"/>
  <c r="N1599" i="58"/>
  <c r="N1606" i="58"/>
  <c r="N1613" i="58"/>
  <c r="N1615" i="58"/>
  <c r="N1622" i="58"/>
  <c r="N1629" i="58"/>
  <c r="N1631" i="58"/>
  <c r="N1638" i="58"/>
  <c r="N1645" i="58"/>
  <c r="N1647" i="58"/>
  <c r="N1654" i="58"/>
  <c r="N1661" i="58"/>
  <c r="N1798" i="58"/>
  <c r="N1838" i="58"/>
  <c r="N2017" i="58"/>
  <c r="N2063" i="58"/>
  <c r="N1943" i="58"/>
  <c r="N2008" i="58"/>
  <c r="N1780" i="58"/>
  <c r="N1786" i="58"/>
  <c r="N1794" i="58"/>
  <c r="N1908" i="58"/>
  <c r="N1919" i="58"/>
  <c r="N1931" i="58"/>
  <c r="N1952" i="58"/>
  <c r="N1966" i="58"/>
  <c r="N2010" i="58"/>
  <c r="N1810" i="58"/>
  <c r="N1822" i="58"/>
  <c r="N1834" i="58"/>
  <c r="N1886" i="58"/>
  <c r="N2001" i="58"/>
  <c r="N2047" i="58"/>
  <c r="N2095" i="58"/>
  <c r="N1813" i="58"/>
  <c r="N1883" i="58"/>
  <c r="N1888" i="58"/>
  <c r="N1893" i="58"/>
  <c r="N2003" i="58"/>
  <c r="N1782" i="58"/>
  <c r="N1792" i="58"/>
  <c r="N1796" i="58"/>
  <c r="N1895" i="58"/>
  <c r="N1958" i="58"/>
  <c r="N1949" i="58"/>
  <c r="N1963" i="58"/>
  <c r="N1830" i="58"/>
  <c r="N1842" i="58"/>
  <c r="N1877" i="58"/>
  <c r="N1937" i="58"/>
  <c r="N2033" i="58"/>
  <c r="N2079" i="58"/>
  <c r="N2133" i="58"/>
  <c r="N1914" i="58"/>
  <c r="N1925" i="58"/>
  <c r="N2035" i="58"/>
  <c r="N1899" i="58"/>
  <c r="N2024" i="58"/>
  <c r="N1881" i="58"/>
  <c r="N1905" i="58"/>
  <c r="N1911" i="58"/>
  <c r="N1917" i="58"/>
  <c r="N1922" i="58"/>
  <c r="N1928" i="58"/>
  <c r="N1934" i="58"/>
  <c r="N1940" i="58"/>
  <c r="N1946" i="58"/>
  <c r="N1978" i="58"/>
  <c r="N1996" i="58"/>
  <c r="N2012" i="58"/>
  <c r="N2028" i="58"/>
  <c r="N2042" i="58"/>
  <c r="N2058" i="58"/>
  <c r="N2074" i="58"/>
  <c r="N2090" i="58"/>
  <c r="N2106" i="58"/>
  <c r="N2140" i="58"/>
  <c r="N2210" i="58"/>
  <c r="N2231" i="58"/>
  <c r="N2319" i="58"/>
  <c r="N1960" i="58"/>
  <c r="N1972" i="58"/>
  <c r="N1975" i="58"/>
  <c r="N1986" i="58"/>
  <c r="N1991" i="58"/>
  <c r="N2005" i="58"/>
  <c r="N2021" i="58"/>
  <c r="N2037" i="58"/>
  <c r="N2051" i="58"/>
  <c r="N2067" i="58"/>
  <c r="N2083" i="58"/>
  <c r="N2099" i="58"/>
  <c r="N2113" i="58"/>
  <c r="N2120" i="58"/>
  <c r="N2145" i="58"/>
  <c r="N2186" i="58"/>
  <c r="N2212" i="58"/>
  <c r="N2233" i="58"/>
  <c r="N2338" i="58"/>
  <c r="N1901" i="58"/>
  <c r="N1954" i="58"/>
  <c r="N1998" i="58"/>
  <c r="N2007" i="58"/>
  <c r="N2014" i="58"/>
  <c r="N2023" i="58"/>
  <c r="N2030" i="58"/>
  <c r="N2044" i="58"/>
  <c r="N2132" i="58"/>
  <c r="N2165" i="58"/>
  <c r="N2179" i="58"/>
  <c r="N2263" i="58"/>
  <c r="N2303" i="58"/>
  <c r="N2314" i="58"/>
  <c r="N1980" i="58"/>
  <c r="N1988" i="58"/>
  <c r="N2000" i="58"/>
  <c r="N2016" i="58"/>
  <c r="N2032" i="58"/>
  <c r="N2046" i="58"/>
  <c r="N2062" i="58"/>
  <c r="N2078" i="58"/>
  <c r="N2094" i="58"/>
  <c r="N2110" i="58"/>
  <c r="N2137" i="58"/>
  <c r="N2152" i="58"/>
  <c r="N2197" i="58"/>
  <c r="N1897" i="58"/>
  <c r="N1907" i="58"/>
  <c r="N1913" i="58"/>
  <c r="N1924" i="58"/>
  <c r="N1930" i="58"/>
  <c r="N1936" i="58"/>
  <c r="N1965" i="58"/>
  <c r="N2009" i="58"/>
  <c r="N2025" i="58"/>
  <c r="N2041" i="58"/>
  <c r="N2055" i="58"/>
  <c r="N2071" i="58"/>
  <c r="N2087" i="58"/>
  <c r="N2103" i="58"/>
  <c r="N2157" i="58"/>
  <c r="N1974" i="58"/>
  <c r="N1995" i="58"/>
  <c r="N2002" i="58"/>
  <c r="N2011" i="58"/>
  <c r="N2018" i="58"/>
  <c r="N2027" i="58"/>
  <c r="N2034" i="58"/>
  <c r="N2124" i="58"/>
  <c r="N2144" i="58"/>
  <c r="N2004" i="58"/>
  <c r="N2020" i="58"/>
  <c r="N2149" i="58"/>
  <c r="N2291" i="58"/>
  <c r="N1953" i="58"/>
  <c r="N1982" i="58"/>
  <c r="N1997" i="58"/>
  <c r="N2013" i="58"/>
  <c r="N2029" i="58"/>
  <c r="N2043" i="58"/>
  <c r="N2059" i="58"/>
  <c r="N2075" i="58"/>
  <c r="N2091" i="58"/>
  <c r="N2107" i="58"/>
  <c r="N2169" i="58"/>
  <c r="N2215" i="58"/>
  <c r="N2247" i="58"/>
  <c r="N1889" i="58"/>
  <c r="N1909" i="58"/>
  <c r="N1915" i="58"/>
  <c r="N1920" i="58"/>
  <c r="N1926" i="58"/>
  <c r="N1932" i="58"/>
  <c r="N1938" i="58"/>
  <c r="N1944" i="58"/>
  <c r="N1964" i="58"/>
  <c r="N1976" i="58"/>
  <c r="N1979" i="58"/>
  <c r="N1987" i="58"/>
  <c r="N1992" i="58"/>
  <c r="N1999" i="58"/>
  <c r="N2006" i="58"/>
  <c r="N2015" i="58"/>
  <c r="N2022" i="58"/>
  <c r="N2031" i="58"/>
  <c r="N2038" i="58"/>
  <c r="N2121" i="58"/>
  <c r="N2141" i="58"/>
  <c r="N2156" i="58"/>
  <c r="N2296" i="58"/>
  <c r="N2312" i="58"/>
  <c r="N2321" i="58"/>
  <c r="N2343" i="58"/>
  <c r="N2390" i="58"/>
  <c r="N2221" i="58"/>
  <c r="N2226" i="58"/>
  <c r="N2242" i="58"/>
  <c r="N2258" i="58"/>
  <c r="N2274" i="58"/>
  <c r="N2497" i="58"/>
  <c r="N2228" i="58"/>
  <c r="N2300" i="58"/>
  <c r="N2364" i="58"/>
  <c r="M2364" i="58"/>
  <c r="N2405" i="58"/>
  <c r="N2214" i="58"/>
  <c r="N2219" i="58"/>
  <c r="N2325" i="58"/>
  <c r="N2347" i="58"/>
  <c r="M2359" i="58"/>
  <c r="N2359" i="58"/>
  <c r="N2410" i="58"/>
  <c r="N2178" i="58"/>
  <c r="N2206" i="58"/>
  <c r="N2230" i="58"/>
  <c r="N2246" i="58"/>
  <c r="N2262" i="58"/>
  <c r="N2381" i="58"/>
  <c r="N2211" i="58"/>
  <c r="N2278" i="58"/>
  <c r="N2304" i="58"/>
  <c r="N2320" i="58"/>
  <c r="N2342" i="58"/>
  <c r="N2225" i="58"/>
  <c r="N2356" i="58"/>
  <c r="M2356" i="58"/>
  <c r="N2378" i="58"/>
  <c r="N2432" i="58"/>
  <c r="N2234" i="58"/>
  <c r="N2371" i="58"/>
  <c r="N2442" i="58"/>
  <c r="N2205" i="58"/>
  <c r="N2213" i="58"/>
  <c r="N2218" i="58"/>
  <c r="N2222" i="58"/>
  <c r="N2227" i="58"/>
  <c r="N2243" i="58"/>
  <c r="N2259" i="58"/>
  <c r="N2308" i="58"/>
  <c r="N2202" i="58"/>
  <c r="N2229" i="58"/>
  <c r="N2275" i="58"/>
  <c r="N2287" i="58"/>
  <c r="N2334" i="58"/>
  <c r="N2393" i="58"/>
  <c r="N2331" i="58"/>
  <c r="N2473" i="58"/>
  <c r="N2598" i="58"/>
  <c r="N2370" i="58"/>
  <c r="N2327" i="58"/>
  <c r="N2349" i="58"/>
  <c r="N2404" i="58"/>
  <c r="N2453" i="58"/>
  <c r="M2349" i="58"/>
  <c r="M2352" i="58"/>
  <c r="N2355" i="58"/>
  <c r="N2377" i="58"/>
  <c r="N2389" i="58"/>
  <c r="N2427" i="58"/>
  <c r="N2455" i="58"/>
  <c r="N2323" i="58"/>
  <c r="N2345" i="58"/>
  <c r="N2360" i="58"/>
  <c r="N2465" i="58"/>
  <c r="N2491" i="58"/>
  <c r="N2397" i="58"/>
  <c r="N2476" i="58"/>
  <c r="N2385" i="58"/>
  <c r="N2339" i="58"/>
  <c r="M2365" i="58"/>
  <c r="N2421" i="58"/>
  <c r="N2485" i="58"/>
  <c r="N2552" i="58"/>
  <c r="N2583" i="58"/>
  <c r="N2665" i="58"/>
  <c r="N2674" i="58"/>
  <c r="N2408" i="58"/>
  <c r="N2418" i="58"/>
  <c r="N2424" i="58"/>
  <c r="N2429" i="58"/>
  <c r="N2435" i="58"/>
  <c r="N2439" i="58"/>
  <c r="N2445" i="58"/>
  <c r="N2450" i="58"/>
  <c r="N2456" i="58"/>
  <c r="N2462" i="58"/>
  <c r="N2468" i="58"/>
  <c r="N2474" i="58"/>
  <c r="N2482" i="58"/>
  <c r="N2488" i="58"/>
  <c r="N2494" i="58"/>
  <c r="N2526" i="58"/>
  <c r="N2558" i="58"/>
  <c r="N2569" i="58"/>
  <c r="N2578" i="58"/>
  <c r="N2528" i="58"/>
  <c r="N2648" i="58"/>
  <c r="N2564" i="58"/>
  <c r="N2575" i="58"/>
  <c r="N2400" i="58"/>
  <c r="N2420" i="58"/>
  <c r="N2426" i="58"/>
  <c r="N2431" i="58"/>
  <c r="N2441" i="58"/>
  <c r="N2447" i="58"/>
  <c r="N2452" i="58"/>
  <c r="N2458" i="58"/>
  <c r="N2464" i="58"/>
  <c r="N2470" i="58"/>
  <c r="N2478" i="58"/>
  <c r="N2484" i="58"/>
  <c r="N2490" i="58"/>
  <c r="N2496" i="58"/>
  <c r="N2499" i="58"/>
  <c r="N2588" i="58"/>
  <c r="N2636" i="58"/>
  <c r="N2504" i="58"/>
  <c r="N2507" i="58"/>
  <c r="N2546" i="58"/>
  <c r="N2586" i="58"/>
  <c r="N2624" i="58"/>
  <c r="N2539" i="58"/>
  <c r="N2570" i="58"/>
  <c r="N2416" i="58"/>
  <c r="N2422" i="58"/>
  <c r="N2428" i="58"/>
  <c r="N2433" i="58"/>
  <c r="N2437" i="58"/>
  <c r="N2443" i="58"/>
  <c r="N2448" i="58"/>
  <c r="N2454" i="58"/>
  <c r="N2460" i="58"/>
  <c r="N2466" i="58"/>
  <c r="N2472" i="58"/>
  <c r="N2595" i="58"/>
  <c r="N2631" i="58"/>
  <c r="N2643" i="58"/>
  <c r="N2572" i="58"/>
  <c r="N2619" i="58"/>
  <c r="N2662" i="58"/>
  <c r="N2837" i="58"/>
  <c r="N2580" i="58"/>
  <c r="N2597" i="58"/>
  <c r="N2602" i="58"/>
  <c r="N2607" i="58"/>
  <c r="N2612" i="58"/>
  <c r="N2851" i="58"/>
  <c r="N2566" i="58"/>
  <c r="N2696" i="58"/>
  <c r="N2729" i="58"/>
  <c r="N2832" i="58"/>
  <c r="N2577" i="58"/>
  <c r="N2585" i="58"/>
  <c r="N2599" i="58"/>
  <c r="N2623" i="58"/>
  <c r="N2635" i="58"/>
  <c r="N2647" i="58"/>
  <c r="N2682" i="58"/>
  <c r="N2574" i="58"/>
  <c r="N2582" i="58"/>
  <c r="N2808" i="58"/>
  <c r="N2810" i="58"/>
  <c r="N2568" i="58"/>
  <c r="N2590" i="58"/>
  <c r="N2594" i="58"/>
  <c r="N2601" i="58"/>
  <c r="N2606" i="58"/>
  <c r="N2611" i="58"/>
  <c r="N2616" i="58"/>
  <c r="N2668" i="58"/>
  <c r="N2544" i="58"/>
  <c r="N2550" i="58"/>
  <c r="N2721" i="58"/>
  <c r="N2774" i="58"/>
  <c r="N2576" i="58"/>
  <c r="N2584" i="58"/>
  <c r="N2591" i="58"/>
  <c r="N2603" i="58"/>
  <c r="N2627" i="58"/>
  <c r="N2632" i="58"/>
  <c r="N2639" i="58"/>
  <c r="N2644" i="58"/>
  <c r="N2651" i="58"/>
  <c r="N2656" i="58"/>
  <c r="N2688" i="58"/>
  <c r="N2707" i="58"/>
  <c r="N2820" i="58"/>
  <c r="N2840" i="58"/>
  <c r="N2683" i="58"/>
  <c r="N2815" i="58"/>
  <c r="N2868" i="58"/>
  <c r="N2685" i="58"/>
  <c r="N2889" i="58"/>
  <c r="N2658" i="58"/>
  <c r="N2690" i="58"/>
  <c r="N2698" i="58"/>
  <c r="N2825" i="58"/>
  <c r="N2827" i="58"/>
  <c r="N2661" i="58"/>
  <c r="N2670" i="58"/>
  <c r="N2673" i="58"/>
  <c r="N2679" i="58"/>
  <c r="N2821" i="58"/>
  <c r="N2841" i="58"/>
  <c r="N2703" i="58"/>
  <c r="N2814" i="58"/>
  <c r="N2816" i="58"/>
  <c r="N2882" i="58"/>
  <c r="N2687" i="58"/>
  <c r="N2695" i="58"/>
  <c r="N2809" i="58"/>
  <c r="N2859" i="58"/>
  <c r="N2873" i="58"/>
  <c r="N2884" i="58"/>
  <c r="N2689" i="58"/>
  <c r="N2692" i="58"/>
  <c r="N2697" i="58"/>
  <c r="N2700" i="58"/>
  <c r="N2803" i="58"/>
  <c r="N2804" i="58"/>
  <c r="N2666" i="58"/>
  <c r="N2669" i="58"/>
  <c r="N2831" i="58"/>
  <c r="N2833" i="58"/>
  <c r="N2675" i="58"/>
  <c r="N2686" i="58"/>
  <c r="N2694" i="58"/>
  <c r="N2702" i="58"/>
  <c r="N2826" i="58"/>
  <c r="N2845" i="58"/>
  <c r="N2854" i="58"/>
  <c r="N2861" i="58"/>
  <c r="N2875" i="58"/>
  <c r="N2856" i="58"/>
  <c r="N2863" i="58"/>
  <c r="N2870" i="58"/>
  <c r="N2877" i="58"/>
  <c r="N2886" i="58"/>
  <c r="N2893" i="58"/>
  <c r="N2901" i="58"/>
  <c r="N2917" i="58"/>
  <c r="N2933" i="58"/>
  <c r="N2948" i="58"/>
  <c r="N2853" i="58"/>
  <c r="N2848" i="58"/>
  <c r="N2857" i="58"/>
  <c r="N2865" i="58"/>
  <c r="N2842" i="58"/>
  <c r="N2874" i="58"/>
  <c r="N2881" i="58"/>
  <c r="N2890" i="58"/>
  <c r="N2897" i="58"/>
  <c r="N2905" i="58"/>
  <c r="N2921" i="58"/>
  <c r="N2937" i="58"/>
  <c r="N2952" i="58"/>
  <c r="N2836" i="58"/>
  <c r="N2869" i="58"/>
  <c r="N2878" i="58"/>
  <c r="N2885" i="58"/>
  <c r="N2894" i="58"/>
  <c r="N2900" i="58"/>
  <c r="N2909" i="58"/>
  <c r="N2925" i="58"/>
  <c r="N2844" i="58"/>
  <c r="N2852" i="58"/>
  <c r="N2860" i="58"/>
  <c r="N2871" i="58"/>
  <c r="N2838" i="58"/>
  <c r="N2849" i="58"/>
  <c r="N2864" i="58"/>
  <c r="N2866" i="58"/>
  <c r="N5526" i="58" l="1"/>
  <c r="N5454" i="58"/>
  <c r="N5621" i="58"/>
  <c r="N5610" i="58"/>
  <c r="N5611" i="58"/>
  <c r="N5529" i="58"/>
  <c r="N5367" i="58"/>
  <c r="N5467" i="58"/>
  <c r="N5618" i="58"/>
  <c r="N5616" i="58"/>
  <c r="N5614" i="58"/>
  <c r="N5620" i="58"/>
  <c r="N5527" i="58"/>
  <c r="N5365" i="58"/>
  <c r="N5362" i="58"/>
  <c r="N5413" i="58"/>
  <c r="N5455" i="58"/>
  <c r="N5422" i="58"/>
  <c r="N5411" i="58"/>
  <c r="N5416" i="58"/>
  <c r="N5458" i="58"/>
  <c r="N5420" i="58"/>
  <c r="N5415" i="58"/>
  <c r="N5470" i="58"/>
  <c r="N5469" i="58"/>
  <c r="N5468" i="58"/>
  <c r="N5457" i="58"/>
  <c r="N5487" i="58"/>
  <c r="N5440" i="58"/>
  <c r="N5481" i="58"/>
  <c r="N5329" i="58"/>
  <c r="N5552" i="58"/>
  <c r="N5332" i="58"/>
  <c r="N5352" i="58"/>
  <c r="N5339" i="58"/>
  <c r="N5517" i="58"/>
  <c r="N5331" i="58"/>
  <c r="N5307" i="58"/>
  <c r="N5304" i="58"/>
  <c r="N5328" i="58"/>
  <c r="N5342" i="58"/>
  <c r="N5338" i="58"/>
  <c r="N5333" i="58"/>
  <c r="N5449" i="58"/>
  <c r="N5465" i="58"/>
  <c r="N5460" i="58"/>
  <c r="N5439" i="58"/>
  <c r="N5351" i="58"/>
  <c r="N5327" i="58"/>
  <c r="N5337" i="58"/>
  <c r="N5444" i="58"/>
  <c r="N5507" i="58"/>
  <c r="N5466" i="58"/>
  <c r="N5497" i="58"/>
  <c r="N5445" i="58"/>
  <c r="N5448" i="58"/>
  <c r="N5488" i="58"/>
  <c r="N5494" i="58"/>
  <c r="N5484" i="58"/>
  <c r="N5434" i="58"/>
  <c r="N5511" i="58"/>
  <c r="N5341" i="58"/>
  <c r="N5489" i="58"/>
  <c r="N5350" i="58"/>
  <c r="N5435" i="58"/>
  <c r="N5485" i="58"/>
  <c r="N5521" i="58"/>
  <c r="N5315" i="58"/>
  <c r="N5519" i="58"/>
  <c r="N5478" i="58"/>
  <c r="N5403" i="58"/>
  <c r="N5397" i="58"/>
  <c r="N5306" i="58"/>
  <c r="N5320" i="58"/>
  <c r="N5316" i="58"/>
  <c r="H493" i="66" l="1"/>
  <c r="G3037" i="58" l="1"/>
  <c r="M3037" i="58" s="1"/>
  <c r="G3035" i="58"/>
  <c r="M3035" i="58" s="1"/>
  <c r="G3036" i="58"/>
  <c r="M3036" i="58" s="1"/>
  <c r="G3038" i="58"/>
  <c r="M3038" i="58" s="1"/>
  <c r="G493" i="66"/>
  <c r="H5559" i="58" l="1"/>
  <c r="I5559" i="58"/>
  <c r="H5560" i="58"/>
  <c r="I5560" i="58"/>
  <c r="H5561" i="58"/>
  <c r="I5561" i="58"/>
  <c r="H5562" i="58"/>
  <c r="I5562" i="58"/>
  <c r="H5563" i="58"/>
  <c r="I5563" i="58"/>
  <c r="H5564" i="58"/>
  <c r="I5564" i="58"/>
  <c r="H5565" i="58"/>
  <c r="I5565" i="58"/>
  <c r="J5561" i="58" l="1"/>
  <c r="L5561" i="58"/>
  <c r="L5562" i="58"/>
  <c r="N5562" i="58" s="1"/>
  <c r="J5560" i="58"/>
  <c r="L5560" i="58"/>
  <c r="N5560" i="58" s="1"/>
  <c r="L5565" i="58"/>
  <c r="N5565" i="58" s="1"/>
  <c r="L5559" i="58"/>
  <c r="N5559" i="58" s="1"/>
  <c r="J5564" i="58"/>
  <c r="L5564" i="58"/>
  <c r="J5563" i="58"/>
  <c r="L5563" i="58"/>
  <c r="J5562" i="58"/>
  <c r="O5559" i="58"/>
  <c r="P5559" i="58"/>
  <c r="J5565" i="58"/>
  <c r="J5559" i="58"/>
  <c r="O5560" i="58" l="1"/>
  <c r="P5560" i="58"/>
  <c r="N5561" i="58"/>
  <c r="N5563" i="58"/>
  <c r="N5564" i="58"/>
  <c r="P5561" i="58" l="1"/>
  <c r="O5561" i="58"/>
  <c r="O5562" i="58" l="1"/>
  <c r="P5562" i="58"/>
  <c r="P5563" i="58" l="1"/>
  <c r="O5563" i="58"/>
  <c r="P5564" i="58" l="1"/>
  <c r="O5564" i="58"/>
  <c r="P5565" i="58" l="1"/>
  <c r="O5565" i="58"/>
  <c r="T6" i="131" l="1"/>
  <c r="T7" i="131" s="1"/>
  <c r="C5613" i="58" l="1"/>
  <c r="L5613" i="58" s="1"/>
  <c r="P5609" i="58"/>
  <c r="O5609" i="58"/>
  <c r="I5609" i="58"/>
  <c r="H5609" i="58"/>
  <c r="P5608" i="58"/>
  <c r="O5608" i="58"/>
  <c r="I5608" i="58"/>
  <c r="H5608" i="58"/>
  <c r="N5613" i="58" l="1"/>
  <c r="J5609" i="58"/>
  <c r="L5609" i="58"/>
  <c r="N5609" i="58" s="1"/>
  <c r="L5608" i="58"/>
  <c r="N5608" i="58" s="1"/>
  <c r="J5608" i="58"/>
  <c r="L5502" i="58" l="1"/>
  <c r="N5502" i="58" l="1"/>
  <c r="H1119" i="58"/>
  <c r="I1119" i="58"/>
  <c r="J1119" i="58" s="1"/>
  <c r="L1119" i="58"/>
  <c r="O1119" i="58"/>
  <c r="P1119" i="58"/>
  <c r="N1119" i="58" l="1"/>
  <c r="P5431" i="58" l="1"/>
  <c r="O5431" i="58"/>
  <c r="L5431" i="58"/>
  <c r="I5431" i="58"/>
  <c r="J5431" i="58" s="1"/>
  <c r="H5431" i="58"/>
  <c r="P5430" i="58"/>
  <c r="O5430" i="58"/>
  <c r="L5430" i="58"/>
  <c r="I5430" i="58"/>
  <c r="J5430" i="58" s="1"/>
  <c r="H5430" i="58"/>
  <c r="P5429" i="58"/>
  <c r="O5429" i="58"/>
  <c r="L5429" i="58"/>
  <c r="I5429" i="58"/>
  <c r="J5429" i="58" s="1"/>
  <c r="H5429" i="58"/>
  <c r="P5428" i="58"/>
  <c r="O5428" i="58"/>
  <c r="L5428" i="58"/>
  <c r="I5428" i="58"/>
  <c r="J5428" i="58" s="1"/>
  <c r="H5428" i="58"/>
  <c r="P5427" i="58"/>
  <c r="O5427" i="58"/>
  <c r="L5427" i="58"/>
  <c r="I5427" i="58"/>
  <c r="J5427" i="58" s="1"/>
  <c r="H5427" i="58"/>
  <c r="P5426" i="58"/>
  <c r="O5426" i="58"/>
  <c r="L5426" i="58"/>
  <c r="I5426" i="58"/>
  <c r="J5426" i="58" s="1"/>
  <c r="H5426" i="58"/>
  <c r="P5425" i="58"/>
  <c r="O5425" i="58"/>
  <c r="L5425" i="58"/>
  <c r="I5425" i="58"/>
  <c r="J5425" i="58" s="1"/>
  <c r="H5425" i="58"/>
  <c r="N5426" i="58" l="1"/>
  <c r="N5428" i="58"/>
  <c r="N5425" i="58"/>
  <c r="N5427" i="58"/>
  <c r="N5429" i="58"/>
  <c r="N5431" i="58"/>
  <c r="N5430" i="58"/>
  <c r="P5410" i="58" l="1"/>
  <c r="O5410" i="58"/>
  <c r="L5410" i="58"/>
  <c r="I5410" i="58"/>
  <c r="J5410" i="58" s="1"/>
  <c r="H5410" i="58"/>
  <c r="P5409" i="58"/>
  <c r="O5409" i="58"/>
  <c r="L5409" i="58"/>
  <c r="I5409" i="58"/>
  <c r="J5409" i="58" s="1"/>
  <c r="H5409" i="58"/>
  <c r="P5408" i="58"/>
  <c r="O5408" i="58"/>
  <c r="L5408" i="58"/>
  <c r="I5408" i="58"/>
  <c r="J5408" i="58" s="1"/>
  <c r="H5408" i="58"/>
  <c r="P5407" i="58"/>
  <c r="O5407" i="58"/>
  <c r="L5407" i="58"/>
  <c r="I5407" i="58"/>
  <c r="J5407" i="58" s="1"/>
  <c r="H5407" i="58"/>
  <c r="P5406" i="58"/>
  <c r="O5406" i="58"/>
  <c r="L5406" i="58"/>
  <c r="I5406" i="58"/>
  <c r="J5406" i="58" s="1"/>
  <c r="H5406" i="58"/>
  <c r="P5405" i="58"/>
  <c r="O5405" i="58"/>
  <c r="L5405" i="58"/>
  <c r="I5405" i="58"/>
  <c r="J5405" i="58" s="1"/>
  <c r="H5405" i="58"/>
  <c r="P5404" i="58"/>
  <c r="O5404" i="58"/>
  <c r="L5404" i="58"/>
  <c r="I5404" i="58"/>
  <c r="J5404" i="58" s="1"/>
  <c r="H5404" i="58"/>
  <c r="N5406" i="58" l="1"/>
  <c r="N5408" i="58"/>
  <c r="N5407" i="58"/>
  <c r="N5410" i="58"/>
  <c r="N5405" i="58"/>
  <c r="N5409" i="58"/>
  <c r="N5404" i="58"/>
  <c r="P5396" i="58" l="1"/>
  <c r="O5396" i="58"/>
  <c r="L5396" i="58"/>
  <c r="I5396" i="58"/>
  <c r="J5396" i="58" s="1"/>
  <c r="H5396" i="58"/>
  <c r="P5395" i="58"/>
  <c r="O5395" i="58"/>
  <c r="L5395" i="58"/>
  <c r="I5395" i="58"/>
  <c r="J5395" i="58" s="1"/>
  <c r="H5395" i="58"/>
  <c r="P5394" i="58"/>
  <c r="O5394" i="58"/>
  <c r="L5394" i="58"/>
  <c r="I5394" i="58"/>
  <c r="J5394" i="58" s="1"/>
  <c r="H5394" i="58"/>
  <c r="P5393" i="58"/>
  <c r="O5393" i="58"/>
  <c r="L5393" i="58"/>
  <c r="I5393" i="58"/>
  <c r="J5393" i="58" s="1"/>
  <c r="H5393" i="58"/>
  <c r="P5392" i="58"/>
  <c r="O5392" i="58"/>
  <c r="L5392" i="58"/>
  <c r="I5392" i="58"/>
  <c r="J5392" i="58" s="1"/>
  <c r="H5392" i="58"/>
  <c r="P5391" i="58"/>
  <c r="O5391" i="58"/>
  <c r="L5391" i="58"/>
  <c r="I5391" i="58"/>
  <c r="J5391" i="58" s="1"/>
  <c r="H5391" i="58"/>
  <c r="P5390" i="58"/>
  <c r="O5390" i="58"/>
  <c r="L5390" i="58"/>
  <c r="I5390" i="58"/>
  <c r="J5390" i="58" s="1"/>
  <c r="H5390" i="58"/>
  <c r="P5389" i="58"/>
  <c r="O5389" i="58"/>
  <c r="L5389" i="58"/>
  <c r="I5389" i="58"/>
  <c r="J5389" i="58" s="1"/>
  <c r="H5389" i="58"/>
  <c r="P5388" i="58"/>
  <c r="O5388" i="58"/>
  <c r="L5388" i="58"/>
  <c r="I5388" i="58"/>
  <c r="J5388" i="58" s="1"/>
  <c r="H5388" i="58"/>
  <c r="P5387" i="58"/>
  <c r="O5387" i="58"/>
  <c r="L5387" i="58"/>
  <c r="I5387" i="58"/>
  <c r="J5387" i="58" s="1"/>
  <c r="H5387" i="58"/>
  <c r="P5386" i="58"/>
  <c r="O5386" i="58"/>
  <c r="L5386" i="58"/>
  <c r="I5386" i="58"/>
  <c r="J5386" i="58" s="1"/>
  <c r="H5386" i="58"/>
  <c r="P5385" i="58"/>
  <c r="O5385" i="58"/>
  <c r="L5385" i="58"/>
  <c r="I5385" i="58"/>
  <c r="J5385" i="58" s="1"/>
  <c r="H5385" i="58"/>
  <c r="P5384" i="58"/>
  <c r="O5384" i="58"/>
  <c r="L5384" i="58"/>
  <c r="I5384" i="58"/>
  <c r="J5384" i="58" s="1"/>
  <c r="H5384" i="58"/>
  <c r="P5383" i="58"/>
  <c r="O5383" i="58"/>
  <c r="L5383" i="58"/>
  <c r="I5383" i="58"/>
  <c r="J5383" i="58" s="1"/>
  <c r="H5383" i="58"/>
  <c r="P5382" i="58"/>
  <c r="O5382" i="58"/>
  <c r="L5382" i="58"/>
  <c r="I5382" i="58"/>
  <c r="J5382" i="58" s="1"/>
  <c r="H5382" i="58"/>
  <c r="P5381" i="58"/>
  <c r="O5381" i="58"/>
  <c r="L5381" i="58"/>
  <c r="I5381" i="58"/>
  <c r="J5381" i="58" s="1"/>
  <c r="H5381" i="58"/>
  <c r="P5380" i="58"/>
  <c r="O5380" i="58"/>
  <c r="L5380" i="58"/>
  <c r="I5380" i="58"/>
  <c r="J5380" i="58" s="1"/>
  <c r="H5380" i="58"/>
  <c r="P5379" i="58"/>
  <c r="O5379" i="58"/>
  <c r="L5379" i="58"/>
  <c r="I5379" i="58"/>
  <c r="J5379" i="58" s="1"/>
  <c r="H5379" i="58"/>
  <c r="P5378" i="58"/>
  <c r="O5378" i="58"/>
  <c r="L5378" i="58"/>
  <c r="I5378" i="58"/>
  <c r="J5378" i="58" s="1"/>
  <c r="H5378" i="58"/>
  <c r="P5377" i="58"/>
  <c r="O5377" i="58"/>
  <c r="L5377" i="58"/>
  <c r="I5377" i="58"/>
  <c r="J5377" i="58" s="1"/>
  <c r="H5377" i="58"/>
  <c r="P5376" i="58"/>
  <c r="O5376" i="58"/>
  <c r="L5376" i="58"/>
  <c r="I5376" i="58"/>
  <c r="J5376" i="58" s="1"/>
  <c r="H5376" i="58"/>
  <c r="P5375" i="58"/>
  <c r="O5375" i="58"/>
  <c r="L5375" i="58"/>
  <c r="I5375" i="58"/>
  <c r="J5375" i="58" s="1"/>
  <c r="H5375" i="58"/>
  <c r="P5374" i="58"/>
  <c r="O5374" i="58"/>
  <c r="L5374" i="58"/>
  <c r="I5374" i="58"/>
  <c r="J5374" i="58" s="1"/>
  <c r="H5374" i="58"/>
  <c r="P5373" i="58"/>
  <c r="O5373" i="58"/>
  <c r="L5373" i="58"/>
  <c r="I5373" i="58"/>
  <c r="J5373" i="58" s="1"/>
  <c r="H5373" i="58"/>
  <c r="P5372" i="58"/>
  <c r="O5372" i="58"/>
  <c r="L5372" i="58"/>
  <c r="I5372" i="58"/>
  <c r="J5372" i="58" s="1"/>
  <c r="H5372" i="58"/>
  <c r="P5371" i="58"/>
  <c r="O5371" i="58"/>
  <c r="L5371" i="58"/>
  <c r="I5371" i="58"/>
  <c r="J5371" i="58" s="1"/>
  <c r="H5371" i="58"/>
  <c r="P5370" i="58"/>
  <c r="O5370" i="58"/>
  <c r="L5370" i="58"/>
  <c r="I5370" i="58"/>
  <c r="J5370" i="58" s="1"/>
  <c r="H5370" i="58"/>
  <c r="P5369" i="58"/>
  <c r="O5369" i="58"/>
  <c r="L5369" i="58"/>
  <c r="I5369" i="58"/>
  <c r="J5369" i="58" s="1"/>
  <c r="H5369" i="58"/>
  <c r="N5382" i="58" l="1"/>
  <c r="N5396" i="58"/>
  <c r="N5378" i="58"/>
  <c r="N5386" i="58"/>
  <c r="N5391" i="58"/>
  <c r="N5381" i="58"/>
  <c r="N5394" i="58"/>
  <c r="N5395" i="58"/>
  <c r="N5387" i="58"/>
  <c r="N5388" i="58"/>
  <c r="N5374" i="58"/>
  <c r="N5384" i="58"/>
  <c r="N5392" i="58"/>
  <c r="N5393" i="58"/>
  <c r="N5390" i="58"/>
  <c r="N5379" i="58"/>
  <c r="N5383" i="58"/>
  <c r="N5385" i="58"/>
  <c r="N5369" i="58"/>
  <c r="N5373" i="58"/>
  <c r="N5380" i="58"/>
  <c r="N5376" i="58"/>
  <c r="N5371" i="58"/>
  <c r="N5375" i="58"/>
  <c r="N5389" i="58"/>
  <c r="N5377" i="58"/>
  <c r="N5372" i="58"/>
  <c r="N5370" i="58"/>
  <c r="P5361" i="58" l="1"/>
  <c r="O5361" i="58"/>
  <c r="L5361" i="58"/>
  <c r="I5361" i="58"/>
  <c r="J5361" i="58" s="1"/>
  <c r="H5361" i="58"/>
  <c r="P5360" i="58"/>
  <c r="O5360" i="58"/>
  <c r="L5360" i="58"/>
  <c r="I5360" i="58"/>
  <c r="J5360" i="58" s="1"/>
  <c r="H5360" i="58"/>
  <c r="P5359" i="58"/>
  <c r="O5359" i="58"/>
  <c r="L5359" i="58"/>
  <c r="I5359" i="58"/>
  <c r="J5359" i="58" s="1"/>
  <c r="H5359" i="58"/>
  <c r="P5358" i="58"/>
  <c r="O5358" i="58"/>
  <c r="L5358" i="58"/>
  <c r="I5358" i="58"/>
  <c r="J5358" i="58" s="1"/>
  <c r="H5358" i="58"/>
  <c r="P5357" i="58"/>
  <c r="O5357" i="58"/>
  <c r="L5357" i="58"/>
  <c r="I5357" i="58"/>
  <c r="J5357" i="58" s="1"/>
  <c r="H5357" i="58"/>
  <c r="P5356" i="58"/>
  <c r="O5356" i="58"/>
  <c r="L5356" i="58"/>
  <c r="I5356" i="58"/>
  <c r="J5356" i="58" s="1"/>
  <c r="H5356" i="58"/>
  <c r="P5355" i="58"/>
  <c r="O5355" i="58"/>
  <c r="L5355" i="58"/>
  <c r="I5355" i="58"/>
  <c r="J5355" i="58" s="1"/>
  <c r="H5355" i="58"/>
  <c r="P5354" i="58"/>
  <c r="O5354" i="58"/>
  <c r="I5354" i="58"/>
  <c r="H5354" i="58"/>
  <c r="P5353" i="58"/>
  <c r="O5353" i="58"/>
  <c r="I5353" i="58"/>
  <c r="H5353" i="58"/>
  <c r="J5354" i="58" l="1"/>
  <c r="L5354" i="58"/>
  <c r="N5354" i="58" s="1"/>
  <c r="J5353" i="58"/>
  <c r="L5353" i="58"/>
  <c r="N5353" i="58" s="1"/>
  <c r="N5358" i="58"/>
  <c r="N5357" i="58"/>
  <c r="N5359" i="58"/>
  <c r="N5361" i="58"/>
  <c r="N5355" i="58"/>
  <c r="N5356" i="58"/>
  <c r="N5360" i="58"/>
  <c r="P5303" i="58" l="1"/>
  <c r="O5303" i="58"/>
  <c r="L5303" i="58"/>
  <c r="I5303" i="58"/>
  <c r="J5303" i="58" s="1"/>
  <c r="H5303" i="58"/>
  <c r="P5302" i="58"/>
  <c r="O5302" i="58"/>
  <c r="L5302" i="58"/>
  <c r="I5302" i="58"/>
  <c r="J5302" i="58" s="1"/>
  <c r="H5302" i="58"/>
  <c r="P5301" i="58"/>
  <c r="O5301" i="58"/>
  <c r="L5301" i="58"/>
  <c r="I5301" i="58"/>
  <c r="J5301" i="58" s="1"/>
  <c r="H5301" i="58"/>
  <c r="P5300" i="58"/>
  <c r="O5300" i="58"/>
  <c r="L5300" i="58"/>
  <c r="I5300" i="58"/>
  <c r="J5300" i="58" s="1"/>
  <c r="H5300" i="58"/>
  <c r="P5299" i="58"/>
  <c r="O5299" i="58"/>
  <c r="L5299" i="58"/>
  <c r="I5299" i="58"/>
  <c r="J5299" i="58" s="1"/>
  <c r="H5299" i="58"/>
  <c r="P5298" i="58"/>
  <c r="O5298" i="58"/>
  <c r="L5298" i="58"/>
  <c r="I5298" i="58"/>
  <c r="J5298" i="58" s="1"/>
  <c r="H5298" i="58"/>
  <c r="P5297" i="58"/>
  <c r="O5297" i="58"/>
  <c r="L5297" i="58"/>
  <c r="I5297" i="58"/>
  <c r="J5297" i="58" s="1"/>
  <c r="H5297" i="58"/>
  <c r="P5296" i="58"/>
  <c r="O5296" i="58"/>
  <c r="L5296" i="58"/>
  <c r="I5296" i="58"/>
  <c r="J5296" i="58" s="1"/>
  <c r="H5296" i="58"/>
  <c r="P5295" i="58"/>
  <c r="O5295" i="58"/>
  <c r="L5295" i="58"/>
  <c r="I5295" i="58"/>
  <c r="J5295" i="58" s="1"/>
  <c r="H5295" i="58"/>
  <c r="P5294" i="58"/>
  <c r="O5294" i="58"/>
  <c r="L5294" i="58"/>
  <c r="I5294" i="58"/>
  <c r="J5294" i="58" s="1"/>
  <c r="H5294" i="58"/>
  <c r="P5293" i="58"/>
  <c r="O5293" i="58"/>
  <c r="L5293" i="58"/>
  <c r="I5293" i="58"/>
  <c r="J5293" i="58" s="1"/>
  <c r="H5293" i="58"/>
  <c r="P5292" i="58"/>
  <c r="O5292" i="58"/>
  <c r="L5292" i="58"/>
  <c r="I5292" i="58"/>
  <c r="J5292" i="58" s="1"/>
  <c r="H5292" i="58"/>
  <c r="P5291" i="58"/>
  <c r="O5291" i="58"/>
  <c r="L5291" i="58"/>
  <c r="I5291" i="58"/>
  <c r="J5291" i="58" s="1"/>
  <c r="H5291" i="58"/>
  <c r="P5290" i="58"/>
  <c r="O5290" i="58"/>
  <c r="L5290" i="58"/>
  <c r="I5290" i="58"/>
  <c r="J5290" i="58" s="1"/>
  <c r="H5290" i="58"/>
  <c r="N5292" i="58" l="1"/>
  <c r="N5294" i="58"/>
  <c r="N5296" i="58"/>
  <c r="N5290" i="58"/>
  <c r="N5300" i="58"/>
  <c r="N5299" i="58"/>
  <c r="N5301" i="58"/>
  <c r="N5303" i="58"/>
  <c r="N5293" i="58"/>
  <c r="N5295" i="58"/>
  <c r="N5298" i="58"/>
  <c r="N5302" i="58"/>
  <c r="N5291" i="58"/>
  <c r="N5297" i="58"/>
  <c r="G509" i="66" l="1"/>
  <c r="H509" i="66" s="1"/>
  <c r="G508" i="66"/>
  <c r="H508" i="66" s="1"/>
  <c r="G6754" i="58" s="1"/>
  <c r="M6754" i="58" s="1"/>
  <c r="G507" i="66"/>
  <c r="H507" i="66" s="1"/>
  <c r="G6436" i="58" s="1"/>
  <c r="M6436" i="58" s="1"/>
  <c r="G506" i="66"/>
  <c r="H506" i="66" s="1"/>
  <c r="G505" i="66"/>
  <c r="H505" i="66" s="1"/>
  <c r="G504" i="66"/>
  <c r="H504" i="66" s="1"/>
  <c r="G7147" i="58" s="1"/>
  <c r="M7147" i="58" s="1"/>
  <c r="G503" i="66"/>
  <c r="H503" i="66" s="1"/>
  <c r="G502" i="66"/>
  <c r="H502" i="66" s="1"/>
  <c r="G501" i="66"/>
  <c r="H501" i="66" s="1"/>
  <c r="G5928" i="58" s="1"/>
  <c r="M5928" i="58" s="1"/>
  <c r="G500" i="66"/>
  <c r="H500" i="66" s="1"/>
  <c r="G7146" i="58" s="1"/>
  <c r="M7146" i="58" s="1"/>
  <c r="G499" i="66"/>
  <c r="H499" i="66" s="1"/>
  <c r="G6790" i="58" s="1"/>
  <c r="M6790" i="58" s="1"/>
  <c r="G498" i="66"/>
  <c r="H498" i="66" s="1"/>
  <c r="G6131" i="58" l="1"/>
  <c r="M6131" i="58" s="1"/>
  <c r="G6185" i="58"/>
  <c r="M6185" i="58" s="1"/>
  <c r="G5870" i="58"/>
  <c r="M5870" i="58" s="1"/>
  <c r="G5898" i="58"/>
  <c r="M5898" i="58" s="1"/>
  <c r="G6133" i="58"/>
  <c r="M6133" i="58" s="1"/>
  <c r="G6134" i="58"/>
  <c r="M6134" i="58" s="1"/>
  <c r="G5825" i="58"/>
  <c r="M5825" i="58" s="1"/>
  <c r="G6375" i="58"/>
  <c r="M6375" i="58" s="1"/>
  <c r="G7198" i="58"/>
  <c r="M7198" i="58" s="1"/>
  <c r="G6132" i="58"/>
  <c r="M6132" i="58" s="1"/>
  <c r="G5778" i="58"/>
  <c r="M5778" i="58" s="1"/>
  <c r="G5916" i="58"/>
  <c r="M5916" i="58" s="1"/>
  <c r="G6124" i="58"/>
  <c r="M6124" i="58" s="1"/>
  <c r="G6376" i="58"/>
  <c r="M6376" i="58" s="1"/>
  <c r="G5640" i="58"/>
  <c r="M5640" i="58" s="1"/>
  <c r="G6682" i="58"/>
  <c r="M6682" i="58" s="1"/>
  <c r="G6825" i="58"/>
  <c r="M6825" i="58" s="1"/>
  <c r="G6377" i="58"/>
  <c r="M6377" i="58" s="1"/>
  <c r="G6161" i="58"/>
  <c r="M6161" i="58" s="1"/>
  <c r="G6389" i="58"/>
  <c r="M6389" i="58" s="1"/>
  <c r="G6125" i="58"/>
  <c r="M6125" i="58" s="1"/>
  <c r="G6683" i="58"/>
  <c r="M6683" i="58" s="1"/>
  <c r="G6699" i="58"/>
  <c r="M6699" i="58" s="1"/>
  <c r="G7210" i="58"/>
  <c r="M7210" i="58" s="1"/>
  <c r="G6814" i="58"/>
  <c r="M6814" i="58" s="1"/>
  <c r="G6921" i="58"/>
  <c r="M6921" i="58" s="1"/>
  <c r="G6767" i="58"/>
  <c r="M6767" i="58" s="1"/>
  <c r="G6667" i="58"/>
  <c r="M6667" i="58" s="1"/>
  <c r="G6670" i="58"/>
  <c r="M6670" i="58" s="1"/>
  <c r="G6669" i="58"/>
  <c r="M6669" i="58" s="1"/>
  <c r="G6668" i="58"/>
  <c r="M6668" i="58" s="1"/>
  <c r="G7064" i="58"/>
  <c r="M7064" i="58" s="1"/>
  <c r="G7029" i="58"/>
  <c r="M7029" i="58" s="1"/>
  <c r="G7096" i="58"/>
  <c r="M7096" i="58" s="1"/>
  <c r="G7259" i="58"/>
  <c r="M7259" i="58" s="1"/>
  <c r="G7116" i="58"/>
  <c r="M7116" i="58" s="1"/>
  <c r="G7063" i="58"/>
  <c r="M7063" i="58" s="1"/>
  <c r="G6996" i="58"/>
  <c r="M6996" i="58" s="1"/>
  <c r="G7117" i="58"/>
  <c r="M7117" i="58" s="1"/>
  <c r="G7115" i="58"/>
  <c r="M7115" i="58" s="1"/>
  <c r="G4850" i="58"/>
  <c r="M4850" i="58" s="1"/>
  <c r="G4851" i="58"/>
  <c r="M4851" i="58" s="1"/>
  <c r="G4190" i="58"/>
  <c r="M4190" i="58" s="1"/>
  <c r="G4189" i="58"/>
  <c r="M4189" i="58" s="1"/>
  <c r="G4191" i="58"/>
  <c r="M4191" i="58" s="1"/>
  <c r="G4977" i="58"/>
  <c r="M4977" i="58" s="1"/>
  <c r="G4978" i="58"/>
  <c r="M4978" i="58" s="1"/>
  <c r="G4980" i="58"/>
  <c r="M4980" i="58" s="1"/>
  <c r="G4202" i="58"/>
  <c r="M4202" i="58" s="1"/>
  <c r="G4195" i="58"/>
  <c r="M4195" i="58" s="1"/>
  <c r="G4204" i="58"/>
  <c r="M4204" i="58" s="1"/>
  <c r="G4197" i="58"/>
  <c r="M4197" i="58" s="1"/>
  <c r="G4199" i="58"/>
  <c r="M4199" i="58" s="1"/>
  <c r="G4201" i="58"/>
  <c r="M4201" i="58" s="1"/>
  <c r="G4194" i="58"/>
  <c r="M4194" i="58" s="1"/>
  <c r="G4203" i="58"/>
  <c r="M4203" i="58" s="1"/>
  <c r="G4196" i="58"/>
  <c r="M4196" i="58" s="1"/>
  <c r="G4198" i="58"/>
  <c r="M4198" i="58" s="1"/>
  <c r="G4200" i="58"/>
  <c r="M4200" i="58" s="1"/>
  <c r="G2967" i="58"/>
  <c r="M2967" i="58" s="1"/>
  <c r="G3032" i="58"/>
  <c r="M3032" i="58" s="1"/>
  <c r="G2853" i="58"/>
  <c r="M2853" i="58" s="1"/>
  <c r="G2852" i="58"/>
  <c r="M2852" i="58" s="1"/>
  <c r="G2963" i="58"/>
  <c r="M2963" i="58" s="1"/>
  <c r="G2965" i="58"/>
  <c r="M2965" i="58" s="1"/>
  <c r="G2855" i="58"/>
  <c r="M2855" i="58" s="1"/>
  <c r="G2854" i="58"/>
  <c r="M2854" i="58" s="1"/>
  <c r="G5325" i="58"/>
  <c r="M5325" i="58" s="1"/>
  <c r="G5327" i="58"/>
  <c r="M5327" i="58" s="1"/>
  <c r="G5329" i="58"/>
  <c r="M5329" i="58" s="1"/>
  <c r="G5331" i="58"/>
  <c r="M5331" i="58" s="1"/>
  <c r="G5326" i="58"/>
  <c r="M5326" i="58" s="1"/>
  <c r="G5328" i="58"/>
  <c r="M5328" i="58" s="1"/>
  <c r="G5330" i="58"/>
  <c r="M5330" i="58" s="1"/>
  <c r="H497" i="66" l="1"/>
  <c r="G6986" i="58" s="1"/>
  <c r="M6986" i="58" s="1"/>
  <c r="G496" i="66"/>
  <c r="H496" i="66" s="1"/>
  <c r="H495" i="66"/>
  <c r="H494" i="66"/>
  <c r="G479" i="66"/>
  <c r="H479" i="66" s="1"/>
  <c r="G478" i="66"/>
  <c r="H478" i="66" s="1"/>
  <c r="G477" i="66"/>
  <c r="H477" i="66" s="1"/>
  <c r="G476" i="66"/>
  <c r="H476" i="66" s="1"/>
  <c r="G475" i="66"/>
  <c r="H475" i="66" s="1"/>
  <c r="G474" i="66"/>
  <c r="H474" i="66" s="1"/>
  <c r="G473" i="66"/>
  <c r="H473" i="66" s="1"/>
  <c r="G472" i="66"/>
  <c r="H472" i="66" s="1"/>
  <c r="G471" i="66"/>
  <c r="H471" i="66" s="1"/>
  <c r="G7021" i="58" s="1"/>
  <c r="M7021" i="58" s="1"/>
  <c r="G470" i="66"/>
  <c r="H470" i="66" s="1"/>
  <c r="G469" i="66"/>
  <c r="H469" i="66" s="1"/>
  <c r="G468" i="66"/>
  <c r="H468" i="66" s="1"/>
  <c r="G467" i="66"/>
  <c r="H467" i="66" s="1"/>
  <c r="G466" i="66"/>
  <c r="H466" i="66" s="1"/>
  <c r="G465" i="66"/>
  <c r="H465" i="66" s="1"/>
  <c r="G464" i="66"/>
  <c r="H464" i="66" s="1"/>
  <c r="G463" i="66"/>
  <c r="H463" i="66" s="1"/>
  <c r="G462" i="66"/>
  <c r="H462" i="66" s="1"/>
  <c r="G5698" i="58" s="1"/>
  <c r="M5698" i="58" s="1"/>
  <c r="G461" i="66"/>
  <c r="H461" i="66" s="1"/>
  <c r="G460" i="66"/>
  <c r="H460" i="66" s="1"/>
  <c r="G459" i="66"/>
  <c r="H459" i="66" s="1"/>
  <c r="G458" i="66"/>
  <c r="H458" i="66" s="1"/>
  <c r="G457" i="66"/>
  <c r="H457" i="66" s="1"/>
  <c r="G456" i="66"/>
  <c r="H456" i="66" s="1"/>
  <c r="G6776" i="58" s="1"/>
  <c r="M6776" i="58" s="1"/>
  <c r="G455" i="66"/>
  <c r="H455" i="66" s="1"/>
  <c r="G454" i="66"/>
  <c r="H454" i="66" s="1"/>
  <c r="G453" i="66"/>
  <c r="H453" i="66" s="1"/>
  <c r="G452" i="66"/>
  <c r="H452" i="66" s="1"/>
  <c r="G451" i="66"/>
  <c r="H451" i="66" s="1"/>
  <c r="G450" i="66"/>
  <c r="H450" i="66" s="1"/>
  <c r="G6775" i="58" s="1"/>
  <c r="M6775" i="58" s="1"/>
  <c r="G449" i="66"/>
  <c r="H449" i="66" s="1"/>
  <c r="G448" i="66"/>
  <c r="H448" i="66" s="1"/>
  <c r="G447" i="66"/>
  <c r="H447" i="66" s="1"/>
  <c r="G7129" i="58" s="1"/>
  <c r="M7129" i="58" s="1"/>
  <c r="G446" i="66"/>
  <c r="H446" i="66" s="1"/>
  <c r="G445" i="66"/>
  <c r="H445" i="66" s="1"/>
  <c r="G444" i="66"/>
  <c r="H444" i="66" s="1"/>
  <c r="G443" i="66"/>
  <c r="H443" i="66" s="1"/>
  <c r="G442" i="66"/>
  <c r="H442" i="66" s="1"/>
  <c r="G441" i="66"/>
  <c r="H441" i="66" s="1"/>
  <c r="G440" i="66"/>
  <c r="H440" i="66" s="1"/>
  <c r="G439" i="66"/>
  <c r="H439" i="66" s="1"/>
  <c r="G438" i="66"/>
  <c r="H438" i="66" s="1"/>
  <c r="G6878" i="58" s="1"/>
  <c r="M6878" i="58" s="1"/>
  <c r="G437" i="66"/>
  <c r="H437" i="66" s="1"/>
  <c r="G436" i="66"/>
  <c r="H436" i="66" s="1"/>
  <c r="G435" i="66"/>
  <c r="H435" i="66" s="1"/>
  <c r="G434" i="66"/>
  <c r="H434" i="66" s="1"/>
  <c r="G433" i="66"/>
  <c r="H433" i="66" s="1"/>
  <c r="G432" i="66"/>
  <c r="H432" i="66" s="1"/>
  <c r="G431" i="66"/>
  <c r="H431" i="66" s="1"/>
  <c r="G430" i="66"/>
  <c r="H430" i="66" s="1"/>
  <c r="G429" i="66"/>
  <c r="H429" i="66" s="1"/>
  <c r="G428" i="66"/>
  <c r="H428" i="66" s="1"/>
  <c r="G427" i="66"/>
  <c r="H427" i="66" s="1"/>
  <c r="G426" i="66"/>
  <c r="H426" i="66" s="1"/>
  <c r="G425" i="66"/>
  <c r="H425" i="66" s="1"/>
  <c r="G424" i="66"/>
  <c r="H424" i="66" s="1"/>
  <c r="G5732" i="58" s="1"/>
  <c r="M5732" i="58" s="1"/>
  <c r="G423" i="66"/>
  <c r="H423" i="66" s="1"/>
  <c r="G5638" i="58" s="1"/>
  <c r="M5638" i="58" s="1"/>
  <c r="G422" i="66"/>
  <c r="H422" i="66" s="1"/>
  <c r="G421" i="66"/>
  <c r="H421" i="66" s="1"/>
  <c r="G420" i="66"/>
  <c r="H420" i="66" s="1"/>
  <c r="G419" i="66"/>
  <c r="H419" i="66" s="1"/>
  <c r="G418" i="66"/>
  <c r="H418" i="66" s="1"/>
  <c r="G417" i="66"/>
  <c r="H417" i="66" s="1"/>
  <c r="G416" i="66"/>
  <c r="H416" i="66" s="1"/>
  <c r="G415" i="66"/>
  <c r="H415" i="66" s="1"/>
  <c r="G414" i="66"/>
  <c r="H414" i="66" s="1"/>
  <c r="G413" i="66"/>
  <c r="H413" i="66" s="1"/>
  <c r="G412" i="66"/>
  <c r="H412" i="66" s="1"/>
  <c r="G411" i="66"/>
  <c r="H411" i="66" s="1"/>
  <c r="G410" i="66"/>
  <c r="H410" i="66" s="1"/>
  <c r="G409" i="66"/>
  <c r="H409" i="66" s="1"/>
  <c r="G408" i="66"/>
  <c r="H408" i="66" s="1"/>
  <c r="G407" i="66"/>
  <c r="H407" i="66" s="1"/>
  <c r="G406" i="66"/>
  <c r="H406" i="66" s="1"/>
  <c r="G5869" i="58" s="1"/>
  <c r="M5869" i="58" s="1"/>
  <c r="G405" i="66"/>
  <c r="H405" i="66" s="1"/>
  <c r="G6914" i="58" s="1"/>
  <c r="M6914" i="58" s="1"/>
  <c r="G404" i="66"/>
  <c r="H404" i="66" s="1"/>
  <c r="G403" i="66"/>
  <c r="H403" i="66" s="1"/>
  <c r="G402" i="66"/>
  <c r="H402" i="66" s="1"/>
  <c r="G401" i="66"/>
  <c r="H401" i="66" s="1"/>
  <c r="G400" i="66"/>
  <c r="H400" i="66" s="1"/>
  <c r="G399" i="66"/>
  <c r="H399" i="66" s="1"/>
  <c r="G398" i="66"/>
  <c r="H398" i="66" s="1"/>
  <c r="G397" i="66"/>
  <c r="H397" i="66" s="1"/>
  <c r="G396" i="66"/>
  <c r="H396" i="66" s="1"/>
  <c r="G395" i="66"/>
  <c r="H395" i="66" s="1"/>
  <c r="G394" i="66"/>
  <c r="H394" i="66" s="1"/>
  <c r="G393" i="66"/>
  <c r="H393" i="66" s="1"/>
  <c r="G392" i="66"/>
  <c r="H392" i="66" s="1"/>
  <c r="G391" i="66"/>
  <c r="H391" i="66" s="1"/>
  <c r="G390" i="66"/>
  <c r="H390" i="66" s="1"/>
  <c r="G389" i="66"/>
  <c r="H389" i="66" s="1"/>
  <c r="G388" i="66"/>
  <c r="H388" i="66" s="1"/>
  <c r="G387" i="66"/>
  <c r="H387" i="66" s="1"/>
  <c r="G386" i="66"/>
  <c r="H386" i="66" s="1"/>
  <c r="G385" i="66"/>
  <c r="H385" i="66" s="1"/>
  <c r="G384" i="66"/>
  <c r="H384" i="66" s="1"/>
  <c r="G383" i="66"/>
  <c r="H383" i="66" s="1"/>
  <c r="G6696" i="58" s="1"/>
  <c r="M6696" i="58" s="1"/>
  <c r="G382" i="66"/>
  <c r="H382" i="66" s="1"/>
  <c r="G381" i="66"/>
  <c r="H381" i="66" s="1"/>
  <c r="G380" i="66"/>
  <c r="H380" i="66" s="1"/>
  <c r="G379" i="66"/>
  <c r="H379" i="66" s="1"/>
  <c r="G378" i="66"/>
  <c r="H378" i="66" s="1"/>
  <c r="G377" i="66"/>
  <c r="H377" i="66" s="1"/>
  <c r="G376" i="66"/>
  <c r="H376" i="66" s="1"/>
  <c r="G375" i="66"/>
  <c r="H375" i="66" s="1"/>
  <c r="G374" i="66"/>
  <c r="H374" i="66" s="1"/>
  <c r="G6179" i="58" s="1"/>
  <c r="M6179" i="58" s="1"/>
  <c r="G373" i="66"/>
  <c r="H373" i="66" s="1"/>
  <c r="G372" i="66"/>
  <c r="H372" i="66" s="1"/>
  <c r="G6569" i="58" s="1"/>
  <c r="M6569" i="58" s="1"/>
  <c r="G371" i="66"/>
  <c r="H371" i="66" s="1"/>
  <c r="G370" i="66"/>
  <c r="H370" i="66" s="1"/>
  <c r="G369" i="66"/>
  <c r="H369" i="66" s="1"/>
  <c r="G368" i="66"/>
  <c r="H368" i="66" s="1"/>
  <c r="G367" i="66"/>
  <c r="H367" i="66" s="1"/>
  <c r="G366" i="66"/>
  <c r="H366" i="66" s="1"/>
  <c r="G365" i="66"/>
  <c r="H365" i="66" s="1"/>
  <c r="G364" i="66"/>
  <c r="H364" i="66" s="1"/>
  <c r="G363" i="66"/>
  <c r="H363" i="66" s="1"/>
  <c r="G362" i="66"/>
  <c r="H362" i="66" s="1"/>
  <c r="G361" i="66"/>
  <c r="H361" i="66" s="1"/>
  <c r="G360" i="66"/>
  <c r="H360" i="66" s="1"/>
  <c r="G359" i="66"/>
  <c r="H359" i="66" s="1"/>
  <c r="G358" i="66"/>
  <c r="H358" i="66" s="1"/>
  <c r="G357" i="66"/>
  <c r="H357" i="66" s="1"/>
  <c r="G356" i="66"/>
  <c r="H356" i="66" s="1"/>
  <c r="G355" i="66"/>
  <c r="H355" i="66" s="1"/>
  <c r="G354" i="66"/>
  <c r="H354" i="66" s="1"/>
  <c r="G353" i="66"/>
  <c r="H353" i="66" s="1"/>
  <c r="G352" i="66"/>
  <c r="H352" i="66" s="1"/>
  <c r="G351" i="66"/>
  <c r="H351" i="66" s="1"/>
  <c r="G350" i="66"/>
  <c r="H350" i="66" s="1"/>
  <c r="G349" i="66"/>
  <c r="H349" i="66" s="1"/>
  <c r="G348" i="66"/>
  <c r="H348" i="66" s="1"/>
  <c r="G347" i="66"/>
  <c r="H347" i="66" s="1"/>
  <c r="G346" i="66"/>
  <c r="H346" i="66" s="1"/>
  <c r="G345" i="66"/>
  <c r="H345" i="66" s="1"/>
  <c r="G344" i="66"/>
  <c r="H344" i="66" s="1"/>
  <c r="G343" i="66"/>
  <c r="H343" i="66" s="1"/>
  <c r="G342" i="66"/>
  <c r="H342" i="66" s="1"/>
  <c r="G341" i="66"/>
  <c r="H341" i="66" s="1"/>
  <c r="G340" i="66"/>
  <c r="H340" i="66" s="1"/>
  <c r="G339" i="66"/>
  <c r="H339" i="66" s="1"/>
  <c r="G338" i="66"/>
  <c r="H338" i="66" s="1"/>
  <c r="G337" i="66"/>
  <c r="H337" i="66" s="1"/>
  <c r="G336" i="66"/>
  <c r="H336" i="66" s="1"/>
  <c r="G335" i="66"/>
  <c r="H335" i="66" s="1"/>
  <c r="G334" i="66"/>
  <c r="H334" i="66" s="1"/>
  <c r="G333" i="66"/>
  <c r="H333" i="66" s="1"/>
  <c r="G332" i="66"/>
  <c r="H332" i="66" s="1"/>
  <c r="G331" i="66"/>
  <c r="H331" i="66" s="1"/>
  <c r="G330" i="66"/>
  <c r="H330" i="66" s="1"/>
  <c r="G329" i="66"/>
  <c r="H329" i="66" s="1"/>
  <c r="G328" i="66"/>
  <c r="H328" i="66" s="1"/>
  <c r="G327" i="66"/>
  <c r="H327" i="66" s="1"/>
  <c r="G326" i="66"/>
  <c r="H326" i="66" s="1"/>
  <c r="G325" i="66"/>
  <c r="H325" i="66" s="1"/>
  <c r="G324" i="66"/>
  <c r="H324" i="66" s="1"/>
  <c r="G323" i="66"/>
  <c r="H323" i="66" s="1"/>
  <c r="G6748" i="58" s="1"/>
  <c r="M6748" i="58" s="1"/>
  <c r="G322" i="66"/>
  <c r="H322" i="66" s="1"/>
  <c r="G6726" i="58" s="1"/>
  <c r="M6726" i="58" s="1"/>
  <c r="G321" i="66"/>
  <c r="H321" i="66" s="1"/>
  <c r="G6933" i="58" s="1"/>
  <c r="M6933" i="58" s="1"/>
  <c r="G320" i="66"/>
  <c r="H320" i="66" s="1"/>
  <c r="G6932" i="58" s="1"/>
  <c r="M6932" i="58" s="1"/>
  <c r="G319" i="66"/>
  <c r="H319" i="66" s="1"/>
  <c r="G318" i="66"/>
  <c r="H318" i="66" s="1"/>
  <c r="G6725" i="58" s="1"/>
  <c r="M6725" i="58" s="1"/>
  <c r="G317" i="66"/>
  <c r="H317" i="66" s="1"/>
  <c r="G7033" i="58" s="1"/>
  <c r="M7033" i="58" s="1"/>
  <c r="G316" i="66"/>
  <c r="H316" i="66" s="1"/>
  <c r="G315" i="66"/>
  <c r="H315" i="66" s="1"/>
  <c r="G314" i="66"/>
  <c r="H314" i="66" s="1"/>
  <c r="G313" i="66"/>
  <c r="H313" i="66" s="1"/>
  <c r="G6304" i="58" s="1"/>
  <c r="M6304" i="58" s="1"/>
  <c r="G312" i="66"/>
  <c r="H312" i="66" s="1"/>
  <c r="G311" i="66"/>
  <c r="H311" i="66" s="1"/>
  <c r="G310" i="66"/>
  <c r="H310" i="66" s="1"/>
  <c r="G309" i="66"/>
  <c r="H309" i="66" s="1"/>
  <c r="G7219" i="58" s="1"/>
  <c r="M7219" i="58" s="1"/>
  <c r="G308" i="66"/>
  <c r="H308" i="66" s="1"/>
  <c r="G307" i="66"/>
  <c r="H307" i="66" s="1"/>
  <c r="G6250" i="58" s="1"/>
  <c r="M6250" i="58" s="1"/>
  <c r="G306" i="66"/>
  <c r="H306" i="66" s="1"/>
  <c r="G6249" i="58" s="1"/>
  <c r="M6249" i="58" s="1"/>
  <c r="G305" i="66"/>
  <c r="H305" i="66" s="1"/>
  <c r="G6082" i="58" s="1"/>
  <c r="M6082" i="58" s="1"/>
  <c r="G304" i="66"/>
  <c r="H304" i="66" s="1"/>
  <c r="G6302" i="58" s="1"/>
  <c r="M6302" i="58" s="1"/>
  <c r="G303" i="66"/>
  <c r="H303" i="66" s="1"/>
  <c r="G302" i="66"/>
  <c r="H302" i="66" s="1"/>
  <c r="G301" i="66"/>
  <c r="H301" i="66" s="1"/>
  <c r="G6561" i="58" s="1"/>
  <c r="M6561" i="58" s="1"/>
  <c r="G300" i="66"/>
  <c r="H300" i="66" s="1"/>
  <c r="G6729" i="58" s="1"/>
  <c r="M6729" i="58" s="1"/>
  <c r="G299" i="66"/>
  <c r="H299" i="66" s="1"/>
  <c r="G298" i="66"/>
  <c r="H298" i="66" s="1"/>
  <c r="G297" i="66"/>
  <c r="H297" i="66" s="1"/>
  <c r="G6560" i="58" s="1"/>
  <c r="M6560" i="58" s="1"/>
  <c r="G296" i="66"/>
  <c r="H296" i="66" s="1"/>
  <c r="G295" i="66"/>
  <c r="H295" i="66" s="1"/>
  <c r="G294" i="66"/>
  <c r="H294" i="66" s="1"/>
  <c r="G6727" i="58" s="1"/>
  <c r="M6727" i="58" s="1"/>
  <c r="G293" i="66"/>
  <c r="H293" i="66" s="1"/>
  <c r="G292" i="66"/>
  <c r="H292" i="66" s="1"/>
  <c r="G291" i="66"/>
  <c r="H291" i="66" s="1"/>
  <c r="G6102" i="58" s="1"/>
  <c r="M6102" i="58" s="1"/>
  <c r="G290" i="66"/>
  <c r="H290" i="66" s="1"/>
  <c r="G5972" i="58" s="1"/>
  <c r="M5972" i="58" s="1"/>
  <c r="G289" i="66"/>
  <c r="H289" i="66" s="1"/>
  <c r="G5841" i="58" s="1"/>
  <c r="M5841" i="58" s="1"/>
  <c r="G288" i="66"/>
  <c r="H288" i="66" s="1"/>
  <c r="G6189" i="58" s="1"/>
  <c r="M6189" i="58" s="1"/>
  <c r="G287" i="66"/>
  <c r="H287" i="66" s="1"/>
  <c r="G286" i="66"/>
  <c r="H286" i="66" s="1"/>
  <c r="G285" i="66"/>
  <c r="H285" i="66" s="1"/>
  <c r="G284" i="66"/>
  <c r="H284" i="66" s="1"/>
  <c r="G283" i="66"/>
  <c r="H283" i="66" s="1"/>
  <c r="G282" i="66"/>
  <c r="H282" i="66" s="1"/>
  <c r="G281" i="66"/>
  <c r="H281" i="66" s="1"/>
  <c r="G280" i="66"/>
  <c r="H280" i="66" s="1"/>
  <c r="G6899" i="58" s="1"/>
  <c r="M6899" i="58" s="1"/>
  <c r="G279" i="66"/>
  <c r="H279" i="66" s="1"/>
  <c r="G278" i="66"/>
  <c r="H278" i="66" s="1"/>
  <c r="G6957" i="58" s="1"/>
  <c r="M6957" i="58" s="1"/>
  <c r="G277" i="66"/>
  <c r="H277" i="66" s="1"/>
  <c r="G6830" i="58" s="1"/>
  <c r="M6830" i="58" s="1"/>
  <c r="G276" i="66"/>
  <c r="H276" i="66" s="1"/>
  <c r="G275" i="66"/>
  <c r="H275" i="66" s="1"/>
  <c r="G6951" i="58" s="1"/>
  <c r="M6951" i="58" s="1"/>
  <c r="G274" i="66"/>
  <c r="H274" i="66" s="1"/>
  <c r="G273" i="66"/>
  <c r="H273" i="66" s="1"/>
  <c r="G272" i="66"/>
  <c r="H272" i="66" s="1"/>
  <c r="G6766" i="58" s="1"/>
  <c r="M6766" i="58" s="1"/>
  <c r="G271" i="66"/>
  <c r="H271" i="66" s="1"/>
  <c r="G6396" i="58" s="1"/>
  <c r="M6396" i="58" s="1"/>
  <c r="G270" i="66"/>
  <c r="H270" i="66" s="1"/>
  <c r="G6913" i="58" s="1"/>
  <c r="M6913" i="58" s="1"/>
  <c r="G269" i="66"/>
  <c r="H269" i="66" s="1"/>
  <c r="G268" i="66"/>
  <c r="H268" i="66" s="1"/>
  <c r="G267" i="66"/>
  <c r="H267" i="66" s="1"/>
  <c r="G266" i="66"/>
  <c r="H266" i="66" s="1"/>
  <c r="G265" i="66"/>
  <c r="H265" i="66" s="1"/>
  <c r="G264" i="66"/>
  <c r="H264" i="66" s="1"/>
  <c r="G6382" i="58" s="1"/>
  <c r="M6382" i="58" s="1"/>
  <c r="G263" i="66"/>
  <c r="H263" i="66" s="1"/>
  <c r="G262" i="66"/>
  <c r="H262" i="66" s="1"/>
  <c r="G6095" i="58" s="1"/>
  <c r="M6095" i="58" s="1"/>
  <c r="G261" i="66"/>
  <c r="H261" i="66" s="1"/>
  <c r="G260" i="66"/>
  <c r="H260" i="66" s="1"/>
  <c r="G259" i="66"/>
  <c r="H259" i="66" s="1"/>
  <c r="G258" i="66"/>
  <c r="H258" i="66" s="1"/>
  <c r="G257" i="66"/>
  <c r="H257" i="66" s="1"/>
  <c r="G6752" i="58" s="1"/>
  <c r="M6752" i="58" s="1"/>
  <c r="G256" i="66"/>
  <c r="H256" i="66" s="1"/>
  <c r="G255" i="66"/>
  <c r="H255" i="66" s="1"/>
  <c r="G6973" i="58" s="1"/>
  <c r="M6973" i="58" s="1"/>
  <c r="G254" i="66"/>
  <c r="H254" i="66" s="1"/>
  <c r="G6751" i="58" s="1"/>
  <c r="M6751" i="58" s="1"/>
  <c r="G253" i="66"/>
  <c r="H253" i="66" s="1"/>
  <c r="G252" i="66"/>
  <c r="H252" i="66" s="1"/>
  <c r="G251" i="66"/>
  <c r="H251" i="66" s="1"/>
  <c r="G6252" i="58" s="1"/>
  <c r="M6252" i="58" s="1"/>
  <c r="G250" i="66"/>
  <c r="H250" i="66" s="1"/>
  <c r="G6750" i="58" s="1"/>
  <c r="M6750" i="58" s="1"/>
  <c r="G249" i="66"/>
  <c r="H249" i="66" s="1"/>
  <c r="G248" i="66"/>
  <c r="H248" i="66" s="1"/>
  <c r="G7090" i="58" s="1"/>
  <c r="M7090" i="58" s="1"/>
  <c r="G247" i="66"/>
  <c r="H247" i="66" s="1"/>
  <c r="G246" i="66"/>
  <c r="H246" i="66" s="1"/>
  <c r="G245" i="66"/>
  <c r="H245" i="66" s="1"/>
  <c r="G244" i="66"/>
  <c r="H244" i="66" s="1"/>
  <c r="G7079" i="58" s="1"/>
  <c r="M7079" i="58" s="1"/>
  <c r="G243" i="66"/>
  <c r="H243" i="66" s="1"/>
  <c r="G242" i="66"/>
  <c r="H242" i="66" s="1"/>
  <c r="G6730" i="58" s="1"/>
  <c r="M6730" i="58" s="1"/>
  <c r="G241" i="66"/>
  <c r="H241" i="66" s="1"/>
  <c r="G240" i="66"/>
  <c r="H240" i="66" s="1"/>
  <c r="G239" i="66"/>
  <c r="H239" i="66" s="1"/>
  <c r="G238" i="66"/>
  <c r="H238" i="66" s="1"/>
  <c r="G237" i="66"/>
  <c r="H237" i="66" s="1"/>
  <c r="G5830" i="58" s="1"/>
  <c r="M5830" i="58" s="1"/>
  <c r="G236" i="66"/>
  <c r="H236" i="66" s="1"/>
  <c r="G235" i="66"/>
  <c r="H235" i="66" s="1"/>
  <c r="G234" i="66"/>
  <c r="H234" i="66" s="1"/>
  <c r="G233" i="66"/>
  <c r="H233" i="66" s="1"/>
  <c r="G6373" i="58" s="1"/>
  <c r="M6373" i="58" s="1"/>
  <c r="G232" i="66"/>
  <c r="H232" i="66" s="1"/>
  <c r="G231" i="66"/>
  <c r="H231" i="66" s="1"/>
  <c r="G7066" i="58" s="1"/>
  <c r="M7066" i="58" s="1"/>
  <c r="G230" i="66"/>
  <c r="H230" i="66" s="1"/>
  <c r="G6924" i="58" s="1"/>
  <c r="M6924" i="58" s="1"/>
  <c r="G229" i="66"/>
  <c r="H229" i="66" s="1"/>
  <c r="G6164" i="58" s="1"/>
  <c r="M6164" i="58" s="1"/>
  <c r="G228" i="66"/>
  <c r="H228" i="66" s="1"/>
  <c r="G227" i="66"/>
  <c r="H227" i="66" s="1"/>
  <c r="G226" i="66"/>
  <c r="H226" i="66" s="1"/>
  <c r="G225" i="66"/>
  <c r="H225" i="66" s="1"/>
  <c r="G224" i="66"/>
  <c r="H224" i="66" s="1"/>
  <c r="G6299" i="58" s="1"/>
  <c r="M6299" i="58" s="1"/>
  <c r="G223" i="66"/>
  <c r="H223" i="66" s="1"/>
  <c r="G6876" i="58" s="1"/>
  <c r="M6876" i="58" s="1"/>
  <c r="G222" i="66"/>
  <c r="H222" i="66" s="1"/>
  <c r="G6298" i="58" s="1"/>
  <c r="M6298" i="58" s="1"/>
  <c r="G221" i="66"/>
  <c r="H221" i="66" s="1"/>
  <c r="G220" i="66"/>
  <c r="H220" i="66" s="1"/>
  <c r="G219" i="66"/>
  <c r="H219" i="66" s="1"/>
  <c r="G218" i="66"/>
  <c r="H218" i="66" s="1"/>
  <c r="G6372" i="58" s="1"/>
  <c r="M6372" i="58" s="1"/>
  <c r="G217" i="66"/>
  <c r="H217" i="66" s="1"/>
  <c r="G6251" i="58" s="1"/>
  <c r="M6251" i="58" s="1"/>
  <c r="G216" i="66"/>
  <c r="H216" i="66" s="1"/>
  <c r="G5829" i="58" s="1"/>
  <c r="M5829" i="58" s="1"/>
  <c r="G215" i="66"/>
  <c r="H215" i="66" s="1"/>
  <c r="G5842" i="58" s="1"/>
  <c r="M5842" i="58" s="1"/>
  <c r="G214" i="66"/>
  <c r="H214" i="66" s="1"/>
  <c r="G6198" i="58" s="1"/>
  <c r="M6198" i="58" s="1"/>
  <c r="G213" i="66"/>
  <c r="H213" i="66" s="1"/>
  <c r="G6248" i="58" s="1"/>
  <c r="M6248" i="58" s="1"/>
  <c r="G212" i="66"/>
  <c r="H212" i="66" s="1"/>
  <c r="G6388" i="58" s="1"/>
  <c r="M6388" i="58" s="1"/>
  <c r="G211" i="66"/>
  <c r="H211" i="66" s="1"/>
  <c r="G210" i="66"/>
  <c r="H210" i="66" s="1"/>
  <c r="G6970" i="58" s="1"/>
  <c r="M6970" i="58" s="1"/>
  <c r="G209" i="66"/>
  <c r="H209" i="66" s="1"/>
  <c r="G208" i="66"/>
  <c r="H208" i="66" s="1"/>
  <c r="G5902" i="58" s="1"/>
  <c r="M5902" i="58" s="1"/>
  <c r="G207" i="66"/>
  <c r="H207" i="66" s="1"/>
  <c r="G5932" i="58" s="1"/>
  <c r="M5932" i="58" s="1"/>
  <c r="G206" i="66"/>
  <c r="H206" i="66" s="1"/>
  <c r="G5927" i="58" s="1"/>
  <c r="M5927" i="58" s="1"/>
  <c r="G205" i="66"/>
  <c r="H205" i="66" s="1"/>
  <c r="G204" i="66"/>
  <c r="H204" i="66" s="1"/>
  <c r="G6074" i="58" s="1"/>
  <c r="M6074" i="58" s="1"/>
  <c r="G203" i="66"/>
  <c r="H203" i="66" s="1"/>
  <c r="G202" i="66"/>
  <c r="H202" i="66" s="1"/>
  <c r="G5917" i="58" s="1"/>
  <c r="M5917" i="58" s="1"/>
  <c r="G201" i="66"/>
  <c r="H201" i="66" s="1"/>
  <c r="G200" i="66"/>
  <c r="H200" i="66" s="1"/>
  <c r="G6208" i="58" s="1"/>
  <c r="M6208" i="58" s="1"/>
  <c r="G199" i="66"/>
  <c r="H199" i="66" s="1"/>
  <c r="G6197" i="58" s="1"/>
  <c r="M6197" i="58" s="1"/>
  <c r="G198" i="66"/>
  <c r="H198" i="66" s="1"/>
  <c r="G197" i="66"/>
  <c r="H197" i="66" s="1"/>
  <c r="G196" i="66"/>
  <c r="H196" i="66" s="1"/>
  <c r="G195" i="66"/>
  <c r="H195" i="66" s="1"/>
  <c r="G7112" i="58" s="1"/>
  <c r="M7112" i="58" s="1"/>
  <c r="G194" i="66"/>
  <c r="H194" i="66" s="1"/>
  <c r="G6840" i="58" s="1"/>
  <c r="M6840" i="58" s="1"/>
  <c r="G193" i="66"/>
  <c r="H193" i="66" s="1"/>
  <c r="G6218" i="58" s="1"/>
  <c r="M6218" i="58" s="1"/>
  <c r="G192" i="66"/>
  <c r="H192" i="66" s="1"/>
  <c r="G191" i="66"/>
  <c r="H191" i="66" s="1"/>
  <c r="G190" i="66"/>
  <c r="H190" i="66" s="1"/>
  <c r="G189" i="66"/>
  <c r="H189" i="66" s="1"/>
  <c r="G188" i="66"/>
  <c r="H188" i="66" s="1"/>
  <c r="G187" i="66"/>
  <c r="H187" i="66" s="1"/>
  <c r="G6831" i="58" s="1"/>
  <c r="M6831" i="58" s="1"/>
  <c r="G186" i="66"/>
  <c r="H186" i="66" s="1"/>
  <c r="G185" i="66"/>
  <c r="H185" i="66" s="1"/>
  <c r="G184" i="66"/>
  <c r="H184" i="66" s="1"/>
  <c r="G6761" i="58" s="1"/>
  <c r="M6761" i="58" s="1"/>
  <c r="G183" i="66"/>
  <c r="H183" i="66" s="1"/>
  <c r="G182" i="66"/>
  <c r="H182" i="66" s="1"/>
  <c r="G181" i="66"/>
  <c r="H181" i="66" s="1"/>
  <c r="G180" i="66"/>
  <c r="H180" i="66" s="1"/>
  <c r="G179" i="66"/>
  <c r="H179" i="66" s="1"/>
  <c r="G178" i="66"/>
  <c r="H178" i="66" s="1"/>
  <c r="G177" i="66"/>
  <c r="H177" i="66" s="1"/>
  <c r="G176" i="66"/>
  <c r="H176" i="66" s="1"/>
  <c r="G175" i="66"/>
  <c r="H175" i="66" s="1"/>
  <c r="G174" i="66"/>
  <c r="H174" i="66" s="1"/>
  <c r="G4814" i="58" s="1"/>
  <c r="M4814" i="58" s="1"/>
  <c r="G173" i="66"/>
  <c r="H173" i="66" s="1"/>
  <c r="G4895" i="58" s="1"/>
  <c r="M4895" i="58" s="1"/>
  <c r="G172" i="66"/>
  <c r="H172" i="66" s="1"/>
  <c r="G171" i="66"/>
  <c r="H171" i="66" s="1"/>
  <c r="G170" i="66"/>
  <c r="H170" i="66" s="1"/>
  <c r="G169" i="66"/>
  <c r="H169" i="66" s="1"/>
  <c r="G168" i="66"/>
  <c r="H168" i="66" s="1"/>
  <c r="G167" i="66"/>
  <c r="H167" i="66" s="1"/>
  <c r="G5993" i="58" s="1"/>
  <c r="M5993" i="58" s="1"/>
  <c r="G166" i="66"/>
  <c r="H166" i="66" s="1"/>
  <c r="G165" i="66"/>
  <c r="H165" i="66" s="1"/>
  <c r="G5897" i="58" s="1"/>
  <c r="M5897" i="58" s="1"/>
  <c r="G164" i="66"/>
  <c r="H164" i="66" s="1"/>
  <c r="G163" i="66"/>
  <c r="H163" i="66" s="1"/>
  <c r="G162" i="66"/>
  <c r="H162" i="66" s="1"/>
  <c r="G161" i="66"/>
  <c r="H161" i="66" s="1"/>
  <c r="G5779" i="58" s="1"/>
  <c r="M5779" i="58" s="1"/>
  <c r="G160" i="66"/>
  <c r="H160" i="66" s="1"/>
  <c r="G159" i="66"/>
  <c r="H159" i="66" s="1"/>
  <c r="G158" i="66"/>
  <c r="H158" i="66" s="1"/>
  <c r="G157" i="66"/>
  <c r="H157" i="66" s="1"/>
  <c r="G156" i="66"/>
  <c r="H156" i="66" s="1"/>
  <c r="G155" i="66"/>
  <c r="H155" i="66" s="1"/>
  <c r="G154" i="66"/>
  <c r="H154" i="66" s="1"/>
  <c r="G153" i="66"/>
  <c r="H153" i="66" s="1"/>
  <c r="G152" i="66"/>
  <c r="H152" i="66" s="1"/>
  <c r="G151" i="66"/>
  <c r="H151" i="66" s="1"/>
  <c r="G150" i="66"/>
  <c r="H150" i="66" s="1"/>
  <c r="G149" i="66"/>
  <c r="H149" i="66" s="1"/>
  <c r="G148" i="66"/>
  <c r="H148" i="66" s="1"/>
  <c r="G147" i="66"/>
  <c r="H147" i="66" s="1"/>
  <c r="G146" i="66"/>
  <c r="H146" i="66" s="1"/>
  <c r="G145" i="66"/>
  <c r="H145" i="66" s="1"/>
  <c r="G144" i="66"/>
  <c r="H144" i="66" s="1"/>
  <c r="G143" i="66"/>
  <c r="H143" i="66" s="1"/>
  <c r="G142" i="66"/>
  <c r="H142" i="66" s="1"/>
  <c r="G141" i="66"/>
  <c r="H141" i="66" s="1"/>
  <c r="G140" i="66"/>
  <c r="H140" i="66" s="1"/>
  <c r="G6547" i="58" s="1"/>
  <c r="M6547" i="58" s="1"/>
  <c r="G139" i="66"/>
  <c r="H139" i="66" s="1"/>
  <c r="G138" i="66"/>
  <c r="H138" i="66" s="1"/>
  <c r="G137" i="66"/>
  <c r="H137" i="66" s="1"/>
  <c r="G136" i="66"/>
  <c r="H136" i="66" s="1"/>
  <c r="G135" i="66"/>
  <c r="H135" i="66" s="1"/>
  <c r="G134" i="66"/>
  <c r="H134" i="66" s="1"/>
  <c r="G133" i="66"/>
  <c r="H133" i="66" s="1"/>
  <c r="G132" i="66"/>
  <c r="H132" i="66" s="1"/>
  <c r="G131" i="66"/>
  <c r="H131" i="66" s="1"/>
  <c r="G130" i="66"/>
  <c r="H130" i="66" s="1"/>
  <c r="G6400" i="58" s="1"/>
  <c r="M6400" i="58" s="1"/>
  <c r="G129" i="66"/>
  <c r="H129" i="66" s="1"/>
  <c r="G128" i="66"/>
  <c r="H128" i="66" s="1"/>
  <c r="G127" i="66"/>
  <c r="H127" i="66" s="1"/>
  <c r="G126" i="66"/>
  <c r="H126" i="66" s="1"/>
  <c r="G125" i="66"/>
  <c r="H125" i="66" s="1"/>
  <c r="G124" i="66"/>
  <c r="H124" i="66" s="1"/>
  <c r="G123" i="66"/>
  <c r="H123" i="66" s="1"/>
  <c r="G122" i="66"/>
  <c r="H122" i="66" s="1"/>
  <c r="G121" i="66"/>
  <c r="H121" i="66" s="1"/>
  <c r="G5710" i="58" s="1"/>
  <c r="M5710" i="58" s="1"/>
  <c r="G120" i="66"/>
  <c r="H120" i="66" s="1"/>
  <c r="G5627" i="58" s="1"/>
  <c r="M5627" i="58" s="1"/>
  <c r="G119" i="66"/>
  <c r="H119" i="66" s="1"/>
  <c r="G118" i="66"/>
  <c r="H118" i="66" s="1"/>
  <c r="G117" i="66"/>
  <c r="H117" i="66" s="1"/>
  <c r="G116" i="66"/>
  <c r="H116" i="66" s="1"/>
  <c r="G115" i="66"/>
  <c r="H115" i="66" s="1"/>
  <c r="G114" i="66"/>
  <c r="H114" i="66" s="1"/>
  <c r="G5102" i="58" s="1"/>
  <c r="M5102" i="58" s="1"/>
  <c r="G113" i="66"/>
  <c r="H113" i="66" s="1"/>
  <c r="G5903" i="58" s="1"/>
  <c r="M5903" i="58" s="1"/>
  <c r="G112" i="66"/>
  <c r="H112" i="66" s="1"/>
  <c r="G111" i="66"/>
  <c r="H111" i="66" s="1"/>
  <c r="G110" i="66"/>
  <c r="H110" i="66" s="1"/>
  <c r="G109" i="66"/>
  <c r="H109" i="66" s="1"/>
  <c r="G108" i="66"/>
  <c r="H108" i="66" s="1"/>
  <c r="G107" i="66"/>
  <c r="H107" i="66" s="1"/>
  <c r="G106" i="66"/>
  <c r="H106" i="66" s="1"/>
  <c r="G105" i="66"/>
  <c r="H105" i="66" s="1"/>
  <c r="G104" i="66"/>
  <c r="H104" i="66" s="1"/>
  <c r="G103" i="66"/>
  <c r="H103" i="66" s="1"/>
  <c r="G102" i="66"/>
  <c r="H102" i="66" s="1"/>
  <c r="G6788" i="58" s="1"/>
  <c r="M6788" i="58" s="1"/>
  <c r="G101" i="66"/>
  <c r="H101" i="66" s="1"/>
  <c r="G100" i="66"/>
  <c r="H100" i="66" s="1"/>
  <c r="G99" i="66"/>
  <c r="H99" i="66" s="1"/>
  <c r="G98" i="66"/>
  <c r="H98" i="66" s="1"/>
  <c r="G97" i="66"/>
  <c r="H97" i="66" s="1"/>
  <c r="G96" i="66"/>
  <c r="H96" i="66" s="1"/>
  <c r="G95" i="66"/>
  <c r="H95" i="66" s="1"/>
  <c r="G94" i="66"/>
  <c r="H94" i="66" s="1"/>
  <c r="G6735" i="58" s="1"/>
  <c r="M6735" i="58" s="1"/>
  <c r="G93" i="66"/>
  <c r="H93" i="66" s="1"/>
  <c r="G92" i="66"/>
  <c r="H92" i="66" s="1"/>
  <c r="G91" i="66"/>
  <c r="H91" i="66" s="1"/>
  <c r="G6223" i="58" s="1"/>
  <c r="M6223" i="58" s="1"/>
  <c r="G90" i="66"/>
  <c r="H90" i="66" s="1"/>
  <c r="G6784" i="58" s="1"/>
  <c r="M6784" i="58" s="1"/>
  <c r="G89" i="66"/>
  <c r="H89" i="66" s="1"/>
  <c r="G88" i="66"/>
  <c r="H88" i="66" s="1"/>
  <c r="G87" i="66"/>
  <c r="H87" i="66" s="1"/>
  <c r="G3778" i="58" s="1"/>
  <c r="M3778" i="58" s="1"/>
  <c r="G86" i="66"/>
  <c r="H86" i="66" s="1"/>
  <c r="G85" i="66"/>
  <c r="H85" i="66" s="1"/>
  <c r="G84" i="66"/>
  <c r="H84" i="66" s="1"/>
  <c r="G83" i="66"/>
  <c r="H83" i="66" s="1"/>
  <c r="G82" i="66"/>
  <c r="H82" i="66" s="1"/>
  <c r="G81" i="66"/>
  <c r="H81" i="66" s="1"/>
  <c r="G80" i="66"/>
  <c r="H80" i="66" s="1"/>
  <c r="G79" i="66"/>
  <c r="H79" i="66" s="1"/>
  <c r="G78" i="66"/>
  <c r="H78" i="66" s="1"/>
  <c r="G77" i="66"/>
  <c r="H77" i="66" s="1"/>
  <c r="G76" i="66"/>
  <c r="H76" i="66" s="1"/>
  <c r="G75" i="66"/>
  <c r="H75" i="66" s="1"/>
  <c r="G74" i="66"/>
  <c r="H74" i="66" s="1"/>
  <c r="G73" i="66"/>
  <c r="H73" i="66" s="1"/>
  <c r="G72" i="66"/>
  <c r="H72" i="66" s="1"/>
  <c r="G5668" i="58" s="1"/>
  <c r="M5668" i="58" s="1"/>
  <c r="G71" i="66"/>
  <c r="H71" i="66" s="1"/>
  <c r="G6769" i="58" s="1"/>
  <c r="M6769" i="58" s="1"/>
  <c r="G70" i="66"/>
  <c r="H70" i="66" s="1"/>
  <c r="G69" i="66"/>
  <c r="H69" i="66" s="1"/>
  <c r="G68" i="66"/>
  <c r="H68" i="66" s="1"/>
  <c r="G67" i="66"/>
  <c r="H67" i="66" s="1"/>
  <c r="G66" i="66"/>
  <c r="H66" i="66" s="1"/>
  <c r="G65" i="66"/>
  <c r="H65" i="66" s="1"/>
  <c r="G64" i="66"/>
  <c r="H64" i="66" s="1"/>
  <c r="G63" i="66"/>
  <c r="H63" i="66" s="1"/>
  <c r="G62" i="66"/>
  <c r="H62" i="66" s="1"/>
  <c r="G61" i="66"/>
  <c r="H61" i="66" s="1"/>
  <c r="G60" i="66"/>
  <c r="H60" i="66" s="1"/>
  <c r="G59" i="66"/>
  <c r="H59" i="66" s="1"/>
  <c r="G58" i="66"/>
  <c r="H58" i="66" s="1"/>
  <c r="G57" i="66"/>
  <c r="H57" i="66" s="1"/>
  <c r="G56" i="66"/>
  <c r="H56" i="66" s="1"/>
  <c r="G55" i="66"/>
  <c r="H55" i="66" s="1"/>
  <c r="G54" i="66"/>
  <c r="H54" i="66" s="1"/>
  <c r="G53" i="66"/>
  <c r="H53" i="66" s="1"/>
  <c r="G52" i="66"/>
  <c r="H52" i="66" s="1"/>
  <c r="G5667" i="58" s="1"/>
  <c r="M5667" i="58" s="1"/>
  <c r="G51" i="66"/>
  <c r="H51" i="66" s="1"/>
  <c r="G50" i="66"/>
  <c r="H50" i="66" s="1"/>
  <c r="G49" i="66"/>
  <c r="H49" i="66" s="1"/>
  <c r="G48" i="66"/>
  <c r="H48" i="66" s="1"/>
  <c r="G47" i="66"/>
  <c r="H47" i="66" s="1"/>
  <c r="G46" i="66"/>
  <c r="H46" i="66" s="1"/>
  <c r="G45" i="66"/>
  <c r="H45" i="66" s="1"/>
  <c r="G6854" i="58" s="1"/>
  <c r="M6854" i="58" s="1"/>
  <c r="G44" i="66"/>
  <c r="H44" i="66" s="1"/>
  <c r="G43" i="66"/>
  <c r="H43" i="66" s="1"/>
  <c r="G42" i="66"/>
  <c r="H42" i="66" s="1"/>
  <c r="G41" i="66"/>
  <c r="H41" i="66" s="1"/>
  <c r="G40" i="66"/>
  <c r="H40" i="66" s="1"/>
  <c r="G39" i="66"/>
  <c r="H39" i="66" s="1"/>
  <c r="G38" i="66"/>
  <c r="H38" i="66" s="1"/>
  <c r="G37" i="66"/>
  <c r="H37" i="66" s="1"/>
  <c r="G7140" i="58" s="1"/>
  <c r="M7140" i="58" s="1"/>
  <c r="G36" i="66"/>
  <c r="H36" i="66" s="1"/>
  <c r="G35" i="66"/>
  <c r="H35" i="66" s="1"/>
  <c r="G34" i="66"/>
  <c r="H34" i="66" s="1"/>
  <c r="G33" i="66"/>
  <c r="H33" i="66" s="1"/>
  <c r="G32" i="66"/>
  <c r="H32" i="66" s="1"/>
  <c r="G31" i="66"/>
  <c r="H31" i="66" s="1"/>
  <c r="G30" i="66"/>
  <c r="H30" i="66" s="1"/>
  <c r="G29" i="66"/>
  <c r="H29" i="66" s="1"/>
  <c r="G28" i="66"/>
  <c r="H28" i="66" s="1"/>
  <c r="G27" i="66"/>
  <c r="H27" i="66" s="1"/>
  <c r="G26" i="66"/>
  <c r="H26" i="66" s="1"/>
  <c r="G25" i="66"/>
  <c r="H25" i="66" s="1"/>
  <c r="G24" i="66"/>
  <c r="H24" i="66" s="1"/>
  <c r="G23" i="66"/>
  <c r="H23" i="66" s="1"/>
  <c r="G22" i="66"/>
  <c r="H22" i="66" s="1"/>
  <c r="G21" i="66"/>
  <c r="H21" i="66" s="1"/>
  <c r="G7138" i="58" s="1"/>
  <c r="M7138" i="58" s="1"/>
  <c r="G20" i="66"/>
  <c r="H20" i="66" s="1"/>
  <c r="G19" i="66"/>
  <c r="H19" i="66" s="1"/>
  <c r="G7195" i="58" s="1"/>
  <c r="M7195" i="58" s="1"/>
  <c r="G18" i="66"/>
  <c r="H18" i="66" s="1"/>
  <c r="G17" i="66"/>
  <c r="H17" i="66" s="1"/>
  <c r="G16" i="66"/>
  <c r="H16" i="66" s="1"/>
  <c r="G7137" i="58" s="1"/>
  <c r="M7137" i="58" s="1"/>
  <c r="G15" i="66"/>
  <c r="H15" i="66" s="1"/>
  <c r="G7139" i="58" s="1"/>
  <c r="M7139" i="58" s="1"/>
  <c r="G14" i="66"/>
  <c r="H14" i="66" s="1"/>
  <c r="G13" i="66"/>
  <c r="H13" i="66" s="1"/>
  <c r="G12" i="66"/>
  <c r="H12" i="66" s="1"/>
  <c r="G11" i="66"/>
  <c r="H11" i="66" s="1"/>
  <c r="G10" i="66"/>
  <c r="H10" i="66" s="1"/>
  <c r="G9" i="66"/>
  <c r="H9" i="66" s="1"/>
  <c r="G8" i="66"/>
  <c r="H8" i="66" s="1"/>
  <c r="G7" i="66"/>
  <c r="H7" i="66" s="1"/>
  <c r="G6" i="66"/>
  <c r="H6" i="66" s="1"/>
  <c r="G5" i="66"/>
  <c r="H5" i="66" s="1"/>
  <c r="G4" i="66"/>
  <c r="H4" i="66" s="1"/>
  <c r="G3" i="66"/>
  <c r="H3" i="66" s="1"/>
  <c r="G2" i="66"/>
  <c r="H2" i="66" s="1"/>
  <c r="G6245" i="58" l="1"/>
  <c r="M6245" i="58" s="1"/>
  <c r="G6827" i="58"/>
  <c r="M6827" i="58" s="1"/>
  <c r="G6781" i="58"/>
  <c r="M6781" i="58" s="1"/>
  <c r="G6791" i="58"/>
  <c r="M6791" i="58" s="1"/>
  <c r="G6965" i="58"/>
  <c r="M6965" i="58" s="1"/>
  <c r="G6983" i="58"/>
  <c r="M6983" i="58" s="1"/>
  <c r="G7017" i="58"/>
  <c r="M7017" i="58" s="1"/>
  <c r="G5757" i="58"/>
  <c r="M5757" i="58" s="1"/>
  <c r="G5758" i="58"/>
  <c r="M5758" i="58" s="1"/>
  <c r="G6947" i="58"/>
  <c r="M6947" i="58" s="1"/>
  <c r="G6067" i="58"/>
  <c r="M6067" i="58" s="1"/>
  <c r="G6948" i="58"/>
  <c r="M6948" i="58" s="1"/>
  <c r="G7206" i="58"/>
  <c r="M7206" i="58" s="1"/>
  <c r="G6961" i="58"/>
  <c r="M6961" i="58" s="1"/>
  <c r="G6713" i="58"/>
  <c r="M6713" i="58" s="1"/>
  <c r="G6300" i="58"/>
  <c r="M6300" i="58" s="1"/>
  <c r="G6874" i="58"/>
  <c r="M6874" i="58" s="1"/>
  <c r="G6301" i="58"/>
  <c r="M6301" i="58" s="1"/>
  <c r="G7114" i="58"/>
  <c r="M7114" i="58" s="1"/>
  <c r="G6541" i="58"/>
  <c r="M6541" i="58" s="1"/>
  <c r="G6625" i="58"/>
  <c r="M6625" i="58" s="1"/>
  <c r="G6539" i="58"/>
  <c r="M6539" i="58" s="1"/>
  <c r="G5642" i="58"/>
  <c r="M5642" i="58" s="1"/>
  <c r="G6538" i="58"/>
  <c r="M6538" i="58" s="1"/>
  <c r="G6624" i="58"/>
  <c r="M6624" i="58" s="1"/>
  <c r="G6540" i="58"/>
  <c r="M6540" i="58" s="1"/>
  <c r="G6201" i="58"/>
  <c r="M6201" i="58" s="1"/>
  <c r="G6705" i="58"/>
  <c r="M6705" i="58" s="1"/>
  <c r="G6779" i="58"/>
  <c r="M6779" i="58" s="1"/>
  <c r="G6180" i="58"/>
  <c r="M6180" i="58" s="1"/>
  <c r="G6778" i="58"/>
  <c r="M6778" i="58" s="1"/>
  <c r="G6200" i="58"/>
  <c r="M6200" i="58" s="1"/>
  <c r="G6323" i="58"/>
  <c r="M6323" i="58" s="1"/>
  <c r="G6917" i="58"/>
  <c r="M6917" i="58" s="1"/>
  <c r="G6181" i="58"/>
  <c r="M6181" i="58" s="1"/>
  <c r="G7086" i="58"/>
  <c r="M7086" i="58" s="1"/>
  <c r="G7123" i="58"/>
  <c r="M7123" i="58" s="1"/>
  <c r="G6891" i="58"/>
  <c r="M6891" i="58" s="1"/>
  <c r="G6968" i="58"/>
  <c r="M6968" i="58" s="1"/>
  <c r="G6395" i="58"/>
  <c r="M6395" i="58" s="1"/>
  <c r="G7069" i="58"/>
  <c r="M7069" i="58" s="1"/>
  <c r="G6780" i="58"/>
  <c r="M6780" i="58" s="1"/>
  <c r="G6894" i="58"/>
  <c r="M6894" i="58" s="1"/>
  <c r="G7252" i="58"/>
  <c r="M7252" i="58" s="1"/>
  <c r="G6967" i="58"/>
  <c r="M6967" i="58" s="1"/>
  <c r="G6763" i="58"/>
  <c r="M6763" i="58" s="1"/>
  <c r="G7108" i="58"/>
  <c r="M7108" i="58" s="1"/>
  <c r="G6991" i="58"/>
  <c r="M6991" i="58" s="1"/>
  <c r="G5980" i="58"/>
  <c r="M5980" i="58" s="1"/>
  <c r="G5981" i="58"/>
  <c r="M5981" i="58" s="1"/>
  <c r="G7084" i="58"/>
  <c r="M7084" i="58" s="1"/>
  <c r="G6336" i="58"/>
  <c r="M6336" i="58" s="1"/>
  <c r="G7080" i="58"/>
  <c r="M7080" i="58" s="1"/>
  <c r="G7225" i="58"/>
  <c r="M7225" i="58" s="1"/>
  <c r="G5982" i="58"/>
  <c r="M5982" i="58" s="1"/>
  <c r="G6312" i="58"/>
  <c r="M6312" i="58" s="1"/>
  <c r="G7040" i="58"/>
  <c r="M7040" i="58" s="1"/>
  <c r="G7207" i="58"/>
  <c r="M7207" i="58" s="1"/>
  <c r="G7224" i="58"/>
  <c r="M7224" i="58" s="1"/>
  <c r="G6908" i="58"/>
  <c r="M6908" i="58" s="1"/>
  <c r="G6337" i="58"/>
  <c r="M6337" i="58" s="1"/>
  <c r="G6993" i="58"/>
  <c r="M6993" i="58" s="1"/>
  <c r="G7242" i="58"/>
  <c r="M7242" i="58" s="1"/>
  <c r="G6907" i="58"/>
  <c r="M6907" i="58" s="1"/>
  <c r="G7007" i="58"/>
  <c r="M7007" i="58" s="1"/>
  <c r="G6397" i="58"/>
  <c r="M6397" i="58" s="1"/>
  <c r="G6178" i="58"/>
  <c r="M6178" i="58" s="1"/>
  <c r="G6684" i="58"/>
  <c r="M6684" i="58" s="1"/>
  <c r="G6542" i="58"/>
  <c r="M6542" i="58" s="1"/>
  <c r="G6543" i="58"/>
  <c r="M6543" i="58" s="1"/>
  <c r="G6892" i="58"/>
  <c r="M6892" i="58" s="1"/>
  <c r="G6883" i="58"/>
  <c r="M6883" i="58" s="1"/>
  <c r="G5812" i="58"/>
  <c r="M5812" i="58" s="1"/>
  <c r="G7152" i="58"/>
  <c r="M7152" i="58" s="1"/>
  <c r="G7191" i="58"/>
  <c r="M7191" i="58" s="1"/>
  <c r="G7190" i="58"/>
  <c r="M7190" i="58" s="1"/>
  <c r="G6075" i="58"/>
  <c r="M6075" i="58" s="1"/>
  <c r="G5925" i="58"/>
  <c r="M5925" i="58" s="1"/>
  <c r="G6768" i="58"/>
  <c r="M6768" i="58" s="1"/>
  <c r="G6755" i="58"/>
  <c r="M6755" i="58" s="1"/>
  <c r="G6076" i="58"/>
  <c r="M6076" i="58" s="1"/>
  <c r="G6845" i="58"/>
  <c r="M6845" i="58" s="1"/>
  <c r="G6915" i="58"/>
  <c r="M6915" i="58" s="1"/>
  <c r="G6380" i="58"/>
  <c r="M6380" i="58" s="1"/>
  <c r="G6816" i="58"/>
  <c r="M6816" i="58" s="1"/>
  <c r="G7014" i="58"/>
  <c r="M7014" i="58" s="1"/>
  <c r="G7042" i="58"/>
  <c r="M7042" i="58" s="1"/>
  <c r="G6169" i="58"/>
  <c r="M6169" i="58" s="1"/>
  <c r="G7026" i="58"/>
  <c r="M7026" i="58" s="1"/>
  <c r="G7041" i="58"/>
  <c r="M7041" i="58" s="1"/>
  <c r="G6404" i="58"/>
  <c r="M6404" i="58" s="1"/>
  <c r="G6224" i="58"/>
  <c r="M6224" i="58" s="1"/>
  <c r="G7223" i="58"/>
  <c r="M7223" i="58" s="1"/>
  <c r="G7200" i="58"/>
  <c r="M7200" i="58" s="1"/>
  <c r="G5876" i="58"/>
  <c r="M5876" i="58" s="1"/>
  <c r="G5890" i="58"/>
  <c r="M5890" i="58" s="1"/>
  <c r="G5879" i="58"/>
  <c r="M5879" i="58" s="1"/>
  <c r="G5882" i="58"/>
  <c r="M5882" i="58" s="1"/>
  <c r="G5871" i="58"/>
  <c r="M5871" i="58" s="1"/>
  <c r="G5885" i="58"/>
  <c r="M5885" i="58" s="1"/>
  <c r="G5874" i="58"/>
  <c r="M5874" i="58" s="1"/>
  <c r="G5888" i="58"/>
  <c r="M5888" i="58" s="1"/>
  <c r="G5883" i="58"/>
  <c r="M5883" i="58" s="1"/>
  <c r="G6135" i="58"/>
  <c r="M6135" i="58" s="1"/>
  <c r="G5872" i="58"/>
  <c r="M5872" i="58" s="1"/>
  <c r="G5886" i="58"/>
  <c r="M5886" i="58" s="1"/>
  <c r="G5873" i="58"/>
  <c r="M5873" i="58" s="1"/>
  <c r="G5889" i="58"/>
  <c r="M5889" i="58" s="1"/>
  <c r="G5892" i="58"/>
  <c r="M5892" i="58" s="1"/>
  <c r="G6136" i="58"/>
  <c r="M6136" i="58" s="1"/>
  <c r="G5877" i="58"/>
  <c r="M5877" i="58" s="1"/>
  <c r="G5880" i="58"/>
  <c r="M5880" i="58" s="1"/>
  <c r="G5887" i="58"/>
  <c r="M5887" i="58" s="1"/>
  <c r="G5884" i="58"/>
  <c r="M5884" i="58" s="1"/>
  <c r="G5891" i="58"/>
  <c r="M5891" i="58" s="1"/>
  <c r="G5881" i="58"/>
  <c r="M5881" i="58" s="1"/>
  <c r="G5875" i="58"/>
  <c r="M5875" i="58" s="1"/>
  <c r="G6378" i="58"/>
  <c r="M6378" i="58" s="1"/>
  <c r="G5878" i="58"/>
  <c r="M5878" i="58" s="1"/>
  <c r="G7008" i="58"/>
  <c r="M7008" i="58" s="1"/>
  <c r="G6955" i="58"/>
  <c r="M6955" i="58" s="1"/>
  <c r="G6931" i="58"/>
  <c r="M6931" i="58" s="1"/>
  <c r="G7015" i="58"/>
  <c r="M7015" i="58" s="1"/>
  <c r="G5997" i="58"/>
  <c r="M5997" i="58" s="1"/>
  <c r="G7250" i="58"/>
  <c r="M7250" i="58" s="1"/>
  <c r="G6989" i="58"/>
  <c r="M6989" i="58" s="1"/>
  <c r="G7118" i="58"/>
  <c r="M7118" i="58" s="1"/>
  <c r="G6811" i="58"/>
  <c r="M6811" i="58" s="1"/>
  <c r="G6738" i="58"/>
  <c r="M6738" i="58" s="1"/>
  <c r="G7009" i="58"/>
  <c r="M7009" i="58" s="1"/>
  <c r="G7126" i="58"/>
  <c r="M7126" i="58" s="1"/>
  <c r="G6573" i="58"/>
  <c r="M6573" i="58" s="1"/>
  <c r="G7100" i="58"/>
  <c r="M7100" i="58" s="1"/>
  <c r="G7101" i="58"/>
  <c r="M7101" i="58" s="1"/>
  <c r="G7262" i="58"/>
  <c r="M7262" i="58" s="1"/>
  <c r="G7261" i="58"/>
  <c r="M7261" i="58" s="1"/>
  <c r="G6958" i="58"/>
  <c r="M6958" i="58" s="1"/>
  <c r="G6685" i="58"/>
  <c r="M6685" i="58" s="1"/>
  <c r="G6972" i="58"/>
  <c r="M6972" i="58" s="1"/>
  <c r="G6714" i="58"/>
  <c r="M6714" i="58" s="1"/>
  <c r="G6485" i="58"/>
  <c r="M6485" i="58" s="1"/>
  <c r="G6888" i="58"/>
  <c r="M6888" i="58" s="1"/>
  <c r="G6484" i="58"/>
  <c r="M6484" i="58" s="1"/>
  <c r="G7256" i="58"/>
  <c r="M7256" i="58" s="1"/>
  <c r="G6391" i="58"/>
  <c r="M6391" i="58" s="1"/>
  <c r="G7059" i="58"/>
  <c r="M7059" i="58" s="1"/>
  <c r="G6599" i="58"/>
  <c r="M6599" i="58" s="1"/>
  <c r="G7031" i="58"/>
  <c r="M7031" i="58" s="1"/>
  <c r="G6236" i="58"/>
  <c r="M6236" i="58" s="1"/>
  <c r="G6238" i="58"/>
  <c r="M6238" i="58" s="1"/>
  <c r="G6237" i="58"/>
  <c r="M6237" i="58" s="1"/>
  <c r="G6439" i="58"/>
  <c r="M6439" i="58" s="1"/>
  <c r="G5745" i="58"/>
  <c r="M5745" i="58" s="1"/>
  <c r="G5746" i="58"/>
  <c r="M5746" i="58" s="1"/>
  <c r="G5914" i="58"/>
  <c r="M5914" i="58" s="1"/>
  <c r="G5913" i="58"/>
  <c r="M5913" i="58" s="1"/>
  <c r="G5744" i="58"/>
  <c r="M5744" i="58" s="1"/>
  <c r="G5894" i="58"/>
  <c r="M5894" i="58" s="1"/>
  <c r="G6088" i="58"/>
  <c r="M6088" i="58" s="1"/>
  <c r="G6563" i="58"/>
  <c r="M6563" i="58" s="1"/>
  <c r="G6919" i="58"/>
  <c r="M6919" i="58" s="1"/>
  <c r="G6453" i="58"/>
  <c r="M6453" i="58" s="1"/>
  <c r="G6401" i="58"/>
  <c r="M6401" i="58" s="1"/>
  <c r="G6544" i="58"/>
  <c r="M6544" i="58" s="1"/>
  <c r="G6454" i="58"/>
  <c r="M6454" i="58" s="1"/>
  <c r="G6452" i="58"/>
  <c r="M6452" i="58" s="1"/>
  <c r="G5896" i="58"/>
  <c r="M5896" i="58" s="1"/>
  <c r="G5731" i="58"/>
  <c r="M5731" i="58" s="1"/>
  <c r="G5895" i="58"/>
  <c r="M5895" i="58" s="1"/>
  <c r="G6064" i="58"/>
  <c r="M6064" i="58" s="1"/>
  <c r="G7196" i="58"/>
  <c r="M7196" i="58" s="1"/>
  <c r="G6702" i="58"/>
  <c r="M6702" i="58" s="1"/>
  <c r="G6063" i="58"/>
  <c r="M6063" i="58" s="1"/>
  <c r="G6596" i="58"/>
  <c r="M6596" i="58" s="1"/>
  <c r="G6716" i="58"/>
  <c r="M6716" i="58" s="1"/>
  <c r="G6796" i="58"/>
  <c r="M6796" i="58" s="1"/>
  <c r="G5999" i="58"/>
  <c r="M5999" i="58" s="1"/>
  <c r="G7205" i="58"/>
  <c r="M7205" i="58" s="1"/>
  <c r="G7048" i="58"/>
  <c r="M7048" i="58" s="1"/>
  <c r="G6392" i="58"/>
  <c r="M6392" i="58" s="1"/>
  <c r="G7049" i="58"/>
  <c r="M7049" i="58" s="1"/>
  <c r="G5836" i="58"/>
  <c r="M5836" i="58" s="1"/>
  <c r="G5835" i="58"/>
  <c r="M5835" i="58" s="1"/>
  <c r="G7022" i="58"/>
  <c r="M7022" i="58" s="1"/>
  <c r="G7253" i="58"/>
  <c r="M7253" i="58" s="1"/>
  <c r="G7002" i="58"/>
  <c r="M7002" i="58" s="1"/>
  <c r="G5799" i="58"/>
  <c r="M5799" i="58" s="1"/>
  <c r="G5800" i="58"/>
  <c r="M5800" i="58" s="1"/>
  <c r="G6600" i="58"/>
  <c r="M6600" i="58" s="1"/>
  <c r="G7109" i="58"/>
  <c r="M7109" i="58" s="1"/>
  <c r="G6486" i="58"/>
  <c r="M6486" i="58" s="1"/>
  <c r="G6487" i="58"/>
  <c r="M6487" i="58" s="1"/>
  <c r="G6601" i="58"/>
  <c r="M6601" i="58" s="1"/>
  <c r="G6841" i="58"/>
  <c r="M6841" i="58" s="1"/>
  <c r="G6706" i="58"/>
  <c r="M6706" i="58" s="1"/>
  <c r="G7238" i="58"/>
  <c r="M7238" i="58" s="1"/>
  <c r="G6294" i="58"/>
  <c r="M6294" i="58" s="1"/>
  <c r="G6842" i="58"/>
  <c r="M6842" i="58" s="1"/>
  <c r="G6089" i="58"/>
  <c r="M6089" i="58" s="1"/>
  <c r="G5747" i="58"/>
  <c r="M5747" i="58" s="1"/>
  <c r="G6090" i="58"/>
  <c r="M6090" i="58" s="1"/>
  <c r="G7046" i="58"/>
  <c r="M7046" i="58" s="1"/>
  <c r="G5915" i="58"/>
  <c r="M5915" i="58" s="1"/>
  <c r="G6072" i="58"/>
  <c r="M6072" i="58" s="1"/>
  <c r="G5624" i="58"/>
  <c r="M5624" i="58" s="1"/>
  <c r="G6163" i="58"/>
  <c r="M6163" i="58" s="1"/>
  <c r="G6545" i="58"/>
  <c r="M6545" i="58" s="1"/>
  <c r="G7036" i="58"/>
  <c r="M7036" i="58" s="1"/>
  <c r="G7211" i="58"/>
  <c r="M7211" i="58" s="1"/>
  <c r="G6455" i="58"/>
  <c r="M6455" i="58" s="1"/>
  <c r="G6626" i="58"/>
  <c r="M6626" i="58" s="1"/>
  <c r="G7061" i="58"/>
  <c r="M7061" i="58" s="1"/>
  <c r="G7019" i="58"/>
  <c r="M7019" i="58" s="1"/>
  <c r="G6627" i="58"/>
  <c r="M6627" i="58" s="1"/>
  <c r="G7062" i="58"/>
  <c r="M7062" i="58" s="1"/>
  <c r="G5834" i="58"/>
  <c r="M5834" i="58" s="1"/>
  <c r="G5832" i="58"/>
  <c r="M5832" i="58" s="1"/>
  <c r="G5833" i="58"/>
  <c r="M5833" i="58" s="1"/>
  <c r="G5831" i="58"/>
  <c r="M5831" i="58" s="1"/>
  <c r="G7160" i="58"/>
  <c r="M7160" i="58" s="1"/>
  <c r="G7161" i="58"/>
  <c r="M7161" i="58" s="1"/>
  <c r="G5998" i="58"/>
  <c r="M5998" i="58" s="1"/>
  <c r="G5919" i="58"/>
  <c r="M5919" i="58" s="1"/>
  <c r="G6772" i="58"/>
  <c r="M6772" i="58" s="1"/>
  <c r="G6795" i="58"/>
  <c r="M6795" i="58" s="1"/>
  <c r="G6303" i="58"/>
  <c r="M6303" i="58" s="1"/>
  <c r="G6085" i="58"/>
  <c r="M6085" i="58" s="1"/>
  <c r="G6852" i="58"/>
  <c r="M6852" i="58" s="1"/>
  <c r="G6710" i="58"/>
  <c r="M6710" i="58" s="1"/>
  <c r="G6443" i="58"/>
  <c r="M6443" i="58" s="1"/>
  <c r="G6916" i="58"/>
  <c r="M6916" i="58" s="1"/>
  <c r="G5793" i="58"/>
  <c r="M5793" i="58" s="1"/>
  <c r="G6444" i="58"/>
  <c r="M6444" i="58" s="1"/>
  <c r="G6959" i="58"/>
  <c r="M6959" i="58" s="1"/>
  <c r="G6442" i="58"/>
  <c r="M6442" i="58" s="1"/>
  <c r="G6870" i="58"/>
  <c r="M6870" i="58" s="1"/>
  <c r="G6240" i="58"/>
  <c r="M6240" i="58" s="1"/>
  <c r="G6943" i="58"/>
  <c r="M6943" i="58" s="1"/>
  <c r="G7213" i="58"/>
  <c r="M7213" i="58" s="1"/>
  <c r="G6792" i="58"/>
  <c r="M6792" i="58" s="1"/>
  <c r="G7241" i="58"/>
  <c r="M7241" i="58" s="1"/>
  <c r="G6239" i="58"/>
  <c r="M6239" i="58" s="1"/>
  <c r="G7245" i="58"/>
  <c r="M7245" i="58" s="1"/>
  <c r="G7024" i="58"/>
  <c r="M7024" i="58" s="1"/>
  <c r="G7204" i="58"/>
  <c r="M7204" i="58" s="1"/>
  <c r="G5806" i="58"/>
  <c r="M5806" i="58" s="1"/>
  <c r="G6822" i="58"/>
  <c r="M6822" i="58" s="1"/>
  <c r="G5805" i="58"/>
  <c r="M5805" i="58" s="1"/>
  <c r="G6823" i="58"/>
  <c r="M6823" i="58" s="1"/>
  <c r="G7156" i="58"/>
  <c r="M7156" i="58" s="1"/>
  <c r="G7155" i="58"/>
  <c r="M7155" i="58" s="1"/>
  <c r="G5808" i="58"/>
  <c r="M5808" i="58" s="1"/>
  <c r="G7143" i="58"/>
  <c r="M7143" i="58" s="1"/>
  <c r="G5837" i="58"/>
  <c r="M5837" i="58" s="1"/>
  <c r="G5755" i="58"/>
  <c r="M5755" i="58" s="1"/>
  <c r="G5828" i="58"/>
  <c r="M5828" i="58" s="1"/>
  <c r="G6839" i="58"/>
  <c r="M6839" i="58" s="1"/>
  <c r="G7233" i="58"/>
  <c r="M7233" i="58" s="1"/>
  <c r="G6081" i="58"/>
  <c r="M6081" i="58" s="1"/>
  <c r="G7249" i="58"/>
  <c r="M7249" i="58" s="1"/>
  <c r="G7229" i="58"/>
  <c r="M7229" i="58" s="1"/>
  <c r="G6861" i="58"/>
  <c r="M6861" i="58" s="1"/>
  <c r="G6862" i="58"/>
  <c r="M6862" i="58" s="1"/>
  <c r="G6327" i="58"/>
  <c r="M6327" i="58" s="1"/>
  <c r="G6247" i="58"/>
  <c r="M6247" i="58" s="1"/>
  <c r="G6331" i="58"/>
  <c r="M6331" i="58" s="1"/>
  <c r="G6330" i="58"/>
  <c r="M6330" i="58" s="1"/>
  <c r="G6326" i="58"/>
  <c r="M6326" i="58" s="1"/>
  <c r="G6329" i="58"/>
  <c r="M6329" i="58" s="1"/>
  <c r="G6328" i="58"/>
  <c r="M6328" i="58" s="1"/>
  <c r="G7216" i="58"/>
  <c r="M7216" i="58" s="1"/>
  <c r="G6066" i="58"/>
  <c r="M6066" i="58" s="1"/>
  <c r="G6687" i="58"/>
  <c r="M6687" i="58" s="1"/>
  <c r="G6808" i="58"/>
  <c r="M6808" i="58" s="1"/>
  <c r="G6900" i="58"/>
  <c r="M6900" i="58" s="1"/>
  <c r="G5996" i="58"/>
  <c r="M5996" i="58" s="1"/>
  <c r="G5749" i="58"/>
  <c r="M5749" i="58" s="1"/>
  <c r="G7081" i="58"/>
  <c r="M7081" i="58" s="1"/>
  <c r="G6217" i="58"/>
  <c r="M6217" i="58" s="1"/>
  <c r="G6869" i="58"/>
  <c r="M6869" i="58" s="1"/>
  <c r="G6188" i="58"/>
  <c r="M6188" i="58" s="1"/>
  <c r="G6746" i="58"/>
  <c r="M6746" i="58" s="1"/>
  <c r="G6488" i="58"/>
  <c r="M6488" i="58" s="1"/>
  <c r="G6758" i="58"/>
  <c r="M6758" i="58" s="1"/>
  <c r="G6889" i="58"/>
  <c r="M6889" i="58" s="1"/>
  <c r="G6491" i="58"/>
  <c r="M6491" i="58" s="1"/>
  <c r="G6120" i="58"/>
  <c r="M6120" i="58" s="1"/>
  <c r="G6489" i="58"/>
  <c r="M6489" i="58" s="1"/>
  <c r="G6492" i="58"/>
  <c r="M6492" i="58" s="1"/>
  <c r="G6490" i="58"/>
  <c r="M6490" i="58" s="1"/>
  <c r="G6493" i="58"/>
  <c r="M6493" i="58" s="1"/>
  <c r="G6602" i="58"/>
  <c r="M6602" i="58" s="1"/>
  <c r="G5848" i="58"/>
  <c r="M5848" i="58" s="1"/>
  <c r="G5862" i="58"/>
  <c r="M5862" i="58" s="1"/>
  <c r="G5851" i="58"/>
  <c r="M5851" i="58" s="1"/>
  <c r="G5865" i="58"/>
  <c r="M5865" i="58" s="1"/>
  <c r="G6117" i="58"/>
  <c r="M6117" i="58" s="1"/>
  <c r="G5854" i="58"/>
  <c r="M5854" i="58" s="1"/>
  <c r="G5843" i="58"/>
  <c r="M5843" i="58" s="1"/>
  <c r="G5857" i="58"/>
  <c r="M5857" i="58" s="1"/>
  <c r="G5846" i="58"/>
  <c r="M5846" i="58" s="1"/>
  <c r="G5860" i="58"/>
  <c r="M5860" i="58" s="1"/>
  <c r="G5855" i="58"/>
  <c r="M5855" i="58" s="1"/>
  <c r="G5844" i="58"/>
  <c r="M5844" i="58" s="1"/>
  <c r="G5858" i="58"/>
  <c r="M5858" i="58" s="1"/>
  <c r="G5845" i="58"/>
  <c r="M5845" i="58" s="1"/>
  <c r="G6118" i="58"/>
  <c r="M6118" i="58" s="1"/>
  <c r="G5861" i="58"/>
  <c r="M5861" i="58" s="1"/>
  <c r="G5864" i="58"/>
  <c r="M5864" i="58" s="1"/>
  <c r="G5849" i="58"/>
  <c r="M5849" i="58" s="1"/>
  <c r="G5852" i="58"/>
  <c r="M5852" i="58" s="1"/>
  <c r="G5859" i="58"/>
  <c r="M5859" i="58" s="1"/>
  <c r="G5856" i="58"/>
  <c r="M5856" i="58" s="1"/>
  <c r="G5847" i="58"/>
  <c r="M5847" i="58" s="1"/>
  <c r="G5863" i="58"/>
  <c r="M5863" i="58" s="1"/>
  <c r="G5866" i="58"/>
  <c r="M5866" i="58" s="1"/>
  <c r="G5853" i="58"/>
  <c r="M5853" i="58" s="1"/>
  <c r="G5850" i="58"/>
  <c r="M5850" i="58" s="1"/>
  <c r="G6116" i="58"/>
  <c r="M6116" i="58" s="1"/>
  <c r="G6481" i="58"/>
  <c r="M6481" i="58" s="1"/>
  <c r="G6597" i="58"/>
  <c r="M6597" i="58" s="1"/>
  <c r="G6478" i="58"/>
  <c r="M6478" i="58" s="1"/>
  <c r="G6479" i="58"/>
  <c r="M6479" i="58" s="1"/>
  <c r="G6246" i="58"/>
  <c r="M6246" i="58" s="1"/>
  <c r="G6480" i="58"/>
  <c r="M6480" i="58" s="1"/>
  <c r="G6975" i="58"/>
  <c r="M6975" i="58" s="1"/>
  <c r="G6598" i="58"/>
  <c r="M6598" i="58" s="1"/>
  <c r="G5811" i="58"/>
  <c r="M5811" i="58" s="1"/>
  <c r="G7151" i="58"/>
  <c r="M7151" i="58" s="1"/>
  <c r="G7150" i="58"/>
  <c r="M7150" i="58" s="1"/>
  <c r="G6851" i="58"/>
  <c r="M6851" i="58" s="1"/>
  <c r="G6078" i="58"/>
  <c r="M6078" i="58" s="1"/>
  <c r="G6850" i="58"/>
  <c r="M6850" i="58" s="1"/>
  <c r="G5692" i="58"/>
  <c r="M5692" i="58" s="1"/>
  <c r="G5754" i="58"/>
  <c r="M5754" i="58" s="1"/>
  <c r="G5693" i="58"/>
  <c r="M5693" i="58" s="1"/>
  <c r="G6950" i="58"/>
  <c r="M6950" i="58" s="1"/>
  <c r="G6736" i="58"/>
  <c r="M6736" i="58" s="1"/>
  <c r="G6887" i="58"/>
  <c r="M6887" i="58" s="1"/>
  <c r="G7000" i="58"/>
  <c r="M7000" i="58" s="1"/>
  <c r="G7119" i="58"/>
  <c r="M7119" i="58" s="1"/>
  <c r="G7125" i="58"/>
  <c r="M7125" i="58" s="1"/>
  <c r="G5807" i="58"/>
  <c r="M5807" i="58" s="1"/>
  <c r="G7141" i="58"/>
  <c r="M7141" i="58" s="1"/>
  <c r="G7142" i="58"/>
  <c r="M7142" i="58" s="1"/>
  <c r="G6314" i="58"/>
  <c r="M6314" i="58" s="1"/>
  <c r="G7044" i="58"/>
  <c r="M7044" i="58" s="1"/>
  <c r="G6313" i="58"/>
  <c r="M6313" i="58" s="1"/>
  <c r="G6001" i="58"/>
  <c r="M6001" i="58" s="1"/>
  <c r="G6987" i="58"/>
  <c r="M6987" i="58" s="1"/>
  <c r="G6864" i="58"/>
  <c r="M6864" i="58" s="1"/>
  <c r="G6865" i="58"/>
  <c r="M6865" i="58" s="1"/>
  <c r="G7073" i="58"/>
  <c r="M7073" i="58" s="1"/>
  <c r="G6863" i="58"/>
  <c r="M6863" i="58" s="1"/>
  <c r="G7226" i="58"/>
  <c r="M7226" i="58" s="1"/>
  <c r="G6866" i="58"/>
  <c r="M6866" i="58" s="1"/>
  <c r="G5767" i="58"/>
  <c r="M5767" i="58" s="1"/>
  <c r="G5922" i="58"/>
  <c r="M5922" i="58" s="1"/>
  <c r="G6232" i="58"/>
  <c r="M6232" i="58" s="1"/>
  <c r="G5867" i="58"/>
  <c r="M5867" i="58" s="1"/>
  <c r="G5923" i="58"/>
  <c r="M5923" i="58" s="1"/>
  <c r="G6028" i="58"/>
  <c r="M6028" i="58" s="1"/>
  <c r="G6333" i="58"/>
  <c r="M6333" i="58" s="1"/>
  <c r="G6332" i="58"/>
  <c r="M6332" i="58" s="1"/>
  <c r="G6495" i="58"/>
  <c r="M6495" i="58" s="1"/>
  <c r="G6603" i="58"/>
  <c r="M6603" i="58" s="1"/>
  <c r="G6952" i="58"/>
  <c r="M6952" i="58" s="1"/>
  <c r="G7025" i="58"/>
  <c r="M7025" i="58" s="1"/>
  <c r="G6494" i="58"/>
  <c r="M6494" i="58" s="1"/>
  <c r="G6604" i="58"/>
  <c r="M6604" i="58" s="1"/>
  <c r="G6976" i="58"/>
  <c r="M6976" i="58" s="1"/>
  <c r="G7255" i="58"/>
  <c r="M7255" i="58" s="1"/>
  <c r="G5677" i="58"/>
  <c r="M5677" i="58" s="1"/>
  <c r="G5680" i="58"/>
  <c r="M5680" i="58" s="1"/>
  <c r="G5974" i="58"/>
  <c r="M5974" i="58" s="1"/>
  <c r="G5795" i="58"/>
  <c r="M5795" i="58" s="1"/>
  <c r="G5672" i="58"/>
  <c r="M5672" i="58" s="1"/>
  <c r="G5994" i="58"/>
  <c r="M5994" i="58" s="1"/>
  <c r="G5675" i="58"/>
  <c r="M5675" i="58" s="1"/>
  <c r="G5678" i="58"/>
  <c r="M5678" i="58" s="1"/>
  <c r="G5673" i="58"/>
  <c r="M5673" i="58" s="1"/>
  <c r="G5676" i="58"/>
  <c r="M5676" i="58" s="1"/>
  <c r="G5679" i="58"/>
  <c r="M5679" i="58" s="1"/>
  <c r="G5682" i="58"/>
  <c r="M5682" i="58" s="1"/>
  <c r="G5796" i="58"/>
  <c r="M5796" i="58" s="1"/>
  <c r="G5674" i="58"/>
  <c r="M5674" i="58" s="1"/>
  <c r="G5671" i="58"/>
  <c r="M5671" i="58" s="1"/>
  <c r="G5681" i="58"/>
  <c r="M5681" i="58" s="1"/>
  <c r="G5794" i="58"/>
  <c r="M5794" i="58" s="1"/>
  <c r="G7050" i="58"/>
  <c r="M7050" i="58" s="1"/>
  <c r="G6873" i="58"/>
  <c r="M6873" i="58" s="1"/>
  <c r="G7051" i="58"/>
  <c r="M7051" i="58" s="1"/>
  <c r="G5822" i="58"/>
  <c r="M5822" i="58" s="1"/>
  <c r="G7185" i="58"/>
  <c r="M7185" i="58" s="1"/>
  <c r="G7186" i="58"/>
  <c r="M7186" i="58" s="1"/>
  <c r="G6960" i="58"/>
  <c r="M6960" i="58" s="1"/>
  <c r="G5899" i="58"/>
  <c r="M5899" i="58" s="1"/>
  <c r="G6722" i="58"/>
  <c r="M6722" i="58" s="1"/>
  <c r="G7199" i="58"/>
  <c r="M7199" i="58" s="1"/>
  <c r="G5663" i="58"/>
  <c r="M5663" i="58" s="1"/>
  <c r="G5664" i="58"/>
  <c r="M5664" i="58" s="1"/>
  <c r="G5741" i="58"/>
  <c r="M5741" i="58" s="1"/>
  <c r="G5713" i="58"/>
  <c r="M5713" i="58" s="1"/>
  <c r="G5810" i="58"/>
  <c r="M5810" i="58" s="1"/>
  <c r="G7149" i="58"/>
  <c r="M7149" i="58" s="1"/>
  <c r="G7148" i="58"/>
  <c r="M7148" i="58" s="1"/>
  <c r="G6743" i="58"/>
  <c r="M6743" i="58" s="1"/>
  <c r="G7055" i="58"/>
  <c r="M7055" i="58" s="1"/>
  <c r="G5823" i="58"/>
  <c r="M5823" i="58" s="1"/>
  <c r="G7188" i="58"/>
  <c r="M7188" i="58" s="1"/>
  <c r="G7189" i="58"/>
  <c r="M7189" i="58" s="1"/>
  <c r="G7187" i="58"/>
  <c r="M7187" i="58" s="1"/>
  <c r="G6033" i="58"/>
  <c r="M6033" i="58" s="1"/>
  <c r="G6047" i="58"/>
  <c r="M6047" i="58" s="1"/>
  <c r="G6159" i="58"/>
  <c r="M6159" i="58" s="1"/>
  <c r="G5924" i="58"/>
  <c r="M5924" i="58" s="1"/>
  <c r="G6037" i="58"/>
  <c r="M6037" i="58" s="1"/>
  <c r="G6051" i="58"/>
  <c r="M6051" i="58" s="1"/>
  <c r="G6121" i="58"/>
  <c r="M6121" i="58" s="1"/>
  <c r="G6149" i="58"/>
  <c r="M6149" i="58" s="1"/>
  <c r="G6040" i="58"/>
  <c r="M6040" i="58" s="1"/>
  <c r="G6054" i="58"/>
  <c r="M6054" i="58" s="1"/>
  <c r="G6152" i="58"/>
  <c r="M6152" i="58" s="1"/>
  <c r="G6030" i="58"/>
  <c r="M6030" i="58" s="1"/>
  <c r="G6147" i="58"/>
  <c r="M6147" i="58" s="1"/>
  <c r="G6150" i="58"/>
  <c r="M6150" i="58" s="1"/>
  <c r="G6153" i="58"/>
  <c r="M6153" i="58" s="1"/>
  <c r="G6036" i="58"/>
  <c r="M6036" i="58" s="1"/>
  <c r="G6039" i="58"/>
  <c r="M6039" i="58" s="1"/>
  <c r="G6042" i="58"/>
  <c r="M6042" i="58" s="1"/>
  <c r="G6156" i="58"/>
  <c r="M6156" i="58" s="1"/>
  <c r="G6045" i="58"/>
  <c r="M6045" i="58" s="1"/>
  <c r="G6048" i="58"/>
  <c r="M6048" i="58" s="1"/>
  <c r="G6697" i="58"/>
  <c r="M6697" i="58" s="1"/>
  <c r="G5738" i="58"/>
  <c r="M5738" i="58" s="1"/>
  <c r="G6130" i="58"/>
  <c r="M6130" i="58" s="1"/>
  <c r="G6046" i="58"/>
  <c r="M6046" i="58" s="1"/>
  <c r="G6049" i="58"/>
  <c r="M6049" i="58" s="1"/>
  <c r="G6052" i="58"/>
  <c r="M6052" i="58" s="1"/>
  <c r="G6055" i="58"/>
  <c r="M6055" i="58" s="1"/>
  <c r="G6029" i="58"/>
  <c r="M6029" i="58" s="1"/>
  <c r="G6032" i="58"/>
  <c r="M6032" i="58" s="1"/>
  <c r="G6035" i="58"/>
  <c r="M6035" i="58" s="1"/>
  <c r="G6926" i="58"/>
  <c r="M6926" i="58" s="1"/>
  <c r="G6155" i="58"/>
  <c r="M6155" i="58" s="1"/>
  <c r="G6158" i="58"/>
  <c r="M6158" i="58" s="1"/>
  <c r="G6420" i="58"/>
  <c r="M6420" i="58" s="1"/>
  <c r="G6146" i="58"/>
  <c r="M6146" i="58" s="1"/>
  <c r="G7107" i="58"/>
  <c r="M7107" i="58" s="1"/>
  <c r="G6053" i="58"/>
  <c r="M6053" i="58" s="1"/>
  <c r="G5639" i="58"/>
  <c r="M5639" i="58" s="1"/>
  <c r="G6031" i="58"/>
  <c r="M6031" i="58" s="1"/>
  <c r="G6034" i="58"/>
  <c r="M6034" i="58" s="1"/>
  <c r="G6050" i="58"/>
  <c r="M6050" i="58" s="1"/>
  <c r="G6154" i="58"/>
  <c r="M6154" i="58" s="1"/>
  <c r="G6157" i="58"/>
  <c r="M6157" i="58" s="1"/>
  <c r="G6041" i="58"/>
  <c r="M6041" i="58" s="1"/>
  <c r="G6151" i="58"/>
  <c r="M6151" i="58" s="1"/>
  <c r="G6044" i="58"/>
  <c r="M6044" i="58" s="1"/>
  <c r="G6038" i="58"/>
  <c r="M6038" i="58" s="1"/>
  <c r="G6148" i="58"/>
  <c r="M6148" i="58" s="1"/>
  <c r="G6043" i="58"/>
  <c r="M6043" i="58" s="1"/>
  <c r="G7098" i="58"/>
  <c r="M7098" i="58" s="1"/>
  <c r="G7099" i="58"/>
  <c r="M7099" i="58" s="1"/>
  <c r="G5824" i="58"/>
  <c r="M5824" i="58" s="1"/>
  <c r="G7194" i="58"/>
  <c r="M7194" i="58" s="1"/>
  <c r="G7192" i="58"/>
  <c r="M7192" i="58" s="1"/>
  <c r="G7193" i="58"/>
  <c r="M7193" i="58" s="1"/>
  <c r="G5798" i="58"/>
  <c r="M5798" i="58" s="1"/>
  <c r="G5765" i="58"/>
  <c r="M5765" i="58" s="1"/>
  <c r="G5766" i="58"/>
  <c r="M5766" i="58" s="1"/>
  <c r="G6271" i="58"/>
  <c r="M6271" i="58" s="1"/>
  <c r="G6285" i="58"/>
  <c r="M6285" i="58" s="1"/>
  <c r="G6275" i="58"/>
  <c r="M6275" i="58" s="1"/>
  <c r="G6278" i="58"/>
  <c r="M6278" i="58" s="1"/>
  <c r="G6270" i="58"/>
  <c r="M6270" i="58" s="1"/>
  <c r="G6273" i="58"/>
  <c r="M6273" i="58" s="1"/>
  <c r="G6276" i="58"/>
  <c r="M6276" i="58" s="1"/>
  <c r="G6279" i="58"/>
  <c r="M6279" i="58" s="1"/>
  <c r="G6282" i="58"/>
  <c r="M6282" i="58" s="1"/>
  <c r="G6283" i="58"/>
  <c r="M6283" i="58" s="1"/>
  <c r="G6280" i="58"/>
  <c r="M6280" i="58" s="1"/>
  <c r="G6277" i="58"/>
  <c r="M6277" i="58" s="1"/>
  <c r="G6274" i="58"/>
  <c r="M6274" i="58" s="1"/>
  <c r="G6268" i="58"/>
  <c r="M6268" i="58" s="1"/>
  <c r="G6281" i="58"/>
  <c r="M6281" i="58" s="1"/>
  <c r="G6272" i="58"/>
  <c r="M6272" i="58" s="1"/>
  <c r="G6269" i="58"/>
  <c r="M6269" i="58" s="1"/>
  <c r="G6284" i="58"/>
  <c r="M6284" i="58" s="1"/>
  <c r="G5804" i="58"/>
  <c r="M5804" i="58" s="1"/>
  <c r="G6821" i="58"/>
  <c r="M6821" i="58" s="1"/>
  <c r="G5929" i="58"/>
  <c r="M5929" i="58" s="1"/>
  <c r="G5628" i="58"/>
  <c r="M5628" i="58" s="1"/>
  <c r="G5761" i="58"/>
  <c r="M5761" i="58" s="1"/>
  <c r="G6216" i="58"/>
  <c r="M6216" i="58" s="1"/>
  <c r="G6339" i="58"/>
  <c r="M6339" i="58" s="1"/>
  <c r="G6756" i="58"/>
  <c r="M6756" i="58" s="1"/>
  <c r="G6893" i="58"/>
  <c r="M6893" i="58" s="1"/>
  <c r="G6182" i="58"/>
  <c r="M6182" i="58" s="1"/>
  <c r="G6338" i="58"/>
  <c r="M6338" i="58" s="1"/>
  <c r="G6183" i="58"/>
  <c r="M6183" i="58" s="1"/>
  <c r="G7230" i="58"/>
  <c r="M7230" i="58" s="1"/>
  <c r="G7212" i="58"/>
  <c r="M7212" i="58" s="1"/>
  <c r="G5816" i="58"/>
  <c r="M5816" i="58" s="1"/>
  <c r="G7168" i="58"/>
  <c r="M7168" i="58" s="1"/>
  <c r="G7166" i="58"/>
  <c r="M7166" i="58" s="1"/>
  <c r="G7167" i="58"/>
  <c r="M7167" i="58" s="1"/>
  <c r="G7165" i="58"/>
  <c r="M7165" i="58" s="1"/>
  <c r="G6700" i="58"/>
  <c r="M6700" i="58" s="1"/>
  <c r="G6853" i="58"/>
  <c r="M6853" i="58" s="1"/>
  <c r="G7037" i="58"/>
  <c r="M7037" i="58" s="1"/>
  <c r="G7232" i="58"/>
  <c r="M7232" i="58" s="1"/>
  <c r="G7244" i="58"/>
  <c r="M7244" i="58" s="1"/>
  <c r="G6552" i="58"/>
  <c r="M6552" i="58" s="1"/>
  <c r="G5785" i="58"/>
  <c r="M5785" i="58" s="1"/>
  <c r="G6079" i="58"/>
  <c r="M6079" i="58" s="1"/>
  <c r="G6166" i="58"/>
  <c r="M6166" i="58" s="1"/>
  <c r="G6165" i="58"/>
  <c r="M6165" i="58" s="1"/>
  <c r="G6458" i="58"/>
  <c r="M6458" i="58" s="1"/>
  <c r="G6671" i="58"/>
  <c r="M6671" i="58" s="1"/>
  <c r="G6565" i="58"/>
  <c r="M6565" i="58" s="1"/>
  <c r="G6340" i="58"/>
  <c r="M6340" i="58" s="1"/>
  <c r="G6566" i="58"/>
  <c r="M6566" i="58" s="1"/>
  <c r="G6241" i="58"/>
  <c r="M6241" i="58" s="1"/>
  <c r="G6886" i="58"/>
  <c r="M6886" i="58" s="1"/>
  <c r="G6712" i="58"/>
  <c r="M6712" i="58" s="1"/>
  <c r="G6711" i="58"/>
  <c r="M6711" i="58" s="1"/>
  <c r="G6305" i="58"/>
  <c r="M6305" i="58" s="1"/>
  <c r="G6749" i="58"/>
  <c r="M6749" i="58" s="1"/>
  <c r="G6686" i="58"/>
  <c r="M6686" i="58" s="1"/>
  <c r="G7091" i="58"/>
  <c r="M7091" i="58" s="1"/>
  <c r="G7124" i="58"/>
  <c r="M7124" i="58" s="1"/>
  <c r="G6220" i="58"/>
  <c r="M6220" i="58" s="1"/>
  <c r="G7128" i="58"/>
  <c r="M7128" i="58" s="1"/>
  <c r="G7243" i="58"/>
  <c r="M7243" i="58" s="1"/>
  <c r="G6499" i="58"/>
  <c r="M6499" i="58" s="1"/>
  <c r="G6498" i="58"/>
  <c r="M6498" i="58" s="1"/>
  <c r="G6500" i="58"/>
  <c r="M6500" i="58" s="1"/>
  <c r="G6497" i="58"/>
  <c r="M6497" i="58" s="1"/>
  <c r="G7089" i="58"/>
  <c r="M7089" i="58" s="1"/>
  <c r="G6496" i="58"/>
  <c r="M6496" i="58" s="1"/>
  <c r="G6680" i="58"/>
  <c r="M6680" i="58" s="1"/>
  <c r="G7060" i="58"/>
  <c r="M7060" i="58" s="1"/>
  <c r="G5683" i="58"/>
  <c r="M5683" i="58" s="1"/>
  <c r="G5686" i="58"/>
  <c r="M5686" i="58" s="1"/>
  <c r="G5689" i="58"/>
  <c r="M5689" i="58" s="1"/>
  <c r="G5687" i="58"/>
  <c r="M5687" i="58" s="1"/>
  <c r="G5995" i="58"/>
  <c r="M5995" i="58" s="1"/>
  <c r="G5690" i="58"/>
  <c r="M5690" i="58" s="1"/>
  <c r="G5688" i="58"/>
  <c r="M5688" i="58" s="1"/>
  <c r="G5685" i="58"/>
  <c r="M5685" i="58" s="1"/>
  <c r="G5975" i="58"/>
  <c r="M5975" i="58" s="1"/>
  <c r="G5684" i="58"/>
  <c r="M5684" i="58" s="1"/>
  <c r="G5797" i="58"/>
  <c r="M5797" i="58" s="1"/>
  <c r="G5868" i="58"/>
  <c r="M5868" i="58" s="1"/>
  <c r="G6056" i="58"/>
  <c r="M6056" i="58" s="1"/>
  <c r="G7070" i="58"/>
  <c r="M7070" i="58" s="1"/>
  <c r="G6797" i="58"/>
  <c r="M6797" i="58" s="1"/>
  <c r="G6971" i="58"/>
  <c r="M6971" i="58" s="1"/>
  <c r="G7251" i="58"/>
  <c r="M7251" i="58" s="1"/>
  <c r="G6255" i="58"/>
  <c r="M6255" i="58" s="1"/>
  <c r="G7113" i="58"/>
  <c r="M7113" i="58" s="1"/>
  <c r="G6966" i="58"/>
  <c r="M6966" i="58" s="1"/>
  <c r="G7027" i="58"/>
  <c r="M7027" i="58" s="1"/>
  <c r="G6242" i="58"/>
  <c r="M6242" i="58" s="1"/>
  <c r="G6718" i="58"/>
  <c r="M6718" i="58" s="1"/>
  <c r="G6747" i="58"/>
  <c r="M6747" i="58" s="1"/>
  <c r="G6405" i="58"/>
  <c r="M6405" i="58" s="1"/>
  <c r="G6406" i="58"/>
  <c r="M6406" i="58" s="1"/>
  <c r="G7169" i="58"/>
  <c r="M7169" i="58" s="1"/>
  <c r="G7170" i="58"/>
  <c r="M7170" i="58" s="1"/>
  <c r="G7171" i="58"/>
  <c r="M7171" i="58" s="1"/>
  <c r="G6793" i="58"/>
  <c r="M6793" i="58" s="1"/>
  <c r="G6787" i="58"/>
  <c r="M6787" i="58" s="1"/>
  <c r="G6785" i="58"/>
  <c r="M6785" i="58" s="1"/>
  <c r="G5780" i="58"/>
  <c r="M5780" i="58" s="1"/>
  <c r="G6786" i="58"/>
  <c r="M6786" i="58" s="1"/>
  <c r="G6868" i="58"/>
  <c r="M6868" i="58" s="1"/>
  <c r="G6867" i="58"/>
  <c r="M6867" i="58" s="1"/>
  <c r="G6912" i="58"/>
  <c r="M6912" i="58" s="1"/>
  <c r="G5931" i="58"/>
  <c r="M5931" i="58" s="1"/>
  <c r="G7045" i="58"/>
  <c r="M7045" i="58" s="1"/>
  <c r="G6731" i="58"/>
  <c r="M6731" i="58" s="1"/>
  <c r="G6369" i="58"/>
  <c r="M6369" i="58" s="1"/>
  <c r="G6205" i="58"/>
  <c r="M6205" i="58" s="1"/>
  <c r="G6096" i="58"/>
  <c r="M6096" i="58" s="1"/>
  <c r="G6071" i="58"/>
  <c r="M6071" i="58" s="1"/>
  <c r="G6127" i="58"/>
  <c r="M6127" i="58" s="1"/>
  <c r="G6203" i="58"/>
  <c r="M6203" i="58" s="1"/>
  <c r="G6206" i="58"/>
  <c r="M6206" i="58" s="1"/>
  <c r="G6098" i="58"/>
  <c r="M6098" i="58" s="1"/>
  <c r="G6128" i="58"/>
  <c r="M6128" i="58" s="1"/>
  <c r="G6204" i="58"/>
  <c r="M6204" i="58" s="1"/>
  <c r="G6099" i="58"/>
  <c r="M6099" i="58" s="1"/>
  <c r="G6368" i="58"/>
  <c r="M6368" i="58" s="1"/>
  <c r="G6371" i="58"/>
  <c r="M6371" i="58" s="1"/>
  <c r="G6129" i="58"/>
  <c r="M6129" i="58" s="1"/>
  <c r="G6370" i="58"/>
  <c r="M6370" i="58" s="1"/>
  <c r="G6367" i="58"/>
  <c r="M6367" i="58" s="1"/>
  <c r="G7209" i="58"/>
  <c r="M7209" i="58" s="1"/>
  <c r="G6097" i="58"/>
  <c r="M6097" i="58" s="1"/>
  <c r="G6101" i="58"/>
  <c r="M6101" i="58" s="1"/>
  <c r="G6100" i="58"/>
  <c r="M6100" i="58" s="1"/>
  <c r="G7215" i="58"/>
  <c r="M7215" i="58" s="1"/>
  <c r="G6126" i="58"/>
  <c r="M6126" i="58" s="1"/>
  <c r="G6318" i="58"/>
  <c r="M6318" i="58" s="1"/>
  <c r="G7221" i="58"/>
  <c r="M7221" i="58" s="1"/>
  <c r="G6546" i="58"/>
  <c r="M6546" i="58" s="1"/>
  <c r="G6765" i="58"/>
  <c r="M6765" i="58" s="1"/>
  <c r="G6123" i="58"/>
  <c r="M6123" i="58" s="1"/>
  <c r="G6207" i="58"/>
  <c r="M6207" i="58" s="1"/>
  <c r="G6073" i="58"/>
  <c r="M6073" i="58" s="1"/>
  <c r="G6083" i="58"/>
  <c r="M6083" i="58" s="1"/>
  <c r="G6084" i="58"/>
  <c r="M6084" i="58" s="1"/>
  <c r="G6877" i="58"/>
  <c r="M6877" i="58" s="1"/>
  <c r="G6911" i="58"/>
  <c r="M6911" i="58" s="1"/>
  <c r="G5893" i="58"/>
  <c r="M5893" i="58" s="1"/>
  <c r="G6941" i="58"/>
  <c r="M6941" i="58" s="1"/>
  <c r="G6562" i="58"/>
  <c r="M6562" i="58" s="1"/>
  <c r="G6509" i="58"/>
  <c r="M6509" i="58" s="1"/>
  <c r="G6513" i="58"/>
  <c r="M6513" i="58" s="1"/>
  <c r="G6502" i="58"/>
  <c r="M6502" i="58" s="1"/>
  <c r="G6516" i="58"/>
  <c r="M6516" i="58" s="1"/>
  <c r="G6501" i="58"/>
  <c r="M6501" i="58" s="1"/>
  <c r="G6504" i="58"/>
  <c r="M6504" i="58" s="1"/>
  <c r="G6507" i="58"/>
  <c r="M6507" i="58" s="1"/>
  <c r="G6510" i="58"/>
  <c r="M6510" i="58" s="1"/>
  <c r="G6441" i="58"/>
  <c r="M6441" i="58" s="1"/>
  <c r="G6759" i="58"/>
  <c r="M6759" i="58" s="1"/>
  <c r="G6977" i="58"/>
  <c r="M6977" i="58" s="1"/>
  <c r="G6963" i="58"/>
  <c r="M6963" i="58" s="1"/>
  <c r="G6826" i="58"/>
  <c r="M6826" i="58" s="1"/>
  <c r="G6512" i="58"/>
  <c r="M6512" i="58" s="1"/>
  <c r="G6515" i="58"/>
  <c r="M6515" i="58" s="1"/>
  <c r="G6518" i="58"/>
  <c r="M6518" i="58" s="1"/>
  <c r="G7231" i="58"/>
  <c r="M7231" i="58" s="1"/>
  <c r="G6503" i="58"/>
  <c r="M6503" i="58" s="1"/>
  <c r="G6506" i="58"/>
  <c r="M6506" i="58" s="1"/>
  <c r="G6978" i="58"/>
  <c r="M6978" i="58" s="1"/>
  <c r="G6605" i="58"/>
  <c r="M6605" i="58" s="1"/>
  <c r="G6979" i="58"/>
  <c r="M6979" i="58" s="1"/>
  <c r="G6511" i="58"/>
  <c r="M6511" i="58" s="1"/>
  <c r="G6514" i="58"/>
  <c r="M6514" i="58" s="1"/>
  <c r="G6517" i="58"/>
  <c r="M6517" i="58" s="1"/>
  <c r="G6508" i="58"/>
  <c r="M6508" i="58" s="1"/>
  <c r="G6505" i="58"/>
  <c r="M6505" i="58" s="1"/>
  <c r="G5983" i="58"/>
  <c r="M5983" i="58" s="1"/>
  <c r="G6122" i="58"/>
  <c r="M6122" i="58" s="1"/>
  <c r="G6635" i="58"/>
  <c r="M6635" i="58" s="1"/>
  <c r="G6628" i="58"/>
  <c r="M6628" i="58" s="1"/>
  <c r="G6819" i="58"/>
  <c r="M6819" i="58" s="1"/>
  <c r="G6632" i="58"/>
  <c r="M6632" i="58" s="1"/>
  <c r="G6818" i="58"/>
  <c r="M6818" i="58" s="1"/>
  <c r="G6879" i="58"/>
  <c r="M6879" i="58" s="1"/>
  <c r="G6633" i="58"/>
  <c r="M6633" i="58" s="1"/>
  <c r="G6636" i="58"/>
  <c r="M6636" i="58" s="1"/>
  <c r="G6631" i="58"/>
  <c r="M6631" i="58" s="1"/>
  <c r="G6634" i="58"/>
  <c r="M6634" i="58" s="1"/>
  <c r="G6629" i="58"/>
  <c r="M6629" i="58" s="1"/>
  <c r="G6630" i="58"/>
  <c r="M6630" i="58" s="1"/>
  <c r="G6764" i="58"/>
  <c r="M6764" i="58" s="1"/>
  <c r="G7240" i="58"/>
  <c r="M7240" i="58" s="1"/>
  <c r="G6875" i="58"/>
  <c r="M6875" i="58" s="1"/>
  <c r="G6774" i="58"/>
  <c r="M6774" i="58" s="1"/>
  <c r="G7120" i="58"/>
  <c r="M7120" i="58" s="1"/>
  <c r="G7121" i="58"/>
  <c r="M7121" i="58" s="1"/>
  <c r="G7122" i="58"/>
  <c r="M7122" i="58" s="1"/>
  <c r="G7135" i="58"/>
  <c r="M7135" i="58" s="1"/>
  <c r="G7133" i="58"/>
  <c r="M7133" i="58" s="1"/>
  <c r="G7132" i="58"/>
  <c r="M7132" i="58" s="1"/>
  <c r="G7130" i="58"/>
  <c r="M7130" i="58" s="1"/>
  <c r="G7131" i="58"/>
  <c r="M7131" i="58" s="1"/>
  <c r="G7134" i="58"/>
  <c r="M7134" i="58" s="1"/>
  <c r="G7058" i="58"/>
  <c r="M7058" i="58" s="1"/>
  <c r="G6257" i="58"/>
  <c r="M6257" i="58" s="1"/>
  <c r="G6261" i="58"/>
  <c r="M6261" i="58" s="1"/>
  <c r="G6264" i="58"/>
  <c r="M6264" i="58" s="1"/>
  <c r="G6267" i="58"/>
  <c r="M6267" i="58" s="1"/>
  <c r="G6882" i="58"/>
  <c r="M6882" i="58" s="1"/>
  <c r="G6256" i="58"/>
  <c r="M6256" i="58" s="1"/>
  <c r="G6262" i="58"/>
  <c r="M6262" i="58" s="1"/>
  <c r="G6259" i="58"/>
  <c r="M6259" i="58" s="1"/>
  <c r="G6265" i="58"/>
  <c r="M6265" i="58" s="1"/>
  <c r="G6836" i="58"/>
  <c r="M6836" i="58" s="1"/>
  <c r="G6258" i="58"/>
  <c r="M6258" i="58" s="1"/>
  <c r="G6266" i="58"/>
  <c r="M6266" i="58" s="1"/>
  <c r="G6260" i="58"/>
  <c r="M6260" i="58" s="1"/>
  <c r="G6263" i="58"/>
  <c r="M6263" i="58" s="1"/>
  <c r="G6607" i="58"/>
  <c r="M6607" i="58" s="1"/>
  <c r="G6611" i="58"/>
  <c r="M6611" i="58" s="1"/>
  <c r="G6994" i="58"/>
  <c r="M6994" i="58" s="1"/>
  <c r="G6606" i="58"/>
  <c r="M6606" i="58" s="1"/>
  <c r="G6609" i="58"/>
  <c r="M6609" i="58" s="1"/>
  <c r="G6612" i="58"/>
  <c r="M6612" i="58" s="1"/>
  <c r="G6974" i="58"/>
  <c r="M6974" i="58" s="1"/>
  <c r="G6608" i="58"/>
  <c r="M6608" i="58" s="1"/>
  <c r="G6610" i="58"/>
  <c r="M6610" i="58" s="1"/>
  <c r="G6613" i="58"/>
  <c r="M6613" i="58" s="1"/>
  <c r="G6709" i="58"/>
  <c r="M6709" i="58" s="1"/>
  <c r="G6843" i="58"/>
  <c r="M6843" i="58" s="1"/>
  <c r="G6708" i="58"/>
  <c r="M6708" i="58" s="1"/>
  <c r="G6707" i="58"/>
  <c r="M6707" i="58" s="1"/>
  <c r="G6639" i="58"/>
  <c r="M6639" i="58" s="1"/>
  <c r="G6642" i="58"/>
  <c r="M6642" i="58" s="1"/>
  <c r="G6638" i="58"/>
  <c r="M6638" i="58" s="1"/>
  <c r="G6641" i="58"/>
  <c r="M6641" i="58" s="1"/>
  <c r="G6896" i="58"/>
  <c r="M6896" i="58" s="1"/>
  <c r="G6837" i="58"/>
  <c r="M6837" i="58" s="1"/>
  <c r="G6640" i="58"/>
  <c r="M6640" i="58" s="1"/>
  <c r="G7246" i="58"/>
  <c r="M7246" i="58" s="1"/>
  <c r="G6637" i="58"/>
  <c r="M6637" i="58" s="1"/>
  <c r="G6643" i="58"/>
  <c r="M6643" i="58" s="1"/>
  <c r="G6881" i="58"/>
  <c r="M6881" i="58" s="1"/>
  <c r="G5946" i="58"/>
  <c r="M5946" i="58" s="1"/>
  <c r="G5949" i="58"/>
  <c r="M5949" i="58" s="1"/>
  <c r="G5952" i="58"/>
  <c r="M5952" i="58" s="1"/>
  <c r="G5953" i="58"/>
  <c r="M5953" i="58" s="1"/>
  <c r="G5944" i="58"/>
  <c r="M5944" i="58" s="1"/>
  <c r="G5947" i="58"/>
  <c r="M5947" i="58" s="1"/>
  <c r="G5950" i="58"/>
  <c r="M5950" i="58" s="1"/>
  <c r="G5954" i="58"/>
  <c r="M5954" i="58" s="1"/>
  <c r="G5945" i="58"/>
  <c r="M5945" i="58" s="1"/>
  <c r="G5948" i="58"/>
  <c r="M5948" i="58" s="1"/>
  <c r="G5951" i="58"/>
  <c r="M5951" i="58" s="1"/>
  <c r="G5955" i="58"/>
  <c r="M5955" i="58" s="1"/>
  <c r="G6293" i="58"/>
  <c r="M6293" i="58" s="1"/>
  <c r="G5943" i="58"/>
  <c r="M5943" i="58" s="1"/>
  <c r="G7218" i="58"/>
  <c r="M7218" i="58" s="1"/>
  <c r="G6523" i="58"/>
  <c r="M6523" i="58" s="1"/>
  <c r="G6537" i="58"/>
  <c r="M6537" i="58" s="1"/>
  <c r="G6527" i="58"/>
  <c r="M6527" i="58" s="1"/>
  <c r="G6530" i="58"/>
  <c r="M6530" i="58" s="1"/>
  <c r="G6536" i="58"/>
  <c r="M6536" i="58" s="1"/>
  <c r="G7011" i="58"/>
  <c r="M7011" i="58" s="1"/>
  <c r="G6450" i="58"/>
  <c r="M6450" i="58" s="1"/>
  <c r="G6526" i="58"/>
  <c r="M6526" i="58" s="1"/>
  <c r="G6529" i="58"/>
  <c r="M6529" i="58" s="1"/>
  <c r="G6532" i="58"/>
  <c r="M6532" i="58" s="1"/>
  <c r="G6451" i="58"/>
  <c r="M6451" i="58" s="1"/>
  <c r="G6531" i="58"/>
  <c r="M6531" i="58" s="1"/>
  <c r="G6534" i="58"/>
  <c r="M6534" i="58" s="1"/>
  <c r="G6528" i="58"/>
  <c r="M6528" i="58" s="1"/>
  <c r="G6522" i="58"/>
  <c r="M6522" i="58" s="1"/>
  <c r="G6525" i="58"/>
  <c r="M6525" i="58" s="1"/>
  <c r="G6535" i="58"/>
  <c r="M6535" i="58" s="1"/>
  <c r="G6062" i="58"/>
  <c r="M6062" i="58" s="1"/>
  <c r="G6533" i="58"/>
  <c r="M6533" i="58" s="1"/>
  <c r="G6524" i="58"/>
  <c r="M6524" i="58" s="1"/>
  <c r="G6623" i="58"/>
  <c r="M6623" i="58" s="1"/>
  <c r="G6995" i="58"/>
  <c r="M6995" i="58" s="1"/>
  <c r="G6981" i="58"/>
  <c r="M6981" i="58" s="1"/>
  <c r="G7012" i="58"/>
  <c r="M7012" i="58" s="1"/>
  <c r="G6297" i="58"/>
  <c r="M6297" i="58" s="1"/>
  <c r="G6457" i="58"/>
  <c r="M6457" i="58" s="1"/>
  <c r="G6956" i="58"/>
  <c r="M6956" i="58" s="1"/>
  <c r="G6939" i="58"/>
  <c r="M6939" i="58" s="1"/>
  <c r="G6456" i="58"/>
  <c r="M6456" i="58" s="1"/>
  <c r="G7013" i="58"/>
  <c r="M7013" i="58" s="1"/>
  <c r="G7005" i="58"/>
  <c r="M7005" i="58" s="1"/>
  <c r="G7197" i="58"/>
  <c r="M7197" i="58" s="1"/>
  <c r="G6783" i="58"/>
  <c r="M6783" i="58" s="1"/>
  <c r="G6744" i="58"/>
  <c r="M6744" i="58" s="1"/>
  <c r="G5813" i="58"/>
  <c r="M5813" i="58" s="1"/>
  <c r="G7154" i="58"/>
  <c r="M7154" i="58" s="1"/>
  <c r="G7153" i="58"/>
  <c r="M7153" i="58" s="1"/>
  <c r="G6390" i="58"/>
  <c r="M6390" i="58" s="1"/>
  <c r="G6558" i="58"/>
  <c r="M6558" i="58" s="1"/>
  <c r="G7203" i="58"/>
  <c r="M7203" i="58" s="1"/>
  <c r="G5904" i="58"/>
  <c r="M5904" i="58" s="1"/>
  <c r="G5907" i="58"/>
  <c r="M5907" i="58" s="1"/>
  <c r="G5910" i="58"/>
  <c r="M5910" i="58" s="1"/>
  <c r="G5637" i="58"/>
  <c r="M5637" i="58" s="1"/>
  <c r="G5905" i="58"/>
  <c r="M5905" i="58" s="1"/>
  <c r="G5908" i="58"/>
  <c r="M5908" i="58" s="1"/>
  <c r="G5909" i="58"/>
  <c r="M5909" i="58" s="1"/>
  <c r="G5906" i="58"/>
  <c r="M5906" i="58" s="1"/>
  <c r="G6289" i="58"/>
  <c r="M6289" i="58" s="1"/>
  <c r="G6287" i="58"/>
  <c r="M6287" i="58" s="1"/>
  <c r="G6290" i="58"/>
  <c r="M6290" i="58" s="1"/>
  <c r="G6288" i="58"/>
  <c r="M6288" i="58" s="1"/>
  <c r="G7217" i="58"/>
  <c r="M7217" i="58" s="1"/>
  <c r="G6551" i="58"/>
  <c r="M6551" i="58" s="1"/>
  <c r="G6719" i="58"/>
  <c r="M6719" i="58" s="1"/>
  <c r="G6359" i="58"/>
  <c r="M6359" i="58" s="1"/>
  <c r="G6222" i="58"/>
  <c r="M6222" i="58" s="1"/>
  <c r="G6362" i="58"/>
  <c r="M6362" i="58" s="1"/>
  <c r="G6548" i="58"/>
  <c r="M6548" i="58" s="1"/>
  <c r="G6209" i="58"/>
  <c r="M6209" i="58" s="1"/>
  <c r="G6361" i="58"/>
  <c r="M6361" i="58" s="1"/>
  <c r="G6364" i="58"/>
  <c r="M6364" i="58" s="1"/>
  <c r="G6212" i="58"/>
  <c r="M6212" i="58" s="1"/>
  <c r="G5625" i="58"/>
  <c r="M5625" i="58" s="1"/>
  <c r="G5987" i="58"/>
  <c r="M5987" i="58" s="1"/>
  <c r="G6210" i="58"/>
  <c r="M6210" i="58" s="1"/>
  <c r="G6365" i="58"/>
  <c r="M6365" i="58" s="1"/>
  <c r="G6550" i="58"/>
  <c r="M6550" i="58" s="1"/>
  <c r="G6160" i="58"/>
  <c r="M6160" i="58" s="1"/>
  <c r="G6319" i="58"/>
  <c r="M6319" i="58" s="1"/>
  <c r="G6211" i="58"/>
  <c r="M6211" i="58" s="1"/>
  <c r="G6549" i="58"/>
  <c r="M6549" i="58" s="1"/>
  <c r="G6366" i="58"/>
  <c r="M6366" i="58" s="1"/>
  <c r="G6363" i="58"/>
  <c r="M6363" i="58" s="1"/>
  <c r="G6360" i="58"/>
  <c r="M6360" i="58" s="1"/>
  <c r="G5641" i="58"/>
  <c r="M5641" i="58" s="1"/>
  <c r="G6930" i="58"/>
  <c r="M6930" i="58" s="1"/>
  <c r="G7032" i="58"/>
  <c r="M7032" i="58" s="1"/>
  <c r="G6374" i="58"/>
  <c r="M6374" i="58" s="1"/>
  <c r="G7074" i="58"/>
  <c r="M7074" i="58" s="1"/>
  <c r="G7103" i="58"/>
  <c r="M7103" i="58" s="1"/>
  <c r="G7104" i="58"/>
  <c r="M7104" i="58" s="1"/>
  <c r="G7102" i="58"/>
  <c r="M7102" i="58" s="1"/>
  <c r="G6316" i="58"/>
  <c r="M6316" i="58" s="1"/>
  <c r="G7110" i="58"/>
  <c r="M7110" i="58" s="1"/>
  <c r="G6938" i="58"/>
  <c r="M6938" i="58" s="1"/>
  <c r="G6937" i="58"/>
  <c r="M6937" i="58" s="1"/>
  <c r="G7018" i="58"/>
  <c r="M7018" i="58" s="1"/>
  <c r="G5742" i="58"/>
  <c r="M5742" i="58" s="1"/>
  <c r="G5759" i="58"/>
  <c r="M5759" i="58" s="1"/>
  <c r="G5743" i="58"/>
  <c r="M5743" i="58" s="1"/>
  <c r="G5737" i="58"/>
  <c r="M5737" i="58" s="1"/>
  <c r="G7028" i="58"/>
  <c r="M7028" i="58" s="1"/>
  <c r="G7056" i="58"/>
  <c r="M7056" i="58" s="1"/>
  <c r="G7003" i="58"/>
  <c r="M7003" i="58" s="1"/>
  <c r="G6990" i="58"/>
  <c r="M6990" i="58" s="1"/>
  <c r="G7092" i="58"/>
  <c r="M7092" i="58" s="1"/>
  <c r="G6243" i="58"/>
  <c r="M6243" i="58" s="1"/>
  <c r="G6997" i="58"/>
  <c r="M6997" i="58" s="1"/>
  <c r="G7239" i="58"/>
  <c r="M7239" i="58" s="1"/>
  <c r="G6728" i="58"/>
  <c r="M6728" i="58" s="1"/>
  <c r="G5801" i="58"/>
  <c r="M5801" i="58" s="1"/>
  <c r="G5802" i="58"/>
  <c r="M5802" i="58" s="1"/>
  <c r="G6460" i="58"/>
  <c r="M6460" i="58" s="1"/>
  <c r="G6463" i="58"/>
  <c r="M6463" i="58" s="1"/>
  <c r="G6168" i="58"/>
  <c r="M6168" i="58" s="1"/>
  <c r="G6461" i="58"/>
  <c r="M6461" i="58" s="1"/>
  <c r="G6464" i="58"/>
  <c r="M6464" i="58" s="1"/>
  <c r="G6462" i="58"/>
  <c r="M6462" i="58" s="1"/>
  <c r="G6621" i="58"/>
  <c r="M6621" i="58" s="1"/>
  <c r="G6614" i="58"/>
  <c r="M6614" i="58" s="1"/>
  <c r="G6422" i="58"/>
  <c r="M6422" i="58" s="1"/>
  <c r="G6615" i="58"/>
  <c r="M6615" i="58" s="1"/>
  <c r="G6618" i="58"/>
  <c r="M6618" i="58" s="1"/>
  <c r="G6619" i="58"/>
  <c r="M6619" i="58" s="1"/>
  <c r="G6620" i="58"/>
  <c r="M6620" i="58" s="1"/>
  <c r="G6617" i="58"/>
  <c r="M6617" i="58" s="1"/>
  <c r="G6616" i="58"/>
  <c r="M6616" i="58" s="1"/>
  <c r="G6984" i="58"/>
  <c r="M6984" i="58" s="1"/>
  <c r="G6103" i="58"/>
  <c r="M6103" i="58" s="1"/>
  <c r="G6107" i="58"/>
  <c r="M6107" i="58" s="1"/>
  <c r="G6110" i="58"/>
  <c r="M6110" i="58" s="1"/>
  <c r="G6106" i="58"/>
  <c r="M6106" i="58" s="1"/>
  <c r="G6109" i="58"/>
  <c r="M6109" i="58" s="1"/>
  <c r="G6112" i="58"/>
  <c r="M6112" i="58" s="1"/>
  <c r="G6564" i="58"/>
  <c r="M6564" i="58" s="1"/>
  <c r="G6111" i="58"/>
  <c r="M6111" i="58" s="1"/>
  <c r="G6108" i="58"/>
  <c r="M6108" i="58" s="1"/>
  <c r="G7234" i="58"/>
  <c r="M7234" i="58" s="1"/>
  <c r="G6104" i="58"/>
  <c r="M6104" i="58" s="1"/>
  <c r="G6105" i="58"/>
  <c r="M6105" i="58" s="1"/>
  <c r="G6649" i="58"/>
  <c r="M6649" i="58" s="1"/>
  <c r="G6644" i="58"/>
  <c r="M6644" i="58" s="1"/>
  <c r="G6647" i="58"/>
  <c r="M6647" i="58" s="1"/>
  <c r="G6650" i="58"/>
  <c r="M6650" i="58" s="1"/>
  <c r="G7057" i="58"/>
  <c r="M7057" i="58" s="1"/>
  <c r="G7085" i="58"/>
  <c r="M7085" i="58" s="1"/>
  <c r="G6757" i="58"/>
  <c r="M6757" i="58" s="1"/>
  <c r="G6651" i="58"/>
  <c r="M6651" i="58" s="1"/>
  <c r="G6645" i="58"/>
  <c r="M6645" i="58" s="1"/>
  <c r="G6648" i="58"/>
  <c r="M6648" i="58" s="1"/>
  <c r="G5973" i="58"/>
  <c r="M5973" i="58" s="1"/>
  <c r="G6646" i="58"/>
  <c r="M6646" i="58" s="1"/>
  <c r="G7258" i="58"/>
  <c r="M7258" i="58" s="1"/>
  <c r="G6652" i="58"/>
  <c r="M6652" i="58" s="1"/>
  <c r="G5770" i="58"/>
  <c r="M5770" i="58" s="1"/>
  <c r="G5773" i="58"/>
  <c r="M5773" i="58" s="1"/>
  <c r="G5776" i="58"/>
  <c r="M5776" i="58" s="1"/>
  <c r="G5771" i="58"/>
  <c r="M5771" i="58" s="1"/>
  <c r="G5774" i="58"/>
  <c r="M5774" i="58" s="1"/>
  <c r="G5984" i="58"/>
  <c r="M5984" i="58" s="1"/>
  <c r="G5775" i="58"/>
  <c r="M5775" i="58" s="1"/>
  <c r="G5772" i="58"/>
  <c r="M5772" i="58" s="1"/>
  <c r="G5769" i="58"/>
  <c r="M5769" i="58" s="1"/>
  <c r="G5991" i="58"/>
  <c r="M5991" i="58" s="1"/>
  <c r="G6733" i="58"/>
  <c r="M6733" i="58" s="1"/>
  <c r="G6306" i="58"/>
  <c r="M6306" i="58" s="1"/>
  <c r="G6885" i="58"/>
  <c r="M6885" i="58" s="1"/>
  <c r="G5992" i="58"/>
  <c r="M5992" i="58" s="1"/>
  <c r="G7001" i="58"/>
  <c r="M7001" i="58" s="1"/>
  <c r="G6760" i="58"/>
  <c r="M6760" i="58" s="1"/>
  <c r="G6675" i="58"/>
  <c r="M6675" i="58" s="1"/>
  <c r="G6672" i="58"/>
  <c r="M6672" i="58" s="1"/>
  <c r="G6196" i="58"/>
  <c r="M6196" i="58" s="1"/>
  <c r="G5786" i="58"/>
  <c r="M5786" i="58" s="1"/>
  <c r="G7087" i="58"/>
  <c r="M7087" i="58" s="1"/>
  <c r="G6195" i="58"/>
  <c r="M6195" i="58" s="1"/>
  <c r="G6673" i="58"/>
  <c r="M6673" i="58" s="1"/>
  <c r="G6674" i="58"/>
  <c r="M6674" i="58" s="1"/>
  <c r="G6794" i="58"/>
  <c r="M6794" i="58" s="1"/>
  <c r="G7010" i="58"/>
  <c r="M7010" i="58" s="1"/>
  <c r="G5762" i="58"/>
  <c r="M5762" i="58" s="1"/>
  <c r="G5976" i="58"/>
  <c r="M5976" i="58" s="1"/>
  <c r="G5669" i="58"/>
  <c r="M5669" i="58" s="1"/>
  <c r="G6681" i="58"/>
  <c r="M6681" i="58" s="1"/>
  <c r="G6721" i="58"/>
  <c r="M6721" i="58" s="1"/>
  <c r="G6773" i="58"/>
  <c r="M6773" i="58" s="1"/>
  <c r="G6421" i="58"/>
  <c r="M6421" i="58" s="1"/>
  <c r="G7035" i="58"/>
  <c r="M7035" i="58" s="1"/>
  <c r="G7257" i="58"/>
  <c r="M7257" i="58" s="1"/>
  <c r="G6901" i="58"/>
  <c r="M6901" i="58" s="1"/>
  <c r="G6817" i="58"/>
  <c r="M6817" i="58" s="1"/>
  <c r="G5840" i="58"/>
  <c r="M5840" i="58" s="1"/>
  <c r="G6093" i="58"/>
  <c r="M6093" i="58" s="1"/>
  <c r="G6910" i="58"/>
  <c r="M6910" i="58" s="1"/>
  <c r="G5839" i="58"/>
  <c r="M5839" i="58" s="1"/>
  <c r="G5670" i="58"/>
  <c r="M5670" i="58" s="1"/>
  <c r="G6286" i="58"/>
  <c r="M6286" i="58" s="1"/>
  <c r="G6254" i="58"/>
  <c r="M6254" i="58" s="1"/>
  <c r="G6567" i="58"/>
  <c r="M6567" i="58" s="1"/>
  <c r="G7247" i="58"/>
  <c r="M7247" i="58" s="1"/>
  <c r="G6253" i="58"/>
  <c r="M6253" i="58" s="1"/>
  <c r="G6193" i="58"/>
  <c r="M6193" i="58" s="1"/>
  <c r="G6094" i="58"/>
  <c r="M6094" i="58" s="1"/>
  <c r="G6568" i="58"/>
  <c r="M6568" i="58" s="1"/>
  <c r="G6734" i="58"/>
  <c r="M6734" i="58" s="1"/>
  <c r="G6962" i="58"/>
  <c r="M6962" i="58" s="1"/>
  <c r="G6949" i="58"/>
  <c r="M6949" i="58" s="1"/>
  <c r="G5803" i="58"/>
  <c r="M5803" i="58" s="1"/>
  <c r="G6884" i="58"/>
  <c r="M6884" i="58" s="1"/>
  <c r="G6820" i="58"/>
  <c r="M6820" i="58" s="1"/>
  <c r="G5815" i="58"/>
  <c r="M5815" i="58" s="1"/>
  <c r="G7163" i="58"/>
  <c r="M7163" i="58" s="1"/>
  <c r="G7164" i="58"/>
  <c r="M7164" i="58" s="1"/>
  <c r="G7162" i="58"/>
  <c r="M7162" i="58" s="1"/>
  <c r="G5691" i="58"/>
  <c r="M5691" i="58" s="1"/>
  <c r="G7136" i="58"/>
  <c r="M7136" i="58" s="1"/>
  <c r="G7173" i="58"/>
  <c r="M7173" i="58" s="1"/>
  <c r="G7172" i="58"/>
  <c r="M7172" i="58" s="1"/>
  <c r="G5630" i="58"/>
  <c r="M5630" i="58" s="1"/>
  <c r="G5631" i="58"/>
  <c r="M5631" i="58" s="1"/>
  <c r="G5817" i="58"/>
  <c r="M5817" i="58" s="1"/>
  <c r="G7174" i="58"/>
  <c r="M7174" i="58" s="1"/>
  <c r="G7175" i="58"/>
  <c r="M7175" i="58" s="1"/>
  <c r="G5930" i="58"/>
  <c r="M5930" i="58" s="1"/>
  <c r="G7039" i="58"/>
  <c r="M7039" i="58" s="1"/>
  <c r="G6315" i="58"/>
  <c r="M6315" i="58" s="1"/>
  <c r="G6798" i="58"/>
  <c r="M6798" i="58" s="1"/>
  <c r="G7228" i="58"/>
  <c r="M7228" i="58" s="1"/>
  <c r="G5632" i="58"/>
  <c r="M5632" i="58" s="1"/>
  <c r="G5633" i="58"/>
  <c r="M5633" i="58" s="1"/>
  <c r="G5634" i="58"/>
  <c r="M5634" i="58" s="1"/>
  <c r="G5818" i="58"/>
  <c r="M5818" i="58" s="1"/>
  <c r="G7177" i="58"/>
  <c r="M7177" i="58" s="1"/>
  <c r="G7178" i="58"/>
  <c r="M7178" i="58" s="1"/>
  <c r="G7176" i="58"/>
  <c r="M7176" i="58" s="1"/>
  <c r="G6065" i="58"/>
  <c r="M6065" i="58" s="1"/>
  <c r="G6437" i="58"/>
  <c r="M6437" i="58" s="1"/>
  <c r="G6324" i="58"/>
  <c r="M6324" i="58" s="1"/>
  <c r="G6325" i="58"/>
  <c r="M6325" i="58" s="1"/>
  <c r="G6291" i="58"/>
  <c r="M6291" i="58" s="1"/>
  <c r="G6187" i="58"/>
  <c r="M6187" i="58" s="1"/>
  <c r="G6572" i="58"/>
  <c r="M6572" i="58" s="1"/>
  <c r="G6357" i="58"/>
  <c r="M6357" i="58" s="1"/>
  <c r="G6815" i="58"/>
  <c r="M6815" i="58" s="1"/>
  <c r="G7016" i="58"/>
  <c r="M7016" i="58" s="1"/>
  <c r="G7034" i="58"/>
  <c r="M7034" i="58" s="1"/>
  <c r="G7248" i="58"/>
  <c r="M7248" i="58" s="1"/>
  <c r="G6934" i="58"/>
  <c r="M6934" i="58" s="1"/>
  <c r="G7076" i="58"/>
  <c r="M7076" i="58" s="1"/>
  <c r="G6467" i="58"/>
  <c r="M6467" i="58" s="1"/>
  <c r="G6471" i="58"/>
  <c r="M6471" i="58" s="1"/>
  <c r="G6466" i="58"/>
  <c r="M6466" i="58" s="1"/>
  <c r="G6469" i="58"/>
  <c r="M6469" i="58" s="1"/>
  <c r="G6468" i="58"/>
  <c r="M6468" i="58" s="1"/>
  <c r="G6465" i="58"/>
  <c r="M6465" i="58" s="1"/>
  <c r="G6470" i="58"/>
  <c r="M6470" i="58" s="1"/>
  <c r="G6622" i="58"/>
  <c r="M6622" i="58" s="1"/>
  <c r="G6964" i="58"/>
  <c r="M6964" i="58" s="1"/>
  <c r="G6593" i="58"/>
  <c r="M6593" i="58" s="1"/>
  <c r="G6091" i="58"/>
  <c r="M6091" i="58" s="1"/>
  <c r="G6595" i="58"/>
  <c r="M6595" i="58" s="1"/>
  <c r="G6113" i="58"/>
  <c r="M6113" i="58" s="1"/>
  <c r="G6594" i="58"/>
  <c r="M6594" i="58" s="1"/>
  <c r="G6653" i="58"/>
  <c r="M6653" i="58" s="1"/>
  <c r="G6418" i="58"/>
  <c r="M6418" i="58" s="1"/>
  <c r="G6656" i="58"/>
  <c r="M6656" i="58" s="1"/>
  <c r="G6659" i="58"/>
  <c r="M6659" i="58" s="1"/>
  <c r="G6654" i="58"/>
  <c r="M6654" i="58" s="1"/>
  <c r="G6657" i="58"/>
  <c r="M6657" i="58" s="1"/>
  <c r="G6658" i="58"/>
  <c r="M6658" i="58" s="1"/>
  <c r="G6655" i="58"/>
  <c r="M6655" i="58" s="1"/>
  <c r="G6173" i="58"/>
  <c r="M6173" i="58" s="1"/>
  <c r="G6177" i="58"/>
  <c r="M6177" i="58" s="1"/>
  <c r="G6174" i="58"/>
  <c r="M6174" i="58" s="1"/>
  <c r="G6175" i="58"/>
  <c r="M6175" i="58" s="1"/>
  <c r="G6176" i="58"/>
  <c r="M6176" i="58" s="1"/>
  <c r="G5646" i="58"/>
  <c r="M5646" i="58" s="1"/>
  <c r="G5649" i="58"/>
  <c r="M5649" i="58" s="1"/>
  <c r="G5644" i="58"/>
  <c r="M5644" i="58" s="1"/>
  <c r="G5647" i="58"/>
  <c r="M5647" i="58" s="1"/>
  <c r="G5645" i="58"/>
  <c r="M5645" i="58" s="1"/>
  <c r="G5648" i="58"/>
  <c r="M5648" i="58" s="1"/>
  <c r="G5740" i="58"/>
  <c r="M5740" i="58" s="1"/>
  <c r="G5643" i="58"/>
  <c r="M5643" i="58" s="1"/>
  <c r="G5935" i="58"/>
  <c r="M5935" i="58" s="1"/>
  <c r="G5938" i="58"/>
  <c r="M5938" i="58" s="1"/>
  <c r="G5939" i="58"/>
  <c r="M5939" i="58" s="1"/>
  <c r="G5942" i="58"/>
  <c r="M5942" i="58" s="1"/>
  <c r="G5937" i="58"/>
  <c r="M5937" i="58" s="1"/>
  <c r="G5941" i="58"/>
  <c r="M5941" i="58" s="1"/>
  <c r="G5940" i="58"/>
  <c r="M5940" i="58" s="1"/>
  <c r="G7201" i="58"/>
  <c r="M7201" i="58" s="1"/>
  <c r="G6691" i="58"/>
  <c r="M6691" i="58" s="1"/>
  <c r="G6138" i="58"/>
  <c r="M6138" i="58" s="1"/>
  <c r="G6688" i="58"/>
  <c r="M6688" i="58" s="1"/>
  <c r="G6694" i="58"/>
  <c r="M6694" i="58" s="1"/>
  <c r="G6139" i="58"/>
  <c r="M6139" i="58" s="1"/>
  <c r="G6137" i="58"/>
  <c r="M6137" i="58" s="1"/>
  <c r="G6140" i="58"/>
  <c r="M6140" i="58" s="1"/>
  <c r="G6690" i="58"/>
  <c r="M6690" i="58" s="1"/>
  <c r="G6693" i="58"/>
  <c r="M6693" i="58" s="1"/>
  <c r="G6689" i="58"/>
  <c r="M6689" i="58" s="1"/>
  <c r="G6692" i="58"/>
  <c r="M6692" i="58" s="1"/>
  <c r="G6925" i="58"/>
  <c r="M6925" i="58" s="1"/>
  <c r="G6141" i="58"/>
  <c r="M6141" i="58" s="1"/>
  <c r="G6142" i="58"/>
  <c r="M6142" i="58" s="1"/>
  <c r="G6143" i="58"/>
  <c r="M6143" i="58" s="1"/>
  <c r="G6737" i="58"/>
  <c r="M6737" i="58" s="1"/>
  <c r="G6848" i="58"/>
  <c r="M6848" i="58" s="1"/>
  <c r="G5926" i="58"/>
  <c r="M5926" i="58" s="1"/>
  <c r="G6846" i="58"/>
  <c r="M6846" i="58" s="1"/>
  <c r="G6379" i="58"/>
  <c r="M6379" i="58" s="1"/>
  <c r="G6847" i="58"/>
  <c r="M6847" i="58" s="1"/>
  <c r="G6857" i="58"/>
  <c r="M6857" i="58" s="1"/>
  <c r="G6858" i="58"/>
  <c r="M6858" i="58" s="1"/>
  <c r="G6724" i="58"/>
  <c r="M6724" i="58" s="1"/>
  <c r="G6922" i="58"/>
  <c r="M6922" i="58" s="1"/>
  <c r="G5918" i="58"/>
  <c r="M5918" i="58" s="1"/>
  <c r="G6828" i="58"/>
  <c r="M6828" i="58" s="1"/>
  <c r="G6402" i="58"/>
  <c r="M6402" i="58" s="1"/>
  <c r="G6701" i="58"/>
  <c r="M6701" i="58" s="1"/>
  <c r="G6000" i="58"/>
  <c r="M6000" i="58" s="1"/>
  <c r="G6381" i="58"/>
  <c r="M6381" i="58" s="1"/>
  <c r="G5986" i="58"/>
  <c r="M5986" i="58" s="1"/>
  <c r="G7043" i="58"/>
  <c r="M7043" i="58" s="1"/>
  <c r="G5814" i="58"/>
  <c r="M5814" i="58" s="1"/>
  <c r="G7157" i="58"/>
  <c r="M7157" i="58" s="1"/>
  <c r="G7158" i="58"/>
  <c r="M7158" i="58" s="1"/>
  <c r="G7159" i="58"/>
  <c r="M7159" i="58" s="1"/>
  <c r="G6695" i="58"/>
  <c r="M6695" i="58" s="1"/>
  <c r="G7097" i="58"/>
  <c r="M7097" i="58" s="1"/>
  <c r="G7075" i="58"/>
  <c r="M7075" i="58" s="1"/>
  <c r="G7067" i="58"/>
  <c r="M7067" i="58" s="1"/>
  <c r="G7105" i="58"/>
  <c r="M7105" i="58" s="1"/>
  <c r="G7082" i="58"/>
  <c r="M7082" i="58" s="1"/>
  <c r="G7127" i="58"/>
  <c r="M7127" i="58" s="1"/>
  <c r="G7093" i="58"/>
  <c r="M7093" i="58" s="1"/>
  <c r="G6144" i="58"/>
  <c r="M6144" i="58" s="1"/>
  <c r="G6417" i="58"/>
  <c r="M6417" i="58" s="1"/>
  <c r="G5826" i="58"/>
  <c r="M5826" i="58" s="1"/>
  <c r="G6474" i="58"/>
  <c r="M6474" i="58" s="1"/>
  <c r="G6472" i="58"/>
  <c r="M6472" i="58" s="1"/>
  <c r="G6473" i="58"/>
  <c r="M6473" i="58" s="1"/>
  <c r="G6824" i="58"/>
  <c r="M6824" i="58" s="1"/>
  <c r="G6440" i="58"/>
  <c r="M6440" i="58" s="1"/>
  <c r="G6570" i="58"/>
  <c r="M6570" i="58" s="1"/>
  <c r="G6423" i="58"/>
  <c r="M6423" i="58" s="1"/>
  <c r="G7235" i="58"/>
  <c r="M7235" i="58" s="1"/>
  <c r="G6424" i="58"/>
  <c r="M6424" i="58" s="1"/>
  <c r="G6590" i="58"/>
  <c r="M6590" i="58" s="1"/>
  <c r="G6459" i="58"/>
  <c r="M6459" i="58" s="1"/>
  <c r="G6920" i="58"/>
  <c r="M6920" i="58" s="1"/>
  <c r="G6992" i="58"/>
  <c r="M6992" i="58" s="1"/>
  <c r="G6589" i="58"/>
  <c r="M6589" i="58" s="1"/>
  <c r="G6592" i="58"/>
  <c r="M6592" i="58" s="1"/>
  <c r="G6588" i="58"/>
  <c r="M6588" i="58" s="1"/>
  <c r="G6591" i="58"/>
  <c r="M6591" i="58" s="1"/>
  <c r="G6980" i="58"/>
  <c r="M6980" i="58" s="1"/>
  <c r="G6519" i="58"/>
  <c r="M6519" i="58" s="1"/>
  <c r="G6923" i="58"/>
  <c r="M6923" i="58" s="1"/>
  <c r="G6663" i="58"/>
  <c r="M6663" i="58" s="1"/>
  <c r="G6194" i="58"/>
  <c r="M6194" i="58" s="1"/>
  <c r="G6660" i="58"/>
  <c r="M6660" i="58" s="1"/>
  <c r="G6666" i="58"/>
  <c r="M6666" i="58" s="1"/>
  <c r="G6661" i="58"/>
  <c r="M6661" i="58" s="1"/>
  <c r="G6664" i="58"/>
  <c r="M6664" i="58" s="1"/>
  <c r="G7214" i="58"/>
  <c r="M7214" i="58" s="1"/>
  <c r="G6665" i="58"/>
  <c r="M6665" i="58" s="1"/>
  <c r="G6880" i="58"/>
  <c r="M6880" i="58" s="1"/>
  <c r="G6662" i="58"/>
  <c r="M6662" i="58" s="1"/>
  <c r="G6219" i="58"/>
  <c r="M6219" i="58" s="1"/>
  <c r="G6586" i="58"/>
  <c r="M6586" i="58" s="1"/>
  <c r="G7078" i="58"/>
  <c r="M7078" i="58" s="1"/>
  <c r="G6244" i="58"/>
  <c r="M6244" i="58" s="1"/>
  <c r="G6057" i="58"/>
  <c r="M6057" i="58" s="1"/>
  <c r="G6762" i="58"/>
  <c r="M6762" i="58" s="1"/>
  <c r="G6058" i="58"/>
  <c r="M6058" i="58" s="1"/>
  <c r="G6172" i="58"/>
  <c r="M6172" i="58" s="1"/>
  <c r="G6221" i="58"/>
  <c r="M6221" i="58" s="1"/>
  <c r="G6703" i="58"/>
  <c r="M6703" i="58" s="1"/>
  <c r="G6812" i="58"/>
  <c r="M6812" i="58" s="1"/>
  <c r="G6199" i="58"/>
  <c r="M6199" i="58" s="1"/>
  <c r="G6321" i="58"/>
  <c r="M6321" i="58" s="1"/>
  <c r="G6829" i="58"/>
  <c r="M6829" i="58" s="1"/>
  <c r="G6322" i="58"/>
  <c r="M6322" i="58" s="1"/>
  <c r="G7030" i="58"/>
  <c r="M7030" i="58" s="1"/>
  <c r="G7053" i="58"/>
  <c r="M7053" i="58" s="1"/>
  <c r="G6704" i="58"/>
  <c r="M6704" i="58" s="1"/>
  <c r="G6895" i="58"/>
  <c r="M6895" i="58" s="1"/>
  <c r="G5652" i="58"/>
  <c r="M5652" i="58" s="1"/>
  <c r="G5655" i="58"/>
  <c r="M5655" i="58" s="1"/>
  <c r="G5658" i="58"/>
  <c r="M5658" i="58" s="1"/>
  <c r="G5650" i="58"/>
  <c r="M5650" i="58" s="1"/>
  <c r="G5659" i="58"/>
  <c r="M5659" i="58" s="1"/>
  <c r="G5651" i="58"/>
  <c r="M5651" i="58" s="1"/>
  <c r="G5653" i="58"/>
  <c r="M5653" i="58" s="1"/>
  <c r="G5656" i="58"/>
  <c r="M5656" i="58" s="1"/>
  <c r="G5654" i="58"/>
  <c r="M5654" i="58" s="1"/>
  <c r="G5657" i="58"/>
  <c r="M5657" i="58" s="1"/>
  <c r="G5838" i="58"/>
  <c r="M5838" i="58" s="1"/>
  <c r="G5956" i="58"/>
  <c r="M5956" i="58" s="1"/>
  <c r="G5959" i="58"/>
  <c r="M5959" i="58" s="1"/>
  <c r="G5957" i="58"/>
  <c r="M5957" i="58" s="1"/>
  <c r="G6295" i="58"/>
  <c r="M6295" i="58" s="1"/>
  <c r="G5958" i="58"/>
  <c r="M5958" i="58" s="1"/>
  <c r="G7202" i="58"/>
  <c r="M7202" i="58" s="1"/>
  <c r="G6677" i="58"/>
  <c r="M6677" i="58" s="1"/>
  <c r="G6191" i="58"/>
  <c r="M6191" i="58" s="1"/>
  <c r="G6320" i="58"/>
  <c r="M6320" i="58" s="1"/>
  <c r="G5768" i="58"/>
  <c r="M5768" i="58" s="1"/>
  <c r="G5901" i="58"/>
  <c r="M5901" i="58" s="1"/>
  <c r="G6070" i="58"/>
  <c r="M6070" i="58" s="1"/>
  <c r="G7237" i="58"/>
  <c r="M7237" i="58" s="1"/>
  <c r="G6192" i="58"/>
  <c r="M6192" i="58" s="1"/>
  <c r="G6167" i="58"/>
  <c r="M6167" i="58" s="1"/>
  <c r="G6782" i="58"/>
  <c r="M6782" i="58" s="1"/>
  <c r="G6438" i="58"/>
  <c r="M6438" i="58" s="1"/>
  <c r="G6587" i="58"/>
  <c r="M6587" i="58" s="1"/>
  <c r="G6890" i="58"/>
  <c r="M6890" i="58" s="1"/>
  <c r="G6334" i="58"/>
  <c r="M6334" i="58" s="1"/>
  <c r="G6944" i="58"/>
  <c r="M6944" i="58" s="1"/>
  <c r="G6213" i="58"/>
  <c r="M6213" i="58" s="1"/>
  <c r="G6214" i="58"/>
  <c r="M6214" i="58" s="1"/>
  <c r="G6335" i="58"/>
  <c r="M6335" i="58" s="1"/>
  <c r="G5764" i="58"/>
  <c r="M5764" i="58" s="1"/>
  <c r="G5977" i="58"/>
  <c r="M5977" i="58" s="1"/>
  <c r="G5763" i="58"/>
  <c r="M5763" i="58" s="1"/>
  <c r="G5978" i="58"/>
  <c r="M5978" i="58" s="1"/>
  <c r="G5979" i="58"/>
  <c r="M5979" i="58" s="1"/>
  <c r="G7222" i="58"/>
  <c r="M7222" i="58" s="1"/>
  <c r="G6954" i="58"/>
  <c r="M6954" i="58" s="1"/>
  <c r="G6777" i="58"/>
  <c r="M6777" i="58" s="1"/>
  <c r="G6559" i="58"/>
  <c r="M6559" i="58" s="1"/>
  <c r="G7094" i="58"/>
  <c r="M7094" i="58" s="1"/>
  <c r="G7095" i="58"/>
  <c r="M7095" i="58" s="1"/>
  <c r="G5636" i="58"/>
  <c r="M5636" i="58" s="1"/>
  <c r="G6447" i="58"/>
  <c r="M6447" i="58" s="1"/>
  <c r="G6482" i="58"/>
  <c r="M6482" i="58" s="1"/>
  <c r="G6296" i="58"/>
  <c r="M6296" i="58" s="1"/>
  <c r="G6483" i="58"/>
  <c r="M6483" i="58" s="1"/>
  <c r="G7088" i="58"/>
  <c r="M7088" i="58" s="1"/>
  <c r="G5750" i="58"/>
  <c r="M5750" i="58" s="1"/>
  <c r="G5739" i="58"/>
  <c r="M5739" i="58" s="1"/>
  <c r="G5753" i="58"/>
  <c r="M5753" i="58" s="1"/>
  <c r="G5921" i="58"/>
  <c r="M5921" i="58" s="1"/>
  <c r="G6229" i="58"/>
  <c r="M6229" i="58" s="1"/>
  <c r="G5900" i="58"/>
  <c r="M5900" i="58" s="1"/>
  <c r="G6230" i="58"/>
  <c r="M6230" i="58" s="1"/>
  <c r="G6228" i="58"/>
  <c r="M6228" i="58" s="1"/>
  <c r="G6231" i="58"/>
  <c r="M6231" i="58" s="1"/>
  <c r="G6940" i="58"/>
  <c r="M6940" i="58" s="1"/>
  <c r="G6069" i="58"/>
  <c r="M6069" i="58" s="1"/>
  <c r="G7052" i="58"/>
  <c r="M7052" i="58" s="1"/>
  <c r="G7020" i="58"/>
  <c r="M7020" i="58" s="1"/>
  <c r="G7038" i="58"/>
  <c r="M7038" i="58" s="1"/>
  <c r="G6902" i="58"/>
  <c r="M6902" i="58" s="1"/>
  <c r="G6953" i="58"/>
  <c r="M6953" i="58" s="1"/>
  <c r="G6557" i="58"/>
  <c r="M6557" i="58" s="1"/>
  <c r="G6556" i="58"/>
  <c r="M6556" i="58" s="1"/>
  <c r="G5809" i="58"/>
  <c r="M5809" i="58" s="1"/>
  <c r="G7144" i="58"/>
  <c r="M7144" i="58" s="1"/>
  <c r="G7145" i="58"/>
  <c r="M7145" i="58" s="1"/>
  <c r="G6855" i="58"/>
  <c r="M6855" i="58" s="1"/>
  <c r="G6856" i="58"/>
  <c r="M6856" i="58" s="1"/>
  <c r="G6849" i="58"/>
  <c r="M6849" i="58" s="1"/>
  <c r="G6077" i="58"/>
  <c r="M6077" i="58" s="1"/>
  <c r="G6969" i="58"/>
  <c r="M6969" i="58" s="1"/>
  <c r="G6771" i="58"/>
  <c r="M6771" i="58" s="1"/>
  <c r="G7023" i="58"/>
  <c r="M7023" i="58" s="1"/>
  <c r="G6770" i="58"/>
  <c r="M6770" i="58" s="1"/>
  <c r="G6698" i="58"/>
  <c r="M6698" i="58" s="1"/>
  <c r="G6871" i="58"/>
  <c r="M6871" i="58" s="1"/>
  <c r="G6554" i="58"/>
  <c r="M6554" i="58" s="1"/>
  <c r="G6903" i="58"/>
  <c r="M6903" i="58" s="1"/>
  <c r="G6553" i="58"/>
  <c r="M6553" i="58" s="1"/>
  <c r="G6905" i="58"/>
  <c r="M6905" i="58" s="1"/>
  <c r="G6385" i="58"/>
  <c r="M6385" i="58" s="1"/>
  <c r="G7054" i="58"/>
  <c r="M7054" i="58" s="1"/>
  <c r="G6904" i="58"/>
  <c r="M6904" i="58" s="1"/>
  <c r="G6308" i="58"/>
  <c r="M6308" i="58" s="1"/>
  <c r="G6311" i="58"/>
  <c r="M6311" i="58" s="1"/>
  <c r="G7220" i="58"/>
  <c r="M7220" i="58" s="1"/>
  <c r="G6309" i="58"/>
  <c r="M6309" i="58" s="1"/>
  <c r="G6307" i="58"/>
  <c r="M6307" i="58" s="1"/>
  <c r="G5985" i="58"/>
  <c r="M5985" i="58" s="1"/>
  <c r="G6310" i="58"/>
  <c r="M6310" i="58" s="1"/>
  <c r="G7180" i="58"/>
  <c r="M7180" i="58" s="1"/>
  <c r="G5819" i="58"/>
  <c r="M5819" i="58" s="1"/>
  <c r="G7179" i="58"/>
  <c r="M7179" i="58" s="1"/>
  <c r="G7181" i="58"/>
  <c r="M7181" i="58" s="1"/>
  <c r="G6860" i="58"/>
  <c r="M6860" i="58" s="1"/>
  <c r="G6859" i="58"/>
  <c r="M6859" i="58" s="1"/>
  <c r="G6717" i="58"/>
  <c r="M6717" i="58" s="1"/>
  <c r="G6080" i="58"/>
  <c r="M6080" i="58" s="1"/>
  <c r="G6445" i="58"/>
  <c r="M6445" i="58" s="1"/>
  <c r="G6872" i="58"/>
  <c r="M6872" i="58" s="1"/>
  <c r="G7006" i="58"/>
  <c r="M7006" i="58" s="1"/>
  <c r="G6844" i="58"/>
  <c r="M6844" i="58" s="1"/>
  <c r="G6190" i="58"/>
  <c r="M6190" i="58" s="1"/>
  <c r="G7047" i="58"/>
  <c r="M7047" i="58" s="1"/>
  <c r="G5820" i="58"/>
  <c r="M5820" i="58" s="1"/>
  <c r="G7182" i="58"/>
  <c r="M7182" i="58" s="1"/>
  <c r="G5821" i="58"/>
  <c r="M5821" i="58" s="1"/>
  <c r="G7183" i="58"/>
  <c r="M7183" i="58" s="1"/>
  <c r="G7184" i="58"/>
  <c r="M7184" i="58" s="1"/>
  <c r="G6215" i="58"/>
  <c r="M6215" i="58" s="1"/>
  <c r="G6789" i="58"/>
  <c r="M6789" i="58" s="1"/>
  <c r="G6387" i="58"/>
  <c r="M6387" i="58" s="1"/>
  <c r="G6555" i="58"/>
  <c r="M6555" i="58" s="1"/>
  <c r="G6809" i="58"/>
  <c r="M6809" i="58" s="1"/>
  <c r="G6386" i="58"/>
  <c r="M6386" i="58" s="1"/>
  <c r="G6906" i="58"/>
  <c r="M6906" i="58" s="1"/>
  <c r="G6982" i="58"/>
  <c r="M6982" i="58" s="1"/>
  <c r="G5827" i="58"/>
  <c r="M5827" i="58" s="1"/>
  <c r="G6720" i="58"/>
  <c r="M6720" i="58" s="1"/>
  <c r="G6927" i="58"/>
  <c r="M6927" i="58" s="1"/>
  <c r="G6929" i="58"/>
  <c r="M6929" i="58" s="1"/>
  <c r="G6928" i="58"/>
  <c r="M6928" i="58" s="1"/>
  <c r="G6226" i="58"/>
  <c r="M6226" i="58" s="1"/>
  <c r="G6399" i="58"/>
  <c r="M6399" i="58" s="1"/>
  <c r="G6092" i="58"/>
  <c r="M6092" i="58" s="1"/>
  <c r="G6398" i="58"/>
  <c r="M6398" i="58" s="1"/>
  <c r="G7227" i="58"/>
  <c r="M7227" i="58" s="1"/>
  <c r="G6945" i="58"/>
  <c r="M6945" i="58" s="1"/>
  <c r="G6946" i="58"/>
  <c r="M6946" i="58" s="1"/>
  <c r="G7071" i="58"/>
  <c r="M7071" i="58" s="1"/>
  <c r="G7068" i="58"/>
  <c r="M7068" i="58" s="1"/>
  <c r="G7106" i="58"/>
  <c r="M7106" i="58" s="1"/>
  <c r="G7236" i="58"/>
  <c r="M7236" i="58" s="1"/>
  <c r="G7083" i="58"/>
  <c r="M7083" i="58" s="1"/>
  <c r="G7111" i="58"/>
  <c r="M7111" i="58" s="1"/>
  <c r="G6383" i="58"/>
  <c r="M6383" i="58" s="1"/>
  <c r="G6292" i="58"/>
  <c r="M6292" i="58" s="1"/>
  <c r="G6384" i="58"/>
  <c r="M6384" i="58" s="1"/>
  <c r="G6745" i="58"/>
  <c r="M6745" i="58" s="1"/>
  <c r="G6145" i="58"/>
  <c r="M6145" i="58" s="1"/>
  <c r="G6317" i="58"/>
  <c r="M6317" i="58" s="1"/>
  <c r="G6184" i="58"/>
  <c r="M6184" i="58" s="1"/>
  <c r="G6086" i="58"/>
  <c r="M6086" i="58" s="1"/>
  <c r="G6087" i="58"/>
  <c r="M6087" i="58" s="1"/>
  <c r="G6942" i="58"/>
  <c r="M6942" i="58" s="1"/>
  <c r="G7260" i="58"/>
  <c r="M7260" i="58" s="1"/>
  <c r="G6753" i="58"/>
  <c r="M6753" i="58" s="1"/>
  <c r="G7072" i="58"/>
  <c r="M7072" i="58" s="1"/>
  <c r="G6446" i="58"/>
  <c r="M6446" i="58" s="1"/>
  <c r="G6475" i="58"/>
  <c r="M6475" i="58" s="1"/>
  <c r="G6476" i="58"/>
  <c r="M6476" i="58" s="1"/>
  <c r="G6477" i="58"/>
  <c r="M6477" i="58" s="1"/>
  <c r="G6425" i="58"/>
  <c r="M6425" i="58" s="1"/>
  <c r="G6429" i="58"/>
  <c r="M6429" i="58" s="1"/>
  <c r="G6432" i="58"/>
  <c r="M6432" i="58" s="1"/>
  <c r="G6428" i="58"/>
  <c r="M6428" i="58" s="1"/>
  <c r="G6431" i="58"/>
  <c r="M6431" i="58" s="1"/>
  <c r="G6434" i="58"/>
  <c r="M6434" i="58" s="1"/>
  <c r="G6426" i="58"/>
  <c r="M6426" i="58" s="1"/>
  <c r="G6433" i="58"/>
  <c r="M6433" i="58" s="1"/>
  <c r="G6430" i="58"/>
  <c r="M6430" i="58" s="1"/>
  <c r="G6918" i="58"/>
  <c r="M6918" i="58" s="1"/>
  <c r="G6427" i="58"/>
  <c r="M6427" i="58" s="1"/>
  <c r="G6985" i="58"/>
  <c r="M6985" i="58" s="1"/>
  <c r="G6233" i="58"/>
  <c r="M6233" i="58" s="1"/>
  <c r="G6235" i="58"/>
  <c r="M6235" i="58" s="1"/>
  <c r="G6186" i="58"/>
  <c r="M6186" i="58" s="1"/>
  <c r="G6234" i="58"/>
  <c r="M6234" i="58" s="1"/>
  <c r="G5748" i="58"/>
  <c r="M5748" i="58" s="1"/>
  <c r="G6520" i="58"/>
  <c r="M6520" i="58" s="1"/>
  <c r="G6448" i="58"/>
  <c r="M6448" i="58" s="1"/>
  <c r="G6449" i="58"/>
  <c r="M6449" i="58" s="1"/>
  <c r="G6521" i="58"/>
  <c r="M6521" i="58" s="1"/>
  <c r="G7065" i="58"/>
  <c r="M7065" i="58" s="1"/>
  <c r="G6835" i="58"/>
  <c r="M6835" i="58" s="1"/>
  <c r="G6068" i="58"/>
  <c r="M6068" i="58" s="1"/>
  <c r="G6676" i="58"/>
  <c r="M6676" i="58" s="1"/>
  <c r="G6679" i="58"/>
  <c r="M6679" i="58" s="1"/>
  <c r="G6393" i="58"/>
  <c r="M6393" i="58" s="1"/>
  <c r="G6834" i="58"/>
  <c r="M6834" i="58" s="1"/>
  <c r="G5920" i="58"/>
  <c r="M5920" i="58" s="1"/>
  <c r="G6227" i="58"/>
  <c r="M6227" i="58" s="1"/>
  <c r="G6833" i="58"/>
  <c r="M6833" i="58" s="1"/>
  <c r="G6935" i="58"/>
  <c r="M6935" i="58" s="1"/>
  <c r="G7077" i="58"/>
  <c r="M7077" i="58" s="1"/>
  <c r="G6715" i="58"/>
  <c r="M6715" i="58" s="1"/>
  <c r="G6394" i="58"/>
  <c r="M6394" i="58" s="1"/>
  <c r="G7004" i="58"/>
  <c r="M7004" i="58" s="1"/>
  <c r="G7254" i="58"/>
  <c r="M7254" i="58" s="1"/>
  <c r="G6999" i="58"/>
  <c r="M6999" i="58" s="1"/>
  <c r="G6909" i="58"/>
  <c r="M6909" i="58" s="1"/>
  <c r="G6732" i="58"/>
  <c r="M6732" i="58" s="1"/>
  <c r="G6998" i="58"/>
  <c r="M6998" i="58" s="1"/>
  <c r="G6061" i="58"/>
  <c r="M6061" i="58" s="1"/>
  <c r="G6358" i="58"/>
  <c r="M6358" i="58" s="1"/>
  <c r="G7208" i="58"/>
  <c r="M7208" i="58" s="1"/>
  <c r="G5733" i="58"/>
  <c r="M5733" i="58" s="1"/>
  <c r="G6225" i="58"/>
  <c r="M6225" i="58" s="1"/>
  <c r="G6936" i="58"/>
  <c r="M6936" i="58" s="1"/>
  <c r="G6059" i="58"/>
  <c r="M6059" i="58" s="1"/>
  <c r="G6832" i="58"/>
  <c r="M6832" i="58" s="1"/>
  <c r="G6119" i="58"/>
  <c r="M6119" i="58" s="1"/>
  <c r="G6060" i="58"/>
  <c r="M6060" i="58" s="1"/>
  <c r="G6419" i="58"/>
  <c r="M6419" i="58" s="1"/>
  <c r="G5660" i="58"/>
  <c r="M5660" i="58" s="1"/>
  <c r="G5661" i="58"/>
  <c r="M5661" i="58" s="1"/>
  <c r="G5662" i="58"/>
  <c r="M5662" i="58" s="1"/>
  <c r="G6571" i="58"/>
  <c r="M6571" i="58" s="1"/>
  <c r="G6988" i="58"/>
  <c r="M6988" i="58" s="1"/>
  <c r="G5960" i="58"/>
  <c r="M5960" i="58" s="1"/>
  <c r="G5963" i="58"/>
  <c r="M5963" i="58" s="1"/>
  <c r="G5966" i="58"/>
  <c r="M5966" i="58" s="1"/>
  <c r="G5967" i="58"/>
  <c r="M5967" i="58" s="1"/>
  <c r="G5970" i="58"/>
  <c r="M5970" i="58" s="1"/>
  <c r="G5968" i="58"/>
  <c r="M5968" i="58" s="1"/>
  <c r="G5962" i="58"/>
  <c r="M5962" i="58" s="1"/>
  <c r="G5965" i="58"/>
  <c r="M5965" i="58" s="1"/>
  <c r="G5969" i="58"/>
  <c r="M5969" i="58" s="1"/>
  <c r="G5936" i="58"/>
  <c r="M5936" i="58" s="1"/>
  <c r="G5961" i="58"/>
  <c r="M5961" i="58" s="1"/>
  <c r="G5964" i="58"/>
  <c r="M5964" i="58" s="1"/>
  <c r="G2841" i="58"/>
  <c r="M2841" i="58" s="1"/>
  <c r="G5249" i="58"/>
  <c r="M5249" i="58" s="1"/>
  <c r="G4083" i="58"/>
  <c r="M4083" i="58" s="1"/>
  <c r="G4076" i="58"/>
  <c r="M4076" i="58" s="1"/>
  <c r="G4069" i="58"/>
  <c r="M4069" i="58" s="1"/>
  <c r="G4082" i="58"/>
  <c r="M4082" i="58" s="1"/>
  <c r="G4075" i="58"/>
  <c r="M4075" i="58" s="1"/>
  <c r="G4068" i="58"/>
  <c r="M4068" i="58" s="1"/>
  <c r="G4084" i="58"/>
  <c r="M4084" i="58" s="1"/>
  <c r="G4077" i="58"/>
  <c r="M4077" i="58" s="1"/>
  <c r="G4070" i="58"/>
  <c r="M4070" i="58" s="1"/>
  <c r="G4081" i="58"/>
  <c r="M4081" i="58" s="1"/>
  <c r="G4066" i="58"/>
  <c r="M4066" i="58" s="1"/>
  <c r="G4071" i="58"/>
  <c r="M4071" i="58" s="1"/>
  <c r="G4073" i="58"/>
  <c r="M4073" i="58" s="1"/>
  <c r="G4078" i="58"/>
  <c r="M4078" i="58" s="1"/>
  <c r="G4080" i="58"/>
  <c r="M4080" i="58" s="1"/>
  <c r="G4085" i="58"/>
  <c r="M4085" i="58" s="1"/>
  <c r="G4067" i="58"/>
  <c r="M4067" i="58" s="1"/>
  <c r="G4072" i="58"/>
  <c r="M4072" i="58" s="1"/>
  <c r="G4074" i="58"/>
  <c r="M4074" i="58" s="1"/>
  <c r="G4079" i="58"/>
  <c r="M4079" i="58" s="1"/>
  <c r="G4897" i="58"/>
  <c r="M4897" i="58" s="1"/>
  <c r="G4896" i="58"/>
  <c r="M4896" i="58" s="1"/>
  <c r="G3491" i="58"/>
  <c r="M3491" i="58" s="1"/>
  <c r="G3484" i="58"/>
  <c r="M3484" i="58" s="1"/>
  <c r="G3486" i="58"/>
  <c r="M3486" i="58" s="1"/>
  <c r="G3479" i="58"/>
  <c r="M3479" i="58" s="1"/>
  <c r="G3488" i="58"/>
  <c r="M3488" i="58" s="1"/>
  <c r="G3481" i="58"/>
  <c r="M3481" i="58" s="1"/>
  <c r="G3490" i="58"/>
  <c r="M3490" i="58" s="1"/>
  <c r="G3483" i="58"/>
  <c r="M3483" i="58" s="1"/>
  <c r="G3487" i="58"/>
  <c r="M3487" i="58" s="1"/>
  <c r="G3480" i="58"/>
  <c r="M3480" i="58" s="1"/>
  <c r="G3478" i="58"/>
  <c r="M3478" i="58" s="1"/>
  <c r="G3485" i="58"/>
  <c r="M3485" i="58" s="1"/>
  <c r="G3489" i="58"/>
  <c r="M3489" i="58" s="1"/>
  <c r="G3482" i="58"/>
  <c r="M3482" i="58" s="1"/>
  <c r="G3331" i="58"/>
  <c r="M3331" i="58" s="1"/>
  <c r="G3330" i="58"/>
  <c r="M3330" i="58" s="1"/>
  <c r="G3332" i="58"/>
  <c r="M3332" i="58" s="1"/>
  <c r="G5100" i="58"/>
  <c r="M5100" i="58" s="1"/>
  <c r="G5097" i="58"/>
  <c r="M5097" i="58" s="1"/>
  <c r="G5098" i="58"/>
  <c r="M5098" i="58" s="1"/>
  <c r="G4876" i="58"/>
  <c r="M4876" i="58" s="1"/>
  <c r="G4806" i="58"/>
  <c r="M4806" i="58" s="1"/>
  <c r="G4878" i="58"/>
  <c r="M4878" i="58" s="1"/>
  <c r="G4808" i="58"/>
  <c r="M4808" i="58" s="1"/>
  <c r="G4880" i="58"/>
  <c r="M4880" i="58" s="1"/>
  <c r="G4810" i="58"/>
  <c r="M4810" i="58" s="1"/>
  <c r="G4875" i="58"/>
  <c r="M4875" i="58" s="1"/>
  <c r="G4877" i="58"/>
  <c r="M4877" i="58" s="1"/>
  <c r="G4807" i="58"/>
  <c r="M4807" i="58" s="1"/>
  <c r="G4879" i="58"/>
  <c r="M4879" i="58" s="1"/>
  <c r="G4809" i="58"/>
  <c r="M4809" i="58" s="1"/>
  <c r="G4881" i="58"/>
  <c r="M4881" i="58" s="1"/>
  <c r="G4874" i="58"/>
  <c r="M4874" i="58" s="1"/>
  <c r="G4811" i="58"/>
  <c r="M4811" i="58" s="1"/>
  <c r="G4971" i="58"/>
  <c r="M4971" i="58" s="1"/>
  <c r="G4970" i="58"/>
  <c r="M4970" i="58" s="1"/>
  <c r="G4969" i="58"/>
  <c r="M4969" i="58" s="1"/>
  <c r="G2848" i="58"/>
  <c r="M2848" i="58" s="1"/>
  <c r="G4230" i="58"/>
  <c r="M4230" i="58" s="1"/>
  <c r="G4232" i="58"/>
  <c r="M4232" i="58" s="1"/>
  <c r="G4227" i="58"/>
  <c r="M4227" i="58" s="1"/>
  <c r="G4229" i="58"/>
  <c r="M4229" i="58" s="1"/>
  <c r="G4231" i="58"/>
  <c r="M4231" i="58" s="1"/>
  <c r="G4228" i="58"/>
  <c r="M4228" i="58" s="1"/>
  <c r="G4523" i="58"/>
  <c r="M4523" i="58" s="1"/>
  <c r="G4525" i="58"/>
  <c r="M4525" i="58" s="1"/>
  <c r="G4518" i="58"/>
  <c r="M4518" i="58" s="1"/>
  <c r="G4524" i="58"/>
  <c r="M4524" i="58" s="1"/>
  <c r="G4519" i="58"/>
  <c r="M4519" i="58" s="1"/>
  <c r="G4521" i="58"/>
  <c r="M4521" i="58" s="1"/>
  <c r="G4520" i="58"/>
  <c r="M4520" i="58" s="1"/>
  <c r="G4522" i="58"/>
  <c r="M4522" i="58" s="1"/>
  <c r="G4517" i="58"/>
  <c r="M4517" i="58" s="1"/>
  <c r="G4604" i="58"/>
  <c r="M4604" i="58" s="1"/>
  <c r="G4606" i="58"/>
  <c r="M4606" i="58" s="1"/>
  <c r="G4605" i="58"/>
  <c r="M4605" i="58" s="1"/>
  <c r="G4906" i="58"/>
  <c r="M4906" i="58" s="1"/>
  <c r="G4770" i="58"/>
  <c r="M4770" i="58" s="1"/>
  <c r="G4907" i="58"/>
  <c r="M4907" i="58" s="1"/>
  <c r="G4769" i="58"/>
  <c r="M4769" i="58" s="1"/>
  <c r="G4086" i="58"/>
  <c r="M4086" i="58" s="1"/>
  <c r="G3320" i="58"/>
  <c r="M3320" i="58" s="1"/>
  <c r="G3313" i="58"/>
  <c r="M3313" i="58" s="1"/>
  <c r="G3322" i="58"/>
  <c r="M3322" i="58" s="1"/>
  <c r="G3315" i="58"/>
  <c r="M3315" i="58" s="1"/>
  <c r="G3321" i="58"/>
  <c r="M3321" i="58" s="1"/>
  <c r="G3316" i="58"/>
  <c r="M3316" i="58" s="1"/>
  <c r="G3311" i="58"/>
  <c r="M3311" i="58" s="1"/>
  <c r="G3323" i="58"/>
  <c r="M3323" i="58" s="1"/>
  <c r="G3318" i="58"/>
  <c r="M3318" i="58" s="1"/>
  <c r="G3314" i="58"/>
  <c r="M3314" i="58" s="1"/>
  <c r="G3319" i="58"/>
  <c r="M3319" i="58" s="1"/>
  <c r="G3317" i="58"/>
  <c r="M3317" i="58" s="1"/>
  <c r="G3312" i="58"/>
  <c r="M3312" i="58" s="1"/>
  <c r="G4975" i="58"/>
  <c r="M4975" i="58" s="1"/>
  <c r="G4127" i="58"/>
  <c r="M4127" i="58" s="1"/>
  <c r="G4129" i="58"/>
  <c r="M4129" i="58" s="1"/>
  <c r="G4128" i="58"/>
  <c r="M4128" i="58" s="1"/>
  <c r="G5281" i="58"/>
  <c r="M5281" i="58" s="1"/>
  <c r="G5274" i="58"/>
  <c r="M5274" i="58" s="1"/>
  <c r="G5276" i="58"/>
  <c r="M5276" i="58" s="1"/>
  <c r="G5266" i="58"/>
  <c r="M5266" i="58" s="1"/>
  <c r="G5259" i="58"/>
  <c r="M5259" i="58" s="1"/>
  <c r="G5270" i="58"/>
  <c r="M5270" i="58" s="1"/>
  <c r="G5275" i="58"/>
  <c r="M5275" i="58" s="1"/>
  <c r="G5263" i="58"/>
  <c r="M5263" i="58" s="1"/>
  <c r="G5234" i="58"/>
  <c r="M5234" i="58" s="1"/>
  <c r="G5236" i="58"/>
  <c r="M5236" i="58" s="1"/>
  <c r="G4904" i="58"/>
  <c r="M4904" i="58" s="1"/>
  <c r="G4905" i="58"/>
  <c r="M4905" i="58" s="1"/>
  <c r="G4989" i="58"/>
  <c r="M4989" i="58" s="1"/>
  <c r="G4976" i="58"/>
  <c r="M4976" i="58" s="1"/>
  <c r="G5226" i="58"/>
  <c r="M5226" i="58" s="1"/>
  <c r="G5205" i="58"/>
  <c r="M5205" i="58" s="1"/>
  <c r="G5191" i="58"/>
  <c r="M5191" i="58" s="1"/>
  <c r="G5142" i="58"/>
  <c r="M5142" i="58" s="1"/>
  <c r="G5214" i="58"/>
  <c r="M5214" i="58" s="1"/>
  <c r="G5207" i="58"/>
  <c r="M5207" i="58" s="1"/>
  <c r="G5158" i="58"/>
  <c r="M5158" i="58" s="1"/>
  <c r="G5123" i="58"/>
  <c r="M5123" i="58" s="1"/>
  <c r="G5216" i="58"/>
  <c r="M5216" i="58" s="1"/>
  <c r="G5188" i="58"/>
  <c r="M5188" i="58" s="1"/>
  <c r="G5160" i="58"/>
  <c r="M5160" i="58" s="1"/>
  <c r="G5153" i="58"/>
  <c r="M5153" i="58" s="1"/>
  <c r="G5146" i="58"/>
  <c r="M5146" i="58" s="1"/>
  <c r="G5139" i="58"/>
  <c r="M5139" i="58" s="1"/>
  <c r="G5132" i="58"/>
  <c r="M5132" i="58" s="1"/>
  <c r="G5204" i="58"/>
  <c r="M5204" i="58" s="1"/>
  <c r="G5190" i="58"/>
  <c r="M5190" i="58" s="1"/>
  <c r="G5141" i="58"/>
  <c r="M5141" i="58" s="1"/>
  <c r="G5134" i="58"/>
  <c r="M5134" i="58" s="1"/>
  <c r="G5227" i="58"/>
  <c r="M5227" i="58" s="1"/>
  <c r="G5206" i="58"/>
  <c r="M5206" i="58" s="1"/>
  <c r="G5192" i="58"/>
  <c r="M5192" i="58" s="1"/>
  <c r="G5131" i="58"/>
  <c r="M5131" i="58" s="1"/>
  <c r="G5189" i="58"/>
  <c r="M5189" i="58" s="1"/>
  <c r="G5152" i="58"/>
  <c r="M5152" i="58" s="1"/>
  <c r="G5133" i="58"/>
  <c r="M5133" i="58" s="1"/>
  <c r="G5215" i="58"/>
  <c r="M5215" i="58" s="1"/>
  <c r="G5138" i="58"/>
  <c r="M5138" i="58" s="1"/>
  <c r="G5159" i="58"/>
  <c r="M5159" i="58" s="1"/>
  <c r="G5161" i="58"/>
  <c r="M5161" i="58" s="1"/>
  <c r="G5124" i="58"/>
  <c r="M5124" i="58" s="1"/>
  <c r="G5208" i="58"/>
  <c r="M5208" i="58" s="1"/>
  <c r="G4951" i="58"/>
  <c r="M4951" i="58" s="1"/>
  <c r="G4950" i="58"/>
  <c r="M4950" i="58" s="1"/>
  <c r="G3759" i="58"/>
  <c r="M3759" i="58" s="1"/>
  <c r="G4862" i="58"/>
  <c r="M4862" i="58" s="1"/>
  <c r="G4861" i="58"/>
  <c r="M4861" i="58" s="1"/>
  <c r="G4860" i="58"/>
  <c r="M4860" i="58" s="1"/>
  <c r="G4051" i="58"/>
  <c r="M4051" i="58" s="1"/>
  <c r="G4050" i="58"/>
  <c r="M4050" i="58" s="1"/>
  <c r="G4869" i="58"/>
  <c r="M4869" i="58" s="1"/>
  <c r="G4871" i="58"/>
  <c r="M4871" i="58" s="1"/>
  <c r="G4864" i="58"/>
  <c r="M4864" i="58" s="1"/>
  <c r="G4873" i="58"/>
  <c r="M4873" i="58" s="1"/>
  <c r="G4866" i="58"/>
  <c r="M4866" i="58" s="1"/>
  <c r="G4868" i="58"/>
  <c r="M4868" i="58" s="1"/>
  <c r="G4870" i="58"/>
  <c r="M4870" i="58" s="1"/>
  <c r="G4863" i="58"/>
  <c r="M4863" i="58" s="1"/>
  <c r="G4872" i="58"/>
  <c r="M4872" i="58" s="1"/>
  <c r="G4865" i="58"/>
  <c r="M4865" i="58" s="1"/>
  <c r="G4867" i="58"/>
  <c r="M4867" i="58" s="1"/>
  <c r="G4125" i="58"/>
  <c r="M4125" i="58" s="1"/>
  <c r="G4120" i="58"/>
  <c r="M4120" i="58" s="1"/>
  <c r="G4122" i="58"/>
  <c r="M4122" i="58" s="1"/>
  <c r="G4124" i="58"/>
  <c r="M4124" i="58" s="1"/>
  <c r="G4126" i="58"/>
  <c r="M4126" i="58" s="1"/>
  <c r="G4121" i="58"/>
  <c r="M4121" i="58" s="1"/>
  <c r="G4123" i="58"/>
  <c r="M4123" i="58" s="1"/>
  <c r="G3970" i="58"/>
  <c r="M3970" i="58" s="1"/>
  <c r="G3963" i="58"/>
  <c r="M3963" i="58" s="1"/>
  <c r="G3956" i="58"/>
  <c r="M3956" i="58" s="1"/>
  <c r="G3972" i="58"/>
  <c r="M3972" i="58" s="1"/>
  <c r="G3965" i="58"/>
  <c r="M3965" i="58" s="1"/>
  <c r="G3958" i="58"/>
  <c r="M3958" i="58" s="1"/>
  <c r="G3975" i="58"/>
  <c r="M3975" i="58" s="1"/>
  <c r="G3953" i="58"/>
  <c r="M3953" i="58" s="1"/>
  <c r="G3960" i="58"/>
  <c r="M3960" i="58" s="1"/>
  <c r="G3955" i="58"/>
  <c r="M3955" i="58" s="1"/>
  <c r="G3967" i="58"/>
  <c r="M3967" i="58" s="1"/>
  <c r="G3962" i="58"/>
  <c r="M3962" i="58" s="1"/>
  <c r="G3957" i="58"/>
  <c r="M3957" i="58" s="1"/>
  <c r="G3974" i="58"/>
  <c r="M3974" i="58" s="1"/>
  <c r="G3969" i="58"/>
  <c r="M3969" i="58" s="1"/>
  <c r="G3952" i="58"/>
  <c r="M3952" i="58" s="1"/>
  <c r="G3964" i="58"/>
  <c r="M3964" i="58" s="1"/>
  <c r="G3959" i="58"/>
  <c r="M3959" i="58" s="1"/>
  <c r="G3954" i="58"/>
  <c r="M3954" i="58" s="1"/>
  <c r="G3971" i="58"/>
  <c r="M3971" i="58" s="1"/>
  <c r="G3966" i="58"/>
  <c r="M3966" i="58" s="1"/>
  <c r="G3961" i="58"/>
  <c r="M3961" i="58" s="1"/>
  <c r="G3968" i="58"/>
  <c r="M3968" i="58" s="1"/>
  <c r="G3973" i="58"/>
  <c r="M3973" i="58" s="1"/>
  <c r="G3450" i="58"/>
  <c r="M3450" i="58" s="1"/>
  <c r="G5285" i="58"/>
  <c r="M5285" i="58" s="1"/>
  <c r="G5289" i="58"/>
  <c r="M5289" i="58" s="1"/>
  <c r="G5284" i="58"/>
  <c r="M5284" i="58" s="1"/>
  <c r="G4773" i="58"/>
  <c r="M4773" i="58" s="1"/>
  <c r="G4908" i="58"/>
  <c r="M4908" i="58" s="1"/>
  <c r="G4775" i="58"/>
  <c r="M4775" i="58" s="1"/>
  <c r="G4777" i="58"/>
  <c r="M4777" i="58" s="1"/>
  <c r="G4779" i="58"/>
  <c r="M4779" i="58" s="1"/>
  <c r="G4772" i="58"/>
  <c r="M4772" i="58" s="1"/>
  <c r="G4774" i="58"/>
  <c r="M4774" i="58" s="1"/>
  <c r="G4771" i="58"/>
  <c r="M4771" i="58" s="1"/>
  <c r="G4776" i="58"/>
  <c r="M4776" i="58" s="1"/>
  <c r="G4778" i="58"/>
  <c r="M4778" i="58" s="1"/>
  <c r="G4909" i="58"/>
  <c r="M4909" i="58" s="1"/>
  <c r="G4966" i="58"/>
  <c r="M4966" i="58" s="1"/>
  <c r="G4965" i="58"/>
  <c r="M4965" i="58" s="1"/>
  <c r="G4142" i="58"/>
  <c r="M4142" i="58" s="1"/>
  <c r="G4982" i="58"/>
  <c r="M4982" i="58" s="1"/>
  <c r="G5231" i="58"/>
  <c r="M5231" i="58" s="1"/>
  <c r="G5265" i="58"/>
  <c r="M5265" i="58" s="1"/>
  <c r="G5267" i="58"/>
  <c r="M5267" i="58" s="1"/>
  <c r="G5260" i="58"/>
  <c r="M5260" i="58" s="1"/>
  <c r="G5269" i="58"/>
  <c r="M5269" i="58" s="1"/>
  <c r="G5262" i="58"/>
  <c r="M5262" i="58" s="1"/>
  <c r="G5271" i="58"/>
  <c r="M5271" i="58" s="1"/>
  <c r="G5264" i="58"/>
  <c r="M5264" i="58" s="1"/>
  <c r="G5280" i="58"/>
  <c r="M5280" i="58" s="1"/>
  <c r="G5273" i="58"/>
  <c r="M5273" i="58" s="1"/>
  <c r="G5268" i="58"/>
  <c r="M5268" i="58" s="1"/>
  <c r="G5277" i="58"/>
  <c r="M5277" i="58" s="1"/>
  <c r="G5261" i="58"/>
  <c r="M5261" i="58" s="1"/>
  <c r="G5282" i="58"/>
  <c r="M5282" i="58" s="1"/>
  <c r="G5237" i="58"/>
  <c r="M5237" i="58" s="1"/>
  <c r="G5239" i="58"/>
  <c r="M5239" i="58" s="1"/>
  <c r="G5241" i="58"/>
  <c r="M5241" i="58" s="1"/>
  <c r="G4425" i="58"/>
  <c r="M4425" i="58" s="1"/>
  <c r="G4419" i="58"/>
  <c r="M4419" i="58" s="1"/>
  <c r="G4412" i="58"/>
  <c r="M4412" i="58" s="1"/>
  <c r="G4405" i="58"/>
  <c r="M4405" i="58" s="1"/>
  <c r="G4398" i="58"/>
  <c r="M4398" i="58" s="1"/>
  <c r="G4391" i="58"/>
  <c r="M4391" i="58" s="1"/>
  <c r="G4426" i="58"/>
  <c r="M4426" i="58" s="1"/>
  <c r="G4421" i="58"/>
  <c r="M4421" i="58" s="1"/>
  <c r="G4414" i="58"/>
  <c r="M4414" i="58" s="1"/>
  <c r="G4407" i="58"/>
  <c r="M4407" i="58" s="1"/>
  <c r="G4400" i="58"/>
  <c r="M4400" i="58" s="1"/>
  <c r="G4393" i="58"/>
  <c r="M4393" i="58" s="1"/>
  <c r="G4423" i="58"/>
  <c r="M4423" i="58" s="1"/>
  <c r="G4416" i="58"/>
  <c r="M4416" i="58" s="1"/>
  <c r="G4409" i="58"/>
  <c r="M4409" i="58" s="1"/>
  <c r="G4402" i="58"/>
  <c r="M4402" i="58" s="1"/>
  <c r="G4395" i="58"/>
  <c r="M4395" i="58" s="1"/>
  <c r="G4388" i="58"/>
  <c r="M4388" i="58" s="1"/>
  <c r="G4418" i="58"/>
  <c r="M4418" i="58" s="1"/>
  <c r="G4411" i="58"/>
  <c r="M4411" i="58" s="1"/>
  <c r="G4404" i="58"/>
  <c r="M4404" i="58" s="1"/>
  <c r="G4397" i="58"/>
  <c r="M4397" i="58" s="1"/>
  <c r="G4390" i="58"/>
  <c r="M4390" i="58" s="1"/>
  <c r="G4420" i="58"/>
  <c r="M4420" i="58" s="1"/>
  <c r="G4413" i="58"/>
  <c r="M4413" i="58" s="1"/>
  <c r="G4406" i="58"/>
  <c r="M4406" i="58" s="1"/>
  <c r="G4399" i="58"/>
  <c r="M4399" i="58" s="1"/>
  <c r="G4392" i="58"/>
  <c r="M4392" i="58" s="1"/>
  <c r="G4422" i="58"/>
  <c r="M4422" i="58" s="1"/>
  <c r="G4415" i="58"/>
  <c r="M4415" i="58" s="1"/>
  <c r="G4408" i="58"/>
  <c r="M4408" i="58" s="1"/>
  <c r="G4401" i="58"/>
  <c r="M4401" i="58" s="1"/>
  <c r="G4394" i="58"/>
  <c r="M4394" i="58" s="1"/>
  <c r="G4410" i="58"/>
  <c r="M4410" i="58" s="1"/>
  <c r="G3659" i="58"/>
  <c r="M3659" i="58" s="1"/>
  <c r="G4396" i="58"/>
  <c r="M4396" i="58" s="1"/>
  <c r="G3661" i="58"/>
  <c r="M3661" i="58" s="1"/>
  <c r="G3663" i="58"/>
  <c r="M3663" i="58" s="1"/>
  <c r="G3656" i="58"/>
  <c r="M3656" i="58" s="1"/>
  <c r="G4417" i="58"/>
  <c r="M4417" i="58" s="1"/>
  <c r="G3658" i="58"/>
  <c r="M3658" i="58" s="1"/>
  <c r="G4403" i="58"/>
  <c r="M4403" i="58" s="1"/>
  <c r="G3660" i="58"/>
  <c r="M3660" i="58" s="1"/>
  <c r="G4389" i="58"/>
  <c r="M4389" i="58" s="1"/>
  <c r="G3662" i="58"/>
  <c r="M3662" i="58" s="1"/>
  <c r="G3664" i="58"/>
  <c r="M3664" i="58" s="1"/>
  <c r="G4424" i="58"/>
  <c r="M4424" i="58" s="1"/>
  <c r="G3657" i="58"/>
  <c r="M3657" i="58" s="1"/>
  <c r="G5233" i="58"/>
  <c r="M5233" i="58" s="1"/>
  <c r="G5228" i="58"/>
  <c r="M5228" i="58" s="1"/>
  <c r="G5248" i="58"/>
  <c r="M5248" i="58" s="1"/>
  <c r="G5230" i="58"/>
  <c r="M5230" i="58" s="1"/>
  <c r="G5250" i="58"/>
  <c r="M5250" i="58" s="1"/>
  <c r="G5232" i="58"/>
  <c r="M5232" i="58" s="1"/>
  <c r="G5229" i="58"/>
  <c r="M5229" i="58" s="1"/>
  <c r="G4968" i="58"/>
  <c r="M4968" i="58" s="1"/>
  <c r="G4967" i="58"/>
  <c r="M4967" i="58" s="1"/>
  <c r="G4509" i="58"/>
  <c r="M4509" i="58" s="1"/>
  <c r="G4502" i="58"/>
  <c r="M4502" i="58" s="1"/>
  <c r="G4511" i="58"/>
  <c r="M4511" i="58" s="1"/>
  <c r="G4504" i="58"/>
  <c r="M4504" i="58" s="1"/>
  <c r="G4506" i="58"/>
  <c r="M4506" i="58" s="1"/>
  <c r="G4508" i="58"/>
  <c r="M4508" i="58" s="1"/>
  <c r="G4503" i="58"/>
  <c r="M4503" i="58" s="1"/>
  <c r="G4510" i="58"/>
  <c r="M4510" i="58" s="1"/>
  <c r="G4505" i="58"/>
  <c r="M4505" i="58" s="1"/>
  <c r="G4507" i="58"/>
  <c r="M4507" i="58" s="1"/>
  <c r="G4859" i="58"/>
  <c r="M4859" i="58" s="1"/>
  <c r="G5240" i="58"/>
  <c r="M5240" i="58" s="1"/>
  <c r="G4787" i="58"/>
  <c r="M4787" i="58" s="1"/>
  <c r="G4789" i="58"/>
  <c r="M4789" i="58" s="1"/>
  <c r="G4791" i="58"/>
  <c r="M4791" i="58" s="1"/>
  <c r="G4793" i="58"/>
  <c r="M4793" i="58" s="1"/>
  <c r="G4788" i="58"/>
  <c r="M4788" i="58" s="1"/>
  <c r="G4790" i="58"/>
  <c r="M4790" i="58" s="1"/>
  <c r="G4792" i="58"/>
  <c r="M4792" i="58" s="1"/>
  <c r="G4794" i="58"/>
  <c r="M4794" i="58" s="1"/>
  <c r="G4796" i="58"/>
  <c r="M4796" i="58" s="1"/>
  <c r="G4795" i="58"/>
  <c r="M4795" i="58" s="1"/>
  <c r="G4797" i="58"/>
  <c r="M4797" i="58" s="1"/>
  <c r="G4530" i="58"/>
  <c r="M4530" i="58" s="1"/>
  <c r="G4526" i="58"/>
  <c r="M4526" i="58" s="1"/>
  <c r="G4528" i="58"/>
  <c r="M4528" i="58" s="1"/>
  <c r="G4527" i="58"/>
  <c r="M4527" i="58" s="1"/>
  <c r="G4529" i="58"/>
  <c r="M4529" i="58" s="1"/>
  <c r="G4911" i="58"/>
  <c r="M4911" i="58" s="1"/>
  <c r="G4780" i="58"/>
  <c r="M4780" i="58" s="1"/>
  <c r="G4782" i="58"/>
  <c r="M4782" i="58" s="1"/>
  <c r="G4910" i="58"/>
  <c r="M4910" i="58" s="1"/>
  <c r="G4784" i="58"/>
  <c r="M4784" i="58" s="1"/>
  <c r="G4786" i="58"/>
  <c r="M4786" i="58" s="1"/>
  <c r="G4781" i="58"/>
  <c r="M4781" i="58" s="1"/>
  <c r="G4785" i="58"/>
  <c r="M4785" i="58" s="1"/>
  <c r="G4783" i="58"/>
  <c r="M4783" i="58" s="1"/>
  <c r="G3942" i="58"/>
  <c r="M3942" i="58" s="1"/>
  <c r="G3935" i="58"/>
  <c r="M3935" i="58" s="1"/>
  <c r="G3944" i="58"/>
  <c r="M3944" i="58" s="1"/>
  <c r="G3937" i="58"/>
  <c r="M3937" i="58" s="1"/>
  <c r="G3930" i="58"/>
  <c r="M3930" i="58" s="1"/>
  <c r="G3931" i="58"/>
  <c r="M3931" i="58" s="1"/>
  <c r="G3943" i="58"/>
  <c r="M3943" i="58" s="1"/>
  <c r="G3938" i="58"/>
  <c r="M3938" i="58" s="1"/>
  <c r="G3933" i="58"/>
  <c r="M3933" i="58" s="1"/>
  <c r="G3945" i="58"/>
  <c r="M3945" i="58" s="1"/>
  <c r="G3940" i="58"/>
  <c r="M3940" i="58" s="1"/>
  <c r="G3932" i="58"/>
  <c r="M3932" i="58" s="1"/>
  <c r="G3939" i="58"/>
  <c r="M3939" i="58" s="1"/>
  <c r="G3934" i="58"/>
  <c r="M3934" i="58" s="1"/>
  <c r="G3936" i="58"/>
  <c r="M3936" i="58" s="1"/>
  <c r="G3941" i="58"/>
  <c r="M3941" i="58" s="1"/>
  <c r="G5093" i="58"/>
  <c r="M5093" i="58" s="1"/>
  <c r="G4386" i="58"/>
  <c r="M4386" i="58" s="1"/>
  <c r="G4385" i="58"/>
  <c r="M4385" i="58" s="1"/>
  <c r="G4387" i="58"/>
  <c r="M4387" i="58" s="1"/>
  <c r="G4738" i="58"/>
  <c r="M4738" i="58" s="1"/>
  <c r="G4731" i="58"/>
  <c r="M4731" i="58" s="1"/>
  <c r="G4740" i="58"/>
  <c r="M4740" i="58" s="1"/>
  <c r="G4733" i="58"/>
  <c r="M4733" i="58" s="1"/>
  <c r="G4726" i="58"/>
  <c r="M4726" i="58" s="1"/>
  <c r="G4742" i="58"/>
  <c r="M4742" i="58" s="1"/>
  <c r="G4735" i="58"/>
  <c r="M4735" i="58" s="1"/>
  <c r="G4728" i="58"/>
  <c r="M4728" i="58" s="1"/>
  <c r="G4737" i="58"/>
  <c r="M4737" i="58" s="1"/>
  <c r="G4730" i="58"/>
  <c r="M4730" i="58" s="1"/>
  <c r="G4739" i="58"/>
  <c r="M4739" i="58" s="1"/>
  <c r="G4732" i="58"/>
  <c r="M4732" i="58" s="1"/>
  <c r="G4729" i="58"/>
  <c r="M4729" i="58" s="1"/>
  <c r="G4734" i="58"/>
  <c r="M4734" i="58" s="1"/>
  <c r="G4736" i="58"/>
  <c r="M4736" i="58" s="1"/>
  <c r="G4741" i="58"/>
  <c r="M4741" i="58" s="1"/>
  <c r="G4727" i="58"/>
  <c r="M4727" i="58" s="1"/>
  <c r="G4607" i="58"/>
  <c r="M4607" i="58" s="1"/>
  <c r="G4609" i="58"/>
  <c r="M4609" i="58" s="1"/>
  <c r="G4612" i="58"/>
  <c r="M4612" i="58" s="1"/>
  <c r="G4611" i="58"/>
  <c r="M4611" i="58" s="1"/>
  <c r="G4608" i="58"/>
  <c r="M4608" i="58" s="1"/>
  <c r="G4610" i="58"/>
  <c r="M4610" i="58" s="1"/>
  <c r="G4635" i="58"/>
  <c r="M4635" i="58" s="1"/>
  <c r="G4628" i="58"/>
  <c r="M4628" i="58" s="1"/>
  <c r="G4621" i="58"/>
  <c r="M4621" i="58" s="1"/>
  <c r="G4614" i="58"/>
  <c r="M4614" i="58" s="1"/>
  <c r="G4630" i="58"/>
  <c r="M4630" i="58" s="1"/>
  <c r="G4623" i="58"/>
  <c r="M4623" i="58" s="1"/>
  <c r="G4616" i="58"/>
  <c r="M4616" i="58" s="1"/>
  <c r="G4622" i="58"/>
  <c r="M4622" i="58" s="1"/>
  <c r="G4634" i="58"/>
  <c r="M4634" i="58" s="1"/>
  <c r="G4617" i="58"/>
  <c r="M4617" i="58" s="1"/>
  <c r="G4629" i="58"/>
  <c r="M4629" i="58" s="1"/>
  <c r="G4624" i="58"/>
  <c r="M4624" i="58" s="1"/>
  <c r="G4619" i="58"/>
  <c r="M4619" i="58" s="1"/>
  <c r="G4631" i="58"/>
  <c r="M4631" i="58" s="1"/>
  <c r="G4626" i="58"/>
  <c r="M4626" i="58" s="1"/>
  <c r="G4633" i="58"/>
  <c r="M4633" i="58" s="1"/>
  <c r="G4618" i="58"/>
  <c r="M4618" i="58" s="1"/>
  <c r="G4613" i="58"/>
  <c r="M4613" i="58" s="1"/>
  <c r="G4625" i="58"/>
  <c r="M4625" i="58" s="1"/>
  <c r="G4620" i="58"/>
  <c r="M4620" i="58" s="1"/>
  <c r="G4632" i="58"/>
  <c r="M4632" i="58" s="1"/>
  <c r="G3771" i="58"/>
  <c r="M3771" i="58" s="1"/>
  <c r="G4615" i="58"/>
  <c r="M4615" i="58" s="1"/>
  <c r="G3773" i="58"/>
  <c r="M3773" i="58" s="1"/>
  <c r="G3775" i="58"/>
  <c r="M3775" i="58" s="1"/>
  <c r="G3772" i="58"/>
  <c r="M3772" i="58" s="1"/>
  <c r="G3774" i="58"/>
  <c r="M3774" i="58" s="1"/>
  <c r="G3776" i="58"/>
  <c r="M3776" i="58" s="1"/>
  <c r="G4627" i="58"/>
  <c r="M4627" i="58" s="1"/>
  <c r="G4924" i="58"/>
  <c r="M4924" i="58" s="1"/>
  <c r="G4923" i="58"/>
  <c r="M4923" i="58" s="1"/>
  <c r="G4328" i="58"/>
  <c r="M4328" i="58" s="1"/>
  <c r="G4330" i="58"/>
  <c r="M4330" i="58" s="1"/>
  <c r="G4332" i="58"/>
  <c r="M4332" i="58" s="1"/>
  <c r="G4325" i="58"/>
  <c r="M4325" i="58" s="1"/>
  <c r="G4327" i="58"/>
  <c r="M4327" i="58" s="1"/>
  <c r="G4329" i="58"/>
  <c r="M4329" i="58" s="1"/>
  <c r="G4331" i="58"/>
  <c r="M4331" i="58" s="1"/>
  <c r="G3610" i="58"/>
  <c r="M3610" i="58" s="1"/>
  <c r="G4333" i="58"/>
  <c r="M4333" i="58" s="1"/>
  <c r="G3609" i="58"/>
  <c r="M3609" i="58" s="1"/>
  <c r="G3611" i="58"/>
  <c r="M3611" i="58" s="1"/>
  <c r="G3608" i="58"/>
  <c r="M3608" i="58" s="1"/>
  <c r="G4326" i="58"/>
  <c r="M4326" i="58" s="1"/>
  <c r="G5025" i="58"/>
  <c r="M5025" i="58" s="1"/>
  <c r="G5034" i="58"/>
  <c r="M5034" i="58" s="1"/>
  <c r="G5027" i="58"/>
  <c r="M5027" i="58" s="1"/>
  <c r="G5029" i="58"/>
  <c r="M5029" i="58" s="1"/>
  <c r="G5022" i="58"/>
  <c r="M5022" i="58" s="1"/>
  <c r="G5031" i="58"/>
  <c r="M5031" i="58" s="1"/>
  <c r="G5028" i="58"/>
  <c r="M5028" i="58" s="1"/>
  <c r="G5030" i="58"/>
  <c r="M5030" i="58" s="1"/>
  <c r="G5026" i="58"/>
  <c r="M5026" i="58" s="1"/>
  <c r="G4139" i="58"/>
  <c r="M4139" i="58" s="1"/>
  <c r="G4132" i="58"/>
  <c r="M4132" i="58" s="1"/>
  <c r="G4141" i="58"/>
  <c r="M4141" i="58" s="1"/>
  <c r="G4134" i="58"/>
  <c r="M4134" i="58" s="1"/>
  <c r="G4136" i="58"/>
  <c r="M4136" i="58" s="1"/>
  <c r="G4138" i="58"/>
  <c r="M4138" i="58" s="1"/>
  <c r="G4131" i="58"/>
  <c r="M4131" i="58" s="1"/>
  <c r="G4140" i="58"/>
  <c r="M4140" i="58" s="1"/>
  <c r="G4133" i="58"/>
  <c r="M4133" i="58" s="1"/>
  <c r="G4130" i="58"/>
  <c r="M4130" i="58" s="1"/>
  <c r="G4135" i="58"/>
  <c r="M4135" i="58" s="1"/>
  <c r="G4137" i="58"/>
  <c r="M4137" i="58" s="1"/>
  <c r="G4766" i="58"/>
  <c r="M4766" i="58" s="1"/>
  <c r="G4759" i="58"/>
  <c r="M4759" i="58" s="1"/>
  <c r="G4752" i="58"/>
  <c r="M4752" i="58" s="1"/>
  <c r="G4745" i="58"/>
  <c r="M4745" i="58" s="1"/>
  <c r="G4768" i="58"/>
  <c r="M4768" i="58" s="1"/>
  <c r="G4761" i="58"/>
  <c r="M4761" i="58" s="1"/>
  <c r="G4754" i="58"/>
  <c r="M4754" i="58" s="1"/>
  <c r="G4747" i="58"/>
  <c r="M4747" i="58" s="1"/>
  <c r="G4763" i="58"/>
  <c r="M4763" i="58" s="1"/>
  <c r="G4756" i="58"/>
  <c r="M4756" i="58" s="1"/>
  <c r="G4749" i="58"/>
  <c r="M4749" i="58" s="1"/>
  <c r="G4765" i="58"/>
  <c r="M4765" i="58" s="1"/>
  <c r="G4758" i="58"/>
  <c r="M4758" i="58" s="1"/>
  <c r="G4751" i="58"/>
  <c r="M4751" i="58" s="1"/>
  <c r="G4744" i="58"/>
  <c r="M4744" i="58" s="1"/>
  <c r="G4767" i="58"/>
  <c r="M4767" i="58" s="1"/>
  <c r="G4760" i="58"/>
  <c r="M4760" i="58" s="1"/>
  <c r="G4753" i="58"/>
  <c r="M4753" i="58" s="1"/>
  <c r="G4746" i="58"/>
  <c r="M4746" i="58" s="1"/>
  <c r="G4748" i="58"/>
  <c r="M4748" i="58" s="1"/>
  <c r="G4750" i="58"/>
  <c r="M4750" i="58" s="1"/>
  <c r="G4755" i="58"/>
  <c r="M4755" i="58" s="1"/>
  <c r="G4757" i="58"/>
  <c r="M4757" i="58" s="1"/>
  <c r="G4762" i="58"/>
  <c r="M4762" i="58" s="1"/>
  <c r="G4764" i="58"/>
  <c r="M4764" i="58" s="1"/>
  <c r="G4743" i="58"/>
  <c r="M4743" i="58" s="1"/>
  <c r="G4927" i="58"/>
  <c r="M4927" i="58" s="1"/>
  <c r="G4929" i="58"/>
  <c r="M4929" i="58" s="1"/>
  <c r="G4928" i="58"/>
  <c r="M4928" i="58" s="1"/>
  <c r="G4930" i="58"/>
  <c r="M4930" i="58" s="1"/>
  <c r="G4467" i="58"/>
  <c r="M4467" i="58" s="1"/>
  <c r="G4462" i="58"/>
  <c r="M4462" i="58" s="1"/>
  <c r="G4465" i="58"/>
  <c r="M4465" i="58" s="1"/>
  <c r="G4464" i="58"/>
  <c r="M4464" i="58" s="1"/>
  <c r="G4466" i="58"/>
  <c r="M4466" i="58" s="1"/>
  <c r="G4461" i="58"/>
  <c r="M4461" i="58" s="1"/>
  <c r="G4463" i="58"/>
  <c r="M4463" i="58" s="1"/>
  <c r="G4468" i="58"/>
  <c r="M4468" i="58" s="1"/>
  <c r="G4918" i="58"/>
  <c r="M4918" i="58" s="1"/>
  <c r="G4913" i="58"/>
  <c r="M4913" i="58" s="1"/>
  <c r="G4915" i="58"/>
  <c r="M4915" i="58" s="1"/>
  <c r="G4917" i="58"/>
  <c r="M4917" i="58" s="1"/>
  <c r="G4919" i="58"/>
  <c r="M4919" i="58" s="1"/>
  <c r="G4912" i="58"/>
  <c r="M4912" i="58" s="1"/>
  <c r="G4914" i="58"/>
  <c r="M4914" i="58" s="1"/>
  <c r="G4916" i="58"/>
  <c r="M4916" i="58" s="1"/>
  <c r="G4216" i="58"/>
  <c r="M4216" i="58" s="1"/>
  <c r="G4218" i="58"/>
  <c r="M4218" i="58" s="1"/>
  <c r="G4215" i="58"/>
  <c r="M4215" i="58" s="1"/>
  <c r="G4217" i="58"/>
  <c r="M4217" i="58" s="1"/>
  <c r="G4146" i="58"/>
  <c r="M4146" i="58" s="1"/>
  <c r="G4148" i="58"/>
  <c r="M4148" i="58" s="1"/>
  <c r="G4150" i="58"/>
  <c r="M4150" i="58" s="1"/>
  <c r="G4143" i="58"/>
  <c r="M4143" i="58" s="1"/>
  <c r="G4145" i="58"/>
  <c r="M4145" i="58" s="1"/>
  <c r="G4147" i="58"/>
  <c r="M4147" i="58" s="1"/>
  <c r="G4149" i="58"/>
  <c r="M4149" i="58" s="1"/>
  <c r="G4144" i="58"/>
  <c r="M4144" i="58" s="1"/>
  <c r="G4979" i="58"/>
  <c r="M4979" i="58" s="1"/>
  <c r="G4111" i="58"/>
  <c r="M4111" i="58" s="1"/>
  <c r="G4104" i="58"/>
  <c r="M4104" i="58" s="1"/>
  <c r="G4113" i="58"/>
  <c r="M4113" i="58" s="1"/>
  <c r="G4108" i="58"/>
  <c r="M4108" i="58" s="1"/>
  <c r="G4101" i="58"/>
  <c r="M4101" i="58" s="1"/>
  <c r="G4110" i="58"/>
  <c r="M4110" i="58" s="1"/>
  <c r="G4103" i="58"/>
  <c r="M4103" i="58" s="1"/>
  <c r="G4112" i="58"/>
  <c r="M4112" i="58" s="1"/>
  <c r="G4105" i="58"/>
  <c r="M4105" i="58" s="1"/>
  <c r="G4109" i="58"/>
  <c r="M4109" i="58" s="1"/>
  <c r="G4106" i="58"/>
  <c r="M4106" i="58" s="1"/>
  <c r="G4100" i="58"/>
  <c r="M4100" i="58" s="1"/>
  <c r="G4102" i="58"/>
  <c r="M4102" i="58" s="1"/>
  <c r="G4107" i="58"/>
  <c r="M4107" i="58" s="1"/>
  <c r="G5256" i="58"/>
  <c r="M5256" i="58" s="1"/>
  <c r="G5247" i="58"/>
  <c r="M5247" i="58" s="1"/>
  <c r="G5253" i="58"/>
  <c r="M5253" i="58" s="1"/>
  <c r="G5254" i="58"/>
  <c r="M5254" i="58" s="1"/>
  <c r="G4855" i="58"/>
  <c r="M4855" i="58" s="1"/>
  <c r="G4857" i="58"/>
  <c r="M4857" i="58" s="1"/>
  <c r="G4856" i="58"/>
  <c r="M4856" i="58" s="1"/>
  <c r="G4858" i="58"/>
  <c r="M4858" i="58" s="1"/>
  <c r="G4055" i="58"/>
  <c r="M4055" i="58" s="1"/>
  <c r="G4054" i="58"/>
  <c r="M4054" i="58" s="1"/>
  <c r="G4053" i="58"/>
  <c r="M4053" i="58" s="1"/>
  <c r="G4052" i="58"/>
  <c r="M4052" i="58" s="1"/>
  <c r="G4964" i="58"/>
  <c r="M4964" i="58" s="1"/>
  <c r="G4963" i="58"/>
  <c r="M4963" i="58" s="1"/>
  <c r="G5058" i="58"/>
  <c r="M5058" i="58" s="1"/>
  <c r="G5051" i="58"/>
  <c r="M5051" i="58" s="1"/>
  <c r="G5044" i="58"/>
  <c r="M5044" i="58" s="1"/>
  <c r="G5037" i="58"/>
  <c r="M5037" i="58" s="1"/>
  <c r="G5067" i="58"/>
  <c r="M5067" i="58" s="1"/>
  <c r="G5060" i="58"/>
  <c r="M5060" i="58" s="1"/>
  <c r="G5011" i="58"/>
  <c r="M5011" i="58" s="1"/>
  <c r="G4990" i="58"/>
  <c r="M4990" i="58" s="1"/>
  <c r="G5069" i="58"/>
  <c r="M5069" i="58" s="1"/>
  <c r="G5062" i="58"/>
  <c r="M5062" i="58" s="1"/>
  <c r="G5055" i="58"/>
  <c r="M5055" i="58" s="1"/>
  <c r="G5048" i="58"/>
  <c r="M5048" i="58" s="1"/>
  <c r="G5041" i="58"/>
  <c r="M5041" i="58" s="1"/>
  <c r="G5020" i="58"/>
  <c r="M5020" i="58" s="1"/>
  <c r="G5006" i="58"/>
  <c r="M5006" i="58" s="1"/>
  <c r="G4999" i="58"/>
  <c r="M4999" i="58" s="1"/>
  <c r="G5071" i="58"/>
  <c r="M5071" i="58" s="1"/>
  <c r="G5050" i="58"/>
  <c r="M5050" i="58" s="1"/>
  <c r="G5043" i="58"/>
  <c r="M5043" i="58" s="1"/>
  <c r="G5036" i="58"/>
  <c r="M5036" i="58" s="1"/>
  <c r="G5008" i="58"/>
  <c r="M5008" i="58" s="1"/>
  <c r="G5001" i="58"/>
  <c r="M5001" i="58" s="1"/>
  <c r="G5059" i="58"/>
  <c r="M5059" i="58" s="1"/>
  <c r="G4993" i="58"/>
  <c r="M4993" i="58" s="1"/>
  <c r="G5049" i="58"/>
  <c r="M5049" i="58" s="1"/>
  <c r="G5023" i="58"/>
  <c r="M5023" i="58" s="1"/>
  <c r="G5070" i="58"/>
  <c r="M5070" i="58" s="1"/>
  <c r="G5033" i="58"/>
  <c r="M5033" i="58" s="1"/>
  <c r="G5054" i="58"/>
  <c r="M5054" i="58" s="1"/>
  <c r="G5010" i="58"/>
  <c r="M5010" i="58" s="1"/>
  <c r="G5005" i="58"/>
  <c r="M5005" i="58" s="1"/>
  <c r="G5000" i="58"/>
  <c r="M5000" i="58" s="1"/>
  <c r="G5075" i="58"/>
  <c r="M5075" i="58" s="1"/>
  <c r="G5035" i="58"/>
  <c r="M5035" i="58" s="1"/>
  <c r="G5040" i="58"/>
  <c r="M5040" i="58" s="1"/>
  <c r="G5061" i="58"/>
  <c r="M5061" i="58" s="1"/>
  <c r="G5024" i="58"/>
  <c r="M5024" i="58" s="1"/>
  <c r="G5009" i="58"/>
  <c r="M5009" i="58" s="1"/>
  <c r="G5042" i="58"/>
  <c r="M5042" i="58" s="1"/>
  <c r="G5016" i="58"/>
  <c r="M5016" i="58" s="1"/>
  <c r="G5021" i="58"/>
  <c r="M5021" i="58" s="1"/>
  <c r="G5002" i="58"/>
  <c r="M5002" i="58" s="1"/>
  <c r="G5056" i="58"/>
  <c r="M5056" i="58" s="1"/>
  <c r="G5007" i="58"/>
  <c r="M5007" i="58" s="1"/>
  <c r="G5012" i="58"/>
  <c r="M5012" i="58" s="1"/>
  <c r="G5047" i="58"/>
  <c r="M5047" i="58" s="1"/>
  <c r="G5063" i="58"/>
  <c r="M5063" i="58" s="1"/>
  <c r="G4920" i="58"/>
  <c r="M4920" i="58" s="1"/>
  <c r="G4815" i="58"/>
  <c r="M4815" i="58" s="1"/>
  <c r="G4922" i="58"/>
  <c r="M4922" i="58" s="1"/>
  <c r="G4817" i="58"/>
  <c r="M4817" i="58" s="1"/>
  <c r="G4819" i="58"/>
  <c r="M4819" i="58" s="1"/>
  <c r="G4921" i="58"/>
  <c r="M4921" i="58" s="1"/>
  <c r="G4816" i="58"/>
  <c r="M4816" i="58" s="1"/>
  <c r="G4818" i="58"/>
  <c r="M4818" i="58" s="1"/>
  <c r="G4167" i="58"/>
  <c r="M4167" i="58" s="1"/>
  <c r="G4160" i="58"/>
  <c r="M4160" i="58" s="1"/>
  <c r="G4169" i="58"/>
  <c r="M4169" i="58" s="1"/>
  <c r="G4162" i="58"/>
  <c r="M4162" i="58" s="1"/>
  <c r="G4171" i="58"/>
  <c r="M4171" i="58" s="1"/>
  <c r="G4164" i="58"/>
  <c r="M4164" i="58" s="1"/>
  <c r="G4157" i="58"/>
  <c r="M4157" i="58" s="1"/>
  <c r="G4173" i="58"/>
  <c r="M4173" i="58" s="1"/>
  <c r="G4166" i="58"/>
  <c r="M4166" i="58" s="1"/>
  <c r="G4159" i="58"/>
  <c r="M4159" i="58" s="1"/>
  <c r="G4168" i="58"/>
  <c r="M4168" i="58" s="1"/>
  <c r="G4161" i="58"/>
  <c r="M4161" i="58" s="1"/>
  <c r="G4170" i="58"/>
  <c r="M4170" i="58" s="1"/>
  <c r="G4163" i="58"/>
  <c r="M4163" i="58" s="1"/>
  <c r="G4165" i="58"/>
  <c r="M4165" i="58" s="1"/>
  <c r="G4156" i="58"/>
  <c r="M4156" i="58" s="1"/>
  <c r="G4172" i="58"/>
  <c r="M4172" i="58" s="1"/>
  <c r="G4158" i="58"/>
  <c r="M4158" i="58" s="1"/>
  <c r="G5623" i="58"/>
  <c r="M5623" i="58" s="1"/>
  <c r="G4684" i="58"/>
  <c r="M4684" i="58" s="1"/>
  <c r="G4677" i="58"/>
  <c r="M4677" i="58" s="1"/>
  <c r="G4670" i="58"/>
  <c r="M4670" i="58" s="1"/>
  <c r="G4663" i="58"/>
  <c r="M4663" i="58" s="1"/>
  <c r="G4656" i="58"/>
  <c r="M4656" i="58" s="1"/>
  <c r="G4649" i="58"/>
  <c r="M4649" i="58" s="1"/>
  <c r="G4686" i="58"/>
  <c r="M4686" i="58" s="1"/>
  <c r="G4679" i="58"/>
  <c r="M4679" i="58" s="1"/>
  <c r="G4672" i="58"/>
  <c r="M4672" i="58" s="1"/>
  <c r="G4665" i="58"/>
  <c r="M4665" i="58" s="1"/>
  <c r="G4658" i="58"/>
  <c r="M4658" i="58" s="1"/>
  <c r="G4651" i="58"/>
  <c r="M4651" i="58" s="1"/>
  <c r="G4671" i="58"/>
  <c r="M4671" i="58" s="1"/>
  <c r="G4688" i="58"/>
  <c r="M4688" i="58" s="1"/>
  <c r="G4683" i="58"/>
  <c r="M4683" i="58" s="1"/>
  <c r="G4666" i="58"/>
  <c r="M4666" i="58" s="1"/>
  <c r="G4661" i="58"/>
  <c r="M4661" i="58" s="1"/>
  <c r="G4678" i="58"/>
  <c r="M4678" i="58" s="1"/>
  <c r="G4673" i="58"/>
  <c r="M4673" i="58" s="1"/>
  <c r="G4668" i="58"/>
  <c r="M4668" i="58" s="1"/>
  <c r="G4685" i="58"/>
  <c r="M4685" i="58" s="1"/>
  <c r="G4680" i="58"/>
  <c r="M4680" i="58" s="1"/>
  <c r="G4675" i="58"/>
  <c r="M4675" i="58" s="1"/>
  <c r="G4653" i="58"/>
  <c r="M4653" i="58" s="1"/>
  <c r="G4648" i="58"/>
  <c r="M4648" i="58" s="1"/>
  <c r="G4687" i="58"/>
  <c r="M4687" i="58" s="1"/>
  <c r="G4682" i="58"/>
  <c r="M4682" i="58" s="1"/>
  <c r="G4660" i="58"/>
  <c r="M4660" i="58" s="1"/>
  <c r="G4655" i="58"/>
  <c r="M4655" i="58" s="1"/>
  <c r="G4650" i="58"/>
  <c r="M4650" i="58" s="1"/>
  <c r="G4689" i="58"/>
  <c r="M4689" i="58" s="1"/>
  <c r="G4667" i="58"/>
  <c r="M4667" i="58" s="1"/>
  <c r="G4662" i="58"/>
  <c r="M4662" i="58" s="1"/>
  <c r="G4657" i="58"/>
  <c r="M4657" i="58" s="1"/>
  <c r="G4674" i="58"/>
  <c r="M4674" i="58" s="1"/>
  <c r="G4669" i="58"/>
  <c r="M4669" i="58" s="1"/>
  <c r="G4652" i="58"/>
  <c r="M4652" i="58" s="1"/>
  <c r="G4647" i="58"/>
  <c r="M4647" i="58" s="1"/>
  <c r="G4676" i="58"/>
  <c r="M4676" i="58" s="1"/>
  <c r="G4654" i="58"/>
  <c r="M4654" i="58" s="1"/>
  <c r="G3813" i="58"/>
  <c r="M3813" i="58" s="1"/>
  <c r="G3806" i="58"/>
  <c r="M3806" i="58" s="1"/>
  <c r="G3799" i="58"/>
  <c r="M3799" i="58" s="1"/>
  <c r="G3792" i="58"/>
  <c r="M3792" i="58" s="1"/>
  <c r="G3785" i="58"/>
  <c r="M3785" i="58" s="1"/>
  <c r="G4681" i="58"/>
  <c r="M4681" i="58" s="1"/>
  <c r="G4659" i="58"/>
  <c r="M4659" i="58" s="1"/>
  <c r="G3815" i="58"/>
  <c r="M3815" i="58" s="1"/>
  <c r="G3808" i="58"/>
  <c r="M3808" i="58" s="1"/>
  <c r="G3801" i="58"/>
  <c r="M3801" i="58" s="1"/>
  <c r="G3794" i="58"/>
  <c r="M3794" i="58" s="1"/>
  <c r="G3787" i="58"/>
  <c r="M3787" i="58" s="1"/>
  <c r="G3780" i="58"/>
  <c r="M3780" i="58" s="1"/>
  <c r="G4664" i="58"/>
  <c r="M4664" i="58" s="1"/>
  <c r="G3817" i="58"/>
  <c r="M3817" i="58" s="1"/>
  <c r="G3810" i="58"/>
  <c r="M3810" i="58" s="1"/>
  <c r="G3803" i="58"/>
  <c r="M3803" i="58" s="1"/>
  <c r="G3796" i="58"/>
  <c r="M3796" i="58" s="1"/>
  <c r="G3789" i="58"/>
  <c r="M3789" i="58" s="1"/>
  <c r="G3782" i="58"/>
  <c r="M3782" i="58" s="1"/>
  <c r="G3812" i="58"/>
  <c r="M3812" i="58" s="1"/>
  <c r="G3805" i="58"/>
  <c r="M3805" i="58" s="1"/>
  <c r="G3798" i="58"/>
  <c r="M3798" i="58" s="1"/>
  <c r="G3791" i="58"/>
  <c r="M3791" i="58" s="1"/>
  <c r="G3784" i="58"/>
  <c r="M3784" i="58" s="1"/>
  <c r="G3814" i="58"/>
  <c r="M3814" i="58" s="1"/>
  <c r="G3807" i="58"/>
  <c r="M3807" i="58" s="1"/>
  <c r="G3800" i="58"/>
  <c r="M3800" i="58" s="1"/>
  <c r="G3793" i="58"/>
  <c r="M3793" i="58" s="1"/>
  <c r="G3786" i="58"/>
  <c r="M3786" i="58" s="1"/>
  <c r="G3779" i="58"/>
  <c r="M3779" i="58" s="1"/>
  <c r="G3816" i="58"/>
  <c r="M3816" i="58" s="1"/>
  <c r="G3809" i="58"/>
  <c r="M3809" i="58" s="1"/>
  <c r="G3802" i="58"/>
  <c r="M3802" i="58" s="1"/>
  <c r="G3795" i="58"/>
  <c r="M3795" i="58" s="1"/>
  <c r="G3788" i="58"/>
  <c r="M3788" i="58" s="1"/>
  <c r="G3781" i="58"/>
  <c r="M3781" i="58" s="1"/>
  <c r="G3811" i="58"/>
  <c r="M3811" i="58" s="1"/>
  <c r="G3797" i="58"/>
  <c r="M3797" i="58" s="1"/>
  <c r="G3783" i="58"/>
  <c r="M3783" i="58" s="1"/>
  <c r="G3804" i="58"/>
  <c r="M3804" i="58" s="1"/>
  <c r="G3790" i="58"/>
  <c r="M3790" i="58" s="1"/>
  <c r="G3818" i="58"/>
  <c r="M3818" i="58" s="1"/>
  <c r="G3306" i="58"/>
  <c r="M3306" i="58" s="1"/>
  <c r="G3299" i="58"/>
  <c r="M3299" i="58" s="1"/>
  <c r="G3308" i="58"/>
  <c r="M3308" i="58" s="1"/>
  <c r="G3301" i="58"/>
  <c r="M3301" i="58" s="1"/>
  <c r="G3309" i="58"/>
  <c r="M3309" i="58" s="1"/>
  <c r="G3304" i="58"/>
  <c r="M3304" i="58" s="1"/>
  <c r="G3302" i="58"/>
  <c r="M3302" i="58" s="1"/>
  <c r="G3303" i="58"/>
  <c r="M3303" i="58" s="1"/>
  <c r="G3298" i="58"/>
  <c r="M3298" i="58" s="1"/>
  <c r="G3307" i="58"/>
  <c r="M3307" i="58" s="1"/>
  <c r="G3310" i="58"/>
  <c r="M3310" i="58" s="1"/>
  <c r="G3305" i="58"/>
  <c r="M3305" i="58" s="1"/>
  <c r="G3300" i="58"/>
  <c r="M3300" i="58" s="1"/>
  <c r="G4890" i="58"/>
  <c r="M4890" i="58" s="1"/>
  <c r="G4889" i="58"/>
  <c r="M4889" i="58" s="1"/>
  <c r="G4931" i="58"/>
  <c r="M4931" i="58" s="1"/>
  <c r="G4932" i="58"/>
  <c r="M4932" i="58" s="1"/>
  <c r="G4223" i="58"/>
  <c r="M4223" i="58" s="1"/>
  <c r="G4225" i="58"/>
  <c r="M4225" i="58" s="1"/>
  <c r="G4220" i="58"/>
  <c r="M4220" i="58" s="1"/>
  <c r="G4222" i="58"/>
  <c r="M4222" i="58" s="1"/>
  <c r="G4224" i="58"/>
  <c r="M4224" i="58" s="1"/>
  <c r="G4226" i="58"/>
  <c r="M4226" i="58" s="1"/>
  <c r="G4219" i="58"/>
  <c r="M4219" i="58" s="1"/>
  <c r="G4221" i="58"/>
  <c r="M4221" i="58" s="1"/>
  <c r="G4488" i="58"/>
  <c r="M4488" i="58" s="1"/>
  <c r="G4481" i="58"/>
  <c r="M4481" i="58" s="1"/>
  <c r="G4490" i="58"/>
  <c r="M4490" i="58" s="1"/>
  <c r="G4483" i="58"/>
  <c r="M4483" i="58" s="1"/>
  <c r="G4492" i="58"/>
  <c r="M4492" i="58" s="1"/>
  <c r="G4487" i="58"/>
  <c r="M4487" i="58" s="1"/>
  <c r="G4482" i="58"/>
  <c r="M4482" i="58" s="1"/>
  <c r="G4477" i="58"/>
  <c r="M4477" i="58" s="1"/>
  <c r="G4489" i="58"/>
  <c r="M4489" i="58" s="1"/>
  <c r="G4484" i="58"/>
  <c r="M4484" i="58" s="1"/>
  <c r="G4479" i="58"/>
  <c r="M4479" i="58" s="1"/>
  <c r="G4491" i="58"/>
  <c r="M4491" i="58" s="1"/>
  <c r="G4486" i="58"/>
  <c r="M4486" i="58" s="1"/>
  <c r="G4493" i="58"/>
  <c r="M4493" i="58" s="1"/>
  <c r="G4478" i="58"/>
  <c r="M4478" i="58" s="1"/>
  <c r="G4480" i="58"/>
  <c r="M4480" i="58" s="1"/>
  <c r="G4485" i="58"/>
  <c r="M4485" i="58" s="1"/>
  <c r="G4987" i="58"/>
  <c r="M4987" i="58" s="1"/>
  <c r="G5082" i="58"/>
  <c r="M5082" i="58" s="1"/>
  <c r="G4986" i="58"/>
  <c r="M4986" i="58" s="1"/>
  <c r="G5079" i="58"/>
  <c r="M5079" i="58" s="1"/>
  <c r="G4047" i="58"/>
  <c r="M4047" i="58" s="1"/>
  <c r="G4049" i="58"/>
  <c r="M4049" i="58" s="1"/>
  <c r="G4042" i="58"/>
  <c r="M4042" i="58" s="1"/>
  <c r="G4046" i="58"/>
  <c r="M4046" i="58" s="1"/>
  <c r="G4048" i="58"/>
  <c r="M4048" i="58" s="1"/>
  <c r="G4043" i="58"/>
  <c r="M4043" i="58" s="1"/>
  <c r="G4045" i="58"/>
  <c r="M4045" i="58" s="1"/>
  <c r="G4044" i="58"/>
  <c r="M4044" i="58" s="1"/>
  <c r="G4691" i="58"/>
  <c r="M4691" i="58" s="1"/>
  <c r="G4693" i="58"/>
  <c r="M4693" i="58" s="1"/>
  <c r="G4690" i="58"/>
  <c r="M4690" i="58" s="1"/>
  <c r="G4692" i="58"/>
  <c r="M4692" i="58" s="1"/>
  <c r="G5258" i="58"/>
  <c r="M5258" i="58" s="1"/>
  <c r="G5286" i="58"/>
  <c r="M5286" i="58" s="1"/>
  <c r="G5288" i="58"/>
  <c r="M5288" i="58" s="1"/>
  <c r="G5287" i="58"/>
  <c r="M5287" i="58" s="1"/>
  <c r="G3757" i="58"/>
  <c r="M3757" i="58" s="1"/>
  <c r="G3750" i="58"/>
  <c r="M3750" i="58" s="1"/>
  <c r="G3752" i="58"/>
  <c r="M3752" i="58" s="1"/>
  <c r="G3754" i="58"/>
  <c r="M3754" i="58" s="1"/>
  <c r="G3747" i="58"/>
  <c r="M3747" i="58" s="1"/>
  <c r="G3756" i="58"/>
  <c r="M3756" i="58" s="1"/>
  <c r="G3749" i="58"/>
  <c r="M3749" i="58" s="1"/>
  <c r="G3758" i="58"/>
  <c r="M3758" i="58" s="1"/>
  <c r="G3751" i="58"/>
  <c r="M3751" i="58" s="1"/>
  <c r="G3753" i="58"/>
  <c r="M3753" i="58" s="1"/>
  <c r="G3748" i="58"/>
  <c r="M3748" i="58" s="1"/>
  <c r="G3755" i="58"/>
  <c r="M3755" i="58" s="1"/>
  <c r="G4314" i="58"/>
  <c r="M4314" i="58" s="1"/>
  <c r="G4307" i="58"/>
  <c r="M4307" i="58" s="1"/>
  <c r="G4300" i="58"/>
  <c r="M4300" i="58" s="1"/>
  <c r="G4293" i="58"/>
  <c r="M4293" i="58" s="1"/>
  <c r="G4286" i="58"/>
  <c r="M4286" i="58" s="1"/>
  <c r="G4279" i="58"/>
  <c r="M4279" i="58" s="1"/>
  <c r="G4272" i="58"/>
  <c r="M4272" i="58" s="1"/>
  <c r="G4309" i="58"/>
  <c r="M4309" i="58" s="1"/>
  <c r="G4302" i="58"/>
  <c r="M4302" i="58" s="1"/>
  <c r="G4295" i="58"/>
  <c r="M4295" i="58" s="1"/>
  <c r="G4288" i="58"/>
  <c r="M4288" i="58" s="1"/>
  <c r="G4281" i="58"/>
  <c r="M4281" i="58" s="1"/>
  <c r="G4274" i="58"/>
  <c r="M4274" i="58" s="1"/>
  <c r="G4267" i="58"/>
  <c r="M4267" i="58" s="1"/>
  <c r="G4311" i="58"/>
  <c r="M4311" i="58" s="1"/>
  <c r="G4304" i="58"/>
  <c r="M4304" i="58" s="1"/>
  <c r="G4297" i="58"/>
  <c r="M4297" i="58" s="1"/>
  <c r="G4290" i="58"/>
  <c r="M4290" i="58" s="1"/>
  <c r="G4283" i="58"/>
  <c r="M4283" i="58" s="1"/>
  <c r="G4276" i="58"/>
  <c r="M4276" i="58" s="1"/>
  <c r="G4269" i="58"/>
  <c r="M4269" i="58" s="1"/>
  <c r="G4313" i="58"/>
  <c r="M4313" i="58" s="1"/>
  <c r="G4306" i="58"/>
  <c r="M4306" i="58" s="1"/>
  <c r="G4299" i="58"/>
  <c r="M4299" i="58" s="1"/>
  <c r="G4292" i="58"/>
  <c r="M4292" i="58" s="1"/>
  <c r="G4285" i="58"/>
  <c r="M4285" i="58" s="1"/>
  <c r="G4278" i="58"/>
  <c r="M4278" i="58" s="1"/>
  <c r="G4271" i="58"/>
  <c r="M4271" i="58" s="1"/>
  <c r="G4315" i="58"/>
  <c r="M4315" i="58" s="1"/>
  <c r="G4308" i="58"/>
  <c r="M4308" i="58" s="1"/>
  <c r="G4301" i="58"/>
  <c r="M4301" i="58" s="1"/>
  <c r="G4294" i="58"/>
  <c r="M4294" i="58" s="1"/>
  <c r="G4287" i="58"/>
  <c r="M4287" i="58" s="1"/>
  <c r="G4280" i="58"/>
  <c r="M4280" i="58" s="1"/>
  <c r="G4273" i="58"/>
  <c r="M4273" i="58" s="1"/>
  <c r="G4266" i="58"/>
  <c r="M4266" i="58" s="1"/>
  <c r="G4310" i="58"/>
  <c r="M4310" i="58" s="1"/>
  <c r="G4303" i="58"/>
  <c r="M4303" i="58" s="1"/>
  <c r="G4296" i="58"/>
  <c r="M4296" i="58" s="1"/>
  <c r="G4289" i="58"/>
  <c r="M4289" i="58" s="1"/>
  <c r="G4282" i="58"/>
  <c r="M4282" i="58" s="1"/>
  <c r="G4275" i="58"/>
  <c r="M4275" i="58" s="1"/>
  <c r="G4268" i="58"/>
  <c r="M4268" i="58" s="1"/>
  <c r="G4312" i="58"/>
  <c r="M4312" i="58" s="1"/>
  <c r="G4298" i="58"/>
  <c r="M4298" i="58" s="1"/>
  <c r="G4284" i="58"/>
  <c r="M4284" i="58" s="1"/>
  <c r="G4270" i="58"/>
  <c r="M4270" i="58" s="1"/>
  <c r="G4305" i="58"/>
  <c r="M4305" i="58" s="1"/>
  <c r="G4291" i="58"/>
  <c r="M4291" i="58" s="1"/>
  <c r="G4277" i="58"/>
  <c r="M4277" i="58" s="1"/>
  <c r="G4813" i="58"/>
  <c r="M4813" i="58" s="1"/>
  <c r="G4812" i="58"/>
  <c r="M4812" i="58" s="1"/>
  <c r="G4884" i="58"/>
  <c r="M4884" i="58" s="1"/>
  <c r="G3949" i="58"/>
  <c r="M3949" i="58" s="1"/>
  <c r="G3951" i="58"/>
  <c r="M3951" i="58" s="1"/>
  <c r="G3948" i="58"/>
  <c r="M3948" i="58" s="1"/>
  <c r="G3950" i="58"/>
  <c r="M3950" i="58" s="1"/>
  <c r="G3947" i="58"/>
  <c r="M3947" i="58" s="1"/>
  <c r="G3946" i="58"/>
  <c r="M3946" i="58" s="1"/>
  <c r="G5219" i="58"/>
  <c r="M5219" i="58" s="1"/>
  <c r="G5212" i="58"/>
  <c r="M5212" i="58" s="1"/>
  <c r="G5184" i="58"/>
  <c r="M5184" i="58" s="1"/>
  <c r="G5221" i="58"/>
  <c r="M5221" i="58" s="1"/>
  <c r="G5200" i="58"/>
  <c r="M5200" i="58" s="1"/>
  <c r="G5223" i="58"/>
  <c r="M5223" i="58" s="1"/>
  <c r="G5218" i="58"/>
  <c r="M5218" i="58" s="1"/>
  <c r="G5220" i="58"/>
  <c r="M5220" i="58" s="1"/>
  <c r="G5213" i="58"/>
  <c r="M5213" i="58" s="1"/>
  <c r="G5199" i="58"/>
  <c r="M5199" i="58" s="1"/>
  <c r="G5222" i="58"/>
  <c r="M5222" i="58" s="1"/>
  <c r="G5203" i="58"/>
  <c r="M5203" i="58" s="1"/>
  <c r="G5187" i="58"/>
  <c r="M5187" i="58" s="1"/>
  <c r="G5217" i="58"/>
  <c r="M5217" i="58" s="1"/>
  <c r="G3414" i="58"/>
  <c r="M3414" i="58" s="1"/>
  <c r="G3407" i="58"/>
  <c r="M3407" i="58" s="1"/>
  <c r="G3411" i="58"/>
  <c r="M3411" i="58" s="1"/>
  <c r="G3404" i="58"/>
  <c r="M3404" i="58" s="1"/>
  <c r="G3397" i="58"/>
  <c r="M3397" i="58" s="1"/>
  <c r="G3390" i="58"/>
  <c r="M3390" i="58" s="1"/>
  <c r="G3383" i="58"/>
  <c r="M3383" i="58" s="1"/>
  <c r="G3376" i="58"/>
  <c r="M3376" i="58" s="1"/>
  <c r="G3369" i="58"/>
  <c r="M3369" i="58" s="1"/>
  <c r="G3362" i="58"/>
  <c r="M3362" i="58" s="1"/>
  <c r="G3355" i="58"/>
  <c r="M3355" i="58" s="1"/>
  <c r="G3413" i="58"/>
  <c r="M3413" i="58" s="1"/>
  <c r="G3406" i="58"/>
  <c r="M3406" i="58" s="1"/>
  <c r="G3399" i="58"/>
  <c r="M3399" i="58" s="1"/>
  <c r="G3392" i="58"/>
  <c r="M3392" i="58" s="1"/>
  <c r="G3385" i="58"/>
  <c r="M3385" i="58" s="1"/>
  <c r="G3378" i="58"/>
  <c r="M3378" i="58" s="1"/>
  <c r="G3371" i="58"/>
  <c r="M3371" i="58" s="1"/>
  <c r="G3364" i="58"/>
  <c r="M3364" i="58" s="1"/>
  <c r="G3357" i="58"/>
  <c r="M3357" i="58" s="1"/>
  <c r="G3417" i="58"/>
  <c r="M3417" i="58" s="1"/>
  <c r="G3412" i="58"/>
  <c r="M3412" i="58" s="1"/>
  <c r="G3402" i="58"/>
  <c r="M3402" i="58" s="1"/>
  <c r="G3380" i="58"/>
  <c r="M3380" i="58" s="1"/>
  <c r="G3375" i="58"/>
  <c r="M3375" i="58" s="1"/>
  <c r="G3358" i="58"/>
  <c r="M3358" i="58" s="1"/>
  <c r="G3370" i="58"/>
  <c r="M3370" i="58" s="1"/>
  <c r="G3387" i="58"/>
  <c r="M3387" i="58" s="1"/>
  <c r="G3382" i="58"/>
  <c r="M3382" i="58" s="1"/>
  <c r="G3365" i="58"/>
  <c r="M3365" i="58" s="1"/>
  <c r="G3360" i="58"/>
  <c r="M3360" i="58" s="1"/>
  <c r="G3409" i="58"/>
  <c r="M3409" i="58" s="1"/>
  <c r="G3377" i="58"/>
  <c r="M3377" i="58" s="1"/>
  <c r="G3394" i="58"/>
  <c r="M3394" i="58" s="1"/>
  <c r="G3389" i="58"/>
  <c r="M3389" i="58" s="1"/>
  <c r="G3372" i="58"/>
  <c r="M3372" i="58" s="1"/>
  <c r="G3367" i="58"/>
  <c r="M3367" i="58" s="1"/>
  <c r="G3384" i="58"/>
  <c r="M3384" i="58" s="1"/>
  <c r="G3415" i="58"/>
  <c r="M3415" i="58" s="1"/>
  <c r="G3416" i="58"/>
  <c r="M3416" i="58" s="1"/>
  <c r="G3401" i="58"/>
  <c r="M3401" i="58" s="1"/>
  <c r="G3396" i="58"/>
  <c r="M3396" i="58" s="1"/>
  <c r="G3379" i="58"/>
  <c r="M3379" i="58" s="1"/>
  <c r="G3374" i="58"/>
  <c r="M3374" i="58" s="1"/>
  <c r="G3405" i="58"/>
  <c r="M3405" i="58" s="1"/>
  <c r="G3395" i="58"/>
  <c r="M3395" i="58" s="1"/>
  <c r="G3373" i="58"/>
  <c r="M3373" i="58" s="1"/>
  <c r="G3391" i="58"/>
  <c r="M3391" i="58" s="1"/>
  <c r="G3410" i="58"/>
  <c r="M3410" i="58" s="1"/>
  <c r="G3356" i="58"/>
  <c r="M3356" i="58" s="1"/>
  <c r="G3368" i="58"/>
  <c r="M3368" i="58" s="1"/>
  <c r="G3363" i="58"/>
  <c r="M3363" i="58" s="1"/>
  <c r="G3403" i="58"/>
  <c r="M3403" i="58" s="1"/>
  <c r="G3386" i="58"/>
  <c r="M3386" i="58" s="1"/>
  <c r="G3381" i="58"/>
  <c r="M3381" i="58" s="1"/>
  <c r="G3359" i="58"/>
  <c r="M3359" i="58" s="1"/>
  <c r="G3400" i="58"/>
  <c r="M3400" i="58" s="1"/>
  <c r="G3408" i="58"/>
  <c r="M3408" i="58" s="1"/>
  <c r="G3398" i="58"/>
  <c r="M3398" i="58" s="1"/>
  <c r="G3393" i="58"/>
  <c r="M3393" i="58" s="1"/>
  <c r="G3388" i="58"/>
  <c r="M3388" i="58" s="1"/>
  <c r="G3366" i="58"/>
  <c r="M3366" i="58" s="1"/>
  <c r="G3361" i="58"/>
  <c r="M3361" i="58" s="1"/>
  <c r="G3928" i="58"/>
  <c r="M3928" i="58" s="1"/>
  <c r="G3921" i="58"/>
  <c r="M3921" i="58" s="1"/>
  <c r="G3914" i="58"/>
  <c r="M3914" i="58" s="1"/>
  <c r="G3923" i="58"/>
  <c r="M3923" i="58" s="1"/>
  <c r="G3916" i="58"/>
  <c r="M3916" i="58" s="1"/>
  <c r="G3909" i="58"/>
  <c r="M3909" i="58" s="1"/>
  <c r="G3926" i="58"/>
  <c r="M3926" i="58" s="1"/>
  <c r="G3904" i="58"/>
  <c r="M3904" i="58" s="1"/>
  <c r="G3897" i="58"/>
  <c r="M3897" i="58" s="1"/>
  <c r="G3911" i="58"/>
  <c r="M3911" i="58" s="1"/>
  <c r="G3906" i="58"/>
  <c r="M3906" i="58" s="1"/>
  <c r="G3899" i="58"/>
  <c r="M3899" i="58" s="1"/>
  <c r="G3892" i="58"/>
  <c r="M3892" i="58" s="1"/>
  <c r="G3918" i="58"/>
  <c r="M3918" i="58" s="1"/>
  <c r="G3913" i="58"/>
  <c r="M3913" i="58" s="1"/>
  <c r="G3908" i="58"/>
  <c r="M3908" i="58" s="1"/>
  <c r="G3901" i="58"/>
  <c r="M3901" i="58" s="1"/>
  <c r="G3894" i="58"/>
  <c r="M3894" i="58" s="1"/>
  <c r="G3925" i="58"/>
  <c r="M3925" i="58" s="1"/>
  <c r="G3920" i="58"/>
  <c r="M3920" i="58" s="1"/>
  <c r="G3915" i="58"/>
  <c r="M3915" i="58" s="1"/>
  <c r="G3903" i="58"/>
  <c r="M3903" i="58" s="1"/>
  <c r="G3896" i="58"/>
  <c r="M3896" i="58" s="1"/>
  <c r="G3927" i="58"/>
  <c r="M3927" i="58" s="1"/>
  <c r="G3910" i="58"/>
  <c r="M3910" i="58" s="1"/>
  <c r="G3922" i="58"/>
  <c r="M3922" i="58" s="1"/>
  <c r="G3905" i="58"/>
  <c r="M3905" i="58" s="1"/>
  <c r="G3898" i="58"/>
  <c r="M3898" i="58" s="1"/>
  <c r="G3917" i="58"/>
  <c r="M3917" i="58" s="1"/>
  <c r="G3912" i="58"/>
  <c r="M3912" i="58" s="1"/>
  <c r="G3929" i="58"/>
  <c r="M3929" i="58" s="1"/>
  <c r="G3907" i="58"/>
  <c r="M3907" i="58" s="1"/>
  <c r="G3900" i="58"/>
  <c r="M3900" i="58" s="1"/>
  <c r="G3893" i="58"/>
  <c r="M3893" i="58" s="1"/>
  <c r="G3895" i="58"/>
  <c r="M3895" i="58" s="1"/>
  <c r="G3924" i="58"/>
  <c r="M3924" i="58" s="1"/>
  <c r="G3902" i="58"/>
  <c r="M3902" i="58" s="1"/>
  <c r="G3919" i="58"/>
  <c r="M3919" i="58" s="1"/>
  <c r="G4335" i="58"/>
  <c r="M4335" i="58" s="1"/>
  <c r="G4337" i="58"/>
  <c r="M4337" i="58" s="1"/>
  <c r="G4339" i="58"/>
  <c r="M4339" i="58" s="1"/>
  <c r="G4334" i="58"/>
  <c r="M4334" i="58" s="1"/>
  <c r="G4336" i="58"/>
  <c r="M4336" i="58" s="1"/>
  <c r="G4338" i="58"/>
  <c r="M4338" i="58" s="1"/>
  <c r="G4340" i="58"/>
  <c r="M4340" i="58" s="1"/>
  <c r="G4644" i="58"/>
  <c r="M4644" i="58" s="1"/>
  <c r="G4646" i="58"/>
  <c r="M4646" i="58" s="1"/>
  <c r="G4645" i="58"/>
  <c r="M4645" i="58" s="1"/>
  <c r="G4933" i="58"/>
  <c r="M4933" i="58" s="1"/>
  <c r="G4033" i="58"/>
  <c r="M4033" i="58" s="1"/>
  <c r="G4028" i="58"/>
  <c r="M4028" i="58" s="1"/>
  <c r="G4029" i="58"/>
  <c r="M4029" i="58" s="1"/>
  <c r="G4031" i="58"/>
  <c r="M4031" i="58" s="1"/>
  <c r="G4030" i="58"/>
  <c r="M4030" i="58" s="1"/>
  <c r="G4032" i="58"/>
  <c r="M4032" i="58" s="1"/>
  <c r="G4349" i="58"/>
  <c r="M4349" i="58" s="1"/>
  <c r="G4342" i="58"/>
  <c r="M4342" i="58" s="1"/>
  <c r="G4351" i="58"/>
  <c r="M4351" i="58" s="1"/>
  <c r="G4344" i="58"/>
  <c r="M4344" i="58" s="1"/>
  <c r="G4346" i="58"/>
  <c r="M4346" i="58" s="1"/>
  <c r="G4348" i="58"/>
  <c r="M4348" i="58" s="1"/>
  <c r="G4341" i="58"/>
  <c r="M4341" i="58" s="1"/>
  <c r="G4350" i="58"/>
  <c r="M4350" i="58" s="1"/>
  <c r="G4343" i="58"/>
  <c r="M4343" i="58" s="1"/>
  <c r="G4345" i="58"/>
  <c r="M4345" i="58" s="1"/>
  <c r="G4347" i="58"/>
  <c r="M4347" i="58" s="1"/>
  <c r="G4321" i="58"/>
  <c r="M4321" i="58" s="1"/>
  <c r="G4323" i="58"/>
  <c r="M4323" i="58" s="1"/>
  <c r="G4316" i="58"/>
  <c r="M4316" i="58" s="1"/>
  <c r="G4318" i="58"/>
  <c r="M4318" i="58" s="1"/>
  <c r="G4320" i="58"/>
  <c r="M4320" i="58" s="1"/>
  <c r="G4322" i="58"/>
  <c r="M4322" i="58" s="1"/>
  <c r="G4317" i="58"/>
  <c r="M4317" i="58" s="1"/>
  <c r="G3582" i="58"/>
  <c r="M3582" i="58" s="1"/>
  <c r="G3575" i="58"/>
  <c r="M3575" i="58" s="1"/>
  <c r="G3577" i="58"/>
  <c r="M3577" i="58" s="1"/>
  <c r="G3579" i="58"/>
  <c r="M3579" i="58" s="1"/>
  <c r="G3572" i="58"/>
  <c r="M3572" i="58" s="1"/>
  <c r="G4319" i="58"/>
  <c r="M4319" i="58" s="1"/>
  <c r="G3581" i="58"/>
  <c r="M3581" i="58" s="1"/>
  <c r="G3574" i="58"/>
  <c r="M3574" i="58" s="1"/>
  <c r="G3576" i="58"/>
  <c r="M3576" i="58" s="1"/>
  <c r="G3578" i="58"/>
  <c r="M3578" i="58" s="1"/>
  <c r="G3571" i="58"/>
  <c r="M3571" i="58" s="1"/>
  <c r="G3580" i="58"/>
  <c r="M3580" i="58" s="1"/>
  <c r="G3573" i="58"/>
  <c r="M3573" i="58" s="1"/>
  <c r="G5103" i="58"/>
  <c r="M5103" i="58" s="1"/>
  <c r="G3848" i="58"/>
  <c r="M3848" i="58" s="1"/>
  <c r="G3841" i="58"/>
  <c r="M3841" i="58" s="1"/>
  <c r="G3834" i="58"/>
  <c r="M3834" i="58" s="1"/>
  <c r="G3850" i="58"/>
  <c r="M3850" i="58" s="1"/>
  <c r="G3843" i="58"/>
  <c r="M3843" i="58" s="1"/>
  <c r="G3836" i="58"/>
  <c r="M3836" i="58" s="1"/>
  <c r="G3845" i="58"/>
  <c r="M3845" i="58" s="1"/>
  <c r="G3838" i="58"/>
  <c r="M3838" i="58" s="1"/>
  <c r="G3831" i="58"/>
  <c r="M3831" i="58" s="1"/>
  <c r="G3847" i="58"/>
  <c r="M3847" i="58" s="1"/>
  <c r="G3840" i="58"/>
  <c r="M3840" i="58" s="1"/>
  <c r="G3833" i="58"/>
  <c r="M3833" i="58" s="1"/>
  <c r="G3849" i="58"/>
  <c r="M3849" i="58" s="1"/>
  <c r="G3842" i="58"/>
  <c r="M3842" i="58" s="1"/>
  <c r="G3835" i="58"/>
  <c r="M3835" i="58" s="1"/>
  <c r="G3851" i="58"/>
  <c r="M3851" i="58" s="1"/>
  <c r="G3844" i="58"/>
  <c r="M3844" i="58" s="1"/>
  <c r="G3837" i="58"/>
  <c r="M3837" i="58" s="1"/>
  <c r="G3830" i="58"/>
  <c r="M3830" i="58" s="1"/>
  <c r="G3846" i="58"/>
  <c r="M3846" i="58" s="1"/>
  <c r="G3839" i="58"/>
  <c r="M3839" i="58" s="1"/>
  <c r="G3832" i="58"/>
  <c r="M3832" i="58" s="1"/>
  <c r="G4265" i="58"/>
  <c r="M4265" i="58" s="1"/>
  <c r="G4258" i="58"/>
  <c r="M4258" i="58" s="1"/>
  <c r="G4260" i="58"/>
  <c r="M4260" i="58" s="1"/>
  <c r="G4253" i="58"/>
  <c r="M4253" i="58" s="1"/>
  <c r="G4262" i="58"/>
  <c r="M4262" i="58" s="1"/>
  <c r="G4255" i="58"/>
  <c r="M4255" i="58" s="1"/>
  <c r="G4264" i="58"/>
  <c r="M4264" i="58" s="1"/>
  <c r="G4257" i="58"/>
  <c r="M4257" i="58" s="1"/>
  <c r="G4259" i="58"/>
  <c r="M4259" i="58" s="1"/>
  <c r="G4252" i="58"/>
  <c r="M4252" i="58" s="1"/>
  <c r="G4261" i="58"/>
  <c r="M4261" i="58" s="1"/>
  <c r="G4254" i="58"/>
  <c r="M4254" i="58" s="1"/>
  <c r="G4263" i="58"/>
  <c r="M4263" i="58" s="1"/>
  <c r="G3547" i="58"/>
  <c r="M3547" i="58" s="1"/>
  <c r="G3540" i="58"/>
  <c r="M3540" i="58" s="1"/>
  <c r="G3533" i="58"/>
  <c r="M3533" i="58" s="1"/>
  <c r="G3542" i="58"/>
  <c r="M3542" i="58" s="1"/>
  <c r="G3535" i="58"/>
  <c r="M3535" i="58" s="1"/>
  <c r="G3528" i="58"/>
  <c r="M3528" i="58" s="1"/>
  <c r="G3544" i="58"/>
  <c r="M3544" i="58" s="1"/>
  <c r="G3537" i="58"/>
  <c r="M3537" i="58" s="1"/>
  <c r="G3530" i="58"/>
  <c r="M3530" i="58" s="1"/>
  <c r="G3546" i="58"/>
  <c r="M3546" i="58" s="1"/>
  <c r="G3539" i="58"/>
  <c r="M3539" i="58" s="1"/>
  <c r="G3532" i="58"/>
  <c r="M3532" i="58" s="1"/>
  <c r="G4256" i="58"/>
  <c r="M4256" i="58" s="1"/>
  <c r="G3548" i="58"/>
  <c r="M3548" i="58" s="1"/>
  <c r="G3541" i="58"/>
  <c r="M3541" i="58" s="1"/>
  <c r="G3534" i="58"/>
  <c r="M3534" i="58" s="1"/>
  <c r="G3543" i="58"/>
  <c r="M3543" i="58" s="1"/>
  <c r="G3536" i="58"/>
  <c r="M3536" i="58" s="1"/>
  <c r="G3529" i="58"/>
  <c r="M3529" i="58" s="1"/>
  <c r="G3531" i="58"/>
  <c r="M3531" i="58" s="1"/>
  <c r="G3545" i="58"/>
  <c r="M3545" i="58" s="1"/>
  <c r="G3538" i="58"/>
  <c r="M3538" i="58" s="1"/>
  <c r="G3527" i="58"/>
  <c r="M3527" i="58" s="1"/>
  <c r="G4892" i="58"/>
  <c r="M4892" i="58" s="1"/>
  <c r="G4894" i="58"/>
  <c r="M4894" i="58" s="1"/>
  <c r="G4891" i="58"/>
  <c r="M4891" i="58" s="1"/>
  <c r="G4893" i="58"/>
  <c r="M4893" i="58" s="1"/>
  <c r="G4827" i="58"/>
  <c r="M4827" i="58" s="1"/>
  <c r="G4820" i="58"/>
  <c r="M4820" i="58" s="1"/>
  <c r="G4829" i="58"/>
  <c r="M4829" i="58" s="1"/>
  <c r="G4822" i="58"/>
  <c r="M4822" i="58" s="1"/>
  <c r="G4934" i="58"/>
  <c r="M4934" i="58" s="1"/>
  <c r="G4824" i="58"/>
  <c r="M4824" i="58" s="1"/>
  <c r="G4936" i="58"/>
  <c r="M4936" i="58" s="1"/>
  <c r="G4826" i="58"/>
  <c r="M4826" i="58" s="1"/>
  <c r="G4828" i="58"/>
  <c r="M4828" i="58" s="1"/>
  <c r="G4821" i="58"/>
  <c r="M4821" i="58" s="1"/>
  <c r="G4823" i="58"/>
  <c r="M4823" i="58" s="1"/>
  <c r="G4935" i="58"/>
  <c r="M4935" i="58" s="1"/>
  <c r="G4825" i="58"/>
  <c r="M4825" i="58" s="1"/>
  <c r="G4026" i="58"/>
  <c r="M4026" i="58" s="1"/>
  <c r="G4027" i="58"/>
  <c r="M4027" i="58" s="1"/>
  <c r="G4474" i="58"/>
  <c r="M4474" i="58" s="1"/>
  <c r="G4476" i="58"/>
  <c r="M4476" i="58" s="1"/>
  <c r="G4469" i="58"/>
  <c r="M4469" i="58" s="1"/>
  <c r="G4475" i="58"/>
  <c r="M4475" i="58" s="1"/>
  <c r="G4470" i="58"/>
  <c r="M4470" i="58" s="1"/>
  <c r="G4472" i="58"/>
  <c r="M4472" i="58" s="1"/>
  <c r="G4471" i="58"/>
  <c r="M4471" i="58" s="1"/>
  <c r="G4473" i="58"/>
  <c r="M4473" i="58" s="1"/>
  <c r="G4174" i="58"/>
  <c r="M4174" i="58" s="1"/>
  <c r="G4175" i="58"/>
  <c r="M4175" i="58" s="1"/>
  <c r="G5094" i="58"/>
  <c r="M5094" i="58" s="1"/>
  <c r="G5080" i="58"/>
  <c r="M5080" i="58" s="1"/>
  <c r="G3526" i="58"/>
  <c r="M3526" i="58" s="1"/>
  <c r="G3519" i="58"/>
  <c r="M3519" i="58" s="1"/>
  <c r="G3512" i="58"/>
  <c r="M3512" i="58" s="1"/>
  <c r="G3521" i="58"/>
  <c r="M3521" i="58" s="1"/>
  <c r="G3514" i="58"/>
  <c r="M3514" i="58" s="1"/>
  <c r="G3507" i="58"/>
  <c r="M3507" i="58" s="1"/>
  <c r="G3523" i="58"/>
  <c r="M3523" i="58" s="1"/>
  <c r="G3516" i="58"/>
  <c r="M3516" i="58" s="1"/>
  <c r="G3509" i="58"/>
  <c r="M3509" i="58" s="1"/>
  <c r="G3525" i="58"/>
  <c r="M3525" i="58" s="1"/>
  <c r="G3518" i="58"/>
  <c r="M3518" i="58" s="1"/>
  <c r="G3511" i="58"/>
  <c r="M3511" i="58" s="1"/>
  <c r="G3522" i="58"/>
  <c r="M3522" i="58" s="1"/>
  <c r="G3515" i="58"/>
  <c r="M3515" i="58" s="1"/>
  <c r="G3508" i="58"/>
  <c r="M3508" i="58" s="1"/>
  <c r="G3510" i="58"/>
  <c r="M3510" i="58" s="1"/>
  <c r="G3520" i="58"/>
  <c r="M3520" i="58" s="1"/>
  <c r="G3517" i="58"/>
  <c r="M3517" i="58" s="1"/>
  <c r="G3513" i="58"/>
  <c r="M3513" i="58" s="1"/>
  <c r="G3524" i="58"/>
  <c r="M3524" i="58" s="1"/>
  <c r="G5086" i="58"/>
  <c r="M5086" i="58" s="1"/>
  <c r="G5170" i="58"/>
  <c r="M5170" i="58" s="1"/>
  <c r="G5114" i="58"/>
  <c r="M5114" i="58" s="1"/>
  <c r="G5116" i="58"/>
  <c r="M5116" i="58" s="1"/>
  <c r="G5115" i="58"/>
  <c r="M5115" i="58" s="1"/>
  <c r="G4384" i="58"/>
  <c r="M4384" i="58" s="1"/>
  <c r="G4379" i="58"/>
  <c r="M4379" i="58" s="1"/>
  <c r="G4381" i="58"/>
  <c r="M4381" i="58" s="1"/>
  <c r="G4383" i="58"/>
  <c r="M4383" i="58" s="1"/>
  <c r="G4380" i="58"/>
  <c r="M4380" i="58" s="1"/>
  <c r="G4382" i="58"/>
  <c r="M4382" i="58" s="1"/>
  <c r="G3827" i="58"/>
  <c r="M3827" i="58" s="1"/>
  <c r="G3820" i="58"/>
  <c r="M3820" i="58" s="1"/>
  <c r="G3829" i="58"/>
  <c r="M3829" i="58" s="1"/>
  <c r="G3822" i="58"/>
  <c r="M3822" i="58" s="1"/>
  <c r="G3824" i="58"/>
  <c r="M3824" i="58" s="1"/>
  <c r="G3826" i="58"/>
  <c r="M3826" i="58" s="1"/>
  <c r="G3819" i="58"/>
  <c r="M3819" i="58" s="1"/>
  <c r="G3828" i="58"/>
  <c r="M3828" i="58" s="1"/>
  <c r="G3821" i="58"/>
  <c r="M3821" i="58" s="1"/>
  <c r="G3823" i="58"/>
  <c r="M3823" i="58" s="1"/>
  <c r="G3825" i="58"/>
  <c r="M3825" i="58" s="1"/>
  <c r="G4516" i="58"/>
  <c r="M4516" i="58" s="1"/>
  <c r="G4514" i="58"/>
  <c r="M4514" i="58" s="1"/>
  <c r="G4513" i="58"/>
  <c r="M4513" i="58" s="1"/>
  <c r="G4515" i="58"/>
  <c r="M4515" i="58" s="1"/>
  <c r="G4512" i="58"/>
  <c r="M4512" i="58" s="1"/>
  <c r="G4153" i="58"/>
  <c r="M4153" i="58" s="1"/>
  <c r="G4155" i="58"/>
  <c r="M4155" i="58" s="1"/>
  <c r="G4152" i="58"/>
  <c r="M4152" i="58" s="1"/>
  <c r="G4154" i="58"/>
  <c r="M4154" i="58" s="1"/>
  <c r="G4151" i="58"/>
  <c r="M4151" i="58" s="1"/>
  <c r="G4885" i="58"/>
  <c r="M4885" i="58" s="1"/>
  <c r="G4887" i="58"/>
  <c r="M4887" i="58" s="1"/>
  <c r="G4886" i="58"/>
  <c r="M4886" i="58" s="1"/>
  <c r="G4209" i="58"/>
  <c r="M4209" i="58" s="1"/>
  <c r="G4211" i="58"/>
  <c r="M4211" i="58" s="1"/>
  <c r="G4213" i="58"/>
  <c r="M4213" i="58" s="1"/>
  <c r="G4206" i="58"/>
  <c r="M4206" i="58" s="1"/>
  <c r="G4208" i="58"/>
  <c r="M4208" i="58" s="1"/>
  <c r="G4888" i="58"/>
  <c r="M4888" i="58" s="1"/>
  <c r="G4210" i="58"/>
  <c r="M4210" i="58" s="1"/>
  <c r="G4212" i="58"/>
  <c r="M4212" i="58" s="1"/>
  <c r="G4205" i="58"/>
  <c r="M4205" i="58" s="1"/>
  <c r="G4214" i="58"/>
  <c r="M4214" i="58" s="1"/>
  <c r="G4207" i="58"/>
  <c r="M4207" i="58" s="1"/>
  <c r="G3869" i="58"/>
  <c r="M3869" i="58" s="1"/>
  <c r="G3862" i="58"/>
  <c r="M3862" i="58" s="1"/>
  <c r="G3855" i="58"/>
  <c r="M3855" i="58" s="1"/>
  <c r="G3871" i="58"/>
  <c r="M3871" i="58" s="1"/>
  <c r="G3864" i="58"/>
  <c r="M3864" i="58" s="1"/>
  <c r="G3857" i="58"/>
  <c r="M3857" i="58" s="1"/>
  <c r="G3866" i="58"/>
  <c r="M3866" i="58" s="1"/>
  <c r="G3859" i="58"/>
  <c r="M3859" i="58" s="1"/>
  <c r="G3852" i="58"/>
  <c r="M3852" i="58" s="1"/>
  <c r="G3868" i="58"/>
  <c r="M3868" i="58" s="1"/>
  <c r="G3861" i="58"/>
  <c r="M3861" i="58" s="1"/>
  <c r="G3854" i="58"/>
  <c r="M3854" i="58" s="1"/>
  <c r="G3870" i="58"/>
  <c r="M3870" i="58" s="1"/>
  <c r="G3863" i="58"/>
  <c r="M3863" i="58" s="1"/>
  <c r="G3856" i="58"/>
  <c r="M3856" i="58" s="1"/>
  <c r="G3865" i="58"/>
  <c r="M3865" i="58" s="1"/>
  <c r="G3858" i="58"/>
  <c r="M3858" i="58" s="1"/>
  <c r="G3860" i="58"/>
  <c r="M3860" i="58" s="1"/>
  <c r="G3853" i="58"/>
  <c r="M3853" i="58" s="1"/>
  <c r="G3867" i="58"/>
  <c r="M3867" i="58" s="1"/>
  <c r="G4495" i="58"/>
  <c r="M4495" i="58" s="1"/>
  <c r="G4494" i="58"/>
  <c r="M4494" i="58" s="1"/>
  <c r="G4496" i="58"/>
  <c r="M4496" i="58" s="1"/>
  <c r="G4946" i="58"/>
  <c r="M4946" i="58" s="1"/>
  <c r="G4947" i="58"/>
  <c r="M4947" i="58" s="1"/>
  <c r="G4988" i="58"/>
  <c r="M4988" i="58" s="1"/>
  <c r="G5088" i="58"/>
  <c r="M5088" i="58" s="1"/>
  <c r="G5081" i="58"/>
  <c r="M5081" i="58" s="1"/>
  <c r="G5245" i="58"/>
  <c r="M5245" i="58" s="1"/>
  <c r="G5092" i="58"/>
  <c r="M5092" i="58" s="1"/>
  <c r="G5162" i="58"/>
  <c r="M5162" i="58" s="1"/>
  <c r="G5238" i="58"/>
  <c r="M5238" i="58" s="1"/>
  <c r="G5235" i="58"/>
  <c r="M5235" i="58" s="1"/>
  <c r="G3449" i="58"/>
  <c r="M3449" i="58" s="1"/>
  <c r="G3442" i="58"/>
  <c r="M3442" i="58" s="1"/>
  <c r="G3435" i="58"/>
  <c r="M3435" i="58" s="1"/>
  <c r="G3428" i="58"/>
  <c r="M3428" i="58" s="1"/>
  <c r="G3421" i="58"/>
  <c r="M3421" i="58" s="1"/>
  <c r="G3446" i="58"/>
  <c r="M3446" i="58" s="1"/>
  <c r="G3439" i="58"/>
  <c r="M3439" i="58" s="1"/>
  <c r="G3432" i="58"/>
  <c r="M3432" i="58" s="1"/>
  <c r="G3425" i="58"/>
  <c r="M3425" i="58" s="1"/>
  <c r="G3418" i="58"/>
  <c r="M3418" i="58" s="1"/>
  <c r="G3448" i="58"/>
  <c r="M3448" i="58" s="1"/>
  <c r="G3441" i="58"/>
  <c r="M3441" i="58" s="1"/>
  <c r="G3434" i="58"/>
  <c r="M3434" i="58" s="1"/>
  <c r="G3427" i="58"/>
  <c r="M3427" i="58" s="1"/>
  <c r="G3420" i="58"/>
  <c r="M3420" i="58" s="1"/>
  <c r="G3447" i="58"/>
  <c r="M3447" i="58" s="1"/>
  <c r="G3437" i="58"/>
  <c r="M3437" i="58" s="1"/>
  <c r="G3422" i="58"/>
  <c r="M3422" i="58" s="1"/>
  <c r="G3424" i="58"/>
  <c r="M3424" i="58" s="1"/>
  <c r="G3419" i="58"/>
  <c r="M3419" i="58" s="1"/>
  <c r="G3444" i="58"/>
  <c r="M3444" i="58" s="1"/>
  <c r="G3429" i="58"/>
  <c r="M3429" i="58" s="1"/>
  <c r="G3445" i="58"/>
  <c r="M3445" i="58" s="1"/>
  <c r="G3430" i="58"/>
  <c r="M3430" i="58" s="1"/>
  <c r="G3431" i="58"/>
  <c r="M3431" i="58" s="1"/>
  <c r="G3426" i="58"/>
  <c r="M3426" i="58" s="1"/>
  <c r="G3436" i="58"/>
  <c r="M3436" i="58" s="1"/>
  <c r="G3440" i="58"/>
  <c r="M3440" i="58" s="1"/>
  <c r="G3438" i="58"/>
  <c r="M3438" i="58" s="1"/>
  <c r="G3433" i="58"/>
  <c r="M3433" i="58" s="1"/>
  <c r="G3423" i="58"/>
  <c r="M3423" i="58" s="1"/>
  <c r="G3443" i="58"/>
  <c r="M3443" i="58" s="1"/>
  <c r="G4600" i="58"/>
  <c r="M4600" i="58" s="1"/>
  <c r="G4602" i="58"/>
  <c r="M4602" i="58" s="1"/>
  <c r="G4601" i="58"/>
  <c r="M4601" i="58" s="1"/>
  <c r="G4603" i="58"/>
  <c r="M4603" i="58" s="1"/>
  <c r="G4593" i="58"/>
  <c r="M4593" i="58" s="1"/>
  <c r="G4595" i="58"/>
  <c r="M4595" i="58" s="1"/>
  <c r="G4597" i="58"/>
  <c r="M4597" i="58" s="1"/>
  <c r="G4592" i="58"/>
  <c r="M4592" i="58" s="1"/>
  <c r="G4599" i="58"/>
  <c r="M4599" i="58" s="1"/>
  <c r="G4594" i="58"/>
  <c r="M4594" i="58" s="1"/>
  <c r="G4596" i="58"/>
  <c r="M4596" i="58" s="1"/>
  <c r="G4591" i="58"/>
  <c r="M4591" i="58" s="1"/>
  <c r="G4598" i="58"/>
  <c r="M4598" i="58" s="1"/>
  <c r="G4119" i="58"/>
  <c r="M4119" i="58" s="1"/>
  <c r="G5149" i="58"/>
  <c r="M5149" i="58" s="1"/>
  <c r="G5179" i="58"/>
  <c r="M5179" i="58" s="1"/>
  <c r="G5172" i="58"/>
  <c r="M5172" i="58" s="1"/>
  <c r="G5151" i="58"/>
  <c r="M5151" i="58" s="1"/>
  <c r="G5111" i="58"/>
  <c r="M5111" i="58" s="1"/>
  <c r="G5225" i="58"/>
  <c r="M5225" i="58" s="1"/>
  <c r="G5169" i="58"/>
  <c r="M5169" i="58" s="1"/>
  <c r="G5185" i="58"/>
  <c r="M5185" i="58" s="1"/>
  <c r="G5178" i="58"/>
  <c r="M5178" i="58" s="1"/>
  <c r="G5157" i="58"/>
  <c r="M5157" i="58" s="1"/>
  <c r="G5150" i="58"/>
  <c r="M5150" i="58" s="1"/>
  <c r="G5112" i="58"/>
  <c r="M5112" i="58" s="1"/>
  <c r="G5145" i="58"/>
  <c r="M5145" i="58" s="1"/>
  <c r="G5224" i="58"/>
  <c r="M5224" i="58" s="1"/>
  <c r="G3327" i="58"/>
  <c r="M3327" i="58" s="1"/>
  <c r="G3329" i="58"/>
  <c r="M3329" i="58" s="1"/>
  <c r="G3326" i="58"/>
  <c r="M3326" i="58" s="1"/>
  <c r="G3328" i="58"/>
  <c r="M3328" i="58" s="1"/>
  <c r="G3325" i="58"/>
  <c r="M3325" i="58" s="1"/>
  <c r="G3324" i="58"/>
  <c r="M3324" i="58" s="1"/>
  <c r="G5198" i="58"/>
  <c r="M5198" i="58" s="1"/>
  <c r="G5128" i="58"/>
  <c r="M5128" i="58" s="1"/>
  <c r="G5107" i="58"/>
  <c r="M5107" i="58" s="1"/>
  <c r="G5193" i="58"/>
  <c r="M5193" i="58" s="1"/>
  <c r="G5186" i="58"/>
  <c r="M5186" i="58" s="1"/>
  <c r="G5209" i="58"/>
  <c r="M5209" i="58" s="1"/>
  <c r="G5202" i="58"/>
  <c r="M5202" i="58" s="1"/>
  <c r="G5195" i="58"/>
  <c r="M5195" i="58" s="1"/>
  <c r="G5181" i="58"/>
  <c r="M5181" i="58" s="1"/>
  <c r="G5174" i="58"/>
  <c r="M5174" i="58" s="1"/>
  <c r="G5167" i="58"/>
  <c r="M5167" i="58" s="1"/>
  <c r="G5125" i="58"/>
  <c r="M5125" i="58" s="1"/>
  <c r="G5118" i="58"/>
  <c r="M5118" i="58" s="1"/>
  <c r="G5104" i="58"/>
  <c r="M5104" i="58" s="1"/>
  <c r="G5211" i="58"/>
  <c r="M5211" i="58" s="1"/>
  <c r="G5197" i="58"/>
  <c r="M5197" i="58" s="1"/>
  <c r="G5183" i="58"/>
  <c r="M5183" i="58" s="1"/>
  <c r="G5127" i="58"/>
  <c r="M5127" i="58" s="1"/>
  <c r="G5106" i="58"/>
  <c r="M5106" i="58" s="1"/>
  <c r="G5143" i="58"/>
  <c r="M5143" i="58" s="1"/>
  <c r="G5210" i="58"/>
  <c r="M5210" i="58" s="1"/>
  <c r="G5173" i="58"/>
  <c r="M5173" i="58" s="1"/>
  <c r="G5194" i="58"/>
  <c r="M5194" i="58" s="1"/>
  <c r="G5117" i="58"/>
  <c r="M5117" i="58" s="1"/>
  <c r="G5196" i="58"/>
  <c r="M5196" i="58" s="1"/>
  <c r="G5201" i="58"/>
  <c r="M5201" i="58" s="1"/>
  <c r="G5105" i="58"/>
  <c r="M5105" i="58" s="1"/>
  <c r="G5147" i="58"/>
  <c r="M5147" i="58" s="1"/>
  <c r="G5119" i="58"/>
  <c r="M5119" i="58" s="1"/>
  <c r="G4642" i="58"/>
  <c r="M4642" i="58" s="1"/>
  <c r="G4637" i="58"/>
  <c r="M4637" i="58" s="1"/>
  <c r="G4639" i="58"/>
  <c r="M4639" i="58" s="1"/>
  <c r="G4641" i="58"/>
  <c r="M4641" i="58" s="1"/>
  <c r="G4636" i="58"/>
  <c r="M4636" i="58" s="1"/>
  <c r="G4643" i="58"/>
  <c r="M4643" i="58" s="1"/>
  <c r="G4638" i="58"/>
  <c r="M4638" i="58" s="1"/>
  <c r="G4640" i="58"/>
  <c r="M4640" i="58" s="1"/>
  <c r="G3777" i="58"/>
  <c r="M3777" i="58" s="1"/>
  <c r="G4019" i="58"/>
  <c r="M4019" i="58" s="1"/>
  <c r="G4012" i="58"/>
  <c r="M4012" i="58" s="1"/>
  <c r="G4005" i="58"/>
  <c r="M4005" i="58" s="1"/>
  <c r="G3998" i="58"/>
  <c r="M3998" i="58" s="1"/>
  <c r="G3991" i="58"/>
  <c r="M3991" i="58" s="1"/>
  <c r="G3984" i="58"/>
  <c r="M3984" i="58" s="1"/>
  <c r="G3977" i="58"/>
  <c r="M3977" i="58" s="1"/>
  <c r="G4021" i="58"/>
  <c r="M4021" i="58" s="1"/>
  <c r="G4014" i="58"/>
  <c r="M4014" i="58" s="1"/>
  <c r="G4007" i="58"/>
  <c r="M4007" i="58" s="1"/>
  <c r="G4000" i="58"/>
  <c r="M4000" i="58" s="1"/>
  <c r="G3993" i="58"/>
  <c r="M3993" i="58" s="1"/>
  <c r="G3986" i="58"/>
  <c r="M3986" i="58" s="1"/>
  <c r="G3979" i="58"/>
  <c r="M3979" i="58" s="1"/>
  <c r="G4024" i="58"/>
  <c r="M4024" i="58" s="1"/>
  <c r="G4002" i="58"/>
  <c r="M4002" i="58" s="1"/>
  <c r="G3997" i="58"/>
  <c r="M3997" i="58" s="1"/>
  <c r="G3980" i="58"/>
  <c r="M3980" i="58" s="1"/>
  <c r="G3992" i="58"/>
  <c r="M3992" i="58" s="1"/>
  <c r="G4009" i="58"/>
  <c r="M4009" i="58" s="1"/>
  <c r="G4004" i="58"/>
  <c r="M4004" i="58" s="1"/>
  <c r="G3987" i="58"/>
  <c r="M3987" i="58" s="1"/>
  <c r="G3982" i="58"/>
  <c r="M3982" i="58" s="1"/>
  <c r="G3999" i="58"/>
  <c r="M3999" i="58" s="1"/>
  <c r="G4016" i="58"/>
  <c r="M4016" i="58" s="1"/>
  <c r="G4011" i="58"/>
  <c r="M4011" i="58" s="1"/>
  <c r="G3994" i="58"/>
  <c r="M3994" i="58" s="1"/>
  <c r="G3989" i="58"/>
  <c r="M3989" i="58" s="1"/>
  <c r="G4006" i="58"/>
  <c r="M4006" i="58" s="1"/>
  <c r="G4023" i="58"/>
  <c r="M4023" i="58" s="1"/>
  <c r="G4018" i="58"/>
  <c r="M4018" i="58" s="1"/>
  <c r="G4001" i="58"/>
  <c r="M4001" i="58" s="1"/>
  <c r="G3996" i="58"/>
  <c r="M3996" i="58" s="1"/>
  <c r="G4013" i="58"/>
  <c r="M4013" i="58" s="1"/>
  <c r="G4025" i="58"/>
  <c r="M4025" i="58" s="1"/>
  <c r="G4008" i="58"/>
  <c r="M4008" i="58" s="1"/>
  <c r="G4003" i="58"/>
  <c r="M4003" i="58" s="1"/>
  <c r="G3981" i="58"/>
  <c r="M3981" i="58" s="1"/>
  <c r="G3976" i="58"/>
  <c r="M3976" i="58" s="1"/>
  <c r="G4020" i="58"/>
  <c r="M4020" i="58" s="1"/>
  <c r="G4015" i="58"/>
  <c r="M4015" i="58" s="1"/>
  <c r="G4010" i="58"/>
  <c r="M4010" i="58" s="1"/>
  <c r="G3988" i="58"/>
  <c r="M3988" i="58" s="1"/>
  <c r="G3983" i="58"/>
  <c r="M3983" i="58" s="1"/>
  <c r="G3978" i="58"/>
  <c r="M3978" i="58" s="1"/>
  <c r="G4022" i="58"/>
  <c r="M4022" i="58" s="1"/>
  <c r="G3995" i="58"/>
  <c r="M3995" i="58" s="1"/>
  <c r="G4017" i="58"/>
  <c r="M4017" i="58" s="1"/>
  <c r="G3985" i="58"/>
  <c r="M3985" i="58" s="1"/>
  <c r="G3990" i="58"/>
  <c r="M3990" i="58" s="1"/>
  <c r="G4883" i="58"/>
  <c r="M4883" i="58" s="1"/>
  <c r="G4882" i="58"/>
  <c r="M4882" i="58" s="1"/>
  <c r="G3194" i="58"/>
  <c r="M3194" i="58" s="1"/>
  <c r="G3187" i="58"/>
  <c r="M3187" i="58" s="1"/>
  <c r="G3189" i="58"/>
  <c r="M3189" i="58" s="1"/>
  <c r="G3191" i="58"/>
  <c r="M3191" i="58" s="1"/>
  <c r="G3186" i="58"/>
  <c r="M3186" i="58" s="1"/>
  <c r="G3193" i="58"/>
  <c r="M3193" i="58" s="1"/>
  <c r="G3188" i="58"/>
  <c r="M3188" i="58" s="1"/>
  <c r="G3190" i="58"/>
  <c r="M3190" i="58" s="1"/>
  <c r="G3185" i="58"/>
  <c r="M3185" i="58" s="1"/>
  <c r="G3192" i="58"/>
  <c r="M3192" i="58" s="1"/>
  <c r="G5255" i="58"/>
  <c r="M5255" i="58" s="1"/>
  <c r="G5243" i="58"/>
  <c r="M5243" i="58" s="1"/>
  <c r="G5252" i="58"/>
  <c r="M5252" i="58" s="1"/>
  <c r="G5242" i="58"/>
  <c r="M5242" i="58" s="1"/>
  <c r="G4899" i="58"/>
  <c r="M4899" i="58" s="1"/>
  <c r="G4898" i="58"/>
  <c r="M4898" i="58" s="1"/>
  <c r="G4900" i="58"/>
  <c r="M4900" i="58" s="1"/>
  <c r="G4957" i="58"/>
  <c r="M4957" i="58" s="1"/>
  <c r="G4959" i="58"/>
  <c r="M4959" i="58" s="1"/>
  <c r="G4952" i="58"/>
  <c r="M4952" i="58" s="1"/>
  <c r="G4956" i="58"/>
  <c r="M4956" i="58" s="1"/>
  <c r="G4958" i="58"/>
  <c r="M4958" i="58" s="1"/>
  <c r="G4953" i="58"/>
  <c r="M4953" i="58" s="1"/>
  <c r="G4954" i="58"/>
  <c r="M4954" i="58" s="1"/>
  <c r="G4955" i="58"/>
  <c r="M4955" i="58" s="1"/>
  <c r="G4237" i="58"/>
  <c r="M4237" i="58" s="1"/>
  <c r="G4239" i="58"/>
  <c r="M4239" i="58" s="1"/>
  <c r="G4241" i="58"/>
  <c r="M4241" i="58" s="1"/>
  <c r="G4234" i="58"/>
  <c r="M4234" i="58" s="1"/>
  <c r="G4236" i="58"/>
  <c r="M4236" i="58" s="1"/>
  <c r="G4238" i="58"/>
  <c r="M4238" i="58" s="1"/>
  <c r="G4240" i="58"/>
  <c r="M4240" i="58" s="1"/>
  <c r="G4233" i="58"/>
  <c r="M4233" i="58" s="1"/>
  <c r="G4235" i="58"/>
  <c r="M4235" i="58" s="1"/>
  <c r="G4242" i="58"/>
  <c r="M4242" i="58" s="1"/>
  <c r="G4985" i="58"/>
  <c r="M4985" i="58" s="1"/>
  <c r="G5083" i="58"/>
  <c r="M5083" i="58" s="1"/>
  <c r="G5091" i="58"/>
  <c r="M5091" i="58" s="1"/>
  <c r="G5246" i="58"/>
  <c r="M5246" i="58" s="1"/>
  <c r="G5078" i="58"/>
  <c r="M5078" i="58" s="1"/>
  <c r="G3505" i="58"/>
  <c r="M3505" i="58" s="1"/>
  <c r="G3498" i="58"/>
  <c r="M3498" i="58" s="1"/>
  <c r="G3500" i="58"/>
  <c r="M3500" i="58" s="1"/>
  <c r="G3493" i="58"/>
  <c r="M3493" i="58" s="1"/>
  <c r="G3502" i="58"/>
  <c r="M3502" i="58" s="1"/>
  <c r="G3495" i="58"/>
  <c r="M3495" i="58" s="1"/>
  <c r="G3504" i="58"/>
  <c r="M3504" i="58" s="1"/>
  <c r="G3497" i="58"/>
  <c r="M3497" i="58" s="1"/>
  <c r="G3501" i="58"/>
  <c r="M3501" i="58" s="1"/>
  <c r="G3494" i="58"/>
  <c r="M3494" i="58" s="1"/>
  <c r="G3499" i="58"/>
  <c r="M3499" i="58" s="1"/>
  <c r="G3496" i="58"/>
  <c r="M3496" i="58" s="1"/>
  <c r="G3492" i="58"/>
  <c r="M3492" i="58" s="1"/>
  <c r="G3506" i="58"/>
  <c r="M3506" i="58" s="1"/>
  <c r="G3503" i="58"/>
  <c r="M3503" i="58" s="1"/>
  <c r="G4852" i="58"/>
  <c r="M4852" i="58" s="1"/>
  <c r="G4854" i="58"/>
  <c r="M4854" i="58" s="1"/>
  <c r="G4853" i="58"/>
  <c r="M4853" i="58" s="1"/>
  <c r="G5283" i="58"/>
  <c r="M5283" i="58" s="1"/>
  <c r="G3764" i="58"/>
  <c r="M3764" i="58" s="1"/>
  <c r="G3766" i="58"/>
  <c r="M3766" i="58" s="1"/>
  <c r="G3768" i="58"/>
  <c r="M3768" i="58" s="1"/>
  <c r="G3761" i="58"/>
  <c r="M3761" i="58" s="1"/>
  <c r="G3770" i="58"/>
  <c r="M3770" i="58" s="1"/>
  <c r="G3763" i="58"/>
  <c r="M3763" i="58" s="1"/>
  <c r="G3765" i="58"/>
  <c r="M3765" i="58" s="1"/>
  <c r="G3767" i="58"/>
  <c r="M3767" i="58" s="1"/>
  <c r="G3760" i="58"/>
  <c r="M3760" i="58" s="1"/>
  <c r="G3762" i="58"/>
  <c r="M3762" i="58" s="1"/>
  <c r="G3769" i="58"/>
  <c r="M3769" i="58" s="1"/>
  <c r="G5065" i="58"/>
  <c r="M5065" i="58" s="1"/>
  <c r="G5074" i="58"/>
  <c r="M5074" i="58" s="1"/>
  <c r="G5053" i="58"/>
  <c r="M5053" i="58" s="1"/>
  <c r="G5046" i="58"/>
  <c r="M5046" i="58" s="1"/>
  <c r="G5039" i="58"/>
  <c r="M5039" i="58" s="1"/>
  <c r="G5032" i="58"/>
  <c r="M5032" i="58" s="1"/>
  <c r="G5018" i="58"/>
  <c r="M5018" i="58" s="1"/>
  <c r="G5004" i="58"/>
  <c r="M5004" i="58" s="1"/>
  <c r="G4997" i="58"/>
  <c r="M4997" i="58" s="1"/>
  <c r="G5013" i="58"/>
  <c r="M5013" i="58" s="1"/>
  <c r="G4992" i="58"/>
  <c r="M4992" i="58" s="1"/>
  <c r="G5064" i="58"/>
  <c r="M5064" i="58" s="1"/>
  <c r="G5057" i="58"/>
  <c r="M5057" i="58" s="1"/>
  <c r="G5015" i="58"/>
  <c r="M5015" i="58" s="1"/>
  <c r="G4994" i="58"/>
  <c r="M4994" i="58" s="1"/>
  <c r="G5073" i="58"/>
  <c r="M5073" i="58" s="1"/>
  <c r="G5066" i="58"/>
  <c r="M5066" i="58" s="1"/>
  <c r="G5052" i="58"/>
  <c r="M5052" i="58" s="1"/>
  <c r="G5045" i="58"/>
  <c r="M5045" i="58" s="1"/>
  <c r="G5038" i="58"/>
  <c r="M5038" i="58" s="1"/>
  <c r="G5068" i="58"/>
  <c r="M5068" i="58" s="1"/>
  <c r="G5003" i="58"/>
  <c r="M5003" i="58" s="1"/>
  <c r="G4998" i="58"/>
  <c r="M4998" i="58" s="1"/>
  <c r="G4995" i="58"/>
  <c r="M4995" i="58" s="1"/>
  <c r="G5019" i="58"/>
  <c r="M5019" i="58" s="1"/>
  <c r="G5014" i="58"/>
  <c r="M5014" i="58" s="1"/>
  <c r="G4991" i="58"/>
  <c r="M4991" i="58" s="1"/>
  <c r="G4996" i="58"/>
  <c r="M4996" i="58" s="1"/>
  <c r="G5017" i="58"/>
  <c r="M5017" i="58" s="1"/>
  <c r="G4063" i="58"/>
  <c r="M4063" i="58" s="1"/>
  <c r="G4065" i="58"/>
  <c r="M4065" i="58" s="1"/>
  <c r="G4064" i="58"/>
  <c r="M4064" i="58" s="1"/>
  <c r="G4973" i="58"/>
  <c r="M4973" i="58" s="1"/>
  <c r="G4972" i="58"/>
  <c r="M4972" i="58" s="1"/>
  <c r="G4356" i="58"/>
  <c r="M4356" i="58" s="1"/>
  <c r="G4358" i="58"/>
  <c r="M4358" i="58" s="1"/>
  <c r="G4360" i="58"/>
  <c r="M4360" i="58" s="1"/>
  <c r="G4353" i="58"/>
  <c r="M4353" i="58" s="1"/>
  <c r="G4355" i="58"/>
  <c r="M4355" i="58" s="1"/>
  <c r="G4357" i="58"/>
  <c r="M4357" i="58" s="1"/>
  <c r="G4359" i="58"/>
  <c r="M4359" i="58" s="1"/>
  <c r="G4352" i="58"/>
  <c r="M4352" i="58" s="1"/>
  <c r="G4361" i="58"/>
  <c r="M4361" i="58" s="1"/>
  <c r="G4354" i="58"/>
  <c r="M4354" i="58" s="1"/>
  <c r="G3743" i="58"/>
  <c r="M3743" i="58" s="1"/>
  <c r="G3736" i="58"/>
  <c r="M3736" i="58" s="1"/>
  <c r="G3729" i="58"/>
  <c r="M3729" i="58" s="1"/>
  <c r="G3722" i="58"/>
  <c r="M3722" i="58" s="1"/>
  <c r="G3715" i="58"/>
  <c r="M3715" i="58" s="1"/>
  <c r="G3708" i="58"/>
  <c r="M3708" i="58" s="1"/>
  <c r="G3701" i="58"/>
  <c r="M3701" i="58" s="1"/>
  <c r="G3745" i="58"/>
  <c r="M3745" i="58" s="1"/>
  <c r="G3738" i="58"/>
  <c r="M3738" i="58" s="1"/>
  <c r="G3731" i="58"/>
  <c r="M3731" i="58" s="1"/>
  <c r="G3724" i="58"/>
  <c r="M3724" i="58" s="1"/>
  <c r="G3717" i="58"/>
  <c r="M3717" i="58" s="1"/>
  <c r="G3710" i="58"/>
  <c r="M3710" i="58" s="1"/>
  <c r="G3703" i="58"/>
  <c r="M3703" i="58" s="1"/>
  <c r="G3740" i="58"/>
  <c r="M3740" i="58" s="1"/>
  <c r="G3733" i="58"/>
  <c r="M3733" i="58" s="1"/>
  <c r="G3726" i="58"/>
  <c r="M3726" i="58" s="1"/>
  <c r="G3719" i="58"/>
  <c r="M3719" i="58" s="1"/>
  <c r="G3712" i="58"/>
  <c r="M3712" i="58" s="1"/>
  <c r="G3705" i="58"/>
  <c r="M3705" i="58" s="1"/>
  <c r="G3742" i="58"/>
  <c r="M3742" i="58" s="1"/>
  <c r="G3735" i="58"/>
  <c r="M3735" i="58" s="1"/>
  <c r="G3728" i="58"/>
  <c r="M3728" i="58" s="1"/>
  <c r="G3721" i="58"/>
  <c r="M3721" i="58" s="1"/>
  <c r="G3714" i="58"/>
  <c r="M3714" i="58" s="1"/>
  <c r="G3707" i="58"/>
  <c r="M3707" i="58" s="1"/>
  <c r="G3744" i="58"/>
  <c r="M3744" i="58" s="1"/>
  <c r="G3737" i="58"/>
  <c r="M3737" i="58" s="1"/>
  <c r="G3730" i="58"/>
  <c r="M3730" i="58" s="1"/>
  <c r="G3723" i="58"/>
  <c r="M3723" i="58" s="1"/>
  <c r="G3716" i="58"/>
  <c r="M3716" i="58" s="1"/>
  <c r="G3709" i="58"/>
  <c r="M3709" i="58" s="1"/>
  <c r="G3702" i="58"/>
  <c r="M3702" i="58" s="1"/>
  <c r="G3746" i="58"/>
  <c r="M3746" i="58" s="1"/>
  <c r="G3739" i="58"/>
  <c r="M3739" i="58" s="1"/>
  <c r="G3732" i="58"/>
  <c r="M3732" i="58" s="1"/>
  <c r="G3725" i="58"/>
  <c r="M3725" i="58" s="1"/>
  <c r="G3718" i="58"/>
  <c r="M3718" i="58" s="1"/>
  <c r="G3711" i="58"/>
  <c r="M3711" i="58" s="1"/>
  <c r="G3704" i="58"/>
  <c r="M3704" i="58" s="1"/>
  <c r="G3727" i="58"/>
  <c r="M3727" i="58" s="1"/>
  <c r="G3713" i="58"/>
  <c r="M3713" i="58" s="1"/>
  <c r="G3741" i="58"/>
  <c r="M3741" i="58" s="1"/>
  <c r="G3734" i="58"/>
  <c r="M3734" i="58" s="1"/>
  <c r="G3706" i="58"/>
  <c r="M3706" i="58" s="1"/>
  <c r="G3720" i="58"/>
  <c r="M3720" i="58" s="1"/>
  <c r="G4945" i="58"/>
  <c r="M4945" i="58" s="1"/>
  <c r="G4944" i="58"/>
  <c r="M4944" i="58" s="1"/>
  <c r="G4939" i="58"/>
  <c r="M4939" i="58" s="1"/>
  <c r="G4941" i="58"/>
  <c r="M4941" i="58" s="1"/>
  <c r="G4940" i="58"/>
  <c r="M4940" i="58" s="1"/>
  <c r="G4943" i="58"/>
  <c r="M4943" i="58" s="1"/>
  <c r="G4942" i="58"/>
  <c r="M4942" i="58" s="1"/>
  <c r="G4834" i="58"/>
  <c r="M4834" i="58" s="1"/>
  <c r="G4831" i="58"/>
  <c r="M4831" i="58" s="1"/>
  <c r="G4833" i="58"/>
  <c r="M4833" i="58" s="1"/>
  <c r="G4835" i="58"/>
  <c r="M4835" i="58" s="1"/>
  <c r="G4830" i="58"/>
  <c r="M4830" i="58" s="1"/>
  <c r="G4832" i="58"/>
  <c r="M4832" i="58" s="1"/>
  <c r="G4497" i="58"/>
  <c r="M4497" i="58" s="1"/>
  <c r="G4499" i="58"/>
  <c r="M4499" i="58" s="1"/>
  <c r="G4501" i="58"/>
  <c r="M4501" i="58" s="1"/>
  <c r="G4498" i="58"/>
  <c r="M4498" i="58" s="1"/>
  <c r="G4500" i="58"/>
  <c r="M4500" i="58" s="1"/>
  <c r="G4579" i="58"/>
  <c r="M4579" i="58" s="1"/>
  <c r="G4581" i="58"/>
  <c r="M4581" i="58" s="1"/>
  <c r="G4574" i="58"/>
  <c r="M4574" i="58" s="1"/>
  <c r="G4580" i="58"/>
  <c r="M4580" i="58" s="1"/>
  <c r="G4575" i="58"/>
  <c r="M4575" i="58" s="1"/>
  <c r="G4582" i="58"/>
  <c r="M4582" i="58" s="1"/>
  <c r="G4577" i="58"/>
  <c r="M4577" i="58" s="1"/>
  <c r="G4576" i="58"/>
  <c r="M4576" i="58" s="1"/>
  <c r="G4578" i="58"/>
  <c r="M4578" i="58" s="1"/>
  <c r="G4901" i="58"/>
  <c r="M4901" i="58" s="1"/>
  <c r="G4903" i="58"/>
  <c r="M4903" i="58" s="1"/>
  <c r="G4902" i="58"/>
  <c r="M4902" i="58" s="1"/>
  <c r="G4551" i="58"/>
  <c r="M4551" i="58" s="1"/>
  <c r="G4544" i="58"/>
  <c r="M4544" i="58" s="1"/>
  <c r="G4537" i="58"/>
  <c r="M4537" i="58" s="1"/>
  <c r="G4553" i="58"/>
  <c r="M4553" i="58" s="1"/>
  <c r="G4546" i="58"/>
  <c r="M4546" i="58" s="1"/>
  <c r="G4539" i="58"/>
  <c r="M4539" i="58" s="1"/>
  <c r="G4541" i="58"/>
  <c r="M4541" i="58" s="1"/>
  <c r="G4548" i="58"/>
  <c r="M4548" i="58" s="1"/>
  <c r="G4543" i="58"/>
  <c r="M4543" i="58" s="1"/>
  <c r="G4538" i="58"/>
  <c r="M4538" i="58" s="1"/>
  <c r="G4550" i="58"/>
  <c r="M4550" i="58" s="1"/>
  <c r="G4545" i="58"/>
  <c r="M4545" i="58" s="1"/>
  <c r="G4540" i="58"/>
  <c r="M4540" i="58" s="1"/>
  <c r="G4552" i="58"/>
  <c r="M4552" i="58" s="1"/>
  <c r="G4547" i="58"/>
  <c r="M4547" i="58" s="1"/>
  <c r="G4542" i="58"/>
  <c r="M4542" i="58" s="1"/>
  <c r="G4549" i="58"/>
  <c r="M4549" i="58" s="1"/>
  <c r="G4983" i="58"/>
  <c r="M4983" i="58" s="1"/>
  <c r="G5085" i="58"/>
  <c r="M5085" i="58" s="1"/>
  <c r="G4181" i="58"/>
  <c r="M4181" i="58" s="1"/>
  <c r="G4183" i="58"/>
  <c r="M4183" i="58" s="1"/>
  <c r="G4176" i="58"/>
  <c r="M4176" i="58" s="1"/>
  <c r="G4185" i="58"/>
  <c r="M4185" i="58" s="1"/>
  <c r="G4178" i="58"/>
  <c r="M4178" i="58" s="1"/>
  <c r="G4180" i="58"/>
  <c r="M4180" i="58" s="1"/>
  <c r="G4182" i="58"/>
  <c r="M4182" i="58" s="1"/>
  <c r="G4184" i="58"/>
  <c r="M4184" i="58" s="1"/>
  <c r="G4177" i="58"/>
  <c r="M4177" i="58" s="1"/>
  <c r="G4186" i="58"/>
  <c r="M4186" i="58" s="1"/>
  <c r="G4179" i="58"/>
  <c r="M4179" i="58" s="1"/>
  <c r="G5257" i="58"/>
  <c r="M5257" i="58" s="1"/>
  <c r="G4118" i="58"/>
  <c r="M4118" i="58" s="1"/>
  <c r="G4115" i="58"/>
  <c r="M4115" i="58" s="1"/>
  <c r="G4117" i="58"/>
  <c r="M4117" i="58" s="1"/>
  <c r="G4114" i="58"/>
  <c r="M4114" i="58" s="1"/>
  <c r="G4116" i="58"/>
  <c r="M4116" i="58" s="1"/>
  <c r="G5087" i="58"/>
  <c r="M5087" i="58" s="1"/>
  <c r="G5077" i="58"/>
  <c r="M5077" i="58" s="1"/>
  <c r="G5177" i="58"/>
  <c r="M5177" i="58" s="1"/>
  <c r="G5163" i="58"/>
  <c r="M5163" i="58" s="1"/>
  <c r="G5135" i="58"/>
  <c r="M5135" i="58" s="1"/>
  <c r="G5121" i="58"/>
  <c r="M5121" i="58" s="1"/>
  <c r="G5165" i="58"/>
  <c r="M5165" i="58" s="1"/>
  <c r="G5144" i="58"/>
  <c r="M5144" i="58" s="1"/>
  <c r="G5137" i="58"/>
  <c r="M5137" i="58" s="1"/>
  <c r="G5130" i="58"/>
  <c r="M5130" i="58" s="1"/>
  <c r="G5176" i="58"/>
  <c r="M5176" i="58" s="1"/>
  <c r="G5155" i="58"/>
  <c r="M5155" i="58" s="1"/>
  <c r="G5120" i="58"/>
  <c r="M5120" i="58" s="1"/>
  <c r="G5171" i="58"/>
  <c r="M5171" i="58" s="1"/>
  <c r="G5164" i="58"/>
  <c r="M5164" i="58" s="1"/>
  <c r="G5136" i="58"/>
  <c r="M5136" i="58" s="1"/>
  <c r="G5129" i="58"/>
  <c r="M5129" i="58" s="1"/>
  <c r="G5108" i="58"/>
  <c r="M5108" i="58" s="1"/>
  <c r="G5154" i="58"/>
  <c r="M5154" i="58" s="1"/>
  <c r="G5175" i="58"/>
  <c r="M5175" i="58" s="1"/>
  <c r="G5140" i="58"/>
  <c r="M5140" i="58" s="1"/>
  <c r="G5182" i="58"/>
  <c r="M5182" i="58" s="1"/>
  <c r="G5166" i="58"/>
  <c r="M5166" i="58" s="1"/>
  <c r="G5180" i="58"/>
  <c r="M5180" i="58" s="1"/>
  <c r="G5126" i="58"/>
  <c r="M5126" i="58" s="1"/>
  <c r="G5244" i="58"/>
  <c r="M5244" i="58" s="1"/>
  <c r="G4724" i="58"/>
  <c r="M4724" i="58" s="1"/>
  <c r="G4721" i="58"/>
  <c r="M4721" i="58" s="1"/>
  <c r="G4723" i="58"/>
  <c r="M4723" i="58" s="1"/>
  <c r="G4725" i="58"/>
  <c r="M4725" i="58" s="1"/>
  <c r="G4720" i="58"/>
  <c r="M4720" i="58" s="1"/>
  <c r="G4722" i="58"/>
  <c r="M4722" i="58" s="1"/>
  <c r="G3549" i="58"/>
  <c r="M3549" i="58" s="1"/>
  <c r="G3551" i="58"/>
  <c r="M3551" i="58" s="1"/>
  <c r="G3550" i="58"/>
  <c r="M3550" i="58" s="1"/>
  <c r="G3568" i="58"/>
  <c r="M3568" i="58" s="1"/>
  <c r="G3561" i="58"/>
  <c r="M3561" i="58" s="1"/>
  <c r="G3554" i="58"/>
  <c r="M3554" i="58" s="1"/>
  <c r="G3570" i="58"/>
  <c r="M3570" i="58" s="1"/>
  <c r="G3563" i="58"/>
  <c r="M3563" i="58" s="1"/>
  <c r="G3556" i="58"/>
  <c r="M3556" i="58" s="1"/>
  <c r="G3565" i="58"/>
  <c r="M3565" i="58" s="1"/>
  <c r="G3558" i="58"/>
  <c r="M3558" i="58" s="1"/>
  <c r="G3567" i="58"/>
  <c r="M3567" i="58" s="1"/>
  <c r="G3560" i="58"/>
  <c r="M3560" i="58" s="1"/>
  <c r="G3553" i="58"/>
  <c r="M3553" i="58" s="1"/>
  <c r="G3569" i="58"/>
  <c r="M3569" i="58" s="1"/>
  <c r="G3562" i="58"/>
  <c r="M3562" i="58" s="1"/>
  <c r="G3555" i="58"/>
  <c r="M3555" i="58" s="1"/>
  <c r="G3564" i="58"/>
  <c r="M3564" i="58" s="1"/>
  <c r="G3557" i="58"/>
  <c r="M3557" i="58" s="1"/>
  <c r="G3566" i="58"/>
  <c r="M3566" i="58" s="1"/>
  <c r="G3552" i="58"/>
  <c r="M3552" i="58" s="1"/>
  <c r="G3559" i="58"/>
  <c r="M3559" i="58" s="1"/>
  <c r="G4439" i="58"/>
  <c r="M4439" i="58" s="1"/>
  <c r="G4432" i="58"/>
  <c r="M4432" i="58" s="1"/>
  <c r="G4441" i="58"/>
  <c r="M4441" i="58" s="1"/>
  <c r="G4434" i="58"/>
  <c r="M4434" i="58" s="1"/>
  <c r="G4438" i="58"/>
  <c r="M4438" i="58" s="1"/>
  <c r="G4433" i="58"/>
  <c r="M4433" i="58" s="1"/>
  <c r="G4428" i="58"/>
  <c r="M4428" i="58" s="1"/>
  <c r="G4440" i="58"/>
  <c r="M4440" i="58" s="1"/>
  <c r="G4435" i="58"/>
  <c r="M4435" i="58" s="1"/>
  <c r="G4430" i="58"/>
  <c r="M4430" i="58" s="1"/>
  <c r="G4442" i="58"/>
  <c r="M4442" i="58" s="1"/>
  <c r="G4437" i="58"/>
  <c r="M4437" i="58" s="1"/>
  <c r="G4427" i="58"/>
  <c r="M4427" i="58" s="1"/>
  <c r="G4429" i="58"/>
  <c r="M4429" i="58" s="1"/>
  <c r="G4431" i="58"/>
  <c r="M4431" i="58" s="1"/>
  <c r="G4436" i="58"/>
  <c r="M4436" i="58" s="1"/>
  <c r="G3665" i="58"/>
  <c r="M3665" i="58" s="1"/>
  <c r="G5279" i="58"/>
  <c r="M5279" i="58" s="1"/>
  <c r="G5272" i="58"/>
  <c r="M5272" i="58" s="1"/>
  <c r="G5278" i="58"/>
  <c r="M5278" i="58" s="1"/>
  <c r="G3236" i="58"/>
  <c r="M3236" i="58" s="1"/>
  <c r="G3238" i="58"/>
  <c r="M3238" i="58" s="1"/>
  <c r="G3233" i="58"/>
  <c r="M3233" i="58" s="1"/>
  <c r="G3240" i="58"/>
  <c r="M3240" i="58" s="1"/>
  <c r="G3235" i="58"/>
  <c r="M3235" i="58" s="1"/>
  <c r="G3237" i="58"/>
  <c r="M3237" i="58" s="1"/>
  <c r="G3232" i="58"/>
  <c r="M3232" i="58" s="1"/>
  <c r="G3239" i="58"/>
  <c r="M3239" i="58" s="1"/>
  <c r="G3234" i="58"/>
  <c r="M3234" i="58" s="1"/>
  <c r="G4848" i="58"/>
  <c r="M4848" i="58" s="1"/>
  <c r="G4845" i="58"/>
  <c r="M4845" i="58" s="1"/>
  <c r="G4847" i="58"/>
  <c r="M4847" i="58" s="1"/>
  <c r="G4849" i="58"/>
  <c r="M4849" i="58" s="1"/>
  <c r="G4846" i="58"/>
  <c r="M4846" i="58" s="1"/>
  <c r="G3596" i="58"/>
  <c r="M3596" i="58" s="1"/>
  <c r="G3589" i="58"/>
  <c r="M3589" i="58" s="1"/>
  <c r="G3598" i="58"/>
  <c r="M3598" i="58" s="1"/>
  <c r="G3591" i="58"/>
  <c r="M3591" i="58" s="1"/>
  <c r="G3584" i="58"/>
  <c r="M3584" i="58" s="1"/>
  <c r="G3600" i="58"/>
  <c r="M3600" i="58" s="1"/>
  <c r="G3593" i="58"/>
  <c r="M3593" i="58" s="1"/>
  <c r="G3586" i="58"/>
  <c r="M3586" i="58" s="1"/>
  <c r="G3595" i="58"/>
  <c r="M3595" i="58" s="1"/>
  <c r="G3588" i="58"/>
  <c r="M3588" i="58" s="1"/>
  <c r="G3597" i="58"/>
  <c r="M3597" i="58" s="1"/>
  <c r="G3590" i="58"/>
  <c r="M3590" i="58" s="1"/>
  <c r="G3583" i="58"/>
  <c r="M3583" i="58" s="1"/>
  <c r="G3599" i="58"/>
  <c r="M3599" i="58" s="1"/>
  <c r="G3592" i="58"/>
  <c r="M3592" i="58" s="1"/>
  <c r="G3585" i="58"/>
  <c r="M3585" i="58" s="1"/>
  <c r="G3601" i="58"/>
  <c r="M3601" i="58" s="1"/>
  <c r="G3594" i="58"/>
  <c r="M3594" i="58" s="1"/>
  <c r="G3587" i="58"/>
  <c r="M3587" i="58" s="1"/>
  <c r="G4460" i="58"/>
  <c r="M4460" i="58" s="1"/>
  <c r="G4453" i="58"/>
  <c r="M4453" i="58" s="1"/>
  <c r="G4446" i="58"/>
  <c r="M4446" i="58" s="1"/>
  <c r="G4455" i="58"/>
  <c r="M4455" i="58" s="1"/>
  <c r="G4448" i="58"/>
  <c r="M4448" i="58" s="1"/>
  <c r="G4443" i="58"/>
  <c r="M4443" i="58" s="1"/>
  <c r="G4450" i="58"/>
  <c r="M4450" i="58" s="1"/>
  <c r="G4445" i="58"/>
  <c r="M4445" i="58" s="1"/>
  <c r="G4457" i="58"/>
  <c r="M4457" i="58" s="1"/>
  <c r="G4452" i="58"/>
  <c r="M4452" i="58" s="1"/>
  <c r="G4447" i="58"/>
  <c r="M4447" i="58" s="1"/>
  <c r="G4459" i="58"/>
  <c r="M4459" i="58" s="1"/>
  <c r="G4454" i="58"/>
  <c r="M4454" i="58" s="1"/>
  <c r="G4449" i="58"/>
  <c r="M4449" i="58" s="1"/>
  <c r="G4444" i="58"/>
  <c r="M4444" i="58" s="1"/>
  <c r="G4456" i="58"/>
  <c r="M4456" i="58" s="1"/>
  <c r="G4451" i="58"/>
  <c r="M4451" i="58" s="1"/>
  <c r="G3694" i="58"/>
  <c r="M3694" i="58" s="1"/>
  <c r="G3687" i="58"/>
  <c r="M3687" i="58" s="1"/>
  <c r="G3680" i="58"/>
  <c r="M3680" i="58" s="1"/>
  <c r="G3673" i="58"/>
  <c r="M3673" i="58" s="1"/>
  <c r="G3666" i="58"/>
  <c r="M3666" i="58" s="1"/>
  <c r="G3689" i="58"/>
  <c r="M3689" i="58" s="1"/>
  <c r="G3682" i="58"/>
  <c r="M3682" i="58" s="1"/>
  <c r="G3675" i="58"/>
  <c r="M3675" i="58" s="1"/>
  <c r="G3668" i="58"/>
  <c r="M3668" i="58" s="1"/>
  <c r="G3691" i="58"/>
  <c r="M3691" i="58" s="1"/>
  <c r="G3684" i="58"/>
  <c r="M3684" i="58" s="1"/>
  <c r="G3677" i="58"/>
  <c r="M3677" i="58" s="1"/>
  <c r="G3670" i="58"/>
  <c r="M3670" i="58" s="1"/>
  <c r="G4458" i="58"/>
  <c r="M4458" i="58" s="1"/>
  <c r="G3693" i="58"/>
  <c r="M3693" i="58" s="1"/>
  <c r="G3686" i="58"/>
  <c r="M3686" i="58" s="1"/>
  <c r="G3679" i="58"/>
  <c r="M3679" i="58" s="1"/>
  <c r="G3672" i="58"/>
  <c r="M3672" i="58" s="1"/>
  <c r="G3688" i="58"/>
  <c r="M3688" i="58" s="1"/>
  <c r="G3681" i="58"/>
  <c r="M3681" i="58" s="1"/>
  <c r="G3674" i="58"/>
  <c r="M3674" i="58" s="1"/>
  <c r="G3667" i="58"/>
  <c r="M3667" i="58" s="1"/>
  <c r="G3690" i="58"/>
  <c r="M3690" i="58" s="1"/>
  <c r="G3683" i="58"/>
  <c r="M3683" i="58" s="1"/>
  <c r="G3676" i="58"/>
  <c r="M3676" i="58" s="1"/>
  <c r="G3669" i="58"/>
  <c r="M3669" i="58" s="1"/>
  <c r="G3678" i="58"/>
  <c r="M3678" i="58" s="1"/>
  <c r="G3685" i="58"/>
  <c r="M3685" i="58" s="1"/>
  <c r="G3692" i="58"/>
  <c r="M3692" i="58" s="1"/>
  <c r="G3671" i="58"/>
  <c r="M3671" i="58" s="1"/>
  <c r="G4926" i="58"/>
  <c r="M4926" i="58" s="1"/>
  <c r="G4925" i="58"/>
  <c r="M4925" i="58" s="1"/>
  <c r="G4251" i="58"/>
  <c r="M4251" i="58" s="1"/>
  <c r="G4248" i="58"/>
  <c r="M4248" i="58" s="1"/>
  <c r="G4250" i="58"/>
  <c r="M4250" i="58" s="1"/>
  <c r="G4247" i="58"/>
  <c r="M4247" i="58" s="1"/>
  <c r="G4249" i="58"/>
  <c r="M4249" i="58" s="1"/>
  <c r="G4097" i="58"/>
  <c r="M4097" i="58" s="1"/>
  <c r="G4090" i="58"/>
  <c r="M4090" i="58" s="1"/>
  <c r="G4094" i="58"/>
  <c r="M4094" i="58" s="1"/>
  <c r="G4087" i="58"/>
  <c r="M4087" i="58" s="1"/>
  <c r="G4096" i="58"/>
  <c r="M4096" i="58" s="1"/>
  <c r="G4089" i="58"/>
  <c r="M4089" i="58" s="1"/>
  <c r="G4098" i="58"/>
  <c r="M4098" i="58" s="1"/>
  <c r="G4091" i="58"/>
  <c r="M4091" i="58" s="1"/>
  <c r="G4099" i="58"/>
  <c r="M4099" i="58" s="1"/>
  <c r="G4088" i="58"/>
  <c r="M4088" i="58" s="1"/>
  <c r="G4093" i="58"/>
  <c r="M4093" i="58" s="1"/>
  <c r="G4095" i="58"/>
  <c r="M4095" i="58" s="1"/>
  <c r="G4092" i="58"/>
  <c r="M4092" i="58" s="1"/>
  <c r="G3229" i="58"/>
  <c r="M3229" i="58" s="1"/>
  <c r="G3222" i="58"/>
  <c r="M3222" i="58" s="1"/>
  <c r="G3215" i="58"/>
  <c r="M3215" i="58" s="1"/>
  <c r="G3208" i="58"/>
  <c r="M3208" i="58" s="1"/>
  <c r="G3231" i="58"/>
  <c r="M3231" i="58" s="1"/>
  <c r="G3224" i="58"/>
  <c r="M3224" i="58" s="1"/>
  <c r="G3217" i="58"/>
  <c r="M3217" i="58" s="1"/>
  <c r="G3210" i="58"/>
  <c r="M3210" i="58" s="1"/>
  <c r="G3203" i="58"/>
  <c r="M3203" i="58" s="1"/>
  <c r="G3228" i="58"/>
  <c r="M3228" i="58" s="1"/>
  <c r="G3211" i="58"/>
  <c r="M3211" i="58" s="1"/>
  <c r="G3206" i="58"/>
  <c r="M3206" i="58" s="1"/>
  <c r="G3223" i="58"/>
  <c r="M3223" i="58" s="1"/>
  <c r="G3218" i="58"/>
  <c r="M3218" i="58" s="1"/>
  <c r="G3213" i="58"/>
  <c r="M3213" i="58" s="1"/>
  <c r="G3230" i="58"/>
  <c r="M3230" i="58" s="1"/>
  <c r="G3225" i="58"/>
  <c r="M3225" i="58" s="1"/>
  <c r="G3220" i="58"/>
  <c r="M3220" i="58" s="1"/>
  <c r="G3221" i="58"/>
  <c r="M3221" i="58" s="1"/>
  <c r="G3204" i="58"/>
  <c r="M3204" i="58" s="1"/>
  <c r="G3227" i="58"/>
  <c r="M3227" i="58" s="1"/>
  <c r="G3205" i="58"/>
  <c r="M3205" i="58" s="1"/>
  <c r="G3226" i="58"/>
  <c r="M3226" i="58" s="1"/>
  <c r="G3216" i="58"/>
  <c r="M3216" i="58" s="1"/>
  <c r="G3212" i="58"/>
  <c r="M3212" i="58" s="1"/>
  <c r="G3207" i="58"/>
  <c r="M3207" i="58" s="1"/>
  <c r="G3209" i="58"/>
  <c r="M3209" i="58" s="1"/>
  <c r="G3202" i="58"/>
  <c r="M3202" i="58" s="1"/>
  <c r="G3219" i="58"/>
  <c r="M3219" i="58" s="1"/>
  <c r="G3214" i="58"/>
  <c r="M3214" i="58" s="1"/>
  <c r="G3696" i="58"/>
  <c r="M3696" i="58" s="1"/>
  <c r="G3698" i="58"/>
  <c r="M3698" i="58" s="1"/>
  <c r="G3700" i="58"/>
  <c r="M3700" i="58" s="1"/>
  <c r="G3695" i="58"/>
  <c r="M3695" i="58" s="1"/>
  <c r="G3697" i="58"/>
  <c r="M3697" i="58" s="1"/>
  <c r="G3699" i="58"/>
  <c r="M3699" i="58" s="1"/>
  <c r="G4324" i="58"/>
  <c r="M4324" i="58" s="1"/>
  <c r="G3603" i="58"/>
  <c r="M3603" i="58" s="1"/>
  <c r="G3605" i="58"/>
  <c r="M3605" i="58" s="1"/>
  <c r="G3607" i="58"/>
  <c r="M3607" i="58" s="1"/>
  <c r="G3602" i="58"/>
  <c r="M3602" i="58" s="1"/>
  <c r="G3604" i="58"/>
  <c r="M3604" i="58" s="1"/>
  <c r="G3606" i="58"/>
  <c r="M3606" i="58" s="1"/>
  <c r="G4188" i="58"/>
  <c r="M4188" i="58" s="1"/>
  <c r="G4187" i="58"/>
  <c r="M4187" i="58" s="1"/>
  <c r="G4532" i="58"/>
  <c r="M4532" i="58" s="1"/>
  <c r="G4536" i="58"/>
  <c r="M4536" i="58" s="1"/>
  <c r="G4531" i="58"/>
  <c r="M4531" i="58" s="1"/>
  <c r="G4533" i="58"/>
  <c r="M4533" i="58" s="1"/>
  <c r="G4535" i="58"/>
  <c r="M4535" i="58" s="1"/>
  <c r="G4534" i="58"/>
  <c r="M4534" i="58" s="1"/>
  <c r="G5251" i="58"/>
  <c r="M5251" i="58" s="1"/>
  <c r="G4938" i="58"/>
  <c r="M4938" i="58" s="1"/>
  <c r="G4937" i="58"/>
  <c r="M4937" i="58" s="1"/>
  <c r="G4040" i="58"/>
  <c r="M4040" i="58" s="1"/>
  <c r="G4035" i="58"/>
  <c r="M4035" i="58" s="1"/>
  <c r="G4041" i="58"/>
  <c r="M4041" i="58" s="1"/>
  <c r="G4036" i="58"/>
  <c r="M4036" i="58" s="1"/>
  <c r="G4038" i="58"/>
  <c r="M4038" i="58" s="1"/>
  <c r="G4037" i="58"/>
  <c r="M4037" i="58" s="1"/>
  <c r="G4039" i="58"/>
  <c r="M4039" i="58" s="1"/>
  <c r="G4034" i="58"/>
  <c r="M4034" i="58" s="1"/>
  <c r="G3612" i="58"/>
  <c r="M3612" i="58" s="1"/>
  <c r="G3614" i="58"/>
  <c r="M3614" i="58" s="1"/>
  <c r="G3613" i="58"/>
  <c r="M3613" i="58" s="1"/>
  <c r="G3890" i="58"/>
  <c r="M3890" i="58" s="1"/>
  <c r="G3883" i="58"/>
  <c r="M3883" i="58" s="1"/>
  <c r="G3876" i="58"/>
  <c r="M3876" i="58" s="1"/>
  <c r="G3885" i="58"/>
  <c r="M3885" i="58" s="1"/>
  <c r="G3878" i="58"/>
  <c r="M3878" i="58" s="1"/>
  <c r="G3887" i="58"/>
  <c r="M3887" i="58" s="1"/>
  <c r="G3880" i="58"/>
  <c r="M3880" i="58" s="1"/>
  <c r="G3873" i="58"/>
  <c r="M3873" i="58" s="1"/>
  <c r="G3889" i="58"/>
  <c r="M3889" i="58" s="1"/>
  <c r="G3882" i="58"/>
  <c r="M3882" i="58" s="1"/>
  <c r="G3875" i="58"/>
  <c r="M3875" i="58" s="1"/>
  <c r="G3891" i="58"/>
  <c r="M3891" i="58" s="1"/>
  <c r="G3884" i="58"/>
  <c r="M3884" i="58" s="1"/>
  <c r="G3877" i="58"/>
  <c r="M3877" i="58" s="1"/>
  <c r="G3886" i="58"/>
  <c r="M3886" i="58" s="1"/>
  <c r="G3879" i="58"/>
  <c r="M3879" i="58" s="1"/>
  <c r="G3872" i="58"/>
  <c r="M3872" i="58" s="1"/>
  <c r="G3874" i="58"/>
  <c r="M3874" i="58" s="1"/>
  <c r="G3888" i="58"/>
  <c r="M3888" i="58" s="1"/>
  <c r="G3881" i="58"/>
  <c r="M3881" i="58" s="1"/>
  <c r="G3292" i="58"/>
  <c r="M3292" i="58" s="1"/>
  <c r="G3285" i="58"/>
  <c r="M3285" i="58" s="1"/>
  <c r="G3278" i="58"/>
  <c r="M3278" i="58" s="1"/>
  <c r="G3271" i="58"/>
  <c r="M3271" i="58" s="1"/>
  <c r="G3264" i="58"/>
  <c r="M3264" i="58" s="1"/>
  <c r="G3294" i="58"/>
  <c r="M3294" i="58" s="1"/>
  <c r="G3287" i="58"/>
  <c r="M3287" i="58" s="1"/>
  <c r="G3280" i="58"/>
  <c r="M3280" i="58" s="1"/>
  <c r="G3273" i="58"/>
  <c r="M3273" i="58" s="1"/>
  <c r="G3266" i="58"/>
  <c r="M3266" i="58" s="1"/>
  <c r="G3282" i="58"/>
  <c r="M3282" i="58" s="1"/>
  <c r="G3277" i="58"/>
  <c r="M3277" i="58" s="1"/>
  <c r="G3272" i="58"/>
  <c r="M3272" i="58" s="1"/>
  <c r="G3289" i="58"/>
  <c r="M3289" i="58" s="1"/>
  <c r="G3284" i="58"/>
  <c r="M3284" i="58" s="1"/>
  <c r="G3267" i="58"/>
  <c r="M3267" i="58" s="1"/>
  <c r="G3279" i="58"/>
  <c r="M3279" i="58" s="1"/>
  <c r="G3296" i="58"/>
  <c r="M3296" i="58" s="1"/>
  <c r="G3291" i="58"/>
  <c r="M3291" i="58" s="1"/>
  <c r="G3274" i="58"/>
  <c r="M3274" i="58" s="1"/>
  <c r="G3269" i="58"/>
  <c r="M3269" i="58" s="1"/>
  <c r="G3286" i="58"/>
  <c r="M3286" i="58" s="1"/>
  <c r="G3281" i="58"/>
  <c r="M3281" i="58" s="1"/>
  <c r="G3276" i="58"/>
  <c r="M3276" i="58" s="1"/>
  <c r="G3270" i="58"/>
  <c r="M3270" i="58" s="1"/>
  <c r="G3265" i="58"/>
  <c r="M3265" i="58" s="1"/>
  <c r="G3293" i="58"/>
  <c r="M3293" i="58" s="1"/>
  <c r="G3275" i="58"/>
  <c r="M3275" i="58" s="1"/>
  <c r="G3288" i="58"/>
  <c r="M3288" i="58" s="1"/>
  <c r="G3283" i="58"/>
  <c r="M3283" i="58" s="1"/>
  <c r="G3297" i="58"/>
  <c r="M3297" i="58" s="1"/>
  <c r="G3295" i="58"/>
  <c r="M3295" i="58" s="1"/>
  <c r="G3290" i="58"/>
  <c r="M3290" i="58" s="1"/>
  <c r="G3268" i="58"/>
  <c r="M3268" i="58" s="1"/>
  <c r="G4949" i="58"/>
  <c r="M4949" i="58" s="1"/>
  <c r="G4948" i="58"/>
  <c r="M4948" i="58" s="1"/>
  <c r="G4062" i="58"/>
  <c r="M4062" i="58" s="1"/>
  <c r="G4061" i="58"/>
  <c r="M4061" i="58" s="1"/>
  <c r="G4056" i="58"/>
  <c r="M4056" i="58" s="1"/>
  <c r="G4058" i="58"/>
  <c r="M4058" i="58" s="1"/>
  <c r="G4060" i="58"/>
  <c r="M4060" i="58" s="1"/>
  <c r="G4057" i="58"/>
  <c r="M4057" i="58" s="1"/>
  <c r="G4059" i="58"/>
  <c r="M4059" i="58" s="1"/>
  <c r="G3617" i="58"/>
  <c r="M3617" i="58" s="1"/>
  <c r="G3619" i="58"/>
  <c r="M3619" i="58" s="1"/>
  <c r="G3616" i="58"/>
  <c r="M3616" i="58" s="1"/>
  <c r="G3618" i="58"/>
  <c r="M3618" i="58" s="1"/>
  <c r="G3620" i="58"/>
  <c r="M3620" i="58" s="1"/>
  <c r="G3615" i="58"/>
  <c r="M3615" i="58" s="1"/>
  <c r="G4586" i="58"/>
  <c r="M4586" i="58" s="1"/>
  <c r="G4588" i="58"/>
  <c r="M4588" i="58" s="1"/>
  <c r="G4590" i="58"/>
  <c r="M4590" i="58" s="1"/>
  <c r="G4585" i="58"/>
  <c r="M4585" i="58" s="1"/>
  <c r="G4587" i="58"/>
  <c r="M4587" i="58" s="1"/>
  <c r="G4589" i="58"/>
  <c r="M4589" i="58" s="1"/>
  <c r="G4584" i="58"/>
  <c r="M4584" i="58" s="1"/>
  <c r="G4583" i="58"/>
  <c r="M4583" i="58" s="1"/>
  <c r="G3201" i="58"/>
  <c r="M3201" i="58" s="1"/>
  <c r="G3196" i="58"/>
  <c r="M3196" i="58" s="1"/>
  <c r="G3198" i="58"/>
  <c r="M3198" i="58" s="1"/>
  <c r="G3200" i="58"/>
  <c r="M3200" i="58" s="1"/>
  <c r="G3199" i="58"/>
  <c r="M3199" i="58" s="1"/>
  <c r="G3195" i="58"/>
  <c r="M3195" i="58" s="1"/>
  <c r="G3197" i="58"/>
  <c r="M3197" i="58" s="1"/>
  <c r="G3477" i="58"/>
  <c r="M3477" i="58" s="1"/>
  <c r="G3470" i="58"/>
  <c r="M3470" i="58" s="1"/>
  <c r="G3463" i="58"/>
  <c r="M3463" i="58" s="1"/>
  <c r="G3456" i="58"/>
  <c r="M3456" i="58" s="1"/>
  <c r="G3472" i="58"/>
  <c r="M3472" i="58" s="1"/>
  <c r="G3465" i="58"/>
  <c r="M3465" i="58" s="1"/>
  <c r="G3458" i="58"/>
  <c r="M3458" i="58" s="1"/>
  <c r="G3474" i="58"/>
  <c r="M3474" i="58" s="1"/>
  <c r="G3467" i="58"/>
  <c r="M3467" i="58" s="1"/>
  <c r="G3460" i="58"/>
  <c r="M3460" i="58" s="1"/>
  <c r="G3453" i="58"/>
  <c r="M3453" i="58" s="1"/>
  <c r="G3476" i="58"/>
  <c r="M3476" i="58" s="1"/>
  <c r="G3469" i="58"/>
  <c r="M3469" i="58" s="1"/>
  <c r="G3462" i="58"/>
  <c r="M3462" i="58" s="1"/>
  <c r="G3455" i="58"/>
  <c r="M3455" i="58" s="1"/>
  <c r="G3473" i="58"/>
  <c r="M3473" i="58" s="1"/>
  <c r="G3452" i="58"/>
  <c r="M3452" i="58" s="1"/>
  <c r="G3457" i="58"/>
  <c r="M3457" i="58" s="1"/>
  <c r="G3475" i="58"/>
  <c r="M3475" i="58" s="1"/>
  <c r="G3454" i="58"/>
  <c r="M3454" i="58" s="1"/>
  <c r="G3459" i="58"/>
  <c r="M3459" i="58" s="1"/>
  <c r="G3464" i="58"/>
  <c r="M3464" i="58" s="1"/>
  <c r="G3451" i="58"/>
  <c r="M3451" i="58" s="1"/>
  <c r="G3468" i="58"/>
  <c r="M3468" i="58" s="1"/>
  <c r="G3461" i="58"/>
  <c r="M3461" i="58" s="1"/>
  <c r="G3466" i="58"/>
  <c r="M3466" i="58" s="1"/>
  <c r="G3471" i="58"/>
  <c r="M3471" i="58" s="1"/>
  <c r="G4377" i="58"/>
  <c r="M4377" i="58" s="1"/>
  <c r="G4370" i="58"/>
  <c r="M4370" i="58" s="1"/>
  <c r="G4363" i="58"/>
  <c r="M4363" i="58" s="1"/>
  <c r="G4372" i="58"/>
  <c r="M4372" i="58" s="1"/>
  <c r="G4365" i="58"/>
  <c r="M4365" i="58" s="1"/>
  <c r="G4374" i="58"/>
  <c r="M4374" i="58" s="1"/>
  <c r="G4367" i="58"/>
  <c r="M4367" i="58" s="1"/>
  <c r="G4376" i="58"/>
  <c r="M4376" i="58" s="1"/>
  <c r="G4369" i="58"/>
  <c r="M4369" i="58" s="1"/>
  <c r="G4362" i="58"/>
  <c r="M4362" i="58" s="1"/>
  <c r="G4378" i="58"/>
  <c r="M4378" i="58" s="1"/>
  <c r="G4371" i="58"/>
  <c r="M4371" i="58" s="1"/>
  <c r="G4364" i="58"/>
  <c r="M4364" i="58" s="1"/>
  <c r="G4373" i="58"/>
  <c r="M4373" i="58" s="1"/>
  <c r="G4366" i="58"/>
  <c r="M4366" i="58" s="1"/>
  <c r="G3652" i="58"/>
  <c r="M3652" i="58" s="1"/>
  <c r="G3645" i="58"/>
  <c r="M3645" i="58" s="1"/>
  <c r="G3638" i="58"/>
  <c r="M3638" i="58" s="1"/>
  <c r="G3631" i="58"/>
  <c r="M3631" i="58" s="1"/>
  <c r="G3624" i="58"/>
  <c r="M3624" i="58" s="1"/>
  <c r="G3654" i="58"/>
  <c r="M3654" i="58" s="1"/>
  <c r="G3647" i="58"/>
  <c r="M3647" i="58" s="1"/>
  <c r="G3640" i="58"/>
  <c r="M3640" i="58" s="1"/>
  <c r="G3633" i="58"/>
  <c r="M3633" i="58" s="1"/>
  <c r="G3626" i="58"/>
  <c r="M3626" i="58" s="1"/>
  <c r="G3649" i="58"/>
  <c r="M3649" i="58" s="1"/>
  <c r="G3642" i="58"/>
  <c r="M3642" i="58" s="1"/>
  <c r="G3635" i="58"/>
  <c r="M3635" i="58" s="1"/>
  <c r="G3628" i="58"/>
  <c r="M3628" i="58" s="1"/>
  <c r="G3621" i="58"/>
  <c r="M3621" i="58" s="1"/>
  <c r="G4368" i="58"/>
  <c r="M4368" i="58" s="1"/>
  <c r="G3651" i="58"/>
  <c r="M3651" i="58" s="1"/>
  <c r="G3644" i="58"/>
  <c r="M3644" i="58" s="1"/>
  <c r="G3637" i="58"/>
  <c r="M3637" i="58" s="1"/>
  <c r="G3630" i="58"/>
  <c r="M3630" i="58" s="1"/>
  <c r="G3623" i="58"/>
  <c r="M3623" i="58" s="1"/>
  <c r="G3653" i="58"/>
  <c r="M3653" i="58" s="1"/>
  <c r="G3646" i="58"/>
  <c r="M3646" i="58" s="1"/>
  <c r="G3639" i="58"/>
  <c r="M3639" i="58" s="1"/>
  <c r="G3632" i="58"/>
  <c r="M3632" i="58" s="1"/>
  <c r="G3625" i="58"/>
  <c r="M3625" i="58" s="1"/>
  <c r="G3655" i="58"/>
  <c r="M3655" i="58" s="1"/>
  <c r="G3648" i="58"/>
  <c r="M3648" i="58" s="1"/>
  <c r="G3641" i="58"/>
  <c r="M3641" i="58" s="1"/>
  <c r="G3634" i="58"/>
  <c r="M3634" i="58" s="1"/>
  <c r="G3627" i="58"/>
  <c r="M3627" i="58" s="1"/>
  <c r="G3629" i="58"/>
  <c r="M3629" i="58" s="1"/>
  <c r="G3650" i="58"/>
  <c r="M3650" i="58" s="1"/>
  <c r="G3636" i="58"/>
  <c r="M3636" i="58" s="1"/>
  <c r="G4375" i="58"/>
  <c r="M4375" i="58" s="1"/>
  <c r="G3643" i="58"/>
  <c r="M3643" i="58" s="1"/>
  <c r="G3622" i="58"/>
  <c r="M3622" i="58" s="1"/>
  <c r="G3348" i="58"/>
  <c r="M3348" i="58" s="1"/>
  <c r="G3341" i="58"/>
  <c r="M3341" i="58" s="1"/>
  <c r="G3334" i="58"/>
  <c r="M3334" i="58" s="1"/>
  <c r="G3350" i="58"/>
  <c r="M3350" i="58" s="1"/>
  <c r="G3343" i="58"/>
  <c r="M3343" i="58" s="1"/>
  <c r="G3336" i="58"/>
  <c r="M3336" i="58" s="1"/>
  <c r="G3353" i="58"/>
  <c r="M3353" i="58" s="1"/>
  <c r="G3338" i="58"/>
  <c r="M3338" i="58" s="1"/>
  <c r="G3333" i="58"/>
  <c r="M3333" i="58" s="1"/>
  <c r="G3345" i="58"/>
  <c r="M3345" i="58" s="1"/>
  <c r="G3340" i="58"/>
  <c r="M3340" i="58" s="1"/>
  <c r="G3335" i="58"/>
  <c r="M3335" i="58" s="1"/>
  <c r="G3349" i="58"/>
  <c r="M3349" i="58" s="1"/>
  <c r="G3351" i="58"/>
  <c r="M3351" i="58" s="1"/>
  <c r="G3352" i="58"/>
  <c r="M3352" i="58" s="1"/>
  <c r="G3347" i="58"/>
  <c r="M3347" i="58" s="1"/>
  <c r="G3342" i="58"/>
  <c r="M3342" i="58" s="1"/>
  <c r="G3354" i="58"/>
  <c r="M3354" i="58" s="1"/>
  <c r="G3337" i="58"/>
  <c r="M3337" i="58" s="1"/>
  <c r="G3346" i="58"/>
  <c r="M3346" i="58" s="1"/>
  <c r="G3344" i="58"/>
  <c r="M3344" i="58" s="1"/>
  <c r="G3339" i="58"/>
  <c r="M3339" i="58" s="1"/>
  <c r="G3257" i="58"/>
  <c r="M3257" i="58" s="1"/>
  <c r="G3250" i="58"/>
  <c r="M3250" i="58" s="1"/>
  <c r="G3243" i="58"/>
  <c r="M3243" i="58" s="1"/>
  <c r="G3259" i="58"/>
  <c r="M3259" i="58" s="1"/>
  <c r="G3252" i="58"/>
  <c r="M3252" i="58" s="1"/>
  <c r="G3245" i="58"/>
  <c r="M3245" i="58" s="1"/>
  <c r="G3260" i="58"/>
  <c r="M3260" i="58" s="1"/>
  <c r="G3255" i="58"/>
  <c r="M3255" i="58" s="1"/>
  <c r="G3262" i="58"/>
  <c r="M3262" i="58" s="1"/>
  <c r="G3247" i="58"/>
  <c r="M3247" i="58" s="1"/>
  <c r="G3242" i="58"/>
  <c r="M3242" i="58" s="1"/>
  <c r="G3248" i="58"/>
  <c r="M3248" i="58" s="1"/>
  <c r="G3254" i="58"/>
  <c r="M3254" i="58" s="1"/>
  <c r="G3249" i="58"/>
  <c r="M3249" i="58" s="1"/>
  <c r="G3253" i="58"/>
  <c r="M3253" i="58" s="1"/>
  <c r="G3244" i="58"/>
  <c r="M3244" i="58" s="1"/>
  <c r="G3258" i="58"/>
  <c r="M3258" i="58" s="1"/>
  <c r="G3261" i="58"/>
  <c r="M3261" i="58" s="1"/>
  <c r="G3256" i="58"/>
  <c r="M3256" i="58" s="1"/>
  <c r="G3251" i="58"/>
  <c r="M3251" i="58" s="1"/>
  <c r="G3263" i="58"/>
  <c r="M3263" i="58" s="1"/>
  <c r="G3246" i="58"/>
  <c r="M3246" i="58" s="1"/>
  <c r="G3241" i="58"/>
  <c r="M3241" i="58" s="1"/>
  <c r="G4717" i="58"/>
  <c r="M4717" i="58" s="1"/>
  <c r="G4710" i="58"/>
  <c r="M4710" i="58" s="1"/>
  <c r="G4719" i="58"/>
  <c r="M4719" i="58" s="1"/>
  <c r="G4712" i="58"/>
  <c r="M4712" i="58" s="1"/>
  <c r="G4705" i="58"/>
  <c r="M4705" i="58" s="1"/>
  <c r="G4698" i="58"/>
  <c r="M4698" i="58" s="1"/>
  <c r="G4714" i="58"/>
  <c r="M4714" i="58" s="1"/>
  <c r="G4707" i="58"/>
  <c r="M4707" i="58" s="1"/>
  <c r="G4700" i="58"/>
  <c r="M4700" i="58" s="1"/>
  <c r="G4716" i="58"/>
  <c r="M4716" i="58" s="1"/>
  <c r="G4718" i="58"/>
  <c r="M4718" i="58" s="1"/>
  <c r="G4711" i="58"/>
  <c r="M4711" i="58" s="1"/>
  <c r="G4704" i="58"/>
  <c r="M4704" i="58" s="1"/>
  <c r="G4697" i="58"/>
  <c r="M4697" i="58" s="1"/>
  <c r="G4703" i="58"/>
  <c r="M4703" i="58" s="1"/>
  <c r="G4708" i="58"/>
  <c r="M4708" i="58" s="1"/>
  <c r="G4713" i="58"/>
  <c r="M4713" i="58" s="1"/>
  <c r="G4695" i="58"/>
  <c r="M4695" i="58" s="1"/>
  <c r="G4715" i="58"/>
  <c r="M4715" i="58" s="1"/>
  <c r="G4702" i="58"/>
  <c r="M4702" i="58" s="1"/>
  <c r="G4709" i="58"/>
  <c r="M4709" i="58" s="1"/>
  <c r="G4699" i="58"/>
  <c r="M4699" i="58" s="1"/>
  <c r="G4694" i="58"/>
  <c r="M4694" i="58" s="1"/>
  <c r="G4706" i="58"/>
  <c r="M4706" i="58" s="1"/>
  <c r="G4696" i="58"/>
  <c r="M4696" i="58" s="1"/>
  <c r="G4701" i="58"/>
  <c r="M4701" i="58" s="1"/>
  <c r="G4841" i="58"/>
  <c r="M4841" i="58" s="1"/>
  <c r="G4961" i="58"/>
  <c r="M4961" i="58" s="1"/>
  <c r="G4843" i="58"/>
  <c r="M4843" i="58" s="1"/>
  <c r="G4836" i="58"/>
  <c r="M4836" i="58" s="1"/>
  <c r="G4838" i="58"/>
  <c r="M4838" i="58" s="1"/>
  <c r="G4840" i="58"/>
  <c r="M4840" i="58" s="1"/>
  <c r="G4842" i="58"/>
  <c r="M4842" i="58" s="1"/>
  <c r="G4962" i="58"/>
  <c r="M4962" i="58" s="1"/>
  <c r="G4844" i="58"/>
  <c r="M4844" i="58" s="1"/>
  <c r="G4837" i="58"/>
  <c r="M4837" i="58" s="1"/>
  <c r="G4839" i="58"/>
  <c r="M4839" i="58" s="1"/>
  <c r="G4960" i="58"/>
  <c r="M4960" i="58" s="1"/>
  <c r="G4244" i="58"/>
  <c r="M4244" i="58" s="1"/>
  <c r="G4246" i="58"/>
  <c r="M4246" i="58" s="1"/>
  <c r="G4243" i="58"/>
  <c r="M4243" i="58" s="1"/>
  <c r="G4245" i="58"/>
  <c r="M4245" i="58" s="1"/>
  <c r="G4572" i="58"/>
  <c r="M4572" i="58" s="1"/>
  <c r="G4565" i="58"/>
  <c r="M4565" i="58" s="1"/>
  <c r="G4558" i="58"/>
  <c r="M4558" i="58" s="1"/>
  <c r="G4567" i="58"/>
  <c r="M4567" i="58" s="1"/>
  <c r="G4560" i="58"/>
  <c r="M4560" i="58" s="1"/>
  <c r="G4573" i="58"/>
  <c r="M4573" i="58" s="1"/>
  <c r="G4568" i="58"/>
  <c r="M4568" i="58" s="1"/>
  <c r="G4563" i="58"/>
  <c r="M4563" i="58" s="1"/>
  <c r="G4570" i="58"/>
  <c r="M4570" i="58" s="1"/>
  <c r="G4555" i="58"/>
  <c r="M4555" i="58" s="1"/>
  <c r="G4562" i="58"/>
  <c r="M4562" i="58" s="1"/>
  <c r="G4557" i="58"/>
  <c r="M4557" i="58" s="1"/>
  <c r="G4569" i="58"/>
  <c r="M4569" i="58" s="1"/>
  <c r="G4564" i="58"/>
  <c r="M4564" i="58" s="1"/>
  <c r="G4559" i="58"/>
  <c r="M4559" i="58" s="1"/>
  <c r="G4571" i="58"/>
  <c r="M4571" i="58" s="1"/>
  <c r="G4554" i="58"/>
  <c r="M4554" i="58" s="1"/>
  <c r="G4566" i="58"/>
  <c r="M4566" i="58" s="1"/>
  <c r="G4556" i="58"/>
  <c r="M4556" i="58" s="1"/>
  <c r="G4561" i="58"/>
  <c r="M4561" i="58" s="1"/>
  <c r="G4984" i="58"/>
  <c r="M4984" i="58" s="1"/>
  <c r="G4981" i="58"/>
  <c r="M4981" i="58" s="1"/>
  <c r="G5090" i="58"/>
  <c r="M5090" i="58" s="1"/>
  <c r="G5089" i="58"/>
  <c r="M5089" i="58" s="1"/>
  <c r="G5084" i="58"/>
  <c r="M5084" i="58" s="1"/>
  <c r="G4974" i="58"/>
  <c r="M4974" i="58" s="1"/>
  <c r="G5156" i="58"/>
  <c r="M5156" i="58" s="1"/>
  <c r="G5109" i="58"/>
  <c r="M5109" i="58" s="1"/>
  <c r="G5148" i="58"/>
  <c r="M5148" i="58" s="1"/>
  <c r="G5113" i="58"/>
  <c r="M5113" i="58" s="1"/>
  <c r="G5122" i="58"/>
  <c r="M5122" i="58" s="1"/>
  <c r="G5168" i="58"/>
  <c r="M5168" i="58" s="1"/>
  <c r="G5110" i="58"/>
  <c r="M5110" i="58" s="1"/>
  <c r="G5576" i="58"/>
  <c r="M5576" i="58" s="1"/>
  <c r="G5585" i="58"/>
  <c r="M5585" i="58" s="1"/>
  <c r="G5571" i="58"/>
  <c r="M5571" i="58" s="1"/>
  <c r="G5578" i="58"/>
  <c r="M5578" i="58" s="1"/>
  <c r="G5581" i="58"/>
  <c r="M5581" i="58" s="1"/>
  <c r="G5567" i="58"/>
  <c r="M5567" i="58" s="1"/>
  <c r="G5569" i="58"/>
  <c r="M5569" i="58" s="1"/>
  <c r="G5574" i="58"/>
  <c r="M5574" i="58" s="1"/>
  <c r="G5583" i="58"/>
  <c r="M5583" i="58" s="1"/>
  <c r="G5566" i="58"/>
  <c r="M5566" i="58" s="1"/>
  <c r="G5570" i="58"/>
  <c r="M5570" i="58" s="1"/>
  <c r="G5573" i="58"/>
  <c r="M5573" i="58" s="1"/>
  <c r="G5577" i="58"/>
  <c r="M5577" i="58" s="1"/>
  <c r="G5580" i="58"/>
  <c r="M5580" i="58" s="1"/>
  <c r="G5584" i="58"/>
  <c r="M5584" i="58" s="1"/>
  <c r="G5568" i="58"/>
  <c r="M5568" i="58" s="1"/>
  <c r="G5572" i="58"/>
  <c r="M5572" i="58" s="1"/>
  <c r="G5575" i="58"/>
  <c r="M5575" i="58" s="1"/>
  <c r="G5579" i="58"/>
  <c r="M5579" i="58" s="1"/>
  <c r="G5582" i="58"/>
  <c r="M5582" i="58" s="1"/>
  <c r="G5586" i="58"/>
  <c r="M5586" i="58" s="1"/>
  <c r="G2972" i="58"/>
  <c r="M2972" i="58" s="1"/>
  <c r="G5470" i="58"/>
  <c r="M5470" i="58" s="1"/>
  <c r="G5467" i="58"/>
  <c r="M5467" i="58" s="1"/>
  <c r="G5472" i="58"/>
  <c r="M5472" i="58" s="1"/>
  <c r="G5469" i="58"/>
  <c r="M5469" i="58" s="1"/>
  <c r="G5471" i="58"/>
  <c r="M5471" i="58" s="1"/>
  <c r="G5473" i="58"/>
  <c r="M5473" i="58" s="1"/>
  <c r="G5468" i="58"/>
  <c r="M5468" i="58" s="1"/>
  <c r="G5423" i="58"/>
  <c r="M5423" i="58" s="1"/>
  <c r="G5418" i="58"/>
  <c r="M5418" i="58" s="1"/>
  <c r="G5420" i="58"/>
  <c r="M5420" i="58" s="1"/>
  <c r="G5422" i="58"/>
  <c r="M5422" i="58" s="1"/>
  <c r="G5424" i="58"/>
  <c r="M5424" i="58" s="1"/>
  <c r="G5419" i="58"/>
  <c r="M5419" i="58" s="1"/>
  <c r="G5421" i="58"/>
  <c r="M5421" i="58" s="1"/>
  <c r="G5412" i="58"/>
  <c r="M5412" i="58" s="1"/>
  <c r="G5414" i="58"/>
  <c r="M5414" i="58" s="1"/>
  <c r="G5416" i="58"/>
  <c r="M5416" i="58" s="1"/>
  <c r="G5411" i="58"/>
  <c r="M5411" i="58" s="1"/>
  <c r="G5413" i="58"/>
  <c r="M5413" i="58" s="1"/>
  <c r="G5415" i="58"/>
  <c r="M5415" i="58" s="1"/>
  <c r="G5417" i="58"/>
  <c r="M5417" i="58" s="1"/>
  <c r="G2973" i="58"/>
  <c r="M2973" i="58" s="1"/>
  <c r="G3149" i="58"/>
  <c r="M3149" i="58" s="1"/>
  <c r="G3025" i="58"/>
  <c r="M3025" i="58" s="1"/>
  <c r="G1454" i="58"/>
  <c r="M1454" i="58" s="1"/>
  <c r="G2969" i="58"/>
  <c r="M2969" i="58" s="1"/>
  <c r="G3143" i="58"/>
  <c r="M3143" i="58" s="1"/>
  <c r="G5618" i="58"/>
  <c r="M5618" i="58" s="1"/>
  <c r="G5620" i="58"/>
  <c r="M5620" i="58" s="1"/>
  <c r="G5622" i="58"/>
  <c r="M5622" i="58" s="1"/>
  <c r="G5617" i="58"/>
  <c r="M5617" i="58" s="1"/>
  <c r="G5619" i="58"/>
  <c r="M5619" i="58" s="1"/>
  <c r="G5621" i="58"/>
  <c r="M5621" i="58" s="1"/>
  <c r="G5458" i="58"/>
  <c r="M5458" i="58" s="1"/>
  <c r="G5453" i="58"/>
  <c r="M5453" i="58" s="1"/>
  <c r="G5455" i="58"/>
  <c r="M5455" i="58" s="1"/>
  <c r="G5457" i="58"/>
  <c r="M5457" i="58" s="1"/>
  <c r="G5459" i="58"/>
  <c r="M5459" i="58" s="1"/>
  <c r="G5454" i="58"/>
  <c r="M5454" i="58" s="1"/>
  <c r="G5456" i="58"/>
  <c r="M5456" i="58" s="1"/>
  <c r="G2968" i="58"/>
  <c r="M2968" i="58" s="1"/>
  <c r="G3151" i="58"/>
  <c r="M3151" i="58" s="1"/>
  <c r="G2880" i="58"/>
  <c r="M2880" i="58" s="1"/>
  <c r="G3139" i="58"/>
  <c r="M3139" i="58" s="1"/>
  <c r="G3155" i="58"/>
  <c r="M3155" i="58" s="1"/>
  <c r="G5367" i="58"/>
  <c r="M5367" i="58" s="1"/>
  <c r="G5362" i="58"/>
  <c r="M5362" i="58" s="1"/>
  <c r="G5364" i="58"/>
  <c r="M5364" i="58" s="1"/>
  <c r="G5363" i="58"/>
  <c r="M5363" i="58" s="1"/>
  <c r="G5366" i="58"/>
  <c r="M5366" i="58" s="1"/>
  <c r="G5368" i="58"/>
  <c r="M5368" i="58" s="1"/>
  <c r="G5365" i="58"/>
  <c r="M5365" i="58" s="1"/>
  <c r="G5527" i="58"/>
  <c r="M5527" i="58" s="1"/>
  <c r="G5529" i="58"/>
  <c r="M5529" i="58" s="1"/>
  <c r="G5524" i="58"/>
  <c r="M5524" i="58" s="1"/>
  <c r="G5526" i="58"/>
  <c r="M5526" i="58" s="1"/>
  <c r="G5530" i="58"/>
  <c r="M5530" i="58" s="1"/>
  <c r="G5528" i="58"/>
  <c r="M5528" i="58" s="1"/>
  <c r="G5525" i="58"/>
  <c r="M5525" i="58" s="1"/>
  <c r="G2395" i="58"/>
  <c r="M2395" i="58" s="1"/>
  <c r="G3154" i="58"/>
  <c r="M3154" i="58" s="1"/>
  <c r="G3144" i="58"/>
  <c r="M3144" i="58" s="1"/>
  <c r="G2455" i="58"/>
  <c r="M2455" i="58" s="1"/>
  <c r="G3153" i="58"/>
  <c r="M3153" i="58" s="1"/>
  <c r="G3028" i="58"/>
  <c r="M3028" i="58" s="1"/>
  <c r="G3183" i="58"/>
  <c r="M3183" i="58" s="1"/>
  <c r="G5533" i="58"/>
  <c r="M5533" i="58" s="1"/>
  <c r="G5537" i="58"/>
  <c r="M5537" i="58" s="1"/>
  <c r="G5531" i="58"/>
  <c r="M5531" i="58" s="1"/>
  <c r="G5535" i="58"/>
  <c r="M5535" i="58" s="1"/>
  <c r="G5532" i="58"/>
  <c r="M5532" i="58" s="1"/>
  <c r="G5534" i="58"/>
  <c r="M5534" i="58" s="1"/>
  <c r="G5536" i="58"/>
  <c r="M5536" i="58" s="1"/>
  <c r="G3147" i="58"/>
  <c r="M3147" i="58" s="1"/>
  <c r="G2849" i="58"/>
  <c r="M2849" i="58" s="1"/>
  <c r="G5614" i="58"/>
  <c r="M5614" i="58" s="1"/>
  <c r="G5616" i="58"/>
  <c r="M5616" i="58" s="1"/>
  <c r="G5611" i="58"/>
  <c r="M5611" i="58" s="1"/>
  <c r="G5613" i="58"/>
  <c r="M5613" i="58" s="1"/>
  <c r="G5615" i="58"/>
  <c r="M5615" i="58" s="1"/>
  <c r="G5610" i="58"/>
  <c r="M5610" i="58" s="1"/>
  <c r="G5612" i="58"/>
  <c r="M5612" i="58" s="1"/>
  <c r="G2938" i="58"/>
  <c r="M2938" i="58" s="1"/>
  <c r="G2344" i="58"/>
  <c r="M2344" i="58" s="1"/>
  <c r="G3026" i="58"/>
  <c r="M3026" i="58" s="1"/>
  <c r="G2218" i="58"/>
  <c r="M2218" i="58" s="1"/>
  <c r="G2212" i="58"/>
  <c r="M2212" i="58" s="1"/>
  <c r="G2208" i="58"/>
  <c r="M2208" i="58" s="1"/>
  <c r="G2221" i="58"/>
  <c r="M2221" i="58" s="1"/>
  <c r="G2216" i="58"/>
  <c r="M2216" i="58" s="1"/>
  <c r="G2210" i="58"/>
  <c r="M2210" i="58" s="1"/>
  <c r="G2204" i="58"/>
  <c r="M2204" i="58" s="1"/>
  <c r="G2214" i="58"/>
  <c r="M2214" i="58" s="1"/>
  <c r="G2206" i="58"/>
  <c r="M2206" i="58" s="1"/>
  <c r="G2213" i="58"/>
  <c r="M2213" i="58" s="1"/>
  <c r="G2215" i="58"/>
  <c r="M2215" i="58" s="1"/>
  <c r="G2219" i="58"/>
  <c r="M2219" i="58" s="1"/>
  <c r="G2209" i="58"/>
  <c r="M2209" i="58" s="1"/>
  <c r="G2220" i="58"/>
  <c r="M2220" i="58" s="1"/>
  <c r="G2211" i="58"/>
  <c r="M2211" i="58" s="1"/>
  <c r="G2205" i="58"/>
  <c r="M2205" i="58" s="1"/>
  <c r="G2217" i="58"/>
  <c r="M2217" i="58" s="1"/>
  <c r="G2207" i="58"/>
  <c r="M2207" i="58" s="1"/>
  <c r="G5553" i="58"/>
  <c r="M5553" i="58" s="1"/>
  <c r="G5555" i="58"/>
  <c r="M5555" i="58" s="1"/>
  <c r="G5557" i="58"/>
  <c r="M5557" i="58" s="1"/>
  <c r="G5552" i="58"/>
  <c r="M5552" i="58" s="1"/>
  <c r="G5554" i="58"/>
  <c r="M5554" i="58" s="1"/>
  <c r="G5556" i="58"/>
  <c r="M5556" i="58" s="1"/>
  <c r="G5558" i="58"/>
  <c r="M5558" i="58" s="1"/>
  <c r="G2046" i="58"/>
  <c r="M2046" i="58" s="1"/>
  <c r="G2040" i="58"/>
  <c r="M2040" i="58" s="1"/>
  <c r="G2034" i="58"/>
  <c r="M2034" i="58" s="1"/>
  <c r="G2042" i="58"/>
  <c r="M2042" i="58" s="1"/>
  <c r="G2038" i="58"/>
  <c r="M2038" i="58" s="1"/>
  <c r="G2032" i="58"/>
  <c r="M2032" i="58" s="1"/>
  <c r="G2044" i="58"/>
  <c r="M2044" i="58" s="1"/>
  <c r="G2036" i="58"/>
  <c r="M2036" i="58" s="1"/>
  <c r="G2030" i="58"/>
  <c r="M2030" i="58" s="1"/>
  <c r="G2031" i="58"/>
  <c r="M2031" i="58" s="1"/>
  <c r="G2033" i="58"/>
  <c r="M2033" i="58" s="1"/>
  <c r="G2035" i="58"/>
  <c r="M2035" i="58" s="1"/>
  <c r="G2037" i="58"/>
  <c r="M2037" i="58" s="1"/>
  <c r="G2039" i="58"/>
  <c r="M2039" i="58" s="1"/>
  <c r="G2041" i="58"/>
  <c r="M2041" i="58" s="1"/>
  <c r="G2043" i="58"/>
  <c r="M2043" i="58" s="1"/>
  <c r="G2045" i="58"/>
  <c r="M2045" i="58" s="1"/>
  <c r="G2047" i="58"/>
  <c r="M2047" i="58" s="1"/>
  <c r="G3169" i="58"/>
  <c r="M3169" i="58" s="1"/>
  <c r="G3163" i="58"/>
  <c r="M3163" i="58" s="1"/>
  <c r="G3170" i="58"/>
  <c r="M3170" i="58" s="1"/>
  <c r="G3166" i="58"/>
  <c r="M3166" i="58" s="1"/>
  <c r="G2933" i="58"/>
  <c r="M2933" i="58" s="1"/>
  <c r="G2934" i="58"/>
  <c r="M2934" i="58" s="1"/>
  <c r="G2858" i="58"/>
  <c r="M2858" i="58" s="1"/>
  <c r="G2857" i="58"/>
  <c r="M2857" i="58" s="1"/>
  <c r="G2191" i="58"/>
  <c r="M2191" i="58" s="1"/>
  <c r="G2186" i="58"/>
  <c r="M2186" i="58" s="1"/>
  <c r="G2188" i="58"/>
  <c r="M2188" i="58" s="1"/>
  <c r="G2184" i="58"/>
  <c r="M2184" i="58" s="1"/>
  <c r="G2187" i="58"/>
  <c r="M2187" i="58" s="1"/>
  <c r="G2185" i="58"/>
  <c r="M2185" i="58" s="1"/>
  <c r="G2189" i="58"/>
  <c r="M2189" i="58" s="1"/>
  <c r="G2190" i="58"/>
  <c r="M2190" i="58" s="1"/>
  <c r="G5403" i="58"/>
  <c r="M5403" i="58" s="1"/>
  <c r="G5398" i="58"/>
  <c r="M5398" i="58" s="1"/>
  <c r="G5400" i="58"/>
  <c r="M5400" i="58" s="1"/>
  <c r="G5402" i="58"/>
  <c r="M5402" i="58" s="1"/>
  <c r="G2803" i="58"/>
  <c r="M2803" i="58" s="1"/>
  <c r="G2801" i="58"/>
  <c r="M2801" i="58" s="1"/>
  <c r="G5397" i="58"/>
  <c r="M5397" i="58" s="1"/>
  <c r="G5399" i="58"/>
  <c r="M5399" i="58" s="1"/>
  <c r="G5401" i="58"/>
  <c r="M5401" i="58" s="1"/>
  <c r="G2800" i="58"/>
  <c r="M2800" i="58" s="1"/>
  <c r="G2802" i="58"/>
  <c r="M2802" i="58" s="1"/>
  <c r="G2370" i="58"/>
  <c r="M2370" i="58" s="1"/>
  <c r="G2368" i="58"/>
  <c r="M2368" i="58" s="1"/>
  <c r="G2366" i="58"/>
  <c r="M2366" i="58" s="1"/>
  <c r="G2369" i="58"/>
  <c r="M2369" i="58" s="1"/>
  <c r="G2367" i="58"/>
  <c r="M2367" i="58" s="1"/>
  <c r="G2952" i="58"/>
  <c r="M2952" i="58" s="1"/>
  <c r="G2951" i="58"/>
  <c r="M2951" i="58" s="1"/>
  <c r="G1853" i="58"/>
  <c r="M1853" i="58" s="1"/>
  <c r="G1851" i="58"/>
  <c r="M1851" i="58" s="1"/>
  <c r="G1843" i="58"/>
  <c r="M1843" i="58" s="1"/>
  <c r="G1855" i="58"/>
  <c r="M1855" i="58" s="1"/>
  <c r="G1845" i="58"/>
  <c r="M1845" i="58" s="1"/>
  <c r="G1849" i="58"/>
  <c r="M1849" i="58" s="1"/>
  <c r="G1847" i="58"/>
  <c r="M1847" i="58" s="1"/>
  <c r="G1844" i="58"/>
  <c r="M1844" i="58" s="1"/>
  <c r="G1846" i="58"/>
  <c r="M1846" i="58" s="1"/>
  <c r="G1848" i="58"/>
  <c r="M1848" i="58" s="1"/>
  <c r="G1850" i="58"/>
  <c r="M1850" i="58" s="1"/>
  <c r="G1852" i="58"/>
  <c r="M1852" i="58" s="1"/>
  <c r="G1854" i="58"/>
  <c r="M1854" i="58" s="1"/>
  <c r="G1856" i="58"/>
  <c r="M1856" i="58" s="1"/>
  <c r="G5335" i="58"/>
  <c r="M5335" i="58" s="1"/>
  <c r="G5337" i="58"/>
  <c r="M5337" i="58" s="1"/>
  <c r="G5332" i="58"/>
  <c r="M5332" i="58" s="1"/>
  <c r="G5334" i="58"/>
  <c r="M5334" i="58" s="1"/>
  <c r="G5336" i="58"/>
  <c r="M5336" i="58" s="1"/>
  <c r="G5338" i="58"/>
  <c r="M5338" i="58" s="1"/>
  <c r="G5333" i="58"/>
  <c r="M5333" i="58" s="1"/>
  <c r="G1747" i="58"/>
  <c r="M1747" i="58" s="1"/>
  <c r="G1735" i="58"/>
  <c r="M1735" i="58" s="1"/>
  <c r="G1739" i="58"/>
  <c r="M1739" i="58" s="1"/>
  <c r="G1749" i="58"/>
  <c r="M1749" i="58" s="1"/>
  <c r="G1743" i="58"/>
  <c r="M1743" i="58" s="1"/>
  <c r="G1733" i="58"/>
  <c r="M1733" i="58" s="1"/>
  <c r="G1745" i="58"/>
  <c r="M1745" i="58" s="1"/>
  <c r="G1737" i="58"/>
  <c r="M1737" i="58" s="1"/>
  <c r="G1741" i="58"/>
  <c r="M1741" i="58" s="1"/>
  <c r="G1731" i="58"/>
  <c r="M1731" i="58" s="1"/>
  <c r="G1732" i="58"/>
  <c r="M1732" i="58" s="1"/>
  <c r="G1734" i="58"/>
  <c r="M1734" i="58" s="1"/>
  <c r="G1736" i="58"/>
  <c r="M1736" i="58" s="1"/>
  <c r="G1738" i="58"/>
  <c r="M1738" i="58" s="1"/>
  <c r="G1740" i="58"/>
  <c r="M1740" i="58" s="1"/>
  <c r="G1742" i="58"/>
  <c r="M1742" i="58" s="1"/>
  <c r="G1729" i="58"/>
  <c r="M1729" i="58" s="1"/>
  <c r="G1727" i="58"/>
  <c r="M1727" i="58" s="1"/>
  <c r="G1725" i="58"/>
  <c r="M1725" i="58" s="1"/>
  <c r="G1744" i="58"/>
  <c r="M1744" i="58" s="1"/>
  <c r="G1728" i="58"/>
  <c r="M1728" i="58" s="1"/>
  <c r="G1746" i="58"/>
  <c r="M1746" i="58" s="1"/>
  <c r="G1748" i="58"/>
  <c r="M1748" i="58" s="1"/>
  <c r="G1750" i="58"/>
  <c r="M1750" i="58" s="1"/>
  <c r="G1730" i="58"/>
  <c r="M1730" i="58" s="1"/>
  <c r="G1726" i="58"/>
  <c r="M1726" i="58" s="1"/>
  <c r="G2319" i="58"/>
  <c r="M2319" i="58" s="1"/>
  <c r="G2321" i="58"/>
  <c r="M2321" i="58" s="1"/>
  <c r="G2317" i="58"/>
  <c r="M2317" i="58" s="1"/>
  <c r="G2323" i="58"/>
  <c r="M2323" i="58" s="1"/>
  <c r="G2320" i="58"/>
  <c r="M2320" i="58" s="1"/>
  <c r="G2322" i="58"/>
  <c r="M2322" i="58" s="1"/>
  <c r="G2318" i="58"/>
  <c r="M2318" i="58" s="1"/>
  <c r="G1873" i="58"/>
  <c r="M1873" i="58" s="1"/>
  <c r="G1875" i="58"/>
  <c r="M1875" i="58" s="1"/>
  <c r="G1857" i="58"/>
  <c r="M1857" i="58" s="1"/>
  <c r="G1867" i="58"/>
  <c r="M1867" i="58" s="1"/>
  <c r="G1859" i="58"/>
  <c r="M1859" i="58" s="1"/>
  <c r="G1871" i="58"/>
  <c r="M1871" i="58" s="1"/>
  <c r="G1863" i="58"/>
  <c r="M1863" i="58" s="1"/>
  <c r="G1869" i="58"/>
  <c r="M1869" i="58" s="1"/>
  <c r="G1861" i="58"/>
  <c r="M1861" i="58" s="1"/>
  <c r="G1865" i="58"/>
  <c r="M1865" i="58" s="1"/>
  <c r="G1866" i="58"/>
  <c r="M1866" i="58" s="1"/>
  <c r="G1868" i="58"/>
  <c r="M1868" i="58" s="1"/>
  <c r="G1870" i="58"/>
  <c r="M1870" i="58" s="1"/>
  <c r="G1872" i="58"/>
  <c r="M1872" i="58" s="1"/>
  <c r="G1874" i="58"/>
  <c r="M1874" i="58" s="1"/>
  <c r="G1858" i="58"/>
  <c r="M1858" i="58" s="1"/>
  <c r="G1860" i="58"/>
  <c r="M1860" i="58" s="1"/>
  <c r="G1862" i="58"/>
  <c r="M1862" i="58" s="1"/>
  <c r="G1864" i="58"/>
  <c r="M1864" i="58" s="1"/>
  <c r="G2905" i="58"/>
  <c r="M2905" i="58" s="1"/>
  <c r="G2906" i="58"/>
  <c r="M2906" i="58" s="1"/>
  <c r="G2843" i="58"/>
  <c r="M2843" i="58" s="1"/>
  <c r="G2842" i="58"/>
  <c r="M2842" i="58" s="1"/>
  <c r="G2888" i="58"/>
  <c r="M2888" i="58" s="1"/>
  <c r="G2890" i="58"/>
  <c r="M2890" i="58" s="1"/>
  <c r="G2886" i="58"/>
  <c r="M2886" i="58" s="1"/>
  <c r="G2887" i="58"/>
  <c r="M2887" i="58" s="1"/>
  <c r="G2889" i="58"/>
  <c r="M2889" i="58" s="1"/>
  <c r="G2341" i="58"/>
  <c r="M2341" i="58" s="1"/>
  <c r="G2340" i="58"/>
  <c r="M2340" i="58" s="1"/>
  <c r="G2797" i="58"/>
  <c r="M2797" i="58" s="1"/>
  <c r="G2795" i="58"/>
  <c r="M2795" i="58" s="1"/>
  <c r="G2799" i="58"/>
  <c r="M2799" i="58" s="1"/>
  <c r="G2794" i="58"/>
  <c r="M2794" i="58" s="1"/>
  <c r="G2796" i="58"/>
  <c r="M2796" i="58" s="1"/>
  <c r="G2798" i="58"/>
  <c r="M2798" i="58" s="1"/>
  <c r="G2148" i="58"/>
  <c r="M2148" i="58" s="1"/>
  <c r="G2146" i="58"/>
  <c r="M2146" i="58" s="1"/>
  <c r="G2166" i="58"/>
  <c r="M2166" i="58" s="1"/>
  <c r="G2160" i="58"/>
  <c r="M2160" i="58" s="1"/>
  <c r="G2154" i="58"/>
  <c r="M2154" i="58" s="1"/>
  <c r="G2164" i="58"/>
  <c r="M2164" i="58" s="1"/>
  <c r="G2158" i="58"/>
  <c r="M2158" i="58" s="1"/>
  <c r="G2150" i="58"/>
  <c r="M2150" i="58" s="1"/>
  <c r="G2162" i="58"/>
  <c r="M2162" i="58" s="1"/>
  <c r="G2152" i="58"/>
  <c r="M2152" i="58" s="1"/>
  <c r="G2156" i="58"/>
  <c r="M2156" i="58" s="1"/>
  <c r="G2157" i="58"/>
  <c r="M2157" i="58" s="1"/>
  <c r="G2161" i="58"/>
  <c r="M2161" i="58" s="1"/>
  <c r="G2167" i="58"/>
  <c r="M2167" i="58" s="1"/>
  <c r="G2163" i="58"/>
  <c r="M2163" i="58" s="1"/>
  <c r="G2155" i="58"/>
  <c r="M2155" i="58" s="1"/>
  <c r="G2151" i="58"/>
  <c r="M2151" i="58" s="1"/>
  <c r="G2147" i="58"/>
  <c r="M2147" i="58" s="1"/>
  <c r="G2165" i="58"/>
  <c r="M2165" i="58" s="1"/>
  <c r="G2159" i="58"/>
  <c r="M2159" i="58" s="1"/>
  <c r="G2153" i="58"/>
  <c r="M2153" i="58" s="1"/>
  <c r="G2149" i="58"/>
  <c r="M2149" i="58" s="1"/>
  <c r="G2145" i="58"/>
  <c r="M2145" i="58" s="1"/>
  <c r="G3167" i="58"/>
  <c r="M3167" i="58" s="1"/>
  <c r="G3161" i="58"/>
  <c r="M3161" i="58" s="1"/>
  <c r="G3172" i="58"/>
  <c r="M3172" i="58" s="1"/>
  <c r="G3164" i="58"/>
  <c r="M3164" i="58" s="1"/>
  <c r="G5550" i="58"/>
  <c r="M5550" i="58" s="1"/>
  <c r="G5545" i="58"/>
  <c r="M5545" i="58" s="1"/>
  <c r="G5547" i="58"/>
  <c r="M5547" i="58" s="1"/>
  <c r="G5549" i="58"/>
  <c r="M5549" i="58" s="1"/>
  <c r="G5551" i="58"/>
  <c r="M5551" i="58" s="1"/>
  <c r="G5546" i="58"/>
  <c r="M5546" i="58" s="1"/>
  <c r="G5548" i="58"/>
  <c r="M5548" i="58" s="1"/>
  <c r="G2008" i="58"/>
  <c r="M2008" i="58" s="1"/>
  <c r="G2012" i="58"/>
  <c r="M2012" i="58" s="1"/>
  <c r="G2028" i="58"/>
  <c r="M2028" i="58" s="1"/>
  <c r="G2020" i="58"/>
  <c r="M2020" i="58" s="1"/>
  <c r="G2014" i="58"/>
  <c r="M2014" i="58" s="1"/>
  <c r="G2004" i="58"/>
  <c r="M2004" i="58" s="1"/>
  <c r="G2000" i="58"/>
  <c r="M2000" i="58" s="1"/>
  <c r="G2026" i="58"/>
  <c r="M2026" i="58" s="1"/>
  <c r="G2018" i="58"/>
  <c r="M2018" i="58" s="1"/>
  <c r="G2010" i="58"/>
  <c r="M2010" i="58" s="1"/>
  <c r="G2002" i="58"/>
  <c r="M2002" i="58" s="1"/>
  <c r="G1998" i="58"/>
  <c r="M1998" i="58" s="1"/>
  <c r="G2022" i="58"/>
  <c r="M2022" i="58" s="1"/>
  <c r="G2016" i="58"/>
  <c r="M2016" i="58" s="1"/>
  <c r="G2006" i="58"/>
  <c r="M2006" i="58" s="1"/>
  <c r="G1996" i="58"/>
  <c r="M1996" i="58" s="1"/>
  <c r="G2024" i="58"/>
  <c r="M2024" i="58" s="1"/>
  <c r="G2007" i="58"/>
  <c r="M2007" i="58" s="1"/>
  <c r="G2009" i="58"/>
  <c r="M2009" i="58" s="1"/>
  <c r="G2011" i="58"/>
  <c r="M2011" i="58" s="1"/>
  <c r="G2013" i="58"/>
  <c r="M2013" i="58" s="1"/>
  <c r="G2015" i="58"/>
  <c r="M2015" i="58" s="1"/>
  <c r="G2017" i="58"/>
  <c r="M2017" i="58" s="1"/>
  <c r="G2019" i="58"/>
  <c r="M2019" i="58" s="1"/>
  <c r="G2021" i="58"/>
  <c r="M2021" i="58" s="1"/>
  <c r="G1997" i="58"/>
  <c r="M1997" i="58" s="1"/>
  <c r="G2023" i="58"/>
  <c r="M2023" i="58" s="1"/>
  <c r="G1999" i="58"/>
  <c r="M1999" i="58" s="1"/>
  <c r="G2025" i="58"/>
  <c r="M2025" i="58" s="1"/>
  <c r="G2001" i="58"/>
  <c r="M2001" i="58" s="1"/>
  <c r="G2027" i="58"/>
  <c r="M2027" i="58" s="1"/>
  <c r="G2003" i="58"/>
  <c r="M2003" i="58" s="1"/>
  <c r="G2029" i="58"/>
  <c r="M2029" i="58" s="1"/>
  <c r="G2005" i="58"/>
  <c r="M2005" i="58" s="1"/>
  <c r="G1803" i="58"/>
  <c r="M1803" i="58" s="1"/>
  <c r="G1797" i="58"/>
  <c r="M1797" i="58" s="1"/>
  <c r="G1795" i="58"/>
  <c r="M1795" i="58" s="1"/>
  <c r="G1799" i="58"/>
  <c r="M1799" i="58" s="1"/>
  <c r="G1801" i="58"/>
  <c r="M1801" i="58" s="1"/>
  <c r="G1800" i="58"/>
  <c r="M1800" i="58" s="1"/>
  <c r="G1802" i="58"/>
  <c r="M1802" i="58" s="1"/>
  <c r="G1796" i="58"/>
  <c r="M1796" i="58" s="1"/>
  <c r="G1798" i="58"/>
  <c r="M1798" i="58" s="1"/>
  <c r="G2837" i="58"/>
  <c r="M2837" i="58" s="1"/>
  <c r="G2836" i="58"/>
  <c r="M2836" i="58" s="1"/>
  <c r="G2838" i="58"/>
  <c r="M2838" i="58" s="1"/>
  <c r="G2337" i="58"/>
  <c r="M2337" i="58" s="1"/>
  <c r="G2331" i="58"/>
  <c r="M2331" i="58" s="1"/>
  <c r="G2325" i="58"/>
  <c r="M2325" i="58" s="1"/>
  <c r="G2335" i="58"/>
  <c r="M2335" i="58" s="1"/>
  <c r="G2327" i="58"/>
  <c r="M2327" i="58" s="1"/>
  <c r="G2339" i="58"/>
  <c r="M2339" i="58" s="1"/>
  <c r="G2329" i="58"/>
  <c r="M2329" i="58" s="1"/>
  <c r="G2333" i="58"/>
  <c r="M2333" i="58" s="1"/>
  <c r="G2332" i="58"/>
  <c r="M2332" i="58" s="1"/>
  <c r="G2338" i="58"/>
  <c r="M2338" i="58" s="1"/>
  <c r="G2336" i="58"/>
  <c r="M2336" i="58" s="1"/>
  <c r="G2334" i="58"/>
  <c r="M2334" i="58" s="1"/>
  <c r="G2330" i="58"/>
  <c r="M2330" i="58" s="1"/>
  <c r="G2328" i="58"/>
  <c r="M2328" i="58" s="1"/>
  <c r="G2326" i="58"/>
  <c r="M2326" i="58" s="1"/>
  <c r="G2324" i="58"/>
  <c r="M2324" i="58" s="1"/>
  <c r="G2647" i="58"/>
  <c r="M2647" i="58" s="1"/>
  <c r="G2651" i="58"/>
  <c r="M2651" i="58" s="1"/>
  <c r="G2645" i="58"/>
  <c r="M2645" i="58" s="1"/>
  <c r="G2649" i="58"/>
  <c r="M2649" i="58" s="1"/>
  <c r="G2650" i="58"/>
  <c r="M2650" i="58" s="1"/>
  <c r="G2648" i="58"/>
  <c r="M2648" i="58" s="1"/>
  <c r="G2646" i="58"/>
  <c r="M2646" i="58" s="1"/>
  <c r="G2833" i="58"/>
  <c r="M2833" i="58" s="1"/>
  <c r="G2233" i="58"/>
  <c r="M2233" i="58" s="1"/>
  <c r="G2223" i="58"/>
  <c r="M2223" i="58" s="1"/>
  <c r="G2229" i="58"/>
  <c r="M2229" i="58" s="1"/>
  <c r="G2231" i="58"/>
  <c r="M2231" i="58" s="1"/>
  <c r="G2225" i="58"/>
  <c r="M2225" i="58" s="1"/>
  <c r="G2227" i="58"/>
  <c r="M2227" i="58" s="1"/>
  <c r="G2230" i="58"/>
  <c r="M2230" i="58" s="1"/>
  <c r="G2224" i="58"/>
  <c r="M2224" i="58" s="1"/>
  <c r="G2232" i="58"/>
  <c r="M2232" i="58" s="1"/>
  <c r="G2226" i="58"/>
  <c r="M2226" i="58" s="1"/>
  <c r="G2234" i="58"/>
  <c r="M2234" i="58" s="1"/>
  <c r="G2228" i="58"/>
  <c r="M2228" i="58" s="1"/>
  <c r="G2222" i="58"/>
  <c r="M2222" i="58" s="1"/>
  <c r="G1984" i="58"/>
  <c r="M1984" i="58" s="1"/>
  <c r="G1986" i="58"/>
  <c r="M1986" i="58" s="1"/>
  <c r="G1980" i="58"/>
  <c r="M1980" i="58" s="1"/>
  <c r="G1982" i="58"/>
  <c r="M1982" i="58" s="1"/>
  <c r="G1988" i="58"/>
  <c r="M1988" i="58" s="1"/>
  <c r="G1983" i="58"/>
  <c r="M1983" i="58" s="1"/>
  <c r="G1985" i="58"/>
  <c r="M1985" i="58" s="1"/>
  <c r="G1987" i="58"/>
  <c r="M1987" i="58" s="1"/>
  <c r="G1979" i="58"/>
  <c r="M1979" i="58" s="1"/>
  <c r="G1981" i="58"/>
  <c r="M1981" i="58" s="1"/>
  <c r="G3027" i="58"/>
  <c r="M3027" i="58" s="1"/>
  <c r="G3034" i="58"/>
  <c r="M3034" i="58" s="1"/>
  <c r="G2172" i="58"/>
  <c r="M2172" i="58" s="1"/>
  <c r="G2170" i="58"/>
  <c r="M2170" i="58" s="1"/>
  <c r="G2174" i="58"/>
  <c r="M2174" i="58" s="1"/>
  <c r="G2168" i="58"/>
  <c r="M2168" i="58" s="1"/>
  <c r="G2175" i="58"/>
  <c r="M2175" i="58" s="1"/>
  <c r="G2171" i="58"/>
  <c r="M2171" i="58" s="1"/>
  <c r="G2173" i="58"/>
  <c r="M2173" i="58" s="1"/>
  <c r="G2169" i="58"/>
  <c r="M2169" i="58" s="1"/>
  <c r="G2196" i="58"/>
  <c r="M2196" i="58" s="1"/>
  <c r="G2197" i="58"/>
  <c r="M2197" i="58" s="1"/>
  <c r="G2194" i="58"/>
  <c r="M2194" i="58" s="1"/>
  <c r="G2192" i="58"/>
  <c r="M2192" i="58" s="1"/>
  <c r="G2198" i="58"/>
  <c r="M2198" i="58" s="1"/>
  <c r="G2193" i="58"/>
  <c r="M2193" i="58" s="1"/>
  <c r="G2195" i="58"/>
  <c r="M2195" i="58" s="1"/>
  <c r="G2678" i="58"/>
  <c r="M2678" i="58" s="1"/>
  <c r="G2677" i="58"/>
  <c r="M2677" i="58" s="1"/>
  <c r="G2671" i="58"/>
  <c r="M2671" i="58" s="1"/>
  <c r="G2675" i="58"/>
  <c r="M2675" i="58" s="1"/>
  <c r="G2679" i="58"/>
  <c r="M2679" i="58" s="1"/>
  <c r="G2673" i="58"/>
  <c r="M2673" i="58" s="1"/>
  <c r="G2674" i="58"/>
  <c r="M2674" i="58" s="1"/>
  <c r="G2676" i="58"/>
  <c r="M2676" i="58" s="1"/>
  <c r="G2680" i="58"/>
  <c r="M2680" i="58" s="1"/>
  <c r="G2672" i="58"/>
  <c r="M2672" i="58" s="1"/>
  <c r="G3062" i="58"/>
  <c r="M3062" i="58" s="1"/>
  <c r="G3134" i="58"/>
  <c r="M3134" i="58" s="1"/>
  <c r="G3088" i="58"/>
  <c r="M3088" i="58" s="1"/>
  <c r="G3082" i="58"/>
  <c r="M3082" i="58" s="1"/>
  <c r="G3050" i="58"/>
  <c r="M3050" i="58" s="1"/>
  <c r="G3097" i="58"/>
  <c r="M3097" i="58" s="1"/>
  <c r="G3049" i="58"/>
  <c r="M3049" i="58" s="1"/>
  <c r="G3053" i="58"/>
  <c r="M3053" i="58" s="1"/>
  <c r="G3133" i="58"/>
  <c r="M3133" i="58" s="1"/>
  <c r="G1515" i="58"/>
  <c r="M1515" i="58" s="1"/>
  <c r="G1509" i="58"/>
  <c r="M1509" i="58" s="1"/>
  <c r="G1505" i="58"/>
  <c r="M1505" i="58" s="1"/>
  <c r="G1514" i="58"/>
  <c r="M1514" i="58" s="1"/>
  <c r="G1517" i="58"/>
  <c r="M1517" i="58" s="1"/>
  <c r="G1511" i="58"/>
  <c r="M1511" i="58" s="1"/>
  <c r="G1507" i="58"/>
  <c r="M1507" i="58" s="1"/>
  <c r="G1506" i="58"/>
  <c r="M1506" i="58" s="1"/>
  <c r="G1513" i="58"/>
  <c r="M1513" i="58" s="1"/>
  <c r="G1516" i="58"/>
  <c r="M1516" i="58" s="1"/>
  <c r="G1508" i="58"/>
  <c r="M1508" i="58" s="1"/>
  <c r="G1512" i="58"/>
  <c r="M1512" i="58" s="1"/>
  <c r="G1510" i="58"/>
  <c r="M1510" i="58" s="1"/>
  <c r="G2311" i="58"/>
  <c r="M2311" i="58" s="1"/>
  <c r="G2313" i="58"/>
  <c r="M2313" i="58" s="1"/>
  <c r="G2314" i="58"/>
  <c r="M2314" i="58" s="1"/>
  <c r="G2312" i="58"/>
  <c r="M2312" i="58" s="1"/>
  <c r="G2310" i="58"/>
  <c r="M2310" i="58" s="1"/>
  <c r="G2450" i="58"/>
  <c r="M2450" i="58" s="1"/>
  <c r="G2454" i="58"/>
  <c r="M2454" i="58" s="1"/>
  <c r="G2448" i="58"/>
  <c r="M2448" i="58" s="1"/>
  <c r="G2452" i="58"/>
  <c r="M2452" i="58" s="1"/>
  <c r="G2449" i="58"/>
  <c r="M2449" i="58" s="1"/>
  <c r="G2453" i="58"/>
  <c r="M2453" i="58" s="1"/>
  <c r="G2451" i="58"/>
  <c r="M2451" i="58" s="1"/>
  <c r="G3136" i="58"/>
  <c r="M3136" i="58" s="1"/>
  <c r="G3138" i="58"/>
  <c r="M3138" i="58" s="1"/>
  <c r="G3152" i="58"/>
  <c r="M3152" i="58" s="1"/>
  <c r="G3137" i="58"/>
  <c r="M3137" i="58" s="1"/>
  <c r="G2054" i="58"/>
  <c r="M2054" i="58" s="1"/>
  <c r="G2048" i="58"/>
  <c r="M2048" i="58" s="1"/>
  <c r="G2058" i="58"/>
  <c r="M2058" i="58" s="1"/>
  <c r="G2050" i="58"/>
  <c r="M2050" i="58" s="1"/>
  <c r="G2060" i="58"/>
  <c r="M2060" i="58" s="1"/>
  <c r="G2052" i="58"/>
  <c r="M2052" i="58" s="1"/>
  <c r="G2056" i="58"/>
  <c r="M2056" i="58" s="1"/>
  <c r="G2053" i="58"/>
  <c r="M2053" i="58" s="1"/>
  <c r="G2055" i="58"/>
  <c r="M2055" i="58" s="1"/>
  <c r="G2057" i="58"/>
  <c r="M2057" i="58" s="1"/>
  <c r="G2059" i="58"/>
  <c r="M2059" i="58" s="1"/>
  <c r="G2049" i="58"/>
  <c r="M2049" i="58" s="1"/>
  <c r="G2051" i="58"/>
  <c r="M2051" i="58" s="1"/>
  <c r="G2202" i="58"/>
  <c r="M2202" i="58" s="1"/>
  <c r="G2200" i="58"/>
  <c r="M2200" i="58" s="1"/>
  <c r="G2203" i="58"/>
  <c r="M2203" i="58" s="1"/>
  <c r="G2199" i="58"/>
  <c r="M2199" i="58" s="1"/>
  <c r="G2201" i="58"/>
  <c r="M2201" i="58" s="1"/>
  <c r="G5519" i="58"/>
  <c r="M5519" i="58" s="1"/>
  <c r="G5521" i="58"/>
  <c r="M5521" i="58" s="1"/>
  <c r="G5523" i="58"/>
  <c r="M5523" i="58" s="1"/>
  <c r="G5518" i="58"/>
  <c r="M5518" i="58" s="1"/>
  <c r="G5520" i="58"/>
  <c r="M5520" i="58" s="1"/>
  <c r="G5522" i="58"/>
  <c r="M5522" i="58" s="1"/>
  <c r="G5517" i="58"/>
  <c r="M5517" i="58" s="1"/>
  <c r="G2563" i="58"/>
  <c r="M2563" i="58" s="1"/>
  <c r="G2551" i="58"/>
  <c r="M2551" i="58" s="1"/>
  <c r="G2574" i="58"/>
  <c r="M2574" i="58" s="1"/>
  <c r="G2568" i="58"/>
  <c r="M2568" i="58" s="1"/>
  <c r="G2562" i="58"/>
  <c r="M2562" i="58" s="1"/>
  <c r="G2556" i="58"/>
  <c r="M2556" i="58" s="1"/>
  <c r="G2550" i="58"/>
  <c r="M2550" i="58" s="1"/>
  <c r="G2576" i="58"/>
  <c r="M2576" i="58" s="1"/>
  <c r="G2570" i="58"/>
  <c r="M2570" i="58" s="1"/>
  <c r="G2564" i="58"/>
  <c r="M2564" i="58" s="1"/>
  <c r="G2560" i="58"/>
  <c r="M2560" i="58" s="1"/>
  <c r="G2554" i="58"/>
  <c r="M2554" i="58" s="1"/>
  <c r="G2548" i="58"/>
  <c r="M2548" i="58" s="1"/>
  <c r="G2572" i="58"/>
  <c r="M2572" i="58" s="1"/>
  <c r="G2566" i="58"/>
  <c r="M2566" i="58" s="1"/>
  <c r="G2558" i="58"/>
  <c r="M2558" i="58" s="1"/>
  <c r="G2552" i="58"/>
  <c r="M2552" i="58" s="1"/>
  <c r="G2546" i="58"/>
  <c r="M2546" i="58" s="1"/>
  <c r="G2565" i="58"/>
  <c r="M2565" i="58" s="1"/>
  <c r="G2559" i="58"/>
  <c r="M2559" i="58" s="1"/>
  <c r="G2549" i="58"/>
  <c r="M2549" i="58" s="1"/>
  <c r="G2577" i="58"/>
  <c r="M2577" i="58" s="1"/>
  <c r="G2573" i="58"/>
  <c r="M2573" i="58" s="1"/>
  <c r="G2569" i="58"/>
  <c r="M2569" i="58" s="1"/>
  <c r="G2561" i="58"/>
  <c r="M2561" i="58" s="1"/>
  <c r="G2555" i="58"/>
  <c r="M2555" i="58" s="1"/>
  <c r="G2547" i="58"/>
  <c r="M2547" i="58" s="1"/>
  <c r="G2575" i="58"/>
  <c r="M2575" i="58" s="1"/>
  <c r="G2571" i="58"/>
  <c r="M2571" i="58" s="1"/>
  <c r="G2567" i="58"/>
  <c r="M2567" i="58" s="1"/>
  <c r="G2557" i="58"/>
  <c r="M2557" i="58" s="1"/>
  <c r="G2553" i="58"/>
  <c r="M2553" i="58" s="1"/>
  <c r="G2545" i="58"/>
  <c r="M2545" i="58" s="1"/>
  <c r="G1804" i="58"/>
  <c r="M1804" i="58" s="1"/>
  <c r="G1643" i="58"/>
  <c r="M1643" i="58" s="1"/>
  <c r="G1635" i="58"/>
  <c r="M1635" i="58" s="1"/>
  <c r="G1639" i="58"/>
  <c r="M1639" i="58" s="1"/>
  <c r="G1631" i="58"/>
  <c r="M1631" i="58" s="1"/>
  <c r="G1637" i="58"/>
  <c r="M1637" i="58" s="1"/>
  <c r="G1641" i="58"/>
  <c r="M1641" i="58" s="1"/>
  <c r="G1633" i="58"/>
  <c r="M1633" i="58" s="1"/>
  <c r="G1640" i="58"/>
  <c r="M1640" i="58" s="1"/>
  <c r="G1634" i="58"/>
  <c r="M1634" i="58" s="1"/>
  <c r="G1632" i="58"/>
  <c r="M1632" i="58" s="1"/>
  <c r="G1642" i="58"/>
  <c r="M1642" i="58" s="1"/>
  <c r="G1638" i="58"/>
  <c r="M1638" i="58" s="1"/>
  <c r="G1636" i="58"/>
  <c r="M1636" i="58" s="1"/>
  <c r="G2845" i="58"/>
  <c r="M2845" i="58" s="1"/>
  <c r="G2844" i="58"/>
  <c r="M2844" i="58" s="1"/>
  <c r="G2870" i="58"/>
  <c r="M2870" i="58" s="1"/>
  <c r="G2872" i="58"/>
  <c r="M2872" i="58" s="1"/>
  <c r="G2871" i="58"/>
  <c r="M2871" i="58" s="1"/>
  <c r="G2873" i="58"/>
  <c r="M2873" i="58" s="1"/>
  <c r="G3173" i="58"/>
  <c r="M3173" i="58" s="1"/>
  <c r="G3171" i="58"/>
  <c r="M3171" i="58" s="1"/>
  <c r="G3165" i="58"/>
  <c r="M3165" i="58" s="1"/>
  <c r="G3174" i="58"/>
  <c r="M3174" i="58" s="1"/>
  <c r="G3168" i="58"/>
  <c r="M3168" i="58" s="1"/>
  <c r="G3162" i="58"/>
  <c r="M3162" i="58" s="1"/>
  <c r="G3160" i="58"/>
  <c r="M3160" i="58" s="1"/>
  <c r="G2747" i="58"/>
  <c r="M2747" i="58" s="1"/>
  <c r="G2745" i="58"/>
  <c r="M2745" i="58" s="1"/>
  <c r="G2743" i="58"/>
  <c r="M2743" i="58" s="1"/>
  <c r="G2744" i="58"/>
  <c r="M2744" i="58" s="1"/>
  <c r="G2746" i="58"/>
  <c r="M2746" i="58" s="1"/>
  <c r="G2748" i="58"/>
  <c r="M2748" i="58" s="1"/>
  <c r="G2864" i="58"/>
  <c r="M2864" i="58" s="1"/>
  <c r="G2868" i="58"/>
  <c r="M2868" i="58" s="1"/>
  <c r="G2866" i="58"/>
  <c r="M2866" i="58" s="1"/>
  <c r="G2862" i="58"/>
  <c r="M2862" i="58" s="1"/>
  <c r="G2861" i="58"/>
  <c r="M2861" i="58" s="1"/>
  <c r="G2863" i="58"/>
  <c r="M2863" i="58" s="1"/>
  <c r="G2865" i="58"/>
  <c r="M2865" i="58" s="1"/>
  <c r="G2867" i="58"/>
  <c r="M2867" i="58" s="1"/>
  <c r="G2869" i="58"/>
  <c r="M2869" i="58" s="1"/>
  <c r="G2835" i="58"/>
  <c r="M2835" i="58" s="1"/>
  <c r="G2834" i="58"/>
  <c r="M2834" i="58" s="1"/>
  <c r="G2894" i="58"/>
  <c r="M2894" i="58" s="1"/>
  <c r="G2896" i="58"/>
  <c r="M2896" i="58" s="1"/>
  <c r="G2898" i="58"/>
  <c r="M2898" i="58" s="1"/>
  <c r="G2895" i="58"/>
  <c r="M2895" i="58" s="1"/>
  <c r="G2897" i="58"/>
  <c r="M2897" i="58" s="1"/>
  <c r="G2899" i="58"/>
  <c r="M2899" i="58" s="1"/>
  <c r="G2178" i="58"/>
  <c r="M2178" i="58" s="1"/>
  <c r="G2176" i="58"/>
  <c r="M2176" i="58" s="1"/>
  <c r="G2182" i="58"/>
  <c r="M2182" i="58" s="1"/>
  <c r="G2180" i="58"/>
  <c r="M2180" i="58" s="1"/>
  <c r="G2177" i="58"/>
  <c r="M2177" i="58" s="1"/>
  <c r="G2179" i="58"/>
  <c r="M2179" i="58" s="1"/>
  <c r="G2181" i="58"/>
  <c r="M2181" i="58" s="1"/>
  <c r="G2183" i="58"/>
  <c r="M2183" i="58" s="1"/>
  <c r="G2974" i="58"/>
  <c r="M2974" i="58" s="1"/>
  <c r="G3030" i="58"/>
  <c r="M3030" i="58" s="1"/>
  <c r="G2299" i="58"/>
  <c r="M2299" i="58" s="1"/>
  <c r="G2297" i="58"/>
  <c r="M2297" i="58" s="1"/>
  <c r="G2305" i="58"/>
  <c r="M2305" i="58" s="1"/>
  <c r="G2295" i="58"/>
  <c r="M2295" i="58" s="1"/>
  <c r="G2287" i="58"/>
  <c r="M2287" i="58" s="1"/>
  <c r="G2279" i="58"/>
  <c r="M2279" i="58" s="1"/>
  <c r="G2273" i="58"/>
  <c r="M2273" i="58" s="1"/>
  <c r="G2309" i="58"/>
  <c r="M2309" i="58" s="1"/>
  <c r="G2303" i="58"/>
  <c r="M2303" i="58" s="1"/>
  <c r="G2293" i="58"/>
  <c r="M2293" i="58" s="1"/>
  <c r="G2289" i="58"/>
  <c r="M2289" i="58" s="1"/>
  <c r="G2281" i="58"/>
  <c r="M2281" i="58" s="1"/>
  <c r="G2275" i="58"/>
  <c r="M2275" i="58" s="1"/>
  <c r="G2269" i="58"/>
  <c r="M2269" i="58" s="1"/>
  <c r="G2307" i="58"/>
  <c r="M2307" i="58" s="1"/>
  <c r="G2301" i="58"/>
  <c r="M2301" i="58" s="1"/>
  <c r="G2291" i="58"/>
  <c r="M2291" i="58" s="1"/>
  <c r="G2283" i="58"/>
  <c r="M2283" i="58" s="1"/>
  <c r="G2277" i="58"/>
  <c r="M2277" i="58" s="1"/>
  <c r="G2271" i="58"/>
  <c r="M2271" i="58" s="1"/>
  <c r="G2285" i="58"/>
  <c r="M2285" i="58" s="1"/>
  <c r="G2302" i="58"/>
  <c r="M2302" i="58" s="1"/>
  <c r="G2294" i="58"/>
  <c r="M2294" i="58" s="1"/>
  <c r="G2270" i="58"/>
  <c r="M2270" i="58" s="1"/>
  <c r="G2308" i="58"/>
  <c r="M2308" i="58" s="1"/>
  <c r="G2304" i="58"/>
  <c r="M2304" i="58" s="1"/>
  <c r="G2298" i="58"/>
  <c r="M2298" i="58" s="1"/>
  <c r="G2292" i="58"/>
  <c r="M2292" i="58" s="1"/>
  <c r="G2288" i="58"/>
  <c r="M2288" i="58" s="1"/>
  <c r="G2284" i="58"/>
  <c r="M2284" i="58" s="1"/>
  <c r="G2280" i="58"/>
  <c r="M2280" i="58" s="1"/>
  <c r="G2274" i="58"/>
  <c r="M2274" i="58" s="1"/>
  <c r="G2276" i="58"/>
  <c r="M2276" i="58" s="1"/>
  <c r="G2306" i="58"/>
  <c r="M2306" i="58" s="1"/>
  <c r="G2300" i="58"/>
  <c r="M2300" i="58" s="1"/>
  <c r="G2296" i="58"/>
  <c r="M2296" i="58" s="1"/>
  <c r="G2290" i="58"/>
  <c r="M2290" i="58" s="1"/>
  <c r="G2286" i="58"/>
  <c r="M2286" i="58" s="1"/>
  <c r="G2282" i="58"/>
  <c r="M2282" i="58" s="1"/>
  <c r="G2278" i="58"/>
  <c r="M2278" i="58" s="1"/>
  <c r="G2272" i="58"/>
  <c r="M2272" i="58" s="1"/>
  <c r="G3108" i="58"/>
  <c r="M3108" i="58" s="1"/>
  <c r="G3104" i="58"/>
  <c r="M3104" i="58" s="1"/>
  <c r="G3092" i="58"/>
  <c r="M3092" i="58" s="1"/>
  <c r="G3056" i="58"/>
  <c r="M3056" i="58" s="1"/>
  <c r="G3046" i="58"/>
  <c r="M3046" i="58" s="1"/>
  <c r="G3124" i="58"/>
  <c r="M3124" i="58" s="1"/>
  <c r="G3106" i="58"/>
  <c r="M3106" i="58" s="1"/>
  <c r="G3094" i="58"/>
  <c r="M3094" i="58" s="1"/>
  <c r="G3044" i="58"/>
  <c r="M3044" i="58" s="1"/>
  <c r="G3132" i="58"/>
  <c r="M3132" i="58" s="1"/>
  <c r="G3116" i="58"/>
  <c r="M3116" i="58" s="1"/>
  <c r="G3066" i="58"/>
  <c r="M3066" i="58" s="1"/>
  <c r="G3054" i="58"/>
  <c r="M3054" i="58" s="1"/>
  <c r="G3048" i="58"/>
  <c r="M3048" i="58" s="1"/>
  <c r="G3067" i="58"/>
  <c r="M3067" i="58" s="1"/>
  <c r="G3093" i="58"/>
  <c r="M3093" i="58" s="1"/>
  <c r="G3069" i="58"/>
  <c r="M3069" i="58" s="1"/>
  <c r="G3045" i="58"/>
  <c r="M3045" i="58" s="1"/>
  <c r="G3095" i="58"/>
  <c r="M3095" i="58" s="1"/>
  <c r="G3125" i="58"/>
  <c r="M3125" i="58" s="1"/>
  <c r="G3103" i="58"/>
  <c r="M3103" i="58" s="1"/>
  <c r="G3055" i="58"/>
  <c r="M3055" i="58" s="1"/>
  <c r="G3105" i="58"/>
  <c r="M3105" i="58" s="1"/>
  <c r="G3131" i="58"/>
  <c r="M3131" i="58" s="1"/>
  <c r="G3107" i="58"/>
  <c r="M3107" i="58" s="1"/>
  <c r="G3145" i="58"/>
  <c r="M3145" i="58" s="1"/>
  <c r="G3141" i="58"/>
  <c r="M3141" i="58" s="1"/>
  <c r="G3142" i="58"/>
  <c r="M3142" i="58" s="1"/>
  <c r="G3140" i="58"/>
  <c r="M3140" i="58" s="1"/>
  <c r="G1490" i="58"/>
  <c r="M1490" i="58" s="1"/>
  <c r="G1484" i="58"/>
  <c r="M1484" i="58" s="1"/>
  <c r="G1482" i="58"/>
  <c r="M1482" i="58" s="1"/>
  <c r="G1489" i="58"/>
  <c r="M1489" i="58" s="1"/>
  <c r="G1485" i="58"/>
  <c r="M1485" i="58" s="1"/>
  <c r="G1481" i="58"/>
  <c r="M1481" i="58" s="1"/>
  <c r="G1486" i="58"/>
  <c r="M1486" i="58" s="1"/>
  <c r="G1488" i="58"/>
  <c r="M1488" i="58" s="1"/>
  <c r="G1487" i="58"/>
  <c r="M1487" i="58" s="1"/>
  <c r="G1483" i="58"/>
  <c r="M1483" i="58" s="1"/>
  <c r="G5483" i="58"/>
  <c r="M5483" i="58" s="1"/>
  <c r="G5485" i="58"/>
  <c r="M5485" i="58" s="1"/>
  <c r="G5487" i="58"/>
  <c r="M5487" i="58" s="1"/>
  <c r="G5482" i="58"/>
  <c r="M5482" i="58" s="1"/>
  <c r="G5484" i="58"/>
  <c r="M5484" i="58" s="1"/>
  <c r="G5486" i="58"/>
  <c r="M5486" i="58" s="1"/>
  <c r="G5481" i="58"/>
  <c r="M5481" i="58" s="1"/>
  <c r="G1677" i="58"/>
  <c r="M1677" i="58" s="1"/>
  <c r="G1669" i="58"/>
  <c r="M1669" i="58" s="1"/>
  <c r="G1665" i="58"/>
  <c r="M1665" i="58" s="1"/>
  <c r="G1661" i="58"/>
  <c r="M1661" i="58" s="1"/>
  <c r="G1671" i="58"/>
  <c r="M1671" i="58" s="1"/>
  <c r="G1679" i="58"/>
  <c r="M1679" i="58" s="1"/>
  <c r="G1673" i="58"/>
  <c r="M1673" i="58" s="1"/>
  <c r="G1667" i="58"/>
  <c r="M1667" i="58" s="1"/>
  <c r="G1663" i="58"/>
  <c r="M1663" i="58" s="1"/>
  <c r="G1659" i="58"/>
  <c r="M1659" i="58" s="1"/>
  <c r="G1675" i="58"/>
  <c r="M1675" i="58" s="1"/>
  <c r="G1680" i="58"/>
  <c r="M1680" i="58" s="1"/>
  <c r="G1668" i="58"/>
  <c r="M1668" i="58" s="1"/>
  <c r="G1672" i="58"/>
  <c r="M1672" i="58" s="1"/>
  <c r="G1660" i="58"/>
  <c r="M1660" i="58" s="1"/>
  <c r="G1678" i="58"/>
  <c r="M1678" i="58" s="1"/>
  <c r="G1676" i="58"/>
  <c r="M1676" i="58" s="1"/>
  <c r="G1674" i="58"/>
  <c r="M1674" i="58" s="1"/>
  <c r="G1670" i="58"/>
  <c r="M1670" i="58" s="1"/>
  <c r="G1666" i="58"/>
  <c r="M1666" i="58" s="1"/>
  <c r="G1664" i="58"/>
  <c r="M1664" i="58" s="1"/>
  <c r="G1662" i="58"/>
  <c r="M1662" i="58" s="1"/>
  <c r="G1885" i="58"/>
  <c r="M1885" i="58" s="1"/>
  <c r="G1877" i="58"/>
  <c r="M1877" i="58" s="1"/>
  <c r="G1881" i="58"/>
  <c r="M1881" i="58" s="1"/>
  <c r="G1879" i="58"/>
  <c r="M1879" i="58" s="1"/>
  <c r="G1883" i="58"/>
  <c r="M1883" i="58" s="1"/>
  <c r="G1876" i="58"/>
  <c r="M1876" i="58" s="1"/>
  <c r="G1878" i="58"/>
  <c r="M1878" i="58" s="1"/>
  <c r="G1880" i="58"/>
  <c r="M1880" i="58" s="1"/>
  <c r="G1882" i="58"/>
  <c r="M1882" i="58" s="1"/>
  <c r="G1884" i="58"/>
  <c r="M1884" i="58" s="1"/>
  <c r="G3175" i="58"/>
  <c r="M3175" i="58" s="1"/>
  <c r="G3176" i="58"/>
  <c r="M3176" i="58" s="1"/>
  <c r="G1500" i="58"/>
  <c r="M1500" i="58" s="1"/>
  <c r="G1502" i="58"/>
  <c r="M1502" i="58" s="1"/>
  <c r="G1501" i="58"/>
  <c r="M1501" i="58" s="1"/>
  <c r="G1504" i="58"/>
  <c r="M1504" i="58" s="1"/>
  <c r="G1498" i="58"/>
  <c r="M1498" i="58" s="1"/>
  <c r="G1499" i="58"/>
  <c r="M1499" i="58" s="1"/>
  <c r="G1503" i="58"/>
  <c r="M1503" i="58" s="1"/>
  <c r="G2806" i="58"/>
  <c r="M2806" i="58" s="1"/>
  <c r="G2804" i="58"/>
  <c r="M2804" i="58" s="1"/>
  <c r="G2807" i="58"/>
  <c r="M2807" i="58" s="1"/>
  <c r="G2805" i="58"/>
  <c r="M2805" i="58" s="1"/>
  <c r="G2690" i="58"/>
  <c r="M2690" i="58" s="1"/>
  <c r="G2701" i="58"/>
  <c r="M2701" i="58" s="1"/>
  <c r="G2697" i="58"/>
  <c r="M2697" i="58" s="1"/>
  <c r="G2691" i="58"/>
  <c r="M2691" i="58" s="1"/>
  <c r="G2699" i="58"/>
  <c r="M2699" i="58" s="1"/>
  <c r="G2693" i="58"/>
  <c r="M2693" i="58" s="1"/>
  <c r="G2687" i="58"/>
  <c r="M2687" i="58" s="1"/>
  <c r="G2703" i="58"/>
  <c r="M2703" i="58" s="1"/>
  <c r="G2695" i="58"/>
  <c r="M2695" i="58" s="1"/>
  <c r="G2689" i="58"/>
  <c r="M2689" i="58" s="1"/>
  <c r="G2702" i="58"/>
  <c r="M2702" i="58" s="1"/>
  <c r="G2694" i="58"/>
  <c r="M2694" i="58" s="1"/>
  <c r="G2700" i="58"/>
  <c r="M2700" i="58" s="1"/>
  <c r="G2696" i="58"/>
  <c r="M2696" i="58" s="1"/>
  <c r="G2688" i="58"/>
  <c r="M2688" i="58" s="1"/>
  <c r="G2698" i="58"/>
  <c r="M2698" i="58" s="1"/>
  <c r="G2692" i="58"/>
  <c r="M2692" i="58" s="1"/>
  <c r="G2917" i="58"/>
  <c r="M2917" i="58" s="1"/>
  <c r="G2916" i="58"/>
  <c r="M2916" i="58" s="1"/>
  <c r="G2918" i="58"/>
  <c r="M2918" i="58" s="1"/>
  <c r="G2632" i="58"/>
  <c r="M2632" i="58" s="1"/>
  <c r="G2633" i="58"/>
  <c r="M2633" i="58" s="1"/>
  <c r="G2639" i="58"/>
  <c r="M2639" i="58" s="1"/>
  <c r="G2635" i="58"/>
  <c r="M2635" i="58" s="1"/>
  <c r="G2629" i="58"/>
  <c r="M2629" i="58" s="1"/>
  <c r="G2637" i="58"/>
  <c r="M2637" i="58" s="1"/>
  <c r="G2631" i="58"/>
  <c r="M2631" i="58" s="1"/>
  <c r="G2628" i="58"/>
  <c r="M2628" i="58" s="1"/>
  <c r="G2638" i="58"/>
  <c r="M2638" i="58" s="1"/>
  <c r="G2636" i="58"/>
  <c r="M2636" i="58" s="1"/>
  <c r="G2634" i="58"/>
  <c r="M2634" i="58" s="1"/>
  <c r="G2630" i="58"/>
  <c r="M2630" i="58" s="1"/>
  <c r="G2253" i="58"/>
  <c r="M2253" i="58" s="1"/>
  <c r="G2245" i="58"/>
  <c r="M2245" i="58" s="1"/>
  <c r="G2239" i="58"/>
  <c r="M2239" i="58" s="1"/>
  <c r="G2251" i="58"/>
  <c r="M2251" i="58" s="1"/>
  <c r="G2247" i="58"/>
  <c r="M2247" i="58" s="1"/>
  <c r="G2241" i="58"/>
  <c r="M2241" i="58" s="1"/>
  <c r="G2235" i="58"/>
  <c r="M2235" i="58" s="1"/>
  <c r="G2249" i="58"/>
  <c r="M2249" i="58" s="1"/>
  <c r="G2243" i="58"/>
  <c r="M2243" i="58" s="1"/>
  <c r="G2237" i="58"/>
  <c r="M2237" i="58" s="1"/>
  <c r="G2255" i="58"/>
  <c r="M2255" i="58" s="1"/>
  <c r="G2242" i="58"/>
  <c r="M2242" i="58" s="1"/>
  <c r="G2240" i="58"/>
  <c r="M2240" i="58" s="1"/>
  <c r="G2252" i="58"/>
  <c r="M2252" i="58" s="1"/>
  <c r="G2246" i="58"/>
  <c r="M2246" i="58" s="1"/>
  <c r="G2236" i="58"/>
  <c r="M2236" i="58" s="1"/>
  <c r="G2254" i="58"/>
  <c r="M2254" i="58" s="1"/>
  <c r="G2248" i="58"/>
  <c r="M2248" i="58" s="1"/>
  <c r="G2238" i="58"/>
  <c r="M2238" i="58" s="1"/>
  <c r="G2256" i="58"/>
  <c r="M2256" i="58" s="1"/>
  <c r="G2250" i="58"/>
  <c r="M2250" i="58" s="1"/>
  <c r="G2244" i="58"/>
  <c r="M2244" i="58" s="1"/>
  <c r="G2961" i="58"/>
  <c r="M2961" i="58" s="1"/>
  <c r="G2962" i="58"/>
  <c r="M2962" i="58" s="1"/>
  <c r="G5540" i="58"/>
  <c r="M5540" i="58" s="1"/>
  <c r="G5542" i="58"/>
  <c r="M5542" i="58" s="1"/>
  <c r="G5544" i="58"/>
  <c r="M5544" i="58" s="1"/>
  <c r="G5539" i="58"/>
  <c r="M5539" i="58" s="1"/>
  <c r="G5541" i="58"/>
  <c r="M5541" i="58" s="1"/>
  <c r="G5543" i="58"/>
  <c r="M5543" i="58" s="1"/>
  <c r="G5538" i="58"/>
  <c r="M5538" i="58" s="1"/>
  <c r="G2769" i="58"/>
  <c r="M2769" i="58" s="1"/>
  <c r="G2767" i="58"/>
  <c r="M2767" i="58" s="1"/>
  <c r="G2765" i="58"/>
  <c r="M2765" i="58" s="1"/>
  <c r="G2763" i="58"/>
  <c r="M2763" i="58" s="1"/>
  <c r="G2761" i="58"/>
  <c r="M2761" i="58" s="1"/>
  <c r="G2751" i="58"/>
  <c r="M2751" i="58" s="1"/>
  <c r="G2749" i="58"/>
  <c r="M2749" i="58" s="1"/>
  <c r="G2770" i="58"/>
  <c r="M2770" i="58" s="1"/>
  <c r="G2768" i="58"/>
  <c r="M2768" i="58" s="1"/>
  <c r="G2766" i="58"/>
  <c r="M2766" i="58" s="1"/>
  <c r="G2764" i="58"/>
  <c r="M2764" i="58" s="1"/>
  <c r="G2762" i="58"/>
  <c r="M2762" i="58" s="1"/>
  <c r="G2760" i="58"/>
  <c r="M2760" i="58" s="1"/>
  <c r="G2758" i="58"/>
  <c r="M2758" i="58" s="1"/>
  <c r="G2756" i="58"/>
  <c r="M2756" i="58" s="1"/>
  <c r="G2754" i="58"/>
  <c r="M2754" i="58" s="1"/>
  <c r="G2752" i="58"/>
  <c r="M2752" i="58" s="1"/>
  <c r="G2750" i="58"/>
  <c r="M2750" i="58" s="1"/>
  <c r="G2759" i="58"/>
  <c r="M2759" i="58" s="1"/>
  <c r="G2755" i="58"/>
  <c r="M2755" i="58" s="1"/>
  <c r="G2757" i="58"/>
  <c r="M2757" i="58" s="1"/>
  <c r="G2753" i="58"/>
  <c r="M2753" i="58" s="1"/>
  <c r="G2642" i="58"/>
  <c r="M2642" i="58" s="1"/>
  <c r="G2641" i="58"/>
  <c r="M2641" i="58" s="1"/>
  <c r="G2643" i="58"/>
  <c r="M2643" i="58" s="1"/>
  <c r="G2640" i="58"/>
  <c r="M2640" i="58" s="1"/>
  <c r="G2644" i="58"/>
  <c r="M2644" i="58" s="1"/>
  <c r="G2911" i="58"/>
  <c r="M2911" i="58" s="1"/>
  <c r="G2913" i="58"/>
  <c r="M2913" i="58" s="1"/>
  <c r="G2909" i="58"/>
  <c r="M2909" i="58" s="1"/>
  <c r="G2910" i="58"/>
  <c r="M2910" i="58" s="1"/>
  <c r="G2912" i="58"/>
  <c r="M2912" i="58" s="1"/>
  <c r="G1452" i="58"/>
  <c r="M1452" i="58" s="1"/>
  <c r="G1448" i="58"/>
  <c r="M1448" i="58" s="1"/>
  <c r="G1444" i="58"/>
  <c r="M1444" i="58" s="1"/>
  <c r="G1440" i="58"/>
  <c r="M1440" i="58" s="1"/>
  <c r="G1451" i="58"/>
  <c r="M1451" i="58" s="1"/>
  <c r="G1441" i="58"/>
  <c r="M1441" i="58" s="1"/>
  <c r="G1450" i="58"/>
  <c r="M1450" i="58" s="1"/>
  <c r="G1447" i="58"/>
  <c r="M1447" i="58" s="1"/>
  <c r="G1442" i="58"/>
  <c r="M1442" i="58" s="1"/>
  <c r="G1445" i="58"/>
  <c r="M1445" i="58" s="1"/>
  <c r="G1438" i="58"/>
  <c r="M1438" i="58" s="1"/>
  <c r="G1437" i="58"/>
  <c r="M1437" i="58" s="1"/>
  <c r="G1446" i="58"/>
  <c r="M1446" i="58" s="1"/>
  <c r="G1439" i="58"/>
  <c r="M1439" i="58" s="1"/>
  <c r="G1453" i="58"/>
  <c r="M1453" i="58" s="1"/>
  <c r="G1449" i="58"/>
  <c r="M1449" i="58" s="1"/>
  <c r="G1443" i="58"/>
  <c r="M1443" i="58" s="1"/>
  <c r="G5315" i="58"/>
  <c r="M5315" i="58" s="1"/>
  <c r="G5317" i="58"/>
  <c r="M5317" i="58" s="1"/>
  <c r="G5312" i="58"/>
  <c r="M5312" i="58" s="1"/>
  <c r="G5314" i="58"/>
  <c r="M5314" i="58" s="1"/>
  <c r="G5316" i="58"/>
  <c r="M5316" i="58" s="1"/>
  <c r="G5311" i="58"/>
  <c r="M5311" i="58" s="1"/>
  <c r="G5313" i="58"/>
  <c r="M5313" i="58" s="1"/>
  <c r="G2517" i="58"/>
  <c r="M2517" i="58" s="1"/>
  <c r="G2499" i="58"/>
  <c r="M2499" i="58" s="1"/>
  <c r="G2516" i="58"/>
  <c r="M2516" i="58" s="1"/>
  <c r="G2514" i="58"/>
  <c r="M2514" i="58" s="1"/>
  <c r="G2508" i="58"/>
  <c r="M2508" i="58" s="1"/>
  <c r="G2502" i="58"/>
  <c r="M2502" i="58" s="1"/>
  <c r="G2498" i="58"/>
  <c r="M2498" i="58" s="1"/>
  <c r="G2490" i="58"/>
  <c r="M2490" i="58" s="1"/>
  <c r="G2520" i="58"/>
  <c r="M2520" i="58" s="1"/>
  <c r="G2510" i="58"/>
  <c r="M2510" i="58" s="1"/>
  <c r="G2506" i="58"/>
  <c r="M2506" i="58" s="1"/>
  <c r="G2500" i="58"/>
  <c r="M2500" i="58" s="1"/>
  <c r="G2494" i="58"/>
  <c r="M2494" i="58" s="1"/>
  <c r="G2488" i="58"/>
  <c r="M2488" i="58" s="1"/>
  <c r="G2518" i="58"/>
  <c r="M2518" i="58" s="1"/>
  <c r="G2512" i="58"/>
  <c r="M2512" i="58" s="1"/>
  <c r="G2504" i="58"/>
  <c r="M2504" i="58" s="1"/>
  <c r="G2496" i="58"/>
  <c r="M2496" i="58" s="1"/>
  <c r="G2492" i="58"/>
  <c r="M2492" i="58" s="1"/>
  <c r="G2513" i="58"/>
  <c r="M2513" i="58" s="1"/>
  <c r="G2501" i="58"/>
  <c r="M2501" i="58" s="1"/>
  <c r="G2491" i="58"/>
  <c r="M2491" i="58" s="1"/>
  <c r="G2515" i="58"/>
  <c r="M2515" i="58" s="1"/>
  <c r="G2507" i="58"/>
  <c r="M2507" i="58" s="1"/>
  <c r="G2493" i="58"/>
  <c r="M2493" i="58" s="1"/>
  <c r="G2519" i="58"/>
  <c r="M2519" i="58" s="1"/>
  <c r="G2509" i="58"/>
  <c r="M2509" i="58" s="1"/>
  <c r="G2503" i="58"/>
  <c r="M2503" i="58" s="1"/>
  <c r="G2495" i="58"/>
  <c r="M2495" i="58" s="1"/>
  <c r="G2489" i="58"/>
  <c r="M2489" i="58" s="1"/>
  <c r="G2511" i="58"/>
  <c r="M2511" i="58" s="1"/>
  <c r="G2505" i="58"/>
  <c r="M2505" i="58" s="1"/>
  <c r="G2497" i="58"/>
  <c r="M2497" i="58" s="1"/>
  <c r="G1793" i="58"/>
  <c r="M1793" i="58" s="1"/>
  <c r="G1783" i="58"/>
  <c r="M1783" i="58" s="1"/>
  <c r="G1785" i="58"/>
  <c r="M1785" i="58" s="1"/>
  <c r="G1777" i="58"/>
  <c r="M1777" i="58" s="1"/>
  <c r="G1789" i="58"/>
  <c r="M1789" i="58" s="1"/>
  <c r="G1779" i="58"/>
  <c r="M1779" i="58" s="1"/>
  <c r="G1791" i="58"/>
  <c r="M1791" i="58" s="1"/>
  <c r="G1781" i="58"/>
  <c r="M1781" i="58" s="1"/>
  <c r="G1787" i="58"/>
  <c r="M1787" i="58" s="1"/>
  <c r="G1778" i="58"/>
  <c r="M1778" i="58" s="1"/>
  <c r="G1780" i="58"/>
  <c r="M1780" i="58" s="1"/>
  <c r="G1782" i="58"/>
  <c r="M1782" i="58" s="1"/>
  <c r="G1784" i="58"/>
  <c r="M1784" i="58" s="1"/>
  <c r="G1786" i="58"/>
  <c r="M1786" i="58" s="1"/>
  <c r="G1788" i="58"/>
  <c r="M1788" i="58" s="1"/>
  <c r="G1790" i="58"/>
  <c r="M1790" i="58" s="1"/>
  <c r="G1776" i="58"/>
  <c r="M1776" i="58" s="1"/>
  <c r="G1792" i="58"/>
  <c r="M1792" i="58" s="1"/>
  <c r="G1794" i="58"/>
  <c r="M1794" i="58" s="1"/>
  <c r="G2445" i="58"/>
  <c r="M2445" i="58" s="1"/>
  <c r="G2443" i="58"/>
  <c r="M2443" i="58" s="1"/>
  <c r="G2447" i="58"/>
  <c r="M2447" i="58" s="1"/>
  <c r="G2442" i="58"/>
  <c r="M2442" i="58" s="1"/>
  <c r="G2444" i="58"/>
  <c r="M2444" i="58" s="1"/>
  <c r="G2446" i="58"/>
  <c r="M2446" i="58" s="1"/>
  <c r="G2929" i="58"/>
  <c r="M2929" i="58" s="1"/>
  <c r="G2923" i="58"/>
  <c r="M2923" i="58" s="1"/>
  <c r="G2931" i="58"/>
  <c r="M2931" i="58" s="1"/>
  <c r="G2925" i="58"/>
  <c r="M2925" i="58" s="1"/>
  <c r="G2927" i="58"/>
  <c r="M2927" i="58" s="1"/>
  <c r="G2924" i="58"/>
  <c r="M2924" i="58" s="1"/>
  <c r="G2926" i="58"/>
  <c r="M2926" i="58" s="1"/>
  <c r="G2928" i="58"/>
  <c r="M2928" i="58" s="1"/>
  <c r="G2930" i="58"/>
  <c r="M2930" i="58" s="1"/>
  <c r="G2932" i="58"/>
  <c r="M2932" i="58" s="1"/>
  <c r="G2922" i="58"/>
  <c r="M2922" i="58" s="1"/>
  <c r="G2593" i="58"/>
  <c r="M2593" i="58" s="1"/>
  <c r="G2591" i="58"/>
  <c r="M2591" i="58" s="1"/>
  <c r="G2595" i="58"/>
  <c r="M2595" i="58" s="1"/>
  <c r="G2592" i="58"/>
  <c r="M2592" i="58" s="1"/>
  <c r="G2594" i="58"/>
  <c r="M2594" i="58" s="1"/>
  <c r="G2878" i="58"/>
  <c r="M2878" i="58" s="1"/>
  <c r="G2879" i="58"/>
  <c r="M2879" i="58" s="1"/>
  <c r="G2372" i="58"/>
  <c r="M2372" i="58" s="1"/>
  <c r="G2373" i="58"/>
  <c r="M2373" i="58" s="1"/>
  <c r="G2371" i="58"/>
  <c r="M2371" i="58" s="1"/>
  <c r="G3086" i="58"/>
  <c r="M3086" i="58" s="1"/>
  <c r="G3130" i="58"/>
  <c r="M3130" i="58" s="1"/>
  <c r="G3114" i="58"/>
  <c r="M3114" i="58" s="1"/>
  <c r="G3076" i="58"/>
  <c r="M3076" i="58" s="1"/>
  <c r="G3128" i="58"/>
  <c r="M3128" i="58" s="1"/>
  <c r="G3126" i="58"/>
  <c r="M3126" i="58" s="1"/>
  <c r="G3102" i="58"/>
  <c r="M3102" i="58" s="1"/>
  <c r="G3065" i="58"/>
  <c r="M3065" i="58" s="1"/>
  <c r="G3115" i="58"/>
  <c r="M3115" i="58" s="1"/>
  <c r="G3043" i="58"/>
  <c r="M3043" i="58" s="1"/>
  <c r="G3121" i="58"/>
  <c r="M3121" i="58" s="1"/>
  <c r="G3077" i="58"/>
  <c r="M3077" i="58" s="1"/>
  <c r="G3127" i="58"/>
  <c r="M3127" i="58" s="1"/>
  <c r="G3129" i="58"/>
  <c r="M3129" i="58" s="1"/>
  <c r="G3087" i="58"/>
  <c r="M3087" i="58" s="1"/>
  <c r="G2876" i="58"/>
  <c r="M2876" i="58" s="1"/>
  <c r="G2877" i="58"/>
  <c r="M2877" i="58" s="1"/>
  <c r="G5433" i="58"/>
  <c r="M5433" i="58" s="1"/>
  <c r="G5448" i="58"/>
  <c r="M5448" i="58" s="1"/>
  <c r="G5435" i="58"/>
  <c r="M5435" i="58" s="1"/>
  <c r="G5450" i="58"/>
  <c r="M5450" i="58" s="1"/>
  <c r="G5437" i="58"/>
  <c r="M5437" i="58" s="1"/>
  <c r="G5452" i="58"/>
  <c r="M5452" i="58" s="1"/>
  <c r="G5432" i="58"/>
  <c r="M5432" i="58" s="1"/>
  <c r="G5447" i="58"/>
  <c r="M5447" i="58" s="1"/>
  <c r="G5434" i="58"/>
  <c r="M5434" i="58" s="1"/>
  <c r="G5449" i="58"/>
  <c r="M5449" i="58" s="1"/>
  <c r="G5436" i="58"/>
  <c r="M5436" i="58" s="1"/>
  <c r="G5451" i="58"/>
  <c r="M5451" i="58" s="1"/>
  <c r="G5446" i="58"/>
  <c r="M5446" i="58" s="1"/>
  <c r="G5438" i="58"/>
  <c r="M5438" i="58" s="1"/>
  <c r="G1971" i="58"/>
  <c r="M1971" i="58" s="1"/>
  <c r="G1952" i="58"/>
  <c r="M1952" i="58" s="1"/>
  <c r="G1930" i="58"/>
  <c r="M1930" i="58" s="1"/>
  <c r="G1974" i="58"/>
  <c r="M1974" i="58" s="1"/>
  <c r="G1958" i="58"/>
  <c r="M1958" i="58" s="1"/>
  <c r="G1936" i="58"/>
  <c r="M1936" i="58" s="1"/>
  <c r="G1978" i="58"/>
  <c r="M1978" i="58" s="1"/>
  <c r="G1969" i="58"/>
  <c r="M1969" i="58" s="1"/>
  <c r="G1964" i="58"/>
  <c r="M1964" i="58" s="1"/>
  <c r="G1956" i="58"/>
  <c r="M1956" i="58" s="1"/>
  <c r="G1946" i="58"/>
  <c r="M1946" i="58" s="1"/>
  <c r="G1940" i="58"/>
  <c r="M1940" i="58" s="1"/>
  <c r="G1928" i="58"/>
  <c r="M1928" i="58" s="1"/>
  <c r="G1972" i="58"/>
  <c r="M1972" i="58" s="1"/>
  <c r="G1966" i="58"/>
  <c r="M1966" i="58" s="1"/>
  <c r="G1960" i="58"/>
  <c r="M1960" i="58" s="1"/>
  <c r="G1948" i="58"/>
  <c r="M1948" i="58" s="1"/>
  <c r="G1944" i="58"/>
  <c r="M1944" i="58" s="1"/>
  <c r="G1938" i="58"/>
  <c r="M1938" i="58" s="1"/>
  <c r="G1926" i="58"/>
  <c r="M1926" i="58" s="1"/>
  <c r="G1976" i="58"/>
  <c r="M1976" i="58" s="1"/>
  <c r="G1962" i="58"/>
  <c r="M1962" i="58" s="1"/>
  <c r="G1950" i="58"/>
  <c r="M1950" i="58" s="1"/>
  <c r="G1942" i="58"/>
  <c r="M1942" i="58" s="1"/>
  <c r="G1934" i="58"/>
  <c r="M1934" i="58" s="1"/>
  <c r="G1924" i="58"/>
  <c r="M1924" i="58" s="1"/>
  <c r="G1954" i="58"/>
  <c r="M1954" i="58" s="1"/>
  <c r="G1932" i="58"/>
  <c r="M1932" i="58" s="1"/>
  <c r="G1961" i="58"/>
  <c r="M1961" i="58" s="1"/>
  <c r="G1937" i="58"/>
  <c r="M1937" i="58" s="1"/>
  <c r="G1963" i="58"/>
  <c r="M1963" i="58" s="1"/>
  <c r="G1939" i="58"/>
  <c r="M1939" i="58" s="1"/>
  <c r="G1965" i="58"/>
  <c r="M1965" i="58" s="1"/>
  <c r="G1941" i="58"/>
  <c r="M1941" i="58" s="1"/>
  <c r="G1967" i="58"/>
  <c r="M1967" i="58" s="1"/>
  <c r="G1943" i="58"/>
  <c r="M1943" i="58" s="1"/>
  <c r="G1968" i="58"/>
  <c r="M1968" i="58" s="1"/>
  <c r="G1945" i="58"/>
  <c r="M1945" i="58" s="1"/>
  <c r="G1970" i="58"/>
  <c r="M1970" i="58" s="1"/>
  <c r="G1947" i="58"/>
  <c r="M1947" i="58" s="1"/>
  <c r="G1923" i="58"/>
  <c r="M1923" i="58" s="1"/>
  <c r="G1949" i="58"/>
  <c r="M1949" i="58" s="1"/>
  <c r="G1925" i="58"/>
  <c r="M1925" i="58" s="1"/>
  <c r="G1973" i="58"/>
  <c r="M1973" i="58" s="1"/>
  <c r="G1951" i="58"/>
  <c r="M1951" i="58" s="1"/>
  <c r="G1927" i="58"/>
  <c r="M1927" i="58" s="1"/>
  <c r="G1975" i="58"/>
  <c r="M1975" i="58" s="1"/>
  <c r="G1953" i="58"/>
  <c r="M1953" i="58" s="1"/>
  <c r="G1929" i="58"/>
  <c r="M1929" i="58" s="1"/>
  <c r="G1977" i="58"/>
  <c r="M1977" i="58" s="1"/>
  <c r="G1955" i="58"/>
  <c r="M1955" i="58" s="1"/>
  <c r="G1931" i="58"/>
  <c r="M1931" i="58" s="1"/>
  <c r="G1957" i="58"/>
  <c r="M1957" i="58" s="1"/>
  <c r="G1933" i="58"/>
  <c r="M1933" i="58" s="1"/>
  <c r="G1959" i="58"/>
  <c r="M1959" i="58" s="1"/>
  <c r="G1935" i="58"/>
  <c r="M1935" i="58" s="1"/>
  <c r="G2944" i="58"/>
  <c r="M2944" i="58" s="1"/>
  <c r="G2831" i="58"/>
  <c r="M2831" i="58" s="1"/>
  <c r="G2825" i="58"/>
  <c r="M2825" i="58" s="1"/>
  <c r="G2946" i="58"/>
  <c r="M2946" i="58" s="1"/>
  <c r="G2829" i="58"/>
  <c r="M2829" i="58" s="1"/>
  <c r="G2823" i="58"/>
  <c r="M2823" i="58" s="1"/>
  <c r="G2948" i="58"/>
  <c r="M2948" i="58" s="1"/>
  <c r="G2827" i="58"/>
  <c r="M2827" i="58" s="1"/>
  <c r="G2947" i="58"/>
  <c r="M2947" i="58" s="1"/>
  <c r="G2822" i="58"/>
  <c r="M2822" i="58" s="1"/>
  <c r="G2824" i="58"/>
  <c r="M2824" i="58" s="1"/>
  <c r="G2826" i="58"/>
  <c r="M2826" i="58" s="1"/>
  <c r="G2830" i="58"/>
  <c r="M2830" i="58" s="1"/>
  <c r="G2943" i="58"/>
  <c r="M2943" i="58" s="1"/>
  <c r="G2828" i="58"/>
  <c r="M2828" i="58" s="1"/>
  <c r="G2945" i="58"/>
  <c r="M2945" i="58" s="1"/>
  <c r="G2128" i="58"/>
  <c r="M2128" i="58" s="1"/>
  <c r="G2126" i="58"/>
  <c r="M2126" i="58" s="1"/>
  <c r="G2127" i="58"/>
  <c r="M2127" i="58" s="1"/>
  <c r="G2129" i="58"/>
  <c r="M2129" i="58" s="1"/>
  <c r="G2939" i="58"/>
  <c r="M2939" i="58" s="1"/>
  <c r="G2940" i="58"/>
  <c r="M2940" i="58" s="1"/>
  <c r="G1763" i="58"/>
  <c r="M1763" i="58" s="1"/>
  <c r="G1767" i="58"/>
  <c r="M1767" i="58" s="1"/>
  <c r="G1755" i="58"/>
  <c r="M1755" i="58" s="1"/>
  <c r="G1769" i="58"/>
  <c r="M1769" i="58" s="1"/>
  <c r="G1757" i="58"/>
  <c r="M1757" i="58" s="1"/>
  <c r="G1761" i="58"/>
  <c r="M1761" i="58" s="1"/>
  <c r="G1753" i="58"/>
  <c r="M1753" i="58" s="1"/>
  <c r="G1771" i="58"/>
  <c r="M1771" i="58" s="1"/>
  <c r="G1759" i="58"/>
  <c r="M1759" i="58" s="1"/>
  <c r="G1751" i="58"/>
  <c r="M1751" i="58" s="1"/>
  <c r="G1765" i="58"/>
  <c r="M1765" i="58" s="1"/>
  <c r="G1754" i="58"/>
  <c r="M1754" i="58" s="1"/>
  <c r="G1756" i="58"/>
  <c r="M1756" i="58" s="1"/>
  <c r="G1758" i="58"/>
  <c r="M1758" i="58" s="1"/>
  <c r="G1760" i="58"/>
  <c r="M1760" i="58" s="1"/>
  <c r="G1762" i="58"/>
  <c r="M1762" i="58" s="1"/>
  <c r="G1764" i="58"/>
  <c r="M1764" i="58" s="1"/>
  <c r="G1766" i="58"/>
  <c r="M1766" i="58" s="1"/>
  <c r="G1768" i="58"/>
  <c r="M1768" i="58" s="1"/>
  <c r="G1752" i="58"/>
  <c r="M1752" i="58" s="1"/>
  <c r="G1770" i="58"/>
  <c r="M1770" i="58" s="1"/>
  <c r="G1772" i="58"/>
  <c r="M1772" i="58" s="1"/>
  <c r="G2955" i="58"/>
  <c r="M2955" i="58" s="1"/>
  <c r="G2953" i="58"/>
  <c r="M2953" i="58" s="1"/>
  <c r="G2954" i="58"/>
  <c r="M2954" i="58" s="1"/>
  <c r="G2956" i="58"/>
  <c r="M2956" i="58" s="1"/>
  <c r="G2343" i="58"/>
  <c r="M2343" i="58" s="1"/>
  <c r="G2342" i="58"/>
  <c r="M2342" i="58" s="1"/>
  <c r="G2627" i="58"/>
  <c r="M2627" i="58" s="1"/>
  <c r="G2623" i="58"/>
  <c r="M2623" i="58" s="1"/>
  <c r="G2625" i="58"/>
  <c r="M2625" i="58" s="1"/>
  <c r="G2626" i="58"/>
  <c r="M2626" i="58" s="1"/>
  <c r="G2624" i="58"/>
  <c r="M2624" i="58" s="1"/>
  <c r="G2467" i="58"/>
  <c r="M2467" i="58" s="1"/>
  <c r="G2470" i="58"/>
  <c r="M2470" i="58" s="1"/>
  <c r="G2474" i="58"/>
  <c r="M2474" i="58" s="1"/>
  <c r="G2472" i="58"/>
  <c r="M2472" i="58" s="1"/>
  <c r="G2466" i="58"/>
  <c r="M2466" i="58" s="1"/>
  <c r="G2468" i="58"/>
  <c r="M2468" i="58" s="1"/>
  <c r="G2471" i="58"/>
  <c r="M2471" i="58" s="1"/>
  <c r="G2475" i="58"/>
  <c r="M2475" i="58" s="1"/>
  <c r="G2476" i="58"/>
  <c r="M2476" i="58" s="1"/>
  <c r="G2469" i="58"/>
  <c r="M2469" i="58" s="1"/>
  <c r="G2473" i="58"/>
  <c r="M2473" i="58" s="1"/>
  <c r="G2465" i="58"/>
  <c r="M2465" i="58" s="1"/>
  <c r="G1775" i="58"/>
  <c r="M1775" i="58" s="1"/>
  <c r="G1773" i="58"/>
  <c r="M1773" i="58" s="1"/>
  <c r="G1774" i="58"/>
  <c r="M1774" i="58" s="1"/>
  <c r="G2116" i="58"/>
  <c r="M2116" i="58" s="1"/>
  <c r="G2112" i="58"/>
  <c r="M2112" i="58" s="1"/>
  <c r="G2118" i="58"/>
  <c r="M2118" i="58" s="1"/>
  <c r="G2114" i="58"/>
  <c r="M2114" i="58" s="1"/>
  <c r="G2111" i="58"/>
  <c r="M2111" i="58" s="1"/>
  <c r="G2117" i="58"/>
  <c r="M2117" i="58" s="1"/>
  <c r="G2113" i="58"/>
  <c r="M2113" i="58" s="1"/>
  <c r="G2115" i="58"/>
  <c r="M2115" i="58" s="1"/>
  <c r="G3156" i="58"/>
  <c r="M3156" i="58" s="1"/>
  <c r="G3146" i="58"/>
  <c r="M3146" i="58" s="1"/>
  <c r="G1706" i="58"/>
  <c r="M1706" i="58" s="1"/>
  <c r="G1701" i="58"/>
  <c r="M1701" i="58" s="1"/>
  <c r="G1711" i="58"/>
  <c r="M1711" i="58" s="1"/>
  <c r="G1709" i="58"/>
  <c r="M1709" i="58" s="1"/>
  <c r="G1707" i="58"/>
  <c r="M1707" i="58" s="1"/>
  <c r="G1705" i="58"/>
  <c r="M1705" i="58" s="1"/>
  <c r="G1703" i="58"/>
  <c r="M1703" i="58" s="1"/>
  <c r="G1710" i="58"/>
  <c r="M1710" i="58" s="1"/>
  <c r="G1704" i="58"/>
  <c r="M1704" i="58" s="1"/>
  <c r="G1708" i="58"/>
  <c r="M1708" i="58" s="1"/>
  <c r="G1702" i="58"/>
  <c r="M1702" i="58" s="1"/>
  <c r="G2102" i="58"/>
  <c r="M2102" i="58" s="1"/>
  <c r="G2078" i="58"/>
  <c r="M2078" i="58" s="1"/>
  <c r="G2062" i="58"/>
  <c r="M2062" i="58" s="1"/>
  <c r="G2104" i="58"/>
  <c r="M2104" i="58" s="1"/>
  <c r="G2082" i="58"/>
  <c r="M2082" i="58" s="1"/>
  <c r="G2064" i="58"/>
  <c r="M2064" i="58" s="1"/>
  <c r="G2100" i="58"/>
  <c r="M2100" i="58" s="1"/>
  <c r="G2094" i="58"/>
  <c r="M2094" i="58" s="1"/>
  <c r="G2086" i="58"/>
  <c r="M2086" i="58" s="1"/>
  <c r="G2076" i="58"/>
  <c r="M2076" i="58" s="1"/>
  <c r="G2068" i="58"/>
  <c r="M2068" i="58" s="1"/>
  <c r="G2108" i="58"/>
  <c r="M2108" i="58" s="1"/>
  <c r="G2096" i="58"/>
  <c r="M2096" i="58" s="1"/>
  <c r="G2092" i="58"/>
  <c r="M2092" i="58" s="1"/>
  <c r="G2084" i="58"/>
  <c r="M2084" i="58" s="1"/>
  <c r="G2074" i="58"/>
  <c r="M2074" i="58" s="1"/>
  <c r="G2066" i="58"/>
  <c r="M2066" i="58" s="1"/>
  <c r="G2110" i="58"/>
  <c r="M2110" i="58" s="1"/>
  <c r="G2098" i="58"/>
  <c r="M2098" i="58" s="1"/>
  <c r="G2090" i="58"/>
  <c r="M2090" i="58" s="1"/>
  <c r="G2080" i="58"/>
  <c r="M2080" i="58" s="1"/>
  <c r="G2070" i="58"/>
  <c r="M2070" i="58" s="1"/>
  <c r="G2106" i="58"/>
  <c r="M2106" i="58" s="1"/>
  <c r="G2088" i="58"/>
  <c r="M2088" i="58" s="1"/>
  <c r="G2072" i="58"/>
  <c r="M2072" i="58" s="1"/>
  <c r="G2107" i="58"/>
  <c r="M2107" i="58" s="1"/>
  <c r="G2109" i="58"/>
  <c r="M2109" i="58" s="1"/>
  <c r="G2103" i="58"/>
  <c r="M2103" i="58" s="1"/>
  <c r="G2105" i="58"/>
  <c r="M2105" i="58" s="1"/>
  <c r="G2101" i="58"/>
  <c r="M2101" i="58" s="1"/>
  <c r="G2077" i="58"/>
  <c r="M2077" i="58" s="1"/>
  <c r="G2079" i="58"/>
  <c r="M2079" i="58" s="1"/>
  <c r="G2081" i="58"/>
  <c r="M2081" i="58" s="1"/>
  <c r="G2083" i="58"/>
  <c r="M2083" i="58" s="1"/>
  <c r="G2085" i="58"/>
  <c r="M2085" i="58" s="1"/>
  <c r="G2061" i="58"/>
  <c r="M2061" i="58" s="1"/>
  <c r="G2087" i="58"/>
  <c r="M2087" i="58" s="1"/>
  <c r="G2063" i="58"/>
  <c r="M2063" i="58" s="1"/>
  <c r="G2089" i="58"/>
  <c r="M2089" i="58" s="1"/>
  <c r="G2065" i="58"/>
  <c r="M2065" i="58" s="1"/>
  <c r="G2091" i="58"/>
  <c r="M2091" i="58" s="1"/>
  <c r="G2067" i="58"/>
  <c r="M2067" i="58" s="1"/>
  <c r="G2093" i="58"/>
  <c r="M2093" i="58" s="1"/>
  <c r="G2069" i="58"/>
  <c r="M2069" i="58" s="1"/>
  <c r="G2095" i="58"/>
  <c r="M2095" i="58" s="1"/>
  <c r="G2071" i="58"/>
  <c r="M2071" i="58" s="1"/>
  <c r="G2097" i="58"/>
  <c r="M2097" i="58" s="1"/>
  <c r="G2073" i="58"/>
  <c r="M2073" i="58" s="1"/>
  <c r="G2099" i="58"/>
  <c r="M2099" i="58" s="1"/>
  <c r="G2075" i="58"/>
  <c r="M2075" i="58" s="1"/>
  <c r="G2808" i="58"/>
  <c r="M2808" i="58" s="1"/>
  <c r="G2812" i="58"/>
  <c r="M2812" i="58" s="1"/>
  <c r="G2810" i="58"/>
  <c r="M2810" i="58" s="1"/>
  <c r="G2809" i="58"/>
  <c r="M2809" i="58" s="1"/>
  <c r="G2811" i="58"/>
  <c r="M2811" i="58" s="1"/>
  <c r="G1992" i="58"/>
  <c r="M1992" i="58" s="1"/>
  <c r="G1994" i="58"/>
  <c r="M1994" i="58" s="1"/>
  <c r="G1990" i="58"/>
  <c r="M1990" i="58" s="1"/>
  <c r="G1989" i="58"/>
  <c r="M1989" i="58" s="1"/>
  <c r="G1995" i="58"/>
  <c r="M1995" i="58" s="1"/>
  <c r="G1991" i="58"/>
  <c r="M1991" i="58" s="1"/>
  <c r="G1993" i="58"/>
  <c r="M1993" i="58" s="1"/>
  <c r="G1713" i="58"/>
  <c r="M1713" i="58" s="1"/>
  <c r="G1712" i="58"/>
  <c r="M1712" i="58" s="1"/>
  <c r="G5310" i="58"/>
  <c r="M5310" i="58" s="1"/>
  <c r="G5305" i="58"/>
  <c r="M5305" i="58" s="1"/>
  <c r="G5307" i="58"/>
  <c r="M5307" i="58" s="1"/>
  <c r="G5309" i="58"/>
  <c r="M5309" i="58" s="1"/>
  <c r="G5304" i="58"/>
  <c r="M5304" i="58" s="1"/>
  <c r="G5306" i="58"/>
  <c r="M5306" i="58" s="1"/>
  <c r="G5308" i="58"/>
  <c r="M5308" i="58" s="1"/>
  <c r="G2541" i="58"/>
  <c r="M2541" i="58" s="1"/>
  <c r="G2529" i="58"/>
  <c r="M2529" i="58" s="1"/>
  <c r="G2534" i="58"/>
  <c r="M2534" i="58" s="1"/>
  <c r="G2528" i="58"/>
  <c r="M2528" i="58" s="1"/>
  <c r="G2522" i="58"/>
  <c r="M2522" i="58" s="1"/>
  <c r="G2538" i="58"/>
  <c r="M2538" i="58" s="1"/>
  <c r="G2532" i="58"/>
  <c r="M2532" i="58" s="1"/>
  <c r="G2526" i="58"/>
  <c r="M2526" i="58" s="1"/>
  <c r="G2540" i="58"/>
  <c r="M2540" i="58" s="1"/>
  <c r="G2536" i="58"/>
  <c r="M2536" i="58" s="1"/>
  <c r="G2530" i="58"/>
  <c r="M2530" i="58" s="1"/>
  <c r="G2524" i="58"/>
  <c r="M2524" i="58" s="1"/>
  <c r="G2539" i="58"/>
  <c r="M2539" i="58" s="1"/>
  <c r="G2523" i="58"/>
  <c r="M2523" i="58" s="1"/>
  <c r="G2535" i="58"/>
  <c r="M2535" i="58" s="1"/>
  <c r="G2525" i="58"/>
  <c r="M2525" i="58" s="1"/>
  <c r="G2533" i="58"/>
  <c r="M2533" i="58" s="1"/>
  <c r="G2527" i="58"/>
  <c r="M2527" i="58" s="1"/>
  <c r="G2537" i="58"/>
  <c r="M2537" i="58" s="1"/>
  <c r="G2531" i="58"/>
  <c r="M2531" i="58" s="1"/>
  <c r="G2521" i="58"/>
  <c r="M2521" i="58" s="1"/>
  <c r="G2667" i="58"/>
  <c r="M2667" i="58" s="1"/>
  <c r="G2669" i="58"/>
  <c r="M2669" i="58" s="1"/>
  <c r="G2670" i="58"/>
  <c r="M2670" i="58" s="1"/>
  <c r="G2666" i="58"/>
  <c r="M2666" i="58" s="1"/>
  <c r="G2668" i="58"/>
  <c r="M2668" i="58" s="1"/>
  <c r="G1839" i="58"/>
  <c r="M1839" i="58" s="1"/>
  <c r="G1841" i="58"/>
  <c r="M1841" i="58" s="1"/>
  <c r="G1837" i="58"/>
  <c r="M1837" i="58" s="1"/>
  <c r="G1842" i="58"/>
  <c r="M1842" i="58" s="1"/>
  <c r="G1836" i="58"/>
  <c r="M1836" i="58" s="1"/>
  <c r="G1838" i="58"/>
  <c r="M1838" i="58" s="1"/>
  <c r="G1840" i="58"/>
  <c r="M1840" i="58" s="1"/>
  <c r="G2856" i="58"/>
  <c r="M2856" i="58" s="1"/>
  <c r="G2937" i="58"/>
  <c r="M2937" i="58" s="1"/>
  <c r="G2935" i="58"/>
  <c r="M2935" i="58" s="1"/>
  <c r="G2936" i="58"/>
  <c r="M2936" i="58" s="1"/>
  <c r="G2120" i="58"/>
  <c r="M2120" i="58" s="1"/>
  <c r="G2124" i="58"/>
  <c r="M2124" i="58" s="1"/>
  <c r="G2122" i="58"/>
  <c r="M2122" i="58" s="1"/>
  <c r="G2121" i="58"/>
  <c r="M2121" i="58" s="1"/>
  <c r="G2123" i="58"/>
  <c r="M2123" i="58" s="1"/>
  <c r="G2125" i="58"/>
  <c r="M2125" i="58" s="1"/>
  <c r="G2119" i="58"/>
  <c r="M2119" i="58" s="1"/>
  <c r="G2598" i="58"/>
  <c r="M2598" i="58" s="1"/>
  <c r="G2599" i="58"/>
  <c r="M2599" i="58" s="1"/>
  <c r="G2597" i="58"/>
  <c r="M2597" i="58" s="1"/>
  <c r="G2596" i="58"/>
  <c r="M2596" i="58" s="1"/>
  <c r="G2267" i="58"/>
  <c r="M2267" i="58" s="1"/>
  <c r="G2261" i="58"/>
  <c r="M2261" i="58" s="1"/>
  <c r="G2265" i="58"/>
  <c r="M2265" i="58" s="1"/>
  <c r="G2259" i="58"/>
  <c r="M2259" i="58" s="1"/>
  <c r="G2263" i="58"/>
  <c r="M2263" i="58" s="1"/>
  <c r="G2257" i="58"/>
  <c r="M2257" i="58" s="1"/>
  <c r="G2268" i="58"/>
  <c r="M2268" i="58" s="1"/>
  <c r="G2266" i="58"/>
  <c r="M2266" i="58" s="1"/>
  <c r="G2260" i="58"/>
  <c r="M2260" i="58" s="1"/>
  <c r="G2264" i="58"/>
  <c r="M2264" i="58" s="1"/>
  <c r="G2258" i="58"/>
  <c r="M2258" i="58" s="1"/>
  <c r="G2262" i="58"/>
  <c r="M2262" i="58" s="1"/>
  <c r="G3181" i="58"/>
  <c r="M3181" i="58" s="1"/>
  <c r="G3179" i="58"/>
  <c r="M3179" i="58" s="1"/>
  <c r="G3177" i="58"/>
  <c r="M3177" i="58" s="1"/>
  <c r="G3178" i="58"/>
  <c r="M3178" i="58" s="1"/>
  <c r="G3158" i="58"/>
  <c r="M3158" i="58" s="1"/>
  <c r="G3150" i="58"/>
  <c r="M3150" i="58" s="1"/>
  <c r="G1615" i="58"/>
  <c r="M1615" i="58" s="1"/>
  <c r="G1611" i="58"/>
  <c r="M1611" i="58" s="1"/>
  <c r="G1607" i="58"/>
  <c r="M1607" i="58" s="1"/>
  <c r="G1605" i="58"/>
  <c r="M1605" i="58" s="1"/>
  <c r="G1613" i="58"/>
  <c r="M1613" i="58" s="1"/>
  <c r="G1617" i="58"/>
  <c r="M1617" i="58" s="1"/>
  <c r="G1609" i="58"/>
  <c r="M1609" i="58" s="1"/>
  <c r="G1616" i="58"/>
  <c r="M1616" i="58" s="1"/>
  <c r="G1610" i="58"/>
  <c r="M1610" i="58" s="1"/>
  <c r="G1604" i="58"/>
  <c r="M1604" i="58" s="1"/>
  <c r="G1608" i="58"/>
  <c r="M1608" i="58" s="1"/>
  <c r="G1618" i="58"/>
  <c r="M1618" i="58" s="1"/>
  <c r="G1614" i="58"/>
  <c r="M1614" i="58" s="1"/>
  <c r="G1612" i="58"/>
  <c r="M1612" i="58" s="1"/>
  <c r="G1606" i="58"/>
  <c r="M1606" i="58" s="1"/>
  <c r="G5318" i="58"/>
  <c r="M5318" i="58" s="1"/>
  <c r="G5320" i="58"/>
  <c r="M5320" i="58" s="1"/>
  <c r="G5322" i="58"/>
  <c r="M5322" i="58" s="1"/>
  <c r="G5324" i="58"/>
  <c r="M5324" i="58" s="1"/>
  <c r="G5319" i="58"/>
  <c r="M5319" i="58" s="1"/>
  <c r="G5321" i="58"/>
  <c r="M5321" i="58" s="1"/>
  <c r="G5323" i="58"/>
  <c r="M5323" i="58" s="1"/>
  <c r="G2457" i="58"/>
  <c r="M2457" i="58" s="1"/>
  <c r="G2464" i="58"/>
  <c r="M2464" i="58" s="1"/>
  <c r="G2456" i="58"/>
  <c r="M2456" i="58" s="1"/>
  <c r="G2460" i="58"/>
  <c r="M2460" i="58" s="1"/>
  <c r="G2462" i="58"/>
  <c r="M2462" i="58" s="1"/>
  <c r="G2458" i="58"/>
  <c r="M2458" i="58" s="1"/>
  <c r="G2461" i="58"/>
  <c r="M2461" i="58" s="1"/>
  <c r="G2463" i="58"/>
  <c r="M2463" i="58" s="1"/>
  <c r="G2459" i="58"/>
  <c r="M2459" i="58" s="1"/>
  <c r="G2859" i="58"/>
  <c r="M2859" i="58" s="1"/>
  <c r="G2860" i="58"/>
  <c r="M2860" i="58" s="1"/>
  <c r="G1655" i="58"/>
  <c r="M1655" i="58" s="1"/>
  <c r="G1649" i="58"/>
  <c r="M1649" i="58" s="1"/>
  <c r="G1657" i="58"/>
  <c r="M1657" i="58" s="1"/>
  <c r="G1647" i="58"/>
  <c r="M1647" i="58" s="1"/>
  <c r="G1653" i="58"/>
  <c r="M1653" i="58" s="1"/>
  <c r="G1645" i="58"/>
  <c r="M1645" i="58" s="1"/>
  <c r="G1651" i="58"/>
  <c r="M1651" i="58" s="1"/>
  <c r="G1654" i="58"/>
  <c r="M1654" i="58" s="1"/>
  <c r="G1646" i="58"/>
  <c r="M1646" i="58" s="1"/>
  <c r="G1650" i="58"/>
  <c r="M1650" i="58" s="1"/>
  <c r="G1658" i="58"/>
  <c r="M1658" i="58" s="1"/>
  <c r="G1656" i="58"/>
  <c r="M1656" i="58" s="1"/>
  <c r="G1652" i="58"/>
  <c r="M1652" i="58" s="1"/>
  <c r="G1648" i="58"/>
  <c r="M1648" i="58" s="1"/>
  <c r="G1644" i="58"/>
  <c r="M1644" i="58" s="1"/>
  <c r="G5345" i="58"/>
  <c r="M5345" i="58" s="1"/>
  <c r="G5340" i="58"/>
  <c r="M5340" i="58" s="1"/>
  <c r="G5342" i="58"/>
  <c r="M5342" i="58" s="1"/>
  <c r="G5344" i="58"/>
  <c r="M5344" i="58" s="1"/>
  <c r="G5339" i="58"/>
  <c r="M5339" i="58" s="1"/>
  <c r="G5341" i="58"/>
  <c r="M5341" i="58" s="1"/>
  <c r="G5343" i="58"/>
  <c r="M5343" i="58" s="1"/>
  <c r="G1819" i="58"/>
  <c r="M1819" i="58" s="1"/>
  <c r="G1829" i="58"/>
  <c r="M1829" i="58" s="1"/>
  <c r="G1831" i="58"/>
  <c r="M1831" i="58" s="1"/>
  <c r="G1823" i="58"/>
  <c r="M1823" i="58" s="1"/>
  <c r="G1833" i="58"/>
  <c r="M1833" i="58" s="1"/>
  <c r="G1825" i="58"/>
  <c r="M1825" i="58" s="1"/>
  <c r="G1815" i="58"/>
  <c r="M1815" i="58" s="1"/>
  <c r="G1835" i="58"/>
  <c r="M1835" i="58" s="1"/>
  <c r="G1827" i="58"/>
  <c r="M1827" i="58" s="1"/>
  <c r="G1817" i="58"/>
  <c r="M1817" i="58" s="1"/>
  <c r="G1821" i="58"/>
  <c r="M1821" i="58" s="1"/>
  <c r="G1820" i="58"/>
  <c r="M1820" i="58" s="1"/>
  <c r="G1822" i="58"/>
  <c r="M1822" i="58" s="1"/>
  <c r="G1824" i="58"/>
  <c r="M1824" i="58" s="1"/>
  <c r="G1826" i="58"/>
  <c r="M1826" i="58" s="1"/>
  <c r="G1828" i="58"/>
  <c r="M1828" i="58" s="1"/>
  <c r="G1830" i="58"/>
  <c r="M1830" i="58" s="1"/>
  <c r="G1832" i="58"/>
  <c r="M1832" i="58" s="1"/>
  <c r="G1834" i="58"/>
  <c r="M1834" i="58" s="1"/>
  <c r="G1818" i="58"/>
  <c r="M1818" i="58" s="1"/>
  <c r="G1816" i="58"/>
  <c r="M1816" i="58" s="1"/>
  <c r="G3020" i="58"/>
  <c r="M3020" i="58" s="1"/>
  <c r="G3016" i="58"/>
  <c r="M3016" i="58" s="1"/>
  <c r="G3010" i="58"/>
  <c r="M3010" i="58" s="1"/>
  <c r="G2998" i="58"/>
  <c r="M2998" i="58" s="1"/>
  <c r="G2986" i="58"/>
  <c r="M2986" i="58" s="1"/>
  <c r="G3008" i="58"/>
  <c r="M3008" i="58" s="1"/>
  <c r="G3000" i="58"/>
  <c r="M3000" i="58" s="1"/>
  <c r="G2994" i="58"/>
  <c r="M2994" i="58" s="1"/>
  <c r="G2988" i="58"/>
  <c r="M2988" i="58" s="1"/>
  <c r="G2976" i="58"/>
  <c r="M2976" i="58" s="1"/>
  <c r="G3018" i="58"/>
  <c r="M3018" i="58" s="1"/>
  <c r="G3012" i="58"/>
  <c r="M3012" i="58" s="1"/>
  <c r="G3002" i="58"/>
  <c r="M3002" i="58" s="1"/>
  <c r="G2996" i="58"/>
  <c r="M2996" i="58" s="1"/>
  <c r="G2978" i="58"/>
  <c r="M2978" i="58" s="1"/>
  <c r="G3017" i="58"/>
  <c r="M3017" i="58" s="1"/>
  <c r="G3019" i="58"/>
  <c r="M3019" i="58" s="1"/>
  <c r="G2995" i="58"/>
  <c r="M2995" i="58" s="1"/>
  <c r="G3021" i="58"/>
  <c r="M3021" i="58" s="1"/>
  <c r="G2997" i="58"/>
  <c r="M2997" i="58" s="1"/>
  <c r="G3023" i="58"/>
  <c r="M3023" i="58" s="1"/>
  <c r="G2999" i="58"/>
  <c r="M2999" i="58" s="1"/>
  <c r="G2975" i="58"/>
  <c r="M2975" i="58" s="1"/>
  <c r="G3001" i="58"/>
  <c r="M3001" i="58" s="1"/>
  <c r="G2977" i="58"/>
  <c r="M2977" i="58" s="1"/>
  <c r="G2979" i="58"/>
  <c r="M2979" i="58" s="1"/>
  <c r="G2981" i="58"/>
  <c r="M2981" i="58" s="1"/>
  <c r="G3015" i="58"/>
  <c r="M3015" i="58" s="1"/>
  <c r="G3009" i="58"/>
  <c r="M3009" i="58" s="1"/>
  <c r="G2985" i="58"/>
  <c r="M2985" i="58" s="1"/>
  <c r="G3011" i="58"/>
  <c r="M3011" i="58" s="1"/>
  <c r="G2987" i="58"/>
  <c r="M2987" i="58" s="1"/>
  <c r="G2915" i="58"/>
  <c r="M2915" i="58" s="1"/>
  <c r="G2914" i="58"/>
  <c r="M2914" i="58" s="1"/>
  <c r="G2847" i="58"/>
  <c r="M2847" i="58" s="1"/>
  <c r="G2846" i="58"/>
  <c r="M2846" i="58" s="1"/>
  <c r="G5512" i="58"/>
  <c r="M5512" i="58" s="1"/>
  <c r="G5497" i="58"/>
  <c r="M5497" i="58" s="1"/>
  <c r="G5509" i="58"/>
  <c r="M5509" i="58" s="1"/>
  <c r="G5514" i="58"/>
  <c r="M5514" i="58" s="1"/>
  <c r="G5504" i="58"/>
  <c r="M5504" i="58" s="1"/>
  <c r="G5499" i="58"/>
  <c r="M5499" i="58" s="1"/>
  <c r="G5501" i="58"/>
  <c r="M5501" i="58" s="1"/>
  <c r="G5516" i="58"/>
  <c r="M5516" i="58" s="1"/>
  <c r="G5506" i="58"/>
  <c r="M5506" i="58" s="1"/>
  <c r="G5511" i="58"/>
  <c r="M5511" i="58" s="1"/>
  <c r="G5496" i="58"/>
  <c r="M5496" i="58" s="1"/>
  <c r="G5508" i="58"/>
  <c r="M5508" i="58" s="1"/>
  <c r="G5513" i="58"/>
  <c r="M5513" i="58" s="1"/>
  <c r="G5503" i="58"/>
  <c r="M5503" i="58" s="1"/>
  <c r="G5498" i="58"/>
  <c r="M5498" i="58" s="1"/>
  <c r="G5500" i="58"/>
  <c r="M5500" i="58" s="1"/>
  <c r="G5515" i="58"/>
  <c r="M5515" i="58" s="1"/>
  <c r="G5505" i="58"/>
  <c r="M5505" i="58" s="1"/>
  <c r="G5510" i="58"/>
  <c r="M5510" i="58" s="1"/>
  <c r="G5502" i="58"/>
  <c r="M5502" i="58" s="1"/>
  <c r="G5507" i="58"/>
  <c r="M5507" i="58" s="1"/>
  <c r="G2427" i="58"/>
  <c r="M2427" i="58" s="1"/>
  <c r="G2431" i="58"/>
  <c r="M2431" i="58" s="1"/>
  <c r="G2424" i="58"/>
  <c r="M2424" i="58" s="1"/>
  <c r="G2433" i="58"/>
  <c r="M2433" i="58" s="1"/>
  <c r="G2428" i="58"/>
  <c r="M2428" i="58" s="1"/>
  <c r="G2435" i="58"/>
  <c r="M2435" i="58" s="1"/>
  <c r="G2429" i="58"/>
  <c r="M2429" i="58" s="1"/>
  <c r="G2426" i="58"/>
  <c r="M2426" i="58" s="1"/>
  <c r="G2432" i="58"/>
  <c r="M2432" i="58" s="1"/>
  <c r="G2434" i="58"/>
  <c r="M2434" i="58" s="1"/>
  <c r="G2425" i="58"/>
  <c r="M2425" i="58" s="1"/>
  <c r="G2430" i="58"/>
  <c r="M2430" i="58" s="1"/>
  <c r="G1887" i="58"/>
  <c r="M1887" i="58" s="1"/>
  <c r="G1889" i="58"/>
  <c r="M1889" i="58" s="1"/>
  <c r="G1886" i="58"/>
  <c r="M1886" i="58" s="1"/>
  <c r="G1888" i="58"/>
  <c r="M1888" i="58" s="1"/>
  <c r="G3024" i="58"/>
  <c r="M3024" i="58" s="1"/>
  <c r="G3004" i="58"/>
  <c r="M3004" i="58" s="1"/>
  <c r="G2992" i="58"/>
  <c r="M2992" i="58" s="1"/>
  <c r="G2980" i="58"/>
  <c r="M2980" i="58" s="1"/>
  <c r="G3014" i="58"/>
  <c r="M3014" i="58" s="1"/>
  <c r="G2982" i="58"/>
  <c r="M2982" i="58" s="1"/>
  <c r="G3022" i="58"/>
  <c r="M3022" i="58" s="1"/>
  <c r="G3006" i="58"/>
  <c r="M3006" i="58" s="1"/>
  <c r="G2990" i="58"/>
  <c r="M2990" i="58" s="1"/>
  <c r="G2984" i="58"/>
  <c r="M2984" i="58" s="1"/>
  <c r="G2993" i="58"/>
  <c r="M2993" i="58" s="1"/>
  <c r="G3003" i="58"/>
  <c r="M3003" i="58" s="1"/>
  <c r="G3005" i="58"/>
  <c r="M3005" i="58" s="1"/>
  <c r="G3007" i="58"/>
  <c r="M3007" i="58" s="1"/>
  <c r="G2983" i="58"/>
  <c r="M2983" i="58" s="1"/>
  <c r="G2991" i="58"/>
  <c r="M2991" i="58" s="1"/>
  <c r="G3013" i="58"/>
  <c r="M3013" i="58" s="1"/>
  <c r="G2989" i="58"/>
  <c r="M2989" i="58" s="1"/>
  <c r="G5443" i="58"/>
  <c r="M5443" i="58" s="1"/>
  <c r="G5445" i="58"/>
  <c r="M5445" i="58" s="1"/>
  <c r="G5440" i="58"/>
  <c r="M5440" i="58" s="1"/>
  <c r="G5442" i="58"/>
  <c r="M5442" i="58" s="1"/>
  <c r="G5444" i="58"/>
  <c r="M5444" i="58" s="1"/>
  <c r="G5439" i="58"/>
  <c r="M5439" i="58" s="1"/>
  <c r="G5441" i="58"/>
  <c r="M5441" i="58" s="1"/>
  <c r="G1467" i="58"/>
  <c r="M1467" i="58" s="1"/>
  <c r="G1464" i="58"/>
  <c r="M1464" i="58" s="1"/>
  <c r="G1460" i="58"/>
  <c r="M1460" i="58" s="1"/>
  <c r="G1465" i="58"/>
  <c r="M1465" i="58" s="1"/>
  <c r="G1457" i="58"/>
  <c r="M1457" i="58" s="1"/>
  <c r="G1468" i="58"/>
  <c r="M1468" i="58" s="1"/>
  <c r="G1462" i="58"/>
  <c r="M1462" i="58" s="1"/>
  <c r="G1458" i="58"/>
  <c r="M1458" i="58" s="1"/>
  <c r="G1466" i="58"/>
  <c r="M1466" i="58" s="1"/>
  <c r="G1463" i="58"/>
  <c r="M1463" i="58" s="1"/>
  <c r="G1459" i="58"/>
  <c r="M1459" i="58" s="1"/>
  <c r="G1469" i="58"/>
  <c r="M1469" i="58" s="1"/>
  <c r="G1461" i="58"/>
  <c r="M1461" i="58" s="1"/>
  <c r="G2957" i="58"/>
  <c r="M2957" i="58" s="1"/>
  <c r="G2959" i="58"/>
  <c r="M2959" i="58" s="1"/>
  <c r="G2958" i="58"/>
  <c r="M2958" i="58" s="1"/>
  <c r="G2960" i="58"/>
  <c r="M2960" i="58" s="1"/>
  <c r="G2783" i="58"/>
  <c r="M2783" i="58" s="1"/>
  <c r="G2892" i="58"/>
  <c r="M2892" i="58" s="1"/>
  <c r="G2785" i="58"/>
  <c r="M2785" i="58" s="1"/>
  <c r="G2782" i="58"/>
  <c r="M2782" i="58" s="1"/>
  <c r="G2891" i="58"/>
  <c r="M2891" i="58" s="1"/>
  <c r="G2893" i="58"/>
  <c r="M2893" i="58" s="1"/>
  <c r="G2781" i="58"/>
  <c r="M2781" i="58" s="1"/>
  <c r="G2784" i="58"/>
  <c r="M2784" i="58" s="1"/>
  <c r="G2658" i="58"/>
  <c r="M2658" i="58" s="1"/>
  <c r="G2661" i="58"/>
  <c r="M2661" i="58" s="1"/>
  <c r="G2655" i="58"/>
  <c r="M2655" i="58" s="1"/>
  <c r="G2663" i="58"/>
  <c r="M2663" i="58" s="1"/>
  <c r="G2657" i="58"/>
  <c r="M2657" i="58" s="1"/>
  <c r="G2665" i="58"/>
  <c r="M2665" i="58" s="1"/>
  <c r="G2659" i="58"/>
  <c r="M2659" i="58" s="1"/>
  <c r="G2653" i="58"/>
  <c r="M2653" i="58" s="1"/>
  <c r="G2656" i="58"/>
  <c r="M2656" i="58" s="1"/>
  <c r="G2662" i="58"/>
  <c r="M2662" i="58" s="1"/>
  <c r="G2654" i="58"/>
  <c r="M2654" i="58" s="1"/>
  <c r="G2664" i="58"/>
  <c r="M2664" i="58" s="1"/>
  <c r="G2660" i="58"/>
  <c r="M2660" i="58" s="1"/>
  <c r="G2652" i="58"/>
  <c r="M2652" i="58" s="1"/>
  <c r="G2907" i="58"/>
  <c r="M2907" i="58" s="1"/>
  <c r="G2908" i="58"/>
  <c r="M2908" i="58" s="1"/>
  <c r="G2480" i="58"/>
  <c r="M2480" i="58" s="1"/>
  <c r="G2482" i="58"/>
  <c r="M2482" i="58" s="1"/>
  <c r="G2478" i="58"/>
  <c r="M2478" i="58" s="1"/>
  <c r="G2479" i="58"/>
  <c r="M2479" i="58" s="1"/>
  <c r="G2483" i="58"/>
  <c r="M2483" i="58" s="1"/>
  <c r="G2481" i="58"/>
  <c r="M2481" i="58" s="1"/>
  <c r="G2477" i="58"/>
  <c r="M2477" i="58" s="1"/>
  <c r="G1700" i="58"/>
  <c r="M1700" i="58" s="1"/>
  <c r="G1692" i="58"/>
  <c r="M1692" i="58" s="1"/>
  <c r="G1695" i="58"/>
  <c r="M1695" i="58" s="1"/>
  <c r="G1699" i="58"/>
  <c r="M1699" i="58" s="1"/>
  <c r="G1697" i="58"/>
  <c r="M1697" i="58" s="1"/>
  <c r="G1693" i="58"/>
  <c r="M1693" i="58" s="1"/>
  <c r="G1698" i="58"/>
  <c r="M1698" i="58" s="1"/>
  <c r="G1696" i="58"/>
  <c r="M1696" i="58" s="1"/>
  <c r="G1694" i="58"/>
  <c r="M1694" i="58" s="1"/>
  <c r="G2919" i="58"/>
  <c r="M2919" i="58" s="1"/>
  <c r="G2921" i="58"/>
  <c r="M2921" i="58" s="1"/>
  <c r="G2920" i="58"/>
  <c r="M2920" i="58" s="1"/>
  <c r="G2964" i="58"/>
  <c r="M2964" i="58" s="1"/>
  <c r="G2966" i="58"/>
  <c r="M2966" i="58" s="1"/>
  <c r="G3070" i="58"/>
  <c r="M3070" i="58" s="1"/>
  <c r="G3090" i="58"/>
  <c r="M3090" i="58" s="1"/>
  <c r="G3072" i="58"/>
  <c r="M3072" i="58" s="1"/>
  <c r="G3091" i="58"/>
  <c r="M3091" i="58" s="1"/>
  <c r="G3071" i="58"/>
  <c r="M3071" i="58" s="1"/>
  <c r="G3083" i="58"/>
  <c r="M3083" i="58" s="1"/>
  <c r="G2851" i="58"/>
  <c r="M2851" i="58" s="1"/>
  <c r="G2850" i="58"/>
  <c r="M2850" i="58" s="1"/>
  <c r="G2485" i="58"/>
  <c r="M2485" i="58" s="1"/>
  <c r="G2484" i="58"/>
  <c r="M2484" i="58" s="1"/>
  <c r="G2486" i="58"/>
  <c r="M2486" i="58" s="1"/>
  <c r="G2487" i="58"/>
  <c r="M2487" i="58" s="1"/>
  <c r="G2439" i="58"/>
  <c r="M2439" i="58" s="1"/>
  <c r="G2437" i="58"/>
  <c r="M2437" i="58" s="1"/>
  <c r="G2441" i="58"/>
  <c r="M2441" i="58" s="1"/>
  <c r="G2440" i="58"/>
  <c r="M2440" i="58" s="1"/>
  <c r="G2438" i="58"/>
  <c r="M2438" i="58" s="1"/>
  <c r="G2436" i="58"/>
  <c r="M2436" i="58" s="1"/>
  <c r="G2874" i="58"/>
  <c r="M2874" i="58" s="1"/>
  <c r="G2875" i="58"/>
  <c r="M2875" i="58" s="1"/>
  <c r="G5350" i="58"/>
  <c r="M5350" i="58" s="1"/>
  <c r="G5352" i="58"/>
  <c r="M5352" i="58" s="1"/>
  <c r="G5347" i="58"/>
  <c r="M5347" i="58" s="1"/>
  <c r="G5349" i="58"/>
  <c r="M5349" i="58" s="1"/>
  <c r="G5351" i="58"/>
  <c r="M5351" i="58" s="1"/>
  <c r="G5346" i="58"/>
  <c r="M5346" i="58" s="1"/>
  <c r="G5348" i="58"/>
  <c r="M5348" i="58" s="1"/>
  <c r="G1456" i="58"/>
  <c r="M1456" i="58" s="1"/>
  <c r="G1455" i="58"/>
  <c r="M1455" i="58" s="1"/>
  <c r="G1724" i="58"/>
  <c r="M1724" i="58" s="1"/>
  <c r="G1714" i="58"/>
  <c r="M1714" i="58" s="1"/>
  <c r="G1723" i="58"/>
  <c r="M1723" i="58" s="1"/>
  <c r="G1721" i="58"/>
  <c r="M1721" i="58" s="1"/>
  <c r="G1719" i="58"/>
  <c r="M1719" i="58" s="1"/>
  <c r="G1717" i="58"/>
  <c r="M1717" i="58" s="1"/>
  <c r="G1715" i="58"/>
  <c r="M1715" i="58" s="1"/>
  <c r="G1718" i="58"/>
  <c r="M1718" i="58" s="1"/>
  <c r="G1720" i="58"/>
  <c r="M1720" i="58" s="1"/>
  <c r="G1722" i="58"/>
  <c r="M1722" i="58" s="1"/>
  <c r="G1716" i="58"/>
  <c r="M1716" i="58" s="1"/>
  <c r="G2542" i="58"/>
  <c r="M2542" i="58" s="1"/>
  <c r="G2544" i="58"/>
  <c r="M2544" i="58" s="1"/>
  <c r="G2543" i="58"/>
  <c r="M2543" i="58" s="1"/>
  <c r="G5465" i="58"/>
  <c r="M5465" i="58" s="1"/>
  <c r="G5460" i="58"/>
  <c r="M5460" i="58" s="1"/>
  <c r="G5462" i="58"/>
  <c r="M5462" i="58" s="1"/>
  <c r="G5464" i="58"/>
  <c r="M5464" i="58" s="1"/>
  <c r="G5466" i="58"/>
  <c r="M5466" i="58" s="1"/>
  <c r="G5461" i="58"/>
  <c r="M5461" i="58" s="1"/>
  <c r="G5463" i="58"/>
  <c r="M5463" i="58" s="1"/>
  <c r="G2742" i="58"/>
  <c r="M2742" i="58" s="1"/>
  <c r="G2740" i="58"/>
  <c r="M2740" i="58" s="1"/>
  <c r="G2738" i="58"/>
  <c r="M2738" i="58" s="1"/>
  <c r="G2730" i="58"/>
  <c r="M2730" i="58" s="1"/>
  <c r="G2720" i="58"/>
  <c r="M2720" i="58" s="1"/>
  <c r="G2704" i="58"/>
  <c r="M2704" i="58" s="1"/>
  <c r="G2739" i="58"/>
  <c r="M2739" i="58" s="1"/>
  <c r="G2733" i="58"/>
  <c r="M2733" i="58" s="1"/>
  <c r="G2729" i="58"/>
  <c r="M2729" i="58" s="1"/>
  <c r="G2723" i="58"/>
  <c r="M2723" i="58" s="1"/>
  <c r="G2715" i="58"/>
  <c r="M2715" i="58" s="1"/>
  <c r="G2707" i="58"/>
  <c r="M2707" i="58" s="1"/>
  <c r="G2737" i="58"/>
  <c r="M2737" i="58" s="1"/>
  <c r="G2731" i="58"/>
  <c r="M2731" i="58" s="1"/>
  <c r="G2725" i="58"/>
  <c r="M2725" i="58" s="1"/>
  <c r="G2719" i="58"/>
  <c r="M2719" i="58" s="1"/>
  <c r="G2717" i="58"/>
  <c r="M2717" i="58" s="1"/>
  <c r="G2711" i="58"/>
  <c r="M2711" i="58" s="1"/>
  <c r="G2705" i="58"/>
  <c r="M2705" i="58" s="1"/>
  <c r="G2741" i="58"/>
  <c r="M2741" i="58" s="1"/>
  <c r="G2735" i="58"/>
  <c r="M2735" i="58" s="1"/>
  <c r="G2727" i="58"/>
  <c r="M2727" i="58" s="1"/>
  <c r="G2721" i="58"/>
  <c r="M2721" i="58" s="1"/>
  <c r="G2713" i="58"/>
  <c r="M2713" i="58" s="1"/>
  <c r="G2709" i="58"/>
  <c r="M2709" i="58" s="1"/>
  <c r="G2732" i="58"/>
  <c r="M2732" i="58" s="1"/>
  <c r="G2718" i="58"/>
  <c r="M2718" i="58" s="1"/>
  <c r="G2734" i="58"/>
  <c r="M2734" i="58" s="1"/>
  <c r="G2726" i="58"/>
  <c r="M2726" i="58" s="1"/>
  <c r="G2722" i="58"/>
  <c r="M2722" i="58" s="1"/>
  <c r="G2714" i="58"/>
  <c r="M2714" i="58" s="1"/>
  <c r="G2710" i="58"/>
  <c r="M2710" i="58" s="1"/>
  <c r="G2708" i="58"/>
  <c r="M2708" i="58" s="1"/>
  <c r="G2736" i="58"/>
  <c r="M2736" i="58" s="1"/>
  <c r="G2728" i="58"/>
  <c r="M2728" i="58" s="1"/>
  <c r="G2724" i="58"/>
  <c r="M2724" i="58" s="1"/>
  <c r="G2716" i="58"/>
  <c r="M2716" i="58" s="1"/>
  <c r="G2712" i="58"/>
  <c r="M2712" i="58" s="1"/>
  <c r="G2706" i="58"/>
  <c r="M2706" i="58" s="1"/>
  <c r="G1913" i="58"/>
  <c r="M1913" i="58" s="1"/>
  <c r="G1891" i="58"/>
  <c r="M1891" i="58" s="1"/>
  <c r="G1895" i="58"/>
  <c r="M1895" i="58" s="1"/>
  <c r="G1920" i="58"/>
  <c r="M1920" i="58" s="1"/>
  <c r="G1909" i="58"/>
  <c r="M1909" i="58" s="1"/>
  <c r="G1903" i="58"/>
  <c r="M1903" i="58" s="1"/>
  <c r="G1893" i="58"/>
  <c r="M1893" i="58" s="1"/>
  <c r="G1922" i="58"/>
  <c r="M1922" i="58" s="1"/>
  <c r="G1911" i="58"/>
  <c r="M1911" i="58" s="1"/>
  <c r="G1905" i="58"/>
  <c r="M1905" i="58" s="1"/>
  <c r="G1897" i="58"/>
  <c r="M1897" i="58" s="1"/>
  <c r="G1915" i="58"/>
  <c r="M1915" i="58" s="1"/>
  <c r="G1907" i="58"/>
  <c r="M1907" i="58" s="1"/>
  <c r="G1901" i="58"/>
  <c r="M1901" i="58" s="1"/>
  <c r="G1917" i="58"/>
  <c r="M1917" i="58" s="1"/>
  <c r="G1899" i="58"/>
  <c r="M1899" i="58" s="1"/>
  <c r="G1914" i="58"/>
  <c r="M1914" i="58" s="1"/>
  <c r="G1890" i="58"/>
  <c r="M1890" i="58" s="1"/>
  <c r="G1916" i="58"/>
  <c r="M1916" i="58" s="1"/>
  <c r="G1892" i="58"/>
  <c r="M1892" i="58" s="1"/>
  <c r="G1918" i="58"/>
  <c r="M1918" i="58" s="1"/>
  <c r="G1894" i="58"/>
  <c r="M1894" i="58" s="1"/>
  <c r="G1919" i="58"/>
  <c r="M1919" i="58" s="1"/>
  <c r="G1896" i="58"/>
  <c r="M1896" i="58" s="1"/>
  <c r="G1921" i="58"/>
  <c r="M1921" i="58" s="1"/>
  <c r="G1898" i="58"/>
  <c r="M1898" i="58" s="1"/>
  <c r="G1900" i="58"/>
  <c r="M1900" i="58" s="1"/>
  <c r="G1902" i="58"/>
  <c r="M1902" i="58" s="1"/>
  <c r="G1904" i="58"/>
  <c r="M1904" i="58" s="1"/>
  <c r="G1906" i="58"/>
  <c r="M1906" i="58" s="1"/>
  <c r="G1908" i="58"/>
  <c r="M1908" i="58" s="1"/>
  <c r="G1910" i="58"/>
  <c r="M1910" i="58" s="1"/>
  <c r="G1912" i="58"/>
  <c r="M1912" i="58" s="1"/>
  <c r="G1475" i="58"/>
  <c r="M1475" i="58" s="1"/>
  <c r="G1471" i="58"/>
  <c r="M1471" i="58" s="1"/>
  <c r="G1474" i="58"/>
  <c r="M1474" i="58" s="1"/>
  <c r="G1470" i="58"/>
  <c r="M1470" i="58" s="1"/>
  <c r="G1479" i="58"/>
  <c r="M1479" i="58" s="1"/>
  <c r="G1473" i="58"/>
  <c r="M1473" i="58" s="1"/>
  <c r="G1477" i="58"/>
  <c r="M1477" i="58" s="1"/>
  <c r="G1480" i="58"/>
  <c r="M1480" i="58" s="1"/>
  <c r="G1472" i="58"/>
  <c r="M1472" i="58" s="1"/>
  <c r="G1478" i="58"/>
  <c r="M1478" i="58" s="1"/>
  <c r="G1476" i="58"/>
  <c r="M1476" i="58" s="1"/>
  <c r="G3039" i="58"/>
  <c r="M3039" i="58" s="1"/>
  <c r="G3040" i="58"/>
  <c r="M3040" i="58" s="1"/>
  <c r="G2820" i="58"/>
  <c r="M2820" i="58" s="1"/>
  <c r="G2814" i="58"/>
  <c r="M2814" i="58" s="1"/>
  <c r="G2818" i="58"/>
  <c r="M2818" i="58" s="1"/>
  <c r="G2942" i="58"/>
  <c r="M2942" i="58" s="1"/>
  <c r="G2816" i="58"/>
  <c r="M2816" i="58" s="1"/>
  <c r="G2813" i="58"/>
  <c r="M2813" i="58" s="1"/>
  <c r="G2815" i="58"/>
  <c r="M2815" i="58" s="1"/>
  <c r="G2817" i="58"/>
  <c r="M2817" i="58" s="1"/>
  <c r="G2819" i="58"/>
  <c r="M2819" i="58" s="1"/>
  <c r="G2821" i="58"/>
  <c r="M2821" i="58" s="1"/>
  <c r="G2941" i="58"/>
  <c r="M2941" i="58" s="1"/>
  <c r="G2601" i="58"/>
  <c r="M2601" i="58" s="1"/>
  <c r="G2603" i="58"/>
  <c r="M2603" i="58" s="1"/>
  <c r="G2602" i="58"/>
  <c r="M2602" i="58" s="1"/>
  <c r="G2600" i="58"/>
  <c r="M2600" i="58" s="1"/>
  <c r="G3157" i="58"/>
  <c r="M3157" i="58" s="1"/>
  <c r="G3148" i="58"/>
  <c r="M3148" i="58" s="1"/>
  <c r="G3080" i="58"/>
  <c r="M3080" i="58" s="1"/>
  <c r="G3058" i="58"/>
  <c r="M3058" i="58" s="1"/>
  <c r="G3079" i="58"/>
  <c r="M3079" i="58" s="1"/>
  <c r="G3081" i="58"/>
  <c r="M3081" i="58" s="1"/>
  <c r="G3057" i="58"/>
  <c r="M3057" i="58" s="1"/>
  <c r="G3059" i="58"/>
  <c r="M3059" i="58" s="1"/>
  <c r="G2971" i="58"/>
  <c r="M2971" i="58" s="1"/>
  <c r="G2970" i="58"/>
  <c r="M2970" i="58" s="1"/>
  <c r="G3100" i="58"/>
  <c r="M3100" i="58" s="1"/>
  <c r="G3110" i="58"/>
  <c r="M3110" i="58" s="1"/>
  <c r="G3073" i="58"/>
  <c r="M3073" i="58" s="1"/>
  <c r="G3075" i="58"/>
  <c r="M3075" i="58" s="1"/>
  <c r="G3101" i="58"/>
  <c r="M3101" i="58" s="1"/>
  <c r="G3061" i="58"/>
  <c r="M3061" i="58" s="1"/>
  <c r="G1530" i="58"/>
  <c r="M1530" i="58" s="1"/>
  <c r="G1525" i="58"/>
  <c r="M1525" i="58" s="1"/>
  <c r="G1519" i="58"/>
  <c r="M1519" i="58" s="1"/>
  <c r="G1529" i="58"/>
  <c r="M1529" i="58" s="1"/>
  <c r="G1522" i="58"/>
  <c r="M1522" i="58" s="1"/>
  <c r="G1527" i="58"/>
  <c r="M1527" i="58" s="1"/>
  <c r="G1523" i="58"/>
  <c r="M1523" i="58" s="1"/>
  <c r="G1526" i="58"/>
  <c r="M1526" i="58" s="1"/>
  <c r="G1518" i="58"/>
  <c r="M1518" i="58" s="1"/>
  <c r="G1521" i="58"/>
  <c r="M1521" i="58" s="1"/>
  <c r="G1524" i="58"/>
  <c r="M1524" i="58" s="1"/>
  <c r="G1528" i="58"/>
  <c r="M1528" i="58" s="1"/>
  <c r="G1520" i="58"/>
  <c r="M1520" i="58" s="1"/>
  <c r="G2608" i="58"/>
  <c r="M2608" i="58" s="1"/>
  <c r="G2609" i="58"/>
  <c r="M2609" i="58" s="1"/>
  <c r="G2605" i="58"/>
  <c r="M2605" i="58" s="1"/>
  <c r="G2607" i="58"/>
  <c r="M2607" i="58" s="1"/>
  <c r="G2606" i="58"/>
  <c r="M2606" i="58" s="1"/>
  <c r="G2604" i="58"/>
  <c r="M2604" i="58" s="1"/>
  <c r="G1554" i="58"/>
  <c r="M1554" i="58" s="1"/>
  <c r="G1597" i="58"/>
  <c r="M1597" i="58" s="1"/>
  <c r="G1591" i="58"/>
  <c r="M1591" i="58" s="1"/>
  <c r="G1585" i="58"/>
  <c r="M1585" i="58" s="1"/>
  <c r="G1577" i="58"/>
  <c r="M1577" i="58" s="1"/>
  <c r="G1571" i="58"/>
  <c r="M1571" i="58" s="1"/>
  <c r="G1565" i="58"/>
  <c r="M1565" i="58" s="1"/>
  <c r="G1561" i="58"/>
  <c r="M1561" i="58" s="1"/>
  <c r="G1555" i="58"/>
  <c r="M1555" i="58" s="1"/>
  <c r="G1551" i="58"/>
  <c r="M1551" i="58" s="1"/>
  <c r="G1545" i="58"/>
  <c r="M1545" i="58" s="1"/>
  <c r="G1539" i="58"/>
  <c r="M1539" i="58" s="1"/>
  <c r="G1535" i="58"/>
  <c r="M1535" i="58" s="1"/>
  <c r="G1572" i="58"/>
  <c r="M1572" i="58" s="1"/>
  <c r="G1542" i="58"/>
  <c r="M1542" i="58" s="1"/>
  <c r="G1603" i="58"/>
  <c r="M1603" i="58" s="1"/>
  <c r="G1595" i="58"/>
  <c r="M1595" i="58" s="1"/>
  <c r="G1589" i="58"/>
  <c r="M1589" i="58" s="1"/>
  <c r="G1581" i="58"/>
  <c r="M1581" i="58" s="1"/>
  <c r="G1575" i="58"/>
  <c r="M1575" i="58" s="1"/>
  <c r="G1569" i="58"/>
  <c r="M1569" i="58" s="1"/>
  <c r="G1557" i="58"/>
  <c r="M1557" i="58" s="1"/>
  <c r="G1547" i="58"/>
  <c r="M1547" i="58" s="1"/>
  <c r="G1541" i="58"/>
  <c r="M1541" i="58" s="1"/>
  <c r="G1533" i="58"/>
  <c r="M1533" i="58" s="1"/>
  <c r="G1568" i="58"/>
  <c r="M1568" i="58" s="1"/>
  <c r="G1538" i="58"/>
  <c r="M1538" i="58" s="1"/>
  <c r="G1601" i="58"/>
  <c r="M1601" i="58" s="1"/>
  <c r="G1599" i="58"/>
  <c r="M1599" i="58" s="1"/>
  <c r="G1593" i="58"/>
  <c r="M1593" i="58" s="1"/>
  <c r="G1587" i="58"/>
  <c r="M1587" i="58" s="1"/>
  <c r="G1583" i="58"/>
  <c r="M1583" i="58" s="1"/>
  <c r="G1579" i="58"/>
  <c r="M1579" i="58" s="1"/>
  <c r="G1573" i="58"/>
  <c r="M1573" i="58" s="1"/>
  <c r="G1567" i="58"/>
  <c r="M1567" i="58" s="1"/>
  <c r="G1563" i="58"/>
  <c r="M1563" i="58" s="1"/>
  <c r="G1559" i="58"/>
  <c r="M1559" i="58" s="1"/>
  <c r="G1553" i="58"/>
  <c r="M1553" i="58" s="1"/>
  <c r="G1549" i="58"/>
  <c r="M1549" i="58" s="1"/>
  <c r="G1543" i="58"/>
  <c r="M1543" i="58" s="1"/>
  <c r="G1537" i="58"/>
  <c r="M1537" i="58" s="1"/>
  <c r="G1531" i="58"/>
  <c r="M1531" i="58" s="1"/>
  <c r="G1564" i="58"/>
  <c r="M1564" i="58" s="1"/>
  <c r="G1540" i="58"/>
  <c r="M1540" i="58" s="1"/>
  <c r="G1598" i="58"/>
  <c r="M1598" i="58" s="1"/>
  <c r="G1594" i="58"/>
  <c r="M1594" i="58" s="1"/>
  <c r="G1588" i="58"/>
  <c r="M1588" i="58" s="1"/>
  <c r="G1584" i="58"/>
  <c r="M1584" i="58" s="1"/>
  <c r="G1578" i="58"/>
  <c r="M1578" i="58" s="1"/>
  <c r="G1574" i="58"/>
  <c r="M1574" i="58" s="1"/>
  <c r="G1570" i="58"/>
  <c r="M1570" i="58" s="1"/>
  <c r="G1560" i="58"/>
  <c r="M1560" i="58" s="1"/>
  <c r="G1556" i="58"/>
  <c r="M1556" i="58" s="1"/>
  <c r="G1548" i="58"/>
  <c r="M1548" i="58" s="1"/>
  <c r="G1544" i="58"/>
  <c r="M1544" i="58" s="1"/>
  <c r="G1532" i="58"/>
  <c r="M1532" i="58" s="1"/>
  <c r="G1600" i="58"/>
  <c r="M1600" i="58" s="1"/>
  <c r="G1592" i="58"/>
  <c r="M1592" i="58" s="1"/>
  <c r="G1580" i="58"/>
  <c r="M1580" i="58" s="1"/>
  <c r="G1562" i="58"/>
  <c r="M1562" i="58" s="1"/>
  <c r="G1550" i="58"/>
  <c r="M1550" i="58" s="1"/>
  <c r="G1534" i="58"/>
  <c r="M1534" i="58" s="1"/>
  <c r="G1602" i="58"/>
  <c r="M1602" i="58" s="1"/>
  <c r="G1596" i="58"/>
  <c r="M1596" i="58" s="1"/>
  <c r="G1590" i="58"/>
  <c r="M1590" i="58" s="1"/>
  <c r="G1586" i="58"/>
  <c r="M1586" i="58" s="1"/>
  <c r="G1582" i="58"/>
  <c r="M1582" i="58" s="1"/>
  <c r="G1576" i="58"/>
  <c r="M1576" i="58" s="1"/>
  <c r="G1566" i="58"/>
  <c r="M1566" i="58" s="1"/>
  <c r="G1558" i="58"/>
  <c r="M1558" i="58" s="1"/>
  <c r="G1552" i="58"/>
  <c r="M1552" i="58" s="1"/>
  <c r="G1546" i="58"/>
  <c r="M1546" i="58" s="1"/>
  <c r="G1536" i="58"/>
  <c r="M1536" i="58" s="1"/>
  <c r="G2882" i="58"/>
  <c r="M2882" i="58" s="1"/>
  <c r="G2881" i="58"/>
  <c r="M2881" i="58" s="1"/>
  <c r="G2883" i="58"/>
  <c r="M2883" i="58" s="1"/>
  <c r="G2144" i="58"/>
  <c r="M2144" i="58" s="1"/>
  <c r="G2136" i="58"/>
  <c r="M2136" i="58" s="1"/>
  <c r="G2140" i="58"/>
  <c r="M2140" i="58" s="1"/>
  <c r="G2134" i="58"/>
  <c r="M2134" i="58" s="1"/>
  <c r="G2132" i="58"/>
  <c r="M2132" i="58" s="1"/>
  <c r="G2142" i="58"/>
  <c r="M2142" i="58" s="1"/>
  <c r="G2138" i="58"/>
  <c r="M2138" i="58" s="1"/>
  <c r="G2130" i="58"/>
  <c r="M2130" i="58" s="1"/>
  <c r="G2133" i="58"/>
  <c r="M2133" i="58" s="1"/>
  <c r="G2139" i="58"/>
  <c r="M2139" i="58" s="1"/>
  <c r="G2143" i="58"/>
  <c r="M2143" i="58" s="1"/>
  <c r="G2137" i="58"/>
  <c r="M2137" i="58" s="1"/>
  <c r="G2141" i="58"/>
  <c r="M2141" i="58" s="1"/>
  <c r="G2135" i="58"/>
  <c r="M2135" i="58" s="1"/>
  <c r="G2131" i="58"/>
  <c r="M2131" i="58" s="1"/>
  <c r="G2683" i="58"/>
  <c r="M2683" i="58" s="1"/>
  <c r="G2681" i="58"/>
  <c r="M2681" i="58" s="1"/>
  <c r="G2685" i="58"/>
  <c r="M2685" i="58" s="1"/>
  <c r="G2684" i="58"/>
  <c r="M2684" i="58" s="1"/>
  <c r="G2682" i="58"/>
  <c r="M2682" i="58" s="1"/>
  <c r="G2686" i="58"/>
  <c r="M2686" i="58" s="1"/>
  <c r="G2950" i="58"/>
  <c r="M2950" i="58" s="1"/>
  <c r="G2786" i="58"/>
  <c r="M2786" i="58" s="1"/>
  <c r="G2949" i="58"/>
  <c r="M2949" i="58" s="1"/>
  <c r="G2611" i="58"/>
  <c r="M2611" i="58" s="1"/>
  <c r="G2612" i="58"/>
  <c r="M2612" i="58" s="1"/>
  <c r="G2610" i="58"/>
  <c r="M2610" i="58" s="1"/>
  <c r="G2832" i="58"/>
  <c r="M2832" i="58" s="1"/>
  <c r="G2585" i="58"/>
  <c r="M2585" i="58" s="1"/>
  <c r="G2584" i="58"/>
  <c r="M2584" i="58" s="1"/>
  <c r="G2580" i="58"/>
  <c r="M2580" i="58" s="1"/>
  <c r="G2582" i="58"/>
  <c r="M2582" i="58" s="1"/>
  <c r="G2590" i="58"/>
  <c r="M2590" i="58" s="1"/>
  <c r="G2586" i="58"/>
  <c r="M2586" i="58" s="1"/>
  <c r="G2578" i="58"/>
  <c r="M2578" i="58" s="1"/>
  <c r="G2579" i="58"/>
  <c r="M2579" i="58" s="1"/>
  <c r="G2588" i="58"/>
  <c r="M2588" i="58" s="1"/>
  <c r="G2583" i="58"/>
  <c r="M2583" i="58" s="1"/>
  <c r="G2589" i="58"/>
  <c r="M2589" i="58" s="1"/>
  <c r="G2587" i="58"/>
  <c r="M2587" i="58" s="1"/>
  <c r="G2581" i="58"/>
  <c r="M2581" i="58" s="1"/>
  <c r="G2315" i="58"/>
  <c r="M2315" i="58" s="1"/>
  <c r="G2316" i="58"/>
  <c r="M2316" i="58" s="1"/>
  <c r="G3031" i="58"/>
  <c r="M3031" i="58" s="1"/>
  <c r="G3033" i="58"/>
  <c r="M3033" i="58" s="1"/>
  <c r="G3029" i="58"/>
  <c r="M3029" i="58" s="1"/>
  <c r="G1627" i="58"/>
  <c r="M1627" i="58" s="1"/>
  <c r="G1619" i="58"/>
  <c r="M1619" i="58" s="1"/>
  <c r="G1621" i="58"/>
  <c r="M1621" i="58" s="1"/>
  <c r="G1629" i="58"/>
  <c r="M1629" i="58" s="1"/>
  <c r="G1623" i="58"/>
  <c r="M1623" i="58" s="1"/>
  <c r="G1625" i="58"/>
  <c r="M1625" i="58" s="1"/>
  <c r="G1626" i="58"/>
  <c r="M1626" i="58" s="1"/>
  <c r="G1622" i="58"/>
  <c r="M1622" i="58" s="1"/>
  <c r="G1630" i="58"/>
  <c r="M1630" i="58" s="1"/>
  <c r="G1620" i="58"/>
  <c r="M1620" i="58" s="1"/>
  <c r="G1628" i="58"/>
  <c r="M1628" i="58" s="1"/>
  <c r="G1624" i="58"/>
  <c r="M1624" i="58" s="1"/>
  <c r="G1811" i="58"/>
  <c r="M1811" i="58" s="1"/>
  <c r="G1813" i="58"/>
  <c r="M1813" i="58" s="1"/>
  <c r="G1805" i="58"/>
  <c r="M1805" i="58" s="1"/>
  <c r="G1807" i="58"/>
  <c r="M1807" i="58" s="1"/>
  <c r="G1809" i="58"/>
  <c r="M1809" i="58" s="1"/>
  <c r="G1806" i="58"/>
  <c r="M1806" i="58" s="1"/>
  <c r="G1808" i="58"/>
  <c r="M1808" i="58" s="1"/>
  <c r="G1810" i="58"/>
  <c r="M1810" i="58" s="1"/>
  <c r="G1812" i="58"/>
  <c r="M1812" i="58" s="1"/>
  <c r="G1814" i="58"/>
  <c r="M1814" i="58" s="1"/>
  <c r="G1493" i="58"/>
  <c r="M1493" i="58" s="1"/>
  <c r="G1496" i="58"/>
  <c r="M1496" i="58" s="1"/>
  <c r="G1497" i="58"/>
  <c r="M1497" i="58" s="1"/>
  <c r="G1492" i="58"/>
  <c r="M1492" i="58" s="1"/>
  <c r="G1494" i="58"/>
  <c r="M1494" i="58" s="1"/>
  <c r="G1491" i="58"/>
  <c r="M1491" i="58" s="1"/>
  <c r="G1495" i="58"/>
  <c r="M1495" i="58" s="1"/>
  <c r="G3182" i="58"/>
  <c r="M3182" i="58" s="1"/>
  <c r="G5488" i="58"/>
  <c r="M5488" i="58" s="1"/>
  <c r="G5495" i="58"/>
  <c r="M5495" i="58" s="1"/>
  <c r="G5490" i="58"/>
  <c r="M5490" i="58" s="1"/>
  <c r="G5492" i="58"/>
  <c r="M5492" i="58" s="1"/>
  <c r="G5494" i="58"/>
  <c r="M5494" i="58" s="1"/>
  <c r="G5489" i="58"/>
  <c r="M5489" i="58" s="1"/>
  <c r="G5491" i="58"/>
  <c r="M5491" i="58" s="1"/>
  <c r="G5493" i="58"/>
  <c r="M5493" i="58" s="1"/>
  <c r="G2417" i="58"/>
  <c r="M2417" i="58" s="1"/>
  <c r="G2403" i="58"/>
  <c r="M2403" i="58" s="1"/>
  <c r="G2418" i="58"/>
  <c r="M2418" i="58" s="1"/>
  <c r="G2412" i="58"/>
  <c r="M2412" i="58" s="1"/>
  <c r="G2406" i="58"/>
  <c r="M2406" i="58" s="1"/>
  <c r="G2400" i="58"/>
  <c r="M2400" i="58" s="1"/>
  <c r="G2422" i="58"/>
  <c r="M2422" i="58" s="1"/>
  <c r="G2416" i="58"/>
  <c r="M2416" i="58" s="1"/>
  <c r="G2410" i="58"/>
  <c r="M2410" i="58" s="1"/>
  <c r="G2404" i="58"/>
  <c r="M2404" i="58" s="1"/>
  <c r="G2398" i="58"/>
  <c r="M2398" i="58" s="1"/>
  <c r="G2420" i="58"/>
  <c r="M2420" i="58" s="1"/>
  <c r="G2414" i="58"/>
  <c r="M2414" i="58" s="1"/>
  <c r="G2408" i="58"/>
  <c r="M2408" i="58" s="1"/>
  <c r="G2402" i="58"/>
  <c r="M2402" i="58" s="1"/>
  <c r="G2396" i="58"/>
  <c r="M2396" i="58" s="1"/>
  <c r="G2423" i="58"/>
  <c r="M2423" i="58" s="1"/>
  <c r="G2409" i="58"/>
  <c r="M2409" i="58" s="1"/>
  <c r="G2415" i="58"/>
  <c r="M2415" i="58" s="1"/>
  <c r="G2401" i="58"/>
  <c r="M2401" i="58" s="1"/>
  <c r="G2419" i="58"/>
  <c r="M2419" i="58" s="1"/>
  <c r="G2411" i="58"/>
  <c r="M2411" i="58" s="1"/>
  <c r="G2407" i="58"/>
  <c r="M2407" i="58" s="1"/>
  <c r="G2399" i="58"/>
  <c r="M2399" i="58" s="1"/>
  <c r="G2421" i="58"/>
  <c r="M2421" i="58" s="1"/>
  <c r="G2413" i="58"/>
  <c r="M2413" i="58" s="1"/>
  <c r="G2405" i="58"/>
  <c r="M2405" i="58" s="1"/>
  <c r="G2397" i="58"/>
  <c r="M2397" i="58" s="1"/>
  <c r="G1684" i="58"/>
  <c r="M1684" i="58" s="1"/>
  <c r="G1687" i="58"/>
  <c r="M1687" i="58" s="1"/>
  <c r="G1681" i="58"/>
  <c r="M1681" i="58" s="1"/>
  <c r="G1689" i="58"/>
  <c r="M1689" i="58" s="1"/>
  <c r="G1683" i="58"/>
  <c r="M1683" i="58" s="1"/>
  <c r="G1691" i="58"/>
  <c r="M1691" i="58" s="1"/>
  <c r="G1685" i="58"/>
  <c r="M1685" i="58" s="1"/>
  <c r="G1690" i="58"/>
  <c r="M1690" i="58" s="1"/>
  <c r="G1688" i="58"/>
  <c r="M1688" i="58" s="1"/>
  <c r="G1686" i="58"/>
  <c r="M1686" i="58" s="1"/>
  <c r="G1682" i="58"/>
  <c r="M1682" i="58" s="1"/>
  <c r="G5477" i="58"/>
  <c r="M5477" i="58" s="1"/>
  <c r="G5479" i="58"/>
  <c r="M5479" i="58" s="1"/>
  <c r="G5474" i="58"/>
  <c r="M5474" i="58" s="1"/>
  <c r="G5476" i="58"/>
  <c r="M5476" i="58" s="1"/>
  <c r="G2779" i="58"/>
  <c r="M2779" i="58" s="1"/>
  <c r="G5478" i="58"/>
  <c r="M5478" i="58" s="1"/>
  <c r="G2777" i="58"/>
  <c r="M2777" i="58" s="1"/>
  <c r="G5480" i="58"/>
  <c r="M5480" i="58" s="1"/>
  <c r="G5475" i="58"/>
  <c r="M5475" i="58" s="1"/>
  <c r="G2775" i="58"/>
  <c r="M2775" i="58" s="1"/>
  <c r="G2773" i="58"/>
  <c r="M2773" i="58" s="1"/>
  <c r="G2771" i="58"/>
  <c r="M2771" i="58" s="1"/>
  <c r="G2776" i="58"/>
  <c r="M2776" i="58" s="1"/>
  <c r="G2774" i="58"/>
  <c r="M2774" i="58" s="1"/>
  <c r="G2772" i="58"/>
  <c r="M2772" i="58" s="1"/>
  <c r="G2778" i="58"/>
  <c r="M2778" i="58" s="1"/>
  <c r="G2780" i="58"/>
  <c r="M2780" i="58" s="1"/>
  <c r="G2901" i="58"/>
  <c r="M2901" i="58" s="1"/>
  <c r="G2903" i="58"/>
  <c r="M2903" i="58" s="1"/>
  <c r="G2900" i="58"/>
  <c r="M2900" i="58" s="1"/>
  <c r="G2902" i="58"/>
  <c r="M2902" i="58" s="1"/>
  <c r="G2904" i="58"/>
  <c r="M2904" i="58" s="1"/>
  <c r="G2839" i="58"/>
  <c r="M2839" i="58" s="1"/>
  <c r="G2840" i="58"/>
  <c r="M2840" i="58" s="1"/>
  <c r="G2622" i="58"/>
  <c r="M2622" i="58" s="1"/>
  <c r="G2621" i="58"/>
  <c r="M2621" i="58" s="1"/>
  <c r="G2615" i="58"/>
  <c r="M2615" i="58" s="1"/>
  <c r="G2619" i="58"/>
  <c r="M2619" i="58" s="1"/>
  <c r="G2613" i="58"/>
  <c r="M2613" i="58" s="1"/>
  <c r="G2617" i="58"/>
  <c r="M2617" i="58" s="1"/>
  <c r="G2618" i="58"/>
  <c r="M2618" i="58" s="1"/>
  <c r="G2616" i="58"/>
  <c r="M2616" i="58" s="1"/>
  <c r="G2620" i="58"/>
  <c r="M2620" i="58" s="1"/>
  <c r="G2614" i="58"/>
  <c r="M2614" i="58" s="1"/>
  <c r="G2884" i="58"/>
  <c r="M2884" i="58" s="1"/>
  <c r="G2885" i="58"/>
  <c r="M2885" i="58" s="1"/>
  <c r="G2389" i="58"/>
  <c r="M2389" i="58" s="1"/>
  <c r="G2394" i="58"/>
  <c r="M2394" i="58" s="1"/>
  <c r="G2390" i="58"/>
  <c r="M2390" i="58" s="1"/>
  <c r="G2384" i="58"/>
  <c r="M2384" i="58" s="1"/>
  <c r="G2376" i="58"/>
  <c r="M2376" i="58" s="1"/>
  <c r="G2392" i="58"/>
  <c r="M2392" i="58" s="1"/>
  <c r="G2386" i="58"/>
  <c r="M2386" i="58" s="1"/>
  <c r="G2380" i="58"/>
  <c r="M2380" i="58" s="1"/>
  <c r="G2374" i="58"/>
  <c r="M2374" i="58" s="1"/>
  <c r="G2388" i="58"/>
  <c r="M2388" i="58" s="1"/>
  <c r="G2382" i="58"/>
  <c r="M2382" i="58" s="1"/>
  <c r="G2378" i="58"/>
  <c r="M2378" i="58" s="1"/>
  <c r="G2377" i="58"/>
  <c r="M2377" i="58" s="1"/>
  <c r="G2387" i="58"/>
  <c r="M2387" i="58" s="1"/>
  <c r="G2393" i="58"/>
  <c r="M2393" i="58" s="1"/>
  <c r="G2385" i="58"/>
  <c r="M2385" i="58" s="1"/>
  <c r="G2381" i="58"/>
  <c r="M2381" i="58" s="1"/>
  <c r="G2375" i="58"/>
  <c r="M2375" i="58" s="1"/>
  <c r="G2391" i="58"/>
  <c r="M2391" i="58" s="1"/>
  <c r="G2383" i="58"/>
  <c r="M2383" i="58" s="1"/>
  <c r="G2379" i="58"/>
  <c r="M2379" i="58" s="1"/>
  <c r="G2791" i="58"/>
  <c r="M2791" i="58" s="1"/>
  <c r="G2787" i="58"/>
  <c r="M2787" i="58" s="1"/>
  <c r="G2789" i="58"/>
  <c r="M2789" i="58" s="1"/>
  <c r="G2793" i="58"/>
  <c r="M2793" i="58" s="1"/>
  <c r="G2788" i="58"/>
  <c r="M2788" i="58" s="1"/>
  <c r="G2790" i="58"/>
  <c r="M2790" i="58" s="1"/>
  <c r="G2792" i="58"/>
  <c r="M2792" i="58" s="1"/>
  <c r="G3118" i="58"/>
  <c r="M3118" i="58" s="1"/>
  <c r="G3112" i="58"/>
  <c r="M3112" i="58" s="1"/>
  <c r="G3098" i="58"/>
  <c r="M3098" i="58" s="1"/>
  <c r="G3074" i="58"/>
  <c r="M3074" i="58" s="1"/>
  <c r="G3052" i="58"/>
  <c r="M3052" i="58" s="1"/>
  <c r="G3120" i="58"/>
  <c r="M3120" i="58" s="1"/>
  <c r="G3064" i="58"/>
  <c r="M3064" i="58" s="1"/>
  <c r="G3122" i="58"/>
  <c r="M3122" i="58" s="1"/>
  <c r="G3084" i="58"/>
  <c r="M3084" i="58" s="1"/>
  <c r="G3060" i="58"/>
  <c r="M3060" i="58" s="1"/>
  <c r="G3042" i="58"/>
  <c r="M3042" i="58" s="1"/>
  <c r="G3113" i="58"/>
  <c r="M3113" i="58" s="1"/>
  <c r="G3089" i="58"/>
  <c r="M3089" i="58" s="1"/>
  <c r="G3041" i="58"/>
  <c r="M3041" i="58" s="1"/>
  <c r="G3117" i="58"/>
  <c r="M3117" i="58" s="1"/>
  <c r="G3119" i="58"/>
  <c r="M3119" i="58" s="1"/>
  <c r="G3047" i="58"/>
  <c r="M3047" i="58" s="1"/>
  <c r="G3123" i="58"/>
  <c r="M3123" i="58" s="1"/>
  <c r="G3099" i="58"/>
  <c r="M3099" i="58" s="1"/>
  <c r="G3051" i="58"/>
  <c r="M3051" i="58" s="1"/>
  <c r="G3111" i="58"/>
  <c r="M3111" i="58" s="1"/>
  <c r="G3135" i="58"/>
  <c r="M3135" i="58" s="1"/>
  <c r="G3063" i="58"/>
  <c r="M3063" i="58" s="1"/>
  <c r="G3109" i="58"/>
  <c r="M3109" i="58" s="1"/>
  <c r="G3085" i="58"/>
  <c r="M3085" i="58" s="1"/>
  <c r="G3068" i="58"/>
  <c r="M3068" i="58" s="1"/>
  <c r="G3096" i="58"/>
  <c r="M3096" i="58" s="1"/>
  <c r="G3078" i="58"/>
  <c r="M3078" i="58" s="1"/>
  <c r="G3184" i="58"/>
  <c r="M3184" i="58" s="1"/>
  <c r="G3180" i="58"/>
  <c r="M3180" i="58" s="1"/>
  <c r="G5560" i="58"/>
  <c r="M5560" i="58" s="1"/>
  <c r="G5564" i="58"/>
  <c r="M5564" i="58" s="1"/>
  <c r="G5563" i="58"/>
  <c r="M5563" i="58" s="1"/>
  <c r="G5561" i="58"/>
  <c r="M5561" i="58" s="1"/>
  <c r="G5565" i="58"/>
  <c r="M5565" i="58" s="1"/>
  <c r="G5562" i="58"/>
  <c r="M5562" i="58" s="1"/>
  <c r="G5559" i="58"/>
  <c r="M5559" i="58" s="1"/>
  <c r="G5608" i="58"/>
  <c r="M5608" i="58" s="1"/>
  <c r="G5609" i="58"/>
  <c r="M5609" i="58" s="1"/>
  <c r="G1119" i="58"/>
  <c r="M1119" i="58" s="1"/>
  <c r="G5431" i="58"/>
  <c r="M5431" i="58" s="1"/>
  <c r="G5429" i="58"/>
  <c r="M5429" i="58" s="1"/>
  <c r="G5427" i="58"/>
  <c r="M5427" i="58" s="1"/>
  <c r="G5425" i="58"/>
  <c r="M5425" i="58" s="1"/>
  <c r="G5430" i="58"/>
  <c r="M5430" i="58" s="1"/>
  <c r="G5428" i="58"/>
  <c r="M5428" i="58" s="1"/>
  <c r="G5426" i="58"/>
  <c r="M5426" i="58" s="1"/>
  <c r="G5409" i="58"/>
  <c r="M5409" i="58" s="1"/>
  <c r="G5407" i="58"/>
  <c r="M5407" i="58" s="1"/>
  <c r="G5405" i="58"/>
  <c r="M5405" i="58" s="1"/>
  <c r="G5410" i="58"/>
  <c r="M5410" i="58" s="1"/>
  <c r="G5406" i="58"/>
  <c r="M5406" i="58" s="1"/>
  <c r="G5408" i="58"/>
  <c r="M5408" i="58" s="1"/>
  <c r="G5404" i="58"/>
  <c r="M5404" i="58" s="1"/>
  <c r="G5392" i="58"/>
  <c r="M5392" i="58" s="1"/>
  <c r="G5391" i="58"/>
  <c r="M5391" i="58" s="1"/>
  <c r="G5393" i="58"/>
  <c r="M5393" i="58" s="1"/>
  <c r="G5396" i="58"/>
  <c r="M5396" i="58" s="1"/>
  <c r="G5394" i="58"/>
  <c r="M5394" i="58" s="1"/>
  <c r="G5395" i="58"/>
  <c r="M5395" i="58" s="1"/>
  <c r="G5390" i="58"/>
  <c r="M5390" i="58" s="1"/>
  <c r="G5388" i="58"/>
  <c r="M5388" i="58" s="1"/>
  <c r="G5380" i="58"/>
  <c r="M5380" i="58" s="1"/>
  <c r="G5381" i="58"/>
  <c r="M5381" i="58" s="1"/>
  <c r="G5374" i="58"/>
  <c r="M5374" i="58" s="1"/>
  <c r="G5372" i="58"/>
  <c r="M5372" i="58" s="1"/>
  <c r="G5370" i="58"/>
  <c r="M5370" i="58" s="1"/>
  <c r="G5378" i="58"/>
  <c r="M5378" i="58" s="1"/>
  <c r="G5386" i="58"/>
  <c r="M5386" i="58" s="1"/>
  <c r="G5379" i="58"/>
  <c r="M5379" i="58" s="1"/>
  <c r="G5384" i="58"/>
  <c r="M5384" i="58" s="1"/>
  <c r="G5375" i="58"/>
  <c r="M5375" i="58" s="1"/>
  <c r="G5385" i="58"/>
  <c r="M5385" i="58" s="1"/>
  <c r="G5383" i="58"/>
  <c r="M5383" i="58" s="1"/>
  <c r="G5377" i="58"/>
  <c r="M5377" i="58" s="1"/>
  <c r="G5371" i="58"/>
  <c r="M5371" i="58" s="1"/>
  <c r="G5389" i="58"/>
  <c r="M5389" i="58" s="1"/>
  <c r="G5387" i="58"/>
  <c r="M5387" i="58" s="1"/>
  <c r="G5369" i="58"/>
  <c r="M5369" i="58" s="1"/>
  <c r="G5382" i="58"/>
  <c r="M5382" i="58" s="1"/>
  <c r="G5373" i="58"/>
  <c r="M5373" i="58" s="1"/>
  <c r="G5376" i="58"/>
  <c r="M5376" i="58" s="1"/>
  <c r="G5354" i="58"/>
  <c r="M5354" i="58" s="1"/>
  <c r="G5361" i="58"/>
  <c r="M5361" i="58" s="1"/>
  <c r="G5359" i="58"/>
  <c r="M5359" i="58" s="1"/>
  <c r="G5357" i="58"/>
  <c r="M5357" i="58" s="1"/>
  <c r="G5355" i="58"/>
  <c r="M5355" i="58" s="1"/>
  <c r="G5353" i="58"/>
  <c r="M5353" i="58" s="1"/>
  <c r="G5360" i="58"/>
  <c r="M5360" i="58" s="1"/>
  <c r="G5358" i="58"/>
  <c r="M5358" i="58" s="1"/>
  <c r="G5356" i="58"/>
  <c r="M5356" i="58" s="1"/>
  <c r="G5297" i="58"/>
  <c r="M5297" i="58" s="1"/>
  <c r="G5299" i="58"/>
  <c r="M5299" i="58" s="1"/>
  <c r="G5301" i="58"/>
  <c r="M5301" i="58" s="1"/>
  <c r="G5303" i="58"/>
  <c r="M5303" i="58" s="1"/>
  <c r="G5300" i="58"/>
  <c r="M5300" i="58" s="1"/>
  <c r="G5302" i="58"/>
  <c r="M5302" i="58" s="1"/>
  <c r="G5298" i="58"/>
  <c r="M5298" i="58" s="1"/>
  <c r="G5296" i="58"/>
  <c r="M5296" i="58" s="1"/>
  <c r="G5294" i="58"/>
  <c r="M5294" i="58" s="1"/>
  <c r="G5292" i="58"/>
  <c r="M5292" i="58" s="1"/>
  <c r="G5290" i="58"/>
  <c r="M5290" i="58" s="1"/>
  <c r="G5295" i="58"/>
  <c r="M5295" i="58" s="1"/>
  <c r="G5293" i="58"/>
  <c r="M5293" i="58" s="1"/>
  <c r="G5291" i="58"/>
  <c r="M5291" i="58" s="1"/>
  <c r="B360" i="106"/>
  <c r="T360" i="106" s="1"/>
  <c r="B117" i="106"/>
  <c r="T117" i="106" s="1"/>
  <c r="B81" i="106"/>
  <c r="T81" i="106" s="1"/>
  <c r="B363" i="106"/>
  <c r="T363" i="106" s="1"/>
  <c r="Z363" i="106" l="1"/>
  <c r="V363" i="106"/>
  <c r="X363" i="106"/>
  <c r="AF363" i="106"/>
  <c r="AA363" i="106"/>
  <c r="AC363" i="106"/>
  <c r="AD363" i="106"/>
  <c r="AB363" i="106"/>
  <c r="AE363" i="106"/>
  <c r="U363" i="106"/>
  <c r="W363" i="106"/>
  <c r="Y363" i="106"/>
  <c r="U360" i="106"/>
  <c r="AB360" i="106"/>
  <c r="Y360" i="106"/>
  <c r="Z360" i="106"/>
  <c r="AF360" i="106"/>
  <c r="AC360" i="106"/>
  <c r="AA360" i="106"/>
  <c r="AE360" i="106"/>
  <c r="X360" i="106"/>
  <c r="AD360" i="106"/>
  <c r="W360" i="106"/>
  <c r="V360" i="106"/>
  <c r="AE81" i="106"/>
  <c r="X81" i="106"/>
  <c r="Y81" i="106"/>
  <c r="Z81" i="106"/>
  <c r="AA81" i="106"/>
  <c r="W81" i="106"/>
  <c r="U81" i="106"/>
  <c r="AB81" i="106"/>
  <c r="AC81" i="106"/>
  <c r="AD81" i="106"/>
  <c r="V81" i="106"/>
  <c r="AF81" i="106"/>
  <c r="W117" i="106"/>
  <c r="V117" i="106"/>
  <c r="AF117" i="106"/>
  <c r="U117" i="106"/>
  <c r="Y117" i="106"/>
  <c r="Z117" i="106"/>
  <c r="AB117" i="106"/>
  <c r="AA117" i="106"/>
  <c r="AC117" i="106"/>
  <c r="X117" i="106"/>
  <c r="AD117" i="106"/>
  <c r="AE117" i="106"/>
  <c r="C360" i="106"/>
  <c r="C117" i="106"/>
  <c r="C363" i="106"/>
  <c r="C81" i="106"/>
  <c r="D117" i="106"/>
  <c r="D363" i="106"/>
  <c r="D81" i="106"/>
  <c r="D360" i="106"/>
  <c r="P1436" i="58" l="1"/>
  <c r="O1436" i="58"/>
  <c r="L1436" i="58"/>
  <c r="I1436" i="58"/>
  <c r="J1436" i="58" s="1"/>
  <c r="H1436" i="58"/>
  <c r="G1436" i="58"/>
  <c r="P1435" i="58"/>
  <c r="O1435" i="58"/>
  <c r="L1435" i="58"/>
  <c r="I1435" i="58"/>
  <c r="J1435" i="58" s="1"/>
  <c r="H1435" i="58"/>
  <c r="G1435" i="58"/>
  <c r="P1434" i="58"/>
  <c r="O1434" i="58"/>
  <c r="L1434" i="58"/>
  <c r="I1434" i="58"/>
  <c r="J1434" i="58" s="1"/>
  <c r="H1434" i="58"/>
  <c r="P1433" i="58"/>
  <c r="O1433" i="58"/>
  <c r="L1433" i="58"/>
  <c r="I1433" i="58"/>
  <c r="J1433" i="58" s="1"/>
  <c r="H1433" i="58"/>
  <c r="P1432" i="58"/>
  <c r="O1432" i="58"/>
  <c r="L1432" i="58"/>
  <c r="I1432" i="58"/>
  <c r="J1432" i="58" s="1"/>
  <c r="H1432" i="58"/>
  <c r="P1431" i="58"/>
  <c r="O1431" i="58"/>
  <c r="L1431" i="58"/>
  <c r="I1431" i="58"/>
  <c r="J1431" i="58" s="1"/>
  <c r="H1431" i="58"/>
  <c r="P1430" i="58"/>
  <c r="O1430" i="58"/>
  <c r="L1430" i="58"/>
  <c r="I1430" i="58"/>
  <c r="J1430" i="58" s="1"/>
  <c r="H1430" i="58"/>
  <c r="P1429" i="58"/>
  <c r="O1429" i="58"/>
  <c r="L1429" i="58"/>
  <c r="I1429" i="58"/>
  <c r="J1429" i="58" s="1"/>
  <c r="H1429" i="58"/>
  <c r="P1428" i="58"/>
  <c r="O1428" i="58"/>
  <c r="L1428" i="58"/>
  <c r="I1428" i="58"/>
  <c r="J1428" i="58" s="1"/>
  <c r="H1428" i="58"/>
  <c r="P1427" i="58"/>
  <c r="O1427" i="58"/>
  <c r="L1427" i="58"/>
  <c r="I1427" i="58"/>
  <c r="J1427" i="58" s="1"/>
  <c r="H1427" i="58"/>
  <c r="P1426" i="58"/>
  <c r="O1426" i="58"/>
  <c r="L1426" i="58"/>
  <c r="I1426" i="58"/>
  <c r="J1426" i="58" s="1"/>
  <c r="H1426" i="58"/>
  <c r="P1425" i="58"/>
  <c r="O1425" i="58"/>
  <c r="L1425" i="58"/>
  <c r="I1425" i="58"/>
  <c r="J1425" i="58" s="1"/>
  <c r="H1425" i="58"/>
  <c r="P1424" i="58"/>
  <c r="O1424" i="58"/>
  <c r="L1424" i="58"/>
  <c r="I1424" i="58"/>
  <c r="J1424" i="58" s="1"/>
  <c r="H1424" i="58"/>
  <c r="P1423" i="58"/>
  <c r="O1423" i="58"/>
  <c r="L1423" i="58"/>
  <c r="I1423" i="58"/>
  <c r="J1423" i="58" s="1"/>
  <c r="H1423" i="58"/>
  <c r="P1422" i="58"/>
  <c r="O1422" i="58"/>
  <c r="L1422" i="58"/>
  <c r="I1422" i="58"/>
  <c r="J1422" i="58" s="1"/>
  <c r="H1422" i="58"/>
  <c r="P1421" i="58"/>
  <c r="O1421" i="58"/>
  <c r="L1421" i="58"/>
  <c r="I1421" i="58"/>
  <c r="J1421" i="58" s="1"/>
  <c r="H1421" i="58"/>
  <c r="P1420" i="58"/>
  <c r="O1420" i="58"/>
  <c r="L1420" i="58"/>
  <c r="I1420" i="58"/>
  <c r="J1420" i="58" s="1"/>
  <c r="H1420" i="58"/>
  <c r="P1419" i="58"/>
  <c r="O1419" i="58"/>
  <c r="L1419" i="58"/>
  <c r="I1419" i="58"/>
  <c r="J1419" i="58" s="1"/>
  <c r="H1419" i="58"/>
  <c r="P1418" i="58"/>
  <c r="O1418" i="58"/>
  <c r="L1418" i="58"/>
  <c r="I1418" i="58"/>
  <c r="J1418" i="58" s="1"/>
  <c r="H1418" i="58"/>
  <c r="P1417" i="58"/>
  <c r="O1417" i="58"/>
  <c r="L1417" i="58"/>
  <c r="I1417" i="58"/>
  <c r="J1417" i="58" s="1"/>
  <c r="H1417" i="58"/>
  <c r="P1416" i="58"/>
  <c r="O1416" i="58"/>
  <c r="L1416" i="58"/>
  <c r="I1416" i="58"/>
  <c r="J1416" i="58" s="1"/>
  <c r="H1416" i="58"/>
  <c r="P1415" i="58"/>
  <c r="O1415" i="58"/>
  <c r="L1415" i="58"/>
  <c r="I1415" i="58"/>
  <c r="J1415" i="58" s="1"/>
  <c r="H1415" i="58"/>
  <c r="P1414" i="58"/>
  <c r="O1414" i="58"/>
  <c r="L1414" i="58"/>
  <c r="I1414" i="58"/>
  <c r="J1414" i="58" s="1"/>
  <c r="H1414" i="58"/>
  <c r="P1413" i="58"/>
  <c r="O1413" i="58"/>
  <c r="L1413" i="58"/>
  <c r="I1413" i="58"/>
  <c r="J1413" i="58" s="1"/>
  <c r="H1413" i="58"/>
  <c r="P1412" i="58"/>
  <c r="O1412" i="58"/>
  <c r="L1412" i="58"/>
  <c r="I1412" i="58"/>
  <c r="J1412" i="58" s="1"/>
  <c r="H1412" i="58"/>
  <c r="P1411" i="58"/>
  <c r="O1411" i="58"/>
  <c r="L1411" i="58"/>
  <c r="I1411" i="58"/>
  <c r="J1411" i="58" s="1"/>
  <c r="H1411" i="58"/>
  <c r="P1410" i="58"/>
  <c r="O1410" i="58"/>
  <c r="L1410" i="58"/>
  <c r="I1410" i="58"/>
  <c r="J1410" i="58" s="1"/>
  <c r="H1410" i="58"/>
  <c r="P1409" i="58"/>
  <c r="O1409" i="58"/>
  <c r="L1409" i="58"/>
  <c r="I1409" i="58"/>
  <c r="J1409" i="58" s="1"/>
  <c r="H1409" i="58"/>
  <c r="P1408" i="58"/>
  <c r="O1408" i="58"/>
  <c r="L1408" i="58"/>
  <c r="I1408" i="58"/>
  <c r="J1408" i="58" s="1"/>
  <c r="H1408" i="58"/>
  <c r="P1407" i="58"/>
  <c r="O1407" i="58"/>
  <c r="L1407" i="58"/>
  <c r="I1407" i="58"/>
  <c r="J1407" i="58" s="1"/>
  <c r="H1407" i="58"/>
  <c r="P1406" i="58"/>
  <c r="O1406" i="58"/>
  <c r="L1406" i="58"/>
  <c r="I1406" i="58"/>
  <c r="J1406" i="58" s="1"/>
  <c r="H1406" i="58"/>
  <c r="P1405" i="58"/>
  <c r="O1405" i="58"/>
  <c r="L1405" i="58"/>
  <c r="I1405" i="58"/>
  <c r="J1405" i="58" s="1"/>
  <c r="H1405" i="58"/>
  <c r="P1404" i="58"/>
  <c r="O1404" i="58"/>
  <c r="L1404" i="58"/>
  <c r="I1404" i="58"/>
  <c r="J1404" i="58" s="1"/>
  <c r="H1404" i="58"/>
  <c r="P1403" i="58"/>
  <c r="O1403" i="58"/>
  <c r="L1403" i="58"/>
  <c r="I1403" i="58"/>
  <c r="J1403" i="58" s="1"/>
  <c r="H1403" i="58"/>
  <c r="P1402" i="58"/>
  <c r="O1402" i="58"/>
  <c r="L1402" i="58"/>
  <c r="I1402" i="58"/>
  <c r="J1402" i="58" s="1"/>
  <c r="H1402" i="58"/>
  <c r="P1401" i="58"/>
  <c r="O1401" i="58"/>
  <c r="L1401" i="58"/>
  <c r="I1401" i="58"/>
  <c r="J1401" i="58" s="1"/>
  <c r="H1401" i="58"/>
  <c r="P1400" i="58"/>
  <c r="O1400" i="58"/>
  <c r="L1400" i="58"/>
  <c r="I1400" i="58"/>
  <c r="J1400" i="58" s="1"/>
  <c r="H1400" i="58"/>
  <c r="P1399" i="58"/>
  <c r="O1399" i="58"/>
  <c r="L1399" i="58"/>
  <c r="I1399" i="58"/>
  <c r="J1399" i="58" s="1"/>
  <c r="H1399" i="58"/>
  <c r="P1398" i="58"/>
  <c r="O1398" i="58"/>
  <c r="L1398" i="58"/>
  <c r="I1398" i="58"/>
  <c r="J1398" i="58" s="1"/>
  <c r="H1398" i="58"/>
  <c r="P1397" i="58"/>
  <c r="O1397" i="58"/>
  <c r="L1397" i="58"/>
  <c r="I1397" i="58"/>
  <c r="J1397" i="58" s="1"/>
  <c r="H1397" i="58"/>
  <c r="P1396" i="58"/>
  <c r="O1396" i="58"/>
  <c r="L1396" i="58"/>
  <c r="I1396" i="58"/>
  <c r="J1396" i="58" s="1"/>
  <c r="H1396" i="58"/>
  <c r="P1395" i="58"/>
  <c r="O1395" i="58"/>
  <c r="L1395" i="58"/>
  <c r="I1395" i="58"/>
  <c r="J1395" i="58" s="1"/>
  <c r="H1395" i="58"/>
  <c r="P1394" i="58"/>
  <c r="O1394" i="58"/>
  <c r="L1394" i="58"/>
  <c r="I1394" i="58"/>
  <c r="J1394" i="58" s="1"/>
  <c r="H1394" i="58"/>
  <c r="P1393" i="58"/>
  <c r="O1393" i="58"/>
  <c r="L1393" i="58"/>
  <c r="I1393" i="58"/>
  <c r="J1393" i="58" s="1"/>
  <c r="H1393" i="58"/>
  <c r="P1392" i="58"/>
  <c r="O1392" i="58"/>
  <c r="L1392" i="58"/>
  <c r="I1392" i="58"/>
  <c r="J1392" i="58" s="1"/>
  <c r="H1392" i="58"/>
  <c r="P1391" i="58"/>
  <c r="O1391" i="58"/>
  <c r="L1391" i="58"/>
  <c r="I1391" i="58"/>
  <c r="J1391" i="58" s="1"/>
  <c r="H1391" i="58"/>
  <c r="P1390" i="58"/>
  <c r="O1390" i="58"/>
  <c r="L1390" i="58"/>
  <c r="I1390" i="58"/>
  <c r="J1390" i="58" s="1"/>
  <c r="H1390" i="58"/>
  <c r="P1389" i="58"/>
  <c r="O1389" i="58"/>
  <c r="L1389" i="58"/>
  <c r="I1389" i="58"/>
  <c r="J1389" i="58" s="1"/>
  <c r="H1389" i="58"/>
  <c r="P1388" i="58"/>
  <c r="O1388" i="58"/>
  <c r="L1388" i="58"/>
  <c r="I1388" i="58"/>
  <c r="J1388" i="58" s="1"/>
  <c r="H1388" i="58"/>
  <c r="P1387" i="58"/>
  <c r="O1387" i="58"/>
  <c r="L1387" i="58"/>
  <c r="I1387" i="58"/>
  <c r="J1387" i="58" s="1"/>
  <c r="H1387" i="58"/>
  <c r="P1386" i="58"/>
  <c r="O1386" i="58"/>
  <c r="L1386" i="58"/>
  <c r="I1386" i="58"/>
  <c r="J1386" i="58" s="1"/>
  <c r="H1386" i="58"/>
  <c r="P1385" i="58"/>
  <c r="O1385" i="58"/>
  <c r="L1385" i="58"/>
  <c r="I1385" i="58"/>
  <c r="J1385" i="58" s="1"/>
  <c r="H1385" i="58"/>
  <c r="P1384" i="58"/>
  <c r="O1384" i="58"/>
  <c r="L1384" i="58"/>
  <c r="I1384" i="58"/>
  <c r="J1384" i="58" s="1"/>
  <c r="H1384" i="58"/>
  <c r="P1383" i="58"/>
  <c r="O1383" i="58"/>
  <c r="L1383" i="58"/>
  <c r="I1383" i="58"/>
  <c r="J1383" i="58" s="1"/>
  <c r="H1383" i="58"/>
  <c r="P1382" i="58"/>
  <c r="O1382" i="58"/>
  <c r="L1382" i="58"/>
  <c r="I1382" i="58"/>
  <c r="J1382" i="58" s="1"/>
  <c r="H1382" i="58"/>
  <c r="P1381" i="58"/>
  <c r="O1381" i="58"/>
  <c r="L1381" i="58"/>
  <c r="I1381" i="58"/>
  <c r="J1381" i="58" s="1"/>
  <c r="H1381" i="58"/>
  <c r="P1380" i="58"/>
  <c r="O1380" i="58"/>
  <c r="L1380" i="58"/>
  <c r="I1380" i="58"/>
  <c r="J1380" i="58" s="1"/>
  <c r="H1380" i="58"/>
  <c r="P1379" i="58"/>
  <c r="O1379" i="58"/>
  <c r="L1379" i="58"/>
  <c r="I1379" i="58"/>
  <c r="J1379" i="58" s="1"/>
  <c r="H1379" i="58"/>
  <c r="P1378" i="58"/>
  <c r="O1378" i="58"/>
  <c r="L1378" i="58"/>
  <c r="I1378" i="58"/>
  <c r="J1378" i="58" s="1"/>
  <c r="H1378" i="58"/>
  <c r="P1377" i="58"/>
  <c r="O1377" i="58"/>
  <c r="L1377" i="58"/>
  <c r="I1377" i="58"/>
  <c r="J1377" i="58" s="1"/>
  <c r="H1377" i="58"/>
  <c r="P1376" i="58"/>
  <c r="O1376" i="58"/>
  <c r="L1376" i="58"/>
  <c r="I1376" i="58"/>
  <c r="J1376" i="58" s="1"/>
  <c r="H1376" i="58"/>
  <c r="P1375" i="58"/>
  <c r="O1375" i="58"/>
  <c r="L1375" i="58"/>
  <c r="I1375" i="58"/>
  <c r="J1375" i="58" s="1"/>
  <c r="H1375" i="58"/>
  <c r="P1374" i="58"/>
  <c r="O1374" i="58"/>
  <c r="L1374" i="58"/>
  <c r="I1374" i="58"/>
  <c r="J1374" i="58" s="1"/>
  <c r="H1374" i="58"/>
  <c r="P1373" i="58"/>
  <c r="O1373" i="58"/>
  <c r="L1373" i="58"/>
  <c r="I1373" i="58"/>
  <c r="J1373" i="58" s="1"/>
  <c r="H1373" i="58"/>
  <c r="P1372" i="58"/>
  <c r="O1372" i="58"/>
  <c r="L1372" i="58"/>
  <c r="I1372" i="58"/>
  <c r="J1372" i="58" s="1"/>
  <c r="H1372" i="58"/>
  <c r="P1371" i="58"/>
  <c r="O1371" i="58"/>
  <c r="L1371" i="58"/>
  <c r="I1371" i="58"/>
  <c r="J1371" i="58" s="1"/>
  <c r="H1371" i="58"/>
  <c r="P1370" i="58"/>
  <c r="O1370" i="58"/>
  <c r="L1370" i="58"/>
  <c r="I1370" i="58"/>
  <c r="J1370" i="58" s="1"/>
  <c r="H1370" i="58"/>
  <c r="P1369" i="58"/>
  <c r="O1369" i="58"/>
  <c r="L1369" i="58"/>
  <c r="I1369" i="58"/>
  <c r="J1369" i="58" s="1"/>
  <c r="H1369" i="58"/>
  <c r="P1368" i="58"/>
  <c r="O1368" i="58"/>
  <c r="L1368" i="58"/>
  <c r="I1368" i="58"/>
  <c r="J1368" i="58" s="1"/>
  <c r="H1368" i="58"/>
  <c r="P1367" i="58"/>
  <c r="O1367" i="58"/>
  <c r="L1367" i="58"/>
  <c r="I1367" i="58"/>
  <c r="J1367" i="58" s="1"/>
  <c r="H1367" i="58"/>
  <c r="P1366" i="58"/>
  <c r="O1366" i="58"/>
  <c r="L1366" i="58"/>
  <c r="I1366" i="58"/>
  <c r="J1366" i="58" s="1"/>
  <c r="H1366" i="58"/>
  <c r="P1365" i="58"/>
  <c r="O1365" i="58"/>
  <c r="L1365" i="58"/>
  <c r="I1365" i="58"/>
  <c r="J1365" i="58" s="1"/>
  <c r="H1365" i="58"/>
  <c r="P1364" i="58"/>
  <c r="O1364" i="58"/>
  <c r="L1364" i="58"/>
  <c r="I1364" i="58"/>
  <c r="J1364" i="58" s="1"/>
  <c r="H1364" i="58"/>
  <c r="P1363" i="58"/>
  <c r="O1363" i="58"/>
  <c r="L1363" i="58"/>
  <c r="I1363" i="58"/>
  <c r="J1363" i="58" s="1"/>
  <c r="H1363" i="58"/>
  <c r="P1362" i="58"/>
  <c r="O1362" i="58"/>
  <c r="L1362" i="58"/>
  <c r="I1362" i="58"/>
  <c r="J1362" i="58" s="1"/>
  <c r="H1362" i="58"/>
  <c r="P1361" i="58"/>
  <c r="O1361" i="58"/>
  <c r="L1361" i="58"/>
  <c r="I1361" i="58"/>
  <c r="J1361" i="58" s="1"/>
  <c r="H1361" i="58"/>
  <c r="P1360" i="58"/>
  <c r="O1360" i="58"/>
  <c r="L1360" i="58"/>
  <c r="I1360" i="58"/>
  <c r="J1360" i="58" s="1"/>
  <c r="H1360" i="58"/>
  <c r="G1360" i="58"/>
  <c r="P1359" i="58"/>
  <c r="O1359" i="58"/>
  <c r="L1359" i="58"/>
  <c r="I1359" i="58"/>
  <c r="J1359" i="58" s="1"/>
  <c r="H1359" i="58"/>
  <c r="G1359" i="58"/>
  <c r="P1358" i="58"/>
  <c r="O1358" i="58"/>
  <c r="L1358" i="58"/>
  <c r="I1358" i="58"/>
  <c r="J1358" i="58" s="1"/>
  <c r="H1358" i="58"/>
  <c r="P1357" i="58"/>
  <c r="O1357" i="58"/>
  <c r="L1357" i="58"/>
  <c r="I1357" i="58"/>
  <c r="J1357" i="58" s="1"/>
  <c r="H1357" i="58"/>
  <c r="P1356" i="58"/>
  <c r="O1356" i="58"/>
  <c r="L1356" i="58"/>
  <c r="I1356" i="58"/>
  <c r="J1356" i="58" s="1"/>
  <c r="H1356" i="58"/>
  <c r="G1356" i="58"/>
  <c r="P1355" i="58"/>
  <c r="O1355" i="58"/>
  <c r="L1355" i="58"/>
  <c r="I1355" i="58"/>
  <c r="J1355" i="58" s="1"/>
  <c r="H1355" i="58"/>
  <c r="G1355" i="58"/>
  <c r="P1354" i="58"/>
  <c r="O1354" i="58"/>
  <c r="L1354" i="58"/>
  <c r="I1354" i="58"/>
  <c r="J1354" i="58" s="1"/>
  <c r="H1354" i="58"/>
  <c r="P1353" i="58"/>
  <c r="O1353" i="58"/>
  <c r="L1353" i="58"/>
  <c r="I1353" i="58"/>
  <c r="J1353" i="58" s="1"/>
  <c r="H1353" i="58"/>
  <c r="G1353" i="58"/>
  <c r="P1352" i="58"/>
  <c r="O1352" i="58"/>
  <c r="L1352" i="58"/>
  <c r="I1352" i="58"/>
  <c r="J1352" i="58" s="1"/>
  <c r="H1352" i="58"/>
  <c r="P1351" i="58"/>
  <c r="O1351" i="58"/>
  <c r="L1351" i="58"/>
  <c r="I1351" i="58"/>
  <c r="J1351" i="58" s="1"/>
  <c r="H1351" i="58"/>
  <c r="P1350" i="58"/>
  <c r="O1350" i="58"/>
  <c r="L1350" i="58"/>
  <c r="I1350" i="58"/>
  <c r="J1350" i="58" s="1"/>
  <c r="H1350" i="58"/>
  <c r="P1349" i="58"/>
  <c r="O1349" i="58"/>
  <c r="L1349" i="58"/>
  <c r="I1349" i="58"/>
  <c r="J1349" i="58" s="1"/>
  <c r="H1349" i="58"/>
  <c r="P1348" i="58"/>
  <c r="O1348" i="58"/>
  <c r="L1348" i="58"/>
  <c r="I1348" i="58"/>
  <c r="J1348" i="58" s="1"/>
  <c r="H1348" i="58"/>
  <c r="P1347" i="58"/>
  <c r="O1347" i="58"/>
  <c r="L1347" i="58"/>
  <c r="I1347" i="58"/>
  <c r="J1347" i="58" s="1"/>
  <c r="H1347" i="58"/>
  <c r="P1346" i="58"/>
  <c r="O1346" i="58"/>
  <c r="L1346" i="58"/>
  <c r="I1346" i="58"/>
  <c r="J1346" i="58" s="1"/>
  <c r="H1346" i="58"/>
  <c r="P1345" i="58"/>
  <c r="O1345" i="58"/>
  <c r="L1345" i="58"/>
  <c r="I1345" i="58"/>
  <c r="J1345" i="58" s="1"/>
  <c r="H1345" i="58"/>
  <c r="P1344" i="58"/>
  <c r="O1344" i="58"/>
  <c r="L1344" i="58"/>
  <c r="I1344" i="58"/>
  <c r="J1344" i="58" s="1"/>
  <c r="H1344" i="58"/>
  <c r="P1343" i="58"/>
  <c r="O1343" i="58"/>
  <c r="L1343" i="58"/>
  <c r="I1343" i="58"/>
  <c r="J1343" i="58" s="1"/>
  <c r="H1343" i="58"/>
  <c r="P1342" i="58"/>
  <c r="O1342" i="58"/>
  <c r="L1342" i="58"/>
  <c r="I1342" i="58"/>
  <c r="J1342" i="58" s="1"/>
  <c r="H1342" i="58"/>
  <c r="G1342" i="58"/>
  <c r="P1341" i="58"/>
  <c r="O1341" i="58"/>
  <c r="L1341" i="58"/>
  <c r="I1341" i="58"/>
  <c r="J1341" i="58" s="1"/>
  <c r="H1341" i="58"/>
  <c r="G1341" i="58"/>
  <c r="P1340" i="58"/>
  <c r="O1340" i="58"/>
  <c r="L1340" i="58"/>
  <c r="I1340" i="58"/>
  <c r="J1340" i="58" s="1"/>
  <c r="H1340" i="58"/>
  <c r="G1340" i="58"/>
  <c r="P1339" i="58"/>
  <c r="O1339" i="58"/>
  <c r="L1339" i="58"/>
  <c r="I1339" i="58"/>
  <c r="J1339" i="58" s="1"/>
  <c r="H1339" i="58"/>
  <c r="G1339" i="58"/>
  <c r="P1338" i="58"/>
  <c r="O1338" i="58"/>
  <c r="L1338" i="58"/>
  <c r="I1338" i="58"/>
  <c r="J1338" i="58" s="1"/>
  <c r="H1338" i="58"/>
  <c r="G1338" i="58"/>
  <c r="P1337" i="58"/>
  <c r="O1337" i="58"/>
  <c r="L1337" i="58"/>
  <c r="I1337" i="58"/>
  <c r="J1337" i="58" s="1"/>
  <c r="H1337" i="58"/>
  <c r="G1337" i="58"/>
  <c r="P1336" i="58"/>
  <c r="O1336" i="58"/>
  <c r="L1336" i="58"/>
  <c r="I1336" i="58"/>
  <c r="J1336" i="58" s="1"/>
  <c r="H1336" i="58"/>
  <c r="G1336" i="58"/>
  <c r="P1335" i="58"/>
  <c r="O1335" i="58"/>
  <c r="L1335" i="58"/>
  <c r="I1335" i="58"/>
  <c r="J1335" i="58" s="1"/>
  <c r="H1335" i="58"/>
  <c r="G1335" i="58"/>
  <c r="P1334" i="58"/>
  <c r="O1334" i="58"/>
  <c r="L1334" i="58"/>
  <c r="I1334" i="58"/>
  <c r="J1334" i="58" s="1"/>
  <c r="H1334" i="58"/>
  <c r="P1333" i="58"/>
  <c r="O1333" i="58"/>
  <c r="L1333" i="58"/>
  <c r="I1333" i="58"/>
  <c r="J1333" i="58" s="1"/>
  <c r="H1333" i="58"/>
  <c r="P1332" i="58"/>
  <c r="O1332" i="58"/>
  <c r="L1332" i="58"/>
  <c r="I1332" i="58"/>
  <c r="J1332" i="58" s="1"/>
  <c r="H1332" i="58"/>
  <c r="P1331" i="58"/>
  <c r="O1331" i="58"/>
  <c r="L1331" i="58"/>
  <c r="I1331" i="58"/>
  <c r="J1331" i="58" s="1"/>
  <c r="H1331" i="58"/>
  <c r="P1330" i="58"/>
  <c r="O1330" i="58"/>
  <c r="L1330" i="58"/>
  <c r="I1330" i="58"/>
  <c r="J1330" i="58" s="1"/>
  <c r="H1330" i="58"/>
  <c r="P1329" i="58"/>
  <c r="O1329" i="58"/>
  <c r="L1329" i="58"/>
  <c r="I1329" i="58"/>
  <c r="J1329" i="58" s="1"/>
  <c r="H1329" i="58"/>
  <c r="P1328" i="58"/>
  <c r="O1328" i="58"/>
  <c r="L1328" i="58"/>
  <c r="I1328" i="58"/>
  <c r="J1328" i="58" s="1"/>
  <c r="H1328" i="58"/>
  <c r="P1327" i="58"/>
  <c r="O1327" i="58"/>
  <c r="L1327" i="58"/>
  <c r="I1327" i="58"/>
  <c r="J1327" i="58" s="1"/>
  <c r="H1327" i="58"/>
  <c r="P1326" i="58"/>
  <c r="O1326" i="58"/>
  <c r="L1326" i="58"/>
  <c r="I1326" i="58"/>
  <c r="J1326" i="58" s="1"/>
  <c r="H1326" i="58"/>
  <c r="P1325" i="58"/>
  <c r="O1325" i="58"/>
  <c r="L1325" i="58"/>
  <c r="I1325" i="58"/>
  <c r="J1325" i="58" s="1"/>
  <c r="H1325" i="58"/>
  <c r="P1324" i="58"/>
  <c r="O1324" i="58"/>
  <c r="L1324" i="58"/>
  <c r="I1324" i="58"/>
  <c r="J1324" i="58" s="1"/>
  <c r="H1324" i="58"/>
  <c r="P1323" i="58"/>
  <c r="O1323" i="58"/>
  <c r="L1323" i="58"/>
  <c r="I1323" i="58"/>
  <c r="J1323" i="58" s="1"/>
  <c r="H1323" i="58"/>
  <c r="P1322" i="58"/>
  <c r="O1322" i="58"/>
  <c r="L1322" i="58"/>
  <c r="I1322" i="58"/>
  <c r="J1322" i="58" s="1"/>
  <c r="H1322" i="58"/>
  <c r="P1321" i="58"/>
  <c r="O1321" i="58"/>
  <c r="L1321" i="58"/>
  <c r="I1321" i="58"/>
  <c r="J1321" i="58" s="1"/>
  <c r="H1321" i="58"/>
  <c r="P1320" i="58"/>
  <c r="O1320" i="58"/>
  <c r="L1320" i="58"/>
  <c r="I1320" i="58"/>
  <c r="J1320" i="58" s="1"/>
  <c r="H1320" i="58"/>
  <c r="P1319" i="58"/>
  <c r="O1319" i="58"/>
  <c r="L1319" i="58"/>
  <c r="I1319" i="58"/>
  <c r="J1319" i="58" s="1"/>
  <c r="H1319" i="58"/>
  <c r="P1318" i="58"/>
  <c r="O1318" i="58"/>
  <c r="L1318" i="58"/>
  <c r="I1318" i="58"/>
  <c r="J1318" i="58" s="1"/>
  <c r="H1318" i="58"/>
  <c r="P1317" i="58"/>
  <c r="O1317" i="58"/>
  <c r="L1317" i="58"/>
  <c r="I1317" i="58"/>
  <c r="J1317" i="58" s="1"/>
  <c r="H1317" i="58"/>
  <c r="P1316" i="58"/>
  <c r="O1316" i="58"/>
  <c r="L1316" i="58"/>
  <c r="I1316" i="58"/>
  <c r="J1316" i="58" s="1"/>
  <c r="H1316" i="58"/>
  <c r="P1315" i="58"/>
  <c r="O1315" i="58"/>
  <c r="L1315" i="58"/>
  <c r="I1315" i="58"/>
  <c r="J1315" i="58" s="1"/>
  <c r="H1315" i="58"/>
  <c r="P1314" i="58"/>
  <c r="O1314" i="58"/>
  <c r="L1314" i="58"/>
  <c r="I1314" i="58"/>
  <c r="J1314" i="58" s="1"/>
  <c r="H1314" i="58"/>
  <c r="P1313" i="58"/>
  <c r="O1313" i="58"/>
  <c r="L1313" i="58"/>
  <c r="I1313" i="58"/>
  <c r="J1313" i="58" s="1"/>
  <c r="H1313" i="58"/>
  <c r="P1312" i="58"/>
  <c r="O1312" i="58"/>
  <c r="L1312" i="58"/>
  <c r="I1312" i="58"/>
  <c r="J1312" i="58" s="1"/>
  <c r="H1312" i="58"/>
  <c r="P1311" i="58"/>
  <c r="O1311" i="58"/>
  <c r="L1311" i="58"/>
  <c r="I1311" i="58"/>
  <c r="J1311" i="58" s="1"/>
  <c r="H1311" i="58"/>
  <c r="P1310" i="58"/>
  <c r="O1310" i="58"/>
  <c r="L1310" i="58"/>
  <c r="I1310" i="58"/>
  <c r="J1310" i="58" s="1"/>
  <c r="H1310" i="58"/>
  <c r="P1309" i="58"/>
  <c r="O1309" i="58"/>
  <c r="L1309" i="58"/>
  <c r="I1309" i="58"/>
  <c r="J1309" i="58" s="1"/>
  <c r="H1309" i="58"/>
  <c r="P1308" i="58"/>
  <c r="O1308" i="58"/>
  <c r="L1308" i="58"/>
  <c r="I1308" i="58"/>
  <c r="J1308" i="58" s="1"/>
  <c r="H1308" i="58"/>
  <c r="P1307" i="58"/>
  <c r="O1307" i="58"/>
  <c r="L1307" i="58"/>
  <c r="I1307" i="58"/>
  <c r="J1307" i="58" s="1"/>
  <c r="H1307" i="58"/>
  <c r="P1306" i="58"/>
  <c r="O1306" i="58"/>
  <c r="L1306" i="58"/>
  <c r="I1306" i="58"/>
  <c r="J1306" i="58" s="1"/>
  <c r="H1306" i="58"/>
  <c r="P1305" i="58"/>
  <c r="O1305" i="58"/>
  <c r="L1305" i="58"/>
  <c r="I1305" i="58"/>
  <c r="J1305" i="58" s="1"/>
  <c r="H1305" i="58"/>
  <c r="P1304" i="58"/>
  <c r="O1304" i="58"/>
  <c r="L1304" i="58"/>
  <c r="I1304" i="58"/>
  <c r="J1304" i="58" s="1"/>
  <c r="H1304" i="58"/>
  <c r="P1303" i="58"/>
  <c r="O1303" i="58"/>
  <c r="L1303" i="58"/>
  <c r="I1303" i="58"/>
  <c r="J1303" i="58" s="1"/>
  <c r="H1303" i="58"/>
  <c r="P1302" i="58"/>
  <c r="O1302" i="58"/>
  <c r="L1302" i="58"/>
  <c r="I1302" i="58"/>
  <c r="J1302" i="58" s="1"/>
  <c r="H1302" i="58"/>
  <c r="P1301" i="58"/>
  <c r="O1301" i="58"/>
  <c r="L1301" i="58"/>
  <c r="I1301" i="58"/>
  <c r="J1301" i="58" s="1"/>
  <c r="H1301" i="58"/>
  <c r="P1300" i="58"/>
  <c r="O1300" i="58"/>
  <c r="L1300" i="58"/>
  <c r="I1300" i="58"/>
  <c r="J1300" i="58" s="1"/>
  <c r="H1300" i="58"/>
  <c r="P1299" i="58"/>
  <c r="O1299" i="58"/>
  <c r="L1299" i="58"/>
  <c r="I1299" i="58"/>
  <c r="J1299" i="58" s="1"/>
  <c r="H1299" i="58"/>
  <c r="P1298" i="58"/>
  <c r="O1298" i="58"/>
  <c r="L1298" i="58"/>
  <c r="I1298" i="58"/>
  <c r="J1298" i="58" s="1"/>
  <c r="H1298" i="58"/>
  <c r="P1297" i="58"/>
  <c r="O1297" i="58"/>
  <c r="L1297" i="58"/>
  <c r="I1297" i="58"/>
  <c r="J1297" i="58" s="1"/>
  <c r="H1297" i="58"/>
  <c r="P1296" i="58"/>
  <c r="O1296" i="58"/>
  <c r="L1296" i="58"/>
  <c r="I1296" i="58"/>
  <c r="J1296" i="58" s="1"/>
  <c r="H1296" i="58"/>
  <c r="P1295" i="58"/>
  <c r="O1295" i="58"/>
  <c r="L1295" i="58"/>
  <c r="I1295" i="58"/>
  <c r="J1295" i="58" s="1"/>
  <c r="H1295" i="58"/>
  <c r="P1294" i="58"/>
  <c r="O1294" i="58"/>
  <c r="L1294" i="58"/>
  <c r="I1294" i="58"/>
  <c r="J1294" i="58" s="1"/>
  <c r="H1294" i="58"/>
  <c r="P1293" i="58"/>
  <c r="O1293" i="58"/>
  <c r="L1293" i="58"/>
  <c r="I1293" i="58"/>
  <c r="J1293" i="58" s="1"/>
  <c r="H1293" i="58"/>
  <c r="P1292" i="58"/>
  <c r="O1292" i="58"/>
  <c r="L1292" i="58"/>
  <c r="I1292" i="58"/>
  <c r="J1292" i="58" s="1"/>
  <c r="H1292" i="58"/>
  <c r="P1291" i="58"/>
  <c r="O1291" i="58"/>
  <c r="L1291" i="58"/>
  <c r="I1291" i="58"/>
  <c r="J1291" i="58" s="1"/>
  <c r="H1291" i="58"/>
  <c r="P1290" i="58"/>
  <c r="O1290" i="58"/>
  <c r="L1290" i="58"/>
  <c r="I1290" i="58"/>
  <c r="J1290" i="58" s="1"/>
  <c r="H1290" i="58"/>
  <c r="P1289" i="58"/>
  <c r="O1289" i="58"/>
  <c r="L1289" i="58"/>
  <c r="I1289" i="58"/>
  <c r="J1289" i="58" s="1"/>
  <c r="H1289" i="58"/>
  <c r="P1288" i="58"/>
  <c r="O1288" i="58"/>
  <c r="L1288" i="58"/>
  <c r="I1288" i="58"/>
  <c r="J1288" i="58" s="1"/>
  <c r="H1288" i="58"/>
  <c r="P1287" i="58"/>
  <c r="O1287" i="58"/>
  <c r="L1287" i="58"/>
  <c r="I1287" i="58"/>
  <c r="J1287" i="58" s="1"/>
  <c r="H1287" i="58"/>
  <c r="P1286" i="58"/>
  <c r="O1286" i="58"/>
  <c r="L1286" i="58"/>
  <c r="I1286" i="58"/>
  <c r="J1286" i="58" s="1"/>
  <c r="H1286" i="58"/>
  <c r="P1285" i="58"/>
  <c r="O1285" i="58"/>
  <c r="L1285" i="58"/>
  <c r="I1285" i="58"/>
  <c r="J1285" i="58" s="1"/>
  <c r="H1285" i="58"/>
  <c r="P1284" i="58"/>
  <c r="O1284" i="58"/>
  <c r="L1284" i="58"/>
  <c r="I1284" i="58"/>
  <c r="J1284" i="58" s="1"/>
  <c r="H1284" i="58"/>
  <c r="P1283" i="58"/>
  <c r="O1283" i="58"/>
  <c r="L1283" i="58"/>
  <c r="I1283" i="58"/>
  <c r="J1283" i="58" s="1"/>
  <c r="H1283" i="58"/>
  <c r="P1282" i="58"/>
  <c r="O1282" i="58"/>
  <c r="L1282" i="58"/>
  <c r="I1282" i="58"/>
  <c r="J1282" i="58" s="1"/>
  <c r="H1282" i="58"/>
  <c r="P1281" i="58"/>
  <c r="O1281" i="58"/>
  <c r="L1281" i="58"/>
  <c r="I1281" i="58"/>
  <c r="J1281" i="58" s="1"/>
  <c r="H1281" i="58"/>
  <c r="P1280" i="58"/>
  <c r="O1280" i="58"/>
  <c r="L1280" i="58"/>
  <c r="I1280" i="58"/>
  <c r="J1280" i="58" s="1"/>
  <c r="H1280" i="58"/>
  <c r="P1279" i="58"/>
  <c r="O1279" i="58"/>
  <c r="L1279" i="58"/>
  <c r="I1279" i="58"/>
  <c r="J1279" i="58" s="1"/>
  <c r="H1279" i="58"/>
  <c r="P1278" i="58"/>
  <c r="O1278" i="58"/>
  <c r="L1278" i="58"/>
  <c r="I1278" i="58"/>
  <c r="J1278" i="58" s="1"/>
  <c r="H1278" i="58"/>
  <c r="P1277" i="58"/>
  <c r="O1277" i="58"/>
  <c r="L1277" i="58"/>
  <c r="I1277" i="58"/>
  <c r="J1277" i="58" s="1"/>
  <c r="H1277" i="58"/>
  <c r="P1276" i="58"/>
  <c r="O1276" i="58"/>
  <c r="L1276" i="58"/>
  <c r="I1276" i="58"/>
  <c r="J1276" i="58" s="1"/>
  <c r="H1276" i="58"/>
  <c r="P1275" i="58"/>
  <c r="O1275" i="58"/>
  <c r="L1275" i="58"/>
  <c r="I1275" i="58"/>
  <c r="J1275" i="58" s="1"/>
  <c r="H1275" i="58"/>
  <c r="P1274" i="58"/>
  <c r="O1274" i="58"/>
  <c r="L1274" i="58"/>
  <c r="I1274" i="58"/>
  <c r="J1274" i="58" s="1"/>
  <c r="H1274" i="58"/>
  <c r="P1273" i="58"/>
  <c r="O1273" i="58"/>
  <c r="L1273" i="58"/>
  <c r="I1273" i="58"/>
  <c r="J1273" i="58" s="1"/>
  <c r="H1273" i="58"/>
  <c r="P1272" i="58"/>
  <c r="O1272" i="58"/>
  <c r="L1272" i="58"/>
  <c r="I1272" i="58"/>
  <c r="J1272" i="58" s="1"/>
  <c r="H1272" i="58"/>
  <c r="P1271" i="58"/>
  <c r="O1271" i="58"/>
  <c r="L1271" i="58"/>
  <c r="I1271" i="58"/>
  <c r="J1271" i="58" s="1"/>
  <c r="H1271" i="58"/>
  <c r="P1270" i="58"/>
  <c r="O1270" i="58"/>
  <c r="L1270" i="58"/>
  <c r="I1270" i="58"/>
  <c r="J1270" i="58" s="1"/>
  <c r="H1270" i="58"/>
  <c r="P1269" i="58"/>
  <c r="O1269" i="58"/>
  <c r="L1269" i="58"/>
  <c r="I1269" i="58"/>
  <c r="J1269" i="58" s="1"/>
  <c r="H1269" i="58"/>
  <c r="P1268" i="58"/>
  <c r="O1268" i="58"/>
  <c r="L1268" i="58"/>
  <c r="I1268" i="58"/>
  <c r="J1268" i="58" s="1"/>
  <c r="H1268" i="58"/>
  <c r="P1267" i="58"/>
  <c r="O1267" i="58"/>
  <c r="L1267" i="58"/>
  <c r="I1267" i="58"/>
  <c r="J1267" i="58" s="1"/>
  <c r="H1267" i="58"/>
  <c r="P1266" i="58"/>
  <c r="O1266" i="58"/>
  <c r="L1266" i="58"/>
  <c r="I1266" i="58"/>
  <c r="J1266" i="58" s="1"/>
  <c r="H1266" i="58"/>
  <c r="P1265" i="58"/>
  <c r="O1265" i="58"/>
  <c r="L1265" i="58"/>
  <c r="I1265" i="58"/>
  <c r="J1265" i="58" s="1"/>
  <c r="H1265" i="58"/>
  <c r="P1264" i="58"/>
  <c r="O1264" i="58"/>
  <c r="L1264" i="58"/>
  <c r="I1264" i="58"/>
  <c r="J1264" i="58" s="1"/>
  <c r="H1264" i="58"/>
  <c r="P1263" i="58"/>
  <c r="O1263" i="58"/>
  <c r="L1263" i="58"/>
  <c r="I1263" i="58"/>
  <c r="J1263" i="58" s="1"/>
  <c r="H1263" i="58"/>
  <c r="P1262" i="58"/>
  <c r="O1262" i="58"/>
  <c r="L1262" i="58"/>
  <c r="I1262" i="58"/>
  <c r="J1262" i="58" s="1"/>
  <c r="H1262" i="58"/>
  <c r="P1261" i="58"/>
  <c r="O1261" i="58"/>
  <c r="L1261" i="58"/>
  <c r="I1261" i="58"/>
  <c r="J1261" i="58" s="1"/>
  <c r="H1261" i="58"/>
  <c r="P1260" i="58"/>
  <c r="O1260" i="58"/>
  <c r="L1260" i="58"/>
  <c r="I1260" i="58"/>
  <c r="J1260" i="58" s="1"/>
  <c r="H1260" i="58"/>
  <c r="P1259" i="58"/>
  <c r="O1259" i="58"/>
  <c r="L1259" i="58"/>
  <c r="I1259" i="58"/>
  <c r="J1259" i="58" s="1"/>
  <c r="H1259" i="58"/>
  <c r="P1258" i="58"/>
  <c r="O1258" i="58"/>
  <c r="L1258" i="58"/>
  <c r="I1258" i="58"/>
  <c r="J1258" i="58" s="1"/>
  <c r="H1258" i="58"/>
  <c r="P1257" i="58"/>
  <c r="O1257" i="58"/>
  <c r="L1257" i="58"/>
  <c r="I1257" i="58"/>
  <c r="J1257" i="58" s="1"/>
  <c r="H1257" i="58"/>
  <c r="P1256" i="58"/>
  <c r="O1256" i="58"/>
  <c r="L1256" i="58"/>
  <c r="I1256" i="58"/>
  <c r="J1256" i="58" s="1"/>
  <c r="H1256" i="58"/>
  <c r="P1255" i="58"/>
  <c r="O1255" i="58"/>
  <c r="L1255" i="58"/>
  <c r="I1255" i="58"/>
  <c r="J1255" i="58" s="1"/>
  <c r="H1255" i="58"/>
  <c r="P1254" i="58"/>
  <c r="O1254" i="58"/>
  <c r="L1254" i="58"/>
  <c r="I1254" i="58"/>
  <c r="J1254" i="58" s="1"/>
  <c r="H1254" i="58"/>
  <c r="P1253" i="58"/>
  <c r="O1253" i="58"/>
  <c r="L1253" i="58"/>
  <c r="I1253" i="58"/>
  <c r="J1253" i="58" s="1"/>
  <c r="H1253" i="58"/>
  <c r="P1252" i="58"/>
  <c r="O1252" i="58"/>
  <c r="L1252" i="58"/>
  <c r="I1252" i="58"/>
  <c r="J1252" i="58" s="1"/>
  <c r="H1252" i="58"/>
  <c r="P1251" i="58"/>
  <c r="O1251" i="58"/>
  <c r="L1251" i="58"/>
  <c r="I1251" i="58"/>
  <c r="J1251" i="58" s="1"/>
  <c r="H1251" i="58"/>
  <c r="P1250" i="58"/>
  <c r="O1250" i="58"/>
  <c r="L1250" i="58"/>
  <c r="I1250" i="58"/>
  <c r="J1250" i="58" s="1"/>
  <c r="H1250" i="58"/>
  <c r="P1249" i="58"/>
  <c r="O1249" i="58"/>
  <c r="L1249" i="58"/>
  <c r="I1249" i="58"/>
  <c r="J1249" i="58" s="1"/>
  <c r="H1249" i="58"/>
  <c r="P1248" i="58"/>
  <c r="O1248" i="58"/>
  <c r="L1248" i="58"/>
  <c r="I1248" i="58"/>
  <c r="J1248" i="58" s="1"/>
  <c r="H1248" i="58"/>
  <c r="P1247" i="58"/>
  <c r="O1247" i="58"/>
  <c r="L1247" i="58"/>
  <c r="I1247" i="58"/>
  <c r="J1247" i="58" s="1"/>
  <c r="H1247" i="58"/>
  <c r="P1246" i="58"/>
  <c r="O1246" i="58"/>
  <c r="L1246" i="58"/>
  <c r="I1246" i="58"/>
  <c r="J1246" i="58" s="1"/>
  <c r="H1246" i="58"/>
  <c r="P1245" i="58"/>
  <c r="O1245" i="58"/>
  <c r="L1245" i="58"/>
  <c r="I1245" i="58"/>
  <c r="J1245" i="58" s="1"/>
  <c r="H1245" i="58"/>
  <c r="P1244" i="58"/>
  <c r="O1244" i="58"/>
  <c r="L1244" i="58"/>
  <c r="I1244" i="58"/>
  <c r="J1244" i="58" s="1"/>
  <c r="H1244" i="58"/>
  <c r="P1243" i="58"/>
  <c r="O1243" i="58"/>
  <c r="L1243" i="58"/>
  <c r="I1243" i="58"/>
  <c r="J1243" i="58" s="1"/>
  <c r="H1243" i="58"/>
  <c r="P1242" i="58"/>
  <c r="O1242" i="58"/>
  <c r="L1242" i="58"/>
  <c r="I1242" i="58"/>
  <c r="J1242" i="58" s="1"/>
  <c r="H1242" i="58"/>
  <c r="P1241" i="58"/>
  <c r="O1241" i="58"/>
  <c r="L1241" i="58"/>
  <c r="I1241" i="58"/>
  <c r="J1241" i="58" s="1"/>
  <c r="H1241" i="58"/>
  <c r="P1240" i="58"/>
  <c r="O1240" i="58"/>
  <c r="L1240" i="58"/>
  <c r="I1240" i="58"/>
  <c r="J1240" i="58" s="1"/>
  <c r="H1240" i="58"/>
  <c r="M1436" i="58" l="1"/>
  <c r="N1436" i="58"/>
  <c r="N1359" i="58"/>
  <c r="N1249" i="58"/>
  <c r="N1261" i="58"/>
  <c r="N1273" i="58"/>
  <c r="N1285" i="58"/>
  <c r="N1297" i="58"/>
  <c r="N1309" i="58"/>
  <c r="N1321" i="58"/>
  <c r="N1331" i="58"/>
  <c r="N1351" i="58"/>
  <c r="N1248" i="58"/>
  <c r="N1260" i="58"/>
  <c r="N1284" i="58"/>
  <c r="N1296" i="58"/>
  <c r="N1241" i="58"/>
  <c r="N1253" i="58"/>
  <c r="N1265" i="58"/>
  <c r="N1277" i="58"/>
  <c r="N1289" i="58"/>
  <c r="N1301" i="58"/>
  <c r="N1313" i="58"/>
  <c r="N1343" i="58"/>
  <c r="N1368" i="58"/>
  <c r="N1247" i="58"/>
  <c r="N1259" i="58"/>
  <c r="N1271" i="58"/>
  <c r="N1295" i="58"/>
  <c r="N1240" i="58"/>
  <c r="N1252" i="58"/>
  <c r="N1288" i="58"/>
  <c r="N1300" i="58"/>
  <c r="N1245" i="58"/>
  <c r="N1257" i="58"/>
  <c r="N1269" i="58"/>
  <c r="N1281" i="58"/>
  <c r="N1293" i="58"/>
  <c r="N1305" i="58"/>
  <c r="N1317" i="58"/>
  <c r="N1347" i="58"/>
  <c r="M1338" i="58"/>
  <c r="N1327" i="58"/>
  <c r="N1262" i="58"/>
  <c r="N1274" i="58"/>
  <c r="N1363" i="58"/>
  <c r="N1369" i="58"/>
  <c r="M1337" i="58"/>
  <c r="M1341" i="58"/>
  <c r="N1258" i="58"/>
  <c r="N1270" i="58"/>
  <c r="N1282" i="58"/>
  <c r="N1335" i="58"/>
  <c r="N1339" i="58"/>
  <c r="N1251" i="58"/>
  <c r="N1263" i="58"/>
  <c r="N1299" i="58"/>
  <c r="M1353" i="58"/>
  <c r="N1355" i="58"/>
  <c r="N1429" i="58"/>
  <c r="N1430" i="58"/>
  <c r="N1376" i="58"/>
  <c r="N1400" i="58"/>
  <c r="N1424" i="58"/>
  <c r="N1334" i="58"/>
  <c r="N1332" i="58"/>
  <c r="N1362" i="58"/>
  <c r="N1379" i="58"/>
  <c r="N1391" i="58"/>
  <c r="N1413" i="58"/>
  <c r="N1308" i="58"/>
  <c r="N1333" i="58"/>
  <c r="N1264" i="58"/>
  <c r="N1380" i="58"/>
  <c r="N1306" i="58"/>
  <c r="N1320" i="58"/>
  <c r="N1283" i="58"/>
  <c r="N1290" i="58"/>
  <c r="N1304" i="58"/>
  <c r="N1357" i="58"/>
  <c r="N1381" i="58"/>
  <c r="N1374" i="58"/>
  <c r="N1434" i="58"/>
  <c r="N1403" i="58"/>
  <c r="N1415" i="58"/>
  <c r="N1427" i="58"/>
  <c r="N1372" i="58"/>
  <c r="N1384" i="58"/>
  <c r="N1408" i="58"/>
  <c r="N1432" i="58"/>
  <c r="N1316" i="58"/>
  <c r="N1307" i="58"/>
  <c r="N1330" i="58"/>
  <c r="N1349" i="58"/>
  <c r="N1394" i="58"/>
  <c r="N1406" i="58"/>
  <c r="N1418" i="58"/>
  <c r="N1342" i="58"/>
  <c r="N1266" i="58"/>
  <c r="N1326" i="58"/>
  <c r="N1366" i="58"/>
  <c r="N1392" i="58"/>
  <c r="N1404" i="58"/>
  <c r="N1416" i="58"/>
  <c r="N1428" i="58"/>
  <c r="N1373" i="58"/>
  <c r="N1397" i="58"/>
  <c r="N1378" i="58"/>
  <c r="N1390" i="58"/>
  <c r="N1402" i="58"/>
  <c r="N1414" i="58"/>
  <c r="N1426" i="58"/>
  <c r="N1395" i="58"/>
  <c r="N1407" i="58"/>
  <c r="N1419" i="58"/>
  <c r="N1268" i="58"/>
  <c r="N1275" i="58"/>
  <c r="N1279" i="58"/>
  <c r="N1323" i="58"/>
  <c r="N1254" i="58"/>
  <c r="N1256" i="58"/>
  <c r="N1325" i="58"/>
  <c r="N1353" i="58"/>
  <c r="N1292" i="58"/>
  <c r="N1294" i="58"/>
  <c r="N1318" i="58"/>
  <c r="N1242" i="58"/>
  <c r="N1346" i="58"/>
  <c r="N1244" i="58"/>
  <c r="N1278" i="58"/>
  <c r="N1311" i="58"/>
  <c r="M1335" i="58"/>
  <c r="N1337" i="58"/>
  <c r="N1348" i="58"/>
  <c r="N1255" i="58"/>
  <c r="N1280" i="58"/>
  <c r="N1315" i="58"/>
  <c r="N1246" i="58"/>
  <c r="N1341" i="58"/>
  <c r="N1371" i="58"/>
  <c r="N1382" i="58"/>
  <c r="N1386" i="58"/>
  <c r="N1399" i="58"/>
  <c r="N1410" i="58"/>
  <c r="N1423" i="58"/>
  <c r="N1375" i="58"/>
  <c r="N1388" i="58"/>
  <c r="N1412" i="58"/>
  <c r="N1267" i="58"/>
  <c r="N1272" i="58"/>
  <c r="N1322" i="58"/>
  <c r="N1350" i="58"/>
  <c r="N1250" i="58"/>
  <c r="N1286" i="58"/>
  <c r="N1303" i="58"/>
  <c r="N1324" i="58"/>
  <c r="N1336" i="58"/>
  <c r="N1345" i="58"/>
  <c r="N1352" i="58"/>
  <c r="N1370" i="58"/>
  <c r="N1383" i="58"/>
  <c r="N1319" i="58"/>
  <c r="N1338" i="58"/>
  <c r="N1354" i="58"/>
  <c r="N1367" i="58"/>
  <c r="N1396" i="58"/>
  <c r="N1420" i="58"/>
  <c r="N1431" i="58"/>
  <c r="M1435" i="58"/>
  <c r="N1387" i="58"/>
  <c r="N1398" i="58"/>
  <c r="N1411" i="58"/>
  <c r="N1422" i="58"/>
  <c r="N1358" i="58"/>
  <c r="N1433" i="58"/>
  <c r="N1291" i="58"/>
  <c r="N1276" i="58"/>
  <c r="N1287" i="58"/>
  <c r="N1298" i="58"/>
  <c r="N1361" i="58"/>
  <c r="N1385" i="58"/>
  <c r="N1401" i="58"/>
  <c r="N1417" i="58"/>
  <c r="N1243" i="58"/>
  <c r="N1312" i="58"/>
  <c r="N1314" i="58"/>
  <c r="N1328" i="58"/>
  <c r="N1344" i="58"/>
  <c r="N1360" i="58"/>
  <c r="N1365" i="58"/>
  <c r="M1342" i="58"/>
  <c r="M1360" i="58"/>
  <c r="N1302" i="58"/>
  <c r="N1389" i="58"/>
  <c r="N1405" i="58"/>
  <c r="N1421" i="58"/>
  <c r="N1310" i="58"/>
  <c r="N1340" i="58"/>
  <c r="N1356" i="58"/>
  <c r="M1340" i="58"/>
  <c r="M1356" i="58"/>
  <c r="M1359" i="58"/>
  <c r="N1329" i="58"/>
  <c r="N1364" i="58"/>
  <c r="N1377" i="58"/>
  <c r="N1393" i="58"/>
  <c r="N1409" i="58"/>
  <c r="N1425" i="58"/>
  <c r="M1336" i="58"/>
  <c r="M1339" i="58"/>
  <c r="M1355" i="58"/>
  <c r="N1435" i="58"/>
  <c r="S23" i="118" l="1"/>
  <c r="K23" i="118"/>
  <c r="C23" i="118"/>
  <c r="S22" i="118"/>
  <c r="K22" i="118"/>
  <c r="C22" i="118"/>
  <c r="S10" i="118"/>
  <c r="K10" i="118"/>
  <c r="C10" i="118"/>
  <c r="S7" i="118"/>
  <c r="C7" i="118"/>
  <c r="K7" i="118"/>
  <c r="C6" i="118"/>
  <c r="H2" i="104" l="1"/>
  <c r="H1" i="104"/>
  <c r="G1" i="104"/>
  <c r="G1345" i="58" l="1"/>
  <c r="M1345" i="58" s="1"/>
  <c r="H2" i="58" l="1"/>
  <c r="I2" i="58"/>
  <c r="J2" i="58" s="1"/>
  <c r="O2" i="58"/>
  <c r="P2" i="58"/>
  <c r="H3" i="58"/>
  <c r="I3" i="58"/>
  <c r="J3" i="58" s="1"/>
  <c r="O3" i="58"/>
  <c r="P3" i="58"/>
  <c r="H4" i="58"/>
  <c r="I4" i="58"/>
  <c r="O4" i="58"/>
  <c r="P4" i="58"/>
  <c r="H5" i="58"/>
  <c r="I5" i="58"/>
  <c r="J5" i="58" s="1"/>
  <c r="O5" i="58"/>
  <c r="P5" i="58"/>
  <c r="H6" i="58"/>
  <c r="I6" i="58"/>
  <c r="J6" i="58" s="1"/>
  <c r="O6" i="58"/>
  <c r="P6" i="58"/>
  <c r="H7" i="58"/>
  <c r="I7" i="58"/>
  <c r="J7" i="58" s="1"/>
  <c r="O7" i="58"/>
  <c r="P7" i="58"/>
  <c r="H8" i="58"/>
  <c r="I8" i="58"/>
  <c r="J8" i="58" s="1"/>
  <c r="O8" i="58"/>
  <c r="P8" i="58"/>
  <c r="H9" i="58"/>
  <c r="I9" i="58"/>
  <c r="J9" i="58" s="1"/>
  <c r="O9" i="58"/>
  <c r="P9" i="58"/>
  <c r="H10" i="58"/>
  <c r="I10" i="58"/>
  <c r="O10" i="58"/>
  <c r="P10" i="58"/>
  <c r="H11" i="58"/>
  <c r="I11" i="58"/>
  <c r="J11" i="58" s="1"/>
  <c r="O11" i="58"/>
  <c r="P11" i="58"/>
  <c r="H12" i="58"/>
  <c r="I12" i="58"/>
  <c r="J12" i="58" s="1"/>
  <c r="O12" i="58"/>
  <c r="P12" i="58"/>
  <c r="H13" i="58"/>
  <c r="I13" i="58"/>
  <c r="J13" i="58" s="1"/>
  <c r="O13" i="58"/>
  <c r="P13" i="58"/>
  <c r="H14" i="58"/>
  <c r="I14" i="58"/>
  <c r="J14" i="58" s="1"/>
  <c r="O14" i="58"/>
  <c r="P14" i="58"/>
  <c r="H15" i="58"/>
  <c r="I15" i="58"/>
  <c r="J15" i="58" s="1"/>
  <c r="O15" i="58"/>
  <c r="P15" i="58"/>
  <c r="H16" i="58"/>
  <c r="I16" i="58"/>
  <c r="O16" i="58"/>
  <c r="P16" i="58"/>
  <c r="H17" i="58"/>
  <c r="I17" i="58"/>
  <c r="J17" i="58" s="1"/>
  <c r="O17" i="58"/>
  <c r="P17" i="58"/>
  <c r="H18" i="58"/>
  <c r="I18" i="58"/>
  <c r="J18" i="58" s="1"/>
  <c r="O18" i="58"/>
  <c r="P18" i="58"/>
  <c r="H19" i="58"/>
  <c r="I19" i="58"/>
  <c r="J19" i="58" s="1"/>
  <c r="O19" i="58"/>
  <c r="P19" i="58"/>
  <c r="H20" i="58"/>
  <c r="I20" i="58"/>
  <c r="J20" i="58" s="1"/>
  <c r="O20" i="58"/>
  <c r="P20" i="58"/>
  <c r="H21" i="58"/>
  <c r="I21" i="58"/>
  <c r="J21" i="58" s="1"/>
  <c r="O21" i="58"/>
  <c r="P21" i="58"/>
  <c r="H22" i="58"/>
  <c r="I22" i="58"/>
  <c r="O22" i="58"/>
  <c r="P22" i="58"/>
  <c r="H23" i="58"/>
  <c r="I23" i="58"/>
  <c r="J23" i="58" s="1"/>
  <c r="O23" i="58"/>
  <c r="P23" i="58"/>
  <c r="H24" i="58"/>
  <c r="I24" i="58"/>
  <c r="J24" i="58" s="1"/>
  <c r="O24" i="58"/>
  <c r="P24" i="58"/>
  <c r="H25" i="58"/>
  <c r="I25" i="58"/>
  <c r="J25" i="58" s="1"/>
  <c r="O25" i="58"/>
  <c r="P25" i="58"/>
  <c r="H26" i="58"/>
  <c r="I26" i="58"/>
  <c r="J26" i="58" s="1"/>
  <c r="O26" i="58"/>
  <c r="P26" i="58"/>
  <c r="H27" i="58"/>
  <c r="I27" i="58"/>
  <c r="J27" i="58" s="1"/>
  <c r="O27" i="58"/>
  <c r="P27" i="58"/>
  <c r="H28" i="58"/>
  <c r="I28" i="58"/>
  <c r="O28" i="58"/>
  <c r="P28" i="58"/>
  <c r="H29" i="58"/>
  <c r="I29" i="58"/>
  <c r="J29" i="58" s="1"/>
  <c r="O29" i="58"/>
  <c r="P29" i="58"/>
  <c r="H30" i="58"/>
  <c r="I30" i="58"/>
  <c r="J30" i="58" s="1"/>
  <c r="O30" i="58"/>
  <c r="P30" i="58"/>
  <c r="H31" i="58"/>
  <c r="I31" i="58"/>
  <c r="J31" i="58" s="1"/>
  <c r="O31" i="58"/>
  <c r="P31" i="58"/>
  <c r="H32" i="58"/>
  <c r="I32" i="58"/>
  <c r="J32" i="58" s="1"/>
  <c r="O32" i="58"/>
  <c r="P32" i="58"/>
  <c r="H33" i="58"/>
  <c r="I33" i="58"/>
  <c r="J33" i="58" s="1"/>
  <c r="O33" i="58"/>
  <c r="P33" i="58"/>
  <c r="H34" i="58"/>
  <c r="I34" i="58"/>
  <c r="O34" i="58"/>
  <c r="P34" i="58"/>
  <c r="H35" i="58"/>
  <c r="I35" i="58"/>
  <c r="J35" i="58" s="1"/>
  <c r="O35" i="58"/>
  <c r="P35" i="58"/>
  <c r="H36" i="58"/>
  <c r="I36" i="58"/>
  <c r="J36" i="58" s="1"/>
  <c r="O36" i="58"/>
  <c r="P36" i="58"/>
  <c r="H37" i="58"/>
  <c r="I37" i="58"/>
  <c r="J37" i="58" s="1"/>
  <c r="O37" i="58"/>
  <c r="P37" i="58"/>
  <c r="H38" i="58"/>
  <c r="I38" i="58"/>
  <c r="J38" i="58" s="1"/>
  <c r="O38" i="58"/>
  <c r="P38" i="58"/>
  <c r="H39" i="58"/>
  <c r="I39" i="58"/>
  <c r="J39" i="58" s="1"/>
  <c r="O39" i="58"/>
  <c r="P39" i="58"/>
  <c r="H40" i="58"/>
  <c r="I40" i="58"/>
  <c r="O40" i="58"/>
  <c r="P40" i="58"/>
  <c r="H41" i="58"/>
  <c r="I41" i="58"/>
  <c r="J41" i="58" s="1"/>
  <c r="O41" i="58"/>
  <c r="P41" i="58"/>
  <c r="H42" i="58"/>
  <c r="I42" i="58"/>
  <c r="J42" i="58" s="1"/>
  <c r="O42" i="58"/>
  <c r="P42" i="58"/>
  <c r="H43" i="58"/>
  <c r="I43" i="58"/>
  <c r="J43" i="58" s="1"/>
  <c r="O43" i="58"/>
  <c r="P43" i="58"/>
  <c r="H44" i="58"/>
  <c r="I44" i="58"/>
  <c r="J44" i="58" s="1"/>
  <c r="O44" i="58"/>
  <c r="P44" i="58"/>
  <c r="H45" i="58"/>
  <c r="I45" i="58"/>
  <c r="J45" i="58" s="1"/>
  <c r="O45" i="58"/>
  <c r="P45" i="58"/>
  <c r="H46" i="58"/>
  <c r="I46" i="58"/>
  <c r="J46" i="58" s="1"/>
  <c r="O46" i="58"/>
  <c r="P46" i="58"/>
  <c r="H47" i="58"/>
  <c r="I47" i="58"/>
  <c r="J47" i="58" s="1"/>
  <c r="O47" i="58"/>
  <c r="P47" i="58"/>
  <c r="H48" i="58"/>
  <c r="I48" i="58"/>
  <c r="J48" i="58" s="1"/>
  <c r="O48" i="58"/>
  <c r="P48" i="58"/>
  <c r="H49" i="58"/>
  <c r="I49" i="58"/>
  <c r="J49" i="58" s="1"/>
  <c r="O49" i="58"/>
  <c r="P49" i="58"/>
  <c r="H50" i="58"/>
  <c r="I50" i="58"/>
  <c r="J50" i="58" s="1"/>
  <c r="O50" i="58"/>
  <c r="P50" i="58"/>
  <c r="H51" i="58"/>
  <c r="I51" i="58"/>
  <c r="J51" i="58" s="1"/>
  <c r="O51" i="58"/>
  <c r="P51" i="58"/>
  <c r="H52" i="58"/>
  <c r="I52" i="58"/>
  <c r="J52" i="58" s="1"/>
  <c r="O52" i="58"/>
  <c r="P52" i="58"/>
  <c r="H53" i="58"/>
  <c r="I53" i="58"/>
  <c r="J53" i="58" s="1"/>
  <c r="O53" i="58"/>
  <c r="P53" i="58"/>
  <c r="H54" i="58"/>
  <c r="I54" i="58"/>
  <c r="J54" i="58" s="1"/>
  <c r="O54" i="58"/>
  <c r="P54" i="58"/>
  <c r="H55" i="58"/>
  <c r="I55" i="58"/>
  <c r="J55" i="58" s="1"/>
  <c r="O55" i="58"/>
  <c r="P55" i="58"/>
  <c r="H56" i="58"/>
  <c r="I56" i="58"/>
  <c r="O56" i="58"/>
  <c r="P56" i="58"/>
  <c r="H57" i="58"/>
  <c r="I57" i="58"/>
  <c r="J57" i="58" s="1"/>
  <c r="O57" i="58"/>
  <c r="P57" i="58"/>
  <c r="H58" i="58"/>
  <c r="I58" i="58"/>
  <c r="J58" i="58" s="1"/>
  <c r="O58" i="58"/>
  <c r="P58" i="58"/>
  <c r="H59" i="58"/>
  <c r="I59" i="58"/>
  <c r="J59" i="58" s="1"/>
  <c r="O59" i="58"/>
  <c r="P59" i="58"/>
  <c r="H60" i="58"/>
  <c r="I60" i="58"/>
  <c r="J60" i="58" s="1"/>
  <c r="O60" i="58"/>
  <c r="P60" i="58"/>
  <c r="H61" i="58"/>
  <c r="I61" i="58"/>
  <c r="O61" i="58"/>
  <c r="P61" i="58"/>
  <c r="H62" i="58"/>
  <c r="I62" i="58"/>
  <c r="J62" i="58" s="1"/>
  <c r="O62" i="58"/>
  <c r="P62" i="58"/>
  <c r="H63" i="58"/>
  <c r="I63" i="58"/>
  <c r="J63" i="58" s="1"/>
  <c r="O63" i="58"/>
  <c r="P63" i="58"/>
  <c r="H64" i="58"/>
  <c r="I64" i="58"/>
  <c r="J64" i="58" s="1"/>
  <c r="O64" i="58"/>
  <c r="P64" i="58"/>
  <c r="H65" i="58"/>
  <c r="I65" i="58"/>
  <c r="J65" i="58" s="1"/>
  <c r="O65" i="58"/>
  <c r="P65" i="58"/>
  <c r="H66" i="58"/>
  <c r="I66" i="58"/>
  <c r="J66" i="58" s="1"/>
  <c r="O66" i="58"/>
  <c r="P66" i="58"/>
  <c r="H67" i="58"/>
  <c r="I67" i="58"/>
  <c r="J67" i="58" s="1"/>
  <c r="O67" i="58"/>
  <c r="P67" i="58"/>
  <c r="H68" i="58"/>
  <c r="I68" i="58"/>
  <c r="O68" i="58"/>
  <c r="P68" i="58"/>
  <c r="H69" i="58"/>
  <c r="I69" i="58"/>
  <c r="J69" i="58" s="1"/>
  <c r="O69" i="58"/>
  <c r="P69" i="58"/>
  <c r="H70" i="58"/>
  <c r="I70" i="58"/>
  <c r="J70" i="58" s="1"/>
  <c r="O70" i="58"/>
  <c r="P70" i="58"/>
  <c r="H71" i="58"/>
  <c r="I71" i="58"/>
  <c r="J71" i="58" s="1"/>
  <c r="O71" i="58"/>
  <c r="P71" i="58"/>
  <c r="H72" i="58"/>
  <c r="I72" i="58"/>
  <c r="J72" i="58" s="1"/>
  <c r="O72" i="58"/>
  <c r="P72" i="58"/>
  <c r="H73" i="58"/>
  <c r="I73" i="58"/>
  <c r="J73" i="58" s="1"/>
  <c r="O73" i="58"/>
  <c r="P73" i="58"/>
  <c r="H74" i="58"/>
  <c r="I74" i="58"/>
  <c r="J74" i="58" s="1"/>
  <c r="O74" i="58"/>
  <c r="P74" i="58"/>
  <c r="H75" i="58"/>
  <c r="I75" i="58"/>
  <c r="J75" i="58" s="1"/>
  <c r="O75" i="58"/>
  <c r="P75" i="58"/>
  <c r="H76" i="58"/>
  <c r="I76" i="58"/>
  <c r="J76" i="58" s="1"/>
  <c r="O76" i="58"/>
  <c r="P76" i="58"/>
  <c r="H77" i="58"/>
  <c r="I77" i="58"/>
  <c r="J77" i="58" s="1"/>
  <c r="O77" i="58"/>
  <c r="P77" i="58"/>
  <c r="H78" i="58"/>
  <c r="I78" i="58"/>
  <c r="J78" i="58" s="1"/>
  <c r="O78" i="58"/>
  <c r="P78" i="58"/>
  <c r="H79" i="58"/>
  <c r="I79" i="58"/>
  <c r="J79" i="58" s="1"/>
  <c r="O79" i="58"/>
  <c r="P79" i="58"/>
  <c r="H80" i="58"/>
  <c r="I80" i="58"/>
  <c r="O80" i="58"/>
  <c r="P80" i="58"/>
  <c r="H81" i="58"/>
  <c r="I81" i="58"/>
  <c r="J81" i="58" s="1"/>
  <c r="O81" i="58"/>
  <c r="P81" i="58"/>
  <c r="H82" i="58"/>
  <c r="I82" i="58"/>
  <c r="J82" i="58" s="1"/>
  <c r="O82" i="58"/>
  <c r="P82" i="58"/>
  <c r="H83" i="58"/>
  <c r="I83" i="58"/>
  <c r="J83" i="58" s="1"/>
  <c r="O83" i="58"/>
  <c r="P83" i="58"/>
  <c r="H84" i="58"/>
  <c r="I84" i="58"/>
  <c r="J84" i="58" s="1"/>
  <c r="O84" i="58"/>
  <c r="P84" i="58"/>
  <c r="H85" i="58"/>
  <c r="I85" i="58"/>
  <c r="J85" i="58" s="1"/>
  <c r="O85" i="58"/>
  <c r="P85" i="58"/>
  <c r="H86" i="58"/>
  <c r="I86" i="58"/>
  <c r="J86" i="58" s="1"/>
  <c r="O86" i="58"/>
  <c r="P86" i="58"/>
  <c r="H87" i="58"/>
  <c r="I87" i="58"/>
  <c r="J87" i="58" s="1"/>
  <c r="O87" i="58"/>
  <c r="P87" i="58"/>
  <c r="H88" i="58"/>
  <c r="I88" i="58"/>
  <c r="J88" i="58" s="1"/>
  <c r="O88" i="58"/>
  <c r="P88" i="58"/>
  <c r="H89" i="58"/>
  <c r="I89" i="58"/>
  <c r="J89" i="58" s="1"/>
  <c r="O89" i="58"/>
  <c r="P89" i="58"/>
  <c r="H90" i="58"/>
  <c r="I90" i="58"/>
  <c r="J90" i="58" s="1"/>
  <c r="O90" i="58"/>
  <c r="P90" i="58"/>
  <c r="H91" i="58"/>
  <c r="I91" i="58"/>
  <c r="J91" i="58" s="1"/>
  <c r="O91" i="58"/>
  <c r="P91" i="58"/>
  <c r="H92" i="58"/>
  <c r="I92" i="58"/>
  <c r="O92" i="58"/>
  <c r="P92" i="58"/>
  <c r="H93" i="58"/>
  <c r="I93" i="58"/>
  <c r="J93" i="58" s="1"/>
  <c r="O93" i="58"/>
  <c r="P93" i="58"/>
  <c r="H94" i="58"/>
  <c r="I94" i="58"/>
  <c r="L94" i="58" s="1"/>
  <c r="O94" i="58"/>
  <c r="P94" i="58"/>
  <c r="H95" i="58"/>
  <c r="I95" i="58"/>
  <c r="J95" i="58" s="1"/>
  <c r="O95" i="58"/>
  <c r="P95" i="58"/>
  <c r="H96" i="58"/>
  <c r="I96" i="58"/>
  <c r="J96" i="58" s="1"/>
  <c r="O96" i="58"/>
  <c r="P96" i="58"/>
  <c r="H97" i="58"/>
  <c r="I97" i="58"/>
  <c r="J97" i="58" s="1"/>
  <c r="O97" i="58"/>
  <c r="P97" i="58"/>
  <c r="H98" i="58"/>
  <c r="I98" i="58"/>
  <c r="L98" i="58" s="1"/>
  <c r="O98" i="58"/>
  <c r="P98" i="58"/>
  <c r="H99" i="58"/>
  <c r="I99" i="58"/>
  <c r="J99" i="58" s="1"/>
  <c r="O99" i="58"/>
  <c r="P99" i="58"/>
  <c r="H100" i="58"/>
  <c r="I100" i="58"/>
  <c r="J100" i="58" s="1"/>
  <c r="O100" i="58"/>
  <c r="P100" i="58"/>
  <c r="H101" i="58"/>
  <c r="I101" i="58"/>
  <c r="O101" i="58"/>
  <c r="P101" i="58"/>
  <c r="H102" i="58"/>
  <c r="I102" i="58"/>
  <c r="J102" i="58" s="1"/>
  <c r="O102" i="58"/>
  <c r="P102" i="58"/>
  <c r="H103" i="58"/>
  <c r="I103" i="58"/>
  <c r="L103" i="58" s="1"/>
  <c r="O103" i="58"/>
  <c r="P103" i="58"/>
  <c r="H104" i="58"/>
  <c r="I104" i="58"/>
  <c r="J104" i="58" s="1"/>
  <c r="O104" i="58"/>
  <c r="P104" i="58"/>
  <c r="H105" i="58"/>
  <c r="I105" i="58"/>
  <c r="J105" i="58" s="1"/>
  <c r="O105" i="58"/>
  <c r="P105" i="58"/>
  <c r="H106" i="58"/>
  <c r="I106" i="58"/>
  <c r="L106" i="58" s="1"/>
  <c r="O106" i="58"/>
  <c r="P106" i="58"/>
  <c r="H107" i="58"/>
  <c r="I107" i="58"/>
  <c r="J107" i="58" s="1"/>
  <c r="O107" i="58"/>
  <c r="P107" i="58"/>
  <c r="H108" i="58"/>
  <c r="I108" i="58"/>
  <c r="J108" i="58" s="1"/>
  <c r="O108" i="58"/>
  <c r="P108" i="58"/>
  <c r="H109" i="58"/>
  <c r="I109" i="58"/>
  <c r="J109" i="58" s="1"/>
  <c r="O109" i="58"/>
  <c r="P109" i="58"/>
  <c r="H110" i="58"/>
  <c r="I110" i="58"/>
  <c r="J110" i="58" s="1"/>
  <c r="O110" i="58"/>
  <c r="P110" i="58"/>
  <c r="H111" i="58"/>
  <c r="I111" i="58"/>
  <c r="L111" i="58" s="1"/>
  <c r="O111" i="58"/>
  <c r="P111" i="58"/>
  <c r="H112" i="58"/>
  <c r="I112" i="58"/>
  <c r="J112" i="58" s="1"/>
  <c r="O112" i="58"/>
  <c r="P112" i="58"/>
  <c r="H113" i="58"/>
  <c r="I113" i="58"/>
  <c r="J113" i="58" s="1"/>
  <c r="O113" i="58"/>
  <c r="P113" i="58"/>
  <c r="H114" i="58"/>
  <c r="I114" i="58"/>
  <c r="J114" i="58" s="1"/>
  <c r="O114" i="58"/>
  <c r="P114" i="58"/>
  <c r="H115" i="58"/>
  <c r="I115" i="58"/>
  <c r="L115" i="58" s="1"/>
  <c r="O115" i="58"/>
  <c r="P115" i="58"/>
  <c r="H116" i="58"/>
  <c r="I116" i="58"/>
  <c r="J116" i="58" s="1"/>
  <c r="O116" i="58"/>
  <c r="P116" i="58"/>
  <c r="H117" i="58"/>
  <c r="I117" i="58"/>
  <c r="L117" i="58" s="1"/>
  <c r="O117" i="58"/>
  <c r="P117" i="58"/>
  <c r="H118" i="58"/>
  <c r="I118" i="58"/>
  <c r="L118" i="58" s="1"/>
  <c r="O118" i="58"/>
  <c r="P118" i="58"/>
  <c r="H119" i="58"/>
  <c r="I119" i="58"/>
  <c r="J119" i="58" s="1"/>
  <c r="O119" i="58"/>
  <c r="P119" i="58"/>
  <c r="H120" i="58"/>
  <c r="I120" i="58"/>
  <c r="J120" i="58" s="1"/>
  <c r="O120" i="58"/>
  <c r="P120" i="58"/>
  <c r="H121" i="58"/>
  <c r="I121" i="58"/>
  <c r="L121" i="58" s="1"/>
  <c r="O121" i="58"/>
  <c r="P121" i="58"/>
  <c r="H122" i="58"/>
  <c r="I122" i="58"/>
  <c r="L122" i="58" s="1"/>
  <c r="O122" i="58"/>
  <c r="P122" i="58"/>
  <c r="H123" i="58"/>
  <c r="I123" i="58"/>
  <c r="J123" i="58" s="1"/>
  <c r="O123" i="58"/>
  <c r="P123" i="58"/>
  <c r="H124" i="58"/>
  <c r="I124" i="58"/>
  <c r="J124" i="58" s="1"/>
  <c r="O124" i="58"/>
  <c r="P124" i="58"/>
  <c r="H125" i="58"/>
  <c r="I125" i="58"/>
  <c r="O125" i="58"/>
  <c r="P125" i="58"/>
  <c r="H126" i="58"/>
  <c r="I126" i="58"/>
  <c r="J126" i="58" s="1"/>
  <c r="O126" i="58"/>
  <c r="P126" i="58"/>
  <c r="H127" i="58"/>
  <c r="I127" i="58"/>
  <c r="L127" i="58" s="1"/>
  <c r="O127" i="58"/>
  <c r="P127" i="58"/>
  <c r="H128" i="58"/>
  <c r="I128" i="58"/>
  <c r="J128" i="58" s="1"/>
  <c r="O128" i="58"/>
  <c r="P128" i="58"/>
  <c r="H129" i="58"/>
  <c r="I129" i="58"/>
  <c r="L129" i="58" s="1"/>
  <c r="O129" i="58"/>
  <c r="P129" i="58"/>
  <c r="H130" i="58"/>
  <c r="I130" i="58"/>
  <c r="L130" i="58" s="1"/>
  <c r="O130" i="58"/>
  <c r="P130" i="58"/>
  <c r="H131" i="58"/>
  <c r="I131" i="58"/>
  <c r="L131" i="58" s="1"/>
  <c r="O131" i="58"/>
  <c r="P131" i="58"/>
  <c r="H132" i="58"/>
  <c r="I132" i="58"/>
  <c r="J132" i="58" s="1"/>
  <c r="O132" i="58"/>
  <c r="P132" i="58"/>
  <c r="H133" i="58"/>
  <c r="I133" i="58"/>
  <c r="J133" i="58" s="1"/>
  <c r="O133" i="58"/>
  <c r="P133" i="58"/>
  <c r="H134" i="58"/>
  <c r="I134" i="58"/>
  <c r="J134" i="58" s="1"/>
  <c r="O134" i="58"/>
  <c r="P134" i="58"/>
  <c r="H135" i="58"/>
  <c r="I135" i="58"/>
  <c r="J135" i="58" s="1"/>
  <c r="O135" i="58"/>
  <c r="P135" i="58"/>
  <c r="H136" i="58"/>
  <c r="I136" i="58"/>
  <c r="J136" i="58" s="1"/>
  <c r="O136" i="58"/>
  <c r="P136" i="58"/>
  <c r="H137" i="58"/>
  <c r="I137" i="58"/>
  <c r="J137" i="58" s="1"/>
  <c r="O137" i="58"/>
  <c r="P137" i="58"/>
  <c r="H138" i="58"/>
  <c r="I138" i="58"/>
  <c r="J138" i="58" s="1"/>
  <c r="O138" i="58"/>
  <c r="P138" i="58"/>
  <c r="H139" i="58"/>
  <c r="I139" i="58"/>
  <c r="L139" i="58" s="1"/>
  <c r="O139" i="58"/>
  <c r="P139" i="58"/>
  <c r="H140" i="58"/>
  <c r="I140" i="58"/>
  <c r="O140" i="58"/>
  <c r="P140" i="58"/>
  <c r="H141" i="58"/>
  <c r="I141" i="58"/>
  <c r="L141" i="58" s="1"/>
  <c r="O141" i="58"/>
  <c r="P141" i="58"/>
  <c r="H142" i="58"/>
  <c r="I142" i="58"/>
  <c r="L142" i="58" s="1"/>
  <c r="O142" i="58"/>
  <c r="P142" i="58"/>
  <c r="H143" i="58"/>
  <c r="I143" i="58"/>
  <c r="J143" i="58" s="1"/>
  <c r="O143" i="58"/>
  <c r="P143" i="58"/>
  <c r="H144" i="58"/>
  <c r="I144" i="58"/>
  <c r="J144" i="58" s="1"/>
  <c r="O144" i="58"/>
  <c r="P144" i="58"/>
  <c r="H145" i="58"/>
  <c r="I145" i="58"/>
  <c r="L145" i="58" s="1"/>
  <c r="O145" i="58"/>
  <c r="P145" i="58"/>
  <c r="H146" i="58"/>
  <c r="I146" i="58"/>
  <c r="L146" i="58" s="1"/>
  <c r="O146" i="58"/>
  <c r="P146" i="58"/>
  <c r="H147" i="58"/>
  <c r="I147" i="58"/>
  <c r="J147" i="58" s="1"/>
  <c r="O147" i="58"/>
  <c r="P147" i="58"/>
  <c r="H148" i="58"/>
  <c r="I148" i="58"/>
  <c r="L148" i="58" s="1"/>
  <c r="O148" i="58"/>
  <c r="P148" i="58"/>
  <c r="H149" i="58"/>
  <c r="I149" i="58"/>
  <c r="O149" i="58"/>
  <c r="P149" i="58"/>
  <c r="H150" i="58"/>
  <c r="I150" i="58"/>
  <c r="J150" i="58" s="1"/>
  <c r="O150" i="58"/>
  <c r="P150" i="58"/>
  <c r="H151" i="58"/>
  <c r="I151" i="58"/>
  <c r="L151" i="58" s="1"/>
  <c r="O151" i="58"/>
  <c r="P151" i="58"/>
  <c r="H152" i="58"/>
  <c r="I152" i="58"/>
  <c r="J152" i="58" s="1"/>
  <c r="O152" i="58"/>
  <c r="P152" i="58"/>
  <c r="H153" i="58"/>
  <c r="I153" i="58"/>
  <c r="L153" i="58" s="1"/>
  <c r="O153" i="58"/>
  <c r="P153" i="58"/>
  <c r="H154" i="58"/>
  <c r="I154" i="58"/>
  <c r="L154" i="58" s="1"/>
  <c r="O154" i="58"/>
  <c r="P154" i="58"/>
  <c r="H155" i="58"/>
  <c r="I155" i="58"/>
  <c r="J155" i="58" s="1"/>
  <c r="O155" i="58"/>
  <c r="P155" i="58"/>
  <c r="H156" i="58"/>
  <c r="I156" i="58"/>
  <c r="J156" i="58" s="1"/>
  <c r="O156" i="58"/>
  <c r="P156" i="58"/>
  <c r="H157" i="58"/>
  <c r="I157" i="58"/>
  <c r="J157" i="58" s="1"/>
  <c r="O157" i="58"/>
  <c r="P157" i="58"/>
  <c r="H158" i="58"/>
  <c r="I158" i="58"/>
  <c r="J158" i="58" s="1"/>
  <c r="O158" i="58"/>
  <c r="P158" i="58"/>
  <c r="H159" i="58"/>
  <c r="I159" i="58"/>
  <c r="J159" i="58" s="1"/>
  <c r="O159" i="58"/>
  <c r="P159" i="58"/>
  <c r="G160" i="58"/>
  <c r="H160" i="58"/>
  <c r="I160" i="58"/>
  <c r="J160" i="58" s="1"/>
  <c r="O160" i="58"/>
  <c r="P160" i="58"/>
  <c r="H161" i="58"/>
  <c r="I161" i="58"/>
  <c r="O161" i="58"/>
  <c r="P161" i="58"/>
  <c r="H162" i="58"/>
  <c r="I162" i="58"/>
  <c r="J162" i="58" s="1"/>
  <c r="O162" i="58"/>
  <c r="P162" i="58"/>
  <c r="H163" i="58"/>
  <c r="I163" i="58"/>
  <c r="J163" i="58" s="1"/>
  <c r="O163" i="58"/>
  <c r="P163" i="58"/>
  <c r="H164" i="58"/>
  <c r="I164" i="58"/>
  <c r="J164" i="58" s="1"/>
  <c r="O164" i="58"/>
  <c r="P164" i="58"/>
  <c r="H165" i="58"/>
  <c r="I165" i="58"/>
  <c r="L165" i="58" s="1"/>
  <c r="O165" i="58"/>
  <c r="P165" i="58"/>
  <c r="H166" i="58"/>
  <c r="I166" i="58"/>
  <c r="L166" i="58" s="1"/>
  <c r="O166" i="58"/>
  <c r="P166" i="58"/>
  <c r="H167" i="58"/>
  <c r="I167" i="58"/>
  <c r="J167" i="58" s="1"/>
  <c r="O167" i="58"/>
  <c r="P167" i="58"/>
  <c r="H168" i="58"/>
  <c r="I168" i="58"/>
  <c r="J168" i="58" s="1"/>
  <c r="O168" i="58"/>
  <c r="P168" i="58"/>
  <c r="H169" i="58"/>
  <c r="I169" i="58"/>
  <c r="J169" i="58" s="1"/>
  <c r="O169" i="58"/>
  <c r="P169" i="58"/>
  <c r="H170" i="58"/>
  <c r="I170" i="58"/>
  <c r="J170" i="58" s="1"/>
  <c r="O170" i="58"/>
  <c r="P170" i="58"/>
  <c r="H171" i="58"/>
  <c r="I171" i="58"/>
  <c r="L171" i="58" s="1"/>
  <c r="O171" i="58"/>
  <c r="P171" i="58"/>
  <c r="H172" i="58"/>
  <c r="I172" i="58"/>
  <c r="J172" i="58" s="1"/>
  <c r="O172" i="58"/>
  <c r="P172" i="58"/>
  <c r="H173" i="58"/>
  <c r="I173" i="58"/>
  <c r="L173" i="58" s="1"/>
  <c r="O173" i="58"/>
  <c r="P173" i="58"/>
  <c r="H174" i="58"/>
  <c r="I174" i="58"/>
  <c r="L174" i="58" s="1"/>
  <c r="O174" i="58"/>
  <c r="P174" i="58"/>
  <c r="H175" i="58"/>
  <c r="I175" i="58"/>
  <c r="J175" i="58" s="1"/>
  <c r="O175" i="58"/>
  <c r="P175" i="58"/>
  <c r="H176" i="58"/>
  <c r="I176" i="58"/>
  <c r="J176" i="58" s="1"/>
  <c r="O176" i="58"/>
  <c r="P176" i="58"/>
  <c r="H177" i="58"/>
  <c r="I177" i="58"/>
  <c r="J177" i="58" s="1"/>
  <c r="O177" i="58"/>
  <c r="P177" i="58"/>
  <c r="H178" i="58"/>
  <c r="I178" i="58"/>
  <c r="O178" i="58"/>
  <c r="P178" i="58"/>
  <c r="H179" i="58"/>
  <c r="I179" i="58"/>
  <c r="L179" i="58" s="1"/>
  <c r="O179" i="58"/>
  <c r="P179" i="58"/>
  <c r="H180" i="58"/>
  <c r="I180" i="58"/>
  <c r="L180" i="58" s="1"/>
  <c r="O180" i="58"/>
  <c r="P180" i="58"/>
  <c r="H181" i="58"/>
  <c r="I181" i="58"/>
  <c r="L181" i="58" s="1"/>
  <c r="O181" i="58"/>
  <c r="P181" i="58"/>
  <c r="H182" i="58"/>
  <c r="I182" i="58"/>
  <c r="J182" i="58" s="1"/>
  <c r="O182" i="58"/>
  <c r="P182" i="58"/>
  <c r="H183" i="58"/>
  <c r="I183" i="58"/>
  <c r="J183" i="58" s="1"/>
  <c r="O183" i="58"/>
  <c r="P183" i="58"/>
  <c r="H184" i="58"/>
  <c r="I184" i="58"/>
  <c r="O184" i="58"/>
  <c r="P184" i="58"/>
  <c r="H185" i="58"/>
  <c r="I185" i="58"/>
  <c r="J185" i="58" s="1"/>
  <c r="O185" i="58"/>
  <c r="P185" i="58"/>
  <c r="H186" i="58"/>
  <c r="I186" i="58"/>
  <c r="L186" i="58" s="1"/>
  <c r="O186" i="58"/>
  <c r="P186" i="58"/>
  <c r="H187" i="58"/>
  <c r="I187" i="58"/>
  <c r="J187" i="58" s="1"/>
  <c r="O187" i="58"/>
  <c r="P187" i="58"/>
  <c r="H188" i="58"/>
  <c r="I188" i="58"/>
  <c r="J188" i="58" s="1"/>
  <c r="O188" i="58"/>
  <c r="P188" i="58"/>
  <c r="H189" i="58"/>
  <c r="I189" i="58"/>
  <c r="J189" i="58" s="1"/>
  <c r="O189" i="58"/>
  <c r="P189" i="58"/>
  <c r="H190" i="58"/>
  <c r="I190" i="58"/>
  <c r="O190" i="58"/>
  <c r="P190" i="58"/>
  <c r="H191" i="58"/>
  <c r="I191" i="58"/>
  <c r="L191" i="58" s="1"/>
  <c r="O191" i="58"/>
  <c r="P191" i="58"/>
  <c r="H192" i="58"/>
  <c r="I192" i="58"/>
  <c r="L192" i="58" s="1"/>
  <c r="O192" i="58"/>
  <c r="P192" i="58"/>
  <c r="H193" i="58"/>
  <c r="I193" i="58"/>
  <c r="J193" i="58" s="1"/>
  <c r="O193" i="58"/>
  <c r="P193" i="58"/>
  <c r="H194" i="58"/>
  <c r="I194" i="58"/>
  <c r="J194" i="58" s="1"/>
  <c r="O194" i="58"/>
  <c r="P194" i="58"/>
  <c r="H195" i="58"/>
  <c r="I195" i="58"/>
  <c r="J195" i="58" s="1"/>
  <c r="O195" i="58"/>
  <c r="P195" i="58"/>
  <c r="H196" i="58"/>
  <c r="I196" i="58"/>
  <c r="O196" i="58"/>
  <c r="P196" i="58"/>
  <c r="H197" i="58"/>
  <c r="I197" i="58"/>
  <c r="J197" i="58" s="1"/>
  <c r="O197" i="58"/>
  <c r="P197" i="58"/>
  <c r="H198" i="58"/>
  <c r="I198" i="58"/>
  <c r="L198" i="58" s="1"/>
  <c r="O198" i="58"/>
  <c r="P198" i="58"/>
  <c r="H199" i="58"/>
  <c r="I199" i="58"/>
  <c r="J199" i="58" s="1"/>
  <c r="O199" i="58"/>
  <c r="P199" i="58"/>
  <c r="H200" i="58"/>
  <c r="I200" i="58"/>
  <c r="J200" i="58" s="1"/>
  <c r="O200" i="58"/>
  <c r="P200" i="58"/>
  <c r="H201" i="58"/>
  <c r="I201" i="58"/>
  <c r="J201" i="58" s="1"/>
  <c r="O201" i="58"/>
  <c r="P201" i="58"/>
  <c r="H202" i="58"/>
  <c r="I202" i="58"/>
  <c r="O202" i="58"/>
  <c r="P202" i="58"/>
  <c r="H203" i="58"/>
  <c r="I203" i="58"/>
  <c r="J203" i="58" s="1"/>
  <c r="O203" i="58"/>
  <c r="P203" i="58"/>
  <c r="H204" i="58"/>
  <c r="I204" i="58"/>
  <c r="O204" i="58"/>
  <c r="P204" i="58"/>
  <c r="H205" i="58"/>
  <c r="I205" i="58"/>
  <c r="J205" i="58" s="1"/>
  <c r="O205" i="58"/>
  <c r="P205" i="58"/>
  <c r="H206" i="58"/>
  <c r="I206" i="58"/>
  <c r="J206" i="58" s="1"/>
  <c r="O206" i="58"/>
  <c r="P206" i="58"/>
  <c r="H207" i="58"/>
  <c r="I207" i="58"/>
  <c r="J207" i="58" s="1"/>
  <c r="O207" i="58"/>
  <c r="P207" i="58"/>
  <c r="H208" i="58"/>
  <c r="I208" i="58"/>
  <c r="O208" i="58"/>
  <c r="P208" i="58"/>
  <c r="H209" i="58"/>
  <c r="I209" i="58"/>
  <c r="J209" i="58" s="1"/>
  <c r="O209" i="58"/>
  <c r="P209" i="58"/>
  <c r="H244" i="58"/>
  <c r="I244" i="58"/>
  <c r="J244" i="58" s="1"/>
  <c r="O244" i="58"/>
  <c r="P244" i="58"/>
  <c r="H211" i="58"/>
  <c r="I211" i="58"/>
  <c r="J211" i="58" s="1"/>
  <c r="O211" i="58"/>
  <c r="P211" i="58"/>
  <c r="H212" i="58"/>
  <c r="I212" i="58"/>
  <c r="O212" i="58"/>
  <c r="P212" i="58"/>
  <c r="H213" i="58"/>
  <c r="I213" i="58"/>
  <c r="J213" i="58" s="1"/>
  <c r="O213" i="58"/>
  <c r="P213" i="58"/>
  <c r="H214" i="58"/>
  <c r="I214" i="58"/>
  <c r="O214" i="58"/>
  <c r="P214" i="58"/>
  <c r="H215" i="58"/>
  <c r="I215" i="58"/>
  <c r="L215" i="58" s="1"/>
  <c r="O215" i="58"/>
  <c r="P215" i="58"/>
  <c r="H216" i="58"/>
  <c r="I216" i="58"/>
  <c r="O216" i="58"/>
  <c r="P216" i="58"/>
  <c r="H217" i="58"/>
  <c r="I217" i="58"/>
  <c r="J217" i="58" s="1"/>
  <c r="O217" i="58"/>
  <c r="P217" i="58"/>
  <c r="H218" i="58"/>
  <c r="I218" i="58"/>
  <c r="J218" i="58" s="1"/>
  <c r="O218" i="58"/>
  <c r="P218" i="58"/>
  <c r="H219" i="58"/>
  <c r="I219" i="58"/>
  <c r="J219" i="58" s="1"/>
  <c r="O219" i="58"/>
  <c r="P219" i="58"/>
  <c r="H220" i="58"/>
  <c r="I220" i="58"/>
  <c r="O220" i="58"/>
  <c r="P220" i="58"/>
  <c r="H221" i="58"/>
  <c r="I221" i="58"/>
  <c r="L221" i="58" s="1"/>
  <c r="O221" i="58"/>
  <c r="P221" i="58"/>
  <c r="H222" i="58"/>
  <c r="I222" i="58"/>
  <c r="J222" i="58" s="1"/>
  <c r="O222" i="58"/>
  <c r="P222" i="58"/>
  <c r="H223" i="58"/>
  <c r="I223" i="58"/>
  <c r="L223" i="58" s="1"/>
  <c r="O223" i="58"/>
  <c r="P223" i="58"/>
  <c r="H224" i="58"/>
  <c r="I224" i="58"/>
  <c r="J224" i="58" s="1"/>
  <c r="O224" i="58"/>
  <c r="P224" i="58"/>
  <c r="H225" i="58"/>
  <c r="I225" i="58"/>
  <c r="O225" i="58"/>
  <c r="P225" i="58"/>
  <c r="H226" i="58"/>
  <c r="I226" i="58"/>
  <c r="J226" i="58" s="1"/>
  <c r="O226" i="58"/>
  <c r="P226" i="58"/>
  <c r="H227" i="58"/>
  <c r="I227" i="58"/>
  <c r="J227" i="58" s="1"/>
  <c r="O227" i="58"/>
  <c r="P227" i="58"/>
  <c r="H228" i="58"/>
  <c r="I228" i="58"/>
  <c r="L228" i="58" s="1"/>
  <c r="O228" i="58"/>
  <c r="P228" i="58"/>
  <c r="H229" i="58"/>
  <c r="I229" i="58"/>
  <c r="J229" i="58" s="1"/>
  <c r="O229" i="58"/>
  <c r="P229" i="58"/>
  <c r="H230" i="58"/>
  <c r="I230" i="58"/>
  <c r="L230" i="58" s="1"/>
  <c r="O230" i="58"/>
  <c r="P230" i="58"/>
  <c r="H231" i="58"/>
  <c r="I231" i="58"/>
  <c r="J231" i="58" s="1"/>
  <c r="O231" i="58"/>
  <c r="P231" i="58"/>
  <c r="H232" i="58"/>
  <c r="I232" i="58"/>
  <c r="J232" i="58" s="1"/>
  <c r="O232" i="58"/>
  <c r="P232" i="58"/>
  <c r="H233" i="58"/>
  <c r="I233" i="58"/>
  <c r="L233" i="58" s="1"/>
  <c r="O233" i="58"/>
  <c r="P233" i="58"/>
  <c r="H234" i="58"/>
  <c r="I234" i="58"/>
  <c r="J234" i="58" s="1"/>
  <c r="O234" i="58"/>
  <c r="P234" i="58"/>
  <c r="H235" i="58"/>
  <c r="I235" i="58"/>
  <c r="L235" i="58" s="1"/>
  <c r="O235" i="58"/>
  <c r="P235" i="58"/>
  <c r="H236" i="58"/>
  <c r="I236" i="58"/>
  <c r="J236" i="58" s="1"/>
  <c r="O236" i="58"/>
  <c r="P236" i="58"/>
  <c r="H237" i="58"/>
  <c r="I237" i="58"/>
  <c r="J237" i="58" s="1"/>
  <c r="O237" i="58"/>
  <c r="P237" i="58"/>
  <c r="H238" i="58"/>
  <c r="I238" i="58"/>
  <c r="J238" i="58" s="1"/>
  <c r="O238" i="58"/>
  <c r="P238" i="58"/>
  <c r="H239" i="58"/>
  <c r="I239" i="58"/>
  <c r="J239" i="58" s="1"/>
  <c r="O239" i="58"/>
  <c r="P239" i="58"/>
  <c r="H240" i="58"/>
  <c r="I240" i="58"/>
  <c r="L240" i="58" s="1"/>
  <c r="O240" i="58"/>
  <c r="P240" i="58"/>
  <c r="H241" i="58"/>
  <c r="I241" i="58"/>
  <c r="L241" i="58" s="1"/>
  <c r="O241" i="58"/>
  <c r="P241" i="58"/>
  <c r="H242" i="58"/>
  <c r="I242" i="58"/>
  <c r="J242" i="58" s="1"/>
  <c r="O242" i="58"/>
  <c r="P242" i="58"/>
  <c r="H243" i="58"/>
  <c r="I243" i="58"/>
  <c r="J243" i="58" s="1"/>
  <c r="O243" i="58"/>
  <c r="P243" i="58"/>
  <c r="H334" i="58"/>
  <c r="I334" i="58"/>
  <c r="J334" i="58" s="1"/>
  <c r="O334" i="58"/>
  <c r="P334" i="58"/>
  <c r="H245" i="58"/>
  <c r="I245" i="58"/>
  <c r="J245" i="58" s="1"/>
  <c r="O245" i="58"/>
  <c r="P245" i="58"/>
  <c r="H246" i="58"/>
  <c r="I246" i="58"/>
  <c r="J246" i="58" s="1"/>
  <c r="O246" i="58"/>
  <c r="P246" i="58"/>
  <c r="H247" i="58"/>
  <c r="I247" i="58"/>
  <c r="L247" i="58" s="1"/>
  <c r="O247" i="58"/>
  <c r="P247" i="58"/>
  <c r="H248" i="58"/>
  <c r="I248" i="58"/>
  <c r="J248" i="58" s="1"/>
  <c r="O248" i="58"/>
  <c r="P248" i="58"/>
  <c r="H249" i="58"/>
  <c r="I249" i="58"/>
  <c r="O249" i="58"/>
  <c r="P249" i="58"/>
  <c r="H250" i="58"/>
  <c r="I250" i="58"/>
  <c r="J250" i="58" s="1"/>
  <c r="O250" i="58"/>
  <c r="P250" i="58"/>
  <c r="H251" i="58"/>
  <c r="I251" i="58"/>
  <c r="J251" i="58" s="1"/>
  <c r="O251" i="58"/>
  <c r="P251" i="58"/>
  <c r="H252" i="58"/>
  <c r="I252" i="58"/>
  <c r="L252" i="58" s="1"/>
  <c r="O252" i="58"/>
  <c r="P252" i="58"/>
  <c r="H253" i="58"/>
  <c r="I253" i="58"/>
  <c r="J253" i="58" s="1"/>
  <c r="O253" i="58"/>
  <c r="P253" i="58"/>
  <c r="H254" i="58"/>
  <c r="I254" i="58"/>
  <c r="L254" i="58" s="1"/>
  <c r="O254" i="58"/>
  <c r="P254" i="58"/>
  <c r="H255" i="58"/>
  <c r="I255" i="58"/>
  <c r="J255" i="58" s="1"/>
  <c r="O255" i="58"/>
  <c r="P255" i="58"/>
  <c r="H256" i="58"/>
  <c r="I256" i="58"/>
  <c r="J256" i="58" s="1"/>
  <c r="O256" i="58"/>
  <c r="P256" i="58"/>
  <c r="H257" i="58"/>
  <c r="I257" i="58"/>
  <c r="L257" i="58" s="1"/>
  <c r="O257" i="58"/>
  <c r="P257" i="58"/>
  <c r="H258" i="58"/>
  <c r="I258" i="58"/>
  <c r="J258" i="58" s="1"/>
  <c r="O258" i="58"/>
  <c r="P258" i="58"/>
  <c r="H259" i="58"/>
  <c r="I259" i="58"/>
  <c r="J259" i="58" s="1"/>
  <c r="O259" i="58"/>
  <c r="P259" i="58"/>
  <c r="H260" i="58"/>
  <c r="I260" i="58"/>
  <c r="J260" i="58" s="1"/>
  <c r="O260" i="58"/>
  <c r="P260" i="58"/>
  <c r="G261" i="58"/>
  <c r="H261" i="58"/>
  <c r="I261" i="58"/>
  <c r="L261" i="58" s="1"/>
  <c r="O261" i="58"/>
  <c r="P261" i="58"/>
  <c r="H262" i="58"/>
  <c r="I262" i="58"/>
  <c r="J262" i="58" s="1"/>
  <c r="O262" i="58"/>
  <c r="P262" i="58"/>
  <c r="H263" i="58"/>
  <c r="I263" i="58"/>
  <c r="J263" i="58" s="1"/>
  <c r="O263" i="58"/>
  <c r="P263" i="58"/>
  <c r="H264" i="58"/>
  <c r="I264" i="58"/>
  <c r="J264" i="58" s="1"/>
  <c r="O264" i="58"/>
  <c r="P264" i="58"/>
  <c r="H265" i="58"/>
  <c r="I265" i="58"/>
  <c r="J265" i="58" s="1"/>
  <c r="O265" i="58"/>
  <c r="P265" i="58"/>
  <c r="H266" i="58"/>
  <c r="I266" i="58"/>
  <c r="J266" i="58" s="1"/>
  <c r="O266" i="58"/>
  <c r="P266" i="58"/>
  <c r="H267" i="58"/>
  <c r="I267" i="58"/>
  <c r="J267" i="58" s="1"/>
  <c r="O267" i="58"/>
  <c r="P267" i="58"/>
  <c r="H268" i="58"/>
  <c r="I268" i="58"/>
  <c r="J268" i="58" s="1"/>
  <c r="O268" i="58"/>
  <c r="P268" i="58"/>
  <c r="H269" i="58"/>
  <c r="I269" i="58"/>
  <c r="J269" i="58" s="1"/>
  <c r="O269" i="58"/>
  <c r="P269" i="58"/>
  <c r="H270" i="58"/>
  <c r="I270" i="58"/>
  <c r="L270" i="58" s="1"/>
  <c r="O270" i="58"/>
  <c r="P270" i="58"/>
  <c r="H271" i="58"/>
  <c r="I271" i="58"/>
  <c r="L271" i="58" s="1"/>
  <c r="O271" i="58"/>
  <c r="P271" i="58"/>
  <c r="H272" i="58"/>
  <c r="I272" i="58"/>
  <c r="J272" i="58" s="1"/>
  <c r="O272" i="58"/>
  <c r="P272" i="58"/>
  <c r="H273" i="58"/>
  <c r="I273" i="58"/>
  <c r="O273" i="58"/>
  <c r="P273" i="58"/>
  <c r="H274" i="58"/>
  <c r="I274" i="58"/>
  <c r="J274" i="58" s="1"/>
  <c r="O274" i="58"/>
  <c r="P274" i="58"/>
  <c r="H275" i="58"/>
  <c r="I275" i="58"/>
  <c r="L275" i="58" s="1"/>
  <c r="O275" i="58"/>
  <c r="P275" i="58"/>
  <c r="H404" i="58"/>
  <c r="I404" i="58"/>
  <c r="J404" i="58" s="1"/>
  <c r="O404" i="58"/>
  <c r="P404" i="58"/>
  <c r="H277" i="58"/>
  <c r="I277" i="58"/>
  <c r="L277" i="58" s="1"/>
  <c r="O277" i="58"/>
  <c r="P277" i="58"/>
  <c r="H278" i="58"/>
  <c r="I278" i="58"/>
  <c r="J278" i="58" s="1"/>
  <c r="O278" i="58"/>
  <c r="P278" i="58"/>
  <c r="H279" i="58"/>
  <c r="I279" i="58"/>
  <c r="O279" i="58"/>
  <c r="P279" i="58"/>
  <c r="H280" i="58"/>
  <c r="I280" i="58"/>
  <c r="J280" i="58" s="1"/>
  <c r="O280" i="58"/>
  <c r="P280" i="58"/>
  <c r="H281" i="58"/>
  <c r="I281" i="58"/>
  <c r="J281" i="58" s="1"/>
  <c r="O281" i="58"/>
  <c r="P281" i="58"/>
  <c r="H282" i="58"/>
  <c r="I282" i="58"/>
  <c r="J282" i="58" s="1"/>
  <c r="O282" i="58"/>
  <c r="P282" i="58"/>
  <c r="H283" i="58"/>
  <c r="I283" i="58"/>
  <c r="L283" i="58" s="1"/>
  <c r="O283" i="58"/>
  <c r="P283" i="58"/>
  <c r="H284" i="58"/>
  <c r="I284" i="58"/>
  <c r="J284" i="58" s="1"/>
  <c r="O284" i="58"/>
  <c r="P284" i="58"/>
  <c r="H285" i="58"/>
  <c r="I285" i="58"/>
  <c r="O285" i="58"/>
  <c r="P285" i="58"/>
  <c r="H286" i="58"/>
  <c r="I286" i="58"/>
  <c r="J286" i="58" s="1"/>
  <c r="O286" i="58"/>
  <c r="P286" i="58"/>
  <c r="H287" i="58"/>
  <c r="I287" i="58"/>
  <c r="L287" i="58" s="1"/>
  <c r="O287" i="58"/>
  <c r="P287" i="58"/>
  <c r="H288" i="58"/>
  <c r="I288" i="58"/>
  <c r="J288" i="58" s="1"/>
  <c r="O288" i="58"/>
  <c r="P288" i="58"/>
  <c r="H289" i="58"/>
  <c r="I289" i="58"/>
  <c r="L289" i="58" s="1"/>
  <c r="O289" i="58"/>
  <c r="P289" i="58"/>
  <c r="H290" i="58"/>
  <c r="I290" i="58"/>
  <c r="L290" i="58" s="1"/>
  <c r="O290" i="58"/>
  <c r="P290" i="58"/>
  <c r="H291" i="58"/>
  <c r="I291" i="58"/>
  <c r="O291" i="58"/>
  <c r="P291" i="58"/>
  <c r="G292" i="58"/>
  <c r="H292" i="58"/>
  <c r="I292" i="58"/>
  <c r="J292" i="58" s="1"/>
  <c r="O292" i="58"/>
  <c r="P292" i="58"/>
  <c r="H293" i="58"/>
  <c r="I293" i="58"/>
  <c r="J293" i="58" s="1"/>
  <c r="O293" i="58"/>
  <c r="P293" i="58"/>
  <c r="H294" i="58"/>
  <c r="I294" i="58"/>
  <c r="J294" i="58" s="1"/>
  <c r="O294" i="58"/>
  <c r="P294" i="58"/>
  <c r="H295" i="58"/>
  <c r="I295" i="58"/>
  <c r="L295" i="58" s="1"/>
  <c r="O295" i="58"/>
  <c r="P295" i="58"/>
  <c r="H296" i="58"/>
  <c r="I296" i="58"/>
  <c r="J296" i="58" s="1"/>
  <c r="O296" i="58"/>
  <c r="P296" i="58"/>
  <c r="H297" i="58"/>
  <c r="I297" i="58"/>
  <c r="O297" i="58"/>
  <c r="P297" i="58"/>
  <c r="H298" i="58"/>
  <c r="I298" i="58"/>
  <c r="J298" i="58" s="1"/>
  <c r="O298" i="58"/>
  <c r="P298" i="58"/>
  <c r="H299" i="58"/>
  <c r="I299" i="58"/>
  <c r="L299" i="58" s="1"/>
  <c r="O299" i="58"/>
  <c r="P299" i="58"/>
  <c r="H300" i="58"/>
  <c r="I300" i="58"/>
  <c r="J300" i="58" s="1"/>
  <c r="O300" i="58"/>
  <c r="P300" i="58"/>
  <c r="H301" i="58"/>
  <c r="I301" i="58"/>
  <c r="L301" i="58" s="1"/>
  <c r="O301" i="58"/>
  <c r="P301" i="58"/>
  <c r="H302" i="58"/>
  <c r="I302" i="58"/>
  <c r="J302" i="58" s="1"/>
  <c r="O302" i="58"/>
  <c r="P302" i="58"/>
  <c r="H303" i="58"/>
  <c r="I303" i="58"/>
  <c r="O303" i="58"/>
  <c r="P303" i="58"/>
  <c r="H304" i="58"/>
  <c r="I304" i="58"/>
  <c r="J304" i="58" s="1"/>
  <c r="O304" i="58"/>
  <c r="P304" i="58"/>
  <c r="H423" i="58"/>
  <c r="I423" i="58"/>
  <c r="O423" i="58"/>
  <c r="P423" i="58"/>
  <c r="H306" i="58"/>
  <c r="I306" i="58"/>
  <c r="J306" i="58" s="1"/>
  <c r="O306" i="58"/>
  <c r="P306" i="58"/>
  <c r="H307" i="58"/>
  <c r="I307" i="58"/>
  <c r="L307" i="58" s="1"/>
  <c r="O307" i="58"/>
  <c r="P307" i="58"/>
  <c r="H308" i="58"/>
  <c r="I308" i="58"/>
  <c r="J308" i="58" s="1"/>
  <c r="O308" i="58"/>
  <c r="P308" i="58"/>
  <c r="H309" i="58"/>
  <c r="I309" i="58"/>
  <c r="O309" i="58"/>
  <c r="P309" i="58"/>
  <c r="H310" i="58"/>
  <c r="I310" i="58"/>
  <c r="J310" i="58" s="1"/>
  <c r="O310" i="58"/>
  <c r="P310" i="58"/>
  <c r="H311" i="58"/>
  <c r="I311" i="58"/>
  <c r="L311" i="58" s="1"/>
  <c r="O311" i="58"/>
  <c r="P311" i="58"/>
  <c r="H312" i="58"/>
  <c r="I312" i="58"/>
  <c r="O312" i="58"/>
  <c r="P312" i="58"/>
  <c r="H313" i="58"/>
  <c r="I313" i="58"/>
  <c r="L313" i="58" s="1"/>
  <c r="O313" i="58"/>
  <c r="P313" i="58"/>
  <c r="H314" i="58"/>
  <c r="I314" i="58"/>
  <c r="L314" i="58" s="1"/>
  <c r="O314" i="58"/>
  <c r="P314" i="58"/>
  <c r="H315" i="58"/>
  <c r="I315" i="58"/>
  <c r="O315" i="58"/>
  <c r="P315" i="58"/>
  <c r="H316" i="58"/>
  <c r="I316" i="58"/>
  <c r="J316" i="58" s="1"/>
  <c r="O316" i="58"/>
  <c r="P316" i="58"/>
  <c r="H317" i="58"/>
  <c r="I317" i="58"/>
  <c r="L317" i="58" s="1"/>
  <c r="O317" i="58"/>
  <c r="P317" i="58"/>
  <c r="H318" i="58"/>
  <c r="I318" i="58"/>
  <c r="J318" i="58" s="1"/>
  <c r="O318" i="58"/>
  <c r="P318" i="58"/>
  <c r="H319" i="58"/>
  <c r="I319" i="58"/>
  <c r="J319" i="58" s="1"/>
  <c r="O319" i="58"/>
  <c r="P319" i="58"/>
  <c r="H320" i="58"/>
  <c r="I320" i="58"/>
  <c r="J320" i="58" s="1"/>
  <c r="O320" i="58"/>
  <c r="P320" i="58"/>
  <c r="H321" i="58"/>
  <c r="I321" i="58"/>
  <c r="O321" i="58"/>
  <c r="P321" i="58"/>
  <c r="H322" i="58"/>
  <c r="I322" i="58"/>
  <c r="O322" i="58"/>
  <c r="P322" i="58"/>
  <c r="H323" i="58"/>
  <c r="I323" i="58"/>
  <c r="J323" i="58" s="1"/>
  <c r="O323" i="58"/>
  <c r="P323" i="58"/>
  <c r="H324" i="58"/>
  <c r="I324" i="58"/>
  <c r="J324" i="58" s="1"/>
  <c r="O324" i="58"/>
  <c r="P324" i="58"/>
  <c r="H325" i="58"/>
  <c r="I325" i="58"/>
  <c r="J325" i="58" s="1"/>
  <c r="O325" i="58"/>
  <c r="P325" i="58"/>
  <c r="H326" i="58"/>
  <c r="I326" i="58"/>
  <c r="J326" i="58" s="1"/>
  <c r="O326" i="58"/>
  <c r="P326" i="58"/>
  <c r="H327" i="58"/>
  <c r="I327" i="58"/>
  <c r="O327" i="58"/>
  <c r="P327" i="58"/>
  <c r="H328" i="58"/>
  <c r="I328" i="58"/>
  <c r="J328" i="58" s="1"/>
  <c r="O328" i="58"/>
  <c r="P328" i="58"/>
  <c r="H329" i="58"/>
  <c r="I329" i="58"/>
  <c r="O329" i="58"/>
  <c r="P329" i="58"/>
  <c r="H330" i="58"/>
  <c r="I330" i="58"/>
  <c r="J330" i="58" s="1"/>
  <c r="O330" i="58"/>
  <c r="P330" i="58"/>
  <c r="H331" i="58"/>
  <c r="I331" i="58"/>
  <c r="O331" i="58"/>
  <c r="P331" i="58"/>
  <c r="H332" i="58"/>
  <c r="I332" i="58"/>
  <c r="J332" i="58" s="1"/>
  <c r="O332" i="58"/>
  <c r="P332" i="58"/>
  <c r="H333" i="58"/>
  <c r="I333" i="58"/>
  <c r="O333" i="58"/>
  <c r="P333" i="58"/>
  <c r="H456" i="58"/>
  <c r="I456" i="58"/>
  <c r="J456" i="58" s="1"/>
  <c r="O456" i="58"/>
  <c r="P456" i="58"/>
  <c r="H335" i="58"/>
  <c r="I335" i="58"/>
  <c r="J335" i="58" s="1"/>
  <c r="O335" i="58"/>
  <c r="P335" i="58"/>
  <c r="H336" i="58"/>
  <c r="I336" i="58"/>
  <c r="J336" i="58" s="1"/>
  <c r="O336" i="58"/>
  <c r="P336" i="58"/>
  <c r="H337" i="58"/>
  <c r="I337" i="58"/>
  <c r="L337" i="58" s="1"/>
  <c r="O337" i="58"/>
  <c r="P337" i="58"/>
  <c r="H338" i="58"/>
  <c r="I338" i="58"/>
  <c r="J338" i="58" s="1"/>
  <c r="O338" i="58"/>
  <c r="P338" i="58"/>
  <c r="H339" i="58"/>
  <c r="I339" i="58"/>
  <c r="O339" i="58"/>
  <c r="P339" i="58"/>
  <c r="H340" i="58"/>
  <c r="I340" i="58"/>
  <c r="O340" i="58"/>
  <c r="P340" i="58"/>
  <c r="H341" i="58"/>
  <c r="I341" i="58"/>
  <c r="J341" i="58" s="1"/>
  <c r="O341" i="58"/>
  <c r="P341" i="58"/>
  <c r="H342" i="58"/>
  <c r="I342" i="58"/>
  <c r="J342" i="58" s="1"/>
  <c r="O342" i="58"/>
  <c r="P342" i="58"/>
  <c r="H343" i="58"/>
  <c r="I343" i="58"/>
  <c r="J343" i="58" s="1"/>
  <c r="O343" i="58"/>
  <c r="P343" i="58"/>
  <c r="H344" i="58"/>
  <c r="I344" i="58"/>
  <c r="J344" i="58" s="1"/>
  <c r="O344" i="58"/>
  <c r="P344" i="58"/>
  <c r="H345" i="58"/>
  <c r="I345" i="58"/>
  <c r="O345" i="58"/>
  <c r="P345" i="58"/>
  <c r="H346" i="58"/>
  <c r="I346" i="58"/>
  <c r="J346" i="58" s="1"/>
  <c r="O346" i="58"/>
  <c r="P346" i="58"/>
  <c r="H347" i="58"/>
  <c r="I347" i="58"/>
  <c r="O347" i="58"/>
  <c r="P347" i="58"/>
  <c r="H348" i="58"/>
  <c r="I348" i="58"/>
  <c r="J348" i="58" s="1"/>
  <c r="O348" i="58"/>
  <c r="P348" i="58"/>
  <c r="H349" i="58"/>
  <c r="I349" i="58"/>
  <c r="J349" i="58" s="1"/>
  <c r="O349" i="58"/>
  <c r="P349" i="58"/>
  <c r="H350" i="58"/>
  <c r="I350" i="58"/>
  <c r="L350" i="58" s="1"/>
  <c r="O350" i="58"/>
  <c r="P350" i="58"/>
  <c r="H351" i="58"/>
  <c r="I351" i="58"/>
  <c r="O351" i="58"/>
  <c r="P351" i="58"/>
  <c r="H352" i="58"/>
  <c r="I352" i="58"/>
  <c r="J352" i="58" s="1"/>
  <c r="O352" i="58"/>
  <c r="P352" i="58"/>
  <c r="H353" i="58"/>
  <c r="I353" i="58"/>
  <c r="J353" i="58" s="1"/>
  <c r="O353" i="58"/>
  <c r="P353" i="58"/>
  <c r="H354" i="58"/>
  <c r="I354" i="58"/>
  <c r="O354" i="58"/>
  <c r="P354" i="58"/>
  <c r="H355" i="58"/>
  <c r="I355" i="58"/>
  <c r="J355" i="58" s="1"/>
  <c r="O355" i="58"/>
  <c r="P355" i="58"/>
  <c r="H356" i="58"/>
  <c r="I356" i="58"/>
  <c r="L356" i="58" s="1"/>
  <c r="O356" i="58"/>
  <c r="P356" i="58"/>
  <c r="H357" i="58"/>
  <c r="I357" i="58"/>
  <c r="J357" i="58" s="1"/>
  <c r="O357" i="58"/>
  <c r="P357" i="58"/>
  <c r="H358" i="58"/>
  <c r="I358" i="58"/>
  <c r="J358" i="58" s="1"/>
  <c r="O358" i="58"/>
  <c r="P358" i="58"/>
  <c r="H359" i="58"/>
  <c r="I359" i="58"/>
  <c r="L359" i="58" s="1"/>
  <c r="O359" i="58"/>
  <c r="P359" i="58"/>
  <c r="H360" i="58"/>
  <c r="I360" i="58"/>
  <c r="O360" i="58"/>
  <c r="P360" i="58"/>
  <c r="H361" i="58"/>
  <c r="I361" i="58"/>
  <c r="J361" i="58" s="1"/>
  <c r="O361" i="58"/>
  <c r="P361" i="58"/>
  <c r="H362" i="58"/>
  <c r="I362" i="58"/>
  <c r="O362" i="58"/>
  <c r="P362" i="58"/>
  <c r="H363" i="58"/>
  <c r="I363" i="58"/>
  <c r="J363" i="58" s="1"/>
  <c r="O363" i="58"/>
  <c r="P363" i="58"/>
  <c r="H364" i="58"/>
  <c r="I364" i="58"/>
  <c r="J364" i="58" s="1"/>
  <c r="O364" i="58"/>
  <c r="P364" i="58"/>
  <c r="H365" i="58"/>
  <c r="I365" i="58"/>
  <c r="J365" i="58" s="1"/>
  <c r="O365" i="58"/>
  <c r="P365" i="58"/>
  <c r="H366" i="58"/>
  <c r="I366" i="58"/>
  <c r="O366" i="58"/>
  <c r="P366" i="58"/>
  <c r="H367" i="58"/>
  <c r="I367" i="58"/>
  <c r="J367" i="58" s="1"/>
  <c r="O367" i="58"/>
  <c r="P367" i="58"/>
  <c r="H368" i="58"/>
  <c r="I368" i="58"/>
  <c r="J368" i="58" s="1"/>
  <c r="O368" i="58"/>
  <c r="P368" i="58"/>
  <c r="H369" i="58"/>
  <c r="I369" i="58"/>
  <c r="J369" i="58" s="1"/>
  <c r="O369" i="58"/>
  <c r="P369" i="58"/>
  <c r="H370" i="58"/>
  <c r="I370" i="58"/>
  <c r="J370" i="58" s="1"/>
  <c r="O370" i="58"/>
  <c r="P370" i="58"/>
  <c r="H371" i="58"/>
  <c r="I371" i="58"/>
  <c r="J371" i="58" s="1"/>
  <c r="O371" i="58"/>
  <c r="P371" i="58"/>
  <c r="H372" i="58"/>
  <c r="I372" i="58"/>
  <c r="O372" i="58"/>
  <c r="P372" i="58"/>
  <c r="H373" i="58"/>
  <c r="I373" i="58"/>
  <c r="J373" i="58" s="1"/>
  <c r="O373" i="58"/>
  <c r="P373" i="58"/>
  <c r="H374" i="58"/>
  <c r="I374" i="58"/>
  <c r="O374" i="58"/>
  <c r="P374" i="58"/>
  <c r="H375" i="58"/>
  <c r="I375" i="58"/>
  <c r="J375" i="58" s="1"/>
  <c r="O375" i="58"/>
  <c r="P375" i="58"/>
  <c r="G376" i="58"/>
  <c r="H376" i="58"/>
  <c r="I376" i="58"/>
  <c r="J376" i="58" s="1"/>
  <c r="O376" i="58"/>
  <c r="P376" i="58"/>
  <c r="H377" i="58"/>
  <c r="I377" i="58"/>
  <c r="J377" i="58" s="1"/>
  <c r="O377" i="58"/>
  <c r="P377" i="58"/>
  <c r="H378" i="58"/>
  <c r="I378" i="58"/>
  <c r="O378" i="58"/>
  <c r="P378" i="58"/>
  <c r="H379" i="58"/>
  <c r="I379" i="58"/>
  <c r="J379" i="58" s="1"/>
  <c r="O379" i="58"/>
  <c r="P379" i="58"/>
  <c r="H380" i="58"/>
  <c r="I380" i="58"/>
  <c r="J380" i="58" s="1"/>
  <c r="O380" i="58"/>
  <c r="P380" i="58"/>
  <c r="H381" i="58"/>
  <c r="I381" i="58"/>
  <c r="J381" i="58" s="1"/>
  <c r="O381" i="58"/>
  <c r="P381" i="58"/>
  <c r="H382" i="58"/>
  <c r="I382" i="58"/>
  <c r="J382" i="58" s="1"/>
  <c r="O382" i="58"/>
  <c r="P382" i="58"/>
  <c r="H383" i="58"/>
  <c r="I383" i="58"/>
  <c r="J383" i="58" s="1"/>
  <c r="O383" i="58"/>
  <c r="P383" i="58"/>
  <c r="H384" i="58"/>
  <c r="I384" i="58"/>
  <c r="O384" i="58"/>
  <c r="P384" i="58"/>
  <c r="H385" i="58"/>
  <c r="I385" i="58"/>
  <c r="J385" i="58" s="1"/>
  <c r="O385" i="58"/>
  <c r="P385" i="58"/>
  <c r="H386" i="58"/>
  <c r="I386" i="58"/>
  <c r="J386" i="58" s="1"/>
  <c r="O386" i="58"/>
  <c r="P386" i="58"/>
  <c r="H387" i="58"/>
  <c r="I387" i="58"/>
  <c r="J387" i="58" s="1"/>
  <c r="O387" i="58"/>
  <c r="P387" i="58"/>
  <c r="H388" i="58"/>
  <c r="I388" i="58"/>
  <c r="J388" i="58" s="1"/>
  <c r="O388" i="58"/>
  <c r="P388" i="58"/>
  <c r="H389" i="58"/>
  <c r="I389" i="58"/>
  <c r="J389" i="58" s="1"/>
  <c r="O389" i="58"/>
  <c r="P389" i="58"/>
  <c r="H390" i="58"/>
  <c r="I390" i="58"/>
  <c r="O390" i="58"/>
  <c r="P390" i="58"/>
  <c r="H391" i="58"/>
  <c r="I391" i="58"/>
  <c r="L391" i="58" s="1"/>
  <c r="O391" i="58"/>
  <c r="P391" i="58"/>
  <c r="H392" i="58"/>
  <c r="I392" i="58"/>
  <c r="J392" i="58" s="1"/>
  <c r="O392" i="58"/>
  <c r="P392" i="58"/>
  <c r="H393" i="58"/>
  <c r="I393" i="58"/>
  <c r="O393" i="58"/>
  <c r="P393" i="58"/>
  <c r="H394" i="58"/>
  <c r="I394" i="58"/>
  <c r="J394" i="58" s="1"/>
  <c r="O394" i="58"/>
  <c r="P394" i="58"/>
  <c r="G395" i="58"/>
  <c r="H395" i="58"/>
  <c r="I395" i="58"/>
  <c r="J395" i="58" s="1"/>
  <c r="O395" i="58"/>
  <c r="P395" i="58"/>
  <c r="H396" i="58"/>
  <c r="I396" i="58"/>
  <c r="O396" i="58"/>
  <c r="P396" i="58"/>
  <c r="H397" i="58"/>
  <c r="I397" i="58"/>
  <c r="J397" i="58" s="1"/>
  <c r="O397" i="58"/>
  <c r="P397" i="58"/>
  <c r="H398" i="58"/>
  <c r="I398" i="58"/>
  <c r="J398" i="58" s="1"/>
  <c r="O398" i="58"/>
  <c r="P398" i="58"/>
  <c r="H399" i="58"/>
  <c r="I399" i="58"/>
  <c r="J399" i="58" s="1"/>
  <c r="O399" i="58"/>
  <c r="P399" i="58"/>
  <c r="H400" i="58"/>
  <c r="I400" i="58"/>
  <c r="J400" i="58" s="1"/>
  <c r="O400" i="58"/>
  <c r="P400" i="58"/>
  <c r="H401" i="58"/>
  <c r="I401" i="58"/>
  <c r="J401" i="58" s="1"/>
  <c r="O401" i="58"/>
  <c r="P401" i="58"/>
  <c r="H402" i="58"/>
  <c r="I402" i="58"/>
  <c r="O402" i="58"/>
  <c r="P402" i="58"/>
  <c r="H403" i="58"/>
  <c r="I403" i="58"/>
  <c r="J403" i="58" s="1"/>
  <c r="O403" i="58"/>
  <c r="P403" i="58"/>
  <c r="H487" i="58"/>
  <c r="I487" i="58"/>
  <c r="J487" i="58" s="1"/>
  <c r="O487" i="58"/>
  <c r="P487" i="58"/>
  <c r="H405" i="58"/>
  <c r="I405" i="58"/>
  <c r="J405" i="58" s="1"/>
  <c r="O405" i="58"/>
  <c r="P405" i="58"/>
  <c r="H406" i="58"/>
  <c r="I406" i="58"/>
  <c r="J406" i="58" s="1"/>
  <c r="O406" i="58"/>
  <c r="P406" i="58"/>
  <c r="H407" i="58"/>
  <c r="I407" i="58"/>
  <c r="J407" i="58" s="1"/>
  <c r="O407" i="58"/>
  <c r="P407" i="58"/>
  <c r="H408" i="58"/>
  <c r="I408" i="58"/>
  <c r="O408" i="58"/>
  <c r="P408" i="58"/>
  <c r="H409" i="58"/>
  <c r="I409" i="58"/>
  <c r="L409" i="58" s="1"/>
  <c r="O409" i="58"/>
  <c r="P409" i="58"/>
  <c r="H410" i="58"/>
  <c r="I410" i="58"/>
  <c r="O410" i="58"/>
  <c r="P410" i="58"/>
  <c r="H411" i="58"/>
  <c r="I411" i="58"/>
  <c r="J411" i="58" s="1"/>
  <c r="O411" i="58"/>
  <c r="P411" i="58"/>
  <c r="H412" i="58"/>
  <c r="I412" i="58"/>
  <c r="O412" i="58"/>
  <c r="P412" i="58"/>
  <c r="H413" i="58"/>
  <c r="I413" i="58"/>
  <c r="J413" i="58" s="1"/>
  <c r="O413" i="58"/>
  <c r="P413" i="58"/>
  <c r="H414" i="58"/>
  <c r="I414" i="58"/>
  <c r="O414" i="58"/>
  <c r="P414" i="58"/>
  <c r="H415" i="58"/>
  <c r="I415" i="58"/>
  <c r="J415" i="58" s="1"/>
  <c r="O415" i="58"/>
  <c r="P415" i="58"/>
  <c r="H416" i="58"/>
  <c r="I416" i="58"/>
  <c r="J416" i="58" s="1"/>
  <c r="O416" i="58"/>
  <c r="P416" i="58"/>
  <c r="H417" i="58"/>
  <c r="I417" i="58"/>
  <c r="J417" i="58" s="1"/>
  <c r="O417" i="58"/>
  <c r="P417" i="58"/>
  <c r="H418" i="58"/>
  <c r="I418" i="58"/>
  <c r="O418" i="58"/>
  <c r="P418" i="58"/>
  <c r="H419" i="58"/>
  <c r="I419" i="58"/>
  <c r="J419" i="58" s="1"/>
  <c r="O419" i="58"/>
  <c r="P419" i="58"/>
  <c r="H420" i="58"/>
  <c r="I420" i="58"/>
  <c r="O420" i="58"/>
  <c r="P420" i="58"/>
  <c r="H421" i="58"/>
  <c r="I421" i="58"/>
  <c r="O421" i="58"/>
  <c r="P421" i="58"/>
  <c r="H422" i="58"/>
  <c r="I422" i="58"/>
  <c r="J422" i="58" s="1"/>
  <c r="O422" i="58"/>
  <c r="P422" i="58"/>
  <c r="H583" i="58"/>
  <c r="I583" i="58"/>
  <c r="J583" i="58" s="1"/>
  <c r="O583" i="58"/>
  <c r="P583" i="58"/>
  <c r="H424" i="58"/>
  <c r="I424" i="58"/>
  <c r="J424" i="58" s="1"/>
  <c r="O424" i="58"/>
  <c r="P424" i="58"/>
  <c r="H425" i="58"/>
  <c r="I425" i="58"/>
  <c r="J425" i="58" s="1"/>
  <c r="O425" i="58"/>
  <c r="P425" i="58"/>
  <c r="H426" i="58"/>
  <c r="I426" i="58"/>
  <c r="J426" i="58" s="1"/>
  <c r="O426" i="58"/>
  <c r="P426" i="58"/>
  <c r="H427" i="58"/>
  <c r="I427" i="58"/>
  <c r="O427" i="58"/>
  <c r="P427" i="58"/>
  <c r="H428" i="58"/>
  <c r="I428" i="58"/>
  <c r="J428" i="58" s="1"/>
  <c r="O428" i="58"/>
  <c r="P428" i="58"/>
  <c r="H429" i="58"/>
  <c r="I429" i="58"/>
  <c r="J429" i="58" s="1"/>
  <c r="O429" i="58"/>
  <c r="P429" i="58"/>
  <c r="H430" i="58"/>
  <c r="I430" i="58"/>
  <c r="J430" i="58" s="1"/>
  <c r="O430" i="58"/>
  <c r="P430" i="58"/>
  <c r="H431" i="58"/>
  <c r="I431" i="58"/>
  <c r="J431" i="58" s="1"/>
  <c r="O431" i="58"/>
  <c r="P431" i="58"/>
  <c r="H432" i="58"/>
  <c r="I432" i="58"/>
  <c r="J432" i="58" s="1"/>
  <c r="O432" i="58"/>
  <c r="P432" i="58"/>
  <c r="H433" i="58"/>
  <c r="I433" i="58"/>
  <c r="J433" i="58" s="1"/>
  <c r="O433" i="58"/>
  <c r="P433" i="58"/>
  <c r="H434" i="58"/>
  <c r="I434" i="58"/>
  <c r="O434" i="58"/>
  <c r="P434" i="58"/>
  <c r="H435" i="58"/>
  <c r="I435" i="58"/>
  <c r="J435" i="58" s="1"/>
  <c r="O435" i="58"/>
  <c r="P435" i="58"/>
  <c r="H436" i="58"/>
  <c r="I436" i="58"/>
  <c r="J436" i="58" s="1"/>
  <c r="O436" i="58"/>
  <c r="P436" i="58"/>
  <c r="H437" i="58"/>
  <c r="I437" i="58"/>
  <c r="J437" i="58" s="1"/>
  <c r="O437" i="58"/>
  <c r="P437" i="58"/>
  <c r="G438" i="58"/>
  <c r="H438" i="58"/>
  <c r="I438" i="58"/>
  <c r="J438" i="58" s="1"/>
  <c r="O438" i="58"/>
  <c r="P438" i="58"/>
  <c r="H439" i="58"/>
  <c r="I439" i="58"/>
  <c r="L439" i="58" s="1"/>
  <c r="O439" i="58"/>
  <c r="P439" i="58"/>
  <c r="H440" i="58"/>
  <c r="I440" i="58"/>
  <c r="J440" i="58" s="1"/>
  <c r="O440" i="58"/>
  <c r="P440" i="58"/>
  <c r="H441" i="58"/>
  <c r="I441" i="58"/>
  <c r="J441" i="58" s="1"/>
  <c r="O441" i="58"/>
  <c r="P441" i="58"/>
  <c r="H442" i="58"/>
  <c r="I442" i="58"/>
  <c r="J442" i="58" s="1"/>
  <c r="O442" i="58"/>
  <c r="P442" i="58"/>
  <c r="H443" i="58"/>
  <c r="I443" i="58"/>
  <c r="J443" i="58" s="1"/>
  <c r="O443" i="58"/>
  <c r="P443" i="58"/>
  <c r="H444" i="58"/>
  <c r="I444" i="58"/>
  <c r="J444" i="58" s="1"/>
  <c r="O444" i="58"/>
  <c r="P444" i="58"/>
  <c r="H445" i="58"/>
  <c r="I445" i="58"/>
  <c r="J445" i="58" s="1"/>
  <c r="O445" i="58"/>
  <c r="P445" i="58"/>
  <c r="H446" i="58"/>
  <c r="I446" i="58"/>
  <c r="J446" i="58" s="1"/>
  <c r="O446" i="58"/>
  <c r="P446" i="58"/>
  <c r="H447" i="58"/>
  <c r="I447" i="58"/>
  <c r="J447" i="58" s="1"/>
  <c r="O447" i="58"/>
  <c r="P447" i="58"/>
  <c r="H448" i="58"/>
  <c r="I448" i="58"/>
  <c r="O448" i="58"/>
  <c r="P448" i="58"/>
  <c r="H449" i="58"/>
  <c r="I449" i="58"/>
  <c r="O449" i="58"/>
  <c r="P449" i="58"/>
  <c r="H450" i="58"/>
  <c r="I450" i="58"/>
  <c r="O450" i="58"/>
  <c r="P450" i="58"/>
  <c r="H451" i="58"/>
  <c r="I451" i="58"/>
  <c r="L451" i="58" s="1"/>
  <c r="O451" i="58"/>
  <c r="P451" i="58"/>
  <c r="H452" i="58"/>
  <c r="I452" i="58"/>
  <c r="J452" i="58" s="1"/>
  <c r="O452" i="58"/>
  <c r="P452" i="58"/>
  <c r="H453" i="58"/>
  <c r="I453" i="58"/>
  <c r="J453" i="58" s="1"/>
  <c r="O453" i="58"/>
  <c r="P453" i="58"/>
  <c r="H454" i="58"/>
  <c r="I454" i="58"/>
  <c r="J454" i="58" s="1"/>
  <c r="O454" i="58"/>
  <c r="P454" i="58"/>
  <c r="H455" i="58"/>
  <c r="I455" i="58"/>
  <c r="J455" i="58" s="1"/>
  <c r="O455" i="58"/>
  <c r="P455" i="58"/>
  <c r="H617" i="58"/>
  <c r="I617" i="58"/>
  <c r="J617" i="58" s="1"/>
  <c r="O617" i="58"/>
  <c r="P617" i="58"/>
  <c r="H457" i="58"/>
  <c r="I457" i="58"/>
  <c r="J457" i="58" s="1"/>
  <c r="O457" i="58"/>
  <c r="P457" i="58"/>
  <c r="H458" i="58"/>
  <c r="I458" i="58"/>
  <c r="O458" i="58"/>
  <c r="P458" i="58"/>
  <c r="H459" i="58"/>
  <c r="I459" i="58"/>
  <c r="J459" i="58" s="1"/>
  <c r="O459" i="58"/>
  <c r="P459" i="58"/>
  <c r="H460" i="58"/>
  <c r="I460" i="58"/>
  <c r="J460" i="58" s="1"/>
  <c r="O460" i="58"/>
  <c r="P460" i="58"/>
  <c r="H461" i="58"/>
  <c r="I461" i="58"/>
  <c r="O461" i="58"/>
  <c r="P461" i="58"/>
  <c r="H462" i="58"/>
  <c r="I462" i="58"/>
  <c r="O462" i="58"/>
  <c r="P462" i="58"/>
  <c r="H463" i="58"/>
  <c r="I463" i="58"/>
  <c r="J463" i="58" s="1"/>
  <c r="O463" i="58"/>
  <c r="P463" i="58"/>
  <c r="H464" i="58"/>
  <c r="I464" i="58"/>
  <c r="O464" i="58"/>
  <c r="P464" i="58"/>
  <c r="H465" i="58"/>
  <c r="I465" i="58"/>
  <c r="O465" i="58"/>
  <c r="P465" i="58"/>
  <c r="H466" i="58"/>
  <c r="I466" i="58"/>
  <c r="O466" i="58"/>
  <c r="P466" i="58"/>
  <c r="H467" i="58"/>
  <c r="I467" i="58"/>
  <c r="O467" i="58"/>
  <c r="P467" i="58"/>
  <c r="H468" i="58"/>
  <c r="I468" i="58"/>
  <c r="O468" i="58"/>
  <c r="P468" i="58"/>
  <c r="H469" i="58"/>
  <c r="I469" i="58"/>
  <c r="J469" i="58" s="1"/>
  <c r="O469" i="58"/>
  <c r="P469" i="58"/>
  <c r="H470" i="58"/>
  <c r="I470" i="58"/>
  <c r="O470" i="58"/>
  <c r="P470" i="58"/>
  <c r="H471" i="58"/>
  <c r="I471" i="58"/>
  <c r="O471" i="58"/>
  <c r="P471" i="58"/>
  <c r="H472" i="58"/>
  <c r="I472" i="58"/>
  <c r="O472" i="58"/>
  <c r="P472" i="58"/>
  <c r="H473" i="58"/>
  <c r="I473" i="58"/>
  <c r="O473" i="58"/>
  <c r="P473" i="58"/>
  <c r="H474" i="58"/>
  <c r="I474" i="58"/>
  <c r="O474" i="58"/>
  <c r="P474" i="58"/>
  <c r="H475" i="58"/>
  <c r="I475" i="58"/>
  <c r="J475" i="58" s="1"/>
  <c r="O475" i="58"/>
  <c r="P475" i="58"/>
  <c r="H476" i="58"/>
  <c r="I476" i="58"/>
  <c r="O476" i="58"/>
  <c r="P476" i="58"/>
  <c r="H477" i="58"/>
  <c r="I477" i="58"/>
  <c r="O477" i="58"/>
  <c r="P477" i="58"/>
  <c r="H478" i="58"/>
  <c r="I478" i="58"/>
  <c r="J478" i="58" s="1"/>
  <c r="O478" i="58"/>
  <c r="P478" i="58"/>
  <c r="H479" i="58"/>
  <c r="I479" i="58"/>
  <c r="O479" i="58"/>
  <c r="P479" i="58"/>
  <c r="H480" i="58"/>
  <c r="I480" i="58"/>
  <c r="O480" i="58"/>
  <c r="P480" i="58"/>
  <c r="H481" i="58"/>
  <c r="I481" i="58"/>
  <c r="J481" i="58" s="1"/>
  <c r="O481" i="58"/>
  <c r="P481" i="58"/>
  <c r="H482" i="58"/>
  <c r="I482" i="58"/>
  <c r="O482" i="58"/>
  <c r="P482" i="58"/>
  <c r="H483" i="58"/>
  <c r="I483" i="58"/>
  <c r="J483" i="58" s="1"/>
  <c r="O483" i="58"/>
  <c r="P483" i="58"/>
  <c r="H484" i="58"/>
  <c r="I484" i="58"/>
  <c r="J484" i="58" s="1"/>
  <c r="O484" i="58"/>
  <c r="P484" i="58"/>
  <c r="H485" i="58"/>
  <c r="I485" i="58"/>
  <c r="O485" i="58"/>
  <c r="P485" i="58"/>
  <c r="H486" i="58"/>
  <c r="I486" i="58"/>
  <c r="J486" i="58" s="1"/>
  <c r="O486" i="58"/>
  <c r="P486" i="58"/>
  <c r="H643" i="58"/>
  <c r="I643" i="58"/>
  <c r="J643" i="58" s="1"/>
  <c r="O643" i="58"/>
  <c r="P643" i="58"/>
  <c r="H488" i="58"/>
  <c r="I488" i="58"/>
  <c r="L488" i="58" s="1"/>
  <c r="O488" i="58"/>
  <c r="P488" i="58"/>
  <c r="H489" i="58"/>
  <c r="I489" i="58"/>
  <c r="O489" i="58"/>
  <c r="P489" i="58"/>
  <c r="H490" i="58"/>
  <c r="I490" i="58"/>
  <c r="J490" i="58" s="1"/>
  <c r="O490" i="58"/>
  <c r="P490" i="58"/>
  <c r="H491" i="58"/>
  <c r="I491" i="58"/>
  <c r="J491" i="58" s="1"/>
  <c r="O491" i="58"/>
  <c r="P491" i="58"/>
  <c r="H492" i="58"/>
  <c r="I492" i="58"/>
  <c r="J492" i="58" s="1"/>
  <c r="O492" i="58"/>
  <c r="P492" i="58"/>
  <c r="H493" i="58"/>
  <c r="I493" i="58"/>
  <c r="O493" i="58"/>
  <c r="P493" i="58"/>
  <c r="H494" i="58"/>
  <c r="I494" i="58"/>
  <c r="J494" i="58" s="1"/>
  <c r="O494" i="58"/>
  <c r="P494" i="58"/>
  <c r="H495" i="58"/>
  <c r="I495" i="58"/>
  <c r="J495" i="58" s="1"/>
  <c r="O495" i="58"/>
  <c r="P495" i="58"/>
  <c r="H496" i="58"/>
  <c r="I496" i="58"/>
  <c r="J496" i="58" s="1"/>
  <c r="O496" i="58"/>
  <c r="P496" i="58"/>
  <c r="H497" i="58"/>
  <c r="I497" i="58"/>
  <c r="O497" i="58"/>
  <c r="P497" i="58"/>
  <c r="H498" i="58"/>
  <c r="I498" i="58"/>
  <c r="J498" i="58" s="1"/>
  <c r="O498" i="58"/>
  <c r="P498" i="58"/>
  <c r="H499" i="58"/>
  <c r="I499" i="58"/>
  <c r="J499" i="58" s="1"/>
  <c r="O499" i="58"/>
  <c r="P499" i="58"/>
  <c r="H500" i="58"/>
  <c r="I500" i="58"/>
  <c r="J500" i="58" s="1"/>
  <c r="O500" i="58"/>
  <c r="P500" i="58"/>
  <c r="H501" i="58"/>
  <c r="I501" i="58"/>
  <c r="O501" i="58"/>
  <c r="P501" i="58"/>
  <c r="H502" i="58"/>
  <c r="I502" i="58"/>
  <c r="J502" i="58" s="1"/>
  <c r="O502" i="58"/>
  <c r="P502" i="58"/>
  <c r="H503" i="58"/>
  <c r="I503" i="58"/>
  <c r="J503" i="58" s="1"/>
  <c r="O503" i="58"/>
  <c r="P503" i="58"/>
  <c r="H504" i="58"/>
  <c r="I504" i="58"/>
  <c r="J504" i="58" s="1"/>
  <c r="O504" i="58"/>
  <c r="P504" i="58"/>
  <c r="H505" i="58"/>
  <c r="I505" i="58"/>
  <c r="O505" i="58"/>
  <c r="P505" i="58"/>
  <c r="H506" i="58"/>
  <c r="I506" i="58"/>
  <c r="L506" i="58" s="1"/>
  <c r="O506" i="58"/>
  <c r="P506" i="58"/>
  <c r="H507" i="58"/>
  <c r="I507" i="58"/>
  <c r="J507" i="58" s="1"/>
  <c r="O507" i="58"/>
  <c r="P507" i="58"/>
  <c r="H508" i="58"/>
  <c r="I508" i="58"/>
  <c r="L508" i="58" s="1"/>
  <c r="O508" i="58"/>
  <c r="P508" i="58"/>
  <c r="H509" i="58"/>
  <c r="I509" i="58"/>
  <c r="L509" i="58" s="1"/>
  <c r="O509" i="58"/>
  <c r="P509" i="58"/>
  <c r="H510" i="58"/>
  <c r="I510" i="58"/>
  <c r="L510" i="58" s="1"/>
  <c r="O510" i="58"/>
  <c r="P510" i="58"/>
  <c r="H511" i="58"/>
  <c r="I511" i="58"/>
  <c r="J511" i="58" s="1"/>
  <c r="O511" i="58"/>
  <c r="P511" i="58"/>
  <c r="H512" i="58"/>
  <c r="I512" i="58"/>
  <c r="J512" i="58" s="1"/>
  <c r="O512" i="58"/>
  <c r="P512" i="58"/>
  <c r="H513" i="58"/>
  <c r="I513" i="58"/>
  <c r="J513" i="58" s="1"/>
  <c r="O513" i="58"/>
  <c r="P513" i="58"/>
  <c r="H514" i="58"/>
  <c r="I514" i="58"/>
  <c r="L514" i="58" s="1"/>
  <c r="O514" i="58"/>
  <c r="P514" i="58"/>
  <c r="H670" i="58"/>
  <c r="I670" i="58"/>
  <c r="L670" i="58" s="1"/>
  <c r="O670" i="58"/>
  <c r="P670" i="58"/>
  <c r="H516" i="58"/>
  <c r="I516" i="58"/>
  <c r="L516" i="58" s="1"/>
  <c r="O516" i="58"/>
  <c r="P516" i="58"/>
  <c r="H517" i="58"/>
  <c r="I517" i="58"/>
  <c r="L517" i="58" s="1"/>
  <c r="O517" i="58"/>
  <c r="P517" i="58"/>
  <c r="H518" i="58"/>
  <c r="I518" i="58"/>
  <c r="J518" i="58" s="1"/>
  <c r="O518" i="58"/>
  <c r="P518" i="58"/>
  <c r="H519" i="58"/>
  <c r="I519" i="58"/>
  <c r="J519" i="58" s="1"/>
  <c r="O519" i="58"/>
  <c r="P519" i="58"/>
  <c r="H520" i="58"/>
  <c r="I520" i="58"/>
  <c r="J520" i="58" s="1"/>
  <c r="O520" i="58"/>
  <c r="P520" i="58"/>
  <c r="H521" i="58"/>
  <c r="I521" i="58"/>
  <c r="O521" i="58"/>
  <c r="P521" i="58"/>
  <c r="H522" i="58"/>
  <c r="I522" i="58"/>
  <c r="J522" i="58" s="1"/>
  <c r="O522" i="58"/>
  <c r="P522" i="58"/>
  <c r="H523" i="58"/>
  <c r="I523" i="58"/>
  <c r="J523" i="58" s="1"/>
  <c r="O523" i="58"/>
  <c r="P523" i="58"/>
  <c r="H524" i="58"/>
  <c r="I524" i="58"/>
  <c r="J524" i="58" s="1"/>
  <c r="O524" i="58"/>
  <c r="P524" i="58"/>
  <c r="H525" i="58"/>
  <c r="I525" i="58"/>
  <c r="J525" i="58" s="1"/>
  <c r="O525" i="58"/>
  <c r="P525" i="58"/>
  <c r="H526" i="58"/>
  <c r="I526" i="58"/>
  <c r="J526" i="58" s="1"/>
  <c r="O526" i="58"/>
  <c r="P526" i="58"/>
  <c r="H527" i="58"/>
  <c r="I527" i="58"/>
  <c r="O527" i="58"/>
  <c r="P527" i="58"/>
  <c r="H528" i="58"/>
  <c r="I528" i="58"/>
  <c r="J528" i="58" s="1"/>
  <c r="O528" i="58"/>
  <c r="P528" i="58"/>
  <c r="H529" i="58"/>
  <c r="I529" i="58"/>
  <c r="O529" i="58"/>
  <c r="P529" i="58"/>
  <c r="H530" i="58"/>
  <c r="I530" i="58"/>
  <c r="L530" i="58" s="1"/>
  <c r="O530" i="58"/>
  <c r="P530" i="58"/>
  <c r="H531" i="58"/>
  <c r="I531" i="58"/>
  <c r="J531" i="58" s="1"/>
  <c r="O531" i="58"/>
  <c r="P531" i="58"/>
  <c r="H532" i="58"/>
  <c r="I532" i="58"/>
  <c r="J532" i="58" s="1"/>
  <c r="O532" i="58"/>
  <c r="P532" i="58"/>
  <c r="H533" i="58"/>
  <c r="I533" i="58"/>
  <c r="O533" i="58"/>
  <c r="P533" i="58"/>
  <c r="H534" i="58"/>
  <c r="I534" i="58"/>
  <c r="L534" i="58" s="1"/>
  <c r="O534" i="58"/>
  <c r="P534" i="58"/>
  <c r="H535" i="58"/>
  <c r="I535" i="58"/>
  <c r="J535" i="58" s="1"/>
  <c r="O535" i="58"/>
  <c r="P535" i="58"/>
  <c r="H536" i="58"/>
  <c r="I536" i="58"/>
  <c r="L536" i="58" s="1"/>
  <c r="O536" i="58"/>
  <c r="P536" i="58"/>
  <c r="H537" i="58"/>
  <c r="I537" i="58"/>
  <c r="J537" i="58" s="1"/>
  <c r="O537" i="58"/>
  <c r="P537" i="58"/>
  <c r="H538" i="58"/>
  <c r="I538" i="58"/>
  <c r="L538" i="58" s="1"/>
  <c r="O538" i="58"/>
  <c r="P538" i="58"/>
  <c r="H539" i="58"/>
  <c r="I539" i="58"/>
  <c r="O539" i="58"/>
  <c r="P539" i="58"/>
  <c r="H540" i="58"/>
  <c r="I540" i="58"/>
  <c r="L540" i="58" s="1"/>
  <c r="O540" i="58"/>
  <c r="P540" i="58"/>
  <c r="H541" i="58"/>
  <c r="I541" i="58"/>
  <c r="L541" i="58" s="1"/>
  <c r="O541" i="58"/>
  <c r="P541" i="58"/>
  <c r="H542" i="58"/>
  <c r="I542" i="58"/>
  <c r="J542" i="58" s="1"/>
  <c r="O542" i="58"/>
  <c r="P542" i="58"/>
  <c r="H543" i="58"/>
  <c r="I543" i="58"/>
  <c r="J543" i="58" s="1"/>
  <c r="O543" i="58"/>
  <c r="P543" i="58"/>
  <c r="H544" i="58"/>
  <c r="I544" i="58"/>
  <c r="J544" i="58" s="1"/>
  <c r="O544" i="58"/>
  <c r="P544" i="58"/>
  <c r="H545" i="58"/>
  <c r="I545" i="58"/>
  <c r="O545" i="58"/>
  <c r="P545" i="58"/>
  <c r="H546" i="58"/>
  <c r="I546" i="58"/>
  <c r="L546" i="58" s="1"/>
  <c r="O546" i="58"/>
  <c r="P546" i="58"/>
  <c r="H547" i="58"/>
  <c r="I547" i="58"/>
  <c r="J547" i="58" s="1"/>
  <c r="O547" i="58"/>
  <c r="P547" i="58"/>
  <c r="H548" i="58"/>
  <c r="I548" i="58"/>
  <c r="L548" i="58" s="1"/>
  <c r="O548" i="58"/>
  <c r="P548" i="58"/>
  <c r="H549" i="58"/>
  <c r="I549" i="58"/>
  <c r="J549" i="58" s="1"/>
  <c r="O549" i="58"/>
  <c r="P549" i="58"/>
  <c r="H550" i="58"/>
  <c r="I550" i="58"/>
  <c r="L550" i="58" s="1"/>
  <c r="O550" i="58"/>
  <c r="P550" i="58"/>
  <c r="H551" i="58"/>
  <c r="I551" i="58"/>
  <c r="O551" i="58"/>
  <c r="P551" i="58"/>
  <c r="H552" i="58"/>
  <c r="I552" i="58"/>
  <c r="J552" i="58" s="1"/>
  <c r="O552" i="58"/>
  <c r="P552" i="58"/>
  <c r="H553" i="58"/>
  <c r="I553" i="58"/>
  <c r="J553" i="58" s="1"/>
  <c r="O553" i="58"/>
  <c r="P553" i="58"/>
  <c r="H554" i="58"/>
  <c r="I554" i="58"/>
  <c r="J554" i="58" s="1"/>
  <c r="O554" i="58"/>
  <c r="P554" i="58"/>
  <c r="H555" i="58"/>
  <c r="I555" i="58"/>
  <c r="J555" i="58" s="1"/>
  <c r="O555" i="58"/>
  <c r="P555" i="58"/>
  <c r="H556" i="58"/>
  <c r="I556" i="58"/>
  <c r="L556" i="58" s="1"/>
  <c r="O556" i="58"/>
  <c r="P556" i="58"/>
  <c r="H557" i="58"/>
  <c r="I557" i="58"/>
  <c r="O557" i="58"/>
  <c r="P557" i="58"/>
  <c r="H558" i="58"/>
  <c r="I558" i="58"/>
  <c r="O558" i="58"/>
  <c r="P558" i="58"/>
  <c r="H559" i="58"/>
  <c r="I559" i="58"/>
  <c r="J559" i="58" s="1"/>
  <c r="O559" i="58"/>
  <c r="P559" i="58"/>
  <c r="H560" i="58"/>
  <c r="I560" i="58"/>
  <c r="O560" i="58"/>
  <c r="P560" i="58"/>
  <c r="H561" i="58"/>
  <c r="I561" i="58"/>
  <c r="J561" i="58" s="1"/>
  <c r="O561" i="58"/>
  <c r="P561" i="58"/>
  <c r="H562" i="58"/>
  <c r="I562" i="58"/>
  <c r="J562" i="58" s="1"/>
  <c r="O562" i="58"/>
  <c r="P562" i="58"/>
  <c r="H563" i="58"/>
  <c r="I563" i="58"/>
  <c r="O563" i="58"/>
  <c r="P563" i="58"/>
  <c r="H564" i="58"/>
  <c r="I564" i="58"/>
  <c r="J564" i="58" s="1"/>
  <c r="O564" i="58"/>
  <c r="P564" i="58"/>
  <c r="H565" i="58"/>
  <c r="I565" i="58"/>
  <c r="O565" i="58"/>
  <c r="P565" i="58"/>
  <c r="H566" i="58"/>
  <c r="I566" i="58"/>
  <c r="L566" i="58" s="1"/>
  <c r="O566" i="58"/>
  <c r="P566" i="58"/>
  <c r="H567" i="58"/>
  <c r="I567" i="58"/>
  <c r="J567" i="58" s="1"/>
  <c r="O567" i="58"/>
  <c r="P567" i="58"/>
  <c r="H568" i="58"/>
  <c r="I568" i="58"/>
  <c r="O568" i="58"/>
  <c r="P568" i="58"/>
  <c r="H569" i="58"/>
  <c r="I569" i="58"/>
  <c r="O569" i="58"/>
  <c r="P569" i="58"/>
  <c r="H570" i="58"/>
  <c r="I570" i="58"/>
  <c r="J570" i="58" s="1"/>
  <c r="O570" i="58"/>
  <c r="P570" i="58"/>
  <c r="H571" i="58"/>
  <c r="I571" i="58"/>
  <c r="J571" i="58" s="1"/>
  <c r="O571" i="58"/>
  <c r="P571" i="58"/>
  <c r="H572" i="58"/>
  <c r="I572" i="58"/>
  <c r="L572" i="58" s="1"/>
  <c r="O572" i="58"/>
  <c r="P572" i="58"/>
  <c r="H573" i="58"/>
  <c r="I573" i="58"/>
  <c r="J573" i="58" s="1"/>
  <c r="O573" i="58"/>
  <c r="P573" i="58"/>
  <c r="H574" i="58"/>
  <c r="I574" i="58"/>
  <c r="J574" i="58" s="1"/>
  <c r="O574" i="58"/>
  <c r="P574" i="58"/>
  <c r="H575" i="58"/>
  <c r="I575" i="58"/>
  <c r="O575" i="58"/>
  <c r="P575" i="58"/>
  <c r="H576" i="58"/>
  <c r="I576" i="58"/>
  <c r="L576" i="58" s="1"/>
  <c r="O576" i="58"/>
  <c r="P576" i="58"/>
  <c r="H577" i="58"/>
  <c r="I577" i="58"/>
  <c r="O577" i="58"/>
  <c r="P577" i="58"/>
  <c r="H578" i="58"/>
  <c r="I578" i="58"/>
  <c r="O578" i="58"/>
  <c r="P578" i="58"/>
  <c r="H579" i="58"/>
  <c r="I579" i="58"/>
  <c r="O579" i="58"/>
  <c r="P579" i="58"/>
  <c r="H580" i="58"/>
  <c r="I580" i="58"/>
  <c r="J580" i="58" s="1"/>
  <c r="O580" i="58"/>
  <c r="P580" i="58"/>
  <c r="H581" i="58"/>
  <c r="I581" i="58"/>
  <c r="O581" i="58"/>
  <c r="P581" i="58"/>
  <c r="H582" i="58"/>
  <c r="I582" i="58"/>
  <c r="L582" i="58" s="1"/>
  <c r="O582" i="58"/>
  <c r="P582" i="58"/>
  <c r="H694" i="58"/>
  <c r="I694" i="58"/>
  <c r="O694" i="58"/>
  <c r="P694" i="58"/>
  <c r="H584" i="58"/>
  <c r="I584" i="58"/>
  <c r="J584" i="58" s="1"/>
  <c r="O584" i="58"/>
  <c r="P584" i="58"/>
  <c r="H585" i="58"/>
  <c r="I585" i="58"/>
  <c r="J585" i="58" s="1"/>
  <c r="O585" i="58"/>
  <c r="P585" i="58"/>
  <c r="H586" i="58"/>
  <c r="I586" i="58"/>
  <c r="J586" i="58" s="1"/>
  <c r="O586" i="58"/>
  <c r="P586" i="58"/>
  <c r="H587" i="58"/>
  <c r="I587" i="58"/>
  <c r="O587" i="58"/>
  <c r="P587" i="58"/>
  <c r="H588" i="58"/>
  <c r="I588" i="58"/>
  <c r="J588" i="58" s="1"/>
  <c r="O588" i="58"/>
  <c r="P588" i="58"/>
  <c r="H589" i="58"/>
  <c r="I589" i="58"/>
  <c r="J589" i="58" s="1"/>
  <c r="O589" i="58"/>
  <c r="P589" i="58"/>
  <c r="H590" i="58"/>
  <c r="I590" i="58"/>
  <c r="J590" i="58" s="1"/>
  <c r="O590" i="58"/>
  <c r="P590" i="58"/>
  <c r="H591" i="58"/>
  <c r="I591" i="58"/>
  <c r="O591" i="58"/>
  <c r="P591" i="58"/>
  <c r="H592" i="58"/>
  <c r="I592" i="58"/>
  <c r="J592" i="58" s="1"/>
  <c r="O592" i="58"/>
  <c r="P592" i="58"/>
  <c r="H593" i="58"/>
  <c r="I593" i="58"/>
  <c r="O593" i="58"/>
  <c r="P593" i="58"/>
  <c r="H594" i="58"/>
  <c r="I594" i="58"/>
  <c r="J594" i="58" s="1"/>
  <c r="O594" i="58"/>
  <c r="P594" i="58"/>
  <c r="H595" i="58"/>
  <c r="I595" i="58"/>
  <c r="J595" i="58" s="1"/>
  <c r="O595" i="58"/>
  <c r="P595" i="58"/>
  <c r="H596" i="58"/>
  <c r="I596" i="58"/>
  <c r="J596" i="58" s="1"/>
  <c r="O596" i="58"/>
  <c r="P596" i="58"/>
  <c r="H597" i="58"/>
  <c r="I597" i="58"/>
  <c r="J597" i="58" s="1"/>
  <c r="O597" i="58"/>
  <c r="P597" i="58"/>
  <c r="H598" i="58"/>
  <c r="I598" i="58"/>
  <c r="J598" i="58" s="1"/>
  <c r="O598" i="58"/>
  <c r="P598" i="58"/>
  <c r="H599" i="58"/>
  <c r="I599" i="58"/>
  <c r="O599" i="58"/>
  <c r="P599" i="58"/>
  <c r="H600" i="58"/>
  <c r="I600" i="58"/>
  <c r="O600" i="58"/>
  <c r="P600" i="58"/>
  <c r="H601" i="58"/>
  <c r="I601" i="58"/>
  <c r="L601" i="58" s="1"/>
  <c r="O601" i="58"/>
  <c r="P601" i="58"/>
  <c r="H602" i="58"/>
  <c r="I602" i="58"/>
  <c r="L602" i="58" s="1"/>
  <c r="O602" i="58"/>
  <c r="P602" i="58"/>
  <c r="H603" i="58"/>
  <c r="I603" i="58"/>
  <c r="J603" i="58" s="1"/>
  <c r="O603" i="58"/>
  <c r="P603" i="58"/>
  <c r="H604" i="58"/>
  <c r="I604" i="58"/>
  <c r="J604" i="58" s="1"/>
  <c r="O604" i="58"/>
  <c r="P604" i="58"/>
  <c r="H605" i="58"/>
  <c r="I605" i="58"/>
  <c r="O605" i="58"/>
  <c r="P605" i="58"/>
  <c r="H606" i="58"/>
  <c r="I606" i="58"/>
  <c r="J606" i="58" s="1"/>
  <c r="O606" i="58"/>
  <c r="P606" i="58"/>
  <c r="H607" i="58"/>
  <c r="I607" i="58"/>
  <c r="J607" i="58" s="1"/>
  <c r="O607" i="58"/>
  <c r="P607" i="58"/>
  <c r="H608" i="58"/>
  <c r="I608" i="58"/>
  <c r="L608" i="58" s="1"/>
  <c r="O608" i="58"/>
  <c r="P608" i="58"/>
  <c r="H609" i="58"/>
  <c r="I609" i="58"/>
  <c r="J609" i="58" s="1"/>
  <c r="O609" i="58"/>
  <c r="P609" i="58"/>
  <c r="H610" i="58"/>
  <c r="I610" i="58"/>
  <c r="J610" i="58" s="1"/>
  <c r="O610" i="58"/>
  <c r="P610" i="58"/>
  <c r="H611" i="58"/>
  <c r="I611" i="58"/>
  <c r="O611" i="58"/>
  <c r="P611" i="58"/>
  <c r="H612" i="58"/>
  <c r="I612" i="58"/>
  <c r="J612" i="58" s="1"/>
  <c r="O612" i="58"/>
  <c r="P612" i="58"/>
  <c r="H613" i="58"/>
  <c r="I613" i="58"/>
  <c r="J613" i="58" s="1"/>
  <c r="O613" i="58"/>
  <c r="P613" i="58"/>
  <c r="H614" i="58"/>
  <c r="I614" i="58"/>
  <c r="J614" i="58" s="1"/>
  <c r="O614" i="58"/>
  <c r="P614" i="58"/>
  <c r="H615" i="58"/>
  <c r="I615" i="58"/>
  <c r="J615" i="58" s="1"/>
  <c r="O615" i="58"/>
  <c r="P615" i="58"/>
  <c r="H616" i="58"/>
  <c r="I616" i="58"/>
  <c r="J616" i="58" s="1"/>
  <c r="O616" i="58"/>
  <c r="P616" i="58"/>
  <c r="H930" i="58"/>
  <c r="I930" i="58"/>
  <c r="J930" i="58" s="1"/>
  <c r="O930" i="58"/>
  <c r="P930" i="58"/>
  <c r="H618" i="58"/>
  <c r="I618" i="58"/>
  <c r="J618" i="58" s="1"/>
  <c r="O618" i="58"/>
  <c r="P618" i="58"/>
  <c r="H619" i="58"/>
  <c r="I619" i="58"/>
  <c r="O619" i="58"/>
  <c r="P619" i="58"/>
  <c r="H620" i="58"/>
  <c r="I620" i="58"/>
  <c r="J620" i="58" s="1"/>
  <c r="O620" i="58"/>
  <c r="P620" i="58"/>
  <c r="H621" i="58"/>
  <c r="I621" i="58"/>
  <c r="J621" i="58" s="1"/>
  <c r="O621" i="58"/>
  <c r="P621" i="58"/>
  <c r="H622" i="58"/>
  <c r="I622" i="58"/>
  <c r="O622" i="58"/>
  <c r="P622" i="58"/>
  <c r="H623" i="58"/>
  <c r="I623" i="58"/>
  <c r="J623" i="58" s="1"/>
  <c r="O623" i="58"/>
  <c r="P623" i="58"/>
  <c r="H624" i="58"/>
  <c r="I624" i="58"/>
  <c r="O624" i="58"/>
  <c r="P624" i="58"/>
  <c r="H625" i="58"/>
  <c r="I625" i="58"/>
  <c r="O625" i="58"/>
  <c r="P625" i="58"/>
  <c r="H626" i="58"/>
  <c r="I626" i="58"/>
  <c r="O626" i="58"/>
  <c r="P626" i="58"/>
  <c r="H627" i="58"/>
  <c r="I627" i="58"/>
  <c r="J627" i="58" s="1"/>
  <c r="O627" i="58"/>
  <c r="P627" i="58"/>
  <c r="H628" i="58"/>
  <c r="I628" i="58"/>
  <c r="J628" i="58" s="1"/>
  <c r="O628" i="58"/>
  <c r="P628" i="58"/>
  <c r="H629" i="58"/>
  <c r="I629" i="58"/>
  <c r="J629" i="58" s="1"/>
  <c r="O629" i="58"/>
  <c r="P629" i="58"/>
  <c r="H630" i="58"/>
  <c r="I630" i="58"/>
  <c r="L630" i="58" s="1"/>
  <c r="O630" i="58"/>
  <c r="P630" i="58"/>
  <c r="H631" i="58"/>
  <c r="I631" i="58"/>
  <c r="J631" i="58" s="1"/>
  <c r="O631" i="58"/>
  <c r="P631" i="58"/>
  <c r="H632" i="58"/>
  <c r="I632" i="58"/>
  <c r="L632" i="58" s="1"/>
  <c r="O632" i="58"/>
  <c r="P632" i="58"/>
  <c r="H633" i="58"/>
  <c r="I633" i="58"/>
  <c r="J633" i="58" s="1"/>
  <c r="O633" i="58"/>
  <c r="P633" i="58"/>
  <c r="H634" i="58"/>
  <c r="I634" i="58"/>
  <c r="O634" i="58"/>
  <c r="P634" i="58"/>
  <c r="H635" i="58"/>
  <c r="I635" i="58"/>
  <c r="J635" i="58" s="1"/>
  <c r="O635" i="58"/>
  <c r="P635" i="58"/>
  <c r="H636" i="58"/>
  <c r="I636" i="58"/>
  <c r="L636" i="58" s="1"/>
  <c r="O636" i="58"/>
  <c r="P636" i="58"/>
  <c r="H637" i="58"/>
  <c r="I637" i="58"/>
  <c r="J637" i="58" s="1"/>
  <c r="O637" i="58"/>
  <c r="P637" i="58"/>
  <c r="H638" i="58"/>
  <c r="I638" i="58"/>
  <c r="L638" i="58" s="1"/>
  <c r="O638" i="58"/>
  <c r="P638" i="58"/>
  <c r="H639" i="58"/>
  <c r="I639" i="58"/>
  <c r="O639" i="58"/>
  <c r="P639" i="58"/>
  <c r="H640" i="58"/>
  <c r="I640" i="58"/>
  <c r="J640" i="58" s="1"/>
  <c r="O640" i="58"/>
  <c r="P640" i="58"/>
  <c r="H641" i="58"/>
  <c r="I641" i="58"/>
  <c r="J641" i="58" s="1"/>
  <c r="O641" i="58"/>
  <c r="P641" i="58"/>
  <c r="H642" i="58"/>
  <c r="I642" i="58"/>
  <c r="J642" i="58" s="1"/>
  <c r="O642" i="58"/>
  <c r="P642" i="58"/>
  <c r="H1169" i="58"/>
  <c r="I1169" i="58"/>
  <c r="J1169" i="58" s="1"/>
  <c r="O1169" i="58"/>
  <c r="P1169" i="58"/>
  <c r="H644" i="58"/>
  <c r="I644" i="58"/>
  <c r="J644" i="58" s="1"/>
  <c r="O644" i="58"/>
  <c r="P644" i="58"/>
  <c r="H645" i="58"/>
  <c r="I645" i="58"/>
  <c r="O645" i="58"/>
  <c r="P645" i="58"/>
  <c r="H646" i="58"/>
  <c r="I646" i="58"/>
  <c r="J646" i="58" s="1"/>
  <c r="O646" i="58"/>
  <c r="P646" i="58"/>
  <c r="H647" i="58"/>
  <c r="I647" i="58"/>
  <c r="J647" i="58" s="1"/>
  <c r="O647" i="58"/>
  <c r="P647" i="58"/>
  <c r="H648" i="58"/>
  <c r="I648" i="58"/>
  <c r="J648" i="58" s="1"/>
  <c r="O648" i="58"/>
  <c r="P648" i="58"/>
  <c r="H649" i="58"/>
  <c r="I649" i="58"/>
  <c r="L649" i="58" s="1"/>
  <c r="O649" i="58"/>
  <c r="P649" i="58"/>
  <c r="H650" i="58"/>
  <c r="I650" i="58"/>
  <c r="O650" i="58"/>
  <c r="P650" i="58"/>
  <c r="H651" i="58"/>
  <c r="I651" i="58"/>
  <c r="J651" i="58" s="1"/>
  <c r="O651" i="58"/>
  <c r="P651" i="58"/>
  <c r="H652" i="58"/>
  <c r="I652" i="58"/>
  <c r="J652" i="58" s="1"/>
  <c r="O652" i="58"/>
  <c r="P652" i="58"/>
  <c r="H653" i="58"/>
  <c r="I653" i="58"/>
  <c r="J653" i="58" s="1"/>
  <c r="O653" i="58"/>
  <c r="P653" i="58"/>
  <c r="H654" i="58"/>
  <c r="I654" i="58"/>
  <c r="L654" i="58" s="1"/>
  <c r="O654" i="58"/>
  <c r="P654" i="58"/>
  <c r="H655" i="58"/>
  <c r="I655" i="58"/>
  <c r="J655" i="58" s="1"/>
  <c r="O655" i="58"/>
  <c r="P655" i="58"/>
  <c r="H656" i="58"/>
  <c r="I656" i="58"/>
  <c r="J656" i="58" s="1"/>
  <c r="O656" i="58"/>
  <c r="P656" i="58"/>
  <c r="H657" i="58"/>
  <c r="I657" i="58"/>
  <c r="J657" i="58" s="1"/>
  <c r="O657" i="58"/>
  <c r="P657" i="58"/>
  <c r="H658" i="58"/>
  <c r="I658" i="58"/>
  <c r="J658" i="58" s="1"/>
  <c r="O658" i="58"/>
  <c r="P658" i="58"/>
  <c r="H659" i="58"/>
  <c r="I659" i="58"/>
  <c r="J659" i="58" s="1"/>
  <c r="O659" i="58"/>
  <c r="P659" i="58"/>
  <c r="H660" i="58"/>
  <c r="I660" i="58"/>
  <c r="L660" i="58" s="1"/>
  <c r="O660" i="58"/>
  <c r="P660" i="58"/>
  <c r="H661" i="58"/>
  <c r="I661" i="58"/>
  <c r="J661" i="58" s="1"/>
  <c r="O661" i="58"/>
  <c r="P661" i="58"/>
  <c r="H662" i="58"/>
  <c r="I662" i="58"/>
  <c r="J662" i="58" s="1"/>
  <c r="O662" i="58"/>
  <c r="P662" i="58"/>
  <c r="H663" i="58"/>
  <c r="I663" i="58"/>
  <c r="J663" i="58" s="1"/>
  <c r="O663" i="58"/>
  <c r="P663" i="58"/>
  <c r="H664" i="58"/>
  <c r="I664" i="58"/>
  <c r="J664" i="58" s="1"/>
  <c r="O664" i="58"/>
  <c r="P664" i="58"/>
  <c r="H665" i="58"/>
  <c r="I665" i="58"/>
  <c r="J665" i="58" s="1"/>
  <c r="O665" i="58"/>
  <c r="P665" i="58"/>
  <c r="H666" i="58"/>
  <c r="I666" i="58"/>
  <c r="L666" i="58" s="1"/>
  <c r="O666" i="58"/>
  <c r="P666" i="58"/>
  <c r="H667" i="58"/>
  <c r="I667" i="58"/>
  <c r="J667" i="58" s="1"/>
  <c r="O667" i="58"/>
  <c r="P667" i="58"/>
  <c r="H668" i="58"/>
  <c r="I668" i="58"/>
  <c r="O668" i="58"/>
  <c r="P668" i="58"/>
  <c r="H669" i="58"/>
  <c r="I669" i="58"/>
  <c r="J669" i="58" s="1"/>
  <c r="O669" i="58"/>
  <c r="P669" i="58"/>
  <c r="H671" i="58"/>
  <c r="I671" i="58"/>
  <c r="J671" i="58" s="1"/>
  <c r="O671" i="58"/>
  <c r="P671" i="58"/>
  <c r="H672" i="58"/>
  <c r="I672" i="58"/>
  <c r="L672" i="58" s="1"/>
  <c r="O672" i="58"/>
  <c r="P672" i="58"/>
  <c r="H673" i="58"/>
  <c r="I673" i="58"/>
  <c r="O673" i="58"/>
  <c r="P673" i="58"/>
  <c r="H674" i="58"/>
  <c r="I674" i="58"/>
  <c r="O674" i="58"/>
  <c r="P674" i="58"/>
  <c r="H675" i="58"/>
  <c r="I675" i="58"/>
  <c r="L675" i="58" s="1"/>
  <c r="O675" i="58"/>
  <c r="P675" i="58"/>
  <c r="H676" i="58"/>
  <c r="I676" i="58"/>
  <c r="O676" i="58"/>
  <c r="P676" i="58"/>
  <c r="H677" i="58"/>
  <c r="I677" i="58"/>
  <c r="O677" i="58"/>
  <c r="P677" i="58"/>
  <c r="H678" i="58"/>
  <c r="I678" i="58"/>
  <c r="L678" i="58" s="1"/>
  <c r="O678" i="58"/>
  <c r="P678" i="58"/>
  <c r="H679" i="58"/>
  <c r="I679" i="58"/>
  <c r="O679" i="58"/>
  <c r="P679" i="58"/>
  <c r="H680" i="58"/>
  <c r="I680" i="58"/>
  <c r="J680" i="58" s="1"/>
  <c r="O680" i="58"/>
  <c r="P680" i="58"/>
  <c r="H681" i="58"/>
  <c r="I681" i="58"/>
  <c r="L681" i="58" s="1"/>
  <c r="O681" i="58"/>
  <c r="P681" i="58"/>
  <c r="H682" i="58"/>
  <c r="I682" i="58"/>
  <c r="O682" i="58"/>
  <c r="P682" i="58"/>
  <c r="H683" i="58"/>
  <c r="I683" i="58"/>
  <c r="O683" i="58"/>
  <c r="P683" i="58"/>
  <c r="H684" i="58"/>
  <c r="I684" i="58"/>
  <c r="L684" i="58" s="1"/>
  <c r="O684" i="58"/>
  <c r="P684" i="58"/>
  <c r="H685" i="58"/>
  <c r="I685" i="58"/>
  <c r="J685" i="58" s="1"/>
  <c r="O685" i="58"/>
  <c r="P685" i="58"/>
  <c r="H686" i="58"/>
  <c r="I686" i="58"/>
  <c r="J686" i="58" s="1"/>
  <c r="O686" i="58"/>
  <c r="P686" i="58"/>
  <c r="H687" i="58"/>
  <c r="I687" i="58"/>
  <c r="J687" i="58" s="1"/>
  <c r="O687" i="58"/>
  <c r="P687" i="58"/>
  <c r="H688" i="58"/>
  <c r="I688" i="58"/>
  <c r="J688" i="58" s="1"/>
  <c r="O688" i="58"/>
  <c r="P688" i="58"/>
  <c r="H689" i="58"/>
  <c r="I689" i="58"/>
  <c r="L689" i="58" s="1"/>
  <c r="O689" i="58"/>
  <c r="P689" i="58"/>
  <c r="H690" i="58"/>
  <c r="I690" i="58"/>
  <c r="O690" i="58"/>
  <c r="P690" i="58"/>
  <c r="H691" i="58"/>
  <c r="I691" i="58"/>
  <c r="J691" i="58" s="1"/>
  <c r="O691" i="58"/>
  <c r="P691" i="58"/>
  <c r="H692" i="58"/>
  <c r="I692" i="58"/>
  <c r="J692" i="58" s="1"/>
  <c r="O692" i="58"/>
  <c r="P692" i="58"/>
  <c r="H693" i="58"/>
  <c r="I693" i="58"/>
  <c r="L693" i="58" s="1"/>
  <c r="O693" i="58"/>
  <c r="P693" i="58"/>
  <c r="H695" i="58"/>
  <c r="I695" i="58"/>
  <c r="J695" i="58" s="1"/>
  <c r="O695" i="58"/>
  <c r="P695" i="58"/>
  <c r="H696" i="58"/>
  <c r="I696" i="58"/>
  <c r="J696" i="58" s="1"/>
  <c r="O696" i="58"/>
  <c r="P696" i="58"/>
  <c r="H697" i="58"/>
  <c r="I697" i="58"/>
  <c r="O697" i="58"/>
  <c r="P697" i="58"/>
  <c r="H698" i="58"/>
  <c r="I698" i="58"/>
  <c r="O698" i="58"/>
  <c r="P698" i="58"/>
  <c r="H699" i="58"/>
  <c r="I699" i="58"/>
  <c r="L699" i="58" s="1"/>
  <c r="O699" i="58"/>
  <c r="P699" i="58"/>
  <c r="H700" i="58"/>
  <c r="I700" i="58"/>
  <c r="J700" i="58" s="1"/>
  <c r="O700" i="58"/>
  <c r="P700" i="58"/>
  <c r="H701" i="58"/>
  <c r="I701" i="58"/>
  <c r="O701" i="58"/>
  <c r="P701" i="58"/>
  <c r="H702" i="58"/>
  <c r="I702" i="58"/>
  <c r="L702" i="58" s="1"/>
  <c r="O702" i="58"/>
  <c r="P702" i="58"/>
  <c r="H703" i="58"/>
  <c r="I703" i="58"/>
  <c r="O703" i="58"/>
  <c r="P703" i="58"/>
  <c r="H704" i="58"/>
  <c r="I704" i="58"/>
  <c r="J704" i="58" s="1"/>
  <c r="O704" i="58"/>
  <c r="P704" i="58"/>
  <c r="H705" i="58"/>
  <c r="I705" i="58"/>
  <c r="L705" i="58" s="1"/>
  <c r="O705" i="58"/>
  <c r="P705" i="58"/>
  <c r="H706" i="58"/>
  <c r="I706" i="58"/>
  <c r="O706" i="58"/>
  <c r="P706" i="58"/>
  <c r="H707" i="58"/>
  <c r="I707" i="58"/>
  <c r="J707" i="58" s="1"/>
  <c r="O707" i="58"/>
  <c r="P707" i="58"/>
  <c r="H708" i="58"/>
  <c r="I708" i="58"/>
  <c r="J708" i="58" s="1"/>
  <c r="O708" i="58"/>
  <c r="P708" i="58"/>
  <c r="H709" i="58"/>
  <c r="I709" i="58"/>
  <c r="O709" i="58"/>
  <c r="P709" i="58"/>
  <c r="H710" i="58"/>
  <c r="I710" i="58"/>
  <c r="O710" i="58"/>
  <c r="P710" i="58"/>
  <c r="H711" i="58"/>
  <c r="I711" i="58"/>
  <c r="O711" i="58"/>
  <c r="P711" i="58"/>
  <c r="H712" i="58"/>
  <c r="I712" i="58"/>
  <c r="J712" i="58" s="1"/>
  <c r="O712" i="58"/>
  <c r="P712" i="58"/>
  <c r="H713" i="58"/>
  <c r="I713" i="58"/>
  <c r="O713" i="58"/>
  <c r="P713" i="58"/>
  <c r="H714" i="58"/>
  <c r="I714" i="58"/>
  <c r="L714" i="58" s="1"/>
  <c r="O714" i="58"/>
  <c r="P714" i="58"/>
  <c r="H715" i="58"/>
  <c r="I715" i="58"/>
  <c r="J715" i="58" s="1"/>
  <c r="O715" i="58"/>
  <c r="P715" i="58"/>
  <c r="H716" i="58"/>
  <c r="I716" i="58"/>
  <c r="J716" i="58" s="1"/>
  <c r="O716" i="58"/>
  <c r="P716" i="58"/>
  <c r="H717" i="58"/>
  <c r="I717" i="58"/>
  <c r="L717" i="58" s="1"/>
  <c r="O717" i="58"/>
  <c r="P717" i="58"/>
  <c r="H718" i="58"/>
  <c r="I718" i="58"/>
  <c r="O718" i="58"/>
  <c r="P718" i="58"/>
  <c r="H719" i="58"/>
  <c r="I719" i="58"/>
  <c r="L719" i="58" s="1"/>
  <c r="O719" i="58"/>
  <c r="P719" i="58"/>
  <c r="H720" i="58"/>
  <c r="I720" i="58"/>
  <c r="O720" i="58"/>
  <c r="P720" i="58"/>
  <c r="H721" i="58"/>
  <c r="I721" i="58"/>
  <c r="J721" i="58" s="1"/>
  <c r="O721" i="58"/>
  <c r="P721" i="58"/>
  <c r="H722" i="58"/>
  <c r="I722" i="58"/>
  <c r="L722" i="58" s="1"/>
  <c r="O722" i="58"/>
  <c r="P722" i="58"/>
  <c r="H723" i="58"/>
  <c r="I723" i="58"/>
  <c r="L723" i="58" s="1"/>
  <c r="O723" i="58"/>
  <c r="P723" i="58"/>
  <c r="H724" i="58"/>
  <c r="I724" i="58"/>
  <c r="J724" i="58" s="1"/>
  <c r="O724" i="58"/>
  <c r="P724" i="58"/>
  <c r="H725" i="58"/>
  <c r="I725" i="58"/>
  <c r="J725" i="58" s="1"/>
  <c r="O725" i="58"/>
  <c r="P725" i="58"/>
  <c r="G726" i="58"/>
  <c r="H726" i="58"/>
  <c r="I726" i="58"/>
  <c r="O726" i="58"/>
  <c r="P726" i="58"/>
  <c r="H727" i="58"/>
  <c r="I727" i="58"/>
  <c r="J727" i="58" s="1"/>
  <c r="O727" i="58"/>
  <c r="P727" i="58"/>
  <c r="H728" i="58"/>
  <c r="I728" i="58"/>
  <c r="O728" i="58"/>
  <c r="P728" i="58"/>
  <c r="H729" i="58"/>
  <c r="I729" i="58"/>
  <c r="J729" i="58" s="1"/>
  <c r="O729" i="58"/>
  <c r="P729" i="58"/>
  <c r="H730" i="58"/>
  <c r="I730" i="58"/>
  <c r="O730" i="58"/>
  <c r="P730" i="58"/>
  <c r="H731" i="58"/>
  <c r="I731" i="58"/>
  <c r="O731" i="58"/>
  <c r="P731" i="58"/>
  <c r="H732" i="58"/>
  <c r="I732" i="58"/>
  <c r="J732" i="58" s="1"/>
  <c r="O732" i="58"/>
  <c r="P732" i="58"/>
  <c r="H733" i="58"/>
  <c r="I733" i="58"/>
  <c r="J733" i="58" s="1"/>
  <c r="O733" i="58"/>
  <c r="P733" i="58"/>
  <c r="H734" i="58"/>
  <c r="I734" i="58"/>
  <c r="L734" i="58" s="1"/>
  <c r="O734" i="58"/>
  <c r="P734" i="58"/>
  <c r="H735" i="58"/>
  <c r="I735" i="58"/>
  <c r="J735" i="58" s="1"/>
  <c r="O735" i="58"/>
  <c r="P735" i="58"/>
  <c r="H736" i="58"/>
  <c r="I736" i="58"/>
  <c r="J736" i="58" s="1"/>
  <c r="O736" i="58"/>
  <c r="P736" i="58"/>
  <c r="H737" i="58"/>
  <c r="I737" i="58"/>
  <c r="L737" i="58" s="1"/>
  <c r="O737" i="58"/>
  <c r="P737" i="58"/>
  <c r="H738" i="58"/>
  <c r="I738" i="58"/>
  <c r="L738" i="58" s="1"/>
  <c r="O738" i="58"/>
  <c r="P738" i="58"/>
  <c r="H739" i="58"/>
  <c r="I739" i="58"/>
  <c r="L739" i="58" s="1"/>
  <c r="O739" i="58"/>
  <c r="P739" i="58"/>
  <c r="H740" i="58"/>
  <c r="I740" i="58"/>
  <c r="L740" i="58" s="1"/>
  <c r="O740" i="58"/>
  <c r="P740" i="58"/>
  <c r="H741" i="58"/>
  <c r="I741" i="58"/>
  <c r="J741" i="58" s="1"/>
  <c r="O741" i="58"/>
  <c r="P741" i="58"/>
  <c r="H742" i="58"/>
  <c r="I742" i="58"/>
  <c r="J742" i="58" s="1"/>
  <c r="O742" i="58"/>
  <c r="P742" i="58"/>
  <c r="G743" i="58"/>
  <c r="H743" i="58"/>
  <c r="I743" i="58"/>
  <c r="L743" i="58" s="1"/>
  <c r="O743" i="58"/>
  <c r="P743" i="58"/>
  <c r="H744" i="58"/>
  <c r="I744" i="58"/>
  <c r="L744" i="58" s="1"/>
  <c r="O744" i="58"/>
  <c r="P744" i="58"/>
  <c r="H745" i="58"/>
  <c r="I745" i="58"/>
  <c r="O745" i="58"/>
  <c r="P745" i="58"/>
  <c r="H746" i="58"/>
  <c r="I746" i="58"/>
  <c r="L746" i="58" s="1"/>
  <c r="O746" i="58"/>
  <c r="P746" i="58"/>
  <c r="H747" i="58"/>
  <c r="I747" i="58"/>
  <c r="J747" i="58" s="1"/>
  <c r="O747" i="58"/>
  <c r="P747" i="58"/>
  <c r="H748" i="58"/>
  <c r="I748" i="58"/>
  <c r="J748" i="58" s="1"/>
  <c r="O748" i="58"/>
  <c r="P748" i="58"/>
  <c r="H749" i="58"/>
  <c r="I749" i="58"/>
  <c r="L749" i="58" s="1"/>
  <c r="O749" i="58"/>
  <c r="P749" i="58"/>
  <c r="H750" i="58"/>
  <c r="I750" i="58"/>
  <c r="L750" i="58" s="1"/>
  <c r="O750" i="58"/>
  <c r="P750" i="58"/>
  <c r="H751" i="58"/>
  <c r="I751" i="58"/>
  <c r="J751" i="58" s="1"/>
  <c r="O751" i="58"/>
  <c r="P751" i="58"/>
  <c r="H752" i="58"/>
  <c r="I752" i="58"/>
  <c r="L752" i="58" s="1"/>
  <c r="O752" i="58"/>
  <c r="P752" i="58"/>
  <c r="H753" i="58"/>
  <c r="I753" i="58"/>
  <c r="J753" i="58" s="1"/>
  <c r="O753" i="58"/>
  <c r="P753" i="58"/>
  <c r="H754" i="58"/>
  <c r="I754" i="58"/>
  <c r="L754" i="58" s="1"/>
  <c r="O754" i="58"/>
  <c r="P754" i="58"/>
  <c r="H755" i="58"/>
  <c r="I755" i="58"/>
  <c r="L755" i="58" s="1"/>
  <c r="O755" i="58"/>
  <c r="P755" i="58"/>
  <c r="H756" i="58"/>
  <c r="I756" i="58"/>
  <c r="O756" i="58"/>
  <c r="P756" i="58"/>
  <c r="H757" i="58"/>
  <c r="I757" i="58"/>
  <c r="J757" i="58" s="1"/>
  <c r="O757" i="58"/>
  <c r="P757" i="58"/>
  <c r="H758" i="58"/>
  <c r="I758" i="58"/>
  <c r="O758" i="58"/>
  <c r="P758" i="58"/>
  <c r="H759" i="58"/>
  <c r="I759" i="58"/>
  <c r="J759" i="58" s="1"/>
  <c r="O759" i="58"/>
  <c r="P759" i="58"/>
  <c r="H760" i="58"/>
  <c r="I760" i="58"/>
  <c r="J760" i="58" s="1"/>
  <c r="O760" i="58"/>
  <c r="P760" i="58"/>
  <c r="H761" i="58"/>
  <c r="I761" i="58"/>
  <c r="L761" i="58" s="1"/>
  <c r="O761" i="58"/>
  <c r="P761" i="58"/>
  <c r="H762" i="58"/>
  <c r="I762" i="58"/>
  <c r="L762" i="58" s="1"/>
  <c r="O762" i="58"/>
  <c r="P762" i="58"/>
  <c r="H763" i="58"/>
  <c r="I763" i="58"/>
  <c r="O763" i="58"/>
  <c r="P763" i="58"/>
  <c r="H764" i="58"/>
  <c r="I764" i="58"/>
  <c r="J764" i="58" s="1"/>
  <c r="O764" i="58"/>
  <c r="P764" i="58"/>
  <c r="H765" i="58"/>
  <c r="I765" i="58"/>
  <c r="J765" i="58" s="1"/>
  <c r="O765" i="58"/>
  <c r="P765" i="58"/>
  <c r="H766" i="58"/>
  <c r="I766" i="58"/>
  <c r="J766" i="58" s="1"/>
  <c r="O766" i="58"/>
  <c r="P766" i="58"/>
  <c r="H767" i="58"/>
  <c r="I767" i="58"/>
  <c r="O767" i="58"/>
  <c r="P767" i="58"/>
  <c r="H768" i="58"/>
  <c r="I768" i="58"/>
  <c r="L768" i="58" s="1"/>
  <c r="O768" i="58"/>
  <c r="P768" i="58"/>
  <c r="H769" i="58"/>
  <c r="I769" i="58"/>
  <c r="J769" i="58" s="1"/>
  <c r="O769" i="58"/>
  <c r="P769" i="58"/>
  <c r="H770" i="58"/>
  <c r="I770" i="58"/>
  <c r="J770" i="58" s="1"/>
  <c r="O770" i="58"/>
  <c r="P770" i="58"/>
  <c r="H771" i="58"/>
  <c r="I771" i="58"/>
  <c r="J771" i="58" s="1"/>
  <c r="O771" i="58"/>
  <c r="P771" i="58"/>
  <c r="H772" i="58"/>
  <c r="I772" i="58"/>
  <c r="J772" i="58" s="1"/>
  <c r="O772" i="58"/>
  <c r="P772" i="58"/>
  <c r="H773" i="58"/>
  <c r="I773" i="58"/>
  <c r="O773" i="58"/>
  <c r="P773" i="58"/>
  <c r="H774" i="58"/>
  <c r="I774" i="58"/>
  <c r="L774" i="58" s="1"/>
  <c r="O774" i="58"/>
  <c r="P774" i="58"/>
  <c r="H775" i="58"/>
  <c r="I775" i="58"/>
  <c r="L775" i="58" s="1"/>
  <c r="O775" i="58"/>
  <c r="P775" i="58"/>
  <c r="H776" i="58"/>
  <c r="I776" i="58"/>
  <c r="J776" i="58" s="1"/>
  <c r="O776" i="58"/>
  <c r="P776" i="58"/>
  <c r="H777" i="58"/>
  <c r="I777" i="58"/>
  <c r="O777" i="58"/>
  <c r="P777" i="58"/>
  <c r="H778" i="58"/>
  <c r="I778" i="58"/>
  <c r="J778" i="58" s="1"/>
  <c r="O778" i="58"/>
  <c r="P778" i="58"/>
  <c r="H779" i="58"/>
  <c r="I779" i="58"/>
  <c r="L779" i="58" s="1"/>
  <c r="O779" i="58"/>
  <c r="P779" i="58"/>
  <c r="H780" i="58"/>
  <c r="I780" i="58"/>
  <c r="L780" i="58" s="1"/>
  <c r="O780" i="58"/>
  <c r="P780" i="58"/>
  <c r="H781" i="58"/>
  <c r="I781" i="58"/>
  <c r="O781" i="58"/>
  <c r="P781" i="58"/>
  <c r="H782" i="58"/>
  <c r="I782" i="58"/>
  <c r="J782" i="58" s="1"/>
  <c r="O782" i="58"/>
  <c r="P782" i="58"/>
  <c r="H783" i="58"/>
  <c r="I783" i="58"/>
  <c r="O783" i="58"/>
  <c r="P783" i="58"/>
  <c r="H784" i="58"/>
  <c r="I784" i="58"/>
  <c r="J784" i="58" s="1"/>
  <c r="O784" i="58"/>
  <c r="P784" i="58"/>
  <c r="H785" i="58"/>
  <c r="I785" i="58"/>
  <c r="L785" i="58" s="1"/>
  <c r="O785" i="58"/>
  <c r="P785" i="58"/>
  <c r="H786" i="58"/>
  <c r="I786" i="58"/>
  <c r="L786" i="58" s="1"/>
  <c r="O786" i="58"/>
  <c r="P786" i="58"/>
  <c r="H787" i="58"/>
  <c r="I787" i="58"/>
  <c r="O787" i="58"/>
  <c r="P787" i="58"/>
  <c r="H788" i="58"/>
  <c r="I788" i="58"/>
  <c r="O788" i="58"/>
  <c r="P788" i="58"/>
  <c r="H789" i="58"/>
  <c r="I789" i="58"/>
  <c r="O789" i="58"/>
  <c r="P789" i="58"/>
  <c r="H790" i="58"/>
  <c r="I790" i="58"/>
  <c r="J790" i="58" s="1"/>
  <c r="O790" i="58"/>
  <c r="P790" i="58"/>
  <c r="H791" i="58"/>
  <c r="I791" i="58"/>
  <c r="L791" i="58" s="1"/>
  <c r="O791" i="58"/>
  <c r="P791" i="58"/>
  <c r="H792" i="58"/>
  <c r="I792" i="58"/>
  <c r="L792" i="58" s="1"/>
  <c r="O792" i="58"/>
  <c r="P792" i="58"/>
  <c r="H793" i="58"/>
  <c r="I793" i="58"/>
  <c r="O793" i="58"/>
  <c r="P793" i="58"/>
  <c r="H794" i="58"/>
  <c r="I794" i="58"/>
  <c r="O794" i="58"/>
  <c r="P794" i="58"/>
  <c r="H795" i="58"/>
  <c r="I795" i="58"/>
  <c r="J795" i="58" s="1"/>
  <c r="O795" i="58"/>
  <c r="P795" i="58"/>
  <c r="H796" i="58"/>
  <c r="I796" i="58"/>
  <c r="J796" i="58" s="1"/>
  <c r="O796" i="58"/>
  <c r="P796" i="58"/>
  <c r="H797" i="58"/>
  <c r="I797" i="58"/>
  <c r="L797" i="58" s="1"/>
  <c r="O797" i="58"/>
  <c r="P797" i="58"/>
  <c r="H798" i="58"/>
  <c r="I798" i="58"/>
  <c r="L798" i="58" s="1"/>
  <c r="O798" i="58"/>
  <c r="P798" i="58"/>
  <c r="H799" i="58"/>
  <c r="I799" i="58"/>
  <c r="J799" i="58" s="1"/>
  <c r="O799" i="58"/>
  <c r="P799" i="58"/>
  <c r="H800" i="58"/>
  <c r="I800" i="58"/>
  <c r="O800" i="58"/>
  <c r="P800" i="58"/>
  <c r="H801" i="58"/>
  <c r="I801" i="58"/>
  <c r="O801" i="58"/>
  <c r="P801" i="58"/>
  <c r="H802" i="58"/>
  <c r="I802" i="58"/>
  <c r="J802" i="58" s="1"/>
  <c r="O802" i="58"/>
  <c r="P802" i="58"/>
  <c r="H803" i="58"/>
  <c r="I803" i="58"/>
  <c r="L803" i="58" s="1"/>
  <c r="O803" i="58"/>
  <c r="P803" i="58"/>
  <c r="H804" i="58"/>
  <c r="I804" i="58"/>
  <c r="O804" i="58"/>
  <c r="P804" i="58"/>
  <c r="H805" i="58"/>
  <c r="I805" i="58"/>
  <c r="J805" i="58" s="1"/>
  <c r="O805" i="58"/>
  <c r="P805" i="58"/>
  <c r="H806" i="58"/>
  <c r="I806" i="58"/>
  <c r="O806" i="58"/>
  <c r="P806" i="58"/>
  <c r="H807" i="58"/>
  <c r="I807" i="58"/>
  <c r="O807" i="58"/>
  <c r="P807" i="58"/>
  <c r="H808" i="58"/>
  <c r="I808" i="58"/>
  <c r="J808" i="58" s="1"/>
  <c r="O808" i="58"/>
  <c r="P808" i="58"/>
  <c r="H809" i="58"/>
  <c r="I809" i="58"/>
  <c r="J809" i="58" s="1"/>
  <c r="O809" i="58"/>
  <c r="P809" i="58"/>
  <c r="H810" i="58"/>
  <c r="I810" i="58"/>
  <c r="J810" i="58" s="1"/>
  <c r="O810" i="58"/>
  <c r="P810" i="58"/>
  <c r="H811" i="58"/>
  <c r="I811" i="58"/>
  <c r="J811" i="58" s="1"/>
  <c r="O811" i="58"/>
  <c r="P811" i="58"/>
  <c r="H812" i="58"/>
  <c r="I812" i="58"/>
  <c r="J812" i="58" s="1"/>
  <c r="O812" i="58"/>
  <c r="P812" i="58"/>
  <c r="H813" i="58"/>
  <c r="I813" i="58"/>
  <c r="J813" i="58" s="1"/>
  <c r="O813" i="58"/>
  <c r="P813" i="58"/>
  <c r="H814" i="58"/>
  <c r="I814" i="58"/>
  <c r="J814" i="58" s="1"/>
  <c r="O814" i="58"/>
  <c r="P814" i="58"/>
  <c r="H815" i="58"/>
  <c r="I815" i="58"/>
  <c r="J815" i="58" s="1"/>
  <c r="O815" i="58"/>
  <c r="P815" i="58"/>
  <c r="H816" i="58"/>
  <c r="I816" i="58"/>
  <c r="J816" i="58" s="1"/>
  <c r="O816" i="58"/>
  <c r="P816" i="58"/>
  <c r="H817" i="58"/>
  <c r="I817" i="58"/>
  <c r="J817" i="58" s="1"/>
  <c r="O817" i="58"/>
  <c r="P817" i="58"/>
  <c r="H818" i="58"/>
  <c r="I818" i="58"/>
  <c r="O818" i="58"/>
  <c r="P818" i="58"/>
  <c r="H819" i="58"/>
  <c r="I819" i="58"/>
  <c r="O819" i="58"/>
  <c r="P819" i="58"/>
  <c r="H820" i="58"/>
  <c r="I820" i="58"/>
  <c r="J820" i="58" s="1"/>
  <c r="O820" i="58"/>
  <c r="P820" i="58"/>
  <c r="H821" i="58"/>
  <c r="I821" i="58"/>
  <c r="L821" i="58" s="1"/>
  <c r="O821" i="58"/>
  <c r="P821" i="58"/>
  <c r="H822" i="58"/>
  <c r="I822" i="58"/>
  <c r="O822" i="58"/>
  <c r="P822" i="58"/>
  <c r="H823" i="58"/>
  <c r="I823" i="58"/>
  <c r="J823" i="58" s="1"/>
  <c r="O823" i="58"/>
  <c r="P823" i="58"/>
  <c r="H824" i="58"/>
  <c r="I824" i="58"/>
  <c r="J824" i="58" s="1"/>
  <c r="O824" i="58"/>
  <c r="P824" i="58"/>
  <c r="H825" i="58"/>
  <c r="I825" i="58"/>
  <c r="J825" i="58" s="1"/>
  <c r="O825" i="58"/>
  <c r="P825" i="58"/>
  <c r="H826" i="58"/>
  <c r="I826" i="58"/>
  <c r="J826" i="58" s="1"/>
  <c r="O826" i="58"/>
  <c r="P826" i="58"/>
  <c r="H827" i="58"/>
  <c r="I827" i="58"/>
  <c r="L827" i="58" s="1"/>
  <c r="O827" i="58"/>
  <c r="P827" i="58"/>
  <c r="H828" i="58"/>
  <c r="I828" i="58"/>
  <c r="J828" i="58" s="1"/>
  <c r="O828" i="58"/>
  <c r="P828" i="58"/>
  <c r="H829" i="58"/>
  <c r="I829" i="58"/>
  <c r="O829" i="58"/>
  <c r="P829" i="58"/>
  <c r="H830" i="58"/>
  <c r="I830" i="58"/>
  <c r="J830" i="58" s="1"/>
  <c r="O830" i="58"/>
  <c r="P830" i="58"/>
  <c r="H831" i="58"/>
  <c r="I831" i="58"/>
  <c r="J831" i="58" s="1"/>
  <c r="O831" i="58"/>
  <c r="P831" i="58"/>
  <c r="H832" i="58"/>
  <c r="I832" i="58"/>
  <c r="J832" i="58" s="1"/>
  <c r="O832" i="58"/>
  <c r="P832" i="58"/>
  <c r="H833" i="58"/>
  <c r="I833" i="58"/>
  <c r="O833" i="58"/>
  <c r="P833" i="58"/>
  <c r="H834" i="58"/>
  <c r="I834" i="58"/>
  <c r="J834" i="58" s="1"/>
  <c r="O834" i="58"/>
  <c r="P834" i="58"/>
  <c r="H835" i="58"/>
  <c r="I835" i="58"/>
  <c r="J835" i="58" s="1"/>
  <c r="O835" i="58"/>
  <c r="P835" i="58"/>
  <c r="H836" i="58"/>
  <c r="I836" i="58"/>
  <c r="J836" i="58" s="1"/>
  <c r="O836" i="58"/>
  <c r="P836" i="58"/>
  <c r="H837" i="58"/>
  <c r="I837" i="58"/>
  <c r="J837" i="58" s="1"/>
  <c r="O837" i="58"/>
  <c r="P837" i="58"/>
  <c r="H838" i="58"/>
  <c r="I838" i="58"/>
  <c r="J838" i="58" s="1"/>
  <c r="O838" i="58"/>
  <c r="P838" i="58"/>
  <c r="H839" i="58"/>
  <c r="I839" i="58"/>
  <c r="L839" i="58" s="1"/>
  <c r="O839" i="58"/>
  <c r="P839" i="58"/>
  <c r="H840" i="58"/>
  <c r="I840" i="58"/>
  <c r="O840" i="58"/>
  <c r="P840" i="58"/>
  <c r="H841" i="58"/>
  <c r="I841" i="58"/>
  <c r="J841" i="58" s="1"/>
  <c r="O841" i="58"/>
  <c r="P841" i="58"/>
  <c r="H842" i="58"/>
  <c r="I842" i="58"/>
  <c r="J842" i="58" s="1"/>
  <c r="O842" i="58"/>
  <c r="P842" i="58"/>
  <c r="H843" i="58"/>
  <c r="I843" i="58"/>
  <c r="J843" i="58" s="1"/>
  <c r="O843" i="58"/>
  <c r="P843" i="58"/>
  <c r="H844" i="58"/>
  <c r="I844" i="58"/>
  <c r="J844" i="58" s="1"/>
  <c r="O844" i="58"/>
  <c r="P844" i="58"/>
  <c r="H845" i="58"/>
  <c r="I845" i="58"/>
  <c r="J845" i="58" s="1"/>
  <c r="O845" i="58"/>
  <c r="P845" i="58"/>
  <c r="H846" i="58"/>
  <c r="I846" i="58"/>
  <c r="J846" i="58" s="1"/>
  <c r="O846" i="58"/>
  <c r="P846" i="58"/>
  <c r="H847" i="58"/>
  <c r="I847" i="58"/>
  <c r="J847" i="58" s="1"/>
  <c r="O847" i="58"/>
  <c r="P847" i="58"/>
  <c r="H848" i="58"/>
  <c r="I848" i="58"/>
  <c r="J848" i="58" s="1"/>
  <c r="O848" i="58"/>
  <c r="P848" i="58"/>
  <c r="H849" i="58"/>
  <c r="I849" i="58"/>
  <c r="L849" i="58" s="1"/>
  <c r="O849" i="58"/>
  <c r="P849" i="58"/>
  <c r="H850" i="58"/>
  <c r="I850" i="58"/>
  <c r="J850" i="58" s="1"/>
  <c r="O850" i="58"/>
  <c r="P850" i="58"/>
  <c r="H851" i="58"/>
  <c r="I851" i="58"/>
  <c r="J851" i="58" s="1"/>
  <c r="O851" i="58"/>
  <c r="P851" i="58"/>
  <c r="H852" i="58"/>
  <c r="I852" i="58"/>
  <c r="J852" i="58" s="1"/>
  <c r="O852" i="58"/>
  <c r="P852" i="58"/>
  <c r="H853" i="58"/>
  <c r="I853" i="58"/>
  <c r="O853" i="58"/>
  <c r="P853" i="58"/>
  <c r="H855" i="58"/>
  <c r="I855" i="58"/>
  <c r="L855" i="58" s="1"/>
  <c r="O855" i="58"/>
  <c r="P855" i="58"/>
  <c r="H856" i="58"/>
  <c r="I856" i="58"/>
  <c r="J856" i="58" s="1"/>
  <c r="O856" i="58"/>
  <c r="P856" i="58"/>
  <c r="H857" i="58"/>
  <c r="I857" i="58"/>
  <c r="J857" i="58" s="1"/>
  <c r="O857" i="58"/>
  <c r="P857" i="58"/>
  <c r="H858" i="58"/>
  <c r="I858" i="58"/>
  <c r="O858" i="58"/>
  <c r="P858" i="58"/>
  <c r="H859" i="58"/>
  <c r="I859" i="58"/>
  <c r="J859" i="58" s="1"/>
  <c r="O859" i="58"/>
  <c r="P859" i="58"/>
  <c r="H860" i="58"/>
  <c r="I860" i="58"/>
  <c r="L860" i="58" s="1"/>
  <c r="O860" i="58"/>
  <c r="P860" i="58"/>
  <c r="H861" i="58"/>
  <c r="I861" i="58"/>
  <c r="J861" i="58" s="1"/>
  <c r="O861" i="58"/>
  <c r="P861" i="58"/>
  <c r="H862" i="58"/>
  <c r="I862" i="58"/>
  <c r="J862" i="58" s="1"/>
  <c r="O862" i="58"/>
  <c r="P862" i="58"/>
  <c r="H863" i="58"/>
  <c r="I863" i="58"/>
  <c r="O863" i="58"/>
  <c r="P863" i="58"/>
  <c r="H864" i="58"/>
  <c r="I864" i="58"/>
  <c r="J864" i="58" s="1"/>
  <c r="O864" i="58"/>
  <c r="P864" i="58"/>
  <c r="H865" i="58"/>
  <c r="I865" i="58"/>
  <c r="J865" i="58" s="1"/>
  <c r="O865" i="58"/>
  <c r="P865" i="58"/>
  <c r="H866" i="58"/>
  <c r="I866" i="58"/>
  <c r="L866" i="58" s="1"/>
  <c r="O866" i="58"/>
  <c r="P866" i="58"/>
  <c r="H867" i="58"/>
  <c r="I867" i="58"/>
  <c r="J867" i="58" s="1"/>
  <c r="O867" i="58"/>
  <c r="P867" i="58"/>
  <c r="H868" i="58"/>
  <c r="I868" i="58"/>
  <c r="O868" i="58"/>
  <c r="P868" i="58"/>
  <c r="H869" i="58"/>
  <c r="I869" i="58"/>
  <c r="L869" i="58" s="1"/>
  <c r="O869" i="58"/>
  <c r="P869" i="58"/>
  <c r="H870" i="58"/>
  <c r="I870" i="58"/>
  <c r="L870" i="58" s="1"/>
  <c r="O870" i="58"/>
  <c r="P870" i="58"/>
  <c r="H871" i="58"/>
  <c r="I871" i="58"/>
  <c r="J871" i="58" s="1"/>
  <c r="O871" i="58"/>
  <c r="P871" i="58"/>
  <c r="H872" i="58"/>
  <c r="I872" i="58"/>
  <c r="L872" i="58" s="1"/>
  <c r="O872" i="58"/>
  <c r="P872" i="58"/>
  <c r="H873" i="58"/>
  <c r="I873" i="58"/>
  <c r="J873" i="58" s="1"/>
  <c r="O873" i="58"/>
  <c r="P873" i="58"/>
  <c r="H874" i="58"/>
  <c r="I874" i="58"/>
  <c r="O874" i="58"/>
  <c r="P874" i="58"/>
  <c r="H875" i="58"/>
  <c r="I875" i="58"/>
  <c r="J875" i="58" s="1"/>
  <c r="O875" i="58"/>
  <c r="P875" i="58"/>
  <c r="H876" i="58"/>
  <c r="I876" i="58"/>
  <c r="L876" i="58" s="1"/>
  <c r="O876" i="58"/>
  <c r="P876" i="58"/>
  <c r="H877" i="58"/>
  <c r="I877" i="58"/>
  <c r="J877" i="58" s="1"/>
  <c r="O877" i="58"/>
  <c r="P877" i="58"/>
  <c r="H878" i="58"/>
  <c r="I878" i="58"/>
  <c r="O878" i="58"/>
  <c r="P878" i="58"/>
  <c r="H879" i="58"/>
  <c r="I879" i="58"/>
  <c r="J879" i="58" s="1"/>
  <c r="O879" i="58"/>
  <c r="P879" i="58"/>
  <c r="H880" i="58"/>
  <c r="I880" i="58"/>
  <c r="O880" i="58"/>
  <c r="P880" i="58"/>
  <c r="H881" i="58"/>
  <c r="I881" i="58"/>
  <c r="J881" i="58" s="1"/>
  <c r="O881" i="58"/>
  <c r="P881" i="58"/>
  <c r="H882" i="58"/>
  <c r="I882" i="58"/>
  <c r="L882" i="58" s="1"/>
  <c r="O882" i="58"/>
  <c r="P882" i="58"/>
  <c r="H883" i="58"/>
  <c r="I883" i="58"/>
  <c r="J883" i="58" s="1"/>
  <c r="O883" i="58"/>
  <c r="P883" i="58"/>
  <c r="H884" i="58"/>
  <c r="I884" i="58"/>
  <c r="L884" i="58" s="1"/>
  <c r="O884" i="58"/>
  <c r="P884" i="58"/>
  <c r="H885" i="58"/>
  <c r="I885" i="58"/>
  <c r="L885" i="58" s="1"/>
  <c r="O885" i="58"/>
  <c r="P885" i="58"/>
  <c r="H886" i="58"/>
  <c r="I886" i="58"/>
  <c r="O886" i="58"/>
  <c r="P886" i="58"/>
  <c r="H887" i="58"/>
  <c r="I887" i="58"/>
  <c r="J887" i="58" s="1"/>
  <c r="O887" i="58"/>
  <c r="P887" i="58"/>
  <c r="H888" i="58"/>
  <c r="I888" i="58"/>
  <c r="L888" i="58" s="1"/>
  <c r="O888" i="58"/>
  <c r="P888" i="58"/>
  <c r="H889" i="58"/>
  <c r="I889" i="58"/>
  <c r="J889" i="58" s="1"/>
  <c r="O889" i="58"/>
  <c r="P889" i="58"/>
  <c r="H890" i="58"/>
  <c r="I890" i="58"/>
  <c r="L890" i="58" s="1"/>
  <c r="O890" i="58"/>
  <c r="P890" i="58"/>
  <c r="H891" i="58"/>
  <c r="I891" i="58"/>
  <c r="J891" i="58" s="1"/>
  <c r="O891" i="58"/>
  <c r="P891" i="58"/>
  <c r="H892" i="58"/>
  <c r="I892" i="58"/>
  <c r="O892" i="58"/>
  <c r="P892" i="58"/>
  <c r="H893" i="58"/>
  <c r="I893" i="58"/>
  <c r="J893" i="58" s="1"/>
  <c r="O893" i="58"/>
  <c r="P893" i="58"/>
  <c r="H894" i="58"/>
  <c r="I894" i="58"/>
  <c r="O894" i="58"/>
  <c r="P894" i="58"/>
  <c r="H895" i="58"/>
  <c r="I895" i="58"/>
  <c r="O895" i="58"/>
  <c r="P895" i="58"/>
  <c r="H896" i="58"/>
  <c r="I896" i="58"/>
  <c r="L896" i="58" s="1"/>
  <c r="O896" i="58"/>
  <c r="P896" i="58"/>
  <c r="H897" i="58"/>
  <c r="I897" i="58"/>
  <c r="J897" i="58" s="1"/>
  <c r="O897" i="58"/>
  <c r="P897" i="58"/>
  <c r="H898" i="58"/>
  <c r="I898" i="58"/>
  <c r="O898" i="58"/>
  <c r="P898" i="58"/>
  <c r="H899" i="58"/>
  <c r="I899" i="58"/>
  <c r="J899" i="58" s="1"/>
  <c r="O899" i="58"/>
  <c r="P899" i="58"/>
  <c r="H900" i="58"/>
  <c r="I900" i="58"/>
  <c r="J900" i="58" s="1"/>
  <c r="O900" i="58"/>
  <c r="P900" i="58"/>
  <c r="H901" i="58"/>
  <c r="I901" i="58"/>
  <c r="J901" i="58" s="1"/>
  <c r="O901" i="58"/>
  <c r="P901" i="58"/>
  <c r="H902" i="58"/>
  <c r="I902" i="58"/>
  <c r="L902" i="58" s="1"/>
  <c r="O902" i="58"/>
  <c r="P902" i="58"/>
  <c r="H903" i="58"/>
  <c r="I903" i="58"/>
  <c r="J903" i="58" s="1"/>
  <c r="O903" i="58"/>
  <c r="P903" i="58"/>
  <c r="H904" i="58"/>
  <c r="I904" i="58"/>
  <c r="O904" i="58"/>
  <c r="P904" i="58"/>
  <c r="H905" i="58"/>
  <c r="I905" i="58"/>
  <c r="J905" i="58" s="1"/>
  <c r="O905" i="58"/>
  <c r="P905" i="58"/>
  <c r="H906" i="58"/>
  <c r="I906" i="58"/>
  <c r="J906" i="58" s="1"/>
  <c r="O906" i="58"/>
  <c r="P906" i="58"/>
  <c r="H907" i="58"/>
  <c r="I907" i="58"/>
  <c r="J907" i="58" s="1"/>
  <c r="O907" i="58"/>
  <c r="P907" i="58"/>
  <c r="H908" i="58"/>
  <c r="I908" i="58"/>
  <c r="J908" i="58" s="1"/>
  <c r="O908" i="58"/>
  <c r="P908" i="58"/>
  <c r="H909" i="58"/>
  <c r="I909" i="58"/>
  <c r="O909" i="58"/>
  <c r="P909" i="58"/>
  <c r="H910" i="58"/>
  <c r="I910" i="58"/>
  <c r="O910" i="58"/>
  <c r="P910" i="58"/>
  <c r="H911" i="58"/>
  <c r="I911" i="58"/>
  <c r="O911" i="58"/>
  <c r="P911" i="58"/>
  <c r="H912" i="58"/>
  <c r="I912" i="58"/>
  <c r="O912" i="58"/>
  <c r="P912" i="58"/>
  <c r="H913" i="58"/>
  <c r="I913" i="58"/>
  <c r="J913" i="58" s="1"/>
  <c r="O913" i="58"/>
  <c r="P913" i="58"/>
  <c r="H914" i="58"/>
  <c r="I914" i="58"/>
  <c r="L914" i="58" s="1"/>
  <c r="O914" i="58"/>
  <c r="P914" i="58"/>
  <c r="H915" i="58"/>
  <c r="I915" i="58"/>
  <c r="L915" i="58" s="1"/>
  <c r="O915" i="58"/>
  <c r="P915" i="58"/>
  <c r="H916" i="58"/>
  <c r="I916" i="58"/>
  <c r="O916" i="58"/>
  <c r="P916" i="58"/>
  <c r="H917" i="58"/>
  <c r="I917" i="58"/>
  <c r="O917" i="58"/>
  <c r="P917" i="58"/>
  <c r="H918" i="58"/>
  <c r="I918" i="58"/>
  <c r="J918" i="58" s="1"/>
  <c r="O918" i="58"/>
  <c r="P918" i="58"/>
  <c r="H919" i="58"/>
  <c r="I919" i="58"/>
  <c r="O919" i="58"/>
  <c r="P919" i="58"/>
  <c r="H920" i="58"/>
  <c r="I920" i="58"/>
  <c r="L920" i="58" s="1"/>
  <c r="O920" i="58"/>
  <c r="P920" i="58"/>
  <c r="H921" i="58"/>
  <c r="I921" i="58"/>
  <c r="O921" i="58"/>
  <c r="P921" i="58"/>
  <c r="H922" i="58"/>
  <c r="I922" i="58"/>
  <c r="O922" i="58"/>
  <c r="P922" i="58"/>
  <c r="H923" i="58"/>
  <c r="I923" i="58"/>
  <c r="O923" i="58"/>
  <c r="P923" i="58"/>
  <c r="H924" i="58"/>
  <c r="I924" i="58"/>
  <c r="J924" i="58" s="1"/>
  <c r="O924" i="58"/>
  <c r="P924" i="58"/>
  <c r="H925" i="58"/>
  <c r="I925" i="58"/>
  <c r="J925" i="58" s="1"/>
  <c r="O925" i="58"/>
  <c r="P925" i="58"/>
  <c r="H926" i="58"/>
  <c r="I926" i="58"/>
  <c r="J926" i="58" s="1"/>
  <c r="O926" i="58"/>
  <c r="P926" i="58"/>
  <c r="H927" i="58"/>
  <c r="I927" i="58"/>
  <c r="L927" i="58" s="1"/>
  <c r="O927" i="58"/>
  <c r="P927" i="58"/>
  <c r="H928" i="58"/>
  <c r="I928" i="58"/>
  <c r="J928" i="58" s="1"/>
  <c r="O928" i="58"/>
  <c r="P928" i="58"/>
  <c r="H929" i="58"/>
  <c r="I929" i="58"/>
  <c r="J929" i="58" s="1"/>
  <c r="O929" i="58"/>
  <c r="P929" i="58"/>
  <c r="H931" i="58"/>
  <c r="I931" i="58"/>
  <c r="O931" i="58"/>
  <c r="P931" i="58"/>
  <c r="H932" i="58"/>
  <c r="I932" i="58"/>
  <c r="J932" i="58" s="1"/>
  <c r="O932" i="58"/>
  <c r="P932" i="58"/>
  <c r="H933" i="58"/>
  <c r="I933" i="58"/>
  <c r="J933" i="58" s="1"/>
  <c r="O933" i="58"/>
  <c r="P933" i="58"/>
  <c r="H934" i="58"/>
  <c r="I934" i="58"/>
  <c r="J934" i="58" s="1"/>
  <c r="O934" i="58"/>
  <c r="P934" i="58"/>
  <c r="H935" i="58"/>
  <c r="I935" i="58"/>
  <c r="J935" i="58" s="1"/>
  <c r="O935" i="58"/>
  <c r="P935" i="58"/>
  <c r="H936" i="58"/>
  <c r="I936" i="58"/>
  <c r="J936" i="58" s="1"/>
  <c r="O936" i="58"/>
  <c r="P936" i="58"/>
  <c r="H937" i="58"/>
  <c r="I937" i="58"/>
  <c r="O937" i="58"/>
  <c r="P937" i="58"/>
  <c r="H938" i="58"/>
  <c r="I938" i="58"/>
  <c r="J938" i="58" s="1"/>
  <c r="O938" i="58"/>
  <c r="P938" i="58"/>
  <c r="H939" i="58"/>
  <c r="I939" i="58"/>
  <c r="J939" i="58" s="1"/>
  <c r="O939" i="58"/>
  <c r="P939" i="58"/>
  <c r="H940" i="58"/>
  <c r="I940" i="58"/>
  <c r="J940" i="58" s="1"/>
  <c r="O940" i="58"/>
  <c r="P940" i="58"/>
  <c r="H941" i="58"/>
  <c r="I941" i="58"/>
  <c r="J941" i="58" s="1"/>
  <c r="O941" i="58"/>
  <c r="P941" i="58"/>
  <c r="H942" i="58"/>
  <c r="I942" i="58"/>
  <c r="J942" i="58" s="1"/>
  <c r="O942" i="58"/>
  <c r="P942" i="58"/>
  <c r="H943" i="58"/>
  <c r="I943" i="58"/>
  <c r="O943" i="58"/>
  <c r="P943" i="58"/>
  <c r="H944" i="58"/>
  <c r="I944" i="58"/>
  <c r="L944" i="58" s="1"/>
  <c r="O944" i="58"/>
  <c r="P944" i="58"/>
  <c r="H945" i="58"/>
  <c r="I945" i="58"/>
  <c r="J945" i="58" s="1"/>
  <c r="O945" i="58"/>
  <c r="P945" i="58"/>
  <c r="H946" i="58"/>
  <c r="I946" i="58"/>
  <c r="J946" i="58" s="1"/>
  <c r="O946" i="58"/>
  <c r="P946" i="58"/>
  <c r="H947" i="58"/>
  <c r="I947" i="58"/>
  <c r="O947" i="58"/>
  <c r="P947" i="58"/>
  <c r="H948" i="58"/>
  <c r="I948" i="58"/>
  <c r="J948" i="58" s="1"/>
  <c r="O948" i="58"/>
  <c r="P948" i="58"/>
  <c r="H949" i="58"/>
  <c r="I949" i="58"/>
  <c r="J949" i="58" s="1"/>
  <c r="O949" i="58"/>
  <c r="P949" i="58"/>
  <c r="H950" i="58"/>
  <c r="I950" i="58"/>
  <c r="J950" i="58" s="1"/>
  <c r="O950" i="58"/>
  <c r="P950" i="58"/>
  <c r="H951" i="58"/>
  <c r="I951" i="58"/>
  <c r="O951" i="58"/>
  <c r="P951" i="58"/>
  <c r="H952" i="58"/>
  <c r="I952" i="58"/>
  <c r="J952" i="58" s="1"/>
  <c r="O952" i="58"/>
  <c r="P952" i="58"/>
  <c r="H953" i="58"/>
  <c r="I953" i="58"/>
  <c r="J953" i="58" s="1"/>
  <c r="O953" i="58"/>
  <c r="P953" i="58"/>
  <c r="H954" i="58"/>
  <c r="I954" i="58"/>
  <c r="J954" i="58" s="1"/>
  <c r="O954" i="58"/>
  <c r="P954" i="58"/>
  <c r="H955" i="58"/>
  <c r="I955" i="58"/>
  <c r="O955" i="58"/>
  <c r="P955" i="58"/>
  <c r="H956" i="58"/>
  <c r="I956" i="58"/>
  <c r="J956" i="58" s="1"/>
  <c r="O956" i="58"/>
  <c r="P956" i="58"/>
  <c r="H957" i="58"/>
  <c r="I957" i="58"/>
  <c r="O957" i="58"/>
  <c r="P957" i="58"/>
  <c r="H958" i="58"/>
  <c r="I958" i="58"/>
  <c r="J958" i="58" s="1"/>
  <c r="O958" i="58"/>
  <c r="P958" i="58"/>
  <c r="H959" i="58"/>
  <c r="I959" i="58"/>
  <c r="O959" i="58"/>
  <c r="P959" i="58"/>
  <c r="H960" i="58"/>
  <c r="I960" i="58"/>
  <c r="J960" i="58" s="1"/>
  <c r="O960" i="58"/>
  <c r="P960" i="58"/>
  <c r="H961" i="58"/>
  <c r="I961" i="58"/>
  <c r="O961" i="58"/>
  <c r="P961" i="58"/>
  <c r="H962" i="58"/>
  <c r="I962" i="58"/>
  <c r="J962" i="58" s="1"/>
  <c r="O962" i="58"/>
  <c r="P962" i="58"/>
  <c r="H963" i="58"/>
  <c r="I963" i="58"/>
  <c r="J963" i="58" s="1"/>
  <c r="O963" i="58"/>
  <c r="P963" i="58"/>
  <c r="H964" i="58"/>
  <c r="I964" i="58"/>
  <c r="J964" i="58" s="1"/>
  <c r="O964" i="58"/>
  <c r="P964" i="58"/>
  <c r="H965" i="58"/>
  <c r="I965" i="58"/>
  <c r="J965" i="58" s="1"/>
  <c r="O965" i="58"/>
  <c r="P965" i="58"/>
  <c r="H966" i="58"/>
  <c r="I966" i="58"/>
  <c r="J966" i="58" s="1"/>
  <c r="O966" i="58"/>
  <c r="P966" i="58"/>
  <c r="H967" i="58"/>
  <c r="I967" i="58"/>
  <c r="O967" i="58"/>
  <c r="P967" i="58"/>
  <c r="H968" i="58"/>
  <c r="I968" i="58"/>
  <c r="L968" i="58" s="1"/>
  <c r="O968" i="58"/>
  <c r="P968" i="58"/>
  <c r="H969" i="58"/>
  <c r="I969" i="58"/>
  <c r="O969" i="58"/>
  <c r="P969" i="58"/>
  <c r="H970" i="58"/>
  <c r="I970" i="58"/>
  <c r="J970" i="58" s="1"/>
  <c r="O970" i="58"/>
  <c r="P970" i="58"/>
  <c r="H971" i="58"/>
  <c r="I971" i="58"/>
  <c r="J971" i="58" s="1"/>
  <c r="O971" i="58"/>
  <c r="P971" i="58"/>
  <c r="H972" i="58"/>
  <c r="I972" i="58"/>
  <c r="J972" i="58" s="1"/>
  <c r="O972" i="58"/>
  <c r="P972" i="58"/>
  <c r="H973" i="58"/>
  <c r="I973" i="58"/>
  <c r="J973" i="58" s="1"/>
  <c r="O973" i="58"/>
  <c r="P973" i="58"/>
  <c r="H974" i="58"/>
  <c r="I974" i="58"/>
  <c r="J974" i="58" s="1"/>
  <c r="O974" i="58"/>
  <c r="P974" i="58"/>
  <c r="H975" i="58"/>
  <c r="I975" i="58"/>
  <c r="L975" i="58" s="1"/>
  <c r="O975" i="58"/>
  <c r="P975" i="58"/>
  <c r="H976" i="58"/>
  <c r="I976" i="58"/>
  <c r="J976" i="58" s="1"/>
  <c r="O976" i="58"/>
  <c r="P976" i="58"/>
  <c r="H977" i="58"/>
  <c r="I977" i="58"/>
  <c r="J977" i="58" s="1"/>
  <c r="O977" i="58"/>
  <c r="P977" i="58"/>
  <c r="H978" i="58"/>
  <c r="I978" i="58"/>
  <c r="J978" i="58" s="1"/>
  <c r="O978" i="58"/>
  <c r="P978" i="58"/>
  <c r="H979" i="58"/>
  <c r="I979" i="58"/>
  <c r="J979" i="58" s="1"/>
  <c r="O979" i="58"/>
  <c r="P979" i="58"/>
  <c r="H980" i="58"/>
  <c r="I980" i="58"/>
  <c r="J980" i="58" s="1"/>
  <c r="O980" i="58"/>
  <c r="P980" i="58"/>
  <c r="H981" i="58"/>
  <c r="I981" i="58"/>
  <c r="J981" i="58" s="1"/>
  <c r="O981" i="58"/>
  <c r="P981" i="58"/>
  <c r="H982" i="58"/>
  <c r="I982" i="58"/>
  <c r="J982" i="58" s="1"/>
  <c r="O982" i="58"/>
  <c r="P982" i="58"/>
  <c r="H983" i="58"/>
  <c r="I983" i="58"/>
  <c r="O983" i="58"/>
  <c r="P983" i="58"/>
  <c r="H984" i="58"/>
  <c r="I984" i="58"/>
  <c r="J984" i="58" s="1"/>
  <c r="O984" i="58"/>
  <c r="P984" i="58"/>
  <c r="H985" i="58"/>
  <c r="I985" i="58"/>
  <c r="J985" i="58" s="1"/>
  <c r="O985" i="58"/>
  <c r="P985" i="58"/>
  <c r="H986" i="58"/>
  <c r="I986" i="58"/>
  <c r="J986" i="58" s="1"/>
  <c r="O986" i="58"/>
  <c r="P986" i="58"/>
  <c r="H987" i="58"/>
  <c r="I987" i="58"/>
  <c r="J987" i="58" s="1"/>
  <c r="O987" i="58"/>
  <c r="P987" i="58"/>
  <c r="H988" i="58"/>
  <c r="I988" i="58"/>
  <c r="J988" i="58" s="1"/>
  <c r="O988" i="58"/>
  <c r="P988" i="58"/>
  <c r="H989" i="58"/>
  <c r="I989" i="58"/>
  <c r="O989" i="58"/>
  <c r="P989" i="58"/>
  <c r="H990" i="58"/>
  <c r="I990" i="58"/>
  <c r="J990" i="58" s="1"/>
  <c r="O990" i="58"/>
  <c r="P990" i="58"/>
  <c r="H991" i="58"/>
  <c r="I991" i="58"/>
  <c r="O991" i="58"/>
  <c r="P991" i="58"/>
  <c r="H992" i="58"/>
  <c r="I992" i="58"/>
  <c r="J992" i="58" s="1"/>
  <c r="O992" i="58"/>
  <c r="P992" i="58"/>
  <c r="H993" i="58"/>
  <c r="I993" i="58"/>
  <c r="O993" i="58"/>
  <c r="P993" i="58"/>
  <c r="H994" i="58"/>
  <c r="I994" i="58"/>
  <c r="J994" i="58" s="1"/>
  <c r="O994" i="58"/>
  <c r="P994" i="58"/>
  <c r="H995" i="58"/>
  <c r="I995" i="58"/>
  <c r="J995" i="58" s="1"/>
  <c r="O995" i="58"/>
  <c r="P995" i="58"/>
  <c r="H996" i="58"/>
  <c r="I996" i="58"/>
  <c r="J996" i="58" s="1"/>
  <c r="O996" i="58"/>
  <c r="P996" i="58"/>
  <c r="H997" i="58"/>
  <c r="I997" i="58"/>
  <c r="O997" i="58"/>
  <c r="P997" i="58"/>
  <c r="H998" i="58"/>
  <c r="I998" i="58"/>
  <c r="J998" i="58" s="1"/>
  <c r="O998" i="58"/>
  <c r="P998" i="58"/>
  <c r="H999" i="58"/>
  <c r="I999" i="58"/>
  <c r="J999" i="58" s="1"/>
  <c r="O999" i="58"/>
  <c r="P999" i="58"/>
  <c r="H1000" i="58"/>
  <c r="I1000" i="58"/>
  <c r="J1000" i="58" s="1"/>
  <c r="O1000" i="58"/>
  <c r="P1000" i="58"/>
  <c r="H1001" i="58"/>
  <c r="I1001" i="58"/>
  <c r="O1001" i="58"/>
  <c r="P1001" i="58"/>
  <c r="H1002" i="58"/>
  <c r="I1002" i="58"/>
  <c r="J1002" i="58" s="1"/>
  <c r="O1002" i="58"/>
  <c r="P1002" i="58"/>
  <c r="H1003" i="58"/>
  <c r="I1003" i="58"/>
  <c r="O1003" i="58"/>
  <c r="P1003" i="58"/>
  <c r="H1004" i="58"/>
  <c r="I1004" i="58"/>
  <c r="J1004" i="58" s="1"/>
  <c r="O1004" i="58"/>
  <c r="P1004" i="58"/>
  <c r="H1005" i="58"/>
  <c r="I1005" i="58"/>
  <c r="O1005" i="58"/>
  <c r="P1005" i="58"/>
  <c r="H1006" i="58"/>
  <c r="I1006" i="58"/>
  <c r="J1006" i="58" s="1"/>
  <c r="O1006" i="58"/>
  <c r="P1006" i="58"/>
  <c r="H1007" i="58"/>
  <c r="I1007" i="58"/>
  <c r="J1007" i="58" s="1"/>
  <c r="O1007" i="58"/>
  <c r="P1007" i="58"/>
  <c r="H1008" i="58"/>
  <c r="I1008" i="58"/>
  <c r="J1008" i="58" s="1"/>
  <c r="O1008" i="58"/>
  <c r="P1008" i="58"/>
  <c r="H1009" i="58"/>
  <c r="I1009" i="58"/>
  <c r="O1009" i="58"/>
  <c r="P1009" i="58"/>
  <c r="H1010" i="58"/>
  <c r="I1010" i="58"/>
  <c r="J1010" i="58" s="1"/>
  <c r="O1010" i="58"/>
  <c r="P1010" i="58"/>
  <c r="H1011" i="58"/>
  <c r="I1011" i="58"/>
  <c r="J1011" i="58" s="1"/>
  <c r="O1011" i="58"/>
  <c r="P1011" i="58"/>
  <c r="H1012" i="58"/>
  <c r="I1012" i="58"/>
  <c r="J1012" i="58" s="1"/>
  <c r="O1012" i="58"/>
  <c r="P1012" i="58"/>
  <c r="H1013" i="58"/>
  <c r="I1013" i="58"/>
  <c r="O1013" i="58"/>
  <c r="P1013" i="58"/>
  <c r="H1014" i="58"/>
  <c r="I1014" i="58"/>
  <c r="J1014" i="58" s="1"/>
  <c r="O1014" i="58"/>
  <c r="P1014" i="58"/>
  <c r="H1015" i="58"/>
  <c r="I1015" i="58"/>
  <c r="O1015" i="58"/>
  <c r="P1015" i="58"/>
  <c r="H1016" i="58"/>
  <c r="I1016" i="58"/>
  <c r="J1016" i="58" s="1"/>
  <c r="O1016" i="58"/>
  <c r="P1016" i="58"/>
  <c r="H1017" i="58"/>
  <c r="I1017" i="58"/>
  <c r="O1017" i="58"/>
  <c r="P1017" i="58"/>
  <c r="H1018" i="58"/>
  <c r="I1018" i="58"/>
  <c r="J1018" i="58" s="1"/>
  <c r="O1018" i="58"/>
  <c r="P1018" i="58"/>
  <c r="H1019" i="58"/>
  <c r="I1019" i="58"/>
  <c r="J1019" i="58" s="1"/>
  <c r="O1019" i="58"/>
  <c r="P1019" i="58"/>
  <c r="H1020" i="58"/>
  <c r="I1020" i="58"/>
  <c r="O1020" i="58"/>
  <c r="P1020" i="58"/>
  <c r="H1021" i="58"/>
  <c r="I1021" i="58"/>
  <c r="J1021" i="58" s="1"/>
  <c r="O1021" i="58"/>
  <c r="P1021" i="58"/>
  <c r="H1022" i="58"/>
  <c r="I1022" i="58"/>
  <c r="O1022" i="58"/>
  <c r="P1022" i="58"/>
  <c r="H1023" i="58"/>
  <c r="I1023" i="58"/>
  <c r="J1023" i="58" s="1"/>
  <c r="O1023" i="58"/>
  <c r="P1023" i="58"/>
  <c r="H1024" i="58"/>
  <c r="I1024" i="58"/>
  <c r="O1024" i="58"/>
  <c r="P1024" i="58"/>
  <c r="H1025" i="58"/>
  <c r="I1025" i="58"/>
  <c r="J1025" i="58" s="1"/>
  <c r="O1025" i="58"/>
  <c r="P1025" i="58"/>
  <c r="H1026" i="58"/>
  <c r="I1026" i="58"/>
  <c r="J1026" i="58" s="1"/>
  <c r="O1026" i="58"/>
  <c r="P1026" i="58"/>
  <c r="H1027" i="58"/>
  <c r="I1027" i="58"/>
  <c r="O1027" i="58"/>
  <c r="P1027" i="58"/>
  <c r="H1028" i="58"/>
  <c r="I1028" i="58"/>
  <c r="J1028" i="58" s="1"/>
  <c r="O1028" i="58"/>
  <c r="P1028" i="58"/>
  <c r="H1029" i="58"/>
  <c r="I1029" i="58"/>
  <c r="J1029" i="58" s="1"/>
  <c r="O1029" i="58"/>
  <c r="P1029" i="58"/>
  <c r="H1030" i="58"/>
  <c r="I1030" i="58"/>
  <c r="J1030" i="58" s="1"/>
  <c r="O1030" i="58"/>
  <c r="P1030" i="58"/>
  <c r="H1031" i="58"/>
  <c r="I1031" i="58"/>
  <c r="L1031" i="58" s="1"/>
  <c r="O1031" i="58"/>
  <c r="P1031" i="58"/>
  <c r="H1032" i="58"/>
  <c r="I1032" i="58"/>
  <c r="J1032" i="58" s="1"/>
  <c r="O1032" i="58"/>
  <c r="P1032" i="58"/>
  <c r="H1033" i="58"/>
  <c r="I1033" i="58"/>
  <c r="J1033" i="58" s="1"/>
  <c r="O1033" i="58"/>
  <c r="P1033" i="58"/>
  <c r="H1034" i="58"/>
  <c r="I1034" i="58"/>
  <c r="J1034" i="58" s="1"/>
  <c r="O1034" i="58"/>
  <c r="P1034" i="58"/>
  <c r="H1035" i="58"/>
  <c r="I1035" i="58"/>
  <c r="L1035" i="58" s="1"/>
  <c r="O1035" i="58"/>
  <c r="P1035" i="58"/>
  <c r="H1036" i="58"/>
  <c r="I1036" i="58"/>
  <c r="J1036" i="58" s="1"/>
  <c r="O1036" i="58"/>
  <c r="P1036" i="58"/>
  <c r="H1037" i="58"/>
  <c r="I1037" i="58"/>
  <c r="O1037" i="58"/>
  <c r="P1037" i="58"/>
  <c r="H1038" i="58"/>
  <c r="I1038" i="58"/>
  <c r="J1038" i="58" s="1"/>
  <c r="O1038" i="58"/>
  <c r="P1038" i="58"/>
  <c r="H1039" i="58"/>
  <c r="I1039" i="58"/>
  <c r="O1039" i="58"/>
  <c r="P1039" i="58"/>
  <c r="H1040" i="58"/>
  <c r="I1040" i="58"/>
  <c r="L1040" i="58" s="1"/>
  <c r="O1040" i="58"/>
  <c r="P1040" i="58"/>
  <c r="H1041" i="58"/>
  <c r="I1041" i="58"/>
  <c r="L1041" i="58" s="1"/>
  <c r="O1041" i="58"/>
  <c r="P1041" i="58"/>
  <c r="H1042" i="58"/>
  <c r="I1042" i="58"/>
  <c r="O1042" i="58"/>
  <c r="P1042" i="58"/>
  <c r="H1043" i="58"/>
  <c r="I1043" i="58"/>
  <c r="L1043" i="58" s="1"/>
  <c r="O1043" i="58"/>
  <c r="P1043" i="58"/>
  <c r="H1044" i="58"/>
  <c r="I1044" i="58"/>
  <c r="O1044" i="58"/>
  <c r="P1044" i="58"/>
  <c r="H1045" i="58"/>
  <c r="I1045" i="58"/>
  <c r="O1045" i="58"/>
  <c r="P1045" i="58"/>
  <c r="H1046" i="58"/>
  <c r="I1046" i="58"/>
  <c r="O1046" i="58"/>
  <c r="P1046" i="58"/>
  <c r="H1047" i="58"/>
  <c r="I1047" i="58"/>
  <c r="J1047" i="58" s="1"/>
  <c r="O1047" i="58"/>
  <c r="P1047" i="58"/>
  <c r="H1048" i="58"/>
  <c r="I1048" i="58"/>
  <c r="J1048" i="58" s="1"/>
  <c r="O1048" i="58"/>
  <c r="P1048" i="58"/>
  <c r="H1049" i="58"/>
  <c r="I1049" i="58"/>
  <c r="J1049" i="58" s="1"/>
  <c r="O1049" i="58"/>
  <c r="P1049" i="58"/>
  <c r="G1050" i="58"/>
  <c r="H1050" i="58"/>
  <c r="I1050" i="58"/>
  <c r="J1050" i="58" s="1"/>
  <c r="O1050" i="58"/>
  <c r="P1050" i="58"/>
  <c r="H1051" i="58"/>
  <c r="I1051" i="58"/>
  <c r="J1051" i="58" s="1"/>
  <c r="O1051" i="58"/>
  <c r="P1051" i="58"/>
  <c r="H1052" i="58"/>
  <c r="I1052" i="58"/>
  <c r="J1052" i="58" s="1"/>
  <c r="O1052" i="58"/>
  <c r="P1052" i="58"/>
  <c r="G1053" i="58"/>
  <c r="H1053" i="58"/>
  <c r="I1053" i="58"/>
  <c r="L1053" i="58" s="1"/>
  <c r="O1053" i="58"/>
  <c r="P1053" i="58"/>
  <c r="H1054" i="58"/>
  <c r="I1054" i="58"/>
  <c r="J1054" i="58" s="1"/>
  <c r="O1054" i="58"/>
  <c r="P1054" i="58"/>
  <c r="H1055" i="58"/>
  <c r="I1055" i="58"/>
  <c r="J1055" i="58" s="1"/>
  <c r="O1055" i="58"/>
  <c r="P1055" i="58"/>
  <c r="H1056" i="58"/>
  <c r="I1056" i="58"/>
  <c r="O1056" i="58"/>
  <c r="P1056" i="58"/>
  <c r="H1057" i="58"/>
  <c r="I1057" i="58"/>
  <c r="J1057" i="58" s="1"/>
  <c r="O1057" i="58"/>
  <c r="P1057" i="58"/>
  <c r="H1058" i="58"/>
  <c r="I1058" i="58"/>
  <c r="L1058" i="58" s="1"/>
  <c r="O1058" i="58"/>
  <c r="P1058" i="58"/>
  <c r="H1059" i="58"/>
  <c r="I1059" i="58"/>
  <c r="L1059" i="58" s="1"/>
  <c r="O1059" i="58"/>
  <c r="P1059" i="58"/>
  <c r="H1060" i="58"/>
  <c r="I1060" i="58"/>
  <c r="J1060" i="58" s="1"/>
  <c r="O1060" i="58"/>
  <c r="P1060" i="58"/>
  <c r="H1061" i="58"/>
  <c r="I1061" i="58"/>
  <c r="J1061" i="58" s="1"/>
  <c r="O1061" i="58"/>
  <c r="P1061" i="58"/>
  <c r="H1062" i="58"/>
  <c r="I1062" i="58"/>
  <c r="J1062" i="58" s="1"/>
  <c r="O1062" i="58"/>
  <c r="P1062" i="58"/>
  <c r="H1063" i="58"/>
  <c r="I1063" i="58"/>
  <c r="J1063" i="58" s="1"/>
  <c r="O1063" i="58"/>
  <c r="P1063" i="58"/>
  <c r="H1064" i="58"/>
  <c r="I1064" i="58"/>
  <c r="J1064" i="58" s="1"/>
  <c r="O1064" i="58"/>
  <c r="P1064" i="58"/>
  <c r="H1065" i="58"/>
  <c r="I1065" i="58"/>
  <c r="J1065" i="58" s="1"/>
  <c r="O1065" i="58"/>
  <c r="P1065" i="58"/>
  <c r="H1066" i="58"/>
  <c r="I1066" i="58"/>
  <c r="J1066" i="58" s="1"/>
  <c r="O1066" i="58"/>
  <c r="P1066" i="58"/>
  <c r="H1067" i="58"/>
  <c r="I1067" i="58"/>
  <c r="O1067" i="58"/>
  <c r="P1067" i="58"/>
  <c r="H1068" i="58"/>
  <c r="I1068" i="58"/>
  <c r="J1068" i="58" s="1"/>
  <c r="O1068" i="58"/>
  <c r="P1068" i="58"/>
  <c r="H1069" i="58"/>
  <c r="I1069" i="58"/>
  <c r="J1069" i="58" s="1"/>
  <c r="O1069" i="58"/>
  <c r="P1069" i="58"/>
  <c r="H1070" i="58"/>
  <c r="I1070" i="58"/>
  <c r="L1070" i="58" s="1"/>
  <c r="O1070" i="58"/>
  <c r="P1070" i="58"/>
  <c r="H1071" i="58"/>
  <c r="I1071" i="58"/>
  <c r="O1071" i="58"/>
  <c r="P1071" i="58"/>
  <c r="H1072" i="58"/>
  <c r="I1072" i="58"/>
  <c r="O1072" i="58"/>
  <c r="P1072" i="58"/>
  <c r="H1073" i="58"/>
  <c r="I1073" i="58"/>
  <c r="J1073" i="58" s="1"/>
  <c r="O1073" i="58"/>
  <c r="P1073" i="58"/>
  <c r="H1074" i="58"/>
  <c r="I1074" i="58"/>
  <c r="J1074" i="58" s="1"/>
  <c r="O1074" i="58"/>
  <c r="P1074" i="58"/>
  <c r="H1075" i="58"/>
  <c r="I1075" i="58"/>
  <c r="O1075" i="58"/>
  <c r="P1075" i="58"/>
  <c r="H1076" i="58"/>
  <c r="I1076" i="58"/>
  <c r="L1076" i="58" s="1"/>
  <c r="O1076" i="58"/>
  <c r="P1076" i="58"/>
  <c r="H1077" i="58"/>
  <c r="I1077" i="58"/>
  <c r="L1077" i="58" s="1"/>
  <c r="O1077" i="58"/>
  <c r="P1077" i="58"/>
  <c r="H1078" i="58"/>
  <c r="I1078" i="58"/>
  <c r="J1078" i="58" s="1"/>
  <c r="O1078" i="58"/>
  <c r="P1078" i="58"/>
  <c r="H1079" i="58"/>
  <c r="I1079" i="58"/>
  <c r="O1079" i="58"/>
  <c r="P1079" i="58"/>
  <c r="H1080" i="58"/>
  <c r="I1080" i="58"/>
  <c r="O1080" i="58"/>
  <c r="P1080" i="58"/>
  <c r="H1081" i="58"/>
  <c r="I1081" i="58"/>
  <c r="J1081" i="58" s="1"/>
  <c r="O1081" i="58"/>
  <c r="P1081" i="58"/>
  <c r="H1082" i="58"/>
  <c r="I1082" i="58"/>
  <c r="L1082" i="58" s="1"/>
  <c r="O1082" i="58"/>
  <c r="P1082" i="58"/>
  <c r="H1083" i="58"/>
  <c r="I1083" i="58"/>
  <c r="J1083" i="58" s="1"/>
  <c r="O1083" i="58"/>
  <c r="P1083" i="58"/>
  <c r="H1084" i="58"/>
  <c r="I1084" i="58"/>
  <c r="J1084" i="58" s="1"/>
  <c r="O1084" i="58"/>
  <c r="P1084" i="58"/>
  <c r="H1085" i="58"/>
  <c r="I1085" i="58"/>
  <c r="O1085" i="58"/>
  <c r="P1085" i="58"/>
  <c r="H1086" i="58"/>
  <c r="I1086" i="58"/>
  <c r="J1086" i="58" s="1"/>
  <c r="O1086" i="58"/>
  <c r="P1086" i="58"/>
  <c r="H1087" i="58"/>
  <c r="I1087" i="58"/>
  <c r="O1087" i="58"/>
  <c r="P1087" i="58"/>
  <c r="H1088" i="58"/>
  <c r="I1088" i="58"/>
  <c r="J1088" i="58" s="1"/>
  <c r="O1088" i="58"/>
  <c r="P1088" i="58"/>
  <c r="H1089" i="58"/>
  <c r="I1089" i="58"/>
  <c r="J1089" i="58" s="1"/>
  <c r="O1089" i="58"/>
  <c r="P1089" i="58"/>
  <c r="H1090" i="58"/>
  <c r="I1090" i="58"/>
  <c r="J1090" i="58" s="1"/>
  <c r="O1090" i="58"/>
  <c r="P1090" i="58"/>
  <c r="H1091" i="58"/>
  <c r="I1091" i="58"/>
  <c r="O1091" i="58"/>
  <c r="P1091" i="58"/>
  <c r="H1092" i="58"/>
  <c r="I1092" i="58"/>
  <c r="O1092" i="58"/>
  <c r="P1092" i="58"/>
  <c r="H1093" i="58"/>
  <c r="I1093" i="58"/>
  <c r="J1093" i="58" s="1"/>
  <c r="O1093" i="58"/>
  <c r="P1093" i="58"/>
  <c r="H1094" i="58"/>
  <c r="I1094" i="58"/>
  <c r="J1094" i="58" s="1"/>
  <c r="O1094" i="58"/>
  <c r="P1094" i="58"/>
  <c r="H1095" i="58"/>
  <c r="I1095" i="58"/>
  <c r="O1095" i="58"/>
  <c r="P1095" i="58"/>
  <c r="H1096" i="58"/>
  <c r="I1096" i="58"/>
  <c r="O1096" i="58"/>
  <c r="P1096" i="58"/>
  <c r="H1097" i="58"/>
  <c r="I1097" i="58"/>
  <c r="O1097" i="58"/>
  <c r="P1097" i="58"/>
  <c r="H1098" i="58"/>
  <c r="I1098" i="58"/>
  <c r="O1098" i="58"/>
  <c r="P1098" i="58"/>
  <c r="H1099" i="58"/>
  <c r="I1099" i="58"/>
  <c r="J1099" i="58" s="1"/>
  <c r="O1099" i="58"/>
  <c r="P1099" i="58"/>
  <c r="H1100" i="58"/>
  <c r="I1100" i="58"/>
  <c r="J1100" i="58" s="1"/>
  <c r="O1100" i="58"/>
  <c r="P1100" i="58"/>
  <c r="H1101" i="58"/>
  <c r="I1101" i="58"/>
  <c r="L1101" i="58" s="1"/>
  <c r="O1101" i="58"/>
  <c r="P1101" i="58"/>
  <c r="H1102" i="58"/>
  <c r="I1102" i="58"/>
  <c r="J1102" i="58" s="1"/>
  <c r="O1102" i="58"/>
  <c r="P1102" i="58"/>
  <c r="H1103" i="58"/>
  <c r="I1103" i="58"/>
  <c r="J1103" i="58" s="1"/>
  <c r="O1103" i="58"/>
  <c r="P1103" i="58"/>
  <c r="H1104" i="58"/>
  <c r="I1104" i="58"/>
  <c r="O1104" i="58"/>
  <c r="P1104" i="58"/>
  <c r="H1105" i="58"/>
  <c r="I1105" i="58"/>
  <c r="J1105" i="58" s="1"/>
  <c r="O1105" i="58"/>
  <c r="P1105" i="58"/>
  <c r="H1106" i="58"/>
  <c r="I1106" i="58"/>
  <c r="J1106" i="58" s="1"/>
  <c r="O1106" i="58"/>
  <c r="P1106" i="58"/>
  <c r="H1107" i="58"/>
  <c r="I1107" i="58"/>
  <c r="J1107" i="58" s="1"/>
  <c r="O1107" i="58"/>
  <c r="P1107" i="58"/>
  <c r="H1108" i="58"/>
  <c r="I1108" i="58"/>
  <c r="J1108" i="58" s="1"/>
  <c r="O1108" i="58"/>
  <c r="P1108" i="58"/>
  <c r="H1109" i="58"/>
  <c r="I1109" i="58"/>
  <c r="O1109" i="58"/>
  <c r="P1109" i="58"/>
  <c r="H1110" i="58"/>
  <c r="I1110" i="58"/>
  <c r="J1110" i="58" s="1"/>
  <c r="O1110" i="58"/>
  <c r="P1110" i="58"/>
  <c r="H1111" i="58"/>
  <c r="I1111" i="58"/>
  <c r="J1111" i="58" s="1"/>
  <c r="O1111" i="58"/>
  <c r="P1111" i="58"/>
  <c r="H1112" i="58"/>
  <c r="I1112" i="58"/>
  <c r="L1112" i="58" s="1"/>
  <c r="O1112" i="58"/>
  <c r="P1112" i="58"/>
  <c r="H1113" i="58"/>
  <c r="I1113" i="58"/>
  <c r="J1113" i="58" s="1"/>
  <c r="O1113" i="58"/>
  <c r="P1113" i="58"/>
  <c r="H1114" i="58"/>
  <c r="I1114" i="58"/>
  <c r="J1114" i="58" s="1"/>
  <c r="O1114" i="58"/>
  <c r="P1114" i="58"/>
  <c r="H1115" i="58"/>
  <c r="I1115" i="58"/>
  <c r="J1115" i="58" s="1"/>
  <c r="O1115" i="58"/>
  <c r="P1115" i="58"/>
  <c r="H1116" i="58"/>
  <c r="I1116" i="58"/>
  <c r="J1116" i="58" s="1"/>
  <c r="O1116" i="58"/>
  <c r="P1116" i="58"/>
  <c r="H1117" i="58"/>
  <c r="I1117" i="58"/>
  <c r="J1117" i="58" s="1"/>
  <c r="O1117" i="58"/>
  <c r="P1117" i="58"/>
  <c r="H1118" i="58"/>
  <c r="I1118" i="58"/>
  <c r="J1118" i="58" s="1"/>
  <c r="O1118" i="58"/>
  <c r="P1118" i="58"/>
  <c r="H1120" i="58"/>
  <c r="I1120" i="58"/>
  <c r="J1120" i="58" s="1"/>
  <c r="O1120" i="58"/>
  <c r="P1120" i="58"/>
  <c r="H1121" i="58"/>
  <c r="I1121" i="58"/>
  <c r="L1121" i="58" s="1"/>
  <c r="O1121" i="58"/>
  <c r="P1121" i="58"/>
  <c r="H1122" i="58"/>
  <c r="I1122" i="58"/>
  <c r="J1122" i="58" s="1"/>
  <c r="O1122" i="58"/>
  <c r="P1122" i="58"/>
  <c r="H1123" i="58"/>
  <c r="I1123" i="58"/>
  <c r="L1123" i="58" s="1"/>
  <c r="O1123" i="58"/>
  <c r="P1123" i="58"/>
  <c r="H1124" i="58"/>
  <c r="I1124" i="58"/>
  <c r="J1124" i="58" s="1"/>
  <c r="O1124" i="58"/>
  <c r="P1124" i="58"/>
  <c r="H1125" i="58"/>
  <c r="I1125" i="58"/>
  <c r="O1125" i="58"/>
  <c r="P1125" i="58"/>
  <c r="H1126" i="58"/>
  <c r="I1126" i="58"/>
  <c r="J1126" i="58" s="1"/>
  <c r="O1126" i="58"/>
  <c r="P1126" i="58"/>
  <c r="H1127" i="58"/>
  <c r="I1127" i="58"/>
  <c r="O1127" i="58"/>
  <c r="P1127" i="58"/>
  <c r="H1128" i="58"/>
  <c r="I1128" i="58"/>
  <c r="O1128" i="58"/>
  <c r="P1128" i="58"/>
  <c r="H1129" i="58"/>
  <c r="I1129" i="58"/>
  <c r="J1129" i="58" s="1"/>
  <c r="O1129" i="58"/>
  <c r="P1129" i="58"/>
  <c r="H1130" i="58"/>
  <c r="I1130" i="58"/>
  <c r="J1130" i="58" s="1"/>
  <c r="O1130" i="58"/>
  <c r="P1130" i="58"/>
  <c r="H1131" i="58"/>
  <c r="I1131" i="58"/>
  <c r="J1131" i="58" s="1"/>
  <c r="O1131" i="58"/>
  <c r="P1131" i="58"/>
  <c r="H1132" i="58"/>
  <c r="I1132" i="58"/>
  <c r="L1132" i="58" s="1"/>
  <c r="O1132" i="58"/>
  <c r="P1132" i="58"/>
  <c r="H1133" i="58"/>
  <c r="I1133" i="58"/>
  <c r="L1133" i="58" s="1"/>
  <c r="O1133" i="58"/>
  <c r="P1133" i="58"/>
  <c r="H1134" i="58"/>
  <c r="I1134" i="58"/>
  <c r="O1134" i="58"/>
  <c r="P1134" i="58"/>
  <c r="H1135" i="58"/>
  <c r="I1135" i="58"/>
  <c r="J1135" i="58" s="1"/>
  <c r="O1135" i="58"/>
  <c r="P1135" i="58"/>
  <c r="H1136" i="58"/>
  <c r="I1136" i="58"/>
  <c r="J1136" i="58" s="1"/>
  <c r="O1136" i="58"/>
  <c r="P1136" i="58"/>
  <c r="H1137" i="58"/>
  <c r="I1137" i="58"/>
  <c r="J1137" i="58" s="1"/>
  <c r="O1137" i="58"/>
  <c r="P1137" i="58"/>
  <c r="H1138" i="58"/>
  <c r="I1138" i="58"/>
  <c r="J1138" i="58" s="1"/>
  <c r="O1138" i="58"/>
  <c r="P1138" i="58"/>
  <c r="H1139" i="58"/>
  <c r="I1139" i="58"/>
  <c r="O1139" i="58"/>
  <c r="P1139" i="58"/>
  <c r="H1140" i="58"/>
  <c r="I1140" i="58"/>
  <c r="J1140" i="58" s="1"/>
  <c r="O1140" i="58"/>
  <c r="P1140" i="58"/>
  <c r="H1141" i="58"/>
  <c r="I1141" i="58"/>
  <c r="J1141" i="58" s="1"/>
  <c r="O1141" i="58"/>
  <c r="P1141" i="58"/>
  <c r="H1142" i="58"/>
  <c r="I1142" i="58"/>
  <c r="O1142" i="58"/>
  <c r="P1142" i="58"/>
  <c r="H1143" i="58"/>
  <c r="I1143" i="58"/>
  <c r="O1143" i="58"/>
  <c r="P1143" i="58"/>
  <c r="H1144" i="58"/>
  <c r="I1144" i="58"/>
  <c r="L1144" i="58" s="1"/>
  <c r="O1144" i="58"/>
  <c r="P1144" i="58"/>
  <c r="H1145" i="58"/>
  <c r="I1145" i="58"/>
  <c r="L1145" i="58" s="1"/>
  <c r="O1145" i="58"/>
  <c r="P1145" i="58"/>
  <c r="H1146" i="58"/>
  <c r="I1146" i="58"/>
  <c r="O1146" i="58"/>
  <c r="P1146" i="58"/>
  <c r="H1147" i="58"/>
  <c r="I1147" i="58"/>
  <c r="J1147" i="58" s="1"/>
  <c r="O1147" i="58"/>
  <c r="P1147" i="58"/>
  <c r="H1148" i="58"/>
  <c r="I1148" i="58"/>
  <c r="O1148" i="58"/>
  <c r="P1148" i="58"/>
  <c r="H1149" i="58"/>
  <c r="I1149" i="58"/>
  <c r="J1149" i="58" s="1"/>
  <c r="O1149" i="58"/>
  <c r="P1149" i="58"/>
  <c r="H1150" i="58"/>
  <c r="I1150" i="58"/>
  <c r="J1150" i="58" s="1"/>
  <c r="O1150" i="58"/>
  <c r="P1150" i="58"/>
  <c r="H1151" i="58"/>
  <c r="I1151" i="58"/>
  <c r="L1151" i="58" s="1"/>
  <c r="O1151" i="58"/>
  <c r="P1151" i="58"/>
  <c r="H1152" i="58"/>
  <c r="I1152" i="58"/>
  <c r="J1152" i="58" s="1"/>
  <c r="O1152" i="58"/>
  <c r="P1152" i="58"/>
  <c r="H1153" i="58"/>
  <c r="I1153" i="58"/>
  <c r="L1153" i="58" s="1"/>
  <c r="O1153" i="58"/>
  <c r="P1153" i="58"/>
  <c r="H1154" i="58"/>
  <c r="I1154" i="58"/>
  <c r="O1154" i="58"/>
  <c r="P1154" i="58"/>
  <c r="H1155" i="58"/>
  <c r="I1155" i="58"/>
  <c r="J1155" i="58" s="1"/>
  <c r="O1155" i="58"/>
  <c r="P1155" i="58"/>
  <c r="H1156" i="58"/>
  <c r="I1156" i="58"/>
  <c r="J1156" i="58" s="1"/>
  <c r="O1156" i="58"/>
  <c r="P1156" i="58"/>
  <c r="H1157" i="58"/>
  <c r="I1157" i="58"/>
  <c r="O1157" i="58"/>
  <c r="P1157" i="58"/>
  <c r="H1158" i="58"/>
  <c r="I1158" i="58"/>
  <c r="J1158" i="58" s="1"/>
  <c r="O1158" i="58"/>
  <c r="P1158" i="58"/>
  <c r="H1159" i="58"/>
  <c r="I1159" i="58"/>
  <c r="J1159" i="58" s="1"/>
  <c r="O1159" i="58"/>
  <c r="P1159" i="58"/>
  <c r="H1160" i="58"/>
  <c r="I1160" i="58"/>
  <c r="O1160" i="58"/>
  <c r="P1160" i="58"/>
  <c r="H1161" i="58"/>
  <c r="I1161" i="58"/>
  <c r="J1161" i="58" s="1"/>
  <c r="O1161" i="58"/>
  <c r="P1161" i="58"/>
  <c r="H1162" i="58"/>
  <c r="I1162" i="58"/>
  <c r="J1162" i="58" s="1"/>
  <c r="O1162" i="58"/>
  <c r="P1162" i="58"/>
  <c r="H1163" i="58"/>
  <c r="I1163" i="58"/>
  <c r="O1163" i="58"/>
  <c r="P1163" i="58"/>
  <c r="H1164" i="58"/>
  <c r="I1164" i="58"/>
  <c r="J1164" i="58" s="1"/>
  <c r="O1164" i="58"/>
  <c r="P1164" i="58"/>
  <c r="H1165" i="58"/>
  <c r="I1165" i="58"/>
  <c r="J1165" i="58" s="1"/>
  <c r="O1165" i="58"/>
  <c r="P1165" i="58"/>
  <c r="H1166" i="58"/>
  <c r="I1166" i="58"/>
  <c r="O1166" i="58"/>
  <c r="P1166" i="58"/>
  <c r="H1167" i="58"/>
  <c r="I1167" i="58"/>
  <c r="J1167" i="58" s="1"/>
  <c r="O1167" i="58"/>
  <c r="P1167" i="58"/>
  <c r="H1168" i="58"/>
  <c r="I1168" i="58"/>
  <c r="L1168" i="58" s="1"/>
  <c r="O1168" i="58"/>
  <c r="P1168" i="58"/>
  <c r="H1170" i="58"/>
  <c r="I1170" i="58"/>
  <c r="J1170" i="58" s="1"/>
  <c r="O1170" i="58"/>
  <c r="P1170" i="58"/>
  <c r="H1171" i="58"/>
  <c r="I1171" i="58"/>
  <c r="L1171" i="58" s="1"/>
  <c r="O1171" i="58"/>
  <c r="P1171" i="58"/>
  <c r="H1172" i="58"/>
  <c r="I1172" i="58"/>
  <c r="O1172" i="58"/>
  <c r="P1172" i="58"/>
  <c r="H1173" i="58"/>
  <c r="I1173" i="58"/>
  <c r="O1173" i="58"/>
  <c r="P1173" i="58"/>
  <c r="H1174" i="58"/>
  <c r="I1174" i="58"/>
  <c r="J1174" i="58" s="1"/>
  <c r="O1174" i="58"/>
  <c r="P1174" i="58"/>
  <c r="H1175" i="58"/>
  <c r="I1175" i="58"/>
  <c r="L1175" i="58" s="1"/>
  <c r="O1175" i="58"/>
  <c r="P1175" i="58"/>
  <c r="H1176" i="58"/>
  <c r="I1176" i="58"/>
  <c r="J1176" i="58" s="1"/>
  <c r="O1176" i="58"/>
  <c r="P1176" i="58"/>
  <c r="H1177" i="58"/>
  <c r="I1177" i="58"/>
  <c r="J1177" i="58" s="1"/>
  <c r="O1177" i="58"/>
  <c r="P1177" i="58"/>
  <c r="H1178" i="58"/>
  <c r="I1178" i="58"/>
  <c r="O1178" i="58"/>
  <c r="P1178" i="58"/>
  <c r="H1179" i="58"/>
  <c r="I1179" i="58"/>
  <c r="J1179" i="58" s="1"/>
  <c r="O1179" i="58"/>
  <c r="P1179" i="58"/>
  <c r="H1180" i="58"/>
  <c r="I1180" i="58"/>
  <c r="L1180" i="58" s="1"/>
  <c r="O1180" i="58"/>
  <c r="P1180" i="58"/>
  <c r="H1181" i="58"/>
  <c r="I1181" i="58"/>
  <c r="L1181" i="58" s="1"/>
  <c r="O1181" i="58"/>
  <c r="P1181" i="58"/>
  <c r="H1182" i="58"/>
  <c r="I1182" i="58"/>
  <c r="O1182" i="58"/>
  <c r="P1182" i="58"/>
  <c r="H1183" i="58"/>
  <c r="I1183" i="58"/>
  <c r="J1183" i="58" s="1"/>
  <c r="O1183" i="58"/>
  <c r="P1183" i="58"/>
  <c r="H1184" i="58"/>
  <c r="I1184" i="58"/>
  <c r="O1184" i="58"/>
  <c r="P1184" i="58"/>
  <c r="H1185" i="58"/>
  <c r="I1185" i="58"/>
  <c r="J1185" i="58" s="1"/>
  <c r="O1185" i="58"/>
  <c r="P1185" i="58"/>
  <c r="H1186" i="58"/>
  <c r="I1186" i="58"/>
  <c r="J1186" i="58" s="1"/>
  <c r="O1186" i="58"/>
  <c r="P1186" i="58"/>
  <c r="H1187" i="58"/>
  <c r="I1187" i="58"/>
  <c r="O1187" i="58"/>
  <c r="P1187" i="58"/>
  <c r="H1188" i="58"/>
  <c r="I1188" i="58"/>
  <c r="J1188" i="58" s="1"/>
  <c r="O1188" i="58"/>
  <c r="P1188" i="58"/>
  <c r="H1189" i="58"/>
  <c r="I1189" i="58"/>
  <c r="L1189" i="58" s="1"/>
  <c r="O1189" i="58"/>
  <c r="P1189" i="58"/>
  <c r="H1190" i="58"/>
  <c r="I1190" i="58"/>
  <c r="O1190" i="58"/>
  <c r="P1190" i="58"/>
  <c r="H1191" i="58"/>
  <c r="I1191" i="58"/>
  <c r="J1191" i="58" s="1"/>
  <c r="O1191" i="58"/>
  <c r="P1191" i="58"/>
  <c r="H1192" i="58"/>
  <c r="I1192" i="58"/>
  <c r="J1192" i="58" s="1"/>
  <c r="O1192" i="58"/>
  <c r="P1192" i="58"/>
  <c r="H1193" i="58"/>
  <c r="I1193" i="58"/>
  <c r="O1193" i="58"/>
  <c r="P1193" i="58"/>
  <c r="H1194" i="58"/>
  <c r="I1194" i="58"/>
  <c r="J1194" i="58" s="1"/>
  <c r="O1194" i="58"/>
  <c r="P1194" i="58"/>
  <c r="H1195" i="58"/>
  <c r="I1195" i="58"/>
  <c r="J1195" i="58" s="1"/>
  <c r="O1195" i="58"/>
  <c r="P1195" i="58"/>
  <c r="H1196" i="58"/>
  <c r="I1196" i="58"/>
  <c r="O1196" i="58"/>
  <c r="P1196" i="58"/>
  <c r="H1197" i="58"/>
  <c r="I1197" i="58"/>
  <c r="O1197" i="58"/>
  <c r="P1197" i="58"/>
  <c r="H1198" i="58"/>
  <c r="I1198" i="58"/>
  <c r="L1198" i="58" s="1"/>
  <c r="O1198" i="58"/>
  <c r="P1198" i="58"/>
  <c r="H1199" i="58"/>
  <c r="I1199" i="58"/>
  <c r="L1199" i="58" s="1"/>
  <c r="O1199" i="58"/>
  <c r="P1199" i="58"/>
  <c r="H1200" i="58"/>
  <c r="I1200" i="58"/>
  <c r="O1200" i="58"/>
  <c r="P1200" i="58"/>
  <c r="H1201" i="58"/>
  <c r="I1201" i="58"/>
  <c r="J1201" i="58" s="1"/>
  <c r="O1201" i="58"/>
  <c r="P1201" i="58"/>
  <c r="H1202" i="58"/>
  <c r="I1202" i="58"/>
  <c r="O1202" i="58"/>
  <c r="P1202" i="58"/>
  <c r="H1203" i="58"/>
  <c r="I1203" i="58"/>
  <c r="J1203" i="58" s="1"/>
  <c r="O1203" i="58"/>
  <c r="P1203" i="58"/>
  <c r="H1204" i="58"/>
  <c r="I1204" i="58"/>
  <c r="J1204" i="58" s="1"/>
  <c r="O1204" i="58"/>
  <c r="P1204" i="58"/>
  <c r="H1205" i="58"/>
  <c r="I1205" i="58"/>
  <c r="L1205" i="58" s="1"/>
  <c r="O1205" i="58"/>
  <c r="P1205" i="58"/>
  <c r="H1206" i="58"/>
  <c r="I1206" i="58"/>
  <c r="O1206" i="58"/>
  <c r="P1206" i="58"/>
  <c r="H1207" i="58"/>
  <c r="I1207" i="58"/>
  <c r="J1207" i="58" s="1"/>
  <c r="O1207" i="58"/>
  <c r="P1207" i="58"/>
  <c r="H1208" i="58"/>
  <c r="I1208" i="58"/>
  <c r="O1208" i="58"/>
  <c r="P1208" i="58"/>
  <c r="H1209" i="58"/>
  <c r="I1209" i="58"/>
  <c r="O1209" i="58"/>
  <c r="P1209" i="58"/>
  <c r="H1210" i="58"/>
  <c r="I1210" i="58"/>
  <c r="J1210" i="58" s="1"/>
  <c r="O1210" i="58"/>
  <c r="P1210" i="58"/>
  <c r="H1211" i="58"/>
  <c r="I1211" i="58"/>
  <c r="O1211" i="58"/>
  <c r="P1211" i="58"/>
  <c r="H1212" i="58"/>
  <c r="I1212" i="58"/>
  <c r="J1212" i="58" s="1"/>
  <c r="O1212" i="58"/>
  <c r="P1212" i="58"/>
  <c r="H1213" i="58"/>
  <c r="I1213" i="58"/>
  <c r="O1213" i="58"/>
  <c r="P1213" i="58"/>
  <c r="H1214" i="58"/>
  <c r="I1214" i="58"/>
  <c r="O1214" i="58"/>
  <c r="P1214" i="58"/>
  <c r="H1215" i="58"/>
  <c r="I1215" i="58"/>
  <c r="O1215" i="58"/>
  <c r="P1215" i="58"/>
  <c r="H1216" i="58"/>
  <c r="I1216" i="58"/>
  <c r="J1216" i="58" s="1"/>
  <c r="O1216" i="58"/>
  <c r="P1216" i="58"/>
  <c r="H1217" i="58"/>
  <c r="I1217" i="58"/>
  <c r="L1217" i="58" s="1"/>
  <c r="O1217" i="58"/>
  <c r="P1217" i="58"/>
  <c r="H1218" i="58"/>
  <c r="I1218" i="58"/>
  <c r="J1218" i="58" s="1"/>
  <c r="O1218" i="58"/>
  <c r="P1218" i="58"/>
  <c r="H1219" i="58"/>
  <c r="I1219" i="58"/>
  <c r="J1219" i="58" s="1"/>
  <c r="O1219" i="58"/>
  <c r="P1219" i="58"/>
  <c r="H1220" i="58"/>
  <c r="I1220" i="58"/>
  <c r="O1220" i="58"/>
  <c r="P1220" i="58"/>
  <c r="H1221" i="58"/>
  <c r="I1221" i="58"/>
  <c r="J1221" i="58" s="1"/>
  <c r="O1221" i="58"/>
  <c r="P1221" i="58"/>
  <c r="H1222" i="58"/>
  <c r="I1222" i="58"/>
  <c r="L1222" i="58" s="1"/>
  <c r="O1222" i="58"/>
  <c r="P1222" i="58"/>
  <c r="H1223" i="58"/>
  <c r="I1223" i="58"/>
  <c r="L1223" i="58" s="1"/>
  <c r="O1223" i="58"/>
  <c r="P1223" i="58"/>
  <c r="H1224" i="58"/>
  <c r="I1224" i="58"/>
  <c r="O1224" i="58"/>
  <c r="P1224" i="58"/>
  <c r="H1225" i="58"/>
  <c r="I1225" i="58"/>
  <c r="J1225" i="58" s="1"/>
  <c r="O1225" i="58"/>
  <c r="P1225" i="58"/>
  <c r="H1226" i="58"/>
  <c r="I1226" i="58"/>
  <c r="O1226" i="58"/>
  <c r="P1226" i="58"/>
  <c r="H1227" i="58"/>
  <c r="I1227" i="58"/>
  <c r="O1227" i="58"/>
  <c r="P1227" i="58"/>
  <c r="H1228" i="58"/>
  <c r="I1228" i="58"/>
  <c r="J1228" i="58" s="1"/>
  <c r="O1228" i="58"/>
  <c r="P1228" i="58"/>
  <c r="H1229" i="58"/>
  <c r="I1229" i="58"/>
  <c r="J1229" i="58" s="1"/>
  <c r="O1229" i="58"/>
  <c r="P1229" i="58"/>
  <c r="H1230" i="58"/>
  <c r="I1230" i="58"/>
  <c r="O1230" i="58"/>
  <c r="P1230" i="58"/>
  <c r="H1231" i="58"/>
  <c r="I1231" i="58"/>
  <c r="J1231" i="58" s="1"/>
  <c r="O1231" i="58"/>
  <c r="P1231" i="58"/>
  <c r="H1232" i="58"/>
  <c r="I1232" i="58"/>
  <c r="O1232" i="58"/>
  <c r="P1232" i="58"/>
  <c r="H1233" i="58"/>
  <c r="I1233" i="58"/>
  <c r="J1233" i="58" s="1"/>
  <c r="O1233" i="58"/>
  <c r="P1233" i="58"/>
  <c r="H1234" i="58"/>
  <c r="I1234" i="58"/>
  <c r="L1234" i="58" s="1"/>
  <c r="O1234" i="58"/>
  <c r="P1234" i="58"/>
  <c r="H1235" i="58"/>
  <c r="I1235" i="58"/>
  <c r="J1235" i="58" s="1"/>
  <c r="O1235" i="58"/>
  <c r="P1235" i="58"/>
  <c r="H1236" i="58"/>
  <c r="I1236" i="58"/>
  <c r="J1236" i="58" s="1"/>
  <c r="O1236" i="58"/>
  <c r="P1236" i="58"/>
  <c r="H1237" i="58"/>
  <c r="I1237" i="58"/>
  <c r="L1237" i="58" s="1"/>
  <c r="O1237" i="58"/>
  <c r="P1237" i="58"/>
  <c r="H1238" i="58"/>
  <c r="I1238" i="58"/>
  <c r="O1238" i="58"/>
  <c r="P1238" i="58"/>
  <c r="H1239" i="58"/>
  <c r="I1239" i="58"/>
  <c r="J1239" i="58" s="1"/>
  <c r="O1239" i="58"/>
  <c r="P1239" i="58"/>
  <c r="H210" i="58"/>
  <c r="I210" i="58"/>
  <c r="J210" i="58" s="1"/>
  <c r="O210" i="58"/>
  <c r="P210" i="58"/>
  <c r="H276" i="58"/>
  <c r="I276" i="58"/>
  <c r="O276" i="58"/>
  <c r="P276" i="58"/>
  <c r="H305" i="58"/>
  <c r="I305" i="58"/>
  <c r="L305" i="58" s="1"/>
  <c r="O305" i="58"/>
  <c r="P305" i="58"/>
  <c r="H515" i="58"/>
  <c r="I515" i="58"/>
  <c r="L515" i="58" s="1"/>
  <c r="O515" i="58"/>
  <c r="P515" i="58"/>
  <c r="H854" i="58"/>
  <c r="I854" i="58"/>
  <c r="O854" i="58"/>
  <c r="P854" i="58"/>
  <c r="J516" i="58" l="1"/>
  <c r="L522" i="58"/>
  <c r="N522" i="58" s="1"/>
  <c r="J556" i="58"/>
  <c r="J534" i="58"/>
  <c r="J165" i="58"/>
  <c r="L132" i="58"/>
  <c r="N132" i="58" s="1"/>
  <c r="J872" i="58"/>
  <c r="L246" i="58"/>
  <c r="L274" i="58"/>
  <c r="N274" i="58" s="1"/>
  <c r="L248" i="58"/>
  <c r="L319" i="58"/>
  <c r="N319" i="58" s="1"/>
  <c r="L496" i="58"/>
  <c r="N496" i="58" s="1"/>
  <c r="L259" i="58"/>
  <c r="J576" i="58"/>
  <c r="L491" i="58"/>
  <c r="L519" i="58"/>
  <c r="N519" i="58" s="1"/>
  <c r="L245" i="58"/>
  <c r="N245" i="58" s="1"/>
  <c r="L784" i="58"/>
  <c r="L1186" i="58"/>
  <c r="N1186" i="58" s="1"/>
  <c r="L987" i="58"/>
  <c r="N987" i="58" s="1"/>
  <c r="L592" i="58"/>
  <c r="J314" i="58"/>
  <c r="L404" i="58"/>
  <c r="J181" i="58"/>
  <c r="L325" i="58"/>
  <c r="N325" i="58" s="1"/>
  <c r="L304" i="58"/>
  <c r="N304" i="58" s="1"/>
  <c r="L504" i="58"/>
  <c r="J885" i="58"/>
  <c r="J739" i="58"/>
  <c r="L524" i="58"/>
  <c r="N94" i="58"/>
  <c r="J827" i="58"/>
  <c r="N689" i="58"/>
  <c r="J317" i="58"/>
  <c r="L933" i="58"/>
  <c r="N933" i="58" s="1"/>
  <c r="L926" i="58"/>
  <c r="N926" i="58" s="1"/>
  <c r="L769" i="58"/>
  <c r="J705" i="58"/>
  <c r="J270" i="58"/>
  <c r="L263" i="58"/>
  <c r="N263" i="58" s="1"/>
  <c r="L11" i="58"/>
  <c r="N11" i="58" s="1"/>
  <c r="L590" i="58"/>
  <c r="N590" i="58" s="1"/>
  <c r="L562" i="58"/>
  <c r="J154" i="58"/>
  <c r="L135" i="58"/>
  <c r="L73" i="58"/>
  <c r="N73" i="58" s="1"/>
  <c r="J792" i="58"/>
  <c r="L585" i="58"/>
  <c r="N585" i="58" s="1"/>
  <c r="J550" i="58"/>
  <c r="J536" i="58"/>
  <c r="J488" i="58"/>
  <c r="L457" i="58"/>
  <c r="N457" i="58" s="1"/>
  <c r="L499" i="58"/>
  <c r="N499" i="58" s="1"/>
  <c r="L984" i="58"/>
  <c r="N984" i="58" s="1"/>
  <c r="L965" i="58"/>
  <c r="N965" i="58" s="1"/>
  <c r="L958" i="58"/>
  <c r="N958" i="58" s="1"/>
  <c r="J882" i="58"/>
  <c r="J540" i="58"/>
  <c r="N675" i="58"/>
  <c r="L1207" i="58"/>
  <c r="N1207" i="58" s="1"/>
  <c r="L1150" i="58"/>
  <c r="N1150" i="58" s="1"/>
  <c r="L805" i="58"/>
  <c r="L430" i="58"/>
  <c r="N430" i="58" s="1"/>
  <c r="J290" i="58"/>
  <c r="J283" i="58"/>
  <c r="J1145" i="58"/>
  <c r="L1138" i="58"/>
  <c r="N1138" i="58" s="1"/>
  <c r="L828" i="58"/>
  <c r="N828" i="58" s="1"/>
  <c r="J538" i="58"/>
  <c r="L520" i="58"/>
  <c r="N520" i="58" s="1"/>
  <c r="L500" i="58"/>
  <c r="N500" i="58" s="1"/>
  <c r="L425" i="58"/>
  <c r="N425" i="58" s="1"/>
  <c r="L392" i="58"/>
  <c r="N392" i="58" s="1"/>
  <c r="J299" i="58"/>
  <c r="L260" i="58"/>
  <c r="N260" i="58" s="1"/>
  <c r="L646" i="58"/>
  <c r="N646" i="58" s="1"/>
  <c r="L644" i="58"/>
  <c r="L310" i="58"/>
  <c r="N310" i="58" s="1"/>
  <c r="J301" i="58"/>
  <c r="J142" i="58"/>
  <c r="L1204" i="58"/>
  <c r="L1052" i="58"/>
  <c r="N1052" i="58" s="1"/>
  <c r="L837" i="58"/>
  <c r="N837" i="58" s="1"/>
  <c r="L588" i="58"/>
  <c r="N588" i="58" s="1"/>
  <c r="L1068" i="58"/>
  <c r="N1068" i="58" s="1"/>
  <c r="L1047" i="58"/>
  <c r="N1047" i="58" s="1"/>
  <c r="N1040" i="58"/>
  <c r="L891" i="58"/>
  <c r="N891" i="58" s="1"/>
  <c r="L594" i="58"/>
  <c r="N594" i="58" s="1"/>
  <c r="L544" i="58"/>
  <c r="N544" i="58" s="1"/>
  <c r="J508" i="58"/>
  <c r="J506" i="58"/>
  <c r="L403" i="58"/>
  <c r="L389" i="58"/>
  <c r="J608" i="58"/>
  <c r="L574" i="58"/>
  <c r="J517" i="58"/>
  <c r="L353" i="58"/>
  <c r="L320" i="58"/>
  <c r="N320" i="58" s="1"/>
  <c r="L316" i="58"/>
  <c r="N316" i="58" s="1"/>
  <c r="J307" i="58"/>
  <c r="L227" i="58"/>
  <c r="J106" i="58"/>
  <c r="L213" i="58"/>
  <c r="N213" i="58" s="1"/>
  <c r="L199" i="58"/>
  <c r="N199" i="58" s="1"/>
  <c r="L197" i="58"/>
  <c r="N197" i="58" s="1"/>
  <c r="J1058" i="58"/>
  <c r="L935" i="58"/>
  <c r="N935" i="58" s="1"/>
  <c r="J914" i="58"/>
  <c r="L907" i="58"/>
  <c r="L815" i="58"/>
  <c r="J775" i="58"/>
  <c r="L716" i="58"/>
  <c r="L671" i="58"/>
  <c r="N671" i="58" s="1"/>
  <c r="J636" i="58"/>
  <c r="L629" i="58"/>
  <c r="N629" i="58" s="1"/>
  <c r="J548" i="58"/>
  <c r="L407" i="58"/>
  <c r="N407" i="58" s="1"/>
  <c r="L348" i="58"/>
  <c r="N348" i="58" s="1"/>
  <c r="L236" i="58"/>
  <c r="N236" i="58" s="1"/>
  <c r="L222" i="58"/>
  <c r="N222" i="58" s="1"/>
  <c r="J215" i="58"/>
  <c r="J141" i="58"/>
  <c r="L46" i="58"/>
  <c r="N46" i="58" s="1"/>
  <c r="L1219" i="58"/>
  <c r="L1212" i="58"/>
  <c r="N1212" i="58" s="1"/>
  <c r="L1103" i="58"/>
  <c r="N1103" i="58" s="1"/>
  <c r="L1008" i="58"/>
  <c r="N1008" i="58" s="1"/>
  <c r="L580" i="58"/>
  <c r="N580" i="58" s="1"/>
  <c r="L185" i="58"/>
  <c r="N185" i="58" s="1"/>
  <c r="N305" i="58"/>
  <c r="N146" i="58"/>
  <c r="N538" i="58"/>
  <c r="N860" i="58"/>
  <c r="N876" i="58"/>
  <c r="N313" i="58"/>
  <c r="N270" i="58"/>
  <c r="J1237" i="58"/>
  <c r="L1165" i="58"/>
  <c r="N1165" i="58" s="1"/>
  <c r="L1147" i="58"/>
  <c r="L1126" i="58"/>
  <c r="N1126" i="58" s="1"/>
  <c r="J1112" i="58"/>
  <c r="J1077" i="58"/>
  <c r="L1049" i="58"/>
  <c r="N1049" i="58" s="1"/>
  <c r="L845" i="58"/>
  <c r="N845" i="58" s="1"/>
  <c r="N827" i="58"/>
  <c r="L799" i="58"/>
  <c r="L475" i="58"/>
  <c r="N475" i="58" s="1"/>
  <c r="J257" i="58"/>
  <c r="L250" i="58"/>
  <c r="N250" i="58" s="1"/>
  <c r="J148" i="58"/>
  <c r="L1100" i="58"/>
  <c r="L1025" i="58"/>
  <c r="L962" i="58"/>
  <c r="L941" i="58"/>
  <c r="N941" i="58" s="1"/>
  <c r="N870" i="58"/>
  <c r="N734" i="58"/>
  <c r="J582" i="58"/>
  <c r="J546" i="58"/>
  <c r="L495" i="58"/>
  <c r="N495" i="58" s="1"/>
  <c r="L484" i="58"/>
  <c r="N301" i="58"/>
  <c r="L226" i="58"/>
  <c r="N226" i="58" s="1"/>
  <c r="J146" i="58"/>
  <c r="J241" i="58"/>
  <c r="J230" i="58"/>
  <c r="N98" i="58"/>
  <c r="L70" i="58"/>
  <c r="N70" i="58" s="1"/>
  <c r="L49" i="58"/>
  <c r="N49" i="58" s="1"/>
  <c r="L1176" i="58"/>
  <c r="L1162" i="58"/>
  <c r="N1162" i="58" s="1"/>
  <c r="L1155" i="58"/>
  <c r="L1088" i="58"/>
  <c r="N1088" i="58" s="1"/>
  <c r="L950" i="58"/>
  <c r="N950" i="58" s="1"/>
  <c r="L934" i="58"/>
  <c r="N934" i="58" s="1"/>
  <c r="J860" i="58"/>
  <c r="L851" i="58"/>
  <c r="N851" i="58" s="1"/>
  <c r="L835" i="58"/>
  <c r="N835" i="58" s="1"/>
  <c r="L796" i="58"/>
  <c r="N796" i="58" s="1"/>
  <c r="L724" i="58"/>
  <c r="N724" i="58" s="1"/>
  <c r="L715" i="58"/>
  <c r="N715" i="58" s="1"/>
  <c r="J675" i="58"/>
  <c r="L661" i="58"/>
  <c r="N661" i="58" s="1"/>
  <c r="L627" i="58"/>
  <c r="N627" i="58" s="1"/>
  <c r="L606" i="58"/>
  <c r="N606" i="58" s="1"/>
  <c r="L537" i="58"/>
  <c r="N537" i="58" s="1"/>
  <c r="L535" i="58"/>
  <c r="N535" i="58" s="1"/>
  <c r="L352" i="58"/>
  <c r="N352" i="58" s="1"/>
  <c r="N307" i="58"/>
  <c r="J139" i="58"/>
  <c r="L107" i="58"/>
  <c r="N107" i="58" s="1"/>
  <c r="L93" i="58"/>
  <c r="N93" i="58" s="1"/>
  <c r="L518" i="58"/>
  <c r="N518" i="58" s="1"/>
  <c r="J311" i="58"/>
  <c r="L264" i="58"/>
  <c r="N264" i="58" s="1"/>
  <c r="L116" i="58"/>
  <c r="N116" i="58" s="1"/>
  <c r="L1192" i="58"/>
  <c r="N1192" i="58" s="1"/>
  <c r="J968" i="58"/>
  <c r="L938" i="58"/>
  <c r="N938" i="58" s="1"/>
  <c r="J876" i="58"/>
  <c r="J821" i="58"/>
  <c r="L733" i="58"/>
  <c r="J719" i="58"/>
  <c r="J638" i="58"/>
  <c r="J601" i="58"/>
  <c r="L492" i="58"/>
  <c r="N488" i="58"/>
  <c r="L443" i="58"/>
  <c r="N443" i="58" s="1"/>
  <c r="L436" i="58"/>
  <c r="N436" i="58" s="1"/>
  <c r="J277" i="58"/>
  <c r="L262" i="58"/>
  <c r="N262" i="58" s="1"/>
  <c r="N191" i="58"/>
  <c r="L147" i="58"/>
  <c r="N147" i="58" s="1"/>
  <c r="N127" i="58"/>
  <c r="L1210" i="58"/>
  <c r="L651" i="58"/>
  <c r="N651" i="58" s="1"/>
  <c r="L1152" i="58"/>
  <c r="N1152" i="58" s="1"/>
  <c r="L903" i="58"/>
  <c r="N903" i="58" s="1"/>
  <c r="L901" i="58"/>
  <c r="L887" i="58"/>
  <c r="N887" i="58" s="1"/>
  <c r="L857" i="58"/>
  <c r="L848" i="58"/>
  <c r="L832" i="58"/>
  <c r="N832" i="58" s="1"/>
  <c r="L809" i="58"/>
  <c r="J786" i="58"/>
  <c r="L596" i="58"/>
  <c r="N596" i="58" s="1"/>
  <c r="J530" i="58"/>
  <c r="L377" i="58"/>
  <c r="L370" i="58"/>
  <c r="L330" i="58"/>
  <c r="N295" i="58"/>
  <c r="L238" i="58"/>
  <c r="L158" i="58"/>
  <c r="N158" i="58" s="1"/>
  <c r="L134" i="58"/>
  <c r="N134" i="58" s="1"/>
  <c r="L90" i="58"/>
  <c r="N90" i="58" s="1"/>
  <c r="J515" i="58"/>
  <c r="L1094" i="58"/>
  <c r="N1094" i="58" s="1"/>
  <c r="L1019" i="58"/>
  <c r="L972" i="58"/>
  <c r="N972" i="58" s="1"/>
  <c r="J737" i="58"/>
  <c r="J681" i="58"/>
  <c r="L513" i="58"/>
  <c r="L323" i="58"/>
  <c r="N323" i="58" s="1"/>
  <c r="L288" i="58"/>
  <c r="J240" i="58"/>
  <c r="L231" i="58"/>
  <c r="N231" i="58" s="1"/>
  <c r="L160" i="58"/>
  <c r="M160" i="58" s="1"/>
  <c r="J127" i="58"/>
  <c r="L71" i="58"/>
  <c r="N71" i="58" s="1"/>
  <c r="L69" i="58"/>
  <c r="N69" i="58" s="1"/>
  <c r="L62" i="58"/>
  <c r="N62" i="58" s="1"/>
  <c r="L1211" i="58"/>
  <c r="J1211" i="58"/>
  <c r="J921" i="58"/>
  <c r="L921" i="58"/>
  <c r="N921" i="58" s="1"/>
  <c r="J1209" i="58"/>
  <c r="L1209" i="58"/>
  <c r="N515" i="58"/>
  <c r="J1213" i="58"/>
  <c r="L1213" i="58"/>
  <c r="J720" i="58"/>
  <c r="L720" i="58"/>
  <c r="N720" i="58" s="1"/>
  <c r="J1044" i="58"/>
  <c r="L1044" i="58"/>
  <c r="N1044" i="58" s="1"/>
  <c r="J650" i="58"/>
  <c r="L650" i="58"/>
  <c r="N650" i="58" s="1"/>
  <c r="J1215" i="58"/>
  <c r="L1215" i="58"/>
  <c r="N1215" i="58" s="1"/>
  <c r="J305" i="58"/>
  <c r="J1046" i="58"/>
  <c r="L1046" i="58"/>
  <c r="N1046" i="58" s="1"/>
  <c r="L773" i="58"/>
  <c r="J773" i="58"/>
  <c r="J731" i="58"/>
  <c r="L731" i="58"/>
  <c r="L1127" i="58"/>
  <c r="J1127" i="58"/>
  <c r="J677" i="58"/>
  <c r="L677" i="58"/>
  <c r="N677" i="58" s="1"/>
  <c r="L894" i="58"/>
  <c r="J894" i="58"/>
  <c r="N514" i="58"/>
  <c r="L363" i="58"/>
  <c r="L343" i="58"/>
  <c r="N343" i="58" s="1"/>
  <c r="L341" i="58"/>
  <c r="N341" i="58" s="1"/>
  <c r="L293" i="58"/>
  <c r="N293" i="58" s="1"/>
  <c r="J171" i="58"/>
  <c r="J145" i="58"/>
  <c r="L126" i="58"/>
  <c r="N126" i="58" s="1"/>
  <c r="J115" i="58"/>
  <c r="L1201" i="58"/>
  <c r="N1201" i="58" s="1"/>
  <c r="L1164" i="58"/>
  <c r="L1149" i="58"/>
  <c r="L1099" i="58"/>
  <c r="N1099" i="58" s="1"/>
  <c r="J1070" i="58"/>
  <c r="L996" i="58"/>
  <c r="N996" i="58" s="1"/>
  <c r="L547" i="58"/>
  <c r="N547" i="58" s="1"/>
  <c r="L432" i="58"/>
  <c r="L386" i="58"/>
  <c r="N386" i="58" s="1"/>
  <c r="L265" i="58"/>
  <c r="L194" i="58"/>
  <c r="N173" i="58"/>
  <c r="L58" i="58"/>
  <c r="N58" i="58" s="1"/>
  <c r="L35" i="58"/>
  <c r="L21" i="58"/>
  <c r="N21" i="58" s="1"/>
  <c r="N1153" i="58"/>
  <c r="N1059" i="58"/>
  <c r="L615" i="58"/>
  <c r="N608" i="58"/>
  <c r="L543" i="58"/>
  <c r="N543" i="58" s="1"/>
  <c r="J514" i="58"/>
  <c r="L483" i="58"/>
  <c r="L308" i="58"/>
  <c r="L284" i="58"/>
  <c r="N284" i="58" s="1"/>
  <c r="J192" i="58"/>
  <c r="J179" i="58"/>
  <c r="L164" i="58"/>
  <c r="L1225" i="58"/>
  <c r="J1223" i="58"/>
  <c r="L1194" i="58"/>
  <c r="N1194" i="58" s="1"/>
  <c r="L1183" i="58"/>
  <c r="L1170" i="58"/>
  <c r="N1168" i="58"/>
  <c r="L1159" i="58"/>
  <c r="N1159" i="58" s="1"/>
  <c r="J1133" i="58"/>
  <c r="L1131" i="58"/>
  <c r="L1120" i="58"/>
  <c r="L1116" i="58"/>
  <c r="L1105" i="58"/>
  <c r="N1105" i="58" s="1"/>
  <c r="L1074" i="58"/>
  <c r="N1074" i="58" s="1"/>
  <c r="L1063" i="58"/>
  <c r="L842" i="58"/>
  <c r="N842" i="58" s="1"/>
  <c r="N1223" i="58"/>
  <c r="L1135" i="58"/>
  <c r="N1135" i="58" s="1"/>
  <c r="L1122" i="58"/>
  <c r="J1076" i="58"/>
  <c r="L952" i="58"/>
  <c r="L820" i="58"/>
  <c r="J779" i="58"/>
  <c r="J761" i="58"/>
  <c r="J754" i="58"/>
  <c r="L704" i="58"/>
  <c r="L685" i="58"/>
  <c r="N685" i="58" s="1"/>
  <c r="L586" i="58"/>
  <c r="N586" i="58" s="1"/>
  <c r="L571" i="58"/>
  <c r="N571" i="58" s="1"/>
  <c r="L507" i="58"/>
  <c r="N507" i="58" s="1"/>
  <c r="L503" i="58"/>
  <c r="N503" i="58" s="1"/>
  <c r="L159" i="58"/>
  <c r="L112" i="58"/>
  <c r="N112" i="58" s="1"/>
  <c r="L86" i="58"/>
  <c r="N86" i="58" s="1"/>
  <c r="L84" i="58"/>
  <c r="N84" i="58" s="1"/>
  <c r="L32" i="58"/>
  <c r="N32" i="58" s="1"/>
  <c r="L1236" i="58"/>
  <c r="L1229" i="58"/>
  <c r="N1229" i="58" s="1"/>
  <c r="L1174" i="58"/>
  <c r="N1174" i="58" s="1"/>
  <c r="N1041" i="58"/>
  <c r="L1030" i="58"/>
  <c r="L871" i="58"/>
  <c r="N855" i="58"/>
  <c r="L813" i="58"/>
  <c r="N813" i="58" s="1"/>
  <c r="N797" i="58"/>
  <c r="J743" i="58"/>
  <c r="L1169" i="58"/>
  <c r="N1169" i="58" s="1"/>
  <c r="L573" i="58"/>
  <c r="N573" i="58" s="1"/>
  <c r="L355" i="58"/>
  <c r="N355" i="58" s="1"/>
  <c r="L344" i="58"/>
  <c r="N344" i="58" s="1"/>
  <c r="L189" i="58"/>
  <c r="N189" i="58" s="1"/>
  <c r="L176" i="58"/>
  <c r="L41" i="58"/>
  <c r="L433" i="58"/>
  <c r="N433" i="58" s="1"/>
  <c r="L357" i="58"/>
  <c r="N357" i="58" s="1"/>
  <c r="L335" i="58"/>
  <c r="N335" i="58" s="1"/>
  <c r="L281" i="58"/>
  <c r="N281" i="58" s="1"/>
  <c r="J174" i="58"/>
  <c r="L99" i="58"/>
  <c r="N99" i="58" s="1"/>
  <c r="L66" i="58"/>
  <c r="N66" i="58" s="1"/>
  <c r="L463" i="58"/>
  <c r="N463" i="58" s="1"/>
  <c r="L1195" i="58"/>
  <c r="N1195" i="58" s="1"/>
  <c r="L1191" i="58"/>
  <c r="L1156" i="58"/>
  <c r="N1156" i="58" s="1"/>
  <c r="L1111" i="58"/>
  <c r="N1111" i="58" s="1"/>
  <c r="L1093" i="58"/>
  <c r="J1082" i="58"/>
  <c r="L1064" i="58"/>
  <c r="N1064" i="58" s="1"/>
  <c r="J1053" i="58"/>
  <c r="L1051" i="58"/>
  <c r="L1038" i="58"/>
  <c r="L1036" i="58"/>
  <c r="L1034" i="58"/>
  <c r="L976" i="58"/>
  <c r="L897" i="58"/>
  <c r="L877" i="58"/>
  <c r="J839" i="58"/>
  <c r="L826" i="58"/>
  <c r="N826" i="58" s="1"/>
  <c r="J785" i="58"/>
  <c r="L751" i="58"/>
  <c r="J738" i="58"/>
  <c r="L736" i="58"/>
  <c r="N736" i="58" s="1"/>
  <c r="J734" i="58"/>
  <c r="L725" i="58"/>
  <c r="J660" i="58"/>
  <c r="L618" i="58"/>
  <c r="N618" i="58" s="1"/>
  <c r="L417" i="58"/>
  <c r="N417" i="58" s="1"/>
  <c r="J1222" i="58"/>
  <c r="L1218" i="58"/>
  <c r="J1180" i="58"/>
  <c r="J1171" i="58"/>
  <c r="J1132" i="58"/>
  <c r="L1117" i="58"/>
  <c r="N1117" i="58" s="1"/>
  <c r="L1115" i="58"/>
  <c r="N1082" i="58"/>
  <c r="L949" i="58"/>
  <c r="L942" i="58"/>
  <c r="L852" i="58"/>
  <c r="N852" i="58" s="1"/>
  <c r="J749" i="58"/>
  <c r="L640" i="58"/>
  <c r="L607" i="58"/>
  <c r="N607" i="58" s="1"/>
  <c r="L419" i="58"/>
  <c r="N419" i="58" s="1"/>
  <c r="L368" i="58"/>
  <c r="N368" i="58" s="1"/>
  <c r="J350" i="58"/>
  <c r="J313" i="58"/>
  <c r="J287" i="58"/>
  <c r="L258" i="58"/>
  <c r="N258" i="58" s="1"/>
  <c r="L256" i="58"/>
  <c r="J247" i="58"/>
  <c r="J228" i="58"/>
  <c r="L224" i="58"/>
  <c r="L109" i="58"/>
  <c r="L105" i="58"/>
  <c r="N105" i="58" s="1"/>
  <c r="J103" i="58"/>
  <c r="L81" i="58"/>
  <c r="N81" i="58" s="1"/>
  <c r="L54" i="58"/>
  <c r="N54" i="58" s="1"/>
  <c r="L428" i="58"/>
  <c r="N186" i="58"/>
  <c r="J117" i="58"/>
  <c r="J111" i="58"/>
  <c r="L85" i="58"/>
  <c r="N85" i="58" s="1"/>
  <c r="L83" i="58"/>
  <c r="L5" i="58"/>
  <c r="N681" i="58"/>
  <c r="J1128" i="58"/>
  <c r="L1128" i="58"/>
  <c r="N1112" i="58"/>
  <c r="J1080" i="58"/>
  <c r="L1080" i="58"/>
  <c r="N1080" i="58" s="1"/>
  <c r="J1067" i="58"/>
  <c r="L1067" i="58"/>
  <c r="L951" i="58"/>
  <c r="N951" i="58" s="1"/>
  <c r="J951" i="58"/>
  <c r="N752" i="58"/>
  <c r="N699" i="58"/>
  <c r="J577" i="58"/>
  <c r="L577" i="58"/>
  <c r="N577" i="58" s="1"/>
  <c r="L1221" i="58"/>
  <c r="J1198" i="58"/>
  <c r="L1158" i="58"/>
  <c r="J1144" i="58"/>
  <c r="J1101" i="58"/>
  <c r="J1097" i="58"/>
  <c r="L1097" i="58"/>
  <c r="L1048" i="58"/>
  <c r="J1042" i="58"/>
  <c r="L1042" i="58"/>
  <c r="L1016" i="58"/>
  <c r="J955" i="58"/>
  <c r="L955" i="58"/>
  <c r="J909" i="58"/>
  <c r="L909" i="58"/>
  <c r="N909" i="58" s="1"/>
  <c r="L790" i="58"/>
  <c r="J683" i="58"/>
  <c r="L683" i="58"/>
  <c r="J654" i="58"/>
  <c r="J1200" i="58"/>
  <c r="L1200" i="58"/>
  <c r="N1198" i="58"/>
  <c r="J1146" i="58"/>
  <c r="L1146" i="58"/>
  <c r="J931" i="58"/>
  <c r="L931" i="58"/>
  <c r="N931" i="58" s="1"/>
  <c r="J801" i="58"/>
  <c r="L801" i="58"/>
  <c r="J763" i="58"/>
  <c r="L763" i="58"/>
  <c r="J622" i="58"/>
  <c r="L622" i="58"/>
  <c r="J566" i="58"/>
  <c r="J1234" i="58"/>
  <c r="J1217" i="58"/>
  <c r="L1086" i="58"/>
  <c r="N1086" i="58" s="1"/>
  <c r="L1073" i="58"/>
  <c r="J957" i="58"/>
  <c r="L957" i="58"/>
  <c r="N957" i="58" s="1"/>
  <c r="J911" i="58"/>
  <c r="L911" i="58"/>
  <c r="J726" i="58"/>
  <c r="L726" i="58"/>
  <c r="N726" i="58" s="1"/>
  <c r="J703" i="58"/>
  <c r="L703" i="58"/>
  <c r="L694" i="58"/>
  <c r="N694" i="58" s="1"/>
  <c r="J694" i="58"/>
  <c r="J1092" i="58"/>
  <c r="L1092" i="58"/>
  <c r="J1075" i="58"/>
  <c r="L1075" i="58"/>
  <c r="N1075" i="58" s="1"/>
  <c r="J1056" i="58"/>
  <c r="L1056" i="58"/>
  <c r="N1056" i="58" s="1"/>
  <c r="J1031" i="58"/>
  <c r="L1029" i="58"/>
  <c r="N1029" i="58" s="1"/>
  <c r="J959" i="58"/>
  <c r="L959" i="58"/>
  <c r="J915" i="58"/>
  <c r="L913" i="58"/>
  <c r="L893" i="58"/>
  <c r="L889" i="58"/>
  <c r="L758" i="58"/>
  <c r="J758" i="58"/>
  <c r="J722" i="58"/>
  <c r="J624" i="58"/>
  <c r="L624" i="58"/>
  <c r="J568" i="58"/>
  <c r="L568" i="58"/>
  <c r="L1228" i="58"/>
  <c r="N1228" i="58" s="1"/>
  <c r="L1187" i="58"/>
  <c r="J1187" i="58"/>
  <c r="L1185" i="58"/>
  <c r="J1181" i="58"/>
  <c r="L1177" i="58"/>
  <c r="N1171" i="58"/>
  <c r="L1167" i="58"/>
  <c r="N1167" i="58" s="1"/>
  <c r="L1141" i="58"/>
  <c r="N1141" i="58" s="1"/>
  <c r="L1139" i="58"/>
  <c r="N1139" i="58" s="1"/>
  <c r="J1139" i="58"/>
  <c r="L1137" i="58"/>
  <c r="L1129" i="58"/>
  <c r="N1123" i="58"/>
  <c r="L1037" i="58"/>
  <c r="J1037" i="58"/>
  <c r="N1031" i="58"/>
  <c r="J983" i="58"/>
  <c r="L983" i="58"/>
  <c r="N983" i="58" s="1"/>
  <c r="J917" i="58"/>
  <c r="L917" i="58"/>
  <c r="J895" i="58"/>
  <c r="L895" i="58"/>
  <c r="J728" i="58"/>
  <c r="L728" i="58"/>
  <c r="N728" i="58" s="1"/>
  <c r="L595" i="58"/>
  <c r="J1205" i="58"/>
  <c r="J1189" i="58"/>
  <c r="L1161" i="58"/>
  <c r="J1153" i="58"/>
  <c r="J1151" i="58"/>
  <c r="J1123" i="58"/>
  <c r="J1121" i="58"/>
  <c r="J1109" i="58"/>
  <c r="L1109" i="58"/>
  <c r="J1079" i="58"/>
  <c r="L1079" i="58"/>
  <c r="N1058" i="58"/>
  <c r="L974" i="58"/>
  <c r="J818" i="58"/>
  <c r="L818" i="58"/>
  <c r="L767" i="58"/>
  <c r="J767" i="58"/>
  <c r="L686" i="58"/>
  <c r="N686" i="58" s="1"/>
  <c r="J649" i="58"/>
  <c r="L626" i="58"/>
  <c r="J626" i="58"/>
  <c r="L1193" i="58"/>
  <c r="N1193" i="58" s="1"/>
  <c r="J1193" i="58"/>
  <c r="L1163" i="58"/>
  <c r="J1163" i="58"/>
  <c r="L1157" i="58"/>
  <c r="N1157" i="58" s="1"/>
  <c r="J1157" i="58"/>
  <c r="J1143" i="58"/>
  <c r="L1143" i="58"/>
  <c r="J1125" i="58"/>
  <c r="L1125" i="58"/>
  <c r="J1098" i="58"/>
  <c r="L1098" i="58"/>
  <c r="N1098" i="58" s="1"/>
  <c r="J919" i="58"/>
  <c r="L919" i="58"/>
  <c r="L878" i="58"/>
  <c r="J878" i="58"/>
  <c r="J730" i="58"/>
  <c r="L730" i="58"/>
  <c r="L1231" i="58"/>
  <c r="N1231" i="58" s="1"/>
  <c r="J967" i="58"/>
  <c r="L967" i="58"/>
  <c r="N967" i="58" s="1"/>
  <c r="J943" i="58"/>
  <c r="L943" i="58"/>
  <c r="N943" i="58" s="1"/>
  <c r="L867" i="58"/>
  <c r="L711" i="58"/>
  <c r="J711" i="58"/>
  <c r="N556" i="58"/>
  <c r="L1233" i="58"/>
  <c r="N1233" i="58" s="1"/>
  <c r="L1216" i="58"/>
  <c r="N1216" i="58" s="1"/>
  <c r="L1106" i="58"/>
  <c r="N1106" i="58" s="1"/>
  <c r="J1104" i="58"/>
  <c r="L1104" i="58"/>
  <c r="N1104" i="58" s="1"/>
  <c r="J1085" i="58"/>
  <c r="L1085" i="58"/>
  <c r="L980" i="58"/>
  <c r="J969" i="58"/>
  <c r="L969" i="58"/>
  <c r="L945" i="58"/>
  <c r="N945" i="58" s="1"/>
  <c r="J923" i="58"/>
  <c r="L923" i="58"/>
  <c r="J869" i="58"/>
  <c r="L865" i="58"/>
  <c r="L824" i="58"/>
  <c r="J717" i="58"/>
  <c r="J558" i="58"/>
  <c r="L558" i="58"/>
  <c r="N558" i="58" s="1"/>
  <c r="J1087" i="58"/>
  <c r="L1087" i="58"/>
  <c r="L673" i="58"/>
  <c r="N673" i="58" s="1"/>
  <c r="J673" i="58"/>
  <c r="J1168" i="58"/>
  <c r="L1140" i="58"/>
  <c r="J1134" i="58"/>
  <c r="L1134" i="58"/>
  <c r="L1061" i="58"/>
  <c r="J1059" i="58"/>
  <c r="J1040" i="58"/>
  <c r="J947" i="58"/>
  <c r="L947" i="58"/>
  <c r="N947" i="58" s="1"/>
  <c r="J927" i="58"/>
  <c r="J752" i="58"/>
  <c r="N719" i="58"/>
  <c r="J699" i="58"/>
  <c r="J605" i="58"/>
  <c r="L605" i="58"/>
  <c r="J560" i="58"/>
  <c r="L560" i="58"/>
  <c r="J393" i="58"/>
  <c r="L393" i="58"/>
  <c r="L354" i="58"/>
  <c r="N354" i="58" s="1"/>
  <c r="J354" i="58"/>
  <c r="L395" i="58"/>
  <c r="M395" i="58" s="1"/>
  <c r="N166" i="58"/>
  <c r="N153" i="58"/>
  <c r="L1032" i="58"/>
  <c r="L1004" i="58"/>
  <c r="L966" i="58"/>
  <c r="L948" i="58"/>
  <c r="N948" i="58" s="1"/>
  <c r="J902" i="58"/>
  <c r="J896" i="58"/>
  <c r="L883" i="58"/>
  <c r="L881" i="58"/>
  <c r="L879" i="58"/>
  <c r="L846" i="58"/>
  <c r="N846" i="58" s="1"/>
  <c r="L838" i="58"/>
  <c r="L836" i="58"/>
  <c r="L811" i="58"/>
  <c r="J798" i="58"/>
  <c r="L781" i="58"/>
  <c r="J781" i="58"/>
  <c r="L760" i="58"/>
  <c r="J750" i="58"/>
  <c r="L748" i="58"/>
  <c r="J746" i="58"/>
  <c r="J744" i="58"/>
  <c r="L742" i="58"/>
  <c r="N742" i="58" s="1"/>
  <c r="N740" i="58"/>
  <c r="L692" i="58"/>
  <c r="L669" i="58"/>
  <c r="N669" i="58" s="1"/>
  <c r="L667" i="58"/>
  <c r="L665" i="58"/>
  <c r="N665" i="58" s="1"/>
  <c r="L663" i="58"/>
  <c r="L641" i="58"/>
  <c r="N641" i="58" s="1"/>
  <c r="L619" i="58"/>
  <c r="N619" i="58" s="1"/>
  <c r="J619" i="58"/>
  <c r="J602" i="58"/>
  <c r="L598" i="58"/>
  <c r="L512" i="58"/>
  <c r="J472" i="58"/>
  <c r="L472" i="58"/>
  <c r="N472" i="58" s="1"/>
  <c r="J449" i="58"/>
  <c r="L449" i="58"/>
  <c r="N449" i="58" s="1"/>
  <c r="L427" i="58"/>
  <c r="J427" i="58"/>
  <c r="J374" i="58"/>
  <c r="L374" i="58"/>
  <c r="N374" i="58" s="1"/>
  <c r="M261" i="58"/>
  <c r="N261" i="58"/>
  <c r="J1043" i="58"/>
  <c r="J944" i="58"/>
  <c r="L928" i="58"/>
  <c r="L924" i="58"/>
  <c r="N924" i="58" s="1"/>
  <c r="N920" i="58"/>
  <c r="L918" i="58"/>
  <c r="N918" i="58" s="1"/>
  <c r="J870" i="58"/>
  <c r="L844" i="58"/>
  <c r="N844" i="58" s="1"/>
  <c r="L802" i="58"/>
  <c r="L766" i="58"/>
  <c r="J740" i="58"/>
  <c r="J702" i="58"/>
  <c r="L700" i="58"/>
  <c r="N700" i="58" s="1"/>
  <c r="L696" i="58"/>
  <c r="N696" i="58" s="1"/>
  <c r="L635" i="58"/>
  <c r="L625" i="58"/>
  <c r="J625" i="58"/>
  <c r="L623" i="58"/>
  <c r="N623" i="58" s="1"/>
  <c r="L621" i="58"/>
  <c r="N621" i="58" s="1"/>
  <c r="L604" i="58"/>
  <c r="N604" i="58" s="1"/>
  <c r="L567" i="58"/>
  <c r="L531" i="58"/>
  <c r="J451" i="58"/>
  <c r="L444" i="58"/>
  <c r="L440" i="58"/>
  <c r="N440" i="58" s="1"/>
  <c r="J331" i="58"/>
  <c r="L331" i="58"/>
  <c r="J312" i="58"/>
  <c r="L312" i="58"/>
  <c r="L787" i="58"/>
  <c r="J787" i="58"/>
  <c r="J485" i="58"/>
  <c r="L485" i="58"/>
  <c r="N485" i="58" s="1"/>
  <c r="N451" i="58"/>
  <c r="N142" i="58"/>
  <c r="L1062" i="58"/>
  <c r="N1062" i="58" s="1"/>
  <c r="N1043" i="58"/>
  <c r="J975" i="58"/>
  <c r="L973" i="58"/>
  <c r="N973" i="58" s="1"/>
  <c r="N914" i="58"/>
  <c r="J890" i="58"/>
  <c r="L875" i="58"/>
  <c r="J866" i="58"/>
  <c r="L772" i="58"/>
  <c r="L687" i="58"/>
  <c r="L659" i="58"/>
  <c r="N659" i="58" s="1"/>
  <c r="L657" i="58"/>
  <c r="N657" i="58" s="1"/>
  <c r="L655" i="58"/>
  <c r="N655" i="58" s="1"/>
  <c r="L648" i="58"/>
  <c r="N648" i="58" s="1"/>
  <c r="J572" i="58"/>
  <c r="L555" i="58"/>
  <c r="L553" i="58"/>
  <c r="L643" i="58"/>
  <c r="L469" i="58"/>
  <c r="N469" i="58" s="1"/>
  <c r="J362" i="58"/>
  <c r="L362" i="58"/>
  <c r="N362" i="58" s="1"/>
  <c r="L992" i="58"/>
  <c r="L971" i="58"/>
  <c r="N971" i="58" s="1"/>
  <c r="J888" i="58"/>
  <c r="L873" i="58"/>
  <c r="N873" i="58" s="1"/>
  <c r="J793" i="58"/>
  <c r="L793" i="58"/>
  <c r="L778" i="58"/>
  <c r="L757" i="58"/>
  <c r="N757" i="58" s="1"/>
  <c r="J755" i="58"/>
  <c r="J723" i="58"/>
  <c r="L721" i="58"/>
  <c r="J689" i="58"/>
  <c r="L680" i="58"/>
  <c r="J678" i="58"/>
  <c r="J630" i="58"/>
  <c r="L614" i="58"/>
  <c r="L570" i="58"/>
  <c r="L532" i="58"/>
  <c r="L526" i="58"/>
  <c r="L498" i="58"/>
  <c r="N498" i="58" s="1"/>
  <c r="L494" i="58"/>
  <c r="N494" i="58" s="1"/>
  <c r="L478" i="58"/>
  <c r="N478" i="58" s="1"/>
  <c r="J410" i="58"/>
  <c r="L410" i="58"/>
  <c r="L905" i="58"/>
  <c r="L899" i="58"/>
  <c r="N888" i="58"/>
  <c r="J884" i="58"/>
  <c r="J855" i="58"/>
  <c r="J849" i="58"/>
  <c r="L847" i="58"/>
  <c r="J833" i="58"/>
  <c r="L833" i="58"/>
  <c r="N833" i="58" s="1"/>
  <c r="L795" i="58"/>
  <c r="J714" i="58"/>
  <c r="L712" i="58"/>
  <c r="N712" i="58" s="1"/>
  <c r="J693" i="58"/>
  <c r="J672" i="58"/>
  <c r="L653" i="58"/>
  <c r="N653" i="58" s="1"/>
  <c r="J632" i="58"/>
  <c r="N630" i="58"/>
  <c r="L628" i="58"/>
  <c r="N628" i="58" s="1"/>
  <c r="J541" i="58"/>
  <c r="L745" i="58"/>
  <c r="J745" i="58"/>
  <c r="N693" i="58"/>
  <c r="L490" i="58"/>
  <c r="N490" i="58" s="1"/>
  <c r="N882" i="58"/>
  <c r="N803" i="58"/>
  <c r="L634" i="58"/>
  <c r="N634" i="58" s="1"/>
  <c r="J634" i="58"/>
  <c r="L466" i="58"/>
  <c r="N466" i="58" s="1"/>
  <c r="J466" i="58"/>
  <c r="N171" i="58"/>
  <c r="L364" i="58"/>
  <c r="L358" i="58"/>
  <c r="J337" i="58"/>
  <c r="L280" i="58"/>
  <c r="L278" i="58"/>
  <c r="N278" i="58" s="1"/>
  <c r="J275" i="58"/>
  <c r="J261" i="58"/>
  <c r="J254" i="58"/>
  <c r="J252" i="58"/>
  <c r="N241" i="58"/>
  <c r="J235" i="58"/>
  <c r="J233" i="58"/>
  <c r="L219" i="58"/>
  <c r="J191" i="58"/>
  <c r="J173" i="58"/>
  <c r="J166" i="58"/>
  <c r="J153" i="58"/>
  <c r="J131" i="58"/>
  <c r="J129" i="58"/>
  <c r="L123" i="58"/>
  <c r="J121" i="58"/>
  <c r="N117" i="58"/>
  <c r="L108" i="58"/>
  <c r="N108" i="58" s="1"/>
  <c r="L38" i="58"/>
  <c r="L27" i="58"/>
  <c r="L294" i="58"/>
  <c r="L243" i="58"/>
  <c r="J186" i="58"/>
  <c r="J151" i="58"/>
  <c r="L136" i="58"/>
  <c r="N136" i="58" s="1"/>
  <c r="L59" i="58"/>
  <c r="L57" i="58"/>
  <c r="N57" i="58" s="1"/>
  <c r="L29" i="58"/>
  <c r="L9" i="58"/>
  <c r="N9" i="58" s="1"/>
  <c r="L405" i="58"/>
  <c r="N405" i="58" s="1"/>
  <c r="L401" i="58"/>
  <c r="L399" i="58"/>
  <c r="L380" i="58"/>
  <c r="N380" i="58" s="1"/>
  <c r="L346" i="58"/>
  <c r="J271" i="58"/>
  <c r="L156" i="58"/>
  <c r="N151" i="58"/>
  <c r="L104" i="58"/>
  <c r="N104" i="58" s="1"/>
  <c r="L102" i="58"/>
  <c r="J98" i="58"/>
  <c r="J94" i="58"/>
  <c r="L82" i="58"/>
  <c r="N82" i="58" s="1"/>
  <c r="L50" i="58"/>
  <c r="L48" i="58"/>
  <c r="N48" i="58" s="1"/>
  <c r="L33" i="58"/>
  <c r="L424" i="58"/>
  <c r="N424" i="58" s="1"/>
  <c r="L413" i="58"/>
  <c r="N413" i="58" s="1"/>
  <c r="L411" i="58"/>
  <c r="L371" i="58"/>
  <c r="L369" i="58"/>
  <c r="L367" i="58"/>
  <c r="L365" i="58"/>
  <c r="N365" i="58" s="1"/>
  <c r="J359" i="58"/>
  <c r="L342" i="58"/>
  <c r="N342" i="58" s="1"/>
  <c r="L338" i="58"/>
  <c r="L456" i="58"/>
  <c r="L332" i="58"/>
  <c r="N332" i="58" s="1"/>
  <c r="L326" i="58"/>
  <c r="N326" i="58" s="1"/>
  <c r="L306" i="58"/>
  <c r="N306" i="58" s="1"/>
  <c r="L302" i="58"/>
  <c r="J295" i="58"/>
  <c r="L269" i="58"/>
  <c r="N269" i="58" s="1"/>
  <c r="L255" i="58"/>
  <c r="N255" i="58" s="1"/>
  <c r="L239" i="58"/>
  <c r="N239" i="58" s="1"/>
  <c r="L229" i="58"/>
  <c r="N229" i="58" s="1"/>
  <c r="L217" i="58"/>
  <c r="L211" i="58"/>
  <c r="L209" i="58"/>
  <c r="L207" i="58"/>
  <c r="L205" i="58"/>
  <c r="L203" i="58"/>
  <c r="L200" i="58"/>
  <c r="L195" i="58"/>
  <c r="L187" i="58"/>
  <c r="L182" i="58"/>
  <c r="L177" i="58"/>
  <c r="N177" i="58" s="1"/>
  <c r="N141" i="58"/>
  <c r="N118" i="58"/>
  <c r="L15" i="58"/>
  <c r="L375" i="58"/>
  <c r="L328" i="58"/>
  <c r="L253" i="58"/>
  <c r="L234" i="58"/>
  <c r="N234" i="58" s="1"/>
  <c r="N192" i="58"/>
  <c r="N174" i="58"/>
  <c r="L152" i="58"/>
  <c r="N152" i="58" s="1"/>
  <c r="L128" i="58"/>
  <c r="N128" i="58" s="1"/>
  <c r="J122" i="58"/>
  <c r="L120" i="58"/>
  <c r="J118" i="58"/>
  <c r="L60" i="58"/>
  <c r="N60" i="58" s="1"/>
  <c r="L39" i="58"/>
  <c r="L26" i="58"/>
  <c r="N26" i="58" s="1"/>
  <c r="L17" i="58"/>
  <c r="L324" i="58"/>
  <c r="N289" i="58"/>
  <c r="L282" i="58"/>
  <c r="L272" i="58"/>
  <c r="N272" i="58" s="1"/>
  <c r="L251" i="58"/>
  <c r="L237" i="58"/>
  <c r="L201" i="58"/>
  <c r="L486" i="58"/>
  <c r="L460" i="58"/>
  <c r="N460" i="58" s="1"/>
  <c r="L398" i="58"/>
  <c r="N398" i="58" s="1"/>
  <c r="L383" i="58"/>
  <c r="L381" i="58"/>
  <c r="L349" i="58"/>
  <c r="L318" i="58"/>
  <c r="N318" i="58" s="1"/>
  <c r="L300" i="58"/>
  <c r="L296" i="58"/>
  <c r="J289" i="58"/>
  <c r="L232" i="58"/>
  <c r="J223" i="58"/>
  <c r="L218" i="58"/>
  <c r="J198" i="58"/>
  <c r="L193" i="58"/>
  <c r="N193" i="58" s="1"/>
  <c r="L188" i="58"/>
  <c r="L183" i="58"/>
  <c r="N183" i="58" s="1"/>
  <c r="J180" i="58"/>
  <c r="L175" i="58"/>
  <c r="N175" i="58" s="1"/>
  <c r="L170" i="58"/>
  <c r="L163" i="58"/>
  <c r="L157" i="58"/>
  <c r="L155" i="58"/>
  <c r="N155" i="58" s="1"/>
  <c r="L144" i="58"/>
  <c r="N144" i="58" s="1"/>
  <c r="L133" i="58"/>
  <c r="L97" i="58"/>
  <c r="N97" i="58" s="1"/>
  <c r="L3" i="58"/>
  <c r="N3" i="58" s="1"/>
  <c r="L617" i="58"/>
  <c r="L454" i="58"/>
  <c r="L452" i="58"/>
  <c r="N452" i="58" s="1"/>
  <c r="L487" i="58"/>
  <c r="N487" i="58" s="1"/>
  <c r="L387" i="58"/>
  <c r="N387" i="58" s="1"/>
  <c r="L385" i="58"/>
  <c r="N198" i="58"/>
  <c r="N180" i="58"/>
  <c r="L168" i="58"/>
  <c r="L110" i="58"/>
  <c r="N110" i="58" s="1"/>
  <c r="L91" i="58"/>
  <c r="N91" i="58" s="1"/>
  <c r="L74" i="58"/>
  <c r="L72" i="58"/>
  <c r="N72" i="58" s="1"/>
  <c r="L47" i="58"/>
  <c r="L45" i="58"/>
  <c r="L23" i="58"/>
  <c r="N23" i="58" s="1"/>
  <c r="N684" i="58"/>
  <c r="L210" i="58"/>
  <c r="J854" i="58"/>
  <c r="L854" i="58"/>
  <c r="L276" i="58"/>
  <c r="J276" i="58"/>
  <c r="N1145" i="58"/>
  <c r="J1184" i="58"/>
  <c r="L1184" i="58"/>
  <c r="N1199" i="58"/>
  <c r="N1237" i="58"/>
  <c r="J1197" i="58"/>
  <c r="L1197" i="58"/>
  <c r="N1101" i="58"/>
  <c r="J1091" i="58"/>
  <c r="L1091" i="58"/>
  <c r="N1217" i="58"/>
  <c r="J1208" i="58"/>
  <c r="L1208" i="58"/>
  <c r="J1182" i="58"/>
  <c r="L1182" i="58"/>
  <c r="J1224" i="58"/>
  <c r="L1224" i="58"/>
  <c r="N1077" i="58"/>
  <c r="J1206" i="58"/>
  <c r="L1206" i="58"/>
  <c r="N1133" i="58"/>
  <c r="L1020" i="58"/>
  <c r="J1020" i="58"/>
  <c r="N1144" i="58"/>
  <c r="M1053" i="58"/>
  <c r="N1053" i="58"/>
  <c r="J937" i="58"/>
  <c r="L937" i="58"/>
  <c r="J1227" i="58"/>
  <c r="L1227" i="58"/>
  <c r="J1238" i="58"/>
  <c r="L1238" i="58"/>
  <c r="N1181" i="58"/>
  <c r="N1234" i="58"/>
  <c r="J1230" i="58"/>
  <c r="L1230" i="58"/>
  <c r="N1205" i="58"/>
  <c r="N1175" i="58"/>
  <c r="N1151" i="58"/>
  <c r="J1039" i="58"/>
  <c r="L1039" i="58"/>
  <c r="J1173" i="58"/>
  <c r="L1173" i="58"/>
  <c r="N1121" i="58"/>
  <c r="N1222" i="58"/>
  <c r="L1203" i="58"/>
  <c r="L1179" i="58"/>
  <c r="J1166" i="58"/>
  <c r="L1166" i="58"/>
  <c r="L1110" i="58"/>
  <c r="J1095" i="58"/>
  <c r="L1095" i="58"/>
  <c r="J1071" i="58"/>
  <c r="L1071" i="58"/>
  <c r="J1214" i="58"/>
  <c r="L1214" i="58"/>
  <c r="J1190" i="58"/>
  <c r="L1190" i="58"/>
  <c r="J1045" i="58"/>
  <c r="L1045" i="58"/>
  <c r="J1024" i="58"/>
  <c r="L1024" i="58"/>
  <c r="N927" i="58"/>
  <c r="J1154" i="58"/>
  <c r="L1154" i="58"/>
  <c r="L1235" i="58"/>
  <c r="J1232" i="58"/>
  <c r="L1232" i="58"/>
  <c r="J1220" i="58"/>
  <c r="L1220" i="58"/>
  <c r="J1196" i="58"/>
  <c r="L1196" i="58"/>
  <c r="J1172" i="58"/>
  <c r="L1172" i="58"/>
  <c r="J1142" i="58"/>
  <c r="L1142" i="58"/>
  <c r="N1132" i="58"/>
  <c r="N1076" i="58"/>
  <c r="J1226" i="58"/>
  <c r="L1226" i="58"/>
  <c r="L1188" i="58"/>
  <c r="N1180" i="58"/>
  <c r="N1070" i="58"/>
  <c r="N1189" i="58"/>
  <c r="N1035" i="58"/>
  <c r="L1239" i="58"/>
  <c r="J1202" i="58"/>
  <c r="L1202" i="58"/>
  <c r="J1199" i="58"/>
  <c r="J1178" i="58"/>
  <c r="L1178" i="58"/>
  <c r="J1175" i="58"/>
  <c r="J1160" i="58"/>
  <c r="L1160" i="58"/>
  <c r="J1096" i="58"/>
  <c r="L1096" i="58"/>
  <c r="L1081" i="58"/>
  <c r="J1072" i="58"/>
  <c r="L1072" i="58"/>
  <c r="L1057" i="58"/>
  <c r="J1148" i="58"/>
  <c r="L1148" i="58"/>
  <c r="L1107" i="58"/>
  <c r="L1102" i="58"/>
  <c r="L1083" i="58"/>
  <c r="L1078" i="58"/>
  <c r="L1054" i="58"/>
  <c r="J1027" i="58"/>
  <c r="L1027" i="58"/>
  <c r="N968" i="58"/>
  <c r="N762" i="58"/>
  <c r="L1069" i="58"/>
  <c r="L1055" i="58"/>
  <c r="L1050" i="58"/>
  <c r="L1136" i="58"/>
  <c r="L1130" i="58"/>
  <c r="L1124" i="58"/>
  <c r="L1118" i="58"/>
  <c r="L1113" i="58"/>
  <c r="L1108" i="58"/>
  <c r="L1089" i="58"/>
  <c r="L1084" i="58"/>
  <c r="L1065" i="58"/>
  <c r="L1060" i="58"/>
  <c r="J1035" i="58"/>
  <c r="N944" i="58"/>
  <c r="N975" i="58"/>
  <c r="L910" i="58"/>
  <c r="J910" i="58"/>
  <c r="L904" i="58"/>
  <c r="J904" i="58"/>
  <c r="J807" i="58"/>
  <c r="L807" i="58"/>
  <c r="L1114" i="58"/>
  <c r="L1090" i="58"/>
  <c r="L1066" i="58"/>
  <c r="J1041" i="58"/>
  <c r="J1017" i="58"/>
  <c r="L1017" i="58"/>
  <c r="J1013" i="58"/>
  <c r="L1013" i="58"/>
  <c r="L1011" i="58"/>
  <c r="J1009" i="58"/>
  <c r="L1009" i="58"/>
  <c r="L1007" i="58"/>
  <c r="J1005" i="58"/>
  <c r="L1005" i="58"/>
  <c r="J1001" i="58"/>
  <c r="L1001" i="58"/>
  <c r="L999" i="58"/>
  <c r="J997" i="58"/>
  <c r="L997" i="58"/>
  <c r="L995" i="58"/>
  <c r="J993" i="58"/>
  <c r="L993" i="58"/>
  <c r="J989" i="58"/>
  <c r="L989" i="58"/>
  <c r="J1015" i="58"/>
  <c r="L1015" i="58"/>
  <c r="J1003" i="58"/>
  <c r="L1003" i="58"/>
  <c r="J991" i="58"/>
  <c r="L991" i="58"/>
  <c r="J961" i="58"/>
  <c r="L961" i="58"/>
  <c r="J1022" i="58"/>
  <c r="L1022" i="58"/>
  <c r="N869" i="58"/>
  <c r="L756" i="58"/>
  <c r="J756" i="58"/>
  <c r="L979" i="58"/>
  <c r="J912" i="58"/>
  <c r="L912" i="58"/>
  <c r="L898" i="58"/>
  <c r="J898" i="58"/>
  <c r="L853" i="58"/>
  <c r="J853" i="58"/>
  <c r="N792" i="58"/>
  <c r="N768" i="58"/>
  <c r="N714" i="58"/>
  <c r="N902" i="58"/>
  <c r="L874" i="58"/>
  <c r="J874" i="58"/>
  <c r="L863" i="58"/>
  <c r="J863" i="58"/>
  <c r="N849" i="58"/>
  <c r="J829" i="58"/>
  <c r="L829" i="58"/>
  <c r="J819" i="58"/>
  <c r="L819" i="58"/>
  <c r="N786" i="58"/>
  <c r="N540" i="58"/>
  <c r="N915" i="58"/>
  <c r="N896" i="58"/>
  <c r="N821" i="58"/>
  <c r="N780" i="58"/>
  <c r="L1026" i="58"/>
  <c r="L1021" i="58"/>
  <c r="L1012" i="58"/>
  <c r="L1000" i="58"/>
  <c r="L988" i="58"/>
  <c r="L922" i="58"/>
  <c r="J922" i="58"/>
  <c r="L892" i="58"/>
  <c r="J892" i="58"/>
  <c r="N872" i="58"/>
  <c r="N839" i="58"/>
  <c r="N798" i="58"/>
  <c r="L963" i="58"/>
  <c r="L956" i="58"/>
  <c r="L939" i="58"/>
  <c r="L932" i="58"/>
  <c r="L925" i="58"/>
  <c r="L804" i="58"/>
  <c r="J804" i="58"/>
  <c r="N702" i="58"/>
  <c r="L981" i="58"/>
  <c r="L977" i="58"/>
  <c r="L970" i="58"/>
  <c r="L960" i="58"/>
  <c r="L953" i="58"/>
  <c r="L946" i="58"/>
  <c r="L936" i="58"/>
  <c r="L929" i="58"/>
  <c r="J920" i="58"/>
  <c r="N890" i="58"/>
  <c r="L868" i="58"/>
  <c r="J868" i="58"/>
  <c r="N775" i="58"/>
  <c r="L985" i="58"/>
  <c r="L886" i="58"/>
  <c r="J886" i="58"/>
  <c r="L858" i="58"/>
  <c r="J858" i="58"/>
  <c r="N866" i="58"/>
  <c r="J789" i="58"/>
  <c r="L789" i="58"/>
  <c r="J777" i="58"/>
  <c r="L777" i="58"/>
  <c r="L1033" i="58"/>
  <c r="L1028" i="58"/>
  <c r="L1023" i="58"/>
  <c r="L1018" i="58"/>
  <c r="L1014" i="58"/>
  <c r="L1010" i="58"/>
  <c r="L1002" i="58"/>
  <c r="L998" i="58"/>
  <c r="L990" i="58"/>
  <c r="L986" i="58"/>
  <c r="L978" i="58"/>
  <c r="L964" i="58"/>
  <c r="L954" i="58"/>
  <c r="L940" i="58"/>
  <c r="N884" i="58"/>
  <c r="L822" i="58"/>
  <c r="J822" i="58"/>
  <c r="N738" i="58"/>
  <c r="N517" i="58"/>
  <c r="L1006" i="58"/>
  <c r="L994" i="58"/>
  <c r="L982" i="58"/>
  <c r="L916" i="58"/>
  <c r="J916" i="58"/>
  <c r="L880" i="58"/>
  <c r="J880" i="58"/>
  <c r="L840" i="58"/>
  <c r="J840" i="58"/>
  <c r="J794" i="58"/>
  <c r="L794" i="58"/>
  <c r="N791" i="58"/>
  <c r="N754" i="58"/>
  <c r="N749" i="58"/>
  <c r="L864" i="58"/>
  <c r="L859" i="58"/>
  <c r="L841" i="58"/>
  <c r="L830" i="58"/>
  <c r="L816" i="58"/>
  <c r="L810" i="58"/>
  <c r="N779" i="58"/>
  <c r="N761" i="58"/>
  <c r="L701" i="58"/>
  <c r="J701" i="58"/>
  <c r="L690" i="58"/>
  <c r="J690" i="58"/>
  <c r="L645" i="58"/>
  <c r="J645" i="58"/>
  <c r="L906" i="58"/>
  <c r="L900" i="58"/>
  <c r="L850" i="58"/>
  <c r="L823" i="58"/>
  <c r="J797" i="58"/>
  <c r="J768" i="58"/>
  <c r="J706" i="58"/>
  <c r="L706" i="58"/>
  <c r="J800" i="58"/>
  <c r="L800" i="58"/>
  <c r="N750" i="58"/>
  <c r="L697" i="58"/>
  <c r="J697" i="58"/>
  <c r="L679" i="58"/>
  <c r="J679" i="58"/>
  <c r="J461" i="58"/>
  <c r="L461" i="58"/>
  <c r="L834" i="58"/>
  <c r="N746" i="58"/>
  <c r="M743" i="58"/>
  <c r="N743" i="58"/>
  <c r="N739" i="58"/>
  <c r="L727" i="58"/>
  <c r="N722" i="58"/>
  <c r="J710" i="58"/>
  <c r="L710" i="58"/>
  <c r="N602" i="58"/>
  <c r="N885" i="58"/>
  <c r="L861" i="58"/>
  <c r="L856" i="58"/>
  <c r="L831" i="58"/>
  <c r="L817" i="58"/>
  <c r="L814" i="58"/>
  <c r="L808" i="58"/>
  <c r="J780" i="58"/>
  <c r="N566" i="58"/>
  <c r="L908" i="58"/>
  <c r="L843" i="58"/>
  <c r="J803" i="58"/>
  <c r="J762" i="58"/>
  <c r="N755" i="58"/>
  <c r="L732" i="58"/>
  <c r="J668" i="58"/>
  <c r="L668" i="58"/>
  <c r="N666" i="58"/>
  <c r="J806" i="58"/>
  <c r="L806" i="58"/>
  <c r="J788" i="58"/>
  <c r="L788" i="58"/>
  <c r="J783" i="58"/>
  <c r="L783" i="58"/>
  <c r="L713" i="58"/>
  <c r="J713" i="58"/>
  <c r="N506" i="58"/>
  <c r="L862" i="58"/>
  <c r="L825" i="58"/>
  <c r="L812" i="58"/>
  <c r="N785" i="58"/>
  <c r="N744" i="58"/>
  <c r="N723" i="58"/>
  <c r="J718" i="58"/>
  <c r="L718" i="58"/>
  <c r="N774" i="58"/>
  <c r="N737" i="58"/>
  <c r="L709" i="58"/>
  <c r="J709" i="58"/>
  <c r="N660" i="58"/>
  <c r="N632" i="58"/>
  <c r="N530" i="58"/>
  <c r="J791" i="58"/>
  <c r="J774" i="58"/>
  <c r="J698" i="58"/>
  <c r="L698" i="58"/>
  <c r="J676" i="58"/>
  <c r="L676" i="58"/>
  <c r="J591" i="58"/>
  <c r="L591" i="58"/>
  <c r="J579" i="58"/>
  <c r="L579" i="58"/>
  <c r="J448" i="58"/>
  <c r="L448" i="58"/>
  <c r="L600" i="58"/>
  <c r="J600" i="58"/>
  <c r="N670" i="58"/>
  <c r="N337" i="58"/>
  <c r="L329" i="58"/>
  <c r="J329" i="58"/>
  <c r="J674" i="58"/>
  <c r="L674" i="58"/>
  <c r="L639" i="58"/>
  <c r="J639" i="58"/>
  <c r="J467" i="58"/>
  <c r="L467" i="58"/>
  <c r="J434" i="58"/>
  <c r="L434" i="58"/>
  <c r="L729" i="58"/>
  <c r="L707" i="58"/>
  <c r="L695" i="58"/>
  <c r="L691" i="58"/>
  <c r="N582" i="58"/>
  <c r="L578" i="58"/>
  <c r="J578" i="58"/>
  <c r="N576" i="58"/>
  <c r="N536" i="58"/>
  <c r="J493" i="58"/>
  <c r="L493" i="58"/>
  <c r="J465" i="58"/>
  <c r="L465" i="58"/>
  <c r="L782" i="58"/>
  <c r="L776" i="58"/>
  <c r="L770" i="58"/>
  <c r="L764" i="58"/>
  <c r="J684" i="58"/>
  <c r="N649" i="58"/>
  <c r="J611" i="58"/>
  <c r="L611" i="58"/>
  <c r="N601" i="58"/>
  <c r="L529" i="58"/>
  <c r="J529" i="58"/>
  <c r="L688" i="58"/>
  <c r="N678" i="58"/>
  <c r="N672" i="58"/>
  <c r="J666" i="58"/>
  <c r="L523" i="58"/>
  <c r="L511" i="58"/>
  <c r="J473" i="58"/>
  <c r="L473" i="58"/>
  <c r="L771" i="58"/>
  <c r="L765" i="58"/>
  <c r="L759" i="58"/>
  <c r="L753" i="58"/>
  <c r="L747" i="58"/>
  <c r="L741" i="58"/>
  <c r="L735" i="58"/>
  <c r="N717" i="58"/>
  <c r="L708" i="58"/>
  <c r="N705" i="58"/>
  <c r="N572" i="58"/>
  <c r="N550" i="58"/>
  <c r="N548" i="58"/>
  <c r="N541" i="58"/>
  <c r="J682" i="58"/>
  <c r="L682" i="58"/>
  <c r="L565" i="58"/>
  <c r="J565" i="58"/>
  <c r="J479" i="58"/>
  <c r="L479" i="58"/>
  <c r="N636" i="58"/>
  <c r="L631" i="58"/>
  <c r="L559" i="58"/>
  <c r="L569" i="58"/>
  <c r="J569" i="58"/>
  <c r="N546" i="58"/>
  <c r="L533" i="58"/>
  <c r="J533" i="58"/>
  <c r="N391" i="58"/>
  <c r="L563" i="58"/>
  <c r="J563" i="58"/>
  <c r="L527" i="58"/>
  <c r="J527" i="58"/>
  <c r="N509" i="58"/>
  <c r="J501" i="58"/>
  <c r="L501" i="58"/>
  <c r="J477" i="58"/>
  <c r="L477" i="58"/>
  <c r="J471" i="58"/>
  <c r="L471" i="58"/>
  <c r="J450" i="58"/>
  <c r="L450" i="58"/>
  <c r="L557" i="58"/>
  <c r="J557" i="58"/>
  <c r="N534" i="58"/>
  <c r="L521" i="58"/>
  <c r="J521" i="58"/>
  <c r="L453" i="58"/>
  <c r="N409" i="58"/>
  <c r="L340" i="58"/>
  <c r="J340" i="58"/>
  <c r="L662" i="58"/>
  <c r="L656" i="58"/>
  <c r="L642" i="58"/>
  <c r="N638" i="58"/>
  <c r="L637" i="58"/>
  <c r="L612" i="58"/>
  <c r="L589" i="58"/>
  <c r="L564" i="58"/>
  <c r="L554" i="58"/>
  <c r="L551" i="58"/>
  <c r="J551" i="58"/>
  <c r="L528" i="58"/>
  <c r="L445" i="58"/>
  <c r="L437" i="58"/>
  <c r="L652" i="58"/>
  <c r="L647" i="58"/>
  <c r="L633" i="58"/>
  <c r="L616" i="58"/>
  <c r="L609" i="58"/>
  <c r="L599" i="58"/>
  <c r="J599" i="58"/>
  <c r="L561" i="58"/>
  <c r="L525" i="58"/>
  <c r="N508" i="58"/>
  <c r="L502" i="58"/>
  <c r="J476" i="58"/>
  <c r="L476" i="58"/>
  <c r="J470" i="58"/>
  <c r="L470" i="58"/>
  <c r="L593" i="58"/>
  <c r="J593" i="58"/>
  <c r="L545" i="58"/>
  <c r="J545" i="58"/>
  <c r="J510" i="58"/>
  <c r="J489" i="58"/>
  <c r="L489" i="58"/>
  <c r="J482" i="58"/>
  <c r="L482" i="58"/>
  <c r="J480" i="58"/>
  <c r="L480" i="58"/>
  <c r="J474" i="58"/>
  <c r="L474" i="58"/>
  <c r="J468" i="58"/>
  <c r="L468" i="58"/>
  <c r="J464" i="58"/>
  <c r="L464" i="58"/>
  <c r="N439" i="58"/>
  <c r="L429" i="58"/>
  <c r="J421" i="58"/>
  <c r="L421" i="58"/>
  <c r="L587" i="58"/>
  <c r="J587" i="58"/>
  <c r="N510" i="58"/>
  <c r="J505" i="58"/>
  <c r="L505" i="58"/>
  <c r="J497" i="58"/>
  <c r="L497" i="58"/>
  <c r="L664" i="58"/>
  <c r="L658" i="58"/>
  <c r="N654" i="58"/>
  <c r="L620" i="58"/>
  <c r="L613" i="58"/>
  <c r="L610" i="58"/>
  <c r="L603" i="58"/>
  <c r="L584" i="58"/>
  <c r="L581" i="58"/>
  <c r="J581" i="58"/>
  <c r="L552" i="58"/>
  <c r="L542" i="58"/>
  <c r="L539" i="58"/>
  <c r="J539" i="58"/>
  <c r="N516" i="58"/>
  <c r="J462" i="58"/>
  <c r="L462" i="58"/>
  <c r="J458" i="58"/>
  <c r="L458" i="58"/>
  <c r="L930" i="58"/>
  <c r="L597" i="58"/>
  <c r="L575" i="58"/>
  <c r="J575" i="58"/>
  <c r="L549" i="58"/>
  <c r="J670" i="58"/>
  <c r="J509" i="58"/>
  <c r="L442" i="58"/>
  <c r="J439" i="58"/>
  <c r="L416" i="58"/>
  <c r="J409" i="58"/>
  <c r="J391" i="58"/>
  <c r="L426" i="58"/>
  <c r="L315" i="58"/>
  <c r="J315" i="58"/>
  <c r="L273" i="58"/>
  <c r="J273" i="58"/>
  <c r="L414" i="58"/>
  <c r="J414" i="58"/>
  <c r="J412" i="58"/>
  <c r="L412" i="58"/>
  <c r="L396" i="58"/>
  <c r="J396" i="58"/>
  <c r="L378" i="58"/>
  <c r="J378" i="58"/>
  <c r="L360" i="58"/>
  <c r="J360" i="58"/>
  <c r="J351" i="58"/>
  <c r="L351" i="58"/>
  <c r="L322" i="58"/>
  <c r="J322" i="58"/>
  <c r="J61" i="58"/>
  <c r="L61" i="58"/>
  <c r="N271" i="58"/>
  <c r="J356" i="58"/>
  <c r="L347" i="58"/>
  <c r="J347" i="58"/>
  <c r="N311" i="58"/>
  <c r="L459" i="58"/>
  <c r="L435" i="58"/>
  <c r="L372" i="58"/>
  <c r="J372" i="58"/>
  <c r="N356" i="58"/>
  <c r="L279" i="58"/>
  <c r="J279" i="58"/>
  <c r="L415" i="58"/>
  <c r="L408" i="58"/>
  <c r="J408" i="58"/>
  <c r="L390" i="58"/>
  <c r="J390" i="58"/>
  <c r="N314" i="58"/>
  <c r="L309" i="58"/>
  <c r="J309" i="58"/>
  <c r="N165" i="58"/>
  <c r="L446" i="58"/>
  <c r="L438" i="58"/>
  <c r="L422" i="58"/>
  <c r="L397" i="58"/>
  <c r="L379" i="58"/>
  <c r="L361" i="58"/>
  <c r="N299" i="58"/>
  <c r="N287" i="58"/>
  <c r="L481" i="58"/>
  <c r="L441" i="58"/>
  <c r="N359" i="58"/>
  <c r="N350" i="58"/>
  <c r="L420" i="58"/>
  <c r="J420" i="58"/>
  <c r="J418" i="58"/>
  <c r="L418" i="58"/>
  <c r="L366" i="58"/>
  <c r="J366" i="58"/>
  <c r="L249" i="58"/>
  <c r="J249" i="58"/>
  <c r="L402" i="58"/>
  <c r="J402" i="58"/>
  <c r="L384" i="58"/>
  <c r="J384" i="58"/>
  <c r="L373" i="58"/>
  <c r="N275" i="58"/>
  <c r="L455" i="58"/>
  <c r="L447" i="58"/>
  <c r="L431" i="58"/>
  <c r="L583" i="58"/>
  <c r="L333" i="58"/>
  <c r="J333" i="58"/>
  <c r="N317" i="58"/>
  <c r="L423" i="58"/>
  <c r="J423" i="58"/>
  <c r="N131" i="58"/>
  <c r="L212" i="58"/>
  <c r="J212" i="58"/>
  <c r="N121" i="58"/>
  <c r="L150" i="58"/>
  <c r="N148" i="58"/>
  <c r="L303" i="58"/>
  <c r="J303" i="58"/>
  <c r="L285" i="58"/>
  <c r="J285" i="58"/>
  <c r="N247" i="58"/>
  <c r="N240" i="58"/>
  <c r="L225" i="58"/>
  <c r="J225" i="58"/>
  <c r="L345" i="58"/>
  <c r="J345" i="58"/>
  <c r="L327" i="58"/>
  <c r="J327" i="58"/>
  <c r="L297" i="58"/>
  <c r="J297" i="58"/>
  <c r="L291" i="58"/>
  <c r="J291" i="58"/>
  <c r="N277" i="58"/>
  <c r="N254" i="58"/>
  <c r="N252" i="58"/>
  <c r="N215" i="58"/>
  <c r="L204" i="58"/>
  <c r="J204" i="58"/>
  <c r="N283" i="58"/>
  <c r="N257" i="58"/>
  <c r="N235" i="58"/>
  <c r="N223" i="58"/>
  <c r="N122" i="58"/>
  <c r="L406" i="58"/>
  <c r="L400" i="58"/>
  <c r="L394" i="58"/>
  <c r="L388" i="58"/>
  <c r="L382" i="58"/>
  <c r="L376" i="58"/>
  <c r="N230" i="58"/>
  <c r="N228" i="58"/>
  <c r="L298" i="58"/>
  <c r="L292" i="58"/>
  <c r="L286" i="58"/>
  <c r="N233" i="58"/>
  <c r="J221" i="58"/>
  <c r="L339" i="58"/>
  <c r="J339" i="58"/>
  <c r="L321" i="58"/>
  <c r="J321" i="58"/>
  <c r="N221" i="58"/>
  <c r="N290" i="58"/>
  <c r="N179" i="58"/>
  <c r="L101" i="58"/>
  <c r="J101" i="58"/>
  <c r="L336" i="58"/>
  <c r="L216" i="58"/>
  <c r="J216" i="58"/>
  <c r="L140" i="58"/>
  <c r="J140" i="58"/>
  <c r="N103" i="58"/>
  <c r="J208" i="58"/>
  <c r="L208" i="58"/>
  <c r="N129" i="58"/>
  <c r="N111" i="58"/>
  <c r="J202" i="58"/>
  <c r="L202" i="58"/>
  <c r="J214" i="58"/>
  <c r="L214" i="58"/>
  <c r="N106" i="58"/>
  <c r="L266" i="58"/>
  <c r="L242" i="58"/>
  <c r="L244" i="58"/>
  <c r="L206" i="58"/>
  <c r="J196" i="58"/>
  <c r="L196" i="58"/>
  <c r="J190" i="58"/>
  <c r="L190" i="58"/>
  <c r="J184" i="58"/>
  <c r="L184" i="58"/>
  <c r="N181" i="58"/>
  <c r="J178" i="58"/>
  <c r="L178" i="58"/>
  <c r="L169" i="58"/>
  <c r="J161" i="58"/>
  <c r="L161" i="58"/>
  <c r="L149" i="58"/>
  <c r="J149" i="58"/>
  <c r="L125" i="58"/>
  <c r="J125" i="58"/>
  <c r="J56" i="58"/>
  <c r="L56" i="58"/>
  <c r="L267" i="58"/>
  <c r="N154" i="58"/>
  <c r="N145" i="58"/>
  <c r="J130" i="58"/>
  <c r="L78" i="58"/>
  <c r="J68" i="58"/>
  <c r="L68" i="58"/>
  <c r="J220" i="58"/>
  <c r="L220" i="58"/>
  <c r="N130" i="58"/>
  <c r="L92" i="58"/>
  <c r="J92" i="58"/>
  <c r="J80" i="58"/>
  <c r="L80" i="58"/>
  <c r="L268" i="58"/>
  <c r="L334" i="58"/>
  <c r="J22" i="58"/>
  <c r="L22" i="58"/>
  <c r="L88" i="58"/>
  <c r="L76" i="58"/>
  <c r="L64" i="58"/>
  <c r="L52" i="58"/>
  <c r="J28" i="58"/>
  <c r="L28" i="58"/>
  <c r="L137" i="58"/>
  <c r="L113" i="58"/>
  <c r="J4" i="58"/>
  <c r="L4" i="58"/>
  <c r="J34" i="58"/>
  <c r="L34" i="58"/>
  <c r="L79" i="58"/>
  <c r="L67" i="58"/>
  <c r="L55" i="58"/>
  <c r="L172" i="58"/>
  <c r="L167" i="58"/>
  <c r="L162" i="58"/>
  <c r="L143" i="58"/>
  <c r="N139" i="58"/>
  <c r="L138" i="58"/>
  <c r="L119" i="58"/>
  <c r="N115" i="58"/>
  <c r="L114" i="58"/>
  <c r="L95" i="58"/>
  <c r="J40" i="58"/>
  <c r="L40" i="58"/>
  <c r="J10" i="58"/>
  <c r="L10" i="58"/>
  <c r="L124" i="58"/>
  <c r="L100" i="58"/>
  <c r="L89" i="58"/>
  <c r="L77" i="58"/>
  <c r="L65" i="58"/>
  <c r="L53" i="58"/>
  <c r="L96" i="58"/>
  <c r="L87" i="58"/>
  <c r="L75" i="58"/>
  <c r="L63" i="58"/>
  <c r="L51" i="58"/>
  <c r="J16" i="58"/>
  <c r="L16" i="58"/>
  <c r="L42" i="58"/>
  <c r="L36" i="58"/>
  <c r="L30" i="58"/>
  <c r="L24" i="58"/>
  <c r="L18" i="58"/>
  <c r="L12" i="58"/>
  <c r="L6" i="58"/>
  <c r="L43" i="58"/>
  <c r="L37" i="58"/>
  <c r="L31" i="58"/>
  <c r="L25" i="58"/>
  <c r="L19" i="58"/>
  <c r="L13" i="58"/>
  <c r="L7" i="58"/>
  <c r="L44" i="58"/>
  <c r="L20" i="58"/>
  <c r="L14" i="58"/>
  <c r="L8" i="58"/>
  <c r="L2" i="58"/>
  <c r="D89" i="104" l="1"/>
  <c r="L63" i="103"/>
  <c r="O67" i="103"/>
  <c r="O68" i="103"/>
  <c r="N63" i="103"/>
  <c r="E66" i="103"/>
  <c r="G65" i="103"/>
  <c r="H67" i="103"/>
  <c r="J66" i="103"/>
  <c r="L64" i="103"/>
  <c r="N64" i="103"/>
  <c r="H66" i="103"/>
  <c r="F63" i="103"/>
  <c r="G66" i="103"/>
  <c r="H68" i="103"/>
  <c r="J67" i="103"/>
  <c r="L65" i="103"/>
  <c r="N65" i="103"/>
  <c r="F64" i="103"/>
  <c r="G67" i="103"/>
  <c r="D66" i="103"/>
  <c r="J68" i="103"/>
  <c r="L66" i="103"/>
  <c r="N66" i="103"/>
  <c r="G64" i="103"/>
  <c r="I63" i="103"/>
  <c r="D65" i="103"/>
  <c r="L67" i="103"/>
  <c r="N67" i="103"/>
  <c r="F66" i="103"/>
  <c r="I64" i="103"/>
  <c r="K63" i="103"/>
  <c r="L68" i="103"/>
  <c r="N68" i="103"/>
  <c r="F67" i="103"/>
  <c r="E63" i="103"/>
  <c r="I65" i="103"/>
  <c r="K64" i="103"/>
  <c r="M63" i="103"/>
  <c r="F68" i="103"/>
  <c r="E64" i="103"/>
  <c r="I66" i="103"/>
  <c r="K65" i="103"/>
  <c r="M64" i="103"/>
  <c r="O63" i="103"/>
  <c r="D63" i="103"/>
  <c r="E67" i="103"/>
  <c r="I67" i="103"/>
  <c r="K66" i="103"/>
  <c r="M65" i="103"/>
  <c r="O64" i="103"/>
  <c r="J65" i="103"/>
  <c r="G68" i="103"/>
  <c r="E65" i="103"/>
  <c r="H63" i="103"/>
  <c r="I68" i="103"/>
  <c r="K67" i="103"/>
  <c r="M66" i="103"/>
  <c r="O65" i="103"/>
  <c r="F65" i="103"/>
  <c r="E68" i="103"/>
  <c r="H64" i="103"/>
  <c r="J63" i="103"/>
  <c r="K68" i="103"/>
  <c r="M67" i="103"/>
  <c r="O66" i="103"/>
  <c r="G63" i="103"/>
  <c r="H65" i="103"/>
  <c r="J64" i="103"/>
  <c r="D67" i="103"/>
  <c r="M68" i="103"/>
  <c r="N160" i="58"/>
  <c r="N1191" i="58"/>
  <c r="N39" i="58"/>
  <c r="N253" i="58"/>
  <c r="N745" i="58"/>
  <c r="N207" i="58"/>
  <c r="N133" i="58"/>
  <c r="N1120" i="58"/>
  <c r="N369" i="58"/>
  <c r="N330" i="58"/>
  <c r="N288" i="58"/>
  <c r="N809" i="58"/>
  <c r="N751" i="58"/>
  <c r="N1092" i="58"/>
  <c r="N1187" i="58"/>
  <c r="N889" i="58"/>
  <c r="N224" i="58"/>
  <c r="N1163" i="58"/>
  <c r="N923" i="58"/>
  <c r="N917" i="58"/>
  <c r="N1093" i="58"/>
  <c r="N1042" i="58"/>
  <c r="N1218" i="58"/>
  <c r="N615" i="58"/>
  <c r="N45" i="58"/>
  <c r="N625" i="58"/>
  <c r="N592" i="58"/>
  <c r="N1221" i="58"/>
  <c r="N492" i="58"/>
  <c r="N683" i="58"/>
  <c r="N562" i="58"/>
  <c r="N1236" i="58"/>
  <c r="N328" i="58"/>
  <c r="N159" i="58"/>
  <c r="N974" i="58"/>
  <c r="N769" i="58"/>
  <c r="N574" i="58"/>
  <c r="N312" i="58"/>
  <c r="N403" i="58"/>
  <c r="N784" i="58"/>
  <c r="N135" i="58"/>
  <c r="N300" i="58"/>
  <c r="N370" i="58"/>
  <c r="N1155" i="58"/>
  <c r="N217" i="58"/>
  <c r="N865" i="58"/>
  <c r="N1137" i="58"/>
  <c r="N897" i="58"/>
  <c r="N895" i="58"/>
  <c r="N913" i="58"/>
  <c r="N802" i="58"/>
  <c r="N1183" i="58"/>
  <c r="N1134" i="58"/>
  <c r="N1122" i="58"/>
  <c r="N211" i="58"/>
  <c r="N513" i="58"/>
  <c r="N27" i="58"/>
  <c r="N15" i="58"/>
  <c r="N308" i="58"/>
  <c r="N962" i="58"/>
  <c r="N401" i="58"/>
  <c r="N1170" i="58"/>
  <c r="N404" i="58"/>
  <c r="N83" i="58"/>
  <c r="N1185" i="58"/>
  <c r="N1146" i="58"/>
  <c r="N875" i="58"/>
  <c r="N187" i="58"/>
  <c r="N1125" i="58"/>
  <c r="N432" i="58"/>
  <c r="N748" i="58"/>
  <c r="N1176" i="58"/>
  <c r="N395" i="58"/>
  <c r="N881" i="58"/>
  <c r="N1128" i="58"/>
  <c r="N1143" i="58"/>
  <c r="N857" i="58"/>
  <c r="N911" i="58"/>
  <c r="N17" i="58"/>
  <c r="N1204" i="58"/>
  <c r="N383" i="58"/>
  <c r="N483" i="58"/>
  <c r="N1025" i="58"/>
  <c r="N879" i="58"/>
  <c r="N5" i="58"/>
  <c r="N1100" i="58"/>
  <c r="N1085" i="58"/>
  <c r="N1209" i="58"/>
  <c r="N793" i="58"/>
  <c r="N195" i="58"/>
  <c r="N371" i="58"/>
  <c r="N1200" i="58"/>
  <c r="N123" i="58"/>
  <c r="N377" i="58"/>
  <c r="N1131" i="58"/>
  <c r="N942" i="58"/>
  <c r="N805" i="58"/>
  <c r="N1161" i="58"/>
  <c r="N1164" i="58"/>
  <c r="N353" i="58"/>
  <c r="N164" i="58"/>
  <c r="N815" i="58"/>
  <c r="N733" i="58"/>
  <c r="N1147" i="58"/>
  <c r="N893" i="58"/>
  <c r="N256" i="58"/>
  <c r="N894" i="58"/>
  <c r="N41" i="58"/>
  <c r="N302" i="58"/>
  <c r="N389" i="58"/>
  <c r="N763" i="58"/>
  <c r="N168" i="58"/>
  <c r="N624" i="58"/>
  <c r="N778" i="58"/>
  <c r="N820" i="58"/>
  <c r="N901" i="58"/>
  <c r="N1115" i="58"/>
  <c r="N200" i="58"/>
  <c r="N259" i="58"/>
  <c r="N1067" i="58"/>
  <c r="N524" i="58"/>
  <c r="N907" i="58"/>
  <c r="N526" i="58"/>
  <c r="N867" i="58"/>
  <c r="N871" i="58"/>
  <c r="N246" i="58"/>
  <c r="N847" i="58"/>
  <c r="N560" i="58"/>
  <c r="N790" i="58"/>
  <c r="N1149" i="58"/>
  <c r="N38" i="58"/>
  <c r="N35" i="58"/>
  <c r="N238" i="58"/>
  <c r="N725" i="58"/>
  <c r="N1219" i="58"/>
  <c r="N491" i="58"/>
  <c r="N716" i="58"/>
  <c r="N248" i="58"/>
  <c r="N1061" i="58"/>
  <c r="N1036" i="58"/>
  <c r="N163" i="58"/>
  <c r="N622" i="58"/>
  <c r="N296" i="58"/>
  <c r="N428" i="58"/>
  <c r="N635" i="58"/>
  <c r="N227" i="58"/>
  <c r="N555" i="58"/>
  <c r="N1140" i="58"/>
  <c r="N1019" i="58"/>
  <c r="N570" i="58"/>
  <c r="N976" i="58"/>
  <c r="N456" i="58"/>
  <c r="N486" i="58"/>
  <c r="N878" i="58"/>
  <c r="N760" i="58"/>
  <c r="N209" i="58"/>
  <c r="N883" i="58"/>
  <c r="N614" i="58"/>
  <c r="N663" i="58"/>
  <c r="N120" i="58"/>
  <c r="N1210" i="58"/>
  <c r="N704" i="58"/>
  <c r="N157" i="58"/>
  <c r="N799" i="58"/>
  <c r="N949" i="58"/>
  <c r="N644" i="58"/>
  <c r="N1063" i="58"/>
  <c r="N393" i="58"/>
  <c r="N504" i="58"/>
  <c r="N848" i="58"/>
  <c r="N877" i="58"/>
  <c r="N731" i="58"/>
  <c r="N781" i="58"/>
  <c r="N444" i="58"/>
  <c r="N787" i="58"/>
  <c r="N899" i="58"/>
  <c r="N758" i="58"/>
  <c r="N667" i="58"/>
  <c r="N367" i="58"/>
  <c r="M726" i="58"/>
  <c r="N905" i="58"/>
  <c r="N1158" i="58"/>
  <c r="N29" i="58"/>
  <c r="N364" i="58"/>
  <c r="N156" i="58"/>
  <c r="N484" i="58"/>
  <c r="N1038" i="58"/>
  <c r="N210" i="58"/>
  <c r="N102" i="58"/>
  <c r="N385" i="58"/>
  <c r="N836" i="58"/>
  <c r="N1213" i="58"/>
  <c r="N1211" i="58"/>
  <c r="N346" i="58"/>
  <c r="N721" i="58"/>
  <c r="N1032" i="58"/>
  <c r="N205" i="58"/>
  <c r="N324" i="58"/>
  <c r="N801" i="58"/>
  <c r="N818" i="58"/>
  <c r="N243" i="58"/>
  <c r="N643" i="58"/>
  <c r="N1051" i="58"/>
  <c r="N363" i="58"/>
  <c r="N692" i="58"/>
  <c r="N730" i="58"/>
  <c r="N767" i="58"/>
  <c r="N773" i="58"/>
  <c r="N375" i="58"/>
  <c r="N194" i="58"/>
  <c r="N952" i="58"/>
  <c r="N33" i="58"/>
  <c r="N838" i="58"/>
  <c r="N1030" i="58"/>
  <c r="N109" i="58"/>
  <c r="N265" i="58"/>
  <c r="N640" i="58"/>
  <c r="N772" i="58"/>
  <c r="N1116" i="58"/>
  <c r="N203" i="58"/>
  <c r="N1127" i="58"/>
  <c r="N795" i="58"/>
  <c r="N766" i="58"/>
  <c r="N176" i="58"/>
  <c r="N1034" i="58"/>
  <c r="N1109" i="58"/>
  <c r="N1225" i="58"/>
  <c r="N47" i="58"/>
  <c r="N427" i="58"/>
  <c r="N1129" i="58"/>
  <c r="N218" i="58"/>
  <c r="N680" i="58"/>
  <c r="N992" i="58"/>
  <c r="N966" i="58"/>
  <c r="N824" i="58"/>
  <c r="N74" i="58"/>
  <c r="N454" i="58"/>
  <c r="N410" i="58"/>
  <c r="N531" i="58"/>
  <c r="N928" i="58"/>
  <c r="N811" i="58"/>
  <c r="N1004" i="58"/>
  <c r="N711" i="58"/>
  <c r="N959" i="58"/>
  <c r="N955" i="58"/>
  <c r="N617" i="58"/>
  <c r="N232" i="58"/>
  <c r="N399" i="58"/>
  <c r="N170" i="58"/>
  <c r="N687" i="58"/>
  <c r="N567" i="58"/>
  <c r="N568" i="58"/>
  <c r="N182" i="58"/>
  <c r="N50" i="58"/>
  <c r="N294" i="58"/>
  <c r="N626" i="58"/>
  <c r="N1079" i="58"/>
  <c r="N1016" i="58"/>
  <c r="N201" i="58"/>
  <c r="N280" i="58"/>
  <c r="N512" i="58"/>
  <c r="N411" i="58"/>
  <c r="N188" i="58"/>
  <c r="N598" i="58"/>
  <c r="N605" i="58"/>
  <c r="N1073" i="58"/>
  <c r="N237" i="58"/>
  <c r="N969" i="58"/>
  <c r="N1048" i="58"/>
  <c r="N349" i="58"/>
  <c r="N251" i="58"/>
  <c r="N219" i="58"/>
  <c r="N358" i="58"/>
  <c r="N532" i="58"/>
  <c r="N553" i="58"/>
  <c r="N595" i="58"/>
  <c r="N703" i="58"/>
  <c r="N59" i="58"/>
  <c r="N331" i="58"/>
  <c r="N980" i="58"/>
  <c r="N1097" i="58"/>
  <c r="N381" i="58"/>
  <c r="N282" i="58"/>
  <c r="N1037" i="58"/>
  <c r="N1177" i="58"/>
  <c r="N338" i="58"/>
  <c r="N1087" i="58"/>
  <c r="N919" i="58"/>
  <c r="N1065" i="58"/>
  <c r="N20" i="58"/>
  <c r="N18" i="58"/>
  <c r="N63" i="58"/>
  <c r="N40" i="58"/>
  <c r="N167" i="58"/>
  <c r="N79" i="58"/>
  <c r="N113" i="58"/>
  <c r="N267" i="58"/>
  <c r="N149" i="58"/>
  <c r="N202" i="58"/>
  <c r="N394" i="58"/>
  <c r="N212" i="58"/>
  <c r="N402" i="58"/>
  <c r="N309" i="58"/>
  <c r="N459" i="58"/>
  <c r="N322" i="58"/>
  <c r="N396" i="58"/>
  <c r="N497" i="58"/>
  <c r="N421" i="58"/>
  <c r="N612" i="58"/>
  <c r="N511" i="58"/>
  <c r="N611" i="58"/>
  <c r="N764" i="58"/>
  <c r="N695" i="58"/>
  <c r="N600" i="58"/>
  <c r="N710" i="58"/>
  <c r="N864" i="58"/>
  <c r="N840" i="58"/>
  <c r="N1014" i="58"/>
  <c r="N858" i="58"/>
  <c r="N985" i="58"/>
  <c r="N863" i="58"/>
  <c r="N1003" i="58"/>
  <c r="N1011" i="58"/>
  <c r="N904" i="58"/>
  <c r="N1084" i="58"/>
  <c r="N1050" i="58"/>
  <c r="M1050" i="58"/>
  <c r="N1102" i="58"/>
  <c r="N1239" i="58"/>
  <c r="N1196" i="58"/>
  <c r="N1154" i="58"/>
  <c r="N1166" i="58"/>
  <c r="N1197" i="58"/>
  <c r="N979" i="58"/>
  <c r="N44" i="58"/>
  <c r="N24" i="58"/>
  <c r="N75" i="58"/>
  <c r="N65" i="58"/>
  <c r="N76" i="58"/>
  <c r="N161" i="58"/>
  <c r="N242" i="58"/>
  <c r="N216" i="58"/>
  <c r="N400" i="58"/>
  <c r="N327" i="58"/>
  <c r="N366" i="58"/>
  <c r="N441" i="58"/>
  <c r="N351" i="58"/>
  <c r="N412" i="58"/>
  <c r="N581" i="58"/>
  <c r="N482" i="58"/>
  <c r="N561" i="58"/>
  <c r="N637" i="58"/>
  <c r="N479" i="58"/>
  <c r="N735" i="58"/>
  <c r="N523" i="58"/>
  <c r="N770" i="58"/>
  <c r="N707" i="58"/>
  <c r="N448" i="58"/>
  <c r="N709" i="58"/>
  <c r="N788" i="58"/>
  <c r="N808" i="58"/>
  <c r="N834" i="58"/>
  <c r="N1018" i="58"/>
  <c r="N929" i="58"/>
  <c r="N922" i="58"/>
  <c r="N819" i="58"/>
  <c r="N1022" i="58"/>
  <c r="N995" i="58"/>
  <c r="N1013" i="58"/>
  <c r="N1055" i="58"/>
  <c r="N1238" i="58"/>
  <c r="N525" i="58"/>
  <c r="N859" i="58"/>
  <c r="N892" i="58"/>
  <c r="N1083" i="58"/>
  <c r="N172" i="58"/>
  <c r="N481" i="58"/>
  <c r="N584" i="58"/>
  <c r="N437" i="58"/>
  <c r="N569" i="58"/>
  <c r="N639" i="58"/>
  <c r="N812" i="58"/>
  <c r="N461" i="58"/>
  <c r="N936" i="58"/>
  <c r="N874" i="58"/>
  <c r="N1015" i="58"/>
  <c r="N997" i="58"/>
  <c r="N1069" i="58"/>
  <c r="N1220" i="58"/>
  <c r="N1224" i="58"/>
  <c r="N12" i="58"/>
  <c r="N631" i="58"/>
  <c r="N732" i="58"/>
  <c r="N993" i="58"/>
  <c r="N1206" i="58"/>
  <c r="N406" i="58"/>
  <c r="N458" i="58"/>
  <c r="N593" i="58"/>
  <c r="N527" i="58"/>
  <c r="N741" i="58"/>
  <c r="N776" i="58"/>
  <c r="N880" i="58"/>
  <c r="N1023" i="58"/>
  <c r="N804" i="58"/>
  <c r="N756" i="58"/>
  <c r="N910" i="58"/>
  <c r="N1089" i="58"/>
  <c r="N1107" i="58"/>
  <c r="N1188" i="58"/>
  <c r="N1179" i="58"/>
  <c r="N1020" i="58"/>
  <c r="N7" i="58"/>
  <c r="N36" i="58"/>
  <c r="N96" i="58"/>
  <c r="N77" i="58"/>
  <c r="N114" i="58"/>
  <c r="N88" i="58"/>
  <c r="N334" i="58"/>
  <c r="N220" i="58"/>
  <c r="N56" i="58"/>
  <c r="N190" i="58"/>
  <c r="N266" i="58"/>
  <c r="N345" i="58"/>
  <c r="N285" i="58"/>
  <c r="N249" i="58"/>
  <c r="N603" i="58"/>
  <c r="N489" i="58"/>
  <c r="N445" i="58"/>
  <c r="N642" i="58"/>
  <c r="N450" i="58"/>
  <c r="N682" i="58"/>
  <c r="N747" i="58"/>
  <c r="N782" i="58"/>
  <c r="N729" i="58"/>
  <c r="N674" i="58"/>
  <c r="N825" i="58"/>
  <c r="N817" i="58"/>
  <c r="N940" i="58"/>
  <c r="N1028" i="58"/>
  <c r="N946" i="58"/>
  <c r="N988" i="58"/>
  <c r="N829" i="58"/>
  <c r="N1017" i="58"/>
  <c r="N1108" i="58"/>
  <c r="N1160" i="58"/>
  <c r="N1203" i="58"/>
  <c r="N53" i="58"/>
  <c r="N388" i="58"/>
  <c r="N906" i="58"/>
  <c r="N30" i="58"/>
  <c r="N814" i="58"/>
  <c r="N583" i="58"/>
  <c r="N360" i="58"/>
  <c r="N521" i="58"/>
  <c r="N676" i="58"/>
  <c r="N1033" i="58"/>
  <c r="N1232" i="58"/>
  <c r="N1182" i="58"/>
  <c r="N552" i="58"/>
  <c r="N1039" i="58"/>
  <c r="N95" i="58"/>
  <c r="N268" i="58"/>
  <c r="N656" i="58"/>
  <c r="N19" i="58"/>
  <c r="N89" i="58"/>
  <c r="N119" i="58"/>
  <c r="N4" i="58"/>
  <c r="N28" i="58"/>
  <c r="N68" i="58"/>
  <c r="N208" i="58"/>
  <c r="M292" i="58"/>
  <c r="N292" i="58"/>
  <c r="N204" i="58"/>
  <c r="N303" i="58"/>
  <c r="N431" i="58"/>
  <c r="N420" i="58"/>
  <c r="N613" i="58"/>
  <c r="N464" i="58"/>
  <c r="N470" i="58"/>
  <c r="N609" i="58"/>
  <c r="N662" i="58"/>
  <c r="N471" i="58"/>
  <c r="N759" i="58"/>
  <c r="N688" i="58"/>
  <c r="N578" i="58"/>
  <c r="N434" i="58"/>
  <c r="N806" i="58"/>
  <c r="N831" i="58"/>
  <c r="N645" i="58"/>
  <c r="N810" i="58"/>
  <c r="N822" i="58"/>
  <c r="N964" i="58"/>
  <c r="N886" i="58"/>
  <c r="N953" i="58"/>
  <c r="N1012" i="58"/>
  <c r="N1001" i="58"/>
  <c r="N1113" i="58"/>
  <c r="N1173" i="58"/>
  <c r="N480" i="58"/>
  <c r="N1010" i="58"/>
  <c r="N429" i="58"/>
  <c r="N13" i="58"/>
  <c r="N599" i="58"/>
  <c r="N862" i="58"/>
  <c r="N999" i="58"/>
  <c r="N25" i="58"/>
  <c r="N100" i="58"/>
  <c r="N138" i="58"/>
  <c r="N214" i="58"/>
  <c r="N336" i="58"/>
  <c r="N298" i="58"/>
  <c r="N423" i="58"/>
  <c r="N447" i="58"/>
  <c r="N422" i="58"/>
  <c r="N279" i="58"/>
  <c r="N315" i="58"/>
  <c r="N549" i="58"/>
  <c r="N620" i="58"/>
  <c r="N616" i="58"/>
  <c r="N551" i="58"/>
  <c r="N559" i="58"/>
  <c r="N765" i="58"/>
  <c r="N329" i="58"/>
  <c r="N856" i="58"/>
  <c r="N727" i="58"/>
  <c r="N823" i="58"/>
  <c r="N816" i="58"/>
  <c r="N916" i="58"/>
  <c r="N978" i="58"/>
  <c r="N960" i="58"/>
  <c r="N1021" i="58"/>
  <c r="N961" i="58"/>
  <c r="N1066" i="58"/>
  <c r="N1118" i="58"/>
  <c r="N1057" i="58"/>
  <c r="N1178" i="58"/>
  <c r="N1235" i="58"/>
  <c r="N1091" i="58"/>
  <c r="N14" i="58"/>
  <c r="N297" i="58"/>
  <c r="N34" i="58"/>
  <c r="N418" i="58"/>
  <c r="N505" i="58"/>
  <c r="N286" i="58"/>
  <c r="N610" i="58"/>
  <c r="N718" i="58"/>
  <c r="N853" i="58"/>
  <c r="N1071" i="58"/>
  <c r="N31" i="58"/>
  <c r="N16" i="58"/>
  <c r="N124" i="58"/>
  <c r="N80" i="58"/>
  <c r="N78" i="58"/>
  <c r="N178" i="58"/>
  <c r="N196" i="58"/>
  <c r="N225" i="58"/>
  <c r="N455" i="58"/>
  <c r="N361" i="58"/>
  <c r="N390" i="58"/>
  <c r="N61" i="58"/>
  <c r="N416" i="58"/>
  <c r="N587" i="58"/>
  <c r="N468" i="58"/>
  <c r="N476" i="58"/>
  <c r="N554" i="58"/>
  <c r="N340" i="58"/>
  <c r="N477" i="58"/>
  <c r="N771" i="58"/>
  <c r="N529" i="58"/>
  <c r="N467" i="58"/>
  <c r="N579" i="58"/>
  <c r="N690" i="58"/>
  <c r="N982" i="58"/>
  <c r="N986" i="58"/>
  <c r="N777" i="58"/>
  <c r="N970" i="58"/>
  <c r="N925" i="58"/>
  <c r="N1026" i="58"/>
  <c r="N1005" i="58"/>
  <c r="N1090" i="58"/>
  <c r="N1124" i="58"/>
  <c r="N1148" i="58"/>
  <c r="N1072" i="58"/>
  <c r="N1095" i="58"/>
  <c r="N1227" i="58"/>
  <c r="N937" i="58"/>
  <c r="N51" i="58"/>
  <c r="N783" i="58"/>
  <c r="N963" i="58"/>
  <c r="N87" i="58"/>
  <c r="N42" i="58"/>
  <c r="N462" i="58"/>
  <c r="N753" i="58"/>
  <c r="N800" i="58"/>
  <c r="N1184" i="58"/>
  <c r="N37" i="58"/>
  <c r="N10" i="58"/>
  <c r="N143" i="58"/>
  <c r="N55" i="58"/>
  <c r="N22" i="58"/>
  <c r="N125" i="58"/>
  <c r="N321" i="58"/>
  <c r="N150" i="58"/>
  <c r="N373" i="58"/>
  <c r="N575" i="58"/>
  <c r="N658" i="58"/>
  <c r="N633" i="58"/>
  <c r="N557" i="58"/>
  <c r="N465" i="58"/>
  <c r="N698" i="58"/>
  <c r="N861" i="58"/>
  <c r="N830" i="58"/>
  <c r="N794" i="58"/>
  <c r="N994" i="58"/>
  <c r="N990" i="58"/>
  <c r="N932" i="58"/>
  <c r="N898" i="58"/>
  <c r="N1114" i="58"/>
  <c r="N1130" i="58"/>
  <c r="N1142" i="58"/>
  <c r="N1024" i="58"/>
  <c r="N1190" i="58"/>
  <c r="N1208" i="58"/>
  <c r="N184" i="58"/>
  <c r="N435" i="58"/>
  <c r="N789" i="58"/>
  <c r="N137" i="58"/>
  <c r="N273" i="58"/>
  <c r="N414" i="58"/>
  <c r="N528" i="58"/>
  <c r="N1000" i="58"/>
  <c r="N1226" i="58"/>
  <c r="N2" i="58"/>
  <c r="N43" i="58"/>
  <c r="N52" i="58"/>
  <c r="N206" i="58"/>
  <c r="M376" i="58"/>
  <c r="N376" i="58"/>
  <c r="N291" i="58"/>
  <c r="N438" i="58"/>
  <c r="M438" i="58"/>
  <c r="N408" i="58"/>
  <c r="N347" i="58"/>
  <c r="N426" i="58"/>
  <c r="N442" i="58"/>
  <c r="N597" i="58"/>
  <c r="N539" i="58"/>
  <c r="N664" i="58"/>
  <c r="N474" i="58"/>
  <c r="N502" i="58"/>
  <c r="N647" i="58"/>
  <c r="N564" i="58"/>
  <c r="N501" i="58"/>
  <c r="N565" i="58"/>
  <c r="N591" i="58"/>
  <c r="N668" i="58"/>
  <c r="N843" i="58"/>
  <c r="N679" i="58"/>
  <c r="N850" i="58"/>
  <c r="N701" i="58"/>
  <c r="N1006" i="58"/>
  <c r="N998" i="58"/>
  <c r="N977" i="58"/>
  <c r="N939" i="58"/>
  <c r="N912" i="58"/>
  <c r="N989" i="58"/>
  <c r="N1007" i="58"/>
  <c r="N807" i="58"/>
  <c r="N1060" i="58"/>
  <c r="N1136" i="58"/>
  <c r="N1054" i="58"/>
  <c r="N1081" i="58"/>
  <c r="N1202" i="58"/>
  <c r="N1230" i="58"/>
  <c r="N276" i="58"/>
  <c r="N64" i="58"/>
  <c r="N697" i="58"/>
  <c r="N397" i="58"/>
  <c r="N169" i="58"/>
  <c r="N563" i="58"/>
  <c r="N954" i="58"/>
  <c r="N8" i="58"/>
  <c r="N6" i="58"/>
  <c r="N162" i="58"/>
  <c r="N67" i="58"/>
  <c r="N92" i="58"/>
  <c r="N244" i="58"/>
  <c r="N140" i="58"/>
  <c r="N101" i="58"/>
  <c r="N339" i="58"/>
  <c r="N382" i="58"/>
  <c r="N333" i="58"/>
  <c r="N384" i="58"/>
  <c r="N379" i="58"/>
  <c r="N446" i="58"/>
  <c r="N415" i="58"/>
  <c r="N372" i="58"/>
  <c r="N378" i="58"/>
  <c r="N930" i="58"/>
  <c r="N542" i="58"/>
  <c r="N545" i="58"/>
  <c r="N652" i="58"/>
  <c r="N589" i="58"/>
  <c r="N453" i="58"/>
  <c r="N533" i="58"/>
  <c r="N708" i="58"/>
  <c r="N473" i="58"/>
  <c r="N493" i="58"/>
  <c r="N691" i="58"/>
  <c r="N713" i="58"/>
  <c r="N908" i="58"/>
  <c r="N706" i="58"/>
  <c r="N900" i="58"/>
  <c r="N841" i="58"/>
  <c r="N1002" i="58"/>
  <c r="N868" i="58"/>
  <c r="N981" i="58"/>
  <c r="N956" i="58"/>
  <c r="N991" i="58"/>
  <c r="N1009" i="58"/>
  <c r="N1027" i="58"/>
  <c r="N1078" i="58"/>
  <c r="N1096" i="58"/>
  <c r="N1172" i="58"/>
  <c r="N1045" i="58"/>
  <c r="N1214" i="58"/>
  <c r="N1110" i="58"/>
  <c r="N854" i="58"/>
  <c r="B332" i="106" l="1"/>
  <c r="T332" i="106" s="1"/>
  <c r="B333" i="106"/>
  <c r="T333" i="106" s="1"/>
  <c r="B353" i="106"/>
  <c r="T353" i="106" s="1"/>
  <c r="B361" i="106"/>
  <c r="T361" i="106" s="1"/>
  <c r="B362" i="106"/>
  <c r="T362" i="106" s="1"/>
  <c r="B219" i="106"/>
  <c r="T219" i="106" s="1"/>
  <c r="B336" i="106"/>
  <c r="T336" i="106" s="1"/>
  <c r="B337" i="106"/>
  <c r="T337" i="106" s="1"/>
  <c r="B338" i="106"/>
  <c r="T338" i="106" s="1"/>
  <c r="B339" i="106"/>
  <c r="T339" i="106" s="1"/>
  <c r="B340" i="106"/>
  <c r="T340" i="106" s="1"/>
  <c r="B341" i="106"/>
  <c r="T341" i="106" s="1"/>
  <c r="B342" i="106"/>
  <c r="T342" i="106" s="1"/>
  <c r="B343" i="106"/>
  <c r="T343" i="106" s="1"/>
  <c r="B317" i="106"/>
  <c r="T317" i="106" s="1"/>
  <c r="B198" i="106"/>
  <c r="T198" i="106" s="1"/>
  <c r="B243" i="106"/>
  <c r="T243" i="106" s="1"/>
  <c r="B173" i="106"/>
  <c r="T173" i="106" s="1"/>
  <c r="B347" i="106"/>
  <c r="T347" i="106" s="1"/>
  <c r="B348" i="106"/>
  <c r="T348" i="106" s="1"/>
  <c r="B349" i="106"/>
  <c r="T349" i="106" s="1"/>
  <c r="B350" i="106"/>
  <c r="T350" i="106" s="1"/>
  <c r="B351" i="106"/>
  <c r="T351" i="106" s="1"/>
  <c r="B352" i="106"/>
  <c r="T352" i="106" s="1"/>
  <c r="B83" i="106"/>
  <c r="T83" i="106" s="1"/>
  <c r="B354" i="106"/>
  <c r="T354" i="106" s="1"/>
  <c r="B355" i="106"/>
  <c r="T355" i="106" s="1"/>
  <c r="B356" i="106"/>
  <c r="T356" i="106" s="1"/>
  <c r="B357" i="106"/>
  <c r="T357" i="106" s="1"/>
  <c r="B358" i="106"/>
  <c r="T358" i="106" s="1"/>
  <c r="B359" i="106"/>
  <c r="T359" i="106" s="1"/>
  <c r="AB343" i="106" l="1"/>
  <c r="AD343" i="106"/>
  <c r="U343" i="106"/>
  <c r="AF343" i="106"/>
  <c r="AE343" i="106"/>
  <c r="V343" i="106"/>
  <c r="W343" i="106"/>
  <c r="Y343" i="106"/>
  <c r="AA343" i="106"/>
  <c r="X343" i="106"/>
  <c r="Z343" i="106"/>
  <c r="AC343" i="106"/>
  <c r="AE354" i="106"/>
  <c r="AA354" i="106"/>
  <c r="AB354" i="106"/>
  <c r="AC354" i="106"/>
  <c r="AF354" i="106"/>
  <c r="U354" i="106"/>
  <c r="V354" i="106"/>
  <c r="AD354" i="106"/>
  <c r="Y354" i="106"/>
  <c r="W354" i="106"/>
  <c r="X354" i="106"/>
  <c r="Z354" i="106"/>
  <c r="U341" i="106"/>
  <c r="X341" i="106"/>
  <c r="Y341" i="106"/>
  <c r="AA341" i="106"/>
  <c r="AB341" i="106"/>
  <c r="AC341" i="106"/>
  <c r="V341" i="106"/>
  <c r="Z341" i="106"/>
  <c r="W341" i="106"/>
  <c r="AF341" i="106"/>
  <c r="AD341" i="106"/>
  <c r="AE341" i="106"/>
  <c r="AE352" i="106"/>
  <c r="Y352" i="106"/>
  <c r="W352" i="106"/>
  <c r="X352" i="106"/>
  <c r="AA352" i="106"/>
  <c r="AB352" i="106"/>
  <c r="AC352" i="106"/>
  <c r="AF352" i="106"/>
  <c r="V352" i="106"/>
  <c r="Z352" i="106"/>
  <c r="AD352" i="106"/>
  <c r="U352" i="106"/>
  <c r="AE350" i="106"/>
  <c r="U350" i="106"/>
  <c r="W350" i="106"/>
  <c r="X350" i="106"/>
  <c r="Z350" i="106"/>
  <c r="AA350" i="106"/>
  <c r="AB350" i="106"/>
  <c r="AD350" i="106"/>
  <c r="AC350" i="106"/>
  <c r="AF350" i="106"/>
  <c r="Y350" i="106"/>
  <c r="V350" i="106"/>
  <c r="Y349" i="106"/>
  <c r="W349" i="106"/>
  <c r="Z349" i="106"/>
  <c r="AA349" i="106"/>
  <c r="V349" i="106"/>
  <c r="AB349" i="106"/>
  <c r="AE349" i="106"/>
  <c r="U349" i="106"/>
  <c r="X349" i="106"/>
  <c r="AD349" i="106"/>
  <c r="AC349" i="106"/>
  <c r="AF349" i="106"/>
  <c r="AB336" i="106"/>
  <c r="AC336" i="106"/>
  <c r="U336" i="106"/>
  <c r="V336" i="106"/>
  <c r="W336" i="106"/>
  <c r="X336" i="106"/>
  <c r="AA336" i="106"/>
  <c r="AF336" i="106"/>
  <c r="Y336" i="106"/>
  <c r="AD336" i="106"/>
  <c r="AE336" i="106"/>
  <c r="Z336" i="106"/>
  <c r="AE351" i="106"/>
  <c r="V351" i="106"/>
  <c r="W351" i="106"/>
  <c r="X351" i="106"/>
  <c r="Y351" i="106"/>
  <c r="AA351" i="106"/>
  <c r="AB351" i="106"/>
  <c r="AC351" i="106"/>
  <c r="Z351" i="106"/>
  <c r="U351" i="106"/>
  <c r="AD351" i="106"/>
  <c r="AF351" i="106"/>
  <c r="X338" i="106"/>
  <c r="W338" i="106"/>
  <c r="Y338" i="106"/>
  <c r="U338" i="106"/>
  <c r="AB338" i="106"/>
  <c r="AF338" i="106"/>
  <c r="V338" i="106"/>
  <c r="AA338" i="106"/>
  <c r="AD338" i="106"/>
  <c r="AC338" i="106"/>
  <c r="Z338" i="106"/>
  <c r="AE338" i="106"/>
  <c r="AE337" i="106"/>
  <c r="U337" i="106"/>
  <c r="AF337" i="106"/>
  <c r="AA337" i="106"/>
  <c r="AB337" i="106"/>
  <c r="V337" i="106"/>
  <c r="Y337" i="106"/>
  <c r="X337" i="106"/>
  <c r="AD337" i="106"/>
  <c r="W337" i="106"/>
  <c r="AC337" i="106"/>
  <c r="Z337" i="106"/>
  <c r="U347" i="106"/>
  <c r="X347" i="106"/>
  <c r="Y347" i="106"/>
  <c r="W347" i="106"/>
  <c r="Z347" i="106"/>
  <c r="AA347" i="106"/>
  <c r="AF347" i="106"/>
  <c r="AB347" i="106"/>
  <c r="AD347" i="106"/>
  <c r="AC347" i="106"/>
  <c r="V347" i="106"/>
  <c r="AE347" i="106"/>
  <c r="U340" i="106"/>
  <c r="AB340" i="106"/>
  <c r="AC340" i="106"/>
  <c r="V340" i="106"/>
  <c r="W340" i="106"/>
  <c r="X340" i="106"/>
  <c r="Z340" i="106"/>
  <c r="AA340" i="106"/>
  <c r="AF340" i="106"/>
  <c r="Y340" i="106"/>
  <c r="AD340" i="106"/>
  <c r="AE340" i="106"/>
  <c r="AE348" i="106"/>
  <c r="U348" i="106"/>
  <c r="Z348" i="106"/>
  <c r="X348" i="106"/>
  <c r="V348" i="106"/>
  <c r="Y348" i="106"/>
  <c r="W348" i="106"/>
  <c r="AA348" i="106"/>
  <c r="AB348" i="106"/>
  <c r="AC348" i="106"/>
  <c r="AF348" i="106"/>
  <c r="AD348" i="106"/>
  <c r="U219" i="106"/>
  <c r="Y219" i="106"/>
  <c r="Z219" i="106"/>
  <c r="AD219" i="106"/>
  <c r="W219" i="106"/>
  <c r="V219" i="106"/>
  <c r="AE219" i="106"/>
  <c r="AC219" i="106"/>
  <c r="AA219" i="106"/>
  <c r="X219" i="106"/>
  <c r="AB219" i="106"/>
  <c r="AF219" i="106"/>
  <c r="U362" i="106"/>
  <c r="AB362" i="106"/>
  <c r="Z362" i="106"/>
  <c r="AE362" i="106"/>
  <c r="AC362" i="106"/>
  <c r="AF362" i="106"/>
  <c r="AD362" i="106"/>
  <c r="Y362" i="106"/>
  <c r="X362" i="106"/>
  <c r="W362" i="106"/>
  <c r="AA362" i="106"/>
  <c r="V362" i="106"/>
  <c r="AA173" i="106"/>
  <c r="AB173" i="106"/>
  <c r="AF173" i="106"/>
  <c r="Y173" i="106"/>
  <c r="AD173" i="106"/>
  <c r="X173" i="106"/>
  <c r="Z173" i="106"/>
  <c r="AE173" i="106"/>
  <c r="U173" i="106"/>
  <c r="AC173" i="106"/>
  <c r="W173" i="106"/>
  <c r="V173" i="106"/>
  <c r="U361" i="106"/>
  <c r="AB361" i="106"/>
  <c r="AC361" i="106"/>
  <c r="AE361" i="106"/>
  <c r="AF361" i="106"/>
  <c r="Z361" i="106"/>
  <c r="V361" i="106"/>
  <c r="W361" i="106"/>
  <c r="Y361" i="106"/>
  <c r="AD361" i="106"/>
  <c r="X361" i="106"/>
  <c r="AA361" i="106"/>
  <c r="U359" i="106"/>
  <c r="Z359" i="106"/>
  <c r="AA359" i="106"/>
  <c r="AC359" i="106"/>
  <c r="AE359" i="106"/>
  <c r="AF359" i="106"/>
  <c r="Y359" i="106"/>
  <c r="AB359" i="106"/>
  <c r="V359" i="106"/>
  <c r="AD359" i="106"/>
  <c r="X359" i="106"/>
  <c r="W359" i="106"/>
  <c r="W243" i="106"/>
  <c r="U243" i="106"/>
  <c r="V243" i="106"/>
  <c r="X243" i="106"/>
  <c r="AC243" i="106"/>
  <c r="AE243" i="106"/>
  <c r="AF243" i="106"/>
  <c r="Y243" i="106"/>
  <c r="Z243" i="106"/>
  <c r="AB243" i="106"/>
  <c r="AA243" i="106"/>
  <c r="AD243" i="106"/>
  <c r="AE353" i="106"/>
  <c r="Z353" i="106"/>
  <c r="Y353" i="106"/>
  <c r="AA353" i="106"/>
  <c r="AC353" i="106"/>
  <c r="AD353" i="106"/>
  <c r="AF353" i="106"/>
  <c r="U353" i="106"/>
  <c r="V353" i="106"/>
  <c r="W353" i="106"/>
  <c r="X353" i="106"/>
  <c r="AB353" i="106"/>
  <c r="Z198" i="106"/>
  <c r="Y198" i="106"/>
  <c r="AA198" i="106"/>
  <c r="X198" i="106"/>
  <c r="AC198" i="106"/>
  <c r="U198" i="106"/>
  <c r="AE198" i="106"/>
  <c r="AF198" i="106"/>
  <c r="AB198" i="106"/>
  <c r="V198" i="106"/>
  <c r="W198" i="106"/>
  <c r="AD198" i="106"/>
  <c r="U333" i="106"/>
  <c r="V333" i="106"/>
  <c r="X333" i="106"/>
  <c r="Y333" i="106"/>
  <c r="Z333" i="106"/>
  <c r="W333" i="106"/>
  <c r="AB333" i="106"/>
  <c r="AC333" i="106"/>
  <c r="AF333" i="106"/>
  <c r="AE333" i="106"/>
  <c r="AD333" i="106"/>
  <c r="AA333" i="106"/>
  <c r="U356" i="106"/>
  <c r="Y356" i="106"/>
  <c r="AA356" i="106"/>
  <c r="AB356" i="106"/>
  <c r="AC356" i="106"/>
  <c r="AF356" i="106"/>
  <c r="Z356" i="106"/>
  <c r="AE356" i="106"/>
  <c r="V356" i="106"/>
  <c r="X356" i="106"/>
  <c r="AD356" i="106"/>
  <c r="W356" i="106"/>
  <c r="U355" i="106"/>
  <c r="AF355" i="106"/>
  <c r="Z355" i="106"/>
  <c r="AA355" i="106"/>
  <c r="AB355" i="106"/>
  <c r="AC355" i="106"/>
  <c r="Y355" i="106"/>
  <c r="AD355" i="106"/>
  <c r="AE355" i="106"/>
  <c r="V355" i="106"/>
  <c r="X355" i="106"/>
  <c r="W355" i="106"/>
  <c r="AA342" i="106"/>
  <c r="AC342" i="106"/>
  <c r="AD342" i="106"/>
  <c r="U342" i="106"/>
  <c r="W342" i="106"/>
  <c r="X342" i="106"/>
  <c r="AF342" i="106"/>
  <c r="AE342" i="106"/>
  <c r="Z342" i="106"/>
  <c r="Y342" i="106"/>
  <c r="AB342" i="106"/>
  <c r="V342" i="106"/>
  <c r="Y83" i="106"/>
  <c r="Z83" i="106"/>
  <c r="AB83" i="106"/>
  <c r="AC83" i="106"/>
  <c r="AA83" i="106"/>
  <c r="AD83" i="106"/>
  <c r="V83" i="106"/>
  <c r="W83" i="106"/>
  <c r="X83" i="106"/>
  <c r="AF83" i="106"/>
  <c r="U83" i="106"/>
  <c r="AE83" i="106"/>
  <c r="V339" i="106"/>
  <c r="U339" i="106"/>
  <c r="W339" i="106"/>
  <c r="AB339" i="106"/>
  <c r="X339" i="106"/>
  <c r="Z339" i="106"/>
  <c r="AA339" i="106"/>
  <c r="AD339" i="106"/>
  <c r="AE339" i="106"/>
  <c r="AC339" i="106"/>
  <c r="AF339" i="106"/>
  <c r="Y339" i="106"/>
  <c r="U358" i="106"/>
  <c r="Y358" i="106"/>
  <c r="Z358" i="106"/>
  <c r="AB358" i="106"/>
  <c r="AC358" i="106"/>
  <c r="AE358" i="106"/>
  <c r="AA358" i="106"/>
  <c r="AF358" i="106"/>
  <c r="X358" i="106"/>
  <c r="V358" i="106"/>
  <c r="AD358" i="106"/>
  <c r="W358" i="106"/>
  <c r="U357" i="106"/>
  <c r="AA357" i="106"/>
  <c r="AE357" i="106"/>
  <c r="AF357" i="106"/>
  <c r="AB357" i="106"/>
  <c r="Y357" i="106"/>
  <c r="Z357" i="106"/>
  <c r="AC357" i="106"/>
  <c r="V357" i="106"/>
  <c r="X357" i="106"/>
  <c r="AD357" i="106"/>
  <c r="W357" i="106"/>
  <c r="V317" i="106"/>
  <c r="U317" i="106"/>
  <c r="X317" i="106"/>
  <c r="AA317" i="106"/>
  <c r="AB317" i="106"/>
  <c r="W317" i="106"/>
  <c r="AC317" i="106"/>
  <c r="Z317" i="106"/>
  <c r="AD317" i="106"/>
  <c r="Y317" i="106"/>
  <c r="AF317" i="106"/>
  <c r="AE317" i="106"/>
  <c r="U332" i="106"/>
  <c r="AE332" i="106"/>
  <c r="AF332" i="106"/>
  <c r="AB332" i="106"/>
  <c r="AC332" i="106"/>
  <c r="AA332" i="106"/>
  <c r="Y332" i="106"/>
  <c r="W332" i="106"/>
  <c r="AD332" i="106"/>
  <c r="Z332" i="106"/>
  <c r="X332" i="106"/>
  <c r="V332" i="106"/>
  <c r="C350" i="106"/>
  <c r="C337" i="106"/>
  <c r="C348" i="106"/>
  <c r="C317" i="106"/>
  <c r="C219" i="106"/>
  <c r="D362" i="106"/>
  <c r="C342" i="106"/>
  <c r="C361" i="106"/>
  <c r="C352" i="106"/>
  <c r="D353" i="106"/>
  <c r="C358" i="106"/>
  <c r="C356" i="106"/>
  <c r="C341" i="106"/>
  <c r="C333" i="106"/>
  <c r="D355" i="106"/>
  <c r="C354" i="106"/>
  <c r="C340" i="106"/>
  <c r="D339" i="106"/>
  <c r="D349" i="106"/>
  <c r="C349" i="106"/>
  <c r="C347" i="106"/>
  <c r="D343" i="106"/>
  <c r="D337" i="106"/>
  <c r="D358" i="106"/>
  <c r="C83" i="106"/>
  <c r="D361" i="106"/>
  <c r="D351" i="106"/>
  <c r="C351" i="106"/>
  <c r="C353" i="106"/>
  <c r="D350" i="106"/>
  <c r="C343" i="106"/>
  <c r="C339" i="106"/>
  <c r="D354" i="106"/>
  <c r="D342" i="106"/>
  <c r="D359" i="106"/>
  <c r="C198" i="106"/>
  <c r="C243" i="106"/>
  <c r="D243" i="106"/>
  <c r="C338" i="106"/>
  <c r="C332" i="106"/>
  <c r="D198" i="106"/>
  <c r="C357" i="106"/>
  <c r="D357" i="106"/>
  <c r="C173" i="106"/>
  <c r="C362" i="106"/>
  <c r="C355" i="106"/>
  <c r="C359" i="106"/>
  <c r="D83" i="106"/>
  <c r="D336" i="106"/>
  <c r="D340" i="106"/>
  <c r="C336" i="106"/>
  <c r="D347" i="106"/>
  <c r="D333" i="106"/>
  <c r="D356" i="106"/>
  <c r="D352" i="106"/>
  <c r="D348" i="106"/>
  <c r="D173" i="106"/>
  <c r="D317" i="106"/>
  <c r="D341" i="106"/>
  <c r="D338" i="106"/>
  <c r="D219" i="106"/>
  <c r="D332" i="106"/>
  <c r="U192" i="103" l="1"/>
  <c r="X183" i="103" l="1"/>
  <c r="X182" i="103"/>
  <c r="X181" i="103"/>
  <c r="W183" i="103"/>
  <c r="W182" i="103"/>
  <c r="W181" i="103"/>
  <c r="F109" i="129"/>
  <c r="F132" i="129" s="1"/>
  <c r="E109" i="129"/>
  <c r="E132" i="129" s="1"/>
  <c r="D109" i="129"/>
  <c r="D132" i="129" s="1"/>
  <c r="F108" i="129"/>
  <c r="F131" i="129" s="1"/>
  <c r="E108" i="129"/>
  <c r="E131" i="129" s="1"/>
  <c r="D108" i="129"/>
  <c r="D131" i="129" s="1"/>
  <c r="F107" i="129"/>
  <c r="F130" i="129" s="1"/>
  <c r="E107" i="129"/>
  <c r="E130" i="129" s="1"/>
  <c r="D107" i="129"/>
  <c r="D130" i="129" s="1"/>
  <c r="F106" i="129"/>
  <c r="F129" i="129" s="1"/>
  <c r="E106" i="129"/>
  <c r="E129" i="129" s="1"/>
  <c r="D106" i="129"/>
  <c r="D129" i="129" s="1"/>
  <c r="F105" i="129"/>
  <c r="F128" i="129" s="1"/>
  <c r="E105" i="129"/>
  <c r="E128" i="129" s="1"/>
  <c r="D105" i="129"/>
  <c r="D128" i="129" s="1"/>
  <c r="F104" i="129"/>
  <c r="F127" i="129" s="1"/>
  <c r="E104" i="129"/>
  <c r="E127" i="129" s="1"/>
  <c r="D104" i="129"/>
  <c r="D127" i="129" s="1"/>
  <c r="F103" i="129"/>
  <c r="F126" i="129" s="1"/>
  <c r="E103" i="129"/>
  <c r="E126" i="129" s="1"/>
  <c r="D103" i="129"/>
  <c r="D126" i="129" s="1"/>
  <c r="F102" i="129"/>
  <c r="F125" i="129" s="1"/>
  <c r="E102" i="129"/>
  <c r="E125" i="129" s="1"/>
  <c r="D102" i="129"/>
  <c r="D125" i="129" s="1"/>
  <c r="F101" i="129"/>
  <c r="F124" i="129" s="1"/>
  <c r="E101" i="129"/>
  <c r="E124" i="129" s="1"/>
  <c r="D101" i="129"/>
  <c r="D124" i="129" s="1"/>
  <c r="F100" i="129"/>
  <c r="F123" i="129" s="1"/>
  <c r="E100" i="129"/>
  <c r="E123" i="129" s="1"/>
  <c r="D100" i="129"/>
  <c r="D123" i="129" s="1"/>
  <c r="F99" i="129"/>
  <c r="F122" i="129" s="1"/>
  <c r="E99" i="129"/>
  <c r="E122" i="129" s="1"/>
  <c r="D99" i="129"/>
  <c r="D122" i="129" s="1"/>
  <c r="F98" i="129"/>
  <c r="F121" i="129" s="1"/>
  <c r="E98" i="129"/>
  <c r="E121" i="129" s="1"/>
  <c r="D98" i="129"/>
  <c r="D121" i="129" s="1"/>
  <c r="F97" i="129"/>
  <c r="F120" i="129" s="1"/>
  <c r="E97" i="129"/>
  <c r="E120" i="129" s="1"/>
  <c r="D97" i="129"/>
  <c r="D120" i="129" s="1"/>
  <c r="F96" i="129"/>
  <c r="F119" i="129" s="1"/>
  <c r="E96" i="129"/>
  <c r="E119" i="129" s="1"/>
  <c r="D96" i="129"/>
  <c r="D119" i="129" s="1"/>
  <c r="F95" i="129"/>
  <c r="F118" i="129" s="1"/>
  <c r="E95" i="129"/>
  <c r="E118" i="129" s="1"/>
  <c r="D95" i="129"/>
  <c r="D118" i="129" s="1"/>
  <c r="F94" i="129"/>
  <c r="F117" i="129" s="1"/>
  <c r="E94" i="129"/>
  <c r="E117" i="129" s="1"/>
  <c r="D94" i="129"/>
  <c r="D117" i="129" s="1"/>
  <c r="F93" i="129"/>
  <c r="F116" i="129" s="1"/>
  <c r="E93" i="129"/>
  <c r="E116" i="129" s="1"/>
  <c r="D93" i="129"/>
  <c r="D116" i="129" s="1"/>
  <c r="F92" i="129"/>
  <c r="F115" i="129" s="1"/>
  <c r="E92" i="129"/>
  <c r="E115" i="129" s="1"/>
  <c r="D92" i="129"/>
  <c r="D115" i="129" s="1"/>
  <c r="F91" i="129"/>
  <c r="F114" i="129" s="1"/>
  <c r="E91" i="129"/>
  <c r="E114" i="129" s="1"/>
  <c r="D91" i="129"/>
  <c r="D114" i="129" s="1"/>
  <c r="F90" i="129"/>
  <c r="F113" i="129" s="1"/>
  <c r="E90" i="129"/>
  <c r="E113" i="129" s="1"/>
  <c r="D90" i="129"/>
  <c r="D113" i="129" s="1"/>
  <c r="F89" i="129"/>
  <c r="F112" i="129" s="1"/>
  <c r="E89" i="129"/>
  <c r="E112" i="129" s="1"/>
  <c r="D89" i="129"/>
  <c r="D112" i="129" s="1"/>
  <c r="F88" i="129"/>
  <c r="F111" i="129" s="1"/>
  <c r="E88" i="129"/>
  <c r="E111" i="129" s="1"/>
  <c r="D88" i="129"/>
  <c r="D111" i="129" s="1"/>
  <c r="W118" i="105"/>
  <c r="W118" i="103"/>
  <c r="M85" i="129"/>
  <c r="L85" i="129"/>
  <c r="I85" i="129"/>
  <c r="H85" i="129"/>
  <c r="N85" i="129" s="1"/>
  <c r="G85" i="129"/>
  <c r="I73" i="129"/>
  <c r="O73" i="129" s="1"/>
  <c r="I84" i="129"/>
  <c r="H84" i="129"/>
  <c r="G84" i="129"/>
  <c r="I83" i="129"/>
  <c r="O83" i="129" s="1"/>
  <c r="H83" i="129"/>
  <c r="N83" i="129" s="1"/>
  <c r="G83" i="129"/>
  <c r="I82" i="129"/>
  <c r="O82" i="129" s="1"/>
  <c r="H82" i="129"/>
  <c r="N82" i="129" s="1"/>
  <c r="G82" i="129"/>
  <c r="I81" i="129"/>
  <c r="H81" i="129"/>
  <c r="G81" i="129"/>
  <c r="I80" i="129"/>
  <c r="H80" i="129"/>
  <c r="G80" i="129"/>
  <c r="I79" i="129"/>
  <c r="O79" i="129" s="1"/>
  <c r="H79" i="129"/>
  <c r="N79" i="129" s="1"/>
  <c r="G79" i="129"/>
  <c r="I78" i="129"/>
  <c r="O78" i="129" s="1"/>
  <c r="H78" i="129"/>
  <c r="N78" i="129" s="1"/>
  <c r="G78" i="129"/>
  <c r="I77" i="129"/>
  <c r="H77" i="129"/>
  <c r="N77" i="129" s="1"/>
  <c r="G77" i="129"/>
  <c r="I76" i="129"/>
  <c r="H76" i="129"/>
  <c r="G76" i="129"/>
  <c r="I75" i="129"/>
  <c r="O75" i="129" s="1"/>
  <c r="H75" i="129"/>
  <c r="N75" i="129" s="1"/>
  <c r="G75" i="129"/>
  <c r="I74" i="129"/>
  <c r="O74" i="129" s="1"/>
  <c r="H74" i="129"/>
  <c r="N74" i="129" s="1"/>
  <c r="G74" i="129"/>
  <c r="H73" i="129"/>
  <c r="N73" i="129" s="1"/>
  <c r="G73" i="129"/>
  <c r="I72" i="129"/>
  <c r="O72" i="129" s="1"/>
  <c r="H72" i="129"/>
  <c r="N72" i="129" s="1"/>
  <c r="G72" i="129"/>
  <c r="I71" i="129"/>
  <c r="O71" i="129" s="1"/>
  <c r="H71" i="129"/>
  <c r="N71" i="129" s="1"/>
  <c r="G71" i="129"/>
  <c r="I70" i="129"/>
  <c r="O70" i="129" s="1"/>
  <c r="H70" i="129"/>
  <c r="N70" i="129" s="1"/>
  <c r="G70" i="129"/>
  <c r="I69" i="129"/>
  <c r="O69" i="129" s="1"/>
  <c r="H69" i="129"/>
  <c r="N69" i="129" s="1"/>
  <c r="G69" i="129"/>
  <c r="I68" i="129"/>
  <c r="O68" i="129" s="1"/>
  <c r="H68" i="129"/>
  <c r="N68" i="129" s="1"/>
  <c r="G68" i="129"/>
  <c r="I67" i="129"/>
  <c r="O67" i="129" s="1"/>
  <c r="H67" i="129"/>
  <c r="N67" i="129" s="1"/>
  <c r="G67" i="129"/>
  <c r="I66" i="129"/>
  <c r="O66" i="129" s="1"/>
  <c r="H66" i="129"/>
  <c r="N66" i="129" s="1"/>
  <c r="G66" i="129"/>
  <c r="I65" i="129"/>
  <c r="O65" i="129" s="1"/>
  <c r="H65" i="129"/>
  <c r="N65" i="129" s="1"/>
  <c r="G65" i="129"/>
  <c r="I64" i="129"/>
  <c r="H64" i="129"/>
  <c r="N64" i="129" s="1"/>
  <c r="G64" i="129"/>
  <c r="I63" i="129"/>
  <c r="H63" i="129"/>
  <c r="N63" i="129" s="1"/>
  <c r="G63" i="129"/>
  <c r="L36" i="129"/>
  <c r="L37" i="129"/>
  <c r="M36" i="129"/>
  <c r="L35" i="129"/>
  <c r="M84" i="129"/>
  <c r="L84" i="129"/>
  <c r="M83" i="129"/>
  <c r="L83" i="129"/>
  <c r="M82" i="129"/>
  <c r="L82" i="129"/>
  <c r="M81" i="129"/>
  <c r="L81" i="129"/>
  <c r="M80" i="129"/>
  <c r="L80" i="129"/>
  <c r="M79" i="129"/>
  <c r="L79" i="129"/>
  <c r="M78" i="129"/>
  <c r="L78" i="129"/>
  <c r="M77" i="129"/>
  <c r="L77" i="129"/>
  <c r="M76" i="129"/>
  <c r="L76" i="129"/>
  <c r="M75" i="129"/>
  <c r="L75" i="129"/>
  <c r="M74" i="129"/>
  <c r="L74" i="129"/>
  <c r="M73" i="129"/>
  <c r="L73" i="129"/>
  <c r="M72" i="129"/>
  <c r="L72" i="129"/>
  <c r="M71" i="129"/>
  <c r="L71" i="129"/>
  <c r="M70" i="129"/>
  <c r="L70" i="129"/>
  <c r="M69" i="129"/>
  <c r="L69" i="129"/>
  <c r="M68" i="129"/>
  <c r="L68" i="129"/>
  <c r="M67" i="129"/>
  <c r="L67" i="129"/>
  <c r="M66" i="129"/>
  <c r="L66" i="129"/>
  <c r="M65" i="129"/>
  <c r="L65" i="129"/>
  <c r="M64" i="129"/>
  <c r="L64" i="129"/>
  <c r="M63" i="129"/>
  <c r="L63" i="129"/>
  <c r="M57" i="129"/>
  <c r="L57" i="129"/>
  <c r="M56" i="129"/>
  <c r="L56" i="129"/>
  <c r="M55" i="129"/>
  <c r="L55" i="129"/>
  <c r="M54" i="129"/>
  <c r="L54" i="129"/>
  <c r="M53" i="129"/>
  <c r="L53" i="129"/>
  <c r="M52" i="129"/>
  <c r="L52" i="129"/>
  <c r="M51" i="129"/>
  <c r="L51" i="129"/>
  <c r="M50" i="129"/>
  <c r="L50" i="129"/>
  <c r="M49" i="129"/>
  <c r="L49" i="129"/>
  <c r="M48" i="129"/>
  <c r="L48" i="129"/>
  <c r="M47" i="129"/>
  <c r="L47" i="129"/>
  <c r="M46" i="129"/>
  <c r="L46" i="129"/>
  <c r="M45" i="129"/>
  <c r="L45" i="129"/>
  <c r="M44" i="129"/>
  <c r="L44" i="129"/>
  <c r="M43" i="129"/>
  <c r="L43" i="129"/>
  <c r="M42" i="129"/>
  <c r="L42" i="129"/>
  <c r="M41" i="129"/>
  <c r="L41" i="129"/>
  <c r="M40" i="129"/>
  <c r="L40" i="129"/>
  <c r="M39" i="129"/>
  <c r="L39" i="129"/>
  <c r="M38" i="129"/>
  <c r="L38" i="129"/>
  <c r="M37" i="129"/>
  <c r="M35" i="129"/>
  <c r="I56" i="129"/>
  <c r="H56" i="129"/>
  <c r="G56" i="129"/>
  <c r="I55" i="129"/>
  <c r="H55" i="129"/>
  <c r="G55" i="129"/>
  <c r="I54" i="129"/>
  <c r="O54" i="129" s="1"/>
  <c r="H54" i="129"/>
  <c r="G54" i="129"/>
  <c r="I53" i="129"/>
  <c r="H53" i="129"/>
  <c r="G53" i="129"/>
  <c r="I52" i="129"/>
  <c r="O52" i="129" s="1"/>
  <c r="H52" i="129"/>
  <c r="N52" i="129" s="1"/>
  <c r="G52" i="129"/>
  <c r="I51" i="129"/>
  <c r="O51" i="129" s="1"/>
  <c r="H51" i="129"/>
  <c r="N51" i="129" s="1"/>
  <c r="G51" i="129"/>
  <c r="I50" i="129"/>
  <c r="H50" i="129"/>
  <c r="G50" i="129"/>
  <c r="I49" i="129"/>
  <c r="H49" i="129"/>
  <c r="G49" i="129"/>
  <c r="I48" i="129"/>
  <c r="O48" i="129" s="1"/>
  <c r="H48" i="129"/>
  <c r="G48" i="129"/>
  <c r="I47" i="129"/>
  <c r="H47" i="129"/>
  <c r="G47" i="129"/>
  <c r="I46" i="129"/>
  <c r="O46" i="129" s="1"/>
  <c r="H46" i="129"/>
  <c r="N46" i="129" s="1"/>
  <c r="G46" i="129"/>
  <c r="I45" i="129"/>
  <c r="O45" i="129" s="1"/>
  <c r="H45" i="129"/>
  <c r="N45" i="129" s="1"/>
  <c r="G45" i="129"/>
  <c r="I44" i="129"/>
  <c r="H44" i="129"/>
  <c r="G44" i="129"/>
  <c r="I43" i="129"/>
  <c r="H43" i="129"/>
  <c r="G43" i="129"/>
  <c r="I42" i="129"/>
  <c r="O42" i="129" s="1"/>
  <c r="H42" i="129"/>
  <c r="G42" i="129"/>
  <c r="I41" i="129"/>
  <c r="O41" i="129" s="1"/>
  <c r="H41" i="129"/>
  <c r="G41" i="129"/>
  <c r="I40" i="129"/>
  <c r="O40" i="129" s="1"/>
  <c r="H40" i="129"/>
  <c r="N40" i="129" s="1"/>
  <c r="G40" i="129"/>
  <c r="I39" i="129"/>
  <c r="O39" i="129" s="1"/>
  <c r="H39" i="129"/>
  <c r="N39" i="129" s="1"/>
  <c r="G39" i="129"/>
  <c r="I38" i="129"/>
  <c r="H38" i="129"/>
  <c r="G38" i="129"/>
  <c r="I37" i="129"/>
  <c r="H37" i="129"/>
  <c r="G37" i="129"/>
  <c r="I36" i="129"/>
  <c r="O36" i="129" s="1"/>
  <c r="H36" i="129"/>
  <c r="G36" i="129"/>
  <c r="I35" i="129"/>
  <c r="H35" i="129"/>
  <c r="N35" i="129" s="1"/>
  <c r="G35" i="129"/>
  <c r="W184" i="103" l="1"/>
  <c r="K85" i="129"/>
  <c r="O85" i="129"/>
  <c r="J85" i="129"/>
  <c r="J43" i="129"/>
  <c r="K84" i="129"/>
  <c r="K53" i="129"/>
  <c r="K81" i="129"/>
  <c r="N81" i="129"/>
  <c r="K64" i="129"/>
  <c r="J37" i="129"/>
  <c r="J41" i="129"/>
  <c r="J49" i="129"/>
  <c r="J53" i="129"/>
  <c r="J63" i="129"/>
  <c r="K37" i="129"/>
  <c r="K41" i="129"/>
  <c r="K49" i="129"/>
  <c r="J36" i="129"/>
  <c r="J44" i="129"/>
  <c r="J48" i="129"/>
  <c r="J56" i="129"/>
  <c r="K54" i="129"/>
  <c r="N41" i="129"/>
  <c r="J51" i="129"/>
  <c r="J47" i="129"/>
  <c r="K35" i="129"/>
  <c r="K43" i="129"/>
  <c r="K47" i="129"/>
  <c r="K55" i="129"/>
  <c r="N47" i="129"/>
  <c r="N53" i="129"/>
  <c r="K44" i="129"/>
  <c r="K56" i="129"/>
  <c r="O53" i="129"/>
  <c r="K36" i="129"/>
  <c r="J39" i="129"/>
  <c r="K42" i="129"/>
  <c r="J45" i="129"/>
  <c r="J35" i="129"/>
  <c r="J38" i="129"/>
  <c r="J42" i="129"/>
  <c r="J50" i="129"/>
  <c r="J54" i="129"/>
  <c r="K45" i="129"/>
  <c r="J55" i="129"/>
  <c r="K38" i="129"/>
  <c r="K50" i="129"/>
  <c r="K48" i="129"/>
  <c r="K73" i="129"/>
  <c r="J76" i="129"/>
  <c r="K68" i="129"/>
  <c r="K83" i="129"/>
  <c r="K77" i="129"/>
  <c r="J84" i="129"/>
  <c r="J71" i="129"/>
  <c r="J75" i="129"/>
  <c r="O77" i="129"/>
  <c r="K80" i="129"/>
  <c r="K39" i="129"/>
  <c r="K51" i="129"/>
  <c r="O35" i="129"/>
  <c r="O47" i="129"/>
  <c r="K76" i="129"/>
  <c r="J40" i="129"/>
  <c r="J46" i="129"/>
  <c r="J52" i="129"/>
  <c r="N36" i="129"/>
  <c r="N42" i="129"/>
  <c r="N48" i="129"/>
  <c r="N54" i="129"/>
  <c r="K63" i="129"/>
  <c r="J80" i="129"/>
  <c r="O81" i="129"/>
  <c r="K40" i="129"/>
  <c r="K46" i="129"/>
  <c r="K52" i="129"/>
  <c r="K65" i="129"/>
  <c r="J67" i="129"/>
  <c r="N37" i="129"/>
  <c r="N43" i="129"/>
  <c r="N49" i="129"/>
  <c r="N55" i="129"/>
  <c r="K67" i="129"/>
  <c r="N76" i="129"/>
  <c r="O37" i="129"/>
  <c r="O43" i="129"/>
  <c r="O49" i="129"/>
  <c r="O55" i="129"/>
  <c r="K69" i="129"/>
  <c r="O76" i="129"/>
  <c r="N38" i="129"/>
  <c r="N44" i="129"/>
  <c r="N50" i="129"/>
  <c r="N56" i="129"/>
  <c r="J64" i="129"/>
  <c r="K71" i="129"/>
  <c r="N80" i="129"/>
  <c r="O38" i="129"/>
  <c r="O44" i="129"/>
  <c r="O50" i="129"/>
  <c r="O56" i="129"/>
  <c r="O80" i="129"/>
  <c r="J68" i="129"/>
  <c r="K75" i="129"/>
  <c r="N84" i="129"/>
  <c r="J79" i="129"/>
  <c r="O84" i="129"/>
  <c r="J72" i="129"/>
  <c r="K79" i="129"/>
  <c r="O64" i="129"/>
  <c r="K72" i="129"/>
  <c r="J83" i="129"/>
  <c r="J66" i="129"/>
  <c r="J70" i="129"/>
  <c r="J74" i="129"/>
  <c r="J78" i="129"/>
  <c r="J82" i="129"/>
  <c r="K66" i="129"/>
  <c r="K70" i="129"/>
  <c r="K74" i="129"/>
  <c r="K78" i="129"/>
  <c r="K82" i="129"/>
  <c r="O63" i="129"/>
  <c r="J65" i="129"/>
  <c r="J69" i="129"/>
  <c r="J73" i="129"/>
  <c r="J77" i="129"/>
  <c r="J81" i="129"/>
  <c r="G57" i="129"/>
  <c r="H57" i="129"/>
  <c r="I57" i="129"/>
  <c r="O57" i="129" l="1"/>
  <c r="K57" i="129"/>
  <c r="N57" i="129"/>
  <c r="J57" i="129"/>
  <c r="W162" i="103" l="1"/>
  <c r="W163" i="103"/>
  <c r="X162" i="103"/>
  <c r="X163" i="103"/>
  <c r="G1361" i="58" l="1"/>
  <c r="M1361" i="58" s="1"/>
  <c r="G1367" i="58"/>
  <c r="M1367" i="58" s="1"/>
  <c r="S6" i="129"/>
  <c r="X160" i="103"/>
  <c r="W160" i="103"/>
  <c r="X23" i="103" l="1"/>
  <c r="W23" i="103"/>
  <c r="G1325" i="58" l="1"/>
  <c r="M1325" i="58" s="1"/>
  <c r="B329" i="106"/>
  <c r="T329" i="106" s="1"/>
  <c r="B330" i="106"/>
  <c r="T330" i="106" s="1"/>
  <c r="B331" i="106"/>
  <c r="T331" i="106" s="1"/>
  <c r="U331" i="106" l="1"/>
  <c r="V331" i="106"/>
  <c r="W331" i="106"/>
  <c r="X331" i="106"/>
  <c r="AA331" i="106"/>
  <c r="AB331" i="106"/>
  <c r="AC331" i="106"/>
  <c r="Z331" i="106"/>
  <c r="AF331" i="106"/>
  <c r="Y331" i="106"/>
  <c r="AE331" i="106"/>
  <c r="AD331" i="106"/>
  <c r="U329" i="106"/>
  <c r="AD329" i="106"/>
  <c r="W329" i="106"/>
  <c r="AF329" i="106"/>
  <c r="Z329" i="106"/>
  <c r="AA329" i="106"/>
  <c r="X329" i="106"/>
  <c r="AB329" i="106"/>
  <c r="AE329" i="106"/>
  <c r="Y329" i="106"/>
  <c r="AC329" i="106"/>
  <c r="V329" i="106"/>
  <c r="Y330" i="106"/>
  <c r="Z330" i="106"/>
  <c r="W330" i="106"/>
  <c r="U330" i="106"/>
  <c r="AE330" i="106"/>
  <c r="V330" i="106"/>
  <c r="AD330" i="106"/>
  <c r="X330" i="106"/>
  <c r="AB330" i="106"/>
  <c r="AC330" i="106"/>
  <c r="AA330" i="106"/>
  <c r="AF330" i="106"/>
  <c r="D331" i="106"/>
  <c r="D330" i="106"/>
  <c r="G472" i="58"/>
  <c r="M472" i="58" s="1"/>
  <c r="C330" i="106"/>
  <c r="C331" i="106"/>
  <c r="D329" i="106"/>
  <c r="C329" i="106"/>
  <c r="P17" i="104"/>
  <c r="P25" i="104"/>
  <c r="P44" i="104"/>
  <c r="P56" i="104"/>
  <c r="P62" i="104"/>
  <c r="P79" i="104"/>
  <c r="P92" i="104"/>
  <c r="P117" i="104"/>
  <c r="P122" i="104"/>
  <c r="P143" i="104"/>
  <c r="P155" i="104"/>
  <c r="P158" i="104"/>
  <c r="P166" i="104"/>
  <c r="E17" i="128" l="1"/>
  <c r="E10" i="128" l="1"/>
  <c r="E9" i="128"/>
  <c r="E8" i="128"/>
  <c r="E6" i="128"/>
  <c r="D6" i="128"/>
  <c r="E5" i="128"/>
  <c r="D5" i="128"/>
  <c r="E4" i="128"/>
  <c r="D4" i="128"/>
  <c r="U180" i="105"/>
  <c r="U184" i="105" s="1"/>
  <c r="X180" i="103"/>
  <c r="H26" i="128"/>
  <c r="G26" i="128"/>
  <c r="H13" i="128"/>
  <c r="G13" i="128"/>
  <c r="G4" i="128" l="1"/>
  <c r="B275" i="106" l="1"/>
  <c r="T275" i="106" s="1"/>
  <c r="B276" i="106"/>
  <c r="T276" i="106" s="1"/>
  <c r="B277" i="106"/>
  <c r="T277" i="106" s="1"/>
  <c r="B278" i="106"/>
  <c r="T278" i="106" s="1"/>
  <c r="B279" i="106"/>
  <c r="T279" i="106" s="1"/>
  <c r="B280" i="106"/>
  <c r="T280" i="106" s="1"/>
  <c r="B344" i="106"/>
  <c r="T344" i="106" s="1"/>
  <c r="B282" i="106"/>
  <c r="T282" i="106" s="1"/>
  <c r="B283" i="106"/>
  <c r="T283" i="106" s="1"/>
  <c r="B284" i="106"/>
  <c r="T284" i="106" s="1"/>
  <c r="B285" i="106"/>
  <c r="T285" i="106" s="1"/>
  <c r="B286" i="106"/>
  <c r="T286" i="106" s="1"/>
  <c r="B287" i="106"/>
  <c r="T287" i="106" s="1"/>
  <c r="B288" i="106"/>
  <c r="T288" i="106" s="1"/>
  <c r="B289" i="106"/>
  <c r="T289" i="106" s="1"/>
  <c r="B290" i="106"/>
  <c r="T290" i="106" s="1"/>
  <c r="B291" i="106"/>
  <c r="T291" i="106" s="1"/>
  <c r="B292" i="106"/>
  <c r="T292" i="106" s="1"/>
  <c r="B293" i="106"/>
  <c r="T293" i="106" s="1"/>
  <c r="B294" i="106"/>
  <c r="T294" i="106" s="1"/>
  <c r="B295" i="106"/>
  <c r="T295" i="106" s="1"/>
  <c r="B296" i="106"/>
  <c r="T296" i="106" s="1"/>
  <c r="B297" i="106"/>
  <c r="T297" i="106" s="1"/>
  <c r="B298" i="106"/>
  <c r="T298" i="106" s="1"/>
  <c r="B299" i="106"/>
  <c r="T299" i="106" s="1"/>
  <c r="B300" i="106"/>
  <c r="T300" i="106" s="1"/>
  <c r="B301" i="106"/>
  <c r="T301" i="106" s="1"/>
  <c r="B302" i="106"/>
  <c r="T302" i="106" s="1"/>
  <c r="B303" i="106"/>
  <c r="T303" i="106" s="1"/>
  <c r="B304" i="106"/>
  <c r="T304" i="106" s="1"/>
  <c r="B305" i="106"/>
  <c r="T305" i="106" s="1"/>
  <c r="B306" i="106"/>
  <c r="T306" i="106" s="1"/>
  <c r="B307" i="106"/>
  <c r="T307" i="106" s="1"/>
  <c r="B345" i="106"/>
  <c r="T345" i="106" s="1"/>
  <c r="B309" i="106"/>
  <c r="T309" i="106" s="1"/>
  <c r="B310" i="106"/>
  <c r="T310" i="106" s="1"/>
  <c r="B311" i="106"/>
  <c r="T311" i="106" s="1"/>
  <c r="B312" i="106"/>
  <c r="T312" i="106" s="1"/>
  <c r="B313" i="106"/>
  <c r="T313" i="106" s="1"/>
  <c r="B314" i="106"/>
  <c r="T314" i="106" s="1"/>
  <c r="B315" i="106"/>
  <c r="T315" i="106" s="1"/>
  <c r="B316" i="106"/>
  <c r="T316" i="106" s="1"/>
  <c r="B318" i="106"/>
  <c r="T318" i="106" s="1"/>
  <c r="B319" i="106"/>
  <c r="T319" i="106" s="1"/>
  <c r="B320" i="106"/>
  <c r="T320" i="106" s="1"/>
  <c r="B321" i="106"/>
  <c r="T321" i="106" s="1"/>
  <c r="B322" i="106"/>
  <c r="T322" i="106" s="1"/>
  <c r="B323" i="106"/>
  <c r="T323" i="106" s="1"/>
  <c r="B324" i="106"/>
  <c r="T324" i="106" s="1"/>
  <c r="B325" i="106"/>
  <c r="T325" i="106" s="1"/>
  <c r="B326" i="106"/>
  <c r="T326" i="106" s="1"/>
  <c r="B327" i="106"/>
  <c r="T327" i="106" s="1"/>
  <c r="B328" i="106"/>
  <c r="T328" i="106" s="1"/>
  <c r="S372" i="130"/>
  <c r="B372" i="130"/>
  <c r="T372" i="130" s="1"/>
  <c r="S371" i="130"/>
  <c r="B371" i="130"/>
  <c r="T371" i="130" s="1"/>
  <c r="T370" i="130"/>
  <c r="S370" i="130"/>
  <c r="D370" i="130"/>
  <c r="B370" i="130"/>
  <c r="C370" i="130" s="1"/>
  <c r="S369" i="130"/>
  <c r="D369" i="130"/>
  <c r="C369" i="130"/>
  <c r="B369" i="130"/>
  <c r="T369" i="130" s="1"/>
  <c r="X369" i="130" s="1"/>
  <c r="S368" i="130"/>
  <c r="D368" i="130"/>
  <c r="C368" i="130"/>
  <c r="B368" i="130"/>
  <c r="T368" i="130" s="1"/>
  <c r="AD368" i="130" s="1"/>
  <c r="S367" i="130"/>
  <c r="B367" i="130"/>
  <c r="S366" i="130"/>
  <c r="B366" i="130"/>
  <c r="T365" i="130"/>
  <c r="AF365" i="130" s="1"/>
  <c r="S365" i="130"/>
  <c r="D365" i="130"/>
  <c r="C365" i="130"/>
  <c r="B365" i="130"/>
  <c r="T364" i="130"/>
  <c r="U364" i="130" s="1"/>
  <c r="S364" i="130"/>
  <c r="D364" i="130"/>
  <c r="B364" i="130"/>
  <c r="C364" i="130" s="1"/>
  <c r="S363" i="130"/>
  <c r="C363" i="130"/>
  <c r="B363" i="130"/>
  <c r="T363" i="130" s="1"/>
  <c r="T362" i="130"/>
  <c r="AC362" i="130" s="1"/>
  <c r="S362" i="130"/>
  <c r="D362" i="130"/>
  <c r="C362" i="130"/>
  <c r="B362" i="130"/>
  <c r="S361" i="130"/>
  <c r="C361" i="130"/>
  <c r="B361" i="130"/>
  <c r="T360" i="130"/>
  <c r="S360" i="130"/>
  <c r="D360" i="130"/>
  <c r="B360" i="130"/>
  <c r="C360" i="130" s="1"/>
  <c r="T359" i="130"/>
  <c r="AA359" i="130" s="1"/>
  <c r="S359" i="130"/>
  <c r="B359" i="130"/>
  <c r="D359" i="130" s="1"/>
  <c r="T358" i="130"/>
  <c r="S358" i="130"/>
  <c r="D358" i="130"/>
  <c r="C358" i="130"/>
  <c r="B358" i="130"/>
  <c r="S357" i="130"/>
  <c r="D357" i="130"/>
  <c r="C357" i="130"/>
  <c r="B357" i="130"/>
  <c r="T357" i="130" s="1"/>
  <c r="AD357" i="130" s="1"/>
  <c r="S356" i="130"/>
  <c r="D356" i="130"/>
  <c r="C356" i="130"/>
  <c r="B356" i="130"/>
  <c r="T356" i="130" s="1"/>
  <c r="Z356" i="130" s="1"/>
  <c r="S355" i="130"/>
  <c r="B355" i="130"/>
  <c r="T354" i="130"/>
  <c r="AB354" i="130" s="1"/>
  <c r="S354" i="130"/>
  <c r="B354" i="130"/>
  <c r="T353" i="130"/>
  <c r="AF353" i="130" s="1"/>
  <c r="S353" i="130"/>
  <c r="D353" i="130"/>
  <c r="C353" i="130"/>
  <c r="B353" i="130"/>
  <c r="T352" i="130"/>
  <c r="S352" i="130"/>
  <c r="D352" i="130"/>
  <c r="B352" i="130"/>
  <c r="C352" i="130" s="1"/>
  <c r="S351" i="130"/>
  <c r="B351" i="130"/>
  <c r="T350" i="130"/>
  <c r="AD350" i="130" s="1"/>
  <c r="S350" i="130"/>
  <c r="D350" i="130"/>
  <c r="C350" i="130"/>
  <c r="B350" i="130"/>
  <c r="S349" i="130"/>
  <c r="C349" i="130"/>
  <c r="B349" i="130"/>
  <c r="T348" i="130"/>
  <c r="S348" i="130"/>
  <c r="D348" i="130"/>
  <c r="B348" i="130"/>
  <c r="C348" i="130" s="1"/>
  <c r="T347" i="130"/>
  <c r="AE347" i="130" s="1"/>
  <c r="S347" i="130"/>
  <c r="B347" i="130"/>
  <c r="D347" i="130" s="1"/>
  <c r="T346" i="130"/>
  <c r="AF346" i="130" s="1"/>
  <c r="S346" i="130"/>
  <c r="D346" i="130"/>
  <c r="C346" i="130"/>
  <c r="B346" i="130"/>
  <c r="S345" i="130"/>
  <c r="D345" i="130"/>
  <c r="C345" i="130"/>
  <c r="B345" i="130"/>
  <c r="T345" i="130" s="1"/>
  <c r="AD345" i="130" s="1"/>
  <c r="S344" i="130"/>
  <c r="D344" i="130"/>
  <c r="C344" i="130"/>
  <c r="B344" i="130"/>
  <c r="T344" i="130" s="1"/>
  <c r="AC344" i="130" s="1"/>
  <c r="S343" i="130"/>
  <c r="B343" i="130"/>
  <c r="T342" i="130"/>
  <c r="AB342" i="130" s="1"/>
  <c r="S342" i="130"/>
  <c r="B342" i="130"/>
  <c r="T341" i="130"/>
  <c r="S341" i="130"/>
  <c r="D341" i="130"/>
  <c r="C341" i="130"/>
  <c r="B341" i="130"/>
  <c r="T340" i="130"/>
  <c r="S340" i="130"/>
  <c r="D340" i="130"/>
  <c r="B340" i="130"/>
  <c r="C340" i="130" s="1"/>
  <c r="S339" i="130"/>
  <c r="C339" i="130"/>
  <c r="B339" i="130"/>
  <c r="T338" i="130"/>
  <c r="S338" i="130"/>
  <c r="D338" i="130"/>
  <c r="C338" i="130"/>
  <c r="B338" i="130"/>
  <c r="S337" i="130"/>
  <c r="C337" i="130"/>
  <c r="B337" i="130"/>
  <c r="S336" i="130"/>
  <c r="B336" i="130"/>
  <c r="T335" i="130"/>
  <c r="AE335" i="130" s="1"/>
  <c r="S335" i="130"/>
  <c r="B335" i="130"/>
  <c r="D335" i="130" s="1"/>
  <c r="T334" i="130"/>
  <c r="S334" i="130"/>
  <c r="D334" i="130"/>
  <c r="B334" i="130"/>
  <c r="C334" i="130" s="1"/>
  <c r="T333" i="130"/>
  <c r="AF333" i="130" s="1"/>
  <c r="S333" i="130"/>
  <c r="D333" i="130"/>
  <c r="C333" i="130"/>
  <c r="B333" i="130"/>
  <c r="S332" i="130"/>
  <c r="D332" i="130"/>
  <c r="B332" i="130"/>
  <c r="T331" i="130"/>
  <c r="AD331" i="130" s="1"/>
  <c r="S331" i="130"/>
  <c r="D331" i="130"/>
  <c r="C331" i="130"/>
  <c r="B331" i="130"/>
  <c r="T330" i="130"/>
  <c r="X330" i="130" s="1"/>
  <c r="S330" i="130"/>
  <c r="B330" i="130"/>
  <c r="S329" i="130"/>
  <c r="B329" i="130"/>
  <c r="T328" i="130"/>
  <c r="V328" i="130" s="1"/>
  <c r="S328" i="130"/>
  <c r="D328" i="130"/>
  <c r="B328" i="130"/>
  <c r="C328" i="130" s="1"/>
  <c r="S327" i="130"/>
  <c r="D327" i="130"/>
  <c r="C327" i="130"/>
  <c r="B327" i="130"/>
  <c r="T327" i="130" s="1"/>
  <c r="W327" i="130" s="1"/>
  <c r="S326" i="130"/>
  <c r="C326" i="130"/>
  <c r="B326" i="130"/>
  <c r="T326" i="130" s="1"/>
  <c r="W326" i="130" s="1"/>
  <c r="S325" i="130"/>
  <c r="B325" i="130"/>
  <c r="S324" i="130"/>
  <c r="B324" i="130"/>
  <c r="T323" i="130"/>
  <c r="U323" i="130" s="1"/>
  <c r="S323" i="130"/>
  <c r="B323" i="130"/>
  <c r="D323" i="130" s="1"/>
  <c r="S322" i="130"/>
  <c r="B322" i="130"/>
  <c r="T321" i="130"/>
  <c r="V321" i="130" s="1"/>
  <c r="S321" i="130"/>
  <c r="D321" i="130"/>
  <c r="C321" i="130"/>
  <c r="B321" i="130"/>
  <c r="S320" i="130"/>
  <c r="D320" i="130"/>
  <c r="C320" i="130"/>
  <c r="B320" i="130"/>
  <c r="T320" i="130" s="1"/>
  <c r="AC320" i="130" s="1"/>
  <c r="S319" i="130"/>
  <c r="B319" i="130"/>
  <c r="T318" i="130"/>
  <c r="V318" i="130" s="1"/>
  <c r="S318" i="130"/>
  <c r="B318" i="130"/>
  <c r="S317" i="130"/>
  <c r="B317" i="130"/>
  <c r="C317" i="130" s="1"/>
  <c r="T316" i="130"/>
  <c r="AD316" i="130" s="1"/>
  <c r="S316" i="130"/>
  <c r="D316" i="130"/>
  <c r="B316" i="130"/>
  <c r="C316" i="130" s="1"/>
  <c r="S315" i="130"/>
  <c r="B315" i="130"/>
  <c r="T314" i="130"/>
  <c r="AB314" i="130" s="1"/>
  <c r="S314" i="130"/>
  <c r="D314" i="130"/>
  <c r="C314" i="130"/>
  <c r="B314" i="130"/>
  <c r="S313" i="130"/>
  <c r="B313" i="130"/>
  <c r="S312" i="130"/>
  <c r="D312" i="130"/>
  <c r="B312" i="130"/>
  <c r="T312" i="130" s="1"/>
  <c r="AD312" i="130" s="1"/>
  <c r="T311" i="130"/>
  <c r="AA311" i="130" s="1"/>
  <c r="S311" i="130"/>
  <c r="B311" i="130"/>
  <c r="S310" i="130"/>
  <c r="B310" i="130"/>
  <c r="T309" i="130"/>
  <c r="S309" i="130"/>
  <c r="D309" i="130"/>
  <c r="C309" i="130"/>
  <c r="B309" i="130"/>
  <c r="S308" i="130"/>
  <c r="B308" i="130"/>
  <c r="S307" i="130"/>
  <c r="B307" i="130"/>
  <c r="T306" i="130"/>
  <c r="AA306" i="130" s="1"/>
  <c r="S306" i="130"/>
  <c r="D306" i="130"/>
  <c r="C306" i="130"/>
  <c r="B306" i="130"/>
  <c r="T305" i="130"/>
  <c r="AE305" i="130" s="1"/>
  <c r="S305" i="130"/>
  <c r="D305" i="130"/>
  <c r="B305" i="130"/>
  <c r="C305" i="130" s="1"/>
  <c r="T304" i="130"/>
  <c r="S304" i="130"/>
  <c r="D304" i="130"/>
  <c r="B304" i="130"/>
  <c r="C304" i="130" s="1"/>
  <c r="S303" i="130"/>
  <c r="C303" i="130"/>
  <c r="B303" i="130"/>
  <c r="T303" i="130" s="1"/>
  <c r="AB303" i="130" s="1"/>
  <c r="T302" i="130"/>
  <c r="AE302" i="130" s="1"/>
  <c r="S302" i="130"/>
  <c r="D302" i="130"/>
  <c r="C302" i="130"/>
  <c r="B302" i="130"/>
  <c r="S301" i="130"/>
  <c r="D301" i="130"/>
  <c r="B301" i="130"/>
  <c r="T301" i="130" s="1"/>
  <c r="AC301" i="130" s="1"/>
  <c r="T300" i="130"/>
  <c r="AC300" i="130" s="1"/>
  <c r="S300" i="130"/>
  <c r="B300" i="130"/>
  <c r="S299" i="130"/>
  <c r="B299" i="130"/>
  <c r="S298" i="130"/>
  <c r="B298" i="130"/>
  <c r="T297" i="130"/>
  <c r="Z297" i="130" s="1"/>
  <c r="S297" i="130"/>
  <c r="D297" i="130"/>
  <c r="C297" i="130"/>
  <c r="B297" i="130"/>
  <c r="T296" i="130"/>
  <c r="X296" i="130" s="1"/>
  <c r="S296" i="130"/>
  <c r="B296" i="130"/>
  <c r="S295" i="130"/>
  <c r="D295" i="130"/>
  <c r="C295" i="130"/>
  <c r="B295" i="130"/>
  <c r="T295" i="130" s="1"/>
  <c r="AE295" i="130" s="1"/>
  <c r="S294" i="130"/>
  <c r="B294" i="130"/>
  <c r="T293" i="130"/>
  <c r="S293" i="130"/>
  <c r="D293" i="130"/>
  <c r="B293" i="130"/>
  <c r="C293" i="130" s="1"/>
  <c r="T292" i="130"/>
  <c r="AE292" i="130" s="1"/>
  <c r="S292" i="130"/>
  <c r="B292" i="130"/>
  <c r="T291" i="130"/>
  <c r="W291" i="130" s="1"/>
  <c r="S291" i="130"/>
  <c r="D291" i="130"/>
  <c r="C291" i="130"/>
  <c r="B291" i="130"/>
  <c r="S290" i="130"/>
  <c r="D290" i="130"/>
  <c r="C290" i="130"/>
  <c r="B290" i="130"/>
  <c r="T290" i="130" s="1"/>
  <c r="AE290" i="130" s="1"/>
  <c r="S289" i="130"/>
  <c r="B289" i="130"/>
  <c r="S288" i="130"/>
  <c r="D288" i="130"/>
  <c r="C288" i="130"/>
  <c r="B288" i="130"/>
  <c r="T288" i="130" s="1"/>
  <c r="AE288" i="130" s="1"/>
  <c r="S287" i="130"/>
  <c r="B287" i="130"/>
  <c r="S286" i="130"/>
  <c r="C286" i="130"/>
  <c r="B286" i="130"/>
  <c r="T286" i="130" s="1"/>
  <c r="AF286" i="130" s="1"/>
  <c r="T285" i="130"/>
  <c r="S285" i="130"/>
  <c r="D285" i="130"/>
  <c r="C285" i="130"/>
  <c r="B285" i="130"/>
  <c r="S284" i="130"/>
  <c r="B284" i="130"/>
  <c r="S283" i="130"/>
  <c r="B283" i="130"/>
  <c r="T282" i="130"/>
  <c r="S282" i="130"/>
  <c r="D282" i="130"/>
  <c r="C282" i="130"/>
  <c r="B282" i="130"/>
  <c r="S281" i="130"/>
  <c r="B281" i="130"/>
  <c r="T280" i="130"/>
  <c r="AF280" i="130" s="1"/>
  <c r="S280" i="130"/>
  <c r="B280" i="130"/>
  <c r="T279" i="130"/>
  <c r="AC279" i="130" s="1"/>
  <c r="S279" i="130"/>
  <c r="D279" i="130"/>
  <c r="C279" i="130"/>
  <c r="B279" i="130"/>
  <c r="S278" i="130"/>
  <c r="C278" i="130"/>
  <c r="B278" i="130"/>
  <c r="D278" i="130" s="1"/>
  <c r="T277" i="130"/>
  <c r="X277" i="130" s="1"/>
  <c r="S277" i="130"/>
  <c r="D277" i="130"/>
  <c r="B277" i="130"/>
  <c r="C277" i="130" s="1"/>
  <c r="S276" i="130"/>
  <c r="D276" i="130"/>
  <c r="B276" i="130"/>
  <c r="T276" i="130" s="1"/>
  <c r="AF276" i="130" s="1"/>
  <c r="S275" i="130"/>
  <c r="B275" i="130"/>
  <c r="T275" i="130" s="1"/>
  <c r="S274" i="130"/>
  <c r="D274" i="130"/>
  <c r="B274" i="130"/>
  <c r="T274" i="130" s="1"/>
  <c r="T273" i="130"/>
  <c r="S273" i="130"/>
  <c r="D273" i="130"/>
  <c r="C273" i="130"/>
  <c r="B273" i="130"/>
  <c r="T272" i="130"/>
  <c r="V272" i="130" s="1"/>
  <c r="S272" i="130"/>
  <c r="C272" i="130"/>
  <c r="B272" i="130"/>
  <c r="D272" i="130" s="1"/>
  <c r="S271" i="130"/>
  <c r="B271" i="130"/>
  <c r="T270" i="130"/>
  <c r="S270" i="130"/>
  <c r="D270" i="130"/>
  <c r="C270" i="130"/>
  <c r="B270" i="130"/>
  <c r="S269" i="130"/>
  <c r="B269" i="130"/>
  <c r="S268" i="130"/>
  <c r="D268" i="130"/>
  <c r="C268" i="130"/>
  <c r="B268" i="130"/>
  <c r="T268" i="130" s="1"/>
  <c r="AB268" i="130" s="1"/>
  <c r="T267" i="130"/>
  <c r="AE267" i="130" s="1"/>
  <c r="S267" i="130"/>
  <c r="D267" i="130"/>
  <c r="B267" i="130"/>
  <c r="C267" i="130" s="1"/>
  <c r="S266" i="130"/>
  <c r="B266" i="130"/>
  <c r="S265" i="130"/>
  <c r="B265" i="130"/>
  <c r="T264" i="130"/>
  <c r="AF264" i="130" s="1"/>
  <c r="S264" i="130"/>
  <c r="D264" i="130"/>
  <c r="C264" i="130"/>
  <c r="B264" i="130"/>
  <c r="S263" i="130"/>
  <c r="B263" i="130"/>
  <c r="S262" i="130"/>
  <c r="C262" i="130"/>
  <c r="B262" i="130"/>
  <c r="T261" i="130"/>
  <c r="S261" i="130"/>
  <c r="D261" i="130"/>
  <c r="C261" i="130"/>
  <c r="B261" i="130"/>
  <c r="S260" i="130"/>
  <c r="B260" i="130"/>
  <c r="S259" i="130"/>
  <c r="D259" i="130"/>
  <c r="B259" i="130"/>
  <c r="C259" i="130" s="1"/>
  <c r="S258" i="130"/>
  <c r="B258" i="130"/>
  <c r="S257" i="130"/>
  <c r="D257" i="130"/>
  <c r="C257" i="130"/>
  <c r="B257" i="130"/>
  <c r="T257" i="130" s="1"/>
  <c r="U257" i="130" s="1"/>
  <c r="S256" i="130"/>
  <c r="D256" i="130"/>
  <c r="B256" i="130"/>
  <c r="T256" i="130" s="1"/>
  <c r="AE256" i="130" s="1"/>
  <c r="T255" i="130"/>
  <c r="S255" i="130"/>
  <c r="C255" i="130"/>
  <c r="B255" i="130"/>
  <c r="D255" i="130" s="1"/>
  <c r="T254" i="130"/>
  <c r="Z254" i="130" s="1"/>
  <c r="S254" i="130"/>
  <c r="B254" i="130"/>
  <c r="S253" i="130"/>
  <c r="D253" i="130"/>
  <c r="B253" i="130"/>
  <c r="T252" i="130"/>
  <c r="U252" i="130" s="1"/>
  <c r="S252" i="130"/>
  <c r="D252" i="130"/>
  <c r="C252" i="130"/>
  <c r="B252" i="130"/>
  <c r="T251" i="130"/>
  <c r="AB251" i="130" s="1"/>
  <c r="S251" i="130"/>
  <c r="D251" i="130"/>
  <c r="B251" i="130"/>
  <c r="C251" i="130" s="1"/>
  <c r="T250" i="130"/>
  <c r="S250" i="130"/>
  <c r="C250" i="130"/>
  <c r="B250" i="130"/>
  <c r="D250" i="130" s="1"/>
  <c r="T249" i="130"/>
  <c r="X249" i="130" s="1"/>
  <c r="S249" i="130"/>
  <c r="D249" i="130"/>
  <c r="C249" i="130"/>
  <c r="B249" i="130"/>
  <c r="T248" i="130"/>
  <c r="S248" i="130"/>
  <c r="D248" i="130"/>
  <c r="B248" i="130"/>
  <c r="C248" i="130" s="1"/>
  <c r="S247" i="130"/>
  <c r="B247" i="130"/>
  <c r="T246" i="130"/>
  <c r="S246" i="130"/>
  <c r="C246" i="130"/>
  <c r="B246" i="130"/>
  <c r="D246" i="130" s="1"/>
  <c r="S245" i="130"/>
  <c r="D245" i="130"/>
  <c r="B245" i="130"/>
  <c r="S244" i="130"/>
  <c r="B244" i="130"/>
  <c r="S243" i="130"/>
  <c r="B243" i="130"/>
  <c r="T242" i="130"/>
  <c r="S242" i="130"/>
  <c r="D242" i="130"/>
  <c r="C242" i="130"/>
  <c r="B242" i="130"/>
  <c r="S241" i="130"/>
  <c r="C241" i="130"/>
  <c r="B241" i="130"/>
  <c r="T241" i="130" s="1"/>
  <c r="AF241" i="130" s="1"/>
  <c r="S240" i="130"/>
  <c r="D240" i="130"/>
  <c r="C240" i="130"/>
  <c r="B240" i="130"/>
  <c r="T240" i="130" s="1"/>
  <c r="AF240" i="130" s="1"/>
  <c r="S239" i="130"/>
  <c r="B239" i="130"/>
  <c r="S238" i="130"/>
  <c r="B238" i="130"/>
  <c r="S237" i="130"/>
  <c r="B237" i="130"/>
  <c r="T236" i="130"/>
  <c r="U236" i="130" s="1"/>
  <c r="S236" i="130"/>
  <c r="D236" i="130"/>
  <c r="C236" i="130"/>
  <c r="B236" i="130"/>
  <c r="S235" i="130"/>
  <c r="C235" i="130"/>
  <c r="B235" i="130"/>
  <c r="T234" i="130"/>
  <c r="U234" i="130" s="1"/>
  <c r="S234" i="130"/>
  <c r="D234" i="130"/>
  <c r="C234" i="130"/>
  <c r="B234" i="130"/>
  <c r="T233" i="130"/>
  <c r="X233" i="130" s="1"/>
  <c r="S233" i="130"/>
  <c r="D233" i="130"/>
  <c r="C233" i="130"/>
  <c r="B233" i="130"/>
  <c r="S232" i="130"/>
  <c r="C232" i="130"/>
  <c r="B232" i="130"/>
  <c r="T231" i="130"/>
  <c r="S231" i="130"/>
  <c r="D231" i="130"/>
  <c r="B231" i="130"/>
  <c r="C231" i="130" s="1"/>
  <c r="T230" i="130"/>
  <c r="AA230" i="130" s="1"/>
  <c r="S230" i="130"/>
  <c r="C230" i="130"/>
  <c r="B230" i="130"/>
  <c r="D230" i="130" s="1"/>
  <c r="T229" i="130"/>
  <c r="S229" i="130"/>
  <c r="D229" i="130"/>
  <c r="B229" i="130"/>
  <c r="C229" i="130" s="1"/>
  <c r="S228" i="130"/>
  <c r="D228" i="130"/>
  <c r="C228" i="130"/>
  <c r="B228" i="130"/>
  <c r="T228" i="130" s="1"/>
  <c r="AD228" i="130" s="1"/>
  <c r="T227" i="130"/>
  <c r="AC227" i="130" s="1"/>
  <c r="S227" i="130"/>
  <c r="D227" i="130"/>
  <c r="B227" i="130"/>
  <c r="C227" i="130" s="1"/>
  <c r="T226" i="130"/>
  <c r="V226" i="130" s="1"/>
  <c r="S226" i="130"/>
  <c r="C226" i="130"/>
  <c r="B226" i="130"/>
  <c r="D226" i="130" s="1"/>
  <c r="T225" i="130"/>
  <c r="AD225" i="130" s="1"/>
  <c r="S225" i="130"/>
  <c r="D225" i="130"/>
  <c r="C225" i="130"/>
  <c r="B225" i="130"/>
  <c r="T224" i="130"/>
  <c r="AD224" i="130" s="1"/>
  <c r="S224" i="130"/>
  <c r="D224" i="130"/>
  <c r="C224" i="130"/>
  <c r="B224" i="130"/>
  <c r="S223" i="130"/>
  <c r="D223" i="130"/>
  <c r="B223" i="130"/>
  <c r="S222" i="130"/>
  <c r="B222" i="130"/>
  <c r="D222" i="130" s="1"/>
  <c r="T221" i="130"/>
  <c r="V221" i="130" s="1"/>
  <c r="S221" i="130"/>
  <c r="D221" i="130"/>
  <c r="C221" i="130"/>
  <c r="B221" i="130"/>
  <c r="S220" i="130"/>
  <c r="D220" i="130"/>
  <c r="B220" i="130"/>
  <c r="T220" i="130" s="1"/>
  <c r="AC220" i="130" s="1"/>
  <c r="S219" i="130"/>
  <c r="D219" i="130"/>
  <c r="C219" i="130"/>
  <c r="B219" i="130"/>
  <c r="T219" i="130" s="1"/>
  <c r="W219" i="130" s="1"/>
  <c r="S218" i="130"/>
  <c r="C218" i="130"/>
  <c r="B218" i="130"/>
  <c r="D218" i="130" s="1"/>
  <c r="T217" i="130"/>
  <c r="AE217" i="130" s="1"/>
  <c r="S217" i="130"/>
  <c r="B217" i="130"/>
  <c r="T216" i="130"/>
  <c r="S216" i="130"/>
  <c r="D216" i="130"/>
  <c r="C216" i="130"/>
  <c r="B216" i="130"/>
  <c r="T215" i="130"/>
  <c r="S215" i="130"/>
  <c r="D215" i="130"/>
  <c r="C215" i="130"/>
  <c r="B215" i="130"/>
  <c r="S214" i="130"/>
  <c r="B214" i="130"/>
  <c r="S213" i="130"/>
  <c r="D213" i="130"/>
  <c r="B213" i="130"/>
  <c r="S212" i="130"/>
  <c r="D212" i="130"/>
  <c r="B212" i="130"/>
  <c r="T211" i="130"/>
  <c r="Z211" i="130" s="1"/>
  <c r="S211" i="130"/>
  <c r="D211" i="130"/>
  <c r="B211" i="130"/>
  <c r="C211" i="130" s="1"/>
  <c r="S210" i="130"/>
  <c r="B210" i="130"/>
  <c r="S209" i="130"/>
  <c r="C209" i="130"/>
  <c r="B209" i="130"/>
  <c r="S208" i="130"/>
  <c r="B208" i="130"/>
  <c r="D208" i="130" s="1"/>
  <c r="T207" i="130"/>
  <c r="AE207" i="130" s="1"/>
  <c r="S207" i="130"/>
  <c r="B207" i="130"/>
  <c r="S206" i="130"/>
  <c r="D206" i="130"/>
  <c r="B206" i="130"/>
  <c r="T205" i="130"/>
  <c r="AE205" i="130" s="1"/>
  <c r="S205" i="130"/>
  <c r="D205" i="130"/>
  <c r="C205" i="130"/>
  <c r="B205" i="130"/>
  <c r="S204" i="130"/>
  <c r="C204" i="130"/>
  <c r="B204" i="130"/>
  <c r="S203" i="130"/>
  <c r="D203" i="130"/>
  <c r="C203" i="130"/>
  <c r="B203" i="130"/>
  <c r="T203" i="130" s="1"/>
  <c r="U203" i="130" s="1"/>
  <c r="T202" i="130"/>
  <c r="S202" i="130"/>
  <c r="D202" i="130"/>
  <c r="C202" i="130"/>
  <c r="B202" i="130"/>
  <c r="T201" i="130"/>
  <c r="AE201" i="130" s="1"/>
  <c r="S201" i="130"/>
  <c r="C201" i="130"/>
  <c r="B201" i="130"/>
  <c r="D201" i="130" s="1"/>
  <c r="T200" i="130"/>
  <c r="AD200" i="130" s="1"/>
  <c r="S200" i="130"/>
  <c r="D200" i="130"/>
  <c r="C200" i="130"/>
  <c r="B200" i="130"/>
  <c r="T199" i="130"/>
  <c r="S199" i="130"/>
  <c r="D199" i="130"/>
  <c r="C199" i="130"/>
  <c r="B199" i="130"/>
  <c r="T198" i="130"/>
  <c r="S198" i="130"/>
  <c r="B198" i="130"/>
  <c r="D198" i="130" s="1"/>
  <c r="T197" i="130"/>
  <c r="U197" i="130" s="1"/>
  <c r="S197" i="130"/>
  <c r="D197" i="130"/>
  <c r="B197" i="130"/>
  <c r="C197" i="130" s="1"/>
  <c r="S196" i="130"/>
  <c r="D196" i="130"/>
  <c r="C196" i="130"/>
  <c r="B196" i="130"/>
  <c r="T196" i="130" s="1"/>
  <c r="T195" i="130"/>
  <c r="Z195" i="130" s="1"/>
  <c r="S195" i="130"/>
  <c r="D195" i="130"/>
  <c r="B195" i="130"/>
  <c r="C195" i="130" s="1"/>
  <c r="S194" i="130"/>
  <c r="B194" i="130"/>
  <c r="T194" i="130" s="1"/>
  <c r="AB194" i="130" s="1"/>
  <c r="T193" i="130"/>
  <c r="AF193" i="130" s="1"/>
  <c r="S193" i="130"/>
  <c r="D193" i="130"/>
  <c r="C193" i="130"/>
  <c r="B193" i="130"/>
  <c r="S192" i="130"/>
  <c r="C192" i="130"/>
  <c r="B192" i="130"/>
  <c r="S191" i="130"/>
  <c r="C191" i="130"/>
  <c r="B191" i="130"/>
  <c r="T191" i="130" s="1"/>
  <c r="AE191" i="130" s="1"/>
  <c r="T190" i="130"/>
  <c r="S190" i="130"/>
  <c r="D190" i="130"/>
  <c r="C190" i="130"/>
  <c r="B190" i="130"/>
  <c r="S189" i="130"/>
  <c r="B189" i="130"/>
  <c r="T188" i="130"/>
  <c r="AB188" i="130" s="1"/>
  <c r="S188" i="130"/>
  <c r="D188" i="130"/>
  <c r="C188" i="130"/>
  <c r="B188" i="130"/>
  <c r="S187" i="130"/>
  <c r="C187" i="130"/>
  <c r="B187" i="130"/>
  <c r="T187" i="130" s="1"/>
  <c r="AD187" i="130" s="1"/>
  <c r="T186" i="130"/>
  <c r="S186" i="130"/>
  <c r="D186" i="130"/>
  <c r="B186" i="130"/>
  <c r="C186" i="130" s="1"/>
  <c r="S185" i="130"/>
  <c r="B185" i="130"/>
  <c r="T184" i="130"/>
  <c r="Z184" i="130" s="1"/>
  <c r="S184" i="130"/>
  <c r="D184" i="130"/>
  <c r="C184" i="130"/>
  <c r="B184" i="130"/>
  <c r="T183" i="130"/>
  <c r="U183" i="130" s="1"/>
  <c r="S183" i="130"/>
  <c r="B183" i="130"/>
  <c r="D183" i="130" s="1"/>
  <c r="T182" i="130"/>
  <c r="S182" i="130"/>
  <c r="D182" i="130"/>
  <c r="C182" i="130"/>
  <c r="B182" i="130"/>
  <c r="T181" i="130"/>
  <c r="U181" i="130" s="1"/>
  <c r="S181" i="130"/>
  <c r="D181" i="130"/>
  <c r="C181" i="130"/>
  <c r="B181" i="130"/>
  <c r="T180" i="130"/>
  <c r="S180" i="130"/>
  <c r="B180" i="130"/>
  <c r="T179" i="130"/>
  <c r="AA179" i="130" s="1"/>
  <c r="S179" i="130"/>
  <c r="D179" i="130"/>
  <c r="C179" i="130"/>
  <c r="B179" i="130"/>
  <c r="S178" i="130"/>
  <c r="D178" i="130"/>
  <c r="C178" i="130"/>
  <c r="B178" i="130"/>
  <c r="T178" i="130" s="1"/>
  <c r="AD178" i="130" s="1"/>
  <c r="S177" i="130"/>
  <c r="B177" i="130"/>
  <c r="S176" i="130"/>
  <c r="B176" i="130"/>
  <c r="C176" i="130" s="1"/>
  <c r="S175" i="130"/>
  <c r="B175" i="130"/>
  <c r="D175" i="130" s="1"/>
  <c r="T174" i="130"/>
  <c r="S174" i="130"/>
  <c r="D174" i="130"/>
  <c r="C174" i="130"/>
  <c r="B174" i="130"/>
  <c r="S173" i="130"/>
  <c r="B173" i="130"/>
  <c r="T173" i="130" s="1"/>
  <c r="T172" i="130"/>
  <c r="U172" i="130" s="1"/>
  <c r="S172" i="130"/>
  <c r="B172" i="130"/>
  <c r="T171" i="130"/>
  <c r="S171" i="130"/>
  <c r="C171" i="130"/>
  <c r="B171" i="130"/>
  <c r="D171" i="130" s="1"/>
  <c r="S170" i="130"/>
  <c r="B170" i="130"/>
  <c r="T169" i="130"/>
  <c r="AF169" i="130" s="1"/>
  <c r="S169" i="130"/>
  <c r="D169" i="130"/>
  <c r="C169" i="130"/>
  <c r="B169" i="130"/>
  <c r="S168" i="130"/>
  <c r="D168" i="130"/>
  <c r="B168" i="130"/>
  <c r="T168" i="130" s="1"/>
  <c r="S167" i="130"/>
  <c r="B167" i="130"/>
  <c r="T166" i="130"/>
  <c r="AF166" i="130" s="1"/>
  <c r="S166" i="130"/>
  <c r="D166" i="130"/>
  <c r="C166" i="130"/>
  <c r="B166" i="130"/>
  <c r="S165" i="130"/>
  <c r="B165" i="130"/>
  <c r="T165" i="130" s="1"/>
  <c r="S164" i="130"/>
  <c r="B164" i="130"/>
  <c r="T163" i="130"/>
  <c r="S163" i="130"/>
  <c r="D163" i="130"/>
  <c r="C163" i="130"/>
  <c r="B163" i="130"/>
  <c r="S162" i="130"/>
  <c r="B162" i="130"/>
  <c r="S161" i="130"/>
  <c r="D161" i="130"/>
  <c r="C161" i="130"/>
  <c r="B161" i="130"/>
  <c r="T161" i="130" s="1"/>
  <c r="AF161" i="130" s="1"/>
  <c r="S160" i="130"/>
  <c r="C160" i="130"/>
  <c r="B160" i="130"/>
  <c r="T159" i="130"/>
  <c r="AC159" i="130" s="1"/>
  <c r="S159" i="130"/>
  <c r="B159" i="130"/>
  <c r="T158" i="130"/>
  <c r="S158" i="130"/>
  <c r="D158" i="130"/>
  <c r="C158" i="130"/>
  <c r="B158" i="130"/>
  <c r="T157" i="130"/>
  <c r="AE157" i="130" s="1"/>
  <c r="S157" i="130"/>
  <c r="D157" i="130"/>
  <c r="C157" i="130"/>
  <c r="B157" i="130"/>
  <c r="T156" i="130"/>
  <c r="AB156" i="130" s="1"/>
  <c r="S156" i="130"/>
  <c r="B156" i="130"/>
  <c r="T155" i="130"/>
  <c r="AD155" i="130" s="1"/>
  <c r="S155" i="130"/>
  <c r="D155" i="130"/>
  <c r="C155" i="130"/>
  <c r="B155" i="130"/>
  <c r="S154" i="130"/>
  <c r="B154" i="130"/>
  <c r="T153" i="130"/>
  <c r="AC153" i="130" s="1"/>
  <c r="S153" i="130"/>
  <c r="B153" i="130"/>
  <c r="S152" i="130"/>
  <c r="B152" i="130"/>
  <c r="S151" i="130"/>
  <c r="C151" i="130"/>
  <c r="B151" i="130"/>
  <c r="S150" i="130"/>
  <c r="D150" i="130"/>
  <c r="C150" i="130"/>
  <c r="B150" i="130"/>
  <c r="T150" i="130" s="1"/>
  <c r="AD150" i="130" s="1"/>
  <c r="S149" i="130"/>
  <c r="B149" i="130"/>
  <c r="T148" i="130"/>
  <c r="S148" i="130"/>
  <c r="B148" i="130"/>
  <c r="T147" i="130"/>
  <c r="S147" i="130"/>
  <c r="D147" i="130"/>
  <c r="C147" i="130"/>
  <c r="B147" i="130"/>
  <c r="T146" i="130"/>
  <c r="W146" i="130" s="1"/>
  <c r="S146" i="130"/>
  <c r="D146" i="130"/>
  <c r="C146" i="130"/>
  <c r="B146" i="130"/>
  <c r="S145" i="130"/>
  <c r="C145" i="130"/>
  <c r="B145" i="130"/>
  <c r="T145" i="130" s="1"/>
  <c r="AC145" i="130" s="1"/>
  <c r="S144" i="130"/>
  <c r="D144" i="130"/>
  <c r="C144" i="130"/>
  <c r="B144" i="130"/>
  <c r="T144" i="130" s="1"/>
  <c r="W144" i="130" s="1"/>
  <c r="T143" i="130"/>
  <c r="S143" i="130"/>
  <c r="C143" i="130"/>
  <c r="B143" i="130"/>
  <c r="D143" i="130" s="1"/>
  <c r="S142" i="130"/>
  <c r="B142" i="130"/>
  <c r="T141" i="130"/>
  <c r="AA141" i="130" s="1"/>
  <c r="S141" i="130"/>
  <c r="D141" i="130"/>
  <c r="C141" i="130"/>
  <c r="B141" i="130"/>
  <c r="T140" i="130"/>
  <c r="V140" i="130" s="1"/>
  <c r="S140" i="130"/>
  <c r="D140" i="130"/>
  <c r="C140" i="130"/>
  <c r="B140" i="130"/>
  <c r="S139" i="130"/>
  <c r="B139" i="130"/>
  <c r="T139" i="130" s="1"/>
  <c r="S138" i="130"/>
  <c r="D138" i="130"/>
  <c r="C138" i="130"/>
  <c r="B138" i="130"/>
  <c r="T138" i="130" s="1"/>
  <c r="S137" i="130"/>
  <c r="B137" i="130"/>
  <c r="S136" i="130"/>
  <c r="D136" i="130"/>
  <c r="B136" i="130"/>
  <c r="T135" i="130"/>
  <c r="S135" i="130"/>
  <c r="D135" i="130"/>
  <c r="C135" i="130"/>
  <c r="B135" i="130"/>
  <c r="S134" i="130"/>
  <c r="D134" i="130"/>
  <c r="C134" i="130"/>
  <c r="B134" i="130"/>
  <c r="T134" i="130" s="1"/>
  <c r="S133" i="130"/>
  <c r="B133" i="130"/>
  <c r="T133" i="130" s="1"/>
  <c r="S132" i="130"/>
  <c r="B132" i="130"/>
  <c r="T132" i="130" s="1"/>
  <c r="S131" i="130"/>
  <c r="C131" i="130"/>
  <c r="B131" i="130"/>
  <c r="T130" i="130"/>
  <c r="S130" i="130"/>
  <c r="D130" i="130"/>
  <c r="C130" i="130"/>
  <c r="B130" i="130"/>
  <c r="T129" i="130"/>
  <c r="W129" i="130" s="1"/>
  <c r="S129" i="130"/>
  <c r="D129" i="130"/>
  <c r="C129" i="130"/>
  <c r="B129" i="130"/>
  <c r="T128" i="130"/>
  <c r="AD128" i="130" s="1"/>
  <c r="S128" i="130"/>
  <c r="D128" i="130"/>
  <c r="C128" i="130"/>
  <c r="B128" i="130"/>
  <c r="S127" i="130"/>
  <c r="B127" i="130"/>
  <c r="T127" i="130" s="1"/>
  <c r="S126" i="130"/>
  <c r="D126" i="130"/>
  <c r="C126" i="130"/>
  <c r="B126" i="130"/>
  <c r="T126" i="130" s="1"/>
  <c r="AD126" i="130" s="1"/>
  <c r="T125" i="130"/>
  <c r="U125" i="130" s="1"/>
  <c r="S125" i="130"/>
  <c r="B125" i="130"/>
  <c r="D125" i="130" s="1"/>
  <c r="S124" i="130"/>
  <c r="B124" i="130"/>
  <c r="T123" i="130"/>
  <c r="AD123" i="130" s="1"/>
  <c r="S123" i="130"/>
  <c r="D123" i="130"/>
  <c r="C123" i="130"/>
  <c r="B123" i="130"/>
  <c r="S122" i="130"/>
  <c r="D122" i="130"/>
  <c r="C122" i="130"/>
  <c r="B122" i="130"/>
  <c r="T122" i="130" s="1"/>
  <c r="S121" i="130"/>
  <c r="D121" i="130"/>
  <c r="C121" i="130"/>
  <c r="B121" i="130"/>
  <c r="T121" i="130" s="1"/>
  <c r="AB121" i="130" s="1"/>
  <c r="S120" i="130"/>
  <c r="B120" i="130"/>
  <c r="T120" i="130" s="1"/>
  <c r="S119" i="130"/>
  <c r="C119" i="130"/>
  <c r="B119" i="130"/>
  <c r="T118" i="130"/>
  <c r="S118" i="130"/>
  <c r="D118" i="130"/>
  <c r="B118" i="130"/>
  <c r="C118" i="130" s="1"/>
  <c r="T117" i="130"/>
  <c r="W117" i="130" s="1"/>
  <c r="S117" i="130"/>
  <c r="D117" i="130"/>
  <c r="C117" i="130"/>
  <c r="B117" i="130"/>
  <c r="T116" i="130"/>
  <c r="AE116" i="130" s="1"/>
  <c r="S116" i="130"/>
  <c r="D116" i="130"/>
  <c r="C116" i="130"/>
  <c r="B116" i="130"/>
  <c r="S115" i="130"/>
  <c r="B115" i="130"/>
  <c r="T115" i="130" s="1"/>
  <c r="Y115" i="130" s="1"/>
  <c r="S114" i="130"/>
  <c r="B114" i="130"/>
  <c r="T113" i="130"/>
  <c r="AF113" i="130" s="1"/>
  <c r="S113" i="130"/>
  <c r="B113" i="130"/>
  <c r="D113" i="130" s="1"/>
  <c r="S112" i="130"/>
  <c r="B112" i="130"/>
  <c r="T111" i="130"/>
  <c r="AE111" i="130" s="1"/>
  <c r="S111" i="130"/>
  <c r="D111" i="130"/>
  <c r="C111" i="130"/>
  <c r="B111" i="130"/>
  <c r="S110" i="130"/>
  <c r="D110" i="130"/>
  <c r="C110" i="130"/>
  <c r="B110" i="130"/>
  <c r="T110" i="130" s="1"/>
  <c r="AC110" i="130" s="1"/>
  <c r="S109" i="130"/>
  <c r="C109" i="130"/>
  <c r="B109" i="130"/>
  <c r="T109" i="130" s="1"/>
  <c r="AE109" i="130" s="1"/>
  <c r="S108" i="130"/>
  <c r="C108" i="130"/>
  <c r="B108" i="130"/>
  <c r="T107" i="130"/>
  <c r="S107" i="130"/>
  <c r="B107" i="130"/>
  <c r="D107" i="130" s="1"/>
  <c r="T106" i="130"/>
  <c r="V106" i="130" s="1"/>
  <c r="S106" i="130"/>
  <c r="D106" i="130"/>
  <c r="C106" i="130"/>
  <c r="B106" i="130"/>
  <c r="T105" i="130"/>
  <c r="Y105" i="130" s="1"/>
  <c r="S105" i="130"/>
  <c r="D105" i="130"/>
  <c r="C105" i="130"/>
  <c r="B105" i="130"/>
  <c r="T104" i="130"/>
  <c r="X104" i="130" s="1"/>
  <c r="S104" i="130"/>
  <c r="D104" i="130"/>
  <c r="C104" i="130"/>
  <c r="B104" i="130"/>
  <c r="S103" i="130"/>
  <c r="D103" i="130"/>
  <c r="C103" i="130"/>
  <c r="B103" i="130"/>
  <c r="T103" i="130" s="1"/>
  <c r="AD103" i="130" s="1"/>
  <c r="S102" i="130"/>
  <c r="C102" i="130"/>
  <c r="B102" i="130"/>
  <c r="T101" i="130"/>
  <c r="S101" i="130"/>
  <c r="B101" i="130"/>
  <c r="S100" i="130"/>
  <c r="B100" i="130"/>
  <c r="T99" i="130"/>
  <c r="S99" i="130"/>
  <c r="D99" i="130"/>
  <c r="C99" i="130"/>
  <c r="B99" i="130"/>
  <c r="S98" i="130"/>
  <c r="D98" i="130"/>
  <c r="C98" i="130"/>
  <c r="B98" i="130"/>
  <c r="T98" i="130" s="1"/>
  <c r="W98" i="130" s="1"/>
  <c r="S97" i="130"/>
  <c r="B97" i="130"/>
  <c r="T97" i="130" s="1"/>
  <c r="AD97" i="130" s="1"/>
  <c r="S96" i="130"/>
  <c r="B96" i="130"/>
  <c r="T95" i="130"/>
  <c r="U95" i="130" s="1"/>
  <c r="S95" i="130"/>
  <c r="C95" i="130"/>
  <c r="B95" i="130"/>
  <c r="D95" i="130" s="1"/>
  <c r="T94" i="130"/>
  <c r="S94" i="130"/>
  <c r="D94" i="130"/>
  <c r="B94" i="130"/>
  <c r="C94" i="130" s="1"/>
  <c r="T93" i="130"/>
  <c r="Y93" i="130" s="1"/>
  <c r="S93" i="130"/>
  <c r="D93" i="130"/>
  <c r="C93" i="130"/>
  <c r="B93" i="130"/>
  <c r="T92" i="130"/>
  <c r="S92" i="130"/>
  <c r="D92" i="130"/>
  <c r="C92" i="130"/>
  <c r="B92" i="130"/>
  <c r="S91" i="130"/>
  <c r="D91" i="130"/>
  <c r="C91" i="130"/>
  <c r="B91" i="130"/>
  <c r="T91" i="130" s="1"/>
  <c r="S90" i="130"/>
  <c r="B90" i="130"/>
  <c r="S89" i="130"/>
  <c r="B89" i="130"/>
  <c r="S88" i="130"/>
  <c r="B88" i="130"/>
  <c r="T87" i="130"/>
  <c r="AF87" i="130" s="1"/>
  <c r="S87" i="130"/>
  <c r="D87" i="130"/>
  <c r="C87" i="130"/>
  <c r="B87" i="130"/>
  <c r="S86" i="130"/>
  <c r="D86" i="130"/>
  <c r="C86" i="130"/>
  <c r="B86" i="130"/>
  <c r="T86" i="130" s="1"/>
  <c r="AE86" i="130" s="1"/>
  <c r="S85" i="130"/>
  <c r="B85" i="130"/>
  <c r="T85" i="130" s="1"/>
  <c r="AE85" i="130" s="1"/>
  <c r="S84" i="130"/>
  <c r="B84" i="130"/>
  <c r="T83" i="130"/>
  <c r="S83" i="130"/>
  <c r="C83" i="130"/>
  <c r="B83" i="130"/>
  <c r="D83" i="130" s="1"/>
  <c r="T82" i="130"/>
  <c r="S82" i="130"/>
  <c r="D82" i="130"/>
  <c r="B82" i="130"/>
  <c r="C82" i="130" s="1"/>
  <c r="T81" i="130"/>
  <c r="S81" i="130"/>
  <c r="D81" i="130"/>
  <c r="C81" i="130"/>
  <c r="B81" i="130"/>
  <c r="T80" i="130"/>
  <c r="S80" i="130"/>
  <c r="D80" i="130"/>
  <c r="B80" i="130"/>
  <c r="C80" i="130" s="1"/>
  <c r="S79" i="130"/>
  <c r="D79" i="130"/>
  <c r="B79" i="130"/>
  <c r="T79" i="130" s="1"/>
  <c r="AD79" i="130" s="1"/>
  <c r="S78" i="130"/>
  <c r="D78" i="130"/>
  <c r="B78" i="130"/>
  <c r="T78" i="130" s="1"/>
  <c r="AD78" i="130" s="1"/>
  <c r="S77" i="130"/>
  <c r="B77" i="130"/>
  <c r="T76" i="130"/>
  <c r="S76" i="130"/>
  <c r="B76" i="130"/>
  <c r="T75" i="130"/>
  <c r="S75" i="130"/>
  <c r="D75" i="130"/>
  <c r="C75" i="130"/>
  <c r="B75" i="130"/>
  <c r="S74" i="130"/>
  <c r="D74" i="130"/>
  <c r="C74" i="130"/>
  <c r="B74" i="130"/>
  <c r="T74" i="130" s="1"/>
  <c r="AD74" i="130" s="1"/>
  <c r="S73" i="130"/>
  <c r="C73" i="130"/>
  <c r="B73" i="130"/>
  <c r="T73" i="130" s="1"/>
  <c r="W73" i="130" s="1"/>
  <c r="T72" i="130"/>
  <c r="S72" i="130"/>
  <c r="C72" i="130"/>
  <c r="B72" i="130"/>
  <c r="D72" i="130" s="1"/>
  <c r="T71" i="130"/>
  <c r="U71" i="130" s="1"/>
  <c r="S71" i="130"/>
  <c r="C71" i="130"/>
  <c r="B71" i="130"/>
  <c r="D71" i="130" s="1"/>
  <c r="T70" i="130"/>
  <c r="S70" i="130"/>
  <c r="D70" i="130"/>
  <c r="C70" i="130"/>
  <c r="B70" i="130"/>
  <c r="T69" i="130"/>
  <c r="AD69" i="130" s="1"/>
  <c r="S69" i="130"/>
  <c r="D69" i="130"/>
  <c r="C69" i="130"/>
  <c r="B69" i="130"/>
  <c r="T68" i="130"/>
  <c r="AF68" i="130" s="1"/>
  <c r="S68" i="130"/>
  <c r="B68" i="130"/>
  <c r="D68" i="130" s="1"/>
  <c r="S67" i="130"/>
  <c r="B67" i="130"/>
  <c r="T67" i="130" s="1"/>
  <c r="S66" i="130"/>
  <c r="B66" i="130"/>
  <c r="T66" i="130" s="1"/>
  <c r="AD66" i="130" s="1"/>
  <c r="T65" i="130"/>
  <c r="S65" i="130"/>
  <c r="B65" i="130"/>
  <c r="T64" i="130"/>
  <c r="AF64" i="130" s="1"/>
  <c r="S64" i="130"/>
  <c r="B64" i="130"/>
  <c r="T63" i="130"/>
  <c r="Y63" i="130" s="1"/>
  <c r="S63" i="130"/>
  <c r="D63" i="130"/>
  <c r="C63" i="130"/>
  <c r="B63" i="130"/>
  <c r="S62" i="130"/>
  <c r="D62" i="130"/>
  <c r="C62" i="130"/>
  <c r="B62" i="130"/>
  <c r="T62" i="130" s="1"/>
  <c r="W62" i="130" s="1"/>
  <c r="S61" i="130"/>
  <c r="D61" i="130"/>
  <c r="C61" i="130"/>
  <c r="B61" i="130"/>
  <c r="T61" i="130" s="1"/>
  <c r="AE61" i="130" s="1"/>
  <c r="T60" i="130"/>
  <c r="S60" i="130"/>
  <c r="C60" i="130"/>
  <c r="B60" i="130"/>
  <c r="D60" i="130" s="1"/>
  <c r="T59" i="130"/>
  <c r="AF59" i="130" s="1"/>
  <c r="S59" i="130"/>
  <c r="C59" i="130"/>
  <c r="B59" i="130"/>
  <c r="D59" i="130" s="1"/>
  <c r="T58" i="130"/>
  <c r="S58" i="130"/>
  <c r="D58" i="130"/>
  <c r="C58" i="130"/>
  <c r="B58" i="130"/>
  <c r="T57" i="130"/>
  <c r="Y57" i="130" s="1"/>
  <c r="S57" i="130"/>
  <c r="D57" i="130"/>
  <c r="C57" i="130"/>
  <c r="B57" i="130"/>
  <c r="S56" i="130"/>
  <c r="B56" i="130"/>
  <c r="S55" i="130"/>
  <c r="B55" i="130"/>
  <c r="S54" i="130"/>
  <c r="B54" i="130"/>
  <c r="D54" i="130" s="1"/>
  <c r="S53" i="130"/>
  <c r="B53" i="130"/>
  <c r="T52" i="130"/>
  <c r="S52" i="130"/>
  <c r="D52" i="130"/>
  <c r="B52" i="130"/>
  <c r="C52" i="130" s="1"/>
  <c r="T51" i="130"/>
  <c r="S51" i="130"/>
  <c r="D51" i="130"/>
  <c r="C51" i="130"/>
  <c r="B51" i="130"/>
  <c r="S50" i="130"/>
  <c r="D50" i="130"/>
  <c r="B50" i="130"/>
  <c r="T50" i="130" s="1"/>
  <c r="S49" i="130"/>
  <c r="D49" i="130"/>
  <c r="C49" i="130"/>
  <c r="B49" i="130"/>
  <c r="T49" i="130" s="1"/>
  <c r="AC49" i="130" s="1"/>
  <c r="T48" i="130"/>
  <c r="Z48" i="130" s="1"/>
  <c r="S48" i="130"/>
  <c r="B48" i="130"/>
  <c r="D48" i="130" s="1"/>
  <c r="T47" i="130"/>
  <c r="V47" i="130" s="1"/>
  <c r="S47" i="130"/>
  <c r="C47" i="130"/>
  <c r="B47" i="130"/>
  <c r="D47" i="130" s="1"/>
  <c r="T46" i="130"/>
  <c r="AD46" i="130" s="1"/>
  <c r="S46" i="130"/>
  <c r="D46" i="130"/>
  <c r="B46" i="130"/>
  <c r="C46" i="130" s="1"/>
  <c r="T45" i="130"/>
  <c r="AE45" i="130" s="1"/>
  <c r="S45" i="130"/>
  <c r="D45" i="130"/>
  <c r="C45" i="130"/>
  <c r="B45" i="130"/>
  <c r="S44" i="130"/>
  <c r="B44" i="130"/>
  <c r="S43" i="130"/>
  <c r="C43" i="130"/>
  <c r="B43" i="130"/>
  <c r="T43" i="130" s="1"/>
  <c r="AB43" i="130" s="1"/>
  <c r="S42" i="130"/>
  <c r="D42" i="130"/>
  <c r="C42" i="130"/>
  <c r="B42" i="130"/>
  <c r="T42" i="130" s="1"/>
  <c r="T41" i="130"/>
  <c r="Y41" i="130" s="1"/>
  <c r="S41" i="130"/>
  <c r="B41" i="130"/>
  <c r="D41" i="130" s="1"/>
  <c r="S40" i="130"/>
  <c r="B40" i="130"/>
  <c r="S39" i="130"/>
  <c r="B39" i="130"/>
  <c r="T39" i="130" s="1"/>
  <c r="T38" i="130"/>
  <c r="V38" i="130" s="1"/>
  <c r="S38" i="130"/>
  <c r="D38" i="130"/>
  <c r="C38" i="130"/>
  <c r="B38" i="130"/>
  <c r="S37" i="130"/>
  <c r="D37" i="130"/>
  <c r="B37" i="130"/>
  <c r="T36" i="130"/>
  <c r="AF36" i="130" s="1"/>
  <c r="S36" i="130"/>
  <c r="D36" i="130"/>
  <c r="C36" i="130"/>
  <c r="B36" i="130"/>
  <c r="S35" i="130"/>
  <c r="C35" i="130"/>
  <c r="B35" i="130"/>
  <c r="S34" i="130"/>
  <c r="B34" i="130"/>
  <c r="T34" i="130" s="1"/>
  <c r="AE34" i="130" s="1"/>
  <c r="T33" i="130"/>
  <c r="S33" i="130"/>
  <c r="D33" i="130"/>
  <c r="B33" i="130"/>
  <c r="C33" i="130" s="1"/>
  <c r="T32" i="130"/>
  <c r="AF32" i="130" s="1"/>
  <c r="S32" i="130"/>
  <c r="C32" i="130"/>
  <c r="B32" i="130"/>
  <c r="D32" i="130" s="1"/>
  <c r="T31" i="130"/>
  <c r="AE31" i="130" s="1"/>
  <c r="S31" i="130"/>
  <c r="D31" i="130"/>
  <c r="C31" i="130"/>
  <c r="S30" i="130"/>
  <c r="B30" i="130"/>
  <c r="D30" i="130" s="1"/>
  <c r="S29" i="130"/>
  <c r="B29" i="130"/>
  <c r="T29" i="130" s="1"/>
  <c r="T28" i="130"/>
  <c r="AA28" i="130" s="1"/>
  <c r="S28" i="130"/>
  <c r="D28" i="130"/>
  <c r="B28" i="130"/>
  <c r="C28" i="130" s="1"/>
  <c r="T27" i="130"/>
  <c r="S27" i="130"/>
  <c r="C27" i="130"/>
  <c r="B27" i="130"/>
  <c r="D27" i="130" s="1"/>
  <c r="T26" i="130"/>
  <c r="AB26" i="130" s="1"/>
  <c r="S26" i="130"/>
  <c r="D26" i="130"/>
  <c r="B26" i="130"/>
  <c r="C26" i="130" s="1"/>
  <c r="S25" i="130"/>
  <c r="D25" i="130"/>
  <c r="C25" i="130"/>
  <c r="B25" i="130"/>
  <c r="T25" i="130" s="1"/>
  <c r="T24" i="130"/>
  <c r="S24" i="130"/>
  <c r="D24" i="130"/>
  <c r="B24" i="130"/>
  <c r="C24" i="130" s="1"/>
  <c r="S23" i="130"/>
  <c r="B23" i="130"/>
  <c r="T22" i="130"/>
  <c r="AF22" i="130" s="1"/>
  <c r="S22" i="130"/>
  <c r="D22" i="130"/>
  <c r="C22" i="130"/>
  <c r="B22" i="130"/>
  <c r="T21" i="130"/>
  <c r="AC21" i="130" s="1"/>
  <c r="S21" i="130"/>
  <c r="D21" i="130"/>
  <c r="C21" i="130"/>
  <c r="B21" i="130"/>
  <c r="T20" i="130"/>
  <c r="U20" i="130" s="1"/>
  <c r="S20" i="130"/>
  <c r="B20" i="130"/>
  <c r="D20" i="130" s="1"/>
  <c r="T19" i="130"/>
  <c r="Z19" i="130" s="1"/>
  <c r="S19" i="130"/>
  <c r="D19" i="130"/>
  <c r="C19" i="130"/>
  <c r="B19" i="130"/>
  <c r="S18" i="130"/>
  <c r="B18" i="130"/>
  <c r="T18" i="130" s="1"/>
  <c r="T17" i="130"/>
  <c r="X17" i="130" s="1"/>
  <c r="S17" i="130"/>
  <c r="B17" i="130"/>
  <c r="D17" i="130" s="1"/>
  <c r="T16" i="130"/>
  <c r="S16" i="130"/>
  <c r="B16" i="130"/>
  <c r="C16" i="130" s="1"/>
  <c r="S15" i="130"/>
  <c r="B15" i="130"/>
  <c r="T15" i="130" s="1"/>
  <c r="T14" i="130"/>
  <c r="AE14" i="130" s="1"/>
  <c r="S14" i="130"/>
  <c r="C14" i="130"/>
  <c r="B14" i="130"/>
  <c r="D14" i="130" s="1"/>
  <c r="S13" i="130"/>
  <c r="B13" i="130"/>
  <c r="T13" i="130" s="1"/>
  <c r="T12" i="130"/>
  <c r="S12" i="130"/>
  <c r="D12" i="130"/>
  <c r="C12" i="130"/>
  <c r="B12" i="130"/>
  <c r="T11" i="130"/>
  <c r="V11" i="130" s="1"/>
  <c r="S11" i="130"/>
  <c r="D11" i="130"/>
  <c r="C11" i="130"/>
  <c r="B11" i="130"/>
  <c r="S10" i="130"/>
  <c r="B10" i="130"/>
  <c r="C10" i="130" s="1"/>
  <c r="T9" i="130"/>
  <c r="AF9" i="130" s="1"/>
  <c r="S9" i="130"/>
  <c r="D9" i="130"/>
  <c r="B9" i="130"/>
  <c r="C9" i="130" s="1"/>
  <c r="T8" i="130"/>
  <c r="S8" i="130"/>
  <c r="B8" i="130"/>
  <c r="D8" i="130" s="1"/>
  <c r="T7" i="130"/>
  <c r="AD7" i="130" s="1"/>
  <c r="S7" i="130"/>
  <c r="B7" i="130"/>
  <c r="D7" i="130" s="1"/>
  <c r="T6" i="130"/>
  <c r="S6" i="130"/>
  <c r="D6" i="130"/>
  <c r="C6" i="130"/>
  <c r="B6" i="130"/>
  <c r="S5" i="130"/>
  <c r="D5" i="130"/>
  <c r="C5" i="130"/>
  <c r="B5" i="130"/>
  <c r="T5" i="130" s="1"/>
  <c r="S4" i="130"/>
  <c r="B4" i="130"/>
  <c r="T4" i="130" s="1"/>
  <c r="R2" i="130"/>
  <c r="Q2" i="130"/>
  <c r="P2" i="130"/>
  <c r="O2" i="130"/>
  <c r="N2" i="130"/>
  <c r="M2" i="130"/>
  <c r="L2" i="130"/>
  <c r="K2" i="130"/>
  <c r="J2" i="130"/>
  <c r="I2" i="130"/>
  <c r="H2" i="130"/>
  <c r="G2" i="130"/>
  <c r="V302" i="106" l="1"/>
  <c r="AE302" i="106"/>
  <c r="AC302" i="106"/>
  <c r="AF302" i="106"/>
  <c r="AD302" i="106"/>
  <c r="U302" i="106"/>
  <c r="X302" i="106"/>
  <c r="W302" i="106"/>
  <c r="Y302" i="106"/>
  <c r="Z302" i="106"/>
  <c r="AA302" i="106"/>
  <c r="AB302" i="106"/>
  <c r="AD287" i="106"/>
  <c r="AE287" i="106"/>
  <c r="V287" i="106"/>
  <c r="X287" i="106"/>
  <c r="Y287" i="106"/>
  <c r="AA287" i="106"/>
  <c r="AB287" i="106"/>
  <c r="AC287" i="106"/>
  <c r="U287" i="106"/>
  <c r="Z287" i="106"/>
  <c r="AF287" i="106"/>
  <c r="W287" i="106"/>
  <c r="W300" i="106"/>
  <c r="X300" i="106"/>
  <c r="AA300" i="106"/>
  <c r="AE300" i="106"/>
  <c r="AF300" i="106"/>
  <c r="U300" i="106"/>
  <c r="Y300" i="106"/>
  <c r="Z300" i="106"/>
  <c r="AD300" i="106"/>
  <c r="V300" i="106"/>
  <c r="AB300" i="106"/>
  <c r="AC300" i="106"/>
  <c r="U286" i="106"/>
  <c r="AB286" i="106"/>
  <c r="AF286" i="106"/>
  <c r="W286" i="106"/>
  <c r="X286" i="106"/>
  <c r="Y286" i="106"/>
  <c r="Z286" i="106"/>
  <c r="AA286" i="106"/>
  <c r="AC286" i="106"/>
  <c r="AE286" i="106"/>
  <c r="AD286" i="106"/>
  <c r="V286" i="106"/>
  <c r="V288" i="106"/>
  <c r="Y288" i="106"/>
  <c r="X288" i="106"/>
  <c r="Z288" i="106"/>
  <c r="AA288" i="106"/>
  <c r="AC288" i="106"/>
  <c r="AE288" i="106"/>
  <c r="AF288" i="106"/>
  <c r="W288" i="106"/>
  <c r="AB288" i="106"/>
  <c r="AD288" i="106"/>
  <c r="U288" i="106"/>
  <c r="U315" i="106"/>
  <c r="AB315" i="106"/>
  <c r="Y315" i="106"/>
  <c r="Z315" i="106"/>
  <c r="AA315" i="106"/>
  <c r="AD315" i="106"/>
  <c r="AF315" i="106"/>
  <c r="AC315" i="106"/>
  <c r="AE315" i="106"/>
  <c r="V315" i="106"/>
  <c r="X315" i="106"/>
  <c r="W315" i="106"/>
  <c r="AD301" i="106"/>
  <c r="X301" i="106"/>
  <c r="AA301" i="106"/>
  <c r="AB301" i="106"/>
  <c r="U301" i="106"/>
  <c r="Y301" i="106"/>
  <c r="Z301" i="106"/>
  <c r="AC301" i="106"/>
  <c r="AE301" i="106"/>
  <c r="V301" i="106"/>
  <c r="AF301" i="106"/>
  <c r="W301" i="106"/>
  <c r="X314" i="106"/>
  <c r="Y314" i="106"/>
  <c r="U314" i="106"/>
  <c r="W314" i="106"/>
  <c r="Z314" i="106"/>
  <c r="AE314" i="106"/>
  <c r="AF314" i="106"/>
  <c r="AC314" i="106"/>
  <c r="AD314" i="106"/>
  <c r="AA314" i="106"/>
  <c r="V314" i="106"/>
  <c r="AB314" i="106"/>
  <c r="AB328" i="106"/>
  <c r="AC328" i="106"/>
  <c r="W328" i="106"/>
  <c r="Z328" i="106"/>
  <c r="AA328" i="106"/>
  <c r="AF328" i="106"/>
  <c r="U328" i="106"/>
  <c r="AE328" i="106"/>
  <c r="X328" i="106"/>
  <c r="Y328" i="106"/>
  <c r="AD328" i="106"/>
  <c r="V328" i="106"/>
  <c r="X313" i="106"/>
  <c r="AC313" i="106"/>
  <c r="W313" i="106"/>
  <c r="AB313" i="106"/>
  <c r="AD313" i="106"/>
  <c r="U313" i="106"/>
  <c r="Y313" i="106"/>
  <c r="Z313" i="106"/>
  <c r="AF313" i="106"/>
  <c r="V313" i="106"/>
  <c r="AA313" i="106"/>
  <c r="AE313" i="106"/>
  <c r="V299" i="106"/>
  <c r="X299" i="106"/>
  <c r="AB299" i="106"/>
  <c r="Y299" i="106"/>
  <c r="AD299" i="106"/>
  <c r="U299" i="106"/>
  <c r="Z299" i="106"/>
  <c r="AA299" i="106"/>
  <c r="AC299" i="106"/>
  <c r="AE299" i="106"/>
  <c r="AF299" i="106"/>
  <c r="W299" i="106"/>
  <c r="Y285" i="106"/>
  <c r="AB285" i="106"/>
  <c r="AC285" i="106"/>
  <c r="X285" i="106"/>
  <c r="Z285" i="106"/>
  <c r="AE285" i="106"/>
  <c r="AF285" i="106"/>
  <c r="V285" i="106"/>
  <c r="AA285" i="106"/>
  <c r="W285" i="106"/>
  <c r="AD285" i="106"/>
  <c r="U285" i="106"/>
  <c r="Y327" i="106"/>
  <c r="AB327" i="106"/>
  <c r="AD327" i="106"/>
  <c r="AE327" i="106"/>
  <c r="U327" i="106"/>
  <c r="AC327" i="106"/>
  <c r="W327" i="106"/>
  <c r="AF327" i="106"/>
  <c r="X327" i="106"/>
  <c r="Z327" i="106"/>
  <c r="V327" i="106"/>
  <c r="AA327" i="106"/>
  <c r="AD312" i="106"/>
  <c r="X312" i="106"/>
  <c r="AA312" i="106"/>
  <c r="AB312" i="106"/>
  <c r="V312" i="106"/>
  <c r="W312" i="106"/>
  <c r="Y312" i="106"/>
  <c r="AC312" i="106"/>
  <c r="AE312" i="106"/>
  <c r="AF312" i="106"/>
  <c r="Z312" i="106"/>
  <c r="U312" i="106"/>
  <c r="AD298" i="106"/>
  <c r="V298" i="106"/>
  <c r="Y298" i="106"/>
  <c r="Z298" i="106"/>
  <c r="AA298" i="106"/>
  <c r="AB298" i="106"/>
  <c r="AE298" i="106"/>
  <c r="AF298" i="106"/>
  <c r="U298" i="106"/>
  <c r="W298" i="106"/>
  <c r="AC298" i="106"/>
  <c r="X298" i="106"/>
  <c r="AD284" i="106"/>
  <c r="W284" i="106"/>
  <c r="Z284" i="106"/>
  <c r="AA284" i="106"/>
  <c r="V284" i="106"/>
  <c r="X284" i="106"/>
  <c r="Y284" i="106"/>
  <c r="AC284" i="106"/>
  <c r="AE284" i="106"/>
  <c r="AF284" i="106"/>
  <c r="AB284" i="106"/>
  <c r="U284" i="106"/>
  <c r="V344" i="106"/>
  <c r="U344" i="106"/>
  <c r="Y344" i="106"/>
  <c r="Z344" i="106"/>
  <c r="AB344" i="106"/>
  <c r="AA344" i="106"/>
  <c r="AF344" i="106"/>
  <c r="AD344" i="106"/>
  <c r="AC344" i="106"/>
  <c r="AE344" i="106"/>
  <c r="W344" i="106"/>
  <c r="X344" i="106"/>
  <c r="V283" i="106"/>
  <c r="W283" i="106"/>
  <c r="AA283" i="106"/>
  <c r="Z283" i="106"/>
  <c r="Y283" i="106"/>
  <c r="AD283" i="106"/>
  <c r="AE283" i="106"/>
  <c r="AF283" i="106"/>
  <c r="AB283" i="106"/>
  <c r="U283" i="106"/>
  <c r="X283" i="106"/>
  <c r="AC283" i="106"/>
  <c r="V295" i="106"/>
  <c r="W295" i="106"/>
  <c r="X295" i="106"/>
  <c r="Z295" i="106"/>
  <c r="AC295" i="106"/>
  <c r="U295" i="106"/>
  <c r="AA295" i="106"/>
  <c r="Y295" i="106"/>
  <c r="AF295" i="106"/>
  <c r="AD295" i="106"/>
  <c r="AB295" i="106"/>
  <c r="AE295" i="106"/>
  <c r="V323" i="106"/>
  <c r="W323" i="106"/>
  <c r="AA323" i="106"/>
  <c r="X323" i="106"/>
  <c r="U323" i="106"/>
  <c r="Y323" i="106"/>
  <c r="Z323" i="106"/>
  <c r="AB323" i="106"/>
  <c r="AC323" i="106"/>
  <c r="AE323" i="106"/>
  <c r="AD323" i="106"/>
  <c r="AF323" i="106"/>
  <c r="AE345" i="106"/>
  <c r="U345" i="106"/>
  <c r="V345" i="106"/>
  <c r="AC345" i="106"/>
  <c r="W345" i="106"/>
  <c r="AD345" i="106"/>
  <c r="AF345" i="106"/>
  <c r="X345" i="106"/>
  <c r="Y345" i="106"/>
  <c r="Z345" i="106"/>
  <c r="AB345" i="106"/>
  <c r="AA345" i="106"/>
  <c r="U294" i="106"/>
  <c r="V294" i="106"/>
  <c r="W294" i="106"/>
  <c r="AD294" i="106"/>
  <c r="AB294" i="106"/>
  <c r="X294" i="106"/>
  <c r="Y294" i="106"/>
  <c r="AA294" i="106"/>
  <c r="AE294" i="106"/>
  <c r="AC294" i="106"/>
  <c r="AF294" i="106"/>
  <c r="Z294" i="106"/>
  <c r="X280" i="106"/>
  <c r="AB280" i="106"/>
  <c r="Y280" i="106"/>
  <c r="Z280" i="106"/>
  <c r="W280" i="106"/>
  <c r="AC280" i="106"/>
  <c r="AF280" i="106"/>
  <c r="AD280" i="106"/>
  <c r="AA280" i="106"/>
  <c r="U280" i="106"/>
  <c r="V280" i="106"/>
  <c r="AE280" i="106"/>
  <c r="Z316" i="106"/>
  <c r="U316" i="106"/>
  <c r="W316" i="106"/>
  <c r="Y316" i="106"/>
  <c r="AB316" i="106"/>
  <c r="AE316" i="106"/>
  <c r="AC316" i="106"/>
  <c r="V316" i="106"/>
  <c r="AD316" i="106"/>
  <c r="X316" i="106"/>
  <c r="AF316" i="106"/>
  <c r="AA316" i="106"/>
  <c r="U311" i="106"/>
  <c r="X311" i="106"/>
  <c r="Y311" i="106"/>
  <c r="AF311" i="106"/>
  <c r="AC311" i="106"/>
  <c r="AD311" i="106"/>
  <c r="AE311" i="106"/>
  <c r="V311" i="106"/>
  <c r="W311" i="106"/>
  <c r="AA311" i="106"/>
  <c r="Z311" i="106"/>
  <c r="AB311" i="106"/>
  <c r="U309" i="106"/>
  <c r="V309" i="106"/>
  <c r="Y309" i="106"/>
  <c r="Z309" i="106"/>
  <c r="AB309" i="106"/>
  <c r="AC309" i="106"/>
  <c r="AE309" i="106"/>
  <c r="W309" i="106"/>
  <c r="X309" i="106"/>
  <c r="AA309" i="106"/>
  <c r="AD309" i="106"/>
  <c r="AF309" i="106"/>
  <c r="AA322" i="106"/>
  <c r="AF322" i="106"/>
  <c r="V322" i="106"/>
  <c r="W322" i="106"/>
  <c r="X322" i="106"/>
  <c r="Z322" i="106"/>
  <c r="U322" i="106"/>
  <c r="Y322" i="106"/>
  <c r="AD322" i="106"/>
  <c r="AE322" i="106"/>
  <c r="AB322" i="106"/>
  <c r="AC322" i="106"/>
  <c r="W307" i="106"/>
  <c r="V307" i="106"/>
  <c r="X307" i="106"/>
  <c r="U307" i="106"/>
  <c r="Y307" i="106"/>
  <c r="Z307" i="106"/>
  <c r="AE307" i="106"/>
  <c r="AF307" i="106"/>
  <c r="AB307" i="106"/>
  <c r="AD307" i="106"/>
  <c r="AC307" i="106"/>
  <c r="AA307" i="106"/>
  <c r="U293" i="106"/>
  <c r="AF293" i="106"/>
  <c r="V293" i="106"/>
  <c r="W293" i="106"/>
  <c r="AB293" i="106"/>
  <c r="X293" i="106"/>
  <c r="AE293" i="106"/>
  <c r="AD293" i="106"/>
  <c r="Z293" i="106"/>
  <c r="AC293" i="106"/>
  <c r="Y293" i="106"/>
  <c r="AA293" i="106"/>
  <c r="AB279" i="106"/>
  <c r="U279" i="106"/>
  <c r="V279" i="106"/>
  <c r="W279" i="106"/>
  <c r="Y279" i="106"/>
  <c r="AA279" i="106"/>
  <c r="AE279" i="106"/>
  <c r="X279" i="106"/>
  <c r="AF279" i="106"/>
  <c r="Z279" i="106"/>
  <c r="AC279" i="106"/>
  <c r="AD279" i="106"/>
  <c r="AD326" i="106"/>
  <c r="Z326" i="106"/>
  <c r="AA326" i="106"/>
  <c r="U326" i="106"/>
  <c r="V326" i="106"/>
  <c r="W326" i="106"/>
  <c r="Y326" i="106"/>
  <c r="AB326" i="106"/>
  <c r="AC326" i="106"/>
  <c r="AE326" i="106"/>
  <c r="AF326" i="106"/>
  <c r="X326" i="106"/>
  <c r="AC297" i="106"/>
  <c r="AD297" i="106"/>
  <c r="V297" i="106"/>
  <c r="U297" i="106"/>
  <c r="AE297" i="106"/>
  <c r="W297" i="106"/>
  <c r="X297" i="106"/>
  <c r="Y297" i="106"/>
  <c r="Z297" i="106"/>
  <c r="AA297" i="106"/>
  <c r="AB297" i="106"/>
  <c r="AF297" i="106"/>
  <c r="U282" i="106"/>
  <c r="V282" i="106"/>
  <c r="AF282" i="106"/>
  <c r="AD282" i="106"/>
  <c r="AA282" i="106"/>
  <c r="W282" i="106"/>
  <c r="X282" i="106"/>
  <c r="Y282" i="106"/>
  <c r="Z282" i="106"/>
  <c r="AC282" i="106"/>
  <c r="AE282" i="106"/>
  <c r="AB282" i="106"/>
  <c r="V324" i="106"/>
  <c r="AF324" i="106"/>
  <c r="X324" i="106"/>
  <c r="AC324" i="106"/>
  <c r="U324" i="106"/>
  <c r="Z324" i="106"/>
  <c r="AB324" i="106"/>
  <c r="AE324" i="106"/>
  <c r="AA324" i="106"/>
  <c r="W324" i="106"/>
  <c r="AD324" i="106"/>
  <c r="Y324" i="106"/>
  <c r="V321" i="106"/>
  <c r="Y321" i="106"/>
  <c r="AD321" i="106"/>
  <c r="AC321" i="106"/>
  <c r="Z321" i="106"/>
  <c r="AA321" i="106"/>
  <c r="AF321" i="106"/>
  <c r="U321" i="106"/>
  <c r="W321" i="106"/>
  <c r="X321" i="106"/>
  <c r="AE321" i="106"/>
  <c r="AB321" i="106"/>
  <c r="V306" i="106"/>
  <c r="U306" i="106"/>
  <c r="Z306" i="106"/>
  <c r="AE306" i="106"/>
  <c r="AD306" i="106"/>
  <c r="AB306" i="106"/>
  <c r="AC306" i="106"/>
  <c r="W306" i="106"/>
  <c r="X306" i="106"/>
  <c r="Y306" i="106"/>
  <c r="AF306" i="106"/>
  <c r="AA306" i="106"/>
  <c r="Z292" i="106"/>
  <c r="AE292" i="106"/>
  <c r="X292" i="106"/>
  <c r="AC292" i="106"/>
  <c r="AF292" i="106"/>
  <c r="AD292" i="106"/>
  <c r="Y292" i="106"/>
  <c r="AB292" i="106"/>
  <c r="V292" i="106"/>
  <c r="W292" i="106"/>
  <c r="U292" i="106"/>
  <c r="AA292" i="106"/>
  <c r="W278" i="106"/>
  <c r="AA278" i="106"/>
  <c r="AC278" i="106"/>
  <c r="AE278" i="106"/>
  <c r="U278" i="106"/>
  <c r="V278" i="106"/>
  <c r="X278" i="106"/>
  <c r="Z278" i="106"/>
  <c r="AB278" i="106"/>
  <c r="AF278" i="106"/>
  <c r="AD278" i="106"/>
  <c r="Y278" i="106"/>
  <c r="AD325" i="106"/>
  <c r="Y325" i="106"/>
  <c r="Z325" i="106"/>
  <c r="AF325" i="106"/>
  <c r="V325" i="106"/>
  <c r="W325" i="106"/>
  <c r="X325" i="106"/>
  <c r="U325" i="106"/>
  <c r="AA325" i="106"/>
  <c r="AE325" i="106"/>
  <c r="AB325" i="106"/>
  <c r="AC325" i="106"/>
  <c r="U320" i="106"/>
  <c r="V320" i="106"/>
  <c r="W320" i="106"/>
  <c r="AE320" i="106"/>
  <c r="X320" i="106"/>
  <c r="Y320" i="106"/>
  <c r="AF320" i="106"/>
  <c r="AC320" i="106"/>
  <c r="Z320" i="106"/>
  <c r="AD320" i="106"/>
  <c r="AA320" i="106"/>
  <c r="AB320" i="106"/>
  <c r="U305" i="106"/>
  <c r="V305" i="106"/>
  <c r="W305" i="106"/>
  <c r="X305" i="106"/>
  <c r="AB305" i="106"/>
  <c r="AC305" i="106"/>
  <c r="AF305" i="106"/>
  <c r="AE305" i="106"/>
  <c r="AA305" i="106"/>
  <c r="Z305" i="106"/>
  <c r="Y305" i="106"/>
  <c r="AD305" i="106"/>
  <c r="U291" i="106"/>
  <c r="AB291" i="106"/>
  <c r="AC291" i="106"/>
  <c r="AF291" i="106"/>
  <c r="V291" i="106"/>
  <c r="Y291" i="106"/>
  <c r="Z291" i="106"/>
  <c r="W291" i="106"/>
  <c r="AE291" i="106"/>
  <c r="AD291" i="106"/>
  <c r="X291" i="106"/>
  <c r="AA291" i="106"/>
  <c r="W277" i="106"/>
  <c r="V277" i="106"/>
  <c r="Y277" i="106"/>
  <c r="AD277" i="106"/>
  <c r="X277" i="106"/>
  <c r="AE277" i="106"/>
  <c r="AF277" i="106"/>
  <c r="U277" i="106"/>
  <c r="Z277" i="106"/>
  <c r="AA277" i="106"/>
  <c r="AB277" i="106"/>
  <c r="AC277" i="106"/>
  <c r="U296" i="106"/>
  <c r="W296" i="106"/>
  <c r="Z296" i="106"/>
  <c r="AA296" i="106"/>
  <c r="V296" i="106"/>
  <c r="X296" i="106"/>
  <c r="AB296" i="106"/>
  <c r="AE296" i="106"/>
  <c r="AF296" i="106"/>
  <c r="Y296" i="106"/>
  <c r="AD296" i="106"/>
  <c r="AC296" i="106"/>
  <c r="U319" i="106"/>
  <c r="AB319" i="106"/>
  <c r="AC319" i="106"/>
  <c r="AE319" i="106"/>
  <c r="AF319" i="106"/>
  <c r="AD319" i="106"/>
  <c r="Z319" i="106"/>
  <c r="V319" i="106"/>
  <c r="Y319" i="106"/>
  <c r="X319" i="106"/>
  <c r="AA319" i="106"/>
  <c r="W319" i="106"/>
  <c r="V304" i="106"/>
  <c r="AF304" i="106"/>
  <c r="AE304" i="106"/>
  <c r="AC304" i="106"/>
  <c r="Y304" i="106"/>
  <c r="U304" i="106"/>
  <c r="AA304" i="106"/>
  <c r="W304" i="106"/>
  <c r="AD304" i="106"/>
  <c r="Z304" i="106"/>
  <c r="AB304" i="106"/>
  <c r="X304" i="106"/>
  <c r="U290" i="106"/>
  <c r="AE290" i="106"/>
  <c r="X290" i="106"/>
  <c r="Y290" i="106"/>
  <c r="AA290" i="106"/>
  <c r="AB290" i="106"/>
  <c r="AC290" i="106"/>
  <c r="AF290" i="106"/>
  <c r="AD290" i="106"/>
  <c r="V290" i="106"/>
  <c r="W290" i="106"/>
  <c r="Z290" i="106"/>
  <c r="U276" i="106"/>
  <c r="AE276" i="106"/>
  <c r="AF276" i="106"/>
  <c r="Y276" i="106"/>
  <c r="V276" i="106"/>
  <c r="AD276" i="106"/>
  <c r="W276" i="106"/>
  <c r="Z276" i="106"/>
  <c r="X276" i="106"/>
  <c r="AA276" i="106"/>
  <c r="AC276" i="106"/>
  <c r="AB276" i="106"/>
  <c r="AC310" i="106"/>
  <c r="AF310" i="106"/>
  <c r="Y310" i="106"/>
  <c r="AE310" i="106"/>
  <c r="AD310" i="106"/>
  <c r="Z310" i="106"/>
  <c r="AB310" i="106"/>
  <c r="AA310" i="106"/>
  <c r="X310" i="106"/>
  <c r="U310" i="106"/>
  <c r="V310" i="106"/>
  <c r="W310" i="106"/>
  <c r="U318" i="106"/>
  <c r="Y318" i="106"/>
  <c r="AA318" i="106"/>
  <c r="W318" i="106"/>
  <c r="X318" i="106"/>
  <c r="AC318" i="106"/>
  <c r="AE318" i="106"/>
  <c r="AF318" i="106"/>
  <c r="AB318" i="106"/>
  <c r="V318" i="106"/>
  <c r="AD318" i="106"/>
  <c r="Z318" i="106"/>
  <c r="U303" i="106"/>
  <c r="X303" i="106"/>
  <c r="AB303" i="106"/>
  <c r="AC303" i="106"/>
  <c r="W303" i="106"/>
  <c r="Z303" i="106"/>
  <c r="AA303" i="106"/>
  <c r="AF303" i="106"/>
  <c r="AE303" i="106"/>
  <c r="AD303" i="106"/>
  <c r="V303" i="106"/>
  <c r="Y303" i="106"/>
  <c r="U289" i="106"/>
  <c r="W289" i="106"/>
  <c r="Z289" i="106"/>
  <c r="AA289" i="106"/>
  <c r="AB289" i="106"/>
  <c r="X289" i="106"/>
  <c r="AF289" i="106"/>
  <c r="AD289" i="106"/>
  <c r="V289" i="106"/>
  <c r="Y289" i="106"/>
  <c r="AC289" i="106"/>
  <c r="AE289" i="106"/>
  <c r="U275" i="106"/>
  <c r="AA275" i="106"/>
  <c r="AE275" i="106"/>
  <c r="AF275" i="106"/>
  <c r="Z275" i="106"/>
  <c r="AB275" i="106"/>
  <c r="W275" i="106"/>
  <c r="X275" i="106"/>
  <c r="AC275" i="106"/>
  <c r="V275" i="106"/>
  <c r="Y275" i="106"/>
  <c r="AD275" i="106"/>
  <c r="C318" i="106"/>
  <c r="C298" i="106"/>
  <c r="C286" i="106"/>
  <c r="C328" i="106"/>
  <c r="D309" i="106"/>
  <c r="C297" i="106"/>
  <c r="C285" i="106"/>
  <c r="C327" i="106"/>
  <c r="C345" i="106"/>
  <c r="C296" i="106"/>
  <c r="C284" i="106"/>
  <c r="C326" i="106"/>
  <c r="C316" i="106"/>
  <c r="C307" i="106"/>
  <c r="C295" i="106"/>
  <c r="C283" i="106"/>
  <c r="C325" i="106"/>
  <c r="D315" i="106"/>
  <c r="C306" i="106"/>
  <c r="C294" i="106"/>
  <c r="D282" i="106"/>
  <c r="C324" i="106"/>
  <c r="C305" i="106"/>
  <c r="C293" i="106"/>
  <c r="C344" i="106"/>
  <c r="D323" i="106"/>
  <c r="C304" i="106"/>
  <c r="D292" i="106"/>
  <c r="C280" i="106"/>
  <c r="D322" i="106"/>
  <c r="C314" i="106"/>
  <c r="C303" i="106"/>
  <c r="C291" i="106"/>
  <c r="C279" i="106"/>
  <c r="C321" i="106"/>
  <c r="C313" i="106"/>
  <c r="D302" i="106"/>
  <c r="C290" i="106"/>
  <c r="D278" i="106"/>
  <c r="C320" i="106"/>
  <c r="C312" i="106"/>
  <c r="C301" i="106"/>
  <c r="D289" i="106"/>
  <c r="C277" i="106"/>
  <c r="C311" i="106"/>
  <c r="C300" i="106"/>
  <c r="D288" i="106"/>
  <c r="C276" i="106"/>
  <c r="C319" i="106"/>
  <c r="C310" i="106"/>
  <c r="C299" i="106"/>
  <c r="C287" i="106"/>
  <c r="C275" i="106"/>
  <c r="D290" i="106"/>
  <c r="C292" i="106"/>
  <c r="C302" i="106"/>
  <c r="D298" i="106"/>
  <c r="D316" i="106"/>
  <c r="C315" i="106"/>
  <c r="D301" i="106"/>
  <c r="D300" i="106"/>
  <c r="D306" i="106"/>
  <c r="D328" i="106"/>
  <c r="C323" i="106"/>
  <c r="D277" i="106"/>
  <c r="D320" i="106"/>
  <c r="D319" i="106"/>
  <c r="C289" i="106"/>
  <c r="C278" i="106"/>
  <c r="C282" i="106"/>
  <c r="C288" i="106"/>
  <c r="C322" i="106"/>
  <c r="D324" i="106"/>
  <c r="D314" i="106"/>
  <c r="D304" i="106"/>
  <c r="D284" i="106"/>
  <c r="C309" i="106"/>
  <c r="V161" i="130"/>
  <c r="AC356" i="130"/>
  <c r="X161" i="130"/>
  <c r="D325" i="106"/>
  <c r="D311" i="106"/>
  <c r="D293" i="106"/>
  <c r="D297" i="106"/>
  <c r="D327" i="106"/>
  <c r="D321" i="106"/>
  <c r="D313" i="106"/>
  <c r="D345" i="106"/>
  <c r="D296" i="106"/>
  <c r="D286" i="106"/>
  <c r="D344" i="106"/>
  <c r="D276" i="106"/>
  <c r="D307" i="106"/>
  <c r="D285" i="106"/>
  <c r="D318" i="106"/>
  <c r="D312" i="106"/>
  <c r="D303" i="106"/>
  <c r="D294" i="106"/>
  <c r="D280" i="106"/>
  <c r="D326" i="106"/>
  <c r="D310" i="106"/>
  <c r="D305" i="106"/>
  <c r="D299" i="106"/>
  <c r="D295" i="106"/>
  <c r="D291" i="106"/>
  <c r="D287" i="106"/>
  <c r="D283" i="106"/>
  <c r="D279" i="106"/>
  <c r="D275" i="106"/>
  <c r="Z161" i="130"/>
  <c r="Z129" i="130"/>
  <c r="V228" i="130"/>
  <c r="AE193" i="130"/>
  <c r="AB195" i="130"/>
  <c r="AF153" i="130"/>
  <c r="AD193" i="130"/>
  <c r="AA93" i="130"/>
  <c r="AA228" i="130"/>
  <c r="AC103" i="130"/>
  <c r="W193" i="130"/>
  <c r="X11" i="130"/>
  <c r="AB228" i="130"/>
  <c r="U161" i="130"/>
  <c r="Y268" i="130"/>
  <c r="X19" i="130"/>
  <c r="AE179" i="130"/>
  <c r="AF184" i="130"/>
  <c r="AA193" i="130"/>
  <c r="AC203" i="130"/>
  <c r="AF226" i="130"/>
  <c r="AF179" i="130"/>
  <c r="U191" i="130"/>
  <c r="AB193" i="130"/>
  <c r="AE257" i="130"/>
  <c r="AA268" i="130"/>
  <c r="AB330" i="130"/>
  <c r="AE268" i="130"/>
  <c r="AB207" i="130"/>
  <c r="V252" i="130"/>
  <c r="W252" i="130"/>
  <c r="U78" i="130"/>
  <c r="W103" i="130"/>
  <c r="X141" i="130"/>
  <c r="Y166" i="130"/>
  <c r="X252" i="130"/>
  <c r="W279" i="130"/>
  <c r="AD141" i="130"/>
  <c r="AD252" i="130"/>
  <c r="Y347" i="130"/>
  <c r="AE141" i="130"/>
  <c r="U225" i="130"/>
  <c r="AE252" i="130"/>
  <c r="Z87" i="130"/>
  <c r="AA129" i="130"/>
  <c r="Y233" i="130"/>
  <c r="U79" i="130"/>
  <c r="X85" i="130"/>
  <c r="AD87" i="130"/>
  <c r="AD129" i="130"/>
  <c r="V79" i="130"/>
  <c r="AB85" i="130"/>
  <c r="AE87" i="130"/>
  <c r="AE129" i="130"/>
  <c r="W145" i="130"/>
  <c r="X203" i="130"/>
  <c r="AC79" i="130"/>
  <c r="Y110" i="130"/>
  <c r="AD179" i="130"/>
  <c r="AE184" i="130"/>
  <c r="X193" i="130"/>
  <c r="AC195" i="130"/>
  <c r="AA203" i="130"/>
  <c r="X342" i="130"/>
  <c r="AB32" i="130"/>
  <c r="U49" i="130"/>
  <c r="X225" i="130"/>
  <c r="Z241" i="130"/>
  <c r="U43" i="130"/>
  <c r="V49" i="130"/>
  <c r="W183" i="130"/>
  <c r="AB217" i="130"/>
  <c r="Y328" i="130"/>
  <c r="W109" i="130"/>
  <c r="AE203" i="130"/>
  <c r="AB241" i="130"/>
  <c r="V59" i="130"/>
  <c r="AB153" i="130"/>
  <c r="U207" i="130"/>
  <c r="AC217" i="130"/>
  <c r="AD241" i="130"/>
  <c r="AF291" i="130"/>
  <c r="Z328" i="130"/>
  <c r="V225" i="130"/>
  <c r="U241" i="130"/>
  <c r="AF17" i="130"/>
  <c r="AF20" i="130"/>
  <c r="AA61" i="130"/>
  <c r="V183" i="130"/>
  <c r="AB291" i="130"/>
  <c r="AC225" i="130"/>
  <c r="AB227" i="130"/>
  <c r="AE291" i="130"/>
  <c r="X49" i="130"/>
  <c r="W11" i="130"/>
  <c r="AB49" i="130"/>
  <c r="Y59" i="130"/>
  <c r="W74" i="130"/>
  <c r="W141" i="130"/>
  <c r="X146" i="130"/>
  <c r="Z181" i="130"/>
  <c r="V207" i="130"/>
  <c r="AE241" i="130"/>
  <c r="AB267" i="130"/>
  <c r="X286" i="130"/>
  <c r="AD328" i="130"/>
  <c r="AC267" i="130"/>
  <c r="AD286" i="130"/>
  <c r="AE328" i="130"/>
  <c r="AF267" i="130"/>
  <c r="AE286" i="130"/>
  <c r="X31" i="130"/>
  <c r="Z172" i="130"/>
  <c r="U34" i="130"/>
  <c r="W66" i="130"/>
  <c r="Z117" i="130"/>
  <c r="X226" i="130"/>
  <c r="U233" i="130"/>
  <c r="Z66" i="130"/>
  <c r="AB103" i="130"/>
  <c r="X115" i="130"/>
  <c r="AA117" i="130"/>
  <c r="X166" i="130"/>
  <c r="V193" i="130"/>
  <c r="Z226" i="130"/>
  <c r="X228" i="130"/>
  <c r="V233" i="130"/>
  <c r="W254" i="130"/>
  <c r="AB257" i="130"/>
  <c r="AA342" i="130"/>
  <c r="U268" i="130"/>
  <c r="U36" i="130"/>
  <c r="AC205" i="130"/>
  <c r="U240" i="130"/>
  <c r="AE46" i="130"/>
  <c r="U66" i="130"/>
  <c r="Y117" i="130"/>
  <c r="Y129" i="130"/>
  <c r="U141" i="130"/>
  <c r="V172" i="130"/>
  <c r="V181" i="130"/>
  <c r="AC183" i="130"/>
  <c r="AF188" i="130"/>
  <c r="V191" i="130"/>
  <c r="Z193" i="130"/>
  <c r="W226" i="130"/>
  <c r="Z267" i="130"/>
  <c r="AD279" i="130"/>
  <c r="X291" i="130"/>
  <c r="AF297" i="130"/>
  <c r="Y330" i="130"/>
  <c r="AC350" i="130"/>
  <c r="Z353" i="130"/>
  <c r="AD362" i="130"/>
  <c r="W69" i="130"/>
  <c r="Z221" i="130"/>
  <c r="U280" i="130"/>
  <c r="AA267" i="130"/>
  <c r="Z286" i="130"/>
  <c r="AA291" i="130"/>
  <c r="Z330" i="130"/>
  <c r="X69" i="130"/>
  <c r="U205" i="130"/>
  <c r="AF221" i="130"/>
  <c r="AD9" i="130"/>
  <c r="AD21" i="130"/>
  <c r="W36" i="130"/>
  <c r="AC45" i="130"/>
  <c r="AA49" i="130"/>
  <c r="AC61" i="130"/>
  <c r="Y69" i="130"/>
  <c r="V74" i="130"/>
  <c r="Y103" i="130"/>
  <c r="Z110" i="130"/>
  <c r="AF141" i="130"/>
  <c r="AF156" i="130"/>
  <c r="Y161" i="130"/>
  <c r="AB203" i="130"/>
  <c r="X205" i="130"/>
  <c r="AF207" i="130"/>
  <c r="V211" i="130"/>
  <c r="Y224" i="130"/>
  <c r="Z225" i="130"/>
  <c r="W230" i="130"/>
  <c r="AC234" i="130"/>
  <c r="W236" i="130"/>
  <c r="W276" i="130"/>
  <c r="AE327" i="130"/>
  <c r="AE333" i="130"/>
  <c r="X276" i="130"/>
  <c r="AF45" i="130"/>
  <c r="AE69" i="130"/>
  <c r="AD234" i="130"/>
  <c r="AE7" i="130"/>
  <c r="AC36" i="130"/>
  <c r="AF69" i="130"/>
  <c r="Y74" i="130"/>
  <c r="Z98" i="130"/>
  <c r="AB161" i="130"/>
  <c r="AB178" i="130"/>
  <c r="AF205" i="130"/>
  <c r="AB211" i="130"/>
  <c r="W220" i="130"/>
  <c r="AE224" i="130"/>
  <c r="AE225" i="130"/>
  <c r="AC230" i="130"/>
  <c r="AF234" i="130"/>
  <c r="AA236" i="130"/>
  <c r="V240" i="130"/>
  <c r="AF251" i="130"/>
  <c r="Y276" i="130"/>
  <c r="U9" i="130"/>
  <c r="X63" i="130"/>
  <c r="AC156" i="130"/>
  <c r="X230" i="130"/>
  <c r="AE36" i="130"/>
  <c r="V48" i="130"/>
  <c r="X68" i="130"/>
  <c r="AE74" i="130"/>
  <c r="AC98" i="130"/>
  <c r="AD161" i="130"/>
  <c r="AD194" i="130"/>
  <c r="AF211" i="130"/>
  <c r="Z220" i="130"/>
  <c r="AF224" i="130"/>
  <c r="U227" i="130"/>
  <c r="AF230" i="130"/>
  <c r="X240" i="130"/>
  <c r="Y256" i="130"/>
  <c r="AC276" i="130"/>
  <c r="V292" i="130"/>
  <c r="U297" i="130"/>
  <c r="U300" i="130"/>
  <c r="Z364" i="130"/>
  <c r="U333" i="130"/>
  <c r="X98" i="130"/>
  <c r="AC43" i="130"/>
  <c r="Y68" i="130"/>
  <c r="AD98" i="130"/>
  <c r="W115" i="130"/>
  <c r="AD220" i="130"/>
  <c r="W227" i="130"/>
  <c r="Y240" i="130"/>
  <c r="AB292" i="130"/>
  <c r="X297" i="130"/>
  <c r="V300" i="130"/>
  <c r="V330" i="130"/>
  <c r="AE364" i="130"/>
  <c r="V224" i="130"/>
  <c r="V9" i="130"/>
  <c r="V236" i="130"/>
  <c r="Z224" i="130"/>
  <c r="Y236" i="130"/>
  <c r="AE98" i="130"/>
  <c r="AA240" i="130"/>
  <c r="U267" i="130"/>
  <c r="W268" i="130"/>
  <c r="Y279" i="130"/>
  <c r="U291" i="130"/>
  <c r="AD292" i="130"/>
  <c r="V295" i="130"/>
  <c r="Y297" i="130"/>
  <c r="U303" i="130"/>
  <c r="U328" i="130"/>
  <c r="W330" i="130"/>
  <c r="U347" i="130"/>
  <c r="V356" i="130"/>
  <c r="X224" i="130"/>
  <c r="U230" i="130"/>
  <c r="X36" i="130"/>
  <c r="Z22" i="130"/>
  <c r="AD109" i="130"/>
  <c r="X117" i="130"/>
  <c r="AC126" i="130"/>
  <c r="AF227" i="130"/>
  <c r="AB240" i="130"/>
  <c r="X267" i="130"/>
  <c r="X268" i="130"/>
  <c r="AB279" i="130"/>
  <c r="AF292" i="130"/>
  <c r="AF295" i="130"/>
  <c r="X303" i="130"/>
  <c r="X328" i="130"/>
  <c r="AB21" i="130"/>
  <c r="Z21" i="130"/>
  <c r="X21" i="130"/>
  <c r="V21" i="130"/>
  <c r="U21" i="130"/>
  <c r="AD73" i="130"/>
  <c r="AE73" i="130"/>
  <c r="AC73" i="130"/>
  <c r="V73" i="130"/>
  <c r="W86" i="130"/>
  <c r="AE97" i="130"/>
  <c r="AD157" i="130"/>
  <c r="AA21" i="130"/>
  <c r="Y250" i="130"/>
  <c r="V250" i="130"/>
  <c r="W250" i="130"/>
  <c r="AC12" i="130"/>
  <c r="AE12" i="130"/>
  <c r="X12" i="130"/>
  <c r="AF99" i="130"/>
  <c r="AE99" i="130"/>
  <c r="AD99" i="130"/>
  <c r="Z99" i="130"/>
  <c r="AF261" i="130"/>
  <c r="AA261" i="130"/>
  <c r="V261" i="130"/>
  <c r="Y8" i="130"/>
  <c r="W8" i="130"/>
  <c r="AA12" i="130"/>
  <c r="AC16" i="130"/>
  <c r="X16" i="130"/>
  <c r="W16" i="130"/>
  <c r="AC51" i="130"/>
  <c r="AF51" i="130"/>
  <c r="AE51" i="130"/>
  <c r="AD51" i="130"/>
  <c r="Z51" i="130"/>
  <c r="U51" i="130"/>
  <c r="AF130" i="130"/>
  <c r="AE130" i="130"/>
  <c r="V130" i="130"/>
  <c r="AA178" i="130"/>
  <c r="AB255" i="130"/>
  <c r="AE255" i="130"/>
  <c r="X255" i="130"/>
  <c r="U255" i="130"/>
  <c r="W255" i="130"/>
  <c r="V255" i="130"/>
  <c r="AF47" i="130"/>
  <c r="AC47" i="130"/>
  <c r="AB47" i="130"/>
  <c r="Z47" i="130"/>
  <c r="Y47" i="130"/>
  <c r="V6" i="130"/>
  <c r="AD6" i="130"/>
  <c r="AA6" i="130"/>
  <c r="X6" i="130"/>
  <c r="Z8" i="130"/>
  <c r="AD12" i="130"/>
  <c r="AE21" i="130"/>
  <c r="AF24" i="130"/>
  <c r="V24" i="130"/>
  <c r="W51" i="130"/>
  <c r="AD67" i="130"/>
  <c r="U67" i="130"/>
  <c r="AA73" i="130"/>
  <c r="X91" i="130"/>
  <c r="AC91" i="130"/>
  <c r="AB91" i="130"/>
  <c r="Y91" i="130"/>
  <c r="W91" i="130"/>
  <c r="AE216" i="130"/>
  <c r="AF216" i="130"/>
  <c r="AC216" i="130"/>
  <c r="Z216" i="130"/>
  <c r="V216" i="130"/>
  <c r="V219" i="130"/>
  <c r="U219" i="130"/>
  <c r="AC219" i="130"/>
  <c r="AB219" i="130"/>
  <c r="Z219" i="130"/>
  <c r="AF248" i="130"/>
  <c r="W248" i="130"/>
  <c r="AA248" i="130"/>
  <c r="AD256" i="130"/>
  <c r="AB256" i="130"/>
  <c r="U6" i="130"/>
  <c r="AA8" i="130"/>
  <c r="W24" i="130"/>
  <c r="AC27" i="130"/>
  <c r="Z27" i="130"/>
  <c r="U27" i="130"/>
  <c r="X51" i="130"/>
  <c r="AF58" i="130"/>
  <c r="Y58" i="130"/>
  <c r="AF60" i="130"/>
  <c r="W60" i="130"/>
  <c r="X64" i="130"/>
  <c r="AC178" i="130"/>
  <c r="AC180" i="130"/>
  <c r="AF180" i="130"/>
  <c r="W180" i="130"/>
  <c r="V180" i="130"/>
  <c r="U216" i="130"/>
  <c r="W6" i="130"/>
  <c r="AD25" i="130"/>
  <c r="U25" i="130"/>
  <c r="X38" i="130"/>
  <c r="Y38" i="130"/>
  <c r="Z46" i="130"/>
  <c r="Y46" i="130"/>
  <c r="X46" i="130"/>
  <c r="V46" i="130"/>
  <c r="AF48" i="130"/>
  <c r="W48" i="130"/>
  <c r="U58" i="130"/>
  <c r="V60" i="130"/>
  <c r="Y64" i="130"/>
  <c r="W67" i="130"/>
  <c r="V113" i="130"/>
  <c r="AD121" i="130"/>
  <c r="AC139" i="130"/>
  <c r="W139" i="130"/>
  <c r="V139" i="130"/>
  <c r="AF158" i="130"/>
  <c r="AE158" i="130"/>
  <c r="AD158" i="130"/>
  <c r="AA158" i="130"/>
  <c r="Z169" i="130"/>
  <c r="Y169" i="130"/>
  <c r="X169" i="130"/>
  <c r="U169" i="130"/>
  <c r="AB180" i="130"/>
  <c r="Y216" i="130"/>
  <c r="Y6" i="130"/>
  <c r="U38" i="130"/>
  <c r="U46" i="130"/>
  <c r="U48" i="130"/>
  <c r="X58" i="130"/>
  <c r="AD61" i="130"/>
  <c r="X61" i="130"/>
  <c r="W61" i="130"/>
  <c r="X67" i="130"/>
  <c r="AE121" i="130"/>
  <c r="X132" i="130"/>
  <c r="V132" i="130"/>
  <c r="AD163" i="130"/>
  <c r="X163" i="130"/>
  <c r="AF182" i="130"/>
  <c r="AA182" i="130"/>
  <c r="AD216" i="130"/>
  <c r="AF358" i="130"/>
  <c r="AD358" i="130"/>
  <c r="Z6" i="130"/>
  <c r="AD50" i="130"/>
  <c r="Y50" i="130"/>
  <c r="X50" i="130"/>
  <c r="V50" i="130"/>
  <c r="AD86" i="130"/>
  <c r="AC86" i="130"/>
  <c r="Z86" i="130"/>
  <c r="X86" i="130"/>
  <c r="V91" i="130"/>
  <c r="U139" i="130"/>
  <c r="AF143" i="130"/>
  <c r="AC143" i="130"/>
  <c r="AB143" i="130"/>
  <c r="AA143" i="130"/>
  <c r="AF155" i="130"/>
  <c r="AC155" i="130"/>
  <c r="AA155" i="130"/>
  <c r="AE163" i="130"/>
  <c r="AE173" i="130"/>
  <c r="X173" i="130"/>
  <c r="W173" i="130"/>
  <c r="AA242" i="130"/>
  <c r="AD242" i="130"/>
  <c r="Z242" i="130"/>
  <c r="Y242" i="130"/>
  <c r="W242" i="130"/>
  <c r="AA270" i="130"/>
  <c r="U270" i="130"/>
  <c r="W38" i="130"/>
  <c r="AF65" i="130"/>
  <c r="Z65" i="130"/>
  <c r="W65" i="130"/>
  <c r="AD91" i="130"/>
  <c r="U132" i="130"/>
  <c r="X139" i="130"/>
  <c r="Z143" i="130"/>
  <c r="AB157" i="130"/>
  <c r="AA157" i="130"/>
  <c r="X157" i="130"/>
  <c r="W157" i="130"/>
  <c r="V157" i="130"/>
  <c r="AF163" i="130"/>
  <c r="X219" i="130"/>
  <c r="X242" i="130"/>
  <c r="AD246" i="130"/>
  <c r="AA246" i="130"/>
  <c r="X246" i="130"/>
  <c r="U246" i="130"/>
  <c r="W246" i="130"/>
  <c r="W28" i="130"/>
  <c r="Z38" i="130"/>
  <c r="AF46" i="130"/>
  <c r="AA48" i="130"/>
  <c r="AF57" i="130"/>
  <c r="AC57" i="130"/>
  <c r="AA57" i="130"/>
  <c r="W57" i="130"/>
  <c r="U65" i="130"/>
  <c r="X97" i="130"/>
  <c r="AE155" i="130"/>
  <c r="U157" i="130"/>
  <c r="AB159" i="130"/>
  <c r="V173" i="130"/>
  <c r="AA219" i="130"/>
  <c r="AB242" i="130"/>
  <c r="AF246" i="130"/>
  <c r="AF282" i="130"/>
  <c r="AE282" i="130"/>
  <c r="AD282" i="130"/>
  <c r="AC282" i="130"/>
  <c r="X282" i="130"/>
  <c r="W282" i="130"/>
  <c r="AD62" i="130"/>
  <c r="AE62" i="130"/>
  <c r="AC62" i="130"/>
  <c r="Y62" i="130"/>
  <c r="X62" i="130"/>
  <c r="AE38" i="130"/>
  <c r="AA45" i="130"/>
  <c r="Z45" i="130"/>
  <c r="Y45" i="130"/>
  <c r="X45" i="130"/>
  <c r="X57" i="130"/>
  <c r="AD63" i="130"/>
  <c r="AF63" i="130"/>
  <c r="AE63" i="130"/>
  <c r="AC63" i="130"/>
  <c r="U63" i="130"/>
  <c r="AB97" i="130"/>
  <c r="X103" i="130"/>
  <c r="V103" i="130"/>
  <c r="AB126" i="130"/>
  <c r="AA126" i="130"/>
  <c r="AC157" i="130"/>
  <c r="Y173" i="130"/>
  <c r="X178" i="130"/>
  <c r="U178" i="130"/>
  <c r="AB181" i="130"/>
  <c r="AE181" i="130"/>
  <c r="AA181" i="130"/>
  <c r="AD181" i="130"/>
  <c r="AC181" i="130"/>
  <c r="X181" i="130"/>
  <c r="W181" i="130"/>
  <c r="AE219" i="130"/>
  <c r="AA290" i="130"/>
  <c r="Z290" i="130"/>
  <c r="Y290" i="130"/>
  <c r="X290" i="130"/>
  <c r="W290" i="130"/>
  <c r="V290" i="130"/>
  <c r="U290" i="130"/>
  <c r="AF290" i="130"/>
  <c r="AC290" i="130"/>
  <c r="AB290" i="130"/>
  <c r="AA252" i="130"/>
  <c r="X254" i="130"/>
  <c r="AC257" i="130"/>
  <c r="AD301" i="130"/>
  <c r="AD320" i="130"/>
  <c r="AD203" i="130"/>
  <c r="Z205" i="130"/>
  <c r="AA220" i="130"/>
  <c r="AA224" i="130"/>
  <c r="AB225" i="130"/>
  <c r="W240" i="130"/>
  <c r="X241" i="130"/>
  <c r="AC252" i="130"/>
  <c r="AD257" i="130"/>
  <c r="W267" i="130"/>
  <c r="V268" i="130"/>
  <c r="U276" i="130"/>
  <c r="AF279" i="130"/>
  <c r="Y286" i="130"/>
  <c r="W295" i="130"/>
  <c r="U342" i="130"/>
  <c r="AB356" i="130"/>
  <c r="AD364" i="130"/>
  <c r="AD49" i="130"/>
  <c r="AC74" i="130"/>
  <c r="AA161" i="130"/>
  <c r="U166" i="130"/>
  <c r="Y228" i="130"/>
  <c r="Z240" i="130"/>
  <c r="AC241" i="130"/>
  <c r="AF252" i="130"/>
  <c r="W303" i="130"/>
  <c r="V316" i="130"/>
  <c r="U345" i="130"/>
  <c r="AA354" i="130"/>
  <c r="W316" i="130"/>
  <c r="W345" i="130"/>
  <c r="AC268" i="130"/>
  <c r="Y280" i="130"/>
  <c r="U301" i="130"/>
  <c r="V302" i="130"/>
  <c r="Y303" i="130"/>
  <c r="AC305" i="130"/>
  <c r="V314" i="130"/>
  <c r="X316" i="130"/>
  <c r="V331" i="130"/>
  <c r="V333" i="130"/>
  <c r="X345" i="130"/>
  <c r="X347" i="130"/>
  <c r="X145" i="130"/>
  <c r="AE161" i="130"/>
  <c r="AD166" i="130"/>
  <c r="AC228" i="130"/>
  <c r="AD240" i="130"/>
  <c r="AA280" i="130"/>
  <c r="V301" i="130"/>
  <c r="Y302" i="130"/>
  <c r="Z303" i="130"/>
  <c r="W314" i="130"/>
  <c r="W320" i="130"/>
  <c r="W331" i="130"/>
  <c r="W333" i="130"/>
  <c r="AC345" i="130"/>
  <c r="U357" i="130"/>
  <c r="V368" i="130"/>
  <c r="W19" i="130"/>
  <c r="X22" i="130"/>
  <c r="AA69" i="130"/>
  <c r="V78" i="130"/>
  <c r="X109" i="130"/>
  <c r="X129" i="130"/>
  <c r="Y145" i="130"/>
  <c r="V194" i="130"/>
  <c r="AE228" i="130"/>
  <c r="AE240" i="130"/>
  <c r="X279" i="130"/>
  <c r="AB280" i="130"/>
  <c r="AA292" i="130"/>
  <c r="X301" i="130"/>
  <c r="Z302" i="130"/>
  <c r="AC303" i="130"/>
  <c r="U312" i="130"/>
  <c r="X314" i="130"/>
  <c r="X320" i="130"/>
  <c r="AA331" i="130"/>
  <c r="X333" i="130"/>
  <c r="X335" i="130"/>
  <c r="AA347" i="130"/>
  <c r="W357" i="130"/>
  <c r="U359" i="130"/>
  <c r="V364" i="130"/>
  <c r="U365" i="130"/>
  <c r="AB368" i="130"/>
  <c r="AA145" i="130"/>
  <c r="AA194" i="130"/>
  <c r="U220" i="130"/>
  <c r="AC280" i="130"/>
  <c r="Y301" i="130"/>
  <c r="AB302" i="130"/>
  <c r="AE303" i="130"/>
  <c r="Z312" i="130"/>
  <c r="Y320" i="130"/>
  <c r="Y333" i="130"/>
  <c r="Y335" i="130"/>
  <c r="X357" i="130"/>
  <c r="X359" i="130"/>
  <c r="W364" i="130"/>
  <c r="Z365" i="130"/>
  <c r="AC368" i="130"/>
  <c r="AD145" i="130"/>
  <c r="V220" i="130"/>
  <c r="Z301" i="130"/>
  <c r="AC302" i="130"/>
  <c r="AB312" i="130"/>
  <c r="Z320" i="130"/>
  <c r="AC333" i="130"/>
  <c r="AA335" i="130"/>
  <c r="X364" i="130"/>
  <c r="AE365" i="130"/>
  <c r="U295" i="130"/>
  <c r="AF302" i="130"/>
  <c r="AA320" i="130"/>
  <c r="AD333" i="130"/>
  <c r="V344" i="130"/>
  <c r="Y353" i="130"/>
  <c r="Y364" i="130"/>
  <c r="AE18" i="130"/>
  <c r="Z18" i="130"/>
  <c r="Y18" i="130"/>
  <c r="X18" i="130"/>
  <c r="W18" i="130"/>
  <c r="AA18" i="130"/>
  <c r="V18" i="130"/>
  <c r="U18" i="130"/>
  <c r="AF18" i="130"/>
  <c r="AD18" i="130"/>
  <c r="AC18" i="130"/>
  <c r="AB18" i="130"/>
  <c r="Z15" i="130"/>
  <c r="Y15" i="130"/>
  <c r="X15" i="130"/>
  <c r="W15" i="130"/>
  <c r="V15" i="130"/>
  <c r="AA15" i="130"/>
  <c r="U15" i="130"/>
  <c r="AF15" i="130"/>
  <c r="AE15" i="130"/>
  <c r="AD15" i="130"/>
  <c r="AC15" i="130"/>
  <c r="AB15" i="130"/>
  <c r="U4" i="130"/>
  <c r="AF4" i="130"/>
  <c r="AE4" i="130"/>
  <c r="AD4" i="130"/>
  <c r="V4" i="130"/>
  <c r="AC4" i="130"/>
  <c r="AB4" i="130"/>
  <c r="AA4" i="130"/>
  <c r="Z4" i="130"/>
  <c r="W4" i="130"/>
  <c r="Y4" i="130"/>
  <c r="X4" i="130"/>
  <c r="AB5" i="130"/>
  <c r="AA5" i="130"/>
  <c r="AC5" i="130"/>
  <c r="Z5" i="130"/>
  <c r="Y5" i="130"/>
  <c r="X5" i="130"/>
  <c r="W5" i="130"/>
  <c r="V5" i="130"/>
  <c r="AD5" i="130"/>
  <c r="U5" i="130"/>
  <c r="AF5" i="130"/>
  <c r="AE5" i="130"/>
  <c r="AE39" i="130"/>
  <c r="AA39" i="130"/>
  <c r="Y39" i="130"/>
  <c r="X39" i="130"/>
  <c r="W39" i="130"/>
  <c r="V39" i="130"/>
  <c r="AF39" i="130"/>
  <c r="AD39" i="130"/>
  <c r="AC39" i="130"/>
  <c r="AB39" i="130"/>
  <c r="Z39" i="130"/>
  <c r="U39" i="130"/>
  <c r="X13" i="130"/>
  <c r="Y13" i="130"/>
  <c r="W13" i="130"/>
  <c r="V13" i="130"/>
  <c r="U13" i="130"/>
  <c r="AF13" i="130"/>
  <c r="AE13" i="130"/>
  <c r="AD13" i="130"/>
  <c r="AC13" i="130"/>
  <c r="AB13" i="130"/>
  <c r="AA13" i="130"/>
  <c r="Z13" i="130"/>
  <c r="Y33" i="130"/>
  <c r="AE33" i="130"/>
  <c r="AD33" i="130"/>
  <c r="AC33" i="130"/>
  <c r="AB33" i="130"/>
  <c r="Y42" i="130"/>
  <c r="X42" i="130"/>
  <c r="AE42" i="130"/>
  <c r="AD42" i="130"/>
  <c r="AC42" i="130"/>
  <c r="AB42" i="130"/>
  <c r="AA42" i="130"/>
  <c r="Z42" i="130"/>
  <c r="W42" i="130"/>
  <c r="C44" i="130"/>
  <c r="T44" i="130"/>
  <c r="AB135" i="130"/>
  <c r="V135" i="130"/>
  <c r="AE135" i="130"/>
  <c r="AD135" i="130"/>
  <c r="AC135" i="130"/>
  <c r="AA135" i="130"/>
  <c r="Z135" i="130"/>
  <c r="Y135" i="130"/>
  <c r="X135" i="130"/>
  <c r="W135" i="130"/>
  <c r="AF135" i="130"/>
  <c r="U135" i="130"/>
  <c r="U14" i="130"/>
  <c r="U7" i="130"/>
  <c r="AB8" i="130"/>
  <c r="W9" i="130"/>
  <c r="D10" i="130"/>
  <c r="Y11" i="130"/>
  <c r="AF12" i="130"/>
  <c r="V14" i="130"/>
  <c r="C15" i="130"/>
  <c r="Y16" i="130"/>
  <c r="U17" i="130"/>
  <c r="C18" i="130"/>
  <c r="Y19" i="130"/>
  <c r="V20" i="130"/>
  <c r="AA22" i="130"/>
  <c r="X24" i="130"/>
  <c r="W25" i="130"/>
  <c r="U26" i="130"/>
  <c r="AD27" i="130"/>
  <c r="X27" i="130"/>
  <c r="V27" i="130"/>
  <c r="D29" i="130"/>
  <c r="AD32" i="130"/>
  <c r="X32" i="130"/>
  <c r="W32" i="130"/>
  <c r="V32" i="130"/>
  <c r="U32" i="130"/>
  <c r="U33" i="130"/>
  <c r="V34" i="130"/>
  <c r="C39" i="130"/>
  <c r="D44" i="130"/>
  <c r="AA80" i="130"/>
  <c r="Z80" i="130"/>
  <c r="V80" i="130"/>
  <c r="U80" i="130"/>
  <c r="AF80" i="130"/>
  <c r="AE80" i="130"/>
  <c r="AD80" i="130"/>
  <c r="AC80" i="130"/>
  <c r="AB80" i="130"/>
  <c r="Y80" i="130"/>
  <c r="X80" i="130"/>
  <c r="T90" i="130"/>
  <c r="D90" i="130"/>
  <c r="T114" i="130"/>
  <c r="D114" i="130"/>
  <c r="C114" i="130"/>
  <c r="D149" i="130"/>
  <c r="T149" i="130"/>
  <c r="C149" i="130"/>
  <c r="AD82" i="130"/>
  <c r="AC82" i="130"/>
  <c r="AB82" i="130"/>
  <c r="X82" i="130"/>
  <c r="W82" i="130"/>
  <c r="AF82" i="130"/>
  <c r="AE82" i="130"/>
  <c r="AA82" i="130"/>
  <c r="Z82" i="130"/>
  <c r="Y82" i="130"/>
  <c r="V82" i="130"/>
  <c r="U82" i="130"/>
  <c r="V7" i="130"/>
  <c r="C8" i="130"/>
  <c r="AC8" i="130"/>
  <c r="X9" i="130"/>
  <c r="Z11" i="130"/>
  <c r="U12" i="130"/>
  <c r="W14" i="130"/>
  <c r="D15" i="130"/>
  <c r="Z16" i="130"/>
  <c r="V17" i="130"/>
  <c r="D18" i="130"/>
  <c r="AA19" i="130"/>
  <c r="W20" i="130"/>
  <c r="AB22" i="130"/>
  <c r="Z24" i="130"/>
  <c r="X25" i="130"/>
  <c r="V26" i="130"/>
  <c r="Y28" i="130"/>
  <c r="AE28" i="130"/>
  <c r="AC28" i="130"/>
  <c r="AB28" i="130"/>
  <c r="T30" i="130"/>
  <c r="W31" i="130"/>
  <c r="AC31" i="130"/>
  <c r="AB31" i="130"/>
  <c r="AA31" i="130"/>
  <c r="Z31" i="130"/>
  <c r="Y32" i="130"/>
  <c r="V33" i="130"/>
  <c r="AA34" i="130"/>
  <c r="D39" i="130"/>
  <c r="AB75" i="130"/>
  <c r="AA75" i="130"/>
  <c r="W75" i="130"/>
  <c r="V75" i="130"/>
  <c r="AF75" i="130"/>
  <c r="AE75" i="130"/>
  <c r="AD75" i="130"/>
  <c r="AC75" i="130"/>
  <c r="Z75" i="130"/>
  <c r="Y75" i="130"/>
  <c r="X75" i="130"/>
  <c r="U75" i="130"/>
  <c r="W80" i="130"/>
  <c r="C90" i="130"/>
  <c r="AD118" i="130"/>
  <c r="AC118" i="130"/>
  <c r="AB118" i="130"/>
  <c r="AA118" i="130"/>
  <c r="Z118" i="130"/>
  <c r="Y118" i="130"/>
  <c r="X118" i="130"/>
  <c r="W118" i="130"/>
  <c r="AF118" i="130"/>
  <c r="AE118" i="130"/>
  <c r="V118" i="130"/>
  <c r="AF29" i="130"/>
  <c r="Z29" i="130"/>
  <c r="X29" i="130"/>
  <c r="W29" i="130"/>
  <c r="AF7" i="130"/>
  <c r="C30" i="130"/>
  <c r="AB6" i="130"/>
  <c r="W7" i="130"/>
  <c r="AD8" i="130"/>
  <c r="Y9" i="130"/>
  <c r="T10" i="130"/>
  <c r="AA11" i="130"/>
  <c r="V12" i="130"/>
  <c r="C13" i="130"/>
  <c r="X14" i="130"/>
  <c r="AA16" i="130"/>
  <c r="W17" i="130"/>
  <c r="AB19" i="130"/>
  <c r="X20" i="130"/>
  <c r="AF21" i="130"/>
  <c r="AC22" i="130"/>
  <c r="AB24" i="130"/>
  <c r="Y25" i="130"/>
  <c r="X26" i="130"/>
  <c r="W27" i="130"/>
  <c r="U28" i="130"/>
  <c r="U29" i="130"/>
  <c r="U31" i="130"/>
  <c r="Z32" i="130"/>
  <c r="W33" i="130"/>
  <c r="AB34" i="130"/>
  <c r="T55" i="130"/>
  <c r="D55" i="130"/>
  <c r="AE72" i="130"/>
  <c r="AD72" i="130"/>
  <c r="Z72" i="130"/>
  <c r="Y72" i="130"/>
  <c r="AF72" i="130"/>
  <c r="AC72" i="130"/>
  <c r="AB72" i="130"/>
  <c r="AA72" i="130"/>
  <c r="X72" i="130"/>
  <c r="W72" i="130"/>
  <c r="V72" i="130"/>
  <c r="Y83" i="130"/>
  <c r="X83" i="130"/>
  <c r="W83" i="130"/>
  <c r="AE83" i="130"/>
  <c r="AD83" i="130"/>
  <c r="AF83" i="130"/>
  <c r="AC83" i="130"/>
  <c r="AB83" i="130"/>
  <c r="AA83" i="130"/>
  <c r="Z83" i="130"/>
  <c r="V83" i="130"/>
  <c r="U118" i="130"/>
  <c r="T40" i="130"/>
  <c r="D40" i="130"/>
  <c r="C40" i="130"/>
  <c r="AC6" i="130"/>
  <c r="X7" i="130"/>
  <c r="AE8" i="130"/>
  <c r="Z9" i="130"/>
  <c r="AB11" i="130"/>
  <c r="W12" i="130"/>
  <c r="D13" i="130"/>
  <c r="Y14" i="130"/>
  <c r="AB16" i="130"/>
  <c r="Y17" i="130"/>
  <c r="AC19" i="130"/>
  <c r="Y20" i="130"/>
  <c r="AD22" i="130"/>
  <c r="AC24" i="130"/>
  <c r="Z25" i="130"/>
  <c r="Y26" i="130"/>
  <c r="Y27" i="130"/>
  <c r="V28" i="130"/>
  <c r="V29" i="130"/>
  <c r="V31" i="130"/>
  <c r="AA32" i="130"/>
  <c r="X33" i="130"/>
  <c r="AC34" i="130"/>
  <c r="C37" i="130"/>
  <c r="T37" i="130"/>
  <c r="U42" i="130"/>
  <c r="C55" i="130"/>
  <c r="U72" i="130"/>
  <c r="U83" i="130"/>
  <c r="V134" i="130"/>
  <c r="U134" i="130"/>
  <c r="AF134" i="130"/>
  <c r="AE134" i="130"/>
  <c r="AD134" i="130"/>
  <c r="AC134" i="130"/>
  <c r="AB134" i="130"/>
  <c r="AA134" i="130"/>
  <c r="Z134" i="130"/>
  <c r="Y134" i="130"/>
  <c r="X134" i="130"/>
  <c r="W134" i="130"/>
  <c r="AF14" i="130"/>
  <c r="D170" i="130"/>
  <c r="T170" i="130"/>
  <c r="C170" i="130"/>
  <c r="Y7" i="130"/>
  <c r="AF8" i="130"/>
  <c r="AA9" i="130"/>
  <c r="AC11" i="130"/>
  <c r="Z14" i="130"/>
  <c r="AD16" i="130"/>
  <c r="Z17" i="130"/>
  <c r="AD19" i="130"/>
  <c r="Z20" i="130"/>
  <c r="AD24" i="130"/>
  <c r="AA25" i="130"/>
  <c r="Z26" i="130"/>
  <c r="Y29" i="130"/>
  <c r="Z33" i="130"/>
  <c r="AD34" i="130"/>
  <c r="V42" i="130"/>
  <c r="W52" i="130"/>
  <c r="V52" i="130"/>
  <c r="AC52" i="130"/>
  <c r="AF52" i="130"/>
  <c r="AE52" i="130"/>
  <c r="AD52" i="130"/>
  <c r="AB52" i="130"/>
  <c r="AA52" i="130"/>
  <c r="Z52" i="130"/>
  <c r="Y52" i="130"/>
  <c r="X52" i="130"/>
  <c r="AC70" i="130"/>
  <c r="AB70" i="130"/>
  <c r="X70" i="130"/>
  <c r="W70" i="130"/>
  <c r="AF70" i="130"/>
  <c r="AE70" i="130"/>
  <c r="AD70" i="130"/>
  <c r="AA70" i="130"/>
  <c r="Z70" i="130"/>
  <c r="Y70" i="130"/>
  <c r="V70" i="130"/>
  <c r="W76" i="130"/>
  <c r="V76" i="130"/>
  <c r="AD76" i="130"/>
  <c r="AC76" i="130"/>
  <c r="AF76" i="130"/>
  <c r="AE76" i="130"/>
  <c r="AB76" i="130"/>
  <c r="AA76" i="130"/>
  <c r="Z76" i="130"/>
  <c r="Y76" i="130"/>
  <c r="X76" i="130"/>
  <c r="AD94" i="130"/>
  <c r="AC94" i="130"/>
  <c r="AB94" i="130"/>
  <c r="X94" i="130"/>
  <c r="W94" i="130"/>
  <c r="AF94" i="130"/>
  <c r="AE94" i="130"/>
  <c r="AA94" i="130"/>
  <c r="Z94" i="130"/>
  <c r="Y94" i="130"/>
  <c r="V94" i="130"/>
  <c r="U94" i="130"/>
  <c r="C4" i="130"/>
  <c r="AE6" i="130"/>
  <c r="Z7" i="130"/>
  <c r="U8" i="130"/>
  <c r="AB9" i="130"/>
  <c r="AD11" i="130"/>
  <c r="Y12" i="130"/>
  <c r="AA14" i="130"/>
  <c r="D16" i="130"/>
  <c r="AE16" i="130"/>
  <c r="AA17" i="130"/>
  <c r="AE19" i="130"/>
  <c r="AA20" i="130"/>
  <c r="T23" i="130"/>
  <c r="D23" i="130"/>
  <c r="AE24" i="130"/>
  <c r="AC25" i="130"/>
  <c r="AA27" i="130"/>
  <c r="X28" i="130"/>
  <c r="AA29" i="130"/>
  <c r="Y31" i="130"/>
  <c r="AC32" i="130"/>
  <c r="AA33" i="130"/>
  <c r="AF42" i="130"/>
  <c r="U52" i="130"/>
  <c r="U70" i="130"/>
  <c r="U76" i="130"/>
  <c r="Y107" i="130"/>
  <c r="X107" i="130"/>
  <c r="W107" i="130"/>
  <c r="AE107" i="130"/>
  <c r="AD107" i="130"/>
  <c r="AF107" i="130"/>
  <c r="AC107" i="130"/>
  <c r="AB107" i="130"/>
  <c r="AA107" i="130"/>
  <c r="Z107" i="130"/>
  <c r="V107" i="130"/>
  <c r="U107" i="130"/>
  <c r="T112" i="130"/>
  <c r="D112" i="130"/>
  <c r="C112" i="130"/>
  <c r="W26" i="130"/>
  <c r="AC26" i="130"/>
  <c r="AA26" i="130"/>
  <c r="D4" i="130"/>
  <c r="AF6" i="130"/>
  <c r="AA7" i="130"/>
  <c r="V8" i="130"/>
  <c r="AC9" i="130"/>
  <c r="AE11" i="130"/>
  <c r="Z12" i="130"/>
  <c r="AB14" i="130"/>
  <c r="AF16" i="130"/>
  <c r="AB17" i="130"/>
  <c r="AF19" i="130"/>
  <c r="AB20" i="130"/>
  <c r="W21" i="130"/>
  <c r="C23" i="130"/>
  <c r="AD26" i="130"/>
  <c r="AB27" i="130"/>
  <c r="Z28" i="130"/>
  <c r="AB29" i="130"/>
  <c r="AD31" i="130"/>
  <c r="AE32" i="130"/>
  <c r="AF33" i="130"/>
  <c r="T35" i="130"/>
  <c r="D35" i="130"/>
  <c r="D53" i="130"/>
  <c r="C53" i="130"/>
  <c r="V81" i="130"/>
  <c r="U81" i="130"/>
  <c r="AC81" i="130"/>
  <c r="AB81" i="130"/>
  <c r="AF81" i="130"/>
  <c r="AE81" i="130"/>
  <c r="AD81" i="130"/>
  <c r="AA81" i="130"/>
  <c r="Z81" i="130"/>
  <c r="Y81" i="130"/>
  <c r="X81" i="130"/>
  <c r="W81" i="130"/>
  <c r="AF120" i="130"/>
  <c r="AE120" i="130"/>
  <c r="AD120" i="130"/>
  <c r="AC120" i="130"/>
  <c r="AB120" i="130"/>
  <c r="AA120" i="130"/>
  <c r="Z120" i="130"/>
  <c r="Y120" i="130"/>
  <c r="X120" i="130"/>
  <c r="W120" i="130"/>
  <c r="V120" i="130"/>
  <c r="U120" i="130"/>
  <c r="AB7" i="130"/>
  <c r="AF11" i="130"/>
  <c r="AC14" i="130"/>
  <c r="AC17" i="130"/>
  <c r="AC20" i="130"/>
  <c r="AE22" i="130"/>
  <c r="Y22" i="130"/>
  <c r="W22" i="130"/>
  <c r="AB25" i="130"/>
  <c r="V25" i="130"/>
  <c r="AF25" i="130"/>
  <c r="AE25" i="130"/>
  <c r="AE26" i="130"/>
  <c r="AC29" i="130"/>
  <c r="AF34" i="130"/>
  <c r="Z34" i="130"/>
  <c r="Y34" i="130"/>
  <c r="X34" i="130"/>
  <c r="W34" i="130"/>
  <c r="AD41" i="130"/>
  <c r="AC41" i="130"/>
  <c r="X41" i="130"/>
  <c r="V41" i="130"/>
  <c r="AF41" i="130"/>
  <c r="AE41" i="130"/>
  <c r="AB41" i="130"/>
  <c r="AA41" i="130"/>
  <c r="Z41" i="130"/>
  <c r="T56" i="130"/>
  <c r="D56" i="130"/>
  <c r="C56" i="130"/>
  <c r="C54" i="130"/>
  <c r="T54" i="130"/>
  <c r="C142" i="130"/>
  <c r="T142" i="130"/>
  <c r="D142" i="130"/>
  <c r="C29" i="130"/>
  <c r="C7" i="130"/>
  <c r="AC7" i="130"/>
  <c r="X8" i="130"/>
  <c r="AE9" i="130"/>
  <c r="U11" i="130"/>
  <c r="AB12" i="130"/>
  <c r="AD14" i="130"/>
  <c r="U16" i="130"/>
  <c r="C17" i="130"/>
  <c r="AD17" i="130"/>
  <c r="U19" i="130"/>
  <c r="C20" i="130"/>
  <c r="AD20" i="130"/>
  <c r="Y21" i="130"/>
  <c r="U22" i="130"/>
  <c r="AF26" i="130"/>
  <c r="AE27" i="130"/>
  <c r="AD28" i="130"/>
  <c r="AD29" i="130"/>
  <c r="AF31" i="130"/>
  <c r="C34" i="130"/>
  <c r="V36" i="130"/>
  <c r="AD36" i="130"/>
  <c r="AB36" i="130"/>
  <c r="AA36" i="130"/>
  <c r="Z36" i="130"/>
  <c r="Y36" i="130"/>
  <c r="U41" i="130"/>
  <c r="T53" i="130"/>
  <c r="Y95" i="130"/>
  <c r="X95" i="130"/>
  <c r="W95" i="130"/>
  <c r="AE95" i="130"/>
  <c r="AD95" i="130"/>
  <c r="AF95" i="130"/>
  <c r="AC95" i="130"/>
  <c r="AB95" i="130"/>
  <c r="AA95" i="130"/>
  <c r="Z95" i="130"/>
  <c r="V95" i="130"/>
  <c r="T102" i="130"/>
  <c r="D102" i="130"/>
  <c r="V16" i="130"/>
  <c r="AE17" i="130"/>
  <c r="V19" i="130"/>
  <c r="AE20" i="130"/>
  <c r="V22" i="130"/>
  <c r="U24" i="130"/>
  <c r="AA24" i="130"/>
  <c r="Y24" i="130"/>
  <c r="AF27" i="130"/>
  <c r="AF28" i="130"/>
  <c r="AE29" i="130"/>
  <c r="D34" i="130"/>
  <c r="W41" i="130"/>
  <c r="X71" i="130"/>
  <c r="W71" i="130"/>
  <c r="AE71" i="130"/>
  <c r="AD71" i="130"/>
  <c r="AF71" i="130"/>
  <c r="AC71" i="130"/>
  <c r="AB71" i="130"/>
  <c r="AA71" i="130"/>
  <c r="Z71" i="130"/>
  <c r="Y71" i="130"/>
  <c r="V71" i="130"/>
  <c r="C164" i="130"/>
  <c r="D164" i="130"/>
  <c r="T164" i="130"/>
  <c r="AA174" i="130"/>
  <c r="AD174" i="130"/>
  <c r="AC174" i="130"/>
  <c r="W174" i="130"/>
  <c r="V174" i="130"/>
  <c r="AF174" i="130"/>
  <c r="AE174" i="130"/>
  <c r="AB174" i="130"/>
  <c r="Z174" i="130"/>
  <c r="AA38" i="130"/>
  <c r="V43" i="130"/>
  <c r="AE47" i="130"/>
  <c r="AB48" i="130"/>
  <c r="Z50" i="130"/>
  <c r="AD57" i="130"/>
  <c r="Z58" i="130"/>
  <c r="Z59" i="130"/>
  <c r="X60" i="130"/>
  <c r="Z64" i="130"/>
  <c r="AA65" i="130"/>
  <c r="AA66" i="130"/>
  <c r="Y67" i="130"/>
  <c r="AB68" i="130"/>
  <c r="W78" i="130"/>
  <c r="W79" i="130"/>
  <c r="AC85" i="130"/>
  <c r="D89" i="130"/>
  <c r="C89" i="130"/>
  <c r="AB92" i="130"/>
  <c r="AA92" i="130"/>
  <c r="Z92" i="130"/>
  <c r="V92" i="130"/>
  <c r="U92" i="130"/>
  <c r="W93" i="130"/>
  <c r="V93" i="130"/>
  <c r="U93" i="130"/>
  <c r="AC93" i="130"/>
  <c r="AB93" i="130"/>
  <c r="AC97" i="130"/>
  <c r="D101" i="130"/>
  <c r="C101" i="130"/>
  <c r="AB104" i="130"/>
  <c r="AA104" i="130"/>
  <c r="Z104" i="130"/>
  <c r="V104" i="130"/>
  <c r="U104" i="130"/>
  <c r="W105" i="130"/>
  <c r="V105" i="130"/>
  <c r="U105" i="130"/>
  <c r="AC105" i="130"/>
  <c r="AB105" i="130"/>
  <c r="AD106" i="130"/>
  <c r="AC106" i="130"/>
  <c r="AB106" i="130"/>
  <c r="X106" i="130"/>
  <c r="W106" i="130"/>
  <c r="AB109" i="130"/>
  <c r="V122" i="130"/>
  <c r="U122" i="130"/>
  <c r="AF122" i="130"/>
  <c r="AE122" i="130"/>
  <c r="AD122" i="130"/>
  <c r="AC122" i="130"/>
  <c r="AB122" i="130"/>
  <c r="AA122" i="130"/>
  <c r="AC123" i="130"/>
  <c r="AB123" i="130"/>
  <c r="AA123" i="130"/>
  <c r="Z123" i="130"/>
  <c r="Y123" i="130"/>
  <c r="X123" i="130"/>
  <c r="W123" i="130"/>
  <c r="V123" i="130"/>
  <c r="AB128" i="130"/>
  <c r="AA128" i="130"/>
  <c r="Z128" i="130"/>
  <c r="Y128" i="130"/>
  <c r="X128" i="130"/>
  <c r="W128" i="130"/>
  <c r="V128" i="130"/>
  <c r="U128" i="130"/>
  <c r="W132" i="130"/>
  <c r="AE144" i="130"/>
  <c r="Z144" i="130"/>
  <c r="Y144" i="130"/>
  <c r="V144" i="130"/>
  <c r="U144" i="130"/>
  <c r="AF144" i="130"/>
  <c r="AD144" i="130"/>
  <c r="AC144" i="130"/>
  <c r="U174" i="130"/>
  <c r="D237" i="130"/>
  <c r="C237" i="130"/>
  <c r="T237" i="130"/>
  <c r="AB38" i="130"/>
  <c r="W43" i="130"/>
  <c r="AC48" i="130"/>
  <c r="AB50" i="130"/>
  <c r="Y51" i="130"/>
  <c r="AE57" i="130"/>
  <c r="AA58" i="130"/>
  <c r="AA59" i="130"/>
  <c r="AA60" i="130"/>
  <c r="AB61" i="130"/>
  <c r="Z62" i="130"/>
  <c r="Z63" i="130"/>
  <c r="AA64" i="130"/>
  <c r="AB65" i="130"/>
  <c r="AB66" i="130"/>
  <c r="AB67" i="130"/>
  <c r="AC68" i="130"/>
  <c r="Z69" i="130"/>
  <c r="X73" i="130"/>
  <c r="X74" i="130"/>
  <c r="Z78" i="130"/>
  <c r="X79" i="130"/>
  <c r="AD85" i="130"/>
  <c r="W92" i="130"/>
  <c r="X93" i="130"/>
  <c r="W104" i="130"/>
  <c r="X105" i="130"/>
  <c r="U106" i="130"/>
  <c r="AC109" i="130"/>
  <c r="U123" i="130"/>
  <c r="AE125" i="130"/>
  <c r="AD125" i="130"/>
  <c r="AC125" i="130"/>
  <c r="AB125" i="130"/>
  <c r="AA125" i="130"/>
  <c r="Z125" i="130"/>
  <c r="Y125" i="130"/>
  <c r="X125" i="130"/>
  <c r="AC128" i="130"/>
  <c r="T131" i="130"/>
  <c r="D131" i="130"/>
  <c r="C136" i="130"/>
  <c r="T136" i="130"/>
  <c r="Y138" i="130"/>
  <c r="AE138" i="130"/>
  <c r="V138" i="130"/>
  <c r="U138" i="130"/>
  <c r="AF138" i="130"/>
  <c r="AD138" i="130"/>
  <c r="AC138" i="130"/>
  <c r="AB138" i="130"/>
  <c r="X174" i="130"/>
  <c r="AC38" i="130"/>
  <c r="X43" i="130"/>
  <c r="V45" i="130"/>
  <c r="U45" i="130"/>
  <c r="AB45" i="130"/>
  <c r="AC50" i="130"/>
  <c r="AD58" i="130"/>
  <c r="AB59" i="130"/>
  <c r="AB60" i="130"/>
  <c r="AB64" i="130"/>
  <c r="AE65" i="130"/>
  <c r="AC66" i="130"/>
  <c r="AC67" i="130"/>
  <c r="AD68" i="130"/>
  <c r="AA78" i="130"/>
  <c r="Y79" i="130"/>
  <c r="D88" i="130"/>
  <c r="C88" i="130"/>
  <c r="T89" i="130"/>
  <c r="X92" i="130"/>
  <c r="D100" i="130"/>
  <c r="C100" i="130"/>
  <c r="AE101" i="130"/>
  <c r="AD101" i="130"/>
  <c r="AC101" i="130"/>
  <c r="Y101" i="130"/>
  <c r="X101" i="130"/>
  <c r="U127" i="130"/>
  <c r="AF127" i="130"/>
  <c r="AE127" i="130"/>
  <c r="AD127" i="130"/>
  <c r="AC127" i="130"/>
  <c r="AB127" i="130"/>
  <c r="AA127" i="130"/>
  <c r="Z127" i="130"/>
  <c r="AA133" i="130"/>
  <c r="Z133" i="130"/>
  <c r="Y133" i="130"/>
  <c r="X133" i="130"/>
  <c r="W133" i="130"/>
  <c r="V133" i="130"/>
  <c r="U133" i="130"/>
  <c r="AF133" i="130"/>
  <c r="X165" i="130"/>
  <c r="AB165" i="130"/>
  <c r="AA165" i="130"/>
  <c r="U165" i="130"/>
  <c r="AE165" i="130"/>
  <c r="AD165" i="130"/>
  <c r="AC165" i="130"/>
  <c r="Z165" i="130"/>
  <c r="Y165" i="130"/>
  <c r="W165" i="130"/>
  <c r="V165" i="130"/>
  <c r="Y174" i="130"/>
  <c r="AD38" i="130"/>
  <c r="Y43" i="130"/>
  <c r="W45" i="130"/>
  <c r="AC46" i="130"/>
  <c r="AB46" i="130"/>
  <c r="W46" i="130"/>
  <c r="C48" i="130"/>
  <c r="Z49" i="130"/>
  <c r="Y49" i="130"/>
  <c r="AF49" i="130"/>
  <c r="AE49" i="130"/>
  <c r="AE58" i="130"/>
  <c r="AC59" i="130"/>
  <c r="AC60" i="130"/>
  <c r="AE64" i="130"/>
  <c r="AE68" i="130"/>
  <c r="AB73" i="130"/>
  <c r="Z74" i="130"/>
  <c r="AB78" i="130"/>
  <c r="AB79" i="130"/>
  <c r="V86" i="130"/>
  <c r="U86" i="130"/>
  <c r="AF86" i="130"/>
  <c r="AB86" i="130"/>
  <c r="AA86" i="130"/>
  <c r="Y92" i="130"/>
  <c r="Z93" i="130"/>
  <c r="V98" i="130"/>
  <c r="U98" i="130"/>
  <c r="AF98" i="130"/>
  <c r="AB98" i="130"/>
  <c r="AA98" i="130"/>
  <c r="U101" i="130"/>
  <c r="Y104" i="130"/>
  <c r="Z105" i="130"/>
  <c r="Y106" i="130"/>
  <c r="T119" i="130"/>
  <c r="D119" i="130"/>
  <c r="AE123" i="130"/>
  <c r="V125" i="130"/>
  <c r="AE128" i="130"/>
  <c r="C133" i="130"/>
  <c r="Y150" i="130"/>
  <c r="AF150" i="130"/>
  <c r="AE150" i="130"/>
  <c r="AB150" i="130"/>
  <c r="AA150" i="130"/>
  <c r="Z150" i="130"/>
  <c r="X150" i="130"/>
  <c r="W150" i="130"/>
  <c r="V150" i="130"/>
  <c r="U150" i="130"/>
  <c r="T152" i="130"/>
  <c r="D152" i="130"/>
  <c r="C152" i="130"/>
  <c r="T154" i="130"/>
  <c r="D154" i="130"/>
  <c r="C154" i="130"/>
  <c r="T160" i="130"/>
  <c r="D160" i="130"/>
  <c r="C165" i="130"/>
  <c r="V196" i="130"/>
  <c r="AE196" i="130"/>
  <c r="U196" i="130"/>
  <c r="AD196" i="130"/>
  <c r="AC196" i="130"/>
  <c r="AB196" i="130"/>
  <c r="AA196" i="130"/>
  <c r="Z196" i="130"/>
  <c r="AF196" i="130"/>
  <c r="Y196" i="130"/>
  <c r="X196" i="130"/>
  <c r="W196" i="130"/>
  <c r="AA43" i="130"/>
  <c r="X47" i="130"/>
  <c r="W47" i="130"/>
  <c r="AD47" i="130"/>
  <c r="U50" i="130"/>
  <c r="AF50" i="130"/>
  <c r="AA50" i="130"/>
  <c r="AE50" i="130"/>
  <c r="Y66" i="130"/>
  <c r="X66" i="130"/>
  <c r="AF66" i="130"/>
  <c r="AE66" i="130"/>
  <c r="AF67" i="130"/>
  <c r="AE67" i="130"/>
  <c r="AA67" i="130"/>
  <c r="Z67" i="130"/>
  <c r="AC78" i="130"/>
  <c r="AA85" i="130"/>
  <c r="Z85" i="130"/>
  <c r="Y85" i="130"/>
  <c r="U85" i="130"/>
  <c r="AF85" i="130"/>
  <c r="T88" i="130"/>
  <c r="AC92" i="130"/>
  <c r="AA97" i="130"/>
  <c r="Z97" i="130"/>
  <c r="Y97" i="130"/>
  <c r="U97" i="130"/>
  <c r="AF97" i="130"/>
  <c r="T100" i="130"/>
  <c r="V101" i="130"/>
  <c r="AC104" i="130"/>
  <c r="AA105" i="130"/>
  <c r="Z106" i="130"/>
  <c r="V110" i="130"/>
  <c r="U110" i="130"/>
  <c r="AF110" i="130"/>
  <c r="AE110" i="130"/>
  <c r="AD110" i="130"/>
  <c r="AB110" i="130"/>
  <c r="AA110" i="130"/>
  <c r="AA121" i="130"/>
  <c r="Z121" i="130"/>
  <c r="Y121" i="130"/>
  <c r="X121" i="130"/>
  <c r="W121" i="130"/>
  <c r="V121" i="130"/>
  <c r="U121" i="130"/>
  <c r="AF121" i="130"/>
  <c r="W122" i="130"/>
  <c r="AF123" i="130"/>
  <c r="W125" i="130"/>
  <c r="V127" i="130"/>
  <c r="AF128" i="130"/>
  <c r="D133" i="130"/>
  <c r="AB147" i="130"/>
  <c r="W147" i="130"/>
  <c r="V147" i="130"/>
  <c r="AF147" i="130"/>
  <c r="AE147" i="130"/>
  <c r="AD147" i="130"/>
  <c r="AC147" i="130"/>
  <c r="AA147" i="130"/>
  <c r="Z147" i="130"/>
  <c r="Y147" i="130"/>
  <c r="X147" i="130"/>
  <c r="D165" i="130"/>
  <c r="AF38" i="130"/>
  <c r="C41" i="130"/>
  <c r="U47" i="130"/>
  <c r="AE48" i="130"/>
  <c r="AD48" i="130"/>
  <c r="Y48" i="130"/>
  <c r="C50" i="130"/>
  <c r="V57" i="130"/>
  <c r="U57" i="130"/>
  <c r="AB57" i="130"/>
  <c r="Z61" i="130"/>
  <c r="Y61" i="130"/>
  <c r="U61" i="130"/>
  <c r="AF61" i="130"/>
  <c r="U62" i="130"/>
  <c r="AF62" i="130"/>
  <c r="AB62" i="130"/>
  <c r="AA62" i="130"/>
  <c r="D65" i="130"/>
  <c r="C65" i="130"/>
  <c r="C66" i="130"/>
  <c r="C67" i="130"/>
  <c r="C68" i="130"/>
  <c r="C85" i="130"/>
  <c r="AD92" i="130"/>
  <c r="AD93" i="130"/>
  <c r="C97" i="130"/>
  <c r="W101" i="130"/>
  <c r="AD104" i="130"/>
  <c r="AD105" i="130"/>
  <c r="AA106" i="130"/>
  <c r="AA109" i="130"/>
  <c r="Z109" i="130"/>
  <c r="Y109" i="130"/>
  <c r="U109" i="130"/>
  <c r="AF109" i="130"/>
  <c r="AC111" i="130"/>
  <c r="AB111" i="130"/>
  <c r="AA111" i="130"/>
  <c r="Z111" i="130"/>
  <c r="Y111" i="130"/>
  <c r="X111" i="130"/>
  <c r="W111" i="130"/>
  <c r="V111" i="130"/>
  <c r="AB116" i="130"/>
  <c r="AA116" i="130"/>
  <c r="Z116" i="130"/>
  <c r="Y116" i="130"/>
  <c r="X116" i="130"/>
  <c r="W116" i="130"/>
  <c r="V116" i="130"/>
  <c r="U116" i="130"/>
  <c r="X122" i="130"/>
  <c r="T124" i="130"/>
  <c r="D124" i="130"/>
  <c r="C124" i="130"/>
  <c r="AF125" i="130"/>
  <c r="W127" i="130"/>
  <c r="W138" i="130"/>
  <c r="X144" i="130"/>
  <c r="U147" i="130"/>
  <c r="D167" i="130"/>
  <c r="T167" i="130"/>
  <c r="AD171" i="130"/>
  <c r="AB171" i="130"/>
  <c r="AA171" i="130"/>
  <c r="V171" i="130"/>
  <c r="U171" i="130"/>
  <c r="AF171" i="130"/>
  <c r="AE171" i="130"/>
  <c r="AC171" i="130"/>
  <c r="Z171" i="130"/>
  <c r="Y171" i="130"/>
  <c r="X171" i="130"/>
  <c r="X186" i="130"/>
  <c r="AF186" i="130"/>
  <c r="W186" i="130"/>
  <c r="V186" i="130"/>
  <c r="U186" i="130"/>
  <c r="AE186" i="130"/>
  <c r="AD186" i="130"/>
  <c r="AC186" i="130"/>
  <c r="AB186" i="130"/>
  <c r="AA186" i="130"/>
  <c r="Z186" i="130"/>
  <c r="D64" i="130"/>
  <c r="C64" i="130"/>
  <c r="D66" i="130"/>
  <c r="D67" i="130"/>
  <c r="Y78" i="130"/>
  <c r="X78" i="130"/>
  <c r="AF78" i="130"/>
  <c r="AE78" i="130"/>
  <c r="AF79" i="130"/>
  <c r="AE79" i="130"/>
  <c r="AA79" i="130"/>
  <c r="Z79" i="130"/>
  <c r="T84" i="130"/>
  <c r="D84" i="130"/>
  <c r="D85" i="130"/>
  <c r="AC87" i="130"/>
  <c r="AB87" i="130"/>
  <c r="AA87" i="130"/>
  <c r="W87" i="130"/>
  <c r="V87" i="130"/>
  <c r="AE92" i="130"/>
  <c r="AE93" i="130"/>
  <c r="T96" i="130"/>
  <c r="D96" i="130"/>
  <c r="D97" i="130"/>
  <c r="AC99" i="130"/>
  <c r="AB99" i="130"/>
  <c r="AA99" i="130"/>
  <c r="W99" i="130"/>
  <c r="V99" i="130"/>
  <c r="Z101" i="130"/>
  <c r="AE104" i="130"/>
  <c r="AE105" i="130"/>
  <c r="AE106" i="130"/>
  <c r="U111" i="130"/>
  <c r="AE113" i="130"/>
  <c r="AD113" i="130"/>
  <c r="AC113" i="130"/>
  <c r="AB113" i="130"/>
  <c r="AA113" i="130"/>
  <c r="Z113" i="130"/>
  <c r="Y113" i="130"/>
  <c r="X113" i="130"/>
  <c r="AC116" i="130"/>
  <c r="Y122" i="130"/>
  <c r="Z126" i="130"/>
  <c r="Y126" i="130"/>
  <c r="X126" i="130"/>
  <c r="W126" i="130"/>
  <c r="V126" i="130"/>
  <c r="U126" i="130"/>
  <c r="AF126" i="130"/>
  <c r="AE126" i="130"/>
  <c r="X127" i="130"/>
  <c r="AB133" i="130"/>
  <c r="X138" i="130"/>
  <c r="AA144" i="130"/>
  <c r="D148" i="130"/>
  <c r="C148" i="130"/>
  <c r="AF165" i="130"/>
  <c r="C167" i="130"/>
  <c r="W171" i="130"/>
  <c r="Y186" i="130"/>
  <c r="AF43" i="130"/>
  <c r="AE43" i="130"/>
  <c r="Z43" i="130"/>
  <c r="AD43" i="130"/>
  <c r="AC58" i="130"/>
  <c r="AB58" i="130"/>
  <c r="W58" i="130"/>
  <c r="AD65" i="130"/>
  <c r="AC65" i="130"/>
  <c r="Y65" i="130"/>
  <c r="X65" i="130"/>
  <c r="Z73" i="130"/>
  <c r="Y73" i="130"/>
  <c r="U73" i="130"/>
  <c r="AF73" i="130"/>
  <c r="U74" i="130"/>
  <c r="AF74" i="130"/>
  <c r="AB74" i="130"/>
  <c r="AA74" i="130"/>
  <c r="D77" i="130"/>
  <c r="C77" i="130"/>
  <c r="C78" i="130"/>
  <c r="C79" i="130"/>
  <c r="C84" i="130"/>
  <c r="U87" i="130"/>
  <c r="AF92" i="130"/>
  <c r="AF93" i="130"/>
  <c r="C96" i="130"/>
  <c r="U99" i="130"/>
  <c r="AA101" i="130"/>
  <c r="AF104" i="130"/>
  <c r="AF105" i="130"/>
  <c r="AF106" i="130"/>
  <c r="T108" i="130"/>
  <c r="D108" i="130"/>
  <c r="D109" i="130"/>
  <c r="AD111" i="130"/>
  <c r="U113" i="130"/>
  <c r="U115" i="130"/>
  <c r="AF115" i="130"/>
  <c r="AE115" i="130"/>
  <c r="AD115" i="130"/>
  <c r="AC115" i="130"/>
  <c r="AB115" i="130"/>
  <c r="AA115" i="130"/>
  <c r="Z115" i="130"/>
  <c r="AD116" i="130"/>
  <c r="Z122" i="130"/>
  <c r="Y127" i="130"/>
  <c r="AC133" i="130"/>
  <c r="D137" i="130"/>
  <c r="T137" i="130"/>
  <c r="C137" i="130"/>
  <c r="Z138" i="130"/>
  <c r="AA140" i="130"/>
  <c r="U140" i="130"/>
  <c r="AE140" i="130"/>
  <c r="AD140" i="130"/>
  <c r="AC140" i="130"/>
  <c r="AB140" i="130"/>
  <c r="Z140" i="130"/>
  <c r="Y140" i="130"/>
  <c r="X140" i="130"/>
  <c r="W140" i="130"/>
  <c r="AB144" i="130"/>
  <c r="AC150" i="130"/>
  <c r="U199" i="130"/>
  <c r="AE199" i="130"/>
  <c r="AB199" i="130"/>
  <c r="Z199" i="130"/>
  <c r="AF199" i="130"/>
  <c r="AD199" i="130"/>
  <c r="AA199" i="130"/>
  <c r="Y199" i="130"/>
  <c r="X199" i="130"/>
  <c r="W199" i="130"/>
  <c r="V199" i="130"/>
  <c r="AC199" i="130"/>
  <c r="X59" i="130"/>
  <c r="W59" i="130"/>
  <c r="AE59" i="130"/>
  <c r="AD59" i="130"/>
  <c r="AE60" i="130"/>
  <c r="AD60" i="130"/>
  <c r="Z60" i="130"/>
  <c r="Y60" i="130"/>
  <c r="W64" i="130"/>
  <c r="V64" i="130"/>
  <c r="AD64" i="130"/>
  <c r="AC64" i="130"/>
  <c r="AA68" i="130"/>
  <c r="Z68" i="130"/>
  <c r="V68" i="130"/>
  <c r="U68" i="130"/>
  <c r="D76" i="130"/>
  <c r="C76" i="130"/>
  <c r="V85" i="130"/>
  <c r="X87" i="130"/>
  <c r="V97" i="130"/>
  <c r="X99" i="130"/>
  <c r="AB101" i="130"/>
  <c r="W110" i="130"/>
  <c r="AD130" i="130"/>
  <c r="AC130" i="130"/>
  <c r="AB130" i="130"/>
  <c r="AA130" i="130"/>
  <c r="Z130" i="130"/>
  <c r="Y130" i="130"/>
  <c r="X130" i="130"/>
  <c r="W130" i="130"/>
  <c r="AF132" i="130"/>
  <c r="AE132" i="130"/>
  <c r="AD132" i="130"/>
  <c r="AC132" i="130"/>
  <c r="AB132" i="130"/>
  <c r="AA132" i="130"/>
  <c r="Z132" i="130"/>
  <c r="Y132" i="130"/>
  <c r="AD133" i="130"/>
  <c r="AA138" i="130"/>
  <c r="U146" i="130"/>
  <c r="AB146" i="130"/>
  <c r="AA146" i="130"/>
  <c r="AF146" i="130"/>
  <c r="AE146" i="130"/>
  <c r="AD146" i="130"/>
  <c r="AC146" i="130"/>
  <c r="Z146" i="130"/>
  <c r="Y146" i="130"/>
  <c r="W148" i="130"/>
  <c r="AD148" i="130"/>
  <c r="AC148" i="130"/>
  <c r="AF148" i="130"/>
  <c r="AE148" i="130"/>
  <c r="AB148" i="130"/>
  <c r="AA148" i="130"/>
  <c r="Z148" i="130"/>
  <c r="Y148" i="130"/>
  <c r="X148" i="130"/>
  <c r="V148" i="130"/>
  <c r="U168" i="130"/>
  <c r="AB168" i="130"/>
  <c r="AA168" i="130"/>
  <c r="V168" i="130"/>
  <c r="AF168" i="130"/>
  <c r="AE168" i="130"/>
  <c r="AD168" i="130"/>
  <c r="AC168" i="130"/>
  <c r="Z168" i="130"/>
  <c r="Y168" i="130"/>
  <c r="X168" i="130"/>
  <c r="W168" i="130"/>
  <c r="D43" i="130"/>
  <c r="AD45" i="130"/>
  <c r="AA46" i="130"/>
  <c r="AA47" i="130"/>
  <c r="X48" i="130"/>
  <c r="W49" i="130"/>
  <c r="W50" i="130"/>
  <c r="AB51" i="130"/>
  <c r="AA51" i="130"/>
  <c r="V51" i="130"/>
  <c r="Z57" i="130"/>
  <c r="V58" i="130"/>
  <c r="U59" i="130"/>
  <c r="U60" i="130"/>
  <c r="V61" i="130"/>
  <c r="V62" i="130"/>
  <c r="AB63" i="130"/>
  <c r="AA63" i="130"/>
  <c r="W63" i="130"/>
  <c r="V63" i="130"/>
  <c r="U64" i="130"/>
  <c r="V65" i="130"/>
  <c r="V66" i="130"/>
  <c r="V67" i="130"/>
  <c r="W68" i="130"/>
  <c r="V69" i="130"/>
  <c r="U69" i="130"/>
  <c r="AC69" i="130"/>
  <c r="AB69" i="130"/>
  <c r="D73" i="130"/>
  <c r="T77" i="130"/>
  <c r="W85" i="130"/>
  <c r="Y86" i="130"/>
  <c r="Y87" i="130"/>
  <c r="U91" i="130"/>
  <c r="AF91" i="130"/>
  <c r="AE91" i="130"/>
  <c r="AA91" i="130"/>
  <c r="Z91" i="130"/>
  <c r="W97" i="130"/>
  <c r="Y98" i="130"/>
  <c r="Y99" i="130"/>
  <c r="AF101" i="130"/>
  <c r="U103" i="130"/>
  <c r="AF103" i="130"/>
  <c r="AE103" i="130"/>
  <c r="AA103" i="130"/>
  <c r="Z103" i="130"/>
  <c r="C107" i="130"/>
  <c r="V109" i="130"/>
  <c r="X110" i="130"/>
  <c r="AF111" i="130"/>
  <c r="W113" i="130"/>
  <c r="V115" i="130"/>
  <c r="AF116" i="130"/>
  <c r="AC121" i="130"/>
  <c r="U130" i="130"/>
  <c r="AE133" i="130"/>
  <c r="AF140" i="130"/>
  <c r="V146" i="130"/>
  <c r="U148" i="130"/>
  <c r="T151" i="130"/>
  <c r="D151" i="130"/>
  <c r="T162" i="130"/>
  <c r="D162" i="130"/>
  <c r="C162" i="130"/>
  <c r="C168" i="130"/>
  <c r="Y172" i="130"/>
  <c r="X172" i="130"/>
  <c r="W172" i="130"/>
  <c r="AE172" i="130"/>
  <c r="AD172" i="130"/>
  <c r="AF172" i="130"/>
  <c r="AC172" i="130"/>
  <c r="AB172" i="130"/>
  <c r="AA172" i="130"/>
  <c r="AE197" i="130"/>
  <c r="AC197" i="130"/>
  <c r="Z197" i="130"/>
  <c r="AF197" i="130"/>
  <c r="AB197" i="130"/>
  <c r="AA197" i="130"/>
  <c r="Y197" i="130"/>
  <c r="X197" i="130"/>
  <c r="W197" i="130"/>
  <c r="X201" i="130"/>
  <c r="W201" i="130"/>
  <c r="U201" i="130"/>
  <c r="AD201" i="130"/>
  <c r="Z201" i="130"/>
  <c r="AF201" i="130"/>
  <c r="AC201" i="130"/>
  <c r="AB201" i="130"/>
  <c r="AA201" i="130"/>
  <c r="Y201" i="130"/>
  <c r="V201" i="130"/>
  <c r="AB117" i="130"/>
  <c r="AB129" i="130"/>
  <c r="Y139" i="130"/>
  <c r="AB145" i="130"/>
  <c r="D153" i="130"/>
  <c r="C153" i="130"/>
  <c r="D159" i="130"/>
  <c r="C159" i="130"/>
  <c r="AB169" i="130"/>
  <c r="W169" i="130"/>
  <c r="V169" i="130"/>
  <c r="AD169" i="130"/>
  <c r="AC169" i="130"/>
  <c r="AB173" i="130"/>
  <c r="AE178" i="130"/>
  <c r="Z178" i="130"/>
  <c r="Y178" i="130"/>
  <c r="AF178" i="130"/>
  <c r="D180" i="130"/>
  <c r="C180" i="130"/>
  <c r="AA183" i="130"/>
  <c r="AE183" i="130"/>
  <c r="AF183" i="130"/>
  <c r="AD183" i="130"/>
  <c r="AB183" i="130"/>
  <c r="Z183" i="130"/>
  <c r="Y183" i="130"/>
  <c r="X183" i="130"/>
  <c r="Y191" i="130"/>
  <c r="V197" i="130"/>
  <c r="AC117" i="130"/>
  <c r="AC129" i="130"/>
  <c r="AA139" i="130"/>
  <c r="V141" i="130"/>
  <c r="AC141" i="130"/>
  <c r="AB141" i="130"/>
  <c r="D156" i="130"/>
  <c r="C156" i="130"/>
  <c r="AE166" i="130"/>
  <c r="W166" i="130"/>
  <c r="V166" i="130"/>
  <c r="AC166" i="130"/>
  <c r="AB166" i="130"/>
  <c r="AC173" i="130"/>
  <c r="C185" i="130"/>
  <c r="T185" i="130"/>
  <c r="D185" i="130"/>
  <c r="Z188" i="130"/>
  <c r="W188" i="130"/>
  <c r="AE188" i="130"/>
  <c r="AD188" i="130"/>
  <c r="AC188" i="130"/>
  <c r="AA188" i="130"/>
  <c r="Y188" i="130"/>
  <c r="X188" i="130"/>
  <c r="V188" i="130"/>
  <c r="U188" i="130"/>
  <c r="AD197" i="130"/>
  <c r="AD117" i="130"/>
  <c r="AB139" i="130"/>
  <c r="X153" i="130"/>
  <c r="W153" i="130"/>
  <c r="AE153" i="130"/>
  <c r="AD153" i="130"/>
  <c r="AD159" i="130"/>
  <c r="Y159" i="130"/>
  <c r="X159" i="130"/>
  <c r="AF159" i="130"/>
  <c r="AE159" i="130"/>
  <c r="AD173" i="130"/>
  <c r="D177" i="130"/>
  <c r="C177" i="130"/>
  <c r="U180" i="130"/>
  <c r="AE180" i="130"/>
  <c r="AD180" i="130"/>
  <c r="Y180" i="130"/>
  <c r="X180" i="130"/>
  <c r="AE187" i="130"/>
  <c r="AA187" i="130"/>
  <c r="AF187" i="130"/>
  <c r="AC187" i="130"/>
  <c r="AB187" i="130"/>
  <c r="Z187" i="130"/>
  <c r="Y187" i="130"/>
  <c r="X187" i="130"/>
  <c r="C115" i="130"/>
  <c r="AE117" i="130"/>
  <c r="C127" i="130"/>
  <c r="X143" i="130"/>
  <c r="AE143" i="130"/>
  <c r="AD143" i="130"/>
  <c r="Z145" i="130"/>
  <c r="U145" i="130"/>
  <c r="AF145" i="130"/>
  <c r="AE145" i="130"/>
  <c r="U153" i="130"/>
  <c r="U156" i="130"/>
  <c r="Y156" i="130"/>
  <c r="X156" i="130"/>
  <c r="AE156" i="130"/>
  <c r="AD156" i="130"/>
  <c r="U159" i="130"/>
  <c r="V163" i="130"/>
  <c r="W163" i="130"/>
  <c r="U163" i="130"/>
  <c r="AC163" i="130"/>
  <c r="AB163" i="130"/>
  <c r="AB190" i="130"/>
  <c r="AA190" i="130"/>
  <c r="W190" i="130"/>
  <c r="V190" i="130"/>
  <c r="U190" i="130"/>
  <c r="AF190" i="130"/>
  <c r="AE190" i="130"/>
  <c r="AD190" i="130"/>
  <c r="AC190" i="130"/>
  <c r="T214" i="130"/>
  <c r="C214" i="130"/>
  <c r="D214" i="130"/>
  <c r="D115" i="130"/>
  <c r="AF117" i="130"/>
  <c r="C120" i="130"/>
  <c r="D127" i="130"/>
  <c r="AF129" i="130"/>
  <c r="C132" i="130"/>
  <c r="AF139" i="130"/>
  <c r="Z139" i="130"/>
  <c r="AD139" i="130"/>
  <c r="U143" i="130"/>
  <c r="V153" i="130"/>
  <c r="Z155" i="130"/>
  <c r="AB155" i="130"/>
  <c r="V155" i="130"/>
  <c r="U155" i="130"/>
  <c r="V156" i="130"/>
  <c r="W158" i="130"/>
  <c r="AC158" i="130"/>
  <c r="AB158" i="130"/>
  <c r="V158" i="130"/>
  <c r="U158" i="130"/>
  <c r="V159" i="130"/>
  <c r="AF173" i="130"/>
  <c r="U173" i="130"/>
  <c r="AA173" i="130"/>
  <c r="Z173" i="130"/>
  <c r="D176" i="130"/>
  <c r="T177" i="130"/>
  <c r="Z179" i="130"/>
  <c r="V179" i="130"/>
  <c r="U179" i="130"/>
  <c r="AC179" i="130"/>
  <c r="AB179" i="130"/>
  <c r="W182" i="130"/>
  <c r="V182" i="130"/>
  <c r="U182" i="130"/>
  <c r="AE182" i="130"/>
  <c r="AD182" i="130"/>
  <c r="AC182" i="130"/>
  <c r="AB182" i="130"/>
  <c r="T189" i="130"/>
  <c r="D189" i="130"/>
  <c r="X190" i="130"/>
  <c r="Z198" i="130"/>
  <c r="X198" i="130"/>
  <c r="U198" i="130"/>
  <c r="AD198" i="130"/>
  <c r="AF198" i="130"/>
  <c r="AC198" i="130"/>
  <c r="AB198" i="130"/>
  <c r="AA198" i="130"/>
  <c r="Y198" i="130"/>
  <c r="W198" i="130"/>
  <c r="AE202" i="130"/>
  <c r="AD202" i="130"/>
  <c r="AB202" i="130"/>
  <c r="Y202" i="130"/>
  <c r="V202" i="130"/>
  <c r="AF202" i="130"/>
  <c r="AA202" i="130"/>
  <c r="Z202" i="130"/>
  <c r="X202" i="130"/>
  <c r="W202" i="130"/>
  <c r="U202" i="130"/>
  <c r="C113" i="130"/>
  <c r="U117" i="130"/>
  <c r="D120" i="130"/>
  <c r="C125" i="130"/>
  <c r="U129" i="130"/>
  <c r="D132" i="130"/>
  <c r="C139" i="130"/>
  <c r="AE139" i="130"/>
  <c r="Y141" i="130"/>
  <c r="V143" i="130"/>
  <c r="D145" i="130"/>
  <c r="Y153" i="130"/>
  <c r="W155" i="130"/>
  <c r="W156" i="130"/>
  <c r="X158" i="130"/>
  <c r="W159" i="130"/>
  <c r="Y163" i="130"/>
  <c r="Z166" i="130"/>
  <c r="AA169" i="130"/>
  <c r="C173" i="130"/>
  <c r="C175" i="130"/>
  <c r="V178" i="130"/>
  <c r="W179" i="130"/>
  <c r="Z180" i="130"/>
  <c r="X182" i="130"/>
  <c r="U187" i="130"/>
  <c r="C189" i="130"/>
  <c r="Y190" i="130"/>
  <c r="V198" i="130"/>
  <c r="AC202" i="130"/>
  <c r="V117" i="130"/>
  <c r="V129" i="130"/>
  <c r="D139" i="130"/>
  <c r="Z141" i="130"/>
  <c r="W143" i="130"/>
  <c r="Z153" i="130"/>
  <c r="X155" i="130"/>
  <c r="Z156" i="130"/>
  <c r="Y158" i="130"/>
  <c r="Z159" i="130"/>
  <c r="Z163" i="130"/>
  <c r="AA166" i="130"/>
  <c r="AE169" i="130"/>
  <c r="D172" i="130"/>
  <c r="C172" i="130"/>
  <c r="D173" i="130"/>
  <c r="T176" i="130"/>
  <c r="W178" i="130"/>
  <c r="X179" i="130"/>
  <c r="AA180" i="130"/>
  <c r="Y182" i="130"/>
  <c r="V187" i="130"/>
  <c r="Z190" i="130"/>
  <c r="AE198" i="130"/>
  <c r="Y143" i="130"/>
  <c r="V145" i="130"/>
  <c r="AA153" i="130"/>
  <c r="Y155" i="130"/>
  <c r="AA156" i="130"/>
  <c r="Z158" i="130"/>
  <c r="AA159" i="130"/>
  <c r="AA163" i="130"/>
  <c r="T175" i="130"/>
  <c r="Y179" i="130"/>
  <c r="Z182" i="130"/>
  <c r="W187" i="130"/>
  <c r="W191" i="130"/>
  <c r="X191" i="130"/>
  <c r="AF191" i="130"/>
  <c r="AD191" i="130"/>
  <c r="AC191" i="130"/>
  <c r="AB191" i="130"/>
  <c r="AA191" i="130"/>
  <c r="Z191" i="130"/>
  <c r="AA195" i="130"/>
  <c r="X195" i="130"/>
  <c r="V195" i="130"/>
  <c r="Y195" i="130"/>
  <c r="W195" i="130"/>
  <c r="U195" i="130"/>
  <c r="AF195" i="130"/>
  <c r="AE195" i="130"/>
  <c r="AD195" i="130"/>
  <c r="T212" i="130"/>
  <c r="C212" i="130"/>
  <c r="AC231" i="130"/>
  <c r="AA231" i="130"/>
  <c r="X231" i="130"/>
  <c r="V231" i="130"/>
  <c r="AE231" i="130"/>
  <c r="Z231" i="130"/>
  <c r="W231" i="130"/>
  <c r="AF231" i="130"/>
  <c r="AD231" i="130"/>
  <c r="AB231" i="130"/>
  <c r="Y231" i="130"/>
  <c r="U231" i="130"/>
  <c r="U215" i="130"/>
  <c r="AB215" i="130"/>
  <c r="AE215" i="130"/>
  <c r="AD215" i="130"/>
  <c r="AA215" i="130"/>
  <c r="X215" i="130"/>
  <c r="V215" i="130"/>
  <c r="AF215" i="130"/>
  <c r="AC215" i="130"/>
  <c r="T289" i="130"/>
  <c r="D289" i="130"/>
  <c r="C289" i="130"/>
  <c r="V184" i="130"/>
  <c r="AA184" i="130"/>
  <c r="AF194" i="130"/>
  <c r="AC194" i="130"/>
  <c r="Y194" i="130"/>
  <c r="AE194" i="130"/>
  <c r="AC200" i="130"/>
  <c r="AB200" i="130"/>
  <c r="Z200" i="130"/>
  <c r="W200" i="130"/>
  <c r="X200" i="130"/>
  <c r="W215" i="130"/>
  <c r="AA229" i="130"/>
  <c r="V229" i="130"/>
  <c r="AF229" i="130"/>
  <c r="AD229" i="130"/>
  <c r="AC229" i="130"/>
  <c r="Y229" i="130"/>
  <c r="AB229" i="130"/>
  <c r="X229" i="130"/>
  <c r="W229" i="130"/>
  <c r="D238" i="130"/>
  <c r="T238" i="130"/>
  <c r="C238" i="130"/>
  <c r="Y157" i="130"/>
  <c r="W161" i="130"/>
  <c r="AF181" i="130"/>
  <c r="U184" i="130"/>
  <c r="Y193" i="130"/>
  <c r="AC193" i="130"/>
  <c r="C194" i="130"/>
  <c r="U200" i="130"/>
  <c r="AD205" i="130"/>
  <c r="C208" i="130"/>
  <c r="Y215" i="130"/>
  <c r="U229" i="130"/>
  <c r="Z157" i="130"/>
  <c r="W184" i="130"/>
  <c r="U193" i="130"/>
  <c r="D194" i="130"/>
  <c r="V200" i="130"/>
  <c r="D207" i="130"/>
  <c r="C207" i="130"/>
  <c r="Z215" i="130"/>
  <c r="Z229" i="130"/>
  <c r="T247" i="130"/>
  <c r="C247" i="130"/>
  <c r="D247" i="130"/>
  <c r="T265" i="130"/>
  <c r="C265" i="130"/>
  <c r="D265" i="130"/>
  <c r="X184" i="130"/>
  <c r="Y200" i="130"/>
  <c r="T208" i="130"/>
  <c r="AE229" i="130"/>
  <c r="T244" i="130"/>
  <c r="D244" i="130"/>
  <c r="AD254" i="130"/>
  <c r="AE254" i="130"/>
  <c r="U254" i="130"/>
  <c r="AF254" i="130"/>
  <c r="AB254" i="130"/>
  <c r="AC254" i="130"/>
  <c r="AA254" i="130"/>
  <c r="Y254" i="130"/>
  <c r="V254" i="130"/>
  <c r="Y184" i="130"/>
  <c r="U194" i="130"/>
  <c r="AA200" i="130"/>
  <c r="AD207" i="130"/>
  <c r="AC207" i="130"/>
  <c r="AA207" i="130"/>
  <c r="X207" i="130"/>
  <c r="Y207" i="130"/>
  <c r="T213" i="130"/>
  <c r="C213" i="130"/>
  <c r="C222" i="130"/>
  <c r="C244" i="130"/>
  <c r="T260" i="130"/>
  <c r="C260" i="130"/>
  <c r="D260" i="130"/>
  <c r="D266" i="130"/>
  <c r="T266" i="130"/>
  <c r="C266" i="130"/>
  <c r="C271" i="130"/>
  <c r="T271" i="130"/>
  <c r="D271" i="130"/>
  <c r="AB184" i="130"/>
  <c r="D187" i="130"/>
  <c r="D191" i="130"/>
  <c r="W194" i="130"/>
  <c r="AE200" i="130"/>
  <c r="C210" i="130"/>
  <c r="D210" i="130"/>
  <c r="T210" i="130"/>
  <c r="W217" i="130"/>
  <c r="AD217" i="130"/>
  <c r="Y217" i="130"/>
  <c r="X217" i="130"/>
  <c r="U217" i="130"/>
  <c r="AF217" i="130"/>
  <c r="AA217" i="130"/>
  <c r="T222" i="130"/>
  <c r="AF157" i="130"/>
  <c r="AC161" i="130"/>
  <c r="Y181" i="130"/>
  <c r="C183" i="130"/>
  <c r="AC184" i="130"/>
  <c r="D192" i="130"/>
  <c r="T192" i="130"/>
  <c r="X194" i="130"/>
  <c r="C198" i="130"/>
  <c r="AF200" i="130"/>
  <c r="W207" i="130"/>
  <c r="V217" i="130"/>
  <c r="C269" i="130"/>
  <c r="T269" i="130"/>
  <c r="D269" i="130"/>
  <c r="AD184" i="130"/>
  <c r="Z194" i="130"/>
  <c r="AB205" i="130"/>
  <c r="AA205" i="130"/>
  <c r="Y205" i="130"/>
  <c r="V205" i="130"/>
  <c r="W205" i="130"/>
  <c r="Z207" i="130"/>
  <c r="Z217" i="130"/>
  <c r="T223" i="130"/>
  <c r="C223" i="130"/>
  <c r="X248" i="130"/>
  <c r="AD248" i="130"/>
  <c r="Y248" i="130"/>
  <c r="V248" i="130"/>
  <c r="U248" i="130"/>
  <c r="AE248" i="130"/>
  <c r="AC248" i="130"/>
  <c r="AB248" i="130"/>
  <c r="Z248" i="130"/>
  <c r="AC211" i="130"/>
  <c r="X211" i="130"/>
  <c r="AE211" i="130"/>
  <c r="AD211" i="130"/>
  <c r="AA211" i="130"/>
  <c r="W211" i="130"/>
  <c r="AE249" i="130"/>
  <c r="Y249" i="130"/>
  <c r="U249" i="130"/>
  <c r="AF249" i="130"/>
  <c r="AC249" i="130"/>
  <c r="AB249" i="130"/>
  <c r="AA249" i="130"/>
  <c r="Z249" i="130"/>
  <c r="W249" i="130"/>
  <c r="AC304" i="130"/>
  <c r="AD304" i="130"/>
  <c r="AE304" i="130"/>
  <c r="AB304" i="130"/>
  <c r="AA304" i="130"/>
  <c r="Y304" i="130"/>
  <c r="X304" i="130"/>
  <c r="V304" i="130"/>
  <c r="U304" i="130"/>
  <c r="W304" i="130"/>
  <c r="AF304" i="130"/>
  <c r="Z304" i="130"/>
  <c r="T209" i="130"/>
  <c r="D209" i="130"/>
  <c r="U211" i="130"/>
  <c r="AE221" i="130"/>
  <c r="AB221" i="130"/>
  <c r="W221" i="130"/>
  <c r="AD221" i="130"/>
  <c r="AC221" i="130"/>
  <c r="AA221" i="130"/>
  <c r="Y221" i="130"/>
  <c r="U221" i="130"/>
  <c r="Y227" i="130"/>
  <c r="AD227" i="130"/>
  <c r="AA227" i="130"/>
  <c r="X227" i="130"/>
  <c r="AE227" i="130"/>
  <c r="Z227" i="130"/>
  <c r="Z234" i="130"/>
  <c r="AB234" i="130"/>
  <c r="Y234" i="130"/>
  <c r="X234" i="130"/>
  <c r="V234" i="130"/>
  <c r="AE234" i="130"/>
  <c r="AA234" i="130"/>
  <c r="T245" i="130"/>
  <c r="C245" i="130"/>
  <c r="V249" i="130"/>
  <c r="T258" i="130"/>
  <c r="C258" i="130"/>
  <c r="D258" i="130"/>
  <c r="U251" i="130"/>
  <c r="AD251" i="130"/>
  <c r="AC251" i="130"/>
  <c r="AA251" i="130"/>
  <c r="Z251" i="130"/>
  <c r="X251" i="130"/>
  <c r="AE251" i="130"/>
  <c r="W251" i="130"/>
  <c r="Z203" i="130"/>
  <c r="Y203" i="130"/>
  <c r="W203" i="130"/>
  <c r="AF203" i="130"/>
  <c r="T204" i="130"/>
  <c r="D204" i="130"/>
  <c r="T206" i="130"/>
  <c r="C206" i="130"/>
  <c r="Y211" i="130"/>
  <c r="D217" i="130"/>
  <c r="C217" i="130"/>
  <c r="T218" i="130"/>
  <c r="X221" i="130"/>
  <c r="AD226" i="130"/>
  <c r="U226" i="130"/>
  <c r="AE226" i="130"/>
  <c r="AB226" i="130"/>
  <c r="AC226" i="130"/>
  <c r="Y226" i="130"/>
  <c r="V227" i="130"/>
  <c r="AE233" i="130"/>
  <c r="AF233" i="130"/>
  <c r="AC233" i="130"/>
  <c r="AB233" i="130"/>
  <c r="Z233" i="130"/>
  <c r="AA233" i="130"/>
  <c r="W233" i="130"/>
  <c r="W234" i="130"/>
  <c r="AD249" i="130"/>
  <c r="V251" i="130"/>
  <c r="D287" i="130"/>
  <c r="C287" i="130"/>
  <c r="T287" i="130"/>
  <c r="Y251" i="130"/>
  <c r="AA275" i="130"/>
  <c r="AE275" i="130"/>
  <c r="AD275" i="130"/>
  <c r="X275" i="130"/>
  <c r="AF275" i="130"/>
  <c r="AC275" i="130"/>
  <c r="AB275" i="130"/>
  <c r="Y275" i="130"/>
  <c r="Z275" i="130"/>
  <c r="W275" i="130"/>
  <c r="V275" i="130"/>
  <c r="U275" i="130"/>
  <c r="AB285" i="130"/>
  <c r="Z285" i="130"/>
  <c r="AE285" i="130"/>
  <c r="AD285" i="130"/>
  <c r="X285" i="130"/>
  <c r="W285" i="130"/>
  <c r="V285" i="130"/>
  <c r="AF285" i="130"/>
  <c r="AA285" i="130"/>
  <c r="AC285" i="130"/>
  <c r="Y285" i="130"/>
  <c r="U285" i="130"/>
  <c r="AB264" i="130"/>
  <c r="AC264" i="130"/>
  <c r="AE264" i="130"/>
  <c r="AA264" i="130"/>
  <c r="Z264" i="130"/>
  <c r="X264" i="130"/>
  <c r="W264" i="130"/>
  <c r="V264" i="130"/>
  <c r="U264" i="130"/>
  <c r="V203" i="130"/>
  <c r="AA226" i="130"/>
  <c r="V230" i="130"/>
  <c r="AE230" i="130"/>
  <c r="AB230" i="130"/>
  <c r="Z230" i="130"/>
  <c r="AD230" i="130"/>
  <c r="Y230" i="130"/>
  <c r="AD233" i="130"/>
  <c r="AB236" i="130"/>
  <c r="AF236" i="130"/>
  <c r="AD236" i="130"/>
  <c r="AC236" i="130"/>
  <c r="Z236" i="130"/>
  <c r="AE236" i="130"/>
  <c r="X236" i="130"/>
  <c r="Y264" i="130"/>
  <c r="AE261" i="130"/>
  <c r="AB261" i="130"/>
  <c r="Z261" i="130"/>
  <c r="X261" i="130"/>
  <c r="W261" i="130"/>
  <c r="U261" i="130"/>
  <c r="AD261" i="130"/>
  <c r="AC261" i="130"/>
  <c r="Y261" i="130"/>
  <c r="AD264" i="130"/>
  <c r="AB270" i="130"/>
  <c r="W270" i="130"/>
  <c r="AE270" i="130"/>
  <c r="AC270" i="130"/>
  <c r="Z270" i="130"/>
  <c r="Y270" i="130"/>
  <c r="V270" i="130"/>
  <c r="Y273" i="130"/>
  <c r="Z273" i="130"/>
  <c r="X273" i="130"/>
  <c r="AF273" i="130"/>
  <c r="AD273" i="130"/>
  <c r="AC273" i="130"/>
  <c r="AB273" i="130"/>
  <c r="AA273" i="130"/>
  <c r="W273" i="130"/>
  <c r="U273" i="130"/>
  <c r="D284" i="130"/>
  <c r="T284" i="130"/>
  <c r="T324" i="130"/>
  <c r="D324" i="130"/>
  <c r="C324" i="130"/>
  <c r="AB216" i="130"/>
  <c r="W216" i="130"/>
  <c r="Y220" i="130"/>
  <c r="AA225" i="130"/>
  <c r="Z250" i="130"/>
  <c r="U250" i="130"/>
  <c r="AF250" i="130"/>
  <c r="AD250" i="130"/>
  <c r="AC250" i="130"/>
  <c r="AA250" i="130"/>
  <c r="AA257" i="130"/>
  <c r="AF257" i="130"/>
  <c r="Y257" i="130"/>
  <c r="W257" i="130"/>
  <c r="V257" i="130"/>
  <c r="X270" i="130"/>
  <c r="V273" i="130"/>
  <c r="C284" i="130"/>
  <c r="AE273" i="130"/>
  <c r="D299" i="130"/>
  <c r="T299" i="130"/>
  <c r="AF256" i="130"/>
  <c r="W256" i="130"/>
  <c r="AC256" i="130"/>
  <c r="AA256" i="130"/>
  <c r="Z256" i="130"/>
  <c r="X256" i="130"/>
  <c r="AD270" i="130"/>
  <c r="AF274" i="130"/>
  <c r="V274" i="130"/>
  <c r="U274" i="130"/>
  <c r="AB274" i="130"/>
  <c r="AD274" i="130"/>
  <c r="AE274" i="130"/>
  <c r="AC274" i="130"/>
  <c r="AA274" i="130"/>
  <c r="Z274" i="130"/>
  <c r="X274" i="130"/>
  <c r="AC277" i="130"/>
  <c r="W277" i="130"/>
  <c r="V277" i="130"/>
  <c r="AE277" i="130"/>
  <c r="AD277" i="130"/>
  <c r="AF277" i="130"/>
  <c r="AA277" i="130"/>
  <c r="D281" i="130"/>
  <c r="T281" i="130"/>
  <c r="C281" i="130"/>
  <c r="C299" i="130"/>
  <c r="X216" i="130"/>
  <c r="Y219" i="130"/>
  <c r="AF219" i="130"/>
  <c r="AD219" i="130"/>
  <c r="T239" i="130"/>
  <c r="D239" i="130"/>
  <c r="C239" i="130"/>
  <c r="AA241" i="130"/>
  <c r="Y241" i="130"/>
  <c r="W241" i="130"/>
  <c r="V241" i="130"/>
  <c r="C243" i="130"/>
  <c r="D243" i="130"/>
  <c r="Z246" i="130"/>
  <c r="AE246" i="130"/>
  <c r="AC246" i="130"/>
  <c r="AB246" i="130"/>
  <c r="Y246" i="130"/>
  <c r="X250" i="130"/>
  <c r="C256" i="130"/>
  <c r="T263" i="130"/>
  <c r="D263" i="130"/>
  <c r="C263" i="130"/>
  <c r="AF270" i="130"/>
  <c r="AD272" i="130"/>
  <c r="AC272" i="130"/>
  <c r="AB272" i="130"/>
  <c r="W272" i="130"/>
  <c r="AF272" i="130"/>
  <c r="AA272" i="130"/>
  <c r="Y272" i="130"/>
  <c r="X272" i="130"/>
  <c r="U272" i="130"/>
  <c r="C274" i="130"/>
  <c r="U277" i="130"/>
  <c r="Y288" i="130"/>
  <c r="AB288" i="130"/>
  <c r="U288" i="130"/>
  <c r="AD288" i="130"/>
  <c r="AC288" i="130"/>
  <c r="AF288" i="130"/>
  <c r="Z288" i="130"/>
  <c r="X288" i="130"/>
  <c r="W288" i="130"/>
  <c r="V288" i="130"/>
  <c r="X293" i="130"/>
  <c r="V293" i="130"/>
  <c r="U293" i="130"/>
  <c r="Y293" i="130"/>
  <c r="W293" i="130"/>
  <c r="AF293" i="130"/>
  <c r="AE293" i="130"/>
  <c r="AA293" i="130"/>
  <c r="Z293" i="130"/>
  <c r="AC293" i="130"/>
  <c r="X220" i="130"/>
  <c r="AB220" i="130"/>
  <c r="AE220" i="130"/>
  <c r="AB224" i="130"/>
  <c r="AC224" i="130"/>
  <c r="W224" i="130"/>
  <c r="AF228" i="130"/>
  <c r="Z228" i="130"/>
  <c r="W228" i="130"/>
  <c r="U228" i="130"/>
  <c r="T232" i="130"/>
  <c r="D232" i="130"/>
  <c r="T235" i="130"/>
  <c r="D235" i="130"/>
  <c r="D241" i="130"/>
  <c r="T243" i="130"/>
  <c r="V246" i="130"/>
  <c r="AB250" i="130"/>
  <c r="X257" i="130"/>
  <c r="T262" i="130"/>
  <c r="D262" i="130"/>
  <c r="Z272" i="130"/>
  <c r="Y277" i="130"/>
  <c r="AB293" i="130"/>
  <c r="AA216" i="130"/>
  <c r="C220" i="130"/>
  <c r="AF220" i="130"/>
  <c r="U224" i="130"/>
  <c r="AE250" i="130"/>
  <c r="U256" i="130"/>
  <c r="Z257" i="130"/>
  <c r="AE272" i="130"/>
  <c r="W274" i="130"/>
  <c r="Z277" i="130"/>
  <c r="AD293" i="130"/>
  <c r="W225" i="130"/>
  <c r="Y225" i="130"/>
  <c r="AF225" i="130"/>
  <c r="V242" i="130"/>
  <c r="U242" i="130"/>
  <c r="AF242" i="130"/>
  <c r="AE242" i="130"/>
  <c r="AC242" i="130"/>
  <c r="T253" i="130"/>
  <c r="C253" i="130"/>
  <c r="Y255" i="130"/>
  <c r="AA255" i="130"/>
  <c r="AF255" i="130"/>
  <c r="AD255" i="130"/>
  <c r="AC255" i="130"/>
  <c r="Z255" i="130"/>
  <c r="V256" i="130"/>
  <c r="Y274" i="130"/>
  <c r="AB277" i="130"/>
  <c r="D283" i="130"/>
  <c r="C283" i="130"/>
  <c r="T283" i="130"/>
  <c r="AA288" i="130"/>
  <c r="D294" i="130"/>
  <c r="C294" i="130"/>
  <c r="T294" i="130"/>
  <c r="D275" i="130"/>
  <c r="C275" i="130"/>
  <c r="AB309" i="130"/>
  <c r="U309" i="130"/>
  <c r="AC309" i="130"/>
  <c r="AA309" i="130"/>
  <c r="AF309" i="130"/>
  <c r="AE309" i="130"/>
  <c r="Z309" i="130"/>
  <c r="X309" i="130"/>
  <c r="W309" i="130"/>
  <c r="AD309" i="130"/>
  <c r="V309" i="130"/>
  <c r="AB252" i="130"/>
  <c r="Y252" i="130"/>
  <c r="AB276" i="130"/>
  <c r="U296" i="130"/>
  <c r="W296" i="130"/>
  <c r="V296" i="130"/>
  <c r="AF296" i="130"/>
  <c r="AB296" i="130"/>
  <c r="AA296" i="130"/>
  <c r="AE296" i="130"/>
  <c r="Y309" i="130"/>
  <c r="AA334" i="130"/>
  <c r="W334" i="130"/>
  <c r="V334" i="130"/>
  <c r="U334" i="130"/>
  <c r="X334" i="130"/>
  <c r="AE334" i="130"/>
  <c r="AB334" i="130"/>
  <c r="AD334" i="130"/>
  <c r="AC334" i="130"/>
  <c r="Z334" i="130"/>
  <c r="Y334" i="130"/>
  <c r="D254" i="130"/>
  <c r="C254" i="130"/>
  <c r="AF268" i="130"/>
  <c r="Z268" i="130"/>
  <c r="AD268" i="130"/>
  <c r="AD276" i="130"/>
  <c r="AB282" i="130"/>
  <c r="AA282" i="130"/>
  <c r="Z282" i="130"/>
  <c r="V282" i="130"/>
  <c r="U282" i="130"/>
  <c r="Y296" i="130"/>
  <c r="AF334" i="130"/>
  <c r="Y267" i="130"/>
  <c r="AD267" i="130"/>
  <c r="Z280" i="130"/>
  <c r="W280" i="130"/>
  <c r="V280" i="130"/>
  <c r="AE280" i="130"/>
  <c r="AD280" i="130"/>
  <c r="W286" i="130"/>
  <c r="V286" i="130"/>
  <c r="AB286" i="130"/>
  <c r="AA286" i="130"/>
  <c r="U286" i="130"/>
  <c r="AC286" i="130"/>
  <c r="Z296" i="130"/>
  <c r="D300" i="130"/>
  <c r="C300" i="130"/>
  <c r="D308" i="130"/>
  <c r="C308" i="130"/>
  <c r="T308" i="130"/>
  <c r="V276" i="130"/>
  <c r="AA276" i="130"/>
  <c r="Z276" i="130"/>
  <c r="AE276" i="130"/>
  <c r="AC296" i="130"/>
  <c r="T298" i="130"/>
  <c r="D298" i="130"/>
  <c r="C298" i="130"/>
  <c r="AC240" i="130"/>
  <c r="Z252" i="130"/>
  <c r="T259" i="130"/>
  <c r="V267" i="130"/>
  <c r="C276" i="130"/>
  <c r="T278" i="130"/>
  <c r="AE279" i="130"/>
  <c r="AA279" i="130"/>
  <c r="Z279" i="130"/>
  <c r="V279" i="130"/>
  <c r="U279" i="130"/>
  <c r="X280" i="130"/>
  <c r="Y282" i="130"/>
  <c r="D286" i="130"/>
  <c r="AD296" i="130"/>
  <c r="Y300" i="130"/>
  <c r="AF300" i="130"/>
  <c r="AE300" i="130"/>
  <c r="X300" i="130"/>
  <c r="W300" i="130"/>
  <c r="AD300" i="130"/>
  <c r="AB300" i="130"/>
  <c r="AA300" i="130"/>
  <c r="Z300" i="130"/>
  <c r="AD311" i="130"/>
  <c r="Z311" i="130"/>
  <c r="W311" i="130"/>
  <c r="V311" i="130"/>
  <c r="AF311" i="130"/>
  <c r="AE311" i="130"/>
  <c r="AB311" i="130"/>
  <c r="Y311" i="130"/>
  <c r="X311" i="130"/>
  <c r="AC311" i="130"/>
  <c r="U311" i="130"/>
  <c r="AE306" i="130"/>
  <c r="U306" i="130"/>
  <c r="X306" i="130"/>
  <c r="W306" i="130"/>
  <c r="AF306" i="130"/>
  <c r="AD306" i="130"/>
  <c r="AB306" i="130"/>
  <c r="Z306" i="130"/>
  <c r="Y306" i="130"/>
  <c r="AB321" i="130"/>
  <c r="AA321" i="130"/>
  <c r="Z321" i="130"/>
  <c r="AE321" i="130"/>
  <c r="AC321" i="130"/>
  <c r="Y321" i="130"/>
  <c r="AF321" i="130"/>
  <c r="AD321" i="130"/>
  <c r="X321" i="130"/>
  <c r="W321" i="130"/>
  <c r="V306" i="130"/>
  <c r="C310" i="130"/>
  <c r="D310" i="130"/>
  <c r="U321" i="130"/>
  <c r="AC360" i="130"/>
  <c r="Y360" i="130"/>
  <c r="X360" i="130"/>
  <c r="W360" i="130"/>
  <c r="V360" i="130"/>
  <c r="AF360" i="130"/>
  <c r="AB360" i="130"/>
  <c r="AE360" i="130"/>
  <c r="AD360" i="130"/>
  <c r="AA360" i="130"/>
  <c r="Z360" i="130"/>
  <c r="U360" i="130"/>
  <c r="X295" i="130"/>
  <c r="X305" i="130"/>
  <c r="Z305" i="130"/>
  <c r="AB305" i="130"/>
  <c r="AA305" i="130"/>
  <c r="AF305" i="130"/>
  <c r="AD305" i="130"/>
  <c r="Y305" i="130"/>
  <c r="W305" i="130"/>
  <c r="AC306" i="130"/>
  <c r="T310" i="130"/>
  <c r="C322" i="130"/>
  <c r="T322" i="130"/>
  <c r="D322" i="130"/>
  <c r="AB295" i="130"/>
  <c r="U305" i="130"/>
  <c r="C307" i="130"/>
  <c r="T307" i="130"/>
  <c r="D307" i="130"/>
  <c r="D329" i="130"/>
  <c r="T329" i="130"/>
  <c r="D280" i="130"/>
  <c r="C280" i="130"/>
  <c r="C292" i="130"/>
  <c r="D292" i="130"/>
  <c r="V305" i="130"/>
  <c r="C329" i="130"/>
  <c r="C319" i="130"/>
  <c r="T319" i="130"/>
  <c r="AA326" i="130"/>
  <c r="Z326" i="130"/>
  <c r="Y326" i="130"/>
  <c r="AB326" i="130"/>
  <c r="AE326" i="130"/>
  <c r="AC326" i="130"/>
  <c r="X326" i="130"/>
  <c r="U326" i="130"/>
  <c r="AF326" i="130"/>
  <c r="AD326" i="130"/>
  <c r="AE338" i="130"/>
  <c r="AA338" i="130"/>
  <c r="Z338" i="130"/>
  <c r="Y338" i="130"/>
  <c r="V338" i="130"/>
  <c r="AF338" i="130"/>
  <c r="AB338" i="130"/>
  <c r="X338" i="130"/>
  <c r="AD338" i="130"/>
  <c r="AC338" i="130"/>
  <c r="W338" i="130"/>
  <c r="U338" i="130"/>
  <c r="AC292" i="130"/>
  <c r="Z292" i="130"/>
  <c r="Y292" i="130"/>
  <c r="X292" i="130"/>
  <c r="W292" i="130"/>
  <c r="D296" i="130"/>
  <c r="C296" i="130"/>
  <c r="D311" i="130"/>
  <c r="C311" i="130"/>
  <c r="D319" i="130"/>
  <c r="U292" i="130"/>
  <c r="Z295" i="130"/>
  <c r="AA295" i="130"/>
  <c r="Y295" i="130"/>
  <c r="AD295" i="130"/>
  <c r="AC295" i="130"/>
  <c r="AB297" i="130"/>
  <c r="AE297" i="130"/>
  <c r="AD297" i="130"/>
  <c r="AC297" i="130"/>
  <c r="AA297" i="130"/>
  <c r="W297" i="130"/>
  <c r="V297" i="130"/>
  <c r="V326" i="130"/>
  <c r="U340" i="130"/>
  <c r="AC340" i="130"/>
  <c r="AB340" i="130"/>
  <c r="AA340" i="130"/>
  <c r="W340" i="130"/>
  <c r="AF340" i="130"/>
  <c r="Z340" i="130"/>
  <c r="AE340" i="130"/>
  <c r="AD340" i="130"/>
  <c r="Y340" i="130"/>
  <c r="X340" i="130"/>
  <c r="AF301" i="130"/>
  <c r="AB301" i="130"/>
  <c r="AA301" i="130"/>
  <c r="AE301" i="130"/>
  <c r="AD302" i="130"/>
  <c r="AA303" i="130"/>
  <c r="W312" i="130"/>
  <c r="AA314" i="130"/>
  <c r="Z314" i="130"/>
  <c r="Y314" i="130"/>
  <c r="AE314" i="130"/>
  <c r="AF314" i="130"/>
  <c r="AD314" i="130"/>
  <c r="Y316" i="130"/>
  <c r="AC331" i="130"/>
  <c r="V340" i="130"/>
  <c r="U352" i="130"/>
  <c r="AC352" i="130"/>
  <c r="AB352" i="130"/>
  <c r="AA352" i="130"/>
  <c r="W352" i="130"/>
  <c r="AF352" i="130"/>
  <c r="Z352" i="130"/>
  <c r="AE352" i="130"/>
  <c r="AD352" i="130"/>
  <c r="Y352" i="130"/>
  <c r="X352" i="130"/>
  <c r="V352" i="130"/>
  <c r="V291" i="130"/>
  <c r="AD291" i="130"/>
  <c r="AC291" i="130"/>
  <c r="C301" i="130"/>
  <c r="X312" i="130"/>
  <c r="U314" i="130"/>
  <c r="V327" i="130"/>
  <c r="U327" i="130"/>
  <c r="AF327" i="130"/>
  <c r="Z327" i="130"/>
  <c r="AD327" i="130"/>
  <c r="AB327" i="130"/>
  <c r="AA327" i="130"/>
  <c r="D355" i="130"/>
  <c r="T355" i="130"/>
  <c r="C355" i="130"/>
  <c r="AE318" i="130"/>
  <c r="AD318" i="130"/>
  <c r="AC318" i="130"/>
  <c r="X318" i="130"/>
  <c r="AF318" i="130"/>
  <c r="AB318" i="130"/>
  <c r="AA346" i="130"/>
  <c r="W346" i="130"/>
  <c r="V346" i="130"/>
  <c r="U346" i="130"/>
  <c r="X346" i="130"/>
  <c r="AE346" i="130"/>
  <c r="AB346" i="130"/>
  <c r="AC346" i="130"/>
  <c r="Z346" i="130"/>
  <c r="Y346" i="130"/>
  <c r="V303" i="130"/>
  <c r="AF303" i="130"/>
  <c r="AD303" i="130"/>
  <c r="AA312" i="130"/>
  <c r="D317" i="130"/>
  <c r="U318" i="130"/>
  <c r="AD323" i="130"/>
  <c r="AC323" i="130"/>
  <c r="AB323" i="130"/>
  <c r="AF323" i="130"/>
  <c r="AE323" i="130"/>
  <c r="Z323" i="130"/>
  <c r="Y323" i="130"/>
  <c r="T339" i="130"/>
  <c r="D339" i="130"/>
  <c r="AD346" i="130"/>
  <c r="D343" i="130"/>
  <c r="T343" i="130"/>
  <c r="AC348" i="130"/>
  <c r="Y348" i="130"/>
  <c r="X348" i="130"/>
  <c r="W348" i="130"/>
  <c r="V348" i="130"/>
  <c r="AF348" i="130"/>
  <c r="AB348" i="130"/>
  <c r="AE348" i="130"/>
  <c r="AD348" i="130"/>
  <c r="AA348" i="130"/>
  <c r="Z348" i="130"/>
  <c r="Y291" i="130"/>
  <c r="AA302" i="130"/>
  <c r="X302" i="130"/>
  <c r="W302" i="130"/>
  <c r="D303" i="130"/>
  <c r="AC312" i="130"/>
  <c r="T317" i="130"/>
  <c r="W318" i="130"/>
  <c r="V323" i="130"/>
  <c r="D326" i="130"/>
  <c r="C336" i="130"/>
  <c r="D336" i="130"/>
  <c r="AB341" i="130"/>
  <c r="X341" i="130"/>
  <c r="W341" i="130"/>
  <c r="V341" i="130"/>
  <c r="U341" i="130"/>
  <c r="AE341" i="130"/>
  <c r="AA341" i="130"/>
  <c r="AF341" i="130"/>
  <c r="AD341" i="130"/>
  <c r="C343" i="130"/>
  <c r="U348" i="130"/>
  <c r="AD290" i="130"/>
  <c r="Z291" i="130"/>
  <c r="W301" i="130"/>
  <c r="U302" i="130"/>
  <c r="AC314" i="130"/>
  <c r="Y318" i="130"/>
  <c r="W323" i="130"/>
  <c r="X327" i="130"/>
  <c r="Y341" i="130"/>
  <c r="Y312" i="130"/>
  <c r="V312" i="130"/>
  <c r="AE312" i="130"/>
  <c r="T315" i="130"/>
  <c r="C315" i="130"/>
  <c r="AC316" i="130"/>
  <c r="AB316" i="130"/>
  <c r="AA316" i="130"/>
  <c r="Z316" i="130"/>
  <c r="AF316" i="130"/>
  <c r="AE316" i="130"/>
  <c r="Z318" i="130"/>
  <c r="X323" i="130"/>
  <c r="T325" i="130"/>
  <c r="D325" i="130"/>
  <c r="Y327" i="130"/>
  <c r="Z331" i="130"/>
  <c r="Y331" i="130"/>
  <c r="X331" i="130"/>
  <c r="AB331" i="130"/>
  <c r="AE331" i="130"/>
  <c r="AF331" i="130"/>
  <c r="T336" i="130"/>
  <c r="Z341" i="130"/>
  <c r="T351" i="130"/>
  <c r="D351" i="130"/>
  <c r="C351" i="130"/>
  <c r="C312" i="130"/>
  <c r="AF312" i="130"/>
  <c r="D315" i="130"/>
  <c r="U316" i="130"/>
  <c r="AA318" i="130"/>
  <c r="AA323" i="130"/>
  <c r="C325" i="130"/>
  <c r="AC327" i="130"/>
  <c r="AE330" i="130"/>
  <c r="AD330" i="130"/>
  <c r="AC330" i="130"/>
  <c r="AA330" i="130"/>
  <c r="U330" i="130"/>
  <c r="AF330" i="130"/>
  <c r="U331" i="130"/>
  <c r="AC341" i="130"/>
  <c r="T313" i="130"/>
  <c r="D313" i="130"/>
  <c r="AB320" i="130"/>
  <c r="V335" i="130"/>
  <c r="AD335" i="130"/>
  <c r="AC335" i="130"/>
  <c r="AB335" i="130"/>
  <c r="W335" i="130"/>
  <c r="AF335" i="130"/>
  <c r="Z335" i="130"/>
  <c r="X344" i="130"/>
  <c r="AC353" i="130"/>
  <c r="AC357" i="130"/>
  <c r="Z363" i="130"/>
  <c r="V363" i="130"/>
  <c r="U363" i="130"/>
  <c r="AF363" i="130"/>
  <c r="X363" i="130"/>
  <c r="AE363" i="130"/>
  <c r="AB363" i="130"/>
  <c r="C313" i="130"/>
  <c r="T332" i="130"/>
  <c r="C332" i="130"/>
  <c r="U335" i="130"/>
  <c r="Z344" i="130"/>
  <c r="V347" i="130"/>
  <c r="AD347" i="130"/>
  <c r="AC347" i="130"/>
  <c r="AB347" i="130"/>
  <c r="W347" i="130"/>
  <c r="AF347" i="130"/>
  <c r="Z347" i="130"/>
  <c r="AD353" i="130"/>
  <c r="X356" i="130"/>
  <c r="D342" i="130"/>
  <c r="C342" i="130"/>
  <c r="AB344" i="130"/>
  <c r="V359" i="130"/>
  <c r="AD359" i="130"/>
  <c r="AC359" i="130"/>
  <c r="AB359" i="130"/>
  <c r="W359" i="130"/>
  <c r="AF359" i="130"/>
  <c r="Z359" i="130"/>
  <c r="D363" i="130"/>
  <c r="D318" i="130"/>
  <c r="C318" i="130"/>
  <c r="U320" i="130"/>
  <c r="AF320" i="130"/>
  <c r="AE320" i="130"/>
  <c r="V320" i="130"/>
  <c r="T337" i="130"/>
  <c r="D337" i="130"/>
  <c r="D354" i="130"/>
  <c r="C354" i="130"/>
  <c r="W342" i="130"/>
  <c r="AE342" i="130"/>
  <c r="AD342" i="130"/>
  <c r="AC342" i="130"/>
  <c r="V342" i="130"/>
  <c r="AF342" i="130"/>
  <c r="Z342" i="130"/>
  <c r="AF345" i="130"/>
  <c r="AB345" i="130"/>
  <c r="AA345" i="130"/>
  <c r="Z345" i="130"/>
  <c r="V345" i="130"/>
  <c r="AE345" i="130"/>
  <c r="Y345" i="130"/>
  <c r="T349" i="130"/>
  <c r="D349" i="130"/>
  <c r="W363" i="130"/>
  <c r="D366" i="130"/>
  <c r="C366" i="130"/>
  <c r="T366" i="130"/>
  <c r="AE350" i="130"/>
  <c r="AA350" i="130"/>
  <c r="Z350" i="130"/>
  <c r="Y350" i="130"/>
  <c r="V350" i="130"/>
  <c r="AF350" i="130"/>
  <c r="AB350" i="130"/>
  <c r="W354" i="130"/>
  <c r="AE354" i="130"/>
  <c r="AD354" i="130"/>
  <c r="AC354" i="130"/>
  <c r="V354" i="130"/>
  <c r="AF354" i="130"/>
  <c r="Z354" i="130"/>
  <c r="AF357" i="130"/>
  <c r="AB357" i="130"/>
  <c r="AA357" i="130"/>
  <c r="Z357" i="130"/>
  <c r="V357" i="130"/>
  <c r="AE357" i="130"/>
  <c r="Y357" i="130"/>
  <c r="Y359" i="130"/>
  <c r="T361" i="130"/>
  <c r="D361" i="130"/>
  <c r="Y363" i="130"/>
  <c r="U350" i="130"/>
  <c r="U354" i="130"/>
  <c r="AA358" i="130"/>
  <c r="W358" i="130"/>
  <c r="V358" i="130"/>
  <c r="U358" i="130"/>
  <c r="X358" i="130"/>
  <c r="AE358" i="130"/>
  <c r="AB358" i="130"/>
  <c r="AE362" i="130"/>
  <c r="AA362" i="130"/>
  <c r="Z362" i="130"/>
  <c r="Y362" i="130"/>
  <c r="V362" i="130"/>
  <c r="AF362" i="130"/>
  <c r="AB362" i="130"/>
  <c r="AA363" i="130"/>
  <c r="Y342" i="130"/>
  <c r="Y344" i="130"/>
  <c r="U344" i="130"/>
  <c r="AF344" i="130"/>
  <c r="AE344" i="130"/>
  <c r="W344" i="130"/>
  <c r="AD344" i="130"/>
  <c r="AA344" i="130"/>
  <c r="W350" i="130"/>
  <c r="X354" i="130"/>
  <c r="Y358" i="130"/>
  <c r="AE359" i="130"/>
  <c r="U362" i="130"/>
  <c r="AC363" i="130"/>
  <c r="X350" i="130"/>
  <c r="Y354" i="130"/>
  <c r="Y356" i="130"/>
  <c r="U356" i="130"/>
  <c r="AF356" i="130"/>
  <c r="AE356" i="130"/>
  <c r="W356" i="130"/>
  <c r="AD356" i="130"/>
  <c r="AA356" i="130"/>
  <c r="Z358" i="130"/>
  <c r="W362" i="130"/>
  <c r="AD363" i="130"/>
  <c r="AB353" i="130"/>
  <c r="X353" i="130"/>
  <c r="W353" i="130"/>
  <c r="V353" i="130"/>
  <c r="U353" i="130"/>
  <c r="AE353" i="130"/>
  <c r="AA353" i="130"/>
  <c r="AC358" i="130"/>
  <c r="X362" i="130"/>
  <c r="AD370" i="130"/>
  <c r="AC370" i="130"/>
  <c r="AB370" i="130"/>
  <c r="AA370" i="130"/>
  <c r="Z370" i="130"/>
  <c r="Y370" i="130"/>
  <c r="X370" i="130"/>
  <c r="W370" i="130"/>
  <c r="V370" i="130"/>
  <c r="U370" i="130"/>
  <c r="AC328" i="130"/>
  <c r="AB328" i="130"/>
  <c r="AA328" i="130"/>
  <c r="D330" i="130"/>
  <c r="C330" i="130"/>
  <c r="AE370" i="130"/>
  <c r="V369" i="130"/>
  <c r="U369" i="130"/>
  <c r="AF369" i="130"/>
  <c r="AE369" i="130"/>
  <c r="AD369" i="130"/>
  <c r="AC369" i="130"/>
  <c r="AB369" i="130"/>
  <c r="AA369" i="130"/>
  <c r="Z369" i="130"/>
  <c r="AF370" i="130"/>
  <c r="Y371" i="130"/>
  <c r="X371" i="130"/>
  <c r="W371" i="130"/>
  <c r="V371" i="130"/>
  <c r="U371" i="130"/>
  <c r="AF371" i="130"/>
  <c r="AE371" i="130"/>
  <c r="AD371" i="130"/>
  <c r="AC371" i="130"/>
  <c r="AB371" i="130"/>
  <c r="W328" i="130"/>
  <c r="AA368" i="130"/>
  <c r="Z368" i="130"/>
  <c r="Y368" i="130"/>
  <c r="X368" i="130"/>
  <c r="U368" i="130"/>
  <c r="AF368" i="130"/>
  <c r="AE368" i="130"/>
  <c r="Z371" i="130"/>
  <c r="W369" i="130"/>
  <c r="AA371" i="130"/>
  <c r="AF372" i="130"/>
  <c r="AE372" i="130"/>
  <c r="AD372" i="130"/>
  <c r="AC372" i="130"/>
  <c r="AB372" i="130"/>
  <c r="AA372" i="130"/>
  <c r="Z372" i="130"/>
  <c r="Y372" i="130"/>
  <c r="X372" i="130"/>
  <c r="W372" i="130"/>
  <c r="AD365" i="130"/>
  <c r="AC365" i="130"/>
  <c r="AB365" i="130"/>
  <c r="AA365" i="130"/>
  <c r="X365" i="130"/>
  <c r="W365" i="130"/>
  <c r="V365" i="130"/>
  <c r="Y369" i="130"/>
  <c r="U372" i="130"/>
  <c r="AF328" i="130"/>
  <c r="Y365" i="130"/>
  <c r="T367" i="130"/>
  <c r="D367" i="130"/>
  <c r="C367" i="130"/>
  <c r="W368" i="130"/>
  <c r="V372" i="130"/>
  <c r="Z333" i="130"/>
  <c r="AA364" i="130"/>
  <c r="C323" i="130"/>
  <c r="AA333" i="130"/>
  <c r="C335" i="130"/>
  <c r="C347" i="130"/>
  <c r="C359" i="130"/>
  <c r="AB364" i="130"/>
  <c r="C371" i="130"/>
  <c r="AB333" i="130"/>
  <c r="AC364" i="130"/>
  <c r="D371" i="130"/>
  <c r="AF364" i="130"/>
  <c r="C372" i="130"/>
  <c r="D372" i="130"/>
  <c r="X337" i="130" l="1"/>
  <c r="AF337" i="130"/>
  <c r="AE337" i="130"/>
  <c r="AD337" i="130"/>
  <c r="W337" i="130"/>
  <c r="AA337" i="130"/>
  <c r="V337" i="130"/>
  <c r="AC337" i="130"/>
  <c r="Z337" i="130"/>
  <c r="Y337" i="130"/>
  <c r="U337" i="130"/>
  <c r="AB337" i="130"/>
  <c r="AC336" i="130"/>
  <c r="Y336" i="130"/>
  <c r="X336" i="130"/>
  <c r="W336" i="130"/>
  <c r="V336" i="130"/>
  <c r="AF336" i="130"/>
  <c r="AB336" i="130"/>
  <c r="AE336" i="130"/>
  <c r="AD336" i="130"/>
  <c r="AA336" i="130"/>
  <c r="U336" i="130"/>
  <c r="Z336" i="130"/>
  <c r="X317" i="130"/>
  <c r="W317" i="130"/>
  <c r="V317" i="130"/>
  <c r="AA317" i="130"/>
  <c r="AE317" i="130"/>
  <c r="AD317" i="130"/>
  <c r="Z317" i="130"/>
  <c r="Y317" i="130"/>
  <c r="U317" i="130"/>
  <c r="AF317" i="130"/>
  <c r="AC317" i="130"/>
  <c r="AB317" i="130"/>
  <c r="AC243" i="130"/>
  <c r="AE243" i="130"/>
  <c r="AB243" i="130"/>
  <c r="AA243" i="130"/>
  <c r="Y243" i="130"/>
  <c r="V243" i="130"/>
  <c r="U243" i="130"/>
  <c r="AF243" i="130"/>
  <c r="X243" i="130"/>
  <c r="AD243" i="130"/>
  <c r="Z243" i="130"/>
  <c r="W243" i="130"/>
  <c r="Z222" i="130"/>
  <c r="X222" i="130"/>
  <c r="AF222" i="130"/>
  <c r="AB222" i="130"/>
  <c r="AA222" i="130"/>
  <c r="Y222" i="130"/>
  <c r="V222" i="130"/>
  <c r="AE222" i="130"/>
  <c r="AC222" i="130"/>
  <c r="W222" i="130"/>
  <c r="AD222" i="130"/>
  <c r="U222" i="130"/>
  <c r="X260" i="130"/>
  <c r="AE260" i="130"/>
  <c r="AC260" i="130"/>
  <c r="AB260" i="130"/>
  <c r="Z260" i="130"/>
  <c r="AF260" i="130"/>
  <c r="AA260" i="130"/>
  <c r="Y260" i="130"/>
  <c r="V260" i="130"/>
  <c r="AD260" i="130"/>
  <c r="W260" i="130"/>
  <c r="U260" i="130"/>
  <c r="X100" i="130"/>
  <c r="W100" i="130"/>
  <c r="V100" i="130"/>
  <c r="AD100" i="130"/>
  <c r="AC100" i="130"/>
  <c r="AB100" i="130"/>
  <c r="AA100" i="130"/>
  <c r="Z100" i="130"/>
  <c r="Y100" i="130"/>
  <c r="U100" i="130"/>
  <c r="AF100" i="130"/>
  <c r="AE100" i="130"/>
  <c r="Z40" i="130"/>
  <c r="V40" i="130"/>
  <c r="U40" i="130"/>
  <c r="AF40" i="130"/>
  <c r="AE40" i="130"/>
  <c r="AD40" i="130"/>
  <c r="AC40" i="130"/>
  <c r="AB40" i="130"/>
  <c r="AA40" i="130"/>
  <c r="Y40" i="130"/>
  <c r="X40" i="130"/>
  <c r="W40" i="130"/>
  <c r="Z90" i="130"/>
  <c r="Y90" i="130"/>
  <c r="X90" i="130"/>
  <c r="AF90" i="130"/>
  <c r="AE90" i="130"/>
  <c r="AD90" i="130"/>
  <c r="AC90" i="130"/>
  <c r="AB90" i="130"/>
  <c r="AA90" i="130"/>
  <c r="W90" i="130"/>
  <c r="V90" i="130"/>
  <c r="U90" i="130"/>
  <c r="U223" i="130"/>
  <c r="AB223" i="130"/>
  <c r="Z223" i="130"/>
  <c r="Y223" i="130"/>
  <c r="X223" i="130"/>
  <c r="V223" i="130"/>
  <c r="AF223" i="130"/>
  <c r="AA223" i="130"/>
  <c r="AE223" i="130"/>
  <c r="AD223" i="130"/>
  <c r="AC223" i="130"/>
  <c r="W223" i="130"/>
  <c r="AF96" i="130"/>
  <c r="AE96" i="130"/>
  <c r="AD96" i="130"/>
  <c r="Z96" i="130"/>
  <c r="Y96" i="130"/>
  <c r="U96" i="130"/>
  <c r="AC96" i="130"/>
  <c r="AB96" i="130"/>
  <c r="AA96" i="130"/>
  <c r="X96" i="130"/>
  <c r="W96" i="130"/>
  <c r="V96" i="130"/>
  <c r="Y366" i="130"/>
  <c r="X366" i="130"/>
  <c r="W366" i="130"/>
  <c r="V366" i="130"/>
  <c r="AE366" i="130"/>
  <c r="AD366" i="130"/>
  <c r="AC366" i="130"/>
  <c r="AB366" i="130"/>
  <c r="U366" i="130"/>
  <c r="AF366" i="130"/>
  <c r="AA366" i="130"/>
  <c r="Z366" i="130"/>
  <c r="W322" i="130"/>
  <c r="V322" i="130"/>
  <c r="U322" i="130"/>
  <c r="AF322" i="130"/>
  <c r="AD322" i="130"/>
  <c r="AB322" i="130"/>
  <c r="AA322" i="130"/>
  <c r="X322" i="130"/>
  <c r="AE322" i="130"/>
  <c r="AC322" i="130"/>
  <c r="Z322" i="130"/>
  <c r="Y322" i="130"/>
  <c r="U281" i="130"/>
  <c r="AF281" i="130"/>
  <c r="AE281" i="130"/>
  <c r="AA281" i="130"/>
  <c r="Z281" i="130"/>
  <c r="X281" i="130"/>
  <c r="W281" i="130"/>
  <c r="V281" i="130"/>
  <c r="AD281" i="130"/>
  <c r="AC281" i="130"/>
  <c r="AB281" i="130"/>
  <c r="Y281" i="130"/>
  <c r="W206" i="130"/>
  <c r="V206" i="130"/>
  <c r="AF206" i="130"/>
  <c r="AC206" i="130"/>
  <c r="Y206" i="130"/>
  <c r="X206" i="130"/>
  <c r="U206" i="130"/>
  <c r="AE206" i="130"/>
  <c r="AD206" i="130"/>
  <c r="AB206" i="130"/>
  <c r="AA206" i="130"/>
  <c r="Z206" i="130"/>
  <c r="AF208" i="130"/>
  <c r="Y208" i="130"/>
  <c r="X208" i="130"/>
  <c r="V208" i="130"/>
  <c r="AE208" i="130"/>
  <c r="Z208" i="130"/>
  <c r="AD208" i="130"/>
  <c r="AC208" i="130"/>
  <c r="AB208" i="130"/>
  <c r="AA208" i="130"/>
  <c r="U208" i="130"/>
  <c r="W208" i="130"/>
  <c r="AC185" i="130"/>
  <c r="W185" i="130"/>
  <c r="AA185" i="130"/>
  <c r="Z185" i="130"/>
  <c r="Y185" i="130"/>
  <c r="V185" i="130"/>
  <c r="U185" i="130"/>
  <c r="AF185" i="130"/>
  <c r="AE185" i="130"/>
  <c r="AD185" i="130"/>
  <c r="AB185" i="130"/>
  <c r="X185" i="130"/>
  <c r="AF55" i="130"/>
  <c r="AE55" i="130"/>
  <c r="Z55" i="130"/>
  <c r="AC55" i="130"/>
  <c r="AA55" i="130"/>
  <c r="Y55" i="130"/>
  <c r="X55" i="130"/>
  <c r="W55" i="130"/>
  <c r="V55" i="130"/>
  <c r="U55" i="130"/>
  <c r="AD55" i="130"/>
  <c r="AB55" i="130"/>
  <c r="W136" i="130"/>
  <c r="AC136" i="130"/>
  <c r="AB136" i="130"/>
  <c r="AA136" i="130"/>
  <c r="Z136" i="130"/>
  <c r="Y136" i="130"/>
  <c r="X136" i="130"/>
  <c r="V136" i="130"/>
  <c r="U136" i="130"/>
  <c r="AF136" i="130"/>
  <c r="AE136" i="130"/>
  <c r="AD136" i="130"/>
  <c r="X361" i="130"/>
  <c r="AF361" i="130"/>
  <c r="AE361" i="130"/>
  <c r="AD361" i="130"/>
  <c r="W361" i="130"/>
  <c r="AA361" i="130"/>
  <c r="V361" i="130"/>
  <c r="U361" i="130"/>
  <c r="AC361" i="130"/>
  <c r="AB361" i="130"/>
  <c r="Z361" i="130"/>
  <c r="Y361" i="130"/>
  <c r="W298" i="130"/>
  <c r="AA298" i="130"/>
  <c r="Z298" i="130"/>
  <c r="AC298" i="130"/>
  <c r="AB298" i="130"/>
  <c r="U298" i="130"/>
  <c r="Y298" i="130"/>
  <c r="X298" i="130"/>
  <c r="AE298" i="130"/>
  <c r="AF298" i="130"/>
  <c r="AD298" i="130"/>
  <c r="V298" i="130"/>
  <c r="U263" i="130"/>
  <c r="V263" i="130"/>
  <c r="AF263" i="130"/>
  <c r="AE263" i="130"/>
  <c r="AC263" i="130"/>
  <c r="Y263" i="130"/>
  <c r="X263" i="130"/>
  <c r="W263" i="130"/>
  <c r="AD263" i="130"/>
  <c r="AB263" i="130"/>
  <c r="AA263" i="130"/>
  <c r="Z263" i="130"/>
  <c r="Y324" i="130"/>
  <c r="X324" i="130"/>
  <c r="W324" i="130"/>
  <c r="AD324" i="130"/>
  <c r="AE324" i="130"/>
  <c r="AB324" i="130"/>
  <c r="AA324" i="130"/>
  <c r="AF324" i="130"/>
  <c r="AC324" i="130"/>
  <c r="V324" i="130"/>
  <c r="U324" i="130"/>
  <c r="Z324" i="130"/>
  <c r="Z214" i="130"/>
  <c r="U214" i="130"/>
  <c r="AE214" i="130"/>
  <c r="AB214" i="130"/>
  <c r="W214" i="130"/>
  <c r="AD214" i="130"/>
  <c r="AC214" i="130"/>
  <c r="AF214" i="130"/>
  <c r="Y214" i="130"/>
  <c r="X214" i="130"/>
  <c r="V214" i="130"/>
  <c r="AA214" i="130"/>
  <c r="AC152" i="130"/>
  <c r="AA152" i="130"/>
  <c r="V152" i="130"/>
  <c r="U152" i="130"/>
  <c r="Z152" i="130"/>
  <c r="Y152" i="130"/>
  <c r="X152" i="130"/>
  <c r="W152" i="130"/>
  <c r="AF152" i="130"/>
  <c r="AE152" i="130"/>
  <c r="AD152" i="130"/>
  <c r="AB152" i="130"/>
  <c r="Y131" i="130"/>
  <c r="X131" i="130"/>
  <c r="W131" i="130"/>
  <c r="V131" i="130"/>
  <c r="U131" i="130"/>
  <c r="AF131" i="130"/>
  <c r="AE131" i="130"/>
  <c r="AD131" i="130"/>
  <c r="AC131" i="130"/>
  <c r="AB131" i="130"/>
  <c r="AA131" i="130"/>
  <c r="Z131" i="130"/>
  <c r="W170" i="130"/>
  <c r="AF170" i="130"/>
  <c r="AE170" i="130"/>
  <c r="Z170" i="130"/>
  <c r="Y170" i="130"/>
  <c r="AD170" i="130"/>
  <c r="AC170" i="130"/>
  <c r="AB170" i="130"/>
  <c r="AA170" i="130"/>
  <c r="X170" i="130"/>
  <c r="V170" i="130"/>
  <c r="U170" i="130"/>
  <c r="AF313" i="130"/>
  <c r="AE313" i="130"/>
  <c r="AD313" i="130"/>
  <c r="AC313" i="130"/>
  <c r="AB313" i="130"/>
  <c r="AA313" i="130"/>
  <c r="Y313" i="130"/>
  <c r="W313" i="130"/>
  <c r="V313" i="130"/>
  <c r="Z313" i="130"/>
  <c r="X313" i="130"/>
  <c r="U313" i="130"/>
  <c r="W310" i="130"/>
  <c r="AD310" i="130"/>
  <c r="Z310" i="130"/>
  <c r="Y310" i="130"/>
  <c r="AF310" i="130"/>
  <c r="AE310" i="130"/>
  <c r="AB310" i="130"/>
  <c r="X310" i="130"/>
  <c r="V310" i="130"/>
  <c r="AC310" i="130"/>
  <c r="AA310" i="130"/>
  <c r="U310" i="130"/>
  <c r="AE294" i="130"/>
  <c r="AD294" i="130"/>
  <c r="AC294" i="130"/>
  <c r="V294" i="130"/>
  <c r="U294" i="130"/>
  <c r="AF294" i="130"/>
  <c r="AB294" i="130"/>
  <c r="AA294" i="130"/>
  <c r="Y294" i="130"/>
  <c r="X294" i="130"/>
  <c r="W294" i="130"/>
  <c r="Z294" i="130"/>
  <c r="U235" i="130"/>
  <c r="X235" i="130"/>
  <c r="V235" i="130"/>
  <c r="AE235" i="130"/>
  <c r="AF235" i="130"/>
  <c r="AB235" i="130"/>
  <c r="AD235" i="130"/>
  <c r="AA235" i="130"/>
  <c r="Z235" i="130"/>
  <c r="AC235" i="130"/>
  <c r="W235" i="130"/>
  <c r="Y235" i="130"/>
  <c r="AD299" i="130"/>
  <c r="W299" i="130"/>
  <c r="V299" i="130"/>
  <c r="AA299" i="130"/>
  <c r="Z299" i="130"/>
  <c r="AE299" i="130"/>
  <c r="AC299" i="130"/>
  <c r="Y299" i="130"/>
  <c r="X299" i="130"/>
  <c r="U299" i="130"/>
  <c r="AF299" i="130"/>
  <c r="AB299" i="130"/>
  <c r="U284" i="130"/>
  <c r="AE284" i="130"/>
  <c r="AB284" i="130"/>
  <c r="AA284" i="130"/>
  <c r="X284" i="130"/>
  <c r="AF284" i="130"/>
  <c r="AD284" i="130"/>
  <c r="AC284" i="130"/>
  <c r="Y284" i="130"/>
  <c r="Z284" i="130"/>
  <c r="W284" i="130"/>
  <c r="V284" i="130"/>
  <c r="U204" i="130"/>
  <c r="AF204" i="130"/>
  <c r="AD204" i="130"/>
  <c r="AA204" i="130"/>
  <c r="X204" i="130"/>
  <c r="AE204" i="130"/>
  <c r="AC204" i="130"/>
  <c r="AB204" i="130"/>
  <c r="Z204" i="130"/>
  <c r="Y204" i="130"/>
  <c r="W204" i="130"/>
  <c r="V204" i="130"/>
  <c r="AD137" i="130"/>
  <c r="X137" i="130"/>
  <c r="Z137" i="130"/>
  <c r="Y137" i="130"/>
  <c r="W137" i="130"/>
  <c r="V137" i="130"/>
  <c r="U137" i="130"/>
  <c r="AF137" i="130"/>
  <c r="AA137" i="130"/>
  <c r="AE137" i="130"/>
  <c r="AC137" i="130"/>
  <c r="AB137" i="130"/>
  <c r="AC142" i="130"/>
  <c r="X142" i="130"/>
  <c r="W142" i="130"/>
  <c r="AA142" i="130"/>
  <c r="Z142" i="130"/>
  <c r="Y142" i="130"/>
  <c r="V142" i="130"/>
  <c r="U142" i="130"/>
  <c r="AF142" i="130"/>
  <c r="AE142" i="130"/>
  <c r="AD142" i="130"/>
  <c r="AB142" i="130"/>
  <c r="AE213" i="130"/>
  <c r="Z213" i="130"/>
  <c r="W213" i="130"/>
  <c r="V213" i="130"/>
  <c r="AD213" i="130"/>
  <c r="AF213" i="130"/>
  <c r="AB213" i="130"/>
  <c r="AA213" i="130"/>
  <c r="X213" i="130"/>
  <c r="U213" i="130"/>
  <c r="AC213" i="130"/>
  <c r="Y213" i="130"/>
  <c r="AD77" i="130"/>
  <c r="AC77" i="130"/>
  <c r="Y77" i="130"/>
  <c r="X77" i="130"/>
  <c r="AF77" i="130"/>
  <c r="AE77" i="130"/>
  <c r="AB77" i="130"/>
  <c r="AA77" i="130"/>
  <c r="Z77" i="130"/>
  <c r="W77" i="130"/>
  <c r="V77" i="130"/>
  <c r="U77" i="130"/>
  <c r="AC164" i="130"/>
  <c r="AF164" i="130"/>
  <c r="AE164" i="130"/>
  <c r="Y164" i="130"/>
  <c r="X164" i="130"/>
  <c r="AB164" i="130"/>
  <c r="AA164" i="130"/>
  <c r="Z164" i="130"/>
  <c r="W164" i="130"/>
  <c r="V164" i="130"/>
  <c r="U164" i="130"/>
  <c r="AD164" i="130"/>
  <c r="AD287" i="130"/>
  <c r="AF287" i="130"/>
  <c r="X287" i="130"/>
  <c r="W287" i="130"/>
  <c r="AE287" i="130"/>
  <c r="AB287" i="130"/>
  <c r="V287" i="130"/>
  <c r="U287" i="130"/>
  <c r="AC287" i="130"/>
  <c r="AA287" i="130"/>
  <c r="Z287" i="130"/>
  <c r="Y287" i="130"/>
  <c r="AD355" i="130"/>
  <c r="Z355" i="130"/>
  <c r="Y355" i="130"/>
  <c r="X355" i="130"/>
  <c r="V355" i="130"/>
  <c r="AF355" i="130"/>
  <c r="AB355" i="130"/>
  <c r="AE355" i="130"/>
  <c r="AC355" i="130"/>
  <c r="AA355" i="130"/>
  <c r="W355" i="130"/>
  <c r="U355" i="130"/>
  <c r="X329" i="130"/>
  <c r="W329" i="130"/>
  <c r="V329" i="130"/>
  <c r="AD329" i="130"/>
  <c r="U329" i="130"/>
  <c r="AE329" i="130"/>
  <c r="AC329" i="130"/>
  <c r="AF329" i="130"/>
  <c r="AA329" i="130"/>
  <c r="Z329" i="130"/>
  <c r="Y329" i="130"/>
  <c r="AB329" i="130"/>
  <c r="X232" i="130"/>
  <c r="W232" i="130"/>
  <c r="AE232" i="130"/>
  <c r="AD232" i="130"/>
  <c r="AA232" i="130"/>
  <c r="AB232" i="130"/>
  <c r="AF232" i="130"/>
  <c r="Z232" i="130"/>
  <c r="Y232" i="130"/>
  <c r="V232" i="130"/>
  <c r="U232" i="130"/>
  <c r="AC232" i="130"/>
  <c r="AD192" i="130"/>
  <c r="AF192" i="130"/>
  <c r="AE192" i="130"/>
  <c r="AC192" i="130"/>
  <c r="AA192" i="130"/>
  <c r="Z192" i="130"/>
  <c r="Y192" i="130"/>
  <c r="X192" i="130"/>
  <c r="W192" i="130"/>
  <c r="AB192" i="130"/>
  <c r="V192" i="130"/>
  <c r="U192" i="130"/>
  <c r="W271" i="130"/>
  <c r="AF271" i="130"/>
  <c r="AA271" i="130"/>
  <c r="AE271" i="130"/>
  <c r="AB271" i="130"/>
  <c r="Y271" i="130"/>
  <c r="X271" i="130"/>
  <c r="U271" i="130"/>
  <c r="AC271" i="130"/>
  <c r="AD271" i="130"/>
  <c r="Z271" i="130"/>
  <c r="V271" i="130"/>
  <c r="V175" i="130"/>
  <c r="Z175" i="130"/>
  <c r="Y175" i="130"/>
  <c r="AF175" i="130"/>
  <c r="AE175" i="130"/>
  <c r="AD175" i="130"/>
  <c r="AC175" i="130"/>
  <c r="AB175" i="130"/>
  <c r="AA175" i="130"/>
  <c r="X175" i="130"/>
  <c r="W175" i="130"/>
  <c r="U175" i="130"/>
  <c r="X124" i="130"/>
  <c r="W124" i="130"/>
  <c r="V124" i="130"/>
  <c r="U124" i="130"/>
  <c r="AF124" i="130"/>
  <c r="AE124" i="130"/>
  <c r="AD124" i="130"/>
  <c r="AC124" i="130"/>
  <c r="AA124" i="130"/>
  <c r="Z124" i="130"/>
  <c r="Y124" i="130"/>
  <c r="AB124" i="130"/>
  <c r="Y54" i="130"/>
  <c r="X54" i="130"/>
  <c r="AE54" i="130"/>
  <c r="AF54" i="130"/>
  <c r="AC54" i="130"/>
  <c r="AB54" i="130"/>
  <c r="AA54" i="130"/>
  <c r="Z54" i="130"/>
  <c r="W54" i="130"/>
  <c r="V54" i="130"/>
  <c r="U54" i="130"/>
  <c r="AD54" i="130"/>
  <c r="AA35" i="130"/>
  <c r="U35" i="130"/>
  <c r="AF35" i="130"/>
  <c r="AE35" i="130"/>
  <c r="AD35" i="130"/>
  <c r="V35" i="130"/>
  <c r="W35" i="130"/>
  <c r="AC35" i="130"/>
  <c r="AB35" i="130"/>
  <c r="Z35" i="130"/>
  <c r="Y35" i="130"/>
  <c r="X35" i="130"/>
  <c r="X244" i="130"/>
  <c r="AA244" i="130"/>
  <c r="Y244" i="130"/>
  <c r="W244" i="130"/>
  <c r="U244" i="130"/>
  <c r="Z244" i="130"/>
  <c r="V244" i="130"/>
  <c r="AF244" i="130"/>
  <c r="AE244" i="130"/>
  <c r="AD244" i="130"/>
  <c r="AC244" i="130"/>
  <c r="AB244" i="130"/>
  <c r="X349" i="130"/>
  <c r="AF349" i="130"/>
  <c r="AE349" i="130"/>
  <c r="AD349" i="130"/>
  <c r="W349" i="130"/>
  <c r="AA349" i="130"/>
  <c r="V349" i="130"/>
  <c r="U349" i="130"/>
  <c r="AC349" i="130"/>
  <c r="AB349" i="130"/>
  <c r="Z349" i="130"/>
  <c r="Y349" i="130"/>
  <c r="U332" i="130"/>
  <c r="AF332" i="130"/>
  <c r="AE332" i="130"/>
  <c r="Y332" i="130"/>
  <c r="AB332" i="130"/>
  <c r="Z332" i="130"/>
  <c r="X332" i="130"/>
  <c r="W332" i="130"/>
  <c r="V332" i="130"/>
  <c r="AD332" i="130"/>
  <c r="AC332" i="130"/>
  <c r="AA332" i="130"/>
  <c r="AD343" i="130"/>
  <c r="Z343" i="130"/>
  <c r="Y343" i="130"/>
  <c r="X343" i="130"/>
  <c r="V343" i="130"/>
  <c r="AF343" i="130"/>
  <c r="AB343" i="130"/>
  <c r="AA343" i="130"/>
  <c r="W343" i="130"/>
  <c r="U343" i="130"/>
  <c r="AE343" i="130"/>
  <c r="AC343" i="130"/>
  <c r="X278" i="130"/>
  <c r="AF278" i="130"/>
  <c r="AE278" i="130"/>
  <c r="AA278" i="130"/>
  <c r="Z278" i="130"/>
  <c r="AD278" i="130"/>
  <c r="AC278" i="130"/>
  <c r="AB278" i="130"/>
  <c r="Y278" i="130"/>
  <c r="W278" i="130"/>
  <c r="V278" i="130"/>
  <c r="U278" i="130"/>
  <c r="Y239" i="130"/>
  <c r="AE239" i="130"/>
  <c r="AD239" i="130"/>
  <c r="AB239" i="130"/>
  <c r="W239" i="130"/>
  <c r="V239" i="130"/>
  <c r="U239" i="130"/>
  <c r="AF239" i="130"/>
  <c r="X239" i="130"/>
  <c r="AC239" i="130"/>
  <c r="AA239" i="130"/>
  <c r="Z239" i="130"/>
  <c r="V258" i="130"/>
  <c r="AB258" i="130"/>
  <c r="W258" i="130"/>
  <c r="AE258" i="130"/>
  <c r="AC258" i="130"/>
  <c r="AA258" i="130"/>
  <c r="Z258" i="130"/>
  <c r="X258" i="130"/>
  <c r="U258" i="130"/>
  <c r="AD258" i="130"/>
  <c r="Y258" i="130"/>
  <c r="AF258" i="130"/>
  <c r="W265" i="130"/>
  <c r="Y265" i="130"/>
  <c r="AB265" i="130"/>
  <c r="Z265" i="130"/>
  <c r="X265" i="130"/>
  <c r="U265" i="130"/>
  <c r="AD265" i="130"/>
  <c r="AC265" i="130"/>
  <c r="AA265" i="130"/>
  <c r="AF265" i="130"/>
  <c r="AE265" i="130"/>
  <c r="V265" i="130"/>
  <c r="Y119" i="130"/>
  <c r="X119" i="130"/>
  <c r="W119" i="130"/>
  <c r="V119" i="130"/>
  <c r="U119" i="130"/>
  <c r="AF119" i="130"/>
  <c r="AE119" i="130"/>
  <c r="AD119" i="130"/>
  <c r="AC119" i="130"/>
  <c r="AB119" i="130"/>
  <c r="AA119" i="130"/>
  <c r="Z119" i="130"/>
  <c r="W237" i="130"/>
  <c r="AB237" i="130"/>
  <c r="Z237" i="130"/>
  <c r="Y237" i="130"/>
  <c r="V237" i="130"/>
  <c r="AF237" i="130"/>
  <c r="AC237" i="130"/>
  <c r="AD237" i="130"/>
  <c r="X237" i="130"/>
  <c r="U237" i="130"/>
  <c r="AE237" i="130"/>
  <c r="AA237" i="130"/>
  <c r="AD149" i="130"/>
  <c r="Y149" i="130"/>
  <c r="X149" i="130"/>
  <c r="AE149" i="130"/>
  <c r="AC149" i="130"/>
  <c r="AB149" i="130"/>
  <c r="AA149" i="130"/>
  <c r="Z149" i="130"/>
  <c r="W149" i="130"/>
  <c r="V149" i="130"/>
  <c r="U149" i="130"/>
  <c r="AF149" i="130"/>
  <c r="V315" i="130"/>
  <c r="U315" i="130"/>
  <c r="AF315" i="130"/>
  <c r="AC315" i="130"/>
  <c r="AE315" i="130"/>
  <c r="AD315" i="130"/>
  <c r="AB315" i="130"/>
  <c r="Z315" i="130"/>
  <c r="Y315" i="130"/>
  <c r="AA315" i="130"/>
  <c r="X315" i="130"/>
  <c r="W315" i="130"/>
  <c r="W283" i="130"/>
  <c r="X283" i="130"/>
  <c r="V283" i="130"/>
  <c r="AE283" i="130"/>
  <c r="AD283" i="130"/>
  <c r="U283" i="130"/>
  <c r="AC283" i="130"/>
  <c r="AB283" i="130"/>
  <c r="AA283" i="130"/>
  <c r="Z283" i="130"/>
  <c r="AF283" i="130"/>
  <c r="Y283" i="130"/>
  <c r="U189" i="130"/>
  <c r="AF189" i="130"/>
  <c r="AA189" i="130"/>
  <c r="Z189" i="130"/>
  <c r="Y189" i="130"/>
  <c r="W189" i="130"/>
  <c r="V189" i="130"/>
  <c r="AE189" i="130"/>
  <c r="X189" i="130"/>
  <c r="AC189" i="130"/>
  <c r="AB189" i="130"/>
  <c r="AD189" i="130"/>
  <c r="AA162" i="130"/>
  <c r="Z162" i="130"/>
  <c r="Y162" i="130"/>
  <c r="AF162" i="130"/>
  <c r="AB162" i="130"/>
  <c r="X162" i="130"/>
  <c r="W162" i="130"/>
  <c r="V162" i="130"/>
  <c r="U162" i="130"/>
  <c r="AE162" i="130"/>
  <c r="AD162" i="130"/>
  <c r="AC162" i="130"/>
  <c r="X88" i="130"/>
  <c r="W88" i="130"/>
  <c r="V88" i="130"/>
  <c r="AD88" i="130"/>
  <c r="AC88" i="130"/>
  <c r="AB88" i="130"/>
  <c r="AA88" i="130"/>
  <c r="Z88" i="130"/>
  <c r="Y88" i="130"/>
  <c r="U88" i="130"/>
  <c r="AF88" i="130"/>
  <c r="AE88" i="130"/>
  <c r="AE89" i="130"/>
  <c r="AD89" i="130"/>
  <c r="AC89" i="130"/>
  <c r="Y89" i="130"/>
  <c r="X89" i="130"/>
  <c r="AF89" i="130"/>
  <c r="AB89" i="130"/>
  <c r="AA89" i="130"/>
  <c r="Z89" i="130"/>
  <c r="W89" i="130"/>
  <c r="V89" i="130"/>
  <c r="U89" i="130"/>
  <c r="AA30" i="130"/>
  <c r="U30" i="130"/>
  <c r="AE30" i="130"/>
  <c r="AD30" i="130"/>
  <c r="AF30" i="130"/>
  <c r="AC30" i="130"/>
  <c r="AB30" i="130"/>
  <c r="Z30" i="130"/>
  <c r="Y30" i="130"/>
  <c r="X30" i="130"/>
  <c r="W30" i="130"/>
  <c r="V30" i="130"/>
  <c r="AA44" i="130"/>
  <c r="Z44" i="130"/>
  <c r="U44" i="130"/>
  <c r="AF44" i="130"/>
  <c r="AD44" i="130"/>
  <c r="AB44" i="130"/>
  <c r="Y44" i="130"/>
  <c r="X44" i="130"/>
  <c r="W44" i="130"/>
  <c r="V44" i="130"/>
  <c r="AE44" i="130"/>
  <c r="AC44" i="130"/>
  <c r="AF367" i="130"/>
  <c r="AE367" i="130"/>
  <c r="AD367" i="130"/>
  <c r="AC367" i="130"/>
  <c r="Z367" i="130"/>
  <c r="Y367" i="130"/>
  <c r="X367" i="130"/>
  <c r="AB367" i="130"/>
  <c r="V367" i="130"/>
  <c r="AA367" i="130"/>
  <c r="W367" i="130"/>
  <c r="U367" i="130"/>
  <c r="AE154" i="130"/>
  <c r="AF154" i="130"/>
  <c r="Z154" i="130"/>
  <c r="Y154" i="130"/>
  <c r="X154" i="130"/>
  <c r="W154" i="130"/>
  <c r="V154" i="130"/>
  <c r="U154" i="130"/>
  <c r="AD154" i="130"/>
  <c r="AC154" i="130"/>
  <c r="AB154" i="130"/>
  <c r="AA154" i="130"/>
  <c r="Z307" i="130"/>
  <c r="AD307" i="130"/>
  <c r="U307" i="130"/>
  <c r="AF307" i="130"/>
  <c r="AE307" i="130"/>
  <c r="AB307" i="130"/>
  <c r="Y307" i="130"/>
  <c r="X307" i="130"/>
  <c r="AA307" i="130"/>
  <c r="W307" i="130"/>
  <c r="AC307" i="130"/>
  <c r="V307" i="130"/>
  <c r="U308" i="130"/>
  <c r="Z308" i="130"/>
  <c r="AF308" i="130"/>
  <c r="AE308" i="130"/>
  <c r="AD308" i="130"/>
  <c r="AB308" i="130"/>
  <c r="Y308" i="130"/>
  <c r="X308" i="130"/>
  <c r="AC308" i="130"/>
  <c r="AA308" i="130"/>
  <c r="V308" i="130"/>
  <c r="W308" i="130"/>
  <c r="W253" i="130"/>
  <c r="U253" i="130"/>
  <c r="X253" i="130"/>
  <c r="AE253" i="130"/>
  <c r="AF253" i="130"/>
  <c r="AC253" i="130"/>
  <c r="Z253" i="130"/>
  <c r="AD253" i="130"/>
  <c r="AB253" i="130"/>
  <c r="AA253" i="130"/>
  <c r="Y253" i="130"/>
  <c r="V253" i="130"/>
  <c r="Z262" i="130"/>
  <c r="X262" i="130"/>
  <c r="W262" i="130"/>
  <c r="U262" i="130"/>
  <c r="AF262" i="130"/>
  <c r="AE262" i="130"/>
  <c r="AC262" i="130"/>
  <c r="AD262" i="130"/>
  <c r="AB262" i="130"/>
  <c r="AA262" i="130"/>
  <c r="V262" i="130"/>
  <c r="Y262" i="130"/>
  <c r="AD218" i="130"/>
  <c r="Y218" i="130"/>
  <c r="V218" i="130"/>
  <c r="U218" i="130"/>
  <c r="AC218" i="130"/>
  <c r="AB218" i="130"/>
  <c r="AF218" i="130"/>
  <c r="AE218" i="130"/>
  <c r="AA218" i="130"/>
  <c r="X218" i="130"/>
  <c r="W218" i="130"/>
  <c r="Z218" i="130"/>
  <c r="V210" i="130"/>
  <c r="AC210" i="130"/>
  <c r="AF210" i="130"/>
  <c r="AD210" i="130"/>
  <c r="Z210" i="130"/>
  <c r="AE210" i="130"/>
  <c r="W210" i="130"/>
  <c r="U210" i="130"/>
  <c r="AB210" i="130"/>
  <c r="AA210" i="130"/>
  <c r="Y210" i="130"/>
  <c r="X210" i="130"/>
  <c r="AD266" i="130"/>
  <c r="U266" i="130"/>
  <c r="Y266" i="130"/>
  <c r="W266" i="130"/>
  <c r="V266" i="130"/>
  <c r="AE266" i="130"/>
  <c r="AC266" i="130"/>
  <c r="AB266" i="130"/>
  <c r="Z266" i="130"/>
  <c r="X266" i="130"/>
  <c r="AA266" i="130"/>
  <c r="AF266" i="130"/>
  <c r="AD238" i="130"/>
  <c r="X238" i="130"/>
  <c r="V238" i="130"/>
  <c r="U238" i="130"/>
  <c r="AF238" i="130"/>
  <c r="AB238" i="130"/>
  <c r="AA238" i="130"/>
  <c r="Y238" i="130"/>
  <c r="W238" i="130"/>
  <c r="AE238" i="130"/>
  <c r="AC238" i="130"/>
  <c r="Z238" i="130"/>
  <c r="X212" i="130"/>
  <c r="AE212" i="130"/>
  <c r="AA212" i="130"/>
  <c r="Z212" i="130"/>
  <c r="W212" i="130"/>
  <c r="AC212" i="130"/>
  <c r="Y212" i="130"/>
  <c r="V212" i="130"/>
  <c r="AF212" i="130"/>
  <c r="AD212" i="130"/>
  <c r="AB212" i="130"/>
  <c r="U212" i="130"/>
  <c r="X177" i="130"/>
  <c r="AE177" i="130"/>
  <c r="AD177" i="130"/>
  <c r="Y177" i="130"/>
  <c r="W177" i="130"/>
  <c r="Z177" i="130"/>
  <c r="V177" i="130"/>
  <c r="U177" i="130"/>
  <c r="AF177" i="130"/>
  <c r="AC177" i="130"/>
  <c r="AB177" i="130"/>
  <c r="AA177" i="130"/>
  <c r="Z167" i="130"/>
  <c r="AF167" i="130"/>
  <c r="AE167" i="130"/>
  <c r="Y167" i="130"/>
  <c r="X167" i="130"/>
  <c r="AD167" i="130"/>
  <c r="AC167" i="130"/>
  <c r="AB167" i="130"/>
  <c r="AA167" i="130"/>
  <c r="W167" i="130"/>
  <c r="V167" i="130"/>
  <c r="U167" i="130"/>
  <c r="Y160" i="130"/>
  <c r="U160" i="130"/>
  <c r="AB160" i="130"/>
  <c r="AA160" i="130"/>
  <c r="AD160" i="130"/>
  <c r="AC160" i="130"/>
  <c r="Z160" i="130"/>
  <c r="X160" i="130"/>
  <c r="W160" i="130"/>
  <c r="V160" i="130"/>
  <c r="AF160" i="130"/>
  <c r="AE160" i="130"/>
  <c r="Z102" i="130"/>
  <c r="Y102" i="130"/>
  <c r="X102" i="130"/>
  <c r="AF102" i="130"/>
  <c r="AE102" i="130"/>
  <c r="AD102" i="130"/>
  <c r="AC102" i="130"/>
  <c r="AB102" i="130"/>
  <c r="AA102" i="130"/>
  <c r="W102" i="130"/>
  <c r="V102" i="130"/>
  <c r="U102" i="130"/>
  <c r="AD53" i="130"/>
  <c r="AC53" i="130"/>
  <c r="X53" i="130"/>
  <c r="AF53" i="130"/>
  <c r="AE53" i="130"/>
  <c r="AB53" i="130"/>
  <c r="AA53" i="130"/>
  <c r="Z53" i="130"/>
  <c r="Y53" i="130"/>
  <c r="W53" i="130"/>
  <c r="V53" i="130"/>
  <c r="U53" i="130"/>
  <c r="X112" i="130"/>
  <c r="W112" i="130"/>
  <c r="V112" i="130"/>
  <c r="U112" i="130"/>
  <c r="AF112" i="130"/>
  <c r="AE112" i="130"/>
  <c r="AD112" i="130"/>
  <c r="AC112" i="130"/>
  <c r="AB112" i="130"/>
  <c r="AA112" i="130"/>
  <c r="Z112" i="130"/>
  <c r="Y112" i="130"/>
  <c r="AF325" i="130"/>
  <c r="AE325" i="130"/>
  <c r="AD325" i="130"/>
  <c r="AA325" i="130"/>
  <c r="AC325" i="130"/>
  <c r="Z325" i="130"/>
  <c r="Y325" i="130"/>
  <c r="AB325" i="130"/>
  <c r="X325" i="130"/>
  <c r="W325" i="130"/>
  <c r="V325" i="130"/>
  <c r="U325" i="130"/>
  <c r="Z319" i="130"/>
  <c r="Y319" i="130"/>
  <c r="X319" i="130"/>
  <c r="V319" i="130"/>
  <c r="AE319" i="130"/>
  <c r="AD319" i="130"/>
  <c r="AF319" i="130"/>
  <c r="AC319" i="130"/>
  <c r="AA319" i="130"/>
  <c r="W319" i="130"/>
  <c r="U319" i="130"/>
  <c r="AB319" i="130"/>
  <c r="AC259" i="130"/>
  <c r="X259" i="130"/>
  <c r="AF259" i="130"/>
  <c r="AE259" i="130"/>
  <c r="AB259" i="130"/>
  <c r="AD259" i="130"/>
  <c r="AA259" i="130"/>
  <c r="Z259" i="130"/>
  <c r="W259" i="130"/>
  <c r="V259" i="130"/>
  <c r="Y259" i="130"/>
  <c r="U259" i="130"/>
  <c r="AE245" i="130"/>
  <c r="V245" i="130"/>
  <c r="AF245" i="130"/>
  <c r="AC245" i="130"/>
  <c r="Y245" i="130"/>
  <c r="X245" i="130"/>
  <c r="W245" i="130"/>
  <c r="AD245" i="130"/>
  <c r="AB245" i="130"/>
  <c r="AA245" i="130"/>
  <c r="Z245" i="130"/>
  <c r="U245" i="130"/>
  <c r="AA209" i="130"/>
  <c r="V209" i="130"/>
  <c r="U209" i="130"/>
  <c r="AF209" i="130"/>
  <c r="AC209" i="130"/>
  <c r="AB209" i="130"/>
  <c r="AD209" i="130"/>
  <c r="Z209" i="130"/>
  <c r="Y209" i="130"/>
  <c r="X209" i="130"/>
  <c r="W209" i="130"/>
  <c r="AE209" i="130"/>
  <c r="AC247" i="130"/>
  <c r="U247" i="130"/>
  <c r="AA247" i="130"/>
  <c r="Y247" i="130"/>
  <c r="X247" i="130"/>
  <c r="V247" i="130"/>
  <c r="AD247" i="130"/>
  <c r="AB247" i="130"/>
  <c r="Z247" i="130"/>
  <c r="AF247" i="130"/>
  <c r="W247" i="130"/>
  <c r="AE247" i="130"/>
  <c r="AF289" i="130"/>
  <c r="X289" i="130"/>
  <c r="AE289" i="130"/>
  <c r="AA289" i="130"/>
  <c r="Z289" i="130"/>
  <c r="U289" i="130"/>
  <c r="AD289" i="130"/>
  <c r="AC289" i="130"/>
  <c r="Y289" i="130"/>
  <c r="AB289" i="130"/>
  <c r="W289" i="130"/>
  <c r="V289" i="130"/>
  <c r="AC176" i="130"/>
  <c r="V176" i="130"/>
  <c r="U176" i="130"/>
  <c r="AB176" i="130"/>
  <c r="AA176" i="130"/>
  <c r="W176" i="130"/>
  <c r="AF176" i="130"/>
  <c r="AE176" i="130"/>
  <c r="AD176" i="130"/>
  <c r="Z176" i="130"/>
  <c r="Y176" i="130"/>
  <c r="X176" i="130"/>
  <c r="AF151" i="130"/>
  <c r="AA151" i="130"/>
  <c r="Z151" i="130"/>
  <c r="AB151" i="130"/>
  <c r="Y151" i="130"/>
  <c r="X151" i="130"/>
  <c r="W151" i="130"/>
  <c r="V151" i="130"/>
  <c r="U151" i="130"/>
  <c r="AE151" i="130"/>
  <c r="AD151" i="130"/>
  <c r="AC151" i="130"/>
  <c r="AF108" i="130"/>
  <c r="AE108" i="130"/>
  <c r="AD108" i="130"/>
  <c r="Z108" i="130"/>
  <c r="Y108" i="130"/>
  <c r="AC108" i="130"/>
  <c r="AB108" i="130"/>
  <c r="AA108" i="130"/>
  <c r="X108" i="130"/>
  <c r="W108" i="130"/>
  <c r="U108" i="130"/>
  <c r="V108" i="130"/>
  <c r="AF84" i="130"/>
  <c r="AE84" i="130"/>
  <c r="AD84" i="130"/>
  <c r="Z84" i="130"/>
  <c r="Y84" i="130"/>
  <c r="U84" i="130"/>
  <c r="AC84" i="130"/>
  <c r="AB84" i="130"/>
  <c r="AA84" i="130"/>
  <c r="X84" i="130"/>
  <c r="W84" i="130"/>
  <c r="V84" i="130"/>
  <c r="AA56" i="130"/>
  <c r="Z56" i="130"/>
  <c r="U56" i="130"/>
  <c r="AC56" i="130"/>
  <c r="Y56" i="130"/>
  <c r="X56" i="130"/>
  <c r="W56" i="130"/>
  <c r="V56" i="130"/>
  <c r="AF56" i="130"/>
  <c r="AB56" i="130"/>
  <c r="AD56" i="130"/>
  <c r="AE56" i="130"/>
  <c r="AC37" i="130"/>
  <c r="Y37" i="130"/>
  <c r="W37" i="130"/>
  <c r="V37" i="130"/>
  <c r="U37" i="130"/>
  <c r="AF37" i="130"/>
  <c r="AB37" i="130"/>
  <c r="AA37" i="130"/>
  <c r="Z37" i="130"/>
  <c r="X37" i="130"/>
  <c r="AD37" i="130"/>
  <c r="AE37" i="130"/>
  <c r="Z351" i="130"/>
  <c r="V351" i="130"/>
  <c r="U351" i="130"/>
  <c r="AF351" i="130"/>
  <c r="X351" i="130"/>
  <c r="AE351" i="130"/>
  <c r="AB351" i="130"/>
  <c r="AD351" i="130"/>
  <c r="AC351" i="130"/>
  <c r="AA351" i="130"/>
  <c r="Y351" i="130"/>
  <c r="W351" i="130"/>
  <c r="Z339" i="130"/>
  <c r="V339" i="130"/>
  <c r="U339" i="130"/>
  <c r="AF339" i="130"/>
  <c r="X339" i="130"/>
  <c r="AE339" i="130"/>
  <c r="AB339" i="130"/>
  <c r="AA339" i="130"/>
  <c r="Y339" i="130"/>
  <c r="W339" i="130"/>
  <c r="AD339" i="130"/>
  <c r="AC339" i="130"/>
  <c r="U269" i="130"/>
  <c r="AB269" i="130"/>
  <c r="W269" i="130"/>
  <c r="AF269" i="130"/>
  <c r="AD269" i="130"/>
  <c r="AC269" i="130"/>
  <c r="Z269" i="130"/>
  <c r="AE269" i="130"/>
  <c r="Y269" i="130"/>
  <c r="X269" i="130"/>
  <c r="AA269" i="130"/>
  <c r="V269" i="130"/>
  <c r="Z23" i="130"/>
  <c r="AF23" i="130"/>
  <c r="AD23" i="130"/>
  <c r="V23" i="130"/>
  <c r="U23" i="130"/>
  <c r="W23" i="130"/>
  <c r="AE23" i="130"/>
  <c r="AC23" i="130"/>
  <c r="X23" i="130"/>
  <c r="AB23" i="130"/>
  <c r="AA23" i="130"/>
  <c r="Y23" i="130"/>
  <c r="AA10" i="130"/>
  <c r="Z10" i="130"/>
  <c r="Y10" i="130"/>
  <c r="X10" i="130"/>
  <c r="AB10" i="130"/>
  <c r="W10" i="130"/>
  <c r="V10" i="130"/>
  <c r="AC10" i="130"/>
  <c r="U10" i="130"/>
  <c r="AF10" i="130"/>
  <c r="AE10" i="130"/>
  <c r="AD10" i="130"/>
  <c r="Z114" i="130"/>
  <c r="Y114" i="130"/>
  <c r="X114" i="130"/>
  <c r="W114" i="130"/>
  <c r="V114" i="130"/>
  <c r="U114" i="130"/>
  <c r="AF114" i="130"/>
  <c r="AE114" i="130"/>
  <c r="AD114" i="130"/>
  <c r="AC114" i="130"/>
  <c r="AB114" i="130"/>
  <c r="AA114" i="130"/>
  <c r="AE2" i="130" l="1"/>
  <c r="AD2" i="130"/>
  <c r="AF2" i="130"/>
  <c r="U2" i="130"/>
  <c r="Z2" i="130"/>
  <c r="AC2" i="130"/>
  <c r="V2" i="130"/>
  <c r="W2" i="130"/>
  <c r="AB2" i="130"/>
  <c r="X2" i="130"/>
  <c r="Y2" i="130"/>
  <c r="AA2" i="130"/>
  <c r="V25" i="129" l="1"/>
  <c r="X28" i="129"/>
  <c r="W28" i="129"/>
  <c r="V28" i="129"/>
  <c r="U28" i="129"/>
  <c r="T28" i="129"/>
  <c r="S28" i="129"/>
  <c r="X27" i="129"/>
  <c r="W27" i="129"/>
  <c r="V27" i="129"/>
  <c r="U27" i="129"/>
  <c r="T27" i="129"/>
  <c r="S27" i="129"/>
  <c r="X26" i="129"/>
  <c r="W26" i="129"/>
  <c r="V26" i="129"/>
  <c r="U26" i="129"/>
  <c r="T26" i="129"/>
  <c r="S26" i="129"/>
  <c r="X25" i="129"/>
  <c r="W25" i="129"/>
  <c r="U25" i="129"/>
  <c r="T25" i="129"/>
  <c r="S25" i="129"/>
  <c r="X24" i="129"/>
  <c r="W24" i="129"/>
  <c r="V24" i="129"/>
  <c r="U24" i="129"/>
  <c r="T24" i="129"/>
  <c r="S24" i="129"/>
  <c r="X23" i="129"/>
  <c r="W23" i="129"/>
  <c r="V23" i="129"/>
  <c r="U23" i="129"/>
  <c r="T23" i="129"/>
  <c r="S23" i="129"/>
  <c r="X22" i="129"/>
  <c r="W22" i="129"/>
  <c r="V22" i="129"/>
  <c r="U22" i="129"/>
  <c r="T22" i="129"/>
  <c r="S22" i="129"/>
  <c r="X21" i="129"/>
  <c r="W21" i="129"/>
  <c r="V21" i="129"/>
  <c r="U21" i="129"/>
  <c r="T21" i="129"/>
  <c r="S21" i="129"/>
  <c r="X20" i="129"/>
  <c r="W20" i="129"/>
  <c r="V20" i="129"/>
  <c r="U20" i="129"/>
  <c r="T20" i="129"/>
  <c r="S20" i="129"/>
  <c r="X19" i="129"/>
  <c r="W19" i="129"/>
  <c r="V19" i="129"/>
  <c r="U19" i="129"/>
  <c r="T19" i="129"/>
  <c r="S19" i="129"/>
  <c r="X18" i="129"/>
  <c r="W18" i="129"/>
  <c r="V18" i="129"/>
  <c r="U18" i="129"/>
  <c r="T18" i="129"/>
  <c r="S18" i="129"/>
  <c r="X17" i="129"/>
  <c r="W17" i="129"/>
  <c r="V17" i="129"/>
  <c r="U17" i="129"/>
  <c r="T17" i="129"/>
  <c r="S17" i="129"/>
  <c r="X16" i="129"/>
  <c r="W16" i="129"/>
  <c r="V16" i="129"/>
  <c r="U16" i="129"/>
  <c r="T16" i="129"/>
  <c r="S16" i="129"/>
  <c r="X15" i="129"/>
  <c r="W15" i="129"/>
  <c r="V15" i="129"/>
  <c r="U15" i="129"/>
  <c r="T15" i="129"/>
  <c r="S15" i="129"/>
  <c r="X14" i="129"/>
  <c r="W14" i="129"/>
  <c r="V14" i="129"/>
  <c r="U14" i="129"/>
  <c r="T14" i="129"/>
  <c r="S14" i="129"/>
  <c r="X13" i="129"/>
  <c r="W13" i="129"/>
  <c r="V13" i="129"/>
  <c r="U13" i="129"/>
  <c r="T13" i="129"/>
  <c r="S13" i="129"/>
  <c r="X12" i="129"/>
  <c r="W12" i="129"/>
  <c r="V12" i="129"/>
  <c r="U12" i="129"/>
  <c r="T12" i="129"/>
  <c r="S12" i="129"/>
  <c r="X11" i="129"/>
  <c r="W11" i="129"/>
  <c r="V11" i="129"/>
  <c r="U11" i="129"/>
  <c r="T11" i="129"/>
  <c r="S11" i="129"/>
  <c r="X10" i="129"/>
  <c r="W10" i="129"/>
  <c r="V10" i="129"/>
  <c r="U10" i="129"/>
  <c r="T10" i="129"/>
  <c r="S10" i="129"/>
  <c r="X9" i="129"/>
  <c r="W9" i="129"/>
  <c r="V9" i="129"/>
  <c r="U9" i="129"/>
  <c r="T9" i="129"/>
  <c r="S9" i="129"/>
  <c r="X8" i="129"/>
  <c r="W8" i="129"/>
  <c r="V8" i="129"/>
  <c r="U8" i="129"/>
  <c r="T8" i="129"/>
  <c r="S8" i="129"/>
  <c r="X7" i="129"/>
  <c r="W7" i="129"/>
  <c r="V7" i="129"/>
  <c r="U7" i="129"/>
  <c r="T7" i="129"/>
  <c r="S7" i="129"/>
  <c r="W6" i="129"/>
  <c r="V6" i="129"/>
  <c r="U6" i="129"/>
  <c r="T6" i="129"/>
  <c r="X6" i="129"/>
  <c r="E23" i="128" l="1"/>
  <c r="W71" i="104" l="1"/>
  <c r="X77" i="103"/>
  <c r="X118" i="103" s="1"/>
  <c r="W76" i="104"/>
  <c r="W75" i="104"/>
  <c r="W74" i="104"/>
  <c r="W73" i="104"/>
  <c r="W72" i="104"/>
  <c r="X185" i="103"/>
  <c r="X186" i="103" s="1"/>
  <c r="X179" i="103"/>
  <c r="X178" i="103"/>
  <c r="X177" i="103"/>
  <c r="X176" i="103"/>
  <c r="X175" i="103"/>
  <c r="X174" i="103"/>
  <c r="X173" i="103"/>
  <c r="X172" i="103"/>
  <c r="X171" i="103"/>
  <c r="X170" i="103"/>
  <c r="X169" i="103"/>
  <c r="X168" i="103"/>
  <c r="X167" i="103"/>
  <c r="X164" i="103"/>
  <c r="X161" i="103"/>
  <c r="X159" i="103"/>
  <c r="X158" i="103"/>
  <c r="X157" i="103"/>
  <c r="X156" i="103"/>
  <c r="X155" i="103"/>
  <c r="X153" i="103"/>
  <c r="X152" i="103"/>
  <c r="X151" i="103"/>
  <c r="X150" i="103"/>
  <c r="X149" i="103"/>
  <c r="X148" i="103"/>
  <c r="X147" i="103"/>
  <c r="X146" i="103"/>
  <c r="X145" i="103"/>
  <c r="X144" i="103"/>
  <c r="X184" i="103" l="1"/>
  <c r="D9" i="128"/>
  <c r="D8" i="128"/>
  <c r="D10" i="128" l="1"/>
  <c r="X187" i="103"/>
  <c r="D23" i="128"/>
  <c r="D22" i="128" l="1"/>
  <c r="D19" i="128"/>
  <c r="D18" i="128"/>
  <c r="D17" i="128"/>
  <c r="G23" i="128"/>
  <c r="E19" i="128"/>
  <c r="E18" i="128"/>
  <c r="D21" i="128"/>
  <c r="G18" i="128" l="1"/>
  <c r="G5" i="128"/>
  <c r="E21" i="128"/>
  <c r="G21" i="128" s="1"/>
  <c r="G17" i="128"/>
  <c r="G19" i="128"/>
  <c r="G9" i="128"/>
  <c r="E7" i="128"/>
  <c r="E29" i="128" s="1"/>
  <c r="G8" i="128"/>
  <c r="G10" i="128"/>
  <c r="G6" i="128"/>
  <c r="D7" i="128"/>
  <c r="D20" i="128"/>
  <c r="E20" i="128"/>
  <c r="E30" i="128" l="1"/>
  <c r="E22" i="128"/>
  <c r="G22" i="128" s="1"/>
  <c r="D24" i="128"/>
  <c r="G7" i="128"/>
  <c r="D11" i="128"/>
  <c r="E11" i="128"/>
  <c r="E24" i="128"/>
  <c r="G20" i="128"/>
  <c r="J20" i="128" l="1"/>
  <c r="G11" i="128"/>
  <c r="J4" i="128"/>
  <c r="G24" i="128"/>
  <c r="K23" i="128"/>
  <c r="K17" i="128"/>
  <c r="K19" i="128"/>
  <c r="K18" i="128"/>
  <c r="J23" i="128"/>
  <c r="J21" i="128"/>
  <c r="J22" i="128"/>
  <c r="J17" i="128"/>
  <c r="J18" i="128"/>
  <c r="J19" i="128"/>
  <c r="K20" i="128"/>
  <c r="K21" i="128"/>
  <c r="K22" i="128"/>
  <c r="K8" i="128"/>
  <c r="K9" i="128"/>
  <c r="K7" i="128"/>
  <c r="K4" i="128"/>
  <c r="J5" i="128"/>
  <c r="J7" i="128"/>
  <c r="J6" i="128"/>
  <c r="J9" i="128"/>
  <c r="K5" i="128"/>
  <c r="K6" i="128"/>
  <c r="J8" i="128"/>
  <c r="J10" i="128"/>
  <c r="K10" i="128"/>
  <c r="G1358" i="58" l="1"/>
  <c r="M1358" i="58" s="1"/>
  <c r="G1351" i="58"/>
  <c r="M1351" i="58" s="1"/>
  <c r="G1350" i="58"/>
  <c r="M1350" i="58" s="1"/>
  <c r="G1352" i="58"/>
  <c r="M1352" i="58" s="1"/>
  <c r="G1354" i="58" l="1"/>
  <c r="M1354" i="58" s="1"/>
  <c r="G1357" i="58"/>
  <c r="M1357" i="58" s="1"/>
  <c r="G1349" i="58"/>
  <c r="M1349" i="58" s="1"/>
  <c r="G1348" i="58"/>
  <c r="M1348" i="58" s="1"/>
  <c r="G1344" i="58"/>
  <c r="M1344" i="58" s="1"/>
  <c r="G260" i="58"/>
  <c r="M260" i="58" s="1"/>
  <c r="G293" i="58"/>
  <c r="M293" i="58" s="1"/>
  <c r="G1347" i="58"/>
  <c r="M1347" i="58" s="1"/>
  <c r="G1343" i="58"/>
  <c r="M1343" i="58" s="1"/>
  <c r="G1346" i="58"/>
  <c r="M1346" i="58" s="1"/>
  <c r="G655" i="58"/>
  <c r="M655" i="58" s="1"/>
  <c r="G185" i="58"/>
  <c r="M185" i="58" s="1"/>
  <c r="D63" i="104"/>
  <c r="H64" i="105"/>
  <c r="H182" i="105" s="1"/>
  <c r="H64" i="104"/>
  <c r="H182" i="104" s="1"/>
  <c r="E64" i="104"/>
  <c r="E182" i="104" s="1"/>
  <c r="G64" i="105"/>
  <c r="G182" i="105" s="1"/>
  <c r="G64" i="104"/>
  <c r="G182" i="104" s="1"/>
  <c r="F64" i="105"/>
  <c r="F182" i="105" s="1"/>
  <c r="F64" i="104"/>
  <c r="F182" i="104" s="1"/>
  <c r="E64" i="105"/>
  <c r="D64" i="105"/>
  <c r="D64" i="104"/>
  <c r="D182" i="104" s="1"/>
  <c r="O64" i="105"/>
  <c r="O182" i="105" s="1"/>
  <c r="O64" i="104"/>
  <c r="O182" i="104" s="1"/>
  <c r="N64" i="105"/>
  <c r="N182" i="105" s="1"/>
  <c r="N64" i="104"/>
  <c r="N182" i="104" s="1"/>
  <c r="M64" i="105"/>
  <c r="M182" i="105" s="1"/>
  <c r="M64" i="104"/>
  <c r="M182" i="104" s="1"/>
  <c r="L64" i="105"/>
  <c r="L182" i="105" s="1"/>
  <c r="L64" i="104"/>
  <c r="L182" i="104" s="1"/>
  <c r="K64" i="105"/>
  <c r="K182" i="105" s="1"/>
  <c r="K64" i="104"/>
  <c r="K182" i="104" s="1"/>
  <c r="J64" i="105"/>
  <c r="J182" i="105" s="1"/>
  <c r="J64" i="104"/>
  <c r="J182" i="104" s="1"/>
  <c r="I64" i="104"/>
  <c r="I182" i="104" s="1"/>
  <c r="I64" i="105"/>
  <c r="I182" i="105" s="1"/>
  <c r="F88" i="104"/>
  <c r="O83" i="105"/>
  <c r="E182" i="105" l="1"/>
  <c r="D182" i="105"/>
  <c r="P64" i="105"/>
  <c r="P182" i="105" s="1"/>
  <c r="P64" i="104"/>
  <c r="P182" i="104" s="1"/>
  <c r="J182" i="103"/>
  <c r="K182" i="103"/>
  <c r="F182" i="103"/>
  <c r="L182" i="103"/>
  <c r="G182" i="103"/>
  <c r="M182" i="103"/>
  <c r="O182" i="103"/>
  <c r="E182" i="103"/>
  <c r="N182" i="103"/>
  <c r="H182" i="103"/>
  <c r="K84" i="104"/>
  <c r="F84" i="105"/>
  <c r="J84" i="104"/>
  <c r="G84" i="104"/>
  <c r="N84" i="104"/>
  <c r="O84" i="105"/>
  <c r="D84" i="105"/>
  <c r="F84" i="104"/>
  <c r="K83" i="104"/>
  <c r="K84" i="105"/>
  <c r="L84" i="104"/>
  <c r="H84" i="105"/>
  <c r="E84" i="104"/>
  <c r="K83" i="105"/>
  <c r="M84" i="104"/>
  <c r="N84" i="105"/>
  <c r="I84" i="104"/>
  <c r="I84" i="105"/>
  <c r="G84" i="105"/>
  <c r="D84" i="104"/>
  <c r="H84" i="104"/>
  <c r="L84" i="105"/>
  <c r="O84" i="104"/>
  <c r="J84" i="105"/>
  <c r="M84" i="105"/>
  <c r="L83" i="104"/>
  <c r="E83" i="105"/>
  <c r="E84" i="105"/>
  <c r="L83" i="105"/>
  <c r="F83" i="104"/>
  <c r="I83" i="104"/>
  <c r="M83" i="104"/>
  <c r="F83" i="105"/>
  <c r="M83" i="105"/>
  <c r="G83" i="104"/>
  <c r="N83" i="105"/>
  <c r="G83" i="105"/>
  <c r="J83" i="104"/>
  <c r="J83" i="105"/>
  <c r="O83" i="104"/>
  <c r="H83" i="104"/>
  <c r="H83" i="105"/>
  <c r="H89" i="105"/>
  <c r="I83" i="105"/>
  <c r="E83" i="104"/>
  <c r="N83" i="104"/>
  <c r="D83" i="104"/>
  <c r="D83" i="105"/>
  <c r="L89" i="103"/>
  <c r="E88" i="105"/>
  <c r="L88" i="105"/>
  <c r="D88" i="105"/>
  <c r="O89" i="105"/>
  <c r="F89" i="103"/>
  <c r="E85" i="103"/>
  <c r="F89" i="104"/>
  <c r="M88" i="104"/>
  <c r="M85" i="105"/>
  <c r="K85" i="105"/>
  <c r="E85" i="105"/>
  <c r="G88" i="104"/>
  <c r="H85" i="104"/>
  <c r="F89" i="105"/>
  <c r="N88" i="105"/>
  <c r="K85" i="104"/>
  <c r="K89" i="105"/>
  <c r="L89" i="105"/>
  <c r="I88" i="105"/>
  <c r="I85" i="103"/>
  <c r="G85" i="104"/>
  <c r="I89" i="105"/>
  <c r="K85" i="103"/>
  <c r="I88" i="104"/>
  <c r="N89" i="104"/>
  <c r="F85" i="103"/>
  <c r="G89" i="103"/>
  <c r="H89" i="103"/>
  <c r="D88" i="104"/>
  <c r="M88" i="105"/>
  <c r="N85" i="104"/>
  <c r="L85" i="103"/>
  <c r="O89" i="104"/>
  <c r="F85" i="104"/>
  <c r="H85" i="105"/>
  <c r="J85" i="104"/>
  <c r="F88" i="105"/>
  <c r="I85" i="105"/>
  <c r="J88" i="104"/>
  <c r="G89" i="104"/>
  <c r="L85" i="105"/>
  <c r="H85" i="103"/>
  <c r="F85" i="105"/>
  <c r="K89" i="103"/>
  <c r="J88" i="105"/>
  <c r="N85" i="105"/>
  <c r="K88" i="104"/>
  <c r="J89" i="104"/>
  <c r="J89" i="103"/>
  <c r="K88" i="105"/>
  <c r="L88" i="104"/>
  <c r="K89" i="104"/>
  <c r="M89" i="105"/>
  <c r="M89" i="103"/>
  <c r="G88" i="105"/>
  <c r="N88" i="104"/>
  <c r="M85" i="104"/>
  <c r="I89" i="103"/>
  <c r="O89" i="103"/>
  <c r="G85" i="103"/>
  <c r="N85" i="103"/>
  <c r="H89" i="104"/>
  <c r="J85" i="105"/>
  <c r="N89" i="105"/>
  <c r="O85" i="105"/>
  <c r="L89" i="104"/>
  <c r="D89" i="105"/>
  <c r="D89" i="103"/>
  <c r="I85" i="104"/>
  <c r="D85" i="105"/>
  <c r="J89" i="105"/>
  <c r="D85" i="103"/>
  <c r="E89" i="104"/>
  <c r="E89" i="105"/>
  <c r="E89" i="103"/>
  <c r="G85" i="105"/>
  <c r="O85" i="103"/>
  <c r="L85" i="104"/>
  <c r="E85" i="104"/>
  <c r="E88" i="104"/>
  <c r="H88" i="104"/>
  <c r="H88" i="105"/>
  <c r="J85" i="103"/>
  <c r="O85" i="104"/>
  <c r="N89" i="103"/>
  <c r="G89" i="105"/>
  <c r="M85" i="103"/>
  <c r="O88" i="105"/>
  <c r="I89" i="104"/>
  <c r="M89" i="104"/>
  <c r="O88" i="104"/>
  <c r="D85" i="104"/>
  <c r="Q64" i="105" l="1"/>
  <c r="Q182" i="105" s="1"/>
  <c r="P85" i="105"/>
  <c r="Q85" i="105" s="1"/>
  <c r="P89" i="105"/>
  <c r="Q89" i="105" s="1"/>
  <c r="P88" i="105"/>
  <c r="Q88" i="105" s="1"/>
  <c r="P83" i="105"/>
  <c r="Q83" i="105" s="1"/>
  <c r="P85" i="104"/>
  <c r="R85" i="104" s="1"/>
  <c r="S85" i="104" s="1"/>
  <c r="P84" i="104"/>
  <c r="P83" i="104"/>
  <c r="P89" i="104"/>
  <c r="R89" i="104" s="1"/>
  <c r="S89" i="104" s="1"/>
  <c r="P88" i="104"/>
  <c r="R88" i="104" s="1"/>
  <c r="S88" i="104" s="1"/>
  <c r="P89" i="103"/>
  <c r="Z89" i="103" s="1"/>
  <c r="P85" i="103"/>
  <c r="Z85" i="103" s="1"/>
  <c r="AO30" i="127"/>
  <c r="AO29" i="127"/>
  <c r="AO27" i="127"/>
  <c r="AO26" i="127"/>
  <c r="AM23" i="127"/>
  <c r="AM22" i="127"/>
  <c r="AM21" i="127"/>
  <c r="AE8" i="127"/>
  <c r="AE7" i="127"/>
  <c r="AE6" i="127"/>
  <c r="AE12" i="127"/>
  <c r="AB10" i="127"/>
  <c r="AB21" i="127"/>
  <c r="AB20" i="127"/>
  <c r="AB19" i="127"/>
  <c r="AB18" i="127"/>
  <c r="AB17" i="127"/>
  <c r="AB16" i="127"/>
  <c r="AB15" i="127"/>
  <c r="AB14" i="127"/>
  <c r="AB13" i="127"/>
  <c r="AB12" i="127"/>
  <c r="AB11" i="127"/>
  <c r="X13" i="127"/>
  <c r="X14" i="127"/>
  <c r="AB9" i="127"/>
  <c r="AB8" i="127"/>
  <c r="AB7" i="127"/>
  <c r="AB6" i="127"/>
  <c r="AB5" i="127"/>
  <c r="AB4" i="127"/>
  <c r="AB3" i="127"/>
  <c r="R88" i="105" l="1"/>
  <c r="S88" i="105" s="1"/>
  <c r="R89" i="105"/>
  <c r="S89" i="105" s="1"/>
  <c r="R85" i="105"/>
  <c r="S85" i="105" s="1"/>
  <c r="R85" i="103"/>
  <c r="S85" i="103" s="1"/>
  <c r="Y85" i="103"/>
  <c r="R89" i="103"/>
  <c r="S89" i="103" s="1"/>
  <c r="Y89" i="103"/>
  <c r="G407" i="58"/>
  <c r="M407" i="58" s="1"/>
  <c r="G529" i="58"/>
  <c r="M529" i="58" s="1"/>
  <c r="G88" i="103" l="1"/>
  <c r="J88" i="103"/>
  <c r="M88" i="103" l="1"/>
  <c r="F88" i="103"/>
  <c r="N88" i="103"/>
  <c r="I88" i="103"/>
  <c r="K88" i="103"/>
  <c r="L88" i="103"/>
  <c r="D88" i="103"/>
  <c r="O88" i="103"/>
  <c r="H88" i="103"/>
  <c r="E88" i="103"/>
  <c r="G1327" i="58"/>
  <c r="M1327" i="58" s="1"/>
  <c r="G1434" i="58" l="1"/>
  <c r="M1434" i="58" s="1"/>
  <c r="G1432" i="58"/>
  <c r="M1432" i="58" s="1"/>
  <c r="G1433" i="58"/>
  <c r="M1433" i="58" s="1"/>
  <c r="P88" i="103"/>
  <c r="Z88" i="103" s="1"/>
  <c r="B12" i="106"/>
  <c r="D12" i="106" l="1"/>
  <c r="T12" i="106"/>
  <c r="D64" i="103"/>
  <c r="D182" i="103" s="1"/>
  <c r="I182" i="103"/>
  <c r="Y88" i="103"/>
  <c r="R88" i="103"/>
  <c r="C12" i="106"/>
  <c r="W12" i="106" l="1"/>
  <c r="AB12" i="106"/>
  <c r="AC12" i="106"/>
  <c r="AF12" i="106"/>
  <c r="V12" i="106"/>
  <c r="Y12" i="106"/>
  <c r="Z12" i="106"/>
  <c r="AA12" i="106"/>
  <c r="AD12" i="106"/>
  <c r="AE12" i="106"/>
  <c r="U12" i="106"/>
  <c r="X12" i="106"/>
  <c r="P64" i="103"/>
  <c r="P182" i="103" s="1"/>
  <c r="R182" i="103" s="1"/>
  <c r="S88" i="103"/>
  <c r="R162" i="103"/>
  <c r="Y64" i="103" l="1"/>
  <c r="Z64" i="103"/>
  <c r="G1328" i="58" l="1"/>
  <c r="M1328" i="58" s="1"/>
  <c r="G1005" i="58" l="1"/>
  <c r="M1005" i="58" s="1"/>
  <c r="K22" i="127"/>
  <c r="K21" i="127"/>
  <c r="K20" i="127"/>
  <c r="K18" i="127"/>
  <c r="K17" i="127"/>
  <c r="K16" i="127"/>
  <c r="K14" i="127"/>
  <c r="K12" i="127"/>
  <c r="K11" i="127"/>
  <c r="M11" i="127" s="1"/>
  <c r="K10" i="127"/>
  <c r="B10" i="127" l="1"/>
  <c r="A10" i="127"/>
  <c r="B11" i="127" s="1"/>
  <c r="K9" i="127"/>
  <c r="K8" i="127"/>
  <c r="K7" i="127"/>
  <c r="K6" i="127"/>
  <c r="K5" i="127"/>
  <c r="K3" i="127"/>
  <c r="K4" i="127" l="1"/>
  <c r="B5" i="127" l="1"/>
  <c r="B4" i="127"/>
  <c r="B3" i="127"/>
  <c r="G11" i="127"/>
  <c r="W22" i="127" l="1"/>
  <c r="T22" i="127"/>
  <c r="U22" i="127"/>
  <c r="V22" i="127"/>
  <c r="X21" i="127" l="1"/>
  <c r="X20" i="127"/>
  <c r="X19" i="127"/>
  <c r="X18" i="127"/>
  <c r="X17" i="127"/>
  <c r="X16" i="127"/>
  <c r="X15" i="127"/>
  <c r="X12" i="127"/>
  <c r="X11" i="127"/>
  <c r="X10" i="127"/>
  <c r="X9" i="127"/>
  <c r="X8" i="127"/>
  <c r="X7" i="127"/>
  <c r="X6" i="127"/>
  <c r="X5" i="127"/>
  <c r="X4" i="127"/>
  <c r="X3" i="127"/>
  <c r="G1404" i="58" l="1"/>
  <c r="M1404" i="58" s="1"/>
  <c r="G1408" i="58"/>
  <c r="M1408" i="58" s="1"/>
  <c r="O113" i="104" l="1"/>
  <c r="N113" i="104"/>
  <c r="M113" i="104"/>
  <c r="L113" i="104"/>
  <c r="K113" i="104"/>
  <c r="J113" i="104"/>
  <c r="I113" i="104"/>
  <c r="H113" i="104"/>
  <c r="H66" i="104"/>
  <c r="O108" i="104"/>
  <c r="N108" i="104"/>
  <c r="H108" i="104"/>
  <c r="M108" i="104"/>
  <c r="L108" i="104"/>
  <c r="K108" i="104"/>
  <c r="J108" i="104"/>
  <c r="I108" i="104"/>
  <c r="J106" i="104"/>
  <c r="G113" i="104"/>
  <c r="D90" i="104"/>
  <c r="O90" i="104"/>
  <c r="O180" i="104" s="1"/>
  <c r="N90" i="104"/>
  <c r="N180" i="104" s="1"/>
  <c r="M90" i="104"/>
  <c r="M180" i="104" s="1"/>
  <c r="L90" i="104"/>
  <c r="L180" i="104" s="1"/>
  <c r="K90" i="104"/>
  <c r="K180" i="104" s="1"/>
  <c r="J90" i="104"/>
  <c r="J180" i="104" s="1"/>
  <c r="I90" i="104"/>
  <c r="I180" i="104" s="1"/>
  <c r="H90" i="104"/>
  <c r="H180" i="104" s="1"/>
  <c r="G90" i="104"/>
  <c r="G180" i="104" s="1"/>
  <c r="F90" i="104"/>
  <c r="F180" i="104" s="1"/>
  <c r="E90" i="104"/>
  <c r="E180" i="104" s="1"/>
  <c r="D180" i="104" l="1"/>
  <c r="P90" i="104"/>
  <c r="P180" i="104" s="1"/>
  <c r="G1365" i="58" l="1"/>
  <c r="M1365" i="58" s="1"/>
  <c r="G1362" i="58"/>
  <c r="M1362" i="58" s="1"/>
  <c r="G1364" i="58"/>
  <c r="M1364" i="58" s="1"/>
  <c r="G1366" i="58"/>
  <c r="M1366" i="58" s="1"/>
  <c r="G1363" i="58"/>
  <c r="M1363" i="58" s="1"/>
  <c r="G1421" i="58"/>
  <c r="M1421" i="58" s="1"/>
  <c r="G1419" i="58"/>
  <c r="M1419" i="58" s="1"/>
  <c r="G1417" i="58"/>
  <c r="M1417" i="58" s="1"/>
  <c r="G1380" i="58"/>
  <c r="M1380" i="58" s="1"/>
  <c r="G1276" i="58"/>
  <c r="M1276" i="58" s="1"/>
  <c r="G1387" i="58"/>
  <c r="M1387" i="58" s="1"/>
  <c r="G1420" i="58"/>
  <c r="M1420" i="58" s="1"/>
  <c r="G1418" i="58"/>
  <c r="M1418" i="58" s="1"/>
  <c r="G1370" i="58"/>
  <c r="M1370" i="58" s="1"/>
  <c r="G1390" i="58"/>
  <c r="M1390" i="58" s="1"/>
  <c r="G1401" i="58"/>
  <c r="M1401" i="58" s="1"/>
  <c r="G1388" i="58"/>
  <c r="M1388" i="58" s="1"/>
  <c r="G1277" i="58"/>
  <c r="M1277" i="58" s="1"/>
  <c r="G1268" i="58"/>
  <c r="M1268" i="58" s="1"/>
  <c r="G1247" i="58"/>
  <c r="M1247" i="58" s="1"/>
  <c r="G1250" i="58"/>
  <c r="M1250" i="58" s="1"/>
  <c r="G1264" i="58"/>
  <c r="M1264" i="58" s="1"/>
  <c r="G1291" i="58"/>
  <c r="M1291" i="58" s="1"/>
  <c r="G1269" i="58"/>
  <c r="M1269" i="58" s="1"/>
  <c r="G1289" i="58"/>
  <c r="M1289" i="58" s="1"/>
  <c r="G1248" i="58"/>
  <c r="M1248" i="58" s="1"/>
  <c r="G1246" i="58"/>
  <c r="M1246" i="58" s="1"/>
  <c r="G1249" i="58"/>
  <c r="M1249" i="58" s="1"/>
  <c r="G1292" i="58"/>
  <c r="M1292" i="58" s="1"/>
  <c r="R90" i="104"/>
  <c r="S90" i="104" s="1"/>
  <c r="G988" i="58" l="1"/>
  <c r="M988" i="58" s="1"/>
  <c r="G502" i="58" l="1"/>
  <c r="M502" i="58" s="1"/>
  <c r="G551" i="58"/>
  <c r="M551" i="58" s="1"/>
  <c r="G247" i="58"/>
  <c r="M247" i="58" s="1"/>
  <c r="G1426" i="58"/>
  <c r="M1426" i="58" s="1"/>
  <c r="G1316" i="58"/>
  <c r="M1316" i="58" s="1"/>
  <c r="G1278" i="58"/>
  <c r="M1278" i="58" s="1"/>
  <c r="G1424" i="58"/>
  <c r="M1424" i="58" s="1"/>
  <c r="G1422" i="58"/>
  <c r="M1422" i="58" s="1"/>
  <c r="G1425" i="58"/>
  <c r="M1425" i="58" s="1"/>
  <c r="G1423" i="58"/>
  <c r="M1423" i="58" s="1"/>
  <c r="G1323" i="58"/>
  <c r="M1323" i="58" s="1"/>
  <c r="G1270" i="58"/>
  <c r="M1270" i="58" s="1"/>
  <c r="G1302" i="58"/>
  <c r="M1302" i="58" s="1"/>
  <c r="G1317" i="58"/>
  <c r="M1317" i="58" s="1"/>
  <c r="G1282" i="58"/>
  <c r="M1282" i="58" s="1"/>
  <c r="G1324" i="58"/>
  <c r="M1324" i="58" s="1"/>
  <c r="G1280" i="58"/>
  <c r="M1280" i="58" s="1"/>
  <c r="G1320" i="58"/>
  <c r="M1320" i="58" s="1"/>
  <c r="G1303" i="58"/>
  <c r="M1303" i="58" s="1"/>
  <c r="G1301" i="58"/>
  <c r="M1301" i="58" s="1"/>
  <c r="G1281" i="58"/>
  <c r="M1281" i="58" s="1"/>
  <c r="G1321" i="58"/>
  <c r="M1321" i="58" s="1"/>
  <c r="G1322" i="58"/>
  <c r="M1322" i="58" s="1"/>
  <c r="G1307" i="58"/>
  <c r="M1307" i="58" s="1"/>
  <c r="G1310" i="58"/>
  <c r="M1310" i="58" s="1"/>
  <c r="G1308" i="58"/>
  <c r="M1308" i="58" s="1"/>
  <c r="G1319" i="58"/>
  <c r="M1319" i="58" s="1"/>
  <c r="G1313" i="58"/>
  <c r="M1313" i="58" s="1"/>
  <c r="G1309" i="58"/>
  <c r="M1309" i="58" s="1"/>
  <c r="G1096" i="58"/>
  <c r="M1096" i="58" s="1"/>
  <c r="G585" i="58"/>
  <c r="M585" i="58" s="1"/>
  <c r="G542" i="58"/>
  <c r="M542" i="58" s="1"/>
  <c r="G336" i="58"/>
  <c r="M336" i="58" s="1"/>
  <c r="G147" i="58"/>
  <c r="M147" i="58" s="1"/>
  <c r="G584" i="58"/>
  <c r="M584" i="58" s="1"/>
  <c r="G457" i="58"/>
  <c r="M457" i="58" s="1"/>
  <c r="G335" i="58"/>
  <c r="M335" i="58" s="1"/>
  <c r="G384" i="58"/>
  <c r="M384" i="58" s="1"/>
  <c r="G994" i="58"/>
  <c r="M994" i="58" s="1"/>
  <c r="G1224" i="58"/>
  <c r="M1224" i="58" s="1"/>
  <c r="G905" i="58"/>
  <c r="M905" i="58" s="1"/>
  <c r="G731" i="58"/>
  <c r="M731" i="58" s="1"/>
  <c r="G741" i="58"/>
  <c r="M741" i="58" s="1"/>
  <c r="G2" i="106"/>
  <c r="R2" i="106"/>
  <c r="Q2" i="106"/>
  <c r="P2" i="106"/>
  <c r="O2" i="106"/>
  <c r="N2" i="106"/>
  <c r="M2" i="106"/>
  <c r="L2" i="106"/>
  <c r="K2" i="106"/>
  <c r="J2" i="106"/>
  <c r="I2" i="106"/>
  <c r="H2" i="106"/>
  <c r="X22" i="127" l="1"/>
  <c r="G1332" i="58"/>
  <c r="M1332" i="58" s="1"/>
  <c r="G1330" i="58"/>
  <c r="M1330" i="58" s="1"/>
  <c r="G1430" i="58" l="1"/>
  <c r="M1430" i="58" s="1"/>
  <c r="G1431" i="58"/>
  <c r="M1431" i="58" s="1"/>
  <c r="G1429" i="58"/>
  <c r="M1429" i="58" s="1"/>
  <c r="G1329" i="58"/>
  <c r="M1329" i="58" s="1"/>
  <c r="G955" i="58"/>
  <c r="M955" i="58" s="1"/>
  <c r="G839" i="58"/>
  <c r="M839" i="58" s="1"/>
  <c r="G516" i="58"/>
  <c r="M516" i="58" s="1"/>
  <c r="G488" i="58"/>
  <c r="M488" i="58" s="1"/>
  <c r="G1230" i="58"/>
  <c r="M1230" i="58" s="1"/>
  <c r="G515" i="58"/>
  <c r="M515" i="58" s="1"/>
  <c r="G854" i="58"/>
  <c r="M854" i="58" s="1"/>
  <c r="G334" i="58"/>
  <c r="M334" i="58" s="1"/>
  <c r="G276" i="58"/>
  <c r="M276" i="58" s="1"/>
  <c r="G211" i="58"/>
  <c r="M211" i="58" s="1"/>
  <c r="G1090" i="58" l="1"/>
  <c r="M1090" i="58" s="1"/>
  <c r="G164" i="58"/>
  <c r="M164" i="58" s="1"/>
  <c r="G856" i="58"/>
  <c r="M856" i="58" s="1"/>
  <c r="G212" i="58"/>
  <c r="M212" i="58" s="1"/>
  <c r="G805" i="58"/>
  <c r="M805" i="58" s="1"/>
  <c r="G528" i="58"/>
  <c r="M528" i="58" s="1"/>
  <c r="G397" i="58"/>
  <c r="M397" i="58" s="1"/>
  <c r="G1049" i="58"/>
  <c r="M1049" i="58" s="1"/>
  <c r="G1137" i="58"/>
  <c r="M1137" i="58" s="1"/>
  <c r="G1174" i="58"/>
  <c r="M1174" i="58" s="1"/>
  <c r="G662" i="58"/>
  <c r="M662" i="58" s="1"/>
  <c r="G918" i="58"/>
  <c r="M918" i="58" s="1"/>
  <c r="G900" i="58"/>
  <c r="M900" i="58" s="1"/>
  <c r="G881" i="58"/>
  <c r="M881" i="58" s="1"/>
  <c r="G911" i="58"/>
  <c r="M911" i="58" s="1"/>
  <c r="G1161" i="58"/>
  <c r="M1161" i="58" s="1"/>
  <c r="G912" i="58"/>
  <c r="M912" i="58" s="1"/>
  <c r="G436" i="58"/>
  <c r="M436" i="58" s="1"/>
  <c r="G372" i="58"/>
  <c r="M372" i="58" s="1"/>
  <c r="G712" i="58"/>
  <c r="M712" i="58" s="1"/>
  <c r="G512" i="58"/>
  <c r="M512" i="58" s="1"/>
  <c r="G450" i="58"/>
  <c r="M450" i="58" s="1"/>
  <c r="G837" i="58"/>
  <c r="M837" i="58" s="1"/>
  <c r="G115" i="58"/>
  <c r="M115" i="58" s="1"/>
  <c r="G478" i="58"/>
  <c r="M478" i="58" s="1"/>
  <c r="G986" i="58"/>
  <c r="M986" i="58" s="1"/>
  <c r="G259" i="58"/>
  <c r="M259" i="58" s="1"/>
  <c r="G291" i="58"/>
  <c r="M291" i="58" s="1"/>
  <c r="C192" i="110" l="1"/>
  <c r="G408" i="58" l="1"/>
  <c r="M408" i="58" s="1"/>
  <c r="G159" i="58" l="1"/>
  <c r="M159" i="58" s="1"/>
  <c r="G192" i="58"/>
  <c r="M192" i="58" s="1"/>
  <c r="G931" i="58"/>
  <c r="M931" i="58" s="1"/>
  <c r="G853" i="58"/>
  <c r="M853" i="58" s="1"/>
  <c r="G802" i="58"/>
  <c r="M802" i="58" s="1"/>
  <c r="G826" i="58"/>
  <c r="M826" i="58" s="1"/>
  <c r="G396" i="58"/>
  <c r="M396" i="58" s="1"/>
  <c r="G375" i="58"/>
  <c r="M375" i="58" s="1"/>
  <c r="G440" i="58"/>
  <c r="M440" i="58" s="1"/>
  <c r="G305" i="58"/>
  <c r="M305" i="58" s="1"/>
  <c r="G657" i="58"/>
  <c r="M657" i="58" s="1"/>
  <c r="G74" i="58"/>
  <c r="M74" i="58" s="1"/>
  <c r="G599" i="58"/>
  <c r="M599" i="58" s="1"/>
  <c r="G245" i="58"/>
  <c r="M245" i="58" s="1"/>
  <c r="G210" i="58"/>
  <c r="M210" i="58" s="1"/>
  <c r="G143" i="58"/>
  <c r="M143" i="58" s="1"/>
  <c r="G766" i="58"/>
  <c r="M766" i="58" s="1"/>
  <c r="G202" i="58"/>
  <c r="M202" i="58" s="1"/>
  <c r="G104" i="58"/>
  <c r="M104" i="58" s="1"/>
  <c r="G596" i="58"/>
  <c r="M596" i="58" s="1"/>
  <c r="G73" i="58"/>
  <c r="M73" i="58" s="1"/>
  <c r="G765" i="58"/>
  <c r="M765" i="58" s="1"/>
  <c r="G383" i="58"/>
  <c r="M383" i="58" s="1"/>
  <c r="G208" i="58"/>
  <c r="M208" i="58" s="1"/>
  <c r="G289" i="58"/>
  <c r="M289" i="58" s="1"/>
  <c r="G102" i="58"/>
  <c r="M102" i="58" s="1"/>
  <c r="G318" i="58"/>
  <c r="M318" i="58" s="1"/>
  <c r="G71" i="58"/>
  <c r="M71" i="58" s="1"/>
  <c r="G17" i="58"/>
  <c r="M17" i="58" s="1"/>
  <c r="D87" i="103"/>
  <c r="M90" i="103"/>
  <c r="M180" i="103" s="1"/>
  <c r="E81" i="103"/>
  <c r="I80" i="105"/>
  <c r="I177" i="105" s="1"/>
  <c r="D81" i="104"/>
  <c r="D86" i="104"/>
  <c r="L87" i="104"/>
  <c r="L81" i="103"/>
  <c r="K86" i="104"/>
  <c r="L80" i="105"/>
  <c r="L177" i="105" s="1"/>
  <c r="H81" i="105"/>
  <c r="N81" i="105"/>
  <c r="N90" i="103"/>
  <c r="N180" i="103" s="1"/>
  <c r="L81" i="105"/>
  <c r="O81" i="104"/>
  <c r="L86" i="104"/>
  <c r="M87" i="103"/>
  <c r="D82" i="105"/>
  <c r="E82" i="104"/>
  <c r="D80" i="105"/>
  <c r="O81" i="103"/>
  <c r="E49" i="104"/>
  <c r="E87" i="104"/>
  <c r="D86" i="103"/>
  <c r="D81" i="105"/>
  <c r="K90" i="103"/>
  <c r="K180" i="103" s="1"/>
  <c r="N87" i="105"/>
  <c r="E87" i="103"/>
  <c r="E80" i="105"/>
  <c r="L81" i="104"/>
  <c r="D87" i="104"/>
  <c r="O87" i="104"/>
  <c r="K81" i="103"/>
  <c r="N90" i="105"/>
  <c r="F81" i="105"/>
  <c r="L82" i="104"/>
  <c r="L90" i="105"/>
  <c r="K90" i="105"/>
  <c r="K87" i="104"/>
  <c r="K82" i="105"/>
  <c r="I90" i="105"/>
  <c r="L87" i="105"/>
  <c r="E90" i="105"/>
  <c r="E86" i="105"/>
  <c r="D81" i="103"/>
  <c r="D90" i="105"/>
  <c r="K86" i="105"/>
  <c r="E87" i="105"/>
  <c r="K81" i="104"/>
  <c r="L86" i="105"/>
  <c r="G82" i="105"/>
  <c r="F86" i="104"/>
  <c r="E86" i="104"/>
  <c r="E82" i="105"/>
  <c r="E81" i="105"/>
  <c r="D82" i="104"/>
  <c r="J87" i="104"/>
  <c r="G81" i="103"/>
  <c r="K80" i="105"/>
  <c r="K177" i="105" s="1"/>
  <c r="D90" i="103"/>
  <c r="D180" i="103" s="1"/>
  <c r="D86" i="105"/>
  <c r="K82" i="104"/>
  <c r="K81" i="105"/>
  <c r="E81" i="104"/>
  <c r="L82" i="105"/>
  <c r="K87" i="105"/>
  <c r="D87" i="105"/>
  <c r="J87" i="105"/>
  <c r="G90" i="105"/>
  <c r="M86" i="104"/>
  <c r="F90" i="105"/>
  <c r="J82" i="105"/>
  <c r="N86" i="105"/>
  <c r="J82" i="104"/>
  <c r="N82" i="105"/>
  <c r="I86" i="105"/>
  <c r="O81" i="105"/>
  <c r="N87" i="104"/>
  <c r="M90" i="105"/>
  <c r="H86" i="104"/>
  <c r="F86" i="105"/>
  <c r="H82" i="105"/>
  <c r="O90" i="105"/>
  <c r="O87" i="105"/>
  <c r="N81" i="104"/>
  <c r="J81" i="103"/>
  <c r="F82" i="105"/>
  <c r="J86" i="104"/>
  <c r="I82" i="104"/>
  <c r="M82" i="105"/>
  <c r="G81" i="105"/>
  <c r="N82" i="104"/>
  <c r="J86" i="105"/>
  <c r="O86" i="105"/>
  <c r="H81" i="104"/>
  <c r="G86" i="105"/>
  <c r="O86" i="104"/>
  <c r="G87" i="105"/>
  <c r="H90" i="105"/>
  <c r="F81" i="104"/>
  <c r="N80" i="105"/>
  <c r="N177" i="105" s="1"/>
  <c r="J81" i="105"/>
  <c r="M81" i="104"/>
  <c r="I81" i="103"/>
  <c r="H82" i="104"/>
  <c r="M87" i="104"/>
  <c r="I87" i="105"/>
  <c r="G80" i="105"/>
  <c r="G177" i="105" s="1"/>
  <c r="H80" i="105"/>
  <c r="H177" i="105" s="1"/>
  <c r="F87" i="104"/>
  <c r="G86" i="104"/>
  <c r="O82" i="104"/>
  <c r="J90" i="103"/>
  <c r="J180" i="103" s="1"/>
  <c r="F80" i="105"/>
  <c r="F177" i="105" s="1"/>
  <c r="H87" i="104"/>
  <c r="F81" i="103"/>
  <c r="M80" i="105"/>
  <c r="M177" i="105" s="1"/>
  <c r="I81" i="105"/>
  <c r="H81" i="103"/>
  <c r="I86" i="104"/>
  <c r="M86" i="105"/>
  <c r="J80" i="105"/>
  <c r="J177" i="105" s="1"/>
  <c r="F82" i="104"/>
  <c r="J81" i="104"/>
  <c r="O82" i="105"/>
  <c r="J90" i="105"/>
  <c r="I90" i="103"/>
  <c r="I180" i="103" s="1"/>
  <c r="H86" i="105"/>
  <c r="M82" i="104"/>
  <c r="I82" i="105"/>
  <c r="G90" i="103"/>
  <c r="G180" i="103" s="1"/>
  <c r="M81" i="103"/>
  <c r="G87" i="104"/>
  <c r="H87" i="105"/>
  <c r="G82" i="104"/>
  <c r="N81" i="103"/>
  <c r="G81" i="104"/>
  <c r="O80" i="105"/>
  <c r="O177" i="105" s="1"/>
  <c r="N86" i="104"/>
  <c r="F87" i="105"/>
  <c r="I87" i="104"/>
  <c r="M87" i="105"/>
  <c r="I81" i="104"/>
  <c r="M81" i="105"/>
  <c r="D49" i="104"/>
  <c r="L49" i="104"/>
  <c r="I49" i="104"/>
  <c r="J49" i="104"/>
  <c r="N49" i="104"/>
  <c r="H49" i="104"/>
  <c r="O49" i="104"/>
  <c r="G49" i="104"/>
  <c r="K49" i="104"/>
  <c r="F49" i="104"/>
  <c r="M49" i="104"/>
  <c r="E177" i="105" l="1"/>
  <c r="P87" i="105"/>
  <c r="Q87" i="105" s="1"/>
  <c r="R87" i="105" s="1"/>
  <c r="S87" i="105" s="1"/>
  <c r="P82" i="105"/>
  <c r="P86" i="105"/>
  <c r="P81" i="105"/>
  <c r="Q81" i="105" s="1"/>
  <c r="P90" i="105"/>
  <c r="P180" i="105" s="1"/>
  <c r="D177" i="105"/>
  <c r="P80" i="105"/>
  <c r="P177" i="105" s="1"/>
  <c r="P82" i="104"/>
  <c r="R82" i="104" s="1"/>
  <c r="S82" i="104" s="1"/>
  <c r="P87" i="104"/>
  <c r="R87" i="104" s="1"/>
  <c r="S87" i="104" s="1"/>
  <c r="P81" i="104"/>
  <c r="H180" i="105"/>
  <c r="K180" i="105"/>
  <c r="L180" i="105"/>
  <c r="O180" i="105"/>
  <c r="F180" i="105"/>
  <c r="D180" i="105"/>
  <c r="N180" i="105"/>
  <c r="G180" i="105"/>
  <c r="M180" i="105"/>
  <c r="E180" i="105"/>
  <c r="J180" i="105"/>
  <c r="I180" i="105"/>
  <c r="P49" i="104"/>
  <c r="R49" i="104" s="1"/>
  <c r="S49" i="104" s="1"/>
  <c r="P86" i="104"/>
  <c r="R86" i="104" s="1"/>
  <c r="S86" i="104" s="1"/>
  <c r="I178" i="104"/>
  <c r="E178" i="104"/>
  <c r="J178" i="104"/>
  <c r="K178" i="105"/>
  <c r="M178" i="105"/>
  <c r="I178" i="105"/>
  <c r="H178" i="104"/>
  <c r="G178" i="104"/>
  <c r="J178" i="105"/>
  <c r="N178" i="104"/>
  <c r="H178" i="105"/>
  <c r="L178" i="104"/>
  <c r="M178" i="104"/>
  <c r="G178" i="105"/>
  <c r="D178" i="104"/>
  <c r="O178" i="105"/>
  <c r="K178" i="104"/>
  <c r="O178" i="104"/>
  <c r="F178" i="104"/>
  <c r="L178" i="105"/>
  <c r="D178" i="105"/>
  <c r="E178" i="105"/>
  <c r="F178" i="105"/>
  <c r="N178" i="105"/>
  <c r="P81" i="103"/>
  <c r="R81" i="105" l="1"/>
  <c r="S81" i="105" s="1"/>
  <c r="Q80" i="105"/>
  <c r="Q177" i="105" s="1"/>
  <c r="R177" i="105" s="1"/>
  <c r="S177" i="105" s="1"/>
  <c r="Q82" i="105"/>
  <c r="Q178" i="105" s="1"/>
  <c r="Q90" i="105"/>
  <c r="Q180" i="105" s="1"/>
  <c r="R180" i="105" s="1"/>
  <c r="S180" i="105" s="1"/>
  <c r="Q86" i="105"/>
  <c r="R86" i="105" s="1"/>
  <c r="S86" i="105" s="1"/>
  <c r="P178" i="105"/>
  <c r="Y81" i="103"/>
  <c r="Z81" i="103"/>
  <c r="P178" i="104"/>
  <c r="R178" i="104" s="1"/>
  <c r="S178" i="104" s="1"/>
  <c r="R81" i="104"/>
  <c r="S81" i="104" s="1"/>
  <c r="R81" i="103"/>
  <c r="S81" i="103" s="1"/>
  <c r="G1334" i="58"/>
  <c r="M1334" i="58" s="1"/>
  <c r="G1331" i="58"/>
  <c r="M1331" i="58" s="1"/>
  <c r="B6" i="106"/>
  <c r="T6" i="106" s="1"/>
  <c r="B9" i="106"/>
  <c r="T9" i="106" s="1"/>
  <c r="D11" i="106"/>
  <c r="B15" i="106"/>
  <c r="T15" i="106" s="1"/>
  <c r="B16" i="106"/>
  <c r="T16" i="106" s="1"/>
  <c r="B17" i="106"/>
  <c r="T17" i="106" s="1"/>
  <c r="B18" i="106"/>
  <c r="T18" i="106" s="1"/>
  <c r="B19" i="106"/>
  <c r="T19" i="106" s="1"/>
  <c r="B20" i="106"/>
  <c r="T20" i="106" s="1"/>
  <c r="B21" i="106"/>
  <c r="T21" i="106" s="1"/>
  <c r="B22" i="106"/>
  <c r="T22" i="106" s="1"/>
  <c r="B23" i="106"/>
  <c r="T23" i="106" s="1"/>
  <c r="B24" i="106"/>
  <c r="T24" i="106" s="1"/>
  <c r="B25" i="106"/>
  <c r="T25" i="106" s="1"/>
  <c r="B26" i="106"/>
  <c r="T26" i="106" s="1"/>
  <c r="B27" i="106"/>
  <c r="T27" i="106" s="1"/>
  <c r="B28" i="106"/>
  <c r="T28" i="106" s="1"/>
  <c r="B29" i="106"/>
  <c r="T29" i="106" s="1"/>
  <c r="B30" i="106"/>
  <c r="T30" i="106" s="1"/>
  <c r="B31" i="106"/>
  <c r="T31" i="106" s="1"/>
  <c r="B32" i="106"/>
  <c r="T32" i="106" s="1"/>
  <c r="B33" i="106"/>
  <c r="T33" i="106" s="1"/>
  <c r="B34" i="106"/>
  <c r="T34" i="106" s="1"/>
  <c r="B35" i="106"/>
  <c r="T35" i="106" s="1"/>
  <c r="B36" i="106"/>
  <c r="T36" i="106" s="1"/>
  <c r="B37" i="106"/>
  <c r="T37" i="106" s="1"/>
  <c r="B38" i="106"/>
  <c r="T38" i="106" s="1"/>
  <c r="B39" i="106"/>
  <c r="T39" i="106" s="1"/>
  <c r="B40" i="106"/>
  <c r="T40" i="106" s="1"/>
  <c r="B41" i="106"/>
  <c r="T41" i="106" s="1"/>
  <c r="B42" i="106"/>
  <c r="T42" i="106" s="1"/>
  <c r="B43" i="106"/>
  <c r="T43" i="106" s="1"/>
  <c r="B44" i="106"/>
  <c r="T44" i="106" s="1"/>
  <c r="B45" i="106"/>
  <c r="T45" i="106" s="1"/>
  <c r="B46" i="106"/>
  <c r="T46" i="106" s="1"/>
  <c r="B47" i="106"/>
  <c r="T47" i="106" s="1"/>
  <c r="B48" i="106"/>
  <c r="T48" i="106" s="1"/>
  <c r="B49" i="106"/>
  <c r="T49" i="106" s="1"/>
  <c r="B50" i="106"/>
  <c r="T50" i="106" s="1"/>
  <c r="B51" i="106"/>
  <c r="T51" i="106" s="1"/>
  <c r="B52" i="106"/>
  <c r="T52" i="106" s="1"/>
  <c r="B53" i="106"/>
  <c r="T53" i="106" s="1"/>
  <c r="B54" i="106"/>
  <c r="T54" i="106" s="1"/>
  <c r="B55" i="106"/>
  <c r="T55" i="106" s="1"/>
  <c r="B56" i="106"/>
  <c r="T56" i="106" s="1"/>
  <c r="B57" i="106"/>
  <c r="T57" i="106" s="1"/>
  <c r="B58" i="106"/>
  <c r="T58" i="106" s="1"/>
  <c r="B59" i="106"/>
  <c r="T59" i="106" s="1"/>
  <c r="B60" i="106"/>
  <c r="T60" i="106" s="1"/>
  <c r="B61" i="106"/>
  <c r="T61" i="106" s="1"/>
  <c r="B62" i="106"/>
  <c r="T62" i="106" s="1"/>
  <c r="B63" i="106"/>
  <c r="T63" i="106" s="1"/>
  <c r="B64" i="106"/>
  <c r="T64" i="106" s="1"/>
  <c r="B65" i="106"/>
  <c r="T65" i="106" s="1"/>
  <c r="B66" i="106"/>
  <c r="T66" i="106" s="1"/>
  <c r="B67" i="106"/>
  <c r="T67" i="106" s="1"/>
  <c r="B68" i="106"/>
  <c r="T68" i="106" s="1"/>
  <c r="B69" i="106"/>
  <c r="T69" i="106" s="1"/>
  <c r="B70" i="106"/>
  <c r="T70" i="106" s="1"/>
  <c r="B71" i="106"/>
  <c r="T71" i="106" s="1"/>
  <c r="B72" i="106"/>
  <c r="T72" i="106" s="1"/>
  <c r="B73" i="106"/>
  <c r="T73" i="106" s="1"/>
  <c r="B74" i="106"/>
  <c r="T74" i="106" s="1"/>
  <c r="B75" i="106"/>
  <c r="T75" i="106" s="1"/>
  <c r="B76" i="106"/>
  <c r="T76" i="106" s="1"/>
  <c r="B77" i="106"/>
  <c r="T77" i="106" s="1"/>
  <c r="B78" i="106"/>
  <c r="T78" i="106" s="1"/>
  <c r="B79" i="106"/>
  <c r="T79" i="106" s="1"/>
  <c r="B80" i="106"/>
  <c r="T80" i="106" s="1"/>
  <c r="B163" i="106"/>
  <c r="T163" i="106" s="1"/>
  <c r="B82" i="106"/>
  <c r="T82" i="106" s="1"/>
  <c r="B147" i="106"/>
  <c r="T147" i="106" s="1"/>
  <c r="B84" i="106"/>
  <c r="T84" i="106" s="1"/>
  <c r="B85" i="106"/>
  <c r="T85" i="106" s="1"/>
  <c r="B86" i="106"/>
  <c r="T86" i="106" s="1"/>
  <c r="B87" i="106"/>
  <c r="T87" i="106" s="1"/>
  <c r="B88" i="106"/>
  <c r="T88" i="106" s="1"/>
  <c r="B89" i="106"/>
  <c r="T89" i="106" s="1"/>
  <c r="B90" i="106"/>
  <c r="T90" i="106" s="1"/>
  <c r="B91" i="106"/>
  <c r="T91" i="106" s="1"/>
  <c r="B92" i="106"/>
  <c r="T92" i="106" s="1"/>
  <c r="B93" i="106"/>
  <c r="T93" i="106" s="1"/>
  <c r="B94" i="106"/>
  <c r="T94" i="106" s="1"/>
  <c r="B95" i="106"/>
  <c r="T95" i="106" s="1"/>
  <c r="B96" i="106"/>
  <c r="T96" i="106" s="1"/>
  <c r="B97" i="106"/>
  <c r="T97" i="106" s="1"/>
  <c r="B98" i="106"/>
  <c r="T98" i="106" s="1"/>
  <c r="B99" i="106"/>
  <c r="T99" i="106" s="1"/>
  <c r="B100" i="106"/>
  <c r="T100" i="106" s="1"/>
  <c r="B101" i="106"/>
  <c r="T101" i="106" s="1"/>
  <c r="B102" i="106"/>
  <c r="T102" i="106" s="1"/>
  <c r="B103" i="106"/>
  <c r="T103" i="106" s="1"/>
  <c r="B104" i="106"/>
  <c r="T104" i="106" s="1"/>
  <c r="B105" i="106"/>
  <c r="T105" i="106" s="1"/>
  <c r="B106" i="106"/>
  <c r="T106" i="106" s="1"/>
  <c r="B107" i="106"/>
  <c r="T107" i="106" s="1"/>
  <c r="B108" i="106"/>
  <c r="T108" i="106" s="1"/>
  <c r="B109" i="106"/>
  <c r="T109" i="106" s="1"/>
  <c r="B110" i="106"/>
  <c r="T110" i="106" s="1"/>
  <c r="B111" i="106"/>
  <c r="T111" i="106" s="1"/>
  <c r="B112" i="106"/>
  <c r="T112" i="106" s="1"/>
  <c r="B113" i="106"/>
  <c r="T113" i="106" s="1"/>
  <c r="B114" i="106"/>
  <c r="T114" i="106" s="1"/>
  <c r="B115" i="106"/>
  <c r="T115" i="106" s="1"/>
  <c r="B116" i="106"/>
  <c r="T116" i="106" s="1"/>
  <c r="B118" i="106"/>
  <c r="T118" i="106" s="1"/>
  <c r="B119" i="106"/>
  <c r="T119" i="106" s="1"/>
  <c r="B120" i="106"/>
  <c r="T120" i="106" s="1"/>
  <c r="B121" i="106"/>
  <c r="T121" i="106" s="1"/>
  <c r="B122" i="106"/>
  <c r="T122" i="106" s="1"/>
  <c r="B123" i="106"/>
  <c r="T123" i="106" s="1"/>
  <c r="B124" i="106"/>
  <c r="T124" i="106" s="1"/>
  <c r="B125" i="106"/>
  <c r="T125" i="106" s="1"/>
  <c r="B126" i="106"/>
  <c r="T126" i="106" s="1"/>
  <c r="B127" i="106"/>
  <c r="T127" i="106" s="1"/>
  <c r="B128" i="106"/>
  <c r="T128" i="106" s="1"/>
  <c r="B129" i="106"/>
  <c r="T129" i="106" s="1"/>
  <c r="B130" i="106"/>
  <c r="T130" i="106" s="1"/>
  <c r="B131" i="106"/>
  <c r="T131" i="106" s="1"/>
  <c r="B132" i="106"/>
  <c r="T132" i="106" s="1"/>
  <c r="B133" i="106"/>
  <c r="T133" i="106" s="1"/>
  <c r="B134" i="106"/>
  <c r="T134" i="106" s="1"/>
  <c r="B135" i="106"/>
  <c r="T135" i="106" s="1"/>
  <c r="B136" i="106"/>
  <c r="T136" i="106" s="1"/>
  <c r="B137" i="106"/>
  <c r="T137" i="106" s="1"/>
  <c r="B138" i="106"/>
  <c r="T138" i="106" s="1"/>
  <c r="B139" i="106"/>
  <c r="T139" i="106" s="1"/>
  <c r="B140" i="106"/>
  <c r="T140" i="106" s="1"/>
  <c r="B141" i="106"/>
  <c r="T141" i="106" s="1"/>
  <c r="B142" i="106"/>
  <c r="T142" i="106" s="1"/>
  <c r="B143" i="106"/>
  <c r="T143" i="106" s="1"/>
  <c r="B144" i="106"/>
  <c r="T144" i="106" s="1"/>
  <c r="B145" i="106"/>
  <c r="T145" i="106" s="1"/>
  <c r="B146" i="106"/>
  <c r="T146" i="106" s="1"/>
  <c r="B335" i="106"/>
  <c r="T335" i="106" s="1"/>
  <c r="B148" i="106"/>
  <c r="T148" i="106" s="1"/>
  <c r="B149" i="106"/>
  <c r="T149" i="106" s="1"/>
  <c r="B150" i="106"/>
  <c r="T150" i="106" s="1"/>
  <c r="B151" i="106"/>
  <c r="T151" i="106" s="1"/>
  <c r="B152" i="106"/>
  <c r="T152" i="106" s="1"/>
  <c r="B153" i="106"/>
  <c r="T153" i="106" s="1"/>
  <c r="B154" i="106"/>
  <c r="T154" i="106" s="1"/>
  <c r="B155" i="106"/>
  <c r="T155" i="106" s="1"/>
  <c r="B156" i="106"/>
  <c r="T156" i="106" s="1"/>
  <c r="B157" i="106"/>
  <c r="T157" i="106" s="1"/>
  <c r="B158" i="106"/>
  <c r="T158" i="106" s="1"/>
  <c r="B159" i="106"/>
  <c r="T159" i="106" s="1"/>
  <c r="B160" i="106"/>
  <c r="T160" i="106" s="1"/>
  <c r="B161" i="106"/>
  <c r="T161" i="106" s="1"/>
  <c r="B162" i="106"/>
  <c r="T162" i="106" s="1"/>
  <c r="B225" i="106"/>
  <c r="T225" i="106" s="1"/>
  <c r="B164" i="106"/>
  <c r="T164" i="106" s="1"/>
  <c r="B165" i="106"/>
  <c r="T165" i="106" s="1"/>
  <c r="B166" i="106"/>
  <c r="T166" i="106" s="1"/>
  <c r="B167" i="106"/>
  <c r="T167" i="106" s="1"/>
  <c r="B168" i="106"/>
  <c r="T168" i="106" s="1"/>
  <c r="B169" i="106"/>
  <c r="T169" i="106" s="1"/>
  <c r="B170" i="106"/>
  <c r="T170" i="106" s="1"/>
  <c r="B171" i="106"/>
  <c r="T171" i="106" s="1"/>
  <c r="B172" i="106"/>
  <c r="T172" i="106" s="1"/>
  <c r="B229" i="106"/>
  <c r="T229" i="106" s="1"/>
  <c r="B174" i="106"/>
  <c r="T174" i="106" s="1"/>
  <c r="B175" i="106"/>
  <c r="T175" i="106" s="1"/>
  <c r="B176" i="106"/>
  <c r="T176" i="106" s="1"/>
  <c r="B177" i="106"/>
  <c r="T177" i="106" s="1"/>
  <c r="B178" i="106"/>
  <c r="T178" i="106" s="1"/>
  <c r="B179" i="106"/>
  <c r="T179" i="106" s="1"/>
  <c r="B180" i="106"/>
  <c r="T180" i="106" s="1"/>
  <c r="B181" i="106"/>
  <c r="T181" i="106" s="1"/>
  <c r="B182" i="106"/>
  <c r="T182" i="106" s="1"/>
  <c r="B183" i="106"/>
  <c r="T183" i="106" s="1"/>
  <c r="B184" i="106"/>
  <c r="T184" i="106" s="1"/>
  <c r="B185" i="106"/>
  <c r="T185" i="106" s="1"/>
  <c r="B186" i="106"/>
  <c r="T186" i="106" s="1"/>
  <c r="B187" i="106"/>
  <c r="T187" i="106" s="1"/>
  <c r="B188" i="106"/>
  <c r="T188" i="106" s="1"/>
  <c r="B189" i="106"/>
  <c r="T189" i="106" s="1"/>
  <c r="B190" i="106"/>
  <c r="T190" i="106" s="1"/>
  <c r="B191" i="106"/>
  <c r="T191" i="106" s="1"/>
  <c r="B192" i="106"/>
  <c r="T192" i="106" s="1"/>
  <c r="B193" i="106"/>
  <c r="T193" i="106" s="1"/>
  <c r="B194" i="106"/>
  <c r="T194" i="106" s="1"/>
  <c r="B195" i="106"/>
  <c r="T195" i="106" s="1"/>
  <c r="B196" i="106"/>
  <c r="T196" i="106" s="1"/>
  <c r="B197" i="106"/>
  <c r="T197" i="106" s="1"/>
  <c r="B199" i="106"/>
  <c r="T199" i="106" s="1"/>
  <c r="B200" i="106"/>
  <c r="T200" i="106" s="1"/>
  <c r="B201" i="106"/>
  <c r="T201" i="106" s="1"/>
  <c r="B202" i="106"/>
  <c r="T202" i="106" s="1"/>
  <c r="B203" i="106"/>
  <c r="T203" i="106" s="1"/>
  <c r="B204" i="106"/>
  <c r="T204" i="106" s="1"/>
  <c r="B205" i="106"/>
  <c r="T205" i="106" s="1"/>
  <c r="B206" i="106"/>
  <c r="T206" i="106" s="1"/>
  <c r="B207" i="106"/>
  <c r="T207" i="106" s="1"/>
  <c r="B208" i="106"/>
  <c r="T208" i="106" s="1"/>
  <c r="B209" i="106"/>
  <c r="T209" i="106" s="1"/>
  <c r="B210" i="106"/>
  <c r="T210" i="106" s="1"/>
  <c r="B211" i="106"/>
  <c r="T211" i="106" s="1"/>
  <c r="B212" i="106"/>
  <c r="T212" i="106" s="1"/>
  <c r="B213" i="106"/>
  <c r="T213" i="106" s="1"/>
  <c r="B214" i="106"/>
  <c r="T214" i="106" s="1"/>
  <c r="B215" i="106"/>
  <c r="T215" i="106" s="1"/>
  <c r="B216" i="106"/>
  <c r="T216" i="106" s="1"/>
  <c r="B217" i="106"/>
  <c r="T217" i="106" s="1"/>
  <c r="B218" i="106"/>
  <c r="T218" i="106" s="1"/>
  <c r="B281" i="106"/>
  <c r="T281" i="106" s="1"/>
  <c r="B220" i="106"/>
  <c r="T220" i="106" s="1"/>
  <c r="B221" i="106"/>
  <c r="T221" i="106" s="1"/>
  <c r="B222" i="106"/>
  <c r="T222" i="106" s="1"/>
  <c r="B223" i="106"/>
  <c r="T223" i="106" s="1"/>
  <c r="B224" i="106"/>
  <c r="T224" i="106" s="1"/>
  <c r="B334" i="106"/>
  <c r="T334" i="106" s="1"/>
  <c r="B226" i="106"/>
  <c r="T226" i="106" s="1"/>
  <c r="B227" i="106"/>
  <c r="T227" i="106" s="1"/>
  <c r="B228" i="106"/>
  <c r="T228" i="106" s="1"/>
  <c r="B308" i="106"/>
  <c r="T308" i="106" s="1"/>
  <c r="B230" i="106"/>
  <c r="T230" i="106" s="1"/>
  <c r="B231" i="106"/>
  <c r="T231" i="106" s="1"/>
  <c r="B232" i="106"/>
  <c r="T232" i="106" s="1"/>
  <c r="B233" i="106"/>
  <c r="T233" i="106" s="1"/>
  <c r="B234" i="106"/>
  <c r="T234" i="106" s="1"/>
  <c r="B235" i="106"/>
  <c r="T235" i="106" s="1"/>
  <c r="B236" i="106"/>
  <c r="T236" i="106" s="1"/>
  <c r="B237" i="106"/>
  <c r="T237" i="106" s="1"/>
  <c r="B238" i="106"/>
  <c r="T238" i="106" s="1"/>
  <c r="B239" i="106"/>
  <c r="T239" i="106" s="1"/>
  <c r="B240" i="106"/>
  <c r="T240" i="106" s="1"/>
  <c r="B241" i="106"/>
  <c r="T241" i="106" s="1"/>
  <c r="B242" i="106"/>
  <c r="T242" i="106" s="1"/>
  <c r="B346" i="106"/>
  <c r="T346" i="106" s="1"/>
  <c r="B244" i="106"/>
  <c r="T244" i="106" s="1"/>
  <c r="B245" i="106"/>
  <c r="T245" i="106" s="1"/>
  <c r="B246" i="106"/>
  <c r="T246" i="106" s="1"/>
  <c r="B247" i="106"/>
  <c r="T247" i="106" s="1"/>
  <c r="B248" i="106"/>
  <c r="T248" i="106" s="1"/>
  <c r="B249" i="106"/>
  <c r="T249" i="106" s="1"/>
  <c r="B250" i="106"/>
  <c r="T250" i="106" s="1"/>
  <c r="B251" i="106"/>
  <c r="T251" i="106" s="1"/>
  <c r="B252" i="106"/>
  <c r="T252" i="106" s="1"/>
  <c r="B253" i="106"/>
  <c r="T253" i="106" s="1"/>
  <c r="B254" i="106"/>
  <c r="T254" i="106" s="1"/>
  <c r="B255" i="106"/>
  <c r="T255" i="106" s="1"/>
  <c r="B256" i="106"/>
  <c r="T256" i="106" s="1"/>
  <c r="B257" i="106"/>
  <c r="T257" i="106" s="1"/>
  <c r="B258" i="106"/>
  <c r="T258" i="106" s="1"/>
  <c r="B259" i="106"/>
  <c r="T259" i="106" s="1"/>
  <c r="B260" i="106"/>
  <c r="T260" i="106" s="1"/>
  <c r="B261" i="106"/>
  <c r="T261" i="106" s="1"/>
  <c r="B262" i="106"/>
  <c r="T262" i="106" s="1"/>
  <c r="B263" i="106"/>
  <c r="T263" i="106" s="1"/>
  <c r="B264" i="106"/>
  <c r="T264" i="106" s="1"/>
  <c r="B265" i="106"/>
  <c r="T265" i="106" s="1"/>
  <c r="B266" i="106"/>
  <c r="T266" i="106" s="1"/>
  <c r="B267" i="106"/>
  <c r="T267" i="106" s="1"/>
  <c r="B268" i="106"/>
  <c r="T268" i="106" s="1"/>
  <c r="B269" i="106"/>
  <c r="T269" i="106" s="1"/>
  <c r="B270" i="106"/>
  <c r="T270" i="106" s="1"/>
  <c r="B271" i="106"/>
  <c r="T271" i="106" s="1"/>
  <c r="B272" i="106"/>
  <c r="T272" i="106" s="1"/>
  <c r="B273" i="106"/>
  <c r="T273" i="106" s="1"/>
  <c r="B274" i="106"/>
  <c r="T274" i="106" s="1"/>
  <c r="X253" i="106" l="1"/>
  <c r="Y253" i="106"/>
  <c r="U253" i="106"/>
  <c r="V253" i="106"/>
  <c r="AA253" i="106"/>
  <c r="Z253" i="106"/>
  <c r="AD253" i="106"/>
  <c r="AB253" i="106"/>
  <c r="W253" i="106"/>
  <c r="AF253" i="106"/>
  <c r="AC253" i="106"/>
  <c r="AE253" i="106"/>
  <c r="Y224" i="106"/>
  <c r="Z224" i="106"/>
  <c r="AD224" i="106"/>
  <c r="AC224" i="106"/>
  <c r="AE224" i="106"/>
  <c r="U224" i="106"/>
  <c r="W224" i="106"/>
  <c r="AA224" i="106"/>
  <c r="AF224" i="106"/>
  <c r="AB224" i="106"/>
  <c r="V224" i="106"/>
  <c r="X224" i="106"/>
  <c r="AE139" i="106"/>
  <c r="AF139" i="106"/>
  <c r="AC139" i="106"/>
  <c r="W139" i="106"/>
  <c r="U139" i="106"/>
  <c r="X139" i="106"/>
  <c r="Y139" i="106"/>
  <c r="AD139" i="106"/>
  <c r="V139" i="106"/>
  <c r="AA139" i="106"/>
  <c r="Z139" i="106"/>
  <c r="AB139" i="106"/>
  <c r="X40" i="106"/>
  <c r="AF40" i="106"/>
  <c r="AB40" i="106"/>
  <c r="AC40" i="106"/>
  <c r="Z40" i="106"/>
  <c r="AE40" i="106"/>
  <c r="Y40" i="106"/>
  <c r="V40" i="106"/>
  <c r="AD40" i="106"/>
  <c r="U40" i="106"/>
  <c r="W40" i="106"/>
  <c r="AA40" i="106"/>
  <c r="Y251" i="106"/>
  <c r="AA251" i="106"/>
  <c r="AE251" i="106"/>
  <c r="X251" i="106"/>
  <c r="Z251" i="106"/>
  <c r="AD251" i="106"/>
  <c r="AC251" i="106"/>
  <c r="V251" i="106"/>
  <c r="AF251" i="106"/>
  <c r="U251" i="106"/>
  <c r="W251" i="106"/>
  <c r="AB251" i="106"/>
  <c r="Z152" i="106"/>
  <c r="AC152" i="106"/>
  <c r="AD152" i="106"/>
  <c r="X152" i="106"/>
  <c r="Y152" i="106"/>
  <c r="AE152" i="106"/>
  <c r="AB152" i="106"/>
  <c r="U152" i="106"/>
  <c r="V152" i="106"/>
  <c r="W152" i="106"/>
  <c r="AF152" i="106"/>
  <c r="AA152" i="106"/>
  <c r="X25" i="106"/>
  <c r="AD25" i="106"/>
  <c r="AC25" i="106"/>
  <c r="AA25" i="106"/>
  <c r="U25" i="106"/>
  <c r="W25" i="106"/>
  <c r="Y25" i="106"/>
  <c r="AB25" i="106"/>
  <c r="AE25" i="106"/>
  <c r="Z25" i="106"/>
  <c r="V25" i="106"/>
  <c r="AF25" i="106"/>
  <c r="AA193" i="106"/>
  <c r="AB193" i="106"/>
  <c r="AD193" i="106"/>
  <c r="V193" i="106"/>
  <c r="X193" i="106"/>
  <c r="Y193" i="106"/>
  <c r="AF193" i="106"/>
  <c r="W193" i="106"/>
  <c r="AE193" i="106"/>
  <c r="U193" i="106"/>
  <c r="AC193" i="106"/>
  <c r="Z193" i="106"/>
  <c r="W108" i="106"/>
  <c r="Z108" i="106"/>
  <c r="AE108" i="106"/>
  <c r="V108" i="106"/>
  <c r="AC108" i="106"/>
  <c r="AF108" i="106"/>
  <c r="AB108" i="106"/>
  <c r="AD108" i="106"/>
  <c r="U108" i="106"/>
  <c r="X108" i="106"/>
  <c r="Y108" i="106"/>
  <c r="AA108" i="106"/>
  <c r="V249" i="106"/>
  <c r="W249" i="106"/>
  <c r="AA249" i="106"/>
  <c r="X249" i="106"/>
  <c r="AE249" i="106"/>
  <c r="AC249" i="106"/>
  <c r="Y249" i="106"/>
  <c r="AD249" i="106"/>
  <c r="AF249" i="106"/>
  <c r="Z249" i="106"/>
  <c r="U249" i="106"/>
  <c r="AB249" i="106"/>
  <c r="Y164" i="106"/>
  <c r="U164" i="106"/>
  <c r="V164" i="106"/>
  <c r="AC164" i="106"/>
  <c r="AA164" i="106"/>
  <c r="AB164" i="106"/>
  <c r="Z164" i="106"/>
  <c r="AD164" i="106"/>
  <c r="AE164" i="106"/>
  <c r="AF164" i="106"/>
  <c r="W164" i="106"/>
  <c r="X164" i="106"/>
  <c r="AE79" i="106"/>
  <c r="U79" i="106"/>
  <c r="AB79" i="106"/>
  <c r="V79" i="106"/>
  <c r="AC79" i="106"/>
  <c r="AD79" i="106"/>
  <c r="W79" i="106"/>
  <c r="X79" i="106"/>
  <c r="Y79" i="106"/>
  <c r="Z79" i="106"/>
  <c r="AF79" i="106"/>
  <c r="AA79" i="106"/>
  <c r="AD65" i="106"/>
  <c r="V65" i="106"/>
  <c r="X65" i="106"/>
  <c r="Y65" i="106"/>
  <c r="Z65" i="106"/>
  <c r="AA65" i="106"/>
  <c r="AC65" i="106"/>
  <c r="U65" i="106"/>
  <c r="AB65" i="106"/>
  <c r="W65" i="106"/>
  <c r="AF65" i="106"/>
  <c r="AE65" i="106"/>
  <c r="X51" i="106"/>
  <c r="AB51" i="106"/>
  <c r="AC51" i="106"/>
  <c r="U51" i="106"/>
  <c r="V51" i="106"/>
  <c r="Y51" i="106"/>
  <c r="AA51" i="106"/>
  <c r="AF51" i="106"/>
  <c r="AE51" i="106"/>
  <c r="W51" i="106"/>
  <c r="Z51" i="106"/>
  <c r="AD51" i="106"/>
  <c r="X37" i="106"/>
  <c r="AB37" i="106"/>
  <c r="Z37" i="106"/>
  <c r="U37" i="106"/>
  <c r="W37" i="106"/>
  <c r="Y37" i="106"/>
  <c r="AA37" i="106"/>
  <c r="V37" i="106"/>
  <c r="AC37" i="106"/>
  <c r="AE37" i="106"/>
  <c r="AD37" i="106"/>
  <c r="AF37" i="106"/>
  <c r="X23" i="106"/>
  <c r="Z23" i="106"/>
  <c r="AA23" i="106"/>
  <c r="AC23" i="106"/>
  <c r="AE23" i="106"/>
  <c r="AF23" i="106"/>
  <c r="AD23" i="106"/>
  <c r="Y23" i="106"/>
  <c r="U23" i="106"/>
  <c r="V23" i="106"/>
  <c r="AB23" i="106"/>
  <c r="W23" i="106"/>
  <c r="AB262" i="106"/>
  <c r="AE262" i="106"/>
  <c r="X262" i="106"/>
  <c r="AA262" i="106"/>
  <c r="AC262" i="106"/>
  <c r="U262" i="106"/>
  <c r="V262" i="106"/>
  <c r="W262" i="106"/>
  <c r="Z262" i="106"/>
  <c r="AD262" i="106"/>
  <c r="AF262" i="106"/>
  <c r="Y262" i="106"/>
  <c r="AB248" i="106"/>
  <c r="AE248" i="106"/>
  <c r="W248" i="106"/>
  <c r="U248" i="106"/>
  <c r="AC248" i="106"/>
  <c r="AD248" i="106"/>
  <c r="X248" i="106"/>
  <c r="V248" i="106"/>
  <c r="Z248" i="106"/>
  <c r="Y248" i="106"/>
  <c r="AA248" i="106"/>
  <c r="AF248" i="106"/>
  <c r="AB234" i="106"/>
  <c r="AE234" i="106"/>
  <c r="W234" i="106"/>
  <c r="AC234" i="106"/>
  <c r="AD234" i="106"/>
  <c r="U234" i="106"/>
  <c r="X234" i="106"/>
  <c r="Y234" i="106"/>
  <c r="Z234" i="106"/>
  <c r="AA234" i="106"/>
  <c r="AF234" i="106"/>
  <c r="V234" i="106"/>
  <c r="AB220" i="106"/>
  <c r="X220" i="106"/>
  <c r="AA220" i="106"/>
  <c r="AC220" i="106"/>
  <c r="AF220" i="106"/>
  <c r="W220" i="106"/>
  <c r="Y220" i="106"/>
  <c r="U220" i="106"/>
  <c r="Z220" i="106"/>
  <c r="AD220" i="106"/>
  <c r="AE220" i="106"/>
  <c r="V220" i="106"/>
  <c r="AA206" i="106"/>
  <c r="AB206" i="106"/>
  <c r="Z206" i="106"/>
  <c r="AF206" i="106"/>
  <c r="AD206" i="106"/>
  <c r="V206" i="106"/>
  <c r="U206" i="106"/>
  <c r="AE206" i="106"/>
  <c r="Y206" i="106"/>
  <c r="W206" i="106"/>
  <c r="X206" i="106"/>
  <c r="AC206" i="106"/>
  <c r="AA191" i="106"/>
  <c r="AB191" i="106"/>
  <c r="X191" i="106"/>
  <c r="V191" i="106"/>
  <c r="Y191" i="106"/>
  <c r="Z191" i="106"/>
  <c r="AC191" i="106"/>
  <c r="AF191" i="106"/>
  <c r="U191" i="106"/>
  <c r="AE191" i="106"/>
  <c r="AD191" i="106"/>
  <c r="W191" i="106"/>
  <c r="V177" i="106"/>
  <c r="U177" i="106"/>
  <c r="AF177" i="106"/>
  <c r="W177" i="106"/>
  <c r="Y177" i="106"/>
  <c r="AC177" i="106"/>
  <c r="AD177" i="106"/>
  <c r="AE177" i="106"/>
  <c r="Z177" i="106"/>
  <c r="AA177" i="106"/>
  <c r="AB177" i="106"/>
  <c r="X177" i="106"/>
  <c r="X225" i="106"/>
  <c r="Z225" i="106"/>
  <c r="AD225" i="106"/>
  <c r="AE225" i="106"/>
  <c r="U225" i="106"/>
  <c r="V225" i="106"/>
  <c r="AA225" i="106"/>
  <c r="AF225" i="106"/>
  <c r="AC225" i="106"/>
  <c r="AB225" i="106"/>
  <c r="Y225" i="106"/>
  <c r="W225" i="106"/>
  <c r="AE149" i="106"/>
  <c r="AA149" i="106"/>
  <c r="X149" i="106"/>
  <c r="W149" i="106"/>
  <c r="AC149" i="106"/>
  <c r="AD149" i="106"/>
  <c r="Y149" i="106"/>
  <c r="V149" i="106"/>
  <c r="AF149" i="106"/>
  <c r="U149" i="106"/>
  <c r="AB149" i="106"/>
  <c r="Z149" i="106"/>
  <c r="U135" i="106"/>
  <c r="V135" i="106"/>
  <c r="AB135" i="106"/>
  <c r="W135" i="106"/>
  <c r="AC135" i="106"/>
  <c r="AD135" i="106"/>
  <c r="Y135" i="106"/>
  <c r="X135" i="106"/>
  <c r="Z135" i="106"/>
  <c r="AE135" i="106"/>
  <c r="AF135" i="106"/>
  <c r="AA135" i="106"/>
  <c r="AB121" i="106"/>
  <c r="X121" i="106"/>
  <c r="Z121" i="106"/>
  <c r="AF121" i="106"/>
  <c r="AA121" i="106"/>
  <c r="AC121" i="106"/>
  <c r="W121" i="106"/>
  <c r="U121" i="106"/>
  <c r="Y121" i="106"/>
  <c r="V121" i="106"/>
  <c r="AD121" i="106"/>
  <c r="AE121" i="106"/>
  <c r="AE106" i="106"/>
  <c r="V106" i="106"/>
  <c r="W106" i="106"/>
  <c r="U106" i="106"/>
  <c r="Z106" i="106"/>
  <c r="AB106" i="106"/>
  <c r="X106" i="106"/>
  <c r="AC106" i="106"/>
  <c r="AD106" i="106"/>
  <c r="AF106" i="106"/>
  <c r="Y106" i="106"/>
  <c r="AA106" i="106"/>
  <c r="X92" i="106"/>
  <c r="AA92" i="106"/>
  <c r="Y92" i="106"/>
  <c r="W92" i="106"/>
  <c r="AE92" i="106"/>
  <c r="Z92" i="106"/>
  <c r="AD92" i="106"/>
  <c r="AF92" i="106"/>
  <c r="U92" i="106"/>
  <c r="AB92" i="106"/>
  <c r="AC92" i="106"/>
  <c r="V92" i="106"/>
  <c r="Z78" i="106"/>
  <c r="AD78" i="106"/>
  <c r="AC78" i="106"/>
  <c r="AE78" i="106"/>
  <c r="U78" i="106"/>
  <c r="AF78" i="106"/>
  <c r="V78" i="106"/>
  <c r="Y78" i="106"/>
  <c r="AA78" i="106"/>
  <c r="AB78" i="106"/>
  <c r="W78" i="106"/>
  <c r="X78" i="106"/>
  <c r="X64" i="106"/>
  <c r="Y64" i="106"/>
  <c r="Z64" i="106"/>
  <c r="AB64" i="106"/>
  <c r="V64" i="106"/>
  <c r="AA64" i="106"/>
  <c r="AE64" i="106"/>
  <c r="AC64" i="106"/>
  <c r="AD64" i="106"/>
  <c r="U64" i="106"/>
  <c r="AF64" i="106"/>
  <c r="W64" i="106"/>
  <c r="Y50" i="106"/>
  <c r="AE50" i="106"/>
  <c r="AF50" i="106"/>
  <c r="Z50" i="106"/>
  <c r="AB50" i="106"/>
  <c r="AC50" i="106"/>
  <c r="U50" i="106"/>
  <c r="V50" i="106"/>
  <c r="W50" i="106"/>
  <c r="X50" i="106"/>
  <c r="AA50" i="106"/>
  <c r="AD50" i="106"/>
  <c r="X36" i="106"/>
  <c r="AD36" i="106"/>
  <c r="AE36" i="106"/>
  <c r="AF36" i="106"/>
  <c r="Y36" i="106"/>
  <c r="AC36" i="106"/>
  <c r="AA36" i="106"/>
  <c r="AB36" i="106"/>
  <c r="Z36" i="106"/>
  <c r="V36" i="106"/>
  <c r="U36" i="106"/>
  <c r="W36" i="106"/>
  <c r="X22" i="106"/>
  <c r="Y22" i="106"/>
  <c r="AA22" i="106"/>
  <c r="AD22" i="106"/>
  <c r="AE22" i="106"/>
  <c r="Z22" i="106"/>
  <c r="AF22" i="106"/>
  <c r="V22" i="106"/>
  <c r="W22" i="106"/>
  <c r="U22" i="106"/>
  <c r="AB22" i="106"/>
  <c r="AC22" i="106"/>
  <c r="U125" i="106"/>
  <c r="Z125" i="106"/>
  <c r="AB125" i="106"/>
  <c r="AC125" i="106"/>
  <c r="AA125" i="106"/>
  <c r="V125" i="106"/>
  <c r="X125" i="106"/>
  <c r="AE125" i="106"/>
  <c r="AF125" i="106"/>
  <c r="W125" i="106"/>
  <c r="AD125" i="106"/>
  <c r="Y125" i="106"/>
  <c r="AA194" i="106"/>
  <c r="AF194" i="106"/>
  <c r="AB194" i="106"/>
  <c r="Y194" i="106"/>
  <c r="Z194" i="106"/>
  <c r="AC194" i="106"/>
  <c r="AD194" i="106"/>
  <c r="AE194" i="106"/>
  <c r="U194" i="106"/>
  <c r="V194" i="106"/>
  <c r="W194" i="106"/>
  <c r="X194" i="106"/>
  <c r="V109" i="106"/>
  <c r="AD109" i="106"/>
  <c r="AE109" i="106"/>
  <c r="X109" i="106"/>
  <c r="U109" i="106"/>
  <c r="Z109" i="106"/>
  <c r="AF109" i="106"/>
  <c r="AC109" i="106"/>
  <c r="AB109" i="106"/>
  <c r="AA109" i="106"/>
  <c r="W109" i="106"/>
  <c r="Y109" i="106"/>
  <c r="X208" i="106"/>
  <c r="Z208" i="106"/>
  <c r="AE208" i="106"/>
  <c r="Y208" i="106"/>
  <c r="AD208" i="106"/>
  <c r="AA208" i="106"/>
  <c r="AB208" i="106"/>
  <c r="AF208" i="106"/>
  <c r="V208" i="106"/>
  <c r="W208" i="106"/>
  <c r="AC208" i="106"/>
  <c r="U208" i="106"/>
  <c r="W80" i="106"/>
  <c r="V80" i="106"/>
  <c r="X80" i="106"/>
  <c r="Z80" i="106"/>
  <c r="AA80" i="106"/>
  <c r="U80" i="106"/>
  <c r="Y80" i="106"/>
  <c r="AC80" i="106"/>
  <c r="AD80" i="106"/>
  <c r="AF80" i="106"/>
  <c r="AB80" i="106"/>
  <c r="AE80" i="106"/>
  <c r="W233" i="106"/>
  <c r="U233" i="106"/>
  <c r="X233" i="106"/>
  <c r="Z233" i="106"/>
  <c r="AB233" i="106"/>
  <c r="AF233" i="106"/>
  <c r="AC233" i="106"/>
  <c r="AD233" i="106"/>
  <c r="AE233" i="106"/>
  <c r="V233" i="106"/>
  <c r="Y233" i="106"/>
  <c r="AA233" i="106"/>
  <c r="U105" i="106"/>
  <c r="AB105" i="106"/>
  <c r="AC105" i="106"/>
  <c r="AD105" i="106"/>
  <c r="X105" i="106"/>
  <c r="AF105" i="106"/>
  <c r="Y105" i="106"/>
  <c r="AA105" i="106"/>
  <c r="AE105" i="106"/>
  <c r="Z105" i="106"/>
  <c r="V105" i="106"/>
  <c r="W105" i="106"/>
  <c r="U246" i="106"/>
  <c r="V246" i="106"/>
  <c r="Z246" i="106"/>
  <c r="AA246" i="106"/>
  <c r="AF246" i="106"/>
  <c r="AD246" i="106"/>
  <c r="W246" i="106"/>
  <c r="Y246" i="106"/>
  <c r="AC246" i="106"/>
  <c r="X246" i="106"/>
  <c r="AB246" i="106"/>
  <c r="AE246" i="106"/>
  <c r="AC218" i="106"/>
  <c r="AF218" i="106"/>
  <c r="AB218" i="106"/>
  <c r="AE218" i="106"/>
  <c r="V218" i="106"/>
  <c r="W218" i="106"/>
  <c r="X218" i="106"/>
  <c r="Y218" i="106"/>
  <c r="Z218" i="106"/>
  <c r="AD218" i="106"/>
  <c r="U218" i="106"/>
  <c r="AA218" i="106"/>
  <c r="AC204" i="106"/>
  <c r="U204" i="106"/>
  <c r="AD204" i="106"/>
  <c r="AE204" i="106"/>
  <c r="W204" i="106"/>
  <c r="AA204" i="106"/>
  <c r="AB204" i="106"/>
  <c r="V204" i="106"/>
  <c r="AF204" i="106"/>
  <c r="X204" i="106"/>
  <c r="Y204" i="106"/>
  <c r="Z204" i="106"/>
  <c r="AE189" i="106"/>
  <c r="V189" i="106"/>
  <c r="W189" i="106"/>
  <c r="U189" i="106"/>
  <c r="Z189" i="106"/>
  <c r="AD189" i="106"/>
  <c r="AF189" i="106"/>
  <c r="Y189" i="106"/>
  <c r="X189" i="106"/>
  <c r="AC189" i="106"/>
  <c r="AA189" i="106"/>
  <c r="AB189" i="106"/>
  <c r="Z175" i="106"/>
  <c r="W175" i="106"/>
  <c r="X175" i="106"/>
  <c r="AC175" i="106"/>
  <c r="AD175" i="106"/>
  <c r="U175" i="106"/>
  <c r="Y175" i="106"/>
  <c r="AE175" i="106"/>
  <c r="V175" i="106"/>
  <c r="AF175" i="106"/>
  <c r="AA175" i="106"/>
  <c r="AB175" i="106"/>
  <c r="U161" i="106"/>
  <c r="X161" i="106"/>
  <c r="Y161" i="106"/>
  <c r="Z161" i="106"/>
  <c r="AC161" i="106"/>
  <c r="AE161" i="106"/>
  <c r="AF161" i="106"/>
  <c r="V161" i="106"/>
  <c r="AD161" i="106"/>
  <c r="W161" i="106"/>
  <c r="AB161" i="106"/>
  <c r="AA161" i="106"/>
  <c r="AD335" i="106"/>
  <c r="AC335" i="106"/>
  <c r="W335" i="106"/>
  <c r="X335" i="106"/>
  <c r="AB335" i="106"/>
  <c r="U335" i="106"/>
  <c r="V335" i="106"/>
  <c r="Y335" i="106"/>
  <c r="AA335" i="106"/>
  <c r="AE335" i="106"/>
  <c r="AF335" i="106"/>
  <c r="Z335" i="106"/>
  <c r="U133" i="106"/>
  <c r="AE133" i="106"/>
  <c r="AC133" i="106"/>
  <c r="AF133" i="106"/>
  <c r="Y133" i="106"/>
  <c r="AD133" i="106"/>
  <c r="Z133" i="106"/>
  <c r="AA133" i="106"/>
  <c r="AB133" i="106"/>
  <c r="V133" i="106"/>
  <c r="X133" i="106"/>
  <c r="W133" i="106"/>
  <c r="U119" i="106"/>
  <c r="AC119" i="106"/>
  <c r="W119" i="106"/>
  <c r="AB119" i="106"/>
  <c r="X119" i="106"/>
  <c r="AD119" i="106"/>
  <c r="AE119" i="106"/>
  <c r="V119" i="106"/>
  <c r="AF119" i="106"/>
  <c r="Y119" i="106"/>
  <c r="Z119" i="106"/>
  <c r="AA119" i="106"/>
  <c r="V104" i="106"/>
  <c r="U104" i="106"/>
  <c r="Z104" i="106"/>
  <c r="AB104" i="106"/>
  <c r="AE104" i="106"/>
  <c r="X104" i="106"/>
  <c r="W104" i="106"/>
  <c r="Y104" i="106"/>
  <c r="AA104" i="106"/>
  <c r="AC104" i="106"/>
  <c r="AF104" i="106"/>
  <c r="AD104" i="106"/>
  <c r="AF90" i="106"/>
  <c r="AD90" i="106"/>
  <c r="Z90" i="106"/>
  <c r="AA90" i="106"/>
  <c r="AB90" i="106"/>
  <c r="W90" i="106"/>
  <c r="AC90" i="106"/>
  <c r="AE90" i="106"/>
  <c r="V90" i="106"/>
  <c r="X90" i="106"/>
  <c r="Y90" i="106"/>
  <c r="U90" i="106"/>
  <c r="Y76" i="106"/>
  <c r="AE76" i="106"/>
  <c r="U76" i="106"/>
  <c r="W76" i="106"/>
  <c r="AC76" i="106"/>
  <c r="AF76" i="106"/>
  <c r="AB76" i="106"/>
  <c r="AD76" i="106"/>
  <c r="V76" i="106"/>
  <c r="X76" i="106"/>
  <c r="AA76" i="106"/>
  <c r="Z76" i="106"/>
  <c r="AA62" i="106"/>
  <c r="AB62" i="106"/>
  <c r="AF62" i="106"/>
  <c r="AD62" i="106"/>
  <c r="Z62" i="106"/>
  <c r="U62" i="106"/>
  <c r="W62" i="106"/>
  <c r="AC62" i="106"/>
  <c r="AE62" i="106"/>
  <c r="V62" i="106"/>
  <c r="X62" i="106"/>
  <c r="Y62" i="106"/>
  <c r="Z48" i="106"/>
  <c r="V48" i="106"/>
  <c r="W48" i="106"/>
  <c r="AD48" i="106"/>
  <c r="AA48" i="106"/>
  <c r="X48" i="106"/>
  <c r="Y48" i="106"/>
  <c r="AE48" i="106"/>
  <c r="AF48" i="106"/>
  <c r="AB48" i="106"/>
  <c r="AC48" i="106"/>
  <c r="U48" i="106"/>
  <c r="Y34" i="106"/>
  <c r="Z34" i="106"/>
  <c r="AA34" i="106"/>
  <c r="X34" i="106"/>
  <c r="U34" i="106"/>
  <c r="W34" i="106"/>
  <c r="AD34" i="106"/>
  <c r="AE34" i="106"/>
  <c r="AB34" i="106"/>
  <c r="V34" i="106"/>
  <c r="AF34" i="106"/>
  <c r="AC34" i="106"/>
  <c r="AA20" i="106"/>
  <c r="AE20" i="106"/>
  <c r="V20" i="106"/>
  <c r="W20" i="106"/>
  <c r="X20" i="106"/>
  <c r="Y20" i="106"/>
  <c r="Z20" i="106"/>
  <c r="AC20" i="106"/>
  <c r="AD20" i="106"/>
  <c r="U20" i="106"/>
  <c r="AB20" i="106"/>
  <c r="AF20" i="106"/>
  <c r="AD252" i="106"/>
  <c r="AB252" i="106"/>
  <c r="V252" i="106"/>
  <c r="X252" i="106"/>
  <c r="W252" i="106"/>
  <c r="Y252" i="106"/>
  <c r="Z252" i="106"/>
  <c r="AA252" i="106"/>
  <c r="AC252" i="106"/>
  <c r="U252" i="106"/>
  <c r="AE252" i="106"/>
  <c r="AF252" i="106"/>
  <c r="U167" i="106"/>
  <c r="Z167" i="106"/>
  <c r="AF167" i="106"/>
  <c r="Y167" i="106"/>
  <c r="AA167" i="106"/>
  <c r="AB167" i="106"/>
  <c r="V167" i="106"/>
  <c r="W167" i="106"/>
  <c r="X167" i="106"/>
  <c r="AC167" i="106"/>
  <c r="AE167" i="106"/>
  <c r="AD167" i="106"/>
  <c r="W68" i="106"/>
  <c r="X68" i="106"/>
  <c r="Y68" i="106"/>
  <c r="AB68" i="106"/>
  <c r="AC68" i="106"/>
  <c r="AE68" i="106"/>
  <c r="AF68" i="106"/>
  <c r="U68" i="106"/>
  <c r="Z68" i="106"/>
  <c r="AD68" i="106"/>
  <c r="V68" i="106"/>
  <c r="AA68" i="106"/>
  <c r="X223" i="106"/>
  <c r="V223" i="106"/>
  <c r="AF223" i="106"/>
  <c r="AB223" i="106"/>
  <c r="U223" i="106"/>
  <c r="W223" i="106"/>
  <c r="AD223" i="106"/>
  <c r="AE223" i="106"/>
  <c r="Y223" i="106"/>
  <c r="Z223" i="106"/>
  <c r="AA223" i="106"/>
  <c r="AC223" i="106"/>
  <c r="V124" i="106"/>
  <c r="AE124" i="106"/>
  <c r="Y124" i="106"/>
  <c r="X124" i="106"/>
  <c r="AA124" i="106"/>
  <c r="AF124" i="106"/>
  <c r="AC124" i="106"/>
  <c r="AD124" i="106"/>
  <c r="U124" i="106"/>
  <c r="Z124" i="106"/>
  <c r="AB124" i="106"/>
  <c r="W124" i="106"/>
  <c r="AB236" i="106"/>
  <c r="Z236" i="106"/>
  <c r="AD236" i="106"/>
  <c r="AE236" i="106"/>
  <c r="AF236" i="106"/>
  <c r="Y236" i="106"/>
  <c r="AA236" i="106"/>
  <c r="U236" i="106"/>
  <c r="W236" i="106"/>
  <c r="AC236" i="106"/>
  <c r="X236" i="106"/>
  <c r="V236" i="106"/>
  <c r="V137" i="106"/>
  <c r="Y137" i="106"/>
  <c r="Z137" i="106"/>
  <c r="U137" i="106"/>
  <c r="W137" i="106"/>
  <c r="AF137" i="106"/>
  <c r="AB137" i="106"/>
  <c r="AD137" i="106"/>
  <c r="AC137" i="106"/>
  <c r="AE137" i="106"/>
  <c r="AA137" i="106"/>
  <c r="X137" i="106"/>
  <c r="X52" i="106"/>
  <c r="Z52" i="106"/>
  <c r="AA52" i="106"/>
  <c r="AE52" i="106"/>
  <c r="AF52" i="106"/>
  <c r="Y52" i="106"/>
  <c r="AC52" i="106"/>
  <c r="AD52" i="106"/>
  <c r="W52" i="106"/>
  <c r="AB52" i="106"/>
  <c r="U52" i="106"/>
  <c r="V52" i="106"/>
  <c r="AC207" i="106"/>
  <c r="V207" i="106"/>
  <c r="AE207" i="106"/>
  <c r="AF207" i="106"/>
  <c r="Y207" i="106"/>
  <c r="Z207" i="106"/>
  <c r="U207" i="106"/>
  <c r="X207" i="106"/>
  <c r="W207" i="106"/>
  <c r="AA207" i="106"/>
  <c r="AB207" i="106"/>
  <c r="AD207" i="106"/>
  <c r="U136" i="106"/>
  <c r="V136" i="106"/>
  <c r="X136" i="106"/>
  <c r="Z136" i="106"/>
  <c r="AA136" i="106"/>
  <c r="AF136" i="106"/>
  <c r="Y136" i="106"/>
  <c r="W136" i="106"/>
  <c r="AC136" i="106"/>
  <c r="AE136" i="106"/>
  <c r="AD136" i="106"/>
  <c r="AB136" i="106"/>
  <c r="AC281" i="106"/>
  <c r="U281" i="106"/>
  <c r="V281" i="106"/>
  <c r="W281" i="106"/>
  <c r="AE281" i="106"/>
  <c r="AA281" i="106"/>
  <c r="AF281" i="106"/>
  <c r="Y281" i="106"/>
  <c r="AD281" i="106"/>
  <c r="AB281" i="106"/>
  <c r="X281" i="106"/>
  <c r="Z281" i="106"/>
  <c r="U148" i="106"/>
  <c r="AA148" i="106"/>
  <c r="AF148" i="106"/>
  <c r="V148" i="106"/>
  <c r="Z148" i="106"/>
  <c r="AD148" i="106"/>
  <c r="X148" i="106"/>
  <c r="Y148" i="106"/>
  <c r="AC148" i="106"/>
  <c r="AE148" i="106"/>
  <c r="AB148" i="106"/>
  <c r="W148" i="106"/>
  <c r="X49" i="106"/>
  <c r="AD49" i="106"/>
  <c r="AE49" i="106"/>
  <c r="AF49" i="106"/>
  <c r="AB49" i="106"/>
  <c r="AC49" i="106"/>
  <c r="AA49" i="106"/>
  <c r="Y49" i="106"/>
  <c r="U49" i="106"/>
  <c r="W49" i="106"/>
  <c r="Z49" i="106"/>
  <c r="V49" i="106"/>
  <c r="W260" i="106"/>
  <c r="U260" i="106"/>
  <c r="AA260" i="106"/>
  <c r="AC260" i="106"/>
  <c r="X260" i="106"/>
  <c r="V260" i="106"/>
  <c r="AF260" i="106"/>
  <c r="AE260" i="106"/>
  <c r="AB260" i="106"/>
  <c r="Z260" i="106"/>
  <c r="AD260" i="106"/>
  <c r="Y260" i="106"/>
  <c r="U232" i="106"/>
  <c r="W232" i="106"/>
  <c r="X232" i="106"/>
  <c r="V232" i="106"/>
  <c r="AE232" i="106"/>
  <c r="AA232" i="106"/>
  <c r="Z232" i="106"/>
  <c r="AF232" i="106"/>
  <c r="AC232" i="106"/>
  <c r="AB232" i="106"/>
  <c r="AD232" i="106"/>
  <c r="Y232" i="106"/>
  <c r="AD273" i="106"/>
  <c r="V273" i="106"/>
  <c r="AA273" i="106"/>
  <c r="AC273" i="106"/>
  <c r="Y273" i="106"/>
  <c r="Z273" i="106"/>
  <c r="AE273" i="106"/>
  <c r="AF273" i="106"/>
  <c r="U273" i="106"/>
  <c r="AB273" i="106"/>
  <c r="X273" i="106"/>
  <c r="W273" i="106"/>
  <c r="Y259" i="106"/>
  <c r="U259" i="106"/>
  <c r="V259" i="106"/>
  <c r="AC259" i="106"/>
  <c r="Z259" i="106"/>
  <c r="X259" i="106"/>
  <c r="AD259" i="106"/>
  <c r="AB259" i="106"/>
  <c r="AF259" i="106"/>
  <c r="W259" i="106"/>
  <c r="AA259" i="106"/>
  <c r="AE259" i="106"/>
  <c r="V245" i="106"/>
  <c r="W245" i="106"/>
  <c r="X245" i="106"/>
  <c r="Y245" i="106"/>
  <c r="AA245" i="106"/>
  <c r="AC245" i="106"/>
  <c r="Z245" i="106"/>
  <c r="AE245" i="106"/>
  <c r="AB245" i="106"/>
  <c r="AD245" i="106"/>
  <c r="AF245" i="106"/>
  <c r="U245" i="106"/>
  <c r="V231" i="106"/>
  <c r="AC231" i="106"/>
  <c r="AE231" i="106"/>
  <c r="U231" i="106"/>
  <c r="Y231" i="106"/>
  <c r="Z231" i="106"/>
  <c r="AB231" i="106"/>
  <c r="AD231" i="106"/>
  <c r="AF231" i="106"/>
  <c r="W231" i="106"/>
  <c r="X231" i="106"/>
  <c r="AA231" i="106"/>
  <c r="U217" i="106"/>
  <c r="V217" i="106"/>
  <c r="Y217" i="106"/>
  <c r="W217" i="106"/>
  <c r="AA217" i="106"/>
  <c r="AC217" i="106"/>
  <c r="X217" i="106"/>
  <c r="Z217" i="106"/>
  <c r="AB217" i="106"/>
  <c r="AF217" i="106"/>
  <c r="AE217" i="106"/>
  <c r="AD217" i="106"/>
  <c r="X203" i="106"/>
  <c r="Y203" i="106"/>
  <c r="Z203" i="106"/>
  <c r="AE203" i="106"/>
  <c r="AF203" i="106"/>
  <c r="W203" i="106"/>
  <c r="AC203" i="106"/>
  <c r="AD203" i="106"/>
  <c r="U203" i="106"/>
  <c r="V203" i="106"/>
  <c r="AA203" i="106"/>
  <c r="AB203" i="106"/>
  <c r="AF188" i="106"/>
  <c r="V188" i="106"/>
  <c r="AD188" i="106"/>
  <c r="AB188" i="106"/>
  <c r="X188" i="106"/>
  <c r="AE188" i="106"/>
  <c r="Z188" i="106"/>
  <c r="AC188" i="106"/>
  <c r="U188" i="106"/>
  <c r="AA188" i="106"/>
  <c r="W188" i="106"/>
  <c r="Y188" i="106"/>
  <c r="W174" i="106"/>
  <c r="X174" i="106"/>
  <c r="U174" i="106"/>
  <c r="Y174" i="106"/>
  <c r="AD174" i="106"/>
  <c r="AE174" i="106"/>
  <c r="V174" i="106"/>
  <c r="Z174" i="106"/>
  <c r="AF174" i="106"/>
  <c r="AA174" i="106"/>
  <c r="AC174" i="106"/>
  <c r="AB174" i="106"/>
  <c r="AC160" i="106"/>
  <c r="Y160" i="106"/>
  <c r="AD160" i="106"/>
  <c r="X160" i="106"/>
  <c r="V160" i="106"/>
  <c r="AB160" i="106"/>
  <c r="AE160" i="106"/>
  <c r="W160" i="106"/>
  <c r="Z160" i="106"/>
  <c r="AA160" i="106"/>
  <c r="AF160" i="106"/>
  <c r="U160" i="106"/>
  <c r="U146" i="106"/>
  <c r="Y146" i="106"/>
  <c r="AC146" i="106"/>
  <c r="X146" i="106"/>
  <c r="Z146" i="106"/>
  <c r="AA146" i="106"/>
  <c r="V146" i="106"/>
  <c r="AE146" i="106"/>
  <c r="AB146" i="106"/>
  <c r="AF146" i="106"/>
  <c r="W146" i="106"/>
  <c r="AD146" i="106"/>
  <c r="X132" i="106"/>
  <c r="V132" i="106"/>
  <c r="U132" i="106"/>
  <c r="AB132" i="106"/>
  <c r="W132" i="106"/>
  <c r="Z132" i="106"/>
  <c r="AA132" i="106"/>
  <c r="AF132" i="106"/>
  <c r="AC132" i="106"/>
  <c r="AD132" i="106"/>
  <c r="Y132" i="106"/>
  <c r="AE132" i="106"/>
  <c r="V118" i="106"/>
  <c r="X118" i="106"/>
  <c r="AC118" i="106"/>
  <c r="Z118" i="106"/>
  <c r="AA118" i="106"/>
  <c r="Y118" i="106"/>
  <c r="AF118" i="106"/>
  <c r="AD118" i="106"/>
  <c r="AB118" i="106"/>
  <c r="U118" i="106"/>
  <c r="W118" i="106"/>
  <c r="AE118" i="106"/>
  <c r="X103" i="106"/>
  <c r="AE103" i="106"/>
  <c r="AF103" i="106"/>
  <c r="V103" i="106"/>
  <c r="W103" i="106"/>
  <c r="AC103" i="106"/>
  <c r="U103" i="106"/>
  <c r="AA103" i="106"/>
  <c r="Z103" i="106"/>
  <c r="AB103" i="106"/>
  <c r="AD103" i="106"/>
  <c r="Y103" i="106"/>
  <c r="V89" i="106"/>
  <c r="X89" i="106"/>
  <c r="AC89" i="106"/>
  <c r="AE89" i="106"/>
  <c r="Y89" i="106"/>
  <c r="Z89" i="106"/>
  <c r="AF89" i="106"/>
  <c r="U89" i="106"/>
  <c r="AA89" i="106"/>
  <c r="W89" i="106"/>
  <c r="AB89" i="106"/>
  <c r="AD89" i="106"/>
  <c r="U75" i="106"/>
  <c r="Y75" i="106"/>
  <c r="Z75" i="106"/>
  <c r="AE75" i="106"/>
  <c r="AF75" i="106"/>
  <c r="X75" i="106"/>
  <c r="W75" i="106"/>
  <c r="V75" i="106"/>
  <c r="AB75" i="106"/>
  <c r="AC75" i="106"/>
  <c r="AD75" i="106"/>
  <c r="AA75" i="106"/>
  <c r="U61" i="106"/>
  <c r="AE61" i="106"/>
  <c r="AF61" i="106"/>
  <c r="V61" i="106"/>
  <c r="X61" i="106"/>
  <c r="Y61" i="106"/>
  <c r="AA61" i="106"/>
  <c r="AC61" i="106"/>
  <c r="Z61" i="106"/>
  <c r="AD61" i="106"/>
  <c r="W61" i="106"/>
  <c r="AB61" i="106"/>
  <c r="X47" i="106"/>
  <c r="Y47" i="106"/>
  <c r="U47" i="106"/>
  <c r="V47" i="106"/>
  <c r="AA47" i="106"/>
  <c r="AC47" i="106"/>
  <c r="AB47" i="106"/>
  <c r="AD47" i="106"/>
  <c r="AE47" i="106"/>
  <c r="AF47" i="106"/>
  <c r="Z47" i="106"/>
  <c r="W47" i="106"/>
  <c r="Z33" i="106"/>
  <c r="AD33" i="106"/>
  <c r="AE33" i="106"/>
  <c r="Y33" i="106"/>
  <c r="AF33" i="106"/>
  <c r="X33" i="106"/>
  <c r="AC33" i="106"/>
  <c r="U33" i="106"/>
  <c r="W33" i="106"/>
  <c r="AA33" i="106"/>
  <c r="AB33" i="106"/>
  <c r="V33" i="106"/>
  <c r="X19" i="106"/>
  <c r="Z19" i="106"/>
  <c r="V19" i="106"/>
  <c r="W19" i="106"/>
  <c r="AD19" i="106"/>
  <c r="AE19" i="106"/>
  <c r="AA19" i="106"/>
  <c r="AF19" i="106"/>
  <c r="Y19" i="106"/>
  <c r="AB19" i="106"/>
  <c r="AC19" i="106"/>
  <c r="U19" i="106"/>
  <c r="V266" i="106"/>
  <c r="AA266" i="106"/>
  <c r="W266" i="106"/>
  <c r="AC266" i="106"/>
  <c r="AD266" i="106"/>
  <c r="AE266" i="106"/>
  <c r="Z266" i="106"/>
  <c r="AF266" i="106"/>
  <c r="X266" i="106"/>
  <c r="U266" i="106"/>
  <c r="Y266" i="106"/>
  <c r="AB266" i="106"/>
  <c r="V95" i="106"/>
  <c r="AA95" i="106"/>
  <c r="AE95" i="106"/>
  <c r="AF95" i="106"/>
  <c r="Y95" i="106"/>
  <c r="Z95" i="106"/>
  <c r="AC95" i="106"/>
  <c r="AD95" i="106"/>
  <c r="AB95" i="106"/>
  <c r="W95" i="106"/>
  <c r="X95" i="106"/>
  <c r="U95" i="106"/>
  <c r="AC247" i="106"/>
  <c r="AA247" i="106"/>
  <c r="U247" i="106"/>
  <c r="X247" i="106"/>
  <c r="Y247" i="106"/>
  <c r="AE247" i="106"/>
  <c r="AD247" i="106"/>
  <c r="AF247" i="106"/>
  <c r="V247" i="106"/>
  <c r="W247" i="106"/>
  <c r="Z247" i="106"/>
  <c r="AB247" i="106"/>
  <c r="U244" i="106"/>
  <c r="V244" i="106"/>
  <c r="Y244" i="106"/>
  <c r="Z244" i="106"/>
  <c r="W244" i="106"/>
  <c r="X244" i="106"/>
  <c r="AA244" i="106"/>
  <c r="AB244" i="106"/>
  <c r="AC244" i="106"/>
  <c r="AE244" i="106"/>
  <c r="AD244" i="106"/>
  <c r="AF244" i="106"/>
  <c r="AA116" i="106"/>
  <c r="Y116" i="106"/>
  <c r="Z116" i="106"/>
  <c r="AC116" i="106"/>
  <c r="AD116" i="106"/>
  <c r="X116" i="106"/>
  <c r="AE116" i="106"/>
  <c r="U116" i="106"/>
  <c r="AB116" i="106"/>
  <c r="AF116" i="106"/>
  <c r="V116" i="106"/>
  <c r="W116" i="106"/>
  <c r="Z102" i="106"/>
  <c r="AC102" i="106"/>
  <c r="AD102" i="106"/>
  <c r="AE102" i="106"/>
  <c r="Y102" i="106"/>
  <c r="AA102" i="106"/>
  <c r="AF102" i="106"/>
  <c r="X102" i="106"/>
  <c r="AB102" i="106"/>
  <c r="U102" i="106"/>
  <c r="V102" i="106"/>
  <c r="W102" i="106"/>
  <c r="U88" i="106"/>
  <c r="V88" i="106"/>
  <c r="Y88" i="106"/>
  <c r="Z88" i="106"/>
  <c r="AD88" i="106"/>
  <c r="X88" i="106"/>
  <c r="AB88" i="106"/>
  <c r="AC88" i="106"/>
  <c r="AF88" i="106"/>
  <c r="AE88" i="106"/>
  <c r="AA88" i="106"/>
  <c r="W88" i="106"/>
  <c r="V74" i="106"/>
  <c r="AD74" i="106"/>
  <c r="X74" i="106"/>
  <c r="Y74" i="106"/>
  <c r="AB74" i="106"/>
  <c r="U74" i="106"/>
  <c r="AE74" i="106"/>
  <c r="W74" i="106"/>
  <c r="AC74" i="106"/>
  <c r="Z74" i="106"/>
  <c r="AF74" i="106"/>
  <c r="AA74" i="106"/>
  <c r="U60" i="106"/>
  <c r="AD60" i="106"/>
  <c r="AF60" i="106"/>
  <c r="Y60" i="106"/>
  <c r="AB60" i="106"/>
  <c r="AA60" i="106"/>
  <c r="AC60" i="106"/>
  <c r="V60" i="106"/>
  <c r="Z60" i="106"/>
  <c r="AE60" i="106"/>
  <c r="W60" i="106"/>
  <c r="X60" i="106"/>
  <c r="Y46" i="106"/>
  <c r="AE46" i="106"/>
  <c r="AF46" i="106"/>
  <c r="AA46" i="106"/>
  <c r="AC46" i="106"/>
  <c r="AD46" i="106"/>
  <c r="AB46" i="106"/>
  <c r="U46" i="106"/>
  <c r="W46" i="106"/>
  <c r="X46" i="106"/>
  <c r="Z46" i="106"/>
  <c r="V46" i="106"/>
  <c r="AA32" i="106"/>
  <c r="AD32" i="106"/>
  <c r="AE32" i="106"/>
  <c r="AF32" i="106"/>
  <c r="AC32" i="106"/>
  <c r="U32" i="106"/>
  <c r="V32" i="106"/>
  <c r="X32" i="106"/>
  <c r="Y32" i="106"/>
  <c r="Z32" i="106"/>
  <c r="W32" i="106"/>
  <c r="AB32" i="106"/>
  <c r="AA18" i="106"/>
  <c r="X18" i="106"/>
  <c r="AD18" i="106"/>
  <c r="W18" i="106"/>
  <c r="AB18" i="106"/>
  <c r="AF18" i="106"/>
  <c r="Y18" i="106"/>
  <c r="Z18" i="106"/>
  <c r="AC18" i="106"/>
  <c r="U18" i="106"/>
  <c r="V18" i="106"/>
  <c r="AE18" i="106"/>
  <c r="X211" i="106"/>
  <c r="AC211" i="106"/>
  <c r="AD211" i="106"/>
  <c r="U211" i="106"/>
  <c r="W211" i="106"/>
  <c r="Y211" i="106"/>
  <c r="Z211" i="106"/>
  <c r="AF211" i="106"/>
  <c r="AA211" i="106"/>
  <c r="AB211" i="106"/>
  <c r="AE211" i="106"/>
  <c r="V211" i="106"/>
  <c r="AC195" i="106"/>
  <c r="U195" i="106"/>
  <c r="V195" i="106"/>
  <c r="W195" i="106"/>
  <c r="Y195" i="106"/>
  <c r="Z195" i="106"/>
  <c r="AE195" i="106"/>
  <c r="X195" i="106"/>
  <c r="AB195" i="106"/>
  <c r="AD195" i="106"/>
  <c r="AA195" i="106"/>
  <c r="AF195" i="106"/>
  <c r="U110" i="106"/>
  <c r="AE110" i="106"/>
  <c r="AF110" i="106"/>
  <c r="Y110" i="106"/>
  <c r="AA110" i="106"/>
  <c r="Z110" i="106"/>
  <c r="AD110" i="106"/>
  <c r="X110" i="106"/>
  <c r="AB110" i="106"/>
  <c r="V110" i="106"/>
  <c r="W110" i="106"/>
  <c r="AC110" i="106"/>
  <c r="X26" i="106"/>
  <c r="AC26" i="106"/>
  <c r="Z26" i="106"/>
  <c r="U26" i="106"/>
  <c r="W26" i="106"/>
  <c r="AD26" i="106"/>
  <c r="AE26" i="106"/>
  <c r="V26" i="106"/>
  <c r="AF26" i="106"/>
  <c r="Y26" i="106"/>
  <c r="AB26" i="106"/>
  <c r="AA26" i="106"/>
  <c r="U209" i="106"/>
  <c r="V209" i="106"/>
  <c r="W209" i="106"/>
  <c r="Y209" i="106"/>
  <c r="AC209" i="106"/>
  <c r="AD209" i="106"/>
  <c r="AA209" i="106"/>
  <c r="AB209" i="106"/>
  <c r="X209" i="106"/>
  <c r="Z209" i="106"/>
  <c r="AF209" i="106"/>
  <c r="AE209" i="106"/>
  <c r="AA163" i="106"/>
  <c r="AB163" i="106"/>
  <c r="X163" i="106"/>
  <c r="Y163" i="106"/>
  <c r="Z163" i="106"/>
  <c r="AC163" i="106"/>
  <c r="U163" i="106"/>
  <c r="V163" i="106"/>
  <c r="AE163" i="106"/>
  <c r="AF163" i="106"/>
  <c r="W163" i="106"/>
  <c r="AD163" i="106"/>
  <c r="AD264" i="106"/>
  <c r="Y264" i="106"/>
  <c r="AC264" i="106"/>
  <c r="AE264" i="106"/>
  <c r="U264" i="106"/>
  <c r="W264" i="106"/>
  <c r="Z264" i="106"/>
  <c r="AA264" i="106"/>
  <c r="AF264" i="106"/>
  <c r="X264" i="106"/>
  <c r="AB264" i="106"/>
  <c r="V264" i="106"/>
  <c r="AA151" i="106"/>
  <c r="Z151" i="106"/>
  <c r="AC151" i="106"/>
  <c r="AD151" i="106"/>
  <c r="AB151" i="106"/>
  <c r="AE151" i="106"/>
  <c r="X151" i="106"/>
  <c r="W151" i="106"/>
  <c r="AF151" i="106"/>
  <c r="V151" i="106"/>
  <c r="U151" i="106"/>
  <c r="Y151" i="106"/>
  <c r="AE24" i="106"/>
  <c r="X24" i="106"/>
  <c r="AD24" i="106"/>
  <c r="Y24" i="106"/>
  <c r="AF24" i="106"/>
  <c r="U24" i="106"/>
  <c r="V24" i="106"/>
  <c r="Z24" i="106"/>
  <c r="AC24" i="106"/>
  <c r="W24" i="106"/>
  <c r="AB24" i="106"/>
  <c r="AA24" i="106"/>
  <c r="V221" i="106"/>
  <c r="AF221" i="106"/>
  <c r="Z221" i="106"/>
  <c r="W221" i="106"/>
  <c r="U221" i="106"/>
  <c r="X221" i="106"/>
  <c r="Y221" i="106"/>
  <c r="AC221" i="106"/>
  <c r="AD221" i="106"/>
  <c r="AA221" i="106"/>
  <c r="AE221" i="106"/>
  <c r="AB221" i="106"/>
  <c r="W107" i="106"/>
  <c r="U107" i="106"/>
  <c r="AB107" i="106"/>
  <c r="AF107" i="106"/>
  <c r="AC107" i="106"/>
  <c r="Z107" i="106"/>
  <c r="V107" i="106"/>
  <c r="AD107" i="106"/>
  <c r="Y107" i="106"/>
  <c r="AA107" i="106"/>
  <c r="AE107" i="106"/>
  <c r="X107" i="106"/>
  <c r="U205" i="106"/>
  <c r="V205" i="106"/>
  <c r="Z205" i="106"/>
  <c r="W205" i="106"/>
  <c r="AF205" i="106"/>
  <c r="Y205" i="106"/>
  <c r="AD205" i="106"/>
  <c r="AE205" i="106"/>
  <c r="AB205" i="106"/>
  <c r="AC205" i="106"/>
  <c r="AA205" i="106"/>
  <c r="X205" i="106"/>
  <c r="V134" i="106"/>
  <c r="X134" i="106"/>
  <c r="Y134" i="106"/>
  <c r="AD134" i="106"/>
  <c r="AE134" i="106"/>
  <c r="Z134" i="106"/>
  <c r="AF134" i="106"/>
  <c r="W134" i="106"/>
  <c r="AB134" i="106"/>
  <c r="AA134" i="106"/>
  <c r="AC134" i="106"/>
  <c r="U134" i="106"/>
  <c r="AA77" i="106"/>
  <c r="AB77" i="106"/>
  <c r="Y77" i="106"/>
  <c r="Z77" i="106"/>
  <c r="AE77" i="106"/>
  <c r="V77" i="106"/>
  <c r="X77" i="106"/>
  <c r="U77" i="106"/>
  <c r="AC77" i="106"/>
  <c r="W77" i="106"/>
  <c r="AD77" i="106"/>
  <c r="AF77" i="106"/>
  <c r="U230" i="106"/>
  <c r="V230" i="106"/>
  <c r="Z230" i="106"/>
  <c r="W230" i="106"/>
  <c r="AD230" i="106"/>
  <c r="AF230" i="106"/>
  <c r="Y230" i="106"/>
  <c r="AA230" i="106"/>
  <c r="AE230" i="106"/>
  <c r="X230" i="106"/>
  <c r="AB230" i="106"/>
  <c r="AC230" i="106"/>
  <c r="U159" i="106"/>
  <c r="AF159" i="106"/>
  <c r="V159" i="106"/>
  <c r="W159" i="106"/>
  <c r="Y159" i="106"/>
  <c r="Z159" i="106"/>
  <c r="AD159" i="106"/>
  <c r="AB159" i="106"/>
  <c r="AC159" i="106"/>
  <c r="X159" i="106"/>
  <c r="AA159" i="106"/>
  <c r="AE159" i="106"/>
  <c r="Y271" i="106"/>
  <c r="AE271" i="106"/>
  <c r="AC271" i="106"/>
  <c r="U271" i="106"/>
  <c r="V271" i="106"/>
  <c r="X271" i="106"/>
  <c r="Z271" i="106"/>
  <c r="AA271" i="106"/>
  <c r="AF271" i="106"/>
  <c r="W271" i="106"/>
  <c r="AD271" i="106"/>
  <c r="AB271" i="106"/>
  <c r="W257" i="106"/>
  <c r="V257" i="106"/>
  <c r="AA257" i="106"/>
  <c r="AF257" i="106"/>
  <c r="X257" i="106"/>
  <c r="AC257" i="106"/>
  <c r="AE257" i="106"/>
  <c r="Z257" i="106"/>
  <c r="U257" i="106"/>
  <c r="Y257" i="106"/>
  <c r="AB257" i="106"/>
  <c r="AD257" i="106"/>
  <c r="W346" i="106"/>
  <c r="V346" i="106"/>
  <c r="AF346" i="106"/>
  <c r="AE346" i="106"/>
  <c r="Y346" i="106"/>
  <c r="Z346" i="106"/>
  <c r="AB346" i="106"/>
  <c r="AA346" i="106"/>
  <c r="AD346" i="106"/>
  <c r="X346" i="106"/>
  <c r="AC346" i="106"/>
  <c r="U346" i="106"/>
  <c r="U308" i="106"/>
  <c r="AF308" i="106"/>
  <c r="W308" i="106"/>
  <c r="Z308" i="106"/>
  <c r="AB308" i="106"/>
  <c r="AC308" i="106"/>
  <c r="Y308" i="106"/>
  <c r="AA308" i="106"/>
  <c r="V308" i="106"/>
  <c r="AD308" i="106"/>
  <c r="X308" i="106"/>
  <c r="AE308" i="106"/>
  <c r="U215" i="106"/>
  <c r="AD215" i="106"/>
  <c r="X215" i="106"/>
  <c r="Y215" i="106"/>
  <c r="AF215" i="106"/>
  <c r="V215" i="106"/>
  <c r="W215" i="106"/>
  <c r="AA215" i="106"/>
  <c r="AB215" i="106"/>
  <c r="AE215" i="106"/>
  <c r="Z215" i="106"/>
  <c r="AC215" i="106"/>
  <c r="Y201" i="106"/>
  <c r="AC201" i="106"/>
  <c r="W201" i="106"/>
  <c r="X201" i="106"/>
  <c r="Z201" i="106"/>
  <c r="AE201" i="106"/>
  <c r="AA201" i="106"/>
  <c r="AF201" i="106"/>
  <c r="V201" i="106"/>
  <c r="AD201" i="106"/>
  <c r="U201" i="106"/>
  <c r="AB201" i="106"/>
  <c r="Z186" i="106"/>
  <c r="Y186" i="106"/>
  <c r="AC186" i="106"/>
  <c r="AF186" i="106"/>
  <c r="V186" i="106"/>
  <c r="U186" i="106"/>
  <c r="X186" i="106"/>
  <c r="AE186" i="106"/>
  <c r="AA186" i="106"/>
  <c r="AD186" i="106"/>
  <c r="AB186" i="106"/>
  <c r="W186" i="106"/>
  <c r="X172" i="106"/>
  <c r="AF172" i="106"/>
  <c r="AE172" i="106"/>
  <c r="W172" i="106"/>
  <c r="AC172" i="106"/>
  <c r="Y172" i="106"/>
  <c r="Z172" i="106"/>
  <c r="AA172" i="106"/>
  <c r="U172" i="106"/>
  <c r="V172" i="106"/>
  <c r="AD172" i="106"/>
  <c r="AB172" i="106"/>
  <c r="AC158" i="106"/>
  <c r="AB158" i="106"/>
  <c r="AD158" i="106"/>
  <c r="AF158" i="106"/>
  <c r="W158" i="106"/>
  <c r="X158" i="106"/>
  <c r="Y158" i="106"/>
  <c r="AA158" i="106"/>
  <c r="U158" i="106"/>
  <c r="V158" i="106"/>
  <c r="AE158" i="106"/>
  <c r="Z158" i="106"/>
  <c r="Z144" i="106"/>
  <c r="AE144" i="106"/>
  <c r="AD144" i="106"/>
  <c r="AF144" i="106"/>
  <c r="U144" i="106"/>
  <c r="AB144" i="106"/>
  <c r="AC144" i="106"/>
  <c r="V144" i="106"/>
  <c r="AA144" i="106"/>
  <c r="W144" i="106"/>
  <c r="X144" i="106"/>
  <c r="Y144" i="106"/>
  <c r="U130" i="106"/>
  <c r="V130" i="106"/>
  <c r="AB130" i="106"/>
  <c r="AC130" i="106"/>
  <c r="AD130" i="106"/>
  <c r="AF130" i="106"/>
  <c r="AA130" i="106"/>
  <c r="AE130" i="106"/>
  <c r="W130" i="106"/>
  <c r="X130" i="106"/>
  <c r="Z130" i="106"/>
  <c r="Y130" i="106"/>
  <c r="U115" i="106"/>
  <c r="X115" i="106"/>
  <c r="AB115" i="106"/>
  <c r="AC115" i="106"/>
  <c r="AD115" i="106"/>
  <c r="AF115" i="106"/>
  <c r="AE115" i="106"/>
  <c r="W115" i="106"/>
  <c r="Y115" i="106"/>
  <c r="Z115" i="106"/>
  <c r="AA115" i="106"/>
  <c r="V115" i="106"/>
  <c r="W101" i="106"/>
  <c r="AE101" i="106"/>
  <c r="AB101" i="106"/>
  <c r="Y101" i="106"/>
  <c r="AA101" i="106"/>
  <c r="U101" i="106"/>
  <c r="X101" i="106"/>
  <c r="AC101" i="106"/>
  <c r="AD101" i="106"/>
  <c r="Z101" i="106"/>
  <c r="AF101" i="106"/>
  <c r="V101" i="106"/>
  <c r="AA87" i="106"/>
  <c r="AB87" i="106"/>
  <c r="AE87" i="106"/>
  <c r="AF87" i="106"/>
  <c r="V87" i="106"/>
  <c r="X87" i="106"/>
  <c r="W87" i="106"/>
  <c r="AD87" i="106"/>
  <c r="U87" i="106"/>
  <c r="Y87" i="106"/>
  <c r="Z87" i="106"/>
  <c r="AC87" i="106"/>
  <c r="U73" i="106"/>
  <c r="Y73" i="106"/>
  <c r="AA73" i="106"/>
  <c r="AD73" i="106"/>
  <c r="AE73" i="106"/>
  <c r="AF73" i="106"/>
  <c r="AC73" i="106"/>
  <c r="AB73" i="106"/>
  <c r="W73" i="106"/>
  <c r="Z73" i="106"/>
  <c r="X73" i="106"/>
  <c r="V73" i="106"/>
  <c r="U59" i="106"/>
  <c r="X59" i="106"/>
  <c r="Z59" i="106"/>
  <c r="AB59" i="106"/>
  <c r="AD59" i="106"/>
  <c r="AC59" i="106"/>
  <c r="AA59" i="106"/>
  <c r="AF59" i="106"/>
  <c r="V59" i="106"/>
  <c r="AE59" i="106"/>
  <c r="Y59" i="106"/>
  <c r="W59" i="106"/>
  <c r="Y45" i="106"/>
  <c r="Z45" i="106"/>
  <c r="AA45" i="106"/>
  <c r="AC45" i="106"/>
  <c r="AD45" i="106"/>
  <c r="AF45" i="106"/>
  <c r="X45" i="106"/>
  <c r="AB45" i="106"/>
  <c r="AE45" i="106"/>
  <c r="V45" i="106"/>
  <c r="W45" i="106"/>
  <c r="U45" i="106"/>
  <c r="AD31" i="106"/>
  <c r="AE31" i="106"/>
  <c r="AF31" i="106"/>
  <c r="X31" i="106"/>
  <c r="Y31" i="106"/>
  <c r="AA31" i="106"/>
  <c r="AB31" i="106"/>
  <c r="Z31" i="106"/>
  <c r="AC31" i="106"/>
  <c r="V31" i="106"/>
  <c r="W31" i="106"/>
  <c r="U31" i="106"/>
  <c r="Y17" i="106"/>
  <c r="X17" i="106"/>
  <c r="V17" i="106"/>
  <c r="AB17" i="106"/>
  <c r="Z17" i="106"/>
  <c r="U17" i="106"/>
  <c r="W17" i="106"/>
  <c r="AA17" i="106"/>
  <c r="AC17" i="106"/>
  <c r="AD17" i="106"/>
  <c r="AE17" i="106"/>
  <c r="AF17" i="106"/>
  <c r="X239" i="106"/>
  <c r="U239" i="106"/>
  <c r="V239" i="106"/>
  <c r="AB239" i="106"/>
  <c r="W239" i="106"/>
  <c r="Y239" i="106"/>
  <c r="AD239" i="106"/>
  <c r="AE239" i="106"/>
  <c r="Z239" i="106"/>
  <c r="AA239" i="106"/>
  <c r="AC239" i="106"/>
  <c r="AF239" i="106"/>
  <c r="W238" i="106"/>
  <c r="AD238" i="106"/>
  <c r="AF238" i="106"/>
  <c r="AC238" i="106"/>
  <c r="U238" i="106"/>
  <c r="Y238" i="106"/>
  <c r="AB238" i="106"/>
  <c r="V238" i="106"/>
  <c r="X238" i="106"/>
  <c r="Z238" i="106"/>
  <c r="AA238" i="106"/>
  <c r="AE238" i="106"/>
  <c r="V153" i="106"/>
  <c r="U153" i="106"/>
  <c r="X153" i="106"/>
  <c r="Z153" i="106"/>
  <c r="AD153" i="106"/>
  <c r="AF153" i="106"/>
  <c r="AA153" i="106"/>
  <c r="AB153" i="106"/>
  <c r="W153" i="106"/>
  <c r="AC153" i="106"/>
  <c r="AE153" i="106"/>
  <c r="Y153" i="106"/>
  <c r="W82" i="106"/>
  <c r="AF82" i="106"/>
  <c r="U82" i="106"/>
  <c r="V82" i="106"/>
  <c r="Y82" i="106"/>
  <c r="Z82" i="106"/>
  <c r="AC82" i="106"/>
  <c r="AD82" i="106"/>
  <c r="X82" i="106"/>
  <c r="AB82" i="106"/>
  <c r="AA82" i="106"/>
  <c r="AE82" i="106"/>
  <c r="AD237" i="106"/>
  <c r="AE237" i="106"/>
  <c r="Z237" i="106"/>
  <c r="AC237" i="106"/>
  <c r="W237" i="106"/>
  <c r="X237" i="106"/>
  <c r="V237" i="106"/>
  <c r="AA237" i="106"/>
  <c r="AF237" i="106"/>
  <c r="Y237" i="106"/>
  <c r="AB237" i="106"/>
  <c r="U237" i="106"/>
  <c r="X138" i="106"/>
  <c r="AB138" i="106"/>
  <c r="AC138" i="106"/>
  <c r="AE138" i="106"/>
  <c r="Y138" i="106"/>
  <c r="Z138" i="106"/>
  <c r="AD138" i="106"/>
  <c r="V138" i="106"/>
  <c r="AA138" i="106"/>
  <c r="U138" i="106"/>
  <c r="W138" i="106"/>
  <c r="AF138" i="106"/>
  <c r="X53" i="106"/>
  <c r="AF53" i="106"/>
  <c r="AB53" i="106"/>
  <c r="AC53" i="106"/>
  <c r="AD53" i="106"/>
  <c r="U53" i="106"/>
  <c r="V53" i="106"/>
  <c r="Y53" i="106"/>
  <c r="W53" i="106"/>
  <c r="AA53" i="106"/>
  <c r="AE53" i="106"/>
  <c r="Z53" i="106"/>
  <c r="W165" i="106"/>
  <c r="AE165" i="106"/>
  <c r="U165" i="106"/>
  <c r="Y165" i="106"/>
  <c r="Z165" i="106"/>
  <c r="X165" i="106"/>
  <c r="AC165" i="106"/>
  <c r="AF165" i="106"/>
  <c r="AB165" i="106"/>
  <c r="AD165" i="106"/>
  <c r="V165" i="106"/>
  <c r="AA165" i="106"/>
  <c r="W66" i="106"/>
  <c r="V66" i="106"/>
  <c r="X66" i="106"/>
  <c r="Z66" i="106"/>
  <c r="AA66" i="106"/>
  <c r="AB66" i="106"/>
  <c r="AF66" i="106"/>
  <c r="U66" i="106"/>
  <c r="Y66" i="106"/>
  <c r="AD66" i="106"/>
  <c r="AC66" i="106"/>
  <c r="AE66" i="106"/>
  <c r="AA235" i="106"/>
  <c r="AF235" i="106"/>
  <c r="AC235" i="106"/>
  <c r="AE235" i="106"/>
  <c r="Z235" i="106"/>
  <c r="AD235" i="106"/>
  <c r="AB235" i="106"/>
  <c r="U235" i="106"/>
  <c r="V235" i="106"/>
  <c r="Y235" i="106"/>
  <c r="X235" i="106"/>
  <c r="W235" i="106"/>
  <c r="X150" i="106"/>
  <c r="AC150" i="106"/>
  <c r="V150" i="106"/>
  <c r="Y150" i="106"/>
  <c r="AA150" i="106"/>
  <c r="AB150" i="106"/>
  <c r="U150" i="106"/>
  <c r="Z150" i="106"/>
  <c r="AF150" i="106"/>
  <c r="W150" i="106"/>
  <c r="AD150" i="106"/>
  <c r="AE150" i="106"/>
  <c r="Y261" i="106"/>
  <c r="AF261" i="106"/>
  <c r="Z261" i="106"/>
  <c r="AE261" i="106"/>
  <c r="X261" i="106"/>
  <c r="AC261" i="106"/>
  <c r="AD261" i="106"/>
  <c r="AA261" i="106"/>
  <c r="U261" i="106"/>
  <c r="V261" i="106"/>
  <c r="AB261" i="106"/>
  <c r="W261" i="106"/>
  <c r="AC162" i="106"/>
  <c r="Y162" i="106"/>
  <c r="Z162" i="106"/>
  <c r="AA162" i="106"/>
  <c r="AB162" i="106"/>
  <c r="V162" i="106"/>
  <c r="U162" i="106"/>
  <c r="W162" i="106"/>
  <c r="X162" i="106"/>
  <c r="AD162" i="106"/>
  <c r="AE162" i="106"/>
  <c r="AF162" i="106"/>
  <c r="Y63" i="106"/>
  <c r="U63" i="106"/>
  <c r="AC63" i="106"/>
  <c r="V63" i="106"/>
  <c r="AE63" i="106"/>
  <c r="W63" i="106"/>
  <c r="AD63" i="106"/>
  <c r="AF63" i="106"/>
  <c r="X63" i="106"/>
  <c r="Z63" i="106"/>
  <c r="AA63" i="106"/>
  <c r="AB63" i="106"/>
  <c r="Y274" i="106"/>
  <c r="AA274" i="106"/>
  <c r="W274" i="106"/>
  <c r="Z274" i="106"/>
  <c r="AB274" i="106"/>
  <c r="V274" i="106"/>
  <c r="AD274" i="106"/>
  <c r="X274" i="106"/>
  <c r="AC274" i="106"/>
  <c r="U274" i="106"/>
  <c r="AF274" i="106"/>
  <c r="AE274" i="106"/>
  <c r="Y216" i="106"/>
  <c r="U216" i="106"/>
  <c r="W216" i="106"/>
  <c r="X216" i="106"/>
  <c r="V216" i="106"/>
  <c r="AB216" i="106"/>
  <c r="AC216" i="106"/>
  <c r="AE216" i="106"/>
  <c r="AD216" i="106"/>
  <c r="AA216" i="106"/>
  <c r="AF216" i="106"/>
  <c r="Z216" i="106"/>
  <c r="AC145" i="106"/>
  <c r="U145" i="106"/>
  <c r="V145" i="106"/>
  <c r="AD145" i="106"/>
  <c r="AE145" i="106"/>
  <c r="Y145" i="106"/>
  <c r="AA145" i="106"/>
  <c r="AB145" i="106"/>
  <c r="AF145" i="106"/>
  <c r="W145" i="106"/>
  <c r="X145" i="106"/>
  <c r="Z145" i="106"/>
  <c r="Z270" i="106"/>
  <c r="AA270" i="106"/>
  <c r="AC270" i="106"/>
  <c r="AE270" i="106"/>
  <c r="V270" i="106"/>
  <c r="W270" i="106"/>
  <c r="X270" i="106"/>
  <c r="AD270" i="106"/>
  <c r="AF270" i="106"/>
  <c r="U270" i="106"/>
  <c r="Y270" i="106"/>
  <c r="AB270" i="106"/>
  <c r="W256" i="106"/>
  <c r="AA256" i="106"/>
  <c r="U256" i="106"/>
  <c r="V256" i="106"/>
  <c r="X256" i="106"/>
  <c r="Y256" i="106"/>
  <c r="AE256" i="106"/>
  <c r="AF256" i="106"/>
  <c r="AD256" i="106"/>
  <c r="AB256" i="106"/>
  <c r="Z256" i="106"/>
  <c r="AC256" i="106"/>
  <c r="AF242" i="106"/>
  <c r="U242" i="106"/>
  <c r="AB242" i="106"/>
  <c r="AD242" i="106"/>
  <c r="AE242" i="106"/>
  <c r="Z242" i="106"/>
  <c r="AC242" i="106"/>
  <c r="W242" i="106"/>
  <c r="AA242" i="106"/>
  <c r="X242" i="106"/>
  <c r="Y242" i="106"/>
  <c r="V242" i="106"/>
  <c r="U228" i="106"/>
  <c r="X228" i="106"/>
  <c r="V228" i="106"/>
  <c r="W228" i="106"/>
  <c r="Y228" i="106"/>
  <c r="AA228" i="106"/>
  <c r="AD228" i="106"/>
  <c r="AB228" i="106"/>
  <c r="Z228" i="106"/>
  <c r="AC228" i="106"/>
  <c r="AE228" i="106"/>
  <c r="AF228" i="106"/>
  <c r="Z214" i="106"/>
  <c r="AC214" i="106"/>
  <c r="V214" i="106"/>
  <c r="X214" i="106"/>
  <c r="AE214" i="106"/>
  <c r="AF214" i="106"/>
  <c r="AB214" i="106"/>
  <c r="AA214" i="106"/>
  <c r="AD214" i="106"/>
  <c r="W214" i="106"/>
  <c r="Y214" i="106"/>
  <c r="U214" i="106"/>
  <c r="V200" i="106"/>
  <c r="U200" i="106"/>
  <c r="AB200" i="106"/>
  <c r="AD200" i="106"/>
  <c r="AA200" i="106"/>
  <c r="AC200" i="106"/>
  <c r="AE200" i="106"/>
  <c r="AF200" i="106"/>
  <c r="Y200" i="106"/>
  <c r="Z200" i="106"/>
  <c r="W200" i="106"/>
  <c r="X200" i="106"/>
  <c r="U185" i="106"/>
  <c r="AF185" i="106"/>
  <c r="V185" i="106"/>
  <c r="W185" i="106"/>
  <c r="AC185" i="106"/>
  <c r="X185" i="106"/>
  <c r="Y185" i="106"/>
  <c r="AD185" i="106"/>
  <c r="AB185" i="106"/>
  <c r="Z185" i="106"/>
  <c r="AA185" i="106"/>
  <c r="AE185" i="106"/>
  <c r="AC171" i="106"/>
  <c r="AD171" i="106"/>
  <c r="AE171" i="106"/>
  <c r="AF171" i="106"/>
  <c r="V171" i="106"/>
  <c r="X171" i="106"/>
  <c r="Y171" i="106"/>
  <c r="U171" i="106"/>
  <c r="W171" i="106"/>
  <c r="AB171" i="106"/>
  <c r="Z171" i="106"/>
  <c r="AA171" i="106"/>
  <c r="Y157" i="106"/>
  <c r="Z157" i="106"/>
  <c r="AB157" i="106"/>
  <c r="W157" i="106"/>
  <c r="X157" i="106"/>
  <c r="AA157" i="106"/>
  <c r="AC157" i="106"/>
  <c r="AD157" i="106"/>
  <c r="AE157" i="106"/>
  <c r="AF157" i="106"/>
  <c r="V157" i="106"/>
  <c r="U157" i="106"/>
  <c r="AA143" i="106"/>
  <c r="AC143" i="106"/>
  <c r="AE143" i="106"/>
  <c r="U143" i="106"/>
  <c r="Z143" i="106"/>
  <c r="AF143" i="106"/>
  <c r="AB143" i="106"/>
  <c r="W143" i="106"/>
  <c r="X143" i="106"/>
  <c r="AD143" i="106"/>
  <c r="Y143" i="106"/>
  <c r="V143" i="106"/>
  <c r="AD129" i="106"/>
  <c r="Z129" i="106"/>
  <c r="AB129" i="106"/>
  <c r="AE129" i="106"/>
  <c r="X129" i="106"/>
  <c r="AC129" i="106"/>
  <c r="Y129" i="106"/>
  <c r="AF129" i="106"/>
  <c r="AA129" i="106"/>
  <c r="V129" i="106"/>
  <c r="W129" i="106"/>
  <c r="U129" i="106"/>
  <c r="AC114" i="106"/>
  <c r="V114" i="106"/>
  <c r="AB114" i="106"/>
  <c r="AA114" i="106"/>
  <c r="U114" i="106"/>
  <c r="W114" i="106"/>
  <c r="X114" i="106"/>
  <c r="AF114" i="106"/>
  <c r="Z114" i="106"/>
  <c r="AD114" i="106"/>
  <c r="AE114" i="106"/>
  <c r="Y114" i="106"/>
  <c r="U100" i="106"/>
  <c r="V100" i="106"/>
  <c r="AC100" i="106"/>
  <c r="AD100" i="106"/>
  <c r="AF100" i="106"/>
  <c r="AE100" i="106"/>
  <c r="Z100" i="106"/>
  <c r="X100" i="106"/>
  <c r="AB100" i="106"/>
  <c r="Y100" i="106"/>
  <c r="W100" i="106"/>
  <c r="AA100" i="106"/>
  <c r="V86" i="106"/>
  <c r="AE86" i="106"/>
  <c r="X86" i="106"/>
  <c r="AD86" i="106"/>
  <c r="U86" i="106"/>
  <c r="AF86" i="106"/>
  <c r="W86" i="106"/>
  <c r="Y86" i="106"/>
  <c r="AB86" i="106"/>
  <c r="AC86" i="106"/>
  <c r="AA86" i="106"/>
  <c r="Z86" i="106"/>
  <c r="AE72" i="106"/>
  <c r="AF72" i="106"/>
  <c r="U72" i="106"/>
  <c r="V72" i="106"/>
  <c r="X72" i="106"/>
  <c r="Z72" i="106"/>
  <c r="AC72" i="106"/>
  <c r="AB72" i="106"/>
  <c r="AD72" i="106"/>
  <c r="AA72" i="106"/>
  <c r="W72" i="106"/>
  <c r="Y72" i="106"/>
  <c r="X58" i="106"/>
  <c r="U58" i="106"/>
  <c r="V58" i="106"/>
  <c r="AF58" i="106"/>
  <c r="Y58" i="106"/>
  <c r="AA58" i="106"/>
  <c r="AD58" i="106"/>
  <c r="AB58" i="106"/>
  <c r="AE58" i="106"/>
  <c r="Z58" i="106"/>
  <c r="AC58" i="106"/>
  <c r="W58" i="106"/>
  <c r="AA44" i="106"/>
  <c r="Y44" i="106"/>
  <c r="Z44" i="106"/>
  <c r="V44" i="106"/>
  <c r="W44" i="106"/>
  <c r="AB44" i="106"/>
  <c r="AC44" i="106"/>
  <c r="AD44" i="106"/>
  <c r="AE44" i="106"/>
  <c r="U44" i="106"/>
  <c r="AF44" i="106"/>
  <c r="X44" i="106"/>
  <c r="X30" i="106"/>
  <c r="Y30" i="106"/>
  <c r="Z30" i="106"/>
  <c r="AA30" i="106"/>
  <c r="AD30" i="106"/>
  <c r="AE30" i="106"/>
  <c r="AC30" i="106"/>
  <c r="U30" i="106"/>
  <c r="V30" i="106"/>
  <c r="AB30" i="106"/>
  <c r="AF30" i="106"/>
  <c r="W30" i="106"/>
  <c r="U16" i="106"/>
  <c r="X16" i="106"/>
  <c r="Y16" i="106"/>
  <c r="Z16" i="106"/>
  <c r="AC16" i="106"/>
  <c r="AD16" i="106"/>
  <c r="AF16" i="106"/>
  <c r="AE16" i="106"/>
  <c r="AA16" i="106"/>
  <c r="AB16" i="106"/>
  <c r="V16" i="106"/>
  <c r="W16" i="106"/>
  <c r="W334" i="106"/>
  <c r="Y334" i="106"/>
  <c r="X334" i="106"/>
  <c r="AD334" i="106"/>
  <c r="AC334" i="106"/>
  <c r="AB334" i="106"/>
  <c r="Z334" i="106"/>
  <c r="AA334" i="106"/>
  <c r="V334" i="106"/>
  <c r="AE334" i="106"/>
  <c r="AF334" i="106"/>
  <c r="U334" i="106"/>
  <c r="U210" i="106"/>
  <c r="X210" i="106"/>
  <c r="Y210" i="106"/>
  <c r="AD210" i="106"/>
  <c r="W210" i="106"/>
  <c r="Z210" i="106"/>
  <c r="AF210" i="106"/>
  <c r="AE210" i="106"/>
  <c r="AC210" i="106"/>
  <c r="V210" i="106"/>
  <c r="AA210" i="106"/>
  <c r="AB210" i="106"/>
  <c r="W96" i="106"/>
  <c r="AC96" i="106"/>
  <c r="U96" i="106"/>
  <c r="AD96" i="106"/>
  <c r="AE96" i="106"/>
  <c r="X96" i="106"/>
  <c r="Y96" i="106"/>
  <c r="Z96" i="106"/>
  <c r="AA96" i="106"/>
  <c r="AB96" i="106"/>
  <c r="AF96" i="106"/>
  <c r="V96" i="106"/>
  <c r="X180" i="106"/>
  <c r="AC180" i="106"/>
  <c r="AD180" i="106"/>
  <c r="Z180" i="106"/>
  <c r="Y180" i="106"/>
  <c r="U180" i="106"/>
  <c r="AA180" i="106"/>
  <c r="AB180" i="106"/>
  <c r="AF180" i="106"/>
  <c r="AE180" i="106"/>
  <c r="V180" i="106"/>
  <c r="W180" i="106"/>
  <c r="V67" i="106"/>
  <c r="AA67" i="106"/>
  <c r="AB67" i="106"/>
  <c r="AD67" i="106"/>
  <c r="AE67" i="106"/>
  <c r="AF67" i="106"/>
  <c r="Z67" i="106"/>
  <c r="AC67" i="106"/>
  <c r="Y67" i="106"/>
  <c r="X67" i="106"/>
  <c r="W67" i="106"/>
  <c r="U67" i="106"/>
  <c r="AB250" i="106"/>
  <c r="AD250" i="106"/>
  <c r="U250" i="106"/>
  <c r="X250" i="106"/>
  <c r="Y250" i="106"/>
  <c r="Z250" i="106"/>
  <c r="AE250" i="106"/>
  <c r="AA250" i="106"/>
  <c r="AC250" i="106"/>
  <c r="AF250" i="106"/>
  <c r="W250" i="106"/>
  <c r="V250" i="106"/>
  <c r="AF179" i="106"/>
  <c r="X179" i="106"/>
  <c r="V179" i="106"/>
  <c r="W179" i="106"/>
  <c r="AA179" i="106"/>
  <c r="AD179" i="106"/>
  <c r="AB179" i="106"/>
  <c r="Z179" i="106"/>
  <c r="AC179" i="106"/>
  <c r="AE179" i="106"/>
  <c r="Y179" i="106"/>
  <c r="U179" i="106"/>
  <c r="W94" i="106"/>
  <c r="V94" i="106"/>
  <c r="AA94" i="106"/>
  <c r="AB94" i="106"/>
  <c r="AD94" i="106"/>
  <c r="AE94" i="106"/>
  <c r="AF94" i="106"/>
  <c r="U94" i="106"/>
  <c r="X94" i="106"/>
  <c r="Y94" i="106"/>
  <c r="AC94" i="106"/>
  <c r="Z94" i="106"/>
  <c r="V263" i="106"/>
  <c r="AC263" i="106"/>
  <c r="AD263" i="106"/>
  <c r="W263" i="106"/>
  <c r="X263" i="106"/>
  <c r="Z263" i="106"/>
  <c r="AB263" i="106"/>
  <c r="U263" i="106"/>
  <c r="AE263" i="106"/>
  <c r="AA263" i="106"/>
  <c r="Y263" i="106"/>
  <c r="AF263" i="106"/>
  <c r="AC178" i="106"/>
  <c r="U178" i="106"/>
  <c r="AD178" i="106"/>
  <c r="AE178" i="106"/>
  <c r="AA178" i="106"/>
  <c r="AB178" i="106"/>
  <c r="Z178" i="106"/>
  <c r="W178" i="106"/>
  <c r="X178" i="106"/>
  <c r="Y178" i="106"/>
  <c r="AF178" i="106"/>
  <c r="V178" i="106"/>
  <c r="U93" i="106"/>
  <c r="X93" i="106"/>
  <c r="AC93" i="106"/>
  <c r="AD93" i="106"/>
  <c r="Z93" i="106"/>
  <c r="W93" i="106"/>
  <c r="AF93" i="106"/>
  <c r="AE93" i="106"/>
  <c r="AA93" i="106"/>
  <c r="AB93" i="106"/>
  <c r="Y93" i="106"/>
  <c r="V93" i="106"/>
  <c r="U176" i="106"/>
  <c r="W176" i="106"/>
  <c r="AE176" i="106"/>
  <c r="Y176" i="106"/>
  <c r="AD176" i="106"/>
  <c r="Z176" i="106"/>
  <c r="AC176" i="106"/>
  <c r="AF176" i="106"/>
  <c r="AA176" i="106"/>
  <c r="AB176" i="106"/>
  <c r="X176" i="106"/>
  <c r="V176" i="106"/>
  <c r="AE120" i="106"/>
  <c r="V120" i="106"/>
  <c r="W120" i="106"/>
  <c r="U120" i="106"/>
  <c r="X120" i="106"/>
  <c r="Z120" i="106"/>
  <c r="AC120" i="106"/>
  <c r="Y120" i="106"/>
  <c r="AF120" i="106"/>
  <c r="AD120" i="106"/>
  <c r="AA120" i="106"/>
  <c r="AB120" i="106"/>
  <c r="Z35" i="106"/>
  <c r="AA35" i="106"/>
  <c r="AB35" i="106"/>
  <c r="AD35" i="106"/>
  <c r="AE35" i="106"/>
  <c r="X35" i="106"/>
  <c r="Y35" i="106"/>
  <c r="AF35" i="106"/>
  <c r="AC35" i="106"/>
  <c r="U35" i="106"/>
  <c r="V35" i="106"/>
  <c r="W35" i="106"/>
  <c r="U272" i="106"/>
  <c r="Z272" i="106"/>
  <c r="AA272" i="106"/>
  <c r="AF272" i="106"/>
  <c r="W272" i="106"/>
  <c r="AD272" i="106"/>
  <c r="V272" i="106"/>
  <c r="AE272" i="106"/>
  <c r="X272" i="106"/>
  <c r="Y272" i="106"/>
  <c r="AB272" i="106"/>
  <c r="AC272" i="106"/>
  <c r="V187" i="106"/>
  <c r="W187" i="106"/>
  <c r="X187" i="106"/>
  <c r="Y187" i="106"/>
  <c r="U187" i="106"/>
  <c r="AD187" i="106"/>
  <c r="AE187" i="106"/>
  <c r="Z187" i="106"/>
  <c r="AC187" i="106"/>
  <c r="AB187" i="106"/>
  <c r="AF187" i="106"/>
  <c r="AA187" i="106"/>
  <c r="U131" i="106"/>
  <c r="AE131" i="106"/>
  <c r="AB131" i="106"/>
  <c r="AD131" i="106"/>
  <c r="V131" i="106"/>
  <c r="X131" i="106"/>
  <c r="AA131" i="106"/>
  <c r="AF131" i="106"/>
  <c r="W131" i="106"/>
  <c r="Y131" i="106"/>
  <c r="AC131" i="106"/>
  <c r="Z131" i="106"/>
  <c r="X269" i="106"/>
  <c r="AE269" i="106"/>
  <c r="Y269" i="106"/>
  <c r="U269" i="106"/>
  <c r="W269" i="106"/>
  <c r="Z269" i="106"/>
  <c r="AD269" i="106"/>
  <c r="V269" i="106"/>
  <c r="AB269" i="106"/>
  <c r="AA269" i="106"/>
  <c r="AC269" i="106"/>
  <c r="AF269" i="106"/>
  <c r="V255" i="106"/>
  <c r="AB255" i="106"/>
  <c r="Y255" i="106"/>
  <c r="AA255" i="106"/>
  <c r="AD255" i="106"/>
  <c r="AE255" i="106"/>
  <c r="X255" i="106"/>
  <c r="Z255" i="106"/>
  <c r="AF255" i="106"/>
  <c r="U255" i="106"/>
  <c r="W255" i="106"/>
  <c r="AC255" i="106"/>
  <c r="W241" i="106"/>
  <c r="AE241" i="106"/>
  <c r="AF241" i="106"/>
  <c r="U241" i="106"/>
  <c r="X241" i="106"/>
  <c r="Z241" i="106"/>
  <c r="AC241" i="106"/>
  <c r="AD241" i="106"/>
  <c r="V241" i="106"/>
  <c r="Y241" i="106"/>
  <c r="AA241" i="106"/>
  <c r="AB241" i="106"/>
  <c r="X227" i="106"/>
  <c r="AD227" i="106"/>
  <c r="U227" i="106"/>
  <c r="W227" i="106"/>
  <c r="AE227" i="106"/>
  <c r="AB227" i="106"/>
  <c r="Y227" i="106"/>
  <c r="AA227" i="106"/>
  <c r="Z227" i="106"/>
  <c r="AC227" i="106"/>
  <c r="AF227" i="106"/>
  <c r="V227" i="106"/>
  <c r="V213" i="106"/>
  <c r="W213" i="106"/>
  <c r="X213" i="106"/>
  <c r="AD213" i="106"/>
  <c r="U213" i="106"/>
  <c r="Y213" i="106"/>
  <c r="AE213" i="106"/>
  <c r="AF213" i="106"/>
  <c r="AC213" i="106"/>
  <c r="AA213" i="106"/>
  <c r="AB213" i="106"/>
  <c r="Z213" i="106"/>
  <c r="AE199" i="106"/>
  <c r="AF199" i="106"/>
  <c r="V199" i="106"/>
  <c r="W199" i="106"/>
  <c r="U199" i="106"/>
  <c r="AD199" i="106"/>
  <c r="Z199" i="106"/>
  <c r="AA199" i="106"/>
  <c r="AB199" i="106"/>
  <c r="X199" i="106"/>
  <c r="AC199" i="106"/>
  <c r="Y199" i="106"/>
  <c r="V184" i="106"/>
  <c r="W184" i="106"/>
  <c r="AF184" i="106"/>
  <c r="Y184" i="106"/>
  <c r="AE184" i="106"/>
  <c r="U184" i="106"/>
  <c r="AB184" i="106"/>
  <c r="X184" i="106"/>
  <c r="AC184" i="106"/>
  <c r="AD184" i="106"/>
  <c r="AA184" i="106"/>
  <c r="Z184" i="106"/>
  <c r="Y170" i="106"/>
  <c r="W170" i="106"/>
  <c r="V170" i="106"/>
  <c r="AC170" i="106"/>
  <c r="AE170" i="106"/>
  <c r="AA170" i="106"/>
  <c r="AB170" i="106"/>
  <c r="X170" i="106"/>
  <c r="AF170" i="106"/>
  <c r="U170" i="106"/>
  <c r="Z170" i="106"/>
  <c r="AD170" i="106"/>
  <c r="Y156" i="106"/>
  <c r="AD156" i="106"/>
  <c r="X156" i="106"/>
  <c r="Z156" i="106"/>
  <c r="AB156" i="106"/>
  <c r="AC156" i="106"/>
  <c r="AA156" i="106"/>
  <c r="AF156" i="106"/>
  <c r="U156" i="106"/>
  <c r="V156" i="106"/>
  <c r="W156" i="106"/>
  <c r="AE156" i="106"/>
  <c r="AB142" i="106"/>
  <c r="X142" i="106"/>
  <c r="AF142" i="106"/>
  <c r="Z142" i="106"/>
  <c r="W142" i="106"/>
  <c r="U142" i="106"/>
  <c r="V142" i="106"/>
  <c r="AA142" i="106"/>
  <c r="AD142" i="106"/>
  <c r="AC142" i="106"/>
  <c r="AE142" i="106"/>
  <c r="Y142" i="106"/>
  <c r="Y128" i="106"/>
  <c r="AD128" i="106"/>
  <c r="AE128" i="106"/>
  <c r="V128" i="106"/>
  <c r="Z128" i="106"/>
  <c r="AC128" i="106"/>
  <c r="AF128" i="106"/>
  <c r="W128" i="106"/>
  <c r="X128" i="106"/>
  <c r="AB128" i="106"/>
  <c r="U128" i="106"/>
  <c r="AA128" i="106"/>
  <c r="AA113" i="106"/>
  <c r="V113" i="106"/>
  <c r="W113" i="106"/>
  <c r="Y113" i="106"/>
  <c r="Z113" i="106"/>
  <c r="X113" i="106"/>
  <c r="AB113" i="106"/>
  <c r="AE113" i="106"/>
  <c r="U113" i="106"/>
  <c r="AD113" i="106"/>
  <c r="AF113" i="106"/>
  <c r="AC113" i="106"/>
  <c r="AC99" i="106"/>
  <c r="AD99" i="106"/>
  <c r="W99" i="106"/>
  <c r="X99" i="106"/>
  <c r="Z99" i="106"/>
  <c r="AF99" i="106"/>
  <c r="Y99" i="106"/>
  <c r="V99" i="106"/>
  <c r="AE99" i="106"/>
  <c r="U99" i="106"/>
  <c r="AA99" i="106"/>
  <c r="AB99" i="106"/>
  <c r="AB85" i="106"/>
  <c r="AF85" i="106"/>
  <c r="AE85" i="106"/>
  <c r="X85" i="106"/>
  <c r="Z85" i="106"/>
  <c r="U85" i="106"/>
  <c r="Y85" i="106"/>
  <c r="AA85" i="106"/>
  <c r="AC85" i="106"/>
  <c r="W85" i="106"/>
  <c r="V85" i="106"/>
  <c r="AD85" i="106"/>
  <c r="V71" i="106"/>
  <c r="X71" i="106"/>
  <c r="Z71" i="106"/>
  <c r="AE71" i="106"/>
  <c r="AF71" i="106"/>
  <c r="U71" i="106"/>
  <c r="Y71" i="106"/>
  <c r="AA71" i="106"/>
  <c r="AB71" i="106"/>
  <c r="AC71" i="106"/>
  <c r="AD71" i="106"/>
  <c r="W71" i="106"/>
  <c r="AB57" i="106"/>
  <c r="AD57" i="106"/>
  <c r="AA57" i="106"/>
  <c r="AC57" i="106"/>
  <c r="AF57" i="106"/>
  <c r="W57" i="106"/>
  <c r="X57" i="106"/>
  <c r="Z57" i="106"/>
  <c r="U57" i="106"/>
  <c r="Y57" i="106"/>
  <c r="V57" i="106"/>
  <c r="AE57" i="106"/>
  <c r="AB43" i="106"/>
  <c r="AD43" i="106"/>
  <c r="AF43" i="106"/>
  <c r="AC43" i="106"/>
  <c r="AE43" i="106"/>
  <c r="Y43" i="106"/>
  <c r="Z43" i="106"/>
  <c r="AA43" i="106"/>
  <c r="U43" i="106"/>
  <c r="V43" i="106"/>
  <c r="X43" i="106"/>
  <c r="W43" i="106"/>
  <c r="AB29" i="106"/>
  <c r="Z29" i="106"/>
  <c r="U29" i="106"/>
  <c r="V29" i="106"/>
  <c r="W29" i="106"/>
  <c r="AC29" i="106"/>
  <c r="AD29" i="106"/>
  <c r="Y29" i="106"/>
  <c r="X29" i="106"/>
  <c r="AA29" i="106"/>
  <c r="AE29" i="106"/>
  <c r="AF29" i="106"/>
  <c r="X267" i="106"/>
  <c r="V267" i="106"/>
  <c r="U267" i="106"/>
  <c r="AD267" i="106"/>
  <c r="AA267" i="106"/>
  <c r="Z267" i="106"/>
  <c r="AC267" i="106"/>
  <c r="AE267" i="106"/>
  <c r="AB267" i="106"/>
  <c r="W267" i="106"/>
  <c r="AF267" i="106"/>
  <c r="Y267" i="106"/>
  <c r="X196" i="106"/>
  <c r="Y196" i="106"/>
  <c r="AE196" i="106"/>
  <c r="AF196" i="106"/>
  <c r="W196" i="106"/>
  <c r="Z196" i="106"/>
  <c r="U196" i="106"/>
  <c r="V196" i="106"/>
  <c r="AC196" i="106"/>
  <c r="AD196" i="106"/>
  <c r="AB196" i="106"/>
  <c r="AA196" i="106"/>
  <c r="AD181" i="106"/>
  <c r="U181" i="106"/>
  <c r="V181" i="106"/>
  <c r="W181" i="106"/>
  <c r="Z181" i="106"/>
  <c r="Y181" i="106"/>
  <c r="AC181" i="106"/>
  <c r="AF181" i="106"/>
  <c r="X181" i="106"/>
  <c r="AE181" i="106"/>
  <c r="AA181" i="106"/>
  <c r="AB181" i="106"/>
  <c r="X54" i="106"/>
  <c r="Y54" i="106"/>
  <c r="AA54" i="106"/>
  <c r="AB54" i="106"/>
  <c r="Z54" i="106"/>
  <c r="AC54" i="106"/>
  <c r="U54" i="106"/>
  <c r="V54" i="106"/>
  <c r="W54" i="106"/>
  <c r="AE54" i="106"/>
  <c r="AF54" i="106"/>
  <c r="AD54" i="106"/>
  <c r="AE265" i="106"/>
  <c r="AF265" i="106"/>
  <c r="U265" i="106"/>
  <c r="X265" i="106"/>
  <c r="Z265" i="106"/>
  <c r="Y265" i="106"/>
  <c r="AC265" i="106"/>
  <c r="AD265" i="106"/>
  <c r="AA265" i="106"/>
  <c r="AB265" i="106"/>
  <c r="W265" i="106"/>
  <c r="V265" i="106"/>
  <c r="U166" i="106"/>
  <c r="AD166" i="106"/>
  <c r="W166" i="106"/>
  <c r="Z166" i="106"/>
  <c r="AC166" i="106"/>
  <c r="V166" i="106"/>
  <c r="X166" i="106"/>
  <c r="AE166" i="106"/>
  <c r="Y166" i="106"/>
  <c r="AA166" i="106"/>
  <c r="AF166" i="106"/>
  <c r="AB166" i="106"/>
  <c r="X39" i="106"/>
  <c r="Z39" i="106"/>
  <c r="AA39" i="106"/>
  <c r="AC39" i="106"/>
  <c r="AD39" i="106"/>
  <c r="AF39" i="106"/>
  <c r="AB39" i="106"/>
  <c r="U39" i="106"/>
  <c r="V39" i="106"/>
  <c r="AE39" i="106"/>
  <c r="Y39" i="106"/>
  <c r="W39" i="106"/>
  <c r="AB222" i="106"/>
  <c r="W222" i="106"/>
  <c r="Z222" i="106"/>
  <c r="AA222" i="106"/>
  <c r="AE222" i="106"/>
  <c r="U222" i="106"/>
  <c r="X222" i="106"/>
  <c r="AD222" i="106"/>
  <c r="AF222" i="106"/>
  <c r="AC222" i="106"/>
  <c r="Y222" i="106"/>
  <c r="V222" i="106"/>
  <c r="AF123" i="106"/>
  <c r="Z123" i="106"/>
  <c r="U123" i="106"/>
  <c r="AA123" i="106"/>
  <c r="AE123" i="106"/>
  <c r="AB123" i="106"/>
  <c r="V123" i="106"/>
  <c r="W123" i="106"/>
  <c r="AD123" i="106"/>
  <c r="AC123" i="106"/>
  <c r="X123" i="106"/>
  <c r="Y123" i="106"/>
  <c r="AE38" i="106"/>
  <c r="AF38" i="106"/>
  <c r="X38" i="106"/>
  <c r="Z38" i="106"/>
  <c r="AC38" i="106"/>
  <c r="Y38" i="106"/>
  <c r="V38" i="106"/>
  <c r="AB38" i="106"/>
  <c r="W38" i="106"/>
  <c r="U38" i="106"/>
  <c r="AD38" i="106"/>
  <c r="AA38" i="106"/>
  <c r="U192" i="106"/>
  <c r="AE192" i="106"/>
  <c r="V192" i="106"/>
  <c r="W192" i="106"/>
  <c r="AD192" i="106"/>
  <c r="X192" i="106"/>
  <c r="AC192" i="106"/>
  <c r="AF192" i="106"/>
  <c r="Y192" i="106"/>
  <c r="AB192" i="106"/>
  <c r="Z192" i="106"/>
  <c r="AA192" i="106"/>
  <c r="V122" i="106"/>
  <c r="W122" i="106"/>
  <c r="Z122" i="106"/>
  <c r="AC122" i="106"/>
  <c r="AA122" i="106"/>
  <c r="X122" i="106"/>
  <c r="Y122" i="106"/>
  <c r="AB122" i="106"/>
  <c r="AF122" i="106"/>
  <c r="U122" i="106"/>
  <c r="AD122" i="106"/>
  <c r="AE122" i="106"/>
  <c r="W190" i="106"/>
  <c r="AD190" i="106"/>
  <c r="AF190" i="106"/>
  <c r="U190" i="106"/>
  <c r="Z190" i="106"/>
  <c r="AC190" i="106"/>
  <c r="AA190" i="106"/>
  <c r="V190" i="106"/>
  <c r="AE190" i="106"/>
  <c r="Y190" i="106"/>
  <c r="X190" i="106"/>
  <c r="AB190" i="106"/>
  <c r="V91" i="106"/>
  <c r="Y91" i="106"/>
  <c r="AE91" i="106"/>
  <c r="X91" i="106"/>
  <c r="U91" i="106"/>
  <c r="W91" i="106"/>
  <c r="AF91" i="106"/>
  <c r="Z91" i="106"/>
  <c r="AA91" i="106"/>
  <c r="AD91" i="106"/>
  <c r="AC91" i="106"/>
  <c r="AB91" i="106"/>
  <c r="X21" i="106"/>
  <c r="AA21" i="106"/>
  <c r="AF21" i="106"/>
  <c r="Y21" i="106"/>
  <c r="Z21" i="106"/>
  <c r="AB21" i="106"/>
  <c r="AC21" i="106"/>
  <c r="AD21" i="106"/>
  <c r="V21" i="106"/>
  <c r="W21" i="106"/>
  <c r="U21" i="106"/>
  <c r="AE21" i="106"/>
  <c r="AC258" i="106"/>
  <c r="Y258" i="106"/>
  <c r="W258" i="106"/>
  <c r="X258" i="106"/>
  <c r="Z258" i="106"/>
  <c r="AA258" i="106"/>
  <c r="AD258" i="106"/>
  <c r="AF258" i="106"/>
  <c r="AB258" i="106"/>
  <c r="AE258" i="106"/>
  <c r="U258" i="106"/>
  <c r="V258" i="106"/>
  <c r="U202" i="106"/>
  <c r="AE202" i="106"/>
  <c r="V202" i="106"/>
  <c r="W202" i="106"/>
  <c r="X202" i="106"/>
  <c r="AD202" i="106"/>
  <c r="Z202" i="106"/>
  <c r="AF202" i="106"/>
  <c r="AC202" i="106"/>
  <c r="AA202" i="106"/>
  <c r="AB202" i="106"/>
  <c r="Y202" i="106"/>
  <c r="V229" i="106"/>
  <c r="X229" i="106"/>
  <c r="W229" i="106"/>
  <c r="AF229" i="106"/>
  <c r="U229" i="106"/>
  <c r="Z229" i="106"/>
  <c r="AC229" i="106"/>
  <c r="AB229" i="106"/>
  <c r="AA229" i="106"/>
  <c r="AD229" i="106"/>
  <c r="Y229" i="106"/>
  <c r="AE229" i="106"/>
  <c r="W268" i="106"/>
  <c r="U268" i="106"/>
  <c r="V268" i="106"/>
  <c r="AA268" i="106"/>
  <c r="AC268" i="106"/>
  <c r="X268" i="106"/>
  <c r="AE268" i="106"/>
  <c r="Y268" i="106"/>
  <c r="AD268" i="106"/>
  <c r="AF268" i="106"/>
  <c r="Z268" i="106"/>
  <c r="AB268" i="106"/>
  <c r="V254" i="106"/>
  <c r="W254" i="106"/>
  <c r="U254" i="106"/>
  <c r="AD254" i="106"/>
  <c r="AC254" i="106"/>
  <c r="AF254" i="106"/>
  <c r="AA254" i="106"/>
  <c r="AB254" i="106"/>
  <c r="X254" i="106"/>
  <c r="Z254" i="106"/>
  <c r="Y254" i="106"/>
  <c r="AE254" i="106"/>
  <c r="Y240" i="106"/>
  <c r="AD240" i="106"/>
  <c r="AE240" i="106"/>
  <c r="U240" i="106"/>
  <c r="AA240" i="106"/>
  <c r="AC240" i="106"/>
  <c r="V240" i="106"/>
  <c r="AF240" i="106"/>
  <c r="W240" i="106"/>
  <c r="AB240" i="106"/>
  <c r="X240" i="106"/>
  <c r="Z240" i="106"/>
  <c r="AE226" i="106"/>
  <c r="AF226" i="106"/>
  <c r="Z226" i="106"/>
  <c r="W226" i="106"/>
  <c r="AB226" i="106"/>
  <c r="X226" i="106"/>
  <c r="V226" i="106"/>
  <c r="AC226" i="106"/>
  <c r="U226" i="106"/>
  <c r="Y226" i="106"/>
  <c r="AA226" i="106"/>
  <c r="AD226" i="106"/>
  <c r="V212" i="106"/>
  <c r="W212" i="106"/>
  <c r="AF212" i="106"/>
  <c r="U212" i="106"/>
  <c r="AC212" i="106"/>
  <c r="AD212" i="106"/>
  <c r="X212" i="106"/>
  <c r="Y212" i="106"/>
  <c r="Z212" i="106"/>
  <c r="AE212" i="106"/>
  <c r="AA212" i="106"/>
  <c r="AB212" i="106"/>
  <c r="AC197" i="106"/>
  <c r="AD197" i="106"/>
  <c r="U197" i="106"/>
  <c r="Y197" i="106"/>
  <c r="W197" i="106"/>
  <c r="X197" i="106"/>
  <c r="Z197" i="106"/>
  <c r="AE197" i="106"/>
  <c r="AF197" i="106"/>
  <c r="AA197" i="106"/>
  <c r="AB197" i="106"/>
  <c r="V197" i="106"/>
  <c r="Z183" i="106"/>
  <c r="AC183" i="106"/>
  <c r="W183" i="106"/>
  <c r="Y183" i="106"/>
  <c r="AA183" i="106"/>
  <c r="AB183" i="106"/>
  <c r="AF183" i="106"/>
  <c r="V183" i="106"/>
  <c r="X183" i="106"/>
  <c r="AE183" i="106"/>
  <c r="AD183" i="106"/>
  <c r="U183" i="106"/>
  <c r="U169" i="106"/>
  <c r="Z169" i="106"/>
  <c r="AF169" i="106"/>
  <c r="AB169" i="106"/>
  <c r="AA169" i="106"/>
  <c r="V169" i="106"/>
  <c r="AC169" i="106"/>
  <c r="Y169" i="106"/>
  <c r="W169" i="106"/>
  <c r="AE169" i="106"/>
  <c r="AD169" i="106"/>
  <c r="X169" i="106"/>
  <c r="W155" i="106"/>
  <c r="AA155" i="106"/>
  <c r="AC155" i="106"/>
  <c r="AD155" i="106"/>
  <c r="Y155" i="106"/>
  <c r="AB155" i="106"/>
  <c r="V155" i="106"/>
  <c r="AE155" i="106"/>
  <c r="AF155" i="106"/>
  <c r="Z155" i="106"/>
  <c r="X155" i="106"/>
  <c r="U155" i="106"/>
  <c r="W141" i="106"/>
  <c r="U141" i="106"/>
  <c r="AA141" i="106"/>
  <c r="AC141" i="106"/>
  <c r="AD141" i="106"/>
  <c r="Y141" i="106"/>
  <c r="AB141" i="106"/>
  <c r="X141" i="106"/>
  <c r="Z141" i="106"/>
  <c r="AF141" i="106"/>
  <c r="V141" i="106"/>
  <c r="AE141" i="106"/>
  <c r="AA127" i="106"/>
  <c r="W127" i="106"/>
  <c r="AB127" i="106"/>
  <c r="AC127" i="106"/>
  <c r="AE127" i="106"/>
  <c r="AF127" i="106"/>
  <c r="Z127" i="106"/>
  <c r="AD127" i="106"/>
  <c r="V127" i="106"/>
  <c r="Y127" i="106"/>
  <c r="U127" i="106"/>
  <c r="X127" i="106"/>
  <c r="AF112" i="106"/>
  <c r="U112" i="106"/>
  <c r="V112" i="106"/>
  <c r="W112" i="106"/>
  <c r="Z112" i="106"/>
  <c r="AC112" i="106"/>
  <c r="AD112" i="106"/>
  <c r="AA112" i="106"/>
  <c r="AE112" i="106"/>
  <c r="X112" i="106"/>
  <c r="Y112" i="106"/>
  <c r="AB112" i="106"/>
  <c r="Z98" i="106"/>
  <c r="AB98" i="106"/>
  <c r="AC98" i="106"/>
  <c r="AD98" i="106"/>
  <c r="AF98" i="106"/>
  <c r="U98" i="106"/>
  <c r="X98" i="106"/>
  <c r="V98" i="106"/>
  <c r="Y98" i="106"/>
  <c r="AE98" i="106"/>
  <c r="AA98" i="106"/>
  <c r="W98" i="106"/>
  <c r="U84" i="106"/>
  <c r="AA84" i="106"/>
  <c r="AE84" i="106"/>
  <c r="AF84" i="106"/>
  <c r="AD84" i="106"/>
  <c r="X84" i="106"/>
  <c r="Z84" i="106"/>
  <c r="AB84" i="106"/>
  <c r="AC84" i="106"/>
  <c r="W84" i="106"/>
  <c r="V84" i="106"/>
  <c r="Y84" i="106"/>
  <c r="AF70" i="106"/>
  <c r="U70" i="106"/>
  <c r="AA70" i="106"/>
  <c r="AD70" i="106"/>
  <c r="AE70" i="106"/>
  <c r="Z70" i="106"/>
  <c r="W70" i="106"/>
  <c r="AB70" i="106"/>
  <c r="V70" i="106"/>
  <c r="AC70" i="106"/>
  <c r="X70" i="106"/>
  <c r="Y70" i="106"/>
  <c r="AE56" i="106"/>
  <c r="AF56" i="106"/>
  <c r="U56" i="106"/>
  <c r="X56" i="106"/>
  <c r="Z56" i="106"/>
  <c r="AA56" i="106"/>
  <c r="AB56" i="106"/>
  <c r="AD56" i="106"/>
  <c r="AC56" i="106"/>
  <c r="W56" i="106"/>
  <c r="V56" i="106"/>
  <c r="Y56" i="106"/>
  <c r="Y42" i="106"/>
  <c r="AE42" i="106"/>
  <c r="AF42" i="106"/>
  <c r="AC42" i="106"/>
  <c r="X42" i="106"/>
  <c r="AA42" i="106"/>
  <c r="V42" i="106"/>
  <c r="W42" i="106"/>
  <c r="U42" i="106"/>
  <c r="Z42" i="106"/>
  <c r="AB42" i="106"/>
  <c r="AD42" i="106"/>
  <c r="X28" i="106"/>
  <c r="AC28" i="106"/>
  <c r="AD28" i="106"/>
  <c r="AF28" i="106"/>
  <c r="AE28" i="106"/>
  <c r="AB28" i="106"/>
  <c r="Y28" i="106"/>
  <c r="AA28" i="106"/>
  <c r="U28" i="106"/>
  <c r="V28" i="106"/>
  <c r="W28" i="106"/>
  <c r="Z28" i="106"/>
  <c r="AF182" i="106"/>
  <c r="W182" i="106"/>
  <c r="X182" i="106"/>
  <c r="V182" i="106"/>
  <c r="Y182" i="106"/>
  <c r="AC182" i="106"/>
  <c r="AD182" i="106"/>
  <c r="U182" i="106"/>
  <c r="Z182" i="106"/>
  <c r="AE182" i="106"/>
  <c r="AA182" i="106"/>
  <c r="AB182" i="106"/>
  <c r="Z168" i="106"/>
  <c r="W168" i="106"/>
  <c r="Y168" i="106"/>
  <c r="V168" i="106"/>
  <c r="U168" i="106"/>
  <c r="X168" i="106"/>
  <c r="AC168" i="106"/>
  <c r="AD168" i="106"/>
  <c r="AE168" i="106"/>
  <c r="AF168" i="106"/>
  <c r="AA168" i="106"/>
  <c r="AB168" i="106"/>
  <c r="W154" i="106"/>
  <c r="Y154" i="106"/>
  <c r="AA154" i="106"/>
  <c r="AB154" i="106"/>
  <c r="AC154" i="106"/>
  <c r="AD154" i="106"/>
  <c r="AF154" i="106"/>
  <c r="U154" i="106"/>
  <c r="V154" i="106"/>
  <c r="X154" i="106"/>
  <c r="Z154" i="106"/>
  <c r="AE154" i="106"/>
  <c r="W140" i="106"/>
  <c r="Y140" i="106"/>
  <c r="Z140" i="106"/>
  <c r="AB140" i="106"/>
  <c r="AC140" i="106"/>
  <c r="AD140" i="106"/>
  <c r="AE140" i="106"/>
  <c r="AA140" i="106"/>
  <c r="AF140" i="106"/>
  <c r="U140" i="106"/>
  <c r="V140" i="106"/>
  <c r="X140" i="106"/>
  <c r="X126" i="106"/>
  <c r="V126" i="106"/>
  <c r="AD126" i="106"/>
  <c r="AE126" i="106"/>
  <c r="AA126" i="106"/>
  <c r="AF126" i="106"/>
  <c r="Z126" i="106"/>
  <c r="AC126" i="106"/>
  <c r="U126" i="106"/>
  <c r="W126" i="106"/>
  <c r="Y126" i="106"/>
  <c r="AB126" i="106"/>
  <c r="V111" i="106"/>
  <c r="AB111" i="106"/>
  <c r="AD111" i="106"/>
  <c r="Z111" i="106"/>
  <c r="W111" i="106"/>
  <c r="X111" i="106"/>
  <c r="Y111" i="106"/>
  <c r="AC111" i="106"/>
  <c r="AF111" i="106"/>
  <c r="AE111" i="106"/>
  <c r="AA111" i="106"/>
  <c r="U111" i="106"/>
  <c r="AF97" i="106"/>
  <c r="U97" i="106"/>
  <c r="V97" i="106"/>
  <c r="AE97" i="106"/>
  <c r="W97" i="106"/>
  <c r="X97" i="106"/>
  <c r="Z97" i="106"/>
  <c r="AA97" i="106"/>
  <c r="Y97" i="106"/>
  <c r="AD97" i="106"/>
  <c r="AC97" i="106"/>
  <c r="AB97" i="106"/>
  <c r="X147" i="106"/>
  <c r="Y147" i="106"/>
  <c r="AD147" i="106"/>
  <c r="AE147" i="106"/>
  <c r="AC147" i="106"/>
  <c r="U147" i="106"/>
  <c r="AA147" i="106"/>
  <c r="AB147" i="106"/>
  <c r="Z147" i="106"/>
  <c r="V147" i="106"/>
  <c r="AF147" i="106"/>
  <c r="W147" i="106"/>
  <c r="AC69" i="106"/>
  <c r="AF69" i="106"/>
  <c r="AB69" i="106"/>
  <c r="V69" i="106"/>
  <c r="AD69" i="106"/>
  <c r="W69" i="106"/>
  <c r="U69" i="106"/>
  <c r="AE69" i="106"/>
  <c r="X69" i="106"/>
  <c r="Y69" i="106"/>
  <c r="Z69" i="106"/>
  <c r="AA69" i="106"/>
  <c r="AB55" i="106"/>
  <c r="AC55" i="106"/>
  <c r="AF55" i="106"/>
  <c r="U55" i="106"/>
  <c r="X55" i="106"/>
  <c r="Y55" i="106"/>
  <c r="AA55" i="106"/>
  <c r="AD55" i="106"/>
  <c r="AE55" i="106"/>
  <c r="Z55" i="106"/>
  <c r="V55" i="106"/>
  <c r="W55" i="106"/>
  <c r="X41" i="106"/>
  <c r="Y41" i="106"/>
  <c r="AA41" i="106"/>
  <c r="AB41" i="106"/>
  <c r="AD41" i="106"/>
  <c r="AE41" i="106"/>
  <c r="AF41" i="106"/>
  <c r="Z41" i="106"/>
  <c r="AC41" i="106"/>
  <c r="U41" i="106"/>
  <c r="V41" i="106"/>
  <c r="W41" i="106"/>
  <c r="AE27" i="106"/>
  <c r="AF27" i="106"/>
  <c r="X27" i="106"/>
  <c r="Y27" i="106"/>
  <c r="Z27" i="106"/>
  <c r="AB27" i="106"/>
  <c r="AC27" i="106"/>
  <c r="AA27" i="106"/>
  <c r="AD27" i="106"/>
  <c r="V27" i="106"/>
  <c r="W27" i="106"/>
  <c r="U27" i="106"/>
  <c r="R80" i="105"/>
  <c r="S80" i="105" s="1"/>
  <c r="R178" i="105"/>
  <c r="S178" i="105" s="1"/>
  <c r="R82" i="105"/>
  <c r="S82" i="105" s="1"/>
  <c r="R90" i="105"/>
  <c r="S90" i="105" s="1"/>
  <c r="D177" i="106"/>
  <c r="D272" i="106"/>
  <c r="D262" i="106"/>
  <c r="D250" i="106"/>
  <c r="D238" i="106"/>
  <c r="D226" i="106"/>
  <c r="D214" i="106"/>
  <c r="D202" i="106"/>
  <c r="D190" i="106"/>
  <c r="D178" i="106"/>
  <c r="D166" i="106"/>
  <c r="D154" i="106"/>
  <c r="D142" i="106"/>
  <c r="D130" i="106"/>
  <c r="D118" i="106"/>
  <c r="D106" i="106"/>
  <c r="D95" i="106"/>
  <c r="D147" i="106"/>
  <c r="D71" i="106"/>
  <c r="D59" i="106"/>
  <c r="D47" i="106"/>
  <c r="D35" i="106"/>
  <c r="D23" i="106"/>
  <c r="D70" i="106"/>
  <c r="D212" i="106"/>
  <c r="D200" i="106"/>
  <c r="D188" i="106"/>
  <c r="D176" i="106"/>
  <c r="D164" i="106"/>
  <c r="D152" i="106"/>
  <c r="D140" i="106"/>
  <c r="D128" i="106"/>
  <c r="D116" i="106"/>
  <c r="D104" i="106"/>
  <c r="D93" i="106"/>
  <c r="D163" i="106"/>
  <c r="D69" i="106"/>
  <c r="D57" i="106"/>
  <c r="D45" i="106"/>
  <c r="D33" i="106"/>
  <c r="D21" i="106"/>
  <c r="D249" i="106"/>
  <c r="D129" i="106"/>
  <c r="D82" i="106"/>
  <c r="D46" i="106"/>
  <c r="D223" i="106"/>
  <c r="D199" i="106"/>
  <c r="D187" i="106"/>
  <c r="D175" i="106"/>
  <c r="D225" i="106"/>
  <c r="D151" i="106"/>
  <c r="D139" i="106"/>
  <c r="D127" i="106"/>
  <c r="D115" i="106"/>
  <c r="D103" i="106"/>
  <c r="D92" i="106"/>
  <c r="D80" i="106"/>
  <c r="D68" i="106"/>
  <c r="D56" i="106"/>
  <c r="D44" i="106"/>
  <c r="D32" i="106"/>
  <c r="D20" i="106"/>
  <c r="D237" i="106"/>
  <c r="D153" i="106"/>
  <c r="D94" i="106"/>
  <c r="D34" i="106"/>
  <c r="D224" i="106"/>
  <c r="D268" i="106"/>
  <c r="D234" i="106"/>
  <c r="D186" i="106"/>
  <c r="D174" i="106"/>
  <c r="D162" i="106"/>
  <c r="D150" i="106"/>
  <c r="D138" i="106"/>
  <c r="D126" i="106"/>
  <c r="D114" i="106"/>
  <c r="D91" i="106"/>
  <c r="D79" i="106"/>
  <c r="D67" i="106"/>
  <c r="D55" i="106"/>
  <c r="D43" i="106"/>
  <c r="D31" i="106"/>
  <c r="D19" i="106"/>
  <c r="D213" i="106"/>
  <c r="D260" i="106"/>
  <c r="D269" i="106"/>
  <c r="D247" i="106"/>
  <c r="D258" i="106"/>
  <c r="D267" i="106"/>
  <c r="D257" i="106"/>
  <c r="D245" i="106"/>
  <c r="D233" i="106"/>
  <c r="D221" i="106"/>
  <c r="D209" i="106"/>
  <c r="D197" i="106"/>
  <c r="D185" i="106"/>
  <c r="D229" i="106"/>
  <c r="D161" i="106"/>
  <c r="D149" i="106"/>
  <c r="D137" i="106"/>
  <c r="D125" i="106"/>
  <c r="D113" i="106"/>
  <c r="D102" i="106"/>
  <c r="D90" i="106"/>
  <c r="D78" i="106"/>
  <c r="D66" i="106"/>
  <c r="D54" i="106"/>
  <c r="D42" i="106"/>
  <c r="D30" i="106"/>
  <c r="D18" i="106"/>
  <c r="D261" i="106"/>
  <c r="D165" i="106"/>
  <c r="D22" i="106"/>
  <c r="D270" i="106"/>
  <c r="D259" i="106"/>
  <c r="D211" i="106"/>
  <c r="D222" i="106"/>
  <c r="D256" i="106"/>
  <c r="D244" i="106"/>
  <c r="D232" i="106"/>
  <c r="D220" i="106"/>
  <c r="D208" i="106"/>
  <c r="D196" i="106"/>
  <c r="D184" i="106"/>
  <c r="D172" i="106"/>
  <c r="D160" i="106"/>
  <c r="D148" i="106"/>
  <c r="D136" i="106"/>
  <c r="D124" i="106"/>
  <c r="D112" i="106"/>
  <c r="D101" i="106"/>
  <c r="D89" i="106"/>
  <c r="D77" i="106"/>
  <c r="D65" i="106"/>
  <c r="D53" i="106"/>
  <c r="D41" i="106"/>
  <c r="D29" i="106"/>
  <c r="D17" i="106"/>
  <c r="D189" i="106"/>
  <c r="D105" i="106"/>
  <c r="D58" i="106"/>
  <c r="D248" i="106"/>
  <c r="D235" i="106"/>
  <c r="D246" i="106"/>
  <c r="D210" i="106"/>
  <c r="D255" i="106"/>
  <c r="D346" i="106"/>
  <c r="D231" i="106"/>
  <c r="D281" i="106"/>
  <c r="D207" i="106"/>
  <c r="D195" i="106"/>
  <c r="D183" i="106"/>
  <c r="D171" i="106"/>
  <c r="D159" i="106"/>
  <c r="D335" i="106"/>
  <c r="D135" i="106"/>
  <c r="D123" i="106"/>
  <c r="D111" i="106"/>
  <c r="D100" i="106"/>
  <c r="D88" i="106"/>
  <c r="D76" i="106"/>
  <c r="D64" i="106"/>
  <c r="D52" i="106"/>
  <c r="D40" i="106"/>
  <c r="D28" i="106"/>
  <c r="D16" i="106"/>
  <c r="D218" i="106"/>
  <c r="W15" i="106"/>
  <c r="Z15" i="106"/>
  <c r="AF15" i="106"/>
  <c r="U15" i="106"/>
  <c r="V15" i="106"/>
  <c r="Y15" i="106"/>
  <c r="AA15" i="106"/>
  <c r="AB15" i="106"/>
  <c r="AE15" i="106"/>
  <c r="AD15" i="106"/>
  <c r="AC15" i="106"/>
  <c r="X15" i="106"/>
  <c r="D141" i="106"/>
  <c r="D254" i="106"/>
  <c r="D206" i="106"/>
  <c r="D182" i="106"/>
  <c r="D146" i="106"/>
  <c r="D122" i="106"/>
  <c r="D99" i="106"/>
  <c r="D63" i="106"/>
  <c r="D27" i="106"/>
  <c r="D265" i="106"/>
  <c r="D253" i="106"/>
  <c r="D241" i="106"/>
  <c r="D308" i="106"/>
  <c r="D217" i="106"/>
  <c r="D205" i="106"/>
  <c r="D193" i="106"/>
  <c r="D181" i="106"/>
  <c r="D169" i="106"/>
  <c r="D157" i="106"/>
  <c r="D145" i="106"/>
  <c r="D133" i="106"/>
  <c r="D121" i="106"/>
  <c r="D109" i="106"/>
  <c r="D98" i="106"/>
  <c r="D86" i="106"/>
  <c r="D74" i="106"/>
  <c r="D62" i="106"/>
  <c r="D50" i="106"/>
  <c r="D38" i="106"/>
  <c r="D26" i="106"/>
  <c r="D271" i="106"/>
  <c r="D201" i="106"/>
  <c r="D266" i="106"/>
  <c r="D230" i="106"/>
  <c r="D194" i="106"/>
  <c r="D158" i="106"/>
  <c r="D134" i="106"/>
  <c r="D110" i="106"/>
  <c r="D87" i="106"/>
  <c r="D75" i="106"/>
  <c r="D39" i="106"/>
  <c r="D274" i="106"/>
  <c r="D264" i="106"/>
  <c r="D252" i="106"/>
  <c r="D240" i="106"/>
  <c r="D228" i="106"/>
  <c r="D216" i="106"/>
  <c r="D204" i="106"/>
  <c r="D192" i="106"/>
  <c r="D180" i="106"/>
  <c r="D168" i="106"/>
  <c r="D156" i="106"/>
  <c r="D144" i="106"/>
  <c r="D132" i="106"/>
  <c r="D120" i="106"/>
  <c r="D108" i="106"/>
  <c r="D97" i="106"/>
  <c r="D85" i="106"/>
  <c r="D73" i="106"/>
  <c r="D61" i="106"/>
  <c r="D49" i="106"/>
  <c r="D37" i="106"/>
  <c r="D25" i="106"/>
  <c r="AA9" i="106"/>
  <c r="Z9" i="106"/>
  <c r="AC9" i="106"/>
  <c r="AD9" i="106"/>
  <c r="AF9" i="106"/>
  <c r="X9" i="106"/>
  <c r="AE9" i="106"/>
  <c r="Y9" i="106"/>
  <c r="AB9" i="106"/>
  <c r="V9" i="106"/>
  <c r="U9" i="106"/>
  <c r="W9" i="106"/>
  <c r="D334" i="106"/>
  <c r="D242" i="106"/>
  <c r="D170" i="106"/>
  <c r="D51" i="106"/>
  <c r="D273" i="106"/>
  <c r="D263" i="106"/>
  <c r="D251" i="106"/>
  <c r="D239" i="106"/>
  <c r="D227" i="106"/>
  <c r="D215" i="106"/>
  <c r="D203" i="106"/>
  <c r="D191" i="106"/>
  <c r="D179" i="106"/>
  <c r="D167" i="106"/>
  <c r="D155" i="106"/>
  <c r="D143" i="106"/>
  <c r="D131" i="106"/>
  <c r="D119" i="106"/>
  <c r="D107" i="106"/>
  <c r="D96" i="106"/>
  <c r="D84" i="106"/>
  <c r="D72" i="106"/>
  <c r="D60" i="106"/>
  <c r="D48" i="106"/>
  <c r="D36" i="106"/>
  <c r="D24" i="106"/>
  <c r="AC6" i="106"/>
  <c r="AB6" i="106"/>
  <c r="AE6" i="106"/>
  <c r="AF6" i="106"/>
  <c r="Z6" i="106"/>
  <c r="U6" i="106"/>
  <c r="X6" i="106"/>
  <c r="W6" i="106"/>
  <c r="AA6" i="106"/>
  <c r="V6" i="106"/>
  <c r="AD6" i="106"/>
  <c r="Y6" i="106"/>
  <c r="G1369" i="58"/>
  <c r="M1369" i="58" s="1"/>
  <c r="G1368" i="58"/>
  <c r="M1368" i="58" s="1"/>
  <c r="G909" i="58"/>
  <c r="M909" i="58" s="1"/>
  <c r="D236" i="106"/>
  <c r="C236" i="106"/>
  <c r="E90" i="103"/>
  <c r="E180" i="103" s="1"/>
  <c r="C172" i="106"/>
  <c r="C260" i="106"/>
  <c r="C248" i="106"/>
  <c r="C237" i="106"/>
  <c r="C334" i="106"/>
  <c r="C213" i="106"/>
  <c r="C201" i="106"/>
  <c r="C189" i="106"/>
  <c r="C177" i="106"/>
  <c r="C165" i="106"/>
  <c r="C154" i="106"/>
  <c r="C143" i="106"/>
  <c r="C131" i="106"/>
  <c r="C121" i="106"/>
  <c r="C109" i="106"/>
  <c r="C99" i="106"/>
  <c r="C87" i="106"/>
  <c r="C77" i="106"/>
  <c r="C65" i="106"/>
  <c r="C54" i="106"/>
  <c r="C42" i="106"/>
  <c r="C30" i="106"/>
  <c r="C21" i="106"/>
  <c r="C267" i="106"/>
  <c r="C259" i="106"/>
  <c r="C247" i="106"/>
  <c r="C224" i="106"/>
  <c r="C212" i="106"/>
  <c r="C200" i="106"/>
  <c r="C188" i="106"/>
  <c r="C176" i="106"/>
  <c r="C164" i="106"/>
  <c r="C153" i="106"/>
  <c r="C142" i="106"/>
  <c r="C130" i="106"/>
  <c r="C120" i="106"/>
  <c r="C108" i="106"/>
  <c r="C98" i="106"/>
  <c r="C76" i="106"/>
  <c r="C64" i="106"/>
  <c r="C53" i="106"/>
  <c r="C41" i="106"/>
  <c r="C20" i="106"/>
  <c r="C220" i="106"/>
  <c r="C196" i="106"/>
  <c r="C268" i="106"/>
  <c r="C223" i="106"/>
  <c r="C199" i="106"/>
  <c r="C175" i="106"/>
  <c r="C152" i="106"/>
  <c r="C129" i="106"/>
  <c r="C107" i="106"/>
  <c r="C86" i="106"/>
  <c r="C63" i="106"/>
  <c r="C40" i="106"/>
  <c r="C29" i="106"/>
  <c r="C257" i="106"/>
  <c r="C234" i="106"/>
  <c r="C162" i="106"/>
  <c r="C140" i="106"/>
  <c r="C118" i="106"/>
  <c r="C106" i="106"/>
  <c r="C96" i="106"/>
  <c r="C85" i="106"/>
  <c r="C74" i="106"/>
  <c r="C62" i="106"/>
  <c r="C39" i="106"/>
  <c r="C28" i="106"/>
  <c r="C18" i="106"/>
  <c r="C258" i="106"/>
  <c r="C235" i="106"/>
  <c r="C211" i="106"/>
  <c r="C187" i="106"/>
  <c r="C225" i="106"/>
  <c r="C141" i="106"/>
  <c r="C119" i="106"/>
  <c r="C97" i="106"/>
  <c r="C75" i="106"/>
  <c r="C52" i="106"/>
  <c r="C19" i="106"/>
  <c r="C246" i="106"/>
  <c r="C222" i="106"/>
  <c r="C210" i="106"/>
  <c r="C186" i="106"/>
  <c r="C174" i="106"/>
  <c r="C151" i="106"/>
  <c r="C128" i="106"/>
  <c r="C51" i="106"/>
  <c r="C266" i="106"/>
  <c r="C256" i="106"/>
  <c r="C245" i="106"/>
  <c r="C233" i="106"/>
  <c r="C221" i="106"/>
  <c r="C209" i="106"/>
  <c r="C197" i="106"/>
  <c r="C185" i="106"/>
  <c r="C229" i="106"/>
  <c r="C161" i="106"/>
  <c r="C150" i="106"/>
  <c r="C139" i="106"/>
  <c r="C127" i="106"/>
  <c r="C105" i="106"/>
  <c r="C95" i="106"/>
  <c r="C84" i="106"/>
  <c r="C73" i="106"/>
  <c r="C61" i="106"/>
  <c r="C50" i="106"/>
  <c r="C38" i="106"/>
  <c r="C17" i="106"/>
  <c r="C244" i="106"/>
  <c r="C116" i="106"/>
  <c r="C147" i="106"/>
  <c r="C208" i="106"/>
  <c r="C126" i="106"/>
  <c r="C94" i="106"/>
  <c r="C49" i="106"/>
  <c r="C346" i="106"/>
  <c r="C148" i="106"/>
  <c r="C265" i="106"/>
  <c r="C149" i="106"/>
  <c r="C72" i="106"/>
  <c r="C274" i="106"/>
  <c r="C254" i="106"/>
  <c r="C231" i="106"/>
  <c r="C281" i="106"/>
  <c r="C207" i="106"/>
  <c r="C195" i="106"/>
  <c r="C183" i="106"/>
  <c r="C171" i="106"/>
  <c r="C160" i="106"/>
  <c r="C137" i="106"/>
  <c r="C125" i="106"/>
  <c r="C115" i="106"/>
  <c r="C103" i="106"/>
  <c r="C93" i="106"/>
  <c r="C82" i="106"/>
  <c r="C71" i="106"/>
  <c r="C59" i="106"/>
  <c r="C48" i="106"/>
  <c r="C36" i="106"/>
  <c r="C27" i="106"/>
  <c r="C273" i="106"/>
  <c r="C253" i="106"/>
  <c r="C242" i="106"/>
  <c r="C230" i="106"/>
  <c r="C218" i="106"/>
  <c r="C206" i="106"/>
  <c r="C194" i="106"/>
  <c r="C182" i="106"/>
  <c r="C170" i="106"/>
  <c r="C159" i="106"/>
  <c r="C335" i="106"/>
  <c r="C136" i="106"/>
  <c r="C124" i="106"/>
  <c r="C114" i="106"/>
  <c r="C92" i="106"/>
  <c r="C163" i="106"/>
  <c r="C70" i="106"/>
  <c r="C58" i="106"/>
  <c r="C47" i="106"/>
  <c r="C35" i="106"/>
  <c r="C26" i="106"/>
  <c r="C232" i="106"/>
  <c r="C16" i="106"/>
  <c r="C272" i="106"/>
  <c r="C252" i="106"/>
  <c r="C308" i="106"/>
  <c r="C205" i="106"/>
  <c r="C169" i="106"/>
  <c r="C123" i="106"/>
  <c r="C80" i="106"/>
  <c r="C34" i="106"/>
  <c r="C263" i="106"/>
  <c r="C228" i="106"/>
  <c r="C204" i="106"/>
  <c r="C168" i="106"/>
  <c r="C134" i="106"/>
  <c r="C112" i="106"/>
  <c r="C102" i="106"/>
  <c r="C90" i="106"/>
  <c r="C79" i="106"/>
  <c r="C68" i="106"/>
  <c r="C45" i="106"/>
  <c r="C184" i="106"/>
  <c r="C60" i="106"/>
  <c r="C264" i="106"/>
  <c r="C217" i="106"/>
  <c r="C181" i="106"/>
  <c r="C25" i="106"/>
  <c r="C271" i="106"/>
  <c r="C240" i="106"/>
  <c r="C216" i="106"/>
  <c r="C192" i="106"/>
  <c r="C157" i="106"/>
  <c r="C146" i="106"/>
  <c r="C24" i="106"/>
  <c r="C270" i="106"/>
  <c r="C250" i="106"/>
  <c r="C227" i="106"/>
  <c r="C203" i="106"/>
  <c r="C179" i="106"/>
  <c r="C167" i="106"/>
  <c r="C156" i="106"/>
  <c r="C145" i="106"/>
  <c r="C133" i="106"/>
  <c r="C111" i="106"/>
  <c r="C101" i="106"/>
  <c r="C67" i="106"/>
  <c r="C56" i="106"/>
  <c r="C44" i="106"/>
  <c r="C32" i="106"/>
  <c r="C23" i="106"/>
  <c r="C255" i="106"/>
  <c r="C138" i="106"/>
  <c r="C104" i="106"/>
  <c r="C37" i="106"/>
  <c r="C241" i="106"/>
  <c r="C193" i="106"/>
  <c r="C158" i="106"/>
  <c r="C135" i="106"/>
  <c r="C113" i="106"/>
  <c r="C91" i="106"/>
  <c r="C69" i="106"/>
  <c r="C57" i="106"/>
  <c r="C46" i="106"/>
  <c r="C251" i="106"/>
  <c r="C180" i="106"/>
  <c r="C33" i="106"/>
  <c r="C262" i="106"/>
  <c r="C239" i="106"/>
  <c r="C215" i="106"/>
  <c r="C191" i="106"/>
  <c r="C89" i="106"/>
  <c r="C269" i="106"/>
  <c r="C261" i="106"/>
  <c r="C249" i="106"/>
  <c r="C238" i="106"/>
  <c r="C226" i="106"/>
  <c r="C214" i="106"/>
  <c r="C202" i="106"/>
  <c r="C190" i="106"/>
  <c r="C178" i="106"/>
  <c r="C166" i="106"/>
  <c r="C155" i="106"/>
  <c r="C144" i="106"/>
  <c r="C132" i="106"/>
  <c r="C122" i="106"/>
  <c r="C110" i="106"/>
  <c r="C100" i="106"/>
  <c r="C88" i="106"/>
  <c r="C78" i="106"/>
  <c r="C66" i="106"/>
  <c r="C55" i="106"/>
  <c r="C43" i="106"/>
  <c r="C31" i="106"/>
  <c r="C22" i="106"/>
  <c r="C6" i="106"/>
  <c r="D15" i="106"/>
  <c r="D9" i="106"/>
  <c r="C15" i="106"/>
  <c r="C11" i="106"/>
  <c r="C9" i="106"/>
  <c r="D6" i="106"/>
  <c r="L90" i="103" l="1"/>
  <c r="L180" i="103" s="1"/>
  <c r="F90" i="103"/>
  <c r="F180" i="103" s="1"/>
  <c r="H90" i="103"/>
  <c r="H180" i="103" s="1"/>
  <c r="O90" i="103"/>
  <c r="O180" i="103" s="1"/>
  <c r="D82" i="103"/>
  <c r="F82" i="103"/>
  <c r="E82" i="103"/>
  <c r="L82" i="103"/>
  <c r="M82" i="103"/>
  <c r="O82" i="103"/>
  <c r="N82" i="103"/>
  <c r="J82" i="103"/>
  <c r="K82" i="103"/>
  <c r="G82" i="103"/>
  <c r="H82" i="103"/>
  <c r="I82" i="103"/>
  <c r="G12" i="124"/>
  <c r="C15" i="124"/>
  <c r="C14" i="124"/>
  <c r="S28" i="103"/>
  <c r="S162" i="103" s="1"/>
  <c r="P90" i="103" l="1"/>
  <c r="P82" i="103"/>
  <c r="Y82" i="103" l="1"/>
  <c r="Z82" i="103"/>
  <c r="Y90" i="103"/>
  <c r="Z90" i="103"/>
  <c r="R90" i="103"/>
  <c r="S90" i="103" s="1"/>
  <c r="P180" i="103"/>
  <c r="R82" i="103"/>
  <c r="S82" i="103" s="1"/>
  <c r="S180" i="103" l="1"/>
  <c r="Z180" i="103"/>
  <c r="Y180" i="103"/>
  <c r="R180" i="103"/>
  <c r="G1134" i="58" l="1"/>
  <c r="M1134" i="58" s="1"/>
  <c r="G1228" i="58"/>
  <c r="M1228" i="58" s="1"/>
  <c r="G1051" i="58" l="1"/>
  <c r="M1051" i="58" s="1"/>
  <c r="G1054" i="58"/>
  <c r="M1054" i="58" s="1"/>
  <c r="G504" i="58"/>
  <c r="M504" i="58" s="1"/>
  <c r="G458" i="58"/>
  <c r="M458" i="58" s="1"/>
  <c r="G481" i="58"/>
  <c r="M481" i="58" s="1"/>
  <c r="G934" i="58"/>
  <c r="M934" i="58" s="1"/>
  <c r="G229" i="58"/>
  <c r="M229" i="58" s="1"/>
  <c r="G763" i="58"/>
  <c r="M763" i="58" s="1"/>
  <c r="G896" i="58"/>
  <c r="M896" i="58" s="1"/>
  <c r="G188" i="58"/>
  <c r="M188" i="58" s="1"/>
  <c r="G1220" i="58"/>
  <c r="M1220" i="58" s="1"/>
  <c r="G772" i="58"/>
  <c r="M772" i="58" s="1"/>
  <c r="G825" i="58"/>
  <c r="M825" i="58" s="1"/>
  <c r="G118" i="58"/>
  <c r="M118" i="58" s="1"/>
  <c r="G1058" i="58"/>
  <c r="M1058" i="58" s="1"/>
  <c r="G607" i="58"/>
  <c r="M607" i="58" s="1"/>
  <c r="G1221" i="58"/>
  <c r="M1221" i="58" s="1"/>
  <c r="G713" i="58"/>
  <c r="M713" i="58" s="1"/>
  <c r="G560" i="58"/>
  <c r="M560" i="58" s="1"/>
  <c r="G302" i="58"/>
  <c r="M302" i="58" s="1"/>
  <c r="G271" i="58"/>
  <c r="M271" i="58" s="1"/>
  <c r="G331" i="58"/>
  <c r="M331" i="58" s="1"/>
  <c r="G1300" i="58" l="1"/>
  <c r="M1300" i="58" s="1"/>
  <c r="G1297" i="58"/>
  <c r="M1297" i="58" s="1"/>
  <c r="G1298" i="58"/>
  <c r="M1298" i="58" s="1"/>
  <c r="G1284" i="58"/>
  <c r="M1284" i="58" s="1"/>
  <c r="G1299" i="58"/>
  <c r="M1299" i="58" s="1"/>
  <c r="D75" i="104"/>
  <c r="D76" i="104"/>
  <c r="D59" i="103"/>
  <c r="D76" i="103"/>
  <c r="D173" i="103" s="1"/>
  <c r="L75" i="105"/>
  <c r="L172" i="105" s="1"/>
  <c r="O76" i="105"/>
  <c r="O173" i="105" s="1"/>
  <c r="G72" i="105"/>
  <c r="G175" i="105" s="1"/>
  <c r="J74" i="105"/>
  <c r="J217" i="105" s="1"/>
  <c r="D73" i="105"/>
  <c r="E75" i="105"/>
  <c r="H76" i="105"/>
  <c r="H173" i="105" s="1"/>
  <c r="N76" i="105"/>
  <c r="N173" i="105" s="1"/>
  <c r="H74" i="105"/>
  <c r="H217" i="105" s="1"/>
  <c r="E72" i="105"/>
  <c r="F73" i="105"/>
  <c r="F176" i="105" s="1"/>
  <c r="K76" i="105"/>
  <c r="K173" i="105" s="1"/>
  <c r="H75" i="105"/>
  <c r="H172" i="105" s="1"/>
  <c r="E76" i="105"/>
  <c r="M74" i="105"/>
  <c r="M72" i="105"/>
  <c r="M175" i="105" s="1"/>
  <c r="N74" i="105"/>
  <c r="O72" i="105"/>
  <c r="O175" i="105" s="1"/>
  <c r="D75" i="105"/>
  <c r="O74" i="105"/>
  <c r="F75" i="105"/>
  <c r="F172" i="105" s="1"/>
  <c r="D76" i="105"/>
  <c r="G73" i="105"/>
  <c r="G176" i="105" s="1"/>
  <c r="J75" i="105"/>
  <c r="J172" i="105" s="1"/>
  <c r="M75" i="105"/>
  <c r="M172" i="105" s="1"/>
  <c r="G74" i="105"/>
  <c r="G217" i="105" s="1"/>
  <c r="J76" i="105"/>
  <c r="J173" i="105" s="1"/>
  <c r="M76" i="105"/>
  <c r="M173" i="105" s="1"/>
  <c r="L74" i="105"/>
  <c r="L217" i="105" s="1"/>
  <c r="L73" i="105"/>
  <c r="L176" i="105" s="1"/>
  <c r="L72" i="105"/>
  <c r="L175" i="105" s="1"/>
  <c r="E73" i="105"/>
  <c r="G75" i="105"/>
  <c r="G172" i="105" s="1"/>
  <c r="K72" i="105"/>
  <c r="K175" i="105" s="1"/>
  <c r="N72" i="105"/>
  <c r="N175" i="105" s="1"/>
  <c r="E74" i="105"/>
  <c r="G76" i="105"/>
  <c r="G173" i="105" s="1"/>
  <c r="K73" i="105"/>
  <c r="K176" i="105" s="1"/>
  <c r="N73" i="105"/>
  <c r="N176" i="105" s="1"/>
  <c r="H72" i="105"/>
  <c r="H175" i="105" s="1"/>
  <c r="K74" i="105"/>
  <c r="K217" i="105" s="1"/>
  <c r="H73" i="105"/>
  <c r="H176" i="105" s="1"/>
  <c r="K75" i="105"/>
  <c r="K172" i="105" s="1"/>
  <c r="N75" i="105"/>
  <c r="N172" i="105" s="1"/>
  <c r="I76" i="105"/>
  <c r="I173" i="105" s="1"/>
  <c r="I75" i="105"/>
  <c r="I172" i="105" s="1"/>
  <c r="I74" i="105"/>
  <c r="I217" i="105" s="1"/>
  <c r="I73" i="105"/>
  <c r="I176" i="105" s="1"/>
  <c r="I72" i="105"/>
  <c r="I175" i="105" s="1"/>
  <c r="F72" i="105"/>
  <c r="F175" i="105" s="1"/>
  <c r="D72" i="105"/>
  <c r="F74" i="105"/>
  <c r="F217" i="105" s="1"/>
  <c r="L76" i="105"/>
  <c r="L173" i="105" s="1"/>
  <c r="O73" i="105"/>
  <c r="O176" i="105" s="1"/>
  <c r="D74" i="105"/>
  <c r="F76" i="105"/>
  <c r="F173" i="105" s="1"/>
  <c r="J73" i="105"/>
  <c r="J176" i="105" s="1"/>
  <c r="M73" i="105"/>
  <c r="M176" i="105" s="1"/>
  <c r="O75" i="105"/>
  <c r="O172" i="105" s="1"/>
  <c r="J72" i="105"/>
  <c r="J175" i="105" s="1"/>
  <c r="N73" i="103"/>
  <c r="D74" i="103"/>
  <c r="H76" i="104"/>
  <c r="D72" i="103"/>
  <c r="D175" i="103" s="1"/>
  <c r="N74" i="103"/>
  <c r="K72" i="103"/>
  <c r="I72" i="103"/>
  <c r="D75" i="103"/>
  <c r="D172" i="103" s="1"/>
  <c r="J76" i="103"/>
  <c r="J173" i="103" s="1"/>
  <c r="N75" i="104"/>
  <c r="J72" i="104"/>
  <c r="J175" i="104" s="1"/>
  <c r="G73" i="104"/>
  <c r="G176" i="104" s="1"/>
  <c r="J73" i="104"/>
  <c r="J176" i="104" s="1"/>
  <c r="M73" i="104"/>
  <c r="M176" i="104" s="1"/>
  <c r="D73" i="104"/>
  <c r="H72" i="103"/>
  <c r="L76" i="104"/>
  <c r="K74" i="103"/>
  <c r="O72" i="103"/>
  <c r="L76" i="103"/>
  <c r="L173" i="103" s="1"/>
  <c r="J75" i="103"/>
  <c r="J172" i="103" s="1"/>
  <c r="M76" i="104"/>
  <c r="K75" i="104"/>
  <c r="M72" i="104"/>
  <c r="M175" i="104" s="1"/>
  <c r="G74" i="104"/>
  <c r="J74" i="104"/>
  <c r="M74" i="104"/>
  <c r="D74" i="104"/>
  <c r="O76" i="103"/>
  <c r="O173" i="103" s="1"/>
  <c r="G75" i="103"/>
  <c r="G172" i="103" s="1"/>
  <c r="E74" i="103"/>
  <c r="E72" i="103"/>
  <c r="N72" i="103"/>
  <c r="G72" i="103"/>
  <c r="L72" i="104"/>
  <c r="L175" i="104" s="1"/>
  <c r="I72" i="104"/>
  <c r="I175" i="104" s="1"/>
  <c r="E76" i="104"/>
  <c r="F73" i="103"/>
  <c r="I73" i="103"/>
  <c r="L73" i="103"/>
  <c r="E73" i="103"/>
  <c r="H74" i="103"/>
  <c r="F75" i="103"/>
  <c r="F172" i="103" s="1"/>
  <c r="G76" i="103"/>
  <c r="G173" i="103" s="1"/>
  <c r="M72" i="103"/>
  <c r="F72" i="104"/>
  <c r="F175" i="104" s="1"/>
  <c r="I76" i="104"/>
  <c r="O75" i="104"/>
  <c r="F74" i="103"/>
  <c r="I74" i="103"/>
  <c r="L74" i="103"/>
  <c r="O73" i="103"/>
  <c r="H73" i="103"/>
  <c r="F76" i="104"/>
  <c r="N76" i="103"/>
  <c r="N173" i="103" s="1"/>
  <c r="H76" i="103"/>
  <c r="H173" i="103" s="1"/>
  <c r="L75" i="103"/>
  <c r="L172" i="103" s="1"/>
  <c r="O76" i="104"/>
  <c r="E72" i="104"/>
  <c r="E175" i="104" s="1"/>
  <c r="H73" i="104"/>
  <c r="H176" i="104" s="1"/>
  <c r="K73" i="104"/>
  <c r="K176" i="104" s="1"/>
  <c r="N73" i="104"/>
  <c r="N176" i="104" s="1"/>
  <c r="O74" i="103"/>
  <c r="E75" i="104"/>
  <c r="G76" i="104"/>
  <c r="K75" i="103"/>
  <c r="K172" i="103" s="1"/>
  <c r="K76" i="103"/>
  <c r="K173" i="103" s="1"/>
  <c r="L75" i="104"/>
  <c r="H75" i="104"/>
  <c r="D72" i="104"/>
  <c r="H74" i="104"/>
  <c r="K74" i="104"/>
  <c r="N74" i="104"/>
  <c r="E73" i="104"/>
  <c r="E176" i="104" s="1"/>
  <c r="F72" i="103"/>
  <c r="G75" i="104"/>
  <c r="I76" i="103"/>
  <c r="I173" i="103" s="1"/>
  <c r="E76" i="103"/>
  <c r="E173" i="103" s="1"/>
  <c r="E75" i="103"/>
  <c r="E172" i="103" s="1"/>
  <c r="K72" i="104"/>
  <c r="K175" i="104" s="1"/>
  <c r="O72" i="104"/>
  <c r="O175" i="104" s="1"/>
  <c r="M75" i="104"/>
  <c r="G73" i="103"/>
  <c r="J73" i="103"/>
  <c r="M73" i="103"/>
  <c r="E74" i="104"/>
  <c r="J72" i="103"/>
  <c r="K73" i="103"/>
  <c r="F76" i="103"/>
  <c r="F173" i="103" s="1"/>
  <c r="L72" i="103"/>
  <c r="G72" i="104"/>
  <c r="G175" i="104" s="1"/>
  <c r="N76" i="104"/>
  <c r="N72" i="104"/>
  <c r="N175" i="104" s="1"/>
  <c r="J76" i="104"/>
  <c r="G74" i="103"/>
  <c r="J74" i="103"/>
  <c r="M74" i="103"/>
  <c r="D73" i="103"/>
  <c r="H75" i="103"/>
  <c r="H172" i="103" s="1"/>
  <c r="F75" i="104"/>
  <c r="D71" i="105"/>
  <c r="H72" i="104"/>
  <c r="H175" i="104" s="1"/>
  <c r="F73" i="104"/>
  <c r="F176" i="104" s="1"/>
  <c r="I73" i="104"/>
  <c r="I176" i="104" s="1"/>
  <c r="L73" i="104"/>
  <c r="L176" i="104" s="1"/>
  <c r="O73" i="104"/>
  <c r="O176" i="104" s="1"/>
  <c r="M76" i="103"/>
  <c r="M173" i="103" s="1"/>
  <c r="M75" i="103"/>
  <c r="M172" i="103" s="1"/>
  <c r="N75" i="103"/>
  <c r="N172" i="103" s="1"/>
  <c r="J75" i="104"/>
  <c r="K76" i="104"/>
  <c r="I75" i="104"/>
  <c r="F74" i="104"/>
  <c r="I74" i="104"/>
  <c r="L74" i="104"/>
  <c r="O74" i="104"/>
  <c r="E173" i="105" l="1"/>
  <c r="E175" i="105"/>
  <c r="E176" i="105"/>
  <c r="E172" i="105"/>
  <c r="D173" i="105"/>
  <c r="P76" i="105"/>
  <c r="P173" i="105" s="1"/>
  <c r="P74" i="105"/>
  <c r="D172" i="105"/>
  <c r="P75" i="105"/>
  <c r="P172" i="105" s="1"/>
  <c r="D175" i="105"/>
  <c r="P72" i="105"/>
  <c r="P175" i="105" s="1"/>
  <c r="D174" i="105"/>
  <c r="D176" i="105"/>
  <c r="P73" i="105"/>
  <c r="P176" i="105" s="1"/>
  <c r="P72" i="104"/>
  <c r="P175" i="104" s="1"/>
  <c r="P76" i="104"/>
  <c r="P173" i="104" s="1"/>
  <c r="P75" i="104"/>
  <c r="P172" i="104" s="1"/>
  <c r="P74" i="104"/>
  <c r="R74" i="104" s="1"/>
  <c r="S74" i="104" s="1"/>
  <c r="P73" i="104"/>
  <c r="P176" i="104" s="1"/>
  <c r="D173" i="104"/>
  <c r="D176" i="104"/>
  <c r="D175" i="104"/>
  <c r="D172" i="104"/>
  <c r="D93" i="110"/>
  <c r="T93" i="110" s="1"/>
  <c r="I93" i="110"/>
  <c r="Y93" i="110" s="1"/>
  <c r="I172" i="104"/>
  <c r="F93" i="110"/>
  <c r="V93" i="110" s="1"/>
  <c r="F172" i="104"/>
  <c r="F114" i="110"/>
  <c r="V114" i="110" s="1"/>
  <c r="F173" i="104"/>
  <c r="J93" i="110"/>
  <c r="Z93" i="110" s="1"/>
  <c r="J172" i="104"/>
  <c r="E93" i="110"/>
  <c r="U93" i="110" s="1"/>
  <c r="E172" i="104"/>
  <c r="H114" i="110"/>
  <c r="X114" i="110" s="1"/>
  <c r="H173" i="104"/>
  <c r="G93" i="110"/>
  <c r="W93" i="110" s="1"/>
  <c r="G172" i="104"/>
  <c r="E114" i="110"/>
  <c r="U114" i="110" s="1"/>
  <c r="E173" i="104"/>
  <c r="K114" i="110"/>
  <c r="AA114" i="110" s="1"/>
  <c r="K173" i="104"/>
  <c r="O93" i="110"/>
  <c r="AE93" i="110" s="1"/>
  <c r="O172" i="104"/>
  <c r="G114" i="110"/>
  <c r="W114" i="110" s="1"/>
  <c r="G173" i="104"/>
  <c r="J114" i="110"/>
  <c r="Z114" i="110" s="1"/>
  <c r="J173" i="104"/>
  <c r="M93" i="110"/>
  <c r="AC93" i="110" s="1"/>
  <c r="M172" i="104"/>
  <c r="I114" i="110"/>
  <c r="Y114" i="110" s="1"/>
  <c r="I173" i="104"/>
  <c r="K93" i="110"/>
  <c r="AA93" i="110" s="1"/>
  <c r="K172" i="104"/>
  <c r="N114" i="110"/>
  <c r="AD114" i="110" s="1"/>
  <c r="N173" i="104"/>
  <c r="H93" i="110"/>
  <c r="X93" i="110" s="1"/>
  <c r="H172" i="104"/>
  <c r="O114" i="110"/>
  <c r="AE114" i="110" s="1"/>
  <c r="O173" i="104"/>
  <c r="M114" i="110"/>
  <c r="AC114" i="110" s="1"/>
  <c r="M173" i="104"/>
  <c r="N93" i="110"/>
  <c r="AD93" i="110" s="1"/>
  <c r="N172" i="104"/>
  <c r="L114" i="110"/>
  <c r="AB114" i="110" s="1"/>
  <c r="L173" i="104"/>
  <c r="L93" i="110"/>
  <c r="AB93" i="110" s="1"/>
  <c r="L172" i="104"/>
  <c r="D114" i="110"/>
  <c r="T114" i="110" s="1"/>
  <c r="D77" i="105"/>
  <c r="P74" i="103"/>
  <c r="P76" i="103"/>
  <c r="P73" i="103"/>
  <c r="P72" i="103"/>
  <c r="N217" i="105"/>
  <c r="M217" i="105"/>
  <c r="Q73" i="105" l="1"/>
  <c r="Q176" i="105" s="1"/>
  <c r="R176" i="105" s="1"/>
  <c r="S176" i="105" s="1"/>
  <c r="Q72" i="105"/>
  <c r="Q175" i="105" s="1"/>
  <c r="R175" i="105" s="1"/>
  <c r="S175" i="105" s="1"/>
  <c r="Q74" i="105"/>
  <c r="R74" i="105" s="1"/>
  <c r="S74" i="105" s="1"/>
  <c r="Q75" i="105"/>
  <c r="Q172" i="105" s="1"/>
  <c r="R172" i="105" s="1"/>
  <c r="S172" i="105" s="1"/>
  <c r="Q76" i="105"/>
  <c r="Q173" i="105" s="1"/>
  <c r="R173" i="105" s="1"/>
  <c r="S173" i="105" s="1"/>
  <c r="Y72" i="103"/>
  <c r="Z72" i="103"/>
  <c r="Y76" i="103"/>
  <c r="Z76" i="103"/>
  <c r="Y74" i="103"/>
  <c r="Z74" i="103"/>
  <c r="Y73" i="103"/>
  <c r="Z73" i="103"/>
  <c r="R74" i="103"/>
  <c r="S74" i="103" s="1"/>
  <c r="R173" i="104"/>
  <c r="S173" i="104" s="1"/>
  <c r="R76" i="104"/>
  <c r="R172" i="104"/>
  <c r="S172" i="104" s="1"/>
  <c r="R75" i="104"/>
  <c r="S75" i="104" s="1"/>
  <c r="R175" i="104"/>
  <c r="S175" i="104" s="1"/>
  <c r="R72" i="104"/>
  <c r="S72" i="104" s="1"/>
  <c r="R176" i="104"/>
  <c r="S176" i="104" s="1"/>
  <c r="R73" i="104"/>
  <c r="S73" i="104" s="1"/>
  <c r="R72" i="103"/>
  <c r="S72" i="103" s="1"/>
  <c r="R73" i="103"/>
  <c r="S73" i="103" s="1"/>
  <c r="R76" i="103"/>
  <c r="S76" i="103" s="1"/>
  <c r="P173" i="103"/>
  <c r="O217" i="105"/>
  <c r="R73" i="105" l="1"/>
  <c r="S73" i="105" s="1"/>
  <c r="R72" i="105"/>
  <c r="S72" i="105" s="1"/>
  <c r="R76" i="105"/>
  <c r="S76" i="105" s="1"/>
  <c r="R75" i="105"/>
  <c r="S75" i="105" s="1"/>
  <c r="G1295" i="58"/>
  <c r="M1295" i="58" s="1"/>
  <c r="G1293" i="58"/>
  <c r="M1293" i="58" s="1"/>
  <c r="G1315" i="58"/>
  <c r="M1315" i="58" s="1"/>
  <c r="G1296" i="58"/>
  <c r="M1296" i="58" s="1"/>
  <c r="G1294" i="58"/>
  <c r="M1294" i="58" s="1"/>
  <c r="S173" i="103"/>
  <c r="Z173" i="103"/>
  <c r="Y173" i="103"/>
  <c r="R173" i="103"/>
  <c r="G1333" i="58" l="1"/>
  <c r="M1333" i="58" s="1"/>
  <c r="G1326" i="58"/>
  <c r="M1326" i="58" s="1"/>
  <c r="G563" i="58" l="1"/>
  <c r="M563" i="58" s="1"/>
  <c r="X24" i="118" l="1"/>
  <c r="G985" i="58" l="1"/>
  <c r="M985" i="58" s="1"/>
  <c r="V52" i="101" l="1"/>
  <c r="V57" i="101" s="1"/>
  <c r="W52" i="101"/>
  <c r="X52" i="101"/>
  <c r="Q52" i="101"/>
  <c r="Q57" i="101" s="1"/>
  <c r="R52" i="101"/>
  <c r="S52" i="101"/>
  <c r="L52" i="101"/>
  <c r="L57" i="101" s="1"/>
  <c r="M57" i="101" s="1"/>
  <c r="N57" i="101" s="1"/>
  <c r="M52" i="101"/>
  <c r="N52" i="101"/>
  <c r="W57" i="101" l="1"/>
  <c r="X57" i="101" s="1"/>
  <c r="R57" i="101"/>
  <c r="S57" i="101" s="1"/>
  <c r="K4" i="118" l="1"/>
  <c r="S4" i="106" l="1"/>
  <c r="B4" i="106"/>
  <c r="C4" i="106" s="1"/>
  <c r="B5" i="106"/>
  <c r="T5" i="106" s="1"/>
  <c r="Z5" i="106" l="1"/>
  <c r="U5" i="106"/>
  <c r="V5" i="106"/>
  <c r="W5" i="106"/>
  <c r="X5" i="106"/>
  <c r="Y5" i="106"/>
  <c r="AD5" i="106"/>
  <c r="AE5" i="106"/>
  <c r="AF5" i="106"/>
  <c r="AA5" i="106"/>
  <c r="AB5" i="106"/>
  <c r="AC5" i="106"/>
  <c r="D5" i="106"/>
  <c r="C5" i="106"/>
  <c r="T4" i="106"/>
  <c r="Y4" i="106" s="1"/>
  <c r="D4" i="106"/>
  <c r="G503" i="58"/>
  <c r="M503" i="58" s="1"/>
  <c r="H198" i="105" l="1"/>
  <c r="G1022" i="58"/>
  <c r="M1022" i="58" s="1"/>
  <c r="G1089" i="58"/>
  <c r="M1089" i="58" s="1"/>
  <c r="G875" i="58"/>
  <c r="M875" i="58" s="1"/>
  <c r="G439" i="58"/>
  <c r="M439" i="58" s="1"/>
  <c r="G44" i="58"/>
  <c r="M44" i="58" s="1"/>
  <c r="G950" i="58"/>
  <c r="M950" i="58" s="1"/>
  <c r="G828" i="58"/>
  <c r="M828" i="58" s="1"/>
  <c r="G618" i="58"/>
  <c r="M618" i="58" s="1"/>
  <c r="G1115" i="58"/>
  <c r="M1115" i="58" s="1"/>
  <c r="G749" i="58"/>
  <c r="M749" i="58" s="1"/>
  <c r="G244" i="58"/>
  <c r="M244" i="58" s="1"/>
  <c r="G393" i="58"/>
  <c r="M393" i="58" s="1"/>
  <c r="G952" i="58"/>
  <c r="M952" i="58" s="1"/>
  <c r="G405" i="58"/>
  <c r="M405" i="58" s="1"/>
  <c r="G357" i="58"/>
  <c r="M357" i="58" s="1"/>
  <c r="G806" i="58"/>
  <c r="M806" i="58" s="1"/>
  <c r="G238" i="58"/>
  <c r="M238" i="58" s="1"/>
  <c r="G681" i="58"/>
  <c r="M681" i="58" s="1"/>
  <c r="G158" i="58"/>
  <c r="M158" i="58" s="1"/>
  <c r="G290" i="58"/>
  <c r="M290" i="58" s="1"/>
  <c r="G319" i="58"/>
  <c r="M319" i="58" s="1"/>
  <c r="G72" i="58"/>
  <c r="M72" i="58" s="1"/>
  <c r="G833" i="58"/>
  <c r="M833" i="58" s="1"/>
  <c r="F150" i="110"/>
  <c r="V150" i="110" s="1"/>
  <c r="F143" i="110"/>
  <c r="V143" i="110" s="1"/>
  <c r="I150" i="110"/>
  <c r="Y150" i="110" s="1"/>
  <c r="E150" i="110"/>
  <c r="U150" i="110" s="1"/>
  <c r="E143" i="110"/>
  <c r="U143" i="110" s="1"/>
  <c r="J150" i="110"/>
  <c r="Z150" i="110" s="1"/>
  <c r="D150" i="110"/>
  <c r="T150" i="110" s="1"/>
  <c r="D143" i="110"/>
  <c r="T143" i="110" s="1"/>
  <c r="I143" i="110"/>
  <c r="Y143" i="110" s="1"/>
  <c r="O150" i="110"/>
  <c r="AE150" i="110" s="1"/>
  <c r="O143" i="110"/>
  <c r="AE143" i="110" s="1"/>
  <c r="H150" i="110"/>
  <c r="X150" i="110" s="1"/>
  <c r="N150" i="110"/>
  <c r="AD150" i="110" s="1"/>
  <c r="N143" i="110"/>
  <c r="AD143" i="110" s="1"/>
  <c r="J143" i="110"/>
  <c r="Z143" i="110" s="1"/>
  <c r="G150" i="110"/>
  <c r="W150" i="110" s="1"/>
  <c r="M150" i="110"/>
  <c r="AC150" i="110" s="1"/>
  <c r="M143" i="110"/>
  <c r="AC143" i="110" s="1"/>
  <c r="K143" i="110"/>
  <c r="AA143" i="110" s="1"/>
  <c r="H143" i="110"/>
  <c r="X143" i="110" s="1"/>
  <c r="L150" i="110"/>
  <c r="AB150" i="110" s="1"/>
  <c r="L143" i="110"/>
  <c r="AB143" i="110" s="1"/>
  <c r="K150" i="110"/>
  <c r="AA150" i="110" s="1"/>
  <c r="G143" i="110"/>
  <c r="W143" i="110" s="1"/>
  <c r="O129" i="110"/>
  <c r="AE129" i="110" s="1"/>
  <c r="N129" i="110"/>
  <c r="AD129" i="110" s="1"/>
  <c r="M129" i="110"/>
  <c r="AC129" i="110" s="1"/>
  <c r="L129" i="110"/>
  <c r="AB129" i="110" s="1"/>
  <c r="K129" i="110"/>
  <c r="AA129" i="110" s="1"/>
  <c r="J129" i="110"/>
  <c r="Z129" i="110" s="1"/>
  <c r="I129" i="110"/>
  <c r="Y129" i="110" s="1"/>
  <c r="H129" i="110"/>
  <c r="X129" i="110" s="1"/>
  <c r="G129" i="110"/>
  <c r="W129" i="110" s="1"/>
  <c r="F129" i="110"/>
  <c r="V129" i="110" s="1"/>
  <c r="E129" i="110"/>
  <c r="U129" i="110" s="1"/>
  <c r="D129" i="110"/>
  <c r="T129" i="110" s="1"/>
  <c r="H34" i="110"/>
  <c r="X34" i="110" s="1"/>
  <c r="H194" i="105"/>
  <c r="M25" i="110"/>
  <c r="AC25" i="110" s="1"/>
  <c r="N25" i="110"/>
  <c r="AD25" i="110" s="1"/>
  <c r="I25" i="110"/>
  <c r="Y25" i="110" s="1"/>
  <c r="O25" i="110"/>
  <c r="AE25" i="110" s="1"/>
  <c r="D25" i="110"/>
  <c r="T25" i="110" s="1"/>
  <c r="E25" i="110"/>
  <c r="U25" i="110" s="1"/>
  <c r="F25" i="110"/>
  <c r="V25" i="110" s="1"/>
  <c r="G25" i="110"/>
  <c r="W25" i="110" s="1"/>
  <c r="H25" i="110"/>
  <c r="X25" i="110" s="1"/>
  <c r="J25" i="110"/>
  <c r="Z25" i="110" s="1"/>
  <c r="K25" i="110"/>
  <c r="AA25" i="110" s="1"/>
  <c r="L25" i="110"/>
  <c r="AB25" i="110" s="1"/>
  <c r="I51" i="110"/>
  <c r="Y51" i="110" s="1"/>
  <c r="O94" i="110"/>
  <c r="AE94" i="110" s="1"/>
  <c r="J115" i="110"/>
  <c r="Z115" i="110" s="1"/>
  <c r="I115" i="110"/>
  <c r="Y115" i="110" s="1"/>
  <c r="O18" i="110"/>
  <c r="AE18" i="110" s="1"/>
  <c r="N18" i="110"/>
  <c r="AD18" i="110" s="1"/>
  <c r="M18" i="110"/>
  <c r="AC18" i="110" s="1"/>
  <c r="L18" i="110"/>
  <c r="AB18" i="110" s="1"/>
  <c r="K18" i="110"/>
  <c r="AA18" i="110" s="1"/>
  <c r="J18" i="110"/>
  <c r="Z18" i="110" s="1"/>
  <c r="I18" i="110"/>
  <c r="Y18" i="110" s="1"/>
  <c r="H18" i="110"/>
  <c r="X18" i="110" s="1"/>
  <c r="G18" i="110"/>
  <c r="W18" i="110" s="1"/>
  <c r="F18" i="110"/>
  <c r="V18" i="110" s="1"/>
  <c r="D18" i="110"/>
  <c r="T18" i="110" s="1"/>
  <c r="E18" i="110"/>
  <c r="U18" i="110" s="1"/>
  <c r="D94" i="110"/>
  <c r="T94" i="110" s="1"/>
  <c r="H94" i="110"/>
  <c r="X94" i="110" s="1"/>
  <c r="G94" i="110"/>
  <c r="W94" i="110" s="1"/>
  <c r="F94" i="110"/>
  <c r="V94" i="110" s="1"/>
  <c r="I94" i="110"/>
  <c r="Y94" i="110" s="1"/>
  <c r="O115" i="110"/>
  <c r="AE115" i="110" s="1"/>
  <c r="J34" i="110"/>
  <c r="Z34" i="110" s="1"/>
  <c r="N115" i="110"/>
  <c r="AD115" i="110" s="1"/>
  <c r="I34" i="110"/>
  <c r="Y34" i="110" s="1"/>
  <c r="M115" i="110"/>
  <c r="AC115" i="110" s="1"/>
  <c r="L115" i="110"/>
  <c r="AB115" i="110" s="1"/>
  <c r="G34" i="110"/>
  <c r="W34" i="110" s="1"/>
  <c r="K115" i="110"/>
  <c r="AA115" i="110" s="1"/>
  <c r="F34" i="110"/>
  <c r="V34" i="110" s="1"/>
  <c r="M34" i="110"/>
  <c r="AC34" i="110" s="1"/>
  <c r="E34" i="110"/>
  <c r="U34" i="110" s="1"/>
  <c r="F115" i="110"/>
  <c r="V115" i="110" s="1"/>
  <c r="D34" i="110"/>
  <c r="T34" i="110" s="1"/>
  <c r="E115" i="110"/>
  <c r="U115" i="110" s="1"/>
  <c r="H115" i="110"/>
  <c r="X115" i="110" s="1"/>
  <c r="O34" i="110"/>
  <c r="AE34" i="110" s="1"/>
  <c r="G115" i="110"/>
  <c r="W115" i="110" s="1"/>
  <c r="N34" i="110"/>
  <c r="AD34" i="110" s="1"/>
  <c r="D115" i="110"/>
  <c r="T115" i="110" s="1"/>
  <c r="K34" i="110"/>
  <c r="AA34" i="110" s="1"/>
  <c r="L34" i="110"/>
  <c r="AB34" i="110" s="1"/>
  <c r="E94" i="110"/>
  <c r="U94" i="110" s="1"/>
  <c r="J94" i="110"/>
  <c r="Z94" i="110" s="1"/>
  <c r="K94" i="110"/>
  <c r="AA94" i="110" s="1"/>
  <c r="L94" i="110"/>
  <c r="AB94" i="110" s="1"/>
  <c r="M94" i="110"/>
  <c r="AC94" i="110" s="1"/>
  <c r="N94" i="110"/>
  <c r="AD94" i="110" s="1"/>
  <c r="X4" i="106"/>
  <c r="Z4" i="106"/>
  <c r="U4" i="106"/>
  <c r="D198" i="105" s="1"/>
  <c r="AD4" i="106"/>
  <c r="AE4" i="106"/>
  <c r="AF4" i="106"/>
  <c r="V4" i="106"/>
  <c r="E198" i="105" s="1"/>
  <c r="W4" i="106"/>
  <c r="AA4" i="106"/>
  <c r="AB4" i="106"/>
  <c r="AC4" i="106"/>
  <c r="N198" i="105" l="1"/>
  <c r="N194" i="105" s="1"/>
  <c r="I198" i="105"/>
  <c r="I194" i="105" s="1"/>
  <c r="G198" i="105"/>
  <c r="G194" i="105" s="1"/>
  <c r="L198" i="105"/>
  <c r="L194" i="105" s="1"/>
  <c r="K198" i="105"/>
  <c r="K194" i="105" s="1"/>
  <c r="M198" i="105"/>
  <c r="M194" i="105" s="1"/>
  <c r="J198" i="105"/>
  <c r="J194" i="105" s="1"/>
  <c r="F198" i="105"/>
  <c r="F194" i="105" s="1"/>
  <c r="O198" i="105"/>
  <c r="O194" i="105" s="1"/>
  <c r="D234" i="105"/>
  <c r="D194" i="105"/>
  <c r="E234" i="105"/>
  <c r="E194" i="105"/>
  <c r="F95" i="110"/>
  <c r="F116" i="110"/>
  <c r="G228" i="58"/>
  <c r="M228" i="58" s="1"/>
  <c r="G992" i="58"/>
  <c r="M992" i="58" s="1"/>
  <c r="P198" i="105" l="1"/>
  <c r="G116" i="110"/>
  <c r="V116" i="110"/>
  <c r="G95" i="110"/>
  <c r="V95" i="110"/>
  <c r="G55" i="58"/>
  <c r="M55" i="58" s="1"/>
  <c r="G915" i="58"/>
  <c r="M915" i="58" s="1"/>
  <c r="G117" i="58"/>
  <c r="M117" i="58" s="1"/>
  <c r="G1099" i="58"/>
  <c r="M1099" i="58" s="1"/>
  <c r="G1042" i="58"/>
  <c r="M1042" i="58" s="1"/>
  <c r="S21" i="118"/>
  <c r="S20" i="118"/>
  <c r="S19" i="118"/>
  <c r="S18" i="118"/>
  <c r="S17" i="118"/>
  <c r="S16" i="118"/>
  <c r="S15" i="118"/>
  <c r="S14" i="118"/>
  <c r="S13" i="118"/>
  <c r="S12" i="118"/>
  <c r="S11" i="118"/>
  <c r="S9" i="118"/>
  <c r="S8" i="118"/>
  <c r="S6" i="118"/>
  <c r="S5" i="118"/>
  <c r="S4" i="118"/>
  <c r="S3" i="118"/>
  <c r="K21" i="118"/>
  <c r="K20" i="118"/>
  <c r="K19" i="118"/>
  <c r="K18" i="118"/>
  <c r="K17" i="118"/>
  <c r="K16" i="118"/>
  <c r="K15" i="118"/>
  <c r="K14" i="118"/>
  <c r="K13" i="118"/>
  <c r="K12" i="118"/>
  <c r="K11" i="118"/>
  <c r="K9" i="118"/>
  <c r="K8" i="118"/>
  <c r="K6" i="118"/>
  <c r="K5" i="118"/>
  <c r="K3" i="118"/>
  <c r="C21" i="118"/>
  <c r="C20" i="118"/>
  <c r="C19" i="118"/>
  <c r="C18" i="118"/>
  <c r="C17" i="118"/>
  <c r="C16" i="118"/>
  <c r="C15" i="118"/>
  <c r="C14" i="118"/>
  <c r="C13" i="118"/>
  <c r="C12" i="118"/>
  <c r="C11" i="118"/>
  <c r="C9" i="118"/>
  <c r="C8" i="118"/>
  <c r="C5" i="118"/>
  <c r="C24" i="118" s="1"/>
  <c r="C26" i="118" s="1"/>
  <c r="H95" i="110" l="1"/>
  <c r="W95" i="110"/>
  <c r="H116" i="110"/>
  <c r="W116" i="110"/>
  <c r="F4" i="131"/>
  <c r="K24" i="118"/>
  <c r="S24" i="118"/>
  <c r="I116" i="110" l="1"/>
  <c r="Y116" i="110" s="1"/>
  <c r="X116" i="110"/>
  <c r="I95" i="110"/>
  <c r="Y95" i="110" s="1"/>
  <c r="X95" i="110"/>
  <c r="K26" i="118"/>
  <c r="S26" i="118"/>
  <c r="G1034" i="58"/>
  <c r="M1034" i="58" s="1"/>
  <c r="G767" i="58" l="1"/>
  <c r="M767" i="58" s="1"/>
  <c r="G930" i="58"/>
  <c r="M930" i="58" s="1"/>
  <c r="G1225" i="58"/>
  <c r="M1225" i="58" s="1"/>
  <c r="D57" i="104"/>
  <c r="G1397" i="58" l="1"/>
  <c r="M1397" i="58" s="1"/>
  <c r="G1406" i="58"/>
  <c r="M1406" i="58" s="1"/>
  <c r="G1395" i="58"/>
  <c r="M1395" i="58" s="1"/>
  <c r="G1382" i="58"/>
  <c r="M1382" i="58" s="1"/>
  <c r="G1393" i="58"/>
  <c r="M1393" i="58" s="1"/>
  <c r="G1415" i="58"/>
  <c r="M1415" i="58" s="1"/>
  <c r="G1402" i="58"/>
  <c r="M1402" i="58" s="1"/>
  <c r="G1391" i="58"/>
  <c r="M1391" i="58" s="1"/>
  <c r="G1378" i="58"/>
  <c r="M1378" i="58" s="1"/>
  <c r="G1290" i="58"/>
  <c r="M1290" i="58" s="1"/>
  <c r="G1261" i="58"/>
  <c r="M1261" i="58" s="1"/>
  <c r="G1254" i="58"/>
  <c r="M1254" i="58" s="1"/>
  <c r="G1376" i="58"/>
  <c r="M1376" i="58" s="1"/>
  <c r="G1374" i="58"/>
  <c r="M1374" i="58" s="1"/>
  <c r="G1271" i="58"/>
  <c r="M1271" i="58" s="1"/>
  <c r="G1312" i="58"/>
  <c r="M1312" i="58" s="1"/>
  <c r="G1305" i="58"/>
  <c r="M1305" i="58" s="1"/>
  <c r="G1283" i="58"/>
  <c r="M1283" i="58" s="1"/>
  <c r="G1413" i="58"/>
  <c r="M1413" i="58" s="1"/>
  <c r="G1400" i="58"/>
  <c r="M1400" i="58" s="1"/>
  <c r="G1389" i="58"/>
  <c r="M1389" i="58" s="1"/>
  <c r="G1411" i="58"/>
  <c r="M1411" i="58" s="1"/>
  <c r="G1398" i="58"/>
  <c r="M1398" i="58" s="1"/>
  <c r="G1409" i="58"/>
  <c r="M1409" i="58" s="1"/>
  <c r="G1396" i="58"/>
  <c r="M1396" i="58" s="1"/>
  <c r="G1385" i="58"/>
  <c r="M1385" i="58" s="1"/>
  <c r="G1407" i="58"/>
  <c r="M1407" i="58" s="1"/>
  <c r="G1394" i="58"/>
  <c r="M1394" i="58" s="1"/>
  <c r="G1383" i="58"/>
  <c r="M1383" i="58" s="1"/>
  <c r="G1416" i="58"/>
  <c r="M1416" i="58" s="1"/>
  <c r="G1405" i="58"/>
  <c r="M1405" i="58" s="1"/>
  <c r="G1392" i="58"/>
  <c r="M1392" i="58" s="1"/>
  <c r="G1381" i="58"/>
  <c r="M1381" i="58" s="1"/>
  <c r="G1414" i="58"/>
  <c r="M1414" i="58" s="1"/>
  <c r="G1379" i="58"/>
  <c r="M1379" i="58" s="1"/>
  <c r="G1412" i="58"/>
  <c r="M1412" i="58" s="1"/>
  <c r="G1377" i="58"/>
  <c r="M1377" i="58" s="1"/>
  <c r="G1375" i="58"/>
  <c r="M1375" i="58" s="1"/>
  <c r="G1410" i="58"/>
  <c r="M1410" i="58" s="1"/>
  <c r="G1399" i="58"/>
  <c r="M1399" i="58" s="1"/>
  <c r="G1386" i="58"/>
  <c r="M1386" i="58" s="1"/>
  <c r="G1373" i="58"/>
  <c r="M1373" i="58" s="1"/>
  <c r="G1279" i="58"/>
  <c r="M1279" i="58" s="1"/>
  <c r="G1275" i="58"/>
  <c r="M1275" i="58" s="1"/>
  <c r="G1252" i="58"/>
  <c r="M1252" i="58" s="1"/>
  <c r="G1266" i="58"/>
  <c r="M1266" i="58" s="1"/>
  <c r="G1245" i="58"/>
  <c r="M1245" i="58" s="1"/>
  <c r="G1372" i="58"/>
  <c r="M1372" i="58" s="1"/>
  <c r="G1306" i="58"/>
  <c r="M1306" i="58" s="1"/>
  <c r="G1304" i="58"/>
  <c r="M1304" i="58" s="1"/>
  <c r="G1273" i="58"/>
  <c r="M1273" i="58" s="1"/>
  <c r="G1243" i="58"/>
  <c r="M1243" i="58" s="1"/>
  <c r="G1241" i="58"/>
  <c r="M1241" i="58" s="1"/>
  <c r="G1259" i="58"/>
  <c r="M1259" i="58" s="1"/>
  <c r="G1253" i="58"/>
  <c r="M1253" i="58" s="1"/>
  <c r="G1257" i="58"/>
  <c r="M1257" i="58" s="1"/>
  <c r="G1311" i="58"/>
  <c r="M1311" i="58" s="1"/>
  <c r="G1274" i="58"/>
  <c r="M1274" i="58" s="1"/>
  <c r="G1262" i="58"/>
  <c r="M1262" i="58" s="1"/>
  <c r="G1267" i="58"/>
  <c r="M1267" i="58" s="1"/>
  <c r="G1260" i="58"/>
  <c r="M1260" i="58" s="1"/>
  <c r="G1251" i="58"/>
  <c r="M1251" i="58" s="1"/>
  <c r="G1242" i="58"/>
  <c r="M1242" i="58" s="1"/>
  <c r="G1371" i="58"/>
  <c r="M1371" i="58" s="1"/>
  <c r="G1272" i="58"/>
  <c r="M1272" i="58" s="1"/>
  <c r="G1265" i="58"/>
  <c r="M1265" i="58" s="1"/>
  <c r="G1384" i="58"/>
  <c r="M1384" i="58" s="1"/>
  <c r="G1263" i="58"/>
  <c r="M1263" i="58" s="1"/>
  <c r="G1258" i="58"/>
  <c r="M1258" i="58" s="1"/>
  <c r="G1240" i="58"/>
  <c r="M1240" i="58" s="1"/>
  <c r="G968" i="58"/>
  <c r="M968" i="58" s="1"/>
  <c r="S166" i="105" l="1"/>
  <c r="R166" i="105"/>
  <c r="S143" i="105"/>
  <c r="R143" i="105"/>
  <c r="S122" i="105"/>
  <c r="R122" i="105"/>
  <c r="S93" i="105"/>
  <c r="R93" i="105"/>
  <c r="S79" i="105"/>
  <c r="R79" i="105"/>
  <c r="S62" i="105"/>
  <c r="R62" i="105"/>
  <c r="S56" i="105"/>
  <c r="R56" i="105"/>
  <c r="S44" i="105"/>
  <c r="R44" i="105"/>
  <c r="S25" i="105"/>
  <c r="R25" i="105"/>
  <c r="S17" i="105"/>
  <c r="R17" i="105"/>
  <c r="O158" i="105"/>
  <c r="N158" i="105"/>
  <c r="M158" i="105"/>
  <c r="L158" i="105"/>
  <c r="K158" i="105"/>
  <c r="J158" i="105"/>
  <c r="I158" i="105"/>
  <c r="H158" i="105"/>
  <c r="G158" i="105"/>
  <c r="F158" i="105"/>
  <c r="E158" i="105"/>
  <c r="D158" i="105"/>
  <c r="O143" i="105"/>
  <c r="O166" i="105" s="1"/>
  <c r="O196" i="105" s="1"/>
  <c r="O210" i="105" s="1"/>
  <c r="N143" i="105"/>
  <c r="N166" i="105" s="1"/>
  <c r="N196" i="105" s="1"/>
  <c r="N210" i="105" s="1"/>
  <c r="M143" i="105"/>
  <c r="M166" i="105" s="1"/>
  <c r="M196" i="105" s="1"/>
  <c r="M210" i="105" s="1"/>
  <c r="L143" i="105"/>
  <c r="L166" i="105" s="1"/>
  <c r="L196" i="105" s="1"/>
  <c r="L210" i="105" s="1"/>
  <c r="K143" i="105"/>
  <c r="K166" i="105" s="1"/>
  <c r="K196" i="105" s="1"/>
  <c r="K210" i="105" s="1"/>
  <c r="J143" i="105"/>
  <c r="J166" i="105" s="1"/>
  <c r="J196" i="105" s="1"/>
  <c r="J210" i="105" s="1"/>
  <c r="I143" i="105"/>
  <c r="I166" i="105" s="1"/>
  <c r="I196" i="105" s="1"/>
  <c r="I210" i="105" s="1"/>
  <c r="H143" i="105"/>
  <c r="H166" i="105" s="1"/>
  <c r="H196" i="105" s="1"/>
  <c r="H210" i="105" s="1"/>
  <c r="G143" i="105"/>
  <c r="G166" i="105" s="1"/>
  <c r="G196" i="105" s="1"/>
  <c r="G210" i="105" s="1"/>
  <c r="F143" i="105"/>
  <c r="F166" i="105" s="1"/>
  <c r="F196" i="105" s="1"/>
  <c r="F210" i="105" s="1"/>
  <c r="E143" i="105"/>
  <c r="E166" i="105" s="1"/>
  <c r="E196" i="105" s="1"/>
  <c r="E210" i="105" s="1"/>
  <c r="D143" i="105"/>
  <c r="D166" i="105" s="1"/>
  <c r="D196" i="105" s="1"/>
  <c r="D210" i="105" s="1"/>
  <c r="S166" i="103"/>
  <c r="R166" i="103"/>
  <c r="P166" i="103"/>
  <c r="M158" i="103"/>
  <c r="I158" i="103"/>
  <c r="E158" i="103"/>
  <c r="S143" i="103"/>
  <c r="R143" i="103"/>
  <c r="P143" i="103"/>
  <c r="O143" i="103"/>
  <c r="O166" i="103" s="1"/>
  <c r="N143" i="103"/>
  <c r="N166" i="103" s="1"/>
  <c r="M143" i="103"/>
  <c r="M166" i="103" s="1"/>
  <c r="L143" i="103"/>
  <c r="L166" i="103" s="1"/>
  <c r="K143" i="103"/>
  <c r="K166" i="103" s="1"/>
  <c r="J143" i="103"/>
  <c r="J166" i="103" s="1"/>
  <c r="I143" i="103"/>
  <c r="I166" i="103" s="1"/>
  <c r="H143" i="103"/>
  <c r="H166" i="103" s="1"/>
  <c r="G143" i="103"/>
  <c r="G166" i="103" s="1"/>
  <c r="F143" i="103"/>
  <c r="F166" i="103" s="1"/>
  <c r="E143" i="103"/>
  <c r="E166" i="103" s="1"/>
  <c r="D143" i="103"/>
  <c r="D166" i="103" s="1"/>
  <c r="O143" i="104"/>
  <c r="O166" i="104" s="1"/>
  <c r="N143" i="104"/>
  <c r="N166" i="104" s="1"/>
  <c r="M143" i="104"/>
  <c r="M166" i="104" s="1"/>
  <c r="L143" i="104"/>
  <c r="L166" i="104" s="1"/>
  <c r="K143" i="104"/>
  <c r="K166" i="104" s="1"/>
  <c r="J143" i="104"/>
  <c r="J166" i="104" s="1"/>
  <c r="I143" i="104"/>
  <c r="I166" i="104" s="1"/>
  <c r="H143" i="104"/>
  <c r="H166" i="104" s="1"/>
  <c r="G143" i="104"/>
  <c r="G166" i="104" s="1"/>
  <c r="F143" i="104"/>
  <c r="F166" i="104" s="1"/>
  <c r="E143" i="104"/>
  <c r="E166" i="104" s="1"/>
  <c r="D143" i="104"/>
  <c r="D166" i="104" s="1"/>
  <c r="O158" i="104"/>
  <c r="N158" i="104"/>
  <c r="M158" i="104"/>
  <c r="L158" i="104"/>
  <c r="K158" i="104"/>
  <c r="J158" i="104"/>
  <c r="I158" i="104"/>
  <c r="H158" i="104"/>
  <c r="G158" i="104"/>
  <c r="F158" i="104"/>
  <c r="E158" i="104"/>
  <c r="D158" i="104"/>
  <c r="S122" i="103"/>
  <c r="R122" i="103"/>
  <c r="P122" i="103"/>
  <c r="S93" i="103"/>
  <c r="R93" i="103"/>
  <c r="P93" i="103"/>
  <c r="S79" i="103"/>
  <c r="R79" i="103"/>
  <c r="P79" i="103"/>
  <c r="S62" i="103"/>
  <c r="R62" i="103"/>
  <c r="P62" i="103"/>
  <c r="Z62" i="103" s="1"/>
  <c r="S44" i="103"/>
  <c r="R44" i="103"/>
  <c r="P44" i="103"/>
  <c r="S25" i="103"/>
  <c r="R25" i="103"/>
  <c r="P25" i="103"/>
  <c r="S17" i="103"/>
  <c r="R17" i="103"/>
  <c r="P17" i="103"/>
  <c r="S166" i="104"/>
  <c r="R166" i="104"/>
  <c r="F158" i="103" l="1"/>
  <c r="J158" i="103"/>
  <c r="N158" i="103"/>
  <c r="G158" i="103"/>
  <c r="K158" i="103"/>
  <c r="O158" i="103"/>
  <c r="D158" i="103"/>
  <c r="H158" i="103"/>
  <c r="L158" i="103"/>
  <c r="R158" i="105"/>
  <c r="S158" i="105" s="1"/>
  <c r="S143" i="104" l="1"/>
  <c r="R143" i="104"/>
  <c r="S122" i="104"/>
  <c r="R122" i="104"/>
  <c r="S56" i="104"/>
  <c r="R56" i="104"/>
  <c r="S62" i="104"/>
  <c r="R62" i="104"/>
  <c r="S117" i="104"/>
  <c r="R117" i="104"/>
  <c r="S92" i="104"/>
  <c r="R92" i="104"/>
  <c r="S79" i="104"/>
  <c r="R79" i="104"/>
  <c r="S44" i="104"/>
  <c r="R44" i="104"/>
  <c r="S25" i="104"/>
  <c r="R25" i="104"/>
  <c r="S17" i="104"/>
  <c r="R17" i="104"/>
  <c r="G1287" i="58"/>
  <c r="M1287" i="58" s="1"/>
  <c r="G1286" i="58"/>
  <c r="M1286" i="58" s="1"/>
  <c r="G1098" i="58"/>
  <c r="M1098" i="58" s="1"/>
  <c r="G1156" i="58"/>
  <c r="M1156" i="58" s="1"/>
  <c r="G76" i="58"/>
  <c r="M76" i="58" s="1"/>
  <c r="G347" i="58"/>
  <c r="M347" i="58" s="1"/>
  <c r="G87" i="58"/>
  <c r="M87" i="58" s="1"/>
  <c r="G1427" i="58"/>
  <c r="M1427" i="58" s="1"/>
  <c r="G1428" i="58"/>
  <c r="M1428" i="58" s="1"/>
  <c r="G865" i="58"/>
  <c r="M865" i="58" s="1"/>
  <c r="G773" i="58"/>
  <c r="M773" i="58" s="1"/>
  <c r="G750" i="58"/>
  <c r="M750" i="58" s="1"/>
  <c r="G1227" i="58"/>
  <c r="M1227" i="58" s="1"/>
  <c r="G1135" i="58"/>
  <c r="M1135" i="58" s="1"/>
  <c r="G873" i="58"/>
  <c r="M873" i="58" s="1"/>
  <c r="D68" i="103" l="1"/>
  <c r="G744" i="58"/>
  <c r="M744" i="58" s="1"/>
  <c r="G1023" i="58"/>
  <c r="M1023" i="58" s="1"/>
  <c r="G1162" i="58"/>
  <c r="M1162" i="58" s="1"/>
  <c r="G949" i="58"/>
  <c r="M949" i="58" s="1"/>
  <c r="G889" i="58"/>
  <c r="M889" i="58" s="1"/>
  <c r="G1120" i="58"/>
  <c r="M1120" i="58" s="1"/>
  <c r="G18" i="58"/>
  <c r="M18" i="58" s="1"/>
  <c r="G350" i="58"/>
  <c r="M350" i="58" s="1"/>
  <c r="G419" i="58"/>
  <c r="M419" i="58" s="1"/>
  <c r="G1187" i="58"/>
  <c r="M1187" i="58" s="1"/>
  <c r="G1191" i="58"/>
  <c r="M1191" i="58" s="1"/>
  <c r="G732" i="58"/>
  <c r="M732" i="58" s="1"/>
  <c r="G776" i="58"/>
  <c r="M776" i="58" s="1"/>
  <c r="G654" i="58"/>
  <c r="M654" i="58" s="1"/>
  <c r="G1190" i="58"/>
  <c r="M1190" i="58" s="1"/>
  <c r="G656" i="58"/>
  <c r="M656" i="58" s="1"/>
  <c r="G1202" i="58"/>
  <c r="M1202" i="58" s="1"/>
  <c r="G239" i="58"/>
  <c r="M239" i="58" s="1"/>
  <c r="G1229" i="58"/>
  <c r="M1229" i="58" s="1"/>
  <c r="G294" i="58"/>
  <c r="M294" i="58" s="1"/>
  <c r="G708" i="58"/>
  <c r="M708" i="58" s="1"/>
  <c r="G670" i="58"/>
  <c r="M670" i="58" s="1"/>
  <c r="G84" i="58"/>
  <c r="M84" i="58" s="1"/>
  <c r="G41" i="58"/>
  <c r="M41" i="58" s="1"/>
  <c r="G1063" i="58"/>
  <c r="M1063" i="58" s="1"/>
  <c r="G1067" i="58"/>
  <c r="M1067" i="58" s="1"/>
  <c r="G846" i="58"/>
  <c r="M846" i="58" s="1"/>
  <c r="G919" i="58"/>
  <c r="M919" i="58" s="1"/>
  <c r="G1088" i="58"/>
  <c r="M1088" i="58" s="1"/>
  <c r="G683" i="58"/>
  <c r="M683" i="58" s="1"/>
  <c r="G499" i="58"/>
  <c r="M499" i="58" s="1"/>
  <c r="G742" i="58"/>
  <c r="M742" i="58" s="1"/>
  <c r="G769" i="58"/>
  <c r="M769" i="58" s="1"/>
  <c r="G796" i="58"/>
  <c r="M796" i="58" s="1"/>
  <c r="G1157" i="58"/>
  <c r="M1157" i="58" s="1"/>
  <c r="G857" i="58"/>
  <c r="M857" i="58" s="1"/>
  <c r="G1070" i="58"/>
  <c r="M1070" i="58" s="1"/>
  <c r="G1145" i="58"/>
  <c r="M1145" i="58" s="1"/>
  <c r="G90" i="58"/>
  <c r="M90" i="58" s="1"/>
  <c r="G103" i="58"/>
  <c r="M103" i="58" s="1"/>
  <c r="G987" i="58"/>
  <c r="M987" i="58" s="1"/>
  <c r="G184" i="58"/>
  <c r="M184" i="58" s="1"/>
  <c r="G272" i="58"/>
  <c r="M272" i="58" s="1"/>
  <c r="G203" i="58"/>
  <c r="M203" i="58" s="1"/>
  <c r="G9" i="58"/>
  <c r="M9" i="58" s="1"/>
  <c r="G28" i="58"/>
  <c r="M28" i="58" s="1"/>
  <c r="G1106" i="58"/>
  <c r="M1106" i="58" s="1"/>
  <c r="G501" i="58"/>
  <c r="M501" i="58" s="1"/>
  <c r="G574" i="58"/>
  <c r="M574" i="58" s="1"/>
  <c r="G694" i="58"/>
  <c r="M694" i="58" s="1"/>
  <c r="G637" i="58"/>
  <c r="M637" i="58" s="1"/>
  <c r="G190" i="58"/>
  <c r="M190" i="58" s="1"/>
  <c r="G816" i="58"/>
  <c r="M816" i="58" s="1"/>
  <c r="G929" i="58"/>
  <c r="M929" i="58" s="1"/>
  <c r="G20" i="58"/>
  <c r="M20" i="58" s="1"/>
  <c r="G691" i="58"/>
  <c r="M691" i="58" s="1"/>
  <c r="G777" i="58"/>
  <c r="M777" i="58" s="1"/>
  <c r="G991" i="58"/>
  <c r="M991" i="58" s="1"/>
  <c r="G1186" i="58"/>
  <c r="M1186" i="58" s="1"/>
  <c r="G1148" i="58"/>
  <c r="M1148" i="58" s="1"/>
  <c r="G1133" i="58"/>
  <c r="M1133" i="58" s="1"/>
  <c r="G1171" i="58"/>
  <c r="M1171" i="58" s="1"/>
  <c r="G181" i="58"/>
  <c r="M181" i="58" s="1"/>
  <c r="G573" i="58"/>
  <c r="M573" i="58" s="1"/>
  <c r="G459" i="58"/>
  <c r="M459" i="58" s="1"/>
  <c r="G953" i="58"/>
  <c r="M953" i="58" s="1"/>
  <c r="G629" i="58"/>
  <c r="M629" i="58" s="1"/>
  <c r="G619" i="58"/>
  <c r="M619" i="58" s="1"/>
  <c r="G1037" i="58"/>
  <c r="M1037" i="58" s="1"/>
  <c r="G489" i="58"/>
  <c r="M489" i="58" s="1"/>
  <c r="G246" i="58"/>
  <c r="M246" i="58" s="1"/>
  <c r="G690" i="58"/>
  <c r="M690" i="58" s="1"/>
  <c r="G883" i="58"/>
  <c r="M883" i="58" s="1"/>
  <c r="G447" i="58"/>
  <c r="M447" i="58" s="1"/>
  <c r="G581" i="58"/>
  <c r="M581" i="58" s="1"/>
  <c r="G1163" i="58"/>
  <c r="M1163" i="58" s="1"/>
  <c r="G42" i="58"/>
  <c r="M42" i="58" s="1"/>
  <c r="G171" i="58"/>
  <c r="M171" i="58" s="1"/>
  <c r="G172" i="58"/>
  <c r="M172" i="58" s="1"/>
  <c r="G874" i="58"/>
  <c r="M874" i="58" s="1"/>
  <c r="G500" i="58"/>
  <c r="M500" i="58" s="1"/>
  <c r="G1100" i="58"/>
  <c r="M1100" i="58" s="1"/>
  <c r="G884" i="58"/>
  <c r="M884" i="58" s="1"/>
  <c r="G262" i="58"/>
  <c r="M262" i="58" s="1"/>
  <c r="G970" i="58"/>
  <c r="M970" i="58" s="1"/>
  <c r="G348" i="58"/>
  <c r="M348" i="58" s="1"/>
  <c r="G877" i="58"/>
  <c r="M877" i="58" s="1"/>
  <c r="G1213" i="58"/>
  <c r="M1213" i="58" s="1"/>
  <c r="G1107" i="58"/>
  <c r="M1107" i="58" s="1"/>
  <c r="G891" i="58"/>
  <c r="M891" i="58" s="1"/>
  <c r="G1168" i="58"/>
  <c r="M1168" i="58" s="1"/>
  <c r="G597" i="58"/>
  <c r="M597" i="58" s="1"/>
  <c r="G600" i="58"/>
  <c r="M600" i="58" s="1"/>
  <c r="G630" i="58"/>
  <c r="M630" i="58" s="1"/>
  <c r="G518" i="58"/>
  <c r="M518" i="58" s="1"/>
  <c r="G928" i="58"/>
  <c r="M928" i="58" s="1"/>
  <c r="G663" i="58"/>
  <c r="M663" i="58" s="1"/>
  <c r="G470" i="58"/>
  <c r="M470" i="58" s="1"/>
  <c r="G595" i="58"/>
  <c r="M595" i="58" s="1"/>
  <c r="G819" i="58"/>
  <c r="M819" i="58" s="1"/>
  <c r="G45" i="58"/>
  <c r="M45" i="58" s="1"/>
  <c r="G105" i="58"/>
  <c r="M105" i="58" s="1"/>
  <c r="G1024" i="58"/>
  <c r="M1024" i="58" s="1"/>
  <c r="G1108" i="58"/>
  <c r="M1108" i="58" s="1"/>
  <c r="G583" i="58"/>
  <c r="M583" i="58" s="1"/>
  <c r="G1169" i="58"/>
  <c r="M1169" i="58" s="1"/>
  <c r="G469" i="58"/>
  <c r="M469" i="58" s="1"/>
  <c r="G1021" i="58"/>
  <c r="M1021" i="58" s="1"/>
  <c r="G406" i="58"/>
  <c r="M406" i="58" s="1"/>
  <c r="G706" i="58"/>
  <c r="M706" i="58" s="1"/>
  <c r="G1158" i="58"/>
  <c r="M1158" i="58" s="1"/>
  <c r="G490" i="58"/>
  <c r="M490" i="58" s="1"/>
  <c r="G43" i="58"/>
  <c r="M43" i="58" s="1"/>
  <c r="G876" i="58"/>
  <c r="M876" i="58" s="1"/>
  <c r="G323" i="58"/>
  <c r="M323" i="58" s="1"/>
  <c r="G1020" i="58"/>
  <c r="M1020" i="58" s="1"/>
  <c r="G644" i="58"/>
  <c r="M644" i="58" s="1"/>
  <c r="G119" i="58"/>
  <c r="M119" i="58" s="1"/>
  <c r="G695" i="58"/>
  <c r="M695" i="58" s="1"/>
  <c r="G306" i="58"/>
  <c r="M306" i="58" s="1"/>
  <c r="G1172" i="58"/>
  <c r="M1172" i="58" s="1"/>
  <c r="G307" i="58"/>
  <c r="M307" i="58" s="1"/>
  <c r="G487" i="58"/>
  <c r="M487" i="58" s="1"/>
  <c r="G1105" i="58"/>
  <c r="M1105" i="58" s="1"/>
  <c r="G747" i="58"/>
  <c r="M747" i="58" s="1"/>
  <c r="G892" i="58"/>
  <c r="M892" i="58" s="1"/>
  <c r="G1113" i="58"/>
  <c r="M1113" i="58" s="1"/>
  <c r="G638" i="58"/>
  <c r="M638" i="58" s="1"/>
  <c r="G199" i="58"/>
  <c r="M199" i="58" s="1"/>
  <c r="G951" i="58"/>
  <c r="M951" i="58" s="1"/>
  <c r="G180" i="58"/>
  <c r="M180" i="58" s="1"/>
  <c r="G424" i="58"/>
  <c r="M424" i="58" s="1"/>
  <c r="G277" i="58"/>
  <c r="M277" i="58" s="1"/>
  <c r="G539" i="58"/>
  <c r="M539" i="58" s="1"/>
  <c r="G328" i="58"/>
  <c r="M328" i="58" s="1"/>
  <c r="G452" i="58"/>
  <c r="M452" i="58" s="1"/>
  <c r="G1036" i="58"/>
  <c r="M1036" i="58" s="1"/>
  <c r="G954" i="58"/>
  <c r="M954" i="58" s="1"/>
  <c r="G19" i="58"/>
  <c r="M19" i="58" s="1"/>
  <c r="G200" i="58"/>
  <c r="M200" i="58" s="1"/>
  <c r="G320" i="58"/>
  <c r="M320" i="58" s="1"/>
  <c r="G1136" i="58"/>
  <c r="M1136" i="58" s="1"/>
  <c r="G552" i="58"/>
  <c r="M552" i="58" s="1"/>
  <c r="G135" i="58"/>
  <c r="M135" i="58" s="1"/>
  <c r="G562" i="58"/>
  <c r="M562" i="58" s="1"/>
  <c r="G29" i="58"/>
  <c r="M29" i="58" s="1"/>
  <c r="G1170" i="58"/>
  <c r="M1170" i="58" s="1"/>
  <c r="G882" i="58"/>
  <c r="M882" i="58" s="1"/>
  <c r="G403" i="58"/>
  <c r="M403" i="58" s="1"/>
  <c r="G360" i="58"/>
  <c r="M360" i="58" s="1"/>
  <c r="G257" i="58"/>
  <c r="M257" i="58" s="1"/>
  <c r="G130" i="58"/>
  <c r="M130" i="58" s="1"/>
  <c r="G206" i="58"/>
  <c r="M206" i="58" s="1"/>
  <c r="G795" i="58"/>
  <c r="M795" i="58" s="1"/>
  <c r="G373" i="58"/>
  <c r="M373" i="58" s="1"/>
  <c r="G843" i="58"/>
  <c r="M843" i="58" s="1"/>
  <c r="G258" i="58"/>
  <c r="M258" i="58" s="1"/>
  <c r="G131" i="58"/>
  <c r="M131" i="58" s="1"/>
  <c r="G1116" i="58"/>
  <c r="M1116" i="58" s="1"/>
  <c r="G361" i="58"/>
  <c r="M361" i="58" s="1"/>
  <c r="G426" i="58"/>
  <c r="M426" i="58" s="1"/>
  <c r="G684" i="58"/>
  <c r="M684" i="58" s="1"/>
  <c r="G182" i="58"/>
  <c r="M182" i="58" s="1"/>
  <c r="G878" i="58"/>
  <c r="M878" i="58" s="1"/>
  <c r="G173" i="58"/>
  <c r="M173" i="58" s="1"/>
  <c r="G120" i="58"/>
  <c r="M120" i="58" s="1"/>
  <c r="G872" i="58"/>
  <c r="M872" i="58" s="1"/>
  <c r="G237" i="58"/>
  <c r="M237" i="58" s="1"/>
  <c r="G52" i="58"/>
  <c r="M52" i="58" s="1"/>
  <c r="G303" i="58"/>
  <c r="M303" i="58" s="1"/>
  <c r="G822" i="58"/>
  <c r="M822" i="58" s="1"/>
  <c r="G572" i="58"/>
  <c r="M572" i="58" s="1"/>
  <c r="G394" i="58"/>
  <c r="M394" i="58" s="1"/>
  <c r="G1215" i="58"/>
  <c r="M1215" i="58" s="1"/>
  <c r="G1087" i="58"/>
  <c r="M1087" i="58" s="1"/>
  <c r="G956" i="58"/>
  <c r="M956" i="58" s="1"/>
  <c r="G926" i="58"/>
  <c r="M926" i="58" s="1"/>
  <c r="G146" i="58"/>
  <c r="M146" i="58" s="1"/>
  <c r="G927" i="58"/>
  <c r="M927" i="58" s="1"/>
  <c r="G906" i="58"/>
  <c r="M906" i="58" s="1"/>
  <c r="G1318" i="58"/>
  <c r="M1318" i="58" s="1"/>
  <c r="G1288" i="58"/>
  <c r="M1288" i="58" s="1"/>
  <c r="G1255" i="58"/>
  <c r="M1255" i="58" s="1"/>
  <c r="G1244" i="58"/>
  <c r="M1244" i="58" s="1"/>
  <c r="G1188" i="58"/>
  <c r="M1188" i="58" s="1"/>
  <c r="G1061" i="58"/>
  <c r="M1061" i="58" s="1"/>
  <c r="G1189" i="58"/>
  <c r="M1189" i="58" s="1"/>
  <c r="G540" i="58"/>
  <c r="M540" i="58" s="1"/>
  <c r="G582" i="58"/>
  <c r="M582" i="58" s="1"/>
  <c r="G890" i="58"/>
  <c r="M890" i="58" s="1"/>
  <c r="G768" i="58"/>
  <c r="M768" i="58" s="1"/>
  <c r="G374" i="58"/>
  <c r="M374" i="58" s="1"/>
  <c r="G471" i="58"/>
  <c r="M471" i="58" s="1"/>
  <c r="G807" i="58"/>
  <c r="M807" i="58" s="1"/>
  <c r="G541" i="58"/>
  <c r="M541" i="58" s="1"/>
  <c r="G855" i="58"/>
  <c r="M855" i="58" s="1"/>
  <c r="G932" i="58"/>
  <c r="M932" i="58" s="1"/>
  <c r="G456" i="58"/>
  <c r="M456" i="58" s="1"/>
  <c r="G617" i="58"/>
  <c r="M617" i="58" s="1"/>
  <c r="G404" i="58"/>
  <c r="M404" i="58" s="1"/>
  <c r="G416" i="58"/>
  <c r="M416" i="58" s="1"/>
  <c r="G729" i="58"/>
  <c r="M729" i="58" s="1"/>
  <c r="G381" i="58"/>
  <c r="M381" i="58" s="1"/>
  <c r="G818" i="58"/>
  <c r="M818" i="58" s="1"/>
  <c r="G801" i="58"/>
  <c r="M801" i="58" s="1"/>
  <c r="G925" i="58"/>
  <c r="M925" i="58" s="1"/>
  <c r="G1007" i="58"/>
  <c r="M1007" i="58" s="1"/>
  <c r="G1086" i="58"/>
  <c r="M1086" i="58" s="1"/>
  <c r="G1085" i="58"/>
  <c r="M1085" i="58" s="1"/>
  <c r="G1030" i="58"/>
  <c r="M1030" i="58" s="1"/>
  <c r="G201" i="58"/>
  <c r="M201" i="58" s="1"/>
  <c r="G191" i="58"/>
  <c r="M191" i="58" s="1"/>
  <c r="G483" i="58"/>
  <c r="M483" i="58" s="1"/>
  <c r="G1314" i="58"/>
  <c r="M1314" i="58" s="1"/>
  <c r="G1256" i="58"/>
  <c r="M1256" i="58" s="1"/>
  <c r="G1285" i="58"/>
  <c r="M1285" i="58" s="1"/>
  <c r="G1198" i="58"/>
  <c r="M1198" i="58" s="1"/>
  <c r="G1044" i="58"/>
  <c r="M1044" i="58" s="1"/>
  <c r="G51" i="58"/>
  <c r="M51" i="58" s="1"/>
  <c r="G648" i="58"/>
  <c r="M648" i="58" s="1"/>
  <c r="G720" i="58"/>
  <c r="M720" i="58" s="1"/>
  <c r="G699" i="58"/>
  <c r="M699" i="58" s="1"/>
  <c r="G1093" i="58"/>
  <c r="M1093" i="58" s="1"/>
  <c r="G505" i="58"/>
  <c r="M505" i="58" s="1"/>
  <c r="G530" i="58"/>
  <c r="M530" i="58" s="1"/>
  <c r="G907" i="58"/>
  <c r="M907" i="58" s="1"/>
  <c r="G921" i="58"/>
  <c r="M921" i="58" s="1"/>
  <c r="G333" i="58"/>
  <c r="M333" i="58" s="1"/>
  <c r="G561" i="58"/>
  <c r="M561" i="58" s="1"/>
  <c r="G885" i="58"/>
  <c r="M885" i="58" s="1"/>
  <c r="G894" i="58"/>
  <c r="M894" i="58" s="1"/>
  <c r="G1216" i="58"/>
  <c r="M1216" i="58" s="1"/>
  <c r="G908" i="58"/>
  <c r="M908" i="58" s="1"/>
  <c r="G1164" i="58"/>
  <c r="M1164" i="58" s="1"/>
  <c r="G669" i="58"/>
  <c r="M669" i="58" s="1"/>
  <c r="G1210" i="58"/>
  <c r="M1210" i="58" s="1"/>
  <c r="G1018" i="58"/>
  <c r="M1018" i="58" s="1"/>
  <c r="G810" i="58"/>
  <c r="M810" i="58" s="1"/>
  <c r="G792" i="58"/>
  <c r="M792" i="58" s="1"/>
  <c r="G1124" i="58"/>
  <c r="M1124" i="58" s="1"/>
  <c r="G737" i="58"/>
  <c r="M737" i="58" s="1"/>
  <c r="G754" i="58"/>
  <c r="M754" i="58" s="1"/>
  <c r="G1233" i="58"/>
  <c r="M1233" i="58" s="1"/>
  <c r="G241" i="58"/>
  <c r="M241" i="58" s="1"/>
  <c r="G453" i="58"/>
  <c r="M453" i="58" s="1"/>
  <c r="G693" i="58"/>
  <c r="M693" i="58" s="1"/>
  <c r="G1143" i="58"/>
  <c r="M1143" i="58" s="1"/>
  <c r="G1031" i="58"/>
  <c r="M1031" i="58" s="1"/>
  <c r="G979" i="58"/>
  <c r="M979" i="58" s="1"/>
  <c r="G1200" i="58"/>
  <c r="M1200" i="58" s="1"/>
  <c r="G1064" i="58"/>
  <c r="M1064" i="58" s="1"/>
  <c r="G1068" i="58"/>
  <c r="M1068" i="58" s="1"/>
  <c r="G832" i="58"/>
  <c r="M832" i="58" s="1"/>
  <c r="G1000" i="58"/>
  <c r="M1000" i="58" s="1"/>
  <c r="G705" i="58"/>
  <c r="M705" i="58" s="1"/>
  <c r="G1066" i="58"/>
  <c r="M1066" i="58" s="1"/>
  <c r="G1167" i="58"/>
  <c r="M1167" i="58" s="1"/>
  <c r="G1226" i="58"/>
  <c r="M1226" i="58" s="1"/>
  <c r="G888" i="58"/>
  <c r="M888" i="58" s="1"/>
  <c r="G1045" i="58"/>
  <c r="M1045" i="58" s="1"/>
  <c r="G611" i="58"/>
  <c r="M611" i="58" s="1"/>
  <c r="G263" i="58"/>
  <c r="M263" i="58" s="1"/>
  <c r="G295" i="58"/>
  <c r="M295" i="58" s="1"/>
  <c r="G982" i="58"/>
  <c r="M982" i="58" s="1"/>
  <c r="G464" i="58"/>
  <c r="M464" i="58" s="1"/>
  <c r="G522" i="58"/>
  <c r="M522" i="58" s="1"/>
  <c r="G546" i="58"/>
  <c r="M546" i="58" s="1"/>
  <c r="G340" i="58"/>
  <c r="M340" i="58" s="1"/>
  <c r="G494" i="58"/>
  <c r="M494" i="58" s="1"/>
  <c r="G367" i="58"/>
  <c r="M367" i="58" s="1"/>
  <c r="G463" i="58"/>
  <c r="M463" i="58" s="1"/>
  <c r="G523" i="58"/>
  <c r="M523" i="58" s="1"/>
  <c r="G432" i="58"/>
  <c r="M432" i="58" s="1"/>
  <c r="G389" i="58"/>
  <c r="M389" i="58" s="1"/>
  <c r="G495" i="58"/>
  <c r="M495" i="58" s="1"/>
  <c r="G431" i="58"/>
  <c r="M431" i="58" s="1"/>
  <c r="G1127" i="58"/>
  <c r="M1127" i="58" s="1"/>
  <c r="G1236" i="58"/>
  <c r="M1236" i="58" s="1"/>
  <c r="G668" i="58"/>
  <c r="M668" i="58" s="1"/>
  <c r="G243" i="58"/>
  <c r="M243" i="58" s="1"/>
  <c r="G965" i="58"/>
  <c r="M965" i="58" s="1"/>
  <c r="G783" i="58"/>
  <c r="M783" i="58" s="1"/>
  <c r="G1205" i="58"/>
  <c r="M1205" i="58" s="1"/>
  <c r="G578" i="58"/>
  <c r="M578" i="58" s="1"/>
  <c r="G535" i="58"/>
  <c r="M535" i="58" s="1"/>
  <c r="G300" i="58"/>
  <c r="M300" i="58" s="1"/>
  <c r="G53" i="58"/>
  <c r="M53" i="58" s="1"/>
  <c r="G269" i="58"/>
  <c r="M269" i="58" s="1"/>
  <c r="G329" i="58"/>
  <c r="M329" i="58" s="1"/>
  <c r="G1222" i="58"/>
  <c r="M1222" i="58" s="1"/>
  <c r="G10" i="58"/>
  <c r="M10" i="58" s="1"/>
  <c r="G441" i="58"/>
  <c r="M441" i="58" s="1"/>
  <c r="G879" i="58"/>
  <c r="M879" i="58" s="1"/>
  <c r="G473" i="58"/>
  <c r="M473" i="58" s="1"/>
  <c r="G898" i="58"/>
  <c r="M898" i="58" s="1"/>
  <c r="G222" i="58"/>
  <c r="M222" i="58" s="1"/>
  <c r="G287" i="58"/>
  <c r="M287" i="58" s="1"/>
  <c r="G316" i="58"/>
  <c r="M316" i="58" s="1"/>
  <c r="G255" i="58"/>
  <c r="M255" i="58" s="1"/>
  <c r="G145" i="58"/>
  <c r="M145" i="58" s="1"/>
  <c r="G640" i="58"/>
  <c r="M640" i="58" s="1"/>
  <c r="G1102" i="58"/>
  <c r="M1102" i="58" s="1"/>
  <c r="G1196" i="58"/>
  <c r="M1196" i="58" s="1"/>
  <c r="G1095" i="58"/>
  <c r="M1095" i="58" s="1"/>
  <c r="G887" i="58"/>
  <c r="M887" i="58" s="1"/>
  <c r="G454" i="58"/>
  <c r="M454" i="58" s="1"/>
  <c r="G687" i="58"/>
  <c r="M687" i="58" s="1"/>
  <c r="G959" i="58"/>
  <c r="M959" i="58" s="1"/>
  <c r="G1139" i="58"/>
  <c r="M1139" i="58" s="1"/>
  <c r="G1012" i="58"/>
  <c r="M1012" i="58" s="1"/>
  <c r="G1178" i="58"/>
  <c r="M1178" i="58" s="1"/>
  <c r="G859" i="58"/>
  <c r="M859" i="58" s="1"/>
  <c r="G1048" i="58"/>
  <c r="M1048" i="58" s="1"/>
  <c r="G1041" i="58"/>
  <c r="M1041" i="58" s="1"/>
  <c r="G240" i="58"/>
  <c r="M240" i="58" s="1"/>
  <c r="G1097" i="58"/>
  <c r="M1097" i="58" s="1"/>
  <c r="G641" i="58"/>
  <c r="M641" i="58" s="1"/>
  <c r="G1199" i="58"/>
  <c r="M1199" i="58" s="1"/>
  <c r="G558" i="58"/>
  <c r="M558" i="58" s="1"/>
  <c r="G580" i="58"/>
  <c r="M580" i="58" s="1"/>
  <c r="G511" i="58"/>
  <c r="M511" i="58" s="1"/>
  <c r="G775" i="58"/>
  <c r="M775" i="58" s="1"/>
  <c r="G480" i="58"/>
  <c r="M480" i="58" s="1"/>
  <c r="G449" i="58"/>
  <c r="M449" i="58" s="1"/>
  <c r="G538" i="58"/>
  <c r="M538" i="58" s="1"/>
  <c r="G1142" i="58"/>
  <c r="M1142" i="58" s="1"/>
  <c r="G422" i="58"/>
  <c r="M422" i="58" s="1"/>
  <c r="G613" i="58"/>
  <c r="M613" i="58" s="1"/>
  <c r="G614" i="58"/>
  <c r="M614" i="58" s="1"/>
  <c r="G167" i="58"/>
  <c r="M167" i="58" s="1"/>
  <c r="G799" i="58"/>
  <c r="M799" i="58" s="1"/>
  <c r="G1056" i="58"/>
  <c r="M1056" i="58" s="1"/>
  <c r="G1080" i="58"/>
  <c r="M1080" i="58" s="1"/>
  <c r="G1017" i="58"/>
  <c r="M1017" i="58" s="1"/>
  <c r="G866" i="58"/>
  <c r="M866" i="58" s="1"/>
  <c r="G67" i="58"/>
  <c r="M67" i="58" s="1"/>
  <c r="G15" i="58"/>
  <c r="M15" i="58" s="1"/>
  <c r="G680" i="58"/>
  <c r="M680" i="58" s="1"/>
  <c r="G704" i="58"/>
  <c r="M704" i="58" s="1"/>
  <c r="G498" i="58"/>
  <c r="M498" i="58" s="1"/>
  <c r="G594" i="58"/>
  <c r="M594" i="58" s="1"/>
  <c r="G256" i="58"/>
  <c r="M256" i="58" s="1"/>
  <c r="G129" i="58"/>
  <c r="M129" i="58" s="1"/>
  <c r="G549" i="58"/>
  <c r="M549" i="58" s="1"/>
  <c r="G101" i="58"/>
  <c r="M101" i="58" s="1"/>
  <c r="G39" i="58"/>
  <c r="M39" i="58" s="1"/>
  <c r="G435" i="58"/>
  <c r="M435" i="58" s="1"/>
  <c r="G627" i="58"/>
  <c r="M627" i="58" s="1"/>
  <c r="G526" i="58"/>
  <c r="M526" i="58" s="1"/>
  <c r="G923" i="58"/>
  <c r="M923" i="58" s="1"/>
  <c r="G653" i="58"/>
  <c r="M653" i="58" s="1"/>
  <c r="G1065" i="58"/>
  <c r="M1065" i="58" s="1"/>
  <c r="G1118" i="58"/>
  <c r="M1118" i="58" s="1"/>
  <c r="G467" i="58"/>
  <c r="M467" i="58" s="1"/>
  <c r="G999" i="58"/>
  <c r="M999" i="58" s="1"/>
  <c r="G852" i="58"/>
  <c r="M852" i="58" s="1"/>
  <c r="G845" i="58"/>
  <c r="M845" i="58" s="1"/>
  <c r="G356" i="58"/>
  <c r="M356" i="58" s="1"/>
  <c r="G380" i="58"/>
  <c r="M380" i="58" s="1"/>
  <c r="G400" i="58"/>
  <c r="M400" i="58" s="1"/>
  <c r="G415" i="58"/>
  <c r="M415" i="58" s="1"/>
  <c r="G476" i="58"/>
  <c r="M476" i="58" s="1"/>
  <c r="G553" i="58"/>
  <c r="M553" i="58" s="1"/>
  <c r="G508" i="58"/>
  <c r="M508" i="58" s="1"/>
  <c r="G532" i="58"/>
  <c r="M532" i="58" s="1"/>
  <c r="G1160" i="58"/>
  <c r="M1160" i="58" s="1"/>
  <c r="G649" i="58"/>
  <c r="M649" i="58" s="1"/>
  <c r="G721" i="58"/>
  <c r="M721" i="58" s="1"/>
  <c r="G942" i="58"/>
  <c r="M942" i="58" s="1"/>
  <c r="G568" i="58"/>
  <c r="M568" i="58" s="1"/>
  <c r="G676" i="58"/>
  <c r="M676" i="58" s="1"/>
  <c r="G700" i="58"/>
  <c r="M700" i="58" s="1"/>
  <c r="G590" i="58"/>
  <c r="M590" i="58" s="1"/>
  <c r="G547" i="58"/>
  <c r="M547" i="58" s="1"/>
  <c r="G1239" i="58"/>
  <c r="M1239" i="58" s="1"/>
  <c r="G623" i="58"/>
  <c r="M623" i="58" s="1"/>
  <c r="G116" i="58"/>
  <c r="M116" i="58" s="1"/>
  <c r="G128" i="58"/>
  <c r="M128" i="58" s="1"/>
  <c r="G236" i="58"/>
  <c r="M236" i="58" s="1"/>
  <c r="G344" i="58"/>
  <c r="M344" i="58" s="1"/>
  <c r="G608" i="58"/>
  <c r="M608" i="58" s="1"/>
  <c r="G692" i="58"/>
  <c r="M692" i="58" s="1"/>
  <c r="G301" i="58"/>
  <c r="M301" i="58" s="1"/>
  <c r="G817" i="58"/>
  <c r="M817" i="58" s="1"/>
  <c r="G54" i="58"/>
  <c r="M54" i="58" s="1"/>
  <c r="G270" i="58"/>
  <c r="M270" i="58" s="1"/>
  <c r="G510" i="58"/>
  <c r="M510" i="58" s="1"/>
  <c r="G774" i="58"/>
  <c r="M774" i="58" s="1"/>
  <c r="G359" i="58"/>
  <c r="M359" i="58" s="1"/>
  <c r="G100" i="58"/>
  <c r="M100" i="58" s="1"/>
  <c r="G448" i="58"/>
  <c r="M448" i="58" s="1"/>
  <c r="G652" i="58"/>
  <c r="M652" i="58" s="1"/>
  <c r="G664" i="58"/>
  <c r="M664" i="58" s="1"/>
  <c r="G904" i="58"/>
  <c r="M904" i="58" s="1"/>
  <c r="G69" i="58"/>
  <c r="M69" i="58" s="1"/>
  <c r="G417" i="58"/>
  <c r="M417" i="58" s="1"/>
  <c r="G525" i="58"/>
  <c r="M525" i="58" s="1"/>
  <c r="G537" i="58"/>
  <c r="M537" i="58" s="1"/>
  <c r="G993" i="58"/>
  <c r="M993" i="58" s="1"/>
  <c r="G170" i="58"/>
  <c r="M170" i="58" s="1"/>
  <c r="G254" i="58"/>
  <c r="M254" i="58" s="1"/>
  <c r="G434" i="58"/>
  <c r="M434" i="58" s="1"/>
  <c r="G626" i="58"/>
  <c r="M626" i="58" s="1"/>
  <c r="G679" i="58"/>
  <c r="M679" i="58" s="1"/>
  <c r="G703" i="58"/>
  <c r="M703" i="58" s="1"/>
  <c r="G715" i="58"/>
  <c r="M715" i="58" s="1"/>
  <c r="G871" i="58"/>
  <c r="M871" i="58" s="1"/>
  <c r="G804" i="58"/>
  <c r="M804" i="58" s="1"/>
  <c r="G948" i="58"/>
  <c r="M948" i="58" s="1"/>
  <c r="G315" i="58"/>
  <c r="M315" i="58" s="1"/>
  <c r="G639" i="58"/>
  <c r="M639" i="58" s="1"/>
  <c r="G593" i="58"/>
  <c r="M593" i="58" s="1"/>
  <c r="G1114" i="58"/>
  <c r="M1114" i="58" s="1"/>
  <c r="G761" i="58"/>
  <c r="M761" i="58" s="1"/>
  <c r="G1019" i="58"/>
  <c r="M1019" i="58" s="1"/>
  <c r="G1165" i="58"/>
  <c r="M1165" i="58" s="1"/>
  <c r="G479" i="58"/>
  <c r="M479" i="58" s="1"/>
  <c r="G1083" i="58"/>
  <c r="M1083" i="58" s="1"/>
  <c r="G1132" i="58"/>
  <c r="M1132" i="58" s="1"/>
  <c r="G497" i="58"/>
  <c r="M497" i="58" s="1"/>
  <c r="G827" i="58"/>
  <c r="M827" i="58" s="1"/>
  <c r="G1060" i="58"/>
  <c r="M1060" i="58" s="1"/>
  <c r="G838" i="58"/>
  <c r="M838" i="58" s="1"/>
  <c r="G716" i="58"/>
  <c r="M716" i="58" s="1"/>
  <c r="G1195" i="58"/>
  <c r="M1195" i="58" s="1"/>
  <c r="G1033" i="58"/>
  <c r="M1033" i="58" s="1"/>
  <c r="G296" i="58"/>
  <c r="M296" i="58" s="1"/>
  <c r="G620" i="58"/>
  <c r="M620" i="58" s="1"/>
  <c r="G848" i="58"/>
  <c r="M848" i="58" s="1"/>
  <c r="G61" i="58"/>
  <c r="M61" i="58" s="1"/>
  <c r="G121" i="58"/>
  <c r="M121" i="58" s="1"/>
  <c r="G193" i="58"/>
  <c r="M193" i="58" s="1"/>
  <c r="G565" i="58"/>
  <c r="M565" i="58" s="1"/>
  <c r="G673" i="58"/>
  <c r="M673" i="58" s="1"/>
  <c r="G697" i="58"/>
  <c r="M697" i="58" s="1"/>
  <c r="G841" i="58"/>
  <c r="M841" i="58" s="1"/>
  <c r="G937" i="58"/>
  <c r="M937" i="58" s="1"/>
  <c r="G1009" i="58"/>
  <c r="M1009" i="58" s="1"/>
  <c r="G30" i="58"/>
  <c r="M30" i="58" s="1"/>
  <c r="G78" i="58"/>
  <c r="M78" i="58" s="1"/>
  <c r="G138" i="58"/>
  <c r="M138" i="58" s="1"/>
  <c r="G174" i="58"/>
  <c r="M174" i="58" s="1"/>
  <c r="G186" i="58"/>
  <c r="M186" i="58" s="1"/>
  <c r="G858" i="58"/>
  <c r="M858" i="58" s="1"/>
  <c r="G47" i="58"/>
  <c r="M47" i="58" s="1"/>
  <c r="G215" i="58"/>
  <c r="M215" i="58" s="1"/>
  <c r="G364" i="58"/>
  <c r="M364" i="58" s="1"/>
  <c r="G520" i="58"/>
  <c r="M520" i="58" s="1"/>
  <c r="G544" i="58"/>
  <c r="M544" i="58" s="1"/>
  <c r="G808" i="58"/>
  <c r="M808" i="58" s="1"/>
  <c r="G820" i="58"/>
  <c r="M820" i="58" s="1"/>
  <c r="G165" i="58"/>
  <c r="M165" i="58" s="1"/>
  <c r="G249" i="58"/>
  <c r="M249" i="58" s="1"/>
  <c r="G309" i="58"/>
  <c r="M309" i="58" s="1"/>
  <c r="G621" i="58"/>
  <c r="M621" i="58" s="1"/>
  <c r="G645" i="58"/>
  <c r="M645" i="58" s="1"/>
  <c r="G753" i="58"/>
  <c r="M753" i="58" s="1"/>
  <c r="G110" i="58"/>
  <c r="M110" i="58" s="1"/>
  <c r="G122" i="58"/>
  <c r="M122" i="58" s="1"/>
  <c r="G194" i="58"/>
  <c r="M194" i="58" s="1"/>
  <c r="G338" i="58"/>
  <c r="M338" i="58" s="1"/>
  <c r="G398" i="58"/>
  <c r="M398" i="58" s="1"/>
  <c r="G830" i="58"/>
  <c r="M830" i="58" s="1"/>
  <c r="G842" i="58"/>
  <c r="M842" i="58" s="1"/>
  <c r="G31" i="58"/>
  <c r="M31" i="58" s="1"/>
  <c r="G175" i="58"/>
  <c r="M175" i="58" s="1"/>
  <c r="G751" i="58"/>
  <c r="M751" i="58" s="1"/>
  <c r="G847" i="58"/>
  <c r="M847" i="58" s="1"/>
  <c r="G204" i="58"/>
  <c r="M204" i="58" s="1"/>
  <c r="G264" i="58"/>
  <c r="M264" i="58" s="1"/>
  <c r="G324" i="58"/>
  <c r="M324" i="58" s="1"/>
  <c r="G492" i="58"/>
  <c r="M492" i="58" s="1"/>
  <c r="G696" i="58"/>
  <c r="M696" i="58" s="1"/>
  <c r="G353" i="58"/>
  <c r="M353" i="58" s="1"/>
  <c r="G377" i="58"/>
  <c r="M377" i="58" s="1"/>
  <c r="G387" i="58"/>
  <c r="M387" i="58" s="1"/>
  <c r="G831" i="58"/>
  <c r="M831" i="58" s="1"/>
  <c r="G646" i="58"/>
  <c r="M646" i="58" s="1"/>
  <c r="G791" i="58"/>
  <c r="M791" i="58" s="1"/>
  <c r="G1232" i="58"/>
  <c r="M1232" i="58" s="1"/>
  <c r="G94" i="58"/>
  <c r="M94" i="58" s="1"/>
  <c r="G1175" i="58"/>
  <c r="M1175" i="58" s="1"/>
  <c r="G1211" i="58"/>
  <c r="M1211" i="58" s="1"/>
  <c r="G22" i="58"/>
  <c r="M22" i="58" s="1"/>
  <c r="G586" i="58"/>
  <c r="M586" i="58" s="1"/>
  <c r="G809" i="58"/>
  <c r="M809" i="58" s="1"/>
  <c r="G790" i="58"/>
  <c r="M790" i="58" s="1"/>
  <c r="G1154" i="58"/>
  <c r="M1154" i="58" s="1"/>
  <c r="G587" i="58"/>
  <c r="M587" i="58" s="1"/>
  <c r="G1071" i="58"/>
  <c r="M1071" i="58" s="1"/>
  <c r="G821" i="58"/>
  <c r="M821" i="58" s="1"/>
  <c r="G1123" i="58"/>
  <c r="M1123" i="58" s="1"/>
  <c r="G461" i="58"/>
  <c r="M461" i="58" s="1"/>
  <c r="G1038" i="58"/>
  <c r="M1038" i="58" s="1"/>
  <c r="G974" i="58"/>
  <c r="M974" i="58" s="1"/>
  <c r="G1076" i="58"/>
  <c r="M1076" i="58" s="1"/>
  <c r="G97" i="58"/>
  <c r="M97" i="58" s="1"/>
  <c r="G217" i="58"/>
  <c r="M217" i="58" s="1"/>
  <c r="G757" i="58"/>
  <c r="M757" i="58" s="1"/>
  <c r="G793" i="58"/>
  <c r="M793" i="58" s="1"/>
  <c r="G251" i="58"/>
  <c r="M251" i="58" s="1"/>
  <c r="G153" i="58"/>
  <c r="M153" i="58" s="1"/>
  <c r="G177" i="58"/>
  <c r="M177" i="58" s="1"/>
  <c r="G739" i="58"/>
  <c r="M739" i="58" s="1"/>
  <c r="G125" i="58"/>
  <c r="M125" i="58" s="1"/>
  <c r="G1180" i="58"/>
  <c r="M1180" i="58" s="1"/>
  <c r="G1238" i="58"/>
  <c r="M1238" i="58" s="1"/>
  <c r="G429" i="58"/>
  <c r="M429" i="58" s="1"/>
  <c r="G566" i="58"/>
  <c r="M566" i="58" s="1"/>
  <c r="G266" i="58"/>
  <c r="M266" i="58" s="1"/>
  <c r="G326" i="58"/>
  <c r="M326" i="58" s="1"/>
  <c r="G1110" i="58"/>
  <c r="M1110" i="58" s="1"/>
  <c r="G298" i="58"/>
  <c r="M298" i="58" s="1"/>
  <c r="G895" i="58"/>
  <c r="M895" i="58" s="1"/>
  <c r="G834" i="58"/>
  <c r="M834" i="58" s="1"/>
  <c r="G823" i="58"/>
  <c r="M823" i="58" s="1"/>
  <c r="G1046" i="58"/>
  <c r="M1046" i="58" s="1"/>
  <c r="G1043" i="58"/>
  <c r="M1043" i="58" s="1"/>
  <c r="G390" i="58"/>
  <c r="M390" i="58" s="1"/>
  <c r="G311" i="58"/>
  <c r="M311" i="58" s="1"/>
  <c r="G392" i="58"/>
  <c r="M392" i="58" s="1"/>
  <c r="G728" i="58"/>
  <c r="M728" i="58" s="1"/>
  <c r="G824" i="58"/>
  <c r="M824" i="58" s="1"/>
  <c r="G1028" i="58"/>
  <c r="M1028" i="58" s="1"/>
  <c r="G313" i="58"/>
  <c r="M313" i="58" s="1"/>
  <c r="G577" i="58"/>
  <c r="M577" i="58" s="1"/>
  <c r="G661" i="58"/>
  <c r="M661" i="58" s="1"/>
  <c r="G342" i="58"/>
  <c r="M342" i="58" s="1"/>
  <c r="G414" i="58"/>
  <c r="M414" i="58" s="1"/>
  <c r="G534" i="58"/>
  <c r="M534" i="58" s="1"/>
  <c r="G1014" i="58"/>
  <c r="M1014" i="58" s="1"/>
  <c r="G844" i="58"/>
  <c r="M844" i="58" s="1"/>
  <c r="G880" i="58"/>
  <c r="M880" i="58" s="1"/>
  <c r="G285" i="58"/>
  <c r="M285" i="58" s="1"/>
  <c r="G369" i="58"/>
  <c r="M369" i="58" s="1"/>
  <c r="G446" i="58"/>
  <c r="M446" i="58" s="1"/>
  <c r="G746" i="58"/>
  <c r="M746" i="58" s="1"/>
  <c r="G962" i="58"/>
  <c r="M962" i="58" s="1"/>
  <c r="G835" i="58"/>
  <c r="M835" i="58" s="1"/>
  <c r="G636" i="58"/>
  <c r="M636" i="58" s="1"/>
  <c r="G219" i="58"/>
  <c r="M219" i="58" s="1"/>
  <c r="G555" i="58"/>
  <c r="M555" i="58" s="1"/>
  <c r="G711" i="58"/>
  <c r="M711" i="58" s="1"/>
  <c r="G509" i="58"/>
  <c r="M509" i="58" s="1"/>
  <c r="G814" i="58"/>
  <c r="M814" i="58" s="1"/>
  <c r="G1194" i="58"/>
  <c r="M1194" i="58" s="1"/>
  <c r="G605" i="58"/>
  <c r="M605" i="58" s="1"/>
  <c r="G689" i="58"/>
  <c r="M689" i="58" s="1"/>
  <c r="G851" i="58"/>
  <c r="M851" i="58" s="1"/>
  <c r="G946" i="58"/>
  <c r="M946" i="58" s="1"/>
  <c r="G152" i="58"/>
  <c r="M152" i="58" s="1"/>
  <c r="G176" i="58"/>
  <c r="M176" i="58" s="1"/>
  <c r="G632" i="58"/>
  <c r="M632" i="58" s="1"/>
  <c r="G860" i="58"/>
  <c r="M860" i="58" s="1"/>
  <c r="G325" i="58"/>
  <c r="M325" i="58" s="1"/>
  <c r="G493" i="58"/>
  <c r="M493" i="58" s="1"/>
  <c r="G685" i="58"/>
  <c r="M685" i="58" s="1"/>
  <c r="G709" i="58"/>
  <c r="M709" i="58" s="1"/>
  <c r="G282" i="58"/>
  <c r="M282" i="58" s="1"/>
  <c r="G354" i="58"/>
  <c r="M354" i="58" s="1"/>
  <c r="G366" i="58"/>
  <c r="M366" i="58" s="1"/>
  <c r="G462" i="58"/>
  <c r="M462" i="58" s="1"/>
  <c r="G474" i="58"/>
  <c r="M474" i="58" s="1"/>
  <c r="G738" i="58"/>
  <c r="M738" i="58" s="1"/>
  <c r="G64" i="58"/>
  <c r="M64" i="58" s="1"/>
  <c r="G124" i="58"/>
  <c r="M124" i="58" s="1"/>
  <c r="G232" i="58"/>
  <c r="M232" i="58" s="1"/>
  <c r="G388" i="58"/>
  <c r="M388" i="58" s="1"/>
  <c r="G33" i="58"/>
  <c r="M33" i="58" s="1"/>
  <c r="G297" i="58"/>
  <c r="M297" i="58" s="1"/>
  <c r="G410" i="58"/>
  <c r="M410" i="58" s="1"/>
  <c r="G506" i="58"/>
  <c r="M506" i="58" s="1"/>
  <c r="G602" i="58"/>
  <c r="M602" i="58" s="1"/>
  <c r="G674" i="58"/>
  <c r="M674" i="58" s="1"/>
  <c r="G698" i="58"/>
  <c r="M698" i="58" s="1"/>
  <c r="G1010" i="58"/>
  <c r="M1010" i="58" s="1"/>
  <c r="G79" i="58"/>
  <c r="M79" i="58" s="1"/>
  <c r="G139" i="58"/>
  <c r="M139" i="58" s="1"/>
  <c r="G48" i="58"/>
  <c r="M48" i="58" s="1"/>
  <c r="G216" i="58"/>
  <c r="M216" i="58" s="1"/>
  <c r="G588" i="58"/>
  <c r="M588" i="58" s="1"/>
  <c r="G111" i="58"/>
  <c r="M111" i="58" s="1"/>
  <c r="G195" i="58"/>
  <c r="M195" i="58" s="1"/>
  <c r="G339" i="58"/>
  <c r="M339" i="58" s="1"/>
  <c r="G531" i="58"/>
  <c r="M531" i="58" s="1"/>
  <c r="G567" i="58"/>
  <c r="M567" i="58" s="1"/>
  <c r="G939" i="58"/>
  <c r="M939" i="58" s="1"/>
  <c r="G1126" i="58"/>
  <c r="M1126" i="58" s="1"/>
  <c r="G719" i="58"/>
  <c r="M719" i="58" s="1"/>
  <c r="G521" i="58"/>
  <c r="M521" i="58" s="1"/>
  <c r="G658" i="58"/>
  <c r="M658" i="58" s="1"/>
  <c r="G622" i="58"/>
  <c r="M622" i="58" s="1"/>
  <c r="G647" i="58"/>
  <c r="M647" i="58" s="1"/>
  <c r="G310" i="58"/>
  <c r="M310" i="58" s="1"/>
  <c r="G430" i="58"/>
  <c r="M430" i="58" s="1"/>
  <c r="G1125" i="58"/>
  <c r="M1125" i="58" s="1"/>
  <c r="G442" i="58"/>
  <c r="M442" i="58" s="1"/>
  <c r="G250" i="58"/>
  <c r="M250" i="58" s="1"/>
  <c r="G1073" i="58"/>
  <c r="M1073" i="58" s="1"/>
  <c r="G1082" i="58"/>
  <c r="M1082" i="58" s="1"/>
  <c r="G869" i="58"/>
  <c r="M869" i="58" s="1"/>
  <c r="G57" i="58"/>
  <c r="M57" i="58" s="1"/>
  <c r="G1150" i="58"/>
  <c r="M1150" i="58" s="1"/>
  <c r="G58" i="58"/>
  <c r="M58" i="58" s="1"/>
  <c r="G997" i="58"/>
  <c r="M997" i="58" s="1"/>
  <c r="G108" i="58"/>
  <c r="M108" i="58" s="1"/>
  <c r="G137" i="58"/>
  <c r="M137" i="58" s="1"/>
  <c r="G1001" i="58"/>
  <c r="M1001" i="58" s="1"/>
  <c r="G1201" i="58"/>
  <c r="M1201" i="58" s="1"/>
  <c r="G977" i="58"/>
  <c r="M977" i="58" s="1"/>
  <c r="G1138" i="58"/>
  <c r="M1138" i="58" s="1"/>
  <c r="G1091" i="58"/>
  <c r="M1091" i="58" s="1"/>
  <c r="G484" i="58"/>
  <c r="M484" i="58" s="1"/>
  <c r="G1207" i="58"/>
  <c r="M1207" i="58" s="1"/>
  <c r="G1203" i="58"/>
  <c r="M1203" i="58" s="1"/>
  <c r="G615" i="58"/>
  <c r="M615" i="58" s="1"/>
  <c r="G589" i="58"/>
  <c r="M589" i="58" s="1"/>
  <c r="G1016" i="58"/>
  <c r="M1016" i="58" s="1"/>
  <c r="G678" i="58"/>
  <c r="M678" i="58" s="1"/>
  <c r="G650" i="58"/>
  <c r="M650" i="58" s="1"/>
  <c r="G722" i="58"/>
  <c r="M722" i="58" s="1"/>
  <c r="G624" i="58"/>
  <c r="M624" i="58" s="1"/>
  <c r="G651" i="58"/>
  <c r="M651" i="58" s="1"/>
  <c r="G1079" i="58"/>
  <c r="M1079" i="58" s="1"/>
  <c r="G677" i="58"/>
  <c r="M677" i="58" s="1"/>
  <c r="G1131" i="58"/>
  <c r="M1131" i="58" s="1"/>
  <c r="G569" i="58"/>
  <c r="M569" i="58" s="1"/>
  <c r="G701" i="58"/>
  <c r="M701" i="58" s="1"/>
  <c r="G829" i="58"/>
  <c r="M829" i="58" s="1"/>
  <c r="G451" i="58"/>
  <c r="M451" i="58" s="1"/>
  <c r="G420" i="58"/>
  <c r="M420" i="58" s="1"/>
  <c r="G840" i="58"/>
  <c r="M840" i="58" s="1"/>
  <c r="G455" i="58"/>
  <c r="M455" i="58" s="1"/>
  <c r="G1166" i="58"/>
  <c r="M1166" i="58" s="1"/>
  <c r="G784" i="58"/>
  <c r="M784" i="58" s="1"/>
  <c r="G242" i="58"/>
  <c r="M242" i="58" s="1"/>
  <c r="G612" i="58"/>
  <c r="M612" i="58" s="1"/>
  <c r="G1206" i="58"/>
  <c r="M1206" i="58" s="1"/>
  <c r="G1101" i="58"/>
  <c r="M1101" i="58" s="1"/>
  <c r="G920" i="58"/>
  <c r="M920" i="58" s="1"/>
  <c r="G913" i="58"/>
  <c r="M913" i="58" s="1"/>
  <c r="G486" i="58"/>
  <c r="M486" i="58" s="1"/>
  <c r="G513" i="58"/>
  <c r="M513" i="58" s="1"/>
  <c r="G482" i="58"/>
  <c r="M482" i="58" s="1"/>
  <c r="G780" i="58"/>
  <c r="M780" i="58" s="1"/>
  <c r="G938" i="58"/>
  <c r="M938" i="58" s="1"/>
  <c r="G1072" i="58"/>
  <c r="M1072" i="58" s="1"/>
  <c r="G514" i="58"/>
  <c r="M514" i="58" s="1"/>
  <c r="G1057" i="58"/>
  <c r="M1057" i="58" s="1"/>
  <c r="G378" i="58"/>
  <c r="M378" i="58" s="1"/>
  <c r="G412" i="58"/>
  <c r="M412" i="58" s="1"/>
  <c r="G444" i="58"/>
  <c r="M444" i="58" s="1"/>
  <c r="G1218" i="58"/>
  <c r="M1218" i="58" s="1"/>
  <c r="G899" i="58"/>
  <c r="M899" i="58" s="1"/>
  <c r="G1111" i="58"/>
  <c r="M1111" i="58" s="1"/>
  <c r="G740" i="58"/>
  <c r="M740" i="58" s="1"/>
  <c r="G169" i="58"/>
  <c r="M169" i="58" s="1"/>
  <c r="G702" i="58"/>
  <c r="M702" i="58" s="1"/>
  <c r="G760" i="58"/>
  <c r="M760" i="58" s="1"/>
  <c r="G189" i="58"/>
  <c r="M189" i="58" s="1"/>
  <c r="G794" i="58"/>
  <c r="M794" i="58" s="1"/>
  <c r="G235" i="58"/>
  <c r="M235" i="58" s="1"/>
  <c r="G207" i="58"/>
  <c r="M207" i="58" s="1"/>
  <c r="G723" i="58"/>
  <c r="M723" i="58" s="1"/>
  <c r="G358" i="58"/>
  <c r="M358" i="58" s="1"/>
  <c r="G382" i="58"/>
  <c r="M382" i="58" s="1"/>
  <c r="G1140" i="58"/>
  <c r="M1140" i="58" s="1"/>
  <c r="G964" i="58"/>
  <c r="M964" i="58" s="1"/>
  <c r="G273" i="58"/>
  <c r="M273" i="58" s="1"/>
  <c r="G787" i="58"/>
  <c r="M787" i="58" s="1"/>
  <c r="G616" i="58"/>
  <c r="M616" i="58" s="1"/>
  <c r="G1047" i="58"/>
  <c r="M1047" i="58" s="1"/>
  <c r="G922" i="58"/>
  <c r="M922" i="58" s="1"/>
  <c r="G95" i="58"/>
  <c r="M95" i="58" s="1"/>
  <c r="G933" i="58"/>
  <c r="M933" i="58" s="1"/>
  <c r="G151" i="58"/>
  <c r="M151" i="58" s="1"/>
  <c r="G1003" i="58"/>
  <c r="M1003" i="58" s="1"/>
  <c r="G365" i="58"/>
  <c r="M365" i="58" s="1"/>
  <c r="G63" i="58"/>
  <c r="M63" i="58" s="1"/>
  <c r="G123" i="58"/>
  <c r="M123" i="58" s="1"/>
  <c r="G1121" i="58"/>
  <c r="M1121" i="58" s="1"/>
  <c r="G642" i="58"/>
  <c r="M642" i="58" s="1"/>
  <c r="G83" i="103"/>
  <c r="G178" i="103" s="1"/>
  <c r="I75" i="103"/>
  <c r="O75" i="103"/>
  <c r="O172" i="103" s="1"/>
  <c r="L87" i="103"/>
  <c r="L86" i="103"/>
  <c r="O86" i="103"/>
  <c r="M86" i="103"/>
  <c r="M175" i="103" s="1"/>
  <c r="F86" i="103"/>
  <c r="J86" i="103"/>
  <c r="G85" i="58"/>
  <c r="M85" i="58" s="1"/>
  <c r="G1184" i="58"/>
  <c r="M1184" i="58" s="1"/>
  <c r="G870" i="58"/>
  <c r="M870" i="58" s="1"/>
  <c r="G1117" i="58"/>
  <c r="M1117" i="58" s="1"/>
  <c r="G1155" i="58"/>
  <c r="M1155" i="58" s="1"/>
  <c r="G671" i="58"/>
  <c r="M671" i="58" s="1"/>
  <c r="G346" i="58"/>
  <c r="M346" i="58" s="1"/>
  <c r="G675" i="58"/>
  <c r="M675" i="58" s="1"/>
  <c r="G230" i="58"/>
  <c r="M230" i="58" s="1"/>
  <c r="G221" i="58"/>
  <c r="M221" i="58" s="1"/>
  <c r="G893" i="58"/>
  <c r="M893" i="58" s="1"/>
  <c r="G755" i="58"/>
  <c r="M755" i="58" s="1"/>
  <c r="G591" i="58"/>
  <c r="M591" i="58" s="1"/>
  <c r="G1403" i="58"/>
  <c r="M1403" i="58" s="1"/>
  <c r="G1223" i="58"/>
  <c r="M1223" i="58" s="1"/>
  <c r="G157" i="58"/>
  <c r="M157" i="58" s="1"/>
  <c r="G559" i="58"/>
  <c r="M559" i="58" s="1"/>
  <c r="G283" i="58"/>
  <c r="M283" i="58" s="1"/>
  <c r="G1231" i="58"/>
  <c r="M1231" i="58" s="1"/>
  <c r="G36" i="58"/>
  <c r="M36" i="58" s="1"/>
  <c r="G233" i="58"/>
  <c r="M233" i="58" s="1"/>
  <c r="G93" i="58"/>
  <c r="M93" i="58" s="1"/>
  <c r="G286" i="58" l="1"/>
  <c r="M286" i="58" s="1"/>
  <c r="G223" i="58"/>
  <c r="M223" i="58" s="1"/>
  <c r="G5" i="58"/>
  <c r="M5" i="58" s="1"/>
  <c r="G725" i="58"/>
  <c r="M725" i="58" s="1"/>
  <c r="G75" i="58"/>
  <c r="M75" i="58" s="1"/>
  <c r="G148" i="58"/>
  <c r="M148" i="58" s="1"/>
  <c r="G1112" i="58"/>
  <c r="M1112" i="58" s="1"/>
  <c r="G60" i="58"/>
  <c r="M60" i="58" s="1"/>
  <c r="G278" i="58"/>
  <c r="M278" i="58" s="1"/>
  <c r="G161" i="58"/>
  <c r="M161" i="58" s="1"/>
  <c r="G234" i="58"/>
  <c r="M234" i="58" s="1"/>
  <c r="G815" i="58"/>
  <c r="M815" i="58" s="1"/>
  <c r="G25" i="58"/>
  <c r="M25" i="58" s="1"/>
  <c r="G762" i="58"/>
  <c r="M762" i="58" s="1"/>
  <c r="G724" i="58"/>
  <c r="M724" i="58" s="1"/>
  <c r="G945" i="58"/>
  <c r="M945" i="58" s="1"/>
  <c r="G735" i="58"/>
  <c r="M735" i="58" s="1"/>
  <c r="G62" i="58"/>
  <c r="M62" i="58" s="1"/>
  <c r="G752" i="58"/>
  <c r="M752" i="58" s="1"/>
  <c r="G910" i="58"/>
  <c r="M910" i="58" s="1"/>
  <c r="G1011" i="58"/>
  <c r="M1011" i="58" s="1"/>
  <c r="G718" i="58"/>
  <c r="M718" i="58" s="1"/>
  <c r="G924" i="58"/>
  <c r="M924" i="58" s="1"/>
  <c r="G322" i="58"/>
  <c r="M322" i="58" s="1"/>
  <c r="G917" i="58"/>
  <c r="M917" i="58" s="1"/>
  <c r="G106" i="58"/>
  <c r="M106" i="58" s="1"/>
  <c r="G682" i="58"/>
  <c r="M682" i="58" s="1"/>
  <c r="G598" i="58"/>
  <c r="M598" i="58" s="1"/>
  <c r="G733" i="58"/>
  <c r="M733" i="58" s="1"/>
  <c r="G92" i="58"/>
  <c r="M92" i="58" s="1"/>
  <c r="G385" i="58"/>
  <c r="M385" i="58" s="1"/>
  <c r="G897" i="58"/>
  <c r="M897" i="58" s="1"/>
  <c r="G643" i="58"/>
  <c r="M643" i="58" s="1"/>
  <c r="G606" i="58"/>
  <c r="M606" i="58" s="1"/>
  <c r="G12" i="58"/>
  <c r="M12" i="58" s="1"/>
  <c r="G812" i="58"/>
  <c r="M812" i="58" s="1"/>
  <c r="G550" i="58"/>
  <c r="M550" i="58" s="1"/>
  <c r="G914" i="58"/>
  <c r="M914" i="58" s="1"/>
  <c r="G332" i="58"/>
  <c r="M332" i="58" s="1"/>
  <c r="G402" i="58"/>
  <c r="M402" i="58" s="1"/>
  <c r="G1208" i="58"/>
  <c r="M1208" i="58" s="1"/>
  <c r="G1152" i="58"/>
  <c r="M1152" i="58" s="1"/>
  <c r="G166" i="58"/>
  <c r="M166" i="58" s="1"/>
  <c r="G862" i="58"/>
  <c r="M862" i="58" s="1"/>
  <c r="G231" i="58"/>
  <c r="M231" i="58" s="1"/>
  <c r="G717" i="58"/>
  <c r="M717" i="58" s="1"/>
  <c r="G428" i="58"/>
  <c r="M428" i="58" s="1"/>
  <c r="G1185" i="58"/>
  <c r="M1185" i="58" s="1"/>
  <c r="G867" i="58"/>
  <c r="M867" i="58" s="1"/>
  <c r="G1104" i="58"/>
  <c r="M1104" i="58" s="1"/>
  <c r="G26" i="58"/>
  <c r="M26" i="58" s="1"/>
  <c r="G349" i="58"/>
  <c r="M349" i="58" s="1"/>
  <c r="G132" i="58"/>
  <c r="M132" i="58" s="1"/>
  <c r="G225" i="58"/>
  <c r="M225" i="58" s="1"/>
  <c r="G798" i="58"/>
  <c r="M798" i="58" s="1"/>
  <c r="G666" i="58"/>
  <c r="M666" i="58" s="1"/>
  <c r="G1235" i="58"/>
  <c r="M1235" i="58" s="1"/>
  <c r="G778" i="58"/>
  <c r="M778" i="58" s="1"/>
  <c r="G70" i="58"/>
  <c r="M70" i="58" s="1"/>
  <c r="G418" i="58"/>
  <c r="M418" i="58" s="1"/>
  <c r="G556" i="58"/>
  <c r="M556" i="58" s="1"/>
  <c r="G351" i="58"/>
  <c r="M351" i="58" s="1"/>
  <c r="G134" i="58"/>
  <c r="M134" i="58" s="1"/>
  <c r="G437" i="58"/>
  <c r="M437" i="58" s="1"/>
  <c r="G1074" i="58"/>
  <c r="M1074" i="58" s="1"/>
  <c r="G989" i="58"/>
  <c r="M989" i="58" s="1"/>
  <c r="G477" i="58"/>
  <c r="M477" i="58" s="1"/>
  <c r="G253" i="58"/>
  <c r="M253" i="58" s="1"/>
  <c r="G811" i="58"/>
  <c r="M811" i="58" s="1"/>
  <c r="G82" i="58"/>
  <c r="M82" i="58" s="1"/>
  <c r="G976" i="58"/>
  <c r="M976" i="58" s="1"/>
  <c r="G425" i="58"/>
  <c r="M425" i="58" s="1"/>
  <c r="G224" i="58"/>
  <c r="M224" i="58" s="1"/>
  <c r="G209" i="58"/>
  <c r="M209" i="58" s="1"/>
  <c r="G1176" i="58"/>
  <c r="M1176" i="58" s="1"/>
  <c r="G1177" i="58"/>
  <c r="M1177" i="58" s="1"/>
  <c r="G96" i="58"/>
  <c r="M96" i="58" s="1"/>
  <c r="G281" i="58"/>
  <c r="M281" i="58" s="1"/>
  <c r="G972" i="58"/>
  <c r="M972" i="58" s="1"/>
  <c r="G466" i="58"/>
  <c r="M466" i="58" s="1"/>
  <c r="G86" i="58"/>
  <c r="M86" i="58" s="1"/>
  <c r="G409" i="58"/>
  <c r="M409" i="58" s="1"/>
  <c r="G1075" i="58"/>
  <c r="M1075" i="58" s="1"/>
  <c r="G736" i="58"/>
  <c r="M736" i="58" s="1"/>
  <c r="G321" i="58"/>
  <c r="M321" i="58" s="1"/>
  <c r="G734" i="58"/>
  <c r="M734" i="58" s="1"/>
  <c r="G163" i="58"/>
  <c r="M163" i="58" s="1"/>
  <c r="G352" i="58"/>
  <c r="M352" i="58" s="1"/>
  <c r="G213" i="58"/>
  <c r="M213" i="58" s="1"/>
  <c r="G279" i="58"/>
  <c r="M279" i="58" s="1"/>
  <c r="G667" i="58"/>
  <c r="M667" i="58" s="1"/>
  <c r="G527" i="58"/>
  <c r="M527" i="58" s="1"/>
  <c r="G227" i="58"/>
  <c r="M227" i="58" s="1"/>
  <c r="G1006" i="58"/>
  <c r="M1006" i="58" s="1"/>
  <c r="G1069" i="58"/>
  <c r="M1069" i="58" s="1"/>
  <c r="G168" i="58"/>
  <c r="M168" i="58" s="1"/>
  <c r="G634" i="58"/>
  <c r="M634" i="58" s="1"/>
  <c r="G1197" i="58"/>
  <c r="M1197" i="58" s="1"/>
  <c r="G149" i="58"/>
  <c r="M149" i="58" s="1"/>
  <c r="G38" i="58"/>
  <c r="M38" i="58" s="1"/>
  <c r="G836" i="58"/>
  <c r="M836" i="58" s="1"/>
  <c r="G187" i="58"/>
  <c r="M187" i="58" s="1"/>
  <c r="G1084" i="58"/>
  <c r="M1084" i="58" s="1"/>
  <c r="G268" i="58"/>
  <c r="M268" i="58" s="1"/>
  <c r="G133" i="58"/>
  <c r="M133" i="58" s="1"/>
  <c r="G6" i="58"/>
  <c r="M6" i="58" s="1"/>
  <c r="G21" i="58"/>
  <c r="M21" i="58" s="1"/>
  <c r="G136" i="58"/>
  <c r="M136" i="58" s="1"/>
  <c r="G362" i="58"/>
  <c r="M362" i="58" s="1"/>
  <c r="G183" i="58"/>
  <c r="M183" i="58" s="1"/>
  <c r="G56" i="58"/>
  <c r="M56" i="58" s="1"/>
  <c r="G162" i="58"/>
  <c r="M162" i="58" s="1"/>
  <c r="G423" i="58"/>
  <c r="M423" i="58" s="1"/>
  <c r="G226" i="58"/>
  <c r="M226" i="58" s="1"/>
  <c r="G32" i="58"/>
  <c r="M32" i="58" s="1"/>
  <c r="G996" i="58"/>
  <c r="M996" i="58" s="1"/>
  <c r="G545" i="58"/>
  <c r="M545" i="58" s="1"/>
  <c r="G1234" i="58"/>
  <c r="M1234" i="58" s="1"/>
  <c r="G265" i="58"/>
  <c r="M265" i="58" s="1"/>
  <c r="G771" i="58"/>
  <c r="M771" i="58" s="1"/>
  <c r="G800" i="58"/>
  <c r="M800" i="58" s="1"/>
  <c r="G1094" i="58"/>
  <c r="M1094" i="58" s="1"/>
  <c r="G156" i="58"/>
  <c r="M156" i="58" s="1"/>
  <c r="G317" i="58"/>
  <c r="M317" i="58" s="1"/>
  <c r="G1214" i="58"/>
  <c r="M1214" i="58" s="1"/>
  <c r="G1173" i="58"/>
  <c r="M1173" i="58" s="1"/>
  <c r="G916" i="58"/>
  <c r="M916" i="58" s="1"/>
  <c r="G672" i="58"/>
  <c r="M672" i="58" s="1"/>
  <c r="G150" i="58"/>
  <c r="M150" i="58" s="1"/>
  <c r="G485" i="58"/>
  <c r="M485" i="58" s="1"/>
  <c r="G144" i="58"/>
  <c r="M144" i="58" s="1"/>
  <c r="G330" i="58"/>
  <c r="M330" i="58" s="1"/>
  <c r="G1129" i="58"/>
  <c r="M1129" i="58" s="1"/>
  <c r="G205" i="58"/>
  <c r="M205" i="58" s="1"/>
  <c r="G345" i="58"/>
  <c r="M345" i="58" s="1"/>
  <c r="G995" i="58"/>
  <c r="M995" i="58" s="1"/>
  <c r="G1052" i="58"/>
  <c r="M1052" i="58" s="1"/>
  <c r="G901" i="58"/>
  <c r="M901" i="58" s="1"/>
  <c r="G40" i="58"/>
  <c r="M40" i="58" s="1"/>
  <c r="G59" i="58"/>
  <c r="M59" i="58" s="1"/>
  <c r="G107" i="58"/>
  <c r="M107" i="58" s="1"/>
  <c r="G91" i="58"/>
  <c r="M91" i="58" s="1"/>
  <c r="G707" i="58"/>
  <c r="M707" i="58" s="1"/>
  <c r="G764" i="58"/>
  <c r="M764" i="58" s="1"/>
  <c r="G789" i="58"/>
  <c r="M789" i="58" s="1"/>
  <c r="G517" i="58"/>
  <c r="M517" i="58" s="1"/>
  <c r="G401" i="58"/>
  <c r="M401" i="58" s="1"/>
  <c r="G468" i="58"/>
  <c r="M468" i="58" s="1"/>
  <c r="G850" i="58"/>
  <c r="M850" i="58" s="1"/>
  <c r="G628" i="58"/>
  <c r="M628" i="58" s="1"/>
  <c r="G1035" i="58"/>
  <c r="M1035" i="58" s="1"/>
  <c r="G1209" i="58"/>
  <c r="M1209" i="58" s="1"/>
  <c r="G957" i="58"/>
  <c r="M957" i="58" s="1"/>
  <c r="G196" i="58"/>
  <c r="M196" i="58" s="1"/>
  <c r="G13" i="58"/>
  <c r="M13" i="58" s="1"/>
  <c r="G288" i="58"/>
  <c r="M288" i="58" s="1"/>
  <c r="G3" i="58"/>
  <c r="M3" i="58" s="1"/>
  <c r="G1212" i="58"/>
  <c r="M1212" i="58" s="1"/>
  <c r="G1141" i="58"/>
  <c r="M1141" i="58" s="1"/>
  <c r="G610" i="58"/>
  <c r="M610" i="58" s="1"/>
  <c r="G903" i="58"/>
  <c r="M903" i="58" s="1"/>
  <c r="G88" i="58"/>
  <c r="M88" i="58" s="1"/>
  <c r="G1039" i="58"/>
  <c r="M1039" i="58" s="1"/>
  <c r="G1146" i="58"/>
  <c r="M1146" i="58" s="1"/>
  <c r="G80" i="58"/>
  <c r="M80" i="58" s="1"/>
  <c r="G140" i="58"/>
  <c r="M140" i="58" s="1"/>
  <c r="G368" i="58"/>
  <c r="M368" i="58" s="1"/>
  <c r="G524" i="58"/>
  <c r="M524" i="58" s="1"/>
  <c r="G49" i="58"/>
  <c r="M49" i="58" s="1"/>
  <c r="G433" i="58"/>
  <c r="M433" i="58" s="1"/>
  <c r="G1026" i="58"/>
  <c r="M1026" i="58" s="1"/>
  <c r="G23" i="58"/>
  <c r="M23" i="58" s="1"/>
  <c r="G112" i="58"/>
  <c r="M112" i="58" s="1"/>
  <c r="G496" i="58"/>
  <c r="M496" i="58" s="1"/>
  <c r="G465" i="58"/>
  <c r="M465" i="58" s="1"/>
  <c r="G554" i="58"/>
  <c r="M554" i="58" s="1"/>
  <c r="G7" i="58"/>
  <c r="M7" i="58" s="1"/>
  <c r="G391" i="58"/>
  <c r="M391" i="58" s="1"/>
  <c r="G312" i="58"/>
  <c r="M312" i="58" s="1"/>
  <c r="G341" i="58"/>
  <c r="M341" i="58" s="1"/>
  <c r="G1192" i="58"/>
  <c r="M1192" i="58" s="1"/>
  <c r="G533" i="58"/>
  <c r="M533" i="58" s="1"/>
  <c r="G575" i="58"/>
  <c r="M575" i="58" s="1"/>
  <c r="G1130" i="58"/>
  <c r="M1130" i="58" s="1"/>
  <c r="G1181" i="58"/>
  <c r="M1181" i="58" s="1"/>
  <c r="G788" i="58"/>
  <c r="M788" i="58" s="1"/>
  <c r="G1103" i="58"/>
  <c r="M1103" i="58" s="1"/>
  <c r="G981" i="58"/>
  <c r="M981" i="58" s="1"/>
  <c r="G966" i="58"/>
  <c r="M966" i="58" s="1"/>
  <c r="G984" i="58"/>
  <c r="M984" i="58" s="1"/>
  <c r="G8" i="58"/>
  <c r="M8" i="58" s="1"/>
  <c r="G284" i="58"/>
  <c r="M284" i="58" s="1"/>
  <c r="G445" i="58"/>
  <c r="M445" i="58" s="1"/>
  <c r="G66" i="58"/>
  <c r="M66" i="58" s="1"/>
  <c r="G126" i="58"/>
  <c r="M126" i="58" s="1"/>
  <c r="G990" i="58"/>
  <c r="M990" i="58" s="1"/>
  <c r="G35" i="58"/>
  <c r="M35" i="58" s="1"/>
  <c r="G604" i="58"/>
  <c r="M604" i="58" s="1"/>
  <c r="G98" i="58"/>
  <c r="M98" i="58" s="1"/>
  <c r="G218" i="58"/>
  <c r="M218" i="58" s="1"/>
  <c r="G758" i="58"/>
  <c r="M758" i="58" s="1"/>
  <c r="G379" i="58"/>
  <c r="M379" i="58" s="1"/>
  <c r="G943" i="58"/>
  <c r="M943" i="58" s="1"/>
  <c r="G24" i="58"/>
  <c r="M24" i="58" s="1"/>
  <c r="G252" i="58"/>
  <c r="M252" i="58" s="1"/>
  <c r="G576" i="58"/>
  <c r="M576" i="58" s="1"/>
  <c r="G660" i="58"/>
  <c r="M660" i="58" s="1"/>
  <c r="G960" i="58"/>
  <c r="M960" i="58" s="1"/>
  <c r="G197" i="58"/>
  <c r="M197" i="58" s="1"/>
  <c r="G413" i="58"/>
  <c r="M413" i="58" s="1"/>
  <c r="G399" i="58"/>
  <c r="M399" i="58" s="1"/>
  <c r="G1013" i="58"/>
  <c r="M1013" i="58" s="1"/>
  <c r="G154" i="58"/>
  <c r="M154" i="58" s="1"/>
  <c r="G635" i="58"/>
  <c r="M635" i="58" s="1"/>
  <c r="G1077" i="58"/>
  <c r="M1077" i="58" s="1"/>
  <c r="G1182" i="58"/>
  <c r="M1182" i="58" s="1"/>
  <c r="G178" i="58"/>
  <c r="M178" i="58" s="1"/>
  <c r="G863" i="58"/>
  <c r="M863" i="58" s="1"/>
  <c r="G1219" i="58"/>
  <c r="M1219" i="58" s="1"/>
  <c r="G813" i="58"/>
  <c r="M813" i="58" s="1"/>
  <c r="G770" i="58"/>
  <c r="M770" i="58" s="1"/>
  <c r="G797" i="58"/>
  <c r="M797" i="58" s="1"/>
  <c r="G864" i="58"/>
  <c r="M864" i="58" s="1"/>
  <c r="G1040" i="58"/>
  <c r="M1040" i="58" s="1"/>
  <c r="G304" i="58"/>
  <c r="M304" i="58" s="1"/>
  <c r="G886" i="58"/>
  <c r="M886" i="58" s="1"/>
  <c r="G114" i="58"/>
  <c r="M114" i="58" s="1"/>
  <c r="G83" i="58"/>
  <c r="M83" i="58" s="1"/>
  <c r="G142" i="58"/>
  <c r="M142" i="58" s="1"/>
  <c r="G109" i="58"/>
  <c r="M109" i="58" s="1"/>
  <c r="G601" i="58"/>
  <c r="M601" i="58" s="1"/>
  <c r="G631" i="58"/>
  <c r="M631" i="58" s="1"/>
  <c r="G77" i="58"/>
  <c r="M77" i="58" s="1"/>
  <c r="G1109" i="58"/>
  <c r="M1109" i="58" s="1"/>
  <c r="G46" i="58"/>
  <c r="M46" i="58" s="1"/>
  <c r="G1147" i="58"/>
  <c r="M1147" i="58" s="1"/>
  <c r="G665" i="58"/>
  <c r="M665" i="58" s="1"/>
  <c r="G944" i="58"/>
  <c r="M944" i="58" s="1"/>
  <c r="G220" i="58"/>
  <c r="M220" i="58" s="1"/>
  <c r="G759" i="58"/>
  <c r="M759" i="58" s="1"/>
  <c r="G1078" i="58"/>
  <c r="M1078" i="58" s="1"/>
  <c r="G1183" i="58"/>
  <c r="M1183" i="58" s="1"/>
  <c r="G275" i="58"/>
  <c r="M275" i="58" s="1"/>
  <c r="G975" i="58"/>
  <c r="M975" i="58" s="1"/>
  <c r="G633" i="58"/>
  <c r="M633" i="58" s="1"/>
  <c r="G686" i="58"/>
  <c r="M686" i="58" s="1"/>
  <c r="G603" i="58"/>
  <c r="M603" i="58" s="1"/>
  <c r="G958" i="58"/>
  <c r="M958" i="58" s="1"/>
  <c r="G1217" i="58"/>
  <c r="M1217" i="58" s="1"/>
  <c r="G659" i="58"/>
  <c r="M659" i="58" s="1"/>
  <c r="G935" i="58"/>
  <c r="M935" i="58" s="1"/>
  <c r="G963" i="58"/>
  <c r="M963" i="58" s="1"/>
  <c r="G609" i="58"/>
  <c r="M609" i="58" s="1"/>
  <c r="G1029" i="58"/>
  <c r="M1029" i="58" s="1"/>
  <c r="G786" i="58"/>
  <c r="M786" i="58" s="1"/>
  <c r="G89" i="58"/>
  <c r="M89" i="58" s="1"/>
  <c r="G1153" i="58"/>
  <c r="M1153" i="58" s="1"/>
  <c r="G1062" i="58"/>
  <c r="M1062" i="58" s="1"/>
  <c r="G1025" i="58"/>
  <c r="M1025" i="58" s="1"/>
  <c r="G1055" i="58"/>
  <c r="M1055" i="58" s="1"/>
  <c r="G967" i="58"/>
  <c r="M967" i="58" s="1"/>
  <c r="G745" i="58"/>
  <c r="M745" i="58" s="1"/>
  <c r="G961" i="58"/>
  <c r="M961" i="58" s="1"/>
  <c r="G299" i="58"/>
  <c r="M299" i="58" s="1"/>
  <c r="G688" i="58"/>
  <c r="M688" i="58" s="1"/>
  <c r="G81" i="58"/>
  <c r="M81" i="58" s="1"/>
  <c r="G141" i="58"/>
  <c r="M141" i="58" s="1"/>
  <c r="G50" i="58"/>
  <c r="M50" i="58" s="1"/>
  <c r="G710" i="58"/>
  <c r="M710" i="58" s="1"/>
  <c r="G355" i="58"/>
  <c r="M355" i="58" s="1"/>
  <c r="G727" i="58"/>
  <c r="M727" i="58" s="1"/>
  <c r="G1027" i="58"/>
  <c r="M1027" i="58" s="1"/>
  <c r="G113" i="58"/>
  <c r="M113" i="58" s="1"/>
  <c r="G267" i="58"/>
  <c r="M267" i="58" s="1"/>
  <c r="G327" i="58"/>
  <c r="M327" i="58" s="1"/>
  <c r="G1193" i="58"/>
  <c r="M1193" i="58" s="1"/>
  <c r="G421" i="58"/>
  <c r="M421" i="58" s="1"/>
  <c r="G11" i="58"/>
  <c r="M11" i="58" s="1"/>
  <c r="G1032" i="58"/>
  <c r="M1032" i="58" s="1"/>
  <c r="G27" i="58"/>
  <c r="M27" i="58" s="1"/>
  <c r="G1151" i="58"/>
  <c r="M1151" i="58" s="1"/>
  <c r="G1144" i="58"/>
  <c r="M1144" i="58" s="1"/>
  <c r="G1159" i="58"/>
  <c r="M1159" i="58" s="1"/>
  <c r="G980" i="58"/>
  <c r="M980" i="58" s="1"/>
  <c r="G782" i="58"/>
  <c r="M782" i="58" s="1"/>
  <c r="G1204" i="58"/>
  <c r="M1204" i="58" s="1"/>
  <c r="G68" i="58"/>
  <c r="M68" i="58" s="1"/>
  <c r="G37" i="58"/>
  <c r="M37" i="58" s="1"/>
  <c r="G198" i="58"/>
  <c r="M198" i="58" s="1"/>
  <c r="G155" i="58"/>
  <c r="M155" i="58" s="1"/>
  <c r="G179" i="58"/>
  <c r="M179" i="58" s="1"/>
  <c r="G4" i="58"/>
  <c r="M4" i="58" s="1"/>
  <c r="G16" i="58"/>
  <c r="M16" i="58" s="1"/>
  <c r="G868" i="58"/>
  <c r="M868" i="58" s="1"/>
  <c r="G127" i="58"/>
  <c r="M127" i="58" s="1"/>
  <c r="G99" i="58"/>
  <c r="M99" i="58" s="1"/>
  <c r="G548" i="58"/>
  <c r="M548" i="58" s="1"/>
  <c r="G625" i="58"/>
  <c r="M625" i="58" s="1"/>
  <c r="G570" i="58"/>
  <c r="M570" i="58" s="1"/>
  <c r="G714" i="58"/>
  <c r="M714" i="58" s="1"/>
  <c r="G592" i="58"/>
  <c r="M592" i="58" s="1"/>
  <c r="G748" i="58"/>
  <c r="M748" i="58" s="1"/>
  <c r="G902" i="58"/>
  <c r="M902" i="58" s="1"/>
  <c r="G730" i="58"/>
  <c r="M730" i="58" s="1"/>
  <c r="G1081" i="58"/>
  <c r="M1081" i="58" s="1"/>
  <c r="G314" i="58"/>
  <c r="M314" i="58" s="1"/>
  <c r="G343" i="58"/>
  <c r="M343" i="58" s="1"/>
  <c r="G370" i="58"/>
  <c r="M370" i="58" s="1"/>
  <c r="G947" i="58"/>
  <c r="M947" i="58" s="1"/>
  <c r="G785" i="58"/>
  <c r="M785" i="58" s="1"/>
  <c r="G779" i="58"/>
  <c r="M779" i="58" s="1"/>
  <c r="G1002" i="58"/>
  <c r="M1002" i="58" s="1"/>
  <c r="G998" i="58"/>
  <c r="M998" i="58" s="1"/>
  <c r="G971" i="58"/>
  <c r="M971" i="58" s="1"/>
  <c r="G978" i="58"/>
  <c r="M978" i="58" s="1"/>
  <c r="G1004" i="58"/>
  <c r="M1004" i="58" s="1"/>
  <c r="G371" i="58"/>
  <c r="M371" i="58" s="1"/>
  <c r="G849" i="58"/>
  <c r="M849" i="58" s="1"/>
  <c r="G571" i="58"/>
  <c r="M571" i="58" s="1"/>
  <c r="G1122" i="58"/>
  <c r="M1122" i="58" s="1"/>
  <c r="G248" i="58"/>
  <c r="M248" i="58" s="1"/>
  <c r="G308" i="58"/>
  <c r="M308" i="58" s="1"/>
  <c r="G337" i="58"/>
  <c r="M337" i="58" s="1"/>
  <c r="G280" i="58"/>
  <c r="M280" i="58" s="1"/>
  <c r="G460" i="58"/>
  <c r="M460" i="58" s="1"/>
  <c r="G386" i="58"/>
  <c r="M386" i="58" s="1"/>
  <c r="G427" i="58"/>
  <c r="M427" i="58" s="1"/>
  <c r="G564" i="58"/>
  <c r="M564" i="58" s="1"/>
  <c r="G936" i="58"/>
  <c r="M936" i="58" s="1"/>
  <c r="G1008" i="58"/>
  <c r="M1008" i="58" s="1"/>
  <c r="G363" i="58"/>
  <c r="M363" i="58" s="1"/>
  <c r="G519" i="58"/>
  <c r="M519" i="58" s="1"/>
  <c r="G543" i="58"/>
  <c r="M543" i="58" s="1"/>
  <c r="G214" i="58"/>
  <c r="M214" i="58" s="1"/>
  <c r="G491" i="58"/>
  <c r="M491" i="58" s="1"/>
  <c r="G536" i="58"/>
  <c r="M536" i="58" s="1"/>
  <c r="G579" i="58"/>
  <c r="M579" i="58" s="1"/>
  <c r="G557" i="58"/>
  <c r="M557" i="58" s="1"/>
  <c r="G803" i="58"/>
  <c r="M803" i="58" s="1"/>
  <c r="G1015" i="58"/>
  <c r="M1015" i="58" s="1"/>
  <c r="G861" i="58"/>
  <c r="M861" i="58" s="1"/>
  <c r="G756" i="58"/>
  <c r="M756" i="58" s="1"/>
  <c r="G1179" i="58"/>
  <c r="M1179" i="58" s="1"/>
  <c r="G1237" i="58"/>
  <c r="M1237" i="58" s="1"/>
  <c r="G941" i="58"/>
  <c r="M941" i="58" s="1"/>
  <c r="G1128" i="58"/>
  <c r="M1128" i="58" s="1"/>
  <c r="G1059" i="58"/>
  <c r="M1059" i="58" s="1"/>
  <c r="G973" i="58"/>
  <c r="M973" i="58" s="1"/>
  <c r="G274" i="58"/>
  <c r="M274" i="58" s="1"/>
  <c r="G969" i="58"/>
  <c r="M969" i="58" s="1"/>
  <c r="G940" i="58"/>
  <c r="M940" i="58" s="1"/>
  <c r="G2" i="58"/>
  <c r="M2" i="58" s="1"/>
  <c r="G14" i="58"/>
  <c r="M14" i="58" s="1"/>
  <c r="G475" i="58"/>
  <c r="M475" i="58" s="1"/>
  <c r="G65" i="58"/>
  <c r="M65" i="58" s="1"/>
  <c r="G411" i="58"/>
  <c r="M411" i="58" s="1"/>
  <c r="G507" i="58"/>
  <c r="M507" i="58" s="1"/>
  <c r="G1092" i="58"/>
  <c r="M1092" i="58" s="1"/>
  <c r="G443" i="58"/>
  <c r="M443" i="58" s="1"/>
  <c r="G34" i="58"/>
  <c r="M34" i="58" s="1"/>
  <c r="G781" i="58"/>
  <c r="M781" i="58" s="1"/>
  <c r="G1149" i="58"/>
  <c r="M1149" i="58" s="1"/>
  <c r="G983" i="58"/>
  <c r="M983" i="58" s="1"/>
  <c r="I83" i="103"/>
  <c r="I178" i="103" s="1"/>
  <c r="K83" i="103"/>
  <c r="K178" i="103" s="1"/>
  <c r="D83" i="103"/>
  <c r="D178" i="103" s="1"/>
  <c r="O83" i="103"/>
  <c r="O178" i="103" s="1"/>
  <c r="F83" i="103"/>
  <c r="F178" i="103" s="1"/>
  <c r="M83" i="103"/>
  <c r="M178" i="103" s="1"/>
  <c r="H83" i="103"/>
  <c r="H178" i="103" s="1"/>
  <c r="E83" i="103"/>
  <c r="E178" i="103" s="1"/>
  <c r="N83" i="103"/>
  <c r="N178" i="103" s="1"/>
  <c r="J83" i="103"/>
  <c r="J178" i="103" s="1"/>
  <c r="L83" i="103"/>
  <c r="L178" i="103" s="1"/>
  <c r="E84" i="103"/>
  <c r="E176" i="103" s="1"/>
  <c r="M84" i="103"/>
  <c r="M176" i="103" s="1"/>
  <c r="K84" i="103"/>
  <c r="K176" i="103" s="1"/>
  <c r="G84" i="103"/>
  <c r="G176" i="103" s="1"/>
  <c r="D84" i="103"/>
  <c r="N84" i="103"/>
  <c r="N176" i="103" s="1"/>
  <c r="L84" i="103"/>
  <c r="L176" i="103" s="1"/>
  <c r="O84" i="103"/>
  <c r="O176" i="103" s="1"/>
  <c r="G49" i="103"/>
  <c r="I172" i="103"/>
  <c r="P75" i="103"/>
  <c r="I86" i="103"/>
  <c r="N87" i="103"/>
  <c r="K87" i="103"/>
  <c r="O87" i="103"/>
  <c r="O175" i="103" s="1"/>
  <c r="F87" i="103"/>
  <c r="F175" i="103" s="1"/>
  <c r="L175" i="103"/>
  <c r="G86" i="103"/>
  <c r="E86" i="103"/>
  <c r="E175" i="103" s="1"/>
  <c r="N86" i="103"/>
  <c r="K86" i="103"/>
  <c r="H86" i="103"/>
  <c r="E4" i="110"/>
  <c r="U4" i="110" s="1"/>
  <c r="O44" i="110"/>
  <c r="AE44" i="110" s="1"/>
  <c r="D44" i="110"/>
  <c r="T44" i="110" s="1"/>
  <c r="L37" i="104"/>
  <c r="L71" i="105"/>
  <c r="G71" i="104"/>
  <c r="N71" i="103"/>
  <c r="J71" i="103"/>
  <c r="J71" i="104"/>
  <c r="D71" i="103"/>
  <c r="H71" i="104"/>
  <c r="E71" i="104"/>
  <c r="I71" i="103"/>
  <c r="J71" i="105"/>
  <c r="G71" i="103"/>
  <c r="H71" i="103"/>
  <c r="M71" i="103"/>
  <c r="N71" i="105"/>
  <c r="K71" i="103"/>
  <c r="F71" i="104"/>
  <c r="H71" i="105"/>
  <c r="O71" i="105"/>
  <c r="K71" i="104"/>
  <c r="L71" i="104"/>
  <c r="O71" i="103"/>
  <c r="I71" i="104"/>
  <c r="L71" i="103"/>
  <c r="N71" i="104"/>
  <c r="I71" i="105"/>
  <c r="M71" i="105"/>
  <c r="G71" i="105"/>
  <c r="O71" i="104"/>
  <c r="D71" i="104"/>
  <c r="E71" i="105"/>
  <c r="M71" i="104"/>
  <c r="F71" i="103"/>
  <c r="E71" i="103"/>
  <c r="F71" i="105"/>
  <c r="K71" i="105"/>
  <c r="D111" i="104"/>
  <c r="P71" i="105" l="1"/>
  <c r="Q71" i="105" s="1"/>
  <c r="P71" i="104"/>
  <c r="L149" i="110"/>
  <c r="AB149" i="110" s="1"/>
  <c r="L163" i="104"/>
  <c r="Y75" i="103"/>
  <c r="Z75" i="103"/>
  <c r="D176" i="103"/>
  <c r="J84" i="103"/>
  <c r="J176" i="103" s="1"/>
  <c r="I84" i="103"/>
  <c r="I176" i="103" s="1"/>
  <c r="H84" i="103"/>
  <c r="H176" i="103" s="1"/>
  <c r="F84" i="103"/>
  <c r="F176" i="103" s="1"/>
  <c r="P83" i="103"/>
  <c r="Z83" i="103" s="1"/>
  <c r="R75" i="103"/>
  <c r="S75" i="103" s="1"/>
  <c r="P172" i="103"/>
  <c r="J87" i="103"/>
  <c r="J175" i="103" s="1"/>
  <c r="H87" i="103"/>
  <c r="H175" i="103" s="1"/>
  <c r="I87" i="103"/>
  <c r="I175" i="103" s="1"/>
  <c r="N175" i="103"/>
  <c r="K175" i="103"/>
  <c r="G87" i="103"/>
  <c r="G175" i="103" s="1"/>
  <c r="D174" i="104"/>
  <c r="H77" i="103"/>
  <c r="H174" i="103"/>
  <c r="G77" i="103"/>
  <c r="G174" i="103"/>
  <c r="N77" i="104"/>
  <c r="N174" i="104"/>
  <c r="I77" i="104"/>
  <c r="I174" i="104"/>
  <c r="J77" i="105"/>
  <c r="J174" i="105"/>
  <c r="L77" i="103"/>
  <c r="L174" i="103"/>
  <c r="E77" i="103"/>
  <c r="E174" i="103"/>
  <c r="O77" i="103"/>
  <c r="O174" i="103"/>
  <c r="I77" i="103"/>
  <c r="I174" i="103"/>
  <c r="K77" i="105"/>
  <c r="K174" i="105"/>
  <c r="F77" i="103"/>
  <c r="F174" i="103"/>
  <c r="L77" i="104"/>
  <c r="L174" i="104"/>
  <c r="E77" i="104"/>
  <c r="E174" i="104"/>
  <c r="F77" i="105"/>
  <c r="F174" i="105"/>
  <c r="M77" i="104"/>
  <c r="M174" i="104"/>
  <c r="K77" i="104"/>
  <c r="K174" i="104"/>
  <c r="H77" i="104"/>
  <c r="H174" i="104"/>
  <c r="O77" i="105"/>
  <c r="O174" i="105"/>
  <c r="D77" i="103"/>
  <c r="D174" i="103"/>
  <c r="H77" i="105"/>
  <c r="H174" i="105"/>
  <c r="J77" i="104"/>
  <c r="J174" i="104"/>
  <c r="E77" i="105"/>
  <c r="E174" i="105"/>
  <c r="F77" i="104"/>
  <c r="F174" i="104"/>
  <c r="J77" i="103"/>
  <c r="J174" i="103"/>
  <c r="O77" i="104"/>
  <c r="O174" i="104"/>
  <c r="G77" i="105"/>
  <c r="G174" i="105"/>
  <c r="K77" i="103"/>
  <c r="K174" i="103"/>
  <c r="N77" i="103"/>
  <c r="N174" i="103"/>
  <c r="M77" i="105"/>
  <c r="M174" i="105"/>
  <c r="N77" i="105"/>
  <c r="N174" i="105"/>
  <c r="G77" i="104"/>
  <c r="G174" i="104"/>
  <c r="I77" i="105"/>
  <c r="I174" i="105"/>
  <c r="M77" i="103"/>
  <c r="M174" i="103"/>
  <c r="L77" i="105"/>
  <c r="L174" i="105"/>
  <c r="D77" i="104"/>
  <c r="P86" i="103"/>
  <c r="Z86" i="103" s="1"/>
  <c r="K58" i="110"/>
  <c r="AA58" i="110" s="1"/>
  <c r="I58" i="110"/>
  <c r="Y58" i="110" s="1"/>
  <c r="I44" i="110"/>
  <c r="Y44" i="110" s="1"/>
  <c r="I11" i="110"/>
  <c r="Y11" i="110" s="1"/>
  <c r="I4" i="110"/>
  <c r="Y4" i="110" s="1"/>
  <c r="I122" i="110"/>
  <c r="Y122" i="110" s="1"/>
  <c r="O136" i="110"/>
  <c r="AE136" i="110" s="1"/>
  <c r="N136" i="110"/>
  <c r="AD136" i="110" s="1"/>
  <c r="M136" i="110"/>
  <c r="AC136" i="110" s="1"/>
  <c r="L136" i="110"/>
  <c r="AB136" i="110" s="1"/>
  <c r="K136" i="110"/>
  <c r="AA136" i="110" s="1"/>
  <c r="J136" i="110"/>
  <c r="Z136" i="110" s="1"/>
  <c r="I136" i="110"/>
  <c r="Y136" i="110" s="1"/>
  <c r="H136" i="110"/>
  <c r="X136" i="110" s="1"/>
  <c r="G136" i="110"/>
  <c r="W136" i="110" s="1"/>
  <c r="F136" i="110"/>
  <c r="V136" i="110" s="1"/>
  <c r="E136" i="110"/>
  <c r="U136" i="110" s="1"/>
  <c r="D136" i="110"/>
  <c r="T136" i="110" s="1"/>
  <c r="E44" i="110"/>
  <c r="U44" i="110" s="1"/>
  <c r="K44" i="110"/>
  <c r="AA44" i="110" s="1"/>
  <c r="L44" i="110"/>
  <c r="AB44" i="110" s="1"/>
  <c r="O4" i="110"/>
  <c r="AE4" i="110" s="1"/>
  <c r="N4" i="110"/>
  <c r="AD4" i="110" s="1"/>
  <c r="M4" i="110"/>
  <c r="AC4" i="110" s="1"/>
  <c r="L4" i="110"/>
  <c r="AB4" i="110" s="1"/>
  <c r="K4" i="110"/>
  <c r="AA4" i="110" s="1"/>
  <c r="J4" i="110"/>
  <c r="Z4" i="110" s="1"/>
  <c r="H4" i="110"/>
  <c r="X4" i="110" s="1"/>
  <c r="H79" i="110"/>
  <c r="X79" i="110" s="1"/>
  <c r="G79" i="110"/>
  <c r="W79" i="110" s="1"/>
  <c r="F79" i="110"/>
  <c r="V79" i="110" s="1"/>
  <c r="E79" i="110"/>
  <c r="U79" i="110" s="1"/>
  <c r="D79" i="110"/>
  <c r="T79" i="110" s="1"/>
  <c r="O72" i="110"/>
  <c r="AE72" i="110" s="1"/>
  <c r="N72" i="110"/>
  <c r="AD72" i="110" s="1"/>
  <c r="M72" i="110"/>
  <c r="AC72" i="110" s="1"/>
  <c r="L72" i="110"/>
  <c r="AB72" i="110" s="1"/>
  <c r="K72" i="110"/>
  <c r="AA72" i="110" s="1"/>
  <c r="J72" i="110"/>
  <c r="Z72" i="110" s="1"/>
  <c r="I72" i="110"/>
  <c r="Y72" i="110" s="1"/>
  <c r="H72" i="110"/>
  <c r="X72" i="110" s="1"/>
  <c r="G72" i="110"/>
  <c r="W72" i="110" s="1"/>
  <c r="F72" i="110"/>
  <c r="V72" i="110" s="1"/>
  <c r="E72" i="110"/>
  <c r="U72" i="110" s="1"/>
  <c r="D72" i="110"/>
  <c r="T72" i="110" s="1"/>
  <c r="O65" i="110"/>
  <c r="AE65" i="110" s="1"/>
  <c r="N65" i="110"/>
  <c r="AD65" i="110" s="1"/>
  <c r="M65" i="110"/>
  <c r="AC65" i="110" s="1"/>
  <c r="L65" i="110"/>
  <c r="AB65" i="110" s="1"/>
  <c r="K65" i="110"/>
  <c r="AA65" i="110" s="1"/>
  <c r="J65" i="110"/>
  <c r="Z65" i="110" s="1"/>
  <c r="I65" i="110"/>
  <c r="Y65" i="110" s="1"/>
  <c r="H65" i="110"/>
  <c r="X65" i="110" s="1"/>
  <c r="G65" i="110"/>
  <c r="W65" i="110" s="1"/>
  <c r="F65" i="110"/>
  <c r="V65" i="110" s="1"/>
  <c r="E65" i="110"/>
  <c r="U65" i="110" s="1"/>
  <c r="D65" i="110"/>
  <c r="T65" i="110" s="1"/>
  <c r="O58" i="110"/>
  <c r="AE58" i="110" s="1"/>
  <c r="N58" i="110"/>
  <c r="AD58" i="110" s="1"/>
  <c r="M58" i="110"/>
  <c r="AC58" i="110" s="1"/>
  <c r="L58" i="110"/>
  <c r="AB58" i="110" s="1"/>
  <c r="J58" i="110"/>
  <c r="Z58" i="110" s="1"/>
  <c r="H58" i="110"/>
  <c r="X58" i="110" s="1"/>
  <c r="G58" i="110"/>
  <c r="W58" i="110" s="1"/>
  <c r="F58" i="110"/>
  <c r="V58" i="110" s="1"/>
  <c r="E58" i="110"/>
  <c r="U58" i="110" s="1"/>
  <c r="D58" i="110"/>
  <c r="T58" i="110" s="1"/>
  <c r="O51" i="110"/>
  <c r="AE51" i="110" s="1"/>
  <c r="N51" i="110"/>
  <c r="AD51" i="110" s="1"/>
  <c r="M51" i="110"/>
  <c r="AC51" i="110" s="1"/>
  <c r="L51" i="110"/>
  <c r="AB51" i="110" s="1"/>
  <c r="K51" i="110"/>
  <c r="AA51" i="110" s="1"/>
  <c r="J51" i="110"/>
  <c r="Z51" i="110" s="1"/>
  <c r="H51" i="110"/>
  <c r="X51" i="110" s="1"/>
  <c r="G51" i="110"/>
  <c r="W51" i="110" s="1"/>
  <c r="F51" i="110"/>
  <c r="V51" i="110" s="1"/>
  <c r="E51" i="110"/>
  <c r="U51" i="110" s="1"/>
  <c r="D51" i="110"/>
  <c r="T51" i="110" s="1"/>
  <c r="N44" i="110"/>
  <c r="AD44" i="110" s="1"/>
  <c r="M44" i="110"/>
  <c r="AC44" i="110" s="1"/>
  <c r="J44" i="110"/>
  <c r="Z44" i="110" s="1"/>
  <c r="H44" i="110"/>
  <c r="X44" i="110" s="1"/>
  <c r="G44" i="110"/>
  <c r="W44" i="110" s="1"/>
  <c r="F44" i="110"/>
  <c r="V44" i="110" s="1"/>
  <c r="O11" i="110"/>
  <c r="AE11" i="110" s="1"/>
  <c r="N11" i="110"/>
  <c r="AD11" i="110" s="1"/>
  <c r="M11" i="110"/>
  <c r="AC11" i="110" s="1"/>
  <c r="L11" i="110"/>
  <c r="AB11" i="110" s="1"/>
  <c r="K11" i="110"/>
  <c r="AA11" i="110" s="1"/>
  <c r="J11" i="110"/>
  <c r="Z11" i="110" s="1"/>
  <c r="H11" i="110"/>
  <c r="X11" i="110" s="1"/>
  <c r="G11" i="110"/>
  <c r="W11" i="110" s="1"/>
  <c r="F11" i="110"/>
  <c r="V11" i="110" s="1"/>
  <c r="E11" i="110"/>
  <c r="U11" i="110" s="1"/>
  <c r="D11" i="110"/>
  <c r="T11" i="110" s="1"/>
  <c r="F4" i="110"/>
  <c r="V4" i="110" s="1"/>
  <c r="D4" i="110"/>
  <c r="T4" i="110" s="1"/>
  <c r="G4" i="110"/>
  <c r="W4" i="110" s="1"/>
  <c r="O122" i="110"/>
  <c r="AE122" i="110" s="1"/>
  <c r="N122" i="110"/>
  <c r="AD122" i="110" s="1"/>
  <c r="M122" i="110"/>
  <c r="AC122" i="110" s="1"/>
  <c r="L122" i="110"/>
  <c r="AB122" i="110" s="1"/>
  <c r="K122" i="110"/>
  <c r="AA122" i="110" s="1"/>
  <c r="J122" i="110"/>
  <c r="Z122" i="110" s="1"/>
  <c r="H122" i="110"/>
  <c r="X122" i="110" s="1"/>
  <c r="G122" i="110"/>
  <c r="W122" i="110" s="1"/>
  <c r="F122" i="110"/>
  <c r="V122" i="110" s="1"/>
  <c r="E122" i="110"/>
  <c r="U122" i="110" s="1"/>
  <c r="D122" i="110"/>
  <c r="T122" i="110" s="1"/>
  <c r="O108" i="110"/>
  <c r="AE108" i="110" s="1"/>
  <c r="N108" i="110"/>
  <c r="AD108" i="110" s="1"/>
  <c r="M108" i="110"/>
  <c r="AC108" i="110" s="1"/>
  <c r="L108" i="110"/>
  <c r="AB108" i="110" s="1"/>
  <c r="K108" i="110"/>
  <c r="AA108" i="110" s="1"/>
  <c r="J108" i="110"/>
  <c r="Z108" i="110" s="1"/>
  <c r="I108" i="110"/>
  <c r="Y108" i="110" s="1"/>
  <c r="H108" i="110"/>
  <c r="X108" i="110" s="1"/>
  <c r="G108" i="110"/>
  <c r="W108" i="110" s="1"/>
  <c r="F108" i="110"/>
  <c r="V108" i="110" s="1"/>
  <c r="E108" i="110"/>
  <c r="U108" i="110" s="1"/>
  <c r="D108" i="110"/>
  <c r="T108" i="110" s="1"/>
  <c r="O101" i="110"/>
  <c r="AE101" i="110" s="1"/>
  <c r="N101" i="110"/>
  <c r="AD101" i="110" s="1"/>
  <c r="M101" i="110"/>
  <c r="AC101" i="110" s="1"/>
  <c r="L101" i="110"/>
  <c r="AB101" i="110" s="1"/>
  <c r="K101" i="110"/>
  <c r="AA101" i="110" s="1"/>
  <c r="J101" i="110"/>
  <c r="Z101" i="110" s="1"/>
  <c r="I101" i="110"/>
  <c r="Y101" i="110" s="1"/>
  <c r="H101" i="110"/>
  <c r="X101" i="110" s="1"/>
  <c r="G101" i="110"/>
  <c r="W101" i="110" s="1"/>
  <c r="F101" i="110"/>
  <c r="V101" i="110" s="1"/>
  <c r="E101" i="110"/>
  <c r="U101" i="110" s="1"/>
  <c r="D101" i="110"/>
  <c r="T101" i="110" s="1"/>
  <c r="O87" i="110"/>
  <c r="AE87" i="110" s="1"/>
  <c r="N87" i="110"/>
  <c r="AD87" i="110" s="1"/>
  <c r="M87" i="110"/>
  <c r="AC87" i="110" s="1"/>
  <c r="L87" i="110"/>
  <c r="AB87" i="110" s="1"/>
  <c r="K87" i="110"/>
  <c r="AA87" i="110" s="1"/>
  <c r="J87" i="110"/>
  <c r="Z87" i="110" s="1"/>
  <c r="I87" i="110"/>
  <c r="Y87" i="110" s="1"/>
  <c r="H87" i="110"/>
  <c r="X87" i="110" s="1"/>
  <c r="G87" i="110"/>
  <c r="W87" i="110" s="1"/>
  <c r="F87" i="110"/>
  <c r="V87" i="110" s="1"/>
  <c r="E87" i="110"/>
  <c r="U87" i="110" s="1"/>
  <c r="D87" i="110"/>
  <c r="T87" i="110" s="1"/>
  <c r="O79" i="110"/>
  <c r="AE79" i="110" s="1"/>
  <c r="N79" i="110"/>
  <c r="AD79" i="110" s="1"/>
  <c r="M79" i="110"/>
  <c r="AC79" i="110" s="1"/>
  <c r="L79" i="110"/>
  <c r="AB79" i="110" s="1"/>
  <c r="K79" i="110"/>
  <c r="AA79" i="110" s="1"/>
  <c r="J79" i="110"/>
  <c r="Z79" i="110" s="1"/>
  <c r="I79" i="110"/>
  <c r="Y79" i="110" s="1"/>
  <c r="Q174" i="105" l="1"/>
  <c r="Q77" i="105"/>
  <c r="P77" i="105"/>
  <c r="P174" i="105"/>
  <c r="S172" i="103"/>
  <c r="Z172" i="103"/>
  <c r="Y172" i="103"/>
  <c r="P178" i="103"/>
  <c r="Y83" i="103"/>
  <c r="R86" i="103"/>
  <c r="S86" i="103" s="1"/>
  <c r="Y86" i="103"/>
  <c r="P77" i="104"/>
  <c r="P174" i="104"/>
  <c r="R172" i="103"/>
  <c r="P84" i="103"/>
  <c r="D157" i="110"/>
  <c r="T157" i="110" s="1"/>
  <c r="N11" i="127"/>
  <c r="P87" i="103"/>
  <c r="Z87" i="103" s="1"/>
  <c r="E157" i="110"/>
  <c r="U157" i="110" s="1"/>
  <c r="I157" i="110"/>
  <c r="Y157" i="110" s="1"/>
  <c r="H157" i="110"/>
  <c r="X157" i="110" s="1"/>
  <c r="J157" i="110"/>
  <c r="Z157" i="110" s="1"/>
  <c r="G157" i="110"/>
  <c r="W157" i="110" s="1"/>
  <c r="K157" i="110"/>
  <c r="AA157" i="110" s="1"/>
  <c r="L157" i="110"/>
  <c r="AB157" i="110" s="1"/>
  <c r="F157" i="110"/>
  <c r="V157" i="110" s="1"/>
  <c r="M157" i="110"/>
  <c r="AC157" i="110" s="1"/>
  <c r="N157" i="110"/>
  <c r="AD157" i="110" s="1"/>
  <c r="O157" i="110"/>
  <c r="AE157" i="110" s="1"/>
  <c r="U2" i="106"/>
  <c r="Z2" i="106"/>
  <c r="W2" i="106"/>
  <c r="AE2" i="106"/>
  <c r="AF2" i="106"/>
  <c r="AB2" i="106"/>
  <c r="AA2" i="106"/>
  <c r="AC2" i="106"/>
  <c r="AD2" i="106"/>
  <c r="V2" i="106"/>
  <c r="Y2" i="106"/>
  <c r="X2" i="106"/>
  <c r="S178" i="103" l="1"/>
  <c r="Z178" i="103"/>
  <c r="Y178" i="103"/>
  <c r="Y84" i="103"/>
  <c r="Z84" i="103"/>
  <c r="R178" i="103"/>
  <c r="R87" i="103"/>
  <c r="S87" i="103" s="1"/>
  <c r="Y87" i="103"/>
  <c r="R84" i="103"/>
  <c r="S84" i="103" s="1"/>
  <c r="P176" i="103"/>
  <c r="P175" i="103"/>
  <c r="N168" i="110"/>
  <c r="M168" i="110"/>
  <c r="F168" i="110"/>
  <c r="L168" i="110"/>
  <c r="K168" i="110"/>
  <c r="G168" i="110"/>
  <c r="J168" i="110"/>
  <c r="H168" i="110"/>
  <c r="I168" i="110"/>
  <c r="E168" i="110"/>
  <c r="D171" i="110"/>
  <c r="O168" i="110"/>
  <c r="D168" i="110"/>
  <c r="AB39" i="109"/>
  <c r="AA39" i="109"/>
  <c r="Z39" i="109"/>
  <c r="Y39" i="109"/>
  <c r="X39" i="109"/>
  <c r="W39" i="109"/>
  <c r="V39" i="109"/>
  <c r="U39" i="109"/>
  <c r="T39" i="109"/>
  <c r="S39" i="109"/>
  <c r="R39" i="109"/>
  <c r="AB38" i="109"/>
  <c r="AA38" i="109"/>
  <c r="Z38" i="109"/>
  <c r="Y38" i="109"/>
  <c r="X38" i="109"/>
  <c r="W38" i="109"/>
  <c r="V38" i="109"/>
  <c r="U38" i="109"/>
  <c r="T38" i="109"/>
  <c r="S38" i="109"/>
  <c r="R38" i="109"/>
  <c r="AB37" i="109"/>
  <c r="AA37" i="109"/>
  <c r="Z37" i="109"/>
  <c r="Y37" i="109"/>
  <c r="X37" i="109"/>
  <c r="W37" i="109"/>
  <c r="V37" i="109"/>
  <c r="U37" i="109"/>
  <c r="T37" i="109"/>
  <c r="S37" i="109"/>
  <c r="R37" i="109"/>
  <c r="AB36" i="109"/>
  <c r="AA36" i="109"/>
  <c r="Z36" i="109"/>
  <c r="Y36" i="109"/>
  <c r="X36" i="109"/>
  <c r="W36" i="109"/>
  <c r="V36" i="109"/>
  <c r="U36" i="109"/>
  <c r="T36" i="109"/>
  <c r="S36" i="109"/>
  <c r="R36" i="109"/>
  <c r="AB35" i="109"/>
  <c r="AA35" i="109"/>
  <c r="Z35" i="109"/>
  <c r="Y35" i="109"/>
  <c r="X35" i="109"/>
  <c r="W35" i="109"/>
  <c r="V35" i="109"/>
  <c r="U35" i="109"/>
  <c r="T35" i="109"/>
  <c r="S35" i="109"/>
  <c r="R35" i="109"/>
  <c r="AB34" i="109"/>
  <c r="AA34" i="109"/>
  <c r="Z34" i="109"/>
  <c r="Y34" i="109"/>
  <c r="X34" i="109"/>
  <c r="W34" i="109"/>
  <c r="V34" i="109"/>
  <c r="U34" i="109"/>
  <c r="T34" i="109"/>
  <c r="S34" i="109"/>
  <c r="R34" i="109"/>
  <c r="AB33" i="109"/>
  <c r="AA33" i="109"/>
  <c r="Z33" i="109"/>
  <c r="Y33" i="109"/>
  <c r="X33" i="109"/>
  <c r="W33" i="109"/>
  <c r="V33" i="109"/>
  <c r="U33" i="109"/>
  <c r="T33" i="109"/>
  <c r="S33" i="109"/>
  <c r="R33" i="109"/>
  <c r="AB31" i="109"/>
  <c r="AA31" i="109"/>
  <c r="Z31" i="109"/>
  <c r="Y31" i="109"/>
  <c r="X31" i="109"/>
  <c r="W31" i="109"/>
  <c r="V31" i="109"/>
  <c r="U31" i="109"/>
  <c r="T31" i="109"/>
  <c r="S31" i="109"/>
  <c r="R31" i="109"/>
  <c r="AB30" i="109"/>
  <c r="AA30" i="109"/>
  <c r="Z30" i="109"/>
  <c r="Y30" i="109"/>
  <c r="X30" i="109"/>
  <c r="W30" i="109"/>
  <c r="V30" i="109"/>
  <c r="U30" i="109"/>
  <c r="T30" i="109"/>
  <c r="S30" i="109"/>
  <c r="R30" i="109"/>
  <c r="AB29" i="109"/>
  <c r="AA29" i="109"/>
  <c r="Z29" i="109"/>
  <c r="Y29" i="109"/>
  <c r="X29" i="109"/>
  <c r="W29" i="109"/>
  <c r="V29" i="109"/>
  <c r="U29" i="109"/>
  <c r="T29" i="109"/>
  <c r="S29" i="109"/>
  <c r="R29" i="109"/>
  <c r="AB28" i="109"/>
  <c r="AA28" i="109"/>
  <c r="Z28" i="109"/>
  <c r="Y28" i="109"/>
  <c r="X28" i="109"/>
  <c r="W28" i="109"/>
  <c r="V28" i="109"/>
  <c r="U28" i="109"/>
  <c r="T28" i="109"/>
  <c r="S28" i="109"/>
  <c r="R28" i="109"/>
  <c r="AB27" i="109"/>
  <c r="AA27" i="109"/>
  <c r="Z27" i="109"/>
  <c r="Y27" i="109"/>
  <c r="X27" i="109"/>
  <c r="W27" i="109"/>
  <c r="V27" i="109"/>
  <c r="U27" i="109"/>
  <c r="T27" i="109"/>
  <c r="S27" i="109"/>
  <c r="R27" i="109"/>
  <c r="AB26" i="109"/>
  <c r="AA26" i="109"/>
  <c r="Z26" i="109"/>
  <c r="Y26" i="109"/>
  <c r="X26" i="109"/>
  <c r="W26" i="109"/>
  <c r="V26" i="109"/>
  <c r="U26" i="109"/>
  <c r="T26" i="109"/>
  <c r="S26" i="109"/>
  <c r="R26" i="109"/>
  <c r="AB25" i="109"/>
  <c r="AA25" i="109"/>
  <c r="Z25" i="109"/>
  <c r="Y25" i="109"/>
  <c r="X25" i="109"/>
  <c r="W25" i="109"/>
  <c r="V25" i="109"/>
  <c r="U25" i="109"/>
  <c r="T25" i="109"/>
  <c r="S25" i="109"/>
  <c r="R25" i="109"/>
  <c r="AB24" i="109"/>
  <c r="AA24" i="109"/>
  <c r="Z24" i="109"/>
  <c r="Y24" i="109"/>
  <c r="X24" i="109"/>
  <c r="W24" i="109"/>
  <c r="V24" i="109"/>
  <c r="U24" i="109"/>
  <c r="T24" i="109"/>
  <c r="S24" i="109"/>
  <c r="R24" i="109"/>
  <c r="AB23" i="109"/>
  <c r="AA23" i="109"/>
  <c r="Z23" i="109"/>
  <c r="Y23" i="109"/>
  <c r="X23" i="109"/>
  <c r="W23" i="109"/>
  <c r="V23" i="109"/>
  <c r="U23" i="109"/>
  <c r="T23" i="109"/>
  <c r="S23" i="109"/>
  <c r="R23" i="109"/>
  <c r="AB22" i="109"/>
  <c r="AA22" i="109"/>
  <c r="Z22" i="109"/>
  <c r="Y22" i="109"/>
  <c r="X22" i="109"/>
  <c r="W22" i="109"/>
  <c r="V22" i="109"/>
  <c r="U22" i="109"/>
  <c r="T22" i="109"/>
  <c r="S22" i="109"/>
  <c r="R22" i="109"/>
  <c r="AB21" i="109"/>
  <c r="AA21" i="109"/>
  <c r="Z21" i="109"/>
  <c r="Y21" i="109"/>
  <c r="X21" i="109"/>
  <c r="W21" i="109"/>
  <c r="V21" i="109"/>
  <c r="U21" i="109"/>
  <c r="T21" i="109"/>
  <c r="S21" i="109"/>
  <c r="R21" i="109"/>
  <c r="AB20" i="109"/>
  <c r="AA20" i="109"/>
  <c r="Z20" i="109"/>
  <c r="Y20" i="109"/>
  <c r="X20" i="109"/>
  <c r="W20" i="109"/>
  <c r="V20" i="109"/>
  <c r="U20" i="109"/>
  <c r="T20" i="109"/>
  <c r="S20" i="109"/>
  <c r="R20" i="109"/>
  <c r="AB19" i="109"/>
  <c r="AA19" i="109"/>
  <c r="Z19" i="109"/>
  <c r="Y19" i="109"/>
  <c r="X19" i="109"/>
  <c r="W19" i="109"/>
  <c r="V19" i="109"/>
  <c r="U19" i="109"/>
  <c r="T19" i="109"/>
  <c r="S19" i="109"/>
  <c r="R19" i="109"/>
  <c r="AB18" i="109"/>
  <c r="AA18" i="109"/>
  <c r="Z18" i="109"/>
  <c r="Y18" i="109"/>
  <c r="X18" i="109"/>
  <c r="W18" i="109"/>
  <c r="V18" i="109"/>
  <c r="U18" i="109"/>
  <c r="T18" i="109"/>
  <c r="S18" i="109"/>
  <c r="R18" i="109"/>
  <c r="AB17" i="109"/>
  <c r="AA17" i="109"/>
  <c r="Z17" i="109"/>
  <c r="Y17" i="109"/>
  <c r="X17" i="109"/>
  <c r="W17" i="109"/>
  <c r="V17" i="109"/>
  <c r="U17" i="109"/>
  <c r="T17" i="109"/>
  <c r="S17" i="109"/>
  <c r="R17" i="109"/>
  <c r="AB16" i="109"/>
  <c r="AA16" i="109"/>
  <c r="Z16" i="109"/>
  <c r="Y16" i="109"/>
  <c r="X16" i="109"/>
  <c r="W16" i="109"/>
  <c r="V16" i="109"/>
  <c r="U16" i="109"/>
  <c r="T16" i="109"/>
  <c r="S16" i="109"/>
  <c r="R16" i="109"/>
  <c r="AB15" i="109"/>
  <c r="AA15" i="109"/>
  <c r="Z15" i="109"/>
  <c r="Y15" i="109"/>
  <c r="X15" i="109"/>
  <c r="W15" i="109"/>
  <c r="V15" i="109"/>
  <c r="U15" i="109"/>
  <c r="T15" i="109"/>
  <c r="S15" i="109"/>
  <c r="R15" i="109"/>
  <c r="AB14" i="109"/>
  <c r="AA14" i="109"/>
  <c r="Z14" i="109"/>
  <c r="Y14" i="109"/>
  <c r="X14" i="109"/>
  <c r="W14" i="109"/>
  <c r="V14" i="109"/>
  <c r="U14" i="109"/>
  <c r="T14" i="109"/>
  <c r="S14" i="109"/>
  <c r="R14" i="109"/>
  <c r="AB13" i="109"/>
  <c r="AA13" i="109"/>
  <c r="Z13" i="109"/>
  <c r="Y13" i="109"/>
  <c r="X13" i="109"/>
  <c r="W13" i="109"/>
  <c r="V13" i="109"/>
  <c r="U13" i="109"/>
  <c r="T13" i="109"/>
  <c r="S13" i="109"/>
  <c r="R13" i="109"/>
  <c r="AB12" i="109"/>
  <c r="AA12" i="109"/>
  <c r="Z12" i="109"/>
  <c r="Y12" i="109"/>
  <c r="X12" i="109"/>
  <c r="W12" i="109"/>
  <c r="V12" i="109"/>
  <c r="U12" i="109"/>
  <c r="T12" i="109"/>
  <c r="S12" i="109"/>
  <c r="R12" i="109"/>
  <c r="AB10" i="109"/>
  <c r="AA10" i="109"/>
  <c r="Z10" i="109"/>
  <c r="Y10" i="109"/>
  <c r="X10" i="109"/>
  <c r="W10" i="109"/>
  <c r="V10" i="109"/>
  <c r="U10" i="109"/>
  <c r="T10" i="109"/>
  <c r="S10" i="109"/>
  <c r="R10" i="109"/>
  <c r="AB9" i="109"/>
  <c r="AA9" i="109"/>
  <c r="Z9" i="109"/>
  <c r="Y9" i="109"/>
  <c r="X9" i="109"/>
  <c r="W9" i="109"/>
  <c r="V9" i="109"/>
  <c r="U9" i="109"/>
  <c r="T9" i="109"/>
  <c r="S9" i="109"/>
  <c r="R9" i="109"/>
  <c r="AB8" i="109"/>
  <c r="AA8" i="109"/>
  <c r="Z8" i="109"/>
  <c r="Y8" i="109"/>
  <c r="X8" i="109"/>
  <c r="W8" i="109"/>
  <c r="V8" i="109"/>
  <c r="U8" i="109"/>
  <c r="T8" i="109"/>
  <c r="S8" i="109"/>
  <c r="R8" i="109"/>
  <c r="AB7" i="109"/>
  <c r="AA7" i="109"/>
  <c r="Z7" i="109"/>
  <c r="Y7" i="109"/>
  <c r="X7" i="109"/>
  <c r="W7" i="109"/>
  <c r="V7" i="109"/>
  <c r="U7" i="109"/>
  <c r="T7" i="109"/>
  <c r="S7" i="109"/>
  <c r="R7" i="109"/>
  <c r="Q39" i="109"/>
  <c r="Q38" i="109"/>
  <c r="Q37" i="109"/>
  <c r="Q36" i="109"/>
  <c r="Q35" i="109"/>
  <c r="Q34" i="109"/>
  <c r="Q33" i="109"/>
  <c r="Q31" i="109"/>
  <c r="Q30" i="109"/>
  <c r="Q29" i="109"/>
  <c r="Q28" i="109"/>
  <c r="Q27" i="109"/>
  <c r="Q26" i="109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10" i="109"/>
  <c r="Q9" i="109"/>
  <c r="Q8" i="109"/>
  <c r="Q7" i="109"/>
  <c r="S176" i="103" l="1"/>
  <c r="Z176" i="103"/>
  <c r="Y176" i="103"/>
  <c r="S175" i="103"/>
  <c r="Z175" i="103"/>
  <c r="Y175" i="103"/>
  <c r="R175" i="103"/>
  <c r="R176" i="103"/>
  <c r="AC29" i="109"/>
  <c r="AB11" i="109"/>
  <c r="AC38" i="109"/>
  <c r="Z11" i="109"/>
  <c r="AC26" i="109"/>
  <c r="AC39" i="109"/>
  <c r="AC25" i="109"/>
  <c r="AC27" i="109"/>
  <c r="AC28" i="109"/>
  <c r="W11" i="109"/>
  <c r="AC13" i="109"/>
  <c r="AC14" i="109"/>
  <c r="AC18" i="109"/>
  <c r="AC30" i="109"/>
  <c r="Q32" i="109"/>
  <c r="AC19" i="109"/>
  <c r="AC31" i="109"/>
  <c r="AC20" i="109"/>
  <c r="Q40" i="109"/>
  <c r="AC8" i="109"/>
  <c r="AC34" i="109"/>
  <c r="AC15" i="109"/>
  <c r="AC17" i="109"/>
  <c r="AC21" i="109"/>
  <c r="AC9" i="109"/>
  <c r="AC22" i="109"/>
  <c r="AC35" i="109"/>
  <c r="Y11" i="109"/>
  <c r="R11" i="109"/>
  <c r="AC10" i="109"/>
  <c r="AC36" i="109"/>
  <c r="AC23" i="109"/>
  <c r="AC12" i="109"/>
  <c r="AC24" i="109"/>
  <c r="AC37" i="109"/>
  <c r="R40" i="109"/>
  <c r="Q11" i="109"/>
  <c r="AC16" i="109"/>
  <c r="X11" i="109"/>
  <c r="U40" i="109"/>
  <c r="AC7" i="109"/>
  <c r="Y40" i="109"/>
  <c r="AC33" i="109"/>
  <c r="AB32" i="109"/>
  <c r="X40" i="109"/>
  <c r="Z40" i="109"/>
  <c r="S32" i="109"/>
  <c r="AA40" i="109"/>
  <c r="S40" i="109"/>
  <c r="S11" i="109"/>
  <c r="T11" i="109"/>
  <c r="T40" i="109"/>
  <c r="U11" i="109"/>
  <c r="V11" i="109"/>
  <c r="X32" i="109"/>
  <c r="R32" i="109"/>
  <c r="U32" i="109"/>
  <c r="Y32" i="109"/>
  <c r="T32" i="109"/>
  <c r="AA11" i="109"/>
  <c r="Z32" i="109"/>
  <c r="V32" i="109"/>
  <c r="V40" i="109"/>
  <c r="AA32" i="109"/>
  <c r="W32" i="109"/>
  <c r="W40" i="109"/>
  <c r="AB40" i="109"/>
  <c r="W43" i="109" l="1"/>
  <c r="AC32" i="109"/>
  <c r="Y43" i="109"/>
  <c r="T43" i="109"/>
  <c r="U43" i="109"/>
  <c r="AC11" i="109"/>
  <c r="R43" i="109"/>
  <c r="AA43" i="109"/>
  <c r="Z43" i="109"/>
  <c r="Q43" i="109"/>
  <c r="AB43" i="109"/>
  <c r="V43" i="109"/>
  <c r="S43" i="109"/>
  <c r="AC40" i="109"/>
  <c r="X43" i="109"/>
  <c r="AC43" i="109" l="1"/>
  <c r="S68" i="104" l="1"/>
  <c r="S67" i="104"/>
  <c r="P55" i="103"/>
  <c r="D114" i="103" l="1"/>
  <c r="I112" i="103"/>
  <c r="O112" i="103"/>
  <c r="M96" i="103"/>
  <c r="J94" i="103"/>
  <c r="L94" i="103"/>
  <c r="M94" i="103"/>
  <c r="N97" i="105"/>
  <c r="N96" i="105"/>
  <c r="N95" i="105"/>
  <c r="N94" i="105"/>
  <c r="N135" i="105"/>
  <c r="N133" i="105"/>
  <c r="N132" i="105"/>
  <c r="N131" i="105"/>
  <c r="N129" i="105"/>
  <c r="N128" i="105"/>
  <c r="N127" i="105"/>
  <c r="N126" i="105"/>
  <c r="N125" i="105"/>
  <c r="N124" i="105"/>
  <c r="N123" i="105"/>
  <c r="N114" i="105"/>
  <c r="N112" i="105"/>
  <c r="N111" i="105"/>
  <c r="N110" i="105"/>
  <c r="N109" i="105"/>
  <c r="N108" i="105"/>
  <c r="N106" i="105"/>
  <c r="N105" i="105"/>
  <c r="N63" i="105"/>
  <c r="N59" i="105"/>
  <c r="N58" i="105"/>
  <c r="N57" i="105"/>
  <c r="N52" i="105"/>
  <c r="N46" i="105"/>
  <c r="N40" i="105"/>
  <c r="N28" i="105"/>
  <c r="N162" i="105" s="1"/>
  <c r="N19" i="105"/>
  <c r="N18" i="105"/>
  <c r="N12" i="105"/>
  <c r="N9" i="105"/>
  <c r="N135" i="104"/>
  <c r="N129" i="104"/>
  <c r="N114" i="104"/>
  <c r="N112" i="104"/>
  <c r="N106" i="104"/>
  <c r="N105" i="104"/>
  <c r="N71" i="110" s="1"/>
  <c r="AD71" i="110" s="1"/>
  <c r="N63" i="104"/>
  <c r="N59" i="104"/>
  <c r="N58" i="104"/>
  <c r="N57" i="104"/>
  <c r="N52" i="104"/>
  <c r="N46" i="104"/>
  <c r="N40" i="104"/>
  <c r="N128" i="104"/>
  <c r="N124" i="104"/>
  <c r="N133" i="104"/>
  <c r="N109" i="104"/>
  <c r="N28" i="104"/>
  <c r="N127" i="104"/>
  <c r="N19" i="104"/>
  <c r="N18" i="104"/>
  <c r="N12" i="104"/>
  <c r="N132" i="104"/>
  <c r="N110" i="104"/>
  <c r="N9" i="104"/>
  <c r="N123" i="104"/>
  <c r="N131" i="104"/>
  <c r="N126" i="104"/>
  <c r="N111" i="104"/>
  <c r="N97" i="104"/>
  <c r="N96" i="104"/>
  <c r="N95" i="104"/>
  <c r="N94" i="104"/>
  <c r="N125" i="104"/>
  <c r="G135" i="105"/>
  <c r="G133" i="105"/>
  <c r="G132" i="105"/>
  <c r="G131" i="105"/>
  <c r="G129" i="105"/>
  <c r="G128" i="105"/>
  <c r="G127" i="105"/>
  <c r="G126" i="105"/>
  <c r="G125" i="105"/>
  <c r="G124" i="105"/>
  <c r="G123" i="105"/>
  <c r="G114" i="105"/>
  <c r="G112" i="105"/>
  <c r="G111" i="105"/>
  <c r="G110" i="105"/>
  <c r="G109" i="105"/>
  <c r="G108" i="105"/>
  <c r="G106" i="105"/>
  <c r="G105" i="105"/>
  <c r="G63" i="105"/>
  <c r="G59" i="105"/>
  <c r="G58" i="105"/>
  <c r="G57" i="105"/>
  <c r="G52" i="105"/>
  <c r="G46" i="105"/>
  <c r="G40" i="105"/>
  <c r="G28" i="105"/>
  <c r="G162" i="105" s="1"/>
  <c r="G9" i="105"/>
  <c r="G135" i="104"/>
  <c r="G133" i="104"/>
  <c r="G132" i="104"/>
  <c r="G131" i="104"/>
  <c r="G129" i="104"/>
  <c r="G128" i="104"/>
  <c r="G127" i="104"/>
  <c r="G126" i="104"/>
  <c r="G125" i="104"/>
  <c r="G124" i="104"/>
  <c r="G123" i="104"/>
  <c r="G114" i="104"/>
  <c r="G112" i="104"/>
  <c r="G111" i="104"/>
  <c r="G110" i="104"/>
  <c r="G97" i="105"/>
  <c r="G96" i="105"/>
  <c r="G95" i="105"/>
  <c r="G94" i="105"/>
  <c r="G19" i="104"/>
  <c r="G18" i="104"/>
  <c r="G12" i="104"/>
  <c r="G9" i="104"/>
  <c r="G97" i="104"/>
  <c r="G96" i="104"/>
  <c r="G95" i="104"/>
  <c r="G94" i="104"/>
  <c r="G19" i="105"/>
  <c r="G106" i="104"/>
  <c r="G105" i="104"/>
  <c r="G71" i="110" s="1"/>
  <c r="W71" i="110" s="1"/>
  <c r="G63" i="104"/>
  <c r="G59" i="104"/>
  <c r="G58" i="104"/>
  <c r="G57" i="104"/>
  <c r="G52" i="104"/>
  <c r="G46" i="104"/>
  <c r="G40" i="104"/>
  <c r="G18" i="105"/>
  <c r="G12" i="105"/>
  <c r="G108" i="104"/>
  <c r="G109" i="104"/>
  <c r="G28" i="104"/>
  <c r="G142" i="110" s="1"/>
  <c r="W142" i="110" s="1"/>
  <c r="O97" i="105"/>
  <c r="O96" i="105"/>
  <c r="O95" i="105"/>
  <c r="O94" i="105"/>
  <c r="O135" i="105"/>
  <c r="O133" i="105"/>
  <c r="O132" i="105"/>
  <c r="O131" i="105"/>
  <c r="O129" i="105"/>
  <c r="O128" i="105"/>
  <c r="O127" i="105"/>
  <c r="O126" i="105"/>
  <c r="O125" i="105"/>
  <c r="O124" i="105"/>
  <c r="O123" i="105"/>
  <c r="O114" i="105"/>
  <c r="O112" i="105"/>
  <c r="O111" i="105"/>
  <c r="O110" i="105"/>
  <c r="O109" i="105"/>
  <c r="O108" i="105"/>
  <c r="O28" i="105"/>
  <c r="O162" i="105" s="1"/>
  <c r="O19" i="105"/>
  <c r="O18" i="105"/>
  <c r="O12" i="105"/>
  <c r="O9" i="105"/>
  <c r="O135" i="104"/>
  <c r="O133" i="104"/>
  <c r="O132" i="104"/>
  <c r="O131" i="104"/>
  <c r="O129" i="104"/>
  <c r="O128" i="104"/>
  <c r="O127" i="104"/>
  <c r="O126" i="104"/>
  <c r="O125" i="104"/>
  <c r="O52" i="105"/>
  <c r="O106" i="104"/>
  <c r="O105" i="104"/>
  <c r="O71" i="110" s="1"/>
  <c r="AE71" i="110" s="1"/>
  <c r="O63" i="104"/>
  <c r="O59" i="104"/>
  <c r="O58" i="104"/>
  <c r="O57" i="104"/>
  <c r="O52" i="104"/>
  <c r="O46" i="104"/>
  <c r="O40" i="104"/>
  <c r="O46" i="105"/>
  <c r="O124" i="104"/>
  <c r="O40" i="105"/>
  <c r="O109" i="104"/>
  <c r="O28" i="104"/>
  <c r="O19" i="104"/>
  <c r="O18" i="104"/>
  <c r="O12" i="104"/>
  <c r="O106" i="105"/>
  <c r="O110" i="104"/>
  <c r="O9" i="104"/>
  <c r="O105" i="105"/>
  <c r="O63" i="105"/>
  <c r="O123" i="104"/>
  <c r="O111" i="104"/>
  <c r="O59" i="105"/>
  <c r="O97" i="104"/>
  <c r="O96" i="104"/>
  <c r="O95" i="104"/>
  <c r="O94" i="104"/>
  <c r="O58" i="105"/>
  <c r="O57" i="105"/>
  <c r="O114" i="104"/>
  <c r="O112" i="104"/>
  <c r="K19" i="105"/>
  <c r="K18" i="105"/>
  <c r="K12" i="105"/>
  <c r="K9" i="105"/>
  <c r="K135" i="104"/>
  <c r="K133" i="104"/>
  <c r="K132" i="104"/>
  <c r="K131" i="104"/>
  <c r="K129" i="104"/>
  <c r="K128" i="104"/>
  <c r="K127" i="104"/>
  <c r="K126" i="104"/>
  <c r="K125" i="104"/>
  <c r="K124" i="104"/>
  <c r="K123" i="104"/>
  <c r="K114" i="104"/>
  <c r="K112" i="104"/>
  <c r="K97" i="105"/>
  <c r="K96" i="105"/>
  <c r="K95" i="105"/>
  <c r="K94" i="105"/>
  <c r="K135" i="105"/>
  <c r="K133" i="105"/>
  <c r="K132" i="105"/>
  <c r="K131" i="105"/>
  <c r="K129" i="105"/>
  <c r="K128" i="105"/>
  <c r="K127" i="105"/>
  <c r="K126" i="105"/>
  <c r="K125" i="105"/>
  <c r="K124" i="105"/>
  <c r="K123" i="105"/>
  <c r="K114" i="105"/>
  <c r="K112" i="105"/>
  <c r="K111" i="105"/>
  <c r="K110" i="105"/>
  <c r="K109" i="105"/>
  <c r="K108" i="105"/>
  <c r="K106" i="105"/>
  <c r="K105" i="105"/>
  <c r="K63" i="105"/>
  <c r="K59" i="105"/>
  <c r="K58" i="105"/>
  <c r="K57" i="105"/>
  <c r="K52" i="105"/>
  <c r="K46" i="105"/>
  <c r="K40" i="105"/>
  <c r="K28" i="105"/>
  <c r="K162" i="105" s="1"/>
  <c r="K97" i="104"/>
  <c r="K96" i="104"/>
  <c r="K95" i="104"/>
  <c r="K94" i="104"/>
  <c r="K106" i="104"/>
  <c r="K105" i="104"/>
  <c r="K71" i="110" s="1"/>
  <c r="AA71" i="110" s="1"/>
  <c r="K63" i="104"/>
  <c r="K59" i="104"/>
  <c r="K58" i="104"/>
  <c r="K57" i="104"/>
  <c r="K52" i="104"/>
  <c r="K46" i="104"/>
  <c r="K40" i="104"/>
  <c r="K9" i="104"/>
  <c r="K109" i="104"/>
  <c r="K28" i="104"/>
  <c r="K19" i="104"/>
  <c r="K18" i="104"/>
  <c r="K12" i="104"/>
  <c r="K110" i="104"/>
  <c r="K111" i="104"/>
  <c r="E135" i="105"/>
  <c r="E133" i="105"/>
  <c r="E132" i="105"/>
  <c r="E131" i="105"/>
  <c r="E129" i="105"/>
  <c r="E128" i="105"/>
  <c r="E127" i="105"/>
  <c r="E126" i="105"/>
  <c r="E125" i="105"/>
  <c r="E124" i="105"/>
  <c r="E123" i="105"/>
  <c r="E114" i="105"/>
  <c r="E112" i="105"/>
  <c r="E111" i="105"/>
  <c r="E110" i="105"/>
  <c r="E109" i="105"/>
  <c r="E108" i="105"/>
  <c r="E106" i="105"/>
  <c r="E105" i="105"/>
  <c r="E63" i="105"/>
  <c r="E59" i="105"/>
  <c r="E58" i="105"/>
  <c r="E57" i="105"/>
  <c r="E52" i="105"/>
  <c r="E46" i="105"/>
  <c r="E40" i="105"/>
  <c r="E28" i="105"/>
  <c r="E19" i="105"/>
  <c r="E18" i="105"/>
  <c r="E12" i="105"/>
  <c r="E9" i="105"/>
  <c r="E135" i="104"/>
  <c r="E133" i="104"/>
  <c r="E132" i="104"/>
  <c r="E131" i="104"/>
  <c r="E129" i="104"/>
  <c r="E97" i="105"/>
  <c r="E96" i="105"/>
  <c r="E95" i="105"/>
  <c r="E94" i="105"/>
  <c r="E109" i="104"/>
  <c r="E52" i="104"/>
  <c r="E125" i="104"/>
  <c r="E110" i="104"/>
  <c r="E28" i="104"/>
  <c r="E142" i="110" s="1"/>
  <c r="U142" i="110" s="1"/>
  <c r="E19" i="104"/>
  <c r="E18" i="104"/>
  <c r="E12" i="104"/>
  <c r="E111" i="104"/>
  <c r="E9" i="104"/>
  <c r="E58" i="104"/>
  <c r="E128" i="104"/>
  <c r="E114" i="104"/>
  <c r="E57" i="104"/>
  <c r="E124" i="104"/>
  <c r="E112" i="104"/>
  <c r="E127" i="104"/>
  <c r="E97" i="104"/>
  <c r="E96" i="104"/>
  <c r="E95" i="104"/>
  <c r="E94" i="104"/>
  <c r="E46" i="104"/>
  <c r="E126" i="104"/>
  <c r="E123" i="104"/>
  <c r="E106" i="104"/>
  <c r="E105" i="104"/>
  <c r="E71" i="110" s="1"/>
  <c r="U71" i="110" s="1"/>
  <c r="E63" i="104"/>
  <c r="E40" i="104"/>
  <c r="E108" i="104"/>
  <c r="E59" i="104"/>
  <c r="I28" i="105"/>
  <c r="I162" i="105" s="1"/>
  <c r="I19" i="105"/>
  <c r="I18" i="105"/>
  <c r="I12" i="105"/>
  <c r="I9" i="105"/>
  <c r="I135" i="104"/>
  <c r="I133" i="104"/>
  <c r="I132" i="104"/>
  <c r="I131" i="104"/>
  <c r="I129" i="104"/>
  <c r="I128" i="104"/>
  <c r="I127" i="104"/>
  <c r="I126" i="104"/>
  <c r="I125" i="104"/>
  <c r="I124" i="104"/>
  <c r="I97" i="105"/>
  <c r="I96" i="105"/>
  <c r="I95" i="105"/>
  <c r="I94" i="105"/>
  <c r="I135" i="105"/>
  <c r="I133" i="105"/>
  <c r="I132" i="105"/>
  <c r="I131" i="105"/>
  <c r="I129" i="105"/>
  <c r="I128" i="105"/>
  <c r="I127" i="105"/>
  <c r="I126" i="105"/>
  <c r="I125" i="105"/>
  <c r="I124" i="105"/>
  <c r="I123" i="105"/>
  <c r="I114" i="105"/>
  <c r="I112" i="105"/>
  <c r="I111" i="105"/>
  <c r="I110" i="105"/>
  <c r="I109" i="105"/>
  <c r="I108" i="105"/>
  <c r="I106" i="105"/>
  <c r="I105" i="105"/>
  <c r="I63" i="105"/>
  <c r="I59" i="105"/>
  <c r="I58" i="105"/>
  <c r="I57" i="105"/>
  <c r="I52" i="105"/>
  <c r="I46" i="105"/>
  <c r="I40" i="105"/>
  <c r="I110" i="103"/>
  <c r="I97" i="103"/>
  <c r="I111" i="104"/>
  <c r="I129" i="103"/>
  <c r="I109" i="103"/>
  <c r="I96" i="103"/>
  <c r="I128" i="103"/>
  <c r="I108" i="103"/>
  <c r="I95" i="103"/>
  <c r="I40" i="103"/>
  <c r="I114" i="104"/>
  <c r="I112" i="104"/>
  <c r="I97" i="104"/>
  <c r="I96" i="104"/>
  <c r="I95" i="104"/>
  <c r="I94" i="104"/>
  <c r="I127" i="103"/>
  <c r="I126" i="103"/>
  <c r="I106" i="103"/>
  <c r="I28" i="104"/>
  <c r="I125" i="103"/>
  <c r="I105" i="103"/>
  <c r="I181" i="103"/>
  <c r="I28" i="103"/>
  <c r="I162" i="103" s="1"/>
  <c r="I18" i="103"/>
  <c r="I9" i="103"/>
  <c r="I106" i="104"/>
  <c r="I105" i="104"/>
  <c r="I71" i="110" s="1"/>
  <c r="Y71" i="110" s="1"/>
  <c r="I63" i="104"/>
  <c r="I59" i="104"/>
  <c r="I58" i="104"/>
  <c r="I57" i="104"/>
  <c r="I52" i="104"/>
  <c r="I46" i="104"/>
  <c r="I40" i="104"/>
  <c r="I124" i="103"/>
  <c r="I19" i="103"/>
  <c r="I19" i="104"/>
  <c r="I135" i="103"/>
  <c r="I123" i="103"/>
  <c r="I58" i="103"/>
  <c r="I114" i="103"/>
  <c r="I59" i="103"/>
  <c r="I12" i="103"/>
  <c r="I123" i="104"/>
  <c r="I109" i="104"/>
  <c r="I57" i="103"/>
  <c r="I18" i="104"/>
  <c r="I110" i="104"/>
  <c r="I9" i="104"/>
  <c r="I131" i="103"/>
  <c r="I111" i="103"/>
  <c r="I52" i="103"/>
  <c r="I46" i="103"/>
  <c r="I12" i="104"/>
  <c r="H28" i="105"/>
  <c r="H162" i="105" s="1"/>
  <c r="H19" i="105"/>
  <c r="H18" i="105"/>
  <c r="H12" i="105"/>
  <c r="H135" i="104"/>
  <c r="H133" i="104"/>
  <c r="H132" i="104"/>
  <c r="H131" i="104"/>
  <c r="H129" i="104"/>
  <c r="H128" i="104"/>
  <c r="H127" i="104"/>
  <c r="H126" i="104"/>
  <c r="H125" i="104"/>
  <c r="H124" i="104"/>
  <c r="H123" i="104"/>
  <c r="H114" i="104"/>
  <c r="H97" i="105"/>
  <c r="H96" i="105"/>
  <c r="H95" i="105"/>
  <c r="H94" i="105"/>
  <c r="H135" i="105"/>
  <c r="H133" i="105"/>
  <c r="H132" i="105"/>
  <c r="H131" i="105"/>
  <c r="H129" i="105"/>
  <c r="H128" i="105"/>
  <c r="H127" i="105"/>
  <c r="H126" i="105"/>
  <c r="H125" i="105"/>
  <c r="H124" i="105"/>
  <c r="H123" i="105"/>
  <c r="H114" i="105"/>
  <c r="H112" i="105"/>
  <c r="H111" i="105"/>
  <c r="H110" i="105"/>
  <c r="H109" i="105"/>
  <c r="H108" i="105"/>
  <c r="H106" i="105"/>
  <c r="H105" i="105"/>
  <c r="H63" i="105"/>
  <c r="H59" i="105"/>
  <c r="H58" i="105"/>
  <c r="H57" i="105"/>
  <c r="H52" i="105"/>
  <c r="H46" i="105"/>
  <c r="H40" i="105"/>
  <c r="H110" i="104"/>
  <c r="H9" i="104"/>
  <c r="H111" i="104"/>
  <c r="H112" i="104"/>
  <c r="H97" i="104"/>
  <c r="H96" i="104"/>
  <c r="H95" i="104"/>
  <c r="H94" i="104"/>
  <c r="H106" i="104"/>
  <c r="H105" i="104"/>
  <c r="H71" i="110" s="1"/>
  <c r="X71" i="110" s="1"/>
  <c r="H63" i="104"/>
  <c r="H59" i="104"/>
  <c r="H58" i="104"/>
  <c r="H57" i="104"/>
  <c r="H52" i="104"/>
  <c r="H46" i="104"/>
  <c r="H40" i="104"/>
  <c r="H28" i="104"/>
  <c r="H142" i="110" s="1"/>
  <c r="X142" i="110" s="1"/>
  <c r="H109" i="104"/>
  <c r="H9" i="105"/>
  <c r="H19" i="104"/>
  <c r="H18" i="104"/>
  <c r="H12" i="104"/>
  <c r="F135" i="105"/>
  <c r="F133" i="105"/>
  <c r="F132" i="105"/>
  <c r="F131" i="105"/>
  <c r="F129" i="105"/>
  <c r="F128" i="105"/>
  <c r="F127" i="105"/>
  <c r="F126" i="105"/>
  <c r="F125" i="105"/>
  <c r="F124" i="105"/>
  <c r="F123" i="105"/>
  <c r="F114" i="105"/>
  <c r="F112" i="105"/>
  <c r="F111" i="105"/>
  <c r="F110" i="105"/>
  <c r="F109" i="105"/>
  <c r="F108" i="105"/>
  <c r="F106" i="105"/>
  <c r="F105" i="105"/>
  <c r="F63" i="105"/>
  <c r="F59" i="105"/>
  <c r="F58" i="105"/>
  <c r="F57" i="105"/>
  <c r="F52" i="105"/>
  <c r="F46" i="105"/>
  <c r="F40" i="105"/>
  <c r="F19" i="105"/>
  <c r="F18" i="105"/>
  <c r="F12" i="105"/>
  <c r="F9" i="105"/>
  <c r="F135" i="104"/>
  <c r="F133" i="104"/>
  <c r="F132" i="104"/>
  <c r="F131" i="104"/>
  <c r="F129" i="104"/>
  <c r="F128" i="104"/>
  <c r="F127" i="104"/>
  <c r="F126" i="104"/>
  <c r="F125" i="104"/>
  <c r="F124" i="104"/>
  <c r="F123" i="104"/>
  <c r="F114" i="104"/>
  <c r="F112" i="104"/>
  <c r="F111" i="104"/>
  <c r="F110" i="104"/>
  <c r="F109" i="104"/>
  <c r="F108" i="104"/>
  <c r="F97" i="105"/>
  <c r="F96" i="105"/>
  <c r="F95" i="105"/>
  <c r="F94" i="105"/>
  <c r="F28" i="104"/>
  <c r="F142" i="110" s="1"/>
  <c r="V142" i="110" s="1"/>
  <c r="F19" i="104"/>
  <c r="F18" i="104"/>
  <c r="F12" i="104"/>
  <c r="F9" i="104"/>
  <c r="F97" i="104"/>
  <c r="F96" i="104"/>
  <c r="F95" i="104"/>
  <c r="F94" i="104"/>
  <c r="F28" i="105"/>
  <c r="F162" i="105" s="1"/>
  <c r="F106" i="104"/>
  <c r="F105" i="104"/>
  <c r="F71" i="110" s="1"/>
  <c r="V71" i="110" s="1"/>
  <c r="F63" i="104"/>
  <c r="F59" i="104"/>
  <c r="F58" i="104"/>
  <c r="F57" i="104"/>
  <c r="F52" i="104"/>
  <c r="F46" i="104"/>
  <c r="F40" i="104"/>
  <c r="L9" i="105"/>
  <c r="L135" i="104"/>
  <c r="L133" i="104"/>
  <c r="L132" i="104"/>
  <c r="L131" i="104"/>
  <c r="L129" i="104"/>
  <c r="L128" i="104"/>
  <c r="L127" i="104"/>
  <c r="L126" i="104"/>
  <c r="L125" i="104"/>
  <c r="L124" i="104"/>
  <c r="L123" i="104"/>
  <c r="L135" i="105"/>
  <c r="L133" i="105"/>
  <c r="L132" i="105"/>
  <c r="L131" i="105"/>
  <c r="L129" i="105"/>
  <c r="L128" i="105"/>
  <c r="L127" i="105"/>
  <c r="L126" i="105"/>
  <c r="L125" i="105"/>
  <c r="L124" i="105"/>
  <c r="L123" i="105"/>
  <c r="L114" i="105"/>
  <c r="L112" i="105"/>
  <c r="L111" i="105"/>
  <c r="L110" i="105"/>
  <c r="L109" i="105"/>
  <c r="L108" i="105"/>
  <c r="L106" i="105"/>
  <c r="L105" i="105"/>
  <c r="L63" i="105"/>
  <c r="L59" i="105"/>
  <c r="L58" i="105"/>
  <c r="L57" i="105"/>
  <c r="L52" i="105"/>
  <c r="L46" i="105"/>
  <c r="L40" i="105"/>
  <c r="L28" i="105"/>
  <c r="L162" i="105" s="1"/>
  <c r="L19" i="105"/>
  <c r="L18" i="105"/>
  <c r="L12" i="105"/>
  <c r="L97" i="104"/>
  <c r="L96" i="104"/>
  <c r="L95" i="104"/>
  <c r="L94" i="104"/>
  <c r="L97" i="105"/>
  <c r="L114" i="104"/>
  <c r="L112" i="104"/>
  <c r="L96" i="105"/>
  <c r="L95" i="105"/>
  <c r="L106" i="104"/>
  <c r="L105" i="104"/>
  <c r="L71" i="110" s="1"/>
  <c r="AB71" i="110" s="1"/>
  <c r="L63" i="104"/>
  <c r="L59" i="104"/>
  <c r="L58" i="104"/>
  <c r="L57" i="104"/>
  <c r="L52" i="104"/>
  <c r="L46" i="104"/>
  <c r="L40" i="104"/>
  <c r="L94" i="105"/>
  <c r="L109" i="104"/>
  <c r="L28" i="104"/>
  <c r="L19" i="104"/>
  <c r="L18" i="104"/>
  <c r="L12" i="104"/>
  <c r="L110" i="104"/>
  <c r="L9" i="104"/>
  <c r="L111" i="104"/>
  <c r="M135" i="104"/>
  <c r="M133" i="104"/>
  <c r="M132" i="104"/>
  <c r="M131" i="104"/>
  <c r="M129" i="104"/>
  <c r="M128" i="104"/>
  <c r="M127" i="104"/>
  <c r="M126" i="104"/>
  <c r="M125" i="104"/>
  <c r="M124" i="104"/>
  <c r="M123" i="104"/>
  <c r="M114" i="104"/>
  <c r="M112" i="104"/>
  <c r="M97" i="105"/>
  <c r="M96" i="105"/>
  <c r="M95" i="105"/>
  <c r="M94" i="105"/>
  <c r="M135" i="105"/>
  <c r="M133" i="105"/>
  <c r="M132" i="105"/>
  <c r="M131" i="105"/>
  <c r="M129" i="105"/>
  <c r="M128" i="105"/>
  <c r="M127" i="105"/>
  <c r="M126" i="105"/>
  <c r="M125" i="105"/>
  <c r="M124" i="105"/>
  <c r="M123" i="105"/>
  <c r="M114" i="105"/>
  <c r="M112" i="105"/>
  <c r="M111" i="105"/>
  <c r="M110" i="105"/>
  <c r="M109" i="105"/>
  <c r="M108" i="105"/>
  <c r="M106" i="105"/>
  <c r="M105" i="105"/>
  <c r="M63" i="105"/>
  <c r="M59" i="105"/>
  <c r="M58" i="105"/>
  <c r="M57" i="105"/>
  <c r="M52" i="105"/>
  <c r="M46" i="105"/>
  <c r="M40" i="105"/>
  <c r="M28" i="105"/>
  <c r="M162" i="105" s="1"/>
  <c r="M19" i="105"/>
  <c r="M18" i="105"/>
  <c r="M12" i="105"/>
  <c r="M9" i="105"/>
  <c r="M106" i="104"/>
  <c r="M105" i="104"/>
  <c r="M71" i="110" s="1"/>
  <c r="AC71" i="110" s="1"/>
  <c r="M63" i="104"/>
  <c r="M59" i="104"/>
  <c r="M58" i="104"/>
  <c r="M57" i="104"/>
  <c r="M52" i="104"/>
  <c r="M46" i="104"/>
  <c r="M40" i="104"/>
  <c r="M109" i="104"/>
  <c r="M28" i="104"/>
  <c r="M19" i="104"/>
  <c r="M18" i="104"/>
  <c r="M12" i="104"/>
  <c r="M110" i="104"/>
  <c r="M9" i="104"/>
  <c r="M111" i="104"/>
  <c r="M97" i="104"/>
  <c r="M96" i="104"/>
  <c r="M95" i="104"/>
  <c r="M94" i="104"/>
  <c r="D97" i="105"/>
  <c r="D96" i="105"/>
  <c r="D95" i="105"/>
  <c r="D94" i="105"/>
  <c r="D135" i="105"/>
  <c r="D133" i="105"/>
  <c r="D132" i="105"/>
  <c r="D131" i="105"/>
  <c r="D129" i="105"/>
  <c r="D128" i="105"/>
  <c r="D127" i="105"/>
  <c r="D126" i="105"/>
  <c r="D125" i="105"/>
  <c r="D124" i="105"/>
  <c r="D123" i="105"/>
  <c r="D114" i="105"/>
  <c r="D112" i="105"/>
  <c r="D111" i="105"/>
  <c r="D110" i="105"/>
  <c r="D109" i="105"/>
  <c r="D108" i="105"/>
  <c r="D106" i="105"/>
  <c r="D105" i="105"/>
  <c r="D63" i="105"/>
  <c r="D59" i="105"/>
  <c r="D58" i="105"/>
  <c r="D57" i="105"/>
  <c r="D52" i="105"/>
  <c r="D46" i="105"/>
  <c r="D40" i="105"/>
  <c r="D28" i="105"/>
  <c r="D19" i="105"/>
  <c r="D18" i="105"/>
  <c r="D12" i="105"/>
  <c r="D9" i="105"/>
  <c r="D135" i="104"/>
  <c r="D133" i="104"/>
  <c r="D132" i="104"/>
  <c r="D131" i="104"/>
  <c r="D129" i="104"/>
  <c r="D128" i="104"/>
  <c r="D127" i="104"/>
  <c r="D126" i="104"/>
  <c r="D125" i="104"/>
  <c r="D124" i="104"/>
  <c r="D123" i="104"/>
  <c r="D114" i="104"/>
  <c r="D108" i="104"/>
  <c r="D109" i="104"/>
  <c r="D110" i="104"/>
  <c r="D28" i="104"/>
  <c r="D142" i="110" s="1"/>
  <c r="T142" i="110" s="1"/>
  <c r="D19" i="104"/>
  <c r="D18" i="104"/>
  <c r="D12" i="104"/>
  <c r="D9" i="104"/>
  <c r="D112" i="104"/>
  <c r="D97" i="104"/>
  <c r="D96" i="104"/>
  <c r="D95" i="104"/>
  <c r="D94" i="104"/>
  <c r="D106" i="104"/>
  <c r="D105" i="104"/>
  <c r="D59" i="104"/>
  <c r="D58" i="104"/>
  <c r="D52" i="104"/>
  <c r="D46" i="104"/>
  <c r="D40" i="104"/>
  <c r="J28" i="105"/>
  <c r="J162" i="105" s="1"/>
  <c r="J19" i="105"/>
  <c r="J18" i="105"/>
  <c r="J12" i="105"/>
  <c r="J9" i="105"/>
  <c r="J97" i="105"/>
  <c r="J96" i="105"/>
  <c r="J95" i="105"/>
  <c r="J94" i="105"/>
  <c r="J135" i="105"/>
  <c r="J133" i="105"/>
  <c r="J132" i="105"/>
  <c r="J131" i="105"/>
  <c r="J129" i="105"/>
  <c r="J128" i="105"/>
  <c r="J127" i="105"/>
  <c r="J126" i="105"/>
  <c r="J125" i="105"/>
  <c r="J124" i="105"/>
  <c r="J123" i="105"/>
  <c r="J114" i="105"/>
  <c r="J112" i="105"/>
  <c r="J111" i="105"/>
  <c r="J110" i="105"/>
  <c r="J109" i="105"/>
  <c r="J108" i="105"/>
  <c r="J106" i="105"/>
  <c r="J105" i="105"/>
  <c r="J63" i="105"/>
  <c r="J59" i="105"/>
  <c r="J58" i="105"/>
  <c r="J57" i="105"/>
  <c r="J52" i="105"/>
  <c r="J46" i="105"/>
  <c r="J40" i="105"/>
  <c r="J125" i="104"/>
  <c r="J111" i="104"/>
  <c r="J12" i="104"/>
  <c r="J135" i="104"/>
  <c r="J129" i="104"/>
  <c r="J114" i="104"/>
  <c r="J112" i="104"/>
  <c r="J97" i="104"/>
  <c r="J96" i="104"/>
  <c r="J95" i="104"/>
  <c r="J94" i="104"/>
  <c r="J19" i="104"/>
  <c r="J9" i="104"/>
  <c r="J128" i="104"/>
  <c r="J18" i="104"/>
  <c r="J124" i="104"/>
  <c r="J133" i="104"/>
  <c r="J105" i="104"/>
  <c r="J71" i="110" s="1"/>
  <c r="Z71" i="110" s="1"/>
  <c r="J63" i="104"/>
  <c r="J59" i="104"/>
  <c r="J58" i="104"/>
  <c r="J57" i="104"/>
  <c r="J52" i="104"/>
  <c r="J46" i="104"/>
  <c r="J40" i="104"/>
  <c r="J127" i="104"/>
  <c r="J132" i="104"/>
  <c r="J123" i="104"/>
  <c r="J109" i="104"/>
  <c r="J28" i="104"/>
  <c r="J131" i="104"/>
  <c r="J126" i="104"/>
  <c r="J110" i="104"/>
  <c r="D135" i="103"/>
  <c r="D131" i="103"/>
  <c r="D129" i="103"/>
  <c r="D128" i="103"/>
  <c r="D127" i="103"/>
  <c r="D126" i="103"/>
  <c r="D125" i="103"/>
  <c r="D124" i="103"/>
  <c r="D123" i="103"/>
  <c r="D112" i="103"/>
  <c r="D111" i="103"/>
  <c r="D110" i="103"/>
  <c r="D109" i="103"/>
  <c r="D108" i="103"/>
  <c r="D106" i="103"/>
  <c r="D105" i="103"/>
  <c r="D97" i="103"/>
  <c r="D96" i="103"/>
  <c r="D95" i="103"/>
  <c r="F59" i="103"/>
  <c r="F58" i="103"/>
  <c r="F57" i="103"/>
  <c r="F52" i="103"/>
  <c r="F46" i="103"/>
  <c r="F40" i="103"/>
  <c r="F28" i="103"/>
  <c r="F162" i="103" s="1"/>
  <c r="O135" i="103"/>
  <c r="O131" i="103"/>
  <c r="O129" i="103"/>
  <c r="O128" i="103"/>
  <c r="O127" i="103"/>
  <c r="O126" i="103"/>
  <c r="O125" i="103"/>
  <c r="O124" i="103"/>
  <c r="O123" i="103"/>
  <c r="O114" i="103"/>
  <c r="O111" i="103"/>
  <c r="O110" i="103"/>
  <c r="O109" i="103"/>
  <c r="O108" i="103"/>
  <c r="O106" i="103"/>
  <c r="O105" i="103"/>
  <c r="O97" i="103"/>
  <c r="O96" i="103"/>
  <c r="O95" i="103"/>
  <c r="O94" i="103"/>
  <c r="E59" i="103"/>
  <c r="E58" i="103"/>
  <c r="E57" i="103"/>
  <c r="E52" i="103"/>
  <c r="N135" i="103"/>
  <c r="N131" i="103"/>
  <c r="N129" i="103"/>
  <c r="N128" i="103"/>
  <c r="N127" i="103"/>
  <c r="N126" i="103"/>
  <c r="N125" i="103"/>
  <c r="N124" i="103"/>
  <c r="N123" i="103"/>
  <c r="N114" i="103"/>
  <c r="N112" i="103"/>
  <c r="N111" i="103"/>
  <c r="N110" i="103"/>
  <c r="N109" i="103"/>
  <c r="N108" i="103"/>
  <c r="N106" i="103"/>
  <c r="N105" i="103"/>
  <c r="N97" i="103"/>
  <c r="N96" i="103"/>
  <c r="N95" i="103"/>
  <c r="N94" i="103"/>
  <c r="D58" i="103"/>
  <c r="D57" i="103"/>
  <c r="D52" i="103"/>
  <c r="D46" i="103"/>
  <c r="D40" i="103"/>
  <c r="M135" i="103"/>
  <c r="M131" i="103"/>
  <c r="M129" i="103"/>
  <c r="M128" i="103"/>
  <c r="M127" i="103"/>
  <c r="M126" i="103"/>
  <c r="M125" i="103"/>
  <c r="M124" i="103"/>
  <c r="M123" i="103"/>
  <c r="M114" i="103"/>
  <c r="M112" i="103"/>
  <c r="M111" i="103"/>
  <c r="M110" i="103"/>
  <c r="M109" i="103"/>
  <c r="M108" i="103"/>
  <c r="M106" i="103"/>
  <c r="M105" i="103"/>
  <c r="M97" i="103"/>
  <c r="M95" i="103"/>
  <c r="L135" i="103"/>
  <c r="L131" i="103"/>
  <c r="L129" i="103"/>
  <c r="L128" i="103"/>
  <c r="L127" i="103"/>
  <c r="L126" i="103"/>
  <c r="L125" i="103"/>
  <c r="L124" i="103"/>
  <c r="L123" i="103"/>
  <c r="L114" i="103"/>
  <c r="L112" i="103"/>
  <c r="L111" i="103"/>
  <c r="L110" i="103"/>
  <c r="L109" i="103"/>
  <c r="L108" i="103"/>
  <c r="L106" i="103"/>
  <c r="L105" i="103"/>
  <c r="L97" i="103"/>
  <c r="L96" i="103"/>
  <c r="L95" i="103"/>
  <c r="N59" i="103"/>
  <c r="N58" i="103"/>
  <c r="N57" i="103"/>
  <c r="N52" i="103"/>
  <c r="K135" i="103"/>
  <c r="K131" i="103"/>
  <c r="K129" i="103"/>
  <c r="K128" i="103"/>
  <c r="K127" i="103"/>
  <c r="K126" i="103"/>
  <c r="K125" i="103"/>
  <c r="K124" i="103"/>
  <c r="K123" i="103"/>
  <c r="K114" i="103"/>
  <c r="K112" i="103"/>
  <c r="K111" i="103"/>
  <c r="K110" i="103"/>
  <c r="K109" i="103"/>
  <c r="K108" i="103"/>
  <c r="K106" i="103"/>
  <c r="K105" i="103"/>
  <c r="K97" i="103"/>
  <c r="K96" i="103"/>
  <c r="K95" i="103"/>
  <c r="K94" i="103"/>
  <c r="J135" i="103"/>
  <c r="J131" i="103"/>
  <c r="J129" i="103"/>
  <c r="J128" i="103"/>
  <c r="J127" i="103"/>
  <c r="J126" i="103"/>
  <c r="J125" i="103"/>
  <c r="J124" i="103"/>
  <c r="J123" i="103"/>
  <c r="J114" i="103"/>
  <c r="J112" i="103"/>
  <c r="J111" i="103"/>
  <c r="J110" i="103"/>
  <c r="J109" i="103"/>
  <c r="J108" i="103"/>
  <c r="J106" i="103"/>
  <c r="J105" i="103"/>
  <c r="J97" i="103"/>
  <c r="J96" i="103"/>
  <c r="J95" i="103"/>
  <c r="L59" i="103"/>
  <c r="L58" i="103"/>
  <c r="L57" i="103"/>
  <c r="L52" i="103"/>
  <c r="L46" i="103"/>
  <c r="L40" i="103"/>
  <c r="L28" i="103"/>
  <c r="L162" i="103" s="1"/>
  <c r="L19" i="103"/>
  <c r="L18" i="103"/>
  <c r="L12" i="103"/>
  <c r="K59" i="103"/>
  <c r="K58" i="103"/>
  <c r="K57" i="103"/>
  <c r="K52" i="103"/>
  <c r="K46" i="103"/>
  <c r="K40" i="103"/>
  <c r="K28" i="103"/>
  <c r="K162" i="103" s="1"/>
  <c r="K19" i="103"/>
  <c r="K18" i="103"/>
  <c r="K12" i="103"/>
  <c r="H135" i="103"/>
  <c r="H131" i="103"/>
  <c r="H129" i="103"/>
  <c r="H128" i="103"/>
  <c r="H127" i="103"/>
  <c r="H126" i="103"/>
  <c r="H125" i="103"/>
  <c r="H124" i="103"/>
  <c r="H123" i="103"/>
  <c r="H114" i="103"/>
  <c r="H112" i="103"/>
  <c r="H111" i="103"/>
  <c r="H110" i="103"/>
  <c r="H109" i="103"/>
  <c r="H108" i="103"/>
  <c r="H106" i="103"/>
  <c r="H105" i="103"/>
  <c r="H97" i="103"/>
  <c r="H96" i="103"/>
  <c r="H95" i="103"/>
  <c r="H94" i="103"/>
  <c r="J59" i="103"/>
  <c r="J58" i="103"/>
  <c r="J57" i="103"/>
  <c r="J52" i="103"/>
  <c r="G135" i="103"/>
  <c r="G131" i="103"/>
  <c r="G129" i="103"/>
  <c r="G128" i="103"/>
  <c r="G127" i="103"/>
  <c r="G126" i="103"/>
  <c r="G125" i="103"/>
  <c r="G124" i="103"/>
  <c r="G123" i="103"/>
  <c r="G114" i="103"/>
  <c r="G112" i="103"/>
  <c r="G111" i="103"/>
  <c r="G110" i="103"/>
  <c r="G109" i="103"/>
  <c r="G108" i="103"/>
  <c r="G106" i="103"/>
  <c r="G105" i="103"/>
  <c r="G97" i="103"/>
  <c r="G96" i="103"/>
  <c r="G95" i="103"/>
  <c r="F135" i="103"/>
  <c r="F131" i="103"/>
  <c r="F129" i="103"/>
  <c r="F128" i="103"/>
  <c r="F127" i="103"/>
  <c r="F126" i="103"/>
  <c r="F125" i="103"/>
  <c r="F124" i="103"/>
  <c r="F123" i="103"/>
  <c r="F114" i="103"/>
  <c r="F112" i="103"/>
  <c r="F111" i="103"/>
  <c r="F110" i="103"/>
  <c r="F109" i="103"/>
  <c r="F108" i="103"/>
  <c r="F106" i="103"/>
  <c r="F105" i="103"/>
  <c r="F97" i="103"/>
  <c r="F96" i="103"/>
  <c r="F95" i="103"/>
  <c r="F94" i="103"/>
  <c r="H59" i="103"/>
  <c r="H58" i="103"/>
  <c r="H57" i="103"/>
  <c r="H52" i="103"/>
  <c r="H46" i="103"/>
  <c r="H40" i="103"/>
  <c r="H28" i="103"/>
  <c r="H162" i="103" s="1"/>
  <c r="E135" i="103"/>
  <c r="E131" i="103"/>
  <c r="E129" i="103"/>
  <c r="E128" i="103"/>
  <c r="E127" i="103"/>
  <c r="E126" i="103"/>
  <c r="E125" i="103"/>
  <c r="E124" i="103"/>
  <c r="E123" i="103"/>
  <c r="E114" i="103"/>
  <c r="E112" i="103"/>
  <c r="E111" i="103"/>
  <c r="E110" i="103"/>
  <c r="E109" i="103"/>
  <c r="E108" i="103"/>
  <c r="E106" i="103"/>
  <c r="E105" i="103"/>
  <c r="E97" i="103"/>
  <c r="E96" i="103"/>
  <c r="E95" i="103"/>
  <c r="E94" i="103"/>
  <c r="G59" i="103"/>
  <c r="G58" i="103"/>
  <c r="G57" i="103"/>
  <c r="G52" i="103"/>
  <c r="G46" i="103"/>
  <c r="G40" i="103"/>
  <c r="G28" i="103"/>
  <c r="G162" i="103" s="1"/>
  <c r="G19" i="103"/>
  <c r="G18" i="103"/>
  <c r="G12" i="103"/>
  <c r="O46" i="103"/>
  <c r="O40" i="103"/>
  <c r="N28" i="103"/>
  <c r="N162" i="103" s="1"/>
  <c r="N19" i="103"/>
  <c r="K9" i="103"/>
  <c r="O57" i="103"/>
  <c r="N46" i="103"/>
  <c r="N40" i="103"/>
  <c r="M28" i="103"/>
  <c r="M162" i="103" s="1"/>
  <c r="M19" i="103"/>
  <c r="H18" i="103"/>
  <c r="J9" i="103"/>
  <c r="M57" i="103"/>
  <c r="M46" i="103"/>
  <c r="M40" i="103"/>
  <c r="J28" i="103"/>
  <c r="J162" i="103" s="1"/>
  <c r="J19" i="103"/>
  <c r="F18" i="103"/>
  <c r="O12" i="103"/>
  <c r="J46" i="103"/>
  <c r="J40" i="103"/>
  <c r="E18" i="103"/>
  <c r="N12" i="103"/>
  <c r="H9" i="103"/>
  <c r="O52" i="103"/>
  <c r="E28" i="103"/>
  <c r="E162" i="103" s="1"/>
  <c r="H19" i="103"/>
  <c r="D18" i="103"/>
  <c r="M12" i="103"/>
  <c r="G9" i="103"/>
  <c r="M52" i="103"/>
  <c r="E46" i="103"/>
  <c r="E40" i="103"/>
  <c r="D28" i="103"/>
  <c r="D162" i="103" s="1"/>
  <c r="F19" i="103"/>
  <c r="J12" i="103"/>
  <c r="F9" i="103"/>
  <c r="E19" i="103"/>
  <c r="E9" i="103"/>
  <c r="O59" i="103"/>
  <c r="D19" i="103"/>
  <c r="H12" i="103"/>
  <c r="D9" i="103"/>
  <c r="M59" i="103"/>
  <c r="O18" i="103"/>
  <c r="F12" i="103"/>
  <c r="O9" i="103"/>
  <c r="N18" i="103"/>
  <c r="E12" i="103"/>
  <c r="O58" i="103"/>
  <c r="M18" i="103"/>
  <c r="D12" i="103"/>
  <c r="M9" i="103"/>
  <c r="M58" i="103"/>
  <c r="O28" i="103"/>
  <c r="O162" i="103" s="1"/>
  <c r="O19" i="103"/>
  <c r="J18" i="103"/>
  <c r="L9" i="103"/>
  <c r="N9" i="103"/>
  <c r="E162" i="105" l="1"/>
  <c r="P59" i="105"/>
  <c r="Q59" i="105" s="1"/>
  <c r="P57" i="105"/>
  <c r="Q57" i="105" s="1"/>
  <c r="P63" i="105"/>
  <c r="Q63" i="105" s="1"/>
  <c r="P126" i="105"/>
  <c r="Q126" i="105" s="1"/>
  <c r="P105" i="105"/>
  <c r="P127" i="105"/>
  <c r="Q127" i="105" s="1"/>
  <c r="P9" i="105"/>
  <c r="Q9" i="105" s="1"/>
  <c r="P12" i="105"/>
  <c r="Q12" i="105" s="1"/>
  <c r="P106" i="105"/>
  <c r="Q106" i="105" s="1"/>
  <c r="P128" i="105"/>
  <c r="Q128" i="105" s="1"/>
  <c r="P123" i="105"/>
  <c r="Q123" i="105" s="1"/>
  <c r="P108" i="105"/>
  <c r="Q108" i="105" s="1"/>
  <c r="P129" i="105"/>
  <c r="Q129" i="105" s="1"/>
  <c r="P18" i="105"/>
  <c r="Q18" i="105" s="1"/>
  <c r="P19" i="105"/>
  <c r="Q19" i="105" s="1"/>
  <c r="P131" i="105"/>
  <c r="Q131" i="105" s="1"/>
  <c r="P95" i="105"/>
  <c r="P125" i="105"/>
  <c r="Q125" i="105" s="1"/>
  <c r="P109" i="105"/>
  <c r="Q109" i="105" s="1"/>
  <c r="D162" i="105"/>
  <c r="P28" i="105"/>
  <c r="Q28" i="105" s="1"/>
  <c r="Q162" i="105" s="1"/>
  <c r="P110" i="105"/>
  <c r="Q110" i="105" s="1"/>
  <c r="P132" i="105"/>
  <c r="Q132" i="105" s="1"/>
  <c r="P97" i="105"/>
  <c r="Q97" i="105" s="1"/>
  <c r="P111" i="105"/>
  <c r="Q111" i="105" s="1"/>
  <c r="P133" i="105"/>
  <c r="Q133" i="105" s="1"/>
  <c r="P40" i="105"/>
  <c r="Q40" i="105" s="1"/>
  <c r="P46" i="105"/>
  <c r="Q46" i="105" s="1"/>
  <c r="P112" i="105"/>
  <c r="Q112" i="105" s="1"/>
  <c r="P135" i="105"/>
  <c r="Q135" i="105" s="1"/>
  <c r="P52" i="105"/>
  <c r="Q52" i="105" s="1"/>
  <c r="P114" i="105"/>
  <c r="P94" i="105"/>
  <c r="P58" i="105"/>
  <c r="P124" i="105"/>
  <c r="Q124" i="105" s="1"/>
  <c r="P96" i="105"/>
  <c r="Q96" i="105" s="1"/>
  <c r="H171" i="105"/>
  <c r="D171" i="105"/>
  <c r="P97" i="104"/>
  <c r="P58" i="104"/>
  <c r="R58" i="104" s="1"/>
  <c r="S58" i="104" s="1"/>
  <c r="P63" i="104"/>
  <c r="P57" i="104"/>
  <c r="I142" i="110"/>
  <c r="Y142" i="110" s="1"/>
  <c r="I162" i="104"/>
  <c r="N142" i="110"/>
  <c r="AD142" i="110" s="1"/>
  <c r="N162" i="104"/>
  <c r="L142" i="110"/>
  <c r="AB142" i="110" s="1"/>
  <c r="L162" i="104"/>
  <c r="J142" i="110"/>
  <c r="Z142" i="110" s="1"/>
  <c r="J162" i="104"/>
  <c r="O142" i="110"/>
  <c r="AE142" i="110" s="1"/>
  <c r="O162" i="104"/>
  <c r="K142" i="110"/>
  <c r="AA142" i="110" s="1"/>
  <c r="K162" i="104"/>
  <c r="M142" i="110"/>
  <c r="AC142" i="110" s="1"/>
  <c r="M162" i="104"/>
  <c r="P106" i="104"/>
  <c r="P108" i="104"/>
  <c r="P109" i="104"/>
  <c r="P133" i="104"/>
  <c r="P12" i="104"/>
  <c r="P94" i="104"/>
  <c r="P135" i="104"/>
  <c r="P95" i="104"/>
  <c r="P114" i="104"/>
  <c r="P96" i="104"/>
  <c r="P123" i="104"/>
  <c r="P111" i="104"/>
  <c r="P124" i="104"/>
  <c r="P40" i="104"/>
  <c r="R40" i="104" s="1"/>
  <c r="P112" i="104"/>
  <c r="P125" i="104"/>
  <c r="P46" i="104"/>
  <c r="P9" i="104"/>
  <c r="P126" i="104"/>
  <c r="P52" i="104"/>
  <c r="P127" i="104"/>
  <c r="P18" i="104"/>
  <c r="P128" i="104"/>
  <c r="P59" i="104"/>
  <c r="P19" i="104"/>
  <c r="P129" i="104"/>
  <c r="P28" i="104"/>
  <c r="P162" i="104" s="1"/>
  <c r="R162" i="104" s="1"/>
  <c r="S162" i="104" s="1"/>
  <c r="P131" i="104"/>
  <c r="P105" i="104"/>
  <c r="P152" i="104" s="1"/>
  <c r="P110" i="104"/>
  <c r="P132" i="104"/>
  <c r="D71" i="110"/>
  <c r="L171" i="103"/>
  <c r="M171" i="105"/>
  <c r="G171" i="105"/>
  <c r="N171" i="104"/>
  <c r="N171" i="103"/>
  <c r="F171" i="103"/>
  <c r="J171" i="105"/>
  <c r="E171" i="105"/>
  <c r="J171" i="103"/>
  <c r="J171" i="104"/>
  <c r="D171" i="104"/>
  <c r="F171" i="105"/>
  <c r="N171" i="105"/>
  <c r="L171" i="105"/>
  <c r="K171" i="103"/>
  <c r="O171" i="103"/>
  <c r="K171" i="104"/>
  <c r="O171" i="105"/>
  <c r="H171" i="103"/>
  <c r="K171" i="105"/>
  <c r="O171" i="104"/>
  <c r="M171" i="103"/>
  <c r="L60" i="104"/>
  <c r="L171" i="104"/>
  <c r="F60" i="104"/>
  <c r="F171" i="104"/>
  <c r="G60" i="104"/>
  <c r="G171" i="104"/>
  <c r="I171" i="103"/>
  <c r="E171" i="104"/>
  <c r="I171" i="105"/>
  <c r="M171" i="104"/>
  <c r="H171" i="104"/>
  <c r="I171" i="104"/>
  <c r="G171" i="103"/>
  <c r="D171" i="103"/>
  <c r="E171" i="103"/>
  <c r="J60" i="104"/>
  <c r="D60" i="104"/>
  <c r="K60" i="104"/>
  <c r="O60" i="104"/>
  <c r="O181" i="103"/>
  <c r="E60" i="104"/>
  <c r="G181" i="103"/>
  <c r="N60" i="104"/>
  <c r="M60" i="104"/>
  <c r="H60" i="104"/>
  <c r="I60" i="104"/>
  <c r="E133" i="103"/>
  <c r="K132" i="103"/>
  <c r="J132" i="103"/>
  <c r="M133" i="103"/>
  <c r="I133" i="103"/>
  <c r="F133" i="103"/>
  <c r="O133" i="103"/>
  <c r="M132" i="103"/>
  <c r="I132" i="103"/>
  <c r="L132" i="103"/>
  <c r="H132" i="103"/>
  <c r="D133" i="103"/>
  <c r="F132" i="103"/>
  <c r="J133" i="103"/>
  <c r="O132" i="103"/>
  <c r="H133" i="103"/>
  <c r="N132" i="103"/>
  <c r="G133" i="103"/>
  <c r="K133" i="103"/>
  <c r="I94" i="103"/>
  <c r="D132" i="103"/>
  <c r="E132" i="103"/>
  <c r="L133" i="103"/>
  <c r="G132" i="103"/>
  <c r="N133" i="103"/>
  <c r="P129" i="103"/>
  <c r="L60" i="105"/>
  <c r="N181" i="103"/>
  <c r="K181" i="103"/>
  <c r="P71" i="103"/>
  <c r="L181" i="103"/>
  <c r="D181" i="103"/>
  <c r="J181" i="103"/>
  <c r="E181" i="103"/>
  <c r="M60" i="105"/>
  <c r="H181" i="103"/>
  <c r="F181" i="103"/>
  <c r="M181" i="103"/>
  <c r="R71" i="105"/>
  <c r="S71" i="105" s="1"/>
  <c r="P52" i="103"/>
  <c r="P106" i="103"/>
  <c r="P125" i="103"/>
  <c r="M60" i="103"/>
  <c r="G60" i="103"/>
  <c r="D60" i="103"/>
  <c r="P57" i="103"/>
  <c r="P95" i="103"/>
  <c r="F60" i="105"/>
  <c r="O60" i="103"/>
  <c r="P96" i="103"/>
  <c r="P108" i="103"/>
  <c r="P58" i="103"/>
  <c r="P127" i="103"/>
  <c r="E60" i="105"/>
  <c r="O60" i="105"/>
  <c r="P59" i="103"/>
  <c r="P97" i="103"/>
  <c r="P109" i="103"/>
  <c r="H60" i="105"/>
  <c r="P40" i="103"/>
  <c r="F60" i="103"/>
  <c r="P110" i="103"/>
  <c r="J60" i="105"/>
  <c r="P28" i="103"/>
  <c r="P162" i="103" s="1"/>
  <c r="P111" i="103"/>
  <c r="P128" i="103"/>
  <c r="N60" i="103"/>
  <c r="P46" i="103"/>
  <c r="P112" i="103"/>
  <c r="P131" i="103"/>
  <c r="G60" i="105"/>
  <c r="P123" i="103"/>
  <c r="H60" i="103"/>
  <c r="P9" i="103"/>
  <c r="P114" i="103"/>
  <c r="Z114" i="103" s="1"/>
  <c r="I60" i="105"/>
  <c r="P18" i="103"/>
  <c r="I60" i="103"/>
  <c r="K60" i="103"/>
  <c r="L60" i="103"/>
  <c r="E60" i="103"/>
  <c r="N60" i="105"/>
  <c r="D60" i="105"/>
  <c r="K60" i="105"/>
  <c r="P19" i="103"/>
  <c r="P12" i="103"/>
  <c r="P126" i="103"/>
  <c r="J60" i="103"/>
  <c r="P135" i="103"/>
  <c r="P105" i="103"/>
  <c r="Z105" i="103" s="1"/>
  <c r="P124" i="103"/>
  <c r="F73" i="110" l="1"/>
  <c r="T71" i="110"/>
  <c r="R59" i="105"/>
  <c r="S59" i="105" s="1"/>
  <c r="R108" i="105"/>
  <c r="S108" i="105" s="1"/>
  <c r="Q95" i="105"/>
  <c r="Q105" i="105"/>
  <c r="R105" i="105" s="1"/>
  <c r="S105" i="105" s="1"/>
  <c r="Q114" i="105"/>
  <c r="R114" i="105" s="1"/>
  <c r="S114" i="105" s="1"/>
  <c r="R97" i="105"/>
  <c r="S97" i="105" s="1"/>
  <c r="R109" i="105"/>
  <c r="S109" i="105" s="1"/>
  <c r="R111" i="105"/>
  <c r="S111" i="105" s="1"/>
  <c r="R106" i="105"/>
  <c r="S106" i="105" s="1"/>
  <c r="Q94" i="105"/>
  <c r="R112" i="105"/>
  <c r="S112" i="105" s="1"/>
  <c r="R96" i="105"/>
  <c r="S96" i="105" s="1"/>
  <c r="R110" i="105"/>
  <c r="S110" i="105" s="1"/>
  <c r="Q58" i="105"/>
  <c r="P162" i="105"/>
  <c r="P60" i="105"/>
  <c r="P171" i="105"/>
  <c r="Z162" i="103"/>
  <c r="Y162" i="103"/>
  <c r="R63" i="105"/>
  <c r="S63" i="105" s="1"/>
  <c r="Y111" i="103"/>
  <c r="Z111" i="103"/>
  <c r="Y97" i="103"/>
  <c r="Z97" i="103"/>
  <c r="Y59" i="103"/>
  <c r="Z59" i="103"/>
  <c r="Y28" i="103"/>
  <c r="Z28" i="103"/>
  <c r="Y124" i="103"/>
  <c r="Z124" i="103"/>
  <c r="Y127" i="103"/>
  <c r="Z127" i="103"/>
  <c r="Y110" i="103"/>
  <c r="Z110" i="103"/>
  <c r="Y123" i="103"/>
  <c r="Z123" i="103"/>
  <c r="Y58" i="103"/>
  <c r="Z58" i="103"/>
  <c r="Y135" i="103"/>
  <c r="Z135" i="103"/>
  <c r="Y131" i="103"/>
  <c r="Z131" i="103"/>
  <c r="Y108" i="103"/>
  <c r="Z108" i="103"/>
  <c r="Y125" i="103"/>
  <c r="Z125" i="103"/>
  <c r="Y9" i="103"/>
  <c r="Z9" i="103"/>
  <c r="Y18" i="103"/>
  <c r="Z18" i="103"/>
  <c r="Y112" i="103"/>
  <c r="Z112" i="103"/>
  <c r="Y40" i="103"/>
  <c r="Z40" i="103"/>
  <c r="Y96" i="103"/>
  <c r="Z96" i="103"/>
  <c r="Y106" i="103"/>
  <c r="Z106" i="103"/>
  <c r="Y126" i="103"/>
  <c r="Z126" i="103"/>
  <c r="Y46" i="103"/>
  <c r="Z46" i="103"/>
  <c r="Y52" i="103"/>
  <c r="Z52" i="103"/>
  <c r="Y95" i="103"/>
  <c r="Z95" i="103"/>
  <c r="Y57" i="103"/>
  <c r="Z57" i="103"/>
  <c r="Y129" i="103"/>
  <c r="Z129" i="103"/>
  <c r="Y71" i="103"/>
  <c r="Z71" i="103"/>
  <c r="Y12" i="103"/>
  <c r="Z12" i="103"/>
  <c r="Y19" i="103"/>
  <c r="Z19" i="103"/>
  <c r="Y128" i="103"/>
  <c r="Z128" i="103"/>
  <c r="Y109" i="103"/>
  <c r="Z109" i="103"/>
  <c r="R114" i="103"/>
  <c r="S114" i="103" s="1"/>
  <c r="Y114" i="103"/>
  <c r="R105" i="103"/>
  <c r="S105" i="103" s="1"/>
  <c r="Y105" i="103"/>
  <c r="P171" i="104"/>
  <c r="P60" i="104"/>
  <c r="R95" i="103"/>
  <c r="S95" i="103" s="1"/>
  <c r="R110" i="103"/>
  <c r="S110" i="103" s="1"/>
  <c r="R108" i="103"/>
  <c r="S108" i="103" s="1"/>
  <c r="R96" i="103"/>
  <c r="S96" i="103" s="1"/>
  <c r="R112" i="103"/>
  <c r="S112" i="103" s="1"/>
  <c r="R111" i="103"/>
  <c r="S111" i="103" s="1"/>
  <c r="R109" i="103"/>
  <c r="S109" i="103" s="1"/>
  <c r="R106" i="103"/>
  <c r="S106" i="103" s="1"/>
  <c r="R97" i="103"/>
  <c r="S97" i="103" s="1"/>
  <c r="R19" i="103"/>
  <c r="S19" i="103" s="1"/>
  <c r="R18" i="103"/>
  <c r="R12" i="103"/>
  <c r="S12" i="103" s="1"/>
  <c r="R40" i="103"/>
  <c r="S40" i="103" s="1"/>
  <c r="R9" i="103"/>
  <c r="S9" i="103" s="1"/>
  <c r="R174" i="105"/>
  <c r="S174" i="105" s="1"/>
  <c r="P77" i="103"/>
  <c r="P174" i="103"/>
  <c r="P171" i="103"/>
  <c r="R174" i="104"/>
  <c r="S174" i="104" s="1"/>
  <c r="H117" i="110"/>
  <c r="R105" i="104"/>
  <c r="S105" i="104" s="1"/>
  <c r="R106" i="104"/>
  <c r="S106" i="104" s="1"/>
  <c r="P158" i="103"/>
  <c r="D117" i="110"/>
  <c r="R111" i="104"/>
  <c r="S111" i="104" s="1"/>
  <c r="R108" i="104"/>
  <c r="S108" i="104" s="1"/>
  <c r="G130" i="105"/>
  <c r="G130" i="104"/>
  <c r="K130" i="104"/>
  <c r="F130" i="105"/>
  <c r="M130" i="104"/>
  <c r="N130" i="105"/>
  <c r="N130" i="104"/>
  <c r="O130" i="104"/>
  <c r="I130" i="105"/>
  <c r="D130" i="104"/>
  <c r="J130" i="105"/>
  <c r="J130" i="104"/>
  <c r="O130" i="105"/>
  <c r="K130" i="105"/>
  <c r="E130" i="104"/>
  <c r="I130" i="104"/>
  <c r="H130" i="104"/>
  <c r="F130" i="104"/>
  <c r="M130" i="105"/>
  <c r="D130" i="105"/>
  <c r="E130" i="105"/>
  <c r="H130" i="105"/>
  <c r="L130" i="104"/>
  <c r="L130" i="105"/>
  <c r="G65" i="105"/>
  <c r="G181" i="105" s="1"/>
  <c r="E65" i="104"/>
  <c r="E181" i="104" s="1"/>
  <c r="F65" i="105"/>
  <c r="F181" i="105" s="1"/>
  <c r="F65" i="104"/>
  <c r="F181" i="104" s="1"/>
  <c r="L65" i="104"/>
  <c r="L181" i="104" s="1"/>
  <c r="N65" i="105"/>
  <c r="N181" i="105" s="1"/>
  <c r="I65" i="105"/>
  <c r="I181" i="105" s="1"/>
  <c r="I65" i="104"/>
  <c r="I181" i="104" s="1"/>
  <c r="J65" i="105"/>
  <c r="J181" i="105" s="1"/>
  <c r="N65" i="104"/>
  <c r="N181" i="104" s="1"/>
  <c r="K65" i="105"/>
  <c r="K181" i="105" s="1"/>
  <c r="M65" i="105"/>
  <c r="M181" i="105" s="1"/>
  <c r="D65" i="105"/>
  <c r="D65" i="104"/>
  <c r="D181" i="104" s="1"/>
  <c r="J65" i="104"/>
  <c r="J181" i="104" s="1"/>
  <c r="G65" i="104"/>
  <c r="G181" i="104" s="1"/>
  <c r="O65" i="104"/>
  <c r="O181" i="104" s="1"/>
  <c r="O65" i="105"/>
  <c r="O181" i="105" s="1"/>
  <c r="K65" i="104"/>
  <c r="K181" i="104" s="1"/>
  <c r="E65" i="105"/>
  <c r="H65" i="105"/>
  <c r="H181" i="105" s="1"/>
  <c r="H65" i="104"/>
  <c r="H181" i="104" s="1"/>
  <c r="L65" i="105"/>
  <c r="L181" i="105" s="1"/>
  <c r="M65" i="104"/>
  <c r="M181" i="104" s="1"/>
  <c r="D94" i="103"/>
  <c r="G94" i="103"/>
  <c r="N100" i="104"/>
  <c r="O100" i="104"/>
  <c r="E100" i="105"/>
  <c r="F100" i="104"/>
  <c r="L100" i="105"/>
  <c r="M100" i="105"/>
  <c r="N100" i="105"/>
  <c r="G100" i="104"/>
  <c r="E100" i="104"/>
  <c r="I100" i="104"/>
  <c r="H100" i="105"/>
  <c r="F100" i="105"/>
  <c r="L100" i="104"/>
  <c r="M100" i="104"/>
  <c r="O100" i="105"/>
  <c r="K100" i="104"/>
  <c r="D100" i="104"/>
  <c r="J100" i="105"/>
  <c r="G100" i="105"/>
  <c r="K100" i="105"/>
  <c r="I100" i="105"/>
  <c r="H100" i="104"/>
  <c r="D100" i="105"/>
  <c r="J100" i="104"/>
  <c r="O100" i="103"/>
  <c r="L100" i="103"/>
  <c r="G100" i="103"/>
  <c r="F100" i="103"/>
  <c r="M100" i="103"/>
  <c r="K100" i="103"/>
  <c r="N100" i="103"/>
  <c r="H100" i="103"/>
  <c r="K107" i="105"/>
  <c r="K107" i="104"/>
  <c r="E107" i="105"/>
  <c r="I107" i="105"/>
  <c r="F107" i="105"/>
  <c r="F107" i="104"/>
  <c r="D107" i="105"/>
  <c r="D107" i="104"/>
  <c r="J107" i="104"/>
  <c r="N107" i="104"/>
  <c r="G107" i="104"/>
  <c r="O107" i="104"/>
  <c r="I107" i="104"/>
  <c r="H107" i="104"/>
  <c r="L107" i="104"/>
  <c r="M107" i="105"/>
  <c r="L107" i="103"/>
  <c r="H107" i="103"/>
  <c r="N107" i="105"/>
  <c r="O107" i="105"/>
  <c r="H107" i="105"/>
  <c r="K107" i="103"/>
  <c r="J107" i="103"/>
  <c r="G107" i="105"/>
  <c r="E107" i="104"/>
  <c r="L107" i="105"/>
  <c r="M107" i="104"/>
  <c r="J107" i="105"/>
  <c r="N107" i="103"/>
  <c r="M107" i="103"/>
  <c r="G107" i="103"/>
  <c r="F107" i="103"/>
  <c r="E107" i="103"/>
  <c r="J100" i="103"/>
  <c r="E100" i="103"/>
  <c r="J130" i="103"/>
  <c r="O130" i="103"/>
  <c r="M130" i="103"/>
  <c r="E130" i="103"/>
  <c r="L130" i="103"/>
  <c r="K130" i="103"/>
  <c r="F130" i="103"/>
  <c r="N130" i="103"/>
  <c r="I130" i="103"/>
  <c r="G130" i="103"/>
  <c r="H130" i="103"/>
  <c r="N134" i="103"/>
  <c r="O134" i="103"/>
  <c r="L134" i="103"/>
  <c r="E134" i="103"/>
  <c r="K134" i="103"/>
  <c r="H134" i="103"/>
  <c r="O134" i="105"/>
  <c r="K134" i="105"/>
  <c r="L134" i="105"/>
  <c r="M134" i="105"/>
  <c r="D134" i="105"/>
  <c r="G134" i="104"/>
  <c r="O134" i="104"/>
  <c r="E134" i="105"/>
  <c r="G134" i="105"/>
  <c r="K134" i="104"/>
  <c r="M134" i="104"/>
  <c r="D134" i="104"/>
  <c r="D134" i="103"/>
  <c r="N134" i="105"/>
  <c r="E134" i="104"/>
  <c r="H134" i="105"/>
  <c r="I134" i="105"/>
  <c r="G134" i="103"/>
  <c r="I134" i="103"/>
  <c r="H134" i="104"/>
  <c r="F134" i="105"/>
  <c r="F134" i="104"/>
  <c r="N134" i="104"/>
  <c r="J134" i="104"/>
  <c r="J134" i="103"/>
  <c r="J134" i="105"/>
  <c r="I134" i="104"/>
  <c r="L134" i="104"/>
  <c r="M134" i="103"/>
  <c r="P132" i="103"/>
  <c r="P133" i="103"/>
  <c r="D103" i="105"/>
  <c r="E103" i="105"/>
  <c r="F103" i="105"/>
  <c r="G103" i="105"/>
  <c r="R52" i="105"/>
  <c r="S52" i="105" s="1"/>
  <c r="R46" i="105"/>
  <c r="S46" i="105" s="1"/>
  <c r="N11" i="105"/>
  <c r="D11" i="104"/>
  <c r="J11" i="105"/>
  <c r="O11" i="104"/>
  <c r="E11" i="105"/>
  <c r="E11" i="104"/>
  <c r="H11" i="104"/>
  <c r="F11" i="105"/>
  <c r="F11" i="104"/>
  <c r="K11" i="105"/>
  <c r="O11" i="105"/>
  <c r="D11" i="105"/>
  <c r="M11" i="105"/>
  <c r="K11" i="104"/>
  <c r="H11" i="105"/>
  <c r="I11" i="105"/>
  <c r="I11" i="104"/>
  <c r="J11" i="104"/>
  <c r="G11" i="104"/>
  <c r="G11" i="105"/>
  <c r="L11" i="104"/>
  <c r="N11" i="104"/>
  <c r="M11" i="104"/>
  <c r="L11" i="105"/>
  <c r="F33" i="104"/>
  <c r="I33" i="105"/>
  <c r="M33" i="105"/>
  <c r="L33" i="104"/>
  <c r="O33" i="105"/>
  <c r="N33" i="105"/>
  <c r="I33" i="104"/>
  <c r="D33" i="105"/>
  <c r="J33" i="105"/>
  <c r="G33" i="104"/>
  <c r="O33" i="104"/>
  <c r="J33" i="104"/>
  <c r="E33" i="105"/>
  <c r="M33" i="104"/>
  <c r="D33" i="104"/>
  <c r="D160" i="104" s="1"/>
  <c r="E33" i="104"/>
  <c r="H33" i="104"/>
  <c r="L33" i="105"/>
  <c r="K33" i="105"/>
  <c r="G33" i="105"/>
  <c r="F33" i="105"/>
  <c r="K33" i="104"/>
  <c r="N33" i="104"/>
  <c r="H33" i="105"/>
  <c r="I6" i="104"/>
  <c r="N6" i="105"/>
  <c r="N6" i="104"/>
  <c r="O6" i="104"/>
  <c r="K6" i="104"/>
  <c r="G6" i="105"/>
  <c r="H6" i="104"/>
  <c r="J6" i="104"/>
  <c r="E6" i="105"/>
  <c r="K6" i="105"/>
  <c r="L6" i="105"/>
  <c r="H6" i="105"/>
  <c r="F6" i="104"/>
  <c r="D6" i="104"/>
  <c r="O6" i="105"/>
  <c r="J6" i="105"/>
  <c r="G6" i="104"/>
  <c r="M6" i="105"/>
  <c r="E6" i="104"/>
  <c r="F6" i="105"/>
  <c r="D6" i="105"/>
  <c r="L6" i="104"/>
  <c r="M6" i="104"/>
  <c r="I6" i="105"/>
  <c r="N35" i="105"/>
  <c r="L35" i="104"/>
  <c r="M35" i="105"/>
  <c r="F35" i="104"/>
  <c r="D35" i="104"/>
  <c r="E35" i="104"/>
  <c r="O35" i="104"/>
  <c r="G35" i="105"/>
  <c r="G35" i="104"/>
  <c r="I35" i="105"/>
  <c r="I35" i="104"/>
  <c r="J35" i="105"/>
  <c r="L35" i="105"/>
  <c r="J35" i="104"/>
  <c r="N35" i="104"/>
  <c r="O35" i="105"/>
  <c r="E35" i="105"/>
  <c r="K35" i="104"/>
  <c r="D35" i="105"/>
  <c r="K35" i="105"/>
  <c r="H35" i="105"/>
  <c r="F35" i="105"/>
  <c r="M35" i="104"/>
  <c r="I35" i="103"/>
  <c r="H35" i="104"/>
  <c r="G47" i="105"/>
  <c r="K47" i="105"/>
  <c r="M47" i="104"/>
  <c r="K47" i="104"/>
  <c r="H47" i="105"/>
  <c r="J47" i="105"/>
  <c r="O47" i="104"/>
  <c r="O47" i="105"/>
  <c r="F47" i="104"/>
  <c r="J47" i="104"/>
  <c r="D47" i="104"/>
  <c r="N47" i="104"/>
  <c r="H47" i="104"/>
  <c r="N47" i="105"/>
  <c r="E47" i="105"/>
  <c r="I47" i="105"/>
  <c r="F47" i="105"/>
  <c r="L47" i="105"/>
  <c r="L47" i="104"/>
  <c r="G47" i="104"/>
  <c r="I47" i="104"/>
  <c r="D47" i="105"/>
  <c r="E47" i="104"/>
  <c r="M47" i="105"/>
  <c r="S129" i="103"/>
  <c r="R112" i="104"/>
  <c r="S112" i="104" s="1"/>
  <c r="R133" i="105"/>
  <c r="S133" i="105" s="1"/>
  <c r="R71" i="104"/>
  <c r="F11" i="103"/>
  <c r="S126" i="103"/>
  <c r="R57" i="105"/>
  <c r="R126" i="105"/>
  <c r="S126" i="105" s="1"/>
  <c r="R125" i="105"/>
  <c r="S125" i="105" s="1"/>
  <c r="R19" i="105"/>
  <c r="S19" i="105" s="1"/>
  <c r="S128" i="103"/>
  <c r="R133" i="104"/>
  <c r="S133" i="104" s="1"/>
  <c r="S124" i="103"/>
  <c r="R129" i="105"/>
  <c r="S129" i="105" s="1"/>
  <c r="P60" i="103"/>
  <c r="R57" i="103"/>
  <c r="S52" i="103"/>
  <c r="R109" i="104"/>
  <c r="S109" i="104" s="1"/>
  <c r="R52" i="104"/>
  <c r="S52" i="104" s="1"/>
  <c r="S96" i="104"/>
  <c r="R9" i="105"/>
  <c r="S9" i="105" s="1"/>
  <c r="S127" i="103"/>
  <c r="R114" i="104"/>
  <c r="S114" i="104" s="1"/>
  <c r="F47" i="103"/>
  <c r="D47" i="103"/>
  <c r="G47" i="103"/>
  <c r="L47" i="103"/>
  <c r="K47" i="103"/>
  <c r="J47" i="103"/>
  <c r="E47" i="103"/>
  <c r="O47" i="103"/>
  <c r="D35" i="103"/>
  <c r="G35" i="103"/>
  <c r="O35" i="103"/>
  <c r="N35" i="103"/>
  <c r="L35" i="103"/>
  <c r="F35" i="103"/>
  <c r="S129" i="104"/>
  <c r="S127" i="104"/>
  <c r="R132" i="105"/>
  <c r="S132" i="105" s="1"/>
  <c r="R131" i="105"/>
  <c r="S131" i="105" s="1"/>
  <c r="R46" i="104"/>
  <c r="S46" i="104" s="1"/>
  <c r="S97" i="104"/>
  <c r="S126" i="104"/>
  <c r="R135" i="105"/>
  <c r="S135" i="105" s="1"/>
  <c r="R59" i="103"/>
  <c r="S59" i="103" s="1"/>
  <c r="R58" i="103"/>
  <c r="S58" i="103" s="1"/>
  <c r="S19" i="104"/>
  <c r="R63" i="104"/>
  <c r="S135" i="103"/>
  <c r="S125" i="104"/>
  <c r="R123" i="105"/>
  <c r="R28" i="105"/>
  <c r="S28" i="105" s="1"/>
  <c r="R40" i="105"/>
  <c r="S40" i="105" s="1"/>
  <c r="R128" i="105"/>
  <c r="S128" i="105" s="1"/>
  <c r="R127" i="105"/>
  <c r="S127" i="105" s="1"/>
  <c r="S131" i="103"/>
  <c r="R124" i="105"/>
  <c r="S124" i="105" s="1"/>
  <c r="S131" i="104"/>
  <c r="R12" i="105"/>
  <c r="S12" i="105" s="1"/>
  <c r="S95" i="104"/>
  <c r="R18" i="105"/>
  <c r="S132" i="104"/>
  <c r="R57" i="104"/>
  <c r="S128" i="104"/>
  <c r="S135" i="104"/>
  <c r="S125" i="103"/>
  <c r="R59" i="104"/>
  <c r="S59" i="104" s="1"/>
  <c r="S46" i="103"/>
  <c r="S124" i="104"/>
  <c r="R110" i="104"/>
  <c r="S110" i="104" s="1"/>
  <c r="S40" i="104"/>
  <c r="R71" i="103"/>
  <c r="S28" i="104"/>
  <c r="G73" i="110" l="1"/>
  <c r="V73" i="110"/>
  <c r="R58" i="105"/>
  <c r="S58" i="105" s="1"/>
  <c r="Q60" i="105"/>
  <c r="R95" i="105"/>
  <c r="S95" i="105" s="1"/>
  <c r="R94" i="105"/>
  <c r="S94" i="105" s="1"/>
  <c r="Q171" i="105"/>
  <c r="R171" i="105" s="1"/>
  <c r="E181" i="105"/>
  <c r="P100" i="105"/>
  <c r="Q100" i="105" s="1"/>
  <c r="R100" i="105" s="1"/>
  <c r="S100" i="105" s="1"/>
  <c r="P6" i="105"/>
  <c r="Q6" i="105" s="1"/>
  <c r="P33" i="105"/>
  <c r="P35" i="105"/>
  <c r="Q35" i="105" s="1"/>
  <c r="P130" i="105"/>
  <c r="Q130" i="105" s="1"/>
  <c r="P134" i="105"/>
  <c r="Q134" i="105" s="1"/>
  <c r="P107" i="105"/>
  <c r="D181" i="105"/>
  <c r="P65" i="105"/>
  <c r="P181" i="105" s="1"/>
  <c r="P11" i="105"/>
  <c r="Q11" i="105" s="1"/>
  <c r="P47" i="105"/>
  <c r="Q47" i="105" s="1"/>
  <c r="L183" i="103"/>
  <c r="I183" i="103"/>
  <c r="N183" i="103"/>
  <c r="G183" i="103"/>
  <c r="M183" i="105"/>
  <c r="N183" i="104"/>
  <c r="F183" i="104"/>
  <c r="N183" i="105"/>
  <c r="E183" i="103"/>
  <c r="D183" i="105"/>
  <c r="O183" i="104"/>
  <c r="H183" i="104"/>
  <c r="M183" i="104"/>
  <c r="K183" i="103"/>
  <c r="I183" i="104"/>
  <c r="F183" i="105"/>
  <c r="E183" i="104"/>
  <c r="K183" i="104"/>
  <c r="K183" i="105"/>
  <c r="G183" i="104"/>
  <c r="M183" i="103"/>
  <c r="O183" i="105"/>
  <c r="G183" i="105"/>
  <c r="O183" i="103"/>
  <c r="L183" i="105"/>
  <c r="J183" i="104"/>
  <c r="J183" i="103"/>
  <c r="L183" i="104"/>
  <c r="J183" i="105"/>
  <c r="H183" i="105"/>
  <c r="D183" i="104"/>
  <c r="H183" i="103"/>
  <c r="E183" i="105"/>
  <c r="I183" i="105"/>
  <c r="P65" i="104"/>
  <c r="P181" i="104" s="1"/>
  <c r="L33" i="110"/>
  <c r="AB33" i="110" s="1"/>
  <c r="L160" i="104"/>
  <c r="I33" i="110"/>
  <c r="Y33" i="110" s="1"/>
  <c r="I160" i="104"/>
  <c r="H33" i="110"/>
  <c r="X33" i="110" s="1"/>
  <c r="H160" i="104"/>
  <c r="M33" i="110"/>
  <c r="AC33" i="110" s="1"/>
  <c r="M160" i="104"/>
  <c r="F33" i="110"/>
  <c r="V33" i="110" s="1"/>
  <c r="F160" i="104"/>
  <c r="J33" i="110"/>
  <c r="Z33" i="110" s="1"/>
  <c r="J160" i="104"/>
  <c r="N33" i="110"/>
  <c r="AD33" i="110" s="1"/>
  <c r="N160" i="104"/>
  <c r="O33" i="110"/>
  <c r="AE33" i="110" s="1"/>
  <c r="O160" i="104"/>
  <c r="K33" i="110"/>
  <c r="AA33" i="110" s="1"/>
  <c r="K160" i="104"/>
  <c r="G33" i="110"/>
  <c r="W33" i="110" s="1"/>
  <c r="G160" i="104"/>
  <c r="E33" i="110"/>
  <c r="U33" i="110" s="1"/>
  <c r="E160" i="104"/>
  <c r="Z158" i="103"/>
  <c r="Y158" i="103"/>
  <c r="S171" i="103"/>
  <c r="Y171" i="103"/>
  <c r="Z171" i="103"/>
  <c r="S174" i="103"/>
  <c r="Z174" i="103"/>
  <c r="Y174" i="103"/>
  <c r="Y77" i="103"/>
  <c r="Z77" i="103"/>
  <c r="Y133" i="103"/>
  <c r="Z133" i="103"/>
  <c r="Y60" i="103"/>
  <c r="Z60" i="103"/>
  <c r="Y132" i="103"/>
  <c r="Z132" i="103"/>
  <c r="P35" i="104"/>
  <c r="P130" i="104"/>
  <c r="D33" i="110"/>
  <c r="T33" i="110" s="1"/>
  <c r="P33" i="104"/>
  <c r="P160" i="104" s="1"/>
  <c r="R160" i="104" s="1"/>
  <c r="S160" i="104" s="1"/>
  <c r="P100" i="104"/>
  <c r="P6" i="104"/>
  <c r="P11" i="104"/>
  <c r="R11" i="104" s="1"/>
  <c r="P107" i="104"/>
  <c r="P47" i="104"/>
  <c r="P134" i="104"/>
  <c r="R174" i="103"/>
  <c r="R171" i="103"/>
  <c r="R77" i="103"/>
  <c r="S77" i="103" s="1"/>
  <c r="S132" i="103"/>
  <c r="R171" i="104"/>
  <c r="S171" i="104" s="1"/>
  <c r="R77" i="105"/>
  <c r="S77" i="105" s="1"/>
  <c r="S71" i="104"/>
  <c r="R77" i="104"/>
  <c r="S77" i="104" s="1"/>
  <c r="R158" i="103"/>
  <c r="S158" i="103" s="1"/>
  <c r="E117" i="110"/>
  <c r="R158" i="104"/>
  <c r="S158" i="104" s="1"/>
  <c r="F136" i="105"/>
  <c r="I136" i="104"/>
  <c r="G136" i="105"/>
  <c r="H136" i="104"/>
  <c r="J136" i="104"/>
  <c r="M136" i="105"/>
  <c r="E136" i="104"/>
  <c r="O136" i="104"/>
  <c r="F136" i="104"/>
  <c r="K136" i="104"/>
  <c r="G136" i="104"/>
  <c r="L136" i="104"/>
  <c r="I136" i="105"/>
  <c r="M136" i="104"/>
  <c r="J136" i="105"/>
  <c r="E136" i="105"/>
  <c r="N136" i="105"/>
  <c r="L136" i="105"/>
  <c r="O136" i="105"/>
  <c r="N136" i="104"/>
  <c r="H136" i="105"/>
  <c r="K136" i="105"/>
  <c r="P94" i="103"/>
  <c r="J136" i="103"/>
  <c r="M136" i="103"/>
  <c r="O136" i="103"/>
  <c r="E136" i="103"/>
  <c r="L136" i="103"/>
  <c r="K136" i="103"/>
  <c r="H136" i="103"/>
  <c r="G136" i="103"/>
  <c r="N136" i="103"/>
  <c r="I136" i="103"/>
  <c r="D136" i="104"/>
  <c r="D136" i="105"/>
  <c r="R133" i="103"/>
  <c r="S133" i="103" s="1"/>
  <c r="S71" i="103"/>
  <c r="S57" i="105"/>
  <c r="S63" i="104"/>
  <c r="S18" i="103"/>
  <c r="R60" i="103"/>
  <c r="S60" i="103" s="1"/>
  <c r="S57" i="103"/>
  <c r="S123" i="104"/>
  <c r="S94" i="104"/>
  <c r="S123" i="103"/>
  <c r="S18" i="104"/>
  <c r="S123" i="105"/>
  <c r="R60" i="104"/>
  <c r="S60" i="104" s="1"/>
  <c r="S57" i="104"/>
  <c r="S18" i="105"/>
  <c r="H73" i="110" l="1"/>
  <c r="W73" i="110"/>
  <c r="R60" i="105"/>
  <c r="S60" i="105" s="1"/>
  <c r="Q65" i="105"/>
  <c r="Q181" i="105" s="1"/>
  <c r="Q136" i="105"/>
  <c r="Q183" i="105"/>
  <c r="Q33" i="105"/>
  <c r="R33" i="105" s="1"/>
  <c r="S33" i="105" s="1"/>
  <c r="Q107" i="105"/>
  <c r="R107" i="105" s="1"/>
  <c r="S107" i="105" s="1"/>
  <c r="P183" i="105"/>
  <c r="P136" i="105"/>
  <c r="P183" i="104"/>
  <c r="F35" i="110"/>
  <c r="Y94" i="103"/>
  <c r="Z94" i="103"/>
  <c r="P136" i="104"/>
  <c r="S171" i="105"/>
  <c r="R94" i="103"/>
  <c r="R65" i="104"/>
  <c r="S65" i="104" s="1"/>
  <c r="P65" i="103"/>
  <c r="D36" i="110"/>
  <c r="R107" i="104"/>
  <c r="S107" i="104" s="1"/>
  <c r="D18" i="118"/>
  <c r="F117" i="110"/>
  <c r="R130" i="105"/>
  <c r="S130" i="105" s="1"/>
  <c r="R130" i="104"/>
  <c r="S130" i="104" s="1"/>
  <c r="R100" i="104"/>
  <c r="S100" i="104" s="1"/>
  <c r="R134" i="105"/>
  <c r="R47" i="105"/>
  <c r="S47" i="105" s="1"/>
  <c r="R47" i="104"/>
  <c r="S47" i="104" s="1"/>
  <c r="R35" i="105"/>
  <c r="S35" i="105" s="1"/>
  <c r="R11" i="105"/>
  <c r="S11" i="105" s="1"/>
  <c r="P63" i="103"/>
  <c r="R35" i="104"/>
  <c r="S35" i="104" s="1"/>
  <c r="R33" i="104"/>
  <c r="S33" i="104" s="1"/>
  <c r="R6" i="105"/>
  <c r="S6" i="105" s="1"/>
  <c r="G35" i="110" l="1"/>
  <c r="W35" i="110" s="1"/>
  <c r="V35" i="110"/>
  <c r="I73" i="110"/>
  <c r="Y73" i="110" s="1"/>
  <c r="X73" i="110"/>
  <c r="R65" i="105"/>
  <c r="S65" i="105" s="1"/>
  <c r="P181" i="103"/>
  <c r="R181" i="103" s="1"/>
  <c r="E36" i="110"/>
  <c r="Y182" i="103"/>
  <c r="S182" i="103"/>
  <c r="Z182" i="103"/>
  <c r="Y63" i="103"/>
  <c r="Z63" i="103"/>
  <c r="Y65" i="103"/>
  <c r="Z65" i="103"/>
  <c r="S94" i="103"/>
  <c r="R65" i="103"/>
  <c r="S65" i="103" s="1"/>
  <c r="E171" i="110"/>
  <c r="E18" i="118"/>
  <c r="F18" i="118" s="1"/>
  <c r="G119" i="110"/>
  <c r="G117" i="110"/>
  <c r="S134" i="104"/>
  <c r="R136" i="104"/>
  <c r="S136" i="104" s="1"/>
  <c r="S134" i="105"/>
  <c r="R136" i="105"/>
  <c r="S136" i="105" s="1"/>
  <c r="R63" i="103"/>
  <c r="S63" i="103" s="1"/>
  <c r="D7" i="118" l="1"/>
  <c r="E7" i="118" s="1"/>
  <c r="F7" i="118" s="1"/>
  <c r="H35" i="110"/>
  <c r="X35" i="110" s="1"/>
  <c r="S181" i="103"/>
  <c r="Y181" i="103"/>
  <c r="Z181" i="103"/>
  <c r="F36" i="110"/>
  <c r="F171" i="110"/>
  <c r="I35" i="110" l="1"/>
  <c r="Y35" i="110" s="1"/>
  <c r="G38" i="110"/>
  <c r="G36" i="110"/>
  <c r="G171" i="110"/>
  <c r="I117" i="110"/>
  <c r="J116" i="110"/>
  <c r="I104" i="104"/>
  <c r="F104" i="105"/>
  <c r="M104" i="105"/>
  <c r="J104" i="105"/>
  <c r="M104" i="103"/>
  <c r="H104" i="103"/>
  <c r="N104" i="105"/>
  <c r="O104" i="104"/>
  <c r="E104" i="105"/>
  <c r="I104" i="103"/>
  <c r="F104" i="104"/>
  <c r="M104" i="104"/>
  <c r="J104" i="104"/>
  <c r="L104" i="103"/>
  <c r="G104" i="103"/>
  <c r="N104" i="104"/>
  <c r="O104" i="105"/>
  <c r="E104" i="104"/>
  <c r="H104" i="105"/>
  <c r="L104" i="105"/>
  <c r="D104" i="105"/>
  <c r="O104" i="103"/>
  <c r="K104" i="103"/>
  <c r="F104" i="103"/>
  <c r="G104" i="105"/>
  <c r="K104" i="105"/>
  <c r="I104" i="105"/>
  <c r="H104" i="104"/>
  <c r="L104" i="104"/>
  <c r="D104" i="104"/>
  <c r="N104" i="103"/>
  <c r="J104" i="103"/>
  <c r="E104" i="103"/>
  <c r="G104" i="104"/>
  <c r="K104" i="104"/>
  <c r="I99" i="105"/>
  <c r="J99" i="104"/>
  <c r="O99" i="104"/>
  <c r="K99" i="103"/>
  <c r="E99" i="104"/>
  <c r="F99" i="105"/>
  <c r="M99" i="103"/>
  <c r="O99" i="105"/>
  <c r="E99" i="103"/>
  <c r="H99" i="104"/>
  <c r="E99" i="105"/>
  <c r="J99" i="103"/>
  <c r="I99" i="104"/>
  <c r="L99" i="104"/>
  <c r="K99" i="104"/>
  <c r="G99" i="105"/>
  <c r="L99" i="105"/>
  <c r="L99" i="103"/>
  <c r="F99" i="104"/>
  <c r="N99" i="105"/>
  <c r="M99" i="104"/>
  <c r="F99" i="103"/>
  <c r="D99" i="104"/>
  <c r="K99" i="105"/>
  <c r="D99" i="105"/>
  <c r="N99" i="104"/>
  <c r="M99" i="105"/>
  <c r="G99" i="104"/>
  <c r="H99" i="105"/>
  <c r="N99" i="103"/>
  <c r="J99" i="105"/>
  <c r="H99" i="103"/>
  <c r="O161" i="105"/>
  <c r="N161" i="105"/>
  <c r="M161" i="105"/>
  <c r="L161" i="105"/>
  <c r="K161" i="105"/>
  <c r="J161" i="105"/>
  <c r="I80" i="103"/>
  <c r="D161" i="105"/>
  <c r="I80" i="104"/>
  <c r="I128" i="110" s="1"/>
  <c r="Y128" i="110" s="1"/>
  <c r="H80" i="104"/>
  <c r="H128" i="110" s="1"/>
  <c r="X128" i="110" s="1"/>
  <c r="F80" i="103"/>
  <c r="F177" i="103" s="1"/>
  <c r="E80" i="103"/>
  <c r="N80" i="103"/>
  <c r="M80" i="103"/>
  <c r="L80" i="103"/>
  <c r="K80" i="103"/>
  <c r="J80" i="103"/>
  <c r="G80" i="104"/>
  <c r="G128" i="110" s="1"/>
  <c r="W128" i="110" s="1"/>
  <c r="I161" i="105"/>
  <c r="H161" i="105"/>
  <c r="F80" i="104"/>
  <c r="F128" i="110" s="1"/>
  <c r="V128" i="110" s="1"/>
  <c r="E80" i="104"/>
  <c r="E128" i="110" s="1"/>
  <c r="U128" i="110" s="1"/>
  <c r="O80" i="104"/>
  <c r="O128" i="110" s="1"/>
  <c r="AE128" i="110" s="1"/>
  <c r="N80" i="104"/>
  <c r="N128" i="110" s="1"/>
  <c r="AD128" i="110" s="1"/>
  <c r="M80" i="104"/>
  <c r="M128" i="110" s="1"/>
  <c r="AC128" i="110" s="1"/>
  <c r="L80" i="104"/>
  <c r="L128" i="110" s="1"/>
  <c r="AB128" i="110" s="1"/>
  <c r="K80" i="104"/>
  <c r="K128" i="110" s="1"/>
  <c r="AA128" i="110" s="1"/>
  <c r="J80" i="104"/>
  <c r="J128" i="110" s="1"/>
  <c r="Z128" i="110" s="1"/>
  <c r="G161" i="105"/>
  <c r="F161" i="105"/>
  <c r="E161" i="105"/>
  <c r="D80" i="104"/>
  <c r="K113" i="103"/>
  <c r="J113" i="105"/>
  <c r="I113" i="105"/>
  <c r="M113" i="105"/>
  <c r="I113" i="103"/>
  <c r="N113" i="103"/>
  <c r="K113" i="105"/>
  <c r="D113" i="105"/>
  <c r="D113" i="104"/>
  <c r="H113" i="105"/>
  <c r="G113" i="105"/>
  <c r="L113" i="105"/>
  <c r="J113" i="103"/>
  <c r="E113" i="105"/>
  <c r="F113" i="105"/>
  <c r="N113" i="105"/>
  <c r="O113" i="105"/>
  <c r="E113" i="104"/>
  <c r="F113" i="104"/>
  <c r="H113" i="103"/>
  <c r="G80" i="103"/>
  <c r="I32" i="105"/>
  <c r="L32" i="105"/>
  <c r="N32" i="104"/>
  <c r="O32" i="103"/>
  <c r="H32" i="105"/>
  <c r="G32" i="105"/>
  <c r="O32" i="105"/>
  <c r="E32" i="104"/>
  <c r="H32" i="104"/>
  <c r="F32" i="104"/>
  <c r="D32" i="104"/>
  <c r="E32" i="105"/>
  <c r="N32" i="105"/>
  <c r="I32" i="104"/>
  <c r="K32" i="105"/>
  <c r="L32" i="104"/>
  <c r="K32" i="104"/>
  <c r="F32" i="105"/>
  <c r="G32" i="104"/>
  <c r="J32" i="104"/>
  <c r="J32" i="105"/>
  <c r="N32" i="103"/>
  <c r="M32" i="104"/>
  <c r="O32" i="104"/>
  <c r="M32" i="105"/>
  <c r="D32" i="105"/>
  <c r="I45" i="105"/>
  <c r="G45" i="104"/>
  <c r="L45" i="104"/>
  <c r="D45" i="105"/>
  <c r="F45" i="105"/>
  <c r="J45" i="104"/>
  <c r="M45" i="104"/>
  <c r="O45" i="105"/>
  <c r="H45" i="105"/>
  <c r="I45" i="104"/>
  <c r="K45" i="104"/>
  <c r="N45" i="105"/>
  <c r="G45" i="105"/>
  <c r="H45" i="104"/>
  <c r="F45" i="104"/>
  <c r="M45" i="105"/>
  <c r="E45" i="105"/>
  <c r="E45" i="104"/>
  <c r="L45" i="105"/>
  <c r="D45" i="104"/>
  <c r="K45" i="105"/>
  <c r="N45" i="104"/>
  <c r="J45" i="105"/>
  <c r="O45" i="104"/>
  <c r="J48" i="104"/>
  <c r="O48" i="104"/>
  <c r="E48" i="104"/>
  <c r="O48" i="105"/>
  <c r="F48" i="105"/>
  <c r="M48" i="104"/>
  <c r="D48" i="104"/>
  <c r="J48" i="105"/>
  <c r="I48" i="105"/>
  <c r="L48" i="105"/>
  <c r="F48" i="104"/>
  <c r="K48" i="104"/>
  <c r="H48" i="105"/>
  <c r="N48" i="104"/>
  <c r="N48" i="105"/>
  <c r="L48" i="104"/>
  <c r="I48" i="104"/>
  <c r="D48" i="105"/>
  <c r="G48" i="104"/>
  <c r="E48" i="105"/>
  <c r="M48" i="105"/>
  <c r="H48" i="104"/>
  <c r="K48" i="105"/>
  <c r="G48" i="105"/>
  <c r="K50" i="104"/>
  <c r="J50" i="105"/>
  <c r="I50" i="105"/>
  <c r="M50" i="104"/>
  <c r="D50" i="105"/>
  <c r="G50" i="105"/>
  <c r="L50" i="104"/>
  <c r="O50" i="105"/>
  <c r="N50" i="104"/>
  <c r="J50" i="104"/>
  <c r="H50" i="104"/>
  <c r="F50" i="105"/>
  <c r="G50" i="104"/>
  <c r="D50" i="104"/>
  <c r="I50" i="104"/>
  <c r="E50" i="104"/>
  <c r="E50" i="105"/>
  <c r="N50" i="105"/>
  <c r="O50" i="104"/>
  <c r="K50" i="105"/>
  <c r="F50" i="104"/>
  <c r="H50" i="105"/>
  <c r="L50" i="105"/>
  <c r="M50" i="105"/>
  <c r="M49" i="105"/>
  <c r="M152" i="105" s="1"/>
  <c r="I49" i="105"/>
  <c r="I152" i="105" s="1"/>
  <c r="D49" i="105"/>
  <c r="H49" i="105"/>
  <c r="H152" i="105" s="1"/>
  <c r="J49" i="105"/>
  <c r="J152" i="105" s="1"/>
  <c r="O49" i="103"/>
  <c r="O152" i="103" s="1"/>
  <c r="K49" i="105"/>
  <c r="K152" i="105" s="1"/>
  <c r="N49" i="103"/>
  <c r="N152" i="103" s="1"/>
  <c r="O49" i="105"/>
  <c r="O152" i="105" s="1"/>
  <c r="F49" i="105"/>
  <c r="F152" i="105" s="1"/>
  <c r="E49" i="105"/>
  <c r="L49" i="105"/>
  <c r="L152" i="105" s="1"/>
  <c r="G49" i="105"/>
  <c r="G152" i="105" s="1"/>
  <c r="N49" i="105"/>
  <c r="N152" i="105" s="1"/>
  <c r="K37" i="104"/>
  <c r="H37" i="104"/>
  <c r="H149" i="110" s="1"/>
  <c r="X149" i="110" s="1"/>
  <c r="N37" i="104"/>
  <c r="J37" i="105"/>
  <c r="J163" i="105" s="1"/>
  <c r="O37" i="104"/>
  <c r="F37" i="104"/>
  <c r="F149" i="110" s="1"/>
  <c r="V149" i="110" s="1"/>
  <c r="O37" i="105"/>
  <c r="O163" i="105" s="1"/>
  <c r="G37" i="105"/>
  <c r="G163" i="105" s="1"/>
  <c r="M37" i="105"/>
  <c r="M163" i="105" s="1"/>
  <c r="L37" i="105"/>
  <c r="L163" i="105" s="1"/>
  <c r="I37" i="105"/>
  <c r="I163" i="105" s="1"/>
  <c r="G37" i="104"/>
  <c r="G149" i="110" s="1"/>
  <c r="W149" i="110" s="1"/>
  <c r="M37" i="104"/>
  <c r="I37" i="104"/>
  <c r="E37" i="104"/>
  <c r="E149" i="110" s="1"/>
  <c r="U149" i="110" s="1"/>
  <c r="D37" i="104"/>
  <c r="N37" i="105"/>
  <c r="N163" i="105" s="1"/>
  <c r="K37" i="105"/>
  <c r="K163" i="105" s="1"/>
  <c r="E37" i="105"/>
  <c r="J37" i="104"/>
  <c r="F37" i="105"/>
  <c r="F163" i="105" s="1"/>
  <c r="H37" i="105"/>
  <c r="H163" i="105" s="1"/>
  <c r="D37" i="105"/>
  <c r="L51" i="104"/>
  <c r="J51" i="104"/>
  <c r="J51" i="105"/>
  <c r="N51" i="105"/>
  <c r="I51" i="105"/>
  <c r="M51" i="105"/>
  <c r="M51" i="104"/>
  <c r="E51" i="104"/>
  <c r="G51" i="105"/>
  <c r="K51" i="105"/>
  <c r="H51" i="104"/>
  <c r="F51" i="105"/>
  <c r="D51" i="105"/>
  <c r="F51" i="104"/>
  <c r="O51" i="104"/>
  <c r="O51" i="105"/>
  <c r="G51" i="104"/>
  <c r="D51" i="104"/>
  <c r="K51" i="104"/>
  <c r="L51" i="105"/>
  <c r="E51" i="105"/>
  <c r="I51" i="104"/>
  <c r="H51" i="105"/>
  <c r="N51" i="104"/>
  <c r="E29" i="104"/>
  <c r="I29" i="105"/>
  <c r="H29" i="105"/>
  <c r="G29" i="104"/>
  <c r="G29" i="105"/>
  <c r="E29" i="105"/>
  <c r="L29" i="105"/>
  <c r="F29" i="105"/>
  <c r="J29" i="105"/>
  <c r="I29" i="104"/>
  <c r="M29" i="105"/>
  <c r="M29" i="104"/>
  <c r="L29" i="104"/>
  <c r="H29" i="104"/>
  <c r="K29" i="105"/>
  <c r="O29" i="104"/>
  <c r="J29" i="104"/>
  <c r="F29" i="104"/>
  <c r="K29" i="104"/>
  <c r="N29" i="104"/>
  <c r="D29" i="105"/>
  <c r="O29" i="105"/>
  <c r="D29" i="104"/>
  <c r="N29" i="105"/>
  <c r="J26" i="105"/>
  <c r="D26" i="104"/>
  <c r="K26" i="104"/>
  <c r="G26" i="104"/>
  <c r="N26" i="105"/>
  <c r="M26" i="104"/>
  <c r="H26" i="105"/>
  <c r="J26" i="104"/>
  <c r="L26" i="105"/>
  <c r="E26" i="105"/>
  <c r="G26" i="105"/>
  <c r="O26" i="104"/>
  <c r="E26" i="104"/>
  <c r="O26" i="105"/>
  <c r="D26" i="105"/>
  <c r="H26" i="104"/>
  <c r="F26" i="104"/>
  <c r="K26" i="105"/>
  <c r="F26" i="105"/>
  <c r="N26" i="104"/>
  <c r="I26" i="104"/>
  <c r="M26" i="105"/>
  <c r="L26" i="104"/>
  <c r="I26" i="105"/>
  <c r="E30" i="104"/>
  <c r="N30" i="104"/>
  <c r="L30" i="104"/>
  <c r="J30" i="105"/>
  <c r="D30" i="104"/>
  <c r="L30" i="105"/>
  <c r="G30" i="105"/>
  <c r="F30" i="105"/>
  <c r="H30" i="104"/>
  <c r="O30" i="105"/>
  <c r="M30" i="105"/>
  <c r="K30" i="104"/>
  <c r="K30" i="105"/>
  <c r="E30" i="105"/>
  <c r="N30" i="105"/>
  <c r="G30" i="104"/>
  <c r="D30" i="105"/>
  <c r="I30" i="105"/>
  <c r="M30" i="104"/>
  <c r="F30" i="104"/>
  <c r="H30" i="105"/>
  <c r="I30" i="104"/>
  <c r="O30" i="104"/>
  <c r="J30" i="104"/>
  <c r="N36" i="105"/>
  <c r="O36" i="104"/>
  <c r="E36" i="104"/>
  <c r="H36" i="105"/>
  <c r="H36" i="104"/>
  <c r="J36" i="105"/>
  <c r="F36" i="104"/>
  <c r="M36" i="105"/>
  <c r="M36" i="104"/>
  <c r="I36" i="103"/>
  <c r="I36" i="104"/>
  <c r="L36" i="105"/>
  <c r="O36" i="105"/>
  <c r="D36" i="104"/>
  <c r="G36" i="105"/>
  <c r="G36" i="104"/>
  <c r="L36" i="104"/>
  <c r="K36" i="104"/>
  <c r="I36" i="105"/>
  <c r="K36" i="105"/>
  <c r="E36" i="105"/>
  <c r="F36" i="105"/>
  <c r="D36" i="105"/>
  <c r="N36" i="104"/>
  <c r="J36" i="104"/>
  <c r="M36" i="103"/>
  <c r="F36" i="103"/>
  <c r="H36" i="103"/>
  <c r="J36" i="103"/>
  <c r="K36" i="103"/>
  <c r="E36" i="103"/>
  <c r="G36" i="103"/>
  <c r="O27" i="104"/>
  <c r="N27" i="105"/>
  <c r="L27" i="105"/>
  <c r="F27" i="105"/>
  <c r="E27" i="105"/>
  <c r="H27" i="104"/>
  <c r="G27" i="104"/>
  <c r="J27" i="105"/>
  <c r="J27" i="104"/>
  <c r="D27" i="105"/>
  <c r="E27" i="104"/>
  <c r="N27" i="104"/>
  <c r="F27" i="104"/>
  <c r="O27" i="105"/>
  <c r="G27" i="105"/>
  <c r="D27" i="104"/>
  <c r="I27" i="104"/>
  <c r="L27" i="104"/>
  <c r="M27" i="104"/>
  <c r="H27" i="105"/>
  <c r="I27" i="105"/>
  <c r="M27" i="105"/>
  <c r="K101" i="105"/>
  <c r="G101" i="105"/>
  <c r="E101" i="104"/>
  <c r="M101" i="105"/>
  <c r="L101" i="104"/>
  <c r="F101" i="105"/>
  <c r="F101" i="103"/>
  <c r="K101" i="103"/>
  <c r="D101" i="103"/>
  <c r="F101" i="104"/>
  <c r="E101" i="105"/>
  <c r="I101" i="104"/>
  <c r="M101" i="104"/>
  <c r="D101" i="104"/>
  <c r="O101" i="105"/>
  <c r="J101" i="105"/>
  <c r="O101" i="104"/>
  <c r="O101" i="103"/>
  <c r="G101" i="104"/>
  <c r="N101" i="104"/>
  <c r="I101" i="103"/>
  <c r="J101" i="104"/>
  <c r="N101" i="105"/>
  <c r="L101" i="105"/>
  <c r="N101" i="103"/>
  <c r="H101" i="104"/>
  <c r="D101" i="105"/>
  <c r="K101" i="104"/>
  <c r="I101" i="105"/>
  <c r="H101" i="105"/>
  <c r="M103" i="105"/>
  <c r="I103" i="105"/>
  <c r="G103" i="104"/>
  <c r="H103" i="104"/>
  <c r="J103" i="104"/>
  <c r="N103" i="105"/>
  <c r="J103" i="105"/>
  <c r="O103" i="104"/>
  <c r="I103" i="104"/>
  <c r="N103" i="104"/>
  <c r="F103" i="104"/>
  <c r="E103" i="104"/>
  <c r="O103" i="105"/>
  <c r="M103" i="104"/>
  <c r="L103" i="105"/>
  <c r="K103" i="105"/>
  <c r="K103" i="104"/>
  <c r="L103" i="104"/>
  <c r="H103" i="105"/>
  <c r="D103" i="104"/>
  <c r="O103" i="103"/>
  <c r="F21" i="105"/>
  <c r="L21" i="104"/>
  <c r="K21" i="104"/>
  <c r="D21" i="105"/>
  <c r="K21" i="105"/>
  <c r="D21" i="104"/>
  <c r="F21" i="104"/>
  <c r="H21" i="104"/>
  <c r="J21" i="104"/>
  <c r="E21" i="105"/>
  <c r="N21" i="104"/>
  <c r="N21" i="105"/>
  <c r="G21" i="104"/>
  <c r="H21" i="105"/>
  <c r="J21" i="105"/>
  <c r="O21" i="105"/>
  <c r="M21" i="104"/>
  <c r="I21" i="105"/>
  <c r="L21" i="105"/>
  <c r="M21" i="105"/>
  <c r="E21" i="104"/>
  <c r="I21" i="104"/>
  <c r="O21" i="104"/>
  <c r="G21" i="105"/>
  <c r="L39" i="105"/>
  <c r="I39" i="104"/>
  <c r="I17" i="110" s="1"/>
  <c r="Y17" i="110" s="1"/>
  <c r="N39" i="105"/>
  <c r="J39" i="105"/>
  <c r="F39" i="105"/>
  <c r="K39" i="104"/>
  <c r="K17" i="110" s="1"/>
  <c r="AA17" i="110" s="1"/>
  <c r="I39" i="105"/>
  <c r="K39" i="105"/>
  <c r="L39" i="104"/>
  <c r="L17" i="110" s="1"/>
  <c r="AB17" i="110" s="1"/>
  <c r="E39" i="105"/>
  <c r="G39" i="104"/>
  <c r="G17" i="110" s="1"/>
  <c r="W17" i="110" s="1"/>
  <c r="J39" i="104"/>
  <c r="J17" i="110" s="1"/>
  <c r="Z17" i="110" s="1"/>
  <c r="M39" i="104"/>
  <c r="M17" i="110" s="1"/>
  <c r="AC17" i="110" s="1"/>
  <c r="H39" i="104"/>
  <c r="H17" i="110" s="1"/>
  <c r="X17" i="110" s="1"/>
  <c r="N39" i="104"/>
  <c r="N17" i="110" s="1"/>
  <c r="AD17" i="110" s="1"/>
  <c r="H39" i="105"/>
  <c r="E39" i="104"/>
  <c r="E17" i="110" s="1"/>
  <c r="U17" i="110" s="1"/>
  <c r="G39" i="105"/>
  <c r="D39" i="104"/>
  <c r="O39" i="105"/>
  <c r="O39" i="104"/>
  <c r="O17" i="110" s="1"/>
  <c r="AE17" i="110" s="1"/>
  <c r="F39" i="104"/>
  <c r="F17" i="110" s="1"/>
  <c r="V17" i="110" s="1"/>
  <c r="M39" i="105"/>
  <c r="D39" i="105"/>
  <c r="J31" i="104"/>
  <c r="N31" i="105"/>
  <c r="I31" i="104"/>
  <c r="I31" i="105"/>
  <c r="E31" i="104"/>
  <c r="L31" i="105"/>
  <c r="L31" i="104"/>
  <c r="O31" i="104"/>
  <c r="F31" i="105"/>
  <c r="F31" i="104"/>
  <c r="M31" i="105"/>
  <c r="H31" i="104"/>
  <c r="J31" i="105"/>
  <c r="M31" i="104"/>
  <c r="G31" i="105"/>
  <c r="K31" i="105"/>
  <c r="O31" i="105"/>
  <c r="E31" i="105"/>
  <c r="K31" i="104"/>
  <c r="D31" i="104"/>
  <c r="H31" i="105"/>
  <c r="N31" i="104"/>
  <c r="G31" i="104"/>
  <c r="D31" i="105"/>
  <c r="K38" i="105"/>
  <c r="G38" i="105"/>
  <c r="N38" i="105"/>
  <c r="D38" i="105"/>
  <c r="J38" i="104"/>
  <c r="F38" i="105"/>
  <c r="J38" i="105"/>
  <c r="F38" i="104"/>
  <c r="O38" i="104"/>
  <c r="I38" i="105"/>
  <c r="I38" i="104"/>
  <c r="G38" i="104"/>
  <c r="E38" i="104"/>
  <c r="L38" i="105"/>
  <c r="O38" i="105"/>
  <c r="H38" i="105"/>
  <c r="H38" i="104"/>
  <c r="M38" i="104"/>
  <c r="N38" i="104"/>
  <c r="E38" i="105"/>
  <c r="L38" i="104"/>
  <c r="D38" i="104"/>
  <c r="K38" i="104"/>
  <c r="M38" i="105"/>
  <c r="E34" i="105"/>
  <c r="N34" i="105"/>
  <c r="I34" i="105"/>
  <c r="L34" i="105"/>
  <c r="G34" i="105"/>
  <c r="F34" i="105"/>
  <c r="J34" i="105"/>
  <c r="D34" i="105"/>
  <c r="M34" i="105"/>
  <c r="H34" i="105"/>
  <c r="K34" i="105"/>
  <c r="O34" i="105"/>
  <c r="K34" i="104"/>
  <c r="J34" i="104"/>
  <c r="O34" i="104"/>
  <c r="I34" i="104"/>
  <c r="H34" i="104"/>
  <c r="N34" i="104"/>
  <c r="G34" i="104"/>
  <c r="M34" i="104"/>
  <c r="E34" i="104"/>
  <c r="D34" i="104"/>
  <c r="F34" i="104"/>
  <c r="L34" i="104"/>
  <c r="N20" i="104"/>
  <c r="E20" i="104"/>
  <c r="H20" i="105"/>
  <c r="N20" i="105"/>
  <c r="G20" i="104"/>
  <c r="L20" i="104"/>
  <c r="K20" i="104"/>
  <c r="M20" i="104"/>
  <c r="D20" i="104"/>
  <c r="H20" i="104"/>
  <c r="F20" i="105"/>
  <c r="O20" i="104"/>
  <c r="I20" i="104"/>
  <c r="D20" i="105"/>
  <c r="J20" i="104"/>
  <c r="J20" i="105"/>
  <c r="E20" i="105"/>
  <c r="O20" i="105"/>
  <c r="I20" i="105"/>
  <c r="K20" i="105"/>
  <c r="G20" i="105"/>
  <c r="M20" i="105"/>
  <c r="F20" i="104"/>
  <c r="L20" i="105"/>
  <c r="N102" i="104"/>
  <c r="E102" i="104"/>
  <c r="L102" i="105"/>
  <c r="K102" i="105"/>
  <c r="J102" i="104"/>
  <c r="H102" i="105"/>
  <c r="D102" i="104"/>
  <c r="O102" i="105"/>
  <c r="E102" i="105"/>
  <c r="F102" i="104"/>
  <c r="E102" i="103"/>
  <c r="D102" i="105"/>
  <c r="J102" i="103"/>
  <c r="J102" i="105"/>
  <c r="L102" i="103"/>
  <c r="L102" i="104"/>
  <c r="O102" i="104"/>
  <c r="M102" i="103"/>
  <c r="G102" i="105"/>
  <c r="M102" i="105"/>
  <c r="N102" i="105"/>
  <c r="K102" i="104"/>
  <c r="F102" i="105"/>
  <c r="M102" i="104"/>
  <c r="I102" i="104"/>
  <c r="H102" i="104"/>
  <c r="I102" i="105"/>
  <c r="G102" i="104"/>
  <c r="I115" i="103"/>
  <c r="N68" i="104"/>
  <c r="E68" i="104"/>
  <c r="J68" i="104"/>
  <c r="O68" i="105"/>
  <c r="I68" i="105"/>
  <c r="L68" i="105"/>
  <c r="K68" i="105"/>
  <c r="E68" i="105"/>
  <c r="H68" i="105"/>
  <c r="H68" i="104"/>
  <c r="L68" i="104"/>
  <c r="G68" i="105"/>
  <c r="D68" i="105"/>
  <c r="G68" i="104"/>
  <c r="O68" i="104"/>
  <c r="M68" i="104"/>
  <c r="N68" i="105"/>
  <c r="K68" i="104"/>
  <c r="I68" i="104"/>
  <c r="J68" i="105"/>
  <c r="D68" i="104"/>
  <c r="F68" i="105"/>
  <c r="F68" i="104"/>
  <c r="M68" i="105"/>
  <c r="M7" i="104"/>
  <c r="L7" i="104"/>
  <c r="I7" i="104"/>
  <c r="D7" i="104"/>
  <c r="G7" i="105"/>
  <c r="J7" i="104"/>
  <c r="M7" i="105"/>
  <c r="E7" i="105"/>
  <c r="I7" i="105"/>
  <c r="D7" i="105"/>
  <c r="O7" i="105"/>
  <c r="L7" i="105"/>
  <c r="H7" i="104"/>
  <c r="J7" i="105"/>
  <c r="N7" i="104"/>
  <c r="F7" i="105"/>
  <c r="F7" i="104"/>
  <c r="H7" i="105"/>
  <c r="N7" i="105"/>
  <c r="K7" i="105"/>
  <c r="G7" i="104"/>
  <c r="K7" i="104"/>
  <c r="O7" i="104"/>
  <c r="E7" i="104"/>
  <c r="I13" i="104"/>
  <c r="J13" i="105"/>
  <c r="J13" i="104"/>
  <c r="F13" i="105"/>
  <c r="H13" i="105"/>
  <c r="I13" i="105"/>
  <c r="H13" i="104"/>
  <c r="K13" i="105"/>
  <c r="G13" i="104"/>
  <c r="F13" i="104"/>
  <c r="O13" i="104"/>
  <c r="M13" i="104"/>
  <c r="E13" i="104"/>
  <c r="N13" i="104"/>
  <c r="E13" i="105"/>
  <c r="L13" i="104"/>
  <c r="D13" i="105"/>
  <c r="O13" i="105"/>
  <c r="L13" i="105"/>
  <c r="M13" i="105"/>
  <c r="K13" i="104"/>
  <c r="G13" i="105"/>
  <c r="N13" i="105"/>
  <c r="D13" i="104"/>
  <c r="I10" i="104"/>
  <c r="L10" i="104"/>
  <c r="M10" i="104"/>
  <c r="K10" i="105"/>
  <c r="D10" i="105"/>
  <c r="J10" i="105"/>
  <c r="E10" i="104"/>
  <c r="I10" i="105"/>
  <c r="L10" i="105"/>
  <c r="K10" i="104"/>
  <c r="N10" i="105"/>
  <c r="G10" i="105"/>
  <c r="G10" i="104"/>
  <c r="N10" i="104"/>
  <c r="F10" i="104"/>
  <c r="O10" i="104"/>
  <c r="F10" i="105"/>
  <c r="H10" i="105"/>
  <c r="D10" i="104"/>
  <c r="O10" i="105"/>
  <c r="E10" i="105"/>
  <c r="H10" i="104"/>
  <c r="M10" i="105"/>
  <c r="J10" i="104"/>
  <c r="E66" i="105"/>
  <c r="F66" i="105"/>
  <c r="G66" i="105"/>
  <c r="L66" i="104"/>
  <c r="D66" i="105"/>
  <c r="J66" i="105"/>
  <c r="N66" i="104"/>
  <c r="M66" i="105"/>
  <c r="K66" i="104"/>
  <c r="I66" i="105"/>
  <c r="H66" i="105"/>
  <c r="M66" i="104"/>
  <c r="G66" i="104"/>
  <c r="I66" i="104"/>
  <c r="L66" i="105"/>
  <c r="O66" i="105"/>
  <c r="E66" i="104"/>
  <c r="N66" i="105"/>
  <c r="K66" i="105"/>
  <c r="F66" i="104"/>
  <c r="J66" i="104"/>
  <c r="O66" i="104"/>
  <c r="D66" i="104"/>
  <c r="N115" i="104"/>
  <c r="L115" i="104"/>
  <c r="D115" i="104"/>
  <c r="L115" i="105"/>
  <c r="O115" i="105"/>
  <c r="M115" i="105"/>
  <c r="F115" i="104"/>
  <c r="F115" i="105"/>
  <c r="N115" i="105"/>
  <c r="G115" i="105"/>
  <c r="K115" i="104"/>
  <c r="H115" i="105"/>
  <c r="K115" i="105"/>
  <c r="I115" i="104"/>
  <c r="E115" i="105"/>
  <c r="J115" i="105"/>
  <c r="D115" i="105"/>
  <c r="G115" i="104"/>
  <c r="O115" i="104"/>
  <c r="E115" i="104"/>
  <c r="M115" i="104"/>
  <c r="H115" i="104"/>
  <c r="J115" i="104"/>
  <c r="I115" i="105"/>
  <c r="G98" i="105"/>
  <c r="E98" i="105"/>
  <c r="N98" i="104"/>
  <c r="J98" i="105"/>
  <c r="F98" i="104"/>
  <c r="M98" i="105"/>
  <c r="K98" i="104"/>
  <c r="I98" i="105"/>
  <c r="H98" i="105"/>
  <c r="H98" i="104"/>
  <c r="L98" i="105"/>
  <c r="O98" i="105"/>
  <c r="F98" i="105"/>
  <c r="E98" i="104"/>
  <c r="N98" i="105"/>
  <c r="K98" i="105"/>
  <c r="D98" i="105"/>
  <c r="O98" i="104"/>
  <c r="G98" i="104"/>
  <c r="M98" i="104"/>
  <c r="J98" i="104"/>
  <c r="I98" i="104"/>
  <c r="L98" i="104"/>
  <c r="D98" i="104"/>
  <c r="G8" i="105"/>
  <c r="O8" i="104"/>
  <c r="G8" i="104"/>
  <c r="L8" i="104"/>
  <c r="D8" i="105"/>
  <c r="H8" i="105"/>
  <c r="H8" i="104"/>
  <c r="E8" i="104"/>
  <c r="K8" i="105"/>
  <c r="I8" i="104"/>
  <c r="N8" i="105"/>
  <c r="M8" i="105"/>
  <c r="O8" i="105"/>
  <c r="E8" i="105"/>
  <c r="N8" i="104"/>
  <c r="L8" i="105"/>
  <c r="K8" i="104"/>
  <c r="F8" i="104"/>
  <c r="D8" i="104"/>
  <c r="I8" i="105"/>
  <c r="J8" i="104"/>
  <c r="M8" i="104"/>
  <c r="J8" i="105"/>
  <c r="F8" i="105"/>
  <c r="M67" i="105"/>
  <c r="F67" i="105"/>
  <c r="G67" i="105"/>
  <c r="O67" i="104"/>
  <c r="K67" i="104"/>
  <c r="H67" i="105"/>
  <c r="K67" i="105"/>
  <c r="I67" i="105"/>
  <c r="E67" i="105"/>
  <c r="O67" i="105"/>
  <c r="J67" i="105"/>
  <c r="N67" i="105"/>
  <c r="D67" i="105"/>
  <c r="M67" i="104"/>
  <c r="G67" i="104"/>
  <c r="L67" i="104"/>
  <c r="J67" i="104"/>
  <c r="N67" i="104"/>
  <c r="E67" i="104"/>
  <c r="H67" i="104"/>
  <c r="D67" i="104"/>
  <c r="I67" i="104"/>
  <c r="F67" i="104"/>
  <c r="L67" i="105"/>
  <c r="K5" i="105"/>
  <c r="K156" i="105" s="1"/>
  <c r="D5" i="104"/>
  <c r="M5" i="104"/>
  <c r="M100" i="110" s="1"/>
  <c r="AC100" i="110" s="1"/>
  <c r="N5" i="105"/>
  <c r="N156" i="105" s="1"/>
  <c r="F5" i="105"/>
  <c r="F156" i="105" s="1"/>
  <c r="G5" i="105"/>
  <c r="G156" i="105" s="1"/>
  <c r="J5" i="105"/>
  <c r="J156" i="105" s="1"/>
  <c r="N5" i="104"/>
  <c r="N100" i="110" s="1"/>
  <c r="AD100" i="110" s="1"/>
  <c r="E5" i="104"/>
  <c r="E100" i="110" s="1"/>
  <c r="U100" i="110" s="1"/>
  <c r="K5" i="104"/>
  <c r="K100" i="110" s="1"/>
  <c r="AA100" i="110" s="1"/>
  <c r="F5" i="104"/>
  <c r="F100" i="110" s="1"/>
  <c r="V100" i="110" s="1"/>
  <c r="I5" i="104"/>
  <c r="I100" i="110" s="1"/>
  <c r="Y100" i="110" s="1"/>
  <c r="L5" i="104"/>
  <c r="L100" i="110" s="1"/>
  <c r="AB100" i="110" s="1"/>
  <c r="L5" i="105"/>
  <c r="L156" i="105" s="1"/>
  <c r="J5" i="104"/>
  <c r="J100" i="110" s="1"/>
  <c r="Z100" i="110" s="1"/>
  <c r="O5" i="105"/>
  <c r="O156" i="105" s="1"/>
  <c r="D5" i="105"/>
  <c r="G5" i="104"/>
  <c r="G100" i="110" s="1"/>
  <c r="W100" i="110" s="1"/>
  <c r="H5" i="104"/>
  <c r="H100" i="110" s="1"/>
  <c r="X100" i="110" s="1"/>
  <c r="E5" i="105"/>
  <c r="M5" i="105"/>
  <c r="M156" i="105" s="1"/>
  <c r="I5" i="105"/>
  <c r="I156" i="105" s="1"/>
  <c r="H5" i="105"/>
  <c r="H156" i="105" s="1"/>
  <c r="O5" i="104"/>
  <c r="O100" i="110" s="1"/>
  <c r="AE100" i="110" s="1"/>
  <c r="L115" i="103"/>
  <c r="M115" i="103"/>
  <c r="G115" i="103"/>
  <c r="N115" i="103"/>
  <c r="E115" i="103"/>
  <c r="H115" i="103"/>
  <c r="O115" i="103"/>
  <c r="K115" i="103"/>
  <c r="J115" i="103"/>
  <c r="F115" i="103"/>
  <c r="O8" i="103"/>
  <c r="O7" i="103"/>
  <c r="K116" i="110" l="1"/>
  <c r="AA116" i="110" s="1"/>
  <c r="Z116" i="110"/>
  <c r="E152" i="105"/>
  <c r="E163" i="105"/>
  <c r="E156" i="105"/>
  <c r="P68" i="105"/>
  <c r="Q68" i="105" s="1"/>
  <c r="R68" i="105" s="1"/>
  <c r="S68" i="105" s="1"/>
  <c r="P26" i="105"/>
  <c r="Q26" i="105" s="1"/>
  <c r="P45" i="105"/>
  <c r="Q45" i="105" s="1"/>
  <c r="P50" i="105"/>
  <c r="Q50" i="105" s="1"/>
  <c r="P67" i="105"/>
  <c r="Q67" i="105" s="1"/>
  <c r="D152" i="105"/>
  <c r="P49" i="105"/>
  <c r="P152" i="105" s="1"/>
  <c r="P38" i="105"/>
  <c r="Q38" i="105" s="1"/>
  <c r="P21" i="105"/>
  <c r="Q21" i="105" s="1"/>
  <c r="P51" i="105"/>
  <c r="Q51" i="105" s="1"/>
  <c r="P7" i="105"/>
  <c r="Q7" i="105" s="1"/>
  <c r="D163" i="105"/>
  <c r="P37" i="105"/>
  <c r="P163" i="105" s="1"/>
  <c r="P20" i="105"/>
  <c r="Q20" i="105" s="1"/>
  <c r="P36" i="105"/>
  <c r="Q36" i="105" s="1"/>
  <c r="P32" i="105"/>
  <c r="Q32" i="105" s="1"/>
  <c r="P102" i="105"/>
  <c r="Q102" i="105" s="1"/>
  <c r="R102" i="105" s="1"/>
  <c r="S102" i="105" s="1"/>
  <c r="P31" i="105"/>
  <c r="Q31" i="105" s="1"/>
  <c r="P39" i="105"/>
  <c r="P146" i="105" s="1"/>
  <c r="P101" i="105"/>
  <c r="Q101" i="105" s="1"/>
  <c r="P29" i="105"/>
  <c r="Q29" i="105" s="1"/>
  <c r="P99" i="105"/>
  <c r="P113" i="105"/>
  <c r="Q113" i="105" s="1"/>
  <c r="P66" i="105"/>
  <c r="Q66" i="105" s="1"/>
  <c r="P10" i="105"/>
  <c r="Q10" i="105" s="1"/>
  <c r="P13" i="105"/>
  <c r="Q13" i="105" s="1"/>
  <c r="P103" i="105"/>
  <c r="Q103" i="105" s="1"/>
  <c r="R103" i="105" s="1"/>
  <c r="S103" i="105" s="1"/>
  <c r="D156" i="105"/>
  <c r="P5" i="105"/>
  <c r="Q5" i="105" s="1"/>
  <c r="P8" i="105"/>
  <c r="Q8" i="105" s="1"/>
  <c r="P98" i="105"/>
  <c r="Q98" i="105" s="1"/>
  <c r="P115" i="105"/>
  <c r="P164" i="105" s="1"/>
  <c r="P104" i="105"/>
  <c r="P34" i="105"/>
  <c r="Q34" i="105" s="1"/>
  <c r="P30" i="105"/>
  <c r="Q30" i="105" s="1"/>
  <c r="P48" i="105"/>
  <c r="Q48" i="105" s="1"/>
  <c r="H15" i="104"/>
  <c r="D185" i="104"/>
  <c r="P102" i="104"/>
  <c r="P80" i="104"/>
  <c r="R80" i="104" s="1"/>
  <c r="S80" i="104" s="1"/>
  <c r="P45" i="104"/>
  <c r="N149" i="110"/>
  <c r="AD149" i="110" s="1"/>
  <c r="N163" i="104"/>
  <c r="I149" i="110"/>
  <c r="Y149" i="110" s="1"/>
  <c r="I163" i="104"/>
  <c r="M149" i="110"/>
  <c r="AC149" i="110" s="1"/>
  <c r="M163" i="104"/>
  <c r="K149" i="110"/>
  <c r="AA149" i="110" s="1"/>
  <c r="K163" i="104"/>
  <c r="J149" i="110"/>
  <c r="Z149" i="110" s="1"/>
  <c r="J163" i="104"/>
  <c r="O149" i="110"/>
  <c r="AE149" i="110" s="1"/>
  <c r="O163" i="104"/>
  <c r="G15" i="104"/>
  <c r="P115" i="104"/>
  <c r="P164" i="104" s="1"/>
  <c r="P20" i="104"/>
  <c r="D17" i="110"/>
  <c r="P39" i="104"/>
  <c r="P146" i="104" s="1"/>
  <c r="P66" i="104"/>
  <c r="P21" i="104"/>
  <c r="P104" i="104"/>
  <c r="P98" i="104"/>
  <c r="P36" i="104"/>
  <c r="R36" i="104" s="1"/>
  <c r="S36" i="104" s="1"/>
  <c r="P26" i="104"/>
  <c r="T26" i="104" s="1"/>
  <c r="P68" i="104"/>
  <c r="P50" i="104"/>
  <c r="P67" i="104"/>
  <c r="P29" i="104"/>
  <c r="P8" i="104"/>
  <c r="P113" i="104"/>
  <c r="P10" i="104"/>
  <c r="P7" i="104"/>
  <c r="P103" i="104"/>
  <c r="P101" i="104"/>
  <c r="P32" i="104"/>
  <c r="P13" i="104"/>
  <c r="P34" i="104"/>
  <c r="P38" i="104"/>
  <c r="P99" i="104"/>
  <c r="P51" i="104"/>
  <c r="P48" i="104"/>
  <c r="P5" i="104"/>
  <c r="P156" i="104" s="1"/>
  <c r="P31" i="104"/>
  <c r="P30" i="104"/>
  <c r="D149" i="110"/>
  <c r="T149" i="110" s="1"/>
  <c r="P37" i="104"/>
  <c r="P163" i="104" s="1"/>
  <c r="R163" i="104" s="1"/>
  <c r="S163" i="104" s="1"/>
  <c r="I3" i="110"/>
  <c r="Y3" i="110" s="1"/>
  <c r="G185" i="104"/>
  <c r="J185" i="104"/>
  <c r="F185" i="104"/>
  <c r="N185" i="104"/>
  <c r="H185" i="105"/>
  <c r="F185" i="105"/>
  <c r="I185" i="105"/>
  <c r="O185" i="104"/>
  <c r="L185" i="104"/>
  <c r="K185" i="104"/>
  <c r="J185" i="105"/>
  <c r="M185" i="105"/>
  <c r="D185" i="105"/>
  <c r="O185" i="105"/>
  <c r="E185" i="104"/>
  <c r="H185" i="104"/>
  <c r="G185" i="105"/>
  <c r="M185" i="104"/>
  <c r="K185" i="105"/>
  <c r="L185" i="105"/>
  <c r="I185" i="104"/>
  <c r="N185" i="105"/>
  <c r="E185" i="105"/>
  <c r="D177" i="104"/>
  <c r="D128" i="110"/>
  <c r="F42" i="104"/>
  <c r="N42" i="104"/>
  <c r="H42" i="104"/>
  <c r="D42" i="104"/>
  <c r="G42" i="104"/>
  <c r="I42" i="104"/>
  <c r="K42" i="104"/>
  <c r="O42" i="104"/>
  <c r="L42" i="104"/>
  <c r="J42" i="104"/>
  <c r="E42" i="104"/>
  <c r="M42" i="104"/>
  <c r="D41" i="104"/>
  <c r="D167" i="104" s="1"/>
  <c r="F15" i="104"/>
  <c r="M15" i="104"/>
  <c r="D15" i="104"/>
  <c r="E15" i="104"/>
  <c r="D107" i="110"/>
  <c r="T107" i="110" s="1"/>
  <c r="N24" i="110"/>
  <c r="AD24" i="110" s="1"/>
  <c r="J24" i="110"/>
  <c r="Z24" i="110" s="1"/>
  <c r="M24" i="110"/>
  <c r="AC24" i="110" s="1"/>
  <c r="K50" i="110"/>
  <c r="AA50" i="110" s="1"/>
  <c r="O24" i="110"/>
  <c r="AE24" i="110" s="1"/>
  <c r="I24" i="110"/>
  <c r="Y24" i="110" s="1"/>
  <c r="H24" i="110"/>
  <c r="X24" i="110" s="1"/>
  <c r="L24" i="110"/>
  <c r="AB24" i="110" s="1"/>
  <c r="K24" i="110"/>
  <c r="AA24" i="110" s="1"/>
  <c r="O15" i="104"/>
  <c r="N15" i="104"/>
  <c r="I15" i="104"/>
  <c r="J15" i="104"/>
  <c r="K15" i="104"/>
  <c r="L15" i="104"/>
  <c r="E43" i="110"/>
  <c r="U43" i="110" s="1"/>
  <c r="F121" i="110"/>
  <c r="V121" i="110" s="1"/>
  <c r="D121" i="110"/>
  <c r="T121" i="110" s="1"/>
  <c r="F43" i="110"/>
  <c r="V43" i="110" s="1"/>
  <c r="D179" i="103"/>
  <c r="O179" i="104"/>
  <c r="I179" i="105"/>
  <c r="I184" i="105" s="1"/>
  <c r="M179" i="104"/>
  <c r="E179" i="105"/>
  <c r="E184" i="105" s="1"/>
  <c r="H177" i="104"/>
  <c r="E179" i="103"/>
  <c r="G179" i="103"/>
  <c r="G179" i="104"/>
  <c r="F179" i="105"/>
  <c r="F184" i="105" s="1"/>
  <c r="O177" i="104"/>
  <c r="D179" i="104"/>
  <c r="H179" i="105"/>
  <c r="H184" i="105" s="1"/>
  <c r="F177" i="104"/>
  <c r="I177" i="104"/>
  <c r="J179" i="104"/>
  <c r="K179" i="104"/>
  <c r="F179" i="104"/>
  <c r="M179" i="105"/>
  <c r="M184" i="105" s="1"/>
  <c r="G177" i="104"/>
  <c r="K179" i="105"/>
  <c r="K184" i="105" s="1"/>
  <c r="N179" i="104"/>
  <c r="E177" i="104"/>
  <c r="N179" i="105"/>
  <c r="N184" i="105" s="1"/>
  <c r="J179" i="105"/>
  <c r="J184" i="105" s="1"/>
  <c r="J177" i="104"/>
  <c r="E179" i="104"/>
  <c r="D179" i="105"/>
  <c r="D184" i="105" s="1"/>
  <c r="K177" i="104"/>
  <c r="F179" i="103"/>
  <c r="O179" i="105"/>
  <c r="O184" i="105" s="1"/>
  <c r="L179" i="104"/>
  <c r="L177" i="104"/>
  <c r="H179" i="103"/>
  <c r="L179" i="105"/>
  <c r="L184" i="105" s="1"/>
  <c r="G179" i="105"/>
  <c r="G184" i="105" s="1"/>
  <c r="M177" i="104"/>
  <c r="I179" i="104"/>
  <c r="H179" i="104"/>
  <c r="N177" i="104"/>
  <c r="G161" i="103"/>
  <c r="G177" i="103"/>
  <c r="I161" i="103"/>
  <c r="I177" i="103"/>
  <c r="F161" i="103"/>
  <c r="J161" i="103"/>
  <c r="J177" i="103"/>
  <c r="K161" i="103"/>
  <c r="K177" i="103"/>
  <c r="L161" i="103"/>
  <c r="L177" i="103"/>
  <c r="M161" i="103"/>
  <c r="M177" i="103"/>
  <c r="N161" i="103"/>
  <c r="N177" i="103"/>
  <c r="E161" i="103"/>
  <c r="E177" i="103"/>
  <c r="D14" i="104"/>
  <c r="G69" i="104"/>
  <c r="D69" i="104"/>
  <c r="J69" i="104"/>
  <c r="K69" i="104"/>
  <c r="H69" i="104"/>
  <c r="M69" i="104"/>
  <c r="O69" i="104"/>
  <c r="F69" i="104"/>
  <c r="N69" i="104"/>
  <c r="E69" i="104"/>
  <c r="L69" i="104"/>
  <c r="I69" i="104"/>
  <c r="N50" i="110"/>
  <c r="AD50" i="110" s="1"/>
  <c r="K43" i="110"/>
  <c r="AA43" i="110" s="1"/>
  <c r="D24" i="110"/>
  <c r="T24" i="110" s="1"/>
  <c r="G64" i="110"/>
  <c r="W64" i="110" s="1"/>
  <c r="I64" i="110"/>
  <c r="Y64" i="110" s="1"/>
  <c r="N43" i="110"/>
  <c r="AD43" i="110" s="1"/>
  <c r="H43" i="110"/>
  <c r="X43" i="110" s="1"/>
  <c r="E3" i="110"/>
  <c r="U3" i="110" s="1"/>
  <c r="L43" i="110"/>
  <c r="AB43" i="110" s="1"/>
  <c r="J64" i="110"/>
  <c r="Z64" i="110" s="1"/>
  <c r="G50" i="110"/>
  <c r="W50" i="110" s="1"/>
  <c r="M43" i="110"/>
  <c r="AC43" i="110" s="1"/>
  <c r="I10" i="110"/>
  <c r="Y10" i="110" s="1"/>
  <c r="O64" i="110"/>
  <c r="AE64" i="110" s="1"/>
  <c r="J50" i="110"/>
  <c r="Z50" i="110" s="1"/>
  <c r="O3" i="110"/>
  <c r="AE3" i="110" s="1"/>
  <c r="L64" i="110"/>
  <c r="AB64" i="110" s="1"/>
  <c r="D64" i="110"/>
  <c r="T64" i="110" s="1"/>
  <c r="I50" i="110"/>
  <c r="Y50" i="110" s="1"/>
  <c r="M3" i="110"/>
  <c r="AC3" i="110" s="1"/>
  <c r="G43" i="110"/>
  <c r="W43" i="110" s="1"/>
  <c r="F3" i="110"/>
  <c r="V3" i="110" s="1"/>
  <c r="E121" i="110"/>
  <c r="U121" i="110" s="1"/>
  <c r="D43" i="110"/>
  <c r="T43" i="110" s="1"/>
  <c r="H50" i="110"/>
  <c r="X50" i="110" s="1"/>
  <c r="L57" i="110"/>
  <c r="AB57" i="110" s="1"/>
  <c r="I57" i="110"/>
  <c r="Y57" i="110" s="1"/>
  <c r="E50" i="110"/>
  <c r="U50" i="110" s="1"/>
  <c r="K107" i="110"/>
  <c r="AA107" i="110" s="1"/>
  <c r="E57" i="110"/>
  <c r="U57" i="110" s="1"/>
  <c r="H121" i="110"/>
  <c r="X121" i="110" s="1"/>
  <c r="G3" i="110"/>
  <c r="W3" i="110" s="1"/>
  <c r="G107" i="110"/>
  <c r="W107" i="110" s="1"/>
  <c r="H57" i="110"/>
  <c r="X57" i="110" s="1"/>
  <c r="J43" i="110"/>
  <c r="Z43" i="110" s="1"/>
  <c r="J121" i="110"/>
  <c r="Z121" i="110" s="1"/>
  <c r="I121" i="110"/>
  <c r="Y121" i="110" s="1"/>
  <c r="L121" i="110"/>
  <c r="AB121" i="110" s="1"/>
  <c r="G121" i="110"/>
  <c r="W121" i="110" s="1"/>
  <c r="D57" i="110"/>
  <c r="T57" i="110" s="1"/>
  <c r="O50" i="110"/>
  <c r="AE50" i="110" s="1"/>
  <c r="L3" i="110"/>
  <c r="AB3" i="110" s="1"/>
  <c r="F64" i="110"/>
  <c r="V64" i="110" s="1"/>
  <c r="E64" i="110"/>
  <c r="U64" i="110" s="1"/>
  <c r="K3" i="110"/>
  <c r="AA3" i="110" s="1"/>
  <c r="F10" i="110"/>
  <c r="V10" i="110" s="1"/>
  <c r="M107" i="110"/>
  <c r="AC107" i="110" s="1"/>
  <c r="D3" i="110"/>
  <c r="T3" i="110" s="1"/>
  <c r="M10" i="110"/>
  <c r="AC10" i="110" s="1"/>
  <c r="E135" i="110"/>
  <c r="U135" i="110" s="1"/>
  <c r="J78" i="110"/>
  <c r="Z78" i="110" s="1"/>
  <c r="L86" i="110"/>
  <c r="AB86" i="110" s="1"/>
  <c r="F107" i="110"/>
  <c r="V107" i="110" s="1"/>
  <c r="O43" i="110"/>
  <c r="AE43" i="110" s="1"/>
  <c r="M121" i="110"/>
  <c r="AC121" i="110" s="1"/>
  <c r="J107" i="110"/>
  <c r="Z107" i="110" s="1"/>
  <c r="G57" i="110"/>
  <c r="W57" i="110" s="1"/>
  <c r="F50" i="110"/>
  <c r="V50" i="110" s="1"/>
  <c r="O107" i="110"/>
  <c r="AE107" i="110" s="1"/>
  <c r="L10" i="110"/>
  <c r="AB10" i="110" s="1"/>
  <c r="N107" i="110"/>
  <c r="AD107" i="110" s="1"/>
  <c r="H107" i="110"/>
  <c r="X107" i="110" s="1"/>
  <c r="K121" i="110"/>
  <c r="AA121" i="110" s="1"/>
  <c r="G135" i="110"/>
  <c r="W135" i="110" s="1"/>
  <c r="E78" i="110"/>
  <c r="U78" i="110" s="1"/>
  <c r="L50" i="110"/>
  <c r="AB50" i="110" s="1"/>
  <c r="O10" i="110"/>
  <c r="AE10" i="110" s="1"/>
  <c r="N10" i="110"/>
  <c r="AD10" i="110" s="1"/>
  <c r="K10" i="110"/>
  <c r="AA10" i="110" s="1"/>
  <c r="J10" i="110"/>
  <c r="Z10" i="110" s="1"/>
  <c r="K57" i="110"/>
  <c r="AA57" i="110" s="1"/>
  <c r="D10" i="110"/>
  <c r="T10" i="110" s="1"/>
  <c r="E107" i="110"/>
  <c r="U107" i="110" s="1"/>
  <c r="E10" i="110"/>
  <c r="U10" i="110" s="1"/>
  <c r="F57" i="110"/>
  <c r="V57" i="110" s="1"/>
  <c r="O57" i="110"/>
  <c r="AE57" i="110" s="1"/>
  <c r="G24" i="110"/>
  <c r="W24" i="110" s="1"/>
  <c r="H135" i="110"/>
  <c r="X135" i="110" s="1"/>
  <c r="F135" i="110"/>
  <c r="V135" i="110" s="1"/>
  <c r="H3" i="110"/>
  <c r="X3" i="110" s="1"/>
  <c r="J3" i="110"/>
  <c r="Z3" i="110" s="1"/>
  <c r="O78" i="110"/>
  <c r="AE78" i="110" s="1"/>
  <c r="M86" i="110"/>
  <c r="AC86" i="110" s="1"/>
  <c r="I86" i="110"/>
  <c r="Y86" i="110" s="1"/>
  <c r="E86" i="110"/>
  <c r="U86" i="110" s="1"/>
  <c r="J57" i="110"/>
  <c r="Z57" i="110" s="1"/>
  <c r="O135" i="110"/>
  <c r="AE135" i="110" s="1"/>
  <c r="D78" i="110"/>
  <c r="T78" i="110" s="1"/>
  <c r="G86" i="110"/>
  <c r="W86" i="110" s="1"/>
  <c r="E24" i="110"/>
  <c r="U24" i="110" s="1"/>
  <c r="H64" i="110"/>
  <c r="X64" i="110" s="1"/>
  <c r="H78" i="110"/>
  <c r="X78" i="110" s="1"/>
  <c r="I43" i="110"/>
  <c r="Y43" i="110" s="1"/>
  <c r="F86" i="110"/>
  <c r="V86" i="110" s="1"/>
  <c r="O86" i="110"/>
  <c r="AE86" i="110" s="1"/>
  <c r="G10" i="110"/>
  <c r="W10" i="110" s="1"/>
  <c r="H10" i="110"/>
  <c r="X10" i="110" s="1"/>
  <c r="M57" i="110"/>
  <c r="AC57" i="110" s="1"/>
  <c r="D50" i="110"/>
  <c r="T50" i="110" s="1"/>
  <c r="L78" i="110"/>
  <c r="AB78" i="110" s="1"/>
  <c r="N86" i="110"/>
  <c r="AD86" i="110" s="1"/>
  <c r="H86" i="110"/>
  <c r="X86" i="110" s="1"/>
  <c r="J86" i="110"/>
  <c r="Z86" i="110" s="1"/>
  <c r="O121" i="110"/>
  <c r="AE121" i="110" s="1"/>
  <c r="L107" i="110"/>
  <c r="AB107" i="110" s="1"/>
  <c r="J135" i="110"/>
  <c r="Z135" i="110" s="1"/>
  <c r="D135" i="110"/>
  <c r="T135" i="110" s="1"/>
  <c r="N64" i="110"/>
  <c r="AD64" i="110" s="1"/>
  <c r="N3" i="110"/>
  <c r="AD3" i="110" s="1"/>
  <c r="N78" i="110"/>
  <c r="AD78" i="110" s="1"/>
  <c r="M78" i="110"/>
  <c r="AC78" i="110" s="1"/>
  <c r="G78" i="110"/>
  <c r="W78" i="110" s="1"/>
  <c r="N57" i="110"/>
  <c r="AD57" i="110" s="1"/>
  <c r="F24" i="110"/>
  <c r="V24" i="110" s="1"/>
  <c r="M135" i="110"/>
  <c r="AC135" i="110" s="1"/>
  <c r="L135" i="110"/>
  <c r="AB135" i="110" s="1"/>
  <c r="M64" i="110"/>
  <c r="AC64" i="110" s="1"/>
  <c r="M50" i="110"/>
  <c r="AC50" i="110" s="1"/>
  <c r="K78" i="110"/>
  <c r="AA78" i="110" s="1"/>
  <c r="D156" i="104"/>
  <c r="D100" i="110"/>
  <c r="N121" i="110"/>
  <c r="AD121" i="110" s="1"/>
  <c r="I107" i="110"/>
  <c r="Y107" i="110" s="1"/>
  <c r="K135" i="110"/>
  <c r="AA135" i="110" s="1"/>
  <c r="N135" i="110"/>
  <c r="AD135" i="110" s="1"/>
  <c r="I135" i="110"/>
  <c r="Y135" i="110" s="1"/>
  <c r="F78" i="110"/>
  <c r="V78" i="110" s="1"/>
  <c r="I78" i="110"/>
  <c r="Y78" i="110" s="1"/>
  <c r="D86" i="110"/>
  <c r="T86" i="110" s="1"/>
  <c r="K86" i="110"/>
  <c r="AA86" i="110" s="1"/>
  <c r="H36" i="110"/>
  <c r="H171" i="110"/>
  <c r="H146" i="105"/>
  <c r="N146" i="105"/>
  <c r="D159" i="105"/>
  <c r="M146" i="105"/>
  <c r="D192" i="110"/>
  <c r="F146" i="105"/>
  <c r="D146" i="105"/>
  <c r="G146" i="105"/>
  <c r="J146" i="105"/>
  <c r="E146" i="105"/>
  <c r="L146" i="105"/>
  <c r="I146" i="105"/>
  <c r="K150" i="105"/>
  <c r="I36" i="110"/>
  <c r="J35" i="110"/>
  <c r="Z35" i="110" s="1"/>
  <c r="F150" i="105"/>
  <c r="M150" i="105"/>
  <c r="G150" i="105"/>
  <c r="E150" i="105"/>
  <c r="O150" i="105"/>
  <c r="N150" i="105"/>
  <c r="J150" i="105"/>
  <c r="O146" i="105"/>
  <c r="K146" i="105"/>
  <c r="D150" i="105"/>
  <c r="I150" i="105"/>
  <c r="H150" i="105"/>
  <c r="L150" i="105"/>
  <c r="I144" i="105"/>
  <c r="D157" i="105"/>
  <c r="K119" i="110"/>
  <c r="F149" i="104"/>
  <c r="F159" i="104"/>
  <c r="I157" i="105"/>
  <c r="D147" i="105"/>
  <c r="D144" i="105"/>
  <c r="H157" i="105"/>
  <c r="D157" i="104"/>
  <c r="N151" i="104"/>
  <c r="O151" i="104"/>
  <c r="M151" i="105"/>
  <c r="D159" i="104"/>
  <c r="J117" i="110"/>
  <c r="K159" i="105"/>
  <c r="N157" i="105"/>
  <c r="N159" i="105"/>
  <c r="J151" i="104"/>
  <c r="H151" i="105"/>
  <c r="F147" i="105"/>
  <c r="E151" i="104"/>
  <c r="I149" i="105"/>
  <c r="F149" i="105"/>
  <c r="L147" i="105"/>
  <c r="N144" i="105"/>
  <c r="L144" i="104"/>
  <c r="G147" i="105"/>
  <c r="I151" i="105"/>
  <c r="H144" i="105"/>
  <c r="J148" i="105"/>
  <c r="I151" i="104"/>
  <c r="G144" i="105"/>
  <c r="H149" i="104"/>
  <c r="K148" i="105"/>
  <c r="D149" i="104"/>
  <c r="F144" i="104"/>
  <c r="F148" i="104"/>
  <c r="L151" i="104"/>
  <c r="E148" i="105"/>
  <c r="H149" i="105"/>
  <c r="I144" i="104"/>
  <c r="D151" i="105"/>
  <c r="M149" i="104"/>
  <c r="M149" i="105"/>
  <c r="I148" i="104"/>
  <c r="G151" i="105"/>
  <c r="O144" i="104"/>
  <c r="F147" i="104"/>
  <c r="L144" i="105"/>
  <c r="O148" i="104"/>
  <c r="L148" i="104"/>
  <c r="J144" i="104"/>
  <c r="O148" i="105"/>
  <c r="G149" i="105"/>
  <c r="F144" i="105"/>
  <c r="D148" i="104"/>
  <c r="I148" i="105"/>
  <c r="M144" i="104"/>
  <c r="G151" i="104"/>
  <c r="L149" i="104"/>
  <c r="D151" i="104"/>
  <c r="K149" i="104"/>
  <c r="O149" i="104"/>
  <c r="N144" i="104"/>
  <c r="D149" i="105"/>
  <c r="H148" i="104"/>
  <c r="E149" i="104"/>
  <c r="O151" i="105"/>
  <c r="F151" i="105"/>
  <c r="J148" i="104"/>
  <c r="K148" i="104"/>
  <c r="M151" i="104"/>
  <c r="J151" i="105"/>
  <c r="N149" i="105"/>
  <c r="H148" i="105"/>
  <c r="H159" i="105"/>
  <c r="N148" i="104"/>
  <c r="N148" i="105"/>
  <c r="E149" i="105"/>
  <c r="N149" i="104"/>
  <c r="O144" i="105"/>
  <c r="E144" i="104"/>
  <c r="K144" i="105"/>
  <c r="M148" i="104"/>
  <c r="E147" i="105"/>
  <c r="I159" i="105"/>
  <c r="E148" i="104"/>
  <c r="F148" i="105"/>
  <c r="G149" i="104"/>
  <c r="J149" i="105"/>
  <c r="H144" i="104"/>
  <c r="G144" i="104"/>
  <c r="H151" i="104"/>
  <c r="L148" i="105"/>
  <c r="J149" i="104"/>
  <c r="F151" i="104"/>
  <c r="N159" i="104"/>
  <c r="D148" i="105"/>
  <c r="L151" i="105"/>
  <c r="F159" i="105"/>
  <c r="G147" i="104"/>
  <c r="M148" i="105"/>
  <c r="G148" i="104"/>
  <c r="N151" i="105"/>
  <c r="I149" i="104"/>
  <c r="O149" i="105"/>
  <c r="M144" i="105"/>
  <c r="E144" i="105"/>
  <c r="D144" i="104"/>
  <c r="E151" i="105"/>
  <c r="K149" i="105"/>
  <c r="L149" i="105"/>
  <c r="G148" i="105"/>
  <c r="K144" i="104"/>
  <c r="J144" i="105"/>
  <c r="L159" i="104"/>
  <c r="O159" i="104"/>
  <c r="N147" i="104"/>
  <c r="M157" i="105"/>
  <c r="E157" i="104"/>
  <c r="O147" i="105"/>
  <c r="J159" i="104"/>
  <c r="E159" i="105"/>
  <c r="M159" i="105"/>
  <c r="J147" i="104"/>
  <c r="J159" i="105"/>
  <c r="G159" i="105"/>
  <c r="I159" i="104"/>
  <c r="M159" i="104"/>
  <c r="O159" i="105"/>
  <c r="M157" i="104"/>
  <c r="F157" i="104"/>
  <c r="E157" i="105"/>
  <c r="I157" i="104"/>
  <c r="K147" i="104"/>
  <c r="M147" i="105"/>
  <c r="I147" i="104"/>
  <c r="F157" i="105"/>
  <c r="L157" i="105"/>
  <c r="H147" i="105"/>
  <c r="J147" i="105"/>
  <c r="E147" i="104"/>
  <c r="G157" i="104"/>
  <c r="D147" i="104"/>
  <c r="K147" i="105"/>
  <c r="H147" i="104"/>
  <c r="O147" i="104"/>
  <c r="J157" i="104"/>
  <c r="O157" i="105"/>
  <c r="K157" i="105"/>
  <c r="G157" i="105"/>
  <c r="M147" i="104"/>
  <c r="N147" i="105"/>
  <c r="I145" i="104"/>
  <c r="I147" i="105"/>
  <c r="O157" i="104"/>
  <c r="L147" i="104"/>
  <c r="K159" i="104"/>
  <c r="K157" i="104"/>
  <c r="L159" i="105"/>
  <c r="H159" i="104"/>
  <c r="L157" i="104"/>
  <c r="E159" i="104"/>
  <c r="G159" i="104"/>
  <c r="J157" i="105"/>
  <c r="N157" i="104"/>
  <c r="H157" i="104"/>
  <c r="N145" i="104"/>
  <c r="O145" i="105"/>
  <c r="L156" i="104"/>
  <c r="E156" i="104"/>
  <c r="G145" i="104"/>
  <c r="F145" i="104"/>
  <c r="H145" i="104"/>
  <c r="I145" i="105"/>
  <c r="G145" i="105"/>
  <c r="M145" i="104"/>
  <c r="D146" i="104"/>
  <c r="M146" i="104"/>
  <c r="I164" i="105"/>
  <c r="N164" i="103"/>
  <c r="I164" i="103"/>
  <c r="O164" i="104"/>
  <c r="M164" i="104"/>
  <c r="L164" i="104"/>
  <c r="K164" i="105"/>
  <c r="D153" i="105"/>
  <c r="J153" i="104"/>
  <c r="L153" i="104"/>
  <c r="J153" i="105"/>
  <c r="G153" i="105"/>
  <c r="E153" i="104"/>
  <c r="J150" i="104"/>
  <c r="D150" i="104"/>
  <c r="M150" i="104"/>
  <c r="O150" i="104"/>
  <c r="K150" i="104"/>
  <c r="E152" i="104"/>
  <c r="G152" i="104"/>
  <c r="M152" i="104"/>
  <c r="H152" i="104"/>
  <c r="I152" i="104"/>
  <c r="K161" i="104"/>
  <c r="O161" i="104"/>
  <c r="O156" i="104"/>
  <c r="I156" i="104"/>
  <c r="N156" i="104"/>
  <c r="E145" i="104"/>
  <c r="K145" i="105"/>
  <c r="F145" i="105"/>
  <c r="L145" i="105"/>
  <c r="E145" i="105"/>
  <c r="D145" i="104"/>
  <c r="L146" i="104"/>
  <c r="H146" i="104"/>
  <c r="E146" i="104"/>
  <c r="O146" i="104"/>
  <c r="J146" i="104"/>
  <c r="K164" i="104"/>
  <c r="L164" i="105"/>
  <c r="N164" i="104"/>
  <c r="J164" i="105"/>
  <c r="I164" i="104"/>
  <c r="K164" i="103"/>
  <c r="M164" i="105"/>
  <c r="N153" i="105"/>
  <c r="N153" i="104"/>
  <c r="O153" i="104"/>
  <c r="M153" i="104"/>
  <c r="F153" i="105"/>
  <c r="G153" i="104"/>
  <c r="E150" i="104"/>
  <c r="G150" i="104"/>
  <c r="J152" i="104"/>
  <c r="L161" i="104"/>
  <c r="E161" i="104"/>
  <c r="G161" i="104"/>
  <c r="H161" i="104"/>
  <c r="H156" i="104"/>
  <c r="F156" i="104"/>
  <c r="M156" i="104"/>
  <c r="O145" i="104"/>
  <c r="N145" i="105"/>
  <c r="M145" i="105"/>
  <c r="G146" i="104"/>
  <c r="F146" i="104"/>
  <c r="D164" i="105"/>
  <c r="N164" i="105"/>
  <c r="G164" i="104"/>
  <c r="O164" i="105"/>
  <c r="E164" i="105"/>
  <c r="F164" i="103"/>
  <c r="E164" i="104"/>
  <c r="D153" i="104"/>
  <c r="K153" i="104"/>
  <c r="K153" i="105"/>
  <c r="M153" i="105"/>
  <c r="L153" i="105"/>
  <c r="H153" i="105"/>
  <c r="I150" i="104"/>
  <c r="N150" i="104"/>
  <c r="L152" i="104"/>
  <c r="F152" i="104"/>
  <c r="K152" i="104"/>
  <c r="M161" i="104"/>
  <c r="F161" i="104"/>
  <c r="I161" i="104"/>
  <c r="J156" i="104"/>
  <c r="G156" i="104"/>
  <c r="K156" i="104"/>
  <c r="K145" i="104"/>
  <c r="H145" i="105"/>
  <c r="J145" i="105"/>
  <c r="D145" i="105"/>
  <c r="J145" i="104"/>
  <c r="L145" i="104"/>
  <c r="K146" i="104"/>
  <c r="N146" i="104"/>
  <c r="I146" i="104"/>
  <c r="H164" i="105"/>
  <c r="H164" i="104"/>
  <c r="J164" i="104"/>
  <c r="O164" i="103"/>
  <c r="D164" i="104"/>
  <c r="F164" i="104"/>
  <c r="F164" i="105"/>
  <c r="G164" i="105"/>
  <c r="O153" i="105"/>
  <c r="F153" i="104"/>
  <c r="H153" i="104"/>
  <c r="I153" i="104"/>
  <c r="E153" i="105"/>
  <c r="I153" i="105"/>
  <c r="L150" i="104"/>
  <c r="F150" i="104"/>
  <c r="H150" i="104"/>
  <c r="D152" i="104"/>
  <c r="O152" i="104"/>
  <c r="N152" i="104"/>
  <c r="D161" i="104"/>
  <c r="J161" i="104"/>
  <c r="N161" i="104"/>
  <c r="F41" i="104"/>
  <c r="F167" i="104" s="1"/>
  <c r="F53" i="105"/>
  <c r="F168" i="105" s="1"/>
  <c r="N53" i="105"/>
  <c r="N168" i="105" s="1"/>
  <c r="F53" i="104"/>
  <c r="F168" i="104" s="1"/>
  <c r="H53" i="104"/>
  <c r="H168" i="104" s="1"/>
  <c r="E53" i="105"/>
  <c r="E168" i="105" s="1"/>
  <c r="K53" i="105"/>
  <c r="K168" i="105" s="1"/>
  <c r="E53" i="104"/>
  <c r="E168" i="104" s="1"/>
  <c r="O53" i="104"/>
  <c r="O168" i="104" s="1"/>
  <c r="M53" i="104"/>
  <c r="M168" i="104" s="1"/>
  <c r="L53" i="104"/>
  <c r="L168" i="104" s="1"/>
  <c r="J53" i="104"/>
  <c r="J168" i="104" s="1"/>
  <c r="I53" i="104"/>
  <c r="I168" i="104" s="1"/>
  <c r="D53" i="104"/>
  <c r="D168" i="104" s="1"/>
  <c r="K53" i="104"/>
  <c r="K168" i="104" s="1"/>
  <c r="H53" i="105"/>
  <c r="H168" i="105" s="1"/>
  <c r="I53" i="105"/>
  <c r="I168" i="105" s="1"/>
  <c r="G53" i="105"/>
  <c r="G168" i="105" s="1"/>
  <c r="O53" i="105"/>
  <c r="O168" i="105" s="1"/>
  <c r="J53" i="105"/>
  <c r="J168" i="105" s="1"/>
  <c r="D53" i="105"/>
  <c r="D168" i="105" s="1"/>
  <c r="M53" i="105"/>
  <c r="M168" i="105" s="1"/>
  <c r="L53" i="105"/>
  <c r="L168" i="105" s="1"/>
  <c r="G53" i="104"/>
  <c r="G168" i="104" s="1"/>
  <c r="N53" i="104"/>
  <c r="N168" i="104" s="1"/>
  <c r="M22" i="104"/>
  <c r="L22" i="104"/>
  <c r="I22" i="105"/>
  <c r="M22" i="105"/>
  <c r="K22" i="105"/>
  <c r="F22" i="104"/>
  <c r="L22" i="105"/>
  <c r="O22" i="105"/>
  <c r="N22" i="104"/>
  <c r="O22" i="104"/>
  <c r="H22" i="105"/>
  <c r="E22" i="104"/>
  <c r="J22" i="104"/>
  <c r="E22" i="105"/>
  <c r="I22" i="104"/>
  <c r="J22" i="105"/>
  <c r="F22" i="105"/>
  <c r="G22" i="105"/>
  <c r="K22" i="104"/>
  <c r="H22" i="104"/>
  <c r="G22" i="104"/>
  <c r="E41" i="105"/>
  <c r="E167" i="105" s="1"/>
  <c r="I41" i="105"/>
  <c r="I167" i="105" s="1"/>
  <c r="N22" i="105"/>
  <c r="G41" i="104"/>
  <c r="G167" i="104" s="1"/>
  <c r="M41" i="105"/>
  <c r="M167" i="105" s="1"/>
  <c r="L41" i="104"/>
  <c r="L167" i="104" s="1"/>
  <c r="L41" i="105"/>
  <c r="L167" i="105" s="1"/>
  <c r="N41" i="105"/>
  <c r="N167" i="105" s="1"/>
  <c r="N41" i="104"/>
  <c r="N167" i="104" s="1"/>
  <c r="G41" i="105"/>
  <c r="G167" i="105" s="1"/>
  <c r="E41" i="104"/>
  <c r="E167" i="104" s="1"/>
  <c r="J41" i="104"/>
  <c r="J167" i="104" s="1"/>
  <c r="H41" i="105"/>
  <c r="H167" i="105" s="1"/>
  <c r="M41" i="104"/>
  <c r="M167" i="104" s="1"/>
  <c r="F41" i="105"/>
  <c r="F167" i="105" s="1"/>
  <c r="D22" i="105"/>
  <c r="D22" i="104"/>
  <c r="D41" i="105"/>
  <c r="D167" i="105" s="1"/>
  <c r="O41" i="105"/>
  <c r="O167" i="105" s="1"/>
  <c r="J41" i="105"/>
  <c r="J167" i="105" s="1"/>
  <c r="H41" i="104"/>
  <c r="H167" i="104" s="1"/>
  <c r="O41" i="104"/>
  <c r="O167" i="104" s="1"/>
  <c r="I41" i="104"/>
  <c r="I167" i="104" s="1"/>
  <c r="F14" i="105"/>
  <c r="N116" i="104"/>
  <c r="G14" i="104"/>
  <c r="F116" i="104"/>
  <c r="M69" i="105"/>
  <c r="K116" i="104"/>
  <c r="M116" i="104"/>
  <c r="J116" i="104"/>
  <c r="I116" i="104"/>
  <c r="F116" i="105"/>
  <c r="E116" i="105"/>
  <c r="J116" i="105"/>
  <c r="O116" i="104"/>
  <c r="K116" i="105"/>
  <c r="G116" i="105"/>
  <c r="N116" i="105"/>
  <c r="H116" i="105"/>
  <c r="L116" i="104"/>
  <c r="M116" i="105"/>
  <c r="O69" i="105"/>
  <c r="L116" i="105"/>
  <c r="G116" i="104"/>
  <c r="J14" i="104"/>
  <c r="O116" i="105"/>
  <c r="E14" i="105"/>
  <c r="E116" i="104"/>
  <c r="I69" i="105"/>
  <c r="G69" i="105"/>
  <c r="P68" i="103"/>
  <c r="M14" i="104"/>
  <c r="G14" i="105"/>
  <c r="D69" i="105"/>
  <c r="G69" i="103"/>
  <c r="I14" i="105"/>
  <c r="O14" i="105"/>
  <c r="H14" i="104"/>
  <c r="K14" i="104"/>
  <c r="F69" i="105"/>
  <c r="I14" i="104"/>
  <c r="M14" i="105"/>
  <c r="F14" i="104"/>
  <c r="I116" i="105"/>
  <c r="K69" i="105"/>
  <c r="L14" i="105"/>
  <c r="J14" i="105"/>
  <c r="D116" i="105"/>
  <c r="H69" i="103"/>
  <c r="N14" i="104"/>
  <c r="E14" i="104"/>
  <c r="D116" i="104"/>
  <c r="E69" i="105"/>
  <c r="D69" i="103"/>
  <c r="D14" i="105"/>
  <c r="H14" i="105"/>
  <c r="H116" i="104"/>
  <c r="N69" i="105"/>
  <c r="H69" i="105"/>
  <c r="L69" i="105"/>
  <c r="K14" i="105"/>
  <c r="L14" i="104"/>
  <c r="N14" i="105"/>
  <c r="J69" i="105"/>
  <c r="O14" i="104"/>
  <c r="P67" i="103"/>
  <c r="F69" i="103"/>
  <c r="E69" i="103"/>
  <c r="L18" i="118" l="1"/>
  <c r="M18" i="118" s="1"/>
  <c r="N18" i="118" s="1"/>
  <c r="K117" i="110"/>
  <c r="R115" i="110" s="1"/>
  <c r="R116" i="110" s="1"/>
  <c r="R117" i="110" s="1"/>
  <c r="F18" i="127" s="1"/>
  <c r="M18" i="127" s="1"/>
  <c r="L116" i="110"/>
  <c r="AB116" i="110" s="1"/>
  <c r="F102" i="110"/>
  <c r="T100" i="110"/>
  <c r="F19" i="110"/>
  <c r="T17" i="110"/>
  <c r="F130" i="110"/>
  <c r="T128" i="110"/>
  <c r="E156" i="110"/>
  <c r="Q157" i="105"/>
  <c r="Q149" i="105"/>
  <c r="Q22" i="105"/>
  <c r="Q37" i="105"/>
  <c r="Q163" i="105" s="1"/>
  <c r="Q159" i="105"/>
  <c r="Q150" i="105"/>
  <c r="Q179" i="105"/>
  <c r="Q184" i="105" s="1"/>
  <c r="Q153" i="105"/>
  <c r="Q147" i="105"/>
  <c r="R67" i="105"/>
  <c r="S67" i="105" s="1"/>
  <c r="Q49" i="105"/>
  <c r="Q152" i="105" s="1"/>
  <c r="R152" i="105" s="1"/>
  <c r="S152" i="105" s="1"/>
  <c r="Q145" i="105"/>
  <c r="Q156" i="105"/>
  <c r="Q14" i="105"/>
  <c r="Q144" i="105"/>
  <c r="R98" i="105"/>
  <c r="S98" i="105" s="1"/>
  <c r="R113" i="105"/>
  <c r="S113" i="105" s="1"/>
  <c r="Q104" i="105"/>
  <c r="Q148" i="105" s="1"/>
  <c r="Q115" i="105"/>
  <c r="Q164" i="105" s="1"/>
  <c r="Q154" i="105"/>
  <c r="Q99" i="105"/>
  <c r="R99" i="105" s="1"/>
  <c r="S99" i="105" s="1"/>
  <c r="Q39" i="105"/>
  <c r="Q146" i="105" s="1"/>
  <c r="R146" i="105" s="1"/>
  <c r="S146" i="105" s="1"/>
  <c r="R34" i="105"/>
  <c r="P179" i="105"/>
  <c r="P184" i="105" s="1"/>
  <c r="P149" i="105"/>
  <c r="P159" i="105"/>
  <c r="P147" i="105"/>
  <c r="P157" i="105"/>
  <c r="P154" i="105"/>
  <c r="P145" i="105"/>
  <c r="P150" i="105"/>
  <c r="P148" i="105"/>
  <c r="P185" i="105"/>
  <c r="R66" i="105"/>
  <c r="S66" i="105" s="1"/>
  <c r="P116" i="105"/>
  <c r="P156" i="105"/>
  <c r="P14" i="105"/>
  <c r="P153" i="105"/>
  <c r="P53" i="105"/>
  <c r="P168" i="105" s="1"/>
  <c r="P69" i="105"/>
  <c r="Q69" i="105" s="1"/>
  <c r="P22" i="105"/>
  <c r="P144" i="105"/>
  <c r="F12" i="110"/>
  <c r="N184" i="104"/>
  <c r="E184" i="103"/>
  <c r="G184" i="103"/>
  <c r="O184" i="104"/>
  <c r="G184" i="104"/>
  <c r="K184" i="104"/>
  <c r="I184" i="104"/>
  <c r="J184" i="104"/>
  <c r="F184" i="104"/>
  <c r="M184" i="104"/>
  <c r="E184" i="104"/>
  <c r="L184" i="104"/>
  <c r="D184" i="104"/>
  <c r="H184" i="104"/>
  <c r="D20" i="110"/>
  <c r="O118" i="104"/>
  <c r="G118" i="105"/>
  <c r="N118" i="105"/>
  <c r="H118" i="104"/>
  <c r="O118" i="105"/>
  <c r="F118" i="105"/>
  <c r="J118" i="104"/>
  <c r="M118" i="105"/>
  <c r="I118" i="104"/>
  <c r="M118" i="104"/>
  <c r="L118" i="104"/>
  <c r="E118" i="104"/>
  <c r="N118" i="104"/>
  <c r="G118" i="104"/>
  <c r="E118" i="105"/>
  <c r="J118" i="105"/>
  <c r="I118" i="105"/>
  <c r="D118" i="104"/>
  <c r="H118" i="105"/>
  <c r="L118" i="105"/>
  <c r="D118" i="105"/>
  <c r="F118" i="104"/>
  <c r="Y67" i="103"/>
  <c r="Z67" i="103"/>
  <c r="Y68" i="103"/>
  <c r="Z68" i="103"/>
  <c r="P22" i="104"/>
  <c r="P149" i="104"/>
  <c r="P154" i="104"/>
  <c r="P148" i="104"/>
  <c r="P153" i="104"/>
  <c r="P147" i="104"/>
  <c r="P157" i="104"/>
  <c r="P150" i="104"/>
  <c r="P69" i="104"/>
  <c r="P159" i="104"/>
  <c r="P144" i="104"/>
  <c r="P185" i="104"/>
  <c r="R185" i="104" s="1"/>
  <c r="S185" i="104" s="1"/>
  <c r="P145" i="104"/>
  <c r="P116" i="104"/>
  <c r="P14" i="104"/>
  <c r="P179" i="104"/>
  <c r="R179" i="104" s="1"/>
  <c r="S179" i="104" s="1"/>
  <c r="P53" i="104"/>
  <c r="P177" i="104"/>
  <c r="P161" i="104"/>
  <c r="R161" i="104" s="1"/>
  <c r="S161" i="104" s="1"/>
  <c r="F186" i="105"/>
  <c r="M186" i="105"/>
  <c r="J186" i="104"/>
  <c r="D186" i="105"/>
  <c r="H186" i="105"/>
  <c r="N186" i="104"/>
  <c r="O186" i="105"/>
  <c r="E186" i="105"/>
  <c r="N186" i="105"/>
  <c r="F186" i="104"/>
  <c r="G186" i="104"/>
  <c r="H186" i="104"/>
  <c r="L186" i="105"/>
  <c r="O186" i="104"/>
  <c r="K186" i="104"/>
  <c r="K186" i="105"/>
  <c r="G186" i="105"/>
  <c r="R101" i="105"/>
  <c r="S101" i="105" s="1"/>
  <c r="E186" i="104"/>
  <c r="D186" i="104"/>
  <c r="I186" i="104"/>
  <c r="J186" i="105"/>
  <c r="I186" i="105"/>
  <c r="M186" i="104"/>
  <c r="L186" i="104"/>
  <c r="F5" i="110"/>
  <c r="D156" i="110"/>
  <c r="T156" i="110" s="1"/>
  <c r="D145" i="110"/>
  <c r="D152" i="110"/>
  <c r="D119" i="104"/>
  <c r="D170" i="104" s="1"/>
  <c r="F137" i="110"/>
  <c r="F80" i="110"/>
  <c r="F59" i="110"/>
  <c r="F52" i="110"/>
  <c r="F45" i="110"/>
  <c r="F123" i="110"/>
  <c r="F88" i="110"/>
  <c r="F66" i="110"/>
  <c r="F26" i="110"/>
  <c r="F109" i="110"/>
  <c r="I156" i="110"/>
  <c r="F156" i="110"/>
  <c r="V156" i="110" s="1"/>
  <c r="N156" i="110"/>
  <c r="L156" i="110"/>
  <c r="G156" i="110"/>
  <c r="M156" i="110"/>
  <c r="J156" i="110"/>
  <c r="H156" i="110"/>
  <c r="O156" i="110"/>
  <c r="D96" i="110"/>
  <c r="D119" i="105"/>
  <c r="H119" i="105"/>
  <c r="J119" i="105"/>
  <c r="F119" i="105"/>
  <c r="L119" i="105"/>
  <c r="G119" i="105"/>
  <c r="N119" i="105"/>
  <c r="O119" i="105"/>
  <c r="I119" i="105"/>
  <c r="M119" i="105"/>
  <c r="E119" i="105"/>
  <c r="I171" i="110"/>
  <c r="J36" i="110"/>
  <c r="K35" i="110"/>
  <c r="AA35" i="110" s="1"/>
  <c r="D53" i="110"/>
  <c r="R34" i="104"/>
  <c r="S34" i="104" s="1"/>
  <c r="R103" i="104"/>
  <c r="S103" i="104" s="1"/>
  <c r="R104" i="104"/>
  <c r="S104" i="104" s="1"/>
  <c r="M169" i="104"/>
  <c r="D124" i="110"/>
  <c r="D89" i="110"/>
  <c r="D74" i="110"/>
  <c r="D67" i="110"/>
  <c r="D138" i="110"/>
  <c r="D81" i="110"/>
  <c r="D13" i="110"/>
  <c r="D131" i="110"/>
  <c r="H169" i="104"/>
  <c r="J169" i="104"/>
  <c r="F169" i="105"/>
  <c r="N169" i="104"/>
  <c r="G169" i="105"/>
  <c r="E169" i="104"/>
  <c r="O169" i="104"/>
  <c r="L169" i="104"/>
  <c r="F169" i="104"/>
  <c r="N169" i="105"/>
  <c r="E169" i="105"/>
  <c r="D169" i="104"/>
  <c r="K169" i="105"/>
  <c r="G169" i="104"/>
  <c r="M169" i="105"/>
  <c r="H169" i="105"/>
  <c r="D169" i="105"/>
  <c r="L169" i="105"/>
  <c r="N155" i="105"/>
  <c r="J155" i="105"/>
  <c r="F155" i="105"/>
  <c r="M155" i="105"/>
  <c r="I155" i="105"/>
  <c r="E155" i="105"/>
  <c r="O155" i="105"/>
  <c r="K155" i="105"/>
  <c r="G155" i="105"/>
  <c r="L155" i="105"/>
  <c r="H155" i="105"/>
  <c r="D155" i="105"/>
  <c r="M154" i="104"/>
  <c r="I154" i="104"/>
  <c r="E154" i="104"/>
  <c r="L154" i="104"/>
  <c r="H154" i="104"/>
  <c r="D154" i="104"/>
  <c r="O154" i="104"/>
  <c r="K154" i="104"/>
  <c r="G154" i="104"/>
  <c r="J154" i="104"/>
  <c r="F154" i="104"/>
  <c r="N154" i="104"/>
  <c r="R161" i="105"/>
  <c r="S161" i="105" s="1"/>
  <c r="I169" i="104"/>
  <c r="O169" i="105"/>
  <c r="J169" i="105"/>
  <c r="K169" i="104"/>
  <c r="I169" i="105"/>
  <c r="M155" i="104"/>
  <c r="I155" i="104"/>
  <c r="E155" i="104"/>
  <c r="L155" i="104"/>
  <c r="H155" i="104"/>
  <c r="D155" i="104"/>
  <c r="O155" i="104"/>
  <c r="K155" i="104"/>
  <c r="G155" i="104"/>
  <c r="N155" i="104"/>
  <c r="J155" i="104"/>
  <c r="F155" i="104"/>
  <c r="M154" i="105"/>
  <c r="I154" i="105"/>
  <c r="E154" i="105"/>
  <c r="L154" i="105"/>
  <c r="H154" i="105"/>
  <c r="D154" i="105"/>
  <c r="N154" i="105"/>
  <c r="J154" i="105"/>
  <c r="F154" i="105"/>
  <c r="K154" i="105"/>
  <c r="G154" i="105"/>
  <c r="O154" i="105"/>
  <c r="D110" i="110"/>
  <c r="D103" i="110"/>
  <c r="D60" i="110"/>
  <c r="R156" i="104"/>
  <c r="S156" i="104" s="1"/>
  <c r="R51" i="104"/>
  <c r="S51" i="104" s="1"/>
  <c r="R113" i="104"/>
  <c r="S113" i="104" s="1"/>
  <c r="R32" i="105"/>
  <c r="S32" i="105" s="1"/>
  <c r="R32" i="104"/>
  <c r="S32" i="104" s="1"/>
  <c r="R45" i="105"/>
  <c r="S45" i="105" s="1"/>
  <c r="R45" i="104"/>
  <c r="S45" i="104" s="1"/>
  <c r="R48" i="104"/>
  <c r="S48" i="104" s="1"/>
  <c r="R48" i="105"/>
  <c r="S48" i="105" s="1"/>
  <c r="R50" i="105"/>
  <c r="S50" i="105" s="1"/>
  <c r="R50" i="104"/>
  <c r="S50" i="104" s="1"/>
  <c r="R29" i="104"/>
  <c r="S29" i="104" s="1"/>
  <c r="R37" i="104"/>
  <c r="S37" i="104" s="1"/>
  <c r="R51" i="105"/>
  <c r="S51" i="105" s="1"/>
  <c r="R29" i="105"/>
  <c r="S29" i="105" s="1"/>
  <c r="R26" i="105"/>
  <c r="R36" i="105"/>
  <c r="S36" i="105" s="1"/>
  <c r="R30" i="105"/>
  <c r="S30" i="105" s="1"/>
  <c r="R30" i="104"/>
  <c r="S30" i="104" s="1"/>
  <c r="R26" i="104"/>
  <c r="S26" i="104" s="1"/>
  <c r="R101" i="104"/>
  <c r="S101" i="104" s="1"/>
  <c r="G119" i="104"/>
  <c r="G170" i="104" s="1"/>
  <c r="R21" i="105"/>
  <c r="S21" i="105" s="1"/>
  <c r="R39" i="104"/>
  <c r="S39" i="104" s="1"/>
  <c r="R102" i="104"/>
  <c r="S102" i="104" s="1"/>
  <c r="R38" i="105"/>
  <c r="S38" i="105" s="1"/>
  <c r="R20" i="104"/>
  <c r="R20" i="105"/>
  <c r="R31" i="104"/>
  <c r="R31" i="105"/>
  <c r="R38" i="104"/>
  <c r="S38" i="104" s="1"/>
  <c r="R21" i="104"/>
  <c r="S21" i="104" s="1"/>
  <c r="E119" i="104"/>
  <c r="E170" i="104" s="1"/>
  <c r="J119" i="104"/>
  <c r="J170" i="104" s="1"/>
  <c r="H119" i="104"/>
  <c r="H170" i="104" s="1"/>
  <c r="R8" i="105"/>
  <c r="S8" i="105" s="1"/>
  <c r="R98" i="104"/>
  <c r="F119" i="104"/>
  <c r="F170" i="104" s="1"/>
  <c r="M119" i="104"/>
  <c r="M170" i="104" s="1"/>
  <c r="R5" i="105"/>
  <c r="R68" i="103"/>
  <c r="S68" i="103" s="1"/>
  <c r="R67" i="103"/>
  <c r="S67" i="103" s="1"/>
  <c r="N119" i="104"/>
  <c r="N170" i="104" s="1"/>
  <c r="I119" i="104"/>
  <c r="I170" i="104" s="1"/>
  <c r="O119" i="104"/>
  <c r="O170" i="104" s="1"/>
  <c r="R7" i="105"/>
  <c r="S7" i="105" s="1"/>
  <c r="R13" i="105"/>
  <c r="S13" i="105" s="1"/>
  <c r="L119" i="104"/>
  <c r="L170" i="104" s="1"/>
  <c r="R10" i="105"/>
  <c r="S10" i="105" s="1"/>
  <c r="R115" i="104"/>
  <c r="S115" i="104" s="1"/>
  <c r="R66" i="104"/>
  <c r="M116" i="110" l="1"/>
  <c r="AC116" i="110" s="1"/>
  <c r="L117" i="110"/>
  <c r="I167" i="110"/>
  <c r="Y156" i="110"/>
  <c r="G109" i="110"/>
  <c r="V109" i="110"/>
  <c r="G5" i="110"/>
  <c r="V5" i="110"/>
  <c r="G66" i="110"/>
  <c r="G69" i="110" s="1"/>
  <c r="V66" i="110"/>
  <c r="G12" i="110"/>
  <c r="V12" i="110"/>
  <c r="G88" i="110"/>
  <c r="V88" i="110"/>
  <c r="E167" i="110"/>
  <c r="U156" i="110"/>
  <c r="G123" i="110"/>
  <c r="V123" i="110"/>
  <c r="N167" i="110"/>
  <c r="AD156" i="110"/>
  <c r="H167" i="110"/>
  <c r="X156" i="110"/>
  <c r="G45" i="110"/>
  <c r="V45" i="110"/>
  <c r="G130" i="110"/>
  <c r="V130" i="110"/>
  <c r="G26" i="110"/>
  <c r="V26" i="110"/>
  <c r="O167" i="110"/>
  <c r="AE156" i="110"/>
  <c r="J167" i="110"/>
  <c r="Z156" i="110"/>
  <c r="G52" i="110"/>
  <c r="V52" i="110"/>
  <c r="G19" i="110"/>
  <c r="V19" i="110"/>
  <c r="M167" i="110"/>
  <c r="AC156" i="110"/>
  <c r="G59" i="110"/>
  <c r="V59" i="110"/>
  <c r="G167" i="110"/>
  <c r="W156" i="110"/>
  <c r="G80" i="110"/>
  <c r="V80" i="110"/>
  <c r="L167" i="110"/>
  <c r="AB156" i="110"/>
  <c r="G137" i="110"/>
  <c r="V137" i="110"/>
  <c r="G102" i="110"/>
  <c r="V102" i="110"/>
  <c r="F167" i="110"/>
  <c r="F158" i="110"/>
  <c r="V158" i="110" s="1"/>
  <c r="R37" i="105"/>
  <c r="S37" i="105" s="1"/>
  <c r="R49" i="105"/>
  <c r="R53" i="105" s="1"/>
  <c r="Q185" i="105"/>
  <c r="R39" i="105"/>
  <c r="S39" i="105" s="1"/>
  <c r="R150" i="105"/>
  <c r="S150" i="105" s="1"/>
  <c r="R156" i="105"/>
  <c r="S156" i="105" s="1"/>
  <c r="Q116" i="105"/>
  <c r="Q169" i="105"/>
  <c r="R104" i="105"/>
  <c r="S104" i="105" s="1"/>
  <c r="Q53" i="105"/>
  <c r="Q168" i="105" s="1"/>
  <c r="R144" i="105"/>
  <c r="S144" i="105" s="1"/>
  <c r="R115" i="105"/>
  <c r="S115" i="105" s="1"/>
  <c r="R147" i="105"/>
  <c r="S147" i="105" s="1"/>
  <c r="P169" i="105"/>
  <c r="P186" i="105"/>
  <c r="D120" i="104"/>
  <c r="P184" i="104"/>
  <c r="F10" i="128" s="1"/>
  <c r="P168" i="104"/>
  <c r="D187" i="104"/>
  <c r="P169" i="104"/>
  <c r="P186" i="104"/>
  <c r="F6" i="128"/>
  <c r="H6" i="128" s="1"/>
  <c r="F8" i="128"/>
  <c r="H8" i="128" s="1"/>
  <c r="F4" i="128"/>
  <c r="H4" i="128" s="1"/>
  <c r="E152" i="110"/>
  <c r="F151" i="110"/>
  <c r="V151" i="110" s="1"/>
  <c r="F144" i="110"/>
  <c r="V144" i="110" s="1"/>
  <c r="E145" i="110"/>
  <c r="D27" i="110"/>
  <c r="P18" i="118"/>
  <c r="G18" i="127"/>
  <c r="N187" i="104"/>
  <c r="M187" i="104"/>
  <c r="O187" i="104"/>
  <c r="J187" i="104"/>
  <c r="L187" i="104"/>
  <c r="G187" i="104"/>
  <c r="R179" i="105"/>
  <c r="H187" i="104"/>
  <c r="R177" i="104"/>
  <c r="S177" i="104" s="1"/>
  <c r="I187" i="104"/>
  <c r="E187" i="104"/>
  <c r="F187" i="104"/>
  <c r="D170" i="105"/>
  <c r="D187" i="105" s="1"/>
  <c r="D197" i="105" s="1"/>
  <c r="D199" i="105" s="1"/>
  <c r="D167" i="110"/>
  <c r="D170" i="110"/>
  <c r="F96" i="110"/>
  <c r="E192" i="110"/>
  <c r="I170" i="105"/>
  <c r="I187" i="105" s="1"/>
  <c r="H170" i="105"/>
  <c r="H187" i="105" s="1"/>
  <c r="H188" i="105" s="1"/>
  <c r="E170" i="105"/>
  <c r="E187" i="105" s="1"/>
  <c r="E197" i="105" s="1"/>
  <c r="E193" i="105" s="1"/>
  <c r="E195" i="105" s="1"/>
  <c r="M170" i="105"/>
  <c r="M187" i="105" s="1"/>
  <c r="M197" i="105" s="1"/>
  <c r="M193" i="105" s="1"/>
  <c r="F170" i="105"/>
  <c r="F187" i="105" s="1"/>
  <c r="F197" i="105" s="1"/>
  <c r="F193" i="105" s="1"/>
  <c r="F195" i="105" s="1"/>
  <c r="J170" i="105"/>
  <c r="J187" i="105" s="1"/>
  <c r="L170" i="105"/>
  <c r="L187" i="105" s="1"/>
  <c r="L197" i="105" s="1"/>
  <c r="L193" i="105" s="1"/>
  <c r="O170" i="105"/>
  <c r="O187" i="105" s="1"/>
  <c r="N170" i="105"/>
  <c r="N187" i="105" s="1"/>
  <c r="N197" i="105" s="1"/>
  <c r="N193" i="105" s="1"/>
  <c r="G170" i="105"/>
  <c r="G187" i="105" s="1"/>
  <c r="J171" i="110"/>
  <c r="E96" i="110"/>
  <c r="K38" i="110"/>
  <c r="K36" i="110"/>
  <c r="R34" i="110" s="1"/>
  <c r="R35" i="110" s="1"/>
  <c r="R36" i="110" s="1"/>
  <c r="L35" i="110"/>
  <c r="AB35" i="110" s="1"/>
  <c r="D46" i="110"/>
  <c r="E138" i="110"/>
  <c r="E60" i="110"/>
  <c r="D6" i="110"/>
  <c r="E110" i="110"/>
  <c r="E131" i="110"/>
  <c r="E74" i="110"/>
  <c r="E20" i="110"/>
  <c r="R145" i="105"/>
  <c r="S145" i="105" s="1"/>
  <c r="R157" i="105"/>
  <c r="S157" i="105" s="1"/>
  <c r="R148" i="105"/>
  <c r="S148" i="105" s="1"/>
  <c r="R164" i="105"/>
  <c r="S164" i="105" s="1"/>
  <c r="R154" i="105"/>
  <c r="S154" i="105" s="1"/>
  <c r="R159" i="105"/>
  <c r="S159" i="105" s="1"/>
  <c r="R153" i="105"/>
  <c r="S153" i="105" s="1"/>
  <c r="R149" i="105"/>
  <c r="S149" i="105" s="1"/>
  <c r="R155" i="105"/>
  <c r="S155" i="105" s="1"/>
  <c r="E124" i="110"/>
  <c r="E103" i="110"/>
  <c r="E89" i="110"/>
  <c r="E81" i="110"/>
  <c r="E67" i="110"/>
  <c r="E53" i="110"/>
  <c r="E13" i="110"/>
  <c r="R152" i="104"/>
  <c r="S152" i="104" s="1"/>
  <c r="R154" i="104"/>
  <c r="S154" i="104" s="1"/>
  <c r="R148" i="104"/>
  <c r="S148" i="104" s="1"/>
  <c r="R146" i="104"/>
  <c r="S146" i="104" s="1"/>
  <c r="R157" i="104"/>
  <c r="S157" i="104" s="1"/>
  <c r="R145" i="104"/>
  <c r="S145" i="104" s="1"/>
  <c r="R144" i="104"/>
  <c r="S144" i="104" s="1"/>
  <c r="R149" i="104"/>
  <c r="S149" i="104" s="1"/>
  <c r="R153" i="104"/>
  <c r="S153" i="104" s="1"/>
  <c r="R164" i="104"/>
  <c r="S164" i="104" s="1"/>
  <c r="R155" i="104"/>
  <c r="S155" i="104" s="1"/>
  <c r="R147" i="104"/>
  <c r="S147" i="104" s="1"/>
  <c r="R150" i="104"/>
  <c r="S150" i="104" s="1"/>
  <c r="R159" i="104"/>
  <c r="S159" i="104" s="1"/>
  <c r="I170" i="110"/>
  <c r="G170" i="110"/>
  <c r="J170" i="110"/>
  <c r="E170" i="110"/>
  <c r="F170" i="110"/>
  <c r="H170" i="110"/>
  <c r="S26" i="105"/>
  <c r="R53" i="104"/>
  <c r="S53" i="104" s="1"/>
  <c r="S31" i="104"/>
  <c r="S20" i="104"/>
  <c r="R22" i="104"/>
  <c r="S22" i="104" s="1"/>
  <c r="S31" i="105"/>
  <c r="R22" i="105"/>
  <c r="S22" i="105" s="1"/>
  <c r="S20" i="105"/>
  <c r="S66" i="104"/>
  <c r="R69" i="104"/>
  <c r="S69" i="104" s="1"/>
  <c r="S98" i="104"/>
  <c r="R116" i="104"/>
  <c r="S116" i="104" s="1"/>
  <c r="R69" i="105"/>
  <c r="S69" i="105" s="1"/>
  <c r="S5" i="105"/>
  <c r="R14" i="105"/>
  <c r="S14" i="105" s="1"/>
  <c r="E199" i="105" l="1"/>
  <c r="G197" i="105"/>
  <c r="G193" i="105" s="1"/>
  <c r="G195" i="105" s="1"/>
  <c r="G188" i="105"/>
  <c r="J197" i="105"/>
  <c r="J193" i="105" s="1"/>
  <c r="J188" i="105"/>
  <c r="I197" i="105"/>
  <c r="I193" i="105" s="1"/>
  <c r="I188" i="105"/>
  <c r="N116" i="110"/>
  <c r="AD116" i="110" s="1"/>
  <c r="M117" i="110"/>
  <c r="O197" i="105"/>
  <c r="O193" i="105" s="1"/>
  <c r="H26" i="110"/>
  <c r="W26" i="110"/>
  <c r="H88" i="110"/>
  <c r="W88" i="110"/>
  <c r="H59" i="110"/>
  <c r="W59" i="110"/>
  <c r="H130" i="110"/>
  <c r="W130" i="110"/>
  <c r="H12" i="110"/>
  <c r="W12" i="110"/>
  <c r="H45" i="110"/>
  <c r="W45" i="110"/>
  <c r="H66" i="110"/>
  <c r="W66" i="110"/>
  <c r="H80" i="110"/>
  <c r="W80" i="110"/>
  <c r="H102" i="110"/>
  <c r="W102" i="110"/>
  <c r="H19" i="110"/>
  <c r="W19" i="110"/>
  <c r="H5" i="110"/>
  <c r="W5" i="110"/>
  <c r="H137" i="110"/>
  <c r="W137" i="110"/>
  <c r="H52" i="110"/>
  <c r="W52" i="110"/>
  <c r="H109" i="110"/>
  <c r="W109" i="110"/>
  <c r="H123" i="110"/>
  <c r="W123" i="110"/>
  <c r="S49" i="105"/>
  <c r="R116" i="105"/>
  <c r="S116" i="105" s="1"/>
  <c r="Q186" i="105"/>
  <c r="R186" i="105" s="1"/>
  <c r="S186" i="105" s="1"/>
  <c r="S53" i="105"/>
  <c r="D176" i="110"/>
  <c r="H197" i="105"/>
  <c r="H193" i="105" s="1"/>
  <c r="H195" i="105" s="1"/>
  <c r="D220" i="105"/>
  <c r="D193" i="105"/>
  <c r="D195" i="105" s="1"/>
  <c r="F9" i="128"/>
  <c r="H9" i="128" s="1"/>
  <c r="S179" i="105"/>
  <c r="R184" i="105"/>
  <c r="S184" i="105" s="1"/>
  <c r="R186" i="104"/>
  <c r="S186" i="104" s="1"/>
  <c r="H10" i="128"/>
  <c r="F145" i="110"/>
  <c r="G144" i="110"/>
  <c r="F152" i="110"/>
  <c r="G151" i="110"/>
  <c r="F7" i="127"/>
  <c r="G7" i="127" s="1"/>
  <c r="D191" i="110"/>
  <c r="D193" i="110" s="1"/>
  <c r="D162" i="110"/>
  <c r="D164" i="110" s="1"/>
  <c r="R184" i="104"/>
  <c r="S184" i="104" s="1"/>
  <c r="D15" i="118"/>
  <c r="F192" i="110"/>
  <c r="K171" i="110"/>
  <c r="L36" i="110"/>
  <c r="M35" i="110"/>
  <c r="AC35" i="110" s="1"/>
  <c r="E46" i="110"/>
  <c r="D5" i="118"/>
  <c r="F20" i="110"/>
  <c r="F74" i="110"/>
  <c r="D12" i="118"/>
  <c r="F138" i="110"/>
  <c r="F110" i="110"/>
  <c r="D10" i="118"/>
  <c r="F131" i="110"/>
  <c r="D159" i="110"/>
  <c r="D20" i="118"/>
  <c r="E20" i="118" s="1"/>
  <c r="F20" i="118" s="1"/>
  <c r="R169" i="105"/>
  <c r="S169" i="105" s="1"/>
  <c r="F60" i="110"/>
  <c r="E27" i="110"/>
  <c r="R168" i="105"/>
  <c r="S168" i="105" s="1"/>
  <c r="R168" i="104"/>
  <c r="S168" i="104" s="1"/>
  <c r="N117" i="110"/>
  <c r="F124" i="110"/>
  <c r="F103" i="110"/>
  <c r="D14" i="118"/>
  <c r="F89" i="110"/>
  <c r="D13" i="118"/>
  <c r="F81" i="110"/>
  <c r="F67" i="110"/>
  <c r="F53" i="110"/>
  <c r="F13" i="110"/>
  <c r="E6" i="110"/>
  <c r="O116" i="110"/>
  <c r="T164" i="110" l="1"/>
  <c r="C3" i="131"/>
  <c r="D23" i="118"/>
  <c r="E23" i="118" s="1"/>
  <c r="F23" i="118" s="1"/>
  <c r="W151" i="110"/>
  <c r="I5" i="110"/>
  <c r="Y5" i="110" s="1"/>
  <c r="X5" i="110"/>
  <c r="I130" i="110"/>
  <c r="Y130" i="110" s="1"/>
  <c r="X130" i="110"/>
  <c r="I66" i="110"/>
  <c r="Y66" i="110" s="1"/>
  <c r="X66" i="110"/>
  <c r="I137" i="110"/>
  <c r="Y137" i="110" s="1"/>
  <c r="X137" i="110"/>
  <c r="D22" i="118"/>
  <c r="E22" i="118" s="1"/>
  <c r="F22" i="118" s="1"/>
  <c r="W144" i="110"/>
  <c r="I19" i="110"/>
  <c r="Y19" i="110" s="1"/>
  <c r="X19" i="110"/>
  <c r="I59" i="110"/>
  <c r="X59" i="110"/>
  <c r="I109" i="110"/>
  <c r="Y109" i="110" s="1"/>
  <c r="X109" i="110"/>
  <c r="I102" i="110"/>
  <c r="Y102" i="110" s="1"/>
  <c r="X102" i="110"/>
  <c r="I88" i="110"/>
  <c r="Y88" i="110" s="1"/>
  <c r="X88" i="110"/>
  <c r="I45" i="110"/>
  <c r="X45" i="110"/>
  <c r="I52" i="110"/>
  <c r="Y52" i="110" s="1"/>
  <c r="X52" i="110"/>
  <c r="I12" i="110"/>
  <c r="Y12" i="110" s="1"/>
  <c r="X12" i="110"/>
  <c r="Y18" i="127"/>
  <c r="Z18" i="127" s="1"/>
  <c r="AE116" i="110"/>
  <c r="I123" i="110"/>
  <c r="Y123" i="110" s="1"/>
  <c r="X123" i="110"/>
  <c r="I80" i="110"/>
  <c r="X80" i="110"/>
  <c r="I26" i="110"/>
  <c r="Y26" i="110" s="1"/>
  <c r="X26" i="110"/>
  <c r="D205" i="105"/>
  <c r="F176" i="110"/>
  <c r="E220" i="105"/>
  <c r="G152" i="110"/>
  <c r="H151" i="110"/>
  <c r="X151" i="110" s="1"/>
  <c r="G154" i="110"/>
  <c r="G145" i="110"/>
  <c r="H144" i="110"/>
  <c r="X144" i="110" s="1"/>
  <c r="G147" i="110"/>
  <c r="M7" i="127"/>
  <c r="N7" i="127" s="1"/>
  <c r="E176" i="110"/>
  <c r="E191" i="110"/>
  <c r="E193" i="110" s="1"/>
  <c r="E162" i="110"/>
  <c r="E164" i="110" s="1"/>
  <c r="G96" i="110"/>
  <c r="G98" i="110"/>
  <c r="H192" i="110"/>
  <c r="G192" i="110"/>
  <c r="L171" i="110"/>
  <c r="L170" i="110"/>
  <c r="M36" i="110"/>
  <c r="N35" i="110"/>
  <c r="D9" i="118"/>
  <c r="E9" i="118" s="1"/>
  <c r="F9" i="118" s="1"/>
  <c r="G55" i="110"/>
  <c r="E15" i="118"/>
  <c r="F15" i="118" s="1"/>
  <c r="E14" i="118"/>
  <c r="F14" i="118" s="1"/>
  <c r="O119" i="110"/>
  <c r="T18" i="118"/>
  <c r="E166" i="110"/>
  <c r="E12" i="118"/>
  <c r="F12" i="118" s="1"/>
  <c r="G126" i="110"/>
  <c r="D19" i="118"/>
  <c r="G140" i="110"/>
  <c r="D21" i="118"/>
  <c r="E5" i="118"/>
  <c r="F5" i="118" s="1"/>
  <c r="D4" i="118"/>
  <c r="D11" i="118"/>
  <c r="G112" i="110"/>
  <c r="D17" i="118"/>
  <c r="E13" i="118"/>
  <c r="F13" i="118" s="1"/>
  <c r="G105" i="110"/>
  <c r="D16" i="118"/>
  <c r="E10" i="118"/>
  <c r="F10" i="118" s="1"/>
  <c r="G133" i="110"/>
  <c r="G160" i="110" s="1"/>
  <c r="G91" i="110"/>
  <c r="G15" i="110"/>
  <c r="G22" i="110"/>
  <c r="G62" i="110"/>
  <c r="G83" i="110"/>
  <c r="G76" i="110"/>
  <c r="F46" i="110"/>
  <c r="D8" i="118"/>
  <c r="G74" i="110"/>
  <c r="G20" i="110"/>
  <c r="G60" i="110"/>
  <c r="H60" i="110"/>
  <c r="G138" i="110"/>
  <c r="G110" i="110"/>
  <c r="O117" i="110"/>
  <c r="G131" i="110"/>
  <c r="F27" i="110"/>
  <c r="E159" i="110"/>
  <c r="G124" i="110"/>
  <c r="G103" i="110"/>
  <c r="G89" i="110"/>
  <c r="G81" i="110"/>
  <c r="G67" i="110"/>
  <c r="G53" i="110"/>
  <c r="G13" i="110"/>
  <c r="F6" i="110"/>
  <c r="U164" i="110" l="1"/>
  <c r="D3" i="131"/>
  <c r="AC18" i="127"/>
  <c r="O35" i="110"/>
  <c r="AE35" i="110" s="1"/>
  <c r="AD35" i="110"/>
  <c r="J80" i="110"/>
  <c r="Y80" i="110"/>
  <c r="J45" i="110"/>
  <c r="Z45" i="110" s="1"/>
  <c r="Y45" i="110"/>
  <c r="J59" i="110"/>
  <c r="Y59" i="110"/>
  <c r="E205" i="105"/>
  <c r="G158" i="110"/>
  <c r="F199" i="105"/>
  <c r="F220" i="105" s="1"/>
  <c r="I144" i="110"/>
  <c r="Y144" i="110" s="1"/>
  <c r="H145" i="110"/>
  <c r="H152" i="110"/>
  <c r="I151" i="110"/>
  <c r="Y151" i="110" s="1"/>
  <c r="F191" i="110"/>
  <c r="F193" i="110" s="1"/>
  <c r="F162" i="110"/>
  <c r="F164" i="110" s="1"/>
  <c r="H96" i="110"/>
  <c r="M171" i="110"/>
  <c r="M170" i="110"/>
  <c r="N36" i="110"/>
  <c r="U18" i="118"/>
  <c r="V18" i="118" s="1"/>
  <c r="AB18" i="118"/>
  <c r="AC18" i="118" s="1"/>
  <c r="H24" i="118"/>
  <c r="E16" i="118"/>
  <c r="F16" i="118" s="1"/>
  <c r="E21" i="118"/>
  <c r="F21" i="118" s="1"/>
  <c r="F166" i="110"/>
  <c r="E4" i="118"/>
  <c r="F4" i="118" s="1"/>
  <c r="E8" i="118"/>
  <c r="F8" i="118" s="1"/>
  <c r="E17" i="118"/>
  <c r="F17" i="118" s="1"/>
  <c r="E19" i="118"/>
  <c r="F19" i="118" s="1"/>
  <c r="E11" i="118"/>
  <c r="F11" i="118" s="1"/>
  <c r="D3" i="118"/>
  <c r="G29" i="110"/>
  <c r="D6" i="118"/>
  <c r="G48" i="110"/>
  <c r="G8" i="110"/>
  <c r="G46" i="110"/>
  <c r="J73" i="110"/>
  <c r="H74" i="110"/>
  <c r="H20" i="110"/>
  <c r="H89" i="110"/>
  <c r="H53" i="110"/>
  <c r="H124" i="110"/>
  <c r="H103" i="110"/>
  <c r="H13" i="110"/>
  <c r="H138" i="110"/>
  <c r="H131" i="110"/>
  <c r="G27" i="110"/>
  <c r="F159" i="110"/>
  <c r="H110" i="110"/>
  <c r="H81" i="110"/>
  <c r="H67" i="110"/>
  <c r="G6" i="110"/>
  <c r="I192" i="110"/>
  <c r="O102" i="103"/>
  <c r="V164" i="110" l="1"/>
  <c r="E3" i="131"/>
  <c r="E6" i="131" s="1"/>
  <c r="E8" i="131" s="1"/>
  <c r="E22" i="131" s="1"/>
  <c r="Y7" i="127"/>
  <c r="Z7" i="127" s="1"/>
  <c r="O36" i="110"/>
  <c r="K59" i="110"/>
  <c r="Z59" i="110"/>
  <c r="Z80" i="110"/>
  <c r="J81" i="110"/>
  <c r="K80" i="110"/>
  <c r="G176" i="110"/>
  <c r="W158" i="110"/>
  <c r="K73" i="110"/>
  <c r="Z73" i="110"/>
  <c r="D24" i="118"/>
  <c r="D26" i="118" s="1"/>
  <c r="F205" i="105"/>
  <c r="H158" i="110"/>
  <c r="G199" i="105"/>
  <c r="G220" i="105" s="1"/>
  <c r="I152" i="110"/>
  <c r="J151" i="110"/>
  <c r="Z151" i="110" s="1"/>
  <c r="I145" i="110"/>
  <c r="J144" i="110"/>
  <c r="Z144" i="110" s="1"/>
  <c r="G162" i="110"/>
  <c r="G164" i="110" s="1"/>
  <c r="G191" i="110"/>
  <c r="G193" i="110" s="1"/>
  <c r="N171" i="110"/>
  <c r="N170" i="110"/>
  <c r="O38" i="110"/>
  <c r="G161" i="110"/>
  <c r="H27" i="118"/>
  <c r="H25" i="118"/>
  <c r="H26" i="118"/>
  <c r="G166" i="110"/>
  <c r="E3" i="118"/>
  <c r="F3" i="118" s="1"/>
  <c r="E6" i="118"/>
  <c r="F6" i="118" s="1"/>
  <c r="H46" i="110"/>
  <c r="I46" i="110"/>
  <c r="I74" i="110"/>
  <c r="I20" i="110"/>
  <c r="I89" i="110"/>
  <c r="I53" i="110"/>
  <c r="I96" i="110"/>
  <c r="I27" i="110"/>
  <c r="I67" i="110"/>
  <c r="I138" i="110"/>
  <c r="I103" i="110"/>
  <c r="I60" i="110"/>
  <c r="I81" i="110"/>
  <c r="H27" i="110"/>
  <c r="I13" i="110"/>
  <c r="I131" i="110"/>
  <c r="J130" i="110"/>
  <c r="Z130" i="110" s="1"/>
  <c r="J102" i="110"/>
  <c r="Z102" i="110" s="1"/>
  <c r="G159" i="110"/>
  <c r="I110" i="110"/>
  <c r="H6" i="110"/>
  <c r="J95" i="110"/>
  <c r="J137" i="110"/>
  <c r="Z137" i="110" s="1"/>
  <c r="J26" i="110"/>
  <c r="Z26" i="110" s="1"/>
  <c r="J88" i="110"/>
  <c r="Z88" i="110" s="1"/>
  <c r="J12" i="110"/>
  <c r="Z12" i="110" s="1"/>
  <c r="J19" i="110"/>
  <c r="Z19" i="110" s="1"/>
  <c r="J109" i="110"/>
  <c r="Z109" i="110" s="1"/>
  <c r="J52" i="110"/>
  <c r="Z52" i="110" s="1"/>
  <c r="J66" i="110"/>
  <c r="Z66" i="110" s="1"/>
  <c r="M101" i="103"/>
  <c r="E24" i="131" l="1"/>
  <c r="E39" i="131"/>
  <c r="AC7" i="127"/>
  <c r="W164" i="110"/>
  <c r="F3" i="131"/>
  <c r="F6" i="131" s="1"/>
  <c r="L73" i="110"/>
  <c r="AA73" i="110"/>
  <c r="L80" i="110"/>
  <c r="AA80" i="110"/>
  <c r="J192" i="110"/>
  <c r="Z95" i="110"/>
  <c r="H176" i="110"/>
  <c r="X158" i="110"/>
  <c r="L59" i="110"/>
  <c r="AA59" i="110"/>
  <c r="D25" i="118"/>
  <c r="G205" i="105"/>
  <c r="I158" i="110"/>
  <c r="H199" i="105"/>
  <c r="H220" i="105" s="1"/>
  <c r="M164" i="103"/>
  <c r="J145" i="110"/>
  <c r="K144" i="110"/>
  <c r="AA144" i="110" s="1"/>
  <c r="K151" i="110"/>
  <c r="AA151" i="110" s="1"/>
  <c r="J152" i="110"/>
  <c r="H162" i="110"/>
  <c r="H164" i="110" s="1"/>
  <c r="H191" i="110"/>
  <c r="H193" i="110" s="1"/>
  <c r="O171" i="110"/>
  <c r="O170" i="110"/>
  <c r="E24" i="118"/>
  <c r="F24" i="118" s="1"/>
  <c r="H166" i="110"/>
  <c r="J46" i="110"/>
  <c r="J27" i="110"/>
  <c r="J5" i="110"/>
  <c r="Z5" i="110" s="1"/>
  <c r="J53" i="110"/>
  <c r="J60" i="110"/>
  <c r="J74" i="110"/>
  <c r="J138" i="110"/>
  <c r="J13" i="110"/>
  <c r="J96" i="110"/>
  <c r="J103" i="110"/>
  <c r="J89" i="110"/>
  <c r="H159" i="110"/>
  <c r="J131" i="110"/>
  <c r="K130" i="110"/>
  <c r="AA130" i="110" s="1"/>
  <c r="K102" i="110"/>
  <c r="AA102" i="110" s="1"/>
  <c r="J110" i="110"/>
  <c r="J67" i="110"/>
  <c r="J20" i="110"/>
  <c r="I6" i="110"/>
  <c r="K95" i="110"/>
  <c r="K137" i="110"/>
  <c r="AA137" i="110" s="1"/>
  <c r="K12" i="110"/>
  <c r="AA12" i="110" s="1"/>
  <c r="K26" i="110"/>
  <c r="AA26" i="110" s="1"/>
  <c r="K88" i="110"/>
  <c r="AA88" i="110" s="1"/>
  <c r="K19" i="110"/>
  <c r="K109" i="110"/>
  <c r="AA109" i="110" s="1"/>
  <c r="K62" i="110"/>
  <c r="K52" i="110"/>
  <c r="X164" i="110" l="1"/>
  <c r="G3" i="131"/>
  <c r="M59" i="110"/>
  <c r="AB59" i="110"/>
  <c r="K192" i="110"/>
  <c r="AA95" i="110"/>
  <c r="L5" i="118"/>
  <c r="M5" i="118" s="1"/>
  <c r="N5" i="118" s="1"/>
  <c r="AA19" i="110"/>
  <c r="Y158" i="110"/>
  <c r="M80" i="110"/>
  <c r="AB80" i="110"/>
  <c r="K55" i="110"/>
  <c r="AA52" i="110"/>
  <c r="M73" i="110"/>
  <c r="AB73" i="110"/>
  <c r="H205" i="105"/>
  <c r="F8" i="131"/>
  <c r="F22" i="131" s="1"/>
  <c r="I176" i="110"/>
  <c r="I199" i="105"/>
  <c r="K154" i="110"/>
  <c r="K152" i="110"/>
  <c r="R150" i="110" s="1"/>
  <c r="R151" i="110" s="1"/>
  <c r="R152" i="110" s="1"/>
  <c r="L151" i="110"/>
  <c r="AB151" i="110" s="1"/>
  <c r="K147" i="110"/>
  <c r="K145" i="110"/>
  <c r="R143" i="110" s="1"/>
  <c r="R144" i="110" s="1"/>
  <c r="R145" i="110" s="1"/>
  <c r="L144" i="110"/>
  <c r="AB144" i="110" s="1"/>
  <c r="I162" i="110"/>
  <c r="I164" i="110" s="1"/>
  <c r="I191" i="110"/>
  <c r="I193" i="110" s="1"/>
  <c r="I166" i="110"/>
  <c r="L14" i="118"/>
  <c r="M14" i="118" s="1"/>
  <c r="N14" i="118" s="1"/>
  <c r="K91" i="110"/>
  <c r="L10" i="118"/>
  <c r="M10" i="118" s="1"/>
  <c r="N10" i="118" s="1"/>
  <c r="K112" i="110"/>
  <c r="L17" i="118"/>
  <c r="M17" i="118" s="1"/>
  <c r="N17" i="118" s="1"/>
  <c r="L4" i="118"/>
  <c r="M4" i="118" s="1"/>
  <c r="N4" i="118" s="1"/>
  <c r="K15" i="110"/>
  <c r="L21" i="118"/>
  <c r="M21" i="118" s="1"/>
  <c r="N21" i="118" s="1"/>
  <c r="K140" i="110"/>
  <c r="K98" i="110"/>
  <c r="L15" i="118"/>
  <c r="M15" i="118" s="1"/>
  <c r="N15" i="118" s="1"/>
  <c r="L9" i="118"/>
  <c r="M9" i="118" s="1"/>
  <c r="N9" i="118" s="1"/>
  <c r="K105" i="110"/>
  <c r="L16" i="118"/>
  <c r="M16" i="118" s="1"/>
  <c r="N16" i="118" s="1"/>
  <c r="K133" i="110"/>
  <c r="K160" i="110" s="1"/>
  <c r="L20" i="118"/>
  <c r="M20" i="118" s="1"/>
  <c r="N20" i="118" s="1"/>
  <c r="L6" i="118"/>
  <c r="M6" i="118" s="1"/>
  <c r="N6" i="118" s="1"/>
  <c r="K29" i="110"/>
  <c r="K76" i="110"/>
  <c r="L12" i="118"/>
  <c r="M12" i="118" s="1"/>
  <c r="N12" i="118" s="1"/>
  <c r="K83" i="110"/>
  <c r="L13" i="118"/>
  <c r="M13" i="118" s="1"/>
  <c r="N13" i="118" s="1"/>
  <c r="K22" i="110"/>
  <c r="K45" i="110"/>
  <c r="J6" i="110"/>
  <c r="K5" i="110"/>
  <c r="K103" i="110"/>
  <c r="R101" i="110" s="1"/>
  <c r="R102" i="110" s="1"/>
  <c r="R103" i="110" s="1"/>
  <c r="K96" i="110"/>
  <c r="R94" i="110" s="1"/>
  <c r="R95" i="110" s="1"/>
  <c r="R96" i="110" s="1"/>
  <c r="K60" i="110"/>
  <c r="R58" i="110" s="1"/>
  <c r="R59" i="110" s="1"/>
  <c r="R60" i="110" s="1"/>
  <c r="K89" i="110"/>
  <c r="R87" i="110" s="1"/>
  <c r="K53" i="110"/>
  <c r="R51" i="110" s="1"/>
  <c r="R52" i="110" s="1"/>
  <c r="R53" i="110" s="1"/>
  <c r="K27" i="110"/>
  <c r="R25" i="110" s="1"/>
  <c r="R26" i="110" s="1"/>
  <c r="R27" i="110" s="1"/>
  <c r="K74" i="110"/>
  <c r="R72" i="110" s="1"/>
  <c r="K81" i="110"/>
  <c r="R79" i="110" s="1"/>
  <c r="R80" i="110" s="1"/>
  <c r="R81" i="110" s="1"/>
  <c r="K138" i="110"/>
  <c r="R136" i="110" s="1"/>
  <c r="R137" i="110" s="1"/>
  <c r="R138" i="110" s="1"/>
  <c r="I159" i="110"/>
  <c r="K131" i="110"/>
  <c r="L130" i="110"/>
  <c r="AB130" i="110" s="1"/>
  <c r="L102" i="110"/>
  <c r="AB102" i="110" s="1"/>
  <c r="K110" i="110"/>
  <c r="R108" i="110" s="1"/>
  <c r="R109" i="110" s="1"/>
  <c r="R110" i="110" s="1"/>
  <c r="K20" i="110"/>
  <c r="K13" i="110"/>
  <c r="R11" i="110" s="1"/>
  <c r="R12" i="110" s="1"/>
  <c r="R13" i="110" s="1"/>
  <c r="L95" i="110"/>
  <c r="L137" i="110"/>
  <c r="AB137" i="110" s="1"/>
  <c r="L12" i="110"/>
  <c r="AB12" i="110" s="1"/>
  <c r="L26" i="110"/>
  <c r="AB26" i="110" s="1"/>
  <c r="L88" i="110"/>
  <c r="L19" i="110"/>
  <c r="AB19" i="110" s="1"/>
  <c r="L109" i="110"/>
  <c r="AB109" i="110" s="1"/>
  <c r="L52" i="110"/>
  <c r="AB52" i="110" s="1"/>
  <c r="G99" i="103"/>
  <c r="I107" i="103"/>
  <c r="H47" i="103"/>
  <c r="N39" i="103"/>
  <c r="F24" i="131" l="1"/>
  <c r="I220" i="105"/>
  <c r="J199" i="105"/>
  <c r="G6" i="131"/>
  <c r="G8" i="131" s="1"/>
  <c r="G22" i="131" s="1"/>
  <c r="F39" i="131"/>
  <c r="Y164" i="110"/>
  <c r="H3" i="131"/>
  <c r="N80" i="110"/>
  <c r="AC80" i="110"/>
  <c r="M88" i="110"/>
  <c r="AB88" i="110"/>
  <c r="L8" i="118"/>
  <c r="M8" i="118" s="1"/>
  <c r="N8" i="118" s="1"/>
  <c r="AA45" i="110"/>
  <c r="N73" i="110"/>
  <c r="AC73" i="110"/>
  <c r="L192" i="110"/>
  <c r="AB95" i="110"/>
  <c r="L3" i="118"/>
  <c r="M3" i="118" s="1"/>
  <c r="N3" i="118" s="1"/>
  <c r="AA5" i="110"/>
  <c r="N59" i="110"/>
  <c r="AC59" i="110"/>
  <c r="I205" i="105"/>
  <c r="J220" i="105"/>
  <c r="L145" i="110"/>
  <c r="M144" i="110"/>
  <c r="AC144" i="110" s="1"/>
  <c r="L152" i="110"/>
  <c r="M151" i="110"/>
  <c r="AC151" i="110" s="1"/>
  <c r="R73" i="110"/>
  <c r="R74" i="110" s="1"/>
  <c r="F17" i="127"/>
  <c r="G17" i="127" s="1"/>
  <c r="F21" i="127"/>
  <c r="M21" i="127" s="1"/>
  <c r="N21" i="127" s="1"/>
  <c r="F13" i="127"/>
  <c r="G13" i="127" s="1"/>
  <c r="F9" i="127"/>
  <c r="M9" i="127" s="1"/>
  <c r="N9" i="127" s="1"/>
  <c r="F10" i="127"/>
  <c r="M10" i="127" s="1"/>
  <c r="N10" i="127" s="1"/>
  <c r="F15" i="127"/>
  <c r="G15" i="127" s="1"/>
  <c r="F16" i="127"/>
  <c r="M16" i="127" s="1"/>
  <c r="N16" i="127" s="1"/>
  <c r="F6" i="127"/>
  <c r="F4" i="127"/>
  <c r="J123" i="110"/>
  <c r="I124" i="110"/>
  <c r="R88" i="110"/>
  <c r="R89" i="110" s="1"/>
  <c r="K46" i="110"/>
  <c r="R44" i="110" s="1"/>
  <c r="R45" i="110" s="1"/>
  <c r="R46" i="110" s="1"/>
  <c r="K48" i="110"/>
  <c r="L5" i="110"/>
  <c r="AB5" i="110" s="1"/>
  <c r="K8" i="110"/>
  <c r="L45" i="110"/>
  <c r="AB45" i="110" s="1"/>
  <c r="L74" i="110"/>
  <c r="L27" i="110"/>
  <c r="L138" i="110"/>
  <c r="L96" i="110"/>
  <c r="L81" i="110"/>
  <c r="L53" i="110"/>
  <c r="L60" i="110"/>
  <c r="L103" i="110"/>
  <c r="L89" i="110"/>
  <c r="K6" i="110"/>
  <c r="R4" i="110" s="1"/>
  <c r="R5" i="110" s="1"/>
  <c r="R6" i="110" s="1"/>
  <c r="R129" i="110"/>
  <c r="R130" i="110" s="1"/>
  <c r="R131" i="110" s="1"/>
  <c r="L131" i="110"/>
  <c r="M130" i="110"/>
  <c r="AC130" i="110" s="1"/>
  <c r="M102" i="110"/>
  <c r="AC102" i="110" s="1"/>
  <c r="R18" i="110"/>
  <c r="L110" i="110"/>
  <c r="L20" i="110"/>
  <c r="L13" i="110"/>
  <c r="M95" i="110"/>
  <c r="M137" i="110"/>
  <c r="AC137" i="110" s="1"/>
  <c r="M12" i="110"/>
  <c r="AC12" i="110" s="1"/>
  <c r="M26" i="110"/>
  <c r="AC26" i="110" s="1"/>
  <c r="M19" i="110"/>
  <c r="AC19" i="110" s="1"/>
  <c r="J158" i="110"/>
  <c r="M109" i="110"/>
  <c r="AC109" i="110" s="1"/>
  <c r="M52" i="110"/>
  <c r="AC52" i="110" s="1"/>
  <c r="G24" i="131" l="1"/>
  <c r="H6" i="131"/>
  <c r="H8" i="131" s="1"/>
  <c r="H22" i="131" s="1"/>
  <c r="G39" i="131"/>
  <c r="O59" i="110"/>
  <c r="AD59" i="110"/>
  <c r="O73" i="110"/>
  <c r="AD73" i="110"/>
  <c r="J124" i="110"/>
  <c r="Z123" i="110"/>
  <c r="Z158" i="110"/>
  <c r="M192" i="110"/>
  <c r="AC95" i="110"/>
  <c r="N88" i="110"/>
  <c r="AC88" i="110"/>
  <c r="O80" i="110"/>
  <c r="AE80" i="110" s="1"/>
  <c r="AD80" i="110"/>
  <c r="J205" i="105"/>
  <c r="R19" i="110"/>
  <c r="R20" i="110" s="1"/>
  <c r="M152" i="110"/>
  <c r="N151" i="110"/>
  <c r="AD151" i="110" s="1"/>
  <c r="M145" i="110"/>
  <c r="N144" i="110"/>
  <c r="AD144" i="110" s="1"/>
  <c r="F12" i="127"/>
  <c r="M17" i="127"/>
  <c r="P17" i="118"/>
  <c r="G21" i="127"/>
  <c r="G16" i="127"/>
  <c r="G10" i="127"/>
  <c r="P9" i="118"/>
  <c r="P13" i="118"/>
  <c r="P10" i="118"/>
  <c r="G9" i="127"/>
  <c r="P21" i="118"/>
  <c r="P16" i="118"/>
  <c r="F20" i="127"/>
  <c r="M20" i="127" s="1"/>
  <c r="N20" i="127" s="1"/>
  <c r="F3" i="127"/>
  <c r="M3" i="127" s="1"/>
  <c r="N3" i="127" s="1"/>
  <c r="F14" i="127"/>
  <c r="G14" i="127" s="1"/>
  <c r="F8" i="127"/>
  <c r="P6" i="118"/>
  <c r="G6" i="127"/>
  <c r="M6" i="127"/>
  <c r="N6" i="127" s="1"/>
  <c r="G4" i="127"/>
  <c r="M4" i="127"/>
  <c r="N4" i="127" s="1"/>
  <c r="J162" i="110"/>
  <c r="J164" i="110" s="1"/>
  <c r="J176" i="110"/>
  <c r="J191" i="110"/>
  <c r="J193" i="110" s="1"/>
  <c r="P4" i="118"/>
  <c r="J166" i="110"/>
  <c r="M5" i="110"/>
  <c r="AC5" i="110" s="1"/>
  <c r="L6" i="110"/>
  <c r="L46" i="110"/>
  <c r="M45" i="110"/>
  <c r="M103" i="110"/>
  <c r="M89" i="110"/>
  <c r="M74" i="110"/>
  <c r="M27" i="110"/>
  <c r="M81" i="110"/>
  <c r="M96" i="110"/>
  <c r="M138" i="110"/>
  <c r="M53" i="110"/>
  <c r="M60" i="110"/>
  <c r="J159" i="110"/>
  <c r="M131" i="110"/>
  <c r="N130" i="110"/>
  <c r="AD130" i="110" s="1"/>
  <c r="N102" i="110"/>
  <c r="AD102" i="110" s="1"/>
  <c r="M110" i="110"/>
  <c r="M20" i="110"/>
  <c r="M13" i="110"/>
  <c r="N95" i="110"/>
  <c r="N137" i="110"/>
  <c r="N12" i="110"/>
  <c r="N52" i="110"/>
  <c r="AD52" i="110" s="1"/>
  <c r="N26" i="110"/>
  <c r="AD26" i="110" s="1"/>
  <c r="N19" i="110"/>
  <c r="AD19" i="110" s="1"/>
  <c r="N109" i="110"/>
  <c r="AD109" i="110" s="1"/>
  <c r="K123" i="110"/>
  <c r="AA123" i="110" s="1"/>
  <c r="H24" i="131" l="1"/>
  <c r="H39" i="131"/>
  <c r="Z164" i="110"/>
  <c r="I3" i="131"/>
  <c r="O88" i="110"/>
  <c r="AE88" i="110" s="1"/>
  <c r="AD88" i="110"/>
  <c r="N192" i="110"/>
  <c r="AD95" i="110"/>
  <c r="M46" i="110"/>
  <c r="AC45" i="110"/>
  <c r="Y12" i="127"/>
  <c r="AE73" i="110"/>
  <c r="O12" i="110"/>
  <c r="AD12" i="110"/>
  <c r="O137" i="110"/>
  <c r="AD137" i="110"/>
  <c r="Y10" i="127"/>
  <c r="AE59" i="110"/>
  <c r="F5" i="127"/>
  <c r="N145" i="110"/>
  <c r="O144" i="110"/>
  <c r="AE144" i="110" s="1"/>
  <c r="N152" i="110"/>
  <c r="O151" i="110"/>
  <c r="AE151" i="110" s="1"/>
  <c r="P12" i="118"/>
  <c r="M12" i="127"/>
  <c r="N12" i="127" s="1"/>
  <c r="G12" i="127"/>
  <c r="P14" i="118"/>
  <c r="G20" i="127"/>
  <c r="P20" i="118"/>
  <c r="G3" i="127"/>
  <c r="M14" i="127"/>
  <c r="N14" i="127" s="1"/>
  <c r="M8" i="127"/>
  <c r="N8" i="127" s="1"/>
  <c r="G8" i="127"/>
  <c r="P8" i="118"/>
  <c r="K126" i="110"/>
  <c r="L19" i="118"/>
  <c r="O76" i="110"/>
  <c r="T12" i="118"/>
  <c r="P3" i="118"/>
  <c r="M6" i="110"/>
  <c r="N5" i="110"/>
  <c r="N45" i="110"/>
  <c r="N103" i="110"/>
  <c r="N60" i="110"/>
  <c r="N89" i="110"/>
  <c r="N53" i="110"/>
  <c r="N20" i="110"/>
  <c r="N96" i="110"/>
  <c r="N27" i="110"/>
  <c r="K124" i="110"/>
  <c r="R122" i="110" s="1"/>
  <c r="R123" i="110" s="1"/>
  <c r="R124" i="110" s="1"/>
  <c r="N138" i="110"/>
  <c r="N74" i="110"/>
  <c r="N81" i="110"/>
  <c r="N131" i="110"/>
  <c r="O130" i="110"/>
  <c r="O102" i="110"/>
  <c r="N110" i="110"/>
  <c r="N13" i="110"/>
  <c r="O19" i="110"/>
  <c r="AE19" i="110" s="1"/>
  <c r="O95" i="110"/>
  <c r="AE95" i="110" s="1"/>
  <c r="O52" i="110"/>
  <c r="AE52" i="110" s="1"/>
  <c r="O26" i="110"/>
  <c r="L123" i="110"/>
  <c r="AB123" i="110" s="1"/>
  <c r="Y13" i="127"/>
  <c r="AC13" i="127" s="1"/>
  <c r="O109" i="110"/>
  <c r="M39" i="103"/>
  <c r="I6" i="131" l="1"/>
  <c r="I8" i="131" s="1"/>
  <c r="I22" i="131" s="1"/>
  <c r="Y20" i="127"/>
  <c r="Z20" i="127" s="1"/>
  <c r="AE130" i="110"/>
  <c r="O5" i="110"/>
  <c r="AE5" i="110" s="1"/>
  <c r="AD5" i="110"/>
  <c r="Y4" i="127"/>
  <c r="AE12" i="110"/>
  <c r="AC12" i="127"/>
  <c r="Z12" i="127"/>
  <c r="Y21" i="127"/>
  <c r="AE137" i="110"/>
  <c r="AC10" i="127"/>
  <c r="Z10" i="127"/>
  <c r="Y6" i="127"/>
  <c r="Z6" i="127" s="1"/>
  <c r="AE26" i="110"/>
  <c r="Y17" i="127"/>
  <c r="Z17" i="127" s="1"/>
  <c r="AE109" i="110"/>
  <c r="Y16" i="127"/>
  <c r="AC16" i="127" s="1"/>
  <c r="AE102" i="110"/>
  <c r="O45" i="110"/>
  <c r="T8" i="118" s="1"/>
  <c r="AD45" i="110"/>
  <c r="P5" i="118"/>
  <c r="G5" i="127"/>
  <c r="M5" i="127"/>
  <c r="N5" i="127" s="1"/>
  <c r="O154" i="110"/>
  <c r="O152" i="110"/>
  <c r="O147" i="110"/>
  <c r="O145" i="110"/>
  <c r="F19" i="127"/>
  <c r="G19" i="127" s="1"/>
  <c r="Y14" i="127"/>
  <c r="Z13" i="127"/>
  <c r="O53" i="110"/>
  <c r="Y9" i="127"/>
  <c r="O192" i="110"/>
  <c r="Y15" i="127"/>
  <c r="T5" i="118"/>
  <c r="U5" i="118" s="1"/>
  <c r="V5" i="118" s="1"/>
  <c r="Y5" i="127"/>
  <c r="U12" i="118"/>
  <c r="V12" i="118" s="1"/>
  <c r="AB12" i="118"/>
  <c r="AC12" i="118" s="1"/>
  <c r="O112" i="110"/>
  <c r="T17" i="118"/>
  <c r="O91" i="110"/>
  <c r="T14" i="118"/>
  <c r="O98" i="110"/>
  <c r="T15" i="118"/>
  <c r="O140" i="110"/>
  <c r="T21" i="118"/>
  <c r="O105" i="110"/>
  <c r="T16" i="118"/>
  <c r="O62" i="110"/>
  <c r="T10" i="118"/>
  <c r="O83" i="110"/>
  <c r="T13" i="118"/>
  <c r="M19" i="118"/>
  <c r="N19" i="118" s="1"/>
  <c r="O133" i="110"/>
  <c r="T20" i="118"/>
  <c r="O29" i="110"/>
  <c r="T6" i="118"/>
  <c r="O55" i="110"/>
  <c r="T9" i="118"/>
  <c r="T4" i="118"/>
  <c r="O15" i="110"/>
  <c r="O22" i="110"/>
  <c r="N6" i="110"/>
  <c r="N46" i="110"/>
  <c r="O74" i="110"/>
  <c r="O89" i="110"/>
  <c r="O60" i="110"/>
  <c r="O103" i="110"/>
  <c r="O27" i="110"/>
  <c r="O81" i="110"/>
  <c r="L124" i="110"/>
  <c r="O131" i="110"/>
  <c r="O138" i="110"/>
  <c r="O110" i="110"/>
  <c r="O96" i="110"/>
  <c r="O20" i="110"/>
  <c r="O13" i="110"/>
  <c r="M123" i="110"/>
  <c r="AC123" i="110" s="1"/>
  <c r="I24" i="131" l="1"/>
  <c r="O6" i="110"/>
  <c r="AC17" i="127"/>
  <c r="AC20" i="127"/>
  <c r="I39" i="131"/>
  <c r="Y3" i="127"/>
  <c r="AC3" i="127" s="1"/>
  <c r="T3" i="118"/>
  <c r="AB3" i="118" s="1"/>
  <c r="AC3" i="118" s="1"/>
  <c r="O8" i="110"/>
  <c r="Z16" i="127"/>
  <c r="AC6" i="127"/>
  <c r="Z21" i="127"/>
  <c r="AC21" i="127"/>
  <c r="Y8" i="127"/>
  <c r="AE45" i="110"/>
  <c r="AC4" i="127"/>
  <c r="Z4" i="127"/>
  <c r="O160" i="110"/>
  <c r="AB22" i="127" s="1"/>
  <c r="Z15" i="127"/>
  <c r="AC15" i="127"/>
  <c r="Z5" i="127"/>
  <c r="AC5" i="127"/>
  <c r="Z9" i="127"/>
  <c r="AC9" i="127"/>
  <c r="Z14" i="127"/>
  <c r="AC14" i="127"/>
  <c r="P19" i="118"/>
  <c r="AB5" i="118"/>
  <c r="AC5" i="118" s="1"/>
  <c r="U10" i="118"/>
  <c r="V10" i="118" s="1"/>
  <c r="AB10" i="118"/>
  <c r="AC10" i="118" s="1"/>
  <c r="U17" i="118"/>
  <c r="V17" i="118" s="1"/>
  <c r="AB17" i="118"/>
  <c r="AC17" i="118" s="1"/>
  <c r="U13" i="118"/>
  <c r="V13" i="118" s="1"/>
  <c r="AB13" i="118"/>
  <c r="AC13" i="118" s="1"/>
  <c r="U16" i="118"/>
  <c r="V16" i="118" s="1"/>
  <c r="AB16" i="118"/>
  <c r="AC16" i="118" s="1"/>
  <c r="U9" i="118"/>
  <c r="V9" i="118" s="1"/>
  <c r="AB9" i="118"/>
  <c r="AC9" i="118" s="1"/>
  <c r="U6" i="118"/>
  <c r="V6" i="118" s="1"/>
  <c r="AB6" i="118"/>
  <c r="AC6" i="118" s="1"/>
  <c r="U21" i="118"/>
  <c r="V21" i="118" s="1"/>
  <c r="AB21" i="118"/>
  <c r="AC21" i="118" s="1"/>
  <c r="U20" i="118"/>
  <c r="V20" i="118" s="1"/>
  <c r="AB20" i="118"/>
  <c r="AC20" i="118" s="1"/>
  <c r="U15" i="118"/>
  <c r="V15" i="118" s="1"/>
  <c r="AB15" i="118"/>
  <c r="AC15" i="118" s="1"/>
  <c r="U8" i="118"/>
  <c r="V8" i="118" s="1"/>
  <c r="AB8" i="118"/>
  <c r="AC8" i="118" s="1"/>
  <c r="U14" i="118"/>
  <c r="V14" i="118" s="1"/>
  <c r="AB14" i="118"/>
  <c r="AC14" i="118" s="1"/>
  <c r="U4" i="118"/>
  <c r="V4" i="118" s="1"/>
  <c r="AB4" i="118"/>
  <c r="AC4" i="118" s="1"/>
  <c r="O46" i="110"/>
  <c r="O48" i="110"/>
  <c r="M124" i="110"/>
  <c r="N123" i="110"/>
  <c r="AD123" i="110" s="1"/>
  <c r="Z3" i="127" l="1"/>
  <c r="U3" i="118"/>
  <c r="V3" i="118" s="1"/>
  <c r="Z8" i="127"/>
  <c r="AC8" i="127"/>
  <c r="N124" i="110"/>
  <c r="O123" i="110"/>
  <c r="Y19" i="127" l="1"/>
  <c r="AC19" i="127" s="1"/>
  <c r="AE123" i="110"/>
  <c r="O126" i="110"/>
  <c r="T19" i="118"/>
  <c r="AB19" i="118" s="1"/>
  <c r="AC19" i="118" s="1"/>
  <c r="O124" i="110"/>
  <c r="Z19" i="127" l="1"/>
  <c r="U19" i="118"/>
  <c r="V19" i="118" s="1"/>
  <c r="K102" i="103" l="1"/>
  <c r="N102" i="103"/>
  <c r="H102" i="103"/>
  <c r="G101" i="103" l="1"/>
  <c r="J101" i="103"/>
  <c r="I47" i="103"/>
  <c r="M47" i="103"/>
  <c r="J164" i="103" l="1"/>
  <c r="G164" i="103"/>
  <c r="D130" i="103"/>
  <c r="D183" i="103" s="1"/>
  <c r="D136" i="103" l="1"/>
  <c r="P130" i="103"/>
  <c r="O33" i="103"/>
  <c r="O160" i="103" s="1"/>
  <c r="J179" i="103"/>
  <c r="J184" i="103" s="1"/>
  <c r="Y130" i="103" l="1"/>
  <c r="Z130" i="103"/>
  <c r="P66" i="103"/>
  <c r="M69" i="103"/>
  <c r="M179" i="103"/>
  <c r="M184" i="103" s="1"/>
  <c r="L69" i="103"/>
  <c r="L179" i="103"/>
  <c r="L184" i="103" s="1"/>
  <c r="O69" i="103"/>
  <c r="O179" i="103"/>
  <c r="K69" i="103"/>
  <c r="K179" i="103"/>
  <c r="K184" i="103" s="1"/>
  <c r="N69" i="103"/>
  <c r="N179" i="103"/>
  <c r="N184" i="103" s="1"/>
  <c r="I69" i="103"/>
  <c r="I179" i="103"/>
  <c r="I184" i="103" s="1"/>
  <c r="R130" i="103"/>
  <c r="S130" i="103" s="1"/>
  <c r="M35" i="103"/>
  <c r="J69" i="103"/>
  <c r="H98" i="103"/>
  <c r="D98" i="103"/>
  <c r="G98" i="103"/>
  <c r="E98" i="103"/>
  <c r="N6" i="103"/>
  <c r="M6" i="103"/>
  <c r="D6" i="103"/>
  <c r="I102" i="103"/>
  <c r="D8" i="103"/>
  <c r="K6" i="103"/>
  <c r="J6" i="103"/>
  <c r="Y66" i="103" l="1"/>
  <c r="Z66" i="103"/>
  <c r="P69" i="103"/>
  <c r="P179" i="103"/>
  <c r="M113" i="103"/>
  <c r="G102" i="103"/>
  <c r="R66" i="103"/>
  <c r="S66" i="103" s="1"/>
  <c r="S179" i="103" l="1"/>
  <c r="Z179" i="103"/>
  <c r="Y179" i="103"/>
  <c r="Y69" i="103"/>
  <c r="Z69" i="103"/>
  <c r="R179" i="103"/>
  <c r="R69" i="103"/>
  <c r="S69" i="103" s="1"/>
  <c r="H6" i="103"/>
  <c r="M10" i="103" l="1"/>
  <c r="L101" i="103"/>
  <c r="L164" i="103" l="1"/>
  <c r="N5" i="103"/>
  <c r="N156" i="103" s="1"/>
  <c r="F6" i="103" l="1"/>
  <c r="G33" i="103" l="1"/>
  <c r="E113" i="103"/>
  <c r="F7" i="103"/>
  <c r="H103" i="103"/>
  <c r="O6" i="103"/>
  <c r="G6" i="103"/>
  <c r="E6" i="103"/>
  <c r="I6" i="103"/>
  <c r="G11" i="103"/>
  <c r="O5" i="103"/>
  <c r="O156" i="103" s="1"/>
  <c r="E101" i="103"/>
  <c r="L103" i="103"/>
  <c r="L185" i="103" s="1"/>
  <c r="M49" i="103"/>
  <c r="M152" i="103" s="1"/>
  <c r="E10" i="103"/>
  <c r="M7" i="103"/>
  <c r="N103" i="103"/>
  <c r="N185" i="103" s="1"/>
  <c r="N7" i="103"/>
  <c r="O36" i="103"/>
  <c r="N36" i="103"/>
  <c r="F134" i="103"/>
  <c r="L36" i="103"/>
  <c r="J103" i="103"/>
  <c r="J185" i="103" s="1"/>
  <c r="D104" i="103"/>
  <c r="P104" i="103" s="1"/>
  <c r="N47" i="103"/>
  <c r="M30" i="103"/>
  <c r="D36" i="103"/>
  <c r="F183" i="103" l="1"/>
  <c r="F184" i="103" s="1"/>
  <c r="G160" i="103"/>
  <c r="G163" i="103"/>
  <c r="Y104" i="103"/>
  <c r="Z104" i="103"/>
  <c r="E164" i="103"/>
  <c r="R104" i="103"/>
  <c r="S104" i="103" s="1"/>
  <c r="P47" i="103"/>
  <c r="F98" i="103"/>
  <c r="O113" i="103"/>
  <c r="D100" i="103"/>
  <c r="I100" i="103"/>
  <c r="O99" i="103"/>
  <c r="O80" i="103"/>
  <c r="L113" i="103"/>
  <c r="H80" i="103"/>
  <c r="L37" i="103"/>
  <c r="L163" i="103" s="1"/>
  <c r="J37" i="103"/>
  <c r="J163" i="103" s="1"/>
  <c r="O37" i="103"/>
  <c r="O163" i="103" s="1"/>
  <c r="H35" i="103"/>
  <c r="N30" i="103"/>
  <c r="F136" i="103"/>
  <c r="P134" i="103"/>
  <c r="P183" i="103" s="1"/>
  <c r="K35" i="103"/>
  <c r="K49" i="103"/>
  <c r="K152" i="103" s="1"/>
  <c r="H101" i="103"/>
  <c r="H185" i="103" s="1"/>
  <c r="F103" i="103"/>
  <c r="M103" i="103"/>
  <c r="M185" i="103" s="1"/>
  <c r="E103" i="103"/>
  <c r="E116" i="103" s="1"/>
  <c r="K103" i="103"/>
  <c r="K185" i="103" s="1"/>
  <c r="D5" i="103"/>
  <c r="D156" i="103" s="1"/>
  <c r="G103" i="103"/>
  <c r="G185" i="103" s="1"/>
  <c r="G39" i="103"/>
  <c r="L32" i="103"/>
  <c r="J39" i="103"/>
  <c r="I39" i="103"/>
  <c r="K32" i="103"/>
  <c r="K30" i="103"/>
  <c r="H30" i="103"/>
  <c r="N37" i="103"/>
  <c r="N163" i="103" s="1"/>
  <c r="L49" i="103"/>
  <c r="L152" i="103" s="1"/>
  <c r="J32" i="103"/>
  <c r="P36" i="103"/>
  <c r="L6" i="103"/>
  <c r="F102" i="103"/>
  <c r="F32" i="103"/>
  <c r="M32" i="103"/>
  <c r="D49" i="103"/>
  <c r="D152" i="103" s="1"/>
  <c r="S47" i="103"/>
  <c r="I32" i="103"/>
  <c r="O34" i="103"/>
  <c r="K39" i="103"/>
  <c r="H32" i="103"/>
  <c r="G32" i="103"/>
  <c r="L30" i="103"/>
  <c r="G20" i="103"/>
  <c r="O21" i="103"/>
  <c r="L20" i="103"/>
  <c r="L21" i="103"/>
  <c r="K21" i="103"/>
  <c r="I21" i="103"/>
  <c r="D33" i="103"/>
  <c r="G30" i="103"/>
  <c r="H11" i="103"/>
  <c r="N21" i="103"/>
  <c r="F34" i="103"/>
  <c r="H34" i="103"/>
  <c r="J34" i="103"/>
  <c r="K34" i="103"/>
  <c r="E34" i="103"/>
  <c r="L34" i="103"/>
  <c r="N34" i="103"/>
  <c r="M34" i="103"/>
  <c r="I33" i="103"/>
  <c r="I160" i="103" s="1"/>
  <c r="J33" i="103"/>
  <c r="J160" i="103" s="1"/>
  <c r="M33" i="103"/>
  <c r="M160" i="103" s="1"/>
  <c r="N33" i="103"/>
  <c r="N160" i="103" s="1"/>
  <c r="L11" i="103"/>
  <c r="N11" i="103"/>
  <c r="G29" i="103"/>
  <c r="M27" i="103"/>
  <c r="L27" i="103"/>
  <c r="J20" i="103"/>
  <c r="H20" i="103"/>
  <c r="H7" i="103"/>
  <c r="O27" i="103"/>
  <c r="K11" i="103"/>
  <c r="O11" i="103"/>
  <c r="N20" i="103"/>
  <c r="H29" i="103"/>
  <c r="J49" i="103"/>
  <c r="J152" i="103" s="1"/>
  <c r="I49" i="103"/>
  <c r="I152" i="103" s="1"/>
  <c r="H21" i="103"/>
  <c r="E27" i="103"/>
  <c r="I30" i="103"/>
  <c r="I7" i="103"/>
  <c r="I37" i="103"/>
  <c r="I163" i="103" s="1"/>
  <c r="K20" i="103"/>
  <c r="I48" i="103"/>
  <c r="M48" i="103"/>
  <c r="J35" i="103"/>
  <c r="I5" i="103"/>
  <c r="I156" i="103" s="1"/>
  <c r="I20" i="103"/>
  <c r="D20" i="103"/>
  <c r="I51" i="103"/>
  <c r="I13" i="103"/>
  <c r="I11" i="103"/>
  <c r="I50" i="103"/>
  <c r="L48" i="103"/>
  <c r="D27" i="103"/>
  <c r="K7" i="103"/>
  <c r="J27" i="103"/>
  <c r="N27" i="103"/>
  <c r="H5" i="103"/>
  <c r="H156" i="103" s="1"/>
  <c r="N50" i="103"/>
  <c r="D11" i="103"/>
  <c r="L33" i="103"/>
  <c r="L160" i="103" s="1"/>
  <c r="L7" i="103"/>
  <c r="F20" i="103"/>
  <c r="E11" i="103"/>
  <c r="G21" i="103"/>
  <c r="G31" i="103"/>
  <c r="F33" i="103"/>
  <c r="H33" i="103"/>
  <c r="H160" i="103" s="1"/>
  <c r="E5" i="103"/>
  <c r="E156" i="103" s="1"/>
  <c r="N48" i="103"/>
  <c r="F29" i="103"/>
  <c r="J26" i="103"/>
  <c r="O48" i="103"/>
  <c r="H37" i="103"/>
  <c r="H163" i="103" s="1"/>
  <c r="M51" i="103"/>
  <c r="M148" i="103" s="1"/>
  <c r="H50" i="103"/>
  <c r="F51" i="103"/>
  <c r="K31" i="103"/>
  <c r="H27" i="103"/>
  <c r="D37" i="103"/>
  <c r="D7" i="103"/>
  <c r="J11" i="103"/>
  <c r="F27" i="103"/>
  <c r="M37" i="103"/>
  <c r="M163" i="103" s="1"/>
  <c r="D50" i="103"/>
  <c r="K26" i="103"/>
  <c r="E29" i="103"/>
  <c r="D48" i="103"/>
  <c r="E35" i="103"/>
  <c r="O45" i="103"/>
  <c r="K37" i="103"/>
  <c r="K163" i="103" s="1"/>
  <c r="K33" i="103"/>
  <c r="K160" i="103" s="1"/>
  <c r="O29" i="103"/>
  <c r="M13" i="103"/>
  <c r="E49" i="103"/>
  <c r="E152" i="103" s="1"/>
  <c r="J50" i="103"/>
  <c r="O39" i="103"/>
  <c r="G7" i="103"/>
  <c r="K29" i="103"/>
  <c r="O51" i="103"/>
  <c r="F10" i="103"/>
  <c r="M8" i="103"/>
  <c r="M29" i="103"/>
  <c r="K50" i="103"/>
  <c r="M21" i="103"/>
  <c r="F48" i="103"/>
  <c r="L50" i="103"/>
  <c r="H49" i="103"/>
  <c r="H152" i="103" s="1"/>
  <c r="J7" i="103"/>
  <c r="O20" i="103"/>
  <c r="K45" i="103"/>
  <c r="E37" i="103"/>
  <c r="E33" i="103"/>
  <c r="M31" i="103"/>
  <c r="H48" i="103"/>
  <c r="G152" i="103"/>
  <c r="E21" i="103"/>
  <c r="H51" i="103"/>
  <c r="G48" i="103"/>
  <c r="M5" i="103"/>
  <c r="M156" i="103" s="1"/>
  <c r="G51" i="103"/>
  <c r="N26" i="103"/>
  <c r="M11" i="103"/>
  <c r="O50" i="103"/>
  <c r="M20" i="103"/>
  <c r="E50" i="103"/>
  <c r="M98" i="103"/>
  <c r="I99" i="103"/>
  <c r="F37" i="103"/>
  <c r="O98" i="103"/>
  <c r="K98" i="103"/>
  <c r="N98" i="103"/>
  <c r="N116" i="103" s="1"/>
  <c r="N186" i="103" s="1"/>
  <c r="L29" i="103"/>
  <c r="J98" i="103"/>
  <c r="H38" i="103"/>
  <c r="J8" i="103"/>
  <c r="J10" i="103"/>
  <c r="D21" i="103"/>
  <c r="I10" i="103"/>
  <c r="K5" i="103"/>
  <c r="K156" i="103" s="1"/>
  <c r="I103" i="103"/>
  <c r="I185" i="103" s="1"/>
  <c r="G10" i="103"/>
  <c r="K8" i="103"/>
  <c r="L13" i="103"/>
  <c r="J5" i="103"/>
  <c r="J156" i="103" s="1"/>
  <c r="L5" i="103"/>
  <c r="L156" i="103" s="1"/>
  <c r="M45" i="103"/>
  <c r="G153" i="103" l="1"/>
  <c r="H153" i="103"/>
  <c r="M159" i="103"/>
  <c r="E153" i="103"/>
  <c r="K159" i="103"/>
  <c r="F159" i="103"/>
  <c r="S183" i="103"/>
  <c r="R183" i="103"/>
  <c r="H159" i="103"/>
  <c r="O159" i="103"/>
  <c r="G159" i="103"/>
  <c r="E159" i="103"/>
  <c r="F160" i="103"/>
  <c r="F163" i="103"/>
  <c r="D160" i="103"/>
  <c r="D163" i="103"/>
  <c r="E160" i="103"/>
  <c r="E163" i="103"/>
  <c r="Y134" i="103"/>
  <c r="Z134" i="103"/>
  <c r="Y36" i="103"/>
  <c r="Z36" i="103"/>
  <c r="Y47" i="103"/>
  <c r="Z47" i="103"/>
  <c r="F185" i="103"/>
  <c r="E185" i="103"/>
  <c r="E186" i="103" s="1"/>
  <c r="R36" i="103"/>
  <c r="S36" i="103" s="1"/>
  <c r="H161" i="103"/>
  <c r="H177" i="103"/>
  <c r="H184" i="103" s="1"/>
  <c r="O161" i="103"/>
  <c r="O177" i="103"/>
  <c r="O184" i="103" s="1"/>
  <c r="M147" i="103"/>
  <c r="F153" i="103"/>
  <c r="K147" i="103"/>
  <c r="O148" i="103"/>
  <c r="M153" i="103"/>
  <c r="K153" i="103"/>
  <c r="F151" i="103"/>
  <c r="H151" i="103"/>
  <c r="P6" i="103"/>
  <c r="L159" i="103"/>
  <c r="I148" i="103"/>
  <c r="N149" i="103"/>
  <c r="M157" i="103"/>
  <c r="K144" i="103"/>
  <c r="I149" i="103"/>
  <c r="L145" i="103"/>
  <c r="L149" i="103"/>
  <c r="H149" i="103"/>
  <c r="O153" i="103"/>
  <c r="D151" i="103"/>
  <c r="O151" i="103"/>
  <c r="L151" i="103"/>
  <c r="K149" i="103"/>
  <c r="P101" i="103"/>
  <c r="H164" i="103"/>
  <c r="J157" i="103"/>
  <c r="N151" i="103"/>
  <c r="M151" i="103"/>
  <c r="M145" i="103"/>
  <c r="G148" i="103"/>
  <c r="H150" i="103"/>
  <c r="G147" i="103"/>
  <c r="J48" i="103"/>
  <c r="J151" i="103" s="1"/>
  <c r="D29" i="103"/>
  <c r="G37" i="103"/>
  <c r="P100" i="103"/>
  <c r="K51" i="103"/>
  <c r="K148" i="103" s="1"/>
  <c r="G34" i="103"/>
  <c r="E20" i="103"/>
  <c r="P20" i="103" s="1"/>
  <c r="D113" i="103"/>
  <c r="G113" i="103"/>
  <c r="G116" i="103" s="1"/>
  <c r="G186" i="103" s="1"/>
  <c r="E48" i="103"/>
  <c r="E151" i="103" s="1"/>
  <c r="E39" i="103"/>
  <c r="D107" i="103"/>
  <c r="O107" i="103"/>
  <c r="L98" i="103"/>
  <c r="L116" i="103" s="1"/>
  <c r="L186" i="103" s="1"/>
  <c r="D99" i="103"/>
  <c r="P99" i="103" s="1"/>
  <c r="D80" i="103"/>
  <c r="O13" i="103"/>
  <c r="J51" i="103"/>
  <c r="J148" i="103" s="1"/>
  <c r="I98" i="103"/>
  <c r="I116" i="103" s="1"/>
  <c r="I186" i="103" s="1"/>
  <c r="D10" i="103"/>
  <c r="D157" i="103" s="1"/>
  <c r="O38" i="103"/>
  <c r="O146" i="103" s="1"/>
  <c r="H39" i="103"/>
  <c r="H148" i="103" s="1"/>
  <c r="G38" i="103"/>
  <c r="G146" i="103" s="1"/>
  <c r="L31" i="103"/>
  <c r="I38" i="103"/>
  <c r="I146" i="103" s="1"/>
  <c r="M26" i="103"/>
  <c r="M144" i="103" s="1"/>
  <c r="G50" i="103"/>
  <c r="G149" i="103" s="1"/>
  <c r="F21" i="103"/>
  <c r="F22" i="103" s="1"/>
  <c r="E32" i="103"/>
  <c r="H26" i="103"/>
  <c r="F50" i="103"/>
  <c r="P136" i="103"/>
  <c r="L51" i="103"/>
  <c r="O26" i="103"/>
  <c r="O144" i="103" s="1"/>
  <c r="I26" i="103"/>
  <c r="E38" i="103"/>
  <c r="N51" i="103"/>
  <c r="N148" i="103" s="1"/>
  <c r="I29" i="103"/>
  <c r="L26" i="103"/>
  <c r="J29" i="103"/>
  <c r="D30" i="103"/>
  <c r="D149" i="103" s="1"/>
  <c r="N31" i="103"/>
  <c r="O31" i="103"/>
  <c r="K38" i="103"/>
  <c r="K150" i="103" s="1"/>
  <c r="I31" i="103"/>
  <c r="G27" i="103"/>
  <c r="G151" i="103" s="1"/>
  <c r="E30" i="103"/>
  <c r="E149" i="103" s="1"/>
  <c r="F31" i="103"/>
  <c r="O30" i="103"/>
  <c r="O149" i="103" s="1"/>
  <c r="J30" i="103"/>
  <c r="J149" i="103" s="1"/>
  <c r="F38" i="103"/>
  <c r="F150" i="103" s="1"/>
  <c r="I27" i="103"/>
  <c r="I151" i="103" s="1"/>
  <c r="E31" i="103"/>
  <c r="E13" i="103"/>
  <c r="D32" i="103"/>
  <c r="F26" i="103"/>
  <c r="M116" i="103"/>
  <c r="M186" i="103" s="1"/>
  <c r="G22" i="103"/>
  <c r="K116" i="103"/>
  <c r="K186" i="103" s="1"/>
  <c r="D38" i="103"/>
  <c r="E26" i="103"/>
  <c r="L39" i="103"/>
  <c r="H116" i="103"/>
  <c r="H186" i="103" s="1"/>
  <c r="J31" i="103"/>
  <c r="D103" i="103"/>
  <c r="P103" i="103" s="1"/>
  <c r="D13" i="103"/>
  <c r="O22" i="103"/>
  <c r="N38" i="103"/>
  <c r="N146" i="103" s="1"/>
  <c r="N29" i="103"/>
  <c r="N45" i="103"/>
  <c r="N144" i="103" s="1"/>
  <c r="D39" i="103"/>
  <c r="F39" i="103"/>
  <c r="F148" i="103" s="1"/>
  <c r="G26" i="103"/>
  <c r="F5" i="103"/>
  <c r="F156" i="103" s="1"/>
  <c r="I34" i="103"/>
  <c r="I145" i="103" s="1"/>
  <c r="D102" i="103"/>
  <c r="F13" i="103"/>
  <c r="L38" i="103"/>
  <c r="I22" i="103"/>
  <c r="L10" i="103"/>
  <c r="K22" i="103"/>
  <c r="L22" i="103"/>
  <c r="N22" i="103"/>
  <c r="H22" i="103"/>
  <c r="D22" i="103"/>
  <c r="K13" i="103"/>
  <c r="K145" i="103" s="1"/>
  <c r="N13" i="103"/>
  <c r="N145" i="103" s="1"/>
  <c r="P35" i="103"/>
  <c r="M22" i="103"/>
  <c r="I8" i="103"/>
  <c r="I45" i="103"/>
  <c r="I53" i="103" s="1"/>
  <c r="I168" i="103" s="1"/>
  <c r="O10" i="103"/>
  <c r="O157" i="103" s="1"/>
  <c r="P33" i="103"/>
  <c r="P160" i="103" s="1"/>
  <c r="P11" i="103"/>
  <c r="N8" i="103"/>
  <c r="G5" i="103"/>
  <c r="G156" i="103" s="1"/>
  <c r="F45" i="103"/>
  <c r="H45" i="103"/>
  <c r="H53" i="103" s="1"/>
  <c r="H168" i="103" s="1"/>
  <c r="H13" i="103"/>
  <c r="H145" i="103" s="1"/>
  <c r="M38" i="103"/>
  <c r="M146" i="103" s="1"/>
  <c r="G45" i="103"/>
  <c r="E7" i="103"/>
  <c r="M14" i="103"/>
  <c r="G13" i="103"/>
  <c r="O53" i="103"/>
  <c r="O168" i="103" s="1"/>
  <c r="D115" i="103"/>
  <c r="D164" i="103" s="1"/>
  <c r="F30" i="103"/>
  <c r="G8" i="103"/>
  <c r="G157" i="103" s="1"/>
  <c r="J116" i="103"/>
  <c r="J186" i="103" s="1"/>
  <c r="J45" i="103"/>
  <c r="J144" i="103" s="1"/>
  <c r="D45" i="103"/>
  <c r="J13" i="103"/>
  <c r="J14" i="103" s="1"/>
  <c r="E45" i="103"/>
  <c r="H8" i="103"/>
  <c r="N10" i="103"/>
  <c r="D26" i="103"/>
  <c r="E8" i="103"/>
  <c r="E157" i="103" s="1"/>
  <c r="H10" i="103"/>
  <c r="F8" i="103"/>
  <c r="F157" i="103" s="1"/>
  <c r="I159" i="103" l="1"/>
  <c r="J153" i="103"/>
  <c r="J159" i="103"/>
  <c r="N153" i="103"/>
  <c r="N159" i="103"/>
  <c r="Z160" i="103"/>
  <c r="Y160" i="103"/>
  <c r="D177" i="103"/>
  <c r="D184" i="103" s="1"/>
  <c r="D159" i="103"/>
  <c r="Y99" i="103"/>
  <c r="Z99" i="103"/>
  <c r="Y6" i="103"/>
  <c r="Z6" i="103"/>
  <c r="Y11" i="103"/>
  <c r="Z11" i="103"/>
  <c r="Y33" i="103"/>
  <c r="Z33" i="103"/>
  <c r="Y136" i="103"/>
  <c r="Z136" i="103"/>
  <c r="Y20" i="103"/>
  <c r="Z20" i="103"/>
  <c r="Y103" i="103"/>
  <c r="Z103" i="103"/>
  <c r="Y35" i="103"/>
  <c r="Z35" i="103"/>
  <c r="Y100" i="103"/>
  <c r="Z100" i="103"/>
  <c r="Y101" i="103"/>
  <c r="Z101" i="103"/>
  <c r="P102" i="103"/>
  <c r="Z102" i="103" s="1"/>
  <c r="D185" i="103"/>
  <c r="R99" i="103"/>
  <c r="S99" i="103" s="1"/>
  <c r="O116" i="103"/>
  <c r="O185" i="103"/>
  <c r="R103" i="103"/>
  <c r="S103" i="103" s="1"/>
  <c r="R100" i="103"/>
  <c r="S100" i="103" s="1"/>
  <c r="R101" i="103"/>
  <c r="S101" i="103" s="1"/>
  <c r="R33" i="103"/>
  <c r="R20" i="103"/>
  <c r="R35" i="103"/>
  <c r="S35" i="103" s="1"/>
  <c r="R6" i="103"/>
  <c r="S6" i="103" s="1"/>
  <c r="F147" i="103"/>
  <c r="L147" i="103"/>
  <c r="I147" i="103"/>
  <c r="O147" i="103"/>
  <c r="N147" i="103"/>
  <c r="J147" i="103"/>
  <c r="E146" i="103"/>
  <c r="D146" i="103"/>
  <c r="E150" i="103"/>
  <c r="M150" i="103"/>
  <c r="L146" i="103"/>
  <c r="I150" i="103"/>
  <c r="L150" i="103"/>
  <c r="N150" i="103"/>
  <c r="O150" i="103"/>
  <c r="F146" i="103"/>
  <c r="H146" i="103"/>
  <c r="R11" i="103"/>
  <c r="S11" i="103" s="1"/>
  <c r="L148" i="103"/>
  <c r="O145" i="103"/>
  <c r="F145" i="103"/>
  <c r="I153" i="103"/>
  <c r="M169" i="103"/>
  <c r="D144" i="103"/>
  <c r="E145" i="103"/>
  <c r="F149" i="103"/>
  <c r="P5" i="103"/>
  <c r="F144" i="103"/>
  <c r="H144" i="103"/>
  <c r="G144" i="103"/>
  <c r="I144" i="103"/>
  <c r="G145" i="103"/>
  <c r="D153" i="103"/>
  <c r="L153" i="103"/>
  <c r="N157" i="103"/>
  <c r="P80" i="103"/>
  <c r="Z80" i="103" s="1"/>
  <c r="D161" i="103"/>
  <c r="H157" i="103"/>
  <c r="I14" i="103"/>
  <c r="I157" i="103"/>
  <c r="E144" i="103"/>
  <c r="E147" i="103"/>
  <c r="K146" i="103"/>
  <c r="P37" i="103"/>
  <c r="P163" i="103" s="1"/>
  <c r="G150" i="103"/>
  <c r="P7" i="103"/>
  <c r="E22" i="103"/>
  <c r="F49" i="103"/>
  <c r="F113" i="103"/>
  <c r="F116" i="103" s="1"/>
  <c r="F186" i="103" s="1"/>
  <c r="J53" i="103"/>
  <c r="J168" i="103" s="1"/>
  <c r="P107" i="103"/>
  <c r="Z107" i="103" s="1"/>
  <c r="O14" i="103"/>
  <c r="D14" i="103"/>
  <c r="P98" i="103"/>
  <c r="G53" i="103"/>
  <c r="G168" i="103" s="1"/>
  <c r="P32" i="103"/>
  <c r="J38" i="103"/>
  <c r="J150" i="103" s="1"/>
  <c r="E51" i="103"/>
  <c r="E53" i="103" s="1"/>
  <c r="E168" i="103" s="1"/>
  <c r="O41" i="103"/>
  <c r="O167" i="103" s="1"/>
  <c r="N53" i="103"/>
  <c r="N168" i="103" s="1"/>
  <c r="G41" i="103"/>
  <c r="G167" i="103" s="1"/>
  <c r="E41" i="103"/>
  <c r="E167" i="103" s="1"/>
  <c r="P30" i="103"/>
  <c r="P29" i="103"/>
  <c r="S134" i="103"/>
  <c r="R136" i="103"/>
  <c r="S136" i="103" s="1"/>
  <c r="D31" i="103"/>
  <c r="I41" i="103"/>
  <c r="F14" i="103"/>
  <c r="L41" i="103"/>
  <c r="L167" i="103" s="1"/>
  <c r="K10" i="103"/>
  <c r="H31" i="103"/>
  <c r="N41" i="103"/>
  <c r="N167" i="103" s="1"/>
  <c r="P39" i="103"/>
  <c r="P26" i="103"/>
  <c r="K48" i="103"/>
  <c r="D51" i="103"/>
  <c r="D148" i="103" s="1"/>
  <c r="D34" i="103"/>
  <c r="L45" i="103"/>
  <c r="L53" i="103" s="1"/>
  <c r="L168" i="103" s="1"/>
  <c r="M50" i="103"/>
  <c r="M149" i="103" s="1"/>
  <c r="L8" i="103"/>
  <c r="J21" i="103"/>
  <c r="J145" i="103" s="1"/>
  <c r="N14" i="103"/>
  <c r="G14" i="103"/>
  <c r="P13" i="103"/>
  <c r="E14" i="103"/>
  <c r="M41" i="103"/>
  <c r="M167" i="103" s="1"/>
  <c r="P115" i="103"/>
  <c r="Z115" i="103" s="1"/>
  <c r="D116" i="103"/>
  <c r="H14" i="103"/>
  <c r="F41" i="103"/>
  <c r="F167" i="103" s="1"/>
  <c r="O118" i="103" l="1"/>
  <c r="I118" i="103"/>
  <c r="E118" i="103"/>
  <c r="G118" i="103"/>
  <c r="N118" i="103"/>
  <c r="Z163" i="103"/>
  <c r="Y163" i="103"/>
  <c r="S33" i="103"/>
  <c r="S160" i="103" s="1"/>
  <c r="R160" i="103"/>
  <c r="Y26" i="103"/>
  <c r="Z26" i="103"/>
  <c r="Y29" i="103"/>
  <c r="Z29" i="103"/>
  <c r="Y30" i="103"/>
  <c r="Z30" i="103"/>
  <c r="Y39" i="103"/>
  <c r="Z39" i="103"/>
  <c r="Y5" i="103"/>
  <c r="Z5" i="103"/>
  <c r="Y7" i="103"/>
  <c r="Z7" i="103"/>
  <c r="Y32" i="103"/>
  <c r="Z32" i="103"/>
  <c r="Y37" i="103"/>
  <c r="Z37" i="103"/>
  <c r="Y13" i="103"/>
  <c r="Z13" i="103"/>
  <c r="Y98" i="103"/>
  <c r="Z98" i="103"/>
  <c r="P159" i="103"/>
  <c r="Y80" i="103"/>
  <c r="R115" i="103"/>
  <c r="S115" i="103" s="1"/>
  <c r="Y115" i="103"/>
  <c r="P185" i="103"/>
  <c r="Y107" i="103"/>
  <c r="R102" i="103"/>
  <c r="S102" i="103" s="1"/>
  <c r="Y102" i="103"/>
  <c r="D186" i="103"/>
  <c r="O186" i="103"/>
  <c r="R107" i="103"/>
  <c r="S107" i="103" s="1"/>
  <c r="R98" i="103"/>
  <c r="R32" i="103"/>
  <c r="S32" i="103" s="1"/>
  <c r="R13" i="103"/>
  <c r="S13" i="103" s="1"/>
  <c r="R29" i="103"/>
  <c r="S29" i="103" s="1"/>
  <c r="P164" i="103"/>
  <c r="R30" i="103"/>
  <c r="S30" i="103" s="1"/>
  <c r="R80" i="103"/>
  <c r="S80" i="103" s="1"/>
  <c r="P177" i="103"/>
  <c r="P184" i="103" s="1"/>
  <c r="O169" i="103"/>
  <c r="G169" i="103"/>
  <c r="N169" i="103"/>
  <c r="I169" i="103"/>
  <c r="F169" i="103"/>
  <c r="H169" i="103"/>
  <c r="R26" i="103"/>
  <c r="S26" i="103" s="1"/>
  <c r="D147" i="103"/>
  <c r="H147" i="103"/>
  <c r="J155" i="103"/>
  <c r="M155" i="103"/>
  <c r="D155" i="103"/>
  <c r="O155" i="103"/>
  <c r="K155" i="103"/>
  <c r="G155" i="103"/>
  <c r="F155" i="103"/>
  <c r="E155" i="103"/>
  <c r="P155" i="103"/>
  <c r="I155" i="103"/>
  <c r="L155" i="103"/>
  <c r="H155" i="103"/>
  <c r="N155" i="103"/>
  <c r="D145" i="103"/>
  <c r="D150" i="103"/>
  <c r="D169" i="103"/>
  <c r="P156" i="103"/>
  <c r="R7" i="103"/>
  <c r="S7" i="103" s="1"/>
  <c r="R37" i="103"/>
  <c r="E169" i="103"/>
  <c r="P153" i="103"/>
  <c r="R5" i="103"/>
  <c r="P48" i="103"/>
  <c r="L144" i="103"/>
  <c r="E148" i="103"/>
  <c r="L14" i="103"/>
  <c r="L118" i="103" s="1"/>
  <c r="L157" i="103"/>
  <c r="K14" i="103"/>
  <c r="K157" i="103"/>
  <c r="P161" i="103"/>
  <c r="Y161" i="103" s="1"/>
  <c r="P49" i="103"/>
  <c r="F152" i="103"/>
  <c r="I119" i="103"/>
  <c r="I170" i="103" s="1"/>
  <c r="I187" i="103" s="1"/>
  <c r="I167" i="103"/>
  <c r="J41" i="103"/>
  <c r="J167" i="103" s="1"/>
  <c r="J146" i="103"/>
  <c r="R39" i="103"/>
  <c r="S39" i="103" s="1"/>
  <c r="F53" i="103"/>
  <c r="F119" i="103" s="1"/>
  <c r="P113" i="103"/>
  <c r="P51" i="103"/>
  <c r="P38" i="103"/>
  <c r="O119" i="103"/>
  <c r="O170" i="103" s="1"/>
  <c r="P10" i="103"/>
  <c r="P8" i="103"/>
  <c r="H41" i="103"/>
  <c r="H118" i="103" s="1"/>
  <c r="P31" i="103"/>
  <c r="D53" i="103"/>
  <c r="D168" i="103" s="1"/>
  <c r="P34" i="103"/>
  <c r="D41" i="103"/>
  <c r="D167" i="103" s="1"/>
  <c r="P45" i="103"/>
  <c r="P50" i="103"/>
  <c r="M53" i="103"/>
  <c r="M118" i="103" s="1"/>
  <c r="P21" i="103"/>
  <c r="J22" i="103"/>
  <c r="K53" i="103"/>
  <c r="N119" i="103"/>
  <c r="N170" i="103" s="1"/>
  <c r="N187" i="103" s="1"/>
  <c r="G119" i="103"/>
  <c r="G170" i="103" s="1"/>
  <c r="G187" i="103" s="1"/>
  <c r="E119" i="103"/>
  <c r="E170" i="103" s="1"/>
  <c r="E187" i="103" s="1"/>
  <c r="AC184" i="103" l="1"/>
  <c r="A185" i="103"/>
  <c r="A184" i="103"/>
  <c r="J118" i="103"/>
  <c r="F118" i="103"/>
  <c r="D118" i="103"/>
  <c r="S37" i="103"/>
  <c r="S163" i="103" s="1"/>
  <c r="R163" i="103"/>
  <c r="Z161" i="103"/>
  <c r="Z156" i="103"/>
  <c r="Y156" i="103"/>
  <c r="R159" i="103"/>
  <c r="S159" i="103" s="1"/>
  <c r="Z159" i="103"/>
  <c r="Y159" i="103"/>
  <c r="S177" i="103"/>
  <c r="Y177" i="103"/>
  <c r="Z177" i="103"/>
  <c r="R164" i="103"/>
  <c r="S164" i="103" s="1"/>
  <c r="Z164" i="103"/>
  <c r="Y164" i="103"/>
  <c r="Z153" i="103"/>
  <c r="Y153" i="103"/>
  <c r="R155" i="103"/>
  <c r="S155" i="103" s="1"/>
  <c r="Z155" i="103"/>
  <c r="Y155" i="103"/>
  <c r="S185" i="103"/>
  <c r="Y185" i="103"/>
  <c r="Z185" i="103"/>
  <c r="Y10" i="103"/>
  <c r="Z10" i="103"/>
  <c r="Y49" i="103"/>
  <c r="Z49" i="103"/>
  <c r="Y38" i="103"/>
  <c r="Z38" i="103"/>
  <c r="Y51" i="103"/>
  <c r="Z51" i="103"/>
  <c r="Y50" i="103"/>
  <c r="Z50" i="103"/>
  <c r="Y21" i="103"/>
  <c r="Z21" i="103"/>
  <c r="Y113" i="103"/>
  <c r="Z113" i="103"/>
  <c r="Y45" i="103"/>
  <c r="Z45" i="103"/>
  <c r="Y31" i="103"/>
  <c r="Z31" i="103"/>
  <c r="Y48" i="103"/>
  <c r="Z48" i="103"/>
  <c r="Y34" i="103"/>
  <c r="Z34" i="103"/>
  <c r="Y8" i="103"/>
  <c r="Z8" i="103"/>
  <c r="F21" i="128"/>
  <c r="H21" i="128" s="1"/>
  <c r="R185" i="103"/>
  <c r="O187" i="103"/>
  <c r="R113" i="103"/>
  <c r="S113" i="103" s="1"/>
  <c r="X154" i="103"/>
  <c r="S98" i="103"/>
  <c r="R45" i="103"/>
  <c r="S45" i="103" s="1"/>
  <c r="P152" i="103"/>
  <c r="R8" i="103"/>
  <c r="S8" i="103" s="1"/>
  <c r="P146" i="103"/>
  <c r="R177" i="103"/>
  <c r="R184" i="103" s="1"/>
  <c r="S5" i="103"/>
  <c r="K169" i="103"/>
  <c r="J169" i="103"/>
  <c r="L169" i="103"/>
  <c r="R34" i="103"/>
  <c r="S34" i="103" s="1"/>
  <c r="P147" i="103"/>
  <c r="R31" i="103"/>
  <c r="S31" i="103" s="1"/>
  <c r="P150" i="103"/>
  <c r="D119" i="103"/>
  <c r="D170" i="103" s="1"/>
  <c r="D187" i="103" s="1"/>
  <c r="R156" i="103"/>
  <c r="S156" i="103" s="1"/>
  <c r="R153" i="103"/>
  <c r="S153" i="103" s="1"/>
  <c r="L119" i="103"/>
  <c r="L170" i="103" s="1"/>
  <c r="L187" i="103" s="1"/>
  <c r="R48" i="103"/>
  <c r="S48" i="103" s="1"/>
  <c r="R49" i="103"/>
  <c r="S49" i="103" s="1"/>
  <c r="K168" i="103"/>
  <c r="F170" i="103"/>
  <c r="F168" i="103"/>
  <c r="P148" i="103"/>
  <c r="P144" i="103"/>
  <c r="R161" i="103"/>
  <c r="S161" i="103" s="1"/>
  <c r="M168" i="103"/>
  <c r="P157" i="103"/>
  <c r="P154" i="103"/>
  <c r="I154" i="103"/>
  <c r="O154" i="103"/>
  <c r="L154" i="103"/>
  <c r="E154" i="103"/>
  <c r="J154" i="103"/>
  <c r="M154" i="103"/>
  <c r="H154" i="103"/>
  <c r="F154" i="103"/>
  <c r="G154" i="103"/>
  <c r="K154" i="103"/>
  <c r="D154" i="103"/>
  <c r="N154" i="103"/>
  <c r="P149" i="103"/>
  <c r="P145" i="103"/>
  <c r="Z145" i="103" s="1"/>
  <c r="H119" i="103"/>
  <c r="H170" i="103" s="1"/>
  <c r="H187" i="103" s="1"/>
  <c r="H167" i="103"/>
  <c r="P116" i="103"/>
  <c r="Z116" i="103" s="1"/>
  <c r="R38" i="103"/>
  <c r="S38" i="103" s="1"/>
  <c r="R51" i="103"/>
  <c r="S51" i="103" s="1"/>
  <c r="R10" i="103"/>
  <c r="S10" i="103" s="1"/>
  <c r="P14" i="103"/>
  <c r="P53" i="103"/>
  <c r="M119" i="103"/>
  <c r="M170" i="103" s="1"/>
  <c r="M187" i="103" s="1"/>
  <c r="J119" i="103"/>
  <c r="J170" i="103" s="1"/>
  <c r="J187" i="103" s="1"/>
  <c r="R50" i="103"/>
  <c r="S50" i="103" s="1"/>
  <c r="P22" i="103"/>
  <c r="R21" i="103"/>
  <c r="R22" i="103" s="1"/>
  <c r="Z53" i="103" l="1"/>
  <c r="Z22" i="103"/>
  <c r="P23" i="103"/>
  <c r="Y145" i="103"/>
  <c r="Y154" i="103"/>
  <c r="Z154" i="103"/>
  <c r="Z157" i="103"/>
  <c r="Y157" i="103"/>
  <c r="R152" i="103"/>
  <c r="S152" i="103" s="1"/>
  <c r="Z152" i="103"/>
  <c r="Y152" i="103"/>
  <c r="R150" i="103"/>
  <c r="S150" i="103" s="1"/>
  <c r="Z150" i="103"/>
  <c r="Y150" i="103"/>
  <c r="Z144" i="103"/>
  <c r="Y144" i="103"/>
  <c r="Z149" i="103"/>
  <c r="Y149" i="103"/>
  <c r="R147" i="103"/>
  <c r="S147" i="103" s="1"/>
  <c r="Z147" i="103"/>
  <c r="Y147" i="103"/>
  <c r="S184" i="103"/>
  <c r="Z184" i="103"/>
  <c r="Y184" i="103"/>
  <c r="R146" i="103"/>
  <c r="S146" i="103" s="1"/>
  <c r="Z146" i="103"/>
  <c r="Y146" i="103"/>
  <c r="Y148" i="103"/>
  <c r="Z148" i="103"/>
  <c r="Y14" i="103"/>
  <c r="Z14" i="103"/>
  <c r="F19" i="128"/>
  <c r="H19" i="128" s="1"/>
  <c r="Y53" i="103"/>
  <c r="P186" i="103"/>
  <c r="Y116" i="103"/>
  <c r="Y22" i="103"/>
  <c r="F23" i="128"/>
  <c r="H23" i="128" s="1"/>
  <c r="F17" i="128"/>
  <c r="R116" i="103"/>
  <c r="S116" i="103" s="1"/>
  <c r="P168" i="103"/>
  <c r="A168" i="103" s="1"/>
  <c r="R14" i="103"/>
  <c r="S14" i="103" s="1"/>
  <c r="P169" i="103"/>
  <c r="R154" i="103"/>
  <c r="S154" i="103" s="1"/>
  <c r="R157" i="103"/>
  <c r="S157" i="103" s="1"/>
  <c r="R149" i="103"/>
  <c r="S149" i="103" s="1"/>
  <c r="R144" i="103"/>
  <c r="S144" i="103" s="1"/>
  <c r="R148" i="103"/>
  <c r="S148" i="103" s="1"/>
  <c r="R145" i="103"/>
  <c r="S145" i="103" s="1"/>
  <c r="R53" i="103"/>
  <c r="S53" i="103" s="1"/>
  <c r="S21" i="103"/>
  <c r="S22" i="103"/>
  <c r="R23" i="103" l="1"/>
  <c r="S23" i="103" s="1"/>
  <c r="C192" i="103"/>
  <c r="C193" i="103" s="1"/>
  <c r="AC186" i="103"/>
  <c r="A169" i="103"/>
  <c r="AG169" i="103"/>
  <c r="F22" i="128"/>
  <c r="H22" i="128" s="1"/>
  <c r="A186" i="103"/>
  <c r="S186" i="103"/>
  <c r="Z186" i="103"/>
  <c r="Y186" i="103"/>
  <c r="S169" i="103"/>
  <c r="Z169" i="103"/>
  <c r="Y169" i="103"/>
  <c r="Z168" i="103"/>
  <c r="Y168" i="103"/>
  <c r="Z23" i="103"/>
  <c r="Y23" i="103"/>
  <c r="R186" i="103"/>
  <c r="R168" i="103"/>
  <c r="S168" i="103"/>
  <c r="H17" i="128"/>
  <c r="R169" i="103"/>
  <c r="R5" i="104" l="1"/>
  <c r="S5" i="104" s="1"/>
  <c r="R13" i="104"/>
  <c r="S13" i="104" s="1"/>
  <c r="S12" i="104"/>
  <c r="R10" i="104"/>
  <c r="S10" i="104" s="1"/>
  <c r="S8" i="104"/>
  <c r="R6" i="104"/>
  <c r="S6" i="104" s="1"/>
  <c r="R7" i="104"/>
  <c r="S7" i="104" s="1"/>
  <c r="S11" i="104"/>
  <c r="S9" i="104"/>
  <c r="R14" i="104" l="1"/>
  <c r="S14" i="104" s="1"/>
  <c r="R169" i="104" l="1"/>
  <c r="S169" i="104" s="1"/>
  <c r="K27" i="103" l="1"/>
  <c r="K27" i="104"/>
  <c r="P27" i="104" s="1"/>
  <c r="P151" i="104" l="1"/>
  <c r="P41" i="104"/>
  <c r="P118" i="104" s="1"/>
  <c r="K64" i="110"/>
  <c r="AA64" i="110" s="1"/>
  <c r="K27" i="105"/>
  <c r="P27" i="103"/>
  <c r="K151" i="103"/>
  <c r="K41" i="103"/>
  <c r="K118" i="103" s="1"/>
  <c r="K41" i="104"/>
  <c r="K118" i="104" s="1"/>
  <c r="K151" i="104"/>
  <c r="K41" i="105" l="1"/>
  <c r="K118" i="105" s="1"/>
  <c r="P27" i="105"/>
  <c r="Y27" i="103"/>
  <c r="Z27" i="103"/>
  <c r="P167" i="104"/>
  <c r="R167" i="104" s="1"/>
  <c r="S167" i="104" s="1"/>
  <c r="P119" i="104"/>
  <c r="P170" i="104" s="1"/>
  <c r="P187" i="104" s="1"/>
  <c r="F5" i="128"/>
  <c r="P41" i="103"/>
  <c r="K156" i="110"/>
  <c r="R151" i="104"/>
  <c r="S151" i="104" s="1"/>
  <c r="R27" i="104"/>
  <c r="R41" i="104" s="1"/>
  <c r="S41" i="104" s="1"/>
  <c r="K151" i="105"/>
  <c r="R27" i="103"/>
  <c r="S27" i="103" s="1"/>
  <c r="P151" i="103"/>
  <c r="K167" i="104"/>
  <c r="K119" i="104"/>
  <c r="K170" i="104" s="1"/>
  <c r="K187" i="104" s="1"/>
  <c r="K119" i="103"/>
  <c r="K170" i="103" s="1"/>
  <c r="K187" i="103" s="1"/>
  <c r="K167" i="103"/>
  <c r="K66" i="110"/>
  <c r="K69" i="110" l="1"/>
  <c r="AA66" i="110"/>
  <c r="K167" i="110"/>
  <c r="AA156" i="110"/>
  <c r="Q27" i="105"/>
  <c r="K119" i="105"/>
  <c r="K170" i="105" s="1"/>
  <c r="K187" i="105" s="1"/>
  <c r="K197" i="105" s="1"/>
  <c r="K167" i="105"/>
  <c r="P151" i="105"/>
  <c r="P41" i="105"/>
  <c r="P118" i="103"/>
  <c r="Y118" i="103" s="1"/>
  <c r="R151" i="103"/>
  <c r="S151" i="103" s="1"/>
  <c r="Z151" i="103"/>
  <c r="Y151" i="103"/>
  <c r="Z41" i="103"/>
  <c r="Z118" i="103" s="1"/>
  <c r="S41" i="103"/>
  <c r="Y41" i="103"/>
  <c r="F18" i="128"/>
  <c r="H5" i="128"/>
  <c r="F7" i="128"/>
  <c r="P167" i="103"/>
  <c r="A167" i="103" s="1"/>
  <c r="P119" i="103"/>
  <c r="R41" i="103"/>
  <c r="K158" i="110"/>
  <c r="AA158" i="110" s="1"/>
  <c r="S27" i="104"/>
  <c r="K67" i="110"/>
  <c r="L66" i="110"/>
  <c r="AB66" i="110" s="1"/>
  <c r="L11" i="118"/>
  <c r="R118" i="104"/>
  <c r="S118" i="104" s="1"/>
  <c r="K170" i="110"/>
  <c r="R119" i="104"/>
  <c r="S119" i="104" s="1"/>
  <c r="P197" i="105" l="1"/>
  <c r="K199" i="105"/>
  <c r="L199" i="105" s="1"/>
  <c r="M199" i="105" s="1"/>
  <c r="N199" i="105" s="1"/>
  <c r="O199" i="105" s="1"/>
  <c r="O220" i="105" s="1"/>
  <c r="Q151" i="105"/>
  <c r="R151" i="105" s="1"/>
  <c r="S151" i="105" s="1"/>
  <c r="Q41" i="105"/>
  <c r="R27" i="105"/>
  <c r="P167" i="105"/>
  <c r="P118" i="105"/>
  <c r="P119" i="105"/>
  <c r="P170" i="105" s="1"/>
  <c r="P187" i="105" s="1"/>
  <c r="K193" i="105"/>
  <c r="K176" i="110"/>
  <c r="Z119" i="103"/>
  <c r="Y119" i="103"/>
  <c r="Z167" i="103"/>
  <c r="Y167" i="103"/>
  <c r="R167" i="103"/>
  <c r="S167" i="103"/>
  <c r="H7" i="128"/>
  <c r="F11" i="128"/>
  <c r="H11" i="128" s="1"/>
  <c r="H18" i="128"/>
  <c r="F20" i="128"/>
  <c r="R119" i="103"/>
  <c r="S119" i="103" s="1"/>
  <c r="P170" i="103"/>
  <c r="R118" i="103"/>
  <c r="S118" i="103" s="1"/>
  <c r="R65" i="110"/>
  <c r="R66" i="110" s="1"/>
  <c r="R67" i="110" s="1"/>
  <c r="K191" i="110"/>
  <c r="K193" i="110" s="1"/>
  <c r="K162" i="110"/>
  <c r="K164" i="110" s="1"/>
  <c r="R170" i="104"/>
  <c r="S170" i="104" s="1"/>
  <c r="R187" i="104"/>
  <c r="S187" i="104" s="1"/>
  <c r="K166" i="110"/>
  <c r="K161" i="110"/>
  <c r="L158" i="110"/>
  <c r="AB158" i="110" s="1"/>
  <c r="K159" i="110"/>
  <c r="R157" i="110" s="1"/>
  <c r="R158" i="110" s="1"/>
  <c r="R159" i="110" s="1"/>
  <c r="L24" i="118"/>
  <c r="M24" i="118" s="1"/>
  <c r="N24" i="118" s="1"/>
  <c r="M11" i="118"/>
  <c r="N11" i="118" s="1"/>
  <c r="L67" i="110"/>
  <c r="M66" i="110"/>
  <c r="AC66" i="110" s="1"/>
  <c r="K220" i="105" l="1"/>
  <c r="AA164" i="110"/>
  <c r="J3" i="131"/>
  <c r="J6" i="131" s="1"/>
  <c r="J8" i="131" s="1"/>
  <c r="J22" i="131" s="1"/>
  <c r="R41" i="105"/>
  <c r="S41" i="105" s="1"/>
  <c r="S27" i="105"/>
  <c r="Q167" i="105"/>
  <c r="R167" i="105" s="1"/>
  <c r="S167" i="105" s="1"/>
  <c r="Q119" i="105"/>
  <c r="Q170" i="105" s="1"/>
  <c r="Q187" i="105" s="1"/>
  <c r="R187" i="105" s="1"/>
  <c r="S187" i="105" s="1"/>
  <c r="Q118" i="105"/>
  <c r="R118" i="105" s="1"/>
  <c r="S118" i="105" s="1"/>
  <c r="L220" i="105"/>
  <c r="K205" i="105"/>
  <c r="L176" i="110"/>
  <c r="AC170" i="103"/>
  <c r="P187" i="103"/>
  <c r="A170" i="103"/>
  <c r="Z170" i="103"/>
  <c r="Y170" i="103"/>
  <c r="S170" i="103"/>
  <c r="L4" i="128"/>
  <c r="L7" i="128"/>
  <c r="F24" i="128"/>
  <c r="H20" i="128"/>
  <c r="L10" i="128"/>
  <c r="L8" i="128"/>
  <c r="L6" i="128"/>
  <c r="L9" i="128"/>
  <c r="L5" i="128"/>
  <c r="R170" i="103"/>
  <c r="P11" i="118"/>
  <c r="L191" i="110"/>
  <c r="L193" i="110" s="1"/>
  <c r="L162" i="110"/>
  <c r="L164" i="110" s="1"/>
  <c r="L159" i="110"/>
  <c r="L166" i="110"/>
  <c r="M158" i="110"/>
  <c r="AC158" i="110" s="1"/>
  <c r="N66" i="110"/>
  <c r="M67" i="110"/>
  <c r="AC187" i="103" l="1"/>
  <c r="P190" i="103"/>
  <c r="P191" i="103" s="1"/>
  <c r="J24" i="131"/>
  <c r="J39" i="131"/>
  <c r="AB164" i="110"/>
  <c r="K3" i="131"/>
  <c r="O66" i="110"/>
  <c r="Y11" i="127" s="1"/>
  <c r="AD66" i="110"/>
  <c r="R119" i="105"/>
  <c r="S119" i="105" s="1"/>
  <c r="M220" i="105"/>
  <c r="R170" i="105"/>
  <c r="S170" i="105" s="1"/>
  <c r="L205" i="105"/>
  <c r="M176" i="110"/>
  <c r="A187" i="103"/>
  <c r="Y187" i="103"/>
  <c r="Z187" i="103"/>
  <c r="S187" i="103"/>
  <c r="R187" i="103"/>
  <c r="H24" i="128"/>
  <c r="L21" i="128"/>
  <c r="L23" i="128"/>
  <c r="L22" i="128"/>
  <c r="L19" i="128"/>
  <c r="L17" i="128"/>
  <c r="L18" i="128"/>
  <c r="L20" i="128"/>
  <c r="P24" i="118"/>
  <c r="F22" i="127"/>
  <c r="M191" i="110"/>
  <c r="M193" i="110" s="1"/>
  <c r="M162" i="110"/>
  <c r="M164" i="110" s="1"/>
  <c r="M159" i="110"/>
  <c r="N158" i="110"/>
  <c r="M166" i="110"/>
  <c r="N67" i="110"/>
  <c r="K6" i="131" l="1"/>
  <c r="K8" i="131" s="1"/>
  <c r="K22" i="131" s="1"/>
  <c r="AC164" i="110"/>
  <c r="L3" i="131"/>
  <c r="AD158" i="110"/>
  <c r="O69" i="110"/>
  <c r="AE66" i="110"/>
  <c r="M205" i="105"/>
  <c r="N176" i="110"/>
  <c r="Z11" i="127"/>
  <c r="AC11" i="127"/>
  <c r="G22" i="127"/>
  <c r="M22" i="127"/>
  <c r="N23" i="127" s="1"/>
  <c r="N191" i="110"/>
  <c r="N193" i="110" s="1"/>
  <c r="N162" i="110"/>
  <c r="N164" i="110" s="1"/>
  <c r="N159" i="110"/>
  <c r="N166" i="110"/>
  <c r="O158" i="110"/>
  <c r="O166" i="110" s="1"/>
  <c r="O67" i="110"/>
  <c r="T11" i="118"/>
  <c r="K24" i="131" l="1"/>
  <c r="N220" i="105"/>
  <c r="L6" i="131"/>
  <c r="AD164" i="110"/>
  <c r="M3" i="131"/>
  <c r="K39" i="131"/>
  <c r="AE158" i="110"/>
  <c r="N205" i="105"/>
  <c r="L8" i="131"/>
  <c r="L22" i="131" s="1"/>
  <c r="O176" i="110"/>
  <c r="Y22" i="127"/>
  <c r="O191" i="110"/>
  <c r="O193" i="110" s="1"/>
  <c r="O162" i="110"/>
  <c r="O164" i="110" s="1"/>
  <c r="O159" i="110"/>
  <c r="O161" i="110"/>
  <c r="U11" i="118"/>
  <c r="V11" i="118" s="1"/>
  <c r="T24" i="118"/>
  <c r="AB11" i="118"/>
  <c r="AC11" i="118" s="1"/>
  <c r="L24" i="131" l="1"/>
  <c r="M6" i="131"/>
  <c r="M8" i="131" s="1"/>
  <c r="M22" i="131" s="1"/>
  <c r="L39" i="131"/>
  <c r="AE164" i="110"/>
  <c r="N3" i="131"/>
  <c r="N6" i="131" s="1"/>
  <c r="N8" i="131" s="1"/>
  <c r="N22" i="131" s="1"/>
  <c r="O205" i="105"/>
  <c r="Z22" i="127"/>
  <c r="AC22" i="127"/>
  <c r="AB24" i="118"/>
  <c r="AC24" i="118" s="1"/>
  <c r="U24" i="118"/>
  <c r="V24" i="118" s="1"/>
  <c r="X27" i="118"/>
  <c r="N24" i="131" l="1"/>
  <c r="M24" i="131"/>
  <c r="N39" i="131"/>
  <c r="M39" i="131"/>
  <c r="F187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Chedid, John</author>
  </authors>
  <commentList>
    <comment ref="D26" authorId="0" shapeId="0" xr:uid="{08AB64FA-F816-4766-8147-998370582EC6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Was 12.5k MRF4</t>
        </r>
      </text>
    </comment>
    <comment ref="D31" authorId="0" shapeId="0" xr:uid="{7BE42675-9A31-4F37-9FC9-2B32AC713AD5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was 1,700</t>
        </r>
      </text>
    </comment>
    <comment ref="D37" authorId="0" shapeId="0" xr:uid="{3D903750-9D6C-4BD8-883B-A80D97073DF5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was 1,200</t>
        </r>
      </text>
    </comment>
    <comment ref="D38" authorId="0" shapeId="0" xr:uid="{FF4A82CF-D38F-424F-B4B8-AE5C6C9EAA80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was 4,600</t>
        </r>
      </text>
    </comment>
    <comment ref="D41" authorId="0" shapeId="0" xr:uid="{D701B29B-3A44-4505-9C75-C79D4D970CB1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was 22k MRF4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Chedid, John</author>
  </authors>
  <commentList>
    <comment ref="C5566" authorId="0" shapeId="0" xr:uid="{02E80A1C-A83D-4EB7-962E-B73B1A38CEAA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209000
</t>
        </r>
      </text>
    </comment>
    <comment ref="C5567" authorId="0" shapeId="0" xr:uid="{67F66F25-8A2C-4425-BBD8-FBC91A115E5F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209000
</t>
        </r>
      </text>
    </comment>
    <comment ref="C5568" authorId="0" shapeId="0" xr:uid="{9CD440D8-964B-4E8C-9110-986CCF76102E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199,500</t>
        </r>
      </text>
    </comment>
    <comment ref="C5569" authorId="0" shapeId="0" xr:uid="{B4BAF0D0-C553-4F94-831C-94E1B2C00313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199,500</t>
        </r>
      </text>
    </comment>
    <comment ref="C5570" authorId="0" shapeId="0" xr:uid="{666F1717-A072-40FB-8891-A00184408244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209000</t>
        </r>
      </text>
    </comment>
    <comment ref="C5571" authorId="0" shapeId="0" xr:uid="{7BCB9321-94C3-4B3B-8360-AE2984D749B4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171000</t>
        </r>
      </text>
    </comment>
    <comment ref="C5573" authorId="0" shapeId="0" xr:uid="{276305C6-B4AA-4625-B4A8-3B945CCBB44B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173,054</t>
        </r>
      </text>
    </comment>
    <comment ref="C5574" authorId="0" shapeId="0" xr:uid="{05C2B5AA-BCE6-4CEB-AFC8-44F918F0DB10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118,196</t>
        </r>
      </text>
    </comment>
    <comment ref="C5575" authorId="0" shapeId="0" xr:uid="{A28DA4D5-66D9-4D73-AD38-7EF3A102189F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238,038</t>
        </r>
      </text>
    </comment>
    <comment ref="C5576" authorId="0" shapeId="0" xr:uid="{7A6ED0FB-D781-4968-A499-7AD3D39BAA3F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294,753</t>
        </r>
      </text>
    </comment>
    <comment ref="C5577" authorId="0" shapeId="0" xr:uid="{EFC77BE1-C1CA-4892-84B6-BF9FF11BC749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131,036</t>
        </r>
      </text>
    </comment>
    <comment ref="C5578" authorId="0" shapeId="0" xr:uid="{86378598-FC8C-49A4-9A50-FD71484767F7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166,076</t>
        </r>
      </text>
    </comment>
    <comment ref="C5581" authorId="0" shapeId="0" xr:uid="{57ED9133-0D91-4547-9D06-2F7CAC41390A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111,357</t>
        </r>
      </text>
    </comment>
    <comment ref="C5582" authorId="0" shapeId="0" xr:uid="{91620B0F-CE2E-4FFF-A351-1B5C9D8925DF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187.943</t>
        </r>
      </text>
    </comment>
    <comment ref="C5583" authorId="0" shapeId="0" xr:uid="{CFE6E604-B47C-4C5C-9157-51703B224C80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222,062</t>
        </r>
      </text>
    </comment>
    <comment ref="C5584" authorId="0" shapeId="0" xr:uid="{63FF8117-DBFB-4F94-AA5C-68B2F3657830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243,329</t>
        </r>
      </text>
    </comment>
    <comment ref="C5585" authorId="0" shapeId="0" xr:uid="{243B6E76-4F13-4937-9239-4FFEEC8751AF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183,693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OBrien, Colleen</author>
    <author>Chedid, John</author>
    <author>Codomo, Joe</author>
  </authors>
  <commentList>
    <comment ref="C52" authorId="0" shapeId="0" xr:uid="{8564E493-B3E7-4CD4-82D5-2B37A8A640B6}">
      <text>
        <r>
          <rPr>
            <b/>
            <sz val="9"/>
            <color indexed="81"/>
            <rFont val="Tahoma"/>
            <family val="2"/>
          </rPr>
          <t xml:space="preserve">OBrien, Colleen:
</t>
        </r>
        <r>
          <rPr>
            <sz val="9"/>
            <color indexed="81"/>
            <rFont val="Tahoma"/>
            <family val="2"/>
          </rPr>
          <t>Updated 2024 EOY Inv - need to confirm with Deniz (previously 641K CS)</t>
        </r>
      </text>
    </comment>
    <comment ref="C66" authorId="0" shapeId="0" xr:uid="{8D95C4CF-A02D-4223-9E9A-4D7FCCC71B15}">
      <text>
        <r>
          <rPr>
            <b/>
            <sz val="9"/>
            <color indexed="81"/>
            <rFont val="Tahoma"/>
            <family val="2"/>
          </rPr>
          <t>OBrien, Colleen:</t>
        </r>
        <r>
          <rPr>
            <sz val="9"/>
            <color indexed="81"/>
            <rFont val="Tahoma"/>
            <family val="2"/>
          </rPr>
          <t xml:space="preserve">
Updated EOM Inv Assumption</t>
        </r>
      </text>
    </comment>
    <comment ref="C73" authorId="0" shapeId="0" xr:uid="{BB6ED79E-210B-4C24-88F9-8DB32995802F}">
      <text>
        <r>
          <rPr>
            <b/>
            <sz val="9"/>
            <color indexed="81"/>
            <rFont val="Tahoma"/>
            <family val="2"/>
          </rPr>
          <t>OBrien, Colleen:</t>
        </r>
        <r>
          <rPr>
            <sz val="9"/>
            <color indexed="81"/>
            <rFont val="Tahoma"/>
            <family val="2"/>
          </rPr>
          <t xml:space="preserve">
Updated EOM Inv</t>
        </r>
      </text>
    </comment>
    <comment ref="C80" authorId="0" shapeId="0" xr:uid="{8995A3B8-AB45-455D-AFB1-3E3902D9C778}">
      <text>
        <r>
          <rPr>
            <b/>
            <sz val="9"/>
            <color indexed="81"/>
            <rFont val="Tahoma"/>
            <family val="2"/>
          </rPr>
          <t>OBrien, Colleen:</t>
        </r>
        <r>
          <rPr>
            <sz val="9"/>
            <color indexed="81"/>
            <rFont val="Tahoma"/>
            <family val="2"/>
          </rPr>
          <t xml:space="preserve">
Updated 2024 EOY Inventory</t>
        </r>
      </text>
    </comment>
    <comment ref="C130" authorId="1" shapeId="0" xr:uid="{59F6301B-E1EC-42EE-9194-5A72C2D8874A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LV is 72-94 depending on 109 / 203 sept to dec demand</t>
        </r>
      </text>
    </comment>
    <comment ref="D184" authorId="2" shapeId="0" xr:uid="{1AD849FE-63E1-4F71-8036-F876AF491D43}">
      <text>
        <r>
          <rPr>
            <b/>
            <sz val="9"/>
            <color indexed="81"/>
            <rFont val="Tahoma"/>
            <family val="2"/>
          </rPr>
          <t>Codomo, Joe:</t>
        </r>
        <r>
          <rPr>
            <sz val="9"/>
            <color indexed="81"/>
            <rFont val="Tahoma"/>
            <family val="2"/>
          </rPr>
          <t xml:space="preserve">
just took from RR</t>
        </r>
      </text>
    </comment>
    <comment ref="D187" authorId="2" shapeId="0" xr:uid="{B2AE2545-AE0E-4C03-BE36-D7069380BDDB}">
      <text>
        <r>
          <rPr>
            <b/>
            <sz val="9"/>
            <color indexed="81"/>
            <rFont val="Tahoma"/>
            <family val="2"/>
          </rPr>
          <t>Codomo, Joe:</t>
        </r>
        <r>
          <rPr>
            <sz val="9"/>
            <color indexed="81"/>
            <rFont val="Tahoma"/>
            <family val="2"/>
          </rPr>
          <t xml:space="preserve">
just took from RR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Chedid, John</author>
    <author>OBrien, Colleen</author>
  </authors>
  <commentList>
    <comment ref="L11" authorId="0" shapeId="0" xr:uid="{6C9BBEB1-AFBF-4A11-A8C1-A9CC8BCAB50D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assumin C&amp;C8ct destroy by H1</t>
        </r>
      </text>
    </comment>
    <comment ref="G18" authorId="1" shapeId="0" xr:uid="{1C1E0863-51CE-4C38-920D-5D1CFC416D5D}">
      <text>
        <r>
          <rPr>
            <b/>
            <sz val="9"/>
            <color indexed="81"/>
            <rFont val="Tahoma"/>
            <family val="2"/>
          </rPr>
          <t>OBrien, Colleen:</t>
        </r>
        <r>
          <rPr>
            <sz val="9"/>
            <color indexed="81"/>
            <rFont val="Tahoma"/>
            <family val="2"/>
          </rPr>
          <t xml:space="preserve">
Dependent demand for MG MINI DBL CARMAL and IH DBL CARMAL 11/27 update: joe updated as well</t>
        </r>
      </text>
    </comment>
    <comment ref="J18" authorId="0" shapeId="0" xr:uid="{178C2E06-7C5D-47FE-882F-EDE48118FAA6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WIP</t>
        </r>
      </text>
    </comment>
    <comment ref="O19" authorId="0" shapeId="0" xr:uid="{24C68EE5-77BC-4818-A31E-12F13C9153BC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Sour for Target
</t>
        </r>
      </text>
    </comment>
    <comment ref="P19" authorId="0" shapeId="0" xr:uid="{D61A3766-0FE3-46DF-8ED9-0CAAEB3E8DB0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Sour for Target
</t>
        </r>
      </text>
    </comment>
    <comment ref="Q19" authorId="0" shapeId="0" xr:uid="{8F6E6A15-F8F1-4902-94FC-50655CA96A00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Sour for Target
</t>
        </r>
      </text>
    </comment>
    <comment ref="O30" authorId="0" shapeId="0" xr:uid="{579E25AB-EE26-4AA1-A908-1BC8F2BE3222}">
      <text>
        <r>
          <rPr>
            <b/>
            <sz val="9"/>
            <color indexed="81"/>
            <rFont val="Tahoma"/>
            <family val="2"/>
          </rPr>
          <t>Chedid, John:</t>
        </r>
        <r>
          <rPr>
            <sz val="9"/>
            <color indexed="81"/>
            <rFont val="Tahoma"/>
            <family val="2"/>
          </rPr>
          <t xml:space="preserve">
Walmart Candy Center</t>
        </r>
      </text>
    </comment>
  </commentList>
</comments>
</file>

<file path=xl/sharedStrings.xml><?xml version="1.0" encoding="utf-8"?>
<sst xmlns="http://schemas.openxmlformats.org/spreadsheetml/2006/main" count="21818" uniqueCount="1394">
  <si>
    <t xml:space="preserve"> M Phys CS</t>
  </si>
  <si>
    <t>Growth vs YAG</t>
  </si>
  <si>
    <t xml:space="preserve">Weight of Total </t>
  </si>
  <si>
    <t>Supply</t>
  </si>
  <si>
    <t>VT</t>
  </si>
  <si>
    <t>SIK</t>
  </si>
  <si>
    <t>COV</t>
  </si>
  <si>
    <t>Total UL Sites</t>
  </si>
  <si>
    <t>SIM</t>
  </si>
  <si>
    <t>Imports</t>
  </si>
  <si>
    <t>CM</t>
  </si>
  <si>
    <t>Total UL</t>
  </si>
  <si>
    <t>Demand</t>
  </si>
  <si>
    <t>Litons</t>
  </si>
  <si>
    <t>Column Labels</t>
  </si>
  <si>
    <t>Import</t>
  </si>
  <si>
    <t>UL</t>
  </si>
  <si>
    <t>Row Labels</t>
  </si>
  <si>
    <t>Sum of 2024 MRF12</t>
  </si>
  <si>
    <t>Sum of 2025 MRF8</t>
  </si>
  <si>
    <t>Sum of 2026 MRF8</t>
  </si>
  <si>
    <t>2.4 Gal</t>
  </si>
  <si>
    <t>Course Correct Inventory in 2025</t>
  </si>
  <si>
    <t>48oz</t>
  </si>
  <si>
    <t>Price Increase in 26' -9% Growth</t>
  </si>
  <si>
    <t>B&amp;J Cups</t>
  </si>
  <si>
    <t>Only 1% growth</t>
  </si>
  <si>
    <t>BJ Bars</t>
  </si>
  <si>
    <t>Run All out till Sept, then must reduce</t>
  </si>
  <si>
    <t>BJ PTS</t>
  </si>
  <si>
    <t>Dough Bites</t>
  </si>
  <si>
    <t>EDF</t>
  </si>
  <si>
    <t>EFW</t>
  </si>
  <si>
    <t>ESS</t>
  </si>
  <si>
    <t>Facepieces</t>
  </si>
  <si>
    <t>KL Mini Cones</t>
  </si>
  <si>
    <t>MBG</t>
  </si>
  <si>
    <t>MG Sticks</t>
  </si>
  <si>
    <t>Other</t>
  </si>
  <si>
    <t>PG</t>
  </si>
  <si>
    <t>SP1</t>
  </si>
  <si>
    <t>TALENTI</t>
  </si>
  <si>
    <t>Yasso Poppables</t>
  </si>
  <si>
    <t>Yasso Sandwich</t>
  </si>
  <si>
    <t>Yasso Sticks</t>
  </si>
  <si>
    <t>YS PTS</t>
  </si>
  <si>
    <t>Yasso Club</t>
  </si>
  <si>
    <t>Grand Total</t>
  </si>
  <si>
    <t>Type</t>
  </si>
  <si>
    <t>(Multiple Items)</t>
  </si>
  <si>
    <t>Suppl</t>
  </si>
  <si>
    <t>Supp vs Dem</t>
  </si>
  <si>
    <t>Cases</t>
  </si>
  <si>
    <t>Short in 25'</t>
  </si>
  <si>
    <t>Course correction in 25'</t>
  </si>
  <si>
    <t>(All)</t>
  </si>
  <si>
    <t>Short vs demand in 25'</t>
  </si>
  <si>
    <t>Course Correction in 25'</t>
  </si>
  <si>
    <t>Recoup Supply</t>
  </si>
  <si>
    <t>Course Correct Inventory in 26'</t>
  </si>
  <si>
    <t>Club in 2024</t>
  </si>
  <si>
    <t>Scribbler</t>
  </si>
  <si>
    <t>CS more than MG</t>
  </si>
  <si>
    <t>PLANT</t>
  </si>
  <si>
    <t>STA ALBANS</t>
  </si>
  <si>
    <t>Vs YAG</t>
  </si>
  <si>
    <t>Commentary</t>
  </si>
  <si>
    <t>Tech Rollup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</si>
  <si>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</si>
  <si>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</si>
  <si>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</si>
  <si>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</si>
  <si>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</si>
  <si>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</si>
  <si>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</si>
  <si>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</si>
  <si>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</si>
  <si>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</si>
  <si>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</si>
  <si>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</si>
  <si>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Difference</t>
  </si>
  <si>
    <t>% change</t>
  </si>
  <si>
    <t>2025 MRF8</t>
  </si>
  <si>
    <t>2025 MRF7</t>
  </si>
  <si>
    <t>2024 MRF12</t>
  </si>
  <si>
    <t>2026 MRF7</t>
  </si>
  <si>
    <t>Quarts</t>
  </si>
  <si>
    <t>PTS Exports</t>
  </si>
  <si>
    <t>Cup Exports</t>
  </si>
  <si>
    <t>Bulk Exports</t>
  </si>
  <si>
    <t>B&amp;J Dog Treat</t>
  </si>
  <si>
    <t>PTS - BR</t>
  </si>
  <si>
    <t>Total St. Albans</t>
  </si>
  <si>
    <t>WATERBURY</t>
  </si>
  <si>
    <t>Vs Last Cycle</t>
  </si>
  <si>
    <t>1 Gal</t>
  </si>
  <si>
    <t>QTS</t>
  </si>
  <si>
    <t>Total Waterbury</t>
  </si>
  <si>
    <t>SIKESTON</t>
  </si>
  <si>
    <t>TAL NV</t>
  </si>
  <si>
    <t>PTS</t>
  </si>
  <si>
    <t>Sundaes</t>
  </si>
  <si>
    <t>Topped</t>
  </si>
  <si>
    <t>Total Sikeston</t>
  </si>
  <si>
    <t xml:space="preserve">COVINGTON </t>
  </si>
  <si>
    <t>56oz</t>
  </si>
  <si>
    <t>64oz</t>
  </si>
  <si>
    <t>Talenti</t>
  </si>
  <si>
    <t>Total Covington</t>
  </si>
  <si>
    <t xml:space="preserve"> 3PM </t>
  </si>
  <si>
    <t>Shifted to Simcoe</t>
  </si>
  <si>
    <t>KL Sandwich</t>
  </si>
  <si>
    <t>Total Schwann's</t>
  </si>
  <si>
    <t>BR Minicups</t>
  </si>
  <si>
    <t>Giant SW</t>
  </si>
  <si>
    <t>FB Cones</t>
  </si>
  <si>
    <t>Total Brothers 3PM</t>
  </si>
  <si>
    <t>Total Yasso</t>
  </si>
  <si>
    <t>Rhino</t>
  </si>
  <si>
    <t>Ramp up rate/assumptions updated</t>
  </si>
  <si>
    <t>BJ Pts</t>
  </si>
  <si>
    <t>PB Cup &amp; Attainment</t>
  </si>
  <si>
    <t>YS Cups</t>
  </si>
  <si>
    <t>Glacier Point</t>
  </si>
  <si>
    <t>Imports/Others</t>
  </si>
  <si>
    <t>L Projection</t>
  </si>
  <si>
    <t>St Iria</t>
  </si>
  <si>
    <t>King Cone (PT)</t>
  </si>
  <si>
    <t>Tultitlan</t>
  </si>
  <si>
    <t>KL Sandwiches</t>
  </si>
  <si>
    <t>Includes Van SW, C&amp;C IH &amp; OOH</t>
  </si>
  <si>
    <t>KL Origina</t>
  </si>
  <si>
    <t>Veszprem</t>
  </si>
  <si>
    <t>GDI</t>
  </si>
  <si>
    <t>Gloucester</t>
  </si>
  <si>
    <t>MG Sticks ND</t>
  </si>
  <si>
    <t>Caivano</t>
  </si>
  <si>
    <t>Turkey</t>
  </si>
  <si>
    <t>Added production to protect before EOY shut down</t>
  </si>
  <si>
    <t>Incom</t>
  </si>
  <si>
    <t>Total Imports</t>
  </si>
  <si>
    <t>IC TOTAL</t>
  </si>
  <si>
    <t>IC TOTAL UL US Plants</t>
  </si>
  <si>
    <t xml:space="preserve">Repack </t>
  </si>
  <si>
    <t>Repack BJ Pints</t>
  </si>
  <si>
    <t>Repack BR PTS</t>
  </si>
  <si>
    <t>Repack EDF</t>
  </si>
  <si>
    <t>Repack EFW</t>
  </si>
  <si>
    <t>Repack GH Variety Pack</t>
  </si>
  <si>
    <t>Repack MG PTS</t>
  </si>
  <si>
    <t>Repack MG Sticks</t>
  </si>
  <si>
    <t>Repack MBG</t>
  </si>
  <si>
    <t>Repack Talenti</t>
  </si>
  <si>
    <t>B&amp;J Dog Treat - Repack</t>
  </si>
  <si>
    <t>Repack KL Pouches</t>
  </si>
  <si>
    <t>Total Repack</t>
  </si>
  <si>
    <t>MG Stick</t>
  </si>
  <si>
    <t>MG PTS</t>
  </si>
  <si>
    <t>Schwann's</t>
  </si>
  <si>
    <t>Coolabs</t>
  </si>
  <si>
    <t>Deliciosa</t>
  </si>
  <si>
    <t>DFA</t>
  </si>
  <si>
    <t>HIC</t>
  </si>
  <si>
    <t>Caspers</t>
  </si>
  <si>
    <t>OIC</t>
  </si>
  <si>
    <t>Brother's</t>
  </si>
  <si>
    <t>ICS</t>
  </si>
  <si>
    <t>US Cold</t>
  </si>
  <si>
    <t>Total CM's</t>
  </si>
  <si>
    <t>Total UL US</t>
  </si>
  <si>
    <t>Plant</t>
  </si>
  <si>
    <t>Vs YAG MRF8</t>
  </si>
  <si>
    <t>VS YA</t>
  </si>
  <si>
    <t>3 lines 24.7%</t>
  </si>
  <si>
    <t>SIKESTON NORTH</t>
  </si>
  <si>
    <t>VS YAG</t>
  </si>
  <si>
    <t>-</t>
  </si>
  <si>
    <t>Total Sikeston North</t>
  </si>
  <si>
    <t>COVINGTON</t>
  </si>
  <si>
    <t>Inventory Reduction plan</t>
  </si>
  <si>
    <t>Heppenheim</t>
  </si>
  <si>
    <t>Cyclones</t>
  </si>
  <si>
    <t>OTher</t>
  </si>
  <si>
    <t>Total Others</t>
  </si>
  <si>
    <t>May-June Peformancce</t>
  </si>
  <si>
    <t>Making Less than 25 Demand</t>
  </si>
  <si>
    <t>Vs Prior View</t>
  </si>
  <si>
    <t>LITONS</t>
  </si>
  <si>
    <t xml:space="preserve">  </t>
  </si>
  <si>
    <t>VS YAG MRF8</t>
  </si>
  <si>
    <t>Flow Wrap</t>
  </si>
  <si>
    <t>GDI on PG vs UL</t>
  </si>
  <si>
    <t>Make</t>
  </si>
  <si>
    <t>Sell</t>
  </si>
  <si>
    <t>Net</t>
  </si>
  <si>
    <t xml:space="preserve">Pallet </t>
  </si>
  <si>
    <t>Production</t>
  </si>
  <si>
    <t xml:space="preserve">what is not in RR &amp; why </t>
  </si>
  <si>
    <t>LV</t>
  </si>
  <si>
    <t>Club</t>
  </si>
  <si>
    <t>Intransit</t>
  </si>
  <si>
    <t>Turkey Hill</t>
  </si>
  <si>
    <t>Total Incremental</t>
  </si>
  <si>
    <t>Not in RR</t>
  </si>
  <si>
    <t>Days Down</t>
  </si>
  <si>
    <t>Exceptions</t>
  </si>
  <si>
    <t>NY</t>
  </si>
  <si>
    <t>MLK</t>
  </si>
  <si>
    <t>Presiden</t>
  </si>
  <si>
    <t>Easter</t>
  </si>
  <si>
    <t>Memorial</t>
  </si>
  <si>
    <t>Juneteenth</t>
  </si>
  <si>
    <t>4th</t>
  </si>
  <si>
    <t>Labor</t>
  </si>
  <si>
    <t>48oz:  + 2wks
EFW:  +4wk
EDF    +2-3wks
PG  UL vs Imprt</t>
  </si>
  <si>
    <t>Thanks</t>
  </si>
  <si>
    <t>Christmas</t>
  </si>
  <si>
    <t>Material Number</t>
  </si>
  <si>
    <t>Main Tech</t>
  </si>
  <si>
    <t>Sub Tech</t>
  </si>
  <si>
    <t>Week</t>
  </si>
  <si>
    <t>Production Version</t>
  </si>
  <si>
    <t>G10</t>
  </si>
  <si>
    <t>G3</t>
  </si>
  <si>
    <t>G8</t>
  </si>
  <si>
    <t>G9</t>
  </si>
  <si>
    <t>GR2</t>
  </si>
  <si>
    <t>VR1</t>
  </si>
  <si>
    <t>(blank)</t>
  </si>
  <si>
    <t>Month</t>
  </si>
  <si>
    <t>Material description</t>
  </si>
  <si>
    <t>BT1</t>
  </si>
  <si>
    <t>Yasso Fudge Chocolate Crunch 8-4pk</t>
  </si>
  <si>
    <t>Yasso Mint Chocolate Crunch 8-4pk</t>
  </si>
  <si>
    <t>BT2</t>
  </si>
  <si>
    <t>Yasso Mint Chocolate Chip 8-4pk</t>
  </si>
  <si>
    <t>Yasso Sea Salt Caramel 8-4pk</t>
  </si>
  <si>
    <t>Yasso Coffee Chocolate Chip 8-4pk</t>
  </si>
  <si>
    <t>Yasso Chocolate Fudge 8-4pk</t>
  </si>
  <si>
    <t>Yasso Cherry Chocolate Crunch 8-4pk</t>
  </si>
  <si>
    <t>K1</t>
  </si>
  <si>
    <t>K2</t>
  </si>
  <si>
    <t>K3</t>
  </si>
  <si>
    <t>ST1</t>
  </si>
  <si>
    <t>BR Reese PB Cup 8 1PT</t>
  </si>
  <si>
    <t>BR Vanilla 8 1PT</t>
  </si>
  <si>
    <t>BR Cookies and Cream 8 1PT</t>
  </si>
  <si>
    <t>BR HA Cookies and Cream 8 1PT</t>
  </si>
  <si>
    <t>BR Creamsicle 8 1PT</t>
  </si>
  <si>
    <t>BR Smores 8-1pt</t>
  </si>
  <si>
    <t>Delivered quantity</t>
  </si>
  <si>
    <t>Basic start date</t>
  </si>
  <si>
    <t>Liton per</t>
  </si>
  <si>
    <t>Per Pallet</t>
  </si>
  <si>
    <t>Attain</t>
  </si>
  <si>
    <t>Case post attain</t>
  </si>
  <si>
    <t>Litons post attainment</t>
  </si>
  <si>
    <t>Pallets Post Attainment</t>
  </si>
  <si>
    <t>Notes 1</t>
  </si>
  <si>
    <t>Notes 2</t>
  </si>
  <si>
    <t>BR CHOC Peanut Butter 6 1.5QT</t>
  </si>
  <si>
    <t>S4</t>
  </si>
  <si>
    <t>KL Original Vanilla Bar 12-6PK</t>
  </si>
  <si>
    <t>BR XCRMY Vanilla 6 1.5QT</t>
  </si>
  <si>
    <t>S2</t>
  </si>
  <si>
    <t>BR Chocolate Chip Cookie Dough 6 1.5QT</t>
  </si>
  <si>
    <t>S3</t>
  </si>
  <si>
    <t>KL Dark Chocolate Bar 12-6PK</t>
  </si>
  <si>
    <t>BR Butter Pecan 6 1.5QT</t>
  </si>
  <si>
    <t>SS3</t>
  </si>
  <si>
    <t>BR Chocolate 6-1.5QT</t>
  </si>
  <si>
    <t>SS2</t>
  </si>
  <si>
    <t>BR NAT Vanilla 6-1.5QT</t>
  </si>
  <si>
    <t>SS1</t>
  </si>
  <si>
    <t>Talenti LY Salted CAR Truffle 8 323.1g</t>
  </si>
  <si>
    <t>SP3B</t>
  </si>
  <si>
    <t>Talenti Caramel Cookie Crunch 8 1PT</t>
  </si>
  <si>
    <t>SP3A</t>
  </si>
  <si>
    <t>BJ US-IC-CherryGarcia-FTNG-8 1PT</t>
  </si>
  <si>
    <t>02</t>
  </si>
  <si>
    <t>MG Mini Double Caramel Bar 6-6PK</t>
  </si>
  <si>
    <t>ST4</t>
  </si>
  <si>
    <t>MG Double Raspberry Bar 8-3PK</t>
  </si>
  <si>
    <t>ST2</t>
  </si>
  <si>
    <t>BR Reeses PB Carbsmart Bar 8-6PK</t>
  </si>
  <si>
    <t>PS Scribblers Natural 6-18PK</t>
  </si>
  <si>
    <t>GH Strawberry Shortcake 1-24BK</t>
  </si>
  <si>
    <t>G1</t>
  </si>
  <si>
    <t>GH Strawberry Shortcake Bar 8-6PK</t>
  </si>
  <si>
    <t>G4</t>
  </si>
  <si>
    <t>S1</t>
  </si>
  <si>
    <t>PS Fudgesicle NSA 6-18PK</t>
  </si>
  <si>
    <t>PS OCG 6-18PK</t>
  </si>
  <si>
    <t>PS Jolly Rancher Pop 6-18PK</t>
  </si>
  <si>
    <t>BJ US-TOP-DirtCake-8 450ML</t>
  </si>
  <si>
    <t>GR1</t>
  </si>
  <si>
    <t>BR VAN CHOC STRAW 6-1.5QT</t>
  </si>
  <si>
    <t>BR HA Chocolate 6-1.5QT</t>
  </si>
  <si>
    <t>BJ US -IC-LightsCaramelAction-8 1PT</t>
  </si>
  <si>
    <t>SP2A</t>
  </si>
  <si>
    <t>BJ US-IC-StrawberryChscke-FTNG-8 1PT</t>
  </si>
  <si>
    <t>03</t>
  </si>
  <si>
    <t>BJ US-IC-Vanilla-FTNG-8 1PT</t>
  </si>
  <si>
    <t>01</t>
  </si>
  <si>
    <t>04</t>
  </si>
  <si>
    <t>Talenti Coffee CHOC Chip 8 1PT</t>
  </si>
  <si>
    <t>Talenti LY Vanilla Fudge Cookie 8 303.3g</t>
  </si>
  <si>
    <t>BR HA CO-B NY Style Cheesecake 6 1.5QT</t>
  </si>
  <si>
    <t>BJ US-IC-PeanutButterCup-8 1PT</t>
  </si>
  <si>
    <t>BJ US-COR-SaltedCaramelCore-FTNG-8 1PT</t>
  </si>
  <si>
    <t>BR Hot Fudge Brownie Sundae 6p 1.5QT</t>
  </si>
  <si>
    <t>BR Homemade Vanilla 6-1.5QT</t>
  </si>
  <si>
    <t>BJ US-IC-ChunkyMonkey-FTNG-8 1PT</t>
  </si>
  <si>
    <t>BJ US-SUN-StrawBaeShortcake-8 427ML</t>
  </si>
  <si>
    <t>BJ US-IC-HalfBaked-FTNG-8 1PT</t>
  </si>
  <si>
    <t>TAL LYR Snickerdoodle 8p 326.7g</t>
  </si>
  <si>
    <t>BR Smores 6 1.5QT</t>
  </si>
  <si>
    <t>MG Double Chocolate Bar 8-3PK</t>
  </si>
  <si>
    <t>BR Lactose Free Vanilla 6 1.5QT</t>
  </si>
  <si>
    <t>Talenti Pacific Coast Pistachio 8 1PT</t>
  </si>
  <si>
    <t>BR CS Vanilla 6 1.5QT</t>
  </si>
  <si>
    <t>MG Mini Classic 6-6PK</t>
  </si>
  <si>
    <t>BR CO-B SNICKERS 6 1.5QT</t>
  </si>
  <si>
    <t>BR Salted Caramel Truffle 6p 1.5QT</t>
  </si>
  <si>
    <t>KL Reeses SW 6-4PK</t>
  </si>
  <si>
    <t>KL REESES BAR 12-6 PK</t>
  </si>
  <si>
    <t>KL Heath Bar 12-6PK</t>
  </si>
  <si>
    <t>BR HA Cookies and Cream 6 1.5QT</t>
  </si>
  <si>
    <t>GH Reeses Bar 1-24BK</t>
  </si>
  <si>
    <t>TAL ND LYR CHOC Fudge Brownie 8 323.1g</t>
  </si>
  <si>
    <t>BR CS Rocky Road 6p 1.5QT</t>
  </si>
  <si>
    <t>BR Carbsmart Strawberry Bar 8-6PK</t>
  </si>
  <si>
    <t>BJ US-TOP-SLTDCRMLBRWNIE-8 450ml</t>
  </si>
  <si>
    <t>BR XCRMY Chocolate 6 1.5QT</t>
  </si>
  <si>
    <t>MG Cookie Duet 8-3PK</t>
  </si>
  <si>
    <t>BJ US-IC-GimmeSmore-8 1PT</t>
  </si>
  <si>
    <t>BJ R01-IC-TripleCaramlChnk-8 458ML</t>
  </si>
  <si>
    <t>BJ US-COR-BrownieBatter-8 1PT</t>
  </si>
  <si>
    <t>BJ US-IC-ChocChpCookDgh-FTNG-8 1PT</t>
  </si>
  <si>
    <t>BJ US-IC-PhishFood-FTNG-8 1PT</t>
  </si>
  <si>
    <t>BJ AMET-IC-ChocChpCkDgh-FTNG-8 458ML</t>
  </si>
  <si>
    <t>KL Cookies and Creme SW 1-24PK</t>
  </si>
  <si>
    <t>S-01</t>
  </si>
  <si>
    <t>BJ US-IC-Milk+Cookies-8 1PT</t>
  </si>
  <si>
    <t>BJ US-IC-PBHalfBaked-8 1 PT</t>
  </si>
  <si>
    <t>BJ US-IC- CrmlChcChsck- 8 1PT</t>
  </si>
  <si>
    <t>BJ R01-IC-TonightDough-8 458ML</t>
  </si>
  <si>
    <t>KL Vanilla Sandwich 8-6 PK</t>
  </si>
  <si>
    <t>BR HA Mint CHOC Chip 6 1.5QT</t>
  </si>
  <si>
    <t>BR CS VAN CHOC Straw 6 1.5QT</t>
  </si>
  <si>
    <t>BJ US-SUN-MochaMoodPie-8 427ml</t>
  </si>
  <si>
    <t>BJ US-IC-ChurrayForChurros-8 1PT</t>
  </si>
  <si>
    <t>BJ US-IC-TonightDough-8 1PT</t>
  </si>
  <si>
    <t>BR Mint CHOC Chip 6 1.5QT</t>
  </si>
  <si>
    <t>MG Double Caramel Bar 8-3PK</t>
  </si>
  <si>
    <t>BR Strawberry Shortcake 6 1.5QT</t>
  </si>
  <si>
    <t>Talenti Alphonso Mango SORB (DF) 8 1PT</t>
  </si>
  <si>
    <t>MG Mini Almond 6-6PK</t>
  </si>
  <si>
    <t>PS SF Tropical 6-18PK</t>
  </si>
  <si>
    <t>BR HA NAT Vanilla 6-1.5QT</t>
  </si>
  <si>
    <t>BR CO-B NY Style Cheesecake 6 1.5QT</t>
  </si>
  <si>
    <t>BJ US-TOP-CHOCCARAMELCD-8 450ml</t>
  </si>
  <si>
    <t>BR Carbsmart Almond Bar 8-6PK</t>
  </si>
  <si>
    <t>MG Mini Classic/Almond/White VP 6-6PK</t>
  </si>
  <si>
    <t>BJ US-IC-VanillaCaramelFdg-FTNG-8 1PT</t>
  </si>
  <si>
    <t>BJ US-IC-ChocolatePBChunk-1 2.4G</t>
  </si>
  <si>
    <t>GH CHOC Eclair 1-24PK OOH</t>
  </si>
  <si>
    <t>KL Krunch Bar 12-6PK</t>
  </si>
  <si>
    <t>Talenti Passionfruit Sorbetto 8-1PT</t>
  </si>
  <si>
    <t>BJ US-IC-Strawberry-FTNG-1 2.4G</t>
  </si>
  <si>
    <t>BR Vanilla Chocolate 6 1.5QT</t>
  </si>
  <si>
    <t>BJ US-IC-ChubbyHubby-8 1PT</t>
  </si>
  <si>
    <t>BJ US-IC-StrawberryChscke-FTNG-1 2.4G</t>
  </si>
  <si>
    <t>BJ US-IC-SaltCaramelBlondie-FTNG-1 2.4G</t>
  </si>
  <si>
    <t>BJ US-IC-ChocFudgBrownie-FTNG-8 1PT</t>
  </si>
  <si>
    <t>Talenti Hazelnut Chocolate 8-1PT</t>
  </si>
  <si>
    <t>BJ US-TOP-THICKMINT-8 450ml</t>
  </si>
  <si>
    <t>BJ US-IC-ChocFudgBrownie-FTNG-1 2.4G</t>
  </si>
  <si>
    <t>BR ND Vanilla 6 1.5QT</t>
  </si>
  <si>
    <t>MG Almond Duet 8-3PK</t>
  </si>
  <si>
    <t>BR CS Chocolate Peanut Butter 6 1.5QT</t>
  </si>
  <si>
    <t>BR French Vanilla 6-1.5QT</t>
  </si>
  <si>
    <t>BR CHOC Chip 6 1.5QT</t>
  </si>
  <si>
    <t>BR Cookies and Cream 6 1.5QT</t>
  </si>
  <si>
    <t>BR HA Strawberry 6 1.5QT</t>
  </si>
  <si>
    <t>Yasso Mint Chocolate Chip 8-14z</t>
  </si>
  <si>
    <t>BR Rocky Road 6 1.5QT</t>
  </si>
  <si>
    <t>Talenti Cold Brew Coffee Sorbetto 8 1PT</t>
  </si>
  <si>
    <t>BR Carbsmart IC Bars 8-6PK</t>
  </si>
  <si>
    <t>BJ R01-IC-HalfBaked-FTNG-8 458ML</t>
  </si>
  <si>
    <t>BJ US-COR-KaramelSutra-FTNG-8 1PT</t>
  </si>
  <si>
    <t>BJ US-IC-MintChocChunk-FTNG-1 2.4G</t>
  </si>
  <si>
    <t>BJ US-IC AmericoneDream-FTNG-1 2.4G</t>
  </si>
  <si>
    <t>BJ US-IC AmericoneDream-FTNG-8 1PT</t>
  </si>
  <si>
    <t>BJ US-IC-MarshmallowSky-1 2.4gal</t>
  </si>
  <si>
    <t>BR CO-B Reeses Chocolate 6 1.5QT</t>
  </si>
  <si>
    <t>BJ US-SUN-PBBlondie-8 427ml</t>
  </si>
  <si>
    <t>BJ US-COR-ChocolateChip-8 1 PT</t>
  </si>
  <si>
    <t>BJ US-IC-HalfBaked-1 2.4G</t>
  </si>
  <si>
    <t>BJ US-IC-SweetCrm+Cookies-FTNG-1 2.4G</t>
  </si>
  <si>
    <t>BR HA VAN CHOC STRAW 6-1.5QT</t>
  </si>
  <si>
    <t>Talenti Double Dark Chocolate 8 1PT</t>
  </si>
  <si>
    <t>PS OCG SF 6-18PK</t>
  </si>
  <si>
    <t>TAL LYR CHOC Chip CKE Batter 8p 311.3g</t>
  </si>
  <si>
    <t>PS Firecracker 6-18PK</t>
  </si>
  <si>
    <t>GH Chocolate Eclair Bar 8-6PK</t>
  </si>
  <si>
    <t>BR Chocolate Lava Cake 6p 1.5QT</t>
  </si>
  <si>
    <t>BR CO-B Reeses 6 1.5QT</t>
  </si>
  <si>
    <t>GH Cremsicle 1-24PK</t>
  </si>
  <si>
    <t>BR CO-B HA Reeses Chocolate 6 1.5QT</t>
  </si>
  <si>
    <t>BR Strawberry 6 1.5QT</t>
  </si>
  <si>
    <t>Talenti Vanilla Bean 8 1PT</t>
  </si>
  <si>
    <t>GH Creamsicle Bar 100 CAL 8-6PK</t>
  </si>
  <si>
    <t>BJ US-IC-MntrWndrland-8 1PT</t>
  </si>
  <si>
    <t>BJ US-IC-PeanutButterWorld-8 1PT</t>
  </si>
  <si>
    <t>BJ US-IC-PistachioPistachio-FTNG-8 1PT</t>
  </si>
  <si>
    <t>BJ US-IC-NewYrkSprFdgChnk-FTNG-8 1PT</t>
  </si>
  <si>
    <t>BJ US-IC-EverythingButThe-FTNG-8 1PT</t>
  </si>
  <si>
    <t>BJ US-IC-CoffeeBuzzBuzz-FTNG-8 1PT</t>
  </si>
  <si>
    <t>BJ US-IC-ChocTherapy-FTNG-8 1PT</t>
  </si>
  <si>
    <t>BJ US-IC-MintChocCookie-8 1PT</t>
  </si>
  <si>
    <t>BR Coffee 6 1.5QT</t>
  </si>
  <si>
    <t>Talenti CHOC Chip Cookie Dough 8 1PT</t>
  </si>
  <si>
    <t>Talenti Sea Salt Caramel 8 1PT</t>
  </si>
  <si>
    <t>GH Cookies+Cream 1-24BK OOH</t>
  </si>
  <si>
    <t>BR Strawberry Pound Cake 6p 1.5QT</t>
  </si>
  <si>
    <t>KL SAB RF NSA Vanilla Bar 12-6PK</t>
  </si>
  <si>
    <t>K4</t>
  </si>
  <si>
    <t>KL Cookies and Creme Bar 12-6PK</t>
  </si>
  <si>
    <t>BR CS Brownie A La Mode 6 1.5QT</t>
  </si>
  <si>
    <t>BR Double Cookie Crumble 6 1.5QT</t>
  </si>
  <si>
    <t>GOOD HUMOR REESE BAR 6CT</t>
  </si>
  <si>
    <t>BR CO-B HA Reeses 6 1.5QT</t>
  </si>
  <si>
    <t>Talenti Vanilla Caramel Swirl 8 1PT</t>
  </si>
  <si>
    <t>Talenti Belgian Chocolate 8 1PT</t>
  </si>
  <si>
    <t>BJ US-NDO-Milk+Cookies-8 1PT</t>
  </si>
  <si>
    <t>BJ R01-NDO-CHOCCHPCOOKDGH-8 458ML WIP</t>
  </si>
  <si>
    <t>BJ US-NDO-ChocChpCookDgh-1 2.4g</t>
  </si>
  <si>
    <t>BJ CA-NDO-CHOCCHPCOOKDGH-8 473ml</t>
  </si>
  <si>
    <t>BJ US-NDO MochaccinoChip-1 2.4Gal</t>
  </si>
  <si>
    <t>BJ US-NDO Key Lime Pie-1 2.4Gal</t>
  </si>
  <si>
    <t>BJ US-NDO-CHOC CHP COOK DGH-8 1PT</t>
  </si>
  <si>
    <t>BJ US-NDO-PhishFood-8 1PT</t>
  </si>
  <si>
    <t>BR Chocolate Truffle 6 1.5QT</t>
  </si>
  <si>
    <t>BR NSA Vanilla 6 1.5QT</t>
  </si>
  <si>
    <t>BJ US-NDO-LightsCaramelAction-8 1PT</t>
  </si>
  <si>
    <t>BJ US-NDO-TonightDough-8 1PT</t>
  </si>
  <si>
    <t>BJ US-NDOStrawbSwirl-1 2.4Gal</t>
  </si>
  <si>
    <t>BJ US-NDO-COR-KaramelSutra-8 1PT</t>
  </si>
  <si>
    <t>BJ US-NDO-MintChocCookie-8 1PT</t>
  </si>
  <si>
    <t>BJ US-NDO-CHC FG BRWN-8 1PT</t>
  </si>
  <si>
    <t>BJ US-SUN-ChocolattaChscke-8 427ML</t>
  </si>
  <si>
    <t>Talenti LYR Cookies and Cream 8 303.3g</t>
  </si>
  <si>
    <t>Talenti Southern Butter Pecan 8 1PT</t>
  </si>
  <si>
    <t>BJ US-NDO-Strawberry Chscake-8 1PT</t>
  </si>
  <si>
    <t>BJ US-NDO-CherryGarcia-8 1PT</t>
  </si>
  <si>
    <t>BR Smores Bar 8-6PK</t>
  </si>
  <si>
    <t>TAL ND Caramel Toffee Crunch 8 1PT</t>
  </si>
  <si>
    <t>Talenti Raspberry Cheesecake 8 1PT</t>
  </si>
  <si>
    <t>KL Chocolate/Chocolate Bar 12-6PK</t>
  </si>
  <si>
    <t>BR Cherry Vanilla 6 1.5QT</t>
  </si>
  <si>
    <t>MG Double Caramel Bar 1-12PK OOH</t>
  </si>
  <si>
    <t>BJ US-SUN-CookieVermontster-8 427ML</t>
  </si>
  <si>
    <t>BJ AMET-IC-ChocFudgeBrwn-FTNG-8 458ML</t>
  </si>
  <si>
    <t>BJ SORV-IC-ChocFdgBrownie-8 458ML</t>
  </si>
  <si>
    <t>BJ US-NDO-OatmealDreamPie-8 1PT</t>
  </si>
  <si>
    <t>BJ US-IC-Mango-1 2.4GAL</t>
  </si>
  <si>
    <t>BJ US-SRB-BerryExtra-1 2.4 G</t>
  </si>
  <si>
    <t>BJ SORV-IC-PhishFood-8 458ML</t>
  </si>
  <si>
    <t>BJ SORV-IC-TripleCrmlCk-8 458ML</t>
  </si>
  <si>
    <t>BJ US-IC-Milk+Cookies-FTNG-1 2.4G</t>
  </si>
  <si>
    <t>BJ SORV-COR-DoceDeleite-8 458ML</t>
  </si>
  <si>
    <t>BJ US-IC-MoussePie-8 1PT</t>
  </si>
  <si>
    <t>BJ US-IC-Impretzively Fudged-8 1PT</t>
  </si>
  <si>
    <t>BJ US-IC-PB Smore-8 1PT</t>
  </si>
  <si>
    <t>BJ US-IC-CherryGarcia-FTNG-1 2.4G</t>
  </si>
  <si>
    <t>BJ US-IC-CoffeeBuzzBuzz-FTNG-1 2.4G</t>
  </si>
  <si>
    <t>BJ US-IC-CoffeeToffeeCrunch-FTNG-8 1PT</t>
  </si>
  <si>
    <t>BR Pistachio Almond 6 1.5QT</t>
  </si>
  <si>
    <t>TAL ND LYR Blueberry Crumble 8 320.3g</t>
  </si>
  <si>
    <t>TAL Roman Raspberry 8p 473ml</t>
  </si>
  <si>
    <t>Talenti LYR Pumpkin Pie 8 297.6g</t>
  </si>
  <si>
    <t>Talenti LYR STRWBRRY Shortcake 8 297.6g</t>
  </si>
  <si>
    <t>BJ US-TOP-BossinCreamPie-8 450ML</t>
  </si>
  <si>
    <t>GH Cookies and Creme Bar 8-6PK</t>
  </si>
  <si>
    <t>BR HA French Vanilla 6 1.5QT</t>
  </si>
  <si>
    <t>BR CS Mint Cookie Fudge 6 1.5QT</t>
  </si>
  <si>
    <t>BR CS CHOC 6 1.5QT</t>
  </si>
  <si>
    <t>MG Almond Bar 1-12PK</t>
  </si>
  <si>
    <t>Yasso Coffee Chocolate Chip 8-14z</t>
  </si>
  <si>
    <t>BJ US-TOP-TIRAMISU-8 450ml</t>
  </si>
  <si>
    <t>BJ US-NDO-AmericoneDream-8 1PT</t>
  </si>
  <si>
    <t>BJ US-NDO-ChangetheWhirled-8 1PT</t>
  </si>
  <si>
    <t>BJ US-NDO-ChocCaramelBrownie-8 1PT</t>
  </si>
  <si>
    <t>BJ CA-NDO-PBHalfBaked-8 473ML</t>
  </si>
  <si>
    <t>BJ US-SRB-Lemonade-1 2.4 G</t>
  </si>
  <si>
    <t>BJ US-IC-ChunkyMonkey-FTNG-1 2.4G</t>
  </si>
  <si>
    <t>BJ US-IC-Vanilla-FTNG-1 2.4G</t>
  </si>
  <si>
    <t>BJ US-IC-ChocChpCookDgh-FTNG-1 2.4G</t>
  </si>
  <si>
    <t>BJ US-IC-PhishFood-FTNG-1 2.4G</t>
  </si>
  <si>
    <t>TAL Alphonso Mango 8p 473ml</t>
  </si>
  <si>
    <t>TAL Summer Strawberry 8p 473ml</t>
  </si>
  <si>
    <t>Talenti Caribbean Coconut 8 1PT</t>
  </si>
  <si>
    <t>Talenti Black Raspberry CHOC Chip 8 1PT</t>
  </si>
  <si>
    <t>BJ US-TOP-CHOCMilk+Cookies-8 450ML</t>
  </si>
  <si>
    <t>MG Dark 8-3PK</t>
  </si>
  <si>
    <t>MG Double Caramel Bar 6-6PK</t>
  </si>
  <si>
    <t>PS Jolly Rancher Sour 6-18PK</t>
  </si>
  <si>
    <t>KL Mint CHOC Chip 12-6PK</t>
  </si>
  <si>
    <t>BR Carbsmart Fudge Bar 8-6PK</t>
  </si>
  <si>
    <t>BJ CA-NDO-TonightDough-8 473ml</t>
  </si>
  <si>
    <t>BJ US-IC-Coffee Fudge Chip-6 828ml</t>
  </si>
  <si>
    <t>06</t>
  </si>
  <si>
    <t>TAL Strawberry Sorbetto 8 1PT</t>
  </si>
  <si>
    <t>TAL LYR Tiramisu 8p 295.2g</t>
  </si>
  <si>
    <t>BR ND CHOCOLATE 6 1.5QT</t>
  </si>
  <si>
    <t>Talenti LY Mint Fudge Cookie 8 311.8g</t>
  </si>
  <si>
    <t>BJ US-IC-Salted Caramel Almond-8 1PT</t>
  </si>
  <si>
    <t>MG Mini White Chocolate Cookies 6-6PK</t>
  </si>
  <si>
    <t>MG Milk Chocolate 8-3PK</t>
  </si>
  <si>
    <t>BJ CA-NDO-Strawberry CHZCAKE-8 473ML</t>
  </si>
  <si>
    <t>BJ US-IC Chocolate Fudge Swirl-6 828ml</t>
  </si>
  <si>
    <t>TAL ND Double Cookie Crunch 8 1PT</t>
  </si>
  <si>
    <t>BJ US-SUN-DulceDelish-8 427ML</t>
  </si>
  <si>
    <t>BJ US-TOP-PBOVERTHETOP-8 450ml</t>
  </si>
  <si>
    <t>Talenti Mediterranean Mint 8 1PT</t>
  </si>
  <si>
    <t>Talenti CHOC Peanut Butter 8 1PT</t>
  </si>
  <si>
    <t>Talenti Roman Raspberry SORB 8 1PT</t>
  </si>
  <si>
    <t>BR NSA VCS 6 1.5QT</t>
  </si>
  <si>
    <t>BJ US-IC-TonightDough-FTNG-1 2.4G</t>
  </si>
  <si>
    <t>BJ US-NDO-PB Cookie-8 1PT</t>
  </si>
  <si>
    <t>BJ US-IC-PumpkinCheesecakLTD-FTNG-8 1PT</t>
  </si>
  <si>
    <t>BJ US-IC-Chocolate-FTNG-1 2.4G</t>
  </si>
  <si>
    <t>KL SAB RF NSA Krunch Bar 12-6PK</t>
  </si>
  <si>
    <t>BJ US-TOP-RaspCheesecake-8 450ML</t>
  </si>
  <si>
    <t>GH Creamsicle Bar 1-24PK OOH</t>
  </si>
  <si>
    <t>Yasso Mint Chocolate Chip 1-24pk OOH</t>
  </si>
  <si>
    <t>BJ MX-IC-ChunkyMonkey-8 1PT</t>
  </si>
  <si>
    <t>BJ SORV-IC-HalfBaked-8 458ML</t>
  </si>
  <si>
    <t>BJ US-NDO-PBHalfBaked-8 1PT</t>
  </si>
  <si>
    <t>BJ US-IC-ButterPecan-FTNG-1 2.4G</t>
  </si>
  <si>
    <t>BJ US-IC Vanilla Fudge Brownie-6 828ml</t>
  </si>
  <si>
    <t>TAL Lemon Sorbetto 8 1PT</t>
  </si>
  <si>
    <t>Talenti Caramel Apple Pie 8 1PT</t>
  </si>
  <si>
    <t>GH Eclair 1-24BK</t>
  </si>
  <si>
    <t>BR Carbsmart Caramel Bar 8-6PK</t>
  </si>
  <si>
    <t>BJ MX-IC-CHOCCHPCOOKDGH-8 1PT</t>
  </si>
  <si>
    <t>BJ MX-IC-CherryGarcia-8 1PT</t>
  </si>
  <si>
    <t>MG Double Raspberry Bar OOH 1-12PK</t>
  </si>
  <si>
    <t>BJ CA-NDO-CHCFGBRWN-8 473ml</t>
  </si>
  <si>
    <t>BJ US-SUN-TurtleSundae-8 427ML</t>
  </si>
  <si>
    <t>BJ US-IC-DublinMudslide-8 1PT</t>
  </si>
  <si>
    <t>BR ND Cookies and Cream 6 1.5QT</t>
  </si>
  <si>
    <t>BR Smores Bar OOH 1-24PK</t>
  </si>
  <si>
    <t>KL Cookies and Creme IC SW 6-4PK</t>
  </si>
  <si>
    <t>BJ US-IC-Strawberries Cream-6 828ml</t>
  </si>
  <si>
    <t>GH Reeses IC Cup 1-24PK OOH</t>
  </si>
  <si>
    <t>BJ US-IC-Chocolate PB Split-8 1PT</t>
  </si>
  <si>
    <t>MG Mini Double Caramel RFA 6-6PK</t>
  </si>
  <si>
    <t>Talenti Peppermint Bark 8 1PT</t>
  </si>
  <si>
    <t>BR Smores SW 6-4ct</t>
  </si>
  <si>
    <t>KL Giant Original Bar 1-24PK</t>
  </si>
  <si>
    <t>BJ US-IC Honey Graham Latte-1 2.4Gal</t>
  </si>
  <si>
    <t>YSO Mint Chocolate Chip Club 1-15pk</t>
  </si>
  <si>
    <t>KL Reeses SW OOH 1-24ct</t>
  </si>
  <si>
    <t>Yasso Cookies n Cream Club 1-15pk</t>
  </si>
  <si>
    <t>BJ US-IC-CherryGarcia-FTNG-12 4FOZ</t>
  </si>
  <si>
    <t>BJ US-IC-ChocFudgBrownie-FTNG-12 4FOZ</t>
  </si>
  <si>
    <t>BJ US-IC-AmericoneDream-FTNG-12 4FOZ</t>
  </si>
  <si>
    <t>BJ US-IC-ChocChpCookDgh-FTNG-12 4FOZ</t>
  </si>
  <si>
    <t>BJ US-PUP-Pumpkincoockie 108p 4flz</t>
  </si>
  <si>
    <t>BJ US-PUP-PB Pretzel 6-4PK</t>
  </si>
  <si>
    <t>BJ US-PUP-PumpkinCookie 6-4PK</t>
  </si>
  <si>
    <t>BJ US-PUP-PB Pretzel 108p 4FOZ</t>
  </si>
  <si>
    <t>GH Reeses Candy Bar 8-6PK</t>
  </si>
  <si>
    <t>GH Almond Joy Candy Bar 8-6PK</t>
  </si>
  <si>
    <t>GH Reeses Candy Bar 18-1PK</t>
  </si>
  <si>
    <t>Yasso Sea Salt Car Poppables 10-6.84flz</t>
  </si>
  <si>
    <t>Yasso Vanilla Bean Poppables 10-6.84flz</t>
  </si>
  <si>
    <t>Yasso Coffee Poppables 10-6.84flz</t>
  </si>
  <si>
    <t>Yasso Fudge Poppables 10p 6.84flz</t>
  </si>
  <si>
    <t>Yasso Creamy Mango 8-4pk</t>
  </si>
  <si>
    <t>Yasso Strawberries n Cream 8-4pk</t>
  </si>
  <si>
    <t>Yasso Creamy Pineapple Coconut 8-4pk</t>
  </si>
  <si>
    <t>Yasso Pistachio 8-4pk</t>
  </si>
  <si>
    <t>Yasso Peanut Butter Chip 8-4pk</t>
  </si>
  <si>
    <t>Yasso Chocolate Fudge Brownie 8-4pk</t>
  </si>
  <si>
    <t>Yasso Cookies N Cream 8-4pk</t>
  </si>
  <si>
    <t>Yasso Black Raspberry Chip 8-4pk</t>
  </si>
  <si>
    <t>Yasso Chocolate Chip Cookie Dough 8-4pk</t>
  </si>
  <si>
    <t>Yasso Vanilla Chocolate Crunch 8-4pk</t>
  </si>
  <si>
    <t>Yasso PB Chocolate Crunch 8-4pk</t>
  </si>
  <si>
    <t>Yasso Caramel Chocolate Crunch 8-4pk</t>
  </si>
  <si>
    <t>Yasso Chocolate Chip Cookie Dough 8-14z</t>
  </si>
  <si>
    <t>Yasso Fudge Brownie 8-14z</t>
  </si>
  <si>
    <t>Yasso Cookies n Cream 8-14z</t>
  </si>
  <si>
    <t>BJ US-Bar-CHOCFUDGBrownie 8-4pk</t>
  </si>
  <si>
    <t>BJ US-Bar-StrawberryCHSCAKE 8-4pk</t>
  </si>
  <si>
    <t>BJ US-Bar-Cookie Dough 8-4pk</t>
  </si>
  <si>
    <t>BJ US-Bar-PB Pretzel 8-4pk</t>
  </si>
  <si>
    <t>BJ US-Bar-Caramel Blondie 8-4pk</t>
  </si>
  <si>
    <t>GH Giant Cookies and Cream Cone 1-12PK</t>
  </si>
  <si>
    <t>GH Giant King Cone 1-12PK</t>
  </si>
  <si>
    <t>Yasso Strawberry Chocolate Crunch 8-4pk</t>
  </si>
  <si>
    <t>MG Mini Double Caramel RFA 1(3) 6PK</t>
  </si>
  <si>
    <t>MG Double Caramel RFA 8(3) 3PK</t>
  </si>
  <si>
    <t>BR Carbsmart IC Bars For CS 1(3)6-PK</t>
  </si>
  <si>
    <t>BR Chocolate 6 1.5QT</t>
  </si>
  <si>
    <t>BR Natural Vanilla 6 10CT 3z</t>
  </si>
  <si>
    <t>Yasso Vanilla Bean Sandwich 8-3pk</t>
  </si>
  <si>
    <t>Yasso Cookies n Cream Sandwich 8-3pk</t>
  </si>
  <si>
    <t>GH Giant Vanilla Sandwich 1-24BK</t>
  </si>
  <si>
    <t>BR Chocolate 6 10CT 3z</t>
  </si>
  <si>
    <t>BR HA Natural Vanilla 6 10CT 3z</t>
  </si>
  <si>
    <t>Yasso Choc Chip VAN CRML Cups 1-12ct</t>
  </si>
  <si>
    <t>PS SpongeBob Facepiece 1-20PK</t>
  </si>
  <si>
    <t>PS Spiderman Facepiece 1-20PK</t>
  </si>
  <si>
    <t>PS Spiderman Facepiece 6-6PK</t>
  </si>
  <si>
    <t>PS Frozen Olaf Facepiece IH 6-6PK</t>
  </si>
  <si>
    <t>PS SpongeBob Facepiece IH 6-6PK</t>
  </si>
  <si>
    <t>PS Minions Facepiece IH 6-6PK</t>
  </si>
  <si>
    <t>PS Hello Kitty Facepiece IH 6-6PK</t>
  </si>
  <si>
    <t>PS Bluey Facepiece IH 6-6PK</t>
  </si>
  <si>
    <t>Holanda Chemisse Pineapple 8-4pk</t>
  </si>
  <si>
    <t>Holanda Chemisse Strawberry 8-4pk</t>
  </si>
  <si>
    <t>KL Cone Reeses PB Reeses Chocolate 6-8CT</t>
  </si>
  <si>
    <t>KL Cone StrwShortcake Van Chillin 6-8CT</t>
  </si>
  <si>
    <t>GH Candy center 8-6pk</t>
  </si>
  <si>
    <t>KL Cones Classic Vanilla 6-4CT</t>
  </si>
  <si>
    <t>KL Cone Cookies n Cream Vanilla 6-8CT</t>
  </si>
  <si>
    <t>KL Cones Cookies n Cream 6-4CT</t>
  </si>
  <si>
    <t>KL Cone Classic Vanilla Chocolate 6-8CT</t>
  </si>
  <si>
    <t>KL Cone Vanilla Caramel OOH 1-24ct</t>
  </si>
  <si>
    <t>KL ORIG Club Pack 1-24PK</t>
  </si>
  <si>
    <t>4th of Jul</t>
  </si>
  <si>
    <t>Labor Day</t>
  </si>
  <si>
    <t>Site</t>
  </si>
  <si>
    <t>Line</t>
  </si>
  <si>
    <t>Brand</t>
  </si>
  <si>
    <t>Tech</t>
  </si>
  <si>
    <t>Staffing 2024</t>
  </si>
  <si>
    <t>Comments</t>
  </si>
  <si>
    <t>Sikeston</t>
  </si>
  <si>
    <t>Versa 1</t>
  </si>
  <si>
    <t>PS</t>
  </si>
  <si>
    <t>DOWN</t>
  </si>
  <si>
    <t xml:space="preserve">1 day down </t>
  </si>
  <si>
    <t>KL</t>
  </si>
  <si>
    <t>1/2 day down</t>
  </si>
  <si>
    <t>1.5 daysdown</t>
  </si>
  <si>
    <t>2 days down</t>
  </si>
  <si>
    <t>2.5 days down</t>
  </si>
  <si>
    <t>KL/GH</t>
  </si>
  <si>
    <t>SP2B</t>
  </si>
  <si>
    <t>SP2D</t>
  </si>
  <si>
    <t>SL2</t>
  </si>
  <si>
    <t>MG</t>
  </si>
  <si>
    <t>3 DAYS DOWN</t>
  </si>
  <si>
    <t>SL4</t>
  </si>
  <si>
    <t>BR/MG</t>
  </si>
  <si>
    <t>Gelato/Pints</t>
  </si>
  <si>
    <t>Down</t>
  </si>
  <si>
    <t xml:space="preserve">BR </t>
  </si>
  <si>
    <t>PIC</t>
  </si>
  <si>
    <t>1 Day</t>
  </si>
  <si>
    <t>Maintenance- 5 Days</t>
  </si>
  <si>
    <t>2 Day</t>
  </si>
  <si>
    <t>1 week</t>
  </si>
  <si>
    <t>PMC- 7 Days</t>
  </si>
  <si>
    <t>Full Week</t>
  </si>
  <si>
    <t>TL</t>
  </si>
  <si>
    <t>TAL</t>
  </si>
  <si>
    <t xml:space="preserve">1 Day </t>
  </si>
  <si>
    <t xml:space="preserve">2 Day </t>
  </si>
  <si>
    <t>5 days down</t>
  </si>
  <si>
    <t>TL/BR</t>
  </si>
  <si>
    <t>GH</t>
  </si>
  <si>
    <t xml:space="preserve">MBG </t>
  </si>
  <si>
    <t>G2</t>
  </si>
  <si>
    <t xml:space="preserve">PS </t>
  </si>
  <si>
    <t>Covington</t>
  </si>
  <si>
    <t>Gram 1</t>
  </si>
  <si>
    <t>Gram 2</t>
  </si>
  <si>
    <t>Gram 3</t>
  </si>
  <si>
    <t>Gram 4</t>
  </si>
  <si>
    <t>Gram 5</t>
  </si>
  <si>
    <t>n/a</t>
  </si>
  <si>
    <t>Gram 6</t>
  </si>
  <si>
    <t>Gram 7</t>
  </si>
  <si>
    <t>Gram 8</t>
  </si>
  <si>
    <t>Gram 9</t>
  </si>
  <si>
    <t>Gram 10</t>
  </si>
  <si>
    <t>BR</t>
  </si>
  <si>
    <t>PMC- 8 Days</t>
  </si>
  <si>
    <t>Metal Detectors- 3 Days</t>
  </si>
  <si>
    <t>SS4</t>
  </si>
  <si>
    <t>St. Albans</t>
  </si>
  <si>
    <t>LINE1</t>
  </si>
  <si>
    <t>BJ</t>
  </si>
  <si>
    <t>Pints</t>
  </si>
  <si>
    <t>3 days down</t>
  </si>
  <si>
    <t>LINE2</t>
  </si>
  <si>
    <t>LINE3</t>
  </si>
  <si>
    <t>LINE4</t>
  </si>
  <si>
    <t>BJ/BR</t>
  </si>
  <si>
    <t>2.4G/3G</t>
  </si>
  <si>
    <t>LINE5</t>
  </si>
  <si>
    <t>Waterbury</t>
  </si>
  <si>
    <t>Brothers</t>
  </si>
  <si>
    <t>ES SW</t>
  </si>
  <si>
    <t>Cones</t>
  </si>
  <si>
    <t>Cups</t>
  </si>
  <si>
    <t>IMPORTS/3PM</t>
  </si>
  <si>
    <t>Italy</t>
  </si>
  <si>
    <t>Portugal</t>
  </si>
  <si>
    <t>Mexico</t>
  </si>
  <si>
    <t>MG/KL</t>
  </si>
  <si>
    <t>Canada</t>
  </si>
  <si>
    <t>EOY</t>
  </si>
  <si>
    <t>Target</t>
  </si>
  <si>
    <t>Diff</t>
  </si>
  <si>
    <t>Percent</t>
  </si>
  <si>
    <t>Must Hit</t>
  </si>
  <si>
    <t>MRF4</t>
  </si>
  <si>
    <t>Chang</t>
  </si>
  <si>
    <t>Change from 4.0 to 3.7</t>
  </si>
  <si>
    <t>YS Sticks</t>
  </si>
  <si>
    <t>Monitor 4th of Jul</t>
  </si>
  <si>
    <t>Liquidation?</t>
  </si>
  <si>
    <t>Liquidation</t>
  </si>
  <si>
    <t>YS Poppable</t>
  </si>
  <si>
    <t>YS Sandwiches</t>
  </si>
  <si>
    <t>Reviewing</t>
  </si>
  <si>
    <t>Total</t>
  </si>
  <si>
    <t>GAP</t>
  </si>
  <si>
    <t>Approx Pallet</t>
  </si>
  <si>
    <t>Pallets</t>
  </si>
  <si>
    <t>In Year</t>
  </si>
  <si>
    <t>Supply In</t>
  </si>
  <si>
    <t>Source</t>
  </si>
  <si>
    <t xml:space="preserve"> Innovation</t>
  </si>
  <si>
    <t># of sku's</t>
  </si>
  <si>
    <t>No</t>
  </si>
  <si>
    <t>MX</t>
  </si>
  <si>
    <t>Holanda</t>
  </si>
  <si>
    <t>TK</t>
  </si>
  <si>
    <t>Candy Center</t>
  </si>
  <si>
    <t xml:space="preserve">MX </t>
  </si>
  <si>
    <t>Reeses OOH</t>
  </si>
  <si>
    <t>2025 Innovations</t>
  </si>
  <si>
    <t>Jolly Rancher Sour</t>
  </si>
  <si>
    <t>SMOG/Other</t>
  </si>
  <si>
    <t>DOH Target</t>
  </si>
  <si>
    <t>Over/Under</t>
  </si>
  <si>
    <t>Inv</t>
  </si>
  <si>
    <t>Cases ov/un</t>
  </si>
  <si>
    <t>DOH</t>
  </si>
  <si>
    <t>BW</t>
  </si>
  <si>
    <t>TGT</t>
  </si>
  <si>
    <t>Going to Simcoe</t>
  </si>
  <si>
    <t>SMOG</t>
  </si>
  <si>
    <t>BJ Mixed</t>
  </si>
  <si>
    <t>GH Cones</t>
  </si>
  <si>
    <t>MG Mini</t>
  </si>
  <si>
    <t>MG Full</t>
  </si>
  <si>
    <t>Adjusted  to have more in Q1, then reduced Q4 as we need to control in 2026</t>
  </si>
  <si>
    <t>Total IC</t>
  </si>
  <si>
    <t>YS Club</t>
  </si>
  <si>
    <t>For Above</t>
  </si>
  <si>
    <t>Check &amp; Balance</t>
  </si>
  <si>
    <t>Prod</t>
  </si>
  <si>
    <t>For Prod &amp; DmdTabs</t>
  </si>
  <si>
    <t>mg mini dep demand</t>
  </si>
  <si>
    <t>MG double car dep demand</t>
  </si>
  <si>
    <t>Yasso</t>
  </si>
  <si>
    <t>w/out Yasso</t>
  </si>
  <si>
    <t>FP</t>
  </si>
  <si>
    <t>Attainment/Run Rate Call out</t>
  </si>
  <si>
    <t>Gram 1 (MBG)</t>
  </si>
  <si>
    <t>24/7</t>
  </si>
  <si>
    <t>24/5</t>
  </si>
  <si>
    <t>L2</t>
  </si>
  <si>
    <t>200K per week</t>
  </si>
  <si>
    <t>Gram 4 (MBG)</t>
  </si>
  <si>
    <t>Alignment on bites crewing post conversion</t>
  </si>
  <si>
    <t>St Albans</t>
  </si>
  <si>
    <t>L1</t>
  </si>
  <si>
    <t>110K per week</t>
  </si>
  <si>
    <t>Gram 11</t>
  </si>
  <si>
    <t>Flex crew with PG</t>
  </si>
  <si>
    <t>N/A</t>
  </si>
  <si>
    <t>110k per week</t>
  </si>
  <si>
    <t>L5</t>
  </si>
  <si>
    <t>110k-140K TBD</t>
  </si>
  <si>
    <t>L3</t>
  </si>
  <si>
    <t>60% Utilized</t>
  </si>
  <si>
    <t>Opp for 24.5 if no Carbsmart</t>
  </si>
  <si>
    <t>L4</t>
  </si>
  <si>
    <t>Get back to 290K per week factoring in Defrosts &amp; PM's</t>
  </si>
  <si>
    <t>24/6</t>
  </si>
  <si>
    <t>Flex</t>
  </si>
  <si>
    <t>24/5 on startup</t>
  </si>
  <si>
    <t>290K is the new rate mark
Up from 280</t>
  </si>
  <si>
    <t>SP2</t>
  </si>
  <si>
    <t>Assuming 65% OEE vs 70% as ambition</t>
  </si>
  <si>
    <t>Attain %</t>
  </si>
  <si>
    <t>3 Gal</t>
  </si>
  <si>
    <t>BR Cups</t>
  </si>
  <si>
    <t>CS PTS</t>
  </si>
  <si>
    <t>EFW Exports</t>
  </si>
  <si>
    <t>ELS</t>
  </si>
  <si>
    <t>ETC</t>
  </si>
  <si>
    <t>FRUTTARE</t>
  </si>
  <si>
    <t>Gelato</t>
  </si>
  <si>
    <t>MBG FB</t>
  </si>
  <si>
    <t>Oreo Cone (MX)</t>
  </si>
  <si>
    <t>PS MBG</t>
  </si>
  <si>
    <t>Pups</t>
  </si>
  <si>
    <t>Repack Cones</t>
  </si>
  <si>
    <t>Pup WIP</t>
  </si>
  <si>
    <t>PUP FG</t>
  </si>
  <si>
    <t>Repack Gelato</t>
  </si>
  <si>
    <t>Shakes</t>
  </si>
  <si>
    <t>Shots</t>
  </si>
  <si>
    <t>Snowcones</t>
  </si>
  <si>
    <t xml:space="preserve">TAL </t>
  </si>
  <si>
    <t>Viennetta</t>
  </si>
  <si>
    <t>Bandwidth to Aug</t>
  </si>
  <si>
    <t>Growth to Support</t>
  </si>
  <si>
    <t>Leaving 5% for supply</t>
  </si>
  <si>
    <t>EOY Phys Cases</t>
  </si>
  <si>
    <t>wk output</t>
  </si>
  <si>
    <t>Dif</t>
  </si>
  <si>
    <t>High</t>
  </si>
  <si>
    <t>Gain</t>
  </si>
  <si>
    <t>Gain Cases</t>
  </si>
  <si>
    <t>Notes</t>
  </si>
  <si>
    <t>Assumption</t>
  </si>
  <si>
    <t>Pot Opps</t>
  </si>
  <si>
    <t>2025 lV</t>
  </si>
  <si>
    <t>Vs Target</t>
  </si>
  <si>
    <t>SR</t>
  </si>
  <si>
    <t>Go</t>
  </si>
  <si>
    <t>No Down through Aug
1.0M Oct-Dec</t>
  </si>
  <si>
    <t>Only if for IC Inventory</t>
  </si>
  <si>
    <t>Hold</t>
  </si>
  <si>
    <t>Hybrid, no downtime to Aug
No CM Cancellation
No 24/5 Staffing</t>
  </si>
  <si>
    <t>24/5 Staff 7/1 (cs XXXX)</t>
  </si>
  <si>
    <t>Action</t>
  </si>
  <si>
    <t>Slightly less in SR as this is a lever we must pull at EOY as needed</t>
  </si>
  <si>
    <t>3A</t>
  </si>
  <si>
    <t>1 Lane Oct-Dec on 3A</t>
  </si>
  <si>
    <t>Memoral / 4th</t>
  </si>
  <si>
    <r>
      <rPr>
        <b/>
        <sz val="11"/>
        <color theme="1"/>
        <rFont val="Calibri"/>
        <family val="2"/>
        <scheme val="minor"/>
      </rPr>
      <t>All BW is really in Jul/Aug</t>
    </r>
    <r>
      <rPr>
        <sz val="11"/>
        <color theme="1"/>
        <rFont val="Calibri"/>
        <family val="2"/>
        <scheme val="minor"/>
      </rPr>
      <t xml:space="preserve">
Nov production 2 of 3 lines down</t>
    </r>
  </si>
  <si>
    <t>Look at exports in Q4 (115k cases)
Canada export</t>
  </si>
  <si>
    <t>35M pcs assuming weighted avg of 24pc per case</t>
  </si>
  <si>
    <t>Demand Growth</t>
  </si>
  <si>
    <t>DFA Sept-Oct  (300 to 600K)</t>
  </si>
  <si>
    <t>31 m Pcs at  32pcs per</t>
  </si>
  <si>
    <t>24/7 MBG</t>
  </si>
  <si>
    <t>24/5 MBG</t>
  </si>
  <si>
    <t>GDI Q4 (100-600K) or COV PM plan</t>
  </si>
  <si>
    <t>139PG &amp; 34JR &amp; 45Fudg=218 m pcs at 108pc per case</t>
  </si>
  <si>
    <t>Gram 7 starting May</t>
  </si>
  <si>
    <t>Shift 24/7 Crew off line (30k/ month)</t>
  </si>
  <si>
    <t>IH 30.5M &amp; OOH 7.5M</t>
  </si>
  <si>
    <t>Does not have improved rates</t>
  </si>
  <si>
    <t>Last production April</t>
  </si>
  <si>
    <t>14.4m pcs</t>
  </si>
  <si>
    <t>Lean in on reducing (200k cases YTG)</t>
  </si>
  <si>
    <t>Q4</t>
  </si>
  <si>
    <t>Monitor</t>
  </si>
  <si>
    <t>Prebuild to support 7% growth in 2026</t>
  </si>
  <si>
    <t>Reduction of Q4 prebuild for '26 (150k)</t>
  </si>
  <si>
    <t>24/5 in May</t>
  </si>
  <si>
    <t>400k cases</t>
  </si>
  <si>
    <t>MBG IH</t>
  </si>
  <si>
    <t>OOH</t>
  </si>
  <si>
    <t>FP IH</t>
  </si>
  <si>
    <t>FP OOH</t>
  </si>
  <si>
    <t>DU</t>
  </si>
  <si>
    <t>DU Description</t>
  </si>
  <si>
    <t>Numerator</t>
  </si>
  <si>
    <t>Denominator</t>
  </si>
  <si>
    <t>Liters per case</t>
  </si>
  <si>
    <t>BR Dulce de Leche 6 1.5QT</t>
  </si>
  <si>
    <t>MG Double Gold Caramel 1-12PK</t>
  </si>
  <si>
    <t>GH Reese Bar 8-6PK</t>
  </si>
  <si>
    <t>BR CHOCOLATE 6 10ct 3z</t>
  </si>
  <si>
    <t>BR NATURAL VANILLA 6 10CT 3z</t>
  </si>
  <si>
    <t>MG Double Caramel RFA 1-12BK</t>
  </si>
  <si>
    <t>MG Almond 1-12BK</t>
  </si>
  <si>
    <t>MG Almond OOH 1-12BK</t>
  </si>
  <si>
    <t>MG Double Caramel OOH 1-12BK</t>
  </si>
  <si>
    <t>BJ US-CD-Half Baked Dough-8 6z</t>
  </si>
  <si>
    <t>PS SF OCG 1-32PK</t>
  </si>
  <si>
    <t>BJ US-CD-CCCD-FTNG-8 8z</t>
  </si>
  <si>
    <t>BJ US-CD-PBMix-8 8z</t>
  </si>
  <si>
    <t>BJ US-CD-SugarCookieDough-8 8z</t>
  </si>
  <si>
    <t>BJ US-CD-Smores-8 8z</t>
  </si>
  <si>
    <t>MG Mini Double Caramel 6-6PK</t>
  </si>
  <si>
    <t>MG Mini Almond RFA 6-6PK</t>
  </si>
  <si>
    <t>MG Mini Classic RFA 6-6PK</t>
  </si>
  <si>
    <t>MG Mini Classic/Almond/WhiteVP RFA 6-6PK</t>
  </si>
  <si>
    <t>MG Mini Dark Chocolate Truffle 6-6PK</t>
  </si>
  <si>
    <t>TAL NV Alphonso Mango Sorbetto Bar 6-6PK</t>
  </si>
  <si>
    <t>TAL NV Roman RASPBRRY Sorbetto Bar 6-6PK</t>
  </si>
  <si>
    <t>MG Double Caramel 6-6PK</t>
  </si>
  <si>
    <t>TAL NV Summer STRWBRY Sorbetto Bar 6-6Pk</t>
  </si>
  <si>
    <t>MG DB Gold Caramel 8-3PK</t>
  </si>
  <si>
    <t>MG Double Gold Caramel 8-3PK</t>
  </si>
  <si>
    <t>KL Mrs Fields Sandwich 1-12BK</t>
  </si>
  <si>
    <t>MG Double Caramel 8-3PK</t>
  </si>
  <si>
    <t>MG Double Chocolate 8-3PK</t>
  </si>
  <si>
    <t>MG Double Raspberry 8-3PK</t>
  </si>
  <si>
    <t>MG Dark RFA 8-3PK</t>
  </si>
  <si>
    <t>MG Double Caramel RFA 8-3PK</t>
  </si>
  <si>
    <t>MG Double Chocolate RFA 8-3PK</t>
  </si>
  <si>
    <t>GH Reeses 1-24BK</t>
  </si>
  <si>
    <t>GH GIANT KING CONE 1-12PK</t>
  </si>
  <si>
    <t>GH CHOC Eclair Bar 1-24PK OOH</t>
  </si>
  <si>
    <t>GH Oreo Cookies+Cream Bar 1-24BK</t>
  </si>
  <si>
    <t>GH Premium Vanilla Bar 1-24BK</t>
  </si>
  <si>
    <t>GH STRAW Shortcake Bar 1-24PK OOH</t>
  </si>
  <si>
    <t>GH Cookies+Cream 1-24BK</t>
  </si>
  <si>
    <t>KL Oreo Ice Cream Sandwich 6-4PK</t>
  </si>
  <si>
    <t>GH Giant Oreo Cone 1-12PK</t>
  </si>
  <si>
    <t>GH Original 4z 1-24BK</t>
  </si>
  <si>
    <t>KL OREO SANDWICH 1-24BK 4.5z</t>
  </si>
  <si>
    <t>KL ORIG CLUB PACK 1-24PK</t>
  </si>
  <si>
    <t>Talenti LYR Lemon Berry Pie 8 289.1g</t>
  </si>
  <si>
    <t>Talenti LYR Confetti Cookie 8 292g</t>
  </si>
  <si>
    <t>BJ AMET-IC-PhishFood-FTNG-8 458ML</t>
  </si>
  <si>
    <t>BJ SORV-IC-StrawCheesecake-8 458ML</t>
  </si>
  <si>
    <t>BJ US-IC-Netflix+Chillld-8 1PT</t>
  </si>
  <si>
    <t>BJ US-ND-ChcFgBrwn-8 1PT</t>
  </si>
  <si>
    <t>BJ US-ND-CherryGarcia-8 1PT</t>
  </si>
  <si>
    <t>BJ US-ND-ChocChpCookDgh-8 1PT</t>
  </si>
  <si>
    <t>BJ US-ND-COR-KaramelSutra-8 1PT</t>
  </si>
  <si>
    <t>BJ US-ND-LightsCaramelAction-8 1PT</t>
  </si>
  <si>
    <t>BJ US-ND-OatmealDreamPie-8 1PT</t>
  </si>
  <si>
    <t>BJ US-ND-PBCookie-8 1PT</t>
  </si>
  <si>
    <t>BJ US-NDS-Milk+Cookies-8 1PT</t>
  </si>
  <si>
    <t>BR HA Pint IC Vanilla 8 1PT</t>
  </si>
  <si>
    <t>BR OREO 8 1PT</t>
  </si>
  <si>
    <t>Talenti LYR Coffee Cookie CRMBL 8 300.5g</t>
  </si>
  <si>
    <t>Talenti Key Lime Pie 8 1PT</t>
  </si>
  <si>
    <t>TAL Zesty Lemon Sorbetto 8 1PT</t>
  </si>
  <si>
    <t>TAL Summer Strawberry Sorbetto 8 1PT</t>
  </si>
  <si>
    <t>BJ US IC-Phish Food 8 1PT w/REC CUP</t>
  </si>
  <si>
    <t>BJ US IC-STRWBRY CHSCK 8 1 PT w/REC CUP</t>
  </si>
  <si>
    <t>BJ US-COR-BoomChoc-FTNG-8 1PT</t>
  </si>
  <si>
    <t>BJ US-IC AmericoneDream-FH-8 1PT</t>
  </si>
  <si>
    <t>BJ US-IC- OatOfThisSwirled -8 1PT</t>
  </si>
  <si>
    <t>BJ US-IC-Cannoli-8 1PT</t>
  </si>
  <si>
    <t>BJ US-IC-CherryGarcia-FH-8 1PT</t>
  </si>
  <si>
    <t>BJ US-IC-ChocChpCookDgh-FH-8 1PT</t>
  </si>
  <si>
    <t>BJ US-IC-ChocFudgBrownie-FH-8 1PT</t>
  </si>
  <si>
    <t>BJ US-IC-ChunkyMonkey-FH-8 1PT</t>
  </si>
  <si>
    <t>BJ US-IC-HalfBaked-FH-8 1PT</t>
  </si>
  <si>
    <t>BJ US-IC-Punchline-8 1PT LTD</t>
  </si>
  <si>
    <t>BJ US-IC-TonightDough-FH-8 1PT</t>
  </si>
  <si>
    <t>BJ US-ND-AmericoneDream-8 1PT</t>
  </si>
  <si>
    <t>BJ US-ND-PBHalfBaked-8 1PT</t>
  </si>
  <si>
    <t>BJ US-ND-PhishFood-8 1PT</t>
  </si>
  <si>
    <t>BJ US-NDS-MintChocCookie-8 1PT</t>
  </si>
  <si>
    <t>BJ US-ND-TonightDough-8 1PT</t>
  </si>
  <si>
    <t>BR VANILLA 8 1PT</t>
  </si>
  <si>
    <t>TAL Alphonso Mango Sorbetto (Df) 8p 1PT</t>
  </si>
  <si>
    <t>TAL Roman Raspberry SORB 8 1PT</t>
  </si>
  <si>
    <t>Talenti Caramel Cookie Crunch 8p 1PT</t>
  </si>
  <si>
    <t>Talenti Choc Chip Cook Dough 8 1PT</t>
  </si>
  <si>
    <t>Talenti Choc Peanut Butter 8 1PT</t>
  </si>
  <si>
    <t>Talenti Coffee Choc Chip 8 1PT</t>
  </si>
  <si>
    <t>Talenti LY CH Cherry Cheesecake 8 306.1g</t>
  </si>
  <si>
    <t>Talenti LYR Strwbrry Shortcake 8 297.6g</t>
  </si>
  <si>
    <t>Talenti Pacific Coast Pistachio 8-1PT</t>
  </si>
  <si>
    <t>PS Scribblers 6-18PK</t>
  </si>
  <si>
    <t>GH STRAW SHORTCAKE BAR 8-6PK</t>
  </si>
  <si>
    <t>GH CHOCOLATE ECLAIR BAR 8-6PK</t>
  </si>
  <si>
    <t>PS FIrecracker 6-18PK</t>
  </si>
  <si>
    <t>PS SF TROPICAL 6-18PK</t>
  </si>
  <si>
    <t>KL Cone Caramel Vanilla Caramel 6-8CT</t>
  </si>
  <si>
    <t>KL Cone Classic Vanilla Chocolate 6-8ct</t>
  </si>
  <si>
    <t>KLONDIKE REESES CONE MPK 6X8X111ML</t>
  </si>
  <si>
    <t>KL Vanilla Sandwich 8-6pk</t>
  </si>
  <si>
    <t>BR HA MINT CHOC CHIP 6 1.5QT</t>
  </si>
  <si>
    <t>KL SAB RF NSA KRUNCH BAR 12-6PK</t>
  </si>
  <si>
    <t>KL SAB RF NSA VANILLA BAR 12-6PK</t>
  </si>
  <si>
    <t>BR CHC CHP CKE DGH 6 1.5QT</t>
  </si>
  <si>
    <t>BR CHERRY VANILLA 6 1.5QT</t>
  </si>
  <si>
    <t>BR CHOC CHIP 6 1.5QT</t>
  </si>
  <si>
    <t>BR CHOC PEANUT BUTTER 6 1.5QT</t>
  </si>
  <si>
    <t>BR CHOCOLATE 6-1.5 QT</t>
  </si>
  <si>
    <t>BR CO-B HA Oreo 6 1.5QT</t>
  </si>
  <si>
    <t>BR CO-B Snickers 6 1.5QT</t>
  </si>
  <si>
    <t>BR COFFEE 6 1.5QT</t>
  </si>
  <si>
    <t>BR COOKIES AND CREAM 6 1.5QT</t>
  </si>
  <si>
    <t>BR CS VANILLA 6 1.5QT</t>
  </si>
  <si>
    <t>BR HA STRAWBERRY 6-1.5 QT</t>
  </si>
  <si>
    <t>BR HA VAN CHOC STRAW 6 1.5QT</t>
  </si>
  <si>
    <t>BR HOMEMADE VAN 6-1.5 QT</t>
  </si>
  <si>
    <t>BR LACTOSE FR VAN 6 1.5QT</t>
  </si>
  <si>
    <t>BR NSA VANILLA 6 1.5QT</t>
  </si>
  <si>
    <t>BR ROCKY ROAD 6 1.5QT</t>
  </si>
  <si>
    <t>BR XCRMY CHOCOLATE 6 1.5 QT</t>
  </si>
  <si>
    <t>BR XCRMY VANILLA 6 1.5QT</t>
  </si>
  <si>
    <t>KL HEATH BAR 12-6PK</t>
  </si>
  <si>
    <t>KL MINT CHOC CHIP 12-6PK</t>
  </si>
  <si>
    <t>KL OREO BAR LIGHT 12-6PK</t>
  </si>
  <si>
    <t>BR CO-B NY STYLE CHEESECAKE 6 1.5QT</t>
  </si>
  <si>
    <t>BR French Vanilla 6 1.5QT</t>
  </si>
  <si>
    <t>BR HA NAT Vanilla 6 1.5 QT</t>
  </si>
  <si>
    <t>BR M+M 6 1.5QT</t>
  </si>
  <si>
    <t>BR ND Oreo 6 1.5QT</t>
  </si>
  <si>
    <t>BJ US-IC-ChocTherapy-FTNG-1 2.4G</t>
  </si>
  <si>
    <t>BJ US-IC-TripleCaramlChnk-FTNG-1 2.4G</t>
  </si>
  <si>
    <t>BJ US-ND-ChocChpCookDgh-1 2.4g</t>
  </si>
  <si>
    <t>BJ US-TOP-DirtCake-1 2.4gal</t>
  </si>
  <si>
    <t>KL ORIGINAL VANILLA BAR 12-6PK</t>
  </si>
  <si>
    <t>KL CHOCOLATE/CHOCOLATE BAR 12-6PK</t>
  </si>
  <si>
    <t>KL DARK CHOCOLATE BAR 12-6PK</t>
  </si>
  <si>
    <t>KL KRUNCH BAR 12-6PK</t>
  </si>
  <si>
    <t>MG Double Caramel OOH 1-12PK</t>
  </si>
  <si>
    <t>BJ Choc Chk Ckie Btr 6 6 LB</t>
  </si>
  <si>
    <t>BJ Nat Fdg Brwni Btr 6 6 LB</t>
  </si>
  <si>
    <t>PS Buzz Lightyear IH 6-6PK</t>
  </si>
  <si>
    <t>TAL LYR Italian Tiramisu 8-1pt</t>
  </si>
  <si>
    <t>MG Classic 8-3PK</t>
  </si>
  <si>
    <t>Holanda Solero Lime 8-4pk</t>
  </si>
  <si>
    <t>BR ND Chocolate 6 1.5QT</t>
  </si>
  <si>
    <t>PS Transformers Facepiece IH 6-6PK</t>
  </si>
  <si>
    <t>Yasso Real Fruit Strawberry 8-4pk</t>
  </si>
  <si>
    <t>Yasso Real Fruit Mango 8-4pk</t>
  </si>
  <si>
    <t>Yasso Cookies N Cream Sandwich 7-3pk</t>
  </si>
  <si>
    <t>Yasso Peanut Butter Sandwich 7-3pk</t>
  </si>
  <si>
    <t>YSO Mint Chocolate Chip Club 1-12pk</t>
  </si>
  <si>
    <t>BJ US-IC-TurtleSundae-1 2.4Gal</t>
  </si>
  <si>
    <t>BJ US-IC Ultraviolet-1 2.4Gal</t>
  </si>
  <si>
    <t>BJ US-IC-ChocCoveredStrawb-8 1PT LTD</t>
  </si>
  <si>
    <t>pG</t>
  </si>
  <si>
    <t>PS Minions Facepiece 1-20PK</t>
  </si>
  <si>
    <t>Solero Lem citrus mpk USA 8x4x65ml</t>
  </si>
  <si>
    <t>Holanda Chem Straw-Cocon USA 8x4x65ml</t>
  </si>
  <si>
    <t>Holanda Chem Pineap-Cocon USA 8x4x65ml</t>
  </si>
  <si>
    <t>BJ US-IC-FudgyFlan-8 1PT LTD</t>
  </si>
  <si>
    <t>Sweet Summits IC Vanilla 1 3GAL</t>
  </si>
  <si>
    <t>Sweet Summits IC Chocolate 1 3GAL</t>
  </si>
  <si>
    <t>Sweet Summits IC Strawberry 1 3GAL</t>
  </si>
  <si>
    <t>Sweet Summits IC Choco Taco 1 3GAL</t>
  </si>
  <si>
    <t>BJ US-IC-Mixed 12PK</t>
  </si>
  <si>
    <t>PS Creamsicle Bar 1-24BK 118ML</t>
  </si>
  <si>
    <t>Yasso Chocolate Chip Cookie Dough 8-14Z</t>
  </si>
  <si>
    <t>Yasso Fudge Brownie 8-14Z</t>
  </si>
  <si>
    <t>Yasso Mint Chocolate Chip 8-14Z</t>
  </si>
  <si>
    <t>TAL LYR Banana Pudding 8p 1pt</t>
  </si>
  <si>
    <t>TAL LYR Lemon Meringue Pie 8p 1pt</t>
  </si>
  <si>
    <t>BJ R01-SUN-ChocolottaCHSCKE-8 427ML</t>
  </si>
  <si>
    <t>BJ R01-SUN-CookieVermontster-8 427ml</t>
  </si>
  <si>
    <t>GH Reeses Candy Bar 1-24PK</t>
  </si>
  <si>
    <t>BR Strawberry Shortcake 8 1PT</t>
  </si>
  <si>
    <t>BR Almond Joy 8 1PT</t>
  </si>
  <si>
    <t>Description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</si>
  <si>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</si>
  <si>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</si>
  <si>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</si>
  <si>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</si>
  <si>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</si>
  <si>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</si>
  <si>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</si>
  <si>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</si>
  <si>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</si>
  <si>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</si>
  <si>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</si>
  <si>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</si>
  <si>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B&amp;J Export Pts</t>
  </si>
  <si>
    <t>B&amp;J Export Bulk</t>
  </si>
  <si>
    <t>B&amp;J Export Cups</t>
  </si>
  <si>
    <t>B&amp;J Pups WIP Pret</t>
  </si>
  <si>
    <t>B&amp;J Pups WIP Pumpkin</t>
  </si>
  <si>
    <t>Liquidation/SMOG</t>
  </si>
  <si>
    <t>C&amp;C 8ct on Blocked</t>
  </si>
  <si>
    <t>Couble Chock via Retail</t>
  </si>
  <si>
    <t>BR Hershey Smores 6 1.5QT</t>
  </si>
  <si>
    <t>PS Spiderman FP</t>
  </si>
  <si>
    <t>PS Olaf</t>
  </si>
  <si>
    <t>PS Baby Yoda</t>
  </si>
  <si>
    <t xml:space="preserve">TAL LYR Choc Chip CKE Batter 8-1pt </t>
  </si>
  <si>
    <t>KL Smores SW</t>
  </si>
  <si>
    <t>BR ND VANILLA 6 1.5QT</t>
  </si>
  <si>
    <t>PS JR Sour</t>
  </si>
  <si>
    <t>-BJ US-IC-PB Smore-8 1PT</t>
  </si>
  <si>
    <t>J US-IC-ChurrayForChurros-8 1PT</t>
  </si>
  <si>
    <t>GH Oreo Bar 8-6pk</t>
  </si>
  <si>
    <t>BJ US-IC VANILLA FUDGE BROWNIE-6 828ml </t>
  </si>
  <si>
    <t>TAL LYR Snickerdoodle CKE 8-1pt</t>
  </si>
  <si>
    <t>BJ US-IC CHOCOLATE FUDGE SWIRL-6 828ml </t>
  </si>
  <si>
    <t>BJ US-IC-STRAWBERRIES CREAM-6 828ml </t>
  </si>
  <si>
    <t>BR Hershey Smores 8-1PT</t>
  </si>
  <si>
    <t>BJ US-IC-COFFEE FUDGE CHIP-6 828ml </t>
  </si>
  <si>
    <t>GH Hershey Smores</t>
  </si>
  <si>
    <t>BJ US-TOP-DevilsFoodCake-8 450ML</t>
  </si>
  <si>
    <t>KL Reeses SW 1-24 BK</t>
  </si>
  <si>
    <t>KL Strawberry SS Cone</t>
  </si>
  <si>
    <t>PS Transformers</t>
  </si>
  <si>
    <t>BJ US-NDS-ChangetheWhirled-8 1PT</t>
  </si>
  <si>
    <t>BJ SORV-SRB-Lemonade-1 8.95L</t>
  </si>
  <si>
    <t>BJ US-PUP-PumpkinCookie 108p 4FOZ</t>
  </si>
  <si>
    <t>BR Smores SW</t>
  </si>
  <si>
    <t>KL Cone BDay/ChocCrumble Cake 6-8CT</t>
  </si>
  <si>
    <t>PS Buzz</t>
  </si>
  <si>
    <t>2904MG Sticks</t>
  </si>
  <si>
    <t>Sum of Cases post Attain</t>
  </si>
  <si>
    <t>FY</t>
  </si>
  <si>
    <t>Sum of Pallets post Attain</t>
  </si>
  <si>
    <t>135248oz</t>
  </si>
  <si>
    <t>135264oz</t>
  </si>
  <si>
    <t>1352EDF</t>
  </si>
  <si>
    <t>1352EFW</t>
  </si>
  <si>
    <t>1352MBG</t>
  </si>
  <si>
    <t>1352PG</t>
  </si>
  <si>
    <t>290448oz</t>
  </si>
  <si>
    <t>2904CS PTS</t>
  </si>
  <si>
    <t>2904EDF</t>
  </si>
  <si>
    <t>2904ESS</t>
  </si>
  <si>
    <t>2904MBG</t>
  </si>
  <si>
    <t>2904PG</t>
  </si>
  <si>
    <t>2904PTS</t>
  </si>
  <si>
    <t>2904TAL NV</t>
  </si>
  <si>
    <t>2904TALENTI</t>
  </si>
  <si>
    <t>2904TOPPED</t>
  </si>
  <si>
    <t>3910ESS</t>
  </si>
  <si>
    <t>3910Facepieces</t>
  </si>
  <si>
    <t>5911PTS Exports</t>
  </si>
  <si>
    <t>59142.4 Gal</t>
  </si>
  <si>
    <t>59143 Gal</t>
  </si>
  <si>
    <t>5914B&amp;J Cups</t>
  </si>
  <si>
    <t>5914B&amp;J Dog Treat</t>
  </si>
  <si>
    <t>5914Cup Exports</t>
  </si>
  <si>
    <t>5914PTS Exports</t>
  </si>
  <si>
    <t>6706BR Minicups</t>
  </si>
  <si>
    <t>6706FB Cones</t>
  </si>
  <si>
    <t>6706Giant SW</t>
  </si>
  <si>
    <t>CorluKL Mini Cones</t>
  </si>
  <si>
    <t>IncomFacepieces</t>
  </si>
  <si>
    <t>St IriaKing Cone (PT)</t>
  </si>
  <si>
    <t>St IriaViennetta</t>
  </si>
  <si>
    <t>TultitlanKL Mini Cones</t>
  </si>
  <si>
    <t>TultitlanKL Sandwiches</t>
  </si>
  <si>
    <t>TultitlanMG Sticks</t>
  </si>
  <si>
    <t>2904BJ PTS</t>
  </si>
  <si>
    <t>5911BJ PTS</t>
  </si>
  <si>
    <t>5914BJ PTS</t>
  </si>
  <si>
    <t>GloucesterMG Sticks ND</t>
  </si>
  <si>
    <t>CaivanoMG Sticks ND</t>
  </si>
  <si>
    <t>3985B&amp;J Dog Treat - Repack</t>
  </si>
  <si>
    <t>HellendoornBJ PTS</t>
  </si>
  <si>
    <t>3985Repack MG Sticks</t>
  </si>
  <si>
    <t>Rhino/HollipacDough Bites</t>
  </si>
  <si>
    <t>CorluMG Sticks</t>
  </si>
  <si>
    <t>670648oz</t>
  </si>
  <si>
    <t>3961FB Cones</t>
  </si>
  <si>
    <t>3910PG</t>
  </si>
  <si>
    <t>3962Facepieces</t>
  </si>
  <si>
    <t>6706PTS</t>
  </si>
  <si>
    <t>3985Repack BJ Pints</t>
  </si>
  <si>
    <t>3985TALENTI</t>
  </si>
  <si>
    <t>1461Dough Bites</t>
  </si>
  <si>
    <t>#N/A</t>
  </si>
  <si>
    <t>TultitlanESS</t>
  </si>
  <si>
    <t>IncomKL Mini Cones</t>
  </si>
  <si>
    <t>IncomESS</t>
  </si>
  <si>
    <t>IncomKing Cone (PT)</t>
  </si>
  <si>
    <t>CaivanoKL Mini Cones</t>
  </si>
  <si>
    <t>CaivanoESS</t>
  </si>
  <si>
    <t>CorluESS</t>
  </si>
  <si>
    <t>CorluFacepieces</t>
  </si>
  <si>
    <t>CorluMG Sticks ND</t>
  </si>
  <si>
    <t>TultitlanFacepieces</t>
  </si>
  <si>
    <t>FG Cases</t>
  </si>
  <si>
    <t>FG WAC</t>
  </si>
  <si>
    <t>NFG</t>
  </si>
  <si>
    <t>Total NA</t>
  </si>
  <si>
    <t>FG Value</t>
  </si>
  <si>
    <t>Projection</t>
  </si>
  <si>
    <t>US</t>
  </si>
  <si>
    <t>2025 Final</t>
  </si>
  <si>
    <t>KL Reeses PB Bar 1-24BK</t>
  </si>
  <si>
    <t>GH King Cone Giant VAN CHOC 1-12PK</t>
  </si>
  <si>
    <t>PS Bluey Facepiece OOH 1-20PK</t>
  </si>
  <si>
    <t>BR Reeses Mini Cups 1-12PK</t>
  </si>
  <si>
    <t>PS Twister Club 1-15pk</t>
  </si>
  <si>
    <t>BJ US-IC CCCD 6(3) 1PT</t>
  </si>
  <si>
    <t>Talenti Mediterranean Mint 8p 473ml</t>
  </si>
  <si>
    <t>Talenti Caramel Cookie Crunch 8p 473ml</t>
  </si>
  <si>
    <t>YASSO CHOCOLATE CHIP COOKIE DOUGH 8-4PK</t>
  </si>
  <si>
    <t>YASSO CHOCOLATE FUDGE BROWNIE 8-4PK</t>
  </si>
  <si>
    <t>YASSO STRAWBERRIES N CREAM 8-4PK</t>
  </si>
  <si>
    <t>YASSO PISTACHIO 8-4PK</t>
  </si>
  <si>
    <t>KL REESES SW OOH 1-24CT</t>
  </si>
  <si>
    <t>Yasso Peanut Butter Sandwich 8-3pk</t>
  </si>
  <si>
    <t>GH Reeses IC Cup 1-24BK OOH</t>
  </si>
  <si>
    <t>YASSO VANILLA BEAN SANDWICH 7-3PK</t>
  </si>
  <si>
    <t>PS Grogu Facepiece IH 6-6PK</t>
  </si>
  <si>
    <t>YASSO FUDGE POPPABLES 10P 6.84FLZ</t>
  </si>
  <si>
    <t>Holanda Magnum MiniAlm Mpk 6x6x55ML</t>
  </si>
  <si>
    <t>Holanda Magnum Alm 12x90ML</t>
  </si>
  <si>
    <t>CV530</t>
  </si>
  <si>
    <t>CV532</t>
  </si>
  <si>
    <t>CV531</t>
  </si>
  <si>
    <t>CV644</t>
  </si>
  <si>
    <t>CV533</t>
  </si>
  <si>
    <t>CV540</t>
  </si>
  <si>
    <t>CV648</t>
  </si>
  <si>
    <t>CV640</t>
  </si>
  <si>
    <t>CV643</t>
  </si>
  <si>
    <t>CV646</t>
  </si>
  <si>
    <t>CV641</t>
  </si>
  <si>
    <t>CV649</t>
  </si>
  <si>
    <t>CV572</t>
  </si>
  <si>
    <t>CV650</t>
  </si>
  <si>
    <t>3PM Dummy Constraint</t>
  </si>
  <si>
    <t>BJ US-BAR-Cookie Dough OOH 8-4pk</t>
  </si>
  <si>
    <t>NoRouting</t>
  </si>
  <si>
    <t>GH King Cone GINT Cookies and CRM 1-12PK</t>
  </si>
  <si>
    <t>04SS-2</t>
  </si>
  <si>
    <t>04SS-1</t>
  </si>
  <si>
    <t>04SPRL2A</t>
  </si>
  <si>
    <t>04SPRL3B</t>
  </si>
  <si>
    <t>04SPIRL1</t>
  </si>
  <si>
    <t>BJ R01-SUN-StrawBaeShortcake-8 427ML</t>
  </si>
  <si>
    <t>04GRAM-1</t>
  </si>
  <si>
    <t>04GRAM-2</t>
  </si>
  <si>
    <t>04BT2</t>
  </si>
  <si>
    <t>04STRLN1</t>
  </si>
  <si>
    <t>04SPRL3A</t>
  </si>
  <si>
    <t>04SS-3</t>
  </si>
  <si>
    <t>04VERSA1</t>
  </si>
  <si>
    <t>04STRLN4</t>
  </si>
  <si>
    <t>04STRLN2</t>
  </si>
  <si>
    <t>04BT1</t>
  </si>
  <si>
    <t>MG Bars Dubai Chocolate 1-12pk</t>
  </si>
  <si>
    <t>11LINE02</t>
  </si>
  <si>
    <t>14LINE04</t>
  </si>
  <si>
    <t>14LINE02</t>
  </si>
  <si>
    <t>BJ US-IC Black RASP Fudge Chunk-1 2.4gal</t>
  </si>
  <si>
    <t>14LINE01</t>
  </si>
  <si>
    <t>14LINE05</t>
  </si>
  <si>
    <t>BJ US-IC-Honey Graham Latte-8 1PT LTD</t>
  </si>
  <si>
    <t>3B</t>
  </si>
  <si>
    <t>Resiliancy</t>
  </si>
  <si>
    <t>WAT</t>
  </si>
  <si>
    <t xml:space="preserve">Candy </t>
  </si>
  <si>
    <t>Twister</t>
  </si>
  <si>
    <t>Candy Center,</t>
  </si>
  <si>
    <t>CS Repack</t>
  </si>
  <si>
    <t>Giant Vanilla</t>
  </si>
  <si>
    <t>G11</t>
  </si>
  <si>
    <t>TURKEYHILL</t>
  </si>
  <si>
    <t>Facepiece SMOG</t>
  </si>
  <si>
    <t>Cones SMOG</t>
  </si>
  <si>
    <t>Deman</t>
  </si>
  <si>
    <t>Demand &amp; Being Discontinued</t>
  </si>
  <si>
    <t>Still assuming 10 weeks down</t>
  </si>
  <si>
    <t>MRF11</t>
  </si>
  <si>
    <t>Avg Inv</t>
  </si>
  <si>
    <t>Old</t>
  </si>
  <si>
    <t>To USD w/ Old</t>
  </si>
  <si>
    <t>LN 2</t>
  </si>
  <si>
    <t>05</t>
  </si>
  <si>
    <t>01/28/2026</t>
  </si>
  <si>
    <t>01/30/2026</t>
  </si>
  <si>
    <t>02/03/2026</t>
  </si>
  <si>
    <t>02/06/2026</t>
  </si>
  <si>
    <t>02/10/2026</t>
  </si>
  <si>
    <t>02/13/2026</t>
  </si>
  <si>
    <t>02/18/2026</t>
  </si>
  <si>
    <t>02/05/2026</t>
  </si>
  <si>
    <t>02/09/2026</t>
  </si>
  <si>
    <t>01/29/2026</t>
  </si>
  <si>
    <t>01/31/2026</t>
  </si>
  <si>
    <t>02/04/2026</t>
  </si>
  <si>
    <t>02/12/2026</t>
  </si>
  <si>
    <t>02/16/2026</t>
  </si>
  <si>
    <t>02/17/2026</t>
  </si>
  <si>
    <t>02/19/2026</t>
  </si>
  <si>
    <t>02/20/2026</t>
  </si>
  <si>
    <t>02/11/2026</t>
  </si>
  <si>
    <t>02/02/2026</t>
  </si>
  <si>
    <t>PS Orange Regular IH 6-12pk</t>
  </si>
  <si>
    <t>PS SF Cherry IH 6-12pk</t>
  </si>
  <si>
    <t>PS Soccer Ball IH 1-12pk</t>
  </si>
  <si>
    <t>MG Bars Dubai Chocolate 8-3pk</t>
  </si>
  <si>
    <t>POPSICLE OS MPK 6X12X48.8ML</t>
  </si>
  <si>
    <t>TAL NV Dark Chocolate Gelato Bar 6-6PK</t>
  </si>
  <si>
    <t>Talenti LYR Chocolate Pretzel 8 309g</t>
  </si>
  <si>
    <t>GH Reeses Club IC Cup 1-24PK</t>
  </si>
  <si>
    <t>BR VAN FDG TWRL 6 1.5QT</t>
  </si>
  <si>
    <t>BR Americana 6 1.5QT</t>
  </si>
  <si>
    <t>Sept</t>
  </si>
  <si>
    <t>TMICC</t>
  </si>
  <si>
    <t>Actuals</t>
  </si>
  <si>
    <t>Actual</t>
  </si>
  <si>
    <t>System</t>
  </si>
  <si>
    <t>CM Imports</t>
  </si>
  <si>
    <t>Reeses at Schwann's</t>
  </si>
  <si>
    <t>Manual RCCP</t>
  </si>
  <si>
    <t>GDI I have both system and your manual</t>
  </si>
  <si>
    <t>Incom I have both system and your manual</t>
  </si>
  <si>
    <t>2026 MRF2</t>
  </si>
  <si>
    <t>Done</t>
  </si>
  <si>
    <t>MRF1</t>
  </si>
  <si>
    <t>Sum of Case post attain</t>
  </si>
  <si>
    <t>No Major Change</t>
  </si>
  <si>
    <t>YS Club in MISC</t>
  </si>
  <si>
    <t>New BR pts</t>
  </si>
  <si>
    <t>Supp</t>
  </si>
  <si>
    <t>BR Reeses</t>
  </si>
  <si>
    <t>Final Number</t>
  </si>
  <si>
    <t>Bars / Bites Volume NOT INCLUDED</t>
  </si>
  <si>
    <t>CM Derecog</t>
  </si>
  <si>
    <t>Provision</t>
  </si>
  <si>
    <t>Tariff</t>
  </si>
  <si>
    <t>Target/Attain used</t>
  </si>
  <si>
    <t>Euro Conv</t>
  </si>
  <si>
    <t>Proj</t>
  </si>
  <si>
    <t>2026 MRF3</t>
  </si>
  <si>
    <t>MRF2</t>
  </si>
  <si>
    <t>Yasso Vanilla Bean Sandwich 7-3pk</t>
  </si>
  <si>
    <t>BJ US-IC CCCD 3p 1PT</t>
  </si>
  <si>
    <t>BJ Pints Depend Demand - Mixed Pallet</t>
  </si>
  <si>
    <t>MG Mini Repack 1(3)</t>
  </si>
  <si>
    <t>BR CS (1(3)</t>
  </si>
  <si>
    <t/>
  </si>
  <si>
    <t>2</t>
  </si>
  <si>
    <t>10GLC1</t>
  </si>
  <si>
    <t>BR US CarbSmart Vanilla IH 6 1.5QT</t>
  </si>
  <si>
    <t>10SS1</t>
  </si>
  <si>
    <t>BR US CarbSmart CHOC IH 6 1.5QT</t>
  </si>
  <si>
    <t>48oz Misc Deman</t>
  </si>
  <si>
    <t xml:space="preserve">Done </t>
  </si>
  <si>
    <t>Added EOY due to Sku'</t>
  </si>
  <si>
    <t>march was doubling</t>
  </si>
  <si>
    <t>couldn’t see why so removed MTG</t>
  </si>
  <si>
    <t>Q4 MVM not in demand but in supply</t>
  </si>
  <si>
    <t>At CM's</t>
  </si>
  <si>
    <t>Imports Delay</t>
  </si>
  <si>
    <t>CM PO's</t>
  </si>
  <si>
    <t xml:space="preserve"> -   </t>
  </si>
  <si>
    <t xml:space="preserve"> YS Club </t>
  </si>
  <si>
    <t>PRIOR Month</t>
  </si>
  <si>
    <t>6-12pks</t>
  </si>
  <si>
    <t>SP1 Resiliance</t>
  </si>
  <si>
    <t>CA FG</t>
  </si>
  <si>
    <t>CA NFG</t>
  </si>
  <si>
    <t>CA Other</t>
  </si>
  <si>
    <t>Total CA</t>
  </si>
  <si>
    <t>CA FG Cases</t>
  </si>
  <si>
    <t>Cs</t>
  </si>
  <si>
    <t>Value</t>
  </si>
  <si>
    <t>WAC</t>
  </si>
  <si>
    <t>Global GP</t>
  </si>
  <si>
    <t>CA Target</t>
  </si>
  <si>
    <t>NFG Target</t>
  </si>
  <si>
    <t>Balance</t>
  </si>
  <si>
    <t>SCC's MRF2</t>
  </si>
  <si>
    <t>Bias/GAP</t>
  </si>
  <si>
    <t>New BR Pts</t>
  </si>
  <si>
    <t>828ml SMOG</t>
  </si>
  <si>
    <t>Yasso OOH 1-24</t>
  </si>
  <si>
    <t>Demand and Inventory</t>
  </si>
  <si>
    <t>Demand Related</t>
  </si>
  <si>
    <t>Vs PV</t>
  </si>
  <si>
    <t>At TMICc</t>
  </si>
  <si>
    <t>Totla</t>
  </si>
  <si>
    <t>AT TMICC</t>
  </si>
  <si>
    <t>SCC's LV</t>
  </si>
  <si>
    <t>SCC's MRF1</t>
  </si>
  <si>
    <t>SCC's MRF12</t>
  </si>
  <si>
    <t>MAT DI</t>
  </si>
  <si>
    <t>SCC MRF3</t>
  </si>
  <si>
    <t>MRF3</t>
  </si>
  <si>
    <t>UL Sites</t>
  </si>
  <si>
    <t>Vs Prior</t>
  </si>
  <si>
    <t>%</t>
  </si>
  <si>
    <t>Peak</t>
  </si>
  <si>
    <t>2026 LV</t>
  </si>
  <si>
    <t>Pallet Positions</t>
  </si>
  <si>
    <t>Tonnage Recap</t>
  </si>
  <si>
    <t>Inventory</t>
  </si>
  <si>
    <t>With CM, Intransit, &amp; Club volume we would be at 126 internally, just above 124</t>
  </si>
  <si>
    <t>vs YAG</t>
  </si>
  <si>
    <t>SCC's</t>
  </si>
  <si>
    <t>Error in calculation in MRF1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</si>
</sst>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.000"/>
    <numFmt numFmtId="168" formatCode="[$-409]d\-mmm\-yy;@"/>
    <numFmt numFmtId="169" formatCode="0.0%"/>
    <numFmt numFmtId="170" formatCode="[$-409]mmmm\ d\,\ yyyy;@"/>
    <numFmt numFmtId="171" formatCode="0.0"/>
    <numFmt numFmtId="172" formatCode="_(#,##0.0_);\(#,##0.0\);_(&quot;-&quot;_)"/>
    <numFmt numFmtId="173" formatCode="_)d\-mmm\-yy_);_)d\-mmm\-yy_);_)&quot;-&quot;_)"/>
    <numFmt numFmtId="174" formatCode="_(###0_);\(###0\);_(&quot;-&quot;_)"/>
    <numFmt numFmtId="175" formatCode="[$-409]h:mm:ss\ AM/PM"/>
    <numFmt numFmtId="176" formatCode="0.0_)\%;\(0.0\)\%;0.0_)\%;@_)_%"/>
    <numFmt numFmtId="177" formatCode="#,##0.0_)_%;\(#,##0.0\)_%;0.0_)_%;@_)_%"/>
    <numFmt numFmtId="178" formatCode="#,##0.0_);\(#,##0.0\);#,##0.0_);@_)"/>
    <numFmt numFmtId="179" formatCode="&quot;$&quot;_(#,##0.00_);&quot;$&quot;\(#,##0.00\);&quot;$&quot;_(0.00_);@_)"/>
    <numFmt numFmtId="180" formatCode="#,##0.00_);\(#,##0.00\);0.00_);@_)"/>
    <numFmt numFmtId="181" formatCode="\€_(#,##0.00_);\€\(#,##0.00\);\€_(0.00_);@_)"/>
    <numFmt numFmtId="182" formatCode="#,##0_)\x;\(#,##0\)\x;0_)\x;@_)_x"/>
    <numFmt numFmtId="183" formatCode="#,##0_)_x;\(#,##0\)_x;0_)_x;@_)_x"/>
    <numFmt numFmtId="184" formatCode="#,##0.0%;[Red]\(#,##0.0\)%"/>
    <numFmt numFmtId="185" formatCode="#,##0.00_);[Red]\(#,##0.0\)"/>
    <numFmt numFmtId="186" formatCode="#,##0.00&quot;£&quot;_);\(#,##0.00&quot;£&quot;\)"/>
    <numFmt numFmtId="187" formatCode="General_)"/>
    <numFmt numFmtId="188" formatCode="_ * #,##0_)&quot;£&quot;_ ;_ * \(#,##0\)&quot;£&quot;_ ;_ * &quot;-&quot;_)&quot;£&quot;_ ;_ @_ "/>
    <numFmt numFmtId="189" formatCode="_ * #,##0_)_£_ ;_ * \(#,##0\)_£_ ;_ * &quot;-&quot;_)_£_ ;_ @_ "/>
    <numFmt numFmtId="190" formatCode="_ * #,##0.00_)&quot;£&quot;_ ;_ * \(#,##0.00\)&quot;£&quot;_ ;_ * &quot;-&quot;??_)&quot;£&quot;_ ;_ @_ "/>
    <numFmt numFmtId="191" formatCode="0.00_);\(0.00\)"/>
    <numFmt numFmtId="192" formatCode="&quot;£&quot;#,##0;\-&quot;£&quot;#,##0"/>
    <numFmt numFmtId="193" formatCode="mmmm\ d\,\ yyyy"/>
    <numFmt numFmtId="194" formatCode="_-* #,##0\ _D_M_-;\-* #,##0\ _D_M_-;_-* &quot;-&quot;\ _D_M_-;_-@_-"/>
    <numFmt numFmtId="195" formatCode="_-* #,##0.00\ _D_M_-;\-* #,##0.00\ _D_M_-;_-* &quot;-&quot;??\ _D_M_-;_-@_-"/>
    <numFmt numFmtId="196" formatCode="_([$€-2]* #,##0.00_);_([$€-2]* \(#,##0.00\);_([$€-2]* &quot;-&quot;??_)"/>
    <numFmt numFmtId="197" formatCode="mmm\-d\-yyyy"/>
    <numFmt numFmtId="198" formatCode="#,##0.000_);[Red]\(#,##0.00\)"/>
    <numFmt numFmtId="199" formatCode="_ * #,##0.00_ ;_ * \-#,##0.00_ ;_ * &quot;-&quot;??_ ;_ @_ "/>
    <numFmt numFmtId="200" formatCode="#,##0.0"/>
    <numFmt numFmtId="201" formatCode="_-&quot;£&quot;* #,##0_-;\-&quot;£&quot;* #,##0_-;_-&quot;£&quot;* &quot;-&quot;_-;_-@_-"/>
    <numFmt numFmtId="202" formatCode="#,##0.0000;\-#,##0.0000"/>
    <numFmt numFmtId="203" formatCode="#,##0.0\ _P_t_a;[Red]\-#,##0.0\ _P_t_a"/>
    <numFmt numFmtId="204" formatCode="0.00%;[Red]\(\-0.00%\)"/>
    <numFmt numFmtId="205" formatCode="#,##0.00&quot;£&quot;_);[Red]\(#,##0.00&quot;£&quot;\)"/>
    <numFmt numFmtId="206" formatCode="#,##0.0_);[Red]\(#,##0.0\)"/>
    <numFmt numFmtId="207" formatCode="_-* #,##0.00\ _m_k_-;\-* #,##0.00\ _m_k_-;_-* &quot;-&quot;??\ _m_k_-;_-@_-"/>
    <numFmt numFmtId="208" formatCode="hh:mm\ AM/PM"/>
    <numFmt numFmtId="209" formatCode="_-* #,##0\ _m_k_-;\-* #,##0\ _m_k_-;_-* &quot;-&quot;\ _m_k_-;_-@_-"/>
    <numFmt numFmtId="210" formatCode="_-* #,##0\ &quot;mk&quot;_-;\-* #,##0\ &quot;mk&quot;_-;_-* &quot;-&quot;\ &quot;mk&quot;_-;_-@_-"/>
    <numFmt numFmtId="211" formatCode="#,##0;[Red]\(#,##0\)"/>
    <numFmt numFmtId="212" formatCode="#,##0&quot;£&quot;_);[Red]\(#,##0&quot;£&quot;\)"/>
    <numFmt numFmtId="213" formatCode="0.0000%"/>
    <numFmt numFmtId="214" formatCode="0.0000000E+00;\͐"/>
    <numFmt numFmtId="215" formatCode="#,##0.000_);\(#,##0.000\)"/>
    <numFmt numFmtId="216" formatCode="_ * #,##0.00_)_£_ ;_ * \(#,##0.00\)_£_ ;_ * &quot;-&quot;??_)_£_ ;_ @_ "/>
    <numFmt numFmtId="217" formatCode="#,##0\ &quot;F&quot;;\-#,##0\ &quot;F&quot;"/>
    <numFmt numFmtId="218" formatCode="&quot;£&quot;#,##0.00"/>
    <numFmt numFmtId="219" formatCode="_-&quot;£&quot;* #,##0.00_-;\-&quot;£&quot;* #,##0.00_-;_-&quot;£&quot;* &quot;-&quot;??_-;_-@_-"/>
    <numFmt numFmtId="220" formatCode="_-* #,##0.00\ &quot;mk&quot;_-;\-* #,##0.00\ &quot;mk&quot;_-;_-* &quot;-&quot;??\ &quot;mk&quot;_-;_-@_-"/>
    <numFmt numFmtId="221" formatCode="_-* #,##0\ &quot;DM&quot;_-;\-* #,##0\ &quot;DM&quot;_-;_-* &quot;-&quot;\ &quot;DM&quot;_-;_-@_-"/>
    <numFmt numFmtId="222" formatCode="_-* #,##0.00\ &quot;DM&quot;_-;\-* #,##0.00\ &quot;DM&quot;_-;_-* &quot;-&quot;??\ &quot;DM&quot;_-;_-@_-"/>
    <numFmt numFmtId="223" formatCode="_(* #,##0.000000_);_(* \(#,##0.000000\);_(* &quot;-&quot;??_);_(@_)"/>
    <numFmt numFmtId="224" formatCode="_(* #,##0.00000_);_(* \(#,##0.00000\);_(* &quot;-&quot;??_);_(@_)"/>
    <numFmt numFmtId="225" formatCode="_(* #,##0.0_);_(* \(#,##0.0\);_(* &quot;-&quot;??_);_(@_)"/>
    <numFmt numFmtId="226" formatCode="_([$€-2]\ * #,##0.00_);_([$€-2]\ * \(#,##0.00\);_([$€-2]\ * &quot;-&quot;??_);_(@_)"/>
    <numFmt numFmtId="227" formatCode="_(* #,##0.000000_);_(* \(#,##0.000000\);_(* &quot;-&quot;??????_);_(@_)"/>
    <numFmt numFmtId="228" formatCode="_(* #,##0.0000_);_(* \(#,##0.0000\);_(* &quot;-&quot;??_);_(@_)"/>
    <numFmt numFmtId="229" formatCode="_([$€-2]\ * #,##0_);_([$€-2]\ * \(#,##0\);_([$€-2]\ * &quot;-&quot;??_);_(@_)"/>
    <numFmt numFmtId="230" formatCode="0.00000"/>
    <numFmt numFmtId="231" formatCode="_(* #,##0.0_);_(* \(#,##0.0\);_(* &quot;-&quot;?_);_(@_)"/>
    <numFmt numFmtId="232" formatCode="_([$€-2]\ * #,##0.0_);_([$€-2]\ * \(#,##0.0\);_([$€-2]\ * &quot;-&quot;??_);_(@_)"/>
    <numFmt numFmtId="233" formatCode="_(* #,##0.000_);_(* \(#,##0.000\);_(* &quot;-&quot;??_);_(@_)"/>
  </numFmts>
  <fonts count="1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0"/>
      <color rgb="FF006100"/>
      <name val="Calibri"/>
      <family val="2"/>
      <scheme val="minor"/>
    </font>
    <font>
      <sz val="10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9C0006"/>
      <name val="Arial"/>
      <family val="2"/>
    </font>
    <font>
      <b/>
      <sz val="12"/>
      <color rgb="FFFA7D00"/>
      <name val="Arial"/>
      <family val="2"/>
    </font>
    <font>
      <b/>
      <sz val="12"/>
      <color theme="0"/>
      <name val="Arial"/>
      <family val="2"/>
    </font>
    <font>
      <sz val="11"/>
      <color indexed="8"/>
      <name val="Calibri"/>
      <family val="2"/>
    </font>
    <font>
      <i/>
      <sz val="12"/>
      <color rgb="FF7F7F7F"/>
      <name val="Arial"/>
      <family val="2"/>
    </font>
    <font>
      <sz val="12"/>
      <color rgb="FF006100"/>
      <name val="Arial"/>
      <family val="2"/>
    </font>
    <font>
      <b/>
      <sz val="15"/>
      <color theme="3"/>
      <name val="Arial"/>
      <family val="2"/>
    </font>
    <font>
      <b/>
      <sz val="10"/>
      <name val="Cambria"/>
      <family val="2"/>
      <scheme val="major"/>
    </font>
    <font>
      <b/>
      <sz val="13"/>
      <color theme="3"/>
      <name val="Arial"/>
      <family val="2"/>
    </font>
    <font>
      <b/>
      <sz val="9"/>
      <name val="Cambria"/>
      <family val="2"/>
      <scheme val="major"/>
    </font>
    <font>
      <b/>
      <sz val="11"/>
      <color theme="3"/>
      <name val="Arial"/>
      <family val="2"/>
    </font>
    <font>
      <b/>
      <sz val="8"/>
      <name val="Cambria"/>
      <family val="2"/>
      <scheme val="major"/>
    </font>
    <font>
      <sz val="8"/>
      <name val="Cambria"/>
      <family val="2"/>
      <scheme val="major"/>
    </font>
    <font>
      <b/>
      <sz val="10"/>
      <color indexed="56"/>
      <name val="Wingdings"/>
      <charset val="2"/>
    </font>
    <font>
      <b/>
      <u/>
      <sz val="8"/>
      <color indexed="56"/>
      <name val="Calibri"/>
      <family val="2"/>
      <scheme val="minor"/>
    </font>
    <font>
      <sz val="12"/>
      <color rgb="FF3F3F76"/>
      <name val="Arial"/>
      <family val="2"/>
    </font>
    <font>
      <sz val="12"/>
      <color rgb="FFFA7D00"/>
      <name val="Arial"/>
      <family val="2"/>
    </font>
    <font>
      <b/>
      <sz val="12"/>
      <name val="Cambria"/>
      <family val="2"/>
      <scheme val="major"/>
    </font>
    <font>
      <sz val="12"/>
      <color rgb="FF9C6500"/>
      <name val="Arial"/>
      <family val="2"/>
    </font>
    <font>
      <b/>
      <sz val="12"/>
      <color rgb="FF3F3F3F"/>
      <name val="Arial"/>
      <family val="2"/>
    </font>
    <font>
      <b/>
      <sz val="14"/>
      <name val="Cambria"/>
      <family val="2"/>
      <scheme val="major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0"/>
      <name val="MS Sans Serif"/>
      <family val="2"/>
    </font>
    <font>
      <sz val="10"/>
      <name val="Helv"/>
    </font>
    <font>
      <sz val="10"/>
      <name val="Helv"/>
      <charset val="204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Helv"/>
      <family val="2"/>
    </font>
    <font>
      <sz val="11"/>
      <color indexed="9"/>
      <name val="Calibri"/>
      <family val="2"/>
    </font>
    <font>
      <u/>
      <sz val="10"/>
      <name val="Arial"/>
      <family val="2"/>
    </font>
    <font>
      <sz val="8"/>
      <color indexed="8"/>
      <name val="Calibri"/>
      <family val="2"/>
    </font>
    <font>
      <sz val="10"/>
      <name val="Frutiger 55 Roman"/>
      <family val="2"/>
    </font>
    <font>
      <sz val="9"/>
      <name val="Times New Roman"/>
      <family val="1"/>
    </font>
    <font>
      <sz val="10"/>
      <color indexed="61"/>
      <name val="Arial MT"/>
    </font>
    <font>
      <b/>
      <sz val="8"/>
      <name val="Arial"/>
      <family val="2"/>
    </font>
    <font>
      <sz val="10"/>
      <color theme="1"/>
      <name val="Arial"/>
      <family val="2"/>
    </font>
    <font>
      <sz val="10"/>
      <name val="MS Serif"/>
      <family val="1"/>
    </font>
    <font>
      <b/>
      <sz val="10"/>
      <color indexed="8"/>
      <name val="Tahoma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10"/>
      <name val="Tahoma"/>
      <family val="2"/>
    </font>
    <font>
      <b/>
      <sz val="12"/>
      <name val="Arial"/>
      <family val="2"/>
    </font>
    <font>
      <u/>
      <sz val="5"/>
      <color indexed="36"/>
      <name val="Frutiger 55 Roman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sz val="10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i/>
      <sz val="16"/>
      <name val="Helv"/>
    </font>
    <font>
      <sz val="12"/>
      <color theme="1"/>
      <name val="Calibri"/>
      <family val="2"/>
      <scheme val="minor"/>
    </font>
    <font>
      <sz val="11"/>
      <name val="Gill Sans MT"/>
      <family val="2"/>
    </font>
    <font>
      <b/>
      <sz val="11"/>
      <color indexed="16"/>
      <name val="Times New Roman"/>
      <family val="1"/>
    </font>
    <font>
      <b/>
      <sz val="10"/>
      <name val="MS Sans Serif"/>
      <family val="2"/>
    </font>
    <font>
      <sz val="14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b/>
      <i/>
      <sz val="10"/>
      <color indexed="8"/>
      <name val="Courier"/>
      <family val="3"/>
    </font>
    <font>
      <b/>
      <sz val="18"/>
      <color indexed="62"/>
      <name val="Cambria"/>
      <family val="2"/>
    </font>
    <font>
      <sz val="12"/>
      <name val="Arial MT"/>
    </font>
    <font>
      <sz val="8"/>
      <color indexed="39"/>
      <name val="Arial"/>
      <family val="2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11"/>
      <color indexed="8"/>
      <name val="Arial"/>
      <family val="2"/>
    </font>
    <font>
      <b/>
      <sz val="11"/>
      <color indexed="39"/>
      <name val="Arial"/>
      <family val="2"/>
    </font>
    <font>
      <sz val="9"/>
      <color indexed="39"/>
      <name val="Arial"/>
      <family val="2"/>
    </font>
    <font>
      <b/>
      <sz val="11"/>
      <color indexed="10"/>
      <name val="Arial"/>
      <family val="2"/>
    </font>
    <font>
      <b/>
      <sz val="11"/>
      <color indexed="33"/>
      <name val="Arial"/>
      <family val="2"/>
    </font>
    <font>
      <b/>
      <sz val="11"/>
      <color indexed="9"/>
      <name val="Arial"/>
      <family val="2"/>
    </font>
    <font>
      <b/>
      <sz val="8"/>
      <color indexed="8"/>
      <name val="Helv"/>
    </font>
    <font>
      <sz val="11"/>
      <name val="Arial"/>
      <family val="2"/>
    </font>
    <font>
      <sz val="8"/>
      <color indexed="10"/>
      <name val="Arial Narrow"/>
      <family val="2"/>
    </font>
    <font>
      <b/>
      <sz val="10"/>
      <name val="Arial MT"/>
      <family val="2"/>
    </font>
    <font>
      <sz val="10"/>
      <name val="Geneva"/>
    </font>
    <font>
      <sz val="11"/>
      <name val="–¾’©"/>
      <family val="3"/>
      <charset val="128"/>
    </font>
    <font>
      <u/>
      <sz val="10"/>
      <color theme="1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0000"/>
      <name val="Calibri"/>
      <family val="2"/>
    </font>
    <font>
      <sz val="9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rgb="FF000000"/>
      <name val="Calibri"/>
      <family val="2"/>
      <scheme val="minor"/>
    </font>
    <font>
      <sz val="8"/>
      <name val="Arial"/>
      <family val="2"/>
    </font>
    <font>
      <sz val="11"/>
      <color theme="0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Aptos Narrow"/>
      <family val="2"/>
    </font>
    <font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14"/>
        <bgColor indexed="64"/>
      </patternFill>
    </fill>
    <fill>
      <patternFill patternType="solid">
        <fgColor indexed="9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auto="1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15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168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4" borderId="4" applyNumberFormat="0" applyFont="0" applyAlignment="0" applyProtection="0"/>
    <xf numFmtId="0" fontId="1" fillId="4" borderId="4" applyNumberFormat="0" applyFont="0" applyAlignment="0" applyProtection="0"/>
    <xf numFmtId="0" fontId="1" fillId="4" borderId="4" applyNumberFormat="0" applyFont="0" applyAlignment="0" applyProtection="0"/>
    <xf numFmtId="0" fontId="1" fillId="4" borderId="4" applyNumberFormat="0" applyFont="0" applyAlignment="0" applyProtection="0"/>
    <xf numFmtId="0" fontId="1" fillId="4" borderId="4" applyNumberFormat="0" applyFont="0" applyAlignment="0" applyProtection="0"/>
    <xf numFmtId="0" fontId="1" fillId="4" borderId="4" applyNumberFormat="0" applyFont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  <xf numFmtId="0" fontId="12" fillId="0" borderId="21" applyNumberFormat="0" applyFill="0" applyAlignment="0" applyProtection="0"/>
    <xf numFmtId="0" fontId="13" fillId="0" borderId="22" applyNumberFormat="0" applyFill="0" applyAlignment="0" applyProtection="0"/>
    <xf numFmtId="0" fontId="14" fillId="0" borderId="23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24" applyNumberFormat="0" applyAlignment="0" applyProtection="0"/>
    <xf numFmtId="0" fontId="19" fillId="21" borderId="25" applyNumberFormat="0" applyAlignment="0" applyProtection="0"/>
    <xf numFmtId="0" fontId="20" fillId="21" borderId="24" applyNumberFormat="0" applyAlignment="0" applyProtection="0"/>
    <xf numFmtId="0" fontId="21" fillId="0" borderId="26" applyNumberFormat="0" applyFill="0" applyAlignment="0" applyProtection="0"/>
    <xf numFmtId="0" fontId="22" fillId="22" borderId="27" applyNumberFormat="0" applyAlignment="0" applyProtection="0"/>
    <xf numFmtId="0" fontId="23" fillId="0" borderId="0" applyNumberFormat="0" applyFill="0" applyBorder="0" applyAlignment="0" applyProtection="0"/>
    <xf numFmtId="0" fontId="1" fillId="4" borderId="4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10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0" fillId="34" borderId="0" applyNumberFormat="0" applyBorder="0" applyAlignment="0" applyProtection="0"/>
    <xf numFmtId="0" fontId="25" fillId="0" borderId="0"/>
    <xf numFmtId="0" fontId="26" fillId="0" borderId="0"/>
    <xf numFmtId="0" fontId="27" fillId="0" borderId="0"/>
    <xf numFmtId="0" fontId="30" fillId="0" borderId="0"/>
    <xf numFmtId="0" fontId="32" fillId="0" borderId="0"/>
    <xf numFmtId="0" fontId="33" fillId="0" borderId="0"/>
    <xf numFmtId="0" fontId="1" fillId="0" borderId="0"/>
    <xf numFmtId="0" fontId="37" fillId="5" borderId="0" applyNumberFormat="0" applyBorder="0" applyAlignment="0" applyProtection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170" fontId="1" fillId="0" borderId="0"/>
    <xf numFmtId="0" fontId="3" fillId="0" borderId="0"/>
    <xf numFmtId="0" fontId="63" fillId="0" borderId="0"/>
    <xf numFmtId="190" fontId="3" fillId="0" borderId="0" applyFill="0" applyBorder="0" applyAlignment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17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37" fillId="5" borderId="0" applyNumberFormat="0" applyBorder="0" applyAlignment="0" applyProtection="0"/>
    <xf numFmtId="0" fontId="37" fillId="7" borderId="0" applyNumberFormat="0" applyBorder="0" applyAlignment="0" applyProtection="0"/>
    <xf numFmtId="0" fontId="37" fillId="9" borderId="0" applyNumberFormat="0" applyBorder="0" applyAlignment="0" applyProtection="0"/>
    <xf numFmtId="0" fontId="37" fillId="11" borderId="0" applyNumberFormat="0" applyBorder="0" applyAlignment="0" applyProtection="0"/>
    <xf numFmtId="0" fontId="37" fillId="13" borderId="0" applyNumberFormat="0" applyBorder="0" applyAlignment="0" applyProtection="0"/>
    <xf numFmtId="0" fontId="37" fillId="15" borderId="0" applyNumberFormat="0" applyBorder="0" applyAlignment="0" applyProtection="0"/>
    <xf numFmtId="0" fontId="37" fillId="6" borderId="0" applyNumberFormat="0" applyBorder="0" applyAlignment="0" applyProtection="0"/>
    <xf numFmtId="0" fontId="37" fillId="8" borderId="0" applyNumberFormat="0" applyBorder="0" applyAlignment="0" applyProtection="0"/>
    <xf numFmtId="0" fontId="37" fillId="10" borderId="0" applyNumberFormat="0" applyBorder="0" applyAlignment="0" applyProtection="0"/>
    <xf numFmtId="0" fontId="37" fillId="12" borderId="0" applyNumberFormat="0" applyBorder="0" applyAlignment="0" applyProtection="0"/>
    <xf numFmtId="0" fontId="37" fillId="14" borderId="0" applyNumberFormat="0" applyBorder="0" applyAlignment="0" applyProtection="0"/>
    <xf numFmtId="0" fontId="37" fillId="16" borderId="0" applyNumberFormat="0" applyBorder="0" applyAlignment="0" applyProtection="0"/>
    <xf numFmtId="0" fontId="38" fillId="24" borderId="0" applyNumberFormat="0" applyBorder="0" applyAlignment="0" applyProtection="0"/>
    <xf numFmtId="0" fontId="38" fillId="26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23" borderId="0" applyNumberFormat="0" applyBorder="0" applyAlignment="0" applyProtection="0"/>
    <xf numFmtId="0" fontId="38" fillId="25" borderId="0" applyNumberFormat="0" applyBorder="0" applyAlignment="0" applyProtection="0"/>
    <xf numFmtId="0" fontId="38" fillId="27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33" borderId="0" applyNumberFormat="0" applyBorder="0" applyAlignment="0" applyProtection="0"/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172" fontId="35" fillId="0" borderId="31">
      <alignment vertical="center"/>
      <protection locked="0"/>
    </xf>
    <xf numFmtId="0" fontId="39" fillId="19" borderId="0" applyNumberFormat="0" applyBorder="0" applyAlignment="0" applyProtection="0"/>
    <xf numFmtId="0" fontId="40" fillId="21" borderId="24" applyNumberFormat="0" applyAlignment="0" applyProtection="0"/>
    <xf numFmtId="0" fontId="41" fillId="22" borderId="2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35" fillId="0" borderId="0" applyFill="0" applyBorder="0">
      <alignment vertical="center"/>
    </xf>
    <xf numFmtId="0" fontId="43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5" fillId="0" borderId="21" applyNumberFormat="0" applyFill="0" applyAlignment="0" applyProtection="0"/>
    <xf numFmtId="0" fontId="46" fillId="0" borderId="0" applyFill="0" applyBorder="0">
      <alignment vertical="center"/>
    </xf>
    <xf numFmtId="0" fontId="47" fillId="0" borderId="22" applyNumberFormat="0" applyFill="0" applyAlignment="0" applyProtection="0"/>
    <xf numFmtId="0" fontId="48" fillId="0" borderId="0" applyFill="0" applyBorder="0">
      <alignment vertical="center"/>
    </xf>
    <xf numFmtId="0" fontId="49" fillId="0" borderId="23" applyNumberFormat="0" applyFill="0" applyAlignment="0" applyProtection="0"/>
    <xf numFmtId="0" fontId="50" fillId="0" borderId="0" applyFill="0" applyBorder="0">
      <alignment vertical="center"/>
    </xf>
    <xf numFmtId="0" fontId="49" fillId="0" borderId="0" applyNumberFormat="0" applyFill="0" applyBorder="0" applyAlignment="0" applyProtection="0"/>
    <xf numFmtId="0" fontId="51" fillId="0" borderId="0" applyFill="0" applyBorder="0">
      <alignment vertical="center"/>
    </xf>
    <xf numFmtId="0" fontId="52" fillId="0" borderId="0" applyFill="0" applyBorder="0">
      <alignment horizontal="center" vertical="center"/>
    </xf>
    <xf numFmtId="0" fontId="52" fillId="0" borderId="0" applyFill="0" applyBorder="0">
      <alignment horizontal="center" vertical="center"/>
    </xf>
    <xf numFmtId="0" fontId="53" fillId="0" borderId="0" applyFill="0" applyBorder="0">
      <alignment vertical="center"/>
    </xf>
    <xf numFmtId="0" fontId="54" fillId="20" borderId="24" applyNumberFormat="0" applyAlignment="0" applyProtection="0"/>
    <xf numFmtId="0" fontId="55" fillId="0" borderId="26" applyNumberFormat="0" applyFill="0" applyAlignment="0" applyProtection="0"/>
    <xf numFmtId="0" fontId="56" fillId="0" borderId="0" applyFill="0" applyBorder="0">
      <alignment vertical="center"/>
    </xf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1" fillId="0" borderId="0"/>
    <xf numFmtId="0" fontId="3" fillId="0" borderId="0"/>
    <xf numFmtId="170" fontId="1" fillId="0" borderId="0"/>
    <xf numFmtId="17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4" borderId="4" applyNumberFormat="0" applyFont="0" applyAlignment="0" applyProtection="0"/>
    <xf numFmtId="0" fontId="1" fillId="4" borderId="4" applyNumberFormat="0" applyFont="0" applyAlignment="0" applyProtection="0"/>
    <xf numFmtId="172" fontId="35" fillId="0" borderId="0" applyFill="0" applyBorder="0">
      <alignment vertical="center"/>
    </xf>
    <xf numFmtId="0" fontId="58" fillId="2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6" fillId="0" borderId="0" applyFill="0" applyBorder="0">
      <alignment vertical="center"/>
    </xf>
    <xf numFmtId="0" fontId="59" fillId="0" borderId="0" applyFill="0" applyBorder="0">
      <alignment vertical="center"/>
    </xf>
    <xf numFmtId="0" fontId="60" fillId="0" borderId="28" applyNumberFormat="0" applyFill="0" applyAlignment="0" applyProtection="0"/>
    <xf numFmtId="0" fontId="61" fillId="0" borderId="0" applyNumberFormat="0" applyFill="0" applyBorder="0" applyAlignment="0" applyProtection="0"/>
    <xf numFmtId="174" fontId="35" fillId="0" borderId="0" applyFill="0" applyBorder="0">
      <alignment vertical="center"/>
    </xf>
    <xf numFmtId="3" fontId="3" fillId="68" borderId="29" applyNumberFormat="0">
      <alignment horizontal="left"/>
      <protection locked="0"/>
    </xf>
    <xf numFmtId="0" fontId="3" fillId="0" borderId="0"/>
    <xf numFmtId="0" fontId="3" fillId="0" borderId="0"/>
    <xf numFmtId="0" fontId="3" fillId="0" borderId="0"/>
    <xf numFmtId="0" fontId="74" fillId="0" borderId="0" applyFont="0" applyFill="0" applyBorder="0" applyAlignment="0" applyProtection="0"/>
    <xf numFmtId="0" fontId="6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37" fillId="16" borderId="0" applyNumberFormat="0" applyBorder="0" applyAlignment="0" applyProtection="0"/>
    <xf numFmtId="0" fontId="1" fillId="14" borderId="0" applyNumberFormat="0" applyBorder="0" applyAlignment="0" applyProtection="0"/>
    <xf numFmtId="0" fontId="37" fillId="12" borderId="0" applyNumberFormat="0" applyBorder="0" applyAlignment="0" applyProtection="0"/>
    <xf numFmtId="0" fontId="37" fillId="10" borderId="0" applyNumberFormat="0" applyBorder="0" applyAlignment="0" applyProtection="0"/>
    <xf numFmtId="0" fontId="37" fillId="8" borderId="0" applyNumberFormat="0" applyBorder="0" applyAlignment="0" applyProtection="0"/>
    <xf numFmtId="0" fontId="37" fillId="6" borderId="0" applyNumberFormat="0" applyBorder="0" applyAlignment="0" applyProtection="0"/>
    <xf numFmtId="0" fontId="1" fillId="16" borderId="0" applyNumberFormat="0" applyBorder="0" applyAlignment="0" applyProtection="0"/>
    <xf numFmtId="0" fontId="37" fillId="13" borderId="0" applyNumberFormat="0" applyBorder="0" applyAlignment="0" applyProtection="0"/>
    <xf numFmtId="0" fontId="37" fillId="11" borderId="0" applyNumberFormat="0" applyBorder="0" applyAlignment="0" applyProtection="0"/>
    <xf numFmtId="0" fontId="37" fillId="9" borderId="0" applyNumberFormat="0" applyBorder="0" applyAlignment="0" applyProtection="0"/>
    <xf numFmtId="0" fontId="37" fillId="7" borderId="0" applyNumberFormat="0" applyBorder="0" applyAlignment="0" applyProtection="0"/>
    <xf numFmtId="43" fontId="6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3" fillId="0" borderId="0"/>
    <xf numFmtId="0" fontId="62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63" fillId="0" borderId="0"/>
    <xf numFmtId="0" fontId="63" fillId="0" borderId="0"/>
    <xf numFmtId="0" fontId="3" fillId="0" borderId="0"/>
    <xf numFmtId="0" fontId="3" fillId="0" borderId="0" applyNumberFormat="0" applyFill="0" applyBorder="0" applyAlignment="0" applyProtection="0"/>
    <xf numFmtId="0" fontId="63" fillId="0" borderId="0"/>
    <xf numFmtId="0" fontId="63" fillId="0" borderId="0"/>
    <xf numFmtId="0" fontId="63" fillId="0" borderId="0"/>
    <xf numFmtId="43" fontId="3" fillId="0" borderId="0" applyFont="0" applyFill="0" applyBorder="0" applyAlignment="0" applyProtection="0"/>
    <xf numFmtId="0" fontId="63" fillId="0" borderId="0"/>
    <xf numFmtId="0" fontId="3" fillId="0" borderId="0"/>
    <xf numFmtId="0" fontId="63" fillId="0" borderId="0"/>
    <xf numFmtId="0" fontId="63" fillId="0" borderId="0"/>
    <xf numFmtId="0" fontId="3" fillId="0" borderId="0" applyNumberFormat="0" applyFill="0" applyBorder="0" applyAlignment="0" applyProtection="0"/>
    <xf numFmtId="0" fontId="63" fillId="0" borderId="0"/>
    <xf numFmtId="0" fontId="3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 applyNumberForma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4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178" fontId="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181" fontId="3" fillId="0" borderId="0" applyFont="0" applyFill="0" applyBorder="0" applyAlignment="0" applyProtection="0"/>
    <xf numFmtId="0" fontId="3" fillId="0" borderId="0"/>
    <xf numFmtId="0" fontId="6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3" fillId="0" borderId="0" applyNumberFormat="0" applyFill="0" applyBorder="0" applyAlignment="0" applyProtection="0"/>
    <xf numFmtId="0" fontId="3" fillId="37" borderId="0" applyNumberFormat="0" applyFont="0" applyAlignment="0" applyProtection="0"/>
    <xf numFmtId="0" fontId="63" fillId="0" borderId="0"/>
    <xf numFmtId="0" fontId="6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63" fillId="0" borderId="0"/>
    <xf numFmtId="0" fontId="62" fillId="0" borderId="0"/>
    <xf numFmtId="0" fontId="63" fillId="0" borderId="0"/>
    <xf numFmtId="0" fontId="63" fillId="0" borderId="0"/>
    <xf numFmtId="0" fontId="3" fillId="0" borderId="0"/>
    <xf numFmtId="182" fontId="3" fillId="0" borderId="0" applyFont="0" applyFill="0" applyBorder="0" applyAlignment="0" applyProtection="0"/>
    <xf numFmtId="183" fontId="3" fillId="0" borderId="0" applyFont="0" applyFill="0" applyBorder="0" applyProtection="0">
      <alignment horizontal="right"/>
    </xf>
    <xf numFmtId="0" fontId="6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 applyNumberFormat="0" applyFill="0" applyBorder="0" applyAlignment="0" applyProtection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3" fillId="0" borderId="0" applyNumberForma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" fillId="0" borderId="0"/>
    <xf numFmtId="0" fontId="63" fillId="0" borderId="0"/>
    <xf numFmtId="0" fontId="63" fillId="0" borderId="0"/>
    <xf numFmtId="0" fontId="3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3" fillId="0" borderId="32" applyNumberFormat="0" applyFill="0" applyAlignment="0" applyProtection="0"/>
    <xf numFmtId="0" fontId="67" fillId="0" borderId="32" applyNumberFormat="0" applyFill="0" applyAlignment="0" applyProtection="0"/>
    <xf numFmtId="0" fontId="3" fillId="0" borderId="33" applyNumberFormat="0" applyFill="0" applyProtection="0">
      <alignment horizontal="center"/>
    </xf>
    <xf numFmtId="0" fontId="68" fillId="0" borderId="33" applyNumberFormat="0" applyFill="0" applyProtection="0">
      <alignment horizontal="center"/>
    </xf>
    <xf numFmtId="0" fontId="3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3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3" fillId="0" borderId="0"/>
    <xf numFmtId="0" fontId="3" fillId="0" borderId="0"/>
    <xf numFmtId="0" fontId="70" fillId="0" borderId="0"/>
    <xf numFmtId="0" fontId="3" fillId="0" borderId="0" applyNumberFormat="0" applyFill="0" applyBorder="0" applyAlignment="0" applyProtection="0"/>
    <xf numFmtId="0" fontId="63" fillId="0" borderId="0"/>
    <xf numFmtId="0" fontId="3" fillId="0" borderId="0"/>
    <xf numFmtId="0" fontId="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0" fillId="0" borderId="0"/>
    <xf numFmtId="0" fontId="63" fillId="0" borderId="0"/>
    <xf numFmtId="0" fontId="63" fillId="0" borderId="0"/>
    <xf numFmtId="1" fontId="62" fillId="0" borderId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71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71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71" fillId="46" borderId="0" applyNumberFormat="0" applyBorder="0" applyAlignment="0" applyProtection="0"/>
    <xf numFmtId="0" fontId="42" fillId="41" borderId="0" applyNumberFormat="0" applyBorder="0" applyAlignment="0" applyProtection="0"/>
    <xf numFmtId="0" fontId="42" fillId="47" borderId="0" applyNumberFormat="0" applyBorder="0" applyAlignment="0" applyProtection="0"/>
    <xf numFmtId="0" fontId="71" fillId="42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71" fillId="40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71" fillId="52" borderId="0" applyNumberFormat="0" applyBorder="0" applyAlignment="0" applyProtection="0"/>
    <xf numFmtId="184" fontId="72" fillId="17" borderId="0" applyNumberFormat="0" applyFill="0" applyBorder="0" applyAlignment="0" applyProtection="0">
      <protection locked="0"/>
    </xf>
    <xf numFmtId="185" fontId="3" fillId="17" borderId="0" applyNumberFormat="0" applyFill="0" applyBorder="0" applyAlignment="0" applyProtection="0">
      <protection locked="0"/>
    </xf>
    <xf numFmtId="0" fontId="73" fillId="0" borderId="0" applyNumberFormat="0" applyFont="0" applyFill="0" applyBorder="0" applyAlignment="0">
      <protection locked="0"/>
    </xf>
    <xf numFmtId="37" fontId="74" fillId="0" borderId="0"/>
    <xf numFmtId="0" fontId="73" fillId="53" borderId="0" applyNumberFormat="0" applyBorder="0" applyAlignment="0">
      <protection locked="0"/>
    </xf>
    <xf numFmtId="186" fontId="3" fillId="0" borderId="0" applyFill="0" applyBorder="0" applyAlignment="0"/>
    <xf numFmtId="187" fontId="75" fillId="0" borderId="0" applyFill="0" applyBorder="0" applyAlignment="0"/>
    <xf numFmtId="167" fontId="75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6" fontId="3" fillId="0" borderId="0" applyFill="0" applyBorder="0" applyAlignment="0"/>
    <xf numFmtId="190" fontId="3" fillId="0" borderId="0" applyFill="0" applyBorder="0" applyAlignment="0"/>
    <xf numFmtId="187" fontId="75" fillId="0" borderId="0" applyFill="0" applyBorder="0" applyAlignment="0"/>
    <xf numFmtId="191" fontId="3" fillId="0" borderId="6" applyBorder="0"/>
    <xf numFmtId="175" fontId="3" fillId="0" borderId="6" applyBorder="0">
      <alignment horizontal="right"/>
    </xf>
    <xf numFmtId="0" fontId="3" fillId="54" borderId="7">
      <alignment horizontal="center"/>
    </xf>
    <xf numFmtId="1" fontId="76" fillId="55" borderId="0"/>
    <xf numFmtId="0" fontId="3" fillId="55" borderId="1" applyNumberFormat="0"/>
    <xf numFmtId="0" fontId="5" fillId="56" borderId="1" applyNumberFormat="0"/>
    <xf numFmtId="0" fontId="3" fillId="53" borderId="6" applyNumberFormat="0" applyFont="0" applyBorder="0" applyAlignment="0">
      <alignment horizontal="left"/>
    </xf>
    <xf numFmtId="0" fontId="5" fillId="57" borderId="20" applyNumberFormat="0" applyFont="0" applyBorder="0" applyAlignment="0"/>
    <xf numFmtId="0" fontId="3" fillId="58" borderId="6" applyNumberFormat="0" applyFont="0" applyBorder="0" applyAlignment="0">
      <alignment horizontal="left"/>
    </xf>
    <xf numFmtId="0" fontId="5" fillId="59" borderId="6" applyNumberFormat="0" applyFont="0" applyBorder="0" applyAlignment="0">
      <alignment horizontal="right"/>
    </xf>
    <xf numFmtId="0" fontId="5" fillId="60" borderId="30" applyNumberFormat="0" applyFont="0" applyBorder="0" applyAlignment="0">
      <alignment horizontal="left"/>
    </xf>
    <xf numFmtId="0" fontId="77" fillId="0" borderId="6">
      <alignment horizontal="center"/>
    </xf>
    <xf numFmtId="192" fontId="3" fillId="0" borderId="0"/>
    <xf numFmtId="192" fontId="3" fillId="0" borderId="0"/>
    <xf numFmtId="192" fontId="3" fillId="0" borderId="0"/>
    <xf numFmtId="192" fontId="3" fillId="0" borderId="0"/>
    <xf numFmtId="192" fontId="3" fillId="0" borderId="0"/>
    <xf numFmtId="192" fontId="3" fillId="0" borderId="0"/>
    <xf numFmtId="192" fontId="3" fillId="0" borderId="0"/>
    <xf numFmtId="192" fontId="3" fillId="0" borderId="0"/>
    <xf numFmtId="18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3" fillId="0" borderId="0" applyFill="0" applyBorder="0" applyAlignment="0" applyProtection="0"/>
    <xf numFmtId="0" fontId="79" fillId="0" borderId="0" applyNumberFormat="0" applyAlignment="0">
      <alignment horizontal="left"/>
    </xf>
    <xf numFmtId="187" fontId="7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5" fontId="3" fillId="0" borderId="0" applyFill="0" applyBorder="0" applyAlignment="0" applyProtection="0"/>
    <xf numFmtId="0" fontId="80" fillId="61" borderId="34">
      <alignment horizontal="center"/>
    </xf>
    <xf numFmtId="0" fontId="5" fillId="0" borderId="0">
      <alignment horizontal="center"/>
    </xf>
    <xf numFmtId="0" fontId="80" fillId="61" borderId="34">
      <alignment horizontal="center"/>
    </xf>
    <xf numFmtId="0" fontId="3" fillId="62" borderId="0" applyNumberFormat="0" applyBorder="0"/>
    <xf numFmtId="0" fontId="3" fillId="60" borderId="1" applyNumberFormat="0" applyAlignment="0"/>
    <xf numFmtId="193" fontId="3" fillId="0" borderId="0" applyFill="0" applyBorder="0" applyAlignment="0" applyProtection="0"/>
    <xf numFmtId="14" fontId="81" fillId="0" borderId="0" applyFill="0" applyBorder="0" applyAlignment="0"/>
    <xf numFmtId="0" fontId="3" fillId="53" borderId="1" applyNumberFormat="0"/>
    <xf numFmtId="38" fontId="62" fillId="0" borderId="35">
      <alignment vertical="center"/>
    </xf>
    <xf numFmtId="0" fontId="3" fillId="57" borderId="1">
      <alignment wrapText="1"/>
    </xf>
    <xf numFmtId="194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0" fontId="82" fillId="63" borderId="0" applyNumberFormat="0" applyBorder="0" applyAlignment="0" applyProtection="0"/>
    <xf numFmtId="0" fontId="82" fillId="64" borderId="0" applyNumberFormat="0" applyBorder="0" applyAlignment="0" applyProtection="0"/>
    <xf numFmtId="0" fontId="82" fillId="65" borderId="0" applyNumberFormat="0" applyBorder="0" applyAlignment="0" applyProtection="0"/>
    <xf numFmtId="186" fontId="3" fillId="0" borderId="0" applyFill="0" applyBorder="0" applyAlignment="0"/>
    <xf numFmtId="187" fontId="75" fillId="0" borderId="0" applyFill="0" applyBorder="0" applyAlignment="0"/>
    <xf numFmtId="186" fontId="3" fillId="0" borderId="0" applyFill="0" applyBorder="0" applyAlignment="0"/>
    <xf numFmtId="190" fontId="3" fillId="0" borderId="0" applyFill="0" applyBorder="0" applyAlignment="0"/>
    <xf numFmtId="187" fontId="75" fillId="0" borderId="0" applyFill="0" applyBorder="0" applyAlignment="0"/>
    <xf numFmtId="0" fontId="83" fillId="0" borderId="0" applyNumberFormat="0" applyAlignment="0">
      <alignment horizontal="left"/>
    </xf>
    <xf numFmtId="196" fontId="84" fillId="0" borderId="0" applyFont="0" applyFill="0" applyBorder="0" applyAlignment="0" applyProtection="0"/>
    <xf numFmtId="196" fontId="3" fillId="0" borderId="0" applyFont="0" applyFill="0" applyBorder="0" applyAlignment="0" applyProtection="0"/>
    <xf numFmtId="0" fontId="3" fillId="0" borderId="36"/>
    <xf numFmtId="2" fontId="3" fillId="0" borderId="0" applyFill="0" applyBorder="0" applyAlignment="0" applyProtection="0"/>
    <xf numFmtId="2" fontId="3" fillId="66" borderId="1"/>
    <xf numFmtId="0" fontId="3" fillId="39" borderId="1" applyNumberFormat="0" applyAlignment="0"/>
    <xf numFmtId="38" fontId="34" fillId="17" borderId="0" applyNumberFormat="0" applyBorder="0" applyAlignment="0" applyProtection="0"/>
    <xf numFmtId="0" fontId="3" fillId="17" borderId="0"/>
    <xf numFmtId="0" fontId="85" fillId="0" borderId="19" applyNumberFormat="0" applyAlignment="0" applyProtection="0">
      <alignment horizontal="left" vertical="center"/>
    </xf>
    <xf numFmtId="0" fontId="85" fillId="0" borderId="3">
      <alignment horizontal="left"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49" fontId="5" fillId="0" borderId="0">
      <alignment horizontal="left"/>
    </xf>
    <xf numFmtId="49" fontId="88" fillId="0" borderId="0">
      <alignment horizontal="left"/>
    </xf>
    <xf numFmtId="1" fontId="3" fillId="0" borderId="0" applyFont="0" applyFill="0" applyBorder="0" applyAlignment="0" applyProtection="0"/>
    <xf numFmtId="1" fontId="3" fillId="0" borderId="0" applyFont="0" applyFill="0" applyBorder="0" applyAlignment="0" applyProtection="0"/>
    <xf numFmtId="49" fontId="5" fillId="0" borderId="0"/>
    <xf numFmtId="171" fontId="3" fillId="0" borderId="0" applyFont="0" applyFill="0" applyBorder="0" applyAlignment="0" applyProtection="0"/>
    <xf numFmtId="49" fontId="5" fillId="0" borderId="0"/>
    <xf numFmtId="49" fontId="5" fillId="0" borderId="0"/>
    <xf numFmtId="49" fontId="5" fillId="0" borderId="0">
      <alignment vertical="top"/>
    </xf>
    <xf numFmtId="0" fontId="89" fillId="0" borderId="0"/>
    <xf numFmtId="10" fontId="34" fillId="67" borderId="1" applyNumberFormat="0" applyBorder="0" applyAlignment="0" applyProtection="0"/>
    <xf numFmtId="197" fontId="34" fillId="67" borderId="0" applyFont="0" applyBorder="0" applyAlignment="0" applyProtection="0">
      <protection locked="0"/>
    </xf>
    <xf numFmtId="191" fontId="3" fillId="68" borderId="1">
      <protection locked="0"/>
    </xf>
    <xf numFmtId="184" fontId="3" fillId="68" borderId="1">
      <protection locked="0"/>
    </xf>
    <xf numFmtId="0" fontId="3" fillId="0" borderId="10" applyBorder="0">
      <protection locked="0"/>
    </xf>
    <xf numFmtId="198" fontId="3" fillId="0" borderId="10" applyBorder="0">
      <protection locked="0"/>
    </xf>
    <xf numFmtId="0" fontId="3" fillId="69" borderId="1"/>
    <xf numFmtId="0" fontId="3" fillId="17" borderId="3">
      <alignment horizontal="left"/>
      <protection locked="0"/>
    </xf>
    <xf numFmtId="0" fontId="90" fillId="0" borderId="0" applyNumberFormat="0" applyFont="0" applyFill="0" applyBorder="0" applyProtection="0">
      <alignment horizontal="left" vertical="center"/>
    </xf>
    <xf numFmtId="186" fontId="3" fillId="0" borderId="0" applyFill="0" applyBorder="0" applyAlignment="0"/>
    <xf numFmtId="187" fontId="75" fillId="0" borderId="0" applyFill="0" applyBorder="0" applyAlignment="0"/>
    <xf numFmtId="186" fontId="3" fillId="0" borderId="0" applyFill="0" applyBorder="0" applyAlignment="0"/>
    <xf numFmtId="187" fontId="75" fillId="0" borderId="0" applyFill="0" applyBorder="0" applyAlignment="0"/>
    <xf numFmtId="0" fontId="91" fillId="17" borderId="1" applyNumberFormat="0"/>
    <xf numFmtId="0" fontId="3" fillId="62" borderId="0" applyNumberFormat="0" applyFont="0" applyBorder="0" applyAlignment="0"/>
    <xf numFmtId="199" fontId="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200" fontId="34" fillId="0" borderId="0"/>
    <xf numFmtId="20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202" fontId="84" fillId="0" borderId="0" applyFont="0" applyFill="0" applyBorder="0" applyAlignment="0" applyProtection="0"/>
    <xf numFmtId="203" fontId="84" fillId="0" borderId="0" applyFont="0" applyFill="0" applyBorder="0" applyAlignment="0" applyProtection="0"/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>
      <alignment horizontal="right"/>
    </xf>
    <xf numFmtId="3" fontId="3" fillId="67" borderId="0">
      <protection locked="0"/>
    </xf>
    <xf numFmtId="0" fontId="3" fillId="67" borderId="5">
      <protection locked="0"/>
    </xf>
    <xf numFmtId="0" fontId="3" fillId="0" borderId="37" applyNumberFormat="0" applyAlignment="0"/>
    <xf numFmtId="0" fontId="3" fillId="70" borderId="0"/>
    <xf numFmtId="0" fontId="89" fillId="0" borderId="0"/>
    <xf numFmtId="0" fontId="92" fillId="0" borderId="0"/>
    <xf numFmtId="40" fontId="34" fillId="0" borderId="0" applyFont="0" applyFill="0" applyBorder="0" applyAlignment="0"/>
    <xf numFmtId="0" fontId="1" fillId="0" borderId="0"/>
    <xf numFmtId="0" fontId="3" fillId="0" borderId="0"/>
    <xf numFmtId="0" fontId="78" fillId="0" borderId="0"/>
    <xf numFmtId="0" fontId="3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3" fillId="0" borderId="0"/>
    <xf numFmtId="0" fontId="1" fillId="0" borderId="0"/>
    <xf numFmtId="0" fontId="34" fillId="0" borderId="0"/>
    <xf numFmtId="0" fontId="1" fillId="0" borderId="0"/>
    <xf numFmtId="0" fontId="3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6" fontId="77" fillId="0" borderId="0" applyNumberFormat="0" applyFill="0" applyBorder="0" applyAlignment="0" applyProtection="0"/>
    <xf numFmtId="0" fontId="94" fillId="0" borderId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95" fillId="71" borderId="8"/>
    <xf numFmtId="0" fontId="95" fillId="71" borderId="8"/>
    <xf numFmtId="18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10" applyNumberFormat="0" applyBorder="0"/>
    <xf numFmtId="207" fontId="3" fillId="0" borderId="0" applyFont="0" applyFill="0" applyBorder="0" applyAlignment="0" applyProtection="0"/>
    <xf numFmtId="37" fontId="34" fillId="0" borderId="0" applyFill="0" applyBorder="0" applyAlignment="0" applyProtection="0">
      <alignment horizontal="right"/>
    </xf>
    <xf numFmtId="0" fontId="3" fillId="0" borderId="38" applyFill="0" applyAlignment="0">
      <alignment horizontal="right"/>
    </xf>
    <xf numFmtId="208" fontId="3" fillId="0" borderId="38" applyFill="0" applyAlignment="0">
      <alignment horizontal="right"/>
    </xf>
    <xf numFmtId="186" fontId="3" fillId="0" borderId="0" applyFill="0" applyBorder="0" applyAlignment="0"/>
    <xf numFmtId="187" fontId="75" fillId="0" borderId="0" applyFill="0" applyBorder="0" applyAlignment="0"/>
    <xf numFmtId="186" fontId="3" fillId="0" borderId="0" applyFill="0" applyBorder="0" applyAlignment="0"/>
    <xf numFmtId="190" fontId="3" fillId="0" borderId="0" applyFill="0" applyBorder="0" applyAlignment="0"/>
    <xf numFmtId="187" fontId="75" fillId="0" borderId="0" applyFill="0" applyBorder="0" applyAlignment="0"/>
    <xf numFmtId="0" fontId="62" fillId="0" borderId="0" applyNumberFormat="0" applyFont="0" applyFill="0" applyBorder="0" applyAlignment="0" applyProtection="0">
      <alignment horizontal="left"/>
    </xf>
    <xf numFmtId="15" fontId="62" fillId="0" borderId="0" applyFont="0" applyFill="0" applyBorder="0" applyAlignment="0" applyProtection="0"/>
    <xf numFmtId="4" fontId="62" fillId="0" borderId="0" applyFont="0" applyFill="0" applyBorder="0" applyAlignment="0" applyProtection="0"/>
    <xf numFmtId="0" fontId="96" fillId="0" borderId="13">
      <alignment horizontal="center"/>
    </xf>
    <xf numFmtId="3" fontId="62" fillId="0" borderId="0" applyFont="0" applyFill="0" applyBorder="0" applyAlignment="0" applyProtection="0"/>
    <xf numFmtId="0" fontId="62" fillId="72" borderId="0" applyNumberFormat="0" applyFont="0" applyBorder="0" applyAlignment="0" applyProtection="0"/>
    <xf numFmtId="209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1" fontId="3" fillId="73" borderId="1" applyBorder="0">
      <protection locked="0"/>
    </xf>
    <xf numFmtId="212" fontId="3" fillId="0" borderId="0" applyNumberFormat="0" applyFill="0" applyBorder="0" applyAlignment="0" applyProtection="0">
      <alignment horizontal="left"/>
    </xf>
    <xf numFmtId="213" fontId="3" fillId="0" borderId="0" applyFont="0" applyFill="0" applyBorder="0" applyAlignment="0" applyProtection="0"/>
    <xf numFmtId="0" fontId="3" fillId="0" borderId="39" applyNumberFormat="0" applyFont="0" applyFill="0" applyAlignment="0" applyProtection="0"/>
    <xf numFmtId="0" fontId="3" fillId="0" borderId="40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2" applyNumberFormat="0" applyFont="0" applyFill="0" applyAlignment="0" applyProtection="0"/>
    <xf numFmtId="0" fontId="3" fillId="0" borderId="34" applyNumberFormat="0" applyFont="0" applyFill="0" applyAlignment="0" applyProtection="0"/>
    <xf numFmtId="0" fontId="3" fillId="74" borderId="0" applyNumberFormat="0" applyFont="0" applyBorder="0" applyAlignment="0" applyProtection="0"/>
    <xf numFmtId="0" fontId="3" fillId="0" borderId="43" applyNumberFormat="0" applyFont="0" applyFill="0" applyAlignment="0" applyProtection="0"/>
    <xf numFmtId="0" fontId="3" fillId="0" borderId="44" applyNumberFormat="0" applyFont="0" applyFill="0" applyAlignment="0" applyProtection="0"/>
    <xf numFmtId="46" fontId="3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3" fillId="0" borderId="45" applyNumberFormat="0" applyFont="0" applyFill="0" applyAlignment="0" applyProtection="0"/>
    <xf numFmtId="0" fontId="3" fillId="0" borderId="46" applyNumberFormat="0" applyFont="0" applyFill="0" applyAlignment="0" applyProtection="0"/>
    <xf numFmtId="0" fontId="3" fillId="0" borderId="47" applyNumberFormat="0" applyFont="0" applyFill="0" applyAlignment="0" applyProtection="0"/>
    <xf numFmtId="0" fontId="3" fillId="0" borderId="48" applyNumberFormat="0" applyFont="0" applyFill="0" applyAlignment="0" applyProtection="0"/>
    <xf numFmtId="0" fontId="3" fillId="0" borderId="47" applyNumberFormat="0" applyFont="0" applyFill="0" applyAlignment="0" applyProtection="0"/>
    <xf numFmtId="0" fontId="3" fillId="0" borderId="0" applyNumberFormat="0" applyFont="0" applyFill="0" applyBorder="0" applyProtection="0">
      <alignment horizontal="center"/>
    </xf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Protection="0">
      <alignment horizontal="left"/>
    </xf>
    <xf numFmtId="0" fontId="3" fillId="74" borderId="0" applyNumberFormat="0" applyFont="0" applyBorder="0" applyAlignment="0" applyProtection="0"/>
    <xf numFmtId="0" fontId="10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" fillId="0" borderId="49" applyNumberFormat="0" applyFont="0" applyFill="0" applyAlignment="0" applyProtection="0"/>
    <xf numFmtId="0" fontId="3" fillId="0" borderId="50" applyNumberFormat="0" applyFont="0" applyFill="0" applyAlignment="0" applyProtection="0"/>
    <xf numFmtId="214" fontId="3" fillId="0" borderId="0" applyFont="0" applyFill="0" applyBorder="0" applyAlignment="0" applyProtection="0"/>
    <xf numFmtId="0" fontId="3" fillId="0" borderId="51" applyNumberFormat="0" applyFont="0" applyFill="0" applyAlignment="0" applyProtection="0"/>
    <xf numFmtId="0" fontId="3" fillId="0" borderId="52" applyNumberFormat="0" applyFont="0" applyFill="0" applyAlignment="0" applyProtection="0"/>
    <xf numFmtId="0" fontId="3" fillId="0" borderId="53" applyNumberFormat="0" applyFont="0" applyFill="0" applyAlignment="0" applyProtection="0"/>
    <xf numFmtId="0" fontId="3" fillId="0" borderId="54" applyNumberFormat="0" applyFont="0" applyFill="0" applyAlignment="0" applyProtection="0"/>
    <xf numFmtId="0" fontId="3" fillId="0" borderId="55" applyNumberFormat="0" applyFont="0" applyFill="0" applyAlignment="0" applyProtection="0"/>
    <xf numFmtId="4" fontId="101" fillId="37" borderId="56" applyNumberFormat="0" applyProtection="0">
      <alignment vertical="center"/>
    </xf>
    <xf numFmtId="4" fontId="34" fillId="37" borderId="31" applyNumberFormat="0" applyProtection="0">
      <alignment vertical="center"/>
    </xf>
    <xf numFmtId="4" fontId="102" fillId="61" borderId="56" applyNumberFormat="0" applyProtection="0">
      <alignment vertical="center"/>
    </xf>
    <xf numFmtId="4" fontId="103" fillId="61" borderId="31" applyNumberFormat="0" applyProtection="0">
      <alignment vertical="center"/>
    </xf>
    <xf numFmtId="4" fontId="101" fillId="61" borderId="56" applyNumberFormat="0" applyProtection="0">
      <alignment horizontal="left" vertical="center" indent="1"/>
    </xf>
    <xf numFmtId="4" fontId="34" fillId="61" borderId="31" applyNumberFormat="0" applyProtection="0">
      <alignment horizontal="left" vertical="center" indent="1"/>
    </xf>
    <xf numFmtId="0" fontId="101" fillId="61" borderId="56" applyNumberFormat="0" applyProtection="0">
      <alignment horizontal="left" vertical="top" indent="1"/>
    </xf>
    <xf numFmtId="0" fontId="104" fillId="37" borderId="56" applyNumberFormat="0" applyProtection="0">
      <alignment horizontal="left" vertical="top" indent="1"/>
    </xf>
    <xf numFmtId="4" fontId="101" fillId="56" borderId="0" applyNumberFormat="0" applyProtection="0">
      <alignment horizontal="left" vertical="center" indent="1"/>
    </xf>
    <xf numFmtId="4" fontId="34" fillId="75" borderId="31" applyNumberFormat="0" applyProtection="0">
      <alignment horizontal="left" vertical="center" indent="1"/>
    </xf>
    <xf numFmtId="4" fontId="81" fillId="76" borderId="56" applyNumberFormat="0" applyProtection="0">
      <alignment horizontal="right" vertical="center"/>
    </xf>
    <xf numFmtId="4" fontId="34" fillId="76" borderId="31" applyNumberFormat="0" applyProtection="0">
      <alignment horizontal="right" vertical="center"/>
    </xf>
    <xf numFmtId="4" fontId="81" fillId="77" borderId="56" applyNumberFormat="0" applyProtection="0">
      <alignment horizontal="right" vertical="center"/>
    </xf>
    <xf numFmtId="4" fontId="34" fillId="78" borderId="31" applyNumberFormat="0" applyProtection="0">
      <alignment horizontal="right" vertical="center"/>
    </xf>
    <xf numFmtId="4" fontId="34" fillId="79" borderId="34" applyNumberFormat="0" applyProtection="0">
      <alignment horizontal="right" vertical="center"/>
    </xf>
    <xf numFmtId="4" fontId="34" fillId="80" borderId="31" applyNumberFormat="0" applyProtection="0">
      <alignment horizontal="right" vertical="center"/>
    </xf>
    <xf numFmtId="4" fontId="81" fillId="81" borderId="56" applyNumberFormat="0" applyProtection="0">
      <alignment horizontal="right" vertical="center"/>
    </xf>
    <xf numFmtId="4" fontId="34" fillId="81" borderId="31" applyNumberFormat="0" applyProtection="0">
      <alignment horizontal="right" vertical="center"/>
    </xf>
    <xf numFmtId="4" fontId="81" fillId="82" borderId="56" applyNumberFormat="0" applyProtection="0">
      <alignment horizontal="right" vertical="center"/>
    </xf>
    <xf numFmtId="4" fontId="34" fillId="82" borderId="31" applyNumberFormat="0" applyProtection="0">
      <alignment horizontal="right" vertical="center"/>
    </xf>
    <xf numFmtId="4" fontId="81" fillId="83" borderId="56" applyNumberFormat="0" applyProtection="0">
      <alignment horizontal="right" vertical="center"/>
    </xf>
    <xf numFmtId="4" fontId="34" fillId="83" borderId="31" applyNumberFormat="0" applyProtection="0">
      <alignment horizontal="right" vertical="center"/>
    </xf>
    <xf numFmtId="4" fontId="81" fillId="84" borderId="56" applyNumberFormat="0" applyProtection="0">
      <alignment horizontal="right" vertical="center"/>
    </xf>
    <xf numFmtId="4" fontId="34" fillId="84" borderId="31" applyNumberFormat="0" applyProtection="0">
      <alignment horizontal="right" vertical="center"/>
    </xf>
    <xf numFmtId="4" fontId="81" fillId="85" borderId="56" applyNumberFormat="0" applyProtection="0">
      <alignment horizontal="right" vertical="center"/>
    </xf>
    <xf numFmtId="4" fontId="34" fillId="85" borderId="31" applyNumberFormat="0" applyProtection="0">
      <alignment horizontal="right" vertical="center"/>
    </xf>
    <xf numFmtId="4" fontId="101" fillId="86" borderId="57" applyNumberFormat="0" applyProtection="0">
      <alignment horizontal="left" vertical="center" indent="1"/>
    </xf>
    <xf numFmtId="4" fontId="34" fillId="86" borderId="34" applyNumberFormat="0" applyProtection="0">
      <alignment horizontal="left" vertical="center" indent="1"/>
    </xf>
    <xf numFmtId="4" fontId="81" fillId="87" borderId="0" applyNumberFormat="0" applyProtection="0">
      <alignment horizontal="left" vertical="center" indent="1"/>
    </xf>
    <xf numFmtId="4" fontId="3" fillId="88" borderId="34" applyNumberFormat="0" applyProtection="0">
      <alignment horizontal="left" vertical="center" indent="1"/>
    </xf>
    <xf numFmtId="4" fontId="105" fillId="89" borderId="0" applyNumberFormat="0" applyProtection="0">
      <alignment horizontal="left" vertical="center" indent="1"/>
    </xf>
    <xf numFmtId="4" fontId="3" fillId="88" borderId="34" applyNumberFormat="0" applyProtection="0">
      <alignment horizontal="left" vertical="center" indent="1"/>
    </xf>
    <xf numFmtId="4" fontId="81" fillId="90" borderId="56" applyNumberFormat="0" applyProtection="0">
      <alignment horizontal="right" vertical="center"/>
    </xf>
    <xf numFmtId="4" fontId="34" fillId="90" borderId="31" applyNumberFormat="0" applyProtection="0">
      <alignment horizontal="right" vertical="center"/>
    </xf>
    <xf numFmtId="4" fontId="81" fillId="87" borderId="0" applyNumberFormat="0" applyProtection="0">
      <alignment horizontal="left" vertical="center" indent="1"/>
    </xf>
    <xf numFmtId="4" fontId="34" fillId="87" borderId="34" applyNumberFormat="0" applyProtection="0">
      <alignment horizontal="left" vertical="center" indent="1"/>
    </xf>
    <xf numFmtId="4" fontId="81" fillId="56" borderId="0" applyNumberFormat="0" applyProtection="0">
      <alignment horizontal="left" vertical="center" indent="1"/>
    </xf>
    <xf numFmtId="4" fontId="34" fillId="90" borderId="34" applyNumberFormat="0" applyProtection="0">
      <alignment horizontal="left" vertical="center" indent="1"/>
    </xf>
    <xf numFmtId="0" fontId="3" fillId="89" borderId="56" applyNumberFormat="0" applyProtection="0">
      <alignment horizontal="left" vertical="center" indent="1"/>
    </xf>
    <xf numFmtId="0" fontId="34" fillId="91" borderId="31" applyNumberFormat="0" applyProtection="0">
      <alignment horizontal="left" vertical="center" indent="1"/>
    </xf>
    <xf numFmtId="0" fontId="3" fillId="89" borderId="56" applyNumberFormat="0" applyProtection="0">
      <alignment horizontal="left" vertical="top" indent="1"/>
    </xf>
    <xf numFmtId="0" fontId="34" fillId="88" borderId="56" applyNumberFormat="0" applyProtection="0">
      <alignment horizontal="left" vertical="top" indent="1"/>
    </xf>
    <xf numFmtId="0" fontId="3" fillId="56" borderId="56" applyNumberFormat="0" applyProtection="0">
      <alignment horizontal="left" vertical="center" indent="1"/>
    </xf>
    <xf numFmtId="0" fontId="34" fillId="92" borderId="31" applyNumberFormat="0" applyProtection="0">
      <alignment horizontal="left" vertical="center" indent="1"/>
    </xf>
    <xf numFmtId="0" fontId="3" fillId="56" borderId="56" applyNumberFormat="0" applyProtection="0">
      <alignment horizontal="left" vertical="top" indent="1"/>
    </xf>
    <xf numFmtId="0" fontId="34" fillId="90" borderId="56" applyNumberFormat="0" applyProtection="0">
      <alignment horizontal="left" vertical="top" indent="1"/>
    </xf>
    <xf numFmtId="0" fontId="3" fillId="53" borderId="56" applyNumberFormat="0" applyProtection="0">
      <alignment horizontal="left" vertical="center" indent="1"/>
    </xf>
    <xf numFmtId="0" fontId="34" fillId="93" borderId="31" applyNumberFormat="0" applyProtection="0">
      <alignment horizontal="left" vertical="center" indent="1"/>
    </xf>
    <xf numFmtId="0" fontId="3" fillId="53" borderId="56" applyNumberFormat="0" applyProtection="0">
      <alignment horizontal="left" vertical="top" indent="1"/>
    </xf>
    <xf numFmtId="0" fontId="34" fillId="93" borderId="56" applyNumberFormat="0" applyProtection="0">
      <alignment horizontal="left" vertical="top" indent="1"/>
    </xf>
    <xf numFmtId="0" fontId="3" fillId="60" borderId="56" applyNumberFormat="0" applyProtection="0">
      <alignment horizontal="left" vertical="center" indent="1"/>
    </xf>
    <xf numFmtId="0" fontId="34" fillId="87" borderId="31" applyNumberFormat="0" applyProtection="0">
      <alignment horizontal="left" vertical="center" indent="1"/>
    </xf>
    <xf numFmtId="0" fontId="3" fillId="60" borderId="56" applyNumberFormat="0" applyProtection="0">
      <alignment horizontal="left" vertical="top" indent="1"/>
    </xf>
    <xf numFmtId="0" fontId="34" fillId="87" borderId="56" applyNumberFormat="0" applyProtection="0">
      <alignment horizontal="left" vertical="top" indent="1"/>
    </xf>
    <xf numFmtId="0" fontId="34" fillId="74" borderId="58" applyNumberFormat="0">
      <protection locked="0"/>
    </xf>
    <xf numFmtId="0" fontId="77" fillId="88" borderId="59" applyBorder="0"/>
    <xf numFmtId="4" fontId="81" fillId="67" borderId="56" applyNumberFormat="0" applyProtection="0">
      <alignment vertical="center"/>
    </xf>
    <xf numFmtId="4" fontId="106" fillId="94" borderId="56" applyNumberFormat="0" applyProtection="0">
      <alignment vertical="center"/>
    </xf>
    <xf numFmtId="4" fontId="107" fillId="67" borderId="56" applyNumberFormat="0" applyProtection="0">
      <alignment vertical="center"/>
    </xf>
    <xf numFmtId="4" fontId="103" fillId="67" borderId="1" applyNumberFormat="0" applyProtection="0">
      <alignment vertical="center"/>
    </xf>
    <xf numFmtId="4" fontId="81" fillId="67" borderId="56" applyNumberFormat="0" applyProtection="0">
      <alignment horizontal="left" vertical="center" indent="1"/>
    </xf>
    <xf numFmtId="4" fontId="106" fillId="91" borderId="56" applyNumberFormat="0" applyProtection="0">
      <alignment horizontal="left" vertical="center" indent="1"/>
    </xf>
    <xf numFmtId="0" fontId="81" fillId="67" borderId="56" applyNumberFormat="0" applyProtection="0">
      <alignment horizontal="left" vertical="top" indent="1"/>
    </xf>
    <xf numFmtId="0" fontId="106" fillId="94" borderId="56" applyNumberFormat="0" applyProtection="0">
      <alignment horizontal="left" vertical="top" indent="1"/>
    </xf>
    <xf numFmtId="4" fontId="81" fillId="87" borderId="56" applyNumberFormat="0" applyProtection="0">
      <alignment horizontal="right" vertical="center"/>
    </xf>
    <xf numFmtId="4" fontId="34" fillId="0" borderId="31" applyNumberFormat="0" applyProtection="0">
      <alignment horizontal="right" vertical="center"/>
    </xf>
    <xf numFmtId="4" fontId="107" fillId="87" borderId="56" applyNumberFormat="0" applyProtection="0">
      <alignment horizontal="right" vertical="center"/>
    </xf>
    <xf numFmtId="4" fontId="103" fillId="71" borderId="31" applyNumberFormat="0" applyProtection="0">
      <alignment horizontal="right" vertical="center"/>
    </xf>
    <xf numFmtId="4" fontId="81" fillId="90" borderId="56" applyNumberFormat="0" applyProtection="0">
      <alignment horizontal="left" vertical="center" indent="1"/>
    </xf>
    <xf numFmtId="4" fontId="34" fillId="75" borderId="31" applyNumberFormat="0" applyProtection="0">
      <alignment horizontal="left" vertical="center" indent="1"/>
    </xf>
    <xf numFmtId="0" fontId="81" fillId="56" borderId="56" applyNumberFormat="0" applyProtection="0">
      <alignment horizontal="left" vertical="top" indent="1"/>
    </xf>
    <xf numFmtId="0" fontId="106" fillId="90" borderId="56" applyNumberFormat="0" applyProtection="0">
      <alignment horizontal="left" vertical="top" indent="1"/>
    </xf>
    <xf numFmtId="4" fontId="108" fillId="95" borderId="0" applyNumberFormat="0" applyProtection="0">
      <alignment horizontal="left" vertical="center" indent="1"/>
    </xf>
    <xf numFmtId="4" fontId="109" fillId="95" borderId="34" applyNumberFormat="0" applyProtection="0">
      <alignment horizontal="left" vertical="center" indent="1"/>
    </xf>
    <xf numFmtId="0" fontId="34" fillId="96" borderId="1"/>
    <xf numFmtId="4" fontId="110" fillId="87" borderId="56" applyNumberFormat="0" applyProtection="0">
      <alignment horizontal="right" vertical="center"/>
    </xf>
    <xf numFmtId="4" fontId="111" fillId="74" borderId="31" applyNumberFormat="0" applyProtection="0">
      <alignment horizontal="right" vertical="center"/>
    </xf>
    <xf numFmtId="0" fontId="3" fillId="0" borderId="0">
      <protection locked="0"/>
    </xf>
    <xf numFmtId="0" fontId="112" fillId="73" borderId="0"/>
    <xf numFmtId="49" fontId="114" fillId="73" borderId="0"/>
    <xf numFmtId="0" fontId="112" fillId="71" borderId="60">
      <protection locked="0"/>
    </xf>
    <xf numFmtId="0" fontId="112" fillId="73" borderId="0"/>
    <xf numFmtId="0" fontId="115" fillId="68" borderId="0"/>
    <xf numFmtId="0" fontId="115" fillId="97" borderId="0"/>
    <xf numFmtId="0" fontId="115" fillId="98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7" fontId="116" fillId="67" borderId="15" applyNumberFormat="0" applyFont="0" applyBorder="0" applyAlignment="0" applyProtection="0">
      <alignment horizontal="left"/>
    </xf>
    <xf numFmtId="0" fontId="117" fillId="0" borderId="0" applyNumberFormat="0" applyFill="0" applyBorder="0" applyAlignment="0" applyProtection="0"/>
    <xf numFmtId="0" fontId="3" fillId="53" borderId="9" applyNumberFormat="0" applyFont="0" applyBorder="0" applyAlignment="0" applyProtection="0"/>
    <xf numFmtId="3" fontId="3" fillId="17" borderId="61" applyFont="0" applyFill="0" applyBorder="0" applyAlignment="0" applyProtection="0"/>
    <xf numFmtId="39" fontId="3" fillId="17" borderId="61" applyFont="0" applyFill="0" applyBorder="0" applyAlignment="0" applyProtection="0"/>
    <xf numFmtId="215" fontId="3" fillId="17" borderId="61" applyFont="0" applyFill="0" applyBorder="0" applyAlignment="0" applyProtection="0"/>
    <xf numFmtId="37" fontId="3" fillId="17" borderId="62" applyFont="0" applyFill="0" applyBorder="0" applyAlignment="0" applyProtection="0"/>
    <xf numFmtId="10" fontId="3" fillId="17" borderId="61" applyFont="0" applyFill="0" applyBorder="0" applyAlignment="0" applyProtection="0"/>
    <xf numFmtId="9" fontId="3" fillId="17" borderId="61" applyFont="0" applyFill="0" applyBorder="0" applyAlignment="0" applyProtection="0"/>
    <xf numFmtId="2" fontId="3" fillId="17" borderId="61" applyFont="0" applyFill="0" applyBorder="0" applyAlignment="0" applyProtection="0"/>
    <xf numFmtId="0" fontId="118" fillId="74" borderId="0"/>
    <xf numFmtId="0" fontId="3" fillId="0" borderId="0"/>
    <xf numFmtId="0" fontId="106" fillId="0" borderId="0" applyNumberFormat="0" applyFill="0" applyBorder="0" applyAlignment="0" applyProtection="0"/>
    <xf numFmtId="49" fontId="3" fillId="0" borderId="0" applyFont="0" applyFill="0" applyBorder="0" applyProtection="0">
      <alignment horizontal="right"/>
    </xf>
    <xf numFmtId="0" fontId="106" fillId="0" borderId="0" applyNumberFormat="0" applyFill="0" applyBorder="0" applyProtection="0">
      <alignment horizontal="center"/>
    </xf>
    <xf numFmtId="0" fontId="104" fillId="0" borderId="0" applyNumberFormat="0" applyFill="0" applyBorder="0" applyProtection="0">
      <alignment horizontal="center"/>
    </xf>
    <xf numFmtId="0" fontId="104" fillId="99" borderId="0" applyNumberFormat="0" applyBorder="0" applyAlignment="0" applyProtection="0"/>
    <xf numFmtId="0" fontId="3" fillId="0" borderId="0" applyFill="0" applyBorder="0" applyAlignment="0" applyProtection="0">
      <alignment wrapText="1"/>
    </xf>
    <xf numFmtId="4" fontId="119" fillId="0" borderId="0" applyFill="0" applyBorder="0" applyAlignment="0" applyProtection="0"/>
    <xf numFmtId="0" fontId="120" fillId="100" borderId="0" applyNumberFormat="0" applyBorder="0" applyAlignment="0" applyProtection="0"/>
    <xf numFmtId="0" fontId="121" fillId="0" borderId="0" applyNumberFormat="0" applyFill="0" applyBorder="0" applyAlignment="0" applyProtection="0"/>
    <xf numFmtId="0" fontId="122" fillId="101" borderId="0" applyNumberFormat="0" applyBorder="0" applyAlignment="0" applyProtection="0"/>
    <xf numFmtId="4" fontId="106" fillId="66" borderId="0" applyBorder="0" applyAlignment="0" applyProtection="0"/>
    <xf numFmtId="0" fontId="123" fillId="71" borderId="0" applyNumberFormat="0" applyProtection="0">
      <alignment horizontal="center" vertical="center"/>
    </xf>
    <xf numFmtId="4" fontId="67" fillId="71" borderId="0" applyProtection="0">
      <alignment horizontal="center" vertical="center"/>
    </xf>
    <xf numFmtId="0" fontId="124" fillId="71" borderId="0" applyNumberFormat="0" applyProtection="0">
      <alignment horizontal="center" vertical="center"/>
    </xf>
    <xf numFmtId="4" fontId="125" fillId="71" borderId="0" applyProtection="0">
      <alignment horizontal="center" vertical="center"/>
    </xf>
    <xf numFmtId="0" fontId="126" fillId="102" borderId="0" applyNumberFormat="0" applyProtection="0">
      <alignment horizontal="center" vertical="center"/>
    </xf>
    <xf numFmtId="0" fontId="127" fillId="71" borderId="0" applyNumberFormat="0" applyProtection="0">
      <alignment horizontal="center" vertical="center"/>
    </xf>
    <xf numFmtId="0" fontId="128" fillId="101" borderId="0" applyNumberFormat="0" applyProtection="0">
      <alignment horizontal="center" vertical="center"/>
    </xf>
    <xf numFmtId="0" fontId="3" fillId="0" borderId="18" applyFont="0"/>
    <xf numFmtId="40" fontId="129" fillId="0" borderId="0" applyBorder="0">
      <alignment horizontal="right"/>
    </xf>
    <xf numFmtId="49" fontId="81" fillId="0" borderId="0" applyFill="0" applyBorder="0" applyAlignment="0"/>
    <xf numFmtId="216" fontId="3" fillId="0" borderId="0" applyFill="0" applyBorder="0" applyAlignment="0"/>
    <xf numFmtId="217" fontId="3" fillId="0" borderId="0" applyFill="0" applyBorder="0" applyAlignment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9" fillId="0" borderId="0"/>
    <xf numFmtId="0" fontId="130" fillId="17" borderId="45" applyFont="0" applyBorder="0" applyAlignment="0"/>
    <xf numFmtId="0" fontId="131" fillId="0" borderId="0">
      <alignment vertical="top"/>
    </xf>
    <xf numFmtId="0" fontId="132" fillId="67" borderId="0">
      <protection locked="0"/>
    </xf>
    <xf numFmtId="218" fontId="132" fillId="67" borderId="0">
      <protection locked="0"/>
    </xf>
    <xf numFmtId="169" fontId="91" fillId="67" borderId="1" applyNumberFormat="0">
      <protection locked="0"/>
    </xf>
    <xf numFmtId="3" fontId="5" fillId="68" borderId="1" applyNumberFormat="0">
      <protection locked="0"/>
    </xf>
    <xf numFmtId="201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0" fontId="133" fillId="0" borderId="0" applyNumberFormat="0" applyFont="0" applyFill="0" applyBorder="0" applyProtection="0">
      <alignment horizontal="center" vertical="center" wrapText="1"/>
    </xf>
    <xf numFmtId="169" fontId="3" fillId="67" borderId="29" applyNumberFormat="0">
      <protection locked="0"/>
    </xf>
    <xf numFmtId="0" fontId="134" fillId="0" borderId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63" applyBorder="0">
      <protection locked="0"/>
    </xf>
    <xf numFmtId="198" fontId="3" fillId="0" borderId="63" applyBorder="0">
      <protection locked="0"/>
    </xf>
    <xf numFmtId="0" fontId="1" fillId="0" borderId="0"/>
    <xf numFmtId="0" fontId="78" fillId="0" borderId="0"/>
    <xf numFmtId="0" fontId="3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3" fillId="0" borderId="0"/>
    <xf numFmtId="0" fontId="34" fillId="0" borderId="0"/>
    <xf numFmtId="0" fontId="1" fillId="0" borderId="0"/>
    <xf numFmtId="0" fontId="3" fillId="0" borderId="0"/>
    <xf numFmtId="0" fontId="34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62" fillId="0" borderId="63" applyNumberFormat="0" applyBorder="0"/>
    <xf numFmtId="0" fontId="1" fillId="0" borderId="0"/>
    <xf numFmtId="0" fontId="63" fillId="0" borderId="0"/>
    <xf numFmtId="4" fontId="81" fillId="80" borderId="56" applyNumberFormat="0" applyProtection="0">
      <alignment horizontal="right" vertical="center"/>
    </xf>
    <xf numFmtId="49" fontId="114" fillId="73" borderId="60"/>
    <xf numFmtId="0" fontId="1" fillId="0" borderId="0"/>
    <xf numFmtId="0" fontId="63" fillId="0" borderId="0"/>
    <xf numFmtId="4" fontId="81" fillId="79" borderId="56" applyNumberFormat="0" applyProtection="0">
      <alignment horizontal="right" vertical="center"/>
    </xf>
    <xf numFmtId="49" fontId="113" fillId="73" borderId="0"/>
    <xf numFmtId="0" fontId="3" fillId="67" borderId="29" applyNumberFormat="0">
      <alignment horizontal="left"/>
      <protection locked="0"/>
    </xf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" fillId="0" borderId="0"/>
    <xf numFmtId="0" fontId="3" fillId="0" borderId="0"/>
    <xf numFmtId="17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17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7" fillId="5" borderId="0" applyNumberFormat="0" applyBorder="0" applyAlignment="0" applyProtection="0"/>
    <xf numFmtId="0" fontId="37" fillId="7" borderId="0" applyNumberFormat="0" applyBorder="0" applyAlignment="0" applyProtection="0"/>
    <xf numFmtId="0" fontId="37" fillId="9" borderId="0" applyNumberFormat="0" applyBorder="0" applyAlignment="0" applyProtection="0"/>
    <xf numFmtId="0" fontId="37" fillId="11" borderId="0" applyNumberFormat="0" applyBorder="0" applyAlignment="0" applyProtection="0"/>
    <xf numFmtId="0" fontId="37" fillId="13" borderId="0" applyNumberFormat="0" applyBorder="0" applyAlignment="0" applyProtection="0"/>
    <xf numFmtId="0" fontId="37" fillId="15" borderId="0" applyNumberFormat="0" applyBorder="0" applyAlignment="0" applyProtection="0"/>
    <xf numFmtId="0" fontId="37" fillId="6" borderId="0" applyNumberFormat="0" applyBorder="0" applyAlignment="0" applyProtection="0"/>
    <xf numFmtId="0" fontId="37" fillId="8" borderId="0" applyNumberFormat="0" applyBorder="0" applyAlignment="0" applyProtection="0"/>
    <xf numFmtId="0" fontId="37" fillId="10" borderId="0" applyNumberFormat="0" applyBorder="0" applyAlignment="0" applyProtection="0"/>
    <xf numFmtId="0" fontId="37" fillId="12" borderId="0" applyNumberFormat="0" applyBorder="0" applyAlignment="0" applyProtection="0"/>
    <xf numFmtId="0" fontId="37" fillId="14" borderId="0" applyNumberFormat="0" applyBorder="0" applyAlignment="0" applyProtection="0"/>
    <xf numFmtId="0" fontId="37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" fillId="0" borderId="0"/>
    <xf numFmtId="170" fontId="1" fillId="0" borderId="0"/>
    <xf numFmtId="170" fontId="1" fillId="0" borderId="0"/>
    <xf numFmtId="0" fontId="1" fillId="0" borderId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8" fillId="0" borderId="0"/>
    <xf numFmtId="0" fontId="78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0" fontId="44" fillId="2" borderId="0" applyNumberFormat="0" applyBorder="0" applyAlignment="0" applyProtection="0"/>
    <xf numFmtId="0" fontId="15" fillId="2" borderId="0" applyNumberFormat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16" borderId="0" applyNumberFormat="0" applyBorder="0" applyAlignment="0" applyProtection="0"/>
    <xf numFmtId="0" fontId="37" fillId="14" borderId="0" applyNumberFormat="0" applyBorder="0" applyAlignment="0" applyProtection="0"/>
    <xf numFmtId="0" fontId="37" fillId="12" borderId="0" applyNumberFormat="0" applyBorder="0" applyAlignment="0" applyProtection="0"/>
    <xf numFmtId="0" fontId="37" fillId="10" borderId="0" applyNumberFormat="0" applyBorder="0" applyAlignment="0" applyProtection="0"/>
    <xf numFmtId="0" fontId="37" fillId="8" borderId="0" applyNumberFormat="0" applyBorder="0" applyAlignment="0" applyProtection="0"/>
    <xf numFmtId="0" fontId="37" fillId="6" borderId="0" applyNumberFormat="0" applyBorder="0" applyAlignment="0" applyProtection="0"/>
    <xf numFmtId="0" fontId="37" fillId="15" borderId="0" applyNumberFormat="0" applyBorder="0" applyAlignment="0" applyProtection="0"/>
    <xf numFmtId="0" fontId="37" fillId="13" borderId="0" applyNumberFormat="0" applyBorder="0" applyAlignment="0" applyProtection="0"/>
    <xf numFmtId="0" fontId="37" fillId="11" borderId="0" applyNumberFormat="0" applyBorder="0" applyAlignment="0" applyProtection="0"/>
    <xf numFmtId="0" fontId="37" fillId="9" borderId="0" applyNumberFormat="0" applyBorder="0" applyAlignment="0" applyProtection="0"/>
    <xf numFmtId="0" fontId="37" fillId="7" borderId="0" applyNumberFormat="0" applyBorder="0" applyAlignment="0" applyProtection="0"/>
    <xf numFmtId="0" fontId="37" fillId="5" borderId="0" applyNumberFormat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" fillId="0" borderId="0"/>
    <xf numFmtId="0" fontId="1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9" fillId="3" borderId="0" applyNumberFormat="0" applyBorder="0" applyAlignment="0" applyProtection="0"/>
    <xf numFmtId="0" fontId="8" fillId="2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7" fillId="3" borderId="0" applyNumberFormat="0" applyBorder="0" applyAlignment="0" applyProtection="0"/>
    <xf numFmtId="0" fontId="57" fillId="3" borderId="0" applyNumberFormat="0" applyBorder="0" applyAlignment="0" applyProtection="0"/>
    <xf numFmtId="0" fontId="1" fillId="0" borderId="0"/>
    <xf numFmtId="170" fontId="1" fillId="0" borderId="0"/>
    <xf numFmtId="0" fontId="1" fillId="0" borderId="0"/>
    <xf numFmtId="0" fontId="1" fillId="0" borderId="0"/>
    <xf numFmtId="0" fontId="3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7" borderId="20" applyNumberFormat="0" applyFont="0" applyBorder="0" applyAlignment="0"/>
    <xf numFmtId="0" fontId="78" fillId="0" borderId="0"/>
    <xf numFmtId="0" fontId="78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62" fillId="0" borderId="63" applyNumberFormat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8" fillId="0" borderId="0"/>
    <xf numFmtId="0" fontId="78" fillId="0" borderId="0"/>
    <xf numFmtId="0" fontId="78" fillId="0" borderId="0"/>
    <xf numFmtId="198" fontId="3" fillId="0" borderId="63" applyBorder="0">
      <protection locked="0"/>
    </xf>
    <xf numFmtId="0" fontId="3" fillId="0" borderId="63" applyBorder="0">
      <protection locked="0"/>
    </xf>
    <xf numFmtId="0" fontId="3" fillId="0" borderId="63" applyBorder="0">
      <protection locked="0"/>
    </xf>
    <xf numFmtId="198" fontId="3" fillId="0" borderId="63" applyBorder="0">
      <protection locked="0"/>
    </xf>
    <xf numFmtId="0" fontId="78" fillId="0" borderId="0"/>
    <xf numFmtId="0" fontId="78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2" fillId="0" borderId="63" applyNumberFormat="0" applyBorder="0"/>
    <xf numFmtId="0" fontId="37" fillId="16" borderId="0" applyNumberFormat="0" applyBorder="0" applyAlignment="0" applyProtection="0"/>
    <xf numFmtId="0" fontId="37" fillId="14" borderId="0" applyNumberFormat="0" applyBorder="0" applyAlignment="0" applyProtection="0"/>
    <xf numFmtId="0" fontId="37" fillId="12" borderId="0" applyNumberFormat="0" applyBorder="0" applyAlignment="0" applyProtection="0"/>
    <xf numFmtId="0" fontId="37" fillId="10" borderId="0" applyNumberFormat="0" applyBorder="0" applyAlignment="0" applyProtection="0"/>
    <xf numFmtId="0" fontId="37" fillId="8" borderId="0" applyNumberFormat="0" applyBorder="0" applyAlignment="0" applyProtection="0"/>
    <xf numFmtId="0" fontId="37" fillId="6" borderId="0" applyNumberFormat="0" applyBorder="0" applyAlignment="0" applyProtection="0"/>
    <xf numFmtId="0" fontId="37" fillId="15" borderId="0" applyNumberFormat="0" applyBorder="0" applyAlignment="0" applyProtection="0"/>
    <xf numFmtId="0" fontId="37" fillId="13" borderId="0" applyNumberFormat="0" applyBorder="0" applyAlignment="0" applyProtection="0"/>
    <xf numFmtId="0" fontId="37" fillId="11" borderId="0" applyNumberFormat="0" applyBorder="0" applyAlignment="0" applyProtection="0"/>
    <xf numFmtId="0" fontId="37" fillId="9" borderId="0" applyNumberFormat="0" applyBorder="0" applyAlignment="0" applyProtection="0"/>
    <xf numFmtId="0" fontId="37" fillId="7" borderId="0" applyNumberFormat="0" applyBorder="0" applyAlignment="0" applyProtection="0"/>
    <xf numFmtId="0" fontId="37" fillId="5" borderId="0" applyNumberFormat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" fillId="0" borderId="0"/>
    <xf numFmtId="0" fontId="1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9" fillId="3" borderId="0" applyNumberFormat="0" applyBorder="0" applyAlignment="0" applyProtection="0"/>
    <xf numFmtId="0" fontId="8" fillId="2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44" fillId="2" borderId="0" applyNumberFormat="0" applyBorder="0" applyAlignment="0" applyProtection="0"/>
    <xf numFmtId="0" fontId="1" fillId="12" borderId="0" applyNumberFormat="0" applyBorder="0" applyAlignment="0" applyProtection="0"/>
    <xf numFmtId="0" fontId="139" fillId="0" borderId="0"/>
    <xf numFmtId="0" fontId="14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4" borderId="4" applyNumberFormat="0" applyFon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" fillId="0" borderId="0"/>
    <xf numFmtId="0" fontId="139" fillId="0" borderId="0"/>
    <xf numFmtId="0" fontId="139" fillId="0" borderId="0"/>
    <xf numFmtId="0" fontId="139" fillId="0" borderId="0"/>
    <xf numFmtId="0" fontId="3" fillId="0" borderId="0"/>
    <xf numFmtId="0" fontId="139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4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4" borderId="4" applyNumberFormat="0" applyFont="0" applyAlignment="0" applyProtection="0"/>
    <xf numFmtId="0" fontId="11" fillId="0" borderId="0" applyNumberFormat="0" applyFill="0" applyBorder="0" applyAlignment="0" applyProtection="0"/>
    <xf numFmtId="0" fontId="144" fillId="0" borderId="0"/>
    <xf numFmtId="0" fontId="145" fillId="3" borderId="0" applyNumberFormat="0" applyBorder="0" applyAlignment="0" applyProtection="0"/>
    <xf numFmtId="0" fontId="144" fillId="0" borderId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46" fillId="0" borderId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0" fontId="14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6" fillId="0" borderId="0"/>
    <xf numFmtId="43" fontId="3" fillId="0" borderId="0" applyFont="0" applyFill="0" applyBorder="0" applyAlignment="0" applyProtection="0"/>
    <xf numFmtId="0" fontId="14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8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  <xf numFmtId="0" fontId="171" fillId="0" borderId="0"/>
    <xf numFmtId="0" fontId="171" fillId="0" borderId="0"/>
    <xf numFmtId="0" fontId="171" fillId="0" borderId="0"/>
    <xf numFmtId="0" fontId="34" fillId="0" borderId="0"/>
    <xf numFmtId="0" fontId="34" fillId="0" borderId="0"/>
    <xf numFmtId="0" fontId="34" fillId="0" borderId="0"/>
  </cellStyleXfs>
  <cellXfs count="1172"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 wrapText="1"/>
    </xf>
    <xf numFmtId="0" fontId="136" fillId="35" borderId="1" xfId="0" applyFont="1" applyFill="1" applyBorder="1" applyAlignment="1">
      <alignment horizontal="left" vertical="center" wrapText="1"/>
    </xf>
    <xf numFmtId="0" fontId="136" fillId="35" borderId="1" xfId="0" applyFont="1" applyFill="1" applyBorder="1" applyAlignment="1">
      <alignment horizontal="center" vertical="center" wrapText="1"/>
    </xf>
    <xf numFmtId="0" fontId="136" fillId="35" borderId="2" xfId="0" applyFont="1" applyFill="1" applyBorder="1" applyAlignment="1">
      <alignment horizontal="center" vertical="center" wrapText="1"/>
    </xf>
    <xf numFmtId="166" fontId="6" fillId="18" borderId="1" xfId="1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9" fontId="6" fillId="0" borderId="2" xfId="2" applyFont="1" applyBorder="1" applyAlignment="1">
      <alignment horizontal="center" vertical="center"/>
    </xf>
    <xf numFmtId="0" fontId="31" fillId="35" borderId="1" xfId="0" applyFont="1" applyFill="1" applyBorder="1" applyAlignment="1">
      <alignment horizontal="left" vertical="center"/>
    </xf>
    <xf numFmtId="166" fontId="31" fillId="35" borderId="1" xfId="1" applyNumberFormat="1" applyFont="1" applyFill="1" applyBorder="1" applyAlignment="1">
      <alignment horizontal="center" vertical="center"/>
    </xf>
    <xf numFmtId="9" fontId="31" fillId="35" borderId="2" xfId="2" applyFont="1" applyFill="1" applyBorder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9" fontId="6" fillId="0" borderId="0" xfId="2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66" fontId="31" fillId="0" borderId="0" xfId="0" applyNumberFormat="1" applyFont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9" fontId="6" fillId="0" borderId="3" xfId="2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7" fillId="35" borderId="16" xfId="0" applyFont="1" applyFill="1" applyBorder="1" applyAlignment="1">
      <alignment horizontal="left" vertical="center"/>
    </xf>
    <xf numFmtId="166" fontId="137" fillId="35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8" fillId="0" borderId="0" xfId="0" applyFont="1" applyAlignment="1">
      <alignment vertical="center"/>
    </xf>
    <xf numFmtId="43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31" fillId="103" borderId="3" xfId="0" applyFont="1" applyFill="1" applyBorder="1" applyAlignment="1">
      <alignment horizontal="center" vertical="center"/>
    </xf>
    <xf numFmtId="0" fontId="31" fillId="103" borderId="7" xfId="0" applyFont="1" applyFill="1" applyBorder="1" applyAlignment="1">
      <alignment horizontal="center" vertical="center"/>
    </xf>
    <xf numFmtId="0" fontId="31" fillId="103" borderId="1" xfId="0" applyFont="1" applyFill="1" applyBorder="1" applyAlignment="1">
      <alignment horizontal="center" vertical="center"/>
    </xf>
    <xf numFmtId="0" fontId="6" fillId="103" borderId="2" xfId="0" applyFont="1" applyFill="1" applyBorder="1" applyAlignment="1">
      <alignment horizontal="left" vertical="center"/>
    </xf>
    <xf numFmtId="0" fontId="31" fillId="103" borderId="2" xfId="0" applyFont="1" applyFill="1" applyBorder="1" applyAlignment="1">
      <alignment horizontal="left" vertical="center"/>
    </xf>
    <xf numFmtId="0" fontId="31" fillId="103" borderId="1" xfId="0" applyFont="1" applyFill="1" applyBorder="1" applyAlignment="1">
      <alignment horizontal="left" vertical="center"/>
    </xf>
    <xf numFmtId="0" fontId="29" fillId="103" borderId="2" xfId="0" applyFont="1" applyFill="1" applyBorder="1" applyAlignment="1">
      <alignment horizontal="left" vertical="center"/>
    </xf>
    <xf numFmtId="43" fontId="6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left" vertical="center"/>
    </xf>
    <xf numFmtId="166" fontId="4" fillId="0" borderId="0" xfId="1" applyNumberFormat="1" applyFont="1" applyAlignment="1">
      <alignment horizontal="left" vertical="center"/>
    </xf>
    <xf numFmtId="169" fontId="6" fillId="0" borderId="2" xfId="2" applyNumberFormat="1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 vertical="center"/>
    </xf>
    <xf numFmtId="166" fontId="142" fillId="36" borderId="3" xfId="5095" applyNumberFormat="1" applyFont="1" applyFill="1" applyBorder="1" applyAlignment="1">
      <alignment horizontal="center" vertical="center"/>
    </xf>
    <xf numFmtId="166" fontId="142" fillId="36" borderId="7" xfId="5095" applyNumberFormat="1" applyFont="1" applyFill="1" applyBorder="1" applyAlignment="1">
      <alignment horizontal="center" vertical="center"/>
    </xf>
    <xf numFmtId="166" fontId="142" fillId="36" borderId="2" xfId="5095" applyNumberFormat="1" applyFont="1" applyFill="1" applyBorder="1" applyAlignment="1">
      <alignment horizontal="center" vertical="center"/>
    </xf>
    <xf numFmtId="166" fontId="142" fillId="36" borderId="3" xfId="5098" applyNumberFormat="1" applyFont="1" applyFill="1" applyBorder="1" applyAlignment="1">
      <alignment horizontal="center" vertical="center"/>
    </xf>
    <xf numFmtId="166" fontId="142" fillId="36" borderId="3" xfId="5101" applyNumberFormat="1" applyFont="1" applyFill="1" applyBorder="1" applyAlignment="1">
      <alignment horizontal="center" vertical="center"/>
    </xf>
    <xf numFmtId="166" fontId="142" fillId="36" borderId="3" xfId="5104" applyNumberFormat="1" applyFont="1" applyFill="1" applyBorder="1" applyAlignment="1">
      <alignment horizontal="center" vertical="center"/>
    </xf>
    <xf numFmtId="166" fontId="6" fillId="104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0" fontId="31" fillId="103" borderId="0" xfId="0" applyFont="1" applyFill="1" applyAlignment="1">
      <alignment horizontal="left" vertical="center"/>
    </xf>
    <xf numFmtId="0" fontId="31" fillId="104" borderId="0" xfId="0" applyFont="1" applyFill="1" applyAlignment="1">
      <alignment horizontal="left" vertical="center"/>
    </xf>
    <xf numFmtId="0" fontId="6" fillId="104" borderId="0" xfId="0" applyFont="1" applyFill="1" applyAlignment="1">
      <alignment horizontal="center" vertical="center"/>
    </xf>
    <xf numFmtId="0" fontId="31" fillId="104" borderId="65" xfId="0" applyFont="1" applyFill="1" applyBorder="1" applyAlignment="1">
      <alignment horizontal="left" vertical="center"/>
    </xf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36" fillId="35" borderId="0" xfId="0" applyFont="1" applyFill="1" applyAlignment="1">
      <alignment horizontal="center" vertical="center" wrapText="1"/>
    </xf>
    <xf numFmtId="9" fontId="6" fillId="104" borderId="1" xfId="2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6" fontId="31" fillId="35" borderId="1" xfId="0" applyNumberFormat="1" applyFont="1" applyFill="1" applyBorder="1" applyAlignment="1">
      <alignment horizontal="left" vertical="center"/>
    </xf>
    <xf numFmtId="166" fontId="31" fillId="35" borderId="1" xfId="0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0" fontId="150" fillId="0" borderId="0" xfId="0" applyFont="1" applyAlignment="1">
      <alignment horizontal="center" vertical="center"/>
    </xf>
    <xf numFmtId="9" fontId="4" fillId="0" borderId="2" xfId="2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6" fillId="0" borderId="0" xfId="0" applyFont="1" applyAlignment="1" applyProtection="1">
      <alignment horizontal="left" vertical="center"/>
      <protection locked="0"/>
    </xf>
    <xf numFmtId="0" fontId="31" fillId="103" borderId="7" xfId="0" applyFont="1" applyFill="1" applyBorder="1" applyAlignment="1" applyProtection="1">
      <alignment horizontal="left" vertical="center"/>
      <protection locked="0"/>
    </xf>
    <xf numFmtId="0" fontId="135" fillId="35" borderId="0" xfId="0" applyFont="1" applyFill="1" applyAlignment="1" applyProtection="1">
      <alignment horizontal="left" vertical="center" wrapText="1"/>
      <protection locked="0"/>
    </xf>
    <xf numFmtId="9" fontId="6" fillId="0" borderId="1" xfId="2" applyFont="1" applyBorder="1" applyAlignment="1" applyProtection="1">
      <alignment horizontal="left" vertical="center"/>
      <protection locked="0"/>
    </xf>
    <xf numFmtId="166" fontId="6" fillId="35" borderId="0" xfId="0" applyNumberFormat="1" applyFont="1" applyFill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left" vertical="center"/>
      <protection locked="0"/>
    </xf>
    <xf numFmtId="0" fontId="6" fillId="35" borderId="0" xfId="0" applyFont="1" applyFill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left" vertical="center"/>
      <protection locked="0"/>
    </xf>
    <xf numFmtId="166" fontId="4" fillId="0" borderId="1" xfId="1" applyNumberFormat="1" applyFont="1" applyBorder="1" applyAlignment="1" applyProtection="1">
      <alignment horizontal="left" vertical="center"/>
      <protection locked="0"/>
    </xf>
    <xf numFmtId="0" fontId="31" fillId="35" borderId="0" xfId="0" applyFont="1" applyFill="1" applyAlignment="1" applyProtection="1">
      <alignment horizontal="left" vertical="center"/>
      <protection locked="0"/>
    </xf>
    <xf numFmtId="0" fontId="6" fillId="0" borderId="1" xfId="0" quotePrefix="1" applyFont="1" applyBorder="1" applyAlignment="1" applyProtection="1">
      <alignment horizontal="left" vertical="center"/>
      <protection locked="0"/>
    </xf>
    <xf numFmtId="166" fontId="4" fillId="0" borderId="1" xfId="1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35" borderId="0" xfId="0" applyFont="1" applyFill="1" applyAlignment="1" applyProtection="1">
      <alignment horizontal="center" vertical="center"/>
      <protection locked="0"/>
    </xf>
    <xf numFmtId="166" fontId="31" fillId="35" borderId="0" xfId="0" applyNumberFormat="1" applyFont="1" applyFill="1" applyAlignment="1" applyProtection="1">
      <alignment horizontal="left" vertical="center"/>
      <protection locked="0"/>
    </xf>
    <xf numFmtId="0" fontId="142" fillId="0" borderId="0" xfId="4299" applyFont="1" applyProtection="1">
      <protection locked="0"/>
    </xf>
    <xf numFmtId="166" fontId="4" fillId="0" borderId="1" xfId="0" applyNumberFormat="1" applyFont="1" applyBorder="1" applyAlignment="1" applyProtection="1">
      <alignment vertical="center"/>
      <protection locked="0"/>
    </xf>
    <xf numFmtId="9" fontId="4" fillId="0" borderId="1" xfId="2" applyFont="1" applyFill="1" applyBorder="1" applyAlignment="1">
      <alignment horizontal="center" vertical="center"/>
    </xf>
    <xf numFmtId="0" fontId="4" fillId="105" borderId="1" xfId="0" applyFont="1" applyFill="1" applyBorder="1" applyAlignment="1">
      <alignment horizontal="left" vertical="center"/>
    </xf>
    <xf numFmtId="166" fontId="4" fillId="0" borderId="1" xfId="1" applyNumberFormat="1" applyFont="1" applyBorder="1" applyAlignment="1" applyProtection="1">
      <alignment horizontal="left" vertical="center" wrapText="1"/>
      <protection locked="0"/>
    </xf>
    <xf numFmtId="14" fontId="6" fillId="0" borderId="0" xfId="0" applyNumberFormat="1" applyFont="1" applyAlignment="1">
      <alignment horizontal="center" vertical="center"/>
    </xf>
    <xf numFmtId="9" fontId="0" fillId="0" borderId="0" xfId="0" applyNumberFormat="1"/>
    <xf numFmtId="43" fontId="0" fillId="0" borderId="0" xfId="0" applyNumberFormat="1"/>
    <xf numFmtId="9" fontId="0" fillId="0" borderId="0" xfId="2" applyFont="1"/>
    <xf numFmtId="9" fontId="6" fillId="0" borderId="2" xfId="2" applyFont="1" applyFill="1" applyBorder="1" applyAlignment="1">
      <alignment horizontal="center" vertical="center"/>
    </xf>
    <xf numFmtId="9" fontId="137" fillId="35" borderId="16" xfId="2" applyFont="1" applyFill="1" applyBorder="1" applyAlignment="1">
      <alignment horizontal="center" vertical="center"/>
    </xf>
    <xf numFmtId="166" fontId="6" fillId="0" borderId="0" xfId="0" applyNumberFormat="1" applyFont="1" applyAlignment="1" applyProtection="1">
      <alignment horizontal="left" vertical="center"/>
      <protection locked="0"/>
    </xf>
    <xf numFmtId="0" fontId="0" fillId="107" borderId="0" xfId="0" applyFill="1"/>
    <xf numFmtId="0" fontId="153" fillId="0" borderId="0" xfId="0" applyFont="1"/>
    <xf numFmtId="9" fontId="153" fillId="0" borderId="0" xfId="0" applyNumberFormat="1" applyFont="1"/>
    <xf numFmtId="0" fontId="0" fillId="109" borderId="0" xfId="0" applyFill="1"/>
    <xf numFmtId="0" fontId="142" fillId="109" borderId="0" xfId="0" applyFont="1" applyFill="1" applyAlignment="1">
      <alignment horizontal="left" vertical="center"/>
    </xf>
    <xf numFmtId="0" fontId="142" fillId="109" borderId="0" xfId="0" applyFont="1" applyFill="1"/>
    <xf numFmtId="0" fontId="2" fillId="110" borderId="67" xfId="0" applyFont="1" applyFill="1" applyBorder="1"/>
    <xf numFmtId="0" fontId="2" fillId="110" borderId="0" xfId="0" applyFont="1" applyFill="1"/>
    <xf numFmtId="166" fontId="0" fillId="108" borderId="0" xfId="1" applyNumberFormat="1" applyFont="1" applyFill="1"/>
    <xf numFmtId="0" fontId="0" fillId="0" borderId="9" xfId="0" applyBorder="1"/>
    <xf numFmtId="0" fontId="136" fillId="35" borderId="68" xfId="0" applyFont="1" applyFill="1" applyBorder="1" applyAlignment="1">
      <alignment horizontal="center" vertical="center" wrapText="1"/>
    </xf>
    <xf numFmtId="0" fontId="136" fillId="35" borderId="17" xfId="0" applyFont="1" applyFill="1" applyBorder="1" applyAlignment="1">
      <alignment horizontal="center" vertical="center" wrapText="1"/>
    </xf>
    <xf numFmtId="0" fontId="0" fillId="0" borderId="15" xfId="0" applyBorder="1"/>
    <xf numFmtId="166" fontId="0" fillId="0" borderId="0" xfId="1" applyNumberFormat="1" applyFont="1" applyBorder="1"/>
    <xf numFmtId="0" fontId="136" fillId="35" borderId="11" xfId="0" applyFont="1" applyFill="1" applyBorder="1" applyAlignment="1">
      <alignment horizontal="center" vertical="center" wrapText="1"/>
    </xf>
    <xf numFmtId="0" fontId="6" fillId="111" borderId="0" xfId="0" applyFont="1" applyFill="1" applyAlignment="1">
      <alignment horizontal="left" vertical="center"/>
    </xf>
    <xf numFmtId="166" fontId="6" fillId="111" borderId="0" xfId="1" applyNumberFormat="1" applyFont="1" applyFill="1" applyAlignment="1">
      <alignment horizontal="center" vertical="center"/>
    </xf>
    <xf numFmtId="0" fontId="6" fillId="111" borderId="0" xfId="0" applyFont="1" applyFill="1" applyAlignment="1">
      <alignment horizontal="center" vertical="center"/>
    </xf>
    <xf numFmtId="0" fontId="6" fillId="111" borderId="0" xfId="0" applyFont="1" applyFill="1" applyAlignment="1" applyProtection="1">
      <alignment horizontal="left" vertical="center"/>
      <protection locked="0"/>
    </xf>
    <xf numFmtId="0" fontId="0" fillId="112" borderId="0" xfId="0" applyFill="1" applyAlignment="1">
      <alignment horizontal="right"/>
    </xf>
    <xf numFmtId="0" fontId="0" fillId="107" borderId="0" xfId="0" applyFill="1" applyAlignment="1">
      <alignment horizontal="left"/>
    </xf>
    <xf numFmtId="166" fontId="0" fillId="107" borderId="0" xfId="0" applyNumberFormat="1" applyFill="1"/>
    <xf numFmtId="166" fontId="0" fillId="0" borderId="0" xfId="1" applyNumberFormat="1" applyFont="1" applyFill="1" applyBorder="1"/>
    <xf numFmtId="0" fontId="0" fillId="113" borderId="0" xfId="0" applyFill="1"/>
    <xf numFmtId="0" fontId="2" fillId="105" borderId="15" xfId="0" applyFont="1" applyFill="1" applyBorder="1" applyAlignment="1">
      <alignment horizontal="left"/>
    </xf>
    <xf numFmtId="0" fontId="0" fillId="0" borderId="15" xfId="0" applyBorder="1" applyAlignment="1">
      <alignment horizontal="left"/>
    </xf>
    <xf numFmtId="16" fontId="0" fillId="0" borderId="0" xfId="0" applyNumberFormat="1"/>
    <xf numFmtId="0" fontId="149" fillId="109" borderId="0" xfId="0" applyFont="1" applyFill="1" applyAlignment="1">
      <alignment horizontal="left" vertical="center"/>
    </xf>
    <xf numFmtId="0" fontId="23" fillId="0" borderId="0" xfId="0" applyFont="1"/>
    <xf numFmtId="44" fontId="0" fillId="0" borderId="0" xfId="5147" applyFont="1"/>
    <xf numFmtId="0" fontId="155" fillId="0" borderId="1" xfId="0" applyFont="1" applyBorder="1" applyAlignment="1">
      <alignment vertical="center" wrapText="1"/>
    </xf>
    <xf numFmtId="16" fontId="155" fillId="0" borderId="1" xfId="0" applyNumberFormat="1" applyFont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 wrapText="1"/>
    </xf>
    <xf numFmtId="0" fontId="154" fillId="0" borderId="0" xfId="0" applyFont="1" applyAlignment="1">
      <alignment wrapText="1"/>
    </xf>
    <xf numFmtId="0" fontId="155" fillId="115" borderId="1" xfId="0" applyFont="1" applyFill="1" applyBorder="1" applyAlignment="1">
      <alignment vertical="center" wrapText="1"/>
    </xf>
    <xf numFmtId="0" fontId="155" fillId="116" borderId="1" xfId="0" applyFont="1" applyFill="1" applyBorder="1" applyAlignment="1">
      <alignment vertical="center" wrapText="1"/>
    </xf>
    <xf numFmtId="0" fontId="155" fillId="117" borderId="1" xfId="0" applyFont="1" applyFill="1" applyBorder="1" applyAlignment="1">
      <alignment vertical="center" wrapText="1"/>
    </xf>
    <xf numFmtId="0" fontId="155" fillId="118" borderId="1" xfId="0" applyFont="1" applyFill="1" applyBorder="1" applyAlignment="1">
      <alignment vertical="center" wrapText="1"/>
    </xf>
    <xf numFmtId="0" fontId="154" fillId="0" borderId="1" xfId="0" applyFont="1" applyBorder="1" applyAlignment="1">
      <alignment wrapText="1"/>
    </xf>
    <xf numFmtId="0" fontId="154" fillId="106" borderId="1" xfId="0" applyFont="1" applyFill="1" applyBorder="1" applyAlignment="1">
      <alignment horizontal="center" vertical="center" wrapText="1"/>
    </xf>
    <xf numFmtId="0" fontId="23" fillId="106" borderId="1" xfId="0" applyFont="1" applyFill="1" applyBorder="1" applyAlignment="1">
      <alignment horizontal="center" vertical="center" wrapText="1"/>
    </xf>
    <xf numFmtId="0" fontId="154" fillId="106" borderId="6" xfId="0" applyFont="1" applyFill="1" applyBorder="1" applyAlignment="1">
      <alignment horizontal="center" vertical="center" wrapText="1"/>
    </xf>
    <xf numFmtId="0" fontId="154" fillId="106" borderId="5" xfId="0" applyFont="1" applyFill="1" applyBorder="1" applyAlignment="1">
      <alignment horizontal="center" vertical="center" wrapText="1"/>
    </xf>
    <xf numFmtId="0" fontId="154" fillId="106" borderId="66" xfId="0" applyFont="1" applyFill="1" applyBorder="1" applyAlignment="1">
      <alignment horizontal="center" vertical="center" wrapText="1"/>
    </xf>
    <xf numFmtId="0" fontId="155" fillId="119" borderId="1" xfId="0" applyFont="1" applyFill="1" applyBorder="1" applyAlignment="1">
      <alignment vertical="center" wrapText="1"/>
    </xf>
    <xf numFmtId="0" fontId="154" fillId="105" borderId="1" xfId="0" applyFont="1" applyFill="1" applyBorder="1" applyAlignment="1">
      <alignment horizontal="center" vertical="center" wrapText="1"/>
    </xf>
    <xf numFmtId="0" fontId="10" fillId="35" borderId="0" xfId="0" applyFont="1" applyFill="1"/>
    <xf numFmtId="166" fontId="10" fillId="35" borderId="0" xfId="1" applyNumberFormat="1" applyFont="1" applyFill="1"/>
    <xf numFmtId="166" fontId="10" fillId="35" borderId="0" xfId="1" applyNumberFormat="1" applyFont="1" applyFill="1" applyBorder="1"/>
    <xf numFmtId="0" fontId="158" fillId="0" borderId="12" xfId="0" applyFont="1" applyBorder="1"/>
    <xf numFmtId="166" fontId="158" fillId="114" borderId="13" xfId="1" applyNumberFormat="1" applyFont="1" applyFill="1" applyBorder="1"/>
    <xf numFmtId="166" fontId="158" fillId="0" borderId="13" xfId="0" applyNumberFormat="1" applyFont="1" applyBorder="1"/>
    <xf numFmtId="166" fontId="158" fillId="0" borderId="14" xfId="0" applyNumberFormat="1" applyFont="1" applyBorder="1"/>
    <xf numFmtId="44" fontId="158" fillId="0" borderId="0" xfId="5147" applyFont="1"/>
    <xf numFmtId="0" fontId="158" fillId="0" borderId="0" xfId="0" applyFont="1"/>
    <xf numFmtId="9" fontId="0" fillId="0" borderId="0" xfId="2" applyFont="1" applyBorder="1"/>
    <xf numFmtId="0" fontId="2" fillId="109" borderId="15" xfId="0" applyFont="1" applyFill="1" applyBorder="1"/>
    <xf numFmtId="0" fontId="2" fillId="109" borderId="15" xfId="0" applyFont="1" applyFill="1" applyBorder="1" applyAlignment="1">
      <alignment horizontal="left"/>
    </xf>
    <xf numFmtId="0" fontId="2" fillId="0" borderId="0" xfId="0" applyFont="1"/>
    <xf numFmtId="166" fontId="158" fillId="0" borderId="0" xfId="0" applyNumberFormat="1" applyFont="1"/>
    <xf numFmtId="44" fontId="2" fillId="0" borderId="0" xfId="5147" applyFont="1"/>
    <xf numFmtId="0" fontId="0" fillId="109" borderId="0" xfId="0" applyFill="1" applyAlignment="1">
      <alignment horizontal="left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left" vertical="center"/>
    </xf>
    <xf numFmtId="0" fontId="161" fillId="0" borderId="1" xfId="0" applyFont="1" applyBorder="1" applyAlignment="1">
      <alignment horizontal="left" vertical="center"/>
    </xf>
    <xf numFmtId="166" fontId="161" fillId="0" borderId="1" xfId="0" applyNumberFormat="1" applyFont="1" applyBorder="1" applyAlignment="1">
      <alignment horizontal="center" vertical="center"/>
    </xf>
    <xf numFmtId="166" fontId="161" fillId="0" borderId="1" xfId="1" applyNumberFormat="1" applyFont="1" applyBorder="1" applyAlignment="1">
      <alignment horizontal="center" vertical="center"/>
    </xf>
    <xf numFmtId="0" fontId="160" fillId="0" borderId="1" xfId="0" applyFont="1" applyBorder="1"/>
    <xf numFmtId="0" fontId="142" fillId="0" borderId="0" xfId="0" applyFont="1" applyAlignment="1">
      <alignment horizontal="left" vertical="center"/>
    </xf>
    <xf numFmtId="0" fontId="156" fillId="0" borderId="0" xfId="0" applyFont="1" applyAlignment="1">
      <alignment horizontal="left" vertical="center"/>
    </xf>
    <xf numFmtId="166" fontId="0" fillId="113" borderId="0" xfId="1" applyNumberFormat="1" applyFont="1" applyFill="1"/>
    <xf numFmtId="225" fontId="149" fillId="113" borderId="1" xfId="1" applyNumberFormat="1" applyFont="1" applyFill="1" applyBorder="1" applyAlignment="1" applyProtection="1">
      <alignment wrapText="1"/>
      <protection locked="0"/>
    </xf>
    <xf numFmtId="0" fontId="149" fillId="113" borderId="1" xfId="4299" applyFont="1" applyFill="1" applyBorder="1" applyAlignment="1" applyProtection="1">
      <alignment wrapText="1"/>
      <protection locked="0"/>
    </xf>
    <xf numFmtId="0" fontId="149" fillId="113" borderId="1" xfId="4299" applyFont="1" applyFill="1" applyBorder="1" applyAlignment="1">
      <alignment wrapText="1"/>
    </xf>
    <xf numFmtId="166" fontId="149" fillId="113" borderId="1" xfId="1" applyNumberFormat="1" applyFont="1" applyFill="1" applyBorder="1" applyAlignment="1" applyProtection="1">
      <alignment wrapText="1"/>
      <protection locked="0"/>
    </xf>
    <xf numFmtId="0" fontId="142" fillId="113" borderId="1" xfId="4299" applyFont="1" applyFill="1" applyBorder="1" applyProtection="1">
      <protection locked="0"/>
    </xf>
    <xf numFmtId="0" fontId="142" fillId="113" borderId="1" xfId="4299" applyFont="1" applyFill="1" applyBorder="1"/>
    <xf numFmtId="43" fontId="142" fillId="113" borderId="1" xfId="1" applyFont="1" applyFill="1" applyBorder="1" applyProtection="1">
      <protection locked="0"/>
    </xf>
    <xf numFmtId="166" fontId="142" fillId="113" borderId="1" xfId="1" applyNumberFormat="1" applyFont="1" applyFill="1" applyBorder="1" applyProtection="1">
      <protection locked="0"/>
    </xf>
    <xf numFmtId="0" fontId="0" fillId="113" borderId="0" xfId="0" applyFill="1" applyAlignment="1">
      <alignment horizontal="center"/>
    </xf>
    <xf numFmtId="166" fontId="0" fillId="113" borderId="0" xfId="0" applyNumberFormat="1" applyFill="1"/>
    <xf numFmtId="166" fontId="136" fillId="35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Border="1" applyAlignment="1">
      <alignment vertical="center"/>
    </xf>
    <xf numFmtId="166" fontId="31" fillId="35" borderId="1" xfId="1" applyNumberFormat="1" applyFont="1" applyFill="1" applyBorder="1" applyAlignment="1">
      <alignment horizontal="left" vertical="center"/>
    </xf>
    <xf numFmtId="166" fontId="31" fillId="104" borderId="0" xfId="1" applyNumberFormat="1" applyFont="1" applyFill="1" applyAlignment="1">
      <alignment horizontal="left" vertical="center"/>
    </xf>
    <xf numFmtId="166" fontId="4" fillId="0" borderId="0" xfId="1" applyNumberFormat="1" applyFont="1" applyAlignment="1">
      <alignment horizontal="center" vertical="center"/>
    </xf>
    <xf numFmtId="166" fontId="31" fillId="0" borderId="0" xfId="1" applyNumberFormat="1" applyFont="1" applyAlignment="1">
      <alignment horizontal="center" vertical="center"/>
    </xf>
    <xf numFmtId="166" fontId="137" fillId="35" borderId="16" xfId="1" applyNumberFormat="1" applyFont="1" applyFill="1" applyBorder="1" applyAlignment="1">
      <alignment horizontal="center" vertical="center"/>
    </xf>
    <xf numFmtId="0" fontId="162" fillId="109" borderId="1" xfId="0" applyFont="1" applyFill="1" applyBorder="1" applyAlignment="1">
      <alignment horizontal="center" vertical="center"/>
    </xf>
    <xf numFmtId="0" fontId="29" fillId="121" borderId="1" xfId="0" applyFont="1" applyFill="1" applyBorder="1" applyAlignment="1">
      <alignment horizontal="center" vertical="center"/>
    </xf>
    <xf numFmtId="0" fontId="0" fillId="104" borderId="0" xfId="0" applyFill="1"/>
    <xf numFmtId="225" fontId="0" fillId="0" borderId="0" xfId="1" applyNumberFormat="1" applyFont="1" applyBorder="1"/>
    <xf numFmtId="166" fontId="0" fillId="0" borderId="13" xfId="1" applyNumberFormat="1" applyFont="1" applyBorder="1"/>
    <xf numFmtId="0" fontId="4" fillId="0" borderId="0" xfId="0" applyFont="1" applyAlignment="1">
      <alignment horizontal="left" vertical="center" wrapText="1"/>
    </xf>
    <xf numFmtId="0" fontId="158" fillId="0" borderId="0" xfId="0" applyFont="1" applyAlignment="1">
      <alignment horizontal="left"/>
    </xf>
    <xf numFmtId="0" fontId="0" fillId="105" borderId="0" xfId="0" applyFill="1"/>
    <xf numFmtId="0" fontId="0" fillId="0" borderId="0" xfId="0" applyAlignment="1">
      <alignment horizontal="right"/>
    </xf>
    <xf numFmtId="44" fontId="0" fillId="0" borderId="0" xfId="5147" applyFont="1" applyFill="1"/>
    <xf numFmtId="0" fontId="163" fillId="0" borderId="0" xfId="0" applyFont="1" applyAlignment="1">
      <alignment horizontal="left"/>
    </xf>
    <xf numFmtId="9" fontId="0" fillId="105" borderId="0" xfId="0" applyNumberFormat="1" applyFill="1"/>
    <xf numFmtId="0" fontId="164" fillId="0" borderId="0" xfId="0" applyFont="1"/>
    <xf numFmtId="0" fontId="0" fillId="0" borderId="63" xfId="0" applyBorder="1"/>
    <xf numFmtId="0" fontId="136" fillId="35" borderId="63" xfId="0" applyFont="1" applyFill="1" applyBorder="1" applyAlignment="1">
      <alignment horizontal="center" vertical="center" wrapText="1"/>
    </xf>
    <xf numFmtId="0" fontId="136" fillId="35" borderId="6" xfId="0" applyFont="1" applyFill="1" applyBorder="1" applyAlignment="1">
      <alignment horizontal="center" vertical="center" wrapText="1"/>
    </xf>
    <xf numFmtId="166" fontId="6" fillId="0" borderId="13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6" fillId="0" borderId="63" xfId="0" applyNumberFormat="1" applyFont="1" applyBorder="1" applyAlignment="1">
      <alignment horizontal="center" vertical="center"/>
    </xf>
    <xf numFmtId="166" fontId="0" fillId="0" borderId="63" xfId="1" applyNumberFormat="1" applyFont="1" applyBorder="1"/>
    <xf numFmtId="0" fontId="31" fillId="103" borderId="71" xfId="0" applyFont="1" applyFill="1" applyBorder="1" applyAlignment="1">
      <alignment horizontal="center" vertical="center"/>
    </xf>
    <xf numFmtId="0" fontId="31" fillId="103" borderId="73" xfId="0" applyFont="1" applyFill="1" applyBorder="1" applyAlignment="1">
      <alignment horizontal="center" vertical="center"/>
    </xf>
    <xf numFmtId="0" fontId="31" fillId="103" borderId="73" xfId="0" applyFont="1" applyFill="1" applyBorder="1" applyAlignment="1" applyProtection="1">
      <alignment horizontal="left" vertical="center"/>
      <protection locked="0"/>
    </xf>
    <xf numFmtId="0" fontId="162" fillId="109" borderId="0" xfId="0" applyFont="1" applyFill="1" applyAlignment="1">
      <alignment horizontal="center" vertical="center"/>
    </xf>
    <xf numFmtId="0" fontId="29" fillId="121" borderId="0" xfId="0" applyFont="1" applyFill="1" applyAlignment="1">
      <alignment horizontal="center" vertical="center"/>
    </xf>
    <xf numFmtId="166" fontId="161" fillId="0" borderId="0" xfId="1" applyNumberFormat="1" applyFont="1" applyBorder="1" applyAlignment="1">
      <alignment horizontal="center" vertical="center"/>
    </xf>
    <xf numFmtId="0" fontId="160" fillId="0" borderId="15" xfId="0" applyFont="1" applyBorder="1"/>
    <xf numFmtId="9" fontId="6" fillId="0" borderId="72" xfId="2" applyFont="1" applyBorder="1" applyAlignment="1">
      <alignment horizontal="center" vertical="center"/>
    </xf>
    <xf numFmtId="0" fontId="160" fillId="0" borderId="12" xfId="0" applyFont="1" applyBorder="1"/>
    <xf numFmtId="166" fontId="161" fillId="0" borderId="13" xfId="1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9" fontId="6" fillId="0" borderId="14" xfId="2" applyFont="1" applyBorder="1" applyAlignment="1">
      <alignment horizontal="center" vertical="center"/>
    </xf>
    <xf numFmtId="0" fontId="160" fillId="0" borderId="9" xfId="0" applyFont="1" applyBorder="1"/>
    <xf numFmtId="9" fontId="6" fillId="0" borderId="11" xfId="2" applyFont="1" applyBorder="1" applyAlignment="1">
      <alignment horizontal="center" vertical="center"/>
    </xf>
    <xf numFmtId="0" fontId="0" fillId="0" borderId="5" xfId="0" applyBorder="1"/>
    <xf numFmtId="0" fontId="31" fillId="103" borderId="0" xfId="0" applyFont="1" applyFill="1" applyAlignment="1">
      <alignment horizontal="center" vertical="center"/>
    </xf>
    <xf numFmtId="0" fontId="31" fillId="103" borderId="8" xfId="0" applyFont="1" applyFill="1" applyBorder="1" applyAlignment="1">
      <alignment horizontal="center" vertical="center"/>
    </xf>
    <xf numFmtId="0" fontId="31" fillId="103" borderId="8" xfId="0" applyFont="1" applyFill="1" applyBorder="1" applyAlignment="1" applyProtection="1">
      <alignment horizontal="left" vertical="center"/>
      <protection locked="0"/>
    </xf>
    <xf numFmtId="9" fontId="6" fillId="0" borderId="11" xfId="2" applyFont="1" applyFill="1" applyBorder="1" applyAlignment="1">
      <alignment horizontal="left" vertical="center"/>
    </xf>
    <xf numFmtId="9" fontId="6" fillId="0" borderId="72" xfId="2" applyFont="1" applyFill="1" applyBorder="1" applyAlignment="1">
      <alignment horizontal="left" vertical="center"/>
    </xf>
    <xf numFmtId="9" fontId="6" fillId="0" borderId="14" xfId="2" applyFont="1" applyBorder="1" applyAlignment="1">
      <alignment horizontal="left" vertical="center"/>
    </xf>
    <xf numFmtId="226" fontId="0" fillId="0" borderId="0" xfId="1" applyNumberFormat="1" applyFont="1" applyBorder="1"/>
    <xf numFmtId="3" fontId="29" fillId="121" borderId="1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6" fontId="161" fillId="0" borderId="63" xfId="1" applyNumberFormat="1" applyFont="1" applyBorder="1" applyAlignment="1">
      <alignment horizontal="center" vertical="center"/>
    </xf>
    <xf numFmtId="166" fontId="6" fillId="109" borderId="66" xfId="1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6" fontId="6" fillId="0" borderId="66" xfId="1" applyNumberFormat="1" applyFont="1" applyBorder="1" applyAlignment="1">
      <alignment horizontal="center" vertical="center"/>
    </xf>
    <xf numFmtId="166" fontId="165" fillId="0" borderId="66" xfId="1" applyNumberFormat="1" applyFont="1" applyFill="1" applyBorder="1" applyAlignment="1">
      <alignment horizontal="center" vertical="center"/>
    </xf>
    <xf numFmtId="3" fontId="161" fillId="0" borderId="63" xfId="0" applyNumberFormat="1" applyFont="1" applyBorder="1" applyAlignment="1">
      <alignment horizontal="center" vertical="center"/>
    </xf>
    <xf numFmtId="3" fontId="161" fillId="0" borderId="0" xfId="0" applyNumberFormat="1" applyFont="1" applyAlignment="1">
      <alignment horizontal="center" vertical="center"/>
    </xf>
    <xf numFmtId="3" fontId="161" fillId="0" borderId="13" xfId="0" applyNumberFormat="1" applyFont="1" applyBorder="1" applyAlignment="1">
      <alignment horizontal="center" vertical="center"/>
    </xf>
    <xf numFmtId="0" fontId="161" fillId="0" borderId="13" xfId="0" applyFont="1" applyBorder="1" applyAlignment="1">
      <alignment horizontal="center" vertical="center"/>
    </xf>
    <xf numFmtId="0" fontId="161" fillId="0" borderId="0" xfId="0" applyFont="1" applyAlignment="1">
      <alignment horizontal="center" vertical="center"/>
    </xf>
    <xf numFmtId="9" fontId="6" fillId="0" borderId="11" xfId="2" applyFont="1" applyFill="1" applyBorder="1" applyAlignment="1">
      <alignment horizontal="left" vertical="center" wrapText="1"/>
    </xf>
    <xf numFmtId="166" fontId="0" fillId="104" borderId="0" xfId="1" applyNumberFormat="1" applyFont="1" applyFill="1"/>
    <xf numFmtId="14" fontId="0" fillId="104" borderId="0" xfId="1" applyNumberFormat="1" applyFont="1" applyFill="1"/>
    <xf numFmtId="0" fontId="0" fillId="122" borderId="0" xfId="0" applyFill="1"/>
    <xf numFmtId="0" fontId="0" fillId="104" borderId="19" xfId="0" applyFill="1" applyBorder="1"/>
    <xf numFmtId="166" fontId="0" fillId="104" borderId="19" xfId="1" applyNumberFormat="1" applyFont="1" applyFill="1" applyBorder="1" applyAlignment="1"/>
    <xf numFmtId="225" fontId="0" fillId="0" borderId="0" xfId="1" applyNumberFormat="1" applyFont="1"/>
    <xf numFmtId="44" fontId="0" fillId="123" borderId="0" xfId="5147" applyFont="1" applyFill="1"/>
    <xf numFmtId="166" fontId="0" fillId="0" borderId="19" xfId="1" applyNumberFormat="1" applyFont="1" applyBorder="1"/>
    <xf numFmtId="43" fontId="2" fillId="0" borderId="0" xfId="0" applyNumberFormat="1" applyFont="1" applyAlignment="1">
      <alignment horizontal="center"/>
    </xf>
    <xf numFmtId="166" fontId="0" fillId="0" borderId="63" xfId="1" applyNumberFormat="1" applyFont="1" applyFill="1" applyBorder="1"/>
    <xf numFmtId="9" fontId="0" fillId="0" borderId="63" xfId="2" applyFont="1" applyBorder="1"/>
    <xf numFmtId="0" fontId="0" fillId="0" borderId="11" xfId="0" applyBorder="1"/>
    <xf numFmtId="0" fontId="0" fillId="0" borderId="72" xfId="0" applyBorder="1"/>
    <xf numFmtId="9" fontId="0" fillId="0" borderId="19" xfId="2" applyFont="1" applyBorder="1"/>
    <xf numFmtId="0" fontId="0" fillId="0" borderId="64" xfId="0" applyBorder="1"/>
    <xf numFmtId="166" fontId="0" fillId="0" borderId="16" xfId="1" applyNumberFormat="1" applyFont="1" applyBorder="1"/>
    <xf numFmtId="166" fontId="0" fillId="0" borderId="16" xfId="1" applyNumberFormat="1" applyFont="1" applyFill="1" applyBorder="1"/>
    <xf numFmtId="9" fontId="0" fillId="0" borderId="16" xfId="2" applyFont="1" applyBorder="1"/>
    <xf numFmtId="0" fontId="0" fillId="0" borderId="74" xfId="0" applyBorder="1"/>
    <xf numFmtId="0" fontId="2" fillId="103" borderId="0" xfId="0" applyFont="1" applyFill="1"/>
    <xf numFmtId="0" fontId="0" fillId="103" borderId="0" xfId="0" applyFill="1"/>
    <xf numFmtId="9" fontId="2" fillId="0" borderId="0" xfId="2" applyFont="1"/>
    <xf numFmtId="0" fontId="142" fillId="113" borderId="1" xfId="4299" applyFont="1" applyFill="1" applyBorder="1" applyAlignment="1" applyProtection="1">
      <alignment horizontal="left"/>
      <protection locked="0"/>
    </xf>
    <xf numFmtId="0" fontId="34" fillId="109" borderId="0" xfId="0" applyFont="1" applyFill="1"/>
    <xf numFmtId="166" fontId="0" fillId="109" borderId="0" xfId="1" applyNumberFormat="1" applyFont="1" applyFill="1"/>
    <xf numFmtId="3" fontId="165" fillId="0" borderId="1" xfId="0" applyNumberFormat="1" applyFont="1" applyBorder="1" applyAlignment="1">
      <alignment horizontal="center" vertical="center"/>
    </xf>
    <xf numFmtId="3" fontId="166" fillId="125" borderId="1" xfId="0" applyNumberFormat="1" applyFont="1" applyFill="1" applyBorder="1" applyAlignment="1">
      <alignment horizontal="center" vertical="center"/>
    </xf>
    <xf numFmtId="166" fontId="0" fillId="105" borderId="0" xfId="1" applyNumberFormat="1" applyFont="1" applyFill="1"/>
    <xf numFmtId="0" fontId="2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151" fillId="105" borderId="0" xfId="0" applyFont="1" applyFill="1"/>
    <xf numFmtId="0" fontId="34" fillId="126" borderId="0" xfId="0" applyFont="1" applyFill="1"/>
    <xf numFmtId="0" fontId="0" fillId="126" borderId="0" xfId="0" applyFill="1"/>
    <xf numFmtId="166" fontId="0" fillId="126" borderId="0" xfId="1" applyNumberFormat="1" applyFont="1" applyFill="1"/>
    <xf numFmtId="166" fontId="0" fillId="122" borderId="0" xfId="1" applyNumberFormat="1" applyFont="1" applyFill="1"/>
    <xf numFmtId="0" fontId="154" fillId="120" borderId="1" xfId="0" applyFont="1" applyFill="1" applyBorder="1" applyAlignment="1">
      <alignment horizontal="center" vertical="center" wrapText="1"/>
    </xf>
    <xf numFmtId="0" fontId="154" fillId="127" borderId="1" xfId="0" applyFont="1" applyFill="1" applyBorder="1" applyAlignment="1">
      <alignment horizontal="center" vertical="center" wrapText="1"/>
    </xf>
    <xf numFmtId="166" fontId="0" fillId="0" borderId="0" xfId="2" applyNumberFormat="1" applyFont="1" applyBorder="1"/>
    <xf numFmtId="166" fontId="0" fillId="0" borderId="72" xfId="1" applyNumberFormat="1" applyFont="1" applyBorder="1"/>
    <xf numFmtId="0" fontId="0" fillId="0" borderId="0" xfId="0" applyAlignment="1">
      <alignment vertical="center" wrapText="1"/>
    </xf>
    <xf numFmtId="0" fontId="0" fillId="123" borderId="0" xfId="0" applyFill="1"/>
    <xf numFmtId="0" fontId="2" fillId="105" borderId="0" xfId="0" applyFont="1" applyFill="1"/>
    <xf numFmtId="0" fontId="0" fillId="106" borderId="0" xfId="0" applyFill="1"/>
    <xf numFmtId="3" fontId="154" fillId="0" borderId="63" xfId="0" applyNumberFormat="1" applyFont="1" applyBorder="1"/>
    <xf numFmtId="3" fontId="154" fillId="0" borderId="0" xfId="0" applyNumberFormat="1" applyFont="1"/>
    <xf numFmtId="3" fontId="154" fillId="0" borderId="16" xfId="0" applyNumberFormat="1" applyFont="1" applyBorder="1"/>
    <xf numFmtId="3" fontId="154" fillId="0" borderId="19" xfId="0" applyNumberFormat="1" applyFont="1" applyBorder="1"/>
    <xf numFmtId="166" fontId="2" fillId="0" borderId="0" xfId="1" applyNumberFormat="1" applyFont="1" applyBorder="1"/>
    <xf numFmtId="166" fontId="2" fillId="0" borderId="0" xfId="1" applyNumberFormat="1" applyFont="1" applyFill="1" applyBorder="1"/>
    <xf numFmtId="9" fontId="2" fillId="0" borderId="0" xfId="2" applyFont="1" applyBorder="1"/>
    <xf numFmtId="0" fontId="2" fillId="0" borderId="72" xfId="0" applyFont="1" applyBorder="1"/>
    <xf numFmtId="166" fontId="2" fillId="0" borderId="72" xfId="1" applyNumberFormat="1" applyFont="1" applyBorder="1"/>
    <xf numFmtId="3" fontId="155" fillId="0" borderId="0" xfId="0" applyNumberFormat="1" applyFont="1"/>
    <xf numFmtId="166" fontId="2" fillId="0" borderId="0" xfId="0" applyNumberFormat="1" applyFont="1"/>
    <xf numFmtId="166" fontId="2" fillId="0" borderId="16" xfId="1" applyNumberFormat="1" applyFont="1" applyBorder="1"/>
    <xf numFmtId="166" fontId="2" fillId="0" borderId="16" xfId="1" applyNumberFormat="1" applyFont="1" applyFill="1" applyBorder="1"/>
    <xf numFmtId="9" fontId="2" fillId="0" borderId="16" xfId="2" applyFont="1" applyBorder="1"/>
    <xf numFmtId="0" fontId="2" fillId="0" borderId="74" xfId="0" applyFont="1" applyBorder="1"/>
    <xf numFmtId="166" fontId="2" fillId="0" borderId="74" xfId="1" applyNumberFormat="1" applyFont="1" applyBorder="1"/>
    <xf numFmtId="3" fontId="155" fillId="0" borderId="16" xfId="0" applyNumberFormat="1" applyFont="1" applyBorder="1"/>
    <xf numFmtId="166" fontId="0" fillId="0" borderId="63" xfId="0" applyNumberFormat="1" applyBorder="1"/>
    <xf numFmtId="9" fontId="0" fillId="0" borderId="11" xfId="2" applyFont="1" applyBorder="1"/>
    <xf numFmtId="166" fontId="0" fillId="0" borderId="13" xfId="1" applyNumberFormat="1" applyFont="1" applyFill="1" applyBorder="1"/>
    <xf numFmtId="9" fontId="0" fillId="0" borderId="13" xfId="2" applyFont="1" applyBorder="1"/>
    <xf numFmtId="0" fontId="0" fillId="0" borderId="14" xfId="0" applyBorder="1"/>
    <xf numFmtId="0" fontId="0" fillId="0" borderId="13" xfId="0" applyBorder="1"/>
    <xf numFmtId="3" fontId="154" fillId="0" borderId="13" xfId="0" applyNumberFormat="1" applyFont="1" applyBorder="1"/>
    <xf numFmtId="166" fontId="0" fillId="0" borderId="13" xfId="0" applyNumberFormat="1" applyBorder="1"/>
    <xf numFmtId="9" fontId="0" fillId="0" borderId="14" xfId="2" applyFont="1" applyBorder="1"/>
    <xf numFmtId="0" fontId="31" fillId="104" borderId="0" xfId="0" applyFont="1" applyFill="1" applyAlignment="1">
      <alignment horizontal="center" vertical="center"/>
    </xf>
    <xf numFmtId="166" fontId="0" fillId="105" borderId="0" xfId="1" applyNumberFormat="1" applyFont="1" applyFill="1" applyAlignment="1">
      <alignment horizontal="center"/>
    </xf>
    <xf numFmtId="43" fontId="0" fillId="0" borderId="0" xfId="1" applyFont="1"/>
    <xf numFmtId="0" fontId="28" fillId="0" borderId="0" xfId="0" applyFont="1" applyAlignment="1">
      <alignment horizontal="left" vertical="center"/>
    </xf>
    <xf numFmtId="166" fontId="28" fillId="0" borderId="0" xfId="1" applyNumberFormat="1" applyFont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166" fontId="6" fillId="0" borderId="0" xfId="1" applyNumberFormat="1" applyFont="1" applyBorder="1" applyAlignment="1">
      <alignment horizontal="center" vertical="center"/>
    </xf>
    <xf numFmtId="166" fontId="6" fillId="0" borderId="72" xfId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9" fontId="0" fillId="120" borderId="0" xfId="0" applyNumberFormat="1" applyFill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4" fontId="0" fillId="0" borderId="0" xfId="5147" applyFont="1" applyFill="1" applyAlignment="1">
      <alignment horizontal="left" vertical="center" wrapText="1"/>
    </xf>
    <xf numFmtId="0" fontId="0" fillId="0" borderId="0" xfId="0" applyAlignment="1">
      <alignment wrapText="1"/>
    </xf>
    <xf numFmtId="166" fontId="1" fillId="0" borderId="0" xfId="1" applyNumberFormat="1" applyFont="1" applyFill="1" applyBorder="1"/>
    <xf numFmtId="0" fontId="0" fillId="104" borderId="0" xfId="0" applyFill="1" applyAlignment="1">
      <alignment horizontal="center"/>
    </xf>
    <xf numFmtId="9" fontId="0" fillId="0" borderId="0" xfId="2" applyFont="1" applyAlignment="1">
      <alignment wrapText="1"/>
    </xf>
    <xf numFmtId="0" fontId="2" fillId="104" borderId="0" xfId="0" applyFont="1" applyFill="1" applyAlignment="1">
      <alignment horizontal="center"/>
    </xf>
    <xf numFmtId="0" fontId="0" fillId="104" borderId="9" xfId="0" applyFill="1" applyBorder="1" applyAlignment="1">
      <alignment horizontal="center"/>
    </xf>
    <xf numFmtId="0" fontId="0" fillId="104" borderId="6" xfId="0" applyFill="1" applyBorder="1" applyAlignment="1">
      <alignment horizontal="center"/>
    </xf>
    <xf numFmtId="0" fontId="0" fillId="104" borderId="12" xfId="0" applyFill="1" applyBorder="1" applyAlignment="1">
      <alignment horizontal="center"/>
    </xf>
    <xf numFmtId="0" fontId="0" fillId="104" borderId="13" xfId="0" applyFill="1" applyBorder="1" applyAlignment="1">
      <alignment horizontal="center"/>
    </xf>
    <xf numFmtId="0" fontId="0" fillId="104" borderId="77" xfId="0" applyFill="1" applyBorder="1" applyAlignment="1">
      <alignment horizontal="center"/>
    </xf>
    <xf numFmtId="0" fontId="0" fillId="104" borderId="68" xfId="0" applyFill="1" applyBorder="1" applyAlignment="1">
      <alignment horizontal="center"/>
    </xf>
    <xf numFmtId="0" fontId="0" fillId="104" borderId="15" xfId="0" applyFill="1" applyBorder="1" applyAlignment="1">
      <alignment horizontal="center"/>
    </xf>
    <xf numFmtId="0" fontId="0" fillId="104" borderId="72" xfId="0" applyFill="1" applyBorder="1" applyAlignment="1">
      <alignment horizontal="center"/>
    </xf>
    <xf numFmtId="0" fontId="0" fillId="104" borderId="78" xfId="0" applyFill="1" applyBorder="1" applyAlignment="1">
      <alignment horizontal="center"/>
    </xf>
    <xf numFmtId="0" fontId="0" fillId="104" borderId="79" xfId="0" applyFill="1" applyBorder="1" applyAlignment="1">
      <alignment horizontal="center"/>
    </xf>
    <xf numFmtId="0" fontId="0" fillId="104" borderId="14" xfId="0" applyFill="1" applyBorder="1" applyAlignment="1">
      <alignment horizontal="center"/>
    </xf>
    <xf numFmtId="0" fontId="0" fillId="129" borderId="15" xfId="0" applyFill="1" applyBorder="1" applyAlignment="1">
      <alignment horizontal="center"/>
    </xf>
    <xf numFmtId="0" fontId="0" fillId="104" borderId="11" xfId="0" applyFill="1" applyBorder="1" applyAlignment="1">
      <alignment horizontal="center"/>
    </xf>
    <xf numFmtId="0" fontId="0" fillId="104" borderId="0" xfId="0" applyFill="1" applyAlignment="1">
      <alignment wrapText="1"/>
    </xf>
    <xf numFmtId="0" fontId="0" fillId="104" borderId="0" xfId="0" applyFill="1" applyAlignment="1">
      <alignment vertical="center"/>
    </xf>
    <xf numFmtId="0" fontId="0" fillId="104" borderId="0" xfId="0" applyFill="1" applyAlignment="1">
      <alignment horizontal="center" vertical="center"/>
    </xf>
    <xf numFmtId="0" fontId="0" fillId="104" borderId="11" xfId="0" applyFill="1" applyBorder="1"/>
    <xf numFmtId="0" fontId="0" fillId="104" borderId="81" xfId="0" applyFill="1" applyBorder="1" applyAlignment="1">
      <alignment horizontal="center"/>
    </xf>
    <xf numFmtId="0" fontId="0" fillId="104" borderId="75" xfId="0" applyFill="1" applyBorder="1" applyAlignment="1">
      <alignment horizontal="center"/>
    </xf>
    <xf numFmtId="0" fontId="0" fillId="104" borderId="14" xfId="0" applyFill="1" applyBorder="1"/>
    <xf numFmtId="9" fontId="28" fillId="0" borderId="1" xfId="2" applyFont="1" applyBorder="1" applyAlignment="1" applyProtection="1">
      <alignment horizontal="left" vertical="center"/>
      <protection locked="0"/>
    </xf>
    <xf numFmtId="166" fontId="28" fillId="0" borderId="1" xfId="0" applyNumberFormat="1" applyFont="1" applyBorder="1" applyAlignment="1">
      <alignment horizontal="center" vertical="center"/>
    </xf>
    <xf numFmtId="0" fontId="0" fillId="104" borderId="20" xfId="0" applyFill="1" applyBorder="1" applyAlignment="1">
      <alignment horizontal="center"/>
    </xf>
    <xf numFmtId="166" fontId="6" fillId="0" borderId="66" xfId="0" applyNumberFormat="1" applyFont="1" applyBorder="1" applyAlignment="1">
      <alignment horizontal="center" vertical="center"/>
    </xf>
    <xf numFmtId="166" fontId="6" fillId="104" borderId="0" xfId="0" applyNumberFormat="1" applyFont="1" applyFill="1" applyAlignment="1">
      <alignment horizontal="center" vertical="center"/>
    </xf>
    <xf numFmtId="0" fontId="31" fillId="103" borderId="6" xfId="0" applyFont="1" applyFill="1" applyBorder="1" applyAlignment="1">
      <alignment horizontal="left" vertical="center"/>
    </xf>
    <xf numFmtId="166" fontId="6" fillId="0" borderId="6" xfId="1" applyNumberFormat="1" applyFont="1" applyBorder="1" applyAlignment="1">
      <alignment horizontal="center" vertical="center"/>
    </xf>
    <xf numFmtId="166" fontId="6" fillId="18" borderId="6" xfId="1" applyNumberFormat="1" applyFont="1" applyFill="1" applyBorder="1" applyAlignment="1">
      <alignment horizontal="center" vertical="center"/>
    </xf>
    <xf numFmtId="9" fontId="6" fillId="0" borderId="83" xfId="2" applyFont="1" applyBorder="1" applyAlignment="1">
      <alignment horizontal="center" vertical="center"/>
    </xf>
    <xf numFmtId="0" fontId="31" fillId="103" borderId="66" xfId="0" applyFont="1" applyFill="1" applyBorder="1" applyAlignment="1">
      <alignment horizontal="left" vertical="center"/>
    </xf>
    <xf numFmtId="166" fontId="6" fillId="18" borderId="66" xfId="1" applyNumberFormat="1" applyFont="1" applyFill="1" applyBorder="1" applyAlignment="1">
      <alignment horizontal="center" vertical="center"/>
    </xf>
    <xf numFmtId="9" fontId="6" fillId="0" borderId="65" xfId="2" applyFont="1" applyBorder="1" applyAlignment="1">
      <alignment horizontal="center" vertical="center"/>
    </xf>
    <xf numFmtId="166" fontId="6" fillId="18" borderId="0" xfId="1" applyNumberFormat="1" applyFont="1" applyFill="1" applyBorder="1" applyAlignment="1">
      <alignment horizontal="center" vertical="center"/>
    </xf>
    <xf numFmtId="0" fontId="31" fillId="103" borderId="9" xfId="0" applyFont="1" applyFill="1" applyBorder="1" applyAlignment="1">
      <alignment horizontal="left" vertical="center"/>
    </xf>
    <xf numFmtId="0" fontId="31" fillId="103" borderId="63" xfId="0" applyFont="1" applyFill="1" applyBorder="1" applyAlignment="1">
      <alignment horizontal="left" vertical="center"/>
    </xf>
    <xf numFmtId="166" fontId="6" fillId="0" borderId="63" xfId="1" applyNumberFormat="1" applyFont="1" applyBorder="1" applyAlignment="1">
      <alignment horizontal="center" vertical="center"/>
    </xf>
    <xf numFmtId="166" fontId="6" fillId="18" borderId="63" xfId="1" applyNumberFormat="1" applyFont="1" applyFill="1" applyBorder="1" applyAlignment="1">
      <alignment horizontal="center" vertical="center"/>
    </xf>
    <xf numFmtId="9" fontId="6" fillId="0" borderId="63" xfId="2" applyFont="1" applyBorder="1" applyAlignment="1">
      <alignment horizontal="center" vertical="center"/>
    </xf>
    <xf numFmtId="0" fontId="31" fillId="103" borderId="15" xfId="0" applyFont="1" applyFill="1" applyBorder="1" applyAlignment="1">
      <alignment horizontal="left" vertical="center"/>
    </xf>
    <xf numFmtId="0" fontId="31" fillId="103" borderId="12" xfId="0" applyFont="1" applyFill="1" applyBorder="1" applyAlignment="1">
      <alignment horizontal="left" vertical="center"/>
    </xf>
    <xf numFmtId="0" fontId="31" fillId="103" borderId="13" xfId="0" applyFont="1" applyFill="1" applyBorder="1" applyAlignment="1">
      <alignment horizontal="left" vertical="center"/>
    </xf>
    <xf numFmtId="166" fontId="6" fillId="18" borderId="13" xfId="1" applyNumberFormat="1" applyFont="1" applyFill="1" applyBorder="1" applyAlignment="1">
      <alignment horizontal="center" vertical="center"/>
    </xf>
    <xf numFmtId="166" fontId="6" fillId="104" borderId="13" xfId="0" applyNumberFormat="1" applyFont="1" applyFill="1" applyBorder="1" applyAlignment="1">
      <alignment horizontal="center" vertical="center"/>
    </xf>
    <xf numFmtId="9" fontId="6" fillId="0" borderId="13" xfId="2" applyFont="1" applyBorder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166" fontId="28" fillId="0" borderId="13" xfId="0" applyNumberFormat="1" applyFont="1" applyBorder="1" applyAlignment="1">
      <alignment horizontal="center" vertical="center"/>
    </xf>
    <xf numFmtId="0" fontId="153" fillId="104" borderId="77" xfId="0" applyFont="1" applyFill="1" applyBorder="1" applyAlignment="1">
      <alignment horizontal="center"/>
    </xf>
    <xf numFmtId="0" fontId="153" fillId="104" borderId="68" xfId="0" applyFont="1" applyFill="1" applyBorder="1" applyAlignment="1">
      <alignment horizontal="center"/>
    </xf>
    <xf numFmtId="0" fontId="153" fillId="104" borderId="75" xfId="0" applyFont="1" applyFill="1" applyBorder="1" applyAlignment="1">
      <alignment horizontal="center"/>
    </xf>
    <xf numFmtId="0" fontId="153" fillId="104" borderId="76" xfId="0" applyFont="1" applyFill="1" applyBorder="1" applyAlignment="1">
      <alignment horizontal="center"/>
    </xf>
    <xf numFmtId="0" fontId="0" fillId="104" borderId="63" xfId="0" applyFill="1" applyBorder="1" applyAlignment="1">
      <alignment horizontal="center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153" fillId="104" borderId="81" xfId="0" applyFont="1" applyFill="1" applyBorder="1" applyAlignment="1">
      <alignment horizontal="center"/>
    </xf>
    <xf numFmtId="166" fontId="6" fillId="0" borderId="0" xfId="1" applyNumberFormat="1" applyFont="1" applyFill="1" applyAlignment="1">
      <alignment horizontal="center" vertical="center"/>
    </xf>
    <xf numFmtId="166" fontId="6" fillId="0" borderId="66" xfId="1" applyNumberFormat="1" applyFont="1" applyFill="1" applyBorder="1" applyAlignment="1">
      <alignment horizontal="center" vertical="center"/>
    </xf>
    <xf numFmtId="0" fontId="31" fillId="103" borderId="84" xfId="0" applyFont="1" applyFill="1" applyBorder="1" applyAlignment="1" applyProtection="1">
      <alignment horizontal="left" vertical="center"/>
      <protection locked="0"/>
    </xf>
    <xf numFmtId="0" fontId="31" fillId="0" borderId="16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31" fillId="0" borderId="84" xfId="0" applyFont="1" applyBorder="1" applyAlignment="1" applyProtection="1">
      <alignment horizontal="left" vertical="center"/>
      <protection locked="0"/>
    </xf>
    <xf numFmtId="9" fontId="28" fillId="35" borderId="1" xfId="2" applyFont="1" applyFill="1" applyBorder="1" applyAlignment="1" applyProtection="1">
      <alignment horizontal="left" vertical="center"/>
      <protection locked="0"/>
    </xf>
    <xf numFmtId="166" fontId="0" fillId="0" borderId="0" xfId="1" applyNumberFormat="1" applyFont="1" applyFill="1"/>
    <xf numFmtId="224" fontId="142" fillId="113" borderId="1" xfId="1" applyNumberFormat="1" applyFont="1" applyFill="1" applyBorder="1"/>
    <xf numFmtId="44" fontId="0" fillId="0" borderId="0" xfId="5147" applyFont="1" applyAlignment="1">
      <alignment wrapText="1"/>
    </xf>
    <xf numFmtId="0" fontId="0" fillId="105" borderId="0" xfId="0" applyFill="1" applyAlignment="1">
      <alignment horizontal="center"/>
    </xf>
    <xf numFmtId="43" fontId="0" fillId="0" borderId="0" xfId="0" applyNumberFormat="1" applyAlignment="1">
      <alignment horizontal="center"/>
    </xf>
    <xf numFmtId="166" fontId="158" fillId="0" borderId="0" xfId="0" applyNumberFormat="1" applyFont="1" applyAlignment="1">
      <alignment horizontal="center"/>
    </xf>
    <xf numFmtId="9" fontId="0" fillId="0" borderId="0" xfId="2" applyFont="1" applyAlignment="1">
      <alignment horizontal="center"/>
    </xf>
    <xf numFmtId="0" fontId="10" fillId="35" borderId="0" xfId="0" applyFont="1" applyFill="1" applyAlignment="1">
      <alignment horizontal="center"/>
    </xf>
    <xf numFmtId="166" fontId="0" fillId="18" borderId="0" xfId="1" applyNumberFormat="1" applyFont="1" applyFill="1"/>
    <xf numFmtId="0" fontId="136" fillId="35" borderId="87" xfId="0" applyFont="1" applyFill="1" applyBorder="1" applyAlignment="1">
      <alignment horizontal="center" vertical="center" wrapText="1"/>
    </xf>
    <xf numFmtId="0" fontId="2" fillId="123" borderId="9" xfId="0" applyFont="1" applyFill="1" applyBorder="1"/>
    <xf numFmtId="0" fontId="2" fillId="122" borderId="15" xfId="0" applyFont="1" applyFill="1" applyBorder="1"/>
    <xf numFmtId="0" fontId="2" fillId="122" borderId="15" xfId="0" applyFont="1" applyFill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104" borderId="18" xfId="0" applyFill="1" applyBorder="1" applyAlignment="1">
      <alignment horizontal="center"/>
    </xf>
    <xf numFmtId="0" fontId="0" fillId="104" borderId="19" xfId="0" applyFill="1" applyBorder="1" applyAlignment="1">
      <alignment horizontal="center"/>
    </xf>
    <xf numFmtId="0" fontId="0" fillId="104" borderId="64" xfId="0" applyFill="1" applyBorder="1" applyAlignment="1">
      <alignment horizontal="center"/>
    </xf>
    <xf numFmtId="0" fontId="161" fillId="132" borderId="1" xfId="0" applyFont="1" applyFill="1" applyBorder="1" applyAlignment="1">
      <alignment horizontal="left" vertical="center"/>
    </xf>
    <xf numFmtId="166" fontId="161" fillId="132" borderId="1" xfId="0" applyNumberFormat="1" applyFont="1" applyFill="1" applyBorder="1" applyAlignment="1">
      <alignment horizontal="center" vertical="center"/>
    </xf>
    <xf numFmtId="166" fontId="6" fillId="132" borderId="1" xfId="0" applyNumberFormat="1" applyFont="1" applyFill="1" applyBorder="1" applyAlignment="1">
      <alignment horizontal="center" vertical="center"/>
    </xf>
    <xf numFmtId="9" fontId="6" fillId="132" borderId="2" xfId="2" applyFont="1" applyFill="1" applyBorder="1" applyAlignment="1">
      <alignment horizontal="center" vertical="center"/>
    </xf>
    <xf numFmtId="0" fontId="6" fillId="132" borderId="0" xfId="0" applyFont="1" applyFill="1" applyAlignment="1">
      <alignment horizontal="left" vertical="center"/>
    </xf>
    <xf numFmtId="166" fontId="6" fillId="132" borderId="0" xfId="0" applyNumberFormat="1" applyFont="1" applyFill="1" applyAlignment="1">
      <alignment horizontal="center" vertical="center"/>
    </xf>
    <xf numFmtId="0" fontId="6" fillId="131" borderId="0" xfId="0" applyFont="1" applyFill="1" applyAlignment="1">
      <alignment horizontal="left" vertical="center"/>
    </xf>
    <xf numFmtId="166" fontId="6" fillId="131" borderId="0" xfId="0" applyNumberFormat="1" applyFont="1" applyFill="1" applyAlignment="1">
      <alignment horizontal="center" vertical="center"/>
    </xf>
    <xf numFmtId="166" fontId="6" fillId="131" borderId="1" xfId="0" applyNumberFormat="1" applyFont="1" applyFill="1" applyBorder="1" applyAlignment="1">
      <alignment horizontal="center" vertical="center"/>
    </xf>
    <xf numFmtId="9" fontId="6" fillId="131" borderId="2" xfId="2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9" fontId="6" fillId="0" borderId="1" xfId="2" applyFont="1" applyBorder="1" applyAlignment="1">
      <alignment horizontal="center" vertical="center"/>
    </xf>
    <xf numFmtId="166" fontId="28" fillId="132" borderId="1" xfId="0" applyNumberFormat="1" applyFont="1" applyFill="1" applyBorder="1" applyAlignment="1">
      <alignment horizontal="center" vertical="center"/>
    </xf>
    <xf numFmtId="9" fontId="28" fillId="132" borderId="1" xfId="2" applyFont="1" applyFill="1" applyBorder="1" applyAlignment="1">
      <alignment horizontal="center" vertical="center"/>
    </xf>
    <xf numFmtId="166" fontId="0" fillId="130" borderId="0" xfId="1" applyNumberFormat="1" applyFont="1" applyFill="1"/>
    <xf numFmtId="0" fontId="6" fillId="105" borderId="0" xfId="0" applyFont="1" applyFill="1" applyAlignment="1">
      <alignment horizontal="center" vertical="center"/>
    </xf>
    <xf numFmtId="166" fontId="148" fillId="0" borderId="0" xfId="1" applyNumberFormat="1" applyFont="1" applyBorder="1"/>
    <xf numFmtId="0" fontId="162" fillId="132" borderId="15" xfId="0" applyFont="1" applyFill="1" applyBorder="1" applyAlignment="1">
      <alignment horizontal="left" vertical="center"/>
    </xf>
    <xf numFmtId="166" fontId="162" fillId="132" borderId="0" xfId="0" applyNumberFormat="1" applyFont="1" applyFill="1" applyAlignment="1">
      <alignment horizontal="center" vertical="center"/>
    </xf>
    <xf numFmtId="166" fontId="161" fillId="0" borderId="90" xfId="1" applyNumberFormat="1" applyFont="1" applyBorder="1" applyAlignment="1">
      <alignment horizontal="center" vertical="center"/>
    </xf>
    <xf numFmtId="3" fontId="161" fillId="0" borderId="90" xfId="0" applyNumberFormat="1" applyFont="1" applyBorder="1" applyAlignment="1">
      <alignment horizontal="center" vertical="center"/>
    </xf>
    <xf numFmtId="166" fontId="6" fillId="0" borderId="90" xfId="0" applyNumberFormat="1" applyFont="1" applyBorder="1" applyAlignment="1">
      <alignment horizontal="center" vertical="center"/>
    </xf>
    <xf numFmtId="166" fontId="161" fillId="0" borderId="3" xfId="1" applyNumberFormat="1" applyFont="1" applyBorder="1" applyAlignment="1">
      <alignment horizontal="center" vertical="center"/>
    </xf>
    <xf numFmtId="3" fontId="161" fillId="0" borderId="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0" fillId="104" borderId="1" xfId="0" applyFill="1" applyBorder="1"/>
    <xf numFmtId="0" fontId="6" fillId="0" borderId="63" xfId="0" applyFont="1" applyBorder="1" applyAlignment="1">
      <alignment horizontal="center" vertical="center"/>
    </xf>
    <xf numFmtId="225" fontId="0" fillId="0" borderId="0" xfId="1" applyNumberFormat="1" applyFont="1" applyAlignment="1">
      <alignment horizontal="center"/>
    </xf>
    <xf numFmtId="166" fontId="0" fillId="0" borderId="72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2" fillId="104" borderId="0" xfId="0" applyFont="1" applyFill="1"/>
    <xf numFmtId="225" fontId="0" fillId="104" borderId="0" xfId="1" applyNumberFormat="1" applyFont="1" applyFill="1" applyAlignment="1">
      <alignment horizontal="center"/>
    </xf>
    <xf numFmtId="166" fontId="0" fillId="104" borderId="15" xfId="1" applyNumberFormat="1" applyFont="1" applyFill="1" applyBorder="1" applyAlignment="1">
      <alignment horizontal="center"/>
    </xf>
    <xf numFmtId="166" fontId="0" fillId="104" borderId="0" xfId="1" applyNumberFormat="1" applyFont="1" applyFill="1" applyBorder="1" applyAlignment="1">
      <alignment horizontal="center"/>
    </xf>
    <xf numFmtId="166" fontId="0" fillId="104" borderId="72" xfId="1" applyNumberFormat="1" applyFont="1" applyFill="1" applyBorder="1" applyAlignment="1">
      <alignment horizontal="center"/>
    </xf>
    <xf numFmtId="166" fontId="0" fillId="104" borderId="12" xfId="0" applyNumberFormat="1" applyFill="1" applyBorder="1" applyAlignment="1">
      <alignment horizontal="center"/>
    </xf>
    <xf numFmtId="166" fontId="0" fillId="104" borderId="13" xfId="0" applyNumberFormat="1" applyFill="1" applyBorder="1" applyAlignment="1">
      <alignment horizontal="center"/>
    </xf>
    <xf numFmtId="166" fontId="0" fillId="104" borderId="14" xfId="0" applyNumberFormat="1" applyFill="1" applyBorder="1" applyAlignment="1">
      <alignment horizontal="center"/>
    </xf>
    <xf numFmtId="166" fontId="0" fillId="104" borderId="13" xfId="1" applyNumberFormat="1" applyFont="1" applyFill="1" applyBorder="1" applyAlignment="1">
      <alignment horizontal="center"/>
    </xf>
    <xf numFmtId="0" fontId="0" fillId="104" borderId="9" xfId="0" applyFill="1" applyBorder="1"/>
    <xf numFmtId="0" fontId="2" fillId="104" borderId="11" xfId="0" applyFont="1" applyFill="1" applyBorder="1"/>
    <xf numFmtId="0" fontId="2" fillId="104" borderId="9" xfId="0" applyFont="1" applyFill="1" applyBorder="1" applyAlignment="1">
      <alignment horizontal="center"/>
    </xf>
    <xf numFmtId="0" fontId="2" fillId="104" borderId="11" xfId="0" applyFont="1" applyFill="1" applyBorder="1" applyAlignment="1">
      <alignment horizontal="center"/>
    </xf>
    <xf numFmtId="0" fontId="2" fillId="104" borderId="63" xfId="0" applyFont="1" applyFill="1" applyBorder="1" applyAlignment="1">
      <alignment horizontal="center"/>
    </xf>
    <xf numFmtId="0" fontId="153" fillId="104" borderId="0" xfId="0" applyFont="1" applyFill="1"/>
    <xf numFmtId="9" fontId="0" fillId="104" borderId="1" xfId="2" applyFont="1" applyFill="1" applyBorder="1" applyAlignment="1">
      <alignment horizontal="center"/>
    </xf>
    <xf numFmtId="9" fontId="0" fillId="104" borderId="1" xfId="0" applyNumberFormat="1" applyFill="1" applyBorder="1" applyAlignment="1">
      <alignment horizontal="center"/>
    </xf>
    <xf numFmtId="9" fontId="0" fillId="127" borderId="1" xfId="0" applyNumberFormat="1" applyFill="1" applyBorder="1" applyAlignment="1">
      <alignment horizontal="center"/>
    </xf>
    <xf numFmtId="9" fontId="0" fillId="104" borderId="1" xfId="0" applyNumberFormat="1" applyFill="1" applyBorder="1" applyAlignment="1">
      <alignment horizontal="left"/>
    </xf>
    <xf numFmtId="9" fontId="0" fillId="104" borderId="1" xfId="0" applyNumberFormat="1" applyFill="1" applyBorder="1" applyAlignment="1">
      <alignment horizontal="left" wrapText="1"/>
    </xf>
    <xf numFmtId="0" fontId="0" fillId="104" borderId="0" xfId="0" applyFill="1" applyAlignment="1">
      <alignment horizontal="left"/>
    </xf>
    <xf numFmtId="14" fontId="0" fillId="104" borderId="0" xfId="0" applyNumberFormat="1" applyFill="1"/>
    <xf numFmtId="0" fontId="2" fillId="35" borderId="0" xfId="0" applyFont="1" applyFill="1"/>
    <xf numFmtId="9" fontId="0" fillId="35" borderId="1" xfId="0" applyNumberFormat="1" applyFill="1" applyBorder="1" applyAlignment="1">
      <alignment horizontal="center"/>
    </xf>
    <xf numFmtId="169" fontId="0" fillId="104" borderId="1" xfId="0" applyNumberFormat="1" applyFill="1" applyBorder="1" applyAlignment="1">
      <alignment horizontal="center"/>
    </xf>
    <xf numFmtId="166" fontId="0" fillId="104" borderId="1" xfId="1" applyNumberFormat="1" applyFont="1" applyFill="1" applyBorder="1" applyAlignment="1">
      <alignment horizontal="center"/>
    </xf>
    <xf numFmtId="0" fontId="2" fillId="104" borderId="72" xfId="0" applyFont="1" applyFill="1" applyBorder="1" applyAlignment="1">
      <alignment horizontal="center"/>
    </xf>
    <xf numFmtId="166" fontId="0" fillId="104" borderId="0" xfId="0" applyNumberFormat="1" applyFill="1"/>
    <xf numFmtId="169" fontId="0" fillId="104" borderId="66" xfId="0" applyNumberFormat="1" applyFill="1" applyBorder="1" applyAlignment="1">
      <alignment horizontal="center"/>
    </xf>
    <xf numFmtId="0" fontId="0" fillId="35" borderId="0" xfId="0" applyFill="1"/>
    <xf numFmtId="9" fontId="0" fillId="130" borderId="1" xfId="0" applyNumberFormat="1" applyFill="1" applyBorder="1" applyAlignment="1">
      <alignment horizontal="center"/>
    </xf>
    <xf numFmtId="9" fontId="0" fillId="133" borderId="1" xfId="0" applyNumberFormat="1" applyFill="1" applyBorder="1" applyAlignment="1">
      <alignment horizontal="center"/>
    </xf>
    <xf numFmtId="166" fontId="0" fillId="133" borderId="1" xfId="1" applyNumberFormat="1" applyFont="1" applyFill="1" applyBorder="1" applyAlignment="1">
      <alignment horizontal="center"/>
    </xf>
    <xf numFmtId="169" fontId="0" fillId="133" borderId="1" xfId="0" applyNumberFormat="1" applyFill="1" applyBorder="1" applyAlignment="1">
      <alignment horizontal="center"/>
    </xf>
    <xf numFmtId="9" fontId="10" fillId="35" borderId="1" xfId="0" applyNumberFormat="1" applyFont="1" applyFill="1" applyBorder="1" applyAlignment="1">
      <alignment horizontal="center"/>
    </xf>
    <xf numFmtId="9" fontId="172" fillId="35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172" fillId="0" borderId="1" xfId="0" applyNumberFormat="1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166" fontId="142" fillId="113" borderId="1" xfId="1" applyNumberFormat="1" applyFont="1" applyFill="1" applyBorder="1" applyAlignment="1" applyProtection="1">
      <protection locked="0"/>
    </xf>
    <xf numFmtId="0" fontId="149" fillId="113" borderId="1" xfId="93" applyFont="1" applyFill="1" applyBorder="1" applyAlignment="1">
      <alignment wrapText="1"/>
    </xf>
    <xf numFmtId="0" fontId="149" fillId="113" borderId="1" xfId="4991" applyFont="1" applyFill="1" applyBorder="1" applyAlignment="1">
      <alignment wrapText="1"/>
    </xf>
    <xf numFmtId="0" fontId="159" fillId="104" borderId="1" xfId="93" applyFont="1" applyFill="1" applyBorder="1" applyAlignment="1">
      <alignment horizontal="left" wrapText="1"/>
    </xf>
    <xf numFmtId="166" fontId="159" fillId="104" borderId="1" xfId="1" applyNumberFormat="1" applyFont="1" applyFill="1" applyBorder="1" applyAlignment="1" applyProtection="1">
      <alignment horizontal="left" wrapText="1"/>
    </xf>
    <xf numFmtId="166" fontId="148" fillId="104" borderId="1" xfId="1" applyNumberFormat="1" applyFont="1" applyFill="1" applyBorder="1" applyAlignment="1" applyProtection="1">
      <alignment horizontal="left"/>
      <protection locked="0"/>
    </xf>
    <xf numFmtId="0" fontId="148" fillId="104" borderId="1" xfId="4299" applyFont="1" applyFill="1" applyBorder="1" applyAlignment="1" applyProtection="1">
      <alignment horizontal="left"/>
      <protection locked="0"/>
    </xf>
    <xf numFmtId="0" fontId="149" fillId="0" borderId="0" xfId="4299" applyFont="1" applyAlignment="1" applyProtection="1">
      <alignment wrapText="1"/>
      <protection locked="0"/>
    </xf>
    <xf numFmtId="0" fontId="151" fillId="0" borderId="0" xfId="0" applyFont="1" applyAlignment="1">
      <alignment horizontal="left" vertical="center" wrapText="1"/>
    </xf>
    <xf numFmtId="0" fontId="154" fillId="0" borderId="0" xfId="0" applyFont="1" applyAlignment="1">
      <alignment horizontal="left" vertical="center" wrapText="1"/>
    </xf>
    <xf numFmtId="43" fontId="0" fillId="130" borderId="0" xfId="0" applyNumberFormat="1" applyFill="1"/>
    <xf numFmtId="229" fontId="0" fillId="0" borderId="0" xfId="1" applyNumberFormat="1" applyFont="1" applyBorder="1"/>
    <xf numFmtId="166" fontId="2" fillId="130" borderId="0" xfId="1" applyNumberFormat="1" applyFont="1" applyFill="1" applyBorder="1"/>
    <xf numFmtId="9" fontId="0" fillId="106" borderId="1" xfId="0" applyNumberFormat="1" applyFill="1" applyBorder="1" applyAlignment="1">
      <alignment horizontal="center"/>
    </xf>
    <xf numFmtId="166" fontId="158" fillId="105" borderId="0" xfId="0" applyNumberFormat="1" applyFont="1" applyFill="1"/>
    <xf numFmtId="0" fontId="0" fillId="0" borderId="66" xfId="0" applyBorder="1" applyAlignment="1">
      <alignment horizontal="left"/>
    </xf>
    <xf numFmtId="9" fontId="0" fillId="104" borderId="66" xfId="2" applyFont="1" applyFill="1" applyBorder="1" applyAlignment="1">
      <alignment horizontal="center"/>
    </xf>
    <xf numFmtId="9" fontId="0" fillId="106" borderId="66" xfId="0" applyNumberFormat="1" applyFill="1" applyBorder="1" applyAlignment="1">
      <alignment horizontal="center"/>
    </xf>
    <xf numFmtId="9" fontId="0" fillId="104" borderId="66" xfId="0" applyNumberFormat="1" applyFill="1" applyBorder="1" applyAlignment="1">
      <alignment horizontal="center"/>
    </xf>
    <xf numFmtId="9" fontId="0" fillId="35" borderId="66" xfId="0" applyNumberFormat="1" applyFill="1" applyBorder="1" applyAlignment="1">
      <alignment horizontal="center"/>
    </xf>
    <xf numFmtId="169" fontId="0" fillId="106" borderId="66" xfId="0" applyNumberFormat="1" applyFill="1" applyBorder="1" applyAlignment="1">
      <alignment horizontal="center"/>
    </xf>
    <xf numFmtId="9" fontId="0" fillId="130" borderId="66" xfId="0" applyNumberFormat="1" applyFill="1" applyBorder="1" applyAlignment="1">
      <alignment horizontal="center"/>
    </xf>
    <xf numFmtId="166" fontId="0" fillId="104" borderId="66" xfId="1" applyNumberFormat="1" applyFont="1" applyFill="1" applyBorder="1" applyAlignment="1">
      <alignment horizontal="center"/>
    </xf>
    <xf numFmtId="9" fontId="0" fillId="0" borderId="66" xfId="0" applyNumberFormat="1" applyBorder="1" applyAlignment="1">
      <alignment horizontal="center"/>
    </xf>
    <xf numFmtId="9" fontId="0" fillId="104" borderId="66" xfId="0" applyNumberFormat="1" applyFill="1" applyBorder="1" applyAlignment="1">
      <alignment horizontal="left"/>
    </xf>
    <xf numFmtId="0" fontId="0" fillId="0" borderId="77" xfId="0" applyBorder="1" applyAlignment="1">
      <alignment horizontal="left"/>
    </xf>
    <xf numFmtId="9" fontId="0" fillId="104" borderId="68" xfId="2" applyFont="1" applyFill="1" applyBorder="1" applyAlignment="1">
      <alignment horizontal="center"/>
    </xf>
    <xf numFmtId="9" fontId="0" fillId="104" borderId="68" xfId="0" applyNumberFormat="1" applyFill="1" applyBorder="1" applyAlignment="1">
      <alignment horizontal="center"/>
    </xf>
    <xf numFmtId="9" fontId="0" fillId="35" borderId="68" xfId="0" applyNumberFormat="1" applyFill="1" applyBorder="1" applyAlignment="1">
      <alignment horizontal="center"/>
    </xf>
    <xf numFmtId="169" fontId="0" fillId="104" borderId="68" xfId="0" applyNumberFormat="1" applyFill="1" applyBorder="1" applyAlignment="1">
      <alignment horizontal="center"/>
    </xf>
    <xf numFmtId="166" fontId="0" fillId="104" borderId="68" xfId="1" applyNumberFormat="1" applyFont="1" applyFill="1" applyBorder="1" applyAlignment="1">
      <alignment horizontal="center"/>
    </xf>
    <xf numFmtId="9" fontId="0" fillId="0" borderId="68" xfId="0" applyNumberFormat="1" applyBorder="1" applyAlignment="1">
      <alignment horizontal="center"/>
    </xf>
    <xf numFmtId="9" fontId="0" fillId="104" borderId="68" xfId="0" applyNumberFormat="1" applyFill="1" applyBorder="1" applyAlignment="1">
      <alignment horizontal="left" wrapText="1"/>
    </xf>
    <xf numFmtId="9" fontId="0" fillId="104" borderId="68" xfId="0" applyNumberFormat="1" applyFill="1" applyBorder="1" applyAlignment="1">
      <alignment horizontal="left"/>
    </xf>
    <xf numFmtId="0" fontId="0" fillId="0" borderId="68" xfId="0" applyBorder="1" applyAlignment="1">
      <alignment horizontal="left"/>
    </xf>
    <xf numFmtId="166" fontId="0" fillId="104" borderId="9" xfId="1" applyNumberFormat="1" applyFont="1" applyFill="1" applyBorder="1" applyAlignment="1">
      <alignment horizontal="center"/>
    </xf>
    <xf numFmtId="166" fontId="0" fillId="104" borderId="63" xfId="1" applyNumberFormat="1" applyFont="1" applyFill="1" applyBorder="1" applyAlignment="1">
      <alignment horizontal="center"/>
    </xf>
    <xf numFmtId="166" fontId="0" fillId="104" borderId="11" xfId="1" applyNumberFormat="1" applyFont="1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0" fillId="104" borderId="63" xfId="0" applyFill="1" applyBorder="1"/>
    <xf numFmtId="0" fontId="0" fillId="0" borderId="78" xfId="0" applyBorder="1" applyAlignment="1">
      <alignment horizontal="left"/>
    </xf>
    <xf numFmtId="9" fontId="0" fillId="104" borderId="79" xfId="2" applyFont="1" applyFill="1" applyBorder="1" applyAlignment="1">
      <alignment horizontal="center"/>
    </xf>
    <xf numFmtId="9" fontId="0" fillId="106" borderId="79" xfId="0" applyNumberFormat="1" applyFill="1" applyBorder="1" applyAlignment="1">
      <alignment horizontal="center"/>
    </xf>
    <xf numFmtId="9" fontId="0" fillId="104" borderId="79" xfId="0" applyNumberFormat="1" applyFill="1" applyBorder="1" applyAlignment="1">
      <alignment horizontal="center"/>
    </xf>
    <xf numFmtId="9" fontId="0" fillId="35" borderId="79" xfId="0" applyNumberFormat="1" applyFill="1" applyBorder="1" applyAlignment="1">
      <alignment horizontal="center"/>
    </xf>
    <xf numFmtId="169" fontId="0" fillId="104" borderId="79" xfId="0" applyNumberFormat="1" applyFill="1" applyBorder="1" applyAlignment="1">
      <alignment horizontal="center"/>
    </xf>
    <xf numFmtId="169" fontId="0" fillId="106" borderId="79" xfId="0" applyNumberFormat="1" applyFill="1" applyBorder="1" applyAlignment="1">
      <alignment horizontal="center"/>
    </xf>
    <xf numFmtId="9" fontId="0" fillId="130" borderId="79" xfId="0" applyNumberFormat="1" applyFill="1" applyBorder="1" applyAlignment="1">
      <alignment horizontal="center"/>
    </xf>
    <xf numFmtId="166" fontId="0" fillId="104" borderId="79" xfId="1" applyNumberFormat="1" applyFont="1" applyFill="1" applyBorder="1" applyAlignment="1">
      <alignment horizontal="center"/>
    </xf>
    <xf numFmtId="9" fontId="0" fillId="0" borderId="79" xfId="0" applyNumberFormat="1" applyBorder="1" applyAlignment="1">
      <alignment horizontal="center"/>
    </xf>
    <xf numFmtId="0" fontId="0" fillId="104" borderId="79" xfId="0" applyFill="1" applyBorder="1" applyAlignment="1">
      <alignment horizontal="left" wrapText="1"/>
    </xf>
    <xf numFmtId="0" fontId="0" fillId="104" borderId="79" xfId="0" applyFill="1" applyBorder="1" applyAlignment="1">
      <alignment horizontal="left"/>
    </xf>
    <xf numFmtId="0" fontId="0" fillId="0" borderId="79" xfId="0" applyBorder="1" applyAlignment="1">
      <alignment horizontal="left"/>
    </xf>
    <xf numFmtId="166" fontId="0" fillId="104" borderId="12" xfId="1" applyNumberFormat="1" applyFont="1" applyFill="1" applyBorder="1" applyAlignment="1">
      <alignment horizontal="center"/>
    </xf>
    <xf numFmtId="166" fontId="0" fillId="104" borderId="14" xfId="1" applyNumberFormat="1" applyFont="1" applyFill="1" applyBorder="1" applyAlignment="1">
      <alignment horizontal="center"/>
    </xf>
    <xf numFmtId="166" fontId="2" fillId="104" borderId="13" xfId="1" applyNumberFormat="1" applyFont="1" applyFill="1" applyBorder="1" applyAlignment="1">
      <alignment horizontal="center"/>
    </xf>
    <xf numFmtId="0" fontId="0" fillId="104" borderId="13" xfId="0" applyFill="1" applyBorder="1"/>
    <xf numFmtId="0" fontId="0" fillId="104" borderId="6" xfId="0" applyFill="1" applyBorder="1"/>
    <xf numFmtId="9" fontId="0" fillId="104" borderId="6" xfId="2" applyFont="1" applyFill="1" applyBorder="1" applyAlignment="1">
      <alignment horizontal="center"/>
    </xf>
    <xf numFmtId="9" fontId="0" fillId="106" borderId="6" xfId="0" applyNumberFormat="1" applyFill="1" applyBorder="1" applyAlignment="1">
      <alignment horizontal="center"/>
    </xf>
    <xf numFmtId="9" fontId="0" fillId="104" borderId="6" xfId="0" applyNumberFormat="1" applyFill="1" applyBorder="1" applyAlignment="1">
      <alignment horizontal="center"/>
    </xf>
    <xf numFmtId="9" fontId="0" fillId="35" borderId="6" xfId="0" applyNumberFormat="1" applyFill="1" applyBorder="1" applyAlignment="1">
      <alignment horizontal="center"/>
    </xf>
    <xf numFmtId="169" fontId="0" fillId="104" borderId="6" xfId="0" applyNumberFormat="1" applyFill="1" applyBorder="1" applyAlignment="1">
      <alignment horizontal="center"/>
    </xf>
    <xf numFmtId="166" fontId="0" fillId="104" borderId="6" xfId="1" applyNumberFormat="1" applyFon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104" borderId="6" xfId="0" applyNumberFormat="1" applyFill="1" applyBorder="1" applyAlignment="1">
      <alignment horizontal="left"/>
    </xf>
    <xf numFmtId="0" fontId="0" fillId="104" borderId="66" xfId="0" applyFill="1" applyBorder="1"/>
    <xf numFmtId="0" fontId="0" fillId="104" borderId="85" xfId="0" applyFill="1" applyBorder="1"/>
    <xf numFmtId="9" fontId="0" fillId="104" borderId="92" xfId="2" applyFont="1" applyFill="1" applyBorder="1" applyAlignment="1">
      <alignment horizontal="center"/>
    </xf>
    <xf numFmtId="9" fontId="0" fillId="106" borderId="92" xfId="0" applyNumberFormat="1" applyFill="1" applyBorder="1" applyAlignment="1">
      <alignment horizontal="center"/>
    </xf>
    <xf numFmtId="9" fontId="0" fillId="104" borderId="92" xfId="0" applyNumberFormat="1" applyFill="1" applyBorder="1" applyAlignment="1">
      <alignment horizontal="center"/>
    </xf>
    <xf numFmtId="9" fontId="0" fillId="35" borderId="92" xfId="0" applyNumberFormat="1" applyFill="1" applyBorder="1" applyAlignment="1">
      <alignment horizontal="center"/>
    </xf>
    <xf numFmtId="169" fontId="0" fillId="104" borderId="92" xfId="0" applyNumberFormat="1" applyFill="1" applyBorder="1" applyAlignment="1">
      <alignment horizontal="center"/>
    </xf>
    <xf numFmtId="166" fontId="0" fillId="104" borderId="92" xfId="1" applyNumberFormat="1" applyFont="1" applyFill="1" applyBorder="1" applyAlignment="1">
      <alignment horizontal="center"/>
    </xf>
    <xf numFmtId="9" fontId="0" fillId="0" borderId="92" xfId="0" applyNumberFormat="1" applyBorder="1" applyAlignment="1">
      <alignment horizontal="center"/>
    </xf>
    <xf numFmtId="9" fontId="0" fillId="104" borderId="92" xfId="0" applyNumberFormat="1" applyFill="1" applyBorder="1" applyAlignment="1">
      <alignment horizontal="left"/>
    </xf>
    <xf numFmtId="0" fontId="0" fillId="104" borderId="92" xfId="0" applyFill="1" applyBorder="1"/>
    <xf numFmtId="166" fontId="0" fillId="104" borderId="18" xfId="1" applyNumberFormat="1" applyFont="1" applyFill="1" applyBorder="1" applyAlignment="1">
      <alignment horizontal="center"/>
    </xf>
    <xf numFmtId="166" fontId="0" fillId="104" borderId="19" xfId="1" applyNumberFormat="1" applyFont="1" applyFill="1" applyBorder="1" applyAlignment="1">
      <alignment horizontal="center"/>
    </xf>
    <xf numFmtId="166" fontId="0" fillId="104" borderId="64" xfId="1" applyNumberFormat="1" applyFont="1" applyFill="1" applyBorder="1" applyAlignment="1">
      <alignment horizontal="center"/>
    </xf>
    <xf numFmtId="166" fontId="0" fillId="0" borderId="64" xfId="0" applyNumberFormat="1" applyBorder="1" applyAlignment="1">
      <alignment horizontal="center"/>
    </xf>
    <xf numFmtId="0" fontId="2" fillId="104" borderId="93" xfId="0" applyFont="1" applyFill="1" applyBorder="1" applyAlignment="1">
      <alignment horizontal="center"/>
    </xf>
    <xf numFmtId="166" fontId="0" fillId="104" borderId="98" xfId="1" applyNumberFormat="1" applyFont="1" applyFill="1" applyBorder="1" applyAlignment="1">
      <alignment horizontal="center"/>
    </xf>
    <xf numFmtId="166" fontId="1" fillId="104" borderId="96" xfId="1" applyNumberFormat="1" applyFont="1" applyFill="1" applyBorder="1" applyAlignment="1">
      <alignment horizontal="center"/>
    </xf>
    <xf numFmtId="166" fontId="1" fillId="104" borderId="97" xfId="1" applyNumberFormat="1" applyFont="1" applyFill="1" applyBorder="1" applyAlignment="1">
      <alignment horizontal="center"/>
    </xf>
    <xf numFmtId="0" fontId="2" fillId="104" borderId="99" xfId="0" applyFont="1" applyFill="1" applyBorder="1" applyAlignment="1">
      <alignment horizontal="center"/>
    </xf>
    <xf numFmtId="166" fontId="0" fillId="104" borderId="100" xfId="1" applyNumberFormat="1" applyFont="1" applyFill="1" applyBorder="1" applyAlignment="1">
      <alignment horizontal="center"/>
    </xf>
    <xf numFmtId="166" fontId="0" fillId="104" borderId="102" xfId="1" applyNumberFormat="1" applyFont="1" applyFill="1" applyBorder="1" applyAlignment="1">
      <alignment horizontal="center"/>
    </xf>
    <xf numFmtId="166" fontId="0" fillId="104" borderId="103" xfId="1" applyNumberFormat="1" applyFont="1" applyFill="1" applyBorder="1" applyAlignment="1">
      <alignment horizontal="center"/>
    </xf>
    <xf numFmtId="166" fontId="0" fillId="104" borderId="104" xfId="1" applyNumberFormat="1" applyFont="1" applyFill="1" applyBorder="1" applyAlignment="1">
      <alignment horizontal="center"/>
    </xf>
    <xf numFmtId="43" fontId="0" fillId="104" borderId="0" xfId="0" applyNumberFormat="1" applyFill="1"/>
    <xf numFmtId="166" fontId="2" fillId="134" borderId="101" xfId="1" applyNumberFormat="1" applyFont="1" applyFill="1" applyBorder="1" applyAlignment="1">
      <alignment horizontal="center"/>
    </xf>
    <xf numFmtId="166" fontId="2" fillId="134" borderId="102" xfId="1" applyNumberFormat="1" applyFont="1" applyFill="1" applyBorder="1" applyAlignment="1">
      <alignment horizontal="center"/>
    </xf>
    <xf numFmtId="166" fontId="1" fillId="134" borderId="96" xfId="1" applyNumberFormat="1" applyFont="1" applyFill="1" applyBorder="1" applyAlignment="1">
      <alignment horizontal="center"/>
    </xf>
    <xf numFmtId="166" fontId="0" fillId="134" borderId="102" xfId="1" applyNumberFormat="1" applyFont="1" applyFill="1" applyBorder="1" applyAlignment="1">
      <alignment horizontal="center"/>
    </xf>
    <xf numFmtId="43" fontId="0" fillId="104" borderId="0" xfId="1" applyFont="1" applyFill="1"/>
    <xf numFmtId="166" fontId="1" fillId="104" borderId="100" xfId="1" applyNumberFormat="1" applyFont="1" applyFill="1" applyBorder="1" applyAlignment="1">
      <alignment horizontal="center"/>
    </xf>
    <xf numFmtId="166" fontId="1" fillId="134" borderId="101" xfId="1" applyNumberFormat="1" applyFont="1" applyFill="1" applyBorder="1" applyAlignment="1">
      <alignment horizontal="center"/>
    </xf>
    <xf numFmtId="166" fontId="1" fillId="134" borderId="102" xfId="1" applyNumberFormat="1" applyFont="1" applyFill="1" applyBorder="1" applyAlignment="1">
      <alignment horizontal="center"/>
    </xf>
    <xf numFmtId="166" fontId="1" fillId="104" borderId="102" xfId="1" applyNumberFormat="1" applyFont="1" applyFill="1" applyBorder="1" applyAlignment="1">
      <alignment horizontal="center"/>
    </xf>
    <xf numFmtId="166" fontId="1" fillId="104" borderId="103" xfId="1" applyNumberFormat="1" applyFont="1" applyFill="1" applyBorder="1" applyAlignment="1">
      <alignment horizontal="center"/>
    </xf>
    <xf numFmtId="166" fontId="1" fillId="104" borderId="98" xfId="1" applyNumberFormat="1" applyFont="1" applyFill="1" applyBorder="1" applyAlignment="1">
      <alignment horizontal="center"/>
    </xf>
    <xf numFmtId="166" fontId="1" fillId="104" borderId="104" xfId="1" applyNumberFormat="1" applyFont="1" applyFill="1" applyBorder="1" applyAlignment="1">
      <alignment horizontal="center"/>
    </xf>
    <xf numFmtId="166" fontId="0" fillId="131" borderId="0" xfId="1" applyNumberFormat="1" applyFont="1" applyFill="1" applyBorder="1" applyAlignment="1">
      <alignment horizontal="center"/>
    </xf>
    <xf numFmtId="166" fontId="1" fillId="131" borderId="96" xfId="1" applyNumberFormat="1" applyFont="1" applyFill="1" applyBorder="1" applyAlignment="1">
      <alignment horizontal="center"/>
    </xf>
    <xf numFmtId="166" fontId="1" fillId="131" borderId="94" xfId="1" applyNumberFormat="1" applyFont="1" applyFill="1" applyBorder="1" applyAlignment="1">
      <alignment horizontal="center"/>
    </xf>
    <xf numFmtId="166" fontId="1" fillId="131" borderId="95" xfId="1" applyNumberFormat="1" applyFont="1" applyFill="1" applyBorder="1" applyAlignment="1">
      <alignment horizontal="center"/>
    </xf>
    <xf numFmtId="166" fontId="2" fillId="131" borderId="96" xfId="1" applyNumberFormat="1" applyFont="1" applyFill="1" applyBorder="1" applyAlignment="1">
      <alignment horizontal="center"/>
    </xf>
    <xf numFmtId="166" fontId="1" fillId="105" borderId="96" xfId="1" applyNumberFormat="1" applyFont="1" applyFill="1" applyBorder="1" applyAlignment="1">
      <alignment horizontal="center"/>
    </xf>
    <xf numFmtId="166" fontId="2" fillId="105" borderId="96" xfId="1" applyNumberFormat="1" applyFont="1" applyFill="1" applyBorder="1" applyAlignment="1">
      <alignment horizontal="center"/>
    </xf>
    <xf numFmtId="166" fontId="0" fillId="105" borderId="0" xfId="1" applyNumberFormat="1" applyFont="1" applyFill="1" applyBorder="1" applyAlignment="1">
      <alignment horizontal="center"/>
    </xf>
    <xf numFmtId="166" fontId="0" fillId="131" borderId="19" xfId="1" applyNumberFormat="1" applyFont="1" applyFill="1" applyBorder="1" applyAlignment="1">
      <alignment horizontal="center"/>
    </xf>
    <xf numFmtId="166" fontId="1" fillId="131" borderId="97" xfId="1" applyNumberFormat="1" applyFont="1" applyFill="1" applyBorder="1" applyAlignment="1">
      <alignment horizontal="center"/>
    </xf>
    <xf numFmtId="14" fontId="159" fillId="104" borderId="1" xfId="93" applyNumberFormat="1" applyFont="1" applyFill="1" applyBorder="1" applyAlignment="1">
      <alignment horizontal="left" wrapText="1"/>
    </xf>
    <xf numFmtId="14" fontId="148" fillId="104" borderId="1" xfId="4299" applyNumberFormat="1" applyFont="1" applyFill="1" applyBorder="1" applyAlignment="1" applyProtection="1">
      <alignment horizontal="left"/>
      <protection locked="0"/>
    </xf>
    <xf numFmtId="0" fontId="0" fillId="111" borderId="0" xfId="0" applyFill="1"/>
    <xf numFmtId="166" fontId="0" fillId="111" borderId="0" xfId="1" applyNumberFormat="1" applyFont="1" applyFill="1"/>
    <xf numFmtId="166" fontId="23" fillId="111" borderId="0" xfId="1" applyNumberFormat="1" applyFont="1" applyFill="1"/>
    <xf numFmtId="166" fontId="148" fillId="109" borderId="1" xfId="1" applyNumberFormat="1" applyFont="1" applyFill="1" applyBorder="1" applyAlignment="1" applyProtection="1">
      <alignment horizontal="left"/>
      <protection locked="0"/>
    </xf>
    <xf numFmtId="166" fontId="165" fillId="130" borderId="1" xfId="1" applyNumberFormat="1" applyFont="1" applyFill="1" applyBorder="1" applyAlignment="1">
      <alignment horizontal="center" vertical="center"/>
    </xf>
    <xf numFmtId="3" fontId="165" fillId="130" borderId="1" xfId="0" applyNumberFormat="1" applyFont="1" applyFill="1" applyBorder="1" applyAlignment="1">
      <alignment horizontal="center" vertical="center"/>
    </xf>
    <xf numFmtId="0" fontId="165" fillId="130" borderId="1" xfId="0" applyFont="1" applyFill="1" applyBorder="1" applyAlignment="1">
      <alignment horizontal="center" vertical="center"/>
    </xf>
    <xf numFmtId="166" fontId="6" fillId="130" borderId="1" xfId="1" applyNumberFormat="1" applyFont="1" applyFill="1" applyBorder="1" applyAlignment="1">
      <alignment horizontal="center" vertical="center"/>
    </xf>
    <xf numFmtId="14" fontId="148" fillId="109" borderId="1" xfId="4299" applyNumberFormat="1" applyFont="1" applyFill="1" applyBorder="1" applyAlignment="1" applyProtection="1">
      <alignment horizontal="left"/>
      <protection locked="0"/>
    </xf>
    <xf numFmtId="166" fontId="173" fillId="0" borderId="1" xfId="0" applyNumberFormat="1" applyFont="1" applyBorder="1" applyAlignment="1" applyProtection="1">
      <alignment horizontal="left" vertical="center"/>
      <protection locked="0"/>
    </xf>
    <xf numFmtId="0" fontId="148" fillId="109" borderId="1" xfId="4299" applyFont="1" applyFill="1" applyBorder="1" applyAlignment="1" applyProtection="1">
      <alignment horizontal="left"/>
      <protection locked="0"/>
    </xf>
    <xf numFmtId="0" fontId="28" fillId="0" borderId="18" xfId="0" applyFont="1" applyBorder="1" applyAlignment="1">
      <alignment vertical="center"/>
    </xf>
    <xf numFmtId="0" fontId="28" fillId="0" borderId="19" xfId="0" applyFont="1" applyBorder="1" applyAlignment="1">
      <alignment vertical="center"/>
    </xf>
    <xf numFmtId="0" fontId="28" fillId="0" borderId="64" xfId="0" applyFont="1" applyBorder="1" applyAlignment="1">
      <alignment vertical="center"/>
    </xf>
    <xf numFmtId="0" fontId="2" fillId="104" borderId="19" xfId="0" applyFont="1" applyFill="1" applyBorder="1"/>
    <xf numFmtId="0" fontId="0" fillId="104" borderId="15" xfId="0" applyFill="1" applyBorder="1"/>
    <xf numFmtId="9" fontId="0" fillId="104" borderId="0" xfId="2" applyFont="1" applyFill="1" applyBorder="1" applyAlignment="1">
      <alignment horizontal="center"/>
    </xf>
    <xf numFmtId="9" fontId="0" fillId="104" borderId="72" xfId="2" applyFont="1" applyFill="1" applyBorder="1" applyAlignment="1">
      <alignment horizontal="center"/>
    </xf>
    <xf numFmtId="0" fontId="2" fillId="134" borderId="15" xfId="0" applyFont="1" applyFill="1" applyBorder="1"/>
    <xf numFmtId="166" fontId="2" fillId="134" borderId="0" xfId="1" applyNumberFormat="1" applyFont="1" applyFill="1" applyBorder="1" applyAlignment="1">
      <alignment horizontal="center"/>
    </xf>
    <xf numFmtId="9" fontId="2" fillId="134" borderId="0" xfId="2" applyFont="1" applyFill="1" applyBorder="1" applyAlignment="1">
      <alignment horizontal="center"/>
    </xf>
    <xf numFmtId="9" fontId="2" fillId="134" borderId="72" xfId="2" applyFont="1" applyFill="1" applyBorder="1" applyAlignment="1">
      <alignment horizontal="center"/>
    </xf>
    <xf numFmtId="9" fontId="0" fillId="104" borderId="15" xfId="2" applyFont="1" applyFill="1" applyBorder="1" applyAlignment="1">
      <alignment horizontal="center"/>
    </xf>
    <xf numFmtId="9" fontId="2" fillId="134" borderId="15" xfId="2" applyFont="1" applyFill="1" applyBorder="1" applyAlignment="1">
      <alignment horizontal="center"/>
    </xf>
    <xf numFmtId="9" fontId="0" fillId="104" borderId="15" xfId="2" applyFont="1" applyFill="1" applyBorder="1"/>
    <xf numFmtId="9" fontId="0" fillId="104" borderId="72" xfId="2" applyFont="1" applyFill="1" applyBorder="1"/>
    <xf numFmtId="0" fontId="2" fillId="131" borderId="18" xfId="0" applyFont="1" applyFill="1" applyBorder="1"/>
    <xf numFmtId="166" fontId="2" fillId="131" borderId="19" xfId="1" applyNumberFormat="1" applyFont="1" applyFill="1" applyBorder="1" applyAlignment="1">
      <alignment horizontal="center"/>
    </xf>
    <xf numFmtId="166" fontId="165" fillId="135" borderId="1" xfId="1" applyNumberFormat="1" applyFont="1" applyFill="1" applyBorder="1" applyAlignment="1">
      <alignment horizontal="center" vertical="center"/>
    </xf>
    <xf numFmtId="166" fontId="6" fillId="135" borderId="1" xfId="1" applyNumberFormat="1" applyFont="1" applyFill="1" applyBorder="1" applyAlignment="1">
      <alignment horizontal="center" vertical="center"/>
    </xf>
    <xf numFmtId="0" fontId="28" fillId="109" borderId="1" xfId="0" applyFont="1" applyFill="1" applyBorder="1" applyAlignment="1">
      <alignment horizontal="center" vertical="center"/>
    </xf>
    <xf numFmtId="166" fontId="165" fillId="136" borderId="1" xfId="1" applyNumberFormat="1" applyFont="1" applyFill="1" applyBorder="1" applyAlignment="1">
      <alignment horizontal="center" vertical="center"/>
    </xf>
    <xf numFmtId="0" fontId="173" fillId="109" borderId="6" xfId="0" applyFont="1" applyFill="1" applyBorder="1" applyAlignment="1">
      <alignment horizontal="center" vertical="center"/>
    </xf>
    <xf numFmtId="166" fontId="6" fillId="135" borderId="85" xfId="1" applyNumberFormat="1" applyFont="1" applyFill="1" applyBorder="1" applyAlignment="1">
      <alignment horizontal="center" vertical="center"/>
    </xf>
    <xf numFmtId="166" fontId="6" fillId="135" borderId="9" xfId="1" applyNumberFormat="1" applyFont="1" applyFill="1" applyBorder="1" applyAlignment="1">
      <alignment horizontal="center" vertical="center"/>
    </xf>
    <xf numFmtId="166" fontId="6" fillId="135" borderId="15" xfId="1" applyNumberFormat="1" applyFont="1" applyFill="1" applyBorder="1" applyAlignment="1">
      <alignment horizontal="center" vertical="center"/>
    </xf>
    <xf numFmtId="166" fontId="6" fillId="135" borderId="12" xfId="1" applyNumberFormat="1" applyFont="1" applyFill="1" applyBorder="1" applyAlignment="1">
      <alignment horizontal="center" vertical="center"/>
    </xf>
    <xf numFmtId="166" fontId="6" fillId="135" borderId="66" xfId="1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8" fillId="109" borderId="1" xfId="0" applyFont="1" applyFill="1" applyBorder="1" applyAlignment="1">
      <alignment horizontal="center" vertical="center" wrapText="1"/>
    </xf>
    <xf numFmtId="3" fontId="28" fillId="109" borderId="1" xfId="0" applyNumberFormat="1" applyFont="1" applyFill="1" applyBorder="1" applyAlignment="1">
      <alignment horizontal="center" vertical="center"/>
    </xf>
    <xf numFmtId="3" fontId="165" fillId="135" borderId="1" xfId="0" applyNumberFormat="1" applyFont="1" applyFill="1" applyBorder="1" applyAlignment="1">
      <alignment horizontal="center" vertical="center"/>
    </xf>
    <xf numFmtId="0" fontId="165" fillId="135" borderId="1" xfId="0" applyFont="1" applyFill="1" applyBorder="1" applyAlignment="1">
      <alignment horizontal="center" vertical="center"/>
    </xf>
    <xf numFmtId="166" fontId="4" fillId="130" borderId="1" xfId="1" applyNumberFormat="1" applyFont="1" applyFill="1" applyBorder="1" applyAlignment="1">
      <alignment horizontal="center" vertical="center"/>
    </xf>
    <xf numFmtId="0" fontId="2" fillId="110" borderId="19" xfId="0" applyFont="1" applyFill="1" applyBorder="1"/>
    <xf numFmtId="0" fontId="2" fillId="110" borderId="64" xfId="0" applyFont="1" applyFill="1" applyBorder="1"/>
    <xf numFmtId="0" fontId="2" fillId="110" borderId="18" xfId="0" applyFont="1" applyFill="1" applyBorder="1"/>
    <xf numFmtId="9" fontId="0" fillId="0" borderId="15" xfId="2" applyFont="1" applyBorder="1"/>
    <xf numFmtId="9" fontId="0" fillId="0" borderId="72" xfId="2" applyFont="1" applyBorder="1"/>
    <xf numFmtId="166" fontId="0" fillId="0" borderId="15" xfId="1" applyNumberFormat="1" applyFont="1" applyBorder="1"/>
    <xf numFmtId="0" fontId="2" fillId="0" borderId="9" xfId="0" applyFont="1" applyBorder="1"/>
    <xf numFmtId="0" fontId="2" fillId="0" borderId="63" xfId="0" applyFont="1" applyBorder="1"/>
    <xf numFmtId="0" fontId="2" fillId="0" borderId="11" xfId="0" applyFont="1" applyBorder="1"/>
    <xf numFmtId="9" fontId="0" fillId="104" borderId="0" xfId="2" applyFont="1" applyFill="1" applyBorder="1"/>
    <xf numFmtId="9" fontId="0" fillId="134" borderId="0" xfId="2" applyFont="1" applyFill="1" applyBorder="1" applyAlignment="1">
      <alignment horizontal="center"/>
    </xf>
    <xf numFmtId="0" fontId="2" fillId="104" borderId="18" xfId="0" applyFont="1" applyFill="1" applyBorder="1"/>
    <xf numFmtId="0" fontId="2" fillId="104" borderId="63" xfId="0" applyFont="1" applyFill="1" applyBorder="1"/>
    <xf numFmtId="0" fontId="2" fillId="131" borderId="9" xfId="0" applyFont="1" applyFill="1" applyBorder="1"/>
    <xf numFmtId="9" fontId="2" fillId="104" borderId="0" xfId="2" applyFont="1" applyFill="1" applyBorder="1" applyAlignment="1">
      <alignment horizontal="center"/>
    </xf>
    <xf numFmtId="166" fontId="2" fillId="104" borderId="19" xfId="1" applyNumberFormat="1" applyFont="1" applyFill="1" applyBorder="1" applyAlignment="1">
      <alignment horizontal="center"/>
    </xf>
    <xf numFmtId="169" fontId="0" fillId="104" borderId="64" xfId="2" applyNumberFormat="1" applyFont="1" applyFill="1" applyBorder="1"/>
    <xf numFmtId="169" fontId="2" fillId="131" borderId="9" xfId="2" applyNumberFormat="1" applyFont="1" applyFill="1" applyBorder="1"/>
    <xf numFmtId="169" fontId="2" fillId="131" borderId="11" xfId="2" applyNumberFormat="1" applyFont="1" applyFill="1" applyBorder="1"/>
    <xf numFmtId="0" fontId="2" fillId="104" borderId="9" xfId="0" applyFont="1" applyFill="1" applyBorder="1"/>
    <xf numFmtId="0" fontId="2" fillId="104" borderId="64" xfId="0" applyFont="1" applyFill="1" applyBorder="1"/>
    <xf numFmtId="9" fontId="2" fillId="104" borderId="0" xfId="2" applyFont="1" applyFill="1" applyBorder="1"/>
    <xf numFmtId="169" fontId="0" fillId="104" borderId="18" xfId="2" applyNumberFormat="1" applyFont="1" applyFill="1" applyBorder="1"/>
    <xf numFmtId="9" fontId="0" fillId="104" borderId="12" xfId="2" applyFont="1" applyFill="1" applyBorder="1" applyAlignment="1">
      <alignment horizontal="center"/>
    </xf>
    <xf numFmtId="9" fontId="0" fillId="104" borderId="13" xfId="2" applyFont="1" applyFill="1" applyBorder="1" applyAlignment="1">
      <alignment horizontal="center"/>
    </xf>
    <xf numFmtId="9" fontId="0" fillId="104" borderId="14" xfId="2" applyFont="1" applyFill="1" applyBorder="1" applyAlignment="1">
      <alignment horizontal="center"/>
    </xf>
    <xf numFmtId="0" fontId="0" fillId="104" borderId="29" xfId="0" applyFill="1" applyBorder="1"/>
    <xf numFmtId="9" fontId="0" fillId="134" borderId="15" xfId="2" applyFont="1" applyFill="1" applyBorder="1" applyAlignment="1">
      <alignment horizontal="center"/>
    </xf>
    <xf numFmtId="9" fontId="0" fillId="134" borderId="72" xfId="2" applyFont="1" applyFill="1" applyBorder="1" applyAlignment="1">
      <alignment horizontal="center"/>
    </xf>
    <xf numFmtId="166" fontId="2" fillId="134" borderId="72" xfId="1" applyNumberFormat="1" applyFont="1" applyFill="1" applyBorder="1" applyAlignment="1">
      <alignment horizontal="center"/>
    </xf>
    <xf numFmtId="166" fontId="2" fillId="131" borderId="64" xfId="1" applyNumberFormat="1" applyFont="1" applyFill="1" applyBorder="1" applyAlignment="1">
      <alignment horizontal="center"/>
    </xf>
    <xf numFmtId="169" fontId="0" fillId="104" borderId="0" xfId="2" applyNumberFormat="1" applyFont="1" applyFill="1" applyBorder="1"/>
    <xf numFmtId="225" fontId="2" fillId="131" borderId="63" xfId="1" applyNumberFormat="1" applyFont="1" applyFill="1" applyBorder="1" applyAlignment="1">
      <alignment horizontal="center"/>
    </xf>
    <xf numFmtId="43" fontId="0" fillId="104" borderId="0" xfId="1" applyFont="1" applyFill="1" applyBorder="1" applyAlignment="1">
      <alignment horizontal="center"/>
    </xf>
    <xf numFmtId="169" fontId="2" fillId="104" borderId="0" xfId="2" applyNumberFormat="1" applyFont="1" applyFill="1" applyBorder="1"/>
    <xf numFmtId="0" fontId="2" fillId="134" borderId="18" xfId="0" applyFont="1" applyFill="1" applyBorder="1"/>
    <xf numFmtId="43" fontId="2" fillId="134" borderId="19" xfId="1" applyFont="1" applyFill="1" applyBorder="1" applyAlignment="1">
      <alignment horizontal="center"/>
    </xf>
    <xf numFmtId="9" fontId="2" fillId="134" borderId="18" xfId="2" applyFont="1" applyFill="1" applyBorder="1"/>
    <xf numFmtId="9" fontId="2" fillId="134" borderId="64" xfId="2" applyFont="1" applyFill="1" applyBorder="1"/>
    <xf numFmtId="225" fontId="2" fillId="104" borderId="19" xfId="1" applyNumberFormat="1" applyFont="1" applyFill="1" applyBorder="1" applyAlignment="1">
      <alignment horizontal="center"/>
    </xf>
    <xf numFmtId="0" fontId="153" fillId="104" borderId="105" xfId="0" applyFont="1" applyFill="1" applyBorder="1" applyAlignment="1">
      <alignment horizontal="center"/>
    </xf>
    <xf numFmtId="0" fontId="0" fillId="35" borderId="70" xfId="0" applyFill="1" applyBorder="1" applyAlignment="1">
      <alignment horizontal="center" vertical="center"/>
    </xf>
    <xf numFmtId="0" fontId="2" fillId="35" borderId="63" xfId="0" applyFont="1" applyFill="1" applyBorder="1"/>
    <xf numFmtId="225" fontId="2" fillId="35" borderId="63" xfId="1" applyNumberFormat="1" applyFont="1" applyFill="1" applyBorder="1" applyAlignment="1">
      <alignment horizontal="center"/>
    </xf>
    <xf numFmtId="169" fontId="2" fillId="35" borderId="9" xfId="2" applyNumberFormat="1" applyFont="1" applyFill="1" applyBorder="1"/>
    <xf numFmtId="169" fontId="2" fillId="35" borderId="11" xfId="2" applyNumberFormat="1" applyFont="1" applyFill="1" applyBorder="1"/>
    <xf numFmtId="169" fontId="2" fillId="35" borderId="0" xfId="2" applyNumberFormat="1" applyFont="1" applyFill="1" applyBorder="1"/>
    <xf numFmtId="9" fontId="2" fillId="35" borderId="0" xfId="2" applyFont="1" applyFill="1" applyBorder="1" applyAlignment="1">
      <alignment horizontal="center"/>
    </xf>
    <xf numFmtId="0" fontId="2" fillId="35" borderId="19" xfId="0" applyFont="1" applyFill="1" applyBorder="1"/>
    <xf numFmtId="166" fontId="2" fillId="35" borderId="19" xfId="1" applyNumberFormat="1" applyFont="1" applyFill="1" applyBorder="1" applyAlignment="1">
      <alignment horizontal="center"/>
    </xf>
    <xf numFmtId="0" fontId="6" fillId="0" borderId="69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8" xfId="0" applyBorder="1" applyAlignment="1">
      <alignment vertical="center"/>
    </xf>
    <xf numFmtId="0" fontId="0" fillId="104" borderId="69" xfId="0" applyFill="1" applyBorder="1" applyAlignment="1">
      <alignment wrapText="1"/>
    </xf>
    <xf numFmtId="0" fontId="0" fillId="104" borderId="69" xfId="0" applyFill="1" applyBorder="1"/>
    <xf numFmtId="0" fontId="0" fillId="104" borderId="70" xfId="0" applyFill="1" applyBorder="1"/>
    <xf numFmtId="0" fontId="0" fillId="104" borderId="80" xfId="0" applyFill="1" applyBorder="1"/>
    <xf numFmtId="0" fontId="2" fillId="104" borderId="81" xfId="0" applyFont="1" applyFill="1" applyBorder="1" applyAlignment="1">
      <alignment horizontal="center"/>
    </xf>
    <xf numFmtId="0" fontId="2" fillId="104" borderId="75" xfId="0" applyFont="1" applyFill="1" applyBorder="1" applyAlignment="1">
      <alignment horizontal="center"/>
    </xf>
    <xf numFmtId="0" fontId="0" fillId="129" borderId="0" xfId="0" applyFill="1" applyAlignment="1">
      <alignment horizontal="center"/>
    </xf>
    <xf numFmtId="43" fontId="0" fillId="104" borderId="0" xfId="0" applyNumberFormat="1" applyFill="1" applyAlignment="1">
      <alignment horizontal="center"/>
    </xf>
    <xf numFmtId="9" fontId="6" fillId="0" borderId="90" xfId="2" applyFont="1" applyBorder="1" applyAlignment="1">
      <alignment horizontal="center" vertical="center"/>
    </xf>
    <xf numFmtId="0" fontId="0" fillId="18" borderId="75" xfId="0" applyFill="1" applyBorder="1" applyAlignment="1">
      <alignment horizontal="center"/>
    </xf>
    <xf numFmtId="0" fontId="0" fillId="104" borderId="29" xfId="0" applyFill="1" applyBorder="1" applyAlignment="1">
      <alignment horizontal="center"/>
    </xf>
    <xf numFmtId="0" fontId="0" fillId="18" borderId="63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13" xfId="0" applyFill="1" applyBorder="1" applyAlignment="1">
      <alignment horizontal="center"/>
    </xf>
    <xf numFmtId="0" fontId="2" fillId="18" borderId="63" xfId="0" applyFont="1" applyFill="1" applyBorder="1" applyAlignment="1">
      <alignment horizontal="center"/>
    </xf>
    <xf numFmtId="0" fontId="2" fillId="18" borderId="13" xfId="0" applyFont="1" applyFill="1" applyBorder="1" applyAlignment="1">
      <alignment horizontal="center"/>
    </xf>
    <xf numFmtId="0" fontId="0" fillId="104" borderId="68" xfId="0" applyFill="1" applyBorder="1" applyAlignment="1">
      <alignment vertical="center"/>
    </xf>
    <xf numFmtId="166" fontId="4" fillId="0" borderId="6" xfId="0" applyNumberFormat="1" applyFont="1" applyBorder="1" applyAlignment="1" applyProtection="1">
      <alignment vertical="center" wrapText="1"/>
      <protection locked="0"/>
    </xf>
    <xf numFmtId="166" fontId="4" fillId="0" borderId="5" xfId="0" applyNumberFormat="1" applyFont="1" applyBorder="1" applyAlignment="1" applyProtection="1">
      <alignment vertical="center" wrapText="1"/>
      <protection locked="0"/>
    </xf>
    <xf numFmtId="166" fontId="4" fillId="0" borderId="66" xfId="0" applyNumberFormat="1" applyFont="1" applyBorder="1" applyAlignment="1" applyProtection="1">
      <alignment vertical="center" wrapText="1"/>
      <protection locked="0"/>
    </xf>
    <xf numFmtId="166" fontId="161" fillId="0" borderId="112" xfId="1" applyNumberFormat="1" applyFont="1" applyBorder="1" applyAlignment="1">
      <alignment horizontal="center" vertical="center"/>
    </xf>
    <xf numFmtId="166" fontId="161" fillId="0" borderId="113" xfId="1" applyNumberFormat="1" applyFont="1" applyBorder="1" applyAlignment="1">
      <alignment horizontal="center" vertical="center"/>
    </xf>
    <xf numFmtId="166" fontId="161" fillId="0" borderId="14" xfId="1" applyNumberFormat="1" applyFont="1" applyBorder="1" applyAlignment="1">
      <alignment horizontal="center" vertical="center"/>
    </xf>
    <xf numFmtId="166" fontId="161" fillId="0" borderId="114" xfId="1" applyNumberFormat="1" applyFont="1" applyBorder="1" applyAlignment="1">
      <alignment horizontal="center" vertical="center"/>
    </xf>
    <xf numFmtId="166" fontId="161" fillId="0" borderId="7" xfId="1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9" fontId="6" fillId="0" borderId="88" xfId="2" applyFont="1" applyFill="1" applyBorder="1" applyAlignment="1">
      <alignment horizontal="left" vertical="center" wrapText="1"/>
    </xf>
    <xf numFmtId="9" fontId="6" fillId="0" borderId="115" xfId="2" applyFont="1" applyFill="1" applyBorder="1" applyAlignment="1">
      <alignment horizontal="left" vertical="center" wrapText="1"/>
    </xf>
    <xf numFmtId="166" fontId="28" fillId="132" borderId="0" xfId="0" applyNumberFormat="1" applyFont="1" applyFill="1" applyAlignment="1">
      <alignment horizontal="center" vertical="center"/>
    </xf>
    <xf numFmtId="9" fontId="28" fillId="132" borderId="0" xfId="2" applyFont="1" applyFill="1" applyBorder="1" applyAlignment="1">
      <alignment horizontal="center" vertical="center"/>
    </xf>
    <xf numFmtId="0" fontId="6" fillId="132" borderId="72" xfId="0" applyFont="1" applyFill="1" applyBorder="1" applyAlignment="1" applyProtection="1">
      <alignment horizontal="left" vertical="center"/>
      <protection locked="0"/>
    </xf>
    <xf numFmtId="0" fontId="6" fillId="0" borderId="106" xfId="0" applyFont="1" applyBorder="1" applyAlignment="1" applyProtection="1">
      <alignment horizontal="left" vertical="center"/>
      <protection locked="0"/>
    </xf>
    <xf numFmtId="0" fontId="6" fillId="0" borderId="106" xfId="0" applyFont="1" applyBorder="1" applyAlignment="1" applyProtection="1">
      <alignment vertical="center" wrapText="1"/>
      <protection locked="0"/>
    </xf>
    <xf numFmtId="0" fontId="6" fillId="0" borderId="72" xfId="0" applyFont="1" applyBorder="1" applyAlignment="1" applyProtection="1">
      <alignment horizontal="left" vertical="center" wrapText="1"/>
      <protection locked="0"/>
    </xf>
    <xf numFmtId="0" fontId="6" fillId="0" borderId="72" xfId="0" applyFont="1" applyBorder="1" applyAlignment="1" applyProtection="1">
      <alignment horizontal="left" vertical="center"/>
      <protection locked="0"/>
    </xf>
    <xf numFmtId="0" fontId="28" fillId="132" borderId="116" xfId="0" applyFont="1" applyFill="1" applyBorder="1" applyAlignment="1">
      <alignment horizontal="left" vertical="center"/>
    </xf>
    <xf numFmtId="0" fontId="6" fillId="0" borderId="116" xfId="0" applyFont="1" applyBorder="1" applyAlignment="1">
      <alignment horizontal="left" vertical="center"/>
    </xf>
    <xf numFmtId="0" fontId="6" fillId="0" borderId="106" xfId="0" applyFont="1" applyBorder="1" applyAlignment="1" applyProtection="1">
      <alignment horizontal="left" vertical="center" wrapText="1"/>
      <protection locked="0"/>
    </xf>
    <xf numFmtId="0" fontId="28" fillId="131" borderId="78" xfId="0" applyFont="1" applyFill="1" applyBorder="1" applyAlignment="1">
      <alignment horizontal="left" vertical="center"/>
    </xf>
    <xf numFmtId="166" fontId="28" fillId="131" borderId="79" xfId="0" applyNumberFormat="1" applyFont="1" applyFill="1" applyBorder="1" applyAlignment="1">
      <alignment horizontal="center" vertical="center"/>
    </xf>
    <xf numFmtId="166" fontId="6" fillId="0" borderId="79" xfId="0" applyNumberFormat="1" applyFont="1" applyBorder="1" applyAlignment="1">
      <alignment horizontal="center" vertical="center"/>
    </xf>
    <xf numFmtId="169" fontId="6" fillId="0" borderId="79" xfId="2" applyNumberFormat="1" applyFont="1" applyBorder="1" applyAlignment="1">
      <alignment horizontal="center" vertical="center"/>
    </xf>
    <xf numFmtId="0" fontId="6" fillId="131" borderId="14" xfId="0" applyFont="1" applyFill="1" applyBorder="1" applyAlignment="1" applyProtection="1">
      <alignment horizontal="left" vertical="center"/>
      <protection locked="0"/>
    </xf>
    <xf numFmtId="0" fontId="160" fillId="0" borderId="89" xfId="0" applyFont="1" applyBorder="1" applyAlignment="1">
      <alignment horizontal="center"/>
    </xf>
    <xf numFmtId="0" fontId="160" fillId="0" borderId="91" xfId="0" applyFont="1" applyBorder="1" applyAlignment="1">
      <alignment horizontal="center"/>
    </xf>
    <xf numFmtId="0" fontId="160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16" xfId="0" applyFon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9" fontId="0" fillId="0" borderId="11" xfId="2" applyFont="1" applyBorder="1" applyAlignment="1">
      <alignment horizontal="center"/>
    </xf>
    <xf numFmtId="9" fontId="0" fillId="0" borderId="72" xfId="2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9" fontId="0" fillId="0" borderId="9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0" fontId="31" fillId="103" borderId="0" xfId="0" applyFont="1" applyFill="1" applyAlignment="1" applyProtection="1">
      <alignment horizontal="left" vertical="center"/>
      <protection locked="0"/>
    </xf>
    <xf numFmtId="0" fontId="28" fillId="0" borderId="0" xfId="0" applyFont="1" applyAlignment="1">
      <alignment vertical="center"/>
    </xf>
    <xf numFmtId="0" fontId="31" fillId="0" borderId="0" xfId="0" applyFont="1" applyAlignment="1" applyProtection="1">
      <alignment horizontal="left" vertical="center"/>
      <protection locked="0"/>
    </xf>
    <xf numFmtId="166" fontId="1" fillId="0" borderId="0" xfId="1" applyNumberFormat="1" applyFont="1"/>
    <xf numFmtId="0" fontId="142" fillId="137" borderId="0" xfId="4299" applyFont="1" applyFill="1" applyProtection="1">
      <protection locked="0"/>
    </xf>
    <xf numFmtId="166" fontId="28" fillId="131" borderId="1" xfId="0" applyNumberFormat="1" applyFont="1" applyFill="1" applyBorder="1" applyAlignment="1">
      <alignment horizontal="center" vertical="center"/>
    </xf>
    <xf numFmtId="166" fontId="28" fillId="131" borderId="3" xfId="0" applyNumberFormat="1" applyFont="1" applyFill="1" applyBorder="1" applyAlignment="1">
      <alignment horizontal="center" vertical="center"/>
    </xf>
    <xf numFmtId="166" fontId="6" fillId="0" borderId="64" xfId="0" applyNumberFormat="1" applyFont="1" applyBorder="1" applyAlignment="1">
      <alignment horizontal="center" vertical="center"/>
    </xf>
    <xf numFmtId="9" fontId="6" fillId="132" borderId="0" xfId="2" applyFont="1" applyFill="1" applyAlignment="1">
      <alignment horizontal="center" vertical="center"/>
    </xf>
    <xf numFmtId="169" fontId="6" fillId="0" borderId="18" xfId="2" applyNumberFormat="1" applyFont="1" applyBorder="1" applyAlignment="1">
      <alignment horizontal="center" vertical="center"/>
    </xf>
    <xf numFmtId="9" fontId="6" fillId="0" borderId="9" xfId="2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/>
    </xf>
    <xf numFmtId="9" fontId="6" fillId="0" borderId="15" xfId="2" applyFont="1" applyBorder="1" applyAlignment="1">
      <alignment horizontal="center" vertical="center"/>
    </xf>
    <xf numFmtId="166" fontId="6" fillId="0" borderId="72" xfId="0" applyNumberFormat="1" applyFont="1" applyBorder="1" applyAlignment="1">
      <alignment horizontal="center" vertical="center"/>
    </xf>
    <xf numFmtId="9" fontId="6" fillId="0" borderId="12" xfId="2" applyFont="1" applyBorder="1" applyAlignment="1">
      <alignment horizontal="center" vertical="center"/>
    </xf>
    <xf numFmtId="166" fontId="6" fillId="0" borderId="14" xfId="0" applyNumberFormat="1" applyFont="1" applyBorder="1" applyAlignment="1">
      <alignment horizontal="center" vertical="center"/>
    </xf>
    <xf numFmtId="0" fontId="0" fillId="105" borderId="0" xfId="0" applyFill="1" applyAlignment="1">
      <alignment horizontal="left"/>
    </xf>
    <xf numFmtId="166" fontId="0" fillId="105" borderId="0" xfId="0" applyNumberFormat="1" applyFill="1"/>
    <xf numFmtId="9" fontId="0" fillId="0" borderId="0" xfId="2" applyFont="1" applyBorder="1" applyAlignment="1">
      <alignment horizontal="center"/>
    </xf>
    <xf numFmtId="169" fontId="0" fillId="0" borderId="0" xfId="2" applyNumberFormat="1" applyFont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9" fontId="0" fillId="0" borderId="72" xfId="2" applyNumberFormat="1" applyFont="1" applyBorder="1"/>
    <xf numFmtId="169" fontId="0" fillId="0" borderId="15" xfId="2" applyNumberFormat="1" applyFont="1" applyBorder="1" applyAlignment="1">
      <alignment horizontal="center"/>
    </xf>
    <xf numFmtId="169" fontId="0" fillId="0" borderId="72" xfId="2" applyNumberFormat="1" applyFont="1" applyBorder="1" applyAlignment="1">
      <alignment horizontal="center"/>
    </xf>
    <xf numFmtId="169" fontId="0" fillId="0" borderId="9" xfId="2" applyNumberFormat="1" applyFont="1" applyBorder="1" applyAlignment="1">
      <alignment horizontal="center"/>
    </xf>
    <xf numFmtId="169" fontId="0" fillId="0" borderId="11" xfId="2" applyNumberFormat="1" applyFont="1" applyBorder="1" applyAlignment="1">
      <alignment horizontal="center"/>
    </xf>
    <xf numFmtId="169" fontId="0" fillId="0" borderId="12" xfId="2" applyNumberFormat="1" applyFont="1" applyBorder="1" applyAlignment="1">
      <alignment horizontal="center"/>
    </xf>
    <xf numFmtId="169" fontId="0" fillId="0" borderId="14" xfId="2" applyNumberFormat="1" applyFont="1" applyBorder="1" applyAlignment="1">
      <alignment horizontal="center"/>
    </xf>
    <xf numFmtId="9" fontId="2" fillId="0" borderId="72" xfId="2" applyFont="1" applyBorder="1"/>
    <xf numFmtId="0" fontId="0" fillId="109" borderId="13" xfId="0" applyFill="1" applyBorder="1" applyAlignment="1">
      <alignment horizontal="left"/>
    </xf>
    <xf numFmtId="166" fontId="0" fillId="109" borderId="0" xfId="0" applyNumberFormat="1" applyFill="1"/>
    <xf numFmtId="166" fontId="0" fillId="109" borderId="0" xfId="1" applyNumberFormat="1" applyFont="1" applyFill="1" applyBorder="1"/>
    <xf numFmtId="9" fontId="0" fillId="109" borderId="0" xfId="2" applyFont="1" applyFill="1" applyBorder="1"/>
    <xf numFmtId="166" fontId="0" fillId="109" borderId="63" xfId="0" applyNumberFormat="1" applyFill="1" applyBorder="1"/>
    <xf numFmtId="166" fontId="0" fillId="109" borderId="63" xfId="1" applyNumberFormat="1" applyFont="1" applyFill="1" applyBorder="1"/>
    <xf numFmtId="166" fontId="0" fillId="109" borderId="11" xfId="1" applyNumberFormat="1" applyFont="1" applyFill="1" applyBorder="1"/>
    <xf numFmtId="166" fontId="0" fillId="109" borderId="72" xfId="1" applyNumberFormat="1" applyFont="1" applyFill="1" applyBorder="1"/>
    <xf numFmtId="166" fontId="0" fillId="109" borderId="13" xfId="0" applyNumberFormat="1" applyFill="1" applyBorder="1"/>
    <xf numFmtId="166" fontId="0" fillId="109" borderId="13" xfId="1" applyNumberFormat="1" applyFont="1" applyFill="1" applyBorder="1"/>
    <xf numFmtId="166" fontId="0" fillId="109" borderId="14" xfId="1" applyNumberFormat="1" applyFont="1" applyFill="1" applyBorder="1"/>
    <xf numFmtId="0" fontId="0" fillId="109" borderId="63" xfId="0" applyFill="1" applyBorder="1" applyAlignment="1">
      <alignment horizontal="left"/>
    </xf>
    <xf numFmtId="9" fontId="0" fillId="109" borderId="72" xfId="2" applyFont="1" applyFill="1" applyBorder="1"/>
    <xf numFmtId="166" fontId="0" fillId="109" borderId="9" xfId="0" applyNumberFormat="1" applyFill="1" applyBorder="1"/>
    <xf numFmtId="166" fontId="0" fillId="109" borderId="11" xfId="0" applyNumberFormat="1" applyFill="1" applyBorder="1"/>
    <xf numFmtId="166" fontId="0" fillId="109" borderId="15" xfId="0" applyNumberFormat="1" applyFill="1" applyBorder="1"/>
    <xf numFmtId="166" fontId="0" fillId="109" borderId="72" xfId="0" applyNumberFormat="1" applyFill="1" applyBorder="1"/>
    <xf numFmtId="166" fontId="0" fillId="109" borderId="12" xfId="0" applyNumberFormat="1" applyFill="1" applyBorder="1"/>
    <xf numFmtId="166" fontId="0" fillId="109" borderId="14" xfId="0" applyNumberFormat="1" applyFill="1" applyBorder="1"/>
    <xf numFmtId="0" fontId="0" fillId="109" borderId="69" xfId="0" applyFill="1" applyBorder="1" applyAlignment="1">
      <alignment horizontal="left"/>
    </xf>
    <xf numFmtId="0" fontId="0" fillId="109" borderId="70" xfId="0" applyFill="1" applyBorder="1" applyAlignment="1">
      <alignment horizontal="left"/>
    </xf>
    <xf numFmtId="0" fontId="0" fillId="109" borderId="80" xfId="0" applyFill="1" applyBorder="1" applyAlignment="1">
      <alignment horizontal="left"/>
    </xf>
    <xf numFmtId="0" fontId="0" fillId="109" borderId="19" xfId="0" applyFill="1" applyBorder="1" applyAlignment="1">
      <alignment horizontal="left"/>
    </xf>
    <xf numFmtId="166" fontId="0" fillId="109" borderId="19" xfId="0" applyNumberFormat="1" applyFill="1" applyBorder="1"/>
    <xf numFmtId="0" fontId="2" fillId="0" borderId="11" xfId="0" applyFont="1" applyBorder="1" applyAlignment="1">
      <alignment horizontal="center"/>
    </xf>
    <xf numFmtId="9" fontId="0" fillId="0" borderId="63" xfId="2" applyFont="1" applyBorder="1" applyAlignment="1">
      <alignment horizontal="center"/>
    </xf>
    <xf numFmtId="9" fontId="2" fillId="0" borderId="11" xfId="2" applyFont="1" applyBorder="1" applyAlignment="1">
      <alignment horizontal="center"/>
    </xf>
    <xf numFmtId="9" fontId="2" fillId="0" borderId="72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9" fontId="2" fillId="0" borderId="14" xfId="2" applyFont="1" applyBorder="1" applyAlignment="1">
      <alignment horizontal="center"/>
    </xf>
    <xf numFmtId="9" fontId="0" fillId="109" borderId="0" xfId="2" applyFont="1" applyFill="1" applyBorder="1" applyAlignment="1">
      <alignment horizontal="center"/>
    </xf>
    <xf numFmtId="9" fontId="2" fillId="109" borderId="72" xfId="2" applyFont="1" applyFill="1" applyBorder="1" applyAlignment="1">
      <alignment horizontal="center"/>
    </xf>
    <xf numFmtId="9" fontId="0" fillId="109" borderId="72" xfId="2" applyFont="1" applyFill="1" applyBorder="1" applyAlignment="1">
      <alignment horizontal="center"/>
    </xf>
    <xf numFmtId="166" fontId="0" fillId="105" borderId="0" xfId="1" applyNumberFormat="1" applyFont="1" applyFill="1" applyBorder="1"/>
    <xf numFmtId="230" fontId="0" fillId="0" borderId="0" xfId="0" applyNumberFormat="1"/>
    <xf numFmtId="10" fontId="0" fillId="0" borderId="72" xfId="2" applyNumberFormat="1" applyFont="1" applyBorder="1" applyAlignment="1">
      <alignment horizontal="center"/>
    </xf>
    <xf numFmtId="225" fontId="0" fillId="0" borderId="0" xfId="0" applyNumberFormat="1"/>
    <xf numFmtId="228" fontId="0" fillId="0" borderId="0" xfId="0" applyNumberFormat="1"/>
    <xf numFmtId="228" fontId="2" fillId="0" borderId="0" xfId="0" applyNumberFormat="1" applyFont="1"/>
    <xf numFmtId="228" fontId="0" fillId="105" borderId="0" xfId="0" applyNumberFormat="1" applyFill="1"/>
    <xf numFmtId="224" fontId="0" fillId="123" borderId="0" xfId="0" applyNumberFormat="1" applyFill="1"/>
    <xf numFmtId="228" fontId="2" fillId="105" borderId="0" xfId="0" applyNumberFormat="1" applyFont="1" applyFill="1"/>
    <xf numFmtId="0" fontId="6" fillId="104" borderId="72" xfId="0" applyFont="1" applyFill="1" applyBorder="1" applyAlignment="1" applyProtection="1">
      <alignment horizontal="left" vertical="center" wrapText="1"/>
      <protection locked="0"/>
    </xf>
    <xf numFmtId="0" fontId="93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/>
    </xf>
    <xf numFmtId="166" fontId="93" fillId="0" borderId="1" xfId="1" applyNumberFormat="1" applyFont="1" applyBorder="1" applyAlignment="1">
      <alignment vertical="center"/>
    </xf>
    <xf numFmtId="166" fontId="93" fillId="0" borderId="0" xfId="1" applyNumberFormat="1" applyFont="1" applyAlignment="1">
      <alignment horizontal="center" vertical="center"/>
    </xf>
    <xf numFmtId="166" fontId="93" fillId="0" borderId="1" xfId="1" applyNumberFormat="1" applyFont="1" applyBorder="1" applyAlignment="1">
      <alignment horizontal="center" vertical="center"/>
    </xf>
    <xf numFmtId="166" fontId="93" fillId="0" borderId="0" xfId="0" applyNumberFormat="1" applyFont="1" applyAlignment="1">
      <alignment horizontal="center" vertical="center"/>
    </xf>
    <xf numFmtId="166" fontId="93" fillId="0" borderId="1" xfId="0" applyNumberFormat="1" applyFont="1" applyBorder="1" applyAlignment="1">
      <alignment horizontal="center" vertical="center"/>
    </xf>
    <xf numFmtId="0" fontId="93" fillId="0" borderId="0" xfId="0" applyFont="1" applyAlignment="1" applyProtection="1">
      <alignment horizontal="left" vertical="center"/>
      <protection locked="0"/>
    </xf>
    <xf numFmtId="9" fontId="93" fillId="0" borderId="0" xfId="2" applyFont="1" applyAlignment="1">
      <alignment horizontal="center" vertical="center"/>
    </xf>
    <xf numFmtId="3" fontId="165" fillId="0" borderId="66" xfId="0" applyNumberFormat="1" applyFont="1" applyBorder="1" applyAlignment="1">
      <alignment horizontal="center" vertical="center"/>
    </xf>
    <xf numFmtId="169" fontId="6" fillId="0" borderId="0" xfId="2" applyNumberFormat="1" applyFont="1" applyAlignment="1">
      <alignment horizontal="center" vertical="center"/>
    </xf>
    <xf numFmtId="169" fontId="6" fillId="0" borderId="0" xfId="2" applyNumberFormat="1" applyFont="1" applyAlignment="1">
      <alignment horizontal="right" vertical="center"/>
    </xf>
    <xf numFmtId="9" fontId="6" fillId="0" borderId="29" xfId="2" applyFont="1" applyBorder="1" applyAlignment="1">
      <alignment horizontal="center" vertical="center"/>
    </xf>
    <xf numFmtId="169" fontId="6" fillId="0" borderId="29" xfId="2" applyNumberFormat="1" applyFont="1" applyBorder="1" applyAlignment="1">
      <alignment horizontal="center" vertical="center"/>
    </xf>
    <xf numFmtId="0" fontId="148" fillId="106" borderId="1" xfId="4299" applyFont="1" applyFill="1" applyBorder="1" applyAlignment="1" applyProtection="1">
      <alignment horizontal="left"/>
      <protection locked="0"/>
    </xf>
    <xf numFmtId="166" fontId="6" fillId="126" borderId="1" xfId="1" applyNumberFormat="1" applyFont="1" applyFill="1" applyBorder="1" applyAlignment="1">
      <alignment horizontal="center" vertical="center"/>
    </xf>
    <xf numFmtId="166" fontId="6" fillId="122" borderId="1" xfId="0" applyNumberFormat="1" applyFont="1" applyFill="1" applyBorder="1" applyAlignment="1">
      <alignment horizontal="center" vertical="center"/>
    </xf>
    <xf numFmtId="166" fontId="6" fillId="135" borderId="0" xfId="1" applyNumberFormat="1" applyFont="1" applyFill="1" applyBorder="1" applyAlignment="1">
      <alignment horizontal="center" vertical="center"/>
    </xf>
    <xf numFmtId="43" fontId="6" fillId="0" borderId="1" xfId="0" quotePrefix="1" applyNumberFormat="1" applyFont="1" applyBorder="1" applyAlignment="1" applyProtection="1">
      <alignment horizontal="left" vertical="center"/>
      <protection locked="0"/>
    </xf>
    <xf numFmtId="231" fontId="6" fillId="0" borderId="0" xfId="0" applyNumberFormat="1" applyFont="1" applyAlignment="1">
      <alignment horizontal="center" vertical="center"/>
    </xf>
    <xf numFmtId="9" fontId="6" fillId="0" borderId="1" xfId="2" applyFont="1" applyBorder="1" applyAlignment="1" applyProtection="1">
      <alignment horizontal="left" vertical="center" wrapText="1"/>
      <protection locked="0"/>
    </xf>
    <xf numFmtId="166" fontId="4" fillId="138" borderId="1" xfId="1" applyNumberFormat="1" applyFont="1" applyFill="1" applyBorder="1" applyAlignment="1" applyProtection="1">
      <alignment horizontal="left" vertical="center"/>
      <protection locked="0"/>
    </xf>
    <xf numFmtId="166" fontId="161" fillId="105" borderId="1" xfId="1" applyNumberFormat="1" applyFont="1" applyFill="1" applyBorder="1" applyAlignment="1">
      <alignment horizontal="center" vertical="center"/>
    </xf>
    <xf numFmtId="0" fontId="6" fillId="122" borderId="0" xfId="0" applyFont="1" applyFill="1" applyAlignment="1">
      <alignment horizontal="left" vertical="center"/>
    </xf>
    <xf numFmtId="0" fontId="6" fillId="122" borderId="0" xfId="0" applyFont="1" applyFill="1" applyAlignment="1">
      <alignment horizontal="center" vertical="center"/>
    </xf>
    <xf numFmtId="166" fontId="0" fillId="103" borderId="0" xfId="1" applyNumberFormat="1" applyFont="1" applyFill="1"/>
    <xf numFmtId="166" fontId="2" fillId="0" borderId="0" xfId="1" applyNumberFormat="1" applyFont="1"/>
    <xf numFmtId="166" fontId="2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center"/>
    </xf>
    <xf numFmtId="166" fontId="2" fillId="103" borderId="0" xfId="1" applyNumberFormat="1" applyFont="1" applyFill="1"/>
    <xf numFmtId="0" fontId="0" fillId="0" borderId="83" xfId="0" applyBorder="1"/>
    <xf numFmtId="0" fontId="0" fillId="0" borderId="87" xfId="0" applyBorder="1"/>
    <xf numFmtId="0" fontId="0" fillId="0" borderId="65" xfId="0" applyBorder="1"/>
    <xf numFmtId="0" fontId="0" fillId="139" borderId="83" xfId="0" applyFill="1" applyBorder="1"/>
    <xf numFmtId="0" fontId="0" fillId="0" borderId="2" xfId="0" applyBorder="1"/>
    <xf numFmtId="0" fontId="6" fillId="0" borderId="86" xfId="0" applyFont="1" applyBorder="1" applyAlignment="1">
      <alignment horizontal="left" vertical="center"/>
    </xf>
    <xf numFmtId="0" fontId="136" fillId="35" borderId="86" xfId="0" applyFont="1" applyFill="1" applyBorder="1" applyAlignment="1">
      <alignment horizontal="center" vertical="center" wrapText="1"/>
    </xf>
    <xf numFmtId="166" fontId="6" fillId="0" borderId="86" xfId="0" applyNumberFormat="1" applyFont="1" applyBorder="1" applyAlignment="1">
      <alignment horizontal="center" vertical="center"/>
    </xf>
    <xf numFmtId="0" fontId="161" fillId="0" borderId="6" xfId="0" applyFont="1" applyBorder="1" applyAlignment="1">
      <alignment horizontal="left" vertical="center"/>
    </xf>
    <xf numFmtId="166" fontId="161" fillId="0" borderId="6" xfId="0" applyNumberFormat="1" applyFont="1" applyBorder="1" applyAlignment="1">
      <alignment horizontal="center" vertical="center"/>
    </xf>
    <xf numFmtId="0" fontId="136" fillId="35" borderId="5" xfId="0" applyFont="1" applyFill="1" applyBorder="1" applyAlignment="1">
      <alignment horizontal="center" vertical="center" wrapText="1"/>
    </xf>
    <xf numFmtId="225" fontId="0" fillId="0" borderId="72" xfId="1" applyNumberFormat="1" applyFont="1" applyBorder="1"/>
    <xf numFmtId="225" fontId="2" fillId="0" borderId="19" xfId="1" applyNumberFormat="1" applyFont="1" applyBorder="1"/>
    <xf numFmtId="0" fontId="0" fillId="0" borderId="70" xfId="0" applyBorder="1" applyAlignment="1">
      <alignment horizontal="left"/>
    </xf>
    <xf numFmtId="166" fontId="1" fillId="135" borderId="71" xfId="1" applyNumberFormat="1" applyFont="1" applyFill="1" applyBorder="1"/>
    <xf numFmtId="9" fontId="1" fillId="135" borderId="71" xfId="2" applyFont="1" applyFill="1" applyBorder="1"/>
    <xf numFmtId="0" fontId="0" fillId="135" borderId="71" xfId="0" applyFill="1" applyBorder="1"/>
    <xf numFmtId="166" fontId="1" fillId="135" borderId="71" xfId="1" applyNumberFormat="1" applyFont="1" applyFill="1" applyBorder="1" applyAlignment="1">
      <alignment horizontal="center"/>
    </xf>
    <xf numFmtId="166" fontId="1" fillId="135" borderId="73" xfId="1" applyNumberFormat="1" applyFont="1" applyFill="1" applyBorder="1"/>
    <xf numFmtId="166" fontId="1" fillId="135" borderId="0" xfId="1" applyNumberFormat="1" applyFont="1" applyFill="1" applyBorder="1"/>
    <xf numFmtId="9" fontId="1" fillId="135" borderId="0" xfId="2" applyFont="1" applyFill="1" applyBorder="1"/>
    <xf numFmtId="0" fontId="0" fillId="135" borderId="0" xfId="0" applyFill="1"/>
    <xf numFmtId="166" fontId="1" fillId="135" borderId="0" xfId="1" applyNumberFormat="1" applyFont="1" applyFill="1" applyBorder="1" applyAlignment="1">
      <alignment horizontal="center"/>
    </xf>
    <xf numFmtId="166" fontId="1" fillId="135" borderId="8" xfId="1" applyNumberFormat="1" applyFont="1" applyFill="1" applyBorder="1"/>
    <xf numFmtId="166" fontId="1" fillId="135" borderId="16" xfId="1" applyNumberFormat="1" applyFont="1" applyFill="1" applyBorder="1"/>
    <xf numFmtId="9" fontId="1" fillId="135" borderId="16" xfId="2" applyFont="1" applyFill="1" applyBorder="1"/>
    <xf numFmtId="0" fontId="0" fillId="135" borderId="16" xfId="0" applyFill="1" applyBorder="1"/>
    <xf numFmtId="166" fontId="1" fillId="135" borderId="16" xfId="1" applyNumberFormat="1" applyFont="1" applyFill="1" applyBorder="1" applyAlignment="1">
      <alignment horizontal="center"/>
    </xf>
    <xf numFmtId="166" fontId="1" fillId="135" borderId="84" xfId="1" applyNumberFormat="1" applyFont="1" applyFill="1" applyBorder="1"/>
    <xf numFmtId="0" fontId="23" fillId="135" borderId="71" xfId="0" applyFont="1" applyFill="1" applyBorder="1"/>
    <xf numFmtId="0" fontId="0" fillId="135" borderId="71" xfId="0" applyFill="1" applyBorder="1" applyAlignment="1">
      <alignment wrapText="1"/>
    </xf>
    <xf numFmtId="0" fontId="167" fillId="135" borderId="0" xfId="0" applyFont="1" applyFill="1" applyAlignment="1">
      <alignment wrapText="1"/>
    </xf>
    <xf numFmtId="166" fontId="167" fillId="135" borderId="0" xfId="1" applyNumberFormat="1" applyFont="1" applyFill="1" applyBorder="1" applyAlignment="1">
      <alignment horizontal="center" wrapText="1"/>
    </xf>
    <xf numFmtId="0" fontId="175" fillId="135" borderId="0" xfId="0" applyFont="1" applyFill="1"/>
    <xf numFmtId="166" fontId="167" fillId="135" borderId="0" xfId="1" applyNumberFormat="1" applyFont="1" applyFill="1" applyBorder="1" applyAlignment="1">
      <alignment horizontal="center"/>
    </xf>
    <xf numFmtId="0" fontId="167" fillId="135" borderId="0" xfId="0" applyFont="1" applyFill="1"/>
    <xf numFmtId="0" fontId="175" fillId="135" borderId="16" xfId="0" applyFont="1" applyFill="1" applyBorder="1"/>
    <xf numFmtId="166" fontId="167" fillId="135" borderId="16" xfId="1" applyNumberFormat="1" applyFont="1" applyFill="1" applyBorder="1" applyAlignment="1">
      <alignment horizontal="center"/>
    </xf>
    <xf numFmtId="0" fontId="167" fillId="135" borderId="71" xfId="0" applyFont="1" applyFill="1" applyBorder="1"/>
    <xf numFmtId="166" fontId="167" fillId="135" borderId="71" xfId="1" applyNumberFormat="1" applyFont="1" applyFill="1" applyBorder="1" applyAlignment="1">
      <alignment horizontal="center"/>
    </xf>
    <xf numFmtId="0" fontId="167" fillId="135" borderId="16" xfId="0" applyFont="1" applyFill="1" applyBorder="1"/>
    <xf numFmtId="0" fontId="167" fillId="135" borderId="71" xfId="0" applyFont="1" applyFill="1" applyBorder="1" applyAlignment="1">
      <alignment wrapText="1"/>
    </xf>
    <xf numFmtId="166" fontId="167" fillId="135" borderId="71" xfId="1" applyNumberFormat="1" applyFont="1" applyFill="1" applyBorder="1" applyAlignment="1">
      <alignment horizontal="center" wrapText="1"/>
    </xf>
    <xf numFmtId="0" fontId="167" fillId="135" borderId="16" xfId="0" applyFont="1" applyFill="1" applyBorder="1" applyAlignment="1">
      <alignment wrapText="1"/>
    </xf>
    <xf numFmtId="166" fontId="167" fillId="135" borderId="16" xfId="1" applyNumberFormat="1" applyFont="1" applyFill="1" applyBorder="1" applyAlignment="1">
      <alignment horizontal="center" wrapText="1"/>
    </xf>
    <xf numFmtId="166" fontId="0" fillId="135" borderId="3" xfId="1" applyNumberFormat="1" applyFont="1" applyFill="1" applyBorder="1"/>
    <xf numFmtId="9" fontId="0" fillId="135" borderId="3" xfId="2" applyFont="1" applyFill="1" applyBorder="1"/>
    <xf numFmtId="0" fontId="0" fillId="135" borderId="3" xfId="0" applyFill="1" applyBorder="1"/>
    <xf numFmtId="166" fontId="0" fillId="135" borderId="3" xfId="1" applyNumberFormat="1" applyFont="1" applyFill="1" applyBorder="1" applyAlignment="1">
      <alignment horizontal="center"/>
    </xf>
    <xf numFmtId="166" fontId="0" fillId="135" borderId="7" xfId="1" applyNumberFormat="1" applyFont="1" applyFill="1" applyBorder="1"/>
    <xf numFmtId="0" fontId="148" fillId="0" borderId="1" xfId="4299" applyFont="1" applyBorder="1" applyAlignment="1" applyProtection="1">
      <alignment horizontal="left"/>
      <protection locked="0"/>
    </xf>
    <xf numFmtId="166" fontId="148" fillId="106" borderId="1" xfId="1" applyNumberFormat="1" applyFont="1" applyFill="1" applyBorder="1" applyAlignment="1" applyProtection="1">
      <alignment horizontal="left"/>
      <protection locked="0"/>
    </xf>
    <xf numFmtId="14" fontId="148" fillId="106" borderId="1" xfId="4299" applyNumberFormat="1" applyFont="1" applyFill="1" applyBorder="1" applyAlignment="1" applyProtection="1">
      <alignment horizontal="left"/>
      <protection locked="0"/>
    </xf>
    <xf numFmtId="14" fontId="148" fillId="106" borderId="1" xfId="1" applyNumberFormat="1" applyFont="1" applyFill="1" applyBorder="1" applyAlignment="1" applyProtection="1">
      <alignment horizontal="left"/>
      <protection locked="0"/>
    </xf>
    <xf numFmtId="0" fontId="1" fillId="106" borderId="1" xfId="4299" applyFill="1" applyBorder="1" applyAlignment="1" applyProtection="1">
      <alignment horizontal="left"/>
      <protection locked="0"/>
    </xf>
    <xf numFmtId="0" fontId="6" fillId="106" borderId="1" xfId="0" applyFont="1" applyFill="1" applyBorder="1" applyAlignment="1">
      <alignment horizontal="left" vertical="center"/>
    </xf>
    <xf numFmtId="166" fontId="1" fillId="106" borderId="1" xfId="1" applyNumberFormat="1" applyFont="1" applyFill="1" applyBorder="1" applyAlignment="1" applyProtection="1">
      <alignment horizontal="left"/>
      <protection locked="0"/>
    </xf>
    <xf numFmtId="14" fontId="1" fillId="106" borderId="1" xfId="4299" applyNumberFormat="1" applyFill="1" applyBorder="1" applyAlignment="1" applyProtection="1">
      <alignment horizontal="left"/>
      <protection locked="0"/>
    </xf>
    <xf numFmtId="0" fontId="148" fillId="106" borderId="0" xfId="4299" applyFont="1" applyFill="1" applyAlignment="1" applyProtection="1">
      <alignment horizontal="left"/>
      <protection locked="0"/>
    </xf>
    <xf numFmtId="166" fontId="148" fillId="106" borderId="0" xfId="1" applyNumberFormat="1" applyFont="1" applyFill="1" applyBorder="1" applyAlignment="1" applyProtection="1">
      <alignment horizontal="left"/>
      <protection locked="0"/>
    </xf>
    <xf numFmtId="166" fontId="0" fillId="106" borderId="0" xfId="1" applyNumberFormat="1" applyFont="1" applyFill="1" applyBorder="1" applyAlignment="1">
      <alignment horizontal="left"/>
    </xf>
    <xf numFmtId="224" fontId="142" fillId="140" borderId="1" xfId="1" applyNumberFormat="1" applyFont="1" applyFill="1" applyBorder="1"/>
    <xf numFmtId="0" fontId="142" fillId="140" borderId="1" xfId="4299" applyFont="1" applyFill="1" applyBorder="1" applyProtection="1">
      <protection locked="0"/>
    </xf>
    <xf numFmtId="0" fontId="142" fillId="140" borderId="1" xfId="4299" applyFont="1" applyFill="1" applyBorder="1"/>
    <xf numFmtId="43" fontId="142" fillId="140" borderId="1" xfId="1" applyFont="1" applyFill="1" applyBorder="1" applyProtection="1">
      <protection locked="0"/>
    </xf>
    <xf numFmtId="166" fontId="142" fillId="140" borderId="1" xfId="1" applyNumberFormat="1" applyFont="1" applyFill="1" applyBorder="1" applyProtection="1">
      <protection locked="0"/>
    </xf>
    <xf numFmtId="0" fontId="142" fillId="140" borderId="1" xfId="4299" applyFont="1" applyFill="1" applyBorder="1" applyAlignment="1" applyProtection="1">
      <alignment horizontal="left"/>
      <protection locked="0"/>
    </xf>
    <xf numFmtId="0" fontId="23" fillId="105" borderId="0" xfId="0" applyFont="1" applyFill="1"/>
    <xf numFmtId="49" fontId="149" fillId="0" borderId="0" xfId="0" applyNumberFormat="1" applyFont="1" applyAlignment="1">
      <alignment horizontal="left" vertical="center"/>
    </xf>
    <xf numFmtId="0" fontId="149" fillId="0" borderId="0" xfId="0" applyFont="1" applyAlignment="1">
      <alignment horizontal="left" vertical="center"/>
    </xf>
    <xf numFmtId="0" fontId="149" fillId="0" borderId="69" xfId="0" applyFont="1" applyBorder="1" applyAlignment="1">
      <alignment horizontal="left" vertical="center"/>
    </xf>
    <xf numFmtId="0" fontId="149" fillId="0" borderId="69" xfId="0" applyFont="1" applyBorder="1" applyAlignment="1">
      <alignment horizontal="center" vertical="center"/>
    </xf>
    <xf numFmtId="166" fontId="149" fillId="0" borderId="0" xfId="1" applyNumberFormat="1" applyFont="1" applyFill="1" applyBorder="1" applyAlignment="1">
      <alignment horizontal="left" vertical="center"/>
    </xf>
    <xf numFmtId="223" fontId="149" fillId="0" borderId="0" xfId="1" applyNumberFormat="1" applyFont="1" applyFill="1" applyBorder="1" applyAlignment="1">
      <alignment horizontal="left" vertical="center"/>
    </xf>
    <xf numFmtId="223" fontId="149" fillId="0" borderId="0" xfId="1" applyNumberFormat="1" applyFont="1" applyFill="1" applyBorder="1" applyAlignment="1">
      <alignment vertical="center"/>
    </xf>
    <xf numFmtId="0" fontId="142" fillId="0" borderId="0" xfId="0" applyFont="1" applyAlignment="1">
      <alignment horizontal="left"/>
    </xf>
    <xf numFmtId="0" fontId="142" fillId="0" borderId="0" xfId="0" applyFont="1"/>
    <xf numFmtId="0" fontId="142" fillId="0" borderId="70" xfId="0" applyFont="1" applyBorder="1" applyAlignment="1">
      <alignment horizontal="left" vertical="center"/>
    </xf>
    <xf numFmtId="223" fontId="142" fillId="0" borderId="0" xfId="1" applyNumberFormat="1" applyFont="1" applyFill="1" applyAlignment="1">
      <alignment horizontal="left" vertical="center"/>
    </xf>
    <xf numFmtId="223" fontId="142" fillId="0" borderId="0" xfId="1" applyNumberFormat="1" applyFont="1" applyFill="1" applyAlignment="1">
      <alignment vertical="center"/>
    </xf>
    <xf numFmtId="0" fontId="142" fillId="0" borderId="70" xfId="0" applyFont="1" applyBorder="1" applyAlignment="1">
      <alignment horizontal="center" vertical="center"/>
    </xf>
    <xf numFmtId="0" fontId="141" fillId="0" borderId="0" xfId="0" applyFont="1" applyAlignment="1">
      <alignment horizontal="left"/>
    </xf>
    <xf numFmtId="0" fontId="141" fillId="0" borderId="0" xfId="0" applyFont="1"/>
    <xf numFmtId="0" fontId="142" fillId="0" borderId="70" xfId="0" applyFont="1" applyBorder="1" applyAlignment="1">
      <alignment horizontal="left"/>
    </xf>
    <xf numFmtId="0" fontId="142" fillId="0" borderId="0" xfId="4299" applyFont="1" applyAlignment="1">
      <alignment horizontal="left"/>
    </xf>
    <xf numFmtId="0" fontId="142" fillId="0" borderId="0" xfId="4299" applyFont="1"/>
    <xf numFmtId="0" fontId="142" fillId="0" borderId="0" xfId="4299" applyFont="1" applyAlignment="1">
      <alignment vertical="top"/>
    </xf>
    <xf numFmtId="0" fontId="142" fillId="0" borderId="0" xfId="4299" applyFont="1" applyAlignment="1">
      <alignment horizontal="left" vertical="top"/>
    </xf>
    <xf numFmtId="0" fontId="142" fillId="0" borderId="0" xfId="4299" applyFont="1" applyAlignment="1" applyProtection="1">
      <alignment horizontal="left" vertical="top"/>
      <protection locked="0"/>
    </xf>
    <xf numFmtId="0" fontId="142" fillId="0" borderId="0" xfId="0" applyFont="1" applyAlignment="1">
      <alignment horizontal="left" vertical="top"/>
    </xf>
    <xf numFmtId="0" fontId="142" fillId="0" borderId="0" xfId="0" applyFont="1" applyAlignment="1">
      <alignment vertical="top"/>
    </xf>
    <xf numFmtId="0" fontId="142" fillId="0" borderId="0" xfId="4299" applyFont="1" applyAlignment="1" applyProtection="1">
      <alignment vertical="top"/>
      <protection locked="0"/>
    </xf>
    <xf numFmtId="0" fontId="142" fillId="0" borderId="70" xfId="0" applyFont="1" applyBorder="1" applyAlignment="1">
      <alignment horizontal="center"/>
    </xf>
    <xf numFmtId="0" fontId="156" fillId="0" borderId="70" xfId="0" applyFont="1" applyBorder="1" applyAlignment="1">
      <alignment horizontal="left" vertical="center"/>
    </xf>
    <xf numFmtId="0" fontId="151" fillId="0" borderId="0" xfId="0" applyFont="1" applyAlignment="1">
      <alignment horizontal="left"/>
    </xf>
    <xf numFmtId="227" fontId="142" fillId="0" borderId="0" xfId="0" applyNumberFormat="1" applyFont="1" applyAlignment="1">
      <alignment horizontal="left" vertical="center"/>
    </xf>
    <xf numFmtId="0" fontId="152" fillId="0" borderId="0" xfId="0" applyFont="1" applyAlignment="1">
      <alignment horizontal="left"/>
    </xf>
    <xf numFmtId="0" fontId="152" fillId="0" borderId="0" xfId="0" applyFont="1"/>
    <xf numFmtId="0" fontId="141" fillId="0" borderId="0" xfId="0" applyFont="1" applyAlignment="1" applyProtection="1">
      <alignment horizontal="left"/>
      <protection locked="0"/>
    </xf>
    <xf numFmtId="43" fontId="142" fillId="0" borderId="0" xfId="0" applyNumberFormat="1" applyFont="1" applyAlignment="1">
      <alignment horizontal="left" vertical="center"/>
    </xf>
    <xf numFmtId="0" fontId="157" fillId="0" borderId="0" xfId="0" applyFont="1"/>
    <xf numFmtId="0" fontId="142" fillId="0" borderId="0" xfId="0" applyFont="1" applyAlignment="1">
      <alignment vertical="center"/>
    </xf>
    <xf numFmtId="3" fontId="142" fillId="0" borderId="0" xfId="0" applyNumberFormat="1" applyFont="1" applyAlignment="1">
      <alignment horizontal="left" vertical="center"/>
    </xf>
    <xf numFmtId="4" fontId="142" fillId="0" borderId="0" xfId="0" applyNumberFormat="1" applyFont="1" applyAlignment="1">
      <alignment horizontal="left" vertical="center"/>
    </xf>
    <xf numFmtId="0" fontId="148" fillId="0" borderId="1" xfId="4299" applyFont="1" applyBorder="1" applyAlignment="1" applyProtection="1">
      <alignment horizontal="left" vertical="top"/>
      <protection locked="0"/>
    </xf>
    <xf numFmtId="0" fontId="148" fillId="0" borderId="1" xfId="4299" applyFont="1" applyBorder="1" applyAlignment="1" applyProtection="1">
      <alignment vertical="top"/>
      <protection locked="0"/>
    </xf>
    <xf numFmtId="0" fontId="151" fillId="0" borderId="86" xfId="0" applyFont="1" applyBorder="1"/>
    <xf numFmtId="0" fontId="174" fillId="0" borderId="1" xfId="0" applyFont="1" applyBorder="1"/>
    <xf numFmtId="9" fontId="142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54" fillId="0" borderId="0" xfId="0" applyFont="1"/>
    <xf numFmtId="0" fontId="142" fillId="0" borderId="70" xfId="0" applyFont="1" applyBorder="1" applyAlignment="1">
      <alignment vertical="center"/>
    </xf>
    <xf numFmtId="3" fontId="0" fillId="0" borderId="0" xfId="0" applyNumberFormat="1"/>
    <xf numFmtId="223" fontId="142" fillId="106" borderId="0" xfId="1" applyNumberFormat="1" applyFont="1" applyFill="1" applyAlignment="1">
      <alignment horizontal="left" vertical="center"/>
    </xf>
    <xf numFmtId="223" fontId="142" fillId="106" borderId="0" xfId="1" applyNumberFormat="1" applyFont="1" applyFill="1" applyAlignment="1">
      <alignment vertical="center"/>
    </xf>
    <xf numFmtId="223" fontId="142" fillId="105" borderId="0" xfId="1" applyNumberFormat="1" applyFont="1" applyFill="1" applyAlignment="1">
      <alignment horizontal="left" vertical="center"/>
    </xf>
    <xf numFmtId="223" fontId="142" fillId="105" borderId="0" xfId="1" applyNumberFormat="1" applyFont="1" applyFill="1" applyAlignment="1">
      <alignment vertical="center"/>
    </xf>
    <xf numFmtId="166" fontId="158" fillId="130" borderId="13" xfId="1" applyNumberFormat="1" applyFont="1" applyFill="1" applyBorder="1"/>
    <xf numFmtId="3" fontId="170" fillId="130" borderId="14" xfId="0" applyNumberFormat="1" applyFont="1" applyFill="1" applyBorder="1"/>
    <xf numFmtId="43" fontId="142" fillId="109" borderId="1" xfId="1" applyFont="1" applyFill="1" applyBorder="1" applyProtection="1">
      <protection locked="0"/>
    </xf>
    <xf numFmtId="166" fontId="159" fillId="109" borderId="1" xfId="1" applyNumberFormat="1" applyFont="1" applyFill="1" applyBorder="1" applyAlignment="1" applyProtection="1">
      <alignment horizontal="left"/>
      <protection locked="0"/>
    </xf>
    <xf numFmtId="0" fontId="2" fillId="109" borderId="0" xfId="0" applyFont="1" applyFill="1"/>
    <xf numFmtId="166" fontId="158" fillId="0" borderId="13" xfId="1" applyNumberFormat="1" applyFont="1" applyFill="1" applyBorder="1"/>
    <xf numFmtId="166" fontId="142" fillId="109" borderId="0" xfId="1" applyNumberFormat="1" applyFont="1" applyFill="1" applyAlignment="1">
      <alignment horizontal="center" vertical="center"/>
    </xf>
    <xf numFmtId="166" fontId="0" fillId="123" borderId="0" xfId="1" applyNumberFormat="1" applyFont="1" applyFill="1"/>
    <xf numFmtId="166" fontId="161" fillId="0" borderId="1" xfId="1" applyNumberFormat="1" applyFont="1" applyFill="1" applyBorder="1" applyAlignment="1">
      <alignment horizontal="center" vertical="center"/>
    </xf>
    <xf numFmtId="0" fontId="0" fillId="0" borderId="10" xfId="0" applyBorder="1"/>
    <xf numFmtId="225" fontId="0" fillId="0" borderId="10" xfId="1" applyNumberFormat="1" applyFont="1" applyBorder="1"/>
    <xf numFmtId="225" fontId="0" fillId="123" borderId="0" xfId="1" applyNumberFormat="1" applyFont="1" applyFill="1" applyBorder="1"/>
    <xf numFmtId="225" fontId="0" fillId="105" borderId="0" xfId="1" applyNumberFormat="1" applyFont="1" applyFill="1" applyBorder="1"/>
    <xf numFmtId="225" fontId="0" fillId="105" borderId="72" xfId="1" applyNumberFormat="1" applyFont="1" applyFill="1" applyBorder="1"/>
    <xf numFmtId="225" fontId="0" fillId="0" borderId="13" xfId="1" applyNumberFormat="1" applyFont="1" applyBorder="1"/>
    <xf numFmtId="225" fontId="0" fillId="0" borderId="14" xfId="1" applyNumberFormat="1" applyFont="1" applyBorder="1"/>
    <xf numFmtId="0" fontId="148" fillId="128" borderId="0" xfId="4299" applyFont="1" applyFill="1" applyAlignment="1" applyProtection="1">
      <alignment vertical="top"/>
      <protection locked="0"/>
    </xf>
    <xf numFmtId="166" fontId="138" fillId="105" borderId="1" xfId="1" applyNumberFormat="1" applyFont="1" applyFill="1" applyBorder="1" applyAlignment="1">
      <alignment horizontal="center" vertical="center"/>
    </xf>
    <xf numFmtId="166" fontId="6" fillId="104" borderId="1" xfId="0" applyNumberFormat="1" applyFont="1" applyFill="1" applyBorder="1" applyAlignment="1" applyProtection="1">
      <alignment horizontal="left" vertical="center"/>
      <protection locked="0"/>
    </xf>
    <xf numFmtId="166" fontId="4" fillId="104" borderId="1" xfId="1" applyNumberFormat="1" applyFont="1" applyFill="1" applyBorder="1" applyAlignment="1" applyProtection="1">
      <alignment horizontal="left" vertical="center" wrapText="1"/>
      <protection locked="0"/>
    </xf>
    <xf numFmtId="0" fontId="4" fillId="104" borderId="1" xfId="0" applyFont="1" applyFill="1" applyBorder="1" applyAlignment="1" applyProtection="1">
      <alignment horizontal="left" vertical="center"/>
      <protection locked="0"/>
    </xf>
    <xf numFmtId="0" fontId="4" fillId="104" borderId="1" xfId="0" applyFont="1" applyFill="1" applyBorder="1" applyAlignment="1" applyProtection="1">
      <alignment horizontal="left" vertical="center" wrapText="1"/>
      <protection locked="0"/>
    </xf>
    <xf numFmtId="0" fontId="152" fillId="0" borderId="0" xfId="0" applyFont="1" applyAlignment="1">
      <alignment horizontal="left" vertical="center"/>
    </xf>
    <xf numFmtId="0" fontId="152" fillId="0" borderId="70" xfId="0" applyFont="1" applyBorder="1" applyAlignment="1">
      <alignment horizontal="left" vertical="center"/>
    </xf>
    <xf numFmtId="223" fontId="152" fillId="0" borderId="0" xfId="1" applyNumberFormat="1" applyFont="1" applyFill="1" applyAlignment="1">
      <alignment horizontal="left" vertical="center"/>
    </xf>
    <xf numFmtId="223" fontId="152" fillId="0" borderId="0" xfId="1" applyNumberFormat="1" applyFont="1" applyFill="1" applyAlignment="1">
      <alignment vertical="center"/>
    </xf>
    <xf numFmtId="229" fontId="0" fillId="0" borderId="0" xfId="0" applyNumberFormat="1"/>
    <xf numFmtId="0" fontId="0" fillId="0" borderId="18" xfId="0" applyBorder="1"/>
    <xf numFmtId="232" fontId="0" fillId="0" borderId="19" xfId="1" applyNumberFormat="1" applyFont="1" applyBorder="1"/>
    <xf numFmtId="0" fontId="148" fillId="109" borderId="0" xfId="4299" applyFont="1" applyFill="1" applyAlignment="1" applyProtection="1">
      <alignment horizontal="left"/>
      <protection locked="0"/>
    </xf>
    <xf numFmtId="166" fontId="148" fillId="109" borderId="0" xfId="1" applyNumberFormat="1" applyFont="1" applyFill="1" applyBorder="1" applyAlignment="1" applyProtection="1">
      <alignment horizontal="left"/>
      <protection locked="0"/>
    </xf>
    <xf numFmtId="0" fontId="2" fillId="123" borderId="0" xfId="0" applyFont="1" applyFill="1"/>
    <xf numFmtId="166" fontId="158" fillId="114" borderId="13" xfId="0" applyNumberFormat="1" applyFont="1" applyFill="1" applyBorder="1"/>
    <xf numFmtId="166" fontId="158" fillId="130" borderId="13" xfId="0" applyNumberFormat="1" applyFont="1" applyFill="1" applyBorder="1"/>
    <xf numFmtId="0" fontId="148" fillId="127" borderId="1" xfId="4299" applyFont="1" applyFill="1" applyBorder="1" applyAlignment="1" applyProtection="1">
      <alignment horizontal="left"/>
      <protection locked="0"/>
    </xf>
    <xf numFmtId="166" fontId="148" fillId="127" borderId="1" xfId="1" applyNumberFormat="1" applyFont="1" applyFill="1" applyBorder="1" applyAlignment="1" applyProtection="1">
      <alignment horizontal="left"/>
      <protection locked="0"/>
    </xf>
    <xf numFmtId="14" fontId="148" fillId="127" borderId="1" xfId="4299" applyNumberFormat="1" applyFont="1" applyFill="1" applyBorder="1" applyAlignment="1" applyProtection="1">
      <alignment horizontal="left"/>
      <protection locked="0"/>
    </xf>
    <xf numFmtId="0" fontId="142" fillId="127" borderId="0" xfId="0" applyFont="1" applyFill="1" applyAlignment="1">
      <alignment horizontal="left" vertical="center"/>
    </xf>
    <xf numFmtId="0" fontId="0" fillId="114" borderId="1" xfId="0" applyFill="1" applyBorder="1"/>
    <xf numFmtId="0" fontId="0" fillId="109" borderId="1" xfId="0" applyFill="1" applyBorder="1"/>
    <xf numFmtId="0" fontId="0" fillId="127" borderId="1" xfId="0" applyFill="1" applyBorder="1"/>
    <xf numFmtId="233" fontId="142" fillId="109" borderId="1" xfId="1" applyNumberFormat="1" applyFont="1" applyFill="1" applyBorder="1" applyProtection="1">
      <protection locked="0"/>
    </xf>
    <xf numFmtId="0" fontId="2" fillId="122" borderId="0" xfId="0" applyFont="1" applyFill="1"/>
    <xf numFmtId="166" fontId="2" fillId="110" borderId="117" xfId="0" applyNumberFormat="1" applyFont="1" applyFill="1" applyBorder="1"/>
    <xf numFmtId="43" fontId="142" fillId="105" borderId="1" xfId="1" applyFont="1" applyFill="1" applyBorder="1" applyProtection="1">
      <protection locked="0"/>
    </xf>
    <xf numFmtId="169" fontId="31" fillId="35" borderId="2" xfId="2" applyNumberFormat="1" applyFont="1" applyFill="1" applyBorder="1" applyAlignment="1">
      <alignment horizontal="center" vertical="center"/>
    </xf>
    <xf numFmtId="169" fontId="93" fillId="0" borderId="2" xfId="2" applyNumberFormat="1" applyFont="1" applyBorder="1" applyAlignment="1">
      <alignment horizontal="center" vertical="center"/>
    </xf>
    <xf numFmtId="229" fontId="0" fillId="105" borderId="0" xfId="0" applyNumberFormat="1" applyFill="1"/>
    <xf numFmtId="1" fontId="0" fillId="0" borderId="118" xfId="0" applyNumberFormat="1" applyBorder="1" applyAlignment="1">
      <alignment horizontal="center"/>
    </xf>
    <xf numFmtId="0" fontId="0" fillId="131" borderId="0" xfId="0" applyFill="1"/>
    <xf numFmtId="0" fontId="2" fillId="131" borderId="0" xfId="0" applyFont="1" applyFill="1"/>
    <xf numFmtId="166" fontId="0" fillId="131" borderId="0" xfId="1" applyNumberFormat="1" applyFont="1" applyFill="1"/>
    <xf numFmtId="166" fontId="23" fillId="131" borderId="0" xfId="1" applyNumberFormat="1" applyFont="1" applyFill="1"/>
    <xf numFmtId="166" fontId="2" fillId="131" borderId="0" xfId="1" applyNumberFormat="1" applyFont="1" applyFill="1"/>
    <xf numFmtId="166" fontId="176" fillId="131" borderId="0" xfId="1" applyNumberFormat="1" applyFont="1" applyFill="1"/>
    <xf numFmtId="229" fontId="0" fillId="114" borderId="0" xfId="1" applyNumberFormat="1" applyFont="1" applyFill="1" applyBorder="1"/>
    <xf numFmtId="166" fontId="4" fillId="0" borderId="109" xfId="0" applyNumberFormat="1" applyFont="1" applyBorder="1" applyAlignment="1" applyProtection="1">
      <alignment vertical="center" wrapText="1"/>
      <protection locked="0"/>
    </xf>
    <xf numFmtId="166" fontId="4" fillId="0" borderId="110" xfId="0" applyNumberFormat="1" applyFont="1" applyBorder="1" applyAlignment="1" applyProtection="1">
      <alignment vertical="center" wrapText="1"/>
      <protection locked="0"/>
    </xf>
    <xf numFmtId="166" fontId="4" fillId="0" borderId="111" xfId="0" applyNumberFormat="1" applyFont="1" applyBorder="1" applyAlignment="1" applyProtection="1">
      <alignment vertical="center" wrapText="1"/>
      <protection locked="0"/>
    </xf>
    <xf numFmtId="166" fontId="1" fillId="131" borderId="0" xfId="1" applyNumberFormat="1" applyFont="1" applyFill="1"/>
    <xf numFmtId="0" fontId="0" fillId="109" borderId="0" xfId="0" applyFill="1" applyAlignment="1">
      <alignment wrapText="1"/>
    </xf>
    <xf numFmtId="226" fontId="4" fillId="0" borderId="0" xfId="5147" applyNumberFormat="1" applyFont="1" applyAlignment="1">
      <alignment horizontal="left" vertical="center"/>
    </xf>
    <xf numFmtId="226" fontId="6" fillId="0" borderId="0" xfId="5147" applyNumberFormat="1" applyFont="1" applyAlignment="1">
      <alignment horizontal="left" vertical="center"/>
    </xf>
    <xf numFmtId="226" fontId="6" fillId="0" borderId="0" xfId="5147" applyNumberFormat="1" applyFont="1" applyAlignment="1">
      <alignment horizontal="center" vertical="center"/>
    </xf>
    <xf numFmtId="226" fontId="6" fillId="0" borderId="0" xfId="0" applyNumberFormat="1" applyFont="1" applyAlignment="1">
      <alignment horizontal="center" vertical="center"/>
    </xf>
    <xf numFmtId="226" fontId="31" fillId="0" borderId="0" xfId="0" applyNumberFormat="1" applyFont="1" applyAlignment="1">
      <alignment horizontal="center" vertical="center"/>
    </xf>
    <xf numFmtId="44" fontId="4" fillId="0" borderId="0" xfId="5147" applyFont="1" applyAlignment="1">
      <alignment horizontal="left" vertical="center"/>
    </xf>
    <xf numFmtId="44" fontId="6" fillId="0" borderId="0" xfId="5147" applyFont="1" applyAlignment="1">
      <alignment horizontal="left" vertical="center"/>
    </xf>
    <xf numFmtId="44" fontId="6" fillId="0" borderId="0" xfId="5147" applyFont="1" applyAlignment="1">
      <alignment horizontal="center" vertical="center"/>
    </xf>
    <xf numFmtId="44" fontId="31" fillId="0" borderId="0" xfId="5147" applyFont="1" applyAlignment="1">
      <alignment horizontal="center" vertical="center"/>
    </xf>
    <xf numFmtId="43" fontId="6" fillId="0" borderId="0" xfId="1" applyFont="1" applyAlignment="1">
      <alignment horizontal="left" vertical="center"/>
    </xf>
    <xf numFmtId="166" fontId="0" fillId="141" borderId="0" xfId="0" applyNumberFormat="1" applyFill="1"/>
    <xf numFmtId="232" fontId="0" fillId="134" borderId="13" xfId="0" applyNumberFormat="1" applyFill="1" applyBorder="1" applyAlignment="1">
      <alignment horizontal="center"/>
    </xf>
    <xf numFmtId="225" fontId="0" fillId="130" borderId="0" xfId="1" applyNumberFormat="1" applyFont="1" applyFill="1" applyBorder="1"/>
    <xf numFmtId="225" fontId="0" fillId="130" borderId="13" xfId="1" applyNumberFormat="1" applyFont="1" applyFill="1" applyBorder="1"/>
    <xf numFmtId="225" fontId="2" fillId="130" borderId="19" xfId="1" applyNumberFormat="1" applyFont="1" applyFill="1" applyBorder="1"/>
    <xf numFmtId="229" fontId="0" fillId="0" borderId="0" xfId="1" applyNumberFormat="1" applyFont="1" applyFill="1" applyBorder="1"/>
    <xf numFmtId="0" fontId="0" fillId="130" borderId="0" xfId="0" applyFill="1"/>
    <xf numFmtId="166" fontId="165" fillId="0" borderId="1" xfId="1" applyNumberFormat="1" applyFont="1" applyFill="1" applyBorder="1" applyAlignment="1">
      <alignment horizontal="center" vertical="center"/>
    </xf>
    <xf numFmtId="166" fontId="165" fillId="0" borderId="1" xfId="1" applyNumberFormat="1" applyFont="1" applyBorder="1" applyAlignment="1">
      <alignment horizontal="center" vertical="center"/>
    </xf>
    <xf numFmtId="225" fontId="2" fillId="130" borderId="63" xfId="1" applyNumberFormat="1" applyFont="1" applyFill="1" applyBorder="1"/>
    <xf numFmtId="225" fontId="2" fillId="0" borderId="63" xfId="1" applyNumberFormat="1" applyFont="1" applyBorder="1"/>
    <xf numFmtId="225" fontId="2" fillId="0" borderId="11" xfId="1" applyNumberFormat="1" applyFont="1" applyBorder="1"/>
    <xf numFmtId="0" fontId="0" fillId="0" borderId="12" xfId="0" applyBorder="1"/>
    <xf numFmtId="225" fontId="0" fillId="35" borderId="0" xfId="1" applyNumberFormat="1" applyFont="1" applyFill="1" applyBorder="1"/>
    <xf numFmtId="225" fontId="0" fillId="35" borderId="72" xfId="1" applyNumberFormat="1" applyFont="1" applyFill="1" applyBorder="1"/>
    <xf numFmtId="0" fontId="0" fillId="142" borderId="13" xfId="0" applyFill="1" applyBorder="1"/>
    <xf numFmtId="232" fontId="0" fillId="142" borderId="13" xfId="0" applyNumberFormat="1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35" borderId="15" xfId="0" applyFill="1" applyBorder="1"/>
    <xf numFmtId="232" fontId="0" fillId="134" borderId="0" xfId="0" applyNumberFormat="1" applyFill="1" applyAlignment="1">
      <alignment horizontal="center"/>
    </xf>
    <xf numFmtId="0" fontId="0" fillId="134" borderId="9" xfId="0" applyFill="1" applyBorder="1"/>
    <xf numFmtId="232" fontId="0" fillId="134" borderId="63" xfId="0" applyNumberFormat="1" applyFill="1" applyBorder="1" applyAlignment="1">
      <alignment horizontal="center"/>
    </xf>
    <xf numFmtId="0" fontId="0" fillId="134" borderId="15" xfId="0" applyFill="1" applyBorder="1"/>
    <xf numFmtId="232" fontId="0" fillId="134" borderId="72" xfId="0" applyNumberFormat="1" applyFill="1" applyBorder="1" applyAlignment="1">
      <alignment horizontal="center"/>
    </xf>
    <xf numFmtId="0" fontId="0" fillId="134" borderId="12" xfId="0" applyFill="1" applyBorder="1"/>
    <xf numFmtId="232" fontId="0" fillId="134" borderId="14" xfId="0" applyNumberFormat="1" applyFill="1" applyBorder="1" applyAlignment="1">
      <alignment horizontal="center"/>
    </xf>
    <xf numFmtId="166" fontId="0" fillId="130" borderId="0" xfId="1" applyNumberFormat="1" applyFont="1" applyFill="1" applyBorder="1"/>
    <xf numFmtId="43" fontId="0" fillId="131" borderId="0" xfId="0" applyNumberFormat="1" applyFill="1"/>
    <xf numFmtId="43" fontId="0" fillId="0" borderId="13" xfId="0" applyNumberFormat="1" applyBorder="1"/>
    <xf numFmtId="225" fontId="1" fillId="0" borderId="0" xfId="1" applyNumberFormat="1" applyFont="1" applyBorder="1"/>
    <xf numFmtId="166" fontId="142" fillId="109" borderId="0" xfId="1" applyNumberFormat="1" applyFont="1" applyFill="1" applyAlignment="1">
      <alignment horizontal="left" vertical="center"/>
    </xf>
    <xf numFmtId="0" fontId="2" fillId="0" borderId="18" xfId="0" applyFont="1" applyBorder="1"/>
    <xf numFmtId="225" fontId="2" fillId="0" borderId="64" xfId="1" applyNumberFormat="1" applyFont="1" applyBorder="1"/>
    <xf numFmtId="232" fontId="0" fillId="134" borderId="15" xfId="0" applyNumberFormat="1" applyFill="1" applyBorder="1"/>
    <xf numFmtId="226" fontId="1" fillId="130" borderId="0" xfId="1" applyNumberFormat="1" applyFont="1" applyFill="1" applyBorder="1"/>
    <xf numFmtId="232" fontId="1" fillId="134" borderId="0" xfId="1" applyNumberFormat="1" applyFont="1" applyFill="1" applyBorder="1"/>
    <xf numFmtId="0" fontId="148" fillId="105" borderId="0" xfId="0" applyFont="1" applyFill="1"/>
    <xf numFmtId="166" fontId="148" fillId="105" borderId="0" xfId="1" applyNumberFormat="1" applyFont="1" applyFill="1"/>
    <xf numFmtId="166" fontId="161" fillId="135" borderId="90" xfId="1" applyNumberFormat="1" applyFont="1" applyFill="1" applyBorder="1" applyAlignment="1">
      <alignment horizontal="center" vertical="center"/>
    </xf>
    <xf numFmtId="229" fontId="0" fillId="0" borderId="63" xfId="0" applyNumberFormat="1" applyBorder="1"/>
    <xf numFmtId="229" fontId="0" fillId="0" borderId="11" xfId="0" applyNumberFormat="1" applyBorder="1"/>
    <xf numFmtId="229" fontId="0" fillId="0" borderId="72" xfId="0" applyNumberFormat="1" applyBorder="1"/>
    <xf numFmtId="229" fontId="0" fillId="0" borderId="13" xfId="0" applyNumberFormat="1" applyBorder="1"/>
    <xf numFmtId="229" fontId="0" fillId="0" borderId="14" xfId="0" applyNumberFormat="1" applyBorder="1"/>
    <xf numFmtId="232" fontId="0" fillId="0" borderId="0" xfId="0" applyNumberFormat="1"/>
    <xf numFmtId="229" fontId="0" fillId="135" borderId="0" xfId="0" applyNumberFormat="1" applyFill="1"/>
    <xf numFmtId="0" fontId="0" fillId="104" borderId="69" xfId="0" applyFill="1" applyBorder="1" applyAlignment="1">
      <alignment horizontal="center" vertical="center"/>
    </xf>
    <xf numFmtId="0" fontId="0" fillId="104" borderId="70" xfId="0" applyFill="1" applyBorder="1" applyAlignment="1">
      <alignment horizontal="center" vertical="center"/>
    </xf>
    <xf numFmtId="0" fontId="2" fillId="104" borderId="18" xfId="0" applyFont="1" applyFill="1" applyBorder="1" applyAlignment="1">
      <alignment horizontal="center"/>
    </xf>
    <xf numFmtId="0" fontId="2" fillId="104" borderId="64" xfId="0" applyFont="1" applyFill="1" applyBorder="1" applyAlignment="1">
      <alignment horizontal="center"/>
    </xf>
    <xf numFmtId="0" fontId="2" fillId="104" borderId="19" xfId="0" applyFont="1" applyFill="1" applyBorder="1" applyAlignment="1">
      <alignment horizontal="center"/>
    </xf>
    <xf numFmtId="0" fontId="29" fillId="103" borderId="2" xfId="0" applyFont="1" applyFill="1" applyBorder="1" applyAlignment="1">
      <alignment horizontal="center" vertical="center"/>
    </xf>
    <xf numFmtId="0" fontId="29" fillId="103" borderId="3" xfId="0" applyFont="1" applyFill="1" applyBorder="1" applyAlignment="1">
      <alignment horizontal="center" vertical="center"/>
    </xf>
    <xf numFmtId="0" fontId="29" fillId="10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9" xfId="0" applyBorder="1" applyAlignment="1">
      <alignment horizontal="left" wrapText="1"/>
    </xf>
    <xf numFmtId="0" fontId="0" fillId="0" borderId="70" xfId="0" applyBorder="1" applyAlignment="1">
      <alignment horizontal="left"/>
    </xf>
    <xf numFmtId="0" fontId="0" fillId="0" borderId="80" xfId="0" applyBorder="1" applyAlignment="1">
      <alignment horizontal="left"/>
    </xf>
    <xf numFmtId="0" fontId="154" fillId="0" borderId="6" xfId="0" applyFont="1" applyBorder="1" applyAlignment="1">
      <alignment horizontal="center" wrapText="1"/>
    </xf>
    <xf numFmtId="0" fontId="154" fillId="0" borderId="5" xfId="0" applyFont="1" applyBorder="1" applyAlignment="1">
      <alignment horizontal="center" wrapText="1"/>
    </xf>
    <xf numFmtId="0" fontId="154" fillId="0" borderId="66" xfId="0" applyFont="1" applyBorder="1" applyAlignment="1">
      <alignment horizontal="center" wrapText="1"/>
    </xf>
    <xf numFmtId="0" fontId="0" fillId="104" borderId="1" xfId="0" applyFill="1" applyBorder="1" applyAlignment="1">
      <alignment horizontal="center" vertical="center"/>
    </xf>
    <xf numFmtId="0" fontId="0" fillId="104" borderId="7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104" borderId="106" xfId="0" applyFill="1" applyBorder="1" applyAlignment="1">
      <alignment horizontal="center" wrapText="1"/>
    </xf>
    <xf numFmtId="0" fontId="0" fillId="104" borderId="108" xfId="0" applyFill="1" applyBorder="1" applyAlignment="1">
      <alignment horizontal="center" wrapText="1"/>
    </xf>
    <xf numFmtId="0" fontId="0" fillId="104" borderId="11" xfId="0" applyFill="1" applyBorder="1" applyAlignment="1">
      <alignment horizontal="center" wrapText="1"/>
    </xf>
    <xf numFmtId="0" fontId="0" fillId="104" borderId="72" xfId="0" applyFill="1" applyBorder="1" applyAlignment="1">
      <alignment horizontal="center" wrapText="1"/>
    </xf>
    <xf numFmtId="0" fontId="0" fillId="104" borderId="14" xfId="0" applyFill="1" applyBorder="1" applyAlignment="1">
      <alignment horizontal="center" wrapText="1"/>
    </xf>
    <xf numFmtId="0" fontId="0" fillId="104" borderId="69" xfId="0" applyFill="1" applyBorder="1" applyAlignment="1">
      <alignment horizontal="center" wrapText="1"/>
    </xf>
    <xf numFmtId="0" fontId="0" fillId="104" borderId="70" xfId="0" applyFill="1" applyBorder="1" applyAlignment="1">
      <alignment horizontal="center"/>
    </xf>
    <xf numFmtId="0" fontId="0" fillId="104" borderId="80" xfId="0" applyFill="1" applyBorder="1" applyAlignment="1">
      <alignment horizontal="center"/>
    </xf>
    <xf numFmtId="0" fontId="0" fillId="104" borderId="72" xfId="0" applyFill="1" applyBorder="1" applyAlignment="1">
      <alignment horizontal="center"/>
    </xf>
    <xf numFmtId="0" fontId="0" fillId="104" borderId="14" xfId="0" applyFill="1" applyBorder="1" applyAlignment="1">
      <alignment horizontal="center"/>
    </xf>
    <xf numFmtId="0" fontId="0" fillId="104" borderId="69" xfId="0" applyFill="1" applyBorder="1" applyAlignment="1">
      <alignment horizontal="center"/>
    </xf>
    <xf numFmtId="0" fontId="0" fillId="104" borderId="11" xfId="0" applyFill="1" applyBorder="1" applyAlignment="1">
      <alignment horizontal="center"/>
    </xf>
    <xf numFmtId="0" fontId="0" fillId="104" borderId="63" xfId="0" applyFill="1" applyBorder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4" borderId="13" xfId="0" applyFill="1" applyBorder="1" applyAlignment="1">
      <alignment horizontal="center" vertical="center"/>
    </xf>
    <xf numFmtId="0" fontId="0" fillId="104" borderId="76" xfId="0" applyFill="1" applyBorder="1" applyAlignment="1">
      <alignment horizontal="center"/>
    </xf>
    <xf numFmtId="0" fontId="0" fillId="104" borderId="82" xfId="0" applyFill="1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104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4" xfId="0" applyBorder="1" applyAlignment="1">
      <alignment horizontal="center"/>
    </xf>
    <xf numFmtId="0" fontId="2" fillId="124" borderId="0" xfId="0" applyFont="1" applyFill="1" applyAlignment="1">
      <alignment horizontal="center"/>
    </xf>
    <xf numFmtId="0" fontId="2" fillId="104" borderId="2" xfId="0" applyFont="1" applyFill="1" applyBorder="1" applyAlignment="1">
      <alignment horizontal="center"/>
    </xf>
    <xf numFmtId="0" fontId="2" fillId="104" borderId="7" xfId="0" applyFont="1" applyFill="1" applyBorder="1" applyAlignment="1">
      <alignment horizontal="center"/>
    </xf>
    <xf numFmtId="0" fontId="0" fillId="104" borderId="13" xfId="0" applyFill="1" applyBorder="1" applyAlignment="1">
      <alignment horizontal="center"/>
    </xf>
    <xf numFmtId="225" fontId="0" fillId="104" borderId="13" xfId="1" applyNumberFormat="1" applyFont="1" applyFill="1" applyBorder="1" applyAlignment="1">
      <alignment horizontal="center"/>
    </xf>
    <xf numFmtId="166" fontId="0" fillId="134" borderId="1" xfId="1" applyNumberFormat="1" applyFont="1" applyFill="1" applyBorder="1" applyAlignment="1">
      <alignment horizontal="center"/>
    </xf>
    <xf numFmtId="166" fontId="0" fillId="104" borderId="2" xfId="1" applyNumberFormat="1" applyFont="1" applyFill="1" applyBorder="1" applyAlignment="1">
      <alignment horizontal="center"/>
    </xf>
    <xf numFmtId="166" fontId="0" fillId="134" borderId="2" xfId="1" applyNumberFormat="1" applyFont="1" applyFill="1" applyBorder="1" applyAlignment="1">
      <alignment horizontal="center"/>
    </xf>
    <xf numFmtId="0" fontId="0" fillId="104" borderId="9" xfId="0" applyFill="1" applyBorder="1" applyAlignment="1">
      <alignment horizontal="center"/>
    </xf>
    <xf numFmtId="0" fontId="0" fillId="104" borderId="72" xfId="0" applyFill="1" applyBorder="1"/>
    <xf numFmtId="171" fontId="0" fillId="104" borderId="116" xfId="0" applyNumberFormat="1" applyFill="1" applyBorder="1"/>
    <xf numFmtId="9" fontId="0" fillId="104" borderId="106" xfId="2" applyFont="1" applyFill="1" applyBorder="1"/>
    <xf numFmtId="171" fontId="0" fillId="134" borderId="116" xfId="0" applyNumberFormat="1" applyFill="1" applyBorder="1"/>
    <xf numFmtId="9" fontId="0" fillId="134" borderId="106" xfId="2" applyFont="1" applyFill="1" applyBorder="1"/>
    <xf numFmtId="171" fontId="0" fillId="134" borderId="78" xfId="0" applyNumberFormat="1" applyFill="1" applyBorder="1"/>
    <xf numFmtId="9" fontId="0" fillId="134" borderId="108" xfId="2" applyFont="1" applyFill="1" applyBorder="1"/>
    <xf numFmtId="0" fontId="2" fillId="143" borderId="18" xfId="0" applyFont="1" applyFill="1" applyBorder="1"/>
    <xf numFmtId="0" fontId="2" fillId="143" borderId="64" xfId="0" applyFont="1" applyFill="1" applyBorder="1" applyAlignment="1">
      <alignment horizontal="center"/>
    </xf>
    <xf numFmtId="0" fontId="0" fillId="134" borderId="18" xfId="0" applyFill="1" applyBorder="1"/>
    <xf numFmtId="0" fontId="0" fillId="134" borderId="19" xfId="0" applyFill="1" applyBorder="1" applyAlignment="1">
      <alignment horizontal="center"/>
    </xf>
    <xf numFmtId="0" fontId="0" fillId="134" borderId="64" xfId="0" applyFill="1" applyBorder="1" applyAlignment="1">
      <alignment horizontal="center"/>
    </xf>
    <xf numFmtId="0" fontId="0" fillId="134" borderId="9" xfId="0" applyFill="1" applyBorder="1" applyAlignment="1">
      <alignment horizontal="center"/>
    </xf>
    <xf numFmtId="0" fontId="0" fillId="134" borderId="63" xfId="0" applyFill="1" applyBorder="1" applyAlignment="1">
      <alignment horizontal="center"/>
    </xf>
    <xf numFmtId="0" fontId="0" fillId="134" borderId="11" xfId="0" applyFill="1" applyBorder="1" applyAlignment="1">
      <alignment horizontal="center"/>
    </xf>
    <xf numFmtId="0" fontId="2" fillId="104" borderId="0" xfId="0" applyFont="1" applyFill="1" applyBorder="1" applyAlignment="1">
      <alignment horizontal="center"/>
    </xf>
    <xf numFmtId="0" fontId="0" fillId="104" borderId="0" xfId="0" applyFill="1" applyBorder="1"/>
    <xf numFmtId="0" fontId="0" fillId="104" borderId="0" xfId="0" applyFill="1" applyBorder="1" applyAlignment="1">
      <alignment horizontal="center"/>
    </xf>
    <xf numFmtId="0" fontId="0" fillId="104" borderId="12" xfId="0" applyFill="1" applyBorder="1"/>
    <xf numFmtId="0" fontId="141" fillId="104" borderId="13" xfId="0" applyFont="1" applyFill="1" applyBorder="1" applyAlignment="1">
      <alignment horizontal="center" wrapText="1"/>
    </xf>
    <xf numFmtId="0" fontId="141" fillId="104" borderId="14" xfId="0" applyFont="1" applyFill="1" applyBorder="1" applyAlignment="1">
      <alignment horizontal="center" wrapText="1"/>
    </xf>
    <xf numFmtId="166" fontId="0" fillId="104" borderId="0" xfId="0" applyNumberFormat="1" applyFill="1" applyBorder="1" applyAlignment="1">
      <alignment horizontal="center"/>
    </xf>
    <xf numFmtId="229" fontId="0" fillId="104" borderId="0" xfId="0" applyNumberFormat="1" applyFill="1" applyBorder="1" applyAlignment="1">
      <alignment horizontal="center"/>
    </xf>
    <xf numFmtId="0" fontId="177" fillId="104" borderId="13" xfId="0" applyFont="1" applyFill="1" applyBorder="1" applyAlignment="1">
      <alignment horizontal="left"/>
    </xf>
    <xf numFmtId="0" fontId="0" fillId="134" borderId="15" xfId="0" applyFill="1" applyBorder="1" applyAlignment="1">
      <alignment horizontal="center"/>
    </xf>
    <xf numFmtId="0" fontId="0" fillId="134" borderId="12" xfId="0" applyFill="1" applyBorder="1" applyAlignment="1">
      <alignment horizontal="center"/>
    </xf>
    <xf numFmtId="166" fontId="0" fillId="134" borderId="79" xfId="1" applyNumberFormat="1" applyFont="1" applyFill="1" applyBorder="1" applyAlignment="1">
      <alignment horizontal="center"/>
    </xf>
    <xf numFmtId="166" fontId="0" fillId="134" borderId="107" xfId="1" applyNumberFormat="1" applyFont="1" applyFill="1" applyBorder="1" applyAlignment="1">
      <alignment horizontal="center"/>
    </xf>
  </cellXfs>
  <cellStyles count="5155">
    <cellStyle name="          _x000d__x000a_386grabber=VGA.3GR_x000d__x000a_" xfId="3594" xr:uid="{00000000-0005-0000-0000-000000000000}"/>
    <cellStyle name=" 1" xfId="3593" xr:uid="{00000000-0005-0000-0000-000001000000}"/>
    <cellStyle name="%" xfId="154" xr:uid="{00000000-0005-0000-0000-000002000000}"/>
    <cellStyle name="% 2" xfId="160" xr:uid="{00000000-0005-0000-0000-000003000000}"/>
    <cellStyle name="_%(SignOnly)" xfId="3592" xr:uid="{00000000-0005-0000-0000-000004000000}"/>
    <cellStyle name="_%(SignSpaceOnly)" xfId="3591" xr:uid="{00000000-0005-0000-0000-000005000000}"/>
    <cellStyle name="_'09 AP Infl  Savings Assumptionsv3" xfId="3609" xr:uid="{00000000-0005-0000-0000-000006000000}"/>
    <cellStyle name="_'09 LV vs  2009 SOP9_10 27 08" xfId="3588" xr:uid="{00000000-0005-0000-0000-000007000000}"/>
    <cellStyle name="_09 OP Spreads BLT Deck - CA" xfId="3587" xr:uid="{00000000-0005-0000-0000-000008000000}"/>
    <cellStyle name="_09 SOP8 BLT Deck - Sauce" xfId="3586" xr:uid="{00000000-0005-0000-0000-000009000000}"/>
    <cellStyle name="_09Sop9_SC Opps  Risks vs  PR Frsct_9.3.09" xfId="3585" xr:uid="{00000000-0005-0000-0000-00000A000000}"/>
    <cellStyle name="_2- PY YTD" xfId="3583" xr:uid="{00000000-0005-0000-0000-00000B000000}"/>
    <cellStyle name="_2008 AP vs Actuals (ULUS ex IC)" xfId="3552" xr:uid="{00000000-0005-0000-0000-00000C000000}"/>
    <cellStyle name="_2008 Innovation schedule 01-04-08" xfId="3581" xr:uid="{00000000-0005-0000-0000-00000D000000}"/>
    <cellStyle name="_2008_2009 Master Disposal Turnover Reference 11.06.08" xfId="3580" xr:uid="{00000000-0005-0000-0000-00000E000000}"/>
    <cellStyle name="_2009 OP Unilever US Consolidated Market Shares w IC &amp; YTG 08-Spreads and PB" xfId="3550" xr:uid="{00000000-0005-0000-0000-00000F000000}"/>
    <cellStyle name="_2009 September waste KPI deck" xfId="3603" xr:uid="{00000000-0005-0000-0000-000010000000}"/>
    <cellStyle name="_2009 SOP4 Master File 2" xfId="3607" xr:uid="{00000000-0005-0000-0000-000011000000}"/>
    <cellStyle name="_2009 SOP8 Supply Chain RO 8 11 08 w aggs on botttom" xfId="3604" xr:uid="{00000000-0005-0000-0000-000012000000}"/>
    <cellStyle name="_2009 SOP9 Unilever US Consolidated Market Shares w IC &amp; YTG 08" xfId="3600" xr:uid="{00000000-0005-0000-0000-000013000000}"/>
    <cellStyle name="_2009 SOP9 vs  SOP8 (2)" xfId="3599" xr:uid="{00000000-0005-0000-0000-000014000000}"/>
    <cellStyle name="_2009 Sop9_SC Opps  Risks vs  PR Frsct_9.3.09" xfId="3598" xr:uid="{00000000-0005-0000-0000-000015000000}"/>
    <cellStyle name="_2009 Summary 06 16b" xfId="3597" xr:uid="{00000000-0005-0000-0000-000016000000}"/>
    <cellStyle name="_2010  Spoonables Volume Build_10.29 Pass 2" xfId="3601" xr:uid="{00000000-0005-0000-0000-000017000000}"/>
    <cellStyle name="_2010  Spoonables Volume Build_12.4" xfId="3610" xr:uid="{00000000-0005-0000-0000-000018000000}"/>
    <cellStyle name="_2010  Spoonables Volume Build_9 16v1" xfId="3575" xr:uid="{00000000-0005-0000-0000-000019000000}"/>
    <cellStyle name="_2010  Spoonables Volume Build_SOP1PostVC" xfId="3551" xr:uid="{00000000-0005-0000-0000-00001A000000}"/>
    <cellStyle name="_2010 8QRF SOP3_DRESSINGS 3.06.09_4.25 pm" xfId="3608" xr:uid="{00000000-0005-0000-0000-00001B000000}"/>
    <cellStyle name="_2010 OOH SIP plan wTargets 09-14-2010" xfId="3606" xr:uid="{00000000-0005-0000-0000-00001C000000}"/>
    <cellStyle name="_2010 OOH Trade Budget" xfId="3602" xr:uid="{00000000-0005-0000-0000-00001D000000}"/>
    <cellStyle name="_2010 OP Dressings-PB Market Share - Foods_Post-PDT" xfId="3631" xr:uid="{00000000-0005-0000-0000-00001E000000}"/>
    <cellStyle name="_2010 OP Market Share - Foods" xfId="3627" xr:uid="{00000000-0005-0000-0000-00001F000000}"/>
    <cellStyle name="_2010 OP Market Share - Foods PB Triang" xfId="3623" xr:uid="{00000000-0005-0000-0000-000020000000}"/>
    <cellStyle name="_2010 OP Market Share - Foods_11.12.09 pre BLT submission" xfId="3619" xr:uid="{00000000-0005-0000-0000-000021000000}"/>
    <cellStyle name="_2010 OP Market Share - Foods_11.18.09 PDT submission" xfId="3615" xr:uid="{00000000-0005-0000-0000-000022000000}"/>
    <cellStyle name="_2010 OP Market Share - Foods_Post-PDT" xfId="3611" xr:uid="{00000000-0005-0000-0000-000023000000}"/>
    <cellStyle name="_2010 OP Market Share - HPC (OP Post CA Nov Data)" xfId="3634" xr:uid="{00000000-0005-0000-0000-000024000000}"/>
    <cellStyle name="_2010 OP New SKU List_2nd Pass 9 21 09 (3)" xfId="3630" xr:uid="{00000000-0005-0000-0000-000025000000}"/>
    <cellStyle name="_2010 OP New SKU List_2nd Pass 9.21.09" xfId="3626" xr:uid="{00000000-0005-0000-0000-000026000000}"/>
    <cellStyle name="_2010 SOP11 vs 2010 SOP9 FY" xfId="3622" xr:uid="{00000000-0005-0000-0000-000027000000}"/>
    <cellStyle name="_2010 SOP2 Skippy Consensus Post VC 2.8.10" xfId="3618" xr:uid="{00000000-0005-0000-0000-000028000000}"/>
    <cellStyle name="_2010 SOP3 8QRF BOT Deck (2)" xfId="3614" xr:uid="{00000000-0005-0000-0000-000029000000}"/>
    <cellStyle name="_2010 SOP3 8QRF BOT Deck (6)" xfId="3633" xr:uid="{00000000-0005-0000-0000-00002A000000}"/>
    <cellStyle name="_2010 SOP3 8QRF BOT Deck (9)" xfId="3629" xr:uid="{00000000-0005-0000-0000-00002B000000}"/>
    <cellStyle name="_2010 SOP3 8QRF Vs 09SOP3 Dressings Post PDT CA 3.27.09" xfId="3625" xr:uid="{00000000-0005-0000-0000-00002C000000}"/>
    <cellStyle name="_2010 SOP3 Mkt Shr - Foods (Feb Mkt Data) - For PDTv2" xfId="3621" xr:uid="{00000000-0005-0000-0000-00002D000000}"/>
    <cellStyle name="_2010 SOP3 Mkt Shr - Foods (Feb Mkt Data) - For PDTv3" xfId="3617" xr:uid="{00000000-0005-0000-0000-00002E000000}"/>
    <cellStyle name="_2010 SOP3 Mkt Shr - Foods (Feb Mkt Data) - POST PDT" xfId="3613" xr:uid="{00000000-0005-0000-0000-00002F000000}"/>
    <cellStyle name="_2010 SOP3 Mkt Shr - Foods (Jan Mkt Data) 3 9 10v2" xfId="3632" xr:uid="{00000000-0005-0000-0000-000030000000}"/>
    <cellStyle name="_2010 SOP3 Mkt Shr - Foods (Jan Mkt Data) 3.8.10" xfId="3628" xr:uid="{00000000-0005-0000-0000-000031000000}"/>
    <cellStyle name="_2010 SOP3 Mkt Shr - Foods (Jan Mkt Data) 3.9.10_For BLT" xfId="3624" xr:uid="{00000000-0005-0000-0000-000032000000}"/>
    <cellStyle name="_2010 SOP3 Skippy Consensus Load 3.4.10" xfId="3620" xr:uid="{00000000-0005-0000-0000-000033000000}"/>
    <cellStyle name="_2010 SOP4 8QRF Vs 09SOP4 Fcst Dressings 4 1 09" xfId="3616" xr:uid="{00000000-0005-0000-0000-000034000000}"/>
    <cellStyle name="_2010 SOP6 (Post BLT CA)- Peanut Butter" xfId="3612" xr:uid="{00000000-0005-0000-0000-000035000000}"/>
    <cellStyle name="_2010 SOP6 8QRF Deck_Peanut Butter 6 11 09" xfId="3639" xr:uid="{00000000-0005-0000-0000-000036000000}"/>
    <cellStyle name="_2010 SOP6 BT Bridge and Templates_DRESSINGS POST PDT CA 6 29 09" xfId="3640" xr:uid="{00000000-0005-0000-0000-000037000000}"/>
    <cellStyle name="_2010 SOP6 BT Load Templates_PEANUT BUTTER 6 11 09" xfId="3641" xr:uid="{00000000-0005-0000-0000-000038000000}"/>
    <cellStyle name="_2010 SOP6 BT Load Templates_PEANUT BUTTER POST BLT CA 6 17 09" xfId="3642" xr:uid="{00000000-0005-0000-0000-000039000000}"/>
    <cellStyle name="_2010 SOP6 BT Load Templates_PEANUT BUTTER POST PDT CA 6 26 09" xfId="3643" xr:uid="{00000000-0005-0000-0000-00003A000000}"/>
    <cellStyle name="_2010 SOP6 Mkt Shr - Foods (May Mkt Data FINAL)" xfId="3644" xr:uid="{00000000-0005-0000-0000-00003B000000}"/>
    <cellStyle name="_2010 SOP6 Mkt Shr - Foods (May Mkt Data FOR PDT)_v5" xfId="3645" xr:uid="{00000000-0005-0000-0000-00003C000000}"/>
    <cellStyle name="_2010 SOP6 Mkt Shr - Foods (May Mkt Data FOR PDT)_v6" xfId="3646" xr:uid="{00000000-0005-0000-0000-00003D000000}"/>
    <cellStyle name="_2010 SOP6 Mkt Shr - Foods (May Mkt Data) SKIPPY" xfId="3647" xr:uid="{00000000-0005-0000-0000-00003E000000}"/>
    <cellStyle name="_2010 SOP6 Mkt Shr - Foods (May Mkt Data)_v4" xfId="3648" xr:uid="{00000000-0005-0000-0000-00003F000000}"/>
    <cellStyle name="_2010 SOP7 Qtrl phasing- Spoonables" xfId="3649" xr:uid="{00000000-0005-0000-0000-000040000000}"/>
    <cellStyle name="_2010 SOP9 8QRF Deck- Peanut Butter pre BLT" xfId="3650" xr:uid="{00000000-0005-0000-0000-000041000000}"/>
    <cellStyle name="_2010 SOP9 BT Bridge and Templates_DRESSINGS 9 28 09_Post PDT CAs" xfId="3651" xr:uid="{00000000-0005-0000-0000-000042000000}"/>
    <cellStyle name="_2010 SOP9 BT Load Templates_Peanut Butter 9.14.09 Post BOT" xfId="3652" xr:uid="{00000000-0005-0000-0000-000043000000}"/>
    <cellStyle name="_2010 SOP9 BT Load Templates_Peanut Butter 9.16.09 Post BLT v2" xfId="3653" xr:uid="{00000000-0005-0000-0000-000044000000}"/>
    <cellStyle name="_2010 SOP9 BT Load Templates_Peanut Butter 9.17.09 Post BLT CA" xfId="3654" xr:uid="{00000000-0005-0000-0000-000045000000}"/>
    <cellStyle name="_2010 SOP9 BT Load Templates_Peanut Butter 9.18 POST CAs" xfId="3655" xr:uid="{00000000-0005-0000-0000-000046000000}"/>
    <cellStyle name="_2010 SOP9 Mkt Shr - Dressings PB (For BLT) " xfId="3656" xr:uid="{00000000-0005-0000-0000-000047000000}"/>
    <cellStyle name="_2010 SOP9 Mkt Shr - Dressings PB (For PDT) " xfId="3657" xr:uid="{00000000-0005-0000-0000-000048000000}"/>
    <cellStyle name="_2010 SOP9 Mkt Shr - Dressings PB (Post PDT) " xfId="3658" xr:uid="{00000000-0005-0000-0000-000049000000}"/>
    <cellStyle name="_2010 SOP9 Mkt Shr - Foods (Sep Mkt Data) Post-PDT" xfId="3659" xr:uid="{00000000-0005-0000-0000-00004A000000}"/>
    <cellStyle name="_2010 Trade Usage- for PB Spendback" xfId="3660" xr:uid="{00000000-0005-0000-0000-00004B000000}"/>
    <cellStyle name="_2011 FY Bridge" xfId="3661" xr:uid="{00000000-0005-0000-0000-00004C000000}"/>
    <cellStyle name="_2011 OP Spoonables Volume Build Rev 3 (For BOT) 110210 1pm" xfId="3662" xr:uid="{00000000-0005-0000-0000-00004D000000}"/>
    <cellStyle name="_2011 Plansop2 PL - Profit Centers (2)" xfId="3663" xr:uid="{00000000-0005-0000-0000-00004E000000}"/>
    <cellStyle name="_2011 SOP11 vs 2010 SOP11 11.12.10" xfId="3664" xr:uid="{00000000-0005-0000-0000-00004F000000}"/>
    <cellStyle name="_2011 SOP11 vs 2011 SOP9 (FY&amp;Q1)11.15.10" xfId="3665" xr:uid="{00000000-0005-0000-0000-000050000000}"/>
    <cellStyle name="_2011 SOP11 vs 2011 SOP9 11.11.10" xfId="3666" xr:uid="{00000000-0005-0000-0000-000051000000}"/>
    <cellStyle name="_2011 SOP3 GHB Bridge vFINAL incl Magnum Post-PDT CA 3.26.10" xfId="3667" xr:uid="{00000000-0005-0000-0000-000052000000}"/>
    <cellStyle name="_2011 Spoonables Volume Build -- Rev 3 -- For OP 110210 1pm" xfId="3668" xr:uid="{00000000-0005-0000-0000-000053000000}"/>
    <cellStyle name="_2011 Spoonables Volume Build (R1) -- 8.11.10 10pm" xfId="3669" xr:uid="{00000000-0005-0000-0000-000054000000}"/>
    <cellStyle name="_2011 Spoonables Volume Build (R1) -- 8.18.10 2pm" xfId="3670" xr:uid="{00000000-0005-0000-0000-000055000000}"/>
    <cellStyle name="_2011 Vol Bridge_2-19-10" xfId="3671" xr:uid="{00000000-0005-0000-0000-000056000000}"/>
    <cellStyle name="_2011 Vol Bridge_2-22-10" xfId="3672" xr:uid="{00000000-0005-0000-0000-000057000000}"/>
    <cellStyle name="_7 26 10 OOH Pricing Tier Sheet" xfId="3673" xr:uid="{00000000-0005-0000-0000-000058000000}"/>
    <cellStyle name="_AP decision tree (June)" xfId="3674" xr:uid="{00000000-0005-0000-0000-000059000000}"/>
    <cellStyle name="_Apr vs SOP4 Pourable" xfId="3675" xr:uid="{00000000-0005-0000-0000-00005A000000}"/>
    <cellStyle name="_Apr vs SOP4 Spoonable" xfId="3676" xr:uid="{00000000-0005-0000-0000-00005B000000}"/>
    <cellStyle name="_Aveja 26.5oz PAR" xfId="3677" xr:uid="{00000000-0005-0000-0000-00005C000000}"/>
    <cellStyle name="_AVG PC B3.B1 Rates 10_27_09" xfId="3678" xr:uid="{00000000-0005-0000-0000-00005D000000}"/>
    <cellStyle name="_Axe SOP4 (2009 FV) Load Template 4-3-08" xfId="3679" xr:uid="{00000000-0005-0000-0000-00005E000000}"/>
    <cellStyle name="_Bertolli 2009" xfId="3680" xr:uid="{00000000-0005-0000-0000-00005F000000}"/>
    <cellStyle name="_bertolli Volume build v3" xfId="3681" xr:uid="{00000000-0005-0000-0000-000060000000}"/>
    <cellStyle name="_Book1" xfId="3682" xr:uid="{00000000-0005-0000-0000-000061000000}"/>
    <cellStyle name="_Book1_1" xfId="3683" xr:uid="{00000000-0005-0000-0000-000062000000}"/>
    <cellStyle name="_Book2" xfId="3684" xr:uid="{00000000-0005-0000-0000-000063000000}"/>
    <cellStyle name="_Book2 (4)" xfId="3685" xr:uid="{00000000-0005-0000-0000-000064000000}"/>
    <cellStyle name="_Book2_1" xfId="3686" xr:uid="{00000000-0005-0000-0000-000065000000}"/>
    <cellStyle name="_Book2_1_2010 SOP7 Qtrl phasing- Spoonables" xfId="3687" xr:uid="{00000000-0005-0000-0000-000066000000}"/>
    <cellStyle name="_Book2_1_2011 OP Spoonables Volume Build Rev 3 (For BOT) 110210 1pm" xfId="3688" xr:uid="{00000000-0005-0000-0000-000067000000}"/>
    <cellStyle name="_Book2_1_2011 Spoonables Volume Build -- Rev 3 -- For OP 110210 1pm" xfId="3689" xr:uid="{00000000-0005-0000-0000-000068000000}"/>
    <cellStyle name="_Book2_1_2011 Spoonables Volume Build (R1) -- 8.11.10 10pm" xfId="3690" xr:uid="{00000000-0005-0000-0000-000069000000}"/>
    <cellStyle name="_Book2_1_2011 Spoonables Volume Build (R1) -- 8.18.10 2pm" xfId="3691" xr:uid="{00000000-0005-0000-0000-00006A000000}"/>
    <cellStyle name="_Book2_1_Book1" xfId="3692" xr:uid="{00000000-0005-0000-0000-00006B000000}"/>
    <cellStyle name="_Book2_1_HBF 11OP vs 10SOP11 Bonus Impact 11 1 10 (2)" xfId="3693" xr:uid="{00000000-0005-0000-0000-00006C000000}"/>
    <cellStyle name="_Book2_1_HBF Bonus Replan 10SOP6" xfId="3694" xr:uid="{00000000-0005-0000-0000-00006D000000}"/>
    <cellStyle name="_Book2_1_HBF Bonus Replan 10SOP8" xfId="3695" xr:uid="{00000000-0005-0000-0000-00006E000000}"/>
    <cellStyle name="_Book2_1_Mayo Total Sectors NSV Rates excl  Bonus for Mkng EQ Bridges 8-9-10" xfId="3696" xr:uid="{00000000-0005-0000-0000-00006F000000}"/>
    <cellStyle name="_Book2_SOP3 2011 Bridge 3.8.10" xfId="3697" xr:uid="{00000000-0005-0000-0000-000070000000}"/>
    <cellStyle name="_Book3" xfId="3698" xr:uid="{00000000-0005-0000-0000-000071000000}"/>
    <cellStyle name="_Book3 (2)" xfId="3699" xr:uid="{00000000-0005-0000-0000-000072000000}"/>
    <cellStyle name="_Book4" xfId="3700" xr:uid="{00000000-0005-0000-0000-000073000000}"/>
    <cellStyle name="_Book5" xfId="3701" xr:uid="{00000000-0005-0000-0000-000074000000}"/>
    <cellStyle name="_Bridge 2008 SOP7 vs 2009 SOP8 (2)" xfId="3702" xr:uid="{00000000-0005-0000-0000-000075000000}"/>
    <cellStyle name="_Bridge 2008 SOP7 vs 2009 SOP8 (3)" xfId="3703" xr:uid="{00000000-0005-0000-0000-000076000000}"/>
    <cellStyle name="_Bridge Bertolli with CAs" xfId="3704" xr:uid="{00000000-0005-0000-0000-000077000000}"/>
    <cellStyle name="_Bridge Bertolli with GMVA" xfId="3705" xr:uid="{00000000-0005-0000-0000-000078000000}"/>
    <cellStyle name="_Bridge Bertolli with GMVA v2" xfId="3706" xr:uid="{00000000-0005-0000-0000-000079000000}"/>
    <cellStyle name="_Bridge Other Sauce 11-10 v2" xfId="3707" xr:uid="{00000000-0005-0000-0000-00007A000000}"/>
    <cellStyle name="_bridges SOP6 to SOP9" xfId="3708" xr:uid="{00000000-0005-0000-0000-00007B000000}"/>
    <cellStyle name="_Chilled GMVA 08-08" xfId="3709" xr:uid="{00000000-0005-0000-0000-00007C000000}"/>
    <cellStyle name="_Chilled Monthly BT review deck - 09 SOP6" xfId="3710" xr:uid="{00000000-0005-0000-0000-00007D000000}"/>
    <cellStyle name="_Comma" xfId="3711" xr:uid="{00000000-0005-0000-0000-00007E000000}"/>
    <cellStyle name="_Commodities 2009 OP vs 2008 SOP10 - 10 31 08" xfId="3712" xr:uid="{00000000-0005-0000-0000-00007F000000}"/>
    <cellStyle name="_COMPLETE__Pourables 10SOP3 Bridge (Post BLT) 3.17.10" xfId="3713" xr:uid="{00000000-0005-0000-0000-000080000000}"/>
    <cellStyle name="_COMPLETE__Spoonables 10SOP3 Bridge (Post BLT) 3.17.10" xfId="3714" xr:uid="{00000000-0005-0000-0000-000081000000}"/>
    <cellStyle name="_Copy of 2010 Trade Usage- for PB Spendback 9 16 09" xfId="3715" xr:uid="{00000000-0005-0000-0000-000082000000}"/>
    <cellStyle name="_Copy of SC Opps  Risks-May '09 vs  PR Frsct Final with GO GET v1" xfId="3716" xr:uid="{00000000-0005-0000-0000-000083000000}"/>
    <cellStyle name="_Copy of SOP11 Sales Finance UPG USG UVG 11-5-10 Updated" xfId="3717" xr:uid="{00000000-0005-0000-0000-000084000000}"/>
    <cellStyle name="_Copy of tb17" xfId="3718" xr:uid="{00000000-0005-0000-0000-000085000000}"/>
    <cellStyle name="_Copy of tb17_2008 AP vs Actuals (ULUS ex IC)" xfId="3719" xr:uid="{00000000-0005-0000-0000-000086000000}"/>
    <cellStyle name="_Copy of tb17_2008 Innovation schedule 01-04-08" xfId="3547" xr:uid="{00000000-0005-0000-0000-000087000000}"/>
    <cellStyle name="_Copy of tb17_Oct_2009_2010 Category Detail" xfId="3720" xr:uid="{00000000-0005-0000-0000-000088000000}"/>
    <cellStyle name="_Copy of tb17_SOP4 BT Targets" xfId="3721" xr:uid="{00000000-0005-0000-0000-000089000000}"/>
    <cellStyle name="_Copy of tb17_Unilever US Financial Summary Portfolio View" xfId="3722" xr:uid="{00000000-0005-0000-0000-00008A000000}"/>
    <cellStyle name="_Currency" xfId="3723" xr:uid="{00000000-0005-0000-0000-00008B000000}"/>
    <cellStyle name="_CurrencySpace" xfId="3724" xr:uid="{00000000-0005-0000-0000-00008C000000}"/>
    <cellStyle name="_Distributor Profitability" xfId="3549" xr:uid="{00000000-0005-0000-0000-00008D000000}"/>
    <cellStyle name="_Draft Market Share 8Qtr Template" xfId="3725" xr:uid="{00000000-0005-0000-0000-00008E000000}"/>
    <cellStyle name="_Dressings &amp; PB 2009 SOP7 Triangulation Pre BLT 7 8 09" xfId="3726" xr:uid="{00000000-0005-0000-0000-00008F000000}"/>
    <cellStyle name="_Dressings &amp; PB 2009 SOP7 Triangulation Pre BLT 7 9 09" xfId="3727" xr:uid="{00000000-0005-0000-0000-000090000000}"/>
    <cellStyle name="_Dressings 09SOP10 Bridge_Pre BLT_10.13.09" xfId="3728" xr:uid="{00000000-0005-0000-0000-000091000000}"/>
    <cellStyle name="_Dressings 09SOP8 P&amp;L 8 11 08 12pm" xfId="3729" xr:uid="{00000000-0005-0000-0000-000092000000}"/>
    <cellStyle name="_Dressings 09SOP8 P&amp;L 8 7 08 2pm" xfId="3730" xr:uid="{00000000-0005-0000-0000-000093000000}"/>
    <cellStyle name="_Dressings 09SOP8 SBO Framework 8 11 08" xfId="3731" xr:uid="{00000000-0005-0000-0000-000094000000}"/>
    <cellStyle name="_Dressings Monthly BLT Review Deck 09SOP2_POST BLT CA (FINAL)" xfId="3732" xr:uid="{00000000-0005-0000-0000-000095000000}"/>
    <cellStyle name="_Dressings WB NSV Bridges_09SOP3.5 to 2010SOP3" xfId="3733" xr:uid="{00000000-0005-0000-0000-000096000000}"/>
    <cellStyle name="_Euro" xfId="3734" xr:uid="{00000000-0005-0000-0000-000097000000}"/>
    <cellStyle name="_Foods upg-uvg Actuals 11.2.09@6PM" xfId="3735" xr:uid="{00000000-0005-0000-0000-000098000000}"/>
    <cellStyle name="_Frozen Month End Deck Apr 2010" xfId="3736" xr:uid="{00000000-0005-0000-0000-000099000000}"/>
    <cellStyle name="_Frozen Monthly BT review deck - 09 SOP6" xfId="3737" xr:uid="{00000000-0005-0000-0000-00009A000000}"/>
    <cellStyle name="_Frozen Variance SOP5 2010" xfId="3738" xr:uid="{00000000-0005-0000-0000-00009B000000}"/>
    <cellStyle name="_FUSA 14 Cube Wishbone 7-17-09 v4" xfId="3739" xr:uid="{00000000-0005-0000-0000-00009C000000}"/>
    <cellStyle name="_GHB preliminary bridge 6.3" xfId="3740" xr:uid="{00000000-0005-0000-0000-00009D000000}"/>
    <cellStyle name="_Hair 08 SOP3 BT Templates d" xfId="3741" xr:uid="{00000000-0005-0000-0000-00009E000000}"/>
    <cellStyle name="_Hair Mkt Share Submission" xfId="3742" xr:uid="{00000000-0005-0000-0000-00009F000000}"/>
    <cellStyle name="_HBF 05 PL Feb rev2" xfId="3743" xr:uid="{00000000-0005-0000-0000-0000A0000000}"/>
    <cellStyle name="_HBF 09Act vs 08Act Pricing Impact" xfId="3744" xr:uid="{00000000-0005-0000-0000-0000A1000000}"/>
    <cellStyle name="_HBF 11OP vs 10SOP11 Bonus Impact 11 1 10" xfId="3745" xr:uid="{00000000-0005-0000-0000-0000A2000000}"/>
    <cellStyle name="_HBF 11OP vs 10SOP11 Bonus Impact 11 1 10 (2)" xfId="3746" xr:uid="{00000000-0005-0000-0000-0000A3000000}"/>
    <cellStyle name="_HBF 2010 SBO Pricing Scenarios 12 13 09 (correct edlp elasticity)" xfId="3747" xr:uid="{00000000-0005-0000-0000-0000A4000000}"/>
    <cellStyle name="_HBF Bonus for Harris EQ Bridge 10SOP9 - 9 23 10" xfId="151" xr:uid="{00000000-0005-0000-0000-0000A5000000}"/>
    <cellStyle name="_HBF Bonus Replan 10SOP6" xfId="3748" xr:uid="{00000000-0005-0000-0000-0000A6000000}"/>
    <cellStyle name="_HBF Bonus Replan 10SOP8" xfId="3749" xr:uid="{00000000-0005-0000-0000-0000A7000000}"/>
    <cellStyle name="_HBF Club Squeeze 22oz List Price Decline PAR 4 7 10" xfId="3750" xr:uid="{00000000-0005-0000-0000-0000A8000000}"/>
    <cellStyle name="_HBF Feb'11 (+5.2%) Price Increase 10 27 10" xfId="3751" xr:uid="{00000000-0005-0000-0000-0000A9000000}"/>
    <cellStyle name="_HBF FIX for Bonus Underplan 2010 OP" xfId="3545" xr:uid="{00000000-0005-0000-0000-0000AA000000}"/>
    <cellStyle name="_HBF Mayo EQ NSV by Size Merlin Pull 10 27 10" xfId="3752" xr:uid="{00000000-0005-0000-0000-0000AB000000}"/>
    <cellStyle name="_HBF Qtrly TO Bridge 09act to SOP4 (For BOT) 4.6.10" xfId="3753" xr:uid="{00000000-0005-0000-0000-0000AC000000}"/>
    <cellStyle name="_HBF Qtrly TO Bridge 09act to SOP4 (Post BLT CA) 4.28.10" xfId="3754" xr:uid="{00000000-0005-0000-0000-0000AD000000}"/>
    <cellStyle name="_HBF SC LTCP Inputs -- 72710 final" xfId="3755" xr:uid="{00000000-0005-0000-0000-0000AE000000}"/>
    <cellStyle name="_HBF TO Bridge 2007-2008 and 2008-2010" xfId="3756" xr:uid="{00000000-0005-0000-0000-0000AF000000}"/>
    <cellStyle name="_Heading" xfId="3757" xr:uid="{00000000-0005-0000-0000-0000B0000000}"/>
    <cellStyle name="_Heading_Sunny D model (CapEx v5)" xfId="3758" xr:uid="{00000000-0005-0000-0000-0000B1000000}"/>
    <cellStyle name="_Hellmann's 36oz Bonus" xfId="3759" xr:uid="{00000000-0005-0000-0000-0000B2000000}"/>
    <cellStyle name="_Hellmann's 36oz Bonus w 10.17.10 pricing" xfId="3760" xr:uid="{00000000-0005-0000-0000-0000B3000000}"/>
    <cellStyle name="_Hellmanns GMVA vs SOP5" xfId="3761" xr:uid="{00000000-0005-0000-0000-0000B4000000}"/>
    <cellStyle name="_HiFi Capex  Financials Base Case" xfId="3762" xr:uid="{00000000-0005-0000-0000-0000B5000000}"/>
    <cellStyle name="_Highlight" xfId="3763" xr:uid="{00000000-0005-0000-0000-0000B6000000}"/>
    <cellStyle name="_Innovation File (updated from Dec to Mar)" xfId="3764" xr:uid="{00000000-0005-0000-0000-0000B7000000}"/>
    <cellStyle name="_IT mocks ups" xfId="3765" xr:uid="{00000000-0005-0000-0000-0000B8000000}"/>
    <cellStyle name="_JE2103COOPACCRUALxls" xfId="3766" xr:uid="{00000000-0005-0000-0000-0000B9000000}"/>
    <cellStyle name="_JE2103COOPACCRUALxls_2008 AP vs Actuals (ULUS ex IC)" xfId="3767" xr:uid="{00000000-0005-0000-0000-0000BA000000}"/>
    <cellStyle name="_JE2103COOPACCRUALxls_2008 Innovation schedule 01-04-08" xfId="3768" xr:uid="{00000000-0005-0000-0000-0000BB000000}"/>
    <cellStyle name="_JE2103COOPACCRUALxls_Oct_2009_2010 Category Detail" xfId="3769" xr:uid="{00000000-0005-0000-0000-0000BC000000}"/>
    <cellStyle name="_JE2103COOPACCRUALxls_SOP4 BT Targets" xfId="3770" xr:uid="{00000000-0005-0000-0000-0000BD000000}"/>
    <cellStyle name="_JE2103COOPACCRUALxls_Unilever US Financial Summary Portfolio View" xfId="3771" xr:uid="{00000000-0005-0000-0000-0000BE000000}"/>
    <cellStyle name="_Jeff City" xfId="3772" xr:uid="{00000000-0005-0000-0000-0000BF000000}"/>
    <cellStyle name="_Jif-5% July 2010 COMP FOLLOW_ UL FOLLOW  Oct 7.1.10 For 2011" xfId="3773" xr:uid="{00000000-0005-0000-0000-0000C0000000}"/>
    <cellStyle name="_Magnum 6.3" xfId="3774" xr:uid="{00000000-0005-0000-0000-0000C1000000}"/>
    <cellStyle name="_Market Share - Foods Template" xfId="3775" xr:uid="{00000000-0005-0000-0000-0000C2000000}"/>
    <cellStyle name="_Market Share Deck Slide_Apr Fcst" xfId="3776" xr:uid="{00000000-0005-0000-0000-0000C3000000}"/>
    <cellStyle name="_Market Shares SOP6 Frozen Meals" xfId="3777" xr:uid="{00000000-0005-0000-0000-0000C4000000}"/>
    <cellStyle name="_Mayo Total Sectors NSV Rates excl  Bonus for Mkng EQ Bridges 8-9-10" xfId="3778" xr:uid="{00000000-0005-0000-0000-0000C5000000}"/>
    <cellStyle name="_Mock Bridge SOP4 PL- 4 7 09" xfId="3779" xr:uid="{00000000-0005-0000-0000-0000C6000000}"/>
    <cellStyle name="_Multiple" xfId="3780" xr:uid="{00000000-0005-0000-0000-0000C7000000}"/>
    <cellStyle name="_MultipleSpace" xfId="3781" xr:uid="{00000000-0005-0000-0000-0000C8000000}"/>
    <cellStyle name="_Oct Fcst - Mkt Share PC (sent)" xfId="3782" xr:uid="{00000000-0005-0000-0000-0000C9000000}"/>
    <cellStyle name="_Oct_2009_2010 Category Detail" xfId="3783" xr:uid="{00000000-0005-0000-0000-0000CA000000}"/>
    <cellStyle name="_OOH Booklet June" xfId="3784" xr:uid="{00000000-0005-0000-0000-0000CB000000}"/>
    <cellStyle name="_OOH Booklet November" xfId="3785" xr:uid="{00000000-0005-0000-0000-0000CC000000}"/>
    <cellStyle name="_OOH Booklet September" xfId="3786" xr:uid="{00000000-0005-0000-0000-0000CD000000}"/>
    <cellStyle name="_Overlays_HPC_v2" xfId="3787" xr:uid="{00000000-0005-0000-0000-0000CE000000}"/>
    <cellStyle name="_Overlays_JC  Doral" xfId="3788" xr:uid="{00000000-0005-0000-0000-0000CF000000}"/>
    <cellStyle name="_PAR Form - US" xfId="3789" xr:uid="{00000000-0005-0000-0000-0000D0000000}"/>
    <cellStyle name="_PB 09SOP10 Bridge Post BOT 10.12" xfId="3790" xr:uid="{00000000-0005-0000-0000-0000D1000000}"/>
    <cellStyle name="_PB 09SOP5 Bridge_Pre BLT_5.12.09 6pm" xfId="3791" xr:uid="{00000000-0005-0000-0000-0000D2000000}"/>
    <cellStyle name="_PB 09SOP6 Bridge_Post BLT CAs_6.17.09" xfId="3792" xr:uid="{00000000-0005-0000-0000-0000D3000000}"/>
    <cellStyle name="_PB 09SOP6 Bridge_Pre BLT_6.10.09" xfId="3793" xr:uid="{00000000-0005-0000-0000-0000D4000000}"/>
    <cellStyle name="_PB 09SOP6 Bridge_Pre BLT_6.8.09" xfId="3794" xr:uid="{00000000-0005-0000-0000-0000D5000000}"/>
    <cellStyle name="_PB 09SOP7 Bridge Post BLT 7.17.09" xfId="3795" xr:uid="{00000000-0005-0000-0000-0000D6000000}"/>
    <cellStyle name="_PB 09SOP7 Bridge Post PDT 7.27.09" xfId="3796" xr:uid="{00000000-0005-0000-0000-0000D7000000}"/>
    <cellStyle name="_PB 09SOP7 Bridge Pre BLT 7.8.09 v2" xfId="3797" xr:uid="{00000000-0005-0000-0000-0000D8000000}"/>
    <cellStyle name="_PB 09SOP8 Bridge Pre BLT 8.11.09" xfId="3798" xr:uid="{00000000-0005-0000-0000-0000D9000000}"/>
    <cellStyle name="_PB 09SOP9 Bridge Post BOT" xfId="3799" xr:uid="{00000000-0005-0000-0000-0000DA000000}"/>
    <cellStyle name="_PB 10OP vs 09SOP10 TO Bridge 12.10.09 dmr edits" xfId="3800" xr:uid="{00000000-0005-0000-0000-0000DB000000}"/>
    <cellStyle name="_PB 10OP vs 09SOP10 TO Bridge Prelim 11 10 09" xfId="3801" xr:uid="{00000000-0005-0000-0000-0000DC000000}"/>
    <cellStyle name="_PB 10OP vs 09SOP10 TO Bridge Prelim 11 12 09" xfId="3802" xr:uid="{00000000-0005-0000-0000-0000DD000000}"/>
    <cellStyle name="_PB 10OP vs 09SOP10 TO Bridge Prelim 11 18 09" xfId="3803" xr:uid="{00000000-0005-0000-0000-0000DE000000}"/>
    <cellStyle name="_PB 10OP vs 09SOP10 TO Bridge Prelim 11 19 09" xfId="3804" xr:uid="{00000000-0005-0000-0000-0000DF000000}"/>
    <cellStyle name="_PB 10OP vs 09SOP10 TO Bridge Prelim 11 20 09" xfId="3805" xr:uid="{00000000-0005-0000-0000-0000E0000000}"/>
    <cellStyle name="_PB 2010 OP Bridge vs. 09SOP10 Pre BOT 11.10" xfId="3806" xr:uid="{00000000-0005-0000-0000-0000E1000000}"/>
    <cellStyle name="_PB 2010 OP Bridge vs. 09SOP10 Pre BOT 11.18" xfId="3807" xr:uid="{00000000-0005-0000-0000-0000E2000000}"/>
    <cellStyle name="_PB 2010 OP Bridge vs. 09SOP10 Pre BOT 11.19" xfId="3808" xr:uid="{00000000-0005-0000-0000-0000E3000000}"/>
    <cellStyle name="_PB 2010 OP Bridge vs. 09SOP10 Pre BOT 12.7" xfId="3809" xr:uid="{00000000-0005-0000-0000-0000E4000000}"/>
    <cellStyle name="_PB 2010 SO2 vs. 2010 SOP1 Q1 Bridge 2.9.10" xfId="3810" xr:uid="{00000000-0005-0000-0000-0000E5000000}"/>
    <cellStyle name="_PB 2010 SOP1 vs. 2010 OP FY Bridge" xfId="3811" xr:uid="{00000000-0005-0000-0000-0000E6000000}"/>
    <cellStyle name="_PB 2010 SOP1 vs. 2010 OP FY Bridge Final" xfId="3812" xr:uid="{00000000-0005-0000-0000-0000E7000000}"/>
    <cellStyle name="_PB 2010 SOP1 vs. 2010 OP Q1 Bridge" xfId="3813" xr:uid="{00000000-0005-0000-0000-0000E8000000}"/>
    <cellStyle name="_PB 2010 SOP1 vs. 2010 OP Q1 Bridge Final" xfId="3814" xr:uid="{00000000-0005-0000-0000-0000E9000000}"/>
    <cellStyle name="_PB 2010 SOP2 vs. 2010 SOP1 FY Bridge 2.18.10 Post BLT CAs" xfId="3815" xr:uid="{00000000-0005-0000-0000-0000EA000000}"/>
    <cellStyle name="_PB 2010 SOP2 vs. 2010 SOP1 FY Bridge 2.9.10" xfId="3816" xr:uid="{00000000-0005-0000-0000-0000EB000000}"/>
    <cellStyle name="_PB 2010 SOP2 vs. 2010 SOP1 FY Bridge 2.9.10 dmr edits" xfId="3817" xr:uid="{00000000-0005-0000-0000-0000EC000000}"/>
    <cellStyle name="_PB 2010 SOP3 vs. 2010 SOP2 FY Bridge 3.16.10" xfId="3818" xr:uid="{00000000-0005-0000-0000-0000ED000000}"/>
    <cellStyle name="_PB 2010 SOP3 vs. 2010 SOP2 FY Bridge 3.5.10" xfId="3819" xr:uid="{00000000-0005-0000-0000-0000EE000000}"/>
    <cellStyle name="_PB 2010 SOP3 vs. 2010 SOP2 FY Bridge 3.7.10" xfId="3820" xr:uid="{00000000-0005-0000-0000-0000EF000000}"/>
    <cellStyle name="_PB 2010 SOP3 vs. 2010 SOP2 FY Bridge 3.9.10" xfId="3821" xr:uid="{00000000-0005-0000-0000-0000F0000000}"/>
    <cellStyle name="_PB 2010 SOP3 vs. 2010 SOP2 Q2 Bridge 3.16.10" xfId="3822" xr:uid="{00000000-0005-0000-0000-0000F1000000}"/>
    <cellStyle name="_PB 2010 SOP3 vs. 2010 SOP2 Q2 Bridge 3.7.10" xfId="3823" xr:uid="{00000000-0005-0000-0000-0000F2000000}"/>
    <cellStyle name="_PB 2010 SOP3 vs. 2010 SOP2 Q2 Bridge 3.9.10" xfId="3824" xr:uid="{00000000-0005-0000-0000-0000F3000000}"/>
    <cellStyle name="_PB 2010 SOP6 vs. 2010 SOP5 FY Bridge 6.16.10 Post CAs" xfId="3825" xr:uid="{00000000-0005-0000-0000-0000F4000000}"/>
    <cellStyle name="_PB 2010 SOP6 vs. 2010 SOP5 FY Bridge 6.8.10" xfId="3826" xr:uid="{00000000-0005-0000-0000-0000F5000000}"/>
    <cellStyle name="_PB SOP1 2010 vs OP 2010 TURNOVER BRIDGE" xfId="3827" xr:uid="{00000000-0005-0000-0000-0000F6000000}"/>
    <cellStyle name="_PB SOP2 2010 vs 09Act TO Bridge (Post BLT) 2.18.10" xfId="3828" xr:uid="{00000000-0005-0000-0000-0000F7000000}"/>
    <cellStyle name="_PB SOP2 2010 vs SOP1 2010 TURNOVER 2.9" xfId="3829" xr:uid="{00000000-0005-0000-0000-0000F8000000}"/>
    <cellStyle name="_PB SOP3 2010 vs 2009 TO Bridge 3.16.10" xfId="3830" xr:uid="{00000000-0005-0000-0000-0000F9000000}"/>
    <cellStyle name="_PB SOP3 2010 vs 2009 TO Bridge 3.5.10" xfId="3831" xr:uid="{00000000-0005-0000-0000-0000FA000000}"/>
    <cellStyle name="_PB SOP3 2010 vs 2009 TO Bridge 3.9.10" xfId="3832" xr:uid="{00000000-0005-0000-0000-0000FB000000}"/>
    <cellStyle name="_PB SOP6 TO Bridge 6.15.10" xfId="3833" xr:uid="{00000000-0005-0000-0000-0000FC000000}"/>
    <cellStyle name="_PB SOP6 TO Bridge 6.17.10" xfId="3834" xr:uid="{00000000-0005-0000-0000-0000FD000000}"/>
    <cellStyle name="_PB SOP6 TO Bridge 6.8.10" xfId="3835" xr:uid="{00000000-0005-0000-0000-0000FE000000}"/>
    <cellStyle name="_PB SOP6 TO Bridge 6.9.10" xfId="3836" xr:uid="{00000000-0005-0000-0000-0000FF000000}"/>
    <cellStyle name="_PB SOP9 2010 vs. OP Bridge 11.10" xfId="3837" xr:uid="{00000000-0005-0000-0000-000000010000}"/>
    <cellStyle name="_PB SOP9 2010 vs. OP Bridge 11.12" xfId="3838" xr:uid="{00000000-0005-0000-0000-000001010000}"/>
    <cellStyle name="_PB SOP9 2010 vs. OP Bridge 11.18" xfId="3839" xr:uid="{00000000-0005-0000-0000-000002010000}"/>
    <cellStyle name="_PB SOP9 2010 vs. OP Bridge 11.19" xfId="3840" xr:uid="{00000000-0005-0000-0000-000003010000}"/>
    <cellStyle name="_Peanut Butter 2011 SOP3 BT Load Templates 3 16 10 LOADED" xfId="3841" xr:uid="{00000000-0005-0000-0000-000004010000}"/>
    <cellStyle name="_Peanut Butter 2011 SOP3 BT Load Templates 3 16 10 Trade Cut" xfId="3842" xr:uid="{00000000-0005-0000-0000-000005010000}"/>
    <cellStyle name="_Peanut Butter 2011 SOP3 BT Load Templates 3 5 10" xfId="3843" xr:uid="{00000000-0005-0000-0000-000006010000}"/>
    <cellStyle name="_Peanut Butter 2011 SOP3 BT Load Templates 3 8 10 LOADED" xfId="3844" xr:uid="{00000000-0005-0000-0000-000007010000}"/>
    <cellStyle name="_Peanut Butter 2011 SOP6 BT Load Templates  6.10.10 Trade (no A&amp;P)" xfId="3845" xr:uid="{00000000-0005-0000-0000-000008010000}"/>
    <cellStyle name="_Peanut Butter 2011 SOP6 BT Load Templates  6.17.10 Trade- Post CAs" xfId="3846" xr:uid="{00000000-0005-0000-0000-000009010000}"/>
    <cellStyle name="_Peanut Butter 2011 SOP6 BT Load Templates  6.8.10 Trade (no A&amp;P)" xfId="3847" xr:uid="{00000000-0005-0000-0000-00000A010000}"/>
    <cellStyle name="_Peanut Butter 2011 SOP9 BT Load Temp (Post BOT NOT LOADED) 9 10 10" xfId="3848" xr:uid="{00000000-0005-0000-0000-00000B010000}"/>
    <cellStyle name="_Peanut Butter 2011 SOP9 BT Load Temp (Post BOT) 9 8 10v2" xfId="3849" xr:uid="{00000000-0005-0000-0000-00000C010000}"/>
    <cellStyle name="_Phasing - IT Transformation" xfId="3850" xr:uid="{00000000-0005-0000-0000-00000D010000}"/>
    <cellStyle name="_Pourable (WB) vs SOP11" xfId="3851" xr:uid="{00000000-0005-0000-0000-00000E010000}"/>
    <cellStyle name="_Pourable GMVA Actuals Vs SOP1 2009" xfId="4634" xr:uid="{00000000-0005-0000-0000-00000F010000}"/>
    <cellStyle name="_Pourable GMVA Jul 2009" xfId="3852" xr:uid="{00000000-0005-0000-0000-000010010000}"/>
    <cellStyle name="_Pourable GMVA SOP9" xfId="3853" xr:uid="{00000000-0005-0000-0000-000011010000}"/>
    <cellStyle name="_Pourable v SOP10" xfId="3854" xr:uid="{00000000-0005-0000-0000-000012010000}"/>
    <cellStyle name="_Pourables 10OP vs 09SOP10 FY Bridge Post-PDT 12 09 09" xfId="3855" xr:uid="{00000000-0005-0000-0000-000013010000}"/>
    <cellStyle name="_Pourables 10OP vs 09SOP10 FY Bridge Pre-BLT 11 11 09" xfId="3856" xr:uid="{00000000-0005-0000-0000-000014010000}"/>
    <cellStyle name="_Pourables 10OP vs 10SOP9 FY Bridge Pre-BLT 11 9 09" xfId="4630" xr:uid="{00000000-0005-0000-0000-000015010000}"/>
    <cellStyle name="_Pourables 10SOP1 Bridge (Post BLT) 1.15.10" xfId="3857" xr:uid="{00000000-0005-0000-0000-000016010000}"/>
    <cellStyle name="_Pourables 10SOP1 Bridge (Post BOT) 1.7.10" xfId="3858" xr:uid="{00000000-0005-0000-0000-000017010000}"/>
    <cellStyle name="_Pourables 10SOP11 vs 10SOP9 Bridge" xfId="3859" xr:uid="{00000000-0005-0000-0000-000018010000}"/>
    <cellStyle name="_Pourables 10SOP2 Bridge (Pre BLT) 2.8.10" xfId="3860" xr:uid="{00000000-0005-0000-0000-000019010000}"/>
    <cellStyle name="_Pourables 10SOP3 Bridge (Post PDT) 4.2.10" xfId="3861" xr:uid="{00000000-0005-0000-0000-00001A010000}"/>
    <cellStyle name="_Pourables 10SOP3 Bridge (Pre BLT) 3.5.10" xfId="3862" xr:uid="{00000000-0005-0000-0000-00001B010000}"/>
    <cellStyle name="_Pourables 10SOP5 FY Bridge vs SOP3 (For BLT) 5.12.10_v2" xfId="3863" xr:uid="{00000000-0005-0000-0000-00001C010000}"/>
    <cellStyle name="_Pourables 10SOP5 Q2 Bridge vs SOP4 (For BLT) 5.12.10_v2" xfId="3864" xr:uid="{00000000-0005-0000-0000-00001D010000}"/>
    <cellStyle name="_Pourables 10SOP6 Bridge (Post BLT CAs) 6.17.10" xfId="3865" xr:uid="{00000000-0005-0000-0000-00001E010000}"/>
    <cellStyle name="_Pourables 10SOP6 Bridge (Pre BLT) 6.8.10" xfId="3866" xr:uid="{00000000-0005-0000-0000-00001F010000}"/>
    <cellStyle name="_Pourables 2011 OP BT Load Templates 11.10.10" xfId="3867" xr:uid="{00000000-0005-0000-0000-000020010000}"/>
    <cellStyle name="_Pourables 2011 OP Vol Plansop2 Load (post BOT) 11 9 10" xfId="3868" xr:uid="{00000000-0005-0000-0000-000021010000}"/>
    <cellStyle name="_Pourables 2011 SOP3 BT Load Template (Post BLT) 3.17.10" xfId="3869" xr:uid="{00000000-0005-0000-0000-000022010000}"/>
    <cellStyle name="_Pourables 2011 SOP3 BT Load Template 3 26 10 (Post PDT)" xfId="3870" xr:uid="{00000000-0005-0000-0000-000023010000}"/>
    <cellStyle name="_Pourables 2011 SOP6 BT Load Templates (Post BLT CA) CORRECTED SC 6 16 10" xfId="3871" xr:uid="{00000000-0005-0000-0000-000024010000}"/>
    <cellStyle name="_Pourables 2011 SOP6 BT Load Templates (Post PDT CA) 6 29 10" xfId="3872" xr:uid="{00000000-0005-0000-0000-000025010000}"/>
    <cellStyle name="_Pourables 2011 SOP6 BT Load Templates (Proj C Trade Cut) For BLT 6.08.10v2" xfId="3873" xr:uid="{00000000-0005-0000-0000-000026010000}"/>
    <cellStyle name="_Pourables 2011 SOP9 BT Load Template (Post BLT) 9.15.10 " xfId="3874" xr:uid="{00000000-0005-0000-0000-000027010000}"/>
    <cellStyle name="_Pourables 2011 SOP9 BT Load Template (Post BOT NOT LOADED) 9.7.10 " xfId="3875" xr:uid="{00000000-0005-0000-0000-000028010000}"/>
    <cellStyle name="_Pourables 2011 SOP9 BT Load Template (Post BOT) 9.7.10 " xfId="3876" xr:uid="{00000000-0005-0000-0000-000029010000}"/>
    <cellStyle name="_Pourables Category and Share Call 2009 SOP5" xfId="3877" xr:uid="{00000000-0005-0000-0000-00002A010000}"/>
    <cellStyle name="_Pourables Feb vs SOP2" xfId="3878" xr:uid="{00000000-0005-0000-0000-00002B010000}"/>
    <cellStyle name="_Pourables GMVA  MTD and YTD vs Plan June 08" xfId="3879" xr:uid="{00000000-0005-0000-0000-00002C010000}"/>
    <cellStyle name="_Pourables GMVA SOP8" xfId="3880" xr:uid="{00000000-0005-0000-0000-00002D010000}"/>
    <cellStyle name="_Pourables GMVA v SOP6 Prelim" xfId="3881" xr:uid="{00000000-0005-0000-0000-00002E010000}"/>
    <cellStyle name="_Pourables Mar09 GMVA vs SOP3" xfId="3882" xr:uid="{00000000-0005-0000-0000-00002F010000}"/>
    <cellStyle name="_Pourables v SOP12" xfId="3883" xr:uid="{00000000-0005-0000-0000-000030010000}"/>
    <cellStyle name="_Prism Cage Free Inoplan submission 5.22.09" xfId="3884" xr:uid="{00000000-0005-0000-0000-000031010000}"/>
    <cellStyle name="_Prism_Yellow_Light_Contract_03_06_2009" xfId="3885" xr:uid="{00000000-0005-0000-0000-000032010000}"/>
    <cellStyle name="_Prism_Yellow_Light_Post_Contract_4_28_09" xfId="3886" xr:uid="{00000000-0005-0000-0000-000033010000}"/>
    <cellStyle name="_Project Vie" xfId="3887" xr:uid="{00000000-0005-0000-0000-000034010000}"/>
    <cellStyle name="_ragu bridge with CAs" xfId="3888" xr:uid="{00000000-0005-0000-0000-000035010000}"/>
    <cellStyle name="_ragu bridge with GMVA" xfId="3889" xr:uid="{00000000-0005-0000-0000-000036010000}"/>
    <cellStyle name="_ragu bridge with GMVA v2" xfId="3890" xr:uid="{00000000-0005-0000-0000-000037010000}"/>
    <cellStyle name="_Ragu Volume build v2" xfId="3891" xr:uid="{00000000-0005-0000-0000-000038010000}"/>
    <cellStyle name="_Ragu Volume build v3" xfId="3892" xr:uid="{00000000-0005-0000-0000-000039010000}"/>
    <cellStyle name="_S1a FDMx Squeeze ED Buydown Jan'10 (SOP3) 2 26 10" xfId="3893" xr:uid="{00000000-0005-0000-0000-00003A010000}"/>
    <cellStyle name="_S1a FDMx Squeeze ED Buydown Jan'10 (SOP3) 3 2 10 (2) (version 1)" xfId="3894" xr:uid="{00000000-0005-0000-0000-00003B010000}"/>
    <cellStyle name="_Sauce Variance Analysis - SOP3 vs  OP v5" xfId="3895" xr:uid="{00000000-0005-0000-0000-00003C010000}"/>
    <cellStyle name="_SC Opps  Risks-Apr '09 vs  PR Frsct Final with GO GET" xfId="3896" xr:uid="{00000000-0005-0000-0000-00003D010000}"/>
    <cellStyle name="_SC Opps  Risks-Mar '09 vs  PR Frsct Finalv1" xfId="3897" xr:uid="{00000000-0005-0000-0000-00003E010000}"/>
    <cellStyle name="_SC Opps  Risks-Oct '08 vs  PR Frsct SOP10" xfId="3898" xr:uid="{00000000-0005-0000-0000-00003F010000}"/>
    <cellStyle name="_Share YTD YTG 9 17 09 (2)" xfId="3899" xr:uid="{00000000-0005-0000-0000-000040010000}"/>
    <cellStyle name="_Skippy 2006-2009 OP PL" xfId="3900" xr:uid="{00000000-0005-0000-0000-000041010000}"/>
    <cellStyle name="_Skippy SIA Update" xfId="3901" xr:uid="{00000000-0005-0000-0000-000042010000}"/>
    <cellStyle name="_Sop1_SC_Risk_OPs_1 7 10" xfId="3902" xr:uid="{00000000-0005-0000-0000-000043010000}"/>
    <cellStyle name="_Sop10_SC Opps  Risks vs  PR Frsct_10.6.09" xfId="3903" xr:uid="{00000000-0005-0000-0000-000044010000}"/>
    <cellStyle name="_SOP11 Dressings Consensus post BOT" xfId="3904" xr:uid="{00000000-0005-0000-0000-000045010000}"/>
    <cellStyle name="_SOP11 Sales Finance UPG USG UVG 11-10-10 230pm" xfId="3905" xr:uid="{00000000-0005-0000-0000-000046010000}"/>
    <cellStyle name="_SOP11 Sales Finance UPG USG UVG 11-5-10" xfId="3906" xr:uid="{00000000-0005-0000-0000-000047010000}"/>
    <cellStyle name="_Sop11 vs Sop9 price" xfId="3907" xr:uid="{00000000-0005-0000-0000-000048010000}"/>
    <cellStyle name="_SOP2 Brand Addendum v3" xfId="3908" xr:uid="{00000000-0005-0000-0000-000049010000}"/>
    <cellStyle name="_SOP2 Spoonables Mkt Share Triangulation" xfId="3909" xr:uid="{00000000-0005-0000-0000-00004A010000}"/>
    <cellStyle name="_SOP3 Sales Finance UPG UVG USG 3-17-10@5-25PM" xfId="3910" xr:uid="{00000000-0005-0000-0000-00004B010000}"/>
    <cellStyle name="_SOP4 2010 and 2011_4_15_10 Pre BLT" xfId="3911" xr:uid="{00000000-0005-0000-0000-00004C010000}"/>
    <cellStyle name="_SOP4 BT Targets" xfId="3912" xr:uid="{00000000-0005-0000-0000-00004D010000}"/>
    <cellStyle name="_SOP6 2009 &amp; 10 Val &amp; Vol Mkt Sh - 6.29.09" xfId="3913" xr:uid="{00000000-0005-0000-0000-00004E010000}"/>
    <cellStyle name="_SOP6 2009 &amp; 2010 Value &amp; Volume Market Share" xfId="3914" xr:uid="{00000000-0005-0000-0000-00004F010000}"/>
    <cellStyle name="_SOP6 2010 Dressings Innovation schedule (Post PDT CA)" xfId="3915" xr:uid="{00000000-0005-0000-0000-000050010000}"/>
    <cellStyle name="_SOP6 Consumpt summ Bertolli Frozen" xfId="3916" xr:uid="{00000000-0005-0000-0000-000051010000}"/>
    <cellStyle name="_SOP6 Consumpt summ CSS" xfId="3917" xr:uid="{00000000-0005-0000-0000-000052010000}"/>
    <cellStyle name="_SOP6 Consumpt summ CSS (2)" xfId="3918" xr:uid="{00000000-0005-0000-0000-000053010000}"/>
    <cellStyle name="_SOP6 Consumption CHILLED" xfId="3919" xr:uid="{00000000-0005-0000-0000-000054010000}"/>
    <cellStyle name="_SOP6 Sales Finance UPG UVG USG 6-18-10@10am" xfId="3920" xr:uid="{00000000-0005-0000-0000-000055010000}"/>
    <cellStyle name="_SOP6_Logistics_Risk_Ops_Template_FRT" xfId="3921" xr:uid="{00000000-0005-0000-0000-000056010000}"/>
    <cellStyle name="_Sop6_SC Opps  Risks-Jun '09 vs  PR Frsct_Live" xfId="3922" xr:uid="{00000000-0005-0000-0000-000057010000}"/>
    <cellStyle name="_SOP7_Logistics_Risk_Ops_Template_FRT V3 070610" xfId="3923" xr:uid="{00000000-0005-0000-0000-000058010000}"/>
    <cellStyle name="_Sop7_SC Opps  Risks-Jul '09 vs  PR Frsct_7.8.09" xfId="3924" xr:uid="{00000000-0005-0000-0000-000059010000}"/>
    <cellStyle name="_Sop7_SC Opps  Risks-Jul '09 vs  PR Frsct_Live" xfId="3925" xr:uid="{00000000-0005-0000-0000-00005A010000}"/>
    <cellStyle name="_SOP8_Logistics_Risk_Ops_Template_FRT  080110" xfId="3926" xr:uid="{00000000-0005-0000-0000-00005B010000}"/>
    <cellStyle name="_Sop8_SC Opps  Risks-Aug '09 vs  PR Frsct_8.6.09_222 pm" xfId="3927" xr:uid="{00000000-0005-0000-0000-00005C010000}"/>
    <cellStyle name="_SOP9 2010 - Bridge for 2011" xfId="3928" xr:uid="{00000000-0005-0000-0000-00005D010000}"/>
    <cellStyle name="_SOP9 2010 - Bridge for 2011 (2)" xfId="3929" xr:uid="{00000000-0005-0000-0000-00005E010000}"/>
    <cellStyle name="_SOP9 2010 2011 Consolidated Pricing Template" xfId="3930" xr:uid="{00000000-0005-0000-0000-00005F010000}"/>
    <cellStyle name="_SOP9 Market Share - Foods" xfId="3931" xr:uid="{00000000-0005-0000-0000-000060010000}"/>
    <cellStyle name="_SOP9 Market Share - Foods Submission" xfId="3932" xr:uid="{00000000-0005-0000-0000-000061010000}"/>
    <cellStyle name="_SOP9 Market Share - HPC" xfId="3933" xr:uid="{00000000-0005-0000-0000-000062010000}"/>
    <cellStyle name="_SOP9 Market Share - HPC Submission" xfId="3934" xr:uid="{00000000-0005-0000-0000-000063010000}"/>
    <cellStyle name="_SOP9 Sales Finance UPG UVG USG 9-15-10@6-30pm" xfId="3935" xr:uid="{00000000-0005-0000-0000-000064010000}"/>
    <cellStyle name="_Spoonable (HBF) vs SOP11" xfId="3936" xr:uid="{00000000-0005-0000-0000-000065010000}"/>
    <cellStyle name="_Spoonable GMVA Actuals Vs SOP1 2009" xfId="3937" xr:uid="{00000000-0005-0000-0000-000066010000}"/>
    <cellStyle name="_Spoonable GMVA Jul 2009" xfId="3938" xr:uid="{00000000-0005-0000-0000-000067010000}"/>
    <cellStyle name="_Spoonable GMVA SOP9" xfId="3939" xr:uid="{00000000-0005-0000-0000-000068010000}"/>
    <cellStyle name="_Spoonable v SOP10" xfId="3940" xr:uid="{00000000-0005-0000-0000-000069010000}"/>
    <cellStyle name="_Spoonable_sent to us 4.8.09" xfId="3941" xr:uid="{00000000-0005-0000-0000-00006A010000}"/>
    <cellStyle name="_SPOONABLES 10OP vs 09SOP10 FY Bridge Post BLT CA 11 20 09" xfId="3942" xr:uid="{00000000-0005-0000-0000-00006B010000}"/>
    <cellStyle name="_SPOONABLES 10OP vs 09SOP10 FY Bridge Post BOT CA 11 12 09 9.40am" xfId="3943" xr:uid="{00000000-0005-0000-0000-00006C010000}"/>
    <cellStyle name="_SPOONABLES 10OP vs 09SOP10 FY Bridge Post-PDT CA 12 10 09" xfId="3944" xr:uid="{00000000-0005-0000-0000-00006D010000}"/>
    <cellStyle name="_SPOONABLES 10OP vs 10SOP9 FY Bridge Post BLT CA 11 19 09" xfId="3945" xr:uid="{00000000-0005-0000-0000-00006E010000}"/>
    <cellStyle name="_SPOONABLES 10OP vs 10SOP9 FY Bridge Post BLT CA 11 20 09" xfId="3946" xr:uid="{00000000-0005-0000-0000-00006F010000}"/>
    <cellStyle name="_SPOONABLES 10OP vs 10SOP9 FY Bridge Post BOT CA 11 11 09" xfId="3947" xr:uid="{00000000-0005-0000-0000-000070010000}"/>
    <cellStyle name="_SPOONABLES 10OP vs 10SOP9 FY Bridge Post-PDT CA 12 10 09" xfId="3948" xr:uid="{00000000-0005-0000-0000-000071010000}"/>
    <cellStyle name="_SPOONABLES 10OP vs 10SOP9 FY Bridge Post-PDT CA 12 22 09" xfId="3949" xr:uid="{00000000-0005-0000-0000-000072010000}"/>
    <cellStyle name="_Spoonables 10SOP11 vs 10SOP9 Bridge (Post BLT)" xfId="3950" xr:uid="{00000000-0005-0000-0000-000073010000}"/>
    <cellStyle name="_Spoonables 10SOP2 Bridge (Pre BLT) 2.8.10" xfId="3951" xr:uid="{00000000-0005-0000-0000-000074010000}"/>
    <cellStyle name="_Spoonables 10SOP3 Bridge (Post PDT) 4.2.10" xfId="3952" xr:uid="{00000000-0005-0000-0000-000075010000}"/>
    <cellStyle name="_Spoonables 10SOP3 Bridge (Pre BLT) 3.5.10" xfId="3953" xr:uid="{00000000-0005-0000-0000-000076010000}"/>
    <cellStyle name="_Spoonables 10SOP3 Bridge (Pre BLT) 3.8.10" xfId="3954" xr:uid="{00000000-0005-0000-0000-000077010000}"/>
    <cellStyle name="_Spoonables 10SOP5 FY Bridge vs SOP3 (For BLT) 5.12.10" xfId="3955" xr:uid="{00000000-0005-0000-0000-000078010000}"/>
    <cellStyle name="_Spoonables 10SOP5 FY Bridge vs SOP3 (For BLT) 5.7.10_v2" xfId="3956" xr:uid="{00000000-0005-0000-0000-000079010000}"/>
    <cellStyle name="_Spoonables 10SOP5 Q2 Bridge vs SOP4 (For BLT) 5.12.10" xfId="3957" xr:uid="{00000000-0005-0000-0000-00007A010000}"/>
    <cellStyle name="_Spoonables 10SOP5 Q2 Bridge vs SOP4 (For BLT) 5.7.10_v2" xfId="3958" xr:uid="{00000000-0005-0000-0000-00007B010000}"/>
    <cellStyle name="_Spoonables 10SOP6 Bridge (Post BLT CAs) 6.17.10" xfId="3959" xr:uid="{00000000-0005-0000-0000-00007C010000}"/>
    <cellStyle name="_Spoonables 10SOP6 Bridge (Post BLT CAs) 6.17.10 v2" xfId="3960" xr:uid="{00000000-0005-0000-0000-00007D010000}"/>
    <cellStyle name="_Spoonables 10SOP6 Bridge (Post PDT CAs) 6.30.10" xfId="3961" xr:uid="{00000000-0005-0000-0000-00007E010000}"/>
    <cellStyle name="_Spoonables 10SOP6 Bridge (Pre BLT) 6.8.10" xfId="3962" xr:uid="{00000000-0005-0000-0000-00007F010000}"/>
    <cellStyle name="_Spoonables 10SOP9 vs 10SOP6 Bridge (Post BLT CA) 9.15.10" xfId="3963" xr:uid="{00000000-0005-0000-0000-000080010000}"/>
    <cellStyle name="_Spoonables 2011 OP BT Load Templates v2" xfId="3964" xr:uid="{00000000-0005-0000-0000-000081010000}"/>
    <cellStyle name="_Spoonables 2011 OP HIGH level bridges" xfId="3965" xr:uid="{00000000-0005-0000-0000-000082010000}"/>
    <cellStyle name="_Spoonables 2011 OP HIGH level bridges dmr edits" xfId="3966" xr:uid="{00000000-0005-0000-0000-000083010000}"/>
    <cellStyle name="_Spoonables 2011 OP HIGH level post BLT 11.24.10v2" xfId="3967" xr:uid="{00000000-0005-0000-0000-000084010000}"/>
    <cellStyle name="_Spoonables 2011 OP Vol Load 5.2% pricing 11 19 10" xfId="3968" xr:uid="{00000000-0005-0000-0000-000085010000}"/>
    <cellStyle name="_Spoonables 2011 OP Vol Plansop2 Load (For BOT) 11 5 10" xfId="3969" xr:uid="{00000000-0005-0000-0000-000086010000}"/>
    <cellStyle name="_Spoonables 2011 SOP3 BT Load Templates 3 17 10 (Post BLT) v2" xfId="3970" xr:uid="{00000000-0005-0000-0000-000087010000}"/>
    <cellStyle name="_Spoonables 2011 SOP3 BT Load Templates 3 26 10 (Post PDT)" xfId="3971" xr:uid="{00000000-0005-0000-0000-000088010000}"/>
    <cellStyle name="_Spoonables 2011 SOP3 BT Load Templates 3 8 10 (Pre BLT)" xfId="3972" xr:uid="{00000000-0005-0000-0000-000089010000}"/>
    <cellStyle name="_Spoonables 2011 SOP3 BT Load Templates 3 9 10 (Pre BLT)" xfId="3973" xr:uid="{00000000-0005-0000-0000-00008A010000}"/>
    <cellStyle name="_Spoonables 2011 SOP6 BT Load Templates (Post BLT CA) 6.17.10" xfId="3974" xr:uid="{00000000-0005-0000-0000-00008B010000}"/>
    <cellStyle name="_Spoonables 2011 SOP6 BT Load Templates (Post BLT CA) 6.18.10" xfId="3975" xr:uid="{00000000-0005-0000-0000-00008C010000}"/>
    <cellStyle name="_Spoonables 2011 SOP6 BT Load Templates (Post PDT CA) 6.29.10" xfId="3976" xr:uid="{00000000-0005-0000-0000-00008D010000}"/>
    <cellStyle name="_Spoonables 2011 SOP6 BT Load Templates (Trade Cut - For BLT)  6.8.10" xfId="3977" xr:uid="{00000000-0005-0000-0000-00008E010000}"/>
    <cellStyle name="_Spoonables 2011 SOP6 BT Load Templates 5 21 10 (Round1)" xfId="3978" xr:uid="{00000000-0005-0000-0000-00008F010000}"/>
    <cellStyle name="_Spoonables 2011 SOP6 v SOP3 BT Load Template (For BLT)" xfId="3979" xr:uid="{00000000-0005-0000-0000-000090010000}"/>
    <cellStyle name="_Spoonables 2011 SOP9 BT Load Templates (For BLT) 9.10.10" xfId="3980" xr:uid="{00000000-0005-0000-0000-000091010000}"/>
    <cellStyle name="_Spoonables 2011 SOP9 BT Load Templates (Post BLT) 9.16.10" xfId="3981" xr:uid="{00000000-0005-0000-0000-000092010000}"/>
    <cellStyle name="_Spoonables 2011 SOP9 BT Load Templates (Post PDT) 9.24.10" xfId="3982" xr:uid="{00000000-0005-0000-0000-000093010000}"/>
    <cellStyle name="_Spoonables 2011 Trade Cut Model (-30mm EXCL BONUS LOWER ELAST) FOR BOT 11 17 10" xfId="3983" xr:uid="{00000000-0005-0000-0000-000094010000}"/>
    <cellStyle name="_Spoonables 2011 Trade Cut Model (-30mm EXCL BONUS) FOR BOT 11 17 10" xfId="3984" xr:uid="{00000000-0005-0000-0000-000095010000}"/>
    <cellStyle name="_Spoonables 2011 Trade Cut Model (-30mm) FOR BOT 11 9 10" xfId="3985" xr:uid="{00000000-0005-0000-0000-000096010000}"/>
    <cellStyle name="_Spoonables Category and Share Call 2009 SOP5" xfId="3986" xr:uid="{00000000-0005-0000-0000-000097010000}"/>
    <cellStyle name="_Spoonables GMVA SOP8" xfId="3987" xr:uid="{00000000-0005-0000-0000-000098010000}"/>
    <cellStyle name="_Spoonables GMVA v SOP6 Prelim" xfId="3988" xr:uid="{00000000-0005-0000-0000-000099010000}"/>
    <cellStyle name="_Spoonables SHIPPER MOD 2011 OP Mix (RESET FOR PRICING) 11.12.10" xfId="3989" xr:uid="{00000000-0005-0000-0000-00009A010000}"/>
    <cellStyle name="_Spoonables SKU Profitability FY 2009 OP FINAL_ 2 20 09" xfId="3990" xr:uid="{00000000-0005-0000-0000-00009B010000}"/>
    <cellStyle name="_Spoonables v SOP12" xfId="3991" xr:uid="{00000000-0005-0000-0000-00009C010000}"/>
    <cellStyle name="_Spreads 2009 SOP10 Bridges" xfId="3992" xr:uid="{00000000-0005-0000-0000-00009D010000}"/>
    <cellStyle name="_Spreads 2009 SOP10 Bridges - Post BLT" xfId="3993" xr:uid="{00000000-0005-0000-0000-00009E010000}"/>
    <cellStyle name="_Spreads 2009 SOP9 Bridges" xfId="3994" xr:uid="{00000000-0005-0000-0000-00009F010000}"/>
    <cellStyle name="_Spreads 2009 SOP9 Bridges_POST BLT" xfId="3995" xr:uid="{00000000-0005-0000-0000-0000A0010000}"/>
    <cellStyle name="_Spreads Monthly BT Review Deck SOP6" xfId="3996" xr:uid="{00000000-0005-0000-0000-0000A1010000}"/>
    <cellStyle name="_Spreads share S&amp;OP7 Category Prep (7-16-09)_post CA" xfId="3997" xr:uid="{00000000-0005-0000-0000-0000A2010000}"/>
    <cellStyle name="_Spreads share S&amp;OP7 Category Prep (7-9-09)" xfId="3998" xr:uid="{00000000-0005-0000-0000-0000A3010000}"/>
    <cellStyle name="_SubHeading" xfId="3999" xr:uid="{00000000-0005-0000-0000-0000A4010000}"/>
    <cellStyle name="_SubHeading_Sunny D model (CapEx v5)" xfId="4000" xr:uid="{00000000-0005-0000-0000-0000A5010000}"/>
    <cellStyle name="_Table" xfId="4001" xr:uid="{00000000-0005-0000-0000-0000A6010000}"/>
    <cellStyle name="_Table_Sunny D model (CapEx v5)" xfId="4002" xr:uid="{00000000-0005-0000-0000-0000A7010000}"/>
    <cellStyle name="_TableHead" xfId="4003" xr:uid="{00000000-0005-0000-0000-0000A8010000}"/>
    <cellStyle name="_TableHead_Sunny D model (CapEx v5)" xfId="4004" xr:uid="{00000000-0005-0000-0000-0000A9010000}"/>
    <cellStyle name="_TableRowHead" xfId="4005" xr:uid="{00000000-0005-0000-0000-0000AA010000}"/>
    <cellStyle name="_TableRowHead_Sunny D model (CapEx v5)" xfId="4006" xr:uid="{00000000-0005-0000-0000-0000AB010000}"/>
    <cellStyle name="_TableSuperHead" xfId="4007" xr:uid="{00000000-0005-0000-0000-0000AC010000}"/>
    <cellStyle name="_TableSuperHead_Sunny D model (CapEx v5)" xfId="4008" xr:uid="{00000000-0005-0000-0000-0000AD010000}"/>
    <cellStyle name="_Tb 20 Submitted" xfId="4009" xr:uid="{00000000-0005-0000-0000-0000AE010000}"/>
    <cellStyle name="_Tb 20 Submitted_2008 AP vs Actuals (ULUS ex IC)" xfId="4010" xr:uid="{00000000-0005-0000-0000-0000AF010000}"/>
    <cellStyle name="_Tb 20 Submitted_2008 Innovation schedule 01-04-08" xfId="4011" xr:uid="{00000000-0005-0000-0000-0000B0010000}"/>
    <cellStyle name="_Tb 20 Submitted_Oct_2009_2010 Category Detail" xfId="4012" xr:uid="{00000000-0005-0000-0000-0000B1010000}"/>
    <cellStyle name="_Tb 20 Submitted_SOP4 BT Targets" xfId="4013" xr:uid="{00000000-0005-0000-0000-0000B2010000}"/>
    <cellStyle name="_Tb 20 Submitted_Unilever US Financial Summary Portfolio View" xfId="4014" xr:uid="{00000000-0005-0000-0000-0000B3010000}"/>
    <cellStyle name="_tb1" xfId="4015" xr:uid="{00000000-0005-0000-0000-0000B4010000}"/>
    <cellStyle name="_tb1_2008 AP vs Actuals (ULUS ex IC)" xfId="4016" xr:uid="{00000000-0005-0000-0000-0000B5010000}"/>
    <cellStyle name="_tb1_2008 Innovation schedule 01-04-08" xfId="4017" xr:uid="{00000000-0005-0000-0000-0000B6010000}"/>
    <cellStyle name="_tb1_Oct_2009_2010 Category Detail" xfId="4018" xr:uid="{00000000-0005-0000-0000-0000B7010000}"/>
    <cellStyle name="_tb1_SOP4 BT Targets" xfId="4019" xr:uid="{00000000-0005-0000-0000-0000B8010000}"/>
    <cellStyle name="_tb1_Unilever US Financial Summary Portfolio View" xfId="4020" xr:uid="{00000000-0005-0000-0000-0000B9010000}"/>
    <cellStyle name="_tb10" xfId="4021" xr:uid="{00000000-0005-0000-0000-0000BA010000}"/>
    <cellStyle name="_tb10_2008 AP vs Actuals (ULUS ex IC)" xfId="4022" xr:uid="{00000000-0005-0000-0000-0000BB010000}"/>
    <cellStyle name="_tb10_2008 Innovation schedule 01-04-08" xfId="4023" xr:uid="{00000000-0005-0000-0000-0000BC010000}"/>
    <cellStyle name="_tb10_Oct_2009_2010 Category Detail" xfId="4024" xr:uid="{00000000-0005-0000-0000-0000BD010000}"/>
    <cellStyle name="_tb10_SOP4 BT Targets" xfId="4025" xr:uid="{00000000-0005-0000-0000-0000BE010000}"/>
    <cellStyle name="_tb10_Unilever US Financial Summary Portfolio View" xfId="4026" xr:uid="{00000000-0005-0000-0000-0000BF010000}"/>
    <cellStyle name="_tb15" xfId="4027" xr:uid="{00000000-0005-0000-0000-0000C0010000}"/>
    <cellStyle name="_tb15_2008 AP vs Actuals (ULUS ex IC)" xfId="4028" xr:uid="{00000000-0005-0000-0000-0000C1010000}"/>
    <cellStyle name="_tb15_2008 Innovation schedule 01-04-08" xfId="4029" xr:uid="{00000000-0005-0000-0000-0000C2010000}"/>
    <cellStyle name="_tb15_Oct_2009_2010 Category Detail" xfId="4030" xr:uid="{00000000-0005-0000-0000-0000C3010000}"/>
    <cellStyle name="_tb15_SOP4 BT Targets" xfId="4031" xr:uid="{00000000-0005-0000-0000-0000C4010000}"/>
    <cellStyle name="_tb15_Unilever US Financial Summary Portfolio View" xfId="4032" xr:uid="{00000000-0005-0000-0000-0000C5010000}"/>
    <cellStyle name="_tb17" xfId="4033" xr:uid="{00000000-0005-0000-0000-0000C6010000}"/>
    <cellStyle name="_tb17_2008 AP vs Actuals (ULUS ex IC)" xfId="4034" xr:uid="{00000000-0005-0000-0000-0000C7010000}"/>
    <cellStyle name="_tb17_2008 Innovation schedule 01-04-08" xfId="4035" xr:uid="{00000000-0005-0000-0000-0000C8010000}"/>
    <cellStyle name="_tb17_Oct_2009_2010 Category Detail" xfId="4036" xr:uid="{00000000-0005-0000-0000-0000C9010000}"/>
    <cellStyle name="_tb17_SOP4 BT Targets" xfId="4037" xr:uid="{00000000-0005-0000-0000-0000CA010000}"/>
    <cellStyle name="_tb17_Unilever US Financial Summary Portfolio View" xfId="4038" xr:uid="{00000000-0005-0000-0000-0000CB010000}"/>
    <cellStyle name="_tb4" xfId="4039" xr:uid="{00000000-0005-0000-0000-0000CC010000}"/>
    <cellStyle name="_tb4_2008 AP vs Actuals (ULUS ex IC)" xfId="4040" xr:uid="{00000000-0005-0000-0000-0000CD010000}"/>
    <cellStyle name="_tb4_2008 Innovation schedule 01-04-08" xfId="4041" xr:uid="{00000000-0005-0000-0000-0000CE010000}"/>
    <cellStyle name="_tb4_Oct_2009_2010 Category Detail" xfId="4042" xr:uid="{00000000-0005-0000-0000-0000CF010000}"/>
    <cellStyle name="_tb4_SOP4 BT Targets" xfId="4043" xr:uid="{00000000-0005-0000-0000-0000D0010000}"/>
    <cellStyle name="_tb4_Unilever US Financial Summary Portfolio View" xfId="4044" xr:uid="{00000000-0005-0000-0000-0000D1010000}"/>
    <cellStyle name="_tb9" xfId="4045" xr:uid="{00000000-0005-0000-0000-0000D2010000}"/>
    <cellStyle name="_tb9_2008 AP vs Actuals (ULUS ex IC)" xfId="4046" xr:uid="{00000000-0005-0000-0000-0000D3010000}"/>
    <cellStyle name="_tb9_2008 Innovation schedule 01-04-08" xfId="4047" xr:uid="{00000000-0005-0000-0000-0000D4010000}"/>
    <cellStyle name="_tb9_Oct_2009_2010 Category Detail" xfId="4048" xr:uid="{00000000-0005-0000-0000-0000D5010000}"/>
    <cellStyle name="_tb9_SOP4 BT Targets" xfId="4049" xr:uid="{00000000-0005-0000-0000-0000D6010000}"/>
    <cellStyle name="_tb9_Unilever US Financial Summary Portfolio View" xfId="4050" xr:uid="{00000000-0005-0000-0000-0000D7010000}"/>
    <cellStyle name="_Unilever US Financial Summary Portfolio View" xfId="4051" xr:uid="{00000000-0005-0000-0000-0000D8010000}"/>
    <cellStyle name="_Updated Bridge Template" xfId="4052" xr:uid="{00000000-0005-0000-0000-0000D9010000}"/>
    <cellStyle name="_UPG_UVG_Market Share" xfId="4053" xr:uid="{00000000-0005-0000-0000-0000DA010000}"/>
    <cellStyle name="_US Indirects 8 Qtr RF Dec 2008" xfId="4054" xr:uid="{00000000-0005-0000-0000-0000DB010000}"/>
    <cellStyle name="_USA" xfId="4055" xr:uid="{00000000-0005-0000-0000-0000DC010000}"/>
    <cellStyle name="_USIC 2010 SOP3 BT Templates " xfId="4056" xr:uid="{00000000-0005-0000-0000-0000DD010000}"/>
    <cellStyle name="_USIC BT Template 2009 SOP2 v6" xfId="4057" xr:uid="{00000000-0005-0000-0000-0000DE010000}"/>
    <cellStyle name="_USIC BT Template 2009-2010 SOP6 - Jun1 09" xfId="4058" xr:uid="{00000000-0005-0000-0000-0000DF010000}"/>
    <cellStyle name="_Vol Mix Reconciliation - SOP4" xfId="4059" xr:uid="{00000000-0005-0000-0000-0000E0010000}"/>
    <cellStyle name="_Vol Mix Reconciliation - SOP4 Q2" xfId="4060" xr:uid="{00000000-0005-0000-0000-0000E1010000}"/>
    <cellStyle name="_Vol Mix Reconciliation - SOP6" xfId="4061" xr:uid="{00000000-0005-0000-0000-0000E2010000}"/>
    <cellStyle name="_Vol Mix Reconciliation - SOP6 Q3" xfId="4062" xr:uid="{00000000-0005-0000-0000-0000E3010000}"/>
    <cellStyle name="_Vol Mix Reconciliation - SOP7" xfId="4063" xr:uid="{00000000-0005-0000-0000-0000E4010000}"/>
    <cellStyle name="_Wal Mart Q1 Promo Recap - Campbells" xfId="4064" xr:uid="{00000000-0005-0000-0000-0000E5010000}"/>
    <cellStyle name="_WB_2011 SOP3_For BLT_3.9.10_v1" xfId="4065" xr:uid="{00000000-0005-0000-0000-0000E6010000}"/>
    <cellStyle name="_Wishbone GMVA vs SOP5" xfId="4066" xr:uid="{00000000-0005-0000-0000-0000E7010000}"/>
    <cellStyle name="0" xfId="4067" xr:uid="{00000000-0005-0000-0000-0000E8010000}"/>
    <cellStyle name="20% - Accent1" xfId="112" builtinId="30" customBuiltin="1"/>
    <cellStyle name="20% - Accent1 2" xfId="4" xr:uid="{00000000-0005-0000-0000-0000EA010000}"/>
    <cellStyle name="20% - Accent1 2 2" xfId="161" xr:uid="{00000000-0005-0000-0000-0000EB010000}"/>
    <cellStyle name="20% - Accent1 2 2 2" xfId="3553" xr:uid="{00000000-0005-0000-0000-0000EC010000}"/>
    <cellStyle name="20% - Accent1 2 2 2 2" xfId="4803" xr:uid="{00000000-0005-0000-0000-0000ED010000}"/>
    <cellStyle name="20% - Accent1 2 2 2 2 2" xfId="4844" xr:uid="{00000000-0005-0000-0000-0000EE010000}"/>
    <cellStyle name="20% - Accent1 2 2 2 3" xfId="4873" xr:uid="{00000000-0005-0000-0000-0000EF010000}"/>
    <cellStyle name="20% - Accent1 2 2 2 4" xfId="4709" xr:uid="{00000000-0005-0000-0000-0000F0010000}"/>
    <cellStyle name="20% - Accent1 2 2 3" xfId="4757" xr:uid="{00000000-0005-0000-0000-0000F1010000}"/>
    <cellStyle name="20% - Accent1 2 2 3 2" xfId="4680" xr:uid="{00000000-0005-0000-0000-0000F2010000}"/>
    <cellStyle name="20% - Accent1 2 2 4" xfId="4926" xr:uid="{00000000-0005-0000-0000-0000F3010000}"/>
    <cellStyle name="20% - Accent1 2 3" xfId="142" xr:uid="{00000000-0005-0000-0000-0000F4010000}"/>
    <cellStyle name="20% - Accent1 2 3 2" xfId="4832" xr:uid="{00000000-0005-0000-0000-0000F5010000}"/>
    <cellStyle name="20% - Accent1 2 4" xfId="4755" xr:uid="{00000000-0005-0000-0000-0000F6010000}"/>
    <cellStyle name="20% - Accent1 2 5" xfId="4673" xr:uid="{00000000-0005-0000-0000-0000F7010000}"/>
    <cellStyle name="20% - Accent1 2 6" xfId="5000" xr:uid="{00000000-0005-0000-0000-0000F8010000}"/>
    <cellStyle name="20% - Accent1 3" xfId="5" xr:uid="{00000000-0005-0000-0000-0000F9010000}"/>
    <cellStyle name="20% - Accent1 4" xfId="6" xr:uid="{00000000-0005-0000-0000-0000FA010000}"/>
    <cellStyle name="20% - Accent1 5" xfId="7" xr:uid="{00000000-0005-0000-0000-0000FB010000}"/>
    <cellStyle name="20% - Accent1 6" xfId="8" xr:uid="{00000000-0005-0000-0000-0000FC010000}"/>
    <cellStyle name="20% - Accent1 7" xfId="4963" xr:uid="{00000000-0005-0000-0000-0000FD010000}"/>
    <cellStyle name="20% - Accent2" xfId="116" builtinId="34" customBuiltin="1"/>
    <cellStyle name="20% - Accent2 2" xfId="9" xr:uid="{00000000-0005-0000-0000-0000FF010000}"/>
    <cellStyle name="20% - Accent2 2 2" xfId="162" xr:uid="{00000000-0005-0000-0000-000000020000}"/>
    <cellStyle name="20% - Accent2 2 2 2" xfId="3554" xr:uid="{00000000-0005-0000-0000-000001020000}"/>
    <cellStyle name="20% - Accent2 2 2 2 2" xfId="4802" xr:uid="{00000000-0005-0000-0000-000002020000}"/>
    <cellStyle name="20% - Accent2 2 2 2 2 2" xfId="4845" xr:uid="{00000000-0005-0000-0000-000003020000}"/>
    <cellStyle name="20% - Accent2 2 2 2 3" xfId="4874" xr:uid="{00000000-0005-0000-0000-000004020000}"/>
    <cellStyle name="20% - Accent2 2 2 2 4" xfId="4708" xr:uid="{00000000-0005-0000-0000-000005020000}"/>
    <cellStyle name="20% - Accent2 2 2 3" xfId="4758" xr:uid="{00000000-0005-0000-0000-000006020000}"/>
    <cellStyle name="20% - Accent2 2 2 3 2" xfId="4681" xr:uid="{00000000-0005-0000-0000-000007020000}"/>
    <cellStyle name="20% - Accent2 2 2 4" xfId="4925" xr:uid="{00000000-0005-0000-0000-000008020000}"/>
    <cellStyle name="20% - Accent2 2 3" xfId="3573" xr:uid="{00000000-0005-0000-0000-000009020000}"/>
    <cellStyle name="20% - Accent2 2 3 2" xfId="4831" xr:uid="{00000000-0005-0000-0000-00000A020000}"/>
    <cellStyle name="20% - Accent2 2 4" xfId="4754" xr:uid="{00000000-0005-0000-0000-00000B020000}"/>
    <cellStyle name="20% - Accent2 2 5" xfId="4953" xr:uid="{00000000-0005-0000-0000-00000C020000}"/>
    <cellStyle name="20% - Accent2 2 6" xfId="5001" xr:uid="{00000000-0005-0000-0000-00000D020000}"/>
    <cellStyle name="20% - Accent2 3" xfId="10" xr:uid="{00000000-0005-0000-0000-00000E020000}"/>
    <cellStyle name="20% - Accent2 4" xfId="11" xr:uid="{00000000-0005-0000-0000-00000F020000}"/>
    <cellStyle name="20% - Accent2 5" xfId="12" xr:uid="{00000000-0005-0000-0000-000010020000}"/>
    <cellStyle name="20% - Accent2 6" xfId="13" xr:uid="{00000000-0005-0000-0000-000011020000}"/>
    <cellStyle name="20% - Accent2 7" xfId="4965" xr:uid="{00000000-0005-0000-0000-000012020000}"/>
    <cellStyle name="20% - Accent3" xfId="120" builtinId="38" customBuiltin="1"/>
    <cellStyle name="20% - Accent3 2" xfId="14" xr:uid="{00000000-0005-0000-0000-000014020000}"/>
    <cellStyle name="20% - Accent3 2 2" xfId="163" xr:uid="{00000000-0005-0000-0000-000015020000}"/>
    <cellStyle name="20% - Accent3 2 2 2" xfId="3555" xr:uid="{00000000-0005-0000-0000-000016020000}"/>
    <cellStyle name="20% - Accent3 2 2 2 2" xfId="4801" xr:uid="{00000000-0005-0000-0000-000017020000}"/>
    <cellStyle name="20% - Accent3 2 2 2 2 2" xfId="4846" xr:uid="{00000000-0005-0000-0000-000018020000}"/>
    <cellStyle name="20% - Accent3 2 2 2 3" xfId="4875" xr:uid="{00000000-0005-0000-0000-000019020000}"/>
    <cellStyle name="20% - Accent3 2 2 2 4" xfId="4707" xr:uid="{00000000-0005-0000-0000-00001A020000}"/>
    <cellStyle name="20% - Accent3 2 2 3" xfId="4759" xr:uid="{00000000-0005-0000-0000-00001B020000}"/>
    <cellStyle name="20% - Accent3 2 2 3 2" xfId="4682" xr:uid="{00000000-0005-0000-0000-00001C020000}"/>
    <cellStyle name="20% - Accent3 2 2 4" xfId="4924" xr:uid="{00000000-0005-0000-0000-00001D020000}"/>
    <cellStyle name="20% - Accent3 2 3" xfId="3572" xr:uid="{00000000-0005-0000-0000-00001E020000}"/>
    <cellStyle name="20% - Accent3 2 3 2" xfId="4830" xr:uid="{00000000-0005-0000-0000-00001F020000}"/>
    <cellStyle name="20% - Accent3 2 4" xfId="4753" xr:uid="{00000000-0005-0000-0000-000020020000}"/>
    <cellStyle name="20% - Accent3 2 5" xfId="4952" xr:uid="{00000000-0005-0000-0000-000021020000}"/>
    <cellStyle name="20% - Accent3 2 6" xfId="5002" xr:uid="{00000000-0005-0000-0000-000022020000}"/>
    <cellStyle name="20% - Accent3 3" xfId="15" xr:uid="{00000000-0005-0000-0000-000023020000}"/>
    <cellStyle name="20% - Accent3 4" xfId="16" xr:uid="{00000000-0005-0000-0000-000024020000}"/>
    <cellStyle name="20% - Accent3 5" xfId="17" xr:uid="{00000000-0005-0000-0000-000025020000}"/>
    <cellStyle name="20% - Accent3 6" xfId="18" xr:uid="{00000000-0005-0000-0000-000026020000}"/>
    <cellStyle name="20% - Accent3 7" xfId="4967" xr:uid="{00000000-0005-0000-0000-000027020000}"/>
    <cellStyle name="20% - Accent4" xfId="124" builtinId="42" customBuiltin="1"/>
    <cellStyle name="20% - Accent4 2" xfId="19" xr:uid="{00000000-0005-0000-0000-000029020000}"/>
    <cellStyle name="20% - Accent4 2 2" xfId="164" xr:uid="{00000000-0005-0000-0000-00002A020000}"/>
    <cellStyle name="20% - Accent4 2 2 2" xfId="3556" xr:uid="{00000000-0005-0000-0000-00002B020000}"/>
    <cellStyle name="20% - Accent4 2 2 2 2" xfId="4800" xr:uid="{00000000-0005-0000-0000-00002C020000}"/>
    <cellStyle name="20% - Accent4 2 2 2 2 2" xfId="4847" xr:uid="{00000000-0005-0000-0000-00002D020000}"/>
    <cellStyle name="20% - Accent4 2 2 2 3" xfId="4876" xr:uid="{00000000-0005-0000-0000-00002E020000}"/>
    <cellStyle name="20% - Accent4 2 2 2 4" xfId="4706" xr:uid="{00000000-0005-0000-0000-00002F020000}"/>
    <cellStyle name="20% - Accent4 2 2 3" xfId="4760" xr:uid="{00000000-0005-0000-0000-000030020000}"/>
    <cellStyle name="20% - Accent4 2 2 3 2" xfId="4683" xr:uid="{00000000-0005-0000-0000-000031020000}"/>
    <cellStyle name="20% - Accent4 2 2 4" xfId="4923" xr:uid="{00000000-0005-0000-0000-000032020000}"/>
    <cellStyle name="20% - Accent4 2 3" xfId="3571" xr:uid="{00000000-0005-0000-0000-000033020000}"/>
    <cellStyle name="20% - Accent4 2 3 2" xfId="4829" xr:uid="{00000000-0005-0000-0000-000034020000}"/>
    <cellStyle name="20% - Accent4 2 4" xfId="4752" xr:uid="{00000000-0005-0000-0000-000035020000}"/>
    <cellStyle name="20% - Accent4 2 5" xfId="4951" xr:uid="{00000000-0005-0000-0000-000036020000}"/>
    <cellStyle name="20% - Accent4 2 6" xfId="5003" xr:uid="{00000000-0005-0000-0000-000037020000}"/>
    <cellStyle name="20% - Accent4 3" xfId="20" xr:uid="{00000000-0005-0000-0000-000038020000}"/>
    <cellStyle name="20% - Accent4 4" xfId="21" xr:uid="{00000000-0005-0000-0000-000039020000}"/>
    <cellStyle name="20% - Accent4 5" xfId="22" xr:uid="{00000000-0005-0000-0000-00003A020000}"/>
    <cellStyle name="20% - Accent4 6" xfId="23" xr:uid="{00000000-0005-0000-0000-00003B020000}"/>
    <cellStyle name="20% - Accent4 7" xfId="4969" xr:uid="{00000000-0005-0000-0000-00003C020000}"/>
    <cellStyle name="20% - Accent5" xfId="128" builtinId="46" customBuiltin="1"/>
    <cellStyle name="20% - Accent5 2" xfId="24" xr:uid="{00000000-0005-0000-0000-00003E020000}"/>
    <cellStyle name="20% - Accent5 2 2" xfId="165" xr:uid="{00000000-0005-0000-0000-00003F020000}"/>
    <cellStyle name="20% - Accent5 2 2 2" xfId="3557" xr:uid="{00000000-0005-0000-0000-000040020000}"/>
    <cellStyle name="20% - Accent5 2 2 2 2" xfId="4799" xr:uid="{00000000-0005-0000-0000-000041020000}"/>
    <cellStyle name="20% - Accent5 2 2 2 2 2" xfId="4848" xr:uid="{00000000-0005-0000-0000-000042020000}"/>
    <cellStyle name="20% - Accent5 2 2 2 3" xfId="4877" xr:uid="{00000000-0005-0000-0000-000043020000}"/>
    <cellStyle name="20% - Accent5 2 2 2 4" xfId="4705" xr:uid="{00000000-0005-0000-0000-000044020000}"/>
    <cellStyle name="20% - Accent5 2 2 3" xfId="4761" xr:uid="{00000000-0005-0000-0000-000045020000}"/>
    <cellStyle name="20% - Accent5 2 2 3 2" xfId="4684" xr:uid="{00000000-0005-0000-0000-000046020000}"/>
    <cellStyle name="20% - Accent5 2 2 4" xfId="4922" xr:uid="{00000000-0005-0000-0000-000047020000}"/>
    <cellStyle name="20% - Accent5 2 3" xfId="3570" xr:uid="{00000000-0005-0000-0000-000048020000}"/>
    <cellStyle name="20% - Accent5 2 3 2" xfId="4828" xr:uid="{00000000-0005-0000-0000-000049020000}"/>
    <cellStyle name="20% - Accent5 2 4" xfId="4751" xr:uid="{00000000-0005-0000-0000-00004A020000}"/>
    <cellStyle name="20% - Accent5 2 5" xfId="4950" xr:uid="{00000000-0005-0000-0000-00004B020000}"/>
    <cellStyle name="20% - Accent5 2 6" xfId="5004" xr:uid="{00000000-0005-0000-0000-00004C020000}"/>
    <cellStyle name="20% - Accent5 3" xfId="25" xr:uid="{00000000-0005-0000-0000-00004D020000}"/>
    <cellStyle name="20% - Accent5 4" xfId="26" xr:uid="{00000000-0005-0000-0000-00004E020000}"/>
    <cellStyle name="20% - Accent5 5" xfId="27" xr:uid="{00000000-0005-0000-0000-00004F020000}"/>
    <cellStyle name="20% - Accent5 6" xfId="28" xr:uid="{00000000-0005-0000-0000-000050020000}"/>
    <cellStyle name="20% - Accent5 7" xfId="4971" xr:uid="{00000000-0005-0000-0000-000051020000}"/>
    <cellStyle name="20% - Accent6" xfId="132" builtinId="50" customBuiltin="1"/>
    <cellStyle name="20% - Accent6 2" xfId="29" xr:uid="{00000000-0005-0000-0000-000053020000}"/>
    <cellStyle name="20% - Accent6 2 2" xfId="166" xr:uid="{00000000-0005-0000-0000-000054020000}"/>
    <cellStyle name="20% - Accent6 2 2 2" xfId="3558" xr:uid="{00000000-0005-0000-0000-000055020000}"/>
    <cellStyle name="20% - Accent6 2 2 2 2" xfId="4798" xr:uid="{00000000-0005-0000-0000-000056020000}"/>
    <cellStyle name="20% - Accent6 2 2 2 2 2" xfId="4849" xr:uid="{00000000-0005-0000-0000-000057020000}"/>
    <cellStyle name="20% - Accent6 2 2 2 3" xfId="4878" xr:uid="{00000000-0005-0000-0000-000058020000}"/>
    <cellStyle name="20% - Accent6 2 2 2 4" xfId="4704" xr:uid="{00000000-0005-0000-0000-000059020000}"/>
    <cellStyle name="20% - Accent6 2 2 3" xfId="4762" xr:uid="{00000000-0005-0000-0000-00005A020000}"/>
    <cellStyle name="20% - Accent6 2 2 3 2" xfId="4685" xr:uid="{00000000-0005-0000-0000-00005B020000}"/>
    <cellStyle name="20% - Accent6 2 2 4" xfId="4921" xr:uid="{00000000-0005-0000-0000-00005C020000}"/>
    <cellStyle name="20% - Accent6 2 3" xfId="148" xr:uid="{00000000-0005-0000-0000-00005D020000}"/>
    <cellStyle name="20% - Accent6 2 3 2" xfId="4827" xr:uid="{00000000-0005-0000-0000-00005E020000}"/>
    <cellStyle name="20% - Accent6 2 4" xfId="4750" xr:uid="{00000000-0005-0000-0000-00005F020000}"/>
    <cellStyle name="20% - Accent6 2 5" xfId="4949" xr:uid="{00000000-0005-0000-0000-000060020000}"/>
    <cellStyle name="20% - Accent6 2 6" xfId="5005" xr:uid="{00000000-0005-0000-0000-000061020000}"/>
    <cellStyle name="20% - Accent6 3" xfId="30" xr:uid="{00000000-0005-0000-0000-000062020000}"/>
    <cellStyle name="20% - Accent6 4" xfId="31" xr:uid="{00000000-0005-0000-0000-000063020000}"/>
    <cellStyle name="20% - Accent6 5" xfId="32" xr:uid="{00000000-0005-0000-0000-000064020000}"/>
    <cellStyle name="20% - Accent6 6" xfId="33" xr:uid="{00000000-0005-0000-0000-000065020000}"/>
    <cellStyle name="20% - Accent6 7" xfId="4973" xr:uid="{00000000-0005-0000-0000-000066020000}"/>
    <cellStyle name="40% - Accent1" xfId="113" builtinId="31" customBuiltin="1"/>
    <cellStyle name="40% - Accent1 2" xfId="34" xr:uid="{00000000-0005-0000-0000-000068020000}"/>
    <cellStyle name="40% - Accent1 2 2" xfId="167" xr:uid="{00000000-0005-0000-0000-000069020000}"/>
    <cellStyle name="40% - Accent1 2 2 2" xfId="3559" xr:uid="{00000000-0005-0000-0000-00006A020000}"/>
    <cellStyle name="40% - Accent1 2 2 2 2" xfId="4797" xr:uid="{00000000-0005-0000-0000-00006B020000}"/>
    <cellStyle name="40% - Accent1 2 2 2 2 2" xfId="4850" xr:uid="{00000000-0005-0000-0000-00006C020000}"/>
    <cellStyle name="40% - Accent1 2 2 2 3" xfId="4879" xr:uid="{00000000-0005-0000-0000-00006D020000}"/>
    <cellStyle name="40% - Accent1 2 2 2 4" xfId="4703" xr:uid="{00000000-0005-0000-0000-00006E020000}"/>
    <cellStyle name="40% - Accent1 2 2 3" xfId="4763" xr:uid="{00000000-0005-0000-0000-00006F020000}"/>
    <cellStyle name="40% - Accent1 2 2 3 2" xfId="4686" xr:uid="{00000000-0005-0000-0000-000070020000}"/>
    <cellStyle name="40% - Accent1 2 2 4" xfId="4920" xr:uid="{00000000-0005-0000-0000-000071020000}"/>
    <cellStyle name="40% - Accent1 2 3" xfId="3568" xr:uid="{00000000-0005-0000-0000-000072020000}"/>
    <cellStyle name="40% - Accent1 2 3 2" xfId="4826" xr:uid="{00000000-0005-0000-0000-000073020000}"/>
    <cellStyle name="40% - Accent1 2 4" xfId="4749" xr:uid="{00000000-0005-0000-0000-000074020000}"/>
    <cellStyle name="40% - Accent1 2 5" xfId="4948" xr:uid="{00000000-0005-0000-0000-000075020000}"/>
    <cellStyle name="40% - Accent1 2 6" xfId="5006" xr:uid="{00000000-0005-0000-0000-000076020000}"/>
    <cellStyle name="40% - Accent1 3" xfId="35" xr:uid="{00000000-0005-0000-0000-000077020000}"/>
    <cellStyle name="40% - Accent1 4" xfId="36" xr:uid="{00000000-0005-0000-0000-000078020000}"/>
    <cellStyle name="40% - Accent1 5" xfId="37" xr:uid="{00000000-0005-0000-0000-000079020000}"/>
    <cellStyle name="40% - Accent1 6" xfId="38" xr:uid="{00000000-0005-0000-0000-00007A020000}"/>
    <cellStyle name="40% - Accent1 7" xfId="4964" xr:uid="{00000000-0005-0000-0000-00007B020000}"/>
    <cellStyle name="40% - Accent2" xfId="117" builtinId="35" customBuiltin="1"/>
    <cellStyle name="40% - Accent2 2" xfId="39" xr:uid="{00000000-0005-0000-0000-00007D020000}"/>
    <cellStyle name="40% - Accent2 2 2" xfId="168" xr:uid="{00000000-0005-0000-0000-00007E020000}"/>
    <cellStyle name="40% - Accent2 2 2 2" xfId="3560" xr:uid="{00000000-0005-0000-0000-00007F020000}"/>
    <cellStyle name="40% - Accent2 2 2 2 2" xfId="4796" xr:uid="{00000000-0005-0000-0000-000080020000}"/>
    <cellStyle name="40% - Accent2 2 2 2 2 2" xfId="4851" xr:uid="{00000000-0005-0000-0000-000081020000}"/>
    <cellStyle name="40% - Accent2 2 2 2 3" xfId="4880" xr:uid="{00000000-0005-0000-0000-000082020000}"/>
    <cellStyle name="40% - Accent2 2 2 2 4" xfId="4702" xr:uid="{00000000-0005-0000-0000-000083020000}"/>
    <cellStyle name="40% - Accent2 2 2 3" xfId="4764" xr:uid="{00000000-0005-0000-0000-000084020000}"/>
    <cellStyle name="40% - Accent2 2 2 3 2" xfId="4687" xr:uid="{00000000-0005-0000-0000-000085020000}"/>
    <cellStyle name="40% - Accent2 2 2 4" xfId="4919" xr:uid="{00000000-0005-0000-0000-000086020000}"/>
    <cellStyle name="40% - Accent2 2 3" xfId="3567" xr:uid="{00000000-0005-0000-0000-000087020000}"/>
    <cellStyle name="40% - Accent2 2 3 2" xfId="4825" xr:uid="{00000000-0005-0000-0000-000088020000}"/>
    <cellStyle name="40% - Accent2 2 4" xfId="4748" xr:uid="{00000000-0005-0000-0000-000089020000}"/>
    <cellStyle name="40% - Accent2 2 5" xfId="4947" xr:uid="{00000000-0005-0000-0000-00008A020000}"/>
    <cellStyle name="40% - Accent2 2 6" xfId="5007" xr:uid="{00000000-0005-0000-0000-00008B020000}"/>
    <cellStyle name="40% - Accent2 3" xfId="40" xr:uid="{00000000-0005-0000-0000-00008C020000}"/>
    <cellStyle name="40% - Accent2 4" xfId="41" xr:uid="{00000000-0005-0000-0000-00008D020000}"/>
    <cellStyle name="40% - Accent2 5" xfId="42" xr:uid="{00000000-0005-0000-0000-00008E020000}"/>
    <cellStyle name="40% - Accent2 6" xfId="43" xr:uid="{00000000-0005-0000-0000-00008F020000}"/>
    <cellStyle name="40% - Accent2 7" xfId="4966" xr:uid="{00000000-0005-0000-0000-000090020000}"/>
    <cellStyle name="40% - Accent3" xfId="121" builtinId="39" customBuiltin="1"/>
    <cellStyle name="40% - Accent3 2" xfId="44" xr:uid="{00000000-0005-0000-0000-000092020000}"/>
    <cellStyle name="40% - Accent3 2 2" xfId="169" xr:uid="{00000000-0005-0000-0000-000093020000}"/>
    <cellStyle name="40% - Accent3 2 2 2" xfId="3561" xr:uid="{00000000-0005-0000-0000-000094020000}"/>
    <cellStyle name="40% - Accent3 2 2 2 2" xfId="4795" xr:uid="{00000000-0005-0000-0000-000095020000}"/>
    <cellStyle name="40% - Accent3 2 2 2 2 2" xfId="4852" xr:uid="{00000000-0005-0000-0000-000096020000}"/>
    <cellStyle name="40% - Accent3 2 2 2 3" xfId="4881" xr:uid="{00000000-0005-0000-0000-000097020000}"/>
    <cellStyle name="40% - Accent3 2 2 2 4" xfId="4701" xr:uid="{00000000-0005-0000-0000-000098020000}"/>
    <cellStyle name="40% - Accent3 2 2 3" xfId="4765" xr:uid="{00000000-0005-0000-0000-000099020000}"/>
    <cellStyle name="40% - Accent3 2 2 3 2" xfId="4688" xr:uid="{00000000-0005-0000-0000-00009A020000}"/>
    <cellStyle name="40% - Accent3 2 2 4" xfId="4918" xr:uid="{00000000-0005-0000-0000-00009B020000}"/>
    <cellStyle name="40% - Accent3 2 3" xfId="3566" xr:uid="{00000000-0005-0000-0000-00009C020000}"/>
    <cellStyle name="40% - Accent3 2 3 2" xfId="4824" xr:uid="{00000000-0005-0000-0000-00009D020000}"/>
    <cellStyle name="40% - Accent3 2 4" xfId="4747" xr:uid="{00000000-0005-0000-0000-00009E020000}"/>
    <cellStyle name="40% - Accent3 2 5" xfId="4946" xr:uid="{00000000-0005-0000-0000-00009F020000}"/>
    <cellStyle name="40% - Accent3 2 6" xfId="5008" xr:uid="{00000000-0005-0000-0000-0000A0020000}"/>
    <cellStyle name="40% - Accent3 3" xfId="45" xr:uid="{00000000-0005-0000-0000-0000A1020000}"/>
    <cellStyle name="40% - Accent3 4" xfId="46" xr:uid="{00000000-0005-0000-0000-0000A2020000}"/>
    <cellStyle name="40% - Accent3 5" xfId="47" xr:uid="{00000000-0005-0000-0000-0000A3020000}"/>
    <cellStyle name="40% - Accent3 6" xfId="48" xr:uid="{00000000-0005-0000-0000-0000A4020000}"/>
    <cellStyle name="40% - Accent3 7" xfId="4968" xr:uid="{00000000-0005-0000-0000-0000A5020000}"/>
    <cellStyle name="40% - Accent4" xfId="125" builtinId="43" customBuiltin="1"/>
    <cellStyle name="40% - Accent4 2" xfId="49" xr:uid="{00000000-0005-0000-0000-0000A7020000}"/>
    <cellStyle name="40% - Accent4 2 2" xfId="170" xr:uid="{00000000-0005-0000-0000-0000A8020000}"/>
    <cellStyle name="40% - Accent4 2 2 2" xfId="3562" xr:uid="{00000000-0005-0000-0000-0000A9020000}"/>
    <cellStyle name="40% - Accent4 2 2 2 2" xfId="4794" xr:uid="{00000000-0005-0000-0000-0000AA020000}"/>
    <cellStyle name="40% - Accent4 2 2 2 2 2" xfId="4853" xr:uid="{00000000-0005-0000-0000-0000AB020000}"/>
    <cellStyle name="40% - Accent4 2 2 2 3" xfId="4882" xr:uid="{00000000-0005-0000-0000-0000AC020000}"/>
    <cellStyle name="40% - Accent4 2 2 2 4" xfId="4700" xr:uid="{00000000-0005-0000-0000-0000AD020000}"/>
    <cellStyle name="40% - Accent4 2 2 3" xfId="4766" xr:uid="{00000000-0005-0000-0000-0000AE020000}"/>
    <cellStyle name="40% - Accent4 2 2 3 2" xfId="4689" xr:uid="{00000000-0005-0000-0000-0000AF020000}"/>
    <cellStyle name="40% - Accent4 2 2 4" xfId="4917" xr:uid="{00000000-0005-0000-0000-0000B0020000}"/>
    <cellStyle name="40% - Accent4 2 3" xfId="3565" xr:uid="{00000000-0005-0000-0000-0000B1020000}"/>
    <cellStyle name="40% - Accent4 2 3 2" xfId="4823" xr:uid="{00000000-0005-0000-0000-0000B2020000}"/>
    <cellStyle name="40% - Accent4 2 4" xfId="4659" xr:uid="{00000000-0005-0000-0000-0000B3020000}"/>
    <cellStyle name="40% - Accent4 2 5" xfId="4955" xr:uid="{00000000-0005-0000-0000-0000B4020000}"/>
    <cellStyle name="40% - Accent4 2 6" xfId="5009" xr:uid="{00000000-0005-0000-0000-0000B5020000}"/>
    <cellStyle name="40% - Accent4 3" xfId="50" xr:uid="{00000000-0005-0000-0000-0000B6020000}"/>
    <cellStyle name="40% - Accent4 4" xfId="51" xr:uid="{00000000-0005-0000-0000-0000B7020000}"/>
    <cellStyle name="40% - Accent4 5" xfId="52" xr:uid="{00000000-0005-0000-0000-0000B8020000}"/>
    <cellStyle name="40% - Accent4 6" xfId="53" xr:uid="{00000000-0005-0000-0000-0000B9020000}"/>
    <cellStyle name="40% - Accent4 7" xfId="4970" xr:uid="{00000000-0005-0000-0000-0000BA020000}"/>
    <cellStyle name="40% - Accent5" xfId="129" builtinId="47" customBuiltin="1"/>
    <cellStyle name="40% - Accent5 2" xfId="54" xr:uid="{00000000-0005-0000-0000-0000BC020000}"/>
    <cellStyle name="40% - Accent5 2 2" xfId="171" xr:uid="{00000000-0005-0000-0000-0000BD020000}"/>
    <cellStyle name="40% - Accent5 2 2 2" xfId="3564" xr:uid="{00000000-0005-0000-0000-0000BE020000}"/>
    <cellStyle name="40% - Accent5 2 2 2 2" xfId="4793" xr:uid="{00000000-0005-0000-0000-0000BF020000}"/>
    <cellStyle name="40% - Accent5 2 2 2 2 2" xfId="4854" xr:uid="{00000000-0005-0000-0000-0000C0020000}"/>
    <cellStyle name="40% - Accent5 2 2 2 3" xfId="4883" xr:uid="{00000000-0005-0000-0000-0000C1020000}"/>
    <cellStyle name="40% - Accent5 2 2 2 4" xfId="4699" xr:uid="{00000000-0005-0000-0000-0000C2020000}"/>
    <cellStyle name="40% - Accent5 2 2 3" xfId="4767" xr:uid="{00000000-0005-0000-0000-0000C3020000}"/>
    <cellStyle name="40% - Accent5 2 2 3 2" xfId="4690" xr:uid="{00000000-0005-0000-0000-0000C4020000}"/>
    <cellStyle name="40% - Accent5 2 2 4" xfId="4916" xr:uid="{00000000-0005-0000-0000-0000C5020000}"/>
    <cellStyle name="40% - Accent5 2 3" xfId="147" xr:uid="{00000000-0005-0000-0000-0000C6020000}"/>
    <cellStyle name="40% - Accent5 2 3 2" xfId="4822" xr:uid="{00000000-0005-0000-0000-0000C7020000}"/>
    <cellStyle name="40% - Accent5 2 4" xfId="4660" xr:uid="{00000000-0005-0000-0000-0000C8020000}"/>
    <cellStyle name="40% - Accent5 2 5" xfId="4945" xr:uid="{00000000-0005-0000-0000-0000C9020000}"/>
    <cellStyle name="40% - Accent5 2 6" xfId="5010" xr:uid="{00000000-0005-0000-0000-0000CA020000}"/>
    <cellStyle name="40% - Accent5 3" xfId="55" xr:uid="{00000000-0005-0000-0000-0000CB020000}"/>
    <cellStyle name="40% - Accent5 4" xfId="56" xr:uid="{00000000-0005-0000-0000-0000CC020000}"/>
    <cellStyle name="40% - Accent5 5" xfId="57" xr:uid="{00000000-0005-0000-0000-0000CD020000}"/>
    <cellStyle name="40% - Accent5 6" xfId="58" xr:uid="{00000000-0005-0000-0000-0000CE020000}"/>
    <cellStyle name="40% - Accent5 7" xfId="4972" xr:uid="{00000000-0005-0000-0000-0000CF020000}"/>
    <cellStyle name="40% - Accent6" xfId="133" builtinId="51" customBuiltin="1"/>
    <cellStyle name="40% - Accent6 2" xfId="59" xr:uid="{00000000-0005-0000-0000-0000D1020000}"/>
    <cellStyle name="40% - Accent6 2 2" xfId="172" xr:uid="{00000000-0005-0000-0000-0000D2020000}"/>
    <cellStyle name="40% - Accent6 2 2 2" xfId="3569" xr:uid="{00000000-0005-0000-0000-0000D3020000}"/>
    <cellStyle name="40% - Accent6 2 2 2 2" xfId="4792" xr:uid="{00000000-0005-0000-0000-0000D4020000}"/>
    <cellStyle name="40% - Accent6 2 2 2 2 2" xfId="4855" xr:uid="{00000000-0005-0000-0000-0000D5020000}"/>
    <cellStyle name="40% - Accent6 2 2 2 3" xfId="4884" xr:uid="{00000000-0005-0000-0000-0000D6020000}"/>
    <cellStyle name="40% - Accent6 2 2 2 4" xfId="4698" xr:uid="{00000000-0005-0000-0000-0000D7020000}"/>
    <cellStyle name="40% - Accent6 2 2 3" xfId="4768" xr:uid="{00000000-0005-0000-0000-0000D8020000}"/>
    <cellStyle name="40% - Accent6 2 2 3 2" xfId="4691" xr:uid="{00000000-0005-0000-0000-0000D9020000}"/>
    <cellStyle name="40% - Accent6 2 2 4" xfId="4915" xr:uid="{00000000-0005-0000-0000-0000DA020000}"/>
    <cellStyle name="40% - Accent6 2 3" xfId="3563" xr:uid="{00000000-0005-0000-0000-0000DB020000}"/>
    <cellStyle name="40% - Accent6 2 3 2" xfId="4821" xr:uid="{00000000-0005-0000-0000-0000DC020000}"/>
    <cellStyle name="40% - Accent6 2 4" xfId="4661" xr:uid="{00000000-0005-0000-0000-0000DD020000}"/>
    <cellStyle name="40% - Accent6 2 5" xfId="4944" xr:uid="{00000000-0005-0000-0000-0000DE020000}"/>
    <cellStyle name="40% - Accent6 2 6" xfId="5011" xr:uid="{00000000-0005-0000-0000-0000DF020000}"/>
    <cellStyle name="40% - Accent6 3" xfId="60" xr:uid="{00000000-0005-0000-0000-0000E0020000}"/>
    <cellStyle name="40% - Accent6 4" xfId="61" xr:uid="{00000000-0005-0000-0000-0000E1020000}"/>
    <cellStyle name="40% - Accent6 5" xfId="62" xr:uid="{00000000-0005-0000-0000-0000E2020000}"/>
    <cellStyle name="40% - Accent6 6" xfId="63" xr:uid="{00000000-0005-0000-0000-0000E3020000}"/>
    <cellStyle name="40% - Accent6 7" xfId="4974" xr:uid="{00000000-0005-0000-0000-0000E4020000}"/>
    <cellStyle name="60% - Accent1" xfId="114" builtinId="32" customBuiltin="1"/>
    <cellStyle name="60% - Accent1 2" xfId="173" xr:uid="{00000000-0005-0000-0000-0000E6020000}"/>
    <cellStyle name="60% - Accent1 3" xfId="5025" xr:uid="{00000000-0005-0000-0000-0000E7020000}"/>
    <cellStyle name="60% - Accent2" xfId="118" builtinId="36" customBuiltin="1"/>
    <cellStyle name="60% - Accent2 2" xfId="174" xr:uid="{00000000-0005-0000-0000-0000E9020000}"/>
    <cellStyle name="60% - Accent2 3" xfId="5026" xr:uid="{00000000-0005-0000-0000-0000EA020000}"/>
    <cellStyle name="60% - Accent3" xfId="122" builtinId="40" customBuiltin="1"/>
    <cellStyle name="60% - Accent3 2" xfId="175" xr:uid="{00000000-0005-0000-0000-0000EC020000}"/>
    <cellStyle name="60% - Accent3 3" xfId="5027" xr:uid="{00000000-0005-0000-0000-0000ED020000}"/>
    <cellStyle name="60% - Accent4" xfId="126" builtinId="44" customBuiltin="1"/>
    <cellStyle name="60% - Accent4 2" xfId="176" xr:uid="{00000000-0005-0000-0000-0000EF020000}"/>
    <cellStyle name="60% - Accent4 3" xfId="5028" xr:uid="{00000000-0005-0000-0000-0000F0020000}"/>
    <cellStyle name="60% - Accent5" xfId="130" builtinId="48" customBuiltin="1"/>
    <cellStyle name="60% - Accent5 2" xfId="177" xr:uid="{00000000-0005-0000-0000-0000F2020000}"/>
    <cellStyle name="60% - Accent5 3" xfId="5029" xr:uid="{00000000-0005-0000-0000-0000F3020000}"/>
    <cellStyle name="60% - Accent6" xfId="134" builtinId="52" customBuiltin="1"/>
    <cellStyle name="60% - Accent6 2" xfId="178" xr:uid="{00000000-0005-0000-0000-0000F5020000}"/>
    <cellStyle name="60% - Accent6 3" xfId="5030" xr:uid="{00000000-0005-0000-0000-0000F6020000}"/>
    <cellStyle name="Accent1" xfId="111" builtinId="29" customBuiltin="1"/>
    <cellStyle name="Accent1 - 20%" xfId="4068" xr:uid="{00000000-0005-0000-0000-0000F8020000}"/>
    <cellStyle name="Accent1 - 40%" xfId="4069" xr:uid="{00000000-0005-0000-0000-0000F9020000}"/>
    <cellStyle name="Accent1 - 60%" xfId="4070" xr:uid="{00000000-0005-0000-0000-0000FA020000}"/>
    <cellStyle name="Accent1 2" xfId="179" xr:uid="{00000000-0005-0000-0000-0000FB020000}"/>
    <cellStyle name="Accent2" xfId="115" builtinId="33" customBuiltin="1"/>
    <cellStyle name="Accent2 - 20%" xfId="4071" xr:uid="{00000000-0005-0000-0000-0000FD020000}"/>
    <cellStyle name="Accent2 - 40%" xfId="4072" xr:uid="{00000000-0005-0000-0000-0000FE020000}"/>
    <cellStyle name="Accent2 - 60%" xfId="4073" xr:uid="{00000000-0005-0000-0000-0000FF020000}"/>
    <cellStyle name="Accent2 2" xfId="180" xr:uid="{00000000-0005-0000-0000-000000030000}"/>
    <cellStyle name="Accent3" xfId="119" builtinId="37" customBuiltin="1"/>
    <cellStyle name="Accent3 - 20%" xfId="4074" xr:uid="{00000000-0005-0000-0000-000002030000}"/>
    <cellStyle name="Accent3 - 40%" xfId="4075" xr:uid="{00000000-0005-0000-0000-000003030000}"/>
    <cellStyle name="Accent3 - 60%" xfId="4076" xr:uid="{00000000-0005-0000-0000-000004030000}"/>
    <cellStyle name="Accent3 2" xfId="181" xr:uid="{00000000-0005-0000-0000-000005030000}"/>
    <cellStyle name="Accent4" xfId="123" builtinId="41" customBuiltin="1"/>
    <cellStyle name="Accent4 - 20%" xfId="4077" xr:uid="{00000000-0005-0000-0000-000007030000}"/>
    <cellStyle name="Accent4 - 40%" xfId="4078" xr:uid="{00000000-0005-0000-0000-000008030000}"/>
    <cellStyle name="Accent4 - 60%" xfId="4079" xr:uid="{00000000-0005-0000-0000-000009030000}"/>
    <cellStyle name="Accent4 2" xfId="182" xr:uid="{00000000-0005-0000-0000-00000A030000}"/>
    <cellStyle name="Accent5" xfId="127" builtinId="45" customBuiltin="1"/>
    <cellStyle name="Accent5 - 20%" xfId="4080" xr:uid="{00000000-0005-0000-0000-00000C030000}"/>
    <cellStyle name="Accent5 - 40%" xfId="4081" xr:uid="{00000000-0005-0000-0000-00000D030000}"/>
    <cellStyle name="Accent5 - 60%" xfId="4082" xr:uid="{00000000-0005-0000-0000-00000E030000}"/>
    <cellStyle name="Accent5 2" xfId="183" xr:uid="{00000000-0005-0000-0000-00000F030000}"/>
    <cellStyle name="Accent6" xfId="131" builtinId="49" customBuiltin="1"/>
    <cellStyle name="Accent6 - 20%" xfId="4083" xr:uid="{00000000-0005-0000-0000-000011030000}"/>
    <cellStyle name="Accent6 - 40%" xfId="4084" xr:uid="{00000000-0005-0000-0000-000012030000}"/>
    <cellStyle name="Accent6 - 60%" xfId="4085" xr:uid="{00000000-0005-0000-0000-000013030000}"/>
    <cellStyle name="Accent6 2" xfId="184" xr:uid="{00000000-0005-0000-0000-000014030000}"/>
    <cellStyle name="AcNote" xfId="4086" xr:uid="{00000000-0005-0000-0000-000015030000}"/>
    <cellStyle name="AcNote 2" xfId="4087" xr:uid="{00000000-0005-0000-0000-000016030000}"/>
    <cellStyle name="Adjustable" xfId="4088" xr:uid="{00000000-0005-0000-0000-000017030000}"/>
    <cellStyle name="AFE" xfId="64" xr:uid="{00000000-0005-0000-0000-000018030000}"/>
    <cellStyle name="Andrew" xfId="4089" xr:uid="{00000000-0005-0000-0000-000019030000}"/>
    <cellStyle name="Assumption Number." xfId="185" xr:uid="{00000000-0005-0000-0000-00001A030000}"/>
    <cellStyle name="Assumption Number. 10" xfId="186" xr:uid="{00000000-0005-0000-0000-00001B030000}"/>
    <cellStyle name="Assumption Number. 11" xfId="187" xr:uid="{00000000-0005-0000-0000-00001C030000}"/>
    <cellStyle name="Assumption Number. 12" xfId="188" xr:uid="{00000000-0005-0000-0000-00001D030000}"/>
    <cellStyle name="Assumption Number. 13" xfId="189" xr:uid="{00000000-0005-0000-0000-00001E030000}"/>
    <cellStyle name="Assumption Number. 14" xfId="190" xr:uid="{00000000-0005-0000-0000-00001F030000}"/>
    <cellStyle name="Assumption Number. 15" xfId="191" xr:uid="{00000000-0005-0000-0000-000020030000}"/>
    <cellStyle name="Assumption Number. 16" xfId="192" xr:uid="{00000000-0005-0000-0000-000021030000}"/>
    <cellStyle name="Assumption Number. 17" xfId="193" xr:uid="{00000000-0005-0000-0000-000022030000}"/>
    <cellStyle name="Assumption Number. 18" xfId="194" xr:uid="{00000000-0005-0000-0000-000023030000}"/>
    <cellStyle name="Assumption Number. 19" xfId="195" xr:uid="{00000000-0005-0000-0000-000024030000}"/>
    <cellStyle name="Assumption Number. 2" xfId="196" xr:uid="{00000000-0005-0000-0000-000025030000}"/>
    <cellStyle name="Assumption Number. 2 10" xfId="197" xr:uid="{00000000-0005-0000-0000-000026030000}"/>
    <cellStyle name="Assumption Number. 2 11" xfId="198" xr:uid="{00000000-0005-0000-0000-000027030000}"/>
    <cellStyle name="Assumption Number. 2 12" xfId="199" xr:uid="{00000000-0005-0000-0000-000028030000}"/>
    <cellStyle name="Assumption Number. 2 13" xfId="200" xr:uid="{00000000-0005-0000-0000-000029030000}"/>
    <cellStyle name="Assumption Number. 2 14" xfId="201" xr:uid="{00000000-0005-0000-0000-00002A030000}"/>
    <cellStyle name="Assumption Number. 2 15" xfId="202" xr:uid="{00000000-0005-0000-0000-00002B030000}"/>
    <cellStyle name="Assumption Number. 2 16" xfId="203" xr:uid="{00000000-0005-0000-0000-00002C030000}"/>
    <cellStyle name="Assumption Number. 2 17" xfId="204" xr:uid="{00000000-0005-0000-0000-00002D030000}"/>
    <cellStyle name="Assumption Number. 2 18" xfId="205" xr:uid="{00000000-0005-0000-0000-00002E030000}"/>
    <cellStyle name="Assumption Number. 2 19" xfId="206" xr:uid="{00000000-0005-0000-0000-00002F030000}"/>
    <cellStyle name="Assumption Number. 2 2" xfId="207" xr:uid="{00000000-0005-0000-0000-000030030000}"/>
    <cellStyle name="Assumption Number. 2 2 10" xfId="208" xr:uid="{00000000-0005-0000-0000-000031030000}"/>
    <cellStyle name="Assumption Number. 2 2 11" xfId="209" xr:uid="{00000000-0005-0000-0000-000032030000}"/>
    <cellStyle name="Assumption Number. 2 2 12" xfId="210" xr:uid="{00000000-0005-0000-0000-000033030000}"/>
    <cellStyle name="Assumption Number. 2 2 2" xfId="211" xr:uid="{00000000-0005-0000-0000-000034030000}"/>
    <cellStyle name="Assumption Number. 2 2 3" xfId="212" xr:uid="{00000000-0005-0000-0000-000035030000}"/>
    <cellStyle name="Assumption Number. 2 2 4" xfId="213" xr:uid="{00000000-0005-0000-0000-000036030000}"/>
    <cellStyle name="Assumption Number. 2 2 5" xfId="214" xr:uid="{00000000-0005-0000-0000-000037030000}"/>
    <cellStyle name="Assumption Number. 2 2 6" xfId="215" xr:uid="{00000000-0005-0000-0000-000038030000}"/>
    <cellStyle name="Assumption Number. 2 2 7" xfId="216" xr:uid="{00000000-0005-0000-0000-000039030000}"/>
    <cellStyle name="Assumption Number. 2 2 8" xfId="217" xr:uid="{00000000-0005-0000-0000-00003A030000}"/>
    <cellStyle name="Assumption Number. 2 2 9" xfId="218" xr:uid="{00000000-0005-0000-0000-00003B030000}"/>
    <cellStyle name="Assumption Number. 2 20" xfId="219" xr:uid="{00000000-0005-0000-0000-00003C030000}"/>
    <cellStyle name="Assumption Number. 2 21" xfId="220" xr:uid="{00000000-0005-0000-0000-00003D030000}"/>
    <cellStyle name="Assumption Number. 2 22" xfId="221" xr:uid="{00000000-0005-0000-0000-00003E030000}"/>
    <cellStyle name="Assumption Number. 2 23" xfId="222" xr:uid="{00000000-0005-0000-0000-00003F030000}"/>
    <cellStyle name="Assumption Number. 2 24" xfId="223" xr:uid="{00000000-0005-0000-0000-000040030000}"/>
    <cellStyle name="Assumption Number. 2 3" xfId="224" xr:uid="{00000000-0005-0000-0000-000041030000}"/>
    <cellStyle name="Assumption Number. 2 4" xfId="225" xr:uid="{00000000-0005-0000-0000-000042030000}"/>
    <cellStyle name="Assumption Number. 2 5" xfId="226" xr:uid="{00000000-0005-0000-0000-000043030000}"/>
    <cellStyle name="Assumption Number. 2 6" xfId="227" xr:uid="{00000000-0005-0000-0000-000044030000}"/>
    <cellStyle name="Assumption Number. 2 7" xfId="228" xr:uid="{00000000-0005-0000-0000-000045030000}"/>
    <cellStyle name="Assumption Number. 2 8" xfId="229" xr:uid="{00000000-0005-0000-0000-000046030000}"/>
    <cellStyle name="Assumption Number. 2 9" xfId="230" xr:uid="{00000000-0005-0000-0000-000047030000}"/>
    <cellStyle name="Assumption Number. 20" xfId="231" xr:uid="{00000000-0005-0000-0000-000048030000}"/>
    <cellStyle name="Assumption Number. 21" xfId="232" xr:uid="{00000000-0005-0000-0000-000049030000}"/>
    <cellStyle name="Assumption Number. 22" xfId="233" xr:uid="{00000000-0005-0000-0000-00004A030000}"/>
    <cellStyle name="Assumption Number. 23" xfId="234" xr:uid="{00000000-0005-0000-0000-00004B030000}"/>
    <cellStyle name="Assumption Number. 24" xfId="235" xr:uid="{00000000-0005-0000-0000-00004C030000}"/>
    <cellStyle name="Assumption Number. 25" xfId="236" xr:uid="{00000000-0005-0000-0000-00004D030000}"/>
    <cellStyle name="Assumption Number. 26" xfId="237" xr:uid="{00000000-0005-0000-0000-00004E030000}"/>
    <cellStyle name="Assumption Number. 27" xfId="238" xr:uid="{00000000-0005-0000-0000-00004F030000}"/>
    <cellStyle name="Assumption Number. 28" xfId="239" xr:uid="{00000000-0005-0000-0000-000050030000}"/>
    <cellStyle name="Assumption Number. 29" xfId="240" xr:uid="{00000000-0005-0000-0000-000051030000}"/>
    <cellStyle name="Assumption Number. 3" xfId="241" xr:uid="{00000000-0005-0000-0000-000052030000}"/>
    <cellStyle name="Assumption Number. 3 10" xfId="242" xr:uid="{00000000-0005-0000-0000-000053030000}"/>
    <cellStyle name="Assumption Number. 3 11" xfId="243" xr:uid="{00000000-0005-0000-0000-000054030000}"/>
    <cellStyle name="Assumption Number. 3 12" xfId="244" xr:uid="{00000000-0005-0000-0000-000055030000}"/>
    <cellStyle name="Assumption Number. 3 13" xfId="245" xr:uid="{00000000-0005-0000-0000-000056030000}"/>
    <cellStyle name="Assumption Number. 3 14" xfId="246" xr:uid="{00000000-0005-0000-0000-000057030000}"/>
    <cellStyle name="Assumption Number. 3 15" xfId="247" xr:uid="{00000000-0005-0000-0000-000058030000}"/>
    <cellStyle name="Assumption Number. 3 16" xfId="248" xr:uid="{00000000-0005-0000-0000-000059030000}"/>
    <cellStyle name="Assumption Number. 3 17" xfId="249" xr:uid="{00000000-0005-0000-0000-00005A030000}"/>
    <cellStyle name="Assumption Number. 3 18" xfId="250" xr:uid="{00000000-0005-0000-0000-00005B030000}"/>
    <cellStyle name="Assumption Number. 3 19" xfId="251" xr:uid="{00000000-0005-0000-0000-00005C030000}"/>
    <cellStyle name="Assumption Number. 3 2" xfId="252" xr:uid="{00000000-0005-0000-0000-00005D030000}"/>
    <cellStyle name="Assumption Number. 3 20" xfId="253" xr:uid="{00000000-0005-0000-0000-00005E030000}"/>
    <cellStyle name="Assumption Number. 3 21" xfId="254" xr:uid="{00000000-0005-0000-0000-00005F030000}"/>
    <cellStyle name="Assumption Number. 3 22" xfId="255" xr:uid="{00000000-0005-0000-0000-000060030000}"/>
    <cellStyle name="Assumption Number. 3 23" xfId="256" xr:uid="{00000000-0005-0000-0000-000061030000}"/>
    <cellStyle name="Assumption Number. 3 24" xfId="257" xr:uid="{00000000-0005-0000-0000-000062030000}"/>
    <cellStyle name="Assumption Number. 3 3" xfId="258" xr:uid="{00000000-0005-0000-0000-000063030000}"/>
    <cellStyle name="Assumption Number. 3 4" xfId="259" xr:uid="{00000000-0005-0000-0000-000064030000}"/>
    <cellStyle name="Assumption Number. 3 5" xfId="260" xr:uid="{00000000-0005-0000-0000-000065030000}"/>
    <cellStyle name="Assumption Number. 3 6" xfId="261" xr:uid="{00000000-0005-0000-0000-000066030000}"/>
    <cellStyle name="Assumption Number. 3 7" xfId="262" xr:uid="{00000000-0005-0000-0000-000067030000}"/>
    <cellStyle name="Assumption Number. 3 8" xfId="263" xr:uid="{00000000-0005-0000-0000-000068030000}"/>
    <cellStyle name="Assumption Number. 3 9" xfId="264" xr:uid="{00000000-0005-0000-0000-000069030000}"/>
    <cellStyle name="Assumption Number. 30" xfId="265" xr:uid="{00000000-0005-0000-0000-00006A030000}"/>
    <cellStyle name="Assumption Number. 4" xfId="266" xr:uid="{00000000-0005-0000-0000-00006B030000}"/>
    <cellStyle name="Assumption Number. 4 10" xfId="267" xr:uid="{00000000-0005-0000-0000-00006C030000}"/>
    <cellStyle name="Assumption Number. 4 11" xfId="268" xr:uid="{00000000-0005-0000-0000-00006D030000}"/>
    <cellStyle name="Assumption Number. 4 12" xfId="269" xr:uid="{00000000-0005-0000-0000-00006E030000}"/>
    <cellStyle name="Assumption Number. 4 13" xfId="270" xr:uid="{00000000-0005-0000-0000-00006F030000}"/>
    <cellStyle name="Assumption Number. 4 14" xfId="271" xr:uid="{00000000-0005-0000-0000-000070030000}"/>
    <cellStyle name="Assumption Number. 4 15" xfId="272" xr:uid="{00000000-0005-0000-0000-000071030000}"/>
    <cellStyle name="Assumption Number. 4 16" xfId="273" xr:uid="{00000000-0005-0000-0000-000072030000}"/>
    <cellStyle name="Assumption Number. 4 17" xfId="274" xr:uid="{00000000-0005-0000-0000-000073030000}"/>
    <cellStyle name="Assumption Number. 4 18" xfId="275" xr:uid="{00000000-0005-0000-0000-000074030000}"/>
    <cellStyle name="Assumption Number. 4 19" xfId="276" xr:uid="{00000000-0005-0000-0000-000075030000}"/>
    <cellStyle name="Assumption Number. 4 2" xfId="277" xr:uid="{00000000-0005-0000-0000-000076030000}"/>
    <cellStyle name="Assumption Number. 4 20" xfId="278" xr:uid="{00000000-0005-0000-0000-000077030000}"/>
    <cellStyle name="Assumption Number. 4 21" xfId="279" xr:uid="{00000000-0005-0000-0000-000078030000}"/>
    <cellStyle name="Assumption Number. 4 22" xfId="280" xr:uid="{00000000-0005-0000-0000-000079030000}"/>
    <cellStyle name="Assumption Number. 4 23" xfId="281" xr:uid="{00000000-0005-0000-0000-00007A030000}"/>
    <cellStyle name="Assumption Number. 4 24" xfId="282" xr:uid="{00000000-0005-0000-0000-00007B030000}"/>
    <cellStyle name="Assumption Number. 4 3" xfId="283" xr:uid="{00000000-0005-0000-0000-00007C030000}"/>
    <cellStyle name="Assumption Number. 4 4" xfId="284" xr:uid="{00000000-0005-0000-0000-00007D030000}"/>
    <cellStyle name="Assumption Number. 4 5" xfId="285" xr:uid="{00000000-0005-0000-0000-00007E030000}"/>
    <cellStyle name="Assumption Number. 4 6" xfId="286" xr:uid="{00000000-0005-0000-0000-00007F030000}"/>
    <cellStyle name="Assumption Number. 4 7" xfId="287" xr:uid="{00000000-0005-0000-0000-000080030000}"/>
    <cellStyle name="Assumption Number. 4 8" xfId="288" xr:uid="{00000000-0005-0000-0000-000081030000}"/>
    <cellStyle name="Assumption Number. 4 9" xfId="289" xr:uid="{00000000-0005-0000-0000-000082030000}"/>
    <cellStyle name="Assumption Number. 5" xfId="290" xr:uid="{00000000-0005-0000-0000-000083030000}"/>
    <cellStyle name="Assumption Number. 5 10" xfId="291" xr:uid="{00000000-0005-0000-0000-000084030000}"/>
    <cellStyle name="Assumption Number. 5 11" xfId="292" xr:uid="{00000000-0005-0000-0000-000085030000}"/>
    <cellStyle name="Assumption Number. 5 12" xfId="293" xr:uid="{00000000-0005-0000-0000-000086030000}"/>
    <cellStyle name="Assumption Number. 5 13" xfId="294" xr:uid="{00000000-0005-0000-0000-000087030000}"/>
    <cellStyle name="Assumption Number. 5 14" xfId="295" xr:uid="{00000000-0005-0000-0000-000088030000}"/>
    <cellStyle name="Assumption Number. 5 15" xfId="296" xr:uid="{00000000-0005-0000-0000-000089030000}"/>
    <cellStyle name="Assumption Number. 5 16" xfId="297" xr:uid="{00000000-0005-0000-0000-00008A030000}"/>
    <cellStyle name="Assumption Number. 5 17" xfId="298" xr:uid="{00000000-0005-0000-0000-00008B030000}"/>
    <cellStyle name="Assumption Number. 5 18" xfId="299" xr:uid="{00000000-0005-0000-0000-00008C030000}"/>
    <cellStyle name="Assumption Number. 5 19" xfId="300" xr:uid="{00000000-0005-0000-0000-00008D030000}"/>
    <cellStyle name="Assumption Number. 5 2" xfId="301" xr:uid="{00000000-0005-0000-0000-00008E030000}"/>
    <cellStyle name="Assumption Number. 5 20" xfId="302" xr:uid="{00000000-0005-0000-0000-00008F030000}"/>
    <cellStyle name="Assumption Number. 5 21" xfId="303" xr:uid="{00000000-0005-0000-0000-000090030000}"/>
    <cellStyle name="Assumption Number. 5 22" xfId="304" xr:uid="{00000000-0005-0000-0000-000091030000}"/>
    <cellStyle name="Assumption Number. 5 23" xfId="305" xr:uid="{00000000-0005-0000-0000-000092030000}"/>
    <cellStyle name="Assumption Number. 5 24" xfId="306" xr:uid="{00000000-0005-0000-0000-000093030000}"/>
    <cellStyle name="Assumption Number. 5 3" xfId="307" xr:uid="{00000000-0005-0000-0000-000094030000}"/>
    <cellStyle name="Assumption Number. 5 4" xfId="308" xr:uid="{00000000-0005-0000-0000-000095030000}"/>
    <cellStyle name="Assumption Number. 5 5" xfId="309" xr:uid="{00000000-0005-0000-0000-000096030000}"/>
    <cellStyle name="Assumption Number. 5 6" xfId="310" xr:uid="{00000000-0005-0000-0000-000097030000}"/>
    <cellStyle name="Assumption Number. 5 7" xfId="311" xr:uid="{00000000-0005-0000-0000-000098030000}"/>
    <cellStyle name="Assumption Number. 5 8" xfId="312" xr:uid="{00000000-0005-0000-0000-000099030000}"/>
    <cellStyle name="Assumption Number. 5 9" xfId="313" xr:uid="{00000000-0005-0000-0000-00009A030000}"/>
    <cellStyle name="Assumption Number. 6" xfId="314" xr:uid="{00000000-0005-0000-0000-00009B030000}"/>
    <cellStyle name="Assumption Number. 6 10" xfId="315" xr:uid="{00000000-0005-0000-0000-00009C030000}"/>
    <cellStyle name="Assumption Number. 6 11" xfId="316" xr:uid="{00000000-0005-0000-0000-00009D030000}"/>
    <cellStyle name="Assumption Number. 6 12" xfId="317" xr:uid="{00000000-0005-0000-0000-00009E030000}"/>
    <cellStyle name="Assumption Number. 6 2" xfId="318" xr:uid="{00000000-0005-0000-0000-00009F030000}"/>
    <cellStyle name="Assumption Number. 6 3" xfId="319" xr:uid="{00000000-0005-0000-0000-0000A0030000}"/>
    <cellStyle name="Assumption Number. 6 4" xfId="320" xr:uid="{00000000-0005-0000-0000-0000A1030000}"/>
    <cellStyle name="Assumption Number. 6 5" xfId="321" xr:uid="{00000000-0005-0000-0000-0000A2030000}"/>
    <cellStyle name="Assumption Number. 6 6" xfId="322" xr:uid="{00000000-0005-0000-0000-0000A3030000}"/>
    <cellStyle name="Assumption Number. 6 7" xfId="323" xr:uid="{00000000-0005-0000-0000-0000A4030000}"/>
    <cellStyle name="Assumption Number. 6 8" xfId="324" xr:uid="{00000000-0005-0000-0000-0000A5030000}"/>
    <cellStyle name="Assumption Number. 6 9" xfId="325" xr:uid="{00000000-0005-0000-0000-0000A6030000}"/>
    <cellStyle name="Assumption Number. 7" xfId="326" xr:uid="{00000000-0005-0000-0000-0000A7030000}"/>
    <cellStyle name="Assumption Number. 7 10" xfId="327" xr:uid="{00000000-0005-0000-0000-0000A8030000}"/>
    <cellStyle name="Assumption Number. 7 11" xfId="328" xr:uid="{00000000-0005-0000-0000-0000A9030000}"/>
    <cellStyle name="Assumption Number. 7 12" xfId="329" xr:uid="{00000000-0005-0000-0000-0000AA030000}"/>
    <cellStyle name="Assumption Number. 7 2" xfId="330" xr:uid="{00000000-0005-0000-0000-0000AB030000}"/>
    <cellStyle name="Assumption Number. 7 3" xfId="331" xr:uid="{00000000-0005-0000-0000-0000AC030000}"/>
    <cellStyle name="Assumption Number. 7 4" xfId="332" xr:uid="{00000000-0005-0000-0000-0000AD030000}"/>
    <cellStyle name="Assumption Number. 7 5" xfId="333" xr:uid="{00000000-0005-0000-0000-0000AE030000}"/>
    <cellStyle name="Assumption Number. 7 6" xfId="334" xr:uid="{00000000-0005-0000-0000-0000AF030000}"/>
    <cellStyle name="Assumption Number. 7 7" xfId="335" xr:uid="{00000000-0005-0000-0000-0000B0030000}"/>
    <cellStyle name="Assumption Number. 7 8" xfId="336" xr:uid="{00000000-0005-0000-0000-0000B1030000}"/>
    <cellStyle name="Assumption Number. 7 9" xfId="337" xr:uid="{00000000-0005-0000-0000-0000B2030000}"/>
    <cellStyle name="Assumption Number. 8" xfId="338" xr:uid="{00000000-0005-0000-0000-0000B3030000}"/>
    <cellStyle name="Assumption Number. 9" xfId="339" xr:uid="{00000000-0005-0000-0000-0000B4030000}"/>
    <cellStyle name="Bad" xfId="100" builtinId="27" customBuiltin="1"/>
    <cellStyle name="Bad 2" xfId="340" xr:uid="{00000000-0005-0000-0000-0000B6030000}"/>
    <cellStyle name="Best" xfId="4090" xr:uid="{00000000-0005-0000-0000-0000B7030000}"/>
    <cellStyle name="Calc Currency (0)" xfId="4091" xr:uid="{00000000-0005-0000-0000-0000B8030000}"/>
    <cellStyle name="Calc Currency (2)" xfId="4092" xr:uid="{00000000-0005-0000-0000-0000B9030000}"/>
    <cellStyle name="Calc Percent (0)" xfId="4093" xr:uid="{00000000-0005-0000-0000-0000BA030000}"/>
    <cellStyle name="Calc Percent (1)" xfId="4094" xr:uid="{00000000-0005-0000-0000-0000BB030000}"/>
    <cellStyle name="Calc Percent (2)" xfId="4095" xr:uid="{00000000-0005-0000-0000-0000BC030000}"/>
    <cellStyle name="Calc Units (0)" xfId="4096" xr:uid="{00000000-0005-0000-0000-0000BD030000}"/>
    <cellStyle name="Calc Units (1)" xfId="4097" xr:uid="{00000000-0005-0000-0000-0000BE030000}"/>
    <cellStyle name="Calc Units (2)" xfId="4098" xr:uid="{00000000-0005-0000-0000-0000BF030000}"/>
    <cellStyle name="CalcNumbers" xfId="4099" xr:uid="{00000000-0005-0000-0000-0000C0030000}"/>
    <cellStyle name="CalcPercent" xfId="4100" xr:uid="{00000000-0005-0000-0000-0000C1030000}"/>
    <cellStyle name="Calculated" xfId="4101" xr:uid="{00000000-0005-0000-0000-0000C2030000}"/>
    <cellStyle name="CalculatedData" xfId="4102" xr:uid="{00000000-0005-0000-0000-0000C3030000}"/>
    <cellStyle name="Calculation" xfId="104" builtinId="22" customBuiltin="1"/>
    <cellStyle name="Calculation 2" xfId="341" xr:uid="{00000000-0005-0000-0000-0000C5030000}"/>
    <cellStyle name="CalcVal" xfId="4103" xr:uid="{00000000-0005-0000-0000-0000C6030000}"/>
    <cellStyle name="CalcValData" xfId="4104" xr:uid="{00000000-0005-0000-0000-0000C7030000}"/>
    <cellStyle name="Check Cell" xfId="106" builtinId="23" customBuiltin="1"/>
    <cellStyle name="Check Cell 2" xfId="342" xr:uid="{00000000-0005-0000-0000-0000C9030000}"/>
    <cellStyle name="ColComponent" xfId="4105" xr:uid="{00000000-0005-0000-0000-0000CA030000}"/>
    <cellStyle name="ColGeneral" xfId="4106" xr:uid="{00000000-0005-0000-0000-0000CB030000}"/>
    <cellStyle name="ColGeneral 2" xfId="4862" xr:uid="{00000000-0005-0000-0000-0000CC030000}"/>
    <cellStyle name="ColMould" xfId="4107" xr:uid="{00000000-0005-0000-0000-0000CD030000}"/>
    <cellStyle name="ColProcess" xfId="4108" xr:uid="{00000000-0005-0000-0000-0000CE030000}"/>
    <cellStyle name="ColSup" xfId="4109" xr:uid="{00000000-0005-0000-0000-0000CF030000}"/>
    <cellStyle name="Column_Title" xfId="4110" xr:uid="{00000000-0005-0000-0000-0000D0030000}"/>
    <cellStyle name="Comma" xfId="1" builtinId="3"/>
    <cellStyle name="Comma  - Style1" xfId="4111" xr:uid="{00000000-0005-0000-0000-0000D2030000}"/>
    <cellStyle name="Comma  - Style2" xfId="4112" xr:uid="{00000000-0005-0000-0000-0000D3030000}"/>
    <cellStyle name="Comma  - Style3" xfId="4113" xr:uid="{00000000-0005-0000-0000-0000D4030000}"/>
    <cellStyle name="Comma  - Style4" xfId="4114" xr:uid="{00000000-0005-0000-0000-0000D5030000}"/>
    <cellStyle name="Comma  - Style5" xfId="4115" xr:uid="{00000000-0005-0000-0000-0000D6030000}"/>
    <cellStyle name="Comma  - Style6" xfId="4116" xr:uid="{00000000-0005-0000-0000-0000D7030000}"/>
    <cellStyle name="Comma  - Style7" xfId="4117" xr:uid="{00000000-0005-0000-0000-0000D8030000}"/>
    <cellStyle name="Comma  - Style8" xfId="4118" xr:uid="{00000000-0005-0000-0000-0000D9030000}"/>
    <cellStyle name="Comma [00]" xfId="4119" xr:uid="{00000000-0005-0000-0000-0000DA030000}"/>
    <cellStyle name="Comma 10" xfId="4120" xr:uid="{00000000-0005-0000-0000-0000DB030000}"/>
    <cellStyle name="Comma 10 2" xfId="4121" xr:uid="{00000000-0005-0000-0000-0000DC030000}"/>
    <cellStyle name="Comma 10 4" xfId="3605" xr:uid="{00000000-0005-0000-0000-0000DD030000}"/>
    <cellStyle name="Comma 11" xfId="4122" xr:uid="{00000000-0005-0000-0000-0000DE030000}"/>
    <cellStyle name="Comma 11 2" xfId="4123" xr:uid="{00000000-0005-0000-0000-0000DF030000}"/>
    <cellStyle name="Comma 12" xfId="4124" xr:uid="{00000000-0005-0000-0000-0000E0030000}"/>
    <cellStyle name="Comma 12 2" xfId="4125" xr:uid="{00000000-0005-0000-0000-0000E1030000}"/>
    <cellStyle name="Comma 13" xfId="4126" xr:uid="{00000000-0005-0000-0000-0000E2030000}"/>
    <cellStyle name="Comma 14" xfId="4127" xr:uid="{00000000-0005-0000-0000-0000E3030000}"/>
    <cellStyle name="Comma 15" xfId="4128" xr:uid="{00000000-0005-0000-0000-0000E4030000}"/>
    <cellStyle name="Comma 16" xfId="4129" xr:uid="{00000000-0005-0000-0000-0000E5030000}"/>
    <cellStyle name="Comma 17" xfId="4130" xr:uid="{00000000-0005-0000-0000-0000E6030000}"/>
    <cellStyle name="Comma 18" xfId="4131" xr:uid="{00000000-0005-0000-0000-0000E7030000}"/>
    <cellStyle name="Comma 18 2" xfId="4132" xr:uid="{00000000-0005-0000-0000-0000E8030000}"/>
    <cellStyle name="Comma 19" xfId="4133" xr:uid="{00000000-0005-0000-0000-0000E9030000}"/>
    <cellStyle name="Comma 19 2" xfId="4134" xr:uid="{00000000-0005-0000-0000-0000EA030000}"/>
    <cellStyle name="Comma 2" xfId="65" xr:uid="{00000000-0005-0000-0000-0000EB030000}"/>
    <cellStyle name="Comma 2 10" xfId="343" xr:uid="{00000000-0005-0000-0000-0000EC030000}"/>
    <cellStyle name="Comma 2 100" xfId="4135" xr:uid="{00000000-0005-0000-0000-0000ED030000}"/>
    <cellStyle name="Comma 2 101" xfId="4596" xr:uid="{00000000-0005-0000-0000-0000EE030000}"/>
    <cellStyle name="Comma 2 102" xfId="143" xr:uid="{00000000-0005-0000-0000-0000EF030000}"/>
    <cellStyle name="Comma 2 102 2" xfId="4820" xr:uid="{00000000-0005-0000-0000-0000F0030000}"/>
    <cellStyle name="Comma 2 103" xfId="4662" xr:uid="{00000000-0005-0000-0000-0000F1030000}"/>
    <cellStyle name="Comma 2 104" xfId="4943" xr:uid="{00000000-0005-0000-0000-0000F2030000}"/>
    <cellStyle name="Comma 2 11" xfId="344" xr:uid="{00000000-0005-0000-0000-0000F3030000}"/>
    <cellStyle name="Comma 2 12" xfId="345" xr:uid="{00000000-0005-0000-0000-0000F4030000}"/>
    <cellStyle name="Comma 2 13" xfId="346" xr:uid="{00000000-0005-0000-0000-0000F5030000}"/>
    <cellStyle name="Comma 2 14" xfId="347" xr:uid="{00000000-0005-0000-0000-0000F6030000}"/>
    <cellStyle name="Comma 2 15" xfId="348" xr:uid="{00000000-0005-0000-0000-0000F7030000}"/>
    <cellStyle name="Comma 2 16" xfId="349" xr:uid="{00000000-0005-0000-0000-0000F8030000}"/>
    <cellStyle name="Comma 2 17" xfId="350" xr:uid="{00000000-0005-0000-0000-0000F9030000}"/>
    <cellStyle name="Comma 2 18" xfId="351" xr:uid="{00000000-0005-0000-0000-0000FA030000}"/>
    <cellStyle name="Comma 2 19" xfId="352" xr:uid="{00000000-0005-0000-0000-0000FB030000}"/>
    <cellStyle name="Comma 2 2" xfId="155" xr:uid="{00000000-0005-0000-0000-0000FC030000}"/>
    <cellStyle name="Comma 2 2 10" xfId="353" xr:uid="{00000000-0005-0000-0000-0000FD030000}"/>
    <cellStyle name="Comma 2 2 11" xfId="354" xr:uid="{00000000-0005-0000-0000-0000FE030000}"/>
    <cellStyle name="Comma 2 2 12" xfId="355" xr:uid="{00000000-0005-0000-0000-0000FF030000}"/>
    <cellStyle name="Comma 2 2 13" xfId="356" xr:uid="{00000000-0005-0000-0000-000000040000}"/>
    <cellStyle name="Comma 2 2 14" xfId="357" xr:uid="{00000000-0005-0000-0000-000001040000}"/>
    <cellStyle name="Comma 2 2 15" xfId="358" xr:uid="{00000000-0005-0000-0000-000002040000}"/>
    <cellStyle name="Comma 2 2 16" xfId="359" xr:uid="{00000000-0005-0000-0000-000003040000}"/>
    <cellStyle name="Comma 2 2 17" xfId="360" xr:uid="{00000000-0005-0000-0000-000004040000}"/>
    <cellStyle name="Comma 2 2 18" xfId="361" xr:uid="{00000000-0005-0000-0000-000005040000}"/>
    <cellStyle name="Comma 2 2 19" xfId="362" xr:uid="{00000000-0005-0000-0000-000006040000}"/>
    <cellStyle name="Comma 2 2 2" xfId="363" xr:uid="{00000000-0005-0000-0000-000007040000}"/>
    <cellStyle name="Comma 2 2 2 10" xfId="364" xr:uid="{00000000-0005-0000-0000-000008040000}"/>
    <cellStyle name="Comma 2 2 2 11" xfId="365" xr:uid="{00000000-0005-0000-0000-000009040000}"/>
    <cellStyle name="Comma 2 2 2 12" xfId="366" xr:uid="{00000000-0005-0000-0000-00000A040000}"/>
    <cellStyle name="Comma 2 2 2 13" xfId="367" xr:uid="{00000000-0005-0000-0000-00000B040000}"/>
    <cellStyle name="Comma 2 2 2 14" xfId="368" xr:uid="{00000000-0005-0000-0000-00000C040000}"/>
    <cellStyle name="Comma 2 2 2 15" xfId="369" xr:uid="{00000000-0005-0000-0000-00000D040000}"/>
    <cellStyle name="Comma 2 2 2 16" xfId="370" xr:uid="{00000000-0005-0000-0000-00000E040000}"/>
    <cellStyle name="Comma 2 2 2 17" xfId="371" xr:uid="{00000000-0005-0000-0000-00000F040000}"/>
    <cellStyle name="Comma 2 2 2 18" xfId="372" xr:uid="{00000000-0005-0000-0000-000010040000}"/>
    <cellStyle name="Comma 2 2 2 19" xfId="373" xr:uid="{00000000-0005-0000-0000-000011040000}"/>
    <cellStyle name="Comma 2 2 2 2" xfId="374" xr:uid="{00000000-0005-0000-0000-000012040000}"/>
    <cellStyle name="Comma 2 2 2 2 10" xfId="375" xr:uid="{00000000-0005-0000-0000-000013040000}"/>
    <cellStyle name="Comma 2 2 2 2 11" xfId="376" xr:uid="{00000000-0005-0000-0000-000014040000}"/>
    <cellStyle name="Comma 2 2 2 2 12" xfId="377" xr:uid="{00000000-0005-0000-0000-000015040000}"/>
    <cellStyle name="Comma 2 2 2 2 13" xfId="378" xr:uid="{00000000-0005-0000-0000-000016040000}"/>
    <cellStyle name="Comma 2 2 2 2 14" xfId="379" xr:uid="{00000000-0005-0000-0000-000017040000}"/>
    <cellStyle name="Comma 2 2 2 2 15" xfId="380" xr:uid="{00000000-0005-0000-0000-000018040000}"/>
    <cellStyle name="Comma 2 2 2 2 16" xfId="381" xr:uid="{00000000-0005-0000-0000-000019040000}"/>
    <cellStyle name="Comma 2 2 2 2 17" xfId="382" xr:uid="{00000000-0005-0000-0000-00001A040000}"/>
    <cellStyle name="Comma 2 2 2 2 18" xfId="383" xr:uid="{00000000-0005-0000-0000-00001B040000}"/>
    <cellStyle name="Comma 2 2 2 2 19" xfId="384" xr:uid="{00000000-0005-0000-0000-00001C040000}"/>
    <cellStyle name="Comma 2 2 2 2 2" xfId="385" xr:uid="{00000000-0005-0000-0000-00001D040000}"/>
    <cellStyle name="Comma 2 2 2 2 2 10" xfId="386" xr:uid="{00000000-0005-0000-0000-00001E040000}"/>
    <cellStyle name="Comma 2 2 2 2 2 11" xfId="387" xr:uid="{00000000-0005-0000-0000-00001F040000}"/>
    <cellStyle name="Comma 2 2 2 2 2 12" xfId="388" xr:uid="{00000000-0005-0000-0000-000020040000}"/>
    <cellStyle name="Comma 2 2 2 2 2 13" xfId="389" xr:uid="{00000000-0005-0000-0000-000021040000}"/>
    <cellStyle name="Comma 2 2 2 2 2 14" xfId="390" xr:uid="{00000000-0005-0000-0000-000022040000}"/>
    <cellStyle name="Comma 2 2 2 2 2 15" xfId="391" xr:uid="{00000000-0005-0000-0000-000023040000}"/>
    <cellStyle name="Comma 2 2 2 2 2 16" xfId="392" xr:uid="{00000000-0005-0000-0000-000024040000}"/>
    <cellStyle name="Comma 2 2 2 2 2 17" xfId="393" xr:uid="{00000000-0005-0000-0000-000025040000}"/>
    <cellStyle name="Comma 2 2 2 2 2 18" xfId="394" xr:uid="{00000000-0005-0000-0000-000026040000}"/>
    <cellStyle name="Comma 2 2 2 2 2 19" xfId="395" xr:uid="{00000000-0005-0000-0000-000027040000}"/>
    <cellStyle name="Comma 2 2 2 2 2 2" xfId="396" xr:uid="{00000000-0005-0000-0000-000028040000}"/>
    <cellStyle name="Comma 2 2 2 2 2 20" xfId="397" xr:uid="{00000000-0005-0000-0000-000029040000}"/>
    <cellStyle name="Comma 2 2 2 2 2 21" xfId="398" xr:uid="{00000000-0005-0000-0000-00002A040000}"/>
    <cellStyle name="Comma 2 2 2 2 2 22" xfId="399" xr:uid="{00000000-0005-0000-0000-00002B040000}"/>
    <cellStyle name="Comma 2 2 2 2 2 23" xfId="400" xr:uid="{00000000-0005-0000-0000-00002C040000}"/>
    <cellStyle name="Comma 2 2 2 2 2 24" xfId="401" xr:uid="{00000000-0005-0000-0000-00002D040000}"/>
    <cellStyle name="Comma 2 2 2 2 2 3" xfId="402" xr:uid="{00000000-0005-0000-0000-00002E040000}"/>
    <cellStyle name="Comma 2 2 2 2 2 4" xfId="403" xr:uid="{00000000-0005-0000-0000-00002F040000}"/>
    <cellStyle name="Comma 2 2 2 2 2 5" xfId="404" xr:uid="{00000000-0005-0000-0000-000030040000}"/>
    <cellStyle name="Comma 2 2 2 2 2 6" xfId="405" xr:uid="{00000000-0005-0000-0000-000031040000}"/>
    <cellStyle name="Comma 2 2 2 2 2 7" xfId="406" xr:uid="{00000000-0005-0000-0000-000032040000}"/>
    <cellStyle name="Comma 2 2 2 2 2 8" xfId="407" xr:uid="{00000000-0005-0000-0000-000033040000}"/>
    <cellStyle name="Comma 2 2 2 2 2 9" xfId="408" xr:uid="{00000000-0005-0000-0000-000034040000}"/>
    <cellStyle name="Comma 2 2 2 2 20" xfId="409" xr:uid="{00000000-0005-0000-0000-000035040000}"/>
    <cellStyle name="Comma 2 2 2 2 21" xfId="410" xr:uid="{00000000-0005-0000-0000-000036040000}"/>
    <cellStyle name="Comma 2 2 2 2 22" xfId="411" xr:uid="{00000000-0005-0000-0000-000037040000}"/>
    <cellStyle name="Comma 2 2 2 2 23" xfId="412" xr:uid="{00000000-0005-0000-0000-000038040000}"/>
    <cellStyle name="Comma 2 2 2 2 24" xfId="413" xr:uid="{00000000-0005-0000-0000-000039040000}"/>
    <cellStyle name="Comma 2 2 2 2 3" xfId="414" xr:uid="{00000000-0005-0000-0000-00003A040000}"/>
    <cellStyle name="Comma 2 2 2 2 4" xfId="415" xr:uid="{00000000-0005-0000-0000-00003B040000}"/>
    <cellStyle name="Comma 2 2 2 2 5" xfId="416" xr:uid="{00000000-0005-0000-0000-00003C040000}"/>
    <cellStyle name="Comma 2 2 2 2 6" xfId="417" xr:uid="{00000000-0005-0000-0000-00003D040000}"/>
    <cellStyle name="Comma 2 2 2 2 7" xfId="418" xr:uid="{00000000-0005-0000-0000-00003E040000}"/>
    <cellStyle name="Comma 2 2 2 2 8" xfId="419" xr:uid="{00000000-0005-0000-0000-00003F040000}"/>
    <cellStyle name="Comma 2 2 2 2 9" xfId="420" xr:uid="{00000000-0005-0000-0000-000040040000}"/>
    <cellStyle name="Comma 2 2 2 20" xfId="421" xr:uid="{00000000-0005-0000-0000-000041040000}"/>
    <cellStyle name="Comma 2 2 2 21" xfId="422" xr:uid="{00000000-0005-0000-0000-000042040000}"/>
    <cellStyle name="Comma 2 2 2 22" xfId="423" xr:uid="{00000000-0005-0000-0000-000043040000}"/>
    <cellStyle name="Comma 2 2 2 23" xfId="424" xr:uid="{00000000-0005-0000-0000-000044040000}"/>
    <cellStyle name="Comma 2 2 2 24" xfId="425" xr:uid="{00000000-0005-0000-0000-000045040000}"/>
    <cellStyle name="Comma 2 2 2 25" xfId="426" xr:uid="{00000000-0005-0000-0000-000046040000}"/>
    <cellStyle name="Comma 2 2 2 26" xfId="427" xr:uid="{00000000-0005-0000-0000-000047040000}"/>
    <cellStyle name="Comma 2 2 2 27" xfId="428" xr:uid="{00000000-0005-0000-0000-000048040000}"/>
    <cellStyle name="Comma 2 2 2 28" xfId="429" xr:uid="{00000000-0005-0000-0000-000049040000}"/>
    <cellStyle name="Comma 2 2 2 29" xfId="430" xr:uid="{00000000-0005-0000-0000-00004A040000}"/>
    <cellStyle name="Comma 2 2 2 3" xfId="431" xr:uid="{00000000-0005-0000-0000-00004B040000}"/>
    <cellStyle name="Comma 2 2 2 30" xfId="432" xr:uid="{00000000-0005-0000-0000-00004C040000}"/>
    <cellStyle name="Comma 2 2 2 4" xfId="433" xr:uid="{00000000-0005-0000-0000-00004D040000}"/>
    <cellStyle name="Comma 2 2 2 5" xfId="434" xr:uid="{00000000-0005-0000-0000-00004E040000}"/>
    <cellStyle name="Comma 2 2 2 6" xfId="435" xr:uid="{00000000-0005-0000-0000-00004F040000}"/>
    <cellStyle name="Comma 2 2 2 7" xfId="436" xr:uid="{00000000-0005-0000-0000-000050040000}"/>
    <cellStyle name="Comma 2 2 2 8" xfId="437" xr:uid="{00000000-0005-0000-0000-000051040000}"/>
    <cellStyle name="Comma 2 2 2 9" xfId="438" xr:uid="{00000000-0005-0000-0000-000052040000}"/>
    <cellStyle name="Comma 2 2 20" xfId="439" xr:uid="{00000000-0005-0000-0000-000053040000}"/>
    <cellStyle name="Comma 2 2 21" xfId="440" xr:uid="{00000000-0005-0000-0000-000054040000}"/>
    <cellStyle name="Comma 2 2 22" xfId="441" xr:uid="{00000000-0005-0000-0000-000055040000}"/>
    <cellStyle name="Comma 2 2 23" xfId="442" xr:uid="{00000000-0005-0000-0000-000056040000}"/>
    <cellStyle name="Comma 2 2 24" xfId="443" xr:uid="{00000000-0005-0000-0000-000057040000}"/>
    <cellStyle name="Comma 2 2 25" xfId="444" xr:uid="{00000000-0005-0000-0000-000058040000}"/>
    <cellStyle name="Comma 2 2 26" xfId="445" xr:uid="{00000000-0005-0000-0000-000059040000}"/>
    <cellStyle name="Comma 2 2 27" xfId="446" xr:uid="{00000000-0005-0000-0000-00005A040000}"/>
    <cellStyle name="Comma 2 2 28" xfId="447" xr:uid="{00000000-0005-0000-0000-00005B040000}"/>
    <cellStyle name="Comma 2 2 29" xfId="448" xr:uid="{00000000-0005-0000-0000-00005C040000}"/>
    <cellStyle name="Comma 2 2 3" xfId="449" xr:uid="{00000000-0005-0000-0000-00005D040000}"/>
    <cellStyle name="Comma 2 2 3 10" xfId="450" xr:uid="{00000000-0005-0000-0000-00005E040000}"/>
    <cellStyle name="Comma 2 2 3 11" xfId="451" xr:uid="{00000000-0005-0000-0000-00005F040000}"/>
    <cellStyle name="Comma 2 2 3 12" xfId="452" xr:uid="{00000000-0005-0000-0000-000060040000}"/>
    <cellStyle name="Comma 2 2 3 13" xfId="453" xr:uid="{00000000-0005-0000-0000-000061040000}"/>
    <cellStyle name="Comma 2 2 3 14" xfId="454" xr:uid="{00000000-0005-0000-0000-000062040000}"/>
    <cellStyle name="Comma 2 2 3 15" xfId="455" xr:uid="{00000000-0005-0000-0000-000063040000}"/>
    <cellStyle name="Comma 2 2 3 16" xfId="456" xr:uid="{00000000-0005-0000-0000-000064040000}"/>
    <cellStyle name="Comma 2 2 3 17" xfId="457" xr:uid="{00000000-0005-0000-0000-000065040000}"/>
    <cellStyle name="Comma 2 2 3 18" xfId="458" xr:uid="{00000000-0005-0000-0000-000066040000}"/>
    <cellStyle name="Comma 2 2 3 19" xfId="459" xr:uid="{00000000-0005-0000-0000-000067040000}"/>
    <cellStyle name="Comma 2 2 3 2" xfId="460" xr:uid="{00000000-0005-0000-0000-000068040000}"/>
    <cellStyle name="Comma 2 2 3 2 10" xfId="461" xr:uid="{00000000-0005-0000-0000-000069040000}"/>
    <cellStyle name="Comma 2 2 3 2 11" xfId="462" xr:uid="{00000000-0005-0000-0000-00006A040000}"/>
    <cellStyle name="Comma 2 2 3 2 12" xfId="463" xr:uid="{00000000-0005-0000-0000-00006B040000}"/>
    <cellStyle name="Comma 2 2 3 2 13" xfId="464" xr:uid="{00000000-0005-0000-0000-00006C040000}"/>
    <cellStyle name="Comma 2 2 3 2 14" xfId="465" xr:uid="{00000000-0005-0000-0000-00006D040000}"/>
    <cellStyle name="Comma 2 2 3 2 15" xfId="466" xr:uid="{00000000-0005-0000-0000-00006E040000}"/>
    <cellStyle name="Comma 2 2 3 2 16" xfId="467" xr:uid="{00000000-0005-0000-0000-00006F040000}"/>
    <cellStyle name="Comma 2 2 3 2 17" xfId="468" xr:uid="{00000000-0005-0000-0000-000070040000}"/>
    <cellStyle name="Comma 2 2 3 2 18" xfId="469" xr:uid="{00000000-0005-0000-0000-000071040000}"/>
    <cellStyle name="Comma 2 2 3 2 19" xfId="470" xr:uid="{00000000-0005-0000-0000-000072040000}"/>
    <cellStyle name="Comma 2 2 3 2 2" xfId="471" xr:uid="{00000000-0005-0000-0000-000073040000}"/>
    <cellStyle name="Comma 2 2 3 2 20" xfId="472" xr:uid="{00000000-0005-0000-0000-000074040000}"/>
    <cellStyle name="Comma 2 2 3 2 21" xfId="473" xr:uid="{00000000-0005-0000-0000-000075040000}"/>
    <cellStyle name="Comma 2 2 3 2 22" xfId="474" xr:uid="{00000000-0005-0000-0000-000076040000}"/>
    <cellStyle name="Comma 2 2 3 2 23" xfId="475" xr:uid="{00000000-0005-0000-0000-000077040000}"/>
    <cellStyle name="Comma 2 2 3 2 24" xfId="476" xr:uid="{00000000-0005-0000-0000-000078040000}"/>
    <cellStyle name="Comma 2 2 3 2 3" xfId="477" xr:uid="{00000000-0005-0000-0000-000079040000}"/>
    <cellStyle name="Comma 2 2 3 2 4" xfId="478" xr:uid="{00000000-0005-0000-0000-00007A040000}"/>
    <cellStyle name="Comma 2 2 3 2 5" xfId="479" xr:uid="{00000000-0005-0000-0000-00007B040000}"/>
    <cellStyle name="Comma 2 2 3 2 6" xfId="480" xr:uid="{00000000-0005-0000-0000-00007C040000}"/>
    <cellStyle name="Comma 2 2 3 2 7" xfId="481" xr:uid="{00000000-0005-0000-0000-00007D040000}"/>
    <cellStyle name="Comma 2 2 3 2 8" xfId="482" xr:uid="{00000000-0005-0000-0000-00007E040000}"/>
    <cellStyle name="Comma 2 2 3 2 9" xfId="483" xr:uid="{00000000-0005-0000-0000-00007F040000}"/>
    <cellStyle name="Comma 2 2 3 20" xfId="484" xr:uid="{00000000-0005-0000-0000-000080040000}"/>
    <cellStyle name="Comma 2 2 3 21" xfId="485" xr:uid="{00000000-0005-0000-0000-000081040000}"/>
    <cellStyle name="Comma 2 2 3 22" xfId="486" xr:uid="{00000000-0005-0000-0000-000082040000}"/>
    <cellStyle name="Comma 2 2 3 23" xfId="487" xr:uid="{00000000-0005-0000-0000-000083040000}"/>
    <cellStyle name="Comma 2 2 3 24" xfId="488" xr:uid="{00000000-0005-0000-0000-000084040000}"/>
    <cellStyle name="Comma 2 2 3 3" xfId="489" xr:uid="{00000000-0005-0000-0000-000085040000}"/>
    <cellStyle name="Comma 2 2 3 4" xfId="490" xr:uid="{00000000-0005-0000-0000-000086040000}"/>
    <cellStyle name="Comma 2 2 3 5" xfId="491" xr:uid="{00000000-0005-0000-0000-000087040000}"/>
    <cellStyle name="Comma 2 2 3 6" xfId="492" xr:uid="{00000000-0005-0000-0000-000088040000}"/>
    <cellStyle name="Comma 2 2 3 7" xfId="493" xr:uid="{00000000-0005-0000-0000-000089040000}"/>
    <cellStyle name="Comma 2 2 3 8" xfId="494" xr:uid="{00000000-0005-0000-0000-00008A040000}"/>
    <cellStyle name="Comma 2 2 3 9" xfId="495" xr:uid="{00000000-0005-0000-0000-00008B040000}"/>
    <cellStyle name="Comma 2 2 30" xfId="496" xr:uid="{00000000-0005-0000-0000-00008C040000}"/>
    <cellStyle name="Comma 2 2 4" xfId="497" xr:uid="{00000000-0005-0000-0000-00008D040000}"/>
    <cellStyle name="Comma 2 2 5" xfId="498" xr:uid="{00000000-0005-0000-0000-00008E040000}"/>
    <cellStyle name="Comma 2 2 6" xfId="499" xr:uid="{00000000-0005-0000-0000-00008F040000}"/>
    <cellStyle name="Comma 2 2 7" xfId="500" xr:uid="{00000000-0005-0000-0000-000090040000}"/>
    <cellStyle name="Comma 2 2 8" xfId="501" xr:uid="{00000000-0005-0000-0000-000091040000}"/>
    <cellStyle name="Comma 2 2 9" xfId="502" xr:uid="{00000000-0005-0000-0000-000092040000}"/>
    <cellStyle name="Comma 2 20" xfId="503" xr:uid="{00000000-0005-0000-0000-000093040000}"/>
    <cellStyle name="Comma 2 21" xfId="504" xr:uid="{00000000-0005-0000-0000-000094040000}"/>
    <cellStyle name="Comma 2 22" xfId="505" xr:uid="{00000000-0005-0000-0000-000095040000}"/>
    <cellStyle name="Comma 2 23" xfId="506" xr:uid="{00000000-0005-0000-0000-000096040000}"/>
    <cellStyle name="Comma 2 24" xfId="507" xr:uid="{00000000-0005-0000-0000-000097040000}"/>
    <cellStyle name="Comma 2 25" xfId="508" xr:uid="{00000000-0005-0000-0000-000098040000}"/>
    <cellStyle name="Comma 2 26" xfId="509" xr:uid="{00000000-0005-0000-0000-000099040000}"/>
    <cellStyle name="Comma 2 27" xfId="510" xr:uid="{00000000-0005-0000-0000-00009A040000}"/>
    <cellStyle name="Comma 2 28" xfId="511" xr:uid="{00000000-0005-0000-0000-00009B040000}"/>
    <cellStyle name="Comma 2 29" xfId="512" xr:uid="{00000000-0005-0000-0000-00009C040000}"/>
    <cellStyle name="Comma 2 3" xfId="513" xr:uid="{00000000-0005-0000-0000-00009D040000}"/>
    <cellStyle name="Comma 2 3 2" xfId="514" xr:uid="{00000000-0005-0000-0000-00009E040000}"/>
    <cellStyle name="Comma 2 30" xfId="515" xr:uid="{00000000-0005-0000-0000-00009F040000}"/>
    <cellStyle name="Comma 2 31" xfId="516" xr:uid="{00000000-0005-0000-0000-0000A0040000}"/>
    <cellStyle name="Comma 2 32" xfId="517" xr:uid="{00000000-0005-0000-0000-0000A1040000}"/>
    <cellStyle name="Comma 2 33" xfId="518" xr:uid="{00000000-0005-0000-0000-0000A2040000}"/>
    <cellStyle name="Comma 2 34" xfId="519" xr:uid="{00000000-0005-0000-0000-0000A3040000}"/>
    <cellStyle name="Comma 2 35" xfId="520" xr:uid="{00000000-0005-0000-0000-0000A4040000}"/>
    <cellStyle name="Comma 2 36" xfId="521" xr:uid="{00000000-0005-0000-0000-0000A5040000}"/>
    <cellStyle name="Comma 2 37" xfId="522" xr:uid="{00000000-0005-0000-0000-0000A6040000}"/>
    <cellStyle name="Comma 2 38" xfId="523" xr:uid="{00000000-0005-0000-0000-0000A7040000}"/>
    <cellStyle name="Comma 2 39" xfId="524" xr:uid="{00000000-0005-0000-0000-0000A8040000}"/>
    <cellStyle name="Comma 2 4" xfId="525" xr:uid="{00000000-0005-0000-0000-0000A9040000}"/>
    <cellStyle name="Comma 2 4 10" xfId="526" xr:uid="{00000000-0005-0000-0000-0000AA040000}"/>
    <cellStyle name="Comma 2 4 11" xfId="527" xr:uid="{00000000-0005-0000-0000-0000AB040000}"/>
    <cellStyle name="Comma 2 4 12" xfId="528" xr:uid="{00000000-0005-0000-0000-0000AC040000}"/>
    <cellStyle name="Comma 2 4 13" xfId="529" xr:uid="{00000000-0005-0000-0000-0000AD040000}"/>
    <cellStyle name="Comma 2 4 14" xfId="530" xr:uid="{00000000-0005-0000-0000-0000AE040000}"/>
    <cellStyle name="Comma 2 4 15" xfId="531" xr:uid="{00000000-0005-0000-0000-0000AF040000}"/>
    <cellStyle name="Comma 2 4 16" xfId="532" xr:uid="{00000000-0005-0000-0000-0000B0040000}"/>
    <cellStyle name="Comma 2 4 17" xfId="533" xr:uid="{00000000-0005-0000-0000-0000B1040000}"/>
    <cellStyle name="Comma 2 4 18" xfId="534" xr:uid="{00000000-0005-0000-0000-0000B2040000}"/>
    <cellStyle name="Comma 2 4 19" xfId="535" xr:uid="{00000000-0005-0000-0000-0000B3040000}"/>
    <cellStyle name="Comma 2 4 2" xfId="536" xr:uid="{00000000-0005-0000-0000-0000B4040000}"/>
    <cellStyle name="Comma 2 4 2 2" xfId="4136" xr:uid="{00000000-0005-0000-0000-0000B5040000}"/>
    <cellStyle name="Comma 2 4 2 3" xfId="4597" xr:uid="{00000000-0005-0000-0000-0000B6040000}"/>
    <cellStyle name="Comma 2 4 20" xfId="537" xr:uid="{00000000-0005-0000-0000-0000B7040000}"/>
    <cellStyle name="Comma 2 4 21" xfId="538" xr:uid="{00000000-0005-0000-0000-0000B8040000}"/>
    <cellStyle name="Comma 2 4 22" xfId="539" xr:uid="{00000000-0005-0000-0000-0000B9040000}"/>
    <cellStyle name="Comma 2 4 23" xfId="540" xr:uid="{00000000-0005-0000-0000-0000BA040000}"/>
    <cellStyle name="Comma 2 4 24" xfId="541" xr:uid="{00000000-0005-0000-0000-0000BB040000}"/>
    <cellStyle name="Comma 2 4 25" xfId="542" xr:uid="{00000000-0005-0000-0000-0000BC040000}"/>
    <cellStyle name="Comma 2 4 26" xfId="543" xr:uid="{00000000-0005-0000-0000-0000BD040000}"/>
    <cellStyle name="Comma 2 4 27" xfId="544" xr:uid="{00000000-0005-0000-0000-0000BE040000}"/>
    <cellStyle name="Comma 2 4 28" xfId="545" xr:uid="{00000000-0005-0000-0000-0000BF040000}"/>
    <cellStyle name="Comma 2 4 29" xfId="546" xr:uid="{00000000-0005-0000-0000-0000C0040000}"/>
    <cellStyle name="Comma 2 4 3" xfId="547" xr:uid="{00000000-0005-0000-0000-0000C1040000}"/>
    <cellStyle name="Comma 2 4 3 2" xfId="4137" xr:uid="{00000000-0005-0000-0000-0000C2040000}"/>
    <cellStyle name="Comma 2 4 3 3" xfId="4598" xr:uid="{00000000-0005-0000-0000-0000C3040000}"/>
    <cellStyle name="Comma 2 4 30" xfId="548" xr:uid="{00000000-0005-0000-0000-0000C4040000}"/>
    <cellStyle name="Comma 2 4 31" xfId="549" xr:uid="{00000000-0005-0000-0000-0000C5040000}"/>
    <cellStyle name="Comma 2 4 32" xfId="550" xr:uid="{00000000-0005-0000-0000-0000C6040000}"/>
    <cellStyle name="Comma 2 4 33" xfId="551" xr:uid="{00000000-0005-0000-0000-0000C7040000}"/>
    <cellStyle name="Comma 2 4 34" xfId="552" xr:uid="{00000000-0005-0000-0000-0000C8040000}"/>
    <cellStyle name="Comma 2 4 35" xfId="553" xr:uid="{00000000-0005-0000-0000-0000C9040000}"/>
    <cellStyle name="Comma 2 4 36" xfId="554" xr:uid="{00000000-0005-0000-0000-0000CA040000}"/>
    <cellStyle name="Comma 2 4 37" xfId="555" xr:uid="{00000000-0005-0000-0000-0000CB040000}"/>
    <cellStyle name="Comma 2 4 38" xfId="556" xr:uid="{00000000-0005-0000-0000-0000CC040000}"/>
    <cellStyle name="Comma 2 4 39" xfId="557" xr:uid="{00000000-0005-0000-0000-0000CD040000}"/>
    <cellStyle name="Comma 2 4 4" xfId="558" xr:uid="{00000000-0005-0000-0000-0000CE040000}"/>
    <cellStyle name="Comma 2 4 40" xfId="559" xr:uid="{00000000-0005-0000-0000-0000CF040000}"/>
    <cellStyle name="Comma 2 4 41" xfId="560" xr:uid="{00000000-0005-0000-0000-0000D0040000}"/>
    <cellStyle name="Comma 2 4 42" xfId="561" xr:uid="{00000000-0005-0000-0000-0000D1040000}"/>
    <cellStyle name="Comma 2 4 43" xfId="562" xr:uid="{00000000-0005-0000-0000-0000D2040000}"/>
    <cellStyle name="Comma 2 4 44" xfId="563" xr:uid="{00000000-0005-0000-0000-0000D3040000}"/>
    <cellStyle name="Comma 2 4 45" xfId="564" xr:uid="{00000000-0005-0000-0000-0000D4040000}"/>
    <cellStyle name="Comma 2 4 46" xfId="565" xr:uid="{00000000-0005-0000-0000-0000D5040000}"/>
    <cellStyle name="Comma 2 4 47" xfId="566" xr:uid="{00000000-0005-0000-0000-0000D6040000}"/>
    <cellStyle name="Comma 2 4 48" xfId="567" xr:uid="{00000000-0005-0000-0000-0000D7040000}"/>
    <cellStyle name="Comma 2 4 49" xfId="568" xr:uid="{00000000-0005-0000-0000-0000D8040000}"/>
    <cellStyle name="Comma 2 4 5" xfId="569" xr:uid="{00000000-0005-0000-0000-0000D9040000}"/>
    <cellStyle name="Comma 2 4 50" xfId="570" xr:uid="{00000000-0005-0000-0000-0000DA040000}"/>
    <cellStyle name="Comma 2 4 51" xfId="571" xr:uid="{00000000-0005-0000-0000-0000DB040000}"/>
    <cellStyle name="Comma 2 4 52" xfId="572" xr:uid="{00000000-0005-0000-0000-0000DC040000}"/>
    <cellStyle name="Comma 2 4 53" xfId="573" xr:uid="{00000000-0005-0000-0000-0000DD040000}"/>
    <cellStyle name="Comma 2 4 54" xfId="574" xr:uid="{00000000-0005-0000-0000-0000DE040000}"/>
    <cellStyle name="Comma 2 4 55" xfId="575" xr:uid="{00000000-0005-0000-0000-0000DF040000}"/>
    <cellStyle name="Comma 2 4 56" xfId="576" xr:uid="{00000000-0005-0000-0000-0000E0040000}"/>
    <cellStyle name="Comma 2 4 6" xfId="577" xr:uid="{00000000-0005-0000-0000-0000E1040000}"/>
    <cellStyle name="Comma 2 4 7" xfId="578" xr:uid="{00000000-0005-0000-0000-0000E2040000}"/>
    <cellStyle name="Comma 2 4 8" xfId="579" xr:uid="{00000000-0005-0000-0000-0000E3040000}"/>
    <cellStyle name="Comma 2 4 9" xfId="580" xr:uid="{00000000-0005-0000-0000-0000E4040000}"/>
    <cellStyle name="Comma 2 40" xfId="581" xr:uid="{00000000-0005-0000-0000-0000E5040000}"/>
    <cellStyle name="Comma 2 41" xfId="582" xr:uid="{00000000-0005-0000-0000-0000E6040000}"/>
    <cellStyle name="Comma 2 42" xfId="583" xr:uid="{00000000-0005-0000-0000-0000E7040000}"/>
    <cellStyle name="Comma 2 43" xfId="584" xr:uid="{00000000-0005-0000-0000-0000E8040000}"/>
    <cellStyle name="Comma 2 44" xfId="585" xr:uid="{00000000-0005-0000-0000-0000E9040000}"/>
    <cellStyle name="Comma 2 45" xfId="586" xr:uid="{00000000-0005-0000-0000-0000EA040000}"/>
    <cellStyle name="Comma 2 46" xfId="587" xr:uid="{00000000-0005-0000-0000-0000EB040000}"/>
    <cellStyle name="Comma 2 47" xfId="588" xr:uid="{00000000-0005-0000-0000-0000EC040000}"/>
    <cellStyle name="Comma 2 48" xfId="589" xr:uid="{00000000-0005-0000-0000-0000ED040000}"/>
    <cellStyle name="Comma 2 49" xfId="590" xr:uid="{00000000-0005-0000-0000-0000EE040000}"/>
    <cellStyle name="Comma 2 5" xfId="591" xr:uid="{00000000-0005-0000-0000-0000EF040000}"/>
    <cellStyle name="Comma 2 5 10" xfId="592" xr:uid="{00000000-0005-0000-0000-0000F0040000}"/>
    <cellStyle name="Comma 2 5 11" xfId="593" xr:uid="{00000000-0005-0000-0000-0000F1040000}"/>
    <cellStyle name="Comma 2 5 12" xfId="594" xr:uid="{00000000-0005-0000-0000-0000F2040000}"/>
    <cellStyle name="Comma 2 5 13" xfId="595" xr:uid="{00000000-0005-0000-0000-0000F3040000}"/>
    <cellStyle name="Comma 2 5 14" xfId="596" xr:uid="{00000000-0005-0000-0000-0000F4040000}"/>
    <cellStyle name="Comma 2 5 15" xfId="597" xr:uid="{00000000-0005-0000-0000-0000F5040000}"/>
    <cellStyle name="Comma 2 5 16" xfId="598" xr:uid="{00000000-0005-0000-0000-0000F6040000}"/>
    <cellStyle name="Comma 2 5 17" xfId="599" xr:uid="{00000000-0005-0000-0000-0000F7040000}"/>
    <cellStyle name="Comma 2 5 18" xfId="600" xr:uid="{00000000-0005-0000-0000-0000F8040000}"/>
    <cellStyle name="Comma 2 5 19" xfId="601" xr:uid="{00000000-0005-0000-0000-0000F9040000}"/>
    <cellStyle name="Comma 2 5 2" xfId="602" xr:uid="{00000000-0005-0000-0000-0000FA040000}"/>
    <cellStyle name="Comma 2 5 20" xfId="603" xr:uid="{00000000-0005-0000-0000-0000FB040000}"/>
    <cellStyle name="Comma 2 5 21" xfId="604" xr:uid="{00000000-0005-0000-0000-0000FC040000}"/>
    <cellStyle name="Comma 2 5 22" xfId="605" xr:uid="{00000000-0005-0000-0000-0000FD040000}"/>
    <cellStyle name="Comma 2 5 23" xfId="606" xr:uid="{00000000-0005-0000-0000-0000FE040000}"/>
    <cellStyle name="Comma 2 5 24" xfId="607" xr:uid="{00000000-0005-0000-0000-0000FF040000}"/>
    <cellStyle name="Comma 2 5 25" xfId="608" xr:uid="{00000000-0005-0000-0000-000000050000}"/>
    <cellStyle name="Comma 2 5 26" xfId="609" xr:uid="{00000000-0005-0000-0000-000001050000}"/>
    <cellStyle name="Comma 2 5 27" xfId="610" xr:uid="{00000000-0005-0000-0000-000002050000}"/>
    <cellStyle name="Comma 2 5 28" xfId="611" xr:uid="{00000000-0005-0000-0000-000003050000}"/>
    <cellStyle name="Comma 2 5 29" xfId="612" xr:uid="{00000000-0005-0000-0000-000004050000}"/>
    <cellStyle name="Comma 2 5 3" xfId="613" xr:uid="{00000000-0005-0000-0000-000005050000}"/>
    <cellStyle name="Comma 2 5 30" xfId="614" xr:uid="{00000000-0005-0000-0000-000006050000}"/>
    <cellStyle name="Comma 2 5 31" xfId="615" xr:uid="{00000000-0005-0000-0000-000007050000}"/>
    <cellStyle name="Comma 2 5 32" xfId="616" xr:uid="{00000000-0005-0000-0000-000008050000}"/>
    <cellStyle name="Comma 2 5 33" xfId="617" xr:uid="{00000000-0005-0000-0000-000009050000}"/>
    <cellStyle name="Comma 2 5 34" xfId="618" xr:uid="{00000000-0005-0000-0000-00000A050000}"/>
    <cellStyle name="Comma 2 5 35" xfId="619" xr:uid="{00000000-0005-0000-0000-00000B050000}"/>
    <cellStyle name="Comma 2 5 36" xfId="620" xr:uid="{00000000-0005-0000-0000-00000C050000}"/>
    <cellStyle name="Comma 2 5 37" xfId="621" xr:uid="{00000000-0005-0000-0000-00000D050000}"/>
    <cellStyle name="Comma 2 5 38" xfId="622" xr:uid="{00000000-0005-0000-0000-00000E050000}"/>
    <cellStyle name="Comma 2 5 39" xfId="623" xr:uid="{00000000-0005-0000-0000-00000F050000}"/>
    <cellStyle name="Comma 2 5 4" xfId="624" xr:uid="{00000000-0005-0000-0000-000010050000}"/>
    <cellStyle name="Comma 2 5 40" xfId="625" xr:uid="{00000000-0005-0000-0000-000011050000}"/>
    <cellStyle name="Comma 2 5 41" xfId="626" xr:uid="{00000000-0005-0000-0000-000012050000}"/>
    <cellStyle name="Comma 2 5 42" xfId="627" xr:uid="{00000000-0005-0000-0000-000013050000}"/>
    <cellStyle name="Comma 2 5 43" xfId="628" xr:uid="{00000000-0005-0000-0000-000014050000}"/>
    <cellStyle name="Comma 2 5 44" xfId="629" xr:uid="{00000000-0005-0000-0000-000015050000}"/>
    <cellStyle name="Comma 2 5 45" xfId="630" xr:uid="{00000000-0005-0000-0000-000016050000}"/>
    <cellStyle name="Comma 2 5 46" xfId="631" xr:uid="{00000000-0005-0000-0000-000017050000}"/>
    <cellStyle name="Comma 2 5 47" xfId="632" xr:uid="{00000000-0005-0000-0000-000018050000}"/>
    <cellStyle name="Comma 2 5 48" xfId="633" xr:uid="{00000000-0005-0000-0000-000019050000}"/>
    <cellStyle name="Comma 2 5 49" xfId="634" xr:uid="{00000000-0005-0000-0000-00001A050000}"/>
    <cellStyle name="Comma 2 5 5" xfId="635" xr:uid="{00000000-0005-0000-0000-00001B050000}"/>
    <cellStyle name="Comma 2 5 50" xfId="636" xr:uid="{00000000-0005-0000-0000-00001C050000}"/>
    <cellStyle name="Comma 2 5 51" xfId="637" xr:uid="{00000000-0005-0000-0000-00001D050000}"/>
    <cellStyle name="Comma 2 5 52" xfId="638" xr:uid="{00000000-0005-0000-0000-00001E050000}"/>
    <cellStyle name="Comma 2 5 53" xfId="639" xr:uid="{00000000-0005-0000-0000-00001F050000}"/>
    <cellStyle name="Comma 2 5 54" xfId="640" xr:uid="{00000000-0005-0000-0000-000020050000}"/>
    <cellStyle name="Comma 2 5 55" xfId="641" xr:uid="{00000000-0005-0000-0000-000021050000}"/>
    <cellStyle name="Comma 2 5 56" xfId="4138" xr:uid="{00000000-0005-0000-0000-000022050000}"/>
    <cellStyle name="Comma 2 5 57" xfId="4599" xr:uid="{00000000-0005-0000-0000-000023050000}"/>
    <cellStyle name="Comma 2 5 6" xfId="642" xr:uid="{00000000-0005-0000-0000-000024050000}"/>
    <cellStyle name="Comma 2 5 7" xfId="643" xr:uid="{00000000-0005-0000-0000-000025050000}"/>
    <cellStyle name="Comma 2 5 8" xfId="644" xr:uid="{00000000-0005-0000-0000-000026050000}"/>
    <cellStyle name="Comma 2 5 9" xfId="645" xr:uid="{00000000-0005-0000-0000-000027050000}"/>
    <cellStyle name="Comma 2 50" xfId="646" xr:uid="{00000000-0005-0000-0000-000028050000}"/>
    <cellStyle name="Comma 2 51" xfId="647" xr:uid="{00000000-0005-0000-0000-000029050000}"/>
    <cellStyle name="Comma 2 52" xfId="648" xr:uid="{00000000-0005-0000-0000-00002A050000}"/>
    <cellStyle name="Comma 2 53" xfId="649" xr:uid="{00000000-0005-0000-0000-00002B050000}"/>
    <cellStyle name="Comma 2 54" xfId="650" xr:uid="{00000000-0005-0000-0000-00002C050000}"/>
    <cellStyle name="Comma 2 55" xfId="651" xr:uid="{00000000-0005-0000-0000-00002D050000}"/>
    <cellStyle name="Comma 2 56" xfId="652" xr:uid="{00000000-0005-0000-0000-00002E050000}"/>
    <cellStyle name="Comma 2 57" xfId="653" xr:uid="{00000000-0005-0000-0000-00002F050000}"/>
    <cellStyle name="Comma 2 58" xfId="654" xr:uid="{00000000-0005-0000-0000-000030050000}"/>
    <cellStyle name="Comma 2 59" xfId="655" xr:uid="{00000000-0005-0000-0000-000031050000}"/>
    <cellStyle name="Comma 2 6" xfId="656" xr:uid="{00000000-0005-0000-0000-000032050000}"/>
    <cellStyle name="Comma 2 6 10" xfId="657" xr:uid="{00000000-0005-0000-0000-000033050000}"/>
    <cellStyle name="Comma 2 6 11" xfId="658" xr:uid="{00000000-0005-0000-0000-000034050000}"/>
    <cellStyle name="Comma 2 6 12" xfId="659" xr:uid="{00000000-0005-0000-0000-000035050000}"/>
    <cellStyle name="Comma 2 6 13" xfId="660" xr:uid="{00000000-0005-0000-0000-000036050000}"/>
    <cellStyle name="Comma 2 6 14" xfId="661" xr:uid="{00000000-0005-0000-0000-000037050000}"/>
    <cellStyle name="Comma 2 6 15" xfId="662" xr:uid="{00000000-0005-0000-0000-000038050000}"/>
    <cellStyle name="Comma 2 6 16" xfId="663" xr:uid="{00000000-0005-0000-0000-000039050000}"/>
    <cellStyle name="Comma 2 6 17" xfId="664" xr:uid="{00000000-0005-0000-0000-00003A050000}"/>
    <cellStyle name="Comma 2 6 18" xfId="665" xr:uid="{00000000-0005-0000-0000-00003B050000}"/>
    <cellStyle name="Comma 2 6 19" xfId="666" xr:uid="{00000000-0005-0000-0000-00003C050000}"/>
    <cellStyle name="Comma 2 6 2" xfId="667" xr:uid="{00000000-0005-0000-0000-00003D050000}"/>
    <cellStyle name="Comma 2 6 20" xfId="668" xr:uid="{00000000-0005-0000-0000-00003E050000}"/>
    <cellStyle name="Comma 2 6 21" xfId="669" xr:uid="{00000000-0005-0000-0000-00003F050000}"/>
    <cellStyle name="Comma 2 6 22" xfId="670" xr:uid="{00000000-0005-0000-0000-000040050000}"/>
    <cellStyle name="Comma 2 6 23" xfId="671" xr:uid="{00000000-0005-0000-0000-000041050000}"/>
    <cellStyle name="Comma 2 6 24" xfId="672" xr:uid="{00000000-0005-0000-0000-000042050000}"/>
    <cellStyle name="Comma 2 6 25" xfId="673" xr:uid="{00000000-0005-0000-0000-000043050000}"/>
    <cellStyle name="Comma 2 6 26" xfId="674" xr:uid="{00000000-0005-0000-0000-000044050000}"/>
    <cellStyle name="Comma 2 6 27" xfId="675" xr:uid="{00000000-0005-0000-0000-000045050000}"/>
    <cellStyle name="Comma 2 6 28" xfId="676" xr:uid="{00000000-0005-0000-0000-000046050000}"/>
    <cellStyle name="Comma 2 6 29" xfId="677" xr:uid="{00000000-0005-0000-0000-000047050000}"/>
    <cellStyle name="Comma 2 6 3" xfId="678" xr:uid="{00000000-0005-0000-0000-000048050000}"/>
    <cellStyle name="Comma 2 6 30" xfId="679" xr:uid="{00000000-0005-0000-0000-000049050000}"/>
    <cellStyle name="Comma 2 6 31" xfId="680" xr:uid="{00000000-0005-0000-0000-00004A050000}"/>
    <cellStyle name="Comma 2 6 32" xfId="681" xr:uid="{00000000-0005-0000-0000-00004B050000}"/>
    <cellStyle name="Comma 2 6 33" xfId="682" xr:uid="{00000000-0005-0000-0000-00004C050000}"/>
    <cellStyle name="Comma 2 6 34" xfId="683" xr:uid="{00000000-0005-0000-0000-00004D050000}"/>
    <cellStyle name="Comma 2 6 35" xfId="684" xr:uid="{00000000-0005-0000-0000-00004E050000}"/>
    <cellStyle name="Comma 2 6 36" xfId="685" xr:uid="{00000000-0005-0000-0000-00004F050000}"/>
    <cellStyle name="Comma 2 6 37" xfId="686" xr:uid="{00000000-0005-0000-0000-000050050000}"/>
    <cellStyle name="Comma 2 6 38" xfId="687" xr:uid="{00000000-0005-0000-0000-000051050000}"/>
    <cellStyle name="Comma 2 6 39" xfId="688" xr:uid="{00000000-0005-0000-0000-000052050000}"/>
    <cellStyle name="Comma 2 6 4" xfId="689" xr:uid="{00000000-0005-0000-0000-000053050000}"/>
    <cellStyle name="Comma 2 6 40" xfId="690" xr:uid="{00000000-0005-0000-0000-000054050000}"/>
    <cellStyle name="Comma 2 6 41" xfId="691" xr:uid="{00000000-0005-0000-0000-000055050000}"/>
    <cellStyle name="Comma 2 6 42" xfId="692" xr:uid="{00000000-0005-0000-0000-000056050000}"/>
    <cellStyle name="Comma 2 6 43" xfId="693" xr:uid="{00000000-0005-0000-0000-000057050000}"/>
    <cellStyle name="Comma 2 6 44" xfId="694" xr:uid="{00000000-0005-0000-0000-000058050000}"/>
    <cellStyle name="Comma 2 6 45" xfId="695" xr:uid="{00000000-0005-0000-0000-000059050000}"/>
    <cellStyle name="Comma 2 6 46" xfId="696" xr:uid="{00000000-0005-0000-0000-00005A050000}"/>
    <cellStyle name="Comma 2 6 47" xfId="697" xr:uid="{00000000-0005-0000-0000-00005B050000}"/>
    <cellStyle name="Comma 2 6 48" xfId="698" xr:uid="{00000000-0005-0000-0000-00005C050000}"/>
    <cellStyle name="Comma 2 6 49" xfId="699" xr:uid="{00000000-0005-0000-0000-00005D050000}"/>
    <cellStyle name="Comma 2 6 5" xfId="700" xr:uid="{00000000-0005-0000-0000-00005E050000}"/>
    <cellStyle name="Comma 2 6 50" xfId="701" xr:uid="{00000000-0005-0000-0000-00005F050000}"/>
    <cellStyle name="Comma 2 6 51" xfId="702" xr:uid="{00000000-0005-0000-0000-000060050000}"/>
    <cellStyle name="Comma 2 6 52" xfId="703" xr:uid="{00000000-0005-0000-0000-000061050000}"/>
    <cellStyle name="Comma 2 6 53" xfId="704" xr:uid="{00000000-0005-0000-0000-000062050000}"/>
    <cellStyle name="Comma 2 6 54" xfId="705" xr:uid="{00000000-0005-0000-0000-000063050000}"/>
    <cellStyle name="Comma 2 6 55" xfId="706" xr:uid="{00000000-0005-0000-0000-000064050000}"/>
    <cellStyle name="Comma 2 6 6" xfId="707" xr:uid="{00000000-0005-0000-0000-000065050000}"/>
    <cellStyle name="Comma 2 6 7" xfId="708" xr:uid="{00000000-0005-0000-0000-000066050000}"/>
    <cellStyle name="Comma 2 6 8" xfId="709" xr:uid="{00000000-0005-0000-0000-000067050000}"/>
    <cellStyle name="Comma 2 6 9" xfId="710" xr:uid="{00000000-0005-0000-0000-000068050000}"/>
    <cellStyle name="Comma 2 60" xfId="711" xr:uid="{00000000-0005-0000-0000-000069050000}"/>
    <cellStyle name="Comma 2 61" xfId="712" xr:uid="{00000000-0005-0000-0000-00006A050000}"/>
    <cellStyle name="Comma 2 62" xfId="713" xr:uid="{00000000-0005-0000-0000-00006B050000}"/>
    <cellStyle name="Comma 2 63" xfId="714" xr:uid="{00000000-0005-0000-0000-00006C050000}"/>
    <cellStyle name="Comma 2 64" xfId="715" xr:uid="{00000000-0005-0000-0000-00006D050000}"/>
    <cellStyle name="Comma 2 65" xfId="716" xr:uid="{00000000-0005-0000-0000-00006E050000}"/>
    <cellStyle name="Comma 2 66" xfId="717" xr:uid="{00000000-0005-0000-0000-00006F050000}"/>
    <cellStyle name="Comma 2 67" xfId="718" xr:uid="{00000000-0005-0000-0000-000070050000}"/>
    <cellStyle name="Comma 2 68" xfId="719" xr:uid="{00000000-0005-0000-0000-000071050000}"/>
    <cellStyle name="Comma 2 69" xfId="720" xr:uid="{00000000-0005-0000-0000-000072050000}"/>
    <cellStyle name="Comma 2 7" xfId="721" xr:uid="{00000000-0005-0000-0000-000073050000}"/>
    <cellStyle name="Comma 2 7 10" xfId="722" xr:uid="{00000000-0005-0000-0000-000074050000}"/>
    <cellStyle name="Comma 2 7 11" xfId="723" xr:uid="{00000000-0005-0000-0000-000075050000}"/>
    <cellStyle name="Comma 2 7 12" xfId="724" xr:uid="{00000000-0005-0000-0000-000076050000}"/>
    <cellStyle name="Comma 2 7 13" xfId="725" xr:uid="{00000000-0005-0000-0000-000077050000}"/>
    <cellStyle name="Comma 2 7 14" xfId="726" xr:uid="{00000000-0005-0000-0000-000078050000}"/>
    <cellStyle name="Comma 2 7 15" xfId="727" xr:uid="{00000000-0005-0000-0000-000079050000}"/>
    <cellStyle name="Comma 2 7 16" xfId="728" xr:uid="{00000000-0005-0000-0000-00007A050000}"/>
    <cellStyle name="Comma 2 7 17" xfId="729" xr:uid="{00000000-0005-0000-0000-00007B050000}"/>
    <cellStyle name="Comma 2 7 18" xfId="730" xr:uid="{00000000-0005-0000-0000-00007C050000}"/>
    <cellStyle name="Comma 2 7 19" xfId="731" xr:uid="{00000000-0005-0000-0000-00007D050000}"/>
    <cellStyle name="Comma 2 7 2" xfId="732" xr:uid="{00000000-0005-0000-0000-00007E050000}"/>
    <cellStyle name="Comma 2 7 20" xfId="733" xr:uid="{00000000-0005-0000-0000-00007F050000}"/>
    <cellStyle name="Comma 2 7 21" xfId="734" xr:uid="{00000000-0005-0000-0000-000080050000}"/>
    <cellStyle name="Comma 2 7 22" xfId="735" xr:uid="{00000000-0005-0000-0000-000081050000}"/>
    <cellStyle name="Comma 2 7 23" xfId="736" xr:uid="{00000000-0005-0000-0000-000082050000}"/>
    <cellStyle name="Comma 2 7 24" xfId="737" xr:uid="{00000000-0005-0000-0000-000083050000}"/>
    <cellStyle name="Comma 2 7 25" xfId="738" xr:uid="{00000000-0005-0000-0000-000084050000}"/>
    <cellStyle name="Comma 2 7 26" xfId="739" xr:uid="{00000000-0005-0000-0000-000085050000}"/>
    <cellStyle name="Comma 2 7 27" xfId="740" xr:uid="{00000000-0005-0000-0000-000086050000}"/>
    <cellStyle name="Comma 2 7 28" xfId="741" xr:uid="{00000000-0005-0000-0000-000087050000}"/>
    <cellStyle name="Comma 2 7 29" xfId="742" xr:uid="{00000000-0005-0000-0000-000088050000}"/>
    <cellStyle name="Comma 2 7 3" xfId="743" xr:uid="{00000000-0005-0000-0000-000089050000}"/>
    <cellStyle name="Comma 2 7 30" xfId="744" xr:uid="{00000000-0005-0000-0000-00008A050000}"/>
    <cellStyle name="Comma 2 7 4" xfId="745" xr:uid="{00000000-0005-0000-0000-00008B050000}"/>
    <cellStyle name="Comma 2 7 5" xfId="746" xr:uid="{00000000-0005-0000-0000-00008C050000}"/>
    <cellStyle name="Comma 2 7 6" xfId="747" xr:uid="{00000000-0005-0000-0000-00008D050000}"/>
    <cellStyle name="Comma 2 7 7" xfId="748" xr:uid="{00000000-0005-0000-0000-00008E050000}"/>
    <cellStyle name="Comma 2 7 8" xfId="749" xr:uid="{00000000-0005-0000-0000-00008F050000}"/>
    <cellStyle name="Comma 2 7 9" xfId="750" xr:uid="{00000000-0005-0000-0000-000090050000}"/>
    <cellStyle name="Comma 2 70" xfId="751" xr:uid="{00000000-0005-0000-0000-000091050000}"/>
    <cellStyle name="Comma 2 70 10" xfId="752" xr:uid="{00000000-0005-0000-0000-000092050000}"/>
    <cellStyle name="Comma 2 70 11" xfId="753" xr:uid="{00000000-0005-0000-0000-000093050000}"/>
    <cellStyle name="Comma 2 70 12" xfId="754" xr:uid="{00000000-0005-0000-0000-000094050000}"/>
    <cellStyle name="Comma 2 70 13" xfId="755" xr:uid="{00000000-0005-0000-0000-000095050000}"/>
    <cellStyle name="Comma 2 70 14" xfId="756" xr:uid="{00000000-0005-0000-0000-000096050000}"/>
    <cellStyle name="Comma 2 70 15" xfId="757" xr:uid="{00000000-0005-0000-0000-000097050000}"/>
    <cellStyle name="Comma 2 70 16" xfId="758" xr:uid="{00000000-0005-0000-0000-000098050000}"/>
    <cellStyle name="Comma 2 70 17" xfId="759" xr:uid="{00000000-0005-0000-0000-000099050000}"/>
    <cellStyle name="Comma 2 70 18" xfId="760" xr:uid="{00000000-0005-0000-0000-00009A050000}"/>
    <cellStyle name="Comma 2 70 19" xfId="761" xr:uid="{00000000-0005-0000-0000-00009B050000}"/>
    <cellStyle name="Comma 2 70 2" xfId="762" xr:uid="{00000000-0005-0000-0000-00009C050000}"/>
    <cellStyle name="Comma 2 70 2 10" xfId="763" xr:uid="{00000000-0005-0000-0000-00009D050000}"/>
    <cellStyle name="Comma 2 70 2 11" xfId="764" xr:uid="{00000000-0005-0000-0000-00009E050000}"/>
    <cellStyle name="Comma 2 70 2 12" xfId="765" xr:uid="{00000000-0005-0000-0000-00009F050000}"/>
    <cellStyle name="Comma 2 70 2 13" xfId="766" xr:uid="{00000000-0005-0000-0000-0000A0050000}"/>
    <cellStyle name="Comma 2 70 2 14" xfId="767" xr:uid="{00000000-0005-0000-0000-0000A1050000}"/>
    <cellStyle name="Comma 2 70 2 15" xfId="768" xr:uid="{00000000-0005-0000-0000-0000A2050000}"/>
    <cellStyle name="Comma 2 70 2 16" xfId="769" xr:uid="{00000000-0005-0000-0000-0000A3050000}"/>
    <cellStyle name="Comma 2 70 2 17" xfId="770" xr:uid="{00000000-0005-0000-0000-0000A4050000}"/>
    <cellStyle name="Comma 2 70 2 18" xfId="771" xr:uid="{00000000-0005-0000-0000-0000A5050000}"/>
    <cellStyle name="Comma 2 70 2 19" xfId="772" xr:uid="{00000000-0005-0000-0000-0000A6050000}"/>
    <cellStyle name="Comma 2 70 2 2" xfId="773" xr:uid="{00000000-0005-0000-0000-0000A7050000}"/>
    <cellStyle name="Comma 2 70 2 20" xfId="774" xr:uid="{00000000-0005-0000-0000-0000A8050000}"/>
    <cellStyle name="Comma 2 70 2 21" xfId="775" xr:uid="{00000000-0005-0000-0000-0000A9050000}"/>
    <cellStyle name="Comma 2 70 2 22" xfId="776" xr:uid="{00000000-0005-0000-0000-0000AA050000}"/>
    <cellStyle name="Comma 2 70 2 23" xfId="777" xr:uid="{00000000-0005-0000-0000-0000AB050000}"/>
    <cellStyle name="Comma 2 70 2 24" xfId="778" xr:uid="{00000000-0005-0000-0000-0000AC050000}"/>
    <cellStyle name="Comma 2 70 2 3" xfId="779" xr:uid="{00000000-0005-0000-0000-0000AD050000}"/>
    <cellStyle name="Comma 2 70 2 4" xfId="780" xr:uid="{00000000-0005-0000-0000-0000AE050000}"/>
    <cellStyle name="Comma 2 70 2 5" xfId="781" xr:uid="{00000000-0005-0000-0000-0000AF050000}"/>
    <cellStyle name="Comma 2 70 2 6" xfId="782" xr:uid="{00000000-0005-0000-0000-0000B0050000}"/>
    <cellStyle name="Comma 2 70 2 7" xfId="783" xr:uid="{00000000-0005-0000-0000-0000B1050000}"/>
    <cellStyle name="Comma 2 70 2 8" xfId="784" xr:uid="{00000000-0005-0000-0000-0000B2050000}"/>
    <cellStyle name="Comma 2 70 2 9" xfId="785" xr:uid="{00000000-0005-0000-0000-0000B3050000}"/>
    <cellStyle name="Comma 2 70 20" xfId="786" xr:uid="{00000000-0005-0000-0000-0000B4050000}"/>
    <cellStyle name="Comma 2 70 21" xfId="787" xr:uid="{00000000-0005-0000-0000-0000B5050000}"/>
    <cellStyle name="Comma 2 70 22" xfId="788" xr:uid="{00000000-0005-0000-0000-0000B6050000}"/>
    <cellStyle name="Comma 2 70 23" xfId="789" xr:uid="{00000000-0005-0000-0000-0000B7050000}"/>
    <cellStyle name="Comma 2 70 24" xfId="790" xr:uid="{00000000-0005-0000-0000-0000B8050000}"/>
    <cellStyle name="Comma 2 70 3" xfId="791" xr:uid="{00000000-0005-0000-0000-0000B9050000}"/>
    <cellStyle name="Comma 2 70 4" xfId="792" xr:uid="{00000000-0005-0000-0000-0000BA050000}"/>
    <cellStyle name="Comma 2 70 5" xfId="793" xr:uid="{00000000-0005-0000-0000-0000BB050000}"/>
    <cellStyle name="Comma 2 70 6" xfId="794" xr:uid="{00000000-0005-0000-0000-0000BC050000}"/>
    <cellStyle name="Comma 2 70 7" xfId="795" xr:uid="{00000000-0005-0000-0000-0000BD050000}"/>
    <cellStyle name="Comma 2 70 8" xfId="796" xr:uid="{00000000-0005-0000-0000-0000BE050000}"/>
    <cellStyle name="Comma 2 70 9" xfId="797" xr:uid="{00000000-0005-0000-0000-0000BF050000}"/>
    <cellStyle name="Comma 2 71" xfId="798" xr:uid="{00000000-0005-0000-0000-0000C0050000}"/>
    <cellStyle name="Comma 2 72" xfId="799" xr:uid="{00000000-0005-0000-0000-0000C1050000}"/>
    <cellStyle name="Comma 2 73" xfId="800" xr:uid="{00000000-0005-0000-0000-0000C2050000}"/>
    <cellStyle name="Comma 2 74" xfId="801" xr:uid="{00000000-0005-0000-0000-0000C3050000}"/>
    <cellStyle name="Comma 2 75" xfId="802" xr:uid="{00000000-0005-0000-0000-0000C4050000}"/>
    <cellStyle name="Comma 2 76" xfId="803" xr:uid="{00000000-0005-0000-0000-0000C5050000}"/>
    <cellStyle name="Comma 2 77" xfId="804" xr:uid="{00000000-0005-0000-0000-0000C6050000}"/>
    <cellStyle name="Comma 2 78" xfId="805" xr:uid="{00000000-0005-0000-0000-0000C7050000}"/>
    <cellStyle name="Comma 2 79" xfId="806" xr:uid="{00000000-0005-0000-0000-0000C8050000}"/>
    <cellStyle name="Comma 2 8" xfId="807" xr:uid="{00000000-0005-0000-0000-0000C9050000}"/>
    <cellStyle name="Comma 2 80" xfId="808" xr:uid="{00000000-0005-0000-0000-0000CA050000}"/>
    <cellStyle name="Comma 2 81" xfId="809" xr:uid="{00000000-0005-0000-0000-0000CB050000}"/>
    <cellStyle name="Comma 2 82" xfId="810" xr:uid="{00000000-0005-0000-0000-0000CC050000}"/>
    <cellStyle name="Comma 2 83" xfId="811" xr:uid="{00000000-0005-0000-0000-0000CD050000}"/>
    <cellStyle name="Comma 2 84" xfId="812" xr:uid="{00000000-0005-0000-0000-0000CE050000}"/>
    <cellStyle name="Comma 2 85" xfId="813" xr:uid="{00000000-0005-0000-0000-0000CF050000}"/>
    <cellStyle name="Comma 2 86" xfId="814" xr:uid="{00000000-0005-0000-0000-0000D0050000}"/>
    <cellStyle name="Comma 2 87" xfId="815" xr:uid="{00000000-0005-0000-0000-0000D1050000}"/>
    <cellStyle name="Comma 2 88" xfId="816" xr:uid="{00000000-0005-0000-0000-0000D2050000}"/>
    <cellStyle name="Comma 2 89" xfId="817" xr:uid="{00000000-0005-0000-0000-0000D3050000}"/>
    <cellStyle name="Comma 2 9" xfId="818" xr:uid="{00000000-0005-0000-0000-0000D4050000}"/>
    <cellStyle name="Comma 2 90" xfId="819" xr:uid="{00000000-0005-0000-0000-0000D5050000}"/>
    <cellStyle name="Comma 2 91" xfId="820" xr:uid="{00000000-0005-0000-0000-0000D6050000}"/>
    <cellStyle name="Comma 2 92" xfId="821" xr:uid="{00000000-0005-0000-0000-0000D7050000}"/>
    <cellStyle name="Comma 2 93" xfId="822" xr:uid="{00000000-0005-0000-0000-0000D8050000}"/>
    <cellStyle name="Comma 2 94" xfId="823" xr:uid="{00000000-0005-0000-0000-0000D9050000}"/>
    <cellStyle name="Comma 2 95" xfId="824" xr:uid="{00000000-0005-0000-0000-0000DA050000}"/>
    <cellStyle name="Comma 2 96" xfId="825" xr:uid="{00000000-0005-0000-0000-0000DB050000}"/>
    <cellStyle name="Comma 2 97" xfId="826" xr:uid="{00000000-0005-0000-0000-0000DC050000}"/>
    <cellStyle name="Comma 2 98" xfId="827" xr:uid="{00000000-0005-0000-0000-0000DD050000}"/>
    <cellStyle name="Comma 2 99" xfId="3574" xr:uid="{00000000-0005-0000-0000-0000DE050000}"/>
    <cellStyle name="Comma 20" xfId="4139" xr:uid="{00000000-0005-0000-0000-0000DF050000}"/>
    <cellStyle name="Comma 20 2" xfId="4140" xr:uid="{00000000-0005-0000-0000-0000E0050000}"/>
    <cellStyle name="Comma 21" xfId="4141" xr:uid="{00000000-0005-0000-0000-0000E1050000}"/>
    <cellStyle name="Comma 21 2" xfId="4142" xr:uid="{00000000-0005-0000-0000-0000E2050000}"/>
    <cellStyle name="Comma 22" xfId="4143" xr:uid="{00000000-0005-0000-0000-0000E3050000}"/>
    <cellStyle name="Comma 22 2" xfId="4144" xr:uid="{00000000-0005-0000-0000-0000E4050000}"/>
    <cellStyle name="Comma 23" xfId="4145" xr:uid="{00000000-0005-0000-0000-0000E5050000}"/>
    <cellStyle name="Comma 23 2" xfId="4146" xr:uid="{00000000-0005-0000-0000-0000E6050000}"/>
    <cellStyle name="Comma 24" xfId="66" xr:uid="{00000000-0005-0000-0000-0000E7050000}"/>
    <cellStyle name="Comma 24 2" xfId="4147" xr:uid="{00000000-0005-0000-0000-0000E8050000}"/>
    <cellStyle name="Comma 25" xfId="4148" xr:uid="{00000000-0005-0000-0000-0000E9050000}"/>
    <cellStyle name="Comma 25 2" xfId="4149" xr:uid="{00000000-0005-0000-0000-0000EA050000}"/>
    <cellStyle name="Comma 26" xfId="4150" xr:uid="{00000000-0005-0000-0000-0000EB050000}"/>
    <cellStyle name="Comma 26 2" xfId="4151" xr:uid="{00000000-0005-0000-0000-0000EC050000}"/>
    <cellStyle name="Comma 27" xfId="4152" xr:uid="{00000000-0005-0000-0000-0000ED050000}"/>
    <cellStyle name="Comma 27 2" xfId="4153" xr:uid="{00000000-0005-0000-0000-0000EE050000}"/>
    <cellStyle name="Comma 28" xfId="4154" xr:uid="{00000000-0005-0000-0000-0000EF050000}"/>
    <cellStyle name="Comma 28 2" xfId="4155" xr:uid="{00000000-0005-0000-0000-0000F0050000}"/>
    <cellStyle name="Comma 29" xfId="4156" xr:uid="{00000000-0005-0000-0000-0000F1050000}"/>
    <cellStyle name="Comma 29 2" xfId="4157" xr:uid="{00000000-0005-0000-0000-0000F2050000}"/>
    <cellStyle name="Comma 3" xfId="67" xr:uid="{00000000-0005-0000-0000-0000F3050000}"/>
    <cellStyle name="Comma 3 10" xfId="829" xr:uid="{00000000-0005-0000-0000-0000F4050000}"/>
    <cellStyle name="Comma 3 11" xfId="830" xr:uid="{00000000-0005-0000-0000-0000F5050000}"/>
    <cellStyle name="Comma 3 12" xfId="831" xr:uid="{00000000-0005-0000-0000-0000F6050000}"/>
    <cellStyle name="Comma 3 13" xfId="832" xr:uid="{00000000-0005-0000-0000-0000F7050000}"/>
    <cellStyle name="Comma 3 14" xfId="833" xr:uid="{00000000-0005-0000-0000-0000F8050000}"/>
    <cellStyle name="Comma 3 15" xfId="834" xr:uid="{00000000-0005-0000-0000-0000F9050000}"/>
    <cellStyle name="Comma 3 16" xfId="835" xr:uid="{00000000-0005-0000-0000-0000FA050000}"/>
    <cellStyle name="Comma 3 17" xfId="836" xr:uid="{00000000-0005-0000-0000-0000FB050000}"/>
    <cellStyle name="Comma 3 18" xfId="837" xr:uid="{00000000-0005-0000-0000-0000FC050000}"/>
    <cellStyle name="Comma 3 19" xfId="838" xr:uid="{00000000-0005-0000-0000-0000FD050000}"/>
    <cellStyle name="Comma 3 2" xfId="828" xr:uid="{00000000-0005-0000-0000-0000FE050000}"/>
    <cellStyle name="Comma 3 2 2" xfId="839" xr:uid="{00000000-0005-0000-0000-0000FF050000}"/>
    <cellStyle name="Comma 3 2 2 2" xfId="4791" xr:uid="{00000000-0005-0000-0000-000000060000}"/>
    <cellStyle name="Comma 3 2 2 2 2" xfId="4790" xr:uid="{00000000-0005-0000-0000-000001060000}"/>
    <cellStyle name="Comma 3 2 2 3" xfId="4714" xr:uid="{00000000-0005-0000-0000-000002060000}"/>
    <cellStyle name="Comma 3 2 2 4" xfId="4742" xr:uid="{00000000-0005-0000-0000-000003060000}"/>
    <cellStyle name="Comma 3 2 3" xfId="4639" xr:uid="{00000000-0005-0000-0000-000004060000}"/>
    <cellStyle name="Comma 3 2 3 2" xfId="4713" xr:uid="{00000000-0005-0000-0000-000005060000}"/>
    <cellStyle name="Comma 3 2 4" xfId="4743" xr:uid="{00000000-0005-0000-0000-000006060000}"/>
    <cellStyle name="Comma 3 20" xfId="840" xr:uid="{00000000-0005-0000-0000-000007060000}"/>
    <cellStyle name="Comma 3 21" xfId="841" xr:uid="{00000000-0005-0000-0000-000008060000}"/>
    <cellStyle name="Comma 3 22" xfId="842" xr:uid="{00000000-0005-0000-0000-000009060000}"/>
    <cellStyle name="Comma 3 23" xfId="843" xr:uid="{00000000-0005-0000-0000-00000A060000}"/>
    <cellStyle name="Comma 3 24" xfId="844" xr:uid="{00000000-0005-0000-0000-00000B060000}"/>
    <cellStyle name="Comma 3 25" xfId="845" xr:uid="{00000000-0005-0000-0000-00000C060000}"/>
    <cellStyle name="Comma 3 26" xfId="846" xr:uid="{00000000-0005-0000-0000-00000D060000}"/>
    <cellStyle name="Comma 3 27" xfId="847" xr:uid="{00000000-0005-0000-0000-00000E060000}"/>
    <cellStyle name="Comma 3 28" xfId="3576" xr:uid="{00000000-0005-0000-0000-00000F060000}"/>
    <cellStyle name="Comma 3 29" xfId="4638" xr:uid="{00000000-0005-0000-0000-000010060000}"/>
    <cellStyle name="Comma 3 29 2" xfId="4819" xr:uid="{00000000-0005-0000-0000-000011060000}"/>
    <cellStyle name="Comma 3 3" xfId="848" xr:uid="{00000000-0005-0000-0000-000012060000}"/>
    <cellStyle name="Comma 3 30" xfId="4663" xr:uid="{00000000-0005-0000-0000-000013060000}"/>
    <cellStyle name="Comma 3 31" xfId="4942" xr:uid="{00000000-0005-0000-0000-000014060000}"/>
    <cellStyle name="Comma 3 4" xfId="849" xr:uid="{00000000-0005-0000-0000-000015060000}"/>
    <cellStyle name="Comma 3 5" xfId="850" xr:uid="{00000000-0005-0000-0000-000016060000}"/>
    <cellStyle name="Comma 3 6" xfId="851" xr:uid="{00000000-0005-0000-0000-000017060000}"/>
    <cellStyle name="Comma 3 7" xfId="852" xr:uid="{00000000-0005-0000-0000-000018060000}"/>
    <cellStyle name="Comma 3 8" xfId="853" xr:uid="{00000000-0005-0000-0000-000019060000}"/>
    <cellStyle name="Comma 3 9" xfId="854" xr:uid="{00000000-0005-0000-0000-00001A060000}"/>
    <cellStyle name="Comma 30" xfId="4158" xr:uid="{00000000-0005-0000-0000-00001B060000}"/>
    <cellStyle name="Comma 30 2" xfId="4159" xr:uid="{00000000-0005-0000-0000-00001C060000}"/>
    <cellStyle name="Comma 31" xfId="4160" xr:uid="{00000000-0005-0000-0000-00001D060000}"/>
    <cellStyle name="Comma 31 2" xfId="4161" xr:uid="{00000000-0005-0000-0000-00001E060000}"/>
    <cellStyle name="Comma 31 3" xfId="4162" xr:uid="{00000000-0005-0000-0000-00001F060000}"/>
    <cellStyle name="Comma 32" xfId="4163" xr:uid="{00000000-0005-0000-0000-000020060000}"/>
    <cellStyle name="Comma 33" xfId="4164" xr:uid="{00000000-0005-0000-0000-000021060000}"/>
    <cellStyle name="Comma 34" xfId="4165" xr:uid="{00000000-0005-0000-0000-000022060000}"/>
    <cellStyle name="Comma 35" xfId="4959" xr:uid="{00000000-0005-0000-0000-000023060000}"/>
    <cellStyle name="Comma 36" xfId="4981" xr:uid="{00000000-0005-0000-0000-000024060000}"/>
    <cellStyle name="Comma 37" xfId="4994" xr:uid="{00000000-0005-0000-0000-000025060000}"/>
    <cellStyle name="Comma 38" xfId="5034" xr:uid="{00000000-0005-0000-0000-000026060000}"/>
    <cellStyle name="Comma 39" xfId="5042" xr:uid="{00000000-0005-0000-0000-000027060000}"/>
    <cellStyle name="Comma 4" xfId="68" xr:uid="{00000000-0005-0000-0000-000028060000}"/>
    <cellStyle name="Comma 4 10" xfId="855" xr:uid="{00000000-0005-0000-0000-000029060000}"/>
    <cellStyle name="Comma 4 11" xfId="856" xr:uid="{00000000-0005-0000-0000-00002A060000}"/>
    <cellStyle name="Comma 4 12" xfId="857" xr:uid="{00000000-0005-0000-0000-00002B060000}"/>
    <cellStyle name="Comma 4 13" xfId="858" xr:uid="{00000000-0005-0000-0000-00002C060000}"/>
    <cellStyle name="Comma 4 14" xfId="859" xr:uid="{00000000-0005-0000-0000-00002D060000}"/>
    <cellStyle name="Comma 4 15" xfId="860" xr:uid="{00000000-0005-0000-0000-00002E060000}"/>
    <cellStyle name="Comma 4 16" xfId="861" xr:uid="{00000000-0005-0000-0000-00002F060000}"/>
    <cellStyle name="Comma 4 17" xfId="862" xr:uid="{00000000-0005-0000-0000-000030060000}"/>
    <cellStyle name="Comma 4 18" xfId="863" xr:uid="{00000000-0005-0000-0000-000031060000}"/>
    <cellStyle name="Comma 4 19" xfId="864" xr:uid="{00000000-0005-0000-0000-000032060000}"/>
    <cellStyle name="Comma 4 2" xfId="158" xr:uid="{00000000-0005-0000-0000-000033060000}"/>
    <cellStyle name="Comma 4 2 2" xfId="865" xr:uid="{00000000-0005-0000-0000-000034060000}"/>
    <cellStyle name="Comma 4 2 3" xfId="4640" xr:uid="{00000000-0005-0000-0000-000035060000}"/>
    <cellStyle name="Comma 4 2 3 2" xfId="4805" xr:uid="{00000000-0005-0000-0000-000036060000}"/>
    <cellStyle name="Comma 4 2 4" xfId="4678" xr:uid="{00000000-0005-0000-0000-000037060000}"/>
    <cellStyle name="Comma 4 2 5" xfId="4928" xr:uid="{00000000-0005-0000-0000-000038060000}"/>
    <cellStyle name="Comma 4 20" xfId="866" xr:uid="{00000000-0005-0000-0000-000039060000}"/>
    <cellStyle name="Comma 4 21" xfId="867" xr:uid="{00000000-0005-0000-0000-00003A060000}"/>
    <cellStyle name="Comma 4 22" xfId="868" xr:uid="{00000000-0005-0000-0000-00003B060000}"/>
    <cellStyle name="Comma 4 23" xfId="869" xr:uid="{00000000-0005-0000-0000-00003C060000}"/>
    <cellStyle name="Comma 4 24" xfId="870" xr:uid="{00000000-0005-0000-0000-00003D060000}"/>
    <cellStyle name="Comma 4 25" xfId="871" xr:uid="{00000000-0005-0000-0000-00003E060000}"/>
    <cellStyle name="Comma 4 26" xfId="872" xr:uid="{00000000-0005-0000-0000-00003F060000}"/>
    <cellStyle name="Comma 4 27" xfId="873" xr:uid="{00000000-0005-0000-0000-000040060000}"/>
    <cellStyle name="Comma 4 28" xfId="3577" xr:uid="{00000000-0005-0000-0000-000041060000}"/>
    <cellStyle name="Comma 4 29" xfId="145" xr:uid="{00000000-0005-0000-0000-000042060000}"/>
    <cellStyle name="Comma 4 29 2" xfId="4818" xr:uid="{00000000-0005-0000-0000-000043060000}"/>
    <cellStyle name="Comma 4 3" xfId="874" xr:uid="{00000000-0005-0000-0000-000044060000}"/>
    <cellStyle name="Comma 4 30" xfId="4664" xr:uid="{00000000-0005-0000-0000-000045060000}"/>
    <cellStyle name="Comma 4 31" xfId="4941" xr:uid="{00000000-0005-0000-0000-000046060000}"/>
    <cellStyle name="Comma 4 4" xfId="875" xr:uid="{00000000-0005-0000-0000-000047060000}"/>
    <cellStyle name="Comma 4 5" xfId="876" xr:uid="{00000000-0005-0000-0000-000048060000}"/>
    <cellStyle name="Comma 4 6" xfId="877" xr:uid="{00000000-0005-0000-0000-000049060000}"/>
    <cellStyle name="Comma 4 7" xfId="878" xr:uid="{00000000-0005-0000-0000-00004A060000}"/>
    <cellStyle name="Comma 4 8" xfId="879" xr:uid="{00000000-0005-0000-0000-00004B060000}"/>
    <cellStyle name="Comma 4 9" xfId="880" xr:uid="{00000000-0005-0000-0000-00004C060000}"/>
    <cellStyle name="Comma 40" xfId="5046" xr:uid="{00000000-0005-0000-0000-00004D060000}"/>
    <cellStyle name="Comma 41" xfId="5049" xr:uid="{00000000-0005-0000-0000-00004E060000}"/>
    <cellStyle name="Comma 42" xfId="5052" xr:uid="{00000000-0005-0000-0000-00004F060000}"/>
    <cellStyle name="Comma 43" xfId="5055" xr:uid="{00000000-0005-0000-0000-000050060000}"/>
    <cellStyle name="Comma 44" xfId="5058" xr:uid="{00000000-0005-0000-0000-000051060000}"/>
    <cellStyle name="Comma 45" xfId="5061" xr:uid="{00000000-0005-0000-0000-000052060000}"/>
    <cellStyle name="Comma 46" xfId="5064" xr:uid="{00000000-0005-0000-0000-000053060000}"/>
    <cellStyle name="Comma 47" xfId="5067" xr:uid="{00000000-0005-0000-0000-000054060000}"/>
    <cellStyle name="Comma 48" xfId="5070" xr:uid="{00000000-0005-0000-0000-000055060000}"/>
    <cellStyle name="Comma 49" xfId="5073" xr:uid="{00000000-0005-0000-0000-000056060000}"/>
    <cellStyle name="Comma 5" xfId="881" xr:uid="{00000000-0005-0000-0000-000057060000}"/>
    <cellStyle name="Comma 5 2" xfId="4166" xr:uid="{00000000-0005-0000-0000-000058060000}"/>
    <cellStyle name="Comma 50" xfId="5076" xr:uid="{00000000-0005-0000-0000-000059060000}"/>
    <cellStyle name="Comma 51" xfId="5079" xr:uid="{00000000-0005-0000-0000-00005A060000}"/>
    <cellStyle name="Comma 52" xfId="5081" xr:uid="{00000000-0005-0000-0000-00005B060000}"/>
    <cellStyle name="Comma 53" xfId="5084" xr:uid="{00000000-0005-0000-0000-00005C060000}"/>
    <cellStyle name="Comma 54" xfId="5085" xr:uid="{00000000-0005-0000-0000-00005D060000}"/>
    <cellStyle name="Comma 55" xfId="5086" xr:uid="{00000000-0005-0000-0000-00005E060000}"/>
    <cellStyle name="Comma 56" xfId="5092" xr:uid="{00000000-0005-0000-0000-00005F060000}"/>
    <cellStyle name="Comma 57" xfId="5095" xr:uid="{00000000-0005-0000-0000-000060060000}"/>
    <cellStyle name="Comma 58" xfId="5098" xr:uid="{00000000-0005-0000-0000-000061060000}"/>
    <cellStyle name="Comma 59" xfId="5101" xr:uid="{00000000-0005-0000-0000-000062060000}"/>
    <cellStyle name="Comma 6" xfId="882" xr:uid="{00000000-0005-0000-0000-000063060000}"/>
    <cellStyle name="Comma 6 2" xfId="4167" xr:uid="{00000000-0005-0000-0000-000064060000}"/>
    <cellStyle name="Comma 60" xfId="4168" xr:uid="{00000000-0005-0000-0000-000065060000}"/>
    <cellStyle name="Comma 61" xfId="5104" xr:uid="{00000000-0005-0000-0000-000066060000}"/>
    <cellStyle name="Comma 62" xfId="5107" xr:uid="{00000000-0005-0000-0000-000067060000}"/>
    <cellStyle name="Comma 63" xfId="5109" xr:uid="{00000000-0005-0000-0000-000068060000}"/>
    <cellStyle name="Comma 64" xfId="5111" xr:uid="{00000000-0005-0000-0000-000069060000}"/>
    <cellStyle name="Comma 65" xfId="5112" xr:uid="{00000000-0005-0000-0000-00006A060000}"/>
    <cellStyle name="Comma 67" xfId="5113" xr:uid="{00000000-0005-0000-0000-00006B060000}"/>
    <cellStyle name="Comma 68" xfId="5114" xr:uid="{00000000-0005-0000-0000-00006C060000}"/>
    <cellStyle name="Comma 69" xfId="5115" xr:uid="{00000000-0005-0000-0000-00006D060000}"/>
    <cellStyle name="Comma 7" xfId="4169" xr:uid="{00000000-0005-0000-0000-00006E060000}"/>
    <cellStyle name="Comma 7 2" xfId="4170" xr:uid="{00000000-0005-0000-0000-00006F060000}"/>
    <cellStyle name="Comma 8" xfId="4171" xr:uid="{00000000-0005-0000-0000-000070060000}"/>
    <cellStyle name="Comma 8 2" xfId="4172" xr:uid="{00000000-0005-0000-0000-000071060000}"/>
    <cellStyle name="Comma 9" xfId="4173" xr:uid="{00000000-0005-0000-0000-000072060000}"/>
    <cellStyle name="Comma 9 2" xfId="4174" xr:uid="{00000000-0005-0000-0000-000073060000}"/>
    <cellStyle name="Comma 9 3" xfId="4175" xr:uid="{00000000-0005-0000-0000-000074060000}"/>
    <cellStyle name="Comma0" xfId="4176" xr:uid="{00000000-0005-0000-0000-000075060000}"/>
    <cellStyle name="Copied" xfId="4177" xr:uid="{00000000-0005-0000-0000-000076060000}"/>
    <cellStyle name="Currency" xfId="5147" builtinId="4"/>
    <cellStyle name="Currency [00]" xfId="4178" xr:uid="{00000000-0005-0000-0000-000077060000}"/>
    <cellStyle name="Currency 10" xfId="4179" xr:uid="{00000000-0005-0000-0000-000078060000}"/>
    <cellStyle name="Currency 10 2" xfId="4180" xr:uid="{00000000-0005-0000-0000-000079060000}"/>
    <cellStyle name="Currency 11" xfId="4181" xr:uid="{00000000-0005-0000-0000-00007A060000}"/>
    <cellStyle name="Currency 11 2" xfId="4182" xr:uid="{00000000-0005-0000-0000-00007B060000}"/>
    <cellStyle name="Currency 12" xfId="4183" xr:uid="{00000000-0005-0000-0000-00007C060000}"/>
    <cellStyle name="Currency 12 2" xfId="4184" xr:uid="{00000000-0005-0000-0000-00007D060000}"/>
    <cellStyle name="Currency 13" xfId="4185" xr:uid="{00000000-0005-0000-0000-00007E060000}"/>
    <cellStyle name="Currency 13 2" xfId="4186" xr:uid="{00000000-0005-0000-0000-00007F060000}"/>
    <cellStyle name="Currency 14" xfId="4187" xr:uid="{00000000-0005-0000-0000-000080060000}"/>
    <cellStyle name="Currency 14 2" xfId="4188" xr:uid="{00000000-0005-0000-0000-000081060000}"/>
    <cellStyle name="Currency 15" xfId="4189" xr:uid="{00000000-0005-0000-0000-000082060000}"/>
    <cellStyle name="Currency 15 2" xfId="4190" xr:uid="{00000000-0005-0000-0000-000083060000}"/>
    <cellStyle name="Currency 16" xfId="4191" xr:uid="{00000000-0005-0000-0000-000084060000}"/>
    <cellStyle name="Currency 16 2" xfId="4192" xr:uid="{00000000-0005-0000-0000-000085060000}"/>
    <cellStyle name="Currency 17" xfId="4193" xr:uid="{00000000-0005-0000-0000-000086060000}"/>
    <cellStyle name="Currency 2" xfId="4194" xr:uid="{00000000-0005-0000-0000-000087060000}"/>
    <cellStyle name="Currency 2 2" xfId="4195" xr:uid="{00000000-0005-0000-0000-000088060000}"/>
    <cellStyle name="Currency 3" xfId="4196" xr:uid="{00000000-0005-0000-0000-000089060000}"/>
    <cellStyle name="Currency 3 2" xfId="4197" xr:uid="{00000000-0005-0000-0000-00008A060000}"/>
    <cellStyle name="Currency 4" xfId="4198" xr:uid="{00000000-0005-0000-0000-00008B060000}"/>
    <cellStyle name="Currency 5" xfId="4199" xr:uid="{00000000-0005-0000-0000-00008C060000}"/>
    <cellStyle name="Currency 5 2" xfId="4200" xr:uid="{00000000-0005-0000-0000-00008D060000}"/>
    <cellStyle name="Currency 6" xfId="4201" xr:uid="{00000000-0005-0000-0000-00008E060000}"/>
    <cellStyle name="Currency 6 2" xfId="4202" xr:uid="{00000000-0005-0000-0000-00008F060000}"/>
    <cellStyle name="Currency 7" xfId="4203" xr:uid="{00000000-0005-0000-0000-000090060000}"/>
    <cellStyle name="Currency 7 2" xfId="4204" xr:uid="{00000000-0005-0000-0000-000091060000}"/>
    <cellStyle name="Currency 8" xfId="4205" xr:uid="{00000000-0005-0000-0000-000092060000}"/>
    <cellStyle name="Currency 8 2" xfId="4206" xr:uid="{00000000-0005-0000-0000-000093060000}"/>
    <cellStyle name="Currency 9" xfId="4207" xr:uid="{00000000-0005-0000-0000-000094060000}"/>
    <cellStyle name="Currency 9 2" xfId="4208" xr:uid="{00000000-0005-0000-0000-000095060000}"/>
    <cellStyle name="Currency0" xfId="4209" xr:uid="{00000000-0005-0000-0000-000096060000}"/>
    <cellStyle name="d" xfId="4210" xr:uid="{00000000-0005-0000-0000-000097060000}"/>
    <cellStyle name="d_Base Indiretos_BRASIL" xfId="4211" xr:uid="{00000000-0005-0000-0000-000098060000}"/>
    <cellStyle name="d_P&amp;L Impact" xfId="4212" xr:uid="{00000000-0005-0000-0000-000099060000}"/>
    <cellStyle name="Data Table Entries" xfId="4213" xr:uid="{00000000-0005-0000-0000-00009A060000}"/>
    <cellStyle name="DatabaseTable" xfId="4214" xr:uid="{00000000-0005-0000-0000-00009B060000}"/>
    <cellStyle name="Date" xfId="4215" xr:uid="{00000000-0005-0000-0000-00009C060000}"/>
    <cellStyle name="Date Short" xfId="4216" xr:uid="{00000000-0005-0000-0000-00009D060000}"/>
    <cellStyle name="Date." xfId="883" xr:uid="{00000000-0005-0000-0000-00009E060000}"/>
    <cellStyle name="DefaultVal" xfId="4217" xr:uid="{00000000-0005-0000-0000-00009F060000}"/>
    <cellStyle name="DELTA" xfId="4218" xr:uid="{00000000-0005-0000-0000-0000A0060000}"/>
    <cellStyle name="Description" xfId="4219" xr:uid="{00000000-0005-0000-0000-0000A1060000}"/>
    <cellStyle name="Dezimal [0]_20050322_Savings neues PK" xfId="4220" xr:uid="{00000000-0005-0000-0000-0000A2060000}"/>
    <cellStyle name="Dezimal_20050322_Savings neues PK" xfId="4221" xr:uid="{00000000-0005-0000-0000-0000A3060000}"/>
    <cellStyle name="Emphasis 1" xfId="4222" xr:uid="{00000000-0005-0000-0000-0000A4060000}"/>
    <cellStyle name="Emphasis 2" xfId="4223" xr:uid="{00000000-0005-0000-0000-0000A5060000}"/>
    <cellStyle name="Emphasis 3" xfId="4224" xr:uid="{00000000-0005-0000-0000-0000A6060000}"/>
    <cellStyle name="Enter Currency (0)" xfId="4225" xr:uid="{00000000-0005-0000-0000-0000A7060000}"/>
    <cellStyle name="Enter Currency (2)" xfId="4226" xr:uid="{00000000-0005-0000-0000-0000A8060000}"/>
    <cellStyle name="Enter Units (0)" xfId="4227" xr:uid="{00000000-0005-0000-0000-0000A9060000}"/>
    <cellStyle name="Enter Units (1)" xfId="4228" xr:uid="{00000000-0005-0000-0000-0000AA060000}"/>
    <cellStyle name="Enter Units (2)" xfId="4229" xr:uid="{00000000-0005-0000-0000-0000AB060000}"/>
    <cellStyle name="Entered" xfId="4230" xr:uid="{00000000-0005-0000-0000-0000AC060000}"/>
    <cellStyle name="Euro" xfId="4231" xr:uid="{00000000-0005-0000-0000-0000AD060000}"/>
    <cellStyle name="Euro 2" xfId="4232" xr:uid="{00000000-0005-0000-0000-0000AE060000}"/>
    <cellStyle name="Explanatory Text" xfId="109" builtinId="53" customBuiltin="1"/>
    <cellStyle name="Explanatory Text 2" xfId="884" xr:uid="{00000000-0005-0000-0000-0000B0060000}"/>
    <cellStyle name="f" xfId="4233" xr:uid="{00000000-0005-0000-0000-0000B1060000}"/>
    <cellStyle name="Fixed" xfId="4234" xr:uid="{00000000-0005-0000-0000-0000B2060000}"/>
    <cellStyle name="FutureCalc" xfId="4235" xr:uid="{00000000-0005-0000-0000-0000B3060000}"/>
    <cellStyle name="FutureUse" xfId="4236" xr:uid="{00000000-0005-0000-0000-0000B4060000}"/>
    <cellStyle name="Good" xfId="99" builtinId="26" customBuiltin="1"/>
    <cellStyle name="Good 2" xfId="69" xr:uid="{00000000-0005-0000-0000-0000B6060000}"/>
    <cellStyle name="Good 2 10" xfId="886" xr:uid="{00000000-0005-0000-0000-0000B7060000}"/>
    <cellStyle name="Good 2 11" xfId="887" xr:uid="{00000000-0005-0000-0000-0000B8060000}"/>
    <cellStyle name="Good 2 12" xfId="888" xr:uid="{00000000-0005-0000-0000-0000B9060000}"/>
    <cellStyle name="Good 2 13" xfId="889" xr:uid="{00000000-0005-0000-0000-0000BA060000}"/>
    <cellStyle name="Good 2 14" xfId="890" xr:uid="{00000000-0005-0000-0000-0000BB060000}"/>
    <cellStyle name="Good 2 15" xfId="891" xr:uid="{00000000-0005-0000-0000-0000BC060000}"/>
    <cellStyle name="Good 2 16" xfId="892" xr:uid="{00000000-0005-0000-0000-0000BD060000}"/>
    <cellStyle name="Good 2 17" xfId="893" xr:uid="{00000000-0005-0000-0000-0000BE060000}"/>
    <cellStyle name="Good 2 18" xfId="894" xr:uid="{00000000-0005-0000-0000-0000BF060000}"/>
    <cellStyle name="Good 2 19" xfId="895" xr:uid="{00000000-0005-0000-0000-0000C0060000}"/>
    <cellStyle name="Good 2 2" xfId="885" xr:uid="{00000000-0005-0000-0000-0000C1060000}"/>
    <cellStyle name="Good 2 2 10" xfId="897" xr:uid="{00000000-0005-0000-0000-0000C2060000}"/>
    <cellStyle name="Good 2 2 11" xfId="898" xr:uid="{00000000-0005-0000-0000-0000C3060000}"/>
    <cellStyle name="Good 2 2 12" xfId="899" xr:uid="{00000000-0005-0000-0000-0000C4060000}"/>
    <cellStyle name="Good 2 2 13" xfId="900" xr:uid="{00000000-0005-0000-0000-0000C5060000}"/>
    <cellStyle name="Good 2 2 14" xfId="901" xr:uid="{00000000-0005-0000-0000-0000C6060000}"/>
    <cellStyle name="Good 2 2 15" xfId="902" xr:uid="{00000000-0005-0000-0000-0000C7060000}"/>
    <cellStyle name="Good 2 2 16" xfId="903" xr:uid="{00000000-0005-0000-0000-0000C8060000}"/>
    <cellStyle name="Good 2 2 17" xfId="904" xr:uid="{00000000-0005-0000-0000-0000C9060000}"/>
    <cellStyle name="Good 2 2 18" xfId="905" xr:uid="{00000000-0005-0000-0000-0000CA060000}"/>
    <cellStyle name="Good 2 2 19" xfId="906" xr:uid="{00000000-0005-0000-0000-0000CB060000}"/>
    <cellStyle name="Good 2 2 2" xfId="896" xr:uid="{00000000-0005-0000-0000-0000CC060000}"/>
    <cellStyle name="Good 2 2 2 10" xfId="908" xr:uid="{00000000-0005-0000-0000-0000CD060000}"/>
    <cellStyle name="Good 2 2 2 11" xfId="909" xr:uid="{00000000-0005-0000-0000-0000CE060000}"/>
    <cellStyle name="Good 2 2 2 12" xfId="910" xr:uid="{00000000-0005-0000-0000-0000CF060000}"/>
    <cellStyle name="Good 2 2 2 13" xfId="911" xr:uid="{00000000-0005-0000-0000-0000D0060000}"/>
    <cellStyle name="Good 2 2 2 14" xfId="912" xr:uid="{00000000-0005-0000-0000-0000D1060000}"/>
    <cellStyle name="Good 2 2 2 15" xfId="913" xr:uid="{00000000-0005-0000-0000-0000D2060000}"/>
    <cellStyle name="Good 2 2 2 16" xfId="914" xr:uid="{00000000-0005-0000-0000-0000D3060000}"/>
    <cellStyle name="Good 2 2 2 17" xfId="915" xr:uid="{00000000-0005-0000-0000-0000D4060000}"/>
    <cellStyle name="Good 2 2 2 18" xfId="916" xr:uid="{00000000-0005-0000-0000-0000D5060000}"/>
    <cellStyle name="Good 2 2 2 19" xfId="917" xr:uid="{00000000-0005-0000-0000-0000D6060000}"/>
    <cellStyle name="Good 2 2 2 2" xfId="907" xr:uid="{00000000-0005-0000-0000-0000D7060000}"/>
    <cellStyle name="Good 2 2 2 2 10" xfId="919" xr:uid="{00000000-0005-0000-0000-0000D8060000}"/>
    <cellStyle name="Good 2 2 2 2 11" xfId="920" xr:uid="{00000000-0005-0000-0000-0000D9060000}"/>
    <cellStyle name="Good 2 2 2 2 12" xfId="921" xr:uid="{00000000-0005-0000-0000-0000DA060000}"/>
    <cellStyle name="Good 2 2 2 2 13" xfId="922" xr:uid="{00000000-0005-0000-0000-0000DB060000}"/>
    <cellStyle name="Good 2 2 2 2 14" xfId="923" xr:uid="{00000000-0005-0000-0000-0000DC060000}"/>
    <cellStyle name="Good 2 2 2 2 15" xfId="924" xr:uid="{00000000-0005-0000-0000-0000DD060000}"/>
    <cellStyle name="Good 2 2 2 2 16" xfId="925" xr:uid="{00000000-0005-0000-0000-0000DE060000}"/>
    <cellStyle name="Good 2 2 2 2 17" xfId="926" xr:uid="{00000000-0005-0000-0000-0000DF060000}"/>
    <cellStyle name="Good 2 2 2 2 18" xfId="927" xr:uid="{00000000-0005-0000-0000-0000E0060000}"/>
    <cellStyle name="Good 2 2 2 2 19" xfId="928" xr:uid="{00000000-0005-0000-0000-0000E1060000}"/>
    <cellStyle name="Good 2 2 2 2 2" xfId="918" xr:uid="{00000000-0005-0000-0000-0000E2060000}"/>
    <cellStyle name="Good 2 2 2 2 2 10" xfId="930" xr:uid="{00000000-0005-0000-0000-0000E3060000}"/>
    <cellStyle name="Good 2 2 2 2 2 11" xfId="931" xr:uid="{00000000-0005-0000-0000-0000E4060000}"/>
    <cellStyle name="Good 2 2 2 2 2 12" xfId="932" xr:uid="{00000000-0005-0000-0000-0000E5060000}"/>
    <cellStyle name="Good 2 2 2 2 2 13" xfId="933" xr:uid="{00000000-0005-0000-0000-0000E6060000}"/>
    <cellStyle name="Good 2 2 2 2 2 14" xfId="934" xr:uid="{00000000-0005-0000-0000-0000E7060000}"/>
    <cellStyle name="Good 2 2 2 2 2 15" xfId="935" xr:uid="{00000000-0005-0000-0000-0000E8060000}"/>
    <cellStyle name="Good 2 2 2 2 2 16" xfId="936" xr:uid="{00000000-0005-0000-0000-0000E9060000}"/>
    <cellStyle name="Good 2 2 2 2 2 17" xfId="937" xr:uid="{00000000-0005-0000-0000-0000EA060000}"/>
    <cellStyle name="Good 2 2 2 2 2 18" xfId="938" xr:uid="{00000000-0005-0000-0000-0000EB060000}"/>
    <cellStyle name="Good 2 2 2 2 2 19" xfId="939" xr:uid="{00000000-0005-0000-0000-0000EC060000}"/>
    <cellStyle name="Good 2 2 2 2 2 2" xfId="929" xr:uid="{00000000-0005-0000-0000-0000ED060000}"/>
    <cellStyle name="Good 2 2 2 2 2 2 2" xfId="940" xr:uid="{00000000-0005-0000-0000-0000EE060000}"/>
    <cellStyle name="Good 2 2 2 2 2 2 2 2" xfId="4785" xr:uid="{00000000-0005-0000-0000-0000EF060000}"/>
    <cellStyle name="Good 2 2 2 2 2 2 2 2 2" xfId="4784" xr:uid="{00000000-0005-0000-0000-0000F0060000}"/>
    <cellStyle name="Good 2 2 2 2 2 2 2 3" xfId="4720" xr:uid="{00000000-0005-0000-0000-0000F1060000}"/>
    <cellStyle name="Good 2 2 2 2 2 2 2 4" xfId="4737" xr:uid="{00000000-0005-0000-0000-0000F2060000}"/>
    <cellStyle name="Good 2 2 2 2 2 2 3" xfId="4646" xr:uid="{00000000-0005-0000-0000-0000F3060000}"/>
    <cellStyle name="Good 2 2 2 2 2 2 3 2" xfId="4719" xr:uid="{00000000-0005-0000-0000-0000F4060000}"/>
    <cellStyle name="Good 2 2 2 2 2 2 4" xfId="4738" xr:uid="{00000000-0005-0000-0000-0000F5060000}"/>
    <cellStyle name="Good 2 2 2 2 2 20" xfId="941" xr:uid="{00000000-0005-0000-0000-0000F6060000}"/>
    <cellStyle name="Good 2 2 2 2 2 21" xfId="942" xr:uid="{00000000-0005-0000-0000-0000F7060000}"/>
    <cellStyle name="Good 2 2 2 2 2 22" xfId="943" xr:uid="{00000000-0005-0000-0000-0000F8060000}"/>
    <cellStyle name="Good 2 2 2 2 2 23" xfId="944" xr:uid="{00000000-0005-0000-0000-0000F9060000}"/>
    <cellStyle name="Good 2 2 2 2 2 24" xfId="945" xr:uid="{00000000-0005-0000-0000-0000FA060000}"/>
    <cellStyle name="Good 2 2 2 2 2 25" xfId="4645" xr:uid="{00000000-0005-0000-0000-0000FB060000}"/>
    <cellStyle name="Good 2 2 2 2 2 25 2" xfId="4786" xr:uid="{00000000-0005-0000-0000-0000FC060000}"/>
    <cellStyle name="Good 2 2 2 2 2 26" xfId="4718" xr:uid="{00000000-0005-0000-0000-0000FD060000}"/>
    <cellStyle name="Good 2 2 2 2 2 27" xfId="4954" xr:uid="{00000000-0005-0000-0000-0000FE060000}"/>
    <cellStyle name="Good 2 2 2 2 2 3" xfId="946" xr:uid="{00000000-0005-0000-0000-0000FF060000}"/>
    <cellStyle name="Good 2 2 2 2 2 4" xfId="947" xr:uid="{00000000-0005-0000-0000-000000070000}"/>
    <cellStyle name="Good 2 2 2 2 2 5" xfId="948" xr:uid="{00000000-0005-0000-0000-000001070000}"/>
    <cellStyle name="Good 2 2 2 2 2 6" xfId="949" xr:uid="{00000000-0005-0000-0000-000002070000}"/>
    <cellStyle name="Good 2 2 2 2 2 7" xfId="950" xr:uid="{00000000-0005-0000-0000-000003070000}"/>
    <cellStyle name="Good 2 2 2 2 2 8" xfId="951" xr:uid="{00000000-0005-0000-0000-000004070000}"/>
    <cellStyle name="Good 2 2 2 2 2 9" xfId="952" xr:uid="{00000000-0005-0000-0000-000005070000}"/>
    <cellStyle name="Good 2 2 2 2 20" xfId="953" xr:uid="{00000000-0005-0000-0000-000006070000}"/>
    <cellStyle name="Good 2 2 2 2 21" xfId="954" xr:uid="{00000000-0005-0000-0000-000007070000}"/>
    <cellStyle name="Good 2 2 2 2 22" xfId="955" xr:uid="{00000000-0005-0000-0000-000008070000}"/>
    <cellStyle name="Good 2 2 2 2 23" xfId="956" xr:uid="{00000000-0005-0000-0000-000009070000}"/>
    <cellStyle name="Good 2 2 2 2 24" xfId="957" xr:uid="{00000000-0005-0000-0000-00000A070000}"/>
    <cellStyle name="Good 2 2 2 2 25" xfId="4644" xr:uid="{00000000-0005-0000-0000-00000B070000}"/>
    <cellStyle name="Good 2 2 2 2 25 2" xfId="4787" xr:uid="{00000000-0005-0000-0000-00000C070000}"/>
    <cellStyle name="Good 2 2 2 2 26" xfId="4717" xr:uid="{00000000-0005-0000-0000-00000D070000}"/>
    <cellStyle name="Good 2 2 2 2 27" xfId="4739" xr:uid="{00000000-0005-0000-0000-00000E070000}"/>
    <cellStyle name="Good 2 2 2 2 3" xfId="958" xr:uid="{00000000-0005-0000-0000-00000F070000}"/>
    <cellStyle name="Good 2 2 2 2 4" xfId="959" xr:uid="{00000000-0005-0000-0000-000010070000}"/>
    <cellStyle name="Good 2 2 2 2 5" xfId="960" xr:uid="{00000000-0005-0000-0000-000011070000}"/>
    <cellStyle name="Good 2 2 2 2 6" xfId="961" xr:uid="{00000000-0005-0000-0000-000012070000}"/>
    <cellStyle name="Good 2 2 2 2 7" xfId="962" xr:uid="{00000000-0005-0000-0000-000013070000}"/>
    <cellStyle name="Good 2 2 2 2 8" xfId="963" xr:uid="{00000000-0005-0000-0000-000014070000}"/>
    <cellStyle name="Good 2 2 2 2 9" xfId="964" xr:uid="{00000000-0005-0000-0000-000015070000}"/>
    <cellStyle name="Good 2 2 2 20" xfId="965" xr:uid="{00000000-0005-0000-0000-000016070000}"/>
    <cellStyle name="Good 2 2 2 21" xfId="966" xr:uid="{00000000-0005-0000-0000-000017070000}"/>
    <cellStyle name="Good 2 2 2 22" xfId="967" xr:uid="{00000000-0005-0000-0000-000018070000}"/>
    <cellStyle name="Good 2 2 2 23" xfId="968" xr:uid="{00000000-0005-0000-0000-000019070000}"/>
    <cellStyle name="Good 2 2 2 24" xfId="969" xr:uid="{00000000-0005-0000-0000-00001A070000}"/>
    <cellStyle name="Good 2 2 2 25" xfId="970" xr:uid="{00000000-0005-0000-0000-00001B070000}"/>
    <cellStyle name="Good 2 2 2 26" xfId="971" xr:uid="{00000000-0005-0000-0000-00001C070000}"/>
    <cellStyle name="Good 2 2 2 27" xfId="972" xr:uid="{00000000-0005-0000-0000-00001D070000}"/>
    <cellStyle name="Good 2 2 2 28" xfId="973" xr:uid="{00000000-0005-0000-0000-00001E070000}"/>
    <cellStyle name="Good 2 2 2 29" xfId="974" xr:uid="{00000000-0005-0000-0000-00001F070000}"/>
    <cellStyle name="Good 2 2 2 3" xfId="975" xr:uid="{00000000-0005-0000-0000-000020070000}"/>
    <cellStyle name="Good 2 2 2 30" xfId="976" xr:uid="{00000000-0005-0000-0000-000021070000}"/>
    <cellStyle name="Good 2 2 2 31" xfId="4643" xr:uid="{00000000-0005-0000-0000-000022070000}"/>
    <cellStyle name="Good 2 2 2 31 2" xfId="4788" xr:uid="{00000000-0005-0000-0000-000023070000}"/>
    <cellStyle name="Good 2 2 2 32" xfId="4716" xr:uid="{00000000-0005-0000-0000-000024070000}"/>
    <cellStyle name="Good 2 2 2 33" xfId="4740" xr:uid="{00000000-0005-0000-0000-000025070000}"/>
    <cellStyle name="Good 2 2 2 4" xfId="977" xr:uid="{00000000-0005-0000-0000-000026070000}"/>
    <cellStyle name="Good 2 2 2 5" xfId="978" xr:uid="{00000000-0005-0000-0000-000027070000}"/>
    <cellStyle name="Good 2 2 2 6" xfId="979" xr:uid="{00000000-0005-0000-0000-000028070000}"/>
    <cellStyle name="Good 2 2 2 7" xfId="980" xr:uid="{00000000-0005-0000-0000-000029070000}"/>
    <cellStyle name="Good 2 2 2 8" xfId="981" xr:uid="{00000000-0005-0000-0000-00002A070000}"/>
    <cellStyle name="Good 2 2 2 9" xfId="982" xr:uid="{00000000-0005-0000-0000-00002B070000}"/>
    <cellStyle name="Good 2 2 20" xfId="983" xr:uid="{00000000-0005-0000-0000-00002C070000}"/>
    <cellStyle name="Good 2 2 21" xfId="984" xr:uid="{00000000-0005-0000-0000-00002D070000}"/>
    <cellStyle name="Good 2 2 22" xfId="985" xr:uid="{00000000-0005-0000-0000-00002E070000}"/>
    <cellStyle name="Good 2 2 23" xfId="986" xr:uid="{00000000-0005-0000-0000-00002F070000}"/>
    <cellStyle name="Good 2 2 24" xfId="987" xr:uid="{00000000-0005-0000-0000-000030070000}"/>
    <cellStyle name="Good 2 2 25" xfId="988" xr:uid="{00000000-0005-0000-0000-000031070000}"/>
    <cellStyle name="Good 2 2 26" xfId="989" xr:uid="{00000000-0005-0000-0000-000032070000}"/>
    <cellStyle name="Good 2 2 27" xfId="990" xr:uid="{00000000-0005-0000-0000-000033070000}"/>
    <cellStyle name="Good 2 2 28" xfId="991" xr:uid="{00000000-0005-0000-0000-000034070000}"/>
    <cellStyle name="Good 2 2 29" xfId="992" xr:uid="{00000000-0005-0000-0000-000035070000}"/>
    <cellStyle name="Good 2 2 3" xfId="993" xr:uid="{00000000-0005-0000-0000-000036070000}"/>
    <cellStyle name="Good 2 2 3 10" xfId="994" xr:uid="{00000000-0005-0000-0000-000037070000}"/>
    <cellStyle name="Good 2 2 3 11" xfId="995" xr:uid="{00000000-0005-0000-0000-000038070000}"/>
    <cellStyle name="Good 2 2 3 12" xfId="996" xr:uid="{00000000-0005-0000-0000-000039070000}"/>
    <cellStyle name="Good 2 2 3 13" xfId="997" xr:uid="{00000000-0005-0000-0000-00003A070000}"/>
    <cellStyle name="Good 2 2 3 14" xfId="998" xr:uid="{00000000-0005-0000-0000-00003B070000}"/>
    <cellStyle name="Good 2 2 3 15" xfId="999" xr:uid="{00000000-0005-0000-0000-00003C070000}"/>
    <cellStyle name="Good 2 2 3 16" xfId="1000" xr:uid="{00000000-0005-0000-0000-00003D070000}"/>
    <cellStyle name="Good 2 2 3 17" xfId="1001" xr:uid="{00000000-0005-0000-0000-00003E070000}"/>
    <cellStyle name="Good 2 2 3 18" xfId="1002" xr:uid="{00000000-0005-0000-0000-00003F070000}"/>
    <cellStyle name="Good 2 2 3 19" xfId="1003" xr:uid="{00000000-0005-0000-0000-000040070000}"/>
    <cellStyle name="Good 2 2 3 2" xfId="1004" xr:uid="{00000000-0005-0000-0000-000041070000}"/>
    <cellStyle name="Good 2 2 3 2 10" xfId="1005" xr:uid="{00000000-0005-0000-0000-000042070000}"/>
    <cellStyle name="Good 2 2 3 2 11" xfId="1006" xr:uid="{00000000-0005-0000-0000-000043070000}"/>
    <cellStyle name="Good 2 2 3 2 12" xfId="1007" xr:uid="{00000000-0005-0000-0000-000044070000}"/>
    <cellStyle name="Good 2 2 3 2 13" xfId="1008" xr:uid="{00000000-0005-0000-0000-000045070000}"/>
    <cellStyle name="Good 2 2 3 2 14" xfId="1009" xr:uid="{00000000-0005-0000-0000-000046070000}"/>
    <cellStyle name="Good 2 2 3 2 15" xfId="1010" xr:uid="{00000000-0005-0000-0000-000047070000}"/>
    <cellStyle name="Good 2 2 3 2 16" xfId="1011" xr:uid="{00000000-0005-0000-0000-000048070000}"/>
    <cellStyle name="Good 2 2 3 2 17" xfId="1012" xr:uid="{00000000-0005-0000-0000-000049070000}"/>
    <cellStyle name="Good 2 2 3 2 18" xfId="1013" xr:uid="{00000000-0005-0000-0000-00004A070000}"/>
    <cellStyle name="Good 2 2 3 2 19" xfId="1014" xr:uid="{00000000-0005-0000-0000-00004B070000}"/>
    <cellStyle name="Good 2 2 3 2 2" xfId="1015" xr:uid="{00000000-0005-0000-0000-00004C070000}"/>
    <cellStyle name="Good 2 2 3 2 20" xfId="1016" xr:uid="{00000000-0005-0000-0000-00004D070000}"/>
    <cellStyle name="Good 2 2 3 2 21" xfId="1017" xr:uid="{00000000-0005-0000-0000-00004E070000}"/>
    <cellStyle name="Good 2 2 3 2 22" xfId="1018" xr:uid="{00000000-0005-0000-0000-00004F070000}"/>
    <cellStyle name="Good 2 2 3 2 23" xfId="1019" xr:uid="{00000000-0005-0000-0000-000050070000}"/>
    <cellStyle name="Good 2 2 3 2 24" xfId="1020" xr:uid="{00000000-0005-0000-0000-000051070000}"/>
    <cellStyle name="Good 2 2 3 2 3" xfId="1021" xr:uid="{00000000-0005-0000-0000-000052070000}"/>
    <cellStyle name="Good 2 2 3 2 4" xfId="1022" xr:uid="{00000000-0005-0000-0000-000053070000}"/>
    <cellStyle name="Good 2 2 3 2 5" xfId="1023" xr:uid="{00000000-0005-0000-0000-000054070000}"/>
    <cellStyle name="Good 2 2 3 2 6" xfId="1024" xr:uid="{00000000-0005-0000-0000-000055070000}"/>
    <cellStyle name="Good 2 2 3 2 7" xfId="1025" xr:uid="{00000000-0005-0000-0000-000056070000}"/>
    <cellStyle name="Good 2 2 3 2 8" xfId="1026" xr:uid="{00000000-0005-0000-0000-000057070000}"/>
    <cellStyle name="Good 2 2 3 2 9" xfId="1027" xr:uid="{00000000-0005-0000-0000-000058070000}"/>
    <cellStyle name="Good 2 2 3 20" xfId="1028" xr:uid="{00000000-0005-0000-0000-000059070000}"/>
    <cellStyle name="Good 2 2 3 21" xfId="1029" xr:uid="{00000000-0005-0000-0000-00005A070000}"/>
    <cellStyle name="Good 2 2 3 22" xfId="1030" xr:uid="{00000000-0005-0000-0000-00005B070000}"/>
    <cellStyle name="Good 2 2 3 23" xfId="1031" xr:uid="{00000000-0005-0000-0000-00005C070000}"/>
    <cellStyle name="Good 2 2 3 24" xfId="1032" xr:uid="{00000000-0005-0000-0000-00005D070000}"/>
    <cellStyle name="Good 2 2 3 3" xfId="1033" xr:uid="{00000000-0005-0000-0000-00005E070000}"/>
    <cellStyle name="Good 2 2 3 4" xfId="1034" xr:uid="{00000000-0005-0000-0000-00005F070000}"/>
    <cellStyle name="Good 2 2 3 5" xfId="1035" xr:uid="{00000000-0005-0000-0000-000060070000}"/>
    <cellStyle name="Good 2 2 3 6" xfId="1036" xr:uid="{00000000-0005-0000-0000-000061070000}"/>
    <cellStyle name="Good 2 2 3 7" xfId="1037" xr:uid="{00000000-0005-0000-0000-000062070000}"/>
    <cellStyle name="Good 2 2 3 8" xfId="1038" xr:uid="{00000000-0005-0000-0000-000063070000}"/>
    <cellStyle name="Good 2 2 3 9" xfId="1039" xr:uid="{00000000-0005-0000-0000-000064070000}"/>
    <cellStyle name="Good 2 2 30" xfId="1040" xr:uid="{00000000-0005-0000-0000-000065070000}"/>
    <cellStyle name="Good 2 2 31" xfId="4642" xr:uid="{00000000-0005-0000-0000-000066070000}"/>
    <cellStyle name="Good 2 2 31 2" xfId="4789" xr:uid="{00000000-0005-0000-0000-000067070000}"/>
    <cellStyle name="Good 2 2 32" xfId="4715" xr:uid="{00000000-0005-0000-0000-000068070000}"/>
    <cellStyle name="Good 2 2 33" xfId="4741" xr:uid="{00000000-0005-0000-0000-000069070000}"/>
    <cellStyle name="Good 2 2 4" xfId="1041" xr:uid="{00000000-0005-0000-0000-00006A070000}"/>
    <cellStyle name="Good 2 2 5" xfId="1042" xr:uid="{00000000-0005-0000-0000-00006B070000}"/>
    <cellStyle name="Good 2 2 6" xfId="1043" xr:uid="{00000000-0005-0000-0000-00006C070000}"/>
    <cellStyle name="Good 2 2 7" xfId="1044" xr:uid="{00000000-0005-0000-0000-00006D070000}"/>
    <cellStyle name="Good 2 2 8" xfId="1045" xr:uid="{00000000-0005-0000-0000-00006E070000}"/>
    <cellStyle name="Good 2 2 9" xfId="1046" xr:uid="{00000000-0005-0000-0000-00006F070000}"/>
    <cellStyle name="Good 2 20" xfId="1047" xr:uid="{00000000-0005-0000-0000-000070070000}"/>
    <cellStyle name="Good 2 21" xfId="1048" xr:uid="{00000000-0005-0000-0000-000071070000}"/>
    <cellStyle name="Good 2 22" xfId="1049" xr:uid="{00000000-0005-0000-0000-000072070000}"/>
    <cellStyle name="Good 2 23" xfId="1050" xr:uid="{00000000-0005-0000-0000-000073070000}"/>
    <cellStyle name="Good 2 24" xfId="1051" xr:uid="{00000000-0005-0000-0000-000074070000}"/>
    <cellStyle name="Good 2 25" xfId="1052" xr:uid="{00000000-0005-0000-0000-000075070000}"/>
    <cellStyle name="Good 2 26" xfId="1053" xr:uid="{00000000-0005-0000-0000-000076070000}"/>
    <cellStyle name="Good 2 27" xfId="1054" xr:uid="{00000000-0005-0000-0000-000077070000}"/>
    <cellStyle name="Good 2 28" xfId="1055" xr:uid="{00000000-0005-0000-0000-000078070000}"/>
    <cellStyle name="Good 2 29" xfId="1056" xr:uid="{00000000-0005-0000-0000-000079070000}"/>
    <cellStyle name="Good 2 3" xfId="1057" xr:uid="{00000000-0005-0000-0000-00007A070000}"/>
    <cellStyle name="Good 2 30" xfId="1058" xr:uid="{00000000-0005-0000-0000-00007B070000}"/>
    <cellStyle name="Good 2 31" xfId="1059" xr:uid="{00000000-0005-0000-0000-00007C070000}"/>
    <cellStyle name="Good 2 32" xfId="1060" xr:uid="{00000000-0005-0000-0000-00007D070000}"/>
    <cellStyle name="Good 2 33" xfId="1061" xr:uid="{00000000-0005-0000-0000-00007E070000}"/>
    <cellStyle name="Good 2 34" xfId="1062" xr:uid="{00000000-0005-0000-0000-00007F070000}"/>
    <cellStyle name="Good 2 35" xfId="1063" xr:uid="{00000000-0005-0000-0000-000080070000}"/>
    <cellStyle name="Good 2 36" xfId="1064" xr:uid="{00000000-0005-0000-0000-000081070000}"/>
    <cellStyle name="Good 2 37" xfId="1065" xr:uid="{00000000-0005-0000-0000-000082070000}"/>
    <cellStyle name="Good 2 38" xfId="1066" xr:uid="{00000000-0005-0000-0000-000083070000}"/>
    <cellStyle name="Good 2 38 10" xfId="1067" xr:uid="{00000000-0005-0000-0000-000084070000}"/>
    <cellStyle name="Good 2 38 11" xfId="1068" xr:uid="{00000000-0005-0000-0000-000085070000}"/>
    <cellStyle name="Good 2 38 12" xfId="1069" xr:uid="{00000000-0005-0000-0000-000086070000}"/>
    <cellStyle name="Good 2 38 13" xfId="1070" xr:uid="{00000000-0005-0000-0000-000087070000}"/>
    <cellStyle name="Good 2 38 14" xfId="1071" xr:uid="{00000000-0005-0000-0000-000088070000}"/>
    <cellStyle name="Good 2 38 15" xfId="1072" xr:uid="{00000000-0005-0000-0000-000089070000}"/>
    <cellStyle name="Good 2 38 16" xfId="1073" xr:uid="{00000000-0005-0000-0000-00008A070000}"/>
    <cellStyle name="Good 2 38 17" xfId="1074" xr:uid="{00000000-0005-0000-0000-00008B070000}"/>
    <cellStyle name="Good 2 38 18" xfId="1075" xr:uid="{00000000-0005-0000-0000-00008C070000}"/>
    <cellStyle name="Good 2 38 19" xfId="1076" xr:uid="{00000000-0005-0000-0000-00008D070000}"/>
    <cellStyle name="Good 2 38 2" xfId="1077" xr:uid="{00000000-0005-0000-0000-00008E070000}"/>
    <cellStyle name="Good 2 38 2 10" xfId="1078" xr:uid="{00000000-0005-0000-0000-00008F070000}"/>
    <cellStyle name="Good 2 38 2 11" xfId="1079" xr:uid="{00000000-0005-0000-0000-000090070000}"/>
    <cellStyle name="Good 2 38 2 12" xfId="1080" xr:uid="{00000000-0005-0000-0000-000091070000}"/>
    <cellStyle name="Good 2 38 2 13" xfId="1081" xr:uid="{00000000-0005-0000-0000-000092070000}"/>
    <cellStyle name="Good 2 38 2 14" xfId="1082" xr:uid="{00000000-0005-0000-0000-000093070000}"/>
    <cellStyle name="Good 2 38 2 15" xfId="1083" xr:uid="{00000000-0005-0000-0000-000094070000}"/>
    <cellStyle name="Good 2 38 2 16" xfId="1084" xr:uid="{00000000-0005-0000-0000-000095070000}"/>
    <cellStyle name="Good 2 38 2 17" xfId="1085" xr:uid="{00000000-0005-0000-0000-000096070000}"/>
    <cellStyle name="Good 2 38 2 18" xfId="1086" xr:uid="{00000000-0005-0000-0000-000097070000}"/>
    <cellStyle name="Good 2 38 2 19" xfId="1087" xr:uid="{00000000-0005-0000-0000-000098070000}"/>
    <cellStyle name="Good 2 38 2 2" xfId="1088" xr:uid="{00000000-0005-0000-0000-000099070000}"/>
    <cellStyle name="Good 2 38 2 20" xfId="1089" xr:uid="{00000000-0005-0000-0000-00009A070000}"/>
    <cellStyle name="Good 2 38 2 21" xfId="1090" xr:uid="{00000000-0005-0000-0000-00009B070000}"/>
    <cellStyle name="Good 2 38 2 22" xfId="1091" xr:uid="{00000000-0005-0000-0000-00009C070000}"/>
    <cellStyle name="Good 2 38 2 23" xfId="1092" xr:uid="{00000000-0005-0000-0000-00009D070000}"/>
    <cellStyle name="Good 2 38 2 24" xfId="1093" xr:uid="{00000000-0005-0000-0000-00009E070000}"/>
    <cellStyle name="Good 2 38 2 3" xfId="1094" xr:uid="{00000000-0005-0000-0000-00009F070000}"/>
    <cellStyle name="Good 2 38 2 4" xfId="1095" xr:uid="{00000000-0005-0000-0000-0000A0070000}"/>
    <cellStyle name="Good 2 38 2 5" xfId="1096" xr:uid="{00000000-0005-0000-0000-0000A1070000}"/>
    <cellStyle name="Good 2 38 2 6" xfId="1097" xr:uid="{00000000-0005-0000-0000-0000A2070000}"/>
    <cellStyle name="Good 2 38 2 7" xfId="1098" xr:uid="{00000000-0005-0000-0000-0000A3070000}"/>
    <cellStyle name="Good 2 38 2 8" xfId="1099" xr:uid="{00000000-0005-0000-0000-0000A4070000}"/>
    <cellStyle name="Good 2 38 2 9" xfId="1100" xr:uid="{00000000-0005-0000-0000-0000A5070000}"/>
    <cellStyle name="Good 2 38 20" xfId="1101" xr:uid="{00000000-0005-0000-0000-0000A6070000}"/>
    <cellStyle name="Good 2 38 21" xfId="1102" xr:uid="{00000000-0005-0000-0000-0000A7070000}"/>
    <cellStyle name="Good 2 38 22" xfId="1103" xr:uid="{00000000-0005-0000-0000-0000A8070000}"/>
    <cellStyle name="Good 2 38 23" xfId="1104" xr:uid="{00000000-0005-0000-0000-0000A9070000}"/>
    <cellStyle name="Good 2 38 24" xfId="1105" xr:uid="{00000000-0005-0000-0000-0000AA070000}"/>
    <cellStyle name="Good 2 38 3" xfId="1106" xr:uid="{00000000-0005-0000-0000-0000AB070000}"/>
    <cellStyle name="Good 2 38 4" xfId="1107" xr:uid="{00000000-0005-0000-0000-0000AC070000}"/>
    <cellStyle name="Good 2 38 5" xfId="1108" xr:uid="{00000000-0005-0000-0000-0000AD070000}"/>
    <cellStyle name="Good 2 38 6" xfId="1109" xr:uid="{00000000-0005-0000-0000-0000AE070000}"/>
    <cellStyle name="Good 2 38 7" xfId="1110" xr:uid="{00000000-0005-0000-0000-0000AF070000}"/>
    <cellStyle name="Good 2 38 8" xfId="1111" xr:uid="{00000000-0005-0000-0000-0000B0070000}"/>
    <cellStyle name="Good 2 38 9" xfId="1112" xr:uid="{00000000-0005-0000-0000-0000B1070000}"/>
    <cellStyle name="Good 2 39" xfId="1113" xr:uid="{00000000-0005-0000-0000-0000B2070000}"/>
    <cellStyle name="Good 2 4" xfId="1114" xr:uid="{00000000-0005-0000-0000-0000B3070000}"/>
    <cellStyle name="Good 2 40" xfId="1115" xr:uid="{00000000-0005-0000-0000-0000B4070000}"/>
    <cellStyle name="Good 2 41" xfId="1116" xr:uid="{00000000-0005-0000-0000-0000B5070000}"/>
    <cellStyle name="Good 2 42" xfId="1117" xr:uid="{00000000-0005-0000-0000-0000B6070000}"/>
    <cellStyle name="Good 2 43" xfId="1118" xr:uid="{00000000-0005-0000-0000-0000B7070000}"/>
    <cellStyle name="Good 2 44" xfId="1119" xr:uid="{00000000-0005-0000-0000-0000B8070000}"/>
    <cellStyle name="Good 2 45" xfId="1120" xr:uid="{00000000-0005-0000-0000-0000B9070000}"/>
    <cellStyle name="Good 2 46" xfId="1121" xr:uid="{00000000-0005-0000-0000-0000BA070000}"/>
    <cellStyle name="Good 2 47" xfId="1122" xr:uid="{00000000-0005-0000-0000-0000BB070000}"/>
    <cellStyle name="Good 2 48" xfId="1123" xr:uid="{00000000-0005-0000-0000-0000BC070000}"/>
    <cellStyle name="Good 2 49" xfId="1124" xr:uid="{00000000-0005-0000-0000-0000BD070000}"/>
    <cellStyle name="Good 2 5" xfId="1125" xr:uid="{00000000-0005-0000-0000-0000BE070000}"/>
    <cellStyle name="Good 2 50" xfId="1126" xr:uid="{00000000-0005-0000-0000-0000BF070000}"/>
    <cellStyle name="Good 2 51" xfId="1127" xr:uid="{00000000-0005-0000-0000-0000C0070000}"/>
    <cellStyle name="Good 2 52" xfId="1128" xr:uid="{00000000-0005-0000-0000-0000C1070000}"/>
    <cellStyle name="Good 2 53" xfId="1129" xr:uid="{00000000-0005-0000-0000-0000C2070000}"/>
    <cellStyle name="Good 2 54" xfId="1130" xr:uid="{00000000-0005-0000-0000-0000C3070000}"/>
    <cellStyle name="Good 2 55" xfId="1131" xr:uid="{00000000-0005-0000-0000-0000C4070000}"/>
    <cellStyle name="Good 2 56" xfId="1132" xr:uid="{00000000-0005-0000-0000-0000C5070000}"/>
    <cellStyle name="Good 2 57" xfId="1133" xr:uid="{00000000-0005-0000-0000-0000C6070000}"/>
    <cellStyle name="Good 2 58" xfId="1134" xr:uid="{00000000-0005-0000-0000-0000C7070000}"/>
    <cellStyle name="Good 2 59" xfId="1135" xr:uid="{00000000-0005-0000-0000-0000C8070000}"/>
    <cellStyle name="Good 2 6" xfId="1136" xr:uid="{00000000-0005-0000-0000-0000C9070000}"/>
    <cellStyle name="Good 2 60" xfId="1137" xr:uid="{00000000-0005-0000-0000-0000CA070000}"/>
    <cellStyle name="Good 2 61" xfId="1138" xr:uid="{00000000-0005-0000-0000-0000CB070000}"/>
    <cellStyle name="Good 2 62" xfId="1139" xr:uid="{00000000-0005-0000-0000-0000CC070000}"/>
    <cellStyle name="Good 2 63" xfId="1140" xr:uid="{00000000-0005-0000-0000-0000CD070000}"/>
    <cellStyle name="Good 2 64" xfId="1141" xr:uid="{00000000-0005-0000-0000-0000CE070000}"/>
    <cellStyle name="Good 2 65" xfId="1142" xr:uid="{00000000-0005-0000-0000-0000CF070000}"/>
    <cellStyle name="Good 2 66" xfId="1143" xr:uid="{00000000-0005-0000-0000-0000D0070000}"/>
    <cellStyle name="Good 2 67" xfId="3578" xr:uid="{00000000-0005-0000-0000-0000D1070000}"/>
    <cellStyle name="Good 2 68" xfId="4641" xr:uid="{00000000-0005-0000-0000-0000D2070000}"/>
    <cellStyle name="Good 2 68 2" xfId="4817" xr:uid="{00000000-0005-0000-0000-0000D3070000}"/>
    <cellStyle name="Good 2 69" xfId="4665" xr:uid="{00000000-0005-0000-0000-0000D4070000}"/>
    <cellStyle name="Good 2 7" xfId="1144" xr:uid="{00000000-0005-0000-0000-0000D5070000}"/>
    <cellStyle name="Good 2 70" xfId="4940" xr:uid="{00000000-0005-0000-0000-0000D6070000}"/>
    <cellStyle name="Good 2 71" xfId="5012" xr:uid="{00000000-0005-0000-0000-0000D7070000}"/>
    <cellStyle name="Good 2 8" xfId="1145" xr:uid="{00000000-0005-0000-0000-0000D8070000}"/>
    <cellStyle name="Good 2 9" xfId="1146" xr:uid="{00000000-0005-0000-0000-0000D9070000}"/>
    <cellStyle name="Grey" xfId="4237" xr:uid="{00000000-0005-0000-0000-0000DA070000}"/>
    <cellStyle name="Header" xfId="4238" xr:uid="{00000000-0005-0000-0000-0000DB070000}"/>
    <cellStyle name="Header1" xfId="4239" xr:uid="{00000000-0005-0000-0000-0000DC070000}"/>
    <cellStyle name="Header2" xfId="4240" xr:uid="{00000000-0005-0000-0000-0000DD070000}"/>
    <cellStyle name="Heading 1" xfId="95" builtinId="16" customBuiltin="1"/>
    <cellStyle name="Heading 1 2" xfId="1147" xr:uid="{00000000-0005-0000-0000-0000DF070000}"/>
    <cellStyle name="Heading 1." xfId="1148" xr:uid="{00000000-0005-0000-0000-0000E0070000}"/>
    <cellStyle name="Heading 2" xfId="96" builtinId="17" customBuiltin="1"/>
    <cellStyle name="Heading 2 2" xfId="1149" xr:uid="{00000000-0005-0000-0000-0000E2070000}"/>
    <cellStyle name="Heading 2." xfId="1150" xr:uid="{00000000-0005-0000-0000-0000E3070000}"/>
    <cellStyle name="Heading 3" xfId="97" builtinId="18" customBuiltin="1"/>
    <cellStyle name="Heading 3 2" xfId="1151" xr:uid="{00000000-0005-0000-0000-0000E5070000}"/>
    <cellStyle name="Heading 3." xfId="1152" xr:uid="{00000000-0005-0000-0000-0000E6070000}"/>
    <cellStyle name="Heading 4" xfId="98" builtinId="19" customBuiltin="1"/>
    <cellStyle name="Heading 4 2" xfId="1153" xr:uid="{00000000-0005-0000-0000-0000E8070000}"/>
    <cellStyle name="Heading 4." xfId="1154" xr:uid="{00000000-0005-0000-0000-0000E9070000}"/>
    <cellStyle name="Hipervínculo visitado_2003Hair draft" xfId="4241" xr:uid="{00000000-0005-0000-0000-0000EA070000}"/>
    <cellStyle name="Hipervínculo_Andina_BSC2003_1" xfId="4242" xr:uid="{00000000-0005-0000-0000-0000EB070000}"/>
    <cellStyle name="HspColumn" xfId="4243" xr:uid="{00000000-0005-0000-0000-0000EC070000}"/>
    <cellStyle name="HspColumnBottom" xfId="4244" xr:uid="{00000000-0005-0000-0000-0000ED070000}"/>
    <cellStyle name="HspCurrency" xfId="4245" xr:uid="{00000000-0005-0000-0000-0000EE070000}"/>
    <cellStyle name="HspNonCurrency" xfId="4246" xr:uid="{00000000-0005-0000-0000-0000EF070000}"/>
    <cellStyle name="HspPage" xfId="4247" xr:uid="{00000000-0005-0000-0000-0000F0070000}"/>
    <cellStyle name="HspPercentage" xfId="4248" xr:uid="{00000000-0005-0000-0000-0000F1070000}"/>
    <cellStyle name="HspPlanType" xfId="4249" xr:uid="{00000000-0005-0000-0000-0000F2070000}"/>
    <cellStyle name="HspPOV" xfId="4250" xr:uid="{00000000-0005-0000-0000-0000F3070000}"/>
    <cellStyle name="HspRow" xfId="4251" xr:uid="{00000000-0005-0000-0000-0000F4070000}"/>
    <cellStyle name="Hyperlink Arrow." xfId="1155" xr:uid="{00000000-0005-0000-0000-0000F5070000}"/>
    <cellStyle name="Hyperlink Check." xfId="1156" xr:uid="{00000000-0005-0000-0000-0000F6070000}"/>
    <cellStyle name="Hyperlink Text." xfId="1157" xr:uid="{00000000-0005-0000-0000-0000F7070000}"/>
    <cellStyle name="Indefinido" xfId="4252" xr:uid="{00000000-0005-0000-0000-0000F8070000}"/>
    <cellStyle name="Input" xfId="102" builtinId="20" customBuiltin="1"/>
    <cellStyle name="Input [yellow]" xfId="4253" xr:uid="{00000000-0005-0000-0000-0000FA070000}"/>
    <cellStyle name="Input 2" xfId="1158" xr:uid="{00000000-0005-0000-0000-0000FB070000}"/>
    <cellStyle name="Input Date" xfId="4254" xr:uid="{00000000-0005-0000-0000-0000FC070000}"/>
    <cellStyle name="InputNumbers" xfId="4255" xr:uid="{00000000-0005-0000-0000-0000FD070000}"/>
    <cellStyle name="InputPercent" xfId="4256" xr:uid="{00000000-0005-0000-0000-0000FE070000}"/>
    <cellStyle name="Inputs" xfId="4257" xr:uid="{00000000-0005-0000-0000-0000FF070000}"/>
    <cellStyle name="Inputs 2" xfId="4258" xr:uid="{00000000-0005-0000-0000-000000080000}"/>
    <cellStyle name="Inputs 2 2" xfId="4601" xr:uid="{00000000-0005-0000-0000-000001080000}"/>
    <cellStyle name="Inputs 2 3" xfId="4904" xr:uid="{00000000-0005-0000-0000-000002080000}"/>
    <cellStyle name="Inputs 2 4" xfId="4901" xr:uid="{00000000-0005-0000-0000-000003080000}"/>
    <cellStyle name="Inputs 3" xfId="4600" xr:uid="{00000000-0005-0000-0000-000004080000}"/>
    <cellStyle name="Inputs 4" xfId="4903" xr:uid="{00000000-0005-0000-0000-000005080000}"/>
    <cellStyle name="Inputs 5" xfId="4902" xr:uid="{00000000-0005-0000-0000-000006080000}"/>
    <cellStyle name="InputSheetBA" xfId="4259" xr:uid="{00000000-0005-0000-0000-000007080000}"/>
    <cellStyle name="ItmSum" xfId="4260" xr:uid="{00000000-0005-0000-0000-000008080000}"/>
    <cellStyle name="left" xfId="4261" xr:uid="{00000000-0005-0000-0000-000009080000}"/>
    <cellStyle name="Link Currency (0)" xfId="4262" xr:uid="{00000000-0005-0000-0000-00000A080000}"/>
    <cellStyle name="Link Currency (2)" xfId="4263" xr:uid="{00000000-0005-0000-0000-00000B080000}"/>
    <cellStyle name="Link Units (0)" xfId="4264" xr:uid="{00000000-0005-0000-0000-00000C080000}"/>
    <cellStyle name="Link Units (1)" xfId="152" xr:uid="{00000000-0005-0000-0000-00000D080000}"/>
    <cellStyle name="Link Units (2)" xfId="4265" xr:uid="{00000000-0005-0000-0000-00000E080000}"/>
    <cellStyle name="Linked Cell" xfId="105" builtinId="24" customBuiltin="1"/>
    <cellStyle name="Linked Cell 2" xfId="1159" xr:uid="{00000000-0005-0000-0000-000010080000}"/>
    <cellStyle name="LinkedVal" xfId="4266" xr:uid="{00000000-0005-0000-0000-000011080000}"/>
    <cellStyle name="LookUp" xfId="4637" xr:uid="{00000000-0005-0000-0000-000012080000}"/>
    <cellStyle name="LookUpMand" xfId="3544" xr:uid="{00000000-0005-0000-0000-000013080000}"/>
    <cellStyle name="Manual Lists" xfId="4267" xr:uid="{00000000-0005-0000-0000-000014080000}"/>
    <cellStyle name="Millares [0]_02_MF" xfId="3548" xr:uid="{00000000-0005-0000-0000-000015080000}"/>
    <cellStyle name="Millares_99vs98Abril" xfId="4268" xr:uid="{00000000-0005-0000-0000-000016080000}"/>
    <cellStyle name="Milliers [0]_AR1194" xfId="4269" xr:uid="{00000000-0005-0000-0000-000017080000}"/>
    <cellStyle name="Milliers_AR1194" xfId="4270" xr:uid="{00000000-0005-0000-0000-000018080000}"/>
    <cellStyle name="MktMdl" xfId="4271" xr:uid="{00000000-0005-0000-0000-000019080000}"/>
    <cellStyle name="Model Name." xfId="1160" xr:uid="{00000000-0005-0000-0000-00001A080000}"/>
    <cellStyle name="Moeda [0]_Book41" xfId="4272" xr:uid="{00000000-0005-0000-0000-00001B080000}"/>
    <cellStyle name="Moeda_Americas Template_Q106" xfId="4273" xr:uid="{00000000-0005-0000-0000-00001C080000}"/>
    <cellStyle name="Moneda [0]_99vs98Abril" xfId="4274" xr:uid="{00000000-0005-0000-0000-00001D080000}"/>
    <cellStyle name="Moneda_99vs98Abril" xfId="4275" xr:uid="{00000000-0005-0000-0000-00001E080000}"/>
    <cellStyle name="Monétaire [0]_AR1194" xfId="4276" xr:uid="{00000000-0005-0000-0000-00001F080000}"/>
    <cellStyle name="Monétaire_AR1194" xfId="4277" xr:uid="{00000000-0005-0000-0000-000020080000}"/>
    <cellStyle name="Name" xfId="4278" xr:uid="{00000000-0005-0000-0000-000021080000}"/>
    <cellStyle name="Navadno 2" xfId="5148" xr:uid="{0CA67138-01D7-48A0-B027-55F2D8E4EEB7}"/>
    <cellStyle name="Neutral" xfId="101" builtinId="28" customBuiltin="1"/>
    <cellStyle name="Neutral 2" xfId="70" xr:uid="{00000000-0005-0000-0000-000023080000}"/>
    <cellStyle name="Neutral 2 10" xfId="1162" xr:uid="{00000000-0005-0000-0000-000024080000}"/>
    <cellStyle name="Neutral 2 11" xfId="1163" xr:uid="{00000000-0005-0000-0000-000025080000}"/>
    <cellStyle name="Neutral 2 12" xfId="1164" xr:uid="{00000000-0005-0000-0000-000026080000}"/>
    <cellStyle name="Neutral 2 13" xfId="1165" xr:uid="{00000000-0005-0000-0000-000027080000}"/>
    <cellStyle name="Neutral 2 14" xfId="1166" xr:uid="{00000000-0005-0000-0000-000028080000}"/>
    <cellStyle name="Neutral 2 15" xfId="1167" xr:uid="{00000000-0005-0000-0000-000029080000}"/>
    <cellStyle name="Neutral 2 16" xfId="1168" xr:uid="{00000000-0005-0000-0000-00002A080000}"/>
    <cellStyle name="Neutral 2 17" xfId="1169" xr:uid="{00000000-0005-0000-0000-00002B080000}"/>
    <cellStyle name="Neutral 2 18" xfId="1170" xr:uid="{00000000-0005-0000-0000-00002C080000}"/>
    <cellStyle name="Neutral 2 19" xfId="1171" xr:uid="{00000000-0005-0000-0000-00002D080000}"/>
    <cellStyle name="Neutral 2 2" xfId="1161" xr:uid="{00000000-0005-0000-0000-00002E080000}"/>
    <cellStyle name="Neutral 2 2 10" xfId="1173" xr:uid="{00000000-0005-0000-0000-00002F080000}"/>
    <cellStyle name="Neutral 2 2 11" xfId="1174" xr:uid="{00000000-0005-0000-0000-000030080000}"/>
    <cellStyle name="Neutral 2 2 12" xfId="1175" xr:uid="{00000000-0005-0000-0000-000031080000}"/>
    <cellStyle name="Neutral 2 2 13" xfId="1176" xr:uid="{00000000-0005-0000-0000-000032080000}"/>
    <cellStyle name="Neutral 2 2 14" xfId="1177" xr:uid="{00000000-0005-0000-0000-000033080000}"/>
    <cellStyle name="Neutral 2 2 15" xfId="1178" xr:uid="{00000000-0005-0000-0000-000034080000}"/>
    <cellStyle name="Neutral 2 2 16" xfId="1179" xr:uid="{00000000-0005-0000-0000-000035080000}"/>
    <cellStyle name="Neutral 2 2 17" xfId="1180" xr:uid="{00000000-0005-0000-0000-000036080000}"/>
    <cellStyle name="Neutral 2 2 18" xfId="1181" xr:uid="{00000000-0005-0000-0000-000037080000}"/>
    <cellStyle name="Neutral 2 2 19" xfId="1182" xr:uid="{00000000-0005-0000-0000-000038080000}"/>
    <cellStyle name="Neutral 2 2 2" xfId="1172" xr:uid="{00000000-0005-0000-0000-000039080000}"/>
    <cellStyle name="Neutral 2 2 2 10" xfId="1184" xr:uid="{00000000-0005-0000-0000-00003A080000}"/>
    <cellStyle name="Neutral 2 2 2 11" xfId="1185" xr:uid="{00000000-0005-0000-0000-00003B080000}"/>
    <cellStyle name="Neutral 2 2 2 12" xfId="1186" xr:uid="{00000000-0005-0000-0000-00003C080000}"/>
    <cellStyle name="Neutral 2 2 2 13" xfId="1187" xr:uid="{00000000-0005-0000-0000-00003D080000}"/>
    <cellStyle name="Neutral 2 2 2 14" xfId="1188" xr:uid="{00000000-0005-0000-0000-00003E080000}"/>
    <cellStyle name="Neutral 2 2 2 15" xfId="1189" xr:uid="{00000000-0005-0000-0000-00003F080000}"/>
    <cellStyle name="Neutral 2 2 2 16" xfId="1190" xr:uid="{00000000-0005-0000-0000-000040080000}"/>
    <cellStyle name="Neutral 2 2 2 17" xfId="1191" xr:uid="{00000000-0005-0000-0000-000041080000}"/>
    <cellStyle name="Neutral 2 2 2 18" xfId="1192" xr:uid="{00000000-0005-0000-0000-000042080000}"/>
    <cellStyle name="Neutral 2 2 2 19" xfId="1193" xr:uid="{00000000-0005-0000-0000-000043080000}"/>
    <cellStyle name="Neutral 2 2 2 2" xfId="1183" xr:uid="{00000000-0005-0000-0000-000044080000}"/>
    <cellStyle name="Neutral 2 2 2 2 10" xfId="1195" xr:uid="{00000000-0005-0000-0000-000045080000}"/>
    <cellStyle name="Neutral 2 2 2 2 11" xfId="1196" xr:uid="{00000000-0005-0000-0000-000046080000}"/>
    <cellStyle name="Neutral 2 2 2 2 12" xfId="1197" xr:uid="{00000000-0005-0000-0000-000047080000}"/>
    <cellStyle name="Neutral 2 2 2 2 13" xfId="1198" xr:uid="{00000000-0005-0000-0000-000048080000}"/>
    <cellStyle name="Neutral 2 2 2 2 14" xfId="1199" xr:uid="{00000000-0005-0000-0000-000049080000}"/>
    <cellStyle name="Neutral 2 2 2 2 15" xfId="1200" xr:uid="{00000000-0005-0000-0000-00004A080000}"/>
    <cellStyle name="Neutral 2 2 2 2 16" xfId="1201" xr:uid="{00000000-0005-0000-0000-00004B080000}"/>
    <cellStyle name="Neutral 2 2 2 2 17" xfId="1202" xr:uid="{00000000-0005-0000-0000-00004C080000}"/>
    <cellStyle name="Neutral 2 2 2 2 18" xfId="1203" xr:uid="{00000000-0005-0000-0000-00004D080000}"/>
    <cellStyle name="Neutral 2 2 2 2 19" xfId="1204" xr:uid="{00000000-0005-0000-0000-00004E080000}"/>
    <cellStyle name="Neutral 2 2 2 2 2" xfId="1194" xr:uid="{00000000-0005-0000-0000-00004F080000}"/>
    <cellStyle name="Neutral 2 2 2 2 2 10" xfId="1206" xr:uid="{00000000-0005-0000-0000-000050080000}"/>
    <cellStyle name="Neutral 2 2 2 2 2 11" xfId="1207" xr:uid="{00000000-0005-0000-0000-000051080000}"/>
    <cellStyle name="Neutral 2 2 2 2 2 12" xfId="1208" xr:uid="{00000000-0005-0000-0000-000052080000}"/>
    <cellStyle name="Neutral 2 2 2 2 2 13" xfId="1209" xr:uid="{00000000-0005-0000-0000-000053080000}"/>
    <cellStyle name="Neutral 2 2 2 2 2 14" xfId="1210" xr:uid="{00000000-0005-0000-0000-000054080000}"/>
    <cellStyle name="Neutral 2 2 2 2 2 15" xfId="1211" xr:uid="{00000000-0005-0000-0000-000055080000}"/>
    <cellStyle name="Neutral 2 2 2 2 2 16" xfId="1212" xr:uid="{00000000-0005-0000-0000-000056080000}"/>
    <cellStyle name="Neutral 2 2 2 2 2 17" xfId="1213" xr:uid="{00000000-0005-0000-0000-000057080000}"/>
    <cellStyle name="Neutral 2 2 2 2 2 18" xfId="1214" xr:uid="{00000000-0005-0000-0000-000058080000}"/>
    <cellStyle name="Neutral 2 2 2 2 2 19" xfId="1215" xr:uid="{00000000-0005-0000-0000-000059080000}"/>
    <cellStyle name="Neutral 2 2 2 2 2 2" xfId="1205" xr:uid="{00000000-0005-0000-0000-00005A080000}"/>
    <cellStyle name="Neutral 2 2 2 2 2 2 2" xfId="1216" xr:uid="{00000000-0005-0000-0000-00005B080000}"/>
    <cellStyle name="Neutral 2 2 2 2 2 2 2 2" xfId="4837" xr:uid="{00000000-0005-0000-0000-00005C080000}"/>
    <cellStyle name="Neutral 2 2 2 2 2 2 2 2 2" xfId="4838" xr:uid="{00000000-0005-0000-0000-00005D080000}"/>
    <cellStyle name="Neutral 2 2 2 2 2 2 2 3" xfId="4726" xr:uid="{00000000-0005-0000-0000-00005E080000}"/>
    <cellStyle name="Neutral 2 2 2 2 2 2 2 4" xfId="4731" xr:uid="{00000000-0005-0000-0000-00005F080000}"/>
    <cellStyle name="Neutral 2 2 2 2 2 2 3" xfId="4652" xr:uid="{00000000-0005-0000-0000-000060080000}"/>
    <cellStyle name="Neutral 2 2 2 2 2 2 3 2" xfId="4725" xr:uid="{00000000-0005-0000-0000-000061080000}"/>
    <cellStyle name="Neutral 2 2 2 2 2 2 4" xfId="4732" xr:uid="{00000000-0005-0000-0000-000062080000}"/>
    <cellStyle name="Neutral 2 2 2 2 2 20" xfId="1217" xr:uid="{00000000-0005-0000-0000-000063080000}"/>
    <cellStyle name="Neutral 2 2 2 2 2 21" xfId="1218" xr:uid="{00000000-0005-0000-0000-000064080000}"/>
    <cellStyle name="Neutral 2 2 2 2 2 22" xfId="1219" xr:uid="{00000000-0005-0000-0000-000065080000}"/>
    <cellStyle name="Neutral 2 2 2 2 2 23" xfId="1220" xr:uid="{00000000-0005-0000-0000-000066080000}"/>
    <cellStyle name="Neutral 2 2 2 2 2 24" xfId="1221" xr:uid="{00000000-0005-0000-0000-000067080000}"/>
    <cellStyle name="Neutral 2 2 2 2 2 25" xfId="4651" xr:uid="{00000000-0005-0000-0000-000068080000}"/>
    <cellStyle name="Neutral 2 2 2 2 2 25 2" xfId="4836" xr:uid="{00000000-0005-0000-0000-000069080000}"/>
    <cellStyle name="Neutral 2 2 2 2 2 26" xfId="4724" xr:uid="{00000000-0005-0000-0000-00006A080000}"/>
    <cellStyle name="Neutral 2 2 2 2 2 27" xfId="4733" xr:uid="{00000000-0005-0000-0000-00006B080000}"/>
    <cellStyle name="Neutral 2 2 2 2 2 3" xfId="1222" xr:uid="{00000000-0005-0000-0000-00006C080000}"/>
    <cellStyle name="Neutral 2 2 2 2 2 4" xfId="1223" xr:uid="{00000000-0005-0000-0000-00006D080000}"/>
    <cellStyle name="Neutral 2 2 2 2 2 5" xfId="1224" xr:uid="{00000000-0005-0000-0000-00006E080000}"/>
    <cellStyle name="Neutral 2 2 2 2 2 6" xfId="1225" xr:uid="{00000000-0005-0000-0000-00006F080000}"/>
    <cellStyle name="Neutral 2 2 2 2 2 7" xfId="1226" xr:uid="{00000000-0005-0000-0000-000070080000}"/>
    <cellStyle name="Neutral 2 2 2 2 2 8" xfId="1227" xr:uid="{00000000-0005-0000-0000-000071080000}"/>
    <cellStyle name="Neutral 2 2 2 2 2 9" xfId="1228" xr:uid="{00000000-0005-0000-0000-000072080000}"/>
    <cellStyle name="Neutral 2 2 2 2 20" xfId="1229" xr:uid="{00000000-0005-0000-0000-000073080000}"/>
    <cellStyle name="Neutral 2 2 2 2 21" xfId="1230" xr:uid="{00000000-0005-0000-0000-000074080000}"/>
    <cellStyle name="Neutral 2 2 2 2 22" xfId="1231" xr:uid="{00000000-0005-0000-0000-000075080000}"/>
    <cellStyle name="Neutral 2 2 2 2 23" xfId="1232" xr:uid="{00000000-0005-0000-0000-000076080000}"/>
    <cellStyle name="Neutral 2 2 2 2 24" xfId="1233" xr:uid="{00000000-0005-0000-0000-000077080000}"/>
    <cellStyle name="Neutral 2 2 2 2 25" xfId="4650" xr:uid="{00000000-0005-0000-0000-000078080000}"/>
    <cellStyle name="Neutral 2 2 2 2 25 2" xfId="4835" xr:uid="{00000000-0005-0000-0000-000079080000}"/>
    <cellStyle name="Neutral 2 2 2 2 26" xfId="4723" xr:uid="{00000000-0005-0000-0000-00007A080000}"/>
    <cellStyle name="Neutral 2 2 2 2 27" xfId="4734" xr:uid="{00000000-0005-0000-0000-00007B080000}"/>
    <cellStyle name="Neutral 2 2 2 2 3" xfId="1234" xr:uid="{00000000-0005-0000-0000-00007C080000}"/>
    <cellStyle name="Neutral 2 2 2 2 4" xfId="1235" xr:uid="{00000000-0005-0000-0000-00007D080000}"/>
    <cellStyle name="Neutral 2 2 2 2 5" xfId="1236" xr:uid="{00000000-0005-0000-0000-00007E080000}"/>
    <cellStyle name="Neutral 2 2 2 2 6" xfId="1237" xr:uid="{00000000-0005-0000-0000-00007F080000}"/>
    <cellStyle name="Neutral 2 2 2 2 7" xfId="1238" xr:uid="{00000000-0005-0000-0000-000080080000}"/>
    <cellStyle name="Neutral 2 2 2 2 8" xfId="1239" xr:uid="{00000000-0005-0000-0000-000081080000}"/>
    <cellStyle name="Neutral 2 2 2 2 9" xfId="1240" xr:uid="{00000000-0005-0000-0000-000082080000}"/>
    <cellStyle name="Neutral 2 2 2 20" xfId="1241" xr:uid="{00000000-0005-0000-0000-000083080000}"/>
    <cellStyle name="Neutral 2 2 2 21" xfId="1242" xr:uid="{00000000-0005-0000-0000-000084080000}"/>
    <cellStyle name="Neutral 2 2 2 22" xfId="1243" xr:uid="{00000000-0005-0000-0000-000085080000}"/>
    <cellStyle name="Neutral 2 2 2 23" xfId="1244" xr:uid="{00000000-0005-0000-0000-000086080000}"/>
    <cellStyle name="Neutral 2 2 2 24" xfId="1245" xr:uid="{00000000-0005-0000-0000-000087080000}"/>
    <cellStyle name="Neutral 2 2 2 25" xfId="1246" xr:uid="{00000000-0005-0000-0000-000088080000}"/>
    <cellStyle name="Neutral 2 2 2 26" xfId="1247" xr:uid="{00000000-0005-0000-0000-000089080000}"/>
    <cellStyle name="Neutral 2 2 2 27" xfId="1248" xr:uid="{00000000-0005-0000-0000-00008A080000}"/>
    <cellStyle name="Neutral 2 2 2 28" xfId="1249" xr:uid="{00000000-0005-0000-0000-00008B080000}"/>
    <cellStyle name="Neutral 2 2 2 29" xfId="1250" xr:uid="{00000000-0005-0000-0000-00008C080000}"/>
    <cellStyle name="Neutral 2 2 2 3" xfId="1251" xr:uid="{00000000-0005-0000-0000-00008D080000}"/>
    <cellStyle name="Neutral 2 2 2 30" xfId="1252" xr:uid="{00000000-0005-0000-0000-00008E080000}"/>
    <cellStyle name="Neutral 2 2 2 31" xfId="4649" xr:uid="{00000000-0005-0000-0000-00008F080000}"/>
    <cellStyle name="Neutral 2 2 2 31 2" xfId="4834" xr:uid="{00000000-0005-0000-0000-000090080000}"/>
    <cellStyle name="Neutral 2 2 2 32" xfId="4722" xr:uid="{00000000-0005-0000-0000-000091080000}"/>
    <cellStyle name="Neutral 2 2 2 33" xfId="4735" xr:uid="{00000000-0005-0000-0000-000092080000}"/>
    <cellStyle name="Neutral 2 2 2 4" xfId="1253" xr:uid="{00000000-0005-0000-0000-000093080000}"/>
    <cellStyle name="Neutral 2 2 2 5" xfId="1254" xr:uid="{00000000-0005-0000-0000-000094080000}"/>
    <cellStyle name="Neutral 2 2 2 6" xfId="1255" xr:uid="{00000000-0005-0000-0000-000095080000}"/>
    <cellStyle name="Neutral 2 2 2 7" xfId="1256" xr:uid="{00000000-0005-0000-0000-000096080000}"/>
    <cellStyle name="Neutral 2 2 2 8" xfId="1257" xr:uid="{00000000-0005-0000-0000-000097080000}"/>
    <cellStyle name="Neutral 2 2 2 9" xfId="1258" xr:uid="{00000000-0005-0000-0000-000098080000}"/>
    <cellStyle name="Neutral 2 2 20" xfId="1259" xr:uid="{00000000-0005-0000-0000-000099080000}"/>
    <cellStyle name="Neutral 2 2 21" xfId="1260" xr:uid="{00000000-0005-0000-0000-00009A080000}"/>
    <cellStyle name="Neutral 2 2 22" xfId="1261" xr:uid="{00000000-0005-0000-0000-00009B080000}"/>
    <cellStyle name="Neutral 2 2 23" xfId="1262" xr:uid="{00000000-0005-0000-0000-00009C080000}"/>
    <cellStyle name="Neutral 2 2 24" xfId="1263" xr:uid="{00000000-0005-0000-0000-00009D080000}"/>
    <cellStyle name="Neutral 2 2 25" xfId="1264" xr:uid="{00000000-0005-0000-0000-00009E080000}"/>
    <cellStyle name="Neutral 2 2 26" xfId="1265" xr:uid="{00000000-0005-0000-0000-00009F080000}"/>
    <cellStyle name="Neutral 2 2 27" xfId="1266" xr:uid="{00000000-0005-0000-0000-0000A0080000}"/>
    <cellStyle name="Neutral 2 2 28" xfId="1267" xr:uid="{00000000-0005-0000-0000-0000A1080000}"/>
    <cellStyle name="Neutral 2 2 29" xfId="1268" xr:uid="{00000000-0005-0000-0000-0000A2080000}"/>
    <cellStyle name="Neutral 2 2 3" xfId="1269" xr:uid="{00000000-0005-0000-0000-0000A3080000}"/>
    <cellStyle name="Neutral 2 2 3 10" xfId="1270" xr:uid="{00000000-0005-0000-0000-0000A4080000}"/>
    <cellStyle name="Neutral 2 2 3 11" xfId="1271" xr:uid="{00000000-0005-0000-0000-0000A5080000}"/>
    <cellStyle name="Neutral 2 2 3 12" xfId="1272" xr:uid="{00000000-0005-0000-0000-0000A6080000}"/>
    <cellStyle name="Neutral 2 2 3 13" xfId="1273" xr:uid="{00000000-0005-0000-0000-0000A7080000}"/>
    <cellStyle name="Neutral 2 2 3 14" xfId="1274" xr:uid="{00000000-0005-0000-0000-0000A8080000}"/>
    <cellStyle name="Neutral 2 2 3 15" xfId="1275" xr:uid="{00000000-0005-0000-0000-0000A9080000}"/>
    <cellStyle name="Neutral 2 2 3 16" xfId="1276" xr:uid="{00000000-0005-0000-0000-0000AA080000}"/>
    <cellStyle name="Neutral 2 2 3 17" xfId="1277" xr:uid="{00000000-0005-0000-0000-0000AB080000}"/>
    <cellStyle name="Neutral 2 2 3 18" xfId="1278" xr:uid="{00000000-0005-0000-0000-0000AC080000}"/>
    <cellStyle name="Neutral 2 2 3 19" xfId="1279" xr:uid="{00000000-0005-0000-0000-0000AD080000}"/>
    <cellStyle name="Neutral 2 2 3 2" xfId="1280" xr:uid="{00000000-0005-0000-0000-0000AE080000}"/>
    <cellStyle name="Neutral 2 2 3 2 10" xfId="1281" xr:uid="{00000000-0005-0000-0000-0000AF080000}"/>
    <cellStyle name="Neutral 2 2 3 2 11" xfId="1282" xr:uid="{00000000-0005-0000-0000-0000B0080000}"/>
    <cellStyle name="Neutral 2 2 3 2 12" xfId="1283" xr:uid="{00000000-0005-0000-0000-0000B1080000}"/>
    <cellStyle name="Neutral 2 2 3 2 13" xfId="1284" xr:uid="{00000000-0005-0000-0000-0000B2080000}"/>
    <cellStyle name="Neutral 2 2 3 2 14" xfId="1285" xr:uid="{00000000-0005-0000-0000-0000B3080000}"/>
    <cellStyle name="Neutral 2 2 3 2 15" xfId="1286" xr:uid="{00000000-0005-0000-0000-0000B4080000}"/>
    <cellStyle name="Neutral 2 2 3 2 16" xfId="1287" xr:uid="{00000000-0005-0000-0000-0000B5080000}"/>
    <cellStyle name="Neutral 2 2 3 2 17" xfId="1288" xr:uid="{00000000-0005-0000-0000-0000B6080000}"/>
    <cellStyle name="Neutral 2 2 3 2 18" xfId="1289" xr:uid="{00000000-0005-0000-0000-0000B7080000}"/>
    <cellStyle name="Neutral 2 2 3 2 19" xfId="1290" xr:uid="{00000000-0005-0000-0000-0000B8080000}"/>
    <cellStyle name="Neutral 2 2 3 2 2" xfId="1291" xr:uid="{00000000-0005-0000-0000-0000B9080000}"/>
    <cellStyle name="Neutral 2 2 3 2 20" xfId="1292" xr:uid="{00000000-0005-0000-0000-0000BA080000}"/>
    <cellStyle name="Neutral 2 2 3 2 21" xfId="1293" xr:uid="{00000000-0005-0000-0000-0000BB080000}"/>
    <cellStyle name="Neutral 2 2 3 2 22" xfId="1294" xr:uid="{00000000-0005-0000-0000-0000BC080000}"/>
    <cellStyle name="Neutral 2 2 3 2 23" xfId="1295" xr:uid="{00000000-0005-0000-0000-0000BD080000}"/>
    <cellStyle name="Neutral 2 2 3 2 24" xfId="1296" xr:uid="{00000000-0005-0000-0000-0000BE080000}"/>
    <cellStyle name="Neutral 2 2 3 2 3" xfId="1297" xr:uid="{00000000-0005-0000-0000-0000BF080000}"/>
    <cellStyle name="Neutral 2 2 3 2 4" xfId="1298" xr:uid="{00000000-0005-0000-0000-0000C0080000}"/>
    <cellStyle name="Neutral 2 2 3 2 5" xfId="1299" xr:uid="{00000000-0005-0000-0000-0000C1080000}"/>
    <cellStyle name="Neutral 2 2 3 2 6" xfId="1300" xr:uid="{00000000-0005-0000-0000-0000C2080000}"/>
    <cellStyle name="Neutral 2 2 3 2 7" xfId="1301" xr:uid="{00000000-0005-0000-0000-0000C3080000}"/>
    <cellStyle name="Neutral 2 2 3 2 8" xfId="1302" xr:uid="{00000000-0005-0000-0000-0000C4080000}"/>
    <cellStyle name="Neutral 2 2 3 2 9" xfId="1303" xr:uid="{00000000-0005-0000-0000-0000C5080000}"/>
    <cellStyle name="Neutral 2 2 3 20" xfId="1304" xr:uid="{00000000-0005-0000-0000-0000C6080000}"/>
    <cellStyle name="Neutral 2 2 3 21" xfId="1305" xr:uid="{00000000-0005-0000-0000-0000C7080000}"/>
    <cellStyle name="Neutral 2 2 3 22" xfId="1306" xr:uid="{00000000-0005-0000-0000-0000C8080000}"/>
    <cellStyle name="Neutral 2 2 3 23" xfId="1307" xr:uid="{00000000-0005-0000-0000-0000C9080000}"/>
    <cellStyle name="Neutral 2 2 3 24" xfId="1308" xr:uid="{00000000-0005-0000-0000-0000CA080000}"/>
    <cellStyle name="Neutral 2 2 3 3" xfId="1309" xr:uid="{00000000-0005-0000-0000-0000CB080000}"/>
    <cellStyle name="Neutral 2 2 3 4" xfId="1310" xr:uid="{00000000-0005-0000-0000-0000CC080000}"/>
    <cellStyle name="Neutral 2 2 3 5" xfId="1311" xr:uid="{00000000-0005-0000-0000-0000CD080000}"/>
    <cellStyle name="Neutral 2 2 3 6" xfId="1312" xr:uid="{00000000-0005-0000-0000-0000CE080000}"/>
    <cellStyle name="Neutral 2 2 3 7" xfId="1313" xr:uid="{00000000-0005-0000-0000-0000CF080000}"/>
    <cellStyle name="Neutral 2 2 3 8" xfId="1314" xr:uid="{00000000-0005-0000-0000-0000D0080000}"/>
    <cellStyle name="Neutral 2 2 3 9" xfId="1315" xr:uid="{00000000-0005-0000-0000-0000D1080000}"/>
    <cellStyle name="Neutral 2 2 30" xfId="1316" xr:uid="{00000000-0005-0000-0000-0000D2080000}"/>
    <cellStyle name="Neutral 2 2 31" xfId="4648" xr:uid="{00000000-0005-0000-0000-0000D3080000}"/>
    <cellStyle name="Neutral 2 2 31 2" xfId="4833" xr:uid="{00000000-0005-0000-0000-0000D4080000}"/>
    <cellStyle name="Neutral 2 2 32" xfId="4721" xr:uid="{00000000-0005-0000-0000-0000D5080000}"/>
    <cellStyle name="Neutral 2 2 33" xfId="4736" xr:uid="{00000000-0005-0000-0000-0000D6080000}"/>
    <cellStyle name="Neutral 2 2 4" xfId="1317" xr:uid="{00000000-0005-0000-0000-0000D7080000}"/>
    <cellStyle name="Neutral 2 2 5" xfId="1318" xr:uid="{00000000-0005-0000-0000-0000D8080000}"/>
    <cellStyle name="Neutral 2 2 6" xfId="1319" xr:uid="{00000000-0005-0000-0000-0000D9080000}"/>
    <cellStyle name="Neutral 2 2 7" xfId="1320" xr:uid="{00000000-0005-0000-0000-0000DA080000}"/>
    <cellStyle name="Neutral 2 2 8" xfId="1321" xr:uid="{00000000-0005-0000-0000-0000DB080000}"/>
    <cellStyle name="Neutral 2 2 9" xfId="1322" xr:uid="{00000000-0005-0000-0000-0000DC080000}"/>
    <cellStyle name="Neutral 2 20" xfId="1323" xr:uid="{00000000-0005-0000-0000-0000DD080000}"/>
    <cellStyle name="Neutral 2 21" xfId="1324" xr:uid="{00000000-0005-0000-0000-0000DE080000}"/>
    <cellStyle name="Neutral 2 22" xfId="1325" xr:uid="{00000000-0005-0000-0000-0000DF080000}"/>
    <cellStyle name="Neutral 2 23" xfId="1326" xr:uid="{00000000-0005-0000-0000-0000E0080000}"/>
    <cellStyle name="Neutral 2 24" xfId="1327" xr:uid="{00000000-0005-0000-0000-0000E1080000}"/>
    <cellStyle name="Neutral 2 25" xfId="1328" xr:uid="{00000000-0005-0000-0000-0000E2080000}"/>
    <cellStyle name="Neutral 2 26" xfId="1329" xr:uid="{00000000-0005-0000-0000-0000E3080000}"/>
    <cellStyle name="Neutral 2 27" xfId="1330" xr:uid="{00000000-0005-0000-0000-0000E4080000}"/>
    <cellStyle name="Neutral 2 28" xfId="1331" xr:uid="{00000000-0005-0000-0000-0000E5080000}"/>
    <cellStyle name="Neutral 2 29" xfId="1332" xr:uid="{00000000-0005-0000-0000-0000E6080000}"/>
    <cellStyle name="Neutral 2 3" xfId="1333" xr:uid="{00000000-0005-0000-0000-0000E7080000}"/>
    <cellStyle name="Neutral 2 30" xfId="1334" xr:uid="{00000000-0005-0000-0000-0000E8080000}"/>
    <cellStyle name="Neutral 2 31" xfId="1335" xr:uid="{00000000-0005-0000-0000-0000E9080000}"/>
    <cellStyle name="Neutral 2 32" xfId="1336" xr:uid="{00000000-0005-0000-0000-0000EA080000}"/>
    <cellStyle name="Neutral 2 33" xfId="1337" xr:uid="{00000000-0005-0000-0000-0000EB080000}"/>
    <cellStyle name="Neutral 2 34" xfId="1338" xr:uid="{00000000-0005-0000-0000-0000EC080000}"/>
    <cellStyle name="Neutral 2 35" xfId="1339" xr:uid="{00000000-0005-0000-0000-0000ED080000}"/>
    <cellStyle name="Neutral 2 36" xfId="1340" xr:uid="{00000000-0005-0000-0000-0000EE080000}"/>
    <cellStyle name="Neutral 2 37" xfId="1341" xr:uid="{00000000-0005-0000-0000-0000EF080000}"/>
    <cellStyle name="Neutral 2 38" xfId="1342" xr:uid="{00000000-0005-0000-0000-0000F0080000}"/>
    <cellStyle name="Neutral 2 38 10" xfId="1343" xr:uid="{00000000-0005-0000-0000-0000F1080000}"/>
    <cellStyle name="Neutral 2 38 11" xfId="1344" xr:uid="{00000000-0005-0000-0000-0000F2080000}"/>
    <cellStyle name="Neutral 2 38 12" xfId="1345" xr:uid="{00000000-0005-0000-0000-0000F3080000}"/>
    <cellStyle name="Neutral 2 38 13" xfId="1346" xr:uid="{00000000-0005-0000-0000-0000F4080000}"/>
    <cellStyle name="Neutral 2 38 14" xfId="1347" xr:uid="{00000000-0005-0000-0000-0000F5080000}"/>
    <cellStyle name="Neutral 2 38 15" xfId="1348" xr:uid="{00000000-0005-0000-0000-0000F6080000}"/>
    <cellStyle name="Neutral 2 38 16" xfId="1349" xr:uid="{00000000-0005-0000-0000-0000F7080000}"/>
    <cellStyle name="Neutral 2 38 17" xfId="1350" xr:uid="{00000000-0005-0000-0000-0000F8080000}"/>
    <cellStyle name="Neutral 2 38 18" xfId="1351" xr:uid="{00000000-0005-0000-0000-0000F9080000}"/>
    <cellStyle name="Neutral 2 38 19" xfId="1352" xr:uid="{00000000-0005-0000-0000-0000FA080000}"/>
    <cellStyle name="Neutral 2 38 2" xfId="1353" xr:uid="{00000000-0005-0000-0000-0000FB080000}"/>
    <cellStyle name="Neutral 2 38 2 10" xfId="1354" xr:uid="{00000000-0005-0000-0000-0000FC080000}"/>
    <cellStyle name="Neutral 2 38 2 11" xfId="1355" xr:uid="{00000000-0005-0000-0000-0000FD080000}"/>
    <cellStyle name="Neutral 2 38 2 12" xfId="1356" xr:uid="{00000000-0005-0000-0000-0000FE080000}"/>
    <cellStyle name="Neutral 2 38 2 13" xfId="1357" xr:uid="{00000000-0005-0000-0000-0000FF080000}"/>
    <cellStyle name="Neutral 2 38 2 14" xfId="1358" xr:uid="{00000000-0005-0000-0000-000000090000}"/>
    <cellStyle name="Neutral 2 38 2 15" xfId="1359" xr:uid="{00000000-0005-0000-0000-000001090000}"/>
    <cellStyle name="Neutral 2 38 2 16" xfId="1360" xr:uid="{00000000-0005-0000-0000-000002090000}"/>
    <cellStyle name="Neutral 2 38 2 17" xfId="1361" xr:uid="{00000000-0005-0000-0000-000003090000}"/>
    <cellStyle name="Neutral 2 38 2 18" xfId="1362" xr:uid="{00000000-0005-0000-0000-000004090000}"/>
    <cellStyle name="Neutral 2 38 2 19" xfId="1363" xr:uid="{00000000-0005-0000-0000-000005090000}"/>
    <cellStyle name="Neutral 2 38 2 2" xfId="1364" xr:uid="{00000000-0005-0000-0000-000006090000}"/>
    <cellStyle name="Neutral 2 38 2 20" xfId="1365" xr:uid="{00000000-0005-0000-0000-000007090000}"/>
    <cellStyle name="Neutral 2 38 2 21" xfId="1366" xr:uid="{00000000-0005-0000-0000-000008090000}"/>
    <cellStyle name="Neutral 2 38 2 22" xfId="1367" xr:uid="{00000000-0005-0000-0000-000009090000}"/>
    <cellStyle name="Neutral 2 38 2 23" xfId="1368" xr:uid="{00000000-0005-0000-0000-00000A090000}"/>
    <cellStyle name="Neutral 2 38 2 24" xfId="1369" xr:uid="{00000000-0005-0000-0000-00000B090000}"/>
    <cellStyle name="Neutral 2 38 2 3" xfId="1370" xr:uid="{00000000-0005-0000-0000-00000C090000}"/>
    <cellStyle name="Neutral 2 38 2 4" xfId="1371" xr:uid="{00000000-0005-0000-0000-00000D090000}"/>
    <cellStyle name="Neutral 2 38 2 5" xfId="1372" xr:uid="{00000000-0005-0000-0000-00000E090000}"/>
    <cellStyle name="Neutral 2 38 2 6" xfId="1373" xr:uid="{00000000-0005-0000-0000-00000F090000}"/>
    <cellStyle name="Neutral 2 38 2 7" xfId="1374" xr:uid="{00000000-0005-0000-0000-000010090000}"/>
    <cellStyle name="Neutral 2 38 2 8" xfId="1375" xr:uid="{00000000-0005-0000-0000-000011090000}"/>
    <cellStyle name="Neutral 2 38 2 9" xfId="1376" xr:uid="{00000000-0005-0000-0000-000012090000}"/>
    <cellStyle name="Neutral 2 38 20" xfId="1377" xr:uid="{00000000-0005-0000-0000-000013090000}"/>
    <cellStyle name="Neutral 2 38 21" xfId="1378" xr:uid="{00000000-0005-0000-0000-000014090000}"/>
    <cellStyle name="Neutral 2 38 22" xfId="1379" xr:uid="{00000000-0005-0000-0000-000015090000}"/>
    <cellStyle name="Neutral 2 38 23" xfId="1380" xr:uid="{00000000-0005-0000-0000-000016090000}"/>
    <cellStyle name="Neutral 2 38 24" xfId="1381" xr:uid="{00000000-0005-0000-0000-000017090000}"/>
    <cellStyle name="Neutral 2 38 3" xfId="1382" xr:uid="{00000000-0005-0000-0000-000018090000}"/>
    <cellStyle name="Neutral 2 38 4" xfId="1383" xr:uid="{00000000-0005-0000-0000-000019090000}"/>
    <cellStyle name="Neutral 2 38 5" xfId="1384" xr:uid="{00000000-0005-0000-0000-00001A090000}"/>
    <cellStyle name="Neutral 2 38 6" xfId="1385" xr:uid="{00000000-0005-0000-0000-00001B090000}"/>
    <cellStyle name="Neutral 2 38 7" xfId="1386" xr:uid="{00000000-0005-0000-0000-00001C090000}"/>
    <cellStyle name="Neutral 2 38 8" xfId="1387" xr:uid="{00000000-0005-0000-0000-00001D090000}"/>
    <cellStyle name="Neutral 2 38 9" xfId="1388" xr:uid="{00000000-0005-0000-0000-00001E090000}"/>
    <cellStyle name="Neutral 2 39" xfId="1389" xr:uid="{00000000-0005-0000-0000-00001F090000}"/>
    <cellStyle name="Neutral 2 4" xfId="1390" xr:uid="{00000000-0005-0000-0000-000020090000}"/>
    <cellStyle name="Neutral 2 40" xfId="1391" xr:uid="{00000000-0005-0000-0000-000021090000}"/>
    <cellStyle name="Neutral 2 41" xfId="1392" xr:uid="{00000000-0005-0000-0000-000022090000}"/>
    <cellStyle name="Neutral 2 42" xfId="1393" xr:uid="{00000000-0005-0000-0000-000023090000}"/>
    <cellStyle name="Neutral 2 43" xfId="1394" xr:uid="{00000000-0005-0000-0000-000024090000}"/>
    <cellStyle name="Neutral 2 44" xfId="1395" xr:uid="{00000000-0005-0000-0000-000025090000}"/>
    <cellStyle name="Neutral 2 45" xfId="1396" xr:uid="{00000000-0005-0000-0000-000026090000}"/>
    <cellStyle name="Neutral 2 46" xfId="1397" xr:uid="{00000000-0005-0000-0000-000027090000}"/>
    <cellStyle name="Neutral 2 47" xfId="1398" xr:uid="{00000000-0005-0000-0000-000028090000}"/>
    <cellStyle name="Neutral 2 48" xfId="1399" xr:uid="{00000000-0005-0000-0000-000029090000}"/>
    <cellStyle name="Neutral 2 49" xfId="1400" xr:uid="{00000000-0005-0000-0000-00002A090000}"/>
    <cellStyle name="Neutral 2 5" xfId="1401" xr:uid="{00000000-0005-0000-0000-00002B090000}"/>
    <cellStyle name="Neutral 2 50" xfId="1402" xr:uid="{00000000-0005-0000-0000-00002C090000}"/>
    <cellStyle name="Neutral 2 51" xfId="1403" xr:uid="{00000000-0005-0000-0000-00002D090000}"/>
    <cellStyle name="Neutral 2 52" xfId="1404" xr:uid="{00000000-0005-0000-0000-00002E090000}"/>
    <cellStyle name="Neutral 2 53" xfId="1405" xr:uid="{00000000-0005-0000-0000-00002F090000}"/>
    <cellStyle name="Neutral 2 54" xfId="1406" xr:uid="{00000000-0005-0000-0000-000030090000}"/>
    <cellStyle name="Neutral 2 55" xfId="1407" xr:uid="{00000000-0005-0000-0000-000031090000}"/>
    <cellStyle name="Neutral 2 56" xfId="1408" xr:uid="{00000000-0005-0000-0000-000032090000}"/>
    <cellStyle name="Neutral 2 57" xfId="1409" xr:uid="{00000000-0005-0000-0000-000033090000}"/>
    <cellStyle name="Neutral 2 58" xfId="1410" xr:uid="{00000000-0005-0000-0000-000034090000}"/>
    <cellStyle name="Neutral 2 59" xfId="1411" xr:uid="{00000000-0005-0000-0000-000035090000}"/>
    <cellStyle name="Neutral 2 6" xfId="1412" xr:uid="{00000000-0005-0000-0000-000036090000}"/>
    <cellStyle name="Neutral 2 60" xfId="1413" xr:uid="{00000000-0005-0000-0000-000037090000}"/>
    <cellStyle name="Neutral 2 61" xfId="1414" xr:uid="{00000000-0005-0000-0000-000038090000}"/>
    <cellStyle name="Neutral 2 62" xfId="1415" xr:uid="{00000000-0005-0000-0000-000039090000}"/>
    <cellStyle name="Neutral 2 63" xfId="1416" xr:uid="{00000000-0005-0000-0000-00003A090000}"/>
    <cellStyle name="Neutral 2 64" xfId="1417" xr:uid="{00000000-0005-0000-0000-00003B090000}"/>
    <cellStyle name="Neutral 2 65" xfId="1418" xr:uid="{00000000-0005-0000-0000-00003C090000}"/>
    <cellStyle name="Neutral 2 66" xfId="1419" xr:uid="{00000000-0005-0000-0000-00003D090000}"/>
    <cellStyle name="Neutral 2 67" xfId="3579" xr:uid="{00000000-0005-0000-0000-00003E090000}"/>
    <cellStyle name="Neutral 2 68" xfId="4647" xr:uid="{00000000-0005-0000-0000-00003F090000}"/>
    <cellStyle name="Neutral 2 68 2" xfId="4816" xr:uid="{00000000-0005-0000-0000-000040090000}"/>
    <cellStyle name="Neutral 2 69" xfId="4666" xr:uid="{00000000-0005-0000-0000-000041090000}"/>
    <cellStyle name="Neutral 2 7" xfId="1420" xr:uid="{00000000-0005-0000-0000-000042090000}"/>
    <cellStyle name="Neutral 2 70" xfId="4939" xr:uid="{00000000-0005-0000-0000-000043090000}"/>
    <cellStyle name="Neutral 2 71" xfId="5013" xr:uid="{00000000-0005-0000-0000-000044090000}"/>
    <cellStyle name="Neutral 2 8" xfId="1421" xr:uid="{00000000-0005-0000-0000-000045090000}"/>
    <cellStyle name="Neutral 2 9" xfId="1422" xr:uid="{00000000-0005-0000-0000-000046090000}"/>
    <cellStyle name="Neutral 3" xfId="5023" xr:uid="{00000000-0005-0000-0000-000047090000}"/>
    <cellStyle name="New Measurement Format" xfId="4279" xr:uid="{00000000-0005-0000-0000-000048090000}"/>
    <cellStyle name="New Measurement Format 2" xfId="4280" xr:uid="{00000000-0005-0000-0000-000049090000}"/>
    <cellStyle name="NewAcct" xfId="4281" xr:uid="{00000000-0005-0000-0000-00004A090000}"/>
    <cellStyle name="No Measurements" xfId="4282" xr:uid="{00000000-0005-0000-0000-00004B090000}"/>
    <cellStyle name="No-definido" xfId="4283" xr:uid="{00000000-0005-0000-0000-00004C090000}"/>
    <cellStyle name="Normal" xfId="0" builtinId="0"/>
    <cellStyle name="Normal - Style1" xfId="4284" xr:uid="{00000000-0005-0000-0000-00004E090000}"/>
    <cellStyle name="Normal [2]" xfId="4285" xr:uid="{00000000-0005-0000-0000-00004F090000}"/>
    <cellStyle name="Normal 10" xfId="71" xr:uid="{00000000-0005-0000-0000-000050090000}"/>
    <cellStyle name="Normal 10 2" xfId="72" xr:uid="{00000000-0005-0000-0000-000051090000}"/>
    <cellStyle name="Normal 10 2 2" xfId="4286" xr:uid="{00000000-0005-0000-0000-000052090000}"/>
    <cellStyle name="Normal 10 2 3" xfId="4602" xr:uid="{00000000-0005-0000-0000-000053090000}"/>
    <cellStyle name="Normal 10 3" xfId="1423" xr:uid="{00000000-0005-0000-0000-000054090000}"/>
    <cellStyle name="Normal 10 3 2" xfId="4815" xr:uid="{00000000-0005-0000-0000-000055090000}"/>
    <cellStyle name="Normal 10 3 2 2" xfId="4839" xr:uid="{00000000-0005-0000-0000-000056090000}"/>
    <cellStyle name="Normal 10 3 3" xfId="4727" xr:uid="{00000000-0005-0000-0000-000057090000}"/>
    <cellStyle name="Normal 10 3 4" xfId="4730" xr:uid="{00000000-0005-0000-0000-000058090000}"/>
    <cellStyle name="Normal 10 4" xfId="4653" xr:uid="{00000000-0005-0000-0000-000059090000}"/>
    <cellStyle name="Normal 10 4 2" xfId="4667" xr:uid="{00000000-0005-0000-0000-00005A090000}"/>
    <cellStyle name="Normal 10 5" xfId="4938" xr:uid="{00000000-0005-0000-0000-00005B090000}"/>
    <cellStyle name="Normal 108" xfId="4287" xr:uid="{00000000-0005-0000-0000-00005C090000}"/>
    <cellStyle name="Normal 11" xfId="73" xr:uid="{00000000-0005-0000-0000-00005D090000}"/>
    <cellStyle name="Normal 11 2" xfId="4288" xr:uid="{00000000-0005-0000-0000-00005E090000}"/>
    <cellStyle name="Normal 11 2 2" xfId="4289" xr:uid="{00000000-0005-0000-0000-00005F090000}"/>
    <cellStyle name="Normal 11 2 3" xfId="4604" xr:uid="{00000000-0005-0000-0000-000060090000}"/>
    <cellStyle name="Normal 11 3" xfId="4603" xr:uid="{00000000-0005-0000-0000-000061090000}"/>
    <cellStyle name="Normal 12" xfId="74" xr:uid="{00000000-0005-0000-0000-000062090000}"/>
    <cellStyle name="Normal 12 2" xfId="75" xr:uid="{00000000-0005-0000-0000-000063090000}"/>
    <cellStyle name="Normal 12 3" xfId="4290" xr:uid="{00000000-0005-0000-0000-000064090000}"/>
    <cellStyle name="Normal 12 4" xfId="4605" xr:uid="{00000000-0005-0000-0000-000065090000}"/>
    <cellStyle name="Normal 13" xfId="135" xr:uid="{00000000-0005-0000-0000-000066090000}"/>
    <cellStyle name="Normal 13 2" xfId="3635" xr:uid="{00000000-0005-0000-0000-000067090000}"/>
    <cellStyle name="Normal 13 2 2" xfId="4291" xr:uid="{00000000-0005-0000-0000-000068090000}"/>
    <cellStyle name="Normal 13 2 2 2" xfId="4858" xr:uid="{00000000-0005-0000-0000-000069090000}"/>
    <cellStyle name="Normal 13 2 2 2 2" xfId="4863" xr:uid="{00000000-0005-0000-0000-00006A090000}"/>
    <cellStyle name="Normal 13 2 2 3" xfId="4905" xr:uid="{00000000-0005-0000-0000-00006B090000}"/>
    <cellStyle name="Normal 13 2 2 4" xfId="4900" xr:uid="{00000000-0005-0000-0000-00006C090000}"/>
    <cellStyle name="Normal 13 2 3" xfId="4775" xr:uid="{00000000-0005-0000-0000-00006D090000}"/>
    <cellStyle name="Normal 13 2 3 2" xfId="4887" xr:uid="{00000000-0005-0000-0000-00006E090000}"/>
    <cellStyle name="Normal 13 2 4" xfId="4695" xr:uid="{00000000-0005-0000-0000-00006F090000}"/>
    <cellStyle name="Normal 13 3" xfId="4606" xr:uid="{00000000-0005-0000-0000-000070090000}"/>
    <cellStyle name="Normal 13 4" xfId="4771" xr:uid="{00000000-0005-0000-0000-000071090000}"/>
    <cellStyle name="Normal 14" xfId="136" xr:uid="{00000000-0005-0000-0000-000072090000}"/>
    <cellStyle name="Normal 14 2" xfId="3636" xr:uid="{00000000-0005-0000-0000-000073090000}"/>
    <cellStyle name="Normal 14 2 2" xfId="4292" xr:uid="{00000000-0005-0000-0000-000074090000}"/>
    <cellStyle name="Normal 14 2 2 2" xfId="4859" xr:uid="{00000000-0005-0000-0000-000075090000}"/>
    <cellStyle name="Normal 14 2 2 2 2" xfId="4864" xr:uid="{00000000-0005-0000-0000-000076090000}"/>
    <cellStyle name="Normal 14 2 2 3" xfId="4906" xr:uid="{00000000-0005-0000-0000-000077090000}"/>
    <cellStyle name="Normal 14 2 2 4" xfId="4899" xr:uid="{00000000-0005-0000-0000-000078090000}"/>
    <cellStyle name="Normal 14 2 3" xfId="4776" xr:uid="{00000000-0005-0000-0000-000079090000}"/>
    <cellStyle name="Normal 14 2 3 2" xfId="4888" xr:uid="{00000000-0005-0000-0000-00007A090000}"/>
    <cellStyle name="Normal 14 2 4" xfId="4694" xr:uid="{00000000-0005-0000-0000-00007B090000}"/>
    <cellStyle name="Normal 14 3" xfId="4607" xr:uid="{00000000-0005-0000-0000-00007C090000}"/>
    <cellStyle name="Normal 14 4" xfId="4772" xr:uid="{00000000-0005-0000-0000-00007D090000}"/>
    <cellStyle name="Normal 15" xfId="137" xr:uid="{00000000-0005-0000-0000-00007E090000}"/>
    <cellStyle name="Normal 15 2" xfId="3637" xr:uid="{00000000-0005-0000-0000-00007F090000}"/>
    <cellStyle name="Normal 15 2 2" xfId="4293" xr:uid="{00000000-0005-0000-0000-000080090000}"/>
    <cellStyle name="Normal 15 2 2 2" xfId="4860" xr:uid="{00000000-0005-0000-0000-000081090000}"/>
    <cellStyle name="Normal 15 2 2 2 2" xfId="4865" xr:uid="{00000000-0005-0000-0000-000082090000}"/>
    <cellStyle name="Normal 15 2 2 3" xfId="4907" xr:uid="{00000000-0005-0000-0000-000083090000}"/>
    <cellStyle name="Normal 15 2 2 4" xfId="4898" xr:uid="{00000000-0005-0000-0000-000084090000}"/>
    <cellStyle name="Normal 15 2 3" xfId="4777" xr:uid="{00000000-0005-0000-0000-000085090000}"/>
    <cellStyle name="Normal 15 2 3 2" xfId="4889" xr:uid="{00000000-0005-0000-0000-000086090000}"/>
    <cellStyle name="Normal 15 2 4" xfId="4693" xr:uid="{00000000-0005-0000-0000-000087090000}"/>
    <cellStyle name="Normal 15 3" xfId="4608" xr:uid="{00000000-0005-0000-0000-000088090000}"/>
    <cellStyle name="Normal 15 4" xfId="4773" xr:uid="{00000000-0005-0000-0000-000089090000}"/>
    <cellStyle name="Normal 16" xfId="138" xr:uid="{00000000-0005-0000-0000-00008A090000}"/>
    <cellStyle name="Normal 16 2" xfId="150" xr:uid="{00000000-0005-0000-0000-00008B090000}"/>
    <cellStyle name="Normal 16 2 2" xfId="4294" xr:uid="{00000000-0005-0000-0000-00008C090000}"/>
    <cellStyle name="Normal 16 2 2 2" xfId="4809" xr:uid="{00000000-0005-0000-0000-00008D090000}"/>
    <cellStyle name="Normal 16 2 2 2 2" xfId="4866" xr:uid="{00000000-0005-0000-0000-00008E090000}"/>
    <cellStyle name="Normal 16 2 2 3" xfId="4908" xr:uid="{00000000-0005-0000-0000-00008F090000}"/>
    <cellStyle name="Normal 16 2 2 4" xfId="4897" xr:uid="{00000000-0005-0000-0000-000090090000}"/>
    <cellStyle name="Normal 16 2 3" xfId="4778" xr:uid="{00000000-0005-0000-0000-000091090000}"/>
    <cellStyle name="Normal 16 2 3 2" xfId="4674" xr:uid="{00000000-0005-0000-0000-000092090000}"/>
    <cellStyle name="Normal 16 2 4" xfId="4932" xr:uid="{00000000-0005-0000-0000-000093090000}"/>
    <cellStyle name="Normal 16 3" xfId="4609" xr:uid="{00000000-0005-0000-0000-000094090000}"/>
    <cellStyle name="Normal 16 4" xfId="4746" xr:uid="{00000000-0005-0000-0000-000095090000}"/>
    <cellStyle name="Normal 17" xfId="139" xr:uid="{00000000-0005-0000-0000-000096090000}"/>
    <cellStyle name="Normal 17 2" xfId="3546" xr:uid="{00000000-0005-0000-0000-000097090000}"/>
    <cellStyle name="Normal 17 2 2" xfId="4295" xr:uid="{00000000-0005-0000-0000-000098090000}"/>
    <cellStyle name="Normal 17 2 2 2" xfId="4843" xr:uid="{00000000-0005-0000-0000-000099090000}"/>
    <cellStyle name="Normal 17 2 2 2 2" xfId="4867" xr:uid="{00000000-0005-0000-0000-00009A090000}"/>
    <cellStyle name="Normal 17 2 2 3" xfId="4909" xr:uid="{00000000-0005-0000-0000-00009B090000}"/>
    <cellStyle name="Normal 17 2 2 4" xfId="4896" xr:uid="{00000000-0005-0000-0000-00009C090000}"/>
    <cellStyle name="Normal 17 2 3" xfId="4779" xr:uid="{00000000-0005-0000-0000-00009D090000}"/>
    <cellStyle name="Normal 17 2 3 2" xfId="4872" xr:uid="{00000000-0005-0000-0000-00009E090000}"/>
    <cellStyle name="Normal 17 2 4" xfId="4710" xr:uid="{00000000-0005-0000-0000-00009F090000}"/>
    <cellStyle name="Normal 17 3" xfId="4610" xr:uid="{00000000-0005-0000-0000-0000A0090000}"/>
    <cellStyle name="Normal 17 4" xfId="4756" xr:uid="{00000000-0005-0000-0000-0000A1090000}"/>
    <cellStyle name="Normal 18" xfId="140" xr:uid="{00000000-0005-0000-0000-0000A2090000}"/>
    <cellStyle name="Normal 18 2" xfId="3638" xr:uid="{00000000-0005-0000-0000-0000A3090000}"/>
    <cellStyle name="Normal 18 2 2" xfId="4296" xr:uid="{00000000-0005-0000-0000-0000A4090000}"/>
    <cellStyle name="Normal 18 2 2 2" xfId="4861" xr:uid="{00000000-0005-0000-0000-0000A5090000}"/>
    <cellStyle name="Normal 18 2 2 2 2" xfId="4868" xr:uid="{00000000-0005-0000-0000-0000A6090000}"/>
    <cellStyle name="Normal 18 2 2 3" xfId="4910" xr:uid="{00000000-0005-0000-0000-0000A7090000}"/>
    <cellStyle name="Normal 18 2 2 4" xfId="4895" xr:uid="{00000000-0005-0000-0000-0000A8090000}"/>
    <cellStyle name="Normal 18 2 3" xfId="4780" xr:uid="{00000000-0005-0000-0000-0000A9090000}"/>
    <cellStyle name="Normal 18 2 3 2" xfId="4890" xr:uid="{00000000-0005-0000-0000-0000AA090000}"/>
    <cellStyle name="Normal 18 2 4" xfId="4692" xr:uid="{00000000-0005-0000-0000-0000AB090000}"/>
    <cellStyle name="Normal 18 3" xfId="4611" xr:uid="{00000000-0005-0000-0000-0000AC090000}"/>
    <cellStyle name="Normal 18 4" xfId="4774" xr:uid="{00000000-0005-0000-0000-0000AD090000}"/>
    <cellStyle name="Normal 19" xfId="4297" xr:uid="{00000000-0005-0000-0000-0000AE090000}"/>
    <cellStyle name="Normal 19 2" xfId="4298" xr:uid="{00000000-0005-0000-0000-0000AF090000}"/>
    <cellStyle name="Normal 2" xfId="76" xr:uid="{00000000-0005-0000-0000-0000B0090000}"/>
    <cellStyle name="Normal 2 10" xfId="1424" xr:uid="{00000000-0005-0000-0000-0000B1090000}"/>
    <cellStyle name="Normal 2 10 10" xfId="1425" xr:uid="{00000000-0005-0000-0000-0000B2090000}"/>
    <cellStyle name="Normal 2 10 11" xfId="1426" xr:uid="{00000000-0005-0000-0000-0000B3090000}"/>
    <cellStyle name="Normal 2 10 12" xfId="1427" xr:uid="{00000000-0005-0000-0000-0000B4090000}"/>
    <cellStyle name="Normal 2 10 13" xfId="1428" xr:uid="{00000000-0005-0000-0000-0000B5090000}"/>
    <cellStyle name="Normal 2 10 14" xfId="1429" xr:uid="{00000000-0005-0000-0000-0000B6090000}"/>
    <cellStyle name="Normal 2 10 15" xfId="1430" xr:uid="{00000000-0005-0000-0000-0000B7090000}"/>
    <cellStyle name="Normal 2 10 16" xfId="1431" xr:uid="{00000000-0005-0000-0000-0000B8090000}"/>
    <cellStyle name="Normal 2 10 17" xfId="1432" xr:uid="{00000000-0005-0000-0000-0000B9090000}"/>
    <cellStyle name="Normal 2 10 18" xfId="1433" xr:uid="{00000000-0005-0000-0000-0000BA090000}"/>
    <cellStyle name="Normal 2 10 19" xfId="1434" xr:uid="{00000000-0005-0000-0000-0000BB090000}"/>
    <cellStyle name="Normal 2 10 2" xfId="1435" xr:uid="{00000000-0005-0000-0000-0000BC090000}"/>
    <cellStyle name="Normal 2 10 20" xfId="1436" xr:uid="{00000000-0005-0000-0000-0000BD090000}"/>
    <cellStyle name="Normal 2 10 21" xfId="1437" xr:uid="{00000000-0005-0000-0000-0000BE090000}"/>
    <cellStyle name="Normal 2 10 22" xfId="1438" xr:uid="{00000000-0005-0000-0000-0000BF090000}"/>
    <cellStyle name="Normal 2 10 23" xfId="1439" xr:uid="{00000000-0005-0000-0000-0000C0090000}"/>
    <cellStyle name="Normal 2 10 24" xfId="1440" xr:uid="{00000000-0005-0000-0000-0000C1090000}"/>
    <cellStyle name="Normal 2 10 25" xfId="1441" xr:uid="{00000000-0005-0000-0000-0000C2090000}"/>
    <cellStyle name="Normal 2 10 26" xfId="1442" xr:uid="{00000000-0005-0000-0000-0000C3090000}"/>
    <cellStyle name="Normal 2 10 27" xfId="1443" xr:uid="{00000000-0005-0000-0000-0000C4090000}"/>
    <cellStyle name="Normal 2 10 28" xfId="1444" xr:uid="{00000000-0005-0000-0000-0000C5090000}"/>
    <cellStyle name="Normal 2 10 29" xfId="1445" xr:uid="{00000000-0005-0000-0000-0000C6090000}"/>
    <cellStyle name="Normal 2 10 3" xfId="1446" xr:uid="{00000000-0005-0000-0000-0000C7090000}"/>
    <cellStyle name="Normal 2 10 30" xfId="1447" xr:uid="{00000000-0005-0000-0000-0000C8090000}"/>
    <cellStyle name="Normal 2 10 4" xfId="1448" xr:uid="{00000000-0005-0000-0000-0000C9090000}"/>
    <cellStyle name="Normal 2 10 5" xfId="1449" xr:uid="{00000000-0005-0000-0000-0000CA090000}"/>
    <cellStyle name="Normal 2 10 6" xfId="1450" xr:uid="{00000000-0005-0000-0000-0000CB090000}"/>
    <cellStyle name="Normal 2 10 7" xfId="1451" xr:uid="{00000000-0005-0000-0000-0000CC090000}"/>
    <cellStyle name="Normal 2 10 8" xfId="1452" xr:uid="{00000000-0005-0000-0000-0000CD090000}"/>
    <cellStyle name="Normal 2 10 9" xfId="1453" xr:uid="{00000000-0005-0000-0000-0000CE090000}"/>
    <cellStyle name="Normal 2 100" xfId="1454" xr:uid="{00000000-0005-0000-0000-0000CF090000}"/>
    <cellStyle name="Normal 2 101" xfId="1455" xr:uid="{00000000-0005-0000-0000-0000D0090000}"/>
    <cellStyle name="Normal 2 102" xfId="3582" xr:uid="{00000000-0005-0000-0000-0000D1090000}"/>
    <cellStyle name="Normal 2 103" xfId="4299" xr:uid="{00000000-0005-0000-0000-0000D2090000}"/>
    <cellStyle name="Normal 2 104" xfId="4612" xr:uid="{00000000-0005-0000-0000-0000D3090000}"/>
    <cellStyle name="Normal 2 105" xfId="146" xr:uid="{00000000-0005-0000-0000-0000D4090000}"/>
    <cellStyle name="Normal 2 105 2" xfId="4814" xr:uid="{00000000-0005-0000-0000-0000D5090000}"/>
    <cellStyle name="Normal 2 106" xfId="4668" xr:uid="{00000000-0005-0000-0000-0000D6090000}"/>
    <cellStyle name="Normal 2 107" xfId="4937" xr:uid="{00000000-0005-0000-0000-0000D7090000}"/>
    <cellStyle name="Normal 2 108" xfId="4997" xr:uid="{00000000-0005-0000-0000-0000D8090000}"/>
    <cellStyle name="Normal 2 109" xfId="5014" xr:uid="{00000000-0005-0000-0000-0000D9090000}"/>
    <cellStyle name="Normal 2 11" xfId="1456" xr:uid="{00000000-0005-0000-0000-0000DA090000}"/>
    <cellStyle name="Normal 2 110" xfId="5037" xr:uid="{00000000-0005-0000-0000-0000DB090000}"/>
    <cellStyle name="Normal 2 111" xfId="5145" xr:uid="{EFAEDD20-F66A-4624-A898-E5B7896EEE5D}"/>
    <cellStyle name="Normal 2 12" xfId="1457" xr:uid="{00000000-0005-0000-0000-0000DC090000}"/>
    <cellStyle name="Normal 2 13" xfId="1458" xr:uid="{00000000-0005-0000-0000-0000DD090000}"/>
    <cellStyle name="Normal 2 14" xfId="1459" xr:uid="{00000000-0005-0000-0000-0000DE090000}"/>
    <cellStyle name="Normal 2 15" xfId="1460" xr:uid="{00000000-0005-0000-0000-0000DF090000}"/>
    <cellStyle name="Normal 2 16" xfId="1461" xr:uid="{00000000-0005-0000-0000-0000E0090000}"/>
    <cellStyle name="Normal 2 17" xfId="1462" xr:uid="{00000000-0005-0000-0000-0000E1090000}"/>
    <cellStyle name="Normal 2 18" xfId="1463" xr:uid="{00000000-0005-0000-0000-0000E2090000}"/>
    <cellStyle name="Normal 2 19" xfId="1464" xr:uid="{00000000-0005-0000-0000-0000E3090000}"/>
    <cellStyle name="Normal 2 2" xfId="153" xr:uid="{00000000-0005-0000-0000-0000E4090000}"/>
    <cellStyle name="Normal 2 2 10" xfId="4675" xr:uid="{00000000-0005-0000-0000-0000E5090000}"/>
    <cellStyle name="Normal 2 2 11" xfId="4931" xr:uid="{00000000-0005-0000-0000-0000E6090000}"/>
    <cellStyle name="Normal 2 2 2" xfId="157" xr:uid="{00000000-0005-0000-0000-0000E7090000}"/>
    <cellStyle name="Normal 2 2 2 2" xfId="1465" xr:uid="{00000000-0005-0000-0000-0000E8090000}"/>
    <cellStyle name="Normal 2 2 2 3" xfId="4654" xr:uid="{00000000-0005-0000-0000-0000E9090000}"/>
    <cellStyle name="Normal 2 2 2 3 2" xfId="4806" xr:uid="{00000000-0005-0000-0000-0000EA090000}"/>
    <cellStyle name="Normal 2 2 2 4" xfId="4677" xr:uid="{00000000-0005-0000-0000-0000EB090000}"/>
    <cellStyle name="Normal 2 2 2 5" xfId="4929" xr:uid="{00000000-0005-0000-0000-0000EC090000}"/>
    <cellStyle name="Normal 2 2 3" xfId="1466" xr:uid="{00000000-0005-0000-0000-0000ED090000}"/>
    <cellStyle name="Normal 2 2 4" xfId="1467" xr:uid="{00000000-0005-0000-0000-0000EE090000}"/>
    <cellStyle name="Normal 2 2 5" xfId="1468" xr:uid="{00000000-0005-0000-0000-0000EF090000}"/>
    <cellStyle name="Normal 2 2 6" xfId="1469" xr:uid="{00000000-0005-0000-0000-0000F0090000}"/>
    <cellStyle name="Normal 2 2 7" xfId="3595" xr:uid="{00000000-0005-0000-0000-0000F1090000}"/>
    <cellStyle name="Normal 2 2 8" xfId="4368" xr:uid="{00000000-0005-0000-0000-0000F2090000}"/>
    <cellStyle name="Normal 2 2 9" xfId="149" xr:uid="{00000000-0005-0000-0000-0000F3090000}"/>
    <cellStyle name="Normal 2 2 9 2" xfId="4808" xr:uid="{00000000-0005-0000-0000-0000F4090000}"/>
    <cellStyle name="Normal 2 20" xfId="1470" xr:uid="{00000000-0005-0000-0000-0000F5090000}"/>
    <cellStyle name="Normal 2 21" xfId="1471" xr:uid="{00000000-0005-0000-0000-0000F6090000}"/>
    <cellStyle name="Normal 2 22" xfId="1472" xr:uid="{00000000-0005-0000-0000-0000F7090000}"/>
    <cellStyle name="Normal 2 23" xfId="1473" xr:uid="{00000000-0005-0000-0000-0000F8090000}"/>
    <cellStyle name="Normal 2 24" xfId="1474" xr:uid="{00000000-0005-0000-0000-0000F9090000}"/>
    <cellStyle name="Normal 2 25" xfId="1475" xr:uid="{00000000-0005-0000-0000-0000FA090000}"/>
    <cellStyle name="Normal 2 26" xfId="1476" xr:uid="{00000000-0005-0000-0000-0000FB090000}"/>
    <cellStyle name="Normal 2 27" xfId="1477" xr:uid="{00000000-0005-0000-0000-0000FC090000}"/>
    <cellStyle name="Normal 2 28" xfId="1478" xr:uid="{00000000-0005-0000-0000-0000FD090000}"/>
    <cellStyle name="Normal 2 29" xfId="1479" xr:uid="{00000000-0005-0000-0000-0000FE090000}"/>
    <cellStyle name="Normal 2 3" xfId="1480" xr:uid="{00000000-0005-0000-0000-0000FF090000}"/>
    <cellStyle name="Normal 2 30" xfId="1481" xr:uid="{00000000-0005-0000-0000-0000000A0000}"/>
    <cellStyle name="Normal 2 31" xfId="1482" xr:uid="{00000000-0005-0000-0000-0000010A0000}"/>
    <cellStyle name="Normal 2 32" xfId="1483" xr:uid="{00000000-0005-0000-0000-0000020A0000}"/>
    <cellStyle name="Normal 2 33" xfId="1484" xr:uid="{00000000-0005-0000-0000-0000030A0000}"/>
    <cellStyle name="Normal 2 34" xfId="1485" xr:uid="{00000000-0005-0000-0000-0000040A0000}"/>
    <cellStyle name="Normal 2 35" xfId="1486" xr:uid="{00000000-0005-0000-0000-0000050A0000}"/>
    <cellStyle name="Normal 2 36" xfId="1487" xr:uid="{00000000-0005-0000-0000-0000060A0000}"/>
    <cellStyle name="Normal 2 37" xfId="1488" xr:uid="{00000000-0005-0000-0000-0000070A0000}"/>
    <cellStyle name="Normal 2 38" xfId="1489" xr:uid="{00000000-0005-0000-0000-0000080A0000}"/>
    <cellStyle name="Normal 2 39" xfId="1490" xr:uid="{00000000-0005-0000-0000-0000090A0000}"/>
    <cellStyle name="Normal 2 4" xfId="1491" xr:uid="{00000000-0005-0000-0000-00000A0A0000}"/>
    <cellStyle name="Normal 2 4 10" xfId="1492" xr:uid="{00000000-0005-0000-0000-00000B0A0000}"/>
    <cellStyle name="Normal 2 4 11" xfId="1493" xr:uid="{00000000-0005-0000-0000-00000C0A0000}"/>
    <cellStyle name="Normal 2 4 12" xfId="1494" xr:uid="{00000000-0005-0000-0000-00000D0A0000}"/>
    <cellStyle name="Normal 2 4 13" xfId="1495" xr:uid="{00000000-0005-0000-0000-00000E0A0000}"/>
    <cellStyle name="Normal 2 4 14" xfId="1496" xr:uid="{00000000-0005-0000-0000-00000F0A0000}"/>
    <cellStyle name="Normal 2 4 15" xfId="1497" xr:uid="{00000000-0005-0000-0000-0000100A0000}"/>
    <cellStyle name="Normal 2 4 16" xfId="1498" xr:uid="{00000000-0005-0000-0000-0000110A0000}"/>
    <cellStyle name="Normal 2 4 17" xfId="1499" xr:uid="{00000000-0005-0000-0000-0000120A0000}"/>
    <cellStyle name="Normal 2 4 18" xfId="1500" xr:uid="{00000000-0005-0000-0000-0000130A0000}"/>
    <cellStyle name="Normal 2 4 19" xfId="1501" xr:uid="{00000000-0005-0000-0000-0000140A0000}"/>
    <cellStyle name="Normal 2 4 2" xfId="1502" xr:uid="{00000000-0005-0000-0000-0000150A0000}"/>
    <cellStyle name="Normal 2 4 20" xfId="1503" xr:uid="{00000000-0005-0000-0000-0000160A0000}"/>
    <cellStyle name="Normal 2 4 21" xfId="1504" xr:uid="{00000000-0005-0000-0000-0000170A0000}"/>
    <cellStyle name="Normal 2 4 22" xfId="1505" xr:uid="{00000000-0005-0000-0000-0000180A0000}"/>
    <cellStyle name="Normal 2 4 23" xfId="1506" xr:uid="{00000000-0005-0000-0000-0000190A0000}"/>
    <cellStyle name="Normal 2 4 24" xfId="1507" xr:uid="{00000000-0005-0000-0000-00001A0A0000}"/>
    <cellStyle name="Normal 2 4 25" xfId="1508" xr:uid="{00000000-0005-0000-0000-00001B0A0000}"/>
    <cellStyle name="Normal 2 4 26" xfId="1509" xr:uid="{00000000-0005-0000-0000-00001C0A0000}"/>
    <cellStyle name="Normal 2 4 27" xfId="1510" xr:uid="{00000000-0005-0000-0000-00001D0A0000}"/>
    <cellStyle name="Normal 2 4 28" xfId="1511" xr:uid="{00000000-0005-0000-0000-00001E0A0000}"/>
    <cellStyle name="Normal 2 4 29" xfId="1512" xr:uid="{00000000-0005-0000-0000-00001F0A0000}"/>
    <cellStyle name="Normal 2 4 3" xfId="1513" xr:uid="{00000000-0005-0000-0000-0000200A0000}"/>
    <cellStyle name="Normal 2 4 3 10" xfId="1514" xr:uid="{00000000-0005-0000-0000-0000210A0000}"/>
    <cellStyle name="Normal 2 4 3 11" xfId="1515" xr:uid="{00000000-0005-0000-0000-0000220A0000}"/>
    <cellStyle name="Normal 2 4 3 12" xfId="1516" xr:uid="{00000000-0005-0000-0000-0000230A0000}"/>
    <cellStyle name="Normal 2 4 3 13" xfId="1517" xr:uid="{00000000-0005-0000-0000-0000240A0000}"/>
    <cellStyle name="Normal 2 4 3 14" xfId="1518" xr:uid="{00000000-0005-0000-0000-0000250A0000}"/>
    <cellStyle name="Normal 2 4 3 15" xfId="1519" xr:uid="{00000000-0005-0000-0000-0000260A0000}"/>
    <cellStyle name="Normal 2 4 3 16" xfId="1520" xr:uid="{00000000-0005-0000-0000-0000270A0000}"/>
    <cellStyle name="Normal 2 4 3 17" xfId="1521" xr:uid="{00000000-0005-0000-0000-0000280A0000}"/>
    <cellStyle name="Normal 2 4 3 18" xfId="1522" xr:uid="{00000000-0005-0000-0000-0000290A0000}"/>
    <cellStyle name="Normal 2 4 3 19" xfId="1523" xr:uid="{00000000-0005-0000-0000-00002A0A0000}"/>
    <cellStyle name="Normal 2 4 3 2" xfId="1524" xr:uid="{00000000-0005-0000-0000-00002B0A0000}"/>
    <cellStyle name="Normal 2 4 3 2 10" xfId="1525" xr:uid="{00000000-0005-0000-0000-00002C0A0000}"/>
    <cellStyle name="Normal 2 4 3 2 11" xfId="1526" xr:uid="{00000000-0005-0000-0000-00002D0A0000}"/>
    <cellStyle name="Normal 2 4 3 2 12" xfId="1527" xr:uid="{00000000-0005-0000-0000-00002E0A0000}"/>
    <cellStyle name="Normal 2 4 3 2 13" xfId="1528" xr:uid="{00000000-0005-0000-0000-00002F0A0000}"/>
    <cellStyle name="Normal 2 4 3 2 14" xfId="1529" xr:uid="{00000000-0005-0000-0000-0000300A0000}"/>
    <cellStyle name="Normal 2 4 3 2 15" xfId="1530" xr:uid="{00000000-0005-0000-0000-0000310A0000}"/>
    <cellStyle name="Normal 2 4 3 2 16" xfId="1531" xr:uid="{00000000-0005-0000-0000-0000320A0000}"/>
    <cellStyle name="Normal 2 4 3 2 17" xfId="1532" xr:uid="{00000000-0005-0000-0000-0000330A0000}"/>
    <cellStyle name="Normal 2 4 3 2 18" xfId="1533" xr:uid="{00000000-0005-0000-0000-0000340A0000}"/>
    <cellStyle name="Normal 2 4 3 2 19" xfId="1534" xr:uid="{00000000-0005-0000-0000-0000350A0000}"/>
    <cellStyle name="Normal 2 4 3 2 2" xfId="1535" xr:uid="{00000000-0005-0000-0000-0000360A0000}"/>
    <cellStyle name="Normal 2 4 3 2 20" xfId="1536" xr:uid="{00000000-0005-0000-0000-0000370A0000}"/>
    <cellStyle name="Normal 2 4 3 2 21" xfId="1537" xr:uid="{00000000-0005-0000-0000-0000380A0000}"/>
    <cellStyle name="Normal 2 4 3 2 22" xfId="1538" xr:uid="{00000000-0005-0000-0000-0000390A0000}"/>
    <cellStyle name="Normal 2 4 3 2 23" xfId="1539" xr:uid="{00000000-0005-0000-0000-00003A0A0000}"/>
    <cellStyle name="Normal 2 4 3 2 24" xfId="1540" xr:uid="{00000000-0005-0000-0000-00003B0A0000}"/>
    <cellStyle name="Normal 2 4 3 2 3" xfId="1541" xr:uid="{00000000-0005-0000-0000-00003C0A0000}"/>
    <cellStyle name="Normal 2 4 3 2 4" xfId="1542" xr:uid="{00000000-0005-0000-0000-00003D0A0000}"/>
    <cellStyle name="Normal 2 4 3 2 5" xfId="1543" xr:uid="{00000000-0005-0000-0000-00003E0A0000}"/>
    <cellStyle name="Normal 2 4 3 2 6" xfId="1544" xr:uid="{00000000-0005-0000-0000-00003F0A0000}"/>
    <cellStyle name="Normal 2 4 3 2 7" xfId="1545" xr:uid="{00000000-0005-0000-0000-0000400A0000}"/>
    <cellStyle name="Normal 2 4 3 2 8" xfId="1546" xr:uid="{00000000-0005-0000-0000-0000410A0000}"/>
    <cellStyle name="Normal 2 4 3 2 9" xfId="1547" xr:uid="{00000000-0005-0000-0000-0000420A0000}"/>
    <cellStyle name="Normal 2 4 3 20" xfId="1548" xr:uid="{00000000-0005-0000-0000-0000430A0000}"/>
    <cellStyle name="Normal 2 4 3 21" xfId="1549" xr:uid="{00000000-0005-0000-0000-0000440A0000}"/>
    <cellStyle name="Normal 2 4 3 22" xfId="1550" xr:uid="{00000000-0005-0000-0000-0000450A0000}"/>
    <cellStyle name="Normal 2 4 3 23" xfId="1551" xr:uid="{00000000-0005-0000-0000-0000460A0000}"/>
    <cellStyle name="Normal 2 4 3 24" xfId="1552" xr:uid="{00000000-0005-0000-0000-0000470A0000}"/>
    <cellStyle name="Normal 2 4 3 3" xfId="1553" xr:uid="{00000000-0005-0000-0000-0000480A0000}"/>
    <cellStyle name="Normal 2 4 3 4" xfId="1554" xr:uid="{00000000-0005-0000-0000-0000490A0000}"/>
    <cellStyle name="Normal 2 4 3 5" xfId="1555" xr:uid="{00000000-0005-0000-0000-00004A0A0000}"/>
    <cellStyle name="Normal 2 4 3 6" xfId="1556" xr:uid="{00000000-0005-0000-0000-00004B0A0000}"/>
    <cellStyle name="Normal 2 4 3 7" xfId="1557" xr:uid="{00000000-0005-0000-0000-00004C0A0000}"/>
    <cellStyle name="Normal 2 4 3 8" xfId="1558" xr:uid="{00000000-0005-0000-0000-00004D0A0000}"/>
    <cellStyle name="Normal 2 4 3 9" xfId="1559" xr:uid="{00000000-0005-0000-0000-00004E0A0000}"/>
    <cellStyle name="Normal 2 4 30" xfId="1560" xr:uid="{00000000-0005-0000-0000-00004F0A0000}"/>
    <cellStyle name="Normal 2 4 31" xfId="1561" xr:uid="{00000000-0005-0000-0000-0000500A0000}"/>
    <cellStyle name="Normal 2 4 4" xfId="1562" xr:uid="{00000000-0005-0000-0000-0000510A0000}"/>
    <cellStyle name="Normal 2 4 5" xfId="1563" xr:uid="{00000000-0005-0000-0000-0000520A0000}"/>
    <cellStyle name="Normal 2 4 6" xfId="1564" xr:uid="{00000000-0005-0000-0000-0000530A0000}"/>
    <cellStyle name="Normal 2 4 7" xfId="1565" xr:uid="{00000000-0005-0000-0000-0000540A0000}"/>
    <cellStyle name="Normal 2 4 8" xfId="1566" xr:uid="{00000000-0005-0000-0000-0000550A0000}"/>
    <cellStyle name="Normal 2 4 9" xfId="1567" xr:uid="{00000000-0005-0000-0000-0000560A0000}"/>
    <cellStyle name="Normal 2 40" xfId="1568" xr:uid="{00000000-0005-0000-0000-0000570A0000}"/>
    <cellStyle name="Normal 2 41" xfId="1569" xr:uid="{00000000-0005-0000-0000-0000580A0000}"/>
    <cellStyle name="Normal 2 42" xfId="1570" xr:uid="{00000000-0005-0000-0000-0000590A0000}"/>
    <cellStyle name="Normal 2 43" xfId="1571" xr:uid="{00000000-0005-0000-0000-00005A0A0000}"/>
    <cellStyle name="Normal 2 44" xfId="1572" xr:uid="{00000000-0005-0000-0000-00005B0A0000}"/>
    <cellStyle name="Normal 2 45" xfId="1573" xr:uid="{00000000-0005-0000-0000-00005C0A0000}"/>
    <cellStyle name="Normal 2 46" xfId="1574" xr:uid="{00000000-0005-0000-0000-00005D0A0000}"/>
    <cellStyle name="Normal 2 47" xfId="1575" xr:uid="{00000000-0005-0000-0000-00005E0A0000}"/>
    <cellStyle name="Normal 2 48" xfId="1576" xr:uid="{00000000-0005-0000-0000-00005F0A0000}"/>
    <cellStyle name="Normal 2 49" xfId="1577" xr:uid="{00000000-0005-0000-0000-0000600A0000}"/>
    <cellStyle name="Normal 2 5" xfId="1578" xr:uid="{00000000-0005-0000-0000-0000610A0000}"/>
    <cellStyle name="Normal 2 5 10" xfId="1579" xr:uid="{00000000-0005-0000-0000-0000620A0000}"/>
    <cellStyle name="Normal 2 5 11" xfId="1580" xr:uid="{00000000-0005-0000-0000-0000630A0000}"/>
    <cellStyle name="Normal 2 5 12" xfId="1581" xr:uid="{00000000-0005-0000-0000-0000640A0000}"/>
    <cellStyle name="Normal 2 5 13" xfId="1582" xr:uid="{00000000-0005-0000-0000-0000650A0000}"/>
    <cellStyle name="Normal 2 5 14" xfId="1583" xr:uid="{00000000-0005-0000-0000-0000660A0000}"/>
    <cellStyle name="Normal 2 5 15" xfId="1584" xr:uid="{00000000-0005-0000-0000-0000670A0000}"/>
    <cellStyle name="Normal 2 5 16" xfId="1585" xr:uid="{00000000-0005-0000-0000-0000680A0000}"/>
    <cellStyle name="Normal 2 5 17" xfId="1586" xr:uid="{00000000-0005-0000-0000-0000690A0000}"/>
    <cellStyle name="Normal 2 5 18" xfId="1587" xr:uid="{00000000-0005-0000-0000-00006A0A0000}"/>
    <cellStyle name="Normal 2 5 19" xfId="1588" xr:uid="{00000000-0005-0000-0000-00006B0A0000}"/>
    <cellStyle name="Normal 2 5 2" xfId="1589" xr:uid="{00000000-0005-0000-0000-00006C0A0000}"/>
    <cellStyle name="Normal 2 5 2 10" xfId="1590" xr:uid="{00000000-0005-0000-0000-00006D0A0000}"/>
    <cellStyle name="Normal 2 5 2 11" xfId="1591" xr:uid="{00000000-0005-0000-0000-00006E0A0000}"/>
    <cellStyle name="Normal 2 5 2 12" xfId="1592" xr:uid="{00000000-0005-0000-0000-00006F0A0000}"/>
    <cellStyle name="Normal 2 5 2 13" xfId="1593" xr:uid="{00000000-0005-0000-0000-0000700A0000}"/>
    <cellStyle name="Normal 2 5 2 14" xfId="1594" xr:uid="{00000000-0005-0000-0000-0000710A0000}"/>
    <cellStyle name="Normal 2 5 2 15" xfId="1595" xr:uid="{00000000-0005-0000-0000-0000720A0000}"/>
    <cellStyle name="Normal 2 5 2 16" xfId="1596" xr:uid="{00000000-0005-0000-0000-0000730A0000}"/>
    <cellStyle name="Normal 2 5 2 17" xfId="1597" xr:uid="{00000000-0005-0000-0000-0000740A0000}"/>
    <cellStyle name="Normal 2 5 2 18" xfId="1598" xr:uid="{00000000-0005-0000-0000-0000750A0000}"/>
    <cellStyle name="Normal 2 5 2 19" xfId="1599" xr:uid="{00000000-0005-0000-0000-0000760A0000}"/>
    <cellStyle name="Normal 2 5 2 2" xfId="1600" xr:uid="{00000000-0005-0000-0000-0000770A0000}"/>
    <cellStyle name="Normal 2 5 2 20" xfId="1601" xr:uid="{00000000-0005-0000-0000-0000780A0000}"/>
    <cellStyle name="Normal 2 5 2 21" xfId="1602" xr:uid="{00000000-0005-0000-0000-0000790A0000}"/>
    <cellStyle name="Normal 2 5 2 22" xfId="1603" xr:uid="{00000000-0005-0000-0000-00007A0A0000}"/>
    <cellStyle name="Normal 2 5 2 23" xfId="1604" xr:uid="{00000000-0005-0000-0000-00007B0A0000}"/>
    <cellStyle name="Normal 2 5 2 24" xfId="1605" xr:uid="{00000000-0005-0000-0000-00007C0A0000}"/>
    <cellStyle name="Normal 2 5 2 25" xfId="1606" xr:uid="{00000000-0005-0000-0000-00007D0A0000}"/>
    <cellStyle name="Normal 2 5 2 26" xfId="1607" xr:uid="{00000000-0005-0000-0000-00007E0A0000}"/>
    <cellStyle name="Normal 2 5 2 27" xfId="1608" xr:uid="{00000000-0005-0000-0000-00007F0A0000}"/>
    <cellStyle name="Normal 2 5 2 28" xfId="1609" xr:uid="{00000000-0005-0000-0000-0000800A0000}"/>
    <cellStyle name="Normal 2 5 2 29" xfId="1610" xr:uid="{00000000-0005-0000-0000-0000810A0000}"/>
    <cellStyle name="Normal 2 5 2 3" xfId="1611" xr:uid="{00000000-0005-0000-0000-0000820A0000}"/>
    <cellStyle name="Normal 2 5 2 30" xfId="1612" xr:uid="{00000000-0005-0000-0000-0000830A0000}"/>
    <cellStyle name="Normal 2 5 2 4" xfId="1613" xr:uid="{00000000-0005-0000-0000-0000840A0000}"/>
    <cellStyle name="Normal 2 5 2 5" xfId="1614" xr:uid="{00000000-0005-0000-0000-0000850A0000}"/>
    <cellStyle name="Normal 2 5 2 6" xfId="1615" xr:uid="{00000000-0005-0000-0000-0000860A0000}"/>
    <cellStyle name="Normal 2 5 2 7" xfId="1616" xr:uid="{00000000-0005-0000-0000-0000870A0000}"/>
    <cellStyle name="Normal 2 5 2 8" xfId="1617" xr:uid="{00000000-0005-0000-0000-0000880A0000}"/>
    <cellStyle name="Normal 2 5 2 9" xfId="1618" xr:uid="{00000000-0005-0000-0000-0000890A0000}"/>
    <cellStyle name="Normal 2 5 20" xfId="1619" xr:uid="{00000000-0005-0000-0000-00008A0A0000}"/>
    <cellStyle name="Normal 2 5 21" xfId="1620" xr:uid="{00000000-0005-0000-0000-00008B0A0000}"/>
    <cellStyle name="Normal 2 5 22" xfId="1621" xr:uid="{00000000-0005-0000-0000-00008C0A0000}"/>
    <cellStyle name="Normal 2 5 23" xfId="1622" xr:uid="{00000000-0005-0000-0000-00008D0A0000}"/>
    <cellStyle name="Normal 2 5 24" xfId="1623" xr:uid="{00000000-0005-0000-0000-00008E0A0000}"/>
    <cellStyle name="Normal 2 5 25" xfId="1624" xr:uid="{00000000-0005-0000-0000-00008F0A0000}"/>
    <cellStyle name="Normal 2 5 26" xfId="1625" xr:uid="{00000000-0005-0000-0000-0000900A0000}"/>
    <cellStyle name="Normal 2 5 27" xfId="1626" xr:uid="{00000000-0005-0000-0000-0000910A0000}"/>
    <cellStyle name="Normal 2 5 28" xfId="1627" xr:uid="{00000000-0005-0000-0000-0000920A0000}"/>
    <cellStyle name="Normal 2 5 29" xfId="1628" xr:uid="{00000000-0005-0000-0000-0000930A0000}"/>
    <cellStyle name="Normal 2 5 3" xfId="1629" xr:uid="{00000000-0005-0000-0000-0000940A0000}"/>
    <cellStyle name="Normal 2 5 30" xfId="1630" xr:uid="{00000000-0005-0000-0000-0000950A0000}"/>
    <cellStyle name="Normal 2 5 31" xfId="1631" xr:uid="{00000000-0005-0000-0000-0000960A0000}"/>
    <cellStyle name="Normal 2 5 32" xfId="1632" xr:uid="{00000000-0005-0000-0000-0000970A0000}"/>
    <cellStyle name="Normal 2 5 33" xfId="1633" xr:uid="{00000000-0005-0000-0000-0000980A0000}"/>
    <cellStyle name="Normal 2 5 34" xfId="1634" xr:uid="{00000000-0005-0000-0000-0000990A0000}"/>
    <cellStyle name="Normal 2 5 35" xfId="1635" xr:uid="{00000000-0005-0000-0000-00009A0A0000}"/>
    <cellStyle name="Normal 2 5 36" xfId="1636" xr:uid="{00000000-0005-0000-0000-00009B0A0000}"/>
    <cellStyle name="Normal 2 5 37" xfId="1637" xr:uid="{00000000-0005-0000-0000-00009C0A0000}"/>
    <cellStyle name="Normal 2 5 38" xfId="1638" xr:uid="{00000000-0005-0000-0000-00009D0A0000}"/>
    <cellStyle name="Normal 2 5 39" xfId="1639" xr:uid="{00000000-0005-0000-0000-00009E0A0000}"/>
    <cellStyle name="Normal 2 5 4" xfId="1640" xr:uid="{00000000-0005-0000-0000-00009F0A0000}"/>
    <cellStyle name="Normal 2 5 40" xfId="1641" xr:uid="{00000000-0005-0000-0000-0000A00A0000}"/>
    <cellStyle name="Normal 2 5 41" xfId="1642" xr:uid="{00000000-0005-0000-0000-0000A10A0000}"/>
    <cellStyle name="Normal 2 5 42" xfId="1643" xr:uid="{00000000-0005-0000-0000-0000A20A0000}"/>
    <cellStyle name="Normal 2 5 43" xfId="1644" xr:uid="{00000000-0005-0000-0000-0000A30A0000}"/>
    <cellStyle name="Normal 2 5 44" xfId="1645" xr:uid="{00000000-0005-0000-0000-0000A40A0000}"/>
    <cellStyle name="Normal 2 5 45" xfId="1646" xr:uid="{00000000-0005-0000-0000-0000A50A0000}"/>
    <cellStyle name="Normal 2 5 46" xfId="1647" xr:uid="{00000000-0005-0000-0000-0000A60A0000}"/>
    <cellStyle name="Normal 2 5 47" xfId="1648" xr:uid="{00000000-0005-0000-0000-0000A70A0000}"/>
    <cellStyle name="Normal 2 5 48" xfId="1649" xr:uid="{00000000-0005-0000-0000-0000A80A0000}"/>
    <cellStyle name="Normal 2 5 49" xfId="1650" xr:uid="{00000000-0005-0000-0000-0000A90A0000}"/>
    <cellStyle name="Normal 2 5 5" xfId="1651" xr:uid="{00000000-0005-0000-0000-0000AA0A0000}"/>
    <cellStyle name="Normal 2 5 50" xfId="1652" xr:uid="{00000000-0005-0000-0000-0000AB0A0000}"/>
    <cellStyle name="Normal 2 5 51" xfId="1653" xr:uid="{00000000-0005-0000-0000-0000AC0A0000}"/>
    <cellStyle name="Normal 2 5 52" xfId="1654" xr:uid="{00000000-0005-0000-0000-0000AD0A0000}"/>
    <cellStyle name="Normal 2 5 53" xfId="1655" xr:uid="{00000000-0005-0000-0000-0000AE0A0000}"/>
    <cellStyle name="Normal 2 5 54" xfId="1656" xr:uid="{00000000-0005-0000-0000-0000AF0A0000}"/>
    <cellStyle name="Normal 2 5 55" xfId="1657" xr:uid="{00000000-0005-0000-0000-0000B00A0000}"/>
    <cellStyle name="Normal 2 5 56" xfId="1658" xr:uid="{00000000-0005-0000-0000-0000B10A0000}"/>
    <cellStyle name="Normal 2 5 6" xfId="1659" xr:uid="{00000000-0005-0000-0000-0000B20A0000}"/>
    <cellStyle name="Normal 2 5 7" xfId="1660" xr:uid="{00000000-0005-0000-0000-0000B30A0000}"/>
    <cellStyle name="Normal 2 5 8" xfId="1661" xr:uid="{00000000-0005-0000-0000-0000B40A0000}"/>
    <cellStyle name="Normal 2 5 9" xfId="1662" xr:uid="{00000000-0005-0000-0000-0000B50A0000}"/>
    <cellStyle name="Normal 2 50" xfId="1663" xr:uid="{00000000-0005-0000-0000-0000B60A0000}"/>
    <cellStyle name="Normal 2 51" xfId="1664" xr:uid="{00000000-0005-0000-0000-0000B70A0000}"/>
    <cellStyle name="Normal 2 52" xfId="1665" xr:uid="{00000000-0005-0000-0000-0000B80A0000}"/>
    <cellStyle name="Normal 2 53" xfId="1666" xr:uid="{00000000-0005-0000-0000-0000B90A0000}"/>
    <cellStyle name="Normal 2 54" xfId="1667" xr:uid="{00000000-0005-0000-0000-0000BA0A0000}"/>
    <cellStyle name="Normal 2 55" xfId="1668" xr:uid="{00000000-0005-0000-0000-0000BB0A0000}"/>
    <cellStyle name="Normal 2 56" xfId="1669" xr:uid="{00000000-0005-0000-0000-0000BC0A0000}"/>
    <cellStyle name="Normal 2 57" xfId="1670" xr:uid="{00000000-0005-0000-0000-0000BD0A0000}"/>
    <cellStyle name="Normal 2 58" xfId="1671" xr:uid="{00000000-0005-0000-0000-0000BE0A0000}"/>
    <cellStyle name="Normal 2 59" xfId="1672" xr:uid="{00000000-0005-0000-0000-0000BF0A0000}"/>
    <cellStyle name="Normal 2 6" xfId="1673" xr:uid="{00000000-0005-0000-0000-0000C00A0000}"/>
    <cellStyle name="Normal 2 6 10" xfId="1674" xr:uid="{00000000-0005-0000-0000-0000C10A0000}"/>
    <cellStyle name="Normal 2 6 11" xfId="1675" xr:uid="{00000000-0005-0000-0000-0000C20A0000}"/>
    <cellStyle name="Normal 2 6 12" xfId="1676" xr:uid="{00000000-0005-0000-0000-0000C30A0000}"/>
    <cellStyle name="Normal 2 6 13" xfId="1677" xr:uid="{00000000-0005-0000-0000-0000C40A0000}"/>
    <cellStyle name="Normal 2 6 14" xfId="1678" xr:uid="{00000000-0005-0000-0000-0000C50A0000}"/>
    <cellStyle name="Normal 2 6 15" xfId="1679" xr:uid="{00000000-0005-0000-0000-0000C60A0000}"/>
    <cellStyle name="Normal 2 6 16" xfId="1680" xr:uid="{00000000-0005-0000-0000-0000C70A0000}"/>
    <cellStyle name="Normal 2 6 17" xfId="1681" xr:uid="{00000000-0005-0000-0000-0000C80A0000}"/>
    <cellStyle name="Normal 2 6 18" xfId="1682" xr:uid="{00000000-0005-0000-0000-0000C90A0000}"/>
    <cellStyle name="Normal 2 6 19" xfId="1683" xr:uid="{00000000-0005-0000-0000-0000CA0A0000}"/>
    <cellStyle name="Normal 2 6 2" xfId="1684" xr:uid="{00000000-0005-0000-0000-0000CB0A0000}"/>
    <cellStyle name="Normal 2 6 20" xfId="1685" xr:uid="{00000000-0005-0000-0000-0000CC0A0000}"/>
    <cellStyle name="Normal 2 6 21" xfId="1686" xr:uid="{00000000-0005-0000-0000-0000CD0A0000}"/>
    <cellStyle name="Normal 2 6 22" xfId="1687" xr:uid="{00000000-0005-0000-0000-0000CE0A0000}"/>
    <cellStyle name="Normal 2 6 23" xfId="1688" xr:uid="{00000000-0005-0000-0000-0000CF0A0000}"/>
    <cellStyle name="Normal 2 6 24" xfId="1689" xr:uid="{00000000-0005-0000-0000-0000D00A0000}"/>
    <cellStyle name="Normal 2 6 25" xfId="1690" xr:uid="{00000000-0005-0000-0000-0000D10A0000}"/>
    <cellStyle name="Normal 2 6 26" xfId="1691" xr:uid="{00000000-0005-0000-0000-0000D20A0000}"/>
    <cellStyle name="Normal 2 6 27" xfId="1692" xr:uid="{00000000-0005-0000-0000-0000D30A0000}"/>
    <cellStyle name="Normal 2 6 28" xfId="1693" xr:uid="{00000000-0005-0000-0000-0000D40A0000}"/>
    <cellStyle name="Normal 2 6 29" xfId="1694" xr:uid="{00000000-0005-0000-0000-0000D50A0000}"/>
    <cellStyle name="Normal 2 6 3" xfId="1695" xr:uid="{00000000-0005-0000-0000-0000D60A0000}"/>
    <cellStyle name="Normal 2 6 30" xfId="1696" xr:uid="{00000000-0005-0000-0000-0000D70A0000}"/>
    <cellStyle name="Normal 2 6 31" xfId="1697" xr:uid="{00000000-0005-0000-0000-0000D80A0000}"/>
    <cellStyle name="Normal 2 6 32" xfId="1698" xr:uid="{00000000-0005-0000-0000-0000D90A0000}"/>
    <cellStyle name="Normal 2 6 33" xfId="1699" xr:uid="{00000000-0005-0000-0000-0000DA0A0000}"/>
    <cellStyle name="Normal 2 6 34" xfId="1700" xr:uid="{00000000-0005-0000-0000-0000DB0A0000}"/>
    <cellStyle name="Normal 2 6 35" xfId="1701" xr:uid="{00000000-0005-0000-0000-0000DC0A0000}"/>
    <cellStyle name="Normal 2 6 36" xfId="1702" xr:uid="{00000000-0005-0000-0000-0000DD0A0000}"/>
    <cellStyle name="Normal 2 6 37" xfId="1703" xr:uid="{00000000-0005-0000-0000-0000DE0A0000}"/>
    <cellStyle name="Normal 2 6 38" xfId="1704" xr:uid="{00000000-0005-0000-0000-0000DF0A0000}"/>
    <cellStyle name="Normal 2 6 39" xfId="1705" xr:uid="{00000000-0005-0000-0000-0000E00A0000}"/>
    <cellStyle name="Normal 2 6 4" xfId="1706" xr:uid="{00000000-0005-0000-0000-0000E10A0000}"/>
    <cellStyle name="Normal 2 6 40" xfId="1707" xr:uid="{00000000-0005-0000-0000-0000E20A0000}"/>
    <cellStyle name="Normal 2 6 41" xfId="1708" xr:uid="{00000000-0005-0000-0000-0000E30A0000}"/>
    <cellStyle name="Normal 2 6 42" xfId="1709" xr:uid="{00000000-0005-0000-0000-0000E40A0000}"/>
    <cellStyle name="Normal 2 6 43" xfId="1710" xr:uid="{00000000-0005-0000-0000-0000E50A0000}"/>
    <cellStyle name="Normal 2 6 44" xfId="1711" xr:uid="{00000000-0005-0000-0000-0000E60A0000}"/>
    <cellStyle name="Normal 2 6 45" xfId="1712" xr:uid="{00000000-0005-0000-0000-0000E70A0000}"/>
    <cellStyle name="Normal 2 6 46" xfId="1713" xr:uid="{00000000-0005-0000-0000-0000E80A0000}"/>
    <cellStyle name="Normal 2 6 47" xfId="1714" xr:uid="{00000000-0005-0000-0000-0000E90A0000}"/>
    <cellStyle name="Normal 2 6 48" xfId="1715" xr:uid="{00000000-0005-0000-0000-0000EA0A0000}"/>
    <cellStyle name="Normal 2 6 49" xfId="1716" xr:uid="{00000000-0005-0000-0000-0000EB0A0000}"/>
    <cellStyle name="Normal 2 6 5" xfId="1717" xr:uid="{00000000-0005-0000-0000-0000EC0A0000}"/>
    <cellStyle name="Normal 2 6 50" xfId="1718" xr:uid="{00000000-0005-0000-0000-0000ED0A0000}"/>
    <cellStyle name="Normal 2 6 51" xfId="1719" xr:uid="{00000000-0005-0000-0000-0000EE0A0000}"/>
    <cellStyle name="Normal 2 6 52" xfId="1720" xr:uid="{00000000-0005-0000-0000-0000EF0A0000}"/>
    <cellStyle name="Normal 2 6 53" xfId="1721" xr:uid="{00000000-0005-0000-0000-0000F00A0000}"/>
    <cellStyle name="Normal 2 6 54" xfId="1722" xr:uid="{00000000-0005-0000-0000-0000F10A0000}"/>
    <cellStyle name="Normal 2 6 55" xfId="1723" xr:uid="{00000000-0005-0000-0000-0000F20A0000}"/>
    <cellStyle name="Normal 2 6 6" xfId="1724" xr:uid="{00000000-0005-0000-0000-0000F30A0000}"/>
    <cellStyle name="Normal 2 6 7" xfId="1725" xr:uid="{00000000-0005-0000-0000-0000F40A0000}"/>
    <cellStyle name="Normal 2 6 8" xfId="1726" xr:uid="{00000000-0005-0000-0000-0000F50A0000}"/>
    <cellStyle name="Normal 2 6 9" xfId="1727" xr:uid="{00000000-0005-0000-0000-0000F60A0000}"/>
    <cellStyle name="Normal 2 60" xfId="1728" xr:uid="{00000000-0005-0000-0000-0000F70A0000}"/>
    <cellStyle name="Normal 2 61" xfId="1729" xr:uid="{00000000-0005-0000-0000-0000F80A0000}"/>
    <cellStyle name="Normal 2 62" xfId="1730" xr:uid="{00000000-0005-0000-0000-0000F90A0000}"/>
    <cellStyle name="Normal 2 63" xfId="1731" xr:uid="{00000000-0005-0000-0000-0000FA0A0000}"/>
    <cellStyle name="Normal 2 64" xfId="1732" xr:uid="{00000000-0005-0000-0000-0000FB0A0000}"/>
    <cellStyle name="Normal 2 65" xfId="1733" xr:uid="{00000000-0005-0000-0000-0000FC0A0000}"/>
    <cellStyle name="Normal 2 66" xfId="1734" xr:uid="{00000000-0005-0000-0000-0000FD0A0000}"/>
    <cellStyle name="Normal 2 67" xfId="1735" xr:uid="{00000000-0005-0000-0000-0000FE0A0000}"/>
    <cellStyle name="Normal 2 68" xfId="1736" xr:uid="{00000000-0005-0000-0000-0000FF0A0000}"/>
    <cellStyle name="Normal 2 69" xfId="1737" xr:uid="{00000000-0005-0000-0000-0000000B0000}"/>
    <cellStyle name="Normal 2 7" xfId="1738" xr:uid="{00000000-0005-0000-0000-0000010B0000}"/>
    <cellStyle name="Normal 2 7 10" xfId="1739" xr:uid="{00000000-0005-0000-0000-0000020B0000}"/>
    <cellStyle name="Normal 2 7 11" xfId="1740" xr:uid="{00000000-0005-0000-0000-0000030B0000}"/>
    <cellStyle name="Normal 2 7 12" xfId="1741" xr:uid="{00000000-0005-0000-0000-0000040B0000}"/>
    <cellStyle name="Normal 2 7 13" xfId="1742" xr:uid="{00000000-0005-0000-0000-0000050B0000}"/>
    <cellStyle name="Normal 2 7 14" xfId="1743" xr:uid="{00000000-0005-0000-0000-0000060B0000}"/>
    <cellStyle name="Normal 2 7 15" xfId="1744" xr:uid="{00000000-0005-0000-0000-0000070B0000}"/>
    <cellStyle name="Normal 2 7 16" xfId="1745" xr:uid="{00000000-0005-0000-0000-0000080B0000}"/>
    <cellStyle name="Normal 2 7 17" xfId="1746" xr:uid="{00000000-0005-0000-0000-0000090B0000}"/>
    <cellStyle name="Normal 2 7 18" xfId="1747" xr:uid="{00000000-0005-0000-0000-00000A0B0000}"/>
    <cellStyle name="Normal 2 7 19" xfId="1748" xr:uid="{00000000-0005-0000-0000-00000B0B0000}"/>
    <cellStyle name="Normal 2 7 2" xfId="1749" xr:uid="{00000000-0005-0000-0000-00000C0B0000}"/>
    <cellStyle name="Normal 2 7 20" xfId="1750" xr:uid="{00000000-0005-0000-0000-00000D0B0000}"/>
    <cellStyle name="Normal 2 7 21" xfId="1751" xr:uid="{00000000-0005-0000-0000-00000E0B0000}"/>
    <cellStyle name="Normal 2 7 22" xfId="1752" xr:uid="{00000000-0005-0000-0000-00000F0B0000}"/>
    <cellStyle name="Normal 2 7 23" xfId="1753" xr:uid="{00000000-0005-0000-0000-0000100B0000}"/>
    <cellStyle name="Normal 2 7 24" xfId="1754" xr:uid="{00000000-0005-0000-0000-0000110B0000}"/>
    <cellStyle name="Normal 2 7 25" xfId="1755" xr:uid="{00000000-0005-0000-0000-0000120B0000}"/>
    <cellStyle name="Normal 2 7 26" xfId="1756" xr:uid="{00000000-0005-0000-0000-0000130B0000}"/>
    <cellStyle name="Normal 2 7 27" xfId="1757" xr:uid="{00000000-0005-0000-0000-0000140B0000}"/>
    <cellStyle name="Normal 2 7 28" xfId="1758" xr:uid="{00000000-0005-0000-0000-0000150B0000}"/>
    <cellStyle name="Normal 2 7 29" xfId="1759" xr:uid="{00000000-0005-0000-0000-0000160B0000}"/>
    <cellStyle name="Normal 2 7 3" xfId="1760" xr:uid="{00000000-0005-0000-0000-0000170B0000}"/>
    <cellStyle name="Normal 2 7 30" xfId="1761" xr:uid="{00000000-0005-0000-0000-0000180B0000}"/>
    <cellStyle name="Normal 2 7 31" xfId="1762" xr:uid="{00000000-0005-0000-0000-0000190B0000}"/>
    <cellStyle name="Normal 2 7 32" xfId="1763" xr:uid="{00000000-0005-0000-0000-00001A0B0000}"/>
    <cellStyle name="Normal 2 7 33" xfId="1764" xr:uid="{00000000-0005-0000-0000-00001B0B0000}"/>
    <cellStyle name="Normal 2 7 34" xfId="1765" xr:uid="{00000000-0005-0000-0000-00001C0B0000}"/>
    <cellStyle name="Normal 2 7 35" xfId="1766" xr:uid="{00000000-0005-0000-0000-00001D0B0000}"/>
    <cellStyle name="Normal 2 7 36" xfId="1767" xr:uid="{00000000-0005-0000-0000-00001E0B0000}"/>
    <cellStyle name="Normal 2 7 37" xfId="1768" xr:uid="{00000000-0005-0000-0000-00001F0B0000}"/>
    <cellStyle name="Normal 2 7 38" xfId="1769" xr:uid="{00000000-0005-0000-0000-0000200B0000}"/>
    <cellStyle name="Normal 2 7 39" xfId="1770" xr:uid="{00000000-0005-0000-0000-0000210B0000}"/>
    <cellStyle name="Normal 2 7 4" xfId="1771" xr:uid="{00000000-0005-0000-0000-0000220B0000}"/>
    <cellStyle name="Normal 2 7 40" xfId="1772" xr:uid="{00000000-0005-0000-0000-0000230B0000}"/>
    <cellStyle name="Normal 2 7 41" xfId="1773" xr:uid="{00000000-0005-0000-0000-0000240B0000}"/>
    <cellStyle name="Normal 2 7 42" xfId="1774" xr:uid="{00000000-0005-0000-0000-0000250B0000}"/>
    <cellStyle name="Normal 2 7 43" xfId="1775" xr:uid="{00000000-0005-0000-0000-0000260B0000}"/>
    <cellStyle name="Normal 2 7 44" xfId="1776" xr:uid="{00000000-0005-0000-0000-0000270B0000}"/>
    <cellStyle name="Normal 2 7 45" xfId="1777" xr:uid="{00000000-0005-0000-0000-0000280B0000}"/>
    <cellStyle name="Normal 2 7 46" xfId="1778" xr:uid="{00000000-0005-0000-0000-0000290B0000}"/>
    <cellStyle name="Normal 2 7 47" xfId="1779" xr:uid="{00000000-0005-0000-0000-00002A0B0000}"/>
    <cellStyle name="Normal 2 7 48" xfId="1780" xr:uid="{00000000-0005-0000-0000-00002B0B0000}"/>
    <cellStyle name="Normal 2 7 49" xfId="1781" xr:uid="{00000000-0005-0000-0000-00002C0B0000}"/>
    <cellStyle name="Normal 2 7 5" xfId="1782" xr:uid="{00000000-0005-0000-0000-00002D0B0000}"/>
    <cellStyle name="Normal 2 7 50" xfId="1783" xr:uid="{00000000-0005-0000-0000-00002E0B0000}"/>
    <cellStyle name="Normal 2 7 51" xfId="1784" xr:uid="{00000000-0005-0000-0000-00002F0B0000}"/>
    <cellStyle name="Normal 2 7 52" xfId="1785" xr:uid="{00000000-0005-0000-0000-0000300B0000}"/>
    <cellStyle name="Normal 2 7 53" xfId="1786" xr:uid="{00000000-0005-0000-0000-0000310B0000}"/>
    <cellStyle name="Normal 2 7 54" xfId="1787" xr:uid="{00000000-0005-0000-0000-0000320B0000}"/>
    <cellStyle name="Normal 2 7 55" xfId="1788" xr:uid="{00000000-0005-0000-0000-0000330B0000}"/>
    <cellStyle name="Normal 2 7 6" xfId="1789" xr:uid="{00000000-0005-0000-0000-0000340B0000}"/>
    <cellStyle name="Normal 2 7 7" xfId="1790" xr:uid="{00000000-0005-0000-0000-0000350B0000}"/>
    <cellStyle name="Normal 2 7 8" xfId="1791" xr:uid="{00000000-0005-0000-0000-0000360B0000}"/>
    <cellStyle name="Normal 2 7 9" xfId="1792" xr:uid="{00000000-0005-0000-0000-0000370B0000}"/>
    <cellStyle name="Normal 2 70" xfId="1793" xr:uid="{00000000-0005-0000-0000-0000380B0000}"/>
    <cellStyle name="Normal 2 71" xfId="1794" xr:uid="{00000000-0005-0000-0000-0000390B0000}"/>
    <cellStyle name="Normal 2 72" xfId="1795" xr:uid="{00000000-0005-0000-0000-00003A0B0000}"/>
    <cellStyle name="Normal 2 73" xfId="1796" xr:uid="{00000000-0005-0000-0000-00003B0B0000}"/>
    <cellStyle name="Normal 2 73 10" xfId="1797" xr:uid="{00000000-0005-0000-0000-00003C0B0000}"/>
    <cellStyle name="Normal 2 73 11" xfId="1798" xr:uid="{00000000-0005-0000-0000-00003D0B0000}"/>
    <cellStyle name="Normal 2 73 12" xfId="1799" xr:uid="{00000000-0005-0000-0000-00003E0B0000}"/>
    <cellStyle name="Normal 2 73 13" xfId="1800" xr:uid="{00000000-0005-0000-0000-00003F0B0000}"/>
    <cellStyle name="Normal 2 73 14" xfId="1801" xr:uid="{00000000-0005-0000-0000-0000400B0000}"/>
    <cellStyle name="Normal 2 73 15" xfId="1802" xr:uid="{00000000-0005-0000-0000-0000410B0000}"/>
    <cellStyle name="Normal 2 73 16" xfId="1803" xr:uid="{00000000-0005-0000-0000-0000420B0000}"/>
    <cellStyle name="Normal 2 73 17" xfId="1804" xr:uid="{00000000-0005-0000-0000-0000430B0000}"/>
    <cellStyle name="Normal 2 73 18" xfId="1805" xr:uid="{00000000-0005-0000-0000-0000440B0000}"/>
    <cellStyle name="Normal 2 73 19" xfId="1806" xr:uid="{00000000-0005-0000-0000-0000450B0000}"/>
    <cellStyle name="Normal 2 73 2" xfId="1807" xr:uid="{00000000-0005-0000-0000-0000460B0000}"/>
    <cellStyle name="Normal 2 73 2 10" xfId="1808" xr:uid="{00000000-0005-0000-0000-0000470B0000}"/>
    <cellStyle name="Normal 2 73 2 11" xfId="1809" xr:uid="{00000000-0005-0000-0000-0000480B0000}"/>
    <cellStyle name="Normal 2 73 2 12" xfId="1810" xr:uid="{00000000-0005-0000-0000-0000490B0000}"/>
    <cellStyle name="Normal 2 73 2 13" xfId="1811" xr:uid="{00000000-0005-0000-0000-00004A0B0000}"/>
    <cellStyle name="Normal 2 73 2 14" xfId="1812" xr:uid="{00000000-0005-0000-0000-00004B0B0000}"/>
    <cellStyle name="Normal 2 73 2 15" xfId="1813" xr:uid="{00000000-0005-0000-0000-00004C0B0000}"/>
    <cellStyle name="Normal 2 73 2 16" xfId="1814" xr:uid="{00000000-0005-0000-0000-00004D0B0000}"/>
    <cellStyle name="Normal 2 73 2 17" xfId="1815" xr:uid="{00000000-0005-0000-0000-00004E0B0000}"/>
    <cellStyle name="Normal 2 73 2 18" xfId="1816" xr:uid="{00000000-0005-0000-0000-00004F0B0000}"/>
    <cellStyle name="Normal 2 73 2 19" xfId="1817" xr:uid="{00000000-0005-0000-0000-0000500B0000}"/>
    <cellStyle name="Normal 2 73 2 2" xfId="1818" xr:uid="{00000000-0005-0000-0000-0000510B0000}"/>
    <cellStyle name="Normal 2 73 2 20" xfId="1819" xr:uid="{00000000-0005-0000-0000-0000520B0000}"/>
    <cellStyle name="Normal 2 73 2 21" xfId="1820" xr:uid="{00000000-0005-0000-0000-0000530B0000}"/>
    <cellStyle name="Normal 2 73 2 22" xfId="1821" xr:uid="{00000000-0005-0000-0000-0000540B0000}"/>
    <cellStyle name="Normal 2 73 2 23" xfId="1822" xr:uid="{00000000-0005-0000-0000-0000550B0000}"/>
    <cellStyle name="Normal 2 73 2 24" xfId="1823" xr:uid="{00000000-0005-0000-0000-0000560B0000}"/>
    <cellStyle name="Normal 2 73 2 3" xfId="1824" xr:uid="{00000000-0005-0000-0000-0000570B0000}"/>
    <cellStyle name="Normal 2 73 2 4" xfId="1825" xr:uid="{00000000-0005-0000-0000-0000580B0000}"/>
    <cellStyle name="Normal 2 73 2 5" xfId="1826" xr:uid="{00000000-0005-0000-0000-0000590B0000}"/>
    <cellStyle name="Normal 2 73 2 6" xfId="1827" xr:uid="{00000000-0005-0000-0000-00005A0B0000}"/>
    <cellStyle name="Normal 2 73 2 7" xfId="1828" xr:uid="{00000000-0005-0000-0000-00005B0B0000}"/>
    <cellStyle name="Normal 2 73 2 8" xfId="1829" xr:uid="{00000000-0005-0000-0000-00005C0B0000}"/>
    <cellStyle name="Normal 2 73 2 9" xfId="1830" xr:uid="{00000000-0005-0000-0000-00005D0B0000}"/>
    <cellStyle name="Normal 2 73 20" xfId="1831" xr:uid="{00000000-0005-0000-0000-00005E0B0000}"/>
    <cellStyle name="Normal 2 73 21" xfId="1832" xr:uid="{00000000-0005-0000-0000-00005F0B0000}"/>
    <cellStyle name="Normal 2 73 22" xfId="1833" xr:uid="{00000000-0005-0000-0000-0000600B0000}"/>
    <cellStyle name="Normal 2 73 23" xfId="1834" xr:uid="{00000000-0005-0000-0000-0000610B0000}"/>
    <cellStyle name="Normal 2 73 24" xfId="1835" xr:uid="{00000000-0005-0000-0000-0000620B0000}"/>
    <cellStyle name="Normal 2 73 3" xfId="1836" xr:uid="{00000000-0005-0000-0000-0000630B0000}"/>
    <cellStyle name="Normal 2 73 4" xfId="1837" xr:uid="{00000000-0005-0000-0000-0000640B0000}"/>
    <cellStyle name="Normal 2 73 5" xfId="1838" xr:uid="{00000000-0005-0000-0000-0000650B0000}"/>
    <cellStyle name="Normal 2 73 6" xfId="1839" xr:uid="{00000000-0005-0000-0000-0000660B0000}"/>
    <cellStyle name="Normal 2 73 7" xfId="1840" xr:uid="{00000000-0005-0000-0000-0000670B0000}"/>
    <cellStyle name="Normal 2 73 8" xfId="1841" xr:uid="{00000000-0005-0000-0000-0000680B0000}"/>
    <cellStyle name="Normal 2 73 9" xfId="1842" xr:uid="{00000000-0005-0000-0000-0000690B0000}"/>
    <cellStyle name="Normal 2 74" xfId="1843" xr:uid="{00000000-0005-0000-0000-00006A0B0000}"/>
    <cellStyle name="Normal 2 75" xfId="1844" xr:uid="{00000000-0005-0000-0000-00006B0B0000}"/>
    <cellStyle name="Normal 2 76" xfId="1845" xr:uid="{00000000-0005-0000-0000-00006C0B0000}"/>
    <cellStyle name="Normal 2 77" xfId="1846" xr:uid="{00000000-0005-0000-0000-00006D0B0000}"/>
    <cellStyle name="Normal 2 78" xfId="1847" xr:uid="{00000000-0005-0000-0000-00006E0B0000}"/>
    <cellStyle name="Normal 2 79" xfId="1848" xr:uid="{00000000-0005-0000-0000-00006F0B0000}"/>
    <cellStyle name="Normal 2 8" xfId="1849" xr:uid="{00000000-0005-0000-0000-0000700B0000}"/>
    <cellStyle name="Normal 2 8 10" xfId="1850" xr:uid="{00000000-0005-0000-0000-0000710B0000}"/>
    <cellStyle name="Normal 2 8 11" xfId="1851" xr:uid="{00000000-0005-0000-0000-0000720B0000}"/>
    <cellStyle name="Normal 2 8 12" xfId="1852" xr:uid="{00000000-0005-0000-0000-0000730B0000}"/>
    <cellStyle name="Normal 2 8 13" xfId="1853" xr:uid="{00000000-0005-0000-0000-0000740B0000}"/>
    <cellStyle name="Normal 2 8 14" xfId="1854" xr:uid="{00000000-0005-0000-0000-0000750B0000}"/>
    <cellStyle name="Normal 2 8 15" xfId="1855" xr:uid="{00000000-0005-0000-0000-0000760B0000}"/>
    <cellStyle name="Normal 2 8 16" xfId="1856" xr:uid="{00000000-0005-0000-0000-0000770B0000}"/>
    <cellStyle name="Normal 2 8 17" xfId="1857" xr:uid="{00000000-0005-0000-0000-0000780B0000}"/>
    <cellStyle name="Normal 2 8 18" xfId="1858" xr:uid="{00000000-0005-0000-0000-0000790B0000}"/>
    <cellStyle name="Normal 2 8 19" xfId="1859" xr:uid="{00000000-0005-0000-0000-00007A0B0000}"/>
    <cellStyle name="Normal 2 8 2" xfId="1860" xr:uid="{00000000-0005-0000-0000-00007B0B0000}"/>
    <cellStyle name="Normal 2 8 20" xfId="1861" xr:uid="{00000000-0005-0000-0000-00007C0B0000}"/>
    <cellStyle name="Normal 2 8 21" xfId="1862" xr:uid="{00000000-0005-0000-0000-00007D0B0000}"/>
    <cellStyle name="Normal 2 8 22" xfId="1863" xr:uid="{00000000-0005-0000-0000-00007E0B0000}"/>
    <cellStyle name="Normal 2 8 23" xfId="1864" xr:uid="{00000000-0005-0000-0000-00007F0B0000}"/>
    <cellStyle name="Normal 2 8 24" xfId="1865" xr:uid="{00000000-0005-0000-0000-0000800B0000}"/>
    <cellStyle name="Normal 2 8 25" xfId="1866" xr:uid="{00000000-0005-0000-0000-0000810B0000}"/>
    <cellStyle name="Normal 2 8 26" xfId="1867" xr:uid="{00000000-0005-0000-0000-0000820B0000}"/>
    <cellStyle name="Normal 2 8 27" xfId="1868" xr:uid="{00000000-0005-0000-0000-0000830B0000}"/>
    <cellStyle name="Normal 2 8 28" xfId="1869" xr:uid="{00000000-0005-0000-0000-0000840B0000}"/>
    <cellStyle name="Normal 2 8 29" xfId="1870" xr:uid="{00000000-0005-0000-0000-0000850B0000}"/>
    <cellStyle name="Normal 2 8 3" xfId="1871" xr:uid="{00000000-0005-0000-0000-0000860B0000}"/>
    <cellStyle name="Normal 2 8 30" xfId="1872" xr:uid="{00000000-0005-0000-0000-0000870B0000}"/>
    <cellStyle name="Normal 2 8 31" xfId="1873" xr:uid="{00000000-0005-0000-0000-0000880B0000}"/>
    <cellStyle name="Normal 2 8 32" xfId="1874" xr:uid="{00000000-0005-0000-0000-0000890B0000}"/>
    <cellStyle name="Normal 2 8 33" xfId="1875" xr:uid="{00000000-0005-0000-0000-00008A0B0000}"/>
    <cellStyle name="Normal 2 8 34" xfId="1876" xr:uid="{00000000-0005-0000-0000-00008B0B0000}"/>
    <cellStyle name="Normal 2 8 35" xfId="1877" xr:uid="{00000000-0005-0000-0000-00008C0B0000}"/>
    <cellStyle name="Normal 2 8 36" xfId="1878" xr:uid="{00000000-0005-0000-0000-00008D0B0000}"/>
    <cellStyle name="Normal 2 8 37" xfId="1879" xr:uid="{00000000-0005-0000-0000-00008E0B0000}"/>
    <cellStyle name="Normal 2 8 38" xfId="1880" xr:uid="{00000000-0005-0000-0000-00008F0B0000}"/>
    <cellStyle name="Normal 2 8 39" xfId="1881" xr:uid="{00000000-0005-0000-0000-0000900B0000}"/>
    <cellStyle name="Normal 2 8 4" xfId="1882" xr:uid="{00000000-0005-0000-0000-0000910B0000}"/>
    <cellStyle name="Normal 2 8 40" xfId="1883" xr:uid="{00000000-0005-0000-0000-0000920B0000}"/>
    <cellStyle name="Normal 2 8 41" xfId="1884" xr:uid="{00000000-0005-0000-0000-0000930B0000}"/>
    <cellStyle name="Normal 2 8 42" xfId="1885" xr:uid="{00000000-0005-0000-0000-0000940B0000}"/>
    <cellStyle name="Normal 2 8 43" xfId="1886" xr:uid="{00000000-0005-0000-0000-0000950B0000}"/>
    <cellStyle name="Normal 2 8 44" xfId="1887" xr:uid="{00000000-0005-0000-0000-0000960B0000}"/>
    <cellStyle name="Normal 2 8 45" xfId="1888" xr:uid="{00000000-0005-0000-0000-0000970B0000}"/>
    <cellStyle name="Normal 2 8 46" xfId="1889" xr:uid="{00000000-0005-0000-0000-0000980B0000}"/>
    <cellStyle name="Normal 2 8 47" xfId="1890" xr:uid="{00000000-0005-0000-0000-0000990B0000}"/>
    <cellStyle name="Normal 2 8 48" xfId="1891" xr:uid="{00000000-0005-0000-0000-00009A0B0000}"/>
    <cellStyle name="Normal 2 8 49" xfId="1892" xr:uid="{00000000-0005-0000-0000-00009B0B0000}"/>
    <cellStyle name="Normal 2 8 5" xfId="1893" xr:uid="{00000000-0005-0000-0000-00009C0B0000}"/>
    <cellStyle name="Normal 2 8 50" xfId="1894" xr:uid="{00000000-0005-0000-0000-00009D0B0000}"/>
    <cellStyle name="Normal 2 8 51" xfId="1895" xr:uid="{00000000-0005-0000-0000-00009E0B0000}"/>
    <cellStyle name="Normal 2 8 52" xfId="1896" xr:uid="{00000000-0005-0000-0000-00009F0B0000}"/>
    <cellStyle name="Normal 2 8 53" xfId="1897" xr:uid="{00000000-0005-0000-0000-0000A00B0000}"/>
    <cellStyle name="Normal 2 8 54" xfId="1898" xr:uid="{00000000-0005-0000-0000-0000A10B0000}"/>
    <cellStyle name="Normal 2 8 55" xfId="1899" xr:uid="{00000000-0005-0000-0000-0000A20B0000}"/>
    <cellStyle name="Normal 2 8 6" xfId="1900" xr:uid="{00000000-0005-0000-0000-0000A30B0000}"/>
    <cellStyle name="Normal 2 8 7" xfId="1901" xr:uid="{00000000-0005-0000-0000-0000A40B0000}"/>
    <cellStyle name="Normal 2 8 8" xfId="1902" xr:uid="{00000000-0005-0000-0000-0000A50B0000}"/>
    <cellStyle name="Normal 2 8 9" xfId="1903" xr:uid="{00000000-0005-0000-0000-0000A60B0000}"/>
    <cellStyle name="Normal 2 80" xfId="1904" xr:uid="{00000000-0005-0000-0000-0000A70B0000}"/>
    <cellStyle name="Normal 2 81" xfId="1905" xr:uid="{00000000-0005-0000-0000-0000A80B0000}"/>
    <cellStyle name="Normal 2 82" xfId="1906" xr:uid="{00000000-0005-0000-0000-0000A90B0000}"/>
    <cellStyle name="Normal 2 83" xfId="1907" xr:uid="{00000000-0005-0000-0000-0000AA0B0000}"/>
    <cellStyle name="Normal 2 84" xfId="1908" xr:uid="{00000000-0005-0000-0000-0000AB0B0000}"/>
    <cellStyle name="Normal 2 85" xfId="1909" xr:uid="{00000000-0005-0000-0000-0000AC0B0000}"/>
    <cellStyle name="Normal 2 86" xfId="1910" xr:uid="{00000000-0005-0000-0000-0000AD0B0000}"/>
    <cellStyle name="Normal 2 87" xfId="1911" xr:uid="{00000000-0005-0000-0000-0000AE0B0000}"/>
    <cellStyle name="Normal 2 88" xfId="1912" xr:uid="{00000000-0005-0000-0000-0000AF0B0000}"/>
    <cellStyle name="Normal 2 89" xfId="1913" xr:uid="{00000000-0005-0000-0000-0000B00B0000}"/>
    <cellStyle name="Normal 2 9" xfId="1914" xr:uid="{00000000-0005-0000-0000-0000B10B0000}"/>
    <cellStyle name="Normal 2 9 10" xfId="1915" xr:uid="{00000000-0005-0000-0000-0000B20B0000}"/>
    <cellStyle name="Normal 2 9 11" xfId="1916" xr:uid="{00000000-0005-0000-0000-0000B30B0000}"/>
    <cellStyle name="Normal 2 9 12" xfId="1917" xr:uid="{00000000-0005-0000-0000-0000B40B0000}"/>
    <cellStyle name="Normal 2 9 13" xfId="1918" xr:uid="{00000000-0005-0000-0000-0000B50B0000}"/>
    <cellStyle name="Normal 2 9 14" xfId="1919" xr:uid="{00000000-0005-0000-0000-0000B60B0000}"/>
    <cellStyle name="Normal 2 9 15" xfId="1920" xr:uid="{00000000-0005-0000-0000-0000B70B0000}"/>
    <cellStyle name="Normal 2 9 16" xfId="1921" xr:uid="{00000000-0005-0000-0000-0000B80B0000}"/>
    <cellStyle name="Normal 2 9 17" xfId="1922" xr:uid="{00000000-0005-0000-0000-0000B90B0000}"/>
    <cellStyle name="Normal 2 9 18" xfId="1923" xr:uid="{00000000-0005-0000-0000-0000BA0B0000}"/>
    <cellStyle name="Normal 2 9 19" xfId="1924" xr:uid="{00000000-0005-0000-0000-0000BB0B0000}"/>
    <cellStyle name="Normal 2 9 2" xfId="1925" xr:uid="{00000000-0005-0000-0000-0000BC0B0000}"/>
    <cellStyle name="Normal 2 9 20" xfId="1926" xr:uid="{00000000-0005-0000-0000-0000BD0B0000}"/>
    <cellStyle name="Normal 2 9 21" xfId="1927" xr:uid="{00000000-0005-0000-0000-0000BE0B0000}"/>
    <cellStyle name="Normal 2 9 22" xfId="1928" xr:uid="{00000000-0005-0000-0000-0000BF0B0000}"/>
    <cellStyle name="Normal 2 9 23" xfId="1929" xr:uid="{00000000-0005-0000-0000-0000C00B0000}"/>
    <cellStyle name="Normal 2 9 24" xfId="1930" xr:uid="{00000000-0005-0000-0000-0000C10B0000}"/>
    <cellStyle name="Normal 2 9 25" xfId="1931" xr:uid="{00000000-0005-0000-0000-0000C20B0000}"/>
    <cellStyle name="Normal 2 9 26" xfId="1932" xr:uid="{00000000-0005-0000-0000-0000C30B0000}"/>
    <cellStyle name="Normal 2 9 27" xfId="1933" xr:uid="{00000000-0005-0000-0000-0000C40B0000}"/>
    <cellStyle name="Normal 2 9 28" xfId="1934" xr:uid="{00000000-0005-0000-0000-0000C50B0000}"/>
    <cellStyle name="Normal 2 9 29" xfId="1935" xr:uid="{00000000-0005-0000-0000-0000C60B0000}"/>
    <cellStyle name="Normal 2 9 3" xfId="1936" xr:uid="{00000000-0005-0000-0000-0000C70B0000}"/>
    <cellStyle name="Normal 2 9 30" xfId="1937" xr:uid="{00000000-0005-0000-0000-0000C80B0000}"/>
    <cellStyle name="Normal 2 9 31" xfId="1938" xr:uid="{00000000-0005-0000-0000-0000C90B0000}"/>
    <cellStyle name="Normal 2 9 32" xfId="1939" xr:uid="{00000000-0005-0000-0000-0000CA0B0000}"/>
    <cellStyle name="Normal 2 9 33" xfId="1940" xr:uid="{00000000-0005-0000-0000-0000CB0B0000}"/>
    <cellStyle name="Normal 2 9 34" xfId="1941" xr:uid="{00000000-0005-0000-0000-0000CC0B0000}"/>
    <cellStyle name="Normal 2 9 35" xfId="1942" xr:uid="{00000000-0005-0000-0000-0000CD0B0000}"/>
    <cellStyle name="Normal 2 9 36" xfId="1943" xr:uid="{00000000-0005-0000-0000-0000CE0B0000}"/>
    <cellStyle name="Normal 2 9 37" xfId="1944" xr:uid="{00000000-0005-0000-0000-0000CF0B0000}"/>
    <cellStyle name="Normal 2 9 38" xfId="1945" xr:uid="{00000000-0005-0000-0000-0000D00B0000}"/>
    <cellStyle name="Normal 2 9 39" xfId="1946" xr:uid="{00000000-0005-0000-0000-0000D10B0000}"/>
    <cellStyle name="Normal 2 9 4" xfId="1947" xr:uid="{00000000-0005-0000-0000-0000D20B0000}"/>
    <cellStyle name="Normal 2 9 40" xfId="1948" xr:uid="{00000000-0005-0000-0000-0000D30B0000}"/>
    <cellStyle name="Normal 2 9 41" xfId="1949" xr:uid="{00000000-0005-0000-0000-0000D40B0000}"/>
    <cellStyle name="Normal 2 9 42" xfId="1950" xr:uid="{00000000-0005-0000-0000-0000D50B0000}"/>
    <cellStyle name="Normal 2 9 43" xfId="1951" xr:uid="{00000000-0005-0000-0000-0000D60B0000}"/>
    <cellStyle name="Normal 2 9 44" xfId="1952" xr:uid="{00000000-0005-0000-0000-0000D70B0000}"/>
    <cellStyle name="Normal 2 9 45" xfId="1953" xr:uid="{00000000-0005-0000-0000-0000D80B0000}"/>
    <cellStyle name="Normal 2 9 46" xfId="1954" xr:uid="{00000000-0005-0000-0000-0000D90B0000}"/>
    <cellStyle name="Normal 2 9 47" xfId="1955" xr:uid="{00000000-0005-0000-0000-0000DA0B0000}"/>
    <cellStyle name="Normal 2 9 48" xfId="1956" xr:uid="{00000000-0005-0000-0000-0000DB0B0000}"/>
    <cellStyle name="Normal 2 9 49" xfId="1957" xr:uid="{00000000-0005-0000-0000-0000DC0B0000}"/>
    <cellStyle name="Normal 2 9 5" xfId="1958" xr:uid="{00000000-0005-0000-0000-0000DD0B0000}"/>
    <cellStyle name="Normal 2 9 50" xfId="1959" xr:uid="{00000000-0005-0000-0000-0000DE0B0000}"/>
    <cellStyle name="Normal 2 9 51" xfId="1960" xr:uid="{00000000-0005-0000-0000-0000DF0B0000}"/>
    <cellStyle name="Normal 2 9 52" xfId="1961" xr:uid="{00000000-0005-0000-0000-0000E00B0000}"/>
    <cellStyle name="Normal 2 9 53" xfId="1962" xr:uid="{00000000-0005-0000-0000-0000E10B0000}"/>
    <cellStyle name="Normal 2 9 54" xfId="1963" xr:uid="{00000000-0005-0000-0000-0000E20B0000}"/>
    <cellStyle name="Normal 2 9 55" xfId="1964" xr:uid="{00000000-0005-0000-0000-0000E30B0000}"/>
    <cellStyle name="Normal 2 9 6" xfId="1965" xr:uid="{00000000-0005-0000-0000-0000E40B0000}"/>
    <cellStyle name="Normal 2 9 7" xfId="1966" xr:uid="{00000000-0005-0000-0000-0000E50B0000}"/>
    <cellStyle name="Normal 2 9 8" xfId="1967" xr:uid="{00000000-0005-0000-0000-0000E60B0000}"/>
    <cellStyle name="Normal 2 9 9" xfId="1968" xr:uid="{00000000-0005-0000-0000-0000E70B0000}"/>
    <cellStyle name="Normal 2 90" xfId="1969" xr:uid="{00000000-0005-0000-0000-0000E80B0000}"/>
    <cellStyle name="Normal 2 91" xfId="1970" xr:uid="{00000000-0005-0000-0000-0000E90B0000}"/>
    <cellStyle name="Normal 2 92" xfId="1971" xr:uid="{00000000-0005-0000-0000-0000EA0B0000}"/>
    <cellStyle name="Normal 2 93" xfId="1972" xr:uid="{00000000-0005-0000-0000-0000EB0B0000}"/>
    <cellStyle name="Normal 2 94" xfId="1973" xr:uid="{00000000-0005-0000-0000-0000EC0B0000}"/>
    <cellStyle name="Normal 2 95" xfId="1974" xr:uid="{00000000-0005-0000-0000-0000ED0B0000}"/>
    <cellStyle name="Normal 2 96" xfId="1975" xr:uid="{00000000-0005-0000-0000-0000EE0B0000}"/>
    <cellStyle name="Normal 2 97" xfId="1976" xr:uid="{00000000-0005-0000-0000-0000EF0B0000}"/>
    <cellStyle name="Normal 2 98" xfId="1977" xr:uid="{00000000-0005-0000-0000-0000F00B0000}"/>
    <cellStyle name="Normal 2 99" xfId="1978" xr:uid="{00000000-0005-0000-0000-0000F10B0000}"/>
    <cellStyle name="Normal 2_GMVAs" xfId="4300" xr:uid="{00000000-0005-0000-0000-0000F20B0000}"/>
    <cellStyle name="Normal 20" xfId="4301" xr:uid="{00000000-0005-0000-0000-0000F30B0000}"/>
    <cellStyle name="Normal 20 2" xfId="4302" xr:uid="{00000000-0005-0000-0000-0000F40B0000}"/>
    <cellStyle name="Normal 21" xfId="4303" xr:uid="{00000000-0005-0000-0000-0000F50B0000}"/>
    <cellStyle name="Normal 21 2" xfId="4304" xr:uid="{00000000-0005-0000-0000-0000F60B0000}"/>
    <cellStyle name="Normal 22" xfId="4305" xr:uid="{00000000-0005-0000-0000-0000F70B0000}"/>
    <cellStyle name="Normal 22 2" xfId="4306" xr:uid="{00000000-0005-0000-0000-0000F80B0000}"/>
    <cellStyle name="Normal 23" xfId="4307" xr:uid="{00000000-0005-0000-0000-0000F90B0000}"/>
    <cellStyle name="Normal 23 2" xfId="4308" xr:uid="{00000000-0005-0000-0000-0000FA0B0000}"/>
    <cellStyle name="Normal 24" xfId="4309" xr:uid="{00000000-0005-0000-0000-0000FB0B0000}"/>
    <cellStyle name="Normal 24 2" xfId="4310" xr:uid="{00000000-0005-0000-0000-0000FC0B0000}"/>
    <cellStyle name="Normal 25" xfId="4311" xr:uid="{00000000-0005-0000-0000-0000FD0B0000}"/>
    <cellStyle name="Normal 25 2" xfId="4312" xr:uid="{00000000-0005-0000-0000-0000FE0B0000}"/>
    <cellStyle name="Normal 26" xfId="4313" xr:uid="{00000000-0005-0000-0000-0000FF0B0000}"/>
    <cellStyle name="Normal 26 2" xfId="4314" xr:uid="{00000000-0005-0000-0000-0000000C0000}"/>
    <cellStyle name="Normal 27" xfId="4315" xr:uid="{00000000-0005-0000-0000-0000010C0000}"/>
    <cellStyle name="Normal 27 2" xfId="4316" xr:uid="{00000000-0005-0000-0000-0000020C0000}"/>
    <cellStyle name="Normal 28" xfId="4317" xr:uid="{00000000-0005-0000-0000-0000030C0000}"/>
    <cellStyle name="Normal 28 2" xfId="4318" xr:uid="{00000000-0005-0000-0000-0000040C0000}"/>
    <cellStyle name="Normal 29" xfId="4319" xr:uid="{00000000-0005-0000-0000-0000050C0000}"/>
    <cellStyle name="Normal 29 2" xfId="4320" xr:uid="{00000000-0005-0000-0000-0000060C0000}"/>
    <cellStyle name="Normal 29 3" xfId="4321" xr:uid="{00000000-0005-0000-0000-0000070C0000}"/>
    <cellStyle name="Normal 3" xfId="3" xr:uid="{00000000-0005-0000-0000-0000080C0000}"/>
    <cellStyle name="Normal 3 2" xfId="1979" xr:uid="{00000000-0005-0000-0000-0000090C0000}"/>
    <cellStyle name="Normal 3 2 2" xfId="1980" xr:uid="{00000000-0005-0000-0000-00000A0C0000}"/>
    <cellStyle name="Normal 3 2 2 2" xfId="1981" xr:uid="{00000000-0005-0000-0000-00000B0C0000}"/>
    <cellStyle name="Normal 3 2 3" xfId="1982" xr:uid="{00000000-0005-0000-0000-00000C0C0000}"/>
    <cellStyle name="Normal 3 2 4" xfId="1983" xr:uid="{00000000-0005-0000-0000-00000D0C0000}"/>
    <cellStyle name="Normal 3 2 5" xfId="1984" xr:uid="{00000000-0005-0000-0000-00000E0C0000}"/>
    <cellStyle name="Normal 3 3" xfId="77" xr:uid="{00000000-0005-0000-0000-00000F0C0000}"/>
    <cellStyle name="Normal 3 3 2" xfId="1985" xr:uid="{00000000-0005-0000-0000-0000100C0000}"/>
    <cellStyle name="Normal 3 4" xfId="1986" xr:uid="{00000000-0005-0000-0000-0000110C0000}"/>
    <cellStyle name="Normal 3 4 10" xfId="1987" xr:uid="{00000000-0005-0000-0000-0000120C0000}"/>
    <cellStyle name="Normal 3 4 11" xfId="1988" xr:uid="{00000000-0005-0000-0000-0000130C0000}"/>
    <cellStyle name="Normal 3 4 12" xfId="1989" xr:uid="{00000000-0005-0000-0000-0000140C0000}"/>
    <cellStyle name="Normal 3 4 13" xfId="1990" xr:uid="{00000000-0005-0000-0000-0000150C0000}"/>
    <cellStyle name="Normal 3 4 14" xfId="1991" xr:uid="{00000000-0005-0000-0000-0000160C0000}"/>
    <cellStyle name="Normal 3 4 15" xfId="1992" xr:uid="{00000000-0005-0000-0000-0000170C0000}"/>
    <cellStyle name="Normal 3 4 16" xfId="1993" xr:uid="{00000000-0005-0000-0000-0000180C0000}"/>
    <cellStyle name="Normal 3 4 17" xfId="1994" xr:uid="{00000000-0005-0000-0000-0000190C0000}"/>
    <cellStyle name="Normal 3 4 18" xfId="1995" xr:uid="{00000000-0005-0000-0000-00001A0C0000}"/>
    <cellStyle name="Normal 3 4 19" xfId="1996" xr:uid="{00000000-0005-0000-0000-00001B0C0000}"/>
    <cellStyle name="Normal 3 4 2" xfId="1997" xr:uid="{00000000-0005-0000-0000-00001C0C0000}"/>
    <cellStyle name="Normal 3 4 20" xfId="1998" xr:uid="{00000000-0005-0000-0000-00001D0C0000}"/>
    <cellStyle name="Normal 3 4 21" xfId="1999" xr:uid="{00000000-0005-0000-0000-00001E0C0000}"/>
    <cellStyle name="Normal 3 4 22" xfId="2000" xr:uid="{00000000-0005-0000-0000-00001F0C0000}"/>
    <cellStyle name="Normal 3 4 23" xfId="2001" xr:uid="{00000000-0005-0000-0000-0000200C0000}"/>
    <cellStyle name="Normal 3 4 24" xfId="2002" xr:uid="{00000000-0005-0000-0000-0000210C0000}"/>
    <cellStyle name="Normal 3 4 25" xfId="2003" xr:uid="{00000000-0005-0000-0000-0000220C0000}"/>
    <cellStyle name="Normal 3 4 26" xfId="2004" xr:uid="{00000000-0005-0000-0000-0000230C0000}"/>
    <cellStyle name="Normal 3 4 27" xfId="2005" xr:uid="{00000000-0005-0000-0000-0000240C0000}"/>
    <cellStyle name="Normal 3 4 28" xfId="2006" xr:uid="{00000000-0005-0000-0000-0000250C0000}"/>
    <cellStyle name="Normal 3 4 29" xfId="2007" xr:uid="{00000000-0005-0000-0000-0000260C0000}"/>
    <cellStyle name="Normal 3 4 3" xfId="2008" xr:uid="{00000000-0005-0000-0000-0000270C0000}"/>
    <cellStyle name="Normal 3 4 30" xfId="2009" xr:uid="{00000000-0005-0000-0000-0000280C0000}"/>
    <cellStyle name="Normal 3 4 31" xfId="2010" xr:uid="{00000000-0005-0000-0000-0000290C0000}"/>
    <cellStyle name="Normal 3 4 32" xfId="2011" xr:uid="{00000000-0005-0000-0000-00002A0C0000}"/>
    <cellStyle name="Normal 3 4 33" xfId="2012" xr:uid="{00000000-0005-0000-0000-00002B0C0000}"/>
    <cellStyle name="Normal 3 4 34" xfId="2013" xr:uid="{00000000-0005-0000-0000-00002C0C0000}"/>
    <cellStyle name="Normal 3 4 35" xfId="2014" xr:uid="{00000000-0005-0000-0000-00002D0C0000}"/>
    <cellStyle name="Normal 3 4 36" xfId="2015" xr:uid="{00000000-0005-0000-0000-00002E0C0000}"/>
    <cellStyle name="Normal 3 4 37" xfId="2016" xr:uid="{00000000-0005-0000-0000-00002F0C0000}"/>
    <cellStyle name="Normal 3 4 38" xfId="2017" xr:uid="{00000000-0005-0000-0000-0000300C0000}"/>
    <cellStyle name="Normal 3 4 39" xfId="2018" xr:uid="{00000000-0005-0000-0000-0000310C0000}"/>
    <cellStyle name="Normal 3 4 4" xfId="2019" xr:uid="{00000000-0005-0000-0000-0000320C0000}"/>
    <cellStyle name="Normal 3 4 40" xfId="2020" xr:uid="{00000000-0005-0000-0000-0000330C0000}"/>
    <cellStyle name="Normal 3 4 41" xfId="2021" xr:uid="{00000000-0005-0000-0000-0000340C0000}"/>
    <cellStyle name="Normal 3 4 42" xfId="2022" xr:uid="{00000000-0005-0000-0000-0000350C0000}"/>
    <cellStyle name="Normal 3 4 43" xfId="2023" xr:uid="{00000000-0005-0000-0000-0000360C0000}"/>
    <cellStyle name="Normal 3 4 44" xfId="2024" xr:uid="{00000000-0005-0000-0000-0000370C0000}"/>
    <cellStyle name="Normal 3 4 45" xfId="2025" xr:uid="{00000000-0005-0000-0000-0000380C0000}"/>
    <cellStyle name="Normal 3 4 46" xfId="2026" xr:uid="{00000000-0005-0000-0000-0000390C0000}"/>
    <cellStyle name="Normal 3 4 47" xfId="2027" xr:uid="{00000000-0005-0000-0000-00003A0C0000}"/>
    <cellStyle name="Normal 3 4 48" xfId="2028" xr:uid="{00000000-0005-0000-0000-00003B0C0000}"/>
    <cellStyle name="Normal 3 4 49" xfId="2029" xr:uid="{00000000-0005-0000-0000-00003C0C0000}"/>
    <cellStyle name="Normal 3 4 5" xfId="2030" xr:uid="{00000000-0005-0000-0000-00003D0C0000}"/>
    <cellStyle name="Normal 3 4 50" xfId="2031" xr:uid="{00000000-0005-0000-0000-00003E0C0000}"/>
    <cellStyle name="Normal 3 4 51" xfId="2032" xr:uid="{00000000-0005-0000-0000-00003F0C0000}"/>
    <cellStyle name="Normal 3 4 52" xfId="2033" xr:uid="{00000000-0005-0000-0000-0000400C0000}"/>
    <cellStyle name="Normal 3 4 53" xfId="2034" xr:uid="{00000000-0005-0000-0000-0000410C0000}"/>
    <cellStyle name="Normal 3 4 54" xfId="2035" xr:uid="{00000000-0005-0000-0000-0000420C0000}"/>
    <cellStyle name="Normal 3 4 55" xfId="2036" xr:uid="{00000000-0005-0000-0000-0000430C0000}"/>
    <cellStyle name="Normal 3 4 56" xfId="4322" xr:uid="{00000000-0005-0000-0000-0000440C0000}"/>
    <cellStyle name="Normal 3 4 57" xfId="4613" xr:uid="{00000000-0005-0000-0000-0000450C0000}"/>
    <cellStyle name="Normal 3 4 6" xfId="2037" xr:uid="{00000000-0005-0000-0000-0000460C0000}"/>
    <cellStyle name="Normal 3 4 7" xfId="2038" xr:uid="{00000000-0005-0000-0000-0000470C0000}"/>
    <cellStyle name="Normal 3 4 8" xfId="2039" xr:uid="{00000000-0005-0000-0000-0000480C0000}"/>
    <cellStyle name="Normal 3 4 9" xfId="2040" xr:uid="{00000000-0005-0000-0000-0000490C0000}"/>
    <cellStyle name="Normal 3 5" xfId="2041" xr:uid="{00000000-0005-0000-0000-00004A0C0000}"/>
    <cellStyle name="Normal 3 6" xfId="2042" xr:uid="{00000000-0005-0000-0000-00004B0C0000}"/>
    <cellStyle name="Normal 30" xfId="4323" xr:uid="{00000000-0005-0000-0000-00004C0C0000}"/>
    <cellStyle name="Normal 31" xfId="4324" xr:uid="{00000000-0005-0000-0000-00004D0C0000}"/>
    <cellStyle name="Normal 32" xfId="4325" xr:uid="{00000000-0005-0000-0000-00004E0C0000}"/>
    <cellStyle name="Normal 33" xfId="4326" xr:uid="{00000000-0005-0000-0000-00004F0C0000}"/>
    <cellStyle name="Normal 34" xfId="4327" xr:uid="{00000000-0005-0000-0000-0000500C0000}"/>
    <cellStyle name="Normal 35" xfId="4958" xr:uid="{00000000-0005-0000-0000-0000510C0000}"/>
    <cellStyle name="Normal 36" xfId="4956" xr:uid="{00000000-0005-0000-0000-0000520C0000}"/>
    <cellStyle name="Normal 36 2" xfId="4985" xr:uid="{00000000-0005-0000-0000-0000530C0000}"/>
    <cellStyle name="Normal 37" xfId="4983" xr:uid="{00000000-0005-0000-0000-0000540C0000}"/>
    <cellStyle name="Normal 38" xfId="4984" xr:uid="{00000000-0005-0000-0000-0000550C0000}"/>
    <cellStyle name="Normal 38 2" xfId="4990" xr:uid="{00000000-0005-0000-0000-0000560C0000}"/>
    <cellStyle name="Normal 39" xfId="4980" xr:uid="{00000000-0005-0000-0000-0000570C0000}"/>
    <cellStyle name="Normal 39 2" xfId="4989" xr:uid="{00000000-0005-0000-0000-0000580C0000}"/>
    <cellStyle name="Normal 4" xfId="78" xr:uid="{00000000-0005-0000-0000-0000590C0000}"/>
    <cellStyle name="Normal 4 10" xfId="2043" xr:uid="{00000000-0005-0000-0000-00005A0C0000}"/>
    <cellStyle name="Normal 4 100" xfId="4936" xr:uid="{00000000-0005-0000-0000-00005B0C0000}"/>
    <cellStyle name="Normal 4 101" xfId="5015" xr:uid="{00000000-0005-0000-0000-00005C0C0000}"/>
    <cellStyle name="Normal 4 11" xfId="2044" xr:uid="{00000000-0005-0000-0000-00005D0C0000}"/>
    <cellStyle name="Normal 4 12" xfId="2045" xr:uid="{00000000-0005-0000-0000-00005E0C0000}"/>
    <cellStyle name="Normal 4 13" xfId="2046" xr:uid="{00000000-0005-0000-0000-00005F0C0000}"/>
    <cellStyle name="Normal 4 14" xfId="2047" xr:uid="{00000000-0005-0000-0000-0000600C0000}"/>
    <cellStyle name="Normal 4 15" xfId="2048" xr:uid="{00000000-0005-0000-0000-0000610C0000}"/>
    <cellStyle name="Normal 4 16" xfId="2049" xr:uid="{00000000-0005-0000-0000-0000620C0000}"/>
    <cellStyle name="Normal 4 17" xfId="2050" xr:uid="{00000000-0005-0000-0000-0000630C0000}"/>
    <cellStyle name="Normal 4 18" xfId="2051" xr:uid="{00000000-0005-0000-0000-0000640C0000}"/>
    <cellStyle name="Normal 4 19" xfId="2052" xr:uid="{00000000-0005-0000-0000-0000650C0000}"/>
    <cellStyle name="Normal 4 2" xfId="156" xr:uid="{00000000-0005-0000-0000-0000660C0000}"/>
    <cellStyle name="Normal 4 2 2" xfId="2053" xr:uid="{00000000-0005-0000-0000-0000670C0000}"/>
    <cellStyle name="Normal 4 2 2 2" xfId="4329" xr:uid="{00000000-0005-0000-0000-0000680C0000}"/>
    <cellStyle name="Normal 4 2 2 2 2" xfId="4840" xr:uid="{00000000-0005-0000-0000-0000690C0000}"/>
    <cellStyle name="Normal 4 2 2 2 2 2" xfId="4869" xr:uid="{00000000-0005-0000-0000-00006A0C0000}"/>
    <cellStyle name="Normal 4 2 2 2 3" xfId="4911" xr:uid="{00000000-0005-0000-0000-00006B0C0000}"/>
    <cellStyle name="Normal 4 2 2 2 4" xfId="4894" xr:uid="{00000000-0005-0000-0000-00006C0C0000}"/>
    <cellStyle name="Normal 4 2 2 3" xfId="4781" xr:uid="{00000000-0005-0000-0000-00006D0C0000}"/>
    <cellStyle name="Normal 4 2 2 3 2" xfId="4729" xr:uid="{00000000-0005-0000-0000-00006E0C0000}"/>
    <cellStyle name="Normal 4 2 2 4" xfId="4728" xr:uid="{00000000-0005-0000-0000-00006F0C0000}"/>
    <cellStyle name="Normal 4 2 3" xfId="4655" xr:uid="{00000000-0005-0000-0000-0000700C0000}"/>
    <cellStyle name="Normal 4 2 3 2" xfId="4807" xr:uid="{00000000-0005-0000-0000-0000710C0000}"/>
    <cellStyle name="Normal 4 2 4" xfId="4676" xr:uid="{00000000-0005-0000-0000-0000720C0000}"/>
    <cellStyle name="Normal 4 2 5" xfId="4930" xr:uid="{00000000-0005-0000-0000-0000730C0000}"/>
    <cellStyle name="Normal 4 20" xfId="2054" xr:uid="{00000000-0005-0000-0000-0000740C0000}"/>
    <cellStyle name="Normal 4 21" xfId="2055" xr:uid="{00000000-0005-0000-0000-0000750C0000}"/>
    <cellStyle name="Normal 4 22" xfId="2056" xr:uid="{00000000-0005-0000-0000-0000760C0000}"/>
    <cellStyle name="Normal 4 23" xfId="2057" xr:uid="{00000000-0005-0000-0000-0000770C0000}"/>
    <cellStyle name="Normal 4 24" xfId="2058" xr:uid="{00000000-0005-0000-0000-0000780C0000}"/>
    <cellStyle name="Normal 4 25" xfId="2059" xr:uid="{00000000-0005-0000-0000-0000790C0000}"/>
    <cellStyle name="Normal 4 26" xfId="2060" xr:uid="{00000000-0005-0000-0000-00007A0C0000}"/>
    <cellStyle name="Normal 4 27" xfId="2061" xr:uid="{00000000-0005-0000-0000-00007B0C0000}"/>
    <cellStyle name="Normal 4 28" xfId="2062" xr:uid="{00000000-0005-0000-0000-00007C0C0000}"/>
    <cellStyle name="Normal 4 29" xfId="2063" xr:uid="{00000000-0005-0000-0000-00007D0C0000}"/>
    <cellStyle name="Normal 4 3" xfId="2064" xr:uid="{00000000-0005-0000-0000-00007E0C0000}"/>
    <cellStyle name="Normal 4 3 10" xfId="2065" xr:uid="{00000000-0005-0000-0000-00007F0C0000}"/>
    <cellStyle name="Normal 4 3 11" xfId="2066" xr:uid="{00000000-0005-0000-0000-0000800C0000}"/>
    <cellStyle name="Normal 4 3 12" xfId="2067" xr:uid="{00000000-0005-0000-0000-0000810C0000}"/>
    <cellStyle name="Normal 4 3 13" xfId="2068" xr:uid="{00000000-0005-0000-0000-0000820C0000}"/>
    <cellStyle name="Normal 4 3 14" xfId="2069" xr:uid="{00000000-0005-0000-0000-0000830C0000}"/>
    <cellStyle name="Normal 4 3 15" xfId="2070" xr:uid="{00000000-0005-0000-0000-0000840C0000}"/>
    <cellStyle name="Normal 4 3 16" xfId="2071" xr:uid="{00000000-0005-0000-0000-0000850C0000}"/>
    <cellStyle name="Normal 4 3 17" xfId="2072" xr:uid="{00000000-0005-0000-0000-0000860C0000}"/>
    <cellStyle name="Normal 4 3 18" xfId="2073" xr:uid="{00000000-0005-0000-0000-0000870C0000}"/>
    <cellStyle name="Normal 4 3 19" xfId="2074" xr:uid="{00000000-0005-0000-0000-0000880C0000}"/>
    <cellStyle name="Normal 4 3 2" xfId="2075" xr:uid="{00000000-0005-0000-0000-0000890C0000}"/>
    <cellStyle name="Normal 4 3 2 10" xfId="2076" xr:uid="{00000000-0005-0000-0000-00008A0C0000}"/>
    <cellStyle name="Normal 4 3 2 11" xfId="2077" xr:uid="{00000000-0005-0000-0000-00008B0C0000}"/>
    <cellStyle name="Normal 4 3 2 12" xfId="2078" xr:uid="{00000000-0005-0000-0000-00008C0C0000}"/>
    <cellStyle name="Normal 4 3 2 13" xfId="2079" xr:uid="{00000000-0005-0000-0000-00008D0C0000}"/>
    <cellStyle name="Normal 4 3 2 14" xfId="2080" xr:uid="{00000000-0005-0000-0000-00008E0C0000}"/>
    <cellStyle name="Normal 4 3 2 15" xfId="2081" xr:uid="{00000000-0005-0000-0000-00008F0C0000}"/>
    <cellStyle name="Normal 4 3 2 16" xfId="2082" xr:uid="{00000000-0005-0000-0000-0000900C0000}"/>
    <cellStyle name="Normal 4 3 2 17" xfId="2083" xr:uid="{00000000-0005-0000-0000-0000910C0000}"/>
    <cellStyle name="Normal 4 3 2 18" xfId="2084" xr:uid="{00000000-0005-0000-0000-0000920C0000}"/>
    <cellStyle name="Normal 4 3 2 19" xfId="2085" xr:uid="{00000000-0005-0000-0000-0000930C0000}"/>
    <cellStyle name="Normal 4 3 2 2" xfId="2086" xr:uid="{00000000-0005-0000-0000-0000940C0000}"/>
    <cellStyle name="Normal 4 3 2 2 10" xfId="2087" xr:uid="{00000000-0005-0000-0000-0000950C0000}"/>
    <cellStyle name="Normal 4 3 2 2 11" xfId="2088" xr:uid="{00000000-0005-0000-0000-0000960C0000}"/>
    <cellStyle name="Normal 4 3 2 2 12" xfId="2089" xr:uid="{00000000-0005-0000-0000-0000970C0000}"/>
    <cellStyle name="Normal 4 3 2 2 13" xfId="2090" xr:uid="{00000000-0005-0000-0000-0000980C0000}"/>
    <cellStyle name="Normal 4 3 2 2 14" xfId="2091" xr:uid="{00000000-0005-0000-0000-0000990C0000}"/>
    <cellStyle name="Normal 4 3 2 2 15" xfId="2092" xr:uid="{00000000-0005-0000-0000-00009A0C0000}"/>
    <cellStyle name="Normal 4 3 2 2 16" xfId="2093" xr:uid="{00000000-0005-0000-0000-00009B0C0000}"/>
    <cellStyle name="Normal 4 3 2 2 17" xfId="2094" xr:uid="{00000000-0005-0000-0000-00009C0C0000}"/>
    <cellStyle name="Normal 4 3 2 2 18" xfId="2095" xr:uid="{00000000-0005-0000-0000-00009D0C0000}"/>
    <cellStyle name="Normal 4 3 2 2 19" xfId="2096" xr:uid="{00000000-0005-0000-0000-00009E0C0000}"/>
    <cellStyle name="Normal 4 3 2 2 2" xfId="2097" xr:uid="{00000000-0005-0000-0000-00009F0C0000}"/>
    <cellStyle name="Normal 4 3 2 2 2 10" xfId="2098" xr:uid="{00000000-0005-0000-0000-0000A00C0000}"/>
    <cellStyle name="Normal 4 3 2 2 2 11" xfId="2099" xr:uid="{00000000-0005-0000-0000-0000A10C0000}"/>
    <cellStyle name="Normal 4 3 2 2 2 12" xfId="2100" xr:uid="{00000000-0005-0000-0000-0000A20C0000}"/>
    <cellStyle name="Normal 4 3 2 2 2 13" xfId="2101" xr:uid="{00000000-0005-0000-0000-0000A30C0000}"/>
    <cellStyle name="Normal 4 3 2 2 2 14" xfId="2102" xr:uid="{00000000-0005-0000-0000-0000A40C0000}"/>
    <cellStyle name="Normal 4 3 2 2 2 15" xfId="2103" xr:uid="{00000000-0005-0000-0000-0000A50C0000}"/>
    <cellStyle name="Normal 4 3 2 2 2 16" xfId="2104" xr:uid="{00000000-0005-0000-0000-0000A60C0000}"/>
    <cellStyle name="Normal 4 3 2 2 2 17" xfId="2105" xr:uid="{00000000-0005-0000-0000-0000A70C0000}"/>
    <cellStyle name="Normal 4 3 2 2 2 18" xfId="2106" xr:uid="{00000000-0005-0000-0000-0000A80C0000}"/>
    <cellStyle name="Normal 4 3 2 2 2 19" xfId="2107" xr:uid="{00000000-0005-0000-0000-0000A90C0000}"/>
    <cellStyle name="Normal 4 3 2 2 2 2" xfId="2108" xr:uid="{00000000-0005-0000-0000-0000AA0C0000}"/>
    <cellStyle name="Normal 4 3 2 2 2 2 10" xfId="2109" xr:uid="{00000000-0005-0000-0000-0000AB0C0000}"/>
    <cellStyle name="Normal 4 3 2 2 2 2 11" xfId="2110" xr:uid="{00000000-0005-0000-0000-0000AC0C0000}"/>
    <cellStyle name="Normal 4 3 2 2 2 2 12" xfId="2111" xr:uid="{00000000-0005-0000-0000-0000AD0C0000}"/>
    <cellStyle name="Normal 4 3 2 2 2 2 13" xfId="2112" xr:uid="{00000000-0005-0000-0000-0000AE0C0000}"/>
    <cellStyle name="Normal 4 3 2 2 2 2 14" xfId="2113" xr:uid="{00000000-0005-0000-0000-0000AF0C0000}"/>
    <cellStyle name="Normal 4 3 2 2 2 2 15" xfId="2114" xr:uid="{00000000-0005-0000-0000-0000B00C0000}"/>
    <cellStyle name="Normal 4 3 2 2 2 2 16" xfId="2115" xr:uid="{00000000-0005-0000-0000-0000B10C0000}"/>
    <cellStyle name="Normal 4 3 2 2 2 2 17" xfId="2116" xr:uid="{00000000-0005-0000-0000-0000B20C0000}"/>
    <cellStyle name="Normal 4 3 2 2 2 2 18" xfId="2117" xr:uid="{00000000-0005-0000-0000-0000B30C0000}"/>
    <cellStyle name="Normal 4 3 2 2 2 2 19" xfId="2118" xr:uid="{00000000-0005-0000-0000-0000B40C0000}"/>
    <cellStyle name="Normal 4 3 2 2 2 2 2" xfId="2119" xr:uid="{00000000-0005-0000-0000-0000B50C0000}"/>
    <cellStyle name="Normal 4 3 2 2 2 2 2 10" xfId="2120" xr:uid="{00000000-0005-0000-0000-0000B60C0000}"/>
    <cellStyle name="Normal 4 3 2 2 2 2 2 11" xfId="2121" xr:uid="{00000000-0005-0000-0000-0000B70C0000}"/>
    <cellStyle name="Normal 4 3 2 2 2 2 2 12" xfId="2122" xr:uid="{00000000-0005-0000-0000-0000B80C0000}"/>
    <cellStyle name="Normal 4 3 2 2 2 2 2 13" xfId="2123" xr:uid="{00000000-0005-0000-0000-0000B90C0000}"/>
    <cellStyle name="Normal 4 3 2 2 2 2 2 14" xfId="2124" xr:uid="{00000000-0005-0000-0000-0000BA0C0000}"/>
    <cellStyle name="Normal 4 3 2 2 2 2 2 15" xfId="2125" xr:uid="{00000000-0005-0000-0000-0000BB0C0000}"/>
    <cellStyle name="Normal 4 3 2 2 2 2 2 16" xfId="2126" xr:uid="{00000000-0005-0000-0000-0000BC0C0000}"/>
    <cellStyle name="Normal 4 3 2 2 2 2 2 17" xfId="2127" xr:uid="{00000000-0005-0000-0000-0000BD0C0000}"/>
    <cellStyle name="Normal 4 3 2 2 2 2 2 18" xfId="2128" xr:uid="{00000000-0005-0000-0000-0000BE0C0000}"/>
    <cellStyle name="Normal 4 3 2 2 2 2 2 19" xfId="2129" xr:uid="{00000000-0005-0000-0000-0000BF0C0000}"/>
    <cellStyle name="Normal 4 3 2 2 2 2 2 2" xfId="2130" xr:uid="{00000000-0005-0000-0000-0000C00C0000}"/>
    <cellStyle name="Normal 4 3 2 2 2 2 2 20" xfId="2131" xr:uid="{00000000-0005-0000-0000-0000C10C0000}"/>
    <cellStyle name="Normal 4 3 2 2 2 2 2 21" xfId="2132" xr:uid="{00000000-0005-0000-0000-0000C20C0000}"/>
    <cellStyle name="Normal 4 3 2 2 2 2 2 22" xfId="2133" xr:uid="{00000000-0005-0000-0000-0000C30C0000}"/>
    <cellStyle name="Normal 4 3 2 2 2 2 2 23" xfId="2134" xr:uid="{00000000-0005-0000-0000-0000C40C0000}"/>
    <cellStyle name="Normal 4 3 2 2 2 2 2 24" xfId="2135" xr:uid="{00000000-0005-0000-0000-0000C50C0000}"/>
    <cellStyle name="Normal 4 3 2 2 2 2 2 3" xfId="2136" xr:uid="{00000000-0005-0000-0000-0000C60C0000}"/>
    <cellStyle name="Normal 4 3 2 2 2 2 2 4" xfId="2137" xr:uid="{00000000-0005-0000-0000-0000C70C0000}"/>
    <cellStyle name="Normal 4 3 2 2 2 2 2 5" xfId="2138" xr:uid="{00000000-0005-0000-0000-0000C80C0000}"/>
    <cellStyle name="Normal 4 3 2 2 2 2 2 6" xfId="2139" xr:uid="{00000000-0005-0000-0000-0000C90C0000}"/>
    <cellStyle name="Normal 4 3 2 2 2 2 2 7" xfId="2140" xr:uid="{00000000-0005-0000-0000-0000CA0C0000}"/>
    <cellStyle name="Normal 4 3 2 2 2 2 2 8" xfId="2141" xr:uid="{00000000-0005-0000-0000-0000CB0C0000}"/>
    <cellStyle name="Normal 4 3 2 2 2 2 2 9" xfId="2142" xr:uid="{00000000-0005-0000-0000-0000CC0C0000}"/>
    <cellStyle name="Normal 4 3 2 2 2 2 20" xfId="2143" xr:uid="{00000000-0005-0000-0000-0000CD0C0000}"/>
    <cellStyle name="Normal 4 3 2 2 2 2 21" xfId="2144" xr:uid="{00000000-0005-0000-0000-0000CE0C0000}"/>
    <cellStyle name="Normal 4 3 2 2 2 2 22" xfId="2145" xr:uid="{00000000-0005-0000-0000-0000CF0C0000}"/>
    <cellStyle name="Normal 4 3 2 2 2 2 23" xfId="2146" xr:uid="{00000000-0005-0000-0000-0000D00C0000}"/>
    <cellStyle name="Normal 4 3 2 2 2 2 24" xfId="2147" xr:uid="{00000000-0005-0000-0000-0000D10C0000}"/>
    <cellStyle name="Normal 4 3 2 2 2 2 3" xfId="2148" xr:uid="{00000000-0005-0000-0000-0000D20C0000}"/>
    <cellStyle name="Normal 4 3 2 2 2 2 4" xfId="2149" xr:uid="{00000000-0005-0000-0000-0000D30C0000}"/>
    <cellStyle name="Normal 4 3 2 2 2 2 5" xfId="2150" xr:uid="{00000000-0005-0000-0000-0000D40C0000}"/>
    <cellStyle name="Normal 4 3 2 2 2 2 6" xfId="2151" xr:uid="{00000000-0005-0000-0000-0000D50C0000}"/>
    <cellStyle name="Normal 4 3 2 2 2 2 7" xfId="2152" xr:uid="{00000000-0005-0000-0000-0000D60C0000}"/>
    <cellStyle name="Normal 4 3 2 2 2 2 8" xfId="2153" xr:uid="{00000000-0005-0000-0000-0000D70C0000}"/>
    <cellStyle name="Normal 4 3 2 2 2 2 9" xfId="2154" xr:uid="{00000000-0005-0000-0000-0000D80C0000}"/>
    <cellStyle name="Normal 4 3 2 2 2 20" xfId="2155" xr:uid="{00000000-0005-0000-0000-0000D90C0000}"/>
    <cellStyle name="Normal 4 3 2 2 2 21" xfId="2156" xr:uid="{00000000-0005-0000-0000-0000DA0C0000}"/>
    <cellStyle name="Normal 4 3 2 2 2 22" xfId="2157" xr:uid="{00000000-0005-0000-0000-0000DB0C0000}"/>
    <cellStyle name="Normal 4 3 2 2 2 23" xfId="2158" xr:uid="{00000000-0005-0000-0000-0000DC0C0000}"/>
    <cellStyle name="Normal 4 3 2 2 2 24" xfId="2159" xr:uid="{00000000-0005-0000-0000-0000DD0C0000}"/>
    <cellStyle name="Normal 4 3 2 2 2 25" xfId="2160" xr:uid="{00000000-0005-0000-0000-0000DE0C0000}"/>
    <cellStyle name="Normal 4 3 2 2 2 26" xfId="2161" xr:uid="{00000000-0005-0000-0000-0000DF0C0000}"/>
    <cellStyle name="Normal 4 3 2 2 2 27" xfId="2162" xr:uid="{00000000-0005-0000-0000-0000E00C0000}"/>
    <cellStyle name="Normal 4 3 2 2 2 28" xfId="2163" xr:uid="{00000000-0005-0000-0000-0000E10C0000}"/>
    <cellStyle name="Normal 4 3 2 2 2 29" xfId="2164" xr:uid="{00000000-0005-0000-0000-0000E20C0000}"/>
    <cellStyle name="Normal 4 3 2 2 2 3" xfId="2165" xr:uid="{00000000-0005-0000-0000-0000E30C0000}"/>
    <cellStyle name="Normal 4 3 2 2 2 30" xfId="2166" xr:uid="{00000000-0005-0000-0000-0000E40C0000}"/>
    <cellStyle name="Normal 4 3 2 2 2 4" xfId="2167" xr:uid="{00000000-0005-0000-0000-0000E50C0000}"/>
    <cellStyle name="Normal 4 3 2 2 2 5" xfId="2168" xr:uid="{00000000-0005-0000-0000-0000E60C0000}"/>
    <cellStyle name="Normal 4 3 2 2 2 6" xfId="2169" xr:uid="{00000000-0005-0000-0000-0000E70C0000}"/>
    <cellStyle name="Normal 4 3 2 2 2 7" xfId="2170" xr:uid="{00000000-0005-0000-0000-0000E80C0000}"/>
    <cellStyle name="Normal 4 3 2 2 2 8" xfId="2171" xr:uid="{00000000-0005-0000-0000-0000E90C0000}"/>
    <cellStyle name="Normal 4 3 2 2 2 9" xfId="2172" xr:uid="{00000000-0005-0000-0000-0000EA0C0000}"/>
    <cellStyle name="Normal 4 3 2 2 20" xfId="2173" xr:uid="{00000000-0005-0000-0000-0000EB0C0000}"/>
    <cellStyle name="Normal 4 3 2 2 21" xfId="2174" xr:uid="{00000000-0005-0000-0000-0000EC0C0000}"/>
    <cellStyle name="Normal 4 3 2 2 22" xfId="2175" xr:uid="{00000000-0005-0000-0000-0000ED0C0000}"/>
    <cellStyle name="Normal 4 3 2 2 23" xfId="2176" xr:uid="{00000000-0005-0000-0000-0000EE0C0000}"/>
    <cellStyle name="Normal 4 3 2 2 24" xfId="2177" xr:uid="{00000000-0005-0000-0000-0000EF0C0000}"/>
    <cellStyle name="Normal 4 3 2 2 25" xfId="2178" xr:uid="{00000000-0005-0000-0000-0000F00C0000}"/>
    <cellStyle name="Normal 4 3 2 2 26" xfId="2179" xr:uid="{00000000-0005-0000-0000-0000F10C0000}"/>
    <cellStyle name="Normal 4 3 2 2 27" xfId="2180" xr:uid="{00000000-0005-0000-0000-0000F20C0000}"/>
    <cellStyle name="Normal 4 3 2 2 28" xfId="2181" xr:uid="{00000000-0005-0000-0000-0000F30C0000}"/>
    <cellStyle name="Normal 4 3 2 2 29" xfId="2182" xr:uid="{00000000-0005-0000-0000-0000F40C0000}"/>
    <cellStyle name="Normal 4 3 2 2 3" xfId="2183" xr:uid="{00000000-0005-0000-0000-0000F50C0000}"/>
    <cellStyle name="Normal 4 3 2 2 3 10" xfId="2184" xr:uid="{00000000-0005-0000-0000-0000F60C0000}"/>
    <cellStyle name="Normal 4 3 2 2 3 11" xfId="2185" xr:uid="{00000000-0005-0000-0000-0000F70C0000}"/>
    <cellStyle name="Normal 4 3 2 2 3 12" xfId="2186" xr:uid="{00000000-0005-0000-0000-0000F80C0000}"/>
    <cellStyle name="Normal 4 3 2 2 3 13" xfId="2187" xr:uid="{00000000-0005-0000-0000-0000F90C0000}"/>
    <cellStyle name="Normal 4 3 2 2 3 14" xfId="2188" xr:uid="{00000000-0005-0000-0000-0000FA0C0000}"/>
    <cellStyle name="Normal 4 3 2 2 3 15" xfId="2189" xr:uid="{00000000-0005-0000-0000-0000FB0C0000}"/>
    <cellStyle name="Normal 4 3 2 2 3 16" xfId="2190" xr:uid="{00000000-0005-0000-0000-0000FC0C0000}"/>
    <cellStyle name="Normal 4 3 2 2 3 17" xfId="2191" xr:uid="{00000000-0005-0000-0000-0000FD0C0000}"/>
    <cellStyle name="Normal 4 3 2 2 3 18" xfId="2192" xr:uid="{00000000-0005-0000-0000-0000FE0C0000}"/>
    <cellStyle name="Normal 4 3 2 2 3 19" xfId="2193" xr:uid="{00000000-0005-0000-0000-0000FF0C0000}"/>
    <cellStyle name="Normal 4 3 2 2 3 2" xfId="2194" xr:uid="{00000000-0005-0000-0000-0000000D0000}"/>
    <cellStyle name="Normal 4 3 2 2 3 2 10" xfId="2195" xr:uid="{00000000-0005-0000-0000-0000010D0000}"/>
    <cellStyle name="Normal 4 3 2 2 3 2 11" xfId="2196" xr:uid="{00000000-0005-0000-0000-0000020D0000}"/>
    <cellStyle name="Normal 4 3 2 2 3 2 12" xfId="2197" xr:uid="{00000000-0005-0000-0000-0000030D0000}"/>
    <cellStyle name="Normal 4 3 2 2 3 2 13" xfId="2198" xr:uid="{00000000-0005-0000-0000-0000040D0000}"/>
    <cellStyle name="Normal 4 3 2 2 3 2 14" xfId="2199" xr:uid="{00000000-0005-0000-0000-0000050D0000}"/>
    <cellStyle name="Normal 4 3 2 2 3 2 15" xfId="2200" xr:uid="{00000000-0005-0000-0000-0000060D0000}"/>
    <cellStyle name="Normal 4 3 2 2 3 2 16" xfId="2201" xr:uid="{00000000-0005-0000-0000-0000070D0000}"/>
    <cellStyle name="Normal 4 3 2 2 3 2 17" xfId="2202" xr:uid="{00000000-0005-0000-0000-0000080D0000}"/>
    <cellStyle name="Normal 4 3 2 2 3 2 18" xfId="2203" xr:uid="{00000000-0005-0000-0000-0000090D0000}"/>
    <cellStyle name="Normal 4 3 2 2 3 2 19" xfId="2204" xr:uid="{00000000-0005-0000-0000-00000A0D0000}"/>
    <cellStyle name="Normal 4 3 2 2 3 2 2" xfId="2205" xr:uid="{00000000-0005-0000-0000-00000B0D0000}"/>
    <cellStyle name="Normal 4 3 2 2 3 2 20" xfId="2206" xr:uid="{00000000-0005-0000-0000-00000C0D0000}"/>
    <cellStyle name="Normal 4 3 2 2 3 2 21" xfId="2207" xr:uid="{00000000-0005-0000-0000-00000D0D0000}"/>
    <cellStyle name="Normal 4 3 2 2 3 2 22" xfId="2208" xr:uid="{00000000-0005-0000-0000-00000E0D0000}"/>
    <cellStyle name="Normal 4 3 2 2 3 2 23" xfId="2209" xr:uid="{00000000-0005-0000-0000-00000F0D0000}"/>
    <cellStyle name="Normal 4 3 2 2 3 2 24" xfId="2210" xr:uid="{00000000-0005-0000-0000-0000100D0000}"/>
    <cellStyle name="Normal 4 3 2 2 3 2 3" xfId="2211" xr:uid="{00000000-0005-0000-0000-0000110D0000}"/>
    <cellStyle name="Normal 4 3 2 2 3 2 4" xfId="2212" xr:uid="{00000000-0005-0000-0000-0000120D0000}"/>
    <cellStyle name="Normal 4 3 2 2 3 2 5" xfId="2213" xr:uid="{00000000-0005-0000-0000-0000130D0000}"/>
    <cellStyle name="Normal 4 3 2 2 3 2 6" xfId="2214" xr:uid="{00000000-0005-0000-0000-0000140D0000}"/>
    <cellStyle name="Normal 4 3 2 2 3 2 7" xfId="2215" xr:uid="{00000000-0005-0000-0000-0000150D0000}"/>
    <cellStyle name="Normal 4 3 2 2 3 2 8" xfId="2216" xr:uid="{00000000-0005-0000-0000-0000160D0000}"/>
    <cellStyle name="Normal 4 3 2 2 3 2 9" xfId="2217" xr:uid="{00000000-0005-0000-0000-0000170D0000}"/>
    <cellStyle name="Normal 4 3 2 2 3 20" xfId="2218" xr:uid="{00000000-0005-0000-0000-0000180D0000}"/>
    <cellStyle name="Normal 4 3 2 2 3 21" xfId="2219" xr:uid="{00000000-0005-0000-0000-0000190D0000}"/>
    <cellStyle name="Normal 4 3 2 2 3 22" xfId="2220" xr:uid="{00000000-0005-0000-0000-00001A0D0000}"/>
    <cellStyle name="Normal 4 3 2 2 3 23" xfId="2221" xr:uid="{00000000-0005-0000-0000-00001B0D0000}"/>
    <cellStyle name="Normal 4 3 2 2 3 24" xfId="2222" xr:uid="{00000000-0005-0000-0000-00001C0D0000}"/>
    <cellStyle name="Normal 4 3 2 2 3 3" xfId="2223" xr:uid="{00000000-0005-0000-0000-00001D0D0000}"/>
    <cellStyle name="Normal 4 3 2 2 3 4" xfId="2224" xr:uid="{00000000-0005-0000-0000-00001E0D0000}"/>
    <cellStyle name="Normal 4 3 2 2 3 5" xfId="2225" xr:uid="{00000000-0005-0000-0000-00001F0D0000}"/>
    <cellStyle name="Normal 4 3 2 2 3 6" xfId="2226" xr:uid="{00000000-0005-0000-0000-0000200D0000}"/>
    <cellStyle name="Normal 4 3 2 2 3 7" xfId="2227" xr:uid="{00000000-0005-0000-0000-0000210D0000}"/>
    <cellStyle name="Normal 4 3 2 2 3 8" xfId="2228" xr:uid="{00000000-0005-0000-0000-0000220D0000}"/>
    <cellStyle name="Normal 4 3 2 2 3 9" xfId="2229" xr:uid="{00000000-0005-0000-0000-0000230D0000}"/>
    <cellStyle name="Normal 4 3 2 2 30" xfId="2230" xr:uid="{00000000-0005-0000-0000-0000240D0000}"/>
    <cellStyle name="Normal 4 3 2 2 4" xfId="2231" xr:uid="{00000000-0005-0000-0000-0000250D0000}"/>
    <cellStyle name="Normal 4 3 2 2 5" xfId="2232" xr:uid="{00000000-0005-0000-0000-0000260D0000}"/>
    <cellStyle name="Normal 4 3 2 2 6" xfId="2233" xr:uid="{00000000-0005-0000-0000-0000270D0000}"/>
    <cellStyle name="Normal 4 3 2 2 7" xfId="2234" xr:uid="{00000000-0005-0000-0000-0000280D0000}"/>
    <cellStyle name="Normal 4 3 2 2 8" xfId="2235" xr:uid="{00000000-0005-0000-0000-0000290D0000}"/>
    <cellStyle name="Normal 4 3 2 2 9" xfId="2236" xr:uid="{00000000-0005-0000-0000-00002A0D0000}"/>
    <cellStyle name="Normal 4 3 2 20" xfId="2237" xr:uid="{00000000-0005-0000-0000-00002B0D0000}"/>
    <cellStyle name="Normal 4 3 2 21" xfId="2238" xr:uid="{00000000-0005-0000-0000-00002C0D0000}"/>
    <cellStyle name="Normal 4 3 2 22" xfId="2239" xr:uid="{00000000-0005-0000-0000-00002D0D0000}"/>
    <cellStyle name="Normal 4 3 2 23" xfId="2240" xr:uid="{00000000-0005-0000-0000-00002E0D0000}"/>
    <cellStyle name="Normal 4 3 2 24" xfId="2241" xr:uid="{00000000-0005-0000-0000-00002F0D0000}"/>
    <cellStyle name="Normal 4 3 2 25" xfId="2242" xr:uid="{00000000-0005-0000-0000-0000300D0000}"/>
    <cellStyle name="Normal 4 3 2 26" xfId="2243" xr:uid="{00000000-0005-0000-0000-0000310D0000}"/>
    <cellStyle name="Normal 4 3 2 27" xfId="2244" xr:uid="{00000000-0005-0000-0000-0000320D0000}"/>
    <cellStyle name="Normal 4 3 2 27 10" xfId="2245" xr:uid="{00000000-0005-0000-0000-0000330D0000}"/>
    <cellStyle name="Normal 4 3 2 27 11" xfId="2246" xr:uid="{00000000-0005-0000-0000-0000340D0000}"/>
    <cellStyle name="Normal 4 3 2 27 12" xfId="2247" xr:uid="{00000000-0005-0000-0000-0000350D0000}"/>
    <cellStyle name="Normal 4 3 2 27 13" xfId="2248" xr:uid="{00000000-0005-0000-0000-0000360D0000}"/>
    <cellStyle name="Normal 4 3 2 27 14" xfId="2249" xr:uid="{00000000-0005-0000-0000-0000370D0000}"/>
    <cellStyle name="Normal 4 3 2 27 15" xfId="2250" xr:uid="{00000000-0005-0000-0000-0000380D0000}"/>
    <cellStyle name="Normal 4 3 2 27 16" xfId="2251" xr:uid="{00000000-0005-0000-0000-0000390D0000}"/>
    <cellStyle name="Normal 4 3 2 27 17" xfId="2252" xr:uid="{00000000-0005-0000-0000-00003A0D0000}"/>
    <cellStyle name="Normal 4 3 2 27 18" xfId="2253" xr:uid="{00000000-0005-0000-0000-00003B0D0000}"/>
    <cellStyle name="Normal 4 3 2 27 19" xfId="2254" xr:uid="{00000000-0005-0000-0000-00003C0D0000}"/>
    <cellStyle name="Normal 4 3 2 27 2" xfId="2255" xr:uid="{00000000-0005-0000-0000-00003D0D0000}"/>
    <cellStyle name="Normal 4 3 2 27 2 10" xfId="2256" xr:uid="{00000000-0005-0000-0000-00003E0D0000}"/>
    <cellStyle name="Normal 4 3 2 27 2 11" xfId="2257" xr:uid="{00000000-0005-0000-0000-00003F0D0000}"/>
    <cellStyle name="Normal 4 3 2 27 2 12" xfId="2258" xr:uid="{00000000-0005-0000-0000-0000400D0000}"/>
    <cellStyle name="Normal 4 3 2 27 2 13" xfId="2259" xr:uid="{00000000-0005-0000-0000-0000410D0000}"/>
    <cellStyle name="Normal 4 3 2 27 2 14" xfId="2260" xr:uid="{00000000-0005-0000-0000-0000420D0000}"/>
    <cellStyle name="Normal 4 3 2 27 2 15" xfId="2261" xr:uid="{00000000-0005-0000-0000-0000430D0000}"/>
    <cellStyle name="Normal 4 3 2 27 2 16" xfId="2262" xr:uid="{00000000-0005-0000-0000-0000440D0000}"/>
    <cellStyle name="Normal 4 3 2 27 2 17" xfId="2263" xr:uid="{00000000-0005-0000-0000-0000450D0000}"/>
    <cellStyle name="Normal 4 3 2 27 2 18" xfId="2264" xr:uid="{00000000-0005-0000-0000-0000460D0000}"/>
    <cellStyle name="Normal 4 3 2 27 2 19" xfId="2265" xr:uid="{00000000-0005-0000-0000-0000470D0000}"/>
    <cellStyle name="Normal 4 3 2 27 2 2" xfId="2266" xr:uid="{00000000-0005-0000-0000-0000480D0000}"/>
    <cellStyle name="Normal 4 3 2 27 2 20" xfId="2267" xr:uid="{00000000-0005-0000-0000-0000490D0000}"/>
    <cellStyle name="Normal 4 3 2 27 2 21" xfId="2268" xr:uid="{00000000-0005-0000-0000-00004A0D0000}"/>
    <cellStyle name="Normal 4 3 2 27 2 22" xfId="2269" xr:uid="{00000000-0005-0000-0000-00004B0D0000}"/>
    <cellStyle name="Normal 4 3 2 27 2 23" xfId="2270" xr:uid="{00000000-0005-0000-0000-00004C0D0000}"/>
    <cellStyle name="Normal 4 3 2 27 2 24" xfId="2271" xr:uid="{00000000-0005-0000-0000-00004D0D0000}"/>
    <cellStyle name="Normal 4 3 2 27 2 3" xfId="2272" xr:uid="{00000000-0005-0000-0000-00004E0D0000}"/>
    <cellStyle name="Normal 4 3 2 27 2 4" xfId="2273" xr:uid="{00000000-0005-0000-0000-00004F0D0000}"/>
    <cellStyle name="Normal 4 3 2 27 2 5" xfId="2274" xr:uid="{00000000-0005-0000-0000-0000500D0000}"/>
    <cellStyle name="Normal 4 3 2 27 2 6" xfId="2275" xr:uid="{00000000-0005-0000-0000-0000510D0000}"/>
    <cellStyle name="Normal 4 3 2 27 2 7" xfId="2276" xr:uid="{00000000-0005-0000-0000-0000520D0000}"/>
    <cellStyle name="Normal 4 3 2 27 2 8" xfId="2277" xr:uid="{00000000-0005-0000-0000-0000530D0000}"/>
    <cellStyle name="Normal 4 3 2 27 2 9" xfId="2278" xr:uid="{00000000-0005-0000-0000-0000540D0000}"/>
    <cellStyle name="Normal 4 3 2 27 20" xfId="2279" xr:uid="{00000000-0005-0000-0000-0000550D0000}"/>
    <cellStyle name="Normal 4 3 2 27 21" xfId="2280" xr:uid="{00000000-0005-0000-0000-0000560D0000}"/>
    <cellStyle name="Normal 4 3 2 27 22" xfId="2281" xr:uid="{00000000-0005-0000-0000-0000570D0000}"/>
    <cellStyle name="Normal 4 3 2 27 23" xfId="2282" xr:uid="{00000000-0005-0000-0000-0000580D0000}"/>
    <cellStyle name="Normal 4 3 2 27 24" xfId="2283" xr:uid="{00000000-0005-0000-0000-0000590D0000}"/>
    <cellStyle name="Normal 4 3 2 27 3" xfId="2284" xr:uid="{00000000-0005-0000-0000-00005A0D0000}"/>
    <cellStyle name="Normal 4 3 2 27 4" xfId="2285" xr:uid="{00000000-0005-0000-0000-00005B0D0000}"/>
    <cellStyle name="Normal 4 3 2 27 5" xfId="2286" xr:uid="{00000000-0005-0000-0000-00005C0D0000}"/>
    <cellStyle name="Normal 4 3 2 27 6" xfId="2287" xr:uid="{00000000-0005-0000-0000-00005D0D0000}"/>
    <cellStyle name="Normal 4 3 2 27 7" xfId="2288" xr:uid="{00000000-0005-0000-0000-00005E0D0000}"/>
    <cellStyle name="Normal 4 3 2 27 8" xfId="2289" xr:uid="{00000000-0005-0000-0000-00005F0D0000}"/>
    <cellStyle name="Normal 4 3 2 27 9" xfId="2290" xr:uid="{00000000-0005-0000-0000-0000600D0000}"/>
    <cellStyle name="Normal 4 3 2 28" xfId="2291" xr:uid="{00000000-0005-0000-0000-0000610D0000}"/>
    <cellStyle name="Normal 4 3 2 29" xfId="2292" xr:uid="{00000000-0005-0000-0000-0000620D0000}"/>
    <cellStyle name="Normal 4 3 2 3" xfId="2293" xr:uid="{00000000-0005-0000-0000-0000630D0000}"/>
    <cellStyle name="Normal 4 3 2 30" xfId="2294" xr:uid="{00000000-0005-0000-0000-0000640D0000}"/>
    <cellStyle name="Normal 4 3 2 31" xfId="2295" xr:uid="{00000000-0005-0000-0000-0000650D0000}"/>
    <cellStyle name="Normal 4 3 2 32" xfId="2296" xr:uid="{00000000-0005-0000-0000-0000660D0000}"/>
    <cellStyle name="Normal 4 3 2 33" xfId="2297" xr:uid="{00000000-0005-0000-0000-0000670D0000}"/>
    <cellStyle name="Normal 4 3 2 34" xfId="2298" xr:uid="{00000000-0005-0000-0000-0000680D0000}"/>
    <cellStyle name="Normal 4 3 2 35" xfId="2299" xr:uid="{00000000-0005-0000-0000-0000690D0000}"/>
    <cellStyle name="Normal 4 3 2 36" xfId="2300" xr:uid="{00000000-0005-0000-0000-00006A0D0000}"/>
    <cellStyle name="Normal 4 3 2 37" xfId="2301" xr:uid="{00000000-0005-0000-0000-00006B0D0000}"/>
    <cellStyle name="Normal 4 3 2 38" xfId="2302" xr:uid="{00000000-0005-0000-0000-00006C0D0000}"/>
    <cellStyle name="Normal 4 3 2 39" xfId="2303" xr:uid="{00000000-0005-0000-0000-00006D0D0000}"/>
    <cellStyle name="Normal 4 3 2 4" xfId="2304" xr:uid="{00000000-0005-0000-0000-00006E0D0000}"/>
    <cellStyle name="Normal 4 3 2 40" xfId="2305" xr:uid="{00000000-0005-0000-0000-00006F0D0000}"/>
    <cellStyle name="Normal 4 3 2 41" xfId="2306" xr:uid="{00000000-0005-0000-0000-0000700D0000}"/>
    <cellStyle name="Normal 4 3 2 42" xfId="2307" xr:uid="{00000000-0005-0000-0000-0000710D0000}"/>
    <cellStyle name="Normal 4 3 2 43" xfId="2308" xr:uid="{00000000-0005-0000-0000-0000720D0000}"/>
    <cellStyle name="Normal 4 3 2 44" xfId="2309" xr:uid="{00000000-0005-0000-0000-0000730D0000}"/>
    <cellStyle name="Normal 4 3 2 45" xfId="2310" xr:uid="{00000000-0005-0000-0000-0000740D0000}"/>
    <cellStyle name="Normal 4 3 2 46" xfId="2311" xr:uid="{00000000-0005-0000-0000-0000750D0000}"/>
    <cellStyle name="Normal 4 3 2 47" xfId="2312" xr:uid="{00000000-0005-0000-0000-0000760D0000}"/>
    <cellStyle name="Normal 4 3 2 48" xfId="2313" xr:uid="{00000000-0005-0000-0000-0000770D0000}"/>
    <cellStyle name="Normal 4 3 2 49" xfId="2314" xr:uid="{00000000-0005-0000-0000-0000780D0000}"/>
    <cellStyle name="Normal 4 3 2 5" xfId="2315" xr:uid="{00000000-0005-0000-0000-0000790D0000}"/>
    <cellStyle name="Normal 4 3 2 50" xfId="2316" xr:uid="{00000000-0005-0000-0000-00007A0D0000}"/>
    <cellStyle name="Normal 4 3 2 51" xfId="2317" xr:uid="{00000000-0005-0000-0000-00007B0D0000}"/>
    <cellStyle name="Normal 4 3 2 52" xfId="2318" xr:uid="{00000000-0005-0000-0000-00007C0D0000}"/>
    <cellStyle name="Normal 4 3 2 53" xfId="2319" xr:uid="{00000000-0005-0000-0000-00007D0D0000}"/>
    <cellStyle name="Normal 4 3 2 54" xfId="2320" xr:uid="{00000000-0005-0000-0000-00007E0D0000}"/>
    <cellStyle name="Normal 4 3 2 55" xfId="2321" xr:uid="{00000000-0005-0000-0000-00007F0D0000}"/>
    <cellStyle name="Normal 4 3 2 6" xfId="2322" xr:uid="{00000000-0005-0000-0000-0000800D0000}"/>
    <cellStyle name="Normal 4 3 2 7" xfId="2323" xr:uid="{00000000-0005-0000-0000-0000810D0000}"/>
    <cellStyle name="Normal 4 3 2 8" xfId="2324" xr:uid="{00000000-0005-0000-0000-0000820D0000}"/>
    <cellStyle name="Normal 4 3 2 9" xfId="2325" xr:uid="{00000000-0005-0000-0000-0000830D0000}"/>
    <cellStyle name="Normal 4 3 20" xfId="2326" xr:uid="{00000000-0005-0000-0000-0000840D0000}"/>
    <cellStyle name="Normal 4 3 21" xfId="2327" xr:uid="{00000000-0005-0000-0000-0000850D0000}"/>
    <cellStyle name="Normal 4 3 22" xfId="2328" xr:uid="{00000000-0005-0000-0000-0000860D0000}"/>
    <cellStyle name="Normal 4 3 23" xfId="2329" xr:uid="{00000000-0005-0000-0000-0000870D0000}"/>
    <cellStyle name="Normal 4 3 24" xfId="2330" xr:uid="{00000000-0005-0000-0000-0000880D0000}"/>
    <cellStyle name="Normal 4 3 25" xfId="2331" xr:uid="{00000000-0005-0000-0000-0000890D0000}"/>
    <cellStyle name="Normal 4 3 26" xfId="2332" xr:uid="{00000000-0005-0000-0000-00008A0D0000}"/>
    <cellStyle name="Normal 4 3 27" xfId="2333" xr:uid="{00000000-0005-0000-0000-00008B0D0000}"/>
    <cellStyle name="Normal 4 3 28" xfId="2334" xr:uid="{00000000-0005-0000-0000-00008C0D0000}"/>
    <cellStyle name="Normal 4 3 29" xfId="2335" xr:uid="{00000000-0005-0000-0000-00008D0D0000}"/>
    <cellStyle name="Normal 4 3 3" xfId="2336" xr:uid="{00000000-0005-0000-0000-00008E0D0000}"/>
    <cellStyle name="Normal 4 3 30" xfId="2337" xr:uid="{00000000-0005-0000-0000-00008F0D0000}"/>
    <cellStyle name="Normal 4 3 31" xfId="2338" xr:uid="{00000000-0005-0000-0000-0000900D0000}"/>
    <cellStyle name="Normal 4 3 32" xfId="2339" xr:uid="{00000000-0005-0000-0000-0000910D0000}"/>
    <cellStyle name="Normal 4 3 33" xfId="2340" xr:uid="{00000000-0005-0000-0000-0000920D0000}"/>
    <cellStyle name="Normal 4 3 34" xfId="2341" xr:uid="{00000000-0005-0000-0000-0000930D0000}"/>
    <cellStyle name="Normal 4 3 35" xfId="2342" xr:uid="{00000000-0005-0000-0000-0000940D0000}"/>
    <cellStyle name="Normal 4 3 36" xfId="2343" xr:uid="{00000000-0005-0000-0000-0000950D0000}"/>
    <cellStyle name="Normal 4 3 37" xfId="2344" xr:uid="{00000000-0005-0000-0000-0000960D0000}"/>
    <cellStyle name="Normal 4 3 38" xfId="2345" xr:uid="{00000000-0005-0000-0000-0000970D0000}"/>
    <cellStyle name="Normal 4 3 39" xfId="2346" xr:uid="{00000000-0005-0000-0000-0000980D0000}"/>
    <cellStyle name="Normal 4 3 4" xfId="2347" xr:uid="{00000000-0005-0000-0000-0000990D0000}"/>
    <cellStyle name="Normal 4 3 40" xfId="2348" xr:uid="{00000000-0005-0000-0000-00009A0D0000}"/>
    <cellStyle name="Normal 4 3 41" xfId="2349" xr:uid="{00000000-0005-0000-0000-00009B0D0000}"/>
    <cellStyle name="Normal 4 3 42" xfId="2350" xr:uid="{00000000-0005-0000-0000-00009C0D0000}"/>
    <cellStyle name="Normal 4 3 43" xfId="2351" xr:uid="{00000000-0005-0000-0000-00009D0D0000}"/>
    <cellStyle name="Normal 4 3 44" xfId="2352" xr:uid="{00000000-0005-0000-0000-00009E0D0000}"/>
    <cellStyle name="Normal 4 3 45" xfId="2353" xr:uid="{00000000-0005-0000-0000-00009F0D0000}"/>
    <cellStyle name="Normal 4 3 46" xfId="2354" xr:uid="{00000000-0005-0000-0000-0000A00D0000}"/>
    <cellStyle name="Normal 4 3 47" xfId="2355" xr:uid="{00000000-0005-0000-0000-0000A10D0000}"/>
    <cellStyle name="Normal 4 3 48" xfId="2356" xr:uid="{00000000-0005-0000-0000-0000A20D0000}"/>
    <cellStyle name="Normal 4 3 49" xfId="2357" xr:uid="{00000000-0005-0000-0000-0000A30D0000}"/>
    <cellStyle name="Normal 4 3 5" xfId="2358" xr:uid="{00000000-0005-0000-0000-0000A40D0000}"/>
    <cellStyle name="Normal 4 3 50" xfId="2359" xr:uid="{00000000-0005-0000-0000-0000A50D0000}"/>
    <cellStyle name="Normal 4 3 51" xfId="2360" xr:uid="{00000000-0005-0000-0000-0000A60D0000}"/>
    <cellStyle name="Normal 4 3 52" xfId="2361" xr:uid="{00000000-0005-0000-0000-0000A70D0000}"/>
    <cellStyle name="Normal 4 3 53" xfId="2362" xr:uid="{00000000-0005-0000-0000-0000A80D0000}"/>
    <cellStyle name="Normal 4 3 54" xfId="2363" xr:uid="{00000000-0005-0000-0000-0000A90D0000}"/>
    <cellStyle name="Normal 4 3 55" xfId="2364" xr:uid="{00000000-0005-0000-0000-0000AA0D0000}"/>
    <cellStyle name="Normal 4 3 56" xfId="2365" xr:uid="{00000000-0005-0000-0000-0000AB0D0000}"/>
    <cellStyle name="Normal 4 3 57" xfId="2366" xr:uid="{00000000-0005-0000-0000-0000AC0D0000}"/>
    <cellStyle name="Normal 4 3 58" xfId="2367" xr:uid="{00000000-0005-0000-0000-0000AD0D0000}"/>
    <cellStyle name="Normal 4 3 59" xfId="2368" xr:uid="{00000000-0005-0000-0000-0000AE0D0000}"/>
    <cellStyle name="Normal 4 3 6" xfId="2369" xr:uid="{00000000-0005-0000-0000-0000AF0D0000}"/>
    <cellStyle name="Normal 4 3 60" xfId="2370" xr:uid="{00000000-0005-0000-0000-0000B00D0000}"/>
    <cellStyle name="Normal 4 3 61" xfId="2371" xr:uid="{00000000-0005-0000-0000-0000B10D0000}"/>
    <cellStyle name="Normal 4 3 62" xfId="2372" xr:uid="{00000000-0005-0000-0000-0000B20D0000}"/>
    <cellStyle name="Normal 4 3 63" xfId="2373" xr:uid="{00000000-0005-0000-0000-0000B30D0000}"/>
    <cellStyle name="Normal 4 3 64" xfId="2374" xr:uid="{00000000-0005-0000-0000-0000B40D0000}"/>
    <cellStyle name="Normal 4 3 64 10" xfId="2375" xr:uid="{00000000-0005-0000-0000-0000B50D0000}"/>
    <cellStyle name="Normal 4 3 64 11" xfId="2376" xr:uid="{00000000-0005-0000-0000-0000B60D0000}"/>
    <cellStyle name="Normal 4 3 64 12" xfId="2377" xr:uid="{00000000-0005-0000-0000-0000B70D0000}"/>
    <cellStyle name="Normal 4 3 64 13" xfId="2378" xr:uid="{00000000-0005-0000-0000-0000B80D0000}"/>
    <cellStyle name="Normal 4 3 64 14" xfId="2379" xr:uid="{00000000-0005-0000-0000-0000B90D0000}"/>
    <cellStyle name="Normal 4 3 64 15" xfId="2380" xr:uid="{00000000-0005-0000-0000-0000BA0D0000}"/>
    <cellStyle name="Normal 4 3 64 16" xfId="2381" xr:uid="{00000000-0005-0000-0000-0000BB0D0000}"/>
    <cellStyle name="Normal 4 3 64 17" xfId="2382" xr:uid="{00000000-0005-0000-0000-0000BC0D0000}"/>
    <cellStyle name="Normal 4 3 64 18" xfId="2383" xr:uid="{00000000-0005-0000-0000-0000BD0D0000}"/>
    <cellStyle name="Normal 4 3 64 19" xfId="2384" xr:uid="{00000000-0005-0000-0000-0000BE0D0000}"/>
    <cellStyle name="Normal 4 3 64 2" xfId="2385" xr:uid="{00000000-0005-0000-0000-0000BF0D0000}"/>
    <cellStyle name="Normal 4 3 64 2 10" xfId="2386" xr:uid="{00000000-0005-0000-0000-0000C00D0000}"/>
    <cellStyle name="Normal 4 3 64 2 11" xfId="2387" xr:uid="{00000000-0005-0000-0000-0000C10D0000}"/>
    <cellStyle name="Normal 4 3 64 2 12" xfId="2388" xr:uid="{00000000-0005-0000-0000-0000C20D0000}"/>
    <cellStyle name="Normal 4 3 64 2 13" xfId="2389" xr:uid="{00000000-0005-0000-0000-0000C30D0000}"/>
    <cellStyle name="Normal 4 3 64 2 14" xfId="2390" xr:uid="{00000000-0005-0000-0000-0000C40D0000}"/>
    <cellStyle name="Normal 4 3 64 2 15" xfId="2391" xr:uid="{00000000-0005-0000-0000-0000C50D0000}"/>
    <cellStyle name="Normal 4 3 64 2 16" xfId="2392" xr:uid="{00000000-0005-0000-0000-0000C60D0000}"/>
    <cellStyle name="Normal 4 3 64 2 17" xfId="2393" xr:uid="{00000000-0005-0000-0000-0000C70D0000}"/>
    <cellStyle name="Normal 4 3 64 2 18" xfId="2394" xr:uid="{00000000-0005-0000-0000-0000C80D0000}"/>
    <cellStyle name="Normal 4 3 64 2 19" xfId="2395" xr:uid="{00000000-0005-0000-0000-0000C90D0000}"/>
    <cellStyle name="Normal 4 3 64 2 2" xfId="2396" xr:uid="{00000000-0005-0000-0000-0000CA0D0000}"/>
    <cellStyle name="Normal 4 3 64 2 20" xfId="2397" xr:uid="{00000000-0005-0000-0000-0000CB0D0000}"/>
    <cellStyle name="Normal 4 3 64 2 21" xfId="2398" xr:uid="{00000000-0005-0000-0000-0000CC0D0000}"/>
    <cellStyle name="Normal 4 3 64 2 22" xfId="2399" xr:uid="{00000000-0005-0000-0000-0000CD0D0000}"/>
    <cellStyle name="Normal 4 3 64 2 23" xfId="2400" xr:uid="{00000000-0005-0000-0000-0000CE0D0000}"/>
    <cellStyle name="Normal 4 3 64 2 24" xfId="2401" xr:uid="{00000000-0005-0000-0000-0000CF0D0000}"/>
    <cellStyle name="Normal 4 3 64 2 3" xfId="2402" xr:uid="{00000000-0005-0000-0000-0000D00D0000}"/>
    <cellStyle name="Normal 4 3 64 2 4" xfId="2403" xr:uid="{00000000-0005-0000-0000-0000D10D0000}"/>
    <cellStyle name="Normal 4 3 64 2 5" xfId="2404" xr:uid="{00000000-0005-0000-0000-0000D20D0000}"/>
    <cellStyle name="Normal 4 3 64 2 6" xfId="2405" xr:uid="{00000000-0005-0000-0000-0000D30D0000}"/>
    <cellStyle name="Normal 4 3 64 2 7" xfId="2406" xr:uid="{00000000-0005-0000-0000-0000D40D0000}"/>
    <cellStyle name="Normal 4 3 64 2 8" xfId="2407" xr:uid="{00000000-0005-0000-0000-0000D50D0000}"/>
    <cellStyle name="Normal 4 3 64 2 9" xfId="2408" xr:uid="{00000000-0005-0000-0000-0000D60D0000}"/>
    <cellStyle name="Normal 4 3 64 20" xfId="2409" xr:uid="{00000000-0005-0000-0000-0000D70D0000}"/>
    <cellStyle name="Normal 4 3 64 21" xfId="2410" xr:uid="{00000000-0005-0000-0000-0000D80D0000}"/>
    <cellStyle name="Normal 4 3 64 22" xfId="2411" xr:uid="{00000000-0005-0000-0000-0000D90D0000}"/>
    <cellStyle name="Normal 4 3 64 23" xfId="2412" xr:uid="{00000000-0005-0000-0000-0000DA0D0000}"/>
    <cellStyle name="Normal 4 3 64 24" xfId="2413" xr:uid="{00000000-0005-0000-0000-0000DB0D0000}"/>
    <cellStyle name="Normal 4 3 64 3" xfId="2414" xr:uid="{00000000-0005-0000-0000-0000DC0D0000}"/>
    <cellStyle name="Normal 4 3 64 4" xfId="2415" xr:uid="{00000000-0005-0000-0000-0000DD0D0000}"/>
    <cellStyle name="Normal 4 3 64 5" xfId="2416" xr:uid="{00000000-0005-0000-0000-0000DE0D0000}"/>
    <cellStyle name="Normal 4 3 64 6" xfId="2417" xr:uid="{00000000-0005-0000-0000-0000DF0D0000}"/>
    <cellStyle name="Normal 4 3 64 7" xfId="2418" xr:uid="{00000000-0005-0000-0000-0000E00D0000}"/>
    <cellStyle name="Normal 4 3 64 8" xfId="2419" xr:uid="{00000000-0005-0000-0000-0000E10D0000}"/>
    <cellStyle name="Normal 4 3 64 9" xfId="2420" xr:uid="{00000000-0005-0000-0000-0000E20D0000}"/>
    <cellStyle name="Normal 4 3 65" xfId="2421" xr:uid="{00000000-0005-0000-0000-0000E30D0000}"/>
    <cellStyle name="Normal 4 3 66" xfId="2422" xr:uid="{00000000-0005-0000-0000-0000E40D0000}"/>
    <cellStyle name="Normal 4 3 67" xfId="2423" xr:uid="{00000000-0005-0000-0000-0000E50D0000}"/>
    <cellStyle name="Normal 4 3 68" xfId="2424" xr:uid="{00000000-0005-0000-0000-0000E60D0000}"/>
    <cellStyle name="Normal 4 3 69" xfId="2425" xr:uid="{00000000-0005-0000-0000-0000E70D0000}"/>
    <cellStyle name="Normal 4 3 7" xfId="2426" xr:uid="{00000000-0005-0000-0000-0000E80D0000}"/>
    <cellStyle name="Normal 4 3 70" xfId="2427" xr:uid="{00000000-0005-0000-0000-0000E90D0000}"/>
    <cellStyle name="Normal 4 3 71" xfId="2428" xr:uid="{00000000-0005-0000-0000-0000EA0D0000}"/>
    <cellStyle name="Normal 4 3 72" xfId="2429" xr:uid="{00000000-0005-0000-0000-0000EB0D0000}"/>
    <cellStyle name="Normal 4 3 73" xfId="2430" xr:uid="{00000000-0005-0000-0000-0000EC0D0000}"/>
    <cellStyle name="Normal 4 3 74" xfId="2431" xr:uid="{00000000-0005-0000-0000-0000ED0D0000}"/>
    <cellStyle name="Normal 4 3 75" xfId="2432" xr:uid="{00000000-0005-0000-0000-0000EE0D0000}"/>
    <cellStyle name="Normal 4 3 76" xfId="2433" xr:uid="{00000000-0005-0000-0000-0000EF0D0000}"/>
    <cellStyle name="Normal 4 3 77" xfId="2434" xr:uid="{00000000-0005-0000-0000-0000F00D0000}"/>
    <cellStyle name="Normal 4 3 78" xfId="2435" xr:uid="{00000000-0005-0000-0000-0000F10D0000}"/>
    <cellStyle name="Normal 4 3 79" xfId="2436" xr:uid="{00000000-0005-0000-0000-0000F20D0000}"/>
    <cellStyle name="Normal 4 3 8" xfId="2437" xr:uid="{00000000-0005-0000-0000-0000F30D0000}"/>
    <cellStyle name="Normal 4 3 80" xfId="2438" xr:uid="{00000000-0005-0000-0000-0000F40D0000}"/>
    <cellStyle name="Normal 4 3 81" xfId="2439" xr:uid="{00000000-0005-0000-0000-0000F50D0000}"/>
    <cellStyle name="Normal 4 3 82" xfId="2440" xr:uid="{00000000-0005-0000-0000-0000F60D0000}"/>
    <cellStyle name="Normal 4 3 83" xfId="2441" xr:uid="{00000000-0005-0000-0000-0000F70D0000}"/>
    <cellStyle name="Normal 4 3 84" xfId="2442" xr:uid="{00000000-0005-0000-0000-0000F80D0000}"/>
    <cellStyle name="Normal 4 3 85" xfId="2443" xr:uid="{00000000-0005-0000-0000-0000F90D0000}"/>
    <cellStyle name="Normal 4 3 86" xfId="2444" xr:uid="{00000000-0005-0000-0000-0000FA0D0000}"/>
    <cellStyle name="Normal 4 3 87" xfId="2445" xr:uid="{00000000-0005-0000-0000-0000FB0D0000}"/>
    <cellStyle name="Normal 4 3 88" xfId="2446" xr:uid="{00000000-0005-0000-0000-0000FC0D0000}"/>
    <cellStyle name="Normal 4 3 89" xfId="2447" xr:uid="{00000000-0005-0000-0000-0000FD0D0000}"/>
    <cellStyle name="Normal 4 3 9" xfId="2448" xr:uid="{00000000-0005-0000-0000-0000FE0D0000}"/>
    <cellStyle name="Normal 4 3 90" xfId="2449" xr:uid="{00000000-0005-0000-0000-0000FF0D0000}"/>
    <cellStyle name="Normal 4 3 91" xfId="2450" xr:uid="{00000000-0005-0000-0000-0000000E0000}"/>
    <cellStyle name="Normal 4 3 92" xfId="2451" xr:uid="{00000000-0005-0000-0000-0000010E0000}"/>
    <cellStyle name="Normal 4 30" xfId="2452" xr:uid="{00000000-0005-0000-0000-0000020E0000}"/>
    <cellStyle name="Normal 4 31" xfId="2453" xr:uid="{00000000-0005-0000-0000-0000030E0000}"/>
    <cellStyle name="Normal 4 32" xfId="2454" xr:uid="{00000000-0005-0000-0000-0000040E0000}"/>
    <cellStyle name="Normal 4 33" xfId="2455" xr:uid="{00000000-0005-0000-0000-0000050E0000}"/>
    <cellStyle name="Normal 4 34" xfId="2456" xr:uid="{00000000-0005-0000-0000-0000060E0000}"/>
    <cellStyle name="Normal 4 35" xfId="2457" xr:uid="{00000000-0005-0000-0000-0000070E0000}"/>
    <cellStyle name="Normal 4 36" xfId="2458" xr:uid="{00000000-0005-0000-0000-0000080E0000}"/>
    <cellStyle name="Normal 4 37" xfId="2459" xr:uid="{00000000-0005-0000-0000-0000090E0000}"/>
    <cellStyle name="Normal 4 38" xfId="2460" xr:uid="{00000000-0005-0000-0000-00000A0E0000}"/>
    <cellStyle name="Normal 4 39" xfId="2461" xr:uid="{00000000-0005-0000-0000-00000B0E0000}"/>
    <cellStyle name="Normal 4 4" xfId="2462" xr:uid="{00000000-0005-0000-0000-00000C0E0000}"/>
    <cellStyle name="Normal 4 4 10" xfId="2463" xr:uid="{00000000-0005-0000-0000-00000D0E0000}"/>
    <cellStyle name="Normal 4 4 11" xfId="2464" xr:uid="{00000000-0005-0000-0000-00000E0E0000}"/>
    <cellStyle name="Normal 4 4 12" xfId="2465" xr:uid="{00000000-0005-0000-0000-00000F0E0000}"/>
    <cellStyle name="Normal 4 4 13" xfId="2466" xr:uid="{00000000-0005-0000-0000-0000100E0000}"/>
    <cellStyle name="Normal 4 4 14" xfId="2467" xr:uid="{00000000-0005-0000-0000-0000110E0000}"/>
    <cellStyle name="Normal 4 4 15" xfId="2468" xr:uid="{00000000-0005-0000-0000-0000120E0000}"/>
    <cellStyle name="Normal 4 4 16" xfId="2469" xr:uid="{00000000-0005-0000-0000-0000130E0000}"/>
    <cellStyle name="Normal 4 4 17" xfId="2470" xr:uid="{00000000-0005-0000-0000-0000140E0000}"/>
    <cellStyle name="Normal 4 4 18" xfId="2471" xr:uid="{00000000-0005-0000-0000-0000150E0000}"/>
    <cellStyle name="Normal 4 4 19" xfId="2472" xr:uid="{00000000-0005-0000-0000-0000160E0000}"/>
    <cellStyle name="Normal 4 4 2" xfId="2473" xr:uid="{00000000-0005-0000-0000-0000170E0000}"/>
    <cellStyle name="Normal 4 4 2 10" xfId="2474" xr:uid="{00000000-0005-0000-0000-0000180E0000}"/>
    <cellStyle name="Normal 4 4 2 11" xfId="2475" xr:uid="{00000000-0005-0000-0000-0000190E0000}"/>
    <cellStyle name="Normal 4 4 2 12" xfId="2476" xr:uid="{00000000-0005-0000-0000-00001A0E0000}"/>
    <cellStyle name="Normal 4 4 2 13" xfId="2477" xr:uid="{00000000-0005-0000-0000-00001B0E0000}"/>
    <cellStyle name="Normal 4 4 2 14" xfId="2478" xr:uid="{00000000-0005-0000-0000-00001C0E0000}"/>
    <cellStyle name="Normal 4 4 2 15" xfId="2479" xr:uid="{00000000-0005-0000-0000-00001D0E0000}"/>
    <cellStyle name="Normal 4 4 2 16" xfId="2480" xr:uid="{00000000-0005-0000-0000-00001E0E0000}"/>
    <cellStyle name="Normal 4 4 2 17" xfId="2481" xr:uid="{00000000-0005-0000-0000-00001F0E0000}"/>
    <cellStyle name="Normal 4 4 2 18" xfId="2482" xr:uid="{00000000-0005-0000-0000-0000200E0000}"/>
    <cellStyle name="Normal 4 4 2 19" xfId="2483" xr:uid="{00000000-0005-0000-0000-0000210E0000}"/>
    <cellStyle name="Normal 4 4 2 2" xfId="2484" xr:uid="{00000000-0005-0000-0000-0000220E0000}"/>
    <cellStyle name="Normal 4 4 2 2 10" xfId="2485" xr:uid="{00000000-0005-0000-0000-0000230E0000}"/>
    <cellStyle name="Normal 4 4 2 2 11" xfId="2486" xr:uid="{00000000-0005-0000-0000-0000240E0000}"/>
    <cellStyle name="Normal 4 4 2 2 12" xfId="2487" xr:uid="{00000000-0005-0000-0000-0000250E0000}"/>
    <cellStyle name="Normal 4 4 2 2 13" xfId="2488" xr:uid="{00000000-0005-0000-0000-0000260E0000}"/>
    <cellStyle name="Normal 4 4 2 2 14" xfId="2489" xr:uid="{00000000-0005-0000-0000-0000270E0000}"/>
    <cellStyle name="Normal 4 4 2 2 15" xfId="2490" xr:uid="{00000000-0005-0000-0000-0000280E0000}"/>
    <cellStyle name="Normal 4 4 2 2 16" xfId="2491" xr:uid="{00000000-0005-0000-0000-0000290E0000}"/>
    <cellStyle name="Normal 4 4 2 2 17" xfId="2492" xr:uid="{00000000-0005-0000-0000-00002A0E0000}"/>
    <cellStyle name="Normal 4 4 2 2 18" xfId="2493" xr:uid="{00000000-0005-0000-0000-00002B0E0000}"/>
    <cellStyle name="Normal 4 4 2 2 19" xfId="2494" xr:uid="{00000000-0005-0000-0000-00002C0E0000}"/>
    <cellStyle name="Normal 4 4 2 2 2" xfId="2495" xr:uid="{00000000-0005-0000-0000-00002D0E0000}"/>
    <cellStyle name="Normal 4 4 2 2 2 10" xfId="2496" xr:uid="{00000000-0005-0000-0000-00002E0E0000}"/>
    <cellStyle name="Normal 4 4 2 2 2 11" xfId="2497" xr:uid="{00000000-0005-0000-0000-00002F0E0000}"/>
    <cellStyle name="Normal 4 4 2 2 2 12" xfId="2498" xr:uid="{00000000-0005-0000-0000-0000300E0000}"/>
    <cellStyle name="Normal 4 4 2 2 2 13" xfId="2499" xr:uid="{00000000-0005-0000-0000-0000310E0000}"/>
    <cellStyle name="Normal 4 4 2 2 2 14" xfId="2500" xr:uid="{00000000-0005-0000-0000-0000320E0000}"/>
    <cellStyle name="Normal 4 4 2 2 2 15" xfId="2501" xr:uid="{00000000-0005-0000-0000-0000330E0000}"/>
    <cellStyle name="Normal 4 4 2 2 2 16" xfId="2502" xr:uid="{00000000-0005-0000-0000-0000340E0000}"/>
    <cellStyle name="Normal 4 4 2 2 2 17" xfId="2503" xr:uid="{00000000-0005-0000-0000-0000350E0000}"/>
    <cellStyle name="Normal 4 4 2 2 2 18" xfId="2504" xr:uid="{00000000-0005-0000-0000-0000360E0000}"/>
    <cellStyle name="Normal 4 4 2 2 2 19" xfId="2505" xr:uid="{00000000-0005-0000-0000-0000370E0000}"/>
    <cellStyle name="Normal 4 4 2 2 2 2" xfId="2506" xr:uid="{00000000-0005-0000-0000-0000380E0000}"/>
    <cellStyle name="Normal 4 4 2 2 2 20" xfId="2507" xr:uid="{00000000-0005-0000-0000-0000390E0000}"/>
    <cellStyle name="Normal 4 4 2 2 2 21" xfId="2508" xr:uid="{00000000-0005-0000-0000-00003A0E0000}"/>
    <cellStyle name="Normal 4 4 2 2 2 22" xfId="2509" xr:uid="{00000000-0005-0000-0000-00003B0E0000}"/>
    <cellStyle name="Normal 4 4 2 2 2 23" xfId="2510" xr:uid="{00000000-0005-0000-0000-00003C0E0000}"/>
    <cellStyle name="Normal 4 4 2 2 2 24" xfId="2511" xr:uid="{00000000-0005-0000-0000-00003D0E0000}"/>
    <cellStyle name="Normal 4 4 2 2 2 3" xfId="2512" xr:uid="{00000000-0005-0000-0000-00003E0E0000}"/>
    <cellStyle name="Normal 4 4 2 2 2 4" xfId="2513" xr:uid="{00000000-0005-0000-0000-00003F0E0000}"/>
    <cellStyle name="Normal 4 4 2 2 2 5" xfId="2514" xr:uid="{00000000-0005-0000-0000-0000400E0000}"/>
    <cellStyle name="Normal 4 4 2 2 2 6" xfId="2515" xr:uid="{00000000-0005-0000-0000-0000410E0000}"/>
    <cellStyle name="Normal 4 4 2 2 2 7" xfId="2516" xr:uid="{00000000-0005-0000-0000-0000420E0000}"/>
    <cellStyle name="Normal 4 4 2 2 2 8" xfId="2517" xr:uid="{00000000-0005-0000-0000-0000430E0000}"/>
    <cellStyle name="Normal 4 4 2 2 2 9" xfId="2518" xr:uid="{00000000-0005-0000-0000-0000440E0000}"/>
    <cellStyle name="Normal 4 4 2 2 20" xfId="2519" xr:uid="{00000000-0005-0000-0000-0000450E0000}"/>
    <cellStyle name="Normal 4 4 2 2 21" xfId="2520" xr:uid="{00000000-0005-0000-0000-0000460E0000}"/>
    <cellStyle name="Normal 4 4 2 2 22" xfId="2521" xr:uid="{00000000-0005-0000-0000-0000470E0000}"/>
    <cellStyle name="Normal 4 4 2 2 23" xfId="2522" xr:uid="{00000000-0005-0000-0000-0000480E0000}"/>
    <cellStyle name="Normal 4 4 2 2 24" xfId="2523" xr:uid="{00000000-0005-0000-0000-0000490E0000}"/>
    <cellStyle name="Normal 4 4 2 2 3" xfId="2524" xr:uid="{00000000-0005-0000-0000-00004A0E0000}"/>
    <cellStyle name="Normal 4 4 2 2 4" xfId="2525" xr:uid="{00000000-0005-0000-0000-00004B0E0000}"/>
    <cellStyle name="Normal 4 4 2 2 5" xfId="2526" xr:uid="{00000000-0005-0000-0000-00004C0E0000}"/>
    <cellStyle name="Normal 4 4 2 2 6" xfId="2527" xr:uid="{00000000-0005-0000-0000-00004D0E0000}"/>
    <cellStyle name="Normal 4 4 2 2 7" xfId="2528" xr:uid="{00000000-0005-0000-0000-00004E0E0000}"/>
    <cellStyle name="Normal 4 4 2 2 8" xfId="2529" xr:uid="{00000000-0005-0000-0000-00004F0E0000}"/>
    <cellStyle name="Normal 4 4 2 2 9" xfId="2530" xr:uid="{00000000-0005-0000-0000-0000500E0000}"/>
    <cellStyle name="Normal 4 4 2 20" xfId="2531" xr:uid="{00000000-0005-0000-0000-0000510E0000}"/>
    <cellStyle name="Normal 4 4 2 21" xfId="2532" xr:uid="{00000000-0005-0000-0000-0000520E0000}"/>
    <cellStyle name="Normal 4 4 2 22" xfId="2533" xr:uid="{00000000-0005-0000-0000-0000530E0000}"/>
    <cellStyle name="Normal 4 4 2 23" xfId="2534" xr:uid="{00000000-0005-0000-0000-0000540E0000}"/>
    <cellStyle name="Normal 4 4 2 24" xfId="2535" xr:uid="{00000000-0005-0000-0000-0000550E0000}"/>
    <cellStyle name="Normal 4 4 2 25" xfId="2536" xr:uid="{00000000-0005-0000-0000-0000560E0000}"/>
    <cellStyle name="Normal 4 4 2 26" xfId="2537" xr:uid="{00000000-0005-0000-0000-0000570E0000}"/>
    <cellStyle name="Normal 4 4 2 27" xfId="2538" xr:uid="{00000000-0005-0000-0000-0000580E0000}"/>
    <cellStyle name="Normal 4 4 2 28" xfId="2539" xr:uid="{00000000-0005-0000-0000-0000590E0000}"/>
    <cellStyle name="Normal 4 4 2 29" xfId="2540" xr:uid="{00000000-0005-0000-0000-00005A0E0000}"/>
    <cellStyle name="Normal 4 4 2 3" xfId="2541" xr:uid="{00000000-0005-0000-0000-00005B0E0000}"/>
    <cellStyle name="Normal 4 4 2 30" xfId="2542" xr:uid="{00000000-0005-0000-0000-00005C0E0000}"/>
    <cellStyle name="Normal 4 4 2 4" xfId="2543" xr:uid="{00000000-0005-0000-0000-00005D0E0000}"/>
    <cellStyle name="Normal 4 4 2 5" xfId="2544" xr:uid="{00000000-0005-0000-0000-00005E0E0000}"/>
    <cellStyle name="Normal 4 4 2 6" xfId="2545" xr:uid="{00000000-0005-0000-0000-00005F0E0000}"/>
    <cellStyle name="Normal 4 4 2 7" xfId="2546" xr:uid="{00000000-0005-0000-0000-0000600E0000}"/>
    <cellStyle name="Normal 4 4 2 8" xfId="2547" xr:uid="{00000000-0005-0000-0000-0000610E0000}"/>
    <cellStyle name="Normal 4 4 2 9" xfId="2548" xr:uid="{00000000-0005-0000-0000-0000620E0000}"/>
    <cellStyle name="Normal 4 4 20" xfId="2549" xr:uid="{00000000-0005-0000-0000-0000630E0000}"/>
    <cellStyle name="Normal 4 4 21" xfId="2550" xr:uid="{00000000-0005-0000-0000-0000640E0000}"/>
    <cellStyle name="Normal 4 4 22" xfId="2551" xr:uid="{00000000-0005-0000-0000-0000650E0000}"/>
    <cellStyle name="Normal 4 4 23" xfId="2552" xr:uid="{00000000-0005-0000-0000-0000660E0000}"/>
    <cellStyle name="Normal 4 4 24" xfId="2553" xr:uid="{00000000-0005-0000-0000-0000670E0000}"/>
    <cellStyle name="Normal 4 4 25" xfId="2554" xr:uid="{00000000-0005-0000-0000-0000680E0000}"/>
    <cellStyle name="Normal 4 4 26" xfId="2555" xr:uid="{00000000-0005-0000-0000-0000690E0000}"/>
    <cellStyle name="Normal 4 4 27" xfId="2556" xr:uid="{00000000-0005-0000-0000-00006A0E0000}"/>
    <cellStyle name="Normal 4 4 28" xfId="2557" xr:uid="{00000000-0005-0000-0000-00006B0E0000}"/>
    <cellStyle name="Normal 4 4 29" xfId="2558" xr:uid="{00000000-0005-0000-0000-00006C0E0000}"/>
    <cellStyle name="Normal 4 4 3" xfId="2559" xr:uid="{00000000-0005-0000-0000-00006D0E0000}"/>
    <cellStyle name="Normal 4 4 3 10" xfId="2560" xr:uid="{00000000-0005-0000-0000-00006E0E0000}"/>
    <cellStyle name="Normal 4 4 3 11" xfId="2561" xr:uid="{00000000-0005-0000-0000-00006F0E0000}"/>
    <cellStyle name="Normal 4 4 3 12" xfId="2562" xr:uid="{00000000-0005-0000-0000-0000700E0000}"/>
    <cellStyle name="Normal 4 4 3 13" xfId="2563" xr:uid="{00000000-0005-0000-0000-0000710E0000}"/>
    <cellStyle name="Normal 4 4 3 14" xfId="2564" xr:uid="{00000000-0005-0000-0000-0000720E0000}"/>
    <cellStyle name="Normal 4 4 3 15" xfId="2565" xr:uid="{00000000-0005-0000-0000-0000730E0000}"/>
    <cellStyle name="Normal 4 4 3 16" xfId="2566" xr:uid="{00000000-0005-0000-0000-0000740E0000}"/>
    <cellStyle name="Normal 4 4 3 17" xfId="2567" xr:uid="{00000000-0005-0000-0000-0000750E0000}"/>
    <cellStyle name="Normal 4 4 3 18" xfId="2568" xr:uid="{00000000-0005-0000-0000-0000760E0000}"/>
    <cellStyle name="Normal 4 4 3 19" xfId="2569" xr:uid="{00000000-0005-0000-0000-0000770E0000}"/>
    <cellStyle name="Normal 4 4 3 2" xfId="2570" xr:uid="{00000000-0005-0000-0000-0000780E0000}"/>
    <cellStyle name="Normal 4 4 3 2 10" xfId="2571" xr:uid="{00000000-0005-0000-0000-0000790E0000}"/>
    <cellStyle name="Normal 4 4 3 2 11" xfId="2572" xr:uid="{00000000-0005-0000-0000-00007A0E0000}"/>
    <cellStyle name="Normal 4 4 3 2 12" xfId="2573" xr:uid="{00000000-0005-0000-0000-00007B0E0000}"/>
    <cellStyle name="Normal 4 4 3 2 13" xfId="2574" xr:uid="{00000000-0005-0000-0000-00007C0E0000}"/>
    <cellStyle name="Normal 4 4 3 2 14" xfId="2575" xr:uid="{00000000-0005-0000-0000-00007D0E0000}"/>
    <cellStyle name="Normal 4 4 3 2 15" xfId="2576" xr:uid="{00000000-0005-0000-0000-00007E0E0000}"/>
    <cellStyle name="Normal 4 4 3 2 16" xfId="2577" xr:uid="{00000000-0005-0000-0000-00007F0E0000}"/>
    <cellStyle name="Normal 4 4 3 2 17" xfId="2578" xr:uid="{00000000-0005-0000-0000-0000800E0000}"/>
    <cellStyle name="Normal 4 4 3 2 18" xfId="2579" xr:uid="{00000000-0005-0000-0000-0000810E0000}"/>
    <cellStyle name="Normal 4 4 3 2 19" xfId="2580" xr:uid="{00000000-0005-0000-0000-0000820E0000}"/>
    <cellStyle name="Normal 4 4 3 2 2" xfId="2581" xr:uid="{00000000-0005-0000-0000-0000830E0000}"/>
    <cellStyle name="Normal 4 4 3 2 20" xfId="2582" xr:uid="{00000000-0005-0000-0000-0000840E0000}"/>
    <cellStyle name="Normal 4 4 3 2 21" xfId="2583" xr:uid="{00000000-0005-0000-0000-0000850E0000}"/>
    <cellStyle name="Normal 4 4 3 2 22" xfId="2584" xr:uid="{00000000-0005-0000-0000-0000860E0000}"/>
    <cellStyle name="Normal 4 4 3 2 23" xfId="2585" xr:uid="{00000000-0005-0000-0000-0000870E0000}"/>
    <cellStyle name="Normal 4 4 3 2 24" xfId="2586" xr:uid="{00000000-0005-0000-0000-0000880E0000}"/>
    <cellStyle name="Normal 4 4 3 2 3" xfId="2587" xr:uid="{00000000-0005-0000-0000-0000890E0000}"/>
    <cellStyle name="Normal 4 4 3 2 4" xfId="2588" xr:uid="{00000000-0005-0000-0000-00008A0E0000}"/>
    <cellStyle name="Normal 4 4 3 2 5" xfId="2589" xr:uid="{00000000-0005-0000-0000-00008B0E0000}"/>
    <cellStyle name="Normal 4 4 3 2 6" xfId="2590" xr:uid="{00000000-0005-0000-0000-00008C0E0000}"/>
    <cellStyle name="Normal 4 4 3 2 7" xfId="2591" xr:uid="{00000000-0005-0000-0000-00008D0E0000}"/>
    <cellStyle name="Normal 4 4 3 2 8" xfId="2592" xr:uid="{00000000-0005-0000-0000-00008E0E0000}"/>
    <cellStyle name="Normal 4 4 3 2 9" xfId="2593" xr:uid="{00000000-0005-0000-0000-00008F0E0000}"/>
    <cellStyle name="Normal 4 4 3 20" xfId="2594" xr:uid="{00000000-0005-0000-0000-0000900E0000}"/>
    <cellStyle name="Normal 4 4 3 21" xfId="2595" xr:uid="{00000000-0005-0000-0000-0000910E0000}"/>
    <cellStyle name="Normal 4 4 3 22" xfId="2596" xr:uid="{00000000-0005-0000-0000-0000920E0000}"/>
    <cellStyle name="Normal 4 4 3 23" xfId="2597" xr:uid="{00000000-0005-0000-0000-0000930E0000}"/>
    <cellStyle name="Normal 4 4 3 24" xfId="2598" xr:uid="{00000000-0005-0000-0000-0000940E0000}"/>
    <cellStyle name="Normal 4 4 3 3" xfId="2599" xr:uid="{00000000-0005-0000-0000-0000950E0000}"/>
    <cellStyle name="Normal 4 4 3 4" xfId="2600" xr:uid="{00000000-0005-0000-0000-0000960E0000}"/>
    <cellStyle name="Normal 4 4 3 5" xfId="2601" xr:uid="{00000000-0005-0000-0000-0000970E0000}"/>
    <cellStyle name="Normal 4 4 3 6" xfId="2602" xr:uid="{00000000-0005-0000-0000-0000980E0000}"/>
    <cellStyle name="Normal 4 4 3 7" xfId="2603" xr:uid="{00000000-0005-0000-0000-0000990E0000}"/>
    <cellStyle name="Normal 4 4 3 8" xfId="2604" xr:uid="{00000000-0005-0000-0000-00009A0E0000}"/>
    <cellStyle name="Normal 4 4 3 9" xfId="2605" xr:uid="{00000000-0005-0000-0000-00009B0E0000}"/>
    <cellStyle name="Normal 4 4 30" xfId="2606" xr:uid="{00000000-0005-0000-0000-00009C0E0000}"/>
    <cellStyle name="Normal 4 4 4" xfId="2607" xr:uid="{00000000-0005-0000-0000-00009D0E0000}"/>
    <cellStyle name="Normal 4 4 5" xfId="2608" xr:uid="{00000000-0005-0000-0000-00009E0E0000}"/>
    <cellStyle name="Normal 4 4 6" xfId="2609" xr:uid="{00000000-0005-0000-0000-00009F0E0000}"/>
    <cellStyle name="Normal 4 4 7" xfId="2610" xr:uid="{00000000-0005-0000-0000-0000A00E0000}"/>
    <cellStyle name="Normal 4 4 8" xfId="2611" xr:uid="{00000000-0005-0000-0000-0000A10E0000}"/>
    <cellStyle name="Normal 4 4 9" xfId="2612" xr:uid="{00000000-0005-0000-0000-0000A20E0000}"/>
    <cellStyle name="Normal 4 40" xfId="2613" xr:uid="{00000000-0005-0000-0000-0000A30E0000}"/>
    <cellStyle name="Normal 4 41" xfId="2614" xr:uid="{00000000-0005-0000-0000-0000A40E0000}"/>
    <cellStyle name="Normal 4 42" xfId="2615" xr:uid="{00000000-0005-0000-0000-0000A50E0000}"/>
    <cellStyle name="Normal 4 43" xfId="2616" xr:uid="{00000000-0005-0000-0000-0000A60E0000}"/>
    <cellStyle name="Normal 4 44" xfId="2617" xr:uid="{00000000-0005-0000-0000-0000A70E0000}"/>
    <cellStyle name="Normal 4 45" xfId="2618" xr:uid="{00000000-0005-0000-0000-0000A80E0000}"/>
    <cellStyle name="Normal 4 46" xfId="2619" xr:uid="{00000000-0005-0000-0000-0000A90E0000}"/>
    <cellStyle name="Normal 4 47" xfId="2620" xr:uid="{00000000-0005-0000-0000-0000AA0E0000}"/>
    <cellStyle name="Normal 4 48" xfId="2621" xr:uid="{00000000-0005-0000-0000-0000AB0E0000}"/>
    <cellStyle name="Normal 4 49" xfId="2622" xr:uid="{00000000-0005-0000-0000-0000AC0E0000}"/>
    <cellStyle name="Normal 4 5" xfId="2623" xr:uid="{00000000-0005-0000-0000-0000AD0E0000}"/>
    <cellStyle name="Normal 4 50" xfId="2624" xr:uid="{00000000-0005-0000-0000-0000AE0E0000}"/>
    <cellStyle name="Normal 4 51" xfId="2625" xr:uid="{00000000-0005-0000-0000-0000AF0E0000}"/>
    <cellStyle name="Normal 4 52" xfId="2626" xr:uid="{00000000-0005-0000-0000-0000B00E0000}"/>
    <cellStyle name="Normal 4 53" xfId="2627" xr:uid="{00000000-0005-0000-0000-0000B10E0000}"/>
    <cellStyle name="Normal 4 54" xfId="2628" xr:uid="{00000000-0005-0000-0000-0000B20E0000}"/>
    <cellStyle name="Normal 4 55" xfId="2629" xr:uid="{00000000-0005-0000-0000-0000B30E0000}"/>
    <cellStyle name="Normal 4 56" xfId="2630" xr:uid="{00000000-0005-0000-0000-0000B40E0000}"/>
    <cellStyle name="Normal 4 57" xfId="2631" xr:uid="{00000000-0005-0000-0000-0000B50E0000}"/>
    <cellStyle name="Normal 4 58" xfId="2632" xr:uid="{00000000-0005-0000-0000-0000B60E0000}"/>
    <cellStyle name="Normal 4 59" xfId="2633" xr:uid="{00000000-0005-0000-0000-0000B70E0000}"/>
    <cellStyle name="Normal 4 6" xfId="2634" xr:uid="{00000000-0005-0000-0000-0000B80E0000}"/>
    <cellStyle name="Normal 4 60" xfId="2635" xr:uid="{00000000-0005-0000-0000-0000B90E0000}"/>
    <cellStyle name="Normal 4 61" xfId="2636" xr:uid="{00000000-0005-0000-0000-0000BA0E0000}"/>
    <cellStyle name="Normal 4 62" xfId="2637" xr:uid="{00000000-0005-0000-0000-0000BB0E0000}"/>
    <cellStyle name="Normal 4 63" xfId="2638" xr:uid="{00000000-0005-0000-0000-0000BC0E0000}"/>
    <cellStyle name="Normal 4 64" xfId="2639" xr:uid="{00000000-0005-0000-0000-0000BD0E0000}"/>
    <cellStyle name="Normal 4 65" xfId="2640" xr:uid="{00000000-0005-0000-0000-0000BE0E0000}"/>
    <cellStyle name="Normal 4 66" xfId="2641" xr:uid="{00000000-0005-0000-0000-0000BF0E0000}"/>
    <cellStyle name="Normal 4 66 10" xfId="2642" xr:uid="{00000000-0005-0000-0000-0000C00E0000}"/>
    <cellStyle name="Normal 4 66 11" xfId="2643" xr:uid="{00000000-0005-0000-0000-0000C10E0000}"/>
    <cellStyle name="Normal 4 66 12" xfId="2644" xr:uid="{00000000-0005-0000-0000-0000C20E0000}"/>
    <cellStyle name="Normal 4 66 13" xfId="2645" xr:uid="{00000000-0005-0000-0000-0000C30E0000}"/>
    <cellStyle name="Normal 4 66 14" xfId="2646" xr:uid="{00000000-0005-0000-0000-0000C40E0000}"/>
    <cellStyle name="Normal 4 66 15" xfId="2647" xr:uid="{00000000-0005-0000-0000-0000C50E0000}"/>
    <cellStyle name="Normal 4 66 16" xfId="2648" xr:uid="{00000000-0005-0000-0000-0000C60E0000}"/>
    <cellStyle name="Normal 4 66 17" xfId="2649" xr:uid="{00000000-0005-0000-0000-0000C70E0000}"/>
    <cellStyle name="Normal 4 66 18" xfId="2650" xr:uid="{00000000-0005-0000-0000-0000C80E0000}"/>
    <cellStyle name="Normal 4 66 19" xfId="2651" xr:uid="{00000000-0005-0000-0000-0000C90E0000}"/>
    <cellStyle name="Normal 4 66 2" xfId="2652" xr:uid="{00000000-0005-0000-0000-0000CA0E0000}"/>
    <cellStyle name="Normal 4 66 2 10" xfId="2653" xr:uid="{00000000-0005-0000-0000-0000CB0E0000}"/>
    <cellStyle name="Normal 4 66 2 11" xfId="2654" xr:uid="{00000000-0005-0000-0000-0000CC0E0000}"/>
    <cellStyle name="Normal 4 66 2 12" xfId="2655" xr:uid="{00000000-0005-0000-0000-0000CD0E0000}"/>
    <cellStyle name="Normal 4 66 2 13" xfId="2656" xr:uid="{00000000-0005-0000-0000-0000CE0E0000}"/>
    <cellStyle name="Normal 4 66 2 14" xfId="2657" xr:uid="{00000000-0005-0000-0000-0000CF0E0000}"/>
    <cellStyle name="Normal 4 66 2 15" xfId="2658" xr:uid="{00000000-0005-0000-0000-0000D00E0000}"/>
    <cellStyle name="Normal 4 66 2 16" xfId="2659" xr:uid="{00000000-0005-0000-0000-0000D10E0000}"/>
    <cellStyle name="Normal 4 66 2 17" xfId="2660" xr:uid="{00000000-0005-0000-0000-0000D20E0000}"/>
    <cellStyle name="Normal 4 66 2 18" xfId="2661" xr:uid="{00000000-0005-0000-0000-0000D30E0000}"/>
    <cellStyle name="Normal 4 66 2 19" xfId="2662" xr:uid="{00000000-0005-0000-0000-0000D40E0000}"/>
    <cellStyle name="Normal 4 66 2 2" xfId="2663" xr:uid="{00000000-0005-0000-0000-0000D50E0000}"/>
    <cellStyle name="Normal 4 66 2 20" xfId="2664" xr:uid="{00000000-0005-0000-0000-0000D60E0000}"/>
    <cellStyle name="Normal 4 66 2 21" xfId="2665" xr:uid="{00000000-0005-0000-0000-0000D70E0000}"/>
    <cellStyle name="Normal 4 66 2 22" xfId="2666" xr:uid="{00000000-0005-0000-0000-0000D80E0000}"/>
    <cellStyle name="Normal 4 66 2 23" xfId="2667" xr:uid="{00000000-0005-0000-0000-0000D90E0000}"/>
    <cellStyle name="Normal 4 66 2 24" xfId="2668" xr:uid="{00000000-0005-0000-0000-0000DA0E0000}"/>
    <cellStyle name="Normal 4 66 2 3" xfId="2669" xr:uid="{00000000-0005-0000-0000-0000DB0E0000}"/>
    <cellStyle name="Normal 4 66 2 4" xfId="2670" xr:uid="{00000000-0005-0000-0000-0000DC0E0000}"/>
    <cellStyle name="Normal 4 66 2 5" xfId="2671" xr:uid="{00000000-0005-0000-0000-0000DD0E0000}"/>
    <cellStyle name="Normal 4 66 2 6" xfId="2672" xr:uid="{00000000-0005-0000-0000-0000DE0E0000}"/>
    <cellStyle name="Normal 4 66 2 7" xfId="2673" xr:uid="{00000000-0005-0000-0000-0000DF0E0000}"/>
    <cellStyle name="Normal 4 66 2 8" xfId="2674" xr:uid="{00000000-0005-0000-0000-0000E00E0000}"/>
    <cellStyle name="Normal 4 66 2 9" xfId="2675" xr:uid="{00000000-0005-0000-0000-0000E10E0000}"/>
    <cellStyle name="Normal 4 66 20" xfId="2676" xr:uid="{00000000-0005-0000-0000-0000E20E0000}"/>
    <cellStyle name="Normal 4 66 21" xfId="2677" xr:uid="{00000000-0005-0000-0000-0000E30E0000}"/>
    <cellStyle name="Normal 4 66 22" xfId="2678" xr:uid="{00000000-0005-0000-0000-0000E40E0000}"/>
    <cellStyle name="Normal 4 66 23" xfId="2679" xr:uid="{00000000-0005-0000-0000-0000E50E0000}"/>
    <cellStyle name="Normal 4 66 24" xfId="2680" xr:uid="{00000000-0005-0000-0000-0000E60E0000}"/>
    <cellStyle name="Normal 4 66 3" xfId="2681" xr:uid="{00000000-0005-0000-0000-0000E70E0000}"/>
    <cellStyle name="Normal 4 66 4" xfId="2682" xr:uid="{00000000-0005-0000-0000-0000E80E0000}"/>
    <cellStyle name="Normal 4 66 5" xfId="2683" xr:uid="{00000000-0005-0000-0000-0000E90E0000}"/>
    <cellStyle name="Normal 4 66 6" xfId="2684" xr:uid="{00000000-0005-0000-0000-0000EA0E0000}"/>
    <cellStyle name="Normal 4 66 7" xfId="2685" xr:uid="{00000000-0005-0000-0000-0000EB0E0000}"/>
    <cellStyle name="Normal 4 66 8" xfId="2686" xr:uid="{00000000-0005-0000-0000-0000EC0E0000}"/>
    <cellStyle name="Normal 4 66 9" xfId="2687" xr:uid="{00000000-0005-0000-0000-0000ED0E0000}"/>
    <cellStyle name="Normal 4 67" xfId="2688" xr:uid="{00000000-0005-0000-0000-0000EE0E0000}"/>
    <cellStyle name="Normal 4 68" xfId="2689" xr:uid="{00000000-0005-0000-0000-0000EF0E0000}"/>
    <cellStyle name="Normal 4 69" xfId="2690" xr:uid="{00000000-0005-0000-0000-0000F00E0000}"/>
    <cellStyle name="Normal 4 7" xfId="2691" xr:uid="{00000000-0005-0000-0000-0000F10E0000}"/>
    <cellStyle name="Normal 4 70" xfId="2692" xr:uid="{00000000-0005-0000-0000-0000F20E0000}"/>
    <cellStyle name="Normal 4 71" xfId="2693" xr:uid="{00000000-0005-0000-0000-0000F30E0000}"/>
    <cellStyle name="Normal 4 72" xfId="2694" xr:uid="{00000000-0005-0000-0000-0000F40E0000}"/>
    <cellStyle name="Normal 4 73" xfId="2695" xr:uid="{00000000-0005-0000-0000-0000F50E0000}"/>
    <cellStyle name="Normal 4 74" xfId="2696" xr:uid="{00000000-0005-0000-0000-0000F60E0000}"/>
    <cellStyle name="Normal 4 75" xfId="2697" xr:uid="{00000000-0005-0000-0000-0000F70E0000}"/>
    <cellStyle name="Normal 4 76" xfId="2698" xr:uid="{00000000-0005-0000-0000-0000F80E0000}"/>
    <cellStyle name="Normal 4 77" xfId="2699" xr:uid="{00000000-0005-0000-0000-0000F90E0000}"/>
    <cellStyle name="Normal 4 78" xfId="2700" xr:uid="{00000000-0005-0000-0000-0000FA0E0000}"/>
    <cellStyle name="Normal 4 79" xfId="2701" xr:uid="{00000000-0005-0000-0000-0000FB0E0000}"/>
    <cellStyle name="Normal 4 8" xfId="2702" xr:uid="{00000000-0005-0000-0000-0000FC0E0000}"/>
    <cellStyle name="Normal 4 80" xfId="2703" xr:uid="{00000000-0005-0000-0000-0000FD0E0000}"/>
    <cellStyle name="Normal 4 81" xfId="2704" xr:uid="{00000000-0005-0000-0000-0000FE0E0000}"/>
    <cellStyle name="Normal 4 82" xfId="2705" xr:uid="{00000000-0005-0000-0000-0000FF0E0000}"/>
    <cellStyle name="Normal 4 83" xfId="2706" xr:uid="{00000000-0005-0000-0000-0000000F0000}"/>
    <cellStyle name="Normal 4 84" xfId="2707" xr:uid="{00000000-0005-0000-0000-0000010F0000}"/>
    <cellStyle name="Normal 4 85" xfId="2708" xr:uid="{00000000-0005-0000-0000-0000020F0000}"/>
    <cellStyle name="Normal 4 86" xfId="2709" xr:uid="{00000000-0005-0000-0000-0000030F0000}"/>
    <cellStyle name="Normal 4 87" xfId="2710" xr:uid="{00000000-0005-0000-0000-0000040F0000}"/>
    <cellStyle name="Normal 4 88" xfId="2711" xr:uid="{00000000-0005-0000-0000-0000050F0000}"/>
    <cellStyle name="Normal 4 89" xfId="2712" xr:uid="{00000000-0005-0000-0000-0000060F0000}"/>
    <cellStyle name="Normal 4 9" xfId="2713" xr:uid="{00000000-0005-0000-0000-0000070F0000}"/>
    <cellStyle name="Normal 4 90" xfId="2714" xr:uid="{00000000-0005-0000-0000-0000080F0000}"/>
    <cellStyle name="Normal 4 91" xfId="2715" xr:uid="{00000000-0005-0000-0000-0000090F0000}"/>
    <cellStyle name="Normal 4 92" xfId="2716" xr:uid="{00000000-0005-0000-0000-00000A0F0000}"/>
    <cellStyle name="Normal 4 93" xfId="2717" xr:uid="{00000000-0005-0000-0000-00000B0F0000}"/>
    <cellStyle name="Normal 4 94" xfId="2718" xr:uid="{00000000-0005-0000-0000-00000C0F0000}"/>
    <cellStyle name="Normal 4 95" xfId="3584" xr:uid="{00000000-0005-0000-0000-00000D0F0000}"/>
    <cellStyle name="Normal 4 96" xfId="4328" xr:uid="{00000000-0005-0000-0000-00000E0F0000}"/>
    <cellStyle name="Normal 4 97" xfId="4614" xr:uid="{00000000-0005-0000-0000-00000F0F0000}"/>
    <cellStyle name="Normal 4 98" xfId="141" xr:uid="{00000000-0005-0000-0000-0000100F0000}"/>
    <cellStyle name="Normal 4 98 2" xfId="4813" xr:uid="{00000000-0005-0000-0000-0000110F0000}"/>
    <cellStyle name="Normal 4 99" xfId="4669" xr:uid="{00000000-0005-0000-0000-0000120F0000}"/>
    <cellStyle name="Normal 40" xfId="4975" xr:uid="{00000000-0005-0000-0000-0000130F0000}"/>
    <cellStyle name="Normal 41" xfId="4979" xr:uid="{00000000-0005-0000-0000-0000140F0000}"/>
    <cellStyle name="Normal 42" xfId="4976" xr:uid="{00000000-0005-0000-0000-0000150F0000}"/>
    <cellStyle name="Normal 42 2" xfId="4986" xr:uid="{00000000-0005-0000-0000-0000160F0000}"/>
    <cellStyle name="Normal 43" xfId="4978" xr:uid="{00000000-0005-0000-0000-0000170F0000}"/>
    <cellStyle name="Normal 43 2" xfId="4988" xr:uid="{00000000-0005-0000-0000-0000180F0000}"/>
    <cellStyle name="Normal 44" xfId="4977" xr:uid="{00000000-0005-0000-0000-0000190F0000}"/>
    <cellStyle name="Normal 44 2" xfId="4987" xr:uid="{00000000-0005-0000-0000-00001A0F0000}"/>
    <cellStyle name="Normal 45" xfId="4992" xr:uid="{00000000-0005-0000-0000-00001B0F0000}"/>
    <cellStyle name="Normal 46" xfId="4993" xr:uid="{00000000-0005-0000-0000-00001C0F0000}"/>
    <cellStyle name="Normal 47" xfId="4995" xr:uid="{00000000-0005-0000-0000-00001D0F0000}"/>
    <cellStyle name="Normal 47 2" xfId="4999" xr:uid="{00000000-0005-0000-0000-00001E0F0000}"/>
    <cellStyle name="Normal 47 3" xfId="4998" xr:uid="{00000000-0005-0000-0000-00001F0F0000}"/>
    <cellStyle name="Normal 48" xfId="4996" xr:uid="{00000000-0005-0000-0000-0000200F0000}"/>
    <cellStyle name="Normal 49" xfId="5022" xr:uid="{00000000-0005-0000-0000-0000210F0000}"/>
    <cellStyle name="Normal 49 2" xfId="5116" xr:uid="{95478266-B396-4867-ABD7-12A5DE47B4EA}"/>
    <cellStyle name="Normal 5" xfId="79" xr:uid="{00000000-0005-0000-0000-0000220F0000}"/>
    <cellStyle name="Normal 5 10" xfId="2719" xr:uid="{00000000-0005-0000-0000-0000230F0000}"/>
    <cellStyle name="Normal 5 11" xfId="2720" xr:uid="{00000000-0005-0000-0000-0000240F0000}"/>
    <cellStyle name="Normal 5 12" xfId="2721" xr:uid="{00000000-0005-0000-0000-0000250F0000}"/>
    <cellStyle name="Normal 5 13" xfId="2722" xr:uid="{00000000-0005-0000-0000-0000260F0000}"/>
    <cellStyle name="Normal 5 14" xfId="2723" xr:uid="{00000000-0005-0000-0000-0000270F0000}"/>
    <cellStyle name="Normal 5 15" xfId="2724" xr:uid="{00000000-0005-0000-0000-0000280F0000}"/>
    <cellStyle name="Normal 5 16" xfId="2725" xr:uid="{00000000-0005-0000-0000-0000290F0000}"/>
    <cellStyle name="Normal 5 17" xfId="2726" xr:uid="{00000000-0005-0000-0000-00002A0F0000}"/>
    <cellStyle name="Normal 5 18" xfId="2727" xr:uid="{00000000-0005-0000-0000-00002B0F0000}"/>
    <cellStyle name="Normal 5 19" xfId="2728" xr:uid="{00000000-0005-0000-0000-00002C0F0000}"/>
    <cellStyle name="Normal 5 2" xfId="2729" xr:uid="{00000000-0005-0000-0000-00002D0F0000}"/>
    <cellStyle name="Normal 5 2 10" xfId="2730" xr:uid="{00000000-0005-0000-0000-00002E0F0000}"/>
    <cellStyle name="Normal 5 2 11" xfId="2731" xr:uid="{00000000-0005-0000-0000-00002F0F0000}"/>
    <cellStyle name="Normal 5 2 12" xfId="2732" xr:uid="{00000000-0005-0000-0000-0000300F0000}"/>
    <cellStyle name="Normal 5 2 13" xfId="2733" xr:uid="{00000000-0005-0000-0000-0000310F0000}"/>
    <cellStyle name="Normal 5 2 14" xfId="2734" xr:uid="{00000000-0005-0000-0000-0000320F0000}"/>
    <cellStyle name="Normal 5 2 15" xfId="2735" xr:uid="{00000000-0005-0000-0000-0000330F0000}"/>
    <cellStyle name="Normal 5 2 16" xfId="2736" xr:uid="{00000000-0005-0000-0000-0000340F0000}"/>
    <cellStyle name="Normal 5 2 17" xfId="2737" xr:uid="{00000000-0005-0000-0000-0000350F0000}"/>
    <cellStyle name="Normal 5 2 18" xfId="2738" xr:uid="{00000000-0005-0000-0000-0000360F0000}"/>
    <cellStyle name="Normal 5 2 19" xfId="2739" xr:uid="{00000000-0005-0000-0000-0000370F0000}"/>
    <cellStyle name="Normal 5 2 2" xfId="2740" xr:uid="{00000000-0005-0000-0000-0000380F0000}"/>
    <cellStyle name="Normal 5 2 2 10" xfId="2741" xr:uid="{00000000-0005-0000-0000-0000390F0000}"/>
    <cellStyle name="Normal 5 2 2 11" xfId="2742" xr:uid="{00000000-0005-0000-0000-00003A0F0000}"/>
    <cellStyle name="Normal 5 2 2 12" xfId="2743" xr:uid="{00000000-0005-0000-0000-00003B0F0000}"/>
    <cellStyle name="Normal 5 2 2 13" xfId="2744" xr:uid="{00000000-0005-0000-0000-00003C0F0000}"/>
    <cellStyle name="Normal 5 2 2 14" xfId="2745" xr:uid="{00000000-0005-0000-0000-00003D0F0000}"/>
    <cellStyle name="Normal 5 2 2 15" xfId="2746" xr:uid="{00000000-0005-0000-0000-00003E0F0000}"/>
    <cellStyle name="Normal 5 2 2 16" xfId="2747" xr:uid="{00000000-0005-0000-0000-00003F0F0000}"/>
    <cellStyle name="Normal 5 2 2 17" xfId="2748" xr:uid="{00000000-0005-0000-0000-0000400F0000}"/>
    <cellStyle name="Normal 5 2 2 18" xfId="2749" xr:uid="{00000000-0005-0000-0000-0000410F0000}"/>
    <cellStyle name="Normal 5 2 2 19" xfId="2750" xr:uid="{00000000-0005-0000-0000-0000420F0000}"/>
    <cellStyle name="Normal 5 2 2 2" xfId="2751" xr:uid="{00000000-0005-0000-0000-0000430F0000}"/>
    <cellStyle name="Normal 5 2 2 2 10" xfId="2752" xr:uid="{00000000-0005-0000-0000-0000440F0000}"/>
    <cellStyle name="Normal 5 2 2 2 11" xfId="2753" xr:uid="{00000000-0005-0000-0000-0000450F0000}"/>
    <cellStyle name="Normal 5 2 2 2 12" xfId="2754" xr:uid="{00000000-0005-0000-0000-0000460F0000}"/>
    <cellStyle name="Normal 5 2 2 2 13" xfId="2755" xr:uid="{00000000-0005-0000-0000-0000470F0000}"/>
    <cellStyle name="Normal 5 2 2 2 14" xfId="2756" xr:uid="{00000000-0005-0000-0000-0000480F0000}"/>
    <cellStyle name="Normal 5 2 2 2 15" xfId="2757" xr:uid="{00000000-0005-0000-0000-0000490F0000}"/>
    <cellStyle name="Normal 5 2 2 2 16" xfId="2758" xr:uid="{00000000-0005-0000-0000-00004A0F0000}"/>
    <cellStyle name="Normal 5 2 2 2 17" xfId="2759" xr:uid="{00000000-0005-0000-0000-00004B0F0000}"/>
    <cellStyle name="Normal 5 2 2 2 18" xfId="2760" xr:uid="{00000000-0005-0000-0000-00004C0F0000}"/>
    <cellStyle name="Normal 5 2 2 2 19" xfId="2761" xr:uid="{00000000-0005-0000-0000-00004D0F0000}"/>
    <cellStyle name="Normal 5 2 2 2 2" xfId="2762" xr:uid="{00000000-0005-0000-0000-00004E0F0000}"/>
    <cellStyle name="Normal 5 2 2 2 2 10" xfId="2763" xr:uid="{00000000-0005-0000-0000-00004F0F0000}"/>
    <cellStyle name="Normal 5 2 2 2 2 11" xfId="2764" xr:uid="{00000000-0005-0000-0000-0000500F0000}"/>
    <cellStyle name="Normal 5 2 2 2 2 12" xfId="2765" xr:uid="{00000000-0005-0000-0000-0000510F0000}"/>
    <cellStyle name="Normal 5 2 2 2 2 13" xfId="2766" xr:uid="{00000000-0005-0000-0000-0000520F0000}"/>
    <cellStyle name="Normal 5 2 2 2 2 14" xfId="2767" xr:uid="{00000000-0005-0000-0000-0000530F0000}"/>
    <cellStyle name="Normal 5 2 2 2 2 15" xfId="2768" xr:uid="{00000000-0005-0000-0000-0000540F0000}"/>
    <cellStyle name="Normal 5 2 2 2 2 16" xfId="2769" xr:uid="{00000000-0005-0000-0000-0000550F0000}"/>
    <cellStyle name="Normal 5 2 2 2 2 17" xfId="2770" xr:uid="{00000000-0005-0000-0000-0000560F0000}"/>
    <cellStyle name="Normal 5 2 2 2 2 18" xfId="2771" xr:uid="{00000000-0005-0000-0000-0000570F0000}"/>
    <cellStyle name="Normal 5 2 2 2 2 19" xfId="2772" xr:uid="{00000000-0005-0000-0000-0000580F0000}"/>
    <cellStyle name="Normal 5 2 2 2 2 2" xfId="2773" xr:uid="{00000000-0005-0000-0000-0000590F0000}"/>
    <cellStyle name="Normal 5 2 2 2 2 20" xfId="2774" xr:uid="{00000000-0005-0000-0000-00005A0F0000}"/>
    <cellStyle name="Normal 5 2 2 2 2 21" xfId="2775" xr:uid="{00000000-0005-0000-0000-00005B0F0000}"/>
    <cellStyle name="Normal 5 2 2 2 2 22" xfId="2776" xr:uid="{00000000-0005-0000-0000-00005C0F0000}"/>
    <cellStyle name="Normal 5 2 2 2 2 23" xfId="2777" xr:uid="{00000000-0005-0000-0000-00005D0F0000}"/>
    <cellStyle name="Normal 5 2 2 2 2 24" xfId="2778" xr:uid="{00000000-0005-0000-0000-00005E0F0000}"/>
    <cellStyle name="Normal 5 2 2 2 2 3" xfId="2779" xr:uid="{00000000-0005-0000-0000-00005F0F0000}"/>
    <cellStyle name="Normal 5 2 2 2 2 4" xfId="2780" xr:uid="{00000000-0005-0000-0000-0000600F0000}"/>
    <cellStyle name="Normal 5 2 2 2 2 5" xfId="2781" xr:uid="{00000000-0005-0000-0000-0000610F0000}"/>
    <cellStyle name="Normal 5 2 2 2 2 6" xfId="2782" xr:uid="{00000000-0005-0000-0000-0000620F0000}"/>
    <cellStyle name="Normal 5 2 2 2 2 7" xfId="2783" xr:uid="{00000000-0005-0000-0000-0000630F0000}"/>
    <cellStyle name="Normal 5 2 2 2 2 8" xfId="2784" xr:uid="{00000000-0005-0000-0000-0000640F0000}"/>
    <cellStyle name="Normal 5 2 2 2 2 9" xfId="2785" xr:uid="{00000000-0005-0000-0000-0000650F0000}"/>
    <cellStyle name="Normal 5 2 2 2 20" xfId="2786" xr:uid="{00000000-0005-0000-0000-0000660F0000}"/>
    <cellStyle name="Normal 5 2 2 2 21" xfId="2787" xr:uid="{00000000-0005-0000-0000-0000670F0000}"/>
    <cellStyle name="Normal 5 2 2 2 22" xfId="2788" xr:uid="{00000000-0005-0000-0000-0000680F0000}"/>
    <cellStyle name="Normal 5 2 2 2 23" xfId="2789" xr:uid="{00000000-0005-0000-0000-0000690F0000}"/>
    <cellStyle name="Normal 5 2 2 2 24" xfId="2790" xr:uid="{00000000-0005-0000-0000-00006A0F0000}"/>
    <cellStyle name="Normal 5 2 2 2 3" xfId="2791" xr:uid="{00000000-0005-0000-0000-00006B0F0000}"/>
    <cellStyle name="Normal 5 2 2 2 4" xfId="2792" xr:uid="{00000000-0005-0000-0000-00006C0F0000}"/>
    <cellStyle name="Normal 5 2 2 2 5" xfId="2793" xr:uid="{00000000-0005-0000-0000-00006D0F0000}"/>
    <cellStyle name="Normal 5 2 2 2 6" xfId="2794" xr:uid="{00000000-0005-0000-0000-00006E0F0000}"/>
    <cellStyle name="Normal 5 2 2 2 7" xfId="2795" xr:uid="{00000000-0005-0000-0000-00006F0F0000}"/>
    <cellStyle name="Normal 5 2 2 2 8" xfId="2796" xr:uid="{00000000-0005-0000-0000-0000700F0000}"/>
    <cellStyle name="Normal 5 2 2 2 9" xfId="2797" xr:uid="{00000000-0005-0000-0000-0000710F0000}"/>
    <cellStyle name="Normal 5 2 2 20" xfId="2798" xr:uid="{00000000-0005-0000-0000-0000720F0000}"/>
    <cellStyle name="Normal 5 2 2 21" xfId="2799" xr:uid="{00000000-0005-0000-0000-0000730F0000}"/>
    <cellStyle name="Normal 5 2 2 22" xfId="2800" xr:uid="{00000000-0005-0000-0000-0000740F0000}"/>
    <cellStyle name="Normal 5 2 2 23" xfId="2801" xr:uid="{00000000-0005-0000-0000-0000750F0000}"/>
    <cellStyle name="Normal 5 2 2 24" xfId="2802" xr:uid="{00000000-0005-0000-0000-0000760F0000}"/>
    <cellStyle name="Normal 5 2 2 25" xfId="2803" xr:uid="{00000000-0005-0000-0000-0000770F0000}"/>
    <cellStyle name="Normal 5 2 2 26" xfId="2804" xr:uid="{00000000-0005-0000-0000-0000780F0000}"/>
    <cellStyle name="Normal 5 2 2 27" xfId="2805" xr:uid="{00000000-0005-0000-0000-0000790F0000}"/>
    <cellStyle name="Normal 5 2 2 28" xfId="2806" xr:uid="{00000000-0005-0000-0000-00007A0F0000}"/>
    <cellStyle name="Normal 5 2 2 29" xfId="2807" xr:uid="{00000000-0005-0000-0000-00007B0F0000}"/>
    <cellStyle name="Normal 5 2 2 3" xfId="2808" xr:uid="{00000000-0005-0000-0000-00007C0F0000}"/>
    <cellStyle name="Normal 5 2 2 30" xfId="2809" xr:uid="{00000000-0005-0000-0000-00007D0F0000}"/>
    <cellStyle name="Normal 5 2 2 4" xfId="2810" xr:uid="{00000000-0005-0000-0000-00007E0F0000}"/>
    <cellStyle name="Normal 5 2 2 5" xfId="2811" xr:uid="{00000000-0005-0000-0000-00007F0F0000}"/>
    <cellStyle name="Normal 5 2 2 6" xfId="2812" xr:uid="{00000000-0005-0000-0000-0000800F0000}"/>
    <cellStyle name="Normal 5 2 2 7" xfId="2813" xr:uid="{00000000-0005-0000-0000-0000810F0000}"/>
    <cellStyle name="Normal 5 2 2 8" xfId="2814" xr:uid="{00000000-0005-0000-0000-0000820F0000}"/>
    <cellStyle name="Normal 5 2 2 9" xfId="2815" xr:uid="{00000000-0005-0000-0000-0000830F0000}"/>
    <cellStyle name="Normal 5 2 20" xfId="2816" xr:uid="{00000000-0005-0000-0000-0000840F0000}"/>
    <cellStyle name="Normal 5 2 21" xfId="2817" xr:uid="{00000000-0005-0000-0000-0000850F0000}"/>
    <cellStyle name="Normal 5 2 22" xfId="2818" xr:uid="{00000000-0005-0000-0000-0000860F0000}"/>
    <cellStyle name="Normal 5 2 23" xfId="2819" xr:uid="{00000000-0005-0000-0000-0000870F0000}"/>
    <cellStyle name="Normal 5 2 24" xfId="2820" xr:uid="{00000000-0005-0000-0000-0000880F0000}"/>
    <cellStyle name="Normal 5 2 25" xfId="2821" xr:uid="{00000000-0005-0000-0000-0000890F0000}"/>
    <cellStyle name="Normal 5 2 26" xfId="2822" xr:uid="{00000000-0005-0000-0000-00008A0F0000}"/>
    <cellStyle name="Normal 5 2 27" xfId="2823" xr:uid="{00000000-0005-0000-0000-00008B0F0000}"/>
    <cellStyle name="Normal 5 2 28" xfId="2824" xr:uid="{00000000-0005-0000-0000-00008C0F0000}"/>
    <cellStyle name="Normal 5 2 29" xfId="2825" xr:uid="{00000000-0005-0000-0000-00008D0F0000}"/>
    <cellStyle name="Normal 5 2 3" xfId="2826" xr:uid="{00000000-0005-0000-0000-00008E0F0000}"/>
    <cellStyle name="Normal 5 2 3 10" xfId="2827" xr:uid="{00000000-0005-0000-0000-00008F0F0000}"/>
    <cellStyle name="Normal 5 2 3 11" xfId="2828" xr:uid="{00000000-0005-0000-0000-0000900F0000}"/>
    <cellStyle name="Normal 5 2 3 12" xfId="2829" xr:uid="{00000000-0005-0000-0000-0000910F0000}"/>
    <cellStyle name="Normal 5 2 3 13" xfId="2830" xr:uid="{00000000-0005-0000-0000-0000920F0000}"/>
    <cellStyle name="Normal 5 2 3 14" xfId="2831" xr:uid="{00000000-0005-0000-0000-0000930F0000}"/>
    <cellStyle name="Normal 5 2 3 15" xfId="2832" xr:uid="{00000000-0005-0000-0000-0000940F0000}"/>
    <cellStyle name="Normal 5 2 3 16" xfId="2833" xr:uid="{00000000-0005-0000-0000-0000950F0000}"/>
    <cellStyle name="Normal 5 2 3 17" xfId="2834" xr:uid="{00000000-0005-0000-0000-0000960F0000}"/>
    <cellStyle name="Normal 5 2 3 18" xfId="2835" xr:uid="{00000000-0005-0000-0000-0000970F0000}"/>
    <cellStyle name="Normal 5 2 3 19" xfId="2836" xr:uid="{00000000-0005-0000-0000-0000980F0000}"/>
    <cellStyle name="Normal 5 2 3 2" xfId="2837" xr:uid="{00000000-0005-0000-0000-0000990F0000}"/>
    <cellStyle name="Normal 5 2 3 2 10" xfId="2838" xr:uid="{00000000-0005-0000-0000-00009A0F0000}"/>
    <cellStyle name="Normal 5 2 3 2 11" xfId="2839" xr:uid="{00000000-0005-0000-0000-00009B0F0000}"/>
    <cellStyle name="Normal 5 2 3 2 12" xfId="2840" xr:uid="{00000000-0005-0000-0000-00009C0F0000}"/>
    <cellStyle name="Normal 5 2 3 2 13" xfId="2841" xr:uid="{00000000-0005-0000-0000-00009D0F0000}"/>
    <cellStyle name="Normal 5 2 3 2 14" xfId="2842" xr:uid="{00000000-0005-0000-0000-00009E0F0000}"/>
    <cellStyle name="Normal 5 2 3 2 15" xfId="2843" xr:uid="{00000000-0005-0000-0000-00009F0F0000}"/>
    <cellStyle name="Normal 5 2 3 2 16" xfId="2844" xr:uid="{00000000-0005-0000-0000-0000A00F0000}"/>
    <cellStyle name="Normal 5 2 3 2 17" xfId="2845" xr:uid="{00000000-0005-0000-0000-0000A10F0000}"/>
    <cellStyle name="Normal 5 2 3 2 18" xfId="2846" xr:uid="{00000000-0005-0000-0000-0000A20F0000}"/>
    <cellStyle name="Normal 5 2 3 2 19" xfId="2847" xr:uid="{00000000-0005-0000-0000-0000A30F0000}"/>
    <cellStyle name="Normal 5 2 3 2 2" xfId="2848" xr:uid="{00000000-0005-0000-0000-0000A40F0000}"/>
    <cellStyle name="Normal 5 2 3 2 20" xfId="2849" xr:uid="{00000000-0005-0000-0000-0000A50F0000}"/>
    <cellStyle name="Normal 5 2 3 2 21" xfId="2850" xr:uid="{00000000-0005-0000-0000-0000A60F0000}"/>
    <cellStyle name="Normal 5 2 3 2 22" xfId="2851" xr:uid="{00000000-0005-0000-0000-0000A70F0000}"/>
    <cellStyle name="Normal 5 2 3 2 23" xfId="2852" xr:uid="{00000000-0005-0000-0000-0000A80F0000}"/>
    <cellStyle name="Normal 5 2 3 2 24" xfId="2853" xr:uid="{00000000-0005-0000-0000-0000A90F0000}"/>
    <cellStyle name="Normal 5 2 3 2 3" xfId="2854" xr:uid="{00000000-0005-0000-0000-0000AA0F0000}"/>
    <cellStyle name="Normal 5 2 3 2 4" xfId="2855" xr:uid="{00000000-0005-0000-0000-0000AB0F0000}"/>
    <cellStyle name="Normal 5 2 3 2 5" xfId="2856" xr:uid="{00000000-0005-0000-0000-0000AC0F0000}"/>
    <cellStyle name="Normal 5 2 3 2 6" xfId="2857" xr:uid="{00000000-0005-0000-0000-0000AD0F0000}"/>
    <cellStyle name="Normal 5 2 3 2 7" xfId="2858" xr:uid="{00000000-0005-0000-0000-0000AE0F0000}"/>
    <cellStyle name="Normal 5 2 3 2 8" xfId="2859" xr:uid="{00000000-0005-0000-0000-0000AF0F0000}"/>
    <cellStyle name="Normal 5 2 3 2 9" xfId="2860" xr:uid="{00000000-0005-0000-0000-0000B00F0000}"/>
    <cellStyle name="Normal 5 2 3 20" xfId="2861" xr:uid="{00000000-0005-0000-0000-0000B10F0000}"/>
    <cellStyle name="Normal 5 2 3 21" xfId="2862" xr:uid="{00000000-0005-0000-0000-0000B20F0000}"/>
    <cellStyle name="Normal 5 2 3 22" xfId="2863" xr:uid="{00000000-0005-0000-0000-0000B30F0000}"/>
    <cellStyle name="Normal 5 2 3 23" xfId="2864" xr:uid="{00000000-0005-0000-0000-0000B40F0000}"/>
    <cellStyle name="Normal 5 2 3 24" xfId="2865" xr:uid="{00000000-0005-0000-0000-0000B50F0000}"/>
    <cellStyle name="Normal 5 2 3 3" xfId="2866" xr:uid="{00000000-0005-0000-0000-0000B60F0000}"/>
    <cellStyle name="Normal 5 2 3 4" xfId="2867" xr:uid="{00000000-0005-0000-0000-0000B70F0000}"/>
    <cellStyle name="Normal 5 2 3 5" xfId="2868" xr:uid="{00000000-0005-0000-0000-0000B80F0000}"/>
    <cellStyle name="Normal 5 2 3 6" xfId="2869" xr:uid="{00000000-0005-0000-0000-0000B90F0000}"/>
    <cellStyle name="Normal 5 2 3 7" xfId="2870" xr:uid="{00000000-0005-0000-0000-0000BA0F0000}"/>
    <cellStyle name="Normal 5 2 3 8" xfId="2871" xr:uid="{00000000-0005-0000-0000-0000BB0F0000}"/>
    <cellStyle name="Normal 5 2 3 9" xfId="2872" xr:uid="{00000000-0005-0000-0000-0000BC0F0000}"/>
    <cellStyle name="Normal 5 2 30" xfId="2873" xr:uid="{00000000-0005-0000-0000-0000BD0F0000}"/>
    <cellStyle name="Normal 5 2 31" xfId="4331" xr:uid="{00000000-0005-0000-0000-0000BE0F0000}"/>
    <cellStyle name="Normal 5 2 32" xfId="4616" xr:uid="{00000000-0005-0000-0000-0000BF0F0000}"/>
    <cellStyle name="Normal 5 2 4" xfId="2874" xr:uid="{00000000-0005-0000-0000-0000C00F0000}"/>
    <cellStyle name="Normal 5 2 5" xfId="2875" xr:uid="{00000000-0005-0000-0000-0000C10F0000}"/>
    <cellStyle name="Normal 5 2 6" xfId="2876" xr:uid="{00000000-0005-0000-0000-0000C20F0000}"/>
    <cellStyle name="Normal 5 2 7" xfId="2877" xr:uid="{00000000-0005-0000-0000-0000C30F0000}"/>
    <cellStyle name="Normal 5 2 8" xfId="2878" xr:uid="{00000000-0005-0000-0000-0000C40F0000}"/>
    <cellStyle name="Normal 5 2 9" xfId="2879" xr:uid="{00000000-0005-0000-0000-0000C50F0000}"/>
    <cellStyle name="Normal 5 20" xfId="2880" xr:uid="{00000000-0005-0000-0000-0000C60F0000}"/>
    <cellStyle name="Normal 5 21" xfId="2881" xr:uid="{00000000-0005-0000-0000-0000C70F0000}"/>
    <cellStyle name="Normal 5 22" xfId="2882" xr:uid="{00000000-0005-0000-0000-0000C80F0000}"/>
    <cellStyle name="Normal 5 23" xfId="2883" xr:uid="{00000000-0005-0000-0000-0000C90F0000}"/>
    <cellStyle name="Normal 5 24" xfId="2884" xr:uid="{00000000-0005-0000-0000-0000CA0F0000}"/>
    <cellStyle name="Normal 5 25" xfId="2885" xr:uid="{00000000-0005-0000-0000-0000CB0F0000}"/>
    <cellStyle name="Normal 5 26" xfId="2886" xr:uid="{00000000-0005-0000-0000-0000CC0F0000}"/>
    <cellStyle name="Normal 5 27" xfId="2887" xr:uid="{00000000-0005-0000-0000-0000CD0F0000}"/>
    <cellStyle name="Normal 5 28" xfId="2888" xr:uid="{00000000-0005-0000-0000-0000CE0F0000}"/>
    <cellStyle name="Normal 5 29" xfId="2889" xr:uid="{00000000-0005-0000-0000-0000CF0F0000}"/>
    <cellStyle name="Normal 5 3" xfId="2890" xr:uid="{00000000-0005-0000-0000-0000D00F0000}"/>
    <cellStyle name="Normal 5 3 2" xfId="4332" xr:uid="{00000000-0005-0000-0000-0000D10F0000}"/>
    <cellStyle name="Normal 5 3 3" xfId="4617" xr:uid="{00000000-0005-0000-0000-0000D20F0000}"/>
    <cellStyle name="Normal 5 30" xfId="2891" xr:uid="{00000000-0005-0000-0000-0000D30F0000}"/>
    <cellStyle name="Normal 5 31" xfId="2892" xr:uid="{00000000-0005-0000-0000-0000D40F0000}"/>
    <cellStyle name="Normal 5 32" xfId="2893" xr:uid="{00000000-0005-0000-0000-0000D50F0000}"/>
    <cellStyle name="Normal 5 33" xfId="2894" xr:uid="{00000000-0005-0000-0000-0000D60F0000}"/>
    <cellStyle name="Normal 5 34" xfId="2895" xr:uid="{00000000-0005-0000-0000-0000D70F0000}"/>
    <cellStyle name="Normal 5 35" xfId="2896" xr:uid="{00000000-0005-0000-0000-0000D80F0000}"/>
    <cellStyle name="Normal 5 36" xfId="2897" xr:uid="{00000000-0005-0000-0000-0000D90F0000}"/>
    <cellStyle name="Normal 5 37" xfId="2898" xr:uid="{00000000-0005-0000-0000-0000DA0F0000}"/>
    <cellStyle name="Normal 5 38" xfId="2899" xr:uid="{00000000-0005-0000-0000-0000DB0F0000}"/>
    <cellStyle name="Normal 5 39" xfId="2900" xr:uid="{00000000-0005-0000-0000-0000DC0F0000}"/>
    <cellStyle name="Normal 5 4" xfId="2901" xr:uid="{00000000-0005-0000-0000-0000DD0F0000}"/>
    <cellStyle name="Normal 5 4 2" xfId="4333" xr:uid="{00000000-0005-0000-0000-0000DE0F0000}"/>
    <cellStyle name="Normal 5 4 3" xfId="4618" xr:uid="{00000000-0005-0000-0000-0000DF0F0000}"/>
    <cellStyle name="Normal 5 40" xfId="2902" xr:uid="{00000000-0005-0000-0000-0000E00F0000}"/>
    <cellStyle name="Normal 5 40 10" xfId="2903" xr:uid="{00000000-0005-0000-0000-0000E10F0000}"/>
    <cellStyle name="Normal 5 40 11" xfId="2904" xr:uid="{00000000-0005-0000-0000-0000E20F0000}"/>
    <cellStyle name="Normal 5 40 12" xfId="2905" xr:uid="{00000000-0005-0000-0000-0000E30F0000}"/>
    <cellStyle name="Normal 5 40 13" xfId="2906" xr:uid="{00000000-0005-0000-0000-0000E40F0000}"/>
    <cellStyle name="Normal 5 40 14" xfId="2907" xr:uid="{00000000-0005-0000-0000-0000E50F0000}"/>
    <cellStyle name="Normal 5 40 15" xfId="2908" xr:uid="{00000000-0005-0000-0000-0000E60F0000}"/>
    <cellStyle name="Normal 5 40 16" xfId="2909" xr:uid="{00000000-0005-0000-0000-0000E70F0000}"/>
    <cellStyle name="Normal 5 40 17" xfId="2910" xr:uid="{00000000-0005-0000-0000-0000E80F0000}"/>
    <cellStyle name="Normal 5 40 18" xfId="2911" xr:uid="{00000000-0005-0000-0000-0000E90F0000}"/>
    <cellStyle name="Normal 5 40 19" xfId="2912" xr:uid="{00000000-0005-0000-0000-0000EA0F0000}"/>
    <cellStyle name="Normal 5 40 2" xfId="2913" xr:uid="{00000000-0005-0000-0000-0000EB0F0000}"/>
    <cellStyle name="Normal 5 40 2 10" xfId="2914" xr:uid="{00000000-0005-0000-0000-0000EC0F0000}"/>
    <cellStyle name="Normal 5 40 2 11" xfId="2915" xr:uid="{00000000-0005-0000-0000-0000ED0F0000}"/>
    <cellStyle name="Normal 5 40 2 12" xfId="2916" xr:uid="{00000000-0005-0000-0000-0000EE0F0000}"/>
    <cellStyle name="Normal 5 40 2 13" xfId="2917" xr:uid="{00000000-0005-0000-0000-0000EF0F0000}"/>
    <cellStyle name="Normal 5 40 2 14" xfId="2918" xr:uid="{00000000-0005-0000-0000-0000F00F0000}"/>
    <cellStyle name="Normal 5 40 2 15" xfId="2919" xr:uid="{00000000-0005-0000-0000-0000F10F0000}"/>
    <cellStyle name="Normal 5 40 2 16" xfId="2920" xr:uid="{00000000-0005-0000-0000-0000F20F0000}"/>
    <cellStyle name="Normal 5 40 2 17" xfId="2921" xr:uid="{00000000-0005-0000-0000-0000F30F0000}"/>
    <cellStyle name="Normal 5 40 2 18" xfId="2922" xr:uid="{00000000-0005-0000-0000-0000F40F0000}"/>
    <cellStyle name="Normal 5 40 2 19" xfId="2923" xr:uid="{00000000-0005-0000-0000-0000F50F0000}"/>
    <cellStyle name="Normal 5 40 2 2" xfId="2924" xr:uid="{00000000-0005-0000-0000-0000F60F0000}"/>
    <cellStyle name="Normal 5 40 2 20" xfId="2925" xr:uid="{00000000-0005-0000-0000-0000F70F0000}"/>
    <cellStyle name="Normal 5 40 2 21" xfId="2926" xr:uid="{00000000-0005-0000-0000-0000F80F0000}"/>
    <cellStyle name="Normal 5 40 2 22" xfId="2927" xr:uid="{00000000-0005-0000-0000-0000F90F0000}"/>
    <cellStyle name="Normal 5 40 2 23" xfId="2928" xr:uid="{00000000-0005-0000-0000-0000FA0F0000}"/>
    <cellStyle name="Normal 5 40 2 24" xfId="2929" xr:uid="{00000000-0005-0000-0000-0000FB0F0000}"/>
    <cellStyle name="Normal 5 40 2 3" xfId="2930" xr:uid="{00000000-0005-0000-0000-0000FC0F0000}"/>
    <cellStyle name="Normal 5 40 2 4" xfId="2931" xr:uid="{00000000-0005-0000-0000-0000FD0F0000}"/>
    <cellStyle name="Normal 5 40 2 5" xfId="2932" xr:uid="{00000000-0005-0000-0000-0000FE0F0000}"/>
    <cellStyle name="Normal 5 40 2 6" xfId="2933" xr:uid="{00000000-0005-0000-0000-0000FF0F0000}"/>
    <cellStyle name="Normal 5 40 2 7" xfId="2934" xr:uid="{00000000-0005-0000-0000-000000100000}"/>
    <cellStyle name="Normal 5 40 2 8" xfId="2935" xr:uid="{00000000-0005-0000-0000-000001100000}"/>
    <cellStyle name="Normal 5 40 2 9" xfId="2936" xr:uid="{00000000-0005-0000-0000-000002100000}"/>
    <cellStyle name="Normal 5 40 20" xfId="2937" xr:uid="{00000000-0005-0000-0000-000003100000}"/>
    <cellStyle name="Normal 5 40 21" xfId="2938" xr:uid="{00000000-0005-0000-0000-000004100000}"/>
    <cellStyle name="Normal 5 40 22" xfId="2939" xr:uid="{00000000-0005-0000-0000-000005100000}"/>
    <cellStyle name="Normal 5 40 23" xfId="2940" xr:uid="{00000000-0005-0000-0000-000006100000}"/>
    <cellStyle name="Normal 5 40 24" xfId="2941" xr:uid="{00000000-0005-0000-0000-000007100000}"/>
    <cellStyle name="Normal 5 40 3" xfId="2942" xr:uid="{00000000-0005-0000-0000-000008100000}"/>
    <cellStyle name="Normal 5 40 4" xfId="2943" xr:uid="{00000000-0005-0000-0000-000009100000}"/>
    <cellStyle name="Normal 5 40 5" xfId="2944" xr:uid="{00000000-0005-0000-0000-00000A100000}"/>
    <cellStyle name="Normal 5 40 6" xfId="2945" xr:uid="{00000000-0005-0000-0000-00000B100000}"/>
    <cellStyle name="Normal 5 40 7" xfId="2946" xr:uid="{00000000-0005-0000-0000-00000C100000}"/>
    <cellStyle name="Normal 5 40 8" xfId="2947" xr:uid="{00000000-0005-0000-0000-00000D100000}"/>
    <cellStyle name="Normal 5 40 9" xfId="2948" xr:uid="{00000000-0005-0000-0000-00000E100000}"/>
    <cellStyle name="Normal 5 41" xfId="2949" xr:uid="{00000000-0005-0000-0000-00000F100000}"/>
    <cellStyle name="Normal 5 42" xfId="2950" xr:uid="{00000000-0005-0000-0000-000010100000}"/>
    <cellStyle name="Normal 5 43" xfId="2951" xr:uid="{00000000-0005-0000-0000-000011100000}"/>
    <cellStyle name="Normal 5 44" xfId="2952" xr:uid="{00000000-0005-0000-0000-000012100000}"/>
    <cellStyle name="Normal 5 45" xfId="2953" xr:uid="{00000000-0005-0000-0000-000013100000}"/>
    <cellStyle name="Normal 5 46" xfId="2954" xr:uid="{00000000-0005-0000-0000-000014100000}"/>
    <cellStyle name="Normal 5 47" xfId="2955" xr:uid="{00000000-0005-0000-0000-000015100000}"/>
    <cellStyle name="Normal 5 48" xfId="2956" xr:uid="{00000000-0005-0000-0000-000016100000}"/>
    <cellStyle name="Normal 5 49" xfId="2957" xr:uid="{00000000-0005-0000-0000-000017100000}"/>
    <cellStyle name="Normal 5 5" xfId="2958" xr:uid="{00000000-0005-0000-0000-000018100000}"/>
    <cellStyle name="Normal 5 5 2" xfId="4334" xr:uid="{00000000-0005-0000-0000-000019100000}"/>
    <cellStyle name="Normal 5 5 3" xfId="4619" xr:uid="{00000000-0005-0000-0000-00001A100000}"/>
    <cellStyle name="Normal 5 50" xfId="2959" xr:uid="{00000000-0005-0000-0000-00001B100000}"/>
    <cellStyle name="Normal 5 51" xfId="2960" xr:uid="{00000000-0005-0000-0000-00001C100000}"/>
    <cellStyle name="Normal 5 52" xfId="2961" xr:uid="{00000000-0005-0000-0000-00001D100000}"/>
    <cellStyle name="Normal 5 53" xfId="2962" xr:uid="{00000000-0005-0000-0000-00001E100000}"/>
    <cellStyle name="Normal 5 54" xfId="2963" xr:uid="{00000000-0005-0000-0000-00001F100000}"/>
    <cellStyle name="Normal 5 55" xfId="2964" xr:uid="{00000000-0005-0000-0000-000020100000}"/>
    <cellStyle name="Normal 5 56" xfId="2965" xr:uid="{00000000-0005-0000-0000-000021100000}"/>
    <cellStyle name="Normal 5 57" xfId="2966" xr:uid="{00000000-0005-0000-0000-000022100000}"/>
    <cellStyle name="Normal 5 58" xfId="2967" xr:uid="{00000000-0005-0000-0000-000023100000}"/>
    <cellStyle name="Normal 5 59" xfId="2968" xr:uid="{00000000-0005-0000-0000-000024100000}"/>
    <cellStyle name="Normal 5 6" xfId="2969" xr:uid="{00000000-0005-0000-0000-000025100000}"/>
    <cellStyle name="Normal 5 6 2" xfId="4335" xr:uid="{00000000-0005-0000-0000-000026100000}"/>
    <cellStyle name="Normal 5 6 3" xfId="4629" xr:uid="{00000000-0005-0000-0000-000027100000}"/>
    <cellStyle name="Normal 5 60" xfId="2970" xr:uid="{00000000-0005-0000-0000-000028100000}"/>
    <cellStyle name="Normal 5 61" xfId="2971" xr:uid="{00000000-0005-0000-0000-000029100000}"/>
    <cellStyle name="Normal 5 62" xfId="2972" xr:uid="{00000000-0005-0000-0000-00002A100000}"/>
    <cellStyle name="Normal 5 63" xfId="2973" xr:uid="{00000000-0005-0000-0000-00002B100000}"/>
    <cellStyle name="Normal 5 64" xfId="2974" xr:uid="{00000000-0005-0000-0000-00002C100000}"/>
    <cellStyle name="Normal 5 65" xfId="2975" xr:uid="{00000000-0005-0000-0000-00002D100000}"/>
    <cellStyle name="Normal 5 66" xfId="2976" xr:uid="{00000000-0005-0000-0000-00002E100000}"/>
    <cellStyle name="Normal 5 67" xfId="2977" xr:uid="{00000000-0005-0000-0000-00002F100000}"/>
    <cellStyle name="Normal 5 68" xfId="2978" xr:uid="{00000000-0005-0000-0000-000030100000}"/>
    <cellStyle name="Normal 5 69" xfId="4330" xr:uid="{00000000-0005-0000-0000-000031100000}"/>
    <cellStyle name="Normal 5 7" xfId="2979" xr:uid="{00000000-0005-0000-0000-000032100000}"/>
    <cellStyle name="Normal 5 70" xfId="4615" xr:uid="{00000000-0005-0000-0000-000033100000}"/>
    <cellStyle name="Normal 5 71" xfId="5016" xr:uid="{00000000-0005-0000-0000-000034100000}"/>
    <cellStyle name="Normal 5 8" xfId="2980" xr:uid="{00000000-0005-0000-0000-000035100000}"/>
    <cellStyle name="Normal 5 9" xfId="2981" xr:uid="{00000000-0005-0000-0000-000036100000}"/>
    <cellStyle name="Normal 50" xfId="5024" xr:uid="{00000000-0005-0000-0000-000037100000}"/>
    <cellStyle name="Normal 50 2" xfId="5117" xr:uid="{E774D32F-CDBE-4247-B7E0-7A6352601E7A}"/>
    <cellStyle name="Normal 51" xfId="5031" xr:uid="{00000000-0005-0000-0000-000038100000}"/>
    <cellStyle name="Normal 51 2" xfId="5118" xr:uid="{E3875EFF-3C88-425D-9CD9-1C481233F385}"/>
    <cellStyle name="Normal 52" xfId="5035" xr:uid="{00000000-0005-0000-0000-000039100000}"/>
    <cellStyle name="Normal 52 2" xfId="5120" xr:uid="{C4685FF2-FC24-4391-82D4-FD05498E6A86}"/>
    <cellStyle name="Normal 52 2 2" xfId="80" xr:uid="{00000000-0005-0000-0000-00003A100000}"/>
    <cellStyle name="Normal 53" xfId="5040" xr:uid="{00000000-0005-0000-0000-00003B100000}"/>
    <cellStyle name="Normal 53 2" xfId="5121" xr:uid="{758F9D28-CEFB-4046-8C13-3A08DC6E0597}"/>
    <cellStyle name="Normal 54" xfId="5044" xr:uid="{00000000-0005-0000-0000-00003C100000}"/>
    <cellStyle name="Normal 54 2" xfId="5122" xr:uid="{C0C0302F-5E5B-4790-9DFC-08E90814DDC0}"/>
    <cellStyle name="Normal 55" xfId="5047" xr:uid="{00000000-0005-0000-0000-00003D100000}"/>
    <cellStyle name="Normal 55 2" xfId="5123" xr:uid="{F2CB9C3A-CE3E-43AF-BE6F-C17677C989C2}"/>
    <cellStyle name="Normal 56" xfId="5050" xr:uid="{00000000-0005-0000-0000-00003E100000}"/>
    <cellStyle name="Normal 56 2" xfId="5124" xr:uid="{77EA6799-3A87-472D-A8BD-5A8D8CEB30F4}"/>
    <cellStyle name="Normal 57" xfId="5053" xr:uid="{00000000-0005-0000-0000-00003F100000}"/>
    <cellStyle name="Normal 57 2" xfId="5125" xr:uid="{897801B2-53D5-482C-AD3B-C5F79CB62D3B}"/>
    <cellStyle name="Normal 58" xfId="5056" xr:uid="{00000000-0005-0000-0000-000040100000}"/>
    <cellStyle name="Normal 58 2" xfId="5126" xr:uid="{478E3F5B-4D26-4DA1-9D1F-22E3E5558255}"/>
    <cellStyle name="Normal 59" xfId="5059" xr:uid="{00000000-0005-0000-0000-000041100000}"/>
    <cellStyle name="Normal 59 2" xfId="5127" xr:uid="{3FF42EC0-AAB7-41F4-ACD8-6BCB44D2AA5E}"/>
    <cellStyle name="Normal 6" xfId="81" xr:uid="{00000000-0005-0000-0000-000042100000}"/>
    <cellStyle name="Normal 6 10" xfId="2982" xr:uid="{00000000-0005-0000-0000-000043100000}"/>
    <cellStyle name="Normal 6 11" xfId="2983" xr:uid="{00000000-0005-0000-0000-000044100000}"/>
    <cellStyle name="Normal 6 12" xfId="2984" xr:uid="{00000000-0005-0000-0000-000045100000}"/>
    <cellStyle name="Normal 6 13" xfId="2985" xr:uid="{00000000-0005-0000-0000-000046100000}"/>
    <cellStyle name="Normal 6 14" xfId="2986" xr:uid="{00000000-0005-0000-0000-000047100000}"/>
    <cellStyle name="Normal 6 15" xfId="2987" xr:uid="{00000000-0005-0000-0000-000048100000}"/>
    <cellStyle name="Normal 6 16" xfId="2988" xr:uid="{00000000-0005-0000-0000-000049100000}"/>
    <cellStyle name="Normal 6 17" xfId="2989" xr:uid="{00000000-0005-0000-0000-00004A100000}"/>
    <cellStyle name="Normal 6 18" xfId="2990" xr:uid="{00000000-0005-0000-0000-00004B100000}"/>
    <cellStyle name="Normal 6 19" xfId="2991" xr:uid="{00000000-0005-0000-0000-00004C100000}"/>
    <cellStyle name="Normal 6 2" xfId="2992" xr:uid="{00000000-0005-0000-0000-00004D100000}"/>
    <cellStyle name="Normal 6 2 10" xfId="2993" xr:uid="{00000000-0005-0000-0000-00004E100000}"/>
    <cellStyle name="Normal 6 2 11" xfId="2994" xr:uid="{00000000-0005-0000-0000-00004F100000}"/>
    <cellStyle name="Normal 6 2 12" xfId="2995" xr:uid="{00000000-0005-0000-0000-000050100000}"/>
    <cellStyle name="Normal 6 2 13" xfId="2996" xr:uid="{00000000-0005-0000-0000-000051100000}"/>
    <cellStyle name="Normal 6 2 14" xfId="2997" xr:uid="{00000000-0005-0000-0000-000052100000}"/>
    <cellStyle name="Normal 6 2 15" xfId="2998" xr:uid="{00000000-0005-0000-0000-000053100000}"/>
    <cellStyle name="Normal 6 2 16" xfId="2999" xr:uid="{00000000-0005-0000-0000-000054100000}"/>
    <cellStyle name="Normal 6 2 17" xfId="3000" xr:uid="{00000000-0005-0000-0000-000055100000}"/>
    <cellStyle name="Normal 6 2 18" xfId="3001" xr:uid="{00000000-0005-0000-0000-000056100000}"/>
    <cellStyle name="Normal 6 2 19" xfId="3002" xr:uid="{00000000-0005-0000-0000-000057100000}"/>
    <cellStyle name="Normal 6 2 2" xfId="3003" xr:uid="{00000000-0005-0000-0000-000058100000}"/>
    <cellStyle name="Normal 6 2 2 10" xfId="3004" xr:uid="{00000000-0005-0000-0000-000059100000}"/>
    <cellStyle name="Normal 6 2 2 11" xfId="3005" xr:uid="{00000000-0005-0000-0000-00005A100000}"/>
    <cellStyle name="Normal 6 2 2 12" xfId="3006" xr:uid="{00000000-0005-0000-0000-00005B100000}"/>
    <cellStyle name="Normal 6 2 2 13" xfId="3007" xr:uid="{00000000-0005-0000-0000-00005C100000}"/>
    <cellStyle name="Normal 6 2 2 14" xfId="3008" xr:uid="{00000000-0005-0000-0000-00005D100000}"/>
    <cellStyle name="Normal 6 2 2 15" xfId="3009" xr:uid="{00000000-0005-0000-0000-00005E100000}"/>
    <cellStyle name="Normal 6 2 2 16" xfId="3010" xr:uid="{00000000-0005-0000-0000-00005F100000}"/>
    <cellStyle name="Normal 6 2 2 17" xfId="3011" xr:uid="{00000000-0005-0000-0000-000060100000}"/>
    <cellStyle name="Normal 6 2 2 18" xfId="3012" xr:uid="{00000000-0005-0000-0000-000061100000}"/>
    <cellStyle name="Normal 6 2 2 19" xfId="3013" xr:uid="{00000000-0005-0000-0000-000062100000}"/>
    <cellStyle name="Normal 6 2 2 2" xfId="3014" xr:uid="{00000000-0005-0000-0000-000063100000}"/>
    <cellStyle name="Normal 6 2 2 2 10" xfId="3015" xr:uid="{00000000-0005-0000-0000-000064100000}"/>
    <cellStyle name="Normal 6 2 2 2 11" xfId="3016" xr:uid="{00000000-0005-0000-0000-000065100000}"/>
    <cellStyle name="Normal 6 2 2 2 12" xfId="3017" xr:uid="{00000000-0005-0000-0000-000066100000}"/>
    <cellStyle name="Normal 6 2 2 2 13" xfId="3018" xr:uid="{00000000-0005-0000-0000-000067100000}"/>
    <cellStyle name="Normal 6 2 2 2 14" xfId="3019" xr:uid="{00000000-0005-0000-0000-000068100000}"/>
    <cellStyle name="Normal 6 2 2 2 15" xfId="3020" xr:uid="{00000000-0005-0000-0000-000069100000}"/>
    <cellStyle name="Normal 6 2 2 2 16" xfId="3021" xr:uid="{00000000-0005-0000-0000-00006A100000}"/>
    <cellStyle name="Normal 6 2 2 2 17" xfId="3022" xr:uid="{00000000-0005-0000-0000-00006B100000}"/>
    <cellStyle name="Normal 6 2 2 2 18" xfId="3023" xr:uid="{00000000-0005-0000-0000-00006C100000}"/>
    <cellStyle name="Normal 6 2 2 2 19" xfId="3024" xr:uid="{00000000-0005-0000-0000-00006D100000}"/>
    <cellStyle name="Normal 6 2 2 2 2" xfId="3025" xr:uid="{00000000-0005-0000-0000-00006E100000}"/>
    <cellStyle name="Normal 6 2 2 2 2 10" xfId="3026" xr:uid="{00000000-0005-0000-0000-00006F100000}"/>
    <cellStyle name="Normal 6 2 2 2 2 11" xfId="3027" xr:uid="{00000000-0005-0000-0000-000070100000}"/>
    <cellStyle name="Normal 6 2 2 2 2 12" xfId="3028" xr:uid="{00000000-0005-0000-0000-000071100000}"/>
    <cellStyle name="Normal 6 2 2 2 2 13" xfId="3029" xr:uid="{00000000-0005-0000-0000-000072100000}"/>
    <cellStyle name="Normal 6 2 2 2 2 14" xfId="3030" xr:uid="{00000000-0005-0000-0000-000073100000}"/>
    <cellStyle name="Normal 6 2 2 2 2 15" xfId="3031" xr:uid="{00000000-0005-0000-0000-000074100000}"/>
    <cellStyle name="Normal 6 2 2 2 2 16" xfId="3032" xr:uid="{00000000-0005-0000-0000-000075100000}"/>
    <cellStyle name="Normal 6 2 2 2 2 17" xfId="3033" xr:uid="{00000000-0005-0000-0000-000076100000}"/>
    <cellStyle name="Normal 6 2 2 2 2 18" xfId="3034" xr:uid="{00000000-0005-0000-0000-000077100000}"/>
    <cellStyle name="Normal 6 2 2 2 2 19" xfId="3035" xr:uid="{00000000-0005-0000-0000-000078100000}"/>
    <cellStyle name="Normal 6 2 2 2 2 2" xfId="3036" xr:uid="{00000000-0005-0000-0000-000079100000}"/>
    <cellStyle name="Normal 6 2 2 2 2 20" xfId="3037" xr:uid="{00000000-0005-0000-0000-00007A100000}"/>
    <cellStyle name="Normal 6 2 2 2 2 21" xfId="3038" xr:uid="{00000000-0005-0000-0000-00007B100000}"/>
    <cellStyle name="Normal 6 2 2 2 2 22" xfId="3039" xr:uid="{00000000-0005-0000-0000-00007C100000}"/>
    <cellStyle name="Normal 6 2 2 2 2 23" xfId="3040" xr:uid="{00000000-0005-0000-0000-00007D100000}"/>
    <cellStyle name="Normal 6 2 2 2 2 24" xfId="3041" xr:uid="{00000000-0005-0000-0000-00007E100000}"/>
    <cellStyle name="Normal 6 2 2 2 2 3" xfId="3042" xr:uid="{00000000-0005-0000-0000-00007F100000}"/>
    <cellStyle name="Normal 6 2 2 2 2 4" xfId="3043" xr:uid="{00000000-0005-0000-0000-000080100000}"/>
    <cellStyle name="Normal 6 2 2 2 2 5" xfId="3044" xr:uid="{00000000-0005-0000-0000-000081100000}"/>
    <cellStyle name="Normal 6 2 2 2 2 6" xfId="3045" xr:uid="{00000000-0005-0000-0000-000082100000}"/>
    <cellStyle name="Normal 6 2 2 2 2 7" xfId="3046" xr:uid="{00000000-0005-0000-0000-000083100000}"/>
    <cellStyle name="Normal 6 2 2 2 2 8" xfId="3047" xr:uid="{00000000-0005-0000-0000-000084100000}"/>
    <cellStyle name="Normal 6 2 2 2 2 9" xfId="3048" xr:uid="{00000000-0005-0000-0000-000085100000}"/>
    <cellStyle name="Normal 6 2 2 2 20" xfId="3049" xr:uid="{00000000-0005-0000-0000-000086100000}"/>
    <cellStyle name="Normal 6 2 2 2 21" xfId="3050" xr:uid="{00000000-0005-0000-0000-000087100000}"/>
    <cellStyle name="Normal 6 2 2 2 22" xfId="3051" xr:uid="{00000000-0005-0000-0000-000088100000}"/>
    <cellStyle name="Normal 6 2 2 2 23" xfId="3052" xr:uid="{00000000-0005-0000-0000-000089100000}"/>
    <cellStyle name="Normal 6 2 2 2 24" xfId="3053" xr:uid="{00000000-0005-0000-0000-00008A100000}"/>
    <cellStyle name="Normal 6 2 2 2 3" xfId="3054" xr:uid="{00000000-0005-0000-0000-00008B100000}"/>
    <cellStyle name="Normal 6 2 2 2 4" xfId="3055" xr:uid="{00000000-0005-0000-0000-00008C100000}"/>
    <cellStyle name="Normal 6 2 2 2 5" xfId="3056" xr:uid="{00000000-0005-0000-0000-00008D100000}"/>
    <cellStyle name="Normal 6 2 2 2 6" xfId="3057" xr:uid="{00000000-0005-0000-0000-00008E100000}"/>
    <cellStyle name="Normal 6 2 2 2 7" xfId="3058" xr:uid="{00000000-0005-0000-0000-00008F100000}"/>
    <cellStyle name="Normal 6 2 2 2 8" xfId="3059" xr:uid="{00000000-0005-0000-0000-000090100000}"/>
    <cellStyle name="Normal 6 2 2 2 9" xfId="3060" xr:uid="{00000000-0005-0000-0000-000091100000}"/>
    <cellStyle name="Normal 6 2 2 20" xfId="3061" xr:uid="{00000000-0005-0000-0000-000092100000}"/>
    <cellStyle name="Normal 6 2 2 21" xfId="3062" xr:uid="{00000000-0005-0000-0000-000093100000}"/>
    <cellStyle name="Normal 6 2 2 22" xfId="3063" xr:uid="{00000000-0005-0000-0000-000094100000}"/>
    <cellStyle name="Normal 6 2 2 23" xfId="3064" xr:uid="{00000000-0005-0000-0000-000095100000}"/>
    <cellStyle name="Normal 6 2 2 24" xfId="3065" xr:uid="{00000000-0005-0000-0000-000096100000}"/>
    <cellStyle name="Normal 6 2 2 25" xfId="3066" xr:uid="{00000000-0005-0000-0000-000097100000}"/>
    <cellStyle name="Normal 6 2 2 26" xfId="3067" xr:uid="{00000000-0005-0000-0000-000098100000}"/>
    <cellStyle name="Normal 6 2 2 27" xfId="3068" xr:uid="{00000000-0005-0000-0000-000099100000}"/>
    <cellStyle name="Normal 6 2 2 28" xfId="3069" xr:uid="{00000000-0005-0000-0000-00009A100000}"/>
    <cellStyle name="Normal 6 2 2 29" xfId="3070" xr:uid="{00000000-0005-0000-0000-00009B100000}"/>
    <cellStyle name="Normal 6 2 2 3" xfId="3071" xr:uid="{00000000-0005-0000-0000-00009C100000}"/>
    <cellStyle name="Normal 6 2 2 30" xfId="3072" xr:uid="{00000000-0005-0000-0000-00009D100000}"/>
    <cellStyle name="Normal 6 2 2 31" xfId="4337" xr:uid="{00000000-0005-0000-0000-00009E100000}"/>
    <cellStyle name="Normal 6 2 2 32" xfId="4621" xr:uid="{00000000-0005-0000-0000-00009F100000}"/>
    <cellStyle name="Normal 6 2 2 4" xfId="3073" xr:uid="{00000000-0005-0000-0000-0000A0100000}"/>
    <cellStyle name="Normal 6 2 2 5" xfId="3074" xr:uid="{00000000-0005-0000-0000-0000A1100000}"/>
    <cellStyle name="Normal 6 2 2 6" xfId="3075" xr:uid="{00000000-0005-0000-0000-0000A2100000}"/>
    <cellStyle name="Normal 6 2 2 7" xfId="3076" xr:uid="{00000000-0005-0000-0000-0000A3100000}"/>
    <cellStyle name="Normal 6 2 2 8" xfId="3077" xr:uid="{00000000-0005-0000-0000-0000A4100000}"/>
    <cellStyle name="Normal 6 2 2 9" xfId="3078" xr:uid="{00000000-0005-0000-0000-0000A5100000}"/>
    <cellStyle name="Normal 6 2 20" xfId="3079" xr:uid="{00000000-0005-0000-0000-0000A6100000}"/>
    <cellStyle name="Normal 6 2 21" xfId="3080" xr:uid="{00000000-0005-0000-0000-0000A7100000}"/>
    <cellStyle name="Normal 6 2 22" xfId="3081" xr:uid="{00000000-0005-0000-0000-0000A8100000}"/>
    <cellStyle name="Normal 6 2 23" xfId="3082" xr:uid="{00000000-0005-0000-0000-0000A9100000}"/>
    <cellStyle name="Normal 6 2 24" xfId="3083" xr:uid="{00000000-0005-0000-0000-0000AA100000}"/>
    <cellStyle name="Normal 6 2 25" xfId="3084" xr:uid="{00000000-0005-0000-0000-0000AB100000}"/>
    <cellStyle name="Normal 6 2 26" xfId="3085" xr:uid="{00000000-0005-0000-0000-0000AC100000}"/>
    <cellStyle name="Normal 6 2 27" xfId="3086" xr:uid="{00000000-0005-0000-0000-0000AD100000}"/>
    <cellStyle name="Normal 6 2 28" xfId="3087" xr:uid="{00000000-0005-0000-0000-0000AE100000}"/>
    <cellStyle name="Normal 6 2 29" xfId="3088" xr:uid="{00000000-0005-0000-0000-0000AF100000}"/>
    <cellStyle name="Normal 6 2 3" xfId="3089" xr:uid="{00000000-0005-0000-0000-0000B0100000}"/>
    <cellStyle name="Normal 6 2 3 10" xfId="3090" xr:uid="{00000000-0005-0000-0000-0000B1100000}"/>
    <cellStyle name="Normal 6 2 3 11" xfId="3091" xr:uid="{00000000-0005-0000-0000-0000B2100000}"/>
    <cellStyle name="Normal 6 2 3 12" xfId="3092" xr:uid="{00000000-0005-0000-0000-0000B3100000}"/>
    <cellStyle name="Normal 6 2 3 13" xfId="3093" xr:uid="{00000000-0005-0000-0000-0000B4100000}"/>
    <cellStyle name="Normal 6 2 3 14" xfId="3094" xr:uid="{00000000-0005-0000-0000-0000B5100000}"/>
    <cellStyle name="Normal 6 2 3 15" xfId="3095" xr:uid="{00000000-0005-0000-0000-0000B6100000}"/>
    <cellStyle name="Normal 6 2 3 16" xfId="3096" xr:uid="{00000000-0005-0000-0000-0000B7100000}"/>
    <cellStyle name="Normal 6 2 3 17" xfId="3097" xr:uid="{00000000-0005-0000-0000-0000B8100000}"/>
    <cellStyle name="Normal 6 2 3 18" xfId="3098" xr:uid="{00000000-0005-0000-0000-0000B9100000}"/>
    <cellStyle name="Normal 6 2 3 19" xfId="3099" xr:uid="{00000000-0005-0000-0000-0000BA100000}"/>
    <cellStyle name="Normal 6 2 3 2" xfId="3100" xr:uid="{00000000-0005-0000-0000-0000BB100000}"/>
    <cellStyle name="Normal 6 2 3 2 10" xfId="3101" xr:uid="{00000000-0005-0000-0000-0000BC100000}"/>
    <cellStyle name="Normal 6 2 3 2 11" xfId="3102" xr:uid="{00000000-0005-0000-0000-0000BD100000}"/>
    <cellStyle name="Normal 6 2 3 2 12" xfId="3103" xr:uid="{00000000-0005-0000-0000-0000BE100000}"/>
    <cellStyle name="Normal 6 2 3 2 13" xfId="3104" xr:uid="{00000000-0005-0000-0000-0000BF100000}"/>
    <cellStyle name="Normal 6 2 3 2 14" xfId="3105" xr:uid="{00000000-0005-0000-0000-0000C0100000}"/>
    <cellStyle name="Normal 6 2 3 2 15" xfId="3106" xr:uid="{00000000-0005-0000-0000-0000C1100000}"/>
    <cellStyle name="Normal 6 2 3 2 16" xfId="3107" xr:uid="{00000000-0005-0000-0000-0000C2100000}"/>
    <cellStyle name="Normal 6 2 3 2 17" xfId="3108" xr:uid="{00000000-0005-0000-0000-0000C3100000}"/>
    <cellStyle name="Normal 6 2 3 2 18" xfId="3109" xr:uid="{00000000-0005-0000-0000-0000C4100000}"/>
    <cellStyle name="Normal 6 2 3 2 19" xfId="3110" xr:uid="{00000000-0005-0000-0000-0000C5100000}"/>
    <cellStyle name="Normal 6 2 3 2 2" xfId="3111" xr:uid="{00000000-0005-0000-0000-0000C6100000}"/>
    <cellStyle name="Normal 6 2 3 2 20" xfId="3112" xr:uid="{00000000-0005-0000-0000-0000C7100000}"/>
    <cellStyle name="Normal 6 2 3 2 21" xfId="3113" xr:uid="{00000000-0005-0000-0000-0000C8100000}"/>
    <cellStyle name="Normal 6 2 3 2 22" xfId="3114" xr:uid="{00000000-0005-0000-0000-0000C9100000}"/>
    <cellStyle name="Normal 6 2 3 2 23" xfId="3115" xr:uid="{00000000-0005-0000-0000-0000CA100000}"/>
    <cellStyle name="Normal 6 2 3 2 24" xfId="3116" xr:uid="{00000000-0005-0000-0000-0000CB100000}"/>
    <cellStyle name="Normal 6 2 3 2 3" xfId="3117" xr:uid="{00000000-0005-0000-0000-0000CC100000}"/>
    <cellStyle name="Normal 6 2 3 2 4" xfId="3118" xr:uid="{00000000-0005-0000-0000-0000CD100000}"/>
    <cellStyle name="Normal 6 2 3 2 5" xfId="3119" xr:uid="{00000000-0005-0000-0000-0000CE100000}"/>
    <cellStyle name="Normal 6 2 3 2 6" xfId="3120" xr:uid="{00000000-0005-0000-0000-0000CF100000}"/>
    <cellStyle name="Normal 6 2 3 2 7" xfId="3121" xr:uid="{00000000-0005-0000-0000-0000D0100000}"/>
    <cellStyle name="Normal 6 2 3 2 8" xfId="3122" xr:uid="{00000000-0005-0000-0000-0000D1100000}"/>
    <cellStyle name="Normal 6 2 3 2 9" xfId="3123" xr:uid="{00000000-0005-0000-0000-0000D2100000}"/>
    <cellStyle name="Normal 6 2 3 20" xfId="3124" xr:uid="{00000000-0005-0000-0000-0000D3100000}"/>
    <cellStyle name="Normal 6 2 3 21" xfId="3125" xr:uid="{00000000-0005-0000-0000-0000D4100000}"/>
    <cellStyle name="Normal 6 2 3 22" xfId="3126" xr:uid="{00000000-0005-0000-0000-0000D5100000}"/>
    <cellStyle name="Normal 6 2 3 23" xfId="3127" xr:uid="{00000000-0005-0000-0000-0000D6100000}"/>
    <cellStyle name="Normal 6 2 3 24" xfId="3128" xr:uid="{00000000-0005-0000-0000-0000D7100000}"/>
    <cellStyle name="Normal 6 2 3 3" xfId="3129" xr:uid="{00000000-0005-0000-0000-0000D8100000}"/>
    <cellStyle name="Normal 6 2 3 4" xfId="3130" xr:uid="{00000000-0005-0000-0000-0000D9100000}"/>
    <cellStyle name="Normal 6 2 3 5" xfId="3131" xr:uid="{00000000-0005-0000-0000-0000DA100000}"/>
    <cellStyle name="Normal 6 2 3 6" xfId="3132" xr:uid="{00000000-0005-0000-0000-0000DB100000}"/>
    <cellStyle name="Normal 6 2 3 7" xfId="3133" xr:uid="{00000000-0005-0000-0000-0000DC100000}"/>
    <cellStyle name="Normal 6 2 3 8" xfId="3134" xr:uid="{00000000-0005-0000-0000-0000DD100000}"/>
    <cellStyle name="Normal 6 2 3 9" xfId="3135" xr:uid="{00000000-0005-0000-0000-0000DE100000}"/>
    <cellStyle name="Normal 6 2 30" xfId="3136" xr:uid="{00000000-0005-0000-0000-0000DF100000}"/>
    <cellStyle name="Normal 6 2 4" xfId="3137" xr:uid="{00000000-0005-0000-0000-0000E0100000}"/>
    <cellStyle name="Normal 6 2 5" xfId="3138" xr:uid="{00000000-0005-0000-0000-0000E1100000}"/>
    <cellStyle name="Normal 6 2 6" xfId="3139" xr:uid="{00000000-0005-0000-0000-0000E2100000}"/>
    <cellStyle name="Normal 6 2 7" xfId="3140" xr:uid="{00000000-0005-0000-0000-0000E3100000}"/>
    <cellStyle name="Normal 6 2 8" xfId="3141" xr:uid="{00000000-0005-0000-0000-0000E4100000}"/>
    <cellStyle name="Normal 6 2 9" xfId="3142" xr:uid="{00000000-0005-0000-0000-0000E5100000}"/>
    <cellStyle name="Normal 6 20" xfId="3143" xr:uid="{00000000-0005-0000-0000-0000E6100000}"/>
    <cellStyle name="Normal 6 21" xfId="3144" xr:uid="{00000000-0005-0000-0000-0000E7100000}"/>
    <cellStyle name="Normal 6 22" xfId="3145" xr:uid="{00000000-0005-0000-0000-0000E8100000}"/>
    <cellStyle name="Normal 6 23" xfId="3146" xr:uid="{00000000-0005-0000-0000-0000E9100000}"/>
    <cellStyle name="Normal 6 24" xfId="3147" xr:uid="{00000000-0005-0000-0000-0000EA100000}"/>
    <cellStyle name="Normal 6 25" xfId="3148" xr:uid="{00000000-0005-0000-0000-0000EB100000}"/>
    <cellStyle name="Normal 6 26" xfId="3149" xr:uid="{00000000-0005-0000-0000-0000EC100000}"/>
    <cellStyle name="Normal 6 27" xfId="3150" xr:uid="{00000000-0005-0000-0000-0000ED100000}"/>
    <cellStyle name="Normal 6 28" xfId="3151" xr:uid="{00000000-0005-0000-0000-0000EE100000}"/>
    <cellStyle name="Normal 6 29" xfId="4336" xr:uid="{00000000-0005-0000-0000-0000EF100000}"/>
    <cellStyle name="Normal 6 3" xfId="3152" xr:uid="{00000000-0005-0000-0000-0000F0100000}"/>
    <cellStyle name="Normal 6 3 2" xfId="4338" xr:uid="{00000000-0005-0000-0000-0000F1100000}"/>
    <cellStyle name="Normal 6 3 3" xfId="4622" xr:uid="{00000000-0005-0000-0000-0000F2100000}"/>
    <cellStyle name="Normal 6 30" xfId="4620" xr:uid="{00000000-0005-0000-0000-0000F3100000}"/>
    <cellStyle name="Normal 6 31" xfId="5017" xr:uid="{00000000-0005-0000-0000-0000F4100000}"/>
    <cellStyle name="Normal 6 4" xfId="3153" xr:uid="{00000000-0005-0000-0000-0000F5100000}"/>
    <cellStyle name="Normal 6 4 2" xfId="4339" xr:uid="{00000000-0005-0000-0000-0000F6100000}"/>
    <cellStyle name="Normal 6 4 3" xfId="4623" xr:uid="{00000000-0005-0000-0000-0000F7100000}"/>
    <cellStyle name="Normal 6 5" xfId="3154" xr:uid="{00000000-0005-0000-0000-0000F8100000}"/>
    <cellStyle name="Normal 6 6" xfId="3155" xr:uid="{00000000-0005-0000-0000-0000F9100000}"/>
    <cellStyle name="Normal 6 7" xfId="3156" xr:uid="{00000000-0005-0000-0000-0000FA100000}"/>
    <cellStyle name="Normal 6 8" xfId="3157" xr:uid="{00000000-0005-0000-0000-0000FB100000}"/>
    <cellStyle name="Normal 6 9" xfId="3158" xr:uid="{00000000-0005-0000-0000-0000FC100000}"/>
    <cellStyle name="Normal 60" xfId="5062" xr:uid="{00000000-0005-0000-0000-0000FD100000}"/>
    <cellStyle name="Normal 60 2" xfId="5128" xr:uid="{EB1A4233-C932-4D4A-A122-B3A14406B7F1}"/>
    <cellStyle name="Normal 61" xfId="5065" xr:uid="{00000000-0005-0000-0000-0000FE100000}"/>
    <cellStyle name="Normal 61 2" xfId="5129" xr:uid="{929A097E-0E6D-4AFE-AF11-1FEA9A0EABB6}"/>
    <cellStyle name="Normal 62" xfId="5068" xr:uid="{00000000-0005-0000-0000-0000FF100000}"/>
    <cellStyle name="Normal 62 2" xfId="5130" xr:uid="{4ABCFDA2-4F00-4DF0-8DB4-4FB225989B45}"/>
    <cellStyle name="Normal 63" xfId="5071" xr:uid="{00000000-0005-0000-0000-000000110000}"/>
    <cellStyle name="Normal 63 2" xfId="5131" xr:uid="{3FB491E5-889C-4831-AF0F-0B585FAD4AE9}"/>
    <cellStyle name="Normal 64" xfId="5074" xr:uid="{00000000-0005-0000-0000-000001110000}"/>
    <cellStyle name="Normal 64 2" xfId="5132" xr:uid="{95CBF511-D3F2-4795-A8A7-098B42361748}"/>
    <cellStyle name="Normal 65" xfId="5077" xr:uid="{00000000-0005-0000-0000-000002110000}"/>
    <cellStyle name="Normal 65 2" xfId="5133" xr:uid="{9093AAF6-341C-4DC9-AF10-45CC70FFC38F}"/>
    <cellStyle name="Normal 66" xfId="5080" xr:uid="{00000000-0005-0000-0000-000003110000}"/>
    <cellStyle name="Normal 66 2" xfId="5134" xr:uid="{1A673C38-EF4D-4AFE-8864-E1A875B963D4}"/>
    <cellStyle name="Normal 67" xfId="5082" xr:uid="{00000000-0005-0000-0000-000004110000}"/>
    <cellStyle name="Normal 67 2" xfId="5135" xr:uid="{3BDB6450-0FC9-4CB9-A207-A0BD93CD581C}"/>
    <cellStyle name="Normal 68" xfId="5087" xr:uid="{00000000-0005-0000-0000-000005110000}"/>
    <cellStyle name="Normal 68 2" xfId="5136" xr:uid="{1D0E4ABD-41B1-479A-808B-9EA26B680C07}"/>
    <cellStyle name="Normal 69" xfId="5032" xr:uid="{00000000-0005-0000-0000-000006110000}"/>
    <cellStyle name="Normal 69 2" xfId="5119" xr:uid="{E0AD1B03-C89F-4F32-BFBD-16A4BE8C7795}"/>
    <cellStyle name="Normal 7" xfId="82" xr:uid="{00000000-0005-0000-0000-000007110000}"/>
    <cellStyle name="Normal 7 10" xfId="3159" xr:uid="{00000000-0005-0000-0000-000008110000}"/>
    <cellStyle name="Normal 7 11" xfId="3160" xr:uid="{00000000-0005-0000-0000-000009110000}"/>
    <cellStyle name="Normal 7 12" xfId="3161" xr:uid="{00000000-0005-0000-0000-00000A110000}"/>
    <cellStyle name="Normal 7 13" xfId="3162" xr:uid="{00000000-0005-0000-0000-00000B110000}"/>
    <cellStyle name="Normal 7 14" xfId="3163" xr:uid="{00000000-0005-0000-0000-00000C110000}"/>
    <cellStyle name="Normal 7 15" xfId="3164" xr:uid="{00000000-0005-0000-0000-00000D110000}"/>
    <cellStyle name="Normal 7 16" xfId="3165" xr:uid="{00000000-0005-0000-0000-00000E110000}"/>
    <cellStyle name="Normal 7 17" xfId="3166" xr:uid="{00000000-0005-0000-0000-00000F110000}"/>
    <cellStyle name="Normal 7 18" xfId="3167" xr:uid="{00000000-0005-0000-0000-000010110000}"/>
    <cellStyle name="Normal 7 19" xfId="3168" xr:uid="{00000000-0005-0000-0000-000011110000}"/>
    <cellStyle name="Normal 7 2" xfId="3169" xr:uid="{00000000-0005-0000-0000-000012110000}"/>
    <cellStyle name="Normal 7 2 10" xfId="3170" xr:uid="{00000000-0005-0000-0000-000013110000}"/>
    <cellStyle name="Normal 7 2 11" xfId="3171" xr:uid="{00000000-0005-0000-0000-000014110000}"/>
    <cellStyle name="Normal 7 2 12" xfId="3172" xr:uid="{00000000-0005-0000-0000-000015110000}"/>
    <cellStyle name="Normal 7 2 13" xfId="3173" xr:uid="{00000000-0005-0000-0000-000016110000}"/>
    <cellStyle name="Normal 7 2 14" xfId="3174" xr:uid="{00000000-0005-0000-0000-000017110000}"/>
    <cellStyle name="Normal 7 2 15" xfId="3175" xr:uid="{00000000-0005-0000-0000-000018110000}"/>
    <cellStyle name="Normal 7 2 16" xfId="3176" xr:uid="{00000000-0005-0000-0000-000019110000}"/>
    <cellStyle name="Normal 7 2 17" xfId="3177" xr:uid="{00000000-0005-0000-0000-00001A110000}"/>
    <cellStyle name="Normal 7 2 18" xfId="3178" xr:uid="{00000000-0005-0000-0000-00001B110000}"/>
    <cellStyle name="Normal 7 2 19" xfId="3179" xr:uid="{00000000-0005-0000-0000-00001C110000}"/>
    <cellStyle name="Normal 7 2 2" xfId="3180" xr:uid="{00000000-0005-0000-0000-00001D110000}"/>
    <cellStyle name="Normal 7 2 2 10" xfId="3181" xr:uid="{00000000-0005-0000-0000-00001E110000}"/>
    <cellStyle name="Normal 7 2 2 11" xfId="3182" xr:uid="{00000000-0005-0000-0000-00001F110000}"/>
    <cellStyle name="Normal 7 2 2 12" xfId="3183" xr:uid="{00000000-0005-0000-0000-000020110000}"/>
    <cellStyle name="Normal 7 2 2 13" xfId="3184" xr:uid="{00000000-0005-0000-0000-000021110000}"/>
    <cellStyle name="Normal 7 2 2 14" xfId="3185" xr:uid="{00000000-0005-0000-0000-000022110000}"/>
    <cellStyle name="Normal 7 2 2 15" xfId="3186" xr:uid="{00000000-0005-0000-0000-000023110000}"/>
    <cellStyle name="Normal 7 2 2 16" xfId="3187" xr:uid="{00000000-0005-0000-0000-000024110000}"/>
    <cellStyle name="Normal 7 2 2 17" xfId="3188" xr:uid="{00000000-0005-0000-0000-000025110000}"/>
    <cellStyle name="Normal 7 2 2 18" xfId="3189" xr:uid="{00000000-0005-0000-0000-000026110000}"/>
    <cellStyle name="Normal 7 2 2 19" xfId="3190" xr:uid="{00000000-0005-0000-0000-000027110000}"/>
    <cellStyle name="Normal 7 2 2 2" xfId="3191" xr:uid="{00000000-0005-0000-0000-000028110000}"/>
    <cellStyle name="Normal 7 2 2 2 10" xfId="3192" xr:uid="{00000000-0005-0000-0000-000029110000}"/>
    <cellStyle name="Normal 7 2 2 2 11" xfId="3193" xr:uid="{00000000-0005-0000-0000-00002A110000}"/>
    <cellStyle name="Normal 7 2 2 2 12" xfId="3194" xr:uid="{00000000-0005-0000-0000-00002B110000}"/>
    <cellStyle name="Normal 7 2 2 2 13" xfId="3195" xr:uid="{00000000-0005-0000-0000-00002C110000}"/>
    <cellStyle name="Normal 7 2 2 2 14" xfId="3196" xr:uid="{00000000-0005-0000-0000-00002D110000}"/>
    <cellStyle name="Normal 7 2 2 2 15" xfId="3197" xr:uid="{00000000-0005-0000-0000-00002E110000}"/>
    <cellStyle name="Normal 7 2 2 2 16" xfId="3198" xr:uid="{00000000-0005-0000-0000-00002F110000}"/>
    <cellStyle name="Normal 7 2 2 2 17" xfId="3199" xr:uid="{00000000-0005-0000-0000-000030110000}"/>
    <cellStyle name="Normal 7 2 2 2 18" xfId="3200" xr:uid="{00000000-0005-0000-0000-000031110000}"/>
    <cellStyle name="Normal 7 2 2 2 19" xfId="3201" xr:uid="{00000000-0005-0000-0000-000032110000}"/>
    <cellStyle name="Normal 7 2 2 2 2" xfId="3202" xr:uid="{00000000-0005-0000-0000-000033110000}"/>
    <cellStyle name="Normal 7 2 2 2 2 10" xfId="3203" xr:uid="{00000000-0005-0000-0000-000034110000}"/>
    <cellStyle name="Normal 7 2 2 2 2 11" xfId="3204" xr:uid="{00000000-0005-0000-0000-000035110000}"/>
    <cellStyle name="Normal 7 2 2 2 2 12" xfId="3205" xr:uid="{00000000-0005-0000-0000-000036110000}"/>
    <cellStyle name="Normal 7 2 2 2 2 13" xfId="3206" xr:uid="{00000000-0005-0000-0000-000037110000}"/>
    <cellStyle name="Normal 7 2 2 2 2 14" xfId="3207" xr:uid="{00000000-0005-0000-0000-000038110000}"/>
    <cellStyle name="Normal 7 2 2 2 2 15" xfId="3208" xr:uid="{00000000-0005-0000-0000-000039110000}"/>
    <cellStyle name="Normal 7 2 2 2 2 16" xfId="3209" xr:uid="{00000000-0005-0000-0000-00003A110000}"/>
    <cellStyle name="Normal 7 2 2 2 2 17" xfId="3210" xr:uid="{00000000-0005-0000-0000-00003B110000}"/>
    <cellStyle name="Normal 7 2 2 2 2 18" xfId="3211" xr:uid="{00000000-0005-0000-0000-00003C110000}"/>
    <cellStyle name="Normal 7 2 2 2 2 19" xfId="3212" xr:uid="{00000000-0005-0000-0000-00003D110000}"/>
    <cellStyle name="Normal 7 2 2 2 2 2" xfId="3213" xr:uid="{00000000-0005-0000-0000-00003E110000}"/>
    <cellStyle name="Normal 7 2 2 2 2 20" xfId="3214" xr:uid="{00000000-0005-0000-0000-00003F110000}"/>
    <cellStyle name="Normal 7 2 2 2 2 21" xfId="3215" xr:uid="{00000000-0005-0000-0000-000040110000}"/>
    <cellStyle name="Normal 7 2 2 2 2 22" xfId="3216" xr:uid="{00000000-0005-0000-0000-000041110000}"/>
    <cellStyle name="Normal 7 2 2 2 2 23" xfId="3217" xr:uid="{00000000-0005-0000-0000-000042110000}"/>
    <cellStyle name="Normal 7 2 2 2 2 24" xfId="3218" xr:uid="{00000000-0005-0000-0000-000043110000}"/>
    <cellStyle name="Normal 7 2 2 2 2 3" xfId="3219" xr:uid="{00000000-0005-0000-0000-000044110000}"/>
    <cellStyle name="Normal 7 2 2 2 2 4" xfId="3220" xr:uid="{00000000-0005-0000-0000-000045110000}"/>
    <cellStyle name="Normal 7 2 2 2 2 5" xfId="3221" xr:uid="{00000000-0005-0000-0000-000046110000}"/>
    <cellStyle name="Normal 7 2 2 2 2 6" xfId="3222" xr:uid="{00000000-0005-0000-0000-000047110000}"/>
    <cellStyle name="Normal 7 2 2 2 2 7" xfId="3223" xr:uid="{00000000-0005-0000-0000-000048110000}"/>
    <cellStyle name="Normal 7 2 2 2 2 8" xfId="3224" xr:uid="{00000000-0005-0000-0000-000049110000}"/>
    <cellStyle name="Normal 7 2 2 2 2 9" xfId="3225" xr:uid="{00000000-0005-0000-0000-00004A110000}"/>
    <cellStyle name="Normal 7 2 2 2 20" xfId="3226" xr:uid="{00000000-0005-0000-0000-00004B110000}"/>
    <cellStyle name="Normal 7 2 2 2 21" xfId="3227" xr:uid="{00000000-0005-0000-0000-00004C110000}"/>
    <cellStyle name="Normal 7 2 2 2 22" xfId="3228" xr:uid="{00000000-0005-0000-0000-00004D110000}"/>
    <cellStyle name="Normal 7 2 2 2 23" xfId="3229" xr:uid="{00000000-0005-0000-0000-00004E110000}"/>
    <cellStyle name="Normal 7 2 2 2 24" xfId="3230" xr:uid="{00000000-0005-0000-0000-00004F110000}"/>
    <cellStyle name="Normal 7 2 2 2 3" xfId="3231" xr:uid="{00000000-0005-0000-0000-000050110000}"/>
    <cellStyle name="Normal 7 2 2 2 4" xfId="3232" xr:uid="{00000000-0005-0000-0000-000051110000}"/>
    <cellStyle name="Normal 7 2 2 2 5" xfId="3233" xr:uid="{00000000-0005-0000-0000-000052110000}"/>
    <cellStyle name="Normal 7 2 2 2 6" xfId="3234" xr:uid="{00000000-0005-0000-0000-000053110000}"/>
    <cellStyle name="Normal 7 2 2 2 7" xfId="3235" xr:uid="{00000000-0005-0000-0000-000054110000}"/>
    <cellStyle name="Normal 7 2 2 2 8" xfId="3236" xr:uid="{00000000-0005-0000-0000-000055110000}"/>
    <cellStyle name="Normal 7 2 2 2 9" xfId="3237" xr:uid="{00000000-0005-0000-0000-000056110000}"/>
    <cellStyle name="Normal 7 2 2 20" xfId="3238" xr:uid="{00000000-0005-0000-0000-000057110000}"/>
    <cellStyle name="Normal 7 2 2 21" xfId="3239" xr:uid="{00000000-0005-0000-0000-000058110000}"/>
    <cellStyle name="Normal 7 2 2 22" xfId="3240" xr:uid="{00000000-0005-0000-0000-000059110000}"/>
    <cellStyle name="Normal 7 2 2 23" xfId="3241" xr:uid="{00000000-0005-0000-0000-00005A110000}"/>
    <cellStyle name="Normal 7 2 2 24" xfId="3242" xr:uid="{00000000-0005-0000-0000-00005B110000}"/>
    <cellStyle name="Normal 7 2 2 25" xfId="3243" xr:uid="{00000000-0005-0000-0000-00005C110000}"/>
    <cellStyle name="Normal 7 2 2 26" xfId="3244" xr:uid="{00000000-0005-0000-0000-00005D110000}"/>
    <cellStyle name="Normal 7 2 2 27" xfId="3245" xr:uid="{00000000-0005-0000-0000-00005E110000}"/>
    <cellStyle name="Normal 7 2 2 28" xfId="3246" xr:uid="{00000000-0005-0000-0000-00005F110000}"/>
    <cellStyle name="Normal 7 2 2 29" xfId="3247" xr:uid="{00000000-0005-0000-0000-000060110000}"/>
    <cellStyle name="Normal 7 2 2 3" xfId="3248" xr:uid="{00000000-0005-0000-0000-000061110000}"/>
    <cellStyle name="Normal 7 2 2 30" xfId="3249" xr:uid="{00000000-0005-0000-0000-000062110000}"/>
    <cellStyle name="Normal 7 2 2 4" xfId="3250" xr:uid="{00000000-0005-0000-0000-000063110000}"/>
    <cellStyle name="Normal 7 2 2 5" xfId="3251" xr:uid="{00000000-0005-0000-0000-000064110000}"/>
    <cellStyle name="Normal 7 2 2 6" xfId="3252" xr:uid="{00000000-0005-0000-0000-000065110000}"/>
    <cellStyle name="Normal 7 2 2 7" xfId="3253" xr:uid="{00000000-0005-0000-0000-000066110000}"/>
    <cellStyle name="Normal 7 2 2 8" xfId="3254" xr:uid="{00000000-0005-0000-0000-000067110000}"/>
    <cellStyle name="Normal 7 2 2 9" xfId="3255" xr:uid="{00000000-0005-0000-0000-000068110000}"/>
    <cellStyle name="Normal 7 2 20" xfId="3256" xr:uid="{00000000-0005-0000-0000-000069110000}"/>
    <cellStyle name="Normal 7 2 21" xfId="3257" xr:uid="{00000000-0005-0000-0000-00006A110000}"/>
    <cellStyle name="Normal 7 2 22" xfId="3258" xr:uid="{00000000-0005-0000-0000-00006B110000}"/>
    <cellStyle name="Normal 7 2 23" xfId="3259" xr:uid="{00000000-0005-0000-0000-00006C110000}"/>
    <cellStyle name="Normal 7 2 24" xfId="3260" xr:uid="{00000000-0005-0000-0000-00006D110000}"/>
    <cellStyle name="Normal 7 2 25" xfId="3261" xr:uid="{00000000-0005-0000-0000-00006E110000}"/>
    <cellStyle name="Normal 7 2 26" xfId="3262" xr:uid="{00000000-0005-0000-0000-00006F110000}"/>
    <cellStyle name="Normal 7 2 27" xfId="3263" xr:uid="{00000000-0005-0000-0000-000070110000}"/>
    <cellStyle name="Normal 7 2 28" xfId="3264" xr:uid="{00000000-0005-0000-0000-000071110000}"/>
    <cellStyle name="Normal 7 2 29" xfId="3265" xr:uid="{00000000-0005-0000-0000-000072110000}"/>
    <cellStyle name="Normal 7 2 3" xfId="3266" xr:uid="{00000000-0005-0000-0000-000073110000}"/>
    <cellStyle name="Normal 7 2 3 10" xfId="3267" xr:uid="{00000000-0005-0000-0000-000074110000}"/>
    <cellStyle name="Normal 7 2 3 11" xfId="3268" xr:uid="{00000000-0005-0000-0000-000075110000}"/>
    <cellStyle name="Normal 7 2 3 12" xfId="3269" xr:uid="{00000000-0005-0000-0000-000076110000}"/>
    <cellStyle name="Normal 7 2 3 13" xfId="3270" xr:uid="{00000000-0005-0000-0000-000077110000}"/>
    <cellStyle name="Normal 7 2 3 14" xfId="3271" xr:uid="{00000000-0005-0000-0000-000078110000}"/>
    <cellStyle name="Normal 7 2 3 15" xfId="3272" xr:uid="{00000000-0005-0000-0000-000079110000}"/>
    <cellStyle name="Normal 7 2 3 16" xfId="3273" xr:uid="{00000000-0005-0000-0000-00007A110000}"/>
    <cellStyle name="Normal 7 2 3 17" xfId="3274" xr:uid="{00000000-0005-0000-0000-00007B110000}"/>
    <cellStyle name="Normal 7 2 3 18" xfId="3275" xr:uid="{00000000-0005-0000-0000-00007C110000}"/>
    <cellStyle name="Normal 7 2 3 19" xfId="3276" xr:uid="{00000000-0005-0000-0000-00007D110000}"/>
    <cellStyle name="Normal 7 2 3 2" xfId="3277" xr:uid="{00000000-0005-0000-0000-00007E110000}"/>
    <cellStyle name="Normal 7 2 3 2 10" xfId="3278" xr:uid="{00000000-0005-0000-0000-00007F110000}"/>
    <cellStyle name="Normal 7 2 3 2 11" xfId="3279" xr:uid="{00000000-0005-0000-0000-000080110000}"/>
    <cellStyle name="Normal 7 2 3 2 12" xfId="3280" xr:uid="{00000000-0005-0000-0000-000081110000}"/>
    <cellStyle name="Normal 7 2 3 2 13" xfId="3281" xr:uid="{00000000-0005-0000-0000-000082110000}"/>
    <cellStyle name="Normal 7 2 3 2 14" xfId="3282" xr:uid="{00000000-0005-0000-0000-000083110000}"/>
    <cellStyle name="Normal 7 2 3 2 15" xfId="3283" xr:uid="{00000000-0005-0000-0000-000084110000}"/>
    <cellStyle name="Normal 7 2 3 2 16" xfId="3284" xr:uid="{00000000-0005-0000-0000-000085110000}"/>
    <cellStyle name="Normal 7 2 3 2 17" xfId="3285" xr:uid="{00000000-0005-0000-0000-000086110000}"/>
    <cellStyle name="Normal 7 2 3 2 18" xfId="3286" xr:uid="{00000000-0005-0000-0000-000087110000}"/>
    <cellStyle name="Normal 7 2 3 2 19" xfId="3287" xr:uid="{00000000-0005-0000-0000-000088110000}"/>
    <cellStyle name="Normal 7 2 3 2 2" xfId="3288" xr:uid="{00000000-0005-0000-0000-000089110000}"/>
    <cellStyle name="Normal 7 2 3 2 20" xfId="3289" xr:uid="{00000000-0005-0000-0000-00008A110000}"/>
    <cellStyle name="Normal 7 2 3 2 21" xfId="3290" xr:uid="{00000000-0005-0000-0000-00008B110000}"/>
    <cellStyle name="Normal 7 2 3 2 22" xfId="3291" xr:uid="{00000000-0005-0000-0000-00008C110000}"/>
    <cellStyle name="Normal 7 2 3 2 23" xfId="3292" xr:uid="{00000000-0005-0000-0000-00008D110000}"/>
    <cellStyle name="Normal 7 2 3 2 24" xfId="3293" xr:uid="{00000000-0005-0000-0000-00008E110000}"/>
    <cellStyle name="Normal 7 2 3 2 3" xfId="3294" xr:uid="{00000000-0005-0000-0000-00008F110000}"/>
    <cellStyle name="Normal 7 2 3 2 4" xfId="3295" xr:uid="{00000000-0005-0000-0000-000090110000}"/>
    <cellStyle name="Normal 7 2 3 2 5" xfId="3296" xr:uid="{00000000-0005-0000-0000-000091110000}"/>
    <cellStyle name="Normal 7 2 3 2 6" xfId="3297" xr:uid="{00000000-0005-0000-0000-000092110000}"/>
    <cellStyle name="Normal 7 2 3 2 7" xfId="3298" xr:uid="{00000000-0005-0000-0000-000093110000}"/>
    <cellStyle name="Normal 7 2 3 2 8" xfId="3299" xr:uid="{00000000-0005-0000-0000-000094110000}"/>
    <cellStyle name="Normal 7 2 3 2 9" xfId="3300" xr:uid="{00000000-0005-0000-0000-000095110000}"/>
    <cellStyle name="Normal 7 2 3 20" xfId="3301" xr:uid="{00000000-0005-0000-0000-000096110000}"/>
    <cellStyle name="Normal 7 2 3 21" xfId="3302" xr:uid="{00000000-0005-0000-0000-000097110000}"/>
    <cellStyle name="Normal 7 2 3 22" xfId="3303" xr:uid="{00000000-0005-0000-0000-000098110000}"/>
    <cellStyle name="Normal 7 2 3 23" xfId="3304" xr:uid="{00000000-0005-0000-0000-000099110000}"/>
    <cellStyle name="Normal 7 2 3 24" xfId="3305" xr:uid="{00000000-0005-0000-0000-00009A110000}"/>
    <cellStyle name="Normal 7 2 3 3" xfId="3306" xr:uid="{00000000-0005-0000-0000-00009B110000}"/>
    <cellStyle name="Normal 7 2 3 4" xfId="3307" xr:uid="{00000000-0005-0000-0000-00009C110000}"/>
    <cellStyle name="Normal 7 2 3 5" xfId="3308" xr:uid="{00000000-0005-0000-0000-00009D110000}"/>
    <cellStyle name="Normal 7 2 3 6" xfId="3309" xr:uid="{00000000-0005-0000-0000-00009E110000}"/>
    <cellStyle name="Normal 7 2 3 7" xfId="3310" xr:uid="{00000000-0005-0000-0000-00009F110000}"/>
    <cellStyle name="Normal 7 2 3 8" xfId="3311" xr:uid="{00000000-0005-0000-0000-0000A0110000}"/>
    <cellStyle name="Normal 7 2 3 9" xfId="3312" xr:uid="{00000000-0005-0000-0000-0000A1110000}"/>
    <cellStyle name="Normal 7 2 30" xfId="3313" xr:uid="{00000000-0005-0000-0000-0000A2110000}"/>
    <cellStyle name="Normal 7 2 31" xfId="4341" xr:uid="{00000000-0005-0000-0000-0000A3110000}"/>
    <cellStyle name="Normal 7 2 32" xfId="4633" xr:uid="{00000000-0005-0000-0000-0000A4110000}"/>
    <cellStyle name="Normal 7 2 4" xfId="3314" xr:uid="{00000000-0005-0000-0000-0000A5110000}"/>
    <cellStyle name="Normal 7 2 5" xfId="3315" xr:uid="{00000000-0005-0000-0000-0000A6110000}"/>
    <cellStyle name="Normal 7 2 6" xfId="3316" xr:uid="{00000000-0005-0000-0000-0000A7110000}"/>
    <cellStyle name="Normal 7 2 7" xfId="3317" xr:uid="{00000000-0005-0000-0000-0000A8110000}"/>
    <cellStyle name="Normal 7 2 8" xfId="3318" xr:uid="{00000000-0005-0000-0000-0000A9110000}"/>
    <cellStyle name="Normal 7 2 9" xfId="3319" xr:uid="{00000000-0005-0000-0000-0000AA110000}"/>
    <cellStyle name="Normal 7 20" xfId="3320" xr:uid="{00000000-0005-0000-0000-0000AB110000}"/>
    <cellStyle name="Normal 7 21" xfId="3321" xr:uid="{00000000-0005-0000-0000-0000AC110000}"/>
    <cellStyle name="Normal 7 22" xfId="3322" xr:uid="{00000000-0005-0000-0000-0000AD110000}"/>
    <cellStyle name="Normal 7 23" xfId="3323" xr:uid="{00000000-0005-0000-0000-0000AE110000}"/>
    <cellStyle name="Normal 7 24" xfId="3324" xr:uid="{00000000-0005-0000-0000-0000AF110000}"/>
    <cellStyle name="Normal 7 25" xfId="3325" xr:uid="{00000000-0005-0000-0000-0000B0110000}"/>
    <cellStyle name="Normal 7 26" xfId="3326" xr:uid="{00000000-0005-0000-0000-0000B1110000}"/>
    <cellStyle name="Normal 7 27" xfId="3327" xr:uid="{00000000-0005-0000-0000-0000B2110000}"/>
    <cellStyle name="Normal 7 28" xfId="3328" xr:uid="{00000000-0005-0000-0000-0000B3110000}"/>
    <cellStyle name="Normal 7 29" xfId="4340" xr:uid="{00000000-0005-0000-0000-0000B4110000}"/>
    <cellStyle name="Normal 7 3" xfId="3329" xr:uid="{00000000-0005-0000-0000-0000B5110000}"/>
    <cellStyle name="Normal 7 30" xfId="4624" xr:uid="{00000000-0005-0000-0000-0000B6110000}"/>
    <cellStyle name="Normal 7 31" xfId="5018" xr:uid="{00000000-0005-0000-0000-0000B7110000}"/>
    <cellStyle name="Normal 7 4" xfId="3330" xr:uid="{00000000-0005-0000-0000-0000B8110000}"/>
    <cellStyle name="Normal 7 5" xfId="3331" xr:uid="{00000000-0005-0000-0000-0000B9110000}"/>
    <cellStyle name="Normal 7 6" xfId="3332" xr:uid="{00000000-0005-0000-0000-0000BA110000}"/>
    <cellStyle name="Normal 7 7" xfId="3333" xr:uid="{00000000-0005-0000-0000-0000BB110000}"/>
    <cellStyle name="Normal 7 8" xfId="3334" xr:uid="{00000000-0005-0000-0000-0000BC110000}"/>
    <cellStyle name="Normal 7 9" xfId="3335" xr:uid="{00000000-0005-0000-0000-0000BD110000}"/>
    <cellStyle name="Normal 70" xfId="5090" xr:uid="{00000000-0005-0000-0000-0000BE110000}"/>
    <cellStyle name="Normal 70 2" xfId="5137" xr:uid="{A095F2DC-DA96-42F1-B66D-033B5BA83B1E}"/>
    <cellStyle name="Normal 71" xfId="5093" xr:uid="{00000000-0005-0000-0000-0000BF110000}"/>
    <cellStyle name="Normal 71 2" xfId="5138" xr:uid="{EC023532-CAE0-45C7-B46A-E0726E37C939}"/>
    <cellStyle name="Normal 72" xfId="5096" xr:uid="{00000000-0005-0000-0000-0000C0110000}"/>
    <cellStyle name="Normal 72 2" xfId="5139" xr:uid="{D3BA33C1-3328-4FCC-873A-AB9C22412642}"/>
    <cellStyle name="Normal 73" xfId="5099" xr:uid="{00000000-0005-0000-0000-0000C1110000}"/>
    <cellStyle name="Normal 73 2" xfId="5140" xr:uid="{64C4931E-B9ED-4235-BDEA-CF860790E01D}"/>
    <cellStyle name="Normal 74" xfId="5102" xr:uid="{00000000-0005-0000-0000-0000C2110000}"/>
    <cellStyle name="Normal 74 2" xfId="5141" xr:uid="{CE5B4180-E146-4BC1-8F70-75FE5E968F0F}"/>
    <cellStyle name="Normal 75" xfId="5105" xr:uid="{00000000-0005-0000-0000-0000C3110000}"/>
    <cellStyle name="Normal 75 2" xfId="5142" xr:uid="{66CA7DEC-F80C-4CC5-B503-55B417A37B0F}"/>
    <cellStyle name="Normal 76" xfId="5108" xr:uid="{00000000-0005-0000-0000-0000C4110000}"/>
    <cellStyle name="Normal 76 2" xfId="5143" xr:uid="{A0405CB3-6B99-4388-859A-EE62D718BBDF}"/>
    <cellStyle name="Normal 77" xfId="5110" xr:uid="{00000000-0005-0000-0000-0000C5110000}"/>
    <cellStyle name="Normal 77 2" xfId="5144" xr:uid="{7BEC151E-38ED-4394-834A-C965B1DA6FF3}"/>
    <cellStyle name="Normal 78" xfId="5146" xr:uid="{2D870967-41C0-4BA0-8DF8-62F2B0D3C31B}"/>
    <cellStyle name="Normal 79" xfId="5149" xr:uid="{8F573A07-626F-4134-97F7-B78783580546}"/>
    <cellStyle name="Normal 8" xfId="83" xr:uid="{00000000-0005-0000-0000-0000C6110000}"/>
    <cellStyle name="Normal 8 2" xfId="3336" xr:uid="{00000000-0005-0000-0000-0000C7110000}"/>
    <cellStyle name="Normal 8 2 2" xfId="3589" xr:uid="{00000000-0005-0000-0000-0000C8110000}"/>
    <cellStyle name="Normal 8 2 2 2" xfId="4342" xr:uid="{00000000-0005-0000-0000-0000C9110000}"/>
    <cellStyle name="Normal 8 2 2 2 2" xfId="4856" xr:uid="{00000000-0005-0000-0000-0000CA110000}"/>
    <cellStyle name="Normal 8 2 2 2 2 2" xfId="4870" xr:uid="{00000000-0005-0000-0000-0000CB110000}"/>
    <cellStyle name="Normal 8 2 2 2 3" xfId="4912" xr:uid="{00000000-0005-0000-0000-0000CC110000}"/>
    <cellStyle name="Normal 8 2 2 2 4" xfId="4893" xr:uid="{00000000-0005-0000-0000-0000CD110000}"/>
    <cellStyle name="Normal 8 2 2 3" xfId="4782" xr:uid="{00000000-0005-0000-0000-0000CE110000}"/>
    <cellStyle name="Normal 8 2 2 3 2" xfId="4885" xr:uid="{00000000-0005-0000-0000-0000CF110000}"/>
    <cellStyle name="Normal 8 2 2 4" xfId="4697" xr:uid="{00000000-0005-0000-0000-0000D0110000}"/>
    <cellStyle name="Normal 8 2 3" xfId="4625" xr:uid="{00000000-0005-0000-0000-0000D1110000}"/>
    <cellStyle name="Normal 8 2 4" xfId="4769" xr:uid="{00000000-0005-0000-0000-0000D2110000}"/>
    <cellStyle name="Normal 8 2 4 2" xfId="4841" xr:uid="{00000000-0005-0000-0000-0000D3110000}"/>
    <cellStyle name="Normal 8 2 5" xfId="4744" xr:uid="{00000000-0005-0000-0000-0000D4110000}"/>
    <cellStyle name="Normal 8 2 6" xfId="4712" xr:uid="{00000000-0005-0000-0000-0000D5110000}"/>
    <cellStyle name="Normal 8 3" xfId="4656" xr:uid="{00000000-0005-0000-0000-0000D6110000}"/>
    <cellStyle name="Normal 8 3 2" xfId="4812" xr:uid="{00000000-0005-0000-0000-0000D7110000}"/>
    <cellStyle name="Normal 8 4" xfId="4670" xr:uid="{00000000-0005-0000-0000-0000D8110000}"/>
    <cellStyle name="Normal 8 5" xfId="4935" xr:uid="{00000000-0005-0000-0000-0000D9110000}"/>
    <cellStyle name="Normal 8 6" xfId="5019" xr:uid="{00000000-0005-0000-0000-0000DA110000}"/>
    <cellStyle name="Normal 80" xfId="5150" xr:uid="{47DB3701-3533-483A-9FBA-5AEC0E023256}"/>
    <cellStyle name="Normal 81" xfId="5151" xr:uid="{729BD6E2-312B-436E-80D4-9B1DDC8AFFF1}"/>
    <cellStyle name="Normal 82" xfId="5152" xr:uid="{C6747079-3A55-4F2C-B6C8-6E49E6E5EEB8}"/>
    <cellStyle name="Normal 83" xfId="5153" xr:uid="{C7F66283-AA79-4922-AF36-BE1EBA578065}"/>
    <cellStyle name="Normal 84" xfId="5154" xr:uid="{5ACEE61E-40BA-40A4-94FB-2683EA8AF55B}"/>
    <cellStyle name="Normal 9" xfId="84" xr:uid="{00000000-0005-0000-0000-0000DB110000}"/>
    <cellStyle name="Normal 9 2" xfId="3337" xr:uid="{00000000-0005-0000-0000-0000DC110000}"/>
    <cellStyle name="Normal 9 2 2" xfId="3590" xr:uid="{00000000-0005-0000-0000-0000DD110000}"/>
    <cellStyle name="Normal 9 2 2 2" xfId="4343" xr:uid="{00000000-0005-0000-0000-0000DE110000}"/>
    <cellStyle name="Normal 9 2 2 2 2" xfId="4857" xr:uid="{00000000-0005-0000-0000-0000DF110000}"/>
    <cellStyle name="Normal 9 2 2 2 2 2" xfId="4871" xr:uid="{00000000-0005-0000-0000-0000E0110000}"/>
    <cellStyle name="Normal 9 2 2 2 3" xfId="4913" xr:uid="{00000000-0005-0000-0000-0000E1110000}"/>
    <cellStyle name="Normal 9 2 2 2 4" xfId="4892" xr:uid="{00000000-0005-0000-0000-0000E2110000}"/>
    <cellStyle name="Normal 9 2 2 3" xfId="4783" xr:uid="{00000000-0005-0000-0000-0000E3110000}"/>
    <cellStyle name="Normal 9 2 2 3 2" xfId="4886" xr:uid="{00000000-0005-0000-0000-0000E4110000}"/>
    <cellStyle name="Normal 9 2 2 4" xfId="4696" xr:uid="{00000000-0005-0000-0000-0000E5110000}"/>
    <cellStyle name="Normal 9 2 3" xfId="4626" xr:uid="{00000000-0005-0000-0000-0000E6110000}"/>
    <cellStyle name="Normal 9 2 4" xfId="4770" xr:uid="{00000000-0005-0000-0000-0000E7110000}"/>
    <cellStyle name="Normal 9 2 4 2" xfId="4842" xr:uid="{00000000-0005-0000-0000-0000E8110000}"/>
    <cellStyle name="Normal 9 2 5" xfId="4745" xr:uid="{00000000-0005-0000-0000-0000E9110000}"/>
    <cellStyle name="Normal 9 2 6" xfId="4711" xr:uid="{00000000-0005-0000-0000-0000EA110000}"/>
    <cellStyle name="Normal 9 3" xfId="4657" xr:uid="{00000000-0005-0000-0000-0000EB110000}"/>
    <cellStyle name="Normal 9 3 2" xfId="4811" xr:uid="{00000000-0005-0000-0000-0000EC110000}"/>
    <cellStyle name="Normal 9 4" xfId="4671" xr:uid="{00000000-0005-0000-0000-0000ED110000}"/>
    <cellStyle name="Normal 9 5" xfId="4934" xr:uid="{00000000-0005-0000-0000-0000EE110000}"/>
    <cellStyle name="Normal Bold" xfId="4344" xr:uid="{00000000-0005-0000-0000-0000EF110000}"/>
    <cellStyle name="Normal_COOIS Jan-Feb" xfId="93" xr:uid="{00000000-0005-0000-0000-0000F0110000}"/>
    <cellStyle name="Normal_Sheet3_1 2" xfId="4991" xr:uid="{00000000-0005-0000-0000-0000F2110000}"/>
    <cellStyle name="Normale_Board Report - Final Version" xfId="4345" xr:uid="{00000000-0005-0000-0000-0000F3110000}"/>
    <cellStyle name="Note" xfId="108" builtinId="10" customBuiltin="1"/>
    <cellStyle name="Note 2" xfId="85" xr:uid="{00000000-0005-0000-0000-0000F5110000}"/>
    <cellStyle name="Note 2 2" xfId="3338" xr:uid="{00000000-0005-0000-0000-0000F6110000}"/>
    <cellStyle name="Note 2 3" xfId="5020" xr:uid="{00000000-0005-0000-0000-0000F7110000}"/>
    <cellStyle name="Note 3" xfId="86" xr:uid="{00000000-0005-0000-0000-0000F8110000}"/>
    <cellStyle name="Note 4" xfId="87" xr:uid="{00000000-0005-0000-0000-0000F9110000}"/>
    <cellStyle name="Note 5" xfId="88" xr:uid="{00000000-0005-0000-0000-0000FA110000}"/>
    <cellStyle name="Note 6" xfId="89" xr:uid="{00000000-0005-0000-0000-0000FB110000}"/>
    <cellStyle name="Note 7" xfId="90" xr:uid="{00000000-0005-0000-0000-0000FC110000}"/>
    <cellStyle name="Note 8" xfId="3339" xr:uid="{00000000-0005-0000-0000-0000FD110000}"/>
    <cellStyle name="Note 9" xfId="4962" xr:uid="{00000000-0005-0000-0000-0000FE110000}"/>
    <cellStyle name="Nothing" xfId="4346" xr:uid="{00000000-0005-0000-0000-0000FF110000}"/>
    <cellStyle name="Number." xfId="3340" xr:uid="{00000000-0005-0000-0000-000000120000}"/>
    <cellStyle name="_x0018_omma" xfId="4347" xr:uid="{00000000-0005-0000-0000-000001120000}"/>
    <cellStyle name="Output" xfId="103" builtinId="21" customBuiltin="1"/>
    <cellStyle name="Output 2" xfId="3341" xr:uid="{00000000-0005-0000-0000-000003120000}"/>
    <cellStyle name="Output Line Items" xfId="4348" xr:uid="{00000000-0005-0000-0000-000004120000}"/>
    <cellStyle name="Output Line Items 2" xfId="4349" xr:uid="{00000000-0005-0000-0000-000005120000}"/>
    <cellStyle name="Percent" xfId="2" builtinId="5"/>
    <cellStyle name="Percent [0]" xfId="4350" xr:uid="{00000000-0005-0000-0000-000007120000}"/>
    <cellStyle name="Percent [00]" xfId="4351" xr:uid="{00000000-0005-0000-0000-000008120000}"/>
    <cellStyle name="Percent [2]" xfId="4352" xr:uid="{00000000-0005-0000-0000-000009120000}"/>
    <cellStyle name="Percent 10" xfId="4353" xr:uid="{00000000-0005-0000-0000-00000A120000}"/>
    <cellStyle name="Percent 11" xfId="4354" xr:uid="{00000000-0005-0000-0000-00000B120000}"/>
    <cellStyle name="Percent 12" xfId="4355" xr:uid="{00000000-0005-0000-0000-00000C120000}"/>
    <cellStyle name="Percent 13" xfId="4356" xr:uid="{00000000-0005-0000-0000-00000D120000}"/>
    <cellStyle name="Percent 14" xfId="4357" xr:uid="{00000000-0005-0000-0000-00000E120000}"/>
    <cellStyle name="Percent 15" xfId="4358" xr:uid="{00000000-0005-0000-0000-00000F120000}"/>
    <cellStyle name="Percent 15 2" xfId="4359" xr:uid="{00000000-0005-0000-0000-000010120000}"/>
    <cellStyle name="Percent 16" xfId="4360" xr:uid="{00000000-0005-0000-0000-000011120000}"/>
    <cellStyle name="Percent 16 2" xfId="4361" xr:uid="{00000000-0005-0000-0000-000012120000}"/>
    <cellStyle name="Percent 17" xfId="4362" xr:uid="{00000000-0005-0000-0000-000013120000}"/>
    <cellStyle name="Percent 17 2" xfId="4363" xr:uid="{00000000-0005-0000-0000-000014120000}"/>
    <cellStyle name="Percent 18" xfId="4364" xr:uid="{00000000-0005-0000-0000-000015120000}"/>
    <cellStyle name="Percent 18 2" xfId="4365" xr:uid="{00000000-0005-0000-0000-000016120000}"/>
    <cellStyle name="Percent 19" xfId="4366" xr:uid="{00000000-0005-0000-0000-000017120000}"/>
    <cellStyle name="Percent 19 2" xfId="4367" xr:uid="{00000000-0005-0000-0000-000018120000}"/>
    <cellStyle name="Percent 2" xfId="91" xr:uid="{00000000-0005-0000-0000-000019120000}"/>
    <cellStyle name="Percent 2 10" xfId="3342" xr:uid="{00000000-0005-0000-0000-00001A120000}"/>
    <cellStyle name="Percent 2 11" xfId="3343" xr:uid="{00000000-0005-0000-0000-00001B120000}"/>
    <cellStyle name="Percent 2 12" xfId="3344" xr:uid="{00000000-0005-0000-0000-00001C120000}"/>
    <cellStyle name="Percent 2 13" xfId="3345" xr:uid="{00000000-0005-0000-0000-00001D120000}"/>
    <cellStyle name="Percent 2 14" xfId="3346" xr:uid="{00000000-0005-0000-0000-00001E120000}"/>
    <cellStyle name="Percent 2 15" xfId="3347" xr:uid="{00000000-0005-0000-0000-00001F120000}"/>
    <cellStyle name="Percent 2 16" xfId="3348" xr:uid="{00000000-0005-0000-0000-000020120000}"/>
    <cellStyle name="Percent 2 17" xfId="3349" xr:uid="{00000000-0005-0000-0000-000021120000}"/>
    <cellStyle name="Percent 2 18" xfId="3350" xr:uid="{00000000-0005-0000-0000-000022120000}"/>
    <cellStyle name="Percent 2 19" xfId="3351" xr:uid="{00000000-0005-0000-0000-000023120000}"/>
    <cellStyle name="Percent 2 2" xfId="159" xr:uid="{00000000-0005-0000-0000-000024120000}"/>
    <cellStyle name="Percent 2 2 2" xfId="3352" xr:uid="{00000000-0005-0000-0000-000025120000}"/>
    <cellStyle name="Percent 2 2 3" xfId="4658" xr:uid="{00000000-0005-0000-0000-000026120000}"/>
    <cellStyle name="Percent 2 2 3 2" xfId="4804" xr:uid="{00000000-0005-0000-0000-000027120000}"/>
    <cellStyle name="Percent 2 2 4" xfId="4679" xr:uid="{00000000-0005-0000-0000-000028120000}"/>
    <cellStyle name="Percent 2 2 5" xfId="4927" xr:uid="{00000000-0005-0000-0000-000029120000}"/>
    <cellStyle name="Percent 2 20" xfId="3353" xr:uid="{00000000-0005-0000-0000-00002A120000}"/>
    <cellStyle name="Percent 2 21" xfId="3354" xr:uid="{00000000-0005-0000-0000-00002B120000}"/>
    <cellStyle name="Percent 2 22" xfId="3355" xr:uid="{00000000-0005-0000-0000-00002C120000}"/>
    <cellStyle name="Percent 2 23" xfId="3356" xr:uid="{00000000-0005-0000-0000-00002D120000}"/>
    <cellStyle name="Percent 2 24" xfId="3357" xr:uid="{00000000-0005-0000-0000-00002E120000}"/>
    <cellStyle name="Percent 2 25" xfId="3358" xr:uid="{00000000-0005-0000-0000-00002F120000}"/>
    <cellStyle name="Percent 2 26" xfId="3359" xr:uid="{00000000-0005-0000-0000-000030120000}"/>
    <cellStyle name="Percent 2 27" xfId="3360" xr:uid="{00000000-0005-0000-0000-000031120000}"/>
    <cellStyle name="Percent 2 28" xfId="3361" xr:uid="{00000000-0005-0000-0000-000032120000}"/>
    <cellStyle name="Percent 2 29" xfId="3362" xr:uid="{00000000-0005-0000-0000-000033120000}"/>
    <cellStyle name="Percent 2 3" xfId="3363" xr:uid="{00000000-0005-0000-0000-000034120000}"/>
    <cellStyle name="Percent 2 3 10" xfId="3364" xr:uid="{00000000-0005-0000-0000-000035120000}"/>
    <cellStyle name="Percent 2 3 11" xfId="3365" xr:uid="{00000000-0005-0000-0000-000036120000}"/>
    <cellStyle name="Percent 2 3 12" xfId="3366" xr:uid="{00000000-0005-0000-0000-000037120000}"/>
    <cellStyle name="Percent 2 3 13" xfId="3367" xr:uid="{00000000-0005-0000-0000-000038120000}"/>
    <cellStyle name="Percent 2 3 14" xfId="3368" xr:uid="{00000000-0005-0000-0000-000039120000}"/>
    <cellStyle name="Percent 2 3 15" xfId="3369" xr:uid="{00000000-0005-0000-0000-00003A120000}"/>
    <cellStyle name="Percent 2 3 16" xfId="3370" xr:uid="{00000000-0005-0000-0000-00003B120000}"/>
    <cellStyle name="Percent 2 3 17" xfId="3371" xr:uid="{00000000-0005-0000-0000-00003C120000}"/>
    <cellStyle name="Percent 2 3 18" xfId="3372" xr:uid="{00000000-0005-0000-0000-00003D120000}"/>
    <cellStyle name="Percent 2 3 19" xfId="3373" xr:uid="{00000000-0005-0000-0000-00003E120000}"/>
    <cellStyle name="Percent 2 3 2" xfId="3374" xr:uid="{00000000-0005-0000-0000-00003F120000}"/>
    <cellStyle name="Percent 2 3 2 10" xfId="3375" xr:uid="{00000000-0005-0000-0000-000040120000}"/>
    <cellStyle name="Percent 2 3 2 11" xfId="3376" xr:uid="{00000000-0005-0000-0000-000041120000}"/>
    <cellStyle name="Percent 2 3 2 12" xfId="3377" xr:uid="{00000000-0005-0000-0000-000042120000}"/>
    <cellStyle name="Percent 2 3 2 13" xfId="3378" xr:uid="{00000000-0005-0000-0000-000043120000}"/>
    <cellStyle name="Percent 2 3 2 14" xfId="3379" xr:uid="{00000000-0005-0000-0000-000044120000}"/>
    <cellStyle name="Percent 2 3 2 15" xfId="3380" xr:uid="{00000000-0005-0000-0000-000045120000}"/>
    <cellStyle name="Percent 2 3 2 16" xfId="3381" xr:uid="{00000000-0005-0000-0000-000046120000}"/>
    <cellStyle name="Percent 2 3 2 17" xfId="3382" xr:uid="{00000000-0005-0000-0000-000047120000}"/>
    <cellStyle name="Percent 2 3 2 18" xfId="3383" xr:uid="{00000000-0005-0000-0000-000048120000}"/>
    <cellStyle name="Percent 2 3 2 19" xfId="3384" xr:uid="{00000000-0005-0000-0000-000049120000}"/>
    <cellStyle name="Percent 2 3 2 2" xfId="3385" xr:uid="{00000000-0005-0000-0000-00004A120000}"/>
    <cellStyle name="Percent 2 3 2 20" xfId="3386" xr:uid="{00000000-0005-0000-0000-00004B120000}"/>
    <cellStyle name="Percent 2 3 2 21" xfId="3387" xr:uid="{00000000-0005-0000-0000-00004C120000}"/>
    <cellStyle name="Percent 2 3 2 22" xfId="3388" xr:uid="{00000000-0005-0000-0000-00004D120000}"/>
    <cellStyle name="Percent 2 3 2 23" xfId="3389" xr:uid="{00000000-0005-0000-0000-00004E120000}"/>
    <cellStyle name="Percent 2 3 2 24" xfId="3390" xr:uid="{00000000-0005-0000-0000-00004F120000}"/>
    <cellStyle name="Percent 2 3 2 25" xfId="3391" xr:uid="{00000000-0005-0000-0000-000050120000}"/>
    <cellStyle name="Percent 2 3 2 26" xfId="3392" xr:uid="{00000000-0005-0000-0000-000051120000}"/>
    <cellStyle name="Percent 2 3 2 27" xfId="3393" xr:uid="{00000000-0005-0000-0000-000052120000}"/>
    <cellStyle name="Percent 2 3 2 28" xfId="3394" xr:uid="{00000000-0005-0000-0000-000053120000}"/>
    <cellStyle name="Percent 2 3 2 29" xfId="3395" xr:uid="{00000000-0005-0000-0000-000054120000}"/>
    <cellStyle name="Percent 2 3 2 3" xfId="3396" xr:uid="{00000000-0005-0000-0000-000055120000}"/>
    <cellStyle name="Percent 2 3 2 30" xfId="3397" xr:uid="{00000000-0005-0000-0000-000056120000}"/>
    <cellStyle name="Percent 2 3 2 4" xfId="3398" xr:uid="{00000000-0005-0000-0000-000057120000}"/>
    <cellStyle name="Percent 2 3 2 5" xfId="3399" xr:uid="{00000000-0005-0000-0000-000058120000}"/>
    <cellStyle name="Percent 2 3 2 6" xfId="3400" xr:uid="{00000000-0005-0000-0000-000059120000}"/>
    <cellStyle name="Percent 2 3 2 7" xfId="3401" xr:uid="{00000000-0005-0000-0000-00005A120000}"/>
    <cellStyle name="Percent 2 3 2 8" xfId="3402" xr:uid="{00000000-0005-0000-0000-00005B120000}"/>
    <cellStyle name="Percent 2 3 2 9" xfId="3403" xr:uid="{00000000-0005-0000-0000-00005C120000}"/>
    <cellStyle name="Percent 2 3 20" xfId="3404" xr:uid="{00000000-0005-0000-0000-00005D120000}"/>
    <cellStyle name="Percent 2 3 21" xfId="3405" xr:uid="{00000000-0005-0000-0000-00005E120000}"/>
    <cellStyle name="Percent 2 3 22" xfId="3406" xr:uid="{00000000-0005-0000-0000-00005F120000}"/>
    <cellStyle name="Percent 2 3 23" xfId="3407" xr:uid="{00000000-0005-0000-0000-000060120000}"/>
    <cellStyle name="Percent 2 3 24" xfId="3408" xr:uid="{00000000-0005-0000-0000-000061120000}"/>
    <cellStyle name="Percent 2 3 25" xfId="3409" xr:uid="{00000000-0005-0000-0000-000062120000}"/>
    <cellStyle name="Percent 2 3 26" xfId="3410" xr:uid="{00000000-0005-0000-0000-000063120000}"/>
    <cellStyle name="Percent 2 3 27" xfId="3411" xr:uid="{00000000-0005-0000-0000-000064120000}"/>
    <cellStyle name="Percent 2 3 28" xfId="3412" xr:uid="{00000000-0005-0000-0000-000065120000}"/>
    <cellStyle name="Percent 2 3 29" xfId="3413" xr:uid="{00000000-0005-0000-0000-000066120000}"/>
    <cellStyle name="Percent 2 3 3" xfId="3414" xr:uid="{00000000-0005-0000-0000-000067120000}"/>
    <cellStyle name="Percent 2 3 30" xfId="3415" xr:uid="{00000000-0005-0000-0000-000068120000}"/>
    <cellStyle name="Percent 2 3 31" xfId="3416" xr:uid="{00000000-0005-0000-0000-000069120000}"/>
    <cellStyle name="Percent 2 3 32" xfId="3417" xr:uid="{00000000-0005-0000-0000-00006A120000}"/>
    <cellStyle name="Percent 2 3 33" xfId="3418" xr:uid="{00000000-0005-0000-0000-00006B120000}"/>
    <cellStyle name="Percent 2 3 34" xfId="3419" xr:uid="{00000000-0005-0000-0000-00006C120000}"/>
    <cellStyle name="Percent 2 3 35" xfId="3420" xr:uid="{00000000-0005-0000-0000-00006D120000}"/>
    <cellStyle name="Percent 2 3 36" xfId="3421" xr:uid="{00000000-0005-0000-0000-00006E120000}"/>
    <cellStyle name="Percent 2 3 37" xfId="3422" xr:uid="{00000000-0005-0000-0000-00006F120000}"/>
    <cellStyle name="Percent 2 3 38" xfId="3423" xr:uid="{00000000-0005-0000-0000-000070120000}"/>
    <cellStyle name="Percent 2 3 39" xfId="3424" xr:uid="{00000000-0005-0000-0000-000071120000}"/>
    <cellStyle name="Percent 2 3 4" xfId="3425" xr:uid="{00000000-0005-0000-0000-000072120000}"/>
    <cellStyle name="Percent 2 3 40" xfId="3426" xr:uid="{00000000-0005-0000-0000-000073120000}"/>
    <cellStyle name="Percent 2 3 41" xfId="3427" xr:uid="{00000000-0005-0000-0000-000074120000}"/>
    <cellStyle name="Percent 2 3 42" xfId="3428" xr:uid="{00000000-0005-0000-0000-000075120000}"/>
    <cellStyle name="Percent 2 3 43" xfId="3429" xr:uid="{00000000-0005-0000-0000-000076120000}"/>
    <cellStyle name="Percent 2 3 44" xfId="3430" xr:uid="{00000000-0005-0000-0000-000077120000}"/>
    <cellStyle name="Percent 2 3 45" xfId="3431" xr:uid="{00000000-0005-0000-0000-000078120000}"/>
    <cellStyle name="Percent 2 3 46" xfId="3432" xr:uid="{00000000-0005-0000-0000-000079120000}"/>
    <cellStyle name="Percent 2 3 47" xfId="3433" xr:uid="{00000000-0005-0000-0000-00007A120000}"/>
    <cellStyle name="Percent 2 3 48" xfId="3434" xr:uid="{00000000-0005-0000-0000-00007B120000}"/>
    <cellStyle name="Percent 2 3 49" xfId="3435" xr:uid="{00000000-0005-0000-0000-00007C120000}"/>
    <cellStyle name="Percent 2 3 5" xfId="3436" xr:uid="{00000000-0005-0000-0000-00007D120000}"/>
    <cellStyle name="Percent 2 3 50" xfId="3437" xr:uid="{00000000-0005-0000-0000-00007E120000}"/>
    <cellStyle name="Percent 2 3 51" xfId="3438" xr:uid="{00000000-0005-0000-0000-00007F120000}"/>
    <cellStyle name="Percent 2 3 52" xfId="3439" xr:uid="{00000000-0005-0000-0000-000080120000}"/>
    <cellStyle name="Percent 2 3 53" xfId="3440" xr:uid="{00000000-0005-0000-0000-000081120000}"/>
    <cellStyle name="Percent 2 3 54" xfId="3441" xr:uid="{00000000-0005-0000-0000-000082120000}"/>
    <cellStyle name="Percent 2 3 55" xfId="3442" xr:uid="{00000000-0005-0000-0000-000083120000}"/>
    <cellStyle name="Percent 2 3 56" xfId="3443" xr:uid="{00000000-0005-0000-0000-000084120000}"/>
    <cellStyle name="Percent 2 3 6" xfId="3444" xr:uid="{00000000-0005-0000-0000-000085120000}"/>
    <cellStyle name="Percent 2 3 7" xfId="3445" xr:uid="{00000000-0005-0000-0000-000086120000}"/>
    <cellStyle name="Percent 2 3 8" xfId="3446" xr:uid="{00000000-0005-0000-0000-000087120000}"/>
    <cellStyle name="Percent 2 3 9" xfId="3447" xr:uid="{00000000-0005-0000-0000-000088120000}"/>
    <cellStyle name="Percent 2 30" xfId="3448" xr:uid="{00000000-0005-0000-0000-000089120000}"/>
    <cellStyle name="Percent 2 31" xfId="3596" xr:uid="{00000000-0005-0000-0000-00008A120000}"/>
    <cellStyle name="Percent 2 32" xfId="144" xr:uid="{00000000-0005-0000-0000-00008B120000}"/>
    <cellStyle name="Percent 2 32 2" xfId="4810" xr:uid="{00000000-0005-0000-0000-00008C120000}"/>
    <cellStyle name="Percent 2 33" xfId="4672" xr:uid="{00000000-0005-0000-0000-00008D120000}"/>
    <cellStyle name="Percent 2 34" xfId="4933" xr:uid="{00000000-0005-0000-0000-00008E120000}"/>
    <cellStyle name="Percent 2 4" xfId="3449" xr:uid="{00000000-0005-0000-0000-00008F120000}"/>
    <cellStyle name="Percent 2 4 10" xfId="3450" xr:uid="{00000000-0005-0000-0000-000090120000}"/>
    <cellStyle name="Percent 2 4 11" xfId="3451" xr:uid="{00000000-0005-0000-0000-000091120000}"/>
    <cellStyle name="Percent 2 4 12" xfId="3452" xr:uid="{00000000-0005-0000-0000-000092120000}"/>
    <cellStyle name="Percent 2 4 13" xfId="3453" xr:uid="{00000000-0005-0000-0000-000093120000}"/>
    <cellStyle name="Percent 2 4 14" xfId="3454" xr:uid="{00000000-0005-0000-0000-000094120000}"/>
    <cellStyle name="Percent 2 4 15" xfId="3455" xr:uid="{00000000-0005-0000-0000-000095120000}"/>
    <cellStyle name="Percent 2 4 16" xfId="3456" xr:uid="{00000000-0005-0000-0000-000096120000}"/>
    <cellStyle name="Percent 2 4 17" xfId="3457" xr:uid="{00000000-0005-0000-0000-000097120000}"/>
    <cellStyle name="Percent 2 4 18" xfId="3458" xr:uid="{00000000-0005-0000-0000-000098120000}"/>
    <cellStyle name="Percent 2 4 19" xfId="3459" xr:uid="{00000000-0005-0000-0000-000099120000}"/>
    <cellStyle name="Percent 2 4 2" xfId="3460" xr:uid="{00000000-0005-0000-0000-00009A120000}"/>
    <cellStyle name="Percent 2 4 20" xfId="3461" xr:uid="{00000000-0005-0000-0000-00009B120000}"/>
    <cellStyle name="Percent 2 4 21" xfId="3462" xr:uid="{00000000-0005-0000-0000-00009C120000}"/>
    <cellStyle name="Percent 2 4 22" xfId="3463" xr:uid="{00000000-0005-0000-0000-00009D120000}"/>
    <cellStyle name="Percent 2 4 23" xfId="3464" xr:uid="{00000000-0005-0000-0000-00009E120000}"/>
    <cellStyle name="Percent 2 4 24" xfId="3465" xr:uid="{00000000-0005-0000-0000-00009F120000}"/>
    <cellStyle name="Percent 2 4 25" xfId="3466" xr:uid="{00000000-0005-0000-0000-0000A0120000}"/>
    <cellStyle name="Percent 2 4 26" xfId="3467" xr:uid="{00000000-0005-0000-0000-0000A1120000}"/>
    <cellStyle name="Percent 2 4 27" xfId="3468" xr:uid="{00000000-0005-0000-0000-0000A2120000}"/>
    <cellStyle name="Percent 2 4 28" xfId="3469" xr:uid="{00000000-0005-0000-0000-0000A3120000}"/>
    <cellStyle name="Percent 2 4 29" xfId="3470" xr:uid="{00000000-0005-0000-0000-0000A4120000}"/>
    <cellStyle name="Percent 2 4 3" xfId="3471" xr:uid="{00000000-0005-0000-0000-0000A5120000}"/>
    <cellStyle name="Percent 2 4 30" xfId="3472" xr:uid="{00000000-0005-0000-0000-0000A6120000}"/>
    <cellStyle name="Percent 2 4 31" xfId="3473" xr:uid="{00000000-0005-0000-0000-0000A7120000}"/>
    <cellStyle name="Percent 2 4 32" xfId="3474" xr:uid="{00000000-0005-0000-0000-0000A8120000}"/>
    <cellStyle name="Percent 2 4 33" xfId="3475" xr:uid="{00000000-0005-0000-0000-0000A9120000}"/>
    <cellStyle name="Percent 2 4 34" xfId="3476" xr:uid="{00000000-0005-0000-0000-0000AA120000}"/>
    <cellStyle name="Percent 2 4 35" xfId="3477" xr:uid="{00000000-0005-0000-0000-0000AB120000}"/>
    <cellStyle name="Percent 2 4 36" xfId="3478" xr:uid="{00000000-0005-0000-0000-0000AC120000}"/>
    <cellStyle name="Percent 2 4 37" xfId="3479" xr:uid="{00000000-0005-0000-0000-0000AD120000}"/>
    <cellStyle name="Percent 2 4 38" xfId="3480" xr:uid="{00000000-0005-0000-0000-0000AE120000}"/>
    <cellStyle name="Percent 2 4 39" xfId="3481" xr:uid="{00000000-0005-0000-0000-0000AF120000}"/>
    <cellStyle name="Percent 2 4 4" xfId="3482" xr:uid="{00000000-0005-0000-0000-0000B0120000}"/>
    <cellStyle name="Percent 2 4 40" xfId="3483" xr:uid="{00000000-0005-0000-0000-0000B1120000}"/>
    <cellStyle name="Percent 2 4 41" xfId="3484" xr:uid="{00000000-0005-0000-0000-0000B2120000}"/>
    <cellStyle name="Percent 2 4 42" xfId="3485" xr:uid="{00000000-0005-0000-0000-0000B3120000}"/>
    <cellStyle name="Percent 2 4 43" xfId="3486" xr:uid="{00000000-0005-0000-0000-0000B4120000}"/>
    <cellStyle name="Percent 2 4 44" xfId="3487" xr:uid="{00000000-0005-0000-0000-0000B5120000}"/>
    <cellStyle name="Percent 2 4 45" xfId="3488" xr:uid="{00000000-0005-0000-0000-0000B6120000}"/>
    <cellStyle name="Percent 2 4 46" xfId="3489" xr:uid="{00000000-0005-0000-0000-0000B7120000}"/>
    <cellStyle name="Percent 2 4 47" xfId="3490" xr:uid="{00000000-0005-0000-0000-0000B8120000}"/>
    <cellStyle name="Percent 2 4 48" xfId="3491" xr:uid="{00000000-0005-0000-0000-0000B9120000}"/>
    <cellStyle name="Percent 2 4 49" xfId="3492" xr:uid="{00000000-0005-0000-0000-0000BA120000}"/>
    <cellStyle name="Percent 2 4 5" xfId="3493" xr:uid="{00000000-0005-0000-0000-0000BB120000}"/>
    <cellStyle name="Percent 2 4 50" xfId="3494" xr:uid="{00000000-0005-0000-0000-0000BC120000}"/>
    <cellStyle name="Percent 2 4 51" xfId="3495" xr:uid="{00000000-0005-0000-0000-0000BD120000}"/>
    <cellStyle name="Percent 2 4 52" xfId="3496" xr:uid="{00000000-0005-0000-0000-0000BE120000}"/>
    <cellStyle name="Percent 2 4 53" xfId="3497" xr:uid="{00000000-0005-0000-0000-0000BF120000}"/>
    <cellStyle name="Percent 2 4 54" xfId="3498" xr:uid="{00000000-0005-0000-0000-0000C0120000}"/>
    <cellStyle name="Percent 2 4 55" xfId="3499" xr:uid="{00000000-0005-0000-0000-0000C1120000}"/>
    <cellStyle name="Percent 2 4 6" xfId="3500" xr:uid="{00000000-0005-0000-0000-0000C2120000}"/>
    <cellStyle name="Percent 2 4 7" xfId="3501" xr:uid="{00000000-0005-0000-0000-0000C3120000}"/>
    <cellStyle name="Percent 2 4 8" xfId="3502" xr:uid="{00000000-0005-0000-0000-0000C4120000}"/>
    <cellStyle name="Percent 2 4 9" xfId="3503" xr:uid="{00000000-0005-0000-0000-0000C5120000}"/>
    <cellStyle name="Percent 2 5" xfId="3504" xr:uid="{00000000-0005-0000-0000-0000C6120000}"/>
    <cellStyle name="Percent 2 5 10" xfId="3505" xr:uid="{00000000-0005-0000-0000-0000C7120000}"/>
    <cellStyle name="Percent 2 5 11" xfId="3506" xr:uid="{00000000-0005-0000-0000-0000C8120000}"/>
    <cellStyle name="Percent 2 5 12" xfId="3507" xr:uid="{00000000-0005-0000-0000-0000C9120000}"/>
    <cellStyle name="Percent 2 5 13" xfId="3508" xr:uid="{00000000-0005-0000-0000-0000CA120000}"/>
    <cellStyle name="Percent 2 5 14" xfId="3509" xr:uid="{00000000-0005-0000-0000-0000CB120000}"/>
    <cellStyle name="Percent 2 5 15" xfId="3510" xr:uid="{00000000-0005-0000-0000-0000CC120000}"/>
    <cellStyle name="Percent 2 5 16" xfId="3511" xr:uid="{00000000-0005-0000-0000-0000CD120000}"/>
    <cellStyle name="Percent 2 5 17" xfId="3512" xr:uid="{00000000-0005-0000-0000-0000CE120000}"/>
    <cellStyle name="Percent 2 5 18" xfId="3513" xr:uid="{00000000-0005-0000-0000-0000CF120000}"/>
    <cellStyle name="Percent 2 5 19" xfId="3514" xr:uid="{00000000-0005-0000-0000-0000D0120000}"/>
    <cellStyle name="Percent 2 5 2" xfId="3515" xr:uid="{00000000-0005-0000-0000-0000D1120000}"/>
    <cellStyle name="Percent 2 5 20" xfId="3516" xr:uid="{00000000-0005-0000-0000-0000D2120000}"/>
    <cellStyle name="Percent 2 5 21" xfId="3517" xr:uid="{00000000-0005-0000-0000-0000D3120000}"/>
    <cellStyle name="Percent 2 5 22" xfId="3518" xr:uid="{00000000-0005-0000-0000-0000D4120000}"/>
    <cellStyle name="Percent 2 5 23" xfId="3519" xr:uid="{00000000-0005-0000-0000-0000D5120000}"/>
    <cellStyle name="Percent 2 5 24" xfId="3520" xr:uid="{00000000-0005-0000-0000-0000D6120000}"/>
    <cellStyle name="Percent 2 5 25" xfId="3521" xr:uid="{00000000-0005-0000-0000-0000D7120000}"/>
    <cellStyle name="Percent 2 5 26" xfId="3522" xr:uid="{00000000-0005-0000-0000-0000D8120000}"/>
    <cellStyle name="Percent 2 5 27" xfId="3523" xr:uid="{00000000-0005-0000-0000-0000D9120000}"/>
    <cellStyle name="Percent 2 5 28" xfId="3524" xr:uid="{00000000-0005-0000-0000-0000DA120000}"/>
    <cellStyle name="Percent 2 5 29" xfId="3525" xr:uid="{00000000-0005-0000-0000-0000DB120000}"/>
    <cellStyle name="Percent 2 5 3" xfId="3526" xr:uid="{00000000-0005-0000-0000-0000DC120000}"/>
    <cellStyle name="Percent 2 5 30" xfId="3527" xr:uid="{00000000-0005-0000-0000-0000DD120000}"/>
    <cellStyle name="Percent 2 5 4" xfId="3528" xr:uid="{00000000-0005-0000-0000-0000DE120000}"/>
    <cellStyle name="Percent 2 5 5" xfId="3529" xr:uid="{00000000-0005-0000-0000-0000DF120000}"/>
    <cellStyle name="Percent 2 5 6" xfId="3530" xr:uid="{00000000-0005-0000-0000-0000E0120000}"/>
    <cellStyle name="Percent 2 5 7" xfId="3531" xr:uid="{00000000-0005-0000-0000-0000E1120000}"/>
    <cellStyle name="Percent 2 5 8" xfId="3532" xr:uid="{00000000-0005-0000-0000-0000E2120000}"/>
    <cellStyle name="Percent 2 5 9" xfId="3533" xr:uid="{00000000-0005-0000-0000-0000E3120000}"/>
    <cellStyle name="Percent 2 6" xfId="3534" xr:uid="{00000000-0005-0000-0000-0000E4120000}"/>
    <cellStyle name="Percent 2 7" xfId="3535" xr:uid="{00000000-0005-0000-0000-0000E5120000}"/>
    <cellStyle name="Percent 2 8" xfId="3536" xr:uid="{00000000-0005-0000-0000-0000E6120000}"/>
    <cellStyle name="Percent 2 9" xfId="3537" xr:uid="{00000000-0005-0000-0000-0000E7120000}"/>
    <cellStyle name="Percent 20" xfId="4369" xr:uid="{00000000-0005-0000-0000-0000E8120000}"/>
    <cellStyle name="Percent 20 2" xfId="4370" xr:uid="{00000000-0005-0000-0000-0000E9120000}"/>
    <cellStyle name="Percent 21" xfId="4371" xr:uid="{00000000-0005-0000-0000-0000EA120000}"/>
    <cellStyle name="Percent 21 2" xfId="4372" xr:uid="{00000000-0005-0000-0000-0000EB120000}"/>
    <cellStyle name="Percent 22" xfId="4373" xr:uid="{00000000-0005-0000-0000-0000EC120000}"/>
    <cellStyle name="Percent 22 2" xfId="4374" xr:uid="{00000000-0005-0000-0000-0000ED120000}"/>
    <cellStyle name="Percent 23" xfId="4375" xr:uid="{00000000-0005-0000-0000-0000EE120000}"/>
    <cellStyle name="Percent 23 2" xfId="4376" xr:uid="{00000000-0005-0000-0000-0000EF120000}"/>
    <cellStyle name="Percent 24" xfId="4377" xr:uid="{00000000-0005-0000-0000-0000F0120000}"/>
    <cellStyle name="Percent 24 2" xfId="4378" xr:uid="{00000000-0005-0000-0000-0000F1120000}"/>
    <cellStyle name="Percent 25" xfId="4379" xr:uid="{00000000-0005-0000-0000-0000F2120000}"/>
    <cellStyle name="Percent 25 2" xfId="4380" xr:uid="{00000000-0005-0000-0000-0000F3120000}"/>
    <cellStyle name="Percent 26" xfId="4381" xr:uid="{00000000-0005-0000-0000-0000F4120000}"/>
    <cellStyle name="Percent 26 2" xfId="4382" xr:uid="{00000000-0005-0000-0000-0000F5120000}"/>
    <cellStyle name="Percent 27" xfId="4383" xr:uid="{00000000-0005-0000-0000-0000F6120000}"/>
    <cellStyle name="Percent 27 2" xfId="4384" xr:uid="{00000000-0005-0000-0000-0000F7120000}"/>
    <cellStyle name="Percent 27 3" xfId="4385" xr:uid="{00000000-0005-0000-0000-0000F8120000}"/>
    <cellStyle name="Percent 28" xfId="4386" xr:uid="{00000000-0005-0000-0000-0000F9120000}"/>
    <cellStyle name="Percent 29" xfId="4387" xr:uid="{00000000-0005-0000-0000-0000FA120000}"/>
    <cellStyle name="Percent 3" xfId="92" xr:uid="{00000000-0005-0000-0000-0000FB120000}"/>
    <cellStyle name="Percent 3 2" xfId="3538" xr:uid="{00000000-0005-0000-0000-0000FC120000}"/>
    <cellStyle name="Percent 3 2 2" xfId="4388" xr:uid="{00000000-0005-0000-0000-0000FD120000}"/>
    <cellStyle name="Percent 3 2 3" xfId="4627" xr:uid="{00000000-0005-0000-0000-0000FE120000}"/>
    <cellStyle name="Percent 30" xfId="4389" xr:uid="{00000000-0005-0000-0000-0000FF120000}"/>
    <cellStyle name="Percent 31" xfId="4390" xr:uid="{00000000-0005-0000-0000-000000130000}"/>
    <cellStyle name="Percent 32" xfId="4391" xr:uid="{00000000-0005-0000-0000-000001130000}"/>
    <cellStyle name="Percent 33" xfId="4392" xr:uid="{00000000-0005-0000-0000-000002130000}"/>
    <cellStyle name="Percent 34" xfId="4960" xr:uid="{00000000-0005-0000-0000-000003130000}"/>
    <cellStyle name="Percent 35" xfId="4982" xr:uid="{00000000-0005-0000-0000-000004130000}"/>
    <cellStyle name="Percent 36" xfId="5033" xr:uid="{00000000-0005-0000-0000-000005130000}"/>
    <cellStyle name="Percent 37" xfId="5039" xr:uid="{00000000-0005-0000-0000-000006130000}"/>
    <cellStyle name="Percent 38" xfId="5043" xr:uid="{00000000-0005-0000-0000-000007130000}"/>
    <cellStyle name="Percent 39" xfId="5038" xr:uid="{00000000-0005-0000-0000-000008130000}"/>
    <cellStyle name="Percent 4" xfId="4393" xr:uid="{00000000-0005-0000-0000-000009130000}"/>
    <cellStyle name="Percent 4 2" xfId="4394" xr:uid="{00000000-0005-0000-0000-00000A130000}"/>
    <cellStyle name="Percent 40" xfId="5041" xr:uid="{00000000-0005-0000-0000-00000B130000}"/>
    <cellStyle name="Percent 41" xfId="5045" xr:uid="{00000000-0005-0000-0000-00000C130000}"/>
    <cellStyle name="Percent 42" xfId="5048" xr:uid="{00000000-0005-0000-0000-00000D130000}"/>
    <cellStyle name="Percent 43" xfId="5051" xr:uid="{00000000-0005-0000-0000-00000E130000}"/>
    <cellStyle name="Percent 44" xfId="5054" xr:uid="{00000000-0005-0000-0000-00000F130000}"/>
    <cellStyle name="Percent 45" xfId="5057" xr:uid="{00000000-0005-0000-0000-000010130000}"/>
    <cellStyle name="Percent 46" xfId="5060" xr:uid="{00000000-0005-0000-0000-000011130000}"/>
    <cellStyle name="Percent 47" xfId="5063" xr:uid="{00000000-0005-0000-0000-000012130000}"/>
    <cellStyle name="Percent 48" xfId="5066" xr:uid="{00000000-0005-0000-0000-000013130000}"/>
    <cellStyle name="Percent 49" xfId="5069" xr:uid="{00000000-0005-0000-0000-000014130000}"/>
    <cellStyle name="Percent 5" xfId="4395" xr:uid="{00000000-0005-0000-0000-000015130000}"/>
    <cellStyle name="Percent 5 2" xfId="4396" xr:uid="{00000000-0005-0000-0000-000016130000}"/>
    <cellStyle name="Percent 50" xfId="5072" xr:uid="{00000000-0005-0000-0000-000017130000}"/>
    <cellStyle name="Percent 51" xfId="5075" xr:uid="{00000000-0005-0000-0000-000018130000}"/>
    <cellStyle name="Percent 52" xfId="5078" xr:uid="{00000000-0005-0000-0000-000019130000}"/>
    <cellStyle name="Percent 53" xfId="5088" xr:uid="{00000000-0005-0000-0000-00001A130000}"/>
    <cellStyle name="Percent 54" xfId="5089" xr:uid="{00000000-0005-0000-0000-00001B130000}"/>
    <cellStyle name="Percent 55" xfId="5083" xr:uid="{00000000-0005-0000-0000-00001C130000}"/>
    <cellStyle name="Percent 56" xfId="5036" xr:uid="{00000000-0005-0000-0000-00001D130000}"/>
    <cellStyle name="Percent 57" xfId="5091" xr:uid="{00000000-0005-0000-0000-00001E130000}"/>
    <cellStyle name="Percent 58" xfId="5094" xr:uid="{00000000-0005-0000-0000-00001F130000}"/>
    <cellStyle name="Percent 59" xfId="5097" xr:uid="{00000000-0005-0000-0000-000020130000}"/>
    <cellStyle name="Percent 6" xfId="4397" xr:uid="{00000000-0005-0000-0000-000021130000}"/>
    <cellStyle name="Percent 6 2" xfId="4398" xr:uid="{00000000-0005-0000-0000-000022130000}"/>
    <cellStyle name="Percent 60" xfId="5100" xr:uid="{00000000-0005-0000-0000-000023130000}"/>
    <cellStyle name="Percent 61" xfId="5103" xr:uid="{00000000-0005-0000-0000-000024130000}"/>
    <cellStyle name="Percent 62" xfId="5106" xr:uid="{00000000-0005-0000-0000-000025130000}"/>
    <cellStyle name="Percent 7" xfId="4399" xr:uid="{00000000-0005-0000-0000-000026130000}"/>
    <cellStyle name="Percent 7 2" xfId="4400" xr:uid="{00000000-0005-0000-0000-000027130000}"/>
    <cellStyle name="Percent 8" xfId="4401" xr:uid="{00000000-0005-0000-0000-000028130000}"/>
    <cellStyle name="Percent 8 2" xfId="4402" xr:uid="{00000000-0005-0000-0000-000029130000}"/>
    <cellStyle name="Percent 8 3" xfId="4403" xr:uid="{00000000-0005-0000-0000-00002A130000}"/>
    <cellStyle name="Percent 9" xfId="4404" xr:uid="{00000000-0005-0000-0000-00002B130000}"/>
    <cellStyle name="Percent 9 2" xfId="4405" xr:uid="{00000000-0005-0000-0000-00002C130000}"/>
    <cellStyle name="PERCENTAGE" xfId="4406" xr:uid="{00000000-0005-0000-0000-00002D130000}"/>
    <cellStyle name="PERCENTAGE 2" xfId="4628" xr:uid="{00000000-0005-0000-0000-00002E130000}"/>
    <cellStyle name="PERCENTAGE 3" xfId="4914" xr:uid="{00000000-0005-0000-0000-00002F130000}"/>
    <cellStyle name="PERCENTAGE 4" xfId="4891" xr:uid="{00000000-0005-0000-0000-000030130000}"/>
    <cellStyle name="Period Title." xfId="3539" xr:uid="{00000000-0005-0000-0000-000031130000}"/>
    <cellStyle name="Pilkku_promotions" xfId="4407" xr:uid="{00000000-0005-0000-0000-000032130000}"/>
    <cellStyle name="PlainDollar" xfId="4408" xr:uid="{00000000-0005-0000-0000-000033130000}"/>
    <cellStyle name="PlainDollarBoldwBorders" xfId="4409" xr:uid="{00000000-0005-0000-0000-000034130000}"/>
    <cellStyle name="PlainDollarBoldwBorders 2" xfId="4410" xr:uid="{00000000-0005-0000-0000-000035130000}"/>
    <cellStyle name="PrePop Currency (0)" xfId="4411" xr:uid="{00000000-0005-0000-0000-000036130000}"/>
    <cellStyle name="PrePop Currency (2)" xfId="4412" xr:uid="{00000000-0005-0000-0000-000037130000}"/>
    <cellStyle name="PrePop Units (0)" xfId="4413" xr:uid="{00000000-0005-0000-0000-000038130000}"/>
    <cellStyle name="PrePop Units (1)" xfId="4414" xr:uid="{00000000-0005-0000-0000-000039130000}"/>
    <cellStyle name="PrePop Units (2)" xfId="4415" xr:uid="{00000000-0005-0000-0000-00003A130000}"/>
    <cellStyle name="PSChar" xfId="4416" xr:uid="{00000000-0005-0000-0000-00003B130000}"/>
    <cellStyle name="PSDate" xfId="4417" xr:uid="{00000000-0005-0000-0000-00003C130000}"/>
    <cellStyle name="PSDec" xfId="4418" xr:uid="{00000000-0005-0000-0000-00003D130000}"/>
    <cellStyle name="PSHeading" xfId="4419" xr:uid="{00000000-0005-0000-0000-00003E130000}"/>
    <cellStyle name="PSInt" xfId="4420" xr:uid="{00000000-0005-0000-0000-00003F130000}"/>
    <cellStyle name="PSSpacer" xfId="4421" xr:uid="{00000000-0005-0000-0000-000040130000}"/>
    <cellStyle name="Pyör. luku_promotions" xfId="4422" xr:uid="{00000000-0005-0000-0000-000041130000}"/>
    <cellStyle name="Pyör. valuutta_promotions" xfId="4423" xr:uid="{00000000-0005-0000-0000-000042130000}"/>
    <cellStyle name="ResvFoodServiceOnly" xfId="4424" xr:uid="{00000000-0005-0000-0000-000043130000}"/>
    <cellStyle name="RevList" xfId="4425" xr:uid="{00000000-0005-0000-0000-000044130000}"/>
    <cellStyle name="RISKbigPercent" xfId="4426" xr:uid="{00000000-0005-0000-0000-000045130000}"/>
    <cellStyle name="RISKblandrEdge" xfId="4427" xr:uid="{00000000-0005-0000-0000-000046130000}"/>
    <cellStyle name="RISKblCorner" xfId="4428" xr:uid="{00000000-0005-0000-0000-000047130000}"/>
    <cellStyle name="RISKbottomEdge" xfId="4429" xr:uid="{00000000-0005-0000-0000-000048130000}"/>
    <cellStyle name="RISKbrCorner" xfId="4430" xr:uid="{00000000-0005-0000-0000-000049130000}"/>
    <cellStyle name="RISKdarkBoxed" xfId="4431" xr:uid="{00000000-0005-0000-0000-00004A130000}"/>
    <cellStyle name="RISKdarkShade" xfId="4432" xr:uid="{00000000-0005-0000-0000-00004B130000}"/>
    <cellStyle name="RISKdbottomEdge" xfId="4433" xr:uid="{00000000-0005-0000-0000-00004C130000}"/>
    <cellStyle name="RISKdrightEdge" xfId="4434" xr:uid="{00000000-0005-0000-0000-00004D130000}"/>
    <cellStyle name="RISKdurationTime" xfId="4435" xr:uid="{00000000-0005-0000-0000-00004E130000}"/>
    <cellStyle name="RISKinNumber" xfId="4436" xr:uid="{00000000-0005-0000-0000-00004F130000}"/>
    <cellStyle name="RISKlandrEdge" xfId="4437" xr:uid="{00000000-0005-0000-0000-000050130000}"/>
    <cellStyle name="RISKleftEdge" xfId="4438" xr:uid="{00000000-0005-0000-0000-000051130000}"/>
    <cellStyle name="RISKlightBoxed" xfId="4439" xr:uid="{00000000-0005-0000-0000-000052130000}"/>
    <cellStyle name="RISKltandbEdge" xfId="4440" xr:uid="{00000000-0005-0000-0000-000053130000}"/>
    <cellStyle name="RISKnormBoxed" xfId="4441" xr:uid="{00000000-0005-0000-0000-000054130000}"/>
    <cellStyle name="RISKnormCenter" xfId="4442" xr:uid="{00000000-0005-0000-0000-000055130000}"/>
    <cellStyle name="RISKnormHeading" xfId="4443" xr:uid="{00000000-0005-0000-0000-000056130000}"/>
    <cellStyle name="RISKnormItal" xfId="4444" xr:uid="{00000000-0005-0000-0000-000057130000}"/>
    <cellStyle name="RISKnormLabel" xfId="4445" xr:uid="{00000000-0005-0000-0000-000058130000}"/>
    <cellStyle name="RISKnormShade" xfId="4446" xr:uid="{00000000-0005-0000-0000-000059130000}"/>
    <cellStyle name="RISKnormTitle" xfId="4447" xr:uid="{00000000-0005-0000-0000-00005A130000}"/>
    <cellStyle name="RISKoutNumber" xfId="4448" xr:uid="{00000000-0005-0000-0000-00005B130000}"/>
    <cellStyle name="RISKrightEdge" xfId="4449" xr:uid="{00000000-0005-0000-0000-00005C130000}"/>
    <cellStyle name="RISKrtandbEdge" xfId="4450" xr:uid="{00000000-0005-0000-0000-00005D130000}"/>
    <cellStyle name="RISKssTime" xfId="4451" xr:uid="{00000000-0005-0000-0000-00005E130000}"/>
    <cellStyle name="RISKtandbEdge" xfId="4452" xr:uid="{00000000-0005-0000-0000-00005F130000}"/>
    <cellStyle name="RISKtlandrEdge" xfId="4453" xr:uid="{00000000-0005-0000-0000-000060130000}"/>
    <cellStyle name="RISKtlCorner" xfId="4454" xr:uid="{00000000-0005-0000-0000-000061130000}"/>
    <cellStyle name="RISKtopEdge" xfId="4455" xr:uid="{00000000-0005-0000-0000-000062130000}"/>
    <cellStyle name="RISKtrCorner" xfId="4456" xr:uid="{00000000-0005-0000-0000-000063130000}"/>
    <cellStyle name="SAPBEXaggData" xfId="4457" xr:uid="{00000000-0005-0000-0000-000064130000}"/>
    <cellStyle name="SAPBEXaggData 2" xfId="4458" xr:uid="{00000000-0005-0000-0000-000065130000}"/>
    <cellStyle name="SAPBEXaggDataEmph" xfId="4459" xr:uid="{00000000-0005-0000-0000-000066130000}"/>
    <cellStyle name="SAPBEXaggDataEmph 2" xfId="4460" xr:uid="{00000000-0005-0000-0000-000067130000}"/>
    <cellStyle name="SAPBEXaggItem" xfId="4461" xr:uid="{00000000-0005-0000-0000-000068130000}"/>
    <cellStyle name="SAPBEXaggItem 2" xfId="4462" xr:uid="{00000000-0005-0000-0000-000069130000}"/>
    <cellStyle name="SAPBEXaggItemX" xfId="4463" xr:uid="{00000000-0005-0000-0000-00006A130000}"/>
    <cellStyle name="SAPBEXaggItemX 2" xfId="4464" xr:uid="{00000000-0005-0000-0000-00006B130000}"/>
    <cellStyle name="SAPBEXchaText" xfId="4465" xr:uid="{00000000-0005-0000-0000-00006C130000}"/>
    <cellStyle name="SAPBEXchaText 2" xfId="4466" xr:uid="{00000000-0005-0000-0000-00006D130000}"/>
    <cellStyle name="SAPBEXexcBad7" xfId="4467" xr:uid="{00000000-0005-0000-0000-00006E130000}"/>
    <cellStyle name="SAPBEXexcBad7 2" xfId="4468" xr:uid="{00000000-0005-0000-0000-00006F130000}"/>
    <cellStyle name="SAPBEXexcBad8" xfId="4469" xr:uid="{00000000-0005-0000-0000-000070130000}"/>
    <cellStyle name="SAPBEXexcBad8 2" xfId="4470" xr:uid="{00000000-0005-0000-0000-000071130000}"/>
    <cellStyle name="SAPBEXexcBad9" xfId="4635" xr:uid="{00000000-0005-0000-0000-000072130000}"/>
    <cellStyle name="SAPBEXexcBad9 2" xfId="4471" xr:uid="{00000000-0005-0000-0000-000073130000}"/>
    <cellStyle name="SAPBEXexcCritical4" xfId="4631" xr:uid="{00000000-0005-0000-0000-000074130000}"/>
    <cellStyle name="SAPBEXexcCritical4 2" xfId="4472" xr:uid="{00000000-0005-0000-0000-000075130000}"/>
    <cellStyle name="SAPBEXexcCritical5" xfId="4473" xr:uid="{00000000-0005-0000-0000-000076130000}"/>
    <cellStyle name="SAPBEXexcCritical5 2" xfId="4474" xr:uid="{00000000-0005-0000-0000-000077130000}"/>
    <cellStyle name="SAPBEXexcCritical6" xfId="4475" xr:uid="{00000000-0005-0000-0000-000078130000}"/>
    <cellStyle name="SAPBEXexcCritical6 2" xfId="4476" xr:uid="{00000000-0005-0000-0000-000079130000}"/>
    <cellStyle name="SAPBEXexcGood1" xfId="4477" xr:uid="{00000000-0005-0000-0000-00007A130000}"/>
    <cellStyle name="SAPBEXexcGood1 2" xfId="4478" xr:uid="{00000000-0005-0000-0000-00007B130000}"/>
    <cellStyle name="SAPBEXexcGood2" xfId="4479" xr:uid="{00000000-0005-0000-0000-00007C130000}"/>
    <cellStyle name="SAPBEXexcGood2 2" xfId="4480" xr:uid="{00000000-0005-0000-0000-00007D130000}"/>
    <cellStyle name="SAPBEXexcGood3" xfId="4481" xr:uid="{00000000-0005-0000-0000-00007E130000}"/>
    <cellStyle name="SAPBEXexcGood3 2" xfId="4482" xr:uid="{00000000-0005-0000-0000-00007F130000}"/>
    <cellStyle name="SAPBEXfilterDrill" xfId="4483" xr:uid="{00000000-0005-0000-0000-000080130000}"/>
    <cellStyle name="SAPBEXfilterDrill 2" xfId="4484" xr:uid="{00000000-0005-0000-0000-000081130000}"/>
    <cellStyle name="SAPBEXfilterItem" xfId="4485" xr:uid="{00000000-0005-0000-0000-000082130000}"/>
    <cellStyle name="SAPBEXfilterItem 2" xfId="4486" xr:uid="{00000000-0005-0000-0000-000083130000}"/>
    <cellStyle name="SAPBEXfilterText" xfId="4487" xr:uid="{00000000-0005-0000-0000-000084130000}"/>
    <cellStyle name="SAPBEXfilterText 2" xfId="4488" xr:uid="{00000000-0005-0000-0000-000085130000}"/>
    <cellStyle name="SAPBEXformats" xfId="4489" xr:uid="{00000000-0005-0000-0000-000086130000}"/>
    <cellStyle name="SAPBEXformats 2" xfId="4490" xr:uid="{00000000-0005-0000-0000-000087130000}"/>
    <cellStyle name="SAPBEXheaderItem" xfId="4491" xr:uid="{00000000-0005-0000-0000-000088130000}"/>
    <cellStyle name="SAPBEXheaderItem 2" xfId="4492" xr:uid="{00000000-0005-0000-0000-000089130000}"/>
    <cellStyle name="SAPBEXheaderText" xfId="4493" xr:uid="{00000000-0005-0000-0000-00008A130000}"/>
    <cellStyle name="SAPBEXheaderText 2" xfId="4494" xr:uid="{00000000-0005-0000-0000-00008B130000}"/>
    <cellStyle name="SAPBEXHLevel0" xfId="4495" xr:uid="{00000000-0005-0000-0000-00008C130000}"/>
    <cellStyle name="SAPBEXHLevel0 2" xfId="4496" xr:uid="{00000000-0005-0000-0000-00008D130000}"/>
    <cellStyle name="SAPBEXHLevel0X" xfId="4497" xr:uid="{00000000-0005-0000-0000-00008E130000}"/>
    <cellStyle name="SAPBEXHLevel0X 2" xfId="4498" xr:uid="{00000000-0005-0000-0000-00008F130000}"/>
    <cellStyle name="SAPBEXHLevel1" xfId="4499" xr:uid="{00000000-0005-0000-0000-000090130000}"/>
    <cellStyle name="SAPBEXHLevel1 2" xfId="4500" xr:uid="{00000000-0005-0000-0000-000091130000}"/>
    <cellStyle name="SAPBEXHLevel1X" xfId="4501" xr:uid="{00000000-0005-0000-0000-000092130000}"/>
    <cellStyle name="SAPBEXHLevel1X 2" xfId="4502" xr:uid="{00000000-0005-0000-0000-000093130000}"/>
    <cellStyle name="SAPBEXHLevel2" xfId="4503" xr:uid="{00000000-0005-0000-0000-000094130000}"/>
    <cellStyle name="SAPBEXHLevel2 2" xfId="4504" xr:uid="{00000000-0005-0000-0000-000095130000}"/>
    <cellStyle name="SAPBEXHLevel2X" xfId="4505" xr:uid="{00000000-0005-0000-0000-000096130000}"/>
    <cellStyle name="SAPBEXHLevel2X 2" xfId="4506" xr:uid="{00000000-0005-0000-0000-000097130000}"/>
    <cellStyle name="SAPBEXHLevel3" xfId="4507" xr:uid="{00000000-0005-0000-0000-000098130000}"/>
    <cellStyle name="SAPBEXHLevel3 2" xfId="4508" xr:uid="{00000000-0005-0000-0000-000099130000}"/>
    <cellStyle name="SAPBEXHLevel3X" xfId="4509" xr:uid="{00000000-0005-0000-0000-00009A130000}"/>
    <cellStyle name="SAPBEXHLevel3X 2" xfId="4510" xr:uid="{00000000-0005-0000-0000-00009B130000}"/>
    <cellStyle name="SAPBEXinputData" xfId="4511" xr:uid="{00000000-0005-0000-0000-00009C130000}"/>
    <cellStyle name="SAPBEXItemHeader" xfId="4512" xr:uid="{00000000-0005-0000-0000-00009D130000}"/>
    <cellStyle name="SAPBEXresData" xfId="4513" xr:uid="{00000000-0005-0000-0000-00009E130000}"/>
    <cellStyle name="SAPBEXresData 2" xfId="4514" xr:uid="{00000000-0005-0000-0000-00009F130000}"/>
    <cellStyle name="SAPBEXresDataEmph" xfId="4515" xr:uid="{00000000-0005-0000-0000-0000A0130000}"/>
    <cellStyle name="SAPBEXresDataEmph 2" xfId="4516" xr:uid="{00000000-0005-0000-0000-0000A1130000}"/>
    <cellStyle name="SAPBEXresItem" xfId="4517" xr:uid="{00000000-0005-0000-0000-0000A2130000}"/>
    <cellStyle name="SAPBEXresItem 2" xfId="4518" xr:uid="{00000000-0005-0000-0000-0000A3130000}"/>
    <cellStyle name="SAPBEXresItemX" xfId="4519" xr:uid="{00000000-0005-0000-0000-0000A4130000}"/>
    <cellStyle name="SAPBEXresItemX 2" xfId="4520" xr:uid="{00000000-0005-0000-0000-0000A5130000}"/>
    <cellStyle name="SAPBEXstdData" xfId="4521" xr:uid="{00000000-0005-0000-0000-0000A6130000}"/>
    <cellStyle name="SAPBEXstdData 2" xfId="4522" xr:uid="{00000000-0005-0000-0000-0000A7130000}"/>
    <cellStyle name="SAPBEXstdDataEmph" xfId="4523" xr:uid="{00000000-0005-0000-0000-0000A8130000}"/>
    <cellStyle name="SAPBEXstdDataEmph 2" xfId="4524" xr:uid="{00000000-0005-0000-0000-0000A9130000}"/>
    <cellStyle name="SAPBEXstdItem" xfId="4525" xr:uid="{00000000-0005-0000-0000-0000AA130000}"/>
    <cellStyle name="SAPBEXstdItem 2" xfId="4526" xr:uid="{00000000-0005-0000-0000-0000AB130000}"/>
    <cellStyle name="SAPBEXstdItemX" xfId="4527" xr:uid="{00000000-0005-0000-0000-0000AC130000}"/>
    <cellStyle name="SAPBEXstdItemX 2" xfId="4528" xr:uid="{00000000-0005-0000-0000-0000AD130000}"/>
    <cellStyle name="SAPBEXtitle" xfId="4529" xr:uid="{00000000-0005-0000-0000-0000AE130000}"/>
    <cellStyle name="SAPBEXtitle 2" xfId="4530" xr:uid="{00000000-0005-0000-0000-0000AF130000}"/>
    <cellStyle name="SAPBEXunassignedItem" xfId="4531" xr:uid="{00000000-0005-0000-0000-0000B0130000}"/>
    <cellStyle name="SAPBEXundefined" xfId="4532" xr:uid="{00000000-0005-0000-0000-0000B1130000}"/>
    <cellStyle name="SAPBEXundefined 2" xfId="4533" xr:uid="{00000000-0005-0000-0000-0000B2130000}"/>
    <cellStyle name="ScratchPad" xfId="4534" xr:uid="{00000000-0005-0000-0000-0000B3130000}"/>
    <cellStyle name="SEM-BPS-data" xfId="4535" xr:uid="{00000000-0005-0000-0000-0000B4130000}"/>
    <cellStyle name="SEM-BPS-head" xfId="4636" xr:uid="{00000000-0005-0000-0000-0000B5130000}"/>
    <cellStyle name="SEM-BPS-headdata" xfId="4632" xr:uid="{00000000-0005-0000-0000-0000B6130000}"/>
    <cellStyle name="SEM-BPS-headkey" xfId="4536" xr:uid="{00000000-0005-0000-0000-0000B7130000}"/>
    <cellStyle name="SEM-BPS-input-on" xfId="4537" xr:uid="{00000000-0005-0000-0000-0000B8130000}"/>
    <cellStyle name="SEM-BPS-key" xfId="4538" xr:uid="{00000000-0005-0000-0000-0000B9130000}"/>
    <cellStyle name="SEM-BPS-sub1" xfId="4539" xr:uid="{00000000-0005-0000-0000-0000BA130000}"/>
    <cellStyle name="SEM-BPS-sub2" xfId="4540" xr:uid="{00000000-0005-0000-0000-0000BB130000}"/>
    <cellStyle name="SEM-BPS-total" xfId="4541" xr:uid="{00000000-0005-0000-0000-0000BC130000}"/>
    <cellStyle name="Separador de milhares [0]_Book41" xfId="4542" xr:uid="{00000000-0005-0000-0000-0000BD130000}"/>
    <cellStyle name="Separador de milhares_AC08 - Global Benchmark avg 2006" xfId="4543" xr:uid="{00000000-0005-0000-0000-0000BE130000}"/>
    <cellStyle name="Shade" xfId="4544" xr:uid="{00000000-0005-0000-0000-0000BF130000}"/>
    <cellStyle name="Sheet Title" xfId="4545" xr:uid="{00000000-0005-0000-0000-0000C0130000}"/>
    <cellStyle name="Sheet Title." xfId="3540" xr:uid="{00000000-0005-0000-0000-0000C1130000}"/>
    <cellStyle name="SourcingBack" xfId="4546" xr:uid="{00000000-0005-0000-0000-0000C2130000}"/>
    <cellStyle name="SSComma0" xfId="4547" xr:uid="{00000000-0005-0000-0000-0000C3130000}"/>
    <cellStyle name="SSComma2" xfId="4548" xr:uid="{00000000-0005-0000-0000-0000C4130000}"/>
    <cellStyle name="SSDecs3" xfId="4549" xr:uid="{00000000-0005-0000-0000-0000C5130000}"/>
    <cellStyle name="SSDflt" xfId="4550" xr:uid="{00000000-0005-0000-0000-0000C6130000}"/>
    <cellStyle name="SSDfltPct" xfId="4551" xr:uid="{00000000-0005-0000-0000-0000C7130000}"/>
    <cellStyle name="SSDfltPct0" xfId="4552" xr:uid="{00000000-0005-0000-0000-0000C8130000}"/>
    <cellStyle name="SSFixed2" xfId="4553" xr:uid="{00000000-0005-0000-0000-0000C9130000}"/>
    <cellStyle name="Standard_20050322_Savings neues PK" xfId="4554" xr:uid="{00000000-0005-0000-0000-0000CA130000}"/>
    <cellStyle name="Style 1" xfId="4555" xr:uid="{00000000-0005-0000-0000-0000CB130000}"/>
    <cellStyle name="Style 21" xfId="4556" xr:uid="{00000000-0005-0000-0000-0000CC130000}"/>
    <cellStyle name="Style 22" xfId="4557" xr:uid="{00000000-0005-0000-0000-0000CD130000}"/>
    <cellStyle name="Style 23" xfId="4558" xr:uid="{00000000-0005-0000-0000-0000CE130000}"/>
    <cellStyle name="Style 24" xfId="4559" xr:uid="{00000000-0005-0000-0000-0000CF130000}"/>
    <cellStyle name="Style 25" xfId="4560" xr:uid="{00000000-0005-0000-0000-0000D0130000}"/>
    <cellStyle name="Style 26" xfId="4561" xr:uid="{00000000-0005-0000-0000-0000D1130000}"/>
    <cellStyle name="Style 27" xfId="4562" xr:uid="{00000000-0005-0000-0000-0000D2130000}"/>
    <cellStyle name="Style 28" xfId="4563" xr:uid="{00000000-0005-0000-0000-0000D3130000}"/>
    <cellStyle name="Style 29" xfId="4564" xr:uid="{00000000-0005-0000-0000-0000D4130000}"/>
    <cellStyle name="Style 30" xfId="4565" xr:uid="{00000000-0005-0000-0000-0000D5130000}"/>
    <cellStyle name="Style 31" xfId="4566" xr:uid="{00000000-0005-0000-0000-0000D6130000}"/>
    <cellStyle name="Style 56" xfId="4567" xr:uid="{00000000-0005-0000-0000-0000D7130000}"/>
    <cellStyle name="Style 57" xfId="4568" xr:uid="{00000000-0005-0000-0000-0000D8130000}"/>
    <cellStyle name="Style 58" xfId="4569" xr:uid="{00000000-0005-0000-0000-0000D9130000}"/>
    <cellStyle name="Style 59" xfId="4570" xr:uid="{00000000-0005-0000-0000-0000DA130000}"/>
    <cellStyle name="Style 60" xfId="4571" xr:uid="{00000000-0005-0000-0000-0000DB130000}"/>
    <cellStyle name="Style 62" xfId="4572" xr:uid="{00000000-0005-0000-0000-0000DC130000}"/>
    <cellStyle name="Style 64" xfId="4573" xr:uid="{00000000-0005-0000-0000-0000DD130000}"/>
    <cellStyle name="Subtitles" xfId="4574" xr:uid="{00000000-0005-0000-0000-0000DE130000}"/>
    <cellStyle name="Subtotal" xfId="4575" xr:uid="{00000000-0005-0000-0000-0000DF130000}"/>
    <cellStyle name="Text Indent A" xfId="4576" xr:uid="{00000000-0005-0000-0000-0000E0130000}"/>
    <cellStyle name="Text Indent B" xfId="4577" xr:uid="{00000000-0005-0000-0000-0000E1130000}"/>
    <cellStyle name="Text Indent C" xfId="4578" xr:uid="{00000000-0005-0000-0000-0000E2130000}"/>
    <cellStyle name="Title" xfId="94" builtinId="15" customBuiltin="1"/>
    <cellStyle name="Title 2" xfId="4961" xr:uid="{00000000-0005-0000-0000-0000E4130000}"/>
    <cellStyle name="Title 3" xfId="4957" xr:uid="{00000000-0005-0000-0000-0000E5130000}"/>
    <cellStyle name="Title 4" xfId="5021" xr:uid="{00000000-0005-0000-0000-0000E6130000}"/>
    <cellStyle name="Total" xfId="110" builtinId="25" customBuiltin="1"/>
    <cellStyle name="Total 2" xfId="3541" xr:uid="{00000000-0005-0000-0000-0000E8130000}"/>
    <cellStyle name="Tusental (0)_APplan" xfId="4579" xr:uid="{00000000-0005-0000-0000-0000E9130000}"/>
    <cellStyle name="Tusental_APplan" xfId="4580" xr:uid="{00000000-0005-0000-0000-0000EA130000}"/>
    <cellStyle name="Undefiniert" xfId="4581" xr:uid="{00000000-0005-0000-0000-0000EB130000}"/>
    <cellStyle name="Unused" xfId="4582" xr:uid="{00000000-0005-0000-0000-0000EC130000}"/>
    <cellStyle name="Update" xfId="4583" xr:uid="{00000000-0005-0000-0000-0000ED130000}"/>
    <cellStyle name="UserData" xfId="4584" xr:uid="{00000000-0005-0000-0000-0000EE130000}"/>
    <cellStyle name="UserDataCurrency" xfId="4585" xr:uid="{00000000-0005-0000-0000-0000EF130000}"/>
    <cellStyle name="UserInput" xfId="4586" xr:uid="{00000000-0005-0000-0000-0000F0130000}"/>
    <cellStyle name="UserInputMand" xfId="4587" xr:uid="{00000000-0005-0000-0000-0000F1130000}"/>
    <cellStyle name="Valuta (0)_APplan" xfId="4588" xr:uid="{00000000-0005-0000-0000-0000F2130000}"/>
    <cellStyle name="Valuta_APplan" xfId="4589" xr:uid="{00000000-0005-0000-0000-0000F3130000}"/>
    <cellStyle name="Valuutta_promotions" xfId="4590" xr:uid="{00000000-0005-0000-0000-0000F4130000}"/>
    <cellStyle name="Währung [0]_20050322_Savings neues PK" xfId="4591" xr:uid="{00000000-0005-0000-0000-0000F5130000}"/>
    <cellStyle name="Währung_20050322_Savings neues PK" xfId="4592" xr:uid="{00000000-0005-0000-0000-0000F6130000}"/>
    <cellStyle name="Warning Text" xfId="107" builtinId="11" customBuiltin="1"/>
    <cellStyle name="Warning Text 2" xfId="3542" xr:uid="{00000000-0005-0000-0000-0000F8130000}"/>
    <cellStyle name="wrap" xfId="4593" xr:uid="{00000000-0005-0000-0000-0000F9130000}"/>
    <cellStyle name="Year." xfId="3543" xr:uid="{00000000-0005-0000-0000-0000FA130000}"/>
    <cellStyle name="YesNo" xfId="4594" xr:uid="{00000000-0005-0000-0000-0000FB130000}"/>
    <cellStyle name="標準_GFA" xfId="4595" xr:uid="{00000000-0005-0000-0000-0000FC130000}"/>
  </cellStyles>
  <dxfs count="9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6" formatCode="_(* #,##0_);_(* \(#,##0\);_(* &quot;-&quot;??_);_(@_)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6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59999389629810485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theme="6" tint="0.59999389629810485"/>
        </patternFill>
      </fill>
    </dxf>
    <dxf>
      <font>
        <b/>
      </font>
    </dxf>
    <dxf>
      <font>
        <b/>
      </font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b/>
      </font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b/>
      </font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b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fill>
        <patternFill>
          <bgColor theme="5" tint="0.59999389629810485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numFmt numFmtId="166" formatCode="_(* #,##0_);_(* \(#,##0\);_(* &quot;-&quot;??_);_(@_)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fill>
        <patternFill>
          <bgColor theme="5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numFmt numFmtId="166" formatCode="_(* #,##0_);_(* \(#,##0\);_(* &quot;-&quot;??_);_(@_)"/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1" defaultTableStyle="TableStyleMedium9" defaultPivotStyle="PivotStyleLight16">
    <tableStyle name="new style" table="0" count="11" xr9:uid="{00000000-0011-0000-FFFF-FFFF00000000}">
      <tableStyleElement type="totalRow" dxfId="988"/>
      <tableStyleElement type="lastColumn" dxfId="987"/>
      <tableStyleElement type="firstRowStripe" dxfId="986"/>
      <tableStyleElement type="firstSubtotalColumn" dxfId="985"/>
      <tableStyleElement type="secondSubtotalColumn" dxfId="984"/>
      <tableStyleElement type="thirdSubtotalColumn" dxfId="983"/>
      <tableStyleElement type="firstSubtotalRow" dxfId="982"/>
      <tableStyleElement type="secondSubtotalRow" dxfId="981"/>
      <tableStyleElement type="thirdSubtotalRow" dxfId="980"/>
      <tableStyleElement type="pageFieldLabels" dxfId="979"/>
      <tableStyleElement type="pageFieldValues" dxfId="978"/>
    </tableStyle>
  </tableStyles>
  <colors>
    <mruColors>
      <color rgb="FFFF33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3A2F6C-69CC-446C-B85B-E503630FAA7F}">
    <nsvFilter filterId="{25DC26F6-792A-4F06-BB6A-6DB1A8B6CC64}" ref="A2:AN52" tableId="0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nter-Bishop, Rachael" refreshedDate="45098.453660763887" createdVersion="8" refreshedVersion="8" minRefreshableVersion="3" recordCount="10109" xr:uid="{D123B77C-B496-45E8-9C86-EB5EB7475A97}">
  <cacheSource type="worksheet">
    <worksheetSource ref="A1:N1048576" sheet="2026"/>
  </cacheSource>
  <cacheFields count="19">
    <cacheField name="Material Number" numFmtId="0">
      <sharedItems containsString="0" containsBlank="1" containsNumber="1" containsInteger="1" minValue="67232079" maxValue="84169346"/>
    </cacheField>
    <cacheField name="Plant" numFmtId="0">
      <sharedItems containsBlank="1" containsMixedTypes="1" containsNumber="1" containsInteger="1" minValue="1352" maxValue="6706" count="27">
        <n v="6706"/>
        <s v="Tultitlan"/>
        <n v="2904"/>
        <n v="1352"/>
        <s v="Corlu"/>
        <n v="5914"/>
        <n v="3985"/>
        <s v="Hellendoorn"/>
        <s v="Caivano"/>
        <s v="Rhino/Hollipac"/>
        <n v="3910"/>
        <n v="3961"/>
        <n v="3962"/>
        <n v="5911"/>
        <s v="St Iria"/>
        <s v="1352"/>
        <s v="2904"/>
        <s v="5914"/>
        <s v="5911"/>
        <s v="6706"/>
        <s v="1461"/>
        <s v="Gloucester"/>
        <s v="3985"/>
        <e v="#N/A"/>
        <s v="3910"/>
        <s v="Incom"/>
        <m/>
      </sharedItems>
    </cacheField>
    <cacheField name="Delivered quantity" numFmtId="0">
      <sharedItems containsBlank="1" containsMixedTypes="1" containsNumber="1" minValue="-79325" maxValue="211200"/>
    </cacheField>
    <cacheField name="Basic start date" numFmtId="14">
      <sharedItems containsDate="1" containsBlank="1" containsMixedTypes="1" minDate="2023-01-01T00:00:00" maxDate="2024-01-01T00:00:00"/>
    </cacheField>
    <cacheField name="Material description" numFmtId="0">
      <sharedItems containsBlank="1" count="486">
        <s v="GH Giant Vanilla Sandwich 1-24BK"/>
        <s v=" KL Vanilla Sandwich 8-6 PK"/>
        <s v="BR Lactose Free Chocolate 6 1.5QT"/>
        <s v="PS SF TROPICAL 6-18PK"/>
        <s v="GH Reese Bar 8-6PK"/>
        <s v="MG Double Raspberry 8-3PK"/>
        <s v="MG Almond Duet 8-3PK"/>
        <s v="PS DISNEY FROZEN MINIS 6-18PK"/>
        <s v="PS OCG SF 6-18PK"/>
        <s v="PS SF OCG 1-32PK"/>
        <s v="PS FIrecracker 6-18PK"/>
        <s v="BR NAT VANILLA 6 1.5QT"/>
        <s v="BR CS VANILLA 6 1.5QT"/>
        <s v="BR Chocolate Truffle 6 1.5QT"/>
        <s v="MG Mini Double Caramel RFA 6-6PK"/>
        <s v="BR Reese PB Cup 8 1PT"/>
        <s v="BR CS Brownie A La Mode 6 1.5QT"/>
        <s v="KL Original Vanilla Bar 12-6PK"/>
        <s v="KL Mrs Fields Cookie Sandwich 6-4PK"/>
        <s v="KL SAB RF NSA Vanilla Bar 12-6PK"/>
        <s v="KL SAB RF NSA Krunch Bar 12-6PK"/>
        <s v="Talenti Vanilla Bean 8 1PT"/>
        <s v="Talenti Raspberry Cheesecake 8 1PT"/>
        <s v="BR Reeses Pieces 6 1.5QT"/>
        <s v="GH Strawberry Shortcake 1-24BK"/>
        <s v="GH Strawberry Shortcake Bar 8-6PK"/>
        <s v="KL Heath Bar 12-6PK"/>
        <s v="KL Cookies and Creme SW 1-24BK 4.5z"/>
        <s v="KL Cone Cookies n Cream Vanilla 6-8CT"/>
        <s v="PS OCG 6-18PK"/>
        <s v="PS Fudgesicle NSA 6-18PK"/>
        <s v="BR Carbsmart IC Bars 8-6PK"/>
        <s v="BR LACTOSE FR VAN 6 1.5QT"/>
        <s v="BJ US-IC-TonightDough-8 1PT"/>
        <s v="Talenti Caribbean Coconut 8 1PT"/>
        <s v="BR Rocky Road 6 1.5QT"/>
        <s v="BR CO-B NY Style Cheesecake 6 1.5QT"/>
        <s v="BJ US-IC-CherryGarcia-FTNG-12 4FOZ"/>
        <s v="BR HA CHOCOLATE 6-1.5 QT"/>
        <s v="BR HA STRAWBERRY 6-1.5 QT"/>
        <s v="BR CHOCOLATE 6-1.5 QT"/>
        <s v="BJ US-PUP-PB Pretzel 6-4PK"/>
        <s v="BR Cookie Duo 6 1.5QT"/>
        <s v="Talenti Roman Raspberry SORB 8 1PT"/>
        <s v="Talenti LY Vanilla Fudge Cookie 8 303.3g"/>
        <s v="BJ US-IC-CHOCFUDGBrownie-8 1PT"/>
        <s v="BR Black Raspberry Chocolate 6 1.5QT"/>
        <s v="BJ R01-TOP-PBOVERTHETOP-8 436ML"/>
        <s v="BR MINT CHOC CHIP 6 1.5QT"/>
        <s v="BR STRAWBERRY 6 1.5QT"/>
        <s v="BR French Vanilla 6 1.5QT"/>
        <s v="BR HA French Vanilla 6-1.5 QT"/>
        <s v="MG Double Caramel RFA 8(3) 3PK"/>
        <s v="BJ US-TOP-PBOVERTHETOP-8 450ml"/>
        <s v="BJ US-IC-DublinMudslide-8 1PT"/>
        <s v="MG Non-Dairy Sea Salt Caramel 10-3PK"/>
        <s v="HOLANDA MAGNUM MINI ALMEN MPK 6X6X55ML"/>
        <s v="KLONDIKE VAINILLA SANDWICH 8X6X125ML"/>
        <s v="BJ US-CD-Half Baked Dough HP-8 6z"/>
        <s v="BJ SORV-IC-ChocFdgBrownie-8 458ML"/>
        <s v="BJ US-PUP-PB Pretzel-12 4FOZ WIP"/>
        <s v="KLONDIKE REESES CONE MPK 6X8X111ML"/>
        <s v="BR XCRMY CHOCOLATE 6 1.5 QT"/>
        <s v="BR COFFEE 6 1.5QT"/>
        <s v="BJ US-IC- CrmlChcChsck- 8 1PT"/>
        <s v="BJ US-COR-BrownieBatter-8 1PT"/>
        <s v="BR CS CHOC 6 1.5QT"/>
        <s v="BR CHOC Peanut Butter 6 1.5QT"/>
        <s v="BR VAN CHOC STRAW 6 1.5QT"/>
        <s v="BR Carbsmart Almond Bar 8-6PK"/>
        <s v="PS Scribblers Natural 6-18PK"/>
        <s v="BR Heath English Toffee 8 1PT"/>
        <s v="MG Double Caramel RFA 8-3PK"/>
        <s v="GH Choco Chip Cookie Sandwich 6-4PK"/>
        <s v="KL Krunch Bar 12-6PK"/>
        <s v="Talenti Mediterranean Mint 8 1PT"/>
        <s v="KL Cones Classic Vanilla 6-4CT"/>
        <s v="BR CHOC Chip 6 1.5QT"/>
        <s v="KL Mrs Fields Sandwich 1-12BK"/>
        <s v="GH Reeses IC Cup 1-24BK OOH"/>
        <s v="MG DB Gold Caramel 8-3PK"/>
        <s v="KL Reeses SW 6-4PK"/>
        <s v="Popsicle Spongebob Squeeze 1-24PK"/>
        <s v="KL Cone Classic Vanilla Chocolate 6-8CT"/>
        <s v="BJ US-IC-PhishFood-FTNG-8 1PT"/>
        <s v="BJ US-IC-CoffeeToffeeCrunch-FTNG-8 1PT"/>
        <s v="BJ US-IC-StrawberryChscke-FTNG-8 1PT"/>
        <s v="BJ AMET-IC-StrwbrryChsck-FTNG-12 120ML"/>
        <s v="BR XCRMY VANILLA 6 1.5QT"/>
        <s v="BR HOMEMADE VAN 6-1.5 QT"/>
        <s v="BJ US-PUP-PumpkinCookie 6-4PK"/>
        <s v="BR Cookies and Cream 6 1.5QT"/>
        <s v="Talenti LY Mint Fudge Cookie 8 311.8g"/>
        <s v="BR CS VAN CHOC Straw 6 1.5QT"/>
        <s v="BR Butter Pecan 6 1.5QT"/>
        <s v="Talenti Sea Salt Caramel 8 1PT"/>
        <s v="MG Double Gold Caramel 1-12PK"/>
        <s v="MG Double Gold Caramel 8-3PK"/>
        <s v="KL Cone Vanilla Unicorn 6-8CT"/>
        <s v="BJ US-COR-SaltedCaramelCore-FTNG-8 1PT"/>
        <s v="BJ US-FY-HalfBaked-8 1PT"/>
        <s v="BR VAN FDG TWRL 6 1.5QT"/>
        <s v="BJ US-IC-MintChocolateChance-8 1PT"/>
        <s v="BJ US-IC-ChewyGooeyCookie-8 1PT"/>
        <s v="Talenti LY Salted CAR Truffle 8 323.1g"/>
        <s v="BJ US-IC-ChurrayForChurros-8 1PT"/>
        <s v="Talenti Coffee CHOC Chip 8 1PT"/>
        <s v="BJ US-IC AmericoneDream-FTNG-8 1PT"/>
        <s v="BJ US-COR-ChocolateChip-8 1 PT"/>
        <s v="BR CO-B Snickers 6 1.5QT"/>
        <s v="BJ US-IC-Cannoli-8 1PT"/>
        <s v="MG Double Caramel OOH 1-12BK"/>
        <s v="BR Very Berry Cobbler 6 1.5QT"/>
        <s v="BJ US-IC-MoussePie-8 1PT"/>
        <s v="BR Chocolate 6 1.5QT"/>
        <s v="BJ SORV-IC-ChocChpCookDgh-12 120ML"/>
        <s v="BR Vanilla Fudge Twirl 6 1.5QT"/>
        <s v="BJ AMET-IC-ChocChpCkDgh-FTNG-12 120ML"/>
        <s v="GH Giant King Cone 1-12PK"/>
        <s v="BJ US-IC-PeanutButterCup-8 1PT"/>
        <s v="KL REESES BAR 12-6 PK"/>
        <s v="BR NSA VCS 6 1.5QT"/>
        <s v="MG Mini Dark Chocolate Truffle 6-6PK"/>
        <s v="PS SpongeBob Facepiece 1-18PK"/>
        <s v="BR M+M 6 1.5QT"/>
        <s v="KL Vanilla Sandwich 8-6PK"/>
        <s v="KL Chocolate/Chocolate Bar 12-6PK"/>
        <s v="Talenti Double Dark Chocolate 8 1PT"/>
        <s v="Talenti Pacific Coast Pistachio 8 1PT"/>
        <s v="BR Cherry Vanilla 6 1.5QT"/>
        <s v="BJ US-IC-ChocChpCookDgh-FTNG-12 4FOZ"/>
        <s v="BJ US-COR-KaramelSutra-FTNG-8 1PT"/>
        <s v="BJ US-IC-CherryGarcia-FTNG-8 1PT"/>
        <s v="BJ US-NDS-ChangetheWhirled-8 1PT"/>
        <s v="BR NSA Vanilla 6 1.5QT"/>
        <s v="BJ US-NDS-MintChocolateChance-8 1PT"/>
        <s v="BJ US-IC-EverythingButThe-FTNG-8 1PT"/>
        <s v="BJ US-PUP-PumpkinCookie-12 4FOZ WIP"/>
        <s v="BJ US -IC-LightsCaramelAction-8 1PT"/>
        <s v="Talenti Black Raspberry CHOC Chip 8 1PT"/>
        <s v="BJ US-NDS-Milk+Cookies-8 1PT"/>
        <s v="BJ US-IC-PeanutButterWorld-8 1PT"/>
        <s v="BR Double Choc Brownie Batter 6 1.5QT"/>
        <s v="BJ US-PUP-PB Pretzel-12 4FOZ"/>
        <s v="BR CO-B Reeses 6 1.5QT"/>
        <s v="BJ US-CD-CCCD HP 24-3Z"/>
        <s v="BR Chocolate 6 10CT 3z"/>
        <s v="BJ US-IC-ChocChpCookDgh-FTNG-8 1PT"/>
        <s v="BJ US-COR-Cookies+CreamChscke-8 1PT"/>
        <s v="BR Double Cookie Crumble 6 1.5QT"/>
        <s v="Talenti LYR Confetti Cookie 8 292g"/>
        <s v="BJ R01-IC-TonightDough-8 458ML"/>
        <s v="BJ US-IC-PBHalfBaked-8 1 PT"/>
        <s v="MG Double Chocolate RFA 8-3PK"/>
        <s v="KL Mint CHOC Chip 12-6PK"/>
        <s v="BR HA Pint IC Vanilla 8 1PT"/>
        <s v="BR Vanilla 8 1PT"/>
        <s v="BR Chocolate 8 1PT"/>
        <s v="BR Cookies and Cream 8 1PT"/>
        <s v="KL ORIG Club Pack 1-24PK"/>
        <s v="BR Carbsmart Fudge Bar 8-6PK"/>
        <s v="BJ R01-IC-CFB-FTNG-12 120ML"/>
        <s v="BJ US-IC-MintChocCookie-8 1PT"/>
        <s v="BR HA NAT VANILLA 6-1.5 QT"/>
        <s v="GH Creamsicle Bar 1-24PK OOH"/>
        <s v="KL Cone Caramel Vanilla Caramel 6-8CT"/>
        <s v="MG Double Chocolate 8-3PK"/>
        <s v="BJ US-IC-ChocFudgBrownie-FTNG-1 2.4G"/>
        <s v="BJ AMET-IC-ChocChpCkDgh-FTNG-8 458ML"/>
        <s v="BJ US-IC-GimmeSmore-8 1PT"/>
        <s v="MG Mini Classic RFA 1(3) 6pk"/>
        <s v="MG Mini Double Caramel 6-6PK"/>
        <s v="Talenti Southern Butter Pecan 8 1PT"/>
        <s v="BJ US-TOP-SLTDCRMLBRWNIE-8 450ml"/>
        <s v="BR IC Vanilla Bean 1 3gal"/>
        <s v="BJ US-IC-StrawberryChscke-FTNG-1 2.4G"/>
        <s v="BJ US-IC-Milk+Cookies-8 1PT"/>
        <s v="BJ CA-ND-CherryGarcia-8 473ML"/>
        <s v="BJ CA-ND-Netflix+Chillld-8 473ML"/>
        <s v="BJ US-CD-Smores HP-8 8Z"/>
        <s v="BJ US-ND-PhishFood-8 1PT"/>
        <s v="BR Chocolate Chip Cookie Dough 6 1.5QT"/>
        <s v="BJ US-ND-CherryGarcia-8 1PT"/>
        <s v="BR XCRMY Chocolate 6 1.5QT"/>
        <s v="Talenti Caramel Cookie Crunch 8 1PT"/>
        <s v="Talenti LYR Coffee Cookie CRMBL 8 300.5g"/>
        <s v="BJ US-IC-SweetCrm+Cookies-FTNG-1 2.4G"/>
        <s v="BJ US-ND-ChocChpCookDgh-8 1PT"/>
        <s v="BJ US-ND-TonightDough-8 1PT"/>
        <s v="BJ SORV-ND-CHCFGBRWN-8 458ml"/>
        <s v="BJ CA-ND-CHCFGBRWN-8 473ML"/>
        <s v="BJ CA-ND-CHOCCHPCOOKDGH-8 473ML"/>
        <s v="BJ MX-IC-CherryGarcia-8 1PT"/>
        <s v="GH Cookies and Creme Bar 1-24BK"/>
        <s v="BJ US-ND-OatmealDreamPie-8 1PT"/>
        <s v="TAL NV Roman RASPBRRY Sorbetto Bar 6-6PK"/>
        <s v="BJ US-IC-Churrayforchurros-1 2.4G"/>
        <s v="GH Cookies+Cream 1-24BK"/>
        <s v="BJ US-IC-Chocolate-FTNG-1 2.4G"/>
        <s v="BJ US-ND-Coconut7Layer-8 1PT"/>
        <s v="BJ US-ND-ChocChpCookDgh-1 2.4g"/>
        <s v="BJ US-ND-Netflix+Chillld-8 1PT"/>
        <s v="BJ CA-ND-TonightDough-8 473ML"/>
        <s v="BJ MX-IC-ChunkyMonkey-8 1PT"/>
        <s v="BJ US-NDS-StrawberryMarshmallow-1 2.4GAL"/>
        <s v="Talenti Dark Chocolate SORB 8 1PT"/>
        <s v="BJ US-ND-LightsCaramelAction-8 1PT"/>
        <s v="BJ CA-ND-PBHalfBaked-8 473ML"/>
        <s v="BR Banana Split 6 1.5 QT"/>
        <s v="BJ US-IC-ChocolatePBChunk-1 2.4G"/>
        <s v="BJ US-ND-PBHalfBaked-8 1PT"/>
        <s v="BR CS Mint Cookie Fudge 6 1.5QT"/>
        <s v="Talenti Vanilla Caramel Swirl 8 1PT"/>
        <s v="BJ US-ND-ChcFgBrwn-8 1PT"/>
        <s v="BJ US-IC-ChunkyMonkey-FTNG-8 1PT"/>
        <s v="BJ US-IC-Oatmealdreampie-1 2.4G"/>
        <s v="BJ US-IC-CoffeeBuzzBuzz-FTNG-1 2.4G"/>
        <s v="BJ US-IC-ChocFudgBrownie-FTNG-8 1PT"/>
        <s v="BJ US-IC-TripleCaramlChnk-FTNG-1 2.4G"/>
        <s v="BJ US-IC-ChocTherapy-FTNG-8 1PT"/>
        <s v="BR Vanilla Chocolate 6 1.5QT"/>
        <s v="BJ R01-IC-ChewyGooeyCookie-8 458ML"/>
        <s v="BJ US-COR-PeanutButterFudge-FTNG-8 1PT"/>
        <s v="BJ US-IC-NewYrkSprFdgChnk-FTNG-8 1PT"/>
        <s v="BR 2IN1 REESE PB CUPS RS PCS 6 1.5QT"/>
        <s v="GH Creamsicle Bar 100 CAL 8-6PK"/>
        <s v="BJ US-TOP-TIRAMISU-8 450ml"/>
        <s v="KL Cookies and Creme Bar 12-6PK"/>
        <s v="BJ R01-TOP-TIRAMISU-8 436ML"/>
        <s v="TAL NV Dark Chocolate Gelato Bar 6-6PK"/>
        <s v="MG Double Caramel OOH 1-12PK"/>
        <s v="BJ US-IC-Butterscotchd-1 2.4G"/>
        <s v="BJ US-IC-ChocChpCookDgh-FTNG-1 2.4G"/>
        <s v="BJ US-IC-VanillaCaramelFdg-FTNG-8 1PT"/>
        <s v="BJ US-IC-ChubbyHubby-8 1PT"/>
        <s v="BJ US-IC-Netflix+Chillld-8 1PT"/>
        <s v="MG Non-Dairy Almond 10-3PK"/>
        <s v="Talenti LY CH Cherry Cheesecake 8 306.1g"/>
        <s v="BR ND Vanilla 6 1.5QT"/>
        <s v="BJ US-IC-Cocont7LyrBr-FTNG-1 2.4G"/>
        <s v="BR HA VAN CHOC STRAW 6 1.5QT"/>
        <s v="BJ US-TOP-CHOCMilk+Cookies-8 450ML"/>
        <s v="BJ US-CD-PBMix HP-8 8Z"/>
        <s v="BR Dulce de Leche 6 1.5QT"/>
        <s v="BJ US-IC-AmericoneDream-FTNG-12 4FOZ"/>
        <s v="BJ MX-IC-CHOCCHPCOOKDGH-8 1PT"/>
        <s v="Talenti Cold Brew Coffee Sorbetto 8 1PT"/>
        <s v="BR Butter Pecan 8 1PT"/>
        <s v="BJ US-COR-BoomChoc-FTNG-8 1PT"/>
        <s v="BR ND Cookies and Cream 6 1.5QT"/>
        <s v="BR Mango 6 1.5QT"/>
        <s v="BJ US-IC-ChocFudgBrownie-FTNG-12 4FOZ"/>
        <s v="MG Cookie Duet 8-3PK"/>
        <s v="BJ US-NDS-MintChocCookie-8 1PT"/>
        <s v="TAL NV Vanilla Caramel Gelato Bar 6-6PK"/>
        <s v="BJ SORV-IC-CFB-12 120ML"/>
        <s v="GH King Cone Vanilla 1-24PK"/>
        <s v="BJ US-IC-StrawberryChscke-FTNG-12 4FOZ"/>
        <s v="KL Dark Chocolate Bar 12-6PK"/>
        <s v="BR CO-B Reeses Chocolate 6 1.5QT"/>
        <s v="GH Cookies and Creme Bar 8-6PK"/>
        <s v="Talenti LYR Cookies and Cream 8 303.3g"/>
        <s v="BJ Mixed 8(3) 1PT"/>
        <s v="KL Cone Chocolate Double Chocolate 6-8ct"/>
        <s v="BJ US-FY-CherryGarcia-8 1PT"/>
        <s v="BJ US-IC-Vanilla-FTNG-1 2.4G"/>
        <s v="BR CO-B HA Reeses Chocolate 6 1.5QT"/>
        <s v="BJ US-CD-TD Dough HP-8 8Z"/>
        <s v="Talenti Key Lime Pie 8 1PT"/>
        <s v="BR HA Cookies and Cream 8 1PT"/>
        <s v="BR CO-B HA Reeses 6 1.5QT"/>
        <s v="BJ US-IC-CherryGarcia-FTNG-1 2.4G"/>
        <s v="BJ US-IC- OatOfThisSwirled -8 1PT"/>
        <s v="BJ US-IC-ChunkyMonkey-FTNG-1 2.4G"/>
        <s v="BJ US-IC-MarshmallowSky-1 2.4gal"/>
        <s v="BJ US-IC-Lightscaramelaction-1 2.4G"/>
        <s v="BJ US-IC-PhishFood-FTNG-1 2.4G"/>
        <s v="BJ US-IC-PistachioPistachio-FTNG-8 1PT"/>
        <s v="BJ US-IC AmericoneDream-FTNG-1 2.4G"/>
        <s v="BJ US-ND-AmericoneDream-8 1PT"/>
        <s v="Talenti Belgian Chocolate 8 1PT"/>
        <s v="GH Premium Vanilla Bar 1-24BK"/>
        <s v="BJ US-IC-SaltCaramelBlondie-FTNG-1 2.4G"/>
        <s v="Talenti CHOC Chip Cookie Dough 8 1PT"/>
        <s v="BJ R01-ND-ChocChpCookDgh-8 458ML WIP"/>
        <s v="BJ US-ND-COR-KaramelSutra-8 1PT"/>
        <s v="BJ US-TOP-DirtCake-8 450ML"/>
        <s v="KL Giant Original Bar 1-24PK"/>
        <s v="GH Reeses Bar 1-24BK"/>
        <s v="TAL NV Alphonso Mango Sorbetto Bar 6-6PK"/>
        <s v="BJ US-ND-PBCookie-8 1PT"/>
        <s v="Talenti Alphonso Mango SORB (DF) 8 1PT"/>
        <s v="BJ US-IC-IceCreamSam-8 1PT LTD"/>
        <s v="BJ US-TOP-BossinCreamPie-8 450ML"/>
        <s v="BJ US-IC-HalfBaked-FTNG-8 1PT"/>
        <s v="BR CO-B Heath 6 1.5QT"/>
        <s v="TAL ND LYR CHOC Fudge Brownie 8 323.1g"/>
        <s v="KL Cookies and Creme IC SW 6-4PK"/>
        <s v="BR NSA Butter Pecan 6 1.5QT"/>
        <s v="BJ US-PUP-PumpkinCookie-12 4FOZ"/>
        <s v="Talenti Choc Peanut Butter 8 1PT"/>
        <s v="BR HA Cookies and Cream 6 1.5QT"/>
        <s v="KL Cones Cookies n Cream 6-4CT"/>
        <s v="BR IC CHOCOLATE 1 3 GAL"/>
        <s v="BR HA MINT CHOC CHIP 6-1.5 QT"/>
        <s v="HOLANDA MAGNUM MINI CLAS MPK 6X6X55ML"/>
        <s v="MG Double Caramel 8-3PK"/>
        <s v="Talenti LYR STRWBRRY Shortcake 8 297.6g"/>
        <s v="HOLANDA MAGNUM ALMENDRA 12X90ML"/>
        <s v="BJ US-TOP-CHOCCARAMELCD-8 450ml"/>
        <s v="TAL PRG Strawberry Margarita 8 1PT"/>
        <s v="BR ND Mint CHOC Chip 6 1.5QT"/>
        <s v="BJ US-TOP-WHISKEYBIZ-8 450ML"/>
        <s v="BJ SORV-IC-HalfBaked-8 458ML"/>
        <s v="BJ US-IC-Strawberry-FTNG-1 2.4G"/>
        <s v="BJ US-IC-Chocolate PB Split-8 1PT"/>
        <s v="BJ SORV-IC-TripleCrmlCk-8 458ML"/>
        <s v="BJ R01-IC-TripleCaramlChnk-8 458ML"/>
        <s v="BJ US-IC-HalfBaked-1 2.4G"/>
        <s v="BR HA Cookie Duo 6 1.5QT"/>
        <s v="TAL ND Double Cookie Crunch 8 1PT"/>
        <s v="MG Mini Almond 6-6PK"/>
        <s v="BJ US-IC-ChocTherapy-FTNG-1 2.4G"/>
        <s v="BJ US-ND-COR-BoomChoc-8 1PT"/>
        <s v="BR BLK RASP CHOC 6 1.5QT"/>
        <s v="TAL PRG Bourbon Fudge Brownie 8 1PT"/>
        <s v="BR HA CO-B NY Style Cheesecake 6 1.5QT"/>
        <s v="BJ US-IC-Salted Caramel Almond-8 1PT"/>
        <s v="GH Eclair 1-24BK"/>
        <s v="BJ US-IC-MintChocChunk-FTNG-1 2.4G"/>
        <s v="BJ US-IC-ButterPecan-FTNG-1 2.4G"/>
        <s v="TAL ND Caramel Toffee Crunch 8 1PT"/>
        <s v="BJ US-IC-NewYrkSprFdgChnk-FTNG-1 2.4G"/>
        <s v="BJ SORV-IC-PhishFood-8 458ML"/>
        <s v="BR HA Reeses Pieces 6 1.5QT"/>
        <s v="BR Homemade Vanilla 6-1.5QT"/>
        <s v="BJ US-TOP-RaspCheesecake-8 450ML"/>
        <s v="TAL PRG Caramel Pretzel Blondie 8 1PT"/>
        <s v="GOOD HUMOR REESE BAR 6CT"/>
        <s v="BJ US-TOP-THICKMINT-8 450ml"/>
        <s v="BJ US-CD-CCCD-FTNG-8 8z"/>
        <s v="BJ US-CD-SugarCookieDough-8 8z"/>
        <s v="BJ US-CD-VCCCD-FTNG-8 8z"/>
        <s v="Talenti LY Mixed 6-4PK"/>
        <s v="TAL ND LYR Blueberry Crumble 8 320.3g"/>
        <s v="MG Mini Classic/Almond/WhiteVP RFA 6-6PK"/>
        <s v="BJ SORV-COR-SaltedCaramel-8 458ML"/>
        <s v="BR CO-B HA Heath 6 1.5QT"/>
        <s v="MG Cookie Duet OOH 1-12BK"/>
        <s v="BJ SORV-IC-StrwberryChscke-12 120ML"/>
        <s v="BJ US-IC-TonightDough-FTNG-1 2.4G"/>
        <s v="BJ US-SRB-BerryExtra-1 2.4 G"/>
        <s v="BJ US-NDS-ChangetheWhirled-1 2.4gal"/>
        <s v="BJ US-IC-Milk+Cookies-FTNG-1 2.4G"/>
        <s v="BR French Vanilla 6-1.5QT"/>
        <s v="BJ US-IC-GlampfireTrailMix-8 1PT"/>
        <s v="BJ US-IC-Vanilla-FTNG-8 1PT"/>
        <s v="BJ SORV-IC-StrawCheesecake-8 458ML"/>
        <s v="Talenti LYR Pumpkin Pie 8 297.6g"/>
        <s v="TAL PRG Salted Chocolate Churro 8 1PT"/>
        <s v="MG Double Caramel 6-6PK"/>
        <s v="BJ US-NDS-COR-BananasFoster-8 1PT"/>
        <s v="Talenti LY PB Vanilla Fudge 8 328.8g"/>
        <s v="BR NAT VANILLA 6 2.0QT"/>
        <s v="MG Mini Classic RFA 6-6PK"/>
        <s v="MG Mini Classic/Almond/White VP 6-6PK"/>
        <s v="BJ US-SRB-Lemonade-1 2.4 G"/>
        <s v="BJ US-IC-MntrWndrland-8 1PT"/>
        <s v="BR CARAMEL APPLE PIE 6 1.5 QT"/>
        <s v="BJ US-TOP-DirtCake-1 2.4gal"/>
        <s v="BJ US-TOP-STRWBRRYTART-8 450ml"/>
        <s v="Talenti LYR Chocolate Pretzel 8 309g"/>
        <s v="BR CS Chocolate Peanut Butter 6 1.5QT"/>
        <s v="BR Americana 6 1.5QT"/>
        <s v="BJ US-IC-PumpkinCheesecakLTD-FTNG-8 1PT"/>
        <s v="BR Pistachio Almond 6 1.5QT"/>
        <s v="PS Jolly Rancher Pop 6-18PK"/>
        <s v="BR CS Vanilla 8-1 PT"/>
        <s v="BR CS CHOC CHOC Chip 8-1 PT"/>
        <s v="BR CS Mint Chip 8-1 PT"/>
        <s v="Talenti LY BLK RASP VAN Parfait 8 309g"/>
        <s v="BR HA French Vanilla 6 1.5QT"/>
        <s v="BJ SORV-ND-Coconut7Layer-8 458ML"/>
        <s v="BJ US-IC-CoffeeBuzzBuzz-FTNG-8 1PT"/>
        <s v="Talenti Caramel Apple Pie 8 1PT"/>
        <s v="BJ US-IC-GimmeSmore-1 2.4GAL"/>
        <s v="Talenti Peppermint Bark 8 1PT"/>
        <s v="MG Dark RFA 8-3PK"/>
        <s v="MG Chocolate Duet 8-3PK"/>
        <s v="GH STRAW Shortcake Bar 8-6PK"/>
        <s v="BJ SORV-COR-DoceDeleite-8 458ML"/>
        <s v="Talenti LYR Lemon Berry Pie 8 289.1g"/>
        <s v="BR CHC CHP CKE DGH 6 1.5QT"/>
        <s v="BJ US-IC-ChewyGooeyCookie-1 2.4GAL"/>
        <s v="MG ND MINI Variety Pack 6-6PK"/>
        <s v="GH Giant Cookies and Cream Cone 1-12PK"/>
        <s v="BR HA Natural Vanilla 6 10CT 3z"/>
        <s v="BJ US-IC-ChocLoveAfair-8 1PT LTD"/>
        <s v="BJ SORV-SRB-BerryExtra-1 8.95L"/>
        <s v="BJ SORV-SRB-Lemonade-1 8.95L"/>
        <s v="BJ SORV-IC-GimmeSmore -1 8.95L"/>
        <s v="BJ SORV-ND-ChocChpCookDgh-1 8.95L"/>
        <s v="BJ SORV-IC-HalfBaked-1 8.95L"/>
        <s v="BJ CA-IC-HalfBaked-1 9.08L"/>
        <s v="BJ SORV-IC-MarshmallowSky-1 8.95L"/>
        <s v="BJ CA-IC-OhCone-ada-1 9.08L"/>
        <s v="BJ SORV-NDS-StrawberryMarsh-1 8.95L"/>
        <s v="BJ CA-IC-MintChocolateChance-1 9.08L"/>
        <s v="BJ SORV-IC-PeanutButterCupSundae-1 8.95L"/>
        <s v="BJ SORV-TOP-DirtCake-1 8.95L"/>
        <s v="BJ SORV-IC-ChurrayForChurros-1 8.95L"/>
        <s v="BJ SORV-IC-ChocolatePBChunk-1 8.95L"/>
        <s v="BJ SORV-IC-Vanilla-1 8.95L"/>
        <s v="BJ SORV-IC-CookieDough-1 8.95L"/>
        <s v="BJ CA-IC-CoffeeBuzzBuzz-FTNG-1 9.08L"/>
        <s v="BJ SORV-IC-ChunkyMonkey-1 8.95L"/>
        <s v="BJ SORV-IC-NYSFC-1 8.95L"/>
        <s v="BJ SORV-IC-ACookieAffair-1 8.95L"/>
        <s v="BJ SORV-IC-CherryGarcia-1 8.95L"/>
        <s v="BJ SORV-IC-PhishFood-1 8.95L"/>
        <s v="BJ SORV-IC-CoffeeBuzBuz-1 8.95L"/>
        <s v="BJ SORV-IC-ChocFudge-1 8.95L"/>
        <s v="BJ SORV-IC-MintChoc-1 8.95L"/>
        <s v="BJ SORV-IC-Coconut7LayerBar-1 8.95L"/>
        <s v="BJ SORV-IC-StrawCheese-1 8.95L"/>
        <s v="BJ SORV-IC-TriCaramel-1 8.95L"/>
        <s v="BJ SORV-IC-Strawberry-1 8.95L"/>
        <s v="BJ SORV-IC-SltdCrmlBlnd-FTNG-1 8.95L"/>
        <s v="BJ R01-IC-TripleCaramlChnk-8 458ML-RP"/>
        <s v="BJ AMET-IC-ChocChpCkDgh-FTNG-8 458ML RP"/>
        <s v="BJ SORV-IC-TonightDough-1 8.95L"/>
        <s v="BJ R01-IC-TonightDough-8 458ML RP"/>
        <s v="BJ SORV-IC-ChocTherapy-1 8.95L"/>
        <s v="BJ SORV-IC-SweetCrm+Cks-1 8.95L"/>
        <s v="BR Natural Vanilla 6 10CT 3z"/>
        <m/>
        <s v="MG Caramel Duet 8-3PK"/>
        <s v="GH Reeses Club IC Cup 1-24PK"/>
        <s v="PS SpongeBob Facepiece 1-20PK"/>
        <s v="PS Spiderman Facepiece 1-20PK"/>
        <s v="GH Vanilla Viennetta 6-1pk"/>
        <s v="BJ US-IC-HalfBaked-8 1PT"/>
        <s v="KL Cone Reeses PB Reeses Chocolate 6-8CT"/>
        <s v="MG Almond OOH 1-12BK"/>
        <s v="MG Mini Almond RFA 6-6PK"/>
        <s v="MG Non-Dairy Hazelnut Crunch 10-3PK"/>
        <s v="BR Mint Chocolate Chip Pint 8 1PT" u="1"/>
        <s v="Talenti LYR Peanut Butter Crunch 8 1PT" u="1"/>
        <s v="BR Peach 6 1.5QT" u="1"/>
        <s v="BJ US-IC-CherryCrumble-8 1PT LTD" u="1"/>
        <s v="PS Twister STRAW/Mango/VAN 6-6pk IH" u="1"/>
        <s v="PS TWISTER OOH 1-24BK" u="1"/>
        <s v="PS TWISTER RASP/PEACH/VAN 6-6PK IH" u="1"/>
        <s v="BJ US-IC-PhishFood-25th-8 1PT" u="1"/>
        <s v="GH KING CONE VANILLA 1-24BK" u="1"/>
        <s v="BJ US-IC-ChangeIsBrewing-8 1PT LTD" u="1"/>
        <s v="MG Tub Chocolate Vanilla 6 14.8z" u="1"/>
        <s v="BJ R01-IC-DoughntWorry-12 120ML" u="1"/>
        <s v="GH Chocolate Eclair Bar 8-6PK" u="1"/>
        <s v="BJ US-IC-MintChocolateChance-1 2.4gal" u="1"/>
        <s v="PS Rainbow 6-18PK" u="1"/>
        <s v="BJ US-CD-Vegan Cin Bun Dough-8 8z" u="1"/>
        <s v="BR IC Strawberry 1 3gal" u="1"/>
        <s v="MG Mini Classic/ALMND/White VP 6-6PK" u="1"/>
        <s v="BR ND CHOC CHOC CHIP 6 1.5QT" u="1"/>
        <s v="BJ R01-NDS-ThisIsOurWhirld-8 458ML" u="1"/>
        <s v="BR Frozen Peppermint Hot Choco 6 1.5QT" u="1"/>
        <s v="MG Tub White Chocolate 6 14.8z" u="1"/>
        <s v="TAL Caramel Gingerbread Cookie 8 1PT" u="1"/>
        <s v="BR Peach Cobbler 6 1.5 QT" u="1"/>
        <s v="TAL Vanilla Peanut Butter Swirl 8 1PT" u="1"/>
        <s v="MG ND Sea Salt Caramel 10-3PK" u="1"/>
        <s v="MG Tub Double CHCLT n Ganache 6 14.8z" u="1"/>
        <s v="BR WAFFLE CONE w/ CH CHPS 6 1.5QT" u="1"/>
        <s v="PS TWISTER BLUEBERRY/STRAW/VAN 6-6PK IH" u="1"/>
        <s v="BR HA PINT IC CHOC 8-1 PT" u="1"/>
        <s v="MG White RFA 8-3PK" u="1"/>
        <s v="BJ US-IC-PeanutButterCupSundae-1 2.4GAL" u="1"/>
        <s v="BJ US-CD-CHOC CCCD Dough-8 8z" u="1"/>
        <s v="BJ US-NDS-CremeBrulCk-8 1PT" u="1"/>
        <s v="BJ AMET-IC-StrwbrryChsck-FTNG-8 458ML" u="1"/>
        <s v="MG Almond 1-12PK 3.3Z RR OOH" u="1"/>
        <s v="BJ US-COR-WakeNBake-8 1 PT" u="1"/>
        <s v="MG Tub Double Sea Salt Caramel 6 14.8z" u="1"/>
        <s v="MG Double Choco Vanilla Truffle 8-3PK" u="1"/>
        <s v="BJ R01-IC-MintChocCookie-8 458ml" u="1"/>
      </sharedItems>
    </cacheField>
    <cacheField name="Production Version" numFmtId="0">
      <sharedItems containsBlank="1" containsMixedTypes="1" containsNumber="1" containsInteger="1" minValue="1" maxValue="6" count="57">
        <s v="FERT"/>
        <m/>
        <s v="SS2"/>
        <s v="G6-9"/>
        <s v="G4-9"/>
        <s v="ST2"/>
        <s v="G2-9"/>
        <s v="G3-9"/>
        <s v="G7-9"/>
        <s v="G8-9"/>
        <s v="G9-9"/>
        <s v="S2-9"/>
        <s v="S1-9"/>
        <s v="SS3"/>
        <s v="ST4"/>
        <s v="SP1"/>
        <s v="S3-9"/>
        <s v="K2-9"/>
        <s v="SP2A"/>
        <s v="K1-9"/>
        <s v="K3-9"/>
        <s v="SP3A"/>
        <s v="SP3B"/>
        <s v="S4-9"/>
        <s v="G1-9"/>
        <s v="GR1"/>
        <s v="ST1"/>
        <s v="SP2B"/>
        <s v="VR1"/>
        <s v="G109"/>
        <s v="GR2"/>
        <s v="BT1"/>
        <s v="SS1"/>
        <s v="02"/>
        <s v="04"/>
        <s v="01"/>
        <s v="K4-9"/>
        <s v="LN 2"/>
        <s v="03"/>
        <s v="W03"/>
        <s v="G5-9"/>
        <s v="S-01"/>
        <s v="05"/>
        <s v="2"/>
        <s v="06"/>
        <s v=""/>
        <s v="Incom doo"/>
        <s v="UNILEVER EUROPE BV"/>
        <s v="UNILEVER SANAYI VE TICARET TURK A S"/>
        <s v="FIMA OLA - PRODUCTOS ALIMENTARES S."/>
        <s v="UNILEVER DE MEXICO S R L DE C V"/>
        <n v="5" u="1"/>
        <n v="2" u="1"/>
        <n v="6" u="1"/>
        <n v="1" u="1"/>
        <n v="3" u="1"/>
        <n v="4" u="1"/>
      </sharedItems>
    </cacheField>
    <cacheField name="Conversion" numFmtId="0">
      <sharedItems containsBlank="1" containsMixedTypes="1" containsNumber="1" minValue="8.5170239596469088E-6" maxValue="5.1101999999999995E-2"/>
    </cacheField>
    <cacheField name="Litons" numFmtId="0">
      <sharedItems containsBlank="1" containsMixedTypes="1" containsNumber="1" minValue="-291.16866048000003" maxValue="1285.6320000000001"/>
    </cacheField>
    <cacheField name="Brand" numFmtId="0">
      <sharedItems containsBlank="1"/>
    </cacheField>
    <cacheField name="Month" numFmtId="0">
      <sharedItems containsBlank="1" count="13">
        <s v="Jan"/>
        <s v="Apr"/>
        <s v="Feb"/>
        <s v="Mar"/>
        <s v="May"/>
        <s v="Jun"/>
        <s v="Jul"/>
        <s v="Oct"/>
        <s v="Aug"/>
        <s v="Sep"/>
        <s v="Nov"/>
        <s v="Dec"/>
        <m/>
      </sharedItems>
    </cacheField>
    <cacheField name="Tech" numFmtId="0">
      <sharedItems containsBlank="1" count="86">
        <s v="6706Giant SW"/>
        <s v="TultitlanKL Sandwiches"/>
        <s v="290448oz"/>
        <s v="1352PG"/>
        <s v="1352MBG"/>
        <s v="2904MG Sticks"/>
        <s v="135248oz"/>
        <s v="2904PTS"/>
        <s v="1352EDF"/>
        <s v="2904ESS"/>
        <s v="2904TALENTI"/>
        <s v="2904MBG"/>
        <s v="2904EDF"/>
        <s v="CorluKL Mini Cones"/>
        <s v="2904PG"/>
        <s v="5914BJ PTS"/>
        <s v="5914B&amp;J Cups"/>
        <s v="3985B&amp;J Dog Treat - Repack"/>
        <s v="HellendoornBJ PTS"/>
        <s v="2904TOPPED"/>
        <s v="3985Repack MG Sticks"/>
        <s v="CaivanoMG Sticks ND"/>
        <s v="TultitlanMG Sticks"/>
        <s v="Rhino/HollipacDough Bites"/>
        <s v="5914PTS Exports"/>
        <s v="5914B&amp;J Dog Treat"/>
        <s v="TultitlanKL Mini Cones"/>
        <s v="CorluMG Sticks"/>
        <s v="1352EFW"/>
        <s v="3910ESS"/>
        <s v="2904BJ PTS"/>
        <s v="5914Cup Exports"/>
        <s v="670648oz"/>
        <s v="3961FB Cones"/>
        <s v="3910PG"/>
        <s v="3962Facepieces"/>
        <s v="5911BJ PTS"/>
        <s v="6706BR Minicups"/>
        <s v="6706PTS"/>
        <s v="59142.4 Gal"/>
        <s v="5911PTS Exports"/>
        <s v="59143 Gal"/>
        <s v="2904TAL NV"/>
        <s v="St IriaKing Cone (PT)"/>
        <s v="3985Repack BJ Pints"/>
        <s v="3910Facepieces"/>
        <s v="6706FB Cones"/>
        <s v="3985TALENTI"/>
        <s v="1461Dough Bites"/>
        <s v="135264oz"/>
        <s v="2904CS PTS"/>
        <s v="GloucesterMG Sticks ND"/>
        <e v="#N/A"/>
        <m/>
        <s v="IncomFacepieces"/>
        <s v="IncomKL Mini Cones"/>
        <s v="IncomESS"/>
        <s v="IncomKing Cone (PT)"/>
        <s v="CaivanoKL Mini Cones"/>
        <s v="CaivanoESS"/>
        <s v="CorluFacepieces"/>
        <s v="CorluESS"/>
        <s v="CorluMG Sticks ND"/>
        <s v="TultitlanFacepieces"/>
        <s v="St IriaViennetta"/>
        <s v="MG Sticks ND"/>
        <s v="TultitlanESS"/>
        <s v="TultitlanViennetta" u="1"/>
        <s v="3989KL Mini Cones" u="1"/>
        <s v="CaivanoMG Sticks" u="1"/>
        <s v="5914PTS" u="1"/>
        <s v="2904MG PTS" u="1"/>
        <s v="TultitlanMG Sticks ND" u="1"/>
        <s v="GloucesterMG Sticks" u="1"/>
        <s v="CorluKL Sandwiches" u="1"/>
        <s v="TultitlanKing Cone (PT)" u="1"/>
        <s v="HollipacDough Bites" u="1"/>
        <s v="1419MG Sticks ND" u="1"/>
        <s v="1419KL Mini Cones" u="1"/>
        <s v="5911PTS" u="1"/>
        <s v="3989MG Sticks" u="1"/>
        <s v="RhinoDough Bites" u="1"/>
        <s v="3989ESS" u="1"/>
        <s v="2904TAL " u="1"/>
        <s v="3985MG Sticks" u="1"/>
        <s v="IncomMG Sticks ND" u="1"/>
      </sharedItems>
    </cacheField>
    <cacheField name="Quarter" numFmtId="0">
      <sharedItems containsBlank="1"/>
    </cacheField>
    <cacheField name="Pallet Conversion" numFmtId="0">
      <sharedItems containsBlank="1" containsMixedTypes="1" containsNumber="1" containsInteger="1" minValue="30" maxValue="510"/>
    </cacheField>
    <cacheField name="Pallet Output" numFmtId="166">
      <sharedItems containsBlank="1" containsMixedTypes="1" containsNumber="1" minValue="-311.07843137254901" maxValue="880"/>
    </cacheField>
    <cacheField name="Tech2" numFmtId="0">
      <sharedItems containsBlank="1"/>
    </cacheField>
    <cacheField name="Attainment" numFmtId="0">
      <sharedItems containsBlank="1" containsMixedTypes="1" containsNumber="1" minValue="0.85" maxValue="1"/>
    </cacheField>
    <cacheField name="Cases post Attain" numFmtId="166">
      <sharedItems containsBlank="1" containsMixedTypes="1" containsNumber="1" minValue="-74565.5" maxValue="190080"/>
    </cacheField>
    <cacheField name="Litons Post Attain" numFmtId="166">
      <sharedItems containsBlank="1" containsMixedTypes="1" containsNumber="1" minValue="-273.69854085119999" maxValue="1195.6377600000001"/>
    </cacheField>
    <cacheField name="Pallets post Attain" numFmtId="166">
      <sharedItems containsBlank="1" containsMixedTypes="1" containsNumber="1" minValue="-292.41372549019604" maxValue="7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5897.379756365743" createdVersion="8" refreshedVersion="8" minRefreshableVersion="3" recordCount="111" xr:uid="{A290AE8A-F155-4C50-9EEA-70EA861E16B8}">
  <cacheSource type="worksheet">
    <worksheetSource ref="A4:U115" sheet="Cases post Attain"/>
  </cacheSource>
  <cacheFields count="24">
    <cacheField name="Tech Rollup" numFmtId="0">
      <sharedItems containsBlank="1" count="23">
        <s v="2.4 Gal"/>
        <s v="Other"/>
        <s v="BJ PTS"/>
        <s v="B&amp;J Cups"/>
        <s v="SP1"/>
        <m/>
        <s v="48oz"/>
        <s v="EDF"/>
        <s v="BJ Bars"/>
        <s v="ESS"/>
        <s v="MBG"/>
        <s v="MG Sticks"/>
        <s v="Yasso Sticks"/>
        <s v="YS PTS"/>
        <s v="TALENTI"/>
        <s v="PG"/>
        <s v="EFW"/>
        <s v="Yasso Club"/>
        <s v="Yasso Poppables"/>
        <s v="Yasso Sandwich"/>
        <s v="Dough Bites"/>
        <s v="KL Mini Cones"/>
        <s v="Facepieces"/>
      </sharedItems>
    </cacheField>
    <cacheField name="PLANT" numFmtId="0">
      <sharedItems containsBlank="1" containsMixedTypes="1" containsNumber="1" containsInteger="1" minValue="1352" maxValue="6765"/>
    </cacheField>
    <cacheField name="Row Labels" numFmtId="0">
      <sharedItems containsBlank="1"/>
    </cacheField>
    <cacheField name="Jan" numFmtId="0">
      <sharedItems containsBlank="1" containsMixedTypes="1" containsNumber="1" minValue="0" maxValue="3756445.4421077487"/>
    </cacheField>
    <cacheField name="Feb" numFmtId="0">
      <sharedItems containsBlank="1" containsMixedTypes="1" containsNumber="1" minValue="0" maxValue="4108973.1851993389"/>
    </cacheField>
    <cacheField name="Mar" numFmtId="0">
      <sharedItems containsBlank="1" containsMixedTypes="1" containsNumber="1" minValue="0" maxValue="4536537.2892319225"/>
    </cacheField>
    <cacheField name="Apr" numFmtId="0">
      <sharedItems containsBlank="1" containsMixedTypes="1" containsNumber="1" minValue="0" maxValue="4030291.956360063"/>
    </cacheField>
    <cacheField name="May" numFmtId="0">
      <sharedItems containsBlank="1" containsMixedTypes="1" containsNumber="1" minValue="0" maxValue="4169574.1604834711"/>
    </cacheField>
    <cacheField name="Jun" numFmtId="0">
      <sharedItems containsBlank="1" containsMixedTypes="1" containsNumber="1" minValue="0" maxValue="4071368.1890839776"/>
    </cacheField>
    <cacheField name="Jul" numFmtId="0">
      <sharedItems containsBlank="1" containsMixedTypes="1" containsNumber="1" minValue="0" maxValue="3774523.2042499213"/>
    </cacheField>
    <cacheField name="Aug" numFmtId="0">
      <sharedItems containsBlank="1" containsMixedTypes="1" containsNumber="1" minValue="0" maxValue="3983828.6021683379"/>
    </cacheField>
    <cacheField name="Sep" numFmtId="0">
      <sharedItems containsBlank="1" containsMixedTypes="1" containsNumber="1" minValue="0" maxValue="3166652.2622805741"/>
    </cacheField>
    <cacheField name="Oct" numFmtId="0">
      <sharedItems containsBlank="1" containsMixedTypes="1" containsNumber="1" minValue="-18750" maxValue="3226930.3156200605"/>
    </cacheField>
    <cacheField name="Nov" numFmtId="0">
      <sharedItems containsBlank="1" containsMixedTypes="1" containsNumber="1" minValue="0" maxValue="2795800.0965999784"/>
    </cacheField>
    <cacheField name="Dec" numFmtId="0">
      <sharedItems containsBlank="1" containsMixedTypes="1" containsNumber="1" minValue="0" maxValue="2434792.3321031546"/>
    </cacheField>
    <cacheField name="2026 MRF8" numFmtId="0">
      <sharedItems containsBlank="1" containsMixedTypes="1" containsNumber="1" minValue="0" maxValue="44055717.035488546"/>
    </cacheField>
    <cacheField name="2025 MRF8" numFmtId="0">
      <sharedItems containsBlank="1" containsMixedTypes="1" containsNumber="1" minValue="0" maxValue="40857613"/>
    </cacheField>
    <cacheField name="Difference" numFmtId="0">
      <sharedItems containsBlank="1" containsMixedTypes="1" containsNumber="1" minValue="-1643128.9448509479" maxValue="3198104.0354885482"/>
    </cacheField>
    <cacheField name="% change" numFmtId="0">
      <sharedItems containsBlank="1" containsMixedTypes="1" containsNumber="1" minValue="-1" maxValue="21.4"/>
    </cacheField>
    <cacheField name="Commentary" numFmtId="0">
      <sharedItems containsBlank="1"/>
    </cacheField>
    <cacheField name="2025 MRF82" numFmtId="0">
      <sharedItems containsBlank="1" containsMixedTypes="1" containsNumber="1" minValue="0" maxValue="40857613"/>
    </cacheField>
    <cacheField name="2025 MRF7" numFmtId="0">
      <sharedItems containsBlank="1" containsMixedTypes="1" containsNumber="1" minValue="0" maxValue="42101067.200000003"/>
    </cacheField>
    <cacheField name="2024 MRF12" numFmtId="0">
      <sharedItems containsBlank="1" containsMixedTypes="1" containsNumber="1" minValue="0" maxValue="38587337.111428574"/>
    </cacheField>
    <cacheField name="Type" numFmtId="0">
      <sharedItems containsBlank="1" count="5">
        <s v="UL"/>
        <m/>
        <s v="CM"/>
        <s v="Import"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5897.379779513889" createdVersion="8" refreshedVersion="8" minRefreshableVersion="3" recordCount="132" xr:uid="{0A2A4F0B-3FBC-4E29-AF88-8DF621240AE8}">
  <cacheSource type="worksheet">
    <worksheetSource ref="A4:U136" sheet="Cases post Attain"/>
  </cacheSource>
  <cacheFields count="24">
    <cacheField name="Tech Rollup" numFmtId="0">
      <sharedItems containsBlank="1" count="23">
        <s v="2.4 Gal"/>
        <s v="Other"/>
        <s v="BJ PTS"/>
        <s v="B&amp;J Cups"/>
        <s v="SP1"/>
        <m/>
        <s v="48oz"/>
        <s v="EDF"/>
        <s v="BJ Bars"/>
        <s v="ESS"/>
        <s v="MBG"/>
        <s v="MG Sticks"/>
        <s v="Yasso Sticks"/>
        <s v="YS PTS"/>
        <s v="TALENTI"/>
        <s v="PG"/>
        <s v="EFW"/>
        <s v="Yasso Club"/>
        <s v="Yasso Poppables"/>
        <s v="Yasso Sandwich"/>
        <s v="Dough Bites"/>
        <s v="KL Mini Cones"/>
        <s v="Facepieces"/>
      </sharedItems>
    </cacheField>
    <cacheField name="PLANT" numFmtId="0">
      <sharedItems containsBlank="1" containsMixedTypes="1" containsNumber="1" containsInteger="1" minValue="1352" maxValue="6765"/>
    </cacheField>
    <cacheField name="Row Labels" numFmtId="0">
      <sharedItems containsBlank="1"/>
    </cacheField>
    <cacheField name="Jan" numFmtId="0">
      <sharedItems containsBlank="1" containsMixedTypes="1" containsNumber="1" minValue="0" maxValue="9997203.1776800808"/>
    </cacheField>
    <cacheField name="Feb" numFmtId="0">
      <sharedItems containsBlank="1" containsMixedTypes="1" containsNumber="1" minValue="0" maxValue="10880201.505271606"/>
    </cacheField>
    <cacheField name="Mar" numFmtId="0">
      <sharedItems containsBlank="1" containsMixedTypes="1" containsNumber="1" minValue="0" maxValue="11624076.749089967"/>
    </cacheField>
    <cacheField name="Apr" numFmtId="0">
      <sharedItems containsBlank="1" containsMixedTypes="1" containsNumber="1" minValue="0" maxValue="10714746.776325222"/>
    </cacheField>
    <cacheField name="May" numFmtId="0">
      <sharedItems containsBlank="1" containsMixedTypes="1" containsNumber="1" minValue="0" maxValue="11114878.107484374"/>
    </cacheField>
    <cacheField name="Jun" numFmtId="0">
      <sharedItems containsBlank="1" containsMixedTypes="1" containsNumber="1" minValue="0" maxValue="10081490.45476342"/>
    </cacheField>
    <cacheField name="Jul" numFmtId="0">
      <sharedItems containsBlank="1" containsMixedTypes="1" containsNumber="1" minValue="0" maxValue="10385654.621250825"/>
    </cacheField>
    <cacheField name="Aug" numFmtId="0">
      <sharedItems containsBlank="1" containsMixedTypes="1" containsNumber="1" minValue="0" maxValue="10975711.82502548"/>
    </cacheField>
    <cacheField name="Sep" numFmtId="0">
      <sharedItems containsBlank="1" containsMixedTypes="1" containsNumber="1" minValue="0" maxValue="8783125.360852005"/>
    </cacheField>
    <cacheField name="Oct" numFmtId="0">
      <sharedItems containsBlank="1" containsMixedTypes="1" containsNumber="1" minValue="-18750" maxValue="8826825.4599057753"/>
    </cacheField>
    <cacheField name="Nov" numFmtId="0">
      <sharedItems containsBlank="1" containsMixedTypes="1" containsNumber="1" minValue="0" maxValue="6157942.7865999779"/>
    </cacheField>
    <cacheField name="Dec" numFmtId="0">
      <sharedItems containsBlank="1" containsMixedTypes="1" containsNumber="1" minValue="0" maxValue="5338468.1421031551"/>
    </cacheField>
    <cacheField name="2026 MRF8" numFmtId="0">
      <sharedItems containsBlank="1" containsMixedTypes="1" containsNumber="1" minValue="0" maxValue="114880324.96635188"/>
    </cacheField>
    <cacheField name="2025 MRF8" numFmtId="0">
      <sharedItems containsBlank="1" containsMixedTypes="1" containsNumber="1" minValue="0" maxValue="115925281.16"/>
    </cacheField>
    <cacheField name="Difference" numFmtId="0">
      <sharedItems containsBlank="1" containsMixedTypes="1" containsNumber="1" minValue="-2592279.4048509486" maxValue="3198104.0354885482"/>
    </cacheField>
    <cacheField name="% change" numFmtId="0">
      <sharedItems containsBlank="1" containsMixedTypes="1" containsNumber="1" minValue="-1" maxValue="21.4"/>
    </cacheField>
    <cacheField name="Commentary" numFmtId="0">
      <sharedItems containsBlank="1"/>
    </cacheField>
    <cacheField name="2025 MRF82" numFmtId="0">
      <sharedItems containsBlank="1" containsMixedTypes="1" containsNumber="1" minValue="0" maxValue="115925281.16"/>
    </cacheField>
    <cacheField name="2025 MRF7" numFmtId="0">
      <sharedItems containsBlank="1" containsMixedTypes="1" containsNumber="1" minValue="0" maxValue="117255872.53"/>
    </cacheField>
    <cacheField name="2024 MRF12" numFmtId="0">
      <sharedItems containsBlank="1" containsMixedTypes="1" containsNumber="1" minValue="0" maxValue="109801974.51142858"/>
    </cacheField>
    <cacheField name="Type" numFmtId="0">
      <sharedItems containsBlank="1" count="5">
        <s v="UL"/>
        <m/>
        <s v="CM"/>
        <s v="Import"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5897.39775960648" createdVersion="8" refreshedVersion="8" minRefreshableVersion="3" recordCount="132" xr:uid="{7417B76D-CC99-4EE6-A5F7-18B80B95A105}">
  <cacheSource type="worksheet">
    <worksheetSource ref="A4:AA136" sheet="Litons Post Attain"/>
  </cacheSource>
  <cacheFields count="26">
    <cacheField name="Tech Rollup" numFmtId="0">
      <sharedItems containsBlank="1" count="23">
        <s v="2.4 Gal"/>
        <s v="Other"/>
        <s v="BJ PTS"/>
        <s v="B&amp;J Cups"/>
        <s v="SP1"/>
        <m/>
        <s v="48oz"/>
        <s v="EDF"/>
        <s v="BJ Bars"/>
        <s v="ESS"/>
        <s v="MBG"/>
        <s v="MG Sticks"/>
        <s v="Yasso Sticks"/>
        <s v="YS PTS"/>
        <s v="TALENTI"/>
        <s v="PG"/>
        <s v="EFW"/>
        <s v="Yasso Club"/>
        <s v="Yasso Poppables"/>
        <s v="Yasso Sandwich"/>
        <s v="Dough Bites"/>
        <s v="KL Mini Cones"/>
        <s v="Facepieces"/>
      </sharedItems>
    </cacheField>
    <cacheField name="Plant" numFmtId="0">
      <sharedItems containsBlank="1" containsMixedTypes="1" containsNumber="1" containsInteger="1" minValue="1352" maxValue="6765"/>
    </cacheField>
    <cacheField name="Row Labels" numFmtId="0">
      <sharedItems containsBlank="1"/>
    </cacheField>
    <cacheField name="Jan" numFmtId="0">
      <sharedItems containsBlank="1" containsMixedTypes="1" containsNumber="1" minValue="0" maxValue="47443.944372214057"/>
    </cacheField>
    <cacheField name="Feb" numFmtId="0">
      <sharedItems containsBlank="1" containsMixedTypes="1" containsNumber="1" minValue="0" maxValue="51496.557421271827"/>
    </cacheField>
    <cacheField name="Mar" numFmtId="0">
      <sharedItems containsBlank="1" containsMixedTypes="1" containsNumber="1" minValue="0" maxValue="55809.288653718948"/>
    </cacheField>
    <cacheField name="Apr" numFmtId="0">
      <sharedItems containsBlank="1" containsMixedTypes="1" containsNumber="1" minValue="0" maxValue="53116.77944514469"/>
    </cacheField>
    <cacheField name="May" numFmtId="0">
      <sharedItems containsBlank="1" containsMixedTypes="1" containsNumber="1" minValue="0" maxValue="54551.529948713665"/>
    </cacheField>
    <cacheField name="Jun" numFmtId="0">
      <sharedItems containsBlank="1" containsMixedTypes="1" containsNumber="1" minValue="0" maxValue="49610.879380949445"/>
    </cacheField>
    <cacheField name="Jul" numFmtId="0">
      <sharedItems containsBlank="1" containsMixedTypes="1" containsNumber="1" minValue="0" maxValue="51961.443747251033"/>
    </cacheField>
    <cacheField name="Aug" numFmtId="0">
      <sharedItems containsBlank="1" containsMixedTypes="1" containsNumber="1" minValue="0" maxValue="54594.098756040876"/>
    </cacheField>
    <cacheField name="Sep" numFmtId="0">
      <sharedItems containsBlank="1" containsMixedTypes="1" containsNumber="1" minValue="0" maxValue="44167.533467571469"/>
    </cacheField>
    <cacheField name="Oct" numFmtId="0">
      <sharedItems containsBlank="1" containsMixedTypes="1" containsNumber="1" minValue="-62.100000000000023" maxValue="46019.87193950967"/>
    </cacheField>
    <cacheField name="Nov" numFmtId="0">
      <sharedItems containsBlank="1" containsMixedTypes="1" containsNumber="1" minValue="-192.5" maxValue="31872.455687610265"/>
    </cacheField>
    <cacheField name="Dec" numFmtId="0">
      <sharedItems containsBlank="1" containsMixedTypes="1" containsNumber="1" minValue="0" maxValue="25773.913212117503"/>
    </cacheField>
    <cacheField name="2026 MRF8" numFmtId="0">
      <sharedItems containsBlank="1" containsMixedTypes="1" containsNumber="1" minValue="0" maxValue="566418.29603211349"/>
    </cacheField>
    <cacheField name="2025 MRF8" numFmtId="0">
      <sharedItems containsBlank="1" containsMixedTypes="1" containsNumber="1" minValue="0" maxValue="562097.25979334861"/>
    </cacheField>
    <cacheField name="Difference" numFmtId="0">
      <sharedItems containsBlank="1" containsMixedTypes="1" containsNumber="1" minValue="-10235.996539266223" maxValue="12688.283893725631"/>
    </cacheField>
    <cacheField name="% change" numFmtId="0">
      <sharedItems containsBlank="1" containsMixedTypes="1" containsNumber="1" minValue="-1" maxValue="21.400000000000006"/>
    </cacheField>
    <cacheField name="Commentary" numFmtId="0">
      <sharedItems containsBlank="1"/>
    </cacheField>
    <cacheField name="2025 MRF82" numFmtId="0">
      <sharedItems containsBlank="1" containsMixedTypes="1" containsNumber="1" minValue="0" maxValue="562097.25979334861"/>
    </cacheField>
    <cacheField name="2025 MRF7" numFmtId="0">
      <sharedItems containsBlank="1" containsMixedTypes="1" containsNumber="1" minValue="0" maxValue="564117.66707023547"/>
    </cacheField>
    <cacheField name="2024 MRF12" numFmtId="0">
      <sharedItems containsBlank="1" containsMixedTypes="1" containsNumber="1" minValue="0" maxValue="544362.46205556591"/>
    </cacheField>
    <cacheField name="Vs YAG MRF8" numFmtId="0">
      <sharedItems containsBlank="1" containsMixedTypes="1" containsNumber="1" minValue="-1" maxValue="21.400000000000006"/>
    </cacheField>
    <cacheField name="VS YA" numFmtId="0">
      <sharedItems containsBlank="1" containsMixedTypes="1" containsNumber="1" minValue="-10235.996539266223" maxValue="12688.283893725631"/>
    </cacheField>
    <cacheField name="Type" numFmtId="0">
      <sharedItems containsBlank="1" count="5">
        <s v="UL"/>
        <m/>
        <s v="CM"/>
        <s v="Import"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107.338788541667" createdVersion="8" refreshedVersion="8" minRefreshableVersion="3" recordCount="7260" xr:uid="{85470213-62D7-4161-A5FF-FF61F5CA0B73}">
  <cacheSource type="worksheet">
    <worksheetSource ref="A1:R1048576" sheet="2026"/>
  </cacheSource>
  <cacheFields count="18">
    <cacheField name="Material Number" numFmtId="0">
      <sharedItems containsString="0" containsBlank="1" containsNumber="1" containsInteger="1" minValue="17093" maxValue="84164939"/>
    </cacheField>
    <cacheField name="Plant" numFmtId="0">
      <sharedItems containsBlank="1" containsMixedTypes="1" containsNumber="1" containsInteger="1" minValue="1352" maxValue="6765" count="23">
        <n v="1352"/>
        <n v="2904"/>
        <n v="5911"/>
        <n v="5914"/>
        <n v="3910"/>
        <s v="GDI"/>
        <s v="Rhino"/>
        <s v="Incom"/>
        <n v="1712"/>
        <n v="1713"/>
        <n v="1715"/>
        <n v="1716"/>
        <n v="1717"/>
        <n v="3985"/>
        <s v="Tultitlan"/>
        <n v="6706"/>
        <n v="6757"/>
        <n v="6764"/>
        <n v="6765"/>
        <s v="Turkey"/>
        <s v="Turkey Hill"/>
        <s v="Veszprem"/>
        <m/>
      </sharedItems>
    </cacheField>
    <cacheField name="Delivered quantity" numFmtId="0">
      <sharedItems containsString="0" containsBlank="1" containsNumber="1" minValue="-15840" maxValue="808223.14285714284"/>
    </cacheField>
    <cacheField name="Basic start date" numFmtId="14">
      <sharedItems containsDate="1" containsBlank="1" containsMixedTypes="1" minDate="2026-01-02T00:00:00" maxDate="2026-12-22T00:00:00"/>
    </cacheField>
    <cacheField name="Material description" numFmtId="0">
      <sharedItems containsBlank="1"/>
    </cacheField>
    <cacheField name="Production Version" numFmtId="0">
      <sharedItems containsBlank="1" containsMixedTypes="1" containsNumber="1" containsInteger="1" minValue="1419" maxValue="6765" count="101">
        <s v="S2"/>
        <s v="SS1"/>
        <s v="K1"/>
        <s v="SS2"/>
        <s v="K2"/>
        <s v="SS3"/>
        <s v="S1"/>
        <s v="S3"/>
        <s v="SP3A"/>
        <s v="SP3B"/>
        <s v="02"/>
        <s v="BT2"/>
        <s v="S4"/>
        <s v="BT1"/>
        <s v="GR2"/>
        <s v="G4"/>
        <s v="VR1"/>
        <s v="SP1"/>
        <s v="G1"/>
        <s v="GR1"/>
        <s v="K3"/>
        <s v="ST1"/>
        <s v="SP2A"/>
        <s v="ST4"/>
        <s v="01"/>
        <s v="04"/>
        <s v="ST2"/>
        <s v="G9"/>
        <s v="G10"/>
        <s v="G8"/>
        <s v="03"/>
        <s v="S-01"/>
        <s v="G3"/>
        <s v="06"/>
        <n v="1419"/>
        <n v="1712"/>
        <n v="1713"/>
        <n v="1715"/>
        <n v="1716"/>
        <n v="1717"/>
        <n v="3985"/>
        <n v="3989"/>
        <n v="6706"/>
        <n v="6757"/>
        <n v="6764"/>
        <n v="6765"/>
        <s v="LN 2"/>
        <s v="05"/>
        <s v=""/>
        <s v="2"/>
        <s v="3A"/>
        <s v="3B"/>
        <s v="SS4"/>
        <s v="Resiliancy"/>
        <s v="L1"/>
        <s v="L2"/>
        <s v="L5"/>
        <s v="WAT"/>
        <s v="SP2"/>
        <s v="04GRAM-1"/>
        <s v="CV572"/>
        <s v="G11"/>
        <s v="EFW"/>
        <s v="04BT1"/>
        <s v="04STRLN4"/>
        <s v="04BT2"/>
        <s v="04SPRL2A"/>
        <s v="TURKEYHILL"/>
        <s v="04GRAM-2"/>
        <s v="3PM Dummy Constraint"/>
        <s v="NoRouting"/>
        <s v="04STRLN1"/>
        <s v="14LINE02"/>
        <s v="CV530"/>
        <s v="CV532"/>
        <s v="CV644"/>
        <s v="14LINE04"/>
        <s v="14LINE01"/>
        <s v="CV531"/>
        <s v="CV640"/>
        <s v="04SS-1"/>
        <s v="10GLC1"/>
        <s v="CV533"/>
        <s v="04SS-2"/>
        <s v="11LINE02"/>
        <s v="CV540"/>
        <s v="14LINE05"/>
        <s v="04SPRL3B"/>
        <s v="04SPIRL1"/>
        <s v="04SS-3"/>
        <s v="CV648"/>
        <s v="10SS1"/>
        <s v="CV641"/>
        <s v="04VERSA1"/>
        <s v="CV646"/>
        <s v="CV649"/>
        <s v="CV643"/>
        <s v="CV650"/>
        <s v="04SPRL3A"/>
        <s v="04STRLN2"/>
        <m/>
      </sharedItems>
    </cacheField>
    <cacheField name="Liton per" numFmtId="0">
      <sharedItems containsString="0" containsBlank="1" containsNumber="1" minValue="8.8999999999999995E-5" maxValue="1.9199999999999998E-2"/>
    </cacheField>
    <cacheField name="Per Pallet" numFmtId="0">
      <sharedItems containsString="0" containsBlank="1" containsNumber="1" containsInteger="1" minValue="30" maxValue="493"/>
    </cacheField>
    <cacheField name="Sub Tech" numFmtId="0">
      <sharedItems containsBlank="1" count="28">
        <s v="48oz"/>
        <s v="EDF"/>
        <s v="TALENTI"/>
        <s v="BJ PTS"/>
        <s v="Yasso Sticks"/>
        <s v="MG Sticks"/>
        <s v="PG"/>
        <s v="MBG"/>
        <s v="Topped"/>
        <s v="PTS"/>
        <s v="PTS Exports"/>
        <s v="YS PTS"/>
        <s v="ESS"/>
        <s v="2.4 Gal"/>
        <s v="Sundaes"/>
        <s v="Dough Bites"/>
        <s v="Facepieces"/>
        <s v="Other"/>
        <s v="B&amp;J Cups"/>
        <s v="Yasso Club"/>
        <s v="Yasso Poppables"/>
        <s v="Repack MG Sticks"/>
        <s v="KL Mini Cones"/>
        <s v="BR Minicups"/>
        <s v="BJ Bars"/>
        <s v="Yasso Sandwich"/>
        <s v="EFW"/>
        <m/>
      </sharedItems>
    </cacheField>
    <cacheField name="Main Tech" numFmtId="0">
      <sharedItems containsBlank="1" count="61">
        <s v="135248oz"/>
        <s v="290448oz"/>
        <s v="1352EDF"/>
        <s v="2904TALENTI"/>
        <s v="5911BJ PTS"/>
        <s v="2904Yasso Sticks"/>
        <s v="2904MG Sticks"/>
        <s v="2904PG"/>
        <s v="1352MBG"/>
        <s v="2904Topped"/>
        <s v="2904MBG"/>
        <s v="2904EDF"/>
        <s v="2904BJ PTS"/>
        <s v="5914BJ PTS"/>
        <s v="2904PTS"/>
        <s v="1352PG"/>
        <s v="5911PTS Exports"/>
        <s v="2904YS PTS"/>
        <s v="5914PTS Exports"/>
        <s v="3910ESS"/>
        <s v="59142.4 Gal"/>
        <s v="2904Sundaes"/>
        <s v="GDIPG"/>
        <s v="RhinoDough Bites"/>
        <s v="IncomFacepieces"/>
        <s v="1712Other"/>
        <s v="1712B&amp;J Cups"/>
        <s v="1712ESS"/>
        <s v="1712Yasso Club"/>
        <s v="1713Yasso Poppables"/>
        <s v="1715Yasso Sticks"/>
        <s v="1716YS PTS"/>
        <s v="1716Yasso Sticks"/>
        <s v="1717Yasso Sticks"/>
        <s v="1717Other"/>
        <s v="3985Other"/>
        <s v="3985Repack MG Sticks"/>
        <s v="3985Yasso Club"/>
        <s v="TultitlanKL Mini Cones"/>
        <s v="TultitlanOther"/>
        <s v="6706BR Minicups"/>
        <s v="6757ESS"/>
        <s v="6764Other"/>
        <s v="6765BR Minicups"/>
        <s v="2904Other"/>
        <s v="1716BJ Bars"/>
        <s v="6765Other"/>
        <s v="6757Yasso Sandwich"/>
        <s v="TurkeyKL Mini Cones"/>
        <s v="3910EFW"/>
        <s v="GDIOther"/>
        <s v="670648oz"/>
        <s v="391048oz"/>
        <s v="Turkey HillESS"/>
        <s v="TurkeyOther"/>
        <s v="1712BR Minicups"/>
        <s v="IncomOther"/>
        <s v="TurkeyFacepieces"/>
        <s v="6706Other"/>
        <s v="VeszpremMG Sticks"/>
        <m/>
      </sharedItems>
    </cacheField>
    <cacheField name="Attain" numFmtId="0">
      <sharedItems containsString="0" containsBlank="1" containsNumber="1" minValue="0.85" maxValue="1"/>
    </cacheField>
    <cacheField name="Case post attain" numFmtId="166">
      <sharedItems containsString="0" containsBlank="1" containsNumber="1" minValue="-15840" maxValue="775894.21714285715"/>
    </cacheField>
    <cacheField name="Litons post attainment" numFmtId="166">
      <sharedItems containsString="0" containsBlank="1" containsNumber="1" minValue="-59.959848960000002" maxValue="4555.5807085714287"/>
    </cacheField>
    <cacheField name="Pallets Post Attainment" numFmtId="166">
      <sharedItems containsString="0" containsBlank="1" containsNumber="1" minValue="-71.642045454545453" maxValue="3200"/>
    </cacheField>
    <cacheField name="Month" numFmtId="0">
      <sharedItems containsBlank="1"/>
    </cacheField>
    <cacheField name="Week" numFmtId="0">
      <sharedItems containsString="0" containsBlank="1" containsNumber="1" containsInteger="1" minValue="1" maxValue="52" count="53">
        <n v="1"/>
        <n v="2"/>
        <n v="3"/>
        <n v="4"/>
        <n v="5"/>
        <n v="8"/>
        <n v="9"/>
        <n v="7"/>
        <n v="6"/>
        <n v="12"/>
        <n v="13"/>
        <n v="10"/>
        <n v="11"/>
        <n v="23"/>
        <n v="27"/>
        <n v="31"/>
        <n v="36"/>
        <n v="40"/>
        <n v="45"/>
        <n v="49"/>
        <n v="14"/>
        <n v="18"/>
        <n v="32"/>
        <n v="15"/>
        <n v="19"/>
        <n v="16"/>
        <n v="20"/>
        <n v="51"/>
        <n v="25"/>
        <n v="34"/>
        <n v="28"/>
        <n v="30"/>
        <n v="37"/>
        <n v="44"/>
        <n v="33"/>
        <n v="35"/>
        <n v="42"/>
        <n v="46"/>
        <n v="38"/>
        <n v="21"/>
        <n v="17"/>
        <n v="43"/>
        <n v="47"/>
        <n v="48"/>
        <n v="50"/>
        <n v="39"/>
        <n v="22"/>
        <n v="24"/>
        <n v="29"/>
        <n v="26"/>
        <n v="41"/>
        <n v="52"/>
        <m/>
      </sharedItems>
    </cacheField>
    <cacheField name="Notes 1" numFmtId="0">
      <sharedItems containsNonDate="0" containsString="0" containsBlank="1"/>
    </cacheField>
    <cacheField name="Notes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09">
  <r>
    <n v="68521425"/>
    <x v="0"/>
    <n v="76549"/>
    <d v="2023-01-01T00:00:00"/>
    <x v="0"/>
    <x v="0"/>
    <n v="4.248E-3"/>
    <n v="325.18015200000002"/>
    <s v="GH"/>
    <x v="0"/>
    <x v="0"/>
    <s v="Q1"/>
    <n v="216"/>
    <n v="354.39351851851853"/>
    <s v="Giant SW"/>
    <n v="1"/>
    <n v="76549"/>
    <n v="325.18015200000002"/>
    <n v="354.39351851851853"/>
  </r>
  <r>
    <n v="68871168"/>
    <x v="1"/>
    <n v="0"/>
    <d v="2023-01-01T00:00:00"/>
    <x v="1"/>
    <x v="1"/>
    <n v="6.0035555555555554E-3"/>
    <n v="0"/>
    <s v="KL"/>
    <x v="0"/>
    <x v="1"/>
    <s v="Q1"/>
    <n v="108"/>
    <n v="0"/>
    <s v="KL Sandwiches"/>
    <n v="1"/>
    <n v="0"/>
    <n v="0"/>
    <n v="0"/>
  </r>
  <r>
    <n v="67309842"/>
    <x v="2"/>
    <n v="0"/>
    <d v="2023-01-02T00:00:00"/>
    <x v="2"/>
    <x v="2"/>
    <n v="8.5199999999999998E-3"/>
    <n v="0"/>
    <s v="BR"/>
    <x v="0"/>
    <x v="2"/>
    <s v="Q1"/>
    <n v="154"/>
    <n v="0"/>
    <s v="48oz"/>
    <n v="1"/>
    <n v="0"/>
    <n v="0"/>
    <n v="0"/>
  </r>
  <r>
    <n v="67465063"/>
    <x v="3"/>
    <n v="0"/>
    <d v="2023-01-02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9551489"/>
    <x v="3"/>
    <n v="0"/>
    <d v="2023-01-02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72659"/>
    <x v="2"/>
    <n v="0"/>
    <d v="2023-01-02T00:00:00"/>
    <x v="5"/>
    <x v="5"/>
    <n v="2.1520000000000003E-3"/>
    <n v="0"/>
    <s v="MG"/>
    <x v="0"/>
    <x v="5"/>
    <s v="Q1"/>
    <n v="210"/>
    <n v="0"/>
    <s v="MG Sticks"/>
    <n v="1"/>
    <n v="0"/>
    <n v="0"/>
    <n v="0"/>
  </r>
  <r>
    <n v="69586716"/>
    <x v="2"/>
    <n v="0"/>
    <d v="2023-01-02T00:00:00"/>
    <x v="6"/>
    <x v="5"/>
    <n v="2.0400000000000001E-3"/>
    <n v="0"/>
    <s v="MG"/>
    <x v="0"/>
    <x v="5"/>
    <s v="Q1"/>
    <n v="210"/>
    <n v="0"/>
    <s v="MG Sticks"/>
    <n v="1"/>
    <n v="0"/>
    <n v="0"/>
    <n v="0"/>
  </r>
  <r>
    <n v="67309842"/>
    <x v="2"/>
    <n v="0"/>
    <d v="2023-01-03T00:00:00"/>
    <x v="2"/>
    <x v="2"/>
    <n v="8.5199999999999998E-3"/>
    <n v="0"/>
    <s v="BR"/>
    <x v="0"/>
    <x v="2"/>
    <s v="Q1"/>
    <n v="154"/>
    <n v="0"/>
    <s v="48oz"/>
    <n v="1"/>
    <n v="0"/>
    <n v="0"/>
    <n v="0"/>
  </r>
  <r>
    <n v="67465063"/>
    <x v="3"/>
    <n v="0"/>
    <d v="2023-01-03T00:00:00"/>
    <x v="3"/>
    <x v="6"/>
    <n v="5.2680000000000001E-3"/>
    <n v="0"/>
    <s v="PS"/>
    <x v="0"/>
    <x v="3"/>
    <s v="Q1"/>
    <n v="130"/>
    <n v="0"/>
    <s v="PG"/>
    <n v="1"/>
    <n v="0"/>
    <n v="0"/>
    <n v="0"/>
  </r>
  <r>
    <n v="67465063"/>
    <x v="3"/>
    <n v="0"/>
    <d v="2023-01-03T00:00:00"/>
    <x v="3"/>
    <x v="6"/>
    <n v="5.2680000000000001E-3"/>
    <n v="0"/>
    <s v="PS"/>
    <x v="0"/>
    <x v="3"/>
    <s v="Q1"/>
    <n v="130"/>
    <n v="0"/>
    <s v="PG"/>
    <n v="1"/>
    <n v="0"/>
    <n v="0"/>
    <n v="0"/>
  </r>
  <r>
    <n v="67465063"/>
    <x v="3"/>
    <n v="0"/>
    <d v="2023-01-03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0"/>
    <d v="2023-01-03T00:00:00"/>
    <x v="7"/>
    <x v="3"/>
    <n v="1.596E-3"/>
    <n v="0"/>
    <s v="PS"/>
    <x v="0"/>
    <x v="3"/>
    <s v="Q1"/>
    <n v="130"/>
    <n v="0"/>
    <s v="PG"/>
    <n v="1"/>
    <n v="0"/>
    <n v="0"/>
    <n v="0"/>
  </r>
  <r>
    <n v="67465064"/>
    <x v="3"/>
    <n v="0"/>
    <d v="2023-01-03T00:00:00"/>
    <x v="7"/>
    <x v="3"/>
    <n v="1.596E-3"/>
    <n v="0"/>
    <s v="PS"/>
    <x v="0"/>
    <x v="3"/>
    <s v="Q1"/>
    <n v="130"/>
    <n v="0"/>
    <s v="PG"/>
    <n v="1"/>
    <n v="0"/>
    <n v="0"/>
    <n v="0"/>
  </r>
  <r>
    <n v="67466492"/>
    <x v="3"/>
    <n v="0"/>
    <d v="2023-01-03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03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03T00:00:00"/>
    <x v="8"/>
    <x v="8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03T00:00:00"/>
    <x v="8"/>
    <x v="8"/>
    <n v="5.2680000000000001E-3"/>
    <n v="0"/>
    <s v="PS"/>
    <x v="0"/>
    <x v="3"/>
    <s v="Q1"/>
    <n v="130"/>
    <n v="0"/>
    <s v="PG"/>
    <n v="1"/>
    <n v="0"/>
    <n v="0"/>
    <n v="0"/>
  </r>
  <r>
    <n v="67476456"/>
    <x v="3"/>
    <n v="3555"/>
    <d v="2023-01-03T00:00:00"/>
    <x v="9"/>
    <x v="9"/>
    <n v="1.536E-3"/>
    <n v="5.4604800000000004"/>
    <s v="PS"/>
    <x v="0"/>
    <x v="3"/>
    <s v="Q1"/>
    <n v="400"/>
    <n v="8.8874999999999993"/>
    <s v="PG"/>
    <n v="1"/>
    <n v="3555"/>
    <n v="5.4604800000000004"/>
    <n v="8.8874999999999993"/>
  </r>
  <r>
    <n v="67476456"/>
    <x v="3"/>
    <n v="0"/>
    <d v="2023-01-03T00:00:00"/>
    <x v="9"/>
    <x v="9"/>
    <n v="1.536E-3"/>
    <n v="0"/>
    <s v="PS"/>
    <x v="0"/>
    <x v="3"/>
    <s v="Q1"/>
    <n v="400"/>
    <n v="0"/>
    <s v="PG"/>
    <n v="1"/>
    <n v="0"/>
    <n v="0"/>
    <n v="0"/>
  </r>
  <r>
    <n v="67476560"/>
    <x v="3"/>
    <n v="0"/>
    <d v="2023-01-03T00:00:00"/>
    <x v="10"/>
    <x v="10"/>
    <n v="5.1060000000000003E-3"/>
    <n v="0"/>
    <s v="PS"/>
    <x v="0"/>
    <x v="3"/>
    <s v="Q1"/>
    <n v="130"/>
    <n v="0"/>
    <s v="PG"/>
    <n v="1"/>
    <n v="0"/>
    <n v="0"/>
    <n v="0"/>
  </r>
  <r>
    <n v="67476560"/>
    <x v="3"/>
    <n v="697"/>
    <d v="2023-01-03T00:00:00"/>
    <x v="10"/>
    <x v="10"/>
    <n v="5.1060000000000003E-3"/>
    <n v="3.5588820000000001"/>
    <s v="PS"/>
    <x v="0"/>
    <x v="3"/>
    <s v="Q1"/>
    <n v="130"/>
    <n v="5.3615384615384611"/>
    <s v="PG"/>
    <n v="1"/>
    <n v="697"/>
    <n v="3.5588820000000001"/>
    <n v="5.3615384615384611"/>
  </r>
  <r>
    <n v="67885719"/>
    <x v="3"/>
    <n v="2975"/>
    <d v="2023-01-03T00:00:00"/>
    <x v="11"/>
    <x v="11"/>
    <n v="8.5199999999999998E-3"/>
    <n v="25.346999999999998"/>
    <s v="BR"/>
    <x v="0"/>
    <x v="6"/>
    <s v="Q1"/>
    <n v="154"/>
    <n v="19.318181818181817"/>
    <s v="48oz"/>
    <n v="1"/>
    <n v="2975"/>
    <n v="25.346999999999998"/>
    <n v="19.318181818181817"/>
  </r>
  <r>
    <n v="67885719"/>
    <x v="3"/>
    <n v="0"/>
    <d v="2023-01-03T00:00:00"/>
    <x v="11"/>
    <x v="11"/>
    <n v="8.5199999999999998E-3"/>
    <n v="0"/>
    <s v="BR"/>
    <x v="0"/>
    <x v="6"/>
    <s v="Q1"/>
    <n v="154"/>
    <n v="0"/>
    <s v="48oz"/>
    <n v="1"/>
    <n v="0"/>
    <n v="0"/>
    <n v="0"/>
  </r>
  <r>
    <n v="67893539"/>
    <x v="3"/>
    <n v="7793"/>
    <d v="2023-01-03T00:00:00"/>
    <x v="12"/>
    <x v="12"/>
    <n v="8.5199999999999998E-3"/>
    <n v="66.396360000000001"/>
    <s v="BR"/>
    <x v="0"/>
    <x v="6"/>
    <s v="Q1"/>
    <n v="154"/>
    <n v="50.603896103896105"/>
    <s v="48oz"/>
    <n v="1"/>
    <n v="7793"/>
    <n v="66.396360000000001"/>
    <n v="50.603896103896105"/>
  </r>
  <r>
    <n v="67893539"/>
    <x v="3"/>
    <n v="0"/>
    <d v="2023-01-03T00:00:00"/>
    <x v="12"/>
    <x v="12"/>
    <n v="8.5199999999999998E-3"/>
    <n v="0"/>
    <s v="BR"/>
    <x v="0"/>
    <x v="6"/>
    <s v="Q1"/>
    <n v="154"/>
    <n v="0"/>
    <s v="48oz"/>
    <n v="1"/>
    <n v="0"/>
    <n v="0"/>
    <n v="0"/>
  </r>
  <r>
    <n v="68356102"/>
    <x v="2"/>
    <n v="0"/>
    <d v="2023-01-03T00:00:00"/>
    <x v="13"/>
    <x v="13"/>
    <n v="8.513999999999999E-3"/>
    <n v="0"/>
    <s v="BR"/>
    <x v="0"/>
    <x v="2"/>
    <s v="Q1"/>
    <n v="154"/>
    <n v="0"/>
    <s v="48oz"/>
    <n v="1"/>
    <n v="0"/>
    <n v="0"/>
    <n v="0"/>
  </r>
  <r>
    <n v="68410352"/>
    <x v="2"/>
    <n v="440"/>
    <d v="2023-01-03T00:00:00"/>
    <x v="14"/>
    <x v="14"/>
    <n v="1.98E-3"/>
    <n v="0.87119999999999997"/>
    <s v="MG"/>
    <x v="0"/>
    <x v="5"/>
    <s v="Q1"/>
    <n v="176"/>
    <n v="2.5"/>
    <s v="MG Sticks"/>
    <n v="1"/>
    <n v="440"/>
    <n v="0.87119999999999997"/>
    <n v="2.5"/>
  </r>
  <r>
    <n v="68410352"/>
    <x v="2"/>
    <n v="0"/>
    <d v="2023-01-03T00:00:00"/>
    <x v="14"/>
    <x v="14"/>
    <n v="1.98E-3"/>
    <n v="0"/>
    <s v="MG"/>
    <x v="0"/>
    <x v="5"/>
    <s v="Q1"/>
    <n v="176"/>
    <n v="0"/>
    <s v="MG Sticks"/>
    <n v="1"/>
    <n v="0"/>
    <n v="0"/>
    <n v="0"/>
  </r>
  <r>
    <n v="68410352"/>
    <x v="2"/>
    <n v="0"/>
    <d v="2023-01-03T00:00:00"/>
    <x v="14"/>
    <x v="14"/>
    <n v="1.98E-3"/>
    <n v="0"/>
    <s v="MG"/>
    <x v="0"/>
    <x v="5"/>
    <s v="Q1"/>
    <n v="176"/>
    <n v="0"/>
    <s v="MG Sticks"/>
    <n v="1"/>
    <n v="0"/>
    <n v="0"/>
    <n v="0"/>
  </r>
  <r>
    <n v="68524845"/>
    <x v="2"/>
    <n v="16598"/>
    <d v="2023-01-03T00:00:00"/>
    <x v="15"/>
    <x v="15"/>
    <n v="3.7839999999999996E-3"/>
    <n v="62.806831999999993"/>
    <s v="BR"/>
    <x v="0"/>
    <x v="7"/>
    <s v="Q1"/>
    <n v="240"/>
    <n v="69.158333333333331"/>
    <s v="PTS"/>
    <n v="1"/>
    <n v="16598"/>
    <n v="62.806831999999993"/>
    <n v="69.158333333333331"/>
  </r>
  <r>
    <n v="68524845"/>
    <x v="2"/>
    <n v="0"/>
    <d v="2023-01-03T00:00:00"/>
    <x v="15"/>
    <x v="15"/>
    <n v="3.7839999999999996E-3"/>
    <n v="0"/>
    <s v="BR"/>
    <x v="0"/>
    <x v="7"/>
    <s v="Q1"/>
    <n v="240"/>
    <n v="0"/>
    <s v="PTS"/>
    <n v="1"/>
    <n v="0"/>
    <n v="0"/>
    <n v="0"/>
  </r>
  <r>
    <n v="68656231"/>
    <x v="3"/>
    <n v="2542"/>
    <d v="2023-01-03T00:00:00"/>
    <x v="16"/>
    <x v="16"/>
    <n v="8.5199999999999998E-3"/>
    <n v="21.65784"/>
    <s v="BR"/>
    <x v="0"/>
    <x v="6"/>
    <s v="Q1"/>
    <n v="154"/>
    <n v="16.506493506493506"/>
    <s v="48oz"/>
    <n v="1"/>
    <n v="2542"/>
    <n v="21.65784"/>
    <n v="16.506493506493506"/>
  </r>
  <r>
    <n v="68656231"/>
    <x v="3"/>
    <n v="0"/>
    <d v="2023-01-03T00:00:00"/>
    <x v="16"/>
    <x v="16"/>
    <n v="8.5199999999999998E-3"/>
    <n v="0"/>
    <s v="BR"/>
    <x v="0"/>
    <x v="6"/>
    <s v="Q1"/>
    <n v="154"/>
    <n v="0"/>
    <s v="48oz"/>
    <n v="1"/>
    <n v="0"/>
    <n v="0"/>
    <n v="0"/>
  </r>
  <r>
    <n v="68689251"/>
    <x v="3"/>
    <n v="0"/>
    <d v="2023-01-03T00:00:00"/>
    <x v="17"/>
    <x v="17"/>
    <n v="9.5760000000000012E-3"/>
    <n v="0"/>
    <s v="KL"/>
    <x v="0"/>
    <x v="8"/>
    <s v="Q1"/>
    <n v="132"/>
    <n v="0"/>
    <s v="EDF"/>
    <n v="1"/>
    <n v="0"/>
    <n v="0"/>
    <n v="0"/>
  </r>
  <r>
    <n v="68689251"/>
    <x v="3"/>
    <n v="0"/>
    <d v="2023-01-03T00:00:00"/>
    <x v="17"/>
    <x v="17"/>
    <n v="9.5760000000000012E-3"/>
    <n v="0"/>
    <s v="KL"/>
    <x v="0"/>
    <x v="8"/>
    <s v="Q1"/>
    <n v="132"/>
    <n v="0"/>
    <s v="EDF"/>
    <n v="1"/>
    <n v="0"/>
    <n v="0"/>
    <n v="0"/>
  </r>
  <r>
    <n v="68697460"/>
    <x v="2"/>
    <n v="437"/>
    <d v="2023-01-03T00:00:00"/>
    <x v="18"/>
    <x v="18"/>
    <n v="2.8380000000000002E-3"/>
    <n v="1.2402060000000001"/>
    <s v="KL"/>
    <x v="0"/>
    <x v="9"/>
    <s v="Q1"/>
    <n v="264"/>
    <n v="1.6553030303030303"/>
    <s v="ESS"/>
    <n v="1"/>
    <n v="437"/>
    <n v="1.2402060000000001"/>
    <n v="1.6553030303030303"/>
  </r>
  <r>
    <n v="68697460"/>
    <x v="2"/>
    <n v="0"/>
    <d v="2023-01-03T00:00:00"/>
    <x v="18"/>
    <x v="18"/>
    <n v="2.8380000000000002E-3"/>
    <n v="0"/>
    <s v="KL"/>
    <x v="0"/>
    <x v="9"/>
    <s v="Q1"/>
    <n v="264"/>
    <n v="0"/>
    <s v="ESS"/>
    <n v="1"/>
    <n v="0"/>
    <n v="0"/>
    <n v="0"/>
  </r>
  <r>
    <n v="68697460"/>
    <x v="2"/>
    <n v="0"/>
    <d v="2023-01-03T00:00:00"/>
    <x v="18"/>
    <x v="18"/>
    <n v="2.8380000000000002E-3"/>
    <n v="0"/>
    <s v="KL"/>
    <x v="0"/>
    <x v="9"/>
    <s v="Q1"/>
    <n v="264"/>
    <n v="0"/>
    <s v="ESS"/>
    <n v="1"/>
    <n v="0"/>
    <n v="0"/>
    <n v="0"/>
  </r>
  <r>
    <n v="68709233"/>
    <x v="3"/>
    <n v="29"/>
    <d v="2023-01-03T00:00:00"/>
    <x v="19"/>
    <x v="19"/>
    <n v="8.4960000000000001E-3"/>
    <n v="0.24638399999999999"/>
    <s v="KL"/>
    <x v="0"/>
    <x v="8"/>
    <s v="Q1"/>
    <n v="132"/>
    <n v="0.2196969696969697"/>
    <s v="EDF"/>
    <n v="1"/>
    <n v="29"/>
    <n v="0.24638399999999999"/>
    <n v="0.2196969696969697"/>
  </r>
  <r>
    <n v="68709233"/>
    <x v="3"/>
    <n v="0"/>
    <d v="2023-01-03T00:00:00"/>
    <x v="19"/>
    <x v="19"/>
    <n v="8.4960000000000001E-3"/>
    <n v="0"/>
    <s v="KL"/>
    <x v="0"/>
    <x v="8"/>
    <s v="Q1"/>
    <n v="132"/>
    <n v="0"/>
    <s v="EDF"/>
    <n v="1"/>
    <n v="0"/>
    <n v="0"/>
    <n v="0"/>
  </r>
  <r>
    <n v="68710277"/>
    <x v="3"/>
    <n v="0"/>
    <d v="2023-01-03T00:00:00"/>
    <x v="20"/>
    <x v="20"/>
    <n v="8.5199999999999998E-3"/>
    <n v="0"/>
    <s v="KL"/>
    <x v="0"/>
    <x v="8"/>
    <s v="Q1"/>
    <n v="132"/>
    <n v="0"/>
    <s v="EDF"/>
    <n v="1"/>
    <n v="0"/>
    <n v="0"/>
    <n v="0"/>
  </r>
  <r>
    <n v="68730234"/>
    <x v="2"/>
    <n v="15392"/>
    <d v="2023-01-03T00:00:00"/>
    <x v="21"/>
    <x v="21"/>
    <n v="3.7853440000000004E-3"/>
    <n v="58.264014848000009"/>
    <s v="TA"/>
    <x v="0"/>
    <x v="10"/>
    <s v="Q1"/>
    <n v="255"/>
    <n v="60.360784313725489"/>
    <s v="TALENTI"/>
    <n v="1"/>
    <n v="15392"/>
    <n v="58.264014848000009"/>
    <n v="60.360784313725489"/>
  </r>
  <r>
    <n v="68730234"/>
    <x v="2"/>
    <n v="0"/>
    <d v="2023-01-03T00:00:00"/>
    <x v="21"/>
    <x v="21"/>
    <n v="3.7853440000000004E-3"/>
    <n v="0"/>
    <s v="TA"/>
    <x v="0"/>
    <x v="10"/>
    <s v="Q1"/>
    <n v="255"/>
    <n v="0"/>
    <s v="TALENTI"/>
    <n v="1"/>
    <n v="0"/>
    <n v="0"/>
    <n v="0"/>
  </r>
  <r>
    <n v="68730252"/>
    <x v="2"/>
    <n v="4263"/>
    <d v="2023-01-03T00:00:00"/>
    <x v="22"/>
    <x v="22"/>
    <n v="3.7853440000000004E-3"/>
    <n v="16.136921472000001"/>
    <s v="TA"/>
    <x v="0"/>
    <x v="10"/>
    <s v="Q1"/>
    <n v="255"/>
    <n v="16.71764705882353"/>
    <s v="TALENTI"/>
    <n v="1"/>
    <n v="4263"/>
    <n v="16.136921472000001"/>
    <n v="16.71764705882353"/>
  </r>
  <r>
    <n v="68737749"/>
    <x v="3"/>
    <n v="0"/>
    <d v="2023-01-03T00:00:00"/>
    <x v="23"/>
    <x v="23"/>
    <n v="8.5199999999999998E-3"/>
    <n v="0"/>
    <s v="BR"/>
    <x v="0"/>
    <x v="6"/>
    <s v="Q1"/>
    <n v="176"/>
    <n v="0"/>
    <s v="48oz"/>
    <n v="1"/>
    <n v="0"/>
    <n v="0"/>
    <n v="0"/>
  </r>
  <r>
    <n v="68737749"/>
    <x v="3"/>
    <n v="0"/>
    <d v="2023-01-03T00:00:00"/>
    <x v="23"/>
    <x v="23"/>
    <n v="8.5199999999999998E-3"/>
    <n v="0"/>
    <s v="BR"/>
    <x v="0"/>
    <x v="6"/>
    <s v="Q1"/>
    <n v="176"/>
    <n v="0"/>
    <s v="48oz"/>
    <n v="1"/>
    <n v="0"/>
    <n v="0"/>
    <n v="0"/>
  </r>
  <r>
    <n v="68741714"/>
    <x v="3"/>
    <n v="0"/>
    <d v="2023-01-03T00:00:00"/>
    <x v="24"/>
    <x v="24"/>
    <n v="2.8319999999999999E-3"/>
    <n v="0"/>
    <s v="GH"/>
    <x v="0"/>
    <x v="4"/>
    <s v="Q1"/>
    <n v="225"/>
    <n v="0"/>
    <s v="MBG"/>
    <n v="1"/>
    <n v="0"/>
    <n v="0"/>
    <n v="0"/>
  </r>
  <r>
    <n v="68741714"/>
    <x v="3"/>
    <n v="0"/>
    <d v="2023-01-03T00:00:00"/>
    <x v="24"/>
    <x v="24"/>
    <n v="2.8319999999999999E-3"/>
    <n v="0"/>
    <s v="GH"/>
    <x v="0"/>
    <x v="4"/>
    <s v="Q1"/>
    <n v="225"/>
    <n v="0"/>
    <s v="MBG"/>
    <n v="1"/>
    <n v="0"/>
    <n v="0"/>
    <n v="0"/>
  </r>
  <r>
    <n v="68741742"/>
    <x v="3"/>
    <n v="0"/>
    <d v="2023-01-03T00:00:00"/>
    <x v="25"/>
    <x v="4"/>
    <n v="4.2560000000000002E-3"/>
    <n v="0"/>
    <s v="GH"/>
    <x v="0"/>
    <x v="4"/>
    <s v="Q1"/>
    <n v="154"/>
    <n v="0"/>
    <s v="MBG"/>
    <n v="1"/>
    <n v="0"/>
    <n v="0"/>
    <n v="0"/>
  </r>
  <r>
    <n v="68741742"/>
    <x v="2"/>
    <n v="3008"/>
    <d v="2023-01-03T00:00:00"/>
    <x v="25"/>
    <x v="25"/>
    <n v="4.2560000000000002E-3"/>
    <n v="12.802048000000001"/>
    <s v="GH"/>
    <x v="0"/>
    <x v="11"/>
    <s v="Q1"/>
    <n v="154"/>
    <n v="19.532467532467532"/>
    <s v="MBG"/>
    <n v="1"/>
    <n v="3008"/>
    <n v="12.802048000000001"/>
    <n v="19.532467532467532"/>
  </r>
  <r>
    <n v="68741742"/>
    <x v="2"/>
    <n v="0"/>
    <d v="2023-01-03T00:00:00"/>
    <x v="25"/>
    <x v="25"/>
    <n v="4.2560000000000002E-3"/>
    <n v="0"/>
    <s v="GH"/>
    <x v="0"/>
    <x v="11"/>
    <s v="Q1"/>
    <n v="154"/>
    <n v="0"/>
    <s v="MBG"/>
    <n v="1"/>
    <n v="0"/>
    <n v="0"/>
    <n v="0"/>
  </r>
  <r>
    <n v="68741742"/>
    <x v="2"/>
    <n v="0"/>
    <d v="2023-01-03T00:00:00"/>
    <x v="25"/>
    <x v="25"/>
    <n v="4.2560000000000002E-3"/>
    <n v="0"/>
    <s v="GH"/>
    <x v="0"/>
    <x v="11"/>
    <s v="Q1"/>
    <n v="154"/>
    <n v="0"/>
    <s v="MBG"/>
    <n v="1"/>
    <n v="0"/>
    <n v="0"/>
    <n v="0"/>
  </r>
  <r>
    <n v="68852591"/>
    <x v="2"/>
    <n v="2555"/>
    <d v="2023-01-03T00:00:00"/>
    <x v="26"/>
    <x v="26"/>
    <n v="8.5199999999999998E-3"/>
    <n v="21.768599999999999"/>
    <s v="KL"/>
    <x v="0"/>
    <x v="12"/>
    <s v="Q1"/>
    <n v="132"/>
    <n v="19.356060606060606"/>
    <s v="EDF"/>
    <n v="1"/>
    <n v="2555"/>
    <n v="21.768599999999999"/>
    <n v="19.356060606060606"/>
  </r>
  <r>
    <n v="68852591"/>
    <x v="2"/>
    <n v="0"/>
    <d v="2023-01-03T00:00:00"/>
    <x v="26"/>
    <x v="26"/>
    <n v="8.5199999999999998E-3"/>
    <n v="0"/>
    <s v="KL"/>
    <x v="0"/>
    <x v="12"/>
    <s v="Q1"/>
    <n v="132"/>
    <n v="0"/>
    <s v="EDF"/>
    <n v="1"/>
    <n v="0"/>
    <n v="0"/>
    <n v="0"/>
  </r>
  <r>
    <n v="68852591"/>
    <x v="2"/>
    <n v="0"/>
    <d v="2023-01-03T00:00:00"/>
    <x v="26"/>
    <x v="26"/>
    <n v="8.5199999999999998E-3"/>
    <n v="0"/>
    <s v="KL"/>
    <x v="0"/>
    <x v="12"/>
    <s v="Q1"/>
    <n v="132"/>
    <n v="0"/>
    <s v="EDF"/>
    <n v="1"/>
    <n v="0"/>
    <n v="0"/>
    <n v="0"/>
  </r>
  <r>
    <n v="68852591"/>
    <x v="2"/>
    <n v="0"/>
    <d v="2023-01-03T00:00:00"/>
    <x v="26"/>
    <x v="26"/>
    <n v="8.5199999999999998E-3"/>
    <n v="0"/>
    <s v="KL"/>
    <x v="0"/>
    <x v="12"/>
    <s v="Q1"/>
    <n v="132"/>
    <n v="0"/>
    <s v="EDF"/>
    <n v="1"/>
    <n v="0"/>
    <n v="0"/>
    <n v="0"/>
  </r>
  <r>
    <n v="68889812"/>
    <x v="2"/>
    <n v="0"/>
    <d v="2023-01-03T00:00:00"/>
    <x v="27"/>
    <x v="27"/>
    <n v="3.192E-3"/>
    <n v="0"/>
    <s v="KL"/>
    <x v="0"/>
    <x v="9"/>
    <s v="Q1"/>
    <n v="300"/>
    <n v="0"/>
    <s v="ESS"/>
    <n v="1"/>
    <n v="0"/>
    <n v="0"/>
    <n v="0"/>
  </r>
  <r>
    <n v="68889812"/>
    <x v="2"/>
    <n v="0"/>
    <d v="2023-01-03T00:00:00"/>
    <x v="27"/>
    <x v="27"/>
    <n v="3.192E-3"/>
    <n v="0"/>
    <s v="KL"/>
    <x v="0"/>
    <x v="9"/>
    <s v="Q1"/>
    <n v="300"/>
    <n v="0"/>
    <s v="ESS"/>
    <n v="1"/>
    <n v="0"/>
    <n v="0"/>
    <n v="0"/>
  </r>
  <r>
    <n v="68889812"/>
    <x v="2"/>
    <n v="0"/>
    <d v="2023-01-03T00:00:00"/>
    <x v="27"/>
    <x v="27"/>
    <n v="3.192E-3"/>
    <n v="0"/>
    <s v="KL"/>
    <x v="0"/>
    <x v="9"/>
    <s v="Q1"/>
    <n v="300"/>
    <n v="0"/>
    <s v="ESS"/>
    <n v="1"/>
    <n v="0"/>
    <n v="0"/>
    <n v="0"/>
  </r>
  <r>
    <n v="68889812"/>
    <x v="2"/>
    <n v="0"/>
    <d v="2023-01-03T00:00:00"/>
    <x v="27"/>
    <x v="27"/>
    <n v="3.192E-3"/>
    <n v="0"/>
    <s v="KL"/>
    <x v="0"/>
    <x v="9"/>
    <s v="Q1"/>
    <n v="300"/>
    <n v="0"/>
    <s v="ESS"/>
    <n v="1"/>
    <n v="0"/>
    <n v="0"/>
    <n v="0"/>
  </r>
  <r>
    <n v="69551489"/>
    <x v="3"/>
    <n v="0"/>
    <d v="2023-01-03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0"/>
    <d v="2023-01-03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7443"/>
    <x v="4"/>
    <n v="2400"/>
    <d v="2023-01-03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659"/>
    <x v="2"/>
    <n v="0"/>
    <d v="2023-01-03T00:00:00"/>
    <x v="5"/>
    <x v="5"/>
    <n v="2.1520000000000003E-3"/>
    <n v="0"/>
    <s v="MG"/>
    <x v="0"/>
    <x v="5"/>
    <s v="Q1"/>
    <n v="210"/>
    <n v="0"/>
    <s v="MG Sticks"/>
    <n v="1"/>
    <n v="0"/>
    <n v="0"/>
    <n v="0"/>
  </r>
  <r>
    <n v="69572659"/>
    <x v="2"/>
    <n v="0"/>
    <d v="2023-01-03T00:00:00"/>
    <x v="5"/>
    <x v="5"/>
    <n v="2.1520000000000003E-3"/>
    <n v="0"/>
    <s v="MG"/>
    <x v="0"/>
    <x v="5"/>
    <s v="Q1"/>
    <n v="210"/>
    <n v="0"/>
    <s v="MG Sticks"/>
    <n v="1"/>
    <n v="0"/>
    <n v="0"/>
    <n v="0"/>
  </r>
  <r>
    <n v="69586716"/>
    <x v="2"/>
    <n v="0"/>
    <d v="2023-01-03T00:00:00"/>
    <x v="6"/>
    <x v="5"/>
    <n v="2.0400000000000001E-3"/>
    <n v="0"/>
    <s v="MG"/>
    <x v="0"/>
    <x v="5"/>
    <s v="Q1"/>
    <n v="210"/>
    <n v="0"/>
    <s v="MG Sticks"/>
    <n v="1"/>
    <n v="0"/>
    <n v="0"/>
    <n v="0"/>
  </r>
  <r>
    <n v="69621212"/>
    <x v="2"/>
    <n v="1207"/>
    <d v="2023-01-03T00:00:00"/>
    <x v="29"/>
    <x v="28"/>
    <n v="5.2680000000000001E-3"/>
    <n v="6.3584760000000005"/>
    <s v="PG"/>
    <x v="0"/>
    <x v="14"/>
    <s v="Q1"/>
    <n v="130"/>
    <n v="9.2846153846153854"/>
    <s v="PG"/>
    <n v="1"/>
    <n v="1207"/>
    <n v="6.3584760000000005"/>
    <n v="9.2846153846153854"/>
  </r>
  <r>
    <n v="69621212"/>
    <x v="2"/>
    <n v="0"/>
    <d v="2023-01-03T00:00:00"/>
    <x v="29"/>
    <x v="28"/>
    <n v="5.2680000000000001E-3"/>
    <n v="0"/>
    <s v="PG"/>
    <x v="0"/>
    <x v="14"/>
    <s v="Q1"/>
    <n v="130"/>
    <n v="0"/>
    <s v="PG"/>
    <n v="1"/>
    <n v="0"/>
    <n v="0"/>
    <n v="0"/>
  </r>
  <r>
    <n v="69621212"/>
    <x v="2"/>
    <n v="0"/>
    <d v="2023-01-03T00:00:00"/>
    <x v="29"/>
    <x v="28"/>
    <n v="5.2680000000000001E-3"/>
    <n v="0"/>
    <s v="PG"/>
    <x v="0"/>
    <x v="14"/>
    <s v="Q1"/>
    <n v="130"/>
    <n v="0"/>
    <s v="PG"/>
    <n v="1"/>
    <n v="0"/>
    <n v="0"/>
    <n v="0"/>
  </r>
  <r>
    <n v="69677917"/>
    <x v="3"/>
    <n v="0"/>
    <d v="2023-01-03T00:00:00"/>
    <x v="30"/>
    <x v="29"/>
    <n v="5.2680000000000001E-3"/>
    <n v="0"/>
    <s v="PS"/>
    <x v="0"/>
    <x v="3"/>
    <s v="Q1"/>
    <n v="108"/>
    <n v="0"/>
    <s v="PG"/>
    <n v="1"/>
    <n v="0"/>
    <n v="0"/>
    <n v="0"/>
  </r>
  <r>
    <n v="69677917"/>
    <x v="3"/>
    <n v="0"/>
    <d v="2023-01-03T00:00:00"/>
    <x v="30"/>
    <x v="29"/>
    <n v="5.2680000000000001E-3"/>
    <n v="0"/>
    <s v="PS"/>
    <x v="0"/>
    <x v="3"/>
    <s v="Q1"/>
    <n v="108"/>
    <n v="0"/>
    <s v="PG"/>
    <n v="1"/>
    <n v="0"/>
    <n v="0"/>
    <n v="0"/>
  </r>
  <r>
    <n v="69677917"/>
    <x v="2"/>
    <n v="3500"/>
    <d v="2023-01-03T00:00:00"/>
    <x v="30"/>
    <x v="30"/>
    <n v="5.2680000000000001E-3"/>
    <n v="18.437999999999999"/>
    <s v="PS"/>
    <x v="0"/>
    <x v="14"/>
    <s v="Q1"/>
    <n v="108"/>
    <n v="32.407407407407405"/>
    <s v="PG"/>
    <n v="1"/>
    <n v="3500"/>
    <n v="18.437999999999999"/>
    <n v="32.407407407407405"/>
  </r>
  <r>
    <n v="69677917"/>
    <x v="2"/>
    <n v="0"/>
    <d v="2023-01-03T00:00:00"/>
    <x v="30"/>
    <x v="30"/>
    <n v="5.2680000000000001E-3"/>
    <n v="0"/>
    <s v="PS"/>
    <x v="0"/>
    <x v="14"/>
    <s v="Q1"/>
    <n v="108"/>
    <n v="0"/>
    <s v="PG"/>
    <n v="1"/>
    <n v="0"/>
    <n v="0"/>
    <n v="0"/>
  </r>
  <r>
    <n v="69684522"/>
    <x v="2"/>
    <n v="2941"/>
    <d v="2023-01-03T00:00:00"/>
    <x v="31"/>
    <x v="31"/>
    <n v="4.2560000000000002E-3"/>
    <n v="12.516896000000001"/>
    <s v="BR"/>
    <x v="0"/>
    <x v="5"/>
    <s v="Q1"/>
    <n v="143"/>
    <n v="20.566433566433567"/>
    <s v="MG Sticks"/>
    <n v="1"/>
    <n v="2941"/>
    <n v="12.516896000000001"/>
    <n v="20.566433566433567"/>
  </r>
  <r>
    <n v="69684522"/>
    <x v="2"/>
    <n v="0"/>
    <d v="2023-01-03T00:00:00"/>
    <x v="31"/>
    <x v="31"/>
    <n v="4.2560000000000002E-3"/>
    <n v="0"/>
    <s v="BR"/>
    <x v="0"/>
    <x v="5"/>
    <s v="Q1"/>
    <n v="143"/>
    <n v="0"/>
    <s v="MG Sticks"/>
    <n v="1"/>
    <n v="0"/>
    <n v="0"/>
    <n v="0"/>
  </r>
  <r>
    <n v="67309841"/>
    <x v="2"/>
    <n v="7591"/>
    <d v="2023-01-04T00:00:00"/>
    <x v="32"/>
    <x v="32"/>
    <n v="8.5199999999999998E-3"/>
    <n v="64.675319999999999"/>
    <s v="BR"/>
    <x v="0"/>
    <x v="2"/>
    <s v="Q1"/>
    <n v="154"/>
    <n v="49.29220779220779"/>
    <s v="48oz"/>
    <n v="1"/>
    <n v="7591"/>
    <n v="64.675319999999999"/>
    <n v="49.29220779220779"/>
  </r>
  <r>
    <n v="67309841"/>
    <x v="2"/>
    <n v="0"/>
    <d v="2023-01-04T00:00:00"/>
    <x v="32"/>
    <x v="32"/>
    <n v="8.5199999999999998E-3"/>
    <n v="0"/>
    <s v="BR"/>
    <x v="0"/>
    <x v="2"/>
    <s v="Q1"/>
    <n v="154"/>
    <n v="0"/>
    <s v="48oz"/>
    <n v="1"/>
    <n v="0"/>
    <n v="0"/>
    <n v="0"/>
  </r>
  <r>
    <n v="67309841"/>
    <x v="2"/>
    <n v="16376"/>
    <d v="2023-01-04T00:00:00"/>
    <x v="32"/>
    <x v="32"/>
    <n v="8.5199999999999998E-3"/>
    <n v="139.52351999999999"/>
    <s v="BR"/>
    <x v="0"/>
    <x v="2"/>
    <s v="Q1"/>
    <n v="154"/>
    <n v="106.33766233766234"/>
    <s v="48oz"/>
    <n v="1"/>
    <n v="16376"/>
    <n v="139.52351999999999"/>
    <n v="106.33766233766234"/>
  </r>
  <r>
    <n v="67465063"/>
    <x v="3"/>
    <n v="850"/>
    <d v="2023-01-04T00:00:00"/>
    <x v="3"/>
    <x v="6"/>
    <n v="5.2680000000000001E-3"/>
    <n v="4.4778000000000002"/>
    <s v="PS"/>
    <x v="0"/>
    <x v="3"/>
    <s v="Q1"/>
    <n v="130"/>
    <n v="6.5384615384615383"/>
    <s v="PG"/>
    <n v="1"/>
    <n v="850"/>
    <n v="4.4778000000000002"/>
    <n v="6.5384615384615383"/>
  </r>
  <r>
    <n v="67465063"/>
    <x v="3"/>
    <n v="0"/>
    <d v="2023-01-04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79"/>
    <d v="2023-01-04T00:00:00"/>
    <x v="7"/>
    <x v="3"/>
    <n v="1.596E-3"/>
    <n v="0.126084"/>
    <s v="PS"/>
    <x v="0"/>
    <x v="3"/>
    <s v="Q1"/>
    <n v="130"/>
    <n v="0.60769230769230764"/>
    <s v="PG"/>
    <n v="1"/>
    <n v="79"/>
    <n v="0.126084"/>
    <n v="0.60769230769230764"/>
  </r>
  <r>
    <n v="67466492"/>
    <x v="3"/>
    <n v="2189"/>
    <d v="2023-01-04T00:00:00"/>
    <x v="8"/>
    <x v="7"/>
    <n v="5.2680000000000001E-3"/>
    <n v="11.531652000000001"/>
    <s v="PS"/>
    <x v="0"/>
    <x v="3"/>
    <s v="Q1"/>
    <n v="130"/>
    <n v="16.838461538461537"/>
    <s v="PG"/>
    <n v="1"/>
    <n v="2189"/>
    <n v="11.531652000000001"/>
    <n v="16.838461538461537"/>
  </r>
  <r>
    <n v="67466492"/>
    <x v="3"/>
    <n v="984"/>
    <d v="2023-01-04T00:00:00"/>
    <x v="8"/>
    <x v="8"/>
    <n v="5.2680000000000001E-3"/>
    <n v="5.1837119999999999"/>
    <s v="PS"/>
    <x v="0"/>
    <x v="3"/>
    <s v="Q1"/>
    <n v="130"/>
    <n v="7.569230769230769"/>
    <s v="PG"/>
    <n v="1"/>
    <n v="984"/>
    <n v="5.1837119999999999"/>
    <n v="7.569230769230769"/>
  </r>
  <r>
    <n v="67476456"/>
    <x v="3"/>
    <n v="9125"/>
    <d v="2023-01-04T00:00:00"/>
    <x v="9"/>
    <x v="9"/>
    <n v="1.536E-3"/>
    <n v="14.016"/>
    <s v="PS"/>
    <x v="0"/>
    <x v="3"/>
    <s v="Q1"/>
    <n v="400"/>
    <n v="22.8125"/>
    <s v="PG"/>
    <n v="1"/>
    <n v="9125"/>
    <n v="14.016"/>
    <n v="22.8125"/>
  </r>
  <r>
    <n v="67476560"/>
    <x v="3"/>
    <n v="3619"/>
    <d v="2023-01-04T00:00:00"/>
    <x v="10"/>
    <x v="10"/>
    <n v="5.1060000000000003E-3"/>
    <n v="18.478614"/>
    <s v="PS"/>
    <x v="0"/>
    <x v="3"/>
    <s v="Q1"/>
    <n v="130"/>
    <n v="27.838461538461537"/>
    <s v="PG"/>
    <n v="1"/>
    <n v="3619"/>
    <n v="18.478614"/>
    <n v="27.838461538461537"/>
  </r>
  <r>
    <n v="67794169"/>
    <x v="5"/>
    <n v="37920"/>
    <d v="2023-01-04T00:00:00"/>
    <x v="33"/>
    <x v="33"/>
    <n v="3.7853439999999999E-3"/>
    <n v="143.54024447999998"/>
    <s v="BJ"/>
    <x v="0"/>
    <x v="15"/>
    <s v="Q1"/>
    <n v="240"/>
    <n v="158"/>
    <s v="BJ PTS"/>
    <n v="1"/>
    <n v="37920"/>
    <n v="143.54024447999998"/>
    <n v="158"/>
  </r>
  <r>
    <n v="67885719"/>
    <x v="3"/>
    <n v="9949"/>
    <d v="2023-01-04T00:00:00"/>
    <x v="11"/>
    <x v="11"/>
    <n v="8.5199999999999998E-3"/>
    <n v="84.765479999999997"/>
    <s v="BR"/>
    <x v="0"/>
    <x v="6"/>
    <s v="Q1"/>
    <n v="154"/>
    <n v="64.603896103896105"/>
    <s v="48oz"/>
    <n v="1"/>
    <n v="9949"/>
    <n v="84.765479999999997"/>
    <n v="64.603896103896105"/>
  </r>
  <r>
    <n v="67885719"/>
    <x v="2"/>
    <n v="0"/>
    <d v="2023-01-04T00:00:00"/>
    <x v="11"/>
    <x v="2"/>
    <n v="8.5199999999999998E-3"/>
    <n v="0"/>
    <s v="BR"/>
    <x v="0"/>
    <x v="2"/>
    <s v="Q1"/>
    <n v="154"/>
    <n v="0"/>
    <s v="48oz"/>
    <n v="1"/>
    <n v="0"/>
    <n v="0"/>
    <n v="0"/>
  </r>
  <r>
    <n v="67885719"/>
    <x v="2"/>
    <n v="3986"/>
    <d v="2023-01-04T00:00:00"/>
    <x v="11"/>
    <x v="2"/>
    <n v="8.5199999999999998E-3"/>
    <n v="33.960720000000002"/>
    <s v="BR"/>
    <x v="0"/>
    <x v="2"/>
    <s v="Q1"/>
    <n v="154"/>
    <n v="25.883116883116884"/>
    <s v="48oz"/>
    <n v="1"/>
    <n v="3986"/>
    <n v="33.960720000000002"/>
    <n v="25.883116883116884"/>
  </r>
  <r>
    <n v="67885719"/>
    <x v="2"/>
    <n v="0"/>
    <d v="2023-01-04T00:00:00"/>
    <x v="11"/>
    <x v="2"/>
    <n v="8.5199999999999998E-3"/>
    <n v="0"/>
    <s v="BR"/>
    <x v="0"/>
    <x v="2"/>
    <s v="Q1"/>
    <n v="154"/>
    <n v="0"/>
    <s v="48oz"/>
    <n v="1"/>
    <n v="0"/>
    <n v="0"/>
    <n v="0"/>
  </r>
  <r>
    <n v="67885719"/>
    <x v="2"/>
    <n v="0"/>
    <d v="2023-01-04T00:00:00"/>
    <x v="11"/>
    <x v="2"/>
    <n v="8.5199999999999998E-3"/>
    <n v="0"/>
    <s v="BR"/>
    <x v="0"/>
    <x v="2"/>
    <s v="Q1"/>
    <n v="154"/>
    <n v="0"/>
    <s v="48oz"/>
    <n v="1"/>
    <n v="0"/>
    <n v="0"/>
    <n v="0"/>
  </r>
  <r>
    <n v="67885719"/>
    <x v="2"/>
    <n v="0"/>
    <d v="2023-01-04T00:00:00"/>
    <x v="11"/>
    <x v="13"/>
    <n v="8.5199999999999998E-3"/>
    <n v="0"/>
    <s v="BR"/>
    <x v="0"/>
    <x v="2"/>
    <s v="Q1"/>
    <n v="154"/>
    <n v="0"/>
    <s v="48oz"/>
    <n v="1"/>
    <n v="0"/>
    <n v="0"/>
    <n v="0"/>
  </r>
  <r>
    <n v="67885719"/>
    <x v="2"/>
    <n v="0"/>
    <d v="2023-01-04T00:00:00"/>
    <x v="11"/>
    <x v="13"/>
    <n v="8.5199999999999998E-3"/>
    <n v="0"/>
    <s v="BR"/>
    <x v="0"/>
    <x v="2"/>
    <s v="Q1"/>
    <n v="154"/>
    <n v="0"/>
    <s v="48oz"/>
    <n v="1"/>
    <n v="0"/>
    <n v="0"/>
    <n v="0"/>
  </r>
  <r>
    <n v="67885719"/>
    <x v="2"/>
    <n v="0"/>
    <d v="2023-01-04T00:00:00"/>
    <x v="11"/>
    <x v="13"/>
    <n v="8.5199999999999998E-3"/>
    <n v="0"/>
    <s v="BR"/>
    <x v="0"/>
    <x v="2"/>
    <s v="Q1"/>
    <n v="154"/>
    <n v="0"/>
    <s v="48oz"/>
    <n v="1"/>
    <n v="0"/>
    <n v="0"/>
    <n v="0"/>
  </r>
  <r>
    <n v="67893539"/>
    <x v="3"/>
    <n v="13727"/>
    <d v="2023-01-04T00:00:00"/>
    <x v="12"/>
    <x v="12"/>
    <n v="8.5199999999999998E-3"/>
    <n v="116.95403999999999"/>
    <s v="BR"/>
    <x v="0"/>
    <x v="6"/>
    <s v="Q1"/>
    <n v="154"/>
    <n v="89.13636363636364"/>
    <s v="48oz"/>
    <n v="1"/>
    <n v="13727"/>
    <n v="116.95403999999999"/>
    <n v="89.13636363636364"/>
  </r>
  <r>
    <n v="68356102"/>
    <x v="2"/>
    <n v="0"/>
    <d v="2023-01-04T00:00:00"/>
    <x v="13"/>
    <x v="13"/>
    <n v="8.513999999999999E-3"/>
    <n v="0"/>
    <s v="BR"/>
    <x v="0"/>
    <x v="2"/>
    <s v="Q1"/>
    <n v="154"/>
    <n v="0"/>
    <s v="48oz"/>
    <n v="1"/>
    <n v="0"/>
    <n v="0"/>
    <n v="0"/>
  </r>
  <r>
    <n v="68356102"/>
    <x v="2"/>
    <n v="0"/>
    <d v="2023-01-04T00:00:00"/>
    <x v="13"/>
    <x v="13"/>
    <n v="8.513999999999999E-3"/>
    <n v="0"/>
    <s v="BR"/>
    <x v="0"/>
    <x v="2"/>
    <s v="Q1"/>
    <n v="154"/>
    <n v="0"/>
    <s v="48oz"/>
    <n v="1"/>
    <n v="0"/>
    <n v="0"/>
    <n v="0"/>
  </r>
  <r>
    <n v="68410352"/>
    <x v="2"/>
    <n v="2277"/>
    <d v="2023-01-04T00:00:00"/>
    <x v="14"/>
    <x v="14"/>
    <n v="1.98E-3"/>
    <n v="4.5084600000000004"/>
    <s v="MG"/>
    <x v="0"/>
    <x v="5"/>
    <s v="Q1"/>
    <n v="176"/>
    <n v="12.9375"/>
    <s v="MG Sticks"/>
    <n v="1"/>
    <n v="2277"/>
    <n v="4.5084600000000004"/>
    <n v="12.9375"/>
  </r>
  <r>
    <n v="68524845"/>
    <x v="2"/>
    <n v="25628"/>
    <d v="2023-01-04T00:00:00"/>
    <x v="15"/>
    <x v="15"/>
    <n v="3.7839999999999996E-3"/>
    <n v="96.976351999999991"/>
    <s v="BR"/>
    <x v="0"/>
    <x v="7"/>
    <s v="Q1"/>
    <n v="240"/>
    <n v="106.78333333333333"/>
    <s v="PTS"/>
    <n v="1"/>
    <n v="25628"/>
    <n v="96.976351999999991"/>
    <n v="106.78333333333333"/>
  </r>
  <r>
    <n v="68656231"/>
    <x v="3"/>
    <n v="0"/>
    <d v="2023-01-04T00:00:00"/>
    <x v="16"/>
    <x v="16"/>
    <n v="8.5199999999999998E-3"/>
    <n v="0"/>
    <s v="BR"/>
    <x v="0"/>
    <x v="6"/>
    <s v="Q1"/>
    <n v="154"/>
    <n v="0"/>
    <s v="48oz"/>
    <n v="1"/>
    <n v="0"/>
    <n v="0"/>
    <n v="0"/>
  </r>
  <r>
    <n v="68656231"/>
    <x v="3"/>
    <n v="10169"/>
    <d v="2023-01-04T00:00:00"/>
    <x v="16"/>
    <x v="16"/>
    <n v="8.5199999999999998E-3"/>
    <n v="86.639879999999991"/>
    <s v="BR"/>
    <x v="0"/>
    <x v="6"/>
    <s v="Q1"/>
    <n v="154"/>
    <n v="66.032467532467535"/>
    <s v="48oz"/>
    <n v="1"/>
    <n v="10169"/>
    <n v="86.639879999999991"/>
    <n v="66.032467532467535"/>
  </r>
  <r>
    <n v="68689251"/>
    <x v="3"/>
    <n v="1751"/>
    <d v="2023-01-04T00:00:00"/>
    <x v="17"/>
    <x v="17"/>
    <n v="9.5760000000000012E-3"/>
    <n v="16.767576000000002"/>
    <s v="KL"/>
    <x v="0"/>
    <x v="8"/>
    <s v="Q1"/>
    <n v="132"/>
    <n v="13.265151515151516"/>
    <s v="EDF"/>
    <n v="1"/>
    <n v="1751"/>
    <n v="16.767576000000002"/>
    <n v="13.265151515151516"/>
  </r>
  <r>
    <n v="68697460"/>
    <x v="2"/>
    <n v="5669"/>
    <d v="2023-01-04T00:00:00"/>
    <x v="18"/>
    <x v="18"/>
    <n v="2.8380000000000002E-3"/>
    <n v="16.088622000000001"/>
    <s v="KL"/>
    <x v="0"/>
    <x v="9"/>
    <s v="Q1"/>
    <n v="264"/>
    <n v="21.473484848484848"/>
    <s v="ESS"/>
    <n v="1"/>
    <n v="5669"/>
    <n v="16.088622000000001"/>
    <n v="21.473484848484848"/>
  </r>
  <r>
    <n v="68709233"/>
    <x v="3"/>
    <n v="3084"/>
    <d v="2023-01-04T00:00:00"/>
    <x v="19"/>
    <x v="19"/>
    <n v="8.4960000000000001E-3"/>
    <n v="26.201664000000001"/>
    <s v="KL"/>
    <x v="0"/>
    <x v="8"/>
    <s v="Q1"/>
    <n v="132"/>
    <n v="23.363636363636363"/>
    <s v="EDF"/>
    <n v="1"/>
    <n v="3084"/>
    <n v="26.201664000000001"/>
    <n v="23.363636363636363"/>
  </r>
  <r>
    <n v="68710277"/>
    <x v="3"/>
    <n v="0"/>
    <d v="2023-01-04T00:00:00"/>
    <x v="20"/>
    <x v="20"/>
    <n v="8.5199999999999998E-3"/>
    <n v="0"/>
    <s v="KL"/>
    <x v="0"/>
    <x v="8"/>
    <s v="Q1"/>
    <n v="132"/>
    <n v="0"/>
    <s v="EDF"/>
    <n v="1"/>
    <n v="0"/>
    <n v="0"/>
    <n v="0"/>
  </r>
  <r>
    <n v="68710277"/>
    <x v="3"/>
    <n v="3783"/>
    <d v="2023-01-04T00:00:00"/>
    <x v="20"/>
    <x v="20"/>
    <n v="8.5199999999999998E-3"/>
    <n v="32.231160000000003"/>
    <s v="KL"/>
    <x v="0"/>
    <x v="8"/>
    <s v="Q1"/>
    <n v="132"/>
    <n v="28.65909090909091"/>
    <s v="EDF"/>
    <n v="1"/>
    <n v="3783"/>
    <n v="32.231160000000003"/>
    <n v="28.65909090909091"/>
  </r>
  <r>
    <n v="68726715"/>
    <x v="2"/>
    <n v="7854"/>
    <d v="2023-01-04T00:00:00"/>
    <x v="34"/>
    <x v="22"/>
    <n v="3.7853440000000004E-3"/>
    <n v="29.730091776000002"/>
    <s v="TA"/>
    <x v="0"/>
    <x v="10"/>
    <s v="Q1"/>
    <n v="255"/>
    <n v="30.8"/>
    <s v="TALENTI"/>
    <n v="1"/>
    <n v="7854"/>
    <n v="29.730091776000002"/>
    <n v="30.8"/>
  </r>
  <r>
    <n v="68730234"/>
    <x v="2"/>
    <n v="0"/>
    <d v="2023-01-04T00:00:00"/>
    <x v="21"/>
    <x v="21"/>
    <n v="3.7853440000000004E-3"/>
    <n v="0"/>
    <s v="TA"/>
    <x v="0"/>
    <x v="10"/>
    <s v="Q1"/>
    <n v="255"/>
    <n v="0"/>
    <s v="TALENTI"/>
    <n v="1"/>
    <n v="0"/>
    <n v="0"/>
    <n v="0"/>
  </r>
  <r>
    <n v="68730234"/>
    <x v="2"/>
    <n v="31986"/>
    <d v="2023-01-04T00:00:00"/>
    <x v="21"/>
    <x v="21"/>
    <n v="3.7853440000000004E-3"/>
    <n v="121.07801318400001"/>
    <s v="TA"/>
    <x v="0"/>
    <x v="10"/>
    <s v="Q1"/>
    <n v="255"/>
    <n v="125.43529411764706"/>
    <s v="TALENTI"/>
    <n v="1"/>
    <n v="31986"/>
    <n v="121.07801318400001"/>
    <n v="125.43529411764706"/>
  </r>
  <r>
    <n v="68730252"/>
    <x v="2"/>
    <n v="2885"/>
    <d v="2023-01-04T00:00:00"/>
    <x v="22"/>
    <x v="22"/>
    <n v="3.7853440000000004E-3"/>
    <n v="10.920717440000001"/>
    <s v="TA"/>
    <x v="0"/>
    <x v="10"/>
    <s v="Q1"/>
    <n v="255"/>
    <n v="11.313725490196079"/>
    <s v="TALENTI"/>
    <n v="1"/>
    <n v="2885"/>
    <n v="10.920717440000001"/>
    <n v="11.313725490196079"/>
  </r>
  <r>
    <n v="68737749"/>
    <x v="3"/>
    <n v="12632"/>
    <d v="2023-01-04T00:00:00"/>
    <x v="23"/>
    <x v="23"/>
    <n v="8.5199999999999998E-3"/>
    <n v="107.62464"/>
    <s v="BR"/>
    <x v="0"/>
    <x v="6"/>
    <s v="Q1"/>
    <n v="176"/>
    <n v="71.772727272727266"/>
    <s v="48oz"/>
    <n v="1"/>
    <n v="12632"/>
    <n v="107.62464"/>
    <n v="71.772727272727266"/>
  </r>
  <r>
    <n v="68741714"/>
    <x v="3"/>
    <n v="1588"/>
    <d v="2023-01-04T00:00:00"/>
    <x v="24"/>
    <x v="24"/>
    <n v="2.8319999999999999E-3"/>
    <n v="4.4972159999999999"/>
    <s v="GH"/>
    <x v="0"/>
    <x v="4"/>
    <s v="Q1"/>
    <n v="225"/>
    <n v="7.0577777777777779"/>
    <s v="MBG"/>
    <n v="1"/>
    <n v="1588"/>
    <n v="4.4972159999999999"/>
    <n v="7.0577777777777779"/>
  </r>
  <r>
    <n v="68741742"/>
    <x v="3"/>
    <n v="544"/>
    <d v="2023-01-04T00:00:00"/>
    <x v="25"/>
    <x v="4"/>
    <n v="4.2560000000000002E-3"/>
    <n v="2.315264"/>
    <s v="GH"/>
    <x v="0"/>
    <x v="4"/>
    <s v="Q1"/>
    <n v="154"/>
    <n v="3.5324675324675323"/>
    <s v="MBG"/>
    <n v="1"/>
    <n v="544"/>
    <n v="2.315264"/>
    <n v="3.5324675324675323"/>
  </r>
  <r>
    <n v="68741742"/>
    <x v="2"/>
    <n v="3557"/>
    <d v="2023-01-04T00:00:00"/>
    <x v="25"/>
    <x v="25"/>
    <n v="4.2560000000000002E-3"/>
    <n v="15.138592000000001"/>
    <s v="GH"/>
    <x v="0"/>
    <x v="11"/>
    <s v="Q1"/>
    <n v="154"/>
    <n v="23.097402597402599"/>
    <s v="MBG"/>
    <n v="1"/>
    <n v="3557"/>
    <n v="15.138592000000001"/>
    <n v="23.097402597402599"/>
  </r>
  <r>
    <n v="68821728"/>
    <x v="2"/>
    <n v="0"/>
    <d v="2023-01-04T00:00:00"/>
    <x v="35"/>
    <x v="2"/>
    <n v="8.5199999999999998E-3"/>
    <n v="0"/>
    <s v="BR"/>
    <x v="0"/>
    <x v="2"/>
    <s v="Q1"/>
    <n v="176"/>
    <n v="0"/>
    <s v="48oz"/>
    <n v="1"/>
    <n v="0"/>
    <n v="0"/>
    <n v="0"/>
  </r>
  <r>
    <n v="68896052"/>
    <x v="2"/>
    <n v="0"/>
    <d v="2023-01-04T00:00:00"/>
    <x v="36"/>
    <x v="2"/>
    <n v="8.5199999999999998E-3"/>
    <n v="0"/>
    <s v="BR"/>
    <x v="0"/>
    <x v="2"/>
    <s v="Q1"/>
    <n v="176"/>
    <n v="0"/>
    <s v="48oz"/>
    <n v="1"/>
    <n v="0"/>
    <n v="0"/>
    <n v="0"/>
  </r>
  <r>
    <n v="68896052"/>
    <x v="2"/>
    <n v="0"/>
    <d v="2023-01-04T00:00:00"/>
    <x v="36"/>
    <x v="2"/>
    <n v="8.5199999999999998E-3"/>
    <n v="0"/>
    <s v="BR"/>
    <x v="0"/>
    <x v="2"/>
    <s v="Q1"/>
    <n v="176"/>
    <n v="0"/>
    <s v="48oz"/>
    <n v="1"/>
    <n v="0"/>
    <n v="0"/>
    <n v="0"/>
  </r>
  <r>
    <n v="69551489"/>
    <x v="3"/>
    <n v="0"/>
    <d v="2023-01-04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7443"/>
    <x v="4"/>
    <n v="2400"/>
    <d v="2023-01-04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659"/>
    <x v="2"/>
    <n v="10337"/>
    <d v="2023-01-04T00:00:00"/>
    <x v="5"/>
    <x v="5"/>
    <n v="2.1520000000000003E-3"/>
    <n v="22.245224000000004"/>
    <s v="MG"/>
    <x v="0"/>
    <x v="5"/>
    <s v="Q1"/>
    <n v="210"/>
    <n v="49.223809523809521"/>
    <s v="MG Sticks"/>
    <n v="1"/>
    <n v="10337"/>
    <n v="22.245224000000004"/>
    <n v="49.223809523809521"/>
  </r>
  <r>
    <n v="69621212"/>
    <x v="2"/>
    <n v="1392"/>
    <d v="2023-01-04T00:00:00"/>
    <x v="29"/>
    <x v="28"/>
    <n v="5.2680000000000001E-3"/>
    <n v="7.333056"/>
    <s v="PG"/>
    <x v="0"/>
    <x v="14"/>
    <s v="Q1"/>
    <n v="130"/>
    <n v="10.707692307692307"/>
    <s v="PG"/>
    <n v="1"/>
    <n v="1392"/>
    <n v="7.333056"/>
    <n v="10.707692307692307"/>
  </r>
  <r>
    <n v="69677917"/>
    <x v="3"/>
    <n v="3153"/>
    <d v="2023-01-04T00:00:00"/>
    <x v="30"/>
    <x v="29"/>
    <n v="5.2680000000000001E-3"/>
    <n v="16.610004"/>
    <s v="PS"/>
    <x v="0"/>
    <x v="3"/>
    <s v="Q1"/>
    <n v="108"/>
    <n v="29.194444444444443"/>
    <s v="PG"/>
    <n v="1"/>
    <n v="3153"/>
    <n v="16.610004"/>
    <n v="29.194444444444443"/>
  </r>
  <r>
    <n v="69677917"/>
    <x v="2"/>
    <n v="2795"/>
    <d v="2023-01-04T00:00:00"/>
    <x v="30"/>
    <x v="30"/>
    <n v="5.2680000000000001E-3"/>
    <n v="14.72406"/>
    <s v="PS"/>
    <x v="0"/>
    <x v="14"/>
    <s v="Q1"/>
    <n v="108"/>
    <n v="25.87962962962963"/>
    <s v="PG"/>
    <n v="1"/>
    <n v="2795"/>
    <n v="14.72406"/>
    <n v="25.87962962962963"/>
  </r>
  <r>
    <n v="69684522"/>
    <x v="2"/>
    <n v="0"/>
    <d v="2023-01-04T00:00:00"/>
    <x v="31"/>
    <x v="31"/>
    <n v="4.2560000000000002E-3"/>
    <n v="0"/>
    <s v="BR"/>
    <x v="0"/>
    <x v="5"/>
    <s v="Q1"/>
    <n v="143"/>
    <n v="0"/>
    <s v="MG Sticks"/>
    <n v="1"/>
    <n v="0"/>
    <n v="0"/>
    <n v="0"/>
  </r>
  <r>
    <n v="69684522"/>
    <x v="2"/>
    <n v="5086"/>
    <d v="2023-01-04T00:00:00"/>
    <x v="31"/>
    <x v="31"/>
    <n v="4.2560000000000002E-3"/>
    <n v="21.646015999999999"/>
    <s v="BR"/>
    <x v="0"/>
    <x v="5"/>
    <s v="Q1"/>
    <n v="143"/>
    <n v="35.566433566433567"/>
    <s v="MG Sticks"/>
    <n v="1"/>
    <n v="5086"/>
    <n v="21.646015999999999"/>
    <n v="35.566433566433567"/>
  </r>
  <r>
    <n v="84137701"/>
    <x v="5"/>
    <n v="6500"/>
    <d v="2023-01-04T00:00:00"/>
    <x v="37"/>
    <x v="33"/>
    <n v="1.4399999999999999E-3"/>
    <n v="9.36"/>
    <s v="BJ"/>
    <x v="0"/>
    <x v="16"/>
    <s v="Q1"/>
    <n v="510"/>
    <n v="12.745098039215685"/>
    <s v="B&amp;J Cups"/>
    <n v="1"/>
    <n v="6500"/>
    <n v="9.36"/>
    <n v="12.745098039215685"/>
  </r>
  <r>
    <n v="67465063"/>
    <x v="3"/>
    <n v="0"/>
    <d v="2023-01-05T00:00:00"/>
    <x v="3"/>
    <x v="6"/>
    <n v="5.2680000000000001E-3"/>
    <n v="0"/>
    <s v="PS"/>
    <x v="0"/>
    <x v="3"/>
    <s v="Q1"/>
    <n v="130"/>
    <n v="0"/>
    <s v="PG"/>
    <n v="1"/>
    <n v="0"/>
    <n v="0"/>
    <n v="0"/>
  </r>
  <r>
    <n v="67465063"/>
    <x v="3"/>
    <n v="0"/>
    <d v="2023-01-05T00:00:00"/>
    <x v="3"/>
    <x v="6"/>
    <n v="5.2680000000000001E-3"/>
    <n v="0"/>
    <s v="PS"/>
    <x v="0"/>
    <x v="3"/>
    <s v="Q1"/>
    <n v="130"/>
    <n v="0"/>
    <s v="PG"/>
    <n v="1"/>
    <n v="0"/>
    <n v="0"/>
    <n v="0"/>
  </r>
  <r>
    <n v="67465063"/>
    <x v="3"/>
    <n v="2860"/>
    <d v="2023-01-05T00:00:00"/>
    <x v="3"/>
    <x v="6"/>
    <n v="5.2680000000000001E-3"/>
    <n v="15.06648"/>
    <s v="PS"/>
    <x v="0"/>
    <x v="3"/>
    <s v="Q1"/>
    <n v="130"/>
    <n v="22"/>
    <s v="PG"/>
    <n v="1"/>
    <n v="2860"/>
    <n v="15.06648"/>
    <n v="22"/>
  </r>
  <r>
    <n v="67465063"/>
    <x v="3"/>
    <n v="0"/>
    <d v="2023-01-05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574"/>
    <d v="2023-01-05T00:00:00"/>
    <x v="7"/>
    <x v="3"/>
    <n v="1.596E-3"/>
    <n v="0.91610400000000003"/>
    <s v="PS"/>
    <x v="0"/>
    <x v="3"/>
    <s v="Q1"/>
    <n v="130"/>
    <n v="4.4153846153846157"/>
    <s v="PG"/>
    <n v="1"/>
    <n v="574"/>
    <n v="0.91610400000000003"/>
    <n v="4.4153846153846157"/>
  </r>
  <r>
    <n v="67466492"/>
    <x v="3"/>
    <n v="0"/>
    <d v="2023-01-05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4178"/>
    <d v="2023-01-05T00:00:00"/>
    <x v="8"/>
    <x v="7"/>
    <n v="5.2680000000000001E-3"/>
    <n v="22.009703999999999"/>
    <s v="PS"/>
    <x v="0"/>
    <x v="3"/>
    <s v="Q1"/>
    <n v="130"/>
    <n v="32.138461538461542"/>
    <s v="PG"/>
    <n v="1"/>
    <n v="4178"/>
    <n v="22.009703999999999"/>
    <n v="32.138461538461542"/>
  </r>
  <r>
    <n v="67466492"/>
    <x v="3"/>
    <n v="0"/>
    <d v="2023-01-05T00:00:00"/>
    <x v="8"/>
    <x v="8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4090"/>
    <d v="2023-01-05T00:00:00"/>
    <x v="8"/>
    <x v="8"/>
    <n v="5.2680000000000001E-3"/>
    <n v="21.546120000000002"/>
    <s v="PS"/>
    <x v="0"/>
    <x v="3"/>
    <s v="Q1"/>
    <n v="130"/>
    <n v="31.46153846153846"/>
    <s v="PG"/>
    <n v="1"/>
    <n v="4090"/>
    <n v="21.546120000000002"/>
    <n v="31.46153846153846"/>
  </r>
  <r>
    <n v="67476456"/>
    <x v="3"/>
    <n v="0"/>
    <d v="2023-01-05T00:00:00"/>
    <x v="9"/>
    <x v="9"/>
    <n v="1.536E-3"/>
    <n v="0"/>
    <s v="PS"/>
    <x v="0"/>
    <x v="3"/>
    <s v="Q1"/>
    <n v="400"/>
    <n v="0"/>
    <s v="PG"/>
    <n v="1"/>
    <n v="0"/>
    <n v="0"/>
    <n v="0"/>
  </r>
  <r>
    <n v="67476456"/>
    <x v="3"/>
    <n v="9830"/>
    <d v="2023-01-05T00:00:00"/>
    <x v="9"/>
    <x v="9"/>
    <n v="1.536E-3"/>
    <n v="15.098880000000001"/>
    <s v="PS"/>
    <x v="0"/>
    <x v="3"/>
    <s v="Q1"/>
    <n v="400"/>
    <n v="24.574999999999999"/>
    <s v="PG"/>
    <n v="1"/>
    <n v="9830"/>
    <n v="15.098880000000001"/>
    <n v="24.574999999999999"/>
  </r>
  <r>
    <n v="67476560"/>
    <x v="3"/>
    <n v="0"/>
    <d v="2023-01-05T00:00:00"/>
    <x v="10"/>
    <x v="10"/>
    <n v="5.1060000000000003E-3"/>
    <n v="0"/>
    <s v="PS"/>
    <x v="0"/>
    <x v="3"/>
    <s v="Q1"/>
    <n v="130"/>
    <n v="0"/>
    <s v="PG"/>
    <n v="1"/>
    <n v="0"/>
    <n v="0"/>
    <n v="0"/>
  </r>
  <r>
    <n v="67476560"/>
    <x v="3"/>
    <n v="1099"/>
    <d v="2023-01-05T00:00:00"/>
    <x v="10"/>
    <x v="10"/>
    <n v="5.1060000000000003E-3"/>
    <n v="5.6114940000000004"/>
    <s v="PS"/>
    <x v="0"/>
    <x v="3"/>
    <s v="Q1"/>
    <n v="130"/>
    <n v="8.453846153846154"/>
    <s v="PG"/>
    <n v="1"/>
    <n v="1099"/>
    <n v="5.6114940000000004"/>
    <n v="8.453846153846154"/>
  </r>
  <r>
    <n v="67794169"/>
    <x v="5"/>
    <n v="59512"/>
    <d v="2023-01-05T00:00:00"/>
    <x v="33"/>
    <x v="33"/>
    <n v="3.7853439999999999E-3"/>
    <n v="225.27339212799998"/>
    <s v="BJ"/>
    <x v="0"/>
    <x v="15"/>
    <s v="Q1"/>
    <n v="240"/>
    <n v="247.96666666666667"/>
    <s v="BJ PTS"/>
    <n v="1"/>
    <n v="59512"/>
    <n v="225.27339212799998"/>
    <n v="247.96666666666667"/>
  </r>
  <r>
    <n v="67885717"/>
    <x v="2"/>
    <n v="0"/>
    <d v="2023-01-05T00:00:00"/>
    <x v="38"/>
    <x v="32"/>
    <n v="8.5199999999999998E-3"/>
    <n v="0"/>
    <s v="BR"/>
    <x v="0"/>
    <x v="2"/>
    <s v="Q1"/>
    <n v="154"/>
    <n v="0"/>
    <s v="48oz"/>
    <n v="1"/>
    <n v="0"/>
    <n v="0"/>
    <n v="0"/>
  </r>
  <r>
    <n v="67885717"/>
    <x v="2"/>
    <n v="8471"/>
    <d v="2023-01-05T00:00:00"/>
    <x v="38"/>
    <x v="32"/>
    <n v="8.5199999999999998E-3"/>
    <n v="72.172920000000005"/>
    <s v="BR"/>
    <x v="0"/>
    <x v="2"/>
    <s v="Q1"/>
    <n v="154"/>
    <n v="55.006493506493506"/>
    <s v="48oz"/>
    <n v="1"/>
    <n v="8471"/>
    <n v="72.172920000000005"/>
    <n v="55.006493506493506"/>
  </r>
  <r>
    <n v="67885719"/>
    <x v="3"/>
    <n v="4065"/>
    <d v="2023-01-05T00:00:00"/>
    <x v="11"/>
    <x v="11"/>
    <n v="8.5199999999999998E-3"/>
    <n v="34.633800000000001"/>
    <s v="BR"/>
    <x v="0"/>
    <x v="6"/>
    <s v="Q1"/>
    <n v="154"/>
    <n v="26.396103896103895"/>
    <s v="48oz"/>
    <n v="1"/>
    <n v="4065"/>
    <n v="34.633800000000001"/>
    <n v="26.396103896103895"/>
  </r>
  <r>
    <n v="67885719"/>
    <x v="3"/>
    <n v="2054"/>
    <d v="2023-01-05T00:00:00"/>
    <x v="11"/>
    <x v="11"/>
    <n v="8.5199999999999998E-3"/>
    <n v="17.500080000000001"/>
    <s v="BR"/>
    <x v="0"/>
    <x v="6"/>
    <s v="Q1"/>
    <n v="154"/>
    <n v="13.337662337662337"/>
    <s v="48oz"/>
    <n v="1"/>
    <n v="2054"/>
    <n v="17.500080000000001"/>
    <n v="13.337662337662337"/>
  </r>
  <r>
    <n v="67885719"/>
    <x v="2"/>
    <n v="2710"/>
    <d v="2023-01-05T00:00:00"/>
    <x v="11"/>
    <x v="2"/>
    <n v="8.5199999999999998E-3"/>
    <n v="23.089199999999998"/>
    <s v="BR"/>
    <x v="0"/>
    <x v="2"/>
    <s v="Q1"/>
    <n v="154"/>
    <n v="17.597402597402599"/>
    <s v="48oz"/>
    <n v="1"/>
    <n v="2710"/>
    <n v="23.089199999999998"/>
    <n v="17.597402597402599"/>
  </r>
  <r>
    <n v="67885719"/>
    <x v="2"/>
    <n v="1847"/>
    <d v="2023-01-05T00:00:00"/>
    <x v="11"/>
    <x v="13"/>
    <n v="8.5199999999999998E-3"/>
    <n v="15.73644"/>
    <s v="BR"/>
    <x v="0"/>
    <x v="2"/>
    <s v="Q1"/>
    <n v="154"/>
    <n v="11.993506493506494"/>
    <s v="48oz"/>
    <n v="1"/>
    <n v="1847"/>
    <n v="15.73644"/>
    <n v="11.993506493506494"/>
  </r>
  <r>
    <n v="67885720"/>
    <x v="3"/>
    <n v="2478"/>
    <d v="2023-01-05T00:00:00"/>
    <x v="39"/>
    <x v="12"/>
    <n v="8.5199999999999998E-3"/>
    <n v="21.112559999999998"/>
    <s v="BR"/>
    <x v="0"/>
    <x v="6"/>
    <s v="Q1"/>
    <n v="154"/>
    <n v="16.09090909090909"/>
    <s v="48oz"/>
    <n v="1"/>
    <n v="2478"/>
    <n v="21.112559999999998"/>
    <n v="16.09090909090909"/>
  </r>
  <r>
    <n v="67885721"/>
    <x v="2"/>
    <n v="3234"/>
    <d v="2023-01-05T00:00:00"/>
    <x v="40"/>
    <x v="32"/>
    <n v="8.5199999999999998E-3"/>
    <n v="27.55368"/>
    <s v="BR"/>
    <x v="0"/>
    <x v="2"/>
    <s v="Q1"/>
    <n v="154"/>
    <n v="21"/>
    <s v="48oz"/>
    <n v="1"/>
    <n v="3234"/>
    <n v="27.55368"/>
    <n v="21"/>
  </r>
  <r>
    <n v="67893539"/>
    <x v="3"/>
    <n v="4796"/>
    <d v="2023-01-05T00:00:00"/>
    <x v="12"/>
    <x v="12"/>
    <n v="8.5199999999999998E-3"/>
    <n v="40.861919999999998"/>
    <s v="BR"/>
    <x v="0"/>
    <x v="6"/>
    <s v="Q1"/>
    <n v="154"/>
    <n v="31.142857142857142"/>
    <s v="48oz"/>
    <n v="1"/>
    <n v="4796"/>
    <n v="40.861919999999998"/>
    <n v="31.142857142857142"/>
  </r>
  <r>
    <n v="68356102"/>
    <x v="2"/>
    <n v="929"/>
    <d v="2023-01-05T00:00:00"/>
    <x v="13"/>
    <x v="13"/>
    <n v="8.513999999999999E-3"/>
    <n v="7.9095059999999995"/>
    <s v="BR"/>
    <x v="0"/>
    <x v="2"/>
    <s v="Q1"/>
    <n v="154"/>
    <n v="6.0324675324675328"/>
    <s v="48oz"/>
    <n v="1"/>
    <n v="929"/>
    <n v="7.9095059999999995"/>
    <n v="6.0324675324675328"/>
  </r>
  <r>
    <n v="68410352"/>
    <x v="2"/>
    <n v="4598"/>
    <d v="2023-01-05T00:00:00"/>
    <x v="14"/>
    <x v="14"/>
    <n v="1.98E-3"/>
    <n v="9.1040399999999995"/>
    <s v="MG"/>
    <x v="0"/>
    <x v="5"/>
    <s v="Q1"/>
    <n v="176"/>
    <n v="26.125"/>
    <s v="MG Sticks"/>
    <n v="1"/>
    <n v="4598"/>
    <n v="9.1040399999999995"/>
    <n v="26.125"/>
  </r>
  <r>
    <n v="68414643"/>
    <x v="6"/>
    <n v="5607"/>
    <d v="2023-01-05T00:00:00"/>
    <x v="41"/>
    <x v="0"/>
    <n v="1.419504E-3"/>
    <n v="7.9591589279999999"/>
    <s v="BJ"/>
    <x v="0"/>
    <x v="17"/>
    <s v="Q1"/>
    <n v="238"/>
    <n v="23.558823529411764"/>
    <s v="B&amp;J Dog Treat - Repack"/>
    <n v="1"/>
    <n v="5607"/>
    <n v="7.9591589279999999"/>
    <n v="23.558823529411764"/>
  </r>
  <r>
    <n v="68524845"/>
    <x v="2"/>
    <n v="10319"/>
    <d v="2023-01-05T00:00:00"/>
    <x v="15"/>
    <x v="15"/>
    <n v="3.7839999999999996E-3"/>
    <n v="39.047095999999996"/>
    <s v="BR"/>
    <x v="0"/>
    <x v="7"/>
    <s v="Q1"/>
    <n v="240"/>
    <n v="42.99583333333333"/>
    <s v="PTS"/>
    <n v="1"/>
    <n v="10319"/>
    <n v="39.047095999999996"/>
    <n v="42.99583333333333"/>
  </r>
  <r>
    <n v="68524845"/>
    <x v="2"/>
    <n v="0"/>
    <d v="2023-01-05T00:00:00"/>
    <x v="15"/>
    <x v="15"/>
    <n v="3.7839999999999996E-3"/>
    <n v="0"/>
    <s v="BR"/>
    <x v="0"/>
    <x v="7"/>
    <s v="Q1"/>
    <n v="240"/>
    <n v="0"/>
    <s v="PTS"/>
    <n v="1"/>
    <n v="0"/>
    <n v="0"/>
    <n v="0"/>
  </r>
  <r>
    <n v="68634168"/>
    <x v="3"/>
    <n v="0"/>
    <d v="2023-01-05T00:00:00"/>
    <x v="42"/>
    <x v="16"/>
    <n v="8.5170239596469108E-3"/>
    <n v="0"/>
    <s v="BR"/>
    <x v="0"/>
    <x v="6"/>
    <s v="Q1"/>
    <n v="154"/>
    <n v="0"/>
    <s v="48oz"/>
    <n v="1"/>
    <n v="0"/>
    <n v="0"/>
    <n v="0"/>
  </r>
  <r>
    <n v="68656231"/>
    <x v="3"/>
    <n v="0"/>
    <d v="2023-01-05T00:00:00"/>
    <x v="16"/>
    <x v="16"/>
    <n v="8.5199999999999998E-3"/>
    <n v="0"/>
    <s v="BR"/>
    <x v="0"/>
    <x v="6"/>
    <s v="Q1"/>
    <n v="154"/>
    <n v="0"/>
    <s v="48oz"/>
    <n v="1"/>
    <n v="0"/>
    <n v="0"/>
    <n v="0"/>
  </r>
  <r>
    <n v="68656231"/>
    <x v="3"/>
    <n v="6580"/>
    <d v="2023-01-05T00:00:00"/>
    <x v="16"/>
    <x v="16"/>
    <n v="8.5199999999999998E-3"/>
    <n v="56.061599999999999"/>
    <s v="BR"/>
    <x v="0"/>
    <x v="6"/>
    <s v="Q1"/>
    <n v="154"/>
    <n v="42.727272727272727"/>
    <s v="48oz"/>
    <n v="1"/>
    <n v="6580"/>
    <n v="56.061599999999999"/>
    <n v="42.727272727272727"/>
  </r>
  <r>
    <n v="68689251"/>
    <x v="3"/>
    <n v="3690"/>
    <d v="2023-01-05T00:00:00"/>
    <x v="17"/>
    <x v="17"/>
    <n v="9.5760000000000012E-3"/>
    <n v="35.335440000000006"/>
    <s v="KL"/>
    <x v="0"/>
    <x v="8"/>
    <s v="Q1"/>
    <n v="132"/>
    <n v="27.954545454545453"/>
    <s v="EDF"/>
    <n v="1"/>
    <n v="3690"/>
    <n v="35.335440000000006"/>
    <n v="27.954545454545453"/>
  </r>
  <r>
    <n v="68697460"/>
    <x v="2"/>
    <n v="6300"/>
    <d v="2023-01-05T00:00:00"/>
    <x v="18"/>
    <x v="18"/>
    <n v="2.8380000000000002E-3"/>
    <n v="17.8794"/>
    <s v="KL"/>
    <x v="0"/>
    <x v="9"/>
    <s v="Q1"/>
    <n v="264"/>
    <n v="23.863636363636363"/>
    <s v="ESS"/>
    <n v="1"/>
    <n v="6300"/>
    <n v="17.8794"/>
    <n v="23.863636363636363"/>
  </r>
  <r>
    <n v="68709233"/>
    <x v="3"/>
    <n v="5219"/>
    <d v="2023-01-05T00:00:00"/>
    <x v="19"/>
    <x v="19"/>
    <n v="8.4960000000000001E-3"/>
    <n v="44.340623999999998"/>
    <s v="KL"/>
    <x v="0"/>
    <x v="8"/>
    <s v="Q1"/>
    <n v="132"/>
    <n v="39.537878787878789"/>
    <s v="EDF"/>
    <n v="1"/>
    <n v="5219"/>
    <n v="44.340623999999998"/>
    <n v="39.537878787878789"/>
  </r>
  <r>
    <n v="68710277"/>
    <x v="3"/>
    <n v="5454"/>
    <d v="2023-01-05T00:00:00"/>
    <x v="20"/>
    <x v="20"/>
    <n v="8.5199999999999998E-3"/>
    <n v="46.46808"/>
    <s v="KL"/>
    <x v="0"/>
    <x v="8"/>
    <s v="Q1"/>
    <n v="132"/>
    <n v="41.31818181818182"/>
    <s v="EDF"/>
    <n v="1"/>
    <n v="5454"/>
    <n v="46.46808"/>
    <n v="41.31818181818182"/>
  </r>
  <r>
    <n v="68726715"/>
    <x v="2"/>
    <n v="0"/>
    <d v="2023-01-05T00:00:00"/>
    <x v="34"/>
    <x v="22"/>
    <n v="3.7853440000000004E-3"/>
    <n v="0"/>
    <s v="TA"/>
    <x v="0"/>
    <x v="10"/>
    <s v="Q1"/>
    <n v="255"/>
    <n v="0"/>
    <s v="TALENTI"/>
    <n v="1"/>
    <n v="0"/>
    <n v="0"/>
    <n v="0"/>
  </r>
  <r>
    <n v="68726715"/>
    <x v="2"/>
    <n v="17374"/>
    <d v="2023-01-05T00:00:00"/>
    <x v="34"/>
    <x v="22"/>
    <n v="3.7853440000000004E-3"/>
    <n v="65.766566656000009"/>
    <s v="TA"/>
    <x v="0"/>
    <x v="10"/>
    <s v="Q1"/>
    <n v="255"/>
    <n v="68.13333333333334"/>
    <s v="TALENTI"/>
    <n v="1"/>
    <n v="17374"/>
    <n v="65.766566656000009"/>
    <n v="68.13333333333334"/>
  </r>
  <r>
    <n v="68726916"/>
    <x v="2"/>
    <n v="10655"/>
    <d v="2023-01-05T00:00:00"/>
    <x v="43"/>
    <x v="21"/>
    <n v="3.7853440000000004E-3"/>
    <n v="40.332840320000003"/>
    <s v="TA"/>
    <x v="0"/>
    <x v="10"/>
    <s v="Q1"/>
    <n v="255"/>
    <n v="41.784313725490193"/>
    <s v="TALENTI"/>
    <n v="1"/>
    <n v="10655"/>
    <n v="40.332840320000003"/>
    <n v="41.784313725490193"/>
  </r>
  <r>
    <n v="68728342"/>
    <x v="2"/>
    <n v="0"/>
    <d v="2023-01-05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30234"/>
    <x v="2"/>
    <n v="9154"/>
    <d v="2023-01-05T00:00:00"/>
    <x v="21"/>
    <x v="21"/>
    <n v="3.7853440000000004E-3"/>
    <n v="34.651038976000002"/>
    <s v="TA"/>
    <x v="0"/>
    <x v="10"/>
    <s v="Q1"/>
    <n v="255"/>
    <n v="35.898039215686275"/>
    <s v="TALENTI"/>
    <n v="1"/>
    <n v="9154"/>
    <n v="34.651038976000002"/>
    <n v="35.898039215686275"/>
  </r>
  <r>
    <n v="68737749"/>
    <x v="3"/>
    <n v="13890"/>
    <d v="2023-01-05T00:00:00"/>
    <x v="23"/>
    <x v="23"/>
    <n v="8.5199999999999998E-3"/>
    <n v="118.3428"/>
    <s v="BR"/>
    <x v="0"/>
    <x v="6"/>
    <s v="Q1"/>
    <n v="176"/>
    <n v="78.920454545454547"/>
    <s v="48oz"/>
    <n v="1"/>
    <n v="13890"/>
    <n v="118.3428"/>
    <n v="78.920454545454547"/>
  </r>
  <r>
    <n v="68741714"/>
    <x v="3"/>
    <n v="6054"/>
    <d v="2023-01-05T00:00:00"/>
    <x v="24"/>
    <x v="24"/>
    <n v="2.8319999999999999E-3"/>
    <n v="17.144928"/>
    <s v="GH"/>
    <x v="0"/>
    <x v="4"/>
    <s v="Q1"/>
    <n v="225"/>
    <n v="26.906666666666666"/>
    <s v="MBG"/>
    <n v="1"/>
    <n v="6054"/>
    <n v="17.144928"/>
    <n v="26.906666666666666"/>
  </r>
  <r>
    <n v="68741742"/>
    <x v="3"/>
    <n v="3231"/>
    <d v="2023-01-05T00:00:00"/>
    <x v="25"/>
    <x v="4"/>
    <n v="4.2560000000000002E-3"/>
    <n v="13.751136000000001"/>
    <s v="GH"/>
    <x v="0"/>
    <x v="4"/>
    <s v="Q1"/>
    <n v="154"/>
    <n v="20.980519480519479"/>
    <s v="MBG"/>
    <n v="1"/>
    <n v="3231"/>
    <n v="13.751136000000001"/>
    <n v="20.980519480519479"/>
  </r>
  <r>
    <n v="68741742"/>
    <x v="2"/>
    <n v="1600"/>
    <d v="2023-01-05T00:00:00"/>
    <x v="25"/>
    <x v="25"/>
    <n v="4.2560000000000002E-3"/>
    <n v="6.8096000000000005"/>
    <s v="GH"/>
    <x v="0"/>
    <x v="11"/>
    <s v="Q1"/>
    <n v="154"/>
    <n v="10.38961038961039"/>
    <s v="MBG"/>
    <n v="1"/>
    <n v="1600"/>
    <n v="6.8096000000000005"/>
    <n v="10.38961038961039"/>
  </r>
  <r>
    <n v="68821728"/>
    <x v="2"/>
    <n v="0"/>
    <d v="2023-01-05T00:00:00"/>
    <x v="35"/>
    <x v="13"/>
    <n v="8.5199999999999998E-3"/>
    <n v="0"/>
    <s v="BR"/>
    <x v="0"/>
    <x v="2"/>
    <s v="Q1"/>
    <n v="176"/>
    <n v="0"/>
    <s v="48oz"/>
    <n v="1"/>
    <n v="0"/>
    <n v="0"/>
    <n v="0"/>
  </r>
  <r>
    <n v="68821728"/>
    <x v="2"/>
    <n v="0"/>
    <d v="2023-01-05T00:00:00"/>
    <x v="35"/>
    <x v="13"/>
    <n v="8.5199999999999998E-3"/>
    <n v="0"/>
    <s v="BR"/>
    <x v="0"/>
    <x v="2"/>
    <s v="Q1"/>
    <n v="176"/>
    <n v="0"/>
    <s v="48oz"/>
    <n v="1"/>
    <n v="0"/>
    <n v="0"/>
    <n v="0"/>
  </r>
  <r>
    <n v="68852591"/>
    <x v="2"/>
    <n v="3828"/>
    <d v="2023-01-05T00:00:00"/>
    <x v="26"/>
    <x v="26"/>
    <n v="8.5199999999999998E-3"/>
    <n v="32.614559999999997"/>
    <s v="KL"/>
    <x v="0"/>
    <x v="12"/>
    <s v="Q1"/>
    <n v="132"/>
    <n v="29"/>
    <s v="EDF"/>
    <n v="1"/>
    <n v="3828"/>
    <n v="32.614559999999997"/>
    <n v="29"/>
  </r>
  <r>
    <n v="68860008"/>
    <x v="7"/>
    <n v="8281"/>
    <d v="2023-01-05T00:00:00"/>
    <x v="45"/>
    <x v="0"/>
    <n v="3.7853439999999999E-3"/>
    <n v="31.346433663999999"/>
    <s v="BJ"/>
    <x v="0"/>
    <x v="18"/>
    <s v="Q1"/>
    <n v="240"/>
    <n v="34.50416666666667"/>
    <s v="BJ PTS"/>
    <n v="1"/>
    <n v="8281"/>
    <n v="31.346433663999999"/>
    <n v="34.50416666666667"/>
  </r>
  <r>
    <n v="68860010"/>
    <x v="7"/>
    <n v="24000"/>
    <d v="2023-01-05T00:00:00"/>
    <x v="45"/>
    <x v="0"/>
    <n v="3.7853439999999999E-3"/>
    <n v="90.848255999999992"/>
    <s v="BJ"/>
    <x v="0"/>
    <x v="18"/>
    <s v="Q1"/>
    <n v="240"/>
    <n v="100"/>
    <s v="BJ PTS"/>
    <n v="1"/>
    <n v="24000"/>
    <n v="90.848255999999992"/>
    <n v="100"/>
  </r>
  <r>
    <n v="68889812"/>
    <x v="2"/>
    <n v="4064"/>
    <d v="2023-01-05T00:00:00"/>
    <x v="27"/>
    <x v="27"/>
    <n v="3.192E-3"/>
    <n v="12.972288000000001"/>
    <s v="KL"/>
    <x v="0"/>
    <x v="9"/>
    <s v="Q1"/>
    <n v="300"/>
    <n v="13.546666666666667"/>
    <s v="ESS"/>
    <n v="1"/>
    <n v="4064"/>
    <n v="12.972288000000001"/>
    <n v="13.546666666666667"/>
  </r>
  <r>
    <n v="68896052"/>
    <x v="2"/>
    <n v="4528"/>
    <d v="2023-01-05T00:00:00"/>
    <x v="36"/>
    <x v="2"/>
    <n v="8.5199999999999998E-3"/>
    <n v="38.578559999999996"/>
    <s v="BR"/>
    <x v="0"/>
    <x v="2"/>
    <s v="Q1"/>
    <n v="176"/>
    <n v="25.727272727272727"/>
    <s v="48oz"/>
    <n v="1"/>
    <n v="4528"/>
    <n v="38.578559999999996"/>
    <n v="25.727272727272727"/>
  </r>
  <r>
    <n v="68896057"/>
    <x v="2"/>
    <n v="0"/>
    <d v="2023-01-05T00:00:00"/>
    <x v="46"/>
    <x v="13"/>
    <n v="8.5199999999999998E-3"/>
    <n v="0"/>
    <s v="BR"/>
    <x v="0"/>
    <x v="2"/>
    <s v="Q1"/>
    <n v="176"/>
    <n v="0"/>
    <s v="48oz"/>
    <n v="1"/>
    <n v="0"/>
    <n v="0"/>
    <n v="0"/>
  </r>
  <r>
    <n v="69551489"/>
    <x v="3"/>
    <n v="0"/>
    <d v="2023-01-05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4202"/>
    <x v="2"/>
    <n v="0"/>
    <d v="2023-01-05T00:00:00"/>
    <x v="47"/>
    <x v="15"/>
    <n v="3.5999999999999999E-3"/>
    <n v="0"/>
    <s v="BJ"/>
    <x v="0"/>
    <x v="19"/>
    <s v="Q1"/>
    <n v="240"/>
    <n v="0"/>
    <s v="TOPPED"/>
    <n v="1"/>
    <n v="0"/>
    <n v="0"/>
    <n v="0"/>
  </r>
  <r>
    <n v="69557443"/>
    <x v="4"/>
    <n v="2400"/>
    <d v="2023-01-05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659"/>
    <x v="2"/>
    <n v="2051"/>
    <d v="2023-01-05T00:00:00"/>
    <x v="5"/>
    <x v="5"/>
    <n v="2.1520000000000003E-3"/>
    <n v="4.4137520000000006"/>
    <s v="MG"/>
    <x v="0"/>
    <x v="5"/>
    <s v="Q1"/>
    <n v="210"/>
    <n v="9.7666666666666675"/>
    <s v="MG Sticks"/>
    <n v="1"/>
    <n v="2051"/>
    <n v="4.4137520000000006"/>
    <n v="9.7666666666666675"/>
  </r>
  <r>
    <n v="69621212"/>
    <x v="2"/>
    <n v="3831"/>
    <d v="2023-01-05T00:00:00"/>
    <x v="29"/>
    <x v="28"/>
    <n v="5.2680000000000001E-3"/>
    <n v="20.181708"/>
    <s v="PG"/>
    <x v="0"/>
    <x v="14"/>
    <s v="Q1"/>
    <n v="130"/>
    <n v="29.469230769230769"/>
    <s v="PG"/>
    <n v="1"/>
    <n v="3831"/>
    <n v="20.181708"/>
    <n v="29.469230769230769"/>
  </r>
  <r>
    <n v="69677917"/>
    <x v="3"/>
    <n v="0"/>
    <d v="2023-01-05T00:00:00"/>
    <x v="30"/>
    <x v="29"/>
    <n v="5.2680000000000001E-3"/>
    <n v="0"/>
    <s v="PS"/>
    <x v="0"/>
    <x v="3"/>
    <s v="Q1"/>
    <n v="108"/>
    <n v="0"/>
    <s v="PG"/>
    <n v="1"/>
    <n v="0"/>
    <n v="0"/>
    <n v="0"/>
  </r>
  <r>
    <n v="69677917"/>
    <x v="3"/>
    <n v="4274"/>
    <d v="2023-01-05T00:00:00"/>
    <x v="30"/>
    <x v="29"/>
    <n v="5.2680000000000001E-3"/>
    <n v="22.515432000000001"/>
    <s v="PS"/>
    <x v="0"/>
    <x v="3"/>
    <s v="Q1"/>
    <n v="108"/>
    <n v="39.574074074074076"/>
    <s v="PG"/>
    <n v="1"/>
    <n v="4274"/>
    <n v="22.515432000000001"/>
    <n v="39.574074074074076"/>
  </r>
  <r>
    <n v="69677917"/>
    <x v="2"/>
    <n v="899"/>
    <d v="2023-01-05T00:00:00"/>
    <x v="30"/>
    <x v="30"/>
    <n v="5.2680000000000001E-3"/>
    <n v="4.735932"/>
    <s v="PS"/>
    <x v="0"/>
    <x v="14"/>
    <s v="Q1"/>
    <n v="108"/>
    <n v="8.3240740740740744"/>
    <s v="PG"/>
    <n v="1"/>
    <n v="899"/>
    <n v="4.735932"/>
    <n v="8.3240740740740744"/>
  </r>
  <r>
    <n v="69684522"/>
    <x v="2"/>
    <n v="7766"/>
    <d v="2023-01-05T00:00:00"/>
    <x v="31"/>
    <x v="31"/>
    <n v="4.2560000000000002E-3"/>
    <n v="33.052095999999999"/>
    <s v="BR"/>
    <x v="0"/>
    <x v="5"/>
    <s v="Q1"/>
    <n v="143"/>
    <n v="54.307692307692307"/>
    <s v="MG Sticks"/>
    <n v="1"/>
    <n v="7766"/>
    <n v="33.052095999999999"/>
    <n v="54.307692307692307"/>
  </r>
  <r>
    <n v="67309841"/>
    <x v="2"/>
    <n v="0"/>
    <d v="2023-01-06T00:00:00"/>
    <x v="32"/>
    <x v="32"/>
    <n v="8.5199999999999998E-3"/>
    <n v="0"/>
    <s v="BR"/>
    <x v="0"/>
    <x v="2"/>
    <s v="Q1"/>
    <n v="154"/>
    <n v="0"/>
    <s v="48oz"/>
    <n v="1"/>
    <n v="0"/>
    <n v="0"/>
    <n v="0"/>
  </r>
  <r>
    <n v="67465063"/>
    <x v="3"/>
    <n v="1748"/>
    <d v="2023-01-06T00:00:00"/>
    <x v="3"/>
    <x v="6"/>
    <n v="5.2680000000000001E-3"/>
    <n v="9.2084639999999993"/>
    <s v="PS"/>
    <x v="0"/>
    <x v="3"/>
    <s v="Q1"/>
    <n v="130"/>
    <n v="13.446153846153846"/>
    <s v="PG"/>
    <n v="1"/>
    <n v="1748"/>
    <n v="9.2084639999999993"/>
    <n v="13.446153846153846"/>
  </r>
  <r>
    <n v="67465063"/>
    <x v="3"/>
    <n v="0"/>
    <d v="2023-01-06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1248"/>
    <d v="2023-01-06T00:00:00"/>
    <x v="7"/>
    <x v="3"/>
    <n v="1.596E-3"/>
    <n v="1.991808"/>
    <s v="PS"/>
    <x v="0"/>
    <x v="3"/>
    <s v="Q1"/>
    <n v="130"/>
    <n v="9.6"/>
    <s v="PG"/>
    <n v="1"/>
    <n v="1248"/>
    <n v="1.991808"/>
    <n v="9.6"/>
  </r>
  <r>
    <n v="67466492"/>
    <x v="3"/>
    <n v="2198"/>
    <d v="2023-01-06T00:00:00"/>
    <x v="8"/>
    <x v="7"/>
    <n v="5.2680000000000001E-3"/>
    <n v="11.579064000000001"/>
    <s v="PS"/>
    <x v="0"/>
    <x v="3"/>
    <s v="Q1"/>
    <n v="130"/>
    <n v="16.907692307692308"/>
    <s v="PG"/>
    <n v="1"/>
    <n v="2198"/>
    <n v="11.579064000000001"/>
    <n v="16.907692307692308"/>
  </r>
  <r>
    <n v="67466492"/>
    <x v="3"/>
    <n v="3160"/>
    <d v="2023-01-06T00:00:00"/>
    <x v="8"/>
    <x v="8"/>
    <n v="5.2680000000000001E-3"/>
    <n v="16.646879999999999"/>
    <s v="PS"/>
    <x v="0"/>
    <x v="3"/>
    <s v="Q1"/>
    <n v="130"/>
    <n v="24.307692307692307"/>
    <s v="PG"/>
    <n v="1"/>
    <n v="3160"/>
    <n v="16.646879999999999"/>
    <n v="24.307692307692307"/>
  </r>
  <r>
    <n v="67476456"/>
    <x v="3"/>
    <n v="7852"/>
    <d v="2023-01-06T00:00:00"/>
    <x v="9"/>
    <x v="9"/>
    <n v="1.536E-3"/>
    <n v="12.060672"/>
    <s v="PS"/>
    <x v="0"/>
    <x v="3"/>
    <s v="Q1"/>
    <n v="400"/>
    <n v="19.63"/>
    <s v="PG"/>
    <n v="1"/>
    <n v="7852"/>
    <n v="12.060672"/>
    <n v="19.63"/>
  </r>
  <r>
    <n v="67476560"/>
    <x v="3"/>
    <n v="2860"/>
    <d v="2023-01-06T00:00:00"/>
    <x v="10"/>
    <x v="10"/>
    <n v="5.1060000000000003E-3"/>
    <n v="14.603160000000001"/>
    <s v="PS"/>
    <x v="0"/>
    <x v="3"/>
    <s v="Q1"/>
    <n v="130"/>
    <n v="22"/>
    <s v="PG"/>
    <n v="1"/>
    <n v="2860"/>
    <n v="14.603160000000001"/>
    <n v="22"/>
  </r>
  <r>
    <n v="67885718"/>
    <x v="2"/>
    <n v="0"/>
    <d v="2023-01-06T00:00:00"/>
    <x v="48"/>
    <x v="2"/>
    <n v="8.5199999999999998E-3"/>
    <n v="0"/>
    <s v="BR"/>
    <x v="0"/>
    <x v="2"/>
    <s v="Q1"/>
    <n v="154"/>
    <n v="0"/>
    <s v="48oz"/>
    <n v="1"/>
    <n v="0"/>
    <n v="0"/>
    <n v="0"/>
  </r>
  <r>
    <n v="67885718"/>
    <x v="2"/>
    <n v="0"/>
    <d v="2023-01-06T00:00:00"/>
    <x v="48"/>
    <x v="2"/>
    <n v="8.5199999999999998E-3"/>
    <n v="0"/>
    <s v="BR"/>
    <x v="0"/>
    <x v="2"/>
    <s v="Q1"/>
    <n v="154"/>
    <n v="0"/>
    <s v="48oz"/>
    <n v="1"/>
    <n v="0"/>
    <n v="0"/>
    <n v="0"/>
  </r>
  <r>
    <n v="67885719"/>
    <x v="3"/>
    <n v="8717"/>
    <d v="2023-01-06T00:00:00"/>
    <x v="11"/>
    <x v="11"/>
    <n v="8.5199999999999998E-3"/>
    <n v="74.268839999999997"/>
    <s v="BR"/>
    <x v="0"/>
    <x v="6"/>
    <s v="Q1"/>
    <n v="154"/>
    <n v="56.603896103896105"/>
    <s v="48oz"/>
    <n v="1"/>
    <n v="8717"/>
    <n v="74.268839999999997"/>
    <n v="56.603896103896105"/>
  </r>
  <r>
    <n v="67885719"/>
    <x v="2"/>
    <n v="0"/>
    <d v="2023-01-06T00:00:00"/>
    <x v="11"/>
    <x v="13"/>
    <n v="8.5199999999999998E-3"/>
    <n v="0"/>
    <s v="BR"/>
    <x v="0"/>
    <x v="2"/>
    <s v="Q1"/>
    <n v="154"/>
    <n v="0"/>
    <s v="48oz"/>
    <n v="1"/>
    <n v="0"/>
    <n v="0"/>
    <n v="0"/>
  </r>
  <r>
    <n v="67885720"/>
    <x v="3"/>
    <n v="3476"/>
    <d v="2023-01-06T00:00:00"/>
    <x v="39"/>
    <x v="12"/>
    <n v="8.5199999999999998E-3"/>
    <n v="29.61552"/>
    <s v="BR"/>
    <x v="0"/>
    <x v="6"/>
    <s v="Q1"/>
    <n v="154"/>
    <n v="22.571428571428573"/>
    <s v="48oz"/>
    <n v="1"/>
    <n v="3476"/>
    <n v="29.61552"/>
    <n v="22.571428571428573"/>
  </r>
  <r>
    <n v="67885724"/>
    <x v="3"/>
    <n v="6223"/>
    <d v="2023-01-06T00:00:00"/>
    <x v="49"/>
    <x v="12"/>
    <n v="8.5199999999999998E-3"/>
    <n v="53.019959999999998"/>
    <s v="BR"/>
    <x v="0"/>
    <x v="6"/>
    <s v="Q1"/>
    <n v="154"/>
    <n v="40.409090909090907"/>
    <s v="48oz"/>
    <n v="1"/>
    <n v="6223"/>
    <n v="53.019959999999998"/>
    <n v="40.409090909090907"/>
  </r>
  <r>
    <n v="67901583"/>
    <x v="3"/>
    <n v="0"/>
    <d v="2023-01-06T00:00:00"/>
    <x v="50"/>
    <x v="11"/>
    <n v="8.5199999999999998E-3"/>
    <n v="0"/>
    <s v="BR"/>
    <x v="0"/>
    <x v="6"/>
    <s v="Q1"/>
    <n v="154"/>
    <n v="0"/>
    <s v="48oz"/>
    <n v="1"/>
    <n v="0"/>
    <n v="0"/>
    <n v="0"/>
  </r>
  <r>
    <n v="67901584"/>
    <x v="3"/>
    <n v="3854"/>
    <d v="2023-01-06T00:00:00"/>
    <x v="51"/>
    <x v="11"/>
    <n v="8.5199999999999998E-3"/>
    <n v="32.836080000000003"/>
    <s v="BR"/>
    <x v="0"/>
    <x v="6"/>
    <s v="Q1"/>
    <n v="154"/>
    <n v="25.025974025974026"/>
    <s v="48oz"/>
    <n v="1"/>
    <n v="3854"/>
    <n v="32.836080000000003"/>
    <n v="25.025974025974026"/>
  </r>
  <r>
    <n v="68115479"/>
    <x v="6"/>
    <n v="1049"/>
    <d v="2023-01-06T00:00:00"/>
    <x v="52"/>
    <x v="0"/>
    <n v="5.7599999999999995E-3"/>
    <n v="6.0422399999999996"/>
    <s v="MG "/>
    <x v="0"/>
    <x v="20"/>
    <s v="Q1"/>
    <n v="30"/>
    <n v="34.966666666666669"/>
    <s v="Repack MG Sticks"/>
    <n v="1"/>
    <n v="1049"/>
    <n v="6.0422399999999996"/>
    <n v="34.966666666666669"/>
  </r>
  <r>
    <n v="68354589"/>
    <x v="2"/>
    <n v="0"/>
    <d v="2023-01-06T00:00:00"/>
    <x v="53"/>
    <x v="15"/>
    <n v="3.5999999999999999E-3"/>
    <n v="0"/>
    <s v="BJ"/>
    <x v="0"/>
    <x v="19"/>
    <s v="Q1"/>
    <n v="240"/>
    <n v="0"/>
    <s v="TOPPED"/>
    <n v="1"/>
    <n v="0"/>
    <n v="0"/>
    <n v="0"/>
  </r>
  <r>
    <n v="68354589"/>
    <x v="2"/>
    <n v="0"/>
    <d v="2023-01-06T00:00:00"/>
    <x v="53"/>
    <x v="15"/>
    <n v="3.5999999999999999E-3"/>
    <n v="0"/>
    <s v="BJ"/>
    <x v="0"/>
    <x v="19"/>
    <s v="Q1"/>
    <n v="240"/>
    <n v="0"/>
    <s v="TOPPED"/>
    <n v="1"/>
    <n v="0"/>
    <n v="0"/>
    <n v="0"/>
  </r>
  <r>
    <n v="68356102"/>
    <x v="2"/>
    <n v="0"/>
    <d v="2023-01-06T00:00:00"/>
    <x v="13"/>
    <x v="13"/>
    <n v="8.513999999999999E-3"/>
    <n v="0"/>
    <s v="BR"/>
    <x v="0"/>
    <x v="2"/>
    <s v="Q1"/>
    <n v="154"/>
    <n v="0"/>
    <s v="48oz"/>
    <n v="1"/>
    <n v="0"/>
    <n v="0"/>
    <n v="0"/>
  </r>
  <r>
    <n v="68654238"/>
    <x v="5"/>
    <n v="20496"/>
    <d v="2023-01-06T00:00:00"/>
    <x v="54"/>
    <x v="33"/>
    <n v="3.7839999999999996E-3"/>
    <n v="77.55686399999999"/>
    <s v="BJ"/>
    <x v="0"/>
    <x v="15"/>
    <s v="Q1"/>
    <n v="240"/>
    <n v="85.4"/>
    <s v="BJ PTS"/>
    <n v="1"/>
    <n v="20496"/>
    <n v="77.55686399999999"/>
    <n v="85.4"/>
  </r>
  <r>
    <n v="68656231"/>
    <x v="3"/>
    <n v="12496"/>
    <d v="2023-01-06T00:00:00"/>
    <x v="16"/>
    <x v="16"/>
    <n v="8.5199999999999998E-3"/>
    <n v="106.46592"/>
    <s v="BR"/>
    <x v="0"/>
    <x v="6"/>
    <s v="Q1"/>
    <n v="154"/>
    <n v="81.142857142857139"/>
    <s v="48oz"/>
    <n v="1"/>
    <n v="12496"/>
    <n v="106.46592"/>
    <n v="81.142857142857139"/>
  </r>
  <r>
    <n v="68689251"/>
    <x v="3"/>
    <n v="4512"/>
    <d v="2023-01-06T00:00:00"/>
    <x v="17"/>
    <x v="17"/>
    <n v="9.5760000000000012E-3"/>
    <n v="43.206912000000003"/>
    <s v="KL"/>
    <x v="0"/>
    <x v="8"/>
    <s v="Q1"/>
    <n v="132"/>
    <n v="34.18181818181818"/>
    <s v="EDF"/>
    <n v="1"/>
    <n v="4512"/>
    <n v="43.206912000000003"/>
    <n v="34.18181818181818"/>
  </r>
  <r>
    <n v="68709233"/>
    <x v="3"/>
    <n v="5131"/>
    <d v="2023-01-06T00:00:00"/>
    <x v="19"/>
    <x v="19"/>
    <n v="8.4960000000000001E-3"/>
    <n v="43.592976"/>
    <s v="KL"/>
    <x v="0"/>
    <x v="8"/>
    <s v="Q1"/>
    <n v="132"/>
    <n v="38.871212121212125"/>
    <s v="EDF"/>
    <n v="1"/>
    <n v="5131"/>
    <n v="43.592976"/>
    <n v="38.871212121212125"/>
  </r>
  <r>
    <n v="68710277"/>
    <x v="3"/>
    <n v="4108"/>
    <d v="2023-01-06T00:00:00"/>
    <x v="20"/>
    <x v="20"/>
    <n v="8.5199999999999998E-3"/>
    <n v="35.000160000000001"/>
    <s v="KL"/>
    <x v="0"/>
    <x v="8"/>
    <s v="Q1"/>
    <n v="132"/>
    <n v="31.121212121212121"/>
    <s v="EDF"/>
    <n v="1"/>
    <n v="4108"/>
    <n v="35.000160000000001"/>
    <n v="31.121212121212121"/>
  </r>
  <r>
    <n v="68726715"/>
    <x v="2"/>
    <n v="0"/>
    <d v="2023-01-06T00:00:00"/>
    <x v="34"/>
    <x v="22"/>
    <n v="3.7853440000000004E-3"/>
    <n v="0"/>
    <s v="TA"/>
    <x v="0"/>
    <x v="10"/>
    <s v="Q1"/>
    <n v="255"/>
    <n v="0"/>
    <s v="TALENTI"/>
    <n v="1"/>
    <n v="0"/>
    <n v="0"/>
    <n v="0"/>
  </r>
  <r>
    <n v="68726715"/>
    <x v="2"/>
    <n v="255"/>
    <d v="2023-01-06T00:00:00"/>
    <x v="34"/>
    <x v="22"/>
    <n v="3.7853440000000004E-3"/>
    <n v="0.96526272000000013"/>
    <s v="TA"/>
    <x v="0"/>
    <x v="10"/>
    <s v="Q1"/>
    <n v="255"/>
    <n v="1"/>
    <s v="TALENTI"/>
    <n v="1"/>
    <n v="255"/>
    <n v="0.96526272000000013"/>
    <n v="1"/>
  </r>
  <r>
    <n v="68726715"/>
    <x v="2"/>
    <n v="0"/>
    <d v="2023-01-06T00:00:00"/>
    <x v="34"/>
    <x v="22"/>
    <n v="3.7853440000000004E-3"/>
    <n v="0"/>
    <s v="TA"/>
    <x v="0"/>
    <x v="10"/>
    <s v="Q1"/>
    <n v="255"/>
    <n v="0"/>
    <s v="TALENTI"/>
    <n v="1"/>
    <n v="0"/>
    <n v="0"/>
    <n v="0"/>
  </r>
  <r>
    <n v="68728342"/>
    <x v="2"/>
    <n v="0"/>
    <d v="2023-01-06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29136"/>
    <x v="8"/>
    <n v="3400"/>
    <d v="2023-01-06T00:00:00"/>
    <x v="55"/>
    <x v="0"/>
    <n v="2.7000000000000001E-3"/>
    <n v="9.18"/>
    <s v="MG"/>
    <x v="0"/>
    <x v="21"/>
    <s v="Q1"/>
    <n v="170"/>
    <n v="20"/>
    <s v="MG Sticks ND"/>
    <n v="1"/>
    <n v="3400"/>
    <n v="9.18"/>
    <n v="20"/>
  </r>
  <r>
    <n v="68730252"/>
    <x v="2"/>
    <n v="0"/>
    <d v="2023-01-06T00:00:00"/>
    <x v="22"/>
    <x v="22"/>
    <n v="3.7853440000000004E-3"/>
    <n v="0"/>
    <s v="TA"/>
    <x v="0"/>
    <x v="10"/>
    <s v="Q1"/>
    <n v="255"/>
    <n v="0"/>
    <s v="TALENTI"/>
    <n v="1"/>
    <n v="0"/>
    <n v="0"/>
    <n v="0"/>
  </r>
  <r>
    <n v="68737749"/>
    <x v="3"/>
    <n v="8624"/>
    <d v="2023-01-06T00:00:00"/>
    <x v="23"/>
    <x v="23"/>
    <n v="8.5199999999999998E-3"/>
    <n v="73.476479999999995"/>
    <s v="BR"/>
    <x v="0"/>
    <x v="6"/>
    <s v="Q1"/>
    <n v="176"/>
    <n v="49"/>
    <s v="48oz"/>
    <n v="1"/>
    <n v="8624"/>
    <n v="73.476479999999995"/>
    <n v="49"/>
  </r>
  <r>
    <n v="68741714"/>
    <x v="3"/>
    <n v="6959"/>
    <d v="2023-01-06T00:00:00"/>
    <x v="24"/>
    <x v="24"/>
    <n v="2.8319999999999999E-3"/>
    <n v="19.707888000000001"/>
    <s v="GH"/>
    <x v="0"/>
    <x v="4"/>
    <s v="Q1"/>
    <n v="225"/>
    <n v="30.928888888888888"/>
    <s v="MBG"/>
    <n v="1"/>
    <n v="6959"/>
    <n v="19.707888000000001"/>
    <n v="30.928888888888888"/>
  </r>
  <r>
    <n v="68741742"/>
    <x v="3"/>
    <n v="3982"/>
    <d v="2023-01-06T00:00:00"/>
    <x v="25"/>
    <x v="4"/>
    <n v="4.2560000000000002E-3"/>
    <n v="16.947392000000001"/>
    <s v="GH"/>
    <x v="0"/>
    <x v="4"/>
    <s v="Q1"/>
    <n v="154"/>
    <n v="25.857142857142858"/>
    <s v="MBG"/>
    <n v="1"/>
    <n v="3982"/>
    <n v="16.947392000000001"/>
    <n v="25.857142857142858"/>
  </r>
  <r>
    <n v="68860008"/>
    <x v="7"/>
    <n v="4800"/>
    <d v="2023-01-06T00:00:00"/>
    <x v="45"/>
    <x v="0"/>
    <n v="3.7853439999999999E-3"/>
    <n v="18.169651200000001"/>
    <s v="BJ"/>
    <x v="0"/>
    <x v="18"/>
    <s v="Q1"/>
    <n v="240"/>
    <n v="20"/>
    <s v="BJ PTS"/>
    <n v="1"/>
    <n v="4800"/>
    <n v="18.169651200000001"/>
    <n v="20"/>
  </r>
  <r>
    <n v="68860010"/>
    <x v="7"/>
    <n v="38400"/>
    <d v="2023-01-06T00:00:00"/>
    <x v="45"/>
    <x v="0"/>
    <n v="3.7853439999999999E-3"/>
    <n v="145.3572096"/>
    <s v="BJ"/>
    <x v="0"/>
    <x v="18"/>
    <s v="Q1"/>
    <n v="240"/>
    <n v="160"/>
    <s v="BJ PTS"/>
    <n v="1"/>
    <n v="38400"/>
    <n v="145.3572096"/>
    <n v="160"/>
  </r>
  <r>
    <n v="68484625"/>
    <x v="1"/>
    <n v="806"/>
    <d v="2023-04-01T00:00:00"/>
    <x v="56"/>
    <x v="1"/>
    <n v="2.16E-3"/>
    <n v="1.7409600000000001"/>
    <s v="MG"/>
    <x v="1"/>
    <x v="22"/>
    <s v="Q2"/>
    <n v="160"/>
    <n v="5.0374999999999996"/>
    <s v="MG Sticks"/>
    <n v="1"/>
    <n v="806"/>
    <n v="1.7409600000000001"/>
    <n v="5.0374999999999996"/>
  </r>
  <r>
    <n v="68871168"/>
    <x v="1"/>
    <n v="2931"/>
    <d v="2023-01-06T00:00:00"/>
    <x v="57"/>
    <x v="0"/>
    <n v="6.0035555555555554E-3"/>
    <n v="17.596421333333332"/>
    <s v="KL"/>
    <x v="0"/>
    <x v="1"/>
    <s v="Q1"/>
    <n v="108"/>
    <n v="27.138888888888889"/>
    <s v="KL Sandwiches"/>
    <n v="1"/>
    <n v="2931"/>
    <n v="17.596421333333332"/>
    <n v="27.138888888888889"/>
  </r>
  <r>
    <n v="68896052"/>
    <x v="2"/>
    <n v="0"/>
    <d v="2023-01-06T00:00:00"/>
    <x v="36"/>
    <x v="2"/>
    <n v="8.5199999999999998E-3"/>
    <n v="0"/>
    <s v="BR"/>
    <x v="0"/>
    <x v="2"/>
    <s v="Q1"/>
    <n v="176"/>
    <n v="0"/>
    <s v="48oz"/>
    <n v="1"/>
    <n v="0"/>
    <n v="0"/>
    <n v="0"/>
  </r>
  <r>
    <n v="68896057"/>
    <x v="2"/>
    <n v="0"/>
    <d v="2023-01-06T00:00:00"/>
    <x v="46"/>
    <x v="13"/>
    <n v="8.5199999999999998E-3"/>
    <n v="0"/>
    <s v="BR"/>
    <x v="0"/>
    <x v="2"/>
    <s v="Q1"/>
    <n v="176"/>
    <n v="0"/>
    <s v="48oz"/>
    <n v="1"/>
    <n v="0"/>
    <n v="0"/>
    <n v="0"/>
  </r>
  <r>
    <n v="69551489"/>
    <x v="3"/>
    <n v="0"/>
    <d v="2023-01-06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72659"/>
    <x v="2"/>
    <n v="0"/>
    <d v="2023-01-06T00:00:00"/>
    <x v="5"/>
    <x v="5"/>
    <n v="2.1520000000000003E-3"/>
    <n v="0"/>
    <s v="MG"/>
    <x v="0"/>
    <x v="5"/>
    <s v="Q1"/>
    <n v="210"/>
    <n v="0"/>
    <s v="MG Sticks"/>
    <n v="1"/>
    <n v="0"/>
    <n v="0"/>
    <n v="0"/>
  </r>
  <r>
    <n v="69586716"/>
    <x v="2"/>
    <n v="0"/>
    <d v="2023-01-06T00:00:00"/>
    <x v="6"/>
    <x v="5"/>
    <n v="2.0400000000000001E-3"/>
    <n v="0"/>
    <s v="MG"/>
    <x v="0"/>
    <x v="5"/>
    <s v="Q1"/>
    <n v="210"/>
    <n v="0"/>
    <s v="MG Sticks"/>
    <n v="1"/>
    <n v="0"/>
    <n v="0"/>
    <n v="0"/>
  </r>
  <r>
    <n v="69586716"/>
    <x v="2"/>
    <n v="0"/>
    <d v="2023-01-06T00:00:00"/>
    <x v="6"/>
    <x v="5"/>
    <n v="2.0400000000000001E-3"/>
    <n v="0"/>
    <s v="MG"/>
    <x v="0"/>
    <x v="5"/>
    <s v="Q1"/>
    <n v="210"/>
    <n v="0"/>
    <s v="MG Sticks"/>
    <n v="1"/>
    <n v="0"/>
    <n v="0"/>
    <n v="0"/>
  </r>
  <r>
    <n v="69677917"/>
    <x v="3"/>
    <n v="1620"/>
    <d v="2023-01-06T00:00:00"/>
    <x v="30"/>
    <x v="29"/>
    <n v="5.2680000000000001E-3"/>
    <n v="8.53416"/>
    <s v="PS"/>
    <x v="0"/>
    <x v="3"/>
    <s v="Q1"/>
    <n v="108"/>
    <n v="15"/>
    <s v="PG"/>
    <n v="1"/>
    <n v="1620"/>
    <n v="8.53416"/>
    <n v="15"/>
  </r>
  <r>
    <n v="69677917"/>
    <x v="2"/>
    <n v="0"/>
    <d v="2023-01-06T00:00:00"/>
    <x v="30"/>
    <x v="30"/>
    <n v="5.2680000000000001E-3"/>
    <n v="0"/>
    <s v="PS"/>
    <x v="0"/>
    <x v="14"/>
    <s v="Q1"/>
    <n v="108"/>
    <n v="0"/>
    <s v="PG"/>
    <n v="1"/>
    <n v="0"/>
    <n v="0"/>
    <n v="0"/>
  </r>
  <r>
    <n v="69713191"/>
    <x v="9"/>
    <n v="0.22900000000000001"/>
    <d v="2023-01-06T00:00:00"/>
    <x v="58"/>
    <x v="0"/>
    <n v="1.419504E-3"/>
    <n v="3.2506641600000001E-4"/>
    <s v="BJ"/>
    <x v="0"/>
    <x v="23"/>
    <s v="Q1"/>
    <n v="272"/>
    <n v="8.4191176470588237E-4"/>
    <s v="Dough Bites"/>
    <n v="1"/>
    <n v="0.22900000000000001"/>
    <n v="3.2506641600000001E-4"/>
    <n v="8.4191176470588237E-4"/>
  </r>
  <r>
    <n v="84162829"/>
    <x v="5"/>
    <n v="6615"/>
    <d v="2023-01-06T00:00:00"/>
    <x v="59"/>
    <x v="34"/>
    <n v="3.6640000000000002E-3"/>
    <n v="24.237360000000002"/>
    <s v="BJ"/>
    <x v="0"/>
    <x v="24"/>
    <s v="Q1"/>
    <n v="240"/>
    <n v="27.5625"/>
    <s v="PTS Exports"/>
    <n v="1"/>
    <n v="6615"/>
    <n v="24.237360000000002"/>
    <n v="27.5625"/>
  </r>
  <r>
    <n v="67465063"/>
    <x v="3"/>
    <n v="1514"/>
    <d v="2023-01-07T00:00:00"/>
    <x v="3"/>
    <x v="6"/>
    <n v="5.2680000000000001E-3"/>
    <n v="7.975752"/>
    <s v="PS"/>
    <x v="0"/>
    <x v="3"/>
    <s v="Q1"/>
    <n v="130"/>
    <n v="11.646153846153846"/>
    <s v="PG"/>
    <n v="1"/>
    <n v="1514"/>
    <n v="7.975752"/>
    <n v="11.646153846153846"/>
  </r>
  <r>
    <n v="67465063"/>
    <x v="3"/>
    <n v="0"/>
    <d v="2023-01-07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07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4753"/>
    <d v="2023-01-07T00:00:00"/>
    <x v="8"/>
    <x v="8"/>
    <n v="5.2680000000000001E-3"/>
    <n v="25.038803999999999"/>
    <s v="PS"/>
    <x v="0"/>
    <x v="3"/>
    <s v="Q1"/>
    <n v="130"/>
    <n v="36.561538461538461"/>
    <s v="PG"/>
    <n v="1"/>
    <n v="4753"/>
    <n v="25.038803999999999"/>
    <n v="36.561538461538461"/>
  </r>
  <r>
    <n v="67476560"/>
    <x v="3"/>
    <n v="2191"/>
    <d v="2023-01-07T00:00:00"/>
    <x v="10"/>
    <x v="10"/>
    <n v="5.1060000000000003E-3"/>
    <n v="11.187246"/>
    <s v="PS"/>
    <x v="0"/>
    <x v="3"/>
    <s v="Q1"/>
    <n v="130"/>
    <n v="16.853846153846153"/>
    <s v="PG"/>
    <n v="1"/>
    <n v="2191"/>
    <n v="11.187246"/>
    <n v="16.853846153846153"/>
  </r>
  <r>
    <n v="67885718"/>
    <x v="2"/>
    <n v="13057"/>
    <d v="2023-01-07T00:00:00"/>
    <x v="48"/>
    <x v="2"/>
    <n v="8.5199999999999998E-3"/>
    <n v="111.24563999999999"/>
    <s v="BR"/>
    <x v="0"/>
    <x v="2"/>
    <s v="Q1"/>
    <n v="154"/>
    <n v="84.785714285714292"/>
    <s v="48oz"/>
    <n v="1"/>
    <n v="13057"/>
    <n v="111.24563999999999"/>
    <n v="84.785714285714292"/>
  </r>
  <r>
    <n v="67885721"/>
    <x v="2"/>
    <n v="13688"/>
    <d v="2023-01-07T00:00:00"/>
    <x v="40"/>
    <x v="32"/>
    <n v="8.5199999999999998E-3"/>
    <n v="116.62175999999999"/>
    <s v="BR"/>
    <x v="0"/>
    <x v="2"/>
    <s v="Q1"/>
    <n v="154"/>
    <n v="88.883116883116884"/>
    <s v="48oz"/>
    <n v="1"/>
    <n v="13688"/>
    <n v="116.62175999999999"/>
    <n v="88.883116883116884"/>
  </r>
  <r>
    <n v="67885724"/>
    <x v="3"/>
    <n v="13145"/>
    <d v="2023-01-07T00:00:00"/>
    <x v="49"/>
    <x v="12"/>
    <n v="8.5199999999999998E-3"/>
    <n v="111.9954"/>
    <s v="BR"/>
    <x v="0"/>
    <x v="6"/>
    <s v="Q1"/>
    <n v="154"/>
    <n v="85.357142857142861"/>
    <s v="48oz"/>
    <n v="1"/>
    <n v="13145"/>
    <n v="111.9954"/>
    <n v="85.357142857142861"/>
  </r>
  <r>
    <n v="67901583"/>
    <x v="3"/>
    <n v="10022"/>
    <d v="2023-01-07T00:00:00"/>
    <x v="50"/>
    <x v="11"/>
    <n v="8.5199999999999998E-3"/>
    <n v="85.387439999999998"/>
    <s v="BR"/>
    <x v="0"/>
    <x v="6"/>
    <s v="Q1"/>
    <n v="154"/>
    <n v="65.077922077922082"/>
    <s v="48oz"/>
    <n v="1"/>
    <n v="10022"/>
    <n v="85.387439999999998"/>
    <n v="65.077922077922082"/>
  </r>
  <r>
    <n v="67901584"/>
    <x v="3"/>
    <n v="3743"/>
    <d v="2023-01-07T00:00:00"/>
    <x v="51"/>
    <x v="11"/>
    <n v="8.5199999999999998E-3"/>
    <n v="31.890359999999998"/>
    <s v="BR"/>
    <x v="0"/>
    <x v="6"/>
    <s v="Q1"/>
    <n v="154"/>
    <n v="24.305194805194805"/>
    <s v="48oz"/>
    <n v="1"/>
    <n v="3743"/>
    <n v="31.890359999999998"/>
    <n v="24.305194805194805"/>
  </r>
  <r>
    <n v="68354589"/>
    <x v="2"/>
    <n v="0"/>
    <d v="2023-01-07T00:00:00"/>
    <x v="53"/>
    <x v="15"/>
    <n v="3.5999999999999999E-3"/>
    <n v="0"/>
    <s v="BJ"/>
    <x v="0"/>
    <x v="19"/>
    <s v="Q1"/>
    <n v="240"/>
    <n v="0"/>
    <s v="TOPPED"/>
    <n v="1"/>
    <n v="0"/>
    <n v="0"/>
    <n v="0"/>
  </r>
  <r>
    <n v="68356102"/>
    <x v="2"/>
    <n v="1963"/>
    <d v="2023-01-07T00:00:00"/>
    <x v="13"/>
    <x v="13"/>
    <n v="8.513999999999999E-3"/>
    <n v="16.712981999999997"/>
    <s v="BR"/>
    <x v="0"/>
    <x v="2"/>
    <s v="Q1"/>
    <n v="154"/>
    <n v="12.746753246753247"/>
    <s v="48oz"/>
    <n v="1"/>
    <n v="1963"/>
    <n v="16.712981999999997"/>
    <n v="12.746753246753247"/>
  </r>
  <r>
    <n v="68634168"/>
    <x v="3"/>
    <n v="0"/>
    <d v="2023-01-07T00:00:00"/>
    <x v="42"/>
    <x v="16"/>
    <n v="8.5170239596469108E-3"/>
    <n v="0"/>
    <s v="BR"/>
    <x v="0"/>
    <x v="6"/>
    <s v="Q1"/>
    <n v="154"/>
    <n v="0"/>
    <s v="48oz"/>
    <n v="1"/>
    <n v="0"/>
    <n v="0"/>
    <n v="0"/>
  </r>
  <r>
    <n v="68649100"/>
    <x v="2"/>
    <n v="0"/>
    <d v="2023-01-07T00:00:00"/>
    <x v="6"/>
    <x v="5"/>
    <n v="2.4150494713151304E-3"/>
    <n v="0"/>
    <s v="MG"/>
    <x v="0"/>
    <x v="5"/>
    <s v="Q1"/>
    <n v="210"/>
    <n v="0"/>
    <s v="MG Sticks"/>
    <n v="1"/>
    <n v="0"/>
    <n v="0"/>
    <n v="0"/>
  </r>
  <r>
    <n v="68649100"/>
    <x v="2"/>
    <n v="6364"/>
    <d v="2023-01-07T00:00:00"/>
    <x v="6"/>
    <x v="5"/>
    <n v="2.4150494713151304E-3"/>
    <n v="15.36937483544949"/>
    <s v="MG"/>
    <x v="0"/>
    <x v="5"/>
    <s v="Q1"/>
    <n v="210"/>
    <n v="30.304761904761904"/>
    <s v="MG Sticks"/>
    <n v="1"/>
    <n v="6364"/>
    <n v="15.36937483544949"/>
    <n v="30.304761904761904"/>
  </r>
  <r>
    <n v="68656231"/>
    <x v="3"/>
    <n v="1851"/>
    <d v="2023-01-07T00:00:00"/>
    <x v="16"/>
    <x v="16"/>
    <n v="8.5199999999999998E-3"/>
    <n v="15.770519999999999"/>
    <s v="BR"/>
    <x v="0"/>
    <x v="6"/>
    <s v="Q1"/>
    <n v="154"/>
    <n v="12.019480519480519"/>
    <s v="48oz"/>
    <n v="1"/>
    <n v="1851"/>
    <n v="15.770519999999999"/>
    <n v="12.019480519480519"/>
  </r>
  <r>
    <n v="68689251"/>
    <x v="3"/>
    <n v="3116"/>
    <d v="2023-01-07T00:00:00"/>
    <x v="17"/>
    <x v="17"/>
    <n v="9.5760000000000012E-3"/>
    <n v="29.838816000000005"/>
    <s v="KL"/>
    <x v="0"/>
    <x v="8"/>
    <s v="Q1"/>
    <n v="132"/>
    <n v="23.606060606060606"/>
    <s v="EDF"/>
    <n v="1"/>
    <n v="3116"/>
    <n v="29.838816000000005"/>
    <n v="23.606060606060606"/>
  </r>
  <r>
    <n v="68710277"/>
    <x v="3"/>
    <n v="0"/>
    <d v="2023-01-07T00:00:00"/>
    <x v="20"/>
    <x v="20"/>
    <n v="8.5199999999999998E-3"/>
    <n v="0"/>
    <s v="KL"/>
    <x v="0"/>
    <x v="8"/>
    <s v="Q1"/>
    <n v="132"/>
    <n v="0"/>
    <s v="EDF"/>
    <n v="1"/>
    <n v="0"/>
    <n v="0"/>
    <n v="0"/>
  </r>
  <r>
    <n v="68726715"/>
    <x v="2"/>
    <n v="0"/>
    <d v="2023-01-07T00:00:00"/>
    <x v="34"/>
    <x v="22"/>
    <n v="3.7853440000000004E-3"/>
    <n v="0"/>
    <s v="TA"/>
    <x v="0"/>
    <x v="10"/>
    <s v="Q1"/>
    <n v="255"/>
    <n v="0"/>
    <s v="TALENTI"/>
    <n v="1"/>
    <n v="0"/>
    <n v="0"/>
    <n v="0"/>
  </r>
  <r>
    <n v="68726916"/>
    <x v="2"/>
    <n v="34176"/>
    <d v="2023-01-07T00:00:00"/>
    <x v="43"/>
    <x v="21"/>
    <n v="3.7853440000000004E-3"/>
    <n v="129.36791654400002"/>
    <s v="TA"/>
    <x v="0"/>
    <x v="10"/>
    <s v="Q1"/>
    <n v="255"/>
    <n v="134.02352941176471"/>
    <s v="TALENTI"/>
    <n v="1"/>
    <n v="34176"/>
    <n v="129.36791654400002"/>
    <n v="134.02352941176471"/>
  </r>
  <r>
    <n v="68728342"/>
    <x v="2"/>
    <n v="0"/>
    <d v="2023-01-07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41714"/>
    <x v="3"/>
    <n v="6438"/>
    <d v="2023-01-07T00:00:00"/>
    <x v="24"/>
    <x v="24"/>
    <n v="2.8319999999999999E-3"/>
    <n v="18.232416000000001"/>
    <s v="GH"/>
    <x v="0"/>
    <x v="4"/>
    <s v="Q1"/>
    <n v="225"/>
    <n v="28.613333333333333"/>
    <s v="MBG"/>
    <n v="1"/>
    <n v="6438"/>
    <n v="18.232416000000001"/>
    <n v="28.613333333333333"/>
  </r>
  <r>
    <n v="68741742"/>
    <x v="3"/>
    <n v="2273"/>
    <d v="2023-01-07T00:00:00"/>
    <x v="25"/>
    <x v="4"/>
    <n v="4.2560000000000002E-3"/>
    <n v="9.6738879999999998"/>
    <s v="GH"/>
    <x v="0"/>
    <x v="4"/>
    <s v="Q1"/>
    <n v="154"/>
    <n v="14.75974025974026"/>
    <s v="MBG"/>
    <n v="1"/>
    <n v="2273"/>
    <n v="9.6738879999999998"/>
    <n v="14.75974025974026"/>
  </r>
  <r>
    <n v="68741742"/>
    <x v="2"/>
    <n v="5738"/>
    <d v="2023-01-07T00:00:00"/>
    <x v="25"/>
    <x v="25"/>
    <n v="4.2560000000000002E-3"/>
    <n v="24.420928"/>
    <s v="GH"/>
    <x v="0"/>
    <x v="11"/>
    <s v="Q1"/>
    <n v="154"/>
    <n v="37.259740259740262"/>
    <s v="MBG"/>
    <n v="1"/>
    <n v="5738"/>
    <n v="24.420928"/>
    <n v="37.259740259740262"/>
  </r>
  <r>
    <n v="68821728"/>
    <x v="2"/>
    <n v="2288"/>
    <d v="2023-01-07T00:00:00"/>
    <x v="35"/>
    <x v="13"/>
    <n v="8.5199999999999998E-3"/>
    <n v="19.493759999999998"/>
    <s v="BR"/>
    <x v="0"/>
    <x v="2"/>
    <s v="Q1"/>
    <n v="176"/>
    <n v="13"/>
    <s v="48oz"/>
    <n v="1"/>
    <n v="2288"/>
    <n v="19.493759999999998"/>
    <n v="13"/>
  </r>
  <r>
    <n v="68852591"/>
    <x v="2"/>
    <n v="4208"/>
    <d v="2023-01-07T00:00:00"/>
    <x v="26"/>
    <x v="26"/>
    <n v="8.5199999999999998E-3"/>
    <n v="35.852159999999998"/>
    <s v="KL"/>
    <x v="0"/>
    <x v="12"/>
    <s v="Q1"/>
    <n v="132"/>
    <n v="31.878787878787879"/>
    <s v="EDF"/>
    <n v="1"/>
    <n v="4208"/>
    <n v="35.852159999999998"/>
    <n v="31.878787878787879"/>
  </r>
  <r>
    <n v="68896057"/>
    <x v="2"/>
    <n v="0"/>
    <d v="2023-01-07T00:00:00"/>
    <x v="46"/>
    <x v="13"/>
    <n v="8.5199999999999998E-3"/>
    <n v="0"/>
    <s v="BR"/>
    <x v="0"/>
    <x v="2"/>
    <s v="Q1"/>
    <n v="176"/>
    <n v="0"/>
    <s v="48oz"/>
    <n v="1"/>
    <n v="0"/>
    <n v="0"/>
    <n v="0"/>
  </r>
  <r>
    <n v="69551489"/>
    <x v="3"/>
    <n v="0"/>
    <d v="2023-01-07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86716"/>
    <x v="2"/>
    <n v="0"/>
    <d v="2023-01-07T00:00:00"/>
    <x v="6"/>
    <x v="5"/>
    <n v="2.0400000000000001E-3"/>
    <n v="0"/>
    <s v="MG"/>
    <x v="0"/>
    <x v="5"/>
    <s v="Q1"/>
    <n v="210"/>
    <n v="0"/>
    <s v="MG Sticks"/>
    <n v="1"/>
    <n v="0"/>
    <n v="0"/>
    <n v="0"/>
  </r>
  <r>
    <n v="69586716"/>
    <x v="2"/>
    <n v="0"/>
    <d v="2023-01-07T00:00:00"/>
    <x v="6"/>
    <x v="5"/>
    <n v="2.0400000000000001E-3"/>
    <n v="0"/>
    <s v="MG"/>
    <x v="0"/>
    <x v="5"/>
    <s v="Q1"/>
    <n v="210"/>
    <n v="0"/>
    <s v="MG Sticks"/>
    <n v="1"/>
    <n v="0"/>
    <n v="0"/>
    <n v="0"/>
  </r>
  <r>
    <n v="69621212"/>
    <x v="2"/>
    <n v="2751"/>
    <d v="2023-01-07T00:00:00"/>
    <x v="29"/>
    <x v="28"/>
    <n v="5.2680000000000001E-3"/>
    <n v="14.492268000000001"/>
    <s v="PG"/>
    <x v="0"/>
    <x v="14"/>
    <s v="Q1"/>
    <n v="130"/>
    <n v="21.161538461538463"/>
    <s v="PG"/>
    <n v="1"/>
    <n v="2751"/>
    <n v="14.492268000000001"/>
    <n v="21.161538461538463"/>
  </r>
  <r>
    <n v="69677917"/>
    <x v="3"/>
    <n v="632"/>
    <d v="2023-01-07T00:00:00"/>
    <x v="30"/>
    <x v="29"/>
    <n v="5.2680000000000001E-3"/>
    <n v="3.3293759999999999"/>
    <s v="PS"/>
    <x v="0"/>
    <x v="3"/>
    <s v="Q1"/>
    <n v="108"/>
    <n v="5.8518518518518521"/>
    <s v="PG"/>
    <n v="1"/>
    <n v="632"/>
    <n v="3.3293759999999999"/>
    <n v="5.8518518518518521"/>
  </r>
  <r>
    <n v="69677917"/>
    <x v="2"/>
    <n v="4638"/>
    <d v="2023-01-07T00:00:00"/>
    <x v="30"/>
    <x v="30"/>
    <n v="5.2680000000000001E-3"/>
    <n v="24.432984000000001"/>
    <s v="PS"/>
    <x v="0"/>
    <x v="14"/>
    <s v="Q1"/>
    <n v="108"/>
    <n v="42.944444444444443"/>
    <s v="PG"/>
    <n v="1"/>
    <n v="4638"/>
    <n v="24.432984000000001"/>
    <n v="42.944444444444443"/>
  </r>
  <r>
    <n v="67465063"/>
    <x v="3"/>
    <n v="2319"/>
    <d v="2023-01-08T00:00:00"/>
    <x v="3"/>
    <x v="6"/>
    <n v="5.2680000000000001E-3"/>
    <n v="12.216492000000001"/>
    <s v="PS"/>
    <x v="0"/>
    <x v="3"/>
    <s v="Q1"/>
    <n v="130"/>
    <n v="17.838461538461537"/>
    <s v="PG"/>
    <n v="1"/>
    <n v="2319"/>
    <n v="12.216492000000001"/>
    <n v="17.838461538461537"/>
  </r>
  <r>
    <n v="67465063"/>
    <x v="3"/>
    <n v="0"/>
    <d v="2023-01-08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0"/>
    <d v="2023-01-08T00:00:00"/>
    <x v="7"/>
    <x v="3"/>
    <n v="1.596E-3"/>
    <n v="0"/>
    <s v="PS"/>
    <x v="0"/>
    <x v="3"/>
    <s v="Q1"/>
    <n v="130"/>
    <n v="0"/>
    <s v="PG"/>
    <n v="1"/>
    <n v="0"/>
    <n v="0"/>
    <n v="0"/>
  </r>
  <r>
    <n v="67466492"/>
    <x v="3"/>
    <n v="0"/>
    <d v="2023-01-08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2815"/>
    <d v="2023-01-08T00:00:00"/>
    <x v="8"/>
    <x v="8"/>
    <n v="5.2680000000000001E-3"/>
    <n v="14.829420000000001"/>
    <s v="PS"/>
    <x v="0"/>
    <x v="3"/>
    <s v="Q1"/>
    <n v="130"/>
    <n v="21.653846153846153"/>
    <s v="PG"/>
    <n v="1"/>
    <n v="2815"/>
    <n v="14.829420000000001"/>
    <n v="21.653846153846153"/>
  </r>
  <r>
    <n v="67476456"/>
    <x v="3"/>
    <n v="0"/>
    <d v="2023-01-08T00:00:00"/>
    <x v="9"/>
    <x v="9"/>
    <n v="1.536E-3"/>
    <n v="0"/>
    <s v="PS"/>
    <x v="0"/>
    <x v="3"/>
    <s v="Q1"/>
    <n v="400"/>
    <n v="0"/>
    <s v="PG"/>
    <n v="1"/>
    <n v="0"/>
    <n v="0"/>
    <n v="0"/>
  </r>
  <r>
    <n v="67476456"/>
    <x v="3"/>
    <n v="0"/>
    <d v="2023-01-08T00:00:00"/>
    <x v="9"/>
    <x v="9"/>
    <n v="1.536E-3"/>
    <n v="0"/>
    <s v="PS"/>
    <x v="0"/>
    <x v="3"/>
    <s v="Q1"/>
    <n v="400"/>
    <n v="0"/>
    <s v="PG"/>
    <n v="1"/>
    <n v="0"/>
    <n v="0"/>
    <n v="0"/>
  </r>
  <r>
    <n v="67476560"/>
    <x v="3"/>
    <n v="3992"/>
    <d v="2023-01-08T00:00:00"/>
    <x v="10"/>
    <x v="10"/>
    <n v="5.1060000000000003E-3"/>
    <n v="20.383152000000003"/>
    <s v="PS"/>
    <x v="0"/>
    <x v="3"/>
    <s v="Q1"/>
    <n v="130"/>
    <n v="30.707692307692309"/>
    <s v="PG"/>
    <n v="1"/>
    <n v="3992"/>
    <n v="20.383152000000003"/>
    <n v="30.707692307692309"/>
  </r>
  <r>
    <n v="67885719"/>
    <x v="2"/>
    <n v="0"/>
    <d v="2023-01-08T00:00:00"/>
    <x v="11"/>
    <x v="2"/>
    <n v="8.5199999999999998E-3"/>
    <n v="0"/>
    <s v="BR"/>
    <x v="0"/>
    <x v="2"/>
    <s v="Q1"/>
    <n v="154"/>
    <n v="0"/>
    <s v="48oz"/>
    <n v="1"/>
    <n v="0"/>
    <n v="0"/>
    <n v="0"/>
  </r>
  <r>
    <n v="67885721"/>
    <x v="2"/>
    <n v="0"/>
    <d v="2023-01-08T00:00:00"/>
    <x v="40"/>
    <x v="32"/>
    <n v="8.5199999999999998E-3"/>
    <n v="0"/>
    <s v="BR"/>
    <x v="0"/>
    <x v="2"/>
    <s v="Q1"/>
    <n v="154"/>
    <n v="0"/>
    <s v="48oz"/>
    <n v="1"/>
    <n v="0"/>
    <n v="0"/>
    <n v="0"/>
  </r>
  <r>
    <n v="67885724"/>
    <x v="3"/>
    <n v="0"/>
    <d v="2023-01-08T00:00:00"/>
    <x v="49"/>
    <x v="12"/>
    <n v="8.5199999999999998E-3"/>
    <n v="0"/>
    <s v="BR"/>
    <x v="0"/>
    <x v="6"/>
    <s v="Q1"/>
    <n v="154"/>
    <n v="0"/>
    <s v="48oz"/>
    <n v="1"/>
    <n v="0"/>
    <n v="0"/>
    <n v="0"/>
  </r>
  <r>
    <n v="67885724"/>
    <x v="3"/>
    <n v="11750"/>
    <d v="2023-01-08T00:00:00"/>
    <x v="49"/>
    <x v="12"/>
    <n v="8.5199999999999998E-3"/>
    <n v="100.11"/>
    <s v="BR"/>
    <x v="0"/>
    <x v="6"/>
    <s v="Q1"/>
    <n v="154"/>
    <n v="76.298701298701303"/>
    <s v="48oz"/>
    <n v="1"/>
    <n v="11750"/>
    <n v="100.11"/>
    <n v="76.298701298701303"/>
  </r>
  <r>
    <n v="67901583"/>
    <x v="3"/>
    <n v="10828"/>
    <d v="2023-01-08T00:00:00"/>
    <x v="50"/>
    <x v="11"/>
    <n v="8.5199999999999998E-3"/>
    <n v="92.254559999999998"/>
    <s v="BR"/>
    <x v="0"/>
    <x v="6"/>
    <s v="Q1"/>
    <n v="154"/>
    <n v="70.311688311688314"/>
    <s v="48oz"/>
    <n v="1"/>
    <n v="10828"/>
    <n v="92.254559999999998"/>
    <n v="70.311688311688314"/>
  </r>
  <r>
    <n v="68354589"/>
    <x v="2"/>
    <n v="0"/>
    <d v="2023-01-08T00:00:00"/>
    <x v="53"/>
    <x v="15"/>
    <n v="3.5999999999999999E-3"/>
    <n v="0"/>
    <s v="BJ"/>
    <x v="0"/>
    <x v="19"/>
    <s v="Q1"/>
    <n v="240"/>
    <n v="0"/>
    <s v="TOPPED"/>
    <n v="1"/>
    <n v="0"/>
    <n v="0"/>
    <n v="0"/>
  </r>
  <r>
    <n v="68409142"/>
    <x v="5"/>
    <n v="0"/>
    <d v="2023-01-08T00:00:00"/>
    <x v="60"/>
    <x v="35"/>
    <n v="1.419504E-3"/>
    <n v="0"/>
    <s v="BJ"/>
    <x v="0"/>
    <x v="25"/>
    <s v="Q1"/>
    <n v="510"/>
    <n v="0"/>
    <s v="B&amp;J Dog Treat"/>
    <n v="1"/>
    <n v="0"/>
    <n v="0"/>
    <n v="0"/>
  </r>
  <r>
    <n v="68689251"/>
    <x v="3"/>
    <n v="2822"/>
    <d v="2023-01-08T00:00:00"/>
    <x v="17"/>
    <x v="17"/>
    <n v="9.5760000000000012E-3"/>
    <n v="27.023472000000002"/>
    <s v="KL"/>
    <x v="0"/>
    <x v="8"/>
    <s v="Q1"/>
    <n v="132"/>
    <n v="21.378787878787879"/>
    <s v="EDF"/>
    <n v="1"/>
    <n v="2822"/>
    <n v="27.023472000000002"/>
    <n v="21.378787878787879"/>
  </r>
  <r>
    <n v="68710277"/>
    <x v="3"/>
    <n v="2322"/>
    <d v="2023-01-08T00:00:00"/>
    <x v="20"/>
    <x v="20"/>
    <n v="8.5199999999999998E-3"/>
    <n v="19.783439999999999"/>
    <s v="KL"/>
    <x v="0"/>
    <x v="8"/>
    <s v="Q1"/>
    <n v="132"/>
    <n v="17.59090909090909"/>
    <s v="EDF"/>
    <n v="1"/>
    <n v="2322"/>
    <n v="19.783439999999999"/>
    <n v="17.59090909090909"/>
  </r>
  <r>
    <n v="68726916"/>
    <x v="2"/>
    <n v="0"/>
    <d v="2023-01-08T00:00:00"/>
    <x v="43"/>
    <x v="21"/>
    <n v="3.7853440000000004E-3"/>
    <n v="0"/>
    <s v="TA"/>
    <x v="0"/>
    <x v="10"/>
    <s v="Q1"/>
    <n v="255"/>
    <n v="0"/>
    <s v="TALENTI"/>
    <n v="1"/>
    <n v="0"/>
    <n v="0"/>
    <n v="0"/>
  </r>
  <r>
    <n v="68728342"/>
    <x v="2"/>
    <n v="0"/>
    <d v="2023-01-08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30252"/>
    <x v="2"/>
    <n v="0"/>
    <d v="2023-01-08T00:00:00"/>
    <x v="22"/>
    <x v="22"/>
    <n v="3.7853440000000004E-3"/>
    <n v="0"/>
    <s v="TA"/>
    <x v="0"/>
    <x v="10"/>
    <s v="Q1"/>
    <n v="255"/>
    <n v="0"/>
    <s v="TALENTI"/>
    <n v="1"/>
    <n v="0"/>
    <n v="0"/>
    <n v="0"/>
  </r>
  <r>
    <n v="68730252"/>
    <x v="2"/>
    <n v="9266"/>
    <d v="2023-01-08T00:00:00"/>
    <x v="22"/>
    <x v="22"/>
    <n v="3.7853440000000004E-3"/>
    <n v="35.074997504000002"/>
    <s v="TA"/>
    <x v="0"/>
    <x v="10"/>
    <s v="Q1"/>
    <n v="255"/>
    <n v="36.337254901960783"/>
    <s v="TALENTI"/>
    <n v="1"/>
    <n v="9266"/>
    <n v="35.074997504000002"/>
    <n v="36.337254901960783"/>
  </r>
  <r>
    <n v="68730252"/>
    <x v="2"/>
    <n v="12446"/>
    <d v="2023-01-08T00:00:00"/>
    <x v="22"/>
    <x v="22"/>
    <n v="3.7853440000000004E-3"/>
    <n v="47.112391424000002"/>
    <s v="TA"/>
    <x v="0"/>
    <x v="10"/>
    <s v="Q1"/>
    <n v="255"/>
    <n v="48.807843137254899"/>
    <s v="TALENTI"/>
    <n v="1"/>
    <n v="12446"/>
    <n v="47.112391424000002"/>
    <n v="48.807843137254899"/>
  </r>
  <r>
    <n v="68741714"/>
    <x v="3"/>
    <n v="3299"/>
    <d v="2023-01-08T00:00:00"/>
    <x v="24"/>
    <x v="24"/>
    <n v="2.8319999999999999E-3"/>
    <n v="9.3427679999999995"/>
    <s v="GH"/>
    <x v="0"/>
    <x v="4"/>
    <s v="Q1"/>
    <n v="225"/>
    <n v="14.662222222222223"/>
    <s v="MBG"/>
    <n v="1"/>
    <n v="3299"/>
    <n v="9.3427679999999995"/>
    <n v="14.662222222222223"/>
  </r>
  <r>
    <n v="68741742"/>
    <x v="3"/>
    <n v="4561"/>
    <d v="2023-01-08T00:00:00"/>
    <x v="25"/>
    <x v="4"/>
    <n v="4.2560000000000002E-3"/>
    <n v="19.411616000000002"/>
    <s v="GH"/>
    <x v="0"/>
    <x v="4"/>
    <s v="Q1"/>
    <n v="154"/>
    <n v="29.616883116883116"/>
    <s v="MBG"/>
    <n v="1"/>
    <n v="4561"/>
    <n v="19.411616000000002"/>
    <n v="29.616883116883116"/>
  </r>
  <r>
    <n v="68821728"/>
    <x v="2"/>
    <n v="0"/>
    <d v="2023-01-08T00:00:00"/>
    <x v="35"/>
    <x v="13"/>
    <n v="8.5199999999999998E-3"/>
    <n v="0"/>
    <s v="BR"/>
    <x v="0"/>
    <x v="2"/>
    <s v="Q1"/>
    <n v="176"/>
    <n v="0"/>
    <s v="48oz"/>
    <n v="1"/>
    <n v="0"/>
    <n v="0"/>
    <n v="0"/>
  </r>
  <r>
    <n v="68871168"/>
    <x v="1"/>
    <n v="2052"/>
    <d v="2023-01-08T00:00:00"/>
    <x v="57"/>
    <x v="0"/>
    <n v="6.0035555555555554E-3"/>
    <n v="12.319296"/>
    <s v="KL"/>
    <x v="0"/>
    <x v="1"/>
    <s v="Q1"/>
    <n v="108"/>
    <n v="19"/>
    <s v="KL Sandwiches"/>
    <n v="1"/>
    <n v="2052"/>
    <n v="12.319296"/>
    <n v="19"/>
  </r>
  <r>
    <n v="68927903"/>
    <x v="1"/>
    <n v="4480"/>
    <d v="2023-01-08T00:00:00"/>
    <x v="56"/>
    <x v="0"/>
    <n v="2.16E-3"/>
    <n v="9.6768000000000001"/>
    <s v="MG"/>
    <x v="0"/>
    <x v="22"/>
    <s v="Q1"/>
    <n v="160"/>
    <n v="28"/>
    <s v="MG Sticks"/>
    <n v="1"/>
    <n v="4480"/>
    <n v="9.6768000000000001"/>
    <n v="28"/>
  </r>
  <r>
    <n v="69551489"/>
    <x v="3"/>
    <n v="0"/>
    <d v="2023-01-08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86716"/>
    <x v="2"/>
    <n v="0"/>
    <d v="2023-01-08T00:00:00"/>
    <x v="6"/>
    <x v="5"/>
    <n v="2.0400000000000001E-3"/>
    <n v="0"/>
    <s v="MG"/>
    <x v="0"/>
    <x v="5"/>
    <s v="Q1"/>
    <n v="210"/>
    <n v="0"/>
    <s v="MG Sticks"/>
    <n v="1"/>
    <n v="0"/>
    <n v="0"/>
    <n v="0"/>
  </r>
  <r>
    <n v="69629477"/>
    <x v="1"/>
    <n v="1959"/>
    <d v="2023-01-08T00:00:00"/>
    <x v="61"/>
    <x v="0"/>
    <n v="5.3280000000000003E-3"/>
    <n v="10.437552"/>
    <s v="KL"/>
    <x v="0"/>
    <x v="26"/>
    <s v="Q1"/>
    <n v="108"/>
    <n v="18.138888888888889"/>
    <s v="KL Mini Cones"/>
    <n v="1"/>
    <n v="1959"/>
    <n v="10.437552"/>
    <n v="18.138888888888889"/>
  </r>
  <r>
    <n v="69629477"/>
    <x v="1"/>
    <n v="2835"/>
    <d v="2023-01-08T00:00:00"/>
    <x v="61"/>
    <x v="0"/>
    <n v="5.3280000000000003E-3"/>
    <n v="15.104880000000001"/>
    <s v="KL"/>
    <x v="0"/>
    <x v="26"/>
    <s v="Q1"/>
    <n v="108"/>
    <n v="26.25"/>
    <s v="KL Mini Cones"/>
    <n v="1"/>
    <n v="2835"/>
    <n v="15.104880000000001"/>
    <n v="26.25"/>
  </r>
  <r>
    <n v="69629477"/>
    <x v="1"/>
    <n v="1589"/>
    <d v="2023-01-08T00:00:00"/>
    <x v="61"/>
    <x v="0"/>
    <n v="5.3280000000000003E-3"/>
    <n v="8.4661920000000013"/>
    <s v="KL"/>
    <x v="0"/>
    <x v="26"/>
    <s v="Q1"/>
    <n v="108"/>
    <n v="14.712962962962964"/>
    <s v="KL Mini Cones"/>
    <n v="1"/>
    <n v="1589"/>
    <n v="8.4661920000000013"/>
    <n v="14.712962962962964"/>
  </r>
  <r>
    <n v="69677917"/>
    <x v="3"/>
    <n v="4358"/>
    <d v="2023-01-08T00:00:00"/>
    <x v="30"/>
    <x v="29"/>
    <n v="5.2680000000000001E-3"/>
    <n v="22.957944000000001"/>
    <s v="PS"/>
    <x v="0"/>
    <x v="3"/>
    <s v="Q1"/>
    <n v="108"/>
    <n v="40.351851851851855"/>
    <s v="PG"/>
    <n v="1"/>
    <n v="4358"/>
    <n v="22.957944000000001"/>
    <n v="40.351851851851855"/>
  </r>
  <r>
    <n v="67309845"/>
    <x v="3"/>
    <n v="11702"/>
    <d v="2023-01-09T00:00:00"/>
    <x v="62"/>
    <x v="16"/>
    <n v="8.5199999999999998E-3"/>
    <n v="99.701039999999992"/>
    <s v="BR"/>
    <x v="0"/>
    <x v="6"/>
    <s v="Q1"/>
    <n v="154"/>
    <n v="75.987012987012989"/>
    <s v="48oz"/>
    <n v="1"/>
    <n v="11702"/>
    <n v="99.701039999999992"/>
    <n v="75.987012987012989"/>
  </r>
  <r>
    <n v="67309864"/>
    <x v="2"/>
    <n v="10973"/>
    <d v="2023-01-09T00:00:00"/>
    <x v="63"/>
    <x v="2"/>
    <n v="8.5199999999999998E-3"/>
    <n v="93.489959999999996"/>
    <s v="BR"/>
    <x v="0"/>
    <x v="2"/>
    <s v="Q1"/>
    <n v="154"/>
    <n v="71.253246753246756"/>
    <s v="48oz"/>
    <n v="1"/>
    <n v="10973"/>
    <n v="93.489959999999996"/>
    <n v="71.253246753246756"/>
  </r>
  <r>
    <n v="67465063"/>
    <x v="3"/>
    <n v="2742"/>
    <d v="2023-01-09T00:00:00"/>
    <x v="3"/>
    <x v="6"/>
    <n v="5.2680000000000001E-3"/>
    <n v="14.444856"/>
    <s v="PS"/>
    <x v="0"/>
    <x v="3"/>
    <s v="Q1"/>
    <n v="130"/>
    <n v="21.092307692307692"/>
    <s v="PG"/>
    <n v="1"/>
    <n v="2742"/>
    <n v="14.444856"/>
    <n v="21.092307692307692"/>
  </r>
  <r>
    <n v="67465063"/>
    <x v="3"/>
    <n v="0"/>
    <d v="2023-01-09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606"/>
    <d v="2023-01-09T00:00:00"/>
    <x v="7"/>
    <x v="3"/>
    <n v="1.596E-3"/>
    <n v="0.96717600000000004"/>
    <s v="PS"/>
    <x v="0"/>
    <x v="3"/>
    <s v="Q1"/>
    <n v="130"/>
    <n v="4.6615384615384619"/>
    <s v="PG"/>
    <n v="1"/>
    <n v="606"/>
    <n v="0.96717600000000004"/>
    <n v="4.6615384615384619"/>
  </r>
  <r>
    <n v="67466492"/>
    <x v="3"/>
    <n v="4746"/>
    <d v="2023-01-09T00:00:00"/>
    <x v="8"/>
    <x v="7"/>
    <n v="5.2680000000000001E-3"/>
    <n v="25.001927999999999"/>
    <s v="PS"/>
    <x v="0"/>
    <x v="3"/>
    <s v="Q1"/>
    <n v="130"/>
    <n v="36.507692307692309"/>
    <s v="PG"/>
    <n v="1"/>
    <n v="4746"/>
    <n v="25.001927999999999"/>
    <n v="36.507692307692309"/>
  </r>
  <r>
    <n v="67466492"/>
    <x v="3"/>
    <n v="875"/>
    <d v="2023-01-09T00:00:00"/>
    <x v="8"/>
    <x v="7"/>
    <n v="5.2680000000000001E-3"/>
    <n v="4.6094999999999997"/>
    <s v="PS"/>
    <x v="0"/>
    <x v="3"/>
    <s v="Q1"/>
    <n v="130"/>
    <n v="6.7307692307692308"/>
    <s v="PG"/>
    <n v="1"/>
    <n v="875"/>
    <n v="4.6094999999999997"/>
    <n v="6.7307692307692308"/>
  </r>
  <r>
    <n v="67466492"/>
    <x v="3"/>
    <n v="4981"/>
    <d v="2023-01-09T00:00:00"/>
    <x v="8"/>
    <x v="8"/>
    <n v="5.2680000000000001E-3"/>
    <n v="26.239908"/>
    <s v="PS"/>
    <x v="0"/>
    <x v="3"/>
    <s v="Q1"/>
    <n v="130"/>
    <n v="38.315384615384616"/>
    <s v="PG"/>
    <n v="1"/>
    <n v="4981"/>
    <n v="26.239908"/>
    <n v="38.315384615384616"/>
  </r>
  <r>
    <n v="67476456"/>
    <x v="3"/>
    <n v="7599"/>
    <d v="2023-01-09T00:00:00"/>
    <x v="9"/>
    <x v="9"/>
    <n v="1.536E-3"/>
    <n v="11.672064000000001"/>
    <s v="PS"/>
    <x v="0"/>
    <x v="3"/>
    <s v="Q1"/>
    <n v="400"/>
    <n v="18.997499999999999"/>
    <s v="PG"/>
    <n v="1"/>
    <n v="7599"/>
    <n v="11.672064000000001"/>
    <n v="18.997499999999999"/>
  </r>
  <r>
    <n v="67476560"/>
    <x v="3"/>
    <n v="4570"/>
    <d v="2023-01-09T00:00:00"/>
    <x v="10"/>
    <x v="10"/>
    <n v="5.1060000000000003E-3"/>
    <n v="23.334420000000001"/>
    <s v="PS"/>
    <x v="0"/>
    <x v="3"/>
    <s v="Q1"/>
    <n v="130"/>
    <n v="35.153846153846153"/>
    <s v="PG"/>
    <n v="1"/>
    <n v="4570"/>
    <n v="23.334420000000001"/>
    <n v="35.153846153846153"/>
  </r>
  <r>
    <n v="67881628"/>
    <x v="5"/>
    <n v="29175"/>
    <d v="2023-01-09T00:00:00"/>
    <x v="64"/>
    <x v="35"/>
    <n v="3.7853439999999999E-3"/>
    <n v="110.4374112"/>
    <s v="BJ"/>
    <x v="0"/>
    <x v="15"/>
    <s v="Q1"/>
    <n v="240"/>
    <n v="121.5625"/>
    <s v="BJ PTS"/>
    <n v="1"/>
    <n v="29175"/>
    <n v="110.4374112"/>
    <n v="121.5625"/>
  </r>
  <r>
    <n v="67881628"/>
    <x v="5"/>
    <n v="0"/>
    <d v="2023-01-09T00:00:00"/>
    <x v="64"/>
    <x v="35"/>
    <n v="3.7853439999999999E-3"/>
    <n v="0"/>
    <s v="BJ"/>
    <x v="0"/>
    <x v="15"/>
    <s v="Q1"/>
    <n v="240"/>
    <n v="0"/>
    <s v="BJ PTS"/>
    <n v="1"/>
    <n v="0"/>
    <n v="0"/>
    <n v="0"/>
  </r>
  <r>
    <n v="67881629"/>
    <x v="5"/>
    <n v="47152"/>
    <d v="2023-01-09T00:00:00"/>
    <x v="65"/>
    <x v="33"/>
    <n v="3.7853439999999999E-3"/>
    <n v="178.48654028799999"/>
    <s v="BJ"/>
    <x v="0"/>
    <x v="15"/>
    <s v="Q1"/>
    <n v="240"/>
    <n v="196.46666666666667"/>
    <s v="BJ PTS"/>
    <n v="1"/>
    <n v="47152"/>
    <n v="178.48654028799999"/>
    <n v="196.46666666666667"/>
  </r>
  <r>
    <n v="67885717"/>
    <x v="2"/>
    <n v="0"/>
    <d v="2023-01-09T00:00:00"/>
    <x v="38"/>
    <x v="32"/>
    <n v="8.5199999999999998E-3"/>
    <n v="0"/>
    <s v="BR"/>
    <x v="0"/>
    <x v="2"/>
    <s v="Q1"/>
    <n v="154"/>
    <n v="0"/>
    <s v="48oz"/>
    <n v="1"/>
    <n v="0"/>
    <n v="0"/>
    <n v="0"/>
  </r>
  <r>
    <n v="67885718"/>
    <x v="2"/>
    <n v="0"/>
    <d v="2023-01-09T00:00:00"/>
    <x v="48"/>
    <x v="2"/>
    <n v="8.5199999999999998E-3"/>
    <n v="0"/>
    <s v="BR"/>
    <x v="0"/>
    <x v="2"/>
    <s v="Q1"/>
    <n v="154"/>
    <n v="0"/>
    <s v="48oz"/>
    <n v="1"/>
    <n v="0"/>
    <n v="0"/>
    <n v="0"/>
  </r>
  <r>
    <n v="67885718"/>
    <x v="2"/>
    <n v="0"/>
    <d v="2023-01-09T00:00:00"/>
    <x v="48"/>
    <x v="2"/>
    <n v="8.5199999999999998E-3"/>
    <n v="0"/>
    <s v="BR"/>
    <x v="0"/>
    <x v="2"/>
    <s v="Q1"/>
    <n v="154"/>
    <n v="0"/>
    <s v="48oz"/>
    <n v="1"/>
    <n v="0"/>
    <n v="0"/>
    <n v="0"/>
  </r>
  <r>
    <n v="67885720"/>
    <x v="3"/>
    <n v="0"/>
    <d v="2023-01-09T00:00:00"/>
    <x v="39"/>
    <x v="12"/>
    <n v="8.5199999999999998E-3"/>
    <n v="0"/>
    <s v="BR"/>
    <x v="0"/>
    <x v="6"/>
    <s v="Q1"/>
    <n v="154"/>
    <n v="0"/>
    <s v="48oz"/>
    <n v="1"/>
    <n v="0"/>
    <n v="0"/>
    <n v="0"/>
  </r>
  <r>
    <n v="67885721"/>
    <x v="2"/>
    <n v="18402"/>
    <d v="2023-01-09T00:00:00"/>
    <x v="40"/>
    <x v="32"/>
    <n v="8.5199999999999998E-3"/>
    <n v="156.78504000000001"/>
    <s v="BR"/>
    <x v="0"/>
    <x v="2"/>
    <s v="Q1"/>
    <n v="154"/>
    <n v="119.49350649350649"/>
    <s v="48oz"/>
    <n v="1"/>
    <n v="18402"/>
    <n v="156.78504000000001"/>
    <n v="119.49350649350649"/>
  </r>
  <r>
    <n v="67885724"/>
    <x v="3"/>
    <n v="4728"/>
    <d v="2023-01-09T00:00:00"/>
    <x v="49"/>
    <x v="12"/>
    <n v="8.5199999999999998E-3"/>
    <n v="40.282559999999997"/>
    <s v="BR"/>
    <x v="0"/>
    <x v="6"/>
    <s v="Q1"/>
    <n v="154"/>
    <n v="30.7012987012987"/>
    <s v="48oz"/>
    <n v="1"/>
    <n v="4728"/>
    <n v="40.282559999999997"/>
    <n v="30.7012987012987"/>
  </r>
  <r>
    <n v="67893540"/>
    <x v="2"/>
    <n v="0"/>
    <d v="2023-01-09T00:00:00"/>
    <x v="66"/>
    <x v="2"/>
    <n v="8.5199999999999998E-3"/>
    <n v="0"/>
    <s v="BR"/>
    <x v="0"/>
    <x v="2"/>
    <s v="Q1"/>
    <n v="154"/>
    <n v="0"/>
    <s v="48oz"/>
    <n v="1"/>
    <n v="0"/>
    <n v="0"/>
    <n v="0"/>
  </r>
  <r>
    <n v="67901583"/>
    <x v="3"/>
    <n v="6544"/>
    <d v="2023-01-09T00:00:00"/>
    <x v="50"/>
    <x v="11"/>
    <n v="8.5199999999999998E-3"/>
    <n v="55.75488"/>
    <s v="BR"/>
    <x v="0"/>
    <x v="6"/>
    <s v="Q1"/>
    <n v="154"/>
    <n v="42.493506493506494"/>
    <s v="48oz"/>
    <n v="1"/>
    <n v="6544"/>
    <n v="55.75488"/>
    <n v="42.493506493506494"/>
  </r>
  <r>
    <n v="67901585"/>
    <x v="3"/>
    <n v="10220"/>
    <d v="2023-01-09T00:00:00"/>
    <x v="67"/>
    <x v="23"/>
    <n v="8.513999999999999E-3"/>
    <n v="87.013079999999988"/>
    <s v="BR"/>
    <x v="0"/>
    <x v="6"/>
    <s v="Q1"/>
    <n v="154"/>
    <n v="66.36363636363636"/>
    <s v="48oz"/>
    <n v="1"/>
    <n v="10220"/>
    <n v="87.013079999999988"/>
    <n v="66.36363636363636"/>
  </r>
  <r>
    <n v="67901593"/>
    <x v="2"/>
    <n v="1344"/>
    <d v="2023-01-09T00:00:00"/>
    <x v="68"/>
    <x v="32"/>
    <n v="8.5199999999999998E-3"/>
    <n v="11.45088"/>
    <s v="BR"/>
    <x v="0"/>
    <x v="2"/>
    <s v="Q1"/>
    <n v="154"/>
    <n v="8.7272727272727266"/>
    <s v="48oz"/>
    <n v="1"/>
    <n v="1344"/>
    <n v="11.45088"/>
    <n v="8.7272727272727266"/>
  </r>
  <r>
    <n v="67901593"/>
    <x v="2"/>
    <n v="0"/>
    <d v="2023-01-09T00:00:00"/>
    <x v="68"/>
    <x v="32"/>
    <n v="8.5199999999999998E-3"/>
    <n v="0"/>
    <s v="BR"/>
    <x v="0"/>
    <x v="2"/>
    <s v="Q1"/>
    <n v="154"/>
    <n v="0"/>
    <s v="48oz"/>
    <n v="1"/>
    <n v="0"/>
    <n v="0"/>
    <n v="0"/>
  </r>
  <r>
    <n v="68117574"/>
    <x v="2"/>
    <n v="2382"/>
    <d v="2023-01-09T00:00:00"/>
    <x v="69"/>
    <x v="14"/>
    <n v="4.2560000000000002E-3"/>
    <n v="10.137792000000001"/>
    <s v="BR"/>
    <x v="0"/>
    <x v="5"/>
    <s v="Q1"/>
    <n v="143"/>
    <n v="16.657342657342657"/>
    <s v="MG Sticks"/>
    <n v="1"/>
    <n v="2382"/>
    <n v="10.137792000000001"/>
    <n v="16.657342657342657"/>
  </r>
  <r>
    <n v="68188183"/>
    <x v="3"/>
    <n v="0"/>
    <d v="2023-01-09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539888"/>
    <x v="2"/>
    <n v="9703"/>
    <d v="2023-01-09T00:00:00"/>
    <x v="71"/>
    <x v="15"/>
    <n v="3.7839999999999996E-3"/>
    <n v="36.716151999999994"/>
    <s v="BR"/>
    <x v="0"/>
    <x v="7"/>
    <s v="Q1"/>
    <n v="240"/>
    <n v="40.429166666666667"/>
    <s v="PTS"/>
    <n v="1"/>
    <n v="9703"/>
    <n v="36.716151999999994"/>
    <n v="40.429166666666667"/>
  </r>
  <r>
    <n v="68634168"/>
    <x v="3"/>
    <n v="0"/>
    <d v="2023-01-09T00:00:00"/>
    <x v="42"/>
    <x v="16"/>
    <n v="8.5170239596469108E-3"/>
    <n v="0"/>
    <s v="BR"/>
    <x v="0"/>
    <x v="6"/>
    <s v="Q1"/>
    <n v="154"/>
    <n v="0"/>
    <s v="48oz"/>
    <n v="1"/>
    <n v="0"/>
    <n v="0"/>
    <n v="0"/>
  </r>
  <r>
    <n v="68687761"/>
    <x v="4"/>
    <n v="210"/>
    <d v="2023-04-01T00:00:00"/>
    <x v="72"/>
    <x v="0"/>
    <n v="2.4150494713151304E-3"/>
    <n v="0.50716038897617743"/>
    <s v="MG"/>
    <x v="1"/>
    <x v="27"/>
    <s v="Q2"/>
    <n v="210"/>
    <n v="1"/>
    <s v="MG Sticks"/>
    <n v="1"/>
    <n v="210"/>
    <n v="0.50716038897617743"/>
    <n v="1"/>
  </r>
  <r>
    <n v="68687761"/>
    <x v="4"/>
    <n v="4005"/>
    <d v="2023-01-09T00:00:00"/>
    <x v="72"/>
    <x v="0"/>
    <n v="2.4150494713151304E-3"/>
    <n v="9.6722731326170965"/>
    <s v="MG"/>
    <x v="0"/>
    <x v="27"/>
    <s v="Q1"/>
    <n v="210"/>
    <n v="19.071428571428573"/>
    <s v="MG Sticks"/>
    <n v="1"/>
    <n v="4005"/>
    <n v="9.6722731326170965"/>
    <n v="19.071428571428573"/>
  </r>
  <r>
    <n v="68688168"/>
    <x v="2"/>
    <n v="4418"/>
    <d v="2023-01-09T00:00:00"/>
    <x v="73"/>
    <x v="18"/>
    <n v="2.8380000000000002E-3"/>
    <n v="12.538284000000001"/>
    <s v="GH"/>
    <x v="0"/>
    <x v="9"/>
    <s v="Q1"/>
    <n v="264"/>
    <n v="16.734848484848484"/>
    <s v="ESS"/>
    <n v="1"/>
    <n v="4418"/>
    <n v="12.538284000000001"/>
    <n v="16.734848484848484"/>
  </r>
  <r>
    <n v="68689251"/>
    <x v="3"/>
    <n v="4883"/>
    <d v="2023-01-09T00:00:00"/>
    <x v="17"/>
    <x v="17"/>
    <n v="9.5760000000000012E-3"/>
    <n v="46.759608000000007"/>
    <s v="KL"/>
    <x v="0"/>
    <x v="8"/>
    <s v="Q1"/>
    <n v="132"/>
    <n v="36.992424242424242"/>
    <s v="EDF"/>
    <n v="1"/>
    <n v="4883"/>
    <n v="46.759608000000007"/>
    <n v="36.992424242424242"/>
  </r>
  <r>
    <n v="68709233"/>
    <x v="3"/>
    <n v="0"/>
    <d v="2023-01-09T00:00:00"/>
    <x v="19"/>
    <x v="19"/>
    <n v="8.4960000000000001E-3"/>
    <n v="0"/>
    <s v="KL"/>
    <x v="0"/>
    <x v="8"/>
    <s v="Q1"/>
    <n v="132"/>
    <n v="0"/>
    <s v="EDF"/>
    <n v="1"/>
    <n v="0"/>
    <n v="0"/>
    <n v="0"/>
  </r>
  <r>
    <n v="68709233"/>
    <x v="3"/>
    <n v="0"/>
    <d v="2023-01-09T00:00:00"/>
    <x v="19"/>
    <x v="20"/>
    <n v="8.4960000000000001E-3"/>
    <n v="0"/>
    <s v="KL"/>
    <x v="0"/>
    <x v="8"/>
    <s v="Q1"/>
    <n v="132"/>
    <n v="0"/>
    <s v="EDF"/>
    <n v="1"/>
    <n v="0"/>
    <n v="0"/>
    <n v="0"/>
  </r>
  <r>
    <n v="68710277"/>
    <x v="3"/>
    <n v="0"/>
    <d v="2023-01-09T00:00:00"/>
    <x v="20"/>
    <x v="20"/>
    <n v="8.5199999999999998E-3"/>
    <n v="0"/>
    <s v="KL"/>
    <x v="0"/>
    <x v="8"/>
    <s v="Q1"/>
    <n v="132"/>
    <n v="0"/>
    <s v="EDF"/>
    <n v="1"/>
    <n v="0"/>
    <n v="0"/>
    <n v="0"/>
  </r>
  <r>
    <n v="68710277"/>
    <x v="3"/>
    <n v="3591"/>
    <d v="2023-01-09T00:00:00"/>
    <x v="20"/>
    <x v="20"/>
    <n v="8.5199999999999998E-3"/>
    <n v="30.595320000000001"/>
    <s v="KL"/>
    <x v="0"/>
    <x v="8"/>
    <s v="Q1"/>
    <n v="132"/>
    <n v="27.204545454545453"/>
    <s v="EDF"/>
    <n v="1"/>
    <n v="3591"/>
    <n v="30.595320000000001"/>
    <n v="27.204545454545453"/>
  </r>
  <r>
    <n v="68710285"/>
    <x v="3"/>
    <n v="0"/>
    <d v="2023-01-09T00:00:00"/>
    <x v="74"/>
    <x v="20"/>
    <n v="8.5199999999999998E-3"/>
    <n v="0"/>
    <s v="KL"/>
    <x v="0"/>
    <x v="8"/>
    <s v="Q1"/>
    <n v="132"/>
    <n v="0"/>
    <s v="EDF"/>
    <n v="1"/>
    <n v="0"/>
    <n v="0"/>
    <n v="0"/>
  </r>
  <r>
    <n v="68726715"/>
    <x v="2"/>
    <n v="141"/>
    <d v="2023-01-09T00:00:00"/>
    <x v="34"/>
    <x v="22"/>
    <n v="3.7853440000000004E-3"/>
    <n v="0.53373350400000008"/>
    <s v="TA"/>
    <x v="0"/>
    <x v="10"/>
    <s v="Q1"/>
    <n v="255"/>
    <n v="0.55294117647058827"/>
    <s v="TALENTI"/>
    <n v="1"/>
    <n v="141"/>
    <n v="0.53373350400000008"/>
    <n v="0.55294117647058827"/>
  </r>
  <r>
    <n v="68726916"/>
    <x v="2"/>
    <n v="7885"/>
    <d v="2023-01-09T00:00:00"/>
    <x v="43"/>
    <x v="21"/>
    <n v="3.7853440000000004E-3"/>
    <n v="29.847437440000004"/>
    <s v="TA"/>
    <x v="0"/>
    <x v="10"/>
    <s v="Q1"/>
    <n v="255"/>
    <n v="30.921568627450981"/>
    <s v="TALENTI"/>
    <n v="1"/>
    <n v="7885"/>
    <n v="29.847437440000004"/>
    <n v="30.921568627450981"/>
  </r>
  <r>
    <n v="68730252"/>
    <x v="2"/>
    <n v="0"/>
    <d v="2023-01-09T00:00:00"/>
    <x v="22"/>
    <x v="22"/>
    <n v="3.7853440000000004E-3"/>
    <n v="0"/>
    <s v="TA"/>
    <x v="0"/>
    <x v="10"/>
    <s v="Q1"/>
    <n v="255"/>
    <n v="0"/>
    <s v="TALENTI"/>
    <n v="1"/>
    <n v="0"/>
    <n v="0"/>
    <n v="0"/>
  </r>
  <r>
    <n v="68730257"/>
    <x v="2"/>
    <n v="29746"/>
    <d v="2023-01-09T00:00:00"/>
    <x v="75"/>
    <x v="21"/>
    <n v="3.7853440000000004E-3"/>
    <n v="112.59884262400001"/>
    <s v="TA"/>
    <x v="0"/>
    <x v="10"/>
    <s v="Q1"/>
    <n v="255"/>
    <n v="116.65098039215687"/>
    <s v="TALENTI"/>
    <n v="1"/>
    <n v="29746"/>
    <n v="112.59884262400001"/>
    <n v="116.65098039215687"/>
  </r>
  <r>
    <n v="68741714"/>
    <x v="3"/>
    <n v="7261"/>
    <d v="2023-01-09T00:00:00"/>
    <x v="24"/>
    <x v="24"/>
    <n v="2.8319999999999999E-3"/>
    <n v="20.563151999999999"/>
    <s v="GH"/>
    <x v="0"/>
    <x v="4"/>
    <s v="Q1"/>
    <n v="225"/>
    <n v="32.271111111111111"/>
    <s v="MBG"/>
    <n v="1"/>
    <n v="7261"/>
    <n v="20.563151999999999"/>
    <n v="32.271111111111111"/>
  </r>
  <r>
    <n v="68741742"/>
    <x v="3"/>
    <n v="3165"/>
    <d v="2023-01-09T00:00:00"/>
    <x v="25"/>
    <x v="4"/>
    <n v="4.2560000000000002E-3"/>
    <n v="13.47024"/>
    <s v="GH"/>
    <x v="0"/>
    <x v="4"/>
    <s v="Q1"/>
    <n v="154"/>
    <n v="20.551948051948052"/>
    <s v="MBG"/>
    <n v="1"/>
    <n v="3165"/>
    <n v="13.47024"/>
    <n v="20.551948051948052"/>
  </r>
  <r>
    <n v="68741742"/>
    <x v="2"/>
    <n v="2785"/>
    <d v="2023-01-09T00:00:00"/>
    <x v="25"/>
    <x v="25"/>
    <n v="4.2560000000000002E-3"/>
    <n v="11.852960000000001"/>
    <s v="GH"/>
    <x v="0"/>
    <x v="11"/>
    <s v="Q1"/>
    <n v="154"/>
    <n v="18.084415584415584"/>
    <s v="MBG"/>
    <n v="1"/>
    <n v="2785"/>
    <n v="11.852960000000001"/>
    <n v="18.084415584415584"/>
  </r>
  <r>
    <n v="68821728"/>
    <x v="2"/>
    <n v="8949"/>
    <d v="2023-01-09T00:00:00"/>
    <x v="35"/>
    <x v="13"/>
    <n v="8.5199999999999998E-3"/>
    <n v="76.245480000000001"/>
    <s v="BR"/>
    <x v="0"/>
    <x v="2"/>
    <s v="Q1"/>
    <n v="176"/>
    <n v="50.846590909090907"/>
    <s v="48oz"/>
    <n v="1"/>
    <n v="8949"/>
    <n v="76.245480000000001"/>
    <n v="50.846590909090907"/>
  </r>
  <r>
    <n v="68842352"/>
    <x v="4"/>
    <n v="2731"/>
    <d v="2023-01-09T00:00:00"/>
    <x v="76"/>
    <x v="0"/>
    <n v="2.6610000000000002E-3"/>
    <n v="7.2671910000000004"/>
    <s v="KL"/>
    <x v="0"/>
    <x v="13"/>
    <s v="Q1"/>
    <n v="220"/>
    <n v="12.413636363636364"/>
    <s v="KL Mini Cones"/>
    <n v="1"/>
    <n v="2731"/>
    <n v="7.2671910000000004"/>
    <n v="12.413636363636364"/>
  </r>
  <r>
    <n v="68852591"/>
    <x v="2"/>
    <n v="4306"/>
    <d v="2023-01-09T00:00:00"/>
    <x v="26"/>
    <x v="26"/>
    <n v="8.5199999999999998E-3"/>
    <n v="36.68712"/>
    <s v="KL"/>
    <x v="0"/>
    <x v="12"/>
    <s v="Q1"/>
    <n v="132"/>
    <n v="32.621212121212125"/>
    <s v="EDF"/>
    <n v="1"/>
    <n v="4306"/>
    <n v="36.68712"/>
    <n v="32.621212121212125"/>
  </r>
  <r>
    <n v="68860010"/>
    <x v="7"/>
    <n v="9600"/>
    <d v="2023-01-09T00:00:00"/>
    <x v="45"/>
    <x v="0"/>
    <n v="3.7853439999999999E-3"/>
    <n v="36.339302400000001"/>
    <s v="BJ"/>
    <x v="0"/>
    <x v="18"/>
    <s v="Q1"/>
    <n v="240"/>
    <n v="40"/>
    <s v="BJ PTS"/>
    <n v="1"/>
    <n v="9600"/>
    <n v="36.339302400000001"/>
    <n v="40"/>
  </r>
  <r>
    <n v="68899825"/>
    <x v="2"/>
    <n v="0"/>
    <d v="2023-01-09T00:00:00"/>
    <x v="77"/>
    <x v="13"/>
    <n v="8.5199999999999998E-3"/>
    <n v="0"/>
    <s v="BR"/>
    <x v="0"/>
    <x v="2"/>
    <s v="Q1"/>
    <n v="176"/>
    <n v="0"/>
    <s v="48oz"/>
    <n v="1"/>
    <n v="0"/>
    <n v="0"/>
    <n v="0"/>
  </r>
  <r>
    <n v="68914406"/>
    <x v="2"/>
    <n v="4396"/>
    <d v="2023-01-09T00:00:00"/>
    <x v="78"/>
    <x v="27"/>
    <n v="2.124E-3"/>
    <n v="9.3371040000000001"/>
    <s v="KL"/>
    <x v="0"/>
    <x v="9"/>
    <s v="Q1"/>
    <n v="352"/>
    <n v="12.488636363636363"/>
    <s v="ESS"/>
    <n v="1"/>
    <n v="4396"/>
    <n v="9.3371040000000001"/>
    <n v="12.488636363636363"/>
  </r>
  <r>
    <n v="69549032"/>
    <x v="3"/>
    <n v="0"/>
    <d v="2023-01-09T00:00:00"/>
    <x v="79"/>
    <x v="36"/>
    <n v="2.3469132803553457E-3"/>
    <n v="0"/>
    <s v="GH"/>
    <x v="0"/>
    <x v="28"/>
    <s v="Q1"/>
    <n v="350"/>
    <n v="0"/>
    <s v="EFW"/>
    <n v="1"/>
    <n v="0"/>
    <n v="0"/>
    <n v="0"/>
  </r>
  <r>
    <n v="69549032"/>
    <x v="3"/>
    <n v="1109"/>
    <d v="2023-01-09T00:00:00"/>
    <x v="79"/>
    <x v="36"/>
    <n v="2.3469132803553457E-3"/>
    <n v="2.6027268279140783"/>
    <s v="GH"/>
    <x v="0"/>
    <x v="28"/>
    <s v="Q1"/>
    <n v="350"/>
    <n v="3.1685714285714286"/>
    <s v="EFW"/>
    <n v="1"/>
    <n v="1109"/>
    <n v="2.6027268279140783"/>
    <n v="3.1685714285714286"/>
  </r>
  <r>
    <n v="69549217"/>
    <x v="2"/>
    <n v="0"/>
    <d v="2023-01-09T00:00:00"/>
    <x v="80"/>
    <x v="5"/>
    <n v="2.0400000000000001E-3"/>
    <n v="0"/>
    <s v="MG"/>
    <x v="0"/>
    <x v="5"/>
    <s v="Q1"/>
    <n v="189"/>
    <n v="0"/>
    <s v="MG Sticks"/>
    <n v="1"/>
    <n v="0"/>
    <n v="0"/>
    <n v="0"/>
  </r>
  <r>
    <n v="69551489"/>
    <x v="3"/>
    <n v="0"/>
    <d v="2023-01-09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0"/>
    <d v="2023-01-09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2658"/>
    <x v="10"/>
    <n v="1701"/>
    <d v="2023-01-09T00:00:00"/>
    <x v="81"/>
    <x v="37"/>
    <n v="2.8390080000000001E-3"/>
    <n v="4.8291526080000002"/>
    <s v="KL"/>
    <x v="0"/>
    <x v="29"/>
    <s v="Q1"/>
    <n v="189"/>
    <n v="9"/>
    <s v="ESS"/>
    <n v="1"/>
    <n v="1701"/>
    <n v="4.8291526080000002"/>
    <n v="9"/>
  </r>
  <r>
    <n v="69586716"/>
    <x v="2"/>
    <n v="1665"/>
    <d v="2023-01-09T00:00:00"/>
    <x v="6"/>
    <x v="5"/>
    <n v="2.0400000000000001E-3"/>
    <n v="3.3966000000000003"/>
    <s v="MG"/>
    <x v="0"/>
    <x v="5"/>
    <s v="Q1"/>
    <n v="210"/>
    <n v="7.9285714285714288"/>
    <s v="MG Sticks"/>
    <n v="1"/>
    <n v="1665"/>
    <n v="3.3966000000000003"/>
    <n v="7.9285714285714288"/>
  </r>
  <r>
    <n v="69617285"/>
    <x v="4"/>
    <n v="1679"/>
    <d v="2023-01-09T00:00:00"/>
    <x v="82"/>
    <x v="0"/>
    <n v="2.6610000000000002E-3"/>
    <n v="4.4678190000000004"/>
    <s v="PS"/>
    <x v="0"/>
    <x v="13"/>
    <s v="Q1"/>
    <n v="180"/>
    <n v="9.3277777777777775"/>
    <s v="KL Mini Cones"/>
    <n v="1"/>
    <n v="1679"/>
    <n v="4.4678190000000004"/>
    <n v="9.3277777777777775"/>
  </r>
  <r>
    <n v="69621212"/>
    <x v="2"/>
    <n v="2789"/>
    <d v="2023-01-09T00:00:00"/>
    <x v="29"/>
    <x v="28"/>
    <n v="5.2680000000000001E-3"/>
    <n v="14.692452000000001"/>
    <s v="PG"/>
    <x v="0"/>
    <x v="14"/>
    <s v="Q1"/>
    <n v="130"/>
    <n v="21.453846153846154"/>
    <s v="PG"/>
    <n v="1"/>
    <n v="2789"/>
    <n v="14.692452000000001"/>
    <n v="21.453846153846154"/>
  </r>
  <r>
    <n v="69629469"/>
    <x v="4"/>
    <n v="749"/>
    <d v="2023-01-09T00:00:00"/>
    <x v="83"/>
    <x v="0"/>
    <n v="5.3220000000000003E-3"/>
    <n v="3.9861780000000002"/>
    <s v="KL"/>
    <x v="0"/>
    <x v="13"/>
    <s v="Q1"/>
    <n v="120"/>
    <n v="6.2416666666666663"/>
    <s v="KL Mini Cones"/>
    <n v="1"/>
    <n v="749"/>
    <n v="3.9861780000000002"/>
    <n v="6.2416666666666663"/>
  </r>
  <r>
    <n v="69677917"/>
    <x v="3"/>
    <n v="3997"/>
    <d v="2023-01-09T00:00:00"/>
    <x v="30"/>
    <x v="29"/>
    <n v="5.2680000000000001E-3"/>
    <n v="21.056196"/>
    <s v="PS"/>
    <x v="0"/>
    <x v="3"/>
    <s v="Q1"/>
    <n v="108"/>
    <n v="37.00925925925926"/>
    <s v="PG"/>
    <n v="1"/>
    <n v="3997"/>
    <n v="21.056196"/>
    <n v="37.00925925925926"/>
  </r>
  <r>
    <n v="69677917"/>
    <x v="2"/>
    <n v="2354"/>
    <d v="2023-01-09T00:00:00"/>
    <x v="30"/>
    <x v="30"/>
    <n v="5.2680000000000001E-3"/>
    <n v="12.400872"/>
    <s v="PS"/>
    <x v="0"/>
    <x v="14"/>
    <s v="Q1"/>
    <n v="108"/>
    <n v="21.796296296296298"/>
    <s v="PG"/>
    <n v="1"/>
    <n v="2354"/>
    <n v="12.400872"/>
    <n v="21.796296296296298"/>
  </r>
  <r>
    <n v="69684522"/>
    <x v="2"/>
    <n v="1149"/>
    <d v="2023-01-09T00:00:00"/>
    <x v="31"/>
    <x v="31"/>
    <n v="4.2560000000000002E-3"/>
    <n v="4.8901440000000003"/>
    <s v="BR"/>
    <x v="0"/>
    <x v="5"/>
    <s v="Q1"/>
    <n v="143"/>
    <n v="8.034965034965035"/>
    <s v="MG Sticks"/>
    <n v="1"/>
    <n v="1149"/>
    <n v="4.8901440000000003"/>
    <n v="8.034965034965035"/>
  </r>
  <r>
    <n v="84137701"/>
    <x v="5"/>
    <n v="33979"/>
    <d v="2023-01-09T00:00:00"/>
    <x v="37"/>
    <x v="33"/>
    <n v="1.4399999999999999E-3"/>
    <n v="48.929759999999995"/>
    <s v="BJ"/>
    <x v="0"/>
    <x v="16"/>
    <s v="Q1"/>
    <n v="510"/>
    <n v="66.625490196078431"/>
    <s v="B&amp;J Cups"/>
    <n v="1"/>
    <n v="33979"/>
    <n v="48.929759999999995"/>
    <n v="66.625490196078431"/>
  </r>
  <r>
    <n v="84138391"/>
    <x v="5"/>
    <n v="48018"/>
    <d v="2023-01-09T00:00:00"/>
    <x v="84"/>
    <x v="33"/>
    <n v="3.7853439999999999E-3"/>
    <n v="181.76464819200001"/>
    <s v="BJ"/>
    <x v="0"/>
    <x v="15"/>
    <s v="Q1"/>
    <n v="240"/>
    <n v="200.07499999999999"/>
    <s v="BJ PTS"/>
    <n v="1"/>
    <n v="48018"/>
    <n v="181.76464819200001"/>
    <n v="200.07499999999999"/>
  </r>
  <r>
    <n v="84139090"/>
    <x v="2"/>
    <n v="0"/>
    <d v="2023-01-09T00:00:00"/>
    <x v="85"/>
    <x v="15"/>
    <n v="3.7853439999999999E-3"/>
    <n v="0"/>
    <s v="BJ"/>
    <x v="0"/>
    <x v="30"/>
    <s v="Q1"/>
    <n v="240"/>
    <n v="0"/>
    <s v="BJ PTS"/>
    <n v="1"/>
    <n v="0"/>
    <n v="0"/>
    <n v="0"/>
  </r>
  <r>
    <n v="84139090"/>
    <x v="2"/>
    <n v="1234"/>
    <d v="2023-01-09T00:00:00"/>
    <x v="85"/>
    <x v="15"/>
    <n v="3.7853439999999999E-3"/>
    <n v="4.6711144959999995"/>
    <s v="BJ"/>
    <x v="0"/>
    <x v="30"/>
    <s v="Q1"/>
    <n v="240"/>
    <n v="5.1416666666666666"/>
    <s v="BJ PTS"/>
    <n v="1"/>
    <n v="1234"/>
    <n v="4.6711144959999995"/>
    <n v="5.1416666666666666"/>
  </r>
  <r>
    <n v="84141101"/>
    <x v="5"/>
    <n v="45486"/>
    <d v="2023-01-09T00:00:00"/>
    <x v="86"/>
    <x v="33"/>
    <n v="3.7853439999999999E-3"/>
    <n v="172.180157184"/>
    <s v="BJ"/>
    <x v="0"/>
    <x v="15"/>
    <s v="Q1"/>
    <n v="240"/>
    <n v="189.52500000000001"/>
    <s v="BJ PTS"/>
    <n v="1"/>
    <n v="45486"/>
    <n v="172.180157184"/>
    <n v="189.52500000000001"/>
  </r>
  <r>
    <n v="84150073"/>
    <x v="5"/>
    <n v="7755"/>
    <d v="2023-01-09T00:00:00"/>
    <x v="87"/>
    <x v="33"/>
    <n v="1.4384307203870285E-3"/>
    <n v="11.155030236601407"/>
    <s v="BJ"/>
    <x v="0"/>
    <x v="31"/>
    <s v="Q1"/>
    <n v="510"/>
    <n v="15.205882352941176"/>
    <s v="Cup Exports"/>
    <n v="1"/>
    <n v="7755"/>
    <n v="11.155030236601407"/>
    <n v="15.205882352941176"/>
  </r>
  <r>
    <n v="67309843"/>
    <x v="3"/>
    <n v="0"/>
    <d v="2023-01-10T00:00:00"/>
    <x v="88"/>
    <x v="16"/>
    <n v="8.5199999999999998E-3"/>
    <n v="0"/>
    <s v="BR"/>
    <x v="0"/>
    <x v="6"/>
    <s v="Q1"/>
    <n v="154"/>
    <n v="0"/>
    <s v="48oz"/>
    <n v="1"/>
    <n v="0"/>
    <n v="0"/>
    <n v="0"/>
  </r>
  <r>
    <n v="67309845"/>
    <x v="3"/>
    <n v="2986"/>
    <d v="2023-01-10T00:00:00"/>
    <x v="62"/>
    <x v="16"/>
    <n v="8.5199999999999998E-3"/>
    <n v="25.440719999999999"/>
    <s v="BR"/>
    <x v="0"/>
    <x v="6"/>
    <s v="Q1"/>
    <n v="154"/>
    <n v="19.38961038961039"/>
    <s v="48oz"/>
    <n v="1"/>
    <n v="2986"/>
    <n v="25.440719999999999"/>
    <n v="19.38961038961039"/>
  </r>
  <r>
    <n v="67309864"/>
    <x v="2"/>
    <n v="5273"/>
    <d v="2023-01-10T00:00:00"/>
    <x v="63"/>
    <x v="2"/>
    <n v="8.5199999999999998E-3"/>
    <n v="44.925959999999996"/>
    <s v="BR"/>
    <x v="0"/>
    <x v="2"/>
    <s v="Q1"/>
    <n v="154"/>
    <n v="34.240259740259738"/>
    <s v="48oz"/>
    <n v="1"/>
    <n v="5273"/>
    <n v="44.925959999999996"/>
    <n v="34.240259740259738"/>
  </r>
  <r>
    <n v="67465063"/>
    <x v="3"/>
    <n v="1591"/>
    <d v="2023-01-10T00:00:00"/>
    <x v="3"/>
    <x v="6"/>
    <n v="5.2680000000000001E-3"/>
    <n v="8.3813879999999994"/>
    <s v="PS"/>
    <x v="0"/>
    <x v="3"/>
    <s v="Q1"/>
    <n v="130"/>
    <n v="12.238461538461538"/>
    <s v="PG"/>
    <n v="1"/>
    <n v="1591"/>
    <n v="8.3813879999999994"/>
    <n v="12.238461538461538"/>
  </r>
  <r>
    <n v="67465063"/>
    <x v="3"/>
    <n v="0"/>
    <d v="2023-01-10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715"/>
    <d v="2023-01-10T00:00:00"/>
    <x v="7"/>
    <x v="3"/>
    <n v="1.596E-3"/>
    <n v="1.14114"/>
    <s v="PS"/>
    <x v="0"/>
    <x v="3"/>
    <s v="Q1"/>
    <n v="130"/>
    <n v="5.5"/>
    <s v="PG"/>
    <n v="1"/>
    <n v="715"/>
    <n v="1.14114"/>
    <n v="5.5"/>
  </r>
  <r>
    <n v="67466492"/>
    <x v="3"/>
    <n v="4782"/>
    <d v="2023-01-10T00:00:00"/>
    <x v="8"/>
    <x v="7"/>
    <n v="5.2680000000000001E-3"/>
    <n v="25.191576000000001"/>
    <s v="PS"/>
    <x v="0"/>
    <x v="3"/>
    <s v="Q1"/>
    <n v="130"/>
    <n v="36.784615384615385"/>
    <s v="PG"/>
    <n v="1"/>
    <n v="4782"/>
    <n v="25.191576000000001"/>
    <n v="36.784615384615385"/>
  </r>
  <r>
    <n v="67466492"/>
    <x v="3"/>
    <n v="4370"/>
    <d v="2023-01-10T00:00:00"/>
    <x v="8"/>
    <x v="8"/>
    <n v="5.2680000000000001E-3"/>
    <n v="23.021160000000002"/>
    <s v="PS"/>
    <x v="0"/>
    <x v="3"/>
    <s v="Q1"/>
    <n v="130"/>
    <n v="33.615384615384613"/>
    <s v="PG"/>
    <n v="1"/>
    <n v="4370"/>
    <n v="23.021160000000002"/>
    <n v="33.615384615384613"/>
  </r>
  <r>
    <n v="67476456"/>
    <x v="3"/>
    <n v="9027"/>
    <d v="2023-01-10T00:00:00"/>
    <x v="9"/>
    <x v="9"/>
    <n v="1.536E-3"/>
    <n v="13.865472"/>
    <s v="PS"/>
    <x v="0"/>
    <x v="3"/>
    <s v="Q1"/>
    <n v="400"/>
    <n v="22.567499999999999"/>
    <s v="PG"/>
    <n v="1"/>
    <n v="9027"/>
    <n v="13.865472"/>
    <n v="22.567499999999999"/>
  </r>
  <r>
    <n v="67476560"/>
    <x v="3"/>
    <n v="977"/>
    <d v="2023-01-10T00:00:00"/>
    <x v="10"/>
    <x v="10"/>
    <n v="5.1060000000000003E-3"/>
    <n v="4.9885619999999999"/>
    <s v="PS"/>
    <x v="0"/>
    <x v="3"/>
    <s v="Q1"/>
    <n v="130"/>
    <n v="7.5153846153846153"/>
    <s v="PG"/>
    <n v="1"/>
    <n v="977"/>
    <n v="4.9885619999999999"/>
    <n v="7.5153846153846153"/>
  </r>
  <r>
    <n v="67885716"/>
    <x v="3"/>
    <n v="0"/>
    <d v="2023-01-10T00:00:00"/>
    <x v="89"/>
    <x v="11"/>
    <n v="8.5199999999999998E-3"/>
    <n v="0"/>
    <s v="BR"/>
    <x v="0"/>
    <x v="6"/>
    <s v="Q1"/>
    <n v="154"/>
    <n v="0"/>
    <s v="48oz"/>
    <n v="1"/>
    <n v="0"/>
    <n v="0"/>
    <n v="0"/>
  </r>
  <r>
    <n v="67893540"/>
    <x v="2"/>
    <n v="0"/>
    <d v="2023-01-10T00:00:00"/>
    <x v="66"/>
    <x v="2"/>
    <n v="8.5199999999999998E-3"/>
    <n v="0"/>
    <s v="BR"/>
    <x v="0"/>
    <x v="2"/>
    <s v="Q1"/>
    <n v="154"/>
    <n v="0"/>
    <s v="48oz"/>
    <n v="1"/>
    <n v="0"/>
    <n v="0"/>
    <n v="0"/>
  </r>
  <r>
    <n v="67901583"/>
    <x v="3"/>
    <n v="10425"/>
    <d v="2023-01-10T00:00:00"/>
    <x v="50"/>
    <x v="11"/>
    <n v="8.5199999999999998E-3"/>
    <n v="88.820999999999998"/>
    <s v="BR"/>
    <x v="0"/>
    <x v="6"/>
    <s v="Q1"/>
    <n v="154"/>
    <n v="67.694805194805198"/>
    <s v="48oz"/>
    <n v="1"/>
    <n v="10425"/>
    <n v="88.820999999999998"/>
    <n v="67.694805194805198"/>
  </r>
  <r>
    <n v="67901585"/>
    <x v="3"/>
    <n v="15910"/>
    <d v="2023-01-10T00:00:00"/>
    <x v="67"/>
    <x v="23"/>
    <n v="8.513999999999999E-3"/>
    <n v="135.45773999999997"/>
    <s v="BR"/>
    <x v="0"/>
    <x v="6"/>
    <s v="Q1"/>
    <n v="154"/>
    <n v="103.31168831168831"/>
    <s v="48oz"/>
    <n v="1"/>
    <n v="15910"/>
    <n v="135.45773999999997"/>
    <n v="103.31168831168831"/>
  </r>
  <r>
    <n v="67901593"/>
    <x v="2"/>
    <n v="1290"/>
    <d v="2023-01-10T00:00:00"/>
    <x v="68"/>
    <x v="32"/>
    <n v="8.5199999999999998E-3"/>
    <n v="10.9908"/>
    <s v="BR"/>
    <x v="0"/>
    <x v="2"/>
    <s v="Q1"/>
    <n v="154"/>
    <n v="8.3766233766233764"/>
    <s v="48oz"/>
    <n v="1"/>
    <n v="1290"/>
    <n v="10.9908"/>
    <n v="8.3766233766233764"/>
  </r>
  <r>
    <n v="68117574"/>
    <x v="2"/>
    <n v="4274"/>
    <d v="2023-01-10T00:00:00"/>
    <x v="69"/>
    <x v="14"/>
    <n v="4.2560000000000002E-3"/>
    <n v="18.190144"/>
    <s v="BR"/>
    <x v="0"/>
    <x v="5"/>
    <s v="Q1"/>
    <n v="143"/>
    <n v="29.888111888111887"/>
    <s v="MG Sticks"/>
    <n v="1"/>
    <n v="4274"/>
    <n v="18.190144"/>
    <n v="29.888111888111887"/>
  </r>
  <r>
    <n v="68188183"/>
    <x v="3"/>
    <n v="0"/>
    <d v="2023-01-10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414647"/>
    <x v="6"/>
    <n v="2805"/>
    <d v="2023-01-10T00:00:00"/>
    <x v="90"/>
    <x v="0"/>
    <n v="1.419504E-3"/>
    <n v="3.9817087200000003"/>
    <s v="BJ"/>
    <x v="0"/>
    <x v="17"/>
    <s v="Q1"/>
    <n v="238"/>
    <n v="11.785714285714286"/>
    <s v="B&amp;J Dog Treat - Repack"/>
    <n v="1"/>
    <n v="2805"/>
    <n v="3.9817087200000003"/>
    <n v="11.785714285714286"/>
  </r>
  <r>
    <n v="68634167"/>
    <x v="3"/>
    <n v="1963"/>
    <d v="2023-01-10T00:00:00"/>
    <x v="91"/>
    <x v="16"/>
    <n v="8.5199999999999998E-3"/>
    <n v="16.72476"/>
    <s v="BR"/>
    <x v="0"/>
    <x v="6"/>
    <s v="Q1"/>
    <n v="154"/>
    <n v="12.746753246753247"/>
    <s v="48oz"/>
    <n v="1"/>
    <n v="1963"/>
    <n v="16.72476"/>
    <n v="12.746753246753247"/>
  </r>
  <r>
    <n v="68634167"/>
    <x v="2"/>
    <n v="2388"/>
    <d v="2023-01-10T00:00:00"/>
    <x v="91"/>
    <x v="2"/>
    <n v="8.5199999999999998E-3"/>
    <n v="20.345759999999999"/>
    <s v="BR"/>
    <x v="0"/>
    <x v="2"/>
    <s v="Q1"/>
    <n v="154"/>
    <n v="15.506493506493506"/>
    <s v="48oz"/>
    <n v="1"/>
    <n v="2388"/>
    <n v="20.345759999999999"/>
    <n v="15.506493506493506"/>
  </r>
  <r>
    <n v="68634167"/>
    <x v="2"/>
    <n v="0"/>
    <d v="2023-01-10T00:00:00"/>
    <x v="91"/>
    <x v="2"/>
    <n v="8.5199999999999998E-3"/>
    <n v="0"/>
    <s v="BR"/>
    <x v="0"/>
    <x v="2"/>
    <s v="Q1"/>
    <n v="154"/>
    <n v="0"/>
    <s v="48oz"/>
    <n v="1"/>
    <n v="0"/>
    <n v="0"/>
    <n v="0"/>
  </r>
  <r>
    <n v="68634168"/>
    <x v="3"/>
    <n v="0"/>
    <d v="2023-01-10T00:00:00"/>
    <x v="42"/>
    <x v="16"/>
    <n v="8.5170239596469108E-3"/>
    <n v="0"/>
    <s v="BR"/>
    <x v="0"/>
    <x v="6"/>
    <s v="Q1"/>
    <n v="154"/>
    <n v="0"/>
    <s v="48oz"/>
    <n v="1"/>
    <n v="0"/>
    <n v="0"/>
    <n v="0"/>
  </r>
  <r>
    <n v="68688168"/>
    <x v="2"/>
    <n v="5916"/>
    <d v="2023-01-10T00:00:00"/>
    <x v="73"/>
    <x v="18"/>
    <n v="2.8380000000000002E-3"/>
    <n v="16.789608000000001"/>
    <s v="GH"/>
    <x v="0"/>
    <x v="9"/>
    <s v="Q1"/>
    <n v="264"/>
    <n v="22.40909090909091"/>
    <s v="ESS"/>
    <n v="1"/>
    <n v="5916"/>
    <n v="16.789608000000001"/>
    <n v="22.40909090909091"/>
  </r>
  <r>
    <n v="68689251"/>
    <x v="3"/>
    <n v="5855"/>
    <d v="2023-01-10T00:00:00"/>
    <x v="17"/>
    <x v="17"/>
    <n v="9.5760000000000012E-3"/>
    <n v="56.06748000000001"/>
    <s v="KL"/>
    <x v="0"/>
    <x v="8"/>
    <s v="Q1"/>
    <n v="132"/>
    <n v="44.356060606060609"/>
    <s v="EDF"/>
    <n v="1"/>
    <n v="5855"/>
    <n v="56.06748000000001"/>
    <n v="44.356060606060609"/>
  </r>
  <r>
    <n v="68709233"/>
    <x v="3"/>
    <n v="0"/>
    <d v="2023-01-10T00:00:00"/>
    <x v="19"/>
    <x v="19"/>
    <n v="8.4960000000000001E-3"/>
    <n v="0"/>
    <s v="KL"/>
    <x v="0"/>
    <x v="8"/>
    <s v="Q1"/>
    <n v="132"/>
    <n v="0"/>
    <s v="EDF"/>
    <n v="1"/>
    <n v="0"/>
    <n v="0"/>
    <n v="0"/>
  </r>
  <r>
    <n v="68709233"/>
    <x v="3"/>
    <n v="0"/>
    <d v="2023-01-10T00:00:00"/>
    <x v="19"/>
    <x v="20"/>
    <n v="8.4960000000000001E-3"/>
    <n v="0"/>
    <s v="KL"/>
    <x v="0"/>
    <x v="8"/>
    <s v="Q1"/>
    <n v="132"/>
    <n v="0"/>
    <s v="EDF"/>
    <n v="1"/>
    <n v="0"/>
    <n v="0"/>
    <n v="0"/>
  </r>
  <r>
    <n v="68710277"/>
    <x v="3"/>
    <n v="0"/>
    <d v="2023-01-10T00:00:00"/>
    <x v="20"/>
    <x v="20"/>
    <n v="8.5199999999999998E-3"/>
    <n v="0"/>
    <s v="KL"/>
    <x v="0"/>
    <x v="8"/>
    <s v="Q1"/>
    <n v="132"/>
    <n v="0"/>
    <s v="EDF"/>
    <n v="1"/>
    <n v="0"/>
    <n v="0"/>
    <n v="0"/>
  </r>
  <r>
    <n v="68710277"/>
    <x v="3"/>
    <n v="4726"/>
    <d v="2023-01-10T00:00:00"/>
    <x v="20"/>
    <x v="20"/>
    <n v="8.5199999999999998E-3"/>
    <n v="40.265520000000002"/>
    <s v="KL"/>
    <x v="0"/>
    <x v="8"/>
    <s v="Q1"/>
    <n v="132"/>
    <n v="35.803030303030305"/>
    <s v="EDF"/>
    <n v="1"/>
    <n v="4726"/>
    <n v="40.265520000000002"/>
    <n v="35.803030303030305"/>
  </r>
  <r>
    <n v="68710285"/>
    <x v="3"/>
    <n v="0"/>
    <d v="2023-01-10T00:00:00"/>
    <x v="74"/>
    <x v="20"/>
    <n v="8.5199999999999998E-3"/>
    <n v="0"/>
    <s v="KL"/>
    <x v="0"/>
    <x v="8"/>
    <s v="Q1"/>
    <n v="132"/>
    <n v="0"/>
    <s v="EDF"/>
    <n v="1"/>
    <n v="0"/>
    <n v="0"/>
    <n v="0"/>
  </r>
  <r>
    <n v="68728342"/>
    <x v="2"/>
    <n v="0"/>
    <d v="2023-01-10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28342"/>
    <x v="2"/>
    <n v="15532"/>
    <d v="2023-01-10T00:00:00"/>
    <x v="44"/>
    <x v="22"/>
    <n v="3.7853439999999999E-3"/>
    <n v="58.793963007999999"/>
    <s v="TA"/>
    <x v="0"/>
    <x v="10"/>
    <s v="Q1"/>
    <n v="255"/>
    <n v="60.909803921568624"/>
    <s v="TALENTI"/>
    <n v="1"/>
    <n v="15532"/>
    <n v="58.793963007999999"/>
    <n v="60.909803921568624"/>
  </r>
  <r>
    <n v="68728342"/>
    <x v="2"/>
    <n v="3371"/>
    <d v="2023-01-10T00:00:00"/>
    <x v="44"/>
    <x v="22"/>
    <n v="3.7853439999999999E-3"/>
    <n v="12.760394624"/>
    <s v="TA"/>
    <x v="0"/>
    <x v="10"/>
    <s v="Q1"/>
    <n v="255"/>
    <n v="13.219607843137254"/>
    <s v="TALENTI"/>
    <n v="1"/>
    <n v="3371"/>
    <n v="12.760394624"/>
    <n v="13.219607843137254"/>
  </r>
  <r>
    <n v="68728342"/>
    <x v="2"/>
    <n v="0"/>
    <d v="2023-01-10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29634"/>
    <x v="2"/>
    <n v="8601"/>
    <d v="2023-01-10T00:00:00"/>
    <x v="92"/>
    <x v="22"/>
    <n v="3.7853439999999999E-3"/>
    <n v="32.557743744"/>
    <s v="TA"/>
    <x v="0"/>
    <x v="10"/>
    <s v="Q1"/>
    <n v="255"/>
    <n v="33.72941176470588"/>
    <s v="TALENTI"/>
    <n v="1"/>
    <n v="8601"/>
    <n v="32.557743744"/>
    <n v="33.72941176470588"/>
  </r>
  <r>
    <n v="68730252"/>
    <x v="2"/>
    <n v="0"/>
    <d v="2023-01-10T00:00:00"/>
    <x v="22"/>
    <x v="22"/>
    <n v="3.7853440000000004E-3"/>
    <n v="0"/>
    <s v="TA"/>
    <x v="0"/>
    <x v="10"/>
    <s v="Q1"/>
    <n v="255"/>
    <n v="0"/>
    <s v="TALENTI"/>
    <n v="1"/>
    <n v="0"/>
    <n v="0"/>
    <n v="0"/>
  </r>
  <r>
    <n v="68730257"/>
    <x v="2"/>
    <n v="23095"/>
    <d v="2023-01-10T00:00:00"/>
    <x v="75"/>
    <x v="21"/>
    <n v="3.7853440000000004E-3"/>
    <n v="87.422519680000008"/>
    <s v="TA"/>
    <x v="0"/>
    <x v="10"/>
    <s v="Q1"/>
    <n v="255"/>
    <n v="90.568627450980387"/>
    <s v="TALENTI"/>
    <n v="1"/>
    <n v="23095"/>
    <n v="87.422519680000008"/>
    <n v="90.568627450980387"/>
  </r>
  <r>
    <n v="68741714"/>
    <x v="3"/>
    <n v="7014"/>
    <d v="2023-01-10T00:00:00"/>
    <x v="24"/>
    <x v="24"/>
    <n v="2.8319999999999999E-3"/>
    <n v="19.863647999999998"/>
    <s v="GH"/>
    <x v="0"/>
    <x v="4"/>
    <s v="Q1"/>
    <n v="225"/>
    <n v="31.173333333333332"/>
    <s v="MBG"/>
    <n v="1"/>
    <n v="7014"/>
    <n v="19.863647999999998"/>
    <n v="31.173333333333332"/>
  </r>
  <r>
    <n v="68741742"/>
    <x v="2"/>
    <n v="4415"/>
    <d v="2023-01-10T00:00:00"/>
    <x v="25"/>
    <x v="25"/>
    <n v="4.2560000000000002E-3"/>
    <n v="18.790240000000001"/>
    <s v="GH"/>
    <x v="0"/>
    <x v="11"/>
    <s v="Q1"/>
    <n v="154"/>
    <n v="28.668831168831169"/>
    <s v="MBG"/>
    <n v="1"/>
    <n v="4415"/>
    <n v="18.790240000000001"/>
    <n v="28.668831168831169"/>
  </r>
  <r>
    <n v="68821728"/>
    <x v="2"/>
    <n v="0"/>
    <d v="2023-01-10T00:00:00"/>
    <x v="35"/>
    <x v="13"/>
    <n v="8.5199999999999998E-3"/>
    <n v="0"/>
    <s v="BR"/>
    <x v="0"/>
    <x v="2"/>
    <s v="Q1"/>
    <n v="176"/>
    <n v="0"/>
    <s v="48oz"/>
    <n v="1"/>
    <n v="0"/>
    <n v="0"/>
    <n v="0"/>
  </r>
  <r>
    <n v="68852591"/>
    <x v="2"/>
    <n v="4502"/>
    <d v="2023-01-10T00:00:00"/>
    <x v="26"/>
    <x v="26"/>
    <n v="8.5199999999999998E-3"/>
    <n v="38.357039999999998"/>
    <s v="KL"/>
    <x v="0"/>
    <x v="12"/>
    <s v="Q1"/>
    <n v="132"/>
    <n v="34.106060606060609"/>
    <s v="EDF"/>
    <n v="1"/>
    <n v="4502"/>
    <n v="38.357039999999998"/>
    <n v="34.106060606060609"/>
  </r>
  <r>
    <n v="68860008"/>
    <x v="7"/>
    <n v="38361"/>
    <d v="2023-01-10T00:00:00"/>
    <x v="45"/>
    <x v="0"/>
    <n v="3.7853439999999999E-3"/>
    <n v="145.209581184"/>
    <s v="BJ"/>
    <x v="0"/>
    <x v="18"/>
    <s v="Q1"/>
    <n v="240"/>
    <n v="159.83750000000001"/>
    <s v="BJ PTS"/>
    <n v="1"/>
    <n v="38361"/>
    <n v="145.209581184"/>
    <n v="159.83750000000001"/>
  </r>
  <r>
    <n v="68899825"/>
    <x v="2"/>
    <n v="11876"/>
    <d v="2023-01-10T00:00:00"/>
    <x v="77"/>
    <x v="13"/>
    <n v="8.5199999999999998E-3"/>
    <n v="101.18352"/>
    <s v="BR"/>
    <x v="0"/>
    <x v="2"/>
    <s v="Q1"/>
    <n v="176"/>
    <n v="67.477272727272734"/>
    <s v="48oz"/>
    <n v="1"/>
    <n v="11876"/>
    <n v="101.18352"/>
    <n v="67.477272727272734"/>
  </r>
  <r>
    <n v="68899825"/>
    <x v="2"/>
    <n v="0"/>
    <d v="2023-01-10T00:00:00"/>
    <x v="77"/>
    <x v="13"/>
    <n v="8.5199999999999998E-3"/>
    <n v="0"/>
    <s v="BR"/>
    <x v="0"/>
    <x v="2"/>
    <s v="Q1"/>
    <n v="176"/>
    <n v="0"/>
    <s v="48oz"/>
    <n v="1"/>
    <n v="0"/>
    <n v="0"/>
    <n v="0"/>
  </r>
  <r>
    <n v="68914406"/>
    <x v="2"/>
    <n v="1586"/>
    <d v="2023-01-10T00:00:00"/>
    <x v="78"/>
    <x v="27"/>
    <n v="2.124E-3"/>
    <n v="3.3686639999999999"/>
    <s v="KL"/>
    <x v="0"/>
    <x v="9"/>
    <s v="Q1"/>
    <n v="352"/>
    <n v="4.5056818181818183"/>
    <s v="ESS"/>
    <n v="1"/>
    <n v="1586"/>
    <n v="3.3686639999999999"/>
    <n v="4.5056818181818183"/>
  </r>
  <r>
    <n v="68930545"/>
    <x v="3"/>
    <n v="6532"/>
    <d v="2023-01-10T00:00:00"/>
    <x v="93"/>
    <x v="12"/>
    <n v="8.5199999999999998E-3"/>
    <n v="55.652639999999998"/>
    <s v="BR"/>
    <x v="0"/>
    <x v="6"/>
    <s v="Q1"/>
    <n v="176"/>
    <n v="37.113636363636367"/>
    <s v="48oz"/>
    <n v="1"/>
    <n v="6532"/>
    <n v="55.652639999999998"/>
    <n v="37.113636363636367"/>
  </r>
  <r>
    <n v="69549032"/>
    <x v="3"/>
    <n v="605"/>
    <d v="2023-01-10T00:00:00"/>
    <x v="79"/>
    <x v="36"/>
    <n v="2.3469132803553457E-3"/>
    <n v="1.4198825346149841"/>
    <s v="GH"/>
    <x v="0"/>
    <x v="28"/>
    <s v="Q1"/>
    <n v="350"/>
    <n v="1.7285714285714286"/>
    <s v="EFW"/>
    <n v="1"/>
    <n v="605"/>
    <n v="1.4198825346149841"/>
    <n v="1.7285714285714286"/>
  </r>
  <r>
    <n v="69549217"/>
    <x v="2"/>
    <n v="1066"/>
    <d v="2023-01-10T00:00:00"/>
    <x v="80"/>
    <x v="5"/>
    <n v="2.0400000000000001E-3"/>
    <n v="2.1746400000000001"/>
    <s v="MG"/>
    <x v="0"/>
    <x v="5"/>
    <s v="Q1"/>
    <n v="189"/>
    <n v="5.64021164021164"/>
    <s v="MG Sticks"/>
    <n v="1"/>
    <n v="1066"/>
    <n v="2.1746400000000001"/>
    <n v="5.64021164021164"/>
  </r>
  <r>
    <n v="69551489"/>
    <x v="3"/>
    <n v="0"/>
    <d v="2023-01-10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3016"/>
    <d v="2023-01-10T00:00:00"/>
    <x v="4"/>
    <x v="4"/>
    <n v="3.8989043190215313E-3"/>
    <n v="11.759095426168939"/>
    <s v="GH"/>
    <x v="0"/>
    <x v="4"/>
    <s v="Q1"/>
    <n v="154"/>
    <n v="19.584415584415584"/>
    <s v="MBG"/>
    <n v="1"/>
    <n v="3016"/>
    <n v="11.759095426168939"/>
    <n v="19.584415584415584"/>
  </r>
  <r>
    <n v="69552658"/>
    <x v="10"/>
    <n v="4725"/>
    <d v="2023-01-10T00:00:00"/>
    <x v="81"/>
    <x v="37"/>
    <n v="2.8390080000000001E-3"/>
    <n v="13.414312800000001"/>
    <s v="KL"/>
    <x v="0"/>
    <x v="29"/>
    <s v="Q1"/>
    <n v="189"/>
    <n v="25"/>
    <s v="ESS"/>
    <n v="1"/>
    <n v="4725"/>
    <n v="13.414312800000001"/>
    <n v="25"/>
  </r>
  <r>
    <n v="69621212"/>
    <x v="2"/>
    <n v="4367"/>
    <d v="2023-01-10T00:00:00"/>
    <x v="29"/>
    <x v="28"/>
    <n v="5.2680000000000001E-3"/>
    <n v="23.005355999999999"/>
    <s v="PG"/>
    <x v="0"/>
    <x v="14"/>
    <s v="Q1"/>
    <n v="130"/>
    <n v="33.592307692307692"/>
    <s v="PG"/>
    <n v="1"/>
    <n v="4367"/>
    <n v="23.005355999999999"/>
    <n v="33.592307692307692"/>
  </r>
  <r>
    <n v="69677917"/>
    <x v="3"/>
    <n v="4420"/>
    <d v="2023-01-10T00:00:00"/>
    <x v="30"/>
    <x v="29"/>
    <n v="5.2680000000000001E-3"/>
    <n v="23.284559999999999"/>
    <s v="PS"/>
    <x v="0"/>
    <x v="3"/>
    <s v="Q1"/>
    <n v="108"/>
    <n v="40.925925925925924"/>
    <s v="PG"/>
    <n v="1"/>
    <n v="4420"/>
    <n v="23.284559999999999"/>
    <n v="40.925925925925924"/>
  </r>
  <r>
    <n v="69677917"/>
    <x v="2"/>
    <n v="4031"/>
    <d v="2023-01-10T00:00:00"/>
    <x v="30"/>
    <x v="30"/>
    <n v="5.2680000000000001E-3"/>
    <n v="21.235308"/>
    <s v="PS"/>
    <x v="0"/>
    <x v="14"/>
    <s v="Q1"/>
    <n v="108"/>
    <n v="37.324074074074076"/>
    <s v="PG"/>
    <n v="1"/>
    <n v="4031"/>
    <n v="21.235308"/>
    <n v="37.324074074074076"/>
  </r>
  <r>
    <n v="69684522"/>
    <x v="2"/>
    <n v="4175"/>
    <d v="2023-01-10T00:00:00"/>
    <x v="31"/>
    <x v="31"/>
    <n v="4.2560000000000002E-3"/>
    <n v="17.768800000000002"/>
    <s v="BR"/>
    <x v="0"/>
    <x v="5"/>
    <s v="Q1"/>
    <n v="143"/>
    <n v="29.195804195804197"/>
    <s v="MG Sticks"/>
    <n v="1"/>
    <n v="4175"/>
    <n v="17.768800000000002"/>
    <n v="29.195804195804197"/>
  </r>
  <r>
    <n v="84139090"/>
    <x v="2"/>
    <n v="11801"/>
    <d v="2023-01-10T00:00:00"/>
    <x v="85"/>
    <x v="15"/>
    <n v="3.7853439999999999E-3"/>
    <n v="44.670844543999998"/>
    <s v="BJ"/>
    <x v="0"/>
    <x v="30"/>
    <s v="Q1"/>
    <n v="240"/>
    <n v="49.170833333333334"/>
    <s v="BJ PTS"/>
    <n v="1"/>
    <n v="11801"/>
    <n v="44.670844543999998"/>
    <n v="49.170833333333334"/>
  </r>
  <r>
    <n v="67309843"/>
    <x v="3"/>
    <n v="0"/>
    <d v="2023-01-11T00:00:00"/>
    <x v="88"/>
    <x v="16"/>
    <n v="8.5199999999999998E-3"/>
    <n v="0"/>
    <s v="BR"/>
    <x v="0"/>
    <x v="6"/>
    <s v="Q1"/>
    <n v="154"/>
    <n v="0"/>
    <s v="48oz"/>
    <n v="1"/>
    <n v="0"/>
    <n v="0"/>
    <n v="0"/>
  </r>
  <r>
    <n v="67309864"/>
    <x v="2"/>
    <n v="0"/>
    <d v="2023-01-11T00:00:00"/>
    <x v="63"/>
    <x v="2"/>
    <n v="8.5199999999999998E-3"/>
    <n v="0"/>
    <s v="BR"/>
    <x v="0"/>
    <x v="2"/>
    <s v="Q1"/>
    <n v="154"/>
    <n v="0"/>
    <s v="48oz"/>
    <n v="1"/>
    <n v="0"/>
    <n v="0"/>
    <n v="0"/>
  </r>
  <r>
    <n v="67465063"/>
    <x v="3"/>
    <n v="3241"/>
    <d v="2023-01-11T00:00:00"/>
    <x v="3"/>
    <x v="6"/>
    <n v="5.2680000000000001E-3"/>
    <n v="17.073588000000001"/>
    <s v="PS"/>
    <x v="0"/>
    <x v="3"/>
    <s v="Q1"/>
    <n v="130"/>
    <n v="24.930769230769229"/>
    <s v="PG"/>
    <n v="1"/>
    <n v="3241"/>
    <n v="17.073588000000001"/>
    <n v="24.930769230769229"/>
  </r>
  <r>
    <n v="67465063"/>
    <x v="3"/>
    <n v="0"/>
    <d v="2023-01-11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828"/>
    <d v="2023-01-11T00:00:00"/>
    <x v="7"/>
    <x v="3"/>
    <n v="1.596E-3"/>
    <n v="1.321488"/>
    <s v="PS"/>
    <x v="0"/>
    <x v="3"/>
    <s v="Q1"/>
    <n v="130"/>
    <n v="6.3692307692307688"/>
    <s v="PG"/>
    <n v="1"/>
    <n v="828"/>
    <n v="1.321488"/>
    <n v="6.3692307692307688"/>
  </r>
  <r>
    <n v="67466492"/>
    <x v="3"/>
    <n v="4961"/>
    <d v="2023-01-11T00:00:00"/>
    <x v="8"/>
    <x v="7"/>
    <n v="5.2680000000000001E-3"/>
    <n v="26.134548000000002"/>
    <s v="PS"/>
    <x v="0"/>
    <x v="3"/>
    <s v="Q1"/>
    <n v="130"/>
    <n v="38.161538461538463"/>
    <s v="PG"/>
    <n v="1"/>
    <n v="4961"/>
    <n v="26.134548000000002"/>
    <n v="38.161538461538463"/>
  </r>
  <r>
    <n v="67466492"/>
    <x v="3"/>
    <n v="1714"/>
    <d v="2023-01-11T00:00:00"/>
    <x v="8"/>
    <x v="8"/>
    <n v="5.2680000000000001E-3"/>
    <n v="9.0293519999999994"/>
    <s v="PS"/>
    <x v="0"/>
    <x v="3"/>
    <s v="Q1"/>
    <n v="130"/>
    <n v="13.184615384615384"/>
    <s v="PG"/>
    <n v="1"/>
    <n v="1714"/>
    <n v="9.0293519999999994"/>
    <n v="13.184615384615384"/>
  </r>
  <r>
    <n v="67476456"/>
    <x v="3"/>
    <n v="13320"/>
    <d v="2023-01-11T00:00:00"/>
    <x v="9"/>
    <x v="9"/>
    <n v="1.536E-3"/>
    <n v="20.459520000000001"/>
    <s v="PS"/>
    <x v="0"/>
    <x v="3"/>
    <s v="Q1"/>
    <n v="400"/>
    <n v="33.299999999999997"/>
    <s v="PG"/>
    <n v="1"/>
    <n v="13320"/>
    <n v="20.459520000000001"/>
    <n v="33.299999999999997"/>
  </r>
  <r>
    <n v="67476560"/>
    <x v="3"/>
    <n v="2178"/>
    <d v="2023-01-11T00:00:00"/>
    <x v="10"/>
    <x v="10"/>
    <n v="5.1060000000000003E-3"/>
    <n v="11.120868000000002"/>
    <s v="PS"/>
    <x v="0"/>
    <x v="3"/>
    <s v="Q1"/>
    <n v="130"/>
    <n v="16.753846153846155"/>
    <s v="PG"/>
    <n v="1"/>
    <n v="2178"/>
    <n v="11.120868000000002"/>
    <n v="16.753846153846155"/>
  </r>
  <r>
    <n v="67885716"/>
    <x v="3"/>
    <n v="6737"/>
    <d v="2023-01-11T00:00:00"/>
    <x v="89"/>
    <x v="11"/>
    <n v="8.5199999999999998E-3"/>
    <n v="57.399239999999999"/>
    <s v="BR"/>
    <x v="0"/>
    <x v="6"/>
    <s v="Q1"/>
    <n v="154"/>
    <n v="43.746753246753244"/>
    <s v="48oz"/>
    <n v="1"/>
    <n v="6737"/>
    <n v="57.399239999999999"/>
    <n v="43.746753246753244"/>
  </r>
  <r>
    <n v="67901583"/>
    <x v="3"/>
    <n v="1668"/>
    <d v="2023-01-11T00:00:00"/>
    <x v="50"/>
    <x v="11"/>
    <n v="8.5199999999999998E-3"/>
    <n v="14.211359999999999"/>
    <s v="BR"/>
    <x v="0"/>
    <x v="6"/>
    <s v="Q1"/>
    <n v="154"/>
    <n v="10.831168831168831"/>
    <s v="48oz"/>
    <n v="1"/>
    <n v="1668"/>
    <n v="14.211359999999999"/>
    <n v="10.831168831168831"/>
  </r>
  <r>
    <n v="67901585"/>
    <x v="3"/>
    <n v="9787"/>
    <d v="2023-01-11T00:00:00"/>
    <x v="67"/>
    <x v="23"/>
    <n v="8.513999999999999E-3"/>
    <n v="83.326517999999993"/>
    <s v="BR"/>
    <x v="0"/>
    <x v="6"/>
    <s v="Q1"/>
    <n v="154"/>
    <n v="63.551948051948052"/>
    <s v="48oz"/>
    <n v="1"/>
    <n v="9787"/>
    <n v="83.326517999999993"/>
    <n v="63.551948051948052"/>
  </r>
  <r>
    <n v="67901593"/>
    <x v="2"/>
    <n v="14078"/>
    <d v="2023-01-11T00:00:00"/>
    <x v="68"/>
    <x v="32"/>
    <n v="8.5199999999999998E-3"/>
    <n v="119.94456"/>
    <s v="BR"/>
    <x v="0"/>
    <x v="2"/>
    <s v="Q1"/>
    <n v="154"/>
    <n v="91.415584415584419"/>
    <s v="48oz"/>
    <n v="1"/>
    <n v="14078"/>
    <n v="119.94456"/>
    <n v="91.415584415584419"/>
  </r>
  <r>
    <n v="68117574"/>
    <x v="2"/>
    <n v="5528"/>
    <d v="2023-01-11T00:00:00"/>
    <x v="69"/>
    <x v="14"/>
    <n v="4.2560000000000002E-3"/>
    <n v="23.527168"/>
    <s v="BR"/>
    <x v="0"/>
    <x v="5"/>
    <s v="Q1"/>
    <n v="143"/>
    <n v="38.65734265734266"/>
    <s v="MG Sticks"/>
    <n v="1"/>
    <n v="5528"/>
    <n v="23.527168"/>
    <n v="38.65734265734266"/>
  </r>
  <r>
    <n v="68143999"/>
    <x v="2"/>
    <n v="0"/>
    <d v="2023-01-11T00:00:00"/>
    <x v="94"/>
    <x v="13"/>
    <n v="8.5199999999999998E-3"/>
    <n v="0"/>
    <s v="BR"/>
    <x v="0"/>
    <x v="2"/>
    <s v="Q1"/>
    <n v="154"/>
    <n v="0"/>
    <s v="48oz"/>
    <n v="1"/>
    <n v="0"/>
    <n v="0"/>
    <n v="0"/>
  </r>
  <r>
    <n v="68143999"/>
    <x v="2"/>
    <n v="1915"/>
    <d v="2023-01-11T00:00:00"/>
    <x v="94"/>
    <x v="13"/>
    <n v="8.5199999999999998E-3"/>
    <n v="16.315799999999999"/>
    <s v="BR"/>
    <x v="0"/>
    <x v="2"/>
    <s v="Q1"/>
    <n v="154"/>
    <n v="12.435064935064934"/>
    <s v="48oz"/>
    <n v="1"/>
    <n v="1915"/>
    <n v="16.315799999999999"/>
    <n v="12.435064935064934"/>
  </r>
  <r>
    <n v="68188183"/>
    <x v="3"/>
    <n v="0"/>
    <d v="2023-01-11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634167"/>
    <x v="3"/>
    <n v="12950"/>
    <d v="2023-01-11T00:00:00"/>
    <x v="91"/>
    <x v="16"/>
    <n v="8.5199999999999998E-3"/>
    <n v="110.334"/>
    <s v="BR"/>
    <x v="0"/>
    <x v="6"/>
    <s v="Q1"/>
    <n v="154"/>
    <n v="84.090909090909093"/>
    <s v="48oz"/>
    <n v="1"/>
    <n v="12950"/>
    <n v="110.334"/>
    <n v="84.090909090909093"/>
  </r>
  <r>
    <n v="68634167"/>
    <x v="2"/>
    <n v="0"/>
    <d v="2023-01-11T00:00:00"/>
    <x v="91"/>
    <x v="2"/>
    <n v="8.5199999999999998E-3"/>
    <n v="0"/>
    <s v="BR"/>
    <x v="0"/>
    <x v="2"/>
    <s v="Q1"/>
    <n v="154"/>
    <n v="0"/>
    <s v="48oz"/>
    <n v="1"/>
    <n v="0"/>
    <n v="0"/>
    <n v="0"/>
  </r>
  <r>
    <n v="68634167"/>
    <x v="2"/>
    <n v="7847"/>
    <d v="2023-01-11T00:00:00"/>
    <x v="91"/>
    <x v="2"/>
    <n v="8.5199999999999998E-3"/>
    <n v="66.856439999999992"/>
    <s v="BR"/>
    <x v="0"/>
    <x v="2"/>
    <s v="Q1"/>
    <n v="154"/>
    <n v="50.954545454545453"/>
    <s v="48oz"/>
    <n v="1"/>
    <n v="7847"/>
    <n v="66.856439999999992"/>
    <n v="50.954545454545453"/>
  </r>
  <r>
    <n v="68634168"/>
    <x v="3"/>
    <n v="0"/>
    <d v="2023-01-11T00:00:00"/>
    <x v="42"/>
    <x v="16"/>
    <n v="8.5170239596469108E-3"/>
    <n v="0"/>
    <s v="BR"/>
    <x v="0"/>
    <x v="6"/>
    <s v="Q1"/>
    <n v="154"/>
    <n v="0"/>
    <s v="48oz"/>
    <n v="1"/>
    <n v="0"/>
    <n v="0"/>
    <n v="0"/>
  </r>
  <r>
    <n v="68688168"/>
    <x v="2"/>
    <n v="4756"/>
    <d v="2023-01-11T00:00:00"/>
    <x v="73"/>
    <x v="18"/>
    <n v="2.8380000000000002E-3"/>
    <n v="13.497528000000001"/>
    <s v="GH"/>
    <x v="0"/>
    <x v="9"/>
    <s v="Q1"/>
    <n v="264"/>
    <n v="18.015151515151516"/>
    <s v="ESS"/>
    <n v="1"/>
    <n v="4756"/>
    <n v="13.497528000000001"/>
    <n v="18.015151515151516"/>
  </r>
  <r>
    <n v="68689251"/>
    <x v="3"/>
    <n v="4966"/>
    <d v="2023-01-11T00:00:00"/>
    <x v="17"/>
    <x v="17"/>
    <n v="9.5760000000000012E-3"/>
    <n v="47.554416000000003"/>
    <s v="KL"/>
    <x v="0"/>
    <x v="8"/>
    <s v="Q1"/>
    <n v="132"/>
    <n v="37.621212121212125"/>
    <s v="EDF"/>
    <n v="1"/>
    <n v="4966"/>
    <n v="47.554416000000003"/>
    <n v="37.621212121212125"/>
  </r>
  <r>
    <n v="68709233"/>
    <x v="3"/>
    <n v="0"/>
    <d v="2023-01-11T00:00:00"/>
    <x v="19"/>
    <x v="19"/>
    <n v="8.4960000000000001E-3"/>
    <n v="0"/>
    <s v="KL"/>
    <x v="0"/>
    <x v="8"/>
    <s v="Q1"/>
    <n v="132"/>
    <n v="0"/>
    <s v="EDF"/>
    <n v="1"/>
    <n v="0"/>
    <n v="0"/>
    <n v="0"/>
  </r>
  <r>
    <n v="68709233"/>
    <x v="3"/>
    <n v="836"/>
    <d v="2023-01-11T00:00:00"/>
    <x v="19"/>
    <x v="20"/>
    <n v="8.4960000000000001E-3"/>
    <n v="7.1026559999999996"/>
    <s v="KL"/>
    <x v="0"/>
    <x v="8"/>
    <s v="Q1"/>
    <n v="132"/>
    <n v="6.333333333333333"/>
    <s v="EDF"/>
    <n v="1"/>
    <n v="836"/>
    <n v="7.1026559999999996"/>
    <n v="6.333333333333333"/>
  </r>
  <r>
    <n v="68710277"/>
    <x v="3"/>
    <n v="0"/>
    <d v="2023-01-11T00:00:00"/>
    <x v="20"/>
    <x v="20"/>
    <n v="8.5199999999999998E-3"/>
    <n v="0"/>
    <s v="KL"/>
    <x v="0"/>
    <x v="8"/>
    <s v="Q1"/>
    <n v="132"/>
    <n v="0"/>
    <s v="EDF"/>
    <n v="1"/>
    <n v="0"/>
    <n v="0"/>
    <n v="0"/>
  </r>
  <r>
    <n v="68710277"/>
    <x v="3"/>
    <n v="2384"/>
    <d v="2023-01-11T00:00:00"/>
    <x v="20"/>
    <x v="20"/>
    <n v="8.5199999999999998E-3"/>
    <n v="20.311679999999999"/>
    <s v="KL"/>
    <x v="0"/>
    <x v="8"/>
    <s v="Q1"/>
    <n v="132"/>
    <n v="18.060606060606062"/>
    <s v="EDF"/>
    <n v="1"/>
    <n v="2384"/>
    <n v="20.311679999999999"/>
    <n v="18.060606060606062"/>
  </r>
  <r>
    <n v="68710285"/>
    <x v="3"/>
    <n v="0"/>
    <d v="2023-01-11T00:00:00"/>
    <x v="74"/>
    <x v="20"/>
    <n v="8.5199999999999998E-3"/>
    <n v="0"/>
    <s v="KL"/>
    <x v="0"/>
    <x v="8"/>
    <s v="Q1"/>
    <n v="132"/>
    <n v="0"/>
    <s v="EDF"/>
    <n v="1"/>
    <n v="0"/>
    <n v="0"/>
    <n v="0"/>
  </r>
  <r>
    <n v="68728342"/>
    <x v="2"/>
    <n v="0"/>
    <d v="2023-01-11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29136"/>
    <x v="8"/>
    <n v="3386"/>
    <d v="2023-01-11T00:00:00"/>
    <x v="55"/>
    <x v="0"/>
    <n v="2.7000000000000001E-3"/>
    <n v="9.1422000000000008"/>
    <s v="MG"/>
    <x v="0"/>
    <x v="21"/>
    <s v="Q1"/>
    <n v="170"/>
    <n v="19.91764705882353"/>
    <s v="MG Sticks ND"/>
    <n v="1"/>
    <n v="3386"/>
    <n v="9.1422000000000008"/>
    <n v="19.91764705882353"/>
  </r>
  <r>
    <n v="68729634"/>
    <x v="2"/>
    <n v="9850"/>
    <d v="2023-01-11T00:00:00"/>
    <x v="92"/>
    <x v="22"/>
    <n v="3.7853439999999999E-3"/>
    <n v="37.285638399999996"/>
    <s v="TA"/>
    <x v="0"/>
    <x v="10"/>
    <s v="Q1"/>
    <n v="255"/>
    <n v="38.627450980392155"/>
    <s v="TALENTI"/>
    <n v="1"/>
    <n v="9850"/>
    <n v="37.285638399999996"/>
    <n v="38.627450980392155"/>
  </r>
  <r>
    <n v="68730257"/>
    <x v="2"/>
    <n v="0"/>
    <d v="2023-01-11T00:00:00"/>
    <x v="75"/>
    <x v="21"/>
    <n v="3.7853440000000004E-3"/>
    <n v="0"/>
    <s v="TA"/>
    <x v="0"/>
    <x v="10"/>
    <s v="Q1"/>
    <n v="255"/>
    <n v="0"/>
    <s v="TALENTI"/>
    <n v="1"/>
    <n v="0"/>
    <n v="0"/>
    <n v="0"/>
  </r>
  <r>
    <n v="68730257"/>
    <x v="2"/>
    <n v="0"/>
    <d v="2023-01-11T00:00:00"/>
    <x v="75"/>
    <x v="21"/>
    <n v="3.7853440000000004E-3"/>
    <n v="0"/>
    <s v="TA"/>
    <x v="0"/>
    <x v="10"/>
    <s v="Q1"/>
    <n v="255"/>
    <n v="0"/>
    <s v="TALENTI"/>
    <n v="1"/>
    <n v="0"/>
    <n v="0"/>
    <n v="0"/>
  </r>
  <r>
    <n v="68741714"/>
    <x v="3"/>
    <n v="5117"/>
    <d v="2023-01-11T00:00:00"/>
    <x v="24"/>
    <x v="24"/>
    <n v="2.8319999999999999E-3"/>
    <n v="14.491344"/>
    <s v="GH"/>
    <x v="0"/>
    <x v="4"/>
    <s v="Q1"/>
    <n v="225"/>
    <n v="22.742222222222221"/>
    <s v="MBG"/>
    <n v="1"/>
    <n v="5117"/>
    <n v="14.491344"/>
    <n v="22.742222222222221"/>
  </r>
  <r>
    <n v="68741742"/>
    <x v="2"/>
    <n v="6774"/>
    <d v="2023-01-11T00:00:00"/>
    <x v="25"/>
    <x v="25"/>
    <n v="4.2560000000000002E-3"/>
    <n v="28.830144000000001"/>
    <s v="GH"/>
    <x v="0"/>
    <x v="11"/>
    <s v="Q1"/>
    <n v="154"/>
    <n v="43.987012987012989"/>
    <s v="MBG"/>
    <n v="1"/>
    <n v="6774"/>
    <n v="28.830144000000001"/>
    <n v="43.987012987012989"/>
  </r>
  <r>
    <n v="68860008"/>
    <x v="7"/>
    <n v="9600"/>
    <d v="2023-01-11T00:00:00"/>
    <x v="45"/>
    <x v="0"/>
    <n v="3.7853439999999999E-3"/>
    <n v="36.339302400000001"/>
    <s v="BJ"/>
    <x v="0"/>
    <x v="18"/>
    <s v="Q1"/>
    <n v="240"/>
    <n v="40"/>
    <s v="BJ PTS"/>
    <n v="1"/>
    <n v="9600"/>
    <n v="36.339302400000001"/>
    <n v="40"/>
  </r>
  <r>
    <n v="68899825"/>
    <x v="2"/>
    <n v="7418"/>
    <d v="2023-01-11T00:00:00"/>
    <x v="77"/>
    <x v="13"/>
    <n v="8.5199999999999998E-3"/>
    <n v="63.201360000000001"/>
    <s v="BR"/>
    <x v="0"/>
    <x v="2"/>
    <s v="Q1"/>
    <n v="176"/>
    <n v="42.147727272727273"/>
    <s v="48oz"/>
    <n v="1"/>
    <n v="7418"/>
    <n v="63.201360000000001"/>
    <n v="42.147727272727273"/>
  </r>
  <r>
    <n v="68914406"/>
    <x v="2"/>
    <n v="2657"/>
    <d v="2023-01-11T00:00:00"/>
    <x v="78"/>
    <x v="27"/>
    <n v="2.124E-3"/>
    <n v="5.6434680000000004"/>
    <s v="KL"/>
    <x v="0"/>
    <x v="9"/>
    <s v="Q1"/>
    <n v="352"/>
    <n v="7.5482954545454541"/>
    <s v="ESS"/>
    <n v="1"/>
    <n v="2657"/>
    <n v="5.6434680000000004"/>
    <n v="7.5482954545454541"/>
  </r>
  <r>
    <n v="68922018"/>
    <x v="2"/>
    <n v="0"/>
    <d v="2023-01-11T00:00:00"/>
    <x v="95"/>
    <x v="21"/>
    <n v="3.7839999999999996E-3"/>
    <n v="0"/>
    <s v="TA"/>
    <x v="0"/>
    <x v="10"/>
    <s v="Q1"/>
    <n v="255"/>
    <n v="0"/>
    <s v="TALENTI"/>
    <n v="1"/>
    <n v="0"/>
    <n v="0"/>
    <n v="0"/>
  </r>
  <r>
    <n v="68922018"/>
    <x v="2"/>
    <n v="17071"/>
    <d v="2023-01-11T00:00:00"/>
    <x v="95"/>
    <x v="21"/>
    <n v="3.7839999999999996E-3"/>
    <n v="64.59666399999999"/>
    <s v="TA"/>
    <x v="0"/>
    <x v="10"/>
    <s v="Q1"/>
    <n v="255"/>
    <n v="66.945098039215679"/>
    <s v="TALENTI"/>
    <n v="1"/>
    <n v="17071"/>
    <n v="64.59666399999999"/>
    <n v="66.945098039215679"/>
  </r>
  <r>
    <n v="68930545"/>
    <x v="3"/>
    <n v="11805"/>
    <d v="2023-01-11T00:00:00"/>
    <x v="93"/>
    <x v="12"/>
    <n v="8.5199999999999998E-3"/>
    <n v="100.57859999999999"/>
    <s v="BR"/>
    <x v="0"/>
    <x v="6"/>
    <s v="Q1"/>
    <n v="176"/>
    <n v="67.07386363636364"/>
    <s v="48oz"/>
    <n v="1"/>
    <n v="11805"/>
    <n v="100.57859999999999"/>
    <n v="67.07386363636364"/>
  </r>
  <r>
    <n v="69549032"/>
    <x v="3"/>
    <n v="6942"/>
    <d v="2023-01-11T00:00:00"/>
    <x v="79"/>
    <x v="36"/>
    <n v="2.3469132803553457E-3"/>
    <n v="16.292271992226809"/>
    <s v="GH"/>
    <x v="0"/>
    <x v="28"/>
    <s v="Q1"/>
    <n v="350"/>
    <n v="19.834285714285713"/>
    <s v="EFW"/>
    <n v="1"/>
    <n v="6942"/>
    <n v="16.292271992226809"/>
    <n v="19.834285714285713"/>
  </r>
  <r>
    <n v="69549217"/>
    <x v="2"/>
    <n v="6129"/>
    <d v="2023-01-11T00:00:00"/>
    <x v="80"/>
    <x v="5"/>
    <n v="2.0400000000000001E-3"/>
    <n v="12.503160000000001"/>
    <s v="MG"/>
    <x v="0"/>
    <x v="5"/>
    <s v="Q1"/>
    <n v="189"/>
    <n v="32.428571428571431"/>
    <s v="MG Sticks"/>
    <n v="1"/>
    <n v="6129"/>
    <n v="12.503160000000001"/>
    <n v="32.428571428571431"/>
  </r>
  <r>
    <n v="69549219"/>
    <x v="2"/>
    <n v="0"/>
    <d v="2023-01-11T00:00:00"/>
    <x v="96"/>
    <x v="5"/>
    <n v="1.2227999999999999E-5"/>
    <n v="0"/>
    <s v="MG"/>
    <x v="0"/>
    <x v="5"/>
    <s v="Q1"/>
    <n v="493"/>
    <n v="0"/>
    <s v="MG Sticks"/>
    <n v="1"/>
    <n v="0"/>
    <n v="0"/>
    <n v="0"/>
  </r>
  <r>
    <n v="69549220"/>
    <x v="2"/>
    <n v="0"/>
    <d v="2023-01-11T00:00:00"/>
    <x v="97"/>
    <x v="5"/>
    <n v="2.0400000000000001E-3"/>
    <n v="0"/>
    <s v="MG"/>
    <x v="0"/>
    <x v="5"/>
    <s v="Q1"/>
    <n v="189"/>
    <n v="0"/>
    <s v="MG Sticks"/>
    <n v="1"/>
    <n v="0"/>
    <n v="0"/>
    <n v="0"/>
  </r>
  <r>
    <n v="69551489"/>
    <x v="3"/>
    <n v="0"/>
    <d v="2023-01-11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5159"/>
    <d v="2023-01-11T00:00:00"/>
    <x v="4"/>
    <x v="4"/>
    <n v="3.8989043190215313E-3"/>
    <n v="20.114447381832079"/>
    <s v="GH"/>
    <x v="0"/>
    <x v="4"/>
    <s v="Q1"/>
    <n v="154"/>
    <n v="33.5"/>
    <s v="MBG"/>
    <n v="1"/>
    <n v="5159"/>
    <n v="20.114447381832079"/>
    <n v="33.5"/>
  </r>
  <r>
    <n v="69552658"/>
    <x v="10"/>
    <n v="2626"/>
    <d v="2023-01-11T00:00:00"/>
    <x v="81"/>
    <x v="37"/>
    <n v="2.8390080000000001E-3"/>
    <n v="7.4552350079999998"/>
    <s v="KL"/>
    <x v="0"/>
    <x v="29"/>
    <s v="Q1"/>
    <n v="189"/>
    <n v="13.894179894179894"/>
    <s v="ESS"/>
    <n v="1"/>
    <n v="2626"/>
    <n v="7.4552350079999998"/>
    <n v="13.894179894179894"/>
  </r>
  <r>
    <n v="69621212"/>
    <x v="2"/>
    <n v="3597"/>
    <d v="2023-01-11T00:00:00"/>
    <x v="29"/>
    <x v="28"/>
    <n v="5.2680000000000001E-3"/>
    <n v="18.948996000000001"/>
    <s v="PG"/>
    <x v="0"/>
    <x v="14"/>
    <s v="Q1"/>
    <n v="130"/>
    <n v="27.669230769230769"/>
    <s v="PG"/>
    <n v="1"/>
    <n v="3597"/>
    <n v="18.948996000000001"/>
    <n v="27.669230769230769"/>
  </r>
  <r>
    <n v="69629470"/>
    <x v="4"/>
    <n v="2400"/>
    <d v="2023-01-11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1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1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1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1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77917"/>
    <x v="3"/>
    <n v="597"/>
    <d v="2023-01-11T00:00:00"/>
    <x v="30"/>
    <x v="29"/>
    <n v="5.2680000000000001E-3"/>
    <n v="3.1449959999999999"/>
    <s v="PS"/>
    <x v="0"/>
    <x v="3"/>
    <s v="Q1"/>
    <n v="108"/>
    <n v="5.5277777777777777"/>
    <s v="PG"/>
    <n v="1"/>
    <n v="597"/>
    <n v="3.1449959999999999"/>
    <n v="5.5277777777777777"/>
  </r>
  <r>
    <n v="69677917"/>
    <x v="3"/>
    <n v="1611"/>
    <d v="2023-01-11T00:00:00"/>
    <x v="30"/>
    <x v="29"/>
    <n v="5.2680000000000001E-3"/>
    <n v="8.4867480000000004"/>
    <s v="PS"/>
    <x v="0"/>
    <x v="3"/>
    <s v="Q1"/>
    <n v="108"/>
    <n v="14.916666666666666"/>
    <s v="PG"/>
    <n v="1"/>
    <n v="1611"/>
    <n v="8.4867480000000004"/>
    <n v="14.916666666666666"/>
  </r>
  <r>
    <n v="69677917"/>
    <x v="2"/>
    <n v="4159"/>
    <d v="2023-01-11T00:00:00"/>
    <x v="30"/>
    <x v="30"/>
    <n v="5.2680000000000001E-3"/>
    <n v="21.909611999999999"/>
    <s v="PS"/>
    <x v="0"/>
    <x v="14"/>
    <s v="Q1"/>
    <n v="108"/>
    <n v="38.50925925925926"/>
    <s v="PG"/>
    <n v="1"/>
    <n v="4159"/>
    <n v="21.909611999999999"/>
    <n v="38.50925925925926"/>
  </r>
  <r>
    <n v="69684522"/>
    <x v="2"/>
    <n v="4840"/>
    <d v="2023-01-11T00:00:00"/>
    <x v="31"/>
    <x v="31"/>
    <n v="4.2560000000000002E-3"/>
    <n v="20.599040000000002"/>
    <s v="BR"/>
    <x v="0"/>
    <x v="5"/>
    <s v="Q1"/>
    <n v="143"/>
    <n v="33.846153846153847"/>
    <s v="MG Sticks"/>
    <n v="1"/>
    <n v="4840"/>
    <n v="20.599040000000002"/>
    <n v="33.846153846153847"/>
  </r>
  <r>
    <n v="84139090"/>
    <x v="2"/>
    <n v="11654"/>
    <d v="2023-01-11T00:00:00"/>
    <x v="85"/>
    <x v="15"/>
    <n v="3.7853439999999999E-3"/>
    <n v="44.114398975999997"/>
    <s v="BJ"/>
    <x v="0"/>
    <x v="30"/>
    <s v="Q1"/>
    <n v="240"/>
    <n v="48.55833333333333"/>
    <s v="BJ PTS"/>
    <n v="1"/>
    <n v="11654"/>
    <n v="44.114398975999997"/>
    <n v="48.55833333333333"/>
  </r>
  <r>
    <n v="84141101"/>
    <x v="5"/>
    <n v="9840"/>
    <d v="2023-01-11T00:00:00"/>
    <x v="86"/>
    <x v="33"/>
    <n v="3.7853439999999999E-3"/>
    <n v="37.247784959999997"/>
    <s v="BJ"/>
    <x v="0"/>
    <x v="15"/>
    <s v="Q1"/>
    <n v="240"/>
    <n v="41"/>
    <s v="BJ PTS"/>
    <n v="1"/>
    <n v="9840"/>
    <n v="37.247784959999997"/>
    <n v="41"/>
  </r>
  <r>
    <n v="84141101"/>
    <x v="5"/>
    <n v="0"/>
    <d v="2023-01-11T00:00:00"/>
    <x v="86"/>
    <x v="33"/>
    <n v="3.7853439999999999E-3"/>
    <n v="0"/>
    <s v="BJ"/>
    <x v="0"/>
    <x v="15"/>
    <s v="Q1"/>
    <n v="240"/>
    <n v="0"/>
    <s v="BJ PTS"/>
    <n v="1"/>
    <n v="0"/>
    <n v="0"/>
    <n v="0"/>
  </r>
  <r>
    <n v="84161610"/>
    <x v="5"/>
    <n v="35452"/>
    <d v="2023-01-11T00:00:00"/>
    <x v="99"/>
    <x v="38"/>
    <n v="3.7853439999999999E-3"/>
    <n v="134.19801548800001"/>
    <s v="BJ"/>
    <x v="0"/>
    <x v="15"/>
    <s v="Q1"/>
    <n v="240"/>
    <n v="147.71666666666667"/>
    <s v="BJ PTS"/>
    <n v="1"/>
    <n v="35452"/>
    <n v="134.19801548800001"/>
    <n v="147.71666666666667"/>
  </r>
  <r>
    <n v="67278345"/>
    <x v="5"/>
    <n v="0"/>
    <d v="2023-01-12T00:00:00"/>
    <x v="100"/>
    <x v="33"/>
    <n v="3.7853439999999999E-3"/>
    <n v="0"/>
    <s v="BJ"/>
    <x v="0"/>
    <x v="15"/>
    <s v="Q1"/>
    <n v="240"/>
    <n v="0"/>
    <s v="BJ PTS"/>
    <n v="1"/>
    <n v="0"/>
    <n v="0"/>
    <n v="0"/>
  </r>
  <r>
    <n v="67465063"/>
    <x v="3"/>
    <n v="3618"/>
    <d v="2023-01-12T00:00:00"/>
    <x v="3"/>
    <x v="6"/>
    <n v="5.2680000000000001E-3"/>
    <n v="19.059623999999999"/>
    <s v="PS"/>
    <x v="0"/>
    <x v="3"/>
    <s v="Q1"/>
    <n v="130"/>
    <n v="27.830769230769231"/>
    <s v="PG"/>
    <n v="1"/>
    <n v="3618"/>
    <n v="19.059623999999999"/>
    <n v="27.830769230769231"/>
  </r>
  <r>
    <n v="67465063"/>
    <x v="3"/>
    <n v="0"/>
    <d v="2023-01-12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3"/>
    <x v="3"/>
    <n v="0"/>
    <d v="2023-01-12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962"/>
    <d v="2023-01-12T00:00:00"/>
    <x v="7"/>
    <x v="3"/>
    <n v="1.596E-3"/>
    <n v="1.5353520000000001"/>
    <s v="PS"/>
    <x v="0"/>
    <x v="3"/>
    <s v="Q1"/>
    <n v="130"/>
    <n v="7.4"/>
    <s v="PG"/>
    <n v="1"/>
    <n v="962"/>
    <n v="1.5353520000000001"/>
    <n v="7.4"/>
  </r>
  <r>
    <n v="67466492"/>
    <x v="3"/>
    <n v="5029"/>
    <d v="2023-01-12T00:00:00"/>
    <x v="8"/>
    <x v="7"/>
    <n v="5.2680000000000001E-3"/>
    <n v="26.492772000000002"/>
    <s v="PS"/>
    <x v="0"/>
    <x v="3"/>
    <s v="Q1"/>
    <n v="130"/>
    <n v="38.684615384615384"/>
    <s v="PG"/>
    <n v="1"/>
    <n v="5029"/>
    <n v="26.492772000000002"/>
    <n v="38.684615384615384"/>
  </r>
  <r>
    <n v="67466492"/>
    <x v="3"/>
    <n v="2739"/>
    <d v="2023-01-12T00:00:00"/>
    <x v="8"/>
    <x v="8"/>
    <n v="5.2680000000000001E-3"/>
    <n v="14.429052"/>
    <s v="PS"/>
    <x v="0"/>
    <x v="3"/>
    <s v="Q1"/>
    <n v="130"/>
    <n v="21.069230769230771"/>
    <s v="PG"/>
    <n v="1"/>
    <n v="2739"/>
    <n v="14.429052"/>
    <n v="21.069230769230771"/>
  </r>
  <r>
    <n v="67476456"/>
    <x v="3"/>
    <n v="11840"/>
    <d v="2023-01-12T00:00:00"/>
    <x v="9"/>
    <x v="9"/>
    <n v="1.536E-3"/>
    <n v="18.186240000000002"/>
    <s v="PS"/>
    <x v="0"/>
    <x v="3"/>
    <s v="Q1"/>
    <n v="400"/>
    <n v="29.6"/>
    <s v="PG"/>
    <n v="1"/>
    <n v="11840"/>
    <n v="18.186240000000002"/>
    <n v="29.6"/>
  </r>
  <r>
    <n v="67476560"/>
    <x v="3"/>
    <n v="4159"/>
    <d v="2023-01-12T00:00:00"/>
    <x v="10"/>
    <x v="10"/>
    <n v="5.1060000000000003E-3"/>
    <n v="21.235854"/>
    <s v="PS"/>
    <x v="0"/>
    <x v="3"/>
    <s v="Q1"/>
    <n v="130"/>
    <n v="31.992307692307691"/>
    <s v="PG"/>
    <n v="1"/>
    <n v="4159"/>
    <n v="21.235854"/>
    <n v="31.992307692307691"/>
  </r>
  <r>
    <n v="67885716"/>
    <x v="3"/>
    <n v="9745"/>
    <d v="2023-01-12T00:00:00"/>
    <x v="89"/>
    <x v="11"/>
    <n v="8.5199999999999998E-3"/>
    <n v="83.0274"/>
    <s v="BR"/>
    <x v="0"/>
    <x v="6"/>
    <s v="Q1"/>
    <n v="154"/>
    <n v="63.279220779220779"/>
    <s v="48oz"/>
    <n v="1"/>
    <n v="9745"/>
    <n v="83.0274"/>
    <n v="63.279220779220779"/>
  </r>
  <r>
    <n v="67885719"/>
    <x v="2"/>
    <n v="0"/>
    <d v="2023-01-12T00:00:00"/>
    <x v="11"/>
    <x v="32"/>
    <n v="8.5199999999999998E-3"/>
    <n v="0"/>
    <s v="BR"/>
    <x v="0"/>
    <x v="2"/>
    <s v="Q1"/>
    <n v="154"/>
    <n v="0"/>
    <s v="48oz"/>
    <n v="1"/>
    <n v="0"/>
    <n v="0"/>
    <n v="0"/>
  </r>
  <r>
    <n v="67901585"/>
    <x v="3"/>
    <n v="9740"/>
    <d v="2023-01-12T00:00:00"/>
    <x v="67"/>
    <x v="23"/>
    <n v="8.513999999999999E-3"/>
    <n v="82.926359999999988"/>
    <s v="BR"/>
    <x v="0"/>
    <x v="6"/>
    <s v="Q1"/>
    <n v="154"/>
    <n v="63.246753246753244"/>
    <s v="48oz"/>
    <n v="1"/>
    <n v="9740"/>
    <n v="82.926359999999988"/>
    <n v="63.246753246753244"/>
  </r>
  <r>
    <n v="67901593"/>
    <x v="2"/>
    <n v="0"/>
    <d v="2023-01-12T00:00:00"/>
    <x v="68"/>
    <x v="32"/>
    <n v="8.5199999999999998E-3"/>
    <n v="0"/>
    <s v="BR"/>
    <x v="0"/>
    <x v="2"/>
    <s v="Q1"/>
    <n v="154"/>
    <n v="0"/>
    <s v="48oz"/>
    <n v="1"/>
    <n v="0"/>
    <n v="0"/>
    <n v="0"/>
  </r>
  <r>
    <n v="67901593"/>
    <x v="2"/>
    <n v="23056"/>
    <d v="2023-01-12T00:00:00"/>
    <x v="68"/>
    <x v="32"/>
    <n v="8.5199999999999998E-3"/>
    <n v="196.43711999999999"/>
    <s v="BR"/>
    <x v="0"/>
    <x v="2"/>
    <s v="Q1"/>
    <n v="154"/>
    <n v="149.71428571428572"/>
    <s v="48oz"/>
    <n v="1"/>
    <n v="23056"/>
    <n v="196.43711999999999"/>
    <n v="149.71428571428572"/>
  </r>
  <r>
    <n v="68117574"/>
    <x v="2"/>
    <n v="2445"/>
    <d v="2023-01-12T00:00:00"/>
    <x v="69"/>
    <x v="14"/>
    <n v="4.2560000000000002E-3"/>
    <n v="10.40592"/>
    <s v="BR"/>
    <x v="0"/>
    <x v="5"/>
    <s v="Q1"/>
    <n v="143"/>
    <n v="17.097902097902097"/>
    <s v="MG Sticks"/>
    <n v="1"/>
    <n v="2445"/>
    <n v="10.40592"/>
    <n v="17.097902097902097"/>
  </r>
  <r>
    <n v="68143999"/>
    <x v="2"/>
    <n v="10014"/>
    <d v="2023-01-12T00:00:00"/>
    <x v="94"/>
    <x v="13"/>
    <n v="8.5199999999999998E-3"/>
    <n v="85.319279999999992"/>
    <s v="BR"/>
    <x v="0"/>
    <x v="2"/>
    <s v="Q1"/>
    <n v="154"/>
    <n v="65.025974025974023"/>
    <s v="48oz"/>
    <n v="1"/>
    <n v="10014"/>
    <n v="85.319279999999992"/>
    <n v="65.025974025974023"/>
  </r>
  <r>
    <n v="68145440"/>
    <x v="2"/>
    <n v="0"/>
    <d v="2023-01-12T00:00:00"/>
    <x v="101"/>
    <x v="2"/>
    <n v="8.5199999999999998E-3"/>
    <n v="0"/>
    <s v="BR"/>
    <x v="0"/>
    <x v="2"/>
    <s v="Q1"/>
    <n v="154"/>
    <n v="0"/>
    <s v="48oz"/>
    <n v="1"/>
    <n v="0"/>
    <n v="0"/>
    <n v="0"/>
  </r>
  <r>
    <n v="68188183"/>
    <x v="3"/>
    <n v="0"/>
    <d v="2023-01-12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634167"/>
    <x v="3"/>
    <n v="10005"/>
    <d v="2023-01-12T00:00:00"/>
    <x v="91"/>
    <x v="16"/>
    <n v="8.5199999999999998E-3"/>
    <n v="85.242599999999996"/>
    <s v="BR"/>
    <x v="0"/>
    <x v="6"/>
    <s v="Q1"/>
    <n v="154"/>
    <n v="64.967532467532465"/>
    <s v="48oz"/>
    <n v="1"/>
    <n v="10005"/>
    <n v="85.242599999999996"/>
    <n v="64.967532467532465"/>
  </r>
  <r>
    <n v="68634167"/>
    <x v="2"/>
    <n v="7394"/>
    <d v="2023-01-12T00:00:00"/>
    <x v="91"/>
    <x v="2"/>
    <n v="8.5199999999999998E-3"/>
    <n v="62.996879999999997"/>
    <s v="BR"/>
    <x v="0"/>
    <x v="2"/>
    <s v="Q1"/>
    <n v="154"/>
    <n v="48.012987012987011"/>
    <s v="48oz"/>
    <n v="1"/>
    <n v="7394"/>
    <n v="62.996879999999997"/>
    <n v="48.012987012987011"/>
  </r>
  <r>
    <n v="68634168"/>
    <x v="3"/>
    <n v="0"/>
    <d v="2023-01-12T00:00:00"/>
    <x v="42"/>
    <x v="16"/>
    <n v="8.5170239596469108E-3"/>
    <n v="0"/>
    <s v="BR"/>
    <x v="0"/>
    <x v="6"/>
    <s v="Q1"/>
    <n v="154"/>
    <n v="0"/>
    <s v="48oz"/>
    <n v="1"/>
    <n v="0"/>
    <n v="0"/>
    <n v="0"/>
  </r>
  <r>
    <n v="68654233"/>
    <x v="5"/>
    <n v="9578"/>
    <d v="2023-01-12T00:00:00"/>
    <x v="102"/>
    <x v="33"/>
    <n v="3.7853439999999999E-3"/>
    <n v="36.256024832000001"/>
    <s v="BJ"/>
    <x v="0"/>
    <x v="15"/>
    <s v="Q1"/>
    <n v="240"/>
    <n v="39.908333333333331"/>
    <s v="BJ PTS"/>
    <n v="1"/>
    <n v="9578"/>
    <n v="36.256024832000001"/>
    <n v="39.908333333333331"/>
  </r>
  <r>
    <n v="68654239"/>
    <x v="5"/>
    <n v="13133"/>
    <d v="2023-01-12T00:00:00"/>
    <x v="103"/>
    <x v="33"/>
    <n v="3.7853439999999999E-3"/>
    <n v="49.712922751999997"/>
    <s v="BJ"/>
    <x v="0"/>
    <x v="15"/>
    <s v="Q1"/>
    <n v="240"/>
    <n v="54.720833333333331"/>
    <s v="BJ PTS"/>
    <n v="1"/>
    <n v="13133"/>
    <n v="49.712922751999997"/>
    <n v="54.720833333333331"/>
  </r>
  <r>
    <n v="68688168"/>
    <x v="2"/>
    <n v="6027"/>
    <d v="2023-01-12T00:00:00"/>
    <x v="73"/>
    <x v="18"/>
    <n v="2.8380000000000002E-3"/>
    <n v="17.104626000000003"/>
    <s v="GH"/>
    <x v="0"/>
    <x v="9"/>
    <s v="Q1"/>
    <n v="264"/>
    <n v="22.829545454545453"/>
    <s v="ESS"/>
    <n v="1"/>
    <n v="6027"/>
    <n v="17.104626000000003"/>
    <n v="22.829545454545453"/>
  </r>
  <r>
    <n v="68689251"/>
    <x v="3"/>
    <n v="2986"/>
    <d v="2023-01-12T00:00:00"/>
    <x v="17"/>
    <x v="17"/>
    <n v="9.5760000000000012E-3"/>
    <n v="28.593936000000003"/>
    <s v="KL"/>
    <x v="0"/>
    <x v="8"/>
    <s v="Q1"/>
    <n v="132"/>
    <n v="22.621212121212121"/>
    <s v="EDF"/>
    <n v="1"/>
    <n v="2986"/>
    <n v="28.593936000000003"/>
    <n v="22.621212121212121"/>
  </r>
  <r>
    <n v="68709233"/>
    <x v="3"/>
    <n v="0"/>
    <d v="2023-01-12T00:00:00"/>
    <x v="19"/>
    <x v="19"/>
    <n v="8.4960000000000001E-3"/>
    <n v="0"/>
    <s v="KL"/>
    <x v="0"/>
    <x v="8"/>
    <s v="Q1"/>
    <n v="132"/>
    <n v="0"/>
    <s v="EDF"/>
    <n v="1"/>
    <n v="0"/>
    <n v="0"/>
    <n v="0"/>
  </r>
  <r>
    <n v="68709233"/>
    <x v="3"/>
    <n v="5632"/>
    <d v="2023-01-12T00:00:00"/>
    <x v="19"/>
    <x v="20"/>
    <n v="8.4960000000000001E-3"/>
    <n v="47.849471999999999"/>
    <s v="KL"/>
    <x v="0"/>
    <x v="8"/>
    <s v="Q1"/>
    <n v="132"/>
    <n v="42.666666666666664"/>
    <s v="EDF"/>
    <n v="1"/>
    <n v="5632"/>
    <n v="47.849471999999999"/>
    <n v="42.666666666666664"/>
  </r>
  <r>
    <n v="68710277"/>
    <x v="3"/>
    <n v="0"/>
    <d v="2023-01-12T00:00:00"/>
    <x v="20"/>
    <x v="20"/>
    <n v="8.5199999999999998E-3"/>
    <n v="0"/>
    <s v="KL"/>
    <x v="0"/>
    <x v="8"/>
    <s v="Q1"/>
    <n v="132"/>
    <n v="0"/>
    <s v="EDF"/>
    <n v="1"/>
    <n v="0"/>
    <n v="0"/>
    <n v="0"/>
  </r>
  <r>
    <n v="68710285"/>
    <x v="3"/>
    <n v="0"/>
    <d v="2023-01-12T00:00:00"/>
    <x v="74"/>
    <x v="20"/>
    <n v="8.5199999999999998E-3"/>
    <n v="0"/>
    <s v="KL"/>
    <x v="0"/>
    <x v="8"/>
    <s v="Q1"/>
    <n v="132"/>
    <n v="0"/>
    <s v="EDF"/>
    <n v="1"/>
    <n v="0"/>
    <n v="0"/>
    <n v="0"/>
  </r>
  <r>
    <n v="68729634"/>
    <x v="2"/>
    <n v="3221"/>
    <d v="2023-01-12T00:00:00"/>
    <x v="92"/>
    <x v="22"/>
    <n v="3.7853439999999999E-3"/>
    <n v="12.192593024000001"/>
    <s v="TA"/>
    <x v="0"/>
    <x v="10"/>
    <s v="Q1"/>
    <n v="255"/>
    <n v="12.631372549019607"/>
    <s v="TALENTI"/>
    <n v="1"/>
    <n v="3221"/>
    <n v="12.192593024000001"/>
    <n v="12.631372549019607"/>
  </r>
  <r>
    <n v="68741714"/>
    <x v="3"/>
    <n v="3667"/>
    <d v="2023-01-12T00:00:00"/>
    <x v="24"/>
    <x v="24"/>
    <n v="2.8319999999999999E-3"/>
    <n v="10.384943999999999"/>
    <s v="GH"/>
    <x v="0"/>
    <x v="4"/>
    <s v="Q1"/>
    <n v="225"/>
    <n v="16.297777777777778"/>
    <s v="MBG"/>
    <n v="1"/>
    <n v="3667"/>
    <n v="10.384943999999999"/>
    <n v="16.297777777777778"/>
  </r>
  <r>
    <n v="68741742"/>
    <x v="2"/>
    <n v="1577"/>
    <d v="2023-01-12T00:00:00"/>
    <x v="25"/>
    <x v="25"/>
    <n v="4.2560000000000002E-3"/>
    <n v="6.7117120000000003"/>
    <s v="GH"/>
    <x v="0"/>
    <x v="11"/>
    <s v="Q1"/>
    <n v="154"/>
    <n v="10.24025974025974"/>
    <s v="MBG"/>
    <n v="1"/>
    <n v="1577"/>
    <n v="6.7117120000000003"/>
    <n v="10.24025974025974"/>
  </r>
  <r>
    <n v="68852591"/>
    <x v="2"/>
    <n v="3897"/>
    <d v="2023-01-12T00:00:00"/>
    <x v="26"/>
    <x v="26"/>
    <n v="8.5199999999999998E-3"/>
    <n v="33.202439999999996"/>
    <s v="KL"/>
    <x v="0"/>
    <x v="12"/>
    <s v="Q1"/>
    <n v="132"/>
    <n v="29.522727272727273"/>
    <s v="EDF"/>
    <n v="1"/>
    <n v="3897"/>
    <n v="33.202439999999996"/>
    <n v="29.522727272727273"/>
  </r>
  <r>
    <n v="68852591"/>
    <x v="2"/>
    <n v="5127"/>
    <d v="2023-01-12T00:00:00"/>
    <x v="26"/>
    <x v="26"/>
    <n v="8.5199999999999998E-3"/>
    <n v="43.682040000000001"/>
    <s v="KL"/>
    <x v="0"/>
    <x v="12"/>
    <s v="Q1"/>
    <n v="132"/>
    <n v="38.840909090909093"/>
    <s v="EDF"/>
    <n v="1"/>
    <n v="5127"/>
    <n v="43.682040000000001"/>
    <n v="38.840909090909093"/>
  </r>
  <r>
    <n v="68860008"/>
    <x v="7"/>
    <n v="33270"/>
    <d v="2023-01-12T00:00:00"/>
    <x v="45"/>
    <x v="0"/>
    <n v="3.7853439999999999E-3"/>
    <n v="125.93839488"/>
    <s v="BJ"/>
    <x v="0"/>
    <x v="18"/>
    <s v="Q1"/>
    <n v="240"/>
    <n v="138.625"/>
    <s v="BJ PTS"/>
    <n v="1"/>
    <n v="33270"/>
    <n v="125.93839488"/>
    <n v="138.625"/>
  </r>
  <r>
    <n v="68914406"/>
    <x v="2"/>
    <n v="7594"/>
    <d v="2023-01-12T00:00:00"/>
    <x v="78"/>
    <x v="27"/>
    <n v="2.124E-3"/>
    <n v="16.129656000000001"/>
    <s v="KL"/>
    <x v="0"/>
    <x v="9"/>
    <s v="Q1"/>
    <n v="352"/>
    <n v="21.573863636363637"/>
    <s v="ESS"/>
    <n v="1"/>
    <n v="7594"/>
    <n v="16.129656000000001"/>
    <n v="21.573863636363637"/>
  </r>
  <r>
    <n v="68922018"/>
    <x v="2"/>
    <n v="19560"/>
    <d v="2023-01-12T00:00:00"/>
    <x v="95"/>
    <x v="21"/>
    <n v="3.7839999999999996E-3"/>
    <n v="74.015039999999999"/>
    <s v="TA"/>
    <x v="0"/>
    <x v="10"/>
    <s v="Q1"/>
    <n v="255"/>
    <n v="76.705882352941174"/>
    <s v="TALENTI"/>
    <n v="1"/>
    <n v="19560"/>
    <n v="74.015039999999999"/>
    <n v="76.705882352941174"/>
  </r>
  <r>
    <n v="68922106"/>
    <x v="2"/>
    <n v="5387"/>
    <d v="2023-01-12T00:00:00"/>
    <x v="104"/>
    <x v="22"/>
    <n v="3.552E-3"/>
    <n v="19.134623999999999"/>
    <s v="TA"/>
    <x v="0"/>
    <x v="10"/>
    <s v="Q1"/>
    <n v="255"/>
    <n v="21.125490196078431"/>
    <s v="TALENTI"/>
    <n v="1"/>
    <n v="5387"/>
    <n v="19.134623999999999"/>
    <n v="21.125490196078431"/>
  </r>
  <r>
    <n v="68930545"/>
    <x v="3"/>
    <n v="10893"/>
    <d v="2023-01-12T00:00:00"/>
    <x v="93"/>
    <x v="12"/>
    <n v="8.5199999999999998E-3"/>
    <n v="92.808359999999993"/>
    <s v="BR"/>
    <x v="0"/>
    <x v="6"/>
    <s v="Q1"/>
    <n v="176"/>
    <n v="61.892045454545453"/>
    <s v="48oz"/>
    <n v="1"/>
    <n v="10893"/>
    <n v="92.808359999999993"/>
    <n v="61.892045454545453"/>
  </r>
  <r>
    <n v="68940228"/>
    <x v="5"/>
    <n v="24179"/>
    <d v="2023-01-12T00:00:00"/>
    <x v="105"/>
    <x v="33"/>
    <n v="3.7839999999999996E-3"/>
    <n v="91.493335999999985"/>
    <s v="BJ"/>
    <x v="0"/>
    <x v="15"/>
    <s v="Q1"/>
    <n v="240"/>
    <n v="100.74583333333334"/>
    <s v="BJ PTS"/>
    <n v="1"/>
    <n v="24179"/>
    <n v="91.493335999999985"/>
    <n v="100.74583333333334"/>
  </r>
  <r>
    <n v="69549032"/>
    <x v="3"/>
    <n v="5230"/>
    <d v="2023-01-12T00:00:00"/>
    <x v="79"/>
    <x v="36"/>
    <n v="2.3469132803553457E-3"/>
    <n v="12.274356456258458"/>
    <s v="GH"/>
    <x v="0"/>
    <x v="28"/>
    <s v="Q1"/>
    <n v="350"/>
    <n v="14.942857142857143"/>
    <s v="EFW"/>
    <n v="1"/>
    <n v="5230"/>
    <n v="12.274356456258458"/>
    <n v="14.942857142857143"/>
  </r>
  <r>
    <n v="69549217"/>
    <x v="2"/>
    <n v="8885"/>
    <d v="2023-01-12T00:00:00"/>
    <x v="80"/>
    <x v="5"/>
    <n v="2.0400000000000001E-3"/>
    <n v="18.125400000000003"/>
    <s v="MG"/>
    <x v="0"/>
    <x v="5"/>
    <s v="Q1"/>
    <n v="189"/>
    <n v="47.010582010582013"/>
    <s v="MG Sticks"/>
    <n v="1"/>
    <n v="8885"/>
    <n v="18.125400000000003"/>
    <n v="47.010582010582013"/>
  </r>
  <r>
    <n v="69549219"/>
    <x v="2"/>
    <n v="0"/>
    <d v="2023-01-12T00:00:00"/>
    <x v="96"/>
    <x v="5"/>
    <n v="1.2227999999999999E-5"/>
    <n v="0"/>
    <s v="MG"/>
    <x v="0"/>
    <x v="5"/>
    <s v="Q1"/>
    <n v="493"/>
    <n v="0"/>
    <s v="MG Sticks"/>
    <n v="1"/>
    <n v="0"/>
    <n v="0"/>
    <n v="0"/>
  </r>
  <r>
    <n v="69549220"/>
    <x v="2"/>
    <n v="0"/>
    <d v="2023-01-12T00:00:00"/>
    <x v="97"/>
    <x v="5"/>
    <n v="2.0400000000000001E-3"/>
    <n v="0"/>
    <s v="MG"/>
    <x v="0"/>
    <x v="5"/>
    <s v="Q1"/>
    <n v="189"/>
    <n v="0"/>
    <s v="MG Sticks"/>
    <n v="1"/>
    <n v="0"/>
    <n v="0"/>
    <n v="0"/>
  </r>
  <r>
    <n v="69551489"/>
    <x v="3"/>
    <n v="0"/>
    <d v="2023-01-12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5693"/>
    <d v="2023-01-12T00:00:00"/>
    <x v="4"/>
    <x v="4"/>
    <n v="3.8989043190215313E-3"/>
    <n v="22.196462288189579"/>
    <s v="GH"/>
    <x v="0"/>
    <x v="4"/>
    <s v="Q1"/>
    <n v="154"/>
    <n v="36.967532467532465"/>
    <s v="MBG"/>
    <n v="1"/>
    <n v="5693"/>
    <n v="22.196462288189579"/>
    <n v="36.967532467532465"/>
  </r>
  <r>
    <n v="69552658"/>
    <x v="10"/>
    <n v="5481"/>
    <d v="2023-01-12T00:00:00"/>
    <x v="81"/>
    <x v="37"/>
    <n v="2.8390080000000001E-3"/>
    <n v="15.560602848"/>
    <s v="KL"/>
    <x v="0"/>
    <x v="29"/>
    <s v="Q1"/>
    <n v="189"/>
    <n v="29"/>
    <s v="ESS"/>
    <n v="1"/>
    <n v="5481"/>
    <n v="15.560602848"/>
    <n v="29"/>
  </r>
  <r>
    <n v="69621212"/>
    <x v="2"/>
    <n v="4372"/>
    <d v="2023-01-12T00:00:00"/>
    <x v="29"/>
    <x v="28"/>
    <n v="5.2680000000000001E-3"/>
    <n v="23.031696"/>
    <s v="PG"/>
    <x v="0"/>
    <x v="14"/>
    <s v="Q1"/>
    <n v="130"/>
    <n v="33.630769230769232"/>
    <s v="PG"/>
    <n v="1"/>
    <n v="4372"/>
    <n v="23.031696"/>
    <n v="33.630769230769232"/>
  </r>
  <r>
    <n v="69629470"/>
    <x v="4"/>
    <n v="2400"/>
    <d v="2023-01-12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2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2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2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77917"/>
    <x v="3"/>
    <n v="1102"/>
    <d v="2023-01-12T00:00:00"/>
    <x v="30"/>
    <x v="29"/>
    <n v="5.2680000000000001E-3"/>
    <n v="5.8053360000000005"/>
    <s v="PS"/>
    <x v="0"/>
    <x v="3"/>
    <s v="Q1"/>
    <n v="108"/>
    <n v="10.203703703703704"/>
    <s v="PG"/>
    <n v="1"/>
    <n v="1102"/>
    <n v="5.8053360000000005"/>
    <n v="10.203703703703704"/>
  </r>
  <r>
    <n v="69677917"/>
    <x v="2"/>
    <n v="4272"/>
    <d v="2023-01-12T00:00:00"/>
    <x v="30"/>
    <x v="30"/>
    <n v="5.2680000000000001E-3"/>
    <n v="22.504896000000002"/>
    <s v="PS"/>
    <x v="0"/>
    <x v="14"/>
    <s v="Q1"/>
    <n v="108"/>
    <n v="39.555555555555557"/>
    <s v="PG"/>
    <n v="1"/>
    <n v="4272"/>
    <n v="22.504896000000002"/>
    <n v="39.555555555555557"/>
  </r>
  <r>
    <n v="69684522"/>
    <x v="2"/>
    <n v="3735"/>
    <d v="2023-01-12T00:00:00"/>
    <x v="31"/>
    <x v="31"/>
    <n v="4.2560000000000002E-3"/>
    <n v="15.89616"/>
    <s v="BR"/>
    <x v="0"/>
    <x v="5"/>
    <s v="Q1"/>
    <n v="143"/>
    <n v="26.11888111888112"/>
    <s v="MG Sticks"/>
    <n v="1"/>
    <n v="3735"/>
    <n v="15.89616"/>
    <n v="26.11888111888112"/>
  </r>
  <r>
    <n v="69691840"/>
    <x v="2"/>
    <n v="0"/>
    <d v="2023-01-12T00:00:00"/>
    <x v="106"/>
    <x v="21"/>
    <n v="3.7839999999999996E-3"/>
    <n v="0"/>
    <s v="TA"/>
    <x v="0"/>
    <x v="10"/>
    <s v="Q1"/>
    <n v="255"/>
    <n v="0"/>
    <s v="TALENTI"/>
    <n v="1"/>
    <n v="0"/>
    <n v="0"/>
    <n v="0"/>
  </r>
  <r>
    <n v="84141094"/>
    <x v="2"/>
    <n v="4230"/>
    <d v="2023-01-12T00:00:00"/>
    <x v="107"/>
    <x v="15"/>
    <n v="3.7853439999999999E-3"/>
    <n v="16.012005120000001"/>
    <s v="BJ"/>
    <x v="0"/>
    <x v="30"/>
    <s v="Q1"/>
    <n v="240"/>
    <n v="17.625"/>
    <s v="BJ PTS"/>
    <n v="1"/>
    <n v="4230"/>
    <n v="16.012005120000001"/>
    <n v="17.625"/>
  </r>
  <r>
    <n v="67465063"/>
    <x v="3"/>
    <n v="4050"/>
    <d v="2023-01-13T00:00:00"/>
    <x v="3"/>
    <x v="6"/>
    <n v="5.2680000000000001E-3"/>
    <n v="21.3354"/>
    <s v="PS"/>
    <x v="0"/>
    <x v="3"/>
    <s v="Q1"/>
    <n v="130"/>
    <n v="31.153846153846153"/>
    <s v="PG"/>
    <n v="1"/>
    <n v="4050"/>
    <n v="21.3354"/>
    <n v="31.153846153846153"/>
  </r>
  <r>
    <n v="67465063"/>
    <x v="3"/>
    <n v="0"/>
    <d v="2023-01-13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1197"/>
    <d v="2023-01-13T00:00:00"/>
    <x v="7"/>
    <x v="3"/>
    <n v="1.596E-3"/>
    <n v="1.910412"/>
    <s v="PS"/>
    <x v="0"/>
    <x v="3"/>
    <s v="Q1"/>
    <n v="130"/>
    <n v="9.207692307692307"/>
    <s v="PG"/>
    <n v="1"/>
    <n v="1197"/>
    <n v="1.910412"/>
    <n v="9.207692307692307"/>
  </r>
  <r>
    <n v="67466492"/>
    <x v="3"/>
    <n v="2408"/>
    <d v="2023-01-13T00:00:00"/>
    <x v="8"/>
    <x v="7"/>
    <n v="5.2680000000000001E-3"/>
    <n v="12.685344000000001"/>
    <s v="PS"/>
    <x v="0"/>
    <x v="3"/>
    <s v="Q1"/>
    <n v="130"/>
    <n v="18.523076923076925"/>
    <s v="PG"/>
    <n v="1"/>
    <n v="2408"/>
    <n v="12.685344000000001"/>
    <n v="18.523076923076925"/>
  </r>
  <r>
    <n v="67466492"/>
    <x v="3"/>
    <n v="3857"/>
    <d v="2023-01-13T00:00:00"/>
    <x v="8"/>
    <x v="8"/>
    <n v="5.2680000000000001E-3"/>
    <n v="20.318676"/>
    <s v="PS"/>
    <x v="0"/>
    <x v="3"/>
    <s v="Q1"/>
    <n v="130"/>
    <n v="29.669230769230769"/>
    <s v="PG"/>
    <n v="1"/>
    <n v="3857"/>
    <n v="20.318676"/>
    <n v="29.669230769230769"/>
  </r>
  <r>
    <n v="67476456"/>
    <x v="3"/>
    <n v="7244"/>
    <d v="2023-01-13T00:00:00"/>
    <x v="9"/>
    <x v="9"/>
    <n v="1.536E-3"/>
    <n v="11.126784000000001"/>
    <s v="PS"/>
    <x v="0"/>
    <x v="3"/>
    <s v="Q1"/>
    <n v="400"/>
    <n v="18.11"/>
    <s v="PG"/>
    <n v="1"/>
    <n v="7244"/>
    <n v="11.126784000000001"/>
    <n v="18.11"/>
  </r>
  <r>
    <n v="67476560"/>
    <x v="3"/>
    <n v="1662"/>
    <d v="2023-01-13T00:00:00"/>
    <x v="10"/>
    <x v="10"/>
    <n v="5.1060000000000003E-3"/>
    <n v="8.4861719999999998"/>
    <s v="PS"/>
    <x v="0"/>
    <x v="3"/>
    <s v="Q1"/>
    <n v="130"/>
    <n v="12.784615384615385"/>
    <s v="PG"/>
    <n v="1"/>
    <n v="1662"/>
    <n v="8.4861719999999998"/>
    <n v="12.784615384615385"/>
  </r>
  <r>
    <n v="67546042"/>
    <x v="5"/>
    <n v="25582"/>
    <d v="2023-01-13T00:00:00"/>
    <x v="108"/>
    <x v="35"/>
    <n v="3.7853439999999999E-3"/>
    <n v="96.836670208000001"/>
    <s v="BJ"/>
    <x v="0"/>
    <x v="15"/>
    <s v="Q1"/>
    <n v="240"/>
    <n v="106.59166666666667"/>
    <s v="BJ PTS"/>
    <n v="1"/>
    <n v="25582"/>
    <n v="96.836670208000001"/>
    <n v="106.59166666666667"/>
  </r>
  <r>
    <n v="67723726"/>
    <x v="3"/>
    <n v="0"/>
    <d v="2023-01-13T00:00:00"/>
    <x v="109"/>
    <x v="23"/>
    <n v="8.5199999999999998E-3"/>
    <n v="0"/>
    <s v="BR"/>
    <x v="0"/>
    <x v="6"/>
    <s v="Q1"/>
    <n v="154"/>
    <n v="0"/>
    <s v="48oz"/>
    <n v="1"/>
    <n v="0"/>
    <n v="0"/>
    <n v="0"/>
  </r>
  <r>
    <n v="67867261"/>
    <x v="5"/>
    <n v="10296"/>
    <d v="2023-01-13T00:00:00"/>
    <x v="110"/>
    <x v="35"/>
    <n v="3.7853439999999999E-3"/>
    <n v="38.973901824000002"/>
    <s v="BJ"/>
    <x v="0"/>
    <x v="15"/>
    <s v="Q1"/>
    <n v="240"/>
    <n v="42.9"/>
    <s v="BJ PTS"/>
    <n v="1"/>
    <n v="10296"/>
    <n v="38.973901824000002"/>
    <n v="42.9"/>
  </r>
  <r>
    <n v="67885716"/>
    <x v="3"/>
    <n v="3270"/>
    <d v="2023-01-13T00:00:00"/>
    <x v="89"/>
    <x v="11"/>
    <n v="8.5199999999999998E-3"/>
    <n v="27.860399999999998"/>
    <s v="BR"/>
    <x v="0"/>
    <x v="6"/>
    <s v="Q1"/>
    <n v="154"/>
    <n v="21.233766233766232"/>
    <s v="48oz"/>
    <n v="1"/>
    <n v="3270"/>
    <n v="27.860399999999998"/>
    <n v="21.233766233766232"/>
  </r>
  <r>
    <n v="67885716"/>
    <x v="3"/>
    <n v="6599"/>
    <d v="2023-01-13T00:00:00"/>
    <x v="89"/>
    <x v="11"/>
    <n v="8.5199999999999998E-3"/>
    <n v="56.223480000000002"/>
    <s v="BR"/>
    <x v="0"/>
    <x v="6"/>
    <s v="Q1"/>
    <n v="154"/>
    <n v="42.850649350649348"/>
    <s v="48oz"/>
    <n v="1"/>
    <n v="6599"/>
    <n v="56.223480000000002"/>
    <n v="42.850649350649348"/>
  </r>
  <r>
    <n v="67885719"/>
    <x v="3"/>
    <n v="11129"/>
    <d v="2023-01-13T00:00:00"/>
    <x v="11"/>
    <x v="12"/>
    <n v="8.5199999999999998E-3"/>
    <n v="94.81908"/>
    <s v="BR"/>
    <x v="0"/>
    <x v="6"/>
    <s v="Q1"/>
    <n v="154"/>
    <n v="72.266233766233768"/>
    <s v="48oz"/>
    <n v="1"/>
    <n v="11129"/>
    <n v="94.81908"/>
    <n v="72.266233766233768"/>
  </r>
  <r>
    <n v="67885719"/>
    <x v="2"/>
    <n v="0"/>
    <d v="2023-01-13T00:00:00"/>
    <x v="11"/>
    <x v="32"/>
    <n v="8.5199999999999998E-3"/>
    <n v="0"/>
    <s v="BR"/>
    <x v="0"/>
    <x v="2"/>
    <s v="Q1"/>
    <n v="154"/>
    <n v="0"/>
    <s v="48oz"/>
    <n v="1"/>
    <n v="0"/>
    <n v="0"/>
    <n v="0"/>
  </r>
  <r>
    <n v="67893539"/>
    <x v="3"/>
    <n v="0"/>
    <d v="2023-01-13T00:00:00"/>
    <x v="12"/>
    <x v="12"/>
    <n v="8.5199999999999998E-3"/>
    <n v="0"/>
    <s v="BR"/>
    <x v="0"/>
    <x v="6"/>
    <s v="Q1"/>
    <n v="154"/>
    <n v="0"/>
    <s v="48oz"/>
    <n v="1"/>
    <n v="0"/>
    <n v="0"/>
    <n v="0"/>
  </r>
  <r>
    <n v="67901585"/>
    <x v="3"/>
    <n v="0"/>
    <d v="2023-01-13T00:00:00"/>
    <x v="67"/>
    <x v="23"/>
    <n v="8.513999999999999E-3"/>
    <n v="0"/>
    <s v="BR"/>
    <x v="0"/>
    <x v="6"/>
    <s v="Q1"/>
    <n v="154"/>
    <n v="0"/>
    <s v="48oz"/>
    <n v="1"/>
    <n v="0"/>
    <n v="0"/>
    <n v="0"/>
  </r>
  <r>
    <n v="67901593"/>
    <x v="2"/>
    <n v="16058"/>
    <d v="2023-01-13T00:00:00"/>
    <x v="68"/>
    <x v="32"/>
    <n v="8.5199999999999998E-3"/>
    <n v="136.81415999999999"/>
    <s v="BR"/>
    <x v="0"/>
    <x v="2"/>
    <s v="Q1"/>
    <n v="154"/>
    <n v="104.27272727272727"/>
    <s v="48oz"/>
    <n v="1"/>
    <n v="16058"/>
    <n v="136.81415999999999"/>
    <n v="104.27272727272727"/>
  </r>
  <r>
    <n v="68117574"/>
    <x v="2"/>
    <n v="5271"/>
    <d v="2023-01-13T00:00:00"/>
    <x v="69"/>
    <x v="14"/>
    <n v="4.2560000000000002E-3"/>
    <n v="22.433376000000003"/>
    <s v="BR"/>
    <x v="0"/>
    <x v="5"/>
    <s v="Q1"/>
    <n v="143"/>
    <n v="36.86013986013986"/>
    <s v="MG Sticks"/>
    <n v="1"/>
    <n v="5271"/>
    <n v="22.433376000000003"/>
    <n v="36.86013986013986"/>
  </r>
  <r>
    <n v="68143999"/>
    <x v="2"/>
    <n v="9778"/>
    <d v="2023-01-13T00:00:00"/>
    <x v="94"/>
    <x v="13"/>
    <n v="8.5199999999999998E-3"/>
    <n v="83.30856"/>
    <s v="BR"/>
    <x v="0"/>
    <x v="2"/>
    <s v="Q1"/>
    <n v="154"/>
    <n v="63.493506493506494"/>
    <s v="48oz"/>
    <n v="1"/>
    <n v="9778"/>
    <n v="83.30856"/>
    <n v="63.493506493506494"/>
  </r>
  <r>
    <n v="68145440"/>
    <x v="2"/>
    <n v="5147"/>
    <d v="2023-01-13T00:00:00"/>
    <x v="101"/>
    <x v="2"/>
    <n v="8.5199999999999998E-3"/>
    <n v="43.852440000000001"/>
    <s v="BR"/>
    <x v="0"/>
    <x v="2"/>
    <s v="Q1"/>
    <n v="154"/>
    <n v="33.422077922077925"/>
    <s v="48oz"/>
    <n v="1"/>
    <n v="5147"/>
    <n v="43.852440000000001"/>
    <n v="33.422077922077925"/>
  </r>
  <r>
    <n v="68188183"/>
    <x v="3"/>
    <n v="0"/>
    <d v="2023-01-13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409142"/>
    <x v="5"/>
    <n v="46075"/>
    <d v="2023-01-13T00:00:00"/>
    <x v="60"/>
    <x v="35"/>
    <n v="1.419504E-3"/>
    <n v="65.403646800000004"/>
    <s v="BJ"/>
    <x v="0"/>
    <x v="25"/>
    <s v="Q1"/>
    <n v="510"/>
    <n v="90.343137254901961"/>
    <s v="B&amp;J Dog Treat"/>
    <n v="1"/>
    <n v="46075"/>
    <n v="65.403646800000004"/>
    <n v="90.343137254901961"/>
  </r>
  <r>
    <n v="68410354"/>
    <x v="2"/>
    <n v="0"/>
    <d v="2023-01-13T00:00:00"/>
    <x v="111"/>
    <x v="5"/>
    <n v="1.08E-3"/>
    <n v="0"/>
    <s v="MG"/>
    <x v="0"/>
    <x v="5"/>
    <s v="Q1"/>
    <n v="493"/>
    <n v="0"/>
    <s v="MG Sticks"/>
    <n v="1"/>
    <n v="0"/>
    <n v="0"/>
    <n v="0"/>
  </r>
  <r>
    <n v="68521425"/>
    <x v="0"/>
    <n v="0"/>
    <d v="2023-01-13T00:00:00"/>
    <x v="0"/>
    <x v="0"/>
    <n v="4.248E-3"/>
    <n v="0"/>
    <s v="GH"/>
    <x v="0"/>
    <x v="0"/>
    <s v="Q1"/>
    <n v="216"/>
    <n v="0"/>
    <s v="Giant SW"/>
    <n v="1"/>
    <n v="0"/>
    <n v="0"/>
    <n v="0"/>
  </r>
  <r>
    <n v="68634167"/>
    <x v="3"/>
    <n v="0"/>
    <d v="2023-01-13T00:00:00"/>
    <x v="91"/>
    <x v="16"/>
    <n v="8.5199999999999998E-3"/>
    <n v="0"/>
    <s v="BR"/>
    <x v="0"/>
    <x v="6"/>
    <s v="Q1"/>
    <n v="154"/>
    <n v="0"/>
    <s v="48oz"/>
    <n v="1"/>
    <n v="0"/>
    <n v="0"/>
    <n v="0"/>
  </r>
  <r>
    <n v="68634167"/>
    <x v="2"/>
    <n v="0"/>
    <d v="2023-01-13T00:00:00"/>
    <x v="91"/>
    <x v="2"/>
    <n v="8.5199999999999998E-3"/>
    <n v="0"/>
    <s v="BR"/>
    <x v="0"/>
    <x v="2"/>
    <s v="Q1"/>
    <n v="154"/>
    <n v="0"/>
    <s v="48oz"/>
    <n v="1"/>
    <n v="0"/>
    <n v="0"/>
    <n v="0"/>
  </r>
  <r>
    <n v="68634168"/>
    <x v="3"/>
    <n v="0"/>
    <d v="2023-01-13T00:00:00"/>
    <x v="42"/>
    <x v="16"/>
    <n v="8.5170239596469108E-3"/>
    <n v="0"/>
    <s v="BR"/>
    <x v="0"/>
    <x v="6"/>
    <s v="Q1"/>
    <n v="154"/>
    <n v="0"/>
    <s v="48oz"/>
    <n v="1"/>
    <n v="0"/>
    <n v="0"/>
    <n v="0"/>
  </r>
  <r>
    <n v="68656227"/>
    <x v="2"/>
    <n v="0"/>
    <d v="2023-01-13T00:00:00"/>
    <x v="112"/>
    <x v="13"/>
    <n v="8.5199999999999998E-3"/>
    <n v="0"/>
    <s v="BR"/>
    <x v="0"/>
    <x v="2"/>
    <s v="Q1"/>
    <n v="154"/>
    <n v="0"/>
    <s v="48oz"/>
    <n v="1"/>
    <n v="0"/>
    <n v="0"/>
    <n v="0"/>
  </r>
  <r>
    <n v="68688168"/>
    <x v="2"/>
    <n v="3983"/>
    <d v="2023-01-13T00:00:00"/>
    <x v="73"/>
    <x v="18"/>
    <n v="2.8380000000000002E-3"/>
    <n v="11.303754000000001"/>
    <s v="GH"/>
    <x v="0"/>
    <x v="9"/>
    <s v="Q1"/>
    <n v="264"/>
    <n v="15.087121212121213"/>
    <s v="ESS"/>
    <n v="1"/>
    <n v="3983"/>
    <n v="11.303754000000001"/>
    <n v="15.087121212121213"/>
  </r>
  <r>
    <n v="68689251"/>
    <x v="3"/>
    <n v="6287"/>
    <d v="2023-01-13T00:00:00"/>
    <x v="17"/>
    <x v="17"/>
    <n v="9.5760000000000012E-3"/>
    <n v="60.204312000000009"/>
    <s v="KL"/>
    <x v="0"/>
    <x v="8"/>
    <s v="Q1"/>
    <n v="132"/>
    <n v="47.628787878787875"/>
    <s v="EDF"/>
    <n v="1"/>
    <n v="6287"/>
    <n v="60.204312000000009"/>
    <n v="47.628787878787875"/>
  </r>
  <r>
    <n v="68709233"/>
    <x v="3"/>
    <n v="0"/>
    <d v="2023-01-13T00:00:00"/>
    <x v="19"/>
    <x v="19"/>
    <n v="8.4960000000000001E-3"/>
    <n v="0"/>
    <s v="KL"/>
    <x v="0"/>
    <x v="8"/>
    <s v="Q1"/>
    <n v="132"/>
    <n v="0"/>
    <s v="EDF"/>
    <n v="1"/>
    <n v="0"/>
    <n v="0"/>
    <n v="0"/>
  </r>
  <r>
    <n v="68709233"/>
    <x v="3"/>
    <n v="463"/>
    <d v="2023-01-13T00:00:00"/>
    <x v="19"/>
    <x v="20"/>
    <n v="8.4960000000000001E-3"/>
    <n v="3.9336480000000003"/>
    <s v="KL"/>
    <x v="0"/>
    <x v="8"/>
    <s v="Q1"/>
    <n v="132"/>
    <n v="3.5075757575757578"/>
    <s v="EDF"/>
    <n v="1"/>
    <n v="463"/>
    <n v="3.9336480000000003"/>
    <n v="3.5075757575757578"/>
  </r>
  <r>
    <n v="68710285"/>
    <x v="3"/>
    <n v="4882"/>
    <d v="2023-01-13T00:00:00"/>
    <x v="74"/>
    <x v="20"/>
    <n v="8.5199999999999998E-3"/>
    <n v="41.594639999999998"/>
    <s v="KL"/>
    <x v="0"/>
    <x v="8"/>
    <s v="Q1"/>
    <n v="132"/>
    <n v="36.984848484848484"/>
    <s v="EDF"/>
    <n v="1"/>
    <n v="4882"/>
    <n v="41.594639999999998"/>
    <n v="36.984848484848484"/>
  </r>
  <r>
    <n v="68729634"/>
    <x v="2"/>
    <n v="0"/>
    <d v="2023-01-13T00:00:00"/>
    <x v="92"/>
    <x v="22"/>
    <n v="3.7853439999999999E-3"/>
    <n v="0"/>
    <s v="TA"/>
    <x v="0"/>
    <x v="10"/>
    <s v="Q1"/>
    <n v="255"/>
    <n v="0"/>
    <s v="TALENTI"/>
    <n v="1"/>
    <n v="0"/>
    <n v="0"/>
    <n v="0"/>
  </r>
  <r>
    <n v="68741714"/>
    <x v="3"/>
    <n v="6728"/>
    <d v="2023-01-13T00:00:00"/>
    <x v="24"/>
    <x v="24"/>
    <n v="2.8319999999999999E-3"/>
    <n v="19.053695999999999"/>
    <s v="GH"/>
    <x v="0"/>
    <x v="4"/>
    <s v="Q1"/>
    <n v="225"/>
    <n v="29.902222222222221"/>
    <s v="MBG"/>
    <n v="1"/>
    <n v="6728"/>
    <n v="19.053695999999999"/>
    <n v="29.902222222222221"/>
  </r>
  <r>
    <n v="68741742"/>
    <x v="2"/>
    <n v="4998"/>
    <d v="2023-01-13T00:00:00"/>
    <x v="25"/>
    <x v="25"/>
    <n v="4.2560000000000002E-3"/>
    <n v="21.271488000000002"/>
    <s v="GH"/>
    <x v="0"/>
    <x v="11"/>
    <s v="Q1"/>
    <n v="154"/>
    <n v="32.454545454545453"/>
    <s v="MBG"/>
    <n v="1"/>
    <n v="4998"/>
    <n v="21.271488000000002"/>
    <n v="32.454545454545453"/>
  </r>
  <r>
    <n v="68852591"/>
    <x v="2"/>
    <n v="5016"/>
    <d v="2023-01-13T00:00:00"/>
    <x v="26"/>
    <x v="26"/>
    <n v="8.5199999999999998E-3"/>
    <n v="42.736319999999999"/>
    <s v="KL"/>
    <x v="0"/>
    <x v="12"/>
    <s v="Q1"/>
    <n v="132"/>
    <n v="38"/>
    <s v="EDF"/>
    <n v="1"/>
    <n v="5016"/>
    <n v="42.736319999999999"/>
    <n v="38"/>
  </r>
  <r>
    <n v="68914406"/>
    <x v="2"/>
    <n v="5968"/>
    <d v="2023-01-13T00:00:00"/>
    <x v="78"/>
    <x v="27"/>
    <n v="2.124E-3"/>
    <n v="12.676031999999999"/>
    <s v="KL"/>
    <x v="0"/>
    <x v="9"/>
    <s v="Q1"/>
    <n v="352"/>
    <n v="16.954545454545453"/>
    <s v="ESS"/>
    <n v="1"/>
    <n v="5968"/>
    <n v="12.676031999999999"/>
    <n v="16.954545454545453"/>
  </r>
  <r>
    <n v="68922018"/>
    <x v="2"/>
    <n v="20784"/>
    <d v="2023-01-13T00:00:00"/>
    <x v="95"/>
    <x v="21"/>
    <n v="3.7839999999999996E-3"/>
    <n v="78.646655999999993"/>
    <s v="TA"/>
    <x v="0"/>
    <x v="10"/>
    <s v="Q1"/>
    <n v="255"/>
    <n v="81.505882352941171"/>
    <s v="TALENTI"/>
    <n v="1"/>
    <n v="20784"/>
    <n v="78.646655999999993"/>
    <n v="81.505882352941171"/>
  </r>
  <r>
    <n v="68922106"/>
    <x v="2"/>
    <n v="0"/>
    <d v="2023-01-13T00:00:00"/>
    <x v="104"/>
    <x v="22"/>
    <n v="3.552E-3"/>
    <n v="0"/>
    <s v="TA"/>
    <x v="0"/>
    <x v="10"/>
    <s v="Q1"/>
    <n v="255"/>
    <n v="0"/>
    <s v="TALENTI"/>
    <n v="1"/>
    <n v="0"/>
    <n v="0"/>
    <n v="0"/>
  </r>
  <r>
    <n v="68930545"/>
    <x v="3"/>
    <n v="0"/>
    <d v="2023-01-13T00:00:00"/>
    <x v="93"/>
    <x v="12"/>
    <n v="8.5199999999999998E-3"/>
    <n v="0"/>
    <s v="BR"/>
    <x v="0"/>
    <x v="6"/>
    <s v="Q1"/>
    <n v="176"/>
    <n v="0"/>
    <s v="48oz"/>
    <n v="1"/>
    <n v="0"/>
    <n v="0"/>
    <n v="0"/>
  </r>
  <r>
    <n v="68940226"/>
    <x v="5"/>
    <n v="22800"/>
    <d v="2023-01-13T00:00:00"/>
    <x v="113"/>
    <x v="35"/>
    <n v="3.7839999999999996E-3"/>
    <n v="86.275199999999984"/>
    <s v="BJ"/>
    <x v="0"/>
    <x v="15"/>
    <s v="Q1"/>
    <n v="240"/>
    <n v="95"/>
    <s v="BJ PTS"/>
    <n v="1"/>
    <n v="22800"/>
    <n v="86.275199999999984"/>
    <n v="95"/>
  </r>
  <r>
    <n v="69549217"/>
    <x v="2"/>
    <n v="471"/>
    <d v="2023-01-13T00:00:00"/>
    <x v="80"/>
    <x v="5"/>
    <n v="2.0400000000000001E-3"/>
    <n v="0.96084000000000003"/>
    <s v="MG"/>
    <x v="0"/>
    <x v="5"/>
    <s v="Q1"/>
    <n v="189"/>
    <n v="2.4920634920634921"/>
    <s v="MG Sticks"/>
    <n v="1"/>
    <n v="471"/>
    <n v="0.96084000000000003"/>
    <n v="2.4920634920634921"/>
  </r>
  <r>
    <n v="69549219"/>
    <x v="2"/>
    <n v="2929"/>
    <d v="2023-01-13T00:00:00"/>
    <x v="96"/>
    <x v="5"/>
    <n v="1.2227999999999999E-5"/>
    <n v="3.5815811999999995E-2"/>
    <s v="MG"/>
    <x v="0"/>
    <x v="5"/>
    <s v="Q1"/>
    <n v="493"/>
    <n v="5.9411764705882355"/>
    <s v="MG Sticks"/>
    <n v="1"/>
    <n v="2929"/>
    <n v="3.5815811999999995E-2"/>
    <n v="5.9411764705882355"/>
  </r>
  <r>
    <n v="69551489"/>
    <x v="3"/>
    <n v="0"/>
    <d v="2023-01-13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3224"/>
    <d v="2023-01-13T00:00:00"/>
    <x v="4"/>
    <x v="4"/>
    <n v="3.8989043190215313E-3"/>
    <n v="12.570067524525417"/>
    <s v="GH"/>
    <x v="0"/>
    <x v="4"/>
    <s v="Q1"/>
    <n v="154"/>
    <n v="20.935064935064936"/>
    <s v="MBG"/>
    <n v="1"/>
    <n v="3224"/>
    <n v="12.570067524525417"/>
    <n v="20.935064935064936"/>
  </r>
  <r>
    <n v="69621212"/>
    <x v="2"/>
    <n v="4461"/>
    <d v="2023-01-13T00:00:00"/>
    <x v="29"/>
    <x v="28"/>
    <n v="5.2680000000000001E-3"/>
    <n v="23.500548000000002"/>
    <s v="PG"/>
    <x v="0"/>
    <x v="14"/>
    <s v="Q1"/>
    <n v="130"/>
    <n v="34.315384615384616"/>
    <s v="PG"/>
    <n v="1"/>
    <n v="4461"/>
    <n v="23.500548000000002"/>
    <n v="34.315384615384616"/>
  </r>
  <r>
    <n v="69629470"/>
    <x v="4"/>
    <n v="2400"/>
    <d v="2023-01-13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398"/>
    <d v="2023-01-13T00:00:00"/>
    <x v="98"/>
    <x v="0"/>
    <n v="5.3220000000000003E-3"/>
    <n v="12.762156000000001"/>
    <s v="KL"/>
    <x v="0"/>
    <x v="13"/>
    <s v="Q1"/>
    <n v="120"/>
    <n v="19.983333333333334"/>
    <s v="KL Mini Cones"/>
    <n v="1"/>
    <n v="2398"/>
    <n v="12.762156000000001"/>
    <n v="19.983333333333334"/>
  </r>
  <r>
    <n v="69629470"/>
    <x v="4"/>
    <n v="2400"/>
    <d v="2023-01-13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3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77917"/>
    <x v="3"/>
    <n v="3611"/>
    <d v="2023-01-13T00:00:00"/>
    <x v="30"/>
    <x v="29"/>
    <n v="5.2680000000000001E-3"/>
    <n v="19.022748"/>
    <s v="PS"/>
    <x v="0"/>
    <x v="3"/>
    <s v="Q1"/>
    <n v="108"/>
    <n v="33.435185185185183"/>
    <s v="PG"/>
    <n v="1"/>
    <n v="3611"/>
    <n v="19.022748"/>
    <n v="33.435185185185183"/>
  </r>
  <r>
    <n v="69677917"/>
    <x v="2"/>
    <n v="1794"/>
    <d v="2023-01-13T00:00:00"/>
    <x v="30"/>
    <x v="30"/>
    <n v="5.2680000000000001E-3"/>
    <n v="9.4507919999999999"/>
    <s v="PS"/>
    <x v="0"/>
    <x v="14"/>
    <s v="Q1"/>
    <n v="108"/>
    <n v="16.611111111111111"/>
    <s v="PG"/>
    <n v="1"/>
    <n v="1794"/>
    <n v="9.4507919999999999"/>
    <n v="16.611111111111111"/>
  </r>
  <r>
    <n v="69684522"/>
    <x v="2"/>
    <n v="6731"/>
    <d v="2023-01-13T00:00:00"/>
    <x v="31"/>
    <x v="31"/>
    <n v="4.2560000000000002E-3"/>
    <n v="28.647136000000003"/>
    <s v="BR"/>
    <x v="0"/>
    <x v="5"/>
    <s v="Q1"/>
    <n v="143"/>
    <n v="47.069930069930066"/>
    <s v="MG Sticks"/>
    <n v="1"/>
    <n v="6731"/>
    <n v="28.647136000000003"/>
    <n v="47.069930069930066"/>
  </r>
  <r>
    <n v="69691840"/>
    <x v="2"/>
    <n v="0"/>
    <d v="2023-01-13T00:00:00"/>
    <x v="106"/>
    <x v="21"/>
    <n v="3.7839999999999996E-3"/>
    <n v="0"/>
    <s v="TA"/>
    <x v="0"/>
    <x v="10"/>
    <s v="Q1"/>
    <n v="255"/>
    <n v="0"/>
    <s v="TALENTI"/>
    <n v="1"/>
    <n v="0"/>
    <n v="0"/>
    <n v="0"/>
  </r>
  <r>
    <n v="84138391"/>
    <x v="5"/>
    <n v="8110"/>
    <d v="2023-01-13T00:00:00"/>
    <x v="84"/>
    <x v="33"/>
    <n v="3.7853439999999999E-3"/>
    <n v="30.699139840000001"/>
    <s v="BJ"/>
    <x v="0"/>
    <x v="15"/>
    <s v="Q1"/>
    <n v="240"/>
    <n v="33.791666666666664"/>
    <s v="BJ PTS"/>
    <n v="1"/>
    <n v="8110"/>
    <n v="30.699139840000001"/>
    <n v="33.791666666666664"/>
  </r>
  <r>
    <n v="84139090"/>
    <x v="2"/>
    <n v="0"/>
    <d v="2023-01-13T00:00:00"/>
    <x v="85"/>
    <x v="15"/>
    <n v="3.7853439999999999E-3"/>
    <n v="0"/>
    <s v="BJ"/>
    <x v="0"/>
    <x v="30"/>
    <s v="Q1"/>
    <n v="240"/>
    <n v="0"/>
    <s v="BJ PTS"/>
    <n v="1"/>
    <n v="0"/>
    <n v="0"/>
    <n v="0"/>
  </r>
  <r>
    <n v="84141094"/>
    <x v="2"/>
    <n v="9522"/>
    <d v="2023-01-13T00:00:00"/>
    <x v="107"/>
    <x v="15"/>
    <n v="3.7853439999999999E-3"/>
    <n v="36.044045568000001"/>
    <s v="BJ"/>
    <x v="0"/>
    <x v="30"/>
    <s v="Q1"/>
    <n v="240"/>
    <n v="39.674999999999997"/>
    <s v="BJ PTS"/>
    <n v="1"/>
    <n v="9522"/>
    <n v="36.044045568000001"/>
    <n v="39.674999999999997"/>
  </r>
  <r>
    <n v="67309843"/>
    <x v="3"/>
    <n v="0"/>
    <d v="2023-01-14T00:00:00"/>
    <x v="88"/>
    <x v="16"/>
    <n v="8.5199999999999998E-3"/>
    <n v="0"/>
    <s v="BR"/>
    <x v="0"/>
    <x v="6"/>
    <s v="Q1"/>
    <n v="154"/>
    <n v="0"/>
    <s v="48oz"/>
    <n v="1"/>
    <n v="0"/>
    <n v="0"/>
    <n v="0"/>
  </r>
  <r>
    <n v="67465063"/>
    <x v="3"/>
    <n v="5142"/>
    <d v="2023-01-14T00:00:00"/>
    <x v="3"/>
    <x v="6"/>
    <n v="5.2680000000000001E-3"/>
    <n v="27.088056000000002"/>
    <s v="PS"/>
    <x v="0"/>
    <x v="3"/>
    <s v="Q1"/>
    <n v="130"/>
    <n v="39.553846153846152"/>
    <s v="PG"/>
    <n v="1"/>
    <n v="5142"/>
    <n v="27.088056000000002"/>
    <n v="39.553846153846152"/>
  </r>
  <r>
    <n v="67465063"/>
    <x v="3"/>
    <n v="0"/>
    <d v="2023-01-14T00:00:00"/>
    <x v="3"/>
    <x v="3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14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14T00:00:00"/>
    <x v="8"/>
    <x v="8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5003"/>
    <d v="2023-01-14T00:00:00"/>
    <x v="8"/>
    <x v="8"/>
    <n v="5.2680000000000001E-3"/>
    <n v="26.355803999999999"/>
    <s v="PS"/>
    <x v="0"/>
    <x v="3"/>
    <s v="Q1"/>
    <n v="130"/>
    <n v="38.484615384615381"/>
    <s v="PG"/>
    <n v="1"/>
    <n v="5003"/>
    <n v="26.355803999999999"/>
    <n v="38.484615384615381"/>
  </r>
  <r>
    <n v="67476560"/>
    <x v="3"/>
    <n v="2758"/>
    <d v="2023-01-14T00:00:00"/>
    <x v="10"/>
    <x v="10"/>
    <n v="5.1060000000000003E-3"/>
    <n v="14.082348000000001"/>
    <s v="PS"/>
    <x v="0"/>
    <x v="3"/>
    <s v="Q1"/>
    <n v="130"/>
    <n v="21.215384615384615"/>
    <s v="PG"/>
    <n v="1"/>
    <n v="2758"/>
    <n v="14.082348000000001"/>
    <n v="21.215384615384615"/>
  </r>
  <r>
    <n v="67885716"/>
    <x v="3"/>
    <n v="7700"/>
    <d v="2023-01-14T00:00:00"/>
    <x v="89"/>
    <x v="12"/>
    <n v="8.5199999999999998E-3"/>
    <n v="65.603999999999999"/>
    <s v="BR"/>
    <x v="0"/>
    <x v="6"/>
    <s v="Q1"/>
    <n v="154"/>
    <n v="50"/>
    <s v="48oz"/>
    <n v="1"/>
    <n v="7700"/>
    <n v="65.603999999999999"/>
    <n v="50"/>
  </r>
  <r>
    <n v="67885716"/>
    <x v="3"/>
    <n v="15697"/>
    <d v="2023-01-14T00:00:00"/>
    <x v="89"/>
    <x v="11"/>
    <n v="8.5199999999999998E-3"/>
    <n v="133.73844"/>
    <s v="BR"/>
    <x v="0"/>
    <x v="6"/>
    <s v="Q1"/>
    <n v="154"/>
    <n v="101.92857142857143"/>
    <s v="48oz"/>
    <n v="1"/>
    <n v="15697"/>
    <n v="133.73844"/>
    <n v="101.92857142857143"/>
  </r>
  <r>
    <n v="67885719"/>
    <x v="3"/>
    <n v="5494"/>
    <d v="2023-01-14T00:00:00"/>
    <x v="11"/>
    <x v="12"/>
    <n v="8.5199999999999998E-3"/>
    <n v="46.808880000000002"/>
    <s v="BR"/>
    <x v="0"/>
    <x v="6"/>
    <s v="Q1"/>
    <n v="154"/>
    <n v="35.675324675324674"/>
    <s v="48oz"/>
    <n v="1"/>
    <n v="5494"/>
    <n v="46.808880000000002"/>
    <n v="35.675324675324674"/>
  </r>
  <r>
    <n v="67885719"/>
    <x v="2"/>
    <n v="22067"/>
    <d v="2023-01-14T00:00:00"/>
    <x v="11"/>
    <x v="32"/>
    <n v="8.5199999999999998E-3"/>
    <n v="188.01084"/>
    <s v="BR"/>
    <x v="0"/>
    <x v="2"/>
    <s v="Q1"/>
    <n v="154"/>
    <n v="143.29220779220779"/>
    <s v="48oz"/>
    <n v="1"/>
    <n v="22067"/>
    <n v="188.01084"/>
    <n v="143.29220779220779"/>
  </r>
  <r>
    <n v="68117574"/>
    <x v="2"/>
    <n v="0"/>
    <d v="2023-01-14T00:00:00"/>
    <x v="69"/>
    <x v="14"/>
    <n v="4.2560000000000002E-3"/>
    <n v="0"/>
    <s v="BR"/>
    <x v="0"/>
    <x v="5"/>
    <s v="Q1"/>
    <n v="143"/>
    <n v="0"/>
    <s v="MG Sticks"/>
    <n v="1"/>
    <n v="0"/>
    <n v="0"/>
    <n v="0"/>
  </r>
  <r>
    <n v="68145440"/>
    <x v="2"/>
    <n v="6608"/>
    <d v="2023-01-14T00:00:00"/>
    <x v="101"/>
    <x v="2"/>
    <n v="8.5199999999999998E-3"/>
    <n v="56.300159999999998"/>
    <s v="BR"/>
    <x v="0"/>
    <x v="2"/>
    <s v="Q1"/>
    <n v="154"/>
    <n v="42.909090909090907"/>
    <s v="48oz"/>
    <n v="1"/>
    <n v="6608"/>
    <n v="56.300159999999998"/>
    <n v="42.909090909090907"/>
  </r>
  <r>
    <n v="68599804"/>
    <x v="0"/>
    <n v="308"/>
    <d v="2023-01-14T00:00:00"/>
    <x v="114"/>
    <x v="1"/>
    <n v="8.5170239596469108E-3"/>
    <n v="2.6232433795712486"/>
    <s v="BR"/>
    <x v="0"/>
    <x v="32"/>
    <s v="Q1"/>
    <n v="156"/>
    <n v="1.9743589743589745"/>
    <s v="48oz"/>
    <n v="1"/>
    <n v="308"/>
    <n v="2.6232433795712486"/>
    <n v="1.9743589743589745"/>
  </r>
  <r>
    <n v="68655555"/>
    <x v="5"/>
    <n v="5100"/>
    <d v="2023-01-14T00:00:00"/>
    <x v="115"/>
    <x v="35"/>
    <n v="1.4399999999999999E-3"/>
    <n v="7.3439999999999994"/>
    <s v="BJ"/>
    <x v="0"/>
    <x v="31"/>
    <s v="Q1"/>
    <n v="510"/>
    <n v="10"/>
    <s v="Cup Exports"/>
    <n v="1"/>
    <n v="5100"/>
    <n v="7.3439999999999994"/>
    <n v="10"/>
  </r>
  <r>
    <n v="68656227"/>
    <x v="2"/>
    <n v="0"/>
    <d v="2023-01-14T00:00:00"/>
    <x v="112"/>
    <x v="13"/>
    <n v="8.5199999999999998E-3"/>
    <n v="0"/>
    <s v="BR"/>
    <x v="0"/>
    <x v="2"/>
    <s v="Q1"/>
    <n v="154"/>
    <n v="0"/>
    <s v="48oz"/>
    <n v="1"/>
    <n v="0"/>
    <n v="0"/>
    <n v="0"/>
  </r>
  <r>
    <n v="68656227"/>
    <x v="2"/>
    <n v="7614"/>
    <d v="2023-01-14T00:00:00"/>
    <x v="112"/>
    <x v="13"/>
    <n v="8.5199999999999998E-3"/>
    <n v="64.871279999999999"/>
    <s v="BR"/>
    <x v="0"/>
    <x v="2"/>
    <s v="Q1"/>
    <n v="154"/>
    <n v="49.441558441558442"/>
    <s v="48oz"/>
    <n v="1"/>
    <n v="7614"/>
    <n v="64.871279999999999"/>
    <n v="49.441558441558442"/>
  </r>
  <r>
    <n v="68689251"/>
    <x v="3"/>
    <n v="7519"/>
    <d v="2023-01-14T00:00:00"/>
    <x v="17"/>
    <x v="17"/>
    <n v="9.5760000000000012E-3"/>
    <n v="72.001944000000009"/>
    <s v="KL"/>
    <x v="0"/>
    <x v="8"/>
    <s v="Q1"/>
    <n v="132"/>
    <n v="56.962121212121211"/>
    <s v="EDF"/>
    <n v="1"/>
    <n v="7519"/>
    <n v="72.001944000000009"/>
    <n v="56.962121212121211"/>
  </r>
  <r>
    <n v="68710285"/>
    <x v="3"/>
    <n v="1731"/>
    <d v="2023-01-14T00:00:00"/>
    <x v="74"/>
    <x v="20"/>
    <n v="8.5199999999999998E-3"/>
    <n v="14.74812"/>
    <s v="KL"/>
    <x v="0"/>
    <x v="8"/>
    <s v="Q1"/>
    <n v="132"/>
    <n v="13.113636363636363"/>
    <s v="EDF"/>
    <n v="1"/>
    <n v="1731"/>
    <n v="14.74812"/>
    <n v="13.113636363636363"/>
  </r>
  <r>
    <n v="68741714"/>
    <x v="3"/>
    <n v="7425"/>
    <d v="2023-01-14T00:00:00"/>
    <x v="24"/>
    <x v="24"/>
    <n v="2.8319999999999999E-3"/>
    <n v="21.0276"/>
    <s v="GH"/>
    <x v="0"/>
    <x v="4"/>
    <s v="Q1"/>
    <n v="225"/>
    <n v="33"/>
    <s v="MBG"/>
    <n v="1"/>
    <n v="7425"/>
    <n v="21.0276"/>
    <n v="33"/>
  </r>
  <r>
    <n v="68741742"/>
    <x v="2"/>
    <n v="4466"/>
    <d v="2023-01-14T00:00:00"/>
    <x v="25"/>
    <x v="25"/>
    <n v="4.2560000000000002E-3"/>
    <n v="19.007296"/>
    <s v="GH"/>
    <x v="0"/>
    <x v="11"/>
    <s v="Q1"/>
    <n v="154"/>
    <n v="29"/>
    <s v="MBG"/>
    <n v="1"/>
    <n v="4466"/>
    <n v="19.007296"/>
    <n v="29"/>
  </r>
  <r>
    <n v="68852591"/>
    <x v="2"/>
    <n v="5383"/>
    <d v="2023-01-14T00:00:00"/>
    <x v="26"/>
    <x v="26"/>
    <n v="8.5199999999999998E-3"/>
    <n v="45.863160000000001"/>
    <s v="KL"/>
    <x v="0"/>
    <x v="12"/>
    <s v="Q1"/>
    <n v="132"/>
    <n v="40.780303030303031"/>
    <s v="EDF"/>
    <n v="1"/>
    <n v="5383"/>
    <n v="45.863160000000001"/>
    <n v="40.780303030303031"/>
  </r>
  <r>
    <n v="68896056"/>
    <x v="2"/>
    <n v="4786"/>
    <d v="2023-01-14T00:00:00"/>
    <x v="116"/>
    <x v="2"/>
    <n v="8.5199999999999998E-3"/>
    <n v="40.776719999999997"/>
    <s v="BR"/>
    <x v="0"/>
    <x v="2"/>
    <s v="Q1"/>
    <n v="176"/>
    <n v="27.193181818181817"/>
    <s v="48oz"/>
    <n v="1"/>
    <n v="4786"/>
    <n v="40.776719999999997"/>
    <n v="27.193181818181817"/>
  </r>
  <r>
    <n v="68896057"/>
    <x v="2"/>
    <n v="0"/>
    <d v="2023-01-14T00:00:00"/>
    <x v="46"/>
    <x v="13"/>
    <n v="8.5199999999999998E-3"/>
    <n v="0"/>
    <s v="BR"/>
    <x v="0"/>
    <x v="2"/>
    <s v="Q1"/>
    <n v="176"/>
    <n v="0"/>
    <s v="48oz"/>
    <n v="1"/>
    <n v="0"/>
    <n v="0"/>
    <n v="0"/>
  </r>
  <r>
    <n v="68914406"/>
    <x v="2"/>
    <n v="0"/>
    <d v="2023-01-14T00:00:00"/>
    <x v="78"/>
    <x v="27"/>
    <n v="2.124E-3"/>
    <n v="0"/>
    <s v="KL"/>
    <x v="0"/>
    <x v="9"/>
    <s v="Q1"/>
    <n v="352"/>
    <n v="0"/>
    <s v="ESS"/>
    <n v="1"/>
    <n v="0"/>
    <n v="0"/>
    <n v="0"/>
  </r>
  <r>
    <n v="68922018"/>
    <x v="2"/>
    <n v="5946"/>
    <d v="2023-01-14T00:00:00"/>
    <x v="95"/>
    <x v="21"/>
    <n v="3.7839999999999996E-3"/>
    <n v="22.499663999999999"/>
    <s v="TA"/>
    <x v="0"/>
    <x v="10"/>
    <s v="Q1"/>
    <n v="255"/>
    <n v="23.317647058823528"/>
    <s v="TALENTI"/>
    <n v="1"/>
    <n v="5946"/>
    <n v="22.499663999999999"/>
    <n v="23.317647058823528"/>
  </r>
  <r>
    <n v="68922106"/>
    <x v="2"/>
    <n v="0"/>
    <d v="2023-01-14T00:00:00"/>
    <x v="104"/>
    <x v="22"/>
    <n v="3.552E-3"/>
    <n v="0"/>
    <s v="TA"/>
    <x v="0"/>
    <x v="10"/>
    <s v="Q1"/>
    <n v="255"/>
    <n v="0"/>
    <s v="TALENTI"/>
    <n v="1"/>
    <n v="0"/>
    <n v="0"/>
    <n v="0"/>
  </r>
  <r>
    <n v="68922106"/>
    <x v="2"/>
    <n v="11371"/>
    <d v="2023-01-14T00:00:00"/>
    <x v="104"/>
    <x v="22"/>
    <n v="3.552E-3"/>
    <n v="40.389792"/>
    <s v="TA"/>
    <x v="0"/>
    <x v="10"/>
    <s v="Q1"/>
    <n v="255"/>
    <n v="44.592156862745099"/>
    <s v="TALENTI"/>
    <n v="1"/>
    <n v="11371"/>
    <n v="40.389792"/>
    <n v="44.592156862745099"/>
  </r>
  <r>
    <n v="69549219"/>
    <x v="2"/>
    <n v="15120"/>
    <d v="2023-01-14T00:00:00"/>
    <x v="96"/>
    <x v="5"/>
    <n v="1.2227999999999999E-5"/>
    <n v="0.18488735999999997"/>
    <s v="MG"/>
    <x v="0"/>
    <x v="5"/>
    <s v="Q1"/>
    <n v="493"/>
    <n v="30.669371196754565"/>
    <s v="MG Sticks"/>
    <n v="1"/>
    <n v="15120"/>
    <n v="0.18488735999999997"/>
    <n v="30.669371196754565"/>
  </r>
  <r>
    <n v="69551489"/>
    <x v="3"/>
    <n v="0"/>
    <d v="2023-01-14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4719"/>
    <d v="2023-01-14T00:00:00"/>
    <x v="4"/>
    <x v="4"/>
    <n v="3.8989043190215313E-3"/>
    <n v="18.398929481462606"/>
    <s v="GH"/>
    <x v="0"/>
    <x v="4"/>
    <s v="Q1"/>
    <n v="154"/>
    <n v="30.642857142857142"/>
    <s v="MBG"/>
    <n v="1"/>
    <n v="4719"/>
    <n v="18.398929481462606"/>
    <n v="30.642857142857142"/>
  </r>
  <r>
    <n v="69621212"/>
    <x v="2"/>
    <n v="1338"/>
    <d v="2023-01-14T00:00:00"/>
    <x v="29"/>
    <x v="28"/>
    <n v="5.2680000000000001E-3"/>
    <n v="7.048584"/>
    <s v="PG"/>
    <x v="0"/>
    <x v="14"/>
    <s v="Q1"/>
    <n v="130"/>
    <n v="10.292307692307693"/>
    <s v="PG"/>
    <n v="1"/>
    <n v="1338"/>
    <n v="7.048584"/>
    <n v="10.292307692307693"/>
  </r>
  <r>
    <n v="69677917"/>
    <x v="3"/>
    <n v="4777"/>
    <d v="2023-01-14T00:00:00"/>
    <x v="30"/>
    <x v="29"/>
    <n v="5.2680000000000001E-3"/>
    <n v="25.165236"/>
    <s v="PS"/>
    <x v="0"/>
    <x v="3"/>
    <s v="Q1"/>
    <n v="108"/>
    <n v="44.231481481481481"/>
    <s v="PG"/>
    <n v="1"/>
    <n v="4777"/>
    <n v="25.165236"/>
    <n v="44.231481481481481"/>
  </r>
  <r>
    <n v="69677917"/>
    <x v="2"/>
    <n v="3357"/>
    <d v="2023-01-14T00:00:00"/>
    <x v="30"/>
    <x v="30"/>
    <n v="5.2680000000000001E-3"/>
    <n v="17.684676"/>
    <s v="PS"/>
    <x v="0"/>
    <x v="14"/>
    <s v="Q1"/>
    <n v="108"/>
    <n v="31.083333333333332"/>
    <s v="PG"/>
    <n v="1"/>
    <n v="3357"/>
    <n v="17.684676"/>
    <n v="31.083333333333332"/>
  </r>
  <r>
    <n v="69691840"/>
    <x v="2"/>
    <n v="0"/>
    <d v="2023-01-14T00:00:00"/>
    <x v="106"/>
    <x v="21"/>
    <n v="3.7839999999999996E-3"/>
    <n v="0"/>
    <s v="TA"/>
    <x v="0"/>
    <x v="10"/>
    <s v="Q1"/>
    <n v="255"/>
    <n v="0"/>
    <s v="TALENTI"/>
    <n v="1"/>
    <n v="0"/>
    <n v="0"/>
    <n v="0"/>
  </r>
  <r>
    <n v="84150071"/>
    <x v="5"/>
    <n v="18145"/>
    <d v="2023-01-14T00:00:00"/>
    <x v="117"/>
    <x v="33"/>
    <n v="1.4384307203870285E-3"/>
    <n v="26.100325421422632"/>
    <s v="BJ"/>
    <x v="0"/>
    <x v="31"/>
    <s v="Q1"/>
    <n v="510"/>
    <n v="35.578431372549019"/>
    <s v="Cup Exports"/>
    <n v="1"/>
    <n v="18145"/>
    <n v="26.100325421422632"/>
    <n v="35.578431372549019"/>
  </r>
  <r>
    <n v="67309843"/>
    <x v="3"/>
    <n v="0"/>
    <d v="2023-01-15T00:00:00"/>
    <x v="88"/>
    <x v="16"/>
    <n v="8.5199999999999998E-3"/>
    <n v="0"/>
    <s v="BR"/>
    <x v="0"/>
    <x v="6"/>
    <s v="Q1"/>
    <n v="154"/>
    <n v="0"/>
    <s v="48oz"/>
    <n v="1"/>
    <n v="0"/>
    <n v="0"/>
    <n v="0"/>
  </r>
  <r>
    <n v="67465063"/>
    <x v="3"/>
    <n v="2800"/>
    <d v="2023-01-15T00:00:00"/>
    <x v="3"/>
    <x v="6"/>
    <n v="5.2680000000000001E-3"/>
    <n v="14.750400000000001"/>
    <s v="PS"/>
    <x v="0"/>
    <x v="3"/>
    <s v="Q1"/>
    <n v="130"/>
    <n v="21.53846153846154"/>
    <s v="PG"/>
    <n v="1"/>
    <n v="2800"/>
    <n v="14.750400000000001"/>
    <n v="21.53846153846154"/>
  </r>
  <r>
    <n v="67466492"/>
    <x v="3"/>
    <n v="0"/>
    <d v="2023-01-15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15T00:00:00"/>
    <x v="8"/>
    <x v="8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3102"/>
    <d v="2023-01-15T00:00:00"/>
    <x v="8"/>
    <x v="8"/>
    <n v="5.2680000000000001E-3"/>
    <n v="16.341336000000002"/>
    <s v="PS"/>
    <x v="0"/>
    <x v="3"/>
    <s v="Q1"/>
    <n v="130"/>
    <n v="23.861538461538462"/>
    <s v="PG"/>
    <n v="1"/>
    <n v="3102"/>
    <n v="16.341336000000002"/>
    <n v="23.861538461538462"/>
  </r>
  <r>
    <n v="67476560"/>
    <x v="3"/>
    <n v="2653"/>
    <d v="2023-01-15T00:00:00"/>
    <x v="10"/>
    <x v="10"/>
    <n v="5.1060000000000003E-3"/>
    <n v="13.546218000000001"/>
    <s v="PS"/>
    <x v="0"/>
    <x v="3"/>
    <s v="Q1"/>
    <n v="130"/>
    <n v="20.407692307692308"/>
    <s v="PG"/>
    <n v="1"/>
    <n v="2653"/>
    <n v="13.546218000000001"/>
    <n v="20.407692307692308"/>
  </r>
  <r>
    <n v="67885716"/>
    <x v="3"/>
    <n v="4346"/>
    <d v="2023-01-15T00:00:00"/>
    <x v="89"/>
    <x v="12"/>
    <n v="8.5199999999999998E-3"/>
    <n v="37.027920000000002"/>
    <s v="BR"/>
    <x v="0"/>
    <x v="6"/>
    <s v="Q1"/>
    <n v="154"/>
    <n v="28.220779220779221"/>
    <s v="48oz"/>
    <n v="1"/>
    <n v="4346"/>
    <n v="37.027920000000002"/>
    <n v="28.220779220779221"/>
  </r>
  <r>
    <n v="67885716"/>
    <x v="3"/>
    <n v="4618"/>
    <d v="2023-01-15T00:00:00"/>
    <x v="89"/>
    <x v="11"/>
    <n v="8.5199999999999998E-3"/>
    <n v="39.345359999999999"/>
    <s v="BR"/>
    <x v="0"/>
    <x v="6"/>
    <s v="Q1"/>
    <n v="154"/>
    <n v="29.987012987012989"/>
    <s v="48oz"/>
    <n v="1"/>
    <n v="4618"/>
    <n v="39.345359999999999"/>
    <n v="29.987012987012989"/>
  </r>
  <r>
    <n v="67885719"/>
    <x v="3"/>
    <n v="0"/>
    <d v="2023-01-15T00:00:00"/>
    <x v="11"/>
    <x v="12"/>
    <n v="8.5199999999999998E-3"/>
    <n v="0"/>
    <s v="BR"/>
    <x v="0"/>
    <x v="6"/>
    <s v="Q1"/>
    <n v="154"/>
    <n v="0"/>
    <s v="48oz"/>
    <n v="1"/>
    <n v="0"/>
    <n v="0"/>
    <n v="0"/>
  </r>
  <r>
    <n v="67885719"/>
    <x v="2"/>
    <n v="4736"/>
    <d v="2023-01-15T00:00:00"/>
    <x v="11"/>
    <x v="2"/>
    <n v="8.5199999999999998E-3"/>
    <n v="40.350719999999995"/>
    <s v="BR"/>
    <x v="0"/>
    <x v="2"/>
    <s v="Q1"/>
    <n v="154"/>
    <n v="30.753246753246753"/>
    <s v="48oz"/>
    <n v="1"/>
    <n v="4736"/>
    <n v="40.350719999999995"/>
    <n v="30.753246753246753"/>
  </r>
  <r>
    <n v="67885719"/>
    <x v="2"/>
    <n v="0"/>
    <d v="2023-01-15T00:00:00"/>
    <x v="11"/>
    <x v="13"/>
    <n v="8.5199999999999998E-3"/>
    <n v="0"/>
    <s v="BR"/>
    <x v="0"/>
    <x v="2"/>
    <s v="Q1"/>
    <n v="154"/>
    <n v="0"/>
    <s v="48oz"/>
    <n v="1"/>
    <n v="0"/>
    <n v="0"/>
    <n v="0"/>
  </r>
  <r>
    <n v="67893539"/>
    <x v="3"/>
    <n v="2122"/>
    <d v="2023-01-15T00:00:00"/>
    <x v="12"/>
    <x v="12"/>
    <n v="8.5199999999999998E-3"/>
    <n v="18.079439999999998"/>
    <s v="BR"/>
    <x v="0"/>
    <x v="6"/>
    <s v="Q1"/>
    <n v="154"/>
    <n v="13.779220779220779"/>
    <s v="48oz"/>
    <n v="1"/>
    <n v="2122"/>
    <n v="18.079439999999998"/>
    <n v="13.779220779220779"/>
  </r>
  <r>
    <n v="68117574"/>
    <x v="2"/>
    <n v="0"/>
    <d v="2023-01-15T00:00:00"/>
    <x v="69"/>
    <x v="14"/>
    <n v="4.2560000000000002E-3"/>
    <n v="0"/>
    <s v="BR"/>
    <x v="0"/>
    <x v="5"/>
    <s v="Q1"/>
    <n v="143"/>
    <n v="0"/>
    <s v="MG Sticks"/>
    <n v="1"/>
    <n v="0"/>
    <n v="0"/>
    <n v="0"/>
  </r>
  <r>
    <n v="68145440"/>
    <x v="2"/>
    <n v="0"/>
    <d v="2023-01-15T00:00:00"/>
    <x v="101"/>
    <x v="2"/>
    <n v="8.5199999999999998E-3"/>
    <n v="0"/>
    <s v="BR"/>
    <x v="0"/>
    <x v="2"/>
    <s v="Q1"/>
    <n v="154"/>
    <n v="0"/>
    <s v="48oz"/>
    <n v="1"/>
    <n v="0"/>
    <n v="0"/>
    <n v="0"/>
  </r>
  <r>
    <n v="68410354"/>
    <x v="2"/>
    <n v="0"/>
    <d v="2023-01-15T00:00:00"/>
    <x v="111"/>
    <x v="5"/>
    <n v="1.08E-3"/>
    <n v="0"/>
    <s v="MG"/>
    <x v="0"/>
    <x v="5"/>
    <s v="Q1"/>
    <n v="493"/>
    <n v="0"/>
    <s v="MG Sticks"/>
    <n v="1"/>
    <n v="0"/>
    <n v="0"/>
    <n v="0"/>
  </r>
  <r>
    <n v="68410354"/>
    <x v="2"/>
    <n v="0"/>
    <d v="2023-01-15T00:00:00"/>
    <x v="111"/>
    <x v="5"/>
    <n v="1.08E-3"/>
    <n v="0"/>
    <s v="MG"/>
    <x v="0"/>
    <x v="5"/>
    <s v="Q1"/>
    <n v="493"/>
    <n v="0"/>
    <s v="MG Sticks"/>
    <n v="1"/>
    <n v="0"/>
    <n v="0"/>
    <n v="0"/>
  </r>
  <r>
    <n v="68545395"/>
    <x v="11"/>
    <n v="0"/>
    <d v="2023-01-15T00:00:00"/>
    <x v="118"/>
    <x v="0"/>
    <n v="2.8319999999999999E-3"/>
    <n v="0"/>
    <s v="GH"/>
    <x v="0"/>
    <x v="33"/>
    <s v="Q1"/>
    <n v="260"/>
    <n v="0"/>
    <s v="FB Cones"/>
    <n v="1"/>
    <n v="0"/>
    <n v="0"/>
    <n v="0"/>
  </r>
  <r>
    <n v="68656227"/>
    <x v="2"/>
    <n v="0"/>
    <d v="2023-01-15T00:00:00"/>
    <x v="112"/>
    <x v="13"/>
    <n v="8.5199999999999998E-3"/>
    <n v="0"/>
    <s v="BR"/>
    <x v="0"/>
    <x v="2"/>
    <s v="Q1"/>
    <n v="154"/>
    <n v="0"/>
    <s v="48oz"/>
    <n v="1"/>
    <n v="0"/>
    <n v="0"/>
    <n v="0"/>
  </r>
  <r>
    <n v="68656227"/>
    <x v="2"/>
    <n v="10764"/>
    <d v="2023-01-15T00:00:00"/>
    <x v="112"/>
    <x v="13"/>
    <n v="8.5199999999999998E-3"/>
    <n v="91.709279999999993"/>
    <s v="BR"/>
    <x v="0"/>
    <x v="2"/>
    <s v="Q1"/>
    <n v="154"/>
    <n v="69.896103896103895"/>
    <s v="48oz"/>
    <n v="1"/>
    <n v="10764"/>
    <n v="91.709279999999993"/>
    <n v="69.896103896103895"/>
  </r>
  <r>
    <n v="68689251"/>
    <x v="3"/>
    <n v="3920"/>
    <d v="2023-01-15T00:00:00"/>
    <x v="17"/>
    <x v="17"/>
    <n v="9.5760000000000012E-3"/>
    <n v="37.537920000000007"/>
    <s v="KL"/>
    <x v="0"/>
    <x v="8"/>
    <s v="Q1"/>
    <n v="132"/>
    <n v="29.696969696969695"/>
    <s v="EDF"/>
    <n v="1"/>
    <n v="3920"/>
    <n v="37.537920000000007"/>
    <n v="29.696969696969695"/>
  </r>
  <r>
    <n v="68710285"/>
    <x v="3"/>
    <n v="3681"/>
    <d v="2023-01-15T00:00:00"/>
    <x v="74"/>
    <x v="20"/>
    <n v="8.5199999999999998E-3"/>
    <n v="31.362120000000001"/>
    <s v="KL"/>
    <x v="0"/>
    <x v="8"/>
    <s v="Q1"/>
    <n v="132"/>
    <n v="27.886363636363637"/>
    <s v="EDF"/>
    <n v="1"/>
    <n v="3681"/>
    <n v="31.362120000000001"/>
    <n v="27.886363636363637"/>
  </r>
  <r>
    <n v="68741714"/>
    <x v="3"/>
    <n v="895"/>
    <d v="2023-01-15T00:00:00"/>
    <x v="24"/>
    <x v="24"/>
    <n v="2.8319999999999999E-3"/>
    <n v="2.53464"/>
    <s v="GH"/>
    <x v="0"/>
    <x v="4"/>
    <s v="Q1"/>
    <n v="225"/>
    <n v="3.9777777777777779"/>
    <s v="MBG"/>
    <n v="1"/>
    <n v="895"/>
    <n v="2.53464"/>
    <n v="3.9777777777777779"/>
  </r>
  <r>
    <n v="68741742"/>
    <x v="2"/>
    <n v="3361"/>
    <d v="2023-01-15T00:00:00"/>
    <x v="25"/>
    <x v="25"/>
    <n v="4.2560000000000002E-3"/>
    <n v="14.304416000000002"/>
    <s v="GH"/>
    <x v="0"/>
    <x v="11"/>
    <s v="Q1"/>
    <n v="154"/>
    <n v="21.824675324675326"/>
    <s v="MBG"/>
    <n v="1"/>
    <n v="3361"/>
    <n v="14.304416000000002"/>
    <n v="21.824675324675326"/>
  </r>
  <r>
    <n v="68852591"/>
    <x v="2"/>
    <n v="1780"/>
    <d v="2023-01-15T00:00:00"/>
    <x v="26"/>
    <x v="26"/>
    <n v="8.5199999999999998E-3"/>
    <n v="15.1656"/>
    <s v="KL"/>
    <x v="0"/>
    <x v="12"/>
    <s v="Q1"/>
    <n v="132"/>
    <n v="13.484848484848484"/>
    <s v="EDF"/>
    <n v="1"/>
    <n v="1780"/>
    <n v="15.1656"/>
    <n v="13.484848484848484"/>
  </r>
  <r>
    <n v="68896056"/>
    <x v="2"/>
    <n v="834"/>
    <d v="2023-01-15T00:00:00"/>
    <x v="116"/>
    <x v="2"/>
    <n v="8.5199999999999998E-3"/>
    <n v="7.1056799999999996"/>
    <s v="BR"/>
    <x v="0"/>
    <x v="2"/>
    <s v="Q1"/>
    <n v="176"/>
    <n v="4.7386363636363633"/>
    <s v="48oz"/>
    <n v="1"/>
    <n v="834"/>
    <n v="7.1056799999999996"/>
    <n v="4.7386363636363633"/>
  </r>
  <r>
    <n v="68896057"/>
    <x v="2"/>
    <n v="0"/>
    <d v="2023-01-15T00:00:00"/>
    <x v="46"/>
    <x v="13"/>
    <n v="8.5199999999999998E-3"/>
    <n v="0"/>
    <s v="BR"/>
    <x v="0"/>
    <x v="2"/>
    <s v="Q1"/>
    <n v="176"/>
    <n v="0"/>
    <s v="48oz"/>
    <n v="1"/>
    <n v="0"/>
    <n v="0"/>
    <n v="0"/>
  </r>
  <r>
    <n v="68922018"/>
    <x v="2"/>
    <n v="0"/>
    <d v="2023-01-15T00:00:00"/>
    <x v="95"/>
    <x v="21"/>
    <n v="3.7839999999999996E-3"/>
    <n v="0"/>
    <s v="TA"/>
    <x v="0"/>
    <x v="10"/>
    <s v="Q1"/>
    <n v="255"/>
    <n v="0"/>
    <s v="TALENTI"/>
    <n v="1"/>
    <n v="0"/>
    <n v="0"/>
    <n v="0"/>
  </r>
  <r>
    <n v="68922106"/>
    <x v="2"/>
    <n v="0"/>
    <d v="2023-01-15T00:00:00"/>
    <x v="104"/>
    <x v="22"/>
    <n v="3.552E-3"/>
    <n v="0"/>
    <s v="TA"/>
    <x v="0"/>
    <x v="10"/>
    <s v="Q1"/>
    <n v="255"/>
    <n v="0"/>
    <s v="TALENTI"/>
    <n v="1"/>
    <n v="0"/>
    <n v="0"/>
    <n v="0"/>
  </r>
  <r>
    <n v="69549219"/>
    <x v="2"/>
    <n v="0"/>
    <d v="2023-01-15T00:00:00"/>
    <x v="96"/>
    <x v="5"/>
    <n v="1.2227999999999999E-5"/>
    <n v="0"/>
    <s v="MG"/>
    <x v="0"/>
    <x v="5"/>
    <s v="Q1"/>
    <n v="493"/>
    <n v="0"/>
    <s v="MG Sticks"/>
    <n v="1"/>
    <n v="0"/>
    <n v="0"/>
    <n v="0"/>
  </r>
  <r>
    <n v="69549219"/>
    <x v="2"/>
    <n v="15548"/>
    <d v="2023-01-15T00:00:00"/>
    <x v="96"/>
    <x v="5"/>
    <n v="1.2227999999999999E-5"/>
    <n v="0.19012094399999999"/>
    <s v="MG"/>
    <x v="0"/>
    <x v="5"/>
    <s v="Q1"/>
    <n v="493"/>
    <n v="31.537525354969574"/>
    <s v="MG Sticks"/>
    <n v="1"/>
    <n v="15548"/>
    <n v="0.19012094399999999"/>
    <n v="31.537525354969574"/>
  </r>
  <r>
    <n v="69551489"/>
    <x v="3"/>
    <n v="0"/>
    <d v="2023-01-15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1489"/>
    <x v="3"/>
    <n v="2701"/>
    <d v="2023-01-15T00:00:00"/>
    <x v="4"/>
    <x v="4"/>
    <n v="3.8989043190215313E-3"/>
    <n v="10.530940565677156"/>
    <s v="GH"/>
    <x v="0"/>
    <x v="4"/>
    <s v="Q1"/>
    <n v="154"/>
    <n v="17.538961038961038"/>
    <s v="MBG"/>
    <n v="1"/>
    <n v="2701"/>
    <n v="10.530940565677156"/>
    <n v="17.538961038961038"/>
  </r>
  <r>
    <n v="69621212"/>
    <x v="2"/>
    <n v="1606"/>
    <d v="2023-01-15T00:00:00"/>
    <x v="29"/>
    <x v="28"/>
    <n v="5.2680000000000001E-3"/>
    <n v="8.460408000000001"/>
    <s v="PG"/>
    <x v="0"/>
    <x v="14"/>
    <s v="Q1"/>
    <n v="130"/>
    <n v="12.353846153846154"/>
    <s v="PG"/>
    <n v="1"/>
    <n v="1606"/>
    <n v="8.460408000000001"/>
    <n v="12.353846153846154"/>
  </r>
  <r>
    <n v="69677917"/>
    <x v="3"/>
    <n v="2237"/>
    <d v="2023-01-15T00:00:00"/>
    <x v="30"/>
    <x v="29"/>
    <n v="5.2680000000000001E-3"/>
    <n v="11.784516"/>
    <s v="PS"/>
    <x v="0"/>
    <x v="3"/>
    <s v="Q1"/>
    <n v="108"/>
    <n v="20.712962962962962"/>
    <s v="PG"/>
    <n v="1"/>
    <n v="2237"/>
    <n v="11.784516"/>
    <n v="20.712962962962962"/>
  </r>
  <r>
    <n v="69677917"/>
    <x v="2"/>
    <n v="2583"/>
    <d v="2023-01-15T00:00:00"/>
    <x v="30"/>
    <x v="30"/>
    <n v="5.2680000000000001E-3"/>
    <n v="13.607244"/>
    <s v="PS"/>
    <x v="0"/>
    <x v="14"/>
    <s v="Q1"/>
    <n v="108"/>
    <n v="23.916666666666668"/>
    <s v="PG"/>
    <n v="1"/>
    <n v="2583"/>
    <n v="13.607244"/>
    <n v="23.916666666666668"/>
  </r>
  <r>
    <n v="69691840"/>
    <x v="2"/>
    <n v="0"/>
    <d v="2023-01-15T00:00:00"/>
    <x v="106"/>
    <x v="21"/>
    <n v="3.7839999999999996E-3"/>
    <n v="0"/>
    <s v="TA"/>
    <x v="0"/>
    <x v="10"/>
    <s v="Q1"/>
    <n v="255"/>
    <n v="0"/>
    <s v="TALENTI"/>
    <n v="1"/>
    <n v="0"/>
    <n v="0"/>
    <n v="0"/>
  </r>
  <r>
    <n v="84141094"/>
    <x v="2"/>
    <n v="0"/>
    <d v="2023-01-15T00:00:00"/>
    <x v="107"/>
    <x v="15"/>
    <n v="3.7853439999999999E-3"/>
    <n v="0"/>
    <s v="BJ"/>
    <x v="0"/>
    <x v="30"/>
    <s v="Q1"/>
    <n v="240"/>
    <n v="0"/>
    <s v="BJ PTS"/>
    <n v="1"/>
    <n v="0"/>
    <n v="0"/>
    <n v="0"/>
  </r>
  <r>
    <n v="67885719"/>
    <x v="2"/>
    <n v="18250"/>
    <d v="2023-01-16T00:00:00"/>
    <x v="11"/>
    <x v="32"/>
    <n v="8.5199999999999998E-3"/>
    <n v="155.49"/>
    <s v="BR"/>
    <x v="0"/>
    <x v="2"/>
    <s v="Q1"/>
    <n v="154"/>
    <n v="118.50649350649351"/>
    <s v="48oz"/>
    <n v="1"/>
    <n v="18250"/>
    <n v="155.49"/>
    <n v="118.50649350649351"/>
  </r>
  <r>
    <n v="68860008"/>
    <x v="7"/>
    <n v="19200"/>
    <d v="2023-01-16T00:00:00"/>
    <x v="45"/>
    <x v="0"/>
    <n v="3.7853439999999999E-3"/>
    <n v="72.678604800000002"/>
    <s v="BJ"/>
    <x v="0"/>
    <x v="18"/>
    <s v="Q1"/>
    <n v="240"/>
    <n v="80"/>
    <s v="BJ PTS"/>
    <n v="1"/>
    <n v="19200"/>
    <n v="72.678604800000002"/>
    <n v="80"/>
  </r>
  <r>
    <n v="68871168"/>
    <x v="1"/>
    <n v="2837"/>
    <d v="2023-01-16T00:00:00"/>
    <x v="57"/>
    <x v="0"/>
    <n v="6.0035555555555554E-3"/>
    <n v="17.03208711111111"/>
    <s v="KL"/>
    <x v="0"/>
    <x v="1"/>
    <s v="Q1"/>
    <n v="108"/>
    <n v="26.268518518518519"/>
    <s v="KL Sandwiches"/>
    <n v="1"/>
    <n v="2837"/>
    <n v="17.03208711111111"/>
    <n v="26.268518518518519"/>
  </r>
  <r>
    <n v="69552658"/>
    <x v="10"/>
    <n v="2034"/>
    <d v="2023-01-16T00:00:00"/>
    <x v="81"/>
    <x v="37"/>
    <n v="2.8390080000000001E-3"/>
    <n v="5.7745422719999997"/>
    <s v="KL"/>
    <x v="0"/>
    <x v="29"/>
    <s v="Q1"/>
    <n v="189"/>
    <n v="10.761904761904763"/>
    <s v="ESS"/>
    <n v="1"/>
    <n v="2034"/>
    <n v="5.7745422719999997"/>
    <n v="10.761904761904763"/>
  </r>
  <r>
    <n v="69552658"/>
    <x v="10"/>
    <n v="378"/>
    <d v="2023-01-16T00:00:00"/>
    <x v="81"/>
    <x v="37"/>
    <n v="2.8390080000000001E-3"/>
    <n v="1.073145024"/>
    <s v="KL"/>
    <x v="0"/>
    <x v="29"/>
    <s v="Q1"/>
    <n v="189"/>
    <n v="2"/>
    <s v="ESS"/>
    <n v="1"/>
    <n v="378"/>
    <n v="1.073145024"/>
    <n v="2"/>
  </r>
  <r>
    <n v="67309845"/>
    <x v="2"/>
    <n v="0"/>
    <d v="2023-01-17T00:00:00"/>
    <x v="62"/>
    <x v="13"/>
    <n v="8.5199999999999998E-3"/>
    <n v="0"/>
    <s v="BR"/>
    <x v="0"/>
    <x v="2"/>
    <s v="Q1"/>
    <n v="154"/>
    <n v="0"/>
    <s v="48oz"/>
    <n v="1"/>
    <n v="0"/>
    <n v="0"/>
    <n v="0"/>
  </r>
  <r>
    <n v="67430513"/>
    <x v="5"/>
    <n v="18413"/>
    <d v="2023-01-17T00:00:00"/>
    <x v="119"/>
    <x v="38"/>
    <n v="3.7839999999999996E-3"/>
    <n v="69.674791999999997"/>
    <s v="BJ"/>
    <x v="0"/>
    <x v="15"/>
    <s v="Q1"/>
    <n v="240"/>
    <n v="76.720833333333331"/>
    <s v="BJ PTS"/>
    <n v="1"/>
    <n v="18413"/>
    <n v="69.674791999999997"/>
    <n v="76.720833333333331"/>
  </r>
  <r>
    <n v="67465063"/>
    <x v="3"/>
    <n v="3187"/>
    <d v="2023-01-17T00:00:00"/>
    <x v="3"/>
    <x v="6"/>
    <n v="5.2680000000000001E-3"/>
    <n v="16.789116"/>
    <s v="PS"/>
    <x v="0"/>
    <x v="3"/>
    <s v="Q1"/>
    <n v="130"/>
    <n v="24.515384615384615"/>
    <s v="PG"/>
    <n v="1"/>
    <n v="3187"/>
    <n v="16.789116"/>
    <n v="24.515384615384615"/>
  </r>
  <r>
    <n v="67465064"/>
    <x v="3"/>
    <n v="910"/>
    <d v="2023-01-17T00:00:00"/>
    <x v="7"/>
    <x v="3"/>
    <n v="1.596E-3"/>
    <n v="1.4523599999999999"/>
    <s v="PS"/>
    <x v="0"/>
    <x v="3"/>
    <s v="Q1"/>
    <n v="130"/>
    <n v="7"/>
    <s v="PG"/>
    <n v="1"/>
    <n v="910"/>
    <n v="1.4523599999999999"/>
    <n v="7"/>
  </r>
  <r>
    <n v="67466492"/>
    <x v="3"/>
    <n v="2675"/>
    <d v="2023-01-17T00:00:00"/>
    <x v="8"/>
    <x v="7"/>
    <n v="5.2680000000000001E-3"/>
    <n v="14.091900000000001"/>
    <s v="PS"/>
    <x v="0"/>
    <x v="3"/>
    <s v="Q1"/>
    <n v="130"/>
    <n v="20.576923076923077"/>
    <s v="PG"/>
    <n v="1"/>
    <n v="2675"/>
    <n v="14.091900000000001"/>
    <n v="20.576923076923077"/>
  </r>
  <r>
    <n v="67466492"/>
    <x v="3"/>
    <n v="2038"/>
    <d v="2023-01-17T00:00:00"/>
    <x v="8"/>
    <x v="8"/>
    <n v="5.2680000000000001E-3"/>
    <n v="10.736184"/>
    <s v="PS"/>
    <x v="0"/>
    <x v="3"/>
    <s v="Q1"/>
    <n v="130"/>
    <n v="15.676923076923076"/>
    <s v="PG"/>
    <n v="1"/>
    <n v="2038"/>
    <n v="10.736184"/>
    <n v="15.676923076923076"/>
  </r>
  <r>
    <n v="67476456"/>
    <x v="3"/>
    <n v="9593"/>
    <d v="2023-01-17T00:00:00"/>
    <x v="9"/>
    <x v="9"/>
    <n v="1.536E-3"/>
    <n v="14.734848"/>
    <s v="PS"/>
    <x v="0"/>
    <x v="3"/>
    <s v="Q1"/>
    <n v="400"/>
    <n v="23.982500000000002"/>
    <s v="PG"/>
    <n v="1"/>
    <n v="9593"/>
    <n v="14.734848"/>
    <n v="23.982500000000002"/>
  </r>
  <r>
    <n v="67684602"/>
    <x v="10"/>
    <n v="42"/>
    <d v="2023-01-17T00:00:00"/>
    <x v="29"/>
    <x v="39"/>
    <n v="5.2680000000000001E-3"/>
    <n v="0.22125600000000001"/>
    <s v="PS"/>
    <x v="0"/>
    <x v="34"/>
    <s v="Q1"/>
    <n v="104"/>
    <n v="0.40384615384615385"/>
    <s v="PG"/>
    <n v="1"/>
    <n v="42"/>
    <n v="0.22125600000000001"/>
    <n v="0.40384615384615385"/>
  </r>
  <r>
    <n v="67723726"/>
    <x v="3"/>
    <n v="8683"/>
    <d v="2023-01-17T00:00:00"/>
    <x v="109"/>
    <x v="23"/>
    <n v="8.5199999999999998E-3"/>
    <n v="73.979159999999993"/>
    <s v="BR"/>
    <x v="0"/>
    <x v="6"/>
    <s v="Q1"/>
    <n v="154"/>
    <n v="56.383116883116884"/>
    <s v="48oz"/>
    <n v="1"/>
    <n v="8683"/>
    <n v="73.979159999999993"/>
    <n v="56.383116883116884"/>
  </r>
  <r>
    <n v="67885718"/>
    <x v="2"/>
    <n v="8932"/>
    <d v="2023-01-17T00:00:00"/>
    <x v="48"/>
    <x v="2"/>
    <n v="8.5199999999999998E-3"/>
    <n v="76.100639999999999"/>
    <s v="BR"/>
    <x v="0"/>
    <x v="2"/>
    <s v="Q1"/>
    <n v="154"/>
    <n v="58"/>
    <s v="48oz"/>
    <n v="1"/>
    <n v="8932"/>
    <n v="76.100639999999999"/>
    <n v="58"/>
  </r>
  <r>
    <n v="67885719"/>
    <x v="2"/>
    <n v="8893"/>
    <d v="2023-01-17T00:00:00"/>
    <x v="11"/>
    <x v="13"/>
    <n v="8.5199999999999998E-3"/>
    <n v="75.768360000000001"/>
    <s v="BR"/>
    <x v="0"/>
    <x v="2"/>
    <s v="Q1"/>
    <n v="154"/>
    <n v="57.746753246753244"/>
    <s v="48oz"/>
    <n v="1"/>
    <n v="8893"/>
    <n v="75.768360000000001"/>
    <n v="57.746753246753244"/>
  </r>
  <r>
    <n v="67901583"/>
    <x v="3"/>
    <n v="6535"/>
    <d v="2023-01-17T00:00:00"/>
    <x v="50"/>
    <x v="11"/>
    <n v="8.5199999999999998E-3"/>
    <n v="55.678199999999997"/>
    <s v="BR"/>
    <x v="0"/>
    <x v="6"/>
    <s v="Q1"/>
    <n v="154"/>
    <n v="42.435064935064936"/>
    <s v="48oz"/>
    <n v="1"/>
    <n v="6535"/>
    <n v="55.678199999999997"/>
    <n v="42.435064935064936"/>
  </r>
  <r>
    <n v="68188183"/>
    <x v="3"/>
    <n v="0"/>
    <d v="2023-01-17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0"/>
    <d v="2023-01-17T00:00:00"/>
    <x v="120"/>
    <x v="19"/>
    <n v="8.4960000000000001E-3"/>
    <n v="0"/>
    <s v="KL"/>
    <x v="0"/>
    <x v="8"/>
    <s v="Q1"/>
    <n v="132"/>
    <n v="0"/>
    <s v="EDF"/>
    <n v="1"/>
    <n v="0"/>
    <n v="0"/>
    <n v="0"/>
  </r>
  <r>
    <n v="68309313"/>
    <x v="2"/>
    <n v="6238"/>
    <d v="2023-01-17T00:00:00"/>
    <x v="121"/>
    <x v="32"/>
    <n v="8.5199999999999998E-3"/>
    <n v="53.147759999999998"/>
    <s v="BR"/>
    <x v="0"/>
    <x v="2"/>
    <s v="Q1"/>
    <n v="154"/>
    <n v="40.506493506493506"/>
    <s v="48oz"/>
    <n v="1"/>
    <n v="6238"/>
    <n v="53.147759999999998"/>
    <n v="40.506493506493506"/>
  </r>
  <r>
    <n v="68410354"/>
    <x v="2"/>
    <n v="0"/>
    <d v="2023-01-17T00:00:00"/>
    <x v="111"/>
    <x v="5"/>
    <n v="1.08E-3"/>
    <n v="0"/>
    <s v="MG"/>
    <x v="0"/>
    <x v="5"/>
    <s v="Q1"/>
    <n v="493"/>
    <n v="0"/>
    <s v="MG Sticks"/>
    <n v="1"/>
    <n v="0"/>
    <n v="0"/>
    <n v="0"/>
  </r>
  <r>
    <n v="68607438"/>
    <x v="2"/>
    <n v="3099"/>
    <d v="2023-01-17T00:00:00"/>
    <x v="122"/>
    <x v="14"/>
    <n v="3.8999999999999998E-3"/>
    <n v="12.0861"/>
    <s v="MG"/>
    <x v="0"/>
    <x v="5"/>
    <s v="Q1"/>
    <n v="176"/>
    <n v="17.607954545454547"/>
    <s v="MG Sticks"/>
    <n v="1"/>
    <n v="3099"/>
    <n v="12.0861"/>
    <n v="17.607954545454547"/>
  </r>
  <r>
    <n v="68610390"/>
    <x v="12"/>
    <n v="0"/>
    <d v="2023-01-17T00:00:00"/>
    <x v="123"/>
    <x v="0"/>
    <n v="2.16E-3"/>
    <n v="0"/>
    <s v="PS"/>
    <x v="0"/>
    <x v="35"/>
    <s v="Q1"/>
    <n v="275"/>
    <n v="0"/>
    <s v="Facepieces"/>
    <n v="1"/>
    <n v="0"/>
    <n v="0"/>
    <n v="0"/>
  </r>
  <r>
    <n v="68610390"/>
    <x v="12"/>
    <n v="0"/>
    <d v="2023-01-17T00:00:00"/>
    <x v="123"/>
    <x v="0"/>
    <n v="2.16E-3"/>
    <n v="0"/>
    <s v="PS"/>
    <x v="0"/>
    <x v="35"/>
    <s v="Q1"/>
    <n v="275"/>
    <n v="0"/>
    <s v="Facepieces"/>
    <n v="1"/>
    <n v="0"/>
    <n v="0"/>
    <n v="0"/>
  </r>
  <r>
    <n v="68634167"/>
    <x v="3"/>
    <n v="0"/>
    <d v="2023-01-17T00:00:00"/>
    <x v="91"/>
    <x v="16"/>
    <n v="8.5199999999999998E-3"/>
    <n v="0"/>
    <s v="BR"/>
    <x v="0"/>
    <x v="6"/>
    <s v="Q1"/>
    <n v="154"/>
    <n v="0"/>
    <s v="48oz"/>
    <n v="1"/>
    <n v="0"/>
    <n v="0"/>
    <n v="0"/>
  </r>
  <r>
    <n v="68634167"/>
    <x v="3"/>
    <n v="3745"/>
    <d v="2023-01-17T00:00:00"/>
    <x v="91"/>
    <x v="16"/>
    <n v="8.5199999999999998E-3"/>
    <n v="31.907399999999999"/>
    <s v="BR"/>
    <x v="0"/>
    <x v="6"/>
    <s v="Q1"/>
    <n v="154"/>
    <n v="24.318181818181817"/>
    <s v="48oz"/>
    <n v="1"/>
    <n v="3745"/>
    <n v="31.907399999999999"/>
    <n v="24.318181818181817"/>
  </r>
  <r>
    <n v="68656230"/>
    <x v="3"/>
    <n v="0"/>
    <d v="2023-01-17T00:00:00"/>
    <x v="124"/>
    <x v="16"/>
    <n v="8.5199999999999998E-3"/>
    <n v="0"/>
    <s v="BR"/>
    <x v="0"/>
    <x v="6"/>
    <s v="Q1"/>
    <n v="154"/>
    <n v="0"/>
    <s v="48oz"/>
    <n v="1"/>
    <n v="0"/>
    <n v="0"/>
    <n v="0"/>
  </r>
  <r>
    <n v="68656230"/>
    <x v="3"/>
    <n v="0"/>
    <d v="2023-01-17T00:00:00"/>
    <x v="124"/>
    <x v="16"/>
    <n v="8.5199999999999998E-3"/>
    <n v="0"/>
    <s v="BR"/>
    <x v="0"/>
    <x v="6"/>
    <s v="Q1"/>
    <n v="154"/>
    <n v="0"/>
    <s v="48oz"/>
    <n v="1"/>
    <n v="0"/>
    <n v="0"/>
    <n v="0"/>
  </r>
  <r>
    <n v="68689253"/>
    <x v="2"/>
    <n v="3360"/>
    <d v="2023-01-17T00:00:00"/>
    <x v="125"/>
    <x v="18"/>
    <n v="6.0035555555555554E-3"/>
    <n v="20.171946666666667"/>
    <s v="KL"/>
    <x v="0"/>
    <x v="9"/>
    <s v="Q1"/>
    <n v="120"/>
    <n v="28"/>
    <s v="ESS"/>
    <n v="1"/>
    <n v="3360"/>
    <n v="20.171946666666667"/>
    <n v="28"/>
  </r>
  <r>
    <n v="68709233"/>
    <x v="3"/>
    <n v="3120"/>
    <d v="2023-01-17T00:00:00"/>
    <x v="19"/>
    <x v="19"/>
    <n v="8.4960000000000001E-3"/>
    <n v="26.50752"/>
    <s v="KL"/>
    <x v="0"/>
    <x v="8"/>
    <s v="Q1"/>
    <n v="132"/>
    <n v="23.636363636363637"/>
    <s v="EDF"/>
    <n v="1"/>
    <n v="3120"/>
    <n v="26.50752"/>
    <n v="23.636363636363637"/>
  </r>
  <r>
    <n v="68709237"/>
    <x v="3"/>
    <n v="3811"/>
    <d v="2023-01-17T00:00:00"/>
    <x v="126"/>
    <x v="20"/>
    <n v="9.5760000000000012E-3"/>
    <n v="36.494136000000005"/>
    <s v="KL"/>
    <x v="0"/>
    <x v="8"/>
    <s v="Q1"/>
    <n v="132"/>
    <n v="28.871212121212121"/>
    <s v="EDF"/>
    <n v="1"/>
    <n v="3811"/>
    <n v="36.494136000000005"/>
    <n v="28.871212121212121"/>
  </r>
  <r>
    <n v="68729679"/>
    <x v="2"/>
    <n v="9455"/>
    <d v="2023-01-17T00:00:00"/>
    <x v="127"/>
    <x v="22"/>
    <n v="3.7853440000000004E-3"/>
    <n v="35.790427520000001"/>
    <s v="TA"/>
    <x v="0"/>
    <x v="10"/>
    <s v="Q1"/>
    <n v="255"/>
    <n v="37.078431372549019"/>
    <s v="TALENTI"/>
    <n v="1"/>
    <n v="9455"/>
    <n v="35.790427520000001"/>
    <n v="37.078431372549019"/>
  </r>
  <r>
    <n v="68730254"/>
    <x v="2"/>
    <n v="25156"/>
    <d v="2023-01-17T00:00:00"/>
    <x v="128"/>
    <x v="21"/>
    <n v="3.7853440000000004E-3"/>
    <n v="95.224113664000015"/>
    <s v="TA"/>
    <x v="0"/>
    <x v="10"/>
    <s v="Q1"/>
    <n v="255"/>
    <n v="98.650980392156868"/>
    <s v="TALENTI"/>
    <n v="1"/>
    <n v="25156"/>
    <n v="95.224113664000015"/>
    <n v="98.650980392156868"/>
  </r>
  <r>
    <n v="68741714"/>
    <x v="3"/>
    <n v="1334"/>
    <d v="2023-01-17T00:00:00"/>
    <x v="24"/>
    <x v="24"/>
    <n v="2.8319999999999999E-3"/>
    <n v="3.7778879999999999"/>
    <s v="GH"/>
    <x v="0"/>
    <x v="4"/>
    <s v="Q1"/>
    <n v="225"/>
    <n v="5.9288888888888893"/>
    <s v="MBG"/>
    <n v="1"/>
    <n v="1334"/>
    <n v="3.7778879999999999"/>
    <n v="5.9288888888888893"/>
  </r>
  <r>
    <n v="68741714"/>
    <x v="3"/>
    <n v="838"/>
    <d v="2023-01-17T00:00:00"/>
    <x v="24"/>
    <x v="24"/>
    <n v="2.8319999999999999E-3"/>
    <n v="2.3732159999999998"/>
    <s v="GH"/>
    <x v="0"/>
    <x v="4"/>
    <s v="Q1"/>
    <n v="225"/>
    <n v="3.7244444444444444"/>
    <s v="MBG"/>
    <n v="1"/>
    <n v="838"/>
    <n v="2.3732159999999998"/>
    <n v="3.7244444444444444"/>
  </r>
  <r>
    <n v="68741742"/>
    <x v="2"/>
    <n v="3876"/>
    <d v="2023-01-17T00:00:00"/>
    <x v="25"/>
    <x v="25"/>
    <n v="4.2560000000000002E-3"/>
    <n v="16.496256000000002"/>
    <s v="GH"/>
    <x v="0"/>
    <x v="11"/>
    <s v="Q1"/>
    <n v="154"/>
    <n v="25.168831168831169"/>
    <s v="MBG"/>
    <n v="1"/>
    <n v="3876"/>
    <n v="16.496256000000002"/>
    <n v="25.168831168831169"/>
  </r>
  <r>
    <n v="68852591"/>
    <x v="3"/>
    <n v="1026"/>
    <d v="2023-01-17T00:00:00"/>
    <x v="26"/>
    <x v="17"/>
    <n v="8.5199999999999998E-3"/>
    <n v="8.7415199999999995"/>
    <s v="KL"/>
    <x v="0"/>
    <x v="8"/>
    <s v="Q1"/>
    <n v="132"/>
    <n v="7.7727272727272725"/>
    <s v="EDF"/>
    <n v="1"/>
    <n v="1026"/>
    <n v="8.7415199999999995"/>
    <n v="7.7727272727272725"/>
  </r>
  <r>
    <n v="68852591"/>
    <x v="3"/>
    <n v="792"/>
    <d v="2023-01-17T00:00:00"/>
    <x v="26"/>
    <x v="17"/>
    <n v="8.5199999999999998E-3"/>
    <n v="6.7478400000000001"/>
    <s v="KL"/>
    <x v="0"/>
    <x v="8"/>
    <s v="Q1"/>
    <n v="132"/>
    <n v="6"/>
    <s v="EDF"/>
    <n v="1"/>
    <n v="792"/>
    <n v="6.7478400000000001"/>
    <n v="6"/>
  </r>
  <r>
    <n v="68852591"/>
    <x v="2"/>
    <n v="4015"/>
    <d v="2023-01-17T00:00:00"/>
    <x v="26"/>
    <x v="26"/>
    <n v="8.5199999999999998E-3"/>
    <n v="34.207799999999999"/>
    <s v="KL"/>
    <x v="0"/>
    <x v="12"/>
    <s v="Q1"/>
    <n v="132"/>
    <n v="30.416666666666668"/>
    <s v="EDF"/>
    <n v="1"/>
    <n v="4015"/>
    <n v="34.207799999999999"/>
    <n v="30.416666666666668"/>
  </r>
  <r>
    <n v="68899826"/>
    <x v="3"/>
    <n v="11651"/>
    <d v="2023-01-17T00:00:00"/>
    <x v="129"/>
    <x v="12"/>
    <n v="8.5199999999999998E-3"/>
    <n v="99.26652"/>
    <s v="BR"/>
    <x v="0"/>
    <x v="6"/>
    <s v="Q1"/>
    <n v="176"/>
    <n v="66.19886363636364"/>
    <s v="48oz"/>
    <n v="1"/>
    <n v="11651"/>
    <n v="99.26652"/>
    <n v="66.19886363636364"/>
  </r>
  <r>
    <n v="68914406"/>
    <x v="2"/>
    <n v="3934"/>
    <d v="2023-01-17T00:00:00"/>
    <x v="78"/>
    <x v="27"/>
    <n v="2.124E-3"/>
    <n v="8.3558160000000008"/>
    <s v="KL"/>
    <x v="0"/>
    <x v="9"/>
    <s v="Q1"/>
    <n v="352"/>
    <n v="11.176136363636363"/>
    <s v="ESS"/>
    <n v="1"/>
    <n v="3934"/>
    <n v="8.3558160000000008"/>
    <n v="11.176136363636363"/>
  </r>
  <r>
    <n v="69549032"/>
    <x v="3"/>
    <n v="3249"/>
    <d v="2023-01-17T00:00:00"/>
    <x v="79"/>
    <x v="36"/>
    <n v="2.3469132803553457E-3"/>
    <n v="7.6251212478745183"/>
    <s v="GH"/>
    <x v="0"/>
    <x v="28"/>
    <s v="Q1"/>
    <n v="350"/>
    <n v="9.2828571428571429"/>
    <s v="EFW"/>
    <n v="1"/>
    <n v="3249"/>
    <n v="7.6251212478745183"/>
    <n v="9.2828571428571429"/>
  </r>
  <r>
    <n v="69549219"/>
    <x v="2"/>
    <n v="0"/>
    <d v="2023-01-17T00:00:00"/>
    <x v="96"/>
    <x v="5"/>
    <n v="1.2227999999999999E-5"/>
    <n v="0"/>
    <s v="MG"/>
    <x v="0"/>
    <x v="5"/>
    <s v="Q1"/>
    <n v="493"/>
    <n v="0"/>
    <s v="MG Sticks"/>
    <n v="1"/>
    <n v="0"/>
    <n v="0"/>
    <n v="0"/>
  </r>
  <r>
    <n v="69551489"/>
    <x v="3"/>
    <n v="2965"/>
    <d v="2023-01-17T00:00:00"/>
    <x v="4"/>
    <x v="4"/>
    <n v="3.8989043190215313E-3"/>
    <n v="11.56025130589884"/>
    <s v="GH"/>
    <x v="0"/>
    <x v="4"/>
    <s v="Q1"/>
    <n v="154"/>
    <n v="19.253246753246753"/>
    <s v="MBG"/>
    <n v="1"/>
    <n v="2965"/>
    <n v="11.56025130589884"/>
    <n v="19.253246753246753"/>
  </r>
  <r>
    <n v="69551489"/>
    <x v="3"/>
    <n v="0"/>
    <d v="2023-01-17T00:00:00"/>
    <x v="4"/>
    <x v="4"/>
    <n v="3.8989043190215313E-3"/>
    <n v="0"/>
    <s v="GH"/>
    <x v="0"/>
    <x v="4"/>
    <s v="Q1"/>
    <n v="154"/>
    <n v="0"/>
    <s v="MBG"/>
    <n v="1"/>
    <n v="0"/>
    <n v="0"/>
    <n v="0"/>
  </r>
  <r>
    <n v="69552658"/>
    <x v="10"/>
    <n v="4914"/>
    <d v="2023-01-17T00:00:00"/>
    <x v="81"/>
    <x v="37"/>
    <n v="2.8390080000000001E-3"/>
    <n v="13.950885312"/>
    <s v="KL"/>
    <x v="0"/>
    <x v="29"/>
    <s v="Q1"/>
    <n v="189"/>
    <n v="26"/>
    <s v="ESS"/>
    <n v="1"/>
    <n v="4914"/>
    <n v="13.950885312"/>
    <n v="26"/>
  </r>
  <r>
    <n v="69621212"/>
    <x v="2"/>
    <n v="1489"/>
    <d v="2023-01-17T00:00:00"/>
    <x v="29"/>
    <x v="28"/>
    <n v="5.2680000000000001E-3"/>
    <n v="7.8440520000000005"/>
    <s v="PG"/>
    <x v="0"/>
    <x v="14"/>
    <s v="Q1"/>
    <n v="130"/>
    <n v="11.453846153846154"/>
    <s v="PG"/>
    <n v="1"/>
    <n v="1489"/>
    <n v="7.8440520000000005"/>
    <n v="11.453846153846154"/>
  </r>
  <r>
    <n v="69677917"/>
    <x v="3"/>
    <n v="2598"/>
    <d v="2023-01-17T00:00:00"/>
    <x v="30"/>
    <x v="29"/>
    <n v="5.2680000000000001E-3"/>
    <n v="13.686264"/>
    <s v="PS"/>
    <x v="0"/>
    <x v="3"/>
    <s v="Q1"/>
    <n v="108"/>
    <n v="24.055555555555557"/>
    <s v="PG"/>
    <n v="1"/>
    <n v="2598"/>
    <n v="13.686264"/>
    <n v="24.055555555555557"/>
  </r>
  <r>
    <n v="69677917"/>
    <x v="2"/>
    <n v="3192"/>
    <d v="2023-01-17T00:00:00"/>
    <x v="30"/>
    <x v="30"/>
    <n v="5.2680000000000001E-3"/>
    <n v="16.815456000000001"/>
    <s v="PS"/>
    <x v="0"/>
    <x v="14"/>
    <s v="Q1"/>
    <n v="108"/>
    <n v="29.555555555555557"/>
    <s v="PG"/>
    <n v="1"/>
    <n v="3192"/>
    <n v="16.815456000000001"/>
    <n v="29.555555555555557"/>
  </r>
  <r>
    <n v="69684522"/>
    <x v="2"/>
    <n v="7739"/>
    <d v="2023-01-17T00:00:00"/>
    <x v="31"/>
    <x v="31"/>
    <n v="4.2560000000000002E-3"/>
    <n v="32.937184000000002"/>
    <s v="BR"/>
    <x v="0"/>
    <x v="5"/>
    <s v="Q1"/>
    <n v="143"/>
    <n v="54.11888111888112"/>
    <s v="MG Sticks"/>
    <n v="1"/>
    <n v="7739"/>
    <n v="32.937184000000002"/>
    <n v="54.11888111888112"/>
  </r>
  <r>
    <n v="69684524"/>
    <x v="2"/>
    <n v="0"/>
    <d v="2023-01-17T00:00:00"/>
    <x v="69"/>
    <x v="31"/>
    <n v="4.2560000000000002E-3"/>
    <n v="0"/>
    <s v="BR"/>
    <x v="0"/>
    <x v="5"/>
    <s v="Q1"/>
    <n v="143"/>
    <n v="0"/>
    <s v="MG Sticks"/>
    <n v="1"/>
    <n v="0"/>
    <n v="0"/>
    <n v="0"/>
  </r>
  <r>
    <n v="84135758"/>
    <x v="5"/>
    <n v="13232"/>
    <d v="2023-01-17T00:00:00"/>
    <x v="130"/>
    <x v="33"/>
    <n v="1.4399999999999999E-3"/>
    <n v="19.054079999999999"/>
    <s v="BJ"/>
    <x v="0"/>
    <x v="16"/>
    <s v="Q1"/>
    <n v="510"/>
    <n v="25.945098039215686"/>
    <s v="B&amp;J Cups"/>
    <n v="1"/>
    <n v="13232"/>
    <n v="19.054079999999999"/>
    <n v="25.945098039215686"/>
  </r>
  <r>
    <n v="84136043"/>
    <x v="5"/>
    <n v="25887"/>
    <d v="2023-01-17T00:00:00"/>
    <x v="131"/>
    <x v="38"/>
    <n v="3.7853439999999999E-3"/>
    <n v="97.991200128000003"/>
    <s v="BJ"/>
    <x v="0"/>
    <x v="15"/>
    <s v="Q1"/>
    <n v="240"/>
    <n v="107.8625"/>
    <s v="BJ PTS"/>
    <n v="1"/>
    <n v="25887"/>
    <n v="97.991200128000003"/>
    <n v="107.8625"/>
  </r>
  <r>
    <n v="84137725"/>
    <x v="13"/>
    <n v="7606"/>
    <d v="2023-01-17T00:00:00"/>
    <x v="132"/>
    <x v="33"/>
    <n v="3.7853439999999999E-3"/>
    <n v="28.791326464000001"/>
    <s v="BJ"/>
    <x v="0"/>
    <x v="36"/>
    <s v="Q1"/>
    <n v="240"/>
    <n v="31.691666666666666"/>
    <s v="BJ PTS"/>
    <n v="1"/>
    <n v="7606"/>
    <n v="28.791326464000001"/>
    <n v="31.691666666666666"/>
  </r>
  <r>
    <n v="84137725"/>
    <x v="13"/>
    <n v="52749"/>
    <d v="2023-01-17T00:00:00"/>
    <x v="132"/>
    <x v="33"/>
    <n v="3.7853439999999999E-3"/>
    <n v="199.67311065600001"/>
    <s v="BJ"/>
    <x v="0"/>
    <x v="36"/>
    <s v="Q1"/>
    <n v="240"/>
    <n v="219.78749999999999"/>
    <s v="BJ PTS"/>
    <n v="1"/>
    <n v="52749"/>
    <n v="199.67311065600001"/>
    <n v="219.78749999999999"/>
  </r>
  <r>
    <n v="67309845"/>
    <x v="2"/>
    <n v="10654"/>
    <d v="2023-01-18T00:00:00"/>
    <x v="62"/>
    <x v="13"/>
    <n v="8.5199999999999998E-3"/>
    <n v="90.772080000000003"/>
    <s v="BR"/>
    <x v="0"/>
    <x v="2"/>
    <s v="Q1"/>
    <n v="154"/>
    <n v="69.181818181818187"/>
    <s v="48oz"/>
    <n v="1"/>
    <n v="10654"/>
    <n v="90.772080000000003"/>
    <n v="69.181818181818187"/>
  </r>
  <r>
    <n v="67309845"/>
    <x v="2"/>
    <n v="0"/>
    <d v="2023-01-18T00:00:00"/>
    <x v="62"/>
    <x v="13"/>
    <n v="8.5199999999999998E-3"/>
    <n v="0"/>
    <s v="BR"/>
    <x v="0"/>
    <x v="2"/>
    <s v="Q1"/>
    <n v="154"/>
    <n v="0"/>
    <s v="48oz"/>
    <n v="1"/>
    <n v="0"/>
    <n v="0"/>
    <n v="0"/>
  </r>
  <r>
    <n v="67465063"/>
    <x v="3"/>
    <n v="4187"/>
    <d v="2023-01-18T00:00:00"/>
    <x v="3"/>
    <x v="6"/>
    <n v="5.2680000000000001E-3"/>
    <n v="22.057116000000001"/>
    <s v="PS"/>
    <x v="0"/>
    <x v="3"/>
    <s v="Q1"/>
    <n v="130"/>
    <n v="32.207692307692305"/>
    <s v="PG"/>
    <n v="1"/>
    <n v="4187"/>
    <n v="22.057116000000001"/>
    <n v="32.207692307692305"/>
  </r>
  <r>
    <n v="67465064"/>
    <x v="3"/>
    <n v="2038"/>
    <d v="2023-01-18T00:00:00"/>
    <x v="7"/>
    <x v="3"/>
    <n v="1.596E-3"/>
    <n v="3.2526479999999998"/>
    <s v="PS"/>
    <x v="0"/>
    <x v="3"/>
    <s v="Q1"/>
    <n v="130"/>
    <n v="15.676923076923076"/>
    <s v="PG"/>
    <n v="1"/>
    <n v="2038"/>
    <n v="3.2526479999999998"/>
    <n v="15.676923076923076"/>
  </r>
  <r>
    <n v="67466492"/>
    <x v="3"/>
    <n v="4005"/>
    <d v="2023-01-18T00:00:00"/>
    <x v="8"/>
    <x v="7"/>
    <n v="5.2680000000000001E-3"/>
    <n v="21.09834"/>
    <s v="PS"/>
    <x v="0"/>
    <x v="3"/>
    <s v="Q1"/>
    <n v="130"/>
    <n v="30.807692307692307"/>
    <s v="PG"/>
    <n v="1"/>
    <n v="4005"/>
    <n v="21.09834"/>
    <n v="30.807692307692307"/>
  </r>
  <r>
    <n v="67466492"/>
    <x v="3"/>
    <n v="1526"/>
    <d v="2023-01-18T00:00:00"/>
    <x v="8"/>
    <x v="8"/>
    <n v="5.2680000000000001E-3"/>
    <n v="8.0389680000000006"/>
    <s v="PS"/>
    <x v="0"/>
    <x v="3"/>
    <s v="Q1"/>
    <n v="130"/>
    <n v="11.738461538461538"/>
    <s v="PG"/>
    <n v="1"/>
    <n v="1526"/>
    <n v="8.0389680000000006"/>
    <n v="11.738461538461538"/>
  </r>
  <r>
    <n v="67476456"/>
    <x v="3"/>
    <n v="9387"/>
    <d v="2023-01-18T00:00:00"/>
    <x v="9"/>
    <x v="9"/>
    <n v="1.536E-3"/>
    <n v="14.418432000000001"/>
    <s v="PS"/>
    <x v="0"/>
    <x v="3"/>
    <s v="Q1"/>
    <n v="400"/>
    <n v="23.467500000000001"/>
    <s v="PG"/>
    <n v="1"/>
    <n v="9387"/>
    <n v="14.418432000000001"/>
    <n v="23.467500000000001"/>
  </r>
  <r>
    <n v="67476560"/>
    <x v="3"/>
    <n v="3940"/>
    <d v="2023-01-18T00:00:00"/>
    <x v="10"/>
    <x v="10"/>
    <n v="5.1060000000000003E-3"/>
    <n v="20.117640000000002"/>
    <s v="PS"/>
    <x v="0"/>
    <x v="3"/>
    <s v="Q1"/>
    <n v="130"/>
    <n v="30.307692307692307"/>
    <s v="PG"/>
    <n v="1"/>
    <n v="3940"/>
    <n v="20.117640000000002"/>
    <n v="30.307692307692307"/>
  </r>
  <r>
    <n v="67476560"/>
    <x v="3"/>
    <n v="779"/>
    <d v="2023-01-18T00:00:00"/>
    <x v="10"/>
    <x v="10"/>
    <n v="5.1060000000000003E-3"/>
    <n v="3.9775740000000002"/>
    <s v="PS"/>
    <x v="0"/>
    <x v="3"/>
    <s v="Q1"/>
    <n v="130"/>
    <n v="5.9923076923076923"/>
    <s v="PG"/>
    <n v="1"/>
    <n v="779"/>
    <n v="3.9775740000000002"/>
    <n v="5.9923076923076923"/>
  </r>
  <r>
    <n v="67684602"/>
    <x v="10"/>
    <n v="2184"/>
    <d v="2023-01-18T00:00:00"/>
    <x v="29"/>
    <x v="39"/>
    <n v="5.2680000000000001E-3"/>
    <n v="11.505312"/>
    <s v="PS"/>
    <x v="0"/>
    <x v="34"/>
    <s v="Q1"/>
    <n v="104"/>
    <n v="21"/>
    <s v="PG"/>
    <n v="1"/>
    <n v="2184"/>
    <n v="11.505312"/>
    <n v="21"/>
  </r>
  <r>
    <n v="67723726"/>
    <x v="3"/>
    <n v="12428"/>
    <d v="2023-01-18T00:00:00"/>
    <x v="109"/>
    <x v="23"/>
    <n v="8.5199999999999998E-3"/>
    <n v="105.88656"/>
    <s v="BR"/>
    <x v="0"/>
    <x v="6"/>
    <s v="Q1"/>
    <n v="154"/>
    <n v="80.701298701298697"/>
    <s v="48oz"/>
    <n v="1"/>
    <n v="12428"/>
    <n v="105.88656"/>
    <n v="80.701298701298697"/>
  </r>
  <r>
    <n v="67885718"/>
    <x v="2"/>
    <n v="12819"/>
    <d v="2023-01-18T00:00:00"/>
    <x v="48"/>
    <x v="2"/>
    <n v="8.5199999999999998E-3"/>
    <n v="109.21787999999999"/>
    <s v="BR"/>
    <x v="0"/>
    <x v="2"/>
    <s v="Q1"/>
    <n v="154"/>
    <n v="83.240259740259745"/>
    <s v="48oz"/>
    <n v="1"/>
    <n v="12819"/>
    <n v="109.21787999999999"/>
    <n v="83.240259740259745"/>
  </r>
  <r>
    <n v="67885719"/>
    <x v="2"/>
    <n v="1013"/>
    <d v="2023-01-18T00:00:00"/>
    <x v="11"/>
    <x v="13"/>
    <n v="8.5199999999999998E-3"/>
    <n v="8.6307600000000004"/>
    <s v="BR"/>
    <x v="0"/>
    <x v="2"/>
    <s v="Q1"/>
    <n v="154"/>
    <n v="6.5779220779220777"/>
    <s v="48oz"/>
    <n v="1"/>
    <n v="1013"/>
    <n v="8.6307600000000004"/>
    <n v="6.5779220779220777"/>
  </r>
  <r>
    <n v="67901583"/>
    <x v="3"/>
    <n v="12741"/>
    <d v="2023-01-18T00:00:00"/>
    <x v="50"/>
    <x v="11"/>
    <n v="8.5199999999999998E-3"/>
    <n v="108.55332"/>
    <s v="BR"/>
    <x v="0"/>
    <x v="6"/>
    <s v="Q1"/>
    <n v="154"/>
    <n v="82.733766233766232"/>
    <s v="48oz"/>
    <n v="1"/>
    <n v="12741"/>
    <n v="108.55332"/>
    <n v="82.733766233766232"/>
  </r>
  <r>
    <n v="67901583"/>
    <x v="3"/>
    <n v="567"/>
    <d v="2023-01-18T00:00:00"/>
    <x v="50"/>
    <x v="11"/>
    <n v="8.5199999999999998E-3"/>
    <n v="4.8308400000000002"/>
    <s v="BR"/>
    <x v="0"/>
    <x v="6"/>
    <s v="Q1"/>
    <n v="154"/>
    <n v="3.6818181818181817"/>
    <s v="48oz"/>
    <n v="1"/>
    <n v="567"/>
    <n v="4.8308400000000002"/>
    <n v="3.6818181818181817"/>
  </r>
  <r>
    <n v="68188183"/>
    <x v="3"/>
    <n v="0"/>
    <d v="2023-01-18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297196"/>
    <x v="5"/>
    <n v="9185"/>
    <d v="2023-01-18T00:00:00"/>
    <x v="133"/>
    <x v="35"/>
    <n v="3.7853439999999999E-3"/>
    <n v="34.768384640000001"/>
    <s v="BJ"/>
    <x v="0"/>
    <x v="15"/>
    <s v="Q1"/>
    <n v="240"/>
    <n v="38.270833333333336"/>
    <s v="BJ PTS"/>
    <n v="1"/>
    <n v="9185"/>
    <n v="34.768384640000001"/>
    <n v="38.270833333333336"/>
  </r>
  <r>
    <n v="68300738"/>
    <x v="3"/>
    <n v="0"/>
    <d v="2023-01-18T00:00:00"/>
    <x v="120"/>
    <x v="19"/>
    <n v="8.4960000000000001E-3"/>
    <n v="0"/>
    <s v="KL"/>
    <x v="0"/>
    <x v="8"/>
    <s v="Q1"/>
    <n v="132"/>
    <n v="0"/>
    <s v="EDF"/>
    <n v="1"/>
    <n v="0"/>
    <n v="0"/>
    <n v="0"/>
  </r>
  <r>
    <n v="68309312"/>
    <x v="2"/>
    <n v="0"/>
    <d v="2023-01-18T00:00:00"/>
    <x v="134"/>
    <x v="32"/>
    <n v="8.5199999999999998E-3"/>
    <n v="0"/>
    <s v="BR"/>
    <x v="0"/>
    <x v="2"/>
    <s v="Q1"/>
    <n v="154"/>
    <n v="0"/>
    <s v="48oz"/>
    <n v="1"/>
    <n v="0"/>
    <n v="0"/>
    <n v="0"/>
  </r>
  <r>
    <n v="68309313"/>
    <x v="2"/>
    <n v="23386"/>
    <d v="2023-01-18T00:00:00"/>
    <x v="121"/>
    <x v="32"/>
    <n v="8.5199999999999998E-3"/>
    <n v="199.24871999999999"/>
    <s v="BR"/>
    <x v="0"/>
    <x v="2"/>
    <s v="Q1"/>
    <n v="154"/>
    <n v="151.85714285714286"/>
    <s v="48oz"/>
    <n v="1"/>
    <n v="23386"/>
    <n v="199.24871999999999"/>
    <n v="151.85714285714286"/>
  </r>
  <r>
    <n v="68410354"/>
    <x v="2"/>
    <n v="10964"/>
    <d v="2023-01-18T00:00:00"/>
    <x v="111"/>
    <x v="5"/>
    <n v="1.08E-3"/>
    <n v="11.84112"/>
    <s v="MG"/>
    <x v="0"/>
    <x v="5"/>
    <s v="Q1"/>
    <n v="493"/>
    <n v="22.239350912778903"/>
    <s v="MG Sticks"/>
    <n v="1"/>
    <n v="10964"/>
    <n v="11.84112"/>
    <n v="22.239350912778903"/>
  </r>
  <r>
    <n v="68410354"/>
    <x v="2"/>
    <n v="6192"/>
    <d v="2023-01-18T00:00:00"/>
    <x v="111"/>
    <x v="5"/>
    <n v="1.08E-3"/>
    <n v="6.68736"/>
    <s v="MG"/>
    <x v="0"/>
    <x v="5"/>
    <s v="Q1"/>
    <n v="493"/>
    <n v="12.559837728194726"/>
    <s v="MG Sticks"/>
    <n v="1"/>
    <n v="6192"/>
    <n v="6.68736"/>
    <n v="12.559837728194726"/>
  </r>
  <r>
    <n v="68607438"/>
    <x v="2"/>
    <n v="6245"/>
    <d v="2023-01-18T00:00:00"/>
    <x v="122"/>
    <x v="14"/>
    <n v="3.8999999999999998E-3"/>
    <n v="24.355499999999999"/>
    <s v="MG"/>
    <x v="0"/>
    <x v="5"/>
    <s v="Q1"/>
    <n v="176"/>
    <n v="35.482954545454547"/>
    <s v="MG Sticks"/>
    <n v="1"/>
    <n v="6245"/>
    <n v="24.355499999999999"/>
    <n v="35.482954545454547"/>
  </r>
  <r>
    <n v="68634167"/>
    <x v="3"/>
    <n v="0"/>
    <d v="2023-01-18T00:00:00"/>
    <x v="91"/>
    <x v="16"/>
    <n v="8.5199999999999998E-3"/>
    <n v="0"/>
    <s v="BR"/>
    <x v="0"/>
    <x v="6"/>
    <s v="Q1"/>
    <n v="154"/>
    <n v="0"/>
    <s v="48oz"/>
    <n v="1"/>
    <n v="0"/>
    <n v="0"/>
    <n v="0"/>
  </r>
  <r>
    <n v="68634167"/>
    <x v="3"/>
    <n v="11686"/>
    <d v="2023-01-18T00:00:00"/>
    <x v="91"/>
    <x v="16"/>
    <n v="8.5199999999999998E-3"/>
    <n v="99.564719999999994"/>
    <s v="BR"/>
    <x v="0"/>
    <x v="6"/>
    <s v="Q1"/>
    <n v="154"/>
    <n v="75.883116883116884"/>
    <s v="48oz"/>
    <n v="1"/>
    <n v="11686"/>
    <n v="99.564719999999994"/>
    <n v="75.883116883116884"/>
  </r>
  <r>
    <n v="68634167"/>
    <x v="3"/>
    <n v="1761"/>
    <d v="2023-01-18T00:00:00"/>
    <x v="91"/>
    <x v="16"/>
    <n v="8.5199999999999998E-3"/>
    <n v="15.00372"/>
    <s v="BR"/>
    <x v="0"/>
    <x v="6"/>
    <s v="Q1"/>
    <n v="154"/>
    <n v="11.435064935064934"/>
    <s v="48oz"/>
    <n v="1"/>
    <n v="1761"/>
    <n v="15.00372"/>
    <n v="11.435064935064934"/>
  </r>
  <r>
    <n v="68654217"/>
    <x v="5"/>
    <n v="8951"/>
    <d v="2023-01-18T00:00:00"/>
    <x v="135"/>
    <x v="38"/>
    <n v="3.7853439999999999E-3"/>
    <n v="33.882614144000001"/>
    <s v="BJ"/>
    <x v="0"/>
    <x v="15"/>
    <s v="Q1"/>
    <n v="240"/>
    <n v="37.295833333333334"/>
    <s v="BJ PTS"/>
    <n v="1"/>
    <n v="8951"/>
    <n v="33.882614144000001"/>
    <n v="37.295833333333334"/>
  </r>
  <r>
    <n v="68656230"/>
    <x v="3"/>
    <n v="0"/>
    <d v="2023-01-18T00:00:00"/>
    <x v="124"/>
    <x v="16"/>
    <n v="8.5199999999999998E-3"/>
    <n v="0"/>
    <s v="BR"/>
    <x v="0"/>
    <x v="6"/>
    <s v="Q1"/>
    <n v="154"/>
    <n v="0"/>
    <s v="48oz"/>
    <n v="1"/>
    <n v="0"/>
    <n v="0"/>
    <n v="0"/>
  </r>
  <r>
    <n v="68689253"/>
    <x v="2"/>
    <n v="4227"/>
    <d v="2023-01-18T00:00:00"/>
    <x v="125"/>
    <x v="18"/>
    <n v="6.0035555555555554E-3"/>
    <n v="25.377029333333333"/>
    <s v="KL"/>
    <x v="0"/>
    <x v="9"/>
    <s v="Q1"/>
    <n v="120"/>
    <n v="35.225000000000001"/>
    <s v="ESS"/>
    <n v="1"/>
    <n v="4227"/>
    <n v="25.377029333333333"/>
    <n v="35.225000000000001"/>
  </r>
  <r>
    <n v="68709233"/>
    <x v="3"/>
    <n v="5138"/>
    <d v="2023-01-18T00:00:00"/>
    <x v="19"/>
    <x v="19"/>
    <n v="8.4960000000000001E-3"/>
    <n v="43.652448"/>
    <s v="KL"/>
    <x v="0"/>
    <x v="8"/>
    <s v="Q1"/>
    <n v="132"/>
    <n v="38.924242424242422"/>
    <s v="EDF"/>
    <n v="1"/>
    <n v="5138"/>
    <n v="43.652448"/>
    <n v="38.924242424242422"/>
  </r>
  <r>
    <n v="68709237"/>
    <x v="3"/>
    <n v="4500"/>
    <d v="2023-01-18T00:00:00"/>
    <x v="126"/>
    <x v="20"/>
    <n v="9.5760000000000012E-3"/>
    <n v="43.092000000000006"/>
    <s v="KL"/>
    <x v="0"/>
    <x v="8"/>
    <s v="Q1"/>
    <n v="132"/>
    <n v="34.090909090909093"/>
    <s v="EDF"/>
    <n v="1"/>
    <n v="4500"/>
    <n v="43.092000000000006"/>
    <n v="34.090909090909093"/>
  </r>
  <r>
    <n v="68729679"/>
    <x v="2"/>
    <n v="16813"/>
    <d v="2023-01-18T00:00:00"/>
    <x v="127"/>
    <x v="22"/>
    <n v="3.7853440000000004E-3"/>
    <n v="63.642988672000008"/>
    <s v="TA"/>
    <x v="0"/>
    <x v="10"/>
    <s v="Q1"/>
    <n v="255"/>
    <n v="65.933333333333337"/>
    <s v="TALENTI"/>
    <n v="1"/>
    <n v="16813"/>
    <n v="63.642988672000008"/>
    <n v="65.933333333333337"/>
  </r>
  <r>
    <n v="68730254"/>
    <x v="2"/>
    <n v="29744"/>
    <d v="2023-01-18T00:00:00"/>
    <x v="128"/>
    <x v="21"/>
    <n v="3.7853440000000004E-3"/>
    <n v="112.59127193600001"/>
    <s v="TA"/>
    <x v="0"/>
    <x v="10"/>
    <s v="Q1"/>
    <n v="255"/>
    <n v="116.64313725490196"/>
    <s v="TALENTI"/>
    <n v="1"/>
    <n v="29744"/>
    <n v="112.59127193600001"/>
    <n v="116.64313725490196"/>
  </r>
  <r>
    <n v="68741714"/>
    <x v="3"/>
    <n v="6156"/>
    <d v="2023-01-18T00:00:00"/>
    <x v="24"/>
    <x v="24"/>
    <n v="2.8319999999999999E-3"/>
    <n v="17.433792"/>
    <s v="GH"/>
    <x v="0"/>
    <x v="4"/>
    <s v="Q1"/>
    <n v="225"/>
    <n v="27.36"/>
    <s v="MBG"/>
    <n v="1"/>
    <n v="6156"/>
    <n v="17.433792"/>
    <n v="27.36"/>
  </r>
  <r>
    <n v="68741742"/>
    <x v="2"/>
    <n v="5544"/>
    <d v="2023-01-18T00:00:00"/>
    <x v="25"/>
    <x v="25"/>
    <n v="4.2560000000000002E-3"/>
    <n v="23.595264"/>
    <s v="GH"/>
    <x v="0"/>
    <x v="11"/>
    <s v="Q1"/>
    <n v="154"/>
    <n v="36"/>
    <s v="MBG"/>
    <n v="1"/>
    <n v="5544"/>
    <n v="23.595264"/>
    <n v="36"/>
  </r>
  <r>
    <n v="68852591"/>
    <x v="3"/>
    <n v="6162"/>
    <d v="2023-01-18T00:00:00"/>
    <x v="26"/>
    <x v="17"/>
    <n v="8.5199999999999998E-3"/>
    <n v="52.500239999999998"/>
    <s v="KL"/>
    <x v="0"/>
    <x v="8"/>
    <s v="Q1"/>
    <n v="132"/>
    <n v="46.68181818181818"/>
    <s v="EDF"/>
    <n v="1"/>
    <n v="6162"/>
    <n v="52.500239999999998"/>
    <n v="46.68181818181818"/>
  </r>
  <r>
    <n v="68852591"/>
    <x v="2"/>
    <n v="4036"/>
    <d v="2023-01-18T00:00:00"/>
    <x v="26"/>
    <x v="26"/>
    <n v="8.5199999999999998E-3"/>
    <n v="34.386719999999997"/>
    <s v="KL"/>
    <x v="0"/>
    <x v="12"/>
    <s v="Q1"/>
    <n v="132"/>
    <n v="30.575757575757574"/>
    <s v="EDF"/>
    <n v="1"/>
    <n v="4036"/>
    <n v="34.386719999999997"/>
    <n v="30.575757575757574"/>
  </r>
  <r>
    <n v="68899826"/>
    <x v="3"/>
    <n v="8846"/>
    <d v="2023-01-18T00:00:00"/>
    <x v="129"/>
    <x v="12"/>
    <n v="8.5199999999999998E-3"/>
    <n v="75.367919999999998"/>
    <s v="BR"/>
    <x v="0"/>
    <x v="6"/>
    <s v="Q1"/>
    <n v="176"/>
    <n v="50.261363636363633"/>
    <s v="48oz"/>
    <n v="1"/>
    <n v="8846"/>
    <n v="75.367919999999998"/>
    <n v="50.261363636363633"/>
  </r>
  <r>
    <n v="68914406"/>
    <x v="2"/>
    <n v="7038"/>
    <d v="2023-01-18T00:00:00"/>
    <x v="78"/>
    <x v="27"/>
    <n v="2.124E-3"/>
    <n v="14.948712"/>
    <s v="KL"/>
    <x v="0"/>
    <x v="9"/>
    <s v="Q1"/>
    <n v="352"/>
    <n v="19.994318181818183"/>
    <s v="ESS"/>
    <n v="1"/>
    <n v="7038"/>
    <n v="14.948712"/>
    <n v="19.994318181818183"/>
  </r>
  <r>
    <n v="69549032"/>
    <x v="3"/>
    <n v="7282"/>
    <d v="2023-01-18T00:00:00"/>
    <x v="79"/>
    <x v="36"/>
    <n v="2.3469132803553457E-3"/>
    <n v="17.090222507547626"/>
    <s v="GH"/>
    <x v="0"/>
    <x v="28"/>
    <s v="Q1"/>
    <n v="350"/>
    <n v="20.805714285714284"/>
    <s v="EFW"/>
    <n v="1"/>
    <n v="7282"/>
    <n v="17.090222507547626"/>
    <n v="20.805714285714284"/>
  </r>
  <r>
    <n v="69551489"/>
    <x v="3"/>
    <n v="3681"/>
    <d v="2023-01-18T00:00:00"/>
    <x v="4"/>
    <x v="4"/>
    <n v="3.8989043190215313E-3"/>
    <n v="14.351866798318257"/>
    <s v="GH"/>
    <x v="0"/>
    <x v="4"/>
    <s v="Q1"/>
    <n v="154"/>
    <n v="23.902597402597401"/>
    <s v="MBG"/>
    <n v="1"/>
    <n v="3681"/>
    <n v="14.351866798318257"/>
    <n v="23.902597402597401"/>
  </r>
  <r>
    <n v="69552658"/>
    <x v="10"/>
    <n v="5103"/>
    <d v="2023-01-18T00:00:00"/>
    <x v="81"/>
    <x v="37"/>
    <n v="2.8390080000000001E-3"/>
    <n v="14.487457824"/>
    <s v="KL"/>
    <x v="0"/>
    <x v="29"/>
    <s v="Q1"/>
    <n v="189"/>
    <n v="27"/>
    <s v="ESS"/>
    <n v="1"/>
    <n v="5103"/>
    <n v="14.487457824"/>
    <n v="27"/>
  </r>
  <r>
    <n v="69621212"/>
    <x v="2"/>
    <n v="2508"/>
    <d v="2023-01-18T00:00:00"/>
    <x v="29"/>
    <x v="28"/>
    <n v="5.2680000000000001E-3"/>
    <n v="13.212144"/>
    <s v="PG"/>
    <x v="0"/>
    <x v="14"/>
    <s v="Q1"/>
    <n v="130"/>
    <n v="19.292307692307691"/>
    <s v="PG"/>
    <n v="1"/>
    <n v="2508"/>
    <n v="13.212144"/>
    <n v="19.292307692307691"/>
  </r>
  <r>
    <n v="69647063"/>
    <x v="2"/>
    <n v="0"/>
    <d v="2023-01-18T00:00:00"/>
    <x v="122"/>
    <x v="14"/>
    <n v="1.98E-3"/>
    <n v="0"/>
    <s v="MG"/>
    <x v="0"/>
    <x v="5"/>
    <s v="Q1"/>
    <n v="176"/>
    <n v="0"/>
    <s v="MG Sticks"/>
    <n v="1"/>
    <n v="0"/>
    <n v="0"/>
    <n v="0"/>
  </r>
  <r>
    <n v="69677917"/>
    <x v="3"/>
    <n v="4100"/>
    <d v="2023-01-18T00:00:00"/>
    <x v="30"/>
    <x v="29"/>
    <n v="5.2680000000000001E-3"/>
    <n v="21.598800000000001"/>
    <s v="PS"/>
    <x v="0"/>
    <x v="3"/>
    <s v="Q1"/>
    <n v="108"/>
    <n v="37.962962962962962"/>
    <s v="PG"/>
    <n v="1"/>
    <n v="4100"/>
    <n v="21.598800000000001"/>
    <n v="37.962962962962962"/>
  </r>
  <r>
    <n v="69677917"/>
    <x v="2"/>
    <n v="3137"/>
    <d v="2023-01-18T00:00:00"/>
    <x v="30"/>
    <x v="30"/>
    <n v="5.2680000000000001E-3"/>
    <n v="16.525715999999999"/>
    <s v="PS"/>
    <x v="0"/>
    <x v="14"/>
    <s v="Q1"/>
    <n v="108"/>
    <n v="29.046296296296298"/>
    <s v="PG"/>
    <n v="1"/>
    <n v="3137"/>
    <n v="16.525715999999999"/>
    <n v="29.046296296296298"/>
  </r>
  <r>
    <n v="69684522"/>
    <x v="2"/>
    <n v="3517"/>
    <d v="2023-01-18T00:00:00"/>
    <x v="31"/>
    <x v="31"/>
    <n v="4.2560000000000002E-3"/>
    <n v="14.968352000000001"/>
    <s v="BR"/>
    <x v="0"/>
    <x v="5"/>
    <s v="Q1"/>
    <n v="143"/>
    <n v="24.594405594405593"/>
    <s v="MG Sticks"/>
    <n v="1"/>
    <n v="3517"/>
    <n v="14.968352000000001"/>
    <n v="24.594405594405593"/>
  </r>
  <r>
    <n v="69684522"/>
    <x v="2"/>
    <n v="0"/>
    <d v="2023-01-18T00:00:00"/>
    <x v="31"/>
    <x v="31"/>
    <n v="4.2560000000000002E-3"/>
    <n v="0"/>
    <s v="BR"/>
    <x v="0"/>
    <x v="5"/>
    <s v="Q1"/>
    <n v="143"/>
    <n v="0"/>
    <s v="MG Sticks"/>
    <n v="1"/>
    <n v="0"/>
    <n v="0"/>
    <n v="0"/>
  </r>
  <r>
    <n v="69684524"/>
    <x v="2"/>
    <n v="0"/>
    <d v="2023-01-18T00:00:00"/>
    <x v="69"/>
    <x v="31"/>
    <n v="4.2560000000000002E-3"/>
    <n v="0"/>
    <s v="BR"/>
    <x v="0"/>
    <x v="5"/>
    <s v="Q1"/>
    <n v="143"/>
    <n v="0"/>
    <s v="MG Sticks"/>
    <n v="1"/>
    <n v="0"/>
    <n v="0"/>
    <n v="0"/>
  </r>
  <r>
    <n v="69684524"/>
    <x v="2"/>
    <n v="0"/>
    <d v="2023-01-18T00:00:00"/>
    <x v="69"/>
    <x v="31"/>
    <n v="4.2560000000000002E-3"/>
    <n v="0"/>
    <s v="BR"/>
    <x v="0"/>
    <x v="5"/>
    <s v="Q1"/>
    <n v="143"/>
    <n v="0"/>
    <s v="MG Sticks"/>
    <n v="1"/>
    <n v="0"/>
    <n v="0"/>
    <n v="0"/>
  </r>
  <r>
    <n v="69684524"/>
    <x v="2"/>
    <n v="0"/>
    <d v="2023-01-18T00:00:00"/>
    <x v="69"/>
    <x v="31"/>
    <n v="4.2560000000000002E-3"/>
    <n v="0"/>
    <s v="BR"/>
    <x v="0"/>
    <x v="5"/>
    <s v="Q1"/>
    <n v="143"/>
    <n v="0"/>
    <s v="MG Sticks"/>
    <n v="1"/>
    <n v="0"/>
    <n v="0"/>
    <n v="0"/>
  </r>
  <r>
    <n v="69684524"/>
    <x v="2"/>
    <n v="0"/>
    <d v="2023-01-18T00:00:00"/>
    <x v="69"/>
    <x v="31"/>
    <n v="4.2560000000000002E-3"/>
    <n v="0"/>
    <s v="BR"/>
    <x v="0"/>
    <x v="5"/>
    <s v="Q1"/>
    <n v="143"/>
    <n v="0"/>
    <s v="MG Sticks"/>
    <n v="1"/>
    <n v="0"/>
    <n v="0"/>
    <n v="0"/>
  </r>
  <r>
    <n v="84137694"/>
    <x v="5"/>
    <n v="46861"/>
    <d v="2023-01-18T00:00:00"/>
    <x v="136"/>
    <x v="38"/>
    <n v="3.7853439999999999E-3"/>
    <n v="177.38500518399999"/>
    <s v="BJ"/>
    <x v="0"/>
    <x v="15"/>
    <s v="Q1"/>
    <n v="240"/>
    <n v="195.25416666666666"/>
    <s v="BJ PTS"/>
    <n v="1"/>
    <n v="46861"/>
    <n v="177.38500518399999"/>
    <n v="195.25416666666666"/>
  </r>
  <r>
    <n v="84141094"/>
    <x v="2"/>
    <n v="22632"/>
    <d v="2023-01-18T00:00:00"/>
    <x v="107"/>
    <x v="15"/>
    <n v="3.7853439999999999E-3"/>
    <n v="85.669905408000005"/>
    <s v="BJ"/>
    <x v="0"/>
    <x v="30"/>
    <s v="Q1"/>
    <n v="240"/>
    <n v="94.3"/>
    <s v="BJ PTS"/>
    <n v="1"/>
    <n v="22632"/>
    <n v="85.669905408000005"/>
    <n v="94.3"/>
  </r>
  <r>
    <n v="84141094"/>
    <x v="2"/>
    <n v="22902"/>
    <d v="2023-01-18T00:00:00"/>
    <x v="107"/>
    <x v="15"/>
    <n v="3.7853439999999999E-3"/>
    <n v="86.691948287999992"/>
    <s v="BJ"/>
    <x v="0"/>
    <x v="30"/>
    <s v="Q1"/>
    <n v="240"/>
    <n v="95.424999999999997"/>
    <s v="BJ PTS"/>
    <n v="1"/>
    <n v="22902"/>
    <n v="86.691948287999992"/>
    <n v="95.424999999999997"/>
  </r>
  <r>
    <n v="67309841"/>
    <x v="2"/>
    <n v="4257"/>
    <d v="2023-01-19T00:00:00"/>
    <x v="32"/>
    <x v="2"/>
    <n v="8.5199999999999998E-3"/>
    <n v="36.269640000000003"/>
    <s v="BR"/>
    <x v="0"/>
    <x v="2"/>
    <s v="Q1"/>
    <n v="154"/>
    <n v="27.642857142857142"/>
    <s v="48oz"/>
    <n v="1"/>
    <n v="4257"/>
    <n v="36.269640000000003"/>
    <n v="27.642857142857142"/>
  </r>
  <r>
    <n v="67309845"/>
    <x v="2"/>
    <n v="15862"/>
    <d v="2023-01-19T00:00:00"/>
    <x v="62"/>
    <x v="13"/>
    <n v="8.5199999999999998E-3"/>
    <n v="135.14424"/>
    <s v="BR"/>
    <x v="0"/>
    <x v="2"/>
    <s v="Q1"/>
    <n v="154"/>
    <n v="103"/>
    <s v="48oz"/>
    <n v="1"/>
    <n v="15862"/>
    <n v="135.14424"/>
    <n v="103"/>
  </r>
  <r>
    <n v="67465063"/>
    <x v="3"/>
    <n v="4490"/>
    <d v="2023-01-19T00:00:00"/>
    <x v="3"/>
    <x v="6"/>
    <n v="5.2680000000000001E-3"/>
    <n v="23.653320000000001"/>
    <s v="PS"/>
    <x v="0"/>
    <x v="3"/>
    <s v="Q1"/>
    <n v="130"/>
    <n v="34.53846153846154"/>
    <s v="PG"/>
    <n v="1"/>
    <n v="4490"/>
    <n v="23.653320000000001"/>
    <n v="34.53846153846154"/>
  </r>
  <r>
    <n v="67465064"/>
    <x v="3"/>
    <n v="1493"/>
    <d v="2023-01-19T00:00:00"/>
    <x v="7"/>
    <x v="3"/>
    <n v="1.596E-3"/>
    <n v="2.3828279999999999"/>
    <s v="PS"/>
    <x v="0"/>
    <x v="3"/>
    <s v="Q1"/>
    <n v="130"/>
    <n v="11.484615384615385"/>
    <s v="PG"/>
    <n v="1"/>
    <n v="1493"/>
    <n v="2.3828279999999999"/>
    <n v="11.484615384615385"/>
  </r>
  <r>
    <n v="67466492"/>
    <x v="3"/>
    <n v="4431"/>
    <d v="2023-01-19T00:00:00"/>
    <x v="8"/>
    <x v="7"/>
    <n v="5.2680000000000001E-3"/>
    <n v="23.342508000000002"/>
    <s v="PS"/>
    <x v="0"/>
    <x v="3"/>
    <s v="Q1"/>
    <n v="130"/>
    <n v="34.084615384615383"/>
    <s v="PG"/>
    <n v="1"/>
    <n v="4431"/>
    <n v="23.342508000000002"/>
    <n v="34.084615384615383"/>
  </r>
  <r>
    <n v="67466492"/>
    <x v="3"/>
    <n v="2962"/>
    <d v="2023-01-19T00:00:00"/>
    <x v="8"/>
    <x v="8"/>
    <n v="5.2680000000000001E-3"/>
    <n v="15.603816"/>
    <s v="PS"/>
    <x v="0"/>
    <x v="3"/>
    <s v="Q1"/>
    <n v="130"/>
    <n v="22.784615384615385"/>
    <s v="PG"/>
    <n v="1"/>
    <n v="2962"/>
    <n v="15.603816"/>
    <n v="22.784615384615385"/>
  </r>
  <r>
    <n v="67476456"/>
    <x v="3"/>
    <n v="9127"/>
    <d v="2023-01-19T00:00:00"/>
    <x v="9"/>
    <x v="9"/>
    <n v="1.536E-3"/>
    <n v="14.019072"/>
    <s v="PS"/>
    <x v="0"/>
    <x v="3"/>
    <s v="Q1"/>
    <n v="400"/>
    <n v="22.817499999999999"/>
    <s v="PG"/>
    <n v="1"/>
    <n v="9127"/>
    <n v="14.019072"/>
    <n v="22.817499999999999"/>
  </r>
  <r>
    <n v="67476560"/>
    <x v="3"/>
    <n v="2794"/>
    <d v="2023-01-19T00:00:00"/>
    <x v="10"/>
    <x v="10"/>
    <n v="5.1060000000000003E-3"/>
    <n v="14.266164000000002"/>
    <s v="PS"/>
    <x v="0"/>
    <x v="3"/>
    <s v="Q1"/>
    <n v="130"/>
    <n v="21.492307692307691"/>
    <s v="PG"/>
    <n v="1"/>
    <n v="2794"/>
    <n v="14.266164000000002"/>
    <n v="21.492307692307691"/>
  </r>
  <r>
    <n v="67723726"/>
    <x v="3"/>
    <n v="12615"/>
    <d v="2023-01-19T00:00:00"/>
    <x v="109"/>
    <x v="23"/>
    <n v="8.5199999999999998E-3"/>
    <n v="107.4798"/>
    <s v="BR"/>
    <x v="0"/>
    <x v="6"/>
    <s v="Q1"/>
    <n v="154"/>
    <n v="81.915584415584419"/>
    <s v="48oz"/>
    <n v="1"/>
    <n v="12615"/>
    <n v="107.4798"/>
    <n v="81.915584415584419"/>
  </r>
  <r>
    <n v="67885718"/>
    <x v="2"/>
    <n v="6501"/>
    <d v="2023-01-19T00:00:00"/>
    <x v="48"/>
    <x v="2"/>
    <n v="8.5199999999999998E-3"/>
    <n v="55.38852"/>
    <s v="BR"/>
    <x v="0"/>
    <x v="2"/>
    <s v="Q1"/>
    <n v="154"/>
    <n v="42.214285714285715"/>
    <s v="48oz"/>
    <n v="1"/>
    <n v="6501"/>
    <n v="55.38852"/>
    <n v="42.214285714285715"/>
  </r>
  <r>
    <n v="67901583"/>
    <x v="3"/>
    <n v="13842"/>
    <d v="2023-01-19T00:00:00"/>
    <x v="50"/>
    <x v="11"/>
    <n v="8.5199999999999998E-3"/>
    <n v="117.93384"/>
    <s v="BR"/>
    <x v="0"/>
    <x v="6"/>
    <s v="Q1"/>
    <n v="154"/>
    <n v="89.883116883116884"/>
    <s v="48oz"/>
    <n v="1"/>
    <n v="13842"/>
    <n v="117.93384"/>
    <n v="89.883116883116884"/>
  </r>
  <r>
    <n v="68188183"/>
    <x v="3"/>
    <n v="0"/>
    <d v="2023-01-19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0"/>
    <d v="2023-01-19T00:00:00"/>
    <x v="120"/>
    <x v="19"/>
    <n v="8.4960000000000001E-3"/>
    <n v="0"/>
    <s v="KL"/>
    <x v="0"/>
    <x v="8"/>
    <s v="Q1"/>
    <n v="132"/>
    <n v="0"/>
    <s v="EDF"/>
    <n v="1"/>
    <n v="0"/>
    <n v="0"/>
    <n v="0"/>
  </r>
  <r>
    <n v="68309312"/>
    <x v="2"/>
    <n v="17160"/>
    <d v="2023-01-19T00:00:00"/>
    <x v="134"/>
    <x v="32"/>
    <n v="8.5199999999999998E-3"/>
    <n v="146.20320000000001"/>
    <s v="BR"/>
    <x v="0"/>
    <x v="2"/>
    <s v="Q1"/>
    <n v="154"/>
    <n v="111.42857142857143"/>
    <s v="48oz"/>
    <n v="1"/>
    <n v="17160"/>
    <n v="146.20320000000001"/>
    <n v="111.42857142857143"/>
  </r>
  <r>
    <n v="68309313"/>
    <x v="2"/>
    <n v="2352"/>
    <d v="2023-01-19T00:00:00"/>
    <x v="121"/>
    <x v="32"/>
    <n v="8.5199999999999998E-3"/>
    <n v="20.03904"/>
    <s v="BR"/>
    <x v="0"/>
    <x v="2"/>
    <s v="Q1"/>
    <n v="154"/>
    <n v="15.272727272727273"/>
    <s v="48oz"/>
    <n v="1"/>
    <n v="2352"/>
    <n v="20.03904"/>
    <n v="15.272727272727273"/>
  </r>
  <r>
    <n v="68409142"/>
    <x v="5"/>
    <n v="6230"/>
    <d v="2023-01-19T00:00:00"/>
    <x v="60"/>
    <x v="35"/>
    <n v="1.419504E-3"/>
    <n v="8.8435099200000007"/>
    <s v="BJ"/>
    <x v="0"/>
    <x v="25"/>
    <s v="Q1"/>
    <n v="510"/>
    <n v="12.215686274509803"/>
    <s v="B&amp;J Dog Treat"/>
    <n v="1"/>
    <n v="6230"/>
    <n v="8.8435099200000007"/>
    <n v="12.215686274509803"/>
  </r>
  <r>
    <n v="68409143"/>
    <x v="5"/>
    <n v="21670"/>
    <d v="2023-01-19T00:00:00"/>
    <x v="137"/>
    <x v="35"/>
    <n v="1.419504E-3"/>
    <n v="30.760651680000002"/>
    <s v="BJ"/>
    <x v="0"/>
    <x v="25"/>
    <s v="Q1"/>
    <n v="510"/>
    <n v="42.490196078431374"/>
    <s v="B&amp;J Dog Treat"/>
    <n v="1"/>
    <n v="21670"/>
    <n v="30.760651680000002"/>
    <n v="42.490196078431374"/>
  </r>
  <r>
    <n v="68410354"/>
    <x v="2"/>
    <n v="18134"/>
    <d v="2023-01-19T00:00:00"/>
    <x v="111"/>
    <x v="5"/>
    <n v="1.08E-3"/>
    <n v="19.584720000000001"/>
    <s v="MG"/>
    <x v="0"/>
    <x v="5"/>
    <s v="Q1"/>
    <n v="493"/>
    <n v="36.782961460446245"/>
    <s v="MG Sticks"/>
    <n v="1"/>
    <n v="18134"/>
    <n v="19.584720000000001"/>
    <n v="36.782961460446245"/>
  </r>
  <r>
    <n v="68607438"/>
    <x v="2"/>
    <n v="3160"/>
    <d v="2023-01-19T00:00:00"/>
    <x v="122"/>
    <x v="14"/>
    <n v="3.8999999999999998E-3"/>
    <n v="12.324"/>
    <s v="MG"/>
    <x v="0"/>
    <x v="5"/>
    <s v="Q1"/>
    <n v="176"/>
    <n v="17.954545454545453"/>
    <s v="MG Sticks"/>
    <n v="1"/>
    <n v="3160"/>
    <n v="12.324"/>
    <n v="17.954545454545453"/>
  </r>
  <r>
    <n v="68634167"/>
    <x v="3"/>
    <n v="0"/>
    <d v="2023-01-19T00:00:00"/>
    <x v="91"/>
    <x v="16"/>
    <n v="8.5199999999999998E-3"/>
    <n v="0"/>
    <s v="BR"/>
    <x v="0"/>
    <x v="6"/>
    <s v="Q1"/>
    <n v="154"/>
    <n v="0"/>
    <s v="48oz"/>
    <n v="1"/>
    <n v="0"/>
    <n v="0"/>
    <n v="0"/>
  </r>
  <r>
    <n v="68634167"/>
    <x v="3"/>
    <n v="13713"/>
    <d v="2023-01-19T00:00:00"/>
    <x v="91"/>
    <x v="16"/>
    <n v="8.5199999999999998E-3"/>
    <n v="116.83476"/>
    <s v="BR"/>
    <x v="0"/>
    <x v="6"/>
    <s v="Q1"/>
    <n v="154"/>
    <n v="89.045454545454547"/>
    <s v="48oz"/>
    <n v="1"/>
    <n v="13713"/>
    <n v="116.83476"/>
    <n v="89.045454545454547"/>
  </r>
  <r>
    <n v="68656230"/>
    <x v="3"/>
    <n v="0"/>
    <d v="2023-01-19T00:00:00"/>
    <x v="124"/>
    <x v="16"/>
    <n v="8.5199999999999998E-3"/>
    <n v="0"/>
    <s v="BR"/>
    <x v="0"/>
    <x v="6"/>
    <s v="Q1"/>
    <n v="154"/>
    <n v="0"/>
    <s v="48oz"/>
    <n v="1"/>
    <n v="0"/>
    <n v="0"/>
    <n v="0"/>
  </r>
  <r>
    <n v="68689253"/>
    <x v="2"/>
    <n v="5179"/>
    <d v="2023-01-19T00:00:00"/>
    <x v="125"/>
    <x v="18"/>
    <n v="6.0035555555555554E-3"/>
    <n v="31.092414222222221"/>
    <s v="KL"/>
    <x v="0"/>
    <x v="9"/>
    <s v="Q1"/>
    <n v="120"/>
    <n v="43.158333333333331"/>
    <s v="ESS"/>
    <n v="1"/>
    <n v="5179"/>
    <n v="31.092414222222221"/>
    <n v="43.158333333333331"/>
  </r>
  <r>
    <n v="68709233"/>
    <x v="3"/>
    <n v="5019"/>
    <d v="2023-01-19T00:00:00"/>
    <x v="19"/>
    <x v="19"/>
    <n v="8.4960000000000001E-3"/>
    <n v="42.641424000000001"/>
    <s v="KL"/>
    <x v="0"/>
    <x v="8"/>
    <s v="Q1"/>
    <n v="132"/>
    <n v="38.022727272727273"/>
    <s v="EDF"/>
    <n v="1"/>
    <n v="5019"/>
    <n v="42.641424000000001"/>
    <n v="38.022727272727273"/>
  </r>
  <r>
    <n v="68709237"/>
    <x v="3"/>
    <n v="5696"/>
    <d v="2023-01-19T00:00:00"/>
    <x v="126"/>
    <x v="20"/>
    <n v="9.5760000000000012E-3"/>
    <n v="54.544896000000008"/>
    <s v="KL"/>
    <x v="0"/>
    <x v="8"/>
    <s v="Q1"/>
    <n v="132"/>
    <n v="43.151515151515149"/>
    <s v="EDF"/>
    <n v="1"/>
    <n v="5696"/>
    <n v="54.544896000000008"/>
    <n v="43.151515151515149"/>
  </r>
  <r>
    <n v="68728342"/>
    <x v="2"/>
    <n v="6593"/>
    <d v="2023-01-19T00:00:00"/>
    <x v="44"/>
    <x v="22"/>
    <n v="3.7853439999999999E-3"/>
    <n v="24.956772992000001"/>
    <s v="TA"/>
    <x v="0"/>
    <x v="10"/>
    <s v="Q1"/>
    <n v="255"/>
    <n v="25.854901960784314"/>
    <s v="TALENTI"/>
    <n v="1"/>
    <n v="6593"/>
    <n v="24.956772992000001"/>
    <n v="25.854901960784314"/>
  </r>
  <r>
    <n v="68729679"/>
    <x v="2"/>
    <n v="5180"/>
    <d v="2023-01-19T00:00:00"/>
    <x v="127"/>
    <x v="22"/>
    <n v="3.7853440000000004E-3"/>
    <n v="19.608081920000004"/>
    <s v="TA"/>
    <x v="0"/>
    <x v="10"/>
    <s v="Q1"/>
    <n v="255"/>
    <n v="20.313725490196077"/>
    <s v="TALENTI"/>
    <n v="1"/>
    <n v="5180"/>
    <n v="19.608081920000004"/>
    <n v="20.313725490196077"/>
  </r>
  <r>
    <n v="68730254"/>
    <x v="2"/>
    <n v="10055"/>
    <d v="2023-01-19T00:00:00"/>
    <x v="128"/>
    <x v="21"/>
    <n v="3.7853440000000004E-3"/>
    <n v="38.061633920000006"/>
    <s v="TA"/>
    <x v="0"/>
    <x v="10"/>
    <s v="Q1"/>
    <n v="255"/>
    <n v="39.431372549019606"/>
    <s v="TALENTI"/>
    <n v="1"/>
    <n v="10055"/>
    <n v="38.061633920000006"/>
    <n v="39.431372549019606"/>
  </r>
  <r>
    <n v="68741714"/>
    <x v="3"/>
    <n v="5605"/>
    <d v="2023-01-19T00:00:00"/>
    <x v="24"/>
    <x v="24"/>
    <n v="2.8319999999999999E-3"/>
    <n v="15.87336"/>
    <s v="GH"/>
    <x v="0"/>
    <x v="4"/>
    <s v="Q1"/>
    <n v="225"/>
    <n v="24.911111111111111"/>
    <s v="MBG"/>
    <n v="1"/>
    <n v="5605"/>
    <n v="15.87336"/>
    <n v="24.911111111111111"/>
  </r>
  <r>
    <n v="68741742"/>
    <x v="2"/>
    <n v="5544"/>
    <d v="2023-01-19T00:00:00"/>
    <x v="25"/>
    <x v="25"/>
    <n v="4.2560000000000002E-3"/>
    <n v="23.595264"/>
    <s v="GH"/>
    <x v="0"/>
    <x v="11"/>
    <s v="Q1"/>
    <n v="154"/>
    <n v="36"/>
    <s v="MBG"/>
    <n v="1"/>
    <n v="5544"/>
    <n v="23.595264"/>
    <n v="36"/>
  </r>
  <r>
    <n v="68852591"/>
    <x v="3"/>
    <n v="4984"/>
    <d v="2023-01-19T00:00:00"/>
    <x v="26"/>
    <x v="17"/>
    <n v="8.5199999999999998E-3"/>
    <n v="42.463679999999997"/>
    <s v="KL"/>
    <x v="0"/>
    <x v="8"/>
    <s v="Q1"/>
    <n v="132"/>
    <n v="37.757575757575758"/>
    <s v="EDF"/>
    <n v="1"/>
    <n v="4984"/>
    <n v="42.463679999999997"/>
    <n v="37.757575757575758"/>
  </r>
  <r>
    <n v="68852591"/>
    <x v="2"/>
    <n v="4309"/>
    <d v="2023-01-19T00:00:00"/>
    <x v="26"/>
    <x v="26"/>
    <n v="8.5199999999999998E-3"/>
    <n v="36.712679999999999"/>
    <s v="KL"/>
    <x v="0"/>
    <x v="12"/>
    <s v="Q1"/>
    <n v="132"/>
    <n v="32.643939393939391"/>
    <s v="EDF"/>
    <n v="1"/>
    <n v="4309"/>
    <n v="36.712679999999999"/>
    <n v="32.643939393939391"/>
  </r>
  <r>
    <n v="68899826"/>
    <x v="3"/>
    <n v="11819"/>
    <d v="2023-01-19T00:00:00"/>
    <x v="129"/>
    <x v="12"/>
    <n v="8.5199999999999998E-3"/>
    <n v="100.69788"/>
    <s v="BR"/>
    <x v="0"/>
    <x v="6"/>
    <s v="Q1"/>
    <n v="176"/>
    <n v="67.153409090909093"/>
    <s v="48oz"/>
    <n v="1"/>
    <n v="11819"/>
    <n v="100.69788"/>
    <n v="67.153409090909093"/>
  </r>
  <r>
    <n v="68914406"/>
    <x v="2"/>
    <n v="8800"/>
    <d v="2023-01-19T00:00:00"/>
    <x v="78"/>
    <x v="27"/>
    <n v="2.124E-3"/>
    <n v="18.691199999999998"/>
    <s v="KL"/>
    <x v="0"/>
    <x v="9"/>
    <s v="Q1"/>
    <n v="352"/>
    <n v="25"/>
    <s v="ESS"/>
    <n v="1"/>
    <n v="8800"/>
    <n v="18.691199999999998"/>
    <n v="25"/>
  </r>
  <r>
    <n v="69549032"/>
    <x v="3"/>
    <n v="6271"/>
    <d v="2023-01-19T00:00:00"/>
    <x v="79"/>
    <x v="36"/>
    <n v="2.3469132803553457E-3"/>
    <n v="14.717493181108372"/>
    <s v="GH"/>
    <x v="0"/>
    <x v="28"/>
    <s v="Q1"/>
    <n v="350"/>
    <n v="17.917142857142856"/>
    <s v="EFW"/>
    <n v="1"/>
    <n v="6271"/>
    <n v="14.717493181108372"/>
    <n v="17.917142857142856"/>
  </r>
  <r>
    <n v="69551489"/>
    <x v="3"/>
    <n v="3895"/>
    <d v="2023-01-19T00:00:00"/>
    <x v="4"/>
    <x v="4"/>
    <n v="3.8989043190215313E-3"/>
    <n v="15.186232322588864"/>
    <s v="GH"/>
    <x v="0"/>
    <x v="4"/>
    <s v="Q1"/>
    <n v="154"/>
    <n v="25.292207792207794"/>
    <s v="MBG"/>
    <n v="1"/>
    <n v="3895"/>
    <n v="15.186232322588864"/>
    <n v="25.292207792207794"/>
  </r>
  <r>
    <n v="69565377"/>
    <x v="5"/>
    <n v="16386"/>
    <d v="2023-01-19T00:00:00"/>
    <x v="138"/>
    <x v="35"/>
    <n v="3.7839999999999996E-3"/>
    <n v="62.004623999999993"/>
    <s v="BJ"/>
    <x v="0"/>
    <x v="15"/>
    <s v="Q1"/>
    <n v="240"/>
    <n v="68.275000000000006"/>
    <s v="BJ PTS"/>
    <n v="1"/>
    <n v="16386"/>
    <n v="62.004623999999993"/>
    <n v="68.275000000000006"/>
  </r>
  <r>
    <n v="69621212"/>
    <x v="2"/>
    <n v="2794"/>
    <d v="2023-01-19T00:00:00"/>
    <x v="29"/>
    <x v="28"/>
    <n v="5.2680000000000001E-3"/>
    <n v="14.718792000000001"/>
    <s v="PG"/>
    <x v="0"/>
    <x v="14"/>
    <s v="Q1"/>
    <n v="130"/>
    <n v="21.492307692307691"/>
    <s v="PG"/>
    <n v="1"/>
    <n v="2794"/>
    <n v="14.718792000000001"/>
    <n v="21.492307692307691"/>
  </r>
  <r>
    <n v="69629470"/>
    <x v="4"/>
    <n v="2400"/>
    <d v="2023-01-19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9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9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9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9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19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47063"/>
    <x v="2"/>
    <n v="0"/>
    <d v="2023-01-19T00:00:00"/>
    <x v="122"/>
    <x v="14"/>
    <n v="1.98E-3"/>
    <n v="0"/>
    <s v="MG"/>
    <x v="0"/>
    <x v="5"/>
    <s v="Q1"/>
    <n v="176"/>
    <n v="0"/>
    <s v="MG Sticks"/>
    <n v="1"/>
    <n v="0"/>
    <n v="0"/>
    <n v="0"/>
  </r>
  <r>
    <n v="69677917"/>
    <x v="3"/>
    <n v="4038"/>
    <d v="2023-01-19T00:00:00"/>
    <x v="30"/>
    <x v="29"/>
    <n v="5.2680000000000001E-3"/>
    <n v="21.272183999999999"/>
    <s v="PS"/>
    <x v="0"/>
    <x v="3"/>
    <s v="Q1"/>
    <n v="108"/>
    <n v="37.388888888888886"/>
    <s v="PG"/>
    <n v="1"/>
    <n v="4038"/>
    <n v="21.272183999999999"/>
    <n v="37.388888888888886"/>
  </r>
  <r>
    <n v="69677917"/>
    <x v="2"/>
    <n v="424"/>
    <d v="2023-01-19T00:00:00"/>
    <x v="30"/>
    <x v="30"/>
    <n v="5.2680000000000001E-3"/>
    <n v="2.2336320000000001"/>
    <s v="PS"/>
    <x v="0"/>
    <x v="14"/>
    <s v="Q1"/>
    <n v="108"/>
    <n v="3.925925925925926"/>
    <s v="PG"/>
    <n v="1"/>
    <n v="424"/>
    <n v="2.2336320000000001"/>
    <n v="3.925925925925926"/>
  </r>
  <r>
    <n v="69684522"/>
    <x v="2"/>
    <n v="5192"/>
    <d v="2023-01-19T00:00:00"/>
    <x v="31"/>
    <x v="31"/>
    <n v="4.2560000000000002E-3"/>
    <n v="22.097152000000001"/>
    <s v="BR"/>
    <x v="0"/>
    <x v="5"/>
    <s v="Q1"/>
    <n v="143"/>
    <n v="36.307692307692307"/>
    <s v="MG Sticks"/>
    <n v="1"/>
    <n v="5192"/>
    <n v="22.097152000000001"/>
    <n v="36.307692307692307"/>
  </r>
  <r>
    <n v="69691816"/>
    <x v="2"/>
    <n v="0"/>
    <d v="2023-01-19T00:00:00"/>
    <x v="139"/>
    <x v="21"/>
    <n v="3.7839999999999996E-3"/>
    <n v="0"/>
    <s v="TA"/>
    <x v="0"/>
    <x v="10"/>
    <s v="Q1"/>
    <n v="255"/>
    <n v="0"/>
    <s v="TALENTI"/>
    <n v="1"/>
    <n v="0"/>
    <n v="0"/>
    <n v="0"/>
  </r>
  <r>
    <n v="84141094"/>
    <x v="2"/>
    <n v="14035"/>
    <d v="2023-01-19T00:00:00"/>
    <x v="107"/>
    <x v="15"/>
    <n v="3.7853439999999999E-3"/>
    <n v="53.127303040000001"/>
    <s v="BJ"/>
    <x v="0"/>
    <x v="30"/>
    <s v="Q1"/>
    <n v="240"/>
    <n v="58.479166666666664"/>
    <s v="BJ PTS"/>
    <n v="1"/>
    <n v="14035"/>
    <n v="53.127303040000001"/>
    <n v="58.479166666666664"/>
  </r>
  <r>
    <n v="67309841"/>
    <x v="2"/>
    <n v="8508"/>
    <d v="2023-01-20T00:00:00"/>
    <x v="32"/>
    <x v="2"/>
    <n v="8.5199999999999998E-3"/>
    <n v="72.488159999999993"/>
    <s v="BR"/>
    <x v="0"/>
    <x v="2"/>
    <s v="Q1"/>
    <n v="154"/>
    <n v="55.246753246753244"/>
    <s v="48oz"/>
    <n v="1"/>
    <n v="8508"/>
    <n v="72.488159999999993"/>
    <n v="55.246753246753244"/>
  </r>
  <r>
    <n v="67309845"/>
    <x v="2"/>
    <n v="3465"/>
    <d v="2023-01-20T00:00:00"/>
    <x v="62"/>
    <x v="13"/>
    <n v="8.5199999999999998E-3"/>
    <n v="29.521799999999999"/>
    <s v="BR"/>
    <x v="0"/>
    <x v="2"/>
    <s v="Q1"/>
    <n v="154"/>
    <n v="22.5"/>
    <s v="48oz"/>
    <n v="1"/>
    <n v="3465"/>
    <n v="29.521799999999999"/>
    <n v="22.5"/>
  </r>
  <r>
    <n v="67430513"/>
    <x v="5"/>
    <n v="27907"/>
    <d v="2023-01-20T00:00:00"/>
    <x v="119"/>
    <x v="38"/>
    <n v="3.7839999999999996E-3"/>
    <n v="105.60008799999999"/>
    <s v="BJ"/>
    <x v="0"/>
    <x v="15"/>
    <s v="Q1"/>
    <n v="240"/>
    <n v="116.27916666666667"/>
    <s v="BJ PTS"/>
    <n v="1"/>
    <n v="27907"/>
    <n v="105.60008799999999"/>
    <n v="116.27916666666667"/>
  </r>
  <r>
    <n v="67430513"/>
    <x v="5"/>
    <n v="18240"/>
    <d v="2023-01-20T00:00:00"/>
    <x v="119"/>
    <x v="38"/>
    <n v="3.7839999999999996E-3"/>
    <n v="69.02015999999999"/>
    <s v="BJ"/>
    <x v="0"/>
    <x v="15"/>
    <s v="Q1"/>
    <n v="240"/>
    <n v="76"/>
    <s v="BJ PTS"/>
    <n v="1"/>
    <n v="18240"/>
    <n v="69.02015999999999"/>
    <n v="76"/>
  </r>
  <r>
    <n v="67465063"/>
    <x v="3"/>
    <n v="3177"/>
    <d v="2023-01-20T00:00:00"/>
    <x v="3"/>
    <x v="6"/>
    <n v="5.2680000000000001E-3"/>
    <n v="16.736436000000001"/>
    <s v="PS"/>
    <x v="0"/>
    <x v="3"/>
    <s v="Q1"/>
    <n v="130"/>
    <n v="24.438461538461539"/>
    <s v="PG"/>
    <n v="1"/>
    <n v="3177"/>
    <n v="16.736436000000001"/>
    <n v="24.438461538461539"/>
  </r>
  <r>
    <n v="67465064"/>
    <x v="3"/>
    <n v="588"/>
    <d v="2023-01-20T00:00:00"/>
    <x v="7"/>
    <x v="3"/>
    <n v="1.596E-3"/>
    <n v="0.93844799999999995"/>
    <s v="PS"/>
    <x v="0"/>
    <x v="3"/>
    <s v="Q1"/>
    <n v="130"/>
    <n v="4.523076923076923"/>
    <s v="PG"/>
    <n v="1"/>
    <n v="588"/>
    <n v="0.93844799999999995"/>
    <n v="4.523076923076923"/>
  </r>
  <r>
    <n v="67466492"/>
    <x v="3"/>
    <n v="2447"/>
    <d v="2023-01-20T00:00:00"/>
    <x v="8"/>
    <x v="7"/>
    <n v="5.2680000000000001E-3"/>
    <n v="12.890796"/>
    <s v="PS"/>
    <x v="0"/>
    <x v="3"/>
    <s v="Q1"/>
    <n v="130"/>
    <n v="18.823076923076922"/>
    <s v="PG"/>
    <n v="1"/>
    <n v="2447"/>
    <n v="12.890796"/>
    <n v="18.823076923076922"/>
  </r>
  <r>
    <n v="67466492"/>
    <x v="3"/>
    <n v="2300"/>
    <d v="2023-01-20T00:00:00"/>
    <x v="8"/>
    <x v="8"/>
    <n v="5.2680000000000001E-3"/>
    <n v="12.116400000000001"/>
    <s v="PS"/>
    <x v="0"/>
    <x v="3"/>
    <s v="Q1"/>
    <n v="130"/>
    <n v="17.692307692307693"/>
    <s v="PG"/>
    <n v="1"/>
    <n v="2300"/>
    <n v="12.116400000000001"/>
    <n v="17.692307692307693"/>
  </r>
  <r>
    <n v="67476456"/>
    <x v="3"/>
    <n v="7180"/>
    <d v="2023-01-20T00:00:00"/>
    <x v="9"/>
    <x v="9"/>
    <n v="1.536E-3"/>
    <n v="11.02848"/>
    <s v="PS"/>
    <x v="0"/>
    <x v="3"/>
    <s v="Q1"/>
    <n v="400"/>
    <n v="17.95"/>
    <s v="PG"/>
    <n v="1"/>
    <n v="7180"/>
    <n v="11.02848"/>
    <n v="17.95"/>
  </r>
  <r>
    <n v="67476560"/>
    <x v="3"/>
    <n v="957"/>
    <d v="2023-01-20T00:00:00"/>
    <x v="10"/>
    <x v="10"/>
    <n v="5.1060000000000003E-3"/>
    <n v="4.8864420000000006"/>
    <s v="PS"/>
    <x v="0"/>
    <x v="3"/>
    <s v="Q1"/>
    <n v="130"/>
    <n v="7.3615384615384611"/>
    <s v="PG"/>
    <n v="1"/>
    <n v="957"/>
    <n v="4.8864420000000006"/>
    <n v="7.3615384615384611"/>
  </r>
  <r>
    <n v="67684602"/>
    <x v="10"/>
    <n v="2565"/>
    <d v="2023-01-20T00:00:00"/>
    <x v="29"/>
    <x v="39"/>
    <n v="5.2680000000000001E-3"/>
    <n v="13.512420000000001"/>
    <s v="PS"/>
    <x v="0"/>
    <x v="34"/>
    <s v="Q1"/>
    <n v="104"/>
    <n v="24.66346153846154"/>
    <s v="PG"/>
    <n v="1"/>
    <n v="2565"/>
    <n v="13.512420000000001"/>
    <n v="24.66346153846154"/>
  </r>
  <r>
    <n v="67684602"/>
    <x v="10"/>
    <n v="2061"/>
    <d v="2023-01-20T00:00:00"/>
    <x v="29"/>
    <x v="39"/>
    <n v="5.2680000000000001E-3"/>
    <n v="10.857348"/>
    <s v="PS"/>
    <x v="0"/>
    <x v="34"/>
    <s v="Q1"/>
    <n v="104"/>
    <n v="19.817307692307693"/>
    <s v="PG"/>
    <n v="1"/>
    <n v="2061"/>
    <n v="10.857348"/>
    <n v="19.817307692307693"/>
  </r>
  <r>
    <n v="67723726"/>
    <x v="3"/>
    <n v="1860"/>
    <d v="2023-01-20T00:00:00"/>
    <x v="109"/>
    <x v="23"/>
    <n v="8.5199999999999998E-3"/>
    <n v="15.847199999999999"/>
    <s v="BR"/>
    <x v="0"/>
    <x v="6"/>
    <s v="Q1"/>
    <n v="154"/>
    <n v="12.077922077922079"/>
    <s v="48oz"/>
    <n v="1"/>
    <n v="1860"/>
    <n v="15.847199999999999"/>
    <n v="12.077922077922079"/>
  </r>
  <r>
    <n v="67736698"/>
    <x v="5"/>
    <n v="20378"/>
    <d v="2023-01-20T00:00:00"/>
    <x v="140"/>
    <x v="35"/>
    <n v="3.7839999999999996E-3"/>
    <n v="77.110351999999992"/>
    <s v="BJ"/>
    <x v="0"/>
    <x v="15"/>
    <s v="Q1"/>
    <n v="240"/>
    <n v="84.908333333333331"/>
    <s v="BJ PTS"/>
    <n v="1"/>
    <n v="20378"/>
    <n v="77.110351999999992"/>
    <n v="84.908333333333331"/>
  </r>
  <r>
    <n v="67794170"/>
    <x v="5"/>
    <n v="10627"/>
    <d v="2023-01-20T00:00:00"/>
    <x v="141"/>
    <x v="38"/>
    <n v="3.7853439999999999E-3"/>
    <n v="40.226850687999999"/>
    <s v="BJ"/>
    <x v="0"/>
    <x v="15"/>
    <s v="Q1"/>
    <n v="240"/>
    <n v="44.279166666666669"/>
    <s v="BJ PTS"/>
    <n v="1"/>
    <n v="10627"/>
    <n v="40.226850687999999"/>
    <n v="44.279166666666669"/>
  </r>
  <r>
    <n v="67885719"/>
    <x v="2"/>
    <n v="3245"/>
    <d v="2023-01-20T00:00:00"/>
    <x v="11"/>
    <x v="2"/>
    <n v="8.5199999999999998E-3"/>
    <n v="27.647400000000001"/>
    <s v="BR"/>
    <x v="0"/>
    <x v="2"/>
    <s v="Q1"/>
    <n v="154"/>
    <n v="21.071428571428573"/>
    <s v="48oz"/>
    <n v="1"/>
    <n v="3245"/>
    <n v="27.647400000000001"/>
    <n v="21.071428571428573"/>
  </r>
  <r>
    <n v="67901583"/>
    <x v="3"/>
    <n v="7363"/>
    <d v="2023-01-20T00:00:00"/>
    <x v="50"/>
    <x v="11"/>
    <n v="8.5199999999999998E-3"/>
    <n v="62.732759999999999"/>
    <s v="BR"/>
    <x v="0"/>
    <x v="6"/>
    <s v="Q1"/>
    <n v="154"/>
    <n v="47.811688311688314"/>
    <s v="48oz"/>
    <n v="1"/>
    <n v="7363"/>
    <n v="62.732759999999999"/>
    <n v="47.811688311688314"/>
  </r>
  <r>
    <n v="68188183"/>
    <x v="3"/>
    <n v="0"/>
    <d v="2023-01-20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271452"/>
    <x v="2"/>
    <n v="0"/>
    <d v="2023-01-20T00:00:00"/>
    <x v="142"/>
    <x v="13"/>
    <n v="8.513999999999999E-3"/>
    <n v="0"/>
    <s v="BR"/>
    <x v="0"/>
    <x v="2"/>
    <s v="Q1"/>
    <n v="154"/>
    <n v="0"/>
    <s v="48oz"/>
    <n v="1"/>
    <n v="0"/>
    <n v="0"/>
    <n v="0"/>
  </r>
  <r>
    <n v="68300738"/>
    <x v="3"/>
    <n v="0"/>
    <d v="2023-01-20T00:00:00"/>
    <x v="120"/>
    <x v="19"/>
    <n v="8.4960000000000001E-3"/>
    <n v="0"/>
    <s v="KL"/>
    <x v="0"/>
    <x v="8"/>
    <s v="Q1"/>
    <n v="132"/>
    <n v="0"/>
    <s v="EDF"/>
    <n v="1"/>
    <n v="0"/>
    <n v="0"/>
    <n v="0"/>
  </r>
  <r>
    <n v="68309312"/>
    <x v="2"/>
    <n v="24134"/>
    <d v="2023-01-20T00:00:00"/>
    <x v="134"/>
    <x v="32"/>
    <n v="8.5199999999999998E-3"/>
    <n v="205.62168"/>
    <s v="BR"/>
    <x v="0"/>
    <x v="2"/>
    <s v="Q1"/>
    <n v="154"/>
    <n v="156.71428571428572"/>
    <s v="48oz"/>
    <n v="1"/>
    <n v="24134"/>
    <n v="205.62168"/>
    <n v="156.71428571428572"/>
  </r>
  <r>
    <n v="68356102"/>
    <x v="2"/>
    <n v="6781"/>
    <d v="2023-01-20T00:00:00"/>
    <x v="13"/>
    <x v="13"/>
    <n v="8.513999999999999E-3"/>
    <n v="57.733433999999995"/>
    <s v="BR"/>
    <x v="0"/>
    <x v="2"/>
    <s v="Q1"/>
    <n v="154"/>
    <n v="44.032467532467535"/>
    <s v="48oz"/>
    <n v="1"/>
    <n v="6781"/>
    <n v="57.733433999999995"/>
    <n v="44.032467532467535"/>
  </r>
  <r>
    <n v="68410354"/>
    <x v="2"/>
    <n v="10484"/>
    <d v="2023-01-20T00:00:00"/>
    <x v="111"/>
    <x v="5"/>
    <n v="1.08E-3"/>
    <n v="11.32272"/>
    <s v="MG"/>
    <x v="0"/>
    <x v="5"/>
    <s v="Q1"/>
    <n v="493"/>
    <n v="21.265720081135903"/>
    <s v="MG Sticks"/>
    <n v="1"/>
    <n v="10484"/>
    <n v="11.32272"/>
    <n v="21.265720081135903"/>
  </r>
  <r>
    <n v="68454511"/>
    <x v="5"/>
    <n v="15874"/>
    <d v="2023-01-20T00:00:00"/>
    <x v="143"/>
    <x v="35"/>
    <n v="3.8999999999999998E-3"/>
    <n v="61.9086"/>
    <s v="BJ"/>
    <x v="0"/>
    <x v="25"/>
    <s v="Q1"/>
    <n v="510"/>
    <n v="31.125490196078431"/>
    <s v="B&amp;J Dog Treat"/>
    <n v="1"/>
    <n v="15874"/>
    <n v="61.9086"/>
    <n v="31.125490196078431"/>
  </r>
  <r>
    <n v="68599804"/>
    <x v="0"/>
    <n v="10074"/>
    <d v="2023-01-20T00:00:00"/>
    <x v="114"/>
    <x v="1"/>
    <n v="8.5170239596469108E-3"/>
    <n v="85.800499369482978"/>
    <s v="BR"/>
    <x v="0"/>
    <x v="32"/>
    <s v="Q1"/>
    <n v="156"/>
    <n v="64.57692307692308"/>
    <s v="48oz"/>
    <n v="1"/>
    <n v="10074"/>
    <n v="85.800499369482978"/>
    <n v="64.57692307692308"/>
  </r>
  <r>
    <n v="68634167"/>
    <x v="3"/>
    <n v="0"/>
    <d v="2023-01-20T00:00:00"/>
    <x v="91"/>
    <x v="16"/>
    <n v="8.5199999999999998E-3"/>
    <n v="0"/>
    <s v="BR"/>
    <x v="0"/>
    <x v="6"/>
    <s v="Q1"/>
    <n v="154"/>
    <n v="0"/>
    <s v="48oz"/>
    <n v="1"/>
    <n v="0"/>
    <n v="0"/>
    <n v="0"/>
  </r>
  <r>
    <n v="68634167"/>
    <x v="3"/>
    <n v="4455"/>
    <d v="2023-01-20T00:00:00"/>
    <x v="91"/>
    <x v="16"/>
    <n v="8.5199999999999998E-3"/>
    <n v="37.956600000000002"/>
    <s v="BR"/>
    <x v="0"/>
    <x v="6"/>
    <s v="Q1"/>
    <n v="154"/>
    <n v="28.928571428571427"/>
    <s v="48oz"/>
    <n v="1"/>
    <n v="4455"/>
    <n v="37.956600000000002"/>
    <n v="28.928571428571427"/>
  </r>
  <r>
    <n v="68656230"/>
    <x v="3"/>
    <n v="0"/>
    <d v="2023-01-20T00:00:00"/>
    <x v="124"/>
    <x v="16"/>
    <n v="8.5199999999999998E-3"/>
    <n v="0"/>
    <s v="BR"/>
    <x v="0"/>
    <x v="6"/>
    <s v="Q1"/>
    <n v="154"/>
    <n v="0"/>
    <s v="48oz"/>
    <n v="1"/>
    <n v="0"/>
    <n v="0"/>
    <n v="0"/>
  </r>
  <r>
    <n v="68689253"/>
    <x v="2"/>
    <n v="4482"/>
    <d v="2023-01-20T00:00:00"/>
    <x v="125"/>
    <x v="18"/>
    <n v="6.0035555555555554E-3"/>
    <n v="26.907935999999999"/>
    <s v="KL"/>
    <x v="0"/>
    <x v="9"/>
    <s v="Q1"/>
    <n v="120"/>
    <n v="37.35"/>
    <s v="ESS"/>
    <n v="1"/>
    <n v="4482"/>
    <n v="26.907935999999999"/>
    <n v="37.35"/>
  </r>
  <r>
    <n v="68709233"/>
    <x v="3"/>
    <n v="2764"/>
    <d v="2023-01-20T00:00:00"/>
    <x v="19"/>
    <x v="19"/>
    <n v="8.4960000000000001E-3"/>
    <n v="23.482944"/>
    <s v="KL"/>
    <x v="0"/>
    <x v="8"/>
    <s v="Q1"/>
    <n v="132"/>
    <n v="20.939393939393938"/>
    <s v="EDF"/>
    <n v="1"/>
    <n v="2764"/>
    <n v="23.482944"/>
    <n v="20.939393939393938"/>
  </r>
  <r>
    <n v="68709237"/>
    <x v="3"/>
    <n v="2389"/>
    <d v="2023-01-20T00:00:00"/>
    <x v="126"/>
    <x v="20"/>
    <n v="9.5760000000000012E-3"/>
    <n v="22.877064000000004"/>
    <s v="KL"/>
    <x v="0"/>
    <x v="8"/>
    <s v="Q1"/>
    <n v="132"/>
    <n v="18.098484848484848"/>
    <s v="EDF"/>
    <n v="1"/>
    <n v="2389"/>
    <n v="22.877064000000004"/>
    <n v="18.098484848484848"/>
  </r>
  <r>
    <n v="68728342"/>
    <x v="2"/>
    <n v="19695"/>
    <d v="2023-01-20T00:00:00"/>
    <x v="44"/>
    <x v="22"/>
    <n v="3.7853439999999999E-3"/>
    <n v="74.552350079999997"/>
    <s v="TA"/>
    <x v="0"/>
    <x v="10"/>
    <s v="Q1"/>
    <n v="255"/>
    <n v="77.235294117647058"/>
    <s v="TALENTI"/>
    <n v="1"/>
    <n v="19695"/>
    <n v="74.552350079999997"/>
    <n v="77.235294117647058"/>
  </r>
  <r>
    <n v="68737750"/>
    <x v="3"/>
    <n v="0"/>
    <d v="2023-01-20T00:00:00"/>
    <x v="144"/>
    <x v="23"/>
    <n v="8.5199999999999998E-3"/>
    <n v="0"/>
    <s v="BR"/>
    <x v="0"/>
    <x v="6"/>
    <s v="Q1"/>
    <n v="176"/>
    <n v="0"/>
    <s v="48oz"/>
    <n v="1"/>
    <n v="0"/>
    <n v="0"/>
    <n v="0"/>
  </r>
  <r>
    <n v="68741714"/>
    <x v="3"/>
    <n v="3464"/>
    <d v="2023-01-20T00:00:00"/>
    <x v="24"/>
    <x v="24"/>
    <n v="2.8319999999999999E-3"/>
    <n v="9.8100480000000001"/>
    <s v="GH"/>
    <x v="0"/>
    <x v="4"/>
    <s v="Q1"/>
    <n v="225"/>
    <n v="15.395555555555555"/>
    <s v="MBG"/>
    <n v="1"/>
    <n v="3464"/>
    <n v="9.8100480000000001"/>
    <n v="15.395555555555555"/>
  </r>
  <r>
    <n v="68741742"/>
    <x v="2"/>
    <n v="3388"/>
    <d v="2023-01-20T00:00:00"/>
    <x v="25"/>
    <x v="25"/>
    <n v="4.2560000000000002E-3"/>
    <n v="14.419328"/>
    <s v="GH"/>
    <x v="0"/>
    <x v="11"/>
    <s v="Q1"/>
    <n v="154"/>
    <n v="22"/>
    <s v="MBG"/>
    <n v="1"/>
    <n v="3388"/>
    <n v="14.419328"/>
    <n v="22"/>
  </r>
  <r>
    <n v="68788589"/>
    <x v="9"/>
    <n v="4636"/>
    <d v="2023-01-20T00:00:00"/>
    <x v="145"/>
    <x v="0"/>
    <n v="2.1292560036643622E-3"/>
    <n v="9.8712308329879832"/>
    <s v="BJ"/>
    <x v="0"/>
    <x v="23"/>
    <s v="Q1"/>
    <n v="240"/>
    <n v="19.316666666666666"/>
    <s v="Dough Bites"/>
    <n v="1"/>
    <n v="4636"/>
    <n v="9.8712308329879832"/>
    <n v="19.316666666666666"/>
  </r>
  <r>
    <n v="68821729"/>
    <x v="2"/>
    <n v="0"/>
    <d v="2023-01-20T00:00:00"/>
    <x v="142"/>
    <x v="13"/>
    <n v="8.5199999999999998E-3"/>
    <n v="0"/>
    <s v="BR"/>
    <x v="0"/>
    <x v="2"/>
    <s v="Q1"/>
    <n v="176"/>
    <n v="0"/>
    <s v="48oz"/>
    <n v="1"/>
    <n v="0"/>
    <n v="0"/>
    <n v="0"/>
  </r>
  <r>
    <n v="68821729"/>
    <x v="2"/>
    <n v="0"/>
    <d v="2023-01-20T00:00:00"/>
    <x v="142"/>
    <x v="13"/>
    <n v="8.5199999999999998E-3"/>
    <n v="0"/>
    <s v="BR"/>
    <x v="0"/>
    <x v="2"/>
    <s v="Q1"/>
    <n v="176"/>
    <n v="0"/>
    <s v="48oz"/>
    <n v="1"/>
    <n v="0"/>
    <n v="0"/>
    <n v="0"/>
  </r>
  <r>
    <n v="68852591"/>
    <x v="3"/>
    <n v="7021"/>
    <d v="2023-01-20T00:00:00"/>
    <x v="26"/>
    <x v="17"/>
    <n v="8.5199999999999998E-3"/>
    <n v="59.818919999999999"/>
    <s v="KL"/>
    <x v="0"/>
    <x v="8"/>
    <s v="Q1"/>
    <n v="132"/>
    <n v="53.189393939393938"/>
    <s v="EDF"/>
    <n v="1"/>
    <n v="7021"/>
    <n v="59.818919999999999"/>
    <n v="53.189393939393938"/>
  </r>
  <r>
    <n v="68852591"/>
    <x v="2"/>
    <n v="4733"/>
    <d v="2023-01-20T00:00:00"/>
    <x v="26"/>
    <x v="26"/>
    <n v="8.5199999999999998E-3"/>
    <n v="40.325159999999997"/>
    <s v="KL"/>
    <x v="0"/>
    <x v="12"/>
    <s v="Q1"/>
    <n v="132"/>
    <n v="35.856060606060609"/>
    <s v="EDF"/>
    <n v="1"/>
    <n v="4733"/>
    <n v="40.325159999999997"/>
    <n v="35.856060606060609"/>
  </r>
  <r>
    <n v="68871168"/>
    <x v="1"/>
    <n v="3024"/>
    <d v="2023-01-20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8899826"/>
    <x v="3"/>
    <n v="5066"/>
    <d v="2023-01-20T00:00:00"/>
    <x v="129"/>
    <x v="12"/>
    <n v="8.5199999999999998E-3"/>
    <n v="43.162320000000001"/>
    <s v="BR"/>
    <x v="0"/>
    <x v="6"/>
    <s v="Q1"/>
    <n v="176"/>
    <n v="28.78409090909091"/>
    <s v="48oz"/>
    <n v="1"/>
    <n v="5066"/>
    <n v="43.162320000000001"/>
    <n v="28.78409090909091"/>
  </r>
  <r>
    <n v="68914406"/>
    <x v="2"/>
    <n v="6182"/>
    <d v="2023-01-20T00:00:00"/>
    <x v="78"/>
    <x v="27"/>
    <n v="2.124E-3"/>
    <n v="13.130568"/>
    <s v="KL"/>
    <x v="0"/>
    <x v="9"/>
    <s v="Q1"/>
    <n v="352"/>
    <n v="17.5625"/>
    <s v="ESS"/>
    <n v="1"/>
    <n v="6182"/>
    <n v="13.130568"/>
    <n v="17.5625"/>
  </r>
  <r>
    <n v="69549032"/>
    <x v="3"/>
    <n v="0"/>
    <d v="2023-01-20T00:00:00"/>
    <x v="79"/>
    <x v="36"/>
    <n v="2.3469132803553457E-3"/>
    <n v="0"/>
    <s v="GH"/>
    <x v="0"/>
    <x v="28"/>
    <s v="Q1"/>
    <n v="350"/>
    <n v="0"/>
    <s v="EFW"/>
    <n v="1"/>
    <n v="0"/>
    <n v="0"/>
    <n v="0"/>
  </r>
  <r>
    <n v="69551489"/>
    <x v="3"/>
    <n v="2788"/>
    <d v="2023-01-20T00:00:00"/>
    <x v="4"/>
    <x v="4"/>
    <n v="3.8989043190215313E-3"/>
    <n v="10.870145241432029"/>
    <s v="GH"/>
    <x v="0"/>
    <x v="4"/>
    <s v="Q1"/>
    <n v="154"/>
    <n v="18.103896103896105"/>
    <s v="MBG"/>
    <n v="1"/>
    <n v="2788"/>
    <n v="10.870145241432029"/>
    <n v="18.103896103896105"/>
  </r>
  <r>
    <n v="69552658"/>
    <x v="10"/>
    <n v="1405"/>
    <d v="2023-01-20T00:00:00"/>
    <x v="81"/>
    <x v="37"/>
    <n v="2.8390080000000001E-3"/>
    <n v="3.9888062400000002"/>
    <s v="KL"/>
    <x v="0"/>
    <x v="29"/>
    <s v="Q1"/>
    <n v="189"/>
    <n v="7.4338624338624335"/>
    <s v="ESS"/>
    <n v="1"/>
    <n v="1405"/>
    <n v="3.9888062400000002"/>
    <n v="7.4338624338624335"/>
  </r>
  <r>
    <n v="69552658"/>
    <x v="10"/>
    <n v="3009"/>
    <d v="2023-01-20T00:00:00"/>
    <x v="81"/>
    <x v="37"/>
    <n v="2.8390080000000001E-3"/>
    <n v="8.542575072"/>
    <s v="KL"/>
    <x v="0"/>
    <x v="29"/>
    <s v="Q1"/>
    <n v="189"/>
    <n v="15.920634920634921"/>
    <s v="ESS"/>
    <n v="1"/>
    <n v="3009"/>
    <n v="8.542575072"/>
    <n v="15.920634920634921"/>
  </r>
  <r>
    <n v="69621212"/>
    <x v="2"/>
    <n v="4077"/>
    <d v="2023-01-20T00:00:00"/>
    <x v="29"/>
    <x v="28"/>
    <n v="5.2680000000000001E-3"/>
    <n v="21.477636"/>
    <s v="PG"/>
    <x v="0"/>
    <x v="14"/>
    <s v="Q1"/>
    <n v="130"/>
    <n v="31.361538461538462"/>
    <s v="PG"/>
    <n v="1"/>
    <n v="4077"/>
    <n v="21.477636"/>
    <n v="31.361538461538462"/>
  </r>
  <r>
    <n v="69647063"/>
    <x v="2"/>
    <n v="0"/>
    <d v="2023-01-20T00:00:00"/>
    <x v="122"/>
    <x v="14"/>
    <n v="1.98E-3"/>
    <n v="0"/>
    <s v="MG"/>
    <x v="0"/>
    <x v="5"/>
    <s v="Q1"/>
    <n v="176"/>
    <n v="0"/>
    <s v="MG Sticks"/>
    <n v="1"/>
    <n v="0"/>
    <n v="0"/>
    <n v="0"/>
  </r>
  <r>
    <n v="69647063"/>
    <x v="2"/>
    <n v="0"/>
    <d v="2023-01-20T00:00:00"/>
    <x v="122"/>
    <x v="14"/>
    <n v="1.98E-3"/>
    <n v="0"/>
    <s v="MG"/>
    <x v="0"/>
    <x v="5"/>
    <s v="Q1"/>
    <n v="176"/>
    <n v="0"/>
    <s v="MG Sticks"/>
    <n v="1"/>
    <n v="0"/>
    <n v="0"/>
    <n v="0"/>
  </r>
  <r>
    <n v="69653125"/>
    <x v="0"/>
    <n v="8901"/>
    <d v="2023-01-20T00:00:00"/>
    <x v="146"/>
    <x v="0"/>
    <n v="5.3220000000000003E-3"/>
    <n v="47.371122"/>
    <s v="BR"/>
    <x v="0"/>
    <x v="37"/>
    <s v="Q1"/>
    <n v="120"/>
    <n v="74.174999999999997"/>
    <s v="BR Minicups"/>
    <n v="1"/>
    <n v="8901"/>
    <n v="47.371122"/>
    <n v="74.174999999999997"/>
  </r>
  <r>
    <n v="69677917"/>
    <x v="3"/>
    <n v="3870"/>
    <d v="2023-01-20T00:00:00"/>
    <x v="30"/>
    <x v="29"/>
    <n v="5.2680000000000001E-3"/>
    <n v="20.387160000000002"/>
    <s v="PS"/>
    <x v="0"/>
    <x v="3"/>
    <s v="Q1"/>
    <n v="108"/>
    <n v="35.833333333333336"/>
    <s v="PG"/>
    <n v="1"/>
    <n v="3870"/>
    <n v="20.387160000000002"/>
    <n v="35.833333333333336"/>
  </r>
  <r>
    <n v="69677917"/>
    <x v="2"/>
    <n v="1096"/>
    <d v="2023-01-20T00:00:00"/>
    <x v="30"/>
    <x v="30"/>
    <n v="5.2680000000000001E-3"/>
    <n v="5.7737280000000002"/>
    <s v="PS"/>
    <x v="0"/>
    <x v="14"/>
    <s v="Q1"/>
    <n v="108"/>
    <n v="10.148148148148149"/>
    <s v="PG"/>
    <n v="1"/>
    <n v="1096"/>
    <n v="5.7737280000000002"/>
    <n v="10.148148148148149"/>
  </r>
  <r>
    <n v="69684522"/>
    <x v="2"/>
    <n v="7076"/>
    <d v="2023-01-20T00:00:00"/>
    <x v="31"/>
    <x v="31"/>
    <n v="4.2560000000000002E-3"/>
    <n v="30.115456000000002"/>
    <s v="BR"/>
    <x v="0"/>
    <x v="5"/>
    <s v="Q1"/>
    <n v="143"/>
    <n v="49.48251748251748"/>
    <s v="MG Sticks"/>
    <n v="1"/>
    <n v="7076"/>
    <n v="30.115456000000002"/>
    <n v="49.48251748251748"/>
  </r>
  <r>
    <n v="69684524"/>
    <x v="2"/>
    <n v="0"/>
    <d v="2023-01-20T00:00:00"/>
    <x v="69"/>
    <x v="31"/>
    <n v="4.2560000000000002E-3"/>
    <n v="0"/>
    <s v="BR"/>
    <x v="0"/>
    <x v="5"/>
    <s v="Q1"/>
    <n v="143"/>
    <n v="0"/>
    <s v="MG Sticks"/>
    <n v="1"/>
    <n v="0"/>
    <n v="0"/>
    <n v="0"/>
  </r>
  <r>
    <n v="69691816"/>
    <x v="2"/>
    <n v="11719"/>
    <d v="2023-01-20T00:00:00"/>
    <x v="139"/>
    <x v="21"/>
    <n v="3.7839999999999996E-3"/>
    <n v="44.344695999999992"/>
    <s v="TA"/>
    <x v="0"/>
    <x v="10"/>
    <s v="Q1"/>
    <n v="255"/>
    <n v="45.956862745098036"/>
    <s v="TALENTI"/>
    <n v="1"/>
    <n v="11719"/>
    <n v="44.344695999999992"/>
    <n v="45.956862745098036"/>
  </r>
  <r>
    <n v="84135718"/>
    <x v="2"/>
    <n v="0"/>
    <d v="2023-01-20T00:00:00"/>
    <x v="147"/>
    <x v="15"/>
    <n v="3.7853439999999999E-3"/>
    <n v="0"/>
    <s v="BJ"/>
    <x v="0"/>
    <x v="30"/>
    <s v="Q1"/>
    <n v="240"/>
    <n v="0"/>
    <s v="BJ PTS"/>
    <n v="1"/>
    <n v="0"/>
    <n v="0"/>
    <n v="0"/>
  </r>
  <r>
    <n v="84135718"/>
    <x v="2"/>
    <n v="12231"/>
    <d v="2023-01-20T00:00:00"/>
    <x v="147"/>
    <x v="15"/>
    <n v="3.7853439999999999E-3"/>
    <n v="46.298542464000001"/>
    <s v="BJ"/>
    <x v="0"/>
    <x v="30"/>
    <s v="Q1"/>
    <n v="240"/>
    <n v="50.962499999999999"/>
    <s v="BJ PTS"/>
    <n v="1"/>
    <n v="12231"/>
    <n v="46.298542464000001"/>
    <n v="50.962499999999999"/>
  </r>
  <r>
    <n v="84135718"/>
    <x v="13"/>
    <n v="50234"/>
    <d v="2023-01-20T00:00:00"/>
    <x v="147"/>
    <x v="38"/>
    <n v="3.7853439999999999E-3"/>
    <n v="190.15297049599999"/>
    <s v="BJ"/>
    <x v="0"/>
    <x v="36"/>
    <s v="Q1"/>
    <n v="240"/>
    <n v="209.30833333333334"/>
    <s v="BJ PTS"/>
    <n v="1"/>
    <n v="50234"/>
    <n v="190.15297049599999"/>
    <n v="209.30833333333334"/>
  </r>
  <r>
    <n v="67465063"/>
    <x v="3"/>
    <n v="3166"/>
    <d v="2023-01-21T00:00:00"/>
    <x v="3"/>
    <x v="6"/>
    <n v="5.2680000000000001E-3"/>
    <n v="16.678488000000002"/>
    <s v="PS"/>
    <x v="0"/>
    <x v="3"/>
    <s v="Q1"/>
    <n v="130"/>
    <n v="24.353846153846153"/>
    <s v="PG"/>
    <n v="1"/>
    <n v="3166"/>
    <n v="16.678488000000002"/>
    <n v="24.353846153846153"/>
  </r>
  <r>
    <n v="67465064"/>
    <x v="3"/>
    <n v="0"/>
    <d v="2023-01-21T00:00:00"/>
    <x v="7"/>
    <x v="3"/>
    <n v="1.596E-3"/>
    <n v="0"/>
    <s v="PS"/>
    <x v="0"/>
    <x v="3"/>
    <s v="Q1"/>
    <n v="130"/>
    <n v="0"/>
    <s v="PG"/>
    <n v="1"/>
    <n v="0"/>
    <n v="0"/>
    <n v="0"/>
  </r>
  <r>
    <n v="67466492"/>
    <x v="3"/>
    <n v="0"/>
    <d v="2023-01-21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2860"/>
    <d v="2023-01-21T00:00:00"/>
    <x v="8"/>
    <x v="8"/>
    <n v="5.2680000000000001E-3"/>
    <n v="15.06648"/>
    <s v="PS"/>
    <x v="0"/>
    <x v="3"/>
    <s v="Q1"/>
    <n v="130"/>
    <n v="22"/>
    <s v="PG"/>
    <n v="1"/>
    <n v="2860"/>
    <n v="15.06648"/>
    <n v="22"/>
  </r>
  <r>
    <n v="67476560"/>
    <x v="3"/>
    <n v="3328"/>
    <d v="2023-01-21T00:00:00"/>
    <x v="10"/>
    <x v="10"/>
    <n v="5.1060000000000003E-3"/>
    <n v="16.992768000000002"/>
    <s v="PS"/>
    <x v="0"/>
    <x v="3"/>
    <s v="Q1"/>
    <n v="130"/>
    <n v="25.6"/>
    <s v="PG"/>
    <n v="1"/>
    <n v="3328"/>
    <n v="16.992768000000002"/>
    <n v="25.6"/>
  </r>
  <r>
    <n v="67826411"/>
    <x v="5"/>
    <n v="20366"/>
    <d v="2023-01-21T00:00:00"/>
    <x v="148"/>
    <x v="35"/>
    <n v="3.7839999999999996E-3"/>
    <n v="77.064943999999997"/>
    <s v="BJ"/>
    <x v="0"/>
    <x v="15"/>
    <s v="Q1"/>
    <n v="240"/>
    <n v="84.858333333333334"/>
    <s v="BJ PTS"/>
    <n v="1"/>
    <n v="20366"/>
    <n v="77.064943999999997"/>
    <n v="84.858333333333334"/>
  </r>
  <r>
    <n v="67885719"/>
    <x v="2"/>
    <n v="12479"/>
    <d v="2023-01-21T00:00:00"/>
    <x v="11"/>
    <x v="2"/>
    <n v="8.5199999999999998E-3"/>
    <n v="106.32107999999999"/>
    <s v="BR"/>
    <x v="0"/>
    <x v="2"/>
    <s v="Q1"/>
    <n v="154"/>
    <n v="81.032467532467535"/>
    <s v="48oz"/>
    <n v="1"/>
    <n v="12479"/>
    <n v="106.32107999999999"/>
    <n v="81.032467532467535"/>
  </r>
  <r>
    <n v="67901593"/>
    <x v="2"/>
    <n v="0"/>
    <d v="2023-01-21T00:00:00"/>
    <x v="68"/>
    <x v="32"/>
    <n v="8.5199999999999998E-3"/>
    <n v="0"/>
    <s v="BR"/>
    <x v="0"/>
    <x v="2"/>
    <s v="Q1"/>
    <n v="154"/>
    <n v="0"/>
    <s v="48oz"/>
    <n v="1"/>
    <n v="0"/>
    <n v="0"/>
    <n v="0"/>
  </r>
  <r>
    <n v="68271452"/>
    <x v="2"/>
    <n v="0"/>
    <d v="2023-01-21T00:00:00"/>
    <x v="142"/>
    <x v="13"/>
    <n v="8.513999999999999E-3"/>
    <n v="0"/>
    <s v="BR"/>
    <x v="0"/>
    <x v="2"/>
    <s v="Q1"/>
    <n v="154"/>
    <n v="0"/>
    <s v="48oz"/>
    <n v="1"/>
    <n v="0"/>
    <n v="0"/>
    <n v="0"/>
  </r>
  <r>
    <n v="68309312"/>
    <x v="2"/>
    <n v="22062"/>
    <d v="2023-01-21T00:00:00"/>
    <x v="134"/>
    <x v="32"/>
    <n v="8.5199999999999998E-3"/>
    <n v="187.96824000000001"/>
    <s v="BR"/>
    <x v="0"/>
    <x v="2"/>
    <s v="Q1"/>
    <n v="154"/>
    <n v="143.25974025974025"/>
    <s v="48oz"/>
    <n v="1"/>
    <n v="22062"/>
    <n v="187.96824000000001"/>
    <n v="143.25974025974025"/>
  </r>
  <r>
    <n v="68356102"/>
    <x v="2"/>
    <n v="12055"/>
    <d v="2023-01-21T00:00:00"/>
    <x v="13"/>
    <x v="13"/>
    <n v="8.513999999999999E-3"/>
    <n v="102.63626999999998"/>
    <s v="BR"/>
    <x v="0"/>
    <x v="2"/>
    <s v="Q1"/>
    <n v="154"/>
    <n v="78.279220779220779"/>
    <s v="48oz"/>
    <n v="1"/>
    <n v="12055"/>
    <n v="102.63626999999998"/>
    <n v="78.279220779220779"/>
  </r>
  <r>
    <n v="68410354"/>
    <x v="2"/>
    <n v="18339"/>
    <d v="2023-01-21T00:00:00"/>
    <x v="111"/>
    <x v="5"/>
    <n v="1.08E-3"/>
    <n v="19.80612"/>
    <s v="MG"/>
    <x v="0"/>
    <x v="5"/>
    <s v="Q1"/>
    <n v="493"/>
    <n v="37.198782961460445"/>
    <s v="MG Sticks"/>
    <n v="1"/>
    <n v="18339"/>
    <n v="19.80612"/>
    <n v="37.198782961460445"/>
  </r>
  <r>
    <n v="68634169"/>
    <x v="3"/>
    <n v="10998"/>
    <d v="2023-01-21T00:00:00"/>
    <x v="149"/>
    <x v="16"/>
    <n v="8.5199999999999998E-3"/>
    <n v="93.702960000000004"/>
    <s v="BR"/>
    <x v="0"/>
    <x v="6"/>
    <s v="Q1"/>
    <n v="154"/>
    <n v="71.415584415584419"/>
    <s v="48oz"/>
    <n v="1"/>
    <n v="10998"/>
    <n v="93.702960000000004"/>
    <n v="71.415584415584419"/>
  </r>
  <r>
    <n v="68634169"/>
    <x v="3"/>
    <n v="1267"/>
    <d v="2023-01-21T00:00:00"/>
    <x v="149"/>
    <x v="16"/>
    <n v="8.5199999999999998E-3"/>
    <n v="10.794839999999999"/>
    <s v="BR"/>
    <x v="0"/>
    <x v="6"/>
    <s v="Q1"/>
    <n v="154"/>
    <n v="8.2272727272727266"/>
    <s v="48oz"/>
    <n v="1"/>
    <n v="1267"/>
    <n v="10.794839999999999"/>
    <n v="8.2272727272727266"/>
  </r>
  <r>
    <n v="68709237"/>
    <x v="3"/>
    <n v="5347"/>
    <d v="2023-01-21T00:00:00"/>
    <x v="126"/>
    <x v="20"/>
    <n v="9.5760000000000012E-3"/>
    <n v="51.202872000000006"/>
    <s v="KL"/>
    <x v="0"/>
    <x v="8"/>
    <s v="Q1"/>
    <n v="132"/>
    <n v="40.507575757575758"/>
    <s v="EDF"/>
    <n v="1"/>
    <n v="5347"/>
    <n v="51.202872000000006"/>
    <n v="40.507575757575758"/>
  </r>
  <r>
    <n v="68728321"/>
    <x v="2"/>
    <n v="0"/>
    <d v="2023-01-21T00:00:00"/>
    <x v="150"/>
    <x v="22"/>
    <n v="3.7853439999999999E-3"/>
    <n v="0"/>
    <s v="TA"/>
    <x v="0"/>
    <x v="10"/>
    <s v="Q1"/>
    <n v="255"/>
    <n v="0"/>
    <s v="TALENTI"/>
    <n v="1"/>
    <n v="0"/>
    <n v="0"/>
    <n v="0"/>
  </r>
  <r>
    <n v="68728342"/>
    <x v="2"/>
    <n v="10131"/>
    <d v="2023-01-21T00:00:00"/>
    <x v="44"/>
    <x v="22"/>
    <n v="3.7853439999999999E-3"/>
    <n v="38.349320063999997"/>
    <s v="TA"/>
    <x v="0"/>
    <x v="10"/>
    <s v="Q1"/>
    <n v="255"/>
    <n v="39.72941176470588"/>
    <s v="TALENTI"/>
    <n v="1"/>
    <n v="10131"/>
    <n v="38.349320063999997"/>
    <n v="39.72941176470588"/>
  </r>
  <r>
    <n v="68737750"/>
    <x v="3"/>
    <n v="12244"/>
    <d v="2023-01-21T00:00:00"/>
    <x v="144"/>
    <x v="23"/>
    <n v="8.5199999999999998E-3"/>
    <n v="104.31887999999999"/>
    <s v="BR"/>
    <x v="0"/>
    <x v="6"/>
    <s v="Q1"/>
    <n v="176"/>
    <n v="69.568181818181813"/>
    <s v="48oz"/>
    <n v="1"/>
    <n v="12244"/>
    <n v="104.31887999999999"/>
    <n v="69.568181818181813"/>
  </r>
  <r>
    <n v="68741714"/>
    <x v="3"/>
    <n v="0"/>
    <d v="2023-01-21T00:00:00"/>
    <x v="24"/>
    <x v="24"/>
    <n v="2.8319999999999999E-3"/>
    <n v="0"/>
    <s v="GH"/>
    <x v="0"/>
    <x v="4"/>
    <s v="Q1"/>
    <n v="225"/>
    <n v="0"/>
    <s v="MBG"/>
    <n v="1"/>
    <n v="0"/>
    <n v="0"/>
    <n v="0"/>
  </r>
  <r>
    <n v="68741714"/>
    <x v="3"/>
    <n v="4287"/>
    <d v="2023-01-21T00:00:00"/>
    <x v="24"/>
    <x v="24"/>
    <n v="2.8319999999999999E-3"/>
    <n v="12.140784"/>
    <s v="GH"/>
    <x v="0"/>
    <x v="4"/>
    <s v="Q1"/>
    <n v="225"/>
    <n v="19.053333333333335"/>
    <s v="MBG"/>
    <n v="1"/>
    <n v="4287"/>
    <n v="12.140784"/>
    <n v="19.053333333333335"/>
  </r>
  <r>
    <n v="68741742"/>
    <x v="2"/>
    <n v="4864"/>
    <d v="2023-01-21T00:00:00"/>
    <x v="25"/>
    <x v="25"/>
    <n v="4.2560000000000002E-3"/>
    <n v="20.701184000000001"/>
    <s v="GH"/>
    <x v="0"/>
    <x v="11"/>
    <s v="Q1"/>
    <n v="154"/>
    <n v="31.584415584415584"/>
    <s v="MBG"/>
    <n v="1"/>
    <n v="4864"/>
    <n v="20.701184000000001"/>
    <n v="31.584415584415584"/>
  </r>
  <r>
    <n v="68821729"/>
    <x v="2"/>
    <n v="0"/>
    <d v="2023-01-21T00:00:00"/>
    <x v="142"/>
    <x v="13"/>
    <n v="8.5199999999999998E-3"/>
    <n v="0"/>
    <s v="BR"/>
    <x v="0"/>
    <x v="2"/>
    <s v="Q1"/>
    <n v="176"/>
    <n v="0"/>
    <s v="48oz"/>
    <n v="1"/>
    <n v="0"/>
    <n v="0"/>
    <n v="0"/>
  </r>
  <r>
    <n v="68821729"/>
    <x v="2"/>
    <n v="0"/>
    <d v="2023-01-21T00:00:00"/>
    <x v="142"/>
    <x v="13"/>
    <n v="8.5199999999999998E-3"/>
    <n v="0"/>
    <s v="BR"/>
    <x v="0"/>
    <x v="2"/>
    <s v="Q1"/>
    <n v="176"/>
    <n v="0"/>
    <s v="48oz"/>
    <n v="1"/>
    <n v="0"/>
    <n v="0"/>
    <n v="0"/>
  </r>
  <r>
    <n v="68852591"/>
    <x v="3"/>
    <n v="2965"/>
    <d v="2023-01-21T00:00:00"/>
    <x v="26"/>
    <x v="17"/>
    <n v="8.5199999999999998E-3"/>
    <n v="25.261800000000001"/>
    <s v="KL"/>
    <x v="0"/>
    <x v="8"/>
    <s v="Q1"/>
    <n v="132"/>
    <n v="22.462121212121211"/>
    <s v="EDF"/>
    <n v="1"/>
    <n v="2965"/>
    <n v="25.261800000000001"/>
    <n v="22.462121212121211"/>
  </r>
  <r>
    <n v="68852591"/>
    <x v="2"/>
    <n v="6264"/>
    <d v="2023-01-21T00:00:00"/>
    <x v="26"/>
    <x v="26"/>
    <n v="8.5199999999999998E-3"/>
    <n v="53.369279999999996"/>
    <s v="KL"/>
    <x v="0"/>
    <x v="12"/>
    <s v="Q1"/>
    <n v="132"/>
    <n v="47.454545454545453"/>
    <s v="EDF"/>
    <n v="1"/>
    <n v="6264"/>
    <n v="53.369279999999996"/>
    <n v="47.454545454545453"/>
  </r>
  <r>
    <n v="69551489"/>
    <x v="3"/>
    <n v="2571"/>
    <d v="2023-01-21T00:00:00"/>
    <x v="4"/>
    <x v="4"/>
    <n v="3.8989043190215313E-3"/>
    <n v="10.024083004204357"/>
    <s v="GH"/>
    <x v="0"/>
    <x v="4"/>
    <s v="Q1"/>
    <n v="154"/>
    <n v="16.694805194805195"/>
    <s v="MBG"/>
    <n v="1"/>
    <n v="2571"/>
    <n v="10.024083004204357"/>
    <n v="16.694805194805195"/>
  </r>
  <r>
    <n v="69621212"/>
    <x v="2"/>
    <n v="3925"/>
    <d v="2023-01-21T00:00:00"/>
    <x v="29"/>
    <x v="28"/>
    <n v="5.2680000000000001E-3"/>
    <n v="20.6769"/>
    <s v="PG"/>
    <x v="0"/>
    <x v="14"/>
    <s v="Q1"/>
    <n v="130"/>
    <n v="30.192307692307693"/>
    <s v="PG"/>
    <n v="1"/>
    <n v="3925"/>
    <n v="20.6769"/>
    <n v="30.192307692307693"/>
  </r>
  <r>
    <n v="69677917"/>
    <x v="3"/>
    <n v="2450"/>
    <d v="2023-01-21T00:00:00"/>
    <x v="30"/>
    <x v="29"/>
    <n v="5.2680000000000001E-3"/>
    <n v="12.906600000000001"/>
    <s v="PS"/>
    <x v="0"/>
    <x v="3"/>
    <s v="Q1"/>
    <n v="108"/>
    <n v="22.685185185185187"/>
    <s v="PG"/>
    <n v="1"/>
    <n v="2450"/>
    <n v="12.906600000000001"/>
    <n v="22.685185185185187"/>
  </r>
  <r>
    <n v="69677917"/>
    <x v="2"/>
    <n v="4680"/>
    <d v="2023-01-21T00:00:00"/>
    <x v="30"/>
    <x v="30"/>
    <n v="5.2680000000000001E-3"/>
    <n v="24.654240000000001"/>
    <s v="PS"/>
    <x v="0"/>
    <x v="14"/>
    <s v="Q1"/>
    <n v="108"/>
    <n v="43.333333333333336"/>
    <s v="PG"/>
    <n v="1"/>
    <n v="4680"/>
    <n v="24.654240000000001"/>
    <n v="43.333333333333336"/>
  </r>
  <r>
    <n v="67309841"/>
    <x v="2"/>
    <n v="0"/>
    <d v="2023-01-22T00:00:00"/>
    <x v="32"/>
    <x v="2"/>
    <n v="8.5199999999999998E-3"/>
    <n v="0"/>
    <s v="BR"/>
    <x v="0"/>
    <x v="2"/>
    <s v="Q1"/>
    <n v="154"/>
    <n v="0"/>
    <s v="48oz"/>
    <n v="1"/>
    <n v="0"/>
    <n v="0"/>
    <n v="0"/>
  </r>
  <r>
    <n v="67309841"/>
    <x v="2"/>
    <n v="0"/>
    <d v="2023-01-22T00:00:00"/>
    <x v="32"/>
    <x v="2"/>
    <n v="8.5199999999999998E-3"/>
    <n v="0"/>
    <s v="BR"/>
    <x v="0"/>
    <x v="2"/>
    <s v="Q1"/>
    <n v="154"/>
    <n v="0"/>
    <s v="48oz"/>
    <n v="1"/>
    <n v="0"/>
    <n v="0"/>
    <n v="0"/>
  </r>
  <r>
    <n v="67309843"/>
    <x v="3"/>
    <n v="0"/>
    <d v="2023-01-22T00:00:00"/>
    <x v="88"/>
    <x v="12"/>
    <n v="8.5199999999999998E-3"/>
    <n v="0"/>
    <s v="BR"/>
    <x v="0"/>
    <x v="6"/>
    <s v="Q1"/>
    <n v="154"/>
    <n v="0"/>
    <s v="48oz"/>
    <n v="1"/>
    <n v="0"/>
    <n v="0"/>
    <n v="0"/>
  </r>
  <r>
    <n v="67465063"/>
    <x v="3"/>
    <n v="4062"/>
    <d v="2023-01-22T00:00:00"/>
    <x v="3"/>
    <x v="6"/>
    <n v="5.2680000000000001E-3"/>
    <n v="21.398616000000001"/>
    <s v="PS"/>
    <x v="0"/>
    <x v="3"/>
    <s v="Q1"/>
    <n v="130"/>
    <n v="31.246153846153845"/>
    <s v="PG"/>
    <n v="1"/>
    <n v="4062"/>
    <n v="21.398616000000001"/>
    <n v="31.246153846153845"/>
  </r>
  <r>
    <n v="67465064"/>
    <x v="3"/>
    <n v="0"/>
    <d v="2023-01-22T00:00:00"/>
    <x v="7"/>
    <x v="3"/>
    <n v="1.596E-3"/>
    <n v="0"/>
    <s v="PS"/>
    <x v="0"/>
    <x v="3"/>
    <s v="Q1"/>
    <n v="130"/>
    <n v="0"/>
    <s v="PG"/>
    <n v="1"/>
    <n v="0"/>
    <n v="0"/>
    <n v="0"/>
  </r>
  <r>
    <n v="67466492"/>
    <x v="3"/>
    <n v="1364"/>
    <d v="2023-01-22T00:00:00"/>
    <x v="8"/>
    <x v="7"/>
    <n v="5.2680000000000001E-3"/>
    <n v="7.1855520000000004"/>
    <s v="PS"/>
    <x v="0"/>
    <x v="3"/>
    <s v="Q1"/>
    <n v="130"/>
    <n v="10.492307692307692"/>
    <s v="PG"/>
    <n v="1"/>
    <n v="1364"/>
    <n v="7.1855520000000004"/>
    <n v="10.492307692307692"/>
  </r>
  <r>
    <n v="67466492"/>
    <x v="3"/>
    <n v="0"/>
    <d v="2023-01-22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2904"/>
    <d v="2023-01-22T00:00:00"/>
    <x v="8"/>
    <x v="8"/>
    <n v="5.2680000000000001E-3"/>
    <n v="15.298272000000001"/>
    <s v="PS"/>
    <x v="0"/>
    <x v="3"/>
    <s v="Q1"/>
    <n v="130"/>
    <n v="22.338461538461537"/>
    <s v="PG"/>
    <n v="1"/>
    <n v="2904"/>
    <n v="15.298272000000001"/>
    <n v="22.338461538461537"/>
  </r>
  <r>
    <n v="67476456"/>
    <x v="3"/>
    <n v="1951"/>
    <d v="2023-01-22T00:00:00"/>
    <x v="9"/>
    <x v="9"/>
    <n v="1.536E-3"/>
    <n v="2.9967360000000003"/>
    <s v="PS"/>
    <x v="0"/>
    <x v="3"/>
    <s v="Q1"/>
    <n v="400"/>
    <n v="4.8775000000000004"/>
    <s v="PG"/>
    <n v="1"/>
    <n v="1951"/>
    <n v="2.9967360000000003"/>
    <n v="4.8775000000000004"/>
  </r>
  <r>
    <n v="67476560"/>
    <x v="3"/>
    <n v="2321"/>
    <d v="2023-01-22T00:00:00"/>
    <x v="10"/>
    <x v="10"/>
    <n v="5.1060000000000003E-3"/>
    <n v="11.851026000000001"/>
    <s v="PS"/>
    <x v="0"/>
    <x v="3"/>
    <s v="Q1"/>
    <n v="130"/>
    <n v="17.853846153846153"/>
    <s v="PG"/>
    <n v="1"/>
    <n v="2321"/>
    <n v="11.851026000000001"/>
    <n v="17.853846153846153"/>
  </r>
  <r>
    <n v="67794169"/>
    <x v="5"/>
    <n v="10080"/>
    <d v="2023-01-22T00:00:00"/>
    <x v="33"/>
    <x v="33"/>
    <n v="3.7853439999999999E-3"/>
    <n v="38.15626752"/>
    <s v="BJ"/>
    <x v="0"/>
    <x v="15"/>
    <s v="Q1"/>
    <n v="240"/>
    <n v="42"/>
    <s v="BJ PTS"/>
    <n v="1"/>
    <n v="10080"/>
    <n v="38.15626752"/>
    <n v="42"/>
  </r>
  <r>
    <n v="67803006"/>
    <x v="5"/>
    <n v="7695"/>
    <d v="2023-01-22T00:00:00"/>
    <x v="151"/>
    <x v="33"/>
    <n v="3.6640000000000002E-3"/>
    <n v="28.194480000000002"/>
    <s v="BJ"/>
    <x v="0"/>
    <x v="24"/>
    <s v="Q1"/>
    <n v="240"/>
    <n v="32.0625"/>
    <s v="PTS Exports"/>
    <n v="1"/>
    <n v="7695"/>
    <n v="28.194480000000002"/>
    <n v="32.0625"/>
  </r>
  <r>
    <n v="67885719"/>
    <x v="2"/>
    <n v="8879"/>
    <d v="2023-01-22T00:00:00"/>
    <x v="11"/>
    <x v="2"/>
    <n v="8.5199999999999998E-3"/>
    <n v="75.649079999999998"/>
    <s v="BR"/>
    <x v="0"/>
    <x v="2"/>
    <s v="Q1"/>
    <n v="154"/>
    <n v="57.655844155844157"/>
    <s v="48oz"/>
    <n v="1"/>
    <n v="8879"/>
    <n v="75.649079999999998"/>
    <n v="57.655844155844157"/>
  </r>
  <r>
    <n v="67893539"/>
    <x v="2"/>
    <n v="1636"/>
    <d v="2023-01-22T00:00:00"/>
    <x v="12"/>
    <x v="2"/>
    <n v="8.5199999999999998E-3"/>
    <n v="13.93872"/>
    <s v="BR"/>
    <x v="0"/>
    <x v="2"/>
    <s v="Q1"/>
    <n v="154"/>
    <n v="10.623376623376624"/>
    <s v="48oz"/>
    <n v="1"/>
    <n v="1636"/>
    <n v="13.93872"/>
    <n v="10.623376623376624"/>
  </r>
  <r>
    <n v="67893540"/>
    <x v="2"/>
    <n v="0"/>
    <d v="2023-01-22T00:00:00"/>
    <x v="66"/>
    <x v="13"/>
    <n v="8.5199999999999998E-3"/>
    <n v="0"/>
    <s v="BR"/>
    <x v="0"/>
    <x v="2"/>
    <s v="Q1"/>
    <n v="154"/>
    <n v="0"/>
    <s v="48oz"/>
    <n v="1"/>
    <n v="0"/>
    <n v="0"/>
    <n v="0"/>
  </r>
  <r>
    <n v="67901593"/>
    <x v="2"/>
    <n v="18696"/>
    <d v="2023-01-22T00:00:00"/>
    <x v="68"/>
    <x v="32"/>
    <n v="8.5199999999999998E-3"/>
    <n v="159.28992"/>
    <s v="BR"/>
    <x v="0"/>
    <x v="2"/>
    <s v="Q1"/>
    <n v="154"/>
    <n v="121.40259740259741"/>
    <s v="48oz"/>
    <n v="1"/>
    <n v="18696"/>
    <n v="159.28992"/>
    <n v="121.40259740259741"/>
  </r>
  <r>
    <n v="68271452"/>
    <x v="2"/>
    <n v="0"/>
    <d v="2023-01-22T00:00:00"/>
    <x v="142"/>
    <x v="13"/>
    <n v="8.513999999999999E-3"/>
    <n v="0"/>
    <s v="BR"/>
    <x v="0"/>
    <x v="2"/>
    <s v="Q1"/>
    <n v="154"/>
    <n v="0"/>
    <s v="48oz"/>
    <n v="1"/>
    <n v="0"/>
    <n v="0"/>
    <n v="0"/>
  </r>
  <r>
    <n v="68356102"/>
    <x v="2"/>
    <n v="9021"/>
    <d v="2023-01-22T00:00:00"/>
    <x v="13"/>
    <x v="13"/>
    <n v="8.513999999999999E-3"/>
    <n v="76.804793999999987"/>
    <s v="BR"/>
    <x v="0"/>
    <x v="2"/>
    <s v="Q1"/>
    <n v="154"/>
    <n v="58.577922077922075"/>
    <s v="48oz"/>
    <n v="1"/>
    <n v="9021"/>
    <n v="76.804793999999987"/>
    <n v="58.577922077922075"/>
  </r>
  <r>
    <n v="68410354"/>
    <x v="2"/>
    <n v="21962"/>
    <d v="2023-01-22T00:00:00"/>
    <x v="111"/>
    <x v="5"/>
    <n v="1.08E-3"/>
    <n v="23.718959999999999"/>
    <s v="MG"/>
    <x v="0"/>
    <x v="5"/>
    <s v="Q1"/>
    <n v="493"/>
    <n v="44.547667342799187"/>
    <s v="MG Sticks"/>
    <n v="1"/>
    <n v="21962"/>
    <n v="23.718959999999999"/>
    <n v="44.547667342799187"/>
  </r>
  <r>
    <n v="68634169"/>
    <x v="3"/>
    <n v="9969"/>
    <d v="2023-01-22T00:00:00"/>
    <x v="149"/>
    <x v="16"/>
    <n v="8.5199999999999998E-3"/>
    <n v="84.935879999999997"/>
    <s v="BR"/>
    <x v="0"/>
    <x v="6"/>
    <s v="Q1"/>
    <n v="154"/>
    <n v="64.733766233766232"/>
    <s v="48oz"/>
    <n v="1"/>
    <n v="9969"/>
    <n v="84.935879999999997"/>
    <n v="64.733766233766232"/>
  </r>
  <r>
    <n v="68709237"/>
    <x v="3"/>
    <n v="4212"/>
    <d v="2023-01-22T00:00:00"/>
    <x v="126"/>
    <x v="20"/>
    <n v="9.5760000000000012E-3"/>
    <n v="40.334112000000005"/>
    <s v="KL"/>
    <x v="0"/>
    <x v="8"/>
    <s v="Q1"/>
    <n v="132"/>
    <n v="31.90909090909091"/>
    <s v="EDF"/>
    <n v="1"/>
    <n v="4212"/>
    <n v="40.334112000000005"/>
    <n v="31.90909090909091"/>
  </r>
  <r>
    <n v="68728321"/>
    <x v="2"/>
    <n v="14040"/>
    <d v="2023-01-22T00:00:00"/>
    <x v="150"/>
    <x v="22"/>
    <n v="3.7853439999999999E-3"/>
    <n v="53.146229759999997"/>
    <s v="TA"/>
    <x v="0"/>
    <x v="10"/>
    <s v="Q1"/>
    <n v="255"/>
    <n v="55.058823529411768"/>
    <s v="TALENTI"/>
    <n v="1"/>
    <n v="14040"/>
    <n v="53.146229759999997"/>
    <n v="55.058823529411768"/>
  </r>
  <r>
    <n v="68728342"/>
    <x v="2"/>
    <n v="0"/>
    <d v="2023-01-22T00:00:00"/>
    <x v="44"/>
    <x v="22"/>
    <n v="3.7853439999999999E-3"/>
    <n v="0"/>
    <s v="TA"/>
    <x v="0"/>
    <x v="10"/>
    <s v="Q1"/>
    <n v="255"/>
    <n v="0"/>
    <s v="TALENTI"/>
    <n v="1"/>
    <n v="0"/>
    <n v="0"/>
    <n v="0"/>
  </r>
  <r>
    <n v="68737750"/>
    <x v="3"/>
    <n v="12040"/>
    <d v="2023-01-22T00:00:00"/>
    <x v="144"/>
    <x v="23"/>
    <n v="8.5199999999999998E-3"/>
    <n v="102.5808"/>
    <s v="BR"/>
    <x v="0"/>
    <x v="6"/>
    <s v="Q1"/>
    <n v="176"/>
    <n v="68.409090909090907"/>
    <s v="48oz"/>
    <n v="1"/>
    <n v="12040"/>
    <n v="102.5808"/>
    <n v="68.409090909090907"/>
  </r>
  <r>
    <n v="68741714"/>
    <x v="3"/>
    <n v="0"/>
    <d v="2023-01-22T00:00:00"/>
    <x v="24"/>
    <x v="24"/>
    <n v="2.8319999999999999E-3"/>
    <n v="0"/>
    <s v="GH"/>
    <x v="0"/>
    <x v="4"/>
    <s v="Q1"/>
    <n v="225"/>
    <n v="0"/>
    <s v="MBG"/>
    <n v="1"/>
    <n v="0"/>
    <n v="0"/>
    <n v="0"/>
  </r>
  <r>
    <n v="68741714"/>
    <x v="3"/>
    <n v="4642"/>
    <d v="2023-01-22T00:00:00"/>
    <x v="24"/>
    <x v="24"/>
    <n v="2.8319999999999999E-3"/>
    <n v="13.146144"/>
    <s v="GH"/>
    <x v="0"/>
    <x v="4"/>
    <s v="Q1"/>
    <n v="225"/>
    <n v="20.63111111111111"/>
    <s v="MBG"/>
    <n v="1"/>
    <n v="4642"/>
    <n v="13.146144"/>
    <n v="20.63111111111111"/>
  </r>
  <r>
    <n v="68741742"/>
    <x v="2"/>
    <n v="6272"/>
    <d v="2023-01-22T00:00:00"/>
    <x v="25"/>
    <x v="25"/>
    <n v="4.2560000000000002E-3"/>
    <n v="26.693632000000001"/>
    <s v="GH"/>
    <x v="0"/>
    <x v="11"/>
    <s v="Q1"/>
    <n v="154"/>
    <n v="40.727272727272727"/>
    <s v="MBG"/>
    <n v="1"/>
    <n v="6272"/>
    <n v="26.693632000000001"/>
    <n v="40.727272727272727"/>
  </r>
  <r>
    <n v="68821729"/>
    <x v="2"/>
    <n v="0"/>
    <d v="2023-01-22T00:00:00"/>
    <x v="142"/>
    <x v="13"/>
    <n v="8.5199999999999998E-3"/>
    <n v="0"/>
    <s v="BR"/>
    <x v="0"/>
    <x v="2"/>
    <s v="Q1"/>
    <n v="176"/>
    <n v="0"/>
    <s v="48oz"/>
    <n v="1"/>
    <n v="0"/>
    <n v="0"/>
    <n v="0"/>
  </r>
  <r>
    <n v="68821729"/>
    <x v="2"/>
    <n v="0"/>
    <d v="2023-01-22T00:00:00"/>
    <x v="142"/>
    <x v="13"/>
    <n v="8.5199999999999998E-3"/>
    <n v="0"/>
    <s v="BR"/>
    <x v="0"/>
    <x v="2"/>
    <s v="Q1"/>
    <n v="176"/>
    <n v="0"/>
    <s v="48oz"/>
    <n v="1"/>
    <n v="0"/>
    <n v="0"/>
    <n v="0"/>
  </r>
  <r>
    <n v="68852591"/>
    <x v="3"/>
    <n v="4640"/>
    <d v="2023-01-22T00:00:00"/>
    <x v="26"/>
    <x v="17"/>
    <n v="8.5199999999999998E-3"/>
    <n v="39.532800000000002"/>
    <s v="KL"/>
    <x v="0"/>
    <x v="8"/>
    <s v="Q1"/>
    <n v="132"/>
    <n v="35.151515151515149"/>
    <s v="EDF"/>
    <n v="1"/>
    <n v="4640"/>
    <n v="39.532800000000002"/>
    <n v="35.151515151515149"/>
  </r>
  <r>
    <n v="68852591"/>
    <x v="2"/>
    <n v="2916"/>
    <d v="2023-01-22T00:00:00"/>
    <x v="26"/>
    <x v="26"/>
    <n v="8.5199999999999998E-3"/>
    <n v="24.84432"/>
    <s v="KL"/>
    <x v="0"/>
    <x v="12"/>
    <s v="Q1"/>
    <n v="132"/>
    <n v="22.09090909090909"/>
    <s v="EDF"/>
    <n v="1"/>
    <n v="2916"/>
    <n v="24.84432"/>
    <n v="22.09090909090909"/>
  </r>
  <r>
    <n v="68871168"/>
    <x v="1"/>
    <n v="2837"/>
    <d v="2023-01-22T00:00:00"/>
    <x v="57"/>
    <x v="0"/>
    <n v="6.0035555555555554E-3"/>
    <n v="17.03208711111111"/>
    <s v="KL"/>
    <x v="0"/>
    <x v="1"/>
    <s v="Q1"/>
    <n v="108"/>
    <n v="26.268518518518519"/>
    <s v="KL Sandwiches"/>
    <n v="1"/>
    <n v="2837"/>
    <n v="17.03208711111111"/>
    <n v="26.268518518518519"/>
  </r>
  <r>
    <n v="68871168"/>
    <x v="1"/>
    <n v="3024"/>
    <d v="2023-01-22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8871168"/>
    <x v="1"/>
    <n v="3024"/>
    <d v="2023-01-22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8871168"/>
    <x v="1"/>
    <n v="2838"/>
    <d v="2023-01-22T00:00:00"/>
    <x v="57"/>
    <x v="0"/>
    <n v="6.0035555555555554E-3"/>
    <n v="17.038090666666665"/>
    <s v="KL"/>
    <x v="0"/>
    <x v="1"/>
    <s v="Q1"/>
    <n v="108"/>
    <n v="26.277777777777779"/>
    <s v="KL Sandwiches"/>
    <n v="1"/>
    <n v="2838"/>
    <n v="17.038090666666665"/>
    <n v="26.277777777777779"/>
  </r>
  <r>
    <n v="68871168"/>
    <x v="1"/>
    <n v="3024"/>
    <d v="2023-01-22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8871168"/>
    <x v="1"/>
    <n v="3024"/>
    <d v="2023-01-22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8871168"/>
    <x v="1"/>
    <n v="3024"/>
    <d v="2023-01-22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9551489"/>
    <x v="3"/>
    <n v="5026"/>
    <d v="2023-01-22T00:00:00"/>
    <x v="4"/>
    <x v="4"/>
    <n v="3.8989043190215313E-3"/>
    <n v="19.595893107402215"/>
    <s v="GH"/>
    <x v="0"/>
    <x v="4"/>
    <s v="Q1"/>
    <n v="154"/>
    <n v="32.636363636363633"/>
    <s v="MBG"/>
    <n v="1"/>
    <n v="5026"/>
    <n v="19.595893107402215"/>
    <n v="32.636363636363633"/>
  </r>
  <r>
    <n v="68871168"/>
    <x v="1"/>
    <n v="3012"/>
    <d v="2023-01-22T00:00:00"/>
    <x v="57"/>
    <x v="0"/>
    <n v="6.0035555555555554E-3"/>
    <n v="18.082709333333334"/>
    <s v="KL"/>
    <x v="0"/>
    <x v="1"/>
    <s v="Q1"/>
    <n v="108"/>
    <n v="27.888888888888889"/>
    <s v="KL Sandwiches"/>
    <n v="1"/>
    <n v="3012"/>
    <n v="18.082709333333334"/>
    <n v="27.888888888888889"/>
  </r>
  <r>
    <n v="69621212"/>
    <x v="2"/>
    <n v="4056"/>
    <d v="2023-01-22T00:00:00"/>
    <x v="29"/>
    <x v="28"/>
    <n v="5.2680000000000001E-3"/>
    <n v="21.367008000000002"/>
    <s v="PG"/>
    <x v="0"/>
    <x v="14"/>
    <s v="Q1"/>
    <n v="130"/>
    <n v="31.2"/>
    <s v="PG"/>
    <n v="1"/>
    <n v="4056"/>
    <n v="21.367008000000002"/>
    <n v="31.2"/>
  </r>
  <r>
    <n v="69677917"/>
    <x v="3"/>
    <n v="2092"/>
    <d v="2023-01-22T00:00:00"/>
    <x v="30"/>
    <x v="29"/>
    <n v="5.2680000000000001E-3"/>
    <n v="11.020656000000001"/>
    <s v="PS"/>
    <x v="0"/>
    <x v="3"/>
    <s v="Q1"/>
    <n v="108"/>
    <n v="19.37037037037037"/>
    <s v="PG"/>
    <n v="1"/>
    <n v="2092"/>
    <n v="11.020656000000001"/>
    <n v="19.37037037037037"/>
  </r>
  <r>
    <n v="69677917"/>
    <x v="2"/>
    <n v="5395"/>
    <d v="2023-01-22T00:00:00"/>
    <x v="30"/>
    <x v="30"/>
    <n v="5.2680000000000001E-3"/>
    <n v="28.420860000000001"/>
    <s v="PS"/>
    <x v="0"/>
    <x v="14"/>
    <s v="Q1"/>
    <n v="108"/>
    <n v="49.953703703703702"/>
    <s v="PG"/>
    <n v="1"/>
    <n v="5395"/>
    <n v="28.420860000000001"/>
    <n v="49.953703703703702"/>
  </r>
  <r>
    <n v="69691816"/>
    <x v="2"/>
    <n v="20964"/>
    <d v="2023-01-22T00:00:00"/>
    <x v="139"/>
    <x v="21"/>
    <n v="3.7839999999999996E-3"/>
    <n v="79.327775999999986"/>
    <s v="TA"/>
    <x v="0"/>
    <x v="10"/>
    <s v="Q1"/>
    <n v="255"/>
    <n v="82.211764705882359"/>
    <s v="TALENTI"/>
    <n v="1"/>
    <n v="20964"/>
    <n v="79.327775999999986"/>
    <n v="82.211764705882359"/>
  </r>
  <r>
    <n v="69691816"/>
    <x v="2"/>
    <n v="20051"/>
    <d v="2023-01-22T00:00:00"/>
    <x v="139"/>
    <x v="21"/>
    <n v="3.7839999999999996E-3"/>
    <n v="75.872983999999988"/>
    <s v="TA"/>
    <x v="0"/>
    <x v="10"/>
    <s v="Q1"/>
    <n v="255"/>
    <n v="78.631372549019602"/>
    <s v="TALENTI"/>
    <n v="1"/>
    <n v="20051"/>
    <n v="75.872983999999988"/>
    <n v="78.631372549019602"/>
  </r>
  <r>
    <n v="67309843"/>
    <x v="3"/>
    <n v="6790"/>
    <d v="2023-01-23T00:00:00"/>
    <x v="88"/>
    <x v="12"/>
    <n v="8.5199999999999998E-3"/>
    <n v="57.8508"/>
    <s v="BR"/>
    <x v="0"/>
    <x v="6"/>
    <s v="Q1"/>
    <n v="154"/>
    <n v="44.090909090909093"/>
    <s v="48oz"/>
    <n v="1"/>
    <n v="6790"/>
    <n v="57.8508"/>
    <n v="44.090909090909093"/>
  </r>
  <r>
    <n v="67465063"/>
    <x v="3"/>
    <n v="3946"/>
    <d v="2023-01-23T00:00:00"/>
    <x v="3"/>
    <x v="6"/>
    <n v="5.2680000000000001E-3"/>
    <n v="20.787528000000002"/>
    <s v="PS"/>
    <x v="0"/>
    <x v="3"/>
    <s v="Q1"/>
    <n v="130"/>
    <n v="30.353846153846153"/>
    <s v="PG"/>
    <n v="1"/>
    <n v="3946"/>
    <n v="20.787528000000002"/>
    <n v="30.353846153846153"/>
  </r>
  <r>
    <n v="67465064"/>
    <x v="3"/>
    <n v="1693"/>
    <d v="2023-01-23T00:00:00"/>
    <x v="7"/>
    <x v="3"/>
    <n v="1.596E-3"/>
    <n v="2.7020279999999999"/>
    <s v="PS"/>
    <x v="0"/>
    <x v="3"/>
    <s v="Q1"/>
    <n v="130"/>
    <n v="13.023076923076923"/>
    <s v="PG"/>
    <n v="1"/>
    <n v="1693"/>
    <n v="2.7020279999999999"/>
    <n v="13.023076923076923"/>
  </r>
  <r>
    <n v="67466492"/>
    <x v="3"/>
    <n v="4748"/>
    <d v="2023-01-23T00:00:00"/>
    <x v="8"/>
    <x v="7"/>
    <n v="5.2680000000000001E-3"/>
    <n v="25.012464000000001"/>
    <s v="PS"/>
    <x v="0"/>
    <x v="3"/>
    <s v="Q1"/>
    <n v="130"/>
    <n v="36.523076923076921"/>
    <s v="PG"/>
    <n v="1"/>
    <n v="4748"/>
    <n v="25.012464000000001"/>
    <n v="36.523076923076921"/>
  </r>
  <r>
    <n v="67466492"/>
    <x v="3"/>
    <n v="3463"/>
    <d v="2023-01-23T00:00:00"/>
    <x v="8"/>
    <x v="8"/>
    <n v="5.2680000000000001E-3"/>
    <n v="18.243084"/>
    <s v="PS"/>
    <x v="0"/>
    <x v="3"/>
    <s v="Q1"/>
    <n v="130"/>
    <n v="26.638461538461538"/>
    <s v="PG"/>
    <n v="1"/>
    <n v="3463"/>
    <n v="18.243084"/>
    <n v="26.638461538461538"/>
  </r>
  <r>
    <n v="67466492"/>
    <x v="3"/>
    <n v="0"/>
    <d v="2023-01-23T00:00:00"/>
    <x v="8"/>
    <x v="9"/>
    <n v="5.2680000000000001E-3"/>
    <n v="0"/>
    <s v="PS"/>
    <x v="0"/>
    <x v="3"/>
    <s v="Q1"/>
    <n v="130"/>
    <n v="0"/>
    <s v="PG"/>
    <n v="1"/>
    <n v="0"/>
    <n v="0"/>
    <n v="0"/>
  </r>
  <r>
    <n v="67476456"/>
    <x v="3"/>
    <n v="7120"/>
    <d v="2023-01-23T00:00:00"/>
    <x v="9"/>
    <x v="9"/>
    <n v="1.536E-3"/>
    <n v="10.93632"/>
    <s v="PS"/>
    <x v="0"/>
    <x v="3"/>
    <s v="Q1"/>
    <n v="400"/>
    <n v="17.8"/>
    <s v="PG"/>
    <n v="1"/>
    <n v="7120"/>
    <n v="10.93632"/>
    <n v="17.8"/>
  </r>
  <r>
    <n v="67476560"/>
    <x v="3"/>
    <n v="3575"/>
    <d v="2023-01-23T00:00:00"/>
    <x v="10"/>
    <x v="10"/>
    <n v="5.1060000000000003E-3"/>
    <n v="18.25395"/>
    <s v="PS"/>
    <x v="0"/>
    <x v="3"/>
    <s v="Q1"/>
    <n v="130"/>
    <n v="27.5"/>
    <s v="PG"/>
    <n v="1"/>
    <n v="3575"/>
    <n v="18.25395"/>
    <n v="27.5"/>
  </r>
  <r>
    <n v="67789314"/>
    <x v="5"/>
    <n v="0"/>
    <d v="2023-01-23T00:00:00"/>
    <x v="152"/>
    <x v="35"/>
    <n v="3.7853439999999999E-3"/>
    <n v="0"/>
    <s v="BJ"/>
    <x v="0"/>
    <x v="15"/>
    <s v="Q1"/>
    <n v="240"/>
    <n v="0"/>
    <s v="BJ PTS"/>
    <n v="1"/>
    <n v="0"/>
    <n v="0"/>
    <n v="0"/>
  </r>
  <r>
    <n v="67893539"/>
    <x v="2"/>
    <n v="14300"/>
    <d v="2023-01-23T00:00:00"/>
    <x v="12"/>
    <x v="2"/>
    <n v="8.5199999999999998E-3"/>
    <n v="121.836"/>
    <s v="BR"/>
    <x v="0"/>
    <x v="2"/>
    <s v="Q1"/>
    <n v="154"/>
    <n v="92.857142857142861"/>
    <s v="48oz"/>
    <n v="1"/>
    <n v="14300"/>
    <n v="121.836"/>
    <n v="92.857142857142861"/>
  </r>
  <r>
    <n v="67893540"/>
    <x v="2"/>
    <n v="0"/>
    <d v="2023-01-23T00:00:00"/>
    <x v="66"/>
    <x v="13"/>
    <n v="8.5199999999999998E-3"/>
    <n v="0"/>
    <s v="BR"/>
    <x v="0"/>
    <x v="2"/>
    <s v="Q1"/>
    <n v="154"/>
    <n v="0"/>
    <s v="48oz"/>
    <n v="1"/>
    <n v="0"/>
    <n v="0"/>
    <n v="0"/>
  </r>
  <r>
    <n v="67901583"/>
    <x v="3"/>
    <n v="14500"/>
    <d v="2023-01-23T00:00:00"/>
    <x v="50"/>
    <x v="11"/>
    <n v="8.5199999999999998E-3"/>
    <n v="123.53999999999999"/>
    <s v="BR"/>
    <x v="0"/>
    <x v="6"/>
    <s v="Q1"/>
    <n v="154"/>
    <n v="94.15584415584415"/>
    <s v="48oz"/>
    <n v="1"/>
    <n v="14500"/>
    <n v="123.53999999999999"/>
    <n v="94.15584415584415"/>
  </r>
  <r>
    <n v="67901583"/>
    <x v="3"/>
    <n v="1995"/>
    <d v="2023-01-23T00:00:00"/>
    <x v="50"/>
    <x v="11"/>
    <n v="8.5199999999999998E-3"/>
    <n v="16.997399999999999"/>
    <s v="BR"/>
    <x v="0"/>
    <x v="6"/>
    <s v="Q1"/>
    <n v="154"/>
    <n v="12.954545454545455"/>
    <s v="48oz"/>
    <n v="1"/>
    <n v="1995"/>
    <n v="16.997399999999999"/>
    <n v="12.954545454545455"/>
  </r>
  <r>
    <n v="67901593"/>
    <x v="2"/>
    <n v="23638"/>
    <d v="2023-01-23T00:00:00"/>
    <x v="68"/>
    <x v="32"/>
    <n v="8.5199999999999998E-3"/>
    <n v="201.39576"/>
    <s v="BR"/>
    <x v="0"/>
    <x v="2"/>
    <s v="Q1"/>
    <n v="154"/>
    <n v="153.49350649350649"/>
    <s v="48oz"/>
    <n v="1"/>
    <n v="23638"/>
    <n v="201.39576"/>
    <n v="153.49350649350649"/>
  </r>
  <r>
    <n v="68188183"/>
    <x v="3"/>
    <n v="0"/>
    <d v="2023-01-23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2803"/>
    <d v="2023-01-23T00:00:00"/>
    <x v="120"/>
    <x v="19"/>
    <n v="8.4960000000000001E-3"/>
    <n v="23.814288000000001"/>
    <s v="KL"/>
    <x v="0"/>
    <x v="8"/>
    <s v="Q1"/>
    <n v="132"/>
    <n v="21.234848484848484"/>
    <s v="EDF"/>
    <n v="1"/>
    <n v="2803"/>
    <n v="23.814288000000001"/>
    <n v="21.234848484848484"/>
  </r>
  <r>
    <n v="68356102"/>
    <x v="2"/>
    <n v="6684"/>
    <d v="2023-01-23T00:00:00"/>
    <x v="13"/>
    <x v="13"/>
    <n v="8.513999999999999E-3"/>
    <n v="56.907575999999992"/>
    <s v="BR"/>
    <x v="0"/>
    <x v="2"/>
    <s v="Q1"/>
    <n v="154"/>
    <n v="43.402597402597401"/>
    <s v="48oz"/>
    <n v="1"/>
    <n v="6684"/>
    <n v="56.907575999999992"/>
    <n v="43.402597402597401"/>
  </r>
  <r>
    <n v="68399233"/>
    <x v="2"/>
    <n v="218"/>
    <d v="2023-01-23T00:00:00"/>
    <x v="153"/>
    <x v="5"/>
    <n v="2.16E-3"/>
    <n v="0.47088000000000002"/>
    <s v="MG"/>
    <x v="0"/>
    <x v="5"/>
    <s v="Q1"/>
    <n v="210"/>
    <n v="1.0380952380952382"/>
    <s v="MG Sticks"/>
    <n v="1"/>
    <n v="218"/>
    <n v="0.47088000000000002"/>
    <n v="1.0380952380952382"/>
  </r>
  <r>
    <n v="68410352"/>
    <x v="2"/>
    <n v="1704"/>
    <d v="2023-01-23T00:00:00"/>
    <x v="14"/>
    <x v="14"/>
    <n v="1.98E-3"/>
    <n v="3.37392"/>
    <s v="MG"/>
    <x v="0"/>
    <x v="5"/>
    <s v="Q1"/>
    <n v="176"/>
    <n v="9.6818181818181817"/>
    <s v="MG Sticks"/>
    <n v="1"/>
    <n v="1704"/>
    <n v="3.37392"/>
    <n v="9.6818181818181817"/>
  </r>
  <r>
    <n v="68410354"/>
    <x v="2"/>
    <n v="57"/>
    <d v="2023-01-23T00:00:00"/>
    <x v="111"/>
    <x v="5"/>
    <n v="1.08E-3"/>
    <n v="6.1560000000000004E-2"/>
    <s v="MG"/>
    <x v="0"/>
    <x v="5"/>
    <s v="Q1"/>
    <n v="493"/>
    <n v="0.11561866125760649"/>
    <s v="MG Sticks"/>
    <n v="1"/>
    <n v="57"/>
    <n v="6.1560000000000004E-2"/>
    <n v="0.11561866125760649"/>
  </r>
  <r>
    <n v="68521425"/>
    <x v="0"/>
    <m/>
    <d v="2023-01-23T00:00:00"/>
    <x v="0"/>
    <x v="0"/>
    <n v="4.248E-3"/>
    <n v="0"/>
    <s v="GH"/>
    <x v="0"/>
    <x v="0"/>
    <s v="Q1"/>
    <n v="216"/>
    <n v="0"/>
    <s v="Giant SW"/>
    <n v="1"/>
    <n v="0"/>
    <n v="0"/>
    <n v="0"/>
  </r>
  <r>
    <n v="68521425"/>
    <x v="0"/>
    <m/>
    <d v="2023-01-23T00:00:00"/>
    <x v="0"/>
    <x v="0"/>
    <n v="4.248E-3"/>
    <n v="0"/>
    <s v="GH"/>
    <x v="0"/>
    <x v="0"/>
    <s v="Q1"/>
    <n v="216"/>
    <n v="0"/>
    <s v="Giant SW"/>
    <n v="1"/>
    <n v="0"/>
    <n v="0"/>
    <n v="0"/>
  </r>
  <r>
    <n v="68599804"/>
    <x v="0"/>
    <n v="5738"/>
    <d v="2023-01-23T00:00:00"/>
    <x v="114"/>
    <x v="1"/>
    <n v="8.5170239596469108E-3"/>
    <n v="48.870683480453977"/>
    <s v="BR"/>
    <x v="0"/>
    <x v="32"/>
    <s v="Q1"/>
    <n v="156"/>
    <n v="36.782051282051285"/>
    <s v="48oz"/>
    <n v="1"/>
    <n v="5738"/>
    <n v="48.870683480453977"/>
    <n v="36.782051282051285"/>
  </r>
  <r>
    <n v="68634169"/>
    <x v="3"/>
    <n v="12599"/>
    <d v="2023-01-23T00:00:00"/>
    <x v="149"/>
    <x v="16"/>
    <n v="8.5199999999999998E-3"/>
    <n v="107.34348"/>
    <s v="BR"/>
    <x v="0"/>
    <x v="6"/>
    <s v="Q1"/>
    <n v="154"/>
    <n v="81.811688311688314"/>
    <s v="48oz"/>
    <n v="1"/>
    <n v="12599"/>
    <n v="107.34348"/>
    <n v="81.811688311688314"/>
  </r>
  <r>
    <n v="68689251"/>
    <x v="3"/>
    <n v="3079"/>
    <d v="2023-01-23T00:00:00"/>
    <x v="17"/>
    <x v="20"/>
    <n v="9.5760000000000012E-3"/>
    <n v="29.484504000000005"/>
    <s v="KL"/>
    <x v="0"/>
    <x v="8"/>
    <s v="Q1"/>
    <n v="132"/>
    <n v="23.325757575757574"/>
    <s v="EDF"/>
    <n v="1"/>
    <n v="3079"/>
    <n v="29.484504000000005"/>
    <n v="23.325757575757574"/>
  </r>
  <r>
    <n v="68689253"/>
    <x v="2"/>
    <n v="5952"/>
    <d v="2023-01-23T00:00:00"/>
    <x v="125"/>
    <x v="18"/>
    <n v="6.0035555555555554E-3"/>
    <n v="35.733162666666665"/>
    <s v="KL"/>
    <x v="0"/>
    <x v="9"/>
    <s v="Q1"/>
    <n v="120"/>
    <n v="49.6"/>
    <s v="ESS"/>
    <n v="1"/>
    <n v="5952"/>
    <n v="35.733162666666665"/>
    <n v="49.6"/>
  </r>
  <r>
    <n v="68709237"/>
    <x v="3"/>
    <n v="1769"/>
    <d v="2023-01-23T00:00:00"/>
    <x v="126"/>
    <x v="20"/>
    <n v="9.5760000000000012E-3"/>
    <n v="16.939944000000001"/>
    <s v="KL"/>
    <x v="0"/>
    <x v="8"/>
    <s v="Q1"/>
    <n v="132"/>
    <n v="13.401515151515152"/>
    <s v="EDF"/>
    <n v="1"/>
    <n v="1769"/>
    <n v="16.939944000000001"/>
    <n v="13.401515151515152"/>
  </r>
  <r>
    <n v="68726916"/>
    <x v="2"/>
    <n v="0"/>
    <d v="2023-01-23T00:00:00"/>
    <x v="43"/>
    <x v="21"/>
    <n v="3.7853440000000004E-3"/>
    <n v="0"/>
    <s v="TA"/>
    <x v="0"/>
    <x v="10"/>
    <s v="Q1"/>
    <n v="255"/>
    <n v="0"/>
    <s v="TALENTI"/>
    <n v="1"/>
    <n v="0"/>
    <n v="0"/>
    <n v="0"/>
  </r>
  <r>
    <n v="68729634"/>
    <x v="2"/>
    <n v="0"/>
    <d v="2023-01-23T00:00:00"/>
    <x v="92"/>
    <x v="22"/>
    <n v="3.7853439999999999E-3"/>
    <n v="0"/>
    <s v="TA"/>
    <x v="0"/>
    <x v="10"/>
    <s v="Q1"/>
    <n v="255"/>
    <n v="0"/>
    <s v="TALENTI"/>
    <n v="1"/>
    <n v="0"/>
    <n v="0"/>
    <n v="0"/>
  </r>
  <r>
    <n v="68729710"/>
    <x v="2"/>
    <n v="0"/>
    <d v="2023-01-23T00:00:00"/>
    <x v="106"/>
    <x v="21"/>
    <n v="3.7853440000000004E-3"/>
    <n v="0"/>
    <s v="TA"/>
    <x v="0"/>
    <x v="10"/>
    <s v="Q1"/>
    <n v="255"/>
    <n v="0"/>
    <s v="TALENTI"/>
    <n v="1"/>
    <n v="0"/>
    <n v="0"/>
    <n v="0"/>
  </r>
  <r>
    <n v="68737750"/>
    <x v="3"/>
    <n v="9929"/>
    <d v="2023-01-23T00:00:00"/>
    <x v="144"/>
    <x v="23"/>
    <n v="8.5199999999999998E-3"/>
    <n v="84.595079999999996"/>
    <s v="BR"/>
    <x v="0"/>
    <x v="6"/>
    <s v="Q1"/>
    <n v="176"/>
    <n v="56.414772727272727"/>
    <s v="48oz"/>
    <n v="1"/>
    <n v="9929"/>
    <n v="84.595079999999996"/>
    <n v="56.414772727272727"/>
  </r>
  <r>
    <n v="68741714"/>
    <x v="3"/>
    <n v="948"/>
    <d v="2023-01-23T00:00:00"/>
    <x v="24"/>
    <x v="24"/>
    <n v="2.8319999999999999E-3"/>
    <n v="2.684736"/>
    <s v="GH"/>
    <x v="0"/>
    <x v="4"/>
    <s v="Q1"/>
    <n v="225"/>
    <n v="4.2133333333333329"/>
    <s v="MBG"/>
    <n v="1"/>
    <n v="948"/>
    <n v="2.684736"/>
    <n v="4.2133333333333329"/>
  </r>
  <r>
    <n v="68741742"/>
    <x v="2"/>
    <n v="167"/>
    <d v="2023-01-23T00:00:00"/>
    <x v="25"/>
    <x v="25"/>
    <n v="4.2560000000000002E-3"/>
    <n v="0.71075200000000005"/>
    <s v="GH"/>
    <x v="0"/>
    <x v="11"/>
    <s v="Q1"/>
    <n v="154"/>
    <n v="1.0844155844155845"/>
    <s v="MBG"/>
    <n v="1"/>
    <n v="167"/>
    <n v="0.71075200000000005"/>
    <n v="1.0844155844155845"/>
  </r>
  <r>
    <n v="68746232"/>
    <x v="2"/>
    <n v="0"/>
    <d v="2023-01-23T00:00:00"/>
    <x v="154"/>
    <x v="26"/>
    <n v="9.5879999999999993E-3"/>
    <n v="0"/>
    <s v="KL"/>
    <x v="0"/>
    <x v="12"/>
    <s v="Q1"/>
    <n v="132"/>
    <n v="0"/>
    <s v="EDF"/>
    <n v="1"/>
    <n v="0"/>
    <n v="0"/>
    <n v="0"/>
  </r>
  <r>
    <n v="68852591"/>
    <x v="3"/>
    <n v="7137"/>
    <d v="2023-01-23T00:00:00"/>
    <x v="26"/>
    <x v="17"/>
    <n v="8.5199999999999998E-3"/>
    <n v="60.80724"/>
    <s v="KL"/>
    <x v="0"/>
    <x v="8"/>
    <s v="Q1"/>
    <n v="132"/>
    <n v="54.06818181818182"/>
    <s v="EDF"/>
    <n v="1"/>
    <n v="7137"/>
    <n v="60.80724"/>
    <n v="54.06818181818182"/>
  </r>
  <r>
    <n v="68852591"/>
    <x v="2"/>
    <n v="333"/>
    <d v="2023-01-23T00:00:00"/>
    <x v="26"/>
    <x v="26"/>
    <n v="8.5199999999999998E-3"/>
    <n v="2.8371599999999999"/>
    <s v="KL"/>
    <x v="0"/>
    <x v="12"/>
    <s v="Q1"/>
    <n v="132"/>
    <n v="2.5227272727272729"/>
    <s v="EDF"/>
    <n v="1"/>
    <n v="333"/>
    <n v="2.8371599999999999"/>
    <n v="2.5227272727272729"/>
  </r>
  <r>
    <n v="68871219"/>
    <x v="0"/>
    <n v="181"/>
    <d v="2023-01-23T00:00:00"/>
    <x v="155"/>
    <x v="1"/>
    <n v="3.0280000000000001E-2"/>
    <n v="5.4806800000000004"/>
    <s v="MG"/>
    <x v="0"/>
    <x v="38"/>
    <s v="Q1"/>
    <n v="240"/>
    <n v="0.75416666666666665"/>
    <s v="PTS"/>
    <n v="1"/>
    <n v="181"/>
    <n v="5.4806800000000004"/>
    <n v="0.75416666666666665"/>
  </r>
  <r>
    <n v="68871220"/>
    <x v="0"/>
    <n v="2"/>
    <d v="2023-01-23T00:00:00"/>
    <x v="156"/>
    <x v="1"/>
    <n v="3.7853439999999999E-3"/>
    <n v="7.5706879999999999E-3"/>
    <s v="BR"/>
    <x v="0"/>
    <x v="38"/>
    <s v="Q1"/>
    <n v="240"/>
    <n v="8.3333333333333332E-3"/>
    <s v="PTS"/>
    <n v="1"/>
    <n v="2"/>
    <n v="7.5706879999999999E-3"/>
    <n v="8.3333333333333332E-3"/>
  </r>
  <r>
    <n v="68871221"/>
    <x v="0"/>
    <n v="272"/>
    <d v="2023-01-23T00:00:00"/>
    <x v="157"/>
    <x v="1"/>
    <n v="3.7839999999999996E-3"/>
    <n v="1.0292479999999999"/>
    <s v="BR"/>
    <x v="0"/>
    <x v="38"/>
    <s v="Q1"/>
    <n v="240"/>
    <n v="1.1333333333333333"/>
    <s v="PTS"/>
    <n v="1"/>
    <n v="272"/>
    <n v="1.0292479999999999"/>
    <n v="1.1333333333333333"/>
  </r>
  <r>
    <n v="68919013"/>
    <x v="0"/>
    <n v="98"/>
    <d v="2023-01-23T00:00:00"/>
    <x v="158"/>
    <x v="1"/>
    <n v="3.0280000000000001E-2"/>
    <n v="2.9674400000000003"/>
    <s v="BR"/>
    <x v="0"/>
    <x v="38"/>
    <s v="Q1"/>
    <n v="240"/>
    <n v="0.40833333333333333"/>
    <s v="PTS"/>
    <n v="1"/>
    <n v="98"/>
    <n v="2.9674400000000003"/>
    <n v="0.40833333333333333"/>
  </r>
  <r>
    <n v="69548143"/>
    <x v="3"/>
    <n v="0"/>
    <d v="2023-01-23T00:00:00"/>
    <x v="159"/>
    <x v="36"/>
    <n v="3.192E-3"/>
    <n v="0"/>
    <s v="KL"/>
    <x v="0"/>
    <x v="28"/>
    <s v="Q1"/>
    <n v="345"/>
    <n v="0"/>
    <s v="EFW"/>
    <n v="1"/>
    <n v="0"/>
    <n v="0"/>
    <n v="0"/>
  </r>
  <r>
    <n v="69551489"/>
    <x v="3"/>
    <n v="5390"/>
    <d v="2023-01-23T00:00:00"/>
    <x v="4"/>
    <x v="4"/>
    <n v="3.8989043190215313E-3"/>
    <n v="21.015094279526053"/>
    <s v="GH"/>
    <x v="0"/>
    <x v="4"/>
    <s v="Q1"/>
    <n v="154"/>
    <n v="35"/>
    <s v="MBG"/>
    <n v="1"/>
    <n v="5390"/>
    <n v="21.015094279526053"/>
    <n v="35"/>
  </r>
  <r>
    <n v="69621212"/>
    <x v="2"/>
    <n v="2212"/>
    <d v="2023-01-23T00:00:00"/>
    <x v="29"/>
    <x v="28"/>
    <n v="5.2680000000000001E-3"/>
    <n v="11.652816"/>
    <s v="PG"/>
    <x v="0"/>
    <x v="14"/>
    <s v="Q1"/>
    <n v="130"/>
    <n v="17.015384615384615"/>
    <s v="PG"/>
    <n v="1"/>
    <n v="2212"/>
    <n v="11.652816"/>
    <n v="17.015384615384615"/>
  </r>
  <r>
    <n v="69677917"/>
    <x v="3"/>
    <n v="4793"/>
    <d v="2023-01-23T00:00:00"/>
    <x v="30"/>
    <x v="29"/>
    <n v="5.2680000000000001E-3"/>
    <n v="25.249524000000001"/>
    <s v="PS"/>
    <x v="0"/>
    <x v="3"/>
    <s v="Q1"/>
    <n v="108"/>
    <n v="44.379629629629626"/>
    <s v="PG"/>
    <n v="1"/>
    <n v="4793"/>
    <n v="25.249524000000001"/>
    <n v="44.379629629629626"/>
  </r>
  <r>
    <n v="69677917"/>
    <x v="2"/>
    <n v="0"/>
    <d v="2023-01-23T00:00:00"/>
    <x v="30"/>
    <x v="30"/>
    <n v="5.2680000000000001E-3"/>
    <n v="0"/>
    <s v="PS"/>
    <x v="0"/>
    <x v="14"/>
    <s v="Q1"/>
    <n v="108"/>
    <n v="0"/>
    <s v="PG"/>
    <n v="1"/>
    <n v="0"/>
    <n v="0"/>
    <n v="0"/>
  </r>
  <r>
    <n v="69684521"/>
    <x v="2"/>
    <n v="1203"/>
    <d v="2023-01-23T00:00:00"/>
    <x v="160"/>
    <x v="31"/>
    <n v="4.2585119798234554E-3"/>
    <n v="5.1229899117276165"/>
    <s v="MG "/>
    <x v="0"/>
    <x v="5"/>
    <s v="Q1"/>
    <n v="143"/>
    <n v="8.4125874125874134"/>
    <s v="MG Sticks"/>
    <n v="1"/>
    <n v="1203"/>
    <n v="5.1229899117276165"/>
    <n v="8.4125874125874134"/>
  </r>
  <r>
    <n v="69691816"/>
    <x v="2"/>
    <n v="14981"/>
    <d v="2023-01-23T00:00:00"/>
    <x v="139"/>
    <x v="21"/>
    <n v="3.7839999999999996E-3"/>
    <n v="56.688103999999996"/>
    <s v="TA"/>
    <x v="0"/>
    <x v="10"/>
    <s v="Q1"/>
    <n v="255"/>
    <n v="58.749019607843138"/>
    <s v="TALENTI"/>
    <n v="1"/>
    <n v="14981"/>
    <n v="56.688103999999996"/>
    <n v="58.749019607843138"/>
  </r>
  <r>
    <n v="84135718"/>
    <x v="13"/>
    <n v="54932"/>
    <d v="2023-01-23T00:00:00"/>
    <x v="147"/>
    <x v="38"/>
    <n v="3.7853439999999999E-3"/>
    <n v="207.93651660800001"/>
    <s v="BJ"/>
    <x v="0"/>
    <x v="36"/>
    <s v="Q1"/>
    <n v="240"/>
    <n v="228.88333333333333"/>
    <s v="BJ PTS"/>
    <n v="1"/>
    <n v="54932"/>
    <n v="207.93651660800001"/>
    <n v="228.88333333333333"/>
  </r>
  <r>
    <n v="84141094"/>
    <x v="2"/>
    <n v="0"/>
    <d v="2023-01-23T00:00:00"/>
    <x v="107"/>
    <x v="15"/>
    <n v="3.7853439999999999E-3"/>
    <n v="0"/>
    <s v="BJ"/>
    <x v="0"/>
    <x v="30"/>
    <s v="Q1"/>
    <n v="240"/>
    <n v="0"/>
    <s v="BJ PTS"/>
    <n v="1"/>
    <n v="0"/>
    <n v="0"/>
    <n v="0"/>
  </r>
  <r>
    <n v="84151113"/>
    <x v="5"/>
    <n v="9125"/>
    <d v="2023-01-23T00:00:00"/>
    <x v="161"/>
    <x v="33"/>
    <n v="1.419504E-3"/>
    <n v="12.952974000000001"/>
    <s v="BJ"/>
    <x v="0"/>
    <x v="31"/>
    <s v="Q1"/>
    <n v="510"/>
    <n v="17.892156862745097"/>
    <s v="Cup Exports"/>
    <n v="1"/>
    <n v="9125"/>
    <n v="12.952974000000001"/>
    <n v="17.892156862745097"/>
  </r>
  <r>
    <n v="84164936"/>
    <x v="2"/>
    <n v="0"/>
    <d v="2023-01-23T00:00:00"/>
    <x v="162"/>
    <x v="15"/>
    <n v="3.7853439999999999E-3"/>
    <n v="0"/>
    <s v="BJ"/>
    <x v="0"/>
    <x v="30"/>
    <s v="Q1"/>
    <n v="240"/>
    <n v="0"/>
    <s v="BJ PTS"/>
    <n v="1"/>
    <n v="0"/>
    <n v="0"/>
    <n v="0"/>
  </r>
  <r>
    <n v="67309843"/>
    <x v="3"/>
    <n v="5659"/>
    <d v="2023-01-24T00:00:00"/>
    <x v="88"/>
    <x v="12"/>
    <n v="8.5199999999999998E-3"/>
    <n v="48.214680000000001"/>
    <s v="BR"/>
    <x v="0"/>
    <x v="6"/>
    <s v="Q1"/>
    <n v="154"/>
    <n v="36.746753246753244"/>
    <s v="48oz"/>
    <n v="1"/>
    <n v="5659"/>
    <n v="48.214680000000001"/>
    <n v="36.746753246753244"/>
  </r>
  <r>
    <n v="67465063"/>
    <x v="3"/>
    <n v="3114"/>
    <d v="2023-01-24T00:00:00"/>
    <x v="3"/>
    <x v="6"/>
    <n v="5.2680000000000001E-3"/>
    <n v="16.404551999999999"/>
    <s v="PS"/>
    <x v="0"/>
    <x v="3"/>
    <s v="Q1"/>
    <n v="130"/>
    <n v="23.953846153846154"/>
    <s v="PG"/>
    <n v="1"/>
    <n v="3114"/>
    <n v="16.404551999999999"/>
    <n v="23.953846153846154"/>
  </r>
  <r>
    <n v="67465064"/>
    <x v="3"/>
    <n v="1676"/>
    <d v="2023-01-24T00:00:00"/>
    <x v="7"/>
    <x v="3"/>
    <n v="1.596E-3"/>
    <n v="2.6748959999999999"/>
    <s v="PS"/>
    <x v="0"/>
    <x v="3"/>
    <s v="Q1"/>
    <n v="130"/>
    <n v="12.892307692307693"/>
    <s v="PG"/>
    <n v="1"/>
    <n v="1676"/>
    <n v="2.6748959999999999"/>
    <n v="12.892307692307693"/>
  </r>
  <r>
    <n v="67466492"/>
    <x v="3"/>
    <n v="3609"/>
    <d v="2023-01-24T00:00:00"/>
    <x v="8"/>
    <x v="7"/>
    <n v="5.2680000000000001E-3"/>
    <n v="19.012212000000002"/>
    <s v="PS"/>
    <x v="0"/>
    <x v="3"/>
    <s v="Q1"/>
    <n v="130"/>
    <n v="27.761538461538461"/>
    <s v="PG"/>
    <n v="1"/>
    <n v="3609"/>
    <n v="19.012212000000002"/>
    <n v="27.761538461538461"/>
  </r>
  <r>
    <n v="67466492"/>
    <x v="3"/>
    <n v="2653"/>
    <d v="2023-01-24T00:00:00"/>
    <x v="8"/>
    <x v="8"/>
    <n v="5.2680000000000001E-3"/>
    <n v="13.976004"/>
    <s v="PS"/>
    <x v="0"/>
    <x v="3"/>
    <s v="Q1"/>
    <n v="130"/>
    <n v="20.407692307692308"/>
    <s v="PG"/>
    <n v="1"/>
    <n v="2653"/>
    <n v="13.976004"/>
    <n v="20.407692307692308"/>
  </r>
  <r>
    <n v="67466492"/>
    <x v="3"/>
    <n v="0"/>
    <d v="2023-01-24T00:00:00"/>
    <x v="8"/>
    <x v="9"/>
    <n v="5.2680000000000001E-3"/>
    <n v="0"/>
    <s v="PS"/>
    <x v="0"/>
    <x v="3"/>
    <s v="Q1"/>
    <n v="130"/>
    <n v="0"/>
    <s v="PG"/>
    <n v="1"/>
    <n v="0"/>
    <n v="0"/>
    <n v="0"/>
  </r>
  <r>
    <n v="67476456"/>
    <x v="3"/>
    <n v="9129"/>
    <d v="2023-01-24T00:00:00"/>
    <x v="9"/>
    <x v="9"/>
    <n v="1.536E-3"/>
    <n v="14.022144000000001"/>
    <s v="PS"/>
    <x v="0"/>
    <x v="3"/>
    <s v="Q1"/>
    <n v="400"/>
    <n v="22.822500000000002"/>
    <s v="PG"/>
    <n v="1"/>
    <n v="9129"/>
    <n v="14.022144000000001"/>
    <n v="22.822500000000002"/>
  </r>
  <r>
    <n v="67476560"/>
    <x v="3"/>
    <n v="1727"/>
    <d v="2023-01-24T00:00:00"/>
    <x v="10"/>
    <x v="10"/>
    <n v="5.1060000000000003E-3"/>
    <n v="8.8180620000000012"/>
    <s v="PS"/>
    <x v="0"/>
    <x v="3"/>
    <s v="Q1"/>
    <n v="130"/>
    <n v="13.284615384615385"/>
    <s v="PG"/>
    <n v="1"/>
    <n v="1727"/>
    <n v="8.8180620000000012"/>
    <n v="13.284615384615385"/>
  </r>
  <r>
    <n v="67789314"/>
    <x v="5"/>
    <n v="30430"/>
    <d v="2023-01-24T00:00:00"/>
    <x v="152"/>
    <x v="35"/>
    <n v="3.7853439999999999E-3"/>
    <n v="115.18801791999999"/>
    <s v="BJ"/>
    <x v="0"/>
    <x v="15"/>
    <s v="Q1"/>
    <n v="240"/>
    <n v="126.79166666666667"/>
    <s v="BJ PTS"/>
    <n v="1"/>
    <n v="30430"/>
    <n v="115.18801791999999"/>
    <n v="126.79166666666667"/>
  </r>
  <r>
    <n v="67885718"/>
    <x v="3"/>
    <n v="3654"/>
    <d v="2023-01-24T00:00:00"/>
    <x v="48"/>
    <x v="16"/>
    <n v="8.5199999999999998E-3"/>
    <n v="31.132079999999998"/>
    <s v="BR"/>
    <x v="0"/>
    <x v="6"/>
    <s v="Q1"/>
    <n v="154"/>
    <n v="23.727272727272727"/>
    <s v="48oz"/>
    <n v="1"/>
    <n v="3654"/>
    <n v="31.132079999999998"/>
    <n v="23.727272727272727"/>
  </r>
  <r>
    <n v="67885722"/>
    <x v="2"/>
    <n v="1386"/>
    <d v="2023-01-24T00:00:00"/>
    <x v="163"/>
    <x v="32"/>
    <n v="8.5199999999999998E-3"/>
    <n v="11.808719999999999"/>
    <s v="BR"/>
    <x v="0"/>
    <x v="2"/>
    <s v="Q1"/>
    <n v="154"/>
    <n v="9"/>
    <s v="48oz"/>
    <n v="1"/>
    <n v="1386"/>
    <n v="11.808719999999999"/>
    <n v="9"/>
  </r>
  <r>
    <n v="67893539"/>
    <x v="2"/>
    <n v="14170"/>
    <d v="2023-01-24T00:00:00"/>
    <x v="12"/>
    <x v="2"/>
    <n v="8.5199999999999998E-3"/>
    <n v="120.72839999999999"/>
    <s v="BR"/>
    <x v="0"/>
    <x v="2"/>
    <s v="Q1"/>
    <n v="154"/>
    <n v="92.012987012987011"/>
    <s v="48oz"/>
    <n v="1"/>
    <n v="14170"/>
    <n v="120.72839999999999"/>
    <n v="92.012987012987011"/>
  </r>
  <r>
    <n v="67893540"/>
    <x v="2"/>
    <n v="10286"/>
    <d v="2023-01-24T00:00:00"/>
    <x v="66"/>
    <x v="13"/>
    <n v="8.5199999999999998E-3"/>
    <n v="87.636719999999997"/>
    <s v="BR"/>
    <x v="0"/>
    <x v="2"/>
    <s v="Q1"/>
    <n v="154"/>
    <n v="66.79220779220779"/>
    <s v="48oz"/>
    <n v="1"/>
    <n v="10286"/>
    <n v="87.636719999999997"/>
    <n v="66.79220779220779"/>
  </r>
  <r>
    <n v="67901583"/>
    <x v="3"/>
    <n v="12617"/>
    <d v="2023-01-24T00:00:00"/>
    <x v="50"/>
    <x v="11"/>
    <n v="8.5199999999999998E-3"/>
    <n v="107.49683999999999"/>
    <s v="BR"/>
    <x v="0"/>
    <x v="6"/>
    <s v="Q1"/>
    <n v="154"/>
    <n v="81.928571428571431"/>
    <s v="48oz"/>
    <n v="1"/>
    <n v="12617"/>
    <n v="107.49683999999999"/>
    <n v="81.928571428571431"/>
  </r>
  <r>
    <n v="67901593"/>
    <x v="2"/>
    <n v="18384"/>
    <d v="2023-01-24T00:00:00"/>
    <x v="68"/>
    <x v="32"/>
    <n v="8.5199999999999998E-3"/>
    <n v="156.63167999999999"/>
    <s v="BR"/>
    <x v="0"/>
    <x v="2"/>
    <s v="Q1"/>
    <n v="154"/>
    <n v="119.37662337662337"/>
    <s v="48oz"/>
    <n v="1"/>
    <n v="18384"/>
    <n v="156.63167999999999"/>
    <n v="119.37662337662337"/>
  </r>
  <r>
    <n v="67908263"/>
    <x v="3"/>
    <n v="139"/>
    <d v="2023-01-24T00:00:00"/>
    <x v="164"/>
    <x v="24"/>
    <n v="2.8319999999999999E-3"/>
    <n v="0.393648"/>
    <s v="GH"/>
    <x v="0"/>
    <x v="4"/>
    <s v="Q1"/>
    <n v="225"/>
    <n v="0.61777777777777776"/>
    <s v="MBG"/>
    <n v="1"/>
    <n v="139"/>
    <n v="0.393648"/>
    <n v="0.61777777777777776"/>
  </r>
  <r>
    <n v="68115479"/>
    <x v="6"/>
    <n v="1119"/>
    <d v="2023-01-24T00:00:00"/>
    <x v="52"/>
    <x v="0"/>
    <n v="5.7599999999999995E-3"/>
    <n v="6.4454399999999996"/>
    <s v="MG "/>
    <x v="0"/>
    <x v="20"/>
    <s v="Q1"/>
    <n v="30"/>
    <n v="37.299999999999997"/>
    <s v="Repack MG Sticks"/>
    <n v="1"/>
    <n v="1119"/>
    <n v="6.4454399999999996"/>
    <n v="37.299999999999997"/>
  </r>
  <r>
    <n v="68188183"/>
    <x v="3"/>
    <n v="0"/>
    <d v="2023-01-24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5996"/>
    <d v="2023-01-24T00:00:00"/>
    <x v="120"/>
    <x v="19"/>
    <n v="8.4960000000000001E-3"/>
    <n v="50.942016000000002"/>
    <s v="KL"/>
    <x v="0"/>
    <x v="8"/>
    <s v="Q1"/>
    <n v="132"/>
    <n v="45.424242424242422"/>
    <s v="EDF"/>
    <n v="1"/>
    <n v="5996"/>
    <n v="50.942016000000002"/>
    <n v="45.424242424242422"/>
  </r>
  <r>
    <n v="68356102"/>
    <x v="2"/>
    <n v="0"/>
    <d v="2023-01-24T00:00:00"/>
    <x v="13"/>
    <x v="13"/>
    <n v="8.513999999999999E-3"/>
    <n v="0"/>
    <s v="BR"/>
    <x v="0"/>
    <x v="2"/>
    <s v="Q1"/>
    <n v="154"/>
    <n v="0"/>
    <s v="48oz"/>
    <n v="1"/>
    <n v="0"/>
    <n v="0"/>
    <n v="0"/>
  </r>
  <r>
    <n v="68399233"/>
    <x v="2"/>
    <n v="663"/>
    <d v="2023-01-24T00:00:00"/>
    <x v="153"/>
    <x v="5"/>
    <n v="2.16E-3"/>
    <n v="1.43208"/>
    <s v="MG"/>
    <x v="0"/>
    <x v="5"/>
    <s v="Q1"/>
    <n v="210"/>
    <n v="3.157142857142857"/>
    <s v="MG Sticks"/>
    <n v="1"/>
    <n v="663"/>
    <n v="1.43208"/>
    <n v="3.157142857142857"/>
  </r>
  <r>
    <n v="68410352"/>
    <x v="2"/>
    <n v="5172"/>
    <d v="2023-01-24T00:00:00"/>
    <x v="14"/>
    <x v="14"/>
    <n v="1.98E-3"/>
    <n v="10.24056"/>
    <s v="MG"/>
    <x v="0"/>
    <x v="5"/>
    <s v="Q1"/>
    <n v="176"/>
    <n v="29.386363636363637"/>
    <s v="MG Sticks"/>
    <n v="1"/>
    <n v="5172"/>
    <n v="10.24056"/>
    <n v="29.386363636363637"/>
  </r>
  <r>
    <n v="68414643"/>
    <x v="6"/>
    <n v="7136"/>
    <d v="2023-01-24T00:00:00"/>
    <x v="41"/>
    <x v="0"/>
    <n v="1.419504E-3"/>
    <n v="10.129580544"/>
    <s v="BJ"/>
    <x v="0"/>
    <x v="17"/>
    <s v="Q1"/>
    <n v="238"/>
    <n v="29.983193277310924"/>
    <s v="B&amp;J Dog Treat - Repack"/>
    <n v="1"/>
    <n v="7136"/>
    <n v="10.129580544"/>
    <n v="29.983193277310924"/>
  </r>
  <r>
    <n v="68414643"/>
    <x v="6"/>
    <n v="7131"/>
    <d v="2023-01-24T00:00:00"/>
    <x v="41"/>
    <x v="0"/>
    <n v="1.419504E-3"/>
    <n v="10.122483024000001"/>
    <s v="BJ"/>
    <x v="0"/>
    <x v="17"/>
    <s v="Q1"/>
    <n v="238"/>
    <n v="29.962184873949578"/>
    <s v="B&amp;J Dog Treat - Repack"/>
    <n v="1"/>
    <n v="7131"/>
    <n v="10.122483024000001"/>
    <n v="29.962184873949578"/>
  </r>
  <r>
    <n v="68414647"/>
    <x v="6"/>
    <n v="2802"/>
    <d v="2023-01-24T00:00:00"/>
    <x v="90"/>
    <x v="0"/>
    <n v="1.419504E-3"/>
    <n v="3.977450208"/>
    <s v="BJ"/>
    <x v="0"/>
    <x v="17"/>
    <s v="Q1"/>
    <n v="238"/>
    <n v="11.77310924369748"/>
    <s v="B&amp;J Dog Treat - Repack"/>
    <n v="1"/>
    <n v="2802"/>
    <n v="3.977450208"/>
    <n v="11.77310924369748"/>
  </r>
  <r>
    <n v="68414647"/>
    <x v="6"/>
    <n v="1018"/>
    <d v="2023-01-24T00:00:00"/>
    <x v="90"/>
    <x v="0"/>
    <n v="1.419504E-3"/>
    <n v="1.4450550719999999"/>
    <s v="BJ"/>
    <x v="0"/>
    <x v="17"/>
    <s v="Q1"/>
    <n v="238"/>
    <n v="4.2773109243697478"/>
    <s v="B&amp;J Dog Treat - Repack"/>
    <n v="1"/>
    <n v="1018"/>
    <n v="1.4450550719999999"/>
    <n v="4.2773109243697478"/>
  </r>
  <r>
    <n v="68634169"/>
    <x v="3"/>
    <n v="2561"/>
    <d v="2023-01-24T00:00:00"/>
    <x v="149"/>
    <x v="16"/>
    <n v="8.5199999999999998E-3"/>
    <n v="21.81972"/>
    <s v="BR"/>
    <x v="0"/>
    <x v="6"/>
    <s v="Q1"/>
    <n v="154"/>
    <n v="16.629870129870131"/>
    <s v="48oz"/>
    <n v="1"/>
    <n v="2561"/>
    <n v="21.81972"/>
    <n v="16.629870129870131"/>
  </r>
  <r>
    <n v="68689251"/>
    <x v="3"/>
    <n v="6230"/>
    <d v="2023-01-24T00:00:00"/>
    <x v="17"/>
    <x v="20"/>
    <n v="9.5760000000000012E-3"/>
    <n v="59.658480000000004"/>
    <s v="KL"/>
    <x v="0"/>
    <x v="8"/>
    <s v="Q1"/>
    <n v="132"/>
    <n v="47.196969696969695"/>
    <s v="EDF"/>
    <n v="1"/>
    <n v="6230"/>
    <n v="59.658480000000004"/>
    <n v="47.196969696969695"/>
  </r>
  <r>
    <n v="68689253"/>
    <x v="2"/>
    <n v="7369"/>
    <d v="2023-01-24T00:00:00"/>
    <x v="125"/>
    <x v="18"/>
    <n v="6.0035555555555554E-3"/>
    <n v="44.240200888888886"/>
    <s v="KL"/>
    <x v="0"/>
    <x v="9"/>
    <s v="Q1"/>
    <n v="120"/>
    <n v="61.408333333333331"/>
    <s v="ESS"/>
    <n v="1"/>
    <n v="7369"/>
    <n v="44.240200888888886"/>
    <n v="61.408333333333331"/>
  </r>
  <r>
    <n v="68726916"/>
    <x v="2"/>
    <n v="0"/>
    <d v="2023-01-24T00:00:00"/>
    <x v="43"/>
    <x v="21"/>
    <n v="3.7853440000000004E-3"/>
    <n v="0"/>
    <s v="TA"/>
    <x v="0"/>
    <x v="10"/>
    <s v="Q1"/>
    <n v="255"/>
    <n v="0"/>
    <s v="TALENTI"/>
    <n v="1"/>
    <n v="0"/>
    <n v="0"/>
    <n v="0"/>
  </r>
  <r>
    <n v="68728321"/>
    <x v="2"/>
    <n v="8603"/>
    <d v="2023-01-24T00:00:00"/>
    <x v="150"/>
    <x v="22"/>
    <n v="3.7853439999999999E-3"/>
    <n v="32.565314432000001"/>
    <s v="TA"/>
    <x v="0"/>
    <x v="10"/>
    <s v="Q1"/>
    <n v="255"/>
    <n v="33.737254901960782"/>
    <s v="TALENTI"/>
    <n v="1"/>
    <n v="8603"/>
    <n v="32.565314432000001"/>
    <n v="33.737254901960782"/>
  </r>
  <r>
    <n v="68728321"/>
    <x v="2"/>
    <n v="0"/>
    <d v="2023-01-24T00:00:00"/>
    <x v="150"/>
    <x v="22"/>
    <n v="3.7853439999999999E-3"/>
    <n v="0"/>
    <s v="TA"/>
    <x v="0"/>
    <x v="10"/>
    <s v="Q1"/>
    <n v="255"/>
    <n v="0"/>
    <s v="TALENTI"/>
    <n v="1"/>
    <n v="0"/>
    <n v="0"/>
    <n v="0"/>
  </r>
  <r>
    <n v="68729634"/>
    <x v="2"/>
    <n v="18366"/>
    <d v="2023-01-24T00:00:00"/>
    <x v="92"/>
    <x v="22"/>
    <n v="3.7853439999999999E-3"/>
    <n v="69.521627903999999"/>
    <s v="TA"/>
    <x v="0"/>
    <x v="10"/>
    <s v="Q1"/>
    <n v="255"/>
    <n v="72.023529411764713"/>
    <s v="TALENTI"/>
    <n v="1"/>
    <n v="18366"/>
    <n v="69.521627903999999"/>
    <n v="72.023529411764713"/>
  </r>
  <r>
    <n v="68729710"/>
    <x v="2"/>
    <n v="5452"/>
    <d v="2023-01-24T00:00:00"/>
    <x v="106"/>
    <x v="21"/>
    <n v="3.7853440000000004E-3"/>
    <n v="20.637695488000002"/>
    <s v="TA"/>
    <x v="0"/>
    <x v="10"/>
    <s v="Q1"/>
    <n v="255"/>
    <n v="21.380392156862744"/>
    <s v="TALENTI"/>
    <n v="1"/>
    <n v="5452"/>
    <n v="20.637695488000002"/>
    <n v="21.380392156862744"/>
  </r>
  <r>
    <n v="68737750"/>
    <x v="3"/>
    <n v="4049"/>
    <d v="2023-01-24T00:00:00"/>
    <x v="144"/>
    <x v="23"/>
    <n v="8.5199999999999998E-3"/>
    <n v="34.497479999999996"/>
    <s v="BR"/>
    <x v="0"/>
    <x v="6"/>
    <s v="Q1"/>
    <n v="176"/>
    <n v="23.005681818181817"/>
    <s v="48oz"/>
    <n v="1"/>
    <n v="4049"/>
    <n v="34.497479999999996"/>
    <n v="23.005681818181817"/>
  </r>
  <r>
    <n v="68741742"/>
    <x v="3"/>
    <n v="0"/>
    <d v="2023-01-24T00:00:00"/>
    <x v="25"/>
    <x v="4"/>
    <n v="4.2560000000000002E-3"/>
    <n v="0"/>
    <s v="GH"/>
    <x v="0"/>
    <x v="4"/>
    <s v="Q1"/>
    <n v="154"/>
    <n v="0"/>
    <s v="MBG"/>
    <n v="1"/>
    <n v="0"/>
    <n v="0"/>
    <n v="0"/>
  </r>
  <r>
    <n v="68741742"/>
    <x v="3"/>
    <n v="1209"/>
    <d v="2023-01-24T00:00:00"/>
    <x v="25"/>
    <x v="4"/>
    <n v="4.2560000000000002E-3"/>
    <n v="5.1455039999999999"/>
    <s v="GH"/>
    <x v="0"/>
    <x v="4"/>
    <s v="Q1"/>
    <n v="154"/>
    <n v="7.8506493506493502"/>
    <s v="MBG"/>
    <n v="1"/>
    <n v="1209"/>
    <n v="5.1455039999999999"/>
    <n v="7.8506493506493502"/>
  </r>
  <r>
    <n v="68741742"/>
    <x v="2"/>
    <n v="2859"/>
    <d v="2023-01-24T00:00:00"/>
    <x v="25"/>
    <x v="25"/>
    <n v="4.2560000000000002E-3"/>
    <n v="12.167904"/>
    <s v="GH"/>
    <x v="0"/>
    <x v="11"/>
    <s v="Q1"/>
    <n v="154"/>
    <n v="18.564935064935064"/>
    <s v="MBG"/>
    <n v="1"/>
    <n v="2859"/>
    <n v="12.167904"/>
    <n v="18.564935064935064"/>
  </r>
  <r>
    <n v="68746232"/>
    <x v="2"/>
    <n v="2773"/>
    <d v="2023-01-24T00:00:00"/>
    <x v="154"/>
    <x v="26"/>
    <n v="9.5879999999999993E-3"/>
    <n v="26.587523999999998"/>
    <s v="KL"/>
    <x v="0"/>
    <x v="12"/>
    <s v="Q1"/>
    <n v="132"/>
    <n v="21.007575757575758"/>
    <s v="EDF"/>
    <n v="1"/>
    <n v="2773"/>
    <n v="26.587523999999998"/>
    <n v="21.007575757575758"/>
  </r>
  <r>
    <n v="68852591"/>
    <x v="3"/>
    <n v="6380"/>
    <d v="2023-01-24T00:00:00"/>
    <x v="26"/>
    <x v="17"/>
    <n v="8.5199999999999998E-3"/>
    <n v="54.357599999999998"/>
    <s v="KL"/>
    <x v="0"/>
    <x v="8"/>
    <s v="Q1"/>
    <n v="132"/>
    <n v="48.333333333333336"/>
    <s v="EDF"/>
    <n v="1"/>
    <n v="6380"/>
    <n v="54.357599999999998"/>
    <n v="48.333333333333336"/>
  </r>
  <r>
    <n v="69548143"/>
    <x v="3"/>
    <n v="0"/>
    <d v="2023-01-24T00:00:00"/>
    <x v="159"/>
    <x v="36"/>
    <n v="3.192E-3"/>
    <n v="0"/>
    <s v="KL"/>
    <x v="0"/>
    <x v="28"/>
    <s v="Q1"/>
    <n v="345"/>
    <n v="0"/>
    <s v="EFW"/>
    <n v="1"/>
    <n v="0"/>
    <n v="0"/>
    <n v="0"/>
  </r>
  <r>
    <n v="68871168"/>
    <x v="1"/>
    <n v="2915"/>
    <d v="2023-01-24T00:00:00"/>
    <x v="57"/>
    <x v="0"/>
    <n v="6.0035555555555554E-3"/>
    <n v="17.500364444444443"/>
    <s v="KL"/>
    <x v="0"/>
    <x v="1"/>
    <s v="Q1"/>
    <n v="108"/>
    <n v="26.99074074074074"/>
    <s v="KL Sandwiches"/>
    <n v="1"/>
    <n v="2915"/>
    <n v="17.500364444444443"/>
    <n v="26.99074074074074"/>
  </r>
  <r>
    <n v="68871168"/>
    <x v="1"/>
    <n v="3024"/>
    <d v="2023-01-24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9556602"/>
    <x v="4"/>
    <n v="458"/>
    <d v="2023-01-24T00:00:00"/>
    <x v="165"/>
    <x v="0"/>
    <n v="5.3220000000000003E-3"/>
    <n v="2.4374760000000002"/>
    <s v="KL"/>
    <x v="0"/>
    <x v="13"/>
    <s v="Q1"/>
    <n v="120"/>
    <n v="3.8166666666666669"/>
    <s v="KL Mini Cones"/>
    <n v="1"/>
    <n v="458"/>
    <n v="2.4374760000000002"/>
    <n v="3.8166666666666669"/>
  </r>
  <r>
    <n v="69557443"/>
    <x v="4"/>
    <n v="2400"/>
    <d v="2023-01-24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4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658"/>
    <x v="2"/>
    <n v="0"/>
    <d v="2023-01-24T00:00:00"/>
    <x v="166"/>
    <x v="5"/>
    <n v="2.1520000000000003E-3"/>
    <n v="0"/>
    <s v="MG"/>
    <x v="0"/>
    <x v="5"/>
    <s v="Q1"/>
    <n v="210"/>
    <n v="0"/>
    <s v="MG Sticks"/>
    <n v="1"/>
    <n v="0"/>
    <n v="0"/>
    <n v="0"/>
  </r>
  <r>
    <n v="69621212"/>
    <x v="2"/>
    <n v="2841"/>
    <d v="2023-01-24T00:00:00"/>
    <x v="29"/>
    <x v="28"/>
    <n v="5.2680000000000001E-3"/>
    <n v="14.966388"/>
    <s v="PG"/>
    <x v="0"/>
    <x v="14"/>
    <s v="Q1"/>
    <n v="130"/>
    <n v="21.853846153846153"/>
    <s v="PG"/>
    <n v="1"/>
    <n v="2841"/>
    <n v="14.966388"/>
    <n v="21.853846153846153"/>
  </r>
  <r>
    <n v="69629470"/>
    <x v="4"/>
    <n v="2391"/>
    <d v="2023-01-24T00:00:00"/>
    <x v="98"/>
    <x v="0"/>
    <n v="5.3220000000000003E-3"/>
    <n v="12.724902"/>
    <s v="KL"/>
    <x v="0"/>
    <x v="13"/>
    <s v="Q1"/>
    <n v="120"/>
    <n v="19.925000000000001"/>
    <s v="KL Mini Cones"/>
    <n v="1"/>
    <n v="2391"/>
    <n v="12.724902"/>
    <n v="19.925000000000001"/>
  </r>
  <r>
    <n v="69629470"/>
    <x v="4"/>
    <n v="2400"/>
    <d v="2023-01-24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4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77917"/>
    <x v="3"/>
    <n v="3604"/>
    <d v="2023-01-24T00:00:00"/>
    <x v="30"/>
    <x v="29"/>
    <n v="5.2680000000000001E-3"/>
    <n v="18.985872000000001"/>
    <s v="PS"/>
    <x v="0"/>
    <x v="3"/>
    <s v="Q1"/>
    <n v="108"/>
    <n v="33.370370370370374"/>
    <s v="PG"/>
    <n v="1"/>
    <n v="3604"/>
    <n v="18.985872000000001"/>
    <n v="33.370370370370374"/>
  </r>
  <r>
    <n v="69677917"/>
    <x v="2"/>
    <n v="1623"/>
    <d v="2023-01-24T00:00:00"/>
    <x v="30"/>
    <x v="30"/>
    <n v="5.2680000000000001E-3"/>
    <n v="8.549964000000001"/>
    <s v="PS"/>
    <x v="0"/>
    <x v="14"/>
    <s v="Q1"/>
    <n v="108"/>
    <n v="15.027777777777779"/>
    <s v="PG"/>
    <n v="1"/>
    <n v="1623"/>
    <n v="8.549964000000001"/>
    <n v="15.027777777777779"/>
  </r>
  <r>
    <n v="69677917"/>
    <x v="2"/>
    <n v="3884"/>
    <d v="2023-01-24T00:00:00"/>
    <x v="30"/>
    <x v="30"/>
    <n v="5.2680000000000001E-3"/>
    <n v="20.460912"/>
    <s v="PS"/>
    <x v="0"/>
    <x v="14"/>
    <s v="Q1"/>
    <n v="108"/>
    <n v="35.962962962962962"/>
    <s v="PG"/>
    <n v="1"/>
    <n v="3884"/>
    <n v="20.460912"/>
    <n v="35.962962962962962"/>
  </r>
  <r>
    <n v="69684521"/>
    <x v="2"/>
    <n v="4855"/>
    <d v="2023-01-24T00:00:00"/>
    <x v="160"/>
    <x v="31"/>
    <n v="4.2585119798234554E-3"/>
    <n v="20.675075662042875"/>
    <s v="MG "/>
    <x v="0"/>
    <x v="5"/>
    <s v="Q1"/>
    <n v="143"/>
    <n v="33.951048951048953"/>
    <s v="MG Sticks"/>
    <n v="1"/>
    <n v="4855"/>
    <n v="20.675075662042875"/>
    <n v="33.951048951048953"/>
  </r>
  <r>
    <n v="69691840"/>
    <x v="2"/>
    <n v="9887"/>
    <d v="2023-01-24T00:00:00"/>
    <x v="106"/>
    <x v="21"/>
    <n v="3.7839999999999996E-3"/>
    <n v="37.412407999999999"/>
    <s v="TA"/>
    <x v="0"/>
    <x v="10"/>
    <s v="Q1"/>
    <n v="255"/>
    <n v="38.772549019607844"/>
    <s v="TALENTI"/>
    <n v="1"/>
    <n v="9887"/>
    <n v="37.412407999999999"/>
    <n v="38.772549019607844"/>
  </r>
  <r>
    <n v="84135718"/>
    <x v="2"/>
    <n v="15732"/>
    <d v="2023-01-24T00:00:00"/>
    <x v="147"/>
    <x v="15"/>
    <n v="3.7853439999999999E-3"/>
    <n v="59.551031807999998"/>
    <s v="BJ"/>
    <x v="0"/>
    <x v="30"/>
    <s v="Q1"/>
    <n v="240"/>
    <n v="65.55"/>
    <s v="BJ PTS"/>
    <n v="1"/>
    <n v="15732"/>
    <n v="59.551031807999998"/>
    <n v="65.55"/>
  </r>
  <r>
    <n v="84135718"/>
    <x v="2"/>
    <n v="0"/>
    <d v="2023-01-24T00:00:00"/>
    <x v="147"/>
    <x v="15"/>
    <n v="3.7853439999999999E-3"/>
    <n v="0"/>
    <s v="BJ"/>
    <x v="0"/>
    <x v="30"/>
    <s v="Q1"/>
    <n v="240"/>
    <n v="0"/>
    <s v="BJ PTS"/>
    <n v="1"/>
    <n v="0"/>
    <n v="0"/>
    <n v="0"/>
  </r>
  <r>
    <n v="84138391"/>
    <x v="5"/>
    <n v="64215"/>
    <d v="2023-01-24T00:00:00"/>
    <x v="84"/>
    <x v="33"/>
    <n v="3.7853439999999999E-3"/>
    <n v="243.07586495999999"/>
    <s v="BJ"/>
    <x v="0"/>
    <x v="15"/>
    <s v="Q1"/>
    <n v="240"/>
    <n v="267.5625"/>
    <s v="BJ PTS"/>
    <n v="1"/>
    <n v="64215"/>
    <n v="243.07586495999999"/>
    <n v="267.5625"/>
  </r>
  <r>
    <n v="84138391"/>
    <x v="5"/>
    <n v="7803"/>
    <d v="2023-01-24T00:00:00"/>
    <x v="84"/>
    <x v="33"/>
    <n v="3.7853439999999999E-3"/>
    <n v="29.537039231999998"/>
    <s v="BJ"/>
    <x v="0"/>
    <x v="15"/>
    <s v="Q1"/>
    <n v="240"/>
    <n v="32.512500000000003"/>
    <s v="BJ PTS"/>
    <n v="1"/>
    <n v="7803"/>
    <n v="29.537039231999998"/>
    <n v="32.512500000000003"/>
  </r>
  <r>
    <n v="84141037"/>
    <x v="5"/>
    <n v="5507"/>
    <d v="2023-01-24T00:00:00"/>
    <x v="167"/>
    <x v="35"/>
    <n v="9.0848256361922702E-3"/>
    <n v="50.030134778510835"/>
    <s v="BJ"/>
    <x v="0"/>
    <x v="39"/>
    <s v="Q1"/>
    <n v="125"/>
    <n v="44.055999999999997"/>
    <s v="2.4 Gal"/>
    <n v="1"/>
    <n v="5507"/>
    <n v="50.030134778510835"/>
    <n v="44.055999999999997"/>
  </r>
  <r>
    <n v="84141101"/>
    <x v="5"/>
    <n v="63555"/>
    <d v="2023-01-24T00:00:00"/>
    <x v="86"/>
    <x v="33"/>
    <n v="3.7853439999999999E-3"/>
    <n v="240.57753792"/>
    <s v="BJ"/>
    <x v="0"/>
    <x v="15"/>
    <s v="Q1"/>
    <n v="240"/>
    <n v="264.8125"/>
    <s v="BJ PTS"/>
    <n v="1"/>
    <n v="63555"/>
    <n v="240.57753792"/>
    <n v="264.8125"/>
  </r>
  <r>
    <n v="84149990"/>
    <x v="13"/>
    <n v="18355"/>
    <d v="2023-01-24T00:00:00"/>
    <x v="168"/>
    <x v="33"/>
    <n v="3.7853439999999999E-3"/>
    <n v="69.479989119999999"/>
    <s v="BJ"/>
    <x v="0"/>
    <x v="40"/>
    <s v="Q1"/>
    <n v="240"/>
    <n v="76.479166666666671"/>
    <s v="PTS Exports"/>
    <n v="1"/>
    <n v="18355"/>
    <n v="69.479989119999999"/>
    <n v="76.479166666666671"/>
  </r>
  <r>
    <n v="84164936"/>
    <x v="2"/>
    <n v="6118"/>
    <d v="2023-01-24T00:00:00"/>
    <x v="162"/>
    <x v="15"/>
    <n v="3.7853439999999999E-3"/>
    <n v="23.158734591999998"/>
    <s v="BJ"/>
    <x v="0"/>
    <x v="30"/>
    <s v="Q1"/>
    <n v="240"/>
    <n v="25.491666666666667"/>
    <s v="BJ PTS"/>
    <n v="1"/>
    <n v="6118"/>
    <n v="23.158734591999998"/>
    <n v="25.491666666666667"/>
  </r>
  <r>
    <n v="84164936"/>
    <x v="2"/>
    <n v="0"/>
    <d v="2023-01-24T00:00:00"/>
    <x v="162"/>
    <x v="15"/>
    <n v="3.7853439999999999E-3"/>
    <n v="0"/>
    <s v="BJ"/>
    <x v="0"/>
    <x v="30"/>
    <s v="Q1"/>
    <n v="240"/>
    <n v="0"/>
    <s v="BJ PTS"/>
    <n v="1"/>
    <n v="0"/>
    <n v="0"/>
    <n v="0"/>
  </r>
  <r>
    <n v="67309843"/>
    <x v="3"/>
    <n v="8103"/>
    <d v="2023-01-25T00:00:00"/>
    <x v="88"/>
    <x v="12"/>
    <n v="8.5199999999999998E-3"/>
    <n v="69.037559999999999"/>
    <s v="BR"/>
    <x v="0"/>
    <x v="6"/>
    <s v="Q1"/>
    <n v="154"/>
    <n v="52.616883116883116"/>
    <s v="48oz"/>
    <n v="1"/>
    <n v="8103"/>
    <n v="69.037559999999999"/>
    <n v="52.616883116883116"/>
  </r>
  <r>
    <n v="67465063"/>
    <x v="3"/>
    <n v="2843"/>
    <d v="2023-01-25T00:00:00"/>
    <x v="3"/>
    <x v="6"/>
    <n v="5.2680000000000001E-3"/>
    <n v="14.976924"/>
    <s v="PS"/>
    <x v="0"/>
    <x v="3"/>
    <s v="Q1"/>
    <n v="130"/>
    <n v="21.869230769230768"/>
    <s v="PG"/>
    <n v="1"/>
    <n v="2843"/>
    <n v="14.976924"/>
    <n v="21.869230769230768"/>
  </r>
  <r>
    <n v="67465064"/>
    <x v="3"/>
    <n v="1631"/>
    <d v="2023-01-25T00:00:00"/>
    <x v="7"/>
    <x v="3"/>
    <n v="1.596E-3"/>
    <n v="2.6030760000000002"/>
    <s v="PS"/>
    <x v="0"/>
    <x v="3"/>
    <s v="Q1"/>
    <n v="130"/>
    <n v="12.546153846153846"/>
    <s v="PG"/>
    <n v="1"/>
    <n v="1631"/>
    <n v="2.6030760000000002"/>
    <n v="12.546153846153846"/>
  </r>
  <r>
    <n v="67466492"/>
    <x v="3"/>
    <n v="3509"/>
    <d v="2023-01-25T00:00:00"/>
    <x v="8"/>
    <x v="7"/>
    <n v="5.2680000000000001E-3"/>
    <n v="18.485412"/>
    <s v="PS"/>
    <x v="0"/>
    <x v="3"/>
    <s v="Q1"/>
    <n v="130"/>
    <n v="26.992307692307691"/>
    <s v="PG"/>
    <n v="1"/>
    <n v="3509"/>
    <n v="18.485412"/>
    <n v="26.992307692307691"/>
  </r>
  <r>
    <n v="67466492"/>
    <x v="3"/>
    <n v="704"/>
    <d v="2023-01-25T00:00:00"/>
    <x v="8"/>
    <x v="8"/>
    <n v="5.2680000000000001E-3"/>
    <n v="3.708672"/>
    <s v="PS"/>
    <x v="0"/>
    <x v="3"/>
    <s v="Q1"/>
    <n v="130"/>
    <n v="5.4153846153846157"/>
    <s v="PG"/>
    <n v="1"/>
    <n v="704"/>
    <n v="3.708672"/>
    <n v="5.4153846153846157"/>
  </r>
  <r>
    <n v="67466492"/>
    <x v="3"/>
    <n v="0"/>
    <d v="2023-01-25T00:00:00"/>
    <x v="8"/>
    <x v="9"/>
    <n v="5.2680000000000001E-3"/>
    <n v="0"/>
    <s v="PS"/>
    <x v="0"/>
    <x v="3"/>
    <s v="Q1"/>
    <n v="130"/>
    <n v="0"/>
    <s v="PG"/>
    <n v="1"/>
    <n v="0"/>
    <n v="0"/>
    <n v="0"/>
  </r>
  <r>
    <n v="67476456"/>
    <x v="3"/>
    <n v="11595"/>
    <d v="2023-01-25T00:00:00"/>
    <x v="9"/>
    <x v="9"/>
    <n v="1.536E-3"/>
    <n v="17.809920000000002"/>
    <s v="PS"/>
    <x v="0"/>
    <x v="3"/>
    <s v="Q1"/>
    <n v="400"/>
    <n v="28.987500000000001"/>
    <s v="PG"/>
    <n v="1"/>
    <n v="11595"/>
    <n v="17.809920000000002"/>
    <n v="28.987500000000001"/>
  </r>
  <r>
    <n v="67476560"/>
    <x v="3"/>
    <n v="1983"/>
    <d v="2023-01-25T00:00:00"/>
    <x v="10"/>
    <x v="10"/>
    <n v="5.1060000000000003E-3"/>
    <n v="10.125198000000001"/>
    <s v="PS"/>
    <x v="0"/>
    <x v="3"/>
    <s v="Q1"/>
    <n v="130"/>
    <n v="15.253846153846155"/>
    <s v="PG"/>
    <n v="1"/>
    <n v="1983"/>
    <n v="10.125198000000001"/>
    <n v="15.253846153846155"/>
  </r>
  <r>
    <n v="67723726"/>
    <x v="3"/>
    <n v="9630"/>
    <d v="2023-01-25T00:00:00"/>
    <x v="109"/>
    <x v="23"/>
    <n v="8.5199999999999998E-3"/>
    <n v="82.047600000000003"/>
    <s v="BR"/>
    <x v="0"/>
    <x v="6"/>
    <s v="Q1"/>
    <n v="154"/>
    <n v="62.532467532467535"/>
    <s v="48oz"/>
    <n v="1"/>
    <n v="9630"/>
    <n v="82.047600000000003"/>
    <n v="62.532467532467535"/>
  </r>
  <r>
    <n v="67789313"/>
    <x v="5"/>
    <n v="30319"/>
    <d v="2023-01-25T00:00:00"/>
    <x v="169"/>
    <x v="35"/>
    <n v="3.7853439999999999E-3"/>
    <n v="114.767844736"/>
    <s v="BJ"/>
    <x v="0"/>
    <x v="15"/>
    <s v="Q1"/>
    <n v="240"/>
    <n v="126.32916666666667"/>
    <s v="BJ PTS"/>
    <n v="1"/>
    <n v="30319"/>
    <n v="114.767844736"/>
    <n v="126.32916666666667"/>
  </r>
  <r>
    <n v="67794169"/>
    <x v="5"/>
    <n v="48829"/>
    <d v="2023-01-25T00:00:00"/>
    <x v="33"/>
    <x v="33"/>
    <n v="3.7853439999999999E-3"/>
    <n v="184.83456217599999"/>
    <s v="BJ"/>
    <x v="0"/>
    <x v="15"/>
    <s v="Q1"/>
    <n v="240"/>
    <n v="203.45416666666668"/>
    <s v="BJ PTS"/>
    <n v="1"/>
    <n v="48829"/>
    <n v="184.83456217599999"/>
    <n v="203.45416666666668"/>
  </r>
  <r>
    <n v="67885718"/>
    <x v="3"/>
    <n v="10912"/>
    <d v="2023-01-25T00:00:00"/>
    <x v="48"/>
    <x v="16"/>
    <n v="8.5199999999999998E-3"/>
    <n v="92.970240000000004"/>
    <s v="BR"/>
    <x v="0"/>
    <x v="6"/>
    <s v="Q1"/>
    <n v="154"/>
    <n v="70.857142857142861"/>
    <s v="48oz"/>
    <n v="1"/>
    <n v="10912"/>
    <n v="92.970240000000004"/>
    <n v="70.857142857142861"/>
  </r>
  <r>
    <n v="67885719"/>
    <x v="2"/>
    <n v="0"/>
    <d v="2023-01-25T00:00:00"/>
    <x v="11"/>
    <x v="32"/>
    <n v="8.5199999999999998E-3"/>
    <n v="0"/>
    <s v="BR"/>
    <x v="0"/>
    <x v="2"/>
    <s v="Q1"/>
    <n v="154"/>
    <n v="0"/>
    <s v="48oz"/>
    <n v="1"/>
    <n v="0"/>
    <n v="0"/>
    <n v="0"/>
  </r>
  <r>
    <n v="67885722"/>
    <x v="2"/>
    <n v="12945"/>
    <d v="2023-01-25T00:00:00"/>
    <x v="163"/>
    <x v="32"/>
    <n v="8.5199999999999998E-3"/>
    <n v="110.2914"/>
    <s v="BR"/>
    <x v="0"/>
    <x v="2"/>
    <s v="Q1"/>
    <n v="154"/>
    <n v="84.058441558441558"/>
    <s v="48oz"/>
    <n v="1"/>
    <n v="12945"/>
    <n v="110.2914"/>
    <n v="84.058441558441558"/>
  </r>
  <r>
    <n v="67893539"/>
    <x v="2"/>
    <n v="11073"/>
    <d v="2023-01-25T00:00:00"/>
    <x v="12"/>
    <x v="2"/>
    <n v="8.5199999999999998E-3"/>
    <n v="94.34196"/>
    <s v="BR"/>
    <x v="0"/>
    <x v="2"/>
    <s v="Q1"/>
    <n v="154"/>
    <n v="71.902597402597408"/>
    <s v="48oz"/>
    <n v="1"/>
    <n v="11073"/>
    <n v="94.34196"/>
    <n v="71.902597402597408"/>
  </r>
  <r>
    <n v="67893540"/>
    <x v="2"/>
    <n v="13684"/>
    <d v="2023-01-25T00:00:00"/>
    <x v="66"/>
    <x v="13"/>
    <n v="8.5199999999999998E-3"/>
    <n v="116.58767999999999"/>
    <s v="BR"/>
    <x v="0"/>
    <x v="2"/>
    <s v="Q1"/>
    <n v="154"/>
    <n v="88.857142857142861"/>
    <s v="48oz"/>
    <n v="1"/>
    <n v="13684"/>
    <n v="116.58767999999999"/>
    <n v="88.857142857142861"/>
  </r>
  <r>
    <n v="67901583"/>
    <x v="3"/>
    <n v="13970"/>
    <d v="2023-01-25T00:00:00"/>
    <x v="50"/>
    <x v="11"/>
    <n v="8.5199999999999998E-3"/>
    <n v="119.0244"/>
    <s v="BR"/>
    <x v="0"/>
    <x v="6"/>
    <s v="Q1"/>
    <n v="154"/>
    <n v="90.714285714285708"/>
    <s v="48oz"/>
    <n v="1"/>
    <n v="13970"/>
    <n v="119.0244"/>
    <n v="90.714285714285708"/>
  </r>
  <r>
    <n v="67908263"/>
    <x v="3"/>
    <n v="3374"/>
    <d v="2023-01-25T00:00:00"/>
    <x v="164"/>
    <x v="24"/>
    <n v="2.8319999999999999E-3"/>
    <n v="9.5551680000000001"/>
    <s v="GH"/>
    <x v="0"/>
    <x v="4"/>
    <s v="Q1"/>
    <n v="225"/>
    <n v="14.995555555555555"/>
    <s v="MBG"/>
    <n v="1"/>
    <n v="3374"/>
    <n v="9.5551680000000001"/>
    <n v="14.995555555555555"/>
  </r>
  <r>
    <n v="68115480"/>
    <x v="6"/>
    <n v="3518"/>
    <d v="2023-01-25T00:00:00"/>
    <x v="170"/>
    <x v="0"/>
    <n v="4.1E-5"/>
    <n v="0.14423800000000001"/>
    <s v="MG"/>
    <x v="0"/>
    <x v="20"/>
    <s v="Q1"/>
    <n v="222"/>
    <n v="15.846846846846846"/>
    <s v="Repack MG Sticks"/>
    <n v="1"/>
    <n v="3518"/>
    <n v="0.14423800000000001"/>
    <n v="15.846846846846846"/>
  </r>
  <r>
    <n v="68188183"/>
    <x v="3"/>
    <n v="0"/>
    <d v="2023-01-25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5460"/>
    <d v="2023-01-25T00:00:00"/>
    <x v="120"/>
    <x v="19"/>
    <n v="8.4960000000000001E-3"/>
    <n v="46.388159999999999"/>
    <s v="KL"/>
    <x v="0"/>
    <x v="8"/>
    <s v="Q1"/>
    <n v="132"/>
    <n v="41.363636363636367"/>
    <s v="EDF"/>
    <n v="1"/>
    <n v="5460"/>
    <n v="46.388159999999999"/>
    <n v="41.363636363636367"/>
  </r>
  <r>
    <n v="68399233"/>
    <x v="2"/>
    <n v="3198"/>
    <d v="2023-01-25T00:00:00"/>
    <x v="153"/>
    <x v="5"/>
    <n v="2.16E-3"/>
    <n v="6.90768"/>
    <s v="MG"/>
    <x v="0"/>
    <x v="5"/>
    <s v="Q1"/>
    <n v="210"/>
    <n v="15.228571428571428"/>
    <s v="MG Sticks"/>
    <n v="1"/>
    <n v="3198"/>
    <n v="6.90768"/>
    <n v="15.228571428571428"/>
  </r>
  <r>
    <n v="68410352"/>
    <x v="2"/>
    <n v="6547"/>
    <d v="2023-01-25T00:00:00"/>
    <x v="14"/>
    <x v="14"/>
    <n v="1.98E-3"/>
    <n v="12.96306"/>
    <s v="MG"/>
    <x v="0"/>
    <x v="5"/>
    <s v="Q1"/>
    <n v="176"/>
    <n v="37.198863636363633"/>
    <s v="MG Sticks"/>
    <n v="1"/>
    <n v="6547"/>
    <n v="12.96306"/>
    <n v="37.198863636363633"/>
  </r>
  <r>
    <n v="68414643"/>
    <x v="6"/>
    <n v="7048"/>
    <d v="2023-01-25T00:00:00"/>
    <x v="41"/>
    <x v="0"/>
    <n v="1.419504E-3"/>
    <n v="10.004664192"/>
    <s v="BJ"/>
    <x v="0"/>
    <x v="17"/>
    <s v="Q1"/>
    <n v="238"/>
    <n v="29.613445378151262"/>
    <s v="B&amp;J Dog Treat - Repack"/>
    <n v="1"/>
    <n v="7048"/>
    <n v="10.004664192"/>
    <n v="29.613445378151262"/>
  </r>
  <r>
    <n v="68689251"/>
    <x v="3"/>
    <n v="3657"/>
    <d v="2023-01-25T00:00:00"/>
    <x v="17"/>
    <x v="20"/>
    <n v="9.5760000000000012E-3"/>
    <n v="35.019432000000002"/>
    <s v="KL"/>
    <x v="0"/>
    <x v="8"/>
    <s v="Q1"/>
    <n v="132"/>
    <n v="27.704545454545453"/>
    <s v="EDF"/>
    <n v="1"/>
    <n v="3657"/>
    <n v="35.019432000000002"/>
    <n v="27.704545454545453"/>
  </r>
  <r>
    <n v="68689253"/>
    <x v="2"/>
    <n v="4762"/>
    <d v="2023-01-25T00:00:00"/>
    <x v="125"/>
    <x v="18"/>
    <n v="6.0035555555555554E-3"/>
    <n v="28.588931555555554"/>
    <s v="KL"/>
    <x v="0"/>
    <x v="9"/>
    <s v="Q1"/>
    <n v="120"/>
    <n v="39.68333333333333"/>
    <s v="ESS"/>
    <n v="1"/>
    <n v="4762"/>
    <n v="28.588931555555554"/>
    <n v="39.68333333333333"/>
  </r>
  <r>
    <n v="68726916"/>
    <x v="2"/>
    <n v="0"/>
    <d v="2023-01-25T00:00:00"/>
    <x v="43"/>
    <x v="21"/>
    <n v="3.7853440000000004E-3"/>
    <n v="0"/>
    <s v="TA"/>
    <x v="0"/>
    <x v="10"/>
    <s v="Q1"/>
    <n v="255"/>
    <n v="0"/>
    <s v="TALENTI"/>
    <n v="1"/>
    <n v="0"/>
    <n v="0"/>
    <n v="0"/>
  </r>
  <r>
    <n v="68729634"/>
    <x v="2"/>
    <n v="5792"/>
    <d v="2023-01-25T00:00:00"/>
    <x v="92"/>
    <x v="22"/>
    <n v="3.7853439999999999E-3"/>
    <n v="21.924712448000001"/>
    <s v="TA"/>
    <x v="0"/>
    <x v="10"/>
    <s v="Q1"/>
    <n v="255"/>
    <n v="22.713725490196079"/>
    <s v="TALENTI"/>
    <n v="1"/>
    <n v="5792"/>
    <n v="21.924712448000001"/>
    <n v="22.713725490196079"/>
  </r>
  <r>
    <n v="68737750"/>
    <x v="3"/>
    <n v="0"/>
    <d v="2023-01-25T00:00:00"/>
    <x v="144"/>
    <x v="23"/>
    <n v="8.5199999999999998E-3"/>
    <n v="0"/>
    <s v="BR"/>
    <x v="0"/>
    <x v="6"/>
    <s v="Q1"/>
    <n v="176"/>
    <n v="0"/>
    <s v="48oz"/>
    <n v="1"/>
    <n v="0"/>
    <n v="0"/>
    <n v="0"/>
  </r>
  <r>
    <n v="68741742"/>
    <x v="3"/>
    <n v="4758"/>
    <d v="2023-01-25T00:00:00"/>
    <x v="25"/>
    <x v="4"/>
    <n v="4.2560000000000002E-3"/>
    <n v="20.250048"/>
    <s v="GH"/>
    <x v="0"/>
    <x v="4"/>
    <s v="Q1"/>
    <n v="154"/>
    <n v="30.896103896103895"/>
    <s v="MBG"/>
    <n v="1"/>
    <n v="4758"/>
    <n v="20.250048"/>
    <n v="30.896103896103895"/>
  </r>
  <r>
    <n v="68741742"/>
    <x v="2"/>
    <n v="5383"/>
    <d v="2023-01-25T00:00:00"/>
    <x v="25"/>
    <x v="25"/>
    <n v="4.2560000000000002E-3"/>
    <n v="22.910048"/>
    <s v="GH"/>
    <x v="0"/>
    <x v="11"/>
    <s v="Q1"/>
    <n v="154"/>
    <n v="34.954545454545453"/>
    <s v="MBG"/>
    <n v="1"/>
    <n v="5383"/>
    <n v="22.910048"/>
    <n v="34.954545454545453"/>
  </r>
  <r>
    <n v="68746232"/>
    <x v="2"/>
    <n v="2577"/>
    <d v="2023-01-25T00:00:00"/>
    <x v="154"/>
    <x v="26"/>
    <n v="9.5879999999999993E-3"/>
    <n v="24.708275999999998"/>
    <s v="KL"/>
    <x v="0"/>
    <x v="12"/>
    <s v="Q1"/>
    <n v="132"/>
    <n v="19.522727272727273"/>
    <s v="EDF"/>
    <n v="1"/>
    <n v="2577"/>
    <n v="24.708275999999998"/>
    <n v="19.522727272727273"/>
  </r>
  <r>
    <n v="68852591"/>
    <x v="3"/>
    <n v="4874"/>
    <d v="2023-01-25T00:00:00"/>
    <x v="26"/>
    <x v="17"/>
    <n v="8.5199999999999998E-3"/>
    <n v="41.526479999999999"/>
    <s v="KL"/>
    <x v="0"/>
    <x v="8"/>
    <s v="Q1"/>
    <n v="132"/>
    <n v="36.924242424242422"/>
    <s v="EDF"/>
    <n v="1"/>
    <n v="4874"/>
    <n v="41.526479999999999"/>
    <n v="36.924242424242422"/>
  </r>
  <r>
    <n v="69548143"/>
    <x v="3"/>
    <n v="0"/>
    <d v="2023-01-25T00:00:00"/>
    <x v="159"/>
    <x v="36"/>
    <n v="3.192E-3"/>
    <n v="0"/>
    <s v="KL"/>
    <x v="0"/>
    <x v="28"/>
    <s v="Q1"/>
    <n v="345"/>
    <n v="0"/>
    <s v="EFW"/>
    <n v="1"/>
    <n v="0"/>
    <n v="0"/>
    <n v="0"/>
  </r>
  <r>
    <n v="68871168"/>
    <x v="1"/>
    <n v="3024"/>
    <d v="2023-01-25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9557443"/>
    <x v="4"/>
    <n v="2398"/>
    <d v="2023-01-25T00:00:00"/>
    <x v="28"/>
    <x v="0"/>
    <n v="5.3220000000000003E-3"/>
    <n v="12.762156000000001"/>
    <s v="KL"/>
    <x v="0"/>
    <x v="13"/>
    <s v="Q1"/>
    <n v="120"/>
    <n v="19.983333333333334"/>
    <s v="KL Mini Cones"/>
    <n v="1"/>
    <n v="2398"/>
    <n v="12.762156000000001"/>
    <n v="19.983333333333334"/>
  </r>
  <r>
    <n v="69557443"/>
    <x v="4"/>
    <n v="2400"/>
    <d v="2023-01-25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5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544"/>
    <x v="2"/>
    <n v="0"/>
    <d v="2023-01-25T00:00:00"/>
    <x v="171"/>
    <x v="14"/>
    <n v="1.9740000000000001E-3"/>
    <n v="0"/>
    <s v="MG"/>
    <x v="0"/>
    <x v="5"/>
    <s v="Q1"/>
    <n v="176"/>
    <n v="0"/>
    <s v="MG Sticks"/>
    <n v="1"/>
    <n v="0"/>
    <n v="0"/>
    <n v="0"/>
  </r>
  <r>
    <n v="69572658"/>
    <x v="2"/>
    <n v="0"/>
    <d v="2023-01-25T00:00:00"/>
    <x v="166"/>
    <x v="5"/>
    <n v="2.1520000000000003E-3"/>
    <n v="0"/>
    <s v="MG"/>
    <x v="0"/>
    <x v="5"/>
    <s v="Q1"/>
    <n v="210"/>
    <n v="0"/>
    <s v="MG Sticks"/>
    <n v="1"/>
    <n v="0"/>
    <n v="0"/>
    <n v="0"/>
  </r>
  <r>
    <n v="69621212"/>
    <x v="2"/>
    <n v="2551"/>
    <d v="2023-01-25T00:00:00"/>
    <x v="29"/>
    <x v="28"/>
    <n v="5.2680000000000001E-3"/>
    <n v="13.438668"/>
    <s v="PG"/>
    <x v="0"/>
    <x v="14"/>
    <s v="Q1"/>
    <n v="130"/>
    <n v="19.623076923076923"/>
    <s v="PG"/>
    <n v="1"/>
    <n v="2551"/>
    <n v="13.438668"/>
    <n v="19.623076923076923"/>
  </r>
  <r>
    <n v="69629470"/>
    <x v="4"/>
    <n v="2400"/>
    <d v="2023-01-25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5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77917"/>
    <x v="3"/>
    <n v="2879"/>
    <d v="2023-01-25T00:00:00"/>
    <x v="30"/>
    <x v="29"/>
    <n v="5.2680000000000001E-3"/>
    <n v="15.166572"/>
    <s v="PS"/>
    <x v="0"/>
    <x v="3"/>
    <s v="Q1"/>
    <n v="108"/>
    <n v="26.657407407407408"/>
    <s v="PG"/>
    <n v="1"/>
    <n v="2879"/>
    <n v="15.166572"/>
    <n v="26.657407407407408"/>
  </r>
  <r>
    <n v="69677917"/>
    <x v="2"/>
    <n v="4758"/>
    <d v="2023-01-25T00:00:00"/>
    <x v="30"/>
    <x v="30"/>
    <n v="5.2680000000000001E-3"/>
    <n v="25.065144"/>
    <s v="PS"/>
    <x v="0"/>
    <x v="14"/>
    <s v="Q1"/>
    <n v="108"/>
    <n v="44.055555555555557"/>
    <s v="PG"/>
    <n v="1"/>
    <n v="4758"/>
    <n v="25.065144"/>
    <n v="44.055555555555557"/>
  </r>
  <r>
    <n v="69684521"/>
    <x v="2"/>
    <n v="3986"/>
    <d v="2023-01-25T00:00:00"/>
    <x v="160"/>
    <x v="31"/>
    <n v="4.2585119798234554E-3"/>
    <n v="16.974428751576294"/>
    <s v="MG "/>
    <x v="0"/>
    <x v="5"/>
    <s v="Q1"/>
    <n v="143"/>
    <n v="27.874125874125873"/>
    <s v="MG Sticks"/>
    <n v="1"/>
    <n v="3986"/>
    <n v="16.974428751576294"/>
    <n v="27.874125874125873"/>
  </r>
  <r>
    <n v="69691840"/>
    <x v="2"/>
    <n v="16863"/>
    <d v="2023-01-25T00:00:00"/>
    <x v="106"/>
    <x v="21"/>
    <n v="3.7839999999999996E-3"/>
    <n v="63.809591999999995"/>
    <s v="TA"/>
    <x v="0"/>
    <x v="10"/>
    <s v="Q1"/>
    <n v="255"/>
    <n v="66.129411764705878"/>
    <s v="TALENTI"/>
    <n v="1"/>
    <n v="16863"/>
    <n v="63.809591999999995"/>
    <n v="66.129411764705878"/>
  </r>
  <r>
    <n v="69691903"/>
    <x v="2"/>
    <n v="0"/>
    <d v="2023-01-25T00:00:00"/>
    <x v="172"/>
    <x v="22"/>
    <n v="3.7839999999999996E-3"/>
    <n v="0"/>
    <s v="TA"/>
    <x v="0"/>
    <x v="10"/>
    <s v="Q1"/>
    <n v="255"/>
    <n v="0"/>
    <s v="TALENTI"/>
    <n v="1"/>
    <n v="0"/>
    <n v="0"/>
    <n v="0"/>
  </r>
  <r>
    <n v="69691903"/>
    <x v="2"/>
    <n v="510"/>
    <d v="2023-01-25T00:00:00"/>
    <x v="172"/>
    <x v="22"/>
    <n v="3.7839999999999996E-3"/>
    <n v="1.9298399999999998"/>
    <s v="TA"/>
    <x v="0"/>
    <x v="10"/>
    <s v="Q1"/>
    <n v="255"/>
    <n v="2"/>
    <s v="TALENTI"/>
    <n v="1"/>
    <n v="510"/>
    <n v="1.9298399999999998"/>
    <n v="2"/>
  </r>
  <r>
    <n v="84135718"/>
    <x v="2"/>
    <n v="0"/>
    <d v="2023-01-25T00:00:00"/>
    <x v="147"/>
    <x v="15"/>
    <n v="3.7853439999999999E-3"/>
    <n v="0"/>
    <s v="BJ"/>
    <x v="0"/>
    <x v="30"/>
    <s v="Q1"/>
    <n v="240"/>
    <n v="0"/>
    <s v="BJ PTS"/>
    <n v="1"/>
    <n v="0"/>
    <n v="0"/>
    <n v="0"/>
  </r>
  <r>
    <n v="84135718"/>
    <x v="2"/>
    <n v="0"/>
    <d v="2023-01-25T00:00:00"/>
    <x v="147"/>
    <x v="15"/>
    <n v="3.7853439999999999E-3"/>
    <n v="0"/>
    <s v="BJ"/>
    <x v="0"/>
    <x v="30"/>
    <s v="Q1"/>
    <n v="240"/>
    <n v="0"/>
    <s v="BJ PTS"/>
    <n v="1"/>
    <n v="0"/>
    <n v="0"/>
    <n v="0"/>
  </r>
  <r>
    <n v="84135758"/>
    <x v="5"/>
    <n v="30464"/>
    <d v="2023-01-25T00:00:00"/>
    <x v="130"/>
    <x v="33"/>
    <n v="1.4399999999999999E-3"/>
    <n v="43.868159999999996"/>
    <s v="BJ"/>
    <x v="0"/>
    <x v="16"/>
    <s v="Q1"/>
    <n v="510"/>
    <n v="59.733333333333334"/>
    <s v="B&amp;J Cups"/>
    <n v="1"/>
    <n v="30464"/>
    <n v="43.868159999999996"/>
    <n v="59.733333333333334"/>
  </r>
  <r>
    <n v="84135758"/>
    <x v="5"/>
    <n v="7222"/>
    <d v="2023-01-25T00:00:00"/>
    <x v="130"/>
    <x v="33"/>
    <n v="1.4399999999999999E-3"/>
    <n v="10.399679999999998"/>
    <s v="BJ"/>
    <x v="0"/>
    <x v="16"/>
    <s v="Q1"/>
    <n v="510"/>
    <n v="14.16078431372549"/>
    <s v="B&amp;J Cups"/>
    <n v="1"/>
    <n v="7222"/>
    <n v="10.399679999999998"/>
    <n v="14.16078431372549"/>
  </r>
  <r>
    <n v="84164936"/>
    <x v="2"/>
    <n v="0"/>
    <d v="2023-01-25T00:00:00"/>
    <x v="162"/>
    <x v="15"/>
    <n v="3.7853439999999999E-3"/>
    <n v="0"/>
    <s v="BJ"/>
    <x v="0"/>
    <x v="30"/>
    <s v="Q1"/>
    <n v="240"/>
    <n v="0"/>
    <s v="BJ PTS"/>
    <n v="1"/>
    <n v="0"/>
    <n v="0"/>
    <n v="0"/>
  </r>
  <r>
    <n v="84164936"/>
    <x v="2"/>
    <n v="16861"/>
    <d v="2023-01-25T00:00:00"/>
    <x v="162"/>
    <x v="15"/>
    <n v="3.7853439999999999E-3"/>
    <n v="63.824685183999996"/>
    <s v="BJ"/>
    <x v="0"/>
    <x v="30"/>
    <s v="Q1"/>
    <n v="240"/>
    <n v="70.254166666666663"/>
    <s v="BJ PTS"/>
    <n v="1"/>
    <n v="16861"/>
    <n v="63.824685183999996"/>
    <n v="70.254166666666663"/>
  </r>
  <r>
    <n v="67309843"/>
    <x v="3"/>
    <n v="11021"/>
    <d v="2023-01-26T00:00:00"/>
    <x v="88"/>
    <x v="12"/>
    <n v="8.5199999999999998E-3"/>
    <n v="93.898920000000004"/>
    <s v="BR"/>
    <x v="0"/>
    <x v="6"/>
    <s v="Q1"/>
    <n v="154"/>
    <n v="71.564935064935071"/>
    <s v="48oz"/>
    <n v="1"/>
    <n v="11021"/>
    <n v="93.898920000000004"/>
    <n v="71.564935064935071"/>
  </r>
  <r>
    <n v="67465063"/>
    <x v="3"/>
    <n v="559"/>
    <d v="2023-01-26T00:00:00"/>
    <x v="3"/>
    <x v="6"/>
    <n v="5.2680000000000001E-3"/>
    <n v="2.9448120000000002"/>
    <s v="PS"/>
    <x v="0"/>
    <x v="3"/>
    <s v="Q1"/>
    <n v="130"/>
    <n v="4.3"/>
    <s v="PG"/>
    <n v="1"/>
    <n v="559"/>
    <n v="2.9448120000000002"/>
    <n v="4.3"/>
  </r>
  <r>
    <n v="67465063"/>
    <x v="3"/>
    <n v="0"/>
    <d v="2023-01-26T00:00:00"/>
    <x v="3"/>
    <x v="6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1256"/>
    <d v="2023-01-26T00:00:00"/>
    <x v="7"/>
    <x v="3"/>
    <n v="1.596E-3"/>
    <n v="2.0045760000000001"/>
    <s v="PS"/>
    <x v="0"/>
    <x v="3"/>
    <s v="Q1"/>
    <n v="130"/>
    <n v="9.661538461538461"/>
    <s v="PG"/>
    <n v="1"/>
    <n v="1256"/>
    <n v="2.0045760000000001"/>
    <n v="9.661538461538461"/>
  </r>
  <r>
    <n v="67466492"/>
    <x v="3"/>
    <n v="3217"/>
    <d v="2023-01-26T00:00:00"/>
    <x v="8"/>
    <x v="7"/>
    <n v="5.2680000000000001E-3"/>
    <n v="16.947156"/>
    <s v="PS"/>
    <x v="0"/>
    <x v="3"/>
    <s v="Q1"/>
    <n v="130"/>
    <n v="24.746153846153845"/>
    <s v="PG"/>
    <n v="1"/>
    <n v="3217"/>
    <n v="16.947156"/>
    <n v="24.746153846153845"/>
  </r>
  <r>
    <n v="67466492"/>
    <x v="3"/>
    <n v="3640"/>
    <d v="2023-01-26T00:00:00"/>
    <x v="8"/>
    <x v="8"/>
    <n v="5.2680000000000001E-3"/>
    <n v="19.175519999999999"/>
    <s v="PS"/>
    <x v="0"/>
    <x v="3"/>
    <s v="Q1"/>
    <n v="130"/>
    <n v="28"/>
    <s v="PG"/>
    <n v="1"/>
    <n v="3640"/>
    <n v="19.175519999999999"/>
    <n v="28"/>
  </r>
  <r>
    <n v="67466492"/>
    <x v="3"/>
    <n v="0"/>
    <d v="2023-01-26T00:00:00"/>
    <x v="8"/>
    <x v="8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0"/>
    <d v="2023-01-26T00:00:00"/>
    <x v="8"/>
    <x v="9"/>
    <n v="5.2680000000000001E-3"/>
    <n v="0"/>
    <s v="PS"/>
    <x v="0"/>
    <x v="3"/>
    <s v="Q1"/>
    <n v="130"/>
    <n v="0"/>
    <s v="PG"/>
    <n v="1"/>
    <n v="0"/>
    <n v="0"/>
    <n v="0"/>
  </r>
  <r>
    <n v="67476456"/>
    <x v="3"/>
    <n v="7200"/>
    <d v="2023-01-26T00:00:00"/>
    <x v="9"/>
    <x v="9"/>
    <n v="1.536E-3"/>
    <n v="11.059200000000001"/>
    <s v="PS"/>
    <x v="0"/>
    <x v="3"/>
    <s v="Q1"/>
    <n v="400"/>
    <n v="18"/>
    <s v="PG"/>
    <n v="1"/>
    <n v="7200"/>
    <n v="11.059200000000001"/>
    <n v="18"/>
  </r>
  <r>
    <n v="67476560"/>
    <x v="3"/>
    <n v="1300"/>
    <d v="2023-01-26T00:00:00"/>
    <x v="10"/>
    <x v="10"/>
    <n v="5.1060000000000003E-3"/>
    <n v="6.6378000000000004"/>
    <s v="PS"/>
    <x v="0"/>
    <x v="3"/>
    <s v="Q1"/>
    <n v="130"/>
    <n v="10"/>
    <s v="PG"/>
    <n v="1"/>
    <n v="1300"/>
    <n v="6.6378000000000004"/>
    <n v="10"/>
  </r>
  <r>
    <n v="67723726"/>
    <x v="3"/>
    <n v="11357"/>
    <d v="2023-01-26T00:00:00"/>
    <x v="109"/>
    <x v="23"/>
    <n v="8.5199999999999998E-3"/>
    <n v="96.76164"/>
    <s v="BR"/>
    <x v="0"/>
    <x v="6"/>
    <s v="Q1"/>
    <n v="154"/>
    <n v="73.746753246753244"/>
    <s v="48oz"/>
    <n v="1"/>
    <n v="11357"/>
    <n v="96.76164"/>
    <n v="73.746753246753244"/>
  </r>
  <r>
    <n v="67885718"/>
    <x v="3"/>
    <n v="10284"/>
    <d v="2023-01-26T00:00:00"/>
    <x v="48"/>
    <x v="16"/>
    <n v="8.5199999999999998E-3"/>
    <n v="87.619680000000002"/>
    <s v="BR"/>
    <x v="0"/>
    <x v="6"/>
    <s v="Q1"/>
    <n v="154"/>
    <n v="66.779220779220779"/>
    <s v="48oz"/>
    <n v="1"/>
    <n v="10284"/>
    <n v="87.619680000000002"/>
    <n v="66.779220779220779"/>
  </r>
  <r>
    <n v="67885719"/>
    <x v="2"/>
    <n v="16156"/>
    <d v="2023-01-26T00:00:00"/>
    <x v="11"/>
    <x v="32"/>
    <n v="8.5199999999999998E-3"/>
    <n v="137.64912000000001"/>
    <s v="BR"/>
    <x v="0"/>
    <x v="2"/>
    <s v="Q1"/>
    <n v="154"/>
    <n v="104.90909090909091"/>
    <s v="48oz"/>
    <n v="1"/>
    <n v="16156"/>
    <n v="137.64912000000001"/>
    <n v="104.90909090909091"/>
  </r>
  <r>
    <n v="67885722"/>
    <x v="2"/>
    <n v="1893"/>
    <d v="2023-01-26T00:00:00"/>
    <x v="163"/>
    <x v="32"/>
    <n v="8.5199999999999998E-3"/>
    <n v="16.128360000000001"/>
    <s v="BR"/>
    <x v="0"/>
    <x v="2"/>
    <s v="Q1"/>
    <n v="154"/>
    <n v="12.292207792207792"/>
    <s v="48oz"/>
    <n v="1"/>
    <n v="1893"/>
    <n v="16.128360000000001"/>
    <n v="12.292207792207792"/>
  </r>
  <r>
    <n v="67893539"/>
    <x v="2"/>
    <n v="11220"/>
    <d v="2023-01-26T00:00:00"/>
    <x v="12"/>
    <x v="2"/>
    <n v="8.5199999999999998E-3"/>
    <n v="95.594399999999993"/>
    <s v="BR"/>
    <x v="0"/>
    <x v="2"/>
    <s v="Q1"/>
    <n v="154"/>
    <n v="72.857142857142861"/>
    <s v="48oz"/>
    <n v="1"/>
    <n v="11220"/>
    <n v="95.594399999999993"/>
    <n v="72.857142857142861"/>
  </r>
  <r>
    <n v="67893540"/>
    <x v="2"/>
    <n v="13037"/>
    <d v="2023-01-26T00:00:00"/>
    <x v="66"/>
    <x v="13"/>
    <n v="8.5199999999999998E-3"/>
    <n v="111.07523999999999"/>
    <s v="BR"/>
    <x v="0"/>
    <x v="2"/>
    <s v="Q1"/>
    <n v="154"/>
    <n v="84.65584415584415"/>
    <s v="48oz"/>
    <n v="1"/>
    <n v="13037"/>
    <n v="111.07523999999999"/>
    <n v="84.65584415584415"/>
  </r>
  <r>
    <n v="67901583"/>
    <x v="3"/>
    <n v="3737"/>
    <d v="2023-01-26T00:00:00"/>
    <x v="50"/>
    <x v="11"/>
    <n v="8.5199999999999998E-3"/>
    <n v="31.83924"/>
    <s v="BR"/>
    <x v="0"/>
    <x v="6"/>
    <s v="Q1"/>
    <n v="154"/>
    <n v="24.266233766233768"/>
    <s v="48oz"/>
    <n v="1"/>
    <n v="3737"/>
    <n v="31.83924"/>
    <n v="24.266233766233768"/>
  </r>
  <r>
    <n v="67908263"/>
    <x v="3"/>
    <n v="5175"/>
    <d v="2023-01-26T00:00:00"/>
    <x v="164"/>
    <x v="24"/>
    <n v="2.8319999999999999E-3"/>
    <n v="14.6556"/>
    <s v="GH"/>
    <x v="0"/>
    <x v="4"/>
    <s v="Q1"/>
    <n v="225"/>
    <n v="23"/>
    <s v="MBG"/>
    <n v="1"/>
    <n v="5175"/>
    <n v="14.6556"/>
    <n v="23"/>
  </r>
  <r>
    <n v="68188183"/>
    <x v="3"/>
    <n v="0"/>
    <d v="2023-01-26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863"/>
    <d v="2023-01-26T00:00:00"/>
    <x v="120"/>
    <x v="19"/>
    <n v="8.4960000000000001E-3"/>
    <n v="7.3320480000000003"/>
    <s v="KL"/>
    <x v="0"/>
    <x v="8"/>
    <s v="Q1"/>
    <n v="132"/>
    <n v="6.5378787878787881"/>
    <s v="EDF"/>
    <n v="1"/>
    <n v="863"/>
    <n v="7.3320480000000003"/>
    <n v="6.5378787878787881"/>
  </r>
  <r>
    <n v="68354588"/>
    <x v="2"/>
    <n v="0"/>
    <d v="2023-01-26T00:00:00"/>
    <x v="173"/>
    <x v="15"/>
    <n v="3.5999999999999999E-3"/>
    <n v="0"/>
    <s v="BJ"/>
    <x v="0"/>
    <x v="19"/>
    <s v="Q1"/>
    <n v="240"/>
    <n v="0"/>
    <s v="TOPPED"/>
    <n v="1"/>
    <n v="0"/>
    <n v="0"/>
    <n v="0"/>
  </r>
  <r>
    <n v="68399233"/>
    <x v="2"/>
    <n v="2886"/>
    <d v="2023-01-26T00:00:00"/>
    <x v="153"/>
    <x v="5"/>
    <n v="2.16E-3"/>
    <n v="6.2337600000000002"/>
    <s v="MG"/>
    <x v="0"/>
    <x v="5"/>
    <s v="Q1"/>
    <n v="210"/>
    <n v="13.742857142857142"/>
    <s v="MG Sticks"/>
    <n v="1"/>
    <n v="2886"/>
    <n v="6.2337600000000002"/>
    <n v="13.742857142857142"/>
  </r>
  <r>
    <n v="68410352"/>
    <x v="2"/>
    <n v="9841"/>
    <d v="2023-01-26T00:00:00"/>
    <x v="14"/>
    <x v="14"/>
    <n v="1.98E-3"/>
    <n v="19.48518"/>
    <s v="MG"/>
    <x v="0"/>
    <x v="5"/>
    <s v="Q1"/>
    <n v="176"/>
    <n v="55.914772727272727"/>
    <s v="MG Sticks"/>
    <n v="1"/>
    <n v="9841"/>
    <n v="19.48518"/>
    <n v="55.914772727272727"/>
  </r>
  <r>
    <n v="68599804"/>
    <x v="0"/>
    <n v="8726"/>
    <d v="2023-01-26T00:00:00"/>
    <x v="114"/>
    <x v="1"/>
    <n v="8.5170239596469108E-3"/>
    <n v="74.319551071878948"/>
    <s v="BR"/>
    <x v="0"/>
    <x v="32"/>
    <s v="Q1"/>
    <n v="156"/>
    <n v="55.935897435897438"/>
    <s v="48oz"/>
    <n v="1"/>
    <n v="8726"/>
    <n v="74.319551071878948"/>
    <n v="55.935897435897438"/>
  </r>
  <r>
    <n v="68654238"/>
    <x v="5"/>
    <n v="20363"/>
    <d v="2023-01-26T00:00:00"/>
    <x v="54"/>
    <x v="38"/>
    <n v="3.7839999999999996E-3"/>
    <n v="77.053591999999995"/>
    <s v="BJ"/>
    <x v="0"/>
    <x v="15"/>
    <s v="Q1"/>
    <n v="240"/>
    <n v="84.845833333333331"/>
    <s v="BJ PTS"/>
    <n v="1"/>
    <n v="20363"/>
    <n v="77.053591999999995"/>
    <n v="84.845833333333331"/>
  </r>
  <r>
    <n v="68689251"/>
    <x v="3"/>
    <n v="831"/>
    <d v="2023-01-26T00:00:00"/>
    <x v="17"/>
    <x v="20"/>
    <n v="9.5760000000000012E-3"/>
    <n v="7.957656000000001"/>
    <s v="KL"/>
    <x v="0"/>
    <x v="8"/>
    <s v="Q1"/>
    <n v="132"/>
    <n v="6.2954545454545459"/>
    <s v="EDF"/>
    <n v="1"/>
    <n v="831"/>
    <n v="7.957656000000001"/>
    <n v="6.2954545454545459"/>
  </r>
  <r>
    <n v="68689253"/>
    <x v="2"/>
    <n v="8106"/>
    <d v="2023-01-26T00:00:00"/>
    <x v="125"/>
    <x v="18"/>
    <n v="6.0035555555555554E-3"/>
    <n v="48.664821333333329"/>
    <s v="KL"/>
    <x v="0"/>
    <x v="9"/>
    <s v="Q1"/>
    <n v="120"/>
    <n v="67.55"/>
    <s v="ESS"/>
    <n v="1"/>
    <n v="8106"/>
    <n v="48.664821333333329"/>
    <n v="67.55"/>
  </r>
  <r>
    <n v="68741742"/>
    <x v="3"/>
    <n v="4352"/>
    <d v="2023-01-26T00:00:00"/>
    <x v="25"/>
    <x v="4"/>
    <n v="4.2560000000000002E-3"/>
    <n v="18.522112"/>
    <s v="GH"/>
    <x v="0"/>
    <x v="4"/>
    <s v="Q1"/>
    <n v="154"/>
    <n v="28.259740259740258"/>
    <s v="MBG"/>
    <n v="1"/>
    <n v="4352"/>
    <n v="18.522112"/>
    <n v="28.259740259740258"/>
  </r>
  <r>
    <n v="68741742"/>
    <x v="2"/>
    <n v="3941"/>
    <d v="2023-01-26T00:00:00"/>
    <x v="25"/>
    <x v="25"/>
    <n v="4.2560000000000002E-3"/>
    <n v="16.772895999999999"/>
    <s v="GH"/>
    <x v="0"/>
    <x v="11"/>
    <s v="Q1"/>
    <n v="154"/>
    <n v="25.59090909090909"/>
    <s v="MBG"/>
    <n v="1"/>
    <n v="3941"/>
    <n v="16.772895999999999"/>
    <n v="25.59090909090909"/>
  </r>
  <r>
    <n v="68746232"/>
    <x v="2"/>
    <n v="1873"/>
    <d v="2023-01-26T00:00:00"/>
    <x v="154"/>
    <x v="26"/>
    <n v="9.5879999999999993E-3"/>
    <n v="17.958323999999998"/>
    <s v="KL"/>
    <x v="0"/>
    <x v="12"/>
    <s v="Q1"/>
    <n v="132"/>
    <n v="14.189393939393939"/>
    <s v="EDF"/>
    <n v="1"/>
    <n v="1873"/>
    <n v="17.958323999999998"/>
    <n v="14.189393939393939"/>
  </r>
  <r>
    <n v="68755566"/>
    <x v="5"/>
    <n v="5297"/>
    <d v="2023-01-26T00:00:00"/>
    <x v="174"/>
    <x v="35"/>
    <n v="1.1356032009663293E-2"/>
    <n v="60.15290155518646"/>
    <s v="BR"/>
    <x v="0"/>
    <x v="41"/>
    <s v="Q1"/>
    <n v="120"/>
    <n v="44.141666666666666"/>
    <s v="3 Gal"/>
    <n v="1"/>
    <n v="5297"/>
    <n v="60.15290155518646"/>
    <n v="44.141666666666666"/>
  </r>
  <r>
    <n v="68821729"/>
    <x v="2"/>
    <n v="0"/>
    <d v="2023-01-26T00:00:00"/>
    <x v="142"/>
    <x v="13"/>
    <n v="8.5199999999999998E-3"/>
    <n v="0"/>
    <s v="BR"/>
    <x v="0"/>
    <x v="2"/>
    <s v="Q1"/>
    <n v="176"/>
    <n v="0"/>
    <s v="48oz"/>
    <n v="1"/>
    <n v="0"/>
    <n v="0"/>
    <n v="0"/>
  </r>
  <r>
    <n v="68852591"/>
    <x v="3"/>
    <n v="6761"/>
    <d v="2023-01-26T00:00:00"/>
    <x v="26"/>
    <x v="17"/>
    <n v="8.5199999999999998E-3"/>
    <n v="57.603719999999996"/>
    <s v="KL"/>
    <x v="0"/>
    <x v="8"/>
    <s v="Q1"/>
    <n v="132"/>
    <n v="51.219696969696969"/>
    <s v="EDF"/>
    <n v="1"/>
    <n v="6761"/>
    <n v="57.603719999999996"/>
    <n v="51.219696969696969"/>
  </r>
  <r>
    <n v="68860008"/>
    <x v="7"/>
    <n v="19200"/>
    <d v="2023-01-26T00:00:00"/>
    <x v="45"/>
    <x v="0"/>
    <n v="3.7853439999999999E-3"/>
    <n v="72.678604800000002"/>
    <s v="BJ"/>
    <x v="0"/>
    <x v="18"/>
    <s v="Q1"/>
    <n v="240"/>
    <n v="80"/>
    <s v="BJ PTS"/>
    <n v="1"/>
    <n v="19200"/>
    <n v="72.678604800000002"/>
    <n v="80"/>
  </r>
  <r>
    <n v="69548143"/>
    <x v="3"/>
    <n v="0"/>
    <d v="2023-01-26T00:00:00"/>
    <x v="159"/>
    <x v="36"/>
    <n v="3.192E-3"/>
    <n v="0"/>
    <s v="KL"/>
    <x v="0"/>
    <x v="28"/>
    <s v="Q1"/>
    <n v="345"/>
    <n v="0"/>
    <s v="EFW"/>
    <n v="1"/>
    <n v="0"/>
    <n v="0"/>
    <n v="0"/>
  </r>
  <r>
    <n v="69557443"/>
    <x v="4"/>
    <n v="2400"/>
    <d v="2023-01-26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395"/>
    <d v="2023-01-26T00:00:00"/>
    <x v="28"/>
    <x v="0"/>
    <n v="5.3220000000000003E-3"/>
    <n v="12.74619"/>
    <s v="KL"/>
    <x v="0"/>
    <x v="13"/>
    <s v="Q1"/>
    <n v="120"/>
    <n v="19.958333333333332"/>
    <s v="KL Mini Cones"/>
    <n v="1"/>
    <n v="2395"/>
    <n v="12.74619"/>
    <n v="19.958333333333332"/>
  </r>
  <r>
    <n v="69557443"/>
    <x v="4"/>
    <n v="2400"/>
    <d v="2023-01-26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6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6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6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398"/>
    <d v="2023-01-26T00:00:00"/>
    <x v="28"/>
    <x v="0"/>
    <n v="5.3220000000000003E-3"/>
    <n v="12.762156000000001"/>
    <s v="KL"/>
    <x v="0"/>
    <x v="13"/>
    <s v="Q1"/>
    <n v="120"/>
    <n v="19.983333333333334"/>
    <s v="KL Mini Cones"/>
    <n v="1"/>
    <n v="2398"/>
    <n v="12.762156000000001"/>
    <n v="19.983333333333334"/>
  </r>
  <r>
    <n v="69557443"/>
    <x v="4"/>
    <n v="2400"/>
    <d v="2023-01-26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6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544"/>
    <x v="2"/>
    <n v="0"/>
    <d v="2023-01-26T00:00:00"/>
    <x v="171"/>
    <x v="14"/>
    <n v="1.9740000000000001E-3"/>
    <n v="0"/>
    <s v="MG"/>
    <x v="0"/>
    <x v="5"/>
    <s v="Q1"/>
    <n v="176"/>
    <n v="0"/>
    <s v="MG Sticks"/>
    <n v="1"/>
    <n v="0"/>
    <n v="0"/>
    <n v="0"/>
  </r>
  <r>
    <n v="69572658"/>
    <x v="2"/>
    <n v="5893"/>
    <d v="2023-01-26T00:00:00"/>
    <x v="166"/>
    <x v="5"/>
    <n v="2.1520000000000003E-3"/>
    <n v="12.681736000000001"/>
    <s v="MG"/>
    <x v="0"/>
    <x v="5"/>
    <s v="Q1"/>
    <n v="210"/>
    <n v="28.061904761904763"/>
    <s v="MG Sticks"/>
    <n v="1"/>
    <n v="5893"/>
    <n v="12.681736000000001"/>
    <n v="28.061904761904763"/>
  </r>
  <r>
    <n v="69621212"/>
    <x v="2"/>
    <n v="4638"/>
    <d v="2023-01-26T00:00:00"/>
    <x v="29"/>
    <x v="28"/>
    <n v="5.2680000000000001E-3"/>
    <n v="24.432984000000001"/>
    <s v="PG"/>
    <x v="0"/>
    <x v="14"/>
    <s v="Q1"/>
    <n v="130"/>
    <n v="35.676923076923075"/>
    <s v="PG"/>
    <n v="1"/>
    <n v="4638"/>
    <n v="24.432984000000001"/>
    <n v="35.676923076923075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26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77917"/>
    <x v="3"/>
    <n v="4548"/>
    <d v="2023-01-26T00:00:00"/>
    <x v="30"/>
    <x v="29"/>
    <n v="5.2680000000000001E-3"/>
    <n v="23.958864000000002"/>
    <s v="PS"/>
    <x v="0"/>
    <x v="3"/>
    <s v="Q1"/>
    <n v="108"/>
    <n v="42.111111111111114"/>
    <s v="PG"/>
    <n v="1"/>
    <n v="4548"/>
    <n v="23.958864000000002"/>
    <n v="42.111111111111114"/>
  </r>
  <r>
    <n v="69677917"/>
    <x v="2"/>
    <n v="5217"/>
    <d v="2023-01-26T00:00:00"/>
    <x v="30"/>
    <x v="30"/>
    <n v="5.2680000000000001E-3"/>
    <n v="27.483156000000001"/>
    <s v="PS"/>
    <x v="0"/>
    <x v="14"/>
    <s v="Q1"/>
    <n v="108"/>
    <n v="48.305555555555557"/>
    <s v="PG"/>
    <n v="1"/>
    <n v="5217"/>
    <n v="27.483156000000001"/>
    <n v="48.305555555555557"/>
  </r>
  <r>
    <n v="69684521"/>
    <x v="2"/>
    <n v="4634"/>
    <d v="2023-01-26T00:00:00"/>
    <x v="160"/>
    <x v="31"/>
    <n v="4.2585119798234554E-3"/>
    <n v="19.733944514501893"/>
    <s v="MG "/>
    <x v="0"/>
    <x v="5"/>
    <s v="Q1"/>
    <n v="143"/>
    <n v="32.405594405594407"/>
    <s v="MG Sticks"/>
    <n v="1"/>
    <n v="4634"/>
    <n v="19.733944514501893"/>
    <n v="32.405594405594407"/>
  </r>
  <r>
    <n v="69691840"/>
    <x v="2"/>
    <n v="0"/>
    <d v="2023-01-26T00:00:00"/>
    <x v="106"/>
    <x v="21"/>
    <n v="3.7839999999999996E-3"/>
    <n v="0"/>
    <s v="TA"/>
    <x v="0"/>
    <x v="10"/>
    <s v="Q1"/>
    <n v="255"/>
    <n v="0"/>
    <s v="TALENTI"/>
    <n v="1"/>
    <n v="0"/>
    <n v="0"/>
    <n v="0"/>
  </r>
  <r>
    <n v="69691840"/>
    <x v="2"/>
    <n v="913"/>
    <d v="2023-01-26T00:00:00"/>
    <x v="106"/>
    <x v="21"/>
    <n v="3.7839999999999996E-3"/>
    <n v="3.4547919999999994"/>
    <s v="TA"/>
    <x v="0"/>
    <x v="10"/>
    <s v="Q1"/>
    <n v="255"/>
    <n v="3.5803921568627453"/>
    <s v="TALENTI"/>
    <n v="1"/>
    <n v="913"/>
    <n v="3.4547919999999994"/>
    <n v="3.5803921568627453"/>
  </r>
  <r>
    <n v="69691903"/>
    <x v="2"/>
    <n v="11619"/>
    <d v="2023-01-26T00:00:00"/>
    <x v="172"/>
    <x v="21"/>
    <n v="3.7839999999999996E-3"/>
    <n v="43.966295999999993"/>
    <s v="TA"/>
    <x v="0"/>
    <x v="10"/>
    <s v="Q1"/>
    <n v="255"/>
    <n v="45.564705882352939"/>
    <s v="TALENTI"/>
    <n v="1"/>
    <n v="11619"/>
    <n v="43.966295999999993"/>
    <n v="45.564705882352939"/>
  </r>
  <r>
    <n v="69691903"/>
    <x v="2"/>
    <n v="0"/>
    <d v="2023-01-26T00:00:00"/>
    <x v="172"/>
    <x v="22"/>
    <n v="3.7839999999999996E-3"/>
    <n v="0"/>
    <s v="TA"/>
    <x v="0"/>
    <x v="10"/>
    <s v="Q1"/>
    <n v="255"/>
    <n v="0"/>
    <s v="TALENTI"/>
    <n v="1"/>
    <n v="0"/>
    <n v="0"/>
    <n v="0"/>
  </r>
  <r>
    <n v="84135718"/>
    <x v="2"/>
    <n v="0"/>
    <d v="2023-01-26T00:00:00"/>
    <x v="147"/>
    <x v="15"/>
    <n v="3.7853439999999999E-3"/>
    <n v="0"/>
    <s v="BJ"/>
    <x v="0"/>
    <x v="30"/>
    <s v="Q1"/>
    <n v="240"/>
    <n v="0"/>
    <s v="BJ PTS"/>
    <n v="1"/>
    <n v="0"/>
    <n v="0"/>
    <n v="0"/>
  </r>
  <r>
    <n v="84141036"/>
    <x v="5"/>
    <n v="6028"/>
    <d v="2023-01-26T00:00:00"/>
    <x v="175"/>
    <x v="35"/>
    <n v="9.0848256361922702E-3"/>
    <n v="54.763328934967006"/>
    <s v="BJ"/>
    <x v="0"/>
    <x v="39"/>
    <s v="Q1"/>
    <n v="125"/>
    <n v="48.223999999999997"/>
    <s v="2.4 Gal"/>
    <n v="1"/>
    <n v="6028"/>
    <n v="54.763328934967006"/>
    <n v="48.223999999999997"/>
  </r>
  <r>
    <n v="84161610"/>
    <x v="5"/>
    <n v="35553"/>
    <d v="2023-01-26T00:00:00"/>
    <x v="99"/>
    <x v="38"/>
    <n v="3.7853439999999999E-3"/>
    <n v="134.58033523200001"/>
    <s v="BJ"/>
    <x v="0"/>
    <x v="15"/>
    <s v="Q1"/>
    <n v="240"/>
    <n v="148.13749999999999"/>
    <s v="BJ PTS"/>
    <n v="1"/>
    <n v="35553"/>
    <n v="134.58033523200001"/>
    <n v="148.13749999999999"/>
  </r>
  <r>
    <n v="84164936"/>
    <x v="2"/>
    <n v="11721"/>
    <d v="2023-01-26T00:00:00"/>
    <x v="162"/>
    <x v="15"/>
    <n v="3.7853439999999999E-3"/>
    <n v="44.368017023999997"/>
    <s v="BJ"/>
    <x v="0"/>
    <x v="30"/>
    <s v="Q1"/>
    <n v="240"/>
    <n v="48.837499999999999"/>
    <s v="BJ PTS"/>
    <n v="1"/>
    <n v="11721"/>
    <n v="44.368017023999997"/>
    <n v="48.837499999999999"/>
  </r>
  <r>
    <n v="67465063"/>
    <x v="3"/>
    <n v="1891"/>
    <d v="2023-01-27T00:00:00"/>
    <x v="3"/>
    <x v="6"/>
    <n v="5.2680000000000001E-3"/>
    <n v="9.9617880000000003"/>
    <s v="PS"/>
    <x v="0"/>
    <x v="3"/>
    <s v="Q1"/>
    <n v="130"/>
    <n v="14.546153846153846"/>
    <s v="PG"/>
    <n v="1"/>
    <n v="1891"/>
    <n v="9.9617880000000003"/>
    <n v="14.546153846153846"/>
  </r>
  <r>
    <n v="67465064"/>
    <x v="3"/>
    <n v="1259"/>
    <d v="2023-01-27T00:00:00"/>
    <x v="7"/>
    <x v="3"/>
    <n v="1.596E-3"/>
    <n v="2.0093640000000001"/>
    <s v="PS"/>
    <x v="0"/>
    <x v="3"/>
    <s v="Q1"/>
    <n v="130"/>
    <n v="9.684615384615384"/>
    <s v="PG"/>
    <n v="1"/>
    <n v="1259"/>
    <n v="2.0093640000000001"/>
    <n v="9.684615384615384"/>
  </r>
  <r>
    <n v="67466492"/>
    <x v="3"/>
    <n v="2519"/>
    <d v="2023-01-27T00:00:00"/>
    <x v="8"/>
    <x v="7"/>
    <n v="5.2680000000000001E-3"/>
    <n v="13.270092"/>
    <s v="PS"/>
    <x v="0"/>
    <x v="3"/>
    <s v="Q1"/>
    <n v="130"/>
    <n v="19.376923076923077"/>
    <s v="PG"/>
    <n v="1"/>
    <n v="2519"/>
    <n v="13.270092"/>
    <n v="19.376923076923077"/>
  </r>
  <r>
    <n v="67466492"/>
    <x v="3"/>
    <n v="3815"/>
    <d v="2023-01-27T00:00:00"/>
    <x v="8"/>
    <x v="8"/>
    <n v="5.2680000000000001E-3"/>
    <n v="20.09742"/>
    <s v="PS"/>
    <x v="0"/>
    <x v="3"/>
    <s v="Q1"/>
    <n v="130"/>
    <n v="29.346153846153847"/>
    <s v="PG"/>
    <n v="1"/>
    <n v="3815"/>
    <n v="20.09742"/>
    <n v="29.346153846153847"/>
  </r>
  <r>
    <n v="67466492"/>
    <x v="3"/>
    <n v="0"/>
    <d v="2023-01-27T00:00:00"/>
    <x v="8"/>
    <x v="9"/>
    <n v="5.2680000000000001E-3"/>
    <n v="0"/>
    <s v="PS"/>
    <x v="0"/>
    <x v="3"/>
    <s v="Q1"/>
    <n v="130"/>
    <n v="0"/>
    <s v="PG"/>
    <n v="1"/>
    <n v="0"/>
    <n v="0"/>
    <n v="0"/>
  </r>
  <r>
    <n v="67476456"/>
    <x v="3"/>
    <n v="6599"/>
    <d v="2023-01-27T00:00:00"/>
    <x v="9"/>
    <x v="9"/>
    <n v="1.536E-3"/>
    <n v="10.136064000000001"/>
    <s v="PS"/>
    <x v="0"/>
    <x v="3"/>
    <s v="Q1"/>
    <n v="400"/>
    <n v="16.497499999999999"/>
    <s v="PG"/>
    <n v="1"/>
    <n v="6599"/>
    <n v="10.136064000000001"/>
    <n v="16.497499999999999"/>
  </r>
  <r>
    <n v="67476560"/>
    <x v="3"/>
    <n v="1706"/>
    <d v="2023-01-27T00:00:00"/>
    <x v="10"/>
    <x v="10"/>
    <n v="5.1060000000000003E-3"/>
    <n v="8.7108360000000005"/>
    <s v="PS"/>
    <x v="0"/>
    <x v="3"/>
    <s v="Q1"/>
    <n v="130"/>
    <n v="13.123076923076923"/>
    <s v="PG"/>
    <n v="1"/>
    <n v="1706"/>
    <n v="8.7108360000000005"/>
    <n v="13.123076923076923"/>
  </r>
  <r>
    <n v="67723726"/>
    <x v="3"/>
    <n v="5046"/>
    <d v="2023-01-27T00:00:00"/>
    <x v="109"/>
    <x v="23"/>
    <n v="8.5199999999999998E-3"/>
    <n v="42.99192"/>
    <s v="BR"/>
    <x v="0"/>
    <x v="6"/>
    <s v="Q1"/>
    <n v="154"/>
    <n v="32.766233766233768"/>
    <s v="48oz"/>
    <n v="1"/>
    <n v="5046"/>
    <n v="42.99192"/>
    <n v="32.766233766233768"/>
  </r>
  <r>
    <n v="67794167"/>
    <x v="13"/>
    <n v="39120"/>
    <d v="2023-01-27T00:00:00"/>
    <x v="176"/>
    <x v="35"/>
    <n v="3.7853439999999999E-3"/>
    <n v="148.08265728000001"/>
    <s v="BJ"/>
    <x v="0"/>
    <x v="36"/>
    <s v="Q1"/>
    <n v="240"/>
    <n v="163"/>
    <s v="BJ PTS"/>
    <n v="1"/>
    <n v="39120"/>
    <n v="148.08265728000001"/>
    <n v="163"/>
  </r>
  <r>
    <n v="67794167"/>
    <x v="13"/>
    <n v="55529"/>
    <d v="2023-01-27T00:00:00"/>
    <x v="176"/>
    <x v="35"/>
    <n v="3.7853439999999999E-3"/>
    <n v="210.19636697600001"/>
    <s v="BJ"/>
    <x v="0"/>
    <x v="36"/>
    <s v="Q1"/>
    <n v="240"/>
    <n v="231.37083333333334"/>
    <s v="BJ PTS"/>
    <n v="1"/>
    <n v="55529"/>
    <n v="210.19636697600001"/>
    <n v="231.37083333333334"/>
  </r>
  <r>
    <n v="67885716"/>
    <x v="3"/>
    <n v="13945"/>
    <d v="2023-01-27T00:00:00"/>
    <x v="89"/>
    <x v="11"/>
    <n v="8.5199999999999998E-3"/>
    <n v="118.81139999999999"/>
    <s v="BR"/>
    <x v="0"/>
    <x v="6"/>
    <s v="Q1"/>
    <n v="154"/>
    <n v="90.551948051948045"/>
    <s v="48oz"/>
    <n v="1"/>
    <n v="13945"/>
    <n v="118.81139999999999"/>
    <n v="90.551948051948045"/>
  </r>
  <r>
    <n v="67885718"/>
    <x v="3"/>
    <n v="4197"/>
    <d v="2023-01-27T00:00:00"/>
    <x v="48"/>
    <x v="16"/>
    <n v="8.5199999999999998E-3"/>
    <n v="35.75844"/>
    <s v="BR"/>
    <x v="0"/>
    <x v="6"/>
    <s v="Q1"/>
    <n v="154"/>
    <n v="27.253246753246753"/>
    <s v="48oz"/>
    <n v="1"/>
    <n v="4197"/>
    <n v="35.75844"/>
    <n v="27.253246753246753"/>
  </r>
  <r>
    <n v="67885719"/>
    <x v="3"/>
    <n v="0"/>
    <d v="2023-01-27T00:00:00"/>
    <x v="11"/>
    <x v="12"/>
    <n v="8.5199999999999998E-3"/>
    <n v="0"/>
    <s v="BR"/>
    <x v="0"/>
    <x v="6"/>
    <s v="Q1"/>
    <n v="154"/>
    <n v="0"/>
    <s v="48oz"/>
    <n v="1"/>
    <n v="0"/>
    <n v="0"/>
    <n v="0"/>
  </r>
  <r>
    <n v="67885719"/>
    <x v="2"/>
    <n v="22223"/>
    <d v="2023-01-27T00:00:00"/>
    <x v="11"/>
    <x v="32"/>
    <n v="8.5199999999999998E-3"/>
    <n v="189.33995999999999"/>
    <s v="BR"/>
    <x v="0"/>
    <x v="2"/>
    <s v="Q1"/>
    <n v="154"/>
    <n v="144.30519480519482"/>
    <s v="48oz"/>
    <n v="1"/>
    <n v="22223"/>
    <n v="189.33995999999999"/>
    <n v="144.30519480519482"/>
  </r>
  <r>
    <n v="67885724"/>
    <x v="3"/>
    <n v="0"/>
    <d v="2023-01-27T00:00:00"/>
    <x v="49"/>
    <x v="12"/>
    <n v="8.5199999999999998E-3"/>
    <n v="0"/>
    <s v="BR"/>
    <x v="0"/>
    <x v="6"/>
    <s v="Q1"/>
    <n v="154"/>
    <n v="0"/>
    <s v="48oz"/>
    <n v="1"/>
    <n v="0"/>
    <n v="0"/>
    <n v="0"/>
  </r>
  <r>
    <n v="67893539"/>
    <x v="2"/>
    <n v="15018"/>
    <d v="2023-01-27T00:00:00"/>
    <x v="12"/>
    <x v="2"/>
    <n v="8.5199999999999998E-3"/>
    <n v="127.95336"/>
    <s v="BR"/>
    <x v="0"/>
    <x v="2"/>
    <s v="Q1"/>
    <n v="154"/>
    <n v="97.519480519480524"/>
    <s v="48oz"/>
    <n v="1"/>
    <n v="15018"/>
    <n v="127.95336"/>
    <n v="97.519480519480524"/>
  </r>
  <r>
    <n v="67893540"/>
    <x v="2"/>
    <n v="0"/>
    <d v="2023-01-27T00:00:00"/>
    <x v="66"/>
    <x v="13"/>
    <n v="8.5199999999999998E-3"/>
    <n v="0"/>
    <s v="BR"/>
    <x v="0"/>
    <x v="2"/>
    <s v="Q1"/>
    <n v="154"/>
    <n v="0"/>
    <s v="48oz"/>
    <n v="1"/>
    <n v="0"/>
    <n v="0"/>
    <n v="0"/>
  </r>
  <r>
    <n v="67908263"/>
    <x v="3"/>
    <n v="3297"/>
    <d v="2023-01-27T00:00:00"/>
    <x v="164"/>
    <x v="24"/>
    <n v="2.8319999999999999E-3"/>
    <n v="9.3371040000000001"/>
    <s v="GH"/>
    <x v="0"/>
    <x v="4"/>
    <s v="Q1"/>
    <n v="225"/>
    <n v="14.653333333333334"/>
    <s v="MBG"/>
    <n v="1"/>
    <n v="3297"/>
    <n v="9.3371040000000001"/>
    <n v="14.653333333333334"/>
  </r>
  <r>
    <n v="68115479"/>
    <x v="6"/>
    <n v="0.76800000000000002"/>
    <d v="2023-01-27T00:00:00"/>
    <x v="52"/>
    <x v="0"/>
    <n v="5.7599999999999995E-3"/>
    <n v="4.4236799999999993E-3"/>
    <s v="MG "/>
    <x v="0"/>
    <x v="20"/>
    <s v="Q1"/>
    <n v="30"/>
    <n v="2.5600000000000001E-2"/>
    <s v="Repack MG Sticks"/>
    <n v="1"/>
    <n v="0.76800000000000002"/>
    <n v="4.4236799999999993E-3"/>
    <n v="2.5600000000000001E-2"/>
  </r>
  <r>
    <n v="68188183"/>
    <x v="3"/>
    <n v="0"/>
    <d v="2023-01-27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0"/>
    <d v="2023-01-27T00:00:00"/>
    <x v="120"/>
    <x v="19"/>
    <n v="8.4960000000000001E-3"/>
    <n v="0"/>
    <s v="KL"/>
    <x v="0"/>
    <x v="8"/>
    <s v="Q1"/>
    <n v="132"/>
    <n v="0"/>
    <s v="EDF"/>
    <n v="1"/>
    <n v="0"/>
    <n v="0"/>
    <n v="0"/>
  </r>
  <r>
    <n v="68354588"/>
    <x v="2"/>
    <n v="0"/>
    <d v="2023-01-27T00:00:00"/>
    <x v="173"/>
    <x v="15"/>
    <n v="3.5999999999999999E-3"/>
    <n v="0"/>
    <s v="BJ"/>
    <x v="0"/>
    <x v="19"/>
    <s v="Q1"/>
    <n v="240"/>
    <n v="0"/>
    <s v="TOPPED"/>
    <n v="1"/>
    <n v="0"/>
    <n v="0"/>
    <n v="0"/>
  </r>
  <r>
    <n v="68410352"/>
    <x v="2"/>
    <n v="6440"/>
    <d v="2023-01-27T00:00:00"/>
    <x v="14"/>
    <x v="14"/>
    <n v="1.98E-3"/>
    <n v="12.751200000000001"/>
    <s v="MG"/>
    <x v="0"/>
    <x v="5"/>
    <s v="Q1"/>
    <n v="176"/>
    <n v="36.590909090909093"/>
    <s v="MG Sticks"/>
    <n v="1"/>
    <n v="6440"/>
    <n v="12.751200000000001"/>
    <n v="36.590909090909093"/>
  </r>
  <r>
    <n v="68414647"/>
    <x v="6"/>
    <n v="2802"/>
    <d v="2023-01-27T00:00:00"/>
    <x v="90"/>
    <x v="0"/>
    <n v="1.419504E-3"/>
    <n v="3.977450208"/>
    <s v="BJ"/>
    <x v="0"/>
    <x v="17"/>
    <s v="Q1"/>
    <n v="238"/>
    <n v="11.77310924369748"/>
    <s v="B&amp;J Dog Treat - Repack"/>
    <n v="1"/>
    <n v="2802"/>
    <n v="3.977450208"/>
    <n v="11.77310924369748"/>
  </r>
  <r>
    <n v="68521425"/>
    <x v="0"/>
    <m/>
    <d v="2023-01-27T00:00:00"/>
    <x v="0"/>
    <x v="0"/>
    <n v="4.248E-3"/>
    <n v="0"/>
    <s v="GH"/>
    <x v="0"/>
    <x v="0"/>
    <s v="Q1"/>
    <n v="216"/>
    <n v="0"/>
    <s v="Giant SW"/>
    <n v="1"/>
    <n v="0"/>
    <n v="0"/>
    <n v="0"/>
  </r>
  <r>
    <n v="68599804"/>
    <x v="0"/>
    <n v="13061"/>
    <d v="2023-01-27T00:00:00"/>
    <x v="114"/>
    <x v="1"/>
    <n v="8.5170239596469108E-3"/>
    <n v="111.24084993694831"/>
    <s v="BR"/>
    <x v="0"/>
    <x v="32"/>
    <s v="Q1"/>
    <n v="156"/>
    <n v="83.724358974358978"/>
    <s v="48oz"/>
    <n v="1"/>
    <n v="13061"/>
    <n v="111.24084993694831"/>
    <n v="83.724358974358978"/>
  </r>
  <r>
    <n v="68631390"/>
    <x v="5"/>
    <n v="6960"/>
    <d v="2023-01-27T00:00:00"/>
    <x v="177"/>
    <x v="33"/>
    <n v="3.7839999999999996E-3"/>
    <n v="26.336639999999996"/>
    <s v="BJ"/>
    <x v="0"/>
    <x v="24"/>
    <s v="Q1"/>
    <n v="240"/>
    <n v="29"/>
    <s v="PTS Exports"/>
    <n v="1"/>
    <n v="6960"/>
    <n v="26.336639999999996"/>
    <n v="29"/>
  </r>
  <r>
    <n v="68631417"/>
    <x v="5"/>
    <n v="6854"/>
    <d v="2023-01-27T00:00:00"/>
    <x v="178"/>
    <x v="35"/>
    <n v="3.7839999999999996E-3"/>
    <n v="25.935535999999999"/>
    <s v="BJ"/>
    <x v="0"/>
    <x v="24"/>
    <s v="Q1"/>
    <n v="240"/>
    <n v="28.558333333333334"/>
    <s v="PTS Exports"/>
    <n v="1"/>
    <n v="6854"/>
    <n v="25.935535999999999"/>
    <n v="28.558333333333334"/>
  </r>
  <r>
    <n v="68689251"/>
    <x v="3"/>
    <n v="4609"/>
    <d v="2023-01-27T00:00:00"/>
    <x v="17"/>
    <x v="20"/>
    <n v="9.5760000000000012E-3"/>
    <n v="44.135784000000008"/>
    <s v="KL"/>
    <x v="0"/>
    <x v="8"/>
    <s v="Q1"/>
    <n v="132"/>
    <n v="34.916666666666664"/>
    <s v="EDF"/>
    <n v="1"/>
    <n v="4609"/>
    <n v="44.135784000000008"/>
    <n v="34.916666666666664"/>
  </r>
  <r>
    <n v="68689253"/>
    <x v="2"/>
    <n v="6223"/>
    <d v="2023-01-27T00:00:00"/>
    <x v="125"/>
    <x v="18"/>
    <n v="6.0035555555555554E-3"/>
    <n v="37.36012622222222"/>
    <s v="KL"/>
    <x v="0"/>
    <x v="9"/>
    <s v="Q1"/>
    <n v="120"/>
    <n v="51.858333333333334"/>
    <s v="ESS"/>
    <n v="1"/>
    <n v="6223"/>
    <n v="37.36012622222222"/>
    <n v="51.858333333333334"/>
  </r>
  <r>
    <n v="68741742"/>
    <x v="3"/>
    <n v="3524"/>
    <d v="2023-01-27T00:00:00"/>
    <x v="25"/>
    <x v="4"/>
    <n v="4.2560000000000002E-3"/>
    <n v="14.998144000000002"/>
    <s v="GH"/>
    <x v="0"/>
    <x v="4"/>
    <s v="Q1"/>
    <n v="154"/>
    <n v="22.883116883116884"/>
    <s v="MBG"/>
    <n v="1"/>
    <n v="3524"/>
    <n v="14.998144000000002"/>
    <n v="22.883116883116884"/>
  </r>
  <r>
    <n v="68741742"/>
    <x v="2"/>
    <n v="883"/>
    <d v="2023-01-27T00:00:00"/>
    <x v="25"/>
    <x v="25"/>
    <n v="4.2560000000000002E-3"/>
    <n v="3.7580480000000001"/>
    <s v="GH"/>
    <x v="0"/>
    <x v="11"/>
    <s v="Q1"/>
    <n v="154"/>
    <n v="5.7337662337662341"/>
    <s v="MBG"/>
    <n v="1"/>
    <n v="883"/>
    <n v="3.7580480000000001"/>
    <n v="5.7337662337662341"/>
  </r>
  <r>
    <n v="68746232"/>
    <x v="2"/>
    <n v="393"/>
    <d v="2023-01-27T00:00:00"/>
    <x v="154"/>
    <x v="26"/>
    <n v="9.5879999999999993E-3"/>
    <n v="3.7680839999999995"/>
    <s v="KL"/>
    <x v="0"/>
    <x v="12"/>
    <s v="Q1"/>
    <n v="132"/>
    <n v="2.9772727272727271"/>
    <s v="EDF"/>
    <n v="1"/>
    <n v="393"/>
    <n v="3.7680839999999995"/>
    <n v="2.9772727272727271"/>
  </r>
  <r>
    <n v="68821729"/>
    <x v="2"/>
    <n v="8694"/>
    <d v="2023-01-27T00:00:00"/>
    <x v="142"/>
    <x v="13"/>
    <n v="8.5199999999999998E-3"/>
    <n v="74.072879999999998"/>
    <s v="BR"/>
    <x v="0"/>
    <x v="2"/>
    <s v="Q1"/>
    <n v="176"/>
    <n v="49.397727272727273"/>
    <s v="48oz"/>
    <n v="1"/>
    <n v="8694"/>
    <n v="74.072879999999998"/>
    <n v="49.397727272727273"/>
  </r>
  <r>
    <n v="68852591"/>
    <x v="3"/>
    <n v="7499"/>
    <d v="2023-01-27T00:00:00"/>
    <x v="26"/>
    <x v="17"/>
    <n v="8.5199999999999998E-3"/>
    <n v="63.891480000000001"/>
    <s v="KL"/>
    <x v="0"/>
    <x v="8"/>
    <s v="Q1"/>
    <n v="132"/>
    <n v="56.810606060606062"/>
    <s v="EDF"/>
    <n v="1"/>
    <n v="7499"/>
    <n v="63.891480000000001"/>
    <n v="56.810606060606062"/>
  </r>
  <r>
    <n v="68863006"/>
    <x v="9"/>
    <n v="9165"/>
    <d v="2023-01-27T00:00:00"/>
    <x v="179"/>
    <x v="0"/>
    <n v="1.8959999999999999E-3"/>
    <n v="17.376839999999998"/>
    <s v="BJ"/>
    <x v="0"/>
    <x v="23"/>
    <s v="Q1"/>
    <n v="272"/>
    <n v="33.694852941176471"/>
    <s v="Dough Bites"/>
    <n v="1"/>
    <n v="9165"/>
    <n v="17.376839999999998"/>
    <n v="33.694852941176471"/>
  </r>
  <r>
    <n v="68922106"/>
    <x v="2"/>
    <n v="3381"/>
    <d v="2023-01-27T00:00:00"/>
    <x v="104"/>
    <x v="22"/>
    <n v="3.552E-3"/>
    <n v="12.009312"/>
    <s v="TA"/>
    <x v="0"/>
    <x v="10"/>
    <s v="Q1"/>
    <n v="255"/>
    <n v="13.258823529411766"/>
    <s v="TALENTI"/>
    <n v="1"/>
    <n v="3381"/>
    <n v="12.009312"/>
    <n v="13.258823529411766"/>
  </r>
  <r>
    <n v="69557443"/>
    <x v="4"/>
    <n v="2400"/>
    <d v="2023-01-27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7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27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544"/>
    <x v="2"/>
    <n v="0"/>
    <d v="2023-01-27T00:00:00"/>
    <x v="171"/>
    <x v="14"/>
    <n v="1.9740000000000001E-3"/>
    <n v="0"/>
    <s v="MG"/>
    <x v="0"/>
    <x v="5"/>
    <s v="Q1"/>
    <n v="176"/>
    <n v="0"/>
    <s v="MG Sticks"/>
    <n v="1"/>
    <n v="0"/>
    <n v="0"/>
    <n v="0"/>
  </r>
  <r>
    <n v="69572658"/>
    <x v="2"/>
    <n v="6226"/>
    <d v="2023-01-27T00:00:00"/>
    <x v="166"/>
    <x v="5"/>
    <n v="2.1520000000000003E-3"/>
    <n v="13.398352000000001"/>
    <s v="MG"/>
    <x v="0"/>
    <x v="5"/>
    <s v="Q1"/>
    <n v="210"/>
    <n v="29.647619047619049"/>
    <s v="MG Sticks"/>
    <n v="1"/>
    <n v="6226"/>
    <n v="13.398352000000001"/>
    <n v="29.647619047619049"/>
  </r>
  <r>
    <n v="69621212"/>
    <x v="2"/>
    <n v="3591"/>
    <d v="2023-01-27T00:00:00"/>
    <x v="29"/>
    <x v="28"/>
    <n v="5.2680000000000001E-3"/>
    <n v="18.917387999999999"/>
    <s v="PG"/>
    <x v="0"/>
    <x v="14"/>
    <s v="Q1"/>
    <n v="130"/>
    <n v="27.623076923076923"/>
    <s v="PG"/>
    <n v="1"/>
    <n v="3591"/>
    <n v="18.917387999999999"/>
    <n v="27.623076923076923"/>
  </r>
  <r>
    <n v="69653125"/>
    <x v="0"/>
    <n v="8787"/>
    <d v="2023-01-27T00:00:00"/>
    <x v="146"/>
    <x v="0"/>
    <n v="5.3220000000000003E-3"/>
    <n v="46.764414000000002"/>
    <s v="BR"/>
    <x v="0"/>
    <x v="37"/>
    <s v="Q1"/>
    <n v="120"/>
    <n v="73.224999999999994"/>
    <s v="BR Minicups"/>
    <n v="1"/>
    <n v="8787"/>
    <n v="46.764414000000002"/>
    <n v="73.224999999999994"/>
  </r>
  <r>
    <n v="69677917"/>
    <x v="3"/>
    <n v="2814"/>
    <d v="2023-01-27T00:00:00"/>
    <x v="30"/>
    <x v="29"/>
    <n v="5.2680000000000001E-3"/>
    <n v="14.824152"/>
    <s v="PS"/>
    <x v="0"/>
    <x v="3"/>
    <s v="Q1"/>
    <n v="108"/>
    <n v="26.055555555555557"/>
    <s v="PG"/>
    <n v="1"/>
    <n v="2814"/>
    <n v="14.824152"/>
    <n v="26.055555555555557"/>
  </r>
  <r>
    <n v="69677917"/>
    <x v="2"/>
    <n v="900"/>
    <d v="2023-01-27T00:00:00"/>
    <x v="30"/>
    <x v="30"/>
    <n v="5.2680000000000001E-3"/>
    <n v="4.7412000000000001"/>
    <s v="PS"/>
    <x v="0"/>
    <x v="14"/>
    <s v="Q1"/>
    <n v="108"/>
    <n v="8.3333333333333339"/>
    <s v="PG"/>
    <n v="1"/>
    <n v="900"/>
    <n v="4.7412000000000001"/>
    <n v="8.3333333333333339"/>
  </r>
  <r>
    <n v="69684521"/>
    <x v="2"/>
    <n v="4371"/>
    <d v="2023-01-27T00:00:00"/>
    <x v="160"/>
    <x v="31"/>
    <n v="4.2585119798234554E-3"/>
    <n v="18.613955863808325"/>
    <s v="MG "/>
    <x v="0"/>
    <x v="5"/>
    <s v="Q1"/>
    <n v="143"/>
    <n v="30.566433566433567"/>
    <s v="MG Sticks"/>
    <n v="1"/>
    <n v="4371"/>
    <n v="18.613955863808325"/>
    <n v="30.566433566433567"/>
  </r>
  <r>
    <n v="69691840"/>
    <x v="2"/>
    <n v="0"/>
    <d v="2023-01-27T00:00:00"/>
    <x v="106"/>
    <x v="21"/>
    <n v="3.7839999999999996E-3"/>
    <n v="0"/>
    <s v="TA"/>
    <x v="0"/>
    <x v="10"/>
    <s v="Q1"/>
    <n v="255"/>
    <n v="0"/>
    <s v="TALENTI"/>
    <n v="1"/>
    <n v="0"/>
    <n v="0"/>
    <n v="0"/>
  </r>
  <r>
    <n v="69691903"/>
    <x v="2"/>
    <n v="19639"/>
    <d v="2023-01-27T00:00:00"/>
    <x v="172"/>
    <x v="21"/>
    <n v="3.7839999999999996E-3"/>
    <n v="74.313975999999997"/>
    <s v="TA"/>
    <x v="0"/>
    <x v="10"/>
    <s v="Q1"/>
    <n v="255"/>
    <n v="77.015686274509804"/>
    <s v="TALENTI"/>
    <n v="1"/>
    <n v="19639"/>
    <n v="74.313975999999997"/>
    <n v="77.015686274509804"/>
  </r>
  <r>
    <n v="69691903"/>
    <x v="2"/>
    <n v="18720"/>
    <d v="2023-01-27T00:00:00"/>
    <x v="172"/>
    <x v="22"/>
    <n v="3.7839999999999996E-3"/>
    <n v="70.836479999999995"/>
    <s v="TA"/>
    <x v="0"/>
    <x v="10"/>
    <s v="Q1"/>
    <n v="255"/>
    <n v="73.411764705882348"/>
    <s v="TALENTI"/>
    <n v="1"/>
    <n v="18720"/>
    <n v="70.836479999999995"/>
    <n v="73.411764705882348"/>
  </r>
  <r>
    <n v="69691903"/>
    <x v="2"/>
    <n v="715"/>
    <d v="2023-01-27T00:00:00"/>
    <x v="172"/>
    <x v="22"/>
    <n v="3.7839999999999996E-3"/>
    <n v="2.7055599999999997"/>
    <s v="TA"/>
    <x v="0"/>
    <x v="10"/>
    <s v="Q1"/>
    <n v="255"/>
    <n v="2.8039215686274508"/>
    <s v="TALENTI"/>
    <n v="1"/>
    <n v="715"/>
    <n v="2.7055599999999997"/>
    <n v="2.8039215686274508"/>
  </r>
  <r>
    <n v="67309843"/>
    <x v="3"/>
    <n v="2281"/>
    <d v="2023-01-28T00:00:00"/>
    <x v="88"/>
    <x v="12"/>
    <n v="8.5199999999999998E-3"/>
    <n v="19.43412"/>
    <s v="BR"/>
    <x v="0"/>
    <x v="6"/>
    <s v="Q1"/>
    <n v="154"/>
    <n v="14.811688311688311"/>
    <s v="48oz"/>
    <n v="1"/>
    <n v="2281"/>
    <n v="19.43412"/>
    <n v="14.811688311688311"/>
  </r>
  <r>
    <n v="67309843"/>
    <x v="3"/>
    <n v="6200"/>
    <d v="2023-01-28T00:00:00"/>
    <x v="88"/>
    <x v="12"/>
    <n v="8.5199999999999998E-3"/>
    <n v="52.823999999999998"/>
    <s v="BR"/>
    <x v="0"/>
    <x v="6"/>
    <s v="Q1"/>
    <n v="154"/>
    <n v="40.259740259740262"/>
    <s v="48oz"/>
    <n v="1"/>
    <n v="6200"/>
    <n v="52.823999999999998"/>
    <n v="40.259740259740262"/>
  </r>
  <r>
    <n v="67465063"/>
    <x v="3"/>
    <n v="4093"/>
    <d v="2023-01-28T00:00:00"/>
    <x v="3"/>
    <x v="6"/>
    <n v="5.2680000000000001E-3"/>
    <n v="21.561924000000001"/>
    <s v="PS"/>
    <x v="0"/>
    <x v="3"/>
    <s v="Q1"/>
    <n v="130"/>
    <n v="31.484615384615385"/>
    <s v="PG"/>
    <n v="1"/>
    <n v="4093"/>
    <n v="21.561924000000001"/>
    <n v="31.484615384615385"/>
  </r>
  <r>
    <n v="67466492"/>
    <x v="3"/>
    <n v="0"/>
    <d v="2023-01-28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2878"/>
    <d v="2023-01-28T00:00:00"/>
    <x v="8"/>
    <x v="8"/>
    <n v="5.2680000000000001E-3"/>
    <n v="15.161303999999999"/>
    <s v="PS"/>
    <x v="0"/>
    <x v="3"/>
    <s v="Q1"/>
    <n v="130"/>
    <n v="22.138461538461538"/>
    <s v="PG"/>
    <n v="1"/>
    <n v="2878"/>
    <n v="15.161303999999999"/>
    <n v="22.138461538461538"/>
  </r>
  <r>
    <n v="67476560"/>
    <x v="3"/>
    <n v="3840"/>
    <d v="2023-01-28T00:00:00"/>
    <x v="10"/>
    <x v="10"/>
    <n v="5.1060000000000003E-3"/>
    <n v="19.607040000000001"/>
    <s v="PS"/>
    <x v="0"/>
    <x v="3"/>
    <s v="Q1"/>
    <n v="130"/>
    <n v="29.53846153846154"/>
    <s v="PG"/>
    <n v="1"/>
    <n v="3840"/>
    <n v="19.607040000000001"/>
    <n v="29.53846153846154"/>
  </r>
  <r>
    <n v="67885716"/>
    <x v="3"/>
    <n v="13313"/>
    <d v="2023-01-28T00:00:00"/>
    <x v="89"/>
    <x v="11"/>
    <n v="8.5199999999999998E-3"/>
    <n v="113.42676"/>
    <s v="BR"/>
    <x v="0"/>
    <x v="6"/>
    <s v="Q1"/>
    <n v="154"/>
    <n v="86.448051948051955"/>
    <s v="48oz"/>
    <n v="1"/>
    <n v="13313"/>
    <n v="113.42676"/>
    <n v="86.448051948051955"/>
  </r>
  <r>
    <n v="67885724"/>
    <x v="3"/>
    <n v="5386"/>
    <d v="2023-01-28T00:00:00"/>
    <x v="49"/>
    <x v="12"/>
    <n v="8.5199999999999998E-3"/>
    <n v="45.888719999999999"/>
    <s v="BR"/>
    <x v="0"/>
    <x v="6"/>
    <s v="Q1"/>
    <n v="154"/>
    <n v="34.974025974025977"/>
    <s v="48oz"/>
    <n v="1"/>
    <n v="5386"/>
    <n v="45.888719999999999"/>
    <n v="34.974025974025977"/>
  </r>
  <r>
    <n v="67893539"/>
    <x v="2"/>
    <n v="3512"/>
    <d v="2023-01-28T00:00:00"/>
    <x v="12"/>
    <x v="2"/>
    <n v="8.5199999999999998E-3"/>
    <n v="29.922239999999999"/>
    <s v="BR"/>
    <x v="0"/>
    <x v="2"/>
    <s v="Q1"/>
    <n v="154"/>
    <n v="22.805194805194805"/>
    <s v="48oz"/>
    <n v="1"/>
    <n v="3512"/>
    <n v="29.922239999999999"/>
    <n v="22.805194805194805"/>
  </r>
  <r>
    <n v="67901593"/>
    <x v="2"/>
    <n v="0"/>
    <d v="2023-01-28T00:00:00"/>
    <x v="68"/>
    <x v="32"/>
    <n v="8.5199999999999998E-3"/>
    <n v="0"/>
    <s v="BR"/>
    <x v="0"/>
    <x v="2"/>
    <s v="Q1"/>
    <n v="154"/>
    <n v="0"/>
    <s v="48oz"/>
    <n v="1"/>
    <n v="0"/>
    <n v="0"/>
    <n v="0"/>
  </r>
  <r>
    <n v="67908263"/>
    <x v="3"/>
    <n v="6300"/>
    <d v="2023-01-28T00:00:00"/>
    <x v="164"/>
    <x v="24"/>
    <n v="2.8319999999999999E-3"/>
    <n v="17.8416"/>
    <s v="GH"/>
    <x v="0"/>
    <x v="4"/>
    <s v="Q1"/>
    <n v="225"/>
    <n v="28"/>
    <s v="MBG"/>
    <n v="1"/>
    <n v="6300"/>
    <n v="17.8416"/>
    <n v="28"/>
  </r>
  <r>
    <n v="68188514"/>
    <x v="5"/>
    <n v="19326"/>
    <d v="2023-01-28T00:00:00"/>
    <x v="180"/>
    <x v="35"/>
    <n v="3.7853439999999999E-3"/>
    <n v="73.155558143999997"/>
    <s v="BJ"/>
    <x v="0"/>
    <x v="15"/>
    <s v="Q1"/>
    <n v="240"/>
    <n v="80.525000000000006"/>
    <s v="BJ PTS"/>
    <n v="1"/>
    <n v="19326"/>
    <n v="73.155558143999997"/>
    <n v="80.525000000000006"/>
  </r>
  <r>
    <n v="68599804"/>
    <x v="0"/>
    <n v="468"/>
    <d v="2023-01-28T00:00:00"/>
    <x v="114"/>
    <x v="1"/>
    <n v="8.5170239596469108E-3"/>
    <n v="3.9859672131147543"/>
    <s v="BR"/>
    <x v="0"/>
    <x v="32"/>
    <s v="Q1"/>
    <n v="156"/>
    <n v="3"/>
    <s v="48oz"/>
    <n v="1"/>
    <n v="468"/>
    <n v="3.9859672131147543"/>
    <n v="3"/>
  </r>
  <r>
    <n v="68689251"/>
    <x v="3"/>
    <n v="344"/>
    <d v="2023-01-28T00:00:00"/>
    <x v="17"/>
    <x v="17"/>
    <n v="9.5760000000000012E-3"/>
    <n v="3.2941440000000002"/>
    <s v="KL"/>
    <x v="0"/>
    <x v="8"/>
    <s v="Q1"/>
    <n v="132"/>
    <n v="2.606060606060606"/>
    <s v="EDF"/>
    <n v="1"/>
    <n v="344"/>
    <n v="3.2941440000000002"/>
    <n v="2.606060606060606"/>
  </r>
  <r>
    <n v="68689251"/>
    <x v="3"/>
    <n v="4686"/>
    <d v="2023-01-28T00:00:00"/>
    <x v="17"/>
    <x v="20"/>
    <n v="9.5760000000000012E-3"/>
    <n v="44.873136000000002"/>
    <s v="KL"/>
    <x v="0"/>
    <x v="8"/>
    <s v="Q1"/>
    <n v="132"/>
    <n v="35.5"/>
    <s v="EDF"/>
    <n v="1"/>
    <n v="4686"/>
    <n v="44.873136000000002"/>
    <n v="35.5"/>
  </r>
  <r>
    <n v="68741742"/>
    <x v="3"/>
    <n v="2088"/>
    <d v="2023-01-28T00:00:00"/>
    <x v="25"/>
    <x v="4"/>
    <n v="4.2560000000000002E-3"/>
    <n v="8.8865280000000002"/>
    <s v="GH"/>
    <x v="0"/>
    <x v="4"/>
    <s v="Q1"/>
    <n v="154"/>
    <n v="13.558441558441558"/>
    <s v="MBG"/>
    <n v="1"/>
    <n v="2088"/>
    <n v="8.8865280000000002"/>
    <n v="13.558441558441558"/>
  </r>
  <r>
    <n v="68741742"/>
    <x v="2"/>
    <n v="3472"/>
    <d v="2023-01-28T00:00:00"/>
    <x v="25"/>
    <x v="25"/>
    <n v="4.2560000000000002E-3"/>
    <n v="14.776832000000001"/>
    <s v="GH"/>
    <x v="0"/>
    <x v="11"/>
    <s v="Q1"/>
    <n v="154"/>
    <n v="22.545454545454547"/>
    <s v="MBG"/>
    <n v="1"/>
    <n v="3472"/>
    <n v="14.776832000000001"/>
    <n v="22.545454545454547"/>
  </r>
  <r>
    <n v="68746232"/>
    <x v="2"/>
    <n v="1503"/>
    <d v="2023-01-28T00:00:00"/>
    <x v="154"/>
    <x v="26"/>
    <n v="9.5879999999999993E-3"/>
    <n v="14.410763999999999"/>
    <s v="KL"/>
    <x v="0"/>
    <x v="12"/>
    <s v="Q1"/>
    <n v="132"/>
    <n v="11.386363636363637"/>
    <s v="EDF"/>
    <n v="1"/>
    <n v="1503"/>
    <n v="14.410763999999999"/>
    <n v="11.386363636363637"/>
  </r>
  <r>
    <n v="68821729"/>
    <x v="2"/>
    <n v="13206"/>
    <d v="2023-01-28T00:00:00"/>
    <x v="142"/>
    <x v="13"/>
    <n v="8.5199999999999998E-3"/>
    <n v="112.51512"/>
    <s v="BR"/>
    <x v="0"/>
    <x v="2"/>
    <s v="Q1"/>
    <n v="176"/>
    <n v="75.034090909090907"/>
    <s v="48oz"/>
    <n v="1"/>
    <n v="13206"/>
    <n v="112.51512"/>
    <n v="75.034090909090907"/>
  </r>
  <r>
    <n v="68852591"/>
    <x v="3"/>
    <n v="1907"/>
    <d v="2023-01-28T00:00:00"/>
    <x v="26"/>
    <x v="17"/>
    <n v="8.5199999999999998E-3"/>
    <n v="16.247640000000001"/>
    <s v="KL"/>
    <x v="0"/>
    <x v="8"/>
    <s v="Q1"/>
    <n v="132"/>
    <n v="14.446969696969697"/>
    <s v="EDF"/>
    <n v="1"/>
    <n v="1907"/>
    <n v="16.247640000000001"/>
    <n v="14.446969696969697"/>
  </r>
  <r>
    <n v="68896054"/>
    <x v="2"/>
    <n v="8833"/>
    <d v="2023-01-28T00:00:00"/>
    <x v="181"/>
    <x v="2"/>
    <n v="8.5199999999999998E-3"/>
    <n v="75.257159999999999"/>
    <s v="BR"/>
    <x v="0"/>
    <x v="2"/>
    <s v="Q1"/>
    <n v="176"/>
    <n v="50.1875"/>
    <s v="48oz"/>
    <n v="1"/>
    <n v="8833"/>
    <n v="75.257159999999999"/>
    <n v="50.1875"/>
  </r>
  <r>
    <n v="68922106"/>
    <x v="2"/>
    <n v="18687"/>
    <d v="2023-01-28T00:00:00"/>
    <x v="104"/>
    <x v="22"/>
    <n v="3.552E-3"/>
    <n v="66.376224000000008"/>
    <s v="TA"/>
    <x v="0"/>
    <x v="10"/>
    <s v="Q1"/>
    <n v="255"/>
    <n v="73.28235294117647"/>
    <s v="TALENTI"/>
    <n v="1"/>
    <n v="18687"/>
    <n v="66.376224000000008"/>
    <n v="73.28235294117647"/>
  </r>
  <r>
    <n v="69572658"/>
    <x v="2"/>
    <n v="2620"/>
    <d v="2023-01-28T00:00:00"/>
    <x v="166"/>
    <x v="5"/>
    <n v="2.1520000000000003E-3"/>
    <n v="5.6382400000000006"/>
    <s v="MG"/>
    <x v="0"/>
    <x v="5"/>
    <s v="Q1"/>
    <n v="210"/>
    <n v="12.476190476190476"/>
    <s v="MG Sticks"/>
    <n v="1"/>
    <n v="2620"/>
    <n v="5.6382400000000006"/>
    <n v="12.476190476190476"/>
  </r>
  <r>
    <n v="69621212"/>
    <x v="2"/>
    <n v="3914"/>
    <d v="2023-01-28T00:00:00"/>
    <x v="29"/>
    <x v="28"/>
    <n v="5.2680000000000001E-3"/>
    <n v="20.618952"/>
    <s v="PG"/>
    <x v="0"/>
    <x v="14"/>
    <s v="Q1"/>
    <n v="130"/>
    <n v="30.107692307692307"/>
    <s v="PG"/>
    <n v="1"/>
    <n v="3914"/>
    <n v="20.618952"/>
    <n v="30.107692307692307"/>
  </r>
  <r>
    <n v="69677917"/>
    <x v="3"/>
    <n v="4316"/>
    <d v="2023-01-28T00:00:00"/>
    <x v="30"/>
    <x v="29"/>
    <n v="5.2680000000000001E-3"/>
    <n v="22.736688000000001"/>
    <s v="PS"/>
    <x v="0"/>
    <x v="3"/>
    <s v="Q1"/>
    <n v="108"/>
    <n v="39.962962962962962"/>
    <s v="PG"/>
    <n v="1"/>
    <n v="4316"/>
    <n v="22.736688000000001"/>
    <n v="39.962962962962962"/>
  </r>
  <r>
    <n v="69677917"/>
    <x v="3"/>
    <n v="32"/>
    <d v="2023-01-28T00:00:00"/>
    <x v="30"/>
    <x v="29"/>
    <n v="5.2680000000000001E-3"/>
    <n v="0.168576"/>
    <s v="PS"/>
    <x v="0"/>
    <x v="3"/>
    <s v="Q1"/>
    <n v="108"/>
    <n v="0.29629629629629628"/>
    <s v="PG"/>
    <n v="1"/>
    <n v="32"/>
    <n v="0.168576"/>
    <n v="0.29629629629629628"/>
  </r>
  <r>
    <n v="69677917"/>
    <x v="2"/>
    <n v="4097"/>
    <d v="2023-01-28T00:00:00"/>
    <x v="30"/>
    <x v="30"/>
    <n v="5.2680000000000001E-3"/>
    <n v="21.582996000000001"/>
    <s v="PS"/>
    <x v="0"/>
    <x v="14"/>
    <s v="Q1"/>
    <n v="108"/>
    <n v="37.935185185185183"/>
    <s v="PG"/>
    <n v="1"/>
    <n v="4097"/>
    <n v="21.582996000000001"/>
    <n v="37.935185185185183"/>
  </r>
  <r>
    <n v="69691903"/>
    <x v="2"/>
    <n v="11298"/>
    <d v="2023-01-28T00:00:00"/>
    <x v="172"/>
    <x v="21"/>
    <n v="3.7839999999999996E-3"/>
    <n v="42.751631999999994"/>
    <s v="TA"/>
    <x v="0"/>
    <x v="10"/>
    <s v="Q1"/>
    <n v="255"/>
    <n v="44.305882352941175"/>
    <s v="TALENTI"/>
    <n v="1"/>
    <n v="11298"/>
    <n v="42.751631999999994"/>
    <n v="44.305882352941175"/>
  </r>
  <r>
    <n v="84135718"/>
    <x v="2"/>
    <n v="0"/>
    <d v="2023-01-28T00:00:00"/>
    <x v="147"/>
    <x v="15"/>
    <n v="3.7853439999999999E-3"/>
    <n v="0"/>
    <s v="BJ"/>
    <x v="0"/>
    <x v="30"/>
    <s v="Q1"/>
    <n v="240"/>
    <n v="0"/>
    <s v="BJ PTS"/>
    <n v="1"/>
    <n v="0"/>
    <n v="0"/>
    <n v="0"/>
  </r>
  <r>
    <n v="67278448"/>
    <x v="5"/>
    <n v="25494"/>
    <d v="2023-01-29T00:00:00"/>
    <x v="182"/>
    <x v="33"/>
    <n v="3.7839999999999996E-3"/>
    <n v="96.469295999999986"/>
    <s v="BJ"/>
    <x v="0"/>
    <x v="15"/>
    <s v="Q1"/>
    <n v="240"/>
    <n v="106.22499999999999"/>
    <s v="BJ PTS"/>
    <n v="1"/>
    <n v="25494"/>
    <n v="96.469295999999986"/>
    <n v="106.22499999999999"/>
  </r>
  <r>
    <n v="67309845"/>
    <x v="2"/>
    <n v="0"/>
    <d v="2023-01-29T00:00:00"/>
    <x v="62"/>
    <x v="13"/>
    <n v="8.5199999999999998E-3"/>
    <n v="0"/>
    <s v="BR"/>
    <x v="0"/>
    <x v="2"/>
    <s v="Q1"/>
    <n v="154"/>
    <n v="0"/>
    <s v="48oz"/>
    <n v="1"/>
    <n v="0"/>
    <n v="0"/>
    <n v="0"/>
  </r>
  <r>
    <n v="67465063"/>
    <x v="3"/>
    <n v="3823"/>
    <d v="2023-01-29T00:00:00"/>
    <x v="3"/>
    <x v="6"/>
    <n v="5.2680000000000001E-3"/>
    <n v="20.139564"/>
    <s v="PS"/>
    <x v="0"/>
    <x v="3"/>
    <s v="Q1"/>
    <n v="130"/>
    <n v="29.407692307692308"/>
    <s v="PG"/>
    <n v="1"/>
    <n v="3823"/>
    <n v="20.139564"/>
    <n v="29.407692307692308"/>
  </r>
  <r>
    <n v="67466492"/>
    <x v="3"/>
    <n v="0"/>
    <d v="2023-01-29T00:00:00"/>
    <x v="8"/>
    <x v="7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1826"/>
    <d v="2023-01-29T00:00:00"/>
    <x v="8"/>
    <x v="8"/>
    <n v="5.2680000000000001E-3"/>
    <n v="9.6193679999999997"/>
    <s v="PS"/>
    <x v="0"/>
    <x v="3"/>
    <s v="Q1"/>
    <n v="130"/>
    <n v="14.046153846153846"/>
    <s v="PG"/>
    <n v="1"/>
    <n v="1826"/>
    <n v="9.6193679999999997"/>
    <n v="14.046153846153846"/>
  </r>
  <r>
    <n v="67476560"/>
    <x v="3"/>
    <n v="3899"/>
    <d v="2023-01-29T00:00:00"/>
    <x v="10"/>
    <x v="10"/>
    <n v="5.1060000000000003E-3"/>
    <n v="19.908294000000001"/>
    <s v="PS"/>
    <x v="0"/>
    <x v="3"/>
    <s v="Q1"/>
    <n v="130"/>
    <n v="29.992307692307691"/>
    <s v="PG"/>
    <n v="1"/>
    <n v="3899"/>
    <n v="19.908294000000001"/>
    <n v="29.992307692307691"/>
  </r>
  <r>
    <n v="67881629"/>
    <x v="5"/>
    <n v="35101"/>
    <d v="2023-01-29T00:00:00"/>
    <x v="65"/>
    <x v="33"/>
    <n v="3.7853439999999999E-3"/>
    <n v="132.86935974400001"/>
    <s v="BJ"/>
    <x v="0"/>
    <x v="15"/>
    <s v="Q1"/>
    <n v="240"/>
    <n v="146.25416666666666"/>
    <s v="BJ PTS"/>
    <n v="1"/>
    <n v="35101"/>
    <n v="132.86935974400001"/>
    <n v="146.25416666666666"/>
  </r>
  <r>
    <n v="67885716"/>
    <x v="3"/>
    <n v="13304"/>
    <d v="2023-01-29T00:00:00"/>
    <x v="89"/>
    <x v="11"/>
    <n v="8.5199999999999998E-3"/>
    <n v="113.35007999999999"/>
    <s v="BR"/>
    <x v="0"/>
    <x v="6"/>
    <s v="Q1"/>
    <n v="154"/>
    <n v="86.389610389610397"/>
    <s v="48oz"/>
    <n v="1"/>
    <n v="13304"/>
    <n v="113.35007999999999"/>
    <n v="86.389610389610397"/>
  </r>
  <r>
    <n v="67885719"/>
    <x v="2"/>
    <n v="26081"/>
    <d v="2023-01-29T00:00:00"/>
    <x v="11"/>
    <x v="32"/>
    <n v="8.5199999999999998E-3"/>
    <n v="222.21011999999999"/>
    <s v="BR"/>
    <x v="0"/>
    <x v="2"/>
    <s v="Q1"/>
    <n v="154"/>
    <n v="169.35714285714286"/>
    <s v="48oz"/>
    <n v="1"/>
    <n v="26081"/>
    <n v="222.21011999999999"/>
    <n v="169.35714285714286"/>
  </r>
  <r>
    <n v="67885719"/>
    <x v="2"/>
    <n v="423"/>
    <d v="2023-01-29T00:00:00"/>
    <x v="11"/>
    <x v="32"/>
    <n v="8.5199999999999998E-3"/>
    <n v="3.6039599999999998"/>
    <s v="BR"/>
    <x v="0"/>
    <x v="2"/>
    <s v="Q1"/>
    <n v="154"/>
    <n v="2.7467532467532467"/>
    <s v="48oz"/>
    <n v="1"/>
    <n v="423"/>
    <n v="3.6039599999999998"/>
    <n v="2.7467532467532467"/>
  </r>
  <r>
    <n v="67885724"/>
    <x v="3"/>
    <n v="12794"/>
    <d v="2023-01-29T00:00:00"/>
    <x v="49"/>
    <x v="12"/>
    <n v="8.5199999999999998E-3"/>
    <n v="109.00488"/>
    <s v="BR"/>
    <x v="0"/>
    <x v="6"/>
    <s v="Q1"/>
    <n v="154"/>
    <n v="83.077922077922082"/>
    <s v="48oz"/>
    <n v="1"/>
    <n v="12794"/>
    <n v="109.00488"/>
    <n v="83.077922077922082"/>
  </r>
  <r>
    <n v="67901593"/>
    <x v="2"/>
    <n v="7238"/>
    <d v="2023-01-29T00:00:00"/>
    <x v="68"/>
    <x v="32"/>
    <n v="8.5199999999999998E-3"/>
    <n v="61.667760000000001"/>
    <s v="BR"/>
    <x v="0"/>
    <x v="2"/>
    <s v="Q1"/>
    <n v="154"/>
    <n v="47"/>
    <s v="48oz"/>
    <n v="1"/>
    <n v="7238"/>
    <n v="61.667760000000001"/>
    <n v="47"/>
  </r>
  <r>
    <n v="67908263"/>
    <x v="3"/>
    <n v="1748"/>
    <d v="2023-01-29T00:00:00"/>
    <x v="164"/>
    <x v="24"/>
    <n v="2.8319999999999999E-3"/>
    <n v="4.9503360000000001"/>
    <s v="GH"/>
    <x v="0"/>
    <x v="4"/>
    <s v="Q1"/>
    <n v="225"/>
    <n v="7.7688888888888892"/>
    <s v="MBG"/>
    <n v="1"/>
    <n v="1748"/>
    <n v="4.9503360000000001"/>
    <n v="7.7688888888888892"/>
  </r>
  <r>
    <n v="68689251"/>
    <x v="3"/>
    <n v="4928"/>
    <d v="2023-01-29T00:00:00"/>
    <x v="17"/>
    <x v="17"/>
    <n v="9.5760000000000012E-3"/>
    <n v="47.190528000000008"/>
    <s v="KL"/>
    <x v="0"/>
    <x v="8"/>
    <s v="Q1"/>
    <n v="132"/>
    <n v="37.333333333333336"/>
    <s v="EDF"/>
    <n v="1"/>
    <n v="4928"/>
    <n v="47.190528000000008"/>
    <n v="37.333333333333336"/>
  </r>
  <r>
    <n v="68689251"/>
    <x v="3"/>
    <n v="0"/>
    <d v="2023-01-29T00:00:00"/>
    <x v="17"/>
    <x v="20"/>
    <n v="9.5760000000000012E-3"/>
    <n v="0"/>
    <s v="KL"/>
    <x v="0"/>
    <x v="8"/>
    <s v="Q1"/>
    <n v="132"/>
    <n v="0"/>
    <s v="EDF"/>
    <n v="1"/>
    <n v="0"/>
    <n v="0"/>
    <n v="0"/>
  </r>
  <r>
    <n v="68689251"/>
    <x v="3"/>
    <n v="6244"/>
    <d v="2023-01-29T00:00:00"/>
    <x v="17"/>
    <x v="20"/>
    <n v="9.5760000000000012E-3"/>
    <n v="59.792544000000007"/>
    <s v="KL"/>
    <x v="0"/>
    <x v="8"/>
    <s v="Q1"/>
    <n v="132"/>
    <n v="47.303030303030305"/>
    <s v="EDF"/>
    <n v="1"/>
    <n v="6244"/>
    <n v="59.792544000000007"/>
    <n v="47.303030303030305"/>
  </r>
  <r>
    <n v="68741714"/>
    <x v="3"/>
    <n v="0"/>
    <d v="2023-01-29T00:00:00"/>
    <x v="24"/>
    <x v="24"/>
    <n v="2.8319999999999999E-3"/>
    <n v="0"/>
    <s v="GH"/>
    <x v="0"/>
    <x v="4"/>
    <s v="Q1"/>
    <n v="225"/>
    <n v="0"/>
    <s v="MBG"/>
    <n v="1"/>
    <n v="0"/>
    <n v="0"/>
    <n v="0"/>
  </r>
  <r>
    <n v="68741742"/>
    <x v="3"/>
    <n v="5874"/>
    <d v="2023-01-29T00:00:00"/>
    <x v="25"/>
    <x v="4"/>
    <n v="4.2560000000000002E-3"/>
    <n v="24.999744"/>
    <s v="GH"/>
    <x v="0"/>
    <x v="4"/>
    <s v="Q1"/>
    <n v="154"/>
    <n v="38.142857142857146"/>
    <s v="MBG"/>
    <n v="1"/>
    <n v="5874"/>
    <n v="24.999744"/>
    <n v="38.142857142857146"/>
  </r>
  <r>
    <n v="68741742"/>
    <x v="2"/>
    <n v="3739"/>
    <d v="2023-01-29T00:00:00"/>
    <x v="25"/>
    <x v="25"/>
    <n v="4.2560000000000002E-3"/>
    <n v="15.913184000000001"/>
    <s v="GH"/>
    <x v="0"/>
    <x v="11"/>
    <s v="Q1"/>
    <n v="154"/>
    <n v="24.279220779220779"/>
    <s v="MBG"/>
    <n v="1"/>
    <n v="3739"/>
    <n v="15.913184000000001"/>
    <n v="24.279220779220779"/>
  </r>
  <r>
    <n v="68746232"/>
    <x v="2"/>
    <n v="3318"/>
    <d v="2023-01-29T00:00:00"/>
    <x v="154"/>
    <x v="26"/>
    <n v="9.5879999999999993E-3"/>
    <n v="31.812983999999997"/>
    <s v="KL"/>
    <x v="0"/>
    <x v="12"/>
    <s v="Q1"/>
    <n v="132"/>
    <n v="25.136363636363637"/>
    <s v="EDF"/>
    <n v="1"/>
    <n v="3318"/>
    <n v="31.812983999999997"/>
    <n v="25.136363636363637"/>
  </r>
  <r>
    <n v="68817801"/>
    <x v="2"/>
    <n v="0"/>
    <d v="2023-01-29T00:00:00"/>
    <x v="183"/>
    <x v="13"/>
    <n v="8.4600000000000005E-3"/>
    <n v="0"/>
    <s v="BR"/>
    <x v="0"/>
    <x v="2"/>
    <s v="Q1"/>
    <n v="176"/>
    <n v="0"/>
    <s v="48oz"/>
    <n v="1"/>
    <n v="0"/>
    <n v="0"/>
    <n v="0"/>
  </r>
  <r>
    <n v="68821729"/>
    <x v="2"/>
    <n v="12538"/>
    <d v="2023-01-29T00:00:00"/>
    <x v="142"/>
    <x v="13"/>
    <n v="8.5199999999999998E-3"/>
    <n v="106.82375999999999"/>
    <s v="BR"/>
    <x v="0"/>
    <x v="2"/>
    <s v="Q1"/>
    <n v="176"/>
    <n v="71.23863636363636"/>
    <s v="48oz"/>
    <n v="1"/>
    <n v="12538"/>
    <n v="106.82375999999999"/>
    <n v="71.23863636363636"/>
  </r>
  <r>
    <n v="68852591"/>
    <x v="3"/>
    <n v="0"/>
    <d v="2023-01-29T00:00:00"/>
    <x v="26"/>
    <x v="17"/>
    <n v="8.5199999999999998E-3"/>
    <n v="0"/>
    <s v="KL"/>
    <x v="0"/>
    <x v="8"/>
    <s v="Q1"/>
    <n v="132"/>
    <n v="0"/>
    <s v="EDF"/>
    <n v="1"/>
    <n v="0"/>
    <n v="0"/>
    <n v="0"/>
  </r>
  <r>
    <n v="68896054"/>
    <x v="2"/>
    <n v="14594"/>
    <d v="2023-01-29T00:00:00"/>
    <x v="181"/>
    <x v="2"/>
    <n v="8.5199999999999998E-3"/>
    <n v="124.34088"/>
    <s v="BR"/>
    <x v="0"/>
    <x v="2"/>
    <s v="Q1"/>
    <n v="176"/>
    <n v="82.920454545454547"/>
    <s v="48oz"/>
    <n v="1"/>
    <n v="14594"/>
    <n v="124.34088"/>
    <n v="82.920454545454547"/>
  </r>
  <r>
    <n v="68922106"/>
    <x v="2"/>
    <n v="12560"/>
    <d v="2023-01-29T00:00:00"/>
    <x v="104"/>
    <x v="22"/>
    <n v="3.552E-3"/>
    <n v="44.613120000000002"/>
    <s v="TA"/>
    <x v="0"/>
    <x v="10"/>
    <s v="Q1"/>
    <n v="255"/>
    <n v="49.254901960784316"/>
    <s v="TALENTI"/>
    <n v="1"/>
    <n v="12560"/>
    <n v="44.613120000000002"/>
    <n v="49.254901960784316"/>
  </r>
  <r>
    <n v="68922108"/>
    <x v="2"/>
    <n v="0"/>
    <d v="2023-01-29T00:00:00"/>
    <x v="184"/>
    <x v="21"/>
    <n v="3.7839999999999996E-3"/>
    <n v="0"/>
    <s v="TA"/>
    <x v="0"/>
    <x v="10"/>
    <s v="Q1"/>
    <n v="255"/>
    <n v="0"/>
    <s v="TALENTI"/>
    <n v="1"/>
    <n v="0"/>
    <n v="0"/>
    <n v="0"/>
  </r>
  <r>
    <n v="69557443"/>
    <x v="4"/>
    <n v="2400"/>
    <d v="2023-01-29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72658"/>
    <x v="2"/>
    <n v="4864"/>
    <d v="2023-01-29T00:00:00"/>
    <x v="166"/>
    <x v="5"/>
    <n v="2.1520000000000003E-3"/>
    <n v="10.467328000000002"/>
    <s v="MG"/>
    <x v="0"/>
    <x v="5"/>
    <s v="Q1"/>
    <n v="210"/>
    <n v="23.161904761904761"/>
    <s v="MG Sticks"/>
    <n v="1"/>
    <n v="4864"/>
    <n v="10.467328000000002"/>
    <n v="23.161904761904761"/>
  </r>
  <r>
    <n v="69621212"/>
    <x v="2"/>
    <n v="3791"/>
    <d v="2023-01-29T00:00:00"/>
    <x v="29"/>
    <x v="28"/>
    <n v="5.2680000000000001E-3"/>
    <n v="19.970988000000002"/>
    <s v="PG"/>
    <x v="0"/>
    <x v="14"/>
    <s v="Q1"/>
    <n v="130"/>
    <n v="29.161538461538463"/>
    <s v="PG"/>
    <n v="1"/>
    <n v="3791"/>
    <n v="19.970988000000002"/>
    <n v="29.161538461538463"/>
  </r>
  <r>
    <n v="69677917"/>
    <x v="3"/>
    <n v="4952"/>
    <d v="2023-01-29T00:00:00"/>
    <x v="30"/>
    <x v="29"/>
    <n v="5.2680000000000001E-3"/>
    <n v="26.087136000000001"/>
    <s v="PS"/>
    <x v="0"/>
    <x v="3"/>
    <s v="Q1"/>
    <n v="108"/>
    <n v="45.851851851851855"/>
    <s v="PG"/>
    <n v="1"/>
    <n v="4952"/>
    <n v="26.087136000000001"/>
    <n v="45.851851851851855"/>
  </r>
  <r>
    <n v="69677917"/>
    <x v="2"/>
    <n v="3799"/>
    <d v="2023-01-29T00:00:00"/>
    <x v="30"/>
    <x v="30"/>
    <n v="5.2680000000000001E-3"/>
    <n v="20.013131999999999"/>
    <s v="PS"/>
    <x v="0"/>
    <x v="14"/>
    <s v="Q1"/>
    <n v="108"/>
    <n v="35.175925925925924"/>
    <s v="PG"/>
    <n v="1"/>
    <n v="3799"/>
    <n v="20.013131999999999"/>
    <n v="35.175925925925924"/>
  </r>
  <r>
    <n v="69691774"/>
    <x v="2"/>
    <n v="0"/>
    <d v="2023-01-29T00:00:00"/>
    <x v="185"/>
    <x v="22"/>
    <n v="3.7839999999999996E-3"/>
    <n v="0"/>
    <s v="TA"/>
    <x v="0"/>
    <x v="10"/>
    <s v="Q1"/>
    <n v="255"/>
    <n v="0"/>
    <s v="TALENTI"/>
    <n v="1"/>
    <n v="0"/>
    <n v="0"/>
    <n v="0"/>
  </r>
  <r>
    <n v="69691903"/>
    <x v="2"/>
    <n v="10904"/>
    <d v="2023-01-29T00:00:00"/>
    <x v="172"/>
    <x v="21"/>
    <n v="3.7839999999999996E-3"/>
    <n v="41.260735999999994"/>
    <s v="TA"/>
    <x v="0"/>
    <x v="10"/>
    <s v="Q1"/>
    <n v="255"/>
    <n v="42.760784313725487"/>
    <s v="TALENTI"/>
    <n v="1"/>
    <n v="10904"/>
    <n v="41.260735999999994"/>
    <n v="42.760784313725487"/>
  </r>
  <r>
    <n v="84164939"/>
    <x v="5"/>
    <n v="6206"/>
    <d v="2023-01-29T00:00:00"/>
    <x v="186"/>
    <x v="35"/>
    <n v="9.0848256361922702E-3"/>
    <n v="56.380427898209227"/>
    <s v="BJ"/>
    <x v="0"/>
    <x v="39"/>
    <s v="Q1"/>
    <n v="125"/>
    <n v="49.648000000000003"/>
    <s v="2.4 Gal"/>
    <n v="1"/>
    <n v="6206"/>
    <n v="56.380427898209227"/>
    <n v="49.648000000000003"/>
  </r>
  <r>
    <n v="67309841"/>
    <x v="2"/>
    <n v="0"/>
    <d v="2023-01-30T00:00:00"/>
    <x v="32"/>
    <x v="32"/>
    <n v="8.5199999999999998E-3"/>
    <n v="0"/>
    <s v="BR"/>
    <x v="0"/>
    <x v="2"/>
    <s v="Q1"/>
    <n v="154"/>
    <n v="0"/>
    <s v="48oz"/>
    <n v="1"/>
    <n v="0"/>
    <n v="0"/>
    <n v="0"/>
  </r>
  <r>
    <n v="67309843"/>
    <x v="3"/>
    <n v="14789"/>
    <d v="2023-01-30T00:00:00"/>
    <x v="88"/>
    <x v="16"/>
    <n v="8.5199999999999998E-3"/>
    <n v="126.00228"/>
    <s v="BR"/>
    <x v="0"/>
    <x v="6"/>
    <s v="Q1"/>
    <n v="154"/>
    <n v="96.032467532467535"/>
    <s v="48oz"/>
    <n v="1"/>
    <n v="14789"/>
    <n v="126.00228"/>
    <n v="96.032467532467535"/>
  </r>
  <r>
    <n v="67309845"/>
    <x v="2"/>
    <n v="9493"/>
    <d v="2023-01-30T00:00:00"/>
    <x v="62"/>
    <x v="13"/>
    <n v="8.5199999999999998E-3"/>
    <n v="80.880359999999996"/>
    <s v="BR"/>
    <x v="0"/>
    <x v="2"/>
    <s v="Q1"/>
    <n v="154"/>
    <n v="61.642857142857146"/>
    <s v="48oz"/>
    <n v="1"/>
    <n v="9493"/>
    <n v="80.880359999999996"/>
    <n v="61.642857142857146"/>
  </r>
  <r>
    <n v="67465063"/>
    <x v="3"/>
    <n v="0"/>
    <d v="2023-01-30T00:00:00"/>
    <x v="3"/>
    <x v="40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2090"/>
    <d v="2023-01-30T00:00:00"/>
    <x v="7"/>
    <x v="3"/>
    <n v="1.596E-3"/>
    <n v="3.3356400000000002"/>
    <s v="PS"/>
    <x v="0"/>
    <x v="3"/>
    <s v="Q1"/>
    <n v="130"/>
    <n v="16.076923076923077"/>
    <s v="PG"/>
    <n v="1"/>
    <n v="2090"/>
    <n v="3.3356400000000002"/>
    <n v="16.076923076923077"/>
  </r>
  <r>
    <n v="67466492"/>
    <x v="3"/>
    <n v="2194"/>
    <d v="2023-01-30T00:00:00"/>
    <x v="8"/>
    <x v="6"/>
    <n v="5.2680000000000001E-3"/>
    <n v="11.557992"/>
    <s v="PS"/>
    <x v="0"/>
    <x v="3"/>
    <s v="Q1"/>
    <n v="130"/>
    <n v="16.876923076923077"/>
    <s v="PG"/>
    <n v="1"/>
    <n v="2194"/>
    <n v="11.557992"/>
    <n v="16.876923076923077"/>
  </r>
  <r>
    <n v="67466492"/>
    <x v="3"/>
    <n v="4871"/>
    <d v="2023-01-30T00:00:00"/>
    <x v="8"/>
    <x v="7"/>
    <n v="5.2680000000000001E-3"/>
    <n v="25.660428"/>
    <s v="PS"/>
    <x v="0"/>
    <x v="3"/>
    <s v="Q1"/>
    <n v="130"/>
    <n v="37.469230769230769"/>
    <s v="PG"/>
    <n v="1"/>
    <n v="4871"/>
    <n v="25.660428"/>
    <n v="37.469230769230769"/>
  </r>
  <r>
    <n v="67466492"/>
    <x v="3"/>
    <n v="2505"/>
    <d v="2023-01-30T00:00:00"/>
    <x v="8"/>
    <x v="8"/>
    <n v="5.2680000000000001E-3"/>
    <n v="13.196340000000001"/>
    <s v="PS"/>
    <x v="0"/>
    <x v="3"/>
    <s v="Q1"/>
    <n v="130"/>
    <n v="19.26923076923077"/>
    <s v="PG"/>
    <n v="1"/>
    <n v="2505"/>
    <n v="13.196340000000001"/>
    <n v="19.26923076923077"/>
  </r>
  <r>
    <n v="67466492"/>
    <x v="3"/>
    <n v="1316"/>
    <d v="2023-01-30T00:00:00"/>
    <x v="8"/>
    <x v="9"/>
    <n v="5.2680000000000001E-3"/>
    <n v="6.9326879999999997"/>
    <s v="PS"/>
    <x v="0"/>
    <x v="3"/>
    <s v="Q1"/>
    <n v="130"/>
    <n v="10.123076923076923"/>
    <s v="PG"/>
    <n v="1"/>
    <n v="1316"/>
    <n v="6.9326879999999997"/>
    <n v="10.123076923076923"/>
  </r>
  <r>
    <n v="67476560"/>
    <x v="3"/>
    <n v="1228"/>
    <d v="2023-01-30T00:00:00"/>
    <x v="10"/>
    <x v="10"/>
    <n v="5.1060000000000003E-3"/>
    <n v="6.270168"/>
    <s v="PS"/>
    <x v="0"/>
    <x v="3"/>
    <s v="Q1"/>
    <n v="130"/>
    <n v="9.4461538461538463"/>
    <s v="PG"/>
    <n v="1"/>
    <n v="1228"/>
    <n v="6.270168"/>
    <n v="9.4461538461538463"/>
  </r>
  <r>
    <n v="67526826"/>
    <x v="5"/>
    <n v="40467"/>
    <d v="2023-01-30T00:00:00"/>
    <x v="187"/>
    <x v="33"/>
    <n v="3.7839999999999996E-3"/>
    <n v="153.12712799999997"/>
    <s v="BJ"/>
    <x v="0"/>
    <x v="15"/>
    <s v="Q1"/>
    <n v="240"/>
    <n v="168.61250000000001"/>
    <s v="BJ PTS"/>
    <n v="1"/>
    <n v="40467"/>
    <n v="153.12712799999997"/>
    <n v="168.61250000000001"/>
  </r>
  <r>
    <n v="67723726"/>
    <x v="3"/>
    <n v="0"/>
    <d v="2023-01-30T00:00:00"/>
    <x v="109"/>
    <x v="23"/>
    <n v="8.5199999999999998E-3"/>
    <n v="0"/>
    <s v="BR"/>
    <x v="0"/>
    <x v="6"/>
    <s v="Q1"/>
    <n v="154"/>
    <n v="0"/>
    <s v="48oz"/>
    <n v="1"/>
    <n v="0"/>
    <n v="0"/>
    <n v="0"/>
  </r>
  <r>
    <n v="67885716"/>
    <x v="3"/>
    <n v="9496"/>
    <d v="2023-01-30T00:00:00"/>
    <x v="89"/>
    <x v="11"/>
    <n v="8.5199999999999998E-3"/>
    <n v="80.905919999999995"/>
    <s v="BR"/>
    <x v="0"/>
    <x v="6"/>
    <s v="Q1"/>
    <n v="154"/>
    <n v="61.662337662337663"/>
    <s v="48oz"/>
    <n v="1"/>
    <n v="9496"/>
    <n v="80.905919999999995"/>
    <n v="61.662337662337663"/>
  </r>
  <r>
    <n v="67885724"/>
    <x v="3"/>
    <n v="6515"/>
    <d v="2023-01-30T00:00:00"/>
    <x v="49"/>
    <x v="12"/>
    <n v="8.5199999999999998E-3"/>
    <n v="55.507799999999996"/>
    <s v="BR"/>
    <x v="0"/>
    <x v="6"/>
    <s v="Q1"/>
    <n v="154"/>
    <n v="42.305194805194802"/>
    <s v="48oz"/>
    <n v="1"/>
    <n v="6515"/>
    <n v="55.507799999999996"/>
    <n v="42.305194805194802"/>
  </r>
  <r>
    <n v="67901585"/>
    <x v="3"/>
    <n v="10859"/>
    <d v="2023-01-30T00:00:00"/>
    <x v="67"/>
    <x v="23"/>
    <n v="8.513999999999999E-3"/>
    <n v="92.453525999999982"/>
    <s v="BR"/>
    <x v="0"/>
    <x v="6"/>
    <s v="Q1"/>
    <n v="154"/>
    <n v="70.512987012987011"/>
    <s v="48oz"/>
    <n v="1"/>
    <n v="10859"/>
    <n v="92.453525999999982"/>
    <n v="70.512987012987011"/>
  </r>
  <r>
    <n v="67901593"/>
    <x v="2"/>
    <n v="21625"/>
    <d v="2023-01-30T00:00:00"/>
    <x v="68"/>
    <x v="32"/>
    <n v="8.5199999999999998E-3"/>
    <n v="184.245"/>
    <s v="BR"/>
    <x v="0"/>
    <x v="2"/>
    <s v="Q1"/>
    <n v="154"/>
    <n v="140.42207792207793"/>
    <s v="48oz"/>
    <n v="1"/>
    <n v="21625"/>
    <n v="184.245"/>
    <n v="140.42207792207793"/>
  </r>
  <r>
    <n v="67908263"/>
    <x v="3"/>
    <n v="0"/>
    <d v="2023-01-30T00:00:00"/>
    <x v="164"/>
    <x v="24"/>
    <n v="2.8319999999999999E-3"/>
    <n v="0"/>
    <s v="GH"/>
    <x v="0"/>
    <x v="4"/>
    <s v="Q1"/>
    <n v="225"/>
    <n v="0"/>
    <s v="MBG"/>
    <n v="1"/>
    <n v="0"/>
    <n v="0"/>
    <n v="0"/>
  </r>
  <r>
    <n v="68115480"/>
    <x v="6"/>
    <n v="3519"/>
    <d v="2023-01-30T00:00:00"/>
    <x v="170"/>
    <x v="0"/>
    <n v="4.1E-5"/>
    <n v="0.14427899999999999"/>
    <s v="MG"/>
    <x v="0"/>
    <x v="20"/>
    <s v="Q1"/>
    <n v="222"/>
    <n v="15.851351351351351"/>
    <s v="Repack MG Sticks"/>
    <n v="1"/>
    <n v="3519"/>
    <n v="0.14427899999999999"/>
    <n v="15.851351351351351"/>
  </r>
  <r>
    <n v="68188183"/>
    <x v="3"/>
    <n v="0"/>
    <d v="2023-01-30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188511"/>
    <x v="5"/>
    <n v="20129"/>
    <d v="2023-01-30T00:00:00"/>
    <x v="188"/>
    <x v="35"/>
    <n v="3.7853439999999999E-3"/>
    <n v="76.195189376000002"/>
    <s v="BJ"/>
    <x v="0"/>
    <x v="15"/>
    <s v="Q1"/>
    <n v="240"/>
    <n v="83.870833333333337"/>
    <s v="BJ PTS"/>
    <n v="1"/>
    <n v="20129"/>
    <n v="76.195189376000002"/>
    <n v="83.870833333333337"/>
  </r>
  <r>
    <n v="68300738"/>
    <x v="3"/>
    <n v="1312"/>
    <d v="2023-01-30T00:00:00"/>
    <x v="120"/>
    <x v="19"/>
    <n v="8.4960000000000001E-3"/>
    <n v="11.146751999999999"/>
    <s v="KL"/>
    <x v="0"/>
    <x v="8"/>
    <s v="Q1"/>
    <n v="132"/>
    <n v="9.9393939393939394"/>
    <s v="EDF"/>
    <n v="1"/>
    <n v="1312"/>
    <n v="11.146751999999999"/>
    <n v="9.9393939393939394"/>
  </r>
  <r>
    <n v="68300738"/>
    <x v="3"/>
    <n v="1293"/>
    <d v="2023-01-30T00:00:00"/>
    <x v="120"/>
    <x v="19"/>
    <n v="8.4960000000000001E-3"/>
    <n v="10.985328000000001"/>
    <s v="KL"/>
    <x v="0"/>
    <x v="8"/>
    <s v="Q1"/>
    <n v="132"/>
    <n v="9.795454545454545"/>
    <s v="EDF"/>
    <n v="1"/>
    <n v="1293"/>
    <n v="10.985328000000001"/>
    <n v="9.795454545454545"/>
  </r>
  <r>
    <n v="68518538"/>
    <x v="5"/>
    <n v="0"/>
    <d v="2023-01-30T00:00:00"/>
    <x v="189"/>
    <x v="33"/>
    <n v="3.6640000000000002E-3"/>
    <n v="0"/>
    <s v="BJ"/>
    <x v="0"/>
    <x v="24"/>
    <s v="Q1"/>
    <n v="240"/>
    <n v="0"/>
    <s v="PTS Exports"/>
    <n v="1"/>
    <n v="0"/>
    <n v="0"/>
    <n v="0"/>
  </r>
  <r>
    <n v="68518538"/>
    <x v="5"/>
    <n v="7305"/>
    <d v="2023-01-30T00:00:00"/>
    <x v="189"/>
    <x v="33"/>
    <n v="3.6640000000000002E-3"/>
    <n v="26.765520000000002"/>
    <s v="BJ"/>
    <x v="0"/>
    <x v="24"/>
    <s v="Q1"/>
    <n v="240"/>
    <n v="30.4375"/>
    <s v="PTS Exports"/>
    <n v="1"/>
    <n v="7305"/>
    <n v="26.765520000000002"/>
    <n v="30.4375"/>
  </r>
  <r>
    <n v="68521425"/>
    <x v="0"/>
    <m/>
    <d v="2023-01-30T00:00:00"/>
    <x v="0"/>
    <x v="0"/>
    <n v="4.248E-3"/>
    <n v="0"/>
    <s v="GH"/>
    <x v="0"/>
    <x v="0"/>
    <s v="Q1"/>
    <n v="216"/>
    <n v="0"/>
    <s v="Giant SW"/>
    <n v="1"/>
    <n v="0"/>
    <n v="0"/>
    <n v="0"/>
  </r>
  <r>
    <n v="68631415"/>
    <x v="5"/>
    <n v="10554"/>
    <d v="2023-01-30T00:00:00"/>
    <x v="190"/>
    <x v="35"/>
    <n v="3.7839999999999996E-3"/>
    <n v="39.936335999999997"/>
    <s v="BJ"/>
    <x v="0"/>
    <x v="24"/>
    <s v="Q1"/>
    <n v="240"/>
    <n v="43.975000000000001"/>
    <s v="PTS Exports"/>
    <n v="1"/>
    <n v="10554"/>
    <n v="39.936335999999997"/>
    <n v="43.975000000000001"/>
  </r>
  <r>
    <n v="68631416"/>
    <x v="5"/>
    <n v="8400"/>
    <d v="2023-01-30T00:00:00"/>
    <x v="191"/>
    <x v="33"/>
    <n v="3.7839999999999996E-3"/>
    <n v="31.785599999999995"/>
    <s v="BJ"/>
    <x v="0"/>
    <x v="24"/>
    <s v="Q1"/>
    <n v="240"/>
    <n v="35"/>
    <s v="PTS Exports"/>
    <n v="1"/>
    <n v="8400"/>
    <n v="31.785599999999995"/>
    <n v="35"/>
  </r>
  <r>
    <n v="68638142"/>
    <x v="13"/>
    <n v="6425"/>
    <d v="2023-01-30T00:00:00"/>
    <x v="192"/>
    <x v="35"/>
    <n v="3.7853439999999999E-3"/>
    <n v="24.320835200000001"/>
    <s v="BJ"/>
    <x v="0"/>
    <x v="36"/>
    <s v="Q1"/>
    <n v="240"/>
    <n v="26.770833333333332"/>
    <s v="BJ PTS"/>
    <n v="1"/>
    <n v="6425"/>
    <n v="24.320835200000001"/>
    <n v="26.770833333333332"/>
  </r>
  <r>
    <n v="68656231"/>
    <x v="3"/>
    <n v="0"/>
    <d v="2023-01-30T00:00:00"/>
    <x v="16"/>
    <x v="16"/>
    <n v="8.5199999999999998E-3"/>
    <n v="0"/>
    <s v="BR"/>
    <x v="0"/>
    <x v="6"/>
    <s v="Q1"/>
    <n v="154"/>
    <n v="0"/>
    <s v="48oz"/>
    <n v="1"/>
    <n v="0"/>
    <n v="0"/>
    <n v="0"/>
  </r>
  <r>
    <n v="68659718"/>
    <x v="3"/>
    <n v="0"/>
    <d v="2023-01-30T00:00:00"/>
    <x v="193"/>
    <x v="24"/>
    <n v="2.8319999999999999E-3"/>
    <n v="0"/>
    <s v="GH"/>
    <x v="0"/>
    <x v="4"/>
    <s v="Q1"/>
    <n v="225"/>
    <n v="0"/>
    <s v="MBG"/>
    <n v="1"/>
    <n v="0"/>
    <n v="0"/>
    <n v="0"/>
  </r>
  <r>
    <n v="68689251"/>
    <x v="3"/>
    <n v="6695"/>
    <d v="2023-01-30T00:00:00"/>
    <x v="17"/>
    <x v="17"/>
    <n v="9.5760000000000012E-3"/>
    <n v="64.111320000000006"/>
    <s v="KL"/>
    <x v="0"/>
    <x v="8"/>
    <s v="Q1"/>
    <n v="132"/>
    <n v="50.719696969696969"/>
    <s v="EDF"/>
    <n v="1"/>
    <n v="6695"/>
    <n v="64.111320000000006"/>
    <n v="50.719696969696969"/>
  </r>
  <r>
    <n v="68689251"/>
    <x v="3"/>
    <n v="4856"/>
    <d v="2023-01-30T00:00:00"/>
    <x v="17"/>
    <x v="20"/>
    <n v="9.5760000000000012E-3"/>
    <n v="46.501056000000005"/>
    <s v="KL"/>
    <x v="0"/>
    <x v="8"/>
    <s v="Q1"/>
    <n v="132"/>
    <n v="36.787878787878789"/>
    <s v="EDF"/>
    <n v="1"/>
    <n v="4856"/>
    <n v="46.501056000000005"/>
    <n v="36.787878787878789"/>
  </r>
  <r>
    <n v="68689251"/>
    <x v="3"/>
    <n v="0"/>
    <d v="2023-01-30T00:00:00"/>
    <x v="17"/>
    <x v="20"/>
    <n v="9.5760000000000012E-3"/>
    <n v="0"/>
    <s v="KL"/>
    <x v="0"/>
    <x v="8"/>
    <s v="Q1"/>
    <n v="132"/>
    <n v="0"/>
    <s v="EDF"/>
    <n v="1"/>
    <n v="0"/>
    <n v="0"/>
    <n v="0"/>
  </r>
  <r>
    <n v="68689253"/>
    <x v="2"/>
    <n v="4336"/>
    <d v="2023-01-30T00:00:00"/>
    <x v="125"/>
    <x v="18"/>
    <n v="6.0035555555555554E-3"/>
    <n v="26.031416888888888"/>
    <s v="KL"/>
    <x v="0"/>
    <x v="9"/>
    <s v="Q1"/>
    <n v="120"/>
    <n v="36.133333333333333"/>
    <s v="ESS"/>
    <n v="1"/>
    <n v="4336"/>
    <n v="26.031416888888888"/>
    <n v="36.133333333333333"/>
  </r>
  <r>
    <n v="68741742"/>
    <x v="3"/>
    <n v="3249"/>
    <d v="2023-01-30T00:00:00"/>
    <x v="25"/>
    <x v="4"/>
    <n v="4.2560000000000002E-3"/>
    <n v="13.827744000000001"/>
    <s v="GH"/>
    <x v="0"/>
    <x v="4"/>
    <s v="Q1"/>
    <n v="154"/>
    <n v="21.097402597402599"/>
    <s v="MBG"/>
    <n v="1"/>
    <n v="3249"/>
    <n v="13.827744000000001"/>
    <n v="21.097402597402599"/>
  </r>
  <r>
    <n v="68741742"/>
    <x v="2"/>
    <n v="886"/>
    <d v="2023-01-30T00:00:00"/>
    <x v="25"/>
    <x v="25"/>
    <n v="4.2560000000000002E-3"/>
    <n v="3.7708160000000004"/>
    <s v="GH"/>
    <x v="0"/>
    <x v="11"/>
    <s v="Q1"/>
    <n v="154"/>
    <n v="5.7532467532467528"/>
    <s v="MBG"/>
    <n v="1"/>
    <n v="886"/>
    <n v="3.7708160000000004"/>
    <n v="5.7532467532467528"/>
  </r>
  <r>
    <n v="68746232"/>
    <x v="2"/>
    <n v="2521"/>
    <d v="2023-01-30T00:00:00"/>
    <x v="154"/>
    <x v="26"/>
    <n v="9.5879999999999993E-3"/>
    <n v="24.171347999999998"/>
    <s v="KL"/>
    <x v="0"/>
    <x v="12"/>
    <s v="Q1"/>
    <n v="132"/>
    <n v="19.098484848484848"/>
    <s v="EDF"/>
    <n v="1"/>
    <n v="2521"/>
    <n v="24.171347999999998"/>
    <n v="19.098484848484848"/>
  </r>
  <r>
    <n v="68817801"/>
    <x v="2"/>
    <n v="0"/>
    <d v="2023-01-30T00:00:00"/>
    <x v="183"/>
    <x v="13"/>
    <n v="8.4600000000000005E-3"/>
    <n v="0"/>
    <s v="BR"/>
    <x v="0"/>
    <x v="2"/>
    <s v="Q1"/>
    <n v="176"/>
    <n v="0"/>
    <s v="48oz"/>
    <n v="1"/>
    <n v="0"/>
    <n v="0"/>
    <n v="0"/>
  </r>
  <r>
    <n v="68860008"/>
    <x v="7"/>
    <n v="14392"/>
    <d v="2023-01-30T00:00:00"/>
    <x v="45"/>
    <x v="0"/>
    <n v="3.7853439999999999E-3"/>
    <n v="54.478670848"/>
    <s v="BJ"/>
    <x v="0"/>
    <x v="18"/>
    <s v="Q1"/>
    <n v="240"/>
    <n v="59.966666666666669"/>
    <s v="BJ PTS"/>
    <n v="1"/>
    <n v="14392"/>
    <n v="54.478670848"/>
    <n v="59.966666666666669"/>
  </r>
  <r>
    <n v="68896054"/>
    <x v="2"/>
    <n v="11095"/>
    <d v="2023-01-30T00:00:00"/>
    <x v="181"/>
    <x v="2"/>
    <n v="8.5199999999999998E-3"/>
    <n v="94.529399999999995"/>
    <s v="BR"/>
    <x v="0"/>
    <x v="2"/>
    <s v="Q1"/>
    <n v="176"/>
    <n v="63.039772727272727"/>
    <s v="48oz"/>
    <n v="1"/>
    <n v="11095"/>
    <n v="94.529399999999995"/>
    <n v="63.039772727272727"/>
  </r>
  <r>
    <n v="68922108"/>
    <x v="2"/>
    <n v="30945"/>
    <d v="2023-01-30T00:00:00"/>
    <x v="184"/>
    <x v="21"/>
    <n v="3.7839999999999996E-3"/>
    <n v="117.09587999999999"/>
    <s v="TA"/>
    <x v="0"/>
    <x v="10"/>
    <s v="Q1"/>
    <n v="255"/>
    <n v="121.35294117647059"/>
    <s v="TALENTI"/>
    <n v="1"/>
    <n v="30945"/>
    <n v="117.09587999999999"/>
    <n v="121.35294117647059"/>
  </r>
  <r>
    <n v="68938274"/>
    <x v="5"/>
    <n v="15896"/>
    <d v="2023-01-30T00:00:00"/>
    <x v="194"/>
    <x v="35"/>
    <n v="3.7839999999999996E-3"/>
    <n v="60.150463999999992"/>
    <s v="BJ"/>
    <x v="0"/>
    <x v="15"/>
    <s v="Q1"/>
    <n v="240"/>
    <n v="66.233333333333334"/>
    <s v="BJ PTS"/>
    <n v="1"/>
    <n v="15896"/>
    <n v="60.150463999999992"/>
    <n v="66.233333333333334"/>
  </r>
  <r>
    <n v="69548143"/>
    <x v="3"/>
    <n v="1582"/>
    <d v="2023-01-30T00:00:00"/>
    <x v="159"/>
    <x v="36"/>
    <n v="3.192E-3"/>
    <n v="5.0497439999999996"/>
    <s v="KL"/>
    <x v="0"/>
    <x v="28"/>
    <s v="Q1"/>
    <n v="345"/>
    <n v="4.5855072463768112"/>
    <s v="EFW"/>
    <n v="1"/>
    <n v="1582"/>
    <n v="5.0497439999999996"/>
    <n v="4.5855072463768112"/>
  </r>
  <r>
    <n v="68871168"/>
    <x v="1"/>
    <n v="3024"/>
    <d v="2023-01-30T00:00:00"/>
    <x v="57"/>
    <x v="0"/>
    <n v="6.0035555555555554E-3"/>
    <n v="18.154751999999998"/>
    <s v="KL"/>
    <x v="0"/>
    <x v="1"/>
    <s v="Q1"/>
    <n v="108"/>
    <n v="28"/>
    <s v="KL Sandwiches"/>
    <n v="1"/>
    <n v="3024"/>
    <n v="18.154751999999998"/>
    <n v="28"/>
  </r>
  <r>
    <n v="69555091"/>
    <x v="2"/>
    <n v="1906"/>
    <d v="2023-01-30T00:00:00"/>
    <x v="195"/>
    <x v="14"/>
    <n v="1.98E-3"/>
    <n v="3.7738800000000001"/>
    <s v="TA"/>
    <x v="0"/>
    <x v="42"/>
    <s v="Q1"/>
    <n v="176"/>
    <n v="10.829545454545455"/>
    <s v="TAL NV"/>
    <n v="1"/>
    <n v="1906"/>
    <n v="3.7738800000000001"/>
    <n v="10.829545454545455"/>
  </r>
  <r>
    <n v="69565374"/>
    <x v="5"/>
    <n v="6034"/>
    <d v="2023-01-30T00:00:00"/>
    <x v="196"/>
    <x v="35"/>
    <n v="9.0850000000000011E-3"/>
    <n v="54.818890000000003"/>
    <s v="BJ"/>
    <x v="0"/>
    <x v="39"/>
    <s v="Q1"/>
    <n v="125"/>
    <n v="48.271999999999998"/>
    <s v="2.4 Gal"/>
    <n v="1"/>
    <n v="6034"/>
    <n v="54.818890000000003"/>
    <n v="48.271999999999998"/>
  </r>
  <r>
    <n v="69572658"/>
    <x v="2"/>
    <n v="2811"/>
    <d v="2023-01-30T00:00:00"/>
    <x v="166"/>
    <x v="5"/>
    <n v="2.1520000000000003E-3"/>
    <n v="6.0492720000000011"/>
    <s v="MG"/>
    <x v="0"/>
    <x v="5"/>
    <s v="Q1"/>
    <n v="210"/>
    <n v="13.385714285714286"/>
    <s v="MG Sticks"/>
    <n v="1"/>
    <n v="2811"/>
    <n v="6.0492720000000011"/>
    <n v="13.385714285714286"/>
  </r>
  <r>
    <n v="69572659"/>
    <x v="2"/>
    <n v="0"/>
    <d v="2023-01-30T00:00:00"/>
    <x v="5"/>
    <x v="5"/>
    <n v="2.1520000000000003E-3"/>
    <n v="0"/>
    <s v="MG"/>
    <x v="0"/>
    <x v="5"/>
    <s v="Q1"/>
    <n v="210"/>
    <n v="0"/>
    <s v="MG Sticks"/>
    <n v="1"/>
    <n v="0"/>
    <n v="0"/>
    <n v="0"/>
  </r>
  <r>
    <n v="69621212"/>
    <x v="2"/>
    <n v="0"/>
    <d v="2023-01-30T00:00:00"/>
    <x v="29"/>
    <x v="28"/>
    <n v="5.2680000000000001E-3"/>
    <n v="0"/>
    <s v="PG"/>
    <x v="0"/>
    <x v="14"/>
    <s v="Q1"/>
    <n v="130"/>
    <n v="0"/>
    <s v="PG"/>
    <n v="1"/>
    <n v="0"/>
    <n v="0"/>
    <n v="0"/>
  </r>
  <r>
    <n v="69621212"/>
    <x v="2"/>
    <n v="9"/>
    <d v="2023-01-30T00:00:00"/>
    <x v="29"/>
    <x v="28"/>
    <n v="5.2680000000000001E-3"/>
    <n v="4.7412000000000003E-2"/>
    <s v="PG"/>
    <x v="0"/>
    <x v="14"/>
    <s v="Q1"/>
    <n v="130"/>
    <n v="6.9230769230769235E-2"/>
    <s v="PG"/>
    <n v="1"/>
    <n v="9"/>
    <n v="4.7412000000000003E-2"/>
    <n v="6.9230769230769235E-2"/>
  </r>
  <r>
    <n v="69629470"/>
    <x v="4"/>
    <n v="2400"/>
    <d v="2023-01-30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398"/>
    <d v="2023-01-30T00:00:00"/>
    <x v="98"/>
    <x v="0"/>
    <n v="5.3220000000000003E-3"/>
    <n v="12.762156000000001"/>
    <s v="KL"/>
    <x v="0"/>
    <x v="13"/>
    <s v="Q1"/>
    <n v="120"/>
    <n v="19.983333333333334"/>
    <s v="KL Mini Cones"/>
    <n v="1"/>
    <n v="2398"/>
    <n v="12.762156000000001"/>
    <n v="19.983333333333334"/>
  </r>
  <r>
    <n v="69629470"/>
    <x v="4"/>
    <n v="2400"/>
    <d v="2023-01-30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398"/>
    <d v="2023-01-30T00:00:00"/>
    <x v="98"/>
    <x v="0"/>
    <n v="5.3220000000000003E-3"/>
    <n v="12.762156000000001"/>
    <s v="KL"/>
    <x v="0"/>
    <x v="13"/>
    <s v="Q1"/>
    <n v="120"/>
    <n v="19.983333333333334"/>
    <s v="KL Mini Cones"/>
    <n v="1"/>
    <n v="2398"/>
    <n v="12.762156000000001"/>
    <n v="19.983333333333334"/>
  </r>
  <r>
    <n v="69629470"/>
    <x v="4"/>
    <n v="2400"/>
    <d v="2023-01-30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29470"/>
    <x v="4"/>
    <n v="2400"/>
    <d v="2023-01-30T00:00:00"/>
    <x v="9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671652"/>
    <x v="3"/>
    <n v="3993"/>
    <d v="2023-01-30T00:00:00"/>
    <x v="197"/>
    <x v="24"/>
    <n v="2.8319999999999999E-3"/>
    <n v="11.308176"/>
    <s v="GH"/>
    <x v="0"/>
    <x v="4"/>
    <s v="Q1"/>
    <n v="225"/>
    <n v="17.746666666666666"/>
    <s v="MBG"/>
    <n v="1"/>
    <n v="3993"/>
    <n v="11.308176"/>
    <n v="17.746666666666666"/>
  </r>
  <r>
    <n v="69677917"/>
    <x v="3"/>
    <n v="3138"/>
    <d v="2023-01-30T00:00:00"/>
    <x v="30"/>
    <x v="29"/>
    <n v="5.2680000000000001E-3"/>
    <n v="16.530984"/>
    <s v="PS"/>
    <x v="0"/>
    <x v="3"/>
    <s v="Q1"/>
    <n v="108"/>
    <n v="29.055555555555557"/>
    <s v="PG"/>
    <n v="1"/>
    <n v="3138"/>
    <n v="16.530984"/>
    <n v="29.055555555555557"/>
  </r>
  <r>
    <n v="69677917"/>
    <x v="2"/>
    <n v="1202"/>
    <d v="2023-01-30T00:00:00"/>
    <x v="30"/>
    <x v="30"/>
    <n v="5.2680000000000001E-3"/>
    <n v="6.3321360000000002"/>
    <s v="PS"/>
    <x v="0"/>
    <x v="14"/>
    <s v="Q1"/>
    <n v="108"/>
    <n v="11.12962962962963"/>
    <s v="PG"/>
    <n v="1"/>
    <n v="1202"/>
    <n v="6.3321360000000002"/>
    <n v="11.12962962962963"/>
  </r>
  <r>
    <n v="69684522"/>
    <x v="2"/>
    <n v="3910"/>
    <d v="2023-01-30T00:00:00"/>
    <x v="31"/>
    <x v="31"/>
    <n v="4.2560000000000002E-3"/>
    <n v="16.64096"/>
    <s v="BR"/>
    <x v="0"/>
    <x v="5"/>
    <s v="Q1"/>
    <n v="143"/>
    <n v="27.342657342657343"/>
    <s v="MG Sticks"/>
    <n v="1"/>
    <n v="3910"/>
    <n v="16.64096"/>
    <n v="27.342657342657343"/>
  </r>
  <r>
    <n v="69691774"/>
    <x v="2"/>
    <n v="0"/>
    <d v="2023-01-30T00:00:00"/>
    <x v="185"/>
    <x v="22"/>
    <n v="3.7839999999999996E-3"/>
    <n v="0"/>
    <s v="TA"/>
    <x v="0"/>
    <x v="10"/>
    <s v="Q1"/>
    <n v="255"/>
    <n v="0"/>
    <s v="TALENTI"/>
    <n v="1"/>
    <n v="0"/>
    <n v="0"/>
    <n v="0"/>
  </r>
  <r>
    <n v="69691774"/>
    <x v="2"/>
    <n v="11337"/>
    <d v="2023-01-30T00:00:00"/>
    <x v="185"/>
    <x v="22"/>
    <n v="3.7839999999999996E-3"/>
    <n v="42.899207999999994"/>
    <s v="TA"/>
    <x v="0"/>
    <x v="10"/>
    <s v="Q1"/>
    <n v="255"/>
    <n v="44.458823529411767"/>
    <s v="TALENTI"/>
    <n v="1"/>
    <n v="11337"/>
    <n v="42.899207999999994"/>
    <n v="44.458823529411767"/>
  </r>
  <r>
    <n v="84135794"/>
    <x v="5"/>
    <n v="5694"/>
    <d v="2023-01-30T00:00:00"/>
    <x v="198"/>
    <x v="35"/>
    <n v="9.0848256361922702E-3"/>
    <n v="51.728997172478785"/>
    <s v="BJ"/>
    <x v="0"/>
    <x v="39"/>
    <s v="Q1"/>
    <n v="125"/>
    <n v="45.552"/>
    <s v="2.4 Gal"/>
    <n v="1"/>
    <n v="5694"/>
    <n v="51.728997172478785"/>
    <n v="45.552"/>
  </r>
  <r>
    <n v="84141094"/>
    <x v="2"/>
    <n v="0"/>
    <d v="2023-01-30T00:00:00"/>
    <x v="107"/>
    <x v="15"/>
    <n v="3.7853439999999999E-3"/>
    <n v="0"/>
    <s v="BJ"/>
    <x v="0"/>
    <x v="30"/>
    <s v="Q1"/>
    <n v="240"/>
    <n v="0"/>
    <s v="BJ PTS"/>
    <n v="1"/>
    <n v="0"/>
    <n v="0"/>
    <n v="0"/>
  </r>
  <r>
    <n v="67278446"/>
    <x v="5"/>
    <n v="9079"/>
    <d v="2023-01-31T00:00:00"/>
    <x v="199"/>
    <x v="33"/>
    <n v="3.7853439999999999E-3"/>
    <n v="34.367138175999997"/>
    <s v="BJ"/>
    <x v="0"/>
    <x v="15"/>
    <s v="Q1"/>
    <n v="240"/>
    <n v="37.829166666666666"/>
    <s v="BJ PTS"/>
    <n v="1"/>
    <n v="9079"/>
    <n v="34.367138175999997"/>
    <n v="37.829166666666666"/>
  </r>
  <r>
    <n v="67309841"/>
    <x v="2"/>
    <n v="6209"/>
    <d v="2023-01-31T00:00:00"/>
    <x v="32"/>
    <x v="2"/>
    <n v="8.5199999999999998E-3"/>
    <n v="52.900680000000001"/>
    <s v="BR"/>
    <x v="0"/>
    <x v="2"/>
    <s v="Q1"/>
    <n v="154"/>
    <n v="40.31818181818182"/>
    <s v="48oz"/>
    <n v="1"/>
    <n v="6209"/>
    <n v="52.900680000000001"/>
    <n v="40.31818181818182"/>
  </r>
  <r>
    <n v="67309843"/>
    <x v="3"/>
    <n v="3493"/>
    <d v="2023-01-31T00:00:00"/>
    <x v="88"/>
    <x v="16"/>
    <n v="8.5199999999999998E-3"/>
    <n v="29.760359999999999"/>
    <s v="BR"/>
    <x v="0"/>
    <x v="6"/>
    <s v="Q1"/>
    <n v="154"/>
    <n v="22.681818181818183"/>
    <s v="48oz"/>
    <n v="1"/>
    <n v="3493"/>
    <n v="29.760359999999999"/>
    <n v="22.681818181818183"/>
  </r>
  <r>
    <n v="67309845"/>
    <x v="2"/>
    <n v="12182"/>
    <d v="2023-01-31T00:00:00"/>
    <x v="62"/>
    <x v="13"/>
    <n v="8.5199999999999998E-3"/>
    <n v="103.79064"/>
    <s v="BR"/>
    <x v="0"/>
    <x v="2"/>
    <s v="Q1"/>
    <n v="154"/>
    <n v="79.103896103896105"/>
    <s v="48oz"/>
    <n v="1"/>
    <n v="12182"/>
    <n v="103.79064"/>
    <n v="79.103896103896105"/>
  </r>
  <r>
    <n v="67465063"/>
    <x v="3"/>
    <n v="0"/>
    <d v="2023-01-31T00:00:00"/>
    <x v="3"/>
    <x v="40"/>
    <n v="5.2680000000000001E-3"/>
    <n v="0"/>
    <s v="PS"/>
    <x v="0"/>
    <x v="3"/>
    <s v="Q1"/>
    <n v="130"/>
    <n v="0"/>
    <s v="PG"/>
    <n v="1"/>
    <n v="0"/>
    <n v="0"/>
    <n v="0"/>
  </r>
  <r>
    <n v="67465064"/>
    <x v="3"/>
    <n v="576"/>
    <d v="2023-01-31T00:00:00"/>
    <x v="7"/>
    <x v="3"/>
    <n v="1.596E-3"/>
    <n v="0.919296"/>
    <s v="PS"/>
    <x v="0"/>
    <x v="3"/>
    <s v="Q1"/>
    <n v="130"/>
    <n v="4.430769230769231"/>
    <s v="PG"/>
    <n v="1"/>
    <n v="576"/>
    <n v="0.919296"/>
    <n v="4.430769230769231"/>
  </r>
  <r>
    <n v="67466492"/>
    <x v="3"/>
    <n v="1712"/>
    <d v="2023-01-31T00:00:00"/>
    <x v="8"/>
    <x v="6"/>
    <n v="5.2680000000000001E-3"/>
    <n v="9.0188160000000011"/>
    <s v="PS"/>
    <x v="0"/>
    <x v="3"/>
    <s v="Q1"/>
    <n v="130"/>
    <n v="13.169230769230769"/>
    <s v="PG"/>
    <n v="1"/>
    <n v="1712"/>
    <n v="9.0188160000000011"/>
    <n v="13.169230769230769"/>
  </r>
  <r>
    <n v="67466492"/>
    <x v="3"/>
    <n v="1462"/>
    <d v="2023-01-31T00:00:00"/>
    <x v="8"/>
    <x v="7"/>
    <n v="5.2680000000000001E-3"/>
    <n v="7.701816"/>
    <s v="PS"/>
    <x v="0"/>
    <x v="3"/>
    <s v="Q1"/>
    <n v="130"/>
    <n v="11.246153846153845"/>
    <s v="PG"/>
    <n v="1"/>
    <n v="1462"/>
    <n v="7.701816"/>
    <n v="11.246153846153845"/>
  </r>
  <r>
    <n v="67466492"/>
    <x v="3"/>
    <n v="0"/>
    <d v="2023-01-31T00:00:00"/>
    <x v="8"/>
    <x v="8"/>
    <n v="5.2680000000000001E-3"/>
    <n v="0"/>
    <s v="PS"/>
    <x v="0"/>
    <x v="3"/>
    <s v="Q1"/>
    <n v="130"/>
    <n v="0"/>
    <s v="PG"/>
    <n v="1"/>
    <n v="0"/>
    <n v="0"/>
    <n v="0"/>
  </r>
  <r>
    <n v="67466492"/>
    <x v="3"/>
    <n v="1430"/>
    <d v="2023-01-31T00:00:00"/>
    <x v="8"/>
    <x v="9"/>
    <n v="5.2680000000000001E-3"/>
    <n v="7.5332400000000002"/>
    <s v="PS"/>
    <x v="0"/>
    <x v="3"/>
    <s v="Q1"/>
    <n v="130"/>
    <n v="11"/>
    <s v="PG"/>
    <n v="1"/>
    <n v="1430"/>
    <n v="7.5332400000000002"/>
    <n v="11"/>
  </r>
  <r>
    <n v="67476560"/>
    <x v="3"/>
    <n v="310"/>
    <d v="2023-01-31T00:00:00"/>
    <x v="10"/>
    <x v="10"/>
    <n v="5.1060000000000003E-3"/>
    <n v="1.5828600000000002"/>
    <s v="PS"/>
    <x v="0"/>
    <x v="3"/>
    <s v="Q1"/>
    <n v="130"/>
    <n v="2.3846153846153846"/>
    <s v="PG"/>
    <n v="1"/>
    <n v="310"/>
    <n v="1.5828600000000002"/>
    <n v="2.3846153846153846"/>
  </r>
  <r>
    <n v="67568055"/>
    <x v="5"/>
    <n v="5347"/>
    <d v="2023-01-31T00:00:00"/>
    <x v="200"/>
    <x v="35"/>
    <n v="9.0848256361922702E-3"/>
    <n v="48.576562676720066"/>
    <s v="BJ"/>
    <x v="0"/>
    <x v="39"/>
    <s v="Q1"/>
    <n v="125"/>
    <n v="42.776000000000003"/>
    <s v="2.4 Gal"/>
    <n v="1"/>
    <n v="5347"/>
    <n v="48.576562676720066"/>
    <n v="42.776000000000003"/>
  </r>
  <r>
    <n v="67723726"/>
    <x v="3"/>
    <n v="0"/>
    <d v="2023-01-31T00:00:00"/>
    <x v="109"/>
    <x v="23"/>
    <n v="8.5199999999999998E-3"/>
    <n v="0"/>
    <s v="BR"/>
    <x v="0"/>
    <x v="6"/>
    <s v="Q1"/>
    <n v="154"/>
    <n v="0"/>
    <s v="48oz"/>
    <n v="1"/>
    <n v="0"/>
    <n v="0"/>
    <n v="0"/>
  </r>
  <r>
    <n v="67885716"/>
    <x v="3"/>
    <n v="0"/>
    <d v="2023-01-31T00:00:00"/>
    <x v="89"/>
    <x v="11"/>
    <n v="8.5199999999999998E-3"/>
    <n v="0"/>
    <s v="BR"/>
    <x v="0"/>
    <x v="6"/>
    <s v="Q1"/>
    <n v="154"/>
    <n v="0"/>
    <s v="48oz"/>
    <n v="1"/>
    <n v="0"/>
    <n v="0"/>
    <n v="0"/>
  </r>
  <r>
    <n v="67885718"/>
    <x v="3"/>
    <n v="0"/>
    <d v="2023-01-31T00:00:00"/>
    <x v="48"/>
    <x v="12"/>
    <n v="8.5199999999999998E-3"/>
    <n v="0"/>
    <s v="BR"/>
    <x v="0"/>
    <x v="6"/>
    <s v="Q1"/>
    <n v="154"/>
    <n v="0"/>
    <s v="48oz"/>
    <n v="1"/>
    <n v="0"/>
    <n v="0"/>
    <n v="0"/>
  </r>
  <r>
    <n v="67901585"/>
    <x v="3"/>
    <n v="4525"/>
    <d v="2023-01-31T00:00:00"/>
    <x v="67"/>
    <x v="23"/>
    <n v="8.513999999999999E-3"/>
    <n v="38.525849999999998"/>
    <s v="BR"/>
    <x v="0"/>
    <x v="6"/>
    <s v="Q1"/>
    <n v="154"/>
    <n v="29.383116883116884"/>
    <s v="48oz"/>
    <n v="1"/>
    <n v="4525"/>
    <n v="38.525849999999998"/>
    <n v="29.383116883116884"/>
  </r>
  <r>
    <n v="67901593"/>
    <x v="2"/>
    <n v="15917"/>
    <d v="2023-01-31T00:00:00"/>
    <x v="68"/>
    <x v="32"/>
    <n v="8.5199999999999998E-3"/>
    <n v="135.61284000000001"/>
    <s v="BR"/>
    <x v="0"/>
    <x v="2"/>
    <s v="Q1"/>
    <n v="154"/>
    <n v="103.35714285714286"/>
    <s v="48oz"/>
    <n v="1"/>
    <n v="15917"/>
    <n v="135.61284000000001"/>
    <n v="103.35714285714286"/>
  </r>
  <r>
    <n v="67905834"/>
    <x v="5"/>
    <n v="28666"/>
    <d v="2023-01-31T00:00:00"/>
    <x v="201"/>
    <x v="35"/>
    <n v="3.7839999999999996E-3"/>
    <n v="108.47214399999999"/>
    <s v="BJ"/>
    <x v="0"/>
    <x v="15"/>
    <s v="Q1"/>
    <n v="240"/>
    <n v="119.44166666666666"/>
    <s v="BJ PTS"/>
    <n v="1"/>
    <n v="28666"/>
    <n v="108.47214399999999"/>
    <n v="119.44166666666666"/>
  </r>
  <r>
    <n v="68115479"/>
    <x v="6"/>
    <n v="0.76900000000000002"/>
    <d v="2023-01-31T00:00:00"/>
    <x v="52"/>
    <x v="0"/>
    <n v="5.7599999999999995E-3"/>
    <n v="4.4294399999999998E-3"/>
    <s v="MG "/>
    <x v="0"/>
    <x v="20"/>
    <s v="Q1"/>
    <n v="30"/>
    <n v="2.5633333333333334E-2"/>
    <s v="Repack MG Sticks"/>
    <n v="1"/>
    <n v="0.76900000000000002"/>
    <n v="4.4294399999999998E-3"/>
    <n v="2.5633333333333334E-2"/>
  </r>
  <r>
    <n v="68188183"/>
    <x v="3"/>
    <n v="0"/>
    <d v="2023-01-31T00:00:00"/>
    <x v="70"/>
    <x v="9"/>
    <n v="3.8340000000000002E-3"/>
    <n v="0"/>
    <s v="PS"/>
    <x v="0"/>
    <x v="3"/>
    <s v="Q1"/>
    <n v="130"/>
    <n v="0"/>
    <s v="PG"/>
    <n v="1"/>
    <n v="0"/>
    <n v="0"/>
    <n v="0"/>
  </r>
  <r>
    <n v="68300738"/>
    <x v="3"/>
    <n v="922"/>
    <d v="2023-01-31T00:00:00"/>
    <x v="120"/>
    <x v="19"/>
    <n v="8.4960000000000001E-3"/>
    <n v="7.8333120000000003"/>
    <s v="KL"/>
    <x v="0"/>
    <x v="8"/>
    <s v="Q1"/>
    <n v="132"/>
    <n v="6.9848484848484844"/>
    <s v="EDF"/>
    <n v="1"/>
    <n v="922"/>
    <n v="7.8333120000000003"/>
    <n v="6.9848484848484844"/>
  </r>
  <r>
    <n v="68631418"/>
    <x v="5"/>
    <n v="6672"/>
    <d v="2023-01-31T00:00:00"/>
    <x v="202"/>
    <x v="33"/>
    <n v="3.7839999999999996E-3"/>
    <n v="25.246847999999996"/>
    <s v="BJ"/>
    <x v="0"/>
    <x v="24"/>
    <s v="Q1"/>
    <n v="240"/>
    <n v="27.8"/>
    <s v="PTS Exports"/>
    <n v="1"/>
    <n v="6672"/>
    <n v="25.246847999999996"/>
    <n v="27.8"/>
  </r>
  <r>
    <n v="68638136"/>
    <x v="13"/>
    <n v="7574"/>
    <d v="2023-01-31T00:00:00"/>
    <x v="203"/>
    <x v="35"/>
    <n v="3.7839999999999996E-3"/>
    <n v="28.660015999999995"/>
    <s v="BJ"/>
    <x v="0"/>
    <x v="36"/>
    <s v="Q1"/>
    <n v="240"/>
    <n v="31.558333333333334"/>
    <s v="BJ PTS"/>
    <n v="1"/>
    <n v="7574"/>
    <n v="28.660015999999995"/>
    <n v="31.558333333333334"/>
  </r>
  <r>
    <n v="68656231"/>
    <x v="3"/>
    <n v="0"/>
    <d v="2023-01-31T00:00:00"/>
    <x v="16"/>
    <x v="16"/>
    <n v="8.5199999999999998E-3"/>
    <n v="0"/>
    <s v="BR"/>
    <x v="0"/>
    <x v="6"/>
    <s v="Q1"/>
    <n v="154"/>
    <n v="0"/>
    <s v="48oz"/>
    <n v="1"/>
    <n v="0"/>
    <n v="0"/>
    <n v="0"/>
  </r>
  <r>
    <n v="68659718"/>
    <x v="3"/>
    <n v="0"/>
    <d v="2023-01-31T00:00:00"/>
    <x v="193"/>
    <x v="24"/>
    <n v="2.8319999999999999E-3"/>
    <n v="0"/>
    <s v="GH"/>
    <x v="0"/>
    <x v="4"/>
    <s v="Q1"/>
    <n v="225"/>
    <n v="0"/>
    <s v="MBG"/>
    <n v="1"/>
    <n v="0"/>
    <n v="0"/>
    <n v="0"/>
  </r>
  <r>
    <n v="68689251"/>
    <x v="3"/>
    <n v="2488"/>
    <d v="2023-01-31T00:00:00"/>
    <x v="17"/>
    <x v="17"/>
    <n v="9.5760000000000012E-3"/>
    <n v="23.825088000000004"/>
    <s v="KL"/>
    <x v="0"/>
    <x v="8"/>
    <s v="Q1"/>
    <n v="132"/>
    <n v="18.848484848484848"/>
    <s v="EDF"/>
    <n v="1"/>
    <n v="2488"/>
    <n v="23.825088000000004"/>
    <n v="18.848484848484848"/>
  </r>
  <r>
    <n v="68689251"/>
    <x v="3"/>
    <n v="1340"/>
    <d v="2023-01-31T00:00:00"/>
    <x v="17"/>
    <x v="20"/>
    <n v="9.5760000000000012E-3"/>
    <n v="12.831840000000001"/>
    <s v="KL"/>
    <x v="0"/>
    <x v="8"/>
    <s v="Q1"/>
    <n v="132"/>
    <n v="10.151515151515152"/>
    <s v="EDF"/>
    <n v="1"/>
    <n v="1340"/>
    <n v="12.831840000000001"/>
    <n v="10.151515151515152"/>
  </r>
  <r>
    <n v="68689253"/>
    <x v="2"/>
    <n v="2738"/>
    <d v="2023-01-31T00:00:00"/>
    <x v="125"/>
    <x v="18"/>
    <n v="6.0035555555555554E-3"/>
    <n v="16.43773511111111"/>
    <s v="KL"/>
    <x v="0"/>
    <x v="9"/>
    <s v="Q1"/>
    <n v="120"/>
    <n v="22.816666666666666"/>
    <s v="ESS"/>
    <n v="1"/>
    <n v="2738"/>
    <n v="16.43773511111111"/>
    <n v="22.816666666666666"/>
  </r>
  <r>
    <n v="68692903"/>
    <x v="5"/>
    <n v="4581"/>
    <d v="2023-01-31T00:00:00"/>
    <x v="204"/>
    <x v="35"/>
    <n v="9.0848256361922702E-3"/>
    <n v="41.617586239396793"/>
    <s v="BJ"/>
    <x v="0"/>
    <x v="39"/>
    <s v="Q1"/>
    <n v="125"/>
    <n v="36.648000000000003"/>
    <s v="2.4 Gal"/>
    <n v="1"/>
    <n v="4581"/>
    <n v="41.617586239396793"/>
    <n v="36.648000000000003"/>
  </r>
  <r>
    <n v="68729702"/>
    <x v="2"/>
    <n v="0"/>
    <d v="2023-01-31T00:00:00"/>
    <x v="205"/>
    <x v="22"/>
    <n v="3.7853440000000004E-3"/>
    <n v="0"/>
    <s v="TA"/>
    <x v="0"/>
    <x v="10"/>
    <s v="Q1"/>
    <n v="255"/>
    <n v="0"/>
    <s v="TALENTI"/>
    <n v="1"/>
    <n v="0"/>
    <n v="0"/>
    <n v="0"/>
  </r>
  <r>
    <n v="68741742"/>
    <x v="3"/>
    <n v="0"/>
    <d v="2023-01-31T00:00:00"/>
    <x v="25"/>
    <x v="4"/>
    <n v="4.2560000000000002E-3"/>
    <n v="0"/>
    <s v="GH"/>
    <x v="0"/>
    <x v="4"/>
    <s v="Q1"/>
    <n v="154"/>
    <n v="0"/>
    <s v="MBG"/>
    <n v="1"/>
    <n v="0"/>
    <n v="0"/>
    <n v="0"/>
  </r>
  <r>
    <n v="68741742"/>
    <x v="2"/>
    <n v="2876"/>
    <d v="2023-01-31T00:00:00"/>
    <x v="25"/>
    <x v="25"/>
    <n v="4.2560000000000002E-3"/>
    <n v="12.240256"/>
    <s v="GH"/>
    <x v="0"/>
    <x v="11"/>
    <s v="Q1"/>
    <n v="154"/>
    <n v="18.675324675324674"/>
    <s v="MBG"/>
    <n v="1"/>
    <n v="2876"/>
    <n v="12.240256"/>
    <n v="18.675324675324674"/>
  </r>
  <r>
    <n v="68746232"/>
    <x v="2"/>
    <n v="2624"/>
    <d v="2023-01-31T00:00:00"/>
    <x v="154"/>
    <x v="26"/>
    <n v="9.5879999999999993E-3"/>
    <n v="25.158911999999997"/>
    <s v="KL"/>
    <x v="0"/>
    <x v="12"/>
    <s v="Q1"/>
    <n v="132"/>
    <n v="19.878787878787879"/>
    <s v="EDF"/>
    <n v="1"/>
    <n v="2624"/>
    <n v="25.158911999999997"/>
    <n v="19.878787878787879"/>
  </r>
  <r>
    <n v="68817801"/>
    <x v="2"/>
    <n v="0"/>
    <d v="2023-01-31T00:00:00"/>
    <x v="183"/>
    <x v="13"/>
    <n v="8.4600000000000005E-3"/>
    <n v="0"/>
    <s v="BR"/>
    <x v="0"/>
    <x v="2"/>
    <s v="Q1"/>
    <n v="176"/>
    <n v="0"/>
    <s v="48oz"/>
    <n v="1"/>
    <n v="0"/>
    <n v="0"/>
    <n v="0"/>
  </r>
  <r>
    <n v="68860008"/>
    <x v="7"/>
    <n v="14400"/>
    <d v="2023-01-31T00:00:00"/>
    <x v="45"/>
    <x v="0"/>
    <n v="3.7853439999999999E-3"/>
    <n v="54.508953599999998"/>
    <s v="BJ"/>
    <x v="0"/>
    <x v="18"/>
    <s v="Q1"/>
    <n v="240"/>
    <n v="60"/>
    <s v="BJ PTS"/>
    <n v="1"/>
    <n v="14400"/>
    <n v="54.508953599999998"/>
    <n v="60"/>
  </r>
  <r>
    <n v="68896054"/>
    <x v="2"/>
    <n v="0"/>
    <d v="2023-01-31T00:00:00"/>
    <x v="181"/>
    <x v="2"/>
    <n v="8.5199999999999998E-3"/>
    <n v="0"/>
    <s v="BR"/>
    <x v="0"/>
    <x v="2"/>
    <s v="Q1"/>
    <n v="176"/>
    <n v="0"/>
    <s v="48oz"/>
    <n v="1"/>
    <n v="0"/>
    <n v="0"/>
    <n v="0"/>
  </r>
  <r>
    <n v="68922108"/>
    <x v="2"/>
    <n v="24495"/>
    <d v="2023-01-31T00:00:00"/>
    <x v="184"/>
    <x v="21"/>
    <n v="3.7839999999999996E-3"/>
    <n v="92.68907999999999"/>
    <s v="TA"/>
    <x v="0"/>
    <x v="10"/>
    <s v="Q1"/>
    <n v="255"/>
    <n v="96.058823529411768"/>
    <s v="TALENTI"/>
    <n v="1"/>
    <n v="24495"/>
    <n v="92.68907999999999"/>
    <n v="96.058823529411768"/>
  </r>
  <r>
    <n v="69548143"/>
    <x v="3"/>
    <n v="0"/>
    <d v="2023-01-31T00:00:00"/>
    <x v="159"/>
    <x v="36"/>
    <n v="3.192E-3"/>
    <n v="0"/>
    <s v="KL"/>
    <x v="0"/>
    <x v="28"/>
    <s v="Q1"/>
    <n v="345"/>
    <n v="0"/>
    <s v="EFW"/>
    <n v="1"/>
    <n v="0"/>
    <n v="0"/>
    <n v="0"/>
  </r>
  <r>
    <n v="68871168"/>
    <x v="1"/>
    <n v="2838"/>
    <d v="2023-01-31T00:00:00"/>
    <x v="57"/>
    <x v="0"/>
    <n v="6.0035555555555554E-3"/>
    <n v="17.038090666666665"/>
    <s v="KL"/>
    <x v="0"/>
    <x v="1"/>
    <s v="Q1"/>
    <n v="108"/>
    <n v="26.277777777777779"/>
    <s v="KL Sandwiches"/>
    <n v="1"/>
    <n v="2838"/>
    <n v="17.038090666666665"/>
    <n v="26.277777777777779"/>
  </r>
  <r>
    <n v="68871168"/>
    <x v="1"/>
    <n v="2190"/>
    <d v="2023-01-31T00:00:00"/>
    <x v="57"/>
    <x v="0"/>
    <n v="6.0035555555555554E-3"/>
    <n v="13.147786666666667"/>
    <s v="KL"/>
    <x v="0"/>
    <x v="1"/>
    <s v="Q1"/>
    <n v="108"/>
    <n v="20.277777777777779"/>
    <s v="KL Sandwiches"/>
    <n v="1"/>
    <n v="2190"/>
    <n v="13.147786666666667"/>
    <n v="20.277777777777779"/>
  </r>
  <r>
    <n v="69555091"/>
    <x v="2"/>
    <n v="543"/>
    <d v="2023-01-31T00:00:00"/>
    <x v="195"/>
    <x v="14"/>
    <n v="1.98E-3"/>
    <n v="1.07514"/>
    <s v="TA"/>
    <x v="0"/>
    <x v="42"/>
    <s v="Q1"/>
    <n v="176"/>
    <n v="3.0852272727272729"/>
    <s v="TAL NV"/>
    <n v="1"/>
    <n v="543"/>
    <n v="1.07514"/>
    <n v="3.0852272727272729"/>
  </r>
  <r>
    <n v="69557443"/>
    <x v="4"/>
    <n v="2400"/>
    <d v="2023-01-31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31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400"/>
    <d v="2023-01-31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57443"/>
    <x v="4"/>
    <n v="2394"/>
    <d v="2023-01-31T00:00:00"/>
    <x v="28"/>
    <x v="0"/>
    <n v="5.3220000000000003E-3"/>
    <n v="12.740868000000001"/>
    <s v="KL"/>
    <x v="0"/>
    <x v="13"/>
    <s v="Q1"/>
    <n v="120"/>
    <n v="19.95"/>
    <s v="KL Mini Cones"/>
    <n v="1"/>
    <n v="2394"/>
    <n v="12.740868000000001"/>
    <n v="19.95"/>
  </r>
  <r>
    <n v="69557443"/>
    <x v="4"/>
    <n v="2400"/>
    <d v="2023-01-31T00:00:00"/>
    <x v="28"/>
    <x v="0"/>
    <n v="5.3220000000000003E-3"/>
    <n v="12.7728"/>
    <s v="KL"/>
    <x v="0"/>
    <x v="13"/>
    <s v="Q1"/>
    <n v="120"/>
    <n v="20"/>
    <s v="KL Mini Cones"/>
    <n v="1"/>
    <n v="2400"/>
    <n v="12.7728"/>
    <n v="20"/>
  </r>
  <r>
    <n v="69565376"/>
    <x v="5"/>
    <n v="20457"/>
    <d v="2023-01-31T00:00:00"/>
    <x v="206"/>
    <x v="35"/>
    <n v="3.7839999999999996E-3"/>
    <n v="77.409287999999989"/>
    <s v="BJ"/>
    <x v="0"/>
    <x v="15"/>
    <s v="Q1"/>
    <n v="240"/>
    <n v="85.237499999999997"/>
    <s v="BJ PTS"/>
    <n v="1"/>
    <n v="20457"/>
    <n v="77.409287999999989"/>
    <n v="85.237499999999997"/>
  </r>
  <r>
    <n v="69572659"/>
    <x v="2"/>
    <n v="0"/>
    <d v="2023-01-31T00:00:00"/>
    <x v="5"/>
    <x v="5"/>
    <n v="2.1520000000000003E-3"/>
    <n v="0"/>
    <s v="MG"/>
    <x v="0"/>
    <x v="5"/>
    <s v="Q1"/>
    <n v="210"/>
    <n v="0"/>
    <s v="MG Sticks"/>
    <n v="1"/>
    <n v="0"/>
    <n v="0"/>
    <n v="0"/>
  </r>
  <r>
    <n v="69572659"/>
    <x v="2"/>
    <n v="0"/>
    <d v="2023-01-31T00:00:00"/>
    <x v="5"/>
    <x v="5"/>
    <n v="2.1520000000000003E-3"/>
    <n v="0"/>
    <s v="MG"/>
    <x v="0"/>
    <x v="5"/>
    <s v="Q1"/>
    <n v="210"/>
    <n v="0"/>
    <s v="MG Sticks"/>
    <n v="1"/>
    <n v="0"/>
    <n v="0"/>
    <n v="0"/>
  </r>
  <r>
    <n v="69572659"/>
    <x v="2"/>
    <n v="296"/>
    <d v="2023-01-31T00:00:00"/>
    <x v="5"/>
    <x v="5"/>
    <n v="2.1520000000000003E-3"/>
    <n v="0.63699200000000011"/>
    <s v="MG"/>
    <x v="0"/>
    <x v="5"/>
    <s v="Q1"/>
    <n v="210"/>
    <n v="1.4095238095238096"/>
    <s v="MG Sticks"/>
    <n v="1"/>
    <n v="296"/>
    <n v="0.63699200000000011"/>
    <n v="1.4095238095238096"/>
  </r>
  <r>
    <n v="69621212"/>
    <x v="2"/>
    <n v="0"/>
    <d v="2023-01-31T00:00:00"/>
    <x v="29"/>
    <x v="28"/>
    <n v="5.2680000000000001E-3"/>
    <n v="0"/>
    <s v="PG"/>
    <x v="0"/>
    <x v="14"/>
    <s v="Q1"/>
    <n v="130"/>
    <n v="0"/>
    <s v="PG"/>
    <n v="1"/>
    <n v="0"/>
    <n v="0"/>
    <n v="0"/>
  </r>
  <r>
    <n v="69629477"/>
    <x v="1"/>
    <n v="0.61799999999999999"/>
    <d v="2023-01-31T00:00:00"/>
    <x v="61"/>
    <x v="0"/>
    <n v="5.3280000000000003E-3"/>
    <n v="3.292704E-3"/>
    <s v="KL"/>
    <x v="0"/>
    <x v="26"/>
    <s v="Q1"/>
    <n v="108"/>
    <n v="5.7222222222222223E-3"/>
    <s v="KL Mini Cones"/>
    <n v="1"/>
    <n v="0.61799999999999999"/>
    <n v="3.292704E-3"/>
    <n v="5.7222222222222223E-3"/>
  </r>
  <r>
    <n v="69671652"/>
    <x v="3"/>
    <n v="1049"/>
    <d v="2023-01-31T00:00:00"/>
    <x v="197"/>
    <x v="24"/>
    <n v="2.8319999999999999E-3"/>
    <n v="2.9707680000000001"/>
    <s v="GH"/>
    <x v="0"/>
    <x v="4"/>
    <s v="Q1"/>
    <n v="225"/>
    <n v="4.6622222222222218"/>
    <s v="MBG"/>
    <n v="1"/>
    <n v="1049"/>
    <n v="2.9707680000000001"/>
    <n v="4.6622222222222218"/>
  </r>
  <r>
    <n v="69677917"/>
    <x v="3"/>
    <n v="0"/>
    <d v="2023-01-31T00:00:00"/>
    <x v="30"/>
    <x v="29"/>
    <n v="5.2680000000000001E-3"/>
    <n v="0"/>
    <s v="PS"/>
    <x v="0"/>
    <x v="3"/>
    <s v="Q1"/>
    <n v="108"/>
    <n v="0"/>
    <s v="PG"/>
    <n v="1"/>
    <n v="0"/>
    <n v="0"/>
    <n v="0"/>
  </r>
  <r>
    <n v="69677917"/>
    <x v="2"/>
    <n v="3897"/>
    <d v="2023-01-31T00:00:00"/>
    <x v="30"/>
    <x v="30"/>
    <n v="5.2680000000000001E-3"/>
    <n v="20.529396000000002"/>
    <s v="PS"/>
    <x v="0"/>
    <x v="14"/>
    <s v="Q1"/>
    <n v="108"/>
    <n v="36.083333333333336"/>
    <s v="PG"/>
    <n v="1"/>
    <n v="3897"/>
    <n v="20.529396000000002"/>
    <n v="36.083333333333336"/>
  </r>
  <r>
    <n v="69684522"/>
    <x v="2"/>
    <n v="5131"/>
    <d v="2023-01-31T00:00:00"/>
    <x v="31"/>
    <x v="31"/>
    <n v="4.2560000000000002E-3"/>
    <n v="21.837536"/>
    <s v="BR"/>
    <x v="0"/>
    <x v="5"/>
    <s v="Q1"/>
    <n v="143"/>
    <n v="35.88111888111888"/>
    <s v="MG Sticks"/>
    <n v="1"/>
    <n v="5131"/>
    <n v="21.837536"/>
    <n v="35.88111888111888"/>
  </r>
  <r>
    <n v="69691774"/>
    <x v="2"/>
    <n v="9969"/>
    <d v="2023-01-31T00:00:00"/>
    <x v="185"/>
    <x v="22"/>
    <n v="3.7839999999999996E-3"/>
    <n v="37.722695999999999"/>
    <s v="TA"/>
    <x v="0"/>
    <x v="10"/>
    <s v="Q1"/>
    <n v="255"/>
    <n v="39.094117647058823"/>
    <s v="TALENTI"/>
    <n v="1"/>
    <n v="9969"/>
    <n v="37.722695999999999"/>
    <n v="39.094117647058823"/>
  </r>
  <r>
    <n v="84137725"/>
    <x v="13"/>
    <n v="62400"/>
    <d v="2023-01-31T00:00:00"/>
    <x v="132"/>
    <x v="33"/>
    <n v="3.7853439999999999E-3"/>
    <n v="236.2054656"/>
    <s v="BJ"/>
    <x v="0"/>
    <x v="36"/>
    <s v="Q1"/>
    <n v="240"/>
    <n v="260"/>
    <s v="BJ PTS"/>
    <n v="1"/>
    <n v="62400"/>
    <n v="236.2054656"/>
    <n v="260"/>
  </r>
  <r>
    <n v="84137725"/>
    <x v="13"/>
    <n v="27925"/>
    <d v="2023-01-31T00:00:00"/>
    <x v="132"/>
    <x v="33"/>
    <n v="3.7853439999999999E-3"/>
    <n v="105.7057312"/>
    <s v="BJ"/>
    <x v="0"/>
    <x v="36"/>
    <s v="Q1"/>
    <n v="240"/>
    <n v="116.35416666666667"/>
    <s v="BJ PTS"/>
    <n v="1"/>
    <n v="27925"/>
    <n v="105.7057312"/>
    <n v="116.35416666666667"/>
  </r>
  <r>
    <n v="84141094"/>
    <x v="2"/>
    <n v="0"/>
    <d v="2023-01-31T00:00:00"/>
    <x v="107"/>
    <x v="15"/>
    <n v="3.7853439999999999E-3"/>
    <n v="0"/>
    <s v="BJ"/>
    <x v="0"/>
    <x v="30"/>
    <s v="Q1"/>
    <n v="240"/>
    <n v="0"/>
    <s v="BJ PTS"/>
    <n v="1"/>
    <n v="0"/>
    <n v="0"/>
    <n v="0"/>
  </r>
  <r>
    <n v="67309841"/>
    <x v="2"/>
    <n v="14533"/>
    <d v="2023-02-01T00:00:00"/>
    <x v="32"/>
    <x v="2"/>
    <n v="8.5199999999999998E-3"/>
    <n v="123.82115999999999"/>
    <s v="BR"/>
    <x v="2"/>
    <x v="2"/>
    <s v="Q1"/>
    <n v="154"/>
    <n v="94.370129870129873"/>
    <s v="48oz"/>
    <n v="1"/>
    <n v="14533"/>
    <n v="123.82115999999999"/>
    <n v="94.370129870129873"/>
  </r>
  <r>
    <n v="67309845"/>
    <x v="2"/>
    <n v="13361"/>
    <d v="2023-02-01T00:00:00"/>
    <x v="62"/>
    <x v="13"/>
    <n v="8.5199999999999998E-3"/>
    <n v="113.83571999999999"/>
    <s v="BR"/>
    <x v="2"/>
    <x v="2"/>
    <s v="Q1"/>
    <n v="154"/>
    <n v="86.759740259740255"/>
    <s v="48oz"/>
    <n v="1"/>
    <n v="13361"/>
    <n v="113.83571999999999"/>
    <n v="86.759740259740255"/>
  </r>
  <r>
    <n v="67465063"/>
    <x v="3"/>
    <n v="0"/>
    <d v="2023-02-01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01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0"/>
    <d v="2023-02-01T00:00:00"/>
    <x v="8"/>
    <x v="6"/>
    <n v="5.2680000000000001E-3"/>
    <n v="0"/>
    <s v="PS"/>
    <x v="2"/>
    <x v="3"/>
    <s v="Q1"/>
    <n v="130"/>
    <n v="0"/>
    <s v="PG"/>
    <n v="1"/>
    <n v="0"/>
    <n v="0"/>
    <n v="0"/>
  </r>
  <r>
    <n v="67466492"/>
    <x v="3"/>
    <n v="0"/>
    <d v="2023-02-01T00:00:00"/>
    <x v="8"/>
    <x v="7"/>
    <n v="5.2680000000000001E-3"/>
    <n v="0"/>
    <s v="PS"/>
    <x v="2"/>
    <x v="3"/>
    <s v="Q1"/>
    <n v="130"/>
    <n v="0"/>
    <s v="PG"/>
    <n v="1"/>
    <n v="0"/>
    <n v="0"/>
    <n v="0"/>
  </r>
  <r>
    <n v="67466492"/>
    <x v="3"/>
    <n v="0"/>
    <d v="2023-02-01T00:00:00"/>
    <x v="8"/>
    <x v="8"/>
    <n v="5.2680000000000001E-3"/>
    <n v="0"/>
    <s v="PS"/>
    <x v="2"/>
    <x v="3"/>
    <s v="Q1"/>
    <n v="130"/>
    <n v="0"/>
    <s v="PG"/>
    <n v="1"/>
    <n v="0"/>
    <n v="0"/>
    <n v="0"/>
  </r>
  <r>
    <n v="67466492"/>
    <x v="3"/>
    <n v="0"/>
    <d v="2023-02-01T00:00:00"/>
    <x v="8"/>
    <x v="9"/>
    <n v="5.2680000000000001E-3"/>
    <n v="0"/>
    <s v="PS"/>
    <x v="2"/>
    <x v="3"/>
    <s v="Q1"/>
    <n v="130"/>
    <n v="0"/>
    <s v="PG"/>
    <n v="1"/>
    <n v="0"/>
    <n v="0"/>
    <n v="0"/>
  </r>
  <r>
    <n v="67476560"/>
    <x v="3"/>
    <n v="0"/>
    <d v="2023-02-01T00:00:00"/>
    <x v="10"/>
    <x v="10"/>
    <n v="5.1060000000000003E-3"/>
    <n v="0"/>
    <s v="PS"/>
    <x v="2"/>
    <x v="3"/>
    <s v="Q1"/>
    <n v="130"/>
    <n v="0"/>
    <s v="PG"/>
    <n v="1"/>
    <n v="0"/>
    <n v="0"/>
    <n v="0"/>
  </r>
  <r>
    <n v="67723726"/>
    <x v="3"/>
    <n v="0"/>
    <d v="2023-02-01T00:00:00"/>
    <x v="109"/>
    <x v="23"/>
    <n v="8.5199999999999998E-3"/>
    <n v="0"/>
    <s v="BR"/>
    <x v="2"/>
    <x v="6"/>
    <s v="Q1"/>
    <n v="154"/>
    <n v="0"/>
    <s v="48oz"/>
    <n v="1"/>
    <n v="0"/>
    <n v="0"/>
    <n v="0"/>
  </r>
  <r>
    <n v="67723726"/>
    <x v="3"/>
    <n v="0"/>
    <d v="2023-02-01T00:00:00"/>
    <x v="109"/>
    <x v="23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0"/>
    <d v="2023-02-01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8"/>
    <x v="3"/>
    <n v="0"/>
    <d v="2023-02-01T00:00:00"/>
    <x v="48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2"/>
    <n v="0"/>
    <d v="2023-02-01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901585"/>
    <x v="3"/>
    <n v="0"/>
    <d v="2023-02-01T00:00:00"/>
    <x v="67"/>
    <x v="23"/>
    <n v="8.513999999999999E-3"/>
    <n v="0"/>
    <s v="BR"/>
    <x v="2"/>
    <x v="6"/>
    <s v="Q1"/>
    <n v="154"/>
    <n v="0"/>
    <s v="48oz"/>
    <n v="1"/>
    <n v="0"/>
    <n v="0"/>
    <n v="0"/>
  </r>
  <r>
    <n v="67901593"/>
    <x v="2"/>
    <n v="15241"/>
    <d v="2023-02-01T00:00:00"/>
    <x v="68"/>
    <x v="32"/>
    <n v="8.5199999999999998E-3"/>
    <n v="129.85332"/>
    <s v="BR"/>
    <x v="2"/>
    <x v="2"/>
    <s v="Q1"/>
    <n v="154"/>
    <n v="98.967532467532465"/>
    <s v="48oz"/>
    <n v="1"/>
    <n v="15241"/>
    <n v="129.85332"/>
    <n v="98.967532467532465"/>
  </r>
  <r>
    <n v="68117572"/>
    <x v="2"/>
    <n v="0"/>
    <d v="2023-02-01T00:00:00"/>
    <x v="31"/>
    <x v="14"/>
    <n v="4.2560000000000002E-3"/>
    <n v="0"/>
    <s v="BR"/>
    <x v="2"/>
    <x v="5"/>
    <s v="Q1"/>
    <n v="143"/>
    <n v="0"/>
    <s v="MG Sticks"/>
    <n v="1"/>
    <n v="0"/>
    <n v="0"/>
    <n v="0"/>
  </r>
  <r>
    <n v="68188183"/>
    <x v="3"/>
    <n v="0"/>
    <d v="2023-02-01T00:00:00"/>
    <x v="70"/>
    <x v="9"/>
    <n v="3.8340000000000002E-3"/>
    <n v="0"/>
    <s v="PS"/>
    <x v="2"/>
    <x v="3"/>
    <s v="Q1"/>
    <n v="130"/>
    <n v="0"/>
    <s v="PG"/>
    <n v="1"/>
    <n v="0"/>
    <n v="0"/>
    <n v="0"/>
  </r>
  <r>
    <n v="68300738"/>
    <x v="3"/>
    <n v="0"/>
    <d v="2023-02-01T00:00:00"/>
    <x v="120"/>
    <x v="19"/>
    <n v="8.4960000000000001E-3"/>
    <n v="0"/>
    <s v="KL"/>
    <x v="2"/>
    <x v="8"/>
    <s v="Q1"/>
    <n v="132"/>
    <n v="0"/>
    <s v="EDF"/>
    <n v="1"/>
    <n v="0"/>
    <n v="0"/>
    <n v="0"/>
  </r>
  <r>
    <n v="68631413"/>
    <x v="5"/>
    <n v="6884"/>
    <d v="2023-02-01T00:00:00"/>
    <x v="207"/>
    <x v="33"/>
    <n v="3.7839999999999996E-3"/>
    <n v="26.049055999999997"/>
    <s v="BJ"/>
    <x v="2"/>
    <x v="24"/>
    <s v="Q1"/>
    <n v="240"/>
    <n v="28.683333333333334"/>
    <s v="PTS Exports"/>
    <n v="1"/>
    <n v="6884"/>
    <n v="26.049055999999997"/>
    <n v="28.683333333333334"/>
  </r>
  <r>
    <n v="68634167"/>
    <x v="2"/>
    <n v="0"/>
    <d v="2023-02-01T00:00:00"/>
    <x v="91"/>
    <x v="2"/>
    <n v="8.5199999999999998E-3"/>
    <n v="0"/>
    <s v="BR"/>
    <x v="2"/>
    <x v="2"/>
    <s v="Q1"/>
    <n v="154"/>
    <n v="0"/>
    <s v="48oz"/>
    <n v="1"/>
    <n v="0"/>
    <n v="0"/>
    <n v="0"/>
  </r>
  <r>
    <n v="68634168"/>
    <x v="3"/>
    <n v="0"/>
    <d v="2023-02-01T00:00:00"/>
    <x v="42"/>
    <x v="16"/>
    <n v="8.5170239596469108E-3"/>
    <n v="0"/>
    <s v="BR"/>
    <x v="2"/>
    <x v="6"/>
    <s v="Q1"/>
    <n v="154"/>
    <n v="0"/>
    <s v="48oz"/>
    <n v="1"/>
    <n v="0"/>
    <n v="0"/>
    <n v="0"/>
  </r>
  <r>
    <n v="68656229"/>
    <x v="2"/>
    <n v="0"/>
    <d v="2023-02-01T00:00:00"/>
    <x v="208"/>
    <x v="2"/>
    <n v="8.5199999999999998E-3"/>
    <n v="0"/>
    <s v="BR"/>
    <x v="2"/>
    <x v="2"/>
    <s v="Q1"/>
    <n v="154"/>
    <n v="0"/>
    <s v="48oz"/>
    <n v="1"/>
    <n v="0"/>
    <n v="0"/>
    <n v="0"/>
  </r>
  <r>
    <n v="68656231"/>
    <x v="3"/>
    <n v="0"/>
    <d v="2023-02-01T00:00:00"/>
    <x v="16"/>
    <x v="16"/>
    <n v="8.5199999999999998E-3"/>
    <n v="0"/>
    <s v="BR"/>
    <x v="2"/>
    <x v="6"/>
    <s v="Q1"/>
    <n v="154"/>
    <n v="0"/>
    <s v="48oz"/>
    <n v="1"/>
    <n v="0"/>
    <n v="0"/>
    <n v="0"/>
  </r>
  <r>
    <n v="68659718"/>
    <x v="3"/>
    <n v="0"/>
    <d v="2023-02-01T00:00:00"/>
    <x v="193"/>
    <x v="24"/>
    <n v="2.8319999999999999E-3"/>
    <n v="0"/>
    <s v="GH"/>
    <x v="2"/>
    <x v="4"/>
    <s v="Q1"/>
    <n v="225"/>
    <n v="0"/>
    <s v="MBG"/>
    <n v="1"/>
    <n v="0"/>
    <n v="0"/>
    <n v="0"/>
  </r>
  <r>
    <n v="68689251"/>
    <x v="3"/>
    <n v="0"/>
    <d v="2023-02-01T00:00:00"/>
    <x v="17"/>
    <x v="17"/>
    <n v="9.5760000000000012E-3"/>
    <n v="0"/>
    <s v="KL"/>
    <x v="2"/>
    <x v="8"/>
    <s v="Q1"/>
    <n v="132"/>
    <n v="0"/>
    <s v="EDF"/>
    <n v="1"/>
    <n v="0"/>
    <n v="0"/>
    <n v="0"/>
  </r>
  <r>
    <n v="68689251"/>
    <x v="3"/>
    <n v="0"/>
    <d v="2023-02-01T00:00:00"/>
    <x v="17"/>
    <x v="20"/>
    <n v="9.5760000000000012E-3"/>
    <n v="0"/>
    <s v="KL"/>
    <x v="2"/>
    <x v="8"/>
    <s v="Q1"/>
    <n v="132"/>
    <n v="0"/>
    <s v="EDF"/>
    <n v="1"/>
    <n v="0"/>
    <n v="0"/>
    <n v="0"/>
  </r>
  <r>
    <n v="68689253"/>
    <x v="2"/>
    <n v="5871"/>
    <d v="2023-02-01T00:00:00"/>
    <x v="125"/>
    <x v="18"/>
    <n v="6.0035555555555554E-3"/>
    <n v="35.246874666666663"/>
    <s v="KL"/>
    <x v="2"/>
    <x v="9"/>
    <s v="Q1"/>
    <n v="120"/>
    <n v="48.924999999999997"/>
    <s v="ESS"/>
    <n v="1"/>
    <n v="5871"/>
    <n v="35.246874666666663"/>
    <n v="48.924999999999997"/>
  </r>
  <r>
    <n v="68729702"/>
    <x v="2"/>
    <n v="18214"/>
    <d v="2023-02-01T00:00:00"/>
    <x v="205"/>
    <x v="22"/>
    <n v="3.7853440000000004E-3"/>
    <n v="68.946255616000002"/>
    <s v="TA"/>
    <x v="2"/>
    <x v="10"/>
    <s v="Q1"/>
    <n v="255"/>
    <n v="71.427450980392152"/>
    <s v="TALENTI"/>
    <n v="1"/>
    <n v="18214"/>
    <n v="68.946255616000002"/>
    <n v="71.427450980392152"/>
  </r>
  <r>
    <n v="68730234"/>
    <x v="2"/>
    <n v="0"/>
    <d v="2023-02-01T00:00:00"/>
    <x v="21"/>
    <x v="21"/>
    <n v="3.7853440000000004E-3"/>
    <n v="0"/>
    <s v="TA"/>
    <x v="2"/>
    <x v="10"/>
    <s v="Q1"/>
    <n v="255"/>
    <n v="0"/>
    <s v="TALENTI"/>
    <n v="1"/>
    <n v="0"/>
    <n v="0"/>
    <n v="0"/>
  </r>
  <r>
    <n v="68741742"/>
    <x v="3"/>
    <n v="0"/>
    <d v="2023-02-01T00:00:00"/>
    <x v="25"/>
    <x v="4"/>
    <n v="4.2560000000000002E-3"/>
    <n v="0"/>
    <s v="GH"/>
    <x v="2"/>
    <x v="4"/>
    <s v="Q1"/>
    <n v="154"/>
    <n v="0"/>
    <s v="MBG"/>
    <n v="1"/>
    <n v="0"/>
    <n v="0"/>
    <n v="0"/>
  </r>
  <r>
    <n v="68741742"/>
    <x v="2"/>
    <n v="3083"/>
    <d v="2023-02-01T00:00:00"/>
    <x v="25"/>
    <x v="25"/>
    <n v="4.2560000000000002E-3"/>
    <n v="13.121248000000001"/>
    <s v="GH"/>
    <x v="2"/>
    <x v="11"/>
    <s v="Q1"/>
    <n v="154"/>
    <n v="20.019480519480521"/>
    <s v="MBG"/>
    <n v="1"/>
    <n v="3083"/>
    <n v="13.121248000000001"/>
    <n v="20.019480519480521"/>
  </r>
  <r>
    <n v="68746232"/>
    <x v="2"/>
    <n v="2588"/>
    <d v="2023-02-01T00:00:00"/>
    <x v="154"/>
    <x v="26"/>
    <n v="9.5879999999999993E-3"/>
    <n v="24.813744"/>
    <s v="KL"/>
    <x v="2"/>
    <x v="12"/>
    <s v="Q1"/>
    <n v="132"/>
    <n v="19.606060606060606"/>
    <s v="EDF"/>
    <n v="1"/>
    <n v="2588"/>
    <n v="24.813744"/>
    <n v="19.606060606060606"/>
  </r>
  <r>
    <n v="69548143"/>
    <x v="3"/>
    <n v="0"/>
    <d v="2023-02-01T00:00:00"/>
    <x v="159"/>
    <x v="36"/>
    <n v="3.192E-3"/>
    <n v="0"/>
    <s v="KL"/>
    <x v="2"/>
    <x v="28"/>
    <s v="Q1"/>
    <n v="345"/>
    <n v="0"/>
    <s v="EFW"/>
    <n v="1"/>
    <n v="0"/>
    <n v="0"/>
    <n v="0"/>
  </r>
  <r>
    <n v="68871168"/>
    <x v="1"/>
    <n v="960"/>
    <d v="2023-02-01T00:00:00"/>
    <x v="1"/>
    <x v="1"/>
    <n v="6.0035555555555554E-3"/>
    <n v="5.7634133333333333"/>
    <s v="KL"/>
    <x v="2"/>
    <x v="1"/>
    <s v="Q1"/>
    <n v="108"/>
    <n v="8.8888888888888893"/>
    <s v="KL Sandwiches"/>
    <n v="1"/>
    <n v="960"/>
    <n v="5.7634133333333333"/>
    <n v="8.8888888888888893"/>
  </r>
  <r>
    <n v="69555091"/>
    <x v="2"/>
    <n v="0"/>
    <d v="2023-02-01T00:00:00"/>
    <x v="195"/>
    <x v="14"/>
    <n v="1.98E-3"/>
    <n v="0"/>
    <s v="TA"/>
    <x v="2"/>
    <x v="42"/>
    <s v="Q1"/>
    <n v="176"/>
    <n v="0"/>
    <s v="TAL NV"/>
    <n v="1"/>
    <n v="0"/>
    <n v="0"/>
    <n v="0"/>
  </r>
  <r>
    <n v="69568963"/>
    <x v="2"/>
    <n v="0"/>
    <d v="2023-02-01T00:00:00"/>
    <x v="94"/>
    <x v="13"/>
    <n v="8.5199999999999998E-3"/>
    <n v="0"/>
    <s v="BR"/>
    <x v="2"/>
    <x v="2"/>
    <s v="Q1"/>
    <n v="176"/>
    <n v="0"/>
    <s v="48oz"/>
    <n v="1"/>
    <n v="0"/>
    <n v="0"/>
    <n v="0"/>
  </r>
  <r>
    <n v="69572659"/>
    <x v="2"/>
    <n v="8485"/>
    <d v="2023-02-01T00:00:00"/>
    <x v="5"/>
    <x v="5"/>
    <n v="2.1520000000000003E-3"/>
    <n v="18.259720000000002"/>
    <s v="MG"/>
    <x v="2"/>
    <x v="5"/>
    <s v="Q1"/>
    <n v="210"/>
    <n v="40.404761904761905"/>
    <s v="MG Sticks"/>
    <n v="1"/>
    <n v="8485"/>
    <n v="18.259720000000002"/>
    <n v="40.404761904761905"/>
  </r>
  <r>
    <n v="69600859"/>
    <x v="5"/>
    <n v="0"/>
    <d v="2023-02-01T00:00:00"/>
    <x v="209"/>
    <x v="35"/>
    <n v="9.0850000000000011E-3"/>
    <n v="0"/>
    <s v="BJ"/>
    <x v="2"/>
    <x v="39"/>
    <s v="Q1"/>
    <n v="125"/>
    <n v="0"/>
    <s v="2.4 Gal"/>
    <n v="1"/>
    <n v="0"/>
    <n v="0"/>
    <n v="0"/>
  </r>
  <r>
    <n v="69621212"/>
    <x v="2"/>
    <n v="0"/>
    <d v="2023-02-01T00:00:00"/>
    <x v="29"/>
    <x v="28"/>
    <n v="5.2680000000000001E-3"/>
    <n v="0"/>
    <s v="PG"/>
    <x v="2"/>
    <x v="14"/>
    <s v="Q1"/>
    <n v="130"/>
    <n v="0"/>
    <s v="PG"/>
    <n v="1"/>
    <n v="0"/>
    <n v="0"/>
    <n v="0"/>
  </r>
  <r>
    <n v="69671652"/>
    <x v="3"/>
    <n v="0"/>
    <d v="2023-02-01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0"/>
    <d v="2023-02-01T00:00:00"/>
    <x v="30"/>
    <x v="29"/>
    <n v="5.2680000000000001E-3"/>
    <n v="0"/>
    <s v="PS"/>
    <x v="2"/>
    <x v="3"/>
    <s v="Q1"/>
    <n v="108"/>
    <n v="0"/>
    <s v="PG"/>
    <n v="1"/>
    <n v="0"/>
    <n v="0"/>
    <n v="0"/>
  </r>
  <r>
    <n v="69677917"/>
    <x v="2"/>
    <n v="3670"/>
    <d v="2023-02-01T00:00:00"/>
    <x v="30"/>
    <x v="30"/>
    <n v="5.2680000000000001E-3"/>
    <n v="19.333560000000002"/>
    <s v="PS"/>
    <x v="2"/>
    <x v="14"/>
    <s v="Q1"/>
    <n v="108"/>
    <n v="33.981481481481481"/>
    <s v="PG"/>
    <n v="1"/>
    <n v="3670"/>
    <n v="19.333560000000002"/>
    <n v="33.981481481481481"/>
  </r>
  <r>
    <n v="69684522"/>
    <x v="2"/>
    <n v="7125"/>
    <d v="2023-02-01T00:00:00"/>
    <x v="31"/>
    <x v="31"/>
    <n v="4.2560000000000002E-3"/>
    <n v="30.324000000000002"/>
    <s v="BR"/>
    <x v="2"/>
    <x v="5"/>
    <s v="Q1"/>
    <n v="143"/>
    <n v="49.825174825174827"/>
    <s v="MG Sticks"/>
    <n v="1"/>
    <n v="7125"/>
    <n v="30.324000000000002"/>
    <n v="49.825174825174827"/>
  </r>
  <r>
    <n v="69691774"/>
    <x v="2"/>
    <n v="0"/>
    <d v="2023-02-01T00:00:00"/>
    <x v="185"/>
    <x v="22"/>
    <n v="3.7839999999999996E-3"/>
    <n v="0"/>
    <s v="TA"/>
    <x v="2"/>
    <x v="10"/>
    <s v="Q1"/>
    <n v="255"/>
    <n v="0"/>
    <s v="TALENTI"/>
    <n v="1"/>
    <n v="0"/>
    <n v="0"/>
    <n v="0"/>
  </r>
  <r>
    <n v="67309841"/>
    <x v="2"/>
    <n v="1054"/>
    <d v="2023-02-02T00:00:00"/>
    <x v="32"/>
    <x v="2"/>
    <n v="8.5199999999999998E-3"/>
    <n v="8.9800799999999992"/>
    <s v="BR"/>
    <x v="2"/>
    <x v="2"/>
    <s v="Q1"/>
    <n v="154"/>
    <n v="6.8441558441558445"/>
    <s v="48oz"/>
    <n v="1"/>
    <n v="1054"/>
    <n v="8.9800799999999992"/>
    <n v="6.8441558441558445"/>
  </r>
  <r>
    <n v="67309845"/>
    <x v="2"/>
    <n v="390"/>
    <d v="2023-02-02T00:00:00"/>
    <x v="62"/>
    <x v="13"/>
    <n v="8.5199999999999998E-3"/>
    <n v="3.3228"/>
    <s v="BR"/>
    <x v="2"/>
    <x v="2"/>
    <s v="Q1"/>
    <n v="154"/>
    <n v="2.5324675324675323"/>
    <s v="48oz"/>
    <n v="1"/>
    <n v="390"/>
    <n v="3.3228"/>
    <n v="2.5324675324675323"/>
  </r>
  <r>
    <n v="67465063"/>
    <x v="3"/>
    <n v="0"/>
    <d v="2023-02-02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550"/>
    <d v="2023-02-02T00:00:00"/>
    <x v="7"/>
    <x v="3"/>
    <n v="1.596E-3"/>
    <n v="2.4737999999999998"/>
    <s v="PS"/>
    <x v="2"/>
    <x v="3"/>
    <s v="Q1"/>
    <n v="130"/>
    <n v="11.923076923076923"/>
    <s v="PG"/>
    <n v="1"/>
    <n v="1550"/>
    <n v="2.4737999999999998"/>
    <n v="11.923076923076923"/>
  </r>
  <r>
    <n v="67466492"/>
    <x v="3"/>
    <n v="2818"/>
    <d v="2023-02-02T00:00:00"/>
    <x v="8"/>
    <x v="6"/>
    <n v="5.2680000000000001E-3"/>
    <n v="14.845224"/>
    <s v="PS"/>
    <x v="2"/>
    <x v="3"/>
    <s v="Q1"/>
    <n v="130"/>
    <n v="21.676923076923078"/>
    <s v="PG"/>
    <n v="1"/>
    <n v="2818"/>
    <n v="14.845224"/>
    <n v="21.676923076923078"/>
  </r>
  <r>
    <n v="67466492"/>
    <x v="3"/>
    <n v="2197"/>
    <d v="2023-02-02T00:00:00"/>
    <x v="8"/>
    <x v="7"/>
    <n v="5.2680000000000001E-3"/>
    <n v="11.573796"/>
    <s v="PS"/>
    <x v="2"/>
    <x v="3"/>
    <s v="Q1"/>
    <n v="130"/>
    <n v="16.899999999999999"/>
    <s v="PG"/>
    <n v="1"/>
    <n v="2197"/>
    <n v="11.573796"/>
    <n v="16.899999999999999"/>
  </r>
  <r>
    <n v="67466492"/>
    <x v="3"/>
    <n v="2317"/>
    <d v="2023-02-02T00:00:00"/>
    <x v="8"/>
    <x v="8"/>
    <n v="5.2680000000000001E-3"/>
    <n v="12.205956"/>
    <s v="PS"/>
    <x v="2"/>
    <x v="3"/>
    <s v="Q1"/>
    <n v="130"/>
    <n v="17.823076923076922"/>
    <s v="PG"/>
    <n v="1"/>
    <n v="2317"/>
    <n v="12.205956"/>
    <n v="17.823076923076922"/>
  </r>
  <r>
    <n v="67466492"/>
    <x v="3"/>
    <n v="776"/>
    <d v="2023-02-02T00:00:00"/>
    <x v="8"/>
    <x v="9"/>
    <n v="5.2680000000000001E-3"/>
    <n v="4.087968"/>
    <s v="PS"/>
    <x v="2"/>
    <x v="3"/>
    <s v="Q1"/>
    <n v="130"/>
    <n v="5.9692307692307693"/>
    <s v="PG"/>
    <n v="1"/>
    <n v="776"/>
    <n v="4.087968"/>
    <n v="5.9692307692307693"/>
  </r>
  <r>
    <n v="67476560"/>
    <x v="3"/>
    <n v="2386"/>
    <d v="2023-02-02T00:00:00"/>
    <x v="10"/>
    <x v="10"/>
    <n v="5.1060000000000003E-3"/>
    <n v="12.182916000000001"/>
    <s v="PS"/>
    <x v="2"/>
    <x v="3"/>
    <s v="Q1"/>
    <n v="130"/>
    <n v="18.353846153846153"/>
    <s v="PG"/>
    <n v="1"/>
    <n v="2386"/>
    <n v="12.182916000000001"/>
    <n v="18.353846153846153"/>
  </r>
  <r>
    <n v="67491117"/>
    <x v="5"/>
    <n v="21203"/>
    <d v="2023-02-02T00:00:00"/>
    <x v="210"/>
    <x v="35"/>
    <n v="3.7853439999999999E-3"/>
    <n v="80.260648832000001"/>
    <s v="BJ"/>
    <x v="2"/>
    <x v="15"/>
    <s v="Q1"/>
    <n v="240"/>
    <n v="88.345833333333331"/>
    <s v="BJ PTS"/>
    <n v="1"/>
    <n v="21203"/>
    <n v="80.260648832000001"/>
    <n v="88.345833333333331"/>
  </r>
  <r>
    <n v="67723726"/>
    <x v="3"/>
    <n v="0"/>
    <d v="2023-02-02T00:00:00"/>
    <x v="109"/>
    <x v="23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11459"/>
    <d v="2023-02-02T00:00:00"/>
    <x v="89"/>
    <x v="11"/>
    <n v="8.5199999999999998E-3"/>
    <n v="97.630679999999998"/>
    <s v="BR"/>
    <x v="2"/>
    <x v="6"/>
    <s v="Q1"/>
    <n v="154"/>
    <n v="74.409090909090907"/>
    <s v="48oz"/>
    <n v="1"/>
    <n v="11459"/>
    <n v="97.630679999999998"/>
    <n v="74.409090909090907"/>
  </r>
  <r>
    <n v="67885718"/>
    <x v="3"/>
    <n v="6395"/>
    <d v="2023-02-02T00:00:00"/>
    <x v="48"/>
    <x v="12"/>
    <n v="8.5199999999999998E-3"/>
    <n v="54.485399999999998"/>
    <s v="BR"/>
    <x v="2"/>
    <x v="6"/>
    <s v="Q1"/>
    <n v="154"/>
    <n v="41.525974025974023"/>
    <s v="48oz"/>
    <n v="1"/>
    <n v="6395"/>
    <n v="54.485399999999998"/>
    <n v="41.525974025974023"/>
  </r>
  <r>
    <n v="67885719"/>
    <x v="2"/>
    <n v="23254"/>
    <d v="2023-02-02T00:00:00"/>
    <x v="11"/>
    <x v="32"/>
    <n v="8.5199999999999998E-3"/>
    <n v="198.12407999999999"/>
    <s v="BR"/>
    <x v="2"/>
    <x v="2"/>
    <s v="Q1"/>
    <n v="154"/>
    <n v="151"/>
    <s v="48oz"/>
    <n v="1"/>
    <n v="23254"/>
    <n v="198.12407999999999"/>
    <n v="151"/>
  </r>
  <r>
    <n v="67901585"/>
    <x v="3"/>
    <n v="8247"/>
    <d v="2023-02-02T00:00:00"/>
    <x v="67"/>
    <x v="23"/>
    <n v="8.513999999999999E-3"/>
    <n v="70.214957999999996"/>
    <s v="BR"/>
    <x v="2"/>
    <x v="6"/>
    <s v="Q1"/>
    <n v="154"/>
    <n v="53.551948051948052"/>
    <s v="48oz"/>
    <n v="1"/>
    <n v="8247"/>
    <n v="70.214957999999996"/>
    <n v="53.551948051948052"/>
  </r>
  <r>
    <n v="68117572"/>
    <x v="2"/>
    <n v="6124"/>
    <d v="2023-02-02T00:00:00"/>
    <x v="31"/>
    <x v="14"/>
    <n v="4.2560000000000002E-3"/>
    <n v="26.063744"/>
    <s v="BR"/>
    <x v="2"/>
    <x v="5"/>
    <s v="Q1"/>
    <n v="143"/>
    <n v="42.825174825174827"/>
    <s v="MG Sticks"/>
    <n v="1"/>
    <n v="6124"/>
    <n v="26.063744"/>
    <n v="42.825174825174827"/>
  </r>
  <r>
    <n v="68188183"/>
    <x v="3"/>
    <n v="0"/>
    <d v="2023-02-02T00:00:00"/>
    <x v="70"/>
    <x v="9"/>
    <n v="3.8340000000000002E-3"/>
    <n v="0"/>
    <s v="PS"/>
    <x v="2"/>
    <x v="3"/>
    <s v="Q1"/>
    <n v="130"/>
    <n v="0"/>
    <s v="PG"/>
    <n v="1"/>
    <n v="0"/>
    <n v="0"/>
    <n v="0"/>
  </r>
  <r>
    <n v="68300738"/>
    <x v="3"/>
    <n v="5488"/>
    <d v="2023-02-02T00:00:00"/>
    <x v="120"/>
    <x v="19"/>
    <n v="8.4960000000000001E-3"/>
    <n v="46.626047999999997"/>
    <s v="KL"/>
    <x v="2"/>
    <x v="8"/>
    <s v="Q1"/>
    <n v="132"/>
    <n v="41.575757575757578"/>
    <s v="EDF"/>
    <n v="1"/>
    <n v="5488"/>
    <n v="46.626047999999997"/>
    <n v="41.575757575757578"/>
  </r>
  <r>
    <n v="68521425"/>
    <x v="0"/>
    <n v="22537"/>
    <d v="2023-02-02T00:00:00"/>
    <x v="0"/>
    <x v="0"/>
    <n v="4.248E-3"/>
    <n v="95.737176000000005"/>
    <s v="GH"/>
    <x v="2"/>
    <x v="0"/>
    <s v="Q1"/>
    <n v="216"/>
    <n v="104.33796296296296"/>
    <s v="Giant SW"/>
    <n v="1"/>
    <n v="22537"/>
    <n v="95.737176000000005"/>
    <n v="104.33796296296296"/>
  </r>
  <r>
    <n v="68599804"/>
    <x v="0"/>
    <n v="14518"/>
    <d v="2023-02-02T00:00:00"/>
    <x v="114"/>
    <x v="1"/>
    <n v="8.5170239596469108E-3"/>
    <n v="123.65015384615386"/>
    <s v="BR"/>
    <x v="2"/>
    <x v="32"/>
    <s v="Q1"/>
    <n v="156"/>
    <n v="93.064102564102569"/>
    <s v="48oz"/>
    <n v="1"/>
    <n v="14518"/>
    <n v="123.65015384615386"/>
    <n v="93.064102564102569"/>
  </r>
  <r>
    <n v="68634167"/>
    <x v="2"/>
    <n v="9393"/>
    <d v="2023-02-02T00:00:00"/>
    <x v="91"/>
    <x v="2"/>
    <n v="8.5199999999999998E-3"/>
    <n v="80.028359999999992"/>
    <s v="BR"/>
    <x v="2"/>
    <x v="2"/>
    <s v="Q1"/>
    <n v="154"/>
    <n v="60.993506493506494"/>
    <s v="48oz"/>
    <n v="1"/>
    <n v="9393"/>
    <n v="80.028359999999992"/>
    <n v="60.993506493506494"/>
  </r>
  <r>
    <n v="68634168"/>
    <x v="3"/>
    <n v="7922"/>
    <d v="2023-02-02T00:00:00"/>
    <x v="42"/>
    <x v="16"/>
    <n v="8.5170239596469108E-3"/>
    <n v="67.471863808322823"/>
    <s v="BR"/>
    <x v="2"/>
    <x v="6"/>
    <s v="Q1"/>
    <n v="154"/>
    <n v="51.441558441558442"/>
    <s v="48oz"/>
    <n v="1"/>
    <n v="7922"/>
    <n v="67.471863808322823"/>
    <n v="51.441558441558442"/>
  </r>
  <r>
    <n v="68656229"/>
    <x v="2"/>
    <n v="0"/>
    <d v="2023-02-02T00:00:00"/>
    <x v="208"/>
    <x v="2"/>
    <n v="8.5199999999999998E-3"/>
    <n v="0"/>
    <s v="BR"/>
    <x v="2"/>
    <x v="2"/>
    <s v="Q1"/>
    <n v="154"/>
    <n v="0"/>
    <s v="48oz"/>
    <n v="1"/>
    <n v="0"/>
    <n v="0"/>
    <n v="0"/>
  </r>
  <r>
    <n v="68656232"/>
    <x v="3"/>
    <n v="0"/>
    <d v="2023-02-02T00:00:00"/>
    <x v="211"/>
    <x v="16"/>
    <n v="8.5199999999999998E-3"/>
    <n v="0"/>
    <s v="BR"/>
    <x v="2"/>
    <x v="6"/>
    <s v="Q1"/>
    <n v="154"/>
    <n v="0"/>
    <s v="48oz"/>
    <n v="1"/>
    <n v="0"/>
    <n v="0"/>
    <n v="0"/>
  </r>
  <r>
    <n v="68659718"/>
    <x v="3"/>
    <n v="0"/>
    <d v="2023-02-02T00:00:00"/>
    <x v="193"/>
    <x v="24"/>
    <n v="2.8319999999999999E-3"/>
    <n v="0"/>
    <s v="GH"/>
    <x v="2"/>
    <x v="4"/>
    <s v="Q1"/>
    <n v="225"/>
    <n v="0"/>
    <s v="MBG"/>
    <n v="1"/>
    <n v="0"/>
    <n v="0"/>
    <n v="0"/>
  </r>
  <r>
    <n v="68689251"/>
    <x v="3"/>
    <n v="4633"/>
    <d v="2023-02-02T00:00:00"/>
    <x v="17"/>
    <x v="17"/>
    <n v="9.5760000000000012E-3"/>
    <n v="44.365608000000009"/>
    <s v="KL"/>
    <x v="2"/>
    <x v="8"/>
    <s v="Q1"/>
    <n v="132"/>
    <n v="35.098484848484851"/>
    <s v="EDF"/>
    <n v="1"/>
    <n v="4633"/>
    <n v="44.365608000000009"/>
    <n v="35.098484848484851"/>
  </r>
  <r>
    <n v="68689251"/>
    <x v="3"/>
    <n v="3409"/>
    <d v="2023-02-02T00:00:00"/>
    <x v="17"/>
    <x v="20"/>
    <n v="9.5760000000000012E-3"/>
    <n v="32.644584000000002"/>
    <s v="KL"/>
    <x v="2"/>
    <x v="8"/>
    <s v="Q1"/>
    <n v="132"/>
    <n v="25.825757575757574"/>
    <s v="EDF"/>
    <n v="1"/>
    <n v="3409"/>
    <n v="32.644584000000002"/>
    <n v="25.825757575757574"/>
  </r>
  <r>
    <n v="68689253"/>
    <x v="2"/>
    <n v="5836"/>
    <d v="2023-02-02T00:00:00"/>
    <x v="125"/>
    <x v="18"/>
    <n v="6.0035555555555554E-3"/>
    <n v="35.036750222222224"/>
    <s v="KL"/>
    <x v="2"/>
    <x v="9"/>
    <s v="Q1"/>
    <n v="120"/>
    <n v="48.633333333333333"/>
    <s v="ESS"/>
    <n v="1"/>
    <n v="5836"/>
    <n v="35.036750222222224"/>
    <n v="48.633333333333333"/>
  </r>
  <r>
    <n v="68729702"/>
    <x v="2"/>
    <n v="8068"/>
    <d v="2023-02-02T00:00:00"/>
    <x v="205"/>
    <x v="22"/>
    <n v="3.7853440000000004E-3"/>
    <n v="30.540155392000003"/>
    <s v="TA"/>
    <x v="2"/>
    <x v="10"/>
    <s v="Q1"/>
    <n v="255"/>
    <n v="31.639215686274511"/>
    <s v="TALENTI"/>
    <n v="1"/>
    <n v="8068"/>
    <n v="30.540155392000003"/>
    <n v="31.639215686274511"/>
  </r>
  <r>
    <n v="68730234"/>
    <x v="2"/>
    <n v="15806"/>
    <d v="2023-02-02T00:00:00"/>
    <x v="21"/>
    <x v="21"/>
    <n v="3.7853440000000004E-3"/>
    <n v="59.831147264000009"/>
    <s v="TA"/>
    <x v="2"/>
    <x v="10"/>
    <s v="Q1"/>
    <n v="255"/>
    <n v="61.984313725490196"/>
    <s v="TALENTI"/>
    <n v="1"/>
    <n v="15806"/>
    <n v="59.831147264000009"/>
    <n v="61.984313725490196"/>
  </r>
  <r>
    <n v="68741742"/>
    <x v="3"/>
    <n v="1049"/>
    <d v="2023-02-02T00:00:00"/>
    <x v="25"/>
    <x v="4"/>
    <n v="4.2560000000000002E-3"/>
    <n v="4.4645440000000001"/>
    <s v="GH"/>
    <x v="2"/>
    <x v="4"/>
    <s v="Q1"/>
    <n v="154"/>
    <n v="6.8116883116883118"/>
    <s v="MBG"/>
    <n v="1"/>
    <n v="1049"/>
    <n v="4.4645440000000001"/>
    <n v="6.8116883116883118"/>
  </r>
  <r>
    <n v="68741742"/>
    <x v="2"/>
    <n v="2513"/>
    <d v="2023-02-02T00:00:00"/>
    <x v="25"/>
    <x v="25"/>
    <n v="4.2560000000000002E-3"/>
    <n v="10.695328"/>
    <s v="GH"/>
    <x v="2"/>
    <x v="11"/>
    <s v="Q1"/>
    <n v="154"/>
    <n v="16.318181818181817"/>
    <s v="MBG"/>
    <n v="1"/>
    <n v="2513"/>
    <n v="10.695328"/>
    <n v="16.318181818181817"/>
  </r>
  <r>
    <n v="68746232"/>
    <x v="2"/>
    <n v="3536"/>
    <d v="2023-02-02T00:00:00"/>
    <x v="154"/>
    <x v="26"/>
    <n v="9.5879999999999993E-3"/>
    <n v="33.903168000000001"/>
    <s v="KL"/>
    <x v="2"/>
    <x v="12"/>
    <s v="Q1"/>
    <n v="132"/>
    <n v="26.787878787878789"/>
    <s v="EDF"/>
    <n v="1"/>
    <n v="3536"/>
    <n v="33.903168000000001"/>
    <n v="26.787878787878789"/>
  </r>
  <r>
    <n v="68922108"/>
    <x v="2"/>
    <n v="27882"/>
    <d v="2023-02-02T00:00:00"/>
    <x v="184"/>
    <x v="21"/>
    <n v="3.7839999999999996E-3"/>
    <n v="105.50548799999999"/>
    <s v="TA"/>
    <x v="2"/>
    <x v="10"/>
    <s v="Q1"/>
    <n v="255"/>
    <n v="109.34117647058824"/>
    <s v="TALENTI"/>
    <n v="1"/>
    <n v="27882"/>
    <n v="105.50548799999999"/>
    <n v="109.34117647058824"/>
  </r>
  <r>
    <n v="68922108"/>
    <x v="2"/>
    <n v="4545"/>
    <d v="2023-02-02T00:00:00"/>
    <x v="184"/>
    <x v="21"/>
    <n v="3.7839999999999996E-3"/>
    <n v="17.198279999999997"/>
    <s v="TA"/>
    <x v="2"/>
    <x v="10"/>
    <s v="Q1"/>
    <n v="255"/>
    <n v="17.823529411764707"/>
    <s v="TALENTI"/>
    <n v="1"/>
    <n v="4545"/>
    <n v="17.198279999999997"/>
    <n v="17.823529411764707"/>
  </r>
  <r>
    <n v="69548143"/>
    <x v="3"/>
    <n v="0"/>
    <d v="2023-02-02T00:00:00"/>
    <x v="159"/>
    <x v="36"/>
    <n v="3.192E-3"/>
    <n v="0"/>
    <s v="KL"/>
    <x v="2"/>
    <x v="28"/>
    <s v="Q1"/>
    <n v="345"/>
    <n v="0"/>
    <s v="EFW"/>
    <n v="1"/>
    <n v="0"/>
    <n v="0"/>
    <n v="0"/>
  </r>
  <r>
    <n v="69555091"/>
    <x v="2"/>
    <n v="0"/>
    <d v="2023-02-02T00:00:00"/>
    <x v="195"/>
    <x v="14"/>
    <n v="1.98E-3"/>
    <n v="0"/>
    <s v="TA"/>
    <x v="2"/>
    <x v="42"/>
    <s v="Q1"/>
    <n v="176"/>
    <n v="0"/>
    <s v="TAL NV"/>
    <n v="1"/>
    <n v="0"/>
    <n v="0"/>
    <n v="0"/>
  </r>
  <r>
    <n v="69568963"/>
    <x v="2"/>
    <n v="10334"/>
    <d v="2023-02-02T00:00:00"/>
    <x v="94"/>
    <x v="13"/>
    <n v="8.5199999999999998E-3"/>
    <n v="88.045680000000004"/>
    <s v="BR"/>
    <x v="2"/>
    <x v="2"/>
    <s v="Q1"/>
    <n v="176"/>
    <n v="58.715909090909093"/>
    <s v="48oz"/>
    <n v="1"/>
    <n v="10334"/>
    <n v="88.045680000000004"/>
    <n v="58.715909090909093"/>
  </r>
  <r>
    <n v="69572659"/>
    <x v="2"/>
    <n v="13655"/>
    <d v="2023-02-02T00:00:00"/>
    <x v="5"/>
    <x v="5"/>
    <n v="2.1520000000000003E-3"/>
    <n v="29.385560000000005"/>
    <s v="MG"/>
    <x v="2"/>
    <x v="5"/>
    <s v="Q1"/>
    <n v="210"/>
    <n v="65.023809523809518"/>
    <s v="MG Sticks"/>
    <n v="1"/>
    <n v="13655"/>
    <n v="29.385560000000005"/>
    <n v="65.023809523809518"/>
  </r>
  <r>
    <n v="69621212"/>
    <x v="2"/>
    <n v="1287"/>
    <d v="2023-02-02T00:00:00"/>
    <x v="29"/>
    <x v="28"/>
    <n v="5.2680000000000001E-3"/>
    <n v="6.7799160000000001"/>
    <s v="PG"/>
    <x v="2"/>
    <x v="14"/>
    <s v="Q1"/>
    <n v="130"/>
    <n v="9.9"/>
    <s v="PG"/>
    <n v="1"/>
    <n v="1287"/>
    <n v="6.7799160000000001"/>
    <n v="9.9"/>
  </r>
  <r>
    <n v="69653125"/>
    <x v="0"/>
    <n v="31182"/>
    <d v="2023-02-02T00:00:00"/>
    <x v="146"/>
    <x v="0"/>
    <n v="5.3220000000000003E-3"/>
    <n v="165.950604"/>
    <s v="BR"/>
    <x v="2"/>
    <x v="37"/>
    <s v="Q1"/>
    <n v="120"/>
    <n v="259.85000000000002"/>
    <s v="BR Minicups"/>
    <n v="1"/>
    <n v="31182"/>
    <n v="165.950604"/>
    <n v="259.85000000000002"/>
  </r>
  <r>
    <n v="69671652"/>
    <x v="3"/>
    <n v="94"/>
    <d v="2023-02-02T00:00:00"/>
    <x v="197"/>
    <x v="24"/>
    <n v="2.8319999999999999E-3"/>
    <n v="0.266208"/>
    <s v="GH"/>
    <x v="2"/>
    <x v="4"/>
    <s v="Q1"/>
    <n v="225"/>
    <n v="0.4177777777777778"/>
    <s v="MBG"/>
    <n v="1"/>
    <n v="94"/>
    <n v="0.266208"/>
    <n v="0.4177777777777778"/>
  </r>
  <r>
    <n v="69677917"/>
    <x v="3"/>
    <n v="0"/>
    <d v="2023-02-02T00:00:00"/>
    <x v="30"/>
    <x v="29"/>
    <n v="5.2680000000000001E-3"/>
    <n v="0"/>
    <s v="PS"/>
    <x v="2"/>
    <x v="3"/>
    <s v="Q1"/>
    <n v="108"/>
    <n v="0"/>
    <s v="PG"/>
    <n v="1"/>
    <n v="0"/>
    <n v="0"/>
    <n v="0"/>
  </r>
  <r>
    <n v="69677917"/>
    <x v="2"/>
    <n v="3465"/>
    <d v="2023-02-02T00:00:00"/>
    <x v="30"/>
    <x v="30"/>
    <n v="5.2680000000000001E-3"/>
    <n v="18.253620000000002"/>
    <s v="PS"/>
    <x v="2"/>
    <x v="14"/>
    <s v="Q1"/>
    <n v="108"/>
    <n v="32.083333333333336"/>
    <s v="PG"/>
    <n v="1"/>
    <n v="3465"/>
    <n v="18.253620000000002"/>
    <n v="32.083333333333336"/>
  </r>
  <r>
    <n v="69684522"/>
    <x v="2"/>
    <n v="5770"/>
    <d v="2023-02-02T00:00:00"/>
    <x v="31"/>
    <x v="31"/>
    <n v="4.2560000000000002E-3"/>
    <n v="24.557120000000001"/>
    <s v="BR"/>
    <x v="2"/>
    <x v="5"/>
    <s v="Q1"/>
    <n v="143"/>
    <n v="40.349650349650346"/>
    <s v="MG Sticks"/>
    <n v="1"/>
    <n v="5770"/>
    <n v="24.557120000000001"/>
    <n v="40.349650349650346"/>
  </r>
  <r>
    <n v="69691790"/>
    <x v="2"/>
    <n v="0"/>
    <d v="2023-02-02T00:00:00"/>
    <x v="212"/>
    <x v="22"/>
    <n v="3.7839999999999996E-3"/>
    <n v="0"/>
    <s v="TA"/>
    <x v="2"/>
    <x v="10"/>
    <s v="Q1"/>
    <n v="255"/>
    <n v="0"/>
    <s v="TALENTI"/>
    <n v="1"/>
    <n v="0"/>
    <n v="0"/>
    <n v="0"/>
  </r>
  <r>
    <n v="84141094"/>
    <x v="2"/>
    <n v="0"/>
    <d v="2023-02-02T00:00:00"/>
    <x v="107"/>
    <x v="15"/>
    <n v="3.7853439999999999E-3"/>
    <n v="0"/>
    <s v="BJ"/>
    <x v="2"/>
    <x v="30"/>
    <s v="Q1"/>
    <n v="240"/>
    <n v="0"/>
    <s v="BJ PTS"/>
    <n v="1"/>
    <n v="0"/>
    <n v="0"/>
    <n v="0"/>
  </r>
  <r>
    <n v="84141094"/>
    <x v="2"/>
    <n v="17408"/>
    <d v="2023-02-02T00:00:00"/>
    <x v="107"/>
    <x v="15"/>
    <n v="3.7853439999999999E-3"/>
    <n v="65.895268352000002"/>
    <s v="BJ"/>
    <x v="2"/>
    <x v="30"/>
    <s v="Q1"/>
    <n v="240"/>
    <n v="72.533333333333331"/>
    <s v="BJ PTS"/>
    <n v="1"/>
    <n v="17408"/>
    <n v="65.895268352000002"/>
    <n v="72.533333333333331"/>
  </r>
  <r>
    <n v="67278444"/>
    <x v="5"/>
    <n v="34668"/>
    <d v="2023-02-03T00:00:00"/>
    <x v="213"/>
    <x v="38"/>
    <n v="3.7839999999999996E-3"/>
    <n v="131.18371199999999"/>
    <s v="BJ"/>
    <x v="2"/>
    <x v="15"/>
    <s v="Q1"/>
    <n v="240"/>
    <n v="144.44999999999999"/>
    <s v="BJ PTS"/>
    <n v="1"/>
    <n v="34668"/>
    <n v="131.18371199999999"/>
    <n v="144.44999999999999"/>
  </r>
  <r>
    <n v="67465063"/>
    <x v="3"/>
    <n v="0"/>
    <d v="2023-02-03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823"/>
    <d v="2023-02-03T00:00:00"/>
    <x v="7"/>
    <x v="3"/>
    <n v="1.596E-3"/>
    <n v="1.3135079999999999"/>
    <s v="PS"/>
    <x v="2"/>
    <x v="3"/>
    <s v="Q1"/>
    <n v="130"/>
    <n v="6.3307692307692305"/>
    <s v="PG"/>
    <n v="1"/>
    <n v="823"/>
    <n v="1.3135079999999999"/>
    <n v="6.3307692307692305"/>
  </r>
  <r>
    <n v="67466492"/>
    <x v="3"/>
    <n v="3370"/>
    <d v="2023-02-03T00:00:00"/>
    <x v="8"/>
    <x v="6"/>
    <n v="5.2680000000000001E-3"/>
    <n v="17.753160000000001"/>
    <s v="PS"/>
    <x v="2"/>
    <x v="3"/>
    <s v="Q1"/>
    <n v="130"/>
    <n v="25.923076923076923"/>
    <s v="PG"/>
    <n v="1"/>
    <n v="3370"/>
    <n v="17.753160000000001"/>
    <n v="25.923076923076923"/>
  </r>
  <r>
    <n v="67466492"/>
    <x v="3"/>
    <n v="2519"/>
    <d v="2023-02-03T00:00:00"/>
    <x v="8"/>
    <x v="7"/>
    <n v="5.2680000000000001E-3"/>
    <n v="13.270092"/>
    <s v="PS"/>
    <x v="2"/>
    <x v="3"/>
    <s v="Q1"/>
    <n v="130"/>
    <n v="19.376923076923077"/>
    <s v="PG"/>
    <n v="1"/>
    <n v="2519"/>
    <n v="13.270092"/>
    <n v="19.376923076923077"/>
  </r>
  <r>
    <n v="67466492"/>
    <x v="3"/>
    <n v="3172"/>
    <d v="2023-02-03T00:00:00"/>
    <x v="8"/>
    <x v="8"/>
    <n v="5.2680000000000001E-3"/>
    <n v="16.710096"/>
    <s v="PS"/>
    <x v="2"/>
    <x v="3"/>
    <s v="Q1"/>
    <n v="130"/>
    <n v="24.4"/>
    <s v="PG"/>
    <n v="1"/>
    <n v="3172"/>
    <n v="16.710096"/>
    <n v="24.4"/>
  </r>
  <r>
    <n v="67466492"/>
    <x v="3"/>
    <n v="2371"/>
    <d v="2023-02-03T00:00:00"/>
    <x v="8"/>
    <x v="9"/>
    <n v="5.2680000000000001E-3"/>
    <n v="12.490428"/>
    <s v="PS"/>
    <x v="2"/>
    <x v="3"/>
    <s v="Q1"/>
    <n v="130"/>
    <n v="18.238461538461539"/>
    <s v="PG"/>
    <n v="1"/>
    <n v="2371"/>
    <n v="12.490428"/>
    <n v="18.238461538461539"/>
  </r>
  <r>
    <n v="67476560"/>
    <x v="3"/>
    <n v="2067"/>
    <d v="2023-02-03T00:00:00"/>
    <x v="10"/>
    <x v="10"/>
    <n v="5.1060000000000003E-3"/>
    <n v="10.554102"/>
    <s v="PS"/>
    <x v="2"/>
    <x v="3"/>
    <s v="Q1"/>
    <n v="130"/>
    <n v="15.9"/>
    <s v="PG"/>
    <n v="1"/>
    <n v="2067"/>
    <n v="10.554102"/>
    <n v="15.9"/>
  </r>
  <r>
    <n v="67826412"/>
    <x v="13"/>
    <n v="33005"/>
    <d v="2023-02-03T00:00:00"/>
    <x v="214"/>
    <x v="35"/>
    <n v="3.7853439999999999E-3"/>
    <n v="124.93527872"/>
    <s v="BJ"/>
    <x v="2"/>
    <x v="36"/>
    <s v="Q1"/>
    <n v="240"/>
    <n v="137.52083333333334"/>
    <s v="BJ PTS"/>
    <n v="1"/>
    <n v="33005"/>
    <n v="124.93527872"/>
    <n v="137.52083333333334"/>
  </r>
  <r>
    <n v="67885716"/>
    <x v="3"/>
    <n v="0"/>
    <d v="2023-02-03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13133"/>
    <d v="2023-02-03T00:00:00"/>
    <x v="89"/>
    <x v="11"/>
    <n v="8.5199999999999998E-3"/>
    <n v="111.89315999999999"/>
    <s v="BR"/>
    <x v="2"/>
    <x v="6"/>
    <s v="Q1"/>
    <n v="154"/>
    <n v="85.279220779220779"/>
    <s v="48oz"/>
    <n v="1"/>
    <n v="13133"/>
    <n v="111.89315999999999"/>
    <n v="85.279220779220779"/>
  </r>
  <r>
    <n v="67885718"/>
    <x v="3"/>
    <n v="11404"/>
    <d v="2023-02-03T00:00:00"/>
    <x v="48"/>
    <x v="12"/>
    <n v="8.5199999999999998E-3"/>
    <n v="97.162080000000003"/>
    <s v="BR"/>
    <x v="2"/>
    <x v="6"/>
    <s v="Q1"/>
    <n v="154"/>
    <n v="74.051948051948045"/>
    <s v="48oz"/>
    <n v="1"/>
    <n v="11404"/>
    <n v="97.162080000000003"/>
    <n v="74.051948051948045"/>
  </r>
  <r>
    <n v="67885719"/>
    <x v="2"/>
    <n v="22619"/>
    <d v="2023-02-03T00:00:00"/>
    <x v="11"/>
    <x v="32"/>
    <n v="8.5199999999999998E-3"/>
    <n v="192.71387999999999"/>
    <s v="BR"/>
    <x v="2"/>
    <x v="2"/>
    <s v="Q1"/>
    <n v="154"/>
    <n v="146.87662337662337"/>
    <s v="48oz"/>
    <n v="1"/>
    <n v="22619"/>
    <n v="192.71387999999999"/>
    <n v="146.87662337662337"/>
  </r>
  <r>
    <n v="67901583"/>
    <x v="3"/>
    <n v="0"/>
    <d v="2023-02-03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85"/>
    <x v="3"/>
    <n v="0"/>
    <d v="2023-02-03T00:00:00"/>
    <x v="67"/>
    <x v="23"/>
    <n v="8.513999999999999E-3"/>
    <n v="0"/>
    <s v="BR"/>
    <x v="2"/>
    <x v="6"/>
    <s v="Q1"/>
    <n v="154"/>
    <n v="0"/>
    <s v="48oz"/>
    <n v="1"/>
    <n v="0"/>
    <n v="0"/>
    <n v="0"/>
  </r>
  <r>
    <n v="68117572"/>
    <x v="2"/>
    <n v="8692"/>
    <d v="2023-02-03T00:00:00"/>
    <x v="31"/>
    <x v="14"/>
    <n v="4.2560000000000002E-3"/>
    <n v="36.993152000000002"/>
    <s v="BR"/>
    <x v="2"/>
    <x v="5"/>
    <s v="Q1"/>
    <n v="143"/>
    <n v="60.78321678321678"/>
    <s v="MG Sticks"/>
    <n v="1"/>
    <n v="8692"/>
    <n v="36.993152000000002"/>
    <n v="60.78321678321678"/>
  </r>
  <r>
    <n v="68188183"/>
    <x v="3"/>
    <n v="0"/>
    <d v="2023-02-03T00:00:00"/>
    <x v="70"/>
    <x v="9"/>
    <n v="3.8340000000000002E-3"/>
    <n v="0"/>
    <s v="PS"/>
    <x v="2"/>
    <x v="3"/>
    <s v="Q1"/>
    <n v="130"/>
    <n v="0"/>
    <s v="PG"/>
    <n v="1"/>
    <n v="0"/>
    <n v="0"/>
    <n v="0"/>
  </r>
  <r>
    <n v="68300738"/>
    <x v="3"/>
    <n v="1540"/>
    <d v="2023-02-03T00:00:00"/>
    <x v="120"/>
    <x v="19"/>
    <n v="8.4960000000000001E-3"/>
    <n v="13.08384"/>
    <s v="KL"/>
    <x v="2"/>
    <x v="8"/>
    <s v="Q1"/>
    <n v="132"/>
    <n v="11.666666666666666"/>
    <s v="EDF"/>
    <n v="1"/>
    <n v="1540"/>
    <n v="13.08384"/>
    <n v="11.666666666666666"/>
  </r>
  <r>
    <n v="68414647"/>
    <x v="6"/>
    <n v="4078"/>
    <d v="2023-02-03T00:00:00"/>
    <x v="90"/>
    <x v="0"/>
    <n v="1.419504E-3"/>
    <n v="5.7887373120000003"/>
    <s v="BJ"/>
    <x v="2"/>
    <x v="17"/>
    <s v="Q1"/>
    <n v="238"/>
    <n v="17.134453781512605"/>
    <s v="B&amp;J Dog Treat - Repack"/>
    <n v="1"/>
    <n v="4078"/>
    <n v="5.7887373120000003"/>
    <n v="17.134453781512605"/>
  </r>
  <r>
    <n v="68634167"/>
    <x v="2"/>
    <n v="12394"/>
    <d v="2023-02-03T00:00:00"/>
    <x v="91"/>
    <x v="2"/>
    <n v="8.5199999999999998E-3"/>
    <n v="105.59688"/>
    <s v="BR"/>
    <x v="2"/>
    <x v="2"/>
    <s v="Q1"/>
    <n v="154"/>
    <n v="80.480519480519476"/>
    <s v="48oz"/>
    <n v="1"/>
    <n v="12394"/>
    <n v="105.59688"/>
    <n v="80.480519480519476"/>
  </r>
  <r>
    <n v="68634168"/>
    <x v="3"/>
    <n v="7654"/>
    <d v="2023-02-03T00:00:00"/>
    <x v="42"/>
    <x v="16"/>
    <n v="8.5170239596469108E-3"/>
    <n v="65.189301387137462"/>
    <s v="BR"/>
    <x v="2"/>
    <x v="6"/>
    <s v="Q1"/>
    <n v="154"/>
    <n v="49.701298701298704"/>
    <s v="48oz"/>
    <n v="1"/>
    <n v="7654"/>
    <n v="65.189301387137462"/>
    <n v="49.701298701298704"/>
  </r>
  <r>
    <n v="68656232"/>
    <x v="3"/>
    <n v="0"/>
    <d v="2023-02-03T00:00:00"/>
    <x v="211"/>
    <x v="16"/>
    <n v="8.5199999999999998E-3"/>
    <n v="0"/>
    <s v="BR"/>
    <x v="2"/>
    <x v="6"/>
    <s v="Q1"/>
    <n v="154"/>
    <n v="0"/>
    <s v="48oz"/>
    <n v="1"/>
    <n v="0"/>
    <n v="0"/>
    <n v="0"/>
  </r>
  <r>
    <n v="68659718"/>
    <x v="3"/>
    <n v="0"/>
    <d v="2023-02-03T00:00:00"/>
    <x v="193"/>
    <x v="24"/>
    <n v="2.8319999999999999E-3"/>
    <n v="0"/>
    <s v="GH"/>
    <x v="2"/>
    <x v="4"/>
    <s v="Q1"/>
    <n v="225"/>
    <n v="0"/>
    <s v="MBG"/>
    <n v="1"/>
    <n v="0"/>
    <n v="0"/>
    <n v="0"/>
  </r>
  <r>
    <n v="68689251"/>
    <x v="3"/>
    <n v="4399"/>
    <d v="2023-02-03T00:00:00"/>
    <x v="17"/>
    <x v="17"/>
    <n v="9.5760000000000012E-3"/>
    <n v="42.124824000000004"/>
    <s v="KL"/>
    <x v="2"/>
    <x v="8"/>
    <s v="Q1"/>
    <n v="132"/>
    <n v="33.325757575757578"/>
    <s v="EDF"/>
    <n v="1"/>
    <n v="4399"/>
    <n v="42.124824000000004"/>
    <n v="33.325757575757578"/>
  </r>
  <r>
    <n v="68689251"/>
    <x v="3"/>
    <n v="6577"/>
    <d v="2023-02-03T00:00:00"/>
    <x v="17"/>
    <x v="20"/>
    <n v="9.5760000000000012E-3"/>
    <n v="62.981352000000008"/>
    <s v="KL"/>
    <x v="2"/>
    <x v="8"/>
    <s v="Q1"/>
    <n v="132"/>
    <n v="49.825757575757578"/>
    <s v="EDF"/>
    <n v="1"/>
    <n v="6577"/>
    <n v="62.981352000000008"/>
    <n v="49.825757575757578"/>
  </r>
  <r>
    <n v="68689253"/>
    <x v="2"/>
    <n v="6172"/>
    <d v="2023-02-03T00:00:00"/>
    <x v="125"/>
    <x v="18"/>
    <n v="6.0035555555555554E-3"/>
    <n v="37.053944888888886"/>
    <s v="KL"/>
    <x v="2"/>
    <x v="9"/>
    <s v="Q1"/>
    <n v="120"/>
    <n v="51.43333333333333"/>
    <s v="ESS"/>
    <n v="1"/>
    <n v="6172"/>
    <n v="37.053944888888886"/>
    <n v="51.43333333333333"/>
  </r>
  <r>
    <n v="68730234"/>
    <x v="2"/>
    <n v="36994"/>
    <d v="2023-02-03T00:00:00"/>
    <x v="21"/>
    <x v="21"/>
    <n v="3.7853440000000004E-3"/>
    <n v="140.03501593600001"/>
    <s v="TA"/>
    <x v="2"/>
    <x v="10"/>
    <s v="Q1"/>
    <n v="255"/>
    <n v="145.07450980392156"/>
    <s v="TALENTI"/>
    <n v="1"/>
    <n v="36994"/>
    <n v="140.03501593600001"/>
    <n v="145.07450980392156"/>
  </r>
  <r>
    <n v="68741742"/>
    <x v="3"/>
    <n v="5278"/>
    <d v="2023-02-03T00:00:00"/>
    <x v="25"/>
    <x v="4"/>
    <n v="4.2560000000000002E-3"/>
    <n v="22.463168"/>
    <s v="GH"/>
    <x v="2"/>
    <x v="4"/>
    <s v="Q1"/>
    <n v="154"/>
    <n v="34.272727272727273"/>
    <s v="MBG"/>
    <n v="1"/>
    <n v="5278"/>
    <n v="22.463168"/>
    <n v="34.272727272727273"/>
  </r>
  <r>
    <n v="68741742"/>
    <x v="2"/>
    <n v="962"/>
    <d v="2023-02-03T00:00:00"/>
    <x v="25"/>
    <x v="25"/>
    <n v="4.2560000000000002E-3"/>
    <n v="4.0942720000000001"/>
    <s v="GH"/>
    <x v="2"/>
    <x v="11"/>
    <s v="Q1"/>
    <n v="154"/>
    <n v="6.2467532467532472"/>
    <s v="MBG"/>
    <n v="1"/>
    <n v="962"/>
    <n v="4.0942720000000001"/>
    <n v="6.2467532467532472"/>
  </r>
  <r>
    <n v="68746232"/>
    <x v="2"/>
    <n v="1500"/>
    <d v="2023-02-03T00:00:00"/>
    <x v="154"/>
    <x v="26"/>
    <n v="9.5879999999999993E-3"/>
    <n v="14.382"/>
    <s v="KL"/>
    <x v="2"/>
    <x v="12"/>
    <s v="Q1"/>
    <n v="132"/>
    <n v="11.363636363636363"/>
    <s v="EDF"/>
    <n v="1"/>
    <n v="1500"/>
    <n v="14.382"/>
    <n v="11.363636363636363"/>
  </r>
  <r>
    <n v="69555091"/>
    <x v="2"/>
    <n v="0"/>
    <d v="2023-02-03T00:00:00"/>
    <x v="195"/>
    <x v="14"/>
    <n v="1.98E-3"/>
    <n v="0"/>
    <s v="TA"/>
    <x v="2"/>
    <x v="42"/>
    <s v="Q1"/>
    <n v="176"/>
    <n v="0"/>
    <s v="TAL NV"/>
    <n v="1"/>
    <n v="0"/>
    <n v="0"/>
    <n v="0"/>
  </r>
  <r>
    <n v="69557443"/>
    <x v="4"/>
    <n v="2400"/>
    <d v="2023-02-03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65375"/>
    <x v="5"/>
    <n v="2904"/>
    <d v="2023-02-03T00:00:00"/>
    <x v="215"/>
    <x v="35"/>
    <n v="9.0850000000000011E-3"/>
    <n v="26.382840000000002"/>
    <s v="BJ"/>
    <x v="2"/>
    <x v="39"/>
    <s v="Q1"/>
    <n v="125"/>
    <n v="23.231999999999999"/>
    <s v="2.4 Gal"/>
    <n v="1"/>
    <n v="2904"/>
    <n v="26.382840000000002"/>
    <n v="23.231999999999999"/>
  </r>
  <r>
    <n v="69568963"/>
    <x v="2"/>
    <n v="15177"/>
    <d v="2023-02-03T00:00:00"/>
    <x v="94"/>
    <x v="13"/>
    <n v="8.5199999999999998E-3"/>
    <n v="129.30804000000001"/>
    <s v="BR"/>
    <x v="2"/>
    <x v="2"/>
    <s v="Q1"/>
    <n v="176"/>
    <n v="86.232954545454547"/>
    <s v="48oz"/>
    <n v="1"/>
    <n v="15177"/>
    <n v="129.30804000000001"/>
    <n v="86.232954545454547"/>
  </r>
  <r>
    <n v="69572659"/>
    <x v="2"/>
    <n v="4603"/>
    <d v="2023-02-03T00:00:00"/>
    <x v="5"/>
    <x v="5"/>
    <n v="2.1520000000000003E-3"/>
    <n v="9.9056560000000005"/>
    <s v="MG"/>
    <x v="2"/>
    <x v="5"/>
    <s v="Q1"/>
    <n v="210"/>
    <n v="21.919047619047618"/>
    <s v="MG Sticks"/>
    <n v="1"/>
    <n v="4603"/>
    <n v="9.9056560000000005"/>
    <n v="21.919047619047618"/>
  </r>
  <r>
    <n v="69621212"/>
    <x v="2"/>
    <n v="2300"/>
    <d v="2023-02-03T00:00:00"/>
    <x v="29"/>
    <x v="28"/>
    <n v="5.2680000000000001E-3"/>
    <n v="12.116400000000001"/>
    <s v="PG"/>
    <x v="2"/>
    <x v="14"/>
    <s v="Q1"/>
    <n v="130"/>
    <n v="17.692307692307693"/>
    <s v="PG"/>
    <n v="1"/>
    <n v="2300"/>
    <n v="12.116400000000001"/>
    <n v="17.692307692307693"/>
  </r>
  <r>
    <n v="69629470"/>
    <x v="4"/>
    <n v="2397"/>
    <d v="2023-02-03T00:00:00"/>
    <x v="98"/>
    <x v="0"/>
    <n v="5.3220000000000003E-3"/>
    <n v="12.756834000000001"/>
    <s v="KL"/>
    <x v="2"/>
    <x v="13"/>
    <s v="Q1"/>
    <n v="120"/>
    <n v="19.975000000000001"/>
    <s v="KL Mini Cones"/>
    <n v="1"/>
    <n v="2397"/>
    <n v="12.756834000000001"/>
    <n v="19.975000000000001"/>
  </r>
  <r>
    <n v="69629477"/>
    <x v="1"/>
    <n v="2808"/>
    <d v="2023-02-03T00:00:00"/>
    <x v="61"/>
    <x v="0"/>
    <n v="5.3280000000000003E-3"/>
    <n v="14.961024"/>
    <s v="KL"/>
    <x v="2"/>
    <x v="26"/>
    <s v="Q1"/>
    <n v="108"/>
    <n v="26"/>
    <s v="KL Mini Cones"/>
    <n v="1"/>
    <n v="2808"/>
    <n v="14.961024"/>
    <n v="26"/>
  </r>
  <r>
    <n v="69629477"/>
    <x v="1"/>
    <n v="2936"/>
    <d v="2023-02-03T00:00:00"/>
    <x v="61"/>
    <x v="0"/>
    <n v="5.3280000000000003E-3"/>
    <n v="15.643008"/>
    <s v="KL"/>
    <x v="2"/>
    <x v="26"/>
    <s v="Q1"/>
    <n v="108"/>
    <n v="27.185185185185187"/>
    <s v="KL Mini Cones"/>
    <n v="1"/>
    <n v="2936"/>
    <n v="15.643008"/>
    <n v="27.185185185185187"/>
  </r>
  <r>
    <n v="69629477"/>
    <x v="1"/>
    <n v="2172"/>
    <d v="2023-02-03T00:00:00"/>
    <x v="61"/>
    <x v="0"/>
    <n v="5.3280000000000003E-3"/>
    <n v="11.572416"/>
    <s v="KL"/>
    <x v="2"/>
    <x v="26"/>
    <s v="Q1"/>
    <n v="108"/>
    <n v="20.111111111111111"/>
    <s v="KL Mini Cones"/>
    <n v="1"/>
    <n v="2172"/>
    <n v="11.572416"/>
    <n v="20.111111111111111"/>
  </r>
  <r>
    <n v="69671652"/>
    <x v="3"/>
    <n v="4121"/>
    <d v="2023-02-03T00:00:00"/>
    <x v="197"/>
    <x v="24"/>
    <n v="2.8319999999999999E-3"/>
    <n v="11.670672"/>
    <s v="GH"/>
    <x v="2"/>
    <x v="4"/>
    <s v="Q1"/>
    <n v="225"/>
    <n v="18.315555555555555"/>
    <s v="MBG"/>
    <n v="1"/>
    <n v="4121"/>
    <n v="11.670672"/>
    <n v="18.315555555555555"/>
  </r>
  <r>
    <n v="69677917"/>
    <x v="3"/>
    <n v="2417"/>
    <d v="2023-02-03T00:00:00"/>
    <x v="30"/>
    <x v="29"/>
    <n v="5.2680000000000001E-3"/>
    <n v="12.732756"/>
    <s v="PS"/>
    <x v="2"/>
    <x v="3"/>
    <s v="Q1"/>
    <n v="108"/>
    <n v="22.37962962962963"/>
    <s v="PG"/>
    <n v="1"/>
    <n v="2417"/>
    <n v="12.732756"/>
    <n v="22.37962962962963"/>
  </r>
  <r>
    <n v="69677917"/>
    <x v="2"/>
    <n v="3241"/>
    <d v="2023-02-03T00:00:00"/>
    <x v="30"/>
    <x v="30"/>
    <n v="5.2680000000000001E-3"/>
    <n v="17.073588000000001"/>
    <s v="PS"/>
    <x v="2"/>
    <x v="14"/>
    <s v="Q1"/>
    <n v="108"/>
    <n v="30.00925925925926"/>
    <s v="PG"/>
    <n v="1"/>
    <n v="3241"/>
    <n v="17.073588000000001"/>
    <n v="30.00925925925926"/>
  </r>
  <r>
    <n v="69684522"/>
    <x v="2"/>
    <n v="7738"/>
    <d v="2023-02-03T00:00:00"/>
    <x v="31"/>
    <x v="31"/>
    <n v="4.2560000000000002E-3"/>
    <n v="32.932928000000004"/>
    <s v="BR"/>
    <x v="2"/>
    <x v="5"/>
    <s v="Q1"/>
    <n v="143"/>
    <n v="54.111888111888113"/>
    <s v="MG Sticks"/>
    <n v="1"/>
    <n v="7738"/>
    <n v="32.932928000000004"/>
    <n v="54.111888111888113"/>
  </r>
  <r>
    <n v="69691790"/>
    <x v="2"/>
    <n v="16641"/>
    <d v="2023-02-03T00:00:00"/>
    <x v="212"/>
    <x v="22"/>
    <n v="3.7839999999999996E-3"/>
    <n v="62.969543999999992"/>
    <s v="TA"/>
    <x v="2"/>
    <x v="10"/>
    <s v="Q1"/>
    <n v="255"/>
    <n v="65.258823529411771"/>
    <s v="TALENTI"/>
    <n v="1"/>
    <n v="16641"/>
    <n v="62.969543999999992"/>
    <n v="65.258823529411771"/>
  </r>
  <r>
    <n v="84138347"/>
    <x v="5"/>
    <n v="6539"/>
    <d v="2023-02-03T00:00:00"/>
    <x v="216"/>
    <x v="35"/>
    <n v="9.0848256361922702E-3"/>
    <n v="59.405674835061255"/>
    <s v="BJ"/>
    <x v="2"/>
    <x v="39"/>
    <s v="Q1"/>
    <n v="125"/>
    <n v="52.311999999999998"/>
    <s v="2.4 Gal"/>
    <n v="1"/>
    <n v="6539"/>
    <n v="59.405674835061255"/>
    <n v="52.311999999999998"/>
  </r>
  <r>
    <n v="84141094"/>
    <x v="2"/>
    <n v="12906"/>
    <d v="2023-02-03T00:00:00"/>
    <x v="107"/>
    <x v="15"/>
    <n v="3.7853439999999999E-3"/>
    <n v="48.853649664000002"/>
    <s v="BJ"/>
    <x v="2"/>
    <x v="30"/>
    <s v="Q1"/>
    <n v="240"/>
    <n v="53.774999999999999"/>
    <s v="BJ PTS"/>
    <n v="1"/>
    <n v="12906"/>
    <n v="48.853649664000002"/>
    <n v="53.774999999999999"/>
  </r>
  <r>
    <n v="84141102"/>
    <x v="13"/>
    <n v="92261"/>
    <d v="2023-02-03T00:00:00"/>
    <x v="217"/>
    <x v="38"/>
    <n v="3.7853439999999999E-3"/>
    <n v="349.23962278400001"/>
    <s v="BJ"/>
    <x v="2"/>
    <x v="36"/>
    <s v="Q1"/>
    <n v="240"/>
    <n v="384.42083333333335"/>
    <s v="BJ PTS"/>
    <n v="1"/>
    <n v="92261"/>
    <n v="349.23962278400001"/>
    <n v="384.42083333333335"/>
  </r>
  <r>
    <n v="84143543"/>
    <x v="5"/>
    <n v="5760"/>
    <d v="2023-02-03T00:00:00"/>
    <x v="218"/>
    <x v="35"/>
    <n v="9.0848256361922702E-3"/>
    <n v="52.328595664467478"/>
    <s v="BJ"/>
    <x v="2"/>
    <x v="39"/>
    <s v="Q1"/>
    <n v="125"/>
    <n v="46.08"/>
    <s v="2.4 Gal"/>
    <n v="1"/>
    <n v="5760"/>
    <n v="52.328595664467478"/>
    <n v="46.08"/>
  </r>
  <r>
    <n v="84162829"/>
    <x v="13"/>
    <n v="6570"/>
    <d v="2023-02-03T00:00:00"/>
    <x v="59"/>
    <x v="33"/>
    <n v="3.6640000000000002E-3"/>
    <n v="24.072480000000002"/>
    <s v="BJ"/>
    <x v="2"/>
    <x v="40"/>
    <s v="Q1"/>
    <n v="240"/>
    <n v="27.375"/>
    <s v="PTS Exports"/>
    <n v="1"/>
    <n v="6570"/>
    <n v="24.072480000000002"/>
    <n v="27.375"/>
  </r>
  <r>
    <n v="84163605"/>
    <x v="5"/>
    <n v="0"/>
    <d v="2023-02-03T00:00:00"/>
    <x v="219"/>
    <x v="38"/>
    <n v="3.7853439999999999E-3"/>
    <n v="0"/>
    <s v="BJ"/>
    <x v="2"/>
    <x v="15"/>
    <s v="Q1"/>
    <n v="240"/>
    <n v="0"/>
    <s v="BJ PTS"/>
    <n v="1"/>
    <n v="0"/>
    <n v="0"/>
    <n v="0"/>
  </r>
  <r>
    <n v="67466492"/>
    <x v="3"/>
    <n v="4184"/>
    <d v="2023-02-04T00:00:00"/>
    <x v="8"/>
    <x v="6"/>
    <n v="5.2680000000000001E-3"/>
    <n v="22.041312000000001"/>
    <s v="PS"/>
    <x v="2"/>
    <x v="3"/>
    <s v="Q1"/>
    <n v="130"/>
    <n v="32.184615384615384"/>
    <s v="PG"/>
    <n v="1"/>
    <n v="4184"/>
    <n v="22.041312000000001"/>
    <n v="32.184615384615384"/>
  </r>
  <r>
    <n v="67466492"/>
    <x v="3"/>
    <n v="4057"/>
    <d v="2023-02-04T00:00:00"/>
    <x v="8"/>
    <x v="8"/>
    <n v="5.2680000000000001E-3"/>
    <n v="21.372275999999999"/>
    <s v="PS"/>
    <x v="2"/>
    <x v="3"/>
    <s v="Q1"/>
    <n v="130"/>
    <n v="31.207692307692309"/>
    <s v="PG"/>
    <n v="1"/>
    <n v="4057"/>
    <n v="21.372275999999999"/>
    <n v="31.207692307692309"/>
  </r>
  <r>
    <n v="67476560"/>
    <x v="3"/>
    <n v="1775"/>
    <d v="2023-02-04T00:00:00"/>
    <x v="10"/>
    <x v="10"/>
    <n v="5.1060000000000003E-3"/>
    <n v="9.0631500000000003"/>
    <s v="PS"/>
    <x v="2"/>
    <x v="3"/>
    <s v="Q1"/>
    <n v="130"/>
    <n v="13.653846153846153"/>
    <s v="PG"/>
    <n v="1"/>
    <n v="1775"/>
    <n v="9.0631500000000003"/>
    <n v="13.653846153846153"/>
  </r>
  <r>
    <n v="67885716"/>
    <x v="3"/>
    <n v="0"/>
    <d v="2023-02-04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4566"/>
    <d v="2023-02-04T00:00:00"/>
    <x v="89"/>
    <x v="11"/>
    <n v="8.5199999999999998E-3"/>
    <n v="38.902319999999996"/>
    <s v="BR"/>
    <x v="2"/>
    <x v="6"/>
    <s v="Q1"/>
    <n v="154"/>
    <n v="29.649350649350648"/>
    <s v="48oz"/>
    <n v="1"/>
    <n v="4566"/>
    <n v="38.902319999999996"/>
    <n v="29.649350649350648"/>
  </r>
  <r>
    <n v="67885718"/>
    <x v="3"/>
    <n v="11571"/>
    <d v="2023-02-04T00:00:00"/>
    <x v="48"/>
    <x v="12"/>
    <n v="8.5199999999999998E-3"/>
    <n v="98.584919999999997"/>
    <s v="BR"/>
    <x v="2"/>
    <x v="6"/>
    <s v="Q1"/>
    <n v="154"/>
    <n v="75.13636363636364"/>
    <s v="48oz"/>
    <n v="1"/>
    <n v="11571"/>
    <n v="98.584919999999997"/>
    <n v="75.13636363636364"/>
  </r>
  <r>
    <n v="67885724"/>
    <x v="3"/>
    <n v="0"/>
    <d v="2023-02-04T00:00:00"/>
    <x v="49"/>
    <x v="12"/>
    <n v="8.5199999999999998E-3"/>
    <n v="0"/>
    <s v="BR"/>
    <x v="2"/>
    <x v="6"/>
    <s v="Q1"/>
    <n v="154"/>
    <n v="0"/>
    <s v="48oz"/>
    <n v="1"/>
    <n v="0"/>
    <n v="0"/>
    <n v="0"/>
  </r>
  <r>
    <n v="67901583"/>
    <x v="3"/>
    <n v="0"/>
    <d v="2023-02-04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89"/>
    <x v="2"/>
    <n v="0"/>
    <d v="2023-02-04T00:00:00"/>
    <x v="220"/>
    <x v="32"/>
    <n v="8.5199999999999998E-3"/>
    <n v="0"/>
    <s v="BR"/>
    <x v="2"/>
    <x v="2"/>
    <s v="Q1"/>
    <n v="154"/>
    <n v="0"/>
    <s v="48oz"/>
    <n v="1"/>
    <n v="0"/>
    <n v="0"/>
    <n v="0"/>
  </r>
  <r>
    <n v="68634167"/>
    <x v="2"/>
    <n v="10103"/>
    <d v="2023-02-04T00:00:00"/>
    <x v="91"/>
    <x v="2"/>
    <n v="8.5199999999999998E-3"/>
    <n v="86.077559999999991"/>
    <s v="BR"/>
    <x v="2"/>
    <x v="2"/>
    <s v="Q1"/>
    <n v="154"/>
    <n v="65.603896103896105"/>
    <s v="48oz"/>
    <n v="1"/>
    <n v="10103"/>
    <n v="86.077559999999991"/>
    <n v="65.603896103896105"/>
  </r>
  <r>
    <n v="68634168"/>
    <x v="3"/>
    <n v="7489"/>
    <d v="2023-02-04T00:00:00"/>
    <x v="42"/>
    <x v="16"/>
    <n v="8.5170239596469108E-3"/>
    <n v="63.783992433795717"/>
    <s v="BR"/>
    <x v="2"/>
    <x v="6"/>
    <s v="Q1"/>
    <n v="154"/>
    <n v="48.629870129870127"/>
    <s v="48oz"/>
    <n v="1"/>
    <n v="7489"/>
    <n v="63.783992433795717"/>
    <n v="48.629870129870127"/>
  </r>
  <r>
    <n v="68659718"/>
    <x v="3"/>
    <n v="0"/>
    <d v="2023-02-04T00:00:00"/>
    <x v="193"/>
    <x v="24"/>
    <n v="2.8319999999999999E-3"/>
    <n v="0"/>
    <s v="GH"/>
    <x v="2"/>
    <x v="4"/>
    <s v="Q1"/>
    <n v="225"/>
    <n v="0"/>
    <s v="MBG"/>
    <n v="1"/>
    <n v="0"/>
    <n v="0"/>
    <n v="0"/>
  </r>
  <r>
    <n v="68689251"/>
    <x v="3"/>
    <n v="6813"/>
    <d v="2023-02-04T00:00:00"/>
    <x v="17"/>
    <x v="17"/>
    <n v="9.5760000000000012E-3"/>
    <n v="65.241288000000011"/>
    <s v="KL"/>
    <x v="2"/>
    <x v="8"/>
    <s v="Q1"/>
    <n v="132"/>
    <n v="51.613636363636367"/>
    <s v="EDF"/>
    <n v="1"/>
    <n v="6813"/>
    <n v="65.241288000000011"/>
    <n v="51.613636363636367"/>
  </r>
  <r>
    <n v="68689251"/>
    <x v="3"/>
    <n v="6515"/>
    <d v="2023-02-04T00:00:00"/>
    <x v="17"/>
    <x v="20"/>
    <n v="9.5760000000000012E-3"/>
    <n v="62.387640000000005"/>
    <s v="KL"/>
    <x v="2"/>
    <x v="8"/>
    <s v="Q1"/>
    <n v="132"/>
    <n v="49.356060606060609"/>
    <s v="EDF"/>
    <n v="1"/>
    <n v="6515"/>
    <n v="62.387640000000005"/>
    <n v="49.356060606060609"/>
  </r>
  <r>
    <n v="68689253"/>
    <x v="2"/>
    <n v="0"/>
    <d v="2023-02-04T00:00:00"/>
    <x v="125"/>
    <x v="18"/>
    <n v="6.0035555555555554E-3"/>
    <n v="0"/>
    <s v="KL"/>
    <x v="2"/>
    <x v="9"/>
    <s v="Q1"/>
    <n v="120"/>
    <n v="0"/>
    <s v="ESS"/>
    <n v="1"/>
    <n v="0"/>
    <n v="0"/>
    <n v="0"/>
  </r>
  <r>
    <n v="68726916"/>
    <x v="2"/>
    <n v="0"/>
    <d v="2023-02-04T00:00:00"/>
    <x v="43"/>
    <x v="21"/>
    <n v="3.7853440000000004E-3"/>
    <n v="0"/>
    <s v="TA"/>
    <x v="2"/>
    <x v="10"/>
    <s v="Q1"/>
    <n v="255"/>
    <n v="0"/>
    <s v="TALENTI"/>
    <n v="1"/>
    <n v="0"/>
    <n v="0"/>
    <n v="0"/>
  </r>
  <r>
    <n v="68730234"/>
    <x v="2"/>
    <n v="30453"/>
    <d v="2023-02-04T00:00:00"/>
    <x v="21"/>
    <x v="21"/>
    <n v="3.7853440000000004E-3"/>
    <n v="115.27508083200001"/>
    <s v="TA"/>
    <x v="2"/>
    <x v="10"/>
    <s v="Q1"/>
    <n v="255"/>
    <n v="119.4235294117647"/>
    <s v="TALENTI"/>
    <n v="1"/>
    <n v="30453"/>
    <n v="115.27508083200001"/>
    <n v="119.4235294117647"/>
  </r>
  <r>
    <n v="68732326"/>
    <x v="5"/>
    <n v="0"/>
    <d v="2023-02-04T00:00:00"/>
    <x v="221"/>
    <x v="33"/>
    <n v="3.6640000000000002E-3"/>
    <n v="0"/>
    <s v="BJ"/>
    <x v="2"/>
    <x v="24"/>
    <s v="Q1"/>
    <n v="240"/>
    <n v="0"/>
    <s v="PTS Exports"/>
    <n v="1"/>
    <n v="0"/>
    <n v="0"/>
    <n v="0"/>
  </r>
  <r>
    <n v="68741742"/>
    <x v="3"/>
    <n v="5498"/>
    <d v="2023-02-04T00:00:00"/>
    <x v="25"/>
    <x v="4"/>
    <n v="4.2560000000000002E-3"/>
    <n v="23.399488000000002"/>
    <s v="GH"/>
    <x v="2"/>
    <x v="4"/>
    <s v="Q1"/>
    <n v="154"/>
    <n v="35.701298701298704"/>
    <s v="MBG"/>
    <n v="1"/>
    <n v="5498"/>
    <n v="23.399488000000002"/>
    <n v="35.701298701298704"/>
  </r>
  <r>
    <n v="68741742"/>
    <x v="2"/>
    <n v="4011"/>
    <d v="2023-02-04T00:00:00"/>
    <x v="25"/>
    <x v="25"/>
    <n v="4.2560000000000002E-3"/>
    <n v="17.070816000000001"/>
    <s v="GH"/>
    <x v="2"/>
    <x v="11"/>
    <s v="Q1"/>
    <n v="154"/>
    <n v="26.045454545454547"/>
    <s v="MBG"/>
    <n v="1"/>
    <n v="4011"/>
    <n v="17.070816000000001"/>
    <n v="26.045454545454547"/>
  </r>
  <r>
    <n v="68746232"/>
    <x v="2"/>
    <n v="3532"/>
    <d v="2023-02-04T00:00:00"/>
    <x v="154"/>
    <x v="26"/>
    <n v="9.5879999999999993E-3"/>
    <n v="33.864815999999998"/>
    <s v="KL"/>
    <x v="2"/>
    <x v="12"/>
    <s v="Q1"/>
    <n v="132"/>
    <n v="26.757575757575758"/>
    <s v="EDF"/>
    <n v="1"/>
    <n v="3532"/>
    <n v="33.864815999999998"/>
    <n v="26.757575757575758"/>
  </r>
  <r>
    <n v="68821728"/>
    <x v="2"/>
    <n v="0"/>
    <d v="2023-02-04T00:00:00"/>
    <x v="35"/>
    <x v="13"/>
    <n v="8.5199999999999998E-3"/>
    <n v="0"/>
    <s v="BR"/>
    <x v="2"/>
    <x v="2"/>
    <s v="Q1"/>
    <n v="176"/>
    <n v="0"/>
    <s v="48oz"/>
    <n v="1"/>
    <n v="0"/>
    <n v="0"/>
    <n v="0"/>
  </r>
  <r>
    <n v="68821728"/>
    <x v="2"/>
    <n v="0"/>
    <d v="2023-02-04T00:00:00"/>
    <x v="35"/>
    <x v="13"/>
    <n v="8.5199999999999998E-3"/>
    <n v="0"/>
    <s v="BR"/>
    <x v="2"/>
    <x v="2"/>
    <s v="Q1"/>
    <n v="176"/>
    <n v="0"/>
    <s v="48oz"/>
    <n v="1"/>
    <n v="0"/>
    <n v="0"/>
    <n v="0"/>
  </r>
  <r>
    <n v="68896052"/>
    <x v="2"/>
    <n v="0"/>
    <d v="2023-02-04T00:00:00"/>
    <x v="36"/>
    <x v="2"/>
    <n v="8.5199999999999998E-3"/>
    <n v="0"/>
    <s v="BR"/>
    <x v="2"/>
    <x v="2"/>
    <s v="Q1"/>
    <n v="176"/>
    <n v="0"/>
    <s v="48oz"/>
    <n v="1"/>
    <n v="0"/>
    <n v="0"/>
    <n v="0"/>
  </r>
  <r>
    <n v="69568963"/>
    <x v="2"/>
    <n v="10323"/>
    <d v="2023-02-04T00:00:00"/>
    <x v="94"/>
    <x v="13"/>
    <n v="8.5199999999999998E-3"/>
    <n v="87.95196"/>
    <s v="BR"/>
    <x v="2"/>
    <x v="2"/>
    <s v="Q1"/>
    <n v="176"/>
    <n v="58.653409090909093"/>
    <s v="48oz"/>
    <n v="1"/>
    <n v="10323"/>
    <n v="87.95196"/>
    <n v="58.653409090909093"/>
  </r>
  <r>
    <n v="69572659"/>
    <x v="2"/>
    <n v="0"/>
    <d v="2023-02-04T00:00:00"/>
    <x v="5"/>
    <x v="5"/>
    <n v="2.1520000000000003E-3"/>
    <n v="0"/>
    <s v="MG"/>
    <x v="2"/>
    <x v="5"/>
    <s v="Q1"/>
    <n v="210"/>
    <n v="0"/>
    <s v="MG Sticks"/>
    <n v="1"/>
    <n v="0"/>
    <n v="0"/>
    <n v="0"/>
  </r>
  <r>
    <n v="69621212"/>
    <x v="2"/>
    <n v="3938"/>
    <d v="2023-02-04T00:00:00"/>
    <x v="29"/>
    <x v="28"/>
    <n v="5.2680000000000001E-3"/>
    <n v="20.745384000000001"/>
    <s v="PG"/>
    <x v="2"/>
    <x v="14"/>
    <s v="Q1"/>
    <n v="130"/>
    <n v="30.292307692307691"/>
    <s v="PG"/>
    <n v="1"/>
    <n v="3938"/>
    <n v="20.745384000000001"/>
    <n v="30.292307692307691"/>
  </r>
  <r>
    <n v="69671652"/>
    <x v="3"/>
    <n v="4774"/>
    <d v="2023-02-04T00:00:00"/>
    <x v="197"/>
    <x v="24"/>
    <n v="2.8319999999999999E-3"/>
    <n v="13.519967999999999"/>
    <s v="GH"/>
    <x v="2"/>
    <x v="4"/>
    <s v="Q1"/>
    <n v="225"/>
    <n v="21.217777777777776"/>
    <s v="MBG"/>
    <n v="1"/>
    <n v="4774"/>
    <n v="13.519967999999999"/>
    <n v="21.217777777777776"/>
  </r>
  <r>
    <n v="69677917"/>
    <x v="3"/>
    <n v="2181"/>
    <d v="2023-02-04T00:00:00"/>
    <x v="30"/>
    <x v="29"/>
    <n v="5.2680000000000001E-3"/>
    <n v="11.489508000000001"/>
    <s v="PS"/>
    <x v="2"/>
    <x v="3"/>
    <s v="Q1"/>
    <n v="108"/>
    <n v="20.194444444444443"/>
    <s v="PG"/>
    <n v="1"/>
    <n v="2181"/>
    <n v="11.489508000000001"/>
    <n v="20.194444444444443"/>
  </r>
  <r>
    <n v="69677917"/>
    <x v="2"/>
    <n v="5362"/>
    <d v="2023-02-04T00:00:00"/>
    <x v="30"/>
    <x v="30"/>
    <n v="5.2680000000000001E-3"/>
    <n v="28.247016000000002"/>
    <s v="PS"/>
    <x v="2"/>
    <x v="14"/>
    <s v="Q1"/>
    <n v="108"/>
    <n v="49.648148148148145"/>
    <s v="PG"/>
    <n v="1"/>
    <n v="5362"/>
    <n v="28.247016000000002"/>
    <n v="49.648148148148145"/>
  </r>
  <r>
    <n v="69691790"/>
    <x v="2"/>
    <n v="20375"/>
    <d v="2023-02-04T00:00:00"/>
    <x v="212"/>
    <x v="22"/>
    <n v="3.7839999999999996E-3"/>
    <n v="77.09899999999999"/>
    <s v="TA"/>
    <x v="2"/>
    <x v="10"/>
    <s v="Q1"/>
    <n v="255"/>
    <n v="79.901960784313729"/>
    <s v="TALENTI"/>
    <n v="1"/>
    <n v="20375"/>
    <n v="77.09899999999999"/>
    <n v="79.901960784313729"/>
  </r>
  <r>
    <n v="84137725"/>
    <x v="5"/>
    <n v="0"/>
    <d v="2023-02-04T00:00:00"/>
    <x v="132"/>
    <x v="34"/>
    <n v="3.7853439999999999E-3"/>
    <n v="0"/>
    <s v="BJ"/>
    <x v="2"/>
    <x v="15"/>
    <s v="Q1"/>
    <n v="240"/>
    <n v="0"/>
    <s v="BJ PTS"/>
    <n v="1"/>
    <n v="0"/>
    <n v="0"/>
    <n v="0"/>
  </r>
  <r>
    <n v="84141094"/>
    <x v="2"/>
    <n v="0"/>
    <d v="2023-02-04T00:00:00"/>
    <x v="107"/>
    <x v="15"/>
    <n v="3.7853439999999999E-3"/>
    <n v="0"/>
    <s v="BJ"/>
    <x v="2"/>
    <x v="30"/>
    <s v="Q1"/>
    <n v="240"/>
    <n v="0"/>
    <s v="BJ PTS"/>
    <n v="1"/>
    <n v="0"/>
    <n v="0"/>
    <n v="0"/>
  </r>
  <r>
    <n v="84163605"/>
    <x v="5"/>
    <n v="0"/>
    <d v="2023-02-04T00:00:00"/>
    <x v="219"/>
    <x v="38"/>
    <n v="3.7853439999999999E-3"/>
    <n v="0"/>
    <s v="BJ"/>
    <x v="2"/>
    <x v="15"/>
    <s v="Q1"/>
    <n v="240"/>
    <n v="0"/>
    <s v="BJ PTS"/>
    <n v="1"/>
    <n v="0"/>
    <n v="0"/>
    <n v="0"/>
  </r>
  <r>
    <n v="67465063"/>
    <x v="3"/>
    <n v="0"/>
    <d v="2023-02-05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362"/>
    <d v="2023-02-05T00:00:00"/>
    <x v="7"/>
    <x v="3"/>
    <n v="1.596E-3"/>
    <n v="0.57775200000000004"/>
    <s v="PS"/>
    <x v="2"/>
    <x v="3"/>
    <s v="Q1"/>
    <n v="130"/>
    <n v="2.7846153846153845"/>
    <s v="PG"/>
    <n v="1"/>
    <n v="362"/>
    <n v="0.57775200000000004"/>
    <n v="2.7846153846153845"/>
  </r>
  <r>
    <n v="67466492"/>
    <x v="3"/>
    <n v="2309"/>
    <d v="2023-02-05T00:00:00"/>
    <x v="8"/>
    <x v="6"/>
    <n v="5.2680000000000001E-3"/>
    <n v="12.163812"/>
    <s v="PS"/>
    <x v="2"/>
    <x v="3"/>
    <s v="Q1"/>
    <n v="130"/>
    <n v="17.761538461538461"/>
    <s v="PG"/>
    <n v="1"/>
    <n v="2309"/>
    <n v="12.163812"/>
    <n v="17.761538461538461"/>
  </r>
  <r>
    <n v="67466492"/>
    <x v="3"/>
    <n v="0"/>
    <d v="2023-02-05T00:00:00"/>
    <x v="8"/>
    <x v="7"/>
    <n v="5.2680000000000001E-3"/>
    <n v="0"/>
    <s v="PS"/>
    <x v="2"/>
    <x v="3"/>
    <s v="Q1"/>
    <n v="130"/>
    <n v="0"/>
    <s v="PG"/>
    <n v="1"/>
    <n v="0"/>
    <n v="0"/>
    <n v="0"/>
  </r>
  <r>
    <n v="67466492"/>
    <x v="3"/>
    <n v="1598"/>
    <d v="2023-02-05T00:00:00"/>
    <x v="8"/>
    <x v="8"/>
    <n v="5.2680000000000001E-3"/>
    <n v="8.4182640000000006"/>
    <s v="PS"/>
    <x v="2"/>
    <x v="3"/>
    <s v="Q1"/>
    <n v="130"/>
    <n v="12.292307692307693"/>
    <s v="PG"/>
    <n v="1"/>
    <n v="1598"/>
    <n v="8.4182640000000006"/>
    <n v="12.292307692307693"/>
  </r>
  <r>
    <n v="67466492"/>
    <x v="3"/>
    <n v="519"/>
    <d v="2023-02-05T00:00:00"/>
    <x v="8"/>
    <x v="9"/>
    <n v="5.2680000000000001E-3"/>
    <n v="2.734092"/>
    <s v="PS"/>
    <x v="2"/>
    <x v="3"/>
    <s v="Q1"/>
    <n v="130"/>
    <n v="3.9923076923076923"/>
    <s v="PG"/>
    <n v="1"/>
    <n v="519"/>
    <n v="2.734092"/>
    <n v="3.9923076923076923"/>
  </r>
  <r>
    <n v="67476560"/>
    <x v="3"/>
    <n v="1264"/>
    <d v="2023-02-05T00:00:00"/>
    <x v="10"/>
    <x v="10"/>
    <n v="5.1060000000000003E-3"/>
    <n v="6.4539840000000002"/>
    <s v="PS"/>
    <x v="2"/>
    <x v="3"/>
    <s v="Q1"/>
    <n v="130"/>
    <n v="9.7230769230769223"/>
    <s v="PG"/>
    <n v="1"/>
    <n v="1264"/>
    <n v="6.4539840000000002"/>
    <n v="9.7230769230769223"/>
  </r>
  <r>
    <n v="67546042"/>
    <x v="5"/>
    <n v="0"/>
    <d v="2023-02-05T00:00:00"/>
    <x v="108"/>
    <x v="35"/>
    <n v="3.7853439999999999E-3"/>
    <n v="0"/>
    <s v="BJ"/>
    <x v="2"/>
    <x v="15"/>
    <s v="Q1"/>
    <n v="240"/>
    <n v="0"/>
    <s v="BJ PTS"/>
    <n v="1"/>
    <n v="0"/>
    <n v="0"/>
    <n v="0"/>
  </r>
  <r>
    <n v="67885716"/>
    <x v="3"/>
    <n v="0"/>
    <d v="2023-02-05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2188"/>
    <d v="2023-02-05T00:00:00"/>
    <x v="89"/>
    <x v="11"/>
    <n v="8.5199999999999998E-3"/>
    <n v="18.641759999999998"/>
    <s v="BR"/>
    <x v="2"/>
    <x v="6"/>
    <s v="Q1"/>
    <n v="154"/>
    <n v="14.207792207792208"/>
    <s v="48oz"/>
    <n v="1"/>
    <n v="2188"/>
    <n v="18.641759999999998"/>
    <n v="14.207792207792208"/>
  </r>
  <r>
    <n v="67885718"/>
    <x v="3"/>
    <n v="12478"/>
    <d v="2023-02-05T00:00:00"/>
    <x v="48"/>
    <x v="12"/>
    <n v="8.5199999999999998E-3"/>
    <n v="106.31255999999999"/>
    <s v="BR"/>
    <x v="2"/>
    <x v="6"/>
    <s v="Q1"/>
    <n v="154"/>
    <n v="81.025974025974023"/>
    <s v="48oz"/>
    <n v="1"/>
    <n v="12478"/>
    <n v="106.31255999999999"/>
    <n v="81.025974025974023"/>
  </r>
  <r>
    <n v="67885719"/>
    <x v="2"/>
    <n v="9623"/>
    <d v="2023-02-05T00:00:00"/>
    <x v="11"/>
    <x v="13"/>
    <n v="8.5199999999999998E-3"/>
    <n v="81.987960000000001"/>
    <s v="BR"/>
    <x v="2"/>
    <x v="2"/>
    <s v="Q1"/>
    <n v="154"/>
    <n v="62.487012987012989"/>
    <s v="48oz"/>
    <n v="1"/>
    <n v="9623"/>
    <n v="81.987960000000001"/>
    <n v="62.487012987012989"/>
  </r>
  <r>
    <n v="67885724"/>
    <x v="3"/>
    <n v="0"/>
    <d v="2023-02-05T00:00:00"/>
    <x v="49"/>
    <x v="12"/>
    <n v="8.5199999999999998E-3"/>
    <n v="0"/>
    <s v="BR"/>
    <x v="2"/>
    <x v="6"/>
    <s v="Q1"/>
    <n v="154"/>
    <n v="0"/>
    <s v="48oz"/>
    <n v="1"/>
    <n v="0"/>
    <n v="0"/>
    <n v="0"/>
  </r>
  <r>
    <n v="67901583"/>
    <x v="3"/>
    <n v="9078"/>
    <d v="2023-02-05T00:00:00"/>
    <x v="50"/>
    <x v="11"/>
    <n v="8.5199999999999998E-3"/>
    <n v="77.344560000000001"/>
    <s v="BR"/>
    <x v="2"/>
    <x v="6"/>
    <s v="Q1"/>
    <n v="154"/>
    <n v="58.948051948051948"/>
    <s v="48oz"/>
    <n v="1"/>
    <n v="9078"/>
    <n v="77.344560000000001"/>
    <n v="58.948051948051948"/>
  </r>
  <r>
    <n v="67901589"/>
    <x v="2"/>
    <n v="18086"/>
    <d v="2023-02-05T00:00:00"/>
    <x v="220"/>
    <x v="32"/>
    <n v="8.5199999999999998E-3"/>
    <n v="154.09271999999999"/>
    <s v="BR"/>
    <x v="2"/>
    <x v="2"/>
    <s v="Q1"/>
    <n v="154"/>
    <n v="117.44155844155844"/>
    <s v="48oz"/>
    <n v="1"/>
    <n v="18086"/>
    <n v="154.09271999999999"/>
    <n v="117.44155844155844"/>
  </r>
  <r>
    <n v="68300738"/>
    <x v="3"/>
    <n v="2931"/>
    <d v="2023-02-05T00:00:00"/>
    <x v="120"/>
    <x v="19"/>
    <n v="8.4960000000000001E-3"/>
    <n v="24.901776000000002"/>
    <s v="KL"/>
    <x v="2"/>
    <x v="8"/>
    <s v="Q1"/>
    <n v="132"/>
    <n v="22.204545454545453"/>
    <s v="EDF"/>
    <n v="1"/>
    <n v="2931"/>
    <n v="24.901776000000002"/>
    <n v="22.204545454545453"/>
  </r>
  <r>
    <n v="68410354"/>
    <x v="2"/>
    <n v="3610"/>
    <d v="2023-02-05T00:00:00"/>
    <x v="111"/>
    <x v="5"/>
    <n v="1.08E-3"/>
    <n v="3.8988"/>
    <s v="MG"/>
    <x v="2"/>
    <x v="5"/>
    <s v="Q1"/>
    <n v="493"/>
    <n v="7.3225152129817443"/>
    <s v="MG Sticks"/>
    <n v="1"/>
    <n v="3610"/>
    <n v="3.8988"/>
    <n v="7.3225152129817443"/>
  </r>
  <r>
    <n v="68634167"/>
    <x v="2"/>
    <n v="0"/>
    <d v="2023-02-05T00:00:00"/>
    <x v="91"/>
    <x v="2"/>
    <n v="8.5199999999999998E-3"/>
    <n v="0"/>
    <s v="BR"/>
    <x v="2"/>
    <x v="2"/>
    <s v="Q1"/>
    <n v="154"/>
    <n v="0"/>
    <s v="48oz"/>
    <n v="1"/>
    <n v="0"/>
    <n v="0"/>
    <n v="0"/>
  </r>
  <r>
    <n v="68634167"/>
    <x v="2"/>
    <n v="294"/>
    <d v="2023-02-05T00:00:00"/>
    <x v="91"/>
    <x v="2"/>
    <n v="8.5199999999999998E-3"/>
    <n v="2.50488"/>
    <s v="BR"/>
    <x v="2"/>
    <x v="2"/>
    <s v="Q1"/>
    <n v="154"/>
    <n v="1.9090909090909092"/>
    <s v="48oz"/>
    <n v="1"/>
    <n v="294"/>
    <n v="2.50488"/>
    <n v="1.9090909090909092"/>
  </r>
  <r>
    <n v="68659718"/>
    <x v="3"/>
    <n v="0"/>
    <d v="2023-02-05T00:00:00"/>
    <x v="193"/>
    <x v="24"/>
    <n v="2.8319999999999999E-3"/>
    <n v="0"/>
    <s v="GH"/>
    <x v="2"/>
    <x v="4"/>
    <s v="Q1"/>
    <n v="225"/>
    <n v="0"/>
    <s v="MBG"/>
    <n v="1"/>
    <n v="0"/>
    <n v="0"/>
    <n v="0"/>
  </r>
  <r>
    <n v="68689251"/>
    <x v="3"/>
    <n v="5723"/>
    <d v="2023-02-05T00:00:00"/>
    <x v="17"/>
    <x v="17"/>
    <n v="9.5760000000000012E-3"/>
    <n v="54.80344800000001"/>
    <s v="KL"/>
    <x v="2"/>
    <x v="8"/>
    <s v="Q1"/>
    <n v="132"/>
    <n v="43.356060606060609"/>
    <s v="EDF"/>
    <n v="1"/>
    <n v="5723"/>
    <n v="54.80344800000001"/>
    <n v="43.356060606060609"/>
  </r>
  <r>
    <n v="68689251"/>
    <x v="3"/>
    <n v="0"/>
    <d v="2023-02-05T00:00:00"/>
    <x v="17"/>
    <x v="20"/>
    <n v="9.5760000000000012E-3"/>
    <n v="0"/>
    <s v="KL"/>
    <x v="2"/>
    <x v="8"/>
    <s v="Q1"/>
    <n v="132"/>
    <n v="0"/>
    <s v="EDF"/>
    <n v="1"/>
    <n v="0"/>
    <n v="0"/>
    <n v="0"/>
  </r>
  <r>
    <n v="68726916"/>
    <x v="2"/>
    <n v="0"/>
    <d v="2023-02-05T00:00:00"/>
    <x v="43"/>
    <x v="21"/>
    <n v="3.7853440000000004E-3"/>
    <n v="0"/>
    <s v="TA"/>
    <x v="2"/>
    <x v="10"/>
    <s v="Q1"/>
    <n v="255"/>
    <n v="0"/>
    <s v="TALENTI"/>
    <n v="1"/>
    <n v="0"/>
    <n v="0"/>
    <n v="0"/>
  </r>
  <r>
    <n v="68726916"/>
    <x v="2"/>
    <n v="0"/>
    <d v="2023-02-05T00:00:00"/>
    <x v="43"/>
    <x v="21"/>
    <n v="3.7853440000000004E-3"/>
    <n v="0"/>
    <s v="TA"/>
    <x v="2"/>
    <x v="10"/>
    <s v="Q1"/>
    <n v="255"/>
    <n v="0"/>
    <s v="TALENTI"/>
    <n v="1"/>
    <n v="0"/>
    <n v="0"/>
    <n v="0"/>
  </r>
  <r>
    <n v="68728342"/>
    <x v="2"/>
    <n v="5790"/>
    <d v="2023-02-05T00:00:00"/>
    <x v="44"/>
    <x v="22"/>
    <n v="3.7853439999999999E-3"/>
    <n v="21.91714176"/>
    <s v="TA"/>
    <x v="2"/>
    <x v="10"/>
    <s v="Q1"/>
    <n v="255"/>
    <n v="22.705882352941178"/>
    <s v="TALENTI"/>
    <n v="1"/>
    <n v="5790"/>
    <n v="21.91714176"/>
    <n v="22.705882352941178"/>
  </r>
  <r>
    <n v="68730234"/>
    <x v="2"/>
    <n v="0"/>
    <d v="2023-02-05T00:00:00"/>
    <x v="21"/>
    <x v="21"/>
    <n v="3.7853440000000004E-3"/>
    <n v="0"/>
    <s v="TA"/>
    <x v="2"/>
    <x v="10"/>
    <s v="Q1"/>
    <n v="255"/>
    <n v="0"/>
    <s v="TALENTI"/>
    <n v="1"/>
    <n v="0"/>
    <n v="0"/>
    <n v="0"/>
  </r>
  <r>
    <n v="68741742"/>
    <x v="3"/>
    <n v="5356"/>
    <d v="2023-02-05T00:00:00"/>
    <x v="25"/>
    <x v="4"/>
    <n v="4.2560000000000002E-3"/>
    <n v="22.795136000000003"/>
    <s v="GH"/>
    <x v="2"/>
    <x v="4"/>
    <s v="Q1"/>
    <n v="154"/>
    <n v="34.779220779220779"/>
    <s v="MBG"/>
    <n v="1"/>
    <n v="5356"/>
    <n v="22.795136000000003"/>
    <n v="34.779220779220779"/>
  </r>
  <r>
    <n v="68741742"/>
    <x v="2"/>
    <n v="4732"/>
    <d v="2023-02-05T00:00:00"/>
    <x v="25"/>
    <x v="25"/>
    <n v="4.2560000000000002E-3"/>
    <n v="20.139392000000001"/>
    <s v="GH"/>
    <x v="2"/>
    <x v="11"/>
    <s v="Q1"/>
    <n v="154"/>
    <n v="30.727272727272727"/>
    <s v="MBG"/>
    <n v="1"/>
    <n v="4732"/>
    <n v="20.139392000000001"/>
    <n v="30.727272727272727"/>
  </r>
  <r>
    <n v="68746232"/>
    <x v="2"/>
    <n v="4884"/>
    <d v="2023-02-05T00:00:00"/>
    <x v="154"/>
    <x v="26"/>
    <n v="9.5879999999999993E-3"/>
    <n v="46.827791999999995"/>
    <s v="KL"/>
    <x v="2"/>
    <x v="12"/>
    <s v="Q1"/>
    <n v="132"/>
    <n v="37"/>
    <s v="EDF"/>
    <n v="1"/>
    <n v="4884"/>
    <n v="46.827791999999995"/>
    <n v="37"/>
  </r>
  <r>
    <n v="68821728"/>
    <x v="2"/>
    <n v="0"/>
    <d v="2023-02-05T00:00:00"/>
    <x v="35"/>
    <x v="13"/>
    <n v="8.5199999999999998E-3"/>
    <n v="0"/>
    <s v="BR"/>
    <x v="2"/>
    <x v="2"/>
    <s v="Q1"/>
    <n v="176"/>
    <n v="0"/>
    <s v="48oz"/>
    <n v="1"/>
    <n v="0"/>
    <n v="0"/>
    <n v="0"/>
  </r>
  <r>
    <n v="69572659"/>
    <x v="2"/>
    <n v="0"/>
    <d v="2023-02-05T00:00:00"/>
    <x v="5"/>
    <x v="5"/>
    <n v="2.1520000000000003E-3"/>
    <n v="0"/>
    <s v="MG"/>
    <x v="2"/>
    <x v="5"/>
    <s v="Q1"/>
    <n v="210"/>
    <n v="0"/>
    <s v="MG Sticks"/>
    <n v="1"/>
    <n v="0"/>
    <n v="0"/>
    <n v="0"/>
  </r>
  <r>
    <n v="69600859"/>
    <x v="5"/>
    <n v="4081"/>
    <d v="2023-02-05T00:00:00"/>
    <x v="209"/>
    <x v="35"/>
    <n v="9.0850000000000011E-3"/>
    <n v="37.075885000000007"/>
    <s v="BJ"/>
    <x v="2"/>
    <x v="39"/>
    <s v="Q1"/>
    <n v="125"/>
    <n v="32.648000000000003"/>
    <s v="2.4 Gal"/>
    <n v="1"/>
    <n v="4081"/>
    <n v="37.075885000000007"/>
    <n v="32.648000000000003"/>
  </r>
  <r>
    <n v="69621212"/>
    <x v="2"/>
    <n v="3829"/>
    <d v="2023-02-05T00:00:00"/>
    <x v="29"/>
    <x v="28"/>
    <n v="5.2680000000000001E-3"/>
    <n v="20.171172000000002"/>
    <s v="PG"/>
    <x v="2"/>
    <x v="14"/>
    <s v="Q1"/>
    <n v="130"/>
    <n v="29.453846153846154"/>
    <s v="PG"/>
    <n v="1"/>
    <n v="3829"/>
    <n v="20.171172000000002"/>
    <n v="29.453846153846154"/>
  </r>
  <r>
    <n v="69671652"/>
    <x v="3"/>
    <n v="4725"/>
    <d v="2023-02-05T00:00:00"/>
    <x v="197"/>
    <x v="24"/>
    <n v="2.8319999999999999E-3"/>
    <n v="13.3812"/>
    <s v="GH"/>
    <x v="2"/>
    <x v="4"/>
    <s v="Q1"/>
    <n v="225"/>
    <n v="21"/>
    <s v="MBG"/>
    <n v="1"/>
    <n v="4725"/>
    <n v="13.3812"/>
    <n v="21"/>
  </r>
  <r>
    <n v="69677917"/>
    <x v="3"/>
    <n v="706"/>
    <d v="2023-02-05T00:00:00"/>
    <x v="30"/>
    <x v="29"/>
    <n v="5.2680000000000001E-3"/>
    <n v="3.7192080000000001"/>
    <s v="PS"/>
    <x v="2"/>
    <x v="3"/>
    <s v="Q1"/>
    <n v="108"/>
    <n v="6.5370370370370372"/>
    <s v="PG"/>
    <n v="1"/>
    <n v="706"/>
    <n v="3.7192080000000001"/>
    <n v="6.5370370370370372"/>
  </r>
  <r>
    <n v="69677917"/>
    <x v="2"/>
    <n v="6370"/>
    <d v="2023-02-05T00:00:00"/>
    <x v="30"/>
    <x v="30"/>
    <n v="5.2680000000000001E-3"/>
    <n v="33.557160000000003"/>
    <s v="PS"/>
    <x v="2"/>
    <x v="14"/>
    <s v="Q1"/>
    <n v="108"/>
    <n v="58.981481481481481"/>
    <s v="PG"/>
    <n v="1"/>
    <n v="6370"/>
    <n v="33.557160000000003"/>
    <n v="58.981481481481481"/>
  </r>
  <r>
    <n v="69691790"/>
    <x v="2"/>
    <n v="4375"/>
    <d v="2023-02-05T00:00:00"/>
    <x v="212"/>
    <x v="22"/>
    <n v="3.7839999999999996E-3"/>
    <n v="16.555"/>
    <s v="TA"/>
    <x v="2"/>
    <x v="10"/>
    <s v="Q1"/>
    <n v="255"/>
    <n v="17.156862745098039"/>
    <s v="TALENTI"/>
    <n v="1"/>
    <n v="4375"/>
    <n v="16.555"/>
    <n v="17.156862745098039"/>
  </r>
  <r>
    <n v="84136043"/>
    <x v="5"/>
    <n v="27735"/>
    <d v="2023-02-05T00:00:00"/>
    <x v="131"/>
    <x v="38"/>
    <n v="3.7853439999999999E-3"/>
    <n v="104.98651584"/>
    <s v="BJ"/>
    <x v="2"/>
    <x v="15"/>
    <s v="Q1"/>
    <n v="240"/>
    <n v="115.5625"/>
    <s v="BJ PTS"/>
    <n v="1"/>
    <n v="27735"/>
    <n v="104.98651584"/>
    <n v="115.5625"/>
  </r>
  <r>
    <n v="84136394"/>
    <x v="5"/>
    <n v="18588"/>
    <d v="2023-02-05T00:00:00"/>
    <x v="222"/>
    <x v="38"/>
    <n v="3.7839999999999996E-3"/>
    <n v="70.336991999999995"/>
    <s v="BJ"/>
    <x v="2"/>
    <x v="15"/>
    <s v="Q1"/>
    <n v="240"/>
    <n v="77.45"/>
    <s v="BJ PTS"/>
    <n v="1"/>
    <n v="18588"/>
    <n v="70.336991999999995"/>
    <n v="77.45"/>
  </r>
  <r>
    <n v="84136704"/>
    <x v="5"/>
    <n v="0"/>
    <d v="2023-02-05T00:00:00"/>
    <x v="223"/>
    <x v="35"/>
    <n v="3.7853439999999999E-3"/>
    <n v="0"/>
    <s v="BJ"/>
    <x v="2"/>
    <x v="15"/>
    <s v="Q1"/>
    <n v="240"/>
    <n v="0"/>
    <s v="BJ PTS"/>
    <n v="1"/>
    <n v="0"/>
    <n v="0"/>
    <n v="0"/>
  </r>
  <r>
    <n v="84137725"/>
    <x v="5"/>
    <n v="0"/>
    <d v="2023-02-05T00:00:00"/>
    <x v="132"/>
    <x v="34"/>
    <n v="3.7853439999999999E-3"/>
    <n v="0"/>
    <s v="BJ"/>
    <x v="2"/>
    <x v="15"/>
    <s v="Q1"/>
    <n v="240"/>
    <n v="0"/>
    <s v="BJ PTS"/>
    <n v="1"/>
    <n v="0"/>
    <n v="0"/>
    <n v="0"/>
  </r>
  <r>
    <n v="84138391"/>
    <x v="5"/>
    <n v="70099"/>
    <d v="2023-02-05T00:00:00"/>
    <x v="84"/>
    <x v="33"/>
    <n v="3.7853439999999999E-3"/>
    <n v="265.348829056"/>
    <s v="BJ"/>
    <x v="2"/>
    <x v="15"/>
    <s v="Q1"/>
    <n v="240"/>
    <n v="292.07916666666665"/>
    <s v="BJ PTS"/>
    <n v="1"/>
    <n v="70099"/>
    <n v="265.348829056"/>
    <n v="292.07916666666665"/>
  </r>
  <r>
    <n v="67465063"/>
    <x v="3"/>
    <n v="0"/>
    <d v="2023-02-06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06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914"/>
    <d v="2023-02-06T00:00:00"/>
    <x v="7"/>
    <x v="3"/>
    <n v="1.596E-3"/>
    <n v="3.0547439999999999"/>
    <s v="PS"/>
    <x v="2"/>
    <x v="3"/>
    <s v="Q1"/>
    <n v="130"/>
    <n v="14.723076923076922"/>
    <s v="PG"/>
    <n v="1"/>
    <n v="1914"/>
    <n v="3.0547439999999999"/>
    <n v="14.723076923076922"/>
  </r>
  <r>
    <n v="67466492"/>
    <x v="3"/>
    <n v="3660"/>
    <d v="2023-02-06T00:00:00"/>
    <x v="8"/>
    <x v="6"/>
    <n v="5.2680000000000001E-3"/>
    <n v="19.28088"/>
    <s v="PS"/>
    <x v="2"/>
    <x v="3"/>
    <s v="Q1"/>
    <n v="130"/>
    <n v="28.153846153846153"/>
    <s v="PG"/>
    <n v="1"/>
    <n v="3660"/>
    <n v="19.28088"/>
    <n v="28.153846153846153"/>
  </r>
  <r>
    <n v="67466492"/>
    <x v="3"/>
    <n v="3639"/>
    <d v="2023-02-06T00:00:00"/>
    <x v="8"/>
    <x v="7"/>
    <n v="5.2680000000000001E-3"/>
    <n v="19.170252000000001"/>
    <s v="PS"/>
    <x v="2"/>
    <x v="3"/>
    <s v="Q1"/>
    <n v="130"/>
    <n v="27.992307692307691"/>
    <s v="PG"/>
    <n v="1"/>
    <n v="3639"/>
    <n v="19.170252000000001"/>
    <n v="27.992307692307691"/>
  </r>
  <r>
    <n v="67466492"/>
    <x v="3"/>
    <n v="3088"/>
    <d v="2023-02-06T00:00:00"/>
    <x v="8"/>
    <x v="8"/>
    <n v="5.2680000000000001E-3"/>
    <n v="16.267583999999999"/>
    <s v="PS"/>
    <x v="2"/>
    <x v="3"/>
    <s v="Q1"/>
    <n v="130"/>
    <n v="23.753846153846155"/>
    <s v="PG"/>
    <n v="1"/>
    <n v="3088"/>
    <n v="16.267583999999999"/>
    <n v="23.753846153846155"/>
  </r>
  <r>
    <n v="67466492"/>
    <x v="3"/>
    <n v="4111"/>
    <d v="2023-02-06T00:00:00"/>
    <x v="8"/>
    <x v="9"/>
    <n v="5.2680000000000001E-3"/>
    <n v="21.656748"/>
    <s v="PS"/>
    <x v="2"/>
    <x v="3"/>
    <s v="Q1"/>
    <n v="130"/>
    <n v="31.623076923076923"/>
    <s v="PG"/>
    <n v="1"/>
    <n v="4111"/>
    <n v="21.656748"/>
    <n v="31.623076923076923"/>
  </r>
  <r>
    <n v="67476560"/>
    <x v="3"/>
    <n v="4972"/>
    <d v="2023-02-06T00:00:00"/>
    <x v="10"/>
    <x v="10"/>
    <n v="5.1060000000000003E-3"/>
    <n v="25.387032000000001"/>
    <s v="PS"/>
    <x v="2"/>
    <x v="3"/>
    <s v="Q1"/>
    <n v="130"/>
    <n v="38.246153846153845"/>
    <s v="PG"/>
    <n v="1"/>
    <n v="4972"/>
    <n v="25.387032000000001"/>
    <n v="38.246153846153845"/>
  </r>
  <r>
    <n v="67733288"/>
    <x v="3"/>
    <n v="0"/>
    <d v="2023-02-06T00:00:00"/>
    <x v="224"/>
    <x v="23"/>
    <n v="8.5199999999999998E-3"/>
    <n v="0"/>
    <s v="BR"/>
    <x v="2"/>
    <x v="6"/>
    <s v="Q1"/>
    <n v="154"/>
    <n v="0"/>
    <s v="48oz"/>
    <n v="1"/>
    <n v="0"/>
    <n v="0"/>
    <n v="0"/>
  </r>
  <r>
    <n v="67826412"/>
    <x v="13"/>
    <n v="53040"/>
    <d v="2023-02-06T00:00:00"/>
    <x v="214"/>
    <x v="35"/>
    <n v="3.7853439999999999E-3"/>
    <n v="200.77464576"/>
    <s v="BJ"/>
    <x v="2"/>
    <x v="36"/>
    <s v="Q1"/>
    <n v="240"/>
    <n v="221"/>
    <s v="BJ PTS"/>
    <n v="1"/>
    <n v="53040"/>
    <n v="200.77464576"/>
    <n v="221"/>
  </r>
  <r>
    <n v="67885716"/>
    <x v="3"/>
    <n v="0"/>
    <d v="2023-02-06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9"/>
    <x v="2"/>
    <n v="17230"/>
    <d v="2023-02-06T00:00:00"/>
    <x v="11"/>
    <x v="32"/>
    <n v="8.5199999999999998E-3"/>
    <n v="146.7996"/>
    <s v="BR"/>
    <x v="2"/>
    <x v="2"/>
    <s v="Q1"/>
    <n v="154"/>
    <n v="111.88311688311688"/>
    <s v="48oz"/>
    <n v="1"/>
    <n v="17230"/>
    <n v="146.7996"/>
    <n v="111.88311688311688"/>
  </r>
  <r>
    <n v="67885719"/>
    <x v="2"/>
    <n v="1588"/>
    <d v="2023-02-06T00:00:00"/>
    <x v="11"/>
    <x v="13"/>
    <n v="8.5199999999999998E-3"/>
    <n v="13.52976"/>
    <s v="BR"/>
    <x v="2"/>
    <x v="2"/>
    <s v="Q1"/>
    <n v="154"/>
    <n v="10.311688311688311"/>
    <s v="48oz"/>
    <n v="1"/>
    <n v="1588"/>
    <n v="13.52976"/>
    <n v="10.311688311688311"/>
  </r>
  <r>
    <n v="67885719"/>
    <x v="2"/>
    <n v="0"/>
    <d v="2023-02-06T00:00:00"/>
    <x v="11"/>
    <x v="13"/>
    <n v="8.5199999999999998E-3"/>
    <n v="0"/>
    <s v="BR"/>
    <x v="2"/>
    <x v="2"/>
    <s v="Q1"/>
    <n v="154"/>
    <n v="0"/>
    <s v="48oz"/>
    <n v="1"/>
    <n v="0"/>
    <n v="0"/>
    <n v="0"/>
  </r>
  <r>
    <n v="67885724"/>
    <x v="3"/>
    <n v="6277"/>
    <d v="2023-02-06T00:00:00"/>
    <x v="49"/>
    <x v="12"/>
    <n v="8.5199999999999998E-3"/>
    <n v="53.480039999999995"/>
    <s v="BR"/>
    <x v="2"/>
    <x v="6"/>
    <s v="Q1"/>
    <n v="154"/>
    <n v="40.759740259740262"/>
    <s v="48oz"/>
    <n v="1"/>
    <n v="6277"/>
    <n v="53.480039999999995"/>
    <n v="40.759740259740262"/>
  </r>
  <r>
    <n v="67901583"/>
    <x v="3"/>
    <n v="15738"/>
    <d v="2023-02-06T00:00:00"/>
    <x v="50"/>
    <x v="11"/>
    <n v="8.5199999999999998E-3"/>
    <n v="134.08776"/>
    <s v="BR"/>
    <x v="2"/>
    <x v="6"/>
    <s v="Q1"/>
    <n v="154"/>
    <n v="102.1948051948052"/>
    <s v="48oz"/>
    <n v="1"/>
    <n v="15738"/>
    <n v="134.08776"/>
    <n v="102.1948051948052"/>
  </r>
  <r>
    <n v="67901589"/>
    <x v="2"/>
    <n v="23451"/>
    <d v="2023-02-06T00:00:00"/>
    <x v="220"/>
    <x v="32"/>
    <n v="8.5199999999999998E-3"/>
    <n v="199.80251999999999"/>
    <s v="BR"/>
    <x v="2"/>
    <x v="2"/>
    <s v="Q1"/>
    <n v="154"/>
    <n v="152.27922077922079"/>
    <s v="48oz"/>
    <n v="1"/>
    <n v="23451"/>
    <n v="199.80251999999999"/>
    <n v="152.27922077922079"/>
  </r>
  <r>
    <n v="67908208"/>
    <x v="2"/>
    <n v="0"/>
    <d v="2023-02-06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117572"/>
    <x v="2"/>
    <n v="1804"/>
    <d v="2023-02-06T00:00:00"/>
    <x v="31"/>
    <x v="14"/>
    <n v="4.2560000000000002E-3"/>
    <n v="7.6778240000000002"/>
    <s v="BR"/>
    <x v="2"/>
    <x v="5"/>
    <s v="Q1"/>
    <n v="143"/>
    <n v="12.615384615384615"/>
    <s v="MG Sticks"/>
    <n v="1"/>
    <n v="1804"/>
    <n v="7.6778240000000002"/>
    <n v="12.615384615384615"/>
  </r>
  <r>
    <n v="68300738"/>
    <x v="3"/>
    <n v="5591"/>
    <d v="2023-02-06T00:00:00"/>
    <x v="120"/>
    <x v="19"/>
    <n v="8.4960000000000001E-3"/>
    <n v="47.501136000000002"/>
    <s v="KL"/>
    <x v="2"/>
    <x v="8"/>
    <s v="Q1"/>
    <n v="132"/>
    <n v="42.356060606060609"/>
    <s v="EDF"/>
    <n v="1"/>
    <n v="5591"/>
    <n v="47.501136000000002"/>
    <n v="42.356060606060609"/>
  </r>
  <r>
    <n v="68354587"/>
    <x v="2"/>
    <n v="0"/>
    <d v="2023-02-06T00:00:00"/>
    <x v="226"/>
    <x v="15"/>
    <n v="3.5999999999999999E-3"/>
    <n v="0"/>
    <s v="BJ"/>
    <x v="2"/>
    <x v="19"/>
    <s v="Q1"/>
    <n v="240"/>
    <n v="0"/>
    <s v="TOPPED"/>
    <n v="1"/>
    <n v="0"/>
    <n v="0"/>
    <n v="0"/>
  </r>
  <r>
    <n v="68410354"/>
    <x v="2"/>
    <n v="16096"/>
    <d v="2023-02-06T00:00:00"/>
    <x v="111"/>
    <x v="5"/>
    <n v="1.08E-3"/>
    <n v="17.383680000000002"/>
    <s v="MG"/>
    <x v="2"/>
    <x v="5"/>
    <s v="Q1"/>
    <n v="493"/>
    <n v="32.649087221095336"/>
    <s v="MG Sticks"/>
    <n v="1"/>
    <n v="16096"/>
    <n v="17.383680000000002"/>
    <n v="32.649087221095336"/>
  </r>
  <r>
    <n v="68414643"/>
    <x v="6"/>
    <n v="7135"/>
    <d v="2023-02-06T00:00:00"/>
    <x v="41"/>
    <x v="0"/>
    <n v="1.419504E-3"/>
    <n v="10.12816104"/>
    <s v="BJ"/>
    <x v="2"/>
    <x v="17"/>
    <s v="Q1"/>
    <n v="238"/>
    <n v="29.978991596638654"/>
    <s v="B&amp;J Dog Treat - Repack"/>
    <n v="1"/>
    <n v="7135"/>
    <n v="10.12816104"/>
    <n v="29.978991596638654"/>
  </r>
  <r>
    <n v="68634167"/>
    <x v="3"/>
    <n v="9196"/>
    <d v="2023-02-06T00:00:00"/>
    <x v="91"/>
    <x v="16"/>
    <n v="8.5199999999999998E-3"/>
    <n v="78.349919999999997"/>
    <s v="BR"/>
    <x v="2"/>
    <x v="6"/>
    <s v="Q1"/>
    <n v="154"/>
    <n v="59.714285714285715"/>
    <s v="48oz"/>
    <n v="1"/>
    <n v="9196"/>
    <n v="78.349919999999997"/>
    <n v="59.714285714285715"/>
  </r>
  <r>
    <n v="68689251"/>
    <x v="3"/>
    <n v="4238"/>
    <d v="2023-02-06T00:00:00"/>
    <x v="17"/>
    <x v="17"/>
    <n v="9.5760000000000012E-3"/>
    <n v="40.583088000000004"/>
    <s v="KL"/>
    <x v="2"/>
    <x v="8"/>
    <s v="Q1"/>
    <n v="132"/>
    <n v="32.106060606060609"/>
    <s v="EDF"/>
    <n v="1"/>
    <n v="4238"/>
    <n v="40.583088000000004"/>
    <n v="32.106060606060609"/>
  </r>
  <r>
    <n v="68689253"/>
    <x v="2"/>
    <n v="3678"/>
    <d v="2023-02-06T00:00:00"/>
    <x v="125"/>
    <x v="18"/>
    <n v="6.0035555555555554E-3"/>
    <n v="22.081077333333333"/>
    <s v="KL"/>
    <x v="2"/>
    <x v="9"/>
    <s v="Q1"/>
    <n v="120"/>
    <n v="30.65"/>
    <s v="ESS"/>
    <n v="1"/>
    <n v="3678"/>
    <n v="22.081077333333333"/>
    <n v="30.65"/>
  </r>
  <r>
    <n v="68709233"/>
    <x v="3"/>
    <n v="4995"/>
    <d v="2023-02-06T00:00:00"/>
    <x v="19"/>
    <x v="20"/>
    <n v="8.4960000000000001E-3"/>
    <n v="42.437519999999999"/>
    <s v="KL"/>
    <x v="2"/>
    <x v="8"/>
    <s v="Q1"/>
    <n v="132"/>
    <n v="37.840909090909093"/>
    <s v="EDF"/>
    <n v="1"/>
    <n v="4995"/>
    <n v="42.437519999999999"/>
    <n v="37.840909090909093"/>
  </r>
  <r>
    <n v="68726916"/>
    <x v="2"/>
    <n v="33418"/>
    <d v="2023-02-06T00:00:00"/>
    <x v="43"/>
    <x v="21"/>
    <n v="3.7853440000000004E-3"/>
    <n v="126.49862579200001"/>
    <s v="TA"/>
    <x v="2"/>
    <x v="10"/>
    <s v="Q1"/>
    <n v="255"/>
    <n v="131.05098039215687"/>
    <s v="TALENTI"/>
    <n v="1"/>
    <n v="33418"/>
    <n v="126.49862579200001"/>
    <n v="131.05098039215687"/>
  </r>
  <r>
    <n v="68728342"/>
    <x v="2"/>
    <n v="14998"/>
    <d v="2023-02-06T00:00:00"/>
    <x v="44"/>
    <x v="22"/>
    <n v="3.7853439999999999E-3"/>
    <n v="56.772589312000001"/>
    <s v="TA"/>
    <x v="2"/>
    <x v="10"/>
    <s v="Q1"/>
    <n v="255"/>
    <n v="58.815686274509801"/>
    <s v="TALENTI"/>
    <n v="1"/>
    <n v="14998"/>
    <n v="56.772589312000001"/>
    <n v="58.815686274509801"/>
  </r>
  <r>
    <n v="68729136"/>
    <x v="8"/>
    <n v="3321"/>
    <d v="2023-02-06T00:00:00"/>
    <x v="55"/>
    <x v="0"/>
    <n v="2.7000000000000001E-3"/>
    <n v="8.9667000000000012"/>
    <s v="MG"/>
    <x v="2"/>
    <x v="21"/>
    <s v="Q1"/>
    <n v="170"/>
    <n v="19.535294117647059"/>
    <s v="MG Sticks ND"/>
    <n v="1"/>
    <n v="3321"/>
    <n v="8.9667000000000012"/>
    <n v="19.535294117647059"/>
  </r>
  <r>
    <n v="68730252"/>
    <x v="2"/>
    <n v="0"/>
    <d v="2023-02-06T00:00:00"/>
    <x v="22"/>
    <x v="22"/>
    <n v="3.7853440000000004E-3"/>
    <n v="0"/>
    <s v="TA"/>
    <x v="2"/>
    <x v="10"/>
    <s v="Q1"/>
    <n v="255"/>
    <n v="0"/>
    <s v="TALENTI"/>
    <n v="1"/>
    <n v="0"/>
    <n v="0"/>
    <n v="0"/>
  </r>
  <r>
    <n v="68737750"/>
    <x v="3"/>
    <n v="11972"/>
    <d v="2023-02-06T00:00:00"/>
    <x v="144"/>
    <x v="23"/>
    <n v="8.5199999999999998E-3"/>
    <n v="102.00144"/>
    <s v="BR"/>
    <x v="2"/>
    <x v="6"/>
    <s v="Q1"/>
    <n v="176"/>
    <n v="68.022727272727266"/>
    <s v="48oz"/>
    <n v="1"/>
    <n v="11972"/>
    <n v="102.00144"/>
    <n v="68.022727272727266"/>
  </r>
  <r>
    <n v="68741714"/>
    <x v="3"/>
    <n v="4268"/>
    <d v="2023-02-06T00:00:00"/>
    <x v="24"/>
    <x v="24"/>
    <n v="2.8319999999999999E-3"/>
    <n v="12.086976"/>
    <s v="GH"/>
    <x v="2"/>
    <x v="4"/>
    <s v="Q1"/>
    <n v="225"/>
    <n v="18.968888888888888"/>
    <s v="MBG"/>
    <n v="1"/>
    <n v="4268"/>
    <n v="12.086976"/>
    <n v="18.968888888888888"/>
  </r>
  <r>
    <n v="68741742"/>
    <x v="2"/>
    <n v="3218"/>
    <d v="2023-02-06T00:00:00"/>
    <x v="25"/>
    <x v="25"/>
    <n v="4.2560000000000002E-3"/>
    <n v="13.695808000000001"/>
    <s v="GH"/>
    <x v="2"/>
    <x v="11"/>
    <s v="Q1"/>
    <n v="154"/>
    <n v="20.896103896103895"/>
    <s v="MBG"/>
    <n v="1"/>
    <n v="3218"/>
    <n v="13.695808000000001"/>
    <n v="20.896103896103895"/>
  </r>
  <r>
    <n v="68746232"/>
    <x v="2"/>
    <n v="213"/>
    <d v="2023-02-06T00:00:00"/>
    <x v="154"/>
    <x v="26"/>
    <n v="9.5879999999999993E-3"/>
    <n v="2.0422439999999997"/>
    <s v="KL"/>
    <x v="2"/>
    <x v="12"/>
    <s v="Q1"/>
    <n v="132"/>
    <n v="1.6136363636363635"/>
    <s v="EDF"/>
    <n v="1"/>
    <n v="213"/>
    <n v="2.0422439999999997"/>
    <n v="1.6136363636363635"/>
  </r>
  <r>
    <n v="68821728"/>
    <x v="2"/>
    <n v="9391"/>
    <d v="2023-02-06T00:00:00"/>
    <x v="35"/>
    <x v="13"/>
    <n v="8.5199999999999998E-3"/>
    <n v="80.011319999999998"/>
    <s v="BR"/>
    <x v="2"/>
    <x v="2"/>
    <s v="Q1"/>
    <n v="176"/>
    <n v="53.357954545454547"/>
    <s v="48oz"/>
    <n v="1"/>
    <n v="9391"/>
    <n v="80.011319999999998"/>
    <n v="53.357954545454547"/>
  </r>
  <r>
    <n v="68852583"/>
    <x v="2"/>
    <n v="2112"/>
    <d v="2023-02-06T00:00:00"/>
    <x v="227"/>
    <x v="26"/>
    <n v="8.5199999999999998E-3"/>
    <n v="17.994239999999998"/>
    <s v="KL"/>
    <x v="2"/>
    <x v="12"/>
    <s v="Q1"/>
    <n v="132"/>
    <n v="16"/>
    <s v="EDF"/>
    <n v="1"/>
    <n v="2112"/>
    <n v="17.994239999999998"/>
    <n v="16"/>
  </r>
  <r>
    <n v="68860010"/>
    <x v="7"/>
    <n v="7816"/>
    <d v="2023-02-06T00:00:00"/>
    <x v="45"/>
    <x v="0"/>
    <n v="3.7853439999999999E-3"/>
    <n v="29.586248703999999"/>
    <s v="BJ"/>
    <x v="2"/>
    <x v="18"/>
    <s v="Q1"/>
    <n v="240"/>
    <n v="32.56666666666667"/>
    <s v="BJ PTS"/>
    <n v="1"/>
    <n v="7816"/>
    <n v="29.586248703999999"/>
    <n v="32.56666666666667"/>
  </r>
  <r>
    <n v="68896052"/>
    <x v="2"/>
    <n v="11794"/>
    <d v="2023-02-06T00:00:00"/>
    <x v="36"/>
    <x v="2"/>
    <n v="8.5199999999999998E-3"/>
    <n v="100.48488"/>
    <s v="BR"/>
    <x v="2"/>
    <x v="2"/>
    <s v="Q1"/>
    <n v="176"/>
    <n v="67.01136363636364"/>
    <s v="48oz"/>
    <n v="1"/>
    <n v="11794"/>
    <n v="100.48488"/>
    <n v="67.01136363636364"/>
  </r>
  <r>
    <n v="68896052"/>
    <x v="2"/>
    <n v="5496"/>
    <d v="2023-02-06T00:00:00"/>
    <x v="36"/>
    <x v="2"/>
    <n v="8.5199999999999998E-3"/>
    <n v="46.825919999999996"/>
    <s v="BR"/>
    <x v="2"/>
    <x v="2"/>
    <s v="Q1"/>
    <n v="176"/>
    <n v="31.227272727272727"/>
    <s v="48oz"/>
    <n v="1"/>
    <n v="5496"/>
    <n v="46.825919999999996"/>
    <n v="31.227272727272727"/>
  </r>
  <r>
    <n v="68914406"/>
    <x v="2"/>
    <n v="6589"/>
    <d v="2023-02-06T00:00:00"/>
    <x v="78"/>
    <x v="27"/>
    <n v="2.124E-3"/>
    <n v="13.995036000000001"/>
    <s v="KL"/>
    <x v="2"/>
    <x v="9"/>
    <s v="Q1"/>
    <n v="352"/>
    <n v="18.71875"/>
    <s v="ESS"/>
    <n v="1"/>
    <n v="6589"/>
    <n v="13.995036000000001"/>
    <n v="18.71875"/>
  </r>
  <r>
    <n v="69548143"/>
    <x v="3"/>
    <n v="10026"/>
    <d v="2023-02-06T00:00:00"/>
    <x v="159"/>
    <x v="36"/>
    <n v="3.192E-3"/>
    <n v="32.002991999999999"/>
    <s v="KL"/>
    <x v="2"/>
    <x v="28"/>
    <s v="Q1"/>
    <n v="345"/>
    <n v="29.060869565217391"/>
    <s v="EFW"/>
    <n v="1"/>
    <n v="10026"/>
    <n v="32.002991999999999"/>
    <n v="29.060869565217391"/>
  </r>
  <r>
    <n v="69551489"/>
    <x v="3"/>
    <n v="1339"/>
    <d v="2023-02-06T00:00:00"/>
    <x v="4"/>
    <x v="4"/>
    <n v="3.8989043190215313E-3"/>
    <n v="5.2206328831698308"/>
    <s v="GH"/>
    <x v="2"/>
    <x v="4"/>
    <s v="Q1"/>
    <n v="154"/>
    <n v="8.6948051948051948"/>
    <s v="MBG"/>
    <n v="1"/>
    <n v="1339"/>
    <n v="5.2206328831698308"/>
    <n v="8.6948051948051948"/>
  </r>
  <r>
    <n v="69554208"/>
    <x v="2"/>
    <n v="8933"/>
    <d v="2023-02-06T00:00:00"/>
    <x v="228"/>
    <x v="15"/>
    <n v="3.5999999999999999E-3"/>
    <n v="32.158799999999999"/>
    <s v="BJ"/>
    <x v="2"/>
    <x v="19"/>
    <s v="Q1"/>
    <n v="240"/>
    <n v="37.220833333333331"/>
    <s v="TOPPED"/>
    <n v="1"/>
    <n v="8933"/>
    <n v="32.158799999999999"/>
    <n v="37.220833333333331"/>
  </r>
  <r>
    <n v="69555093"/>
    <x v="2"/>
    <n v="0"/>
    <d v="2023-02-06T00:00:00"/>
    <x v="229"/>
    <x v="14"/>
    <n v="1.98E-3"/>
    <n v="0"/>
    <s v="TA"/>
    <x v="2"/>
    <x v="42"/>
    <s v="Q1"/>
    <n v="176"/>
    <n v="0"/>
    <s v="TAL NV"/>
    <n v="1"/>
    <n v="0"/>
    <n v="0"/>
    <n v="0"/>
  </r>
  <r>
    <n v="69557443"/>
    <x v="4"/>
    <n v="2400"/>
    <d v="2023-02-06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2400"/>
    <d v="2023-02-06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71484"/>
    <x v="2"/>
    <n v="0"/>
    <d v="2023-02-06T00:00:00"/>
    <x v="230"/>
    <x v="5"/>
    <n v="1.2960000000000001E-2"/>
    <n v="0"/>
    <s v="MG"/>
    <x v="2"/>
    <x v="5"/>
    <s v="Q1"/>
    <n v="493"/>
    <n v="0"/>
    <s v="MG Sticks"/>
    <n v="1"/>
    <n v="0"/>
    <n v="0"/>
    <n v="0"/>
  </r>
  <r>
    <n v="69600853"/>
    <x v="5"/>
    <n v="5321"/>
    <d v="2023-02-06T00:00:00"/>
    <x v="231"/>
    <x v="35"/>
    <n v="9.0850000000000011E-3"/>
    <n v="48.341285000000006"/>
    <s v="BJ"/>
    <x v="2"/>
    <x v="39"/>
    <s v="Q1"/>
    <n v="125"/>
    <n v="42.567999999999998"/>
    <s v="2.4 Gal"/>
    <n v="1"/>
    <n v="5321"/>
    <n v="48.341285000000006"/>
    <n v="42.567999999999998"/>
  </r>
  <r>
    <n v="69621212"/>
    <x v="2"/>
    <n v="3186"/>
    <d v="2023-02-06T00:00:00"/>
    <x v="29"/>
    <x v="28"/>
    <n v="5.2680000000000001E-3"/>
    <n v="16.783847999999999"/>
    <s v="PG"/>
    <x v="2"/>
    <x v="14"/>
    <s v="Q1"/>
    <n v="130"/>
    <n v="24.507692307692309"/>
    <s v="PG"/>
    <n v="1"/>
    <n v="3186"/>
    <n v="16.783847999999999"/>
    <n v="24.507692307692309"/>
  </r>
  <r>
    <n v="69629477"/>
    <x v="1"/>
    <n v="2808"/>
    <d v="2023-02-06T00:00:00"/>
    <x v="61"/>
    <x v="0"/>
    <n v="5.3280000000000003E-3"/>
    <n v="14.961024"/>
    <s v="KL"/>
    <x v="2"/>
    <x v="26"/>
    <s v="Q1"/>
    <n v="108"/>
    <n v="26"/>
    <s v="KL Mini Cones"/>
    <n v="1"/>
    <n v="2808"/>
    <n v="14.961024"/>
    <n v="26"/>
  </r>
  <r>
    <n v="69629477"/>
    <x v="1"/>
    <n v="2962"/>
    <d v="2023-02-06T00:00:00"/>
    <x v="61"/>
    <x v="0"/>
    <n v="5.3280000000000003E-3"/>
    <n v="15.781536000000001"/>
    <s v="KL"/>
    <x v="2"/>
    <x v="26"/>
    <s v="Q1"/>
    <n v="108"/>
    <n v="27.425925925925927"/>
    <s v="KL Mini Cones"/>
    <n v="1"/>
    <n v="2962"/>
    <n v="15.781536000000001"/>
    <n v="27.425925925925927"/>
  </r>
  <r>
    <n v="69671652"/>
    <x v="3"/>
    <n v="0"/>
    <d v="2023-02-06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1652"/>
    <x v="3"/>
    <n v="0"/>
    <d v="2023-02-06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4584"/>
    <d v="2023-02-06T00:00:00"/>
    <x v="30"/>
    <x v="29"/>
    <n v="5.2680000000000001E-3"/>
    <n v="24.148512"/>
    <s v="PS"/>
    <x v="2"/>
    <x v="3"/>
    <s v="Q1"/>
    <n v="108"/>
    <n v="42.444444444444443"/>
    <s v="PG"/>
    <n v="1"/>
    <n v="4584"/>
    <n v="24.148512"/>
    <n v="42.444444444444443"/>
  </r>
  <r>
    <n v="69677917"/>
    <x v="2"/>
    <n v="1282"/>
    <d v="2023-02-06T00:00:00"/>
    <x v="30"/>
    <x v="30"/>
    <n v="5.2680000000000001E-3"/>
    <n v="6.7535759999999998"/>
    <s v="PS"/>
    <x v="2"/>
    <x v="14"/>
    <s v="Q1"/>
    <n v="108"/>
    <n v="11.87037037037037"/>
    <s v="PG"/>
    <n v="1"/>
    <n v="1282"/>
    <n v="6.7535759999999998"/>
    <n v="11.87037037037037"/>
  </r>
  <r>
    <n v="69684522"/>
    <x v="2"/>
    <n v="0"/>
    <d v="2023-02-06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1184"/>
    <d v="2023-02-06T00:00:00"/>
    <x v="69"/>
    <x v="31"/>
    <n v="4.2560000000000002E-3"/>
    <n v="5.039104"/>
    <s v="BR"/>
    <x v="2"/>
    <x v="5"/>
    <s v="Q1"/>
    <n v="143"/>
    <n v="8.27972027972028"/>
    <s v="MG Sticks"/>
    <n v="1"/>
    <n v="1184"/>
    <n v="5.039104"/>
    <n v="8.27972027972028"/>
  </r>
  <r>
    <n v="84135799"/>
    <x v="5"/>
    <n v="5897"/>
    <d v="2023-02-06T00:00:00"/>
    <x v="232"/>
    <x v="35"/>
    <n v="9.0848256361922702E-3"/>
    <n v="53.57321677662582"/>
    <s v="BJ"/>
    <x v="2"/>
    <x v="39"/>
    <s v="Q1"/>
    <n v="125"/>
    <n v="47.176000000000002"/>
    <s v="2.4 Gal"/>
    <n v="1"/>
    <n v="5897"/>
    <n v="53.57321677662582"/>
    <n v="47.176000000000002"/>
  </r>
  <r>
    <n v="84141101"/>
    <x v="5"/>
    <n v="0"/>
    <d v="2023-02-06T00:00:00"/>
    <x v="86"/>
    <x v="33"/>
    <n v="3.7853439999999999E-3"/>
    <n v="0"/>
    <s v="BJ"/>
    <x v="2"/>
    <x v="15"/>
    <s v="Q1"/>
    <n v="240"/>
    <n v="0"/>
    <s v="BJ PTS"/>
    <n v="1"/>
    <n v="0"/>
    <n v="0"/>
    <n v="0"/>
  </r>
  <r>
    <n v="84144598"/>
    <x v="5"/>
    <n v="31413"/>
    <d v="2023-02-06T00:00:00"/>
    <x v="233"/>
    <x v="35"/>
    <n v="3.7853439999999999E-3"/>
    <n v="118.909011072"/>
    <s v="BJ"/>
    <x v="2"/>
    <x v="15"/>
    <s v="Q1"/>
    <n v="240"/>
    <n v="130.88749999999999"/>
    <s v="BJ PTS"/>
    <n v="1"/>
    <n v="31413"/>
    <n v="118.909011072"/>
    <n v="130.88749999999999"/>
  </r>
  <r>
    <n v="84163605"/>
    <x v="5"/>
    <n v="6801"/>
    <d v="2023-02-06T00:00:00"/>
    <x v="219"/>
    <x v="34"/>
    <n v="3.7853439999999999E-3"/>
    <n v="25.744124543999998"/>
    <s v="BJ"/>
    <x v="2"/>
    <x v="15"/>
    <s v="Q1"/>
    <n v="240"/>
    <n v="28.337499999999999"/>
    <s v="BJ PTS"/>
    <n v="1"/>
    <n v="6801"/>
    <n v="25.744124543999998"/>
    <n v="28.337499999999999"/>
  </r>
  <r>
    <n v="84163605"/>
    <x v="5"/>
    <n v="25990"/>
    <d v="2023-02-06T00:00:00"/>
    <x v="219"/>
    <x v="34"/>
    <n v="3.7853439999999999E-3"/>
    <n v="98.381090560000004"/>
    <s v="BJ"/>
    <x v="2"/>
    <x v="15"/>
    <s v="Q1"/>
    <n v="240"/>
    <n v="108.29166666666667"/>
    <s v="BJ PTS"/>
    <n v="1"/>
    <n v="25990"/>
    <n v="98.381090560000004"/>
    <n v="108.29166666666667"/>
  </r>
  <r>
    <n v="67309841"/>
    <x v="2"/>
    <n v="0"/>
    <d v="2023-02-07T00:00:00"/>
    <x v="32"/>
    <x v="32"/>
    <n v="8.5199999999999998E-3"/>
    <n v="0"/>
    <s v="BR"/>
    <x v="2"/>
    <x v="2"/>
    <s v="Q1"/>
    <n v="154"/>
    <n v="0"/>
    <s v="48oz"/>
    <n v="1"/>
    <n v="0"/>
    <n v="0"/>
    <n v="0"/>
  </r>
  <r>
    <n v="67465063"/>
    <x v="3"/>
    <n v="0"/>
    <d v="2023-02-07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07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744"/>
    <d v="2023-02-07T00:00:00"/>
    <x v="7"/>
    <x v="3"/>
    <n v="1.596E-3"/>
    <n v="2.7834240000000001"/>
    <s v="PS"/>
    <x v="2"/>
    <x v="3"/>
    <s v="Q1"/>
    <n v="130"/>
    <n v="13.415384615384616"/>
    <s v="PG"/>
    <n v="1"/>
    <n v="1744"/>
    <n v="2.7834240000000001"/>
    <n v="13.415384615384616"/>
  </r>
  <r>
    <n v="67466492"/>
    <x v="3"/>
    <n v="4344"/>
    <d v="2023-02-07T00:00:00"/>
    <x v="8"/>
    <x v="6"/>
    <n v="5.2680000000000001E-3"/>
    <n v="22.884191999999999"/>
    <s v="PS"/>
    <x v="2"/>
    <x v="3"/>
    <s v="Q1"/>
    <n v="130"/>
    <n v="33.415384615384617"/>
    <s v="PG"/>
    <n v="1"/>
    <n v="4344"/>
    <n v="22.884191999999999"/>
    <n v="33.415384615384617"/>
  </r>
  <r>
    <n v="67466492"/>
    <x v="3"/>
    <n v="3962"/>
    <d v="2023-02-07T00:00:00"/>
    <x v="8"/>
    <x v="7"/>
    <n v="5.2680000000000001E-3"/>
    <n v="20.871815999999999"/>
    <s v="PS"/>
    <x v="2"/>
    <x v="3"/>
    <s v="Q1"/>
    <n v="130"/>
    <n v="30.476923076923075"/>
    <s v="PG"/>
    <n v="1"/>
    <n v="3962"/>
    <n v="20.871815999999999"/>
    <n v="30.476923076923075"/>
  </r>
  <r>
    <n v="67466492"/>
    <x v="3"/>
    <n v="0"/>
    <d v="2023-02-07T00:00:00"/>
    <x v="8"/>
    <x v="7"/>
    <n v="5.2680000000000001E-3"/>
    <n v="0"/>
    <s v="PS"/>
    <x v="2"/>
    <x v="3"/>
    <s v="Q1"/>
    <n v="130"/>
    <n v="0"/>
    <s v="PG"/>
    <n v="1"/>
    <n v="0"/>
    <n v="0"/>
    <n v="0"/>
  </r>
  <r>
    <n v="67466492"/>
    <x v="3"/>
    <n v="3489"/>
    <d v="2023-02-07T00:00:00"/>
    <x v="8"/>
    <x v="8"/>
    <n v="5.2680000000000001E-3"/>
    <n v="18.380051999999999"/>
    <s v="PS"/>
    <x v="2"/>
    <x v="3"/>
    <s v="Q1"/>
    <n v="130"/>
    <n v="26.838461538461537"/>
    <s v="PG"/>
    <n v="1"/>
    <n v="3489"/>
    <n v="18.380051999999999"/>
    <n v="26.838461538461537"/>
  </r>
  <r>
    <n v="67466492"/>
    <x v="3"/>
    <n v="2470"/>
    <d v="2023-02-07T00:00:00"/>
    <x v="8"/>
    <x v="9"/>
    <n v="5.2680000000000001E-3"/>
    <n v="13.01196"/>
    <s v="PS"/>
    <x v="2"/>
    <x v="3"/>
    <s v="Q1"/>
    <n v="130"/>
    <n v="19"/>
    <s v="PG"/>
    <n v="1"/>
    <n v="2470"/>
    <n v="13.01196"/>
    <n v="19"/>
  </r>
  <r>
    <n v="67476560"/>
    <x v="3"/>
    <n v="4565"/>
    <d v="2023-02-07T00:00:00"/>
    <x v="10"/>
    <x v="10"/>
    <n v="5.1060000000000003E-3"/>
    <n v="23.308890000000002"/>
    <s v="PS"/>
    <x v="2"/>
    <x v="3"/>
    <s v="Q1"/>
    <n v="130"/>
    <n v="35.115384615384613"/>
    <s v="PG"/>
    <n v="1"/>
    <n v="4565"/>
    <n v="23.308890000000002"/>
    <n v="35.115384615384613"/>
  </r>
  <r>
    <n v="67885719"/>
    <x v="3"/>
    <n v="0"/>
    <d v="2023-02-07T00:00:00"/>
    <x v="11"/>
    <x v="11"/>
    <n v="8.5199999999999998E-3"/>
    <n v="0"/>
    <s v="BR"/>
    <x v="2"/>
    <x v="6"/>
    <s v="Q1"/>
    <n v="154"/>
    <n v="0"/>
    <s v="48oz"/>
    <n v="1"/>
    <n v="0"/>
    <n v="0"/>
    <n v="0"/>
  </r>
  <r>
    <n v="67885724"/>
    <x v="3"/>
    <n v="12868"/>
    <d v="2023-02-07T00:00:00"/>
    <x v="49"/>
    <x v="12"/>
    <n v="8.5199999999999998E-3"/>
    <n v="109.63535999999999"/>
    <s v="BR"/>
    <x v="2"/>
    <x v="6"/>
    <s v="Q1"/>
    <n v="154"/>
    <n v="83.558441558441558"/>
    <s v="48oz"/>
    <n v="1"/>
    <n v="12868"/>
    <n v="109.63535999999999"/>
    <n v="83.558441558441558"/>
  </r>
  <r>
    <n v="67901583"/>
    <x v="3"/>
    <n v="16471"/>
    <d v="2023-02-07T00:00:00"/>
    <x v="50"/>
    <x v="11"/>
    <n v="8.5199999999999998E-3"/>
    <n v="140.33292"/>
    <s v="BR"/>
    <x v="2"/>
    <x v="6"/>
    <s v="Q1"/>
    <n v="154"/>
    <n v="106.95454545454545"/>
    <s v="48oz"/>
    <n v="1"/>
    <n v="16471"/>
    <n v="140.33292"/>
    <n v="106.95454545454545"/>
  </r>
  <r>
    <n v="67901589"/>
    <x v="2"/>
    <n v="20829"/>
    <d v="2023-02-07T00:00:00"/>
    <x v="220"/>
    <x v="32"/>
    <n v="8.5199999999999998E-3"/>
    <n v="177.46307999999999"/>
    <s v="BR"/>
    <x v="2"/>
    <x v="2"/>
    <s v="Q1"/>
    <n v="154"/>
    <n v="135.25324675324674"/>
    <s v="48oz"/>
    <n v="1"/>
    <n v="20829"/>
    <n v="177.46307999999999"/>
    <n v="135.25324675324674"/>
  </r>
  <r>
    <n v="67908208"/>
    <x v="2"/>
    <n v="0"/>
    <d v="2023-02-07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117572"/>
    <x v="2"/>
    <n v="8370"/>
    <d v="2023-02-07T00:00:00"/>
    <x v="31"/>
    <x v="14"/>
    <n v="4.2560000000000002E-3"/>
    <n v="35.622720000000001"/>
    <s v="BR"/>
    <x v="2"/>
    <x v="5"/>
    <s v="Q1"/>
    <n v="143"/>
    <n v="58.531468531468533"/>
    <s v="MG Sticks"/>
    <n v="1"/>
    <n v="8370"/>
    <n v="35.622720000000001"/>
    <n v="58.531468531468533"/>
  </r>
  <r>
    <n v="68300738"/>
    <x v="3"/>
    <n v="5086"/>
    <d v="2023-02-07T00:00:00"/>
    <x v="120"/>
    <x v="19"/>
    <n v="8.4960000000000001E-3"/>
    <n v="43.210656"/>
    <s v="KL"/>
    <x v="2"/>
    <x v="8"/>
    <s v="Q1"/>
    <n v="132"/>
    <n v="38.530303030303031"/>
    <s v="EDF"/>
    <n v="1"/>
    <n v="5086"/>
    <n v="43.210656"/>
    <n v="38.530303030303031"/>
  </r>
  <r>
    <n v="68354587"/>
    <x v="2"/>
    <n v="18128"/>
    <d v="2023-02-07T00:00:00"/>
    <x v="226"/>
    <x v="15"/>
    <n v="3.5999999999999999E-3"/>
    <n v="65.260800000000003"/>
    <s v="BJ"/>
    <x v="2"/>
    <x v="19"/>
    <s v="Q1"/>
    <n v="240"/>
    <n v="75.533333333333331"/>
    <s v="TOPPED"/>
    <n v="1"/>
    <n v="18128"/>
    <n v="65.260800000000003"/>
    <n v="75.533333333333331"/>
  </r>
  <r>
    <n v="68410354"/>
    <x v="2"/>
    <n v="14091"/>
    <d v="2023-02-07T00:00:00"/>
    <x v="111"/>
    <x v="5"/>
    <n v="1.08E-3"/>
    <n v="15.21828"/>
    <s v="MG"/>
    <x v="2"/>
    <x v="5"/>
    <s v="Q1"/>
    <n v="493"/>
    <n v="28.582150101419877"/>
    <s v="MG Sticks"/>
    <n v="1"/>
    <n v="14091"/>
    <n v="15.21828"/>
    <n v="28.582150101419877"/>
  </r>
  <r>
    <n v="68599804"/>
    <x v="0"/>
    <n v="17297"/>
    <d v="2023-02-07T00:00:00"/>
    <x v="114"/>
    <x v="1"/>
    <n v="8.5170239596469108E-3"/>
    <n v="147.31896343001262"/>
    <s v="BR"/>
    <x v="2"/>
    <x v="32"/>
    <s v="Q1"/>
    <n v="156"/>
    <n v="110.87820512820512"/>
    <s v="48oz"/>
    <n v="1"/>
    <n v="17297"/>
    <n v="147.31896343001262"/>
    <n v="110.87820512820512"/>
  </r>
  <r>
    <n v="68634167"/>
    <x v="3"/>
    <n v="7931"/>
    <d v="2023-02-07T00:00:00"/>
    <x v="91"/>
    <x v="16"/>
    <n v="8.5199999999999998E-3"/>
    <n v="67.572119999999998"/>
    <s v="BR"/>
    <x v="2"/>
    <x v="6"/>
    <s v="Q1"/>
    <n v="154"/>
    <n v="51.5"/>
    <s v="48oz"/>
    <n v="1"/>
    <n v="7931"/>
    <n v="67.572119999999998"/>
    <n v="51.5"/>
  </r>
  <r>
    <n v="68689251"/>
    <x v="3"/>
    <n v="1471"/>
    <d v="2023-02-07T00:00:00"/>
    <x v="17"/>
    <x v="17"/>
    <n v="9.5760000000000012E-3"/>
    <n v="14.086296000000003"/>
    <s v="KL"/>
    <x v="2"/>
    <x v="8"/>
    <s v="Q1"/>
    <n v="132"/>
    <n v="11.143939393939394"/>
    <s v="EDF"/>
    <n v="1"/>
    <n v="1471"/>
    <n v="14.086296000000003"/>
    <n v="11.143939393939394"/>
  </r>
  <r>
    <n v="68689251"/>
    <x v="3"/>
    <n v="1871"/>
    <d v="2023-02-07T00:00:00"/>
    <x v="17"/>
    <x v="17"/>
    <n v="9.5760000000000012E-3"/>
    <n v="17.916696000000002"/>
    <s v="KL"/>
    <x v="2"/>
    <x v="8"/>
    <s v="Q1"/>
    <n v="132"/>
    <n v="14.174242424242424"/>
    <s v="EDF"/>
    <n v="1"/>
    <n v="1871"/>
    <n v="17.916696000000002"/>
    <n v="14.174242424242424"/>
  </r>
  <r>
    <n v="68689253"/>
    <x v="2"/>
    <n v="5730"/>
    <d v="2023-02-07T00:00:00"/>
    <x v="125"/>
    <x v="18"/>
    <n v="6.0035555555555554E-3"/>
    <n v="34.400373333333334"/>
    <s v="KL"/>
    <x v="2"/>
    <x v="9"/>
    <s v="Q1"/>
    <n v="120"/>
    <n v="47.75"/>
    <s v="ESS"/>
    <n v="1"/>
    <n v="5730"/>
    <n v="34.400373333333334"/>
    <n v="47.75"/>
  </r>
  <r>
    <n v="68709233"/>
    <x v="3"/>
    <n v="5335"/>
    <d v="2023-02-07T00:00:00"/>
    <x v="19"/>
    <x v="20"/>
    <n v="8.4960000000000001E-3"/>
    <n v="45.326160000000002"/>
    <s v="KL"/>
    <x v="2"/>
    <x v="8"/>
    <s v="Q1"/>
    <n v="132"/>
    <n v="40.416666666666664"/>
    <s v="EDF"/>
    <n v="1"/>
    <n v="5335"/>
    <n v="45.326160000000002"/>
    <n v="40.416666666666664"/>
  </r>
  <r>
    <n v="68726916"/>
    <x v="2"/>
    <n v="32508"/>
    <d v="2023-02-07T00:00:00"/>
    <x v="43"/>
    <x v="21"/>
    <n v="3.7853440000000004E-3"/>
    <n v="123.05396275200002"/>
    <s v="TA"/>
    <x v="2"/>
    <x v="10"/>
    <s v="Q1"/>
    <n v="255"/>
    <n v="127.48235294117647"/>
    <s v="TALENTI"/>
    <n v="1"/>
    <n v="32508"/>
    <n v="123.05396275200002"/>
    <n v="127.48235294117647"/>
  </r>
  <r>
    <n v="68728342"/>
    <x v="2"/>
    <n v="14984"/>
    <d v="2023-02-07T00:00:00"/>
    <x v="44"/>
    <x v="22"/>
    <n v="3.7853439999999999E-3"/>
    <n v="56.719594495999999"/>
    <s v="TA"/>
    <x v="2"/>
    <x v="10"/>
    <s v="Q1"/>
    <n v="255"/>
    <n v="58.760784313725487"/>
    <s v="TALENTI"/>
    <n v="1"/>
    <n v="14984"/>
    <n v="56.719594495999999"/>
    <n v="58.760784313725487"/>
  </r>
  <r>
    <n v="68730252"/>
    <x v="2"/>
    <n v="0"/>
    <d v="2023-02-07T00:00:00"/>
    <x v="22"/>
    <x v="22"/>
    <n v="3.7853440000000004E-3"/>
    <n v="0"/>
    <s v="TA"/>
    <x v="2"/>
    <x v="10"/>
    <s v="Q1"/>
    <n v="255"/>
    <n v="0"/>
    <s v="TALENTI"/>
    <n v="1"/>
    <n v="0"/>
    <n v="0"/>
    <n v="0"/>
  </r>
  <r>
    <n v="68737750"/>
    <x v="3"/>
    <n v="13693"/>
    <d v="2023-02-07T00:00:00"/>
    <x v="144"/>
    <x v="23"/>
    <n v="8.5199999999999998E-3"/>
    <n v="116.66436"/>
    <s v="BR"/>
    <x v="2"/>
    <x v="6"/>
    <s v="Q1"/>
    <n v="176"/>
    <n v="77.80113636363636"/>
    <s v="48oz"/>
    <n v="1"/>
    <n v="13693"/>
    <n v="116.66436"/>
    <n v="77.80113636363636"/>
  </r>
  <r>
    <n v="68741714"/>
    <x v="3"/>
    <n v="7490"/>
    <d v="2023-02-07T00:00:00"/>
    <x v="24"/>
    <x v="24"/>
    <n v="2.8319999999999999E-3"/>
    <n v="21.211679999999998"/>
    <s v="GH"/>
    <x v="2"/>
    <x v="4"/>
    <s v="Q1"/>
    <n v="225"/>
    <n v="33.288888888888891"/>
    <s v="MBG"/>
    <n v="1"/>
    <n v="7490"/>
    <n v="21.211679999999998"/>
    <n v="33.288888888888891"/>
  </r>
  <r>
    <n v="68741742"/>
    <x v="2"/>
    <n v="1437"/>
    <d v="2023-02-07T00:00:00"/>
    <x v="25"/>
    <x v="25"/>
    <n v="4.2560000000000002E-3"/>
    <n v="6.1158720000000004"/>
    <s v="GH"/>
    <x v="2"/>
    <x v="11"/>
    <s v="Q1"/>
    <n v="154"/>
    <n v="9.3311688311688314"/>
    <s v="MBG"/>
    <n v="1"/>
    <n v="1437"/>
    <n v="6.1158720000000004"/>
    <n v="9.3311688311688314"/>
  </r>
  <r>
    <n v="68821728"/>
    <x v="2"/>
    <n v="12243"/>
    <d v="2023-02-07T00:00:00"/>
    <x v="35"/>
    <x v="13"/>
    <n v="8.5199999999999998E-3"/>
    <n v="104.31036"/>
    <s v="BR"/>
    <x v="2"/>
    <x v="2"/>
    <s v="Q1"/>
    <n v="176"/>
    <n v="69.5625"/>
    <s v="48oz"/>
    <n v="1"/>
    <n v="12243"/>
    <n v="104.31036"/>
    <n v="69.5625"/>
  </r>
  <r>
    <n v="68852583"/>
    <x v="2"/>
    <n v="4739"/>
    <d v="2023-02-07T00:00:00"/>
    <x v="227"/>
    <x v="26"/>
    <n v="8.5199999999999998E-3"/>
    <n v="40.376280000000001"/>
    <s v="KL"/>
    <x v="2"/>
    <x v="12"/>
    <s v="Q1"/>
    <n v="132"/>
    <n v="35.901515151515149"/>
    <s v="EDF"/>
    <n v="1"/>
    <n v="4739"/>
    <n v="40.376280000000001"/>
    <n v="35.901515151515149"/>
  </r>
  <r>
    <n v="68896052"/>
    <x v="2"/>
    <n v="11897"/>
    <d v="2023-02-07T00:00:00"/>
    <x v="36"/>
    <x v="2"/>
    <n v="8.5199999999999998E-3"/>
    <n v="101.36243999999999"/>
    <s v="BR"/>
    <x v="2"/>
    <x v="2"/>
    <s v="Q1"/>
    <n v="176"/>
    <n v="67.596590909090907"/>
    <s v="48oz"/>
    <n v="1"/>
    <n v="11897"/>
    <n v="101.36243999999999"/>
    <n v="67.596590909090907"/>
  </r>
  <r>
    <n v="68896057"/>
    <x v="2"/>
    <n v="0"/>
    <d v="2023-02-07T00:00:00"/>
    <x v="46"/>
    <x v="13"/>
    <n v="8.5199999999999998E-3"/>
    <n v="0"/>
    <s v="BR"/>
    <x v="2"/>
    <x v="2"/>
    <s v="Q1"/>
    <n v="176"/>
    <n v="0"/>
    <s v="48oz"/>
    <n v="1"/>
    <n v="0"/>
    <n v="0"/>
    <n v="0"/>
  </r>
  <r>
    <n v="68914406"/>
    <x v="2"/>
    <n v="8409"/>
    <d v="2023-02-07T00:00:00"/>
    <x v="78"/>
    <x v="27"/>
    <n v="2.124E-3"/>
    <n v="17.860716"/>
    <s v="KL"/>
    <x v="2"/>
    <x v="9"/>
    <s v="Q1"/>
    <n v="352"/>
    <n v="23.889204545454547"/>
    <s v="ESS"/>
    <n v="1"/>
    <n v="8409"/>
    <n v="17.860716"/>
    <n v="23.889204545454547"/>
  </r>
  <r>
    <n v="69548143"/>
    <x v="3"/>
    <n v="9178"/>
    <d v="2023-02-07T00:00:00"/>
    <x v="159"/>
    <x v="36"/>
    <n v="3.192E-3"/>
    <n v="29.296175999999999"/>
    <s v="KL"/>
    <x v="2"/>
    <x v="28"/>
    <s v="Q1"/>
    <n v="345"/>
    <n v="26.602898550724639"/>
    <s v="EFW"/>
    <n v="1"/>
    <n v="9178"/>
    <n v="29.296175999999999"/>
    <n v="26.602898550724639"/>
  </r>
  <r>
    <n v="69551489"/>
    <x v="3"/>
    <n v="3998"/>
    <d v="2023-02-07T00:00:00"/>
    <x v="4"/>
    <x v="4"/>
    <n v="3.8989043190215313E-3"/>
    <n v="15.587819467448082"/>
    <s v="GH"/>
    <x v="2"/>
    <x v="4"/>
    <s v="Q1"/>
    <n v="154"/>
    <n v="25.961038961038962"/>
    <s v="MBG"/>
    <n v="1"/>
    <n v="3998"/>
    <n v="15.587819467448082"/>
    <n v="25.961038961038962"/>
  </r>
  <r>
    <n v="69554208"/>
    <x v="2"/>
    <n v="1705"/>
    <d v="2023-02-07T00:00:00"/>
    <x v="228"/>
    <x v="15"/>
    <n v="3.5999999999999999E-3"/>
    <n v="6.1379999999999999"/>
    <s v="BJ"/>
    <x v="2"/>
    <x v="19"/>
    <s v="Q1"/>
    <n v="240"/>
    <n v="7.104166666666667"/>
    <s v="TOPPED"/>
    <n v="1"/>
    <n v="1705"/>
    <n v="6.1379999999999999"/>
    <n v="7.104166666666667"/>
  </r>
  <r>
    <n v="69555093"/>
    <x v="2"/>
    <n v="0"/>
    <d v="2023-02-07T00:00:00"/>
    <x v="229"/>
    <x v="14"/>
    <n v="1.98E-3"/>
    <n v="0"/>
    <s v="TA"/>
    <x v="2"/>
    <x v="42"/>
    <s v="Q1"/>
    <n v="176"/>
    <n v="0"/>
    <s v="TAL NV"/>
    <n v="1"/>
    <n v="0"/>
    <n v="0"/>
    <n v="0"/>
  </r>
  <r>
    <n v="69557443"/>
    <x v="4"/>
    <n v="2400"/>
    <d v="2023-02-07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2400"/>
    <d v="2023-02-07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2400"/>
    <d v="2023-02-07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2400"/>
    <d v="2023-02-07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71484"/>
    <x v="2"/>
    <n v="0"/>
    <d v="2023-02-07T00:00:00"/>
    <x v="230"/>
    <x v="5"/>
    <n v="1.2960000000000001E-2"/>
    <n v="0"/>
    <s v="MG"/>
    <x v="2"/>
    <x v="5"/>
    <s v="Q1"/>
    <n v="493"/>
    <n v="0"/>
    <s v="MG Sticks"/>
    <n v="1"/>
    <n v="0"/>
    <n v="0"/>
    <n v="0"/>
  </r>
  <r>
    <n v="69621212"/>
    <x v="2"/>
    <n v="2959"/>
    <d v="2023-02-07T00:00:00"/>
    <x v="29"/>
    <x v="28"/>
    <n v="5.2680000000000001E-3"/>
    <n v="15.588012000000001"/>
    <s v="PG"/>
    <x v="2"/>
    <x v="14"/>
    <s v="Q1"/>
    <n v="130"/>
    <n v="22.761538461538461"/>
    <s v="PG"/>
    <n v="1"/>
    <n v="2959"/>
    <n v="15.588012000000001"/>
    <n v="22.761538461538461"/>
  </r>
  <r>
    <n v="69629470"/>
    <x v="4"/>
    <n v="2136"/>
    <d v="2023-02-07T00:00:00"/>
    <x v="98"/>
    <x v="0"/>
    <n v="5.3220000000000003E-3"/>
    <n v="11.367792000000001"/>
    <s v="KL"/>
    <x v="2"/>
    <x v="13"/>
    <s v="Q1"/>
    <n v="120"/>
    <n v="17.8"/>
    <s v="KL Mini Cones"/>
    <n v="1"/>
    <n v="2136"/>
    <n v="11.367792000000001"/>
    <n v="17.8"/>
  </r>
  <r>
    <n v="69671652"/>
    <x v="3"/>
    <n v="0"/>
    <d v="2023-02-07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3201"/>
    <d v="2023-02-07T00:00:00"/>
    <x v="30"/>
    <x v="29"/>
    <n v="5.2680000000000001E-3"/>
    <n v="16.862867999999999"/>
    <s v="PS"/>
    <x v="2"/>
    <x v="3"/>
    <s v="Q1"/>
    <n v="108"/>
    <n v="29.638888888888889"/>
    <s v="PG"/>
    <n v="1"/>
    <n v="3201"/>
    <n v="16.862867999999999"/>
    <n v="29.638888888888889"/>
  </r>
  <r>
    <n v="69677917"/>
    <x v="2"/>
    <n v="3770"/>
    <d v="2023-02-07T00:00:00"/>
    <x v="30"/>
    <x v="30"/>
    <n v="5.2680000000000001E-3"/>
    <n v="19.86036"/>
    <s v="PS"/>
    <x v="2"/>
    <x v="14"/>
    <s v="Q1"/>
    <n v="108"/>
    <n v="34.907407407407405"/>
    <s v="PG"/>
    <n v="1"/>
    <n v="3770"/>
    <n v="19.86036"/>
    <n v="34.907407407407405"/>
  </r>
  <r>
    <n v="69684522"/>
    <x v="2"/>
    <n v="0"/>
    <d v="2023-02-07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2459"/>
    <d v="2023-02-07T00:00:00"/>
    <x v="69"/>
    <x v="31"/>
    <n v="4.2560000000000002E-3"/>
    <n v="10.465504000000001"/>
    <s v="BR"/>
    <x v="2"/>
    <x v="5"/>
    <s v="Q1"/>
    <n v="143"/>
    <n v="17.195804195804197"/>
    <s v="MG Sticks"/>
    <n v="1"/>
    <n v="2459"/>
    <n v="10.465504000000001"/>
    <n v="17.195804195804197"/>
  </r>
  <r>
    <n v="84164937"/>
    <x v="5"/>
    <n v="10455"/>
    <d v="2023-02-07T00:00:00"/>
    <x v="234"/>
    <x v="38"/>
    <n v="3.7853439999999999E-3"/>
    <n v="39.575771519999996"/>
    <s v="BJ"/>
    <x v="2"/>
    <x v="15"/>
    <s v="Q1"/>
    <n v="240"/>
    <n v="43.5625"/>
    <s v="BJ PTS"/>
    <n v="1"/>
    <n v="10455"/>
    <n v="39.575771519999996"/>
    <n v="43.5625"/>
  </r>
  <r>
    <n v="67309841"/>
    <x v="2"/>
    <n v="11817"/>
    <d v="2023-02-08T00:00:00"/>
    <x v="32"/>
    <x v="32"/>
    <n v="8.5199999999999998E-3"/>
    <n v="100.68084"/>
    <s v="BR"/>
    <x v="2"/>
    <x v="2"/>
    <s v="Q1"/>
    <n v="154"/>
    <n v="76.733766233766232"/>
    <s v="48oz"/>
    <n v="1"/>
    <n v="11817"/>
    <n v="100.68084"/>
    <n v="76.733766233766232"/>
  </r>
  <r>
    <n v="67465063"/>
    <x v="3"/>
    <n v="0"/>
    <d v="2023-02-08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08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655"/>
    <d v="2023-02-08T00:00:00"/>
    <x v="7"/>
    <x v="3"/>
    <n v="1.596E-3"/>
    <n v="2.6413799999999998"/>
    <s v="PS"/>
    <x v="2"/>
    <x v="3"/>
    <s v="Q1"/>
    <n v="130"/>
    <n v="12.73076923076923"/>
    <s v="PG"/>
    <n v="1"/>
    <n v="1655"/>
    <n v="2.6413799999999998"/>
    <n v="12.73076923076923"/>
  </r>
  <r>
    <n v="67466492"/>
    <x v="3"/>
    <n v="459"/>
    <d v="2023-02-08T00:00:00"/>
    <x v="8"/>
    <x v="6"/>
    <n v="5.2680000000000001E-3"/>
    <n v="2.4180120000000001"/>
    <s v="PS"/>
    <x v="2"/>
    <x v="3"/>
    <s v="Q1"/>
    <n v="130"/>
    <n v="3.5307692307692307"/>
    <s v="PG"/>
    <n v="1"/>
    <n v="459"/>
    <n v="2.4180120000000001"/>
    <n v="3.5307692307692307"/>
  </r>
  <r>
    <n v="67466492"/>
    <x v="3"/>
    <n v="3100"/>
    <d v="2023-02-08T00:00:00"/>
    <x v="8"/>
    <x v="7"/>
    <n v="5.2680000000000001E-3"/>
    <n v="16.3308"/>
    <s v="PS"/>
    <x v="2"/>
    <x v="3"/>
    <s v="Q1"/>
    <n v="130"/>
    <n v="23.846153846153847"/>
    <s v="PG"/>
    <n v="1"/>
    <n v="3100"/>
    <n v="16.3308"/>
    <n v="23.846153846153847"/>
  </r>
  <r>
    <n v="67466492"/>
    <x v="3"/>
    <n v="3094"/>
    <d v="2023-02-08T00:00:00"/>
    <x v="8"/>
    <x v="8"/>
    <n v="5.2680000000000001E-3"/>
    <n v="16.299192000000001"/>
    <s v="PS"/>
    <x v="2"/>
    <x v="3"/>
    <s v="Q1"/>
    <n v="130"/>
    <n v="23.8"/>
    <s v="PG"/>
    <n v="1"/>
    <n v="3094"/>
    <n v="16.299192000000001"/>
    <n v="23.8"/>
  </r>
  <r>
    <n v="67466492"/>
    <x v="3"/>
    <n v="2704"/>
    <d v="2023-02-08T00:00:00"/>
    <x v="8"/>
    <x v="9"/>
    <n v="5.2680000000000001E-3"/>
    <n v="14.244672"/>
    <s v="PS"/>
    <x v="2"/>
    <x v="3"/>
    <s v="Q1"/>
    <n v="130"/>
    <n v="20.8"/>
    <s v="PG"/>
    <n v="1"/>
    <n v="2704"/>
    <n v="14.244672"/>
    <n v="20.8"/>
  </r>
  <r>
    <n v="67476560"/>
    <x v="3"/>
    <n v="0"/>
    <d v="2023-02-08T00:00:00"/>
    <x v="10"/>
    <x v="10"/>
    <n v="5.1060000000000003E-3"/>
    <n v="0"/>
    <s v="PS"/>
    <x v="2"/>
    <x v="3"/>
    <s v="Q1"/>
    <n v="130"/>
    <n v="0"/>
    <s v="PG"/>
    <n v="1"/>
    <n v="0"/>
    <n v="0"/>
    <n v="0"/>
  </r>
  <r>
    <n v="67546042"/>
    <x v="5"/>
    <n v="27681"/>
    <d v="2023-02-08T00:00:00"/>
    <x v="108"/>
    <x v="35"/>
    <n v="3.7853439999999999E-3"/>
    <n v="104.782107264"/>
    <s v="BJ"/>
    <x v="2"/>
    <x v="15"/>
    <s v="Q1"/>
    <n v="240"/>
    <n v="115.33750000000001"/>
    <s v="BJ PTS"/>
    <n v="1"/>
    <n v="27681"/>
    <n v="104.782107264"/>
    <n v="115.33750000000001"/>
  </r>
  <r>
    <n v="67885719"/>
    <x v="3"/>
    <n v="0"/>
    <d v="2023-02-08T00:00:00"/>
    <x v="11"/>
    <x v="11"/>
    <n v="8.5199999999999998E-3"/>
    <n v="0"/>
    <s v="BR"/>
    <x v="2"/>
    <x v="6"/>
    <s v="Q1"/>
    <n v="154"/>
    <n v="0"/>
    <s v="48oz"/>
    <n v="1"/>
    <n v="0"/>
    <n v="0"/>
    <n v="0"/>
  </r>
  <r>
    <n v="67885724"/>
    <x v="3"/>
    <n v="10346"/>
    <d v="2023-02-08T00:00:00"/>
    <x v="49"/>
    <x v="12"/>
    <n v="8.5199999999999998E-3"/>
    <n v="88.147919999999999"/>
    <s v="BR"/>
    <x v="2"/>
    <x v="6"/>
    <s v="Q1"/>
    <n v="154"/>
    <n v="67.181818181818187"/>
    <s v="48oz"/>
    <n v="1"/>
    <n v="10346"/>
    <n v="88.147919999999999"/>
    <n v="67.181818181818187"/>
  </r>
  <r>
    <n v="67901583"/>
    <x v="3"/>
    <n v="7441"/>
    <d v="2023-02-08T00:00:00"/>
    <x v="50"/>
    <x v="11"/>
    <n v="8.5199999999999998E-3"/>
    <n v="63.397320000000001"/>
    <s v="BR"/>
    <x v="2"/>
    <x v="6"/>
    <s v="Q1"/>
    <n v="154"/>
    <n v="48.31818181818182"/>
    <s v="48oz"/>
    <n v="1"/>
    <n v="7441"/>
    <n v="63.397320000000001"/>
    <n v="48.31818181818182"/>
  </r>
  <r>
    <n v="67901583"/>
    <x v="3"/>
    <n v="1096"/>
    <d v="2023-02-08T00:00:00"/>
    <x v="50"/>
    <x v="11"/>
    <n v="8.5199999999999998E-3"/>
    <n v="9.3379200000000004"/>
    <s v="BR"/>
    <x v="2"/>
    <x v="6"/>
    <s v="Q1"/>
    <n v="154"/>
    <n v="7.116883116883117"/>
    <s v="48oz"/>
    <n v="1"/>
    <n v="1096"/>
    <n v="9.3379200000000004"/>
    <n v="7.116883116883117"/>
  </r>
  <r>
    <n v="67901589"/>
    <x v="2"/>
    <n v="0"/>
    <d v="2023-02-08T00:00:00"/>
    <x v="220"/>
    <x v="32"/>
    <n v="8.5199999999999998E-3"/>
    <n v="0"/>
    <s v="BR"/>
    <x v="2"/>
    <x v="2"/>
    <s v="Q1"/>
    <n v="154"/>
    <n v="0"/>
    <s v="48oz"/>
    <n v="1"/>
    <n v="0"/>
    <n v="0"/>
    <n v="0"/>
  </r>
  <r>
    <n v="67904289"/>
    <x v="5"/>
    <n v="7973"/>
    <d v="2023-02-08T00:00:00"/>
    <x v="235"/>
    <x v="38"/>
    <n v="3.7839999999999996E-3"/>
    <n v="30.169831999999996"/>
    <s v="BJ"/>
    <x v="2"/>
    <x v="15"/>
    <s v="Q1"/>
    <n v="240"/>
    <n v="33.220833333333331"/>
    <s v="BJ PTS"/>
    <n v="1"/>
    <n v="7973"/>
    <n v="30.169831999999996"/>
    <n v="33.220833333333331"/>
  </r>
  <r>
    <n v="67908208"/>
    <x v="2"/>
    <n v="0"/>
    <d v="2023-02-08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117572"/>
    <x v="2"/>
    <n v="9442"/>
    <d v="2023-02-08T00:00:00"/>
    <x v="31"/>
    <x v="14"/>
    <n v="4.2560000000000002E-3"/>
    <n v="40.185152000000002"/>
    <s v="BR"/>
    <x v="2"/>
    <x v="5"/>
    <s v="Q1"/>
    <n v="143"/>
    <n v="66.027972027972027"/>
    <s v="MG Sticks"/>
    <n v="1"/>
    <n v="9442"/>
    <n v="40.185152000000002"/>
    <n v="66.027972027972027"/>
  </r>
  <r>
    <n v="68300738"/>
    <x v="3"/>
    <n v="1971"/>
    <d v="2023-02-08T00:00:00"/>
    <x v="120"/>
    <x v="19"/>
    <n v="8.4960000000000001E-3"/>
    <n v="16.745616000000002"/>
    <s v="KL"/>
    <x v="2"/>
    <x v="8"/>
    <s v="Q1"/>
    <n v="132"/>
    <n v="14.931818181818182"/>
    <s v="EDF"/>
    <n v="1"/>
    <n v="1971"/>
    <n v="16.745616000000002"/>
    <n v="14.931818181818182"/>
  </r>
  <r>
    <n v="68300738"/>
    <x v="3"/>
    <n v="2098"/>
    <d v="2023-02-08T00:00:00"/>
    <x v="120"/>
    <x v="19"/>
    <n v="8.4960000000000001E-3"/>
    <n v="17.824608000000001"/>
    <s v="KL"/>
    <x v="2"/>
    <x v="8"/>
    <s v="Q1"/>
    <n v="132"/>
    <n v="15.893939393939394"/>
    <s v="EDF"/>
    <n v="1"/>
    <n v="2098"/>
    <n v="17.824608000000001"/>
    <n v="15.893939393939394"/>
  </r>
  <r>
    <n v="68354587"/>
    <x v="2"/>
    <n v="21381"/>
    <d v="2023-02-08T00:00:00"/>
    <x v="226"/>
    <x v="15"/>
    <n v="3.5999999999999999E-3"/>
    <n v="76.971599999999995"/>
    <s v="BJ"/>
    <x v="2"/>
    <x v="19"/>
    <s v="Q1"/>
    <n v="240"/>
    <n v="89.087500000000006"/>
    <s v="TOPPED"/>
    <n v="1"/>
    <n v="21381"/>
    <n v="76.971599999999995"/>
    <n v="89.087500000000006"/>
  </r>
  <r>
    <n v="68410354"/>
    <x v="2"/>
    <n v="12995"/>
    <d v="2023-02-08T00:00:00"/>
    <x v="111"/>
    <x v="5"/>
    <n v="1.08E-3"/>
    <n v="14.034599999999999"/>
    <s v="MG"/>
    <x v="2"/>
    <x v="5"/>
    <s v="Q1"/>
    <n v="493"/>
    <n v="26.359026369168358"/>
    <s v="MG Sticks"/>
    <n v="1"/>
    <n v="12995"/>
    <n v="14.034599999999999"/>
    <n v="26.359026369168358"/>
  </r>
  <r>
    <n v="68414643"/>
    <x v="6"/>
    <n v="5608"/>
    <d v="2023-02-08T00:00:00"/>
    <x v="41"/>
    <x v="0"/>
    <n v="1.419504E-3"/>
    <n v="7.9605784320000001"/>
    <s v="BJ"/>
    <x v="2"/>
    <x v="17"/>
    <s v="Q1"/>
    <n v="238"/>
    <n v="23.563025210084035"/>
    <s v="B&amp;J Dog Treat - Repack"/>
    <n v="1"/>
    <n v="5608"/>
    <n v="7.9605784320000001"/>
    <n v="23.563025210084035"/>
  </r>
  <r>
    <n v="68599804"/>
    <x v="0"/>
    <n v="624"/>
    <d v="2023-02-08T00:00:00"/>
    <x v="114"/>
    <x v="1"/>
    <n v="8.5170239596469108E-3"/>
    <n v="5.3146229508196727"/>
    <s v="BR"/>
    <x v="2"/>
    <x v="32"/>
    <s v="Q1"/>
    <n v="156"/>
    <n v="4"/>
    <s v="48oz"/>
    <n v="1"/>
    <n v="624"/>
    <n v="5.3146229508196727"/>
    <n v="4"/>
  </r>
  <r>
    <n v="68634167"/>
    <x v="3"/>
    <n v="10065"/>
    <d v="2023-02-08T00:00:00"/>
    <x v="91"/>
    <x v="16"/>
    <n v="8.5199999999999998E-3"/>
    <n v="85.753799999999998"/>
    <s v="BR"/>
    <x v="2"/>
    <x v="6"/>
    <s v="Q1"/>
    <n v="154"/>
    <n v="65.357142857142861"/>
    <s v="48oz"/>
    <n v="1"/>
    <n v="10065"/>
    <n v="85.753799999999998"/>
    <n v="65.357142857142861"/>
  </r>
  <r>
    <n v="68689251"/>
    <x v="3"/>
    <n v="6486"/>
    <d v="2023-02-08T00:00:00"/>
    <x v="17"/>
    <x v="17"/>
    <n v="9.5760000000000012E-3"/>
    <n v="62.109936000000005"/>
    <s v="KL"/>
    <x v="2"/>
    <x v="8"/>
    <s v="Q1"/>
    <n v="132"/>
    <n v="49.136363636363633"/>
    <s v="EDF"/>
    <n v="1"/>
    <n v="6486"/>
    <n v="62.109936000000005"/>
    <n v="49.136363636363633"/>
  </r>
  <r>
    <n v="68689253"/>
    <x v="2"/>
    <n v="4011"/>
    <d v="2023-02-08T00:00:00"/>
    <x v="125"/>
    <x v="18"/>
    <n v="6.0035555555555554E-3"/>
    <n v="24.080261333333333"/>
    <s v="KL"/>
    <x v="2"/>
    <x v="9"/>
    <s v="Q1"/>
    <n v="120"/>
    <n v="33.424999999999997"/>
    <s v="ESS"/>
    <n v="1"/>
    <n v="4011"/>
    <n v="24.080261333333333"/>
    <n v="33.424999999999997"/>
  </r>
  <r>
    <n v="68709233"/>
    <x v="3"/>
    <n v="4583"/>
    <d v="2023-02-08T00:00:00"/>
    <x v="19"/>
    <x v="20"/>
    <n v="8.4960000000000001E-3"/>
    <n v="38.937168"/>
    <s v="KL"/>
    <x v="2"/>
    <x v="8"/>
    <s v="Q1"/>
    <n v="132"/>
    <n v="34.719696969696969"/>
    <s v="EDF"/>
    <n v="1"/>
    <n v="4583"/>
    <n v="38.937168"/>
    <n v="34.719696969696969"/>
  </r>
  <r>
    <n v="68726916"/>
    <x v="2"/>
    <n v="36920"/>
    <d v="2023-02-08T00:00:00"/>
    <x v="43"/>
    <x v="21"/>
    <n v="3.7853440000000004E-3"/>
    <n v="139.75490048"/>
    <s v="TA"/>
    <x v="2"/>
    <x v="10"/>
    <s v="Q1"/>
    <n v="255"/>
    <n v="144.78431372549019"/>
    <s v="TALENTI"/>
    <n v="1"/>
    <n v="36920"/>
    <n v="139.75490048"/>
    <n v="144.78431372549019"/>
  </r>
  <r>
    <n v="68728342"/>
    <x v="2"/>
    <n v="8280"/>
    <d v="2023-02-08T00:00:00"/>
    <x v="44"/>
    <x v="22"/>
    <n v="3.7853439999999999E-3"/>
    <n v="31.342648319999999"/>
    <s v="TA"/>
    <x v="2"/>
    <x v="10"/>
    <s v="Q1"/>
    <n v="255"/>
    <n v="32.470588235294116"/>
    <s v="TALENTI"/>
    <n v="1"/>
    <n v="8280"/>
    <n v="31.342648319999999"/>
    <n v="32.470588235294116"/>
  </r>
  <r>
    <n v="68729137"/>
    <x v="8"/>
    <n v="3399"/>
    <d v="2023-02-08T00:00:00"/>
    <x v="236"/>
    <x v="0"/>
    <n v="2.7000000000000001E-3"/>
    <n v="9.1773000000000007"/>
    <s v="MG"/>
    <x v="2"/>
    <x v="21"/>
    <s v="Q1"/>
    <n v="170"/>
    <n v="19.994117647058822"/>
    <s v="MG Sticks ND"/>
    <n v="1"/>
    <n v="3399"/>
    <n v="9.1773000000000007"/>
    <n v="19.994117647058822"/>
  </r>
  <r>
    <n v="68729649"/>
    <x v="2"/>
    <n v="315"/>
    <d v="2023-02-08T00:00:00"/>
    <x v="237"/>
    <x v="22"/>
    <n v="3.7853439999999999E-3"/>
    <n v="1.19238336"/>
    <s v="TA"/>
    <x v="2"/>
    <x v="10"/>
    <s v="Q1"/>
    <n v="255"/>
    <n v="1.2352941176470589"/>
    <s v="TALENTI"/>
    <n v="1"/>
    <n v="315"/>
    <n v="1.19238336"/>
    <n v="1.2352941176470589"/>
  </r>
  <r>
    <n v="68730257"/>
    <x v="2"/>
    <n v="0"/>
    <d v="2023-02-08T00:00:00"/>
    <x v="75"/>
    <x v="21"/>
    <n v="3.7853440000000004E-3"/>
    <n v="0"/>
    <s v="TA"/>
    <x v="2"/>
    <x v="10"/>
    <s v="Q1"/>
    <n v="255"/>
    <n v="0"/>
    <s v="TALENTI"/>
    <n v="1"/>
    <n v="0"/>
    <n v="0"/>
    <n v="0"/>
  </r>
  <r>
    <n v="68737750"/>
    <x v="3"/>
    <n v="12152"/>
    <d v="2023-02-08T00:00:00"/>
    <x v="144"/>
    <x v="23"/>
    <n v="8.5199999999999998E-3"/>
    <n v="103.53504"/>
    <s v="BR"/>
    <x v="2"/>
    <x v="6"/>
    <s v="Q1"/>
    <n v="176"/>
    <n v="69.045454545454547"/>
    <s v="48oz"/>
    <n v="1"/>
    <n v="12152"/>
    <n v="103.53504"/>
    <n v="69.045454545454547"/>
  </r>
  <r>
    <n v="68741714"/>
    <x v="3"/>
    <n v="8599"/>
    <d v="2023-02-08T00:00:00"/>
    <x v="24"/>
    <x v="24"/>
    <n v="2.8319999999999999E-3"/>
    <n v="24.352367999999998"/>
    <s v="GH"/>
    <x v="2"/>
    <x v="4"/>
    <s v="Q1"/>
    <n v="225"/>
    <n v="38.217777777777776"/>
    <s v="MBG"/>
    <n v="1"/>
    <n v="8599"/>
    <n v="24.352367999999998"/>
    <n v="38.217777777777776"/>
  </r>
  <r>
    <n v="68741742"/>
    <x v="2"/>
    <n v="5544"/>
    <d v="2023-02-08T00:00:00"/>
    <x v="25"/>
    <x v="25"/>
    <n v="4.2560000000000002E-3"/>
    <n v="23.595264"/>
    <s v="GH"/>
    <x v="2"/>
    <x v="11"/>
    <s v="Q1"/>
    <n v="154"/>
    <n v="36"/>
    <s v="MBG"/>
    <n v="1"/>
    <n v="5544"/>
    <n v="23.595264"/>
    <n v="36"/>
  </r>
  <r>
    <n v="68821728"/>
    <x v="2"/>
    <n v="1349"/>
    <d v="2023-02-08T00:00:00"/>
    <x v="35"/>
    <x v="13"/>
    <n v="8.5199999999999998E-3"/>
    <n v="11.49348"/>
    <s v="BR"/>
    <x v="2"/>
    <x v="2"/>
    <s v="Q1"/>
    <n v="176"/>
    <n v="7.6647727272727275"/>
    <s v="48oz"/>
    <n v="1"/>
    <n v="1349"/>
    <n v="11.49348"/>
    <n v="7.6647727272727275"/>
  </r>
  <r>
    <n v="68852583"/>
    <x v="2"/>
    <n v="4348"/>
    <d v="2023-02-08T00:00:00"/>
    <x v="227"/>
    <x v="26"/>
    <n v="8.5199999999999998E-3"/>
    <n v="37.044959999999996"/>
    <s v="KL"/>
    <x v="2"/>
    <x v="12"/>
    <s v="Q1"/>
    <n v="132"/>
    <n v="32.939393939393938"/>
    <s v="EDF"/>
    <n v="1"/>
    <n v="4348"/>
    <n v="37.044959999999996"/>
    <n v="32.939393939393938"/>
  </r>
  <r>
    <n v="68896052"/>
    <x v="2"/>
    <n v="7554"/>
    <d v="2023-02-08T00:00:00"/>
    <x v="36"/>
    <x v="2"/>
    <n v="8.5199999999999998E-3"/>
    <n v="64.360079999999996"/>
    <s v="BR"/>
    <x v="2"/>
    <x v="2"/>
    <s v="Q1"/>
    <n v="176"/>
    <n v="42.920454545454547"/>
    <s v="48oz"/>
    <n v="1"/>
    <n v="7554"/>
    <n v="64.360079999999996"/>
    <n v="42.920454545454547"/>
  </r>
  <r>
    <n v="68896057"/>
    <x v="2"/>
    <n v="1408"/>
    <d v="2023-02-08T00:00:00"/>
    <x v="46"/>
    <x v="13"/>
    <n v="8.5199999999999998E-3"/>
    <n v="11.99616"/>
    <s v="BR"/>
    <x v="2"/>
    <x v="2"/>
    <s v="Q1"/>
    <n v="176"/>
    <n v="8"/>
    <s v="48oz"/>
    <n v="1"/>
    <n v="1408"/>
    <n v="11.99616"/>
    <n v="8"/>
  </r>
  <r>
    <n v="68914406"/>
    <x v="2"/>
    <n v="4354"/>
    <d v="2023-02-08T00:00:00"/>
    <x v="78"/>
    <x v="27"/>
    <n v="2.124E-3"/>
    <n v="9.2478960000000008"/>
    <s v="KL"/>
    <x v="2"/>
    <x v="9"/>
    <s v="Q1"/>
    <n v="352"/>
    <n v="12.369318181818182"/>
    <s v="ESS"/>
    <n v="1"/>
    <n v="4354"/>
    <n v="9.2478960000000008"/>
    <n v="12.369318181818182"/>
  </r>
  <r>
    <n v="69548143"/>
    <x v="3"/>
    <n v="6074"/>
    <d v="2023-02-08T00:00:00"/>
    <x v="159"/>
    <x v="36"/>
    <n v="3.192E-3"/>
    <n v="19.388207999999999"/>
    <s v="KL"/>
    <x v="2"/>
    <x v="28"/>
    <s v="Q1"/>
    <n v="345"/>
    <n v="17.605797101449276"/>
    <s v="EFW"/>
    <n v="1"/>
    <n v="6074"/>
    <n v="19.388207999999999"/>
    <n v="17.605797101449276"/>
  </r>
  <r>
    <n v="69548143"/>
    <x v="3"/>
    <n v="1426"/>
    <d v="2023-02-08T00:00:00"/>
    <x v="159"/>
    <x v="36"/>
    <n v="3.192E-3"/>
    <n v="4.5517919999999998"/>
    <s v="KL"/>
    <x v="2"/>
    <x v="28"/>
    <s v="Q1"/>
    <n v="345"/>
    <n v="4.1333333333333337"/>
    <s v="EFW"/>
    <n v="1"/>
    <n v="1426"/>
    <n v="4.5517919999999998"/>
    <n v="4.1333333333333337"/>
  </r>
  <r>
    <n v="69551489"/>
    <x v="3"/>
    <n v="3915"/>
    <d v="2023-02-08T00:00:00"/>
    <x v="4"/>
    <x v="4"/>
    <n v="3.8989043190215313E-3"/>
    <n v="15.264210408969294"/>
    <s v="GH"/>
    <x v="2"/>
    <x v="4"/>
    <s v="Q1"/>
    <n v="154"/>
    <n v="25.422077922077921"/>
    <s v="MBG"/>
    <n v="1"/>
    <n v="3915"/>
    <n v="15.264210408969294"/>
    <n v="25.422077922077921"/>
  </r>
  <r>
    <n v="69555093"/>
    <x v="2"/>
    <n v="0"/>
    <d v="2023-02-08T00:00:00"/>
    <x v="229"/>
    <x v="14"/>
    <n v="1.98E-3"/>
    <n v="0"/>
    <s v="TA"/>
    <x v="2"/>
    <x v="42"/>
    <s v="Q1"/>
    <n v="176"/>
    <n v="0"/>
    <s v="TAL NV"/>
    <n v="1"/>
    <n v="0"/>
    <n v="0"/>
    <n v="0"/>
  </r>
  <r>
    <n v="69557443"/>
    <x v="4"/>
    <n v="2389"/>
    <d v="2023-02-08T00:00:00"/>
    <x v="28"/>
    <x v="0"/>
    <n v="5.3220000000000003E-3"/>
    <n v="12.714258000000001"/>
    <s v="KL"/>
    <x v="2"/>
    <x v="13"/>
    <s v="Q1"/>
    <n v="120"/>
    <n v="19.908333333333335"/>
    <s v="KL Mini Cones"/>
    <n v="1"/>
    <n v="2389"/>
    <n v="12.714258000000001"/>
    <n v="19.908333333333335"/>
  </r>
  <r>
    <n v="69564623"/>
    <x v="2"/>
    <n v="0"/>
    <d v="2023-02-08T00:00:00"/>
    <x v="238"/>
    <x v="2"/>
    <n v="8.5199999999999998E-3"/>
    <n v="0"/>
    <s v="BR"/>
    <x v="2"/>
    <x v="2"/>
    <s v="Q1"/>
    <n v="176"/>
    <n v="0"/>
    <s v="48oz"/>
    <n v="1"/>
    <n v="0"/>
    <n v="0"/>
    <n v="0"/>
  </r>
  <r>
    <n v="69571484"/>
    <x v="2"/>
    <n v="0"/>
    <d v="2023-02-08T00:00:00"/>
    <x v="230"/>
    <x v="5"/>
    <n v="1.2960000000000001E-2"/>
    <n v="0"/>
    <s v="MG"/>
    <x v="2"/>
    <x v="5"/>
    <s v="Q1"/>
    <n v="493"/>
    <n v="0"/>
    <s v="MG Sticks"/>
    <n v="1"/>
    <n v="0"/>
    <n v="0"/>
    <n v="0"/>
  </r>
  <r>
    <n v="69621212"/>
    <x v="2"/>
    <n v="852"/>
    <d v="2023-02-08T00:00:00"/>
    <x v="29"/>
    <x v="28"/>
    <n v="5.2680000000000001E-3"/>
    <n v="4.4883360000000003"/>
    <s v="PG"/>
    <x v="2"/>
    <x v="14"/>
    <s v="Q1"/>
    <n v="130"/>
    <n v="6.5538461538461537"/>
    <s v="PG"/>
    <n v="1"/>
    <n v="852"/>
    <n v="4.4883360000000003"/>
    <n v="6.5538461538461537"/>
  </r>
  <r>
    <n v="69671652"/>
    <x v="3"/>
    <n v="0"/>
    <d v="2023-02-08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4476"/>
    <d v="2023-02-08T00:00:00"/>
    <x v="30"/>
    <x v="29"/>
    <n v="5.2680000000000001E-3"/>
    <n v="23.579568000000002"/>
    <s v="PS"/>
    <x v="2"/>
    <x v="3"/>
    <s v="Q1"/>
    <n v="108"/>
    <n v="41.444444444444443"/>
    <s v="PG"/>
    <n v="1"/>
    <n v="4476"/>
    <n v="23.579568000000002"/>
    <n v="41.444444444444443"/>
  </r>
  <r>
    <n v="69677917"/>
    <x v="2"/>
    <n v="7049"/>
    <d v="2023-02-08T00:00:00"/>
    <x v="30"/>
    <x v="30"/>
    <n v="5.2680000000000001E-3"/>
    <n v="37.134132000000001"/>
    <s v="PS"/>
    <x v="2"/>
    <x v="14"/>
    <s v="Q1"/>
    <n v="108"/>
    <n v="65.268518518518519"/>
    <s v="PG"/>
    <n v="1"/>
    <n v="7049"/>
    <n v="37.134132000000001"/>
    <n v="65.268518518518519"/>
  </r>
  <r>
    <n v="69684522"/>
    <x v="2"/>
    <n v="0"/>
    <d v="2023-02-08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7506"/>
    <d v="2023-02-08T00:00:00"/>
    <x v="69"/>
    <x v="31"/>
    <n v="4.2560000000000002E-3"/>
    <n v="31.945536000000001"/>
    <s v="BR"/>
    <x v="2"/>
    <x v="5"/>
    <s v="Q1"/>
    <n v="143"/>
    <n v="52.489510489510486"/>
    <s v="MG Sticks"/>
    <n v="1"/>
    <n v="7506"/>
    <n v="31.945536000000001"/>
    <n v="52.489510489510486"/>
  </r>
  <r>
    <n v="84144621"/>
    <x v="5"/>
    <n v="5925"/>
    <d v="2023-02-08T00:00:00"/>
    <x v="239"/>
    <x v="35"/>
    <n v="9.0848256361922702E-3"/>
    <n v="53.827591894439202"/>
    <s v="BJ"/>
    <x v="2"/>
    <x v="39"/>
    <s v="Q1"/>
    <n v="125"/>
    <n v="47.4"/>
    <s v="2.4 Gal"/>
    <n v="1"/>
    <n v="5925"/>
    <n v="53.827591894439202"/>
    <n v="47.4"/>
  </r>
  <r>
    <n v="67465063"/>
    <x v="3"/>
    <n v="0"/>
    <d v="2023-02-09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09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2730"/>
    <d v="2023-02-09T00:00:00"/>
    <x v="7"/>
    <x v="3"/>
    <n v="1.596E-3"/>
    <n v="4.3570799999999998"/>
    <s v="PS"/>
    <x v="2"/>
    <x v="3"/>
    <s v="Q1"/>
    <n v="130"/>
    <n v="21"/>
    <s v="PG"/>
    <n v="1"/>
    <n v="2730"/>
    <n v="4.3570799999999998"/>
    <n v="21"/>
  </r>
  <r>
    <n v="67466492"/>
    <x v="3"/>
    <n v="4309"/>
    <d v="2023-02-09T00:00:00"/>
    <x v="8"/>
    <x v="6"/>
    <n v="5.2680000000000001E-3"/>
    <n v="22.699812000000001"/>
    <s v="PS"/>
    <x v="2"/>
    <x v="3"/>
    <s v="Q1"/>
    <n v="130"/>
    <n v="33.146153846153844"/>
    <s v="PG"/>
    <n v="1"/>
    <n v="4309"/>
    <n v="22.699812000000001"/>
    <n v="33.146153846153844"/>
  </r>
  <r>
    <n v="67466492"/>
    <x v="3"/>
    <n v="5200"/>
    <d v="2023-02-09T00:00:00"/>
    <x v="8"/>
    <x v="7"/>
    <n v="5.2680000000000001E-3"/>
    <n v="27.393599999999999"/>
    <s v="PS"/>
    <x v="2"/>
    <x v="3"/>
    <s v="Q1"/>
    <n v="130"/>
    <n v="40"/>
    <s v="PG"/>
    <n v="1"/>
    <n v="5200"/>
    <n v="27.393599999999999"/>
    <n v="40"/>
  </r>
  <r>
    <n v="67466492"/>
    <x v="3"/>
    <n v="3870"/>
    <d v="2023-02-09T00:00:00"/>
    <x v="8"/>
    <x v="8"/>
    <n v="5.2680000000000001E-3"/>
    <n v="20.387160000000002"/>
    <s v="PS"/>
    <x v="2"/>
    <x v="3"/>
    <s v="Q1"/>
    <n v="130"/>
    <n v="29.76923076923077"/>
    <s v="PG"/>
    <n v="1"/>
    <n v="3870"/>
    <n v="20.387160000000002"/>
    <n v="29.76923076923077"/>
  </r>
  <r>
    <n v="67466492"/>
    <x v="3"/>
    <n v="2573"/>
    <d v="2023-02-09T00:00:00"/>
    <x v="8"/>
    <x v="9"/>
    <n v="5.2680000000000001E-3"/>
    <n v="13.554564000000001"/>
    <s v="PS"/>
    <x v="2"/>
    <x v="3"/>
    <s v="Q1"/>
    <n v="130"/>
    <n v="19.792307692307691"/>
    <s v="PG"/>
    <n v="1"/>
    <n v="2573"/>
    <n v="13.554564000000001"/>
    <n v="19.792307692307691"/>
  </r>
  <r>
    <n v="67476560"/>
    <x v="3"/>
    <n v="1702"/>
    <d v="2023-02-09T00:00:00"/>
    <x v="10"/>
    <x v="10"/>
    <n v="5.1060000000000003E-3"/>
    <n v="8.6904120000000002"/>
    <s v="PS"/>
    <x v="2"/>
    <x v="3"/>
    <s v="Q1"/>
    <n v="130"/>
    <n v="13.092307692307692"/>
    <s v="PG"/>
    <n v="1"/>
    <n v="1702"/>
    <n v="8.6904120000000002"/>
    <n v="13.092307692307692"/>
  </r>
  <r>
    <n v="67885716"/>
    <x v="3"/>
    <n v="0"/>
    <d v="2023-02-09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9"/>
    <x v="3"/>
    <n v="0"/>
    <d v="2023-02-09T00:00:00"/>
    <x v="11"/>
    <x v="11"/>
    <n v="8.5199999999999998E-3"/>
    <n v="0"/>
    <s v="BR"/>
    <x v="2"/>
    <x v="6"/>
    <s v="Q1"/>
    <n v="154"/>
    <n v="0"/>
    <s v="48oz"/>
    <n v="1"/>
    <n v="0"/>
    <n v="0"/>
    <n v="0"/>
  </r>
  <r>
    <n v="67885724"/>
    <x v="3"/>
    <n v="9570"/>
    <d v="2023-02-09T00:00:00"/>
    <x v="49"/>
    <x v="12"/>
    <n v="8.5199999999999998E-3"/>
    <n v="81.5364"/>
    <s v="BR"/>
    <x v="2"/>
    <x v="6"/>
    <s v="Q1"/>
    <n v="154"/>
    <n v="62.142857142857146"/>
    <s v="48oz"/>
    <n v="1"/>
    <n v="9570"/>
    <n v="81.5364"/>
    <n v="62.142857142857146"/>
  </r>
  <r>
    <n v="67885724"/>
    <x v="3"/>
    <n v="0"/>
    <d v="2023-02-09T00:00:00"/>
    <x v="49"/>
    <x v="12"/>
    <n v="8.5199999999999998E-3"/>
    <n v="0"/>
    <s v="BR"/>
    <x v="2"/>
    <x v="6"/>
    <s v="Q1"/>
    <n v="154"/>
    <n v="0"/>
    <s v="48oz"/>
    <n v="1"/>
    <n v="0"/>
    <n v="0"/>
    <n v="0"/>
  </r>
  <r>
    <n v="67901583"/>
    <x v="3"/>
    <n v="11855"/>
    <d v="2023-02-09T00:00:00"/>
    <x v="50"/>
    <x v="11"/>
    <n v="8.5199999999999998E-3"/>
    <n v="101.0046"/>
    <s v="BR"/>
    <x v="2"/>
    <x v="6"/>
    <s v="Q1"/>
    <n v="154"/>
    <n v="76.980519480519476"/>
    <s v="48oz"/>
    <n v="1"/>
    <n v="11855"/>
    <n v="101.0046"/>
    <n v="76.980519480519476"/>
  </r>
  <r>
    <n v="67901592"/>
    <x v="2"/>
    <n v="0"/>
    <d v="2023-02-09T00:00:00"/>
    <x v="240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09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117572"/>
    <x v="2"/>
    <n v="5308"/>
    <d v="2023-02-09T00:00:00"/>
    <x v="31"/>
    <x v="14"/>
    <n v="4.2560000000000002E-3"/>
    <n v="22.590848000000001"/>
    <s v="BR"/>
    <x v="2"/>
    <x v="5"/>
    <s v="Q1"/>
    <n v="143"/>
    <n v="37.11888111888112"/>
    <s v="MG Sticks"/>
    <n v="1"/>
    <n v="5308"/>
    <n v="22.590848000000001"/>
    <n v="37.11888111888112"/>
  </r>
  <r>
    <n v="68300738"/>
    <x v="3"/>
    <n v="5723"/>
    <d v="2023-02-09T00:00:00"/>
    <x v="120"/>
    <x v="19"/>
    <n v="8.4960000000000001E-3"/>
    <n v="48.622608"/>
    <s v="KL"/>
    <x v="2"/>
    <x v="8"/>
    <s v="Q1"/>
    <n v="132"/>
    <n v="43.356060606060609"/>
    <s v="EDF"/>
    <n v="1"/>
    <n v="5723"/>
    <n v="48.622608"/>
    <n v="43.356060606060609"/>
  </r>
  <r>
    <n v="68354587"/>
    <x v="2"/>
    <n v="0"/>
    <d v="2023-02-09T00:00:00"/>
    <x v="226"/>
    <x v="15"/>
    <n v="3.5999999999999999E-3"/>
    <n v="0"/>
    <s v="BJ"/>
    <x v="2"/>
    <x v="19"/>
    <s v="Q1"/>
    <n v="240"/>
    <n v="0"/>
    <s v="TOPPED"/>
    <n v="1"/>
    <n v="0"/>
    <n v="0"/>
    <n v="0"/>
  </r>
  <r>
    <n v="68410354"/>
    <x v="2"/>
    <n v="16906"/>
    <d v="2023-02-09T00:00:00"/>
    <x v="111"/>
    <x v="5"/>
    <n v="1.08E-3"/>
    <n v="18.258479999999999"/>
    <s v="MG"/>
    <x v="2"/>
    <x v="5"/>
    <s v="Q1"/>
    <n v="493"/>
    <n v="34.292089249492903"/>
    <s v="MG Sticks"/>
    <n v="1"/>
    <n v="16906"/>
    <n v="18.258479999999999"/>
    <n v="34.292089249492903"/>
  </r>
  <r>
    <n v="68634167"/>
    <x v="3"/>
    <n v="8603"/>
    <d v="2023-02-09T00:00:00"/>
    <x v="91"/>
    <x v="16"/>
    <n v="8.5199999999999998E-3"/>
    <n v="73.297560000000004"/>
    <s v="BR"/>
    <x v="2"/>
    <x v="6"/>
    <s v="Q1"/>
    <n v="154"/>
    <n v="55.863636363636367"/>
    <s v="48oz"/>
    <n v="1"/>
    <n v="8603"/>
    <n v="73.297560000000004"/>
    <n v="55.863636363636367"/>
  </r>
  <r>
    <n v="68649096"/>
    <x v="2"/>
    <n v="11079"/>
    <d v="2023-02-09T00:00:00"/>
    <x v="241"/>
    <x v="15"/>
    <n v="3.5999999999999999E-3"/>
    <n v="39.884399999999999"/>
    <s v="BJ"/>
    <x v="2"/>
    <x v="19"/>
    <s v="Q1"/>
    <n v="240"/>
    <n v="46.162500000000001"/>
    <s v="TOPPED"/>
    <n v="1"/>
    <n v="11079"/>
    <n v="39.884399999999999"/>
    <n v="46.162500000000001"/>
  </r>
  <r>
    <n v="68689251"/>
    <x v="3"/>
    <n v="5655"/>
    <d v="2023-02-09T00:00:00"/>
    <x v="17"/>
    <x v="17"/>
    <n v="9.5760000000000012E-3"/>
    <n v="54.152280000000005"/>
    <s v="KL"/>
    <x v="2"/>
    <x v="8"/>
    <s v="Q1"/>
    <n v="132"/>
    <n v="42.840909090909093"/>
    <s v="EDF"/>
    <n v="1"/>
    <n v="5655"/>
    <n v="54.152280000000005"/>
    <n v="42.840909090909093"/>
  </r>
  <r>
    <n v="68689253"/>
    <x v="2"/>
    <n v="5843"/>
    <d v="2023-02-09T00:00:00"/>
    <x v="125"/>
    <x v="18"/>
    <n v="6.0035555555555554E-3"/>
    <n v="35.078775111111113"/>
    <s v="KL"/>
    <x v="2"/>
    <x v="9"/>
    <s v="Q1"/>
    <n v="120"/>
    <n v="48.69166666666667"/>
    <s v="ESS"/>
    <n v="1"/>
    <n v="5843"/>
    <n v="35.078775111111113"/>
    <n v="48.69166666666667"/>
  </r>
  <r>
    <n v="68709233"/>
    <x v="3"/>
    <n v="2561"/>
    <d v="2023-02-09T00:00:00"/>
    <x v="19"/>
    <x v="20"/>
    <n v="8.4960000000000001E-3"/>
    <n v="21.758255999999999"/>
    <s v="KL"/>
    <x v="2"/>
    <x v="8"/>
    <s v="Q1"/>
    <n v="132"/>
    <n v="19.401515151515152"/>
    <s v="EDF"/>
    <n v="1"/>
    <n v="2561"/>
    <n v="21.758255999999999"/>
    <n v="19.401515151515152"/>
  </r>
  <r>
    <n v="68728342"/>
    <x v="2"/>
    <n v="0"/>
    <d v="2023-02-09T00:00:00"/>
    <x v="44"/>
    <x v="22"/>
    <n v="3.7853439999999999E-3"/>
    <n v="0"/>
    <s v="TA"/>
    <x v="2"/>
    <x v="10"/>
    <s v="Q1"/>
    <n v="255"/>
    <n v="0"/>
    <s v="TALENTI"/>
    <n v="1"/>
    <n v="0"/>
    <n v="0"/>
    <n v="0"/>
  </r>
  <r>
    <n v="68729137"/>
    <x v="8"/>
    <n v="3400"/>
    <d v="2023-02-09T00:00:00"/>
    <x v="236"/>
    <x v="0"/>
    <n v="2.7000000000000001E-3"/>
    <n v="9.18"/>
    <s v="MG"/>
    <x v="2"/>
    <x v="21"/>
    <s v="Q1"/>
    <n v="170"/>
    <n v="20"/>
    <s v="MG Sticks ND"/>
    <n v="1"/>
    <n v="3400"/>
    <n v="9.18"/>
    <n v="20"/>
  </r>
  <r>
    <n v="68730257"/>
    <x v="2"/>
    <n v="22110"/>
    <d v="2023-02-09T00:00:00"/>
    <x v="75"/>
    <x v="21"/>
    <n v="3.7853440000000004E-3"/>
    <n v="83.693955840000015"/>
    <s v="TA"/>
    <x v="2"/>
    <x v="10"/>
    <s v="Q1"/>
    <n v="255"/>
    <n v="86.705882352941174"/>
    <s v="TALENTI"/>
    <n v="1"/>
    <n v="22110"/>
    <n v="83.693955840000015"/>
    <n v="86.705882352941174"/>
  </r>
  <r>
    <n v="68737750"/>
    <x v="3"/>
    <n v="9424"/>
    <d v="2023-02-09T00:00:00"/>
    <x v="144"/>
    <x v="23"/>
    <n v="8.5199999999999998E-3"/>
    <n v="80.292479999999998"/>
    <s v="BR"/>
    <x v="2"/>
    <x v="6"/>
    <s v="Q1"/>
    <n v="176"/>
    <n v="53.545454545454547"/>
    <s v="48oz"/>
    <n v="1"/>
    <n v="9424"/>
    <n v="80.292479999999998"/>
    <n v="53.545454545454547"/>
  </r>
  <r>
    <n v="68741714"/>
    <x v="3"/>
    <n v="6069"/>
    <d v="2023-02-09T00:00:00"/>
    <x v="24"/>
    <x v="24"/>
    <n v="2.8319999999999999E-3"/>
    <n v="17.187407999999998"/>
    <s v="GH"/>
    <x v="2"/>
    <x v="4"/>
    <s v="Q1"/>
    <n v="225"/>
    <n v="26.973333333333333"/>
    <s v="MBG"/>
    <n v="1"/>
    <n v="6069"/>
    <n v="17.187407999999998"/>
    <n v="26.973333333333333"/>
  </r>
  <r>
    <n v="68741742"/>
    <x v="2"/>
    <n v="5544"/>
    <d v="2023-02-09T00:00:00"/>
    <x v="25"/>
    <x v="25"/>
    <n v="4.2560000000000002E-3"/>
    <n v="23.595264"/>
    <s v="GH"/>
    <x v="2"/>
    <x v="11"/>
    <s v="Q1"/>
    <n v="154"/>
    <n v="36"/>
    <s v="MBG"/>
    <n v="1"/>
    <n v="5544"/>
    <n v="23.595264"/>
    <n v="36"/>
  </r>
  <r>
    <n v="68852583"/>
    <x v="2"/>
    <n v="2759"/>
    <d v="2023-02-09T00:00:00"/>
    <x v="227"/>
    <x v="26"/>
    <n v="8.5199999999999998E-3"/>
    <n v="23.506679999999999"/>
    <s v="KL"/>
    <x v="2"/>
    <x v="12"/>
    <s v="Q1"/>
    <n v="132"/>
    <n v="20.901515151515152"/>
    <s v="EDF"/>
    <n v="1"/>
    <n v="2759"/>
    <n v="23.506679999999999"/>
    <n v="20.901515151515152"/>
  </r>
  <r>
    <n v="68863007"/>
    <x v="9"/>
    <n v="6635"/>
    <d v="2023-02-09T00:00:00"/>
    <x v="242"/>
    <x v="0"/>
    <n v="1.8959999999999999E-3"/>
    <n v="12.57996"/>
    <s v="BJ"/>
    <x v="2"/>
    <x v="23"/>
    <s v="Q1"/>
    <n v="272"/>
    <n v="24.393382352941178"/>
    <s v="Dough Bites"/>
    <n v="1"/>
    <n v="6635"/>
    <n v="12.57996"/>
    <n v="24.393382352941178"/>
  </r>
  <r>
    <n v="68890247"/>
    <x v="2"/>
    <n v="0"/>
    <d v="2023-02-09T00:00:00"/>
    <x v="243"/>
    <x v="13"/>
    <n v="8.5170239596469088E-6"/>
    <n v="0"/>
    <s v="BR"/>
    <x v="2"/>
    <x v="2"/>
    <s v="Q1"/>
    <n v="176"/>
    <n v="0"/>
    <s v="48oz"/>
    <n v="1"/>
    <n v="0"/>
    <n v="0"/>
    <n v="0"/>
  </r>
  <r>
    <n v="68896052"/>
    <x v="2"/>
    <n v="0"/>
    <d v="2023-02-09T00:00:00"/>
    <x v="36"/>
    <x v="2"/>
    <n v="8.5199999999999998E-3"/>
    <n v="0"/>
    <s v="BR"/>
    <x v="2"/>
    <x v="2"/>
    <s v="Q1"/>
    <n v="176"/>
    <n v="0"/>
    <s v="48oz"/>
    <n v="1"/>
    <n v="0"/>
    <n v="0"/>
    <n v="0"/>
  </r>
  <r>
    <n v="68914406"/>
    <x v="2"/>
    <n v="7572"/>
    <d v="2023-02-09T00:00:00"/>
    <x v="78"/>
    <x v="27"/>
    <n v="2.124E-3"/>
    <n v="16.082927999999999"/>
    <s v="KL"/>
    <x v="2"/>
    <x v="9"/>
    <s v="Q1"/>
    <n v="352"/>
    <n v="21.511363636363637"/>
    <s v="ESS"/>
    <n v="1"/>
    <n v="7572"/>
    <n v="16.082927999999999"/>
    <n v="21.511363636363637"/>
  </r>
  <r>
    <n v="69548143"/>
    <x v="3"/>
    <n v="9985"/>
    <d v="2023-02-09T00:00:00"/>
    <x v="159"/>
    <x v="36"/>
    <n v="3.192E-3"/>
    <n v="31.872119999999999"/>
    <s v="KL"/>
    <x v="2"/>
    <x v="28"/>
    <s v="Q1"/>
    <n v="345"/>
    <n v="28.942028985507246"/>
    <s v="EFW"/>
    <n v="1"/>
    <n v="9985"/>
    <n v="31.872119999999999"/>
    <n v="28.942028985507246"/>
  </r>
  <r>
    <n v="69551489"/>
    <x v="3"/>
    <n v="1480"/>
    <d v="2023-02-09T00:00:00"/>
    <x v="4"/>
    <x v="4"/>
    <n v="3.8989043190215313E-3"/>
    <n v="5.7703783921518665"/>
    <s v="GH"/>
    <x v="2"/>
    <x v="4"/>
    <s v="Q1"/>
    <n v="154"/>
    <n v="9.6103896103896105"/>
    <s v="MBG"/>
    <n v="1"/>
    <n v="1480"/>
    <n v="5.7703783921518665"/>
    <n v="9.6103896103896105"/>
  </r>
  <r>
    <n v="69555093"/>
    <x v="2"/>
    <n v="0"/>
    <d v="2023-02-09T00:00:00"/>
    <x v="229"/>
    <x v="14"/>
    <n v="1.98E-3"/>
    <n v="0"/>
    <s v="TA"/>
    <x v="2"/>
    <x v="42"/>
    <s v="Q1"/>
    <n v="176"/>
    <n v="0"/>
    <s v="TAL NV"/>
    <n v="1"/>
    <n v="0"/>
    <n v="0"/>
    <n v="0"/>
  </r>
  <r>
    <n v="69557443"/>
    <x v="4"/>
    <n v="2400"/>
    <d v="2023-02-09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2398"/>
    <d v="2023-02-09T00:00:00"/>
    <x v="28"/>
    <x v="0"/>
    <n v="5.3220000000000003E-3"/>
    <n v="12.762156000000001"/>
    <s v="KL"/>
    <x v="2"/>
    <x v="13"/>
    <s v="Q1"/>
    <n v="120"/>
    <n v="19.983333333333334"/>
    <s v="KL Mini Cones"/>
    <n v="1"/>
    <n v="2398"/>
    <n v="12.762156000000001"/>
    <n v="19.983333333333334"/>
  </r>
  <r>
    <n v="69557443"/>
    <x v="4"/>
    <n v="2400"/>
    <d v="2023-02-09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2400"/>
    <d v="2023-02-09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2400"/>
    <d v="2023-02-09T00:00:00"/>
    <x v="28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71484"/>
    <x v="2"/>
    <n v="0"/>
    <d v="2023-02-09T00:00:00"/>
    <x v="230"/>
    <x v="5"/>
    <n v="1.2960000000000001E-2"/>
    <n v="0"/>
    <s v="MG"/>
    <x v="2"/>
    <x v="5"/>
    <s v="Q1"/>
    <n v="493"/>
    <n v="0"/>
    <s v="MG Sticks"/>
    <n v="1"/>
    <n v="0"/>
    <n v="0"/>
    <n v="0"/>
  </r>
  <r>
    <n v="69621212"/>
    <x v="2"/>
    <n v="3376"/>
    <d v="2023-02-09T00:00:00"/>
    <x v="29"/>
    <x v="28"/>
    <n v="5.2680000000000001E-3"/>
    <n v="17.784768"/>
    <s v="PG"/>
    <x v="2"/>
    <x v="14"/>
    <s v="Q1"/>
    <n v="130"/>
    <n v="25.969230769230769"/>
    <s v="PG"/>
    <n v="1"/>
    <n v="3376"/>
    <n v="17.784768"/>
    <n v="25.969230769230769"/>
  </r>
  <r>
    <n v="69629477"/>
    <x v="1"/>
    <n v="2808"/>
    <d v="2023-02-09T00:00:00"/>
    <x v="61"/>
    <x v="0"/>
    <n v="5.3280000000000003E-3"/>
    <n v="14.961024"/>
    <s v="KL"/>
    <x v="2"/>
    <x v="26"/>
    <s v="Q1"/>
    <n v="108"/>
    <n v="26"/>
    <s v="KL Mini Cones"/>
    <n v="1"/>
    <n v="2808"/>
    <n v="14.961024"/>
    <n v="26"/>
  </r>
  <r>
    <n v="69671652"/>
    <x v="3"/>
    <n v="0"/>
    <d v="2023-02-09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2690"/>
    <d v="2023-02-09T00:00:00"/>
    <x v="30"/>
    <x v="29"/>
    <n v="5.2680000000000001E-3"/>
    <n v="14.170920000000001"/>
    <s v="PS"/>
    <x v="2"/>
    <x v="3"/>
    <s v="Q1"/>
    <n v="108"/>
    <n v="24.907407407407408"/>
    <s v="PG"/>
    <n v="1"/>
    <n v="2690"/>
    <n v="14.170920000000001"/>
    <n v="24.907407407407408"/>
  </r>
  <r>
    <n v="69677917"/>
    <x v="2"/>
    <n v="889"/>
    <d v="2023-02-09T00:00:00"/>
    <x v="30"/>
    <x v="30"/>
    <n v="5.2680000000000001E-3"/>
    <n v="4.6832520000000004"/>
    <s v="PS"/>
    <x v="2"/>
    <x v="14"/>
    <s v="Q1"/>
    <n v="108"/>
    <n v="8.231481481481481"/>
    <s v="PG"/>
    <n v="1"/>
    <n v="889"/>
    <n v="4.6832520000000004"/>
    <n v="8.231481481481481"/>
  </r>
  <r>
    <n v="69684522"/>
    <x v="2"/>
    <n v="0"/>
    <d v="2023-02-09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8749"/>
    <d v="2023-02-09T00:00:00"/>
    <x v="69"/>
    <x v="31"/>
    <n v="4.2560000000000002E-3"/>
    <n v="37.235744000000004"/>
    <s v="BR"/>
    <x v="2"/>
    <x v="5"/>
    <s v="Q1"/>
    <n v="143"/>
    <n v="61.18181818181818"/>
    <s v="MG Sticks"/>
    <n v="1"/>
    <n v="8749"/>
    <n v="37.235744000000004"/>
    <n v="61.18181818181818"/>
  </r>
  <r>
    <n v="84136704"/>
    <x v="5"/>
    <n v="34452"/>
    <d v="2023-02-09T00:00:00"/>
    <x v="223"/>
    <x v="35"/>
    <n v="3.7853439999999999E-3"/>
    <n v="130.412671488"/>
    <s v="BJ"/>
    <x v="2"/>
    <x v="15"/>
    <s v="Q1"/>
    <n v="240"/>
    <n v="143.55000000000001"/>
    <s v="BJ PTS"/>
    <n v="1"/>
    <n v="34452"/>
    <n v="130.412671488"/>
    <n v="143.55000000000001"/>
  </r>
  <r>
    <n v="84164937"/>
    <x v="5"/>
    <n v="17420"/>
    <d v="2023-02-09T00:00:00"/>
    <x v="234"/>
    <x v="38"/>
    <n v="3.7853439999999999E-3"/>
    <n v="65.940692479999996"/>
    <s v="BJ"/>
    <x v="2"/>
    <x v="15"/>
    <s v="Q1"/>
    <n v="240"/>
    <n v="72.583333333333329"/>
    <s v="BJ PTS"/>
    <n v="1"/>
    <n v="17420"/>
    <n v="65.940692479999996"/>
    <n v="72.583333333333329"/>
  </r>
  <r>
    <n v="67309841"/>
    <x v="2"/>
    <n v="3923"/>
    <d v="2023-02-10T00:00:00"/>
    <x v="32"/>
    <x v="32"/>
    <n v="8.5199999999999998E-3"/>
    <n v="33.423960000000001"/>
    <s v="BR"/>
    <x v="2"/>
    <x v="2"/>
    <s v="Q1"/>
    <n v="154"/>
    <n v="25.474025974025974"/>
    <s v="48oz"/>
    <n v="1"/>
    <n v="3923"/>
    <n v="33.423960000000001"/>
    <n v="25.474025974025974"/>
  </r>
  <r>
    <n v="67309843"/>
    <x v="3"/>
    <n v="0"/>
    <d v="2023-02-10T00:00:00"/>
    <x v="88"/>
    <x v="12"/>
    <n v="8.5199999999999998E-3"/>
    <n v="0"/>
    <s v="BR"/>
    <x v="2"/>
    <x v="6"/>
    <s v="Q1"/>
    <n v="154"/>
    <n v="0"/>
    <s v="48oz"/>
    <n v="1"/>
    <n v="0"/>
    <n v="0"/>
    <n v="0"/>
  </r>
  <r>
    <n v="67420264"/>
    <x v="5"/>
    <n v="7646"/>
    <d v="2023-02-10T00:00:00"/>
    <x v="244"/>
    <x v="35"/>
    <n v="1.419504E-3"/>
    <n v="10.853527584"/>
    <s v="BJ"/>
    <x v="2"/>
    <x v="16"/>
    <s v="Q1"/>
    <n v="510"/>
    <n v="14.992156862745098"/>
    <s v="B&amp;J Cups"/>
    <n v="1"/>
    <n v="7646"/>
    <n v="10.853527584"/>
    <n v="14.992156862745098"/>
  </r>
  <r>
    <n v="67465063"/>
    <x v="3"/>
    <n v="0"/>
    <d v="2023-02-10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10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828"/>
    <d v="2023-02-10T00:00:00"/>
    <x v="7"/>
    <x v="3"/>
    <n v="1.596E-3"/>
    <n v="2.9174880000000001"/>
    <s v="PS"/>
    <x v="2"/>
    <x v="3"/>
    <s v="Q1"/>
    <n v="130"/>
    <n v="14.061538461538461"/>
    <s v="PG"/>
    <n v="1"/>
    <n v="1828"/>
    <n v="2.9174880000000001"/>
    <n v="14.061538461538461"/>
  </r>
  <r>
    <n v="67466492"/>
    <x v="3"/>
    <n v="3555"/>
    <d v="2023-02-10T00:00:00"/>
    <x v="8"/>
    <x v="6"/>
    <n v="5.2680000000000001E-3"/>
    <n v="18.727740000000001"/>
    <s v="PS"/>
    <x v="2"/>
    <x v="3"/>
    <s v="Q1"/>
    <n v="130"/>
    <n v="27.346153846153847"/>
    <s v="PG"/>
    <n v="1"/>
    <n v="3555"/>
    <n v="18.727740000000001"/>
    <n v="27.346153846153847"/>
  </r>
  <r>
    <n v="67466492"/>
    <x v="3"/>
    <n v="3228"/>
    <d v="2023-02-10T00:00:00"/>
    <x v="8"/>
    <x v="7"/>
    <n v="5.2680000000000001E-3"/>
    <n v="17.005103999999999"/>
    <s v="PS"/>
    <x v="2"/>
    <x v="3"/>
    <s v="Q1"/>
    <n v="130"/>
    <n v="24.830769230769231"/>
    <s v="PG"/>
    <n v="1"/>
    <n v="3228"/>
    <n v="17.005103999999999"/>
    <n v="24.830769230769231"/>
  </r>
  <r>
    <n v="67466492"/>
    <x v="3"/>
    <n v="2964"/>
    <d v="2023-02-10T00:00:00"/>
    <x v="8"/>
    <x v="8"/>
    <n v="5.2680000000000001E-3"/>
    <n v="15.614352"/>
    <s v="PS"/>
    <x v="2"/>
    <x v="3"/>
    <s v="Q1"/>
    <n v="130"/>
    <n v="22.8"/>
    <s v="PG"/>
    <n v="1"/>
    <n v="2964"/>
    <n v="15.614352"/>
    <n v="22.8"/>
  </r>
  <r>
    <n v="67466492"/>
    <x v="3"/>
    <n v="2607"/>
    <d v="2023-02-10T00:00:00"/>
    <x v="8"/>
    <x v="9"/>
    <n v="5.2680000000000001E-3"/>
    <n v="13.733676000000001"/>
    <s v="PS"/>
    <x v="2"/>
    <x v="3"/>
    <s v="Q1"/>
    <n v="130"/>
    <n v="20.053846153846155"/>
    <s v="PG"/>
    <n v="1"/>
    <n v="2607"/>
    <n v="13.733676000000001"/>
    <n v="20.053846153846155"/>
  </r>
  <r>
    <n v="67476560"/>
    <x v="3"/>
    <n v="2856"/>
    <d v="2023-02-10T00:00:00"/>
    <x v="10"/>
    <x v="10"/>
    <n v="5.1060000000000003E-3"/>
    <n v="14.582736000000001"/>
    <s v="PS"/>
    <x v="2"/>
    <x v="3"/>
    <s v="Q1"/>
    <n v="130"/>
    <n v="21.969230769230769"/>
    <s v="PG"/>
    <n v="1"/>
    <n v="2856"/>
    <n v="14.582736000000001"/>
    <n v="21.969230769230769"/>
  </r>
  <r>
    <n v="67794170"/>
    <x v="5"/>
    <n v="12480"/>
    <d v="2023-02-10T00:00:00"/>
    <x v="141"/>
    <x v="38"/>
    <n v="3.7853439999999999E-3"/>
    <n v="47.241093120000002"/>
    <s v="BJ"/>
    <x v="2"/>
    <x v="15"/>
    <s v="Q1"/>
    <n v="240"/>
    <n v="52"/>
    <s v="BJ PTS"/>
    <n v="1"/>
    <n v="12480"/>
    <n v="47.241093120000002"/>
    <n v="52"/>
  </r>
  <r>
    <n v="67885716"/>
    <x v="3"/>
    <n v="4753"/>
    <d v="2023-02-10T00:00:00"/>
    <x v="89"/>
    <x v="11"/>
    <n v="8.5199999999999998E-3"/>
    <n v="40.495559999999998"/>
    <s v="BR"/>
    <x v="2"/>
    <x v="6"/>
    <s v="Q1"/>
    <n v="154"/>
    <n v="30.863636363636363"/>
    <s v="48oz"/>
    <n v="1"/>
    <n v="4753"/>
    <n v="40.495559999999998"/>
    <n v="30.863636363636363"/>
  </r>
  <r>
    <n v="67885718"/>
    <x v="3"/>
    <n v="0"/>
    <d v="2023-02-10T00:00:00"/>
    <x v="48"/>
    <x v="12"/>
    <n v="8.5199999999999998E-3"/>
    <n v="0"/>
    <s v="BR"/>
    <x v="2"/>
    <x v="6"/>
    <s v="Q1"/>
    <n v="154"/>
    <n v="0"/>
    <s v="48oz"/>
    <n v="1"/>
    <n v="0"/>
    <n v="0"/>
    <n v="0"/>
  </r>
  <r>
    <n v="67885718"/>
    <x v="3"/>
    <n v="0"/>
    <d v="2023-02-10T00:00:00"/>
    <x v="48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3"/>
    <n v="0"/>
    <d v="2023-02-10T00:00:00"/>
    <x v="11"/>
    <x v="11"/>
    <n v="8.5199999999999998E-3"/>
    <n v="0"/>
    <s v="BR"/>
    <x v="2"/>
    <x v="6"/>
    <s v="Q1"/>
    <n v="154"/>
    <n v="0"/>
    <s v="48oz"/>
    <n v="1"/>
    <n v="0"/>
    <n v="0"/>
    <n v="0"/>
  </r>
  <r>
    <n v="67885724"/>
    <x v="3"/>
    <n v="0"/>
    <d v="2023-02-10T00:00:00"/>
    <x v="49"/>
    <x v="12"/>
    <n v="8.5199999999999998E-3"/>
    <n v="0"/>
    <s v="BR"/>
    <x v="2"/>
    <x v="6"/>
    <s v="Q1"/>
    <n v="154"/>
    <n v="0"/>
    <s v="48oz"/>
    <n v="1"/>
    <n v="0"/>
    <n v="0"/>
    <n v="0"/>
  </r>
  <r>
    <n v="67901583"/>
    <x v="3"/>
    <n v="7364"/>
    <d v="2023-02-10T00:00:00"/>
    <x v="50"/>
    <x v="11"/>
    <n v="8.5199999999999998E-3"/>
    <n v="62.741279999999996"/>
    <s v="BR"/>
    <x v="2"/>
    <x v="6"/>
    <s v="Q1"/>
    <n v="154"/>
    <n v="47.81818181818182"/>
    <s v="48oz"/>
    <n v="1"/>
    <n v="7364"/>
    <n v="62.741279999999996"/>
    <n v="47.81818181818182"/>
  </r>
  <r>
    <n v="67901592"/>
    <x v="2"/>
    <n v="0"/>
    <d v="2023-02-10T00:00:00"/>
    <x v="240"/>
    <x v="32"/>
    <n v="8.5199999999999998E-3"/>
    <n v="0"/>
    <s v="BR"/>
    <x v="2"/>
    <x v="2"/>
    <s v="Q1"/>
    <n v="154"/>
    <n v="0"/>
    <s v="48oz"/>
    <n v="1"/>
    <n v="0"/>
    <n v="0"/>
    <n v="0"/>
  </r>
  <r>
    <n v="67901593"/>
    <x v="2"/>
    <n v="0"/>
    <d v="2023-02-10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7904289"/>
    <x v="5"/>
    <n v="48994"/>
    <d v="2023-02-10T00:00:00"/>
    <x v="235"/>
    <x v="38"/>
    <n v="3.7839999999999996E-3"/>
    <n v="185.39329599999999"/>
    <s v="BJ"/>
    <x v="2"/>
    <x v="15"/>
    <s v="Q1"/>
    <n v="240"/>
    <n v="204.14166666666668"/>
    <s v="BJ PTS"/>
    <n v="1"/>
    <n v="48994"/>
    <n v="185.39329599999999"/>
    <n v="204.14166666666668"/>
  </r>
  <r>
    <n v="67908208"/>
    <x v="2"/>
    <n v="0"/>
    <d v="2023-02-10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115480"/>
    <x v="6"/>
    <n v="1759"/>
    <d v="2023-02-10T00:00:00"/>
    <x v="170"/>
    <x v="0"/>
    <n v="4.1E-5"/>
    <n v="7.2119000000000003E-2"/>
    <s v="MG"/>
    <x v="2"/>
    <x v="20"/>
    <s v="Q1"/>
    <n v="222"/>
    <n v="7.9234234234234231"/>
    <s v="Repack MG Sticks"/>
    <n v="1"/>
    <n v="1759"/>
    <n v="7.2119000000000003E-2"/>
    <n v="7.9234234234234231"/>
  </r>
  <r>
    <n v="68117572"/>
    <x v="2"/>
    <n v="2513"/>
    <d v="2023-02-10T00:00:00"/>
    <x v="31"/>
    <x v="14"/>
    <n v="4.2560000000000002E-3"/>
    <n v="10.695328"/>
    <s v="BR"/>
    <x v="2"/>
    <x v="5"/>
    <s v="Q1"/>
    <n v="143"/>
    <n v="17.573426573426573"/>
    <s v="MG Sticks"/>
    <n v="1"/>
    <n v="2513"/>
    <n v="10.695328"/>
    <n v="17.573426573426573"/>
  </r>
  <r>
    <n v="68300738"/>
    <x v="3"/>
    <n v="1729"/>
    <d v="2023-02-10T00:00:00"/>
    <x v="120"/>
    <x v="19"/>
    <n v="8.4960000000000001E-3"/>
    <n v="14.689584"/>
    <s v="KL"/>
    <x v="2"/>
    <x v="8"/>
    <s v="Q1"/>
    <n v="132"/>
    <n v="13.098484848484848"/>
    <s v="EDF"/>
    <n v="1"/>
    <n v="1729"/>
    <n v="14.689584"/>
    <n v="13.098484848484848"/>
  </r>
  <r>
    <n v="68410354"/>
    <x v="2"/>
    <n v="0"/>
    <d v="2023-02-10T00:00:00"/>
    <x v="111"/>
    <x v="5"/>
    <n v="1.08E-3"/>
    <n v="0"/>
    <s v="MG"/>
    <x v="2"/>
    <x v="5"/>
    <s v="Q1"/>
    <n v="493"/>
    <n v="0"/>
    <s v="MG Sticks"/>
    <n v="1"/>
    <n v="0"/>
    <n v="0"/>
    <n v="0"/>
  </r>
  <r>
    <n v="68410354"/>
    <x v="2"/>
    <n v="226"/>
    <d v="2023-02-10T00:00:00"/>
    <x v="111"/>
    <x v="5"/>
    <n v="1.08E-3"/>
    <n v="0.24407999999999999"/>
    <s v="MG"/>
    <x v="2"/>
    <x v="5"/>
    <s v="Q1"/>
    <n v="493"/>
    <n v="0.45841784989858014"/>
    <s v="MG Sticks"/>
    <n v="1"/>
    <n v="226"/>
    <n v="0.24407999999999999"/>
    <n v="0.45841784989858014"/>
  </r>
  <r>
    <n v="68599804"/>
    <x v="0"/>
    <n v="1558"/>
    <d v="2023-02-10T00:00:00"/>
    <x v="114"/>
    <x v="1"/>
    <n v="8.5170239596469108E-3"/>
    <n v="13.269523329129887"/>
    <s v="BR"/>
    <x v="2"/>
    <x v="32"/>
    <s v="Q1"/>
    <n v="156"/>
    <n v="9.9871794871794872"/>
    <s v="48oz"/>
    <n v="1"/>
    <n v="1558"/>
    <n v="13.269523329129887"/>
    <n v="9.9871794871794872"/>
  </r>
  <r>
    <n v="68634167"/>
    <x v="3"/>
    <n v="0"/>
    <d v="2023-02-10T00:00:00"/>
    <x v="91"/>
    <x v="16"/>
    <n v="8.5199999999999998E-3"/>
    <n v="0"/>
    <s v="BR"/>
    <x v="2"/>
    <x v="6"/>
    <s v="Q1"/>
    <n v="154"/>
    <n v="0"/>
    <s v="48oz"/>
    <n v="1"/>
    <n v="0"/>
    <n v="0"/>
    <n v="0"/>
  </r>
  <r>
    <n v="68638140"/>
    <x v="13"/>
    <n v="6387"/>
    <d v="2023-02-10T00:00:00"/>
    <x v="245"/>
    <x v="35"/>
    <n v="3.7853439999999999E-3"/>
    <n v="24.176992127999998"/>
    <s v="BJ"/>
    <x v="2"/>
    <x v="36"/>
    <s v="Q1"/>
    <n v="240"/>
    <n v="26.612500000000001"/>
    <s v="BJ PTS"/>
    <n v="1"/>
    <n v="6387"/>
    <n v="24.176992127999998"/>
    <n v="26.612500000000001"/>
  </r>
  <r>
    <n v="68649096"/>
    <x v="2"/>
    <n v="15813"/>
    <d v="2023-02-10T00:00:00"/>
    <x v="241"/>
    <x v="15"/>
    <n v="3.5999999999999999E-3"/>
    <n v="56.9268"/>
    <s v="BJ"/>
    <x v="2"/>
    <x v="19"/>
    <s v="Q1"/>
    <n v="240"/>
    <n v="65.887500000000003"/>
    <s v="TOPPED"/>
    <n v="1"/>
    <n v="15813"/>
    <n v="56.9268"/>
    <n v="65.887500000000003"/>
  </r>
  <r>
    <n v="68689251"/>
    <x v="3"/>
    <n v="7485"/>
    <d v="2023-02-10T00:00:00"/>
    <x v="17"/>
    <x v="17"/>
    <n v="9.5760000000000012E-3"/>
    <n v="71.676360000000003"/>
    <s v="KL"/>
    <x v="2"/>
    <x v="8"/>
    <s v="Q1"/>
    <n v="132"/>
    <n v="56.704545454545453"/>
    <s v="EDF"/>
    <n v="1"/>
    <n v="7485"/>
    <n v="71.676360000000003"/>
    <n v="56.704545454545453"/>
  </r>
  <r>
    <n v="68689253"/>
    <x v="2"/>
    <n v="4587"/>
    <d v="2023-02-10T00:00:00"/>
    <x v="125"/>
    <x v="18"/>
    <n v="6.0035555555555554E-3"/>
    <n v="27.538309333333334"/>
    <s v="KL"/>
    <x v="2"/>
    <x v="9"/>
    <s v="Q1"/>
    <n v="120"/>
    <n v="38.225000000000001"/>
    <s v="ESS"/>
    <n v="1"/>
    <n v="4587"/>
    <n v="27.538309333333334"/>
    <n v="38.225000000000001"/>
  </r>
  <r>
    <n v="68709233"/>
    <x v="3"/>
    <n v="6884"/>
    <d v="2023-02-10T00:00:00"/>
    <x v="19"/>
    <x v="20"/>
    <n v="8.4960000000000001E-3"/>
    <n v="58.486463999999998"/>
    <s v="KL"/>
    <x v="2"/>
    <x v="8"/>
    <s v="Q1"/>
    <n v="132"/>
    <n v="52.151515151515149"/>
    <s v="EDF"/>
    <n v="1"/>
    <n v="6884"/>
    <n v="58.486463999999998"/>
    <n v="52.151515151515149"/>
  </r>
  <r>
    <n v="68726916"/>
    <x v="2"/>
    <n v="0"/>
    <d v="2023-02-10T00:00:00"/>
    <x v="43"/>
    <x v="21"/>
    <n v="3.7853440000000004E-3"/>
    <n v="0"/>
    <s v="TA"/>
    <x v="2"/>
    <x v="10"/>
    <s v="Q1"/>
    <n v="255"/>
    <n v="0"/>
    <s v="TALENTI"/>
    <n v="1"/>
    <n v="0"/>
    <n v="0"/>
    <n v="0"/>
  </r>
  <r>
    <n v="68729137"/>
    <x v="8"/>
    <n v="3400"/>
    <d v="2023-02-10T00:00:00"/>
    <x v="236"/>
    <x v="0"/>
    <n v="2.7000000000000001E-3"/>
    <n v="9.18"/>
    <s v="MG"/>
    <x v="2"/>
    <x v="21"/>
    <s v="Q1"/>
    <n v="170"/>
    <n v="20"/>
    <s v="MG Sticks ND"/>
    <n v="1"/>
    <n v="3400"/>
    <n v="9.18"/>
    <n v="20"/>
  </r>
  <r>
    <n v="68729649"/>
    <x v="2"/>
    <n v="7056"/>
    <d v="2023-02-10T00:00:00"/>
    <x v="237"/>
    <x v="22"/>
    <n v="3.7853439999999999E-3"/>
    <n v="26.709387264"/>
    <s v="TA"/>
    <x v="2"/>
    <x v="10"/>
    <s v="Q1"/>
    <n v="255"/>
    <n v="27.670588235294119"/>
    <s v="TALENTI"/>
    <n v="1"/>
    <n v="7056"/>
    <n v="26.709387264"/>
    <n v="27.670588235294119"/>
  </r>
  <r>
    <n v="68729649"/>
    <x v="2"/>
    <n v="0"/>
    <d v="2023-02-10T00:00:00"/>
    <x v="237"/>
    <x v="22"/>
    <n v="3.7853439999999999E-3"/>
    <n v="0"/>
    <s v="TA"/>
    <x v="2"/>
    <x v="10"/>
    <s v="Q1"/>
    <n v="255"/>
    <n v="0"/>
    <s v="TALENTI"/>
    <n v="1"/>
    <n v="0"/>
    <n v="0"/>
    <n v="0"/>
  </r>
  <r>
    <n v="68729649"/>
    <x v="2"/>
    <n v="16197"/>
    <d v="2023-02-10T00:00:00"/>
    <x v="237"/>
    <x v="22"/>
    <n v="3.7853439999999999E-3"/>
    <n v="61.311216768000001"/>
    <s v="TA"/>
    <x v="2"/>
    <x v="10"/>
    <s v="Q1"/>
    <n v="255"/>
    <n v="63.517647058823528"/>
    <s v="TALENTI"/>
    <n v="1"/>
    <n v="16197"/>
    <n v="61.311216768000001"/>
    <n v="63.517647058823528"/>
  </r>
  <r>
    <n v="68730257"/>
    <x v="2"/>
    <n v="39383"/>
    <d v="2023-02-10T00:00:00"/>
    <x v="75"/>
    <x v="21"/>
    <n v="3.7853440000000004E-3"/>
    <n v="149.07820275200001"/>
    <s v="TA"/>
    <x v="2"/>
    <x v="10"/>
    <s v="Q1"/>
    <n v="255"/>
    <n v="154.44313725490196"/>
    <s v="TALENTI"/>
    <n v="1"/>
    <n v="39383"/>
    <n v="149.07820275200001"/>
    <n v="154.44313725490196"/>
  </r>
  <r>
    <n v="68737750"/>
    <x v="3"/>
    <n v="0"/>
    <d v="2023-02-10T00:00:00"/>
    <x v="144"/>
    <x v="23"/>
    <n v="8.5199999999999998E-3"/>
    <n v="0"/>
    <s v="BR"/>
    <x v="2"/>
    <x v="6"/>
    <s v="Q1"/>
    <n v="176"/>
    <n v="0"/>
    <s v="48oz"/>
    <n v="1"/>
    <n v="0"/>
    <n v="0"/>
    <n v="0"/>
  </r>
  <r>
    <n v="68741714"/>
    <x v="3"/>
    <n v="5595"/>
    <d v="2023-02-10T00:00:00"/>
    <x v="24"/>
    <x v="24"/>
    <n v="2.8319999999999999E-3"/>
    <n v="15.845039999999999"/>
    <s v="GH"/>
    <x v="2"/>
    <x v="4"/>
    <s v="Q1"/>
    <n v="225"/>
    <n v="24.866666666666667"/>
    <s v="MBG"/>
    <n v="1"/>
    <n v="5595"/>
    <n v="15.845039999999999"/>
    <n v="24.866666666666667"/>
  </r>
  <r>
    <n v="68741742"/>
    <x v="2"/>
    <n v="1744"/>
    <d v="2023-02-10T00:00:00"/>
    <x v="25"/>
    <x v="25"/>
    <n v="4.2560000000000002E-3"/>
    <n v="7.4224640000000006"/>
    <s v="GH"/>
    <x v="2"/>
    <x v="11"/>
    <s v="Q1"/>
    <n v="154"/>
    <n v="11.324675324675324"/>
    <s v="MBG"/>
    <n v="1"/>
    <n v="1744"/>
    <n v="7.4224640000000006"/>
    <n v="11.324675324675324"/>
  </r>
  <r>
    <n v="68782716"/>
    <x v="2"/>
    <n v="0"/>
    <d v="2023-02-10T00:00:00"/>
    <x v="246"/>
    <x v="22"/>
    <n v="3.7853440000000004E-3"/>
    <n v="0"/>
    <s v="TA"/>
    <x v="2"/>
    <x v="10"/>
    <s v="Q1"/>
    <n v="255"/>
    <n v="0"/>
    <s v="TALENTI"/>
    <n v="1"/>
    <n v="0"/>
    <n v="0"/>
    <n v="0"/>
  </r>
  <r>
    <n v="68852583"/>
    <x v="2"/>
    <n v="3642"/>
    <d v="2023-02-10T00:00:00"/>
    <x v="227"/>
    <x v="26"/>
    <n v="8.5199999999999998E-3"/>
    <n v="31.02984"/>
    <s v="KL"/>
    <x v="2"/>
    <x v="12"/>
    <s v="Q1"/>
    <n v="132"/>
    <n v="27.59090909090909"/>
    <s v="EDF"/>
    <n v="1"/>
    <n v="3642"/>
    <n v="31.02984"/>
    <n v="27.59090909090909"/>
  </r>
  <r>
    <n v="68890247"/>
    <x v="2"/>
    <n v="0"/>
    <d v="2023-02-10T00:00:00"/>
    <x v="243"/>
    <x v="13"/>
    <n v="8.5170239596469088E-6"/>
    <n v="0"/>
    <s v="BR"/>
    <x v="2"/>
    <x v="2"/>
    <s v="Q1"/>
    <n v="176"/>
    <n v="0"/>
    <s v="48oz"/>
    <n v="1"/>
    <n v="0"/>
    <n v="0"/>
    <n v="0"/>
  </r>
  <r>
    <n v="68896057"/>
    <x v="2"/>
    <n v="2240"/>
    <d v="2023-02-10T00:00:00"/>
    <x v="46"/>
    <x v="13"/>
    <n v="8.5199999999999998E-3"/>
    <n v="19.084800000000001"/>
    <s v="BR"/>
    <x v="2"/>
    <x v="2"/>
    <s v="Q1"/>
    <n v="176"/>
    <n v="12.727272727272727"/>
    <s v="48oz"/>
    <n v="1"/>
    <n v="2240"/>
    <n v="19.084800000000001"/>
    <n v="12.727272727272727"/>
  </r>
  <r>
    <n v="68896057"/>
    <x v="2"/>
    <n v="10931"/>
    <d v="2023-02-10T00:00:00"/>
    <x v="46"/>
    <x v="13"/>
    <n v="8.5199999999999998E-3"/>
    <n v="93.13212"/>
    <s v="BR"/>
    <x v="2"/>
    <x v="2"/>
    <s v="Q1"/>
    <n v="176"/>
    <n v="62.107954545454547"/>
    <s v="48oz"/>
    <n v="1"/>
    <n v="10931"/>
    <n v="93.13212"/>
    <n v="62.107954545454547"/>
  </r>
  <r>
    <n v="68914406"/>
    <x v="2"/>
    <n v="6991"/>
    <d v="2023-02-10T00:00:00"/>
    <x v="78"/>
    <x v="27"/>
    <n v="2.124E-3"/>
    <n v="14.848884"/>
    <s v="KL"/>
    <x v="2"/>
    <x v="9"/>
    <s v="Q1"/>
    <n v="352"/>
    <n v="19.860795454545453"/>
    <s v="ESS"/>
    <n v="1"/>
    <n v="6991"/>
    <n v="14.848884"/>
    <n v="19.860795454545453"/>
  </r>
  <r>
    <n v="68919011"/>
    <x v="0"/>
    <n v="15333"/>
    <d v="2023-02-10T00:00:00"/>
    <x v="247"/>
    <x v="1"/>
    <n v="3.7839999999999996E-3"/>
    <n v="58.020071999999992"/>
    <s v="BR"/>
    <x v="2"/>
    <x v="38"/>
    <s v="Q1"/>
    <n v="240"/>
    <n v="63.887500000000003"/>
    <s v="PTS"/>
    <n v="1"/>
    <n v="15333"/>
    <n v="58.020071999999992"/>
    <n v="63.887500000000003"/>
  </r>
  <r>
    <n v="69548143"/>
    <x v="3"/>
    <n v="5030"/>
    <d v="2023-02-10T00:00:00"/>
    <x v="159"/>
    <x v="36"/>
    <n v="3.192E-3"/>
    <n v="16.055759999999999"/>
    <s v="KL"/>
    <x v="2"/>
    <x v="28"/>
    <s v="Q1"/>
    <n v="345"/>
    <n v="14.579710144927537"/>
    <s v="EFW"/>
    <n v="1"/>
    <n v="5030"/>
    <n v="16.055759999999999"/>
    <n v="14.579710144927537"/>
  </r>
  <r>
    <n v="69551489"/>
    <x v="3"/>
    <n v="4679"/>
    <d v="2023-02-10T00:00:00"/>
    <x v="4"/>
    <x v="4"/>
    <n v="3.8989043190215313E-3"/>
    <n v="18.242973308701746"/>
    <s v="GH"/>
    <x v="2"/>
    <x v="4"/>
    <s v="Q1"/>
    <n v="154"/>
    <n v="30.383116883116884"/>
    <s v="MBG"/>
    <n v="1"/>
    <n v="4679"/>
    <n v="18.242973308701746"/>
    <n v="30.383116883116884"/>
  </r>
  <r>
    <n v="69555093"/>
    <x v="2"/>
    <n v="0"/>
    <d v="2023-02-10T00:00:00"/>
    <x v="229"/>
    <x v="14"/>
    <n v="1.98E-3"/>
    <n v="0"/>
    <s v="TA"/>
    <x v="2"/>
    <x v="42"/>
    <s v="Q1"/>
    <n v="176"/>
    <n v="0"/>
    <s v="TAL NV"/>
    <n v="1"/>
    <n v="0"/>
    <n v="0"/>
    <n v="0"/>
  </r>
  <r>
    <n v="69564623"/>
    <x v="2"/>
    <n v="11687"/>
    <d v="2023-02-10T00:00:00"/>
    <x v="238"/>
    <x v="2"/>
    <n v="8.5199999999999998E-3"/>
    <n v="99.573239999999998"/>
    <s v="BR"/>
    <x v="2"/>
    <x v="2"/>
    <s v="Q1"/>
    <n v="176"/>
    <n v="66.403409090909093"/>
    <s v="48oz"/>
    <n v="1"/>
    <n v="11687"/>
    <n v="99.573239999999998"/>
    <n v="66.403409090909093"/>
  </r>
  <r>
    <n v="69564623"/>
    <x v="2"/>
    <n v="1548"/>
    <d v="2023-02-10T00:00:00"/>
    <x v="238"/>
    <x v="2"/>
    <n v="8.5199999999999998E-3"/>
    <n v="13.18896"/>
    <s v="BR"/>
    <x v="2"/>
    <x v="2"/>
    <s v="Q1"/>
    <n v="176"/>
    <n v="8.795454545454545"/>
    <s v="48oz"/>
    <n v="1"/>
    <n v="1548"/>
    <n v="13.18896"/>
    <n v="8.795454545454545"/>
  </r>
  <r>
    <n v="69571484"/>
    <x v="2"/>
    <n v="0"/>
    <d v="2023-02-10T00:00:00"/>
    <x v="230"/>
    <x v="5"/>
    <n v="1.2960000000000001E-2"/>
    <n v="0"/>
    <s v="MG"/>
    <x v="2"/>
    <x v="5"/>
    <s v="Q1"/>
    <n v="493"/>
    <n v="0"/>
    <s v="MG Sticks"/>
    <n v="1"/>
    <n v="0"/>
    <n v="0"/>
    <n v="0"/>
  </r>
  <r>
    <n v="69621212"/>
    <x v="2"/>
    <n v="4699"/>
    <d v="2023-02-10T00:00:00"/>
    <x v="29"/>
    <x v="28"/>
    <n v="5.2680000000000001E-3"/>
    <n v="24.754332000000002"/>
    <s v="PG"/>
    <x v="2"/>
    <x v="14"/>
    <s v="Q1"/>
    <n v="130"/>
    <n v="36.146153846153844"/>
    <s v="PG"/>
    <n v="1"/>
    <n v="4699"/>
    <n v="24.754332000000002"/>
    <n v="36.146153846153844"/>
  </r>
  <r>
    <n v="69671652"/>
    <x v="3"/>
    <n v="0"/>
    <d v="2023-02-10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3980"/>
    <d v="2023-02-10T00:00:00"/>
    <x v="30"/>
    <x v="29"/>
    <n v="5.2680000000000001E-3"/>
    <n v="20.966640000000002"/>
    <s v="PS"/>
    <x v="2"/>
    <x v="3"/>
    <s v="Q1"/>
    <n v="108"/>
    <n v="36.851851851851855"/>
    <s v="PG"/>
    <n v="1"/>
    <n v="3980"/>
    <n v="20.966640000000002"/>
    <n v="36.851851851851855"/>
  </r>
  <r>
    <n v="69677917"/>
    <x v="2"/>
    <n v="2369"/>
    <d v="2023-02-10T00:00:00"/>
    <x v="30"/>
    <x v="30"/>
    <n v="5.2680000000000001E-3"/>
    <n v="12.479892"/>
    <s v="PS"/>
    <x v="2"/>
    <x v="14"/>
    <s v="Q1"/>
    <n v="108"/>
    <n v="21.935185185185187"/>
    <s v="PG"/>
    <n v="1"/>
    <n v="2369"/>
    <n v="12.479892"/>
    <n v="21.935185185185187"/>
  </r>
  <r>
    <n v="69684522"/>
    <x v="2"/>
    <n v="0"/>
    <d v="2023-02-10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0"/>
    <d v="2023-02-10T00:00:00"/>
    <x v="69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6598"/>
    <d v="2023-02-10T00:00:00"/>
    <x v="69"/>
    <x v="31"/>
    <n v="4.2560000000000002E-3"/>
    <n v="28.081088000000001"/>
    <s v="BR"/>
    <x v="2"/>
    <x v="5"/>
    <s v="Q1"/>
    <n v="143"/>
    <n v="46.13986013986014"/>
    <s v="MG Sticks"/>
    <n v="1"/>
    <n v="6598"/>
    <n v="28.081088000000001"/>
    <n v="46.13986013986014"/>
  </r>
  <r>
    <n v="69691790"/>
    <x v="2"/>
    <n v="1127"/>
    <d v="2023-02-10T00:00:00"/>
    <x v="212"/>
    <x v="22"/>
    <n v="3.7839999999999996E-3"/>
    <n v="4.2645679999999997"/>
    <s v="TA"/>
    <x v="2"/>
    <x v="10"/>
    <s v="Q1"/>
    <n v="255"/>
    <n v="4.4196078431372552"/>
    <s v="TALENTI"/>
    <n v="1"/>
    <n v="1127"/>
    <n v="4.2645679999999997"/>
    <n v="4.4196078431372552"/>
  </r>
  <r>
    <n v="84135718"/>
    <x v="13"/>
    <n v="86474"/>
    <d v="2023-02-10T00:00:00"/>
    <x v="147"/>
    <x v="38"/>
    <n v="3.7853439999999999E-3"/>
    <n v="327.33383705599999"/>
    <s v="BJ"/>
    <x v="2"/>
    <x v="36"/>
    <s v="Q1"/>
    <n v="240"/>
    <n v="360.30833333333334"/>
    <s v="BJ PTS"/>
    <n v="1"/>
    <n v="86474"/>
    <n v="327.33383705599999"/>
    <n v="360.30833333333334"/>
  </r>
  <r>
    <n v="84135758"/>
    <x v="5"/>
    <n v="4561"/>
    <d v="2023-02-10T00:00:00"/>
    <x v="130"/>
    <x v="33"/>
    <n v="1.4399999999999999E-3"/>
    <n v="6.5678399999999995"/>
    <s v="BJ"/>
    <x v="2"/>
    <x v="16"/>
    <s v="Q1"/>
    <n v="510"/>
    <n v="8.943137254901961"/>
    <s v="B&amp;J Cups"/>
    <n v="1"/>
    <n v="4561"/>
    <n v="6.5678399999999995"/>
    <n v="8.943137254901961"/>
  </r>
  <r>
    <n v="84146285"/>
    <x v="5"/>
    <n v="0"/>
    <d v="2023-02-10T00:00:00"/>
    <x v="248"/>
    <x v="38"/>
    <n v="3.7853439999999999E-3"/>
    <n v="0"/>
    <s v="BJ"/>
    <x v="2"/>
    <x v="15"/>
    <s v="Q1"/>
    <n v="240"/>
    <n v="0"/>
    <s v="BJ PTS"/>
    <n v="1"/>
    <n v="0"/>
    <n v="0"/>
    <n v="0"/>
  </r>
  <r>
    <n v="84150071"/>
    <x v="5"/>
    <n v="20851"/>
    <d v="2023-02-10T00:00:00"/>
    <x v="117"/>
    <x v="33"/>
    <n v="1.4384307203870285E-3"/>
    <n v="29.992718950789932"/>
    <s v="BJ"/>
    <x v="2"/>
    <x v="31"/>
    <s v="Q1"/>
    <n v="510"/>
    <n v="40.884313725490195"/>
    <s v="Cup Exports"/>
    <n v="1"/>
    <n v="20851"/>
    <n v="29.992718950789932"/>
    <n v="40.884313725490195"/>
  </r>
  <r>
    <n v="67309841"/>
    <x v="2"/>
    <n v="18685"/>
    <d v="2023-02-11T00:00:00"/>
    <x v="32"/>
    <x v="32"/>
    <n v="8.5199999999999998E-3"/>
    <n v="159.1962"/>
    <s v="BR"/>
    <x v="2"/>
    <x v="2"/>
    <s v="Q1"/>
    <n v="154"/>
    <n v="121.33116883116882"/>
    <s v="48oz"/>
    <n v="1"/>
    <n v="18685"/>
    <n v="159.1962"/>
    <n v="121.33116883116882"/>
  </r>
  <r>
    <n v="67309841"/>
    <x v="2"/>
    <n v="3417"/>
    <d v="2023-02-11T00:00:00"/>
    <x v="32"/>
    <x v="32"/>
    <n v="8.5199999999999998E-3"/>
    <n v="29.112839999999998"/>
    <s v="BR"/>
    <x v="2"/>
    <x v="2"/>
    <s v="Q1"/>
    <n v="154"/>
    <n v="22.188311688311689"/>
    <s v="48oz"/>
    <n v="1"/>
    <n v="3417"/>
    <n v="29.112839999999998"/>
    <n v="22.188311688311689"/>
  </r>
  <r>
    <n v="67309843"/>
    <x v="3"/>
    <n v="0"/>
    <d v="2023-02-11T00:00:00"/>
    <x v="88"/>
    <x v="12"/>
    <n v="8.5199999999999998E-3"/>
    <n v="0"/>
    <s v="BR"/>
    <x v="2"/>
    <x v="6"/>
    <s v="Q1"/>
    <n v="154"/>
    <n v="0"/>
    <s v="48oz"/>
    <n v="1"/>
    <n v="0"/>
    <n v="0"/>
    <n v="0"/>
  </r>
  <r>
    <n v="67466492"/>
    <x v="3"/>
    <n v="3758"/>
    <d v="2023-02-11T00:00:00"/>
    <x v="8"/>
    <x v="6"/>
    <n v="5.2680000000000001E-3"/>
    <n v="19.797143999999999"/>
    <s v="PS"/>
    <x v="2"/>
    <x v="3"/>
    <s v="Q1"/>
    <n v="130"/>
    <n v="28.907692307692308"/>
    <s v="PG"/>
    <n v="1"/>
    <n v="3758"/>
    <n v="19.797143999999999"/>
    <n v="28.907692307692308"/>
  </r>
  <r>
    <n v="67466492"/>
    <x v="3"/>
    <n v="3420"/>
    <d v="2023-02-11T00:00:00"/>
    <x v="8"/>
    <x v="8"/>
    <n v="5.2680000000000001E-3"/>
    <n v="18.016560000000002"/>
    <s v="PS"/>
    <x v="2"/>
    <x v="3"/>
    <s v="Q1"/>
    <n v="130"/>
    <n v="26.307692307692307"/>
    <s v="PG"/>
    <n v="1"/>
    <n v="3420"/>
    <n v="18.016560000000002"/>
    <n v="26.307692307692307"/>
  </r>
  <r>
    <n v="67476560"/>
    <x v="3"/>
    <n v="2802"/>
    <d v="2023-02-11T00:00:00"/>
    <x v="10"/>
    <x v="10"/>
    <n v="5.1060000000000003E-3"/>
    <n v="14.307012"/>
    <s v="PS"/>
    <x v="2"/>
    <x v="3"/>
    <s v="Q1"/>
    <n v="130"/>
    <n v="21.553846153846155"/>
    <s v="PG"/>
    <n v="1"/>
    <n v="2802"/>
    <n v="14.307012"/>
    <n v="21.553846153846155"/>
  </r>
  <r>
    <n v="67867261"/>
    <x v="5"/>
    <n v="16080"/>
    <d v="2023-02-11T00:00:00"/>
    <x v="110"/>
    <x v="35"/>
    <n v="3.7853439999999999E-3"/>
    <n v="60.868331519999998"/>
    <s v="BJ"/>
    <x v="2"/>
    <x v="15"/>
    <s v="Q1"/>
    <n v="240"/>
    <n v="67"/>
    <s v="BJ PTS"/>
    <n v="1"/>
    <n v="16080"/>
    <n v="60.868331519999998"/>
    <n v="67"/>
  </r>
  <r>
    <n v="67885716"/>
    <x v="3"/>
    <n v="14014"/>
    <d v="2023-02-11T00:00:00"/>
    <x v="89"/>
    <x v="11"/>
    <n v="8.5199999999999998E-3"/>
    <n v="119.39927999999999"/>
    <s v="BR"/>
    <x v="2"/>
    <x v="6"/>
    <s v="Q1"/>
    <n v="154"/>
    <n v="91"/>
    <s v="48oz"/>
    <n v="1"/>
    <n v="14014"/>
    <n v="119.39927999999999"/>
    <n v="91"/>
  </r>
  <r>
    <n v="67885718"/>
    <x v="3"/>
    <n v="11640"/>
    <d v="2023-02-11T00:00:00"/>
    <x v="48"/>
    <x v="12"/>
    <n v="8.5199999999999998E-3"/>
    <n v="99.172799999999995"/>
    <s v="BR"/>
    <x v="2"/>
    <x v="6"/>
    <s v="Q1"/>
    <n v="154"/>
    <n v="75.584415584415581"/>
    <s v="48oz"/>
    <n v="1"/>
    <n v="11640"/>
    <n v="99.172799999999995"/>
    <n v="75.584415584415581"/>
  </r>
  <r>
    <n v="67901583"/>
    <x v="3"/>
    <n v="0"/>
    <d v="2023-02-11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92"/>
    <x v="2"/>
    <n v="4759"/>
    <d v="2023-02-11T00:00:00"/>
    <x v="240"/>
    <x v="32"/>
    <n v="8.5199999999999998E-3"/>
    <n v="40.546680000000002"/>
    <s v="BR"/>
    <x v="2"/>
    <x v="2"/>
    <s v="Q1"/>
    <n v="154"/>
    <n v="30.902597402597401"/>
    <s v="48oz"/>
    <n v="1"/>
    <n v="4759"/>
    <n v="40.546680000000002"/>
    <n v="30.902597402597401"/>
  </r>
  <r>
    <n v="67901593"/>
    <x v="2"/>
    <n v="0"/>
    <d v="2023-02-11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11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631026"/>
    <x v="2"/>
    <n v="1210"/>
    <d v="2023-02-11T00:00:00"/>
    <x v="249"/>
    <x v="2"/>
    <n v="8.5199999999999998E-3"/>
    <n v="10.309200000000001"/>
    <s v="BR"/>
    <x v="2"/>
    <x v="2"/>
    <s v="Q1"/>
    <n v="154"/>
    <n v="7.8571428571428568"/>
    <s v="48oz"/>
    <n v="1"/>
    <n v="1210"/>
    <n v="10.309200000000001"/>
    <n v="7.8571428571428568"/>
  </r>
  <r>
    <n v="68689251"/>
    <x v="3"/>
    <n v="3458"/>
    <d v="2023-02-11T00:00:00"/>
    <x v="17"/>
    <x v="17"/>
    <n v="9.5760000000000012E-3"/>
    <n v="33.113808000000006"/>
    <s v="KL"/>
    <x v="2"/>
    <x v="8"/>
    <s v="Q1"/>
    <n v="132"/>
    <n v="26.196969696969695"/>
    <s v="EDF"/>
    <n v="1"/>
    <n v="3458"/>
    <n v="33.113808000000006"/>
    <n v="26.196969696969695"/>
  </r>
  <r>
    <n v="68689251"/>
    <x v="3"/>
    <n v="1050"/>
    <d v="2023-02-11T00:00:00"/>
    <x v="17"/>
    <x v="17"/>
    <n v="9.5760000000000012E-3"/>
    <n v="10.054800000000002"/>
    <s v="KL"/>
    <x v="2"/>
    <x v="8"/>
    <s v="Q1"/>
    <n v="132"/>
    <n v="7.9545454545454541"/>
    <s v="EDF"/>
    <n v="1"/>
    <n v="1050"/>
    <n v="10.054800000000002"/>
    <n v="7.9545454545454541"/>
  </r>
  <r>
    <n v="68709233"/>
    <x v="3"/>
    <n v="6953"/>
    <d v="2023-02-11T00:00:00"/>
    <x v="19"/>
    <x v="20"/>
    <n v="8.4960000000000001E-3"/>
    <n v="59.072687999999999"/>
    <s v="KL"/>
    <x v="2"/>
    <x v="8"/>
    <s v="Q1"/>
    <n v="132"/>
    <n v="52.674242424242422"/>
    <s v="EDF"/>
    <n v="1"/>
    <n v="6953"/>
    <n v="59.072687999999999"/>
    <n v="52.674242424242422"/>
  </r>
  <r>
    <n v="68730233"/>
    <x v="2"/>
    <n v="0"/>
    <d v="2023-02-11T00:00:00"/>
    <x v="212"/>
    <x v="21"/>
    <n v="3.7853440000000004E-3"/>
    <n v="0"/>
    <s v="TA"/>
    <x v="2"/>
    <x v="10"/>
    <s v="Q1"/>
    <n v="255"/>
    <n v="0"/>
    <s v="TALENTI"/>
    <n v="1"/>
    <n v="0"/>
    <n v="0"/>
    <n v="0"/>
  </r>
  <r>
    <n v="68730233"/>
    <x v="2"/>
    <n v="0"/>
    <d v="2023-02-11T00:00:00"/>
    <x v="212"/>
    <x v="22"/>
    <n v="3.7853440000000004E-3"/>
    <n v="0"/>
    <s v="TA"/>
    <x v="2"/>
    <x v="10"/>
    <s v="Q1"/>
    <n v="255"/>
    <n v="0"/>
    <s v="TALENTI"/>
    <n v="1"/>
    <n v="0"/>
    <n v="0"/>
    <n v="0"/>
  </r>
  <r>
    <n v="68730257"/>
    <x v="2"/>
    <n v="30247"/>
    <d v="2023-02-11T00:00:00"/>
    <x v="75"/>
    <x v="21"/>
    <n v="3.7853440000000004E-3"/>
    <n v="114.49529996800001"/>
    <s v="TA"/>
    <x v="2"/>
    <x v="10"/>
    <s v="Q1"/>
    <n v="255"/>
    <n v="118.6156862745098"/>
    <s v="TALENTI"/>
    <n v="1"/>
    <n v="30247"/>
    <n v="114.49529996800001"/>
    <n v="118.6156862745098"/>
  </r>
  <r>
    <n v="68741714"/>
    <x v="3"/>
    <n v="6377"/>
    <d v="2023-02-11T00:00:00"/>
    <x v="24"/>
    <x v="24"/>
    <n v="2.8319999999999999E-3"/>
    <n v="18.059663999999998"/>
    <s v="GH"/>
    <x v="2"/>
    <x v="4"/>
    <s v="Q1"/>
    <n v="225"/>
    <n v="28.342222222222222"/>
    <s v="MBG"/>
    <n v="1"/>
    <n v="6377"/>
    <n v="18.059663999999998"/>
    <n v="28.342222222222222"/>
  </r>
  <r>
    <n v="68741742"/>
    <x v="2"/>
    <n v="2666"/>
    <d v="2023-02-11T00:00:00"/>
    <x v="25"/>
    <x v="25"/>
    <n v="4.2560000000000002E-3"/>
    <n v="11.346496"/>
    <s v="GH"/>
    <x v="2"/>
    <x v="11"/>
    <s v="Q1"/>
    <n v="154"/>
    <n v="17.311688311688311"/>
    <s v="MBG"/>
    <n v="1"/>
    <n v="2666"/>
    <n v="11.346496"/>
    <n v="17.311688311688311"/>
  </r>
  <r>
    <n v="68782716"/>
    <x v="2"/>
    <n v="0"/>
    <d v="2023-02-11T00:00:00"/>
    <x v="246"/>
    <x v="22"/>
    <n v="3.7853440000000004E-3"/>
    <n v="0"/>
    <s v="TA"/>
    <x v="2"/>
    <x v="10"/>
    <s v="Q1"/>
    <n v="255"/>
    <n v="0"/>
    <s v="TALENTI"/>
    <n v="1"/>
    <n v="0"/>
    <n v="0"/>
    <n v="0"/>
  </r>
  <r>
    <n v="68852583"/>
    <x v="2"/>
    <n v="4907"/>
    <d v="2023-02-11T00:00:00"/>
    <x v="227"/>
    <x v="26"/>
    <n v="8.5199999999999998E-3"/>
    <n v="41.807639999999999"/>
    <s v="KL"/>
    <x v="2"/>
    <x v="12"/>
    <s v="Q1"/>
    <n v="132"/>
    <n v="37.174242424242422"/>
    <s v="EDF"/>
    <n v="1"/>
    <n v="4907"/>
    <n v="41.807639999999999"/>
    <n v="37.174242424242422"/>
  </r>
  <r>
    <n v="68890246"/>
    <x v="3"/>
    <n v="0"/>
    <d v="2023-02-11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0246"/>
    <x v="3"/>
    <n v="0"/>
    <d v="2023-02-11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0247"/>
    <x v="2"/>
    <n v="0"/>
    <d v="2023-02-11T00:00:00"/>
    <x v="243"/>
    <x v="13"/>
    <n v="8.5170239596469088E-6"/>
    <n v="0"/>
    <s v="BR"/>
    <x v="2"/>
    <x v="2"/>
    <s v="Q1"/>
    <n v="176"/>
    <n v="0"/>
    <s v="48oz"/>
    <n v="1"/>
    <n v="0"/>
    <n v="0"/>
    <n v="0"/>
  </r>
  <r>
    <n v="68896057"/>
    <x v="2"/>
    <n v="10815"/>
    <d v="2023-02-11T00:00:00"/>
    <x v="46"/>
    <x v="13"/>
    <n v="8.5199999999999998E-3"/>
    <n v="92.143799999999999"/>
    <s v="BR"/>
    <x v="2"/>
    <x v="2"/>
    <s v="Q1"/>
    <n v="176"/>
    <n v="61.448863636363633"/>
    <s v="48oz"/>
    <n v="1"/>
    <n v="10815"/>
    <n v="92.143799999999999"/>
    <n v="61.448863636363633"/>
  </r>
  <r>
    <n v="69551489"/>
    <x v="3"/>
    <n v="5733"/>
    <d v="2023-02-11T00:00:00"/>
    <x v="4"/>
    <x v="4"/>
    <n v="3.8989043190215313E-3"/>
    <n v="22.352418460950439"/>
    <s v="GH"/>
    <x v="2"/>
    <x v="4"/>
    <s v="Q1"/>
    <n v="154"/>
    <n v="37.227272727272727"/>
    <s v="MBG"/>
    <n v="1"/>
    <n v="5733"/>
    <n v="22.352418460950439"/>
    <n v="37.227272727272727"/>
  </r>
  <r>
    <n v="69564623"/>
    <x v="2"/>
    <n v="8757"/>
    <d v="2023-02-11T00:00:00"/>
    <x v="238"/>
    <x v="2"/>
    <n v="8.5199999999999998E-3"/>
    <n v="74.609639999999999"/>
    <s v="BR"/>
    <x v="2"/>
    <x v="2"/>
    <s v="Q1"/>
    <n v="176"/>
    <n v="49.75568181818182"/>
    <s v="48oz"/>
    <n v="1"/>
    <n v="8757"/>
    <n v="74.609639999999999"/>
    <n v="49.75568181818182"/>
  </r>
  <r>
    <n v="69621212"/>
    <x v="2"/>
    <n v="5690"/>
    <d v="2023-02-11T00:00:00"/>
    <x v="29"/>
    <x v="28"/>
    <n v="5.2680000000000001E-3"/>
    <n v="29.974920000000001"/>
    <s v="PG"/>
    <x v="2"/>
    <x v="14"/>
    <s v="Q1"/>
    <n v="130"/>
    <n v="43.769230769230766"/>
    <s v="PG"/>
    <n v="1"/>
    <n v="5690"/>
    <n v="29.974920000000001"/>
    <n v="43.769230769230766"/>
  </r>
  <r>
    <n v="69671652"/>
    <x v="3"/>
    <n v="0"/>
    <d v="2023-02-11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4288"/>
    <d v="2023-02-11T00:00:00"/>
    <x v="30"/>
    <x v="29"/>
    <n v="5.2680000000000001E-3"/>
    <n v="22.589183999999999"/>
    <s v="PS"/>
    <x v="2"/>
    <x v="3"/>
    <s v="Q1"/>
    <n v="108"/>
    <n v="39.703703703703702"/>
    <s v="PG"/>
    <n v="1"/>
    <n v="4288"/>
    <n v="22.589183999999999"/>
    <n v="39.703703703703702"/>
  </r>
  <r>
    <n v="69677917"/>
    <x v="2"/>
    <n v="3862"/>
    <d v="2023-02-11T00:00:00"/>
    <x v="30"/>
    <x v="30"/>
    <n v="5.2680000000000001E-3"/>
    <n v="20.345016000000001"/>
    <s v="PS"/>
    <x v="2"/>
    <x v="14"/>
    <s v="Q1"/>
    <n v="108"/>
    <n v="35.75925925925926"/>
    <s v="PG"/>
    <n v="1"/>
    <n v="3862"/>
    <n v="20.345016000000001"/>
    <n v="35.75925925925926"/>
  </r>
  <r>
    <n v="69677917"/>
    <x v="2"/>
    <n v="0"/>
    <d v="2023-02-11T00:00:00"/>
    <x v="30"/>
    <x v="30"/>
    <n v="5.2680000000000001E-3"/>
    <n v="0"/>
    <s v="PS"/>
    <x v="2"/>
    <x v="14"/>
    <s v="Q1"/>
    <n v="108"/>
    <n v="0"/>
    <s v="PG"/>
    <n v="1"/>
    <n v="0"/>
    <n v="0"/>
    <n v="0"/>
  </r>
  <r>
    <n v="69691790"/>
    <x v="2"/>
    <n v="0"/>
    <d v="2023-02-11T00:00:00"/>
    <x v="212"/>
    <x v="21"/>
    <n v="3.7839999999999996E-3"/>
    <n v="0"/>
    <s v="TA"/>
    <x v="2"/>
    <x v="10"/>
    <s v="Q1"/>
    <n v="255"/>
    <n v="0"/>
    <s v="TALENTI"/>
    <n v="1"/>
    <n v="0"/>
    <n v="0"/>
    <n v="0"/>
  </r>
  <r>
    <n v="84150840"/>
    <x v="5"/>
    <n v="0"/>
    <d v="2023-02-11T00:00:00"/>
    <x v="251"/>
    <x v="33"/>
    <n v="1.4399999999999999E-3"/>
    <n v="0"/>
    <s v="BJ"/>
    <x v="2"/>
    <x v="16"/>
    <s v="Q1"/>
    <n v="510"/>
    <n v="0"/>
    <s v="B&amp;J Cups"/>
    <n v="1"/>
    <n v="0"/>
    <n v="0"/>
    <n v="0"/>
  </r>
  <r>
    <n v="67309843"/>
    <x v="3"/>
    <n v="4491"/>
    <d v="2023-02-12T00:00:00"/>
    <x v="88"/>
    <x v="12"/>
    <n v="8.5199999999999998E-3"/>
    <n v="38.26332"/>
    <s v="BR"/>
    <x v="2"/>
    <x v="6"/>
    <s v="Q1"/>
    <n v="154"/>
    <n v="29.162337662337663"/>
    <s v="48oz"/>
    <n v="1"/>
    <n v="4491"/>
    <n v="38.26332"/>
    <n v="29.162337662337663"/>
  </r>
  <r>
    <n v="67465063"/>
    <x v="3"/>
    <n v="0"/>
    <d v="2023-02-12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12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4558"/>
    <d v="2023-02-12T00:00:00"/>
    <x v="8"/>
    <x v="6"/>
    <n v="5.2680000000000001E-3"/>
    <n v="24.011544000000001"/>
    <s v="PS"/>
    <x v="2"/>
    <x v="3"/>
    <s v="Q1"/>
    <n v="130"/>
    <n v="35.061538461538461"/>
    <s v="PG"/>
    <n v="1"/>
    <n v="4558"/>
    <n v="24.011544000000001"/>
    <n v="35.061538461538461"/>
  </r>
  <r>
    <n v="67466492"/>
    <x v="3"/>
    <n v="0"/>
    <d v="2023-02-12T00:00:00"/>
    <x v="8"/>
    <x v="7"/>
    <n v="5.2680000000000001E-3"/>
    <n v="0"/>
    <s v="PS"/>
    <x v="2"/>
    <x v="3"/>
    <s v="Q1"/>
    <n v="130"/>
    <n v="0"/>
    <s v="PG"/>
    <n v="1"/>
    <n v="0"/>
    <n v="0"/>
    <n v="0"/>
  </r>
  <r>
    <n v="67466492"/>
    <x v="3"/>
    <n v="3278"/>
    <d v="2023-02-12T00:00:00"/>
    <x v="8"/>
    <x v="8"/>
    <n v="5.2680000000000001E-3"/>
    <n v="17.268504"/>
    <s v="PS"/>
    <x v="2"/>
    <x v="3"/>
    <s v="Q1"/>
    <n v="130"/>
    <n v="25.215384615384615"/>
    <s v="PG"/>
    <n v="1"/>
    <n v="3278"/>
    <n v="17.268504"/>
    <n v="25.215384615384615"/>
  </r>
  <r>
    <n v="67466492"/>
    <x v="3"/>
    <n v="0"/>
    <d v="2023-02-12T00:00:00"/>
    <x v="8"/>
    <x v="9"/>
    <n v="5.2680000000000001E-3"/>
    <n v="0"/>
    <s v="PS"/>
    <x v="2"/>
    <x v="3"/>
    <s v="Q1"/>
    <n v="130"/>
    <n v="0"/>
    <s v="PG"/>
    <n v="1"/>
    <n v="0"/>
    <n v="0"/>
    <n v="0"/>
  </r>
  <r>
    <n v="67476560"/>
    <x v="3"/>
    <n v="603"/>
    <d v="2023-02-12T00:00:00"/>
    <x v="10"/>
    <x v="10"/>
    <n v="5.1060000000000003E-3"/>
    <n v="3.0789180000000003"/>
    <s v="PS"/>
    <x v="2"/>
    <x v="3"/>
    <s v="Q1"/>
    <n v="130"/>
    <n v="4.6384615384615389"/>
    <s v="PG"/>
    <n v="1"/>
    <n v="603"/>
    <n v="3.0789180000000003"/>
    <n v="4.6384615384615389"/>
  </r>
  <r>
    <n v="67885716"/>
    <x v="3"/>
    <n v="10538"/>
    <d v="2023-02-12T00:00:00"/>
    <x v="89"/>
    <x v="11"/>
    <n v="8.5199999999999998E-3"/>
    <n v="89.783760000000001"/>
    <s v="BR"/>
    <x v="2"/>
    <x v="6"/>
    <s v="Q1"/>
    <n v="154"/>
    <n v="68.428571428571431"/>
    <s v="48oz"/>
    <n v="1"/>
    <n v="10538"/>
    <n v="89.783760000000001"/>
    <n v="68.428571428571431"/>
  </r>
  <r>
    <n v="67885718"/>
    <x v="3"/>
    <n v="9436"/>
    <d v="2023-02-12T00:00:00"/>
    <x v="48"/>
    <x v="12"/>
    <n v="8.5199999999999998E-3"/>
    <n v="80.394719999999992"/>
    <s v="BR"/>
    <x v="2"/>
    <x v="6"/>
    <s v="Q1"/>
    <n v="154"/>
    <n v="61.272727272727273"/>
    <s v="48oz"/>
    <n v="1"/>
    <n v="9436"/>
    <n v="80.394719999999992"/>
    <n v="61.272727272727273"/>
  </r>
  <r>
    <n v="67901583"/>
    <x v="3"/>
    <n v="0"/>
    <d v="2023-02-12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92"/>
    <x v="2"/>
    <n v="853"/>
    <d v="2023-02-12T00:00:00"/>
    <x v="240"/>
    <x v="32"/>
    <n v="8.5199999999999998E-3"/>
    <n v="7.2675599999999996"/>
    <s v="BR"/>
    <x v="2"/>
    <x v="2"/>
    <s v="Q1"/>
    <n v="154"/>
    <n v="5.5389610389610393"/>
    <s v="48oz"/>
    <n v="1"/>
    <n v="853"/>
    <n v="7.2675599999999996"/>
    <n v="5.5389610389610393"/>
  </r>
  <r>
    <n v="67901592"/>
    <x v="2"/>
    <n v="0"/>
    <d v="2023-02-12T00:00:00"/>
    <x v="240"/>
    <x v="32"/>
    <n v="8.5199999999999998E-3"/>
    <n v="0"/>
    <s v="BR"/>
    <x v="2"/>
    <x v="2"/>
    <s v="Q1"/>
    <n v="154"/>
    <n v="0"/>
    <s v="48oz"/>
    <n v="1"/>
    <n v="0"/>
    <n v="0"/>
    <n v="0"/>
  </r>
  <r>
    <n v="67901593"/>
    <x v="2"/>
    <n v="20064"/>
    <d v="2023-02-12T00:00:00"/>
    <x v="68"/>
    <x v="32"/>
    <n v="8.5199999999999998E-3"/>
    <n v="170.94528"/>
    <s v="BR"/>
    <x v="2"/>
    <x v="2"/>
    <s v="Q1"/>
    <n v="154"/>
    <n v="130.28571428571428"/>
    <s v="48oz"/>
    <n v="1"/>
    <n v="20064"/>
    <n v="170.94528"/>
    <n v="130.28571428571428"/>
  </r>
  <r>
    <n v="67908208"/>
    <x v="2"/>
    <n v="0"/>
    <d v="2023-02-12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54588"/>
    <x v="2"/>
    <n v="0"/>
    <d v="2023-02-12T00:00:00"/>
    <x v="173"/>
    <x v="15"/>
    <n v="3.5999999999999999E-3"/>
    <n v="0"/>
    <s v="BJ"/>
    <x v="2"/>
    <x v="19"/>
    <s v="Q1"/>
    <n v="240"/>
    <n v="0"/>
    <s v="TOPPED"/>
    <n v="1"/>
    <n v="0"/>
    <n v="0"/>
    <n v="0"/>
  </r>
  <r>
    <n v="68631026"/>
    <x v="2"/>
    <n v="12168"/>
    <d v="2023-02-12T00:00:00"/>
    <x v="249"/>
    <x v="2"/>
    <n v="8.5199999999999998E-3"/>
    <n v="103.67135999999999"/>
    <s v="BR"/>
    <x v="2"/>
    <x v="2"/>
    <s v="Q1"/>
    <n v="154"/>
    <n v="79.012987012987011"/>
    <s v="48oz"/>
    <n v="1"/>
    <n v="12168"/>
    <n v="103.67135999999999"/>
    <n v="79.012987012987011"/>
  </r>
  <r>
    <n v="68649099"/>
    <x v="2"/>
    <n v="2173"/>
    <d v="2023-02-12T00:00:00"/>
    <x v="252"/>
    <x v="5"/>
    <n v="2.4150494713151304E-3"/>
    <n v="5.2479025011677782"/>
    <s v="MG"/>
    <x v="2"/>
    <x v="5"/>
    <s v="Q1"/>
    <n v="210"/>
    <n v="10.347619047619048"/>
    <s v="MG Sticks"/>
    <n v="1"/>
    <n v="2173"/>
    <n v="5.2479025011677782"/>
    <n v="10.347619047619048"/>
  </r>
  <r>
    <n v="68689251"/>
    <x v="3"/>
    <n v="7398"/>
    <d v="2023-02-12T00:00:00"/>
    <x v="17"/>
    <x v="17"/>
    <n v="9.5760000000000012E-3"/>
    <n v="70.843248000000003"/>
    <s v="KL"/>
    <x v="2"/>
    <x v="8"/>
    <s v="Q1"/>
    <n v="132"/>
    <n v="56.045454545454547"/>
    <s v="EDF"/>
    <n v="1"/>
    <n v="7398"/>
    <n v="70.843248000000003"/>
    <n v="56.045454545454547"/>
  </r>
  <r>
    <n v="68709233"/>
    <x v="3"/>
    <n v="1819"/>
    <d v="2023-02-12T00:00:00"/>
    <x v="19"/>
    <x v="20"/>
    <n v="8.4960000000000001E-3"/>
    <n v="15.454224"/>
    <s v="KL"/>
    <x v="2"/>
    <x v="8"/>
    <s v="Q1"/>
    <n v="132"/>
    <n v="13.780303030303031"/>
    <s v="EDF"/>
    <n v="1"/>
    <n v="1819"/>
    <n v="15.454224"/>
    <n v="13.780303030303031"/>
  </r>
  <r>
    <n v="68709233"/>
    <x v="3"/>
    <n v="2724"/>
    <d v="2023-02-12T00:00:00"/>
    <x v="19"/>
    <x v="20"/>
    <n v="8.4960000000000001E-3"/>
    <n v="23.143104000000001"/>
    <s v="KL"/>
    <x v="2"/>
    <x v="8"/>
    <s v="Q1"/>
    <n v="132"/>
    <n v="20.636363636363637"/>
    <s v="EDF"/>
    <n v="1"/>
    <n v="2724"/>
    <n v="23.143104000000001"/>
    <n v="20.636363636363637"/>
  </r>
  <r>
    <n v="68730257"/>
    <x v="2"/>
    <n v="0"/>
    <d v="2023-02-12T00:00:00"/>
    <x v="75"/>
    <x v="21"/>
    <n v="3.7853440000000004E-3"/>
    <n v="0"/>
    <s v="TA"/>
    <x v="2"/>
    <x v="10"/>
    <s v="Q1"/>
    <n v="255"/>
    <n v="0"/>
    <s v="TALENTI"/>
    <n v="1"/>
    <n v="0"/>
    <n v="0"/>
    <n v="0"/>
  </r>
  <r>
    <n v="68741714"/>
    <x v="3"/>
    <n v="7789"/>
    <d v="2023-02-12T00:00:00"/>
    <x v="24"/>
    <x v="24"/>
    <n v="2.8319999999999999E-3"/>
    <n v="22.058447999999999"/>
    <s v="GH"/>
    <x v="2"/>
    <x v="4"/>
    <s v="Q1"/>
    <n v="225"/>
    <n v="34.617777777777775"/>
    <s v="MBG"/>
    <n v="1"/>
    <n v="7789"/>
    <n v="22.058447999999999"/>
    <n v="34.617777777777775"/>
  </r>
  <r>
    <n v="68741742"/>
    <x v="2"/>
    <n v="1150"/>
    <d v="2023-02-12T00:00:00"/>
    <x v="25"/>
    <x v="25"/>
    <n v="4.2560000000000002E-3"/>
    <n v="4.8944000000000001"/>
    <s v="GH"/>
    <x v="2"/>
    <x v="11"/>
    <s v="Q1"/>
    <n v="154"/>
    <n v="7.4675324675324672"/>
    <s v="MBG"/>
    <n v="1"/>
    <n v="1150"/>
    <n v="4.8944000000000001"/>
    <n v="7.4675324675324672"/>
  </r>
  <r>
    <n v="68852583"/>
    <x v="2"/>
    <n v="3239"/>
    <d v="2023-02-12T00:00:00"/>
    <x v="227"/>
    <x v="26"/>
    <n v="8.5199999999999998E-3"/>
    <n v="27.59628"/>
    <s v="KL"/>
    <x v="2"/>
    <x v="12"/>
    <s v="Q1"/>
    <n v="132"/>
    <n v="24.537878787878789"/>
    <s v="EDF"/>
    <n v="1"/>
    <n v="3239"/>
    <n v="27.59628"/>
    <n v="24.537878787878789"/>
  </r>
  <r>
    <n v="68890246"/>
    <x v="3"/>
    <n v="0"/>
    <d v="2023-02-12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0246"/>
    <x v="3"/>
    <n v="0"/>
    <d v="2023-02-12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0246"/>
    <x v="3"/>
    <n v="0"/>
    <d v="2023-02-12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0247"/>
    <x v="2"/>
    <n v="7075"/>
    <d v="2023-02-12T00:00:00"/>
    <x v="243"/>
    <x v="13"/>
    <n v="8.5170239596469088E-6"/>
    <n v="6.0257944514501879E-2"/>
    <s v="BR"/>
    <x v="2"/>
    <x v="2"/>
    <s v="Q1"/>
    <n v="176"/>
    <n v="40.198863636363633"/>
    <s v="48oz"/>
    <n v="1"/>
    <n v="7075"/>
    <n v="6.0257944514501879E-2"/>
    <n v="40.198863636363633"/>
  </r>
  <r>
    <n v="69551489"/>
    <x v="3"/>
    <n v="6374"/>
    <d v="2023-02-12T00:00:00"/>
    <x v="4"/>
    <x v="4"/>
    <n v="3.8989043190215313E-3"/>
    <n v="24.85161612944324"/>
    <s v="GH"/>
    <x v="2"/>
    <x v="4"/>
    <s v="Q1"/>
    <n v="154"/>
    <n v="41.38961038961039"/>
    <s v="MBG"/>
    <n v="1"/>
    <n v="6374"/>
    <n v="24.85161612944324"/>
    <n v="41.38961038961039"/>
  </r>
  <r>
    <n v="69621212"/>
    <x v="2"/>
    <n v="5533"/>
    <d v="2023-02-12T00:00:00"/>
    <x v="29"/>
    <x v="28"/>
    <n v="5.2680000000000001E-3"/>
    <n v="29.147843999999999"/>
    <s v="PG"/>
    <x v="2"/>
    <x v="14"/>
    <s v="Q1"/>
    <n v="130"/>
    <n v="42.561538461538461"/>
    <s v="PG"/>
    <n v="1"/>
    <n v="5533"/>
    <n v="29.147843999999999"/>
    <n v="42.561538461538461"/>
  </r>
  <r>
    <n v="69671652"/>
    <x v="3"/>
    <n v="0"/>
    <d v="2023-02-12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4535"/>
    <d v="2023-02-12T00:00:00"/>
    <x v="30"/>
    <x v="29"/>
    <n v="5.2680000000000001E-3"/>
    <n v="23.89038"/>
    <s v="PS"/>
    <x v="2"/>
    <x v="3"/>
    <s v="Q1"/>
    <n v="108"/>
    <n v="41.99074074074074"/>
    <s v="PG"/>
    <n v="1"/>
    <n v="4535"/>
    <n v="23.89038"/>
    <n v="41.99074074074074"/>
  </r>
  <r>
    <n v="69677917"/>
    <x v="2"/>
    <n v="4413"/>
    <d v="2023-02-12T00:00:00"/>
    <x v="30"/>
    <x v="30"/>
    <n v="5.2680000000000001E-3"/>
    <n v="23.247684"/>
    <s v="PS"/>
    <x v="2"/>
    <x v="14"/>
    <s v="Q1"/>
    <n v="108"/>
    <n v="40.861111111111114"/>
    <s v="PG"/>
    <n v="1"/>
    <n v="4413"/>
    <n v="23.247684"/>
    <n v="40.861111111111114"/>
  </r>
  <r>
    <n v="69691790"/>
    <x v="2"/>
    <n v="15802"/>
    <d v="2023-02-12T00:00:00"/>
    <x v="212"/>
    <x v="22"/>
    <n v="3.7839999999999996E-3"/>
    <n v="59.794767999999991"/>
    <s v="TA"/>
    <x v="2"/>
    <x v="10"/>
    <s v="Q1"/>
    <n v="255"/>
    <n v="61.968627450980392"/>
    <s v="TALENTI"/>
    <n v="1"/>
    <n v="15802"/>
    <n v="59.794767999999991"/>
    <n v="61.968627450980392"/>
  </r>
  <r>
    <n v="69691790"/>
    <x v="2"/>
    <n v="0"/>
    <d v="2023-02-12T00:00:00"/>
    <x v="212"/>
    <x v="22"/>
    <n v="3.7839999999999996E-3"/>
    <n v="0"/>
    <s v="TA"/>
    <x v="2"/>
    <x v="10"/>
    <s v="Q1"/>
    <n v="255"/>
    <n v="0"/>
    <s v="TALENTI"/>
    <n v="1"/>
    <n v="0"/>
    <n v="0"/>
    <n v="0"/>
  </r>
  <r>
    <n v="69691840"/>
    <x v="2"/>
    <n v="0"/>
    <d v="2023-02-12T00:00:00"/>
    <x v="106"/>
    <x v="21"/>
    <n v="3.7839999999999996E-3"/>
    <n v="0"/>
    <s v="TA"/>
    <x v="2"/>
    <x v="10"/>
    <s v="Q1"/>
    <n v="255"/>
    <n v="0"/>
    <s v="TALENTI"/>
    <n v="1"/>
    <n v="0"/>
    <n v="0"/>
    <n v="0"/>
  </r>
  <r>
    <n v="69691840"/>
    <x v="2"/>
    <n v="0"/>
    <d v="2023-02-12T00:00:00"/>
    <x v="106"/>
    <x v="21"/>
    <n v="3.7839999999999996E-3"/>
    <n v="0"/>
    <s v="TA"/>
    <x v="2"/>
    <x v="10"/>
    <s v="Q1"/>
    <n v="255"/>
    <n v="0"/>
    <s v="TALENTI"/>
    <n v="1"/>
    <n v="0"/>
    <n v="0"/>
    <n v="0"/>
  </r>
  <r>
    <n v="67278345"/>
    <x v="5"/>
    <n v="14384"/>
    <d v="2023-02-13T00:00:00"/>
    <x v="100"/>
    <x v="33"/>
    <n v="3.7853439999999999E-3"/>
    <n v="54.448388096000002"/>
    <s v="BJ"/>
    <x v="2"/>
    <x v="15"/>
    <s v="Q1"/>
    <n v="240"/>
    <n v="59.93333333333333"/>
    <s v="BJ PTS"/>
    <n v="1"/>
    <n v="14384"/>
    <n v="54.448388096000002"/>
    <n v="59.93333333333333"/>
  </r>
  <r>
    <n v="67309843"/>
    <x v="3"/>
    <n v="3267"/>
    <d v="2023-02-13T00:00:00"/>
    <x v="88"/>
    <x v="12"/>
    <n v="8.5199999999999998E-3"/>
    <n v="27.83484"/>
    <s v="BR"/>
    <x v="2"/>
    <x v="6"/>
    <s v="Q1"/>
    <n v="154"/>
    <n v="21.214285714285715"/>
    <s v="48oz"/>
    <n v="1"/>
    <n v="3267"/>
    <n v="27.83484"/>
    <n v="21.214285714285715"/>
  </r>
  <r>
    <n v="67309843"/>
    <x v="3"/>
    <n v="0"/>
    <d v="2023-02-13T00:00:00"/>
    <x v="88"/>
    <x v="16"/>
    <n v="8.5199999999999998E-3"/>
    <n v="0"/>
    <s v="BR"/>
    <x v="2"/>
    <x v="6"/>
    <s v="Q1"/>
    <n v="154"/>
    <n v="0"/>
    <s v="48oz"/>
    <n v="1"/>
    <n v="0"/>
    <n v="0"/>
    <n v="0"/>
  </r>
  <r>
    <n v="67465063"/>
    <x v="3"/>
    <n v="0"/>
    <d v="2023-02-13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13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2437"/>
    <d v="2023-02-13T00:00:00"/>
    <x v="7"/>
    <x v="3"/>
    <n v="1.596E-3"/>
    <n v="3.8894519999999999"/>
    <s v="PS"/>
    <x v="2"/>
    <x v="3"/>
    <s v="Q1"/>
    <n v="130"/>
    <n v="18.746153846153845"/>
    <s v="PG"/>
    <n v="1"/>
    <n v="2437"/>
    <n v="3.8894519999999999"/>
    <n v="18.746153846153845"/>
  </r>
  <r>
    <n v="67466492"/>
    <x v="3"/>
    <n v="4512"/>
    <d v="2023-02-13T00:00:00"/>
    <x v="8"/>
    <x v="6"/>
    <n v="5.2680000000000001E-3"/>
    <n v="23.769216"/>
    <s v="PS"/>
    <x v="2"/>
    <x v="3"/>
    <s v="Q1"/>
    <n v="130"/>
    <n v="34.707692307692305"/>
    <s v="PG"/>
    <n v="1"/>
    <n v="4512"/>
    <n v="23.769216"/>
    <n v="34.707692307692305"/>
  </r>
  <r>
    <n v="67466492"/>
    <x v="3"/>
    <n v="5897"/>
    <d v="2023-02-13T00:00:00"/>
    <x v="8"/>
    <x v="7"/>
    <n v="5.2680000000000001E-3"/>
    <n v="31.065396"/>
    <s v="PS"/>
    <x v="2"/>
    <x v="3"/>
    <s v="Q1"/>
    <n v="130"/>
    <n v="45.361538461538458"/>
    <s v="PG"/>
    <n v="1"/>
    <n v="5897"/>
    <n v="31.065396"/>
    <n v="45.361538461538458"/>
  </r>
  <r>
    <n v="67466492"/>
    <x v="3"/>
    <n v="1407"/>
    <d v="2023-02-13T00:00:00"/>
    <x v="8"/>
    <x v="8"/>
    <n v="5.2680000000000001E-3"/>
    <n v="7.4120759999999999"/>
    <s v="PS"/>
    <x v="2"/>
    <x v="3"/>
    <s v="Q1"/>
    <n v="130"/>
    <n v="10.823076923076924"/>
    <s v="PG"/>
    <n v="1"/>
    <n v="1407"/>
    <n v="7.4120759999999999"/>
    <n v="10.823076923076924"/>
  </r>
  <r>
    <n v="67466492"/>
    <x v="3"/>
    <n v="3858"/>
    <d v="2023-02-13T00:00:00"/>
    <x v="8"/>
    <x v="9"/>
    <n v="5.2680000000000001E-3"/>
    <n v="20.323944000000001"/>
    <s v="PS"/>
    <x v="2"/>
    <x v="3"/>
    <s v="Q1"/>
    <n v="130"/>
    <n v="29.676923076923078"/>
    <s v="PG"/>
    <n v="1"/>
    <n v="3858"/>
    <n v="20.323944000000001"/>
    <n v="29.676923076923078"/>
  </r>
  <r>
    <n v="67723726"/>
    <x v="3"/>
    <n v="6867"/>
    <d v="2023-02-13T00:00:00"/>
    <x v="109"/>
    <x v="23"/>
    <n v="8.5199999999999998E-3"/>
    <n v="58.506839999999997"/>
    <s v="BR"/>
    <x v="2"/>
    <x v="6"/>
    <s v="Q1"/>
    <n v="154"/>
    <n v="44.590909090909093"/>
    <s v="48oz"/>
    <n v="1"/>
    <n v="6867"/>
    <n v="58.506839999999997"/>
    <n v="44.590909090909093"/>
  </r>
  <r>
    <n v="67736697"/>
    <x v="5"/>
    <n v="8062"/>
    <d v="2023-02-13T00:00:00"/>
    <x v="253"/>
    <x v="35"/>
    <n v="3.7853439999999999E-3"/>
    <n v="30.517443327999999"/>
    <s v="BJ"/>
    <x v="2"/>
    <x v="15"/>
    <s v="Q1"/>
    <n v="240"/>
    <n v="33.591666666666669"/>
    <s v="BJ PTS"/>
    <n v="1"/>
    <n v="8062"/>
    <n v="30.517443327999999"/>
    <n v="33.591666666666669"/>
  </r>
  <r>
    <n v="67867261"/>
    <x v="5"/>
    <n v="10758"/>
    <d v="2023-02-13T00:00:00"/>
    <x v="110"/>
    <x v="35"/>
    <n v="3.7853439999999999E-3"/>
    <n v="40.722730751999997"/>
    <s v="BJ"/>
    <x v="2"/>
    <x v="15"/>
    <s v="Q1"/>
    <n v="240"/>
    <n v="44.825000000000003"/>
    <s v="BJ PTS"/>
    <n v="1"/>
    <n v="10758"/>
    <n v="40.722730751999997"/>
    <n v="44.825000000000003"/>
  </r>
  <r>
    <n v="67881629"/>
    <x v="5"/>
    <n v="43920"/>
    <d v="2023-02-13T00:00:00"/>
    <x v="65"/>
    <x v="33"/>
    <n v="3.7853439999999999E-3"/>
    <n v="166.25230848000001"/>
    <s v="BJ"/>
    <x v="2"/>
    <x v="15"/>
    <s v="Q1"/>
    <n v="240"/>
    <n v="183"/>
    <s v="BJ PTS"/>
    <n v="1"/>
    <n v="43920"/>
    <n v="166.25230848000001"/>
    <n v="183"/>
  </r>
  <r>
    <n v="67885716"/>
    <x v="3"/>
    <n v="11774"/>
    <d v="2023-02-13T00:00:00"/>
    <x v="89"/>
    <x v="11"/>
    <n v="8.5199999999999998E-3"/>
    <n v="100.31448"/>
    <s v="BR"/>
    <x v="2"/>
    <x v="6"/>
    <s v="Q1"/>
    <n v="154"/>
    <n v="76.454545454545453"/>
    <s v="48oz"/>
    <n v="1"/>
    <n v="11774"/>
    <n v="100.31448"/>
    <n v="76.454545454545453"/>
  </r>
  <r>
    <n v="67885718"/>
    <x v="3"/>
    <n v="0"/>
    <d v="2023-02-13T00:00:00"/>
    <x v="48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2"/>
    <n v="0"/>
    <d v="2023-02-13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93539"/>
    <x v="2"/>
    <n v="1848"/>
    <d v="2023-02-13T00:00:00"/>
    <x v="12"/>
    <x v="2"/>
    <n v="8.5199999999999998E-3"/>
    <n v="15.744959999999999"/>
    <s v="BR"/>
    <x v="2"/>
    <x v="2"/>
    <s v="Q1"/>
    <n v="154"/>
    <n v="12"/>
    <s v="48oz"/>
    <n v="1"/>
    <n v="1848"/>
    <n v="15.744959999999999"/>
    <n v="12"/>
  </r>
  <r>
    <n v="67901593"/>
    <x v="2"/>
    <n v="22176"/>
    <d v="2023-02-13T00:00:00"/>
    <x v="68"/>
    <x v="32"/>
    <n v="8.5199999999999998E-3"/>
    <n v="188.93951999999999"/>
    <s v="BR"/>
    <x v="2"/>
    <x v="2"/>
    <s v="Q1"/>
    <n v="154"/>
    <n v="144"/>
    <s v="48oz"/>
    <n v="1"/>
    <n v="22176"/>
    <n v="188.93951999999999"/>
    <n v="144"/>
  </r>
  <r>
    <n v="67908208"/>
    <x v="2"/>
    <n v="0"/>
    <d v="2023-02-13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0738"/>
    <x v="3"/>
    <n v="6323"/>
    <d v="2023-02-13T00:00:00"/>
    <x v="120"/>
    <x v="19"/>
    <n v="8.4960000000000001E-3"/>
    <n v="53.720208"/>
    <s v="KL"/>
    <x v="2"/>
    <x v="8"/>
    <s v="Q1"/>
    <n v="132"/>
    <n v="47.901515151515149"/>
    <s v="EDF"/>
    <n v="1"/>
    <n v="6323"/>
    <n v="53.720208"/>
    <n v="47.901515151515149"/>
  </r>
  <r>
    <n v="68354588"/>
    <x v="2"/>
    <n v="14952"/>
    <d v="2023-02-13T00:00:00"/>
    <x v="173"/>
    <x v="15"/>
    <n v="3.5999999999999999E-3"/>
    <n v="53.827199999999998"/>
    <s v="BJ"/>
    <x v="2"/>
    <x v="19"/>
    <s v="Q1"/>
    <n v="240"/>
    <n v="62.3"/>
    <s v="TOPPED"/>
    <n v="1"/>
    <n v="14952"/>
    <n v="53.827199999999998"/>
    <n v="62.3"/>
  </r>
  <r>
    <n v="68356102"/>
    <x v="2"/>
    <n v="0"/>
    <d v="2023-02-13T00:00:00"/>
    <x v="13"/>
    <x v="13"/>
    <n v="8.513999999999999E-3"/>
    <n v="0"/>
    <s v="BR"/>
    <x v="2"/>
    <x v="2"/>
    <s v="Q1"/>
    <n v="154"/>
    <n v="0"/>
    <s v="48oz"/>
    <n v="1"/>
    <n v="0"/>
    <n v="0"/>
    <n v="0"/>
  </r>
  <r>
    <n v="68410352"/>
    <x v="2"/>
    <n v="5593"/>
    <d v="2023-02-13T00:00:00"/>
    <x v="14"/>
    <x v="14"/>
    <n v="1.98E-3"/>
    <n v="11.07414"/>
    <s v="MG"/>
    <x v="2"/>
    <x v="5"/>
    <s v="Q1"/>
    <n v="176"/>
    <n v="31.77840909090909"/>
    <s v="MG Sticks"/>
    <n v="1"/>
    <n v="5593"/>
    <n v="11.07414"/>
    <n v="31.77840909090909"/>
  </r>
  <r>
    <n v="68631026"/>
    <x v="2"/>
    <n v="6175"/>
    <d v="2023-02-13T00:00:00"/>
    <x v="249"/>
    <x v="2"/>
    <n v="8.5199999999999998E-3"/>
    <n v="52.610999999999997"/>
    <s v="BR"/>
    <x v="2"/>
    <x v="2"/>
    <s v="Q1"/>
    <n v="154"/>
    <n v="40.097402597402599"/>
    <s v="48oz"/>
    <n v="1"/>
    <n v="6175"/>
    <n v="52.610999999999997"/>
    <n v="40.097402597402599"/>
  </r>
  <r>
    <n v="68631026"/>
    <x v="2"/>
    <n v="0"/>
    <d v="2023-02-13T00:00:00"/>
    <x v="249"/>
    <x v="2"/>
    <n v="8.5199999999999998E-3"/>
    <n v="0"/>
    <s v="BR"/>
    <x v="2"/>
    <x v="2"/>
    <s v="Q1"/>
    <n v="154"/>
    <n v="0"/>
    <s v="48oz"/>
    <n v="1"/>
    <n v="0"/>
    <n v="0"/>
    <n v="0"/>
  </r>
  <r>
    <n v="68649099"/>
    <x v="2"/>
    <n v="4660"/>
    <d v="2023-02-13T00:00:00"/>
    <x v="252"/>
    <x v="5"/>
    <n v="2.4150494713151304E-3"/>
    <n v="11.254130536328509"/>
    <s v="MG"/>
    <x v="2"/>
    <x v="5"/>
    <s v="Q1"/>
    <n v="210"/>
    <n v="22.19047619047619"/>
    <s v="MG Sticks"/>
    <n v="1"/>
    <n v="4660"/>
    <n v="11.254130536328509"/>
    <n v="22.19047619047619"/>
  </r>
  <r>
    <n v="68656230"/>
    <x v="3"/>
    <n v="9534"/>
    <d v="2023-02-13T00:00:00"/>
    <x v="124"/>
    <x v="16"/>
    <n v="8.5199999999999998E-3"/>
    <n v="81.229680000000002"/>
    <s v="BR"/>
    <x v="2"/>
    <x v="6"/>
    <s v="Q1"/>
    <n v="154"/>
    <n v="61.909090909090907"/>
    <s v="48oz"/>
    <n v="1"/>
    <n v="9534"/>
    <n v="81.229680000000002"/>
    <n v="61.909090909090907"/>
  </r>
  <r>
    <n v="68689251"/>
    <x v="3"/>
    <n v="6378"/>
    <d v="2023-02-13T00:00:00"/>
    <x v="17"/>
    <x v="17"/>
    <n v="9.5760000000000012E-3"/>
    <n v="61.075728000000005"/>
    <s v="KL"/>
    <x v="2"/>
    <x v="8"/>
    <s v="Q1"/>
    <n v="132"/>
    <n v="48.31818181818182"/>
    <s v="EDF"/>
    <n v="1"/>
    <n v="6378"/>
    <n v="61.075728000000005"/>
    <n v="48.31818181818182"/>
  </r>
  <r>
    <n v="68689253"/>
    <x v="2"/>
    <n v="2689"/>
    <d v="2023-02-13T00:00:00"/>
    <x v="125"/>
    <x v="18"/>
    <n v="6.0035555555555554E-3"/>
    <n v="16.143560888888889"/>
    <s v="KL"/>
    <x v="2"/>
    <x v="9"/>
    <s v="Q1"/>
    <n v="120"/>
    <n v="22.408333333333335"/>
    <s v="ESS"/>
    <n v="1"/>
    <n v="2689"/>
    <n v="16.143560888888889"/>
    <n v="22.408333333333335"/>
  </r>
  <r>
    <n v="68709233"/>
    <x v="3"/>
    <n v="5932"/>
    <d v="2023-02-13T00:00:00"/>
    <x v="19"/>
    <x v="20"/>
    <n v="8.4960000000000001E-3"/>
    <n v="50.398271999999999"/>
    <s v="KL"/>
    <x v="2"/>
    <x v="8"/>
    <s v="Q1"/>
    <n v="132"/>
    <n v="44.939393939393938"/>
    <s v="EDF"/>
    <n v="1"/>
    <n v="5932"/>
    <n v="50.398271999999999"/>
    <n v="44.939393939393938"/>
  </r>
  <r>
    <n v="68741714"/>
    <x v="3"/>
    <n v="913"/>
    <d v="2023-02-13T00:00:00"/>
    <x v="24"/>
    <x v="24"/>
    <n v="2.8319999999999999E-3"/>
    <n v="2.5856159999999999"/>
    <s v="GH"/>
    <x v="2"/>
    <x v="4"/>
    <s v="Q1"/>
    <n v="225"/>
    <n v="4.0577777777777779"/>
    <s v="MBG"/>
    <n v="1"/>
    <n v="913"/>
    <n v="2.5856159999999999"/>
    <n v="4.0577777777777779"/>
  </r>
  <r>
    <n v="68741742"/>
    <x v="2"/>
    <n v="5148"/>
    <d v="2023-02-13T00:00:00"/>
    <x v="25"/>
    <x v="25"/>
    <n v="4.2560000000000002E-3"/>
    <n v="21.909888000000002"/>
    <s v="GH"/>
    <x v="2"/>
    <x v="11"/>
    <s v="Q1"/>
    <n v="154"/>
    <n v="33.428571428571431"/>
    <s v="MBG"/>
    <n v="1"/>
    <n v="5148"/>
    <n v="21.909888000000002"/>
    <n v="33.428571428571431"/>
  </r>
  <r>
    <n v="68852583"/>
    <x v="2"/>
    <n v="99"/>
    <d v="2023-02-13T00:00:00"/>
    <x v="227"/>
    <x v="26"/>
    <n v="8.5199999999999998E-3"/>
    <n v="0.84348000000000001"/>
    <s v="KL"/>
    <x v="2"/>
    <x v="12"/>
    <s v="Q1"/>
    <n v="132"/>
    <n v="0.75"/>
    <s v="EDF"/>
    <n v="1"/>
    <n v="99"/>
    <n v="0.84348000000000001"/>
    <n v="0.75"/>
  </r>
  <r>
    <n v="68852591"/>
    <x v="2"/>
    <n v="0"/>
    <d v="2023-02-13T00:00:00"/>
    <x v="26"/>
    <x v="26"/>
    <n v="8.5199999999999998E-3"/>
    <n v="0"/>
    <s v="KL"/>
    <x v="2"/>
    <x v="12"/>
    <s v="Q1"/>
    <n v="132"/>
    <n v="0"/>
    <s v="EDF"/>
    <n v="1"/>
    <n v="0"/>
    <n v="0"/>
    <n v="0"/>
  </r>
  <r>
    <n v="68890246"/>
    <x v="3"/>
    <n v="0"/>
    <d v="2023-02-13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0246"/>
    <x v="3"/>
    <n v="6357"/>
    <d v="2023-02-13T00:00:00"/>
    <x v="250"/>
    <x v="12"/>
    <n v="5.1101999999999995E-2"/>
    <n v="324.85541399999994"/>
    <s v="BR"/>
    <x v="2"/>
    <x v="6"/>
    <s v="Q1"/>
    <n v="176"/>
    <n v="36.11931818181818"/>
    <s v="48oz"/>
    <n v="1"/>
    <n v="6357"/>
    <n v="324.85541399999994"/>
    <n v="36.11931818181818"/>
  </r>
  <r>
    <n v="68890247"/>
    <x v="2"/>
    <n v="13485"/>
    <d v="2023-02-13T00:00:00"/>
    <x v="243"/>
    <x v="13"/>
    <n v="8.5170239596469088E-6"/>
    <n v="0.11485206809583856"/>
    <s v="BR"/>
    <x v="2"/>
    <x v="2"/>
    <s v="Q1"/>
    <n v="176"/>
    <n v="76.619318181818187"/>
    <s v="48oz"/>
    <n v="1"/>
    <n v="13485"/>
    <n v="0.11485206809583856"/>
    <n v="76.619318181818187"/>
  </r>
  <r>
    <n v="68914406"/>
    <x v="2"/>
    <n v="6818"/>
    <d v="2023-02-13T00:00:00"/>
    <x v="78"/>
    <x v="27"/>
    <n v="2.124E-3"/>
    <n v="14.481432"/>
    <s v="KL"/>
    <x v="2"/>
    <x v="9"/>
    <s v="Q1"/>
    <n v="352"/>
    <n v="19.369318181818183"/>
    <s v="ESS"/>
    <n v="1"/>
    <n v="6818"/>
    <n v="14.481432"/>
    <n v="19.369318181818183"/>
  </r>
  <r>
    <n v="69548143"/>
    <x v="3"/>
    <n v="0"/>
    <d v="2023-02-13T00:00:00"/>
    <x v="159"/>
    <x v="36"/>
    <n v="3.192E-3"/>
    <n v="0"/>
    <s v="KL"/>
    <x v="2"/>
    <x v="28"/>
    <s v="Q1"/>
    <n v="345"/>
    <n v="0"/>
    <s v="EFW"/>
    <n v="1"/>
    <n v="0"/>
    <n v="0"/>
    <n v="0"/>
  </r>
  <r>
    <n v="69549219"/>
    <x v="2"/>
    <n v="0"/>
    <d v="2023-02-13T00:00:00"/>
    <x v="96"/>
    <x v="5"/>
    <n v="1.2227999999999999E-5"/>
    <n v="0"/>
    <s v="MG"/>
    <x v="2"/>
    <x v="5"/>
    <s v="Q1"/>
    <n v="493"/>
    <n v="0"/>
    <s v="MG Sticks"/>
    <n v="1"/>
    <n v="0"/>
    <n v="0"/>
    <n v="0"/>
  </r>
  <r>
    <n v="69551489"/>
    <x v="3"/>
    <n v="2463"/>
    <d v="2023-02-13T00:00:00"/>
    <x v="4"/>
    <x v="4"/>
    <n v="3.8989043190215313E-3"/>
    <n v="9.6030013377500314"/>
    <s v="GH"/>
    <x v="2"/>
    <x v="4"/>
    <s v="Q1"/>
    <n v="154"/>
    <n v="15.993506493506494"/>
    <s v="MBG"/>
    <n v="1"/>
    <n v="2463"/>
    <n v="9.6030013377500314"/>
    <n v="15.993506493506494"/>
  </r>
  <r>
    <n v="69555090"/>
    <x v="2"/>
    <n v="0"/>
    <d v="2023-02-13T00:00:00"/>
    <x v="254"/>
    <x v="14"/>
    <n v="1.98E-3"/>
    <n v="0"/>
    <s v="TA"/>
    <x v="2"/>
    <x v="42"/>
    <s v="Q1"/>
    <n v="176"/>
    <n v="0"/>
    <s v="TAL NV"/>
    <n v="1"/>
    <n v="0"/>
    <n v="0"/>
    <n v="0"/>
  </r>
  <r>
    <n v="69621212"/>
    <x v="2"/>
    <n v="5703"/>
    <d v="2023-02-13T00:00:00"/>
    <x v="29"/>
    <x v="28"/>
    <n v="5.2680000000000001E-3"/>
    <n v="30.043403999999999"/>
    <s v="PG"/>
    <x v="2"/>
    <x v="14"/>
    <s v="Q1"/>
    <n v="130"/>
    <n v="43.869230769230768"/>
    <s v="PG"/>
    <n v="1"/>
    <n v="5703"/>
    <n v="30.043403999999999"/>
    <n v="43.869230769230768"/>
  </r>
  <r>
    <n v="69671652"/>
    <x v="3"/>
    <n v="0"/>
    <d v="2023-02-13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4469"/>
    <d v="2023-02-13T00:00:00"/>
    <x v="30"/>
    <x v="29"/>
    <n v="5.2680000000000001E-3"/>
    <n v="23.542691999999999"/>
    <s v="PS"/>
    <x v="2"/>
    <x v="3"/>
    <s v="Q1"/>
    <n v="108"/>
    <n v="41.379629629629626"/>
    <s v="PG"/>
    <n v="1"/>
    <n v="4469"/>
    <n v="23.542691999999999"/>
    <n v="41.379629629629626"/>
  </r>
  <r>
    <n v="69677917"/>
    <x v="2"/>
    <n v="3466"/>
    <d v="2023-02-13T00:00:00"/>
    <x v="30"/>
    <x v="30"/>
    <n v="5.2680000000000001E-3"/>
    <n v="18.258887999999999"/>
    <s v="PS"/>
    <x v="2"/>
    <x v="14"/>
    <s v="Q1"/>
    <n v="108"/>
    <n v="32.092592592592595"/>
    <s v="PG"/>
    <n v="1"/>
    <n v="3466"/>
    <n v="18.258887999999999"/>
    <n v="32.092592592592595"/>
  </r>
  <r>
    <n v="69684522"/>
    <x v="2"/>
    <n v="429"/>
    <d v="2023-02-13T00:00:00"/>
    <x v="31"/>
    <x v="31"/>
    <n v="4.2560000000000002E-3"/>
    <n v="1.8258240000000001"/>
    <s v="BR"/>
    <x v="2"/>
    <x v="5"/>
    <s v="Q1"/>
    <n v="143"/>
    <n v="3"/>
    <s v="MG Sticks"/>
    <n v="1"/>
    <n v="429"/>
    <n v="1.8258240000000001"/>
    <n v="3"/>
  </r>
  <r>
    <n v="84135718"/>
    <x v="13"/>
    <n v="53760"/>
    <d v="2023-02-13T00:00:00"/>
    <x v="147"/>
    <x v="38"/>
    <n v="3.7853439999999999E-3"/>
    <n v="203.50009344"/>
    <s v="BJ"/>
    <x v="2"/>
    <x v="36"/>
    <s v="Q1"/>
    <n v="240"/>
    <n v="224"/>
    <s v="BJ PTS"/>
    <n v="1"/>
    <n v="53760"/>
    <n v="203.50009344"/>
    <n v="224"/>
  </r>
  <r>
    <n v="84137725"/>
    <x v="13"/>
    <n v="66240"/>
    <d v="2023-02-13T00:00:00"/>
    <x v="132"/>
    <x v="33"/>
    <n v="3.7853439999999999E-3"/>
    <n v="250.74118655999999"/>
    <s v="BJ"/>
    <x v="2"/>
    <x v="36"/>
    <s v="Q1"/>
    <n v="240"/>
    <n v="276"/>
    <s v="BJ PTS"/>
    <n v="1"/>
    <n v="66240"/>
    <n v="250.74118655999999"/>
    <n v="276"/>
  </r>
  <r>
    <n v="84137725"/>
    <x v="13"/>
    <n v="30954"/>
    <d v="2023-02-13T00:00:00"/>
    <x v="132"/>
    <x v="33"/>
    <n v="3.7853439999999999E-3"/>
    <n v="117.171538176"/>
    <s v="BJ"/>
    <x v="2"/>
    <x v="36"/>
    <s v="Q1"/>
    <n v="240"/>
    <n v="128.97499999999999"/>
    <s v="BJ PTS"/>
    <n v="1"/>
    <n v="30954"/>
    <n v="117.171538176"/>
    <n v="128.97499999999999"/>
  </r>
  <r>
    <n v="84141101"/>
    <x v="5"/>
    <n v="47895"/>
    <d v="2023-02-13T00:00:00"/>
    <x v="86"/>
    <x v="33"/>
    <n v="3.7853439999999999E-3"/>
    <n v="181.29905088000001"/>
    <s v="BJ"/>
    <x v="2"/>
    <x v="15"/>
    <s v="Q1"/>
    <n v="240"/>
    <n v="199.5625"/>
    <s v="BJ PTS"/>
    <n v="1"/>
    <n v="47895"/>
    <n v="181.29905088000001"/>
    <n v="199.5625"/>
  </r>
  <r>
    <n v="84151113"/>
    <x v="5"/>
    <n v="14835"/>
    <d v="2023-02-13T00:00:00"/>
    <x v="161"/>
    <x v="33"/>
    <n v="1.419504E-3"/>
    <n v="21.058341840000001"/>
    <s v="BJ"/>
    <x v="2"/>
    <x v="31"/>
    <s v="Q1"/>
    <n v="510"/>
    <n v="29.088235294117649"/>
    <s v="Cup Exports"/>
    <n v="1"/>
    <n v="14835"/>
    <n v="21.058341840000001"/>
    <n v="29.088235294117649"/>
  </r>
  <r>
    <n v="84161610"/>
    <x v="5"/>
    <n v="0"/>
    <d v="2023-02-13T00:00:00"/>
    <x v="99"/>
    <x v="38"/>
    <n v="3.7853439999999999E-3"/>
    <n v="0"/>
    <s v="BJ"/>
    <x v="2"/>
    <x v="15"/>
    <s v="Q1"/>
    <n v="240"/>
    <n v="0"/>
    <s v="BJ PTS"/>
    <n v="1"/>
    <n v="0"/>
    <n v="0"/>
    <n v="0"/>
  </r>
  <r>
    <n v="84162846"/>
    <x v="5"/>
    <n v="5234"/>
    <d v="2023-02-13T00:00:00"/>
    <x v="255"/>
    <x v="33"/>
    <n v="1.4384307203870285E-3"/>
    <n v="7.5287463905057077"/>
    <s v="BJ"/>
    <x v="2"/>
    <x v="31"/>
    <s v="Q1"/>
    <n v="510"/>
    <n v="10.262745098039217"/>
    <s v="Cup Exports"/>
    <n v="1"/>
    <n v="5234"/>
    <n v="7.5287463905057077"/>
    <n v="10.262745098039217"/>
  </r>
  <r>
    <n v="67309843"/>
    <x v="3"/>
    <n v="0"/>
    <d v="2023-02-14T00:00:00"/>
    <x v="88"/>
    <x v="16"/>
    <n v="8.5199999999999998E-3"/>
    <n v="0"/>
    <s v="BR"/>
    <x v="2"/>
    <x v="6"/>
    <s v="Q1"/>
    <n v="154"/>
    <n v="0"/>
    <s v="48oz"/>
    <n v="1"/>
    <n v="0"/>
    <n v="0"/>
    <n v="0"/>
  </r>
  <r>
    <n v="67382713"/>
    <x v="14"/>
    <n v="0"/>
    <d v="2023-02-14T00:00:00"/>
    <x v="256"/>
    <x v="0"/>
    <n v="5.6879999999999995E-3"/>
    <n v="0"/>
    <s v="GH"/>
    <x v="2"/>
    <x v="43"/>
    <s v="Q1"/>
    <n v="207"/>
    <n v="0"/>
    <s v="King Cone (PT)"/>
    <n v="1"/>
    <n v="0"/>
    <n v="0"/>
    <n v="0"/>
  </r>
  <r>
    <n v="67420264"/>
    <x v="5"/>
    <n v="9826"/>
    <d v="2023-02-14T00:00:00"/>
    <x v="244"/>
    <x v="35"/>
    <n v="1.419504E-3"/>
    <n v="13.948046304"/>
    <s v="BJ"/>
    <x v="2"/>
    <x v="16"/>
    <s v="Q1"/>
    <n v="510"/>
    <n v="19.266666666666666"/>
    <s v="B&amp;J Cups"/>
    <n v="1"/>
    <n v="9826"/>
    <n v="13.948046304"/>
    <n v="19.266666666666666"/>
  </r>
  <r>
    <n v="67430513"/>
    <x v="5"/>
    <n v="16080"/>
    <d v="2023-02-14T00:00:00"/>
    <x v="119"/>
    <x v="33"/>
    <n v="3.7839999999999996E-3"/>
    <n v="60.846719999999991"/>
    <s v="BJ"/>
    <x v="2"/>
    <x v="15"/>
    <s v="Q1"/>
    <n v="240"/>
    <n v="67"/>
    <s v="BJ PTS"/>
    <n v="1"/>
    <n v="16080"/>
    <n v="60.846719999999991"/>
    <n v="67"/>
  </r>
  <r>
    <n v="67430513"/>
    <x v="5"/>
    <n v="13892"/>
    <d v="2023-02-14T00:00:00"/>
    <x v="119"/>
    <x v="33"/>
    <n v="3.7839999999999996E-3"/>
    <n v="52.567327999999996"/>
    <s v="BJ"/>
    <x v="2"/>
    <x v="15"/>
    <s v="Q1"/>
    <n v="240"/>
    <n v="57.883333333333333"/>
    <s v="BJ PTS"/>
    <n v="1"/>
    <n v="13892"/>
    <n v="52.567327999999996"/>
    <n v="57.883333333333333"/>
  </r>
  <r>
    <n v="67465063"/>
    <x v="3"/>
    <n v="0"/>
    <d v="2023-02-14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14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503"/>
    <d v="2023-02-14T00:00:00"/>
    <x v="7"/>
    <x v="3"/>
    <n v="1.596E-3"/>
    <n v="2.3987880000000001"/>
    <s v="PS"/>
    <x v="2"/>
    <x v="3"/>
    <s v="Q1"/>
    <n v="130"/>
    <n v="11.561538461538461"/>
    <s v="PG"/>
    <n v="1"/>
    <n v="1503"/>
    <n v="2.3987880000000001"/>
    <n v="11.561538461538461"/>
  </r>
  <r>
    <n v="67466492"/>
    <x v="3"/>
    <n v="3545"/>
    <d v="2023-02-14T00:00:00"/>
    <x v="8"/>
    <x v="6"/>
    <n v="5.2680000000000001E-3"/>
    <n v="18.675060000000002"/>
    <s v="PS"/>
    <x v="2"/>
    <x v="3"/>
    <s v="Q1"/>
    <n v="130"/>
    <n v="27.26923076923077"/>
    <s v="PG"/>
    <n v="1"/>
    <n v="3545"/>
    <n v="18.675060000000002"/>
    <n v="27.26923076923077"/>
  </r>
  <r>
    <n v="67466492"/>
    <x v="3"/>
    <n v="3898"/>
    <d v="2023-02-14T00:00:00"/>
    <x v="8"/>
    <x v="7"/>
    <n v="5.2680000000000001E-3"/>
    <n v="20.534663999999999"/>
    <s v="PS"/>
    <x v="2"/>
    <x v="3"/>
    <s v="Q1"/>
    <n v="130"/>
    <n v="29.984615384615385"/>
    <s v="PG"/>
    <n v="1"/>
    <n v="3898"/>
    <n v="20.534663999999999"/>
    <n v="29.984615384615385"/>
  </r>
  <r>
    <n v="67466492"/>
    <x v="3"/>
    <n v="2788"/>
    <d v="2023-02-14T00:00:00"/>
    <x v="8"/>
    <x v="8"/>
    <n v="5.2680000000000001E-3"/>
    <n v="14.687184"/>
    <s v="PS"/>
    <x v="2"/>
    <x v="3"/>
    <s v="Q1"/>
    <n v="130"/>
    <n v="21.446153846153845"/>
    <s v="PG"/>
    <n v="1"/>
    <n v="2788"/>
    <n v="14.687184"/>
    <n v="21.446153846153845"/>
  </r>
  <r>
    <n v="67466492"/>
    <x v="3"/>
    <n v="2159"/>
    <d v="2023-02-14T00:00:00"/>
    <x v="8"/>
    <x v="9"/>
    <n v="5.2680000000000001E-3"/>
    <n v="11.373612"/>
    <s v="PS"/>
    <x v="2"/>
    <x v="3"/>
    <s v="Q1"/>
    <n v="130"/>
    <n v="16.607692307692307"/>
    <s v="PG"/>
    <n v="1"/>
    <n v="2159"/>
    <n v="11.373612"/>
    <n v="16.607692307692307"/>
  </r>
  <r>
    <n v="67476560"/>
    <x v="3"/>
    <n v="462"/>
    <d v="2023-02-14T00:00:00"/>
    <x v="10"/>
    <x v="10"/>
    <n v="5.1060000000000003E-3"/>
    <n v="2.3589720000000001"/>
    <s v="PS"/>
    <x v="2"/>
    <x v="3"/>
    <s v="Q1"/>
    <n v="130"/>
    <n v="3.5538461538461537"/>
    <s v="PG"/>
    <n v="1"/>
    <n v="462"/>
    <n v="2.3589720000000001"/>
    <n v="3.5538461538461537"/>
  </r>
  <r>
    <n v="67476560"/>
    <x v="3"/>
    <n v="1244"/>
    <d v="2023-02-14T00:00:00"/>
    <x v="10"/>
    <x v="10"/>
    <n v="5.1060000000000003E-3"/>
    <n v="6.351864"/>
    <s v="PS"/>
    <x v="2"/>
    <x v="3"/>
    <s v="Q1"/>
    <n v="130"/>
    <n v="9.569230769230769"/>
    <s v="PG"/>
    <n v="1"/>
    <n v="1244"/>
    <n v="6.351864"/>
    <n v="9.569230769230769"/>
  </r>
  <r>
    <n v="67723726"/>
    <x v="3"/>
    <n v="0"/>
    <d v="2023-02-14T00:00:00"/>
    <x v="109"/>
    <x v="23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11296"/>
    <d v="2023-02-14T00:00:00"/>
    <x v="89"/>
    <x v="11"/>
    <n v="8.5199999999999998E-3"/>
    <n v="96.241919999999993"/>
    <s v="BR"/>
    <x v="2"/>
    <x v="6"/>
    <s v="Q1"/>
    <n v="154"/>
    <n v="73.350649350649348"/>
    <s v="48oz"/>
    <n v="1"/>
    <n v="11296"/>
    <n v="96.241919999999993"/>
    <n v="73.350649350649348"/>
  </r>
  <r>
    <n v="67885719"/>
    <x v="3"/>
    <n v="0"/>
    <d v="2023-02-14T00:00:00"/>
    <x v="11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2"/>
    <n v="0"/>
    <d v="2023-02-14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93539"/>
    <x v="2"/>
    <n v="14674"/>
    <d v="2023-02-14T00:00:00"/>
    <x v="12"/>
    <x v="2"/>
    <n v="8.5199999999999998E-3"/>
    <n v="125.02248"/>
    <s v="BR"/>
    <x v="2"/>
    <x v="2"/>
    <s v="Q1"/>
    <n v="154"/>
    <n v="95.285714285714292"/>
    <s v="48oz"/>
    <n v="1"/>
    <n v="14674"/>
    <n v="125.02248"/>
    <n v="95.285714285714292"/>
  </r>
  <r>
    <n v="67901593"/>
    <x v="2"/>
    <n v="19274"/>
    <d v="2023-02-14T00:00:00"/>
    <x v="68"/>
    <x v="32"/>
    <n v="8.5199999999999998E-3"/>
    <n v="164.21448000000001"/>
    <s v="BR"/>
    <x v="2"/>
    <x v="2"/>
    <s v="Q1"/>
    <n v="154"/>
    <n v="125.15584415584415"/>
    <s v="48oz"/>
    <n v="1"/>
    <n v="19274"/>
    <n v="164.21448000000001"/>
    <n v="125.15584415584415"/>
  </r>
  <r>
    <n v="67908208"/>
    <x v="2"/>
    <n v="0"/>
    <d v="2023-02-14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0738"/>
    <x v="3"/>
    <n v="6339"/>
    <d v="2023-02-14T00:00:00"/>
    <x v="120"/>
    <x v="19"/>
    <n v="8.4960000000000001E-3"/>
    <n v="53.856144"/>
    <s v="KL"/>
    <x v="2"/>
    <x v="8"/>
    <s v="Q1"/>
    <n v="132"/>
    <n v="48.022727272727273"/>
    <s v="EDF"/>
    <n v="1"/>
    <n v="6339"/>
    <n v="53.856144"/>
    <n v="48.022727272727273"/>
  </r>
  <r>
    <n v="68356102"/>
    <x v="2"/>
    <n v="0"/>
    <d v="2023-02-14T00:00:00"/>
    <x v="13"/>
    <x v="13"/>
    <n v="8.513999999999999E-3"/>
    <n v="0"/>
    <s v="BR"/>
    <x v="2"/>
    <x v="2"/>
    <s v="Q1"/>
    <n v="154"/>
    <n v="0"/>
    <s v="48oz"/>
    <n v="1"/>
    <n v="0"/>
    <n v="0"/>
    <n v="0"/>
  </r>
  <r>
    <n v="68410352"/>
    <x v="2"/>
    <n v="6139"/>
    <d v="2023-02-14T00:00:00"/>
    <x v="14"/>
    <x v="14"/>
    <n v="1.98E-3"/>
    <n v="12.15522"/>
    <s v="MG"/>
    <x v="2"/>
    <x v="5"/>
    <s v="Q1"/>
    <n v="176"/>
    <n v="34.88068181818182"/>
    <s v="MG Sticks"/>
    <n v="1"/>
    <n v="6139"/>
    <n v="12.15522"/>
    <n v="34.88068181818182"/>
  </r>
  <r>
    <n v="68414647"/>
    <x v="6"/>
    <n v="2803"/>
    <d v="2023-02-14T00:00:00"/>
    <x v="90"/>
    <x v="0"/>
    <n v="1.419504E-3"/>
    <n v="3.9788697120000003"/>
    <s v="BJ"/>
    <x v="2"/>
    <x v="17"/>
    <s v="Q1"/>
    <n v="238"/>
    <n v="11.777310924369749"/>
    <s v="B&amp;J Dog Treat - Repack"/>
    <n v="1"/>
    <n v="2803"/>
    <n v="3.9788697120000003"/>
    <n v="11.777310924369749"/>
  </r>
  <r>
    <n v="68414647"/>
    <x v="6"/>
    <n v="2919"/>
    <d v="2023-02-14T00:00:00"/>
    <x v="90"/>
    <x v="0"/>
    <n v="1.419504E-3"/>
    <n v="4.1435321759999999"/>
    <s v="BJ"/>
    <x v="2"/>
    <x v="17"/>
    <s v="Q1"/>
    <n v="238"/>
    <n v="12.264705882352942"/>
    <s v="B&amp;J Dog Treat - Repack"/>
    <n v="1"/>
    <n v="2919"/>
    <n v="4.1435321759999999"/>
    <n v="12.264705882352942"/>
  </r>
  <r>
    <n v="68524845"/>
    <x v="2"/>
    <n v="0"/>
    <d v="2023-02-14T00:00:00"/>
    <x v="15"/>
    <x v="15"/>
    <n v="3.7839999999999996E-3"/>
    <n v="0"/>
    <s v="BR"/>
    <x v="2"/>
    <x v="7"/>
    <s v="Q1"/>
    <n v="240"/>
    <n v="0"/>
    <s v="PTS"/>
    <n v="1"/>
    <n v="0"/>
    <n v="0"/>
    <n v="0"/>
  </r>
  <r>
    <n v="68599804"/>
    <x v="0"/>
    <n v="5695"/>
    <d v="2023-02-14T00:00:00"/>
    <x v="114"/>
    <x v="1"/>
    <n v="8.5170239596469108E-3"/>
    <n v="48.504451450189158"/>
    <s v="BR"/>
    <x v="2"/>
    <x v="32"/>
    <s v="Q1"/>
    <n v="156"/>
    <n v="36.506410256410255"/>
    <s v="48oz"/>
    <n v="1"/>
    <n v="5695"/>
    <n v="48.504451450189158"/>
    <n v="36.506410256410255"/>
  </r>
  <r>
    <n v="68649099"/>
    <x v="2"/>
    <n v="4490"/>
    <d v="2023-02-14T00:00:00"/>
    <x v="252"/>
    <x v="5"/>
    <n v="2.4150494713151304E-3"/>
    <n v="10.843572126204936"/>
    <s v="MG"/>
    <x v="2"/>
    <x v="5"/>
    <s v="Q1"/>
    <n v="210"/>
    <n v="21.38095238095238"/>
    <s v="MG Sticks"/>
    <n v="1"/>
    <n v="4490"/>
    <n v="10.843572126204936"/>
    <n v="21.38095238095238"/>
  </r>
  <r>
    <n v="68656230"/>
    <x v="3"/>
    <n v="4917"/>
    <d v="2023-02-14T00:00:00"/>
    <x v="124"/>
    <x v="16"/>
    <n v="8.5199999999999998E-3"/>
    <n v="41.89284"/>
    <s v="BR"/>
    <x v="2"/>
    <x v="6"/>
    <s v="Q1"/>
    <n v="154"/>
    <n v="31.928571428571427"/>
    <s v="48oz"/>
    <n v="1"/>
    <n v="4917"/>
    <n v="41.89284"/>
    <n v="31.928571428571427"/>
  </r>
  <r>
    <n v="68689251"/>
    <x v="3"/>
    <n v="5819"/>
    <d v="2023-02-14T00:00:00"/>
    <x v="17"/>
    <x v="17"/>
    <n v="9.5760000000000012E-3"/>
    <n v="55.722744000000006"/>
    <s v="KL"/>
    <x v="2"/>
    <x v="8"/>
    <s v="Q1"/>
    <n v="132"/>
    <n v="44.083333333333336"/>
    <s v="EDF"/>
    <n v="1"/>
    <n v="5819"/>
    <n v="55.722744000000006"/>
    <n v="44.083333333333336"/>
  </r>
  <r>
    <n v="68689253"/>
    <x v="2"/>
    <n v="3720"/>
    <d v="2023-02-14T00:00:00"/>
    <x v="125"/>
    <x v="18"/>
    <n v="6.0035555555555554E-3"/>
    <n v="22.333226666666665"/>
    <s v="KL"/>
    <x v="2"/>
    <x v="9"/>
    <s v="Q1"/>
    <n v="120"/>
    <n v="31"/>
    <s v="ESS"/>
    <n v="1"/>
    <n v="3720"/>
    <n v="22.333226666666665"/>
    <n v="31"/>
  </r>
  <r>
    <n v="68709233"/>
    <x v="3"/>
    <n v="5427"/>
    <d v="2023-02-14T00:00:00"/>
    <x v="19"/>
    <x v="20"/>
    <n v="8.4960000000000001E-3"/>
    <n v="46.107792000000003"/>
    <s v="KL"/>
    <x v="2"/>
    <x v="8"/>
    <s v="Q1"/>
    <n v="132"/>
    <n v="41.113636363636367"/>
    <s v="EDF"/>
    <n v="1"/>
    <n v="5427"/>
    <n v="46.107792000000003"/>
    <n v="41.113636363636367"/>
  </r>
  <r>
    <n v="68741714"/>
    <x v="3"/>
    <n v="3789"/>
    <d v="2023-02-14T00:00:00"/>
    <x v="24"/>
    <x v="24"/>
    <n v="2.8319999999999999E-3"/>
    <n v="10.730447999999999"/>
    <s v="GH"/>
    <x v="2"/>
    <x v="4"/>
    <s v="Q1"/>
    <n v="225"/>
    <n v="16.84"/>
    <s v="MBG"/>
    <n v="1"/>
    <n v="3789"/>
    <n v="10.730447999999999"/>
    <n v="16.84"/>
  </r>
  <r>
    <n v="68741714"/>
    <x v="3"/>
    <n v="2750"/>
    <d v="2023-02-14T00:00:00"/>
    <x v="24"/>
    <x v="24"/>
    <n v="2.8319999999999999E-3"/>
    <n v="7.7879999999999994"/>
    <s v="GH"/>
    <x v="2"/>
    <x v="4"/>
    <s v="Q1"/>
    <n v="225"/>
    <n v="12.222222222222221"/>
    <s v="MBG"/>
    <n v="1"/>
    <n v="2750"/>
    <n v="7.7879999999999994"/>
    <n v="12.222222222222221"/>
  </r>
  <r>
    <n v="68741742"/>
    <x v="2"/>
    <n v="4774"/>
    <d v="2023-02-14T00:00:00"/>
    <x v="25"/>
    <x v="25"/>
    <n v="4.2560000000000002E-3"/>
    <n v="20.318144"/>
    <s v="GH"/>
    <x v="2"/>
    <x v="11"/>
    <s v="Q1"/>
    <n v="154"/>
    <n v="31"/>
    <s v="MBG"/>
    <n v="1"/>
    <n v="4774"/>
    <n v="20.318144"/>
    <n v="31"/>
  </r>
  <r>
    <n v="68852591"/>
    <x v="2"/>
    <n v="4202"/>
    <d v="2023-02-14T00:00:00"/>
    <x v="26"/>
    <x v="26"/>
    <n v="8.5199999999999998E-3"/>
    <n v="35.80104"/>
    <s v="KL"/>
    <x v="2"/>
    <x v="12"/>
    <s v="Q1"/>
    <n v="132"/>
    <n v="31.833333333333332"/>
    <s v="EDF"/>
    <n v="1"/>
    <n v="4202"/>
    <n v="35.80104"/>
    <n v="31.833333333333332"/>
  </r>
  <r>
    <n v="68890246"/>
    <x v="3"/>
    <n v="6851"/>
    <d v="2023-02-14T00:00:00"/>
    <x v="250"/>
    <x v="12"/>
    <n v="5.1101999999999995E-2"/>
    <n v="350.09980199999995"/>
    <s v="BR"/>
    <x v="2"/>
    <x v="6"/>
    <s v="Q1"/>
    <n v="176"/>
    <n v="38.926136363636367"/>
    <s v="48oz"/>
    <n v="1"/>
    <n v="6851"/>
    <n v="350.09980199999995"/>
    <n v="38.926136363636367"/>
  </r>
  <r>
    <n v="68890247"/>
    <x v="2"/>
    <n v="14769"/>
    <d v="2023-02-14T00:00:00"/>
    <x v="243"/>
    <x v="13"/>
    <n v="8.5170239596469088E-6"/>
    <n v="0.12578792686002518"/>
    <s v="BR"/>
    <x v="2"/>
    <x v="2"/>
    <s v="Q1"/>
    <n v="176"/>
    <n v="83.914772727272734"/>
    <s v="48oz"/>
    <n v="1"/>
    <n v="14769"/>
    <n v="0.12578792686002518"/>
    <n v="83.914772727272734"/>
  </r>
  <r>
    <n v="68896052"/>
    <x v="2"/>
    <n v="0"/>
    <d v="2023-02-14T00:00:00"/>
    <x v="36"/>
    <x v="2"/>
    <n v="8.5199999999999998E-3"/>
    <n v="0"/>
    <s v="BR"/>
    <x v="2"/>
    <x v="2"/>
    <s v="Q1"/>
    <n v="176"/>
    <n v="0"/>
    <s v="48oz"/>
    <n v="1"/>
    <n v="0"/>
    <n v="0"/>
    <n v="0"/>
  </r>
  <r>
    <n v="68914406"/>
    <x v="2"/>
    <n v="4578"/>
    <d v="2023-02-14T00:00:00"/>
    <x v="78"/>
    <x v="27"/>
    <n v="2.124E-3"/>
    <n v="9.7236720000000005"/>
    <s v="KL"/>
    <x v="2"/>
    <x v="9"/>
    <s v="Q1"/>
    <n v="352"/>
    <n v="13.005681818181818"/>
    <s v="ESS"/>
    <n v="1"/>
    <n v="4578"/>
    <n v="9.7236720000000005"/>
    <n v="13.005681818181818"/>
  </r>
  <r>
    <n v="69548143"/>
    <x v="3"/>
    <n v="0"/>
    <d v="2023-02-14T00:00:00"/>
    <x v="159"/>
    <x v="36"/>
    <n v="3.192E-3"/>
    <n v="0"/>
    <s v="KL"/>
    <x v="2"/>
    <x v="28"/>
    <s v="Q1"/>
    <n v="345"/>
    <n v="0"/>
    <s v="EFW"/>
    <n v="1"/>
    <n v="0"/>
    <n v="0"/>
    <n v="0"/>
  </r>
  <r>
    <n v="69549219"/>
    <x v="2"/>
    <n v="0"/>
    <d v="2023-02-14T00:00:00"/>
    <x v="96"/>
    <x v="5"/>
    <n v="1.2227999999999999E-5"/>
    <n v="0"/>
    <s v="MG"/>
    <x v="2"/>
    <x v="5"/>
    <s v="Q1"/>
    <n v="493"/>
    <n v="0"/>
    <s v="MG Sticks"/>
    <n v="1"/>
    <n v="0"/>
    <n v="0"/>
    <n v="0"/>
  </r>
  <r>
    <n v="69551489"/>
    <x v="3"/>
    <n v="3638"/>
    <d v="2023-02-14T00:00:00"/>
    <x v="4"/>
    <x v="4"/>
    <n v="3.8989043190215313E-3"/>
    <n v="14.184213912600331"/>
    <s v="GH"/>
    <x v="2"/>
    <x v="4"/>
    <s v="Q1"/>
    <n v="154"/>
    <n v="23.623376623376622"/>
    <s v="MBG"/>
    <n v="1"/>
    <n v="3638"/>
    <n v="14.184213912600331"/>
    <n v="23.623376623376622"/>
  </r>
  <r>
    <n v="69555090"/>
    <x v="2"/>
    <n v="0"/>
    <d v="2023-02-14T00:00:00"/>
    <x v="254"/>
    <x v="14"/>
    <n v="1.98E-3"/>
    <n v="0"/>
    <s v="TA"/>
    <x v="2"/>
    <x v="42"/>
    <s v="Q1"/>
    <n v="176"/>
    <n v="0"/>
    <s v="TAL NV"/>
    <n v="1"/>
    <n v="0"/>
    <n v="0"/>
    <n v="0"/>
  </r>
  <r>
    <n v="69621212"/>
    <x v="2"/>
    <n v="2298"/>
    <d v="2023-02-14T00:00:00"/>
    <x v="29"/>
    <x v="28"/>
    <n v="5.2680000000000001E-3"/>
    <n v="12.105864"/>
    <s v="PG"/>
    <x v="2"/>
    <x v="14"/>
    <s v="Q1"/>
    <n v="130"/>
    <n v="17.676923076923078"/>
    <s v="PG"/>
    <n v="1"/>
    <n v="2298"/>
    <n v="12.105864"/>
    <n v="17.676923076923078"/>
  </r>
  <r>
    <n v="69671652"/>
    <x v="3"/>
    <n v="0"/>
    <d v="2023-02-14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1516"/>
    <d v="2023-02-14T00:00:00"/>
    <x v="30"/>
    <x v="29"/>
    <n v="5.2680000000000001E-3"/>
    <n v="7.9862880000000001"/>
    <s v="PS"/>
    <x v="2"/>
    <x v="3"/>
    <s v="Q1"/>
    <n v="108"/>
    <n v="14.037037037037036"/>
    <s v="PG"/>
    <n v="1"/>
    <n v="1516"/>
    <n v="7.9862880000000001"/>
    <n v="14.037037037037036"/>
  </r>
  <r>
    <n v="69677917"/>
    <x v="2"/>
    <n v="5960"/>
    <d v="2023-02-14T00:00:00"/>
    <x v="30"/>
    <x v="30"/>
    <n v="5.2680000000000001E-3"/>
    <n v="31.397280000000002"/>
    <s v="PS"/>
    <x v="2"/>
    <x v="14"/>
    <s v="Q1"/>
    <n v="108"/>
    <n v="55.185185185185183"/>
    <s v="PG"/>
    <n v="1"/>
    <n v="5960"/>
    <n v="31.397280000000002"/>
    <n v="55.185185185185183"/>
  </r>
  <r>
    <n v="69684522"/>
    <x v="2"/>
    <n v="8008"/>
    <d v="2023-02-14T00:00:00"/>
    <x v="31"/>
    <x v="31"/>
    <n v="4.2560000000000002E-3"/>
    <n v="34.082048"/>
    <s v="BR"/>
    <x v="2"/>
    <x v="5"/>
    <s v="Q1"/>
    <n v="143"/>
    <n v="56"/>
    <s v="MG Sticks"/>
    <n v="1"/>
    <n v="8008"/>
    <n v="34.082048"/>
    <n v="56"/>
  </r>
  <r>
    <n v="84135718"/>
    <x v="13"/>
    <n v="36895"/>
    <d v="2023-02-14T00:00:00"/>
    <x v="147"/>
    <x v="38"/>
    <n v="3.7853439999999999E-3"/>
    <n v="139.66026687999999"/>
    <s v="BJ"/>
    <x v="2"/>
    <x v="36"/>
    <s v="Q1"/>
    <n v="240"/>
    <n v="153.72916666666666"/>
    <s v="BJ PTS"/>
    <n v="1"/>
    <n v="36895"/>
    <n v="139.66026687999999"/>
    <n v="153.72916666666666"/>
  </r>
  <r>
    <n v="84141101"/>
    <x v="5"/>
    <n v="57075"/>
    <d v="2023-02-14T00:00:00"/>
    <x v="86"/>
    <x v="33"/>
    <n v="3.7853439999999999E-3"/>
    <n v="216.04850880000001"/>
    <s v="BJ"/>
    <x v="2"/>
    <x v="15"/>
    <s v="Q1"/>
    <n v="240"/>
    <n v="237.8125"/>
    <s v="BJ PTS"/>
    <n v="1"/>
    <n v="57075"/>
    <n v="216.04850880000001"/>
    <n v="237.8125"/>
  </r>
  <r>
    <n v="84141101"/>
    <x v="5"/>
    <n v="45241"/>
    <d v="2023-02-14T00:00:00"/>
    <x v="86"/>
    <x v="33"/>
    <n v="3.7853439999999999E-3"/>
    <n v="171.25274790399999"/>
    <s v="BJ"/>
    <x v="2"/>
    <x v="15"/>
    <s v="Q1"/>
    <n v="240"/>
    <n v="188.50416666666666"/>
    <s v="BJ PTS"/>
    <n v="1"/>
    <n v="45241"/>
    <n v="171.25274790399999"/>
    <n v="188.50416666666666"/>
  </r>
  <r>
    <n v="67465063"/>
    <x v="3"/>
    <n v="0"/>
    <d v="2023-02-15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15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2383"/>
    <d v="2023-02-15T00:00:00"/>
    <x v="7"/>
    <x v="3"/>
    <n v="1.596E-3"/>
    <n v="3.8032680000000001"/>
    <s v="PS"/>
    <x v="2"/>
    <x v="3"/>
    <s v="Q1"/>
    <n v="130"/>
    <n v="18.330769230769231"/>
    <s v="PG"/>
    <n v="1"/>
    <n v="2383"/>
    <n v="3.8032680000000001"/>
    <n v="18.330769230769231"/>
  </r>
  <r>
    <n v="67466492"/>
    <x v="3"/>
    <n v="2407"/>
    <d v="2023-02-15T00:00:00"/>
    <x v="8"/>
    <x v="6"/>
    <n v="5.2680000000000001E-3"/>
    <n v="12.680076"/>
    <s v="PS"/>
    <x v="2"/>
    <x v="3"/>
    <s v="Q1"/>
    <n v="130"/>
    <n v="18.515384615384615"/>
    <s v="PG"/>
    <n v="1"/>
    <n v="2407"/>
    <n v="12.680076"/>
    <n v="18.515384615384615"/>
  </r>
  <r>
    <n v="67466492"/>
    <x v="3"/>
    <n v="4844"/>
    <d v="2023-02-15T00:00:00"/>
    <x v="8"/>
    <x v="7"/>
    <n v="5.2680000000000001E-3"/>
    <n v="25.518191999999999"/>
    <s v="PS"/>
    <x v="2"/>
    <x v="3"/>
    <s v="Q1"/>
    <n v="130"/>
    <n v="37.261538461538464"/>
    <s v="PG"/>
    <n v="1"/>
    <n v="4844"/>
    <n v="25.518191999999999"/>
    <n v="37.261538461538464"/>
  </r>
  <r>
    <n v="67466492"/>
    <x v="3"/>
    <n v="3265"/>
    <d v="2023-02-15T00:00:00"/>
    <x v="8"/>
    <x v="8"/>
    <n v="5.2680000000000001E-3"/>
    <n v="17.200020000000002"/>
    <s v="PS"/>
    <x v="2"/>
    <x v="3"/>
    <s v="Q1"/>
    <n v="130"/>
    <n v="25.115384615384617"/>
    <s v="PG"/>
    <n v="1"/>
    <n v="3265"/>
    <n v="17.200020000000002"/>
    <n v="25.115384615384617"/>
  </r>
  <r>
    <n v="67466492"/>
    <x v="3"/>
    <n v="2681"/>
    <d v="2023-02-15T00:00:00"/>
    <x v="8"/>
    <x v="9"/>
    <n v="5.2680000000000001E-3"/>
    <n v="14.123508000000001"/>
    <s v="PS"/>
    <x v="2"/>
    <x v="3"/>
    <s v="Q1"/>
    <n v="130"/>
    <n v="20.623076923076923"/>
    <s v="PG"/>
    <n v="1"/>
    <n v="2681"/>
    <n v="14.123508000000001"/>
    <n v="20.623076923076923"/>
  </r>
  <r>
    <n v="67476560"/>
    <x v="3"/>
    <n v="1170"/>
    <d v="2023-02-15T00:00:00"/>
    <x v="10"/>
    <x v="10"/>
    <n v="5.1060000000000003E-3"/>
    <n v="5.9740200000000003"/>
    <s v="PS"/>
    <x v="2"/>
    <x v="3"/>
    <s v="Q1"/>
    <n v="130"/>
    <n v="9"/>
    <s v="PG"/>
    <n v="1"/>
    <n v="1170"/>
    <n v="5.9740200000000003"/>
    <n v="9"/>
  </r>
  <r>
    <n v="67723726"/>
    <x v="3"/>
    <n v="0"/>
    <d v="2023-02-15T00:00:00"/>
    <x v="109"/>
    <x v="23"/>
    <n v="8.5199999999999998E-3"/>
    <n v="0"/>
    <s v="BR"/>
    <x v="2"/>
    <x v="6"/>
    <s v="Q1"/>
    <n v="154"/>
    <n v="0"/>
    <s v="48oz"/>
    <n v="1"/>
    <n v="0"/>
    <n v="0"/>
    <n v="0"/>
  </r>
  <r>
    <n v="67826412"/>
    <x v="13"/>
    <n v="0"/>
    <d v="2023-02-15T00:00:00"/>
    <x v="214"/>
    <x v="35"/>
    <n v="3.7853439999999999E-3"/>
    <n v="0"/>
    <s v="BJ"/>
    <x v="2"/>
    <x v="36"/>
    <s v="Q1"/>
    <n v="240"/>
    <n v="0"/>
    <s v="BJ PTS"/>
    <n v="1"/>
    <n v="0"/>
    <n v="0"/>
    <n v="0"/>
  </r>
  <r>
    <n v="67881628"/>
    <x v="5"/>
    <n v="29102"/>
    <d v="2023-02-15T00:00:00"/>
    <x v="64"/>
    <x v="35"/>
    <n v="3.7853439999999999E-3"/>
    <n v="110.161081088"/>
    <s v="BJ"/>
    <x v="2"/>
    <x v="15"/>
    <s v="Q1"/>
    <n v="240"/>
    <n v="121.25833333333334"/>
    <s v="BJ PTS"/>
    <n v="1"/>
    <n v="29102"/>
    <n v="110.161081088"/>
    <n v="121.25833333333334"/>
  </r>
  <r>
    <n v="67885716"/>
    <x v="3"/>
    <n v="0"/>
    <d v="2023-02-15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9929"/>
    <d v="2023-02-15T00:00:00"/>
    <x v="89"/>
    <x v="11"/>
    <n v="8.5199999999999998E-3"/>
    <n v="84.595079999999996"/>
    <s v="BR"/>
    <x v="2"/>
    <x v="6"/>
    <s v="Q1"/>
    <n v="154"/>
    <n v="64.474025974025977"/>
    <s v="48oz"/>
    <n v="1"/>
    <n v="9929"/>
    <n v="84.595079999999996"/>
    <n v="64.474025974025977"/>
  </r>
  <r>
    <n v="67885718"/>
    <x v="3"/>
    <n v="0"/>
    <d v="2023-02-15T00:00:00"/>
    <x v="48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3"/>
    <n v="0"/>
    <d v="2023-02-15T00:00:00"/>
    <x v="11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3"/>
    <n v="0"/>
    <d v="2023-02-15T00:00:00"/>
    <x v="11"/>
    <x v="11"/>
    <n v="8.5199999999999998E-3"/>
    <n v="0"/>
    <s v="BR"/>
    <x v="2"/>
    <x v="6"/>
    <s v="Q1"/>
    <n v="154"/>
    <n v="0"/>
    <s v="48oz"/>
    <n v="1"/>
    <n v="0"/>
    <n v="0"/>
    <n v="0"/>
  </r>
  <r>
    <n v="67885719"/>
    <x v="2"/>
    <n v="3084"/>
    <d v="2023-02-15T00:00:00"/>
    <x v="11"/>
    <x v="32"/>
    <n v="8.5199999999999998E-3"/>
    <n v="26.275679999999998"/>
    <s v="BR"/>
    <x v="2"/>
    <x v="2"/>
    <s v="Q1"/>
    <n v="154"/>
    <n v="20.025974025974026"/>
    <s v="48oz"/>
    <n v="1"/>
    <n v="3084"/>
    <n v="26.275679999999998"/>
    <n v="20.025974025974026"/>
  </r>
  <r>
    <n v="67893539"/>
    <x v="2"/>
    <n v="11626"/>
    <d v="2023-02-15T00:00:00"/>
    <x v="12"/>
    <x v="2"/>
    <n v="8.5199999999999998E-3"/>
    <n v="99.053519999999992"/>
    <s v="BR"/>
    <x v="2"/>
    <x v="2"/>
    <s v="Q1"/>
    <n v="154"/>
    <n v="75.493506493506487"/>
    <s v="48oz"/>
    <n v="1"/>
    <n v="11626"/>
    <n v="99.053519999999992"/>
    <n v="75.493506493506487"/>
  </r>
  <r>
    <n v="67901583"/>
    <x v="3"/>
    <n v="2729"/>
    <d v="2023-02-15T00:00:00"/>
    <x v="50"/>
    <x v="11"/>
    <n v="8.5199999999999998E-3"/>
    <n v="23.251079999999998"/>
    <s v="BR"/>
    <x v="2"/>
    <x v="6"/>
    <s v="Q1"/>
    <n v="154"/>
    <n v="17.720779220779221"/>
    <s v="48oz"/>
    <n v="1"/>
    <n v="2729"/>
    <n v="23.251079999999998"/>
    <n v="17.720779220779221"/>
  </r>
  <r>
    <n v="67901593"/>
    <x v="2"/>
    <n v="0"/>
    <d v="2023-02-15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15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0738"/>
    <x v="3"/>
    <n v="6401"/>
    <d v="2023-02-15T00:00:00"/>
    <x v="120"/>
    <x v="19"/>
    <n v="8.4960000000000001E-3"/>
    <n v="54.382896000000002"/>
    <s v="KL"/>
    <x v="2"/>
    <x v="8"/>
    <s v="Q1"/>
    <n v="132"/>
    <n v="48.492424242424242"/>
    <s v="EDF"/>
    <n v="1"/>
    <n v="6401"/>
    <n v="54.382896000000002"/>
    <n v="48.492424242424242"/>
  </r>
  <r>
    <n v="68354588"/>
    <x v="2"/>
    <n v="1971"/>
    <d v="2023-02-15T00:00:00"/>
    <x v="173"/>
    <x v="15"/>
    <n v="3.5999999999999999E-3"/>
    <n v="7.0956000000000001"/>
    <s v="BJ"/>
    <x v="2"/>
    <x v="19"/>
    <s v="Q1"/>
    <n v="240"/>
    <n v="8.2125000000000004"/>
    <s v="TOPPED"/>
    <n v="1"/>
    <n v="1971"/>
    <n v="7.0956000000000001"/>
    <n v="8.2125000000000004"/>
  </r>
  <r>
    <n v="68356102"/>
    <x v="2"/>
    <n v="7043"/>
    <d v="2023-02-15T00:00:00"/>
    <x v="13"/>
    <x v="13"/>
    <n v="8.513999999999999E-3"/>
    <n v="59.96410199999999"/>
    <s v="BR"/>
    <x v="2"/>
    <x v="2"/>
    <s v="Q1"/>
    <n v="154"/>
    <n v="45.733766233766232"/>
    <s v="48oz"/>
    <n v="1"/>
    <n v="7043"/>
    <n v="59.96410199999999"/>
    <n v="45.733766233766232"/>
  </r>
  <r>
    <n v="68409143"/>
    <x v="5"/>
    <n v="0"/>
    <d v="2023-02-15T00:00:00"/>
    <x v="137"/>
    <x v="35"/>
    <n v="1.419504E-3"/>
    <n v="0"/>
    <s v="BJ"/>
    <x v="2"/>
    <x v="25"/>
    <s v="Q1"/>
    <n v="510"/>
    <n v="0"/>
    <s v="B&amp;J Dog Treat"/>
    <n v="1"/>
    <n v="0"/>
    <n v="0"/>
    <n v="0"/>
  </r>
  <r>
    <n v="68410352"/>
    <x v="2"/>
    <n v="6782"/>
    <d v="2023-02-15T00:00:00"/>
    <x v="14"/>
    <x v="14"/>
    <n v="1.98E-3"/>
    <n v="13.42836"/>
    <s v="MG"/>
    <x v="2"/>
    <x v="5"/>
    <s v="Q1"/>
    <n v="176"/>
    <n v="38.534090909090907"/>
    <s v="MG Sticks"/>
    <n v="1"/>
    <n v="6782"/>
    <n v="13.42836"/>
    <n v="38.534090909090907"/>
  </r>
  <r>
    <n v="68649099"/>
    <x v="2"/>
    <n v="7364"/>
    <d v="2023-02-15T00:00:00"/>
    <x v="252"/>
    <x v="5"/>
    <n v="2.4150494713151304E-3"/>
    <n v="17.78442430676462"/>
    <s v="MG"/>
    <x v="2"/>
    <x v="5"/>
    <s v="Q1"/>
    <n v="210"/>
    <n v="35.06666666666667"/>
    <s v="MG Sticks"/>
    <n v="1"/>
    <n v="7364"/>
    <n v="17.78442430676462"/>
    <n v="35.06666666666667"/>
  </r>
  <r>
    <n v="68656230"/>
    <x v="3"/>
    <n v="8697"/>
    <d v="2023-02-15T00:00:00"/>
    <x v="124"/>
    <x v="16"/>
    <n v="8.5199999999999998E-3"/>
    <n v="74.098439999999997"/>
    <s v="BR"/>
    <x v="2"/>
    <x v="6"/>
    <s v="Q1"/>
    <n v="154"/>
    <n v="56.474025974025977"/>
    <s v="48oz"/>
    <n v="1"/>
    <n v="8697"/>
    <n v="74.098439999999997"/>
    <n v="56.474025974025977"/>
  </r>
  <r>
    <n v="68689253"/>
    <x v="2"/>
    <n v="2566"/>
    <d v="2023-02-15T00:00:00"/>
    <x v="125"/>
    <x v="18"/>
    <n v="6.0035555555555554E-3"/>
    <n v="15.405123555555555"/>
    <s v="KL"/>
    <x v="2"/>
    <x v="9"/>
    <s v="Q1"/>
    <n v="120"/>
    <n v="21.383333333333333"/>
    <s v="ESS"/>
    <n v="1"/>
    <n v="2566"/>
    <n v="15.405123555555555"/>
    <n v="21.383333333333333"/>
  </r>
  <r>
    <n v="68709233"/>
    <x v="3"/>
    <n v="3399"/>
    <d v="2023-02-15T00:00:00"/>
    <x v="19"/>
    <x v="20"/>
    <n v="8.4960000000000001E-3"/>
    <n v="28.877904000000001"/>
    <s v="KL"/>
    <x v="2"/>
    <x v="8"/>
    <s v="Q1"/>
    <n v="132"/>
    <n v="25.75"/>
    <s v="EDF"/>
    <n v="1"/>
    <n v="3399"/>
    <n v="28.877904000000001"/>
    <n v="25.75"/>
  </r>
  <r>
    <n v="68709233"/>
    <x v="3"/>
    <n v="1166"/>
    <d v="2023-02-15T00:00:00"/>
    <x v="19"/>
    <x v="20"/>
    <n v="8.4960000000000001E-3"/>
    <n v="9.9063359999999996"/>
    <s v="KL"/>
    <x v="2"/>
    <x v="8"/>
    <s v="Q1"/>
    <n v="132"/>
    <n v="8.8333333333333339"/>
    <s v="EDF"/>
    <n v="1"/>
    <n v="1166"/>
    <n v="9.9063359999999996"/>
    <n v="8.8333333333333339"/>
  </r>
  <r>
    <n v="68741714"/>
    <x v="3"/>
    <n v="4353"/>
    <d v="2023-02-15T00:00:00"/>
    <x v="24"/>
    <x v="24"/>
    <n v="2.8319999999999999E-3"/>
    <n v="12.327696"/>
    <s v="GH"/>
    <x v="2"/>
    <x v="4"/>
    <s v="Q1"/>
    <n v="225"/>
    <n v="19.346666666666668"/>
    <s v="MBG"/>
    <n v="1"/>
    <n v="4353"/>
    <n v="12.327696"/>
    <n v="19.346666666666668"/>
  </r>
  <r>
    <n v="68741742"/>
    <x v="2"/>
    <n v="1332"/>
    <d v="2023-02-15T00:00:00"/>
    <x v="25"/>
    <x v="25"/>
    <n v="4.2560000000000002E-3"/>
    <n v="5.6689920000000003"/>
    <s v="GH"/>
    <x v="2"/>
    <x v="11"/>
    <s v="Q1"/>
    <n v="154"/>
    <n v="8.6493506493506498"/>
    <s v="MBG"/>
    <n v="1"/>
    <n v="1332"/>
    <n v="5.6689920000000003"/>
    <n v="8.6493506493506498"/>
  </r>
  <r>
    <n v="68852591"/>
    <x v="2"/>
    <n v="2686"/>
    <d v="2023-02-15T00:00:00"/>
    <x v="26"/>
    <x v="26"/>
    <n v="8.5199999999999998E-3"/>
    <n v="22.884719999999998"/>
    <s v="KL"/>
    <x v="2"/>
    <x v="12"/>
    <s v="Q1"/>
    <n v="132"/>
    <n v="20.348484848484848"/>
    <s v="EDF"/>
    <n v="1"/>
    <n v="2686"/>
    <n v="22.884719999999998"/>
    <n v="20.348484848484848"/>
  </r>
  <r>
    <n v="68890246"/>
    <x v="3"/>
    <n v="5498"/>
    <d v="2023-02-15T00:00:00"/>
    <x v="250"/>
    <x v="12"/>
    <n v="5.1101999999999995E-2"/>
    <n v="280.95879599999995"/>
    <s v="BR"/>
    <x v="2"/>
    <x v="6"/>
    <s v="Q1"/>
    <n v="176"/>
    <n v="31.238636363636363"/>
    <s v="48oz"/>
    <n v="1"/>
    <n v="5498"/>
    <n v="280.95879599999995"/>
    <n v="31.238636363636363"/>
  </r>
  <r>
    <n v="68890247"/>
    <x v="2"/>
    <n v="0"/>
    <d v="2023-02-15T00:00:00"/>
    <x v="243"/>
    <x v="13"/>
    <n v="8.5170239596469088E-6"/>
    <n v="0"/>
    <s v="BR"/>
    <x v="2"/>
    <x v="2"/>
    <s v="Q1"/>
    <n v="176"/>
    <n v="0"/>
    <s v="48oz"/>
    <n v="1"/>
    <n v="0"/>
    <n v="0"/>
    <n v="0"/>
  </r>
  <r>
    <n v="68896052"/>
    <x v="2"/>
    <n v="0"/>
    <d v="2023-02-15T00:00:00"/>
    <x v="36"/>
    <x v="2"/>
    <n v="8.5199999999999998E-3"/>
    <n v="0"/>
    <s v="BR"/>
    <x v="2"/>
    <x v="2"/>
    <s v="Q1"/>
    <n v="176"/>
    <n v="0"/>
    <s v="48oz"/>
    <n v="1"/>
    <n v="0"/>
    <n v="0"/>
    <n v="0"/>
  </r>
  <r>
    <n v="68899825"/>
    <x v="3"/>
    <n v="0"/>
    <d v="2023-02-15T00:00:00"/>
    <x v="77"/>
    <x v="12"/>
    <n v="8.5199999999999998E-3"/>
    <n v="0"/>
    <s v="BR"/>
    <x v="2"/>
    <x v="6"/>
    <s v="Q1"/>
    <n v="176"/>
    <n v="0"/>
    <s v="48oz"/>
    <n v="1"/>
    <n v="0"/>
    <n v="0"/>
    <n v="0"/>
  </r>
  <r>
    <n v="68914406"/>
    <x v="2"/>
    <n v="10125"/>
    <d v="2023-02-15T00:00:00"/>
    <x v="78"/>
    <x v="27"/>
    <n v="2.124E-3"/>
    <n v="21.505500000000001"/>
    <s v="KL"/>
    <x v="2"/>
    <x v="9"/>
    <s v="Q1"/>
    <n v="352"/>
    <n v="28.764204545454547"/>
    <s v="ESS"/>
    <n v="1"/>
    <n v="10125"/>
    <n v="21.505500000000001"/>
    <n v="28.764204545454547"/>
  </r>
  <r>
    <n v="69548143"/>
    <x v="3"/>
    <n v="0"/>
    <d v="2023-02-15T00:00:00"/>
    <x v="159"/>
    <x v="36"/>
    <n v="3.192E-3"/>
    <n v="0"/>
    <s v="KL"/>
    <x v="2"/>
    <x v="28"/>
    <s v="Q1"/>
    <n v="345"/>
    <n v="0"/>
    <s v="EFW"/>
    <n v="1"/>
    <n v="0"/>
    <n v="0"/>
    <n v="0"/>
  </r>
  <r>
    <n v="69549219"/>
    <x v="2"/>
    <n v="0"/>
    <d v="2023-02-15T00:00:00"/>
    <x v="96"/>
    <x v="5"/>
    <n v="1.2227999999999999E-5"/>
    <n v="0"/>
    <s v="MG"/>
    <x v="2"/>
    <x v="5"/>
    <s v="Q1"/>
    <n v="493"/>
    <n v="0"/>
    <s v="MG Sticks"/>
    <n v="1"/>
    <n v="0"/>
    <n v="0"/>
    <n v="0"/>
  </r>
  <r>
    <n v="69551489"/>
    <x v="3"/>
    <n v="3679"/>
    <d v="2023-02-15T00:00:00"/>
    <x v="4"/>
    <x v="4"/>
    <n v="3.8989043190215313E-3"/>
    <n v="14.344068989680213"/>
    <s v="GH"/>
    <x v="2"/>
    <x v="4"/>
    <s v="Q1"/>
    <n v="154"/>
    <n v="23.88961038961039"/>
    <s v="MBG"/>
    <n v="1"/>
    <n v="3679"/>
    <n v="14.344068989680213"/>
    <n v="23.88961038961039"/>
  </r>
  <r>
    <n v="69554197"/>
    <x v="2"/>
    <n v="0"/>
    <d v="2023-02-15T00:00:00"/>
    <x v="15"/>
    <x v="15"/>
    <n v="3.7839999999999996E-3"/>
    <n v="0"/>
    <s v="BR"/>
    <x v="2"/>
    <x v="7"/>
    <s v="Q1"/>
    <n v="240"/>
    <n v="0"/>
    <s v="PTS"/>
    <n v="1"/>
    <n v="0"/>
    <n v="0"/>
    <n v="0"/>
  </r>
  <r>
    <n v="69555090"/>
    <x v="2"/>
    <n v="0"/>
    <d v="2023-02-15T00:00:00"/>
    <x v="254"/>
    <x v="14"/>
    <n v="1.98E-3"/>
    <n v="0"/>
    <s v="TA"/>
    <x v="2"/>
    <x v="42"/>
    <s v="Q1"/>
    <n v="176"/>
    <n v="0"/>
    <s v="TAL NV"/>
    <n v="1"/>
    <n v="0"/>
    <n v="0"/>
    <n v="0"/>
  </r>
  <r>
    <n v="69572544"/>
    <x v="2"/>
    <n v="0"/>
    <d v="2023-02-15T00:00:00"/>
    <x v="171"/>
    <x v="14"/>
    <n v="1.9740000000000001E-3"/>
    <n v="0"/>
    <s v="MG"/>
    <x v="2"/>
    <x v="5"/>
    <s v="Q1"/>
    <n v="176"/>
    <n v="0"/>
    <s v="MG Sticks"/>
    <n v="1"/>
    <n v="0"/>
    <n v="0"/>
    <n v="0"/>
  </r>
  <r>
    <n v="69621212"/>
    <x v="2"/>
    <n v="3203"/>
    <d v="2023-02-15T00:00:00"/>
    <x v="29"/>
    <x v="28"/>
    <n v="5.2680000000000001E-3"/>
    <n v="16.873404000000001"/>
    <s v="PG"/>
    <x v="2"/>
    <x v="14"/>
    <s v="Q1"/>
    <n v="130"/>
    <n v="24.638461538461538"/>
    <s v="PG"/>
    <n v="1"/>
    <n v="3203"/>
    <n v="16.873404000000001"/>
    <n v="24.638461538461538"/>
  </r>
  <r>
    <n v="69671652"/>
    <x v="3"/>
    <n v="0"/>
    <d v="2023-02-15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1377"/>
    <d v="2023-02-15T00:00:00"/>
    <x v="30"/>
    <x v="29"/>
    <n v="5.2680000000000001E-3"/>
    <n v="7.2540360000000002"/>
    <s v="PS"/>
    <x v="2"/>
    <x v="3"/>
    <s v="Q1"/>
    <n v="108"/>
    <n v="12.75"/>
    <s v="PG"/>
    <n v="1"/>
    <n v="1377"/>
    <n v="7.2540360000000002"/>
    <n v="12.75"/>
  </r>
  <r>
    <n v="69677917"/>
    <x v="2"/>
    <n v="3573"/>
    <d v="2023-02-15T00:00:00"/>
    <x v="30"/>
    <x v="30"/>
    <n v="5.2680000000000001E-3"/>
    <n v="18.822564"/>
    <s v="PS"/>
    <x v="2"/>
    <x v="14"/>
    <s v="Q1"/>
    <n v="108"/>
    <n v="33.083333333333336"/>
    <s v="PG"/>
    <n v="1"/>
    <n v="3573"/>
    <n v="18.822564"/>
    <n v="33.083333333333336"/>
  </r>
  <r>
    <n v="69684522"/>
    <x v="2"/>
    <n v="4203"/>
    <d v="2023-02-15T00:00:00"/>
    <x v="31"/>
    <x v="31"/>
    <n v="4.2560000000000002E-3"/>
    <n v="17.887968000000001"/>
    <s v="BR"/>
    <x v="2"/>
    <x v="5"/>
    <s v="Q1"/>
    <n v="143"/>
    <n v="29.39160839160839"/>
    <s v="MG Sticks"/>
    <n v="1"/>
    <n v="4203"/>
    <n v="17.887968000000001"/>
    <n v="29.39160839160839"/>
  </r>
  <r>
    <n v="84137694"/>
    <x v="5"/>
    <n v="26210"/>
    <d v="2023-02-15T00:00:00"/>
    <x v="136"/>
    <x v="38"/>
    <n v="3.7853439999999999E-3"/>
    <n v="99.213866240000002"/>
    <s v="BJ"/>
    <x v="2"/>
    <x v="15"/>
    <s v="Q1"/>
    <n v="240"/>
    <n v="109.20833333333333"/>
    <s v="BJ PTS"/>
    <n v="1"/>
    <n v="26210"/>
    <n v="99.213866240000002"/>
    <n v="109.20833333333333"/>
  </r>
  <r>
    <n v="84161610"/>
    <x v="5"/>
    <n v="34343"/>
    <d v="2023-02-15T00:00:00"/>
    <x v="99"/>
    <x v="38"/>
    <n v="3.7853439999999999E-3"/>
    <n v="130.000068992"/>
    <s v="BJ"/>
    <x v="2"/>
    <x v="15"/>
    <s v="Q1"/>
    <n v="240"/>
    <n v="143.09583333333333"/>
    <s v="BJ PTS"/>
    <n v="1"/>
    <n v="34343"/>
    <n v="130.000068992"/>
    <n v="143.09583333333333"/>
  </r>
  <r>
    <n v="67309841"/>
    <x v="2"/>
    <n v="0"/>
    <d v="2023-02-16T00:00:00"/>
    <x v="32"/>
    <x v="32"/>
    <n v="8.5199999999999998E-3"/>
    <n v="0"/>
    <s v="BR"/>
    <x v="2"/>
    <x v="2"/>
    <s v="Q1"/>
    <n v="154"/>
    <n v="0"/>
    <s v="48oz"/>
    <n v="1"/>
    <n v="0"/>
    <n v="0"/>
    <n v="0"/>
  </r>
  <r>
    <n v="67465063"/>
    <x v="3"/>
    <n v="0"/>
    <d v="2023-02-16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16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699"/>
    <d v="2023-02-16T00:00:00"/>
    <x v="7"/>
    <x v="3"/>
    <n v="1.596E-3"/>
    <n v="2.7116039999999999"/>
    <s v="PS"/>
    <x v="2"/>
    <x v="3"/>
    <s v="Q1"/>
    <n v="130"/>
    <n v="13.069230769230769"/>
    <s v="PG"/>
    <n v="1"/>
    <n v="1699"/>
    <n v="2.7116039999999999"/>
    <n v="13.069230769230769"/>
  </r>
  <r>
    <n v="67466492"/>
    <x v="3"/>
    <n v="3429"/>
    <d v="2023-02-16T00:00:00"/>
    <x v="8"/>
    <x v="6"/>
    <n v="5.2680000000000001E-3"/>
    <n v="18.063972"/>
    <s v="PS"/>
    <x v="2"/>
    <x v="3"/>
    <s v="Q1"/>
    <n v="130"/>
    <n v="26.376923076923077"/>
    <s v="PG"/>
    <n v="1"/>
    <n v="3429"/>
    <n v="18.063972"/>
    <n v="26.376923076923077"/>
  </r>
  <r>
    <n v="67466492"/>
    <x v="3"/>
    <n v="4537"/>
    <d v="2023-02-16T00:00:00"/>
    <x v="8"/>
    <x v="7"/>
    <n v="5.2680000000000001E-3"/>
    <n v="23.900916000000002"/>
    <s v="PS"/>
    <x v="2"/>
    <x v="3"/>
    <s v="Q1"/>
    <n v="130"/>
    <n v="34.9"/>
    <s v="PG"/>
    <n v="1"/>
    <n v="4537"/>
    <n v="23.900916000000002"/>
    <n v="34.9"/>
  </r>
  <r>
    <n v="67466492"/>
    <x v="3"/>
    <n v="4529"/>
    <d v="2023-02-16T00:00:00"/>
    <x v="8"/>
    <x v="8"/>
    <n v="5.2680000000000001E-3"/>
    <n v="23.858772000000002"/>
    <s v="PS"/>
    <x v="2"/>
    <x v="3"/>
    <s v="Q1"/>
    <n v="130"/>
    <n v="34.838461538461537"/>
    <s v="PG"/>
    <n v="1"/>
    <n v="4529"/>
    <n v="23.858772000000002"/>
    <n v="34.838461538461537"/>
  </r>
  <r>
    <n v="67466492"/>
    <x v="3"/>
    <n v="2562"/>
    <d v="2023-02-16T00:00:00"/>
    <x v="8"/>
    <x v="9"/>
    <n v="5.2680000000000001E-3"/>
    <n v="13.496616"/>
    <s v="PS"/>
    <x v="2"/>
    <x v="3"/>
    <s v="Q1"/>
    <n v="130"/>
    <n v="19.707692307692309"/>
    <s v="PG"/>
    <n v="1"/>
    <n v="2562"/>
    <n v="13.496616"/>
    <n v="19.707692307692309"/>
  </r>
  <r>
    <n v="67476560"/>
    <x v="3"/>
    <n v="3267"/>
    <d v="2023-02-16T00:00:00"/>
    <x v="10"/>
    <x v="10"/>
    <n v="5.1060000000000003E-3"/>
    <n v="16.681302000000002"/>
    <s v="PS"/>
    <x v="2"/>
    <x v="3"/>
    <s v="Q1"/>
    <n v="130"/>
    <n v="25.130769230769232"/>
    <s v="PG"/>
    <n v="1"/>
    <n v="3267"/>
    <n v="16.681302000000002"/>
    <n v="25.130769230769232"/>
  </r>
  <r>
    <n v="67723726"/>
    <x v="3"/>
    <n v="13425"/>
    <d v="2023-02-16T00:00:00"/>
    <x v="109"/>
    <x v="23"/>
    <n v="8.5199999999999998E-3"/>
    <n v="114.381"/>
    <s v="BR"/>
    <x v="2"/>
    <x v="6"/>
    <s v="Q1"/>
    <n v="154"/>
    <n v="87.175324675324674"/>
    <s v="48oz"/>
    <n v="1"/>
    <n v="13425"/>
    <n v="114.381"/>
    <n v="87.175324675324674"/>
  </r>
  <r>
    <n v="67885716"/>
    <x v="3"/>
    <n v="0"/>
    <d v="2023-02-16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6"/>
    <x v="3"/>
    <n v="0"/>
    <d v="2023-02-16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9"/>
    <x v="3"/>
    <n v="4553"/>
    <d v="2023-02-16T00:00:00"/>
    <x v="11"/>
    <x v="12"/>
    <n v="8.5199999999999998E-3"/>
    <n v="38.791559999999997"/>
    <s v="BR"/>
    <x v="2"/>
    <x v="6"/>
    <s v="Q1"/>
    <n v="154"/>
    <n v="29.564935064935064"/>
    <s v="48oz"/>
    <n v="1"/>
    <n v="4553"/>
    <n v="38.791559999999997"/>
    <n v="29.564935064935064"/>
  </r>
  <r>
    <n v="67885719"/>
    <x v="3"/>
    <n v="3645"/>
    <d v="2023-02-16T00:00:00"/>
    <x v="11"/>
    <x v="11"/>
    <n v="8.5199999999999998E-3"/>
    <n v="31.055399999999999"/>
    <s v="BR"/>
    <x v="2"/>
    <x v="6"/>
    <s v="Q1"/>
    <n v="154"/>
    <n v="23.668831168831169"/>
    <s v="48oz"/>
    <n v="1"/>
    <n v="3645"/>
    <n v="31.055399999999999"/>
    <n v="23.668831168831169"/>
  </r>
  <r>
    <n v="67885719"/>
    <x v="2"/>
    <n v="17329"/>
    <d v="2023-02-16T00:00:00"/>
    <x v="11"/>
    <x v="32"/>
    <n v="8.5199999999999998E-3"/>
    <n v="147.64308"/>
    <s v="BR"/>
    <x v="2"/>
    <x v="2"/>
    <s v="Q1"/>
    <n v="154"/>
    <n v="112.52597402597402"/>
    <s v="48oz"/>
    <n v="1"/>
    <n v="17329"/>
    <n v="147.64308"/>
    <n v="112.52597402597402"/>
  </r>
  <r>
    <n v="67893539"/>
    <x v="2"/>
    <n v="8947"/>
    <d v="2023-02-16T00:00:00"/>
    <x v="12"/>
    <x v="2"/>
    <n v="8.5199999999999998E-3"/>
    <n v="76.228439999999992"/>
    <s v="BR"/>
    <x v="2"/>
    <x v="2"/>
    <s v="Q1"/>
    <n v="154"/>
    <n v="58.097402597402599"/>
    <s v="48oz"/>
    <n v="1"/>
    <n v="8947"/>
    <n v="76.228439999999992"/>
    <n v="58.097402597402599"/>
  </r>
  <r>
    <n v="67901583"/>
    <x v="3"/>
    <n v="3498"/>
    <d v="2023-02-16T00:00:00"/>
    <x v="50"/>
    <x v="11"/>
    <n v="8.5199999999999998E-3"/>
    <n v="29.802959999999999"/>
    <s v="BR"/>
    <x v="2"/>
    <x v="6"/>
    <s v="Q1"/>
    <n v="154"/>
    <n v="22.714285714285715"/>
    <s v="48oz"/>
    <n v="1"/>
    <n v="3498"/>
    <n v="29.802959999999999"/>
    <n v="22.714285714285715"/>
  </r>
  <r>
    <n v="67901583"/>
    <x v="2"/>
    <n v="0"/>
    <d v="2023-02-16T00:00:00"/>
    <x v="50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16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0738"/>
    <x v="3"/>
    <n v="2532"/>
    <d v="2023-02-16T00:00:00"/>
    <x v="120"/>
    <x v="19"/>
    <n v="8.4960000000000001E-3"/>
    <n v="21.511872"/>
    <s v="KL"/>
    <x v="2"/>
    <x v="8"/>
    <s v="Q1"/>
    <n v="132"/>
    <n v="19.181818181818183"/>
    <s v="EDF"/>
    <n v="1"/>
    <n v="2532"/>
    <n v="21.511872"/>
    <n v="19.181818181818183"/>
  </r>
  <r>
    <n v="68309312"/>
    <x v="2"/>
    <n v="3696"/>
    <d v="2023-02-16T00:00:00"/>
    <x v="134"/>
    <x v="2"/>
    <n v="8.5199999999999998E-3"/>
    <n v="31.489919999999998"/>
    <s v="BR"/>
    <x v="2"/>
    <x v="2"/>
    <s v="Q1"/>
    <n v="154"/>
    <n v="24"/>
    <s v="48oz"/>
    <n v="1"/>
    <n v="3696"/>
    <n v="31.489919999999998"/>
    <n v="24"/>
  </r>
  <r>
    <n v="68354588"/>
    <x v="2"/>
    <n v="21905"/>
    <d v="2023-02-16T00:00:00"/>
    <x v="173"/>
    <x v="15"/>
    <n v="3.5999999999999999E-3"/>
    <n v="78.858000000000004"/>
    <s v="BJ"/>
    <x v="2"/>
    <x v="19"/>
    <s v="Q1"/>
    <n v="240"/>
    <n v="91.270833333333329"/>
    <s v="TOPPED"/>
    <n v="1"/>
    <n v="21905"/>
    <n v="78.858000000000004"/>
    <n v="91.270833333333329"/>
  </r>
  <r>
    <n v="68356102"/>
    <x v="2"/>
    <n v="14163"/>
    <d v="2023-02-16T00:00:00"/>
    <x v="13"/>
    <x v="13"/>
    <n v="8.513999999999999E-3"/>
    <n v="120.58378199999999"/>
    <s v="BR"/>
    <x v="2"/>
    <x v="2"/>
    <s v="Q1"/>
    <n v="154"/>
    <n v="91.967532467532465"/>
    <s v="48oz"/>
    <n v="1"/>
    <n v="14163"/>
    <n v="120.58378199999999"/>
    <n v="91.967532467532465"/>
  </r>
  <r>
    <n v="68409142"/>
    <x v="5"/>
    <n v="0"/>
    <d v="2023-02-16T00:00:00"/>
    <x v="60"/>
    <x v="35"/>
    <n v="1.419504E-3"/>
    <n v="0"/>
    <s v="BJ"/>
    <x v="2"/>
    <x v="25"/>
    <s v="Q1"/>
    <n v="510"/>
    <n v="0"/>
    <s v="B&amp;J Dog Treat"/>
    <n v="1"/>
    <n v="0"/>
    <n v="0"/>
    <n v="0"/>
  </r>
  <r>
    <n v="68410352"/>
    <x v="2"/>
    <n v="0"/>
    <d v="2023-02-16T00:00:00"/>
    <x v="14"/>
    <x v="5"/>
    <n v="1.98E-3"/>
    <n v="0"/>
    <s v="MG"/>
    <x v="2"/>
    <x v="5"/>
    <s v="Q1"/>
    <n v="176"/>
    <n v="0"/>
    <s v="MG Sticks"/>
    <n v="1"/>
    <n v="0"/>
    <n v="0"/>
    <n v="0"/>
  </r>
  <r>
    <n v="68410352"/>
    <x v="2"/>
    <n v="3096"/>
    <d v="2023-02-16T00:00:00"/>
    <x v="14"/>
    <x v="14"/>
    <n v="1.98E-3"/>
    <n v="6.1300799999999995"/>
    <s v="MG"/>
    <x v="2"/>
    <x v="5"/>
    <s v="Q1"/>
    <n v="176"/>
    <n v="17.59090909090909"/>
    <s v="MG Sticks"/>
    <n v="1"/>
    <n v="3096"/>
    <n v="6.1300799999999995"/>
    <n v="17.59090909090909"/>
  </r>
  <r>
    <n v="68454511"/>
    <x v="5"/>
    <n v="0"/>
    <d v="2023-02-16T00:00:00"/>
    <x v="143"/>
    <x v="35"/>
    <n v="3.8999999999999998E-3"/>
    <n v="0"/>
    <s v="BJ"/>
    <x v="2"/>
    <x v="25"/>
    <s v="Q1"/>
    <n v="510"/>
    <n v="0"/>
    <s v="B&amp;J Dog Treat"/>
    <n v="1"/>
    <n v="0"/>
    <n v="0"/>
    <n v="0"/>
  </r>
  <r>
    <n v="68521425"/>
    <x v="0"/>
    <n v="16502"/>
    <d v="2023-02-16T00:00:00"/>
    <x v="0"/>
    <x v="0"/>
    <n v="4.248E-3"/>
    <n v="70.100496000000007"/>
    <s v="GH"/>
    <x v="2"/>
    <x v="0"/>
    <s v="Q1"/>
    <n v="216"/>
    <n v="76.398148148148152"/>
    <s v="Giant SW"/>
    <n v="1"/>
    <n v="16502"/>
    <n v="70.100496000000007"/>
    <n v="76.398148148148152"/>
  </r>
  <r>
    <n v="68524845"/>
    <x v="2"/>
    <n v="2281"/>
    <d v="2023-02-16T00:00:00"/>
    <x v="15"/>
    <x v="15"/>
    <n v="3.7839999999999996E-3"/>
    <n v="8.6313039999999983"/>
    <s v="BR"/>
    <x v="2"/>
    <x v="7"/>
    <s v="Q1"/>
    <n v="240"/>
    <n v="9.5041666666666664"/>
    <s v="PTS"/>
    <n v="1"/>
    <n v="2281"/>
    <n v="8.6313039999999983"/>
    <n v="9.5041666666666664"/>
  </r>
  <r>
    <n v="68524845"/>
    <x v="2"/>
    <n v="10301"/>
    <d v="2023-02-16T00:00:00"/>
    <x v="15"/>
    <x v="15"/>
    <n v="3.7839999999999996E-3"/>
    <n v="38.978983999999997"/>
    <s v="BR"/>
    <x v="2"/>
    <x v="7"/>
    <s v="Q1"/>
    <n v="240"/>
    <n v="42.920833333333334"/>
    <s v="PTS"/>
    <n v="1"/>
    <n v="10301"/>
    <n v="38.978983999999997"/>
    <n v="42.920833333333334"/>
  </r>
  <r>
    <n v="68649099"/>
    <x v="2"/>
    <n v="9311"/>
    <d v="2023-02-16T00:00:00"/>
    <x v="252"/>
    <x v="5"/>
    <n v="2.4150494713151304E-3"/>
    <n v="22.48652562741518"/>
    <s v="MG"/>
    <x v="2"/>
    <x v="5"/>
    <s v="Q1"/>
    <n v="210"/>
    <n v="44.338095238095235"/>
    <s v="MG Sticks"/>
    <n v="1"/>
    <n v="9311"/>
    <n v="22.48652562741518"/>
    <n v="44.338095238095235"/>
  </r>
  <r>
    <n v="68656230"/>
    <x v="3"/>
    <n v="7186"/>
    <d v="2023-02-16T00:00:00"/>
    <x v="124"/>
    <x v="16"/>
    <n v="8.5199999999999998E-3"/>
    <n v="61.224719999999998"/>
    <s v="BR"/>
    <x v="2"/>
    <x v="6"/>
    <s v="Q1"/>
    <n v="154"/>
    <n v="46.662337662337663"/>
    <s v="48oz"/>
    <n v="1"/>
    <n v="7186"/>
    <n v="61.224719999999998"/>
    <n v="46.662337662337663"/>
  </r>
  <r>
    <n v="68689251"/>
    <x v="3"/>
    <n v="7006"/>
    <d v="2023-02-16T00:00:00"/>
    <x v="17"/>
    <x v="17"/>
    <n v="9.5760000000000012E-3"/>
    <n v="67.089456000000013"/>
    <s v="KL"/>
    <x v="2"/>
    <x v="8"/>
    <s v="Q1"/>
    <n v="132"/>
    <n v="53.075757575757578"/>
    <s v="EDF"/>
    <n v="1"/>
    <n v="7006"/>
    <n v="67.089456000000013"/>
    <n v="53.075757575757578"/>
  </r>
  <r>
    <n v="68689253"/>
    <x v="2"/>
    <n v="2866"/>
    <d v="2023-02-16T00:00:00"/>
    <x v="125"/>
    <x v="18"/>
    <n v="6.0035555555555554E-3"/>
    <n v="17.206190222222222"/>
    <s v="KL"/>
    <x v="2"/>
    <x v="9"/>
    <s v="Q1"/>
    <n v="120"/>
    <n v="23.883333333333333"/>
    <s v="ESS"/>
    <n v="1"/>
    <n v="2866"/>
    <n v="17.206190222222222"/>
    <n v="23.883333333333333"/>
  </r>
  <r>
    <n v="68709233"/>
    <x v="3"/>
    <n v="7471"/>
    <d v="2023-02-16T00:00:00"/>
    <x v="19"/>
    <x v="20"/>
    <n v="8.4960000000000001E-3"/>
    <n v="63.473616"/>
    <s v="KL"/>
    <x v="2"/>
    <x v="8"/>
    <s v="Q1"/>
    <n v="132"/>
    <n v="56.598484848484851"/>
    <s v="EDF"/>
    <n v="1"/>
    <n v="7471"/>
    <n v="63.473616"/>
    <n v="56.598484848484851"/>
  </r>
  <r>
    <n v="68741714"/>
    <x v="3"/>
    <n v="6889"/>
    <d v="2023-02-16T00:00:00"/>
    <x v="24"/>
    <x v="24"/>
    <n v="2.8319999999999999E-3"/>
    <n v="19.509647999999999"/>
    <s v="GH"/>
    <x v="2"/>
    <x v="4"/>
    <s v="Q1"/>
    <n v="225"/>
    <n v="30.617777777777778"/>
    <s v="MBG"/>
    <n v="1"/>
    <n v="6889"/>
    <n v="19.509647999999999"/>
    <n v="30.617777777777778"/>
  </r>
  <r>
    <n v="68741742"/>
    <x v="2"/>
    <n v="4467"/>
    <d v="2023-02-16T00:00:00"/>
    <x v="25"/>
    <x v="25"/>
    <n v="4.2560000000000002E-3"/>
    <n v="19.011552000000002"/>
    <s v="GH"/>
    <x v="2"/>
    <x v="11"/>
    <s v="Q1"/>
    <n v="154"/>
    <n v="29.006493506493506"/>
    <s v="MBG"/>
    <n v="1"/>
    <n v="4467"/>
    <n v="19.011552000000002"/>
    <n v="29.006493506493506"/>
  </r>
  <r>
    <n v="68842352"/>
    <x v="4"/>
    <n v="4400"/>
    <d v="2023-02-16T00:00:00"/>
    <x v="76"/>
    <x v="0"/>
    <n v="2.6610000000000002E-3"/>
    <n v="11.708400000000001"/>
    <s v="KL"/>
    <x v="2"/>
    <x v="13"/>
    <s v="Q1"/>
    <n v="220"/>
    <n v="20"/>
    <s v="KL Mini Cones"/>
    <n v="1"/>
    <n v="4400"/>
    <n v="11.708400000000001"/>
    <n v="20"/>
  </r>
  <r>
    <n v="68852591"/>
    <x v="2"/>
    <n v="3676"/>
    <d v="2023-02-16T00:00:00"/>
    <x v="26"/>
    <x v="26"/>
    <n v="8.5199999999999998E-3"/>
    <n v="31.319520000000001"/>
    <s v="KL"/>
    <x v="2"/>
    <x v="12"/>
    <s v="Q1"/>
    <n v="132"/>
    <n v="27.848484848484848"/>
    <s v="EDF"/>
    <n v="1"/>
    <n v="3676"/>
    <n v="31.319520000000001"/>
    <n v="27.848484848484848"/>
  </r>
  <r>
    <n v="68890246"/>
    <x v="3"/>
    <n v="701"/>
    <d v="2023-02-16T00:00:00"/>
    <x v="250"/>
    <x v="12"/>
    <n v="5.1101999999999995E-2"/>
    <n v="35.822501999999993"/>
    <s v="BR"/>
    <x v="2"/>
    <x v="6"/>
    <s v="Q1"/>
    <n v="176"/>
    <n v="3.9829545454545454"/>
    <s v="48oz"/>
    <n v="1"/>
    <n v="701"/>
    <n v="35.822501999999993"/>
    <n v="3.9829545454545454"/>
  </r>
  <r>
    <n v="68890246"/>
    <x v="3"/>
    <n v="1085"/>
    <d v="2023-02-16T00:00:00"/>
    <x v="250"/>
    <x v="12"/>
    <n v="5.1101999999999995E-2"/>
    <n v="55.445669999999993"/>
    <s v="BR"/>
    <x v="2"/>
    <x v="6"/>
    <s v="Q1"/>
    <n v="176"/>
    <n v="6.1647727272727275"/>
    <s v="48oz"/>
    <n v="1"/>
    <n v="1085"/>
    <n v="55.445669999999993"/>
    <n v="6.1647727272727275"/>
  </r>
  <r>
    <n v="68890246"/>
    <x v="3"/>
    <n v="0"/>
    <d v="2023-02-16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0246"/>
    <x v="3"/>
    <n v="0"/>
    <d v="2023-02-16T00:00:00"/>
    <x v="250"/>
    <x v="12"/>
    <n v="5.1101999999999995E-2"/>
    <n v="0"/>
    <s v="BR"/>
    <x v="2"/>
    <x v="6"/>
    <s v="Q1"/>
    <n v="176"/>
    <n v="0"/>
    <s v="48oz"/>
    <n v="1"/>
    <n v="0"/>
    <n v="0"/>
    <n v="0"/>
  </r>
  <r>
    <n v="68896052"/>
    <x v="2"/>
    <n v="0"/>
    <d v="2023-02-16T00:00:00"/>
    <x v="36"/>
    <x v="2"/>
    <n v="8.5199999999999998E-3"/>
    <n v="0"/>
    <s v="BR"/>
    <x v="2"/>
    <x v="2"/>
    <s v="Q1"/>
    <n v="176"/>
    <n v="0"/>
    <s v="48oz"/>
    <n v="1"/>
    <n v="0"/>
    <n v="0"/>
    <n v="0"/>
  </r>
  <r>
    <n v="68899825"/>
    <x v="3"/>
    <n v="0"/>
    <d v="2023-02-16T00:00:00"/>
    <x v="77"/>
    <x v="12"/>
    <n v="8.5199999999999998E-3"/>
    <n v="0"/>
    <s v="BR"/>
    <x v="2"/>
    <x v="6"/>
    <s v="Q1"/>
    <n v="176"/>
    <n v="0"/>
    <s v="48oz"/>
    <n v="1"/>
    <n v="0"/>
    <n v="0"/>
    <n v="0"/>
  </r>
  <r>
    <n v="68899825"/>
    <x v="3"/>
    <n v="0"/>
    <d v="2023-02-16T00:00:00"/>
    <x v="77"/>
    <x v="12"/>
    <n v="8.5199999999999998E-3"/>
    <n v="0"/>
    <s v="BR"/>
    <x v="2"/>
    <x v="6"/>
    <s v="Q1"/>
    <n v="176"/>
    <n v="0"/>
    <s v="48oz"/>
    <n v="1"/>
    <n v="0"/>
    <n v="0"/>
    <n v="0"/>
  </r>
  <r>
    <n v="68899825"/>
    <x v="3"/>
    <n v="0"/>
    <d v="2023-02-16T00:00:00"/>
    <x v="77"/>
    <x v="12"/>
    <n v="8.5199999999999998E-3"/>
    <n v="0"/>
    <s v="BR"/>
    <x v="2"/>
    <x v="6"/>
    <s v="Q1"/>
    <n v="176"/>
    <n v="0"/>
    <s v="48oz"/>
    <n v="1"/>
    <n v="0"/>
    <n v="0"/>
    <n v="0"/>
  </r>
  <r>
    <n v="68899825"/>
    <x v="3"/>
    <n v="0"/>
    <d v="2023-02-16T00:00:00"/>
    <x v="77"/>
    <x v="12"/>
    <n v="8.5199999999999998E-3"/>
    <n v="0"/>
    <s v="BR"/>
    <x v="2"/>
    <x v="6"/>
    <s v="Q1"/>
    <n v="176"/>
    <n v="0"/>
    <s v="48oz"/>
    <n v="1"/>
    <n v="0"/>
    <n v="0"/>
    <n v="0"/>
  </r>
  <r>
    <n v="68914406"/>
    <x v="2"/>
    <n v="9952"/>
    <d v="2023-02-16T00:00:00"/>
    <x v="78"/>
    <x v="27"/>
    <n v="2.124E-3"/>
    <n v="21.138048000000001"/>
    <s v="KL"/>
    <x v="2"/>
    <x v="9"/>
    <s v="Q1"/>
    <n v="352"/>
    <n v="28.272727272727273"/>
    <s v="ESS"/>
    <n v="1"/>
    <n v="9952"/>
    <n v="21.138048000000001"/>
    <n v="28.272727272727273"/>
  </r>
  <r>
    <n v="68919013"/>
    <x v="0"/>
    <n v="15925"/>
    <d v="2023-02-16T00:00:00"/>
    <x v="158"/>
    <x v="1"/>
    <n v="3.0280000000000001E-2"/>
    <n v="482.209"/>
    <s v="BR"/>
    <x v="2"/>
    <x v="38"/>
    <s v="Q1"/>
    <n v="240"/>
    <n v="66.354166666666671"/>
    <s v="PTS"/>
    <n v="1"/>
    <n v="15925"/>
    <n v="482.209"/>
    <n v="66.354166666666671"/>
  </r>
  <r>
    <n v="69548143"/>
    <x v="3"/>
    <n v="0"/>
    <d v="2023-02-16T00:00:00"/>
    <x v="159"/>
    <x v="36"/>
    <n v="3.192E-3"/>
    <n v="0"/>
    <s v="KL"/>
    <x v="2"/>
    <x v="28"/>
    <s v="Q1"/>
    <n v="345"/>
    <n v="0"/>
    <s v="EFW"/>
    <n v="1"/>
    <n v="0"/>
    <n v="0"/>
    <n v="0"/>
  </r>
  <r>
    <n v="69549219"/>
    <x v="2"/>
    <n v="0"/>
    <d v="2023-02-16T00:00:00"/>
    <x v="96"/>
    <x v="5"/>
    <n v="1.2227999999999999E-5"/>
    <n v="0"/>
    <s v="MG"/>
    <x v="2"/>
    <x v="5"/>
    <s v="Q1"/>
    <n v="493"/>
    <n v="0"/>
    <s v="MG Sticks"/>
    <n v="1"/>
    <n v="0"/>
    <n v="0"/>
    <n v="0"/>
  </r>
  <r>
    <n v="69551489"/>
    <x v="3"/>
    <n v="561"/>
    <d v="2023-02-16T00:00:00"/>
    <x v="4"/>
    <x v="4"/>
    <n v="3.8989043190215313E-3"/>
    <n v="2.1872853229710789"/>
    <s v="GH"/>
    <x v="2"/>
    <x v="4"/>
    <s v="Q1"/>
    <n v="154"/>
    <n v="3.6428571428571428"/>
    <s v="MBG"/>
    <n v="1"/>
    <n v="561"/>
    <n v="2.1872853229710789"/>
    <n v="3.6428571428571428"/>
  </r>
  <r>
    <n v="69554197"/>
    <x v="2"/>
    <n v="9338"/>
    <d v="2023-02-16T00:00:00"/>
    <x v="15"/>
    <x v="15"/>
    <n v="3.7839999999999996E-3"/>
    <n v="35.334992"/>
    <s v="BR"/>
    <x v="2"/>
    <x v="7"/>
    <s v="Q1"/>
    <n v="240"/>
    <n v="38.908333333333331"/>
    <s v="PTS"/>
    <n v="1"/>
    <n v="9338"/>
    <n v="35.334992"/>
    <n v="38.908333333333331"/>
  </r>
  <r>
    <n v="69555090"/>
    <x v="2"/>
    <n v="0"/>
    <d v="2023-02-16T00:00:00"/>
    <x v="254"/>
    <x v="14"/>
    <n v="1.98E-3"/>
    <n v="0"/>
    <s v="TA"/>
    <x v="2"/>
    <x v="42"/>
    <s v="Q1"/>
    <n v="176"/>
    <n v="0"/>
    <s v="TAL NV"/>
    <n v="1"/>
    <n v="0"/>
    <n v="0"/>
    <n v="0"/>
  </r>
  <r>
    <n v="69568963"/>
    <x v="2"/>
    <n v="0"/>
    <d v="2023-02-16T00:00:00"/>
    <x v="94"/>
    <x v="13"/>
    <n v="8.5199999999999998E-3"/>
    <n v="0"/>
    <s v="BR"/>
    <x v="2"/>
    <x v="2"/>
    <s v="Q1"/>
    <n v="176"/>
    <n v="0"/>
    <s v="48oz"/>
    <n v="1"/>
    <n v="0"/>
    <n v="0"/>
    <n v="0"/>
  </r>
  <r>
    <n v="69572544"/>
    <x v="2"/>
    <n v="3264"/>
    <d v="2023-02-16T00:00:00"/>
    <x v="171"/>
    <x v="14"/>
    <n v="1.9740000000000001E-3"/>
    <n v="6.443136"/>
    <s v="MG"/>
    <x v="2"/>
    <x v="5"/>
    <s v="Q1"/>
    <n v="176"/>
    <n v="18.545454545454547"/>
    <s v="MG Sticks"/>
    <n v="1"/>
    <n v="3264"/>
    <n v="6.443136"/>
    <n v="18.545454545454547"/>
  </r>
  <r>
    <n v="69572544"/>
    <x v="2"/>
    <n v="0"/>
    <d v="2023-02-16T00:00:00"/>
    <x v="171"/>
    <x v="14"/>
    <n v="1.9740000000000001E-3"/>
    <n v="0"/>
    <s v="MG"/>
    <x v="2"/>
    <x v="5"/>
    <s v="Q1"/>
    <n v="176"/>
    <n v="0"/>
    <s v="MG Sticks"/>
    <n v="1"/>
    <n v="0"/>
    <n v="0"/>
    <n v="0"/>
  </r>
  <r>
    <n v="69572544"/>
    <x v="2"/>
    <n v="0"/>
    <d v="2023-02-16T00:00:00"/>
    <x v="171"/>
    <x v="14"/>
    <n v="1.9740000000000001E-3"/>
    <n v="0"/>
    <s v="MG"/>
    <x v="2"/>
    <x v="5"/>
    <s v="Q1"/>
    <n v="176"/>
    <n v="0"/>
    <s v="MG Sticks"/>
    <n v="1"/>
    <n v="0"/>
    <n v="0"/>
    <n v="0"/>
  </r>
  <r>
    <n v="69572659"/>
    <x v="2"/>
    <n v="0"/>
    <d v="2023-02-16T00:00:00"/>
    <x v="5"/>
    <x v="5"/>
    <n v="2.1520000000000003E-3"/>
    <n v="0"/>
    <s v="MG"/>
    <x v="2"/>
    <x v="5"/>
    <s v="Q1"/>
    <n v="210"/>
    <n v="0"/>
    <s v="MG Sticks"/>
    <n v="1"/>
    <n v="0"/>
    <n v="0"/>
    <n v="0"/>
  </r>
  <r>
    <n v="69621212"/>
    <x v="2"/>
    <n v="5395"/>
    <d v="2023-02-16T00:00:00"/>
    <x v="29"/>
    <x v="28"/>
    <n v="5.2680000000000001E-3"/>
    <n v="28.420860000000001"/>
    <s v="PG"/>
    <x v="2"/>
    <x v="14"/>
    <s v="Q1"/>
    <n v="130"/>
    <n v="41.5"/>
    <s v="PG"/>
    <n v="1"/>
    <n v="5395"/>
    <n v="28.420860000000001"/>
    <n v="41.5"/>
  </r>
  <r>
    <n v="69653125"/>
    <x v="0"/>
    <m/>
    <d v="2023-02-16T00:00:00"/>
    <x v="146"/>
    <x v="0"/>
    <n v="5.3220000000000003E-3"/>
    <n v="0"/>
    <s v="BR"/>
    <x v="2"/>
    <x v="37"/>
    <s v="Q1"/>
    <n v="120"/>
    <n v="0"/>
    <s v="BR Minicups"/>
    <n v="1"/>
    <n v="0"/>
    <n v="0"/>
    <n v="0"/>
  </r>
  <r>
    <n v="69671652"/>
    <x v="3"/>
    <n v="0"/>
    <d v="2023-02-16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4195"/>
    <d v="2023-02-16T00:00:00"/>
    <x v="30"/>
    <x v="29"/>
    <n v="5.2680000000000001E-3"/>
    <n v="22.099260000000001"/>
    <s v="PS"/>
    <x v="2"/>
    <x v="3"/>
    <s v="Q1"/>
    <n v="108"/>
    <n v="38.842592592592595"/>
    <s v="PG"/>
    <n v="1"/>
    <n v="4195"/>
    <n v="22.099260000000001"/>
    <n v="38.842592592592595"/>
  </r>
  <r>
    <n v="69677917"/>
    <x v="2"/>
    <n v="3006"/>
    <d v="2023-02-16T00:00:00"/>
    <x v="30"/>
    <x v="30"/>
    <n v="5.2680000000000001E-3"/>
    <n v="15.835608000000001"/>
    <s v="PS"/>
    <x v="2"/>
    <x v="14"/>
    <s v="Q1"/>
    <n v="108"/>
    <n v="27.833333333333332"/>
    <s v="PG"/>
    <n v="1"/>
    <n v="3006"/>
    <n v="15.835608000000001"/>
    <n v="27.833333333333332"/>
  </r>
  <r>
    <n v="69684522"/>
    <x v="2"/>
    <n v="0"/>
    <d v="2023-02-16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67465063"/>
    <x v="3"/>
    <n v="0"/>
    <d v="2023-02-17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17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003"/>
    <d v="2023-02-17T00:00:00"/>
    <x v="7"/>
    <x v="3"/>
    <n v="1.596E-3"/>
    <n v="1.6007879999999999"/>
    <s v="PS"/>
    <x v="2"/>
    <x v="3"/>
    <s v="Q1"/>
    <n v="130"/>
    <n v="7.7153846153846155"/>
    <s v="PG"/>
    <n v="1"/>
    <n v="1003"/>
    <n v="1.6007879999999999"/>
    <n v="7.7153846153846155"/>
  </r>
  <r>
    <n v="67466492"/>
    <x v="3"/>
    <n v="4068"/>
    <d v="2023-02-17T00:00:00"/>
    <x v="8"/>
    <x v="6"/>
    <n v="5.2680000000000001E-3"/>
    <n v="21.430223999999999"/>
    <s v="PS"/>
    <x v="2"/>
    <x v="3"/>
    <s v="Q1"/>
    <n v="130"/>
    <n v="31.292307692307691"/>
    <s v="PG"/>
    <n v="1"/>
    <n v="4068"/>
    <n v="21.430223999999999"/>
    <n v="31.292307692307691"/>
  </r>
  <r>
    <n v="67466492"/>
    <x v="3"/>
    <n v="2814"/>
    <d v="2023-02-17T00:00:00"/>
    <x v="8"/>
    <x v="7"/>
    <n v="5.2680000000000001E-3"/>
    <n v="14.824152"/>
    <s v="PS"/>
    <x v="2"/>
    <x v="3"/>
    <s v="Q1"/>
    <n v="130"/>
    <n v="21.646153846153847"/>
    <s v="PG"/>
    <n v="1"/>
    <n v="2814"/>
    <n v="14.824152"/>
    <n v="21.646153846153847"/>
  </r>
  <r>
    <n v="67466492"/>
    <x v="3"/>
    <n v="3988"/>
    <d v="2023-02-17T00:00:00"/>
    <x v="8"/>
    <x v="8"/>
    <n v="5.2680000000000001E-3"/>
    <n v="21.008784000000002"/>
    <s v="PS"/>
    <x v="2"/>
    <x v="3"/>
    <s v="Q1"/>
    <n v="130"/>
    <n v="30.676923076923078"/>
    <s v="PG"/>
    <n v="1"/>
    <n v="3988"/>
    <n v="21.008784000000002"/>
    <n v="30.676923076923078"/>
  </r>
  <r>
    <n v="67466492"/>
    <x v="3"/>
    <n v="1971"/>
    <d v="2023-02-17T00:00:00"/>
    <x v="8"/>
    <x v="9"/>
    <n v="5.2680000000000001E-3"/>
    <n v="10.383228000000001"/>
    <s v="PS"/>
    <x v="2"/>
    <x v="3"/>
    <s v="Q1"/>
    <n v="130"/>
    <n v="15.161538461538461"/>
    <s v="PG"/>
    <n v="1"/>
    <n v="1971"/>
    <n v="10.383228000000001"/>
    <n v="15.161538461538461"/>
  </r>
  <r>
    <n v="67476560"/>
    <x v="3"/>
    <n v="2201"/>
    <d v="2023-02-17T00:00:00"/>
    <x v="10"/>
    <x v="10"/>
    <n v="5.1060000000000003E-3"/>
    <n v="11.238306000000001"/>
    <s v="PS"/>
    <x v="2"/>
    <x v="3"/>
    <s v="Q1"/>
    <n v="130"/>
    <n v="16.930769230769229"/>
    <s v="PG"/>
    <n v="1"/>
    <n v="2201"/>
    <n v="11.238306000000001"/>
    <n v="16.930769230769229"/>
  </r>
  <r>
    <n v="67723726"/>
    <x v="3"/>
    <n v="8866"/>
    <d v="2023-02-17T00:00:00"/>
    <x v="109"/>
    <x v="23"/>
    <n v="8.5199999999999998E-3"/>
    <n v="75.538319999999999"/>
    <s v="BR"/>
    <x v="2"/>
    <x v="6"/>
    <s v="Q1"/>
    <n v="154"/>
    <n v="57.571428571428569"/>
    <s v="48oz"/>
    <n v="1"/>
    <n v="8866"/>
    <n v="75.538319999999999"/>
    <n v="57.571428571428569"/>
  </r>
  <r>
    <n v="67789313"/>
    <x v="5"/>
    <n v="0"/>
    <d v="2023-02-17T00:00:00"/>
    <x v="169"/>
    <x v="35"/>
    <n v="3.7853439999999999E-3"/>
    <n v="0"/>
    <s v="BJ"/>
    <x v="2"/>
    <x v="15"/>
    <s v="Q1"/>
    <n v="240"/>
    <n v="0"/>
    <s v="BJ PTS"/>
    <n v="1"/>
    <n v="0"/>
    <n v="0"/>
    <n v="0"/>
  </r>
  <r>
    <n v="67885716"/>
    <x v="3"/>
    <n v="0"/>
    <d v="2023-02-17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9"/>
    <x v="3"/>
    <n v="0"/>
    <d v="2023-02-17T00:00:00"/>
    <x v="11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3"/>
    <n v="6439"/>
    <d v="2023-02-17T00:00:00"/>
    <x v="11"/>
    <x v="11"/>
    <n v="8.5199999999999998E-3"/>
    <n v="54.860279999999996"/>
    <s v="BR"/>
    <x v="2"/>
    <x v="6"/>
    <s v="Q1"/>
    <n v="154"/>
    <n v="41.811688311688314"/>
    <s v="48oz"/>
    <n v="1"/>
    <n v="6439"/>
    <n v="54.860279999999996"/>
    <n v="41.811688311688314"/>
  </r>
  <r>
    <n v="67885719"/>
    <x v="2"/>
    <n v="20060"/>
    <d v="2023-02-17T00:00:00"/>
    <x v="11"/>
    <x v="32"/>
    <n v="8.5199999999999998E-3"/>
    <n v="170.91120000000001"/>
    <s v="BR"/>
    <x v="2"/>
    <x v="2"/>
    <s v="Q1"/>
    <n v="154"/>
    <n v="130.25974025974025"/>
    <s v="48oz"/>
    <n v="1"/>
    <n v="20060"/>
    <n v="170.91120000000001"/>
    <n v="130.25974025974025"/>
  </r>
  <r>
    <n v="67893539"/>
    <x v="3"/>
    <n v="11928"/>
    <d v="2023-02-17T00:00:00"/>
    <x v="12"/>
    <x v="16"/>
    <n v="8.5199999999999998E-3"/>
    <n v="101.62656"/>
    <s v="BR"/>
    <x v="2"/>
    <x v="6"/>
    <s v="Q1"/>
    <n v="154"/>
    <n v="77.454545454545453"/>
    <s v="48oz"/>
    <n v="1"/>
    <n v="11928"/>
    <n v="101.62656"/>
    <n v="77.454545454545453"/>
  </r>
  <r>
    <n v="67901583"/>
    <x v="3"/>
    <n v="0"/>
    <d v="2023-02-17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83"/>
    <x v="2"/>
    <n v="0"/>
    <d v="2023-02-17T00:00:00"/>
    <x v="50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17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0738"/>
    <x v="3"/>
    <n v="0"/>
    <d v="2023-02-17T00:00:00"/>
    <x v="120"/>
    <x v="19"/>
    <n v="8.4960000000000001E-3"/>
    <n v="0"/>
    <s v="KL"/>
    <x v="2"/>
    <x v="8"/>
    <s v="Q1"/>
    <n v="132"/>
    <n v="0"/>
    <s v="EDF"/>
    <n v="1"/>
    <n v="0"/>
    <n v="0"/>
    <n v="0"/>
  </r>
  <r>
    <n v="68309312"/>
    <x v="2"/>
    <n v="9808"/>
    <d v="2023-02-17T00:00:00"/>
    <x v="134"/>
    <x v="2"/>
    <n v="8.5199999999999998E-3"/>
    <n v="83.564160000000001"/>
    <s v="BR"/>
    <x v="2"/>
    <x v="2"/>
    <s v="Q1"/>
    <n v="154"/>
    <n v="63.688311688311686"/>
    <s v="48oz"/>
    <n v="1"/>
    <n v="9808"/>
    <n v="83.564160000000001"/>
    <n v="63.688311688311686"/>
  </r>
  <r>
    <n v="68356102"/>
    <x v="2"/>
    <n v="8630"/>
    <d v="2023-02-17T00:00:00"/>
    <x v="13"/>
    <x v="13"/>
    <n v="8.513999999999999E-3"/>
    <n v="73.475819999999985"/>
    <s v="BR"/>
    <x v="2"/>
    <x v="2"/>
    <s v="Q1"/>
    <n v="154"/>
    <n v="56.038961038961041"/>
    <s v="48oz"/>
    <n v="1"/>
    <n v="8630"/>
    <n v="73.475819999999985"/>
    <n v="56.038961038961041"/>
  </r>
  <r>
    <n v="68599804"/>
    <x v="0"/>
    <n v="404"/>
    <d v="2023-02-17T00:00:00"/>
    <x v="114"/>
    <x v="1"/>
    <n v="8.5170239596469108E-3"/>
    <n v="3.4408776796973521"/>
    <s v="BR"/>
    <x v="2"/>
    <x v="32"/>
    <s v="Q1"/>
    <n v="156"/>
    <n v="2.5897435897435899"/>
    <s v="48oz"/>
    <n v="1"/>
    <n v="404"/>
    <n v="3.4408776796973521"/>
    <n v="2.5897435897435899"/>
  </r>
  <r>
    <n v="68649099"/>
    <x v="2"/>
    <n v="0"/>
    <d v="2023-02-17T00:00:00"/>
    <x v="252"/>
    <x v="5"/>
    <n v="2.4150494713151304E-3"/>
    <n v="0"/>
    <s v="MG"/>
    <x v="2"/>
    <x v="5"/>
    <s v="Q1"/>
    <n v="210"/>
    <n v="0"/>
    <s v="MG Sticks"/>
    <n v="1"/>
    <n v="0"/>
    <n v="0"/>
    <n v="0"/>
  </r>
  <r>
    <n v="68689251"/>
    <x v="3"/>
    <n v="6825"/>
    <d v="2023-02-17T00:00:00"/>
    <x v="17"/>
    <x v="17"/>
    <n v="9.5760000000000012E-3"/>
    <n v="65.356200000000001"/>
    <s v="KL"/>
    <x v="2"/>
    <x v="8"/>
    <s v="Q1"/>
    <n v="132"/>
    <n v="51.704545454545453"/>
    <s v="EDF"/>
    <n v="1"/>
    <n v="6825"/>
    <n v="65.356200000000001"/>
    <n v="51.704545454545453"/>
  </r>
  <r>
    <n v="68689253"/>
    <x v="2"/>
    <n v="4471"/>
    <d v="2023-02-17T00:00:00"/>
    <x v="125"/>
    <x v="18"/>
    <n v="6.0035555555555554E-3"/>
    <n v="26.84189688888889"/>
    <s v="KL"/>
    <x v="2"/>
    <x v="9"/>
    <s v="Q1"/>
    <n v="120"/>
    <n v="37.258333333333333"/>
    <s v="ESS"/>
    <n v="1"/>
    <n v="4471"/>
    <n v="26.84189688888889"/>
    <n v="37.258333333333333"/>
  </r>
  <r>
    <n v="68709233"/>
    <x v="3"/>
    <n v="5354"/>
    <d v="2023-02-17T00:00:00"/>
    <x v="19"/>
    <x v="20"/>
    <n v="8.4960000000000001E-3"/>
    <n v="45.487583999999998"/>
    <s v="KL"/>
    <x v="2"/>
    <x v="8"/>
    <s v="Q1"/>
    <n v="132"/>
    <n v="40.560606060606062"/>
    <s v="EDF"/>
    <n v="1"/>
    <n v="5354"/>
    <n v="45.487583999999998"/>
    <n v="40.560606060606062"/>
  </r>
  <r>
    <n v="68741714"/>
    <x v="3"/>
    <n v="2512"/>
    <d v="2023-02-17T00:00:00"/>
    <x v="24"/>
    <x v="24"/>
    <n v="2.8319999999999999E-3"/>
    <n v="7.1139839999999994"/>
    <s v="GH"/>
    <x v="2"/>
    <x v="4"/>
    <s v="Q1"/>
    <n v="225"/>
    <n v="11.164444444444445"/>
    <s v="MBG"/>
    <n v="1"/>
    <n v="2512"/>
    <n v="7.1139839999999994"/>
    <n v="11.164444444444445"/>
  </r>
  <r>
    <n v="68741742"/>
    <x v="2"/>
    <n v="4562"/>
    <d v="2023-02-17T00:00:00"/>
    <x v="25"/>
    <x v="25"/>
    <n v="4.2560000000000002E-3"/>
    <n v="19.415872"/>
    <s v="GH"/>
    <x v="2"/>
    <x v="11"/>
    <s v="Q1"/>
    <n v="154"/>
    <n v="29.623376623376622"/>
    <s v="MBG"/>
    <n v="1"/>
    <n v="4562"/>
    <n v="19.415872"/>
    <n v="29.623376623376622"/>
  </r>
  <r>
    <n v="68852591"/>
    <x v="2"/>
    <n v="3772"/>
    <d v="2023-02-17T00:00:00"/>
    <x v="26"/>
    <x v="26"/>
    <n v="8.5199999999999998E-3"/>
    <n v="32.137439999999998"/>
    <s v="KL"/>
    <x v="2"/>
    <x v="12"/>
    <s v="Q1"/>
    <n v="132"/>
    <n v="28.575757575757574"/>
    <s v="EDF"/>
    <n v="1"/>
    <n v="3772"/>
    <n v="32.137439999999998"/>
    <n v="28.575757575757574"/>
  </r>
  <r>
    <n v="68890246"/>
    <x v="3"/>
    <n v="5808"/>
    <d v="2023-02-17T00:00:00"/>
    <x v="250"/>
    <x v="12"/>
    <n v="5.1101999999999995E-2"/>
    <n v="296.80041599999998"/>
    <s v="BR"/>
    <x v="2"/>
    <x v="6"/>
    <s v="Q1"/>
    <n v="176"/>
    <n v="33"/>
    <s v="48oz"/>
    <n v="1"/>
    <n v="5808"/>
    <n v="296.80041599999998"/>
    <n v="33"/>
  </r>
  <r>
    <n v="68914406"/>
    <x v="2"/>
    <n v="3050"/>
    <d v="2023-02-17T00:00:00"/>
    <x v="78"/>
    <x v="27"/>
    <n v="2.124E-3"/>
    <n v="6.4782000000000002"/>
    <s v="KL"/>
    <x v="2"/>
    <x v="9"/>
    <s v="Q1"/>
    <n v="352"/>
    <n v="8.6647727272727266"/>
    <s v="ESS"/>
    <n v="1"/>
    <n v="3050"/>
    <n v="6.4782000000000002"/>
    <n v="8.6647727272727266"/>
  </r>
  <r>
    <n v="69549217"/>
    <x v="2"/>
    <n v="0"/>
    <d v="2023-02-17T00:00:00"/>
    <x v="80"/>
    <x v="5"/>
    <n v="2.0400000000000001E-3"/>
    <n v="0"/>
    <s v="MG"/>
    <x v="2"/>
    <x v="5"/>
    <s v="Q1"/>
    <n v="189"/>
    <n v="0"/>
    <s v="MG Sticks"/>
    <n v="1"/>
    <n v="0"/>
    <n v="0"/>
    <n v="0"/>
  </r>
  <r>
    <n v="69551489"/>
    <x v="3"/>
    <n v="4912"/>
    <d v="2023-02-17T00:00:00"/>
    <x v="4"/>
    <x v="4"/>
    <n v="3.8989043190215313E-3"/>
    <n v="19.151418015033762"/>
    <s v="GH"/>
    <x v="2"/>
    <x v="4"/>
    <s v="Q1"/>
    <n v="154"/>
    <n v="31.896103896103895"/>
    <s v="MBG"/>
    <n v="1"/>
    <n v="4912"/>
    <n v="19.151418015033762"/>
    <n v="31.896103896103895"/>
  </r>
  <r>
    <n v="69551489"/>
    <x v="3"/>
    <n v="2143"/>
    <d v="2023-02-17T00:00:00"/>
    <x v="4"/>
    <x v="4"/>
    <n v="3.8989043190215313E-3"/>
    <n v="8.3553519556631421"/>
    <s v="GH"/>
    <x v="2"/>
    <x v="4"/>
    <s v="Q1"/>
    <n v="154"/>
    <n v="13.915584415584416"/>
    <s v="MBG"/>
    <n v="1"/>
    <n v="2143"/>
    <n v="8.3553519556631421"/>
    <n v="13.915584415584416"/>
  </r>
  <r>
    <n v="69554197"/>
    <x v="2"/>
    <n v="14695"/>
    <d v="2023-02-17T00:00:00"/>
    <x v="15"/>
    <x v="15"/>
    <n v="3.7839999999999996E-3"/>
    <n v="55.605879999999992"/>
    <s v="BR"/>
    <x v="2"/>
    <x v="7"/>
    <s v="Q1"/>
    <n v="240"/>
    <n v="61.229166666666664"/>
    <s v="PTS"/>
    <n v="1"/>
    <n v="14695"/>
    <n v="55.605879999999992"/>
    <n v="61.229166666666664"/>
  </r>
  <r>
    <n v="69554202"/>
    <x v="2"/>
    <n v="3425"/>
    <d v="2023-02-17T00:00:00"/>
    <x v="47"/>
    <x v="15"/>
    <n v="3.5999999999999999E-3"/>
    <n v="12.33"/>
    <s v="BJ"/>
    <x v="2"/>
    <x v="19"/>
    <s v="Q1"/>
    <n v="240"/>
    <n v="14.270833333333334"/>
    <s v="TOPPED"/>
    <n v="1"/>
    <n v="3425"/>
    <n v="12.33"/>
    <n v="14.270833333333334"/>
  </r>
  <r>
    <n v="69555090"/>
    <x v="2"/>
    <n v="0"/>
    <d v="2023-02-17T00:00:00"/>
    <x v="254"/>
    <x v="14"/>
    <n v="1.98E-3"/>
    <n v="0"/>
    <s v="TA"/>
    <x v="2"/>
    <x v="42"/>
    <s v="Q1"/>
    <n v="176"/>
    <n v="0"/>
    <s v="TAL NV"/>
    <n v="1"/>
    <n v="0"/>
    <n v="0"/>
    <n v="0"/>
  </r>
  <r>
    <n v="69568963"/>
    <x v="2"/>
    <n v="0"/>
    <d v="2023-02-17T00:00:00"/>
    <x v="94"/>
    <x v="13"/>
    <n v="8.5199999999999998E-3"/>
    <n v="0"/>
    <s v="BR"/>
    <x v="2"/>
    <x v="2"/>
    <s v="Q1"/>
    <n v="176"/>
    <n v="0"/>
    <s v="48oz"/>
    <n v="1"/>
    <n v="0"/>
    <n v="0"/>
    <n v="0"/>
  </r>
  <r>
    <n v="69572544"/>
    <x v="2"/>
    <n v="6233"/>
    <d v="2023-02-17T00:00:00"/>
    <x v="171"/>
    <x v="14"/>
    <n v="1.9740000000000001E-3"/>
    <n v="12.303942000000001"/>
    <s v="MG"/>
    <x v="2"/>
    <x v="5"/>
    <s v="Q1"/>
    <n v="176"/>
    <n v="35.414772727272727"/>
    <s v="MG Sticks"/>
    <n v="1"/>
    <n v="6233"/>
    <n v="12.303942000000001"/>
    <n v="35.414772727272727"/>
  </r>
  <r>
    <n v="69572659"/>
    <x v="2"/>
    <n v="3888"/>
    <d v="2023-02-17T00:00:00"/>
    <x v="5"/>
    <x v="5"/>
    <n v="2.1520000000000003E-3"/>
    <n v="8.3669760000000011"/>
    <s v="MG"/>
    <x v="2"/>
    <x v="5"/>
    <s v="Q1"/>
    <n v="210"/>
    <n v="18.514285714285716"/>
    <s v="MG Sticks"/>
    <n v="1"/>
    <n v="3888"/>
    <n v="8.3669760000000011"/>
    <n v="18.514285714285716"/>
  </r>
  <r>
    <n v="69621212"/>
    <x v="2"/>
    <n v="5253"/>
    <d v="2023-02-17T00:00:00"/>
    <x v="29"/>
    <x v="28"/>
    <n v="5.2680000000000001E-3"/>
    <n v="27.672803999999999"/>
    <s v="PG"/>
    <x v="2"/>
    <x v="14"/>
    <s v="Q1"/>
    <n v="130"/>
    <n v="40.407692307692308"/>
    <s v="PG"/>
    <n v="1"/>
    <n v="5253"/>
    <n v="27.672803999999999"/>
    <n v="40.407692307692308"/>
  </r>
  <r>
    <n v="69629469"/>
    <x v="4"/>
    <n v="2400"/>
    <d v="2023-02-17T00:00:00"/>
    <x v="8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1652"/>
    <x v="3"/>
    <n v="0"/>
    <d v="2023-02-17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4462"/>
    <d v="2023-02-17T00:00:00"/>
    <x v="30"/>
    <x v="29"/>
    <n v="5.2680000000000001E-3"/>
    <n v="23.505815999999999"/>
    <s v="PS"/>
    <x v="2"/>
    <x v="3"/>
    <s v="Q1"/>
    <n v="108"/>
    <n v="41.314814814814817"/>
    <s v="PG"/>
    <n v="1"/>
    <n v="4462"/>
    <n v="23.505815999999999"/>
    <n v="41.314814814814817"/>
  </r>
  <r>
    <n v="69677917"/>
    <x v="2"/>
    <n v="5035"/>
    <d v="2023-02-17T00:00:00"/>
    <x v="30"/>
    <x v="30"/>
    <n v="5.2680000000000001E-3"/>
    <n v="26.524380000000001"/>
    <s v="PS"/>
    <x v="2"/>
    <x v="14"/>
    <s v="Q1"/>
    <n v="108"/>
    <n v="46.620370370370374"/>
    <s v="PG"/>
    <n v="1"/>
    <n v="5035"/>
    <n v="26.524380000000001"/>
    <n v="46.620370370370374"/>
  </r>
  <r>
    <n v="69684522"/>
    <x v="2"/>
    <n v="0"/>
    <d v="2023-02-17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84141113"/>
    <x v="5"/>
    <n v="17758"/>
    <d v="2023-02-17T00:00:00"/>
    <x v="257"/>
    <x v="33"/>
    <n v="1.419504E-3"/>
    <n v="25.207552032000002"/>
    <s v="BJ"/>
    <x v="2"/>
    <x v="16"/>
    <s v="Q1"/>
    <n v="510"/>
    <n v="34.819607843137256"/>
    <s v="B&amp;J Cups"/>
    <n v="1"/>
    <n v="17758"/>
    <n v="25.207552032000002"/>
    <n v="34.819607843137256"/>
  </r>
  <r>
    <n v="67309841"/>
    <x v="2"/>
    <n v="0"/>
    <d v="2023-02-18T00:00:00"/>
    <x v="32"/>
    <x v="32"/>
    <n v="8.5199999999999998E-3"/>
    <n v="0"/>
    <s v="BR"/>
    <x v="2"/>
    <x v="2"/>
    <s v="Q1"/>
    <n v="154"/>
    <n v="0"/>
    <s v="48oz"/>
    <n v="1"/>
    <n v="0"/>
    <n v="0"/>
    <n v="0"/>
  </r>
  <r>
    <n v="67466492"/>
    <x v="3"/>
    <n v="4361"/>
    <d v="2023-02-18T00:00:00"/>
    <x v="8"/>
    <x v="6"/>
    <n v="5.2680000000000001E-3"/>
    <n v="22.973748000000001"/>
    <s v="PS"/>
    <x v="2"/>
    <x v="3"/>
    <s v="Q1"/>
    <n v="130"/>
    <n v="33.54615384615385"/>
    <s v="PG"/>
    <n v="1"/>
    <n v="4361"/>
    <n v="22.973748000000001"/>
    <n v="33.54615384615385"/>
  </r>
  <r>
    <n v="67466492"/>
    <x v="3"/>
    <n v="4079"/>
    <d v="2023-02-18T00:00:00"/>
    <x v="8"/>
    <x v="8"/>
    <n v="5.2680000000000001E-3"/>
    <n v="21.488171999999999"/>
    <s v="PS"/>
    <x v="2"/>
    <x v="3"/>
    <s v="Q1"/>
    <n v="130"/>
    <n v="31.376923076923077"/>
    <s v="PG"/>
    <n v="1"/>
    <n v="4079"/>
    <n v="21.488171999999999"/>
    <n v="31.376923076923077"/>
  </r>
  <r>
    <n v="67476560"/>
    <x v="3"/>
    <n v="2282"/>
    <d v="2023-02-18T00:00:00"/>
    <x v="10"/>
    <x v="10"/>
    <n v="5.1060000000000003E-3"/>
    <n v="11.651892"/>
    <s v="PS"/>
    <x v="2"/>
    <x v="3"/>
    <s v="Q1"/>
    <n v="130"/>
    <n v="17.553846153846155"/>
    <s v="PG"/>
    <n v="1"/>
    <n v="2282"/>
    <n v="11.651892"/>
    <n v="17.553846153846155"/>
  </r>
  <r>
    <n v="67723726"/>
    <x v="3"/>
    <n v="14362"/>
    <d v="2023-02-18T00:00:00"/>
    <x v="109"/>
    <x v="23"/>
    <n v="8.5199999999999998E-3"/>
    <n v="122.36424"/>
    <s v="BR"/>
    <x v="2"/>
    <x v="6"/>
    <s v="Q1"/>
    <n v="154"/>
    <n v="93.259740259740255"/>
    <s v="48oz"/>
    <n v="1"/>
    <n v="14362"/>
    <n v="122.36424"/>
    <n v="93.259740259740255"/>
  </r>
  <r>
    <n v="67885716"/>
    <x v="3"/>
    <n v="0"/>
    <d v="2023-02-18T00:00:00"/>
    <x v="89"/>
    <x v="11"/>
    <n v="8.5199999999999998E-3"/>
    <n v="0"/>
    <s v="BR"/>
    <x v="2"/>
    <x v="6"/>
    <s v="Q1"/>
    <n v="154"/>
    <n v="0"/>
    <s v="48oz"/>
    <n v="1"/>
    <n v="0"/>
    <n v="0"/>
    <n v="0"/>
  </r>
  <r>
    <n v="67885718"/>
    <x v="3"/>
    <n v="0"/>
    <d v="2023-02-18T00:00:00"/>
    <x v="48"/>
    <x v="12"/>
    <n v="8.5199999999999998E-3"/>
    <n v="0"/>
    <s v="BR"/>
    <x v="2"/>
    <x v="6"/>
    <s v="Q1"/>
    <n v="154"/>
    <n v="0"/>
    <s v="48oz"/>
    <n v="1"/>
    <n v="0"/>
    <n v="0"/>
    <n v="0"/>
  </r>
  <r>
    <n v="67893539"/>
    <x v="3"/>
    <n v="14348"/>
    <d v="2023-02-18T00:00:00"/>
    <x v="12"/>
    <x v="16"/>
    <n v="8.5199999999999998E-3"/>
    <n v="122.24495999999999"/>
    <s v="BR"/>
    <x v="2"/>
    <x v="6"/>
    <s v="Q1"/>
    <n v="154"/>
    <n v="93.168831168831176"/>
    <s v="48oz"/>
    <n v="1"/>
    <n v="14348"/>
    <n v="122.24495999999999"/>
    <n v="93.168831168831176"/>
  </r>
  <r>
    <n v="67901583"/>
    <x v="2"/>
    <n v="0"/>
    <d v="2023-02-18T00:00:00"/>
    <x v="50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18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9312"/>
    <x v="2"/>
    <n v="14266"/>
    <d v="2023-02-18T00:00:00"/>
    <x v="134"/>
    <x v="2"/>
    <n v="8.5199999999999998E-3"/>
    <n v="121.54631999999999"/>
    <s v="BR"/>
    <x v="2"/>
    <x v="2"/>
    <s v="Q1"/>
    <n v="154"/>
    <n v="92.63636363636364"/>
    <s v="48oz"/>
    <n v="1"/>
    <n v="14266"/>
    <n v="121.54631999999999"/>
    <n v="92.63636363636364"/>
  </r>
  <r>
    <n v="68356102"/>
    <x v="2"/>
    <n v="86"/>
    <d v="2023-02-18T00:00:00"/>
    <x v="13"/>
    <x v="13"/>
    <n v="8.513999999999999E-3"/>
    <n v="0.73220399999999997"/>
    <s v="BR"/>
    <x v="2"/>
    <x v="2"/>
    <s v="Q1"/>
    <n v="154"/>
    <n v="0.55844155844155841"/>
    <s v="48oz"/>
    <n v="1"/>
    <n v="86"/>
    <n v="0.73220399999999997"/>
    <n v="0.55844155844155841"/>
  </r>
  <r>
    <n v="68689251"/>
    <x v="3"/>
    <n v="5557"/>
    <d v="2023-02-18T00:00:00"/>
    <x v="17"/>
    <x v="17"/>
    <n v="9.5760000000000012E-3"/>
    <n v="53.213832000000004"/>
    <s v="KL"/>
    <x v="2"/>
    <x v="8"/>
    <s v="Q1"/>
    <n v="132"/>
    <n v="42.098484848484851"/>
    <s v="EDF"/>
    <n v="1"/>
    <n v="5557"/>
    <n v="53.213832000000004"/>
    <n v="42.098484848484851"/>
  </r>
  <r>
    <n v="68689251"/>
    <x v="3"/>
    <n v="0"/>
    <d v="2023-02-18T00:00:00"/>
    <x v="17"/>
    <x v="17"/>
    <n v="9.5760000000000012E-3"/>
    <n v="0"/>
    <s v="KL"/>
    <x v="2"/>
    <x v="8"/>
    <s v="Q1"/>
    <n v="132"/>
    <n v="0"/>
    <s v="EDF"/>
    <n v="1"/>
    <n v="0"/>
    <n v="0"/>
    <n v="0"/>
  </r>
  <r>
    <n v="68689253"/>
    <x v="2"/>
    <n v="0"/>
    <d v="2023-02-18T00:00:00"/>
    <x v="125"/>
    <x v="18"/>
    <n v="6.0035555555555554E-3"/>
    <n v="0"/>
    <s v="KL"/>
    <x v="2"/>
    <x v="9"/>
    <s v="Q1"/>
    <n v="120"/>
    <n v="0"/>
    <s v="ESS"/>
    <n v="1"/>
    <n v="0"/>
    <n v="0"/>
    <n v="0"/>
  </r>
  <r>
    <n v="68709233"/>
    <x v="3"/>
    <n v="0"/>
    <d v="2023-02-18T00:00:00"/>
    <x v="19"/>
    <x v="20"/>
    <n v="8.4960000000000001E-3"/>
    <n v="0"/>
    <s v="KL"/>
    <x v="2"/>
    <x v="8"/>
    <s v="Q1"/>
    <n v="132"/>
    <n v="0"/>
    <s v="EDF"/>
    <n v="1"/>
    <n v="0"/>
    <n v="0"/>
    <n v="0"/>
  </r>
  <r>
    <n v="68741714"/>
    <x v="3"/>
    <n v="3982"/>
    <d v="2023-02-18T00:00:00"/>
    <x v="24"/>
    <x v="24"/>
    <n v="2.8319999999999999E-3"/>
    <n v="11.277023999999999"/>
    <s v="GH"/>
    <x v="2"/>
    <x v="4"/>
    <s v="Q1"/>
    <n v="225"/>
    <n v="17.697777777777777"/>
    <s v="MBG"/>
    <n v="1"/>
    <n v="3982"/>
    <n v="11.277023999999999"/>
    <n v="17.697777777777777"/>
  </r>
  <r>
    <n v="68741742"/>
    <x v="2"/>
    <n v="6078"/>
    <d v="2023-02-18T00:00:00"/>
    <x v="25"/>
    <x v="25"/>
    <n v="4.2560000000000002E-3"/>
    <n v="25.867968000000001"/>
    <s v="GH"/>
    <x v="2"/>
    <x v="11"/>
    <s v="Q1"/>
    <n v="154"/>
    <n v="39.467532467532465"/>
    <s v="MBG"/>
    <n v="1"/>
    <n v="6078"/>
    <n v="25.867968000000001"/>
    <n v="39.467532467532465"/>
  </r>
  <r>
    <n v="68852591"/>
    <x v="2"/>
    <n v="6124"/>
    <d v="2023-02-18T00:00:00"/>
    <x v="26"/>
    <x v="26"/>
    <n v="8.5199999999999998E-3"/>
    <n v="52.176479999999998"/>
    <s v="KL"/>
    <x v="2"/>
    <x v="12"/>
    <s v="Q1"/>
    <n v="132"/>
    <n v="46.393939393939391"/>
    <s v="EDF"/>
    <n v="1"/>
    <n v="6124"/>
    <n v="52.176479999999998"/>
    <n v="46.393939393939391"/>
  </r>
  <r>
    <n v="68921994"/>
    <x v="3"/>
    <n v="892"/>
    <d v="2023-02-18T00:00:00"/>
    <x v="258"/>
    <x v="20"/>
    <n v="9.5879999999999993E-3"/>
    <n v="8.5524959999999997"/>
    <s v="KL"/>
    <x v="2"/>
    <x v="8"/>
    <s v="Q1"/>
    <n v="132"/>
    <n v="6.7575757575757578"/>
    <s v="EDF"/>
    <n v="1"/>
    <n v="892"/>
    <n v="8.5524959999999997"/>
    <n v="6.7575757575757578"/>
  </r>
  <r>
    <n v="69549217"/>
    <x v="2"/>
    <n v="0"/>
    <d v="2023-02-18T00:00:00"/>
    <x v="80"/>
    <x v="5"/>
    <n v="2.0400000000000001E-3"/>
    <n v="0"/>
    <s v="MG"/>
    <x v="2"/>
    <x v="5"/>
    <s v="Q1"/>
    <n v="189"/>
    <n v="0"/>
    <s v="MG Sticks"/>
    <n v="1"/>
    <n v="0"/>
    <n v="0"/>
    <n v="0"/>
  </r>
  <r>
    <n v="69551489"/>
    <x v="3"/>
    <n v="2664"/>
    <d v="2023-02-18T00:00:00"/>
    <x v="4"/>
    <x v="4"/>
    <n v="3.8989043190215313E-3"/>
    <n v="10.386681105873359"/>
    <s v="GH"/>
    <x v="2"/>
    <x v="4"/>
    <s v="Q1"/>
    <n v="154"/>
    <n v="17.2987012987013"/>
    <s v="MBG"/>
    <n v="1"/>
    <n v="2664"/>
    <n v="10.386681105873359"/>
    <n v="17.2987012987013"/>
  </r>
  <r>
    <n v="69554202"/>
    <x v="2"/>
    <n v="0"/>
    <d v="2023-02-18T00:00:00"/>
    <x v="47"/>
    <x v="15"/>
    <n v="3.5999999999999999E-3"/>
    <n v="0"/>
    <s v="BJ"/>
    <x v="2"/>
    <x v="19"/>
    <s v="Q1"/>
    <n v="240"/>
    <n v="0"/>
    <s v="TOPPED"/>
    <n v="1"/>
    <n v="0"/>
    <n v="0"/>
    <n v="0"/>
  </r>
  <r>
    <n v="69568963"/>
    <x v="2"/>
    <n v="8679"/>
    <d v="2023-02-18T00:00:00"/>
    <x v="94"/>
    <x v="13"/>
    <n v="8.5199999999999998E-3"/>
    <n v="73.945080000000004"/>
    <s v="BR"/>
    <x v="2"/>
    <x v="2"/>
    <s v="Q1"/>
    <n v="176"/>
    <n v="49.3125"/>
    <s v="48oz"/>
    <n v="1"/>
    <n v="8679"/>
    <n v="73.945080000000004"/>
    <n v="49.3125"/>
  </r>
  <r>
    <n v="69572659"/>
    <x v="2"/>
    <n v="5669"/>
    <d v="2023-02-18T00:00:00"/>
    <x v="5"/>
    <x v="5"/>
    <n v="2.1520000000000003E-3"/>
    <n v="12.199688000000002"/>
    <s v="MG"/>
    <x v="2"/>
    <x v="5"/>
    <s v="Q1"/>
    <n v="210"/>
    <n v="26.995238095238093"/>
    <s v="MG Sticks"/>
    <n v="1"/>
    <n v="5669"/>
    <n v="12.199688000000002"/>
    <n v="26.995238095238093"/>
  </r>
  <r>
    <n v="69621212"/>
    <x v="2"/>
    <n v="2767"/>
    <d v="2023-02-18T00:00:00"/>
    <x v="29"/>
    <x v="28"/>
    <n v="5.2680000000000001E-3"/>
    <n v="14.576556"/>
    <s v="PG"/>
    <x v="2"/>
    <x v="14"/>
    <s v="Q1"/>
    <n v="130"/>
    <n v="21.284615384615385"/>
    <s v="PG"/>
    <n v="1"/>
    <n v="2767"/>
    <n v="14.576556"/>
    <n v="21.284615384615385"/>
  </r>
  <r>
    <n v="69671652"/>
    <x v="3"/>
    <n v="0"/>
    <d v="2023-02-18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3921"/>
    <d v="2023-02-18T00:00:00"/>
    <x v="30"/>
    <x v="29"/>
    <n v="5.2680000000000001E-3"/>
    <n v="20.655828"/>
    <s v="PS"/>
    <x v="2"/>
    <x v="3"/>
    <s v="Q1"/>
    <n v="108"/>
    <n v="36.305555555555557"/>
    <s v="PG"/>
    <n v="1"/>
    <n v="3921"/>
    <n v="20.655828"/>
    <n v="36.305555555555557"/>
  </r>
  <r>
    <n v="69677917"/>
    <x v="2"/>
    <n v="6452"/>
    <d v="2023-02-18T00:00:00"/>
    <x v="30"/>
    <x v="30"/>
    <n v="5.2680000000000001E-3"/>
    <n v="33.989136000000002"/>
    <s v="PS"/>
    <x v="2"/>
    <x v="14"/>
    <s v="Q1"/>
    <n v="108"/>
    <n v="59.74074074074074"/>
    <s v="PG"/>
    <n v="1"/>
    <n v="6452"/>
    <n v="33.989136000000002"/>
    <n v="59.74074074074074"/>
  </r>
  <r>
    <n v="67309842"/>
    <x v="2"/>
    <n v="0"/>
    <d v="2023-02-19T00:00:00"/>
    <x v="2"/>
    <x v="32"/>
    <n v="8.5199999999999998E-3"/>
    <n v="0"/>
    <s v="BR"/>
    <x v="2"/>
    <x v="2"/>
    <s v="Q1"/>
    <n v="154"/>
    <n v="0"/>
    <s v="48oz"/>
    <n v="1"/>
    <n v="0"/>
    <n v="0"/>
    <n v="0"/>
  </r>
  <r>
    <n v="67309842"/>
    <x v="2"/>
    <n v="0"/>
    <d v="2023-02-19T00:00:00"/>
    <x v="2"/>
    <x v="2"/>
    <n v="8.5199999999999998E-3"/>
    <n v="0"/>
    <s v="BR"/>
    <x v="2"/>
    <x v="2"/>
    <s v="Q1"/>
    <n v="154"/>
    <n v="0"/>
    <s v="48oz"/>
    <n v="1"/>
    <n v="0"/>
    <n v="0"/>
    <n v="0"/>
  </r>
  <r>
    <n v="67309842"/>
    <x v="2"/>
    <n v="0"/>
    <d v="2023-02-19T00:00:00"/>
    <x v="2"/>
    <x v="2"/>
    <n v="8.5199999999999998E-3"/>
    <n v="0"/>
    <s v="BR"/>
    <x v="2"/>
    <x v="2"/>
    <s v="Q1"/>
    <n v="154"/>
    <n v="0"/>
    <s v="48oz"/>
    <n v="1"/>
    <n v="0"/>
    <n v="0"/>
    <n v="0"/>
  </r>
  <r>
    <n v="67309843"/>
    <x v="2"/>
    <n v="0"/>
    <d v="2023-02-19T00:00:00"/>
    <x v="88"/>
    <x v="13"/>
    <n v="8.5199999999999998E-3"/>
    <n v="0"/>
    <s v="BR"/>
    <x v="2"/>
    <x v="2"/>
    <s v="Q1"/>
    <n v="154"/>
    <n v="0"/>
    <s v="48oz"/>
    <n v="1"/>
    <n v="0"/>
    <n v="0"/>
    <n v="0"/>
  </r>
  <r>
    <n v="67466492"/>
    <x v="3"/>
    <n v="2311"/>
    <d v="2023-02-19T00:00:00"/>
    <x v="8"/>
    <x v="6"/>
    <n v="5.2680000000000001E-3"/>
    <n v="12.174348"/>
    <s v="PS"/>
    <x v="2"/>
    <x v="3"/>
    <s v="Q1"/>
    <n v="130"/>
    <n v="17.776923076923076"/>
    <s v="PG"/>
    <n v="1"/>
    <n v="2311"/>
    <n v="12.174348"/>
    <n v="17.776923076923076"/>
  </r>
  <r>
    <n v="67466492"/>
    <x v="3"/>
    <n v="949"/>
    <d v="2023-02-19T00:00:00"/>
    <x v="8"/>
    <x v="7"/>
    <n v="5.2680000000000001E-3"/>
    <n v="4.9993319999999999"/>
    <s v="PS"/>
    <x v="2"/>
    <x v="3"/>
    <s v="Q1"/>
    <n v="130"/>
    <n v="7.3"/>
    <s v="PG"/>
    <n v="1"/>
    <n v="949"/>
    <n v="4.9993319999999999"/>
    <n v="7.3"/>
  </r>
  <r>
    <n v="67466492"/>
    <x v="3"/>
    <n v="5139"/>
    <d v="2023-02-19T00:00:00"/>
    <x v="8"/>
    <x v="8"/>
    <n v="5.2680000000000001E-3"/>
    <n v="27.072251999999999"/>
    <s v="PS"/>
    <x v="2"/>
    <x v="3"/>
    <s v="Q1"/>
    <n v="130"/>
    <n v="39.530769230769231"/>
    <s v="PG"/>
    <n v="1"/>
    <n v="5139"/>
    <n v="27.072251999999999"/>
    <n v="39.530769230769231"/>
  </r>
  <r>
    <n v="67466492"/>
    <x v="3"/>
    <n v="226"/>
    <d v="2023-02-19T00:00:00"/>
    <x v="8"/>
    <x v="9"/>
    <n v="5.2680000000000001E-3"/>
    <n v="1.1905680000000001"/>
    <s v="PS"/>
    <x v="2"/>
    <x v="3"/>
    <s v="Q1"/>
    <n v="130"/>
    <n v="1.7384615384615385"/>
    <s v="PG"/>
    <n v="1"/>
    <n v="226"/>
    <n v="1.1905680000000001"/>
    <n v="1.7384615384615385"/>
  </r>
  <r>
    <n v="67476560"/>
    <x v="3"/>
    <n v="2517"/>
    <d v="2023-02-19T00:00:00"/>
    <x v="10"/>
    <x v="10"/>
    <n v="5.1060000000000003E-3"/>
    <n v="12.851802000000001"/>
    <s v="PS"/>
    <x v="2"/>
    <x v="3"/>
    <s v="Q1"/>
    <n v="130"/>
    <n v="19.361538461538462"/>
    <s v="PG"/>
    <n v="1"/>
    <n v="2517"/>
    <n v="12.851802000000001"/>
    <n v="19.361538461538462"/>
  </r>
  <r>
    <n v="67723726"/>
    <x v="3"/>
    <n v="0"/>
    <d v="2023-02-19T00:00:00"/>
    <x v="109"/>
    <x v="23"/>
    <n v="8.5199999999999998E-3"/>
    <n v="0"/>
    <s v="BR"/>
    <x v="2"/>
    <x v="6"/>
    <s v="Q1"/>
    <n v="154"/>
    <n v="0"/>
    <s v="48oz"/>
    <n v="1"/>
    <n v="0"/>
    <n v="0"/>
    <n v="0"/>
  </r>
  <r>
    <n v="67726323"/>
    <x v="3"/>
    <n v="9099"/>
    <d v="2023-02-19T00:00:00"/>
    <x v="259"/>
    <x v="23"/>
    <n v="8.5199999999999998E-3"/>
    <n v="77.523479999999992"/>
    <s v="BR"/>
    <x v="2"/>
    <x v="6"/>
    <s v="Q1"/>
    <n v="154"/>
    <n v="59.084415584415588"/>
    <s v="48oz"/>
    <n v="1"/>
    <n v="9099"/>
    <n v="77.523479999999992"/>
    <n v="59.084415584415588"/>
  </r>
  <r>
    <n v="67885718"/>
    <x v="3"/>
    <n v="0"/>
    <d v="2023-02-19T00:00:00"/>
    <x v="48"/>
    <x v="12"/>
    <n v="8.5199999999999998E-3"/>
    <n v="0"/>
    <s v="BR"/>
    <x v="2"/>
    <x v="6"/>
    <s v="Q1"/>
    <n v="154"/>
    <n v="0"/>
    <s v="48oz"/>
    <n v="1"/>
    <n v="0"/>
    <n v="0"/>
    <n v="0"/>
  </r>
  <r>
    <n v="67885719"/>
    <x v="2"/>
    <n v="16134"/>
    <d v="2023-02-19T00:00:00"/>
    <x v="11"/>
    <x v="32"/>
    <n v="8.5199999999999998E-3"/>
    <n v="137.46168"/>
    <s v="BR"/>
    <x v="2"/>
    <x v="2"/>
    <s v="Q1"/>
    <n v="154"/>
    <n v="104.76623376623377"/>
    <s v="48oz"/>
    <n v="1"/>
    <n v="16134"/>
    <n v="137.46168"/>
    <n v="104.76623376623377"/>
  </r>
  <r>
    <n v="67885719"/>
    <x v="2"/>
    <n v="0"/>
    <d v="2023-02-19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93539"/>
    <x v="3"/>
    <n v="14615"/>
    <d v="2023-02-19T00:00:00"/>
    <x v="12"/>
    <x v="16"/>
    <n v="8.5199999999999998E-3"/>
    <n v="124.5198"/>
    <s v="BR"/>
    <x v="2"/>
    <x v="6"/>
    <s v="Q1"/>
    <n v="154"/>
    <n v="94.902597402597408"/>
    <s v="48oz"/>
    <n v="1"/>
    <n v="14615"/>
    <n v="124.5198"/>
    <n v="94.902597402597408"/>
  </r>
  <r>
    <n v="67908208"/>
    <x v="2"/>
    <n v="0"/>
    <d v="2023-02-19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9312"/>
    <x v="2"/>
    <n v="9676"/>
    <d v="2023-02-19T00:00:00"/>
    <x v="134"/>
    <x v="2"/>
    <n v="8.5199999999999998E-3"/>
    <n v="82.439520000000002"/>
    <s v="BR"/>
    <x v="2"/>
    <x v="2"/>
    <s v="Q1"/>
    <n v="154"/>
    <n v="62.831168831168831"/>
    <s v="48oz"/>
    <n v="1"/>
    <n v="9676"/>
    <n v="82.439520000000002"/>
    <n v="62.831168831168831"/>
  </r>
  <r>
    <n v="68689251"/>
    <x v="3"/>
    <n v="7154"/>
    <d v="2023-02-19T00:00:00"/>
    <x v="17"/>
    <x v="17"/>
    <n v="9.5760000000000012E-3"/>
    <n v="68.506704000000013"/>
    <s v="KL"/>
    <x v="2"/>
    <x v="8"/>
    <s v="Q1"/>
    <n v="132"/>
    <n v="54.196969696969695"/>
    <s v="EDF"/>
    <n v="1"/>
    <n v="7154"/>
    <n v="68.506704000000013"/>
    <n v="54.196969696969695"/>
  </r>
  <r>
    <n v="68709233"/>
    <x v="3"/>
    <n v="0"/>
    <d v="2023-02-19T00:00:00"/>
    <x v="19"/>
    <x v="20"/>
    <n v="8.4960000000000001E-3"/>
    <n v="0"/>
    <s v="KL"/>
    <x v="2"/>
    <x v="8"/>
    <s v="Q1"/>
    <n v="132"/>
    <n v="0"/>
    <s v="EDF"/>
    <n v="1"/>
    <n v="0"/>
    <n v="0"/>
    <n v="0"/>
  </r>
  <r>
    <n v="68741714"/>
    <x v="3"/>
    <n v="5108"/>
    <d v="2023-02-19T00:00:00"/>
    <x v="24"/>
    <x v="24"/>
    <n v="2.8319999999999999E-3"/>
    <n v="14.465855999999999"/>
    <s v="GH"/>
    <x v="2"/>
    <x v="4"/>
    <s v="Q1"/>
    <n v="225"/>
    <n v="22.702222222222222"/>
    <s v="MBG"/>
    <n v="1"/>
    <n v="5108"/>
    <n v="14.465855999999999"/>
    <n v="22.702222222222222"/>
  </r>
  <r>
    <n v="68741742"/>
    <x v="2"/>
    <n v="2464"/>
    <d v="2023-02-19T00:00:00"/>
    <x v="25"/>
    <x v="25"/>
    <n v="4.2560000000000002E-3"/>
    <n v="10.486784"/>
    <s v="GH"/>
    <x v="2"/>
    <x v="11"/>
    <s v="Q1"/>
    <n v="154"/>
    <n v="16"/>
    <s v="MBG"/>
    <n v="1"/>
    <n v="2464"/>
    <n v="10.486784"/>
    <n v="16"/>
  </r>
  <r>
    <n v="68852591"/>
    <x v="2"/>
    <n v="5307"/>
    <d v="2023-02-19T00:00:00"/>
    <x v="26"/>
    <x v="26"/>
    <n v="8.5199999999999998E-3"/>
    <n v="45.21564"/>
    <s v="KL"/>
    <x v="2"/>
    <x v="12"/>
    <s v="Q1"/>
    <n v="132"/>
    <n v="40.204545454545453"/>
    <s v="EDF"/>
    <n v="1"/>
    <n v="5307"/>
    <n v="45.21564"/>
    <n v="40.204545454545453"/>
  </r>
  <r>
    <n v="68921994"/>
    <x v="3"/>
    <n v="4417"/>
    <d v="2023-02-19T00:00:00"/>
    <x v="258"/>
    <x v="20"/>
    <n v="9.5879999999999993E-3"/>
    <n v="42.350195999999997"/>
    <s v="KL"/>
    <x v="2"/>
    <x v="8"/>
    <s v="Q1"/>
    <n v="132"/>
    <n v="33.462121212121211"/>
    <s v="EDF"/>
    <n v="1"/>
    <n v="4417"/>
    <n v="42.350195999999997"/>
    <n v="33.462121212121211"/>
  </r>
  <r>
    <n v="69549217"/>
    <x v="2"/>
    <n v="0"/>
    <d v="2023-02-19T00:00:00"/>
    <x v="80"/>
    <x v="5"/>
    <n v="2.0400000000000001E-3"/>
    <n v="0"/>
    <s v="MG"/>
    <x v="2"/>
    <x v="5"/>
    <s v="Q1"/>
    <n v="189"/>
    <n v="0"/>
    <s v="MG Sticks"/>
    <n v="1"/>
    <n v="0"/>
    <n v="0"/>
    <n v="0"/>
  </r>
  <r>
    <n v="69551489"/>
    <x v="3"/>
    <n v="4095"/>
    <d v="2023-02-19T00:00:00"/>
    <x v="4"/>
    <x v="4"/>
    <n v="3.8989043190215313E-3"/>
    <n v="15.966013186393171"/>
    <s v="GH"/>
    <x v="2"/>
    <x v="4"/>
    <s v="Q1"/>
    <n v="154"/>
    <n v="26.59090909090909"/>
    <s v="MBG"/>
    <n v="1"/>
    <n v="4095"/>
    <n v="15.966013186393171"/>
    <n v="26.59090909090909"/>
  </r>
  <r>
    <n v="69568963"/>
    <x v="2"/>
    <n v="12658"/>
    <d v="2023-02-19T00:00:00"/>
    <x v="94"/>
    <x v="13"/>
    <n v="8.5199999999999998E-3"/>
    <n v="107.84616"/>
    <s v="BR"/>
    <x v="2"/>
    <x v="2"/>
    <s v="Q1"/>
    <n v="176"/>
    <n v="71.920454545454547"/>
    <s v="48oz"/>
    <n v="1"/>
    <n v="12658"/>
    <n v="107.84616"/>
    <n v="71.920454545454547"/>
  </r>
  <r>
    <n v="69572659"/>
    <x v="2"/>
    <n v="10415"/>
    <d v="2023-02-19T00:00:00"/>
    <x v="5"/>
    <x v="5"/>
    <n v="2.1520000000000003E-3"/>
    <n v="22.413080000000004"/>
    <s v="MG"/>
    <x v="2"/>
    <x v="5"/>
    <s v="Q1"/>
    <n v="210"/>
    <n v="49.595238095238095"/>
    <s v="MG Sticks"/>
    <n v="1"/>
    <n v="10415"/>
    <n v="22.413080000000004"/>
    <n v="49.595238095238095"/>
  </r>
  <r>
    <n v="69621212"/>
    <x v="2"/>
    <n v="4950"/>
    <d v="2023-02-19T00:00:00"/>
    <x v="29"/>
    <x v="28"/>
    <n v="5.2680000000000001E-3"/>
    <n v="26.076599999999999"/>
    <s v="PG"/>
    <x v="2"/>
    <x v="14"/>
    <s v="Q1"/>
    <n v="130"/>
    <n v="38.07692307692308"/>
    <s v="PG"/>
    <n v="1"/>
    <n v="4950"/>
    <n v="26.076599999999999"/>
    <n v="38.07692307692308"/>
  </r>
  <r>
    <n v="69671652"/>
    <x v="3"/>
    <n v="0"/>
    <d v="2023-02-19T00:00:00"/>
    <x v="197"/>
    <x v="24"/>
    <n v="2.8319999999999999E-3"/>
    <n v="0"/>
    <s v="GH"/>
    <x v="2"/>
    <x v="4"/>
    <s v="Q1"/>
    <n v="225"/>
    <n v="0"/>
    <s v="MBG"/>
    <n v="1"/>
    <n v="0"/>
    <n v="0"/>
    <n v="0"/>
  </r>
  <r>
    <n v="69677917"/>
    <x v="3"/>
    <n v="2164"/>
    <d v="2023-02-19T00:00:00"/>
    <x v="30"/>
    <x v="29"/>
    <n v="5.2680000000000001E-3"/>
    <n v="11.399952000000001"/>
    <s v="PS"/>
    <x v="2"/>
    <x v="3"/>
    <s v="Q1"/>
    <n v="108"/>
    <n v="20.037037037037038"/>
    <s v="PG"/>
    <n v="1"/>
    <n v="2164"/>
    <n v="11.399952000000001"/>
    <n v="20.037037037037038"/>
  </r>
  <r>
    <n v="69677917"/>
    <x v="2"/>
    <n v="3135"/>
    <d v="2023-02-19T00:00:00"/>
    <x v="30"/>
    <x v="30"/>
    <n v="5.2680000000000001E-3"/>
    <n v="16.515180000000001"/>
    <s v="PS"/>
    <x v="2"/>
    <x v="14"/>
    <s v="Q1"/>
    <n v="108"/>
    <n v="29.027777777777779"/>
    <s v="PG"/>
    <n v="1"/>
    <n v="3135"/>
    <n v="16.515180000000001"/>
    <n v="29.027777777777779"/>
  </r>
  <r>
    <n v="69684524"/>
    <x v="2"/>
    <n v="0"/>
    <d v="2023-02-19T00:00:00"/>
    <x v="69"/>
    <x v="31"/>
    <n v="4.2560000000000002E-3"/>
    <n v="0"/>
    <s v="BR"/>
    <x v="2"/>
    <x v="5"/>
    <s v="Q1"/>
    <n v="143"/>
    <n v="0"/>
    <s v="MG Sticks"/>
    <n v="1"/>
    <n v="0"/>
    <n v="0"/>
    <n v="0"/>
  </r>
  <r>
    <n v="67309841"/>
    <x v="2"/>
    <n v="0"/>
    <d v="2023-02-20T00:00:00"/>
    <x v="32"/>
    <x v="32"/>
    <n v="8.5199999999999998E-3"/>
    <n v="0"/>
    <s v="BR"/>
    <x v="2"/>
    <x v="2"/>
    <s v="Q1"/>
    <n v="154"/>
    <n v="0"/>
    <s v="48oz"/>
    <n v="1"/>
    <n v="0"/>
    <n v="0"/>
    <n v="0"/>
  </r>
  <r>
    <n v="67309841"/>
    <x v="2"/>
    <n v="5060"/>
    <d v="2023-02-20T00:00:00"/>
    <x v="32"/>
    <x v="32"/>
    <n v="8.5199999999999998E-3"/>
    <n v="43.111199999999997"/>
    <s v="BR"/>
    <x v="2"/>
    <x v="2"/>
    <s v="Q1"/>
    <n v="154"/>
    <n v="32.857142857142854"/>
    <s v="48oz"/>
    <n v="1"/>
    <n v="5060"/>
    <n v="43.111199999999997"/>
    <n v="32.857142857142854"/>
  </r>
  <r>
    <n v="67309842"/>
    <x v="2"/>
    <n v="11313"/>
    <d v="2023-02-20T00:00:00"/>
    <x v="2"/>
    <x v="2"/>
    <n v="8.5199999999999998E-3"/>
    <n v="96.386759999999995"/>
    <s v="BR"/>
    <x v="2"/>
    <x v="2"/>
    <s v="Q1"/>
    <n v="154"/>
    <n v="73.461038961038966"/>
    <s v="48oz"/>
    <n v="1"/>
    <n v="11313"/>
    <n v="96.386759999999995"/>
    <n v="73.461038961038966"/>
  </r>
  <r>
    <n v="67309843"/>
    <x v="2"/>
    <n v="0"/>
    <d v="2023-02-20T00:00:00"/>
    <x v="88"/>
    <x v="13"/>
    <n v="8.5199999999999998E-3"/>
    <n v="0"/>
    <s v="BR"/>
    <x v="2"/>
    <x v="2"/>
    <s v="Q1"/>
    <n v="154"/>
    <n v="0"/>
    <s v="48oz"/>
    <n v="1"/>
    <n v="0"/>
    <n v="0"/>
    <n v="0"/>
  </r>
  <r>
    <n v="67465063"/>
    <x v="3"/>
    <n v="12"/>
    <d v="2023-02-20T00:00:00"/>
    <x v="3"/>
    <x v="40"/>
    <n v="5.2680000000000001E-3"/>
    <n v="6.3215999999999994E-2"/>
    <s v="PS"/>
    <x v="2"/>
    <x v="3"/>
    <s v="Q1"/>
    <n v="130"/>
    <n v="9.2307692307692313E-2"/>
    <s v="PG"/>
    <n v="1"/>
    <n v="12"/>
    <n v="6.3215999999999994E-2"/>
    <n v="9.2307692307692313E-2"/>
  </r>
  <r>
    <n v="67465063"/>
    <x v="3"/>
    <n v="0"/>
    <d v="2023-02-20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20T00:00:00"/>
    <x v="7"/>
    <x v="3"/>
    <n v="1.596E-3"/>
    <n v="0"/>
    <s v="PS"/>
    <x v="2"/>
    <x v="3"/>
    <s v="Q1"/>
    <n v="130"/>
    <n v="0"/>
    <s v="PG"/>
    <n v="1"/>
    <n v="0"/>
    <n v="0"/>
    <n v="0"/>
  </r>
  <r>
    <n v="67465064"/>
    <x v="3"/>
    <n v="0"/>
    <d v="2023-02-20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4388"/>
    <d v="2023-02-20T00:00:00"/>
    <x v="8"/>
    <x v="6"/>
    <n v="5.2680000000000001E-3"/>
    <n v="23.115984000000001"/>
    <s v="PS"/>
    <x v="2"/>
    <x v="3"/>
    <s v="Q1"/>
    <n v="130"/>
    <n v="33.753846153846155"/>
    <s v="PG"/>
    <n v="1"/>
    <n v="4388"/>
    <n v="23.115984000000001"/>
    <n v="33.753846153846155"/>
  </r>
  <r>
    <n v="67466492"/>
    <x v="3"/>
    <n v="3900"/>
    <d v="2023-02-20T00:00:00"/>
    <x v="8"/>
    <x v="7"/>
    <n v="5.2680000000000001E-3"/>
    <n v="20.545200000000001"/>
    <s v="PS"/>
    <x v="2"/>
    <x v="3"/>
    <s v="Q1"/>
    <n v="130"/>
    <n v="30"/>
    <s v="PG"/>
    <n v="1"/>
    <n v="3900"/>
    <n v="20.545200000000001"/>
    <n v="30"/>
  </r>
  <r>
    <n v="67466492"/>
    <x v="3"/>
    <n v="2714"/>
    <d v="2023-02-20T00:00:00"/>
    <x v="8"/>
    <x v="8"/>
    <n v="5.2680000000000001E-3"/>
    <n v="14.297352"/>
    <s v="PS"/>
    <x v="2"/>
    <x v="3"/>
    <s v="Q1"/>
    <n v="130"/>
    <n v="20.876923076923077"/>
    <s v="PG"/>
    <n v="1"/>
    <n v="2714"/>
    <n v="14.297352"/>
    <n v="20.876923076923077"/>
  </r>
  <r>
    <n v="67466492"/>
    <x v="3"/>
    <n v="2697"/>
    <d v="2023-02-20T00:00:00"/>
    <x v="8"/>
    <x v="9"/>
    <n v="5.2680000000000001E-3"/>
    <n v="14.207796"/>
    <s v="PS"/>
    <x v="2"/>
    <x v="3"/>
    <s v="Q1"/>
    <n v="130"/>
    <n v="20.746153846153845"/>
    <s v="PG"/>
    <n v="1"/>
    <n v="2697"/>
    <n v="14.207796"/>
    <n v="20.746153846153845"/>
  </r>
  <r>
    <n v="67476560"/>
    <x v="3"/>
    <n v="3730"/>
    <d v="2023-02-20T00:00:00"/>
    <x v="10"/>
    <x v="10"/>
    <n v="5.1060000000000003E-3"/>
    <n v="19.045380000000002"/>
    <s v="PS"/>
    <x v="2"/>
    <x v="3"/>
    <s v="Q1"/>
    <n v="130"/>
    <n v="28.692307692307693"/>
    <s v="PG"/>
    <n v="1"/>
    <n v="3730"/>
    <n v="19.045380000000002"/>
    <n v="28.692307692307693"/>
  </r>
  <r>
    <n v="67726323"/>
    <x v="3"/>
    <n v="15053"/>
    <d v="2023-02-20T00:00:00"/>
    <x v="259"/>
    <x v="23"/>
    <n v="8.5199999999999998E-3"/>
    <n v="128.25155999999998"/>
    <s v="BR"/>
    <x v="2"/>
    <x v="6"/>
    <s v="Q1"/>
    <n v="154"/>
    <n v="97.746753246753244"/>
    <s v="48oz"/>
    <n v="1"/>
    <n v="15053"/>
    <n v="128.25155999999998"/>
    <n v="97.746753246753244"/>
  </r>
  <r>
    <n v="67789314"/>
    <x v="5"/>
    <n v="38551"/>
    <d v="2023-02-20T00:00:00"/>
    <x v="152"/>
    <x v="35"/>
    <n v="3.7853439999999999E-3"/>
    <n v="145.92879654399999"/>
    <s v="BJ"/>
    <x v="2"/>
    <x v="15"/>
    <s v="Q1"/>
    <n v="240"/>
    <n v="160.62916666666666"/>
    <s v="BJ PTS"/>
    <n v="1"/>
    <n v="38551"/>
    <n v="145.92879654399999"/>
    <n v="160.62916666666666"/>
  </r>
  <r>
    <n v="67885719"/>
    <x v="3"/>
    <n v="14615"/>
    <d v="2023-02-20T00:00:00"/>
    <x v="11"/>
    <x v="12"/>
    <n v="8.5199999999999998E-3"/>
    <n v="124.5198"/>
    <s v="BR"/>
    <x v="2"/>
    <x v="6"/>
    <s v="Q1"/>
    <n v="154"/>
    <n v="94.902597402597408"/>
    <s v="48oz"/>
    <n v="1"/>
    <n v="14615"/>
    <n v="124.5198"/>
    <n v="94.902597402597408"/>
  </r>
  <r>
    <n v="67885719"/>
    <x v="3"/>
    <n v="1367"/>
    <d v="2023-02-20T00:00:00"/>
    <x v="11"/>
    <x v="12"/>
    <n v="8.5199999999999998E-3"/>
    <n v="11.646839999999999"/>
    <s v="BR"/>
    <x v="2"/>
    <x v="6"/>
    <s v="Q1"/>
    <n v="154"/>
    <n v="8.8766233766233764"/>
    <s v="48oz"/>
    <n v="1"/>
    <n v="1367"/>
    <n v="11.646839999999999"/>
    <n v="8.8766233766233764"/>
  </r>
  <r>
    <n v="67893539"/>
    <x v="3"/>
    <n v="0"/>
    <d v="2023-02-20T00:00:00"/>
    <x v="12"/>
    <x v="16"/>
    <n v="8.5199999999999998E-3"/>
    <n v="0"/>
    <s v="BR"/>
    <x v="2"/>
    <x v="6"/>
    <s v="Q1"/>
    <n v="154"/>
    <n v="0"/>
    <s v="48oz"/>
    <n v="1"/>
    <n v="0"/>
    <n v="0"/>
    <n v="0"/>
  </r>
  <r>
    <n v="67901583"/>
    <x v="3"/>
    <n v="0"/>
    <d v="2023-02-20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83"/>
    <x v="2"/>
    <n v="25041"/>
    <d v="2023-02-20T00:00:00"/>
    <x v="50"/>
    <x v="32"/>
    <n v="8.5199999999999998E-3"/>
    <n v="213.34932000000001"/>
    <s v="BR"/>
    <x v="2"/>
    <x v="2"/>
    <s v="Q1"/>
    <n v="154"/>
    <n v="162.60389610389609"/>
    <s v="48oz"/>
    <n v="1"/>
    <n v="25041"/>
    <n v="213.34932000000001"/>
    <n v="162.60389610389609"/>
  </r>
  <r>
    <n v="67901584"/>
    <x v="3"/>
    <n v="327"/>
    <d v="2023-02-20T00:00:00"/>
    <x v="51"/>
    <x v="11"/>
    <n v="8.5199999999999998E-3"/>
    <n v="2.7860399999999998"/>
    <s v="BR"/>
    <x v="2"/>
    <x v="6"/>
    <s v="Q1"/>
    <n v="154"/>
    <n v="2.1233766233766236"/>
    <s v="48oz"/>
    <n v="1"/>
    <n v="327"/>
    <n v="2.7860399999999998"/>
    <n v="2.1233766233766236"/>
  </r>
  <r>
    <n v="67901584"/>
    <x v="3"/>
    <n v="540"/>
    <d v="2023-02-20T00:00:00"/>
    <x v="51"/>
    <x v="11"/>
    <n v="8.5199999999999998E-3"/>
    <n v="4.6007999999999996"/>
    <s v="BR"/>
    <x v="2"/>
    <x v="6"/>
    <s v="Q1"/>
    <n v="154"/>
    <n v="3.5064935064935066"/>
    <s v="48oz"/>
    <n v="1"/>
    <n v="540"/>
    <n v="4.6007999999999996"/>
    <n v="3.5064935064935066"/>
  </r>
  <r>
    <n v="67901584"/>
    <x v="3"/>
    <n v="1078"/>
    <d v="2023-02-20T00:00:00"/>
    <x v="51"/>
    <x v="11"/>
    <n v="8.5199999999999998E-3"/>
    <n v="9.1845599999999994"/>
    <s v="BR"/>
    <x v="2"/>
    <x v="6"/>
    <s v="Q1"/>
    <n v="154"/>
    <n v="7"/>
    <s v="48oz"/>
    <n v="1"/>
    <n v="1078"/>
    <n v="9.1845599999999994"/>
    <n v="7"/>
  </r>
  <r>
    <n v="68414643"/>
    <x v="6"/>
    <n v="5152"/>
    <d v="2023-02-20T00:00:00"/>
    <x v="41"/>
    <x v="0"/>
    <n v="1.419504E-3"/>
    <n v="7.313284608"/>
    <s v="BJ"/>
    <x v="2"/>
    <x v="17"/>
    <s v="Q1"/>
    <n v="238"/>
    <n v="21.647058823529413"/>
    <s v="B&amp;J Dog Treat - Repack"/>
    <n v="1"/>
    <n v="5152"/>
    <n v="7.313284608"/>
    <n v="21.647058823529413"/>
  </r>
  <r>
    <n v="68634167"/>
    <x v="3"/>
    <n v="9252"/>
    <d v="2023-02-20T00:00:00"/>
    <x v="91"/>
    <x v="16"/>
    <n v="8.5199999999999998E-3"/>
    <n v="78.827039999999997"/>
    <s v="BR"/>
    <x v="2"/>
    <x v="6"/>
    <s v="Q1"/>
    <n v="154"/>
    <n v="60.077922077922075"/>
    <s v="48oz"/>
    <n v="1"/>
    <n v="9252"/>
    <n v="78.827039999999997"/>
    <n v="60.077922077922075"/>
  </r>
  <r>
    <n v="68659717"/>
    <x v="3"/>
    <n v="0"/>
    <d v="2023-02-20T00:00:00"/>
    <x v="260"/>
    <x v="4"/>
    <n v="2.8319999999999999E-3"/>
    <n v="0"/>
    <s v="GH"/>
    <x v="2"/>
    <x v="4"/>
    <s v="Q1"/>
    <n v="154"/>
    <n v="0"/>
    <s v="MBG"/>
    <n v="1"/>
    <n v="0"/>
    <n v="0"/>
    <n v="0"/>
  </r>
  <r>
    <n v="68689251"/>
    <x v="3"/>
    <n v="2583"/>
    <d v="2023-02-20T00:00:00"/>
    <x v="17"/>
    <x v="17"/>
    <n v="9.5760000000000012E-3"/>
    <n v="24.734808000000005"/>
    <s v="KL"/>
    <x v="2"/>
    <x v="8"/>
    <s v="Q1"/>
    <n v="132"/>
    <n v="19.568181818181817"/>
    <s v="EDF"/>
    <n v="1"/>
    <n v="2583"/>
    <n v="24.734808000000005"/>
    <n v="19.568181818181817"/>
  </r>
  <r>
    <n v="68689253"/>
    <x v="2"/>
    <n v="3164"/>
    <d v="2023-02-20T00:00:00"/>
    <x v="125"/>
    <x v="18"/>
    <n v="6.0035555555555554E-3"/>
    <n v="18.995249777777776"/>
    <s v="KL"/>
    <x v="2"/>
    <x v="9"/>
    <s v="Q1"/>
    <n v="120"/>
    <n v="26.366666666666667"/>
    <s v="ESS"/>
    <n v="1"/>
    <n v="3164"/>
    <n v="18.995249777777776"/>
    <n v="26.366666666666667"/>
  </r>
  <r>
    <n v="68709233"/>
    <x v="3"/>
    <n v="4320"/>
    <d v="2023-02-20T00:00:00"/>
    <x v="19"/>
    <x v="19"/>
    <n v="8.4960000000000001E-3"/>
    <n v="36.702719999999999"/>
    <s v="KL"/>
    <x v="2"/>
    <x v="8"/>
    <s v="Q1"/>
    <n v="132"/>
    <n v="32.727272727272727"/>
    <s v="EDF"/>
    <n v="1"/>
    <n v="4320"/>
    <n v="36.702719999999999"/>
    <n v="32.727272727272727"/>
  </r>
  <r>
    <n v="68741714"/>
    <x v="3"/>
    <n v="862"/>
    <d v="2023-02-20T00:00:00"/>
    <x v="24"/>
    <x v="24"/>
    <n v="2.8319999999999999E-3"/>
    <n v="2.4411839999999998"/>
    <s v="GH"/>
    <x v="2"/>
    <x v="4"/>
    <s v="Q1"/>
    <n v="225"/>
    <n v="3.8311111111111109"/>
    <s v="MBG"/>
    <n v="1"/>
    <n v="862"/>
    <n v="2.4411839999999998"/>
    <n v="3.8311111111111109"/>
  </r>
  <r>
    <n v="68741714"/>
    <x v="3"/>
    <n v="2751"/>
    <d v="2023-02-20T00:00:00"/>
    <x v="24"/>
    <x v="24"/>
    <n v="2.8319999999999999E-3"/>
    <n v="7.790832"/>
    <s v="GH"/>
    <x v="2"/>
    <x v="4"/>
    <s v="Q1"/>
    <n v="225"/>
    <n v="12.226666666666667"/>
    <s v="MBG"/>
    <n v="1"/>
    <n v="2751"/>
    <n v="7.790832"/>
    <n v="12.226666666666667"/>
  </r>
  <r>
    <n v="68741742"/>
    <x v="2"/>
    <n v="3748"/>
    <d v="2023-02-20T00:00:00"/>
    <x v="25"/>
    <x v="25"/>
    <n v="4.2560000000000002E-3"/>
    <n v="15.951488000000001"/>
    <s v="GH"/>
    <x v="2"/>
    <x v="11"/>
    <s v="Q1"/>
    <n v="154"/>
    <n v="24.337662337662337"/>
    <s v="MBG"/>
    <n v="1"/>
    <n v="3748"/>
    <n v="15.951488000000001"/>
    <n v="24.337662337662337"/>
  </r>
  <r>
    <n v="68852591"/>
    <x v="2"/>
    <n v="3748"/>
    <d v="2023-02-20T00:00:00"/>
    <x v="26"/>
    <x v="26"/>
    <n v="8.5199999999999998E-3"/>
    <n v="31.932959999999998"/>
    <s v="KL"/>
    <x v="2"/>
    <x v="12"/>
    <s v="Q1"/>
    <n v="132"/>
    <n v="28.393939393939394"/>
    <s v="EDF"/>
    <n v="1"/>
    <n v="3748"/>
    <n v="31.932959999999998"/>
    <n v="28.393939393939394"/>
  </r>
  <r>
    <n v="68889812"/>
    <x v="2"/>
    <n v="4931"/>
    <d v="2023-02-20T00:00:00"/>
    <x v="27"/>
    <x v="27"/>
    <n v="3.192E-3"/>
    <n v="15.739751999999999"/>
    <s v="KL"/>
    <x v="2"/>
    <x v="9"/>
    <s v="Q1"/>
    <n v="300"/>
    <n v="16.436666666666667"/>
    <s v="ESS"/>
    <n v="1"/>
    <n v="4931"/>
    <n v="15.739751999999999"/>
    <n v="16.436666666666667"/>
  </r>
  <r>
    <n v="68899826"/>
    <x v="3"/>
    <n v="0"/>
    <d v="2023-02-20T00:00:00"/>
    <x v="129"/>
    <x v="12"/>
    <n v="8.5199999999999998E-3"/>
    <n v="0"/>
    <s v="BR"/>
    <x v="2"/>
    <x v="6"/>
    <s v="Q1"/>
    <n v="176"/>
    <n v="0"/>
    <s v="48oz"/>
    <n v="1"/>
    <n v="0"/>
    <n v="0"/>
    <n v="0"/>
  </r>
  <r>
    <n v="68921994"/>
    <x v="3"/>
    <n v="5079"/>
    <d v="2023-02-20T00:00:00"/>
    <x v="258"/>
    <x v="20"/>
    <n v="9.5879999999999993E-3"/>
    <n v="48.697451999999998"/>
    <s v="KL"/>
    <x v="2"/>
    <x v="8"/>
    <s v="Q1"/>
    <n v="132"/>
    <n v="38.477272727272727"/>
    <s v="EDF"/>
    <n v="1"/>
    <n v="5079"/>
    <n v="48.697451999999998"/>
    <n v="38.477272727272727"/>
  </r>
  <r>
    <n v="68922011"/>
    <x v="2"/>
    <n v="12567"/>
    <d v="2023-02-20T00:00:00"/>
    <x v="261"/>
    <x v="22"/>
    <n v="3.7853440000000004E-3"/>
    <n v="47.570418048000008"/>
    <s v="TA"/>
    <x v="2"/>
    <x v="10"/>
    <s v="Q1"/>
    <n v="255"/>
    <n v="49.28235294117647"/>
    <s v="TALENTI"/>
    <n v="1"/>
    <n v="12567"/>
    <n v="47.570418048000008"/>
    <n v="49.28235294117647"/>
  </r>
  <r>
    <n v="68922011"/>
    <x v="2"/>
    <n v="11655"/>
    <d v="2023-02-20T00:00:00"/>
    <x v="261"/>
    <x v="22"/>
    <n v="3.7853440000000004E-3"/>
    <n v="44.118184320000005"/>
    <s v="TA"/>
    <x v="2"/>
    <x v="10"/>
    <s v="Q1"/>
    <n v="255"/>
    <n v="45.705882352941174"/>
    <s v="TALENTI"/>
    <n v="1"/>
    <n v="11655"/>
    <n v="44.118184320000005"/>
    <n v="45.705882352941174"/>
  </r>
  <r>
    <n v="69549032"/>
    <x v="3"/>
    <n v="2954"/>
    <d v="2023-02-20T00:00:00"/>
    <x v="79"/>
    <x v="36"/>
    <n v="2.3469132803553457E-3"/>
    <n v="6.9327818301696915"/>
    <s v="GH"/>
    <x v="2"/>
    <x v="28"/>
    <s v="Q1"/>
    <n v="350"/>
    <n v="8.44"/>
    <s v="EFW"/>
    <n v="1"/>
    <n v="2954"/>
    <n v="6.9327818301696915"/>
    <n v="8.44"/>
  </r>
  <r>
    <n v="69554209"/>
    <x v="6"/>
    <n v="1438"/>
    <d v="2023-02-20T00:00:00"/>
    <x v="262"/>
    <x v="0"/>
    <n v="1.1356032000000002E-2"/>
    <n v="16.329974016000001"/>
    <s v="BJ"/>
    <x v="2"/>
    <x v="44"/>
    <s v="Q1"/>
    <n v="72"/>
    <n v="19.972222222222221"/>
    <s v="Repack BJ Pints"/>
    <n v="1"/>
    <n v="1438"/>
    <n v="16.329974016000001"/>
    <n v="19.972222222222221"/>
  </r>
  <r>
    <n v="69555093"/>
    <x v="2"/>
    <n v="5271"/>
    <d v="2023-02-20T00:00:00"/>
    <x v="229"/>
    <x v="14"/>
    <n v="1.98E-3"/>
    <n v="10.436579999999999"/>
    <s v="TA"/>
    <x v="2"/>
    <x v="42"/>
    <s v="Q1"/>
    <n v="176"/>
    <n v="29.948863636363637"/>
    <s v="TAL NV"/>
    <n v="1"/>
    <n v="5271"/>
    <n v="10.436579999999999"/>
    <n v="29.948863636363637"/>
  </r>
  <r>
    <n v="69568963"/>
    <x v="2"/>
    <n v="13598"/>
    <d v="2023-02-20T00:00:00"/>
    <x v="94"/>
    <x v="13"/>
    <n v="8.5199999999999998E-3"/>
    <n v="115.85495999999999"/>
    <s v="BR"/>
    <x v="2"/>
    <x v="2"/>
    <s v="Q1"/>
    <n v="176"/>
    <n v="77.26136363636364"/>
    <s v="48oz"/>
    <n v="1"/>
    <n v="13598"/>
    <n v="115.85495999999999"/>
    <n v="77.26136363636364"/>
  </r>
  <r>
    <n v="69572544"/>
    <x v="2"/>
    <n v="0"/>
    <d v="2023-02-20T00:00:00"/>
    <x v="171"/>
    <x v="14"/>
    <n v="1.9740000000000001E-3"/>
    <n v="0"/>
    <s v="MG"/>
    <x v="2"/>
    <x v="5"/>
    <s v="Q1"/>
    <n v="176"/>
    <n v="0"/>
    <s v="MG Sticks"/>
    <n v="1"/>
    <n v="0"/>
    <n v="0"/>
    <n v="0"/>
  </r>
  <r>
    <n v="69572659"/>
    <x v="2"/>
    <n v="753"/>
    <d v="2023-02-20T00:00:00"/>
    <x v="5"/>
    <x v="5"/>
    <n v="2.1520000000000003E-3"/>
    <n v="1.6204560000000001"/>
    <s v="MG"/>
    <x v="2"/>
    <x v="5"/>
    <s v="Q1"/>
    <n v="210"/>
    <n v="3.5857142857142859"/>
    <s v="MG Sticks"/>
    <n v="1"/>
    <n v="753"/>
    <n v="1.6204560000000001"/>
    <n v="3.5857142857142859"/>
  </r>
  <r>
    <n v="69621212"/>
    <x v="2"/>
    <n v="5638"/>
    <d v="2023-02-20T00:00:00"/>
    <x v="29"/>
    <x v="28"/>
    <n v="5.2680000000000001E-3"/>
    <n v="29.700984000000002"/>
    <s v="PG"/>
    <x v="2"/>
    <x v="14"/>
    <s v="Q1"/>
    <n v="130"/>
    <n v="43.369230769230768"/>
    <s v="PG"/>
    <n v="1"/>
    <n v="5638"/>
    <n v="29.700984000000002"/>
    <n v="43.369230769230768"/>
  </r>
  <r>
    <n v="69628686"/>
    <x v="4"/>
    <n v="2400"/>
    <d v="2023-02-20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0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7917"/>
    <x v="3"/>
    <n v="4339"/>
    <d v="2023-02-20T00:00:00"/>
    <x v="30"/>
    <x v="29"/>
    <n v="5.2680000000000001E-3"/>
    <n v="22.857852000000001"/>
    <s v="PS"/>
    <x v="2"/>
    <x v="3"/>
    <s v="Q1"/>
    <n v="108"/>
    <n v="40.175925925925924"/>
    <s v="PG"/>
    <n v="1"/>
    <n v="4339"/>
    <n v="22.857852000000001"/>
    <n v="40.175925925925924"/>
  </r>
  <r>
    <n v="69677917"/>
    <x v="2"/>
    <n v="4461"/>
    <d v="2023-02-20T00:00:00"/>
    <x v="30"/>
    <x v="30"/>
    <n v="5.2680000000000001E-3"/>
    <n v="23.500548000000002"/>
    <s v="PS"/>
    <x v="2"/>
    <x v="14"/>
    <s v="Q1"/>
    <n v="108"/>
    <n v="41.305555555555557"/>
    <s v="PG"/>
    <n v="1"/>
    <n v="4461"/>
    <n v="23.500548000000002"/>
    <n v="41.305555555555557"/>
  </r>
  <r>
    <n v="69684522"/>
    <x v="2"/>
    <n v="0"/>
    <d v="2023-02-20T00:00:00"/>
    <x v="31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3284"/>
    <d v="2023-02-20T00:00:00"/>
    <x v="69"/>
    <x v="31"/>
    <n v="4.2560000000000002E-3"/>
    <n v="13.976704000000002"/>
    <s v="BR"/>
    <x v="2"/>
    <x v="5"/>
    <s v="Q1"/>
    <n v="143"/>
    <n v="22.965034965034967"/>
    <s v="MG Sticks"/>
    <n v="1"/>
    <n v="3284"/>
    <n v="13.976704000000002"/>
    <n v="22.965034965034967"/>
  </r>
  <r>
    <n v="69691840"/>
    <x v="2"/>
    <n v="14069"/>
    <d v="2023-02-20T00:00:00"/>
    <x v="106"/>
    <x v="21"/>
    <n v="3.7839999999999996E-3"/>
    <n v="53.237095999999994"/>
    <s v="TA"/>
    <x v="2"/>
    <x v="10"/>
    <s v="Q1"/>
    <n v="255"/>
    <n v="55.172549019607843"/>
    <s v="TALENTI"/>
    <n v="1"/>
    <n v="14069"/>
    <n v="53.237095999999994"/>
    <n v="55.172549019607843"/>
  </r>
  <r>
    <n v="84141094"/>
    <x v="2"/>
    <n v="10480"/>
    <d v="2023-02-20T00:00:00"/>
    <x v="107"/>
    <x v="15"/>
    <n v="3.7853439999999999E-3"/>
    <n v="39.670405119999998"/>
    <s v="BJ"/>
    <x v="2"/>
    <x v="30"/>
    <s v="Q1"/>
    <n v="240"/>
    <n v="43.666666666666664"/>
    <s v="BJ PTS"/>
    <n v="1"/>
    <n v="10480"/>
    <n v="39.670405119999998"/>
    <n v="43.666666666666664"/>
  </r>
  <r>
    <n v="84164936"/>
    <x v="5"/>
    <n v="45644"/>
    <d v="2023-02-20T00:00:00"/>
    <x v="162"/>
    <x v="38"/>
    <n v="3.7853439999999999E-3"/>
    <n v="172.778241536"/>
    <s v="BJ"/>
    <x v="2"/>
    <x v="15"/>
    <s v="Q1"/>
    <n v="240"/>
    <n v="190.18333333333334"/>
    <s v="BJ PTS"/>
    <n v="1"/>
    <n v="45644"/>
    <n v="172.778241536"/>
    <n v="190.18333333333334"/>
  </r>
  <r>
    <n v="67278344"/>
    <x v="5"/>
    <n v="16190"/>
    <d v="2023-02-21T00:00:00"/>
    <x v="264"/>
    <x v="38"/>
    <n v="3.7853439999999999E-3"/>
    <n v="61.284719359999997"/>
    <s v="BJ"/>
    <x v="2"/>
    <x v="15"/>
    <s v="Q1"/>
    <n v="240"/>
    <n v="67.458333333333329"/>
    <s v="BJ PTS"/>
    <n v="1"/>
    <n v="16190"/>
    <n v="61.284719359999997"/>
    <n v="67.458333333333329"/>
  </r>
  <r>
    <n v="67309841"/>
    <x v="2"/>
    <n v="25564"/>
    <d v="2023-02-21T00:00:00"/>
    <x v="32"/>
    <x v="32"/>
    <n v="8.5199999999999998E-3"/>
    <n v="217.80527999999998"/>
    <s v="BR"/>
    <x v="2"/>
    <x v="2"/>
    <s v="Q1"/>
    <n v="154"/>
    <n v="166"/>
    <s v="48oz"/>
    <n v="1"/>
    <n v="25564"/>
    <n v="217.80527999999998"/>
    <n v="166"/>
  </r>
  <r>
    <n v="67309842"/>
    <x v="2"/>
    <n v="11209"/>
    <d v="2023-02-21T00:00:00"/>
    <x v="2"/>
    <x v="2"/>
    <n v="8.5199999999999998E-3"/>
    <n v="95.500680000000003"/>
    <s v="BR"/>
    <x v="2"/>
    <x v="2"/>
    <s v="Q1"/>
    <n v="154"/>
    <n v="72.785714285714292"/>
    <s v="48oz"/>
    <n v="1"/>
    <n v="11209"/>
    <n v="95.500680000000003"/>
    <n v="72.785714285714292"/>
  </r>
  <r>
    <n v="67309843"/>
    <x v="2"/>
    <n v="8703"/>
    <d v="2023-02-21T00:00:00"/>
    <x v="88"/>
    <x v="13"/>
    <n v="8.5199999999999998E-3"/>
    <n v="74.149559999999994"/>
    <s v="BR"/>
    <x v="2"/>
    <x v="2"/>
    <s v="Q1"/>
    <n v="154"/>
    <n v="56.512987012987011"/>
    <s v="48oz"/>
    <n v="1"/>
    <n v="8703"/>
    <n v="74.149559999999994"/>
    <n v="56.512987012987011"/>
  </r>
  <r>
    <n v="67465063"/>
    <x v="3"/>
    <n v="141"/>
    <d v="2023-02-21T00:00:00"/>
    <x v="3"/>
    <x v="40"/>
    <n v="5.2680000000000001E-3"/>
    <n v="0.742788"/>
    <s v="PS"/>
    <x v="2"/>
    <x v="3"/>
    <s v="Q1"/>
    <n v="130"/>
    <n v="1.0846153846153845"/>
    <s v="PG"/>
    <n v="1"/>
    <n v="141"/>
    <n v="0.742788"/>
    <n v="1.0846153846153845"/>
  </r>
  <r>
    <n v="67465063"/>
    <x v="3"/>
    <n v="0"/>
    <d v="2023-02-21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21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2113"/>
    <d v="2023-02-21T00:00:00"/>
    <x v="8"/>
    <x v="6"/>
    <n v="5.2680000000000001E-3"/>
    <n v="11.131284000000001"/>
    <s v="PS"/>
    <x v="2"/>
    <x v="3"/>
    <s v="Q1"/>
    <n v="130"/>
    <n v="16.253846153846155"/>
    <s v="PG"/>
    <n v="1"/>
    <n v="2113"/>
    <n v="11.131284000000001"/>
    <n v="16.253846153846155"/>
  </r>
  <r>
    <n v="67466492"/>
    <x v="3"/>
    <n v="4757"/>
    <d v="2023-02-21T00:00:00"/>
    <x v="8"/>
    <x v="7"/>
    <n v="5.2680000000000001E-3"/>
    <n v="25.059875999999999"/>
    <s v="PS"/>
    <x v="2"/>
    <x v="3"/>
    <s v="Q1"/>
    <n v="130"/>
    <n v="36.592307692307692"/>
    <s v="PG"/>
    <n v="1"/>
    <n v="4757"/>
    <n v="25.059875999999999"/>
    <n v="36.592307692307692"/>
  </r>
  <r>
    <n v="67466492"/>
    <x v="3"/>
    <n v="4706"/>
    <d v="2023-02-21T00:00:00"/>
    <x v="8"/>
    <x v="8"/>
    <n v="5.2680000000000001E-3"/>
    <n v="24.791208000000001"/>
    <s v="PS"/>
    <x v="2"/>
    <x v="3"/>
    <s v="Q1"/>
    <n v="130"/>
    <n v="36.200000000000003"/>
    <s v="PG"/>
    <n v="1"/>
    <n v="4706"/>
    <n v="24.791208000000001"/>
    <n v="36.200000000000003"/>
  </r>
  <r>
    <n v="67466492"/>
    <x v="3"/>
    <n v="4773"/>
    <d v="2023-02-21T00:00:00"/>
    <x v="8"/>
    <x v="9"/>
    <n v="5.2680000000000001E-3"/>
    <n v="25.144164"/>
    <s v="PS"/>
    <x v="2"/>
    <x v="3"/>
    <s v="Q1"/>
    <n v="130"/>
    <n v="36.715384615384615"/>
    <s v="PG"/>
    <n v="1"/>
    <n v="4773"/>
    <n v="25.144164"/>
    <n v="36.715384615384615"/>
  </r>
  <r>
    <n v="67476560"/>
    <x v="3"/>
    <n v="4341"/>
    <d v="2023-02-21T00:00:00"/>
    <x v="10"/>
    <x v="10"/>
    <n v="5.1060000000000003E-3"/>
    <n v="22.165146"/>
    <s v="PS"/>
    <x v="2"/>
    <x v="3"/>
    <s v="Q1"/>
    <n v="130"/>
    <n v="33.392307692307689"/>
    <s v="PG"/>
    <n v="1"/>
    <n v="4341"/>
    <n v="22.165146"/>
    <n v="33.392307692307689"/>
  </r>
  <r>
    <n v="67726323"/>
    <x v="3"/>
    <n v="10242"/>
    <d v="2023-02-21T00:00:00"/>
    <x v="259"/>
    <x v="23"/>
    <n v="8.5199999999999998E-3"/>
    <n v="87.261839999999992"/>
    <s v="BR"/>
    <x v="2"/>
    <x v="6"/>
    <s v="Q1"/>
    <n v="154"/>
    <n v="66.506493506493513"/>
    <s v="48oz"/>
    <n v="1"/>
    <n v="10242"/>
    <n v="87.261839999999992"/>
    <n v="66.506493506493513"/>
  </r>
  <r>
    <n v="67794167"/>
    <x v="5"/>
    <n v="37763"/>
    <d v="2023-02-21T00:00:00"/>
    <x v="176"/>
    <x v="38"/>
    <n v="3.7853439999999999E-3"/>
    <n v="142.94594547200001"/>
    <s v="BJ"/>
    <x v="2"/>
    <x v="15"/>
    <s v="Q1"/>
    <n v="240"/>
    <n v="157.34583333333333"/>
    <s v="BJ PTS"/>
    <n v="1"/>
    <n v="37763"/>
    <n v="142.94594547200001"/>
    <n v="157.34583333333333"/>
  </r>
  <r>
    <n v="67826411"/>
    <x v="5"/>
    <n v="0"/>
    <d v="2023-02-21T00:00:00"/>
    <x v="148"/>
    <x v="35"/>
    <n v="3.7839999999999996E-3"/>
    <n v="0"/>
    <s v="BJ"/>
    <x v="2"/>
    <x v="15"/>
    <s v="Q1"/>
    <n v="240"/>
    <n v="0"/>
    <s v="BJ PTS"/>
    <n v="1"/>
    <n v="0"/>
    <n v="0"/>
    <n v="0"/>
  </r>
  <r>
    <n v="67885719"/>
    <x v="3"/>
    <n v="5483"/>
    <d v="2023-02-21T00:00:00"/>
    <x v="11"/>
    <x v="12"/>
    <n v="8.5199999999999998E-3"/>
    <n v="46.715159999999997"/>
    <s v="BR"/>
    <x v="2"/>
    <x v="6"/>
    <s v="Q1"/>
    <n v="154"/>
    <n v="35.603896103896105"/>
    <s v="48oz"/>
    <n v="1"/>
    <n v="5483"/>
    <n v="46.715159999999997"/>
    <n v="35.603896103896105"/>
  </r>
  <r>
    <n v="67893540"/>
    <x v="2"/>
    <n v="1232"/>
    <d v="2023-02-21T00:00:00"/>
    <x v="66"/>
    <x v="2"/>
    <n v="8.5199999999999998E-3"/>
    <n v="10.496639999999999"/>
    <s v="BR"/>
    <x v="2"/>
    <x v="2"/>
    <s v="Q1"/>
    <n v="154"/>
    <n v="8"/>
    <s v="48oz"/>
    <n v="1"/>
    <n v="1232"/>
    <n v="10.496639999999999"/>
    <n v="8"/>
  </r>
  <r>
    <n v="67901583"/>
    <x v="3"/>
    <n v="0"/>
    <d v="2023-02-21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83"/>
    <x v="3"/>
    <n v="0"/>
    <d v="2023-02-21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83"/>
    <x v="2"/>
    <n v="14666"/>
    <d v="2023-02-21T00:00:00"/>
    <x v="50"/>
    <x v="32"/>
    <n v="8.5199999999999998E-3"/>
    <n v="124.95432"/>
    <s v="BR"/>
    <x v="2"/>
    <x v="2"/>
    <s v="Q1"/>
    <n v="154"/>
    <n v="95.233766233766232"/>
    <s v="48oz"/>
    <n v="1"/>
    <n v="14666"/>
    <n v="124.95432"/>
    <n v="95.233766233766232"/>
  </r>
  <r>
    <n v="67901584"/>
    <x v="3"/>
    <n v="8812"/>
    <d v="2023-02-21T00:00:00"/>
    <x v="51"/>
    <x v="11"/>
    <n v="8.5199999999999998E-3"/>
    <n v="75.078239999999994"/>
    <s v="BR"/>
    <x v="2"/>
    <x v="6"/>
    <s v="Q1"/>
    <n v="154"/>
    <n v="57.220779220779221"/>
    <s v="48oz"/>
    <n v="1"/>
    <n v="8812"/>
    <n v="75.078239999999994"/>
    <n v="57.220779220779221"/>
  </r>
  <r>
    <n v="67901593"/>
    <x v="2"/>
    <n v="0"/>
    <d v="2023-02-21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8399233"/>
    <x v="2"/>
    <n v="0"/>
    <d v="2023-02-21T00:00:00"/>
    <x v="153"/>
    <x v="5"/>
    <n v="2.16E-3"/>
    <n v="0"/>
    <s v="MG"/>
    <x v="2"/>
    <x v="5"/>
    <s v="Q1"/>
    <n v="210"/>
    <n v="0"/>
    <s v="MG Sticks"/>
    <n v="1"/>
    <n v="0"/>
    <n v="0"/>
    <n v="0"/>
  </r>
  <r>
    <n v="68521425"/>
    <x v="0"/>
    <n v="25672"/>
    <d v="2023-02-21T00:00:00"/>
    <x v="0"/>
    <x v="0"/>
    <n v="4.248E-3"/>
    <n v="109.05465599999999"/>
    <s v="GH"/>
    <x v="2"/>
    <x v="0"/>
    <s v="Q1"/>
    <n v="216"/>
    <n v="118.85185185185185"/>
    <s v="Giant SW"/>
    <n v="1"/>
    <n v="25672"/>
    <n v="109.05465599999999"/>
    <n v="118.85185185185185"/>
  </r>
  <r>
    <n v="68634167"/>
    <x v="3"/>
    <n v="16144"/>
    <d v="2023-02-21T00:00:00"/>
    <x v="91"/>
    <x v="16"/>
    <n v="8.5199999999999998E-3"/>
    <n v="137.54687999999999"/>
    <s v="BR"/>
    <x v="2"/>
    <x v="6"/>
    <s v="Q1"/>
    <n v="154"/>
    <n v="104.83116883116882"/>
    <s v="48oz"/>
    <n v="1"/>
    <n v="16144"/>
    <n v="137.54687999999999"/>
    <n v="104.83116883116882"/>
  </r>
  <r>
    <n v="68659717"/>
    <x v="3"/>
    <n v="0"/>
    <d v="2023-02-21T00:00:00"/>
    <x v="260"/>
    <x v="4"/>
    <n v="2.8319999999999999E-3"/>
    <n v="0"/>
    <s v="GH"/>
    <x v="2"/>
    <x v="4"/>
    <s v="Q1"/>
    <n v="154"/>
    <n v="0"/>
    <s v="MBG"/>
    <n v="1"/>
    <n v="0"/>
    <n v="0"/>
    <n v="0"/>
  </r>
  <r>
    <n v="68689251"/>
    <x v="3"/>
    <n v="5444"/>
    <d v="2023-02-21T00:00:00"/>
    <x v="17"/>
    <x v="17"/>
    <n v="9.5760000000000012E-3"/>
    <n v="52.131744000000005"/>
    <s v="KL"/>
    <x v="2"/>
    <x v="8"/>
    <s v="Q1"/>
    <n v="132"/>
    <n v="41.242424242424242"/>
    <s v="EDF"/>
    <n v="1"/>
    <n v="5444"/>
    <n v="52.131744000000005"/>
    <n v="41.242424242424242"/>
  </r>
  <r>
    <n v="68689253"/>
    <x v="2"/>
    <n v="3715"/>
    <d v="2023-02-21T00:00:00"/>
    <x v="125"/>
    <x v="18"/>
    <n v="6.0035555555555554E-3"/>
    <n v="22.303208888888889"/>
    <s v="KL"/>
    <x v="2"/>
    <x v="9"/>
    <s v="Q1"/>
    <n v="120"/>
    <n v="30.958333333333332"/>
    <s v="ESS"/>
    <n v="1"/>
    <n v="3715"/>
    <n v="22.303208888888889"/>
    <n v="30.958333333333332"/>
  </r>
  <r>
    <n v="68709233"/>
    <x v="3"/>
    <n v="6470"/>
    <d v="2023-02-21T00:00:00"/>
    <x v="19"/>
    <x v="19"/>
    <n v="8.4960000000000001E-3"/>
    <n v="54.969120000000004"/>
    <s v="KL"/>
    <x v="2"/>
    <x v="8"/>
    <s v="Q1"/>
    <n v="132"/>
    <n v="49.015151515151516"/>
    <s v="EDF"/>
    <n v="1"/>
    <n v="6470"/>
    <n v="54.969120000000004"/>
    <n v="49.015151515151516"/>
  </r>
  <r>
    <n v="68730254"/>
    <x v="2"/>
    <n v="0"/>
    <d v="2023-02-21T00:00:00"/>
    <x v="128"/>
    <x v="21"/>
    <n v="3.7853440000000004E-3"/>
    <n v="0"/>
    <s v="TA"/>
    <x v="2"/>
    <x v="10"/>
    <s v="Q1"/>
    <n v="255"/>
    <n v="0"/>
    <s v="TALENTI"/>
    <n v="1"/>
    <n v="0"/>
    <n v="0"/>
    <n v="0"/>
  </r>
  <r>
    <n v="68741714"/>
    <x v="3"/>
    <n v="6574"/>
    <d v="2023-02-21T00:00:00"/>
    <x v="24"/>
    <x v="24"/>
    <n v="2.8319999999999999E-3"/>
    <n v="18.617567999999999"/>
    <s v="GH"/>
    <x v="2"/>
    <x v="4"/>
    <s v="Q1"/>
    <n v="225"/>
    <n v="29.217777777777776"/>
    <s v="MBG"/>
    <n v="1"/>
    <n v="6574"/>
    <n v="18.617567999999999"/>
    <n v="29.217777777777776"/>
  </r>
  <r>
    <n v="68741742"/>
    <x v="2"/>
    <n v="5588"/>
    <d v="2023-02-21T00:00:00"/>
    <x v="25"/>
    <x v="25"/>
    <n v="4.2560000000000002E-3"/>
    <n v="23.782528000000003"/>
    <s v="GH"/>
    <x v="2"/>
    <x v="11"/>
    <s v="Q1"/>
    <n v="154"/>
    <n v="36.285714285714285"/>
    <s v="MBG"/>
    <n v="1"/>
    <n v="5588"/>
    <n v="23.782528000000003"/>
    <n v="36.285714285714285"/>
  </r>
  <r>
    <n v="68782716"/>
    <x v="2"/>
    <n v="12414"/>
    <d v="2023-02-21T00:00:00"/>
    <x v="246"/>
    <x v="22"/>
    <n v="3.7853440000000004E-3"/>
    <n v="46.991260416000003"/>
    <s v="TA"/>
    <x v="2"/>
    <x v="10"/>
    <s v="Q1"/>
    <n v="255"/>
    <n v="48.682352941176468"/>
    <s v="TALENTI"/>
    <n v="1"/>
    <n v="12414"/>
    <n v="46.991260416000003"/>
    <n v="48.682352941176468"/>
  </r>
  <r>
    <n v="68842352"/>
    <x v="4"/>
    <n v="4400"/>
    <d v="2023-02-21T00:00:00"/>
    <x v="76"/>
    <x v="0"/>
    <n v="2.6610000000000002E-3"/>
    <n v="11.708400000000001"/>
    <s v="KL"/>
    <x v="2"/>
    <x v="13"/>
    <s v="Q1"/>
    <n v="220"/>
    <n v="20"/>
    <s v="KL Mini Cones"/>
    <n v="1"/>
    <n v="4400"/>
    <n v="11.708400000000001"/>
    <n v="20"/>
  </r>
  <r>
    <n v="68842352"/>
    <x v="4"/>
    <n v="4400"/>
    <d v="2023-02-21T00:00:00"/>
    <x v="76"/>
    <x v="0"/>
    <n v="2.6610000000000002E-3"/>
    <n v="11.708400000000001"/>
    <s v="KL"/>
    <x v="2"/>
    <x v="13"/>
    <s v="Q1"/>
    <n v="220"/>
    <n v="20"/>
    <s v="KL Mini Cones"/>
    <n v="1"/>
    <n v="4400"/>
    <n v="11.708400000000001"/>
    <n v="20"/>
  </r>
  <r>
    <n v="68842352"/>
    <x v="4"/>
    <n v="3960"/>
    <d v="2023-02-21T00:00:00"/>
    <x v="76"/>
    <x v="0"/>
    <n v="2.6610000000000002E-3"/>
    <n v="10.537560000000001"/>
    <s v="KL"/>
    <x v="2"/>
    <x v="13"/>
    <s v="Q1"/>
    <n v="220"/>
    <n v="18"/>
    <s v="KL Mini Cones"/>
    <n v="1"/>
    <n v="3960"/>
    <n v="10.537560000000001"/>
    <n v="18"/>
  </r>
  <r>
    <n v="68852591"/>
    <x v="2"/>
    <n v="5444"/>
    <d v="2023-02-21T00:00:00"/>
    <x v="26"/>
    <x v="26"/>
    <n v="8.5199999999999998E-3"/>
    <n v="46.38288"/>
    <s v="KL"/>
    <x v="2"/>
    <x v="12"/>
    <s v="Q1"/>
    <n v="132"/>
    <n v="41.242424242424242"/>
    <s v="EDF"/>
    <n v="1"/>
    <n v="5444"/>
    <n v="46.38288"/>
    <n v="41.242424242424242"/>
  </r>
  <r>
    <n v="68883110"/>
    <x v="10"/>
    <n v="9350"/>
    <d v="2023-02-21T00:00:00"/>
    <x v="123"/>
    <x v="41"/>
    <n v="2.124E-3"/>
    <n v="19.859400000000001"/>
    <s v="PS"/>
    <x v="2"/>
    <x v="45"/>
    <s v="Q1"/>
    <n v="275"/>
    <n v="34"/>
    <s v="Facepieces"/>
    <n v="1"/>
    <n v="9350"/>
    <n v="19.859400000000001"/>
    <n v="34"/>
  </r>
  <r>
    <n v="68889812"/>
    <x v="2"/>
    <n v="3832"/>
    <d v="2023-02-21T00:00:00"/>
    <x v="27"/>
    <x v="27"/>
    <n v="3.192E-3"/>
    <n v="12.231743999999999"/>
    <s v="KL"/>
    <x v="2"/>
    <x v="9"/>
    <s v="Q1"/>
    <n v="300"/>
    <n v="12.773333333333333"/>
    <s v="ESS"/>
    <n v="1"/>
    <n v="3832"/>
    <n v="12.231743999999999"/>
    <n v="12.773333333333333"/>
  </r>
  <r>
    <n v="68899826"/>
    <x v="3"/>
    <n v="0"/>
    <d v="2023-02-21T00:00:00"/>
    <x v="129"/>
    <x v="12"/>
    <n v="8.5199999999999998E-3"/>
    <n v="0"/>
    <s v="BR"/>
    <x v="2"/>
    <x v="6"/>
    <s v="Q1"/>
    <n v="176"/>
    <n v="0"/>
    <s v="48oz"/>
    <n v="1"/>
    <n v="0"/>
    <n v="0"/>
    <n v="0"/>
  </r>
  <r>
    <n v="68899826"/>
    <x v="3"/>
    <n v="4818"/>
    <d v="2023-02-21T00:00:00"/>
    <x v="129"/>
    <x v="12"/>
    <n v="8.5199999999999998E-3"/>
    <n v="41.04936"/>
    <s v="BR"/>
    <x v="2"/>
    <x v="6"/>
    <s v="Q1"/>
    <n v="176"/>
    <n v="27.375"/>
    <s v="48oz"/>
    <n v="1"/>
    <n v="4818"/>
    <n v="41.04936"/>
    <n v="27.375"/>
  </r>
  <r>
    <n v="68919013"/>
    <x v="0"/>
    <n v="8217"/>
    <d v="2023-02-21T00:00:00"/>
    <x v="158"/>
    <x v="1"/>
    <n v="3.0280000000000001E-2"/>
    <n v="248.81076000000002"/>
    <s v="BR"/>
    <x v="2"/>
    <x v="38"/>
    <s v="Q1"/>
    <n v="240"/>
    <n v="34.237499999999997"/>
    <s v="PTS"/>
    <n v="1"/>
    <n v="8217"/>
    <n v="248.81076000000002"/>
    <n v="34.237499999999997"/>
  </r>
  <r>
    <n v="68921994"/>
    <x v="3"/>
    <n v="0"/>
    <d v="2023-02-21T00:00:00"/>
    <x v="258"/>
    <x v="20"/>
    <n v="9.5879999999999993E-3"/>
    <n v="0"/>
    <s v="KL"/>
    <x v="2"/>
    <x v="8"/>
    <s v="Q1"/>
    <n v="132"/>
    <n v="0"/>
    <s v="EDF"/>
    <n v="1"/>
    <n v="0"/>
    <n v="0"/>
    <n v="0"/>
  </r>
  <r>
    <n v="68922011"/>
    <x v="2"/>
    <n v="0"/>
    <d v="2023-02-21T00:00:00"/>
    <x v="261"/>
    <x v="22"/>
    <n v="3.7853440000000004E-3"/>
    <n v="0"/>
    <s v="TA"/>
    <x v="2"/>
    <x v="10"/>
    <s v="Q1"/>
    <n v="255"/>
    <n v="0"/>
    <s v="TALENTI"/>
    <n v="1"/>
    <n v="0"/>
    <n v="0"/>
    <n v="0"/>
  </r>
  <r>
    <n v="69549032"/>
    <x v="3"/>
    <n v="7430"/>
    <d v="2023-02-21T00:00:00"/>
    <x v="79"/>
    <x v="36"/>
    <n v="2.3469132803553457E-3"/>
    <n v="17.437565673040218"/>
    <s v="GH"/>
    <x v="2"/>
    <x v="28"/>
    <s v="Q1"/>
    <n v="350"/>
    <n v="21.228571428571428"/>
    <s v="EFW"/>
    <n v="1"/>
    <n v="7430"/>
    <n v="17.437565673040218"/>
    <n v="21.228571428571428"/>
  </r>
  <r>
    <n v="69554198"/>
    <x v="2"/>
    <n v="0"/>
    <d v="2023-02-21T00:00:00"/>
    <x v="71"/>
    <x v="15"/>
    <n v="3.7839999999999996E-3"/>
    <n v="0"/>
    <s v="BR"/>
    <x v="2"/>
    <x v="7"/>
    <s v="Q1"/>
    <n v="240"/>
    <n v="0"/>
    <s v="PTS"/>
    <n v="1"/>
    <n v="0"/>
    <n v="0"/>
    <n v="0"/>
  </r>
  <r>
    <n v="69555093"/>
    <x v="2"/>
    <n v="10655"/>
    <d v="2023-02-21T00:00:00"/>
    <x v="229"/>
    <x v="14"/>
    <n v="1.98E-3"/>
    <n v="21.096900000000002"/>
    <s v="TA"/>
    <x v="2"/>
    <x v="42"/>
    <s v="Q1"/>
    <n v="176"/>
    <n v="60.539772727272727"/>
    <s v="TAL NV"/>
    <n v="1"/>
    <n v="10655"/>
    <n v="21.096900000000002"/>
    <n v="60.539772727272727"/>
  </r>
  <r>
    <n v="69556602"/>
    <x v="4"/>
    <n v="240"/>
    <d v="2023-02-21T00:00:00"/>
    <x v="165"/>
    <x v="0"/>
    <n v="5.3220000000000003E-3"/>
    <n v="1.2772800000000002"/>
    <s v="KL"/>
    <x v="2"/>
    <x v="13"/>
    <s v="Q1"/>
    <n v="120"/>
    <n v="2"/>
    <s v="KL Mini Cones"/>
    <n v="1"/>
    <n v="240"/>
    <n v="1.2772800000000002"/>
    <n v="2"/>
  </r>
  <r>
    <n v="69568963"/>
    <x v="2"/>
    <n v="2434"/>
    <d v="2023-02-21T00:00:00"/>
    <x v="94"/>
    <x v="13"/>
    <n v="8.5199999999999998E-3"/>
    <n v="20.737680000000001"/>
    <s v="BR"/>
    <x v="2"/>
    <x v="2"/>
    <s v="Q1"/>
    <n v="176"/>
    <n v="13.829545454545455"/>
    <s v="48oz"/>
    <n v="1"/>
    <n v="2434"/>
    <n v="20.737680000000001"/>
    <n v="13.829545454545455"/>
  </r>
  <r>
    <n v="69572544"/>
    <x v="2"/>
    <n v="0"/>
    <d v="2023-02-21T00:00:00"/>
    <x v="171"/>
    <x v="14"/>
    <n v="1.9740000000000001E-3"/>
    <n v="0"/>
    <s v="MG"/>
    <x v="2"/>
    <x v="5"/>
    <s v="Q1"/>
    <n v="176"/>
    <n v="0"/>
    <s v="MG Sticks"/>
    <n v="1"/>
    <n v="0"/>
    <n v="0"/>
    <n v="0"/>
  </r>
  <r>
    <n v="69572659"/>
    <x v="2"/>
    <n v="4774"/>
    <d v="2023-02-21T00:00:00"/>
    <x v="5"/>
    <x v="5"/>
    <n v="2.1520000000000003E-3"/>
    <n v="10.273648000000001"/>
    <s v="MG"/>
    <x v="2"/>
    <x v="5"/>
    <s v="Q1"/>
    <n v="210"/>
    <n v="22.733333333333334"/>
    <s v="MG Sticks"/>
    <n v="1"/>
    <n v="4774"/>
    <n v="10.273648000000001"/>
    <n v="22.733333333333334"/>
  </r>
  <r>
    <n v="69621212"/>
    <x v="2"/>
    <n v="4363"/>
    <d v="2023-02-21T00:00:00"/>
    <x v="29"/>
    <x v="28"/>
    <n v="5.2680000000000001E-3"/>
    <n v="22.984283999999999"/>
    <s v="PG"/>
    <x v="2"/>
    <x v="14"/>
    <s v="Q1"/>
    <n v="130"/>
    <n v="33.561538461538461"/>
    <s v="PG"/>
    <n v="1"/>
    <n v="4363"/>
    <n v="22.984283999999999"/>
    <n v="33.561538461538461"/>
  </r>
  <r>
    <n v="69628686"/>
    <x v="4"/>
    <n v="2400"/>
    <d v="2023-02-21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9469"/>
    <x v="4"/>
    <n v="2400"/>
    <d v="2023-02-21T00:00:00"/>
    <x v="8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1641"/>
    <x v="3"/>
    <n v="2367"/>
    <d v="2023-02-21T00:00:00"/>
    <x v="260"/>
    <x v="4"/>
    <n v="3.9039999999999999E-3"/>
    <n v="9.2407679999999992"/>
    <s v="GH"/>
    <x v="2"/>
    <x v="4"/>
    <s v="Q1"/>
    <n v="154"/>
    <n v="15.370129870129871"/>
    <s v="MBG"/>
    <n v="1"/>
    <n v="2367"/>
    <n v="9.2407679999999992"/>
    <n v="15.370129870129871"/>
  </r>
  <r>
    <n v="69671641"/>
    <x v="3"/>
    <n v="5644"/>
    <d v="2023-02-21T00:00:00"/>
    <x v="260"/>
    <x v="4"/>
    <n v="3.9039999999999999E-3"/>
    <n v="22.034175999999999"/>
    <s v="GH"/>
    <x v="2"/>
    <x v="4"/>
    <s v="Q1"/>
    <n v="154"/>
    <n v="36.649350649350652"/>
    <s v="MBG"/>
    <n v="1"/>
    <n v="5644"/>
    <n v="22.034175999999999"/>
    <n v="36.649350649350652"/>
  </r>
  <r>
    <n v="69677917"/>
    <x v="3"/>
    <n v="3252"/>
    <d v="2023-02-21T00:00:00"/>
    <x v="30"/>
    <x v="29"/>
    <n v="5.2680000000000001E-3"/>
    <n v="17.131536000000001"/>
    <s v="PS"/>
    <x v="2"/>
    <x v="3"/>
    <s v="Q1"/>
    <n v="108"/>
    <n v="30.111111111111111"/>
    <s v="PG"/>
    <n v="1"/>
    <n v="3252"/>
    <n v="17.131536000000001"/>
    <n v="30.111111111111111"/>
  </r>
  <r>
    <n v="69677917"/>
    <x v="2"/>
    <n v="4532"/>
    <d v="2023-02-21T00:00:00"/>
    <x v="30"/>
    <x v="30"/>
    <n v="5.2680000000000001E-3"/>
    <n v="23.874576000000001"/>
    <s v="PS"/>
    <x v="2"/>
    <x v="14"/>
    <s v="Q1"/>
    <n v="108"/>
    <n v="41.962962962962962"/>
    <s v="PG"/>
    <n v="1"/>
    <n v="4532"/>
    <n v="23.874576000000001"/>
    <n v="41.962962962962962"/>
  </r>
  <r>
    <n v="69684524"/>
    <x v="2"/>
    <n v="5649"/>
    <d v="2023-02-21T00:00:00"/>
    <x v="69"/>
    <x v="31"/>
    <n v="4.2560000000000002E-3"/>
    <n v="24.042144"/>
    <s v="BR"/>
    <x v="2"/>
    <x v="5"/>
    <s v="Q1"/>
    <n v="143"/>
    <n v="39.503496503496507"/>
    <s v="MG Sticks"/>
    <n v="1"/>
    <n v="5649"/>
    <n v="24.042144"/>
    <n v="39.503496503496507"/>
  </r>
  <r>
    <n v="69691840"/>
    <x v="2"/>
    <n v="19050"/>
    <d v="2023-02-21T00:00:00"/>
    <x v="106"/>
    <x v="21"/>
    <n v="3.7839999999999996E-3"/>
    <n v="72.085199999999986"/>
    <s v="TA"/>
    <x v="2"/>
    <x v="10"/>
    <s v="Q1"/>
    <n v="255"/>
    <n v="74.705882352941174"/>
    <s v="TALENTI"/>
    <n v="1"/>
    <n v="19050"/>
    <n v="72.085199999999986"/>
    <n v="74.705882352941174"/>
  </r>
  <r>
    <n v="84135795"/>
    <x v="5"/>
    <n v="0"/>
    <d v="2023-02-21T00:00:00"/>
    <x v="265"/>
    <x v="35"/>
    <n v="9.0848256361922702E-3"/>
    <n v="0"/>
    <s v="BJ"/>
    <x v="2"/>
    <x v="39"/>
    <s v="Q1"/>
    <n v="125"/>
    <n v="0"/>
    <s v="2.4 Gal"/>
    <n v="1"/>
    <n v="0"/>
    <n v="0"/>
    <n v="0"/>
  </r>
  <r>
    <n v="84138391"/>
    <x v="5"/>
    <n v="17066"/>
    <d v="2023-02-21T00:00:00"/>
    <x v="84"/>
    <x v="33"/>
    <n v="3.7853439999999999E-3"/>
    <n v="64.600680703999998"/>
    <s v="BJ"/>
    <x v="2"/>
    <x v="15"/>
    <s v="Q1"/>
    <n v="240"/>
    <n v="71.108333333333334"/>
    <s v="BJ PTS"/>
    <n v="1"/>
    <n v="17066"/>
    <n v="64.600680703999998"/>
    <n v="71.108333333333334"/>
  </r>
  <r>
    <n v="84141094"/>
    <x v="2"/>
    <n v="19568"/>
    <d v="2023-02-21T00:00:00"/>
    <x v="107"/>
    <x v="15"/>
    <n v="3.7853439999999999E-3"/>
    <n v="74.071611391999994"/>
    <s v="BJ"/>
    <x v="2"/>
    <x v="30"/>
    <s v="Q1"/>
    <n v="240"/>
    <n v="81.533333333333331"/>
    <s v="BJ PTS"/>
    <n v="1"/>
    <n v="19568"/>
    <n v="74.071611391999994"/>
    <n v="81.533333333333331"/>
  </r>
  <r>
    <n v="67309841"/>
    <x v="2"/>
    <n v="25256"/>
    <d v="2023-02-22T00:00:00"/>
    <x v="32"/>
    <x v="32"/>
    <n v="8.5199999999999998E-3"/>
    <n v="215.18111999999999"/>
    <s v="BR"/>
    <x v="2"/>
    <x v="2"/>
    <s v="Q1"/>
    <n v="154"/>
    <n v="164"/>
    <s v="48oz"/>
    <n v="1"/>
    <n v="25256"/>
    <n v="215.18111999999999"/>
    <n v="164"/>
  </r>
  <r>
    <n v="67309843"/>
    <x v="2"/>
    <n v="14580"/>
    <d v="2023-02-22T00:00:00"/>
    <x v="88"/>
    <x v="13"/>
    <n v="8.5199999999999998E-3"/>
    <n v="124.2216"/>
    <s v="BR"/>
    <x v="2"/>
    <x v="2"/>
    <s v="Q1"/>
    <n v="154"/>
    <n v="94.675324675324674"/>
    <s v="48oz"/>
    <n v="1"/>
    <n v="14580"/>
    <n v="124.2216"/>
    <n v="94.675324675324674"/>
  </r>
  <r>
    <n v="67465063"/>
    <x v="3"/>
    <n v="0"/>
    <d v="2023-02-22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3"/>
    <x v="3"/>
    <n v="0"/>
    <d v="2023-02-22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22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2921"/>
    <d v="2023-02-22T00:00:00"/>
    <x v="8"/>
    <x v="6"/>
    <n v="5.2680000000000001E-3"/>
    <n v="15.387828000000001"/>
    <s v="PS"/>
    <x v="2"/>
    <x v="3"/>
    <s v="Q1"/>
    <n v="130"/>
    <n v="22.469230769230769"/>
    <s v="PG"/>
    <n v="1"/>
    <n v="2921"/>
    <n v="15.387828000000001"/>
    <n v="22.469230769230769"/>
  </r>
  <r>
    <n v="67466492"/>
    <x v="3"/>
    <n v="4754"/>
    <d v="2023-02-22T00:00:00"/>
    <x v="8"/>
    <x v="7"/>
    <n v="5.2680000000000001E-3"/>
    <n v="25.044072"/>
    <s v="PS"/>
    <x v="2"/>
    <x v="3"/>
    <s v="Q1"/>
    <n v="130"/>
    <n v="36.569230769230771"/>
    <s v="PG"/>
    <n v="1"/>
    <n v="4754"/>
    <n v="25.044072"/>
    <n v="36.569230769230771"/>
  </r>
  <r>
    <n v="67466492"/>
    <x v="3"/>
    <n v="5275"/>
    <d v="2023-02-22T00:00:00"/>
    <x v="8"/>
    <x v="8"/>
    <n v="5.2680000000000001E-3"/>
    <n v="27.788700000000002"/>
    <s v="PS"/>
    <x v="2"/>
    <x v="3"/>
    <s v="Q1"/>
    <n v="130"/>
    <n v="40.57692307692308"/>
    <s v="PG"/>
    <n v="1"/>
    <n v="5275"/>
    <n v="27.788700000000002"/>
    <n v="40.57692307692308"/>
  </r>
  <r>
    <n v="67466492"/>
    <x v="3"/>
    <n v="4728"/>
    <d v="2023-02-22T00:00:00"/>
    <x v="8"/>
    <x v="9"/>
    <n v="5.2680000000000001E-3"/>
    <n v="24.907104"/>
    <s v="PS"/>
    <x v="2"/>
    <x v="3"/>
    <s v="Q1"/>
    <n v="130"/>
    <n v="36.369230769230768"/>
    <s v="PG"/>
    <n v="1"/>
    <n v="4728"/>
    <n v="24.907104"/>
    <n v="36.369230769230768"/>
  </r>
  <r>
    <n v="67476560"/>
    <x v="3"/>
    <n v="449"/>
    <d v="2023-02-22T00:00:00"/>
    <x v="10"/>
    <x v="10"/>
    <n v="5.1060000000000003E-3"/>
    <n v="2.2925940000000002"/>
    <s v="PS"/>
    <x v="2"/>
    <x v="3"/>
    <s v="Q1"/>
    <n v="130"/>
    <n v="3.453846153846154"/>
    <s v="PG"/>
    <n v="1"/>
    <n v="449"/>
    <n v="2.2925940000000002"/>
    <n v="3.453846153846154"/>
  </r>
  <r>
    <n v="67726323"/>
    <x v="3"/>
    <n v="0"/>
    <d v="2023-02-22T00:00:00"/>
    <x v="259"/>
    <x v="23"/>
    <n v="8.5199999999999998E-3"/>
    <n v="0"/>
    <s v="BR"/>
    <x v="2"/>
    <x v="6"/>
    <s v="Q1"/>
    <n v="154"/>
    <n v="0"/>
    <s v="48oz"/>
    <n v="1"/>
    <n v="0"/>
    <n v="0"/>
    <n v="0"/>
  </r>
  <r>
    <n v="67794167"/>
    <x v="5"/>
    <n v="59385"/>
    <d v="2023-02-22T00:00:00"/>
    <x v="176"/>
    <x v="38"/>
    <n v="3.7853439999999999E-3"/>
    <n v="224.79265344000001"/>
    <s v="BJ"/>
    <x v="2"/>
    <x v="15"/>
    <s v="Q1"/>
    <n v="240"/>
    <n v="247.4375"/>
    <s v="BJ PTS"/>
    <n v="1"/>
    <n v="59385"/>
    <n v="224.79265344000001"/>
    <n v="247.4375"/>
  </r>
  <r>
    <n v="67794169"/>
    <x v="13"/>
    <n v="75668"/>
    <d v="2023-02-22T00:00:00"/>
    <x v="33"/>
    <x v="35"/>
    <n v="3.7853439999999999E-3"/>
    <n v="286.429409792"/>
    <s v="BJ"/>
    <x v="2"/>
    <x v="36"/>
    <s v="Q1"/>
    <n v="240"/>
    <n v="315.28333333333336"/>
    <s v="BJ PTS"/>
    <n v="1"/>
    <n v="75668"/>
    <n v="286.429409792"/>
    <n v="315.28333333333336"/>
  </r>
  <r>
    <n v="67826412"/>
    <x v="13"/>
    <n v="73069"/>
    <d v="2023-02-22T00:00:00"/>
    <x v="214"/>
    <x v="35"/>
    <n v="3.7853439999999999E-3"/>
    <n v="276.59130073599999"/>
    <s v="BJ"/>
    <x v="2"/>
    <x v="36"/>
    <s v="Q1"/>
    <n v="240"/>
    <n v="304.45416666666665"/>
    <s v="BJ PTS"/>
    <n v="1"/>
    <n v="73069"/>
    <n v="276.59130073599999"/>
    <n v="304.45416666666665"/>
  </r>
  <r>
    <n v="67885718"/>
    <x v="2"/>
    <n v="0"/>
    <d v="2023-02-22T00:00:00"/>
    <x v="48"/>
    <x v="13"/>
    <n v="8.5199999999999998E-3"/>
    <n v="0"/>
    <s v="BR"/>
    <x v="2"/>
    <x v="2"/>
    <s v="Q1"/>
    <n v="154"/>
    <n v="0"/>
    <s v="48oz"/>
    <n v="1"/>
    <n v="0"/>
    <n v="0"/>
    <n v="0"/>
  </r>
  <r>
    <n v="67885719"/>
    <x v="2"/>
    <n v="0"/>
    <d v="2023-02-22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93540"/>
    <x v="2"/>
    <n v="14099"/>
    <d v="2023-02-22T00:00:00"/>
    <x v="66"/>
    <x v="2"/>
    <n v="8.5199999999999998E-3"/>
    <n v="120.12348"/>
    <s v="BR"/>
    <x v="2"/>
    <x v="2"/>
    <s v="Q1"/>
    <n v="154"/>
    <n v="91.551948051948045"/>
    <s v="48oz"/>
    <n v="1"/>
    <n v="14099"/>
    <n v="120.12348"/>
    <n v="91.551948051948045"/>
  </r>
  <r>
    <n v="67901583"/>
    <x v="3"/>
    <n v="0"/>
    <d v="2023-02-22T00:00:00"/>
    <x v="50"/>
    <x v="11"/>
    <n v="8.5199999999999998E-3"/>
    <n v="0"/>
    <s v="BR"/>
    <x v="2"/>
    <x v="6"/>
    <s v="Q1"/>
    <n v="154"/>
    <n v="0"/>
    <s v="48oz"/>
    <n v="1"/>
    <n v="0"/>
    <n v="0"/>
    <n v="0"/>
  </r>
  <r>
    <n v="67901583"/>
    <x v="3"/>
    <n v="12727"/>
    <d v="2023-02-22T00:00:00"/>
    <x v="50"/>
    <x v="11"/>
    <n v="8.5199999999999998E-3"/>
    <n v="108.43404"/>
    <s v="BR"/>
    <x v="2"/>
    <x v="6"/>
    <s v="Q1"/>
    <n v="154"/>
    <n v="82.642857142857139"/>
    <s v="48oz"/>
    <n v="1"/>
    <n v="12727"/>
    <n v="108.43404"/>
    <n v="82.642857142857139"/>
  </r>
  <r>
    <n v="67901593"/>
    <x v="2"/>
    <n v="0"/>
    <d v="2023-02-22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8115479"/>
    <x v="6"/>
    <n v="0.76600000000000001"/>
    <d v="2023-02-22T00:00:00"/>
    <x v="52"/>
    <x v="0"/>
    <n v="5.7599999999999995E-3"/>
    <n v="4.41216E-3"/>
    <s v="MG "/>
    <x v="2"/>
    <x v="20"/>
    <s v="Q1"/>
    <n v="30"/>
    <n v="2.5533333333333335E-2"/>
    <s v="Repack MG Sticks"/>
    <n v="1"/>
    <n v="0.76600000000000001"/>
    <n v="4.41216E-3"/>
    <n v="2.5533333333333335E-2"/>
  </r>
  <r>
    <n v="68115479"/>
    <x v="6"/>
    <n v="0.76800000000000002"/>
    <d v="2023-02-22T00:00:00"/>
    <x v="52"/>
    <x v="0"/>
    <n v="5.7599999999999995E-3"/>
    <n v="4.4236799999999993E-3"/>
    <s v="MG "/>
    <x v="2"/>
    <x v="20"/>
    <s v="Q1"/>
    <n v="30"/>
    <n v="2.5600000000000001E-2"/>
    <s v="Repack MG Sticks"/>
    <n v="1"/>
    <n v="0.76800000000000002"/>
    <n v="4.4236799999999993E-3"/>
    <n v="2.5600000000000001E-2"/>
  </r>
  <r>
    <n v="68399233"/>
    <x v="2"/>
    <n v="0"/>
    <d v="2023-02-22T00:00:00"/>
    <x v="153"/>
    <x v="5"/>
    <n v="2.16E-3"/>
    <n v="0"/>
    <s v="MG"/>
    <x v="2"/>
    <x v="5"/>
    <s v="Q1"/>
    <n v="210"/>
    <n v="0"/>
    <s v="MG Sticks"/>
    <n v="1"/>
    <n v="0"/>
    <n v="0"/>
    <n v="0"/>
  </r>
  <r>
    <n v="68399233"/>
    <x v="2"/>
    <n v="0"/>
    <d v="2023-02-22T00:00:00"/>
    <x v="153"/>
    <x v="5"/>
    <n v="2.16E-3"/>
    <n v="0"/>
    <s v="MG"/>
    <x v="2"/>
    <x v="5"/>
    <s v="Q1"/>
    <n v="210"/>
    <n v="0"/>
    <s v="MG Sticks"/>
    <n v="1"/>
    <n v="0"/>
    <n v="0"/>
    <n v="0"/>
  </r>
  <r>
    <n v="68521425"/>
    <x v="0"/>
    <n v="24761"/>
    <d v="2023-02-22T00:00:00"/>
    <x v="0"/>
    <x v="0"/>
    <n v="4.248E-3"/>
    <n v="105.18472800000001"/>
    <s v="GH"/>
    <x v="2"/>
    <x v="0"/>
    <s v="Q1"/>
    <n v="216"/>
    <n v="114.63425925925925"/>
    <s v="Giant SW"/>
    <n v="1"/>
    <n v="24761"/>
    <n v="105.18472800000001"/>
    <n v="114.63425925925925"/>
  </r>
  <r>
    <n v="68634167"/>
    <x v="3"/>
    <n v="15090"/>
    <d v="2023-02-22T00:00:00"/>
    <x v="91"/>
    <x v="16"/>
    <n v="8.5199999999999998E-3"/>
    <n v="128.5668"/>
    <s v="BR"/>
    <x v="2"/>
    <x v="6"/>
    <s v="Q1"/>
    <n v="154"/>
    <n v="97.987012987012989"/>
    <s v="48oz"/>
    <n v="1"/>
    <n v="15090"/>
    <n v="128.5668"/>
    <n v="97.987012987012989"/>
  </r>
  <r>
    <n v="68659717"/>
    <x v="3"/>
    <n v="0"/>
    <d v="2023-02-22T00:00:00"/>
    <x v="260"/>
    <x v="4"/>
    <n v="2.8319999999999999E-3"/>
    <n v="0"/>
    <s v="GH"/>
    <x v="2"/>
    <x v="4"/>
    <s v="Q1"/>
    <n v="154"/>
    <n v="0"/>
    <s v="MBG"/>
    <n v="1"/>
    <n v="0"/>
    <n v="0"/>
    <n v="0"/>
  </r>
  <r>
    <n v="68689251"/>
    <x v="3"/>
    <n v="6895"/>
    <d v="2023-02-22T00:00:00"/>
    <x v="17"/>
    <x v="17"/>
    <n v="9.5760000000000012E-3"/>
    <n v="66.026520000000005"/>
    <s v="KL"/>
    <x v="2"/>
    <x v="8"/>
    <s v="Q1"/>
    <n v="132"/>
    <n v="52.234848484848484"/>
    <s v="EDF"/>
    <n v="1"/>
    <n v="6895"/>
    <n v="66.026520000000005"/>
    <n v="52.234848484848484"/>
  </r>
  <r>
    <n v="68689253"/>
    <x v="2"/>
    <n v="2110"/>
    <d v="2023-02-22T00:00:00"/>
    <x v="125"/>
    <x v="18"/>
    <n v="6.0035555555555554E-3"/>
    <n v="12.667502222222222"/>
    <s v="KL"/>
    <x v="2"/>
    <x v="9"/>
    <s v="Q1"/>
    <n v="120"/>
    <n v="17.583333333333332"/>
    <s v="ESS"/>
    <n v="1"/>
    <n v="2110"/>
    <n v="12.667502222222222"/>
    <n v="17.583333333333332"/>
  </r>
  <r>
    <n v="68709233"/>
    <x v="3"/>
    <n v="5949"/>
    <d v="2023-02-22T00:00:00"/>
    <x v="19"/>
    <x v="19"/>
    <n v="8.4960000000000001E-3"/>
    <n v="50.542704000000001"/>
    <s v="KL"/>
    <x v="2"/>
    <x v="8"/>
    <s v="Q1"/>
    <n v="132"/>
    <n v="45.06818181818182"/>
    <s v="EDF"/>
    <n v="1"/>
    <n v="5949"/>
    <n v="50.542704000000001"/>
    <n v="45.06818181818182"/>
  </r>
  <r>
    <n v="68741714"/>
    <x v="3"/>
    <n v="7757"/>
    <d v="2023-02-22T00:00:00"/>
    <x v="24"/>
    <x v="24"/>
    <n v="2.8319999999999999E-3"/>
    <n v="21.967824"/>
    <s v="GH"/>
    <x v="2"/>
    <x v="4"/>
    <s v="Q1"/>
    <n v="225"/>
    <n v="34.475555555555559"/>
    <s v="MBG"/>
    <n v="1"/>
    <n v="7757"/>
    <n v="21.967824"/>
    <n v="34.475555555555559"/>
  </r>
  <r>
    <n v="68741742"/>
    <x v="2"/>
    <n v="2158"/>
    <d v="2023-02-22T00:00:00"/>
    <x v="25"/>
    <x v="25"/>
    <n v="4.2560000000000002E-3"/>
    <n v="9.1844479999999997"/>
    <s v="GH"/>
    <x v="2"/>
    <x v="11"/>
    <s v="Q1"/>
    <n v="154"/>
    <n v="14.012987012987013"/>
    <s v="MBG"/>
    <n v="1"/>
    <n v="2158"/>
    <n v="9.1844479999999997"/>
    <n v="14.012987012987013"/>
  </r>
  <r>
    <n v="68769685"/>
    <x v="3"/>
    <n v="8858"/>
    <d v="2023-02-22T00:00:00"/>
    <x v="259"/>
    <x v="23"/>
    <n v="8.5199999999999998E-3"/>
    <n v="75.470159999999993"/>
    <s v="BR"/>
    <x v="2"/>
    <x v="6"/>
    <s v="Q1"/>
    <n v="176"/>
    <n v="50.329545454545453"/>
    <s v="48oz"/>
    <n v="1"/>
    <n v="8858"/>
    <n v="75.470159999999993"/>
    <n v="50.329545454545453"/>
  </r>
  <r>
    <n v="68769686"/>
    <x v="3"/>
    <n v="5718"/>
    <d v="2023-02-22T00:00:00"/>
    <x v="266"/>
    <x v="23"/>
    <n v="8.513999999999999E-3"/>
    <n v="48.683051999999996"/>
    <s v="BR"/>
    <x v="2"/>
    <x v="6"/>
    <s v="Q1"/>
    <n v="154"/>
    <n v="37.129870129870127"/>
    <s v="48oz"/>
    <n v="1"/>
    <n v="5718"/>
    <n v="48.683051999999996"/>
    <n v="37.129870129870127"/>
  </r>
  <r>
    <n v="68782716"/>
    <x v="2"/>
    <n v="0"/>
    <d v="2023-02-22T00:00:00"/>
    <x v="246"/>
    <x v="22"/>
    <n v="3.7853440000000004E-3"/>
    <n v="0"/>
    <s v="TA"/>
    <x v="2"/>
    <x v="10"/>
    <s v="Q1"/>
    <n v="255"/>
    <n v="0"/>
    <s v="TALENTI"/>
    <n v="1"/>
    <n v="0"/>
    <n v="0"/>
    <n v="0"/>
  </r>
  <r>
    <n v="68842352"/>
    <x v="4"/>
    <n v="4400"/>
    <d v="2023-02-22T00:00:00"/>
    <x v="76"/>
    <x v="0"/>
    <n v="2.6610000000000002E-3"/>
    <n v="11.708400000000001"/>
    <s v="KL"/>
    <x v="2"/>
    <x v="13"/>
    <s v="Q1"/>
    <n v="220"/>
    <n v="20"/>
    <s v="KL Mini Cones"/>
    <n v="1"/>
    <n v="4400"/>
    <n v="11.708400000000001"/>
    <n v="20"/>
  </r>
  <r>
    <n v="68852591"/>
    <x v="2"/>
    <n v="5204"/>
    <d v="2023-02-22T00:00:00"/>
    <x v="26"/>
    <x v="26"/>
    <n v="8.5199999999999998E-3"/>
    <n v="44.338079999999998"/>
    <s v="KL"/>
    <x v="2"/>
    <x v="12"/>
    <s v="Q1"/>
    <n v="132"/>
    <n v="39.424242424242422"/>
    <s v="EDF"/>
    <n v="1"/>
    <n v="5204"/>
    <n v="44.338079999999998"/>
    <n v="39.424242424242422"/>
  </r>
  <r>
    <n v="68863008"/>
    <x v="9"/>
    <n v="6680"/>
    <d v="2023-02-22T00:00:00"/>
    <x v="267"/>
    <x v="0"/>
    <n v="1.8959999999999999E-3"/>
    <n v="12.665279999999999"/>
    <s v="BJ"/>
    <x v="2"/>
    <x v="23"/>
    <s v="Q1"/>
    <n v="272"/>
    <n v="24.558823529411764"/>
    <s v="Dough Bites"/>
    <n v="1"/>
    <n v="6680"/>
    <n v="12.665279999999999"/>
    <n v="24.558823529411764"/>
  </r>
  <r>
    <n v="68871220"/>
    <x v="0"/>
    <n v="8876"/>
    <d v="2023-02-22T00:00:00"/>
    <x v="156"/>
    <x v="1"/>
    <n v="3.7853439999999999E-3"/>
    <n v="33.598713343999997"/>
    <s v="BR"/>
    <x v="2"/>
    <x v="38"/>
    <s v="Q1"/>
    <n v="240"/>
    <n v="36.983333333333334"/>
    <s v="PTS"/>
    <n v="1"/>
    <n v="8876"/>
    <n v="33.598713343999997"/>
    <n v="36.983333333333334"/>
  </r>
  <r>
    <n v="68883110"/>
    <x v="10"/>
    <n v="11550"/>
    <d v="2023-02-22T00:00:00"/>
    <x v="123"/>
    <x v="41"/>
    <n v="2.124E-3"/>
    <n v="24.5322"/>
    <s v="PS"/>
    <x v="2"/>
    <x v="45"/>
    <s v="Q1"/>
    <n v="275"/>
    <n v="42"/>
    <s v="Facepieces"/>
    <n v="1"/>
    <n v="11550"/>
    <n v="24.5322"/>
    <n v="42"/>
  </r>
  <r>
    <n v="68889812"/>
    <x v="2"/>
    <n v="3526"/>
    <d v="2023-02-22T00:00:00"/>
    <x v="27"/>
    <x v="27"/>
    <n v="3.192E-3"/>
    <n v="11.254992"/>
    <s v="KL"/>
    <x v="2"/>
    <x v="9"/>
    <s v="Q1"/>
    <n v="300"/>
    <n v="11.753333333333334"/>
    <s v="ESS"/>
    <n v="1"/>
    <n v="3526"/>
    <n v="11.254992"/>
    <n v="11.753333333333334"/>
  </r>
  <r>
    <n v="68899826"/>
    <x v="3"/>
    <n v="12665"/>
    <d v="2023-02-22T00:00:00"/>
    <x v="129"/>
    <x v="12"/>
    <n v="8.5199999999999998E-3"/>
    <n v="107.9058"/>
    <s v="BR"/>
    <x v="2"/>
    <x v="6"/>
    <s v="Q1"/>
    <n v="176"/>
    <n v="71.960227272727266"/>
    <s v="48oz"/>
    <n v="1"/>
    <n v="12665"/>
    <n v="107.9058"/>
    <n v="71.960227272727266"/>
  </r>
  <r>
    <n v="68919013"/>
    <x v="0"/>
    <n v="237"/>
    <d v="2023-02-22T00:00:00"/>
    <x v="158"/>
    <x v="1"/>
    <n v="3.0280000000000001E-2"/>
    <n v="7.1763600000000007"/>
    <s v="BR"/>
    <x v="2"/>
    <x v="38"/>
    <s v="Q1"/>
    <n v="240"/>
    <n v="0.98750000000000004"/>
    <s v="PTS"/>
    <n v="1"/>
    <n v="237"/>
    <n v="7.1763600000000007"/>
    <n v="0.98750000000000004"/>
  </r>
  <r>
    <n v="68921994"/>
    <x v="3"/>
    <n v="4526"/>
    <d v="2023-02-22T00:00:00"/>
    <x v="258"/>
    <x v="20"/>
    <n v="9.5879999999999993E-3"/>
    <n v="43.395287999999994"/>
    <s v="KL"/>
    <x v="2"/>
    <x v="8"/>
    <s v="Q1"/>
    <n v="132"/>
    <n v="34.287878787878789"/>
    <s v="EDF"/>
    <n v="1"/>
    <n v="4526"/>
    <n v="43.395287999999994"/>
    <n v="34.287878787878789"/>
  </r>
  <r>
    <n v="69549032"/>
    <x v="3"/>
    <n v="6536"/>
    <d v="2023-02-22T00:00:00"/>
    <x v="79"/>
    <x v="36"/>
    <n v="2.3469132803553457E-3"/>
    <n v="15.339425200402539"/>
    <s v="GH"/>
    <x v="2"/>
    <x v="28"/>
    <s v="Q1"/>
    <n v="350"/>
    <n v="18.674285714285713"/>
    <s v="EFW"/>
    <n v="1"/>
    <n v="6536"/>
    <n v="15.339425200402539"/>
    <n v="18.674285714285713"/>
  </r>
  <r>
    <n v="69554198"/>
    <x v="2"/>
    <n v="1476"/>
    <d v="2023-02-22T00:00:00"/>
    <x v="71"/>
    <x v="15"/>
    <n v="3.7839999999999996E-3"/>
    <n v="5.585183999999999"/>
    <s v="BR"/>
    <x v="2"/>
    <x v="7"/>
    <s v="Q1"/>
    <n v="240"/>
    <n v="6.15"/>
    <s v="PTS"/>
    <n v="1"/>
    <n v="1476"/>
    <n v="5.585183999999999"/>
    <n v="6.15"/>
  </r>
  <r>
    <n v="69555093"/>
    <x v="2"/>
    <n v="10354"/>
    <d v="2023-02-22T00:00:00"/>
    <x v="229"/>
    <x v="14"/>
    <n v="1.98E-3"/>
    <n v="20.500920000000001"/>
    <s v="TA"/>
    <x v="2"/>
    <x v="42"/>
    <s v="Q1"/>
    <n v="176"/>
    <n v="58.829545454545453"/>
    <s v="TAL NV"/>
    <n v="1"/>
    <n v="10354"/>
    <n v="20.500920000000001"/>
    <n v="58.829545454545453"/>
  </r>
  <r>
    <n v="69572658"/>
    <x v="2"/>
    <n v="0"/>
    <d v="2023-02-22T00:00:00"/>
    <x v="166"/>
    <x v="5"/>
    <n v="2.1520000000000003E-3"/>
    <n v="0"/>
    <s v="MG"/>
    <x v="2"/>
    <x v="5"/>
    <s v="Q1"/>
    <n v="210"/>
    <n v="0"/>
    <s v="MG Sticks"/>
    <n v="1"/>
    <n v="0"/>
    <n v="0"/>
    <n v="0"/>
  </r>
  <r>
    <n v="69572659"/>
    <x v="2"/>
    <n v="11772"/>
    <d v="2023-02-22T00:00:00"/>
    <x v="5"/>
    <x v="5"/>
    <n v="2.1520000000000003E-3"/>
    <n v="25.333344000000004"/>
    <s v="MG"/>
    <x v="2"/>
    <x v="5"/>
    <s v="Q1"/>
    <n v="210"/>
    <n v="56.057142857142857"/>
    <s v="MG Sticks"/>
    <n v="1"/>
    <n v="11772"/>
    <n v="25.333344000000004"/>
    <n v="56.057142857142857"/>
  </r>
  <r>
    <n v="69621212"/>
    <x v="2"/>
    <n v="2585"/>
    <d v="2023-02-22T00:00:00"/>
    <x v="29"/>
    <x v="28"/>
    <n v="5.2680000000000001E-3"/>
    <n v="13.61778"/>
    <s v="PG"/>
    <x v="2"/>
    <x v="14"/>
    <s v="Q1"/>
    <n v="130"/>
    <n v="19.884615384615383"/>
    <s v="PG"/>
    <n v="1"/>
    <n v="2585"/>
    <n v="13.61778"/>
    <n v="19.884615384615383"/>
  </r>
  <r>
    <n v="69628686"/>
    <x v="4"/>
    <n v="2400"/>
    <d v="2023-02-22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2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2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1641"/>
    <x v="3"/>
    <n v="4758"/>
    <d v="2023-02-22T00:00:00"/>
    <x v="260"/>
    <x v="4"/>
    <n v="3.9039999999999999E-3"/>
    <n v="18.575232"/>
    <s v="GH"/>
    <x v="2"/>
    <x v="4"/>
    <s v="Q1"/>
    <n v="154"/>
    <n v="30.896103896103895"/>
    <s v="MBG"/>
    <n v="1"/>
    <n v="4758"/>
    <n v="18.575232"/>
    <n v="30.896103896103895"/>
  </r>
  <r>
    <n v="69677917"/>
    <x v="3"/>
    <n v="4024"/>
    <d v="2023-02-22T00:00:00"/>
    <x v="30"/>
    <x v="29"/>
    <n v="5.2680000000000001E-3"/>
    <n v="21.198432"/>
    <s v="PS"/>
    <x v="2"/>
    <x v="3"/>
    <s v="Q1"/>
    <n v="108"/>
    <n v="37.25925925925926"/>
    <s v="PG"/>
    <n v="1"/>
    <n v="4024"/>
    <n v="21.198432"/>
    <n v="37.25925925925926"/>
  </r>
  <r>
    <n v="69677917"/>
    <x v="2"/>
    <n v="5569"/>
    <d v="2023-02-22T00:00:00"/>
    <x v="30"/>
    <x v="30"/>
    <n v="5.2680000000000001E-3"/>
    <n v="29.337492000000001"/>
    <s v="PS"/>
    <x v="2"/>
    <x v="14"/>
    <s v="Q1"/>
    <n v="108"/>
    <n v="51.564814814814817"/>
    <s v="PG"/>
    <n v="1"/>
    <n v="5569"/>
    <n v="29.337492000000001"/>
    <n v="51.564814814814817"/>
  </r>
  <r>
    <n v="69684524"/>
    <x v="2"/>
    <n v="7614"/>
    <d v="2023-02-22T00:00:00"/>
    <x v="69"/>
    <x v="31"/>
    <n v="4.2560000000000002E-3"/>
    <n v="32.405183999999998"/>
    <s v="BR"/>
    <x v="2"/>
    <x v="5"/>
    <s v="Q1"/>
    <n v="143"/>
    <n v="53.244755244755247"/>
    <s v="MG Sticks"/>
    <n v="1"/>
    <n v="7614"/>
    <n v="32.405183999999998"/>
    <n v="53.244755244755247"/>
  </r>
  <r>
    <n v="69691840"/>
    <x v="2"/>
    <n v="19084"/>
    <d v="2023-02-22T00:00:00"/>
    <x v="106"/>
    <x v="21"/>
    <n v="3.7839999999999996E-3"/>
    <n v="72.213855999999993"/>
    <s v="TA"/>
    <x v="2"/>
    <x v="10"/>
    <s v="Q1"/>
    <n v="255"/>
    <n v="74.839215686274514"/>
    <s v="TALENTI"/>
    <n v="1"/>
    <n v="19084"/>
    <n v="72.213855999999993"/>
    <n v="74.839215686274514"/>
  </r>
  <r>
    <n v="84135795"/>
    <x v="5"/>
    <n v="0"/>
    <d v="2023-02-22T00:00:00"/>
    <x v="265"/>
    <x v="35"/>
    <n v="9.0848256361922702E-3"/>
    <n v="0"/>
    <s v="BJ"/>
    <x v="2"/>
    <x v="39"/>
    <s v="Q1"/>
    <n v="125"/>
    <n v="0"/>
    <s v="2.4 Gal"/>
    <n v="1"/>
    <n v="0"/>
    <n v="0"/>
    <n v="0"/>
  </r>
  <r>
    <n v="84141094"/>
    <x v="2"/>
    <n v="10967"/>
    <d v="2023-02-22T00:00:00"/>
    <x v="107"/>
    <x v="15"/>
    <n v="3.7853439999999999E-3"/>
    <n v="41.513867648000002"/>
    <s v="BJ"/>
    <x v="2"/>
    <x v="30"/>
    <s v="Q1"/>
    <n v="240"/>
    <n v="45.695833333333333"/>
    <s v="BJ PTS"/>
    <n v="1"/>
    <n v="10967"/>
    <n v="41.513867648000002"/>
    <n v="45.695833333333333"/>
  </r>
  <r>
    <n v="67309841"/>
    <x v="2"/>
    <n v="10421"/>
    <d v="2023-02-23T00:00:00"/>
    <x v="32"/>
    <x v="32"/>
    <n v="8.5199999999999998E-3"/>
    <n v="88.786919999999995"/>
    <s v="BR"/>
    <x v="2"/>
    <x v="2"/>
    <s v="Q1"/>
    <n v="154"/>
    <n v="67.668831168831176"/>
    <s v="48oz"/>
    <n v="1"/>
    <n v="10421"/>
    <n v="88.786919999999995"/>
    <n v="67.668831168831176"/>
  </r>
  <r>
    <n v="67309843"/>
    <x v="2"/>
    <n v="13046"/>
    <d v="2023-02-23T00:00:00"/>
    <x v="88"/>
    <x v="13"/>
    <n v="8.5199999999999998E-3"/>
    <n v="111.15192"/>
    <s v="BR"/>
    <x v="2"/>
    <x v="2"/>
    <s v="Q1"/>
    <n v="154"/>
    <n v="84.714285714285708"/>
    <s v="48oz"/>
    <n v="1"/>
    <n v="13046"/>
    <n v="111.15192"/>
    <n v="84.714285714285708"/>
  </r>
  <r>
    <n v="67465063"/>
    <x v="3"/>
    <n v="55"/>
    <d v="2023-02-23T00:00:00"/>
    <x v="3"/>
    <x v="40"/>
    <n v="5.2680000000000001E-3"/>
    <n v="0.28974"/>
    <s v="PS"/>
    <x v="2"/>
    <x v="3"/>
    <s v="Q1"/>
    <n v="130"/>
    <n v="0.42307692307692307"/>
    <s v="PG"/>
    <n v="1"/>
    <n v="55"/>
    <n v="0.28974"/>
    <n v="0.42307692307692307"/>
  </r>
  <r>
    <n v="67465063"/>
    <x v="3"/>
    <n v="0"/>
    <d v="2023-02-23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23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4391"/>
    <d v="2023-02-23T00:00:00"/>
    <x v="8"/>
    <x v="6"/>
    <n v="5.2680000000000001E-3"/>
    <n v="23.131788"/>
    <s v="PS"/>
    <x v="2"/>
    <x v="3"/>
    <s v="Q1"/>
    <n v="130"/>
    <n v="33.776923076923076"/>
    <s v="PG"/>
    <n v="1"/>
    <n v="4391"/>
    <n v="23.131788"/>
    <n v="33.776923076923076"/>
  </r>
  <r>
    <n v="67466492"/>
    <x v="3"/>
    <n v="3632"/>
    <d v="2023-02-23T00:00:00"/>
    <x v="8"/>
    <x v="7"/>
    <n v="5.2680000000000001E-3"/>
    <n v="19.133376000000002"/>
    <s v="PS"/>
    <x v="2"/>
    <x v="3"/>
    <s v="Q1"/>
    <n v="130"/>
    <n v="27.938461538461539"/>
    <s v="PG"/>
    <n v="1"/>
    <n v="3632"/>
    <n v="19.133376000000002"/>
    <n v="27.938461538461539"/>
  </r>
  <r>
    <n v="67466492"/>
    <x v="3"/>
    <n v="4099"/>
    <d v="2023-02-23T00:00:00"/>
    <x v="8"/>
    <x v="8"/>
    <n v="5.2680000000000001E-3"/>
    <n v="21.593532"/>
    <s v="PS"/>
    <x v="2"/>
    <x v="3"/>
    <s v="Q1"/>
    <n v="130"/>
    <n v="31.530769230769231"/>
    <s v="PG"/>
    <n v="1"/>
    <n v="4099"/>
    <n v="21.593532"/>
    <n v="31.530769230769231"/>
  </r>
  <r>
    <n v="67466492"/>
    <x v="3"/>
    <n v="2985"/>
    <d v="2023-02-23T00:00:00"/>
    <x v="8"/>
    <x v="9"/>
    <n v="5.2680000000000001E-3"/>
    <n v="15.72498"/>
    <s v="PS"/>
    <x v="2"/>
    <x v="3"/>
    <s v="Q1"/>
    <n v="130"/>
    <n v="22.96153846153846"/>
    <s v="PG"/>
    <n v="1"/>
    <n v="2985"/>
    <n v="15.72498"/>
    <n v="22.96153846153846"/>
  </r>
  <r>
    <n v="67476560"/>
    <x v="3"/>
    <n v="1570"/>
    <d v="2023-02-23T00:00:00"/>
    <x v="10"/>
    <x v="10"/>
    <n v="5.1060000000000003E-3"/>
    <n v="8.0164200000000001"/>
    <s v="PS"/>
    <x v="2"/>
    <x v="3"/>
    <s v="Q1"/>
    <n v="130"/>
    <n v="12.076923076923077"/>
    <s v="PG"/>
    <n v="1"/>
    <n v="1570"/>
    <n v="8.0164200000000001"/>
    <n v="12.076923076923077"/>
  </r>
  <r>
    <n v="67726323"/>
    <x v="3"/>
    <n v="0"/>
    <d v="2023-02-23T00:00:00"/>
    <x v="259"/>
    <x v="23"/>
    <n v="8.5199999999999998E-3"/>
    <n v="0"/>
    <s v="BR"/>
    <x v="2"/>
    <x v="6"/>
    <s v="Q1"/>
    <n v="154"/>
    <n v="0"/>
    <s v="48oz"/>
    <n v="1"/>
    <n v="0"/>
    <n v="0"/>
    <n v="0"/>
  </r>
  <r>
    <n v="67794169"/>
    <x v="13"/>
    <n v="0"/>
    <d v="2023-02-23T00:00:00"/>
    <x v="33"/>
    <x v="35"/>
    <n v="3.7853439999999999E-3"/>
    <n v="0"/>
    <s v="BJ"/>
    <x v="2"/>
    <x v="36"/>
    <s v="Q1"/>
    <n v="240"/>
    <n v="0"/>
    <s v="BJ PTS"/>
    <n v="1"/>
    <n v="0"/>
    <n v="0"/>
    <n v="0"/>
  </r>
  <r>
    <n v="67885718"/>
    <x v="2"/>
    <n v="0"/>
    <d v="2023-02-23T00:00:00"/>
    <x v="48"/>
    <x v="13"/>
    <n v="8.5199999999999998E-3"/>
    <n v="0"/>
    <s v="BR"/>
    <x v="2"/>
    <x v="2"/>
    <s v="Q1"/>
    <n v="154"/>
    <n v="0"/>
    <s v="48oz"/>
    <n v="1"/>
    <n v="0"/>
    <n v="0"/>
    <n v="0"/>
  </r>
  <r>
    <n v="67885719"/>
    <x v="2"/>
    <n v="0"/>
    <d v="2023-02-23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93540"/>
    <x v="2"/>
    <n v="14324"/>
    <d v="2023-02-23T00:00:00"/>
    <x v="66"/>
    <x v="2"/>
    <n v="8.5199999999999998E-3"/>
    <n v="122.04048"/>
    <s v="BR"/>
    <x v="2"/>
    <x v="2"/>
    <s v="Q1"/>
    <n v="154"/>
    <n v="93.012987012987011"/>
    <s v="48oz"/>
    <n v="1"/>
    <n v="14324"/>
    <n v="122.04048"/>
    <n v="93.012987012987011"/>
  </r>
  <r>
    <n v="67901583"/>
    <x v="3"/>
    <n v="15642"/>
    <d v="2023-02-23T00:00:00"/>
    <x v="50"/>
    <x v="11"/>
    <n v="8.5199999999999998E-3"/>
    <n v="133.26983999999999"/>
    <s v="BR"/>
    <x v="2"/>
    <x v="6"/>
    <s v="Q1"/>
    <n v="154"/>
    <n v="101.57142857142857"/>
    <s v="48oz"/>
    <n v="1"/>
    <n v="15642"/>
    <n v="133.26983999999999"/>
    <n v="101.57142857142857"/>
  </r>
  <r>
    <n v="67901583"/>
    <x v="2"/>
    <n v="3597"/>
    <d v="2023-02-23T00:00:00"/>
    <x v="50"/>
    <x v="32"/>
    <n v="8.5199999999999998E-3"/>
    <n v="30.646439999999998"/>
    <s v="BR"/>
    <x v="2"/>
    <x v="2"/>
    <s v="Q1"/>
    <n v="154"/>
    <n v="23.357142857142858"/>
    <s v="48oz"/>
    <n v="1"/>
    <n v="3597"/>
    <n v="30.646439999999998"/>
    <n v="23.357142857142858"/>
  </r>
  <r>
    <n v="67901593"/>
    <x v="2"/>
    <n v="0"/>
    <d v="2023-02-23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7901593"/>
    <x v="2"/>
    <n v="0"/>
    <d v="2023-02-23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8399233"/>
    <x v="2"/>
    <n v="7569"/>
    <d v="2023-02-23T00:00:00"/>
    <x v="153"/>
    <x v="5"/>
    <n v="2.16E-3"/>
    <n v="16.349039999999999"/>
    <s v="MG"/>
    <x v="2"/>
    <x v="5"/>
    <s v="Q1"/>
    <n v="210"/>
    <n v="36.042857142857144"/>
    <s v="MG Sticks"/>
    <n v="1"/>
    <n v="7569"/>
    <n v="16.349039999999999"/>
    <n v="36.042857142857144"/>
  </r>
  <r>
    <n v="68634167"/>
    <x v="3"/>
    <n v="11251"/>
    <d v="2023-02-23T00:00:00"/>
    <x v="91"/>
    <x v="16"/>
    <n v="8.5199999999999998E-3"/>
    <n v="95.858519999999999"/>
    <s v="BR"/>
    <x v="2"/>
    <x v="6"/>
    <s v="Q1"/>
    <n v="154"/>
    <n v="73.058441558441558"/>
    <s v="48oz"/>
    <n v="1"/>
    <n v="11251"/>
    <n v="95.858519999999999"/>
    <n v="73.058441558441558"/>
  </r>
  <r>
    <n v="68689251"/>
    <x v="3"/>
    <n v="3835"/>
    <d v="2023-02-23T00:00:00"/>
    <x v="17"/>
    <x v="17"/>
    <n v="9.5760000000000012E-3"/>
    <n v="36.723960000000005"/>
    <s v="KL"/>
    <x v="2"/>
    <x v="8"/>
    <s v="Q1"/>
    <n v="132"/>
    <n v="29.053030303030305"/>
    <s v="EDF"/>
    <n v="1"/>
    <n v="3835"/>
    <n v="36.723960000000005"/>
    <n v="29.053030303030305"/>
  </r>
  <r>
    <n v="68689253"/>
    <x v="2"/>
    <n v="3070"/>
    <d v="2023-02-23T00:00:00"/>
    <x v="125"/>
    <x v="18"/>
    <n v="6.0035555555555554E-3"/>
    <n v="18.430915555555554"/>
    <s v="KL"/>
    <x v="2"/>
    <x v="9"/>
    <s v="Q1"/>
    <n v="120"/>
    <n v="25.583333333333332"/>
    <s v="ESS"/>
    <n v="1"/>
    <n v="3070"/>
    <n v="18.430915555555554"/>
    <n v="25.583333333333332"/>
  </r>
  <r>
    <n v="68709233"/>
    <x v="3"/>
    <n v="4439"/>
    <d v="2023-02-23T00:00:00"/>
    <x v="19"/>
    <x v="19"/>
    <n v="8.4960000000000001E-3"/>
    <n v="37.713743999999998"/>
    <s v="KL"/>
    <x v="2"/>
    <x v="8"/>
    <s v="Q1"/>
    <n v="132"/>
    <n v="33.628787878787875"/>
    <s v="EDF"/>
    <n v="1"/>
    <n v="4439"/>
    <n v="37.713743999999998"/>
    <n v="33.628787878787875"/>
  </r>
  <r>
    <n v="68728342"/>
    <x v="2"/>
    <n v="3467"/>
    <d v="2023-02-23T00:00:00"/>
    <x v="44"/>
    <x v="22"/>
    <n v="3.7853439999999999E-3"/>
    <n v="13.123787648"/>
    <s v="TA"/>
    <x v="2"/>
    <x v="10"/>
    <s v="Q1"/>
    <n v="255"/>
    <n v="13.596078431372549"/>
    <s v="TALENTI"/>
    <n v="1"/>
    <n v="3467"/>
    <n v="13.123787648"/>
    <n v="13.596078431372549"/>
  </r>
  <r>
    <n v="68730254"/>
    <x v="2"/>
    <n v="0"/>
    <d v="2023-02-23T00:00:00"/>
    <x v="128"/>
    <x v="21"/>
    <n v="3.7853440000000004E-3"/>
    <n v="0"/>
    <s v="TA"/>
    <x v="2"/>
    <x v="10"/>
    <s v="Q1"/>
    <n v="255"/>
    <n v="0"/>
    <s v="TALENTI"/>
    <n v="1"/>
    <n v="0"/>
    <n v="0"/>
    <n v="0"/>
  </r>
  <r>
    <n v="68732328"/>
    <x v="2"/>
    <n v="0"/>
    <d v="2023-02-23T00:00:00"/>
    <x v="268"/>
    <x v="22"/>
    <n v="3.7853440000000004E-3"/>
    <n v="0"/>
    <s v="TA"/>
    <x v="2"/>
    <x v="10"/>
    <s v="Q1"/>
    <n v="255"/>
    <n v="0"/>
    <s v="TALENTI"/>
    <n v="1"/>
    <n v="0"/>
    <n v="0"/>
    <n v="0"/>
  </r>
  <r>
    <n v="68741714"/>
    <x v="3"/>
    <n v="5690"/>
    <d v="2023-02-23T00:00:00"/>
    <x v="24"/>
    <x v="24"/>
    <n v="2.8319999999999999E-3"/>
    <n v="16.114079999999998"/>
    <s v="GH"/>
    <x v="2"/>
    <x v="4"/>
    <s v="Q1"/>
    <n v="225"/>
    <n v="25.288888888888888"/>
    <s v="MBG"/>
    <n v="1"/>
    <n v="5690"/>
    <n v="16.114079999999998"/>
    <n v="25.288888888888888"/>
  </r>
  <r>
    <n v="68741742"/>
    <x v="2"/>
    <n v="6496"/>
    <d v="2023-02-23T00:00:00"/>
    <x v="25"/>
    <x v="25"/>
    <n v="4.2560000000000002E-3"/>
    <n v="27.646976000000002"/>
    <s v="GH"/>
    <x v="2"/>
    <x v="11"/>
    <s v="Q1"/>
    <n v="154"/>
    <n v="42.18181818181818"/>
    <s v="MBG"/>
    <n v="1"/>
    <n v="6496"/>
    <n v="27.646976000000002"/>
    <n v="42.18181818181818"/>
  </r>
  <r>
    <n v="68755566"/>
    <x v="5"/>
    <n v="3306"/>
    <d v="2023-02-23T00:00:00"/>
    <x v="174"/>
    <x v="35"/>
    <n v="1.1356032009663293E-2"/>
    <n v="37.543041823946844"/>
    <s v="BR"/>
    <x v="2"/>
    <x v="41"/>
    <s v="Q1"/>
    <n v="120"/>
    <n v="27.55"/>
    <s v="3 Gal"/>
    <n v="1"/>
    <n v="3306"/>
    <n v="37.543041823946844"/>
    <n v="27.55"/>
  </r>
  <r>
    <n v="68769685"/>
    <x v="3"/>
    <n v="0"/>
    <d v="2023-02-23T00:00:00"/>
    <x v="259"/>
    <x v="23"/>
    <n v="8.5199999999999998E-3"/>
    <n v="0"/>
    <s v="BR"/>
    <x v="2"/>
    <x v="6"/>
    <s v="Q1"/>
    <n v="176"/>
    <n v="0"/>
    <s v="48oz"/>
    <n v="1"/>
    <n v="0"/>
    <n v="0"/>
    <n v="0"/>
  </r>
  <r>
    <n v="68769686"/>
    <x v="3"/>
    <n v="0"/>
    <d v="2023-02-23T00:00:00"/>
    <x v="266"/>
    <x v="23"/>
    <n v="8.513999999999999E-3"/>
    <n v="0"/>
    <s v="BR"/>
    <x v="2"/>
    <x v="6"/>
    <s v="Q1"/>
    <n v="154"/>
    <n v="0"/>
    <s v="48oz"/>
    <n v="1"/>
    <n v="0"/>
    <n v="0"/>
    <n v="0"/>
  </r>
  <r>
    <n v="68782716"/>
    <x v="2"/>
    <n v="0"/>
    <d v="2023-02-23T00:00:00"/>
    <x v="246"/>
    <x v="22"/>
    <n v="3.7853440000000004E-3"/>
    <n v="0"/>
    <s v="TA"/>
    <x v="2"/>
    <x v="10"/>
    <s v="Q1"/>
    <n v="255"/>
    <n v="0"/>
    <s v="TALENTI"/>
    <n v="1"/>
    <n v="0"/>
    <n v="0"/>
    <n v="0"/>
  </r>
  <r>
    <n v="68782716"/>
    <x v="2"/>
    <n v="20270"/>
    <d v="2023-02-23T00:00:00"/>
    <x v="246"/>
    <x v="22"/>
    <n v="3.7853440000000004E-3"/>
    <n v="76.728922880000013"/>
    <s v="TA"/>
    <x v="2"/>
    <x v="10"/>
    <s v="Q1"/>
    <n v="255"/>
    <n v="79.490196078431367"/>
    <s v="TALENTI"/>
    <n v="1"/>
    <n v="20270"/>
    <n v="76.728922880000013"/>
    <n v="79.490196078431367"/>
  </r>
  <r>
    <n v="68782716"/>
    <x v="2"/>
    <n v="465"/>
    <d v="2023-02-23T00:00:00"/>
    <x v="246"/>
    <x v="22"/>
    <n v="3.7853440000000004E-3"/>
    <n v="1.7601849600000001"/>
    <s v="TA"/>
    <x v="2"/>
    <x v="10"/>
    <s v="Q1"/>
    <n v="255"/>
    <n v="1.8235294117647058"/>
    <s v="TALENTI"/>
    <n v="1"/>
    <n v="465"/>
    <n v="1.7601849600000001"/>
    <n v="1.8235294117647058"/>
  </r>
  <r>
    <n v="68852591"/>
    <x v="2"/>
    <n v="3826"/>
    <d v="2023-02-23T00:00:00"/>
    <x v="26"/>
    <x v="26"/>
    <n v="8.5199999999999998E-3"/>
    <n v="32.597519999999996"/>
    <s v="KL"/>
    <x v="2"/>
    <x v="12"/>
    <s v="Q1"/>
    <n v="132"/>
    <n v="28.984848484848484"/>
    <s v="EDF"/>
    <n v="1"/>
    <n v="3826"/>
    <n v="32.597519999999996"/>
    <n v="28.984848484848484"/>
  </r>
  <r>
    <n v="68883110"/>
    <x v="10"/>
    <n v="8948"/>
    <d v="2023-02-23T00:00:00"/>
    <x v="123"/>
    <x v="41"/>
    <n v="2.124E-3"/>
    <n v="19.005552000000002"/>
    <s v="PS"/>
    <x v="2"/>
    <x v="45"/>
    <s v="Q1"/>
    <n v="275"/>
    <n v="32.538181818181819"/>
    <s v="Facepieces"/>
    <n v="1"/>
    <n v="8948"/>
    <n v="19.005552000000002"/>
    <n v="32.538181818181819"/>
  </r>
  <r>
    <n v="68889812"/>
    <x v="2"/>
    <n v="4933"/>
    <d v="2023-02-23T00:00:00"/>
    <x v="27"/>
    <x v="27"/>
    <n v="3.192E-3"/>
    <n v="15.746136"/>
    <s v="KL"/>
    <x v="2"/>
    <x v="9"/>
    <s v="Q1"/>
    <n v="300"/>
    <n v="16.443333333333332"/>
    <s v="ESS"/>
    <n v="1"/>
    <n v="4933"/>
    <n v="15.746136"/>
    <n v="16.443333333333332"/>
  </r>
  <r>
    <n v="68899826"/>
    <x v="3"/>
    <n v="4476"/>
    <d v="2023-02-23T00:00:00"/>
    <x v="129"/>
    <x v="12"/>
    <n v="8.5199999999999998E-3"/>
    <n v="38.13552"/>
    <s v="BR"/>
    <x v="2"/>
    <x v="6"/>
    <s v="Q1"/>
    <n v="176"/>
    <n v="25.431818181818183"/>
    <s v="48oz"/>
    <n v="1"/>
    <n v="4476"/>
    <n v="38.13552"/>
    <n v="25.431818181818183"/>
  </r>
  <r>
    <n v="68919014"/>
    <x v="0"/>
    <n v="5657"/>
    <d v="2023-02-23T00:00:00"/>
    <x v="269"/>
    <x v="1"/>
    <n v="3.0280000000000001E-2"/>
    <n v="171.29396"/>
    <s v="BR"/>
    <x v="2"/>
    <x v="38"/>
    <s v="Q1"/>
    <n v="240"/>
    <n v="23.570833333333333"/>
    <s v="PTS"/>
    <n v="1"/>
    <n v="5657"/>
    <n v="171.29396"/>
    <n v="23.570833333333333"/>
  </r>
  <r>
    <n v="68921994"/>
    <x v="3"/>
    <n v="5906"/>
    <d v="2023-02-23T00:00:00"/>
    <x v="258"/>
    <x v="20"/>
    <n v="9.5879999999999993E-3"/>
    <n v="56.626727999999993"/>
    <s v="KL"/>
    <x v="2"/>
    <x v="8"/>
    <s v="Q1"/>
    <n v="132"/>
    <n v="44.742424242424242"/>
    <s v="EDF"/>
    <n v="1"/>
    <n v="5906"/>
    <n v="56.626727999999993"/>
    <n v="44.742424242424242"/>
  </r>
  <r>
    <n v="69549032"/>
    <x v="3"/>
    <n v="0"/>
    <d v="2023-02-23T00:00:00"/>
    <x v="79"/>
    <x v="36"/>
    <n v="2.3469132803553457E-3"/>
    <n v="0"/>
    <s v="GH"/>
    <x v="2"/>
    <x v="28"/>
    <s v="Q1"/>
    <n v="350"/>
    <n v="0"/>
    <s v="EFW"/>
    <n v="1"/>
    <n v="0"/>
    <n v="0"/>
    <n v="0"/>
  </r>
  <r>
    <n v="69554198"/>
    <x v="2"/>
    <n v="5937"/>
    <d v="2023-02-23T00:00:00"/>
    <x v="71"/>
    <x v="15"/>
    <n v="3.7839999999999996E-3"/>
    <n v="22.465607999999996"/>
    <s v="BR"/>
    <x v="2"/>
    <x v="7"/>
    <s v="Q1"/>
    <n v="240"/>
    <n v="24.737500000000001"/>
    <s v="PTS"/>
    <n v="1"/>
    <n v="5937"/>
    <n v="22.465607999999996"/>
    <n v="24.737500000000001"/>
  </r>
  <r>
    <n v="69555093"/>
    <x v="2"/>
    <n v="1946"/>
    <d v="2023-02-23T00:00:00"/>
    <x v="229"/>
    <x v="14"/>
    <n v="1.98E-3"/>
    <n v="3.8530799999999998"/>
    <s v="TA"/>
    <x v="2"/>
    <x v="42"/>
    <s v="Q1"/>
    <n v="176"/>
    <n v="11.056818181818182"/>
    <s v="TAL NV"/>
    <n v="1"/>
    <n v="1946"/>
    <n v="3.8530799999999998"/>
    <n v="11.056818181818182"/>
  </r>
  <r>
    <n v="69556602"/>
    <x v="4"/>
    <n v="2400"/>
    <d v="2023-02-23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3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3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3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72658"/>
    <x v="2"/>
    <n v="0"/>
    <d v="2023-02-23T00:00:00"/>
    <x v="166"/>
    <x v="5"/>
    <n v="2.1520000000000003E-3"/>
    <n v="0"/>
    <s v="MG"/>
    <x v="2"/>
    <x v="5"/>
    <s v="Q1"/>
    <n v="210"/>
    <n v="0"/>
    <s v="MG Sticks"/>
    <n v="1"/>
    <n v="0"/>
    <n v="0"/>
    <n v="0"/>
  </r>
  <r>
    <n v="69621212"/>
    <x v="2"/>
    <n v="5232"/>
    <d v="2023-02-23T00:00:00"/>
    <x v="29"/>
    <x v="28"/>
    <n v="5.2680000000000001E-3"/>
    <n v="27.562176000000001"/>
    <s v="PG"/>
    <x v="2"/>
    <x v="14"/>
    <s v="Q1"/>
    <n v="130"/>
    <n v="40.246153846153845"/>
    <s v="PG"/>
    <n v="1"/>
    <n v="5232"/>
    <n v="27.562176000000001"/>
    <n v="40.246153846153845"/>
  </r>
  <r>
    <n v="69628686"/>
    <x v="4"/>
    <n v="2400"/>
    <d v="2023-02-23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3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1641"/>
    <x v="3"/>
    <n v="1627"/>
    <d v="2023-02-23T00:00:00"/>
    <x v="260"/>
    <x v="4"/>
    <n v="3.9039999999999999E-3"/>
    <n v="6.3518080000000001"/>
    <s v="GH"/>
    <x v="2"/>
    <x v="4"/>
    <s v="Q1"/>
    <n v="154"/>
    <n v="10.564935064935066"/>
    <s v="MBG"/>
    <n v="1"/>
    <n v="1627"/>
    <n v="6.3518080000000001"/>
    <n v="10.564935064935066"/>
  </r>
  <r>
    <n v="69677917"/>
    <x v="3"/>
    <n v="1690"/>
    <d v="2023-02-23T00:00:00"/>
    <x v="30"/>
    <x v="29"/>
    <n v="5.2680000000000001E-3"/>
    <n v="8.9029199999999999"/>
    <s v="PS"/>
    <x v="2"/>
    <x v="3"/>
    <s v="Q1"/>
    <n v="108"/>
    <n v="15.648148148148149"/>
    <s v="PG"/>
    <n v="1"/>
    <n v="1690"/>
    <n v="8.9029199999999999"/>
    <n v="15.648148148148149"/>
  </r>
  <r>
    <n v="69677917"/>
    <x v="2"/>
    <n v="1516"/>
    <d v="2023-02-23T00:00:00"/>
    <x v="30"/>
    <x v="30"/>
    <n v="5.2680000000000001E-3"/>
    <n v="7.9862880000000001"/>
    <s v="PS"/>
    <x v="2"/>
    <x v="14"/>
    <s v="Q1"/>
    <n v="108"/>
    <n v="14.037037037037036"/>
    <s v="PG"/>
    <n v="1"/>
    <n v="1516"/>
    <n v="7.9862880000000001"/>
    <n v="14.037037037037036"/>
  </r>
  <r>
    <n v="69684524"/>
    <x v="2"/>
    <n v="6432"/>
    <d v="2023-02-23T00:00:00"/>
    <x v="69"/>
    <x v="31"/>
    <n v="4.2560000000000002E-3"/>
    <n v="27.374592"/>
    <s v="BR"/>
    <x v="2"/>
    <x v="5"/>
    <s v="Q1"/>
    <n v="143"/>
    <n v="44.97902097902098"/>
    <s v="MG Sticks"/>
    <n v="1"/>
    <n v="6432"/>
    <n v="27.374592"/>
    <n v="44.97902097902098"/>
  </r>
  <r>
    <n v="69691840"/>
    <x v="2"/>
    <n v="8069"/>
    <d v="2023-02-23T00:00:00"/>
    <x v="106"/>
    <x v="21"/>
    <n v="3.7839999999999996E-3"/>
    <n v="30.533095999999997"/>
    <s v="TA"/>
    <x v="2"/>
    <x v="10"/>
    <s v="Q1"/>
    <n v="255"/>
    <n v="31.643137254901962"/>
    <s v="TALENTI"/>
    <n v="1"/>
    <n v="8069"/>
    <n v="30.533095999999997"/>
    <n v="31.643137254901962"/>
  </r>
  <r>
    <n v="84138391"/>
    <x v="5"/>
    <n v="6135"/>
    <d v="2023-02-23T00:00:00"/>
    <x v="84"/>
    <x v="33"/>
    <n v="3.7853439999999999E-3"/>
    <n v="23.223085439999998"/>
    <s v="BJ"/>
    <x v="2"/>
    <x v="15"/>
    <s v="Q1"/>
    <n v="240"/>
    <n v="25.5625"/>
    <s v="BJ PTS"/>
    <n v="1"/>
    <n v="6135"/>
    <n v="23.223085439999998"/>
    <n v="25.5625"/>
  </r>
  <r>
    <n v="84139090"/>
    <x v="2"/>
    <n v="9948"/>
    <d v="2023-02-23T00:00:00"/>
    <x v="85"/>
    <x v="15"/>
    <n v="3.7853439999999999E-3"/>
    <n v="37.656602112000002"/>
    <s v="BJ"/>
    <x v="2"/>
    <x v="30"/>
    <s v="Q1"/>
    <n v="240"/>
    <n v="41.45"/>
    <s v="BJ PTS"/>
    <n v="1"/>
    <n v="9948"/>
    <n v="37.656602112000002"/>
    <n v="41.45"/>
  </r>
  <r>
    <n v="67309843"/>
    <x v="2"/>
    <n v="1930"/>
    <d v="2023-02-24T00:00:00"/>
    <x v="88"/>
    <x v="13"/>
    <n v="8.5199999999999998E-3"/>
    <n v="16.4436"/>
    <s v="BR"/>
    <x v="2"/>
    <x v="2"/>
    <s v="Q1"/>
    <n v="154"/>
    <n v="12.532467532467532"/>
    <s v="48oz"/>
    <n v="1"/>
    <n v="1930"/>
    <n v="16.4436"/>
    <n v="12.532467532467532"/>
  </r>
  <r>
    <n v="67309864"/>
    <x v="2"/>
    <n v="4061"/>
    <d v="2023-02-24T00:00:00"/>
    <x v="63"/>
    <x v="2"/>
    <n v="8.5199999999999998E-3"/>
    <n v="34.599719999999998"/>
    <s v="BR"/>
    <x v="2"/>
    <x v="2"/>
    <s v="Q1"/>
    <n v="154"/>
    <n v="26.370129870129869"/>
    <s v="48oz"/>
    <n v="1"/>
    <n v="4061"/>
    <n v="34.599719999999998"/>
    <n v="26.370129870129869"/>
  </r>
  <r>
    <n v="67465063"/>
    <x v="3"/>
    <n v="53"/>
    <d v="2023-02-24T00:00:00"/>
    <x v="3"/>
    <x v="40"/>
    <n v="5.2680000000000001E-3"/>
    <n v="0.27920400000000001"/>
    <s v="PS"/>
    <x v="2"/>
    <x v="3"/>
    <s v="Q1"/>
    <n v="130"/>
    <n v="0.40769230769230769"/>
    <s v="PG"/>
    <n v="1"/>
    <n v="53"/>
    <n v="0.27920400000000001"/>
    <n v="0.40769230769230769"/>
  </r>
  <r>
    <n v="67465063"/>
    <x v="3"/>
    <n v="0"/>
    <d v="2023-02-24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24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4861"/>
    <d v="2023-02-24T00:00:00"/>
    <x v="8"/>
    <x v="6"/>
    <n v="5.2680000000000001E-3"/>
    <n v="25.607748000000001"/>
    <s v="PS"/>
    <x v="2"/>
    <x v="3"/>
    <s v="Q1"/>
    <n v="130"/>
    <n v="37.392307692307689"/>
    <s v="PG"/>
    <n v="1"/>
    <n v="4861"/>
    <n v="25.607748000000001"/>
    <n v="37.392307692307689"/>
  </r>
  <r>
    <n v="67466492"/>
    <x v="3"/>
    <n v="2428"/>
    <d v="2023-02-24T00:00:00"/>
    <x v="8"/>
    <x v="7"/>
    <n v="5.2680000000000001E-3"/>
    <n v="12.790704"/>
    <s v="PS"/>
    <x v="2"/>
    <x v="3"/>
    <s v="Q1"/>
    <n v="130"/>
    <n v="18.676923076923078"/>
    <s v="PG"/>
    <n v="1"/>
    <n v="2428"/>
    <n v="12.790704"/>
    <n v="18.676923076923078"/>
  </r>
  <r>
    <n v="67466492"/>
    <x v="3"/>
    <n v="3299"/>
    <d v="2023-02-24T00:00:00"/>
    <x v="8"/>
    <x v="8"/>
    <n v="5.2680000000000001E-3"/>
    <n v="17.379132000000002"/>
    <s v="PS"/>
    <x v="2"/>
    <x v="3"/>
    <s v="Q1"/>
    <n v="130"/>
    <n v="25.376923076923077"/>
    <s v="PG"/>
    <n v="1"/>
    <n v="3299"/>
    <n v="17.379132000000002"/>
    <n v="25.376923076923077"/>
  </r>
  <r>
    <n v="67466492"/>
    <x v="3"/>
    <n v="2847"/>
    <d v="2023-02-24T00:00:00"/>
    <x v="8"/>
    <x v="9"/>
    <n v="5.2680000000000001E-3"/>
    <n v="14.997996000000001"/>
    <s v="PS"/>
    <x v="2"/>
    <x v="3"/>
    <s v="Q1"/>
    <n v="130"/>
    <n v="21.9"/>
    <s v="PG"/>
    <n v="1"/>
    <n v="2847"/>
    <n v="14.997996000000001"/>
    <n v="21.9"/>
  </r>
  <r>
    <n v="67476560"/>
    <x v="3"/>
    <n v="4308"/>
    <d v="2023-02-24T00:00:00"/>
    <x v="10"/>
    <x v="10"/>
    <n v="5.1060000000000003E-3"/>
    <n v="21.996648"/>
    <s v="PS"/>
    <x v="2"/>
    <x v="3"/>
    <s v="Q1"/>
    <n v="130"/>
    <n v="33.138461538461542"/>
    <s v="PG"/>
    <n v="1"/>
    <n v="4308"/>
    <n v="21.996648"/>
    <n v="33.138461538461542"/>
  </r>
  <r>
    <n v="67885716"/>
    <x v="3"/>
    <n v="4774"/>
    <d v="2023-02-24T00:00:00"/>
    <x v="89"/>
    <x v="11"/>
    <n v="8.5199999999999998E-3"/>
    <n v="40.674479999999996"/>
    <s v="BR"/>
    <x v="2"/>
    <x v="6"/>
    <s v="Q1"/>
    <n v="154"/>
    <n v="31"/>
    <s v="48oz"/>
    <n v="1"/>
    <n v="4774"/>
    <n v="40.674479999999996"/>
    <n v="31"/>
  </r>
  <r>
    <n v="67885718"/>
    <x v="2"/>
    <n v="8236"/>
    <d v="2023-02-24T00:00:00"/>
    <x v="48"/>
    <x v="13"/>
    <n v="8.5199999999999998E-3"/>
    <n v="70.170720000000003"/>
    <s v="BR"/>
    <x v="2"/>
    <x v="2"/>
    <s v="Q1"/>
    <n v="154"/>
    <n v="53.480519480519483"/>
    <s v="48oz"/>
    <n v="1"/>
    <n v="8236"/>
    <n v="70.170720000000003"/>
    <n v="53.480519480519483"/>
  </r>
  <r>
    <n v="67885719"/>
    <x v="2"/>
    <n v="0"/>
    <d v="2023-02-24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85724"/>
    <x v="3"/>
    <n v="11137"/>
    <d v="2023-02-24T00:00:00"/>
    <x v="49"/>
    <x v="12"/>
    <n v="8.5199999999999998E-3"/>
    <n v="94.887239999999991"/>
    <s v="BR"/>
    <x v="2"/>
    <x v="6"/>
    <s v="Q1"/>
    <n v="154"/>
    <n v="72.318181818181813"/>
    <s v="48oz"/>
    <n v="1"/>
    <n v="11137"/>
    <n v="94.887239999999991"/>
    <n v="72.318181818181813"/>
  </r>
  <r>
    <n v="67885724"/>
    <x v="3"/>
    <n v="2541"/>
    <d v="2023-02-24T00:00:00"/>
    <x v="49"/>
    <x v="12"/>
    <n v="8.5199999999999998E-3"/>
    <n v="21.649319999999999"/>
    <s v="BR"/>
    <x v="2"/>
    <x v="6"/>
    <s v="Q1"/>
    <n v="154"/>
    <n v="16.5"/>
    <s v="48oz"/>
    <n v="1"/>
    <n v="2541"/>
    <n v="21.649319999999999"/>
    <n v="16.5"/>
  </r>
  <r>
    <n v="67893540"/>
    <x v="2"/>
    <n v="6051"/>
    <d v="2023-02-24T00:00:00"/>
    <x v="66"/>
    <x v="2"/>
    <n v="8.5199999999999998E-3"/>
    <n v="51.554519999999997"/>
    <s v="BR"/>
    <x v="2"/>
    <x v="2"/>
    <s v="Q1"/>
    <n v="154"/>
    <n v="39.29220779220779"/>
    <s v="48oz"/>
    <n v="1"/>
    <n v="6051"/>
    <n v="51.554519999999997"/>
    <n v="39.29220779220779"/>
  </r>
  <r>
    <n v="67901583"/>
    <x v="3"/>
    <n v="8470"/>
    <d v="2023-02-24T00:00:00"/>
    <x v="50"/>
    <x v="11"/>
    <n v="8.5199999999999998E-3"/>
    <n v="72.164400000000001"/>
    <s v="BR"/>
    <x v="2"/>
    <x v="6"/>
    <s v="Q1"/>
    <n v="154"/>
    <n v="55"/>
    <s v="48oz"/>
    <n v="1"/>
    <n v="8470"/>
    <n v="72.164400000000001"/>
    <n v="55"/>
  </r>
  <r>
    <n v="67901593"/>
    <x v="2"/>
    <n v="20274"/>
    <d v="2023-02-24T00:00:00"/>
    <x v="68"/>
    <x v="32"/>
    <n v="8.5199999999999998E-3"/>
    <n v="172.73447999999999"/>
    <s v="BR"/>
    <x v="2"/>
    <x v="2"/>
    <s v="Q1"/>
    <n v="154"/>
    <n v="131.64935064935065"/>
    <s v="48oz"/>
    <n v="1"/>
    <n v="20274"/>
    <n v="172.73447999999999"/>
    <n v="131.64935064935065"/>
  </r>
  <r>
    <n v="68399233"/>
    <x v="2"/>
    <n v="4286"/>
    <d v="2023-02-24T00:00:00"/>
    <x v="153"/>
    <x v="5"/>
    <n v="2.16E-3"/>
    <n v="9.2577599999999993"/>
    <s v="MG"/>
    <x v="2"/>
    <x v="5"/>
    <s v="Q1"/>
    <n v="210"/>
    <n v="20.409523809523808"/>
    <s v="MG Sticks"/>
    <n v="1"/>
    <n v="4286"/>
    <n v="9.2577599999999993"/>
    <n v="20.409523809523808"/>
  </r>
  <r>
    <n v="68634167"/>
    <x v="3"/>
    <n v="0"/>
    <d v="2023-02-24T00:00:00"/>
    <x v="91"/>
    <x v="16"/>
    <n v="8.5199999999999998E-3"/>
    <n v="0"/>
    <s v="BR"/>
    <x v="2"/>
    <x v="6"/>
    <s v="Q1"/>
    <n v="154"/>
    <n v="0"/>
    <s v="48oz"/>
    <n v="1"/>
    <n v="0"/>
    <n v="0"/>
    <n v="0"/>
  </r>
  <r>
    <n v="68654233"/>
    <x v="5"/>
    <n v="0"/>
    <d v="2023-02-24T00:00:00"/>
    <x v="102"/>
    <x v="35"/>
    <n v="3.7853439999999999E-3"/>
    <n v="0"/>
    <s v="BJ"/>
    <x v="2"/>
    <x v="15"/>
    <s v="Q1"/>
    <n v="240"/>
    <n v="0"/>
    <s v="BJ PTS"/>
    <n v="1"/>
    <n v="0"/>
    <n v="0"/>
    <n v="0"/>
  </r>
  <r>
    <n v="68689251"/>
    <x v="3"/>
    <n v="6079"/>
    <d v="2023-02-24T00:00:00"/>
    <x v="17"/>
    <x v="17"/>
    <n v="9.5760000000000012E-3"/>
    <n v="58.21250400000001"/>
    <s v="KL"/>
    <x v="2"/>
    <x v="8"/>
    <s v="Q1"/>
    <n v="132"/>
    <n v="46.053030303030305"/>
    <s v="EDF"/>
    <n v="1"/>
    <n v="6079"/>
    <n v="58.21250400000001"/>
    <n v="46.053030303030305"/>
  </r>
  <r>
    <n v="68689253"/>
    <x v="2"/>
    <n v="3094"/>
    <d v="2023-02-24T00:00:00"/>
    <x v="125"/>
    <x v="18"/>
    <n v="6.0035555555555554E-3"/>
    <n v="18.575000888888887"/>
    <s v="KL"/>
    <x v="2"/>
    <x v="9"/>
    <s v="Q1"/>
    <n v="120"/>
    <n v="25.783333333333335"/>
    <s v="ESS"/>
    <n v="1"/>
    <n v="3094"/>
    <n v="18.575000888888887"/>
    <n v="25.783333333333335"/>
  </r>
  <r>
    <n v="68709233"/>
    <x v="3"/>
    <n v="3045"/>
    <d v="2023-02-24T00:00:00"/>
    <x v="19"/>
    <x v="19"/>
    <n v="8.4960000000000001E-3"/>
    <n v="25.87032"/>
    <s v="KL"/>
    <x v="2"/>
    <x v="8"/>
    <s v="Q1"/>
    <n v="132"/>
    <n v="23.068181818181817"/>
    <s v="EDF"/>
    <n v="1"/>
    <n v="3045"/>
    <n v="25.87032"/>
    <n v="23.068181818181817"/>
  </r>
  <r>
    <n v="68730254"/>
    <x v="2"/>
    <n v="27969"/>
    <d v="2023-02-24T00:00:00"/>
    <x v="128"/>
    <x v="21"/>
    <n v="3.7853440000000004E-3"/>
    <n v="105.87228633600002"/>
    <s v="TA"/>
    <x v="2"/>
    <x v="10"/>
    <s v="Q1"/>
    <n v="255"/>
    <n v="109.68235294117648"/>
    <s v="TALENTI"/>
    <n v="1"/>
    <n v="27969"/>
    <n v="105.87228633600002"/>
    <n v="109.68235294117648"/>
  </r>
  <r>
    <n v="68732328"/>
    <x v="2"/>
    <n v="0"/>
    <d v="2023-02-24T00:00:00"/>
    <x v="268"/>
    <x v="22"/>
    <n v="3.7853440000000004E-3"/>
    <n v="0"/>
    <s v="TA"/>
    <x v="2"/>
    <x v="10"/>
    <s v="Q1"/>
    <n v="255"/>
    <n v="0"/>
    <s v="TALENTI"/>
    <n v="1"/>
    <n v="0"/>
    <n v="0"/>
    <n v="0"/>
  </r>
  <r>
    <n v="68737750"/>
    <x v="3"/>
    <n v="4345"/>
    <d v="2023-02-24T00:00:00"/>
    <x v="144"/>
    <x v="23"/>
    <n v="8.5199999999999998E-3"/>
    <n v="37.019399999999997"/>
    <s v="BR"/>
    <x v="2"/>
    <x v="6"/>
    <s v="Q1"/>
    <n v="176"/>
    <n v="24.6875"/>
    <s v="48oz"/>
    <n v="1"/>
    <n v="4345"/>
    <n v="37.019399999999997"/>
    <n v="24.6875"/>
  </r>
  <r>
    <n v="68741714"/>
    <x v="3"/>
    <n v="4969"/>
    <d v="2023-02-24T00:00:00"/>
    <x v="24"/>
    <x v="24"/>
    <n v="2.8319999999999999E-3"/>
    <n v="14.072208"/>
    <s v="GH"/>
    <x v="2"/>
    <x v="4"/>
    <s v="Q1"/>
    <n v="225"/>
    <n v="22.084444444444443"/>
    <s v="MBG"/>
    <n v="1"/>
    <n v="4969"/>
    <n v="14.072208"/>
    <n v="22.084444444444443"/>
  </r>
  <r>
    <n v="68741742"/>
    <x v="2"/>
    <n v="4224"/>
    <d v="2023-02-24T00:00:00"/>
    <x v="25"/>
    <x v="25"/>
    <n v="4.2560000000000002E-3"/>
    <n v="17.977344000000002"/>
    <s v="GH"/>
    <x v="2"/>
    <x v="11"/>
    <s v="Q1"/>
    <n v="154"/>
    <n v="27.428571428571427"/>
    <s v="MBG"/>
    <n v="1"/>
    <n v="4224"/>
    <n v="17.977344000000002"/>
    <n v="27.428571428571427"/>
  </r>
  <r>
    <n v="68852591"/>
    <x v="2"/>
    <n v="3886"/>
    <d v="2023-02-24T00:00:00"/>
    <x v="26"/>
    <x v="26"/>
    <n v="8.5199999999999998E-3"/>
    <n v="33.108719999999998"/>
    <s v="KL"/>
    <x v="2"/>
    <x v="12"/>
    <s v="Q1"/>
    <n v="132"/>
    <n v="29.439393939393938"/>
    <s v="EDF"/>
    <n v="1"/>
    <n v="3886"/>
    <n v="33.108719999999998"/>
    <n v="29.439393939393938"/>
  </r>
  <r>
    <n v="68871220"/>
    <x v="0"/>
    <n v="8625"/>
    <d v="2023-02-24T00:00:00"/>
    <x v="156"/>
    <x v="1"/>
    <n v="3.7853439999999999E-3"/>
    <n v="32.648592000000001"/>
    <s v="BR"/>
    <x v="2"/>
    <x v="38"/>
    <s v="Q1"/>
    <n v="240"/>
    <n v="35.9375"/>
    <s v="PTS"/>
    <n v="1"/>
    <n v="8625"/>
    <n v="32.648592000000001"/>
    <n v="35.9375"/>
  </r>
  <r>
    <n v="68883110"/>
    <x v="10"/>
    <n v="7357"/>
    <d v="2023-02-24T00:00:00"/>
    <x v="123"/>
    <x v="41"/>
    <n v="2.124E-3"/>
    <n v="15.626268"/>
    <s v="PS"/>
    <x v="2"/>
    <x v="45"/>
    <s v="Q1"/>
    <n v="275"/>
    <n v="26.752727272727274"/>
    <s v="Facepieces"/>
    <n v="1"/>
    <n v="7357"/>
    <n v="15.626268"/>
    <n v="26.752727272727274"/>
  </r>
  <r>
    <n v="68889812"/>
    <x v="2"/>
    <n v="3422"/>
    <d v="2023-02-24T00:00:00"/>
    <x v="27"/>
    <x v="27"/>
    <n v="3.192E-3"/>
    <n v="10.923024"/>
    <s v="KL"/>
    <x v="2"/>
    <x v="9"/>
    <s v="Q1"/>
    <n v="300"/>
    <n v="11.406666666666666"/>
    <s v="ESS"/>
    <n v="1"/>
    <n v="3422"/>
    <n v="10.923024"/>
    <n v="11.406666666666666"/>
  </r>
  <r>
    <n v="68921994"/>
    <x v="3"/>
    <n v="417"/>
    <d v="2023-02-24T00:00:00"/>
    <x v="258"/>
    <x v="20"/>
    <n v="9.5879999999999993E-3"/>
    <n v="3.9981959999999996"/>
    <s v="KL"/>
    <x v="2"/>
    <x v="8"/>
    <s v="Q1"/>
    <n v="132"/>
    <n v="3.1590909090909092"/>
    <s v="EDF"/>
    <n v="1"/>
    <n v="417"/>
    <n v="3.9981959999999996"/>
    <n v="3.1590909090909092"/>
  </r>
  <r>
    <n v="69555093"/>
    <x v="2"/>
    <n v="6653"/>
    <d v="2023-02-24T00:00:00"/>
    <x v="229"/>
    <x v="14"/>
    <n v="1.98E-3"/>
    <n v="13.172940000000001"/>
    <s v="TA"/>
    <x v="2"/>
    <x v="42"/>
    <s v="Q1"/>
    <n v="176"/>
    <n v="37.801136363636367"/>
    <s v="TAL NV"/>
    <n v="1"/>
    <n v="6653"/>
    <n v="13.172940000000001"/>
    <n v="37.801136363636367"/>
  </r>
  <r>
    <n v="69556602"/>
    <x v="4"/>
    <n v="2400"/>
    <d v="2023-02-24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4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4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72658"/>
    <x v="2"/>
    <n v="0"/>
    <d v="2023-02-24T00:00:00"/>
    <x v="166"/>
    <x v="5"/>
    <n v="2.1520000000000003E-3"/>
    <n v="0"/>
    <s v="MG"/>
    <x v="2"/>
    <x v="5"/>
    <s v="Q1"/>
    <n v="210"/>
    <n v="0"/>
    <s v="MG Sticks"/>
    <n v="1"/>
    <n v="0"/>
    <n v="0"/>
    <n v="0"/>
  </r>
  <r>
    <n v="69600846"/>
    <x v="3"/>
    <n v="0"/>
    <d v="2023-02-24T00:00:00"/>
    <x v="270"/>
    <x v="23"/>
    <n v="8.4600000000000005E-3"/>
    <n v="0"/>
    <s v="BR"/>
    <x v="2"/>
    <x v="6"/>
    <s v="Q1"/>
    <n v="154"/>
    <n v="0"/>
    <s v="48oz"/>
    <n v="1"/>
    <n v="0"/>
    <n v="0"/>
    <n v="0"/>
  </r>
  <r>
    <n v="69600846"/>
    <x v="3"/>
    <n v="5209"/>
    <d v="2023-02-24T00:00:00"/>
    <x v="270"/>
    <x v="23"/>
    <n v="8.4600000000000005E-3"/>
    <n v="44.06814"/>
    <s v="BR"/>
    <x v="2"/>
    <x v="6"/>
    <s v="Q1"/>
    <n v="154"/>
    <n v="33.824675324675326"/>
    <s v="48oz"/>
    <n v="1"/>
    <n v="5209"/>
    <n v="44.06814"/>
    <n v="33.824675324675326"/>
  </r>
  <r>
    <n v="69621212"/>
    <x v="2"/>
    <n v="4048"/>
    <d v="2023-02-24T00:00:00"/>
    <x v="29"/>
    <x v="28"/>
    <n v="5.2680000000000001E-3"/>
    <n v="21.324864000000002"/>
    <s v="PG"/>
    <x v="2"/>
    <x v="14"/>
    <s v="Q1"/>
    <n v="130"/>
    <n v="31.138461538461538"/>
    <s v="PG"/>
    <n v="1"/>
    <n v="4048"/>
    <n v="21.324864000000002"/>
    <n v="31.138461538461538"/>
  </r>
  <r>
    <n v="69628686"/>
    <x v="4"/>
    <n v="2400"/>
    <d v="2023-02-24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4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1641"/>
    <x v="3"/>
    <n v="4958"/>
    <d v="2023-02-24T00:00:00"/>
    <x v="260"/>
    <x v="4"/>
    <n v="3.9039999999999999E-3"/>
    <n v="19.356031999999999"/>
    <s v="GH"/>
    <x v="2"/>
    <x v="4"/>
    <s v="Q1"/>
    <n v="154"/>
    <n v="32.194805194805198"/>
    <s v="MBG"/>
    <n v="1"/>
    <n v="4958"/>
    <n v="19.356031999999999"/>
    <n v="32.194805194805198"/>
  </r>
  <r>
    <n v="69677917"/>
    <x v="3"/>
    <n v="5126"/>
    <d v="2023-02-24T00:00:00"/>
    <x v="30"/>
    <x v="29"/>
    <n v="5.2680000000000001E-3"/>
    <n v="27.003768000000001"/>
    <s v="PS"/>
    <x v="2"/>
    <x v="3"/>
    <s v="Q1"/>
    <n v="108"/>
    <n v="47.462962962962962"/>
    <s v="PG"/>
    <n v="1"/>
    <n v="5126"/>
    <n v="27.003768000000001"/>
    <n v="47.462962962962962"/>
  </r>
  <r>
    <n v="69677917"/>
    <x v="2"/>
    <n v="3774"/>
    <d v="2023-02-24T00:00:00"/>
    <x v="30"/>
    <x v="30"/>
    <n v="5.2680000000000001E-3"/>
    <n v="19.881432"/>
    <s v="PS"/>
    <x v="2"/>
    <x v="14"/>
    <s v="Q1"/>
    <n v="108"/>
    <n v="34.944444444444443"/>
    <s v="PG"/>
    <n v="1"/>
    <n v="3774"/>
    <n v="19.881432"/>
    <n v="34.944444444444443"/>
  </r>
  <r>
    <n v="69684524"/>
    <x v="2"/>
    <n v="0"/>
    <d v="2023-02-24T00:00:00"/>
    <x v="69"/>
    <x v="31"/>
    <n v="4.2560000000000002E-3"/>
    <n v="0"/>
    <s v="BR"/>
    <x v="2"/>
    <x v="5"/>
    <s v="Q1"/>
    <n v="143"/>
    <n v="0"/>
    <s v="MG Sticks"/>
    <n v="1"/>
    <n v="0"/>
    <n v="0"/>
    <n v="0"/>
  </r>
  <r>
    <n v="69684524"/>
    <x v="2"/>
    <n v="3936"/>
    <d v="2023-02-24T00:00:00"/>
    <x v="69"/>
    <x v="31"/>
    <n v="4.2560000000000002E-3"/>
    <n v="16.751616000000002"/>
    <s v="BR"/>
    <x v="2"/>
    <x v="5"/>
    <s v="Q1"/>
    <n v="143"/>
    <n v="27.524475524475523"/>
    <s v="MG Sticks"/>
    <n v="1"/>
    <n v="3936"/>
    <n v="16.751616000000002"/>
    <n v="27.524475524475523"/>
  </r>
  <r>
    <n v="84135794"/>
    <x v="5"/>
    <n v="4056"/>
    <d v="2023-02-24T00:00:00"/>
    <x v="198"/>
    <x v="35"/>
    <n v="9.0848256361922702E-3"/>
    <n v="36.848052780395847"/>
    <s v="BJ"/>
    <x v="2"/>
    <x v="39"/>
    <s v="Q1"/>
    <n v="125"/>
    <n v="32.448"/>
    <s v="2.4 Gal"/>
    <n v="1"/>
    <n v="4056"/>
    <n v="36.848052780395847"/>
    <n v="32.448"/>
  </r>
  <r>
    <n v="84135799"/>
    <x v="5"/>
    <n v="0"/>
    <d v="2023-02-24T00:00:00"/>
    <x v="232"/>
    <x v="35"/>
    <n v="9.0848256361922702E-3"/>
    <n v="0"/>
    <s v="BJ"/>
    <x v="2"/>
    <x v="39"/>
    <s v="Q1"/>
    <n v="125"/>
    <n v="0"/>
    <s v="2.4 Gal"/>
    <n v="1"/>
    <n v="0"/>
    <n v="0"/>
    <n v="0"/>
  </r>
  <r>
    <n v="84139090"/>
    <x v="2"/>
    <n v="15877"/>
    <d v="2023-02-24T00:00:00"/>
    <x v="85"/>
    <x v="15"/>
    <n v="3.7853439999999999E-3"/>
    <n v="60.099906687999997"/>
    <s v="BJ"/>
    <x v="2"/>
    <x v="30"/>
    <s v="Q1"/>
    <n v="240"/>
    <n v="66.154166666666669"/>
    <s v="BJ PTS"/>
    <n v="1"/>
    <n v="15877"/>
    <n v="60.099906687999997"/>
    <n v="66.154166666666669"/>
  </r>
  <r>
    <n v="67309864"/>
    <x v="2"/>
    <n v="15708"/>
    <d v="2023-02-25T00:00:00"/>
    <x v="63"/>
    <x v="2"/>
    <n v="8.5199999999999998E-3"/>
    <n v="133.83215999999999"/>
    <s v="BR"/>
    <x v="2"/>
    <x v="2"/>
    <s v="Q1"/>
    <n v="154"/>
    <n v="102"/>
    <s v="48oz"/>
    <n v="1"/>
    <n v="15708"/>
    <n v="133.83215999999999"/>
    <n v="102"/>
  </r>
  <r>
    <n v="67466492"/>
    <x v="3"/>
    <n v="4702"/>
    <d v="2023-02-25T00:00:00"/>
    <x v="8"/>
    <x v="6"/>
    <n v="5.2680000000000001E-3"/>
    <n v="24.770136000000001"/>
    <s v="PS"/>
    <x v="2"/>
    <x v="3"/>
    <s v="Q1"/>
    <n v="130"/>
    <n v="36.169230769230772"/>
    <s v="PG"/>
    <n v="1"/>
    <n v="4702"/>
    <n v="24.770136000000001"/>
    <n v="36.169230769230772"/>
  </r>
  <r>
    <n v="67466492"/>
    <x v="3"/>
    <n v="4820"/>
    <d v="2023-02-25T00:00:00"/>
    <x v="8"/>
    <x v="8"/>
    <n v="5.2680000000000001E-3"/>
    <n v="25.391760000000001"/>
    <s v="PS"/>
    <x v="2"/>
    <x v="3"/>
    <s v="Q1"/>
    <n v="130"/>
    <n v="37.07692307692308"/>
    <s v="PG"/>
    <n v="1"/>
    <n v="4820"/>
    <n v="25.391760000000001"/>
    <n v="37.07692307692308"/>
  </r>
  <r>
    <n v="67476560"/>
    <x v="3"/>
    <n v="1817"/>
    <d v="2023-02-25T00:00:00"/>
    <x v="10"/>
    <x v="10"/>
    <n v="5.1060000000000003E-3"/>
    <n v="9.2776019999999999"/>
    <s v="PS"/>
    <x v="2"/>
    <x v="3"/>
    <s v="Q1"/>
    <n v="130"/>
    <n v="13.976923076923077"/>
    <s v="PG"/>
    <n v="1"/>
    <n v="1817"/>
    <n v="9.2776019999999999"/>
    <n v="13.976923076923077"/>
  </r>
  <r>
    <n v="67881629"/>
    <x v="5"/>
    <n v="27840"/>
    <d v="2023-02-25T00:00:00"/>
    <x v="65"/>
    <x v="33"/>
    <n v="3.7853439999999999E-3"/>
    <n v="105.38397696"/>
    <s v="BJ"/>
    <x v="2"/>
    <x v="15"/>
    <s v="Q1"/>
    <n v="240"/>
    <n v="116"/>
    <s v="BJ PTS"/>
    <n v="1"/>
    <n v="27840"/>
    <n v="105.38397696"/>
    <n v="116"/>
  </r>
  <r>
    <n v="67885716"/>
    <x v="3"/>
    <n v="15632"/>
    <d v="2023-02-25T00:00:00"/>
    <x v="89"/>
    <x v="11"/>
    <n v="8.5199999999999998E-3"/>
    <n v="133.18464"/>
    <s v="BR"/>
    <x v="2"/>
    <x v="6"/>
    <s v="Q1"/>
    <n v="154"/>
    <n v="101.50649350649351"/>
    <s v="48oz"/>
    <n v="1"/>
    <n v="15632"/>
    <n v="133.18464"/>
    <n v="101.50649350649351"/>
  </r>
  <r>
    <n v="67885718"/>
    <x v="2"/>
    <n v="14806"/>
    <d v="2023-02-25T00:00:00"/>
    <x v="48"/>
    <x v="13"/>
    <n v="8.5199999999999998E-3"/>
    <n v="126.14712"/>
    <s v="BR"/>
    <x v="2"/>
    <x v="2"/>
    <s v="Q1"/>
    <n v="154"/>
    <n v="96.142857142857139"/>
    <s v="48oz"/>
    <n v="1"/>
    <n v="14806"/>
    <n v="126.14712"/>
    <n v="96.142857142857139"/>
  </r>
  <r>
    <n v="67885719"/>
    <x v="2"/>
    <n v="0"/>
    <d v="2023-02-25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85724"/>
    <x v="3"/>
    <n v="12656"/>
    <d v="2023-02-25T00:00:00"/>
    <x v="49"/>
    <x v="12"/>
    <n v="8.5199999999999998E-3"/>
    <n v="107.82912"/>
    <s v="BR"/>
    <x v="2"/>
    <x v="6"/>
    <s v="Q1"/>
    <n v="154"/>
    <n v="82.181818181818187"/>
    <s v="48oz"/>
    <n v="1"/>
    <n v="12656"/>
    <n v="107.82912"/>
    <n v="82.181818181818187"/>
  </r>
  <r>
    <n v="67901593"/>
    <x v="2"/>
    <n v="25102"/>
    <d v="2023-02-25T00:00:00"/>
    <x v="68"/>
    <x v="32"/>
    <n v="8.5199999999999998E-3"/>
    <n v="213.86903999999998"/>
    <s v="BR"/>
    <x v="2"/>
    <x v="2"/>
    <s v="Q1"/>
    <n v="154"/>
    <n v="163"/>
    <s v="48oz"/>
    <n v="1"/>
    <n v="25102"/>
    <n v="213.86903999999998"/>
    <n v="163"/>
  </r>
  <r>
    <n v="68356102"/>
    <x v="2"/>
    <n v="0"/>
    <d v="2023-02-25T00:00:00"/>
    <x v="13"/>
    <x v="13"/>
    <n v="8.513999999999999E-3"/>
    <n v="0"/>
    <s v="BR"/>
    <x v="2"/>
    <x v="2"/>
    <s v="Q1"/>
    <n v="154"/>
    <n v="0"/>
    <s v="48oz"/>
    <n v="1"/>
    <n v="0"/>
    <n v="0"/>
    <n v="0"/>
  </r>
  <r>
    <n v="68399233"/>
    <x v="2"/>
    <n v="0"/>
    <d v="2023-02-25T00:00:00"/>
    <x v="153"/>
    <x v="5"/>
    <n v="2.16E-3"/>
    <n v="0"/>
    <s v="MG"/>
    <x v="2"/>
    <x v="5"/>
    <s v="Q1"/>
    <n v="210"/>
    <n v="0"/>
    <s v="MG Sticks"/>
    <n v="1"/>
    <n v="0"/>
    <n v="0"/>
    <n v="0"/>
  </r>
  <r>
    <n v="68689251"/>
    <x v="3"/>
    <n v="7093"/>
    <d v="2023-02-25T00:00:00"/>
    <x v="17"/>
    <x v="17"/>
    <n v="9.5760000000000012E-3"/>
    <n v="67.922568000000012"/>
    <s v="KL"/>
    <x v="2"/>
    <x v="8"/>
    <s v="Q1"/>
    <n v="132"/>
    <n v="53.734848484848484"/>
    <s v="EDF"/>
    <n v="1"/>
    <n v="7093"/>
    <n v="67.922568000000012"/>
    <n v="53.734848484848484"/>
  </r>
  <r>
    <n v="68728342"/>
    <x v="2"/>
    <n v="15191"/>
    <d v="2023-02-25T00:00:00"/>
    <x v="44"/>
    <x v="22"/>
    <n v="3.7853439999999999E-3"/>
    <n v="57.503160704000003"/>
    <s v="TA"/>
    <x v="2"/>
    <x v="10"/>
    <s v="Q1"/>
    <n v="255"/>
    <n v="59.572549019607841"/>
    <s v="TALENTI"/>
    <n v="1"/>
    <n v="15191"/>
    <n v="57.503160704000003"/>
    <n v="59.572549019607841"/>
  </r>
  <r>
    <n v="68728342"/>
    <x v="2"/>
    <n v="14298"/>
    <d v="2023-02-25T00:00:00"/>
    <x v="44"/>
    <x v="22"/>
    <n v="3.7853439999999999E-3"/>
    <n v="54.122848511999997"/>
    <s v="TA"/>
    <x v="2"/>
    <x v="10"/>
    <s v="Q1"/>
    <n v="255"/>
    <n v="56.070588235294117"/>
    <s v="TALENTI"/>
    <n v="1"/>
    <n v="14298"/>
    <n v="54.122848511999997"/>
    <n v="56.070588235294117"/>
  </r>
  <r>
    <n v="68729634"/>
    <x v="2"/>
    <n v="0"/>
    <d v="2023-02-25T00:00:00"/>
    <x v="92"/>
    <x v="22"/>
    <n v="3.7853439999999999E-3"/>
    <n v="0"/>
    <s v="TA"/>
    <x v="2"/>
    <x v="10"/>
    <s v="Q1"/>
    <n v="255"/>
    <n v="0"/>
    <s v="TALENTI"/>
    <n v="1"/>
    <n v="0"/>
    <n v="0"/>
    <n v="0"/>
  </r>
  <r>
    <n v="68729679"/>
    <x v="2"/>
    <n v="0"/>
    <d v="2023-02-25T00:00:00"/>
    <x v="127"/>
    <x v="21"/>
    <n v="3.7853440000000004E-3"/>
    <n v="0"/>
    <s v="TA"/>
    <x v="2"/>
    <x v="10"/>
    <s v="Q1"/>
    <n v="255"/>
    <n v="0"/>
    <s v="TALENTI"/>
    <n v="1"/>
    <n v="0"/>
    <n v="0"/>
    <n v="0"/>
  </r>
  <r>
    <n v="68730254"/>
    <x v="2"/>
    <n v="37544"/>
    <d v="2023-02-25T00:00:00"/>
    <x v="128"/>
    <x v="21"/>
    <n v="3.7853440000000004E-3"/>
    <n v="142.116955136"/>
    <s v="TA"/>
    <x v="2"/>
    <x v="10"/>
    <s v="Q1"/>
    <n v="255"/>
    <n v="147.2313725490196"/>
    <s v="TALENTI"/>
    <n v="1"/>
    <n v="37544"/>
    <n v="142.116955136"/>
    <n v="147.2313725490196"/>
  </r>
  <r>
    <n v="68741714"/>
    <x v="3"/>
    <n v="8572"/>
    <d v="2023-02-25T00:00:00"/>
    <x v="24"/>
    <x v="24"/>
    <n v="2.8319999999999999E-3"/>
    <n v="24.275904000000001"/>
    <s v="GH"/>
    <x v="2"/>
    <x v="4"/>
    <s v="Q1"/>
    <n v="225"/>
    <n v="38.097777777777779"/>
    <s v="MBG"/>
    <n v="1"/>
    <n v="8572"/>
    <n v="24.275904000000001"/>
    <n v="38.097777777777779"/>
  </r>
  <r>
    <n v="68741742"/>
    <x v="2"/>
    <n v="1814"/>
    <d v="2023-02-25T00:00:00"/>
    <x v="25"/>
    <x v="25"/>
    <n v="4.2560000000000002E-3"/>
    <n v="7.7203840000000001"/>
    <s v="GH"/>
    <x v="2"/>
    <x v="11"/>
    <s v="Q1"/>
    <n v="154"/>
    <n v="11.779220779220779"/>
    <s v="MBG"/>
    <n v="1"/>
    <n v="1814"/>
    <n v="7.7203840000000001"/>
    <n v="11.779220779220779"/>
  </r>
  <r>
    <n v="68852591"/>
    <x v="2"/>
    <n v="4092"/>
    <d v="2023-02-25T00:00:00"/>
    <x v="26"/>
    <x v="26"/>
    <n v="8.5199999999999998E-3"/>
    <n v="34.863839999999996"/>
    <s v="KL"/>
    <x v="2"/>
    <x v="12"/>
    <s v="Q1"/>
    <n v="132"/>
    <n v="31"/>
    <s v="EDF"/>
    <n v="1"/>
    <n v="4092"/>
    <n v="34.863839999999996"/>
    <n v="31"/>
  </r>
  <r>
    <n v="68921994"/>
    <x v="3"/>
    <n v="5590"/>
    <d v="2023-02-25T00:00:00"/>
    <x v="258"/>
    <x v="20"/>
    <n v="9.5879999999999993E-3"/>
    <n v="53.596919999999997"/>
    <s v="KL"/>
    <x v="2"/>
    <x v="8"/>
    <s v="Q1"/>
    <n v="132"/>
    <n v="42.348484848484851"/>
    <s v="EDF"/>
    <n v="1"/>
    <n v="5590"/>
    <n v="53.596919999999997"/>
    <n v="42.348484848484851"/>
  </r>
  <r>
    <n v="69572658"/>
    <x v="2"/>
    <n v="3085"/>
    <d v="2023-02-25T00:00:00"/>
    <x v="166"/>
    <x v="5"/>
    <n v="2.1520000000000003E-3"/>
    <n v="6.6389200000000006"/>
    <s v="MG"/>
    <x v="2"/>
    <x v="5"/>
    <s v="Q1"/>
    <n v="210"/>
    <n v="14.69047619047619"/>
    <s v="MG Sticks"/>
    <n v="1"/>
    <n v="3085"/>
    <n v="6.6389200000000006"/>
    <n v="14.69047619047619"/>
  </r>
  <r>
    <n v="69621212"/>
    <x v="2"/>
    <n v="3203"/>
    <d v="2023-02-25T00:00:00"/>
    <x v="29"/>
    <x v="28"/>
    <n v="5.2680000000000001E-3"/>
    <n v="16.873404000000001"/>
    <s v="PG"/>
    <x v="2"/>
    <x v="14"/>
    <s v="Q1"/>
    <n v="130"/>
    <n v="24.638461538461538"/>
    <s v="PG"/>
    <n v="1"/>
    <n v="3203"/>
    <n v="16.873404000000001"/>
    <n v="24.638461538461538"/>
  </r>
  <r>
    <n v="69671641"/>
    <x v="3"/>
    <n v="4695"/>
    <d v="2023-02-25T00:00:00"/>
    <x v="260"/>
    <x v="4"/>
    <n v="3.9039999999999999E-3"/>
    <n v="18.329280000000001"/>
    <s v="GH"/>
    <x v="2"/>
    <x v="4"/>
    <s v="Q1"/>
    <n v="154"/>
    <n v="30.487012987012989"/>
    <s v="MBG"/>
    <n v="1"/>
    <n v="4695"/>
    <n v="18.329280000000001"/>
    <n v="30.487012987012989"/>
  </r>
  <r>
    <n v="69677917"/>
    <x v="3"/>
    <n v="4726"/>
    <d v="2023-02-25T00:00:00"/>
    <x v="30"/>
    <x v="29"/>
    <n v="5.2680000000000001E-3"/>
    <n v="24.896568000000002"/>
    <s v="PS"/>
    <x v="2"/>
    <x v="3"/>
    <s v="Q1"/>
    <n v="108"/>
    <n v="43.75925925925926"/>
    <s v="PG"/>
    <n v="1"/>
    <n v="4726"/>
    <n v="24.896568000000002"/>
    <n v="43.75925925925926"/>
  </r>
  <r>
    <n v="69677917"/>
    <x v="2"/>
    <n v="3300"/>
    <d v="2023-02-25T00:00:00"/>
    <x v="30"/>
    <x v="30"/>
    <n v="5.2680000000000001E-3"/>
    <n v="17.384399999999999"/>
    <s v="PS"/>
    <x v="2"/>
    <x v="14"/>
    <s v="Q1"/>
    <n v="108"/>
    <n v="30.555555555555557"/>
    <s v="PG"/>
    <n v="1"/>
    <n v="3300"/>
    <n v="17.384399999999999"/>
    <n v="30.555555555555557"/>
  </r>
  <r>
    <n v="84137721"/>
    <x v="5"/>
    <n v="5536"/>
    <d v="2023-02-25T00:00:00"/>
    <x v="271"/>
    <x v="35"/>
    <n v="9.0848256361922702E-3"/>
    <n v="50.29359472196041"/>
    <s v="BJ"/>
    <x v="2"/>
    <x v="39"/>
    <s v="Q1"/>
    <n v="125"/>
    <n v="44.287999999999997"/>
    <s v="2.4 Gal"/>
    <n v="1"/>
    <n v="5536"/>
    <n v="50.29359472196041"/>
    <n v="44.287999999999997"/>
  </r>
  <r>
    <n v="84139090"/>
    <x v="2"/>
    <n v="0"/>
    <d v="2023-02-25T00:00:00"/>
    <x v="85"/>
    <x v="15"/>
    <n v="3.7853439999999999E-3"/>
    <n v="0"/>
    <s v="BJ"/>
    <x v="2"/>
    <x v="30"/>
    <s v="Q1"/>
    <n v="240"/>
    <n v="0"/>
    <s v="BJ PTS"/>
    <n v="1"/>
    <n v="0"/>
    <n v="0"/>
    <n v="0"/>
  </r>
  <r>
    <n v="84141101"/>
    <x v="5"/>
    <n v="0"/>
    <d v="2023-02-25T00:00:00"/>
    <x v="86"/>
    <x v="33"/>
    <n v="3.7853439999999999E-3"/>
    <n v="0"/>
    <s v="BJ"/>
    <x v="2"/>
    <x v="15"/>
    <s v="Q1"/>
    <n v="240"/>
    <n v="0"/>
    <s v="BJ PTS"/>
    <n v="1"/>
    <n v="0"/>
    <n v="0"/>
    <n v="0"/>
  </r>
  <r>
    <n v="84141102"/>
    <x v="13"/>
    <n v="58800"/>
    <d v="2023-02-25T00:00:00"/>
    <x v="217"/>
    <x v="38"/>
    <n v="3.7853439999999999E-3"/>
    <n v="222.57822719999999"/>
    <s v="BJ"/>
    <x v="2"/>
    <x v="36"/>
    <s v="Q1"/>
    <n v="240"/>
    <n v="245"/>
    <s v="BJ PTS"/>
    <n v="1"/>
    <n v="58800"/>
    <n v="222.57822719999999"/>
    <n v="245"/>
  </r>
  <r>
    <n v="84161610"/>
    <x v="5"/>
    <n v="0"/>
    <d v="2023-02-25T00:00:00"/>
    <x v="99"/>
    <x v="38"/>
    <n v="3.7853439999999999E-3"/>
    <n v="0"/>
    <s v="BJ"/>
    <x v="2"/>
    <x v="15"/>
    <s v="Q1"/>
    <n v="240"/>
    <n v="0"/>
    <s v="BJ PTS"/>
    <n v="1"/>
    <n v="0"/>
    <n v="0"/>
    <n v="0"/>
  </r>
  <r>
    <n v="84167442"/>
    <x v="5"/>
    <n v="0"/>
    <d v="2023-02-25T00:00:00"/>
    <x v="272"/>
    <x v="35"/>
    <n v="3.7853439999999999E-3"/>
    <n v="0"/>
    <s v="BJ"/>
    <x v="2"/>
    <x v="15"/>
    <s v="Q1"/>
    <n v="240"/>
    <n v="0"/>
    <s v="BJ PTS"/>
    <n v="1"/>
    <n v="0"/>
    <n v="0"/>
    <n v="0"/>
  </r>
  <r>
    <n v="67309864"/>
    <x v="2"/>
    <n v="13679"/>
    <d v="2023-02-26T00:00:00"/>
    <x v="63"/>
    <x v="2"/>
    <n v="8.5199999999999998E-3"/>
    <n v="116.54508"/>
    <s v="BR"/>
    <x v="2"/>
    <x v="2"/>
    <s v="Q1"/>
    <n v="154"/>
    <n v="88.824675324675326"/>
    <s v="48oz"/>
    <n v="1"/>
    <n v="13679"/>
    <n v="116.54508"/>
    <n v="88.824675324675326"/>
  </r>
  <r>
    <n v="67465063"/>
    <x v="3"/>
    <n v="0"/>
    <d v="2023-02-26T00:00:00"/>
    <x v="3"/>
    <x v="40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26T00:00:00"/>
    <x v="7"/>
    <x v="3"/>
    <n v="1.596E-3"/>
    <n v="0"/>
    <s v="PS"/>
    <x v="2"/>
    <x v="3"/>
    <s v="Q1"/>
    <n v="130"/>
    <n v="0"/>
    <s v="PG"/>
    <n v="1"/>
    <n v="0"/>
    <n v="0"/>
    <n v="0"/>
  </r>
  <r>
    <n v="67466492"/>
    <x v="3"/>
    <n v="2815"/>
    <d v="2023-02-26T00:00:00"/>
    <x v="8"/>
    <x v="6"/>
    <n v="5.2680000000000001E-3"/>
    <n v="14.829420000000001"/>
    <s v="PS"/>
    <x v="2"/>
    <x v="3"/>
    <s v="Q1"/>
    <n v="130"/>
    <n v="21.653846153846153"/>
    <s v="PG"/>
    <n v="1"/>
    <n v="2815"/>
    <n v="14.829420000000001"/>
    <n v="21.653846153846153"/>
  </r>
  <r>
    <n v="67466492"/>
    <x v="3"/>
    <n v="0"/>
    <d v="2023-02-26T00:00:00"/>
    <x v="8"/>
    <x v="7"/>
    <n v="5.2680000000000001E-3"/>
    <n v="0"/>
    <s v="PS"/>
    <x v="2"/>
    <x v="3"/>
    <s v="Q1"/>
    <n v="130"/>
    <n v="0"/>
    <s v="PG"/>
    <n v="1"/>
    <n v="0"/>
    <n v="0"/>
    <n v="0"/>
  </r>
  <r>
    <n v="67466492"/>
    <x v="3"/>
    <n v="4128"/>
    <d v="2023-02-26T00:00:00"/>
    <x v="8"/>
    <x v="8"/>
    <n v="5.2680000000000001E-3"/>
    <n v="21.746304000000002"/>
    <s v="PS"/>
    <x v="2"/>
    <x v="3"/>
    <s v="Q1"/>
    <n v="130"/>
    <n v="31.753846153846155"/>
    <s v="PG"/>
    <n v="1"/>
    <n v="4128"/>
    <n v="21.746304000000002"/>
    <n v="31.753846153846155"/>
  </r>
  <r>
    <n v="67466492"/>
    <x v="3"/>
    <n v="0"/>
    <d v="2023-02-26T00:00:00"/>
    <x v="8"/>
    <x v="9"/>
    <n v="5.2680000000000001E-3"/>
    <n v="0"/>
    <s v="PS"/>
    <x v="2"/>
    <x v="3"/>
    <s v="Q1"/>
    <n v="130"/>
    <n v="0"/>
    <s v="PG"/>
    <n v="1"/>
    <n v="0"/>
    <n v="0"/>
    <n v="0"/>
  </r>
  <r>
    <n v="67476560"/>
    <x v="3"/>
    <n v="3840"/>
    <d v="2023-02-26T00:00:00"/>
    <x v="10"/>
    <x v="10"/>
    <n v="5.1060000000000003E-3"/>
    <n v="19.607040000000001"/>
    <s v="PS"/>
    <x v="2"/>
    <x v="3"/>
    <s v="Q1"/>
    <n v="130"/>
    <n v="29.53846153846154"/>
    <s v="PG"/>
    <n v="1"/>
    <n v="3840"/>
    <n v="19.607040000000001"/>
    <n v="29.53846153846154"/>
  </r>
  <r>
    <n v="67885716"/>
    <x v="3"/>
    <n v="15065"/>
    <d v="2023-02-26T00:00:00"/>
    <x v="89"/>
    <x v="11"/>
    <n v="8.5199999999999998E-3"/>
    <n v="128.35380000000001"/>
    <s v="BR"/>
    <x v="2"/>
    <x v="6"/>
    <s v="Q1"/>
    <n v="154"/>
    <n v="97.824675324675326"/>
    <s v="48oz"/>
    <n v="1"/>
    <n v="15065"/>
    <n v="128.35380000000001"/>
    <n v="97.824675324675326"/>
  </r>
  <r>
    <n v="67885718"/>
    <x v="2"/>
    <n v="14180"/>
    <d v="2023-02-26T00:00:00"/>
    <x v="48"/>
    <x v="13"/>
    <n v="8.5199999999999998E-3"/>
    <n v="120.81359999999999"/>
    <s v="BR"/>
    <x v="2"/>
    <x v="2"/>
    <s v="Q1"/>
    <n v="154"/>
    <n v="92.077922077922082"/>
    <s v="48oz"/>
    <n v="1"/>
    <n v="14180"/>
    <n v="120.81359999999999"/>
    <n v="92.077922077922082"/>
  </r>
  <r>
    <n v="67885719"/>
    <x v="2"/>
    <n v="0"/>
    <d v="2023-02-26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85724"/>
    <x v="3"/>
    <n v="12657"/>
    <d v="2023-02-26T00:00:00"/>
    <x v="49"/>
    <x v="12"/>
    <n v="8.5199999999999998E-3"/>
    <n v="107.83763999999999"/>
    <s v="BR"/>
    <x v="2"/>
    <x v="6"/>
    <s v="Q1"/>
    <n v="154"/>
    <n v="82.188311688311686"/>
    <s v="48oz"/>
    <n v="1"/>
    <n v="12657"/>
    <n v="107.83763999999999"/>
    <n v="82.188311688311686"/>
  </r>
  <r>
    <n v="67901593"/>
    <x v="2"/>
    <n v="19837"/>
    <d v="2023-02-26T00:00:00"/>
    <x v="68"/>
    <x v="32"/>
    <n v="8.5199999999999998E-3"/>
    <n v="169.01123999999999"/>
    <s v="BR"/>
    <x v="2"/>
    <x v="2"/>
    <s v="Q1"/>
    <n v="154"/>
    <n v="128.8116883116883"/>
    <s v="48oz"/>
    <n v="1"/>
    <n v="19837"/>
    <n v="169.01123999999999"/>
    <n v="128.8116883116883"/>
  </r>
  <r>
    <n v="68309313"/>
    <x v="2"/>
    <n v="0"/>
    <d v="2023-02-26T00:00:00"/>
    <x v="121"/>
    <x v="32"/>
    <n v="8.5199999999999998E-3"/>
    <n v="0"/>
    <s v="BR"/>
    <x v="2"/>
    <x v="2"/>
    <s v="Q1"/>
    <n v="154"/>
    <n v="0"/>
    <s v="48oz"/>
    <n v="1"/>
    <n v="0"/>
    <n v="0"/>
    <n v="0"/>
  </r>
  <r>
    <n v="68309313"/>
    <x v="2"/>
    <n v="0"/>
    <d v="2023-02-26T00:00:00"/>
    <x v="121"/>
    <x v="32"/>
    <n v="8.5199999999999998E-3"/>
    <n v="0"/>
    <s v="BR"/>
    <x v="2"/>
    <x v="2"/>
    <s v="Q1"/>
    <n v="154"/>
    <n v="0"/>
    <s v="48oz"/>
    <n v="1"/>
    <n v="0"/>
    <n v="0"/>
    <n v="0"/>
  </r>
  <r>
    <n v="68356102"/>
    <x v="2"/>
    <n v="0"/>
    <d v="2023-02-26T00:00:00"/>
    <x v="13"/>
    <x v="13"/>
    <n v="8.513999999999999E-3"/>
    <n v="0"/>
    <s v="BR"/>
    <x v="2"/>
    <x v="2"/>
    <s v="Q1"/>
    <n v="154"/>
    <n v="0"/>
    <s v="48oz"/>
    <n v="1"/>
    <n v="0"/>
    <n v="0"/>
    <n v="0"/>
  </r>
  <r>
    <n v="68689251"/>
    <x v="3"/>
    <n v="4172"/>
    <d v="2023-02-26T00:00:00"/>
    <x v="17"/>
    <x v="17"/>
    <n v="9.5760000000000012E-3"/>
    <n v="39.951072000000003"/>
    <s v="KL"/>
    <x v="2"/>
    <x v="8"/>
    <s v="Q1"/>
    <n v="132"/>
    <n v="31.606060606060606"/>
    <s v="EDF"/>
    <n v="1"/>
    <n v="4172"/>
    <n v="39.951072000000003"/>
    <n v="31.606060606060606"/>
  </r>
  <r>
    <n v="68728342"/>
    <x v="2"/>
    <n v="0"/>
    <d v="2023-02-26T00:00:00"/>
    <x v="44"/>
    <x v="22"/>
    <n v="3.7853439999999999E-3"/>
    <n v="0"/>
    <s v="TA"/>
    <x v="2"/>
    <x v="10"/>
    <s v="Q1"/>
    <n v="255"/>
    <n v="0"/>
    <s v="TALENTI"/>
    <n v="1"/>
    <n v="0"/>
    <n v="0"/>
    <n v="0"/>
  </r>
  <r>
    <n v="68728342"/>
    <x v="2"/>
    <n v="7891"/>
    <d v="2023-02-26T00:00:00"/>
    <x v="44"/>
    <x v="22"/>
    <n v="3.7853439999999999E-3"/>
    <n v="29.870149504"/>
    <s v="TA"/>
    <x v="2"/>
    <x v="10"/>
    <s v="Q1"/>
    <n v="255"/>
    <n v="30.945098039215686"/>
    <s v="TALENTI"/>
    <n v="1"/>
    <n v="7891"/>
    <n v="29.870149504"/>
    <n v="30.945098039215686"/>
  </r>
  <r>
    <n v="68729634"/>
    <x v="2"/>
    <n v="0"/>
    <d v="2023-02-26T00:00:00"/>
    <x v="92"/>
    <x v="22"/>
    <n v="3.7853439999999999E-3"/>
    <n v="0"/>
    <s v="TA"/>
    <x v="2"/>
    <x v="10"/>
    <s v="Q1"/>
    <n v="255"/>
    <n v="0"/>
    <s v="TALENTI"/>
    <n v="1"/>
    <n v="0"/>
    <n v="0"/>
    <n v="0"/>
  </r>
  <r>
    <n v="68729679"/>
    <x v="2"/>
    <n v="0"/>
    <d v="2023-02-26T00:00:00"/>
    <x v="127"/>
    <x v="21"/>
    <n v="3.7853440000000004E-3"/>
    <n v="0"/>
    <s v="TA"/>
    <x v="2"/>
    <x v="10"/>
    <s v="Q1"/>
    <n v="255"/>
    <n v="0"/>
    <s v="TALENTI"/>
    <n v="1"/>
    <n v="0"/>
    <n v="0"/>
    <n v="0"/>
  </r>
  <r>
    <n v="68730254"/>
    <x v="2"/>
    <n v="17877"/>
    <d v="2023-02-26T00:00:00"/>
    <x v="128"/>
    <x v="21"/>
    <n v="3.7853440000000004E-3"/>
    <n v="67.670594688000008"/>
    <s v="TA"/>
    <x v="2"/>
    <x v="10"/>
    <s v="Q1"/>
    <n v="255"/>
    <n v="70.10588235294118"/>
    <s v="TALENTI"/>
    <n v="1"/>
    <n v="17877"/>
    <n v="67.670594688000008"/>
    <n v="70.10588235294118"/>
  </r>
  <r>
    <n v="68741714"/>
    <x v="3"/>
    <n v="7121"/>
    <d v="2023-02-26T00:00:00"/>
    <x v="24"/>
    <x v="24"/>
    <n v="2.8319999999999999E-3"/>
    <n v="20.166671999999998"/>
    <s v="GH"/>
    <x v="2"/>
    <x v="4"/>
    <s v="Q1"/>
    <n v="225"/>
    <n v="31.648888888888887"/>
    <s v="MBG"/>
    <n v="1"/>
    <n v="7121"/>
    <n v="20.166671999999998"/>
    <n v="31.648888888888887"/>
  </r>
  <r>
    <n v="68741742"/>
    <x v="2"/>
    <n v="2805"/>
    <d v="2023-02-26T00:00:00"/>
    <x v="25"/>
    <x v="25"/>
    <n v="4.2560000000000002E-3"/>
    <n v="11.938080000000001"/>
    <s v="GH"/>
    <x v="2"/>
    <x v="11"/>
    <s v="Q1"/>
    <n v="154"/>
    <n v="18.214285714285715"/>
    <s v="MBG"/>
    <n v="1"/>
    <n v="2805"/>
    <n v="11.938080000000001"/>
    <n v="18.214285714285715"/>
  </r>
  <r>
    <n v="68755566"/>
    <x v="5"/>
    <n v="5785"/>
    <d v="2023-02-26T00:00:00"/>
    <x v="174"/>
    <x v="35"/>
    <n v="1.1356032009663293E-2"/>
    <n v="65.694645175902153"/>
    <s v="BR"/>
    <x v="2"/>
    <x v="41"/>
    <s v="Q1"/>
    <n v="120"/>
    <n v="48.208333333333336"/>
    <s v="3 Gal"/>
    <n v="1"/>
    <n v="5785"/>
    <n v="65.694645175902153"/>
    <n v="48.208333333333336"/>
  </r>
  <r>
    <n v="68852591"/>
    <x v="2"/>
    <n v="4224"/>
    <d v="2023-02-26T00:00:00"/>
    <x v="26"/>
    <x v="26"/>
    <n v="8.5199999999999998E-3"/>
    <n v="35.988479999999996"/>
    <s v="KL"/>
    <x v="2"/>
    <x v="12"/>
    <s v="Q1"/>
    <n v="132"/>
    <n v="32"/>
    <s v="EDF"/>
    <n v="1"/>
    <n v="4224"/>
    <n v="35.988479999999996"/>
    <n v="32"/>
  </r>
  <r>
    <n v="68921994"/>
    <x v="3"/>
    <n v="5098"/>
    <d v="2023-02-26T00:00:00"/>
    <x v="258"/>
    <x v="20"/>
    <n v="9.5879999999999993E-3"/>
    <n v="48.879624"/>
    <s v="KL"/>
    <x v="2"/>
    <x v="8"/>
    <s v="Q1"/>
    <n v="132"/>
    <n v="38.621212121212125"/>
    <s v="EDF"/>
    <n v="1"/>
    <n v="5098"/>
    <n v="48.879624"/>
    <n v="38.621212121212125"/>
  </r>
  <r>
    <n v="69556602"/>
    <x v="4"/>
    <n v="2400"/>
    <d v="2023-02-26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6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6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6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72658"/>
    <x v="2"/>
    <n v="2893"/>
    <d v="2023-02-26T00:00:00"/>
    <x v="166"/>
    <x v="5"/>
    <n v="2.1520000000000003E-3"/>
    <n v="6.2257360000000004"/>
    <s v="MG"/>
    <x v="2"/>
    <x v="5"/>
    <s v="Q1"/>
    <n v="210"/>
    <n v="13.776190476190477"/>
    <s v="MG Sticks"/>
    <n v="1"/>
    <n v="2893"/>
    <n v="6.2257360000000004"/>
    <n v="13.776190476190477"/>
  </r>
  <r>
    <n v="69572658"/>
    <x v="2"/>
    <n v="0"/>
    <d v="2023-02-26T00:00:00"/>
    <x v="166"/>
    <x v="5"/>
    <n v="2.1520000000000003E-3"/>
    <n v="0"/>
    <s v="MG"/>
    <x v="2"/>
    <x v="5"/>
    <s v="Q1"/>
    <n v="210"/>
    <n v="0"/>
    <s v="MG Sticks"/>
    <n v="1"/>
    <n v="0"/>
    <n v="0"/>
    <n v="0"/>
  </r>
  <r>
    <n v="69572658"/>
    <x v="2"/>
    <n v="0"/>
    <d v="2023-02-26T00:00:00"/>
    <x v="166"/>
    <x v="5"/>
    <n v="2.1520000000000003E-3"/>
    <n v="0"/>
    <s v="MG"/>
    <x v="2"/>
    <x v="5"/>
    <s v="Q1"/>
    <n v="210"/>
    <n v="0"/>
    <s v="MG Sticks"/>
    <n v="1"/>
    <n v="0"/>
    <n v="0"/>
    <n v="0"/>
  </r>
  <r>
    <n v="69586716"/>
    <x v="2"/>
    <n v="0"/>
    <d v="2023-02-26T00:00:00"/>
    <x v="6"/>
    <x v="5"/>
    <n v="2.0400000000000001E-3"/>
    <n v="0"/>
    <s v="MG"/>
    <x v="2"/>
    <x v="5"/>
    <s v="Q1"/>
    <n v="210"/>
    <n v="0"/>
    <s v="MG Sticks"/>
    <n v="1"/>
    <n v="0"/>
    <n v="0"/>
    <n v="0"/>
  </r>
  <r>
    <n v="69586716"/>
    <x v="2"/>
    <n v="0"/>
    <d v="2023-02-26T00:00:00"/>
    <x v="6"/>
    <x v="5"/>
    <n v="2.0400000000000001E-3"/>
    <n v="0"/>
    <s v="MG"/>
    <x v="2"/>
    <x v="5"/>
    <s v="Q1"/>
    <n v="210"/>
    <n v="0"/>
    <s v="MG Sticks"/>
    <n v="1"/>
    <n v="0"/>
    <n v="0"/>
    <n v="0"/>
  </r>
  <r>
    <n v="69621212"/>
    <x v="2"/>
    <n v="3184"/>
    <d v="2023-02-26T00:00:00"/>
    <x v="29"/>
    <x v="28"/>
    <n v="5.2680000000000001E-3"/>
    <n v="16.773312000000001"/>
    <s v="PG"/>
    <x v="2"/>
    <x v="14"/>
    <s v="Q1"/>
    <n v="130"/>
    <n v="24.492307692307691"/>
    <s v="PG"/>
    <n v="1"/>
    <n v="3184"/>
    <n v="16.773312000000001"/>
    <n v="24.492307692307691"/>
  </r>
  <r>
    <n v="69628686"/>
    <x v="4"/>
    <n v="2400"/>
    <d v="2023-02-26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6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1641"/>
    <x v="3"/>
    <n v="5007"/>
    <d v="2023-02-26T00:00:00"/>
    <x v="260"/>
    <x v="4"/>
    <n v="3.9039999999999999E-3"/>
    <n v="19.547328"/>
    <s v="GH"/>
    <x v="2"/>
    <x v="4"/>
    <s v="Q1"/>
    <n v="154"/>
    <n v="32.512987012987011"/>
    <s v="MBG"/>
    <n v="1"/>
    <n v="5007"/>
    <n v="19.547328"/>
    <n v="32.512987012987011"/>
  </r>
  <r>
    <n v="69677917"/>
    <x v="3"/>
    <n v="4599"/>
    <d v="2023-02-26T00:00:00"/>
    <x v="30"/>
    <x v="29"/>
    <n v="5.2680000000000001E-3"/>
    <n v="24.227532"/>
    <s v="PS"/>
    <x v="2"/>
    <x v="3"/>
    <s v="Q1"/>
    <n v="108"/>
    <n v="42.583333333333336"/>
    <s v="PG"/>
    <n v="1"/>
    <n v="4599"/>
    <n v="24.227532"/>
    <n v="42.583333333333336"/>
  </r>
  <r>
    <n v="69677917"/>
    <x v="2"/>
    <n v="1735"/>
    <d v="2023-02-26T00:00:00"/>
    <x v="30"/>
    <x v="30"/>
    <n v="5.2680000000000001E-3"/>
    <n v="9.1399799999999995"/>
    <s v="PS"/>
    <x v="2"/>
    <x v="14"/>
    <s v="Q1"/>
    <n v="108"/>
    <n v="16.064814814814813"/>
    <s v="PG"/>
    <n v="1"/>
    <n v="1735"/>
    <n v="9.1399799999999995"/>
    <n v="16.064814814814813"/>
  </r>
  <r>
    <n v="84138391"/>
    <x v="5"/>
    <n v="28874"/>
    <d v="2023-02-26T00:00:00"/>
    <x v="84"/>
    <x v="33"/>
    <n v="3.7853439999999999E-3"/>
    <n v="109.298022656"/>
    <s v="BJ"/>
    <x v="2"/>
    <x v="15"/>
    <s v="Q1"/>
    <n v="240"/>
    <n v="120.30833333333334"/>
    <s v="BJ PTS"/>
    <n v="1"/>
    <n v="28874"/>
    <n v="109.298022656"/>
    <n v="120.30833333333334"/>
  </r>
  <r>
    <n v="84164936"/>
    <x v="2"/>
    <n v="0"/>
    <d v="2023-02-26T00:00:00"/>
    <x v="162"/>
    <x v="15"/>
    <n v="3.7853439999999999E-3"/>
    <n v="0"/>
    <s v="BJ"/>
    <x v="2"/>
    <x v="30"/>
    <s v="Q1"/>
    <n v="240"/>
    <n v="0"/>
    <s v="BJ PTS"/>
    <n v="1"/>
    <n v="0"/>
    <n v="0"/>
    <n v="0"/>
  </r>
  <r>
    <n v="67309843"/>
    <x v="3"/>
    <n v="16433"/>
    <d v="2023-02-27T00:00:00"/>
    <x v="88"/>
    <x v="16"/>
    <n v="8.5199999999999998E-3"/>
    <n v="140.00916000000001"/>
    <s v="BR"/>
    <x v="2"/>
    <x v="6"/>
    <s v="Q1"/>
    <n v="154"/>
    <n v="106.70779220779221"/>
    <s v="48oz"/>
    <n v="1"/>
    <n v="16433"/>
    <n v="140.00916000000001"/>
    <n v="106.70779220779221"/>
  </r>
  <r>
    <n v="67309864"/>
    <x v="2"/>
    <n v="0"/>
    <d v="2023-02-27T00:00:00"/>
    <x v="63"/>
    <x v="2"/>
    <n v="8.5199999999999998E-3"/>
    <n v="0"/>
    <s v="BR"/>
    <x v="2"/>
    <x v="2"/>
    <s v="Q1"/>
    <n v="154"/>
    <n v="0"/>
    <s v="48oz"/>
    <n v="1"/>
    <n v="0"/>
    <n v="0"/>
    <n v="0"/>
  </r>
  <r>
    <n v="67309864"/>
    <x v="2"/>
    <n v="3347"/>
    <d v="2023-02-27T00:00:00"/>
    <x v="63"/>
    <x v="2"/>
    <n v="8.5199999999999998E-3"/>
    <n v="28.516439999999999"/>
    <s v="BR"/>
    <x v="2"/>
    <x v="2"/>
    <s v="Q1"/>
    <n v="154"/>
    <n v="21.733766233766232"/>
    <s v="48oz"/>
    <n v="1"/>
    <n v="3347"/>
    <n v="28.516439999999999"/>
    <n v="21.733766233766232"/>
  </r>
  <r>
    <n v="67465063"/>
    <x v="3"/>
    <n v="1433"/>
    <d v="2023-02-27T00:00:00"/>
    <x v="3"/>
    <x v="6"/>
    <n v="5.2680000000000001E-3"/>
    <n v="7.5490440000000003"/>
    <s v="PS"/>
    <x v="2"/>
    <x v="3"/>
    <s v="Q1"/>
    <n v="130"/>
    <n v="11.023076923076923"/>
    <s v="PG"/>
    <n v="1"/>
    <n v="1433"/>
    <n v="7.5490440000000003"/>
    <n v="11.023076923076923"/>
  </r>
  <r>
    <n v="67465063"/>
    <x v="3"/>
    <n v="234"/>
    <d v="2023-02-27T00:00:00"/>
    <x v="3"/>
    <x v="40"/>
    <n v="5.2680000000000001E-3"/>
    <n v="1.232712"/>
    <s v="PS"/>
    <x v="2"/>
    <x v="3"/>
    <s v="Q1"/>
    <n v="130"/>
    <n v="1.8"/>
    <s v="PG"/>
    <n v="1"/>
    <n v="234"/>
    <n v="1.232712"/>
    <n v="1.8"/>
  </r>
  <r>
    <n v="67465063"/>
    <x v="3"/>
    <n v="0"/>
    <d v="2023-02-27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0"/>
    <d v="2023-02-27T00:00:00"/>
    <x v="7"/>
    <x v="3"/>
    <n v="1.596E-3"/>
    <n v="0"/>
    <s v="PS"/>
    <x v="2"/>
    <x v="3"/>
    <s v="Q1"/>
    <n v="130"/>
    <n v="0"/>
    <s v="PG"/>
    <n v="1"/>
    <n v="0"/>
    <n v="0"/>
    <n v="0"/>
  </r>
  <r>
    <n v="67465064"/>
    <x v="3"/>
    <n v="329"/>
    <d v="2023-02-27T00:00:00"/>
    <x v="7"/>
    <x v="3"/>
    <n v="1.596E-3"/>
    <n v="0.525084"/>
    <s v="PS"/>
    <x v="2"/>
    <x v="3"/>
    <s v="Q1"/>
    <n v="130"/>
    <n v="2.5307692307692307"/>
    <s v="PG"/>
    <n v="1"/>
    <n v="329"/>
    <n v="0.525084"/>
    <n v="2.5307692307692307"/>
  </r>
  <r>
    <n v="67466492"/>
    <x v="3"/>
    <n v="5277"/>
    <d v="2023-02-27T00:00:00"/>
    <x v="8"/>
    <x v="7"/>
    <n v="5.2680000000000001E-3"/>
    <n v="27.799236000000001"/>
    <s v="PS"/>
    <x v="2"/>
    <x v="3"/>
    <s v="Q1"/>
    <n v="130"/>
    <n v="40.592307692307692"/>
    <s v="PG"/>
    <n v="1"/>
    <n v="5277"/>
    <n v="27.799236000000001"/>
    <n v="40.592307692307692"/>
  </r>
  <r>
    <n v="67466492"/>
    <x v="3"/>
    <n v="3103"/>
    <d v="2023-02-27T00:00:00"/>
    <x v="8"/>
    <x v="8"/>
    <n v="5.2680000000000001E-3"/>
    <n v="16.346603999999999"/>
    <s v="PS"/>
    <x v="2"/>
    <x v="3"/>
    <s v="Q1"/>
    <n v="130"/>
    <n v="23.869230769230768"/>
    <s v="PG"/>
    <n v="1"/>
    <n v="3103"/>
    <n v="16.346603999999999"/>
    <n v="23.869230769230768"/>
  </r>
  <r>
    <n v="67466492"/>
    <x v="3"/>
    <n v="0"/>
    <d v="2023-02-27T00:00:00"/>
    <x v="8"/>
    <x v="9"/>
    <n v="5.2680000000000001E-3"/>
    <n v="0"/>
    <s v="PS"/>
    <x v="2"/>
    <x v="3"/>
    <s v="Q1"/>
    <n v="130"/>
    <n v="0"/>
    <s v="PG"/>
    <n v="1"/>
    <n v="0"/>
    <n v="0"/>
    <n v="0"/>
  </r>
  <r>
    <n v="67476560"/>
    <x v="3"/>
    <n v="1357"/>
    <d v="2023-02-27T00:00:00"/>
    <x v="10"/>
    <x v="10"/>
    <n v="5.1060000000000003E-3"/>
    <n v="6.9288420000000004"/>
    <s v="PS"/>
    <x v="2"/>
    <x v="3"/>
    <s v="Q1"/>
    <n v="130"/>
    <n v="10.438461538461539"/>
    <s v="PG"/>
    <n v="1"/>
    <n v="1357"/>
    <n v="6.9288420000000004"/>
    <n v="10.438461538461539"/>
  </r>
  <r>
    <n v="67789313"/>
    <x v="5"/>
    <n v="38968"/>
    <d v="2023-02-27T00:00:00"/>
    <x v="169"/>
    <x v="35"/>
    <n v="3.7853439999999999E-3"/>
    <n v="147.507284992"/>
    <s v="BJ"/>
    <x v="2"/>
    <x v="15"/>
    <s v="Q1"/>
    <n v="240"/>
    <n v="162.36666666666667"/>
    <s v="BJ PTS"/>
    <n v="1"/>
    <n v="38968"/>
    <n v="147.507284992"/>
    <n v="162.36666666666667"/>
  </r>
  <r>
    <n v="67825197"/>
    <x v="5"/>
    <n v="0"/>
    <d v="2023-02-27T00:00:00"/>
    <x v="273"/>
    <x v="35"/>
    <n v="9.0848256361922702E-3"/>
    <n v="0"/>
    <s v="BJ"/>
    <x v="2"/>
    <x v="39"/>
    <s v="Q1"/>
    <n v="125"/>
    <n v="0"/>
    <s v="2.4 Gal"/>
    <n v="1"/>
    <n v="0"/>
    <n v="0"/>
    <n v="0"/>
  </r>
  <r>
    <n v="67885716"/>
    <x v="3"/>
    <n v="13212"/>
    <d v="2023-02-27T00:00:00"/>
    <x v="89"/>
    <x v="11"/>
    <n v="8.5199999999999998E-3"/>
    <n v="112.56623999999999"/>
    <s v="BR"/>
    <x v="2"/>
    <x v="6"/>
    <s v="Q1"/>
    <n v="154"/>
    <n v="85.79220779220779"/>
    <s v="48oz"/>
    <n v="1"/>
    <n v="13212"/>
    <n v="112.56623999999999"/>
    <n v="85.79220779220779"/>
  </r>
  <r>
    <n v="67885718"/>
    <x v="2"/>
    <n v="1073"/>
    <d v="2023-02-27T00:00:00"/>
    <x v="48"/>
    <x v="13"/>
    <n v="8.5199999999999998E-3"/>
    <n v="9.1419599999999992"/>
    <s v="BR"/>
    <x v="2"/>
    <x v="2"/>
    <s v="Q1"/>
    <n v="154"/>
    <n v="6.9675324675324672"/>
    <s v="48oz"/>
    <n v="1"/>
    <n v="1073"/>
    <n v="9.1419599999999992"/>
    <n v="6.9675324675324672"/>
  </r>
  <r>
    <n v="67885719"/>
    <x v="2"/>
    <n v="18391"/>
    <d v="2023-02-27T00:00:00"/>
    <x v="11"/>
    <x v="32"/>
    <n v="8.5199999999999998E-3"/>
    <n v="156.69131999999999"/>
    <s v="BR"/>
    <x v="2"/>
    <x v="2"/>
    <s v="Q1"/>
    <n v="154"/>
    <n v="119.42207792207792"/>
    <s v="48oz"/>
    <n v="1"/>
    <n v="18391"/>
    <n v="156.69131999999999"/>
    <n v="119.42207792207792"/>
  </r>
  <r>
    <n v="67885724"/>
    <x v="3"/>
    <n v="0"/>
    <d v="2023-02-27T00:00:00"/>
    <x v="49"/>
    <x v="12"/>
    <n v="8.5199999999999998E-3"/>
    <n v="0"/>
    <s v="BR"/>
    <x v="2"/>
    <x v="6"/>
    <s v="Q1"/>
    <n v="154"/>
    <n v="0"/>
    <s v="48oz"/>
    <n v="1"/>
    <n v="0"/>
    <n v="0"/>
    <n v="0"/>
  </r>
  <r>
    <n v="67901593"/>
    <x v="2"/>
    <n v="0"/>
    <d v="2023-02-27T00:00:00"/>
    <x v="68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27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9313"/>
    <x v="2"/>
    <n v="0"/>
    <d v="2023-02-27T00:00:00"/>
    <x v="121"/>
    <x v="32"/>
    <n v="8.5199999999999998E-3"/>
    <n v="0"/>
    <s v="BR"/>
    <x v="2"/>
    <x v="2"/>
    <s v="Q1"/>
    <n v="154"/>
    <n v="0"/>
    <s v="48oz"/>
    <n v="1"/>
    <n v="0"/>
    <n v="0"/>
    <n v="0"/>
  </r>
  <r>
    <n v="68356102"/>
    <x v="2"/>
    <n v="9603"/>
    <d v="2023-02-27T00:00:00"/>
    <x v="13"/>
    <x v="13"/>
    <n v="8.513999999999999E-3"/>
    <n v="81.759941999999995"/>
    <s v="BR"/>
    <x v="2"/>
    <x v="2"/>
    <s v="Q1"/>
    <n v="154"/>
    <n v="62.357142857142854"/>
    <s v="48oz"/>
    <n v="1"/>
    <n v="9603"/>
    <n v="81.759941999999995"/>
    <n v="62.357142857142854"/>
  </r>
  <r>
    <n v="68414643"/>
    <x v="6"/>
    <n v="5352"/>
    <d v="2023-02-27T00:00:00"/>
    <x v="41"/>
    <x v="0"/>
    <n v="1.419504E-3"/>
    <n v="7.5971854080000005"/>
    <s v="BJ"/>
    <x v="2"/>
    <x v="17"/>
    <s v="Q1"/>
    <n v="238"/>
    <n v="22.487394957983192"/>
    <s v="B&amp;J Dog Treat - Repack"/>
    <n v="1"/>
    <n v="5352"/>
    <n v="7.5971854080000005"/>
    <n v="22.487394957983192"/>
  </r>
  <r>
    <n v="68499787"/>
    <x v="5"/>
    <n v="0"/>
    <d v="2023-02-27T00:00:00"/>
    <x v="274"/>
    <x v="35"/>
    <n v="3.8999999999999998E-3"/>
    <n v="0"/>
    <s v="BJ"/>
    <x v="2"/>
    <x v="39"/>
    <s v="Q1"/>
    <n v="125"/>
    <n v="0"/>
    <s v="2.4 Gal"/>
    <n v="1"/>
    <n v="0"/>
    <n v="0"/>
    <n v="0"/>
  </r>
  <r>
    <n v="68689251"/>
    <x v="3"/>
    <n v="6652"/>
    <d v="2023-02-27T00:00:00"/>
    <x v="17"/>
    <x v="17"/>
    <n v="9.5760000000000012E-3"/>
    <n v="63.699552000000011"/>
    <s v="KL"/>
    <x v="2"/>
    <x v="8"/>
    <s v="Q1"/>
    <n v="132"/>
    <n v="50.393939393939391"/>
    <s v="EDF"/>
    <n v="1"/>
    <n v="6652"/>
    <n v="63.699552000000011"/>
    <n v="50.393939393939391"/>
  </r>
  <r>
    <n v="68689253"/>
    <x v="2"/>
    <n v="4957"/>
    <d v="2023-02-27T00:00:00"/>
    <x v="125"/>
    <x v="18"/>
    <n v="6.0035555555555554E-3"/>
    <n v="29.759624888888887"/>
    <s v="KL"/>
    <x v="2"/>
    <x v="9"/>
    <s v="Q1"/>
    <n v="120"/>
    <n v="41.30833333333333"/>
    <s v="ESS"/>
    <n v="1"/>
    <n v="4957"/>
    <n v="29.759624888888887"/>
    <n v="41.30833333333333"/>
  </r>
  <r>
    <n v="68709233"/>
    <x v="3"/>
    <n v="3376"/>
    <d v="2023-02-27T00:00:00"/>
    <x v="19"/>
    <x v="19"/>
    <n v="8.4960000000000001E-3"/>
    <n v="28.682496"/>
    <s v="KL"/>
    <x v="2"/>
    <x v="8"/>
    <s v="Q1"/>
    <n v="132"/>
    <n v="25.575757575757574"/>
    <s v="EDF"/>
    <n v="1"/>
    <n v="3376"/>
    <n v="28.682496"/>
    <n v="25.575757575757574"/>
  </r>
  <r>
    <n v="68729634"/>
    <x v="2"/>
    <n v="14749"/>
    <d v="2023-02-27T00:00:00"/>
    <x v="92"/>
    <x v="22"/>
    <n v="3.7853439999999999E-3"/>
    <n v="55.830038655999999"/>
    <s v="TA"/>
    <x v="2"/>
    <x v="10"/>
    <s v="Q1"/>
    <n v="255"/>
    <n v="57.839215686274507"/>
    <s v="TALENTI"/>
    <n v="1"/>
    <n v="14749"/>
    <n v="55.830038655999999"/>
    <n v="57.839215686274507"/>
  </r>
  <r>
    <n v="68729679"/>
    <x v="2"/>
    <n v="15509"/>
    <d v="2023-02-27T00:00:00"/>
    <x v="127"/>
    <x v="21"/>
    <n v="3.7853440000000004E-3"/>
    <n v="58.706900096000005"/>
    <s v="TA"/>
    <x v="2"/>
    <x v="10"/>
    <s v="Q1"/>
    <n v="255"/>
    <n v="60.819607843137256"/>
    <s v="TALENTI"/>
    <n v="1"/>
    <n v="15509"/>
    <n v="58.706900096000005"/>
    <n v="60.819607843137256"/>
  </r>
  <r>
    <n v="68737750"/>
    <x v="3"/>
    <n v="0"/>
    <d v="2023-02-27T00:00:00"/>
    <x v="144"/>
    <x v="23"/>
    <n v="8.5199999999999998E-3"/>
    <n v="0"/>
    <s v="BR"/>
    <x v="2"/>
    <x v="6"/>
    <s v="Q1"/>
    <n v="176"/>
    <n v="0"/>
    <s v="48oz"/>
    <n v="1"/>
    <n v="0"/>
    <n v="0"/>
    <n v="0"/>
  </r>
  <r>
    <n v="68737750"/>
    <x v="3"/>
    <n v="0"/>
    <d v="2023-02-27T00:00:00"/>
    <x v="144"/>
    <x v="23"/>
    <n v="8.5199999999999998E-3"/>
    <n v="0"/>
    <s v="BR"/>
    <x v="2"/>
    <x v="6"/>
    <s v="Q1"/>
    <n v="176"/>
    <n v="0"/>
    <s v="48oz"/>
    <n v="1"/>
    <n v="0"/>
    <n v="0"/>
    <n v="0"/>
  </r>
  <r>
    <n v="68737750"/>
    <x v="3"/>
    <n v="16034"/>
    <d v="2023-02-27T00:00:00"/>
    <x v="144"/>
    <x v="23"/>
    <n v="8.5199999999999998E-3"/>
    <n v="136.60968"/>
    <s v="BR"/>
    <x v="2"/>
    <x v="6"/>
    <s v="Q1"/>
    <n v="176"/>
    <n v="91.102272727272734"/>
    <s v="48oz"/>
    <n v="1"/>
    <n v="16034"/>
    <n v="136.60968"/>
    <n v="91.102272727272734"/>
  </r>
  <r>
    <n v="68741714"/>
    <x v="3"/>
    <n v="0"/>
    <d v="2023-02-27T00:00:00"/>
    <x v="24"/>
    <x v="24"/>
    <n v="2.8319999999999999E-3"/>
    <n v="0"/>
    <s v="GH"/>
    <x v="2"/>
    <x v="4"/>
    <s v="Q1"/>
    <n v="225"/>
    <n v="0"/>
    <s v="MBG"/>
    <n v="1"/>
    <n v="0"/>
    <n v="0"/>
    <n v="0"/>
  </r>
  <r>
    <n v="68741714"/>
    <x v="3"/>
    <n v="1441"/>
    <d v="2023-02-27T00:00:00"/>
    <x v="24"/>
    <x v="24"/>
    <n v="2.8319999999999999E-3"/>
    <n v="4.0809119999999997"/>
    <s v="GH"/>
    <x v="2"/>
    <x v="4"/>
    <s v="Q1"/>
    <n v="225"/>
    <n v="6.4044444444444446"/>
    <s v="MBG"/>
    <n v="1"/>
    <n v="1441"/>
    <n v="4.0809119999999997"/>
    <n v="6.4044444444444446"/>
  </r>
  <r>
    <n v="68741742"/>
    <x v="3"/>
    <n v="154"/>
    <d v="2023-02-27T00:00:00"/>
    <x v="25"/>
    <x v="4"/>
    <n v="4.2560000000000002E-3"/>
    <n v="0.65542400000000001"/>
    <s v="GH"/>
    <x v="2"/>
    <x v="4"/>
    <s v="Q1"/>
    <n v="154"/>
    <n v="1"/>
    <s v="MBG"/>
    <n v="1"/>
    <n v="154"/>
    <n v="0.65542400000000001"/>
    <n v="1"/>
  </r>
  <r>
    <n v="68741742"/>
    <x v="2"/>
    <n v="4002"/>
    <d v="2023-02-27T00:00:00"/>
    <x v="25"/>
    <x v="25"/>
    <n v="4.2560000000000002E-3"/>
    <n v="17.032512000000001"/>
    <s v="GH"/>
    <x v="2"/>
    <x v="11"/>
    <s v="Q1"/>
    <n v="154"/>
    <n v="25.987012987012989"/>
    <s v="MBG"/>
    <n v="1"/>
    <n v="4002"/>
    <n v="17.032512000000001"/>
    <n v="25.987012987012989"/>
  </r>
  <r>
    <n v="68746232"/>
    <x v="2"/>
    <n v="0"/>
    <d v="2023-02-27T00:00:00"/>
    <x v="154"/>
    <x v="26"/>
    <n v="9.5879999999999993E-3"/>
    <n v="0"/>
    <s v="KL"/>
    <x v="2"/>
    <x v="12"/>
    <s v="Q1"/>
    <n v="132"/>
    <n v="0"/>
    <s v="EDF"/>
    <n v="1"/>
    <n v="0"/>
    <n v="0"/>
    <n v="0"/>
  </r>
  <r>
    <n v="68852591"/>
    <x v="2"/>
    <n v="0"/>
    <d v="2023-02-27T00:00:00"/>
    <x v="26"/>
    <x v="26"/>
    <n v="8.5199999999999998E-3"/>
    <n v="0"/>
    <s v="KL"/>
    <x v="2"/>
    <x v="12"/>
    <s v="Q1"/>
    <n v="132"/>
    <n v="0"/>
    <s v="EDF"/>
    <n v="1"/>
    <n v="0"/>
    <n v="0"/>
    <n v="0"/>
  </r>
  <r>
    <n v="68852591"/>
    <x v="2"/>
    <n v="76"/>
    <d v="2023-02-27T00:00:00"/>
    <x v="26"/>
    <x v="26"/>
    <n v="8.5199999999999998E-3"/>
    <n v="0.64751999999999998"/>
    <s v="KL"/>
    <x v="2"/>
    <x v="12"/>
    <s v="Q1"/>
    <n v="132"/>
    <n v="0.5757575757575758"/>
    <s v="EDF"/>
    <n v="1"/>
    <n v="76"/>
    <n v="0.64751999999999998"/>
    <n v="0.5757575757575758"/>
  </r>
  <r>
    <n v="68871220"/>
    <x v="0"/>
    <n v="8530"/>
    <d v="2023-02-27T00:00:00"/>
    <x v="156"/>
    <x v="1"/>
    <n v="3.7853439999999999E-3"/>
    <n v="32.288984319999997"/>
    <s v="BR"/>
    <x v="2"/>
    <x v="38"/>
    <s v="Q1"/>
    <n v="240"/>
    <n v="35.541666666666664"/>
    <s v="PTS"/>
    <n v="1"/>
    <n v="8530"/>
    <n v="32.288984319999997"/>
    <n v="35.541666666666664"/>
  </r>
  <r>
    <n v="68896054"/>
    <x v="2"/>
    <n v="8048"/>
    <d v="2023-02-27T00:00:00"/>
    <x v="181"/>
    <x v="2"/>
    <n v="8.5199999999999998E-3"/>
    <n v="68.568960000000004"/>
    <s v="BR"/>
    <x v="2"/>
    <x v="2"/>
    <s v="Q1"/>
    <n v="176"/>
    <n v="45.727272727272727"/>
    <s v="48oz"/>
    <n v="1"/>
    <n v="8048"/>
    <n v="68.568960000000004"/>
    <n v="45.727272727272727"/>
  </r>
  <r>
    <n v="68921994"/>
    <x v="3"/>
    <n v="6019"/>
    <d v="2023-02-27T00:00:00"/>
    <x v="258"/>
    <x v="20"/>
    <n v="9.5879999999999993E-3"/>
    <n v="57.710171999999993"/>
    <s v="KL"/>
    <x v="2"/>
    <x v="8"/>
    <s v="Q1"/>
    <n v="132"/>
    <n v="45.598484848484851"/>
    <s v="EDF"/>
    <n v="1"/>
    <n v="6019"/>
    <n v="57.710171999999993"/>
    <n v="45.598484848484851"/>
  </r>
  <r>
    <n v="68930545"/>
    <x v="3"/>
    <n v="2868"/>
    <d v="2023-02-27T00:00:00"/>
    <x v="93"/>
    <x v="12"/>
    <n v="8.5199999999999998E-3"/>
    <n v="24.435359999999999"/>
    <s v="BR"/>
    <x v="2"/>
    <x v="6"/>
    <s v="Q1"/>
    <n v="176"/>
    <n v="16.295454545454547"/>
    <s v="48oz"/>
    <n v="1"/>
    <n v="2868"/>
    <n v="24.435359999999999"/>
    <n v="16.295454545454547"/>
  </r>
  <r>
    <n v="69549032"/>
    <x v="3"/>
    <n v="6461"/>
    <d v="2023-02-27T00:00:00"/>
    <x v="79"/>
    <x v="36"/>
    <n v="2.3469132803553457E-3"/>
    <n v="15.163406704375888"/>
    <s v="GH"/>
    <x v="2"/>
    <x v="28"/>
    <s v="Q1"/>
    <n v="350"/>
    <n v="18.46"/>
    <s v="EFW"/>
    <n v="1"/>
    <n v="6461"/>
    <n v="15.163406704375888"/>
    <n v="18.46"/>
  </r>
  <r>
    <n v="69555090"/>
    <x v="2"/>
    <n v="7721"/>
    <d v="2023-02-27T00:00:00"/>
    <x v="254"/>
    <x v="14"/>
    <n v="1.98E-3"/>
    <n v="15.28758"/>
    <s v="TA"/>
    <x v="2"/>
    <x v="42"/>
    <s v="Q1"/>
    <n v="176"/>
    <n v="43.86931818181818"/>
    <s v="TAL NV"/>
    <n v="1"/>
    <n v="7721"/>
    <n v="15.28758"/>
    <n v="43.86931818181818"/>
  </r>
  <r>
    <n v="69556602"/>
    <x v="4"/>
    <n v="2400"/>
    <d v="2023-02-27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7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72544"/>
    <x v="2"/>
    <n v="0"/>
    <d v="2023-02-27T00:00:00"/>
    <x v="171"/>
    <x v="14"/>
    <n v="1.9740000000000001E-3"/>
    <n v="0"/>
    <s v="MG"/>
    <x v="2"/>
    <x v="5"/>
    <s v="Q1"/>
    <n v="176"/>
    <n v="0"/>
    <s v="MG Sticks"/>
    <n v="1"/>
    <n v="0"/>
    <n v="0"/>
    <n v="0"/>
  </r>
  <r>
    <n v="69621212"/>
    <x v="2"/>
    <n v="5366"/>
    <d v="2023-02-27T00:00:00"/>
    <x v="29"/>
    <x v="28"/>
    <n v="5.2680000000000001E-3"/>
    <n v="28.268088000000002"/>
    <s v="PG"/>
    <x v="2"/>
    <x v="14"/>
    <s v="Q1"/>
    <n v="130"/>
    <n v="41.276923076923076"/>
    <s v="PG"/>
    <n v="1"/>
    <n v="5366"/>
    <n v="28.268088000000002"/>
    <n v="41.276923076923076"/>
  </r>
  <r>
    <n v="69628686"/>
    <x v="4"/>
    <n v="2400"/>
    <d v="2023-02-27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71641"/>
    <x v="3"/>
    <n v="0"/>
    <d v="2023-02-27T00:00:00"/>
    <x v="260"/>
    <x v="4"/>
    <n v="3.9039999999999999E-3"/>
    <n v="0"/>
    <s v="GH"/>
    <x v="2"/>
    <x v="4"/>
    <s v="Q1"/>
    <n v="154"/>
    <n v="0"/>
    <s v="MBG"/>
    <n v="1"/>
    <n v="0"/>
    <n v="0"/>
    <n v="0"/>
  </r>
  <r>
    <n v="69671641"/>
    <x v="3"/>
    <n v="815"/>
    <d v="2023-02-27T00:00:00"/>
    <x v="260"/>
    <x v="4"/>
    <n v="3.9039999999999999E-3"/>
    <n v="3.1817600000000001"/>
    <s v="GH"/>
    <x v="2"/>
    <x v="4"/>
    <s v="Q1"/>
    <n v="154"/>
    <n v="5.2922077922077921"/>
    <s v="MBG"/>
    <n v="1"/>
    <n v="815"/>
    <n v="3.1817600000000001"/>
    <n v="5.2922077922077921"/>
  </r>
  <r>
    <n v="69671652"/>
    <x v="3"/>
    <n v="309"/>
    <d v="2023-02-27T00:00:00"/>
    <x v="197"/>
    <x v="24"/>
    <n v="2.8319999999999999E-3"/>
    <n v="0.87508799999999998"/>
    <s v="GH"/>
    <x v="2"/>
    <x v="4"/>
    <s v="Q1"/>
    <n v="225"/>
    <n v="1.3733333333333333"/>
    <s v="MBG"/>
    <n v="1"/>
    <n v="309"/>
    <n v="0.87508799999999998"/>
    <n v="1.3733333333333333"/>
  </r>
  <r>
    <n v="69677917"/>
    <x v="3"/>
    <n v="2009"/>
    <d v="2023-02-27T00:00:00"/>
    <x v="30"/>
    <x v="29"/>
    <n v="5.2680000000000001E-3"/>
    <n v="10.583412000000001"/>
    <s v="PS"/>
    <x v="2"/>
    <x v="3"/>
    <s v="Q1"/>
    <n v="108"/>
    <n v="18.601851851851851"/>
    <s v="PG"/>
    <n v="1"/>
    <n v="2009"/>
    <n v="10.583412000000001"/>
    <n v="18.601851851851851"/>
  </r>
  <r>
    <n v="69677917"/>
    <x v="2"/>
    <n v="4842"/>
    <d v="2023-02-27T00:00:00"/>
    <x v="30"/>
    <x v="30"/>
    <n v="5.2680000000000001E-3"/>
    <n v="25.507656000000001"/>
    <s v="PS"/>
    <x v="2"/>
    <x v="14"/>
    <s v="Q1"/>
    <n v="108"/>
    <n v="44.833333333333336"/>
    <s v="PG"/>
    <n v="1"/>
    <n v="4842"/>
    <n v="25.507656000000001"/>
    <n v="44.833333333333336"/>
  </r>
  <r>
    <n v="69684522"/>
    <x v="2"/>
    <n v="6984"/>
    <d v="2023-02-27T00:00:00"/>
    <x v="31"/>
    <x v="31"/>
    <n v="4.2560000000000002E-3"/>
    <n v="29.723904000000001"/>
    <s v="BR"/>
    <x v="2"/>
    <x v="5"/>
    <s v="Q1"/>
    <n v="143"/>
    <n v="48.83916083916084"/>
    <s v="MG Sticks"/>
    <n v="1"/>
    <n v="6984"/>
    <n v="29.723904000000001"/>
    <n v="48.83916083916084"/>
  </r>
  <r>
    <n v="69706147"/>
    <x v="2"/>
    <n v="0"/>
    <d v="2023-02-27T00:00:00"/>
    <x v="195"/>
    <x v="31"/>
    <n v="3.8999999999999998E-3"/>
    <n v="0"/>
    <s v="TA"/>
    <x v="2"/>
    <x v="42"/>
    <s v="Q1"/>
    <n v="176"/>
    <n v="0"/>
    <s v="TAL NV"/>
    <n v="1"/>
    <n v="0"/>
    <n v="0"/>
    <n v="0"/>
  </r>
  <r>
    <n v="84136704"/>
    <x v="5"/>
    <n v="40165"/>
    <d v="2023-02-27T00:00:00"/>
    <x v="223"/>
    <x v="38"/>
    <n v="3.7853439999999999E-3"/>
    <n v="152.03834176000001"/>
    <s v="BJ"/>
    <x v="2"/>
    <x v="15"/>
    <s v="Q1"/>
    <n v="240"/>
    <n v="167.35416666666666"/>
    <s v="BJ PTS"/>
    <n v="1"/>
    <n v="40165"/>
    <n v="152.03834176000001"/>
    <n v="167.35416666666666"/>
  </r>
  <r>
    <n v="84141101"/>
    <x v="5"/>
    <n v="0"/>
    <d v="2023-02-27T00:00:00"/>
    <x v="86"/>
    <x v="33"/>
    <n v="3.7853439999999999E-3"/>
    <n v="0"/>
    <s v="BJ"/>
    <x v="2"/>
    <x v="15"/>
    <s v="Q1"/>
    <n v="240"/>
    <n v="0"/>
    <s v="BJ PTS"/>
    <n v="1"/>
    <n v="0"/>
    <n v="0"/>
    <n v="0"/>
  </r>
  <r>
    <n v="84164936"/>
    <x v="2"/>
    <n v="9894"/>
    <d v="2023-02-27T00:00:00"/>
    <x v="162"/>
    <x v="15"/>
    <n v="3.7853439999999999E-3"/>
    <n v="37.452193536000003"/>
    <s v="BJ"/>
    <x v="2"/>
    <x v="30"/>
    <s v="Q1"/>
    <n v="240"/>
    <n v="41.225000000000001"/>
    <s v="BJ PTS"/>
    <n v="1"/>
    <n v="9894"/>
    <n v="37.452193536000003"/>
    <n v="41.225000000000001"/>
  </r>
  <r>
    <n v="84167442"/>
    <x v="5"/>
    <n v="9341"/>
    <d v="2023-02-27T00:00:00"/>
    <x v="272"/>
    <x v="35"/>
    <n v="3.7853439999999999E-3"/>
    <n v="35.358898304"/>
    <s v="BJ"/>
    <x v="2"/>
    <x v="15"/>
    <s v="Q1"/>
    <n v="240"/>
    <n v="38.920833333333334"/>
    <s v="BJ PTS"/>
    <n v="1"/>
    <n v="9341"/>
    <n v="35.358898304"/>
    <n v="38.920833333333334"/>
  </r>
  <r>
    <n v="67309843"/>
    <x v="3"/>
    <n v="5092"/>
    <d v="2023-02-28T00:00:00"/>
    <x v="88"/>
    <x v="16"/>
    <n v="8.5199999999999998E-3"/>
    <n v="43.383839999999999"/>
    <s v="BR"/>
    <x v="2"/>
    <x v="6"/>
    <s v="Q1"/>
    <n v="154"/>
    <n v="33.064935064935064"/>
    <s v="48oz"/>
    <n v="1"/>
    <n v="5092"/>
    <n v="43.383839999999999"/>
    <n v="33.064935064935064"/>
  </r>
  <r>
    <n v="67465063"/>
    <x v="3"/>
    <n v="4274"/>
    <d v="2023-02-28T00:00:00"/>
    <x v="3"/>
    <x v="6"/>
    <n v="5.2680000000000001E-3"/>
    <n v="22.515432000000001"/>
    <s v="PS"/>
    <x v="2"/>
    <x v="3"/>
    <s v="Q1"/>
    <n v="130"/>
    <n v="32.876923076923077"/>
    <s v="PG"/>
    <n v="1"/>
    <n v="4274"/>
    <n v="22.515432000000001"/>
    <n v="32.876923076923077"/>
  </r>
  <r>
    <n v="67465063"/>
    <x v="3"/>
    <n v="248"/>
    <d v="2023-02-28T00:00:00"/>
    <x v="3"/>
    <x v="40"/>
    <n v="5.2680000000000001E-3"/>
    <n v="1.3064640000000001"/>
    <s v="PS"/>
    <x v="2"/>
    <x v="3"/>
    <s v="Q1"/>
    <n v="130"/>
    <n v="1.9076923076923078"/>
    <s v="PG"/>
    <n v="1"/>
    <n v="248"/>
    <n v="1.3064640000000001"/>
    <n v="1.9076923076923078"/>
  </r>
  <r>
    <n v="67465063"/>
    <x v="3"/>
    <n v="0"/>
    <d v="2023-02-28T00:00:00"/>
    <x v="3"/>
    <x v="3"/>
    <n v="5.2680000000000001E-3"/>
    <n v="0"/>
    <s v="PS"/>
    <x v="2"/>
    <x v="3"/>
    <s v="Q1"/>
    <n v="130"/>
    <n v="0"/>
    <s v="PG"/>
    <n v="1"/>
    <n v="0"/>
    <n v="0"/>
    <n v="0"/>
  </r>
  <r>
    <n v="67465064"/>
    <x v="3"/>
    <n v="1971"/>
    <d v="2023-02-28T00:00:00"/>
    <x v="7"/>
    <x v="3"/>
    <n v="1.596E-3"/>
    <n v="3.1457160000000002"/>
    <s v="PS"/>
    <x v="2"/>
    <x v="3"/>
    <s v="Q1"/>
    <n v="130"/>
    <n v="15.161538461538461"/>
    <s v="PG"/>
    <n v="1"/>
    <n v="1971"/>
    <n v="3.1457160000000002"/>
    <n v="15.161538461538461"/>
  </r>
  <r>
    <n v="67466492"/>
    <x v="3"/>
    <n v="2567"/>
    <d v="2023-02-28T00:00:00"/>
    <x v="8"/>
    <x v="7"/>
    <n v="5.2680000000000001E-3"/>
    <n v="13.522956000000001"/>
    <s v="PS"/>
    <x v="2"/>
    <x v="3"/>
    <s v="Q1"/>
    <n v="130"/>
    <n v="19.746153846153845"/>
    <s v="PG"/>
    <n v="1"/>
    <n v="2567"/>
    <n v="13.522956000000001"/>
    <n v="19.746153846153845"/>
  </r>
  <r>
    <n v="67466492"/>
    <x v="3"/>
    <n v="4270"/>
    <d v="2023-02-28T00:00:00"/>
    <x v="8"/>
    <x v="8"/>
    <n v="5.2680000000000001E-3"/>
    <n v="22.49436"/>
    <s v="PS"/>
    <x v="2"/>
    <x v="3"/>
    <s v="Q1"/>
    <n v="130"/>
    <n v="32.846153846153847"/>
    <s v="PG"/>
    <n v="1"/>
    <n v="4270"/>
    <n v="22.49436"/>
    <n v="32.846153846153847"/>
  </r>
  <r>
    <n v="67466492"/>
    <x v="3"/>
    <n v="0"/>
    <d v="2023-02-28T00:00:00"/>
    <x v="8"/>
    <x v="9"/>
    <n v="5.2680000000000001E-3"/>
    <n v="0"/>
    <s v="PS"/>
    <x v="2"/>
    <x v="3"/>
    <s v="Q1"/>
    <n v="130"/>
    <n v="0"/>
    <s v="PG"/>
    <n v="1"/>
    <n v="0"/>
    <n v="0"/>
    <n v="0"/>
  </r>
  <r>
    <n v="67476560"/>
    <x v="3"/>
    <n v="1666"/>
    <d v="2023-02-28T00:00:00"/>
    <x v="10"/>
    <x v="10"/>
    <n v="5.1060000000000003E-3"/>
    <n v="8.506596"/>
    <s v="PS"/>
    <x v="2"/>
    <x v="3"/>
    <s v="Q1"/>
    <n v="130"/>
    <n v="12.815384615384616"/>
    <s v="PG"/>
    <n v="1"/>
    <n v="1666"/>
    <n v="8.506596"/>
    <n v="12.815384615384616"/>
  </r>
  <r>
    <n v="67881629"/>
    <x v="5"/>
    <n v="22578"/>
    <d v="2023-02-28T00:00:00"/>
    <x v="65"/>
    <x v="33"/>
    <n v="3.7853439999999999E-3"/>
    <n v="85.465496831999999"/>
    <s v="BJ"/>
    <x v="2"/>
    <x v="15"/>
    <s v="Q1"/>
    <n v="240"/>
    <n v="94.075000000000003"/>
    <s v="BJ PTS"/>
    <n v="1"/>
    <n v="22578"/>
    <n v="85.465496831999999"/>
    <n v="94.075000000000003"/>
  </r>
  <r>
    <n v="67885716"/>
    <x v="3"/>
    <n v="8289"/>
    <d v="2023-02-28T00:00:00"/>
    <x v="89"/>
    <x v="11"/>
    <n v="8.5199999999999998E-3"/>
    <n v="70.622280000000003"/>
    <s v="BR"/>
    <x v="2"/>
    <x v="6"/>
    <s v="Q1"/>
    <n v="154"/>
    <n v="53.824675324675326"/>
    <s v="48oz"/>
    <n v="1"/>
    <n v="8289"/>
    <n v="70.622280000000003"/>
    <n v="53.824675324675326"/>
  </r>
  <r>
    <n v="67885719"/>
    <x v="2"/>
    <n v="0"/>
    <d v="2023-02-28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885719"/>
    <x v="2"/>
    <n v="0"/>
    <d v="2023-02-28T00:00:00"/>
    <x v="11"/>
    <x v="32"/>
    <n v="8.5199999999999998E-3"/>
    <n v="0"/>
    <s v="BR"/>
    <x v="2"/>
    <x v="2"/>
    <s v="Q1"/>
    <n v="154"/>
    <n v="0"/>
    <s v="48oz"/>
    <n v="1"/>
    <n v="0"/>
    <n v="0"/>
    <n v="0"/>
  </r>
  <r>
    <n v="67908208"/>
    <x v="2"/>
    <n v="0"/>
    <d v="2023-02-28T00:00:00"/>
    <x v="225"/>
    <x v="25"/>
    <n v="3.9039999999999999E-3"/>
    <n v="0"/>
    <s v="GH"/>
    <x v="2"/>
    <x v="11"/>
    <s v="Q1"/>
    <n v="154"/>
    <n v="0"/>
    <s v="MBG"/>
    <n v="1"/>
    <n v="0"/>
    <n v="0"/>
    <n v="0"/>
  </r>
  <r>
    <n v="68309313"/>
    <x v="2"/>
    <n v="23456"/>
    <d v="2023-02-28T00:00:00"/>
    <x v="121"/>
    <x v="32"/>
    <n v="8.5199999999999998E-3"/>
    <n v="199.84512000000001"/>
    <s v="BR"/>
    <x v="2"/>
    <x v="2"/>
    <s v="Q1"/>
    <n v="154"/>
    <n v="152.3116883116883"/>
    <s v="48oz"/>
    <n v="1"/>
    <n v="23456"/>
    <n v="199.84512000000001"/>
    <n v="152.3116883116883"/>
  </r>
  <r>
    <n v="68356102"/>
    <x v="2"/>
    <n v="15400"/>
    <d v="2023-02-28T00:00:00"/>
    <x v="13"/>
    <x v="13"/>
    <n v="8.513999999999999E-3"/>
    <n v="131.11559999999997"/>
    <s v="BR"/>
    <x v="2"/>
    <x v="2"/>
    <s v="Q1"/>
    <n v="154"/>
    <n v="100"/>
    <s v="48oz"/>
    <n v="1"/>
    <n v="15400"/>
    <n v="131.11559999999997"/>
    <n v="100"/>
  </r>
  <r>
    <n v="68414647"/>
    <x v="6"/>
    <n v="2802"/>
    <d v="2023-02-28T00:00:00"/>
    <x v="90"/>
    <x v="0"/>
    <n v="1.419504E-3"/>
    <n v="3.977450208"/>
    <s v="BJ"/>
    <x v="2"/>
    <x v="17"/>
    <s v="Q1"/>
    <n v="238"/>
    <n v="11.77310924369748"/>
    <s v="B&amp;J Dog Treat - Repack"/>
    <n v="1"/>
    <n v="2802"/>
    <n v="3.977450208"/>
    <n v="11.77310924369748"/>
  </r>
  <r>
    <n v="68521425"/>
    <x v="0"/>
    <m/>
    <d v="2023-02-28T00:00:00"/>
    <x v="0"/>
    <x v="0"/>
    <n v="4.248E-3"/>
    <n v="0"/>
    <s v="GH"/>
    <x v="2"/>
    <x v="0"/>
    <s v="Q1"/>
    <n v="216"/>
    <n v="0"/>
    <s v="Giant SW"/>
    <n v="1"/>
    <n v="0"/>
    <n v="0"/>
    <n v="0"/>
  </r>
  <r>
    <n v="68654233"/>
    <x v="5"/>
    <n v="26775"/>
    <d v="2023-02-28T00:00:00"/>
    <x v="102"/>
    <x v="35"/>
    <n v="3.7853439999999999E-3"/>
    <n v="101.3525856"/>
    <s v="BJ"/>
    <x v="2"/>
    <x v="15"/>
    <s v="Q1"/>
    <n v="240"/>
    <n v="111.5625"/>
    <s v="BJ PTS"/>
    <n v="1"/>
    <n v="26775"/>
    <n v="101.3525856"/>
    <n v="111.5625"/>
  </r>
  <r>
    <n v="68689251"/>
    <x v="3"/>
    <n v="6212"/>
    <d v="2023-02-28T00:00:00"/>
    <x v="17"/>
    <x v="17"/>
    <n v="9.5760000000000012E-3"/>
    <n v="59.486112000000006"/>
    <s v="KL"/>
    <x v="2"/>
    <x v="8"/>
    <s v="Q1"/>
    <n v="132"/>
    <n v="47.060606060606062"/>
    <s v="EDF"/>
    <n v="1"/>
    <n v="6212"/>
    <n v="59.486112000000006"/>
    <n v="47.060606060606062"/>
  </r>
  <r>
    <n v="68689253"/>
    <x v="2"/>
    <n v="5952"/>
    <d v="2023-02-28T00:00:00"/>
    <x v="125"/>
    <x v="18"/>
    <n v="6.0035555555555554E-3"/>
    <n v="35.733162666666665"/>
    <s v="KL"/>
    <x v="2"/>
    <x v="9"/>
    <s v="Q1"/>
    <n v="120"/>
    <n v="49.6"/>
    <s v="ESS"/>
    <n v="1"/>
    <n v="5952"/>
    <n v="35.733162666666665"/>
    <n v="49.6"/>
  </r>
  <r>
    <n v="68709233"/>
    <x v="3"/>
    <n v="5744"/>
    <d v="2023-02-28T00:00:00"/>
    <x v="19"/>
    <x v="19"/>
    <n v="8.4960000000000001E-3"/>
    <n v="48.801023999999998"/>
    <s v="KL"/>
    <x v="2"/>
    <x v="8"/>
    <s v="Q1"/>
    <n v="132"/>
    <n v="43.515151515151516"/>
    <s v="EDF"/>
    <n v="1"/>
    <n v="5744"/>
    <n v="48.801023999999998"/>
    <n v="43.515151515151516"/>
  </r>
  <r>
    <n v="68729634"/>
    <x v="2"/>
    <n v="6385"/>
    <d v="2023-02-28T00:00:00"/>
    <x v="92"/>
    <x v="22"/>
    <n v="3.7853439999999999E-3"/>
    <n v="24.169421440000001"/>
    <s v="TA"/>
    <x v="2"/>
    <x v="10"/>
    <s v="Q1"/>
    <n v="255"/>
    <n v="25.03921568627451"/>
    <s v="TALENTI"/>
    <n v="1"/>
    <n v="6385"/>
    <n v="24.169421440000001"/>
    <n v="25.03921568627451"/>
  </r>
  <r>
    <n v="68729679"/>
    <x v="2"/>
    <n v="20202"/>
    <d v="2023-02-28T00:00:00"/>
    <x v="127"/>
    <x v="21"/>
    <n v="3.7853440000000004E-3"/>
    <n v="76.471519488000013"/>
    <s v="TA"/>
    <x v="2"/>
    <x v="10"/>
    <s v="Q1"/>
    <n v="255"/>
    <n v="79.223529411764702"/>
    <s v="TALENTI"/>
    <n v="1"/>
    <n v="20202"/>
    <n v="76.471519488000013"/>
    <n v="79.223529411764702"/>
  </r>
  <r>
    <n v="68737750"/>
    <x v="3"/>
    <n v="11695"/>
    <d v="2023-02-28T00:00:00"/>
    <x v="144"/>
    <x v="23"/>
    <n v="8.5199999999999998E-3"/>
    <n v="99.641400000000004"/>
    <s v="BR"/>
    <x v="2"/>
    <x v="6"/>
    <s v="Q1"/>
    <n v="176"/>
    <n v="66.44886363636364"/>
    <s v="48oz"/>
    <n v="1"/>
    <n v="11695"/>
    <n v="99.641400000000004"/>
    <n v="66.44886363636364"/>
  </r>
  <r>
    <n v="68737750"/>
    <x v="3"/>
    <n v="0"/>
    <d v="2023-02-28T00:00:00"/>
    <x v="144"/>
    <x v="23"/>
    <n v="8.5199999999999998E-3"/>
    <n v="0"/>
    <s v="BR"/>
    <x v="2"/>
    <x v="6"/>
    <s v="Q1"/>
    <n v="176"/>
    <n v="0"/>
    <s v="48oz"/>
    <n v="1"/>
    <n v="0"/>
    <n v="0"/>
    <n v="0"/>
  </r>
  <r>
    <n v="68741714"/>
    <x v="3"/>
    <n v="0"/>
    <d v="2023-02-28T00:00:00"/>
    <x v="24"/>
    <x v="24"/>
    <n v="2.8319999999999999E-3"/>
    <n v="0"/>
    <s v="GH"/>
    <x v="2"/>
    <x v="4"/>
    <s v="Q1"/>
    <n v="225"/>
    <n v="0"/>
    <s v="MBG"/>
    <n v="1"/>
    <n v="0"/>
    <n v="0"/>
    <n v="0"/>
  </r>
  <r>
    <n v="68741742"/>
    <x v="3"/>
    <n v="2191"/>
    <d v="2023-02-28T00:00:00"/>
    <x v="25"/>
    <x v="4"/>
    <n v="4.2560000000000002E-3"/>
    <n v="9.3248960000000007"/>
    <s v="GH"/>
    <x v="2"/>
    <x v="4"/>
    <s v="Q1"/>
    <n v="154"/>
    <n v="14.227272727272727"/>
    <s v="MBG"/>
    <n v="1"/>
    <n v="2191"/>
    <n v="9.3248960000000007"/>
    <n v="14.227272727272727"/>
  </r>
  <r>
    <n v="68741742"/>
    <x v="2"/>
    <n v="3248"/>
    <d v="2023-02-28T00:00:00"/>
    <x v="25"/>
    <x v="25"/>
    <n v="4.2560000000000002E-3"/>
    <n v="13.823488000000001"/>
    <s v="GH"/>
    <x v="2"/>
    <x v="11"/>
    <s v="Q1"/>
    <n v="154"/>
    <n v="21.09090909090909"/>
    <s v="MBG"/>
    <n v="1"/>
    <n v="3248"/>
    <n v="13.823488000000001"/>
    <n v="21.09090909090909"/>
  </r>
  <r>
    <n v="68746232"/>
    <x v="2"/>
    <n v="49"/>
    <d v="2023-02-28T00:00:00"/>
    <x v="154"/>
    <x v="26"/>
    <n v="9.5879999999999993E-3"/>
    <n v="0.46981199999999995"/>
    <s v="KL"/>
    <x v="2"/>
    <x v="12"/>
    <s v="Q1"/>
    <n v="132"/>
    <n v="0.37121212121212122"/>
    <s v="EDF"/>
    <n v="1"/>
    <n v="49"/>
    <n v="0.46981199999999995"/>
    <n v="0.37121212121212122"/>
  </r>
  <r>
    <n v="68852591"/>
    <x v="2"/>
    <n v="0"/>
    <d v="2023-02-28T00:00:00"/>
    <x v="26"/>
    <x v="26"/>
    <n v="8.5199999999999998E-3"/>
    <n v="0"/>
    <s v="KL"/>
    <x v="2"/>
    <x v="12"/>
    <s v="Q1"/>
    <n v="132"/>
    <n v="0"/>
    <s v="EDF"/>
    <n v="1"/>
    <n v="0"/>
    <n v="0"/>
    <n v="0"/>
  </r>
  <r>
    <n v="68896052"/>
    <x v="2"/>
    <n v="0"/>
    <d v="2023-02-28T00:00:00"/>
    <x v="36"/>
    <x v="13"/>
    <n v="8.5199999999999998E-3"/>
    <n v="0"/>
    <s v="BR"/>
    <x v="2"/>
    <x v="2"/>
    <s v="Q1"/>
    <n v="176"/>
    <n v="0"/>
    <s v="48oz"/>
    <n v="1"/>
    <n v="0"/>
    <n v="0"/>
    <n v="0"/>
  </r>
  <r>
    <n v="68896054"/>
    <x v="2"/>
    <n v="10808"/>
    <d v="2023-02-28T00:00:00"/>
    <x v="181"/>
    <x v="2"/>
    <n v="8.5199999999999998E-3"/>
    <n v="92.084159999999997"/>
    <s v="BR"/>
    <x v="2"/>
    <x v="2"/>
    <s v="Q1"/>
    <n v="176"/>
    <n v="61.409090909090907"/>
    <s v="48oz"/>
    <n v="1"/>
    <n v="10808"/>
    <n v="92.084159999999997"/>
    <n v="61.409090909090907"/>
  </r>
  <r>
    <n v="68899825"/>
    <x v="3"/>
    <n v="7923"/>
    <d v="2023-02-28T00:00:00"/>
    <x v="77"/>
    <x v="16"/>
    <n v="8.5199999999999998E-3"/>
    <n v="67.503959999999992"/>
    <s v="BR"/>
    <x v="2"/>
    <x v="6"/>
    <s v="Q1"/>
    <n v="176"/>
    <n v="45.017045454545453"/>
    <s v="48oz"/>
    <n v="1"/>
    <n v="7923"/>
    <n v="67.503959999999992"/>
    <n v="45.017045454545453"/>
  </r>
  <r>
    <n v="68919011"/>
    <x v="0"/>
    <n v="84"/>
    <d v="2023-02-28T00:00:00"/>
    <x v="247"/>
    <x v="1"/>
    <n v="3.7839999999999996E-3"/>
    <n v="0.31785599999999997"/>
    <s v="BR"/>
    <x v="2"/>
    <x v="38"/>
    <s v="Q1"/>
    <n v="240"/>
    <n v="0.35"/>
    <s v="PTS"/>
    <n v="1"/>
    <n v="84"/>
    <n v="0.31785599999999997"/>
    <n v="0.35"/>
  </r>
  <r>
    <n v="68921994"/>
    <x v="3"/>
    <n v="3829"/>
    <d v="2023-02-28T00:00:00"/>
    <x v="258"/>
    <x v="20"/>
    <n v="9.5879999999999993E-3"/>
    <n v="36.712451999999999"/>
    <s v="KL"/>
    <x v="2"/>
    <x v="8"/>
    <s v="Q1"/>
    <n v="132"/>
    <n v="29.007575757575758"/>
    <s v="EDF"/>
    <n v="1"/>
    <n v="3829"/>
    <n v="36.712451999999999"/>
    <n v="29.007575757575758"/>
  </r>
  <r>
    <n v="68930545"/>
    <x v="3"/>
    <n v="6566"/>
    <d v="2023-02-28T00:00:00"/>
    <x v="93"/>
    <x v="12"/>
    <n v="8.5199999999999998E-3"/>
    <n v="55.942319999999995"/>
    <s v="BR"/>
    <x v="2"/>
    <x v="6"/>
    <s v="Q1"/>
    <n v="176"/>
    <n v="37.30681818181818"/>
    <s v="48oz"/>
    <n v="1"/>
    <n v="6566"/>
    <n v="55.942319999999995"/>
    <n v="37.30681818181818"/>
  </r>
  <r>
    <n v="68940228"/>
    <x v="5"/>
    <n v="27426"/>
    <d v="2023-02-28T00:00:00"/>
    <x v="105"/>
    <x v="35"/>
    <n v="3.7839999999999996E-3"/>
    <n v="103.77998399999998"/>
    <s v="BJ"/>
    <x v="2"/>
    <x v="15"/>
    <s v="Q1"/>
    <n v="240"/>
    <n v="114.27500000000001"/>
    <s v="BJ PTS"/>
    <n v="1"/>
    <n v="27426"/>
    <n v="103.77998399999998"/>
    <n v="114.27500000000001"/>
  </r>
  <r>
    <n v="69549032"/>
    <x v="3"/>
    <n v="9727"/>
    <d v="2023-02-28T00:00:00"/>
    <x v="79"/>
    <x v="36"/>
    <n v="2.3469132803553457E-3"/>
    <n v="22.828425478016449"/>
    <s v="GH"/>
    <x v="2"/>
    <x v="28"/>
    <s v="Q1"/>
    <n v="350"/>
    <n v="27.791428571428572"/>
    <s v="EFW"/>
    <n v="1"/>
    <n v="9727"/>
    <n v="22.828425478016449"/>
    <n v="27.791428571428572"/>
  </r>
  <r>
    <n v="69555090"/>
    <x v="2"/>
    <n v="14005"/>
    <d v="2023-02-28T00:00:00"/>
    <x v="254"/>
    <x v="14"/>
    <n v="1.98E-3"/>
    <n v="27.729900000000001"/>
    <s v="TA"/>
    <x v="2"/>
    <x v="42"/>
    <s v="Q1"/>
    <n v="176"/>
    <n v="79.57386363636364"/>
    <s v="TAL NV"/>
    <n v="1"/>
    <n v="14005"/>
    <n v="27.729900000000001"/>
    <n v="79.57386363636364"/>
  </r>
  <r>
    <n v="69556602"/>
    <x v="4"/>
    <n v="2400"/>
    <d v="2023-02-28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8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6602"/>
    <x v="4"/>
    <n v="2400"/>
    <d v="2023-02-28T00:00:00"/>
    <x v="165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557443"/>
    <x v="4"/>
    <n v="707"/>
    <d v="2023-02-28T00:00:00"/>
    <x v="28"/>
    <x v="0"/>
    <n v="5.3220000000000003E-3"/>
    <n v="3.7626540000000004"/>
    <s v="KL"/>
    <x v="2"/>
    <x v="13"/>
    <s v="Q1"/>
    <n v="120"/>
    <n v="5.8916666666666666"/>
    <s v="KL Mini Cones"/>
    <n v="1"/>
    <n v="707"/>
    <n v="3.7626540000000004"/>
    <n v="5.8916666666666666"/>
  </r>
  <r>
    <n v="69557443"/>
    <x v="4"/>
    <n v="0.40699999999999997"/>
    <d v="2023-02-28T00:00:00"/>
    <x v="28"/>
    <x v="0"/>
    <n v="5.3220000000000003E-3"/>
    <n v="2.1660540000000002E-3"/>
    <s v="KL"/>
    <x v="2"/>
    <x v="13"/>
    <s v="Q1"/>
    <n v="120"/>
    <n v="3.3916666666666665E-3"/>
    <s v="KL Mini Cones"/>
    <n v="1"/>
    <n v="0.40699999999999997"/>
    <n v="2.1660540000000002E-3"/>
    <n v="3.3916666666666665E-3"/>
  </r>
  <r>
    <n v="69568970"/>
    <x v="5"/>
    <n v="4036"/>
    <d v="2023-02-28T00:00:00"/>
    <x v="275"/>
    <x v="35"/>
    <n v="9.0850000000000011E-3"/>
    <n v="36.667060000000006"/>
    <s v="BJ"/>
    <x v="2"/>
    <x v="39"/>
    <s v="Q1"/>
    <n v="125"/>
    <n v="32.287999999999997"/>
    <s v="2.4 Gal"/>
    <n v="1"/>
    <n v="4036"/>
    <n v="36.667060000000006"/>
    <n v="32.287999999999997"/>
  </r>
  <r>
    <n v="69572544"/>
    <x v="2"/>
    <n v="0"/>
    <d v="2023-02-28T00:00:00"/>
    <x v="171"/>
    <x v="14"/>
    <n v="1.9740000000000001E-3"/>
    <n v="0"/>
    <s v="MG"/>
    <x v="2"/>
    <x v="5"/>
    <s v="Q1"/>
    <n v="176"/>
    <n v="0"/>
    <s v="MG Sticks"/>
    <n v="1"/>
    <n v="0"/>
    <n v="0"/>
    <n v="0"/>
  </r>
  <r>
    <n v="69621212"/>
    <x v="2"/>
    <n v="3464"/>
    <d v="2023-02-28T00:00:00"/>
    <x v="29"/>
    <x v="28"/>
    <n v="5.2680000000000001E-3"/>
    <n v="18.248352000000001"/>
    <s v="PG"/>
    <x v="2"/>
    <x v="14"/>
    <s v="Q1"/>
    <n v="130"/>
    <n v="26.646153846153847"/>
    <s v="PG"/>
    <n v="1"/>
    <n v="3464"/>
    <n v="18.248352000000001"/>
    <n v="26.646153846153847"/>
  </r>
  <r>
    <n v="69628686"/>
    <x v="4"/>
    <n v="1560"/>
    <d v="2023-02-28T00:00:00"/>
    <x v="263"/>
    <x v="0"/>
    <n v="5.3220000000000003E-3"/>
    <n v="8.3023199999999999"/>
    <s v="KL"/>
    <x v="2"/>
    <x v="13"/>
    <s v="Q1"/>
    <n v="120"/>
    <n v="13"/>
    <s v="KL Mini Cones"/>
    <n v="1"/>
    <n v="1560"/>
    <n v="8.3023199999999999"/>
    <n v="13"/>
  </r>
  <r>
    <n v="69628686"/>
    <x v="4"/>
    <n v="2400"/>
    <d v="2023-02-28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8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8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8686"/>
    <x v="4"/>
    <n v="2400"/>
    <d v="2023-02-28T00:00:00"/>
    <x v="26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9469"/>
    <x v="4"/>
    <n v="2400"/>
    <d v="2023-02-28T00:00:00"/>
    <x v="83"/>
    <x v="0"/>
    <n v="5.3220000000000003E-3"/>
    <n v="12.7728"/>
    <s v="KL"/>
    <x v="2"/>
    <x v="13"/>
    <s v="Q1"/>
    <n v="120"/>
    <n v="20"/>
    <s v="KL Mini Cones"/>
    <n v="1"/>
    <n v="2400"/>
    <n v="12.7728"/>
    <n v="20"/>
  </r>
  <r>
    <n v="69629477"/>
    <x v="1"/>
    <n v="2920"/>
    <d v="2023-02-28T00:00:00"/>
    <x v="61"/>
    <x v="0"/>
    <n v="5.3280000000000003E-3"/>
    <n v="15.55776"/>
    <s v="KL"/>
    <x v="2"/>
    <x v="26"/>
    <s v="Q1"/>
    <n v="108"/>
    <n v="27.037037037037038"/>
    <s v="KL Mini Cones"/>
    <n v="1"/>
    <n v="2920"/>
    <n v="15.55776"/>
    <n v="27.037037037037038"/>
  </r>
  <r>
    <n v="69629477"/>
    <x v="1"/>
    <n v="2917"/>
    <d v="2023-02-28T00:00:00"/>
    <x v="61"/>
    <x v="0"/>
    <n v="5.3280000000000003E-3"/>
    <n v="15.541776"/>
    <s v="KL"/>
    <x v="2"/>
    <x v="26"/>
    <s v="Q1"/>
    <n v="108"/>
    <n v="27.00925925925926"/>
    <s v="KL Mini Cones"/>
    <n v="1"/>
    <n v="2917"/>
    <n v="15.541776"/>
    <n v="27.00925925925926"/>
  </r>
  <r>
    <n v="69645145"/>
    <x v="0"/>
    <n v="1968"/>
    <d v="2023-02-28T00:00:00"/>
    <x v="118"/>
    <x v="0"/>
    <n v="2.8319999999999999E-3"/>
    <n v="5.5733759999999997"/>
    <s v="GH"/>
    <x v="2"/>
    <x v="46"/>
    <s v="Q1"/>
    <n v="260"/>
    <n v="7.569230769230769"/>
    <s v="FB Cones"/>
    <n v="1"/>
    <n v="1968"/>
    <n v="5.5733759999999997"/>
    <n v="7.569230769230769"/>
  </r>
  <r>
    <n v="69671641"/>
    <x v="3"/>
    <n v="0"/>
    <d v="2023-02-28T00:00:00"/>
    <x v="260"/>
    <x v="4"/>
    <n v="3.9039999999999999E-3"/>
    <n v="0"/>
    <s v="GH"/>
    <x v="2"/>
    <x v="4"/>
    <s v="Q1"/>
    <n v="154"/>
    <n v="0"/>
    <s v="MBG"/>
    <n v="1"/>
    <n v="0"/>
    <n v="0"/>
    <n v="0"/>
  </r>
  <r>
    <n v="69671652"/>
    <x v="3"/>
    <n v="4953"/>
    <d v="2023-02-28T00:00:00"/>
    <x v="197"/>
    <x v="24"/>
    <n v="2.8319999999999999E-3"/>
    <n v="14.026895999999999"/>
    <s v="GH"/>
    <x v="2"/>
    <x v="4"/>
    <s v="Q1"/>
    <n v="225"/>
    <n v="22.013333333333332"/>
    <s v="MBG"/>
    <n v="1"/>
    <n v="4953"/>
    <n v="14.026895999999999"/>
    <n v="22.013333333333332"/>
  </r>
  <r>
    <n v="69677917"/>
    <x v="3"/>
    <n v="4880"/>
    <d v="2023-02-28T00:00:00"/>
    <x v="30"/>
    <x v="29"/>
    <n v="5.2680000000000001E-3"/>
    <n v="25.707840000000001"/>
    <s v="PS"/>
    <x v="2"/>
    <x v="3"/>
    <s v="Q1"/>
    <n v="108"/>
    <n v="45.185185185185183"/>
    <s v="PG"/>
    <n v="1"/>
    <n v="4880"/>
    <n v="25.707840000000001"/>
    <n v="45.185185185185183"/>
  </r>
  <r>
    <n v="69677917"/>
    <x v="2"/>
    <n v="6348"/>
    <d v="2023-02-28T00:00:00"/>
    <x v="30"/>
    <x v="30"/>
    <n v="5.2680000000000001E-3"/>
    <n v="33.441264000000004"/>
    <s v="PS"/>
    <x v="2"/>
    <x v="14"/>
    <s v="Q1"/>
    <n v="108"/>
    <n v="58.777777777777779"/>
    <s v="PG"/>
    <n v="1"/>
    <n v="6348"/>
    <n v="33.441264000000004"/>
    <n v="58.777777777777779"/>
  </r>
  <r>
    <n v="69684522"/>
    <x v="2"/>
    <n v="8555"/>
    <d v="2023-02-28T00:00:00"/>
    <x v="31"/>
    <x v="31"/>
    <n v="4.2560000000000002E-3"/>
    <n v="36.410080000000001"/>
    <s v="BR"/>
    <x v="2"/>
    <x v="5"/>
    <s v="Q1"/>
    <n v="143"/>
    <n v="59.825174825174827"/>
    <s v="MG Sticks"/>
    <n v="1"/>
    <n v="8555"/>
    <n v="36.410080000000001"/>
    <n v="59.825174825174827"/>
  </r>
  <r>
    <n v="69706147"/>
    <x v="2"/>
    <n v="0"/>
    <d v="2023-02-28T00:00:00"/>
    <x v="195"/>
    <x v="31"/>
    <n v="3.8999999999999998E-3"/>
    <n v="0"/>
    <s v="TA"/>
    <x v="2"/>
    <x v="42"/>
    <s v="Q1"/>
    <n v="176"/>
    <n v="0"/>
    <s v="TAL NV"/>
    <n v="1"/>
    <n v="0"/>
    <n v="0"/>
    <n v="0"/>
  </r>
  <r>
    <n v="84138346"/>
    <x v="5"/>
    <n v="5174"/>
    <d v="2023-02-28T00:00:00"/>
    <x v="276"/>
    <x v="35"/>
    <n v="9.0848256361922702E-3"/>
    <n v="47.004887841658807"/>
    <s v="BJ"/>
    <x v="2"/>
    <x v="39"/>
    <s v="Q1"/>
    <n v="125"/>
    <n v="41.392000000000003"/>
    <s v="2.4 Gal"/>
    <n v="1"/>
    <n v="5174"/>
    <n v="47.004887841658807"/>
    <n v="41.392000000000003"/>
  </r>
  <r>
    <n v="84146285"/>
    <x v="5"/>
    <n v="20505"/>
    <d v="2023-02-28T00:00:00"/>
    <x v="248"/>
    <x v="38"/>
    <n v="3.7853439999999999E-3"/>
    <n v="77.618478719999999"/>
    <s v="BJ"/>
    <x v="2"/>
    <x v="15"/>
    <s v="Q1"/>
    <n v="240"/>
    <n v="85.4375"/>
    <s v="BJ PTS"/>
    <n v="1"/>
    <n v="20505"/>
    <n v="77.618478719999999"/>
    <n v="85.4375"/>
  </r>
  <r>
    <n v="84164936"/>
    <x v="2"/>
    <n v="18769"/>
    <d v="2023-02-28T00:00:00"/>
    <x v="162"/>
    <x v="15"/>
    <n v="3.7853439999999999E-3"/>
    <n v="71.047121536000006"/>
    <s v="BJ"/>
    <x v="2"/>
    <x v="30"/>
    <s v="Q1"/>
    <n v="240"/>
    <n v="78.204166666666666"/>
    <s v="BJ PTS"/>
    <n v="1"/>
    <n v="18769"/>
    <n v="71.047121536000006"/>
    <n v="78.204166666666666"/>
  </r>
  <r>
    <n v="84164939"/>
    <x v="5"/>
    <n v="6264"/>
    <d v="2023-02-28T00:00:00"/>
    <x v="186"/>
    <x v="35"/>
    <n v="9.0848256361922702E-3"/>
    <n v="56.907347785108378"/>
    <s v="BJ"/>
    <x v="2"/>
    <x v="39"/>
    <s v="Q1"/>
    <n v="125"/>
    <n v="50.112000000000002"/>
    <s v="2.4 Gal"/>
    <n v="1"/>
    <n v="6264"/>
    <n v="56.907347785108378"/>
    <n v="50.112000000000002"/>
  </r>
  <r>
    <n v="67309843"/>
    <x v="3"/>
    <n v="0"/>
    <d v="2023-03-01T00:00:00"/>
    <x v="88"/>
    <x v="16"/>
    <n v="8.5199999999999998E-3"/>
    <n v="0"/>
    <s v="BR"/>
    <x v="3"/>
    <x v="6"/>
    <s v="Q1"/>
    <n v="154"/>
    <n v="0"/>
    <s v="48oz"/>
    <n v="1"/>
    <n v="0"/>
    <n v="0"/>
    <n v="0"/>
  </r>
  <r>
    <n v="67465063"/>
    <x v="3"/>
    <n v="518"/>
    <d v="2023-03-01T00:00:00"/>
    <x v="3"/>
    <x v="40"/>
    <n v="5.2680000000000001E-3"/>
    <n v="2.7288239999999999"/>
    <s v="PS"/>
    <x v="3"/>
    <x v="3"/>
    <s v="Q1"/>
    <n v="130"/>
    <n v="3.9846153846153847"/>
    <s v="PG"/>
    <n v="1"/>
    <n v="518"/>
    <n v="2.7288239999999999"/>
    <n v="3.9846153846153847"/>
  </r>
  <r>
    <n v="67465063"/>
    <x v="3"/>
    <n v="3679"/>
    <d v="2023-03-01T00:00:00"/>
    <x v="3"/>
    <x v="6"/>
    <n v="5.2680000000000001E-3"/>
    <n v="19.380972"/>
    <s v="PS"/>
    <x v="3"/>
    <x v="3"/>
    <s v="Q1"/>
    <n v="130"/>
    <n v="28.3"/>
    <s v="PG"/>
    <n v="1"/>
    <n v="3679"/>
    <n v="19.380972"/>
    <n v="28.3"/>
  </r>
  <r>
    <n v="67465063"/>
    <x v="3"/>
    <n v="0"/>
    <d v="2023-03-01T00:00:00"/>
    <x v="3"/>
    <x v="3"/>
    <n v="5.2680000000000001E-3"/>
    <n v="0"/>
    <s v="PS"/>
    <x v="3"/>
    <x v="3"/>
    <s v="Q1"/>
    <n v="130"/>
    <n v="0"/>
    <s v="PG"/>
    <n v="1"/>
    <n v="0"/>
    <n v="0"/>
    <n v="0"/>
  </r>
  <r>
    <n v="67465064"/>
    <x v="3"/>
    <n v="1216"/>
    <d v="2023-03-01T00:00:00"/>
    <x v="7"/>
    <x v="3"/>
    <n v="1.596E-3"/>
    <n v="1.940736"/>
    <s v="PS"/>
    <x v="3"/>
    <x v="3"/>
    <s v="Q1"/>
    <n v="130"/>
    <n v="9.3538461538461544"/>
    <s v="PG"/>
    <n v="1"/>
    <n v="1216"/>
    <n v="1.940736"/>
    <n v="9.3538461538461544"/>
  </r>
  <r>
    <n v="67466492"/>
    <x v="3"/>
    <n v="0"/>
    <d v="2023-03-01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1932"/>
    <d v="2023-03-01T00:00:00"/>
    <x v="8"/>
    <x v="7"/>
    <n v="5.2680000000000001E-3"/>
    <n v="10.177776"/>
    <s v="PS"/>
    <x v="3"/>
    <x v="3"/>
    <s v="Q1"/>
    <n v="130"/>
    <n v="14.861538461538462"/>
    <s v="PG"/>
    <n v="1"/>
    <n v="1932"/>
    <n v="10.177776"/>
    <n v="14.861538461538462"/>
  </r>
  <r>
    <n v="67466492"/>
    <x v="3"/>
    <n v="3984"/>
    <d v="2023-03-01T00:00:00"/>
    <x v="8"/>
    <x v="8"/>
    <n v="5.2680000000000001E-3"/>
    <n v="20.987712000000002"/>
    <s v="PS"/>
    <x v="3"/>
    <x v="3"/>
    <s v="Q1"/>
    <n v="130"/>
    <n v="30.646153846153847"/>
    <s v="PG"/>
    <n v="1"/>
    <n v="3984"/>
    <n v="20.987712000000002"/>
    <n v="30.646153846153847"/>
  </r>
  <r>
    <n v="67476560"/>
    <x v="3"/>
    <n v="1998"/>
    <d v="2023-03-01T00:00:00"/>
    <x v="10"/>
    <x v="10"/>
    <n v="5.1060000000000003E-3"/>
    <n v="10.201788000000001"/>
    <s v="PS"/>
    <x v="3"/>
    <x v="3"/>
    <s v="Q1"/>
    <n v="130"/>
    <n v="15.36923076923077"/>
    <s v="PG"/>
    <n v="1"/>
    <n v="1998"/>
    <n v="10.201788000000001"/>
    <n v="15.36923076923077"/>
  </r>
  <r>
    <n v="67885716"/>
    <x v="3"/>
    <n v="11617"/>
    <d v="2023-03-01T00:00:00"/>
    <x v="89"/>
    <x v="11"/>
    <n v="8.5199999999999998E-3"/>
    <n v="98.976839999999996"/>
    <s v="BR"/>
    <x v="3"/>
    <x v="6"/>
    <s v="Q1"/>
    <n v="154"/>
    <n v="75.435064935064929"/>
    <s v="48oz"/>
    <n v="1"/>
    <n v="11617"/>
    <n v="98.976839999999996"/>
    <n v="75.435064935064929"/>
  </r>
  <r>
    <n v="67885719"/>
    <x v="2"/>
    <n v="0"/>
    <d v="2023-03-01T00:00:00"/>
    <x v="11"/>
    <x v="32"/>
    <n v="8.5199999999999998E-3"/>
    <n v="0"/>
    <s v="BR"/>
    <x v="3"/>
    <x v="2"/>
    <s v="Q1"/>
    <n v="154"/>
    <n v="0"/>
    <s v="48oz"/>
    <n v="1"/>
    <n v="0"/>
    <n v="0"/>
    <n v="0"/>
  </r>
  <r>
    <n v="67901589"/>
    <x v="2"/>
    <n v="0"/>
    <d v="2023-03-01T00:00:00"/>
    <x v="220"/>
    <x v="32"/>
    <n v="8.5199999999999998E-3"/>
    <n v="0"/>
    <s v="BR"/>
    <x v="3"/>
    <x v="2"/>
    <s v="Q1"/>
    <n v="154"/>
    <n v="0"/>
    <s v="48oz"/>
    <n v="1"/>
    <n v="0"/>
    <n v="0"/>
    <n v="0"/>
  </r>
  <r>
    <n v="67908208"/>
    <x v="2"/>
    <n v="0"/>
    <d v="2023-03-01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143999"/>
    <x v="2"/>
    <n v="0"/>
    <d v="2023-03-01T00:00:00"/>
    <x v="94"/>
    <x v="2"/>
    <n v="8.5199999999999998E-3"/>
    <n v="0"/>
    <s v="BR"/>
    <x v="3"/>
    <x v="2"/>
    <s v="Q1"/>
    <n v="154"/>
    <n v="0"/>
    <s v="48oz"/>
    <n v="1"/>
    <n v="0"/>
    <n v="0"/>
    <n v="0"/>
  </r>
  <r>
    <n v="68309313"/>
    <x v="2"/>
    <n v="16015"/>
    <d v="2023-03-01T00:00:00"/>
    <x v="121"/>
    <x v="32"/>
    <n v="8.5199999999999998E-3"/>
    <n v="136.4478"/>
    <s v="BR"/>
    <x v="3"/>
    <x v="2"/>
    <s v="Q1"/>
    <n v="154"/>
    <n v="103.99350649350649"/>
    <s v="48oz"/>
    <n v="1"/>
    <n v="16015"/>
    <n v="136.4478"/>
    <n v="103.99350649350649"/>
  </r>
  <r>
    <n v="68356102"/>
    <x v="2"/>
    <n v="9439"/>
    <d v="2023-03-01T00:00:00"/>
    <x v="13"/>
    <x v="13"/>
    <n v="8.513999999999999E-3"/>
    <n v="80.363645999999989"/>
    <s v="BR"/>
    <x v="3"/>
    <x v="2"/>
    <s v="Q1"/>
    <n v="154"/>
    <n v="61.29220779220779"/>
    <s v="48oz"/>
    <n v="1"/>
    <n v="9439"/>
    <n v="80.363645999999989"/>
    <n v="61.29220779220779"/>
  </r>
  <r>
    <n v="68654238"/>
    <x v="5"/>
    <n v="6676"/>
    <d v="2023-03-01T00:00:00"/>
    <x v="54"/>
    <x v="33"/>
    <n v="3.7839999999999996E-3"/>
    <n v="25.261983999999998"/>
    <s v="BJ"/>
    <x v="3"/>
    <x v="15"/>
    <s v="Q1"/>
    <n v="240"/>
    <n v="27.816666666666666"/>
    <s v="BJ PTS"/>
    <n v="1"/>
    <n v="6676"/>
    <n v="25.261983999999998"/>
    <n v="27.816666666666666"/>
  </r>
  <r>
    <n v="68689251"/>
    <x v="3"/>
    <n v="6174"/>
    <d v="2023-03-01T00:00:00"/>
    <x v="17"/>
    <x v="17"/>
    <n v="9.5760000000000012E-3"/>
    <n v="59.12222400000001"/>
    <s v="KL"/>
    <x v="3"/>
    <x v="8"/>
    <s v="Q1"/>
    <n v="132"/>
    <n v="46.772727272727273"/>
    <s v="EDF"/>
    <n v="1"/>
    <n v="6174"/>
    <n v="59.12222400000001"/>
    <n v="46.772727272727273"/>
  </r>
  <r>
    <n v="68689253"/>
    <x v="2"/>
    <n v="4333"/>
    <d v="2023-03-01T00:00:00"/>
    <x v="125"/>
    <x v="18"/>
    <n v="6.0035555555555554E-3"/>
    <n v="26.013406222222223"/>
    <s v="KL"/>
    <x v="3"/>
    <x v="9"/>
    <s v="Q1"/>
    <n v="120"/>
    <n v="36.108333333333334"/>
    <s v="ESS"/>
    <n v="1"/>
    <n v="4333"/>
    <n v="26.013406222222223"/>
    <n v="36.108333333333334"/>
  </r>
  <r>
    <n v="68709233"/>
    <x v="3"/>
    <n v="6343"/>
    <d v="2023-03-01T00:00:00"/>
    <x v="19"/>
    <x v="19"/>
    <n v="8.4960000000000001E-3"/>
    <n v="53.890127999999997"/>
    <s v="KL"/>
    <x v="3"/>
    <x v="8"/>
    <s v="Q1"/>
    <n v="132"/>
    <n v="48.053030303030305"/>
    <s v="EDF"/>
    <n v="1"/>
    <n v="6343"/>
    <n v="53.890127999999997"/>
    <n v="48.053030303030305"/>
  </r>
  <r>
    <n v="68729679"/>
    <x v="2"/>
    <n v="20233"/>
    <d v="2023-03-01T00:00:00"/>
    <x v="127"/>
    <x v="21"/>
    <n v="3.7853440000000004E-3"/>
    <n v="76.588865152000011"/>
    <s v="TA"/>
    <x v="3"/>
    <x v="10"/>
    <s v="Q1"/>
    <n v="255"/>
    <n v="79.345098039215685"/>
    <s v="TALENTI"/>
    <n v="1"/>
    <n v="20233"/>
    <n v="76.588865152000011"/>
    <n v="79.345098039215685"/>
  </r>
  <r>
    <n v="68732328"/>
    <x v="2"/>
    <n v="5367"/>
    <d v="2023-03-01T00:00:00"/>
    <x v="268"/>
    <x v="22"/>
    <n v="3.7853440000000004E-3"/>
    <n v="20.315941248000001"/>
    <s v="TA"/>
    <x v="3"/>
    <x v="10"/>
    <s v="Q1"/>
    <n v="255"/>
    <n v="21.047058823529412"/>
    <s v="TALENTI"/>
    <n v="1"/>
    <n v="5367"/>
    <n v="20.315941248000001"/>
    <n v="21.047058823529412"/>
  </r>
  <r>
    <n v="68737750"/>
    <x v="3"/>
    <n v="11404"/>
    <d v="2023-03-01T00:00:00"/>
    <x v="144"/>
    <x v="23"/>
    <n v="8.5199999999999998E-3"/>
    <n v="97.162080000000003"/>
    <s v="BR"/>
    <x v="3"/>
    <x v="6"/>
    <s v="Q1"/>
    <n v="176"/>
    <n v="64.795454545454547"/>
    <s v="48oz"/>
    <n v="1"/>
    <n v="11404"/>
    <n v="97.162080000000003"/>
    <n v="64.795454545454547"/>
  </r>
  <r>
    <n v="68741714"/>
    <x v="3"/>
    <n v="0"/>
    <d v="2023-03-01T00:00:00"/>
    <x v="24"/>
    <x v="24"/>
    <n v="2.8319999999999999E-3"/>
    <n v="0"/>
    <s v="GH"/>
    <x v="3"/>
    <x v="4"/>
    <s v="Q1"/>
    <n v="225"/>
    <n v="0"/>
    <s v="MBG"/>
    <n v="1"/>
    <n v="0"/>
    <n v="0"/>
    <n v="0"/>
  </r>
  <r>
    <n v="68741742"/>
    <x v="3"/>
    <n v="4133"/>
    <d v="2023-03-01T00:00:00"/>
    <x v="25"/>
    <x v="4"/>
    <n v="4.2560000000000002E-3"/>
    <n v="17.590047999999999"/>
    <s v="GH"/>
    <x v="3"/>
    <x v="4"/>
    <s v="Q1"/>
    <n v="154"/>
    <n v="26.837662337662337"/>
    <s v="MBG"/>
    <n v="1"/>
    <n v="4133"/>
    <n v="17.590047999999999"/>
    <n v="26.837662337662337"/>
  </r>
  <r>
    <n v="68741742"/>
    <x v="2"/>
    <n v="3803"/>
    <d v="2023-03-01T00:00:00"/>
    <x v="25"/>
    <x v="25"/>
    <n v="4.2560000000000002E-3"/>
    <n v="16.185568"/>
    <s v="GH"/>
    <x v="3"/>
    <x v="11"/>
    <s v="Q1"/>
    <n v="154"/>
    <n v="24.694805194805195"/>
    <s v="MBG"/>
    <n v="1"/>
    <n v="3803"/>
    <n v="16.185568"/>
    <n v="24.694805194805195"/>
  </r>
  <r>
    <n v="68746232"/>
    <x v="2"/>
    <n v="1239"/>
    <d v="2023-03-01T00:00:00"/>
    <x v="154"/>
    <x v="26"/>
    <n v="9.5879999999999993E-3"/>
    <n v="11.879531999999999"/>
    <s v="KL"/>
    <x v="3"/>
    <x v="12"/>
    <s v="Q1"/>
    <n v="132"/>
    <n v="9.3863636363636367"/>
    <s v="EDF"/>
    <n v="1"/>
    <n v="1239"/>
    <n v="11.879531999999999"/>
    <n v="9.3863636363636367"/>
  </r>
  <r>
    <n v="68852591"/>
    <x v="2"/>
    <n v="0"/>
    <d v="2023-03-01T00:00:00"/>
    <x v="26"/>
    <x v="26"/>
    <n v="8.5199999999999998E-3"/>
    <n v="0"/>
    <s v="KL"/>
    <x v="3"/>
    <x v="12"/>
    <s v="Q1"/>
    <n v="132"/>
    <n v="0"/>
    <s v="EDF"/>
    <n v="1"/>
    <n v="0"/>
    <n v="0"/>
    <n v="0"/>
  </r>
  <r>
    <n v="68871219"/>
    <x v="0"/>
    <n v="2807"/>
    <d v="2023-03-01T00:00:00"/>
    <x v="155"/>
    <x v="1"/>
    <n v="3.0280000000000001E-2"/>
    <n v="84.995960000000011"/>
    <s v="MG"/>
    <x v="3"/>
    <x v="38"/>
    <s v="Q1"/>
    <n v="240"/>
    <n v="11.695833333333333"/>
    <s v="PTS"/>
    <n v="1"/>
    <n v="2807"/>
    <n v="84.995960000000011"/>
    <n v="11.695833333333333"/>
  </r>
  <r>
    <n v="68871220"/>
    <x v="0"/>
    <n v="240"/>
    <d v="2023-03-01T00:00:00"/>
    <x v="156"/>
    <x v="1"/>
    <n v="3.7853439999999999E-3"/>
    <n v="0.90848255999999994"/>
    <s v="BR"/>
    <x v="3"/>
    <x v="38"/>
    <s v="Q1"/>
    <n v="240"/>
    <n v="1"/>
    <s v="PTS"/>
    <n v="1"/>
    <n v="240"/>
    <n v="0.90848255999999994"/>
    <n v="1"/>
  </r>
  <r>
    <n v="68896052"/>
    <x v="2"/>
    <n v="0"/>
    <d v="2023-03-01T00:00:00"/>
    <x v="36"/>
    <x v="13"/>
    <n v="8.5199999999999998E-3"/>
    <n v="0"/>
    <s v="BR"/>
    <x v="3"/>
    <x v="2"/>
    <s v="Q1"/>
    <n v="176"/>
    <n v="0"/>
    <s v="48oz"/>
    <n v="1"/>
    <n v="0"/>
    <n v="0"/>
    <n v="0"/>
  </r>
  <r>
    <n v="68896054"/>
    <x v="2"/>
    <n v="7341"/>
    <d v="2023-03-01T00:00:00"/>
    <x v="181"/>
    <x v="2"/>
    <n v="8.5199999999999998E-3"/>
    <n v="62.545319999999997"/>
    <s v="BR"/>
    <x v="3"/>
    <x v="2"/>
    <s v="Q1"/>
    <n v="176"/>
    <n v="41.710227272727273"/>
    <s v="48oz"/>
    <n v="1"/>
    <n v="7341"/>
    <n v="62.545319999999997"/>
    <n v="41.710227272727273"/>
  </r>
  <r>
    <n v="68899825"/>
    <x v="3"/>
    <n v="12517"/>
    <d v="2023-03-01T00:00:00"/>
    <x v="77"/>
    <x v="16"/>
    <n v="8.5199999999999998E-3"/>
    <n v="106.64484"/>
    <s v="BR"/>
    <x v="3"/>
    <x v="6"/>
    <s v="Q1"/>
    <n v="176"/>
    <n v="71.119318181818187"/>
    <s v="48oz"/>
    <n v="1"/>
    <n v="12517"/>
    <n v="106.64484"/>
    <n v="71.119318181818187"/>
  </r>
  <r>
    <n v="68921994"/>
    <x v="3"/>
    <n v="3730"/>
    <d v="2023-03-01T00:00:00"/>
    <x v="258"/>
    <x v="20"/>
    <n v="9.5879999999999993E-3"/>
    <n v="35.763239999999996"/>
    <s v="KL"/>
    <x v="3"/>
    <x v="8"/>
    <s v="Q1"/>
    <n v="132"/>
    <n v="28.257575757575758"/>
    <s v="EDF"/>
    <n v="1"/>
    <n v="3730"/>
    <n v="35.763239999999996"/>
    <n v="28.257575757575758"/>
  </r>
  <r>
    <n v="68930545"/>
    <x v="3"/>
    <n v="9748"/>
    <d v="2023-03-01T00:00:00"/>
    <x v="93"/>
    <x v="12"/>
    <n v="8.5199999999999998E-3"/>
    <n v="83.052959999999999"/>
    <s v="BR"/>
    <x v="3"/>
    <x v="6"/>
    <s v="Q1"/>
    <n v="176"/>
    <n v="55.386363636363633"/>
    <s v="48oz"/>
    <n v="1"/>
    <n v="9748"/>
    <n v="83.052959999999999"/>
    <n v="55.386363636363633"/>
  </r>
  <r>
    <n v="69549032"/>
    <x v="3"/>
    <n v="7531"/>
    <d v="2023-03-01T00:00:00"/>
    <x v="79"/>
    <x v="36"/>
    <n v="2.3469132803553457E-3"/>
    <n v="17.674603914356108"/>
    <s v="GH"/>
    <x v="3"/>
    <x v="28"/>
    <s v="Q1"/>
    <n v="350"/>
    <n v="21.517142857142858"/>
    <s v="EFW"/>
    <n v="1"/>
    <n v="7531"/>
    <n v="17.674603914356108"/>
    <n v="21.517142857142858"/>
  </r>
  <r>
    <n v="68871168"/>
    <x v="1"/>
    <n v="829"/>
    <d v="2023-03-01T00:00:00"/>
    <x v="1"/>
    <x v="1"/>
    <n v="6.0035555555555554E-3"/>
    <n v="4.9769475555555553"/>
    <s v="KL"/>
    <x v="3"/>
    <x v="1"/>
    <s v="Q1"/>
    <n v="108"/>
    <n v="7.6759259259259256"/>
    <s v="KL Sandwiches"/>
    <n v="1"/>
    <n v="829"/>
    <n v="4.9769475555555553"/>
    <n v="7.6759259259259256"/>
  </r>
  <r>
    <n v="69555090"/>
    <x v="2"/>
    <n v="7978"/>
    <d v="2023-03-01T00:00:00"/>
    <x v="254"/>
    <x v="14"/>
    <n v="1.98E-3"/>
    <n v="15.79644"/>
    <s v="TA"/>
    <x v="3"/>
    <x v="42"/>
    <s v="Q1"/>
    <n v="176"/>
    <n v="45.329545454545453"/>
    <s v="TAL NV"/>
    <n v="1"/>
    <n v="7978"/>
    <n v="15.79644"/>
    <n v="45.329545454545453"/>
  </r>
  <r>
    <n v="69572544"/>
    <x v="2"/>
    <n v="0"/>
    <d v="2023-03-01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621212"/>
    <x v="2"/>
    <n v="4746"/>
    <d v="2023-03-01T00:00:00"/>
    <x v="29"/>
    <x v="28"/>
    <n v="5.2680000000000001E-3"/>
    <n v="25.001927999999999"/>
    <s v="PG"/>
    <x v="3"/>
    <x v="14"/>
    <s v="Q1"/>
    <n v="130"/>
    <n v="36.507692307692309"/>
    <s v="PG"/>
    <n v="1"/>
    <n v="4746"/>
    <n v="25.001927999999999"/>
    <n v="36.507692307692309"/>
  </r>
  <r>
    <n v="69671641"/>
    <x v="3"/>
    <n v="0"/>
    <d v="2023-03-01T00:00:00"/>
    <x v="260"/>
    <x v="4"/>
    <n v="3.9039999999999999E-3"/>
    <n v="0"/>
    <s v="GH"/>
    <x v="3"/>
    <x v="4"/>
    <s v="Q1"/>
    <n v="154"/>
    <n v="0"/>
    <s v="MBG"/>
    <n v="1"/>
    <n v="0"/>
    <n v="0"/>
    <n v="0"/>
  </r>
  <r>
    <n v="69671652"/>
    <x v="3"/>
    <n v="5375"/>
    <d v="2023-03-01T00:00:00"/>
    <x v="197"/>
    <x v="24"/>
    <n v="2.8319999999999999E-3"/>
    <n v="15.222"/>
    <s v="GH"/>
    <x v="3"/>
    <x v="4"/>
    <s v="Q1"/>
    <n v="225"/>
    <n v="23.888888888888889"/>
    <s v="MBG"/>
    <n v="1"/>
    <n v="5375"/>
    <n v="15.222"/>
    <n v="23.888888888888889"/>
  </r>
  <r>
    <n v="69677917"/>
    <x v="3"/>
    <n v="3814"/>
    <d v="2023-03-01T00:00:00"/>
    <x v="30"/>
    <x v="29"/>
    <n v="5.2680000000000001E-3"/>
    <n v="20.092151999999999"/>
    <s v="PS"/>
    <x v="3"/>
    <x v="3"/>
    <s v="Q1"/>
    <n v="108"/>
    <n v="35.314814814814817"/>
    <s v="PG"/>
    <n v="1"/>
    <n v="3814"/>
    <n v="20.092151999999999"/>
    <n v="35.314814814814817"/>
  </r>
  <r>
    <n v="69677917"/>
    <x v="2"/>
    <n v="608"/>
    <d v="2023-03-01T00:00:00"/>
    <x v="30"/>
    <x v="30"/>
    <n v="5.2680000000000001E-3"/>
    <n v="3.202944"/>
    <s v="PS"/>
    <x v="3"/>
    <x v="14"/>
    <s v="Q1"/>
    <n v="108"/>
    <n v="5.6296296296296298"/>
    <s v="PG"/>
    <n v="1"/>
    <n v="608"/>
    <n v="3.202944"/>
    <n v="5.6296296296296298"/>
  </r>
  <r>
    <n v="69684522"/>
    <x v="2"/>
    <n v="8605"/>
    <d v="2023-03-01T00:00:00"/>
    <x v="31"/>
    <x v="31"/>
    <n v="4.2560000000000002E-3"/>
    <n v="36.622880000000002"/>
    <s v="BR"/>
    <x v="3"/>
    <x v="5"/>
    <s v="Q1"/>
    <n v="143"/>
    <n v="60.174825174825173"/>
    <s v="MG Sticks"/>
    <n v="1"/>
    <n v="8605"/>
    <n v="36.622880000000002"/>
    <n v="60.174825174825173"/>
  </r>
  <r>
    <n v="69706147"/>
    <x v="2"/>
    <n v="0"/>
    <d v="2023-03-01T00:00:00"/>
    <x v="195"/>
    <x v="31"/>
    <n v="3.8999999999999998E-3"/>
    <n v="0"/>
    <s v="TA"/>
    <x v="3"/>
    <x v="42"/>
    <s v="Q1"/>
    <n v="176"/>
    <n v="0"/>
    <s v="TAL NV"/>
    <n v="1"/>
    <n v="0"/>
    <n v="0"/>
    <n v="0"/>
  </r>
  <r>
    <n v="84135770"/>
    <x v="2"/>
    <n v="7080"/>
    <d v="2023-03-01T00:00:00"/>
    <x v="277"/>
    <x v="15"/>
    <n v="3.7853439999999999E-3"/>
    <n v="26.800235520000001"/>
    <s v="BJ"/>
    <x v="3"/>
    <x v="30"/>
    <s v="Q1"/>
    <n v="240"/>
    <n v="29.5"/>
    <s v="BJ PTS"/>
    <n v="1"/>
    <n v="7080"/>
    <n v="26.800235520000001"/>
    <n v="29.5"/>
  </r>
  <r>
    <n v="84141035"/>
    <x v="5"/>
    <n v="5528"/>
    <d v="2023-03-01T00:00:00"/>
    <x v="278"/>
    <x v="35"/>
    <n v="9.0848256361922702E-3"/>
    <n v="50.220916116870868"/>
    <s v="BJ"/>
    <x v="3"/>
    <x v="39"/>
    <s v="Q1"/>
    <n v="125"/>
    <n v="44.223999999999997"/>
    <s v="2.4 Gal"/>
    <n v="1"/>
    <n v="5528"/>
    <n v="50.220916116870868"/>
    <n v="44.223999999999997"/>
  </r>
  <r>
    <n v="84164936"/>
    <x v="2"/>
    <n v="4417"/>
    <d v="2023-03-01T00:00:00"/>
    <x v="162"/>
    <x v="15"/>
    <n v="3.7853439999999999E-3"/>
    <n v="16.719864447999999"/>
    <s v="BJ"/>
    <x v="3"/>
    <x v="30"/>
    <s v="Q1"/>
    <n v="240"/>
    <n v="18.404166666666665"/>
    <s v="BJ PTS"/>
    <n v="1"/>
    <n v="4417"/>
    <n v="16.719864447999999"/>
    <n v="18.404166666666665"/>
  </r>
  <r>
    <n v="67309843"/>
    <x v="3"/>
    <n v="0"/>
    <d v="2023-03-02T00:00:00"/>
    <x v="88"/>
    <x v="16"/>
    <n v="8.5199999999999998E-3"/>
    <n v="0"/>
    <s v="BR"/>
    <x v="3"/>
    <x v="6"/>
    <s v="Q1"/>
    <n v="154"/>
    <n v="0"/>
    <s v="48oz"/>
    <n v="1"/>
    <n v="0"/>
    <n v="0"/>
    <n v="0"/>
  </r>
  <r>
    <n v="67309845"/>
    <x v="3"/>
    <n v="3559"/>
    <d v="2023-03-02T00:00:00"/>
    <x v="62"/>
    <x v="16"/>
    <n v="8.5199999999999998E-3"/>
    <n v="30.322679999999998"/>
    <s v="BR"/>
    <x v="3"/>
    <x v="6"/>
    <s v="Q1"/>
    <n v="154"/>
    <n v="23.11038961038961"/>
    <s v="48oz"/>
    <n v="1"/>
    <n v="3559"/>
    <n v="30.322679999999998"/>
    <n v="23.11038961038961"/>
  </r>
  <r>
    <n v="67465063"/>
    <x v="3"/>
    <n v="1299"/>
    <d v="2023-03-02T00:00:00"/>
    <x v="3"/>
    <x v="40"/>
    <n v="5.2680000000000001E-3"/>
    <n v="6.8431319999999998"/>
    <s v="PS"/>
    <x v="3"/>
    <x v="3"/>
    <s v="Q1"/>
    <n v="130"/>
    <n v="9.9923076923076923"/>
    <s v="PG"/>
    <n v="1"/>
    <n v="1299"/>
    <n v="6.8431319999999998"/>
    <n v="9.9923076923076923"/>
  </r>
  <r>
    <n v="67465063"/>
    <x v="3"/>
    <n v="4477"/>
    <d v="2023-03-02T00:00:00"/>
    <x v="3"/>
    <x v="6"/>
    <n v="5.2680000000000001E-3"/>
    <n v="23.584835999999999"/>
    <s v="PS"/>
    <x v="3"/>
    <x v="3"/>
    <s v="Q1"/>
    <n v="130"/>
    <n v="34.438461538461539"/>
    <s v="PG"/>
    <n v="1"/>
    <n v="4477"/>
    <n v="23.584835999999999"/>
    <n v="34.438461538461539"/>
  </r>
  <r>
    <n v="67465063"/>
    <x v="3"/>
    <n v="0"/>
    <d v="2023-03-02T00:00:00"/>
    <x v="3"/>
    <x v="3"/>
    <n v="5.2680000000000001E-3"/>
    <n v="0"/>
    <s v="PS"/>
    <x v="3"/>
    <x v="3"/>
    <s v="Q1"/>
    <n v="130"/>
    <n v="0"/>
    <s v="PG"/>
    <n v="1"/>
    <n v="0"/>
    <n v="0"/>
    <n v="0"/>
  </r>
  <r>
    <n v="67465064"/>
    <x v="3"/>
    <n v="2655"/>
    <d v="2023-03-02T00:00:00"/>
    <x v="7"/>
    <x v="3"/>
    <n v="1.596E-3"/>
    <n v="4.2373799999999999"/>
    <s v="PS"/>
    <x v="3"/>
    <x v="3"/>
    <s v="Q1"/>
    <n v="130"/>
    <n v="20.423076923076923"/>
    <s v="PG"/>
    <n v="1"/>
    <n v="2655"/>
    <n v="4.2373799999999999"/>
    <n v="20.423076923076923"/>
  </r>
  <r>
    <n v="67466492"/>
    <x v="3"/>
    <n v="0"/>
    <d v="2023-03-02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935"/>
    <d v="2023-03-02T00:00:00"/>
    <x v="8"/>
    <x v="7"/>
    <n v="5.2680000000000001E-3"/>
    <n v="4.9255800000000001"/>
    <s v="PS"/>
    <x v="3"/>
    <x v="3"/>
    <s v="Q1"/>
    <n v="130"/>
    <n v="7.1923076923076925"/>
    <s v="PG"/>
    <n v="1"/>
    <n v="935"/>
    <n v="4.9255800000000001"/>
    <n v="7.1923076923076925"/>
  </r>
  <r>
    <n v="67466492"/>
    <x v="3"/>
    <n v="4961"/>
    <d v="2023-03-02T00:00:00"/>
    <x v="8"/>
    <x v="8"/>
    <n v="5.2680000000000001E-3"/>
    <n v="26.134548000000002"/>
    <s v="PS"/>
    <x v="3"/>
    <x v="3"/>
    <s v="Q1"/>
    <n v="130"/>
    <n v="38.161538461538463"/>
    <s v="PG"/>
    <n v="1"/>
    <n v="4961"/>
    <n v="26.134548000000002"/>
    <n v="38.161538461538463"/>
  </r>
  <r>
    <n v="67476560"/>
    <x v="3"/>
    <n v="2250"/>
    <d v="2023-03-02T00:00:00"/>
    <x v="10"/>
    <x v="10"/>
    <n v="5.1060000000000003E-3"/>
    <n v="11.4885"/>
    <s v="PS"/>
    <x v="3"/>
    <x v="3"/>
    <s v="Q1"/>
    <n v="130"/>
    <n v="17.307692307692307"/>
    <s v="PG"/>
    <n v="1"/>
    <n v="2250"/>
    <n v="11.4885"/>
    <n v="17.307692307692307"/>
  </r>
  <r>
    <n v="67885716"/>
    <x v="3"/>
    <n v="12712"/>
    <d v="2023-03-02T00:00:00"/>
    <x v="89"/>
    <x v="11"/>
    <n v="8.5199999999999998E-3"/>
    <n v="108.30624"/>
    <s v="BR"/>
    <x v="3"/>
    <x v="6"/>
    <s v="Q1"/>
    <n v="154"/>
    <n v="82.545454545454547"/>
    <s v="48oz"/>
    <n v="1"/>
    <n v="12712"/>
    <n v="108.30624"/>
    <n v="82.545454545454547"/>
  </r>
  <r>
    <n v="67901589"/>
    <x v="2"/>
    <n v="0"/>
    <d v="2023-03-02T00:00:00"/>
    <x v="220"/>
    <x v="32"/>
    <n v="8.5199999999999998E-3"/>
    <n v="0"/>
    <s v="BR"/>
    <x v="3"/>
    <x v="2"/>
    <s v="Q1"/>
    <n v="154"/>
    <n v="0"/>
    <s v="48oz"/>
    <n v="1"/>
    <n v="0"/>
    <n v="0"/>
    <n v="0"/>
  </r>
  <r>
    <n v="67908208"/>
    <x v="2"/>
    <n v="0"/>
    <d v="2023-03-02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143999"/>
    <x v="2"/>
    <n v="0"/>
    <d v="2023-03-02T00:00:00"/>
    <x v="94"/>
    <x v="2"/>
    <n v="8.5199999999999998E-3"/>
    <n v="0"/>
    <s v="BR"/>
    <x v="3"/>
    <x v="2"/>
    <s v="Q1"/>
    <n v="154"/>
    <n v="0"/>
    <s v="48oz"/>
    <n v="1"/>
    <n v="0"/>
    <n v="0"/>
    <n v="0"/>
  </r>
  <r>
    <n v="68143999"/>
    <x v="2"/>
    <n v="0"/>
    <d v="2023-03-02T00:00:00"/>
    <x v="94"/>
    <x v="2"/>
    <n v="8.5199999999999998E-3"/>
    <n v="0"/>
    <s v="BR"/>
    <x v="3"/>
    <x v="2"/>
    <s v="Q1"/>
    <n v="154"/>
    <n v="0"/>
    <s v="48oz"/>
    <n v="1"/>
    <n v="0"/>
    <n v="0"/>
    <n v="0"/>
  </r>
  <r>
    <n v="68143999"/>
    <x v="2"/>
    <n v="254"/>
    <d v="2023-03-02T00:00:00"/>
    <x v="94"/>
    <x v="2"/>
    <n v="8.5199999999999998E-3"/>
    <n v="2.1640799999999998"/>
    <s v="BR"/>
    <x v="3"/>
    <x v="2"/>
    <s v="Q1"/>
    <n v="154"/>
    <n v="1.6493506493506493"/>
    <s v="48oz"/>
    <n v="1"/>
    <n v="254"/>
    <n v="2.1640799999999998"/>
    <n v="1.6493506493506493"/>
  </r>
  <r>
    <n v="68309313"/>
    <x v="2"/>
    <n v="0"/>
    <d v="2023-03-02T00:00:00"/>
    <x v="121"/>
    <x v="32"/>
    <n v="8.5199999999999998E-3"/>
    <n v="0"/>
    <s v="BR"/>
    <x v="3"/>
    <x v="2"/>
    <s v="Q1"/>
    <n v="154"/>
    <n v="0"/>
    <s v="48oz"/>
    <n v="1"/>
    <n v="0"/>
    <n v="0"/>
    <n v="0"/>
  </r>
  <r>
    <n v="68356102"/>
    <x v="2"/>
    <n v="0"/>
    <d v="2023-03-02T00:00:00"/>
    <x v="13"/>
    <x v="13"/>
    <n v="8.513999999999999E-3"/>
    <n v="0"/>
    <s v="BR"/>
    <x v="3"/>
    <x v="2"/>
    <s v="Q1"/>
    <n v="154"/>
    <n v="0"/>
    <s v="48oz"/>
    <n v="1"/>
    <n v="0"/>
    <n v="0"/>
    <n v="0"/>
  </r>
  <r>
    <n v="68356102"/>
    <x v="2"/>
    <n v="308"/>
    <d v="2023-03-02T00:00:00"/>
    <x v="13"/>
    <x v="13"/>
    <n v="8.513999999999999E-3"/>
    <n v="2.6223119999999995"/>
    <s v="BR"/>
    <x v="3"/>
    <x v="2"/>
    <s v="Q1"/>
    <n v="154"/>
    <n v="2"/>
    <s v="48oz"/>
    <n v="1"/>
    <n v="308"/>
    <n v="2.6223119999999995"/>
    <n v="2"/>
  </r>
  <r>
    <n v="68521425"/>
    <x v="0"/>
    <m/>
    <d v="2023-03-02T00:00:00"/>
    <x v="0"/>
    <x v="0"/>
    <n v="4.248E-3"/>
    <n v="0"/>
    <s v="GH"/>
    <x v="3"/>
    <x v="0"/>
    <s v="Q1"/>
    <n v="216"/>
    <n v="0"/>
    <s v="Giant SW"/>
    <n v="1"/>
    <n v="0"/>
    <n v="0"/>
    <n v="0"/>
  </r>
  <r>
    <n v="68689251"/>
    <x v="3"/>
    <n v="5244"/>
    <d v="2023-03-02T00:00:00"/>
    <x v="17"/>
    <x v="17"/>
    <n v="9.5760000000000012E-3"/>
    <n v="50.216544000000006"/>
    <s v="KL"/>
    <x v="3"/>
    <x v="8"/>
    <s v="Q1"/>
    <n v="132"/>
    <n v="39.727272727272727"/>
    <s v="EDF"/>
    <n v="1"/>
    <n v="5244"/>
    <n v="50.216544000000006"/>
    <n v="39.727272727272727"/>
  </r>
  <r>
    <n v="68689253"/>
    <x v="2"/>
    <n v="5238"/>
    <d v="2023-03-02T00:00:00"/>
    <x v="125"/>
    <x v="18"/>
    <n v="6.0035555555555554E-3"/>
    <n v="31.446624"/>
    <s v="KL"/>
    <x v="3"/>
    <x v="9"/>
    <s v="Q1"/>
    <n v="120"/>
    <n v="43.65"/>
    <s v="ESS"/>
    <n v="1"/>
    <n v="5238"/>
    <n v="31.446624"/>
    <n v="43.65"/>
  </r>
  <r>
    <n v="68709233"/>
    <x v="3"/>
    <n v="7915"/>
    <d v="2023-03-02T00:00:00"/>
    <x v="19"/>
    <x v="19"/>
    <n v="8.4960000000000001E-3"/>
    <n v="67.245840000000001"/>
    <s v="KL"/>
    <x v="3"/>
    <x v="8"/>
    <s v="Q1"/>
    <n v="132"/>
    <n v="59.962121212121211"/>
    <s v="EDF"/>
    <n v="1"/>
    <n v="7915"/>
    <n v="67.245840000000001"/>
    <n v="59.962121212121211"/>
  </r>
  <r>
    <n v="68729679"/>
    <x v="2"/>
    <n v="12581"/>
    <d v="2023-03-02T00:00:00"/>
    <x v="127"/>
    <x v="21"/>
    <n v="3.7853440000000004E-3"/>
    <n v="47.623412864000002"/>
    <s v="TA"/>
    <x v="3"/>
    <x v="10"/>
    <s v="Q1"/>
    <n v="255"/>
    <n v="49.337254901960783"/>
    <s v="TALENTI"/>
    <n v="1"/>
    <n v="12581"/>
    <n v="47.623412864000002"/>
    <n v="49.337254901960783"/>
  </r>
  <r>
    <n v="68732328"/>
    <x v="2"/>
    <n v="14915"/>
    <d v="2023-03-02T00:00:00"/>
    <x v="268"/>
    <x v="22"/>
    <n v="3.7853440000000004E-3"/>
    <n v="56.458405760000005"/>
    <s v="TA"/>
    <x v="3"/>
    <x v="10"/>
    <s v="Q1"/>
    <n v="255"/>
    <n v="58.490196078431374"/>
    <s v="TALENTI"/>
    <n v="1"/>
    <n v="14915"/>
    <n v="56.458405760000005"/>
    <n v="58.490196078431374"/>
  </r>
  <r>
    <n v="68737750"/>
    <x v="3"/>
    <n v="6742"/>
    <d v="2023-03-02T00:00:00"/>
    <x v="144"/>
    <x v="23"/>
    <n v="8.5199999999999998E-3"/>
    <n v="57.441839999999999"/>
    <s v="BR"/>
    <x v="3"/>
    <x v="6"/>
    <s v="Q1"/>
    <n v="176"/>
    <n v="38.30681818181818"/>
    <s v="48oz"/>
    <n v="1"/>
    <n v="6742"/>
    <n v="57.441839999999999"/>
    <n v="38.30681818181818"/>
  </r>
  <r>
    <n v="68741714"/>
    <x v="3"/>
    <n v="0"/>
    <d v="2023-03-02T00:00:00"/>
    <x v="24"/>
    <x v="24"/>
    <n v="2.8319999999999999E-3"/>
    <n v="0"/>
    <s v="GH"/>
    <x v="3"/>
    <x v="4"/>
    <s v="Q1"/>
    <n v="225"/>
    <n v="0"/>
    <s v="MBG"/>
    <n v="1"/>
    <n v="0"/>
    <n v="0"/>
    <n v="0"/>
  </r>
  <r>
    <n v="68741742"/>
    <x v="3"/>
    <n v="5824"/>
    <d v="2023-03-02T00:00:00"/>
    <x v="25"/>
    <x v="4"/>
    <n v="4.2560000000000002E-3"/>
    <n v="24.786944000000002"/>
    <s v="GH"/>
    <x v="3"/>
    <x v="4"/>
    <s v="Q1"/>
    <n v="154"/>
    <n v="37.81818181818182"/>
    <s v="MBG"/>
    <n v="1"/>
    <n v="5824"/>
    <n v="24.786944000000002"/>
    <n v="37.81818181818182"/>
  </r>
  <r>
    <n v="68741742"/>
    <x v="2"/>
    <n v="3328"/>
    <d v="2023-03-02T00:00:00"/>
    <x v="25"/>
    <x v="25"/>
    <n v="4.2560000000000002E-3"/>
    <n v="14.163968000000001"/>
    <s v="GH"/>
    <x v="3"/>
    <x v="11"/>
    <s v="Q1"/>
    <n v="154"/>
    <n v="21.61038961038961"/>
    <s v="MBG"/>
    <n v="1"/>
    <n v="3328"/>
    <n v="14.163968000000001"/>
    <n v="21.61038961038961"/>
  </r>
  <r>
    <n v="68746232"/>
    <x v="2"/>
    <n v="3367"/>
    <d v="2023-03-02T00:00:00"/>
    <x v="154"/>
    <x v="26"/>
    <n v="9.5879999999999993E-3"/>
    <n v="32.282795999999998"/>
    <s v="KL"/>
    <x v="3"/>
    <x v="12"/>
    <s v="Q1"/>
    <n v="132"/>
    <n v="25.507575757575758"/>
    <s v="EDF"/>
    <n v="1"/>
    <n v="3367"/>
    <n v="32.282795999999998"/>
    <n v="25.507575757575758"/>
  </r>
  <r>
    <n v="68821728"/>
    <x v="2"/>
    <n v="0"/>
    <d v="2023-03-02T00:00:00"/>
    <x v="35"/>
    <x v="13"/>
    <n v="8.5199999999999998E-3"/>
    <n v="0"/>
    <s v="BR"/>
    <x v="3"/>
    <x v="2"/>
    <s v="Q1"/>
    <n v="176"/>
    <n v="0"/>
    <s v="48oz"/>
    <n v="1"/>
    <n v="0"/>
    <n v="0"/>
    <n v="0"/>
  </r>
  <r>
    <n v="68852591"/>
    <x v="2"/>
    <n v="0"/>
    <d v="2023-03-02T00:00:00"/>
    <x v="26"/>
    <x v="26"/>
    <n v="8.5199999999999998E-3"/>
    <n v="0"/>
    <s v="KL"/>
    <x v="3"/>
    <x v="12"/>
    <s v="Q1"/>
    <n v="132"/>
    <n v="0"/>
    <s v="EDF"/>
    <n v="1"/>
    <n v="0"/>
    <n v="0"/>
    <n v="0"/>
  </r>
  <r>
    <n v="68896052"/>
    <x v="2"/>
    <n v="1353"/>
    <d v="2023-03-02T00:00:00"/>
    <x v="36"/>
    <x v="13"/>
    <n v="8.5199999999999998E-3"/>
    <n v="11.527559999999999"/>
    <s v="BR"/>
    <x v="3"/>
    <x v="2"/>
    <s v="Q1"/>
    <n v="176"/>
    <n v="7.6875"/>
    <s v="48oz"/>
    <n v="1"/>
    <n v="1353"/>
    <n v="11.527559999999999"/>
    <n v="7.6875"/>
  </r>
  <r>
    <n v="68899825"/>
    <x v="3"/>
    <n v="4125"/>
    <d v="2023-03-02T00:00:00"/>
    <x v="77"/>
    <x v="16"/>
    <n v="8.5199999999999998E-3"/>
    <n v="35.144999999999996"/>
    <s v="BR"/>
    <x v="3"/>
    <x v="6"/>
    <s v="Q1"/>
    <n v="176"/>
    <n v="23.4375"/>
    <s v="48oz"/>
    <n v="1"/>
    <n v="4125"/>
    <n v="35.144999999999996"/>
    <n v="23.4375"/>
  </r>
  <r>
    <n v="68921994"/>
    <x v="3"/>
    <n v="6285"/>
    <d v="2023-03-02T00:00:00"/>
    <x v="258"/>
    <x v="20"/>
    <n v="9.5879999999999993E-3"/>
    <n v="60.260579999999997"/>
    <s v="KL"/>
    <x v="3"/>
    <x v="8"/>
    <s v="Q1"/>
    <n v="132"/>
    <n v="47.613636363636367"/>
    <s v="EDF"/>
    <n v="1"/>
    <n v="6285"/>
    <n v="60.260579999999997"/>
    <n v="47.613636363636367"/>
  </r>
  <r>
    <n v="68922108"/>
    <x v="2"/>
    <n v="0"/>
    <d v="2023-03-02T00:00:00"/>
    <x v="184"/>
    <x v="21"/>
    <n v="3.7839999999999996E-3"/>
    <n v="0"/>
    <s v="TA"/>
    <x v="3"/>
    <x v="10"/>
    <s v="Q1"/>
    <n v="255"/>
    <n v="0"/>
    <s v="TALENTI"/>
    <n v="1"/>
    <n v="0"/>
    <n v="0"/>
    <n v="0"/>
  </r>
  <r>
    <n v="68930545"/>
    <x v="3"/>
    <n v="8439"/>
    <d v="2023-03-02T00:00:00"/>
    <x v="93"/>
    <x v="12"/>
    <n v="8.5199999999999998E-3"/>
    <n v="71.900279999999995"/>
    <s v="BR"/>
    <x v="3"/>
    <x v="6"/>
    <s v="Q1"/>
    <n v="176"/>
    <n v="47.948863636363633"/>
    <s v="48oz"/>
    <n v="1"/>
    <n v="8439"/>
    <n v="71.900279999999995"/>
    <n v="47.948863636363633"/>
  </r>
  <r>
    <n v="69549032"/>
    <x v="3"/>
    <n v="2256"/>
    <d v="2023-03-02T00:00:00"/>
    <x v="79"/>
    <x v="36"/>
    <n v="2.3469132803553457E-3"/>
    <n v="5.2946363604816602"/>
    <s v="GH"/>
    <x v="3"/>
    <x v="28"/>
    <s v="Q1"/>
    <n v="350"/>
    <n v="6.4457142857142857"/>
    <s v="EFW"/>
    <n v="1"/>
    <n v="2256"/>
    <n v="5.2946363604816602"/>
    <n v="6.4457142857142857"/>
  </r>
  <r>
    <n v="69555090"/>
    <x v="2"/>
    <n v="4962"/>
    <d v="2023-03-02T00:00:00"/>
    <x v="254"/>
    <x v="14"/>
    <n v="1.98E-3"/>
    <n v="9.8247599999999995"/>
    <s v="TA"/>
    <x v="3"/>
    <x v="42"/>
    <s v="Q1"/>
    <n v="176"/>
    <n v="28.193181818181817"/>
    <s v="TAL NV"/>
    <n v="1"/>
    <n v="4962"/>
    <n v="9.8247599999999995"/>
    <n v="28.193181818181817"/>
  </r>
  <r>
    <n v="69568963"/>
    <x v="2"/>
    <n v="0"/>
    <d v="2023-03-02T00:00:00"/>
    <x v="94"/>
    <x v="2"/>
    <n v="8.5199999999999998E-3"/>
    <n v="0"/>
    <s v="BR"/>
    <x v="3"/>
    <x v="2"/>
    <s v="Q1"/>
    <n v="176"/>
    <n v="0"/>
    <s v="48oz"/>
    <n v="1"/>
    <n v="0"/>
    <n v="0"/>
    <n v="0"/>
  </r>
  <r>
    <n v="69572544"/>
    <x v="2"/>
    <n v="0"/>
    <d v="2023-03-02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586716"/>
    <x v="2"/>
    <n v="0"/>
    <d v="2023-03-02T00:00:00"/>
    <x v="6"/>
    <x v="5"/>
    <n v="2.0400000000000001E-3"/>
    <n v="0"/>
    <s v="MG"/>
    <x v="3"/>
    <x v="5"/>
    <s v="Q1"/>
    <n v="210"/>
    <n v="0"/>
    <s v="MG Sticks"/>
    <n v="1"/>
    <n v="0"/>
    <n v="0"/>
    <n v="0"/>
  </r>
  <r>
    <n v="69621212"/>
    <x v="2"/>
    <n v="6331"/>
    <d v="2023-03-02T00:00:00"/>
    <x v="29"/>
    <x v="28"/>
    <n v="5.2680000000000001E-3"/>
    <n v="33.351708000000002"/>
    <s v="PG"/>
    <x v="3"/>
    <x v="14"/>
    <s v="Q1"/>
    <n v="130"/>
    <n v="48.7"/>
    <s v="PG"/>
    <n v="1"/>
    <n v="6331"/>
    <n v="33.351708000000002"/>
    <n v="48.7"/>
  </r>
  <r>
    <n v="69653125"/>
    <x v="0"/>
    <n v="21181"/>
    <d v="2023-03-02T00:00:00"/>
    <x v="146"/>
    <x v="0"/>
    <n v="5.3220000000000003E-3"/>
    <n v="112.72528200000001"/>
    <s v="BR"/>
    <x v="3"/>
    <x v="37"/>
    <s v="Q1"/>
    <n v="120"/>
    <n v="176.50833333333333"/>
    <s v="BR Minicups"/>
    <n v="1"/>
    <n v="21181"/>
    <n v="112.72528200000001"/>
    <n v="176.50833333333333"/>
  </r>
  <r>
    <n v="69671641"/>
    <x v="3"/>
    <n v="0"/>
    <d v="2023-03-02T00:00:00"/>
    <x v="260"/>
    <x v="4"/>
    <n v="3.9039999999999999E-3"/>
    <n v="0"/>
    <s v="GH"/>
    <x v="3"/>
    <x v="4"/>
    <s v="Q1"/>
    <n v="154"/>
    <n v="0"/>
    <s v="MBG"/>
    <n v="1"/>
    <n v="0"/>
    <n v="0"/>
    <n v="0"/>
  </r>
  <r>
    <n v="69671652"/>
    <x v="3"/>
    <n v="3603"/>
    <d v="2023-03-02T00:00:00"/>
    <x v="197"/>
    <x v="24"/>
    <n v="2.8319999999999999E-3"/>
    <n v="10.203695999999999"/>
    <s v="GH"/>
    <x v="3"/>
    <x v="4"/>
    <s v="Q1"/>
    <n v="225"/>
    <n v="16.013333333333332"/>
    <s v="MBG"/>
    <n v="1"/>
    <n v="3603"/>
    <n v="10.203695999999999"/>
    <n v="16.013333333333332"/>
  </r>
  <r>
    <n v="69677917"/>
    <x v="3"/>
    <n v="4896"/>
    <d v="2023-03-02T00:00:00"/>
    <x v="30"/>
    <x v="29"/>
    <n v="5.2680000000000001E-3"/>
    <n v="25.792128000000002"/>
    <s v="PS"/>
    <x v="3"/>
    <x v="3"/>
    <s v="Q1"/>
    <n v="108"/>
    <n v="45.333333333333336"/>
    <s v="PG"/>
    <n v="1"/>
    <n v="4896"/>
    <n v="25.792128000000002"/>
    <n v="45.333333333333336"/>
  </r>
  <r>
    <n v="69677917"/>
    <x v="2"/>
    <n v="3161"/>
    <d v="2023-03-02T00:00:00"/>
    <x v="30"/>
    <x v="30"/>
    <n v="5.2680000000000001E-3"/>
    <n v="16.652148"/>
    <s v="PS"/>
    <x v="3"/>
    <x v="14"/>
    <s v="Q1"/>
    <n v="108"/>
    <n v="29.268518518518519"/>
    <s v="PG"/>
    <n v="1"/>
    <n v="3161"/>
    <n v="16.652148"/>
    <n v="29.268518518518519"/>
  </r>
  <r>
    <n v="69684522"/>
    <x v="2"/>
    <n v="6918"/>
    <d v="2023-03-02T00:00:00"/>
    <x v="31"/>
    <x v="31"/>
    <n v="4.2560000000000002E-3"/>
    <n v="29.443008000000003"/>
    <s v="BR"/>
    <x v="3"/>
    <x v="5"/>
    <s v="Q1"/>
    <n v="143"/>
    <n v="48.37762237762238"/>
    <s v="MG Sticks"/>
    <n v="1"/>
    <n v="6918"/>
    <n v="29.443008000000003"/>
    <n v="48.37762237762238"/>
  </r>
  <r>
    <n v="69706147"/>
    <x v="2"/>
    <n v="0"/>
    <d v="2023-03-02T00:00:00"/>
    <x v="195"/>
    <x v="31"/>
    <n v="3.8999999999999998E-3"/>
    <n v="0"/>
    <s v="TA"/>
    <x v="3"/>
    <x v="42"/>
    <s v="Q1"/>
    <n v="176"/>
    <n v="0"/>
    <s v="TAL NV"/>
    <n v="1"/>
    <n v="0"/>
    <n v="0"/>
    <n v="0"/>
  </r>
  <r>
    <n v="84135770"/>
    <x v="2"/>
    <n v="25326"/>
    <d v="2023-03-02T00:00:00"/>
    <x v="277"/>
    <x v="15"/>
    <n v="3.7853439999999999E-3"/>
    <n v="95.867622143999995"/>
    <s v="BJ"/>
    <x v="3"/>
    <x v="30"/>
    <s v="Q1"/>
    <n v="240"/>
    <n v="105.52500000000001"/>
    <s v="BJ PTS"/>
    <n v="1"/>
    <n v="25326"/>
    <n v="95.867622143999995"/>
    <n v="105.52500000000001"/>
  </r>
  <r>
    <n v="84137725"/>
    <x v="13"/>
    <n v="63240"/>
    <d v="2023-03-02T00:00:00"/>
    <x v="132"/>
    <x v="33"/>
    <n v="3.7853439999999999E-3"/>
    <n v="239.38515455999999"/>
    <s v="BJ"/>
    <x v="3"/>
    <x v="36"/>
    <s v="Q1"/>
    <n v="240"/>
    <n v="263.5"/>
    <s v="BJ PTS"/>
    <n v="1"/>
    <n v="63240"/>
    <n v="239.38515455999999"/>
    <n v="263.5"/>
  </r>
  <r>
    <n v="84141102"/>
    <x v="13"/>
    <n v="35976"/>
    <d v="2023-03-02T00:00:00"/>
    <x v="217"/>
    <x v="38"/>
    <n v="3.7853439999999999E-3"/>
    <n v="136.181535744"/>
    <s v="BJ"/>
    <x v="3"/>
    <x v="36"/>
    <s v="Q1"/>
    <n v="240"/>
    <n v="149.9"/>
    <s v="BJ PTS"/>
    <n v="1"/>
    <n v="35976"/>
    <n v="136.181535744"/>
    <n v="149.9"/>
  </r>
  <r>
    <n v="67309845"/>
    <x v="3"/>
    <n v="13504"/>
    <d v="2023-03-03T00:00:00"/>
    <x v="62"/>
    <x v="16"/>
    <n v="8.5199999999999998E-3"/>
    <n v="115.05408"/>
    <s v="BR"/>
    <x v="3"/>
    <x v="6"/>
    <s v="Q1"/>
    <n v="154"/>
    <n v="87.688311688311686"/>
    <s v="48oz"/>
    <n v="1"/>
    <n v="13504"/>
    <n v="115.05408"/>
    <n v="87.688311688311686"/>
  </r>
  <r>
    <n v="67465063"/>
    <x v="3"/>
    <n v="291"/>
    <d v="2023-03-03T00:00:00"/>
    <x v="3"/>
    <x v="40"/>
    <n v="5.2680000000000001E-3"/>
    <n v="1.532988"/>
    <s v="PS"/>
    <x v="3"/>
    <x v="3"/>
    <s v="Q1"/>
    <n v="130"/>
    <n v="2.2384615384615385"/>
    <s v="PG"/>
    <n v="1"/>
    <n v="291"/>
    <n v="1.532988"/>
    <n v="2.2384615384615385"/>
  </r>
  <r>
    <n v="67465063"/>
    <x v="3"/>
    <n v="0"/>
    <d v="2023-03-03T00:00:00"/>
    <x v="3"/>
    <x v="3"/>
    <n v="5.2680000000000001E-3"/>
    <n v="0"/>
    <s v="PS"/>
    <x v="3"/>
    <x v="3"/>
    <s v="Q1"/>
    <n v="130"/>
    <n v="0"/>
    <s v="PG"/>
    <n v="1"/>
    <n v="0"/>
    <n v="0"/>
    <n v="0"/>
  </r>
  <r>
    <n v="67465063"/>
    <x v="3"/>
    <n v="3768"/>
    <d v="2023-03-03T00:00:00"/>
    <x v="3"/>
    <x v="6"/>
    <n v="5.2680000000000001E-3"/>
    <n v="19.849824000000002"/>
    <s v="PS"/>
    <x v="3"/>
    <x v="3"/>
    <s v="Q1"/>
    <n v="130"/>
    <n v="28.984615384615385"/>
    <s v="PG"/>
    <n v="1"/>
    <n v="3768"/>
    <n v="19.849824000000002"/>
    <n v="28.984615384615385"/>
  </r>
  <r>
    <n v="67465064"/>
    <x v="3"/>
    <n v="1372"/>
    <d v="2023-03-03T00:00:00"/>
    <x v="7"/>
    <x v="3"/>
    <n v="1.596E-3"/>
    <n v="2.1897120000000001"/>
    <s v="PS"/>
    <x v="3"/>
    <x v="3"/>
    <s v="Q1"/>
    <n v="130"/>
    <n v="10.553846153846154"/>
    <s v="PG"/>
    <n v="1"/>
    <n v="1372"/>
    <n v="2.1897120000000001"/>
    <n v="10.553846153846154"/>
  </r>
  <r>
    <n v="67466492"/>
    <x v="3"/>
    <n v="0"/>
    <d v="2023-03-03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2090"/>
    <d v="2023-03-03T00:00:00"/>
    <x v="8"/>
    <x v="7"/>
    <n v="5.2680000000000001E-3"/>
    <n v="11.010120000000001"/>
    <s v="PS"/>
    <x v="3"/>
    <x v="3"/>
    <s v="Q1"/>
    <n v="130"/>
    <n v="16.076923076923077"/>
    <s v="PG"/>
    <n v="1"/>
    <n v="2090"/>
    <n v="11.010120000000001"/>
    <n v="16.076923076923077"/>
  </r>
  <r>
    <n v="67466492"/>
    <x v="3"/>
    <n v="1591"/>
    <d v="2023-03-03T00:00:00"/>
    <x v="8"/>
    <x v="8"/>
    <n v="5.2680000000000001E-3"/>
    <n v="8.3813879999999994"/>
    <s v="PS"/>
    <x v="3"/>
    <x v="3"/>
    <s v="Q1"/>
    <n v="130"/>
    <n v="12.238461538461538"/>
    <s v="PG"/>
    <n v="1"/>
    <n v="1591"/>
    <n v="8.3813879999999994"/>
    <n v="12.238461538461538"/>
  </r>
  <r>
    <n v="67476560"/>
    <x v="3"/>
    <n v="1595"/>
    <d v="2023-03-03T00:00:00"/>
    <x v="10"/>
    <x v="10"/>
    <n v="5.1060000000000003E-3"/>
    <n v="8.144070000000001"/>
    <s v="PS"/>
    <x v="3"/>
    <x v="3"/>
    <s v="Q1"/>
    <n v="130"/>
    <n v="12.26923076923077"/>
    <s v="PG"/>
    <n v="1"/>
    <n v="1595"/>
    <n v="8.144070000000001"/>
    <n v="12.26923076923077"/>
  </r>
  <r>
    <n v="67825197"/>
    <x v="5"/>
    <n v="7938"/>
    <d v="2023-03-03T00:00:00"/>
    <x v="273"/>
    <x v="35"/>
    <n v="9.0848256361922702E-3"/>
    <n v="72.115345900094241"/>
    <s v="BJ"/>
    <x v="3"/>
    <x v="39"/>
    <s v="Q1"/>
    <n v="125"/>
    <n v="63.503999999999998"/>
    <s v="2.4 Gal"/>
    <n v="1"/>
    <n v="7938"/>
    <n v="72.115345900094241"/>
    <n v="63.503999999999998"/>
  </r>
  <r>
    <n v="67826411"/>
    <x v="5"/>
    <n v="17936"/>
    <d v="2023-03-03T00:00:00"/>
    <x v="148"/>
    <x v="35"/>
    <n v="3.7839999999999996E-3"/>
    <n v="67.869823999999994"/>
    <s v="BJ"/>
    <x v="3"/>
    <x v="15"/>
    <s v="Q1"/>
    <n v="240"/>
    <n v="74.733333333333334"/>
    <s v="BJ PTS"/>
    <n v="1"/>
    <n v="17936"/>
    <n v="67.869823999999994"/>
    <n v="74.733333333333334"/>
  </r>
  <r>
    <n v="67885716"/>
    <x v="3"/>
    <n v="5418"/>
    <d v="2023-03-03T00:00:00"/>
    <x v="89"/>
    <x v="11"/>
    <n v="8.5199999999999998E-3"/>
    <n v="46.161360000000002"/>
    <s v="BR"/>
    <x v="3"/>
    <x v="6"/>
    <s v="Q1"/>
    <n v="154"/>
    <n v="35.18181818181818"/>
    <s v="48oz"/>
    <n v="1"/>
    <n v="5418"/>
    <n v="46.161360000000002"/>
    <n v="35.18181818181818"/>
  </r>
  <r>
    <n v="67901589"/>
    <x v="2"/>
    <n v="17822"/>
    <d v="2023-03-03T00:00:00"/>
    <x v="220"/>
    <x v="32"/>
    <n v="8.5199999999999998E-3"/>
    <n v="151.84343999999999"/>
    <s v="BR"/>
    <x v="3"/>
    <x v="2"/>
    <s v="Q1"/>
    <n v="154"/>
    <n v="115.72727272727273"/>
    <s v="48oz"/>
    <n v="1"/>
    <n v="17822"/>
    <n v="151.84343999999999"/>
    <n v="115.72727272727273"/>
  </r>
  <r>
    <n v="67904289"/>
    <x v="5"/>
    <n v="56926"/>
    <d v="2023-03-03T00:00:00"/>
    <x v="235"/>
    <x v="38"/>
    <n v="3.7839999999999996E-3"/>
    <n v="215.40798399999997"/>
    <s v="BJ"/>
    <x v="3"/>
    <x v="15"/>
    <s v="Q1"/>
    <n v="240"/>
    <n v="237.19166666666666"/>
    <s v="BJ PTS"/>
    <n v="1"/>
    <n v="56926"/>
    <n v="215.40798399999997"/>
    <n v="237.19166666666666"/>
  </r>
  <r>
    <n v="67908208"/>
    <x v="2"/>
    <n v="0"/>
    <d v="2023-03-03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143999"/>
    <x v="2"/>
    <n v="13483"/>
    <d v="2023-03-03T00:00:00"/>
    <x v="94"/>
    <x v="2"/>
    <n v="8.5199999999999998E-3"/>
    <n v="114.87515999999999"/>
    <s v="BR"/>
    <x v="3"/>
    <x v="2"/>
    <s v="Q1"/>
    <n v="154"/>
    <n v="87.551948051948045"/>
    <s v="48oz"/>
    <n v="1"/>
    <n v="13483"/>
    <n v="114.87515999999999"/>
    <n v="87.551948051948045"/>
  </r>
  <r>
    <n v="68188513"/>
    <x v="5"/>
    <n v="9015"/>
    <d v="2023-03-03T00:00:00"/>
    <x v="279"/>
    <x v="38"/>
    <n v="3.7853439999999999E-3"/>
    <n v="34.124876159999999"/>
    <s v="BJ"/>
    <x v="3"/>
    <x v="15"/>
    <s v="Q1"/>
    <n v="240"/>
    <n v="37.5625"/>
    <s v="BJ PTS"/>
    <n v="1"/>
    <n v="9015"/>
    <n v="34.124876159999999"/>
    <n v="37.5625"/>
  </r>
  <r>
    <n v="68654238"/>
    <x v="5"/>
    <n v="19803"/>
    <d v="2023-03-03T00:00:00"/>
    <x v="54"/>
    <x v="33"/>
    <n v="3.7839999999999996E-3"/>
    <n v="74.934551999999996"/>
    <s v="BJ"/>
    <x v="3"/>
    <x v="15"/>
    <s v="Q1"/>
    <n v="240"/>
    <n v="82.512500000000003"/>
    <s v="BJ PTS"/>
    <n v="1"/>
    <n v="19803"/>
    <n v="74.934551999999996"/>
    <n v="82.512500000000003"/>
  </r>
  <r>
    <n v="68689251"/>
    <x v="3"/>
    <n v="4642"/>
    <d v="2023-03-03T00:00:00"/>
    <x v="17"/>
    <x v="17"/>
    <n v="9.5760000000000012E-3"/>
    <n v="44.451792000000005"/>
    <s v="KL"/>
    <x v="3"/>
    <x v="8"/>
    <s v="Q1"/>
    <n v="132"/>
    <n v="35.166666666666664"/>
    <s v="EDF"/>
    <n v="1"/>
    <n v="4642"/>
    <n v="44.451792000000005"/>
    <n v="35.166666666666664"/>
  </r>
  <r>
    <n v="68689253"/>
    <x v="2"/>
    <n v="1339"/>
    <d v="2023-03-03T00:00:00"/>
    <x v="125"/>
    <x v="18"/>
    <n v="6.0035555555555554E-3"/>
    <n v="8.0387608888888895"/>
    <s v="KL"/>
    <x v="3"/>
    <x v="9"/>
    <s v="Q1"/>
    <n v="120"/>
    <n v="11.158333333333333"/>
    <s v="ESS"/>
    <n v="1"/>
    <n v="1339"/>
    <n v="8.0387608888888895"/>
    <n v="11.158333333333333"/>
  </r>
  <r>
    <n v="68709233"/>
    <x v="3"/>
    <n v="0"/>
    <d v="2023-03-03T00:00:00"/>
    <x v="19"/>
    <x v="19"/>
    <n v="8.4960000000000001E-3"/>
    <n v="0"/>
    <s v="KL"/>
    <x v="3"/>
    <x v="8"/>
    <s v="Q1"/>
    <n v="132"/>
    <n v="0"/>
    <s v="EDF"/>
    <n v="1"/>
    <n v="0"/>
    <n v="0"/>
    <n v="0"/>
  </r>
  <r>
    <n v="68726896"/>
    <x v="2"/>
    <n v="665"/>
    <d v="2023-03-03T00:00:00"/>
    <x v="280"/>
    <x v="22"/>
    <n v="3.7853440000000004E-3"/>
    <n v="2.5172537600000005"/>
    <s v="TA"/>
    <x v="3"/>
    <x v="10"/>
    <s v="Q1"/>
    <n v="255"/>
    <n v="2.607843137254902"/>
    <s v="TALENTI"/>
    <n v="1"/>
    <n v="665"/>
    <n v="2.5172537600000005"/>
    <n v="2.607843137254902"/>
  </r>
  <r>
    <n v="68732328"/>
    <x v="2"/>
    <n v="5342"/>
    <d v="2023-03-03T00:00:00"/>
    <x v="268"/>
    <x v="22"/>
    <n v="3.7853440000000004E-3"/>
    <n v="20.221307648000003"/>
    <s v="TA"/>
    <x v="3"/>
    <x v="10"/>
    <s v="Q1"/>
    <n v="255"/>
    <n v="20.949019607843137"/>
    <s v="TALENTI"/>
    <n v="1"/>
    <n v="5342"/>
    <n v="20.221307648000003"/>
    <n v="20.949019607843137"/>
  </r>
  <r>
    <n v="68737750"/>
    <x v="3"/>
    <n v="3816"/>
    <d v="2023-03-03T00:00:00"/>
    <x v="144"/>
    <x v="23"/>
    <n v="8.5199999999999998E-3"/>
    <n v="32.512320000000003"/>
    <s v="BR"/>
    <x v="3"/>
    <x v="6"/>
    <s v="Q1"/>
    <n v="176"/>
    <n v="21.681818181818183"/>
    <s v="48oz"/>
    <n v="1"/>
    <n v="3816"/>
    <n v="32.512320000000003"/>
    <n v="21.681818181818183"/>
  </r>
  <r>
    <n v="68741742"/>
    <x v="3"/>
    <n v="1231"/>
    <d v="2023-03-03T00:00:00"/>
    <x v="25"/>
    <x v="4"/>
    <n v="4.2560000000000002E-3"/>
    <n v="5.2391360000000002"/>
    <s v="GH"/>
    <x v="3"/>
    <x v="4"/>
    <s v="Q1"/>
    <n v="154"/>
    <n v="7.9935064935064934"/>
    <s v="MBG"/>
    <n v="1"/>
    <n v="1231"/>
    <n v="5.2391360000000002"/>
    <n v="7.9935064935064934"/>
  </r>
  <r>
    <n v="68741742"/>
    <x v="2"/>
    <n v="5482"/>
    <d v="2023-03-03T00:00:00"/>
    <x v="25"/>
    <x v="25"/>
    <n v="4.2560000000000002E-3"/>
    <n v="23.331392000000001"/>
    <s v="GH"/>
    <x v="3"/>
    <x v="11"/>
    <s v="Q1"/>
    <n v="154"/>
    <n v="35.597402597402599"/>
    <s v="MBG"/>
    <n v="1"/>
    <n v="5482"/>
    <n v="23.331392000000001"/>
    <n v="35.597402597402599"/>
  </r>
  <r>
    <n v="68741745"/>
    <x v="3"/>
    <n v="0"/>
    <d v="2023-03-03T00:00:00"/>
    <x v="281"/>
    <x v="24"/>
    <n v="2.8319999999999999E-3"/>
    <n v="0"/>
    <s v="GH"/>
    <x v="3"/>
    <x v="4"/>
    <s v="Q1"/>
    <n v="315"/>
    <n v="0"/>
    <s v="MBG"/>
    <n v="1"/>
    <n v="0"/>
    <n v="0"/>
    <n v="0"/>
  </r>
  <r>
    <n v="68746232"/>
    <x v="2"/>
    <n v="5061"/>
    <d v="2023-03-03T00:00:00"/>
    <x v="154"/>
    <x v="26"/>
    <n v="9.5879999999999993E-3"/>
    <n v="48.524867999999998"/>
    <s v="KL"/>
    <x v="3"/>
    <x v="12"/>
    <s v="Q1"/>
    <n v="132"/>
    <n v="38.340909090909093"/>
    <s v="EDF"/>
    <n v="1"/>
    <n v="5061"/>
    <n v="48.524867999999998"/>
    <n v="38.340909090909093"/>
  </r>
  <r>
    <n v="68852591"/>
    <x v="2"/>
    <n v="0"/>
    <d v="2023-03-03T00:00:00"/>
    <x v="26"/>
    <x v="26"/>
    <n v="8.5199999999999998E-3"/>
    <n v="0"/>
    <s v="KL"/>
    <x v="3"/>
    <x v="12"/>
    <s v="Q1"/>
    <n v="132"/>
    <n v="0"/>
    <s v="EDF"/>
    <n v="1"/>
    <n v="0"/>
    <n v="0"/>
    <n v="0"/>
  </r>
  <r>
    <n v="68896052"/>
    <x v="2"/>
    <n v="11714"/>
    <d v="2023-03-03T00:00:00"/>
    <x v="36"/>
    <x v="13"/>
    <n v="8.5199999999999998E-3"/>
    <n v="99.803280000000001"/>
    <s v="BR"/>
    <x v="3"/>
    <x v="2"/>
    <s v="Q1"/>
    <n v="176"/>
    <n v="66.556818181818187"/>
    <s v="48oz"/>
    <n v="1"/>
    <n v="11714"/>
    <n v="99.803280000000001"/>
    <n v="66.556818181818187"/>
  </r>
  <r>
    <n v="68921994"/>
    <x v="3"/>
    <n v="1014"/>
    <d v="2023-03-03T00:00:00"/>
    <x v="258"/>
    <x v="20"/>
    <n v="9.5879999999999993E-3"/>
    <n v="9.722232"/>
    <s v="KL"/>
    <x v="3"/>
    <x v="8"/>
    <s v="Q1"/>
    <n v="132"/>
    <n v="7.6818181818181817"/>
    <s v="EDF"/>
    <n v="1"/>
    <n v="1014"/>
    <n v="9.722232"/>
    <n v="7.6818181818181817"/>
  </r>
  <r>
    <n v="68921994"/>
    <x v="3"/>
    <n v="1011"/>
    <d v="2023-03-03T00:00:00"/>
    <x v="258"/>
    <x v="20"/>
    <n v="9.5879999999999993E-3"/>
    <n v="9.6934679999999993"/>
    <s v="KL"/>
    <x v="3"/>
    <x v="8"/>
    <s v="Q1"/>
    <n v="132"/>
    <n v="7.6590909090909092"/>
    <s v="EDF"/>
    <n v="1"/>
    <n v="1011"/>
    <n v="9.6934679999999993"/>
    <n v="7.6590909090909092"/>
  </r>
  <r>
    <n v="68922108"/>
    <x v="2"/>
    <n v="25294"/>
    <d v="2023-03-03T00:00:00"/>
    <x v="184"/>
    <x v="21"/>
    <n v="3.7839999999999996E-3"/>
    <n v="95.712495999999987"/>
    <s v="TA"/>
    <x v="3"/>
    <x v="10"/>
    <s v="Q1"/>
    <n v="255"/>
    <n v="99.192156862745094"/>
    <s v="TALENTI"/>
    <n v="1"/>
    <n v="25294"/>
    <n v="95.712495999999987"/>
    <n v="99.192156862745094"/>
  </r>
  <r>
    <n v="68930545"/>
    <x v="3"/>
    <n v="4260"/>
    <d v="2023-03-03T00:00:00"/>
    <x v="93"/>
    <x v="12"/>
    <n v="8.5199999999999998E-3"/>
    <n v="36.295200000000001"/>
    <s v="BR"/>
    <x v="3"/>
    <x v="6"/>
    <s v="Q1"/>
    <n v="176"/>
    <n v="24.204545454545453"/>
    <s v="48oz"/>
    <n v="1"/>
    <n v="4260"/>
    <n v="36.295200000000001"/>
    <n v="24.204545454545453"/>
  </r>
  <r>
    <n v="69555090"/>
    <x v="2"/>
    <n v="1293"/>
    <d v="2023-03-03T00:00:00"/>
    <x v="254"/>
    <x v="14"/>
    <n v="1.98E-3"/>
    <n v="2.5601400000000001"/>
    <s v="TA"/>
    <x v="3"/>
    <x v="42"/>
    <s v="Q1"/>
    <n v="176"/>
    <n v="7.3465909090909092"/>
    <s v="TAL NV"/>
    <n v="1"/>
    <n v="1293"/>
    <n v="2.5601400000000001"/>
    <n v="7.3465909090909092"/>
  </r>
  <r>
    <n v="69568963"/>
    <x v="2"/>
    <n v="0"/>
    <d v="2023-03-03T00:00:00"/>
    <x v="94"/>
    <x v="2"/>
    <n v="8.5199999999999998E-3"/>
    <n v="0"/>
    <s v="BR"/>
    <x v="3"/>
    <x v="2"/>
    <s v="Q1"/>
    <n v="176"/>
    <n v="0"/>
    <s v="48oz"/>
    <n v="1"/>
    <n v="0"/>
    <n v="0"/>
    <n v="0"/>
  </r>
  <r>
    <n v="69572544"/>
    <x v="2"/>
    <n v="0"/>
    <d v="2023-03-03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572658"/>
    <x v="2"/>
    <n v="2221"/>
    <d v="2023-03-03T00:00:00"/>
    <x v="166"/>
    <x v="5"/>
    <n v="2.1520000000000003E-3"/>
    <n v="4.779592000000001"/>
    <s v="MG"/>
    <x v="3"/>
    <x v="5"/>
    <s v="Q1"/>
    <n v="210"/>
    <n v="10.576190476190476"/>
    <s v="MG Sticks"/>
    <n v="1"/>
    <n v="2221"/>
    <n v="4.779592000000001"/>
    <n v="10.576190476190476"/>
  </r>
  <r>
    <n v="69621212"/>
    <x v="2"/>
    <n v="5303"/>
    <d v="2023-03-03T00:00:00"/>
    <x v="29"/>
    <x v="28"/>
    <n v="5.2680000000000001E-3"/>
    <n v="27.936204"/>
    <s v="PG"/>
    <x v="3"/>
    <x v="14"/>
    <s v="Q1"/>
    <n v="130"/>
    <n v="40.792307692307695"/>
    <s v="PG"/>
    <n v="1"/>
    <n v="5303"/>
    <n v="27.936204"/>
    <n v="40.792307692307695"/>
  </r>
  <r>
    <n v="69629477"/>
    <x v="1"/>
    <n v="2978"/>
    <d v="2023-03-03T00:00:00"/>
    <x v="61"/>
    <x v="0"/>
    <n v="5.3280000000000003E-3"/>
    <n v="15.866784000000001"/>
    <s v="KL"/>
    <x v="3"/>
    <x v="26"/>
    <s v="Q1"/>
    <n v="108"/>
    <n v="27.574074074074073"/>
    <s v="KL Mini Cones"/>
    <n v="1"/>
    <n v="2978"/>
    <n v="15.866784000000001"/>
    <n v="27.574074074074073"/>
  </r>
  <r>
    <n v="69671641"/>
    <x v="3"/>
    <n v="0"/>
    <d v="2023-03-03T00:00:00"/>
    <x v="260"/>
    <x v="4"/>
    <n v="3.9039999999999999E-3"/>
    <n v="0"/>
    <s v="GH"/>
    <x v="3"/>
    <x v="4"/>
    <s v="Q1"/>
    <n v="154"/>
    <n v="0"/>
    <s v="MBG"/>
    <n v="1"/>
    <n v="0"/>
    <n v="0"/>
    <n v="0"/>
  </r>
  <r>
    <n v="69671652"/>
    <x v="3"/>
    <n v="1174"/>
    <d v="2023-03-03T00:00:00"/>
    <x v="197"/>
    <x v="24"/>
    <n v="2.8319999999999999E-3"/>
    <n v="3.3247679999999997"/>
    <s v="GH"/>
    <x v="3"/>
    <x v="4"/>
    <s v="Q1"/>
    <n v="225"/>
    <n v="5.2177777777777781"/>
    <s v="MBG"/>
    <n v="1"/>
    <n v="1174"/>
    <n v="3.3247679999999997"/>
    <n v="5.2177777777777781"/>
  </r>
  <r>
    <n v="69677917"/>
    <x v="3"/>
    <n v="3362"/>
    <d v="2023-03-03T00:00:00"/>
    <x v="30"/>
    <x v="29"/>
    <n v="5.2680000000000001E-3"/>
    <n v="17.711016000000001"/>
    <s v="PS"/>
    <x v="3"/>
    <x v="3"/>
    <s v="Q1"/>
    <n v="108"/>
    <n v="31.12962962962963"/>
    <s v="PG"/>
    <n v="1"/>
    <n v="3362"/>
    <n v="17.711016000000001"/>
    <n v="31.12962962962963"/>
  </r>
  <r>
    <n v="69677917"/>
    <x v="2"/>
    <n v="6330"/>
    <d v="2023-03-03T00:00:00"/>
    <x v="30"/>
    <x v="30"/>
    <n v="5.2680000000000001E-3"/>
    <n v="33.346440000000001"/>
    <s v="PS"/>
    <x v="3"/>
    <x v="14"/>
    <s v="Q1"/>
    <n v="108"/>
    <n v="58.611111111111114"/>
    <s v="PG"/>
    <n v="1"/>
    <n v="6330"/>
    <n v="33.346440000000001"/>
    <n v="58.611111111111114"/>
  </r>
  <r>
    <n v="69684522"/>
    <x v="2"/>
    <n v="0"/>
    <d v="2023-03-03T00:00:00"/>
    <x v="31"/>
    <x v="31"/>
    <n v="4.2560000000000002E-3"/>
    <n v="0"/>
    <s v="BR"/>
    <x v="3"/>
    <x v="5"/>
    <s v="Q1"/>
    <n v="143"/>
    <n v="0"/>
    <s v="MG Sticks"/>
    <n v="1"/>
    <n v="0"/>
    <n v="0"/>
    <n v="0"/>
  </r>
  <r>
    <n v="69706147"/>
    <x v="2"/>
    <n v="0"/>
    <d v="2023-03-03T00:00:00"/>
    <x v="195"/>
    <x v="31"/>
    <n v="3.8999999999999998E-3"/>
    <n v="0"/>
    <s v="TA"/>
    <x v="3"/>
    <x v="42"/>
    <s v="Q1"/>
    <n v="176"/>
    <n v="0"/>
    <s v="TAL NV"/>
    <n v="1"/>
    <n v="0"/>
    <n v="0"/>
    <n v="0"/>
  </r>
  <r>
    <n v="84135770"/>
    <x v="2"/>
    <n v="12435"/>
    <d v="2023-03-03T00:00:00"/>
    <x v="277"/>
    <x v="15"/>
    <n v="3.7853439999999999E-3"/>
    <n v="47.070752640000002"/>
    <s v="BJ"/>
    <x v="3"/>
    <x v="30"/>
    <s v="Q1"/>
    <n v="240"/>
    <n v="51.8125"/>
    <s v="BJ PTS"/>
    <n v="1"/>
    <n v="12435"/>
    <n v="47.070752640000002"/>
    <n v="51.8125"/>
  </r>
  <r>
    <n v="84139000"/>
    <x v="5"/>
    <n v="4729"/>
    <d v="2023-03-03T00:00:00"/>
    <x v="282"/>
    <x v="33"/>
    <n v="9.0848256361922702E-3"/>
    <n v="42.962140433553245"/>
    <s v="BJ"/>
    <x v="3"/>
    <x v="39"/>
    <s v="Q1"/>
    <n v="125"/>
    <n v="37.832000000000001"/>
    <s v="2.4 Gal"/>
    <n v="1"/>
    <n v="4729"/>
    <n v="42.962140433553245"/>
    <n v="37.832000000000001"/>
  </r>
  <r>
    <n v="84141037"/>
    <x v="5"/>
    <n v="0"/>
    <d v="2023-03-03T00:00:00"/>
    <x v="167"/>
    <x v="35"/>
    <n v="9.0848256361922702E-3"/>
    <n v="0"/>
    <s v="BJ"/>
    <x v="3"/>
    <x v="39"/>
    <s v="Q1"/>
    <n v="125"/>
    <n v="0"/>
    <s v="2.4 Gal"/>
    <n v="1"/>
    <n v="0"/>
    <n v="0"/>
    <n v="0"/>
  </r>
  <r>
    <n v="67309845"/>
    <x v="3"/>
    <n v="11167"/>
    <d v="2023-03-04T00:00:00"/>
    <x v="62"/>
    <x v="16"/>
    <n v="8.5199999999999998E-3"/>
    <n v="95.142839999999993"/>
    <s v="BR"/>
    <x v="3"/>
    <x v="6"/>
    <s v="Q1"/>
    <n v="154"/>
    <n v="72.512987012987011"/>
    <s v="48oz"/>
    <n v="1"/>
    <n v="11167"/>
    <n v="95.142839999999993"/>
    <n v="72.512987012987011"/>
  </r>
  <r>
    <n v="67465063"/>
    <x v="3"/>
    <n v="4499"/>
    <d v="2023-03-04T00:00:00"/>
    <x v="3"/>
    <x v="6"/>
    <n v="5.2680000000000001E-3"/>
    <n v="23.700732000000002"/>
    <s v="PS"/>
    <x v="3"/>
    <x v="3"/>
    <s v="Q1"/>
    <n v="130"/>
    <n v="34.607692307692311"/>
    <s v="PG"/>
    <n v="1"/>
    <n v="4499"/>
    <n v="23.700732000000002"/>
    <n v="34.607692307692311"/>
  </r>
  <r>
    <n v="67466492"/>
    <x v="3"/>
    <n v="2136"/>
    <d v="2023-03-04T00:00:00"/>
    <x v="8"/>
    <x v="8"/>
    <n v="5.2680000000000001E-3"/>
    <n v="11.252448000000001"/>
    <s v="PS"/>
    <x v="3"/>
    <x v="3"/>
    <s v="Q1"/>
    <n v="130"/>
    <n v="16.430769230769229"/>
    <s v="PG"/>
    <n v="1"/>
    <n v="2136"/>
    <n v="11.252448000000001"/>
    <n v="16.430769230769229"/>
  </r>
  <r>
    <n v="67476560"/>
    <x v="3"/>
    <n v="1929"/>
    <d v="2023-03-04T00:00:00"/>
    <x v="10"/>
    <x v="10"/>
    <n v="5.1060000000000003E-3"/>
    <n v="9.8494740000000007"/>
    <s v="PS"/>
    <x v="3"/>
    <x v="3"/>
    <s v="Q1"/>
    <n v="130"/>
    <n v="14.838461538461539"/>
    <s v="PG"/>
    <n v="1"/>
    <n v="1929"/>
    <n v="9.8494740000000007"/>
    <n v="14.838461538461539"/>
  </r>
  <r>
    <n v="67901589"/>
    <x v="2"/>
    <n v="23797"/>
    <d v="2023-03-04T00:00:00"/>
    <x v="220"/>
    <x v="32"/>
    <n v="8.5199999999999998E-3"/>
    <n v="202.75044"/>
    <s v="BR"/>
    <x v="3"/>
    <x v="2"/>
    <s v="Q1"/>
    <n v="154"/>
    <n v="154.52597402597402"/>
    <s v="48oz"/>
    <n v="1"/>
    <n v="23797"/>
    <n v="202.75044"/>
    <n v="154.52597402597402"/>
  </r>
  <r>
    <n v="67908208"/>
    <x v="2"/>
    <n v="0"/>
    <d v="2023-03-04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143999"/>
    <x v="2"/>
    <n v="11146"/>
    <d v="2023-03-04T00:00:00"/>
    <x v="94"/>
    <x v="2"/>
    <n v="8.5199999999999998E-3"/>
    <n v="94.963920000000002"/>
    <s v="BR"/>
    <x v="3"/>
    <x v="2"/>
    <s v="Q1"/>
    <n v="154"/>
    <n v="72.376623376623371"/>
    <s v="48oz"/>
    <n v="1"/>
    <n v="11146"/>
    <n v="94.963920000000002"/>
    <n v="72.376623376623371"/>
  </r>
  <r>
    <n v="68689251"/>
    <x v="3"/>
    <n v="7771"/>
    <d v="2023-03-04T00:00:00"/>
    <x v="17"/>
    <x v="17"/>
    <n v="9.5760000000000012E-3"/>
    <n v="74.415096000000005"/>
    <s v="KL"/>
    <x v="3"/>
    <x v="8"/>
    <s v="Q1"/>
    <n v="132"/>
    <n v="58.871212121212125"/>
    <s v="EDF"/>
    <n v="1"/>
    <n v="7771"/>
    <n v="74.415096000000005"/>
    <n v="58.871212121212125"/>
  </r>
  <r>
    <n v="68726896"/>
    <x v="2"/>
    <n v="17244"/>
    <d v="2023-03-04T00:00:00"/>
    <x v="280"/>
    <x v="22"/>
    <n v="3.7853440000000004E-3"/>
    <n v="65.274471936000012"/>
    <s v="TA"/>
    <x v="3"/>
    <x v="10"/>
    <s v="Q1"/>
    <n v="255"/>
    <n v="67.623529411764707"/>
    <s v="TALENTI"/>
    <n v="1"/>
    <n v="17244"/>
    <n v="65.274471936000012"/>
    <n v="67.623529411764707"/>
  </r>
  <r>
    <n v="68737750"/>
    <x v="3"/>
    <n v="11182"/>
    <d v="2023-03-04T00:00:00"/>
    <x v="144"/>
    <x v="23"/>
    <n v="8.5199999999999998E-3"/>
    <n v="95.27064"/>
    <s v="BR"/>
    <x v="3"/>
    <x v="6"/>
    <s v="Q1"/>
    <n v="176"/>
    <n v="63.534090909090907"/>
    <s v="48oz"/>
    <n v="1"/>
    <n v="11182"/>
    <n v="95.27064"/>
    <n v="63.534090909090907"/>
  </r>
  <r>
    <n v="68741742"/>
    <x v="3"/>
    <n v="2254"/>
    <d v="2023-03-04T00:00:00"/>
    <x v="25"/>
    <x v="4"/>
    <n v="4.2560000000000002E-3"/>
    <n v="9.5930239999999998"/>
    <s v="GH"/>
    <x v="3"/>
    <x v="4"/>
    <s v="Q1"/>
    <n v="154"/>
    <n v="14.636363636363637"/>
    <s v="MBG"/>
    <n v="1"/>
    <n v="2254"/>
    <n v="9.5930239999999998"/>
    <n v="14.636363636363637"/>
  </r>
  <r>
    <n v="68741742"/>
    <x v="3"/>
    <n v="442"/>
    <d v="2023-03-04T00:00:00"/>
    <x v="25"/>
    <x v="4"/>
    <n v="4.2560000000000002E-3"/>
    <n v="1.8811520000000002"/>
    <s v="GH"/>
    <x v="3"/>
    <x v="4"/>
    <s v="Q1"/>
    <n v="154"/>
    <n v="2.8701298701298703"/>
    <s v="MBG"/>
    <n v="1"/>
    <n v="442"/>
    <n v="1.8811520000000002"/>
    <n v="2.8701298701298703"/>
  </r>
  <r>
    <n v="68741742"/>
    <x v="2"/>
    <n v="1767"/>
    <d v="2023-03-04T00:00:00"/>
    <x v="25"/>
    <x v="25"/>
    <n v="4.2560000000000002E-3"/>
    <n v="7.5203520000000008"/>
    <s v="GH"/>
    <x v="3"/>
    <x v="11"/>
    <s v="Q1"/>
    <n v="154"/>
    <n v="11.474025974025974"/>
    <s v="MBG"/>
    <n v="1"/>
    <n v="1767"/>
    <n v="7.5203520000000008"/>
    <n v="11.474025974025974"/>
  </r>
  <r>
    <n v="68741745"/>
    <x v="3"/>
    <n v="0"/>
    <d v="2023-03-04T00:00:00"/>
    <x v="281"/>
    <x v="24"/>
    <n v="2.8319999999999999E-3"/>
    <n v="0"/>
    <s v="GH"/>
    <x v="3"/>
    <x v="4"/>
    <s v="Q1"/>
    <n v="315"/>
    <n v="0"/>
    <s v="MBG"/>
    <n v="1"/>
    <n v="0"/>
    <n v="0"/>
    <n v="0"/>
  </r>
  <r>
    <n v="68746232"/>
    <x v="2"/>
    <n v="2733"/>
    <d v="2023-03-04T00:00:00"/>
    <x v="154"/>
    <x v="26"/>
    <n v="9.5879999999999993E-3"/>
    <n v="26.204003999999998"/>
    <s v="KL"/>
    <x v="3"/>
    <x v="12"/>
    <s v="Q1"/>
    <n v="132"/>
    <n v="20.704545454545453"/>
    <s v="EDF"/>
    <n v="1"/>
    <n v="2733"/>
    <n v="26.204003999999998"/>
    <n v="20.704545454545453"/>
  </r>
  <r>
    <n v="68821728"/>
    <x v="2"/>
    <n v="0"/>
    <d v="2023-03-04T00:00:00"/>
    <x v="35"/>
    <x v="13"/>
    <n v="8.5199999999999998E-3"/>
    <n v="0"/>
    <s v="BR"/>
    <x v="3"/>
    <x v="2"/>
    <s v="Q1"/>
    <n v="176"/>
    <n v="0"/>
    <s v="48oz"/>
    <n v="1"/>
    <n v="0"/>
    <n v="0"/>
    <n v="0"/>
  </r>
  <r>
    <n v="68852591"/>
    <x v="2"/>
    <n v="0"/>
    <d v="2023-03-04T00:00:00"/>
    <x v="26"/>
    <x v="26"/>
    <n v="8.5199999999999998E-3"/>
    <n v="0"/>
    <s v="KL"/>
    <x v="3"/>
    <x v="12"/>
    <s v="Q1"/>
    <n v="132"/>
    <n v="0"/>
    <s v="EDF"/>
    <n v="1"/>
    <n v="0"/>
    <n v="0"/>
    <n v="0"/>
  </r>
  <r>
    <n v="68896052"/>
    <x v="2"/>
    <n v="9049"/>
    <d v="2023-03-04T00:00:00"/>
    <x v="36"/>
    <x v="13"/>
    <n v="8.5199999999999998E-3"/>
    <n v="77.097480000000004"/>
    <s v="BR"/>
    <x v="3"/>
    <x v="2"/>
    <s v="Q1"/>
    <n v="176"/>
    <n v="51.414772727272727"/>
    <s v="48oz"/>
    <n v="1"/>
    <n v="9049"/>
    <n v="77.097480000000004"/>
    <n v="51.414772727272727"/>
  </r>
  <r>
    <n v="68921994"/>
    <x v="3"/>
    <n v="4289"/>
    <d v="2023-03-04T00:00:00"/>
    <x v="258"/>
    <x v="20"/>
    <n v="9.5879999999999993E-3"/>
    <n v="41.122931999999999"/>
    <s v="KL"/>
    <x v="3"/>
    <x v="8"/>
    <s v="Q1"/>
    <n v="132"/>
    <n v="32.492424242424242"/>
    <s v="EDF"/>
    <n v="1"/>
    <n v="4289"/>
    <n v="41.122931999999999"/>
    <n v="32.492424242424242"/>
  </r>
  <r>
    <n v="68922108"/>
    <x v="2"/>
    <n v="37733"/>
    <d v="2023-03-04T00:00:00"/>
    <x v="184"/>
    <x v="21"/>
    <n v="3.7839999999999996E-3"/>
    <n v="142.78167199999999"/>
    <s v="TA"/>
    <x v="3"/>
    <x v="10"/>
    <s v="Q1"/>
    <n v="255"/>
    <n v="147.97254901960784"/>
    <s v="TALENTI"/>
    <n v="1"/>
    <n v="37733"/>
    <n v="142.78167199999999"/>
    <n v="147.97254901960784"/>
  </r>
  <r>
    <n v="69568963"/>
    <x v="2"/>
    <n v="0"/>
    <d v="2023-03-04T00:00:00"/>
    <x v="94"/>
    <x v="2"/>
    <n v="8.5199999999999998E-3"/>
    <n v="0"/>
    <s v="BR"/>
    <x v="3"/>
    <x v="2"/>
    <s v="Q1"/>
    <n v="176"/>
    <n v="0"/>
    <s v="48oz"/>
    <n v="1"/>
    <n v="0"/>
    <n v="0"/>
    <n v="0"/>
  </r>
  <r>
    <n v="69572658"/>
    <x v="2"/>
    <n v="9936"/>
    <d v="2023-03-04T00:00:00"/>
    <x v="166"/>
    <x v="5"/>
    <n v="2.1520000000000003E-3"/>
    <n v="21.382272000000004"/>
    <s v="MG"/>
    <x v="3"/>
    <x v="5"/>
    <s v="Q1"/>
    <n v="210"/>
    <n v="47.314285714285717"/>
    <s v="MG Sticks"/>
    <n v="1"/>
    <n v="9936"/>
    <n v="21.382272000000004"/>
    <n v="47.314285714285717"/>
  </r>
  <r>
    <n v="69586716"/>
    <x v="2"/>
    <n v="0"/>
    <d v="2023-03-04T00:00:00"/>
    <x v="6"/>
    <x v="5"/>
    <n v="2.0400000000000001E-3"/>
    <n v="0"/>
    <s v="MG"/>
    <x v="3"/>
    <x v="5"/>
    <s v="Q1"/>
    <n v="210"/>
    <n v="0"/>
    <s v="MG Sticks"/>
    <n v="1"/>
    <n v="0"/>
    <n v="0"/>
    <n v="0"/>
  </r>
  <r>
    <n v="69621212"/>
    <x v="2"/>
    <n v="3764"/>
    <d v="2023-03-04T00:00:00"/>
    <x v="29"/>
    <x v="28"/>
    <n v="5.2680000000000001E-3"/>
    <n v="19.828752000000001"/>
    <s v="PG"/>
    <x v="3"/>
    <x v="14"/>
    <s v="Q1"/>
    <n v="130"/>
    <n v="28.953846153846154"/>
    <s v="PG"/>
    <n v="1"/>
    <n v="3764"/>
    <n v="19.828752000000001"/>
    <n v="28.953846153846154"/>
  </r>
  <r>
    <n v="69671652"/>
    <x v="3"/>
    <n v="3864"/>
    <d v="2023-03-04T00:00:00"/>
    <x v="197"/>
    <x v="24"/>
    <n v="2.8319999999999999E-3"/>
    <n v="10.942848"/>
    <s v="GH"/>
    <x v="3"/>
    <x v="4"/>
    <s v="Q1"/>
    <n v="225"/>
    <n v="17.173333333333332"/>
    <s v="MBG"/>
    <n v="1"/>
    <n v="3864"/>
    <n v="10.942848"/>
    <n v="17.173333333333332"/>
  </r>
  <r>
    <n v="69671652"/>
    <x v="3"/>
    <n v="199"/>
    <d v="2023-03-04T00:00:00"/>
    <x v="197"/>
    <x v="24"/>
    <n v="2.8319999999999999E-3"/>
    <n v="0.56356799999999996"/>
    <s v="GH"/>
    <x v="3"/>
    <x v="4"/>
    <s v="Q1"/>
    <n v="225"/>
    <n v="0.88444444444444448"/>
    <s v="MBG"/>
    <n v="1"/>
    <n v="199"/>
    <n v="0.56356799999999996"/>
    <n v="0.88444444444444448"/>
  </r>
  <r>
    <n v="69677917"/>
    <x v="3"/>
    <n v="4234"/>
    <d v="2023-03-04T00:00:00"/>
    <x v="30"/>
    <x v="29"/>
    <n v="5.2680000000000001E-3"/>
    <n v="22.304712000000002"/>
    <s v="PS"/>
    <x v="3"/>
    <x v="3"/>
    <s v="Q1"/>
    <n v="108"/>
    <n v="39.203703703703702"/>
    <s v="PG"/>
    <n v="1"/>
    <n v="4234"/>
    <n v="22.304712000000002"/>
    <n v="39.203703703703702"/>
  </r>
  <r>
    <n v="69677917"/>
    <x v="2"/>
    <n v="5123"/>
    <d v="2023-03-04T00:00:00"/>
    <x v="30"/>
    <x v="30"/>
    <n v="5.2680000000000001E-3"/>
    <n v="26.987964000000002"/>
    <s v="PS"/>
    <x v="3"/>
    <x v="14"/>
    <s v="Q1"/>
    <n v="108"/>
    <n v="47.435185185185183"/>
    <s v="PG"/>
    <n v="1"/>
    <n v="5123"/>
    <n v="26.987964000000002"/>
    <n v="47.435185185185183"/>
  </r>
  <r>
    <n v="67309841"/>
    <x v="2"/>
    <n v="0"/>
    <d v="2023-03-05T00:00:00"/>
    <x v="32"/>
    <x v="2"/>
    <n v="8.5199999999999998E-3"/>
    <n v="0"/>
    <s v="BR"/>
    <x v="3"/>
    <x v="2"/>
    <s v="Q1"/>
    <n v="154"/>
    <n v="0"/>
    <s v="48oz"/>
    <n v="1"/>
    <n v="0"/>
    <n v="0"/>
    <n v="0"/>
  </r>
  <r>
    <n v="67309845"/>
    <x v="3"/>
    <n v="12119"/>
    <d v="2023-03-05T00:00:00"/>
    <x v="62"/>
    <x v="16"/>
    <n v="8.5199999999999998E-3"/>
    <n v="103.25388"/>
    <s v="BR"/>
    <x v="3"/>
    <x v="6"/>
    <s v="Q1"/>
    <n v="154"/>
    <n v="78.694805194805198"/>
    <s v="48oz"/>
    <n v="1"/>
    <n v="12119"/>
    <n v="103.25388"/>
    <n v="78.694805194805198"/>
  </r>
  <r>
    <n v="67465063"/>
    <x v="3"/>
    <n v="4449"/>
    <d v="2023-03-05T00:00:00"/>
    <x v="3"/>
    <x v="6"/>
    <n v="5.2680000000000001E-3"/>
    <n v="23.437332000000001"/>
    <s v="PS"/>
    <x v="3"/>
    <x v="3"/>
    <s v="Q1"/>
    <n v="130"/>
    <n v="34.223076923076924"/>
    <s v="PG"/>
    <n v="1"/>
    <n v="4449"/>
    <n v="23.437332000000001"/>
    <n v="34.223076923076924"/>
  </r>
  <r>
    <n v="67466492"/>
    <x v="3"/>
    <n v="2403"/>
    <d v="2023-03-05T00:00:00"/>
    <x v="8"/>
    <x v="8"/>
    <n v="5.2680000000000001E-3"/>
    <n v="12.659003999999999"/>
    <s v="PS"/>
    <x v="3"/>
    <x v="3"/>
    <s v="Q1"/>
    <n v="130"/>
    <n v="18.484615384615385"/>
    <s v="PG"/>
    <n v="1"/>
    <n v="2403"/>
    <n v="12.659003999999999"/>
    <n v="18.484615384615385"/>
  </r>
  <r>
    <n v="67476560"/>
    <x v="3"/>
    <n v="3441"/>
    <d v="2023-03-05T00:00:00"/>
    <x v="10"/>
    <x v="10"/>
    <n v="5.1060000000000003E-3"/>
    <n v="17.569746000000002"/>
    <s v="PS"/>
    <x v="3"/>
    <x v="3"/>
    <s v="Q1"/>
    <n v="130"/>
    <n v="26.469230769230769"/>
    <s v="PG"/>
    <n v="1"/>
    <n v="3441"/>
    <n v="17.569746000000002"/>
    <n v="26.469230769230769"/>
  </r>
  <r>
    <n v="67568055"/>
    <x v="5"/>
    <n v="0"/>
    <d v="2023-03-05T00:00:00"/>
    <x v="200"/>
    <x v="35"/>
    <n v="9.0848256361922702E-3"/>
    <n v="0"/>
    <s v="BJ"/>
    <x v="3"/>
    <x v="39"/>
    <s v="Q1"/>
    <n v="125"/>
    <n v="0"/>
    <s v="2.4 Gal"/>
    <n v="1"/>
    <n v="0"/>
    <n v="0"/>
    <n v="0"/>
  </r>
  <r>
    <n v="67568055"/>
    <x v="5"/>
    <n v="0"/>
    <d v="2023-03-05T00:00:00"/>
    <x v="200"/>
    <x v="35"/>
    <n v="9.0848256361922702E-3"/>
    <n v="0"/>
    <s v="BJ"/>
    <x v="3"/>
    <x v="39"/>
    <s v="Q1"/>
    <n v="125"/>
    <n v="0"/>
    <s v="2.4 Gal"/>
    <n v="1"/>
    <n v="0"/>
    <n v="0"/>
    <n v="0"/>
  </r>
  <r>
    <n v="67723726"/>
    <x v="3"/>
    <n v="0"/>
    <d v="2023-03-05T00:00:00"/>
    <x v="109"/>
    <x v="23"/>
    <n v="8.5199999999999998E-3"/>
    <n v="0"/>
    <s v="BR"/>
    <x v="3"/>
    <x v="6"/>
    <s v="Q1"/>
    <n v="154"/>
    <n v="0"/>
    <s v="48oz"/>
    <n v="1"/>
    <n v="0"/>
    <n v="0"/>
    <n v="0"/>
  </r>
  <r>
    <n v="67901589"/>
    <x v="2"/>
    <n v="23408"/>
    <d v="2023-03-05T00:00:00"/>
    <x v="220"/>
    <x v="32"/>
    <n v="8.5199999999999998E-3"/>
    <n v="199.43616"/>
    <s v="BR"/>
    <x v="3"/>
    <x v="2"/>
    <s v="Q1"/>
    <n v="154"/>
    <n v="152"/>
    <s v="48oz"/>
    <n v="1"/>
    <n v="23408"/>
    <n v="199.43616"/>
    <n v="152"/>
  </r>
  <r>
    <n v="67908208"/>
    <x v="2"/>
    <n v="0"/>
    <d v="2023-03-05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689251"/>
    <x v="3"/>
    <n v="6493"/>
    <d v="2023-03-05T00:00:00"/>
    <x v="17"/>
    <x v="17"/>
    <n v="9.5760000000000012E-3"/>
    <n v="62.176968000000009"/>
    <s v="KL"/>
    <x v="3"/>
    <x v="8"/>
    <s v="Q1"/>
    <n v="132"/>
    <n v="49.189393939393938"/>
    <s v="EDF"/>
    <n v="1"/>
    <n v="6493"/>
    <n v="62.176968000000009"/>
    <n v="49.189393939393938"/>
  </r>
  <r>
    <n v="68710277"/>
    <x v="3"/>
    <n v="3123"/>
    <d v="2023-03-05T00:00:00"/>
    <x v="20"/>
    <x v="20"/>
    <n v="8.5199999999999998E-3"/>
    <n v="26.607959999999999"/>
    <s v="KL"/>
    <x v="3"/>
    <x v="8"/>
    <s v="Q1"/>
    <n v="132"/>
    <n v="23.65909090909091"/>
    <s v="EDF"/>
    <n v="1"/>
    <n v="3123"/>
    <n v="26.607959999999999"/>
    <n v="23.65909090909091"/>
  </r>
  <r>
    <n v="68726896"/>
    <x v="2"/>
    <n v="7728"/>
    <d v="2023-03-05T00:00:00"/>
    <x v="280"/>
    <x v="22"/>
    <n v="3.7853440000000004E-3"/>
    <n v="29.253138432000004"/>
    <s v="TA"/>
    <x v="3"/>
    <x v="10"/>
    <s v="Q1"/>
    <n v="255"/>
    <n v="30.305882352941175"/>
    <s v="TALENTI"/>
    <n v="1"/>
    <n v="7728"/>
    <n v="29.253138432000004"/>
    <n v="30.305882352941175"/>
  </r>
  <r>
    <n v="68737750"/>
    <x v="3"/>
    <n v="3854"/>
    <d v="2023-03-05T00:00:00"/>
    <x v="144"/>
    <x v="23"/>
    <n v="8.5199999999999998E-3"/>
    <n v="32.836080000000003"/>
    <s v="BR"/>
    <x v="3"/>
    <x v="6"/>
    <s v="Q1"/>
    <n v="176"/>
    <n v="21.897727272727273"/>
    <s v="48oz"/>
    <n v="1"/>
    <n v="3854"/>
    <n v="32.836080000000003"/>
    <n v="21.897727272727273"/>
  </r>
  <r>
    <n v="68741742"/>
    <x v="3"/>
    <n v="4330"/>
    <d v="2023-03-05T00:00:00"/>
    <x v="25"/>
    <x v="4"/>
    <n v="4.2560000000000002E-3"/>
    <n v="18.42848"/>
    <s v="GH"/>
    <x v="3"/>
    <x v="4"/>
    <s v="Q1"/>
    <n v="154"/>
    <n v="28.116883116883116"/>
    <s v="MBG"/>
    <n v="1"/>
    <n v="4330"/>
    <n v="18.42848"/>
    <n v="28.116883116883116"/>
  </r>
  <r>
    <n v="68741742"/>
    <x v="2"/>
    <n v="4187"/>
    <d v="2023-03-05T00:00:00"/>
    <x v="25"/>
    <x v="25"/>
    <n v="4.2560000000000002E-3"/>
    <n v="17.819872"/>
    <s v="GH"/>
    <x v="3"/>
    <x v="11"/>
    <s v="Q1"/>
    <n v="154"/>
    <n v="27.188311688311689"/>
    <s v="MBG"/>
    <n v="1"/>
    <n v="4187"/>
    <n v="17.819872"/>
    <n v="27.188311688311689"/>
  </r>
  <r>
    <n v="68741745"/>
    <x v="3"/>
    <n v="0"/>
    <d v="2023-03-05T00:00:00"/>
    <x v="281"/>
    <x v="24"/>
    <n v="2.8319999999999999E-3"/>
    <n v="0"/>
    <s v="GH"/>
    <x v="3"/>
    <x v="4"/>
    <s v="Q1"/>
    <n v="315"/>
    <n v="0"/>
    <s v="MBG"/>
    <n v="1"/>
    <n v="0"/>
    <n v="0"/>
    <n v="0"/>
  </r>
  <r>
    <n v="68741745"/>
    <x v="3"/>
    <n v="0"/>
    <d v="2023-03-05T00:00:00"/>
    <x v="281"/>
    <x v="24"/>
    <n v="2.8319999999999999E-3"/>
    <n v="0"/>
    <s v="GH"/>
    <x v="3"/>
    <x v="4"/>
    <s v="Q1"/>
    <n v="315"/>
    <n v="0"/>
    <s v="MBG"/>
    <n v="1"/>
    <n v="0"/>
    <n v="0"/>
    <n v="0"/>
  </r>
  <r>
    <n v="68746232"/>
    <x v="2"/>
    <n v="4488"/>
    <d v="2023-03-05T00:00:00"/>
    <x v="154"/>
    <x v="26"/>
    <n v="9.5879999999999993E-3"/>
    <n v="43.030943999999998"/>
    <s v="KL"/>
    <x v="3"/>
    <x v="12"/>
    <s v="Q1"/>
    <n v="132"/>
    <n v="34"/>
    <s v="EDF"/>
    <n v="1"/>
    <n v="4488"/>
    <n v="43.030943999999998"/>
    <n v="34"/>
  </r>
  <r>
    <n v="68821728"/>
    <x v="2"/>
    <n v="4323"/>
    <d v="2023-03-05T00:00:00"/>
    <x v="35"/>
    <x v="13"/>
    <n v="8.5199999999999998E-3"/>
    <n v="36.831960000000002"/>
    <s v="BR"/>
    <x v="3"/>
    <x v="2"/>
    <s v="Q1"/>
    <n v="176"/>
    <n v="24.5625"/>
    <s v="48oz"/>
    <n v="1"/>
    <n v="4323"/>
    <n v="36.831960000000002"/>
    <n v="24.5625"/>
  </r>
  <r>
    <n v="68821728"/>
    <x v="2"/>
    <n v="0"/>
    <d v="2023-03-05T00:00:00"/>
    <x v="35"/>
    <x v="13"/>
    <n v="8.5199999999999998E-3"/>
    <n v="0"/>
    <s v="BR"/>
    <x v="3"/>
    <x v="2"/>
    <s v="Q1"/>
    <n v="176"/>
    <n v="0"/>
    <s v="48oz"/>
    <n v="1"/>
    <n v="0"/>
    <n v="0"/>
    <n v="0"/>
  </r>
  <r>
    <n v="68852591"/>
    <x v="2"/>
    <n v="0"/>
    <d v="2023-03-05T00:00:00"/>
    <x v="26"/>
    <x v="26"/>
    <n v="8.5199999999999998E-3"/>
    <n v="0"/>
    <s v="KL"/>
    <x v="3"/>
    <x v="12"/>
    <s v="Q1"/>
    <n v="132"/>
    <n v="0"/>
    <s v="EDF"/>
    <n v="1"/>
    <n v="0"/>
    <n v="0"/>
    <n v="0"/>
  </r>
  <r>
    <n v="68896052"/>
    <x v="2"/>
    <n v="3527"/>
    <d v="2023-03-05T00:00:00"/>
    <x v="36"/>
    <x v="13"/>
    <n v="8.5199999999999998E-3"/>
    <n v="30.050039999999999"/>
    <s v="BR"/>
    <x v="3"/>
    <x v="2"/>
    <s v="Q1"/>
    <n v="176"/>
    <n v="20.039772727272727"/>
    <s v="48oz"/>
    <n v="1"/>
    <n v="3527"/>
    <n v="30.050039999999999"/>
    <n v="20.039772727272727"/>
  </r>
  <r>
    <n v="68921994"/>
    <x v="3"/>
    <n v="0"/>
    <d v="2023-03-05T00:00:00"/>
    <x v="258"/>
    <x v="20"/>
    <n v="9.5879999999999993E-3"/>
    <n v="0"/>
    <s v="KL"/>
    <x v="3"/>
    <x v="8"/>
    <s v="Q1"/>
    <n v="132"/>
    <n v="0"/>
    <s v="EDF"/>
    <n v="1"/>
    <n v="0"/>
    <n v="0"/>
    <n v="0"/>
  </r>
  <r>
    <n v="68922108"/>
    <x v="2"/>
    <n v="28983"/>
    <d v="2023-03-05T00:00:00"/>
    <x v="184"/>
    <x v="21"/>
    <n v="3.7839999999999996E-3"/>
    <n v="109.67167199999999"/>
    <s v="TA"/>
    <x v="3"/>
    <x v="10"/>
    <s v="Q1"/>
    <n v="255"/>
    <n v="113.65882352941176"/>
    <s v="TALENTI"/>
    <n v="1"/>
    <n v="28983"/>
    <n v="109.67167199999999"/>
    <n v="113.65882352941176"/>
  </r>
  <r>
    <n v="69568963"/>
    <x v="2"/>
    <n v="0"/>
    <d v="2023-03-05T00:00:00"/>
    <x v="94"/>
    <x v="2"/>
    <n v="8.5199999999999998E-3"/>
    <n v="0"/>
    <s v="BR"/>
    <x v="3"/>
    <x v="2"/>
    <s v="Q1"/>
    <n v="176"/>
    <n v="0"/>
    <s v="48oz"/>
    <n v="1"/>
    <n v="0"/>
    <n v="0"/>
    <n v="0"/>
  </r>
  <r>
    <n v="69572658"/>
    <x v="2"/>
    <n v="8142"/>
    <d v="2023-03-05T00:00:00"/>
    <x v="166"/>
    <x v="5"/>
    <n v="2.1520000000000003E-3"/>
    <n v="17.521584000000001"/>
    <s v="MG"/>
    <x v="3"/>
    <x v="5"/>
    <s v="Q1"/>
    <n v="210"/>
    <n v="38.771428571428572"/>
    <s v="MG Sticks"/>
    <n v="1"/>
    <n v="8142"/>
    <n v="17.521584000000001"/>
    <n v="38.771428571428572"/>
  </r>
  <r>
    <n v="69621212"/>
    <x v="2"/>
    <n v="3770"/>
    <d v="2023-03-05T00:00:00"/>
    <x v="29"/>
    <x v="28"/>
    <n v="5.2680000000000001E-3"/>
    <n v="19.86036"/>
    <s v="PG"/>
    <x v="3"/>
    <x v="14"/>
    <s v="Q1"/>
    <n v="130"/>
    <n v="29"/>
    <s v="PG"/>
    <n v="1"/>
    <n v="3770"/>
    <n v="19.86036"/>
    <n v="29"/>
  </r>
  <r>
    <n v="69671641"/>
    <x v="3"/>
    <n v="0"/>
    <d v="2023-03-05T00:00:00"/>
    <x v="260"/>
    <x v="4"/>
    <n v="3.9039999999999999E-3"/>
    <n v="0"/>
    <s v="GH"/>
    <x v="3"/>
    <x v="4"/>
    <s v="Q1"/>
    <n v="154"/>
    <n v="0"/>
    <s v="MBG"/>
    <n v="1"/>
    <n v="0"/>
    <n v="0"/>
    <n v="0"/>
  </r>
  <r>
    <n v="69671652"/>
    <x v="3"/>
    <n v="3280"/>
    <d v="2023-03-05T00:00:00"/>
    <x v="197"/>
    <x v="24"/>
    <n v="2.8319999999999999E-3"/>
    <n v="9.2889599999999994"/>
    <s v="GH"/>
    <x v="3"/>
    <x v="4"/>
    <s v="Q1"/>
    <n v="225"/>
    <n v="14.577777777777778"/>
    <s v="MBG"/>
    <n v="1"/>
    <n v="3280"/>
    <n v="9.2889599999999994"/>
    <n v="14.577777777777778"/>
  </r>
  <r>
    <n v="69677917"/>
    <x v="3"/>
    <n v="3871"/>
    <d v="2023-03-05T00:00:00"/>
    <x v="30"/>
    <x v="29"/>
    <n v="5.2680000000000001E-3"/>
    <n v="20.392427999999999"/>
    <s v="PS"/>
    <x v="3"/>
    <x v="3"/>
    <s v="Q1"/>
    <n v="108"/>
    <n v="35.842592592592595"/>
    <s v="PG"/>
    <n v="1"/>
    <n v="3871"/>
    <n v="20.392427999999999"/>
    <n v="35.842592592592595"/>
  </r>
  <r>
    <n v="69677917"/>
    <x v="2"/>
    <n v="3770"/>
    <d v="2023-03-05T00:00:00"/>
    <x v="30"/>
    <x v="30"/>
    <n v="5.2680000000000001E-3"/>
    <n v="19.86036"/>
    <s v="PS"/>
    <x v="3"/>
    <x v="14"/>
    <s v="Q1"/>
    <n v="108"/>
    <n v="34.907407407407405"/>
    <s v="PG"/>
    <n v="1"/>
    <n v="3770"/>
    <n v="19.86036"/>
    <n v="34.907407407407405"/>
  </r>
  <r>
    <n v="69691809"/>
    <x v="2"/>
    <n v="0"/>
    <d v="2023-03-05T00:00:00"/>
    <x v="283"/>
    <x v="21"/>
    <n v="3.7839999999999996E-3"/>
    <n v="0"/>
    <s v="TA"/>
    <x v="3"/>
    <x v="10"/>
    <s v="Q1"/>
    <n v="255"/>
    <n v="0"/>
    <s v="TALENTI"/>
    <n v="1"/>
    <n v="0"/>
    <n v="0"/>
    <n v="0"/>
  </r>
  <r>
    <n v="69691809"/>
    <x v="2"/>
    <n v="4335"/>
    <d v="2023-03-05T00:00:00"/>
    <x v="283"/>
    <x v="22"/>
    <n v="3.7839999999999996E-3"/>
    <n v="16.403639999999999"/>
    <s v="TA"/>
    <x v="3"/>
    <x v="10"/>
    <s v="Q1"/>
    <n v="255"/>
    <n v="17"/>
    <s v="TALENTI"/>
    <n v="1"/>
    <n v="4335"/>
    <n v="16.403639999999999"/>
    <n v="17"/>
  </r>
  <r>
    <n v="67278444"/>
    <x v="5"/>
    <n v="7233"/>
    <d v="2023-03-06T00:00:00"/>
    <x v="213"/>
    <x v="38"/>
    <n v="3.7839999999999996E-3"/>
    <n v="27.369671999999998"/>
    <s v="BJ"/>
    <x v="3"/>
    <x v="15"/>
    <s v="Q1"/>
    <n v="240"/>
    <n v="30.137499999999999"/>
    <s v="BJ PTS"/>
    <n v="1"/>
    <n v="7233"/>
    <n v="27.369671999999998"/>
    <n v="30.137499999999999"/>
  </r>
  <r>
    <n v="67278448"/>
    <x v="5"/>
    <n v="20485"/>
    <d v="2023-03-06T00:00:00"/>
    <x v="182"/>
    <x v="33"/>
    <n v="3.7839999999999996E-3"/>
    <n v="77.515239999999991"/>
    <s v="BJ"/>
    <x v="3"/>
    <x v="15"/>
    <s v="Q1"/>
    <n v="240"/>
    <n v="85.354166666666671"/>
    <s v="BJ PTS"/>
    <n v="1"/>
    <n v="20485"/>
    <n v="77.515239999999991"/>
    <n v="85.354166666666671"/>
  </r>
  <r>
    <n v="67309841"/>
    <x v="2"/>
    <n v="11395"/>
    <d v="2023-03-06T00:00:00"/>
    <x v="32"/>
    <x v="2"/>
    <n v="8.5199999999999998E-3"/>
    <n v="97.085399999999993"/>
    <s v="BR"/>
    <x v="3"/>
    <x v="2"/>
    <s v="Q1"/>
    <n v="154"/>
    <n v="73.993506493506487"/>
    <s v="48oz"/>
    <n v="1"/>
    <n v="11395"/>
    <n v="97.085399999999993"/>
    <n v="73.993506493506487"/>
  </r>
  <r>
    <n v="67309845"/>
    <x v="3"/>
    <n v="0"/>
    <d v="2023-03-06T00:00:00"/>
    <x v="62"/>
    <x v="16"/>
    <n v="8.5199999999999998E-3"/>
    <n v="0"/>
    <s v="BR"/>
    <x v="3"/>
    <x v="6"/>
    <s v="Q1"/>
    <n v="154"/>
    <n v="0"/>
    <s v="48oz"/>
    <n v="1"/>
    <n v="0"/>
    <n v="0"/>
    <n v="0"/>
  </r>
  <r>
    <n v="67465063"/>
    <x v="3"/>
    <n v="543"/>
    <d v="2023-03-06T00:00:00"/>
    <x v="3"/>
    <x v="40"/>
    <n v="5.2680000000000001E-3"/>
    <n v="2.8605239999999998"/>
    <s v="PS"/>
    <x v="3"/>
    <x v="3"/>
    <s v="Q1"/>
    <n v="130"/>
    <n v="4.1769230769230772"/>
    <s v="PG"/>
    <n v="1"/>
    <n v="543"/>
    <n v="2.8605239999999998"/>
    <n v="4.1769230769230772"/>
  </r>
  <r>
    <n v="67465063"/>
    <x v="3"/>
    <n v="4723"/>
    <d v="2023-03-06T00:00:00"/>
    <x v="3"/>
    <x v="6"/>
    <n v="5.2680000000000001E-3"/>
    <n v="24.880763999999999"/>
    <s v="PS"/>
    <x v="3"/>
    <x v="3"/>
    <s v="Q1"/>
    <n v="130"/>
    <n v="36.330769230769228"/>
    <s v="PG"/>
    <n v="1"/>
    <n v="4723"/>
    <n v="24.880763999999999"/>
    <n v="36.330769230769228"/>
  </r>
  <r>
    <n v="67465064"/>
    <x v="3"/>
    <n v="2491"/>
    <d v="2023-03-06T00:00:00"/>
    <x v="7"/>
    <x v="3"/>
    <n v="1.596E-3"/>
    <n v="3.9756360000000002"/>
    <s v="PS"/>
    <x v="3"/>
    <x v="3"/>
    <s v="Q1"/>
    <n v="130"/>
    <n v="19.161538461538463"/>
    <s v="PG"/>
    <n v="1"/>
    <n v="2491"/>
    <n v="3.9756360000000002"/>
    <n v="19.161538461538463"/>
  </r>
  <r>
    <n v="67466492"/>
    <x v="3"/>
    <n v="277"/>
    <d v="2023-03-06T00:00:00"/>
    <x v="8"/>
    <x v="7"/>
    <n v="5.2680000000000001E-3"/>
    <n v="1.459236"/>
    <s v="PS"/>
    <x v="3"/>
    <x v="3"/>
    <s v="Q1"/>
    <n v="130"/>
    <n v="2.1307692307692307"/>
    <s v="PG"/>
    <n v="1"/>
    <n v="277"/>
    <n v="1.459236"/>
    <n v="2.1307692307692307"/>
  </r>
  <r>
    <n v="67466492"/>
    <x v="3"/>
    <n v="3190"/>
    <d v="2023-03-06T00:00:00"/>
    <x v="8"/>
    <x v="8"/>
    <n v="5.2680000000000001E-3"/>
    <n v="16.804919999999999"/>
    <s v="PS"/>
    <x v="3"/>
    <x v="3"/>
    <s v="Q1"/>
    <n v="130"/>
    <n v="24.53846153846154"/>
    <s v="PG"/>
    <n v="1"/>
    <n v="3190"/>
    <n v="16.804919999999999"/>
    <n v="24.53846153846154"/>
  </r>
  <r>
    <n v="67466492"/>
    <x v="3"/>
    <n v="0"/>
    <d v="2023-03-06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76560"/>
    <x v="3"/>
    <n v="0"/>
    <d v="2023-03-06T00:00:00"/>
    <x v="10"/>
    <x v="10"/>
    <n v="5.1060000000000003E-3"/>
    <n v="0"/>
    <s v="PS"/>
    <x v="3"/>
    <x v="3"/>
    <s v="Q1"/>
    <n v="130"/>
    <n v="0"/>
    <s v="PG"/>
    <n v="1"/>
    <n v="0"/>
    <n v="0"/>
    <n v="0"/>
  </r>
  <r>
    <n v="67476560"/>
    <x v="3"/>
    <n v="2751"/>
    <d v="2023-03-06T00:00:00"/>
    <x v="10"/>
    <x v="10"/>
    <n v="5.1060000000000003E-3"/>
    <n v="14.046606000000001"/>
    <s v="PS"/>
    <x v="3"/>
    <x v="3"/>
    <s v="Q1"/>
    <n v="130"/>
    <n v="21.161538461538463"/>
    <s v="PG"/>
    <n v="1"/>
    <n v="2751"/>
    <n v="14.046606000000001"/>
    <n v="21.161538461538463"/>
  </r>
  <r>
    <n v="67526826"/>
    <x v="5"/>
    <n v="0"/>
    <d v="2023-03-06T00:00:00"/>
    <x v="187"/>
    <x v="33"/>
    <n v="3.7839999999999996E-3"/>
    <n v="0"/>
    <s v="BJ"/>
    <x v="3"/>
    <x v="15"/>
    <s v="Q1"/>
    <n v="240"/>
    <n v="0"/>
    <s v="BJ PTS"/>
    <n v="1"/>
    <n v="0"/>
    <n v="0"/>
    <n v="0"/>
  </r>
  <r>
    <n v="67723726"/>
    <x v="3"/>
    <n v="8352"/>
    <d v="2023-03-06T00:00:00"/>
    <x v="109"/>
    <x v="23"/>
    <n v="8.5199999999999998E-3"/>
    <n v="71.159040000000005"/>
    <s v="BR"/>
    <x v="3"/>
    <x v="6"/>
    <s v="Q1"/>
    <n v="154"/>
    <n v="54.233766233766232"/>
    <s v="48oz"/>
    <n v="1"/>
    <n v="8352"/>
    <n v="71.159040000000005"/>
    <n v="54.233766233766232"/>
  </r>
  <r>
    <n v="67867259"/>
    <x v="5"/>
    <n v="11723"/>
    <d v="2023-03-06T00:00:00"/>
    <x v="284"/>
    <x v="33"/>
    <n v="3.7839999999999996E-3"/>
    <n v="44.359831999999997"/>
    <s v="BJ"/>
    <x v="3"/>
    <x v="24"/>
    <s v="Q1"/>
    <n v="240"/>
    <n v="48.845833333333331"/>
    <s v="PTS Exports"/>
    <n v="1"/>
    <n v="11723"/>
    <n v="44.359831999999997"/>
    <n v="48.845833333333331"/>
  </r>
  <r>
    <n v="67885716"/>
    <x v="3"/>
    <n v="10409"/>
    <d v="2023-03-06T00:00:00"/>
    <x v="89"/>
    <x v="11"/>
    <n v="8.5199999999999998E-3"/>
    <n v="88.68468"/>
    <s v="BR"/>
    <x v="3"/>
    <x v="6"/>
    <s v="Q1"/>
    <n v="154"/>
    <n v="67.590909090909093"/>
    <s v="48oz"/>
    <n v="1"/>
    <n v="10409"/>
    <n v="88.68468"/>
    <n v="67.590909090909093"/>
  </r>
  <r>
    <n v="67885716"/>
    <x v="3"/>
    <n v="3171"/>
    <d v="2023-03-06T00:00:00"/>
    <x v="89"/>
    <x v="11"/>
    <n v="8.5199999999999998E-3"/>
    <n v="27.016919999999999"/>
    <s v="BR"/>
    <x v="3"/>
    <x v="6"/>
    <s v="Q1"/>
    <n v="154"/>
    <n v="20.59090909090909"/>
    <s v="48oz"/>
    <n v="1"/>
    <n v="3171"/>
    <n v="27.016919999999999"/>
    <n v="20.59090909090909"/>
  </r>
  <r>
    <n v="67885719"/>
    <x v="2"/>
    <n v="15400"/>
    <d v="2023-03-06T00:00:00"/>
    <x v="11"/>
    <x v="32"/>
    <n v="8.5199999999999998E-3"/>
    <n v="131.208"/>
    <s v="BR"/>
    <x v="3"/>
    <x v="2"/>
    <s v="Q1"/>
    <n v="154"/>
    <n v="100"/>
    <s v="48oz"/>
    <n v="1"/>
    <n v="15400"/>
    <n v="131.208"/>
    <n v="100"/>
  </r>
  <r>
    <n v="67885724"/>
    <x v="3"/>
    <n v="11289"/>
    <d v="2023-03-06T00:00:00"/>
    <x v="49"/>
    <x v="12"/>
    <n v="8.5199999999999998E-3"/>
    <n v="96.182279999999992"/>
    <s v="BR"/>
    <x v="3"/>
    <x v="6"/>
    <s v="Q1"/>
    <n v="154"/>
    <n v="73.305194805194802"/>
    <s v="48oz"/>
    <n v="1"/>
    <n v="11289"/>
    <n v="96.182279999999992"/>
    <n v="73.305194805194802"/>
  </r>
  <r>
    <n v="67885724"/>
    <x v="3"/>
    <n v="729"/>
    <d v="2023-03-06T00:00:00"/>
    <x v="49"/>
    <x v="12"/>
    <n v="8.5199999999999998E-3"/>
    <n v="6.2110799999999999"/>
    <s v="BR"/>
    <x v="3"/>
    <x v="6"/>
    <s v="Q1"/>
    <n v="154"/>
    <n v="4.7337662337662341"/>
    <s v="48oz"/>
    <n v="1"/>
    <n v="729"/>
    <n v="6.2110799999999999"/>
    <n v="4.7337662337662341"/>
  </r>
  <r>
    <n v="67893539"/>
    <x v="3"/>
    <n v="11394"/>
    <d v="2023-03-06T00:00:00"/>
    <x v="12"/>
    <x v="16"/>
    <n v="8.5199999999999998E-3"/>
    <n v="97.076880000000003"/>
    <s v="BR"/>
    <x v="3"/>
    <x v="6"/>
    <s v="Q1"/>
    <n v="154"/>
    <n v="73.987012987012989"/>
    <s v="48oz"/>
    <n v="1"/>
    <n v="11394"/>
    <n v="97.076880000000003"/>
    <n v="73.987012987012989"/>
  </r>
  <r>
    <n v="67901589"/>
    <x v="2"/>
    <n v="5390"/>
    <d v="2023-03-06T00:00:00"/>
    <x v="220"/>
    <x v="32"/>
    <n v="8.5199999999999998E-3"/>
    <n v="45.922800000000002"/>
    <s v="BR"/>
    <x v="3"/>
    <x v="2"/>
    <s v="Q1"/>
    <n v="154"/>
    <n v="35"/>
    <s v="48oz"/>
    <n v="1"/>
    <n v="5390"/>
    <n v="45.922800000000002"/>
    <n v="35"/>
  </r>
  <r>
    <n v="67908208"/>
    <x v="2"/>
    <n v="0"/>
    <d v="2023-03-06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143999"/>
    <x v="2"/>
    <n v="11501"/>
    <d v="2023-03-06T00:00:00"/>
    <x v="94"/>
    <x v="2"/>
    <n v="8.5199999999999998E-3"/>
    <n v="97.988519999999994"/>
    <s v="BR"/>
    <x v="3"/>
    <x v="2"/>
    <s v="Q1"/>
    <n v="154"/>
    <n v="74.681818181818187"/>
    <s v="48oz"/>
    <n v="1"/>
    <n v="11501"/>
    <n v="97.988519999999994"/>
    <n v="74.681818181818187"/>
  </r>
  <r>
    <n v="68188512"/>
    <x v="5"/>
    <n v="11232"/>
    <d v="2023-03-06T00:00:00"/>
    <x v="285"/>
    <x v="35"/>
    <n v="3.7839999999999996E-3"/>
    <n v="42.501887999999994"/>
    <s v="BJ"/>
    <x v="3"/>
    <x v="15"/>
    <s v="Q1"/>
    <n v="240"/>
    <n v="46.8"/>
    <s v="BJ PTS"/>
    <n v="1"/>
    <n v="11232"/>
    <n v="42.501887999999994"/>
    <n v="46.8"/>
  </r>
  <r>
    <n v="68188514"/>
    <x v="5"/>
    <n v="18084"/>
    <d v="2023-03-06T00:00:00"/>
    <x v="180"/>
    <x v="35"/>
    <n v="3.7853439999999999E-3"/>
    <n v="68.454160896000005"/>
    <s v="BJ"/>
    <x v="3"/>
    <x v="15"/>
    <s v="Q1"/>
    <n v="240"/>
    <n v="75.349999999999994"/>
    <s v="BJ PTS"/>
    <n v="1"/>
    <n v="18084"/>
    <n v="68.454160896000005"/>
    <n v="75.349999999999994"/>
  </r>
  <r>
    <n v="68300738"/>
    <x v="3"/>
    <n v="4252"/>
    <d v="2023-03-06T00:00:00"/>
    <x v="120"/>
    <x v="19"/>
    <n v="8.4960000000000001E-3"/>
    <n v="36.124991999999999"/>
    <s v="KL"/>
    <x v="3"/>
    <x v="8"/>
    <s v="Q1"/>
    <n v="132"/>
    <n v="32.212121212121211"/>
    <s v="EDF"/>
    <n v="1"/>
    <n v="4252"/>
    <n v="36.124991999999999"/>
    <n v="32.212121212121211"/>
  </r>
  <r>
    <n v="68649095"/>
    <x v="2"/>
    <n v="7491"/>
    <d v="2023-03-06T00:00:00"/>
    <x v="286"/>
    <x v="15"/>
    <n v="3.5999999999999999E-3"/>
    <n v="26.967600000000001"/>
    <s v="BJ"/>
    <x v="3"/>
    <x v="19"/>
    <s v="Q1"/>
    <n v="240"/>
    <n v="31.212499999999999"/>
    <s v="TOPPED"/>
    <n v="1"/>
    <n v="7491"/>
    <n v="26.967600000000001"/>
    <n v="31.212499999999999"/>
  </r>
  <r>
    <n v="68689251"/>
    <x v="3"/>
    <n v="7102"/>
    <d v="2023-03-06T00:00:00"/>
    <x v="17"/>
    <x v="17"/>
    <n v="9.5760000000000012E-3"/>
    <n v="68.008752000000015"/>
    <s v="KL"/>
    <x v="3"/>
    <x v="8"/>
    <s v="Q1"/>
    <n v="132"/>
    <n v="53.803030303030305"/>
    <s v="EDF"/>
    <n v="1"/>
    <n v="7102"/>
    <n v="68.008752000000015"/>
    <n v="53.803030303030305"/>
  </r>
  <r>
    <n v="68689251"/>
    <x v="3"/>
    <n v="0"/>
    <d v="2023-03-06T00:00:00"/>
    <x v="17"/>
    <x v="17"/>
    <n v="9.5760000000000012E-3"/>
    <n v="0"/>
    <s v="KL"/>
    <x v="3"/>
    <x v="8"/>
    <s v="Q1"/>
    <n v="132"/>
    <n v="0"/>
    <s v="EDF"/>
    <n v="1"/>
    <n v="0"/>
    <n v="0"/>
    <n v="0"/>
  </r>
  <r>
    <n v="68689253"/>
    <x v="2"/>
    <n v="2837"/>
    <d v="2023-03-06T00:00:00"/>
    <x v="125"/>
    <x v="18"/>
    <n v="6.0035555555555554E-3"/>
    <n v="17.03208711111111"/>
    <s v="KL"/>
    <x v="3"/>
    <x v="9"/>
    <s v="Q1"/>
    <n v="120"/>
    <n v="23.641666666666666"/>
    <s v="ESS"/>
    <n v="1"/>
    <n v="2837"/>
    <n v="17.03208711111111"/>
    <n v="23.641666666666666"/>
  </r>
  <r>
    <n v="68710277"/>
    <x v="3"/>
    <n v="5364"/>
    <d v="2023-03-06T00:00:00"/>
    <x v="20"/>
    <x v="20"/>
    <n v="8.5199999999999998E-3"/>
    <n v="45.701279999999997"/>
    <s v="KL"/>
    <x v="3"/>
    <x v="8"/>
    <s v="Q1"/>
    <n v="132"/>
    <n v="40.636363636363633"/>
    <s v="EDF"/>
    <n v="1"/>
    <n v="5364"/>
    <n v="45.701279999999997"/>
    <n v="40.636363636363633"/>
  </r>
  <r>
    <n v="68726916"/>
    <x v="2"/>
    <n v="28028"/>
    <d v="2023-03-06T00:00:00"/>
    <x v="43"/>
    <x v="21"/>
    <n v="3.7853440000000004E-3"/>
    <n v="106.095621632"/>
    <s v="TA"/>
    <x v="3"/>
    <x v="10"/>
    <s v="Q1"/>
    <n v="255"/>
    <n v="109.91372549019607"/>
    <s v="TALENTI"/>
    <n v="1"/>
    <n v="28028"/>
    <n v="106.095621632"/>
    <n v="109.91372549019607"/>
  </r>
  <r>
    <n v="68726916"/>
    <x v="2"/>
    <n v="0"/>
    <d v="2023-03-06T00:00:00"/>
    <x v="43"/>
    <x v="21"/>
    <n v="3.7853440000000004E-3"/>
    <n v="0"/>
    <s v="TA"/>
    <x v="3"/>
    <x v="10"/>
    <s v="Q1"/>
    <n v="255"/>
    <n v="0"/>
    <s v="TALENTI"/>
    <n v="1"/>
    <n v="0"/>
    <n v="0"/>
    <n v="0"/>
  </r>
  <r>
    <n v="68741742"/>
    <x v="2"/>
    <n v="3198"/>
    <d v="2023-03-06T00:00:00"/>
    <x v="25"/>
    <x v="25"/>
    <n v="4.2560000000000002E-3"/>
    <n v="13.610688000000001"/>
    <s v="GH"/>
    <x v="3"/>
    <x v="11"/>
    <s v="Q1"/>
    <n v="154"/>
    <n v="20.766233766233768"/>
    <s v="MBG"/>
    <n v="1"/>
    <n v="3198"/>
    <n v="13.610688000000001"/>
    <n v="20.766233766233768"/>
  </r>
  <r>
    <n v="68746232"/>
    <x v="2"/>
    <n v="4820"/>
    <d v="2023-03-06T00:00:00"/>
    <x v="154"/>
    <x v="26"/>
    <n v="9.5879999999999993E-3"/>
    <n v="46.21416"/>
    <s v="KL"/>
    <x v="3"/>
    <x v="12"/>
    <s v="Q1"/>
    <n v="132"/>
    <n v="36.515151515151516"/>
    <s v="EDF"/>
    <n v="1"/>
    <n v="4820"/>
    <n v="46.21416"/>
    <n v="36.515151515151516"/>
  </r>
  <r>
    <n v="68821728"/>
    <x v="2"/>
    <n v="11782"/>
    <d v="2023-03-06T00:00:00"/>
    <x v="35"/>
    <x v="13"/>
    <n v="8.5199999999999998E-3"/>
    <n v="100.38263999999999"/>
    <s v="BR"/>
    <x v="3"/>
    <x v="2"/>
    <s v="Q1"/>
    <n v="176"/>
    <n v="66.943181818181813"/>
    <s v="48oz"/>
    <n v="1"/>
    <n v="11782"/>
    <n v="100.38263999999999"/>
    <n v="66.943181818181813"/>
  </r>
  <r>
    <n v="68914406"/>
    <x v="2"/>
    <n v="5475"/>
    <d v="2023-03-06T00:00:00"/>
    <x v="78"/>
    <x v="27"/>
    <n v="2.124E-3"/>
    <n v="11.6289"/>
    <s v="KL"/>
    <x v="3"/>
    <x v="9"/>
    <s v="Q1"/>
    <n v="352"/>
    <n v="15.553977272727273"/>
    <s v="ESS"/>
    <n v="1"/>
    <n v="5475"/>
    <n v="11.6289"/>
    <n v="15.553977272727273"/>
  </r>
  <r>
    <n v="68917388"/>
    <x v="3"/>
    <n v="1313"/>
    <d v="2023-03-06T00:00:00"/>
    <x v="287"/>
    <x v="36"/>
    <n v="3.9119999999999997E-3"/>
    <n v="5.1364559999999999"/>
    <s v="KL"/>
    <x v="3"/>
    <x v="28"/>
    <s v="Q1"/>
    <n v="322"/>
    <n v="4.0776397515527947"/>
    <s v="EFW"/>
    <n v="1"/>
    <n v="1313"/>
    <n v="5.1364559999999999"/>
    <n v="4.0776397515527947"/>
  </r>
  <r>
    <n v="69555091"/>
    <x v="2"/>
    <n v="5887"/>
    <d v="2023-03-06T00:00:00"/>
    <x v="195"/>
    <x v="14"/>
    <n v="1.98E-3"/>
    <n v="11.65626"/>
    <s v="TA"/>
    <x v="3"/>
    <x v="42"/>
    <s v="Q1"/>
    <n v="176"/>
    <n v="33.448863636363633"/>
    <s v="TAL NV"/>
    <n v="1"/>
    <n v="5887"/>
    <n v="11.65626"/>
    <n v="33.448863636363633"/>
  </r>
  <r>
    <n v="69568964"/>
    <x v="2"/>
    <n v="0"/>
    <d v="2023-03-06T00:00:00"/>
    <x v="134"/>
    <x v="13"/>
    <n v="8.5199999999999998E-3"/>
    <n v="0"/>
    <s v="BR"/>
    <x v="3"/>
    <x v="2"/>
    <s v="Q1"/>
    <n v="176"/>
    <n v="0"/>
    <s v="48oz"/>
    <n v="1"/>
    <n v="0"/>
    <n v="0"/>
    <n v="0"/>
  </r>
  <r>
    <n v="69571484"/>
    <x v="2"/>
    <n v="0"/>
    <d v="2023-03-06T00:00:00"/>
    <x v="230"/>
    <x v="5"/>
    <n v="1.2960000000000001E-2"/>
    <n v="0"/>
    <s v="MG"/>
    <x v="3"/>
    <x v="5"/>
    <s v="Q1"/>
    <n v="493"/>
    <n v="0"/>
    <s v="MG Sticks"/>
    <n v="1"/>
    <n v="0"/>
    <n v="0"/>
    <n v="0"/>
  </r>
  <r>
    <n v="69572544"/>
    <x v="2"/>
    <n v="0"/>
    <d v="2023-03-06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586716"/>
    <x v="2"/>
    <n v="6032"/>
    <d v="2023-03-06T00:00:00"/>
    <x v="6"/>
    <x v="5"/>
    <n v="2.0400000000000001E-3"/>
    <n v="12.305280000000002"/>
    <s v="MG"/>
    <x v="3"/>
    <x v="5"/>
    <s v="Q1"/>
    <n v="210"/>
    <n v="28.723809523809525"/>
    <s v="MG Sticks"/>
    <n v="1"/>
    <n v="6032"/>
    <n v="12.305280000000002"/>
    <n v="28.723809523809525"/>
  </r>
  <r>
    <n v="69586716"/>
    <x v="2"/>
    <n v="0"/>
    <d v="2023-03-06T00:00:00"/>
    <x v="6"/>
    <x v="5"/>
    <n v="2.0400000000000001E-3"/>
    <n v="0"/>
    <s v="MG"/>
    <x v="3"/>
    <x v="5"/>
    <s v="Q1"/>
    <n v="210"/>
    <n v="0"/>
    <s v="MG Sticks"/>
    <n v="1"/>
    <n v="0"/>
    <n v="0"/>
    <n v="0"/>
  </r>
  <r>
    <n v="69621212"/>
    <x v="2"/>
    <n v="2831"/>
    <d v="2023-03-06T00:00:00"/>
    <x v="29"/>
    <x v="28"/>
    <n v="5.2680000000000001E-3"/>
    <n v="14.913708"/>
    <s v="PG"/>
    <x v="3"/>
    <x v="14"/>
    <s v="Q1"/>
    <n v="130"/>
    <n v="21.776923076923076"/>
    <s v="PG"/>
    <n v="1"/>
    <n v="2831"/>
    <n v="14.913708"/>
    <n v="21.776923076923076"/>
  </r>
  <r>
    <n v="69629477"/>
    <x v="1"/>
    <n v="2844"/>
    <d v="2023-03-06T00:00:00"/>
    <x v="61"/>
    <x v="0"/>
    <n v="5.3280000000000003E-3"/>
    <n v="15.152832"/>
    <s v="KL"/>
    <x v="3"/>
    <x v="26"/>
    <s v="Q1"/>
    <n v="108"/>
    <n v="26.333333333333332"/>
    <s v="KL Mini Cones"/>
    <n v="1"/>
    <n v="2844"/>
    <n v="15.152832"/>
    <n v="26.333333333333332"/>
  </r>
  <r>
    <n v="69629477"/>
    <x v="1"/>
    <n v="2808"/>
    <d v="2023-03-06T00:00:00"/>
    <x v="61"/>
    <x v="0"/>
    <n v="5.3280000000000003E-3"/>
    <n v="14.961024"/>
    <s v="KL"/>
    <x v="3"/>
    <x v="26"/>
    <s v="Q1"/>
    <n v="108"/>
    <n v="26"/>
    <s v="KL Mini Cones"/>
    <n v="1"/>
    <n v="2808"/>
    <n v="14.961024"/>
    <n v="26"/>
  </r>
  <r>
    <n v="69671641"/>
    <x v="3"/>
    <n v="0"/>
    <d v="2023-03-06T00:00:00"/>
    <x v="260"/>
    <x v="4"/>
    <n v="3.9039999999999999E-3"/>
    <n v="0"/>
    <s v="GH"/>
    <x v="3"/>
    <x v="4"/>
    <s v="Q1"/>
    <n v="154"/>
    <n v="0"/>
    <s v="MBG"/>
    <n v="1"/>
    <n v="0"/>
    <n v="0"/>
    <n v="0"/>
  </r>
  <r>
    <n v="69671641"/>
    <x v="3"/>
    <n v="0"/>
    <d v="2023-03-06T00:00:00"/>
    <x v="260"/>
    <x v="4"/>
    <n v="3.9039999999999999E-3"/>
    <n v="0"/>
    <s v="GH"/>
    <x v="3"/>
    <x v="4"/>
    <s v="Q1"/>
    <n v="154"/>
    <n v="0"/>
    <s v="MBG"/>
    <n v="1"/>
    <n v="0"/>
    <n v="0"/>
    <n v="0"/>
  </r>
  <r>
    <n v="69677917"/>
    <x v="3"/>
    <n v="4363"/>
    <d v="2023-03-06T00:00:00"/>
    <x v="30"/>
    <x v="29"/>
    <n v="5.2680000000000001E-3"/>
    <n v="22.984283999999999"/>
    <s v="PS"/>
    <x v="3"/>
    <x v="3"/>
    <s v="Q1"/>
    <n v="108"/>
    <n v="40.398148148148145"/>
    <s v="PG"/>
    <n v="1"/>
    <n v="4363"/>
    <n v="22.984283999999999"/>
    <n v="40.398148148148145"/>
  </r>
  <r>
    <n v="69677917"/>
    <x v="2"/>
    <n v="4701"/>
    <d v="2023-03-06T00:00:00"/>
    <x v="30"/>
    <x v="30"/>
    <n v="5.2680000000000001E-3"/>
    <n v="24.764868"/>
    <s v="PS"/>
    <x v="3"/>
    <x v="14"/>
    <s v="Q1"/>
    <n v="108"/>
    <n v="43.527777777777779"/>
    <s v="PG"/>
    <n v="1"/>
    <n v="4701"/>
    <n v="24.764868"/>
    <n v="43.527777777777779"/>
  </r>
  <r>
    <n v="69684521"/>
    <x v="2"/>
    <n v="967"/>
    <d v="2023-03-06T00:00:00"/>
    <x v="160"/>
    <x v="31"/>
    <n v="4.2585119798234554E-3"/>
    <n v="4.1179810844892817"/>
    <s v="MG "/>
    <x v="3"/>
    <x v="5"/>
    <s v="Q1"/>
    <n v="143"/>
    <n v="6.7622377622377625"/>
    <s v="MG Sticks"/>
    <n v="1"/>
    <n v="967"/>
    <n v="4.1179810844892817"/>
    <n v="6.7622377622377625"/>
  </r>
  <r>
    <n v="69691809"/>
    <x v="2"/>
    <n v="17965"/>
    <d v="2023-03-06T00:00:00"/>
    <x v="283"/>
    <x v="22"/>
    <n v="3.7839999999999996E-3"/>
    <n v="67.979559999999992"/>
    <s v="TA"/>
    <x v="3"/>
    <x v="10"/>
    <s v="Q1"/>
    <n v="255"/>
    <n v="70.450980392156865"/>
    <s v="TALENTI"/>
    <n v="1"/>
    <n v="17965"/>
    <n v="67.979559999999992"/>
    <n v="70.450980392156865"/>
  </r>
  <r>
    <n v="69691809"/>
    <x v="2"/>
    <n v="0"/>
    <d v="2023-03-06T00:00:00"/>
    <x v="283"/>
    <x v="21"/>
    <n v="3.7839999999999996E-3"/>
    <n v="0"/>
    <s v="TA"/>
    <x v="3"/>
    <x v="10"/>
    <s v="Q1"/>
    <n v="255"/>
    <n v="0"/>
    <s v="TALENTI"/>
    <n v="1"/>
    <n v="0"/>
    <n v="0"/>
    <n v="0"/>
  </r>
  <r>
    <n v="69691809"/>
    <x v="2"/>
    <n v="0"/>
    <d v="2023-03-06T00:00:00"/>
    <x v="283"/>
    <x v="21"/>
    <n v="3.7839999999999996E-3"/>
    <n v="0"/>
    <s v="TA"/>
    <x v="3"/>
    <x v="10"/>
    <s v="Q1"/>
    <n v="255"/>
    <n v="0"/>
    <s v="TALENTI"/>
    <n v="1"/>
    <n v="0"/>
    <n v="0"/>
    <n v="0"/>
  </r>
  <r>
    <n v="69700048"/>
    <x v="3"/>
    <n v="2884"/>
    <d v="2023-03-06T00:00:00"/>
    <x v="288"/>
    <x v="24"/>
    <n v="2.3469132803553457E-3"/>
    <n v="6.7684979005448165"/>
    <s v="GH"/>
    <x v="3"/>
    <x v="4"/>
    <s v="Q1"/>
    <n v="350"/>
    <n v="8.24"/>
    <s v="MBG"/>
    <n v="1"/>
    <n v="2884"/>
    <n v="6.7684979005448165"/>
    <n v="8.24"/>
  </r>
  <r>
    <n v="69706138"/>
    <x v="2"/>
    <n v="0"/>
    <d v="2023-03-06T00:00:00"/>
    <x v="289"/>
    <x v="31"/>
    <n v="3.8999999999999998E-3"/>
    <n v="0"/>
    <s v="TA"/>
    <x v="3"/>
    <x v="42"/>
    <s v="Q1"/>
    <n v="176"/>
    <n v="0"/>
    <s v="TAL NV"/>
    <n v="1"/>
    <n v="0"/>
    <n v="0"/>
    <n v="0"/>
  </r>
  <r>
    <n v="84137725"/>
    <x v="13"/>
    <n v="44694"/>
    <d v="2023-03-06T00:00:00"/>
    <x v="132"/>
    <x v="33"/>
    <n v="3.7853439999999999E-3"/>
    <n v="169.182164736"/>
    <s v="BJ"/>
    <x v="3"/>
    <x v="36"/>
    <s v="Q1"/>
    <n v="240"/>
    <n v="186.22499999999999"/>
    <s v="BJ PTS"/>
    <n v="1"/>
    <n v="44694"/>
    <n v="169.182164736"/>
    <n v="186.22499999999999"/>
  </r>
  <r>
    <n v="84138391"/>
    <x v="5"/>
    <n v="65170"/>
    <d v="2023-03-06T00:00:00"/>
    <x v="84"/>
    <x v="33"/>
    <n v="3.7853439999999999E-3"/>
    <n v="246.69086848000001"/>
    <s v="BJ"/>
    <x v="3"/>
    <x v="15"/>
    <s v="Q1"/>
    <n v="240"/>
    <n v="271.54166666666669"/>
    <s v="BJ PTS"/>
    <n v="1"/>
    <n v="65170"/>
    <n v="246.69086848000001"/>
    <n v="271.54166666666669"/>
  </r>
  <r>
    <n v="84164936"/>
    <x v="5"/>
    <n v="0"/>
    <d v="2023-03-06T00:00:00"/>
    <x v="162"/>
    <x v="38"/>
    <n v="3.7853439999999999E-3"/>
    <n v="0"/>
    <s v="BJ"/>
    <x v="3"/>
    <x v="15"/>
    <s v="Q1"/>
    <n v="240"/>
    <n v="0"/>
    <s v="BJ PTS"/>
    <n v="1"/>
    <n v="0"/>
    <n v="0"/>
    <n v="0"/>
  </r>
  <r>
    <n v="67278444"/>
    <x v="5"/>
    <n v="50044"/>
    <d v="2023-03-07T00:00:00"/>
    <x v="213"/>
    <x v="38"/>
    <n v="3.7839999999999996E-3"/>
    <n v="189.36649599999998"/>
    <s v="BJ"/>
    <x v="3"/>
    <x v="15"/>
    <s v="Q1"/>
    <n v="240"/>
    <n v="208.51666666666668"/>
    <s v="BJ PTS"/>
    <n v="1"/>
    <n v="50044"/>
    <n v="189.36649599999998"/>
    <n v="208.51666666666668"/>
  </r>
  <r>
    <n v="67278447"/>
    <x v="5"/>
    <n v="6449"/>
    <d v="2023-03-07T00:00:00"/>
    <x v="290"/>
    <x v="34"/>
    <n v="3.7839999999999996E-3"/>
    <n v="24.403015999999997"/>
    <s v="BJ"/>
    <x v="3"/>
    <x v="15"/>
    <s v="Q1"/>
    <n v="240"/>
    <n v="26.870833333333334"/>
    <s v="BJ PTS"/>
    <n v="1"/>
    <n v="6449"/>
    <n v="24.403015999999997"/>
    <n v="26.870833333333334"/>
  </r>
  <r>
    <n v="67278447"/>
    <x v="5"/>
    <n v="14103"/>
    <d v="2023-03-07T00:00:00"/>
    <x v="290"/>
    <x v="34"/>
    <n v="3.7839999999999996E-3"/>
    <n v="53.365751999999993"/>
    <s v="BJ"/>
    <x v="3"/>
    <x v="15"/>
    <s v="Q1"/>
    <n v="240"/>
    <n v="58.762500000000003"/>
    <s v="BJ PTS"/>
    <n v="1"/>
    <n v="14103"/>
    <n v="53.365751999999993"/>
    <n v="58.762500000000003"/>
  </r>
  <r>
    <n v="67309841"/>
    <x v="2"/>
    <n v="13042"/>
    <d v="2023-03-07T00:00:00"/>
    <x v="32"/>
    <x v="2"/>
    <n v="8.5199999999999998E-3"/>
    <n v="111.11784"/>
    <s v="BR"/>
    <x v="3"/>
    <x v="2"/>
    <s v="Q1"/>
    <n v="154"/>
    <n v="84.688311688311686"/>
    <s v="48oz"/>
    <n v="1"/>
    <n v="13042"/>
    <n v="111.11784"/>
    <n v="84.688311688311686"/>
  </r>
  <r>
    <n v="67465063"/>
    <x v="3"/>
    <n v="671"/>
    <d v="2023-03-07T00:00:00"/>
    <x v="3"/>
    <x v="40"/>
    <n v="5.2680000000000001E-3"/>
    <n v="3.5348280000000001"/>
    <s v="PS"/>
    <x v="3"/>
    <x v="3"/>
    <s v="Q1"/>
    <n v="130"/>
    <n v="5.1615384615384619"/>
    <s v="PG"/>
    <n v="1"/>
    <n v="671"/>
    <n v="3.5348280000000001"/>
    <n v="5.1615384615384619"/>
  </r>
  <r>
    <n v="67465063"/>
    <x v="3"/>
    <n v="2649"/>
    <d v="2023-03-07T00:00:00"/>
    <x v="3"/>
    <x v="6"/>
    <n v="5.2680000000000001E-3"/>
    <n v="13.954931999999999"/>
    <s v="PS"/>
    <x v="3"/>
    <x v="3"/>
    <s v="Q1"/>
    <n v="130"/>
    <n v="20.376923076923077"/>
    <s v="PG"/>
    <n v="1"/>
    <n v="2649"/>
    <n v="13.954931999999999"/>
    <n v="20.376923076923077"/>
  </r>
  <r>
    <n v="67465063"/>
    <x v="3"/>
    <n v="544"/>
    <d v="2023-03-07T00:00:00"/>
    <x v="3"/>
    <x v="10"/>
    <n v="5.2680000000000001E-3"/>
    <n v="2.8657919999999999"/>
    <s v="PS"/>
    <x v="3"/>
    <x v="3"/>
    <s v="Q1"/>
    <n v="130"/>
    <n v="4.1846153846153848"/>
    <s v="PG"/>
    <n v="1"/>
    <n v="544"/>
    <n v="2.8657919999999999"/>
    <n v="4.1846153846153848"/>
  </r>
  <r>
    <n v="67465064"/>
    <x v="3"/>
    <n v="2314"/>
    <d v="2023-03-07T00:00:00"/>
    <x v="7"/>
    <x v="3"/>
    <n v="1.596E-3"/>
    <n v="3.6931439999999998"/>
    <s v="PS"/>
    <x v="3"/>
    <x v="3"/>
    <s v="Q1"/>
    <n v="130"/>
    <n v="17.8"/>
    <s v="PG"/>
    <n v="1"/>
    <n v="2314"/>
    <n v="3.6931439999999998"/>
    <n v="17.8"/>
  </r>
  <r>
    <n v="67466492"/>
    <x v="3"/>
    <n v="2840"/>
    <d v="2023-03-07T00:00:00"/>
    <x v="8"/>
    <x v="8"/>
    <n v="5.2680000000000001E-3"/>
    <n v="14.961120000000001"/>
    <s v="PS"/>
    <x v="3"/>
    <x v="3"/>
    <s v="Q1"/>
    <n v="130"/>
    <n v="21.846153846153847"/>
    <s v="PG"/>
    <n v="1"/>
    <n v="2840"/>
    <n v="14.961120000000001"/>
    <n v="21.846153846153847"/>
  </r>
  <r>
    <n v="67466492"/>
    <x v="3"/>
    <n v="4344"/>
    <d v="2023-03-07T00:00:00"/>
    <x v="8"/>
    <x v="7"/>
    <n v="5.2680000000000001E-3"/>
    <n v="22.884191999999999"/>
    <s v="PS"/>
    <x v="3"/>
    <x v="3"/>
    <s v="Q1"/>
    <n v="130"/>
    <n v="33.415384615384617"/>
    <s v="PG"/>
    <n v="1"/>
    <n v="4344"/>
    <n v="22.884191999999999"/>
    <n v="33.415384615384617"/>
  </r>
  <r>
    <n v="67466492"/>
    <x v="3"/>
    <n v="0"/>
    <d v="2023-03-07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76560"/>
    <x v="3"/>
    <n v="0"/>
    <d v="2023-03-07T00:00:00"/>
    <x v="10"/>
    <x v="10"/>
    <n v="5.1060000000000003E-3"/>
    <n v="0"/>
    <s v="PS"/>
    <x v="3"/>
    <x v="3"/>
    <s v="Q1"/>
    <n v="130"/>
    <n v="0"/>
    <s v="PG"/>
    <n v="1"/>
    <n v="0"/>
    <n v="0"/>
    <n v="0"/>
  </r>
  <r>
    <n v="67526826"/>
    <x v="5"/>
    <n v="35028"/>
    <d v="2023-03-07T00:00:00"/>
    <x v="187"/>
    <x v="33"/>
    <n v="3.7839999999999996E-3"/>
    <n v="132.545952"/>
    <s v="BJ"/>
    <x v="3"/>
    <x v="15"/>
    <s v="Q1"/>
    <n v="240"/>
    <n v="145.94999999999999"/>
    <s v="BJ PTS"/>
    <n v="1"/>
    <n v="35028"/>
    <n v="132.545952"/>
    <n v="145.94999999999999"/>
  </r>
  <r>
    <n v="67723726"/>
    <x v="3"/>
    <n v="12835"/>
    <d v="2023-03-07T00:00:00"/>
    <x v="109"/>
    <x v="23"/>
    <n v="8.5199999999999998E-3"/>
    <n v="109.35419999999999"/>
    <s v="BR"/>
    <x v="3"/>
    <x v="6"/>
    <s v="Q1"/>
    <n v="154"/>
    <n v="83.34415584415585"/>
    <s v="48oz"/>
    <n v="1"/>
    <n v="12835"/>
    <n v="109.35419999999999"/>
    <n v="83.34415584415585"/>
  </r>
  <r>
    <n v="67885716"/>
    <x v="3"/>
    <n v="12106"/>
    <d v="2023-03-07T00:00:00"/>
    <x v="89"/>
    <x v="11"/>
    <n v="8.5199999999999998E-3"/>
    <n v="103.14312"/>
    <s v="BR"/>
    <x v="3"/>
    <x v="6"/>
    <s v="Q1"/>
    <n v="154"/>
    <n v="78.610389610389603"/>
    <s v="48oz"/>
    <n v="1"/>
    <n v="12106"/>
    <n v="103.14312"/>
    <n v="78.610389610389603"/>
  </r>
  <r>
    <n v="67885719"/>
    <x v="2"/>
    <n v="24395"/>
    <d v="2023-03-07T00:00:00"/>
    <x v="11"/>
    <x v="32"/>
    <n v="8.5199999999999998E-3"/>
    <n v="207.84539999999998"/>
    <s v="BR"/>
    <x v="3"/>
    <x v="2"/>
    <s v="Q1"/>
    <n v="154"/>
    <n v="158.40909090909091"/>
    <s v="48oz"/>
    <n v="1"/>
    <n v="24395"/>
    <n v="207.84539999999998"/>
    <n v="158.40909090909091"/>
  </r>
  <r>
    <n v="67885724"/>
    <x v="3"/>
    <n v="13476"/>
    <d v="2023-03-07T00:00:00"/>
    <x v="49"/>
    <x v="12"/>
    <n v="8.5199999999999998E-3"/>
    <n v="114.81551999999999"/>
    <s v="BR"/>
    <x v="3"/>
    <x v="6"/>
    <s v="Q1"/>
    <n v="154"/>
    <n v="87.506493506493513"/>
    <s v="48oz"/>
    <n v="1"/>
    <n v="13476"/>
    <n v="114.81551999999999"/>
    <n v="87.506493506493513"/>
  </r>
  <r>
    <n v="67893539"/>
    <x v="3"/>
    <n v="10574"/>
    <d v="2023-03-07T00:00:00"/>
    <x v="12"/>
    <x v="16"/>
    <n v="8.5199999999999998E-3"/>
    <n v="90.090479999999999"/>
    <s v="BR"/>
    <x v="3"/>
    <x v="6"/>
    <s v="Q1"/>
    <n v="154"/>
    <n v="68.662337662337663"/>
    <s v="48oz"/>
    <n v="1"/>
    <n v="10574"/>
    <n v="90.090479999999999"/>
    <n v="68.662337662337663"/>
  </r>
  <r>
    <n v="67908208"/>
    <x v="2"/>
    <n v="0"/>
    <d v="2023-03-07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300738"/>
    <x v="3"/>
    <n v="6578"/>
    <d v="2023-03-07T00:00:00"/>
    <x v="120"/>
    <x v="19"/>
    <n v="8.4960000000000001E-3"/>
    <n v="55.886687999999999"/>
    <s v="KL"/>
    <x v="3"/>
    <x v="8"/>
    <s v="Q1"/>
    <n v="132"/>
    <n v="49.833333333333336"/>
    <s v="EDF"/>
    <n v="1"/>
    <n v="6578"/>
    <n v="55.886687999999999"/>
    <n v="49.833333333333336"/>
  </r>
  <r>
    <n v="68414643"/>
    <x v="6"/>
    <n v="1617"/>
    <d v="2023-03-07T00:00:00"/>
    <x v="41"/>
    <x v="0"/>
    <n v="1.419504E-3"/>
    <n v="2.2953379680000001"/>
    <s v="BJ"/>
    <x v="3"/>
    <x v="17"/>
    <s v="Q1"/>
    <n v="238"/>
    <n v="6.7941176470588234"/>
    <s v="B&amp;J Dog Treat - Repack"/>
    <n v="1"/>
    <n v="1617"/>
    <n v="2.2953379680000001"/>
    <n v="6.7941176470588234"/>
  </r>
  <r>
    <n v="68414647"/>
    <x v="6"/>
    <n v="3313"/>
    <d v="2023-03-07T00:00:00"/>
    <x v="90"/>
    <x v="0"/>
    <n v="1.419504E-3"/>
    <n v="4.7028167520000004"/>
    <s v="BJ"/>
    <x v="3"/>
    <x v="17"/>
    <s v="Q1"/>
    <n v="238"/>
    <n v="13.920168067226891"/>
    <s v="B&amp;J Dog Treat - Repack"/>
    <n v="1"/>
    <n v="3313"/>
    <n v="4.7028167520000004"/>
    <n v="13.920168067226891"/>
  </r>
  <r>
    <n v="68649095"/>
    <x v="2"/>
    <n v="21356"/>
    <d v="2023-03-07T00:00:00"/>
    <x v="286"/>
    <x v="15"/>
    <n v="3.5999999999999999E-3"/>
    <n v="76.881599999999992"/>
    <s v="BJ"/>
    <x v="3"/>
    <x v="19"/>
    <s v="Q1"/>
    <n v="240"/>
    <n v="88.983333333333334"/>
    <s v="TOPPED"/>
    <n v="1"/>
    <n v="21356"/>
    <n v="76.881599999999992"/>
    <n v="88.983333333333334"/>
  </r>
  <r>
    <n v="68689251"/>
    <x v="3"/>
    <n v="0"/>
    <d v="2023-03-07T00:00:00"/>
    <x v="17"/>
    <x v="17"/>
    <n v="9.5760000000000012E-3"/>
    <n v="0"/>
    <s v="KL"/>
    <x v="3"/>
    <x v="8"/>
    <s v="Q1"/>
    <n v="132"/>
    <n v="0"/>
    <s v="EDF"/>
    <n v="1"/>
    <n v="0"/>
    <n v="0"/>
    <n v="0"/>
  </r>
  <r>
    <n v="68689253"/>
    <x v="2"/>
    <n v="3049"/>
    <d v="2023-03-07T00:00:00"/>
    <x v="125"/>
    <x v="18"/>
    <n v="6.0035555555555554E-3"/>
    <n v="18.30484088888889"/>
    <s v="KL"/>
    <x v="3"/>
    <x v="9"/>
    <s v="Q1"/>
    <n v="120"/>
    <n v="25.408333333333335"/>
    <s v="ESS"/>
    <n v="1"/>
    <n v="3049"/>
    <n v="18.30484088888889"/>
    <n v="25.408333333333335"/>
  </r>
  <r>
    <n v="68710277"/>
    <x v="3"/>
    <n v="7030"/>
    <d v="2023-03-07T00:00:00"/>
    <x v="20"/>
    <x v="20"/>
    <n v="8.5199999999999998E-3"/>
    <n v="59.895600000000002"/>
    <s v="KL"/>
    <x v="3"/>
    <x v="8"/>
    <s v="Q1"/>
    <n v="132"/>
    <n v="53.257575757575758"/>
    <s v="EDF"/>
    <n v="1"/>
    <n v="7030"/>
    <n v="59.895600000000002"/>
    <n v="53.257575757575758"/>
  </r>
  <r>
    <n v="68726916"/>
    <x v="2"/>
    <n v="33229"/>
    <d v="2023-03-07T00:00:00"/>
    <x v="43"/>
    <x v="21"/>
    <n v="3.7853440000000004E-3"/>
    <n v="125.78319577600001"/>
    <s v="TA"/>
    <x v="3"/>
    <x v="10"/>
    <s v="Q1"/>
    <n v="255"/>
    <n v="130.30980392156863"/>
    <s v="TALENTI"/>
    <n v="1"/>
    <n v="33229"/>
    <n v="125.78319577600001"/>
    <n v="130.30980392156863"/>
  </r>
  <r>
    <n v="68728321"/>
    <x v="2"/>
    <n v="0"/>
    <d v="2023-03-07T00:00:00"/>
    <x v="150"/>
    <x v="22"/>
    <n v="3.7853439999999999E-3"/>
    <n v="0"/>
    <s v="TA"/>
    <x v="3"/>
    <x v="10"/>
    <s v="Q1"/>
    <n v="255"/>
    <n v="0"/>
    <s v="TALENTI"/>
    <n v="1"/>
    <n v="0"/>
    <n v="0"/>
    <n v="0"/>
  </r>
  <r>
    <n v="68728321"/>
    <x v="2"/>
    <n v="5787"/>
    <d v="2023-03-07T00:00:00"/>
    <x v="150"/>
    <x v="22"/>
    <n v="3.7853439999999999E-3"/>
    <n v="21.905785728000001"/>
    <s v="TA"/>
    <x v="3"/>
    <x v="10"/>
    <s v="Q1"/>
    <n v="255"/>
    <n v="22.694117647058825"/>
    <s v="TALENTI"/>
    <n v="1"/>
    <n v="5787"/>
    <n v="21.905785728000001"/>
    <n v="22.694117647058825"/>
  </r>
  <r>
    <n v="68741742"/>
    <x v="2"/>
    <n v="1475"/>
    <d v="2023-03-07T00:00:00"/>
    <x v="25"/>
    <x v="25"/>
    <n v="4.2560000000000002E-3"/>
    <n v="6.2776000000000005"/>
    <s v="GH"/>
    <x v="3"/>
    <x v="11"/>
    <s v="Q1"/>
    <n v="154"/>
    <n v="9.5779220779220786"/>
    <s v="MBG"/>
    <n v="1"/>
    <n v="1475"/>
    <n v="6.2776000000000005"/>
    <n v="9.5779220779220786"/>
  </r>
  <r>
    <n v="68746232"/>
    <x v="2"/>
    <n v="2169"/>
    <d v="2023-03-07T00:00:00"/>
    <x v="154"/>
    <x v="26"/>
    <n v="9.5879999999999993E-3"/>
    <n v="20.796371999999998"/>
    <s v="KL"/>
    <x v="3"/>
    <x v="12"/>
    <s v="Q1"/>
    <n v="132"/>
    <n v="16.431818181818183"/>
    <s v="EDF"/>
    <n v="1"/>
    <n v="2169"/>
    <n v="20.796371999999998"/>
    <n v="16.431818181818183"/>
  </r>
  <r>
    <n v="68821728"/>
    <x v="2"/>
    <n v="8494"/>
    <d v="2023-03-07T00:00:00"/>
    <x v="35"/>
    <x v="13"/>
    <n v="8.5199999999999998E-3"/>
    <n v="72.368880000000004"/>
    <s v="BR"/>
    <x v="3"/>
    <x v="2"/>
    <s v="Q1"/>
    <n v="176"/>
    <n v="48.261363636363633"/>
    <s v="48oz"/>
    <n v="1"/>
    <n v="8494"/>
    <n v="72.368880000000004"/>
    <n v="48.261363636363633"/>
  </r>
  <r>
    <n v="68914406"/>
    <x v="2"/>
    <n v="8142"/>
    <d v="2023-03-07T00:00:00"/>
    <x v="78"/>
    <x v="27"/>
    <n v="2.124E-3"/>
    <n v="17.293607999999999"/>
    <s v="KL"/>
    <x v="3"/>
    <x v="9"/>
    <s v="Q1"/>
    <n v="352"/>
    <n v="23.130681818181817"/>
    <s v="ESS"/>
    <n v="1"/>
    <n v="8142"/>
    <n v="17.293607999999999"/>
    <n v="23.130681818181817"/>
  </r>
  <r>
    <n v="68917388"/>
    <x v="3"/>
    <n v="13473"/>
    <d v="2023-03-07T00:00:00"/>
    <x v="287"/>
    <x v="36"/>
    <n v="3.9119999999999997E-3"/>
    <n v="52.706375999999999"/>
    <s v="KL"/>
    <x v="3"/>
    <x v="28"/>
    <s v="Q1"/>
    <n v="322"/>
    <n v="41.841614906832298"/>
    <s v="EFW"/>
    <n v="1"/>
    <n v="13473"/>
    <n v="52.706375999999999"/>
    <n v="41.841614906832298"/>
  </r>
  <r>
    <n v="69555091"/>
    <x v="2"/>
    <n v="6279"/>
    <d v="2023-03-07T00:00:00"/>
    <x v="195"/>
    <x v="14"/>
    <n v="1.98E-3"/>
    <n v="12.43242"/>
    <s v="TA"/>
    <x v="3"/>
    <x v="42"/>
    <s v="Q1"/>
    <n v="176"/>
    <n v="35.676136363636367"/>
    <s v="TAL NV"/>
    <n v="1"/>
    <n v="6279"/>
    <n v="12.43242"/>
    <n v="35.676136363636367"/>
  </r>
  <r>
    <n v="69568828"/>
    <x v="3"/>
    <n v="0"/>
    <d v="2023-03-07T00:00:00"/>
    <x v="12"/>
    <x v="16"/>
    <n v="8.5199999999999998E-3"/>
    <n v="0"/>
    <s v="BR"/>
    <x v="3"/>
    <x v="6"/>
    <s v="Q1"/>
    <n v="176"/>
    <n v="0"/>
    <s v="48oz"/>
    <n v="1"/>
    <n v="0"/>
    <n v="0"/>
    <n v="0"/>
  </r>
  <r>
    <n v="69571484"/>
    <x v="2"/>
    <n v="0"/>
    <d v="2023-03-07T00:00:00"/>
    <x v="230"/>
    <x v="5"/>
    <n v="1.2960000000000001E-2"/>
    <n v="0"/>
    <s v="MG"/>
    <x v="3"/>
    <x v="5"/>
    <s v="Q1"/>
    <n v="493"/>
    <n v="0"/>
    <s v="MG Sticks"/>
    <n v="1"/>
    <n v="0"/>
    <n v="0"/>
    <n v="0"/>
  </r>
  <r>
    <n v="69572544"/>
    <x v="2"/>
    <n v="0"/>
    <d v="2023-03-07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572658"/>
    <x v="2"/>
    <n v="0"/>
    <d v="2023-03-07T00:00:00"/>
    <x v="166"/>
    <x v="5"/>
    <n v="2.1520000000000003E-3"/>
    <n v="0"/>
    <s v="MG"/>
    <x v="3"/>
    <x v="5"/>
    <s v="Q1"/>
    <n v="210"/>
    <n v="0"/>
    <s v="MG Sticks"/>
    <n v="1"/>
    <n v="0"/>
    <n v="0"/>
    <n v="0"/>
  </r>
  <r>
    <n v="69586716"/>
    <x v="2"/>
    <n v="0"/>
    <d v="2023-03-07T00:00:00"/>
    <x v="6"/>
    <x v="5"/>
    <n v="2.0400000000000001E-3"/>
    <n v="0"/>
    <s v="MG"/>
    <x v="3"/>
    <x v="5"/>
    <s v="Q1"/>
    <n v="210"/>
    <n v="0"/>
    <s v="MG Sticks"/>
    <n v="1"/>
    <n v="0"/>
    <n v="0"/>
    <n v="0"/>
  </r>
  <r>
    <n v="69586716"/>
    <x v="2"/>
    <n v="0"/>
    <d v="2023-03-07T00:00:00"/>
    <x v="6"/>
    <x v="5"/>
    <n v="2.0400000000000001E-3"/>
    <n v="0"/>
    <s v="MG"/>
    <x v="3"/>
    <x v="5"/>
    <s v="Q1"/>
    <n v="210"/>
    <n v="0"/>
    <s v="MG Sticks"/>
    <n v="1"/>
    <n v="0"/>
    <n v="0"/>
    <n v="0"/>
  </r>
  <r>
    <n v="69586716"/>
    <x v="2"/>
    <n v="10449"/>
    <d v="2023-03-07T00:00:00"/>
    <x v="6"/>
    <x v="5"/>
    <n v="2.0400000000000001E-3"/>
    <n v="21.31596"/>
    <s v="MG"/>
    <x v="3"/>
    <x v="5"/>
    <s v="Q1"/>
    <n v="210"/>
    <n v="49.75714285714286"/>
    <s v="MG Sticks"/>
    <n v="1"/>
    <n v="10449"/>
    <n v="21.31596"/>
    <n v="49.75714285714286"/>
  </r>
  <r>
    <n v="69621212"/>
    <x v="2"/>
    <n v="3856"/>
    <d v="2023-03-07T00:00:00"/>
    <x v="29"/>
    <x v="28"/>
    <n v="5.2680000000000001E-3"/>
    <n v="20.313407999999999"/>
    <s v="PG"/>
    <x v="3"/>
    <x v="14"/>
    <s v="Q1"/>
    <n v="130"/>
    <n v="29.661538461538463"/>
    <s v="PG"/>
    <n v="1"/>
    <n v="3856"/>
    <n v="20.313407999999999"/>
    <n v="29.661538461538463"/>
  </r>
  <r>
    <n v="69629477"/>
    <x v="1"/>
    <n v="2861"/>
    <d v="2023-03-07T00:00:00"/>
    <x v="61"/>
    <x v="0"/>
    <n v="5.3280000000000003E-3"/>
    <n v="15.243408000000001"/>
    <s v="KL"/>
    <x v="3"/>
    <x v="26"/>
    <s v="Q1"/>
    <n v="108"/>
    <n v="26.49074074074074"/>
    <s v="KL Mini Cones"/>
    <n v="1"/>
    <n v="2861"/>
    <n v="15.243408000000001"/>
    <n v="26.49074074074074"/>
  </r>
  <r>
    <n v="69671641"/>
    <x v="3"/>
    <n v="5078"/>
    <d v="2023-03-07T00:00:00"/>
    <x v="260"/>
    <x v="4"/>
    <n v="3.9039999999999999E-3"/>
    <n v="19.824511999999999"/>
    <s v="GH"/>
    <x v="3"/>
    <x v="4"/>
    <s v="Q1"/>
    <n v="154"/>
    <n v="32.974025974025977"/>
    <s v="MBG"/>
    <n v="1"/>
    <n v="5078"/>
    <n v="19.824511999999999"/>
    <n v="32.974025974025977"/>
  </r>
  <r>
    <n v="69677917"/>
    <x v="3"/>
    <n v="5024"/>
    <d v="2023-03-07T00:00:00"/>
    <x v="30"/>
    <x v="29"/>
    <n v="5.2680000000000001E-3"/>
    <n v="26.466432000000001"/>
    <s v="PS"/>
    <x v="3"/>
    <x v="3"/>
    <s v="Q1"/>
    <n v="108"/>
    <n v="46.518518518518519"/>
    <s v="PG"/>
    <n v="1"/>
    <n v="5024"/>
    <n v="26.466432000000001"/>
    <n v="46.518518518518519"/>
  </r>
  <r>
    <n v="69677917"/>
    <x v="2"/>
    <n v="4915"/>
    <d v="2023-03-07T00:00:00"/>
    <x v="30"/>
    <x v="30"/>
    <n v="5.2680000000000001E-3"/>
    <n v="25.892220000000002"/>
    <s v="PS"/>
    <x v="3"/>
    <x v="14"/>
    <s v="Q1"/>
    <n v="108"/>
    <n v="45.50925925925926"/>
    <s v="PG"/>
    <n v="1"/>
    <n v="4915"/>
    <n v="25.892220000000002"/>
    <n v="45.50925925925926"/>
  </r>
  <r>
    <n v="69684521"/>
    <x v="2"/>
    <n v="2300"/>
    <d v="2023-03-07T00:00:00"/>
    <x v="160"/>
    <x v="31"/>
    <n v="4.2585119798234554E-3"/>
    <n v="9.7945775535939479"/>
    <s v="MG "/>
    <x v="3"/>
    <x v="5"/>
    <s v="Q1"/>
    <n v="143"/>
    <n v="16.083916083916083"/>
    <s v="MG Sticks"/>
    <n v="1"/>
    <n v="2300"/>
    <n v="9.7945775535939479"/>
    <n v="16.083916083916083"/>
  </r>
  <r>
    <n v="69691809"/>
    <x v="2"/>
    <n v="3481"/>
    <d v="2023-03-07T00:00:00"/>
    <x v="283"/>
    <x v="22"/>
    <n v="3.7839999999999996E-3"/>
    <n v="13.172103999999999"/>
    <s v="TA"/>
    <x v="3"/>
    <x v="10"/>
    <s v="Q1"/>
    <n v="255"/>
    <n v="13.650980392156862"/>
    <s v="TALENTI"/>
    <n v="1"/>
    <n v="3481"/>
    <n v="13.172103999999999"/>
    <n v="13.650980392156862"/>
  </r>
  <r>
    <n v="69700048"/>
    <x v="3"/>
    <n v="5570"/>
    <d v="2023-03-07T00:00:00"/>
    <x v="288"/>
    <x v="24"/>
    <n v="2.3469132803553457E-3"/>
    <n v="13.072306971579275"/>
    <s v="GH"/>
    <x v="3"/>
    <x v="4"/>
    <s v="Q1"/>
    <n v="350"/>
    <n v="15.914285714285715"/>
    <s v="MBG"/>
    <n v="1"/>
    <n v="5570"/>
    <n v="13.072306971579275"/>
    <n v="15.914285714285715"/>
  </r>
  <r>
    <n v="69706138"/>
    <x v="2"/>
    <n v="0"/>
    <d v="2023-03-07T00:00:00"/>
    <x v="289"/>
    <x v="31"/>
    <n v="3.8999999999999998E-3"/>
    <n v="0"/>
    <s v="TA"/>
    <x v="3"/>
    <x v="42"/>
    <s v="Q1"/>
    <n v="176"/>
    <n v="0"/>
    <s v="TAL NV"/>
    <n v="1"/>
    <n v="0"/>
    <n v="0"/>
    <n v="0"/>
  </r>
  <r>
    <n v="84150840"/>
    <x v="5"/>
    <n v="23713"/>
    <d v="2023-03-07T00:00:00"/>
    <x v="251"/>
    <x v="33"/>
    <n v="1.4399999999999999E-3"/>
    <n v="34.146719999999995"/>
    <s v="BJ"/>
    <x v="3"/>
    <x v="16"/>
    <s v="Q1"/>
    <n v="510"/>
    <n v="46.496078431372545"/>
    <s v="B&amp;J Cups"/>
    <n v="1"/>
    <n v="23713"/>
    <n v="34.146719999999995"/>
    <n v="46.496078431372545"/>
  </r>
  <r>
    <n v="67309841"/>
    <x v="2"/>
    <n v="14455"/>
    <d v="2023-03-08T00:00:00"/>
    <x v="32"/>
    <x v="2"/>
    <n v="8.5199999999999998E-3"/>
    <n v="123.1566"/>
    <s v="BR"/>
    <x v="3"/>
    <x v="2"/>
    <s v="Q1"/>
    <n v="154"/>
    <n v="93.86363636363636"/>
    <s v="48oz"/>
    <n v="1"/>
    <n v="14455"/>
    <n v="123.1566"/>
    <n v="93.86363636363636"/>
  </r>
  <r>
    <n v="67465063"/>
    <x v="3"/>
    <n v="505"/>
    <d v="2023-03-08T00:00:00"/>
    <x v="3"/>
    <x v="40"/>
    <n v="5.2680000000000001E-3"/>
    <n v="2.6603400000000001"/>
    <s v="PS"/>
    <x v="3"/>
    <x v="3"/>
    <s v="Q1"/>
    <n v="130"/>
    <n v="3.8846153846153846"/>
    <s v="PG"/>
    <n v="1"/>
    <n v="505"/>
    <n v="2.6603400000000001"/>
    <n v="3.8846153846153846"/>
  </r>
  <r>
    <n v="67465063"/>
    <x v="3"/>
    <n v="4351"/>
    <d v="2023-03-08T00:00:00"/>
    <x v="3"/>
    <x v="6"/>
    <n v="5.2680000000000001E-3"/>
    <n v="22.921068000000002"/>
    <s v="PS"/>
    <x v="3"/>
    <x v="3"/>
    <s v="Q1"/>
    <n v="130"/>
    <n v="33.469230769230769"/>
    <s v="PG"/>
    <n v="1"/>
    <n v="4351"/>
    <n v="22.921068000000002"/>
    <n v="33.469230769230769"/>
  </r>
  <r>
    <n v="67465063"/>
    <x v="3"/>
    <n v="1456"/>
    <d v="2023-03-08T00:00:00"/>
    <x v="3"/>
    <x v="10"/>
    <n v="5.2680000000000001E-3"/>
    <n v="7.6702080000000006"/>
    <s v="PS"/>
    <x v="3"/>
    <x v="3"/>
    <s v="Q1"/>
    <n v="130"/>
    <n v="11.2"/>
    <s v="PG"/>
    <n v="1"/>
    <n v="1456"/>
    <n v="7.6702080000000006"/>
    <n v="11.2"/>
  </r>
  <r>
    <n v="67465064"/>
    <x v="3"/>
    <n v="2734"/>
    <d v="2023-03-08T00:00:00"/>
    <x v="7"/>
    <x v="3"/>
    <n v="1.596E-3"/>
    <n v="4.3634639999999996"/>
    <s v="PS"/>
    <x v="3"/>
    <x v="3"/>
    <s v="Q1"/>
    <n v="130"/>
    <n v="21.030769230769231"/>
    <s v="PG"/>
    <n v="1"/>
    <n v="2734"/>
    <n v="4.3634639999999996"/>
    <n v="21.030769230769231"/>
  </r>
  <r>
    <n v="67466492"/>
    <x v="3"/>
    <n v="3412"/>
    <d v="2023-03-08T00:00:00"/>
    <x v="8"/>
    <x v="8"/>
    <n v="5.2680000000000001E-3"/>
    <n v="17.974416000000002"/>
    <s v="PS"/>
    <x v="3"/>
    <x v="3"/>
    <s v="Q1"/>
    <n v="130"/>
    <n v="26.246153846153845"/>
    <s v="PG"/>
    <n v="1"/>
    <n v="3412"/>
    <n v="17.974416000000002"/>
    <n v="26.246153846153845"/>
  </r>
  <r>
    <n v="67466492"/>
    <x v="3"/>
    <n v="3757"/>
    <d v="2023-03-08T00:00:00"/>
    <x v="8"/>
    <x v="7"/>
    <n v="5.2680000000000001E-3"/>
    <n v="19.791876000000002"/>
    <s v="PS"/>
    <x v="3"/>
    <x v="3"/>
    <s v="Q1"/>
    <n v="130"/>
    <n v="28.9"/>
    <s v="PG"/>
    <n v="1"/>
    <n v="3757"/>
    <n v="19.791876000000002"/>
    <n v="28.9"/>
  </r>
  <r>
    <n v="67466492"/>
    <x v="3"/>
    <n v="0"/>
    <d v="2023-03-08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76560"/>
    <x v="3"/>
    <n v="0"/>
    <d v="2023-03-08T00:00:00"/>
    <x v="10"/>
    <x v="10"/>
    <n v="5.1060000000000003E-3"/>
    <n v="0"/>
    <s v="PS"/>
    <x v="3"/>
    <x v="3"/>
    <s v="Q1"/>
    <n v="130"/>
    <n v="0"/>
    <s v="PG"/>
    <n v="1"/>
    <n v="0"/>
    <n v="0"/>
    <n v="0"/>
  </r>
  <r>
    <n v="67723726"/>
    <x v="3"/>
    <n v="12662"/>
    <d v="2023-03-08T00:00:00"/>
    <x v="109"/>
    <x v="23"/>
    <n v="8.5199999999999998E-3"/>
    <n v="107.88024"/>
    <s v="BR"/>
    <x v="3"/>
    <x v="6"/>
    <s v="Q1"/>
    <n v="154"/>
    <n v="82.220779220779221"/>
    <s v="48oz"/>
    <n v="1"/>
    <n v="12662"/>
    <n v="107.88024"/>
    <n v="82.220779220779221"/>
  </r>
  <r>
    <n v="67885716"/>
    <x v="3"/>
    <n v="12359"/>
    <d v="2023-03-08T00:00:00"/>
    <x v="89"/>
    <x v="11"/>
    <n v="8.5199999999999998E-3"/>
    <n v="105.29868"/>
    <s v="BR"/>
    <x v="3"/>
    <x v="6"/>
    <s v="Q1"/>
    <n v="154"/>
    <n v="80.253246753246756"/>
    <s v="48oz"/>
    <n v="1"/>
    <n v="12359"/>
    <n v="105.29868"/>
    <n v="80.253246753246756"/>
  </r>
  <r>
    <n v="67885719"/>
    <x v="2"/>
    <n v="25443"/>
    <d v="2023-03-08T00:00:00"/>
    <x v="11"/>
    <x v="32"/>
    <n v="8.5199999999999998E-3"/>
    <n v="216.77436"/>
    <s v="BR"/>
    <x v="3"/>
    <x v="2"/>
    <s v="Q1"/>
    <n v="154"/>
    <n v="165.21428571428572"/>
    <s v="48oz"/>
    <n v="1"/>
    <n v="25443"/>
    <n v="216.77436"/>
    <n v="165.21428571428572"/>
  </r>
  <r>
    <n v="67885724"/>
    <x v="3"/>
    <n v="13038"/>
    <d v="2023-03-08T00:00:00"/>
    <x v="49"/>
    <x v="12"/>
    <n v="8.5199999999999998E-3"/>
    <n v="111.08376"/>
    <s v="BR"/>
    <x v="3"/>
    <x v="6"/>
    <s v="Q1"/>
    <n v="154"/>
    <n v="84.662337662337663"/>
    <s v="48oz"/>
    <n v="1"/>
    <n v="13038"/>
    <n v="111.08376"/>
    <n v="84.662337662337663"/>
  </r>
  <r>
    <n v="67893539"/>
    <x v="3"/>
    <n v="0"/>
    <d v="2023-03-08T00:00:00"/>
    <x v="12"/>
    <x v="16"/>
    <n v="8.5199999999999998E-3"/>
    <n v="0"/>
    <s v="BR"/>
    <x v="3"/>
    <x v="6"/>
    <s v="Q1"/>
    <n v="154"/>
    <n v="0"/>
    <s v="48oz"/>
    <n v="1"/>
    <n v="0"/>
    <n v="0"/>
    <n v="0"/>
  </r>
  <r>
    <n v="67908208"/>
    <x v="2"/>
    <n v="0"/>
    <d v="2023-03-08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300738"/>
    <x v="3"/>
    <n v="5317"/>
    <d v="2023-03-08T00:00:00"/>
    <x v="120"/>
    <x v="19"/>
    <n v="8.4960000000000001E-3"/>
    <n v="45.173231999999999"/>
    <s v="KL"/>
    <x v="3"/>
    <x v="8"/>
    <s v="Q1"/>
    <n v="132"/>
    <n v="40.280303030303031"/>
    <s v="EDF"/>
    <n v="1"/>
    <n v="5317"/>
    <n v="45.173231999999999"/>
    <n v="40.280303030303031"/>
  </r>
  <r>
    <n v="68309312"/>
    <x v="2"/>
    <n v="0"/>
    <d v="2023-03-08T00:00:00"/>
    <x v="134"/>
    <x v="13"/>
    <n v="8.5199999999999998E-3"/>
    <n v="0"/>
    <s v="BR"/>
    <x v="3"/>
    <x v="2"/>
    <s v="Q1"/>
    <n v="154"/>
    <n v="0"/>
    <s v="48oz"/>
    <n v="1"/>
    <n v="0"/>
    <n v="0"/>
    <n v="0"/>
  </r>
  <r>
    <n v="68649095"/>
    <x v="2"/>
    <n v="18133"/>
    <d v="2023-03-08T00:00:00"/>
    <x v="286"/>
    <x v="15"/>
    <n v="3.5999999999999999E-3"/>
    <n v="65.278800000000004"/>
    <s v="BJ"/>
    <x v="3"/>
    <x v="19"/>
    <s v="Q1"/>
    <n v="240"/>
    <n v="75.55416666666666"/>
    <s v="TOPPED"/>
    <n v="1"/>
    <n v="18133"/>
    <n v="65.278800000000004"/>
    <n v="75.55416666666666"/>
  </r>
  <r>
    <n v="68656229"/>
    <x v="2"/>
    <n v="0"/>
    <d v="2023-03-08T00:00:00"/>
    <x v="208"/>
    <x v="2"/>
    <n v="8.5199999999999998E-3"/>
    <n v="0"/>
    <s v="BR"/>
    <x v="3"/>
    <x v="2"/>
    <s v="Q1"/>
    <n v="154"/>
    <n v="0"/>
    <s v="48oz"/>
    <n v="1"/>
    <n v="0"/>
    <n v="0"/>
    <n v="0"/>
  </r>
  <r>
    <n v="68656231"/>
    <x v="3"/>
    <n v="12574"/>
    <d v="2023-03-08T00:00:00"/>
    <x v="16"/>
    <x v="16"/>
    <n v="8.5199999999999998E-3"/>
    <n v="107.13047999999999"/>
    <s v="BR"/>
    <x v="3"/>
    <x v="6"/>
    <s v="Q1"/>
    <n v="154"/>
    <n v="81.649350649350652"/>
    <s v="48oz"/>
    <n v="1"/>
    <n v="12574"/>
    <n v="107.13047999999999"/>
    <n v="81.649350649350652"/>
  </r>
  <r>
    <n v="68689251"/>
    <x v="3"/>
    <n v="6059"/>
    <d v="2023-03-08T00:00:00"/>
    <x v="17"/>
    <x v="17"/>
    <n v="9.5760000000000012E-3"/>
    <n v="58.020984000000006"/>
    <s v="KL"/>
    <x v="3"/>
    <x v="8"/>
    <s v="Q1"/>
    <n v="132"/>
    <n v="45.901515151515149"/>
    <s v="EDF"/>
    <n v="1"/>
    <n v="6059"/>
    <n v="58.020984000000006"/>
    <n v="45.901515151515149"/>
  </r>
  <r>
    <n v="68689253"/>
    <x v="2"/>
    <n v="2808"/>
    <d v="2023-03-08T00:00:00"/>
    <x v="125"/>
    <x v="18"/>
    <n v="6.0035555555555554E-3"/>
    <n v="16.857983999999998"/>
    <s v="KL"/>
    <x v="3"/>
    <x v="9"/>
    <s v="Q1"/>
    <n v="120"/>
    <n v="23.4"/>
    <s v="ESS"/>
    <n v="1"/>
    <n v="2808"/>
    <n v="16.857983999999998"/>
    <n v="23.4"/>
  </r>
  <r>
    <n v="68710277"/>
    <x v="3"/>
    <n v="2532"/>
    <d v="2023-03-08T00:00:00"/>
    <x v="20"/>
    <x v="20"/>
    <n v="8.5199999999999998E-3"/>
    <n v="21.57264"/>
    <s v="KL"/>
    <x v="3"/>
    <x v="8"/>
    <s v="Q1"/>
    <n v="132"/>
    <n v="19.181818181818183"/>
    <s v="EDF"/>
    <n v="1"/>
    <n v="2532"/>
    <n v="21.57264"/>
    <n v="19.181818181818183"/>
  </r>
  <r>
    <n v="68726916"/>
    <x v="2"/>
    <n v="36192"/>
    <d v="2023-03-08T00:00:00"/>
    <x v="43"/>
    <x v="21"/>
    <n v="3.7853440000000004E-3"/>
    <n v="136.99917004800002"/>
    <s v="TA"/>
    <x v="3"/>
    <x v="10"/>
    <s v="Q1"/>
    <n v="255"/>
    <n v="141.92941176470589"/>
    <s v="TALENTI"/>
    <n v="1"/>
    <n v="36192"/>
    <n v="136.99917004800002"/>
    <n v="141.92941176470589"/>
  </r>
  <r>
    <n v="68726982"/>
    <x v="2"/>
    <n v="0"/>
    <d v="2023-03-08T00:00:00"/>
    <x v="291"/>
    <x v="21"/>
    <n v="3.7853440000000004E-3"/>
    <n v="0"/>
    <s v="TA"/>
    <x v="3"/>
    <x v="10"/>
    <s v="Q1"/>
    <n v="255"/>
    <n v="0"/>
    <s v="TALENTI"/>
    <n v="1"/>
    <n v="0"/>
    <n v="0"/>
    <n v="0"/>
  </r>
  <r>
    <n v="68728321"/>
    <x v="2"/>
    <n v="12952"/>
    <d v="2023-03-08T00:00:00"/>
    <x v="150"/>
    <x v="22"/>
    <n v="3.7853439999999999E-3"/>
    <n v="49.027775487999996"/>
    <s v="TA"/>
    <x v="3"/>
    <x v="10"/>
    <s v="Q1"/>
    <n v="255"/>
    <n v="50.792156862745095"/>
    <s v="TALENTI"/>
    <n v="1"/>
    <n v="12952"/>
    <n v="49.027775487999996"/>
    <n v="50.792156862745095"/>
  </r>
  <r>
    <n v="68741742"/>
    <x v="2"/>
    <n v="5267"/>
    <d v="2023-03-08T00:00:00"/>
    <x v="25"/>
    <x v="25"/>
    <n v="4.2560000000000002E-3"/>
    <n v="22.416352"/>
    <s v="GH"/>
    <x v="3"/>
    <x v="11"/>
    <s v="Q1"/>
    <n v="154"/>
    <n v="34.201298701298704"/>
    <s v="MBG"/>
    <n v="1"/>
    <n v="5267"/>
    <n v="22.416352"/>
    <n v="34.201298701298704"/>
  </r>
  <r>
    <n v="68746232"/>
    <x v="2"/>
    <n v="3164"/>
    <d v="2023-03-08T00:00:00"/>
    <x v="154"/>
    <x v="26"/>
    <n v="9.5879999999999993E-3"/>
    <n v="30.336431999999999"/>
    <s v="KL"/>
    <x v="3"/>
    <x v="12"/>
    <s v="Q1"/>
    <n v="132"/>
    <n v="23.969696969696969"/>
    <s v="EDF"/>
    <n v="1"/>
    <n v="3164"/>
    <n v="30.336431999999999"/>
    <n v="23.969696969696969"/>
  </r>
  <r>
    <n v="68821728"/>
    <x v="2"/>
    <n v="12122"/>
    <d v="2023-03-08T00:00:00"/>
    <x v="35"/>
    <x v="13"/>
    <n v="8.5199999999999998E-3"/>
    <n v="103.27943999999999"/>
    <s v="BR"/>
    <x v="3"/>
    <x v="2"/>
    <s v="Q1"/>
    <n v="176"/>
    <n v="68.875"/>
    <s v="48oz"/>
    <n v="1"/>
    <n v="12122"/>
    <n v="103.27943999999999"/>
    <n v="68.875"/>
  </r>
  <r>
    <n v="68871220"/>
    <x v="0"/>
    <n v="420"/>
    <d v="2023-03-08T00:00:00"/>
    <x v="156"/>
    <x v="1"/>
    <n v="3.7853439999999999E-3"/>
    <n v="1.58984448"/>
    <s v="BR"/>
    <x v="3"/>
    <x v="38"/>
    <s v="Q1"/>
    <n v="240"/>
    <n v="1.75"/>
    <s v="PTS"/>
    <n v="1"/>
    <n v="420"/>
    <n v="1.58984448"/>
    <n v="1.75"/>
  </r>
  <r>
    <n v="68914406"/>
    <x v="2"/>
    <n v="8281"/>
    <d v="2023-03-08T00:00:00"/>
    <x v="78"/>
    <x v="27"/>
    <n v="2.124E-3"/>
    <n v="17.588844000000002"/>
    <s v="KL"/>
    <x v="3"/>
    <x v="9"/>
    <s v="Q1"/>
    <n v="352"/>
    <n v="23.525568181818183"/>
    <s v="ESS"/>
    <n v="1"/>
    <n v="8281"/>
    <n v="17.588844000000002"/>
    <n v="23.525568181818183"/>
  </r>
  <r>
    <n v="68917388"/>
    <x v="3"/>
    <n v="7374"/>
    <d v="2023-03-08T00:00:00"/>
    <x v="287"/>
    <x v="36"/>
    <n v="3.9119999999999997E-3"/>
    <n v="28.847087999999999"/>
    <s v="KL"/>
    <x v="3"/>
    <x v="28"/>
    <s v="Q1"/>
    <n v="322"/>
    <n v="22.900621118012424"/>
    <s v="EFW"/>
    <n v="1"/>
    <n v="7374"/>
    <n v="28.847087999999999"/>
    <n v="22.900621118012424"/>
  </r>
  <r>
    <n v="69552651"/>
    <x v="5"/>
    <n v="34539"/>
    <d v="2023-03-08T00:00:00"/>
    <x v="292"/>
    <x v="38"/>
    <n v="3.7839999999999996E-3"/>
    <n v="130.69557599999999"/>
    <s v="BJ"/>
    <x v="3"/>
    <x v="15"/>
    <s v="Q1"/>
    <n v="240"/>
    <n v="143.91249999999999"/>
    <s v="BJ PTS"/>
    <n v="1"/>
    <n v="34539"/>
    <n v="130.69557599999999"/>
    <n v="143.91249999999999"/>
  </r>
  <r>
    <n v="69555091"/>
    <x v="2"/>
    <n v="3992"/>
    <d v="2023-03-08T00:00:00"/>
    <x v="195"/>
    <x v="14"/>
    <n v="1.98E-3"/>
    <n v="7.9041600000000001"/>
    <s v="TA"/>
    <x v="3"/>
    <x v="42"/>
    <s v="Q1"/>
    <n v="176"/>
    <n v="22.681818181818183"/>
    <s v="TAL NV"/>
    <n v="1"/>
    <n v="3992"/>
    <n v="7.9041600000000001"/>
    <n v="22.681818181818183"/>
  </r>
  <r>
    <n v="69568828"/>
    <x v="3"/>
    <n v="0"/>
    <d v="2023-03-08T00:00:00"/>
    <x v="12"/>
    <x v="16"/>
    <n v="8.5199999999999998E-3"/>
    <n v="0"/>
    <s v="BR"/>
    <x v="3"/>
    <x v="6"/>
    <s v="Q1"/>
    <n v="176"/>
    <n v="0"/>
    <s v="48oz"/>
    <n v="1"/>
    <n v="0"/>
    <n v="0"/>
    <n v="0"/>
  </r>
  <r>
    <n v="69572544"/>
    <x v="2"/>
    <n v="0"/>
    <d v="2023-03-08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586716"/>
    <x v="2"/>
    <n v="11551"/>
    <d v="2023-03-08T00:00:00"/>
    <x v="6"/>
    <x v="5"/>
    <n v="2.0400000000000001E-3"/>
    <n v="23.564040000000002"/>
    <s v="MG"/>
    <x v="3"/>
    <x v="5"/>
    <s v="Q1"/>
    <n v="210"/>
    <n v="55.004761904761907"/>
    <s v="MG Sticks"/>
    <n v="1"/>
    <n v="11551"/>
    <n v="23.564040000000002"/>
    <n v="55.004761904761907"/>
  </r>
  <r>
    <n v="69621212"/>
    <x v="2"/>
    <n v="1968"/>
    <d v="2023-03-08T00:00:00"/>
    <x v="29"/>
    <x v="28"/>
    <n v="5.2680000000000001E-3"/>
    <n v="10.367424"/>
    <s v="PG"/>
    <x v="3"/>
    <x v="14"/>
    <s v="Q1"/>
    <n v="130"/>
    <n v="15.138461538461538"/>
    <s v="PG"/>
    <n v="1"/>
    <n v="1968"/>
    <n v="10.367424"/>
    <n v="15.138461538461538"/>
  </r>
  <r>
    <n v="69629477"/>
    <x v="1"/>
    <n v="2933"/>
    <d v="2023-03-08T00:00:00"/>
    <x v="61"/>
    <x v="0"/>
    <n v="5.3280000000000003E-3"/>
    <n v="15.627024"/>
    <s v="KL"/>
    <x v="3"/>
    <x v="26"/>
    <s v="Q1"/>
    <n v="108"/>
    <n v="27.157407407407408"/>
    <s v="KL Mini Cones"/>
    <n v="1"/>
    <n v="2933"/>
    <n v="15.627024"/>
    <n v="27.157407407407408"/>
  </r>
  <r>
    <n v="69629477"/>
    <x v="1"/>
    <n v="2925"/>
    <d v="2023-03-08T00:00:00"/>
    <x v="61"/>
    <x v="0"/>
    <n v="5.3280000000000003E-3"/>
    <n v="15.5844"/>
    <s v="KL"/>
    <x v="3"/>
    <x v="26"/>
    <s v="Q1"/>
    <n v="108"/>
    <n v="27.083333333333332"/>
    <s v="KL Mini Cones"/>
    <n v="1"/>
    <n v="2925"/>
    <n v="15.5844"/>
    <n v="27.083333333333332"/>
  </r>
  <r>
    <n v="69671641"/>
    <x v="3"/>
    <n v="4282"/>
    <d v="2023-03-08T00:00:00"/>
    <x v="260"/>
    <x v="4"/>
    <n v="3.9039999999999999E-3"/>
    <n v="16.716927999999999"/>
    <s v="GH"/>
    <x v="3"/>
    <x v="4"/>
    <s v="Q1"/>
    <n v="154"/>
    <n v="27.805194805194805"/>
    <s v="MBG"/>
    <n v="1"/>
    <n v="4282"/>
    <n v="16.716927999999999"/>
    <n v="27.805194805194805"/>
  </r>
  <r>
    <n v="69677917"/>
    <x v="3"/>
    <n v="1242"/>
    <d v="2023-03-08T00:00:00"/>
    <x v="30"/>
    <x v="29"/>
    <n v="5.2680000000000001E-3"/>
    <n v="6.5428560000000004"/>
    <s v="PS"/>
    <x v="3"/>
    <x v="3"/>
    <s v="Q1"/>
    <n v="108"/>
    <n v="11.5"/>
    <s v="PG"/>
    <n v="1"/>
    <n v="1242"/>
    <n v="6.5428560000000004"/>
    <n v="11.5"/>
  </r>
  <r>
    <n v="69677917"/>
    <x v="2"/>
    <n v="2627"/>
    <d v="2023-03-08T00:00:00"/>
    <x v="30"/>
    <x v="30"/>
    <n v="5.2680000000000001E-3"/>
    <n v="13.839036"/>
    <s v="PS"/>
    <x v="3"/>
    <x v="14"/>
    <s v="Q1"/>
    <n v="108"/>
    <n v="24.324074074074073"/>
    <s v="PG"/>
    <n v="1"/>
    <n v="2627"/>
    <n v="13.839036"/>
    <n v="24.324074074074073"/>
  </r>
  <r>
    <n v="69684521"/>
    <x v="2"/>
    <n v="4420"/>
    <d v="2023-03-08T00:00:00"/>
    <x v="160"/>
    <x v="31"/>
    <n v="4.2585119798234554E-3"/>
    <n v="18.822622950819675"/>
    <s v="MG "/>
    <x v="3"/>
    <x v="5"/>
    <s v="Q1"/>
    <n v="143"/>
    <n v="30.90909090909091"/>
    <s v="MG Sticks"/>
    <n v="1"/>
    <n v="4420"/>
    <n v="18.822622950819675"/>
    <n v="30.90909090909091"/>
  </r>
  <r>
    <n v="69700048"/>
    <x v="3"/>
    <n v="5241"/>
    <d v="2023-03-08T00:00:00"/>
    <x v="288"/>
    <x v="24"/>
    <n v="2.3469132803553457E-3"/>
    <n v="12.300172502342367"/>
    <s v="GH"/>
    <x v="3"/>
    <x v="4"/>
    <s v="Q1"/>
    <n v="350"/>
    <n v="14.974285714285715"/>
    <s v="MBG"/>
    <n v="1"/>
    <n v="5241"/>
    <n v="12.300172502342367"/>
    <n v="14.974285714285715"/>
  </r>
  <r>
    <n v="69706138"/>
    <x v="2"/>
    <n v="0"/>
    <d v="2023-03-08T00:00:00"/>
    <x v="289"/>
    <x v="31"/>
    <n v="3.8999999999999998E-3"/>
    <n v="0"/>
    <s v="TA"/>
    <x v="3"/>
    <x v="42"/>
    <s v="Q1"/>
    <n v="176"/>
    <n v="0"/>
    <s v="TAL NV"/>
    <n v="1"/>
    <n v="0"/>
    <n v="0"/>
    <n v="0"/>
  </r>
  <r>
    <n v="67465063"/>
    <x v="3"/>
    <n v="746"/>
    <d v="2023-03-09T00:00:00"/>
    <x v="3"/>
    <x v="40"/>
    <n v="5.2680000000000001E-3"/>
    <n v="3.9299279999999999"/>
    <s v="PS"/>
    <x v="3"/>
    <x v="3"/>
    <s v="Q1"/>
    <n v="130"/>
    <n v="5.7384615384615385"/>
    <s v="PG"/>
    <n v="1"/>
    <n v="746"/>
    <n v="3.9299279999999999"/>
    <n v="5.7384615384615385"/>
  </r>
  <r>
    <n v="67465063"/>
    <x v="3"/>
    <n v="3728"/>
    <d v="2023-03-09T00:00:00"/>
    <x v="3"/>
    <x v="6"/>
    <n v="5.2680000000000001E-3"/>
    <n v="19.639104"/>
    <s v="PS"/>
    <x v="3"/>
    <x v="3"/>
    <s v="Q1"/>
    <n v="130"/>
    <n v="28.676923076923078"/>
    <s v="PG"/>
    <n v="1"/>
    <n v="3728"/>
    <n v="19.639104"/>
    <n v="28.676923076923078"/>
  </r>
  <r>
    <n v="67465063"/>
    <x v="3"/>
    <n v="3290"/>
    <d v="2023-03-09T00:00:00"/>
    <x v="3"/>
    <x v="10"/>
    <n v="5.2680000000000001E-3"/>
    <n v="17.331720000000001"/>
    <s v="PS"/>
    <x v="3"/>
    <x v="3"/>
    <s v="Q1"/>
    <n v="130"/>
    <n v="25.307692307692307"/>
    <s v="PG"/>
    <n v="1"/>
    <n v="3290"/>
    <n v="17.331720000000001"/>
    <n v="25.307692307692307"/>
  </r>
  <r>
    <n v="67465064"/>
    <x v="3"/>
    <n v="2303"/>
    <d v="2023-03-09T00:00:00"/>
    <x v="7"/>
    <x v="3"/>
    <n v="1.596E-3"/>
    <n v="3.6755879999999999"/>
    <s v="PS"/>
    <x v="3"/>
    <x v="3"/>
    <s v="Q1"/>
    <n v="130"/>
    <n v="17.715384615384615"/>
    <s v="PG"/>
    <n v="1"/>
    <n v="2303"/>
    <n v="3.6755879999999999"/>
    <n v="17.715384615384615"/>
  </r>
  <r>
    <n v="67466492"/>
    <x v="3"/>
    <n v="1709"/>
    <d v="2023-03-09T00:00:00"/>
    <x v="8"/>
    <x v="8"/>
    <n v="5.2680000000000001E-3"/>
    <n v="9.003012"/>
    <s v="PS"/>
    <x v="3"/>
    <x v="3"/>
    <s v="Q1"/>
    <n v="130"/>
    <n v="13.146153846153846"/>
    <s v="PG"/>
    <n v="1"/>
    <n v="1709"/>
    <n v="9.003012"/>
    <n v="13.146153846153846"/>
  </r>
  <r>
    <n v="67466492"/>
    <x v="3"/>
    <n v="5259"/>
    <d v="2023-03-09T00:00:00"/>
    <x v="8"/>
    <x v="7"/>
    <n v="5.2680000000000001E-3"/>
    <n v="27.704412000000001"/>
    <s v="PS"/>
    <x v="3"/>
    <x v="3"/>
    <s v="Q1"/>
    <n v="130"/>
    <n v="40.45384615384615"/>
    <s v="PG"/>
    <n v="1"/>
    <n v="5259"/>
    <n v="27.704412000000001"/>
    <n v="40.45384615384615"/>
  </r>
  <r>
    <n v="67466492"/>
    <x v="3"/>
    <n v="0"/>
    <d v="2023-03-09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76560"/>
    <x v="3"/>
    <n v="0"/>
    <d v="2023-03-09T00:00:00"/>
    <x v="10"/>
    <x v="10"/>
    <n v="5.1060000000000003E-3"/>
    <n v="0"/>
    <s v="PS"/>
    <x v="3"/>
    <x v="3"/>
    <s v="Q1"/>
    <n v="130"/>
    <n v="0"/>
    <s v="PG"/>
    <n v="1"/>
    <n v="0"/>
    <n v="0"/>
    <n v="0"/>
  </r>
  <r>
    <n v="67546042"/>
    <x v="5"/>
    <n v="26835"/>
    <d v="2023-03-09T00:00:00"/>
    <x v="108"/>
    <x v="35"/>
    <n v="3.7853439999999999E-3"/>
    <n v="101.57970623999999"/>
    <s v="BJ"/>
    <x v="3"/>
    <x v="15"/>
    <s v="Q1"/>
    <n v="240"/>
    <n v="111.8125"/>
    <s v="BJ PTS"/>
    <n v="1"/>
    <n v="26835"/>
    <n v="101.57970623999999"/>
    <n v="111.8125"/>
  </r>
  <r>
    <n v="67723726"/>
    <x v="3"/>
    <n v="14268"/>
    <d v="2023-03-09T00:00:00"/>
    <x v="109"/>
    <x v="23"/>
    <n v="8.5199999999999998E-3"/>
    <n v="121.56336"/>
    <s v="BR"/>
    <x v="3"/>
    <x v="6"/>
    <s v="Q1"/>
    <n v="154"/>
    <n v="92.649350649350652"/>
    <s v="48oz"/>
    <n v="1"/>
    <n v="14268"/>
    <n v="121.56336"/>
    <n v="92.649350649350652"/>
  </r>
  <r>
    <n v="67789314"/>
    <x v="5"/>
    <n v="18639"/>
    <d v="2023-03-09T00:00:00"/>
    <x v="152"/>
    <x v="35"/>
    <n v="3.7853439999999999E-3"/>
    <n v="70.555026815999994"/>
    <s v="BJ"/>
    <x v="3"/>
    <x v="15"/>
    <s v="Q1"/>
    <n v="240"/>
    <n v="77.662499999999994"/>
    <s v="BJ PTS"/>
    <n v="1"/>
    <n v="18639"/>
    <n v="70.555026815999994"/>
    <n v="77.662499999999994"/>
  </r>
  <r>
    <n v="67885716"/>
    <x v="3"/>
    <n v="9927"/>
    <d v="2023-03-09T00:00:00"/>
    <x v="89"/>
    <x v="11"/>
    <n v="8.5199999999999998E-3"/>
    <n v="84.578040000000001"/>
    <s v="BR"/>
    <x v="3"/>
    <x v="6"/>
    <s v="Q1"/>
    <n v="154"/>
    <n v="64.461038961038966"/>
    <s v="48oz"/>
    <n v="1"/>
    <n v="9927"/>
    <n v="84.578040000000001"/>
    <n v="64.461038961038966"/>
  </r>
  <r>
    <n v="67885718"/>
    <x v="3"/>
    <n v="6038"/>
    <d v="2023-03-09T00:00:00"/>
    <x v="48"/>
    <x v="12"/>
    <n v="8.5199999999999998E-3"/>
    <n v="51.443759999999997"/>
    <s v="BR"/>
    <x v="3"/>
    <x v="6"/>
    <s v="Q1"/>
    <n v="154"/>
    <n v="39.20779220779221"/>
    <s v="48oz"/>
    <n v="1"/>
    <n v="6038"/>
    <n v="51.443759999999997"/>
    <n v="39.20779220779221"/>
  </r>
  <r>
    <n v="67885724"/>
    <x v="3"/>
    <n v="3688"/>
    <d v="2023-03-09T00:00:00"/>
    <x v="49"/>
    <x v="12"/>
    <n v="8.5199999999999998E-3"/>
    <n v="31.421759999999999"/>
    <s v="BR"/>
    <x v="3"/>
    <x v="6"/>
    <s v="Q1"/>
    <n v="154"/>
    <n v="23.948051948051948"/>
    <s v="48oz"/>
    <n v="1"/>
    <n v="3688"/>
    <n v="31.421759999999999"/>
    <n v="23.948051948051948"/>
  </r>
  <r>
    <n v="67901593"/>
    <x v="2"/>
    <n v="9272"/>
    <d v="2023-03-09T00:00:00"/>
    <x v="68"/>
    <x v="32"/>
    <n v="8.5199999999999998E-3"/>
    <n v="78.997439999999997"/>
    <s v="BR"/>
    <x v="3"/>
    <x v="2"/>
    <s v="Q1"/>
    <n v="154"/>
    <n v="60.20779220779221"/>
    <s v="48oz"/>
    <n v="1"/>
    <n v="9272"/>
    <n v="78.997439999999997"/>
    <n v="60.20779220779221"/>
  </r>
  <r>
    <n v="67908208"/>
    <x v="2"/>
    <n v="0"/>
    <d v="2023-03-09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300738"/>
    <x v="3"/>
    <n v="5419"/>
    <d v="2023-03-09T00:00:00"/>
    <x v="120"/>
    <x v="19"/>
    <n v="8.4960000000000001E-3"/>
    <n v="46.039824000000003"/>
    <s v="KL"/>
    <x v="3"/>
    <x v="8"/>
    <s v="Q1"/>
    <n v="132"/>
    <n v="41.053030303030305"/>
    <s v="EDF"/>
    <n v="1"/>
    <n v="5419"/>
    <n v="46.039824000000003"/>
    <n v="41.053030303030305"/>
  </r>
  <r>
    <n v="68309312"/>
    <x v="2"/>
    <n v="2884"/>
    <d v="2023-03-09T00:00:00"/>
    <x v="134"/>
    <x v="13"/>
    <n v="8.5199999999999998E-3"/>
    <n v="24.571680000000001"/>
    <s v="BR"/>
    <x v="3"/>
    <x v="2"/>
    <s v="Q1"/>
    <n v="154"/>
    <n v="18.727272727272727"/>
    <s v="48oz"/>
    <n v="1"/>
    <n v="2884"/>
    <n v="24.571680000000001"/>
    <n v="18.727272727272727"/>
  </r>
  <r>
    <n v="68521425"/>
    <x v="0"/>
    <n v="19423"/>
    <d v="2023-03-09T00:00:00"/>
    <x v="0"/>
    <x v="0"/>
    <n v="4.248E-3"/>
    <n v="82.508904000000001"/>
    <s v="GH"/>
    <x v="3"/>
    <x v="0"/>
    <s v="Q1"/>
    <n v="216"/>
    <n v="89.921296296296291"/>
    <s v="Giant SW"/>
    <n v="1"/>
    <n v="19423"/>
    <n v="82.508904000000001"/>
    <n v="89.921296296296291"/>
  </r>
  <r>
    <n v="68649095"/>
    <x v="2"/>
    <n v="0"/>
    <d v="2023-03-09T00:00:00"/>
    <x v="286"/>
    <x v="15"/>
    <n v="3.5999999999999999E-3"/>
    <n v="0"/>
    <s v="BJ"/>
    <x v="3"/>
    <x v="19"/>
    <s v="Q1"/>
    <n v="240"/>
    <n v="0"/>
    <s v="TOPPED"/>
    <n v="1"/>
    <n v="0"/>
    <n v="0"/>
    <n v="0"/>
  </r>
  <r>
    <n v="68656229"/>
    <x v="2"/>
    <n v="5517"/>
    <d v="2023-03-09T00:00:00"/>
    <x v="208"/>
    <x v="2"/>
    <n v="8.5199999999999998E-3"/>
    <n v="47.004840000000002"/>
    <s v="BR"/>
    <x v="3"/>
    <x v="2"/>
    <s v="Q1"/>
    <n v="154"/>
    <n v="35.824675324675326"/>
    <s v="48oz"/>
    <n v="1"/>
    <n v="5517"/>
    <n v="47.004840000000002"/>
    <n v="35.824675324675326"/>
  </r>
  <r>
    <n v="68656231"/>
    <x v="3"/>
    <n v="7121"/>
    <d v="2023-03-09T00:00:00"/>
    <x v="16"/>
    <x v="16"/>
    <n v="8.5199999999999998E-3"/>
    <n v="60.670919999999995"/>
    <s v="BR"/>
    <x v="3"/>
    <x v="6"/>
    <s v="Q1"/>
    <n v="154"/>
    <n v="46.240259740259738"/>
    <s v="48oz"/>
    <n v="1"/>
    <n v="7121"/>
    <n v="60.670919999999995"/>
    <n v="46.240259740259738"/>
  </r>
  <r>
    <n v="68689251"/>
    <x v="3"/>
    <n v="6444"/>
    <d v="2023-03-09T00:00:00"/>
    <x v="17"/>
    <x v="17"/>
    <n v="9.5760000000000012E-3"/>
    <n v="61.707744000000005"/>
    <s v="KL"/>
    <x v="3"/>
    <x v="8"/>
    <s v="Q1"/>
    <n v="132"/>
    <n v="48.81818181818182"/>
    <s v="EDF"/>
    <n v="1"/>
    <n v="6444"/>
    <n v="61.707744000000005"/>
    <n v="48.81818181818182"/>
  </r>
  <r>
    <n v="68689253"/>
    <x v="2"/>
    <n v="2868"/>
    <d v="2023-03-09T00:00:00"/>
    <x v="125"/>
    <x v="18"/>
    <n v="6.0035555555555554E-3"/>
    <n v="17.218197333333332"/>
    <s v="KL"/>
    <x v="3"/>
    <x v="9"/>
    <s v="Q1"/>
    <n v="120"/>
    <n v="23.9"/>
    <s v="ESS"/>
    <n v="1"/>
    <n v="2868"/>
    <n v="17.218197333333332"/>
    <n v="23.9"/>
  </r>
  <r>
    <n v="68710277"/>
    <x v="3"/>
    <n v="5980"/>
    <d v="2023-03-09T00:00:00"/>
    <x v="20"/>
    <x v="20"/>
    <n v="8.5199999999999998E-3"/>
    <n v="50.949599999999997"/>
    <s v="KL"/>
    <x v="3"/>
    <x v="8"/>
    <s v="Q1"/>
    <n v="132"/>
    <n v="45.303030303030305"/>
    <s v="EDF"/>
    <n v="1"/>
    <n v="5980"/>
    <n v="50.949599999999997"/>
    <n v="45.303030303030305"/>
  </r>
  <r>
    <n v="68726916"/>
    <x v="2"/>
    <n v="2976"/>
    <d v="2023-03-09T00:00:00"/>
    <x v="43"/>
    <x v="21"/>
    <n v="3.7853440000000004E-3"/>
    <n v="11.265183744000002"/>
    <s v="TA"/>
    <x v="3"/>
    <x v="10"/>
    <s v="Q1"/>
    <n v="255"/>
    <n v="11.670588235294117"/>
    <s v="TALENTI"/>
    <n v="1"/>
    <n v="2976"/>
    <n v="11.265183744000002"/>
    <n v="11.670588235294117"/>
  </r>
  <r>
    <n v="68726982"/>
    <x v="2"/>
    <n v="12802"/>
    <d v="2023-03-09T00:00:00"/>
    <x v="291"/>
    <x v="21"/>
    <n v="3.7853440000000004E-3"/>
    <n v="48.459973888000007"/>
    <s v="TA"/>
    <x v="3"/>
    <x v="10"/>
    <s v="Q1"/>
    <n v="255"/>
    <n v="50.20392156862745"/>
    <s v="TALENTI"/>
    <n v="1"/>
    <n v="12802"/>
    <n v="48.459973888000007"/>
    <n v="50.20392156862745"/>
  </r>
  <r>
    <n v="68728321"/>
    <x v="2"/>
    <n v="16763"/>
    <d v="2023-03-09T00:00:00"/>
    <x v="150"/>
    <x v="22"/>
    <n v="3.7853439999999999E-3"/>
    <n v="63.453721471999998"/>
    <s v="TA"/>
    <x v="3"/>
    <x v="10"/>
    <s v="Q1"/>
    <n v="255"/>
    <n v="65.737254901960782"/>
    <s v="TALENTI"/>
    <n v="1"/>
    <n v="16763"/>
    <n v="63.453721471999998"/>
    <n v="65.737254901960782"/>
  </r>
  <r>
    <n v="68741742"/>
    <x v="2"/>
    <n v="6160"/>
    <d v="2023-03-09T00:00:00"/>
    <x v="25"/>
    <x v="25"/>
    <n v="4.2560000000000002E-3"/>
    <n v="26.21696"/>
    <s v="GH"/>
    <x v="3"/>
    <x v="11"/>
    <s v="Q1"/>
    <n v="154"/>
    <n v="40"/>
    <s v="MBG"/>
    <n v="1"/>
    <n v="6160"/>
    <n v="26.21696"/>
    <n v="40"/>
  </r>
  <r>
    <n v="68746232"/>
    <x v="2"/>
    <n v="4987"/>
    <d v="2023-03-09T00:00:00"/>
    <x v="154"/>
    <x v="26"/>
    <n v="9.5879999999999993E-3"/>
    <n v="47.815355999999994"/>
    <s v="KL"/>
    <x v="3"/>
    <x v="12"/>
    <s v="Q1"/>
    <n v="132"/>
    <n v="37.780303030303031"/>
    <s v="EDF"/>
    <n v="1"/>
    <n v="4987"/>
    <n v="47.815355999999994"/>
    <n v="37.780303030303031"/>
  </r>
  <r>
    <n v="68821728"/>
    <x v="2"/>
    <n v="2550"/>
    <d v="2023-03-09T00:00:00"/>
    <x v="35"/>
    <x v="13"/>
    <n v="8.5199999999999998E-3"/>
    <n v="21.725999999999999"/>
    <s v="BR"/>
    <x v="3"/>
    <x v="2"/>
    <s v="Q1"/>
    <n v="176"/>
    <n v="14.488636363636363"/>
    <s v="48oz"/>
    <n v="1"/>
    <n v="2550"/>
    <n v="21.725999999999999"/>
    <n v="14.488636363636363"/>
  </r>
  <r>
    <n v="68842352"/>
    <x v="4"/>
    <n v="4400"/>
    <d v="2023-03-09T00:00:00"/>
    <x v="76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8842352"/>
    <x v="4"/>
    <n v="4400"/>
    <d v="2023-03-09T00:00:00"/>
    <x v="76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8863007"/>
    <x v="9"/>
    <n v="6000"/>
    <d v="2023-03-09T00:00:00"/>
    <x v="242"/>
    <x v="0"/>
    <n v="1.8959999999999999E-3"/>
    <n v="11.375999999999999"/>
    <s v="BJ"/>
    <x v="3"/>
    <x v="23"/>
    <s v="Q1"/>
    <n v="272"/>
    <n v="22.058823529411764"/>
    <s v="Dough Bites"/>
    <n v="1"/>
    <n v="6000"/>
    <n v="11.375999999999999"/>
    <n v="22.058823529411764"/>
  </r>
  <r>
    <n v="68871221"/>
    <x v="0"/>
    <n v="148"/>
    <d v="2023-03-09T00:00:00"/>
    <x v="157"/>
    <x v="1"/>
    <n v="3.7839999999999996E-3"/>
    <n v="0.56003199999999997"/>
    <s v="BR"/>
    <x v="3"/>
    <x v="38"/>
    <s v="Q1"/>
    <n v="240"/>
    <n v="0.6166666666666667"/>
    <s v="PTS"/>
    <n v="1"/>
    <n v="148"/>
    <n v="0.56003199999999997"/>
    <n v="0.6166666666666667"/>
  </r>
  <r>
    <n v="68914406"/>
    <x v="2"/>
    <n v="9375"/>
    <d v="2023-03-09T00:00:00"/>
    <x v="78"/>
    <x v="27"/>
    <n v="2.124E-3"/>
    <n v="19.912500000000001"/>
    <s v="KL"/>
    <x v="3"/>
    <x v="9"/>
    <s v="Q1"/>
    <n v="352"/>
    <n v="26.633522727272727"/>
    <s v="ESS"/>
    <n v="1"/>
    <n v="9375"/>
    <n v="19.912500000000001"/>
    <n v="26.633522727272727"/>
  </r>
  <r>
    <n v="68917388"/>
    <x v="3"/>
    <n v="0"/>
    <d v="2023-03-09T00:00:00"/>
    <x v="287"/>
    <x v="36"/>
    <n v="3.9119999999999997E-3"/>
    <n v="0"/>
    <s v="KL"/>
    <x v="3"/>
    <x v="28"/>
    <s v="Q1"/>
    <n v="322"/>
    <n v="0"/>
    <s v="EFW"/>
    <n v="1"/>
    <n v="0"/>
    <n v="0"/>
    <n v="0"/>
  </r>
  <r>
    <n v="68938272"/>
    <x v="2"/>
    <n v="10534"/>
    <d v="2023-03-09T00:00:00"/>
    <x v="293"/>
    <x v="15"/>
    <n v="3.5999999999999999E-3"/>
    <n v="37.922399999999996"/>
    <s v="BJ"/>
    <x v="3"/>
    <x v="19"/>
    <s v="Q1"/>
    <n v="240"/>
    <n v="43.891666666666666"/>
    <s v="TOPPED"/>
    <n v="1"/>
    <n v="10534"/>
    <n v="37.922399999999996"/>
    <n v="43.891666666666666"/>
  </r>
  <r>
    <n v="68938272"/>
    <x v="2"/>
    <n v="0"/>
    <d v="2023-03-09T00:00:00"/>
    <x v="293"/>
    <x v="15"/>
    <n v="3.5999999999999999E-3"/>
    <n v="0"/>
    <s v="BJ"/>
    <x v="3"/>
    <x v="19"/>
    <s v="Q1"/>
    <n v="240"/>
    <n v="0"/>
    <s v="TOPPED"/>
    <n v="1"/>
    <n v="0"/>
    <n v="0"/>
    <n v="0"/>
  </r>
  <r>
    <n v="68871168"/>
    <x v="1"/>
    <n v="2825"/>
    <d v="2023-03-09T00:00:00"/>
    <x v="57"/>
    <x v="0"/>
    <n v="6.0035555555555554E-3"/>
    <n v="16.960044444444446"/>
    <s v="KL"/>
    <x v="3"/>
    <x v="1"/>
    <s v="Q1"/>
    <n v="108"/>
    <n v="26.157407407407408"/>
    <s v="KL Sandwiches"/>
    <n v="1"/>
    <n v="2825"/>
    <n v="16.960044444444446"/>
    <n v="26.157407407407408"/>
  </r>
  <r>
    <n v="69555091"/>
    <x v="2"/>
    <n v="8457"/>
    <d v="2023-03-09T00:00:00"/>
    <x v="195"/>
    <x v="14"/>
    <n v="1.98E-3"/>
    <n v="16.744859999999999"/>
    <s v="TA"/>
    <x v="3"/>
    <x v="42"/>
    <s v="Q1"/>
    <n v="176"/>
    <n v="48.051136363636367"/>
    <s v="TAL NV"/>
    <n v="1"/>
    <n v="8457"/>
    <n v="16.744859999999999"/>
    <n v="48.051136363636367"/>
  </r>
  <r>
    <n v="69556602"/>
    <x v="4"/>
    <n v="2400"/>
    <d v="2023-03-09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71484"/>
    <x v="2"/>
    <n v="0"/>
    <d v="2023-03-09T00:00:00"/>
    <x v="230"/>
    <x v="5"/>
    <n v="1.2960000000000001E-2"/>
    <n v="0"/>
    <s v="MG"/>
    <x v="3"/>
    <x v="5"/>
    <s v="Q1"/>
    <n v="493"/>
    <n v="0"/>
    <s v="MG Sticks"/>
    <n v="1"/>
    <n v="0"/>
    <n v="0"/>
    <n v="0"/>
  </r>
  <r>
    <n v="69571484"/>
    <x v="2"/>
    <n v="812"/>
    <d v="2023-03-09T00:00:00"/>
    <x v="230"/>
    <x v="5"/>
    <n v="1.2960000000000001E-2"/>
    <n v="10.523520000000001"/>
    <s v="MG"/>
    <x v="3"/>
    <x v="5"/>
    <s v="Q1"/>
    <n v="493"/>
    <n v="1.6470588235294117"/>
    <s v="MG Sticks"/>
    <n v="1"/>
    <n v="812"/>
    <n v="10.523520000000001"/>
    <n v="1.6470588235294117"/>
  </r>
  <r>
    <n v="69572544"/>
    <x v="2"/>
    <n v="0"/>
    <d v="2023-03-09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586716"/>
    <x v="2"/>
    <n v="142"/>
    <d v="2023-03-09T00:00:00"/>
    <x v="6"/>
    <x v="5"/>
    <n v="2.0400000000000001E-3"/>
    <n v="0.28968000000000005"/>
    <s v="MG"/>
    <x v="3"/>
    <x v="5"/>
    <s v="Q1"/>
    <n v="210"/>
    <n v="0.67619047619047623"/>
    <s v="MG Sticks"/>
    <n v="1"/>
    <n v="142"/>
    <n v="0.28968000000000005"/>
    <n v="0.67619047619047623"/>
  </r>
  <r>
    <n v="69621212"/>
    <x v="2"/>
    <n v="4713"/>
    <d v="2023-03-09T00:00:00"/>
    <x v="29"/>
    <x v="28"/>
    <n v="5.2680000000000001E-3"/>
    <n v="24.828084"/>
    <s v="PG"/>
    <x v="3"/>
    <x v="14"/>
    <s v="Q1"/>
    <n v="130"/>
    <n v="36.253846153846155"/>
    <s v="PG"/>
    <n v="1"/>
    <n v="4713"/>
    <n v="24.828084"/>
    <n v="36.253846153846155"/>
  </r>
  <r>
    <n v="69645145"/>
    <x v="0"/>
    <n v="16945"/>
    <d v="2023-03-09T00:00:00"/>
    <x v="118"/>
    <x v="0"/>
    <n v="2.8319999999999999E-3"/>
    <n v="47.988239999999998"/>
    <s v="GH"/>
    <x v="3"/>
    <x v="46"/>
    <s v="Q1"/>
    <n v="260"/>
    <n v="65.17307692307692"/>
    <s v="FB Cones"/>
    <n v="1"/>
    <n v="16945"/>
    <n v="47.988239999999998"/>
    <n v="65.17307692307692"/>
  </r>
  <r>
    <n v="69671641"/>
    <x v="3"/>
    <n v="3502"/>
    <d v="2023-03-09T00:00:00"/>
    <x v="260"/>
    <x v="4"/>
    <n v="3.9039999999999999E-3"/>
    <n v="13.671808"/>
    <s v="GH"/>
    <x v="3"/>
    <x v="4"/>
    <s v="Q1"/>
    <n v="154"/>
    <n v="22.740259740259742"/>
    <s v="MBG"/>
    <n v="1"/>
    <n v="3502"/>
    <n v="13.671808"/>
    <n v="22.740259740259742"/>
  </r>
  <r>
    <n v="69677917"/>
    <x v="3"/>
    <n v="3019"/>
    <d v="2023-03-09T00:00:00"/>
    <x v="30"/>
    <x v="29"/>
    <n v="5.2680000000000001E-3"/>
    <n v="15.904092"/>
    <s v="PS"/>
    <x v="3"/>
    <x v="3"/>
    <s v="Q1"/>
    <n v="108"/>
    <n v="27.953703703703702"/>
    <s v="PG"/>
    <n v="1"/>
    <n v="3019"/>
    <n v="15.904092"/>
    <n v="27.953703703703702"/>
  </r>
  <r>
    <n v="69677917"/>
    <x v="2"/>
    <n v="5697"/>
    <d v="2023-03-09T00:00:00"/>
    <x v="30"/>
    <x v="30"/>
    <n v="5.2680000000000001E-3"/>
    <n v="30.011796"/>
    <s v="PS"/>
    <x v="3"/>
    <x v="14"/>
    <s v="Q1"/>
    <n v="108"/>
    <n v="52.75"/>
    <s v="PG"/>
    <n v="1"/>
    <n v="5697"/>
    <n v="30.011796"/>
    <n v="52.75"/>
  </r>
  <r>
    <n v="69684521"/>
    <x v="2"/>
    <n v="8294"/>
    <d v="2023-03-09T00:00:00"/>
    <x v="160"/>
    <x v="31"/>
    <n v="4.2585119798234554E-3"/>
    <n v="35.320098360655741"/>
    <s v="MG "/>
    <x v="3"/>
    <x v="5"/>
    <s v="Q1"/>
    <n v="143"/>
    <n v="58"/>
    <s v="MG Sticks"/>
    <n v="1"/>
    <n v="8294"/>
    <n v="35.320098360655741"/>
    <n v="58"/>
  </r>
  <r>
    <n v="69700048"/>
    <x v="3"/>
    <n v="4001"/>
    <d v="2023-03-09T00:00:00"/>
    <x v="288"/>
    <x v="24"/>
    <n v="2.3469132803553457E-3"/>
    <n v="9.3900000347017372"/>
    <s v="GH"/>
    <x v="3"/>
    <x v="4"/>
    <s v="Q1"/>
    <n v="350"/>
    <n v="11.431428571428571"/>
    <s v="MBG"/>
    <n v="1"/>
    <n v="4001"/>
    <n v="9.3900000347017372"/>
    <n v="11.431428571428571"/>
  </r>
  <r>
    <n v="69706138"/>
    <x v="2"/>
    <n v="0"/>
    <d v="2023-03-09T00:00:00"/>
    <x v="289"/>
    <x v="31"/>
    <n v="3.8999999999999998E-3"/>
    <n v="0"/>
    <s v="TA"/>
    <x v="3"/>
    <x v="42"/>
    <s v="Q1"/>
    <n v="176"/>
    <n v="0"/>
    <s v="TAL NV"/>
    <n v="1"/>
    <n v="0"/>
    <n v="0"/>
    <n v="0"/>
  </r>
  <r>
    <n v="84135718"/>
    <x v="13"/>
    <n v="36960"/>
    <d v="2023-03-09T00:00:00"/>
    <x v="147"/>
    <x v="38"/>
    <n v="3.7853439999999999E-3"/>
    <n v="139.90631424"/>
    <s v="BJ"/>
    <x v="3"/>
    <x v="36"/>
    <s v="Q1"/>
    <n v="240"/>
    <n v="154"/>
    <s v="BJ PTS"/>
    <n v="1"/>
    <n v="36960"/>
    <n v="139.90631424"/>
    <n v="154"/>
  </r>
  <r>
    <n v="84135718"/>
    <x v="13"/>
    <n v="46830"/>
    <d v="2023-03-09T00:00:00"/>
    <x v="147"/>
    <x v="38"/>
    <n v="3.7853439999999999E-3"/>
    <n v="177.26765952"/>
    <s v="BJ"/>
    <x v="3"/>
    <x v="36"/>
    <s v="Q1"/>
    <n v="240"/>
    <n v="195.125"/>
    <s v="BJ PTS"/>
    <n v="1"/>
    <n v="46830"/>
    <n v="177.26765952"/>
    <n v="195.125"/>
  </r>
  <r>
    <n v="84141113"/>
    <x v="5"/>
    <n v="18692"/>
    <d v="2023-03-09T00:00:00"/>
    <x v="257"/>
    <x v="33"/>
    <n v="1.419504E-3"/>
    <n v="26.533368767999999"/>
    <s v="BJ"/>
    <x v="3"/>
    <x v="16"/>
    <s v="Q1"/>
    <n v="510"/>
    <n v="36.65098039215686"/>
    <s v="B&amp;J Cups"/>
    <n v="1"/>
    <n v="18692"/>
    <n v="26.533368767999999"/>
    <n v="36.65098039215686"/>
  </r>
  <r>
    <n v="67309841"/>
    <x v="2"/>
    <n v="0"/>
    <d v="2023-03-10T00:00:00"/>
    <x v="32"/>
    <x v="2"/>
    <n v="8.5199999999999998E-3"/>
    <n v="0"/>
    <s v="BR"/>
    <x v="3"/>
    <x v="2"/>
    <s v="Q1"/>
    <n v="154"/>
    <n v="0"/>
    <s v="48oz"/>
    <n v="1"/>
    <n v="0"/>
    <n v="0"/>
    <n v="0"/>
  </r>
  <r>
    <n v="67430513"/>
    <x v="5"/>
    <n v="48480"/>
    <d v="2023-03-10T00:00:00"/>
    <x v="119"/>
    <x v="38"/>
    <n v="3.7839999999999996E-3"/>
    <n v="183.44831999999997"/>
    <s v="BJ"/>
    <x v="3"/>
    <x v="15"/>
    <s v="Q1"/>
    <n v="240"/>
    <n v="202"/>
    <s v="BJ PTS"/>
    <n v="1"/>
    <n v="48480"/>
    <n v="183.44831999999997"/>
    <n v="202"/>
  </r>
  <r>
    <n v="67430513"/>
    <x v="5"/>
    <n v="37440"/>
    <d v="2023-03-10T00:00:00"/>
    <x v="119"/>
    <x v="38"/>
    <n v="3.7839999999999996E-3"/>
    <n v="141.67295999999999"/>
    <s v="BJ"/>
    <x v="3"/>
    <x v="15"/>
    <s v="Q1"/>
    <n v="240"/>
    <n v="156"/>
    <s v="BJ PTS"/>
    <n v="1"/>
    <n v="37440"/>
    <n v="141.67295999999999"/>
    <n v="156"/>
  </r>
  <r>
    <n v="67465063"/>
    <x v="3"/>
    <n v="497"/>
    <d v="2023-03-10T00:00:00"/>
    <x v="3"/>
    <x v="40"/>
    <n v="5.2680000000000001E-3"/>
    <n v="2.6181960000000002"/>
    <s v="PS"/>
    <x v="3"/>
    <x v="3"/>
    <s v="Q1"/>
    <n v="130"/>
    <n v="3.8230769230769233"/>
    <s v="PG"/>
    <n v="1"/>
    <n v="497"/>
    <n v="2.6181960000000002"/>
    <n v="3.8230769230769233"/>
  </r>
  <r>
    <n v="67465063"/>
    <x v="3"/>
    <n v="4835"/>
    <d v="2023-03-10T00:00:00"/>
    <x v="3"/>
    <x v="6"/>
    <n v="5.2680000000000001E-3"/>
    <n v="25.470780000000001"/>
    <s v="PS"/>
    <x v="3"/>
    <x v="3"/>
    <s v="Q1"/>
    <n v="130"/>
    <n v="37.192307692307693"/>
    <s v="PG"/>
    <n v="1"/>
    <n v="4835"/>
    <n v="25.470780000000001"/>
    <n v="37.192307692307693"/>
  </r>
  <r>
    <n v="67465063"/>
    <x v="3"/>
    <n v="3640"/>
    <d v="2023-03-10T00:00:00"/>
    <x v="3"/>
    <x v="10"/>
    <n v="5.2680000000000001E-3"/>
    <n v="19.175519999999999"/>
    <s v="PS"/>
    <x v="3"/>
    <x v="3"/>
    <s v="Q1"/>
    <n v="130"/>
    <n v="28"/>
    <s v="PG"/>
    <n v="1"/>
    <n v="3640"/>
    <n v="19.175519999999999"/>
    <n v="28"/>
  </r>
  <r>
    <n v="67465064"/>
    <x v="3"/>
    <n v="1170"/>
    <d v="2023-03-10T00:00:00"/>
    <x v="7"/>
    <x v="3"/>
    <n v="1.596E-3"/>
    <n v="1.8673199999999999"/>
    <s v="PS"/>
    <x v="3"/>
    <x v="3"/>
    <s v="Q1"/>
    <n v="130"/>
    <n v="9"/>
    <s v="PG"/>
    <n v="1"/>
    <n v="1170"/>
    <n v="1.8673199999999999"/>
    <n v="9"/>
  </r>
  <r>
    <n v="67466492"/>
    <x v="3"/>
    <n v="4420"/>
    <d v="2023-03-10T00:00:00"/>
    <x v="8"/>
    <x v="8"/>
    <n v="5.2680000000000001E-3"/>
    <n v="23.284559999999999"/>
    <s v="PS"/>
    <x v="3"/>
    <x v="3"/>
    <s v="Q1"/>
    <n v="130"/>
    <n v="34"/>
    <s v="PG"/>
    <n v="1"/>
    <n v="4420"/>
    <n v="23.284559999999999"/>
    <n v="34"/>
  </r>
  <r>
    <n v="67466492"/>
    <x v="3"/>
    <n v="1647"/>
    <d v="2023-03-10T00:00:00"/>
    <x v="8"/>
    <x v="7"/>
    <n v="5.2680000000000001E-3"/>
    <n v="8.6763960000000004"/>
    <s v="PS"/>
    <x v="3"/>
    <x v="3"/>
    <s v="Q1"/>
    <n v="130"/>
    <n v="12.669230769230769"/>
    <s v="PG"/>
    <n v="1"/>
    <n v="1647"/>
    <n v="8.6763960000000004"/>
    <n v="12.669230769230769"/>
  </r>
  <r>
    <n v="67466492"/>
    <x v="3"/>
    <n v="0"/>
    <d v="2023-03-10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76560"/>
    <x v="3"/>
    <n v="0"/>
    <d v="2023-03-10T00:00:00"/>
    <x v="10"/>
    <x v="10"/>
    <n v="5.1060000000000003E-3"/>
    <n v="0"/>
    <s v="PS"/>
    <x v="3"/>
    <x v="3"/>
    <s v="Q1"/>
    <n v="130"/>
    <n v="0"/>
    <s v="PG"/>
    <n v="1"/>
    <n v="0"/>
    <n v="0"/>
    <n v="0"/>
  </r>
  <r>
    <n v="67723726"/>
    <x v="3"/>
    <n v="2219"/>
    <d v="2023-03-10T00:00:00"/>
    <x v="109"/>
    <x v="23"/>
    <n v="8.5199999999999998E-3"/>
    <n v="18.90588"/>
    <s v="BR"/>
    <x v="3"/>
    <x v="6"/>
    <s v="Q1"/>
    <n v="154"/>
    <n v="14.409090909090908"/>
    <s v="48oz"/>
    <n v="1"/>
    <n v="2219"/>
    <n v="18.90588"/>
    <n v="14.409090909090908"/>
  </r>
  <r>
    <n v="67885716"/>
    <x v="3"/>
    <n v="1067"/>
    <d v="2023-03-10T00:00:00"/>
    <x v="89"/>
    <x v="11"/>
    <n v="8.5199999999999998E-3"/>
    <n v="9.09084"/>
    <s v="BR"/>
    <x v="3"/>
    <x v="6"/>
    <s v="Q1"/>
    <n v="154"/>
    <n v="6.9285714285714288"/>
    <s v="48oz"/>
    <n v="1"/>
    <n v="1067"/>
    <n v="9.09084"/>
    <n v="6.9285714285714288"/>
  </r>
  <r>
    <n v="67885718"/>
    <x v="3"/>
    <n v="13015"/>
    <d v="2023-03-10T00:00:00"/>
    <x v="48"/>
    <x v="12"/>
    <n v="8.5199999999999998E-3"/>
    <n v="110.8878"/>
    <s v="BR"/>
    <x v="3"/>
    <x v="6"/>
    <s v="Q1"/>
    <n v="154"/>
    <n v="84.512987012987011"/>
    <s v="48oz"/>
    <n v="1"/>
    <n v="13015"/>
    <n v="110.8878"/>
    <n v="84.512987012987011"/>
  </r>
  <r>
    <n v="67885719"/>
    <x v="2"/>
    <n v="3080"/>
    <d v="2023-03-10T00:00:00"/>
    <x v="11"/>
    <x v="32"/>
    <n v="8.5199999999999998E-3"/>
    <n v="26.241599999999998"/>
    <s v="BR"/>
    <x v="3"/>
    <x v="2"/>
    <s v="Q1"/>
    <n v="154"/>
    <n v="20"/>
    <s v="48oz"/>
    <n v="1"/>
    <n v="3080"/>
    <n v="26.241599999999998"/>
    <n v="20"/>
  </r>
  <r>
    <n v="67901583"/>
    <x v="3"/>
    <n v="12235"/>
    <d v="2023-03-10T00:00:00"/>
    <x v="50"/>
    <x v="11"/>
    <n v="8.5199999999999998E-3"/>
    <n v="104.2422"/>
    <s v="BR"/>
    <x v="3"/>
    <x v="6"/>
    <s v="Q1"/>
    <n v="154"/>
    <n v="79.448051948051955"/>
    <s v="48oz"/>
    <n v="1"/>
    <n v="12235"/>
    <n v="104.2422"/>
    <n v="79.448051948051955"/>
  </r>
  <r>
    <n v="67901593"/>
    <x v="2"/>
    <n v="18021"/>
    <d v="2023-03-10T00:00:00"/>
    <x v="68"/>
    <x v="32"/>
    <n v="8.5199999999999998E-3"/>
    <n v="153.53891999999999"/>
    <s v="BR"/>
    <x v="3"/>
    <x v="2"/>
    <s v="Q1"/>
    <n v="154"/>
    <n v="117.01948051948052"/>
    <s v="48oz"/>
    <n v="1"/>
    <n v="18021"/>
    <n v="153.53891999999999"/>
    <n v="117.01948051948052"/>
  </r>
  <r>
    <n v="67908208"/>
    <x v="2"/>
    <n v="0"/>
    <d v="2023-03-10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300738"/>
    <x v="3"/>
    <n v="4347"/>
    <d v="2023-03-10T00:00:00"/>
    <x v="120"/>
    <x v="19"/>
    <n v="8.4960000000000001E-3"/>
    <n v="36.932112000000004"/>
    <s v="KL"/>
    <x v="3"/>
    <x v="8"/>
    <s v="Q1"/>
    <n v="132"/>
    <n v="32.93181818181818"/>
    <s v="EDF"/>
    <n v="1"/>
    <n v="4347"/>
    <n v="36.932112000000004"/>
    <n v="32.93181818181818"/>
  </r>
  <r>
    <n v="68309312"/>
    <x v="2"/>
    <n v="0"/>
    <d v="2023-03-10T00:00:00"/>
    <x v="134"/>
    <x v="32"/>
    <n v="8.5199999999999998E-3"/>
    <n v="0"/>
    <s v="BR"/>
    <x v="3"/>
    <x v="2"/>
    <s v="Q1"/>
    <n v="154"/>
    <n v="0"/>
    <s v="48oz"/>
    <n v="1"/>
    <n v="0"/>
    <n v="0"/>
    <n v="0"/>
  </r>
  <r>
    <n v="68309312"/>
    <x v="2"/>
    <n v="8836"/>
    <d v="2023-03-10T00:00:00"/>
    <x v="134"/>
    <x v="13"/>
    <n v="8.5199999999999998E-3"/>
    <n v="75.282719999999998"/>
    <s v="BR"/>
    <x v="3"/>
    <x v="2"/>
    <s v="Q1"/>
    <n v="154"/>
    <n v="57.376623376623378"/>
    <s v="48oz"/>
    <n v="1"/>
    <n v="8836"/>
    <n v="75.282719999999998"/>
    <n v="57.376623376623378"/>
  </r>
  <r>
    <n v="68656229"/>
    <x v="2"/>
    <n v="9331"/>
    <d v="2023-03-10T00:00:00"/>
    <x v="208"/>
    <x v="2"/>
    <n v="8.5199999999999998E-3"/>
    <n v="79.500119999999995"/>
    <s v="BR"/>
    <x v="3"/>
    <x v="2"/>
    <s v="Q1"/>
    <n v="154"/>
    <n v="60.590909090909093"/>
    <s v="48oz"/>
    <n v="1"/>
    <n v="9331"/>
    <n v="79.500119999999995"/>
    <n v="60.590909090909093"/>
  </r>
  <r>
    <n v="68656231"/>
    <x v="3"/>
    <n v="0"/>
    <d v="2023-03-10T00:00:00"/>
    <x v="16"/>
    <x v="16"/>
    <n v="8.5199999999999998E-3"/>
    <n v="0"/>
    <s v="BR"/>
    <x v="3"/>
    <x v="6"/>
    <s v="Q1"/>
    <n v="154"/>
    <n v="0"/>
    <s v="48oz"/>
    <n v="1"/>
    <n v="0"/>
    <n v="0"/>
    <n v="0"/>
  </r>
  <r>
    <n v="68689251"/>
    <x v="3"/>
    <n v="7555"/>
    <d v="2023-03-10T00:00:00"/>
    <x v="17"/>
    <x v="17"/>
    <n v="9.5760000000000012E-3"/>
    <n v="72.346680000000006"/>
    <s v="KL"/>
    <x v="3"/>
    <x v="8"/>
    <s v="Q1"/>
    <n v="132"/>
    <n v="57.234848484848484"/>
    <s v="EDF"/>
    <n v="1"/>
    <n v="7555"/>
    <n v="72.346680000000006"/>
    <n v="57.234848484848484"/>
  </r>
  <r>
    <n v="68689253"/>
    <x v="2"/>
    <n v="3247"/>
    <d v="2023-03-10T00:00:00"/>
    <x v="125"/>
    <x v="18"/>
    <n v="6.0035555555555554E-3"/>
    <n v="19.493544888888888"/>
    <s v="KL"/>
    <x v="3"/>
    <x v="9"/>
    <s v="Q1"/>
    <n v="120"/>
    <n v="27.058333333333334"/>
    <s v="ESS"/>
    <n v="1"/>
    <n v="3247"/>
    <n v="19.493544888888888"/>
    <n v="27.058333333333334"/>
  </r>
  <r>
    <n v="68710277"/>
    <x v="3"/>
    <n v="5486"/>
    <d v="2023-03-10T00:00:00"/>
    <x v="20"/>
    <x v="20"/>
    <n v="8.5199999999999998E-3"/>
    <n v="46.740719999999996"/>
    <s v="KL"/>
    <x v="3"/>
    <x v="8"/>
    <s v="Q1"/>
    <n v="132"/>
    <n v="41.560606060606062"/>
    <s v="EDF"/>
    <n v="1"/>
    <n v="5486"/>
    <n v="46.740719999999996"/>
    <n v="41.560606060606062"/>
  </r>
  <r>
    <n v="68726982"/>
    <x v="2"/>
    <n v="29068"/>
    <d v="2023-03-10T00:00:00"/>
    <x v="291"/>
    <x v="21"/>
    <n v="3.7853440000000004E-3"/>
    <n v="110.03237939200001"/>
    <s v="TA"/>
    <x v="3"/>
    <x v="10"/>
    <s v="Q1"/>
    <n v="255"/>
    <n v="113.99215686274509"/>
    <s v="TALENTI"/>
    <n v="1"/>
    <n v="29068"/>
    <n v="110.03237939200001"/>
    <n v="113.99215686274509"/>
  </r>
  <r>
    <n v="68726982"/>
    <x v="2"/>
    <n v="7350"/>
    <d v="2023-03-10T00:00:00"/>
    <x v="291"/>
    <x v="22"/>
    <n v="3.7853440000000004E-3"/>
    <n v="27.822278400000002"/>
    <s v="TA"/>
    <x v="3"/>
    <x v="10"/>
    <s v="Q1"/>
    <n v="255"/>
    <n v="28.823529411764707"/>
    <s v="TALENTI"/>
    <n v="1"/>
    <n v="7350"/>
    <n v="27.822278400000002"/>
    <n v="28.823529411764707"/>
  </r>
  <r>
    <n v="68728321"/>
    <x v="2"/>
    <n v="5527"/>
    <d v="2023-03-10T00:00:00"/>
    <x v="150"/>
    <x v="22"/>
    <n v="3.7853439999999999E-3"/>
    <n v="20.921596288"/>
    <s v="TA"/>
    <x v="3"/>
    <x v="10"/>
    <s v="Q1"/>
    <n v="255"/>
    <n v="21.67450980392157"/>
    <s v="TALENTI"/>
    <n v="1"/>
    <n v="5527"/>
    <n v="20.921596288"/>
    <n v="21.67450980392157"/>
  </r>
  <r>
    <n v="68741742"/>
    <x v="2"/>
    <n v="4486"/>
    <d v="2023-03-10T00:00:00"/>
    <x v="25"/>
    <x v="25"/>
    <n v="4.2560000000000002E-3"/>
    <n v="19.092416"/>
    <s v="GH"/>
    <x v="3"/>
    <x v="11"/>
    <s v="Q1"/>
    <n v="154"/>
    <n v="29.129870129870131"/>
    <s v="MBG"/>
    <n v="1"/>
    <n v="4486"/>
    <n v="19.092416"/>
    <n v="29.129870129870131"/>
  </r>
  <r>
    <n v="68746232"/>
    <x v="2"/>
    <n v="2839"/>
    <d v="2023-03-10T00:00:00"/>
    <x v="154"/>
    <x v="26"/>
    <n v="9.5879999999999993E-3"/>
    <n v="27.220331999999999"/>
    <s v="KL"/>
    <x v="3"/>
    <x v="12"/>
    <s v="Q1"/>
    <n v="132"/>
    <n v="21.507575757575758"/>
    <s v="EDF"/>
    <n v="1"/>
    <n v="2839"/>
    <n v="27.220331999999999"/>
    <n v="21.507575757575758"/>
  </r>
  <r>
    <n v="68842352"/>
    <x v="4"/>
    <n v="4400"/>
    <d v="2023-03-10T00:00:00"/>
    <x v="76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8896056"/>
    <x v="2"/>
    <n v="0"/>
    <d v="2023-03-10T00:00:00"/>
    <x v="116"/>
    <x v="2"/>
    <n v="8.5199999999999998E-3"/>
    <n v="0"/>
    <s v="BR"/>
    <x v="3"/>
    <x v="2"/>
    <s v="Q1"/>
    <n v="176"/>
    <n v="0"/>
    <s v="48oz"/>
    <n v="1"/>
    <n v="0"/>
    <n v="0"/>
    <n v="0"/>
  </r>
  <r>
    <n v="68914406"/>
    <x v="2"/>
    <n v="7187"/>
    <d v="2023-03-10T00:00:00"/>
    <x v="78"/>
    <x v="27"/>
    <n v="2.124E-3"/>
    <n v="15.265188"/>
    <s v="KL"/>
    <x v="3"/>
    <x v="9"/>
    <s v="Q1"/>
    <n v="352"/>
    <n v="20.417613636363637"/>
    <s v="ESS"/>
    <n v="1"/>
    <n v="7187"/>
    <n v="15.265188"/>
    <n v="20.417613636363637"/>
  </r>
  <r>
    <n v="68938272"/>
    <x v="2"/>
    <n v="19666"/>
    <d v="2023-03-10T00:00:00"/>
    <x v="293"/>
    <x v="15"/>
    <n v="3.5999999999999999E-3"/>
    <n v="70.797600000000003"/>
    <s v="BJ"/>
    <x v="3"/>
    <x v="19"/>
    <s v="Q1"/>
    <n v="240"/>
    <n v="81.941666666666663"/>
    <s v="TOPPED"/>
    <n v="1"/>
    <n v="19666"/>
    <n v="70.797600000000003"/>
    <n v="81.941666666666663"/>
  </r>
  <r>
    <n v="68871168"/>
    <x v="1"/>
    <n v="2808"/>
    <d v="2023-03-10T00:00:00"/>
    <x v="57"/>
    <x v="0"/>
    <n v="6.0035555555555554E-3"/>
    <n v="16.857983999999998"/>
    <s v="KL"/>
    <x v="3"/>
    <x v="1"/>
    <s v="Q1"/>
    <n v="108"/>
    <n v="26"/>
    <s v="KL Sandwiches"/>
    <n v="1"/>
    <n v="2808"/>
    <n v="16.857983999999998"/>
    <n v="26"/>
  </r>
  <r>
    <n v="68871168"/>
    <x v="1"/>
    <n v="2959"/>
    <d v="2023-03-10T00:00:00"/>
    <x v="57"/>
    <x v="0"/>
    <n v="6.0035555555555554E-3"/>
    <n v="17.764520888888889"/>
    <s v="KL"/>
    <x v="3"/>
    <x v="1"/>
    <s v="Q1"/>
    <n v="108"/>
    <n v="27.398148148148149"/>
    <s v="KL Sandwiches"/>
    <n v="1"/>
    <n v="2959"/>
    <n v="17.764520888888889"/>
    <n v="27.398148148148149"/>
  </r>
  <r>
    <n v="68871168"/>
    <x v="1"/>
    <n v="2903"/>
    <d v="2023-03-10T00:00:00"/>
    <x v="57"/>
    <x v="0"/>
    <n v="6.0035555555555554E-3"/>
    <n v="17.428321777777779"/>
    <s v="KL"/>
    <x v="3"/>
    <x v="1"/>
    <s v="Q1"/>
    <n v="108"/>
    <n v="26.87962962962963"/>
    <s v="KL Sandwiches"/>
    <n v="1"/>
    <n v="2903"/>
    <n v="17.428321777777779"/>
    <n v="26.87962962962963"/>
  </r>
  <r>
    <n v="69555091"/>
    <x v="2"/>
    <n v="7346"/>
    <d v="2023-03-10T00:00:00"/>
    <x v="195"/>
    <x v="14"/>
    <n v="1.98E-3"/>
    <n v="14.54508"/>
    <s v="TA"/>
    <x v="3"/>
    <x v="42"/>
    <s v="Q1"/>
    <n v="176"/>
    <n v="41.738636363636367"/>
    <s v="TAL NV"/>
    <n v="1"/>
    <n v="7346"/>
    <n v="14.54508"/>
    <n v="41.738636363636367"/>
  </r>
  <r>
    <n v="69556602"/>
    <x v="4"/>
    <n v="1064"/>
    <d v="2023-03-10T00:00:00"/>
    <x v="165"/>
    <x v="0"/>
    <n v="5.3220000000000003E-3"/>
    <n v="5.6626080000000005"/>
    <s v="KL"/>
    <x v="3"/>
    <x v="13"/>
    <s v="Q1"/>
    <n v="120"/>
    <n v="8.8666666666666671"/>
    <s v="KL Mini Cones"/>
    <n v="1"/>
    <n v="1064"/>
    <n v="5.6626080000000005"/>
    <n v="8.8666666666666671"/>
  </r>
  <r>
    <n v="69556602"/>
    <x v="4"/>
    <n v="2400"/>
    <d v="2023-03-10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68964"/>
    <x v="2"/>
    <n v="0"/>
    <d v="2023-03-10T00:00:00"/>
    <x v="134"/>
    <x v="13"/>
    <n v="8.5199999999999998E-3"/>
    <n v="0"/>
    <s v="BR"/>
    <x v="3"/>
    <x v="2"/>
    <s v="Q1"/>
    <n v="176"/>
    <n v="0"/>
    <s v="48oz"/>
    <n v="1"/>
    <n v="0"/>
    <n v="0"/>
    <n v="0"/>
  </r>
  <r>
    <n v="69568964"/>
    <x v="2"/>
    <n v="0"/>
    <d v="2023-03-10T00:00:00"/>
    <x v="134"/>
    <x v="13"/>
    <n v="8.5199999999999998E-3"/>
    <n v="0"/>
    <s v="BR"/>
    <x v="3"/>
    <x v="2"/>
    <s v="Q1"/>
    <n v="176"/>
    <n v="0"/>
    <s v="48oz"/>
    <n v="1"/>
    <n v="0"/>
    <n v="0"/>
    <n v="0"/>
  </r>
  <r>
    <n v="69571484"/>
    <x v="2"/>
    <n v="11379"/>
    <d v="2023-03-10T00:00:00"/>
    <x v="230"/>
    <x v="5"/>
    <n v="1.2960000000000001E-2"/>
    <n v="147.47184000000001"/>
    <s v="MG"/>
    <x v="3"/>
    <x v="5"/>
    <s v="Q1"/>
    <n v="493"/>
    <n v="23.081135902636916"/>
    <s v="MG Sticks"/>
    <n v="1"/>
    <n v="11379"/>
    <n v="147.47184000000001"/>
    <n v="23.081135902636916"/>
  </r>
  <r>
    <n v="69572544"/>
    <x v="2"/>
    <n v="0"/>
    <d v="2023-03-10T00:00:00"/>
    <x v="171"/>
    <x v="14"/>
    <n v="1.9740000000000001E-3"/>
    <n v="0"/>
    <s v="MG"/>
    <x v="3"/>
    <x v="5"/>
    <s v="Q1"/>
    <n v="176"/>
    <n v="0"/>
    <s v="MG Sticks"/>
    <n v="1"/>
    <n v="0"/>
    <n v="0"/>
    <n v="0"/>
  </r>
  <r>
    <n v="69621212"/>
    <x v="2"/>
    <n v="4276"/>
    <d v="2023-03-10T00:00:00"/>
    <x v="29"/>
    <x v="28"/>
    <n v="5.2680000000000001E-3"/>
    <n v="22.525967999999999"/>
    <s v="PG"/>
    <x v="3"/>
    <x v="14"/>
    <s v="Q1"/>
    <n v="130"/>
    <n v="32.892307692307689"/>
    <s v="PG"/>
    <n v="1"/>
    <n v="4276"/>
    <n v="22.525967999999999"/>
    <n v="32.892307692307689"/>
  </r>
  <r>
    <n v="69628686"/>
    <x v="4"/>
    <n v="9600"/>
    <d v="2023-03-10T00:00:00"/>
    <x v="263"/>
    <x v="0"/>
    <n v="5.3220000000000003E-3"/>
    <n v="51.091200000000001"/>
    <s v="KL"/>
    <x v="3"/>
    <x v="13"/>
    <s v="Q1"/>
    <n v="120"/>
    <n v="80"/>
    <s v="KL Mini Cones"/>
    <n v="1"/>
    <n v="9600"/>
    <n v="51.091200000000001"/>
    <n v="80"/>
  </r>
  <r>
    <n v="69628686"/>
    <x v="4"/>
    <n v="1020"/>
    <d v="2023-03-10T00:00:00"/>
    <x v="263"/>
    <x v="0"/>
    <n v="5.3220000000000003E-3"/>
    <n v="5.4284400000000002"/>
    <s v="KL"/>
    <x v="3"/>
    <x v="13"/>
    <s v="Q1"/>
    <n v="120"/>
    <n v="8.5"/>
    <s v="KL Mini Cones"/>
    <n v="1"/>
    <n v="1020"/>
    <n v="5.4284400000000002"/>
    <n v="8.5"/>
  </r>
  <r>
    <n v="69629469"/>
    <x v="4"/>
    <n v="120"/>
    <d v="2023-03-10T00:00:00"/>
    <x v="83"/>
    <x v="0"/>
    <n v="5.3220000000000003E-3"/>
    <n v="0.6386400000000001"/>
    <s v="KL"/>
    <x v="3"/>
    <x v="13"/>
    <s v="Q1"/>
    <n v="120"/>
    <n v="1"/>
    <s v="KL Mini Cones"/>
    <n v="1"/>
    <n v="120"/>
    <n v="0.6386400000000001"/>
    <n v="1"/>
  </r>
  <r>
    <n v="69629477"/>
    <x v="1"/>
    <n v="2946"/>
    <d v="2023-03-10T00:00:00"/>
    <x v="61"/>
    <x v="0"/>
    <n v="5.3280000000000003E-3"/>
    <n v="15.696288000000001"/>
    <s v="KL"/>
    <x v="3"/>
    <x v="26"/>
    <s v="Q1"/>
    <n v="108"/>
    <n v="27.277777777777779"/>
    <s v="KL Mini Cones"/>
    <n v="1"/>
    <n v="2946"/>
    <n v="15.696288000000001"/>
    <n v="27.277777777777779"/>
  </r>
  <r>
    <n v="69629477"/>
    <x v="1"/>
    <n v="2890"/>
    <d v="2023-03-10T00:00:00"/>
    <x v="61"/>
    <x v="0"/>
    <n v="5.3280000000000003E-3"/>
    <n v="15.397920000000001"/>
    <s v="KL"/>
    <x v="3"/>
    <x v="26"/>
    <s v="Q1"/>
    <n v="108"/>
    <n v="26.75925925925926"/>
    <s v="KL Mini Cones"/>
    <n v="1"/>
    <n v="2890"/>
    <n v="15.397920000000001"/>
    <n v="26.75925925925926"/>
  </r>
  <r>
    <n v="69671641"/>
    <x v="3"/>
    <n v="4678"/>
    <d v="2023-03-10T00:00:00"/>
    <x v="260"/>
    <x v="4"/>
    <n v="3.9039999999999999E-3"/>
    <n v="18.262912"/>
    <s v="GH"/>
    <x v="3"/>
    <x v="4"/>
    <s v="Q1"/>
    <n v="154"/>
    <n v="30.376623376623378"/>
    <s v="MBG"/>
    <n v="1"/>
    <n v="4678"/>
    <n v="18.262912"/>
    <n v="30.376623376623378"/>
  </r>
  <r>
    <n v="69677917"/>
    <x v="3"/>
    <n v="4222"/>
    <d v="2023-03-10T00:00:00"/>
    <x v="30"/>
    <x v="29"/>
    <n v="5.2680000000000001E-3"/>
    <n v="22.241496000000001"/>
    <s v="PS"/>
    <x v="3"/>
    <x v="3"/>
    <s v="Q1"/>
    <n v="108"/>
    <n v="39.092592592592595"/>
    <s v="PG"/>
    <n v="1"/>
    <n v="4222"/>
    <n v="22.241496000000001"/>
    <n v="39.092592592592595"/>
  </r>
  <r>
    <n v="69684521"/>
    <x v="2"/>
    <n v="467"/>
    <d v="2023-03-10T00:00:00"/>
    <x v="160"/>
    <x v="31"/>
    <n v="4.2585119798234554E-3"/>
    <n v="1.9887250945775536"/>
    <s v="MG "/>
    <x v="3"/>
    <x v="5"/>
    <s v="Q1"/>
    <n v="143"/>
    <n v="3.2657342657342658"/>
    <s v="MG Sticks"/>
    <n v="1"/>
    <n v="467"/>
    <n v="1.9887250945775536"/>
    <n v="3.2657342657342658"/>
  </r>
  <r>
    <n v="69700048"/>
    <x v="3"/>
    <n v="3864"/>
    <d v="2023-03-10T00:00:00"/>
    <x v="288"/>
    <x v="24"/>
    <n v="2.3469132803553457E-3"/>
    <n v="9.0684729152930554"/>
    <s v="GH"/>
    <x v="3"/>
    <x v="4"/>
    <s v="Q1"/>
    <n v="350"/>
    <n v="11.04"/>
    <s v="MBG"/>
    <n v="1"/>
    <n v="3864"/>
    <n v="9.0684729152930554"/>
    <n v="11.04"/>
  </r>
  <r>
    <n v="69706138"/>
    <x v="2"/>
    <n v="0"/>
    <d v="2023-03-10T00:00:00"/>
    <x v="289"/>
    <x v="31"/>
    <n v="3.8999999999999998E-3"/>
    <n v="0"/>
    <s v="TA"/>
    <x v="3"/>
    <x v="42"/>
    <s v="Q1"/>
    <n v="176"/>
    <n v="0"/>
    <s v="TAL NV"/>
    <n v="1"/>
    <n v="0"/>
    <n v="0"/>
    <n v="0"/>
  </r>
  <r>
    <n v="84135758"/>
    <x v="5"/>
    <n v="29875"/>
    <d v="2023-03-10T00:00:00"/>
    <x v="130"/>
    <x v="33"/>
    <n v="1.4399999999999999E-3"/>
    <n v="43.019999999999996"/>
    <s v="BJ"/>
    <x v="3"/>
    <x v="16"/>
    <s v="Q1"/>
    <n v="510"/>
    <n v="58.578431372549019"/>
    <s v="B&amp;J Cups"/>
    <n v="1"/>
    <n v="29875"/>
    <n v="43.019999999999996"/>
    <n v="58.578431372549019"/>
  </r>
  <r>
    <n v="84135758"/>
    <x v="5"/>
    <n v="7190"/>
    <d v="2023-03-10T00:00:00"/>
    <x v="130"/>
    <x v="33"/>
    <n v="1.4399999999999999E-3"/>
    <n v="10.353599999999998"/>
    <s v="BJ"/>
    <x v="3"/>
    <x v="16"/>
    <s v="Q1"/>
    <n v="510"/>
    <n v="14.098039215686274"/>
    <s v="B&amp;J Cups"/>
    <n v="1"/>
    <n v="7190"/>
    <n v="10.353599999999998"/>
    <n v="14.098039215686274"/>
  </r>
  <r>
    <n v="84141103"/>
    <x v="13"/>
    <n v="51930"/>
    <d v="2023-03-10T00:00:00"/>
    <x v="294"/>
    <x v="38"/>
    <n v="3.7853439999999999E-3"/>
    <n v="196.57291391999999"/>
    <s v="BJ"/>
    <x v="3"/>
    <x v="36"/>
    <s v="Q1"/>
    <n v="240"/>
    <n v="216.375"/>
    <s v="BJ PTS"/>
    <n v="1"/>
    <n v="51930"/>
    <n v="196.57291391999999"/>
    <n v="216.375"/>
  </r>
  <r>
    <n v="84161610"/>
    <x v="5"/>
    <n v="40754"/>
    <d v="2023-03-10T00:00:00"/>
    <x v="99"/>
    <x v="38"/>
    <n v="3.7853439999999999E-3"/>
    <n v="154.26790937600001"/>
    <s v="BJ"/>
    <x v="3"/>
    <x v="15"/>
    <s v="Q1"/>
    <n v="240"/>
    <n v="169.80833333333334"/>
    <s v="BJ PTS"/>
    <n v="1"/>
    <n v="40754"/>
    <n v="154.26790937600001"/>
    <n v="169.80833333333334"/>
  </r>
  <r>
    <n v="67465063"/>
    <x v="3"/>
    <n v="3113"/>
    <d v="2023-03-11T00:00:00"/>
    <x v="3"/>
    <x v="6"/>
    <n v="5.2680000000000001E-3"/>
    <n v="16.399284000000002"/>
    <s v="PS"/>
    <x v="3"/>
    <x v="3"/>
    <s v="Q1"/>
    <n v="130"/>
    <n v="23.946153846153845"/>
    <s v="PG"/>
    <n v="1"/>
    <n v="3113"/>
    <n v="16.399284000000002"/>
    <n v="23.946153846153845"/>
  </r>
  <r>
    <n v="67465063"/>
    <x v="3"/>
    <n v="4382"/>
    <d v="2023-03-11T00:00:00"/>
    <x v="3"/>
    <x v="10"/>
    <n v="5.2680000000000001E-3"/>
    <n v="23.084375999999999"/>
    <s v="PS"/>
    <x v="3"/>
    <x v="3"/>
    <s v="Q1"/>
    <n v="130"/>
    <n v="33.707692307692305"/>
    <s v="PG"/>
    <n v="1"/>
    <n v="4382"/>
    <n v="23.084375999999999"/>
    <n v="33.707692307692305"/>
  </r>
  <r>
    <n v="67466492"/>
    <x v="3"/>
    <n v="4241"/>
    <d v="2023-03-11T00:00:00"/>
    <x v="8"/>
    <x v="8"/>
    <n v="5.2680000000000001E-3"/>
    <n v="22.341588000000002"/>
    <s v="PS"/>
    <x v="3"/>
    <x v="3"/>
    <s v="Q1"/>
    <n v="130"/>
    <n v="32.623076923076923"/>
    <s v="PG"/>
    <n v="1"/>
    <n v="4241"/>
    <n v="22.341588000000002"/>
    <n v="32.623076923076923"/>
  </r>
  <r>
    <n v="67476560"/>
    <x v="3"/>
    <n v="0"/>
    <d v="2023-03-11T00:00:00"/>
    <x v="10"/>
    <x v="10"/>
    <n v="5.1060000000000003E-3"/>
    <n v="0"/>
    <s v="PS"/>
    <x v="3"/>
    <x v="3"/>
    <s v="Q1"/>
    <n v="130"/>
    <n v="0"/>
    <s v="PG"/>
    <n v="1"/>
    <n v="0"/>
    <n v="0"/>
    <n v="0"/>
  </r>
  <r>
    <n v="67726327"/>
    <x v="2"/>
    <n v="0"/>
    <d v="2023-03-11T00:00:00"/>
    <x v="295"/>
    <x v="13"/>
    <n v="8.5199999999999998E-3"/>
    <n v="0"/>
    <s v="BR"/>
    <x v="3"/>
    <x v="2"/>
    <s v="Q1"/>
    <n v="154"/>
    <n v="0"/>
    <s v="48oz"/>
    <n v="1"/>
    <n v="0"/>
    <n v="0"/>
    <n v="0"/>
  </r>
  <r>
    <n v="67885718"/>
    <x v="3"/>
    <n v="13631"/>
    <d v="2023-03-11T00:00:00"/>
    <x v="48"/>
    <x v="12"/>
    <n v="8.5199999999999998E-3"/>
    <n v="116.13611999999999"/>
    <s v="BR"/>
    <x v="3"/>
    <x v="6"/>
    <s v="Q1"/>
    <n v="154"/>
    <n v="88.512987012987011"/>
    <s v="48oz"/>
    <n v="1"/>
    <n v="13631"/>
    <n v="116.13611999999999"/>
    <n v="88.512987012987011"/>
  </r>
  <r>
    <n v="67901583"/>
    <x v="3"/>
    <n v="14767"/>
    <d v="2023-03-11T00:00:00"/>
    <x v="50"/>
    <x v="11"/>
    <n v="8.5199999999999998E-3"/>
    <n v="125.81484"/>
    <s v="BR"/>
    <x v="3"/>
    <x v="6"/>
    <s v="Q1"/>
    <n v="154"/>
    <n v="95.889610389610397"/>
    <s v="48oz"/>
    <n v="1"/>
    <n v="14767"/>
    <n v="125.81484"/>
    <n v="95.889610389610397"/>
  </r>
  <r>
    <n v="67901593"/>
    <x v="2"/>
    <n v="20658"/>
    <d v="2023-03-11T00:00:00"/>
    <x v="68"/>
    <x v="32"/>
    <n v="8.5199999999999998E-3"/>
    <n v="176.00615999999999"/>
    <s v="BR"/>
    <x v="3"/>
    <x v="2"/>
    <s v="Q1"/>
    <n v="154"/>
    <n v="134.14285714285714"/>
    <s v="48oz"/>
    <n v="1"/>
    <n v="20658"/>
    <n v="176.00615999999999"/>
    <n v="134.14285714285714"/>
  </r>
  <r>
    <n v="67908208"/>
    <x v="2"/>
    <n v="0"/>
    <d v="2023-03-11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309312"/>
    <x v="2"/>
    <n v="895"/>
    <d v="2023-03-11T00:00:00"/>
    <x v="134"/>
    <x v="13"/>
    <n v="8.5199999999999998E-3"/>
    <n v="7.6254"/>
    <s v="BR"/>
    <x v="3"/>
    <x v="2"/>
    <s v="Q1"/>
    <n v="154"/>
    <n v="5.8116883116883118"/>
    <s v="48oz"/>
    <n v="1"/>
    <n v="895"/>
    <n v="7.6254"/>
    <n v="5.8116883116883118"/>
  </r>
  <r>
    <n v="68689251"/>
    <x v="3"/>
    <n v="7007"/>
    <d v="2023-03-11T00:00:00"/>
    <x v="17"/>
    <x v="17"/>
    <n v="9.5760000000000012E-3"/>
    <n v="67.099032000000008"/>
    <s v="KL"/>
    <x v="3"/>
    <x v="8"/>
    <s v="Q1"/>
    <n v="132"/>
    <n v="53.083333333333336"/>
    <s v="EDF"/>
    <n v="1"/>
    <n v="7007"/>
    <n v="67.099032000000008"/>
    <n v="53.083333333333336"/>
  </r>
  <r>
    <n v="68710277"/>
    <x v="3"/>
    <n v="3171"/>
    <d v="2023-03-11T00:00:00"/>
    <x v="20"/>
    <x v="20"/>
    <n v="8.5199999999999998E-3"/>
    <n v="27.016919999999999"/>
    <s v="KL"/>
    <x v="3"/>
    <x v="8"/>
    <s v="Q1"/>
    <n v="132"/>
    <n v="24.022727272727273"/>
    <s v="EDF"/>
    <n v="1"/>
    <n v="3171"/>
    <n v="27.016919999999999"/>
    <n v="24.022727272727273"/>
  </r>
  <r>
    <n v="68710277"/>
    <x v="3"/>
    <n v="1164"/>
    <d v="2023-03-11T00:00:00"/>
    <x v="20"/>
    <x v="20"/>
    <n v="8.5199999999999998E-3"/>
    <n v="9.9172799999999999"/>
    <s v="KL"/>
    <x v="3"/>
    <x v="8"/>
    <s v="Q1"/>
    <n v="132"/>
    <n v="8.8181818181818183"/>
    <s v="EDF"/>
    <n v="1"/>
    <n v="1164"/>
    <n v="9.9172799999999999"/>
    <n v="8.8181818181818183"/>
  </r>
  <r>
    <n v="68726982"/>
    <x v="2"/>
    <n v="10273"/>
    <d v="2023-03-11T00:00:00"/>
    <x v="291"/>
    <x v="21"/>
    <n v="3.7853440000000004E-3"/>
    <n v="38.886838912000002"/>
    <s v="TA"/>
    <x v="3"/>
    <x v="10"/>
    <s v="Q1"/>
    <n v="255"/>
    <n v="40.286274509803924"/>
    <s v="TALENTI"/>
    <n v="1"/>
    <n v="10273"/>
    <n v="38.886838912000002"/>
    <n v="40.286274509803924"/>
  </r>
  <r>
    <n v="68726982"/>
    <x v="2"/>
    <n v="5438"/>
    <d v="2023-03-11T00:00:00"/>
    <x v="291"/>
    <x v="22"/>
    <n v="3.7853440000000004E-3"/>
    <n v="20.584700672"/>
    <s v="TA"/>
    <x v="3"/>
    <x v="10"/>
    <s v="Q1"/>
    <n v="255"/>
    <n v="21.32549019607843"/>
    <s v="TALENTI"/>
    <n v="1"/>
    <n v="5438"/>
    <n v="20.584700672"/>
    <n v="21.32549019607843"/>
  </r>
  <r>
    <n v="68741742"/>
    <x v="2"/>
    <n v="1463"/>
    <d v="2023-03-11T00:00:00"/>
    <x v="25"/>
    <x v="25"/>
    <n v="4.2560000000000002E-3"/>
    <n v="6.2265280000000001"/>
    <s v="GH"/>
    <x v="3"/>
    <x v="11"/>
    <s v="Q1"/>
    <n v="154"/>
    <n v="9.5"/>
    <s v="MBG"/>
    <n v="1"/>
    <n v="1463"/>
    <n v="6.2265280000000001"/>
    <n v="9.5"/>
  </r>
  <r>
    <n v="68746232"/>
    <x v="2"/>
    <n v="3630"/>
    <d v="2023-03-11T00:00:00"/>
    <x v="154"/>
    <x v="26"/>
    <n v="9.5879999999999993E-3"/>
    <n v="34.80444"/>
    <s v="KL"/>
    <x v="3"/>
    <x v="12"/>
    <s v="Q1"/>
    <n v="132"/>
    <n v="27.5"/>
    <s v="EDF"/>
    <n v="1"/>
    <n v="3630"/>
    <n v="34.80444"/>
    <n v="27.5"/>
  </r>
  <r>
    <n v="68896056"/>
    <x v="2"/>
    <n v="0"/>
    <d v="2023-03-11T00:00:00"/>
    <x v="116"/>
    <x v="2"/>
    <n v="8.5199999999999998E-3"/>
    <n v="0"/>
    <s v="BR"/>
    <x v="3"/>
    <x v="2"/>
    <s v="Q1"/>
    <n v="176"/>
    <n v="0"/>
    <s v="48oz"/>
    <n v="1"/>
    <n v="0"/>
    <n v="0"/>
    <n v="0"/>
  </r>
  <r>
    <n v="68938272"/>
    <x v="2"/>
    <n v="741"/>
    <d v="2023-03-11T00:00:00"/>
    <x v="293"/>
    <x v="15"/>
    <n v="3.5999999999999999E-3"/>
    <n v="2.6675999999999997"/>
    <s v="BJ"/>
    <x v="3"/>
    <x v="19"/>
    <s v="Q1"/>
    <n v="240"/>
    <n v="3.0874999999999999"/>
    <s v="TOPPED"/>
    <n v="1"/>
    <n v="741"/>
    <n v="2.6675999999999997"/>
    <n v="3.0874999999999999"/>
  </r>
  <r>
    <n v="69555091"/>
    <x v="2"/>
    <n v="0"/>
    <d v="2023-03-11T00:00:00"/>
    <x v="195"/>
    <x v="14"/>
    <n v="1.98E-3"/>
    <n v="0"/>
    <s v="TA"/>
    <x v="3"/>
    <x v="42"/>
    <s v="Q1"/>
    <n v="176"/>
    <n v="0"/>
    <s v="TAL NV"/>
    <n v="1"/>
    <n v="0"/>
    <n v="0"/>
    <n v="0"/>
  </r>
  <r>
    <n v="69565377"/>
    <x v="5"/>
    <n v="42445"/>
    <d v="2023-03-11T00:00:00"/>
    <x v="138"/>
    <x v="35"/>
    <n v="3.7839999999999996E-3"/>
    <n v="160.61187999999999"/>
    <s v="BJ"/>
    <x v="3"/>
    <x v="15"/>
    <s v="Q1"/>
    <n v="240"/>
    <n v="176.85416666666666"/>
    <s v="BJ PTS"/>
    <n v="1"/>
    <n v="42445"/>
    <n v="160.61187999999999"/>
    <n v="176.85416666666666"/>
  </r>
  <r>
    <n v="69568964"/>
    <x v="2"/>
    <n v="5582"/>
    <d v="2023-03-11T00:00:00"/>
    <x v="134"/>
    <x v="13"/>
    <n v="8.5199999999999998E-3"/>
    <n v="47.558639999999997"/>
    <s v="BR"/>
    <x v="3"/>
    <x v="2"/>
    <s v="Q1"/>
    <n v="176"/>
    <n v="31.71590909090909"/>
    <s v="48oz"/>
    <n v="1"/>
    <n v="5582"/>
    <n v="47.558639999999997"/>
    <n v="31.71590909090909"/>
  </r>
  <r>
    <n v="69571484"/>
    <x v="2"/>
    <n v="23026"/>
    <d v="2023-03-11T00:00:00"/>
    <x v="230"/>
    <x v="5"/>
    <n v="1.2960000000000001E-2"/>
    <n v="298.41696000000002"/>
    <s v="MG"/>
    <x v="3"/>
    <x v="5"/>
    <s v="Q1"/>
    <n v="493"/>
    <n v="46.705882352941174"/>
    <s v="MG Sticks"/>
    <n v="1"/>
    <n v="23026"/>
    <n v="298.41696000000002"/>
    <n v="46.705882352941174"/>
  </r>
  <r>
    <n v="69621212"/>
    <x v="2"/>
    <n v="3941"/>
    <d v="2023-03-11T00:00:00"/>
    <x v="29"/>
    <x v="28"/>
    <n v="5.2680000000000001E-3"/>
    <n v="20.761188000000001"/>
    <s v="PG"/>
    <x v="3"/>
    <x v="14"/>
    <s v="Q1"/>
    <n v="130"/>
    <n v="30.315384615384616"/>
    <s v="PG"/>
    <n v="1"/>
    <n v="3941"/>
    <n v="20.761188000000001"/>
    <n v="30.315384615384616"/>
  </r>
  <r>
    <n v="69645145"/>
    <x v="0"/>
    <n v="12912"/>
    <d v="2023-03-11T00:00:00"/>
    <x v="118"/>
    <x v="0"/>
    <n v="2.8319999999999999E-3"/>
    <n v="36.566783999999998"/>
    <s v="GH"/>
    <x v="3"/>
    <x v="46"/>
    <s v="Q1"/>
    <n v="260"/>
    <n v="49.661538461538463"/>
    <s v="FB Cones"/>
    <n v="1"/>
    <n v="12912"/>
    <n v="36.566783999999998"/>
    <n v="49.661538461538463"/>
  </r>
  <r>
    <n v="69671641"/>
    <x v="3"/>
    <n v="4124"/>
    <d v="2023-03-11T00:00:00"/>
    <x v="260"/>
    <x v="4"/>
    <n v="3.9039999999999999E-3"/>
    <n v="16.100096000000001"/>
    <s v="GH"/>
    <x v="3"/>
    <x v="4"/>
    <s v="Q1"/>
    <n v="154"/>
    <n v="26.779220779220779"/>
    <s v="MBG"/>
    <n v="1"/>
    <n v="4124"/>
    <n v="16.100096000000001"/>
    <n v="26.779220779220779"/>
  </r>
  <r>
    <n v="69677917"/>
    <x v="3"/>
    <n v="3339"/>
    <d v="2023-03-11T00:00:00"/>
    <x v="30"/>
    <x v="29"/>
    <n v="5.2680000000000001E-3"/>
    <n v="17.589852"/>
    <s v="PS"/>
    <x v="3"/>
    <x v="3"/>
    <s v="Q1"/>
    <n v="108"/>
    <n v="30.916666666666668"/>
    <s v="PG"/>
    <n v="1"/>
    <n v="3339"/>
    <n v="17.589852"/>
    <n v="30.916666666666668"/>
  </r>
  <r>
    <n v="69677917"/>
    <x v="2"/>
    <n v="6416"/>
    <d v="2023-03-11T00:00:00"/>
    <x v="30"/>
    <x v="30"/>
    <n v="5.2680000000000001E-3"/>
    <n v="33.799488000000004"/>
    <s v="PS"/>
    <x v="3"/>
    <x v="14"/>
    <s v="Q1"/>
    <n v="108"/>
    <n v="59.407407407407405"/>
    <s v="PG"/>
    <n v="1"/>
    <n v="6416"/>
    <n v="33.799488000000004"/>
    <n v="59.407407407407405"/>
  </r>
  <r>
    <n v="69677917"/>
    <x v="2"/>
    <n v="1555"/>
    <d v="2023-03-11T00:00:00"/>
    <x v="30"/>
    <x v="30"/>
    <n v="5.2680000000000001E-3"/>
    <n v="8.1917399999999994"/>
    <s v="PS"/>
    <x v="3"/>
    <x v="14"/>
    <s v="Q1"/>
    <n v="108"/>
    <n v="14.398148148148149"/>
    <s v="PG"/>
    <n v="1"/>
    <n v="1555"/>
    <n v="8.1917399999999994"/>
    <n v="14.398148148148149"/>
  </r>
  <r>
    <n v="69700048"/>
    <x v="3"/>
    <n v="5570"/>
    <d v="2023-03-11T00:00:00"/>
    <x v="288"/>
    <x v="24"/>
    <n v="2.3469132803553457E-3"/>
    <n v="13.072306971579275"/>
    <s v="GH"/>
    <x v="3"/>
    <x v="4"/>
    <s v="Q1"/>
    <n v="350"/>
    <n v="15.914285714285715"/>
    <s v="MBG"/>
    <n v="1"/>
    <n v="5570"/>
    <n v="13.072306971579275"/>
    <n v="15.914285714285715"/>
  </r>
  <r>
    <n v="84141101"/>
    <x v="5"/>
    <n v="9968"/>
    <d v="2023-03-11T00:00:00"/>
    <x v="86"/>
    <x v="33"/>
    <n v="3.7853439999999999E-3"/>
    <n v="37.732308992"/>
    <s v="BJ"/>
    <x v="3"/>
    <x v="15"/>
    <s v="Q1"/>
    <n v="240"/>
    <n v="41.533333333333331"/>
    <s v="BJ PTS"/>
    <n v="1"/>
    <n v="9968"/>
    <n v="37.732308992"/>
    <n v="41.533333333333331"/>
  </r>
  <r>
    <n v="67465063"/>
    <x v="3"/>
    <n v="4481"/>
    <d v="2023-03-12T00:00:00"/>
    <x v="3"/>
    <x v="6"/>
    <n v="5.2680000000000001E-3"/>
    <n v="23.605907999999999"/>
    <s v="PS"/>
    <x v="3"/>
    <x v="3"/>
    <s v="Q1"/>
    <n v="130"/>
    <n v="34.469230769230769"/>
    <s v="PG"/>
    <n v="1"/>
    <n v="4481"/>
    <n v="23.605907999999999"/>
    <n v="34.469230769230769"/>
  </r>
  <r>
    <n v="67465063"/>
    <x v="3"/>
    <n v="4838"/>
    <d v="2023-03-12T00:00:00"/>
    <x v="3"/>
    <x v="10"/>
    <n v="5.2680000000000001E-3"/>
    <n v="25.486584000000001"/>
    <s v="PS"/>
    <x v="3"/>
    <x v="3"/>
    <s v="Q1"/>
    <n v="130"/>
    <n v="37.215384615384615"/>
    <s v="PG"/>
    <n v="1"/>
    <n v="4838"/>
    <n v="25.486584000000001"/>
    <n v="37.215384615384615"/>
  </r>
  <r>
    <n v="67466492"/>
    <x v="3"/>
    <n v="3197"/>
    <d v="2023-03-12T00:00:00"/>
    <x v="8"/>
    <x v="8"/>
    <n v="5.2680000000000001E-3"/>
    <n v="16.841795999999999"/>
    <s v="PS"/>
    <x v="3"/>
    <x v="3"/>
    <s v="Q1"/>
    <n v="130"/>
    <n v="24.592307692307692"/>
    <s v="PG"/>
    <n v="1"/>
    <n v="3197"/>
    <n v="16.841795999999999"/>
    <n v="24.592307692307692"/>
  </r>
  <r>
    <n v="67476560"/>
    <x v="3"/>
    <n v="0"/>
    <d v="2023-03-12T00:00:00"/>
    <x v="10"/>
    <x v="10"/>
    <n v="5.1060000000000003E-3"/>
    <n v="0"/>
    <s v="PS"/>
    <x v="3"/>
    <x v="3"/>
    <s v="Q1"/>
    <n v="130"/>
    <n v="0"/>
    <s v="PG"/>
    <n v="1"/>
    <n v="0"/>
    <n v="0"/>
    <n v="0"/>
  </r>
  <r>
    <n v="67726327"/>
    <x v="2"/>
    <n v="0"/>
    <d v="2023-03-12T00:00:00"/>
    <x v="295"/>
    <x v="13"/>
    <n v="8.5199999999999998E-3"/>
    <n v="0"/>
    <s v="BR"/>
    <x v="3"/>
    <x v="2"/>
    <s v="Q1"/>
    <n v="154"/>
    <n v="0"/>
    <s v="48oz"/>
    <n v="1"/>
    <n v="0"/>
    <n v="0"/>
    <n v="0"/>
  </r>
  <r>
    <n v="67881628"/>
    <x v="5"/>
    <n v="34126"/>
    <d v="2023-03-12T00:00:00"/>
    <x v="64"/>
    <x v="35"/>
    <n v="3.7853439999999999E-3"/>
    <n v="129.17864934400001"/>
    <s v="BJ"/>
    <x v="3"/>
    <x v="15"/>
    <s v="Q1"/>
    <n v="240"/>
    <n v="142.19166666666666"/>
    <s v="BJ PTS"/>
    <n v="1"/>
    <n v="34126"/>
    <n v="129.17864934400001"/>
    <n v="142.19166666666666"/>
  </r>
  <r>
    <n v="67885718"/>
    <x v="3"/>
    <n v="13531"/>
    <d v="2023-03-12T00:00:00"/>
    <x v="48"/>
    <x v="12"/>
    <n v="8.5199999999999998E-3"/>
    <n v="115.28412"/>
    <s v="BR"/>
    <x v="3"/>
    <x v="6"/>
    <s v="Q1"/>
    <n v="154"/>
    <n v="87.86363636363636"/>
    <s v="48oz"/>
    <n v="1"/>
    <n v="13531"/>
    <n v="115.28412"/>
    <n v="87.86363636363636"/>
  </r>
  <r>
    <n v="67885718"/>
    <x v="3"/>
    <n v="0"/>
    <d v="2023-03-12T00:00:00"/>
    <x v="48"/>
    <x v="12"/>
    <n v="8.5199999999999998E-3"/>
    <n v="0"/>
    <s v="BR"/>
    <x v="3"/>
    <x v="6"/>
    <s v="Q1"/>
    <n v="154"/>
    <n v="0"/>
    <s v="48oz"/>
    <n v="1"/>
    <n v="0"/>
    <n v="0"/>
    <n v="0"/>
  </r>
  <r>
    <n v="67885721"/>
    <x v="2"/>
    <n v="0"/>
    <d v="2023-03-12T00:00:00"/>
    <x v="40"/>
    <x v="32"/>
    <n v="8.5199999999999998E-3"/>
    <n v="0"/>
    <s v="BR"/>
    <x v="3"/>
    <x v="2"/>
    <s v="Q1"/>
    <n v="154"/>
    <n v="0"/>
    <s v="48oz"/>
    <n v="1"/>
    <n v="0"/>
    <n v="0"/>
    <n v="0"/>
  </r>
  <r>
    <n v="67901583"/>
    <x v="3"/>
    <n v="13526"/>
    <d v="2023-03-12T00:00:00"/>
    <x v="50"/>
    <x v="11"/>
    <n v="8.5199999999999998E-3"/>
    <n v="115.24151999999999"/>
    <s v="BR"/>
    <x v="3"/>
    <x v="6"/>
    <s v="Q1"/>
    <n v="154"/>
    <n v="87.831168831168824"/>
    <s v="48oz"/>
    <n v="1"/>
    <n v="13526"/>
    <n v="115.24151999999999"/>
    <n v="87.831168831168824"/>
  </r>
  <r>
    <n v="67901593"/>
    <x v="2"/>
    <n v="12603"/>
    <d v="2023-03-12T00:00:00"/>
    <x v="68"/>
    <x v="32"/>
    <n v="8.5199999999999998E-3"/>
    <n v="107.37756"/>
    <s v="BR"/>
    <x v="3"/>
    <x v="2"/>
    <s v="Q1"/>
    <n v="154"/>
    <n v="81.837662337662337"/>
    <s v="48oz"/>
    <n v="1"/>
    <n v="12603"/>
    <n v="107.37756"/>
    <n v="81.837662337662337"/>
  </r>
  <r>
    <n v="67908208"/>
    <x v="2"/>
    <n v="0"/>
    <d v="2023-03-12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409143"/>
    <x v="5"/>
    <n v="0"/>
    <d v="2023-03-12T00:00:00"/>
    <x v="137"/>
    <x v="35"/>
    <n v="1.419504E-3"/>
    <n v="0"/>
    <s v="BJ"/>
    <x v="3"/>
    <x v="25"/>
    <s v="Q1"/>
    <n v="510"/>
    <n v="0"/>
    <s v="B&amp;J Dog Treat"/>
    <n v="1"/>
    <n v="0"/>
    <n v="0"/>
    <n v="0"/>
  </r>
  <r>
    <n v="68656229"/>
    <x v="2"/>
    <n v="7262"/>
    <d v="2023-03-12T00:00:00"/>
    <x v="208"/>
    <x v="2"/>
    <n v="8.5199999999999998E-3"/>
    <n v="61.872239999999998"/>
    <s v="BR"/>
    <x v="3"/>
    <x v="2"/>
    <s v="Q1"/>
    <n v="154"/>
    <n v="47.155844155844157"/>
    <s v="48oz"/>
    <n v="1"/>
    <n v="7262"/>
    <n v="61.872239999999998"/>
    <n v="47.155844155844157"/>
  </r>
  <r>
    <n v="68656229"/>
    <x v="2"/>
    <n v="720"/>
    <d v="2023-03-12T00:00:00"/>
    <x v="208"/>
    <x v="2"/>
    <n v="8.5199999999999998E-3"/>
    <n v="6.1343999999999994"/>
    <s v="BR"/>
    <x v="3"/>
    <x v="2"/>
    <s v="Q1"/>
    <n v="154"/>
    <n v="4.6753246753246751"/>
    <s v="48oz"/>
    <n v="1"/>
    <n v="720"/>
    <n v="6.1343999999999994"/>
    <n v="4.6753246753246751"/>
  </r>
  <r>
    <n v="68689251"/>
    <x v="3"/>
    <n v="653"/>
    <d v="2023-03-12T00:00:00"/>
    <x v="17"/>
    <x v="17"/>
    <n v="9.5760000000000012E-3"/>
    <n v="6.2531280000000011"/>
    <s v="KL"/>
    <x v="3"/>
    <x v="8"/>
    <s v="Q1"/>
    <n v="132"/>
    <n v="4.9469696969696972"/>
    <s v="EDF"/>
    <n v="1"/>
    <n v="653"/>
    <n v="6.2531280000000011"/>
    <n v="4.9469696969696972"/>
  </r>
  <r>
    <n v="68710285"/>
    <x v="3"/>
    <n v="3728"/>
    <d v="2023-03-12T00:00:00"/>
    <x v="74"/>
    <x v="20"/>
    <n v="8.5199999999999998E-3"/>
    <n v="31.762560000000001"/>
    <s v="KL"/>
    <x v="3"/>
    <x v="8"/>
    <s v="Q1"/>
    <n v="132"/>
    <n v="28.242424242424242"/>
    <s v="EDF"/>
    <n v="1"/>
    <n v="3728"/>
    <n v="31.762560000000001"/>
    <n v="28.242424242424242"/>
  </r>
  <r>
    <n v="68741742"/>
    <x v="2"/>
    <n v="3815"/>
    <d v="2023-03-12T00:00:00"/>
    <x v="25"/>
    <x v="25"/>
    <n v="4.2560000000000002E-3"/>
    <n v="16.236640000000001"/>
    <s v="GH"/>
    <x v="3"/>
    <x v="11"/>
    <s v="Q1"/>
    <n v="154"/>
    <n v="24.772727272727273"/>
    <s v="MBG"/>
    <n v="1"/>
    <n v="3815"/>
    <n v="16.236640000000001"/>
    <n v="24.772727272727273"/>
  </r>
  <r>
    <n v="68746232"/>
    <x v="2"/>
    <n v="3560"/>
    <d v="2023-03-12T00:00:00"/>
    <x v="154"/>
    <x v="26"/>
    <n v="9.5879999999999993E-3"/>
    <n v="34.133279999999999"/>
    <s v="KL"/>
    <x v="3"/>
    <x v="12"/>
    <s v="Q1"/>
    <n v="132"/>
    <n v="26.969696969696969"/>
    <s v="EDF"/>
    <n v="1"/>
    <n v="3560"/>
    <n v="34.133279999999999"/>
    <n v="26.969696969696969"/>
  </r>
  <r>
    <n v="68896056"/>
    <x v="2"/>
    <n v="8602"/>
    <d v="2023-03-12T00:00:00"/>
    <x v="116"/>
    <x v="2"/>
    <n v="8.5199999999999998E-3"/>
    <n v="73.28904"/>
    <s v="BR"/>
    <x v="3"/>
    <x v="2"/>
    <s v="Q1"/>
    <n v="176"/>
    <n v="48.875"/>
    <s v="48oz"/>
    <n v="1"/>
    <n v="8602"/>
    <n v="73.28904"/>
    <n v="48.875"/>
  </r>
  <r>
    <n v="68922018"/>
    <x v="2"/>
    <n v="20471"/>
    <d v="2023-03-12T00:00:00"/>
    <x v="95"/>
    <x v="21"/>
    <n v="3.7839999999999996E-3"/>
    <n v="77.46226399999999"/>
    <s v="TA"/>
    <x v="3"/>
    <x v="10"/>
    <s v="Q1"/>
    <n v="255"/>
    <n v="80.278431372549022"/>
    <s v="TALENTI"/>
    <n v="1"/>
    <n v="20471"/>
    <n v="77.46226399999999"/>
    <n v="80.278431372549022"/>
  </r>
  <r>
    <n v="69549034"/>
    <x v="2"/>
    <n v="5272"/>
    <d v="2023-03-12T00:00:00"/>
    <x v="296"/>
    <x v="22"/>
    <n v="3.5439999999999998E-3"/>
    <n v="18.683968"/>
    <s v="TA"/>
    <x v="3"/>
    <x v="10"/>
    <s v="Q1"/>
    <n v="255"/>
    <n v="20.67450980392157"/>
    <s v="TALENTI"/>
    <n v="1"/>
    <n v="5272"/>
    <n v="18.683968"/>
    <n v="20.67450980392157"/>
  </r>
  <r>
    <n v="69568964"/>
    <x v="2"/>
    <n v="8151"/>
    <d v="2023-03-12T00:00:00"/>
    <x v="134"/>
    <x v="13"/>
    <n v="8.5199999999999998E-3"/>
    <n v="69.446519999999992"/>
    <s v="BR"/>
    <x v="3"/>
    <x v="2"/>
    <s v="Q1"/>
    <n v="176"/>
    <n v="46.3125"/>
    <s v="48oz"/>
    <n v="1"/>
    <n v="8151"/>
    <n v="69.446519999999992"/>
    <n v="46.3125"/>
  </r>
  <r>
    <n v="69571484"/>
    <x v="2"/>
    <n v="16648"/>
    <d v="2023-03-12T00:00:00"/>
    <x v="230"/>
    <x v="5"/>
    <n v="1.2960000000000001E-2"/>
    <n v="215.75808000000001"/>
    <s v="MG"/>
    <x v="3"/>
    <x v="5"/>
    <s v="Q1"/>
    <n v="493"/>
    <n v="33.768762677484787"/>
    <s v="MG Sticks"/>
    <n v="1"/>
    <n v="16648"/>
    <n v="215.75808000000001"/>
    <n v="33.768762677484787"/>
  </r>
  <r>
    <n v="69621212"/>
    <x v="2"/>
    <n v="4965"/>
    <d v="2023-03-12T00:00:00"/>
    <x v="29"/>
    <x v="28"/>
    <n v="5.2680000000000001E-3"/>
    <n v="26.155619999999999"/>
    <s v="PG"/>
    <x v="3"/>
    <x v="14"/>
    <s v="Q1"/>
    <n v="130"/>
    <n v="38.192307692307693"/>
    <s v="PG"/>
    <n v="1"/>
    <n v="4965"/>
    <n v="26.155619999999999"/>
    <n v="38.192307692307693"/>
  </r>
  <r>
    <n v="69671641"/>
    <x v="3"/>
    <n v="5088"/>
    <d v="2023-03-12T00:00:00"/>
    <x v="260"/>
    <x v="4"/>
    <n v="3.9039999999999999E-3"/>
    <n v="19.863551999999999"/>
    <s v="GH"/>
    <x v="3"/>
    <x v="4"/>
    <s v="Q1"/>
    <n v="154"/>
    <n v="33.038961038961041"/>
    <s v="MBG"/>
    <n v="1"/>
    <n v="5088"/>
    <n v="19.863551999999999"/>
    <n v="33.038961038961041"/>
  </r>
  <r>
    <n v="69677917"/>
    <x v="3"/>
    <n v="422"/>
    <d v="2023-03-12T00:00:00"/>
    <x v="30"/>
    <x v="29"/>
    <n v="5.2680000000000001E-3"/>
    <n v="2.223096"/>
    <s v="PS"/>
    <x v="3"/>
    <x v="3"/>
    <s v="Q1"/>
    <n v="108"/>
    <n v="3.9074074074074074"/>
    <s v="PG"/>
    <n v="1"/>
    <n v="422"/>
    <n v="2.223096"/>
    <n v="3.9074074074074074"/>
  </r>
  <r>
    <n v="69677917"/>
    <x v="2"/>
    <n v="4674"/>
    <d v="2023-03-12T00:00:00"/>
    <x v="30"/>
    <x v="30"/>
    <n v="5.2680000000000001E-3"/>
    <n v="24.622631999999999"/>
    <s v="PS"/>
    <x v="3"/>
    <x v="14"/>
    <s v="Q1"/>
    <n v="108"/>
    <n v="43.277777777777779"/>
    <s v="PG"/>
    <n v="1"/>
    <n v="4674"/>
    <n v="24.622631999999999"/>
    <n v="43.277777777777779"/>
  </r>
  <r>
    <n v="69700048"/>
    <x v="3"/>
    <n v="6551"/>
    <d v="2023-03-12T00:00:00"/>
    <x v="288"/>
    <x v="24"/>
    <n v="2.3469132803553457E-3"/>
    <n v="15.374628899607869"/>
    <s v="GH"/>
    <x v="3"/>
    <x v="4"/>
    <s v="Q1"/>
    <n v="350"/>
    <n v="18.717142857142857"/>
    <s v="MBG"/>
    <n v="1"/>
    <n v="6551"/>
    <n v="15.374628899607869"/>
    <n v="18.717142857142857"/>
  </r>
  <r>
    <n v="84141094"/>
    <x v="2"/>
    <n v="0"/>
    <d v="2023-03-12T00:00:00"/>
    <x v="107"/>
    <x v="15"/>
    <n v="3.7853439999999999E-3"/>
    <n v="0"/>
    <s v="BJ"/>
    <x v="3"/>
    <x v="30"/>
    <s v="Q1"/>
    <n v="240"/>
    <n v="0"/>
    <s v="BJ PTS"/>
    <n v="1"/>
    <n v="0"/>
    <n v="0"/>
    <n v="0"/>
  </r>
  <r>
    <n v="84150071"/>
    <x v="5"/>
    <n v="16738"/>
    <d v="2023-03-12T00:00:00"/>
    <x v="117"/>
    <x v="33"/>
    <n v="1.4384307203870285E-3"/>
    <n v="24.076453397838083"/>
    <s v="BJ"/>
    <x v="3"/>
    <x v="31"/>
    <s v="Q1"/>
    <n v="510"/>
    <n v="32.819607843137256"/>
    <s v="Cup Exports"/>
    <n v="1"/>
    <n v="16738"/>
    <n v="24.076453397838083"/>
    <n v="32.819607843137256"/>
  </r>
  <r>
    <n v="67465063"/>
    <x v="3"/>
    <n v="1833"/>
    <d v="2023-03-13T00:00:00"/>
    <x v="3"/>
    <x v="40"/>
    <n v="5.2680000000000001E-3"/>
    <n v="9.6562440000000009"/>
    <s v="PS"/>
    <x v="3"/>
    <x v="3"/>
    <s v="Q1"/>
    <n v="130"/>
    <n v="14.1"/>
    <s v="PG"/>
    <n v="1"/>
    <n v="1833"/>
    <n v="9.6562440000000009"/>
    <n v="14.1"/>
  </r>
  <r>
    <n v="67465063"/>
    <x v="3"/>
    <n v="4397"/>
    <d v="2023-03-13T00:00:00"/>
    <x v="3"/>
    <x v="6"/>
    <n v="5.2680000000000001E-3"/>
    <n v="23.163395999999999"/>
    <s v="PS"/>
    <x v="3"/>
    <x v="3"/>
    <s v="Q1"/>
    <n v="130"/>
    <n v="33.823076923076925"/>
    <s v="PG"/>
    <n v="1"/>
    <n v="4397"/>
    <n v="23.163395999999999"/>
    <n v="33.823076923076925"/>
  </r>
  <r>
    <n v="67465063"/>
    <x v="3"/>
    <n v="4110"/>
    <d v="2023-03-13T00:00:00"/>
    <x v="3"/>
    <x v="10"/>
    <n v="5.2680000000000001E-3"/>
    <n v="21.651479999999999"/>
    <s v="PS"/>
    <x v="3"/>
    <x v="3"/>
    <s v="Q1"/>
    <n v="130"/>
    <n v="31.615384615384617"/>
    <s v="PG"/>
    <n v="1"/>
    <n v="4110"/>
    <n v="21.651479999999999"/>
    <n v="31.615384615384617"/>
  </r>
  <r>
    <n v="67465064"/>
    <x v="3"/>
    <n v="1976"/>
    <d v="2023-03-13T00:00:00"/>
    <x v="7"/>
    <x v="3"/>
    <n v="1.596E-3"/>
    <n v="3.1536960000000001"/>
    <s v="PS"/>
    <x v="3"/>
    <x v="3"/>
    <s v="Q1"/>
    <n v="130"/>
    <n v="15.2"/>
    <s v="PG"/>
    <n v="1"/>
    <n v="1976"/>
    <n v="3.1536960000000001"/>
    <n v="15.2"/>
  </r>
  <r>
    <n v="67466492"/>
    <x v="3"/>
    <n v="1077"/>
    <d v="2023-03-13T00:00:00"/>
    <x v="8"/>
    <x v="7"/>
    <n v="5.2680000000000001E-3"/>
    <n v="5.6736360000000001"/>
    <s v="PS"/>
    <x v="3"/>
    <x v="3"/>
    <s v="Q1"/>
    <n v="130"/>
    <n v="8.2846153846153854"/>
    <s v="PG"/>
    <n v="1"/>
    <n v="1077"/>
    <n v="5.6736360000000001"/>
    <n v="8.2846153846153854"/>
  </r>
  <r>
    <n v="67466492"/>
    <x v="3"/>
    <n v="0"/>
    <d v="2023-03-13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4569"/>
    <d v="2023-03-13T00:00:00"/>
    <x v="8"/>
    <x v="8"/>
    <n v="5.2680000000000001E-3"/>
    <n v="24.069492"/>
    <s v="PS"/>
    <x v="3"/>
    <x v="3"/>
    <s v="Q1"/>
    <n v="130"/>
    <n v="35.146153846153844"/>
    <s v="PG"/>
    <n v="1"/>
    <n v="4569"/>
    <n v="24.069492"/>
    <n v="35.146153846153844"/>
  </r>
  <r>
    <n v="67723726"/>
    <x v="3"/>
    <n v="12542"/>
    <d v="2023-03-13T00:00:00"/>
    <x v="109"/>
    <x v="23"/>
    <n v="8.5199999999999998E-3"/>
    <n v="106.85784"/>
    <s v="BR"/>
    <x v="3"/>
    <x v="6"/>
    <s v="Q1"/>
    <n v="154"/>
    <n v="81.441558441558442"/>
    <s v="48oz"/>
    <n v="1"/>
    <n v="12542"/>
    <n v="106.85784"/>
    <n v="81.441558441558442"/>
  </r>
  <r>
    <n v="67726327"/>
    <x v="2"/>
    <n v="0"/>
    <d v="2023-03-13T00:00:00"/>
    <x v="295"/>
    <x v="13"/>
    <n v="8.5199999999999998E-3"/>
    <n v="0"/>
    <s v="BR"/>
    <x v="3"/>
    <x v="2"/>
    <s v="Q1"/>
    <n v="154"/>
    <n v="0"/>
    <s v="48oz"/>
    <n v="1"/>
    <n v="0"/>
    <n v="0"/>
    <n v="0"/>
  </r>
  <r>
    <n v="67726327"/>
    <x v="2"/>
    <n v="0"/>
    <d v="2023-03-13T00:00:00"/>
    <x v="295"/>
    <x v="13"/>
    <n v="8.5199999999999998E-3"/>
    <n v="0"/>
    <s v="BR"/>
    <x v="3"/>
    <x v="2"/>
    <s v="Q1"/>
    <n v="154"/>
    <n v="0"/>
    <s v="48oz"/>
    <n v="1"/>
    <n v="0"/>
    <n v="0"/>
    <n v="0"/>
  </r>
  <r>
    <n v="67789313"/>
    <x v="5"/>
    <n v="0"/>
    <d v="2023-03-13T00:00:00"/>
    <x v="169"/>
    <x v="35"/>
    <n v="3.7853439999999999E-3"/>
    <n v="0"/>
    <s v="BJ"/>
    <x v="3"/>
    <x v="15"/>
    <s v="Q1"/>
    <n v="240"/>
    <n v="0"/>
    <s v="BJ PTS"/>
    <n v="1"/>
    <n v="0"/>
    <n v="0"/>
    <n v="0"/>
  </r>
  <r>
    <n v="67885718"/>
    <x v="3"/>
    <n v="2422"/>
    <d v="2023-03-13T00:00:00"/>
    <x v="48"/>
    <x v="12"/>
    <n v="8.5199999999999998E-3"/>
    <n v="20.635439999999999"/>
    <s v="BR"/>
    <x v="3"/>
    <x v="6"/>
    <s v="Q1"/>
    <n v="154"/>
    <n v="15.727272727272727"/>
    <s v="48oz"/>
    <n v="1"/>
    <n v="2422"/>
    <n v="20.635439999999999"/>
    <n v="15.727272727272727"/>
  </r>
  <r>
    <n v="67885721"/>
    <x v="2"/>
    <n v="12069"/>
    <d v="2023-03-13T00:00:00"/>
    <x v="40"/>
    <x v="32"/>
    <n v="8.5199999999999998E-3"/>
    <n v="102.82787999999999"/>
    <s v="BR"/>
    <x v="3"/>
    <x v="2"/>
    <s v="Q1"/>
    <n v="154"/>
    <n v="78.370129870129873"/>
    <s v="48oz"/>
    <n v="1"/>
    <n v="12069"/>
    <n v="102.82787999999999"/>
    <n v="78.370129870129873"/>
  </r>
  <r>
    <n v="67901583"/>
    <x v="3"/>
    <n v="10290"/>
    <d v="2023-03-13T00:00:00"/>
    <x v="50"/>
    <x v="11"/>
    <n v="8.5199999999999998E-3"/>
    <n v="87.6708"/>
    <s v="BR"/>
    <x v="3"/>
    <x v="6"/>
    <s v="Q1"/>
    <n v="154"/>
    <n v="66.818181818181813"/>
    <s v="48oz"/>
    <n v="1"/>
    <n v="10290"/>
    <n v="87.6708"/>
    <n v="66.818181818181813"/>
  </r>
  <r>
    <n v="67901593"/>
    <x v="2"/>
    <n v="0"/>
    <d v="2023-03-13T00:00:00"/>
    <x v="68"/>
    <x v="32"/>
    <n v="8.5199999999999998E-3"/>
    <n v="0"/>
    <s v="BR"/>
    <x v="3"/>
    <x v="2"/>
    <s v="Q1"/>
    <n v="154"/>
    <n v="0"/>
    <s v="48oz"/>
    <n v="1"/>
    <n v="0"/>
    <n v="0"/>
    <n v="0"/>
  </r>
  <r>
    <n v="68300738"/>
    <x v="3"/>
    <n v="3450"/>
    <d v="2023-03-13T00:00:00"/>
    <x v="120"/>
    <x v="19"/>
    <n v="8.4960000000000001E-3"/>
    <n v="29.311199999999999"/>
    <s v="KL"/>
    <x v="3"/>
    <x v="8"/>
    <s v="Q1"/>
    <n v="132"/>
    <n v="26.136363636363637"/>
    <s v="EDF"/>
    <n v="1"/>
    <n v="3450"/>
    <n v="29.311199999999999"/>
    <n v="26.136363636363637"/>
  </r>
  <r>
    <n v="68634169"/>
    <x v="3"/>
    <n v="13691"/>
    <d v="2023-03-13T00:00:00"/>
    <x v="149"/>
    <x v="16"/>
    <n v="8.5199999999999998E-3"/>
    <n v="116.64731999999999"/>
    <s v="BR"/>
    <x v="3"/>
    <x v="6"/>
    <s v="Q1"/>
    <n v="154"/>
    <n v="88.902597402597408"/>
    <s v="48oz"/>
    <n v="1"/>
    <n v="13691"/>
    <n v="116.64731999999999"/>
    <n v="88.902597402597408"/>
  </r>
  <r>
    <n v="68689251"/>
    <x v="3"/>
    <n v="6392"/>
    <d v="2023-03-13T00:00:00"/>
    <x v="17"/>
    <x v="17"/>
    <n v="9.5760000000000012E-3"/>
    <n v="61.209792000000007"/>
    <s v="KL"/>
    <x v="3"/>
    <x v="8"/>
    <s v="Q1"/>
    <n v="132"/>
    <n v="48.424242424242422"/>
    <s v="EDF"/>
    <n v="1"/>
    <n v="6392"/>
    <n v="61.209792000000007"/>
    <n v="48.424242424242422"/>
  </r>
  <r>
    <n v="68710285"/>
    <x v="3"/>
    <n v="6537"/>
    <d v="2023-03-13T00:00:00"/>
    <x v="74"/>
    <x v="20"/>
    <n v="8.5199999999999998E-3"/>
    <n v="55.695239999999998"/>
    <s v="KL"/>
    <x v="3"/>
    <x v="8"/>
    <s v="Q1"/>
    <n v="132"/>
    <n v="49.522727272727273"/>
    <s v="EDF"/>
    <n v="1"/>
    <n v="6537"/>
    <n v="55.695239999999998"/>
    <n v="49.522727272727273"/>
  </r>
  <r>
    <n v="68741742"/>
    <x v="3"/>
    <n v="0"/>
    <d v="2023-03-13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741742"/>
    <x v="2"/>
    <n v="3654"/>
    <d v="2023-03-13T00:00:00"/>
    <x v="25"/>
    <x v="25"/>
    <n v="4.2560000000000002E-3"/>
    <n v="15.551424000000001"/>
    <s v="GH"/>
    <x v="3"/>
    <x v="11"/>
    <s v="Q1"/>
    <n v="154"/>
    <n v="23.727272727272727"/>
    <s v="MBG"/>
    <n v="1"/>
    <n v="3654"/>
    <n v="15.551424000000001"/>
    <n v="23.727272727272727"/>
  </r>
  <r>
    <n v="68746232"/>
    <x v="2"/>
    <n v="264"/>
    <d v="2023-03-13T00:00:00"/>
    <x v="154"/>
    <x v="26"/>
    <n v="9.5879999999999993E-3"/>
    <n v="2.5312319999999997"/>
    <s v="KL"/>
    <x v="3"/>
    <x v="12"/>
    <s v="Q1"/>
    <n v="132"/>
    <n v="2"/>
    <s v="EDF"/>
    <n v="1"/>
    <n v="264"/>
    <n v="2.5312319999999997"/>
    <n v="2"/>
  </r>
  <r>
    <n v="68860010"/>
    <x v="7"/>
    <n v="240"/>
    <d v="2023-03-13T00:00:00"/>
    <x v="45"/>
    <x v="0"/>
    <n v="3.7853439999999999E-3"/>
    <n v="0.90848255999999994"/>
    <s v="BJ"/>
    <x v="3"/>
    <x v="18"/>
    <s v="Q1"/>
    <n v="240"/>
    <n v="1"/>
    <s v="BJ PTS"/>
    <n v="1"/>
    <n v="240"/>
    <n v="0.90848255999999994"/>
    <n v="1"/>
  </r>
  <r>
    <n v="68889813"/>
    <x v="2"/>
    <n v="4872"/>
    <d v="2023-03-13T00:00:00"/>
    <x v="297"/>
    <x v="18"/>
    <n v="2.8380000000000002E-3"/>
    <n v="13.826736"/>
    <s v="KL"/>
    <x v="3"/>
    <x v="9"/>
    <s v="Q1"/>
    <n v="264"/>
    <n v="18.454545454545453"/>
    <s v="ESS"/>
    <n v="1"/>
    <n v="4872"/>
    <n v="13.826736"/>
    <n v="18.454545454545453"/>
  </r>
  <r>
    <n v="68890246"/>
    <x v="3"/>
    <n v="1612"/>
    <d v="2023-03-13T00:00:00"/>
    <x v="250"/>
    <x v="12"/>
    <n v="5.1101999999999995E-2"/>
    <n v="82.376423999999986"/>
    <s v="BR"/>
    <x v="3"/>
    <x v="6"/>
    <s v="Q1"/>
    <n v="176"/>
    <n v="9.1590909090909083"/>
    <s v="48oz"/>
    <n v="1"/>
    <n v="1612"/>
    <n v="82.376423999999986"/>
    <n v="9.1590909090909083"/>
  </r>
  <r>
    <n v="68890246"/>
    <x v="3"/>
    <n v="0"/>
    <d v="2023-03-13T00:00:00"/>
    <x v="250"/>
    <x v="12"/>
    <n v="5.1101999999999995E-2"/>
    <n v="0"/>
    <s v="BR"/>
    <x v="3"/>
    <x v="6"/>
    <s v="Q1"/>
    <n v="176"/>
    <n v="0"/>
    <s v="48oz"/>
    <n v="1"/>
    <n v="0"/>
    <n v="0"/>
    <n v="0"/>
  </r>
  <r>
    <n v="68896056"/>
    <x v="2"/>
    <n v="10679"/>
    <d v="2023-03-13T00:00:00"/>
    <x v="116"/>
    <x v="2"/>
    <n v="8.5199999999999998E-3"/>
    <n v="90.985079999999996"/>
    <s v="BR"/>
    <x v="3"/>
    <x v="2"/>
    <s v="Q1"/>
    <n v="176"/>
    <n v="60.676136363636367"/>
    <s v="48oz"/>
    <n v="1"/>
    <n v="10679"/>
    <n v="90.985079999999996"/>
    <n v="60.676136363636367"/>
  </r>
  <r>
    <n v="68914406"/>
    <x v="2"/>
    <n v="9152"/>
    <d v="2023-03-13T00:00:00"/>
    <x v="78"/>
    <x v="27"/>
    <n v="2.124E-3"/>
    <n v="19.438848"/>
    <s v="KL"/>
    <x v="3"/>
    <x v="9"/>
    <s v="Q1"/>
    <n v="352"/>
    <n v="26"/>
    <s v="ESS"/>
    <n v="1"/>
    <n v="9152"/>
    <n v="19.438848"/>
    <n v="26"/>
  </r>
  <r>
    <n v="68917388"/>
    <x v="3"/>
    <n v="1660"/>
    <d v="2023-03-13T00:00:00"/>
    <x v="287"/>
    <x v="36"/>
    <n v="3.9119999999999997E-3"/>
    <n v="6.4939199999999992"/>
    <s v="KL"/>
    <x v="3"/>
    <x v="28"/>
    <s v="Q1"/>
    <n v="322"/>
    <n v="5.1552795031055902"/>
    <s v="EFW"/>
    <n v="1"/>
    <n v="1660"/>
    <n v="6.4939199999999992"/>
    <n v="5.1552795031055902"/>
  </r>
  <r>
    <n v="68917388"/>
    <x v="3"/>
    <n v="2525"/>
    <d v="2023-03-13T00:00:00"/>
    <x v="287"/>
    <x v="36"/>
    <n v="3.9119999999999997E-3"/>
    <n v="9.8777999999999988"/>
    <s v="KL"/>
    <x v="3"/>
    <x v="28"/>
    <s v="Q1"/>
    <n v="322"/>
    <n v="7.841614906832298"/>
    <s v="EFW"/>
    <n v="1"/>
    <n v="2525"/>
    <n v="9.8777999999999988"/>
    <n v="7.841614906832298"/>
  </r>
  <r>
    <n v="68922018"/>
    <x v="2"/>
    <n v="16551"/>
    <d v="2023-03-13T00:00:00"/>
    <x v="95"/>
    <x v="21"/>
    <n v="3.7839999999999996E-3"/>
    <n v="62.628983999999996"/>
    <s v="TA"/>
    <x v="3"/>
    <x v="10"/>
    <s v="Q1"/>
    <n v="255"/>
    <n v="64.905882352941177"/>
    <s v="TALENTI"/>
    <n v="1"/>
    <n v="16551"/>
    <n v="62.628983999999996"/>
    <n v="64.905882352941177"/>
  </r>
  <r>
    <n v="68922106"/>
    <x v="2"/>
    <n v="0"/>
    <d v="2023-03-13T00:00:00"/>
    <x v="104"/>
    <x v="22"/>
    <n v="3.552E-3"/>
    <n v="0"/>
    <s v="TA"/>
    <x v="3"/>
    <x v="10"/>
    <s v="Q1"/>
    <n v="255"/>
    <n v="0"/>
    <s v="TALENTI"/>
    <n v="1"/>
    <n v="0"/>
    <n v="0"/>
    <n v="0"/>
  </r>
  <r>
    <n v="69549034"/>
    <x v="2"/>
    <n v="6008"/>
    <d v="2023-03-13T00:00:00"/>
    <x v="296"/>
    <x v="22"/>
    <n v="3.5439999999999998E-3"/>
    <n v="21.292351999999998"/>
    <s v="TA"/>
    <x v="3"/>
    <x v="10"/>
    <s v="Q1"/>
    <n v="255"/>
    <n v="23.560784313725492"/>
    <s v="TALENTI"/>
    <n v="1"/>
    <n v="6008"/>
    <n v="21.292351999999998"/>
    <n v="23.560784313725492"/>
  </r>
  <r>
    <n v="68871168"/>
    <x v="1"/>
    <n v="1404"/>
    <d v="2023-03-13T00:00:00"/>
    <x v="57"/>
    <x v="0"/>
    <n v="6.0035555555555554E-3"/>
    <n v="8.4289919999999992"/>
    <s v="KL"/>
    <x v="3"/>
    <x v="1"/>
    <s v="Q1"/>
    <n v="108"/>
    <n v="13"/>
    <s v="KL Sandwiches"/>
    <n v="1"/>
    <n v="1404"/>
    <n v="8.4289919999999992"/>
    <n v="13"/>
  </r>
  <r>
    <n v="69555092"/>
    <x v="2"/>
    <n v="9503"/>
    <d v="2023-03-13T00:00:00"/>
    <x v="289"/>
    <x v="14"/>
    <n v="1.98E-3"/>
    <n v="18.815940000000001"/>
    <s v="TA"/>
    <x v="3"/>
    <x v="42"/>
    <s v="Q1"/>
    <n v="176"/>
    <n v="53.99431818181818"/>
    <s v="TAL NV"/>
    <n v="1"/>
    <n v="9503"/>
    <n v="18.815940000000001"/>
    <n v="53.99431818181818"/>
  </r>
  <r>
    <n v="69568829"/>
    <x v="2"/>
    <n v="0"/>
    <d v="2023-03-13T00:00:00"/>
    <x v="66"/>
    <x v="13"/>
    <n v="8.5199999999999998E-3"/>
    <n v="0"/>
    <s v="BR"/>
    <x v="3"/>
    <x v="2"/>
    <s v="Q1"/>
    <n v="176"/>
    <n v="0"/>
    <s v="48oz"/>
    <n v="1"/>
    <n v="0"/>
    <n v="0"/>
    <n v="0"/>
  </r>
  <r>
    <n v="69568829"/>
    <x v="2"/>
    <n v="0"/>
    <d v="2023-03-13T00:00:00"/>
    <x v="66"/>
    <x v="13"/>
    <n v="8.5199999999999998E-3"/>
    <n v="0"/>
    <s v="BR"/>
    <x v="3"/>
    <x v="2"/>
    <s v="Q1"/>
    <n v="176"/>
    <n v="0"/>
    <s v="48oz"/>
    <n v="1"/>
    <n v="0"/>
    <n v="0"/>
    <n v="0"/>
  </r>
  <r>
    <n v="69568964"/>
    <x v="2"/>
    <n v="9047"/>
    <d v="2023-03-13T00:00:00"/>
    <x v="134"/>
    <x v="13"/>
    <n v="8.5199999999999998E-3"/>
    <n v="77.080439999999996"/>
    <s v="BR"/>
    <x v="3"/>
    <x v="2"/>
    <s v="Q1"/>
    <n v="176"/>
    <n v="51.403409090909093"/>
    <s v="48oz"/>
    <n v="1"/>
    <n v="9047"/>
    <n v="77.080439999999996"/>
    <n v="51.403409090909093"/>
  </r>
  <r>
    <n v="69568965"/>
    <x v="2"/>
    <n v="0"/>
    <d v="2023-03-13T00:00:00"/>
    <x v="298"/>
    <x v="2"/>
    <n v="8.5199999999999998E-3"/>
    <n v="0"/>
    <s v="BR"/>
    <x v="3"/>
    <x v="2"/>
    <s v="Q1"/>
    <n v="176"/>
    <n v="0"/>
    <s v="48oz"/>
    <n v="1"/>
    <n v="0"/>
    <n v="0"/>
    <n v="0"/>
  </r>
  <r>
    <n v="69571484"/>
    <x v="2"/>
    <n v="17548"/>
    <d v="2023-03-13T00:00:00"/>
    <x v="230"/>
    <x v="5"/>
    <n v="1.2960000000000001E-2"/>
    <n v="227.42208000000002"/>
    <s v="MG"/>
    <x v="3"/>
    <x v="5"/>
    <s v="Q1"/>
    <n v="493"/>
    <n v="35.594320486815413"/>
    <s v="MG Sticks"/>
    <n v="1"/>
    <n v="17548"/>
    <n v="227.42208000000002"/>
    <n v="35.594320486815413"/>
  </r>
  <r>
    <n v="69621212"/>
    <x v="2"/>
    <n v="1686"/>
    <d v="2023-03-13T00:00:00"/>
    <x v="29"/>
    <x v="28"/>
    <n v="5.2680000000000001E-3"/>
    <n v="8.8818479999999997"/>
    <s v="PG"/>
    <x v="3"/>
    <x v="14"/>
    <s v="Q1"/>
    <n v="130"/>
    <n v="12.969230769230769"/>
    <s v="PG"/>
    <n v="1"/>
    <n v="1686"/>
    <n v="8.8818479999999997"/>
    <n v="12.969230769230769"/>
  </r>
  <r>
    <n v="69629477"/>
    <x v="1"/>
    <n v="1513"/>
    <d v="2023-03-13T00:00:00"/>
    <x v="61"/>
    <x v="0"/>
    <n v="5.3280000000000003E-3"/>
    <n v="8.0612639999999995"/>
    <s v="KL"/>
    <x v="3"/>
    <x v="26"/>
    <s v="Q1"/>
    <n v="108"/>
    <n v="14.00925925925926"/>
    <s v="KL Mini Cones"/>
    <n v="1"/>
    <n v="1513"/>
    <n v="8.0612639999999995"/>
    <n v="14.00925925925926"/>
  </r>
  <r>
    <n v="69671641"/>
    <x v="3"/>
    <n v="3717"/>
    <d v="2023-03-13T00:00:00"/>
    <x v="260"/>
    <x v="4"/>
    <n v="3.9039999999999999E-3"/>
    <n v="14.511168"/>
    <s v="GH"/>
    <x v="3"/>
    <x v="4"/>
    <s v="Q1"/>
    <n v="154"/>
    <n v="24.136363636363637"/>
    <s v="MBG"/>
    <n v="1"/>
    <n v="3717"/>
    <n v="14.511168"/>
    <n v="24.136363636363637"/>
  </r>
  <r>
    <n v="69677917"/>
    <x v="3"/>
    <n v="3574"/>
    <d v="2023-03-13T00:00:00"/>
    <x v="30"/>
    <x v="29"/>
    <n v="5.2680000000000001E-3"/>
    <n v="18.827832000000001"/>
    <s v="PS"/>
    <x v="3"/>
    <x v="3"/>
    <s v="Q1"/>
    <n v="108"/>
    <n v="33.092592592592595"/>
    <s v="PG"/>
    <n v="1"/>
    <n v="3574"/>
    <n v="18.827832000000001"/>
    <n v="33.092592592592595"/>
  </r>
  <r>
    <n v="69677917"/>
    <x v="2"/>
    <n v="5720"/>
    <d v="2023-03-13T00:00:00"/>
    <x v="30"/>
    <x v="30"/>
    <n v="5.2680000000000001E-3"/>
    <n v="30.132960000000001"/>
    <s v="PS"/>
    <x v="3"/>
    <x v="14"/>
    <s v="Q1"/>
    <n v="108"/>
    <n v="52.962962962962962"/>
    <s v="PG"/>
    <n v="1"/>
    <n v="5720"/>
    <n v="30.132960000000001"/>
    <n v="52.962962962962962"/>
  </r>
  <r>
    <n v="69684521"/>
    <x v="2"/>
    <n v="8546"/>
    <d v="2023-03-13T00:00:00"/>
    <x v="160"/>
    <x v="31"/>
    <n v="4.2585119798234554E-3"/>
    <n v="36.393243379571253"/>
    <s v="MG "/>
    <x v="3"/>
    <x v="5"/>
    <s v="Q1"/>
    <n v="143"/>
    <n v="59.76223776223776"/>
    <s v="MG Sticks"/>
    <n v="1"/>
    <n v="8546"/>
    <n v="36.393243379571253"/>
    <n v="59.76223776223776"/>
  </r>
  <r>
    <n v="69684524"/>
    <x v="2"/>
    <n v="0"/>
    <d v="2023-03-13T00:00:00"/>
    <x v="69"/>
    <x v="31"/>
    <n v="4.2560000000000002E-3"/>
    <n v="0"/>
    <s v="BR"/>
    <x v="3"/>
    <x v="5"/>
    <s v="Q1"/>
    <n v="143"/>
    <n v="0"/>
    <s v="MG Sticks"/>
    <n v="1"/>
    <n v="0"/>
    <n v="0"/>
    <n v="0"/>
  </r>
  <r>
    <n v="69700048"/>
    <x v="3"/>
    <n v="3004"/>
    <d v="2023-03-13T00:00:00"/>
    <x v="288"/>
    <x v="24"/>
    <n v="2.3469132803553457E-3"/>
    <n v="7.0501274941874588"/>
    <s v="GH"/>
    <x v="3"/>
    <x v="4"/>
    <s v="Q1"/>
    <n v="350"/>
    <n v="8.5828571428571436"/>
    <s v="MBG"/>
    <n v="1"/>
    <n v="3004"/>
    <n v="7.0501274941874588"/>
    <n v="8.5828571428571436"/>
  </r>
  <r>
    <n v="84141094"/>
    <x v="2"/>
    <n v="9174"/>
    <d v="2023-03-13T00:00:00"/>
    <x v="107"/>
    <x v="15"/>
    <n v="3.7853439999999999E-3"/>
    <n v="34.726745856000001"/>
    <s v="BJ"/>
    <x v="3"/>
    <x v="30"/>
    <s v="Q1"/>
    <n v="240"/>
    <n v="38.225000000000001"/>
    <s v="BJ PTS"/>
    <n v="1"/>
    <n v="9174"/>
    <n v="34.726745856000001"/>
    <n v="38.225000000000001"/>
  </r>
  <r>
    <n v="84141103"/>
    <x v="13"/>
    <n v="0"/>
    <d v="2023-03-13T00:00:00"/>
    <x v="294"/>
    <x v="38"/>
    <n v="3.7853439999999999E-3"/>
    <n v="0"/>
    <s v="BJ"/>
    <x v="3"/>
    <x v="36"/>
    <s v="Q1"/>
    <n v="240"/>
    <n v="0"/>
    <s v="BJ PTS"/>
    <n v="1"/>
    <n v="0"/>
    <n v="0"/>
    <n v="0"/>
  </r>
  <r>
    <n v="84164937"/>
    <x v="5"/>
    <n v="33413"/>
    <d v="2023-03-13T00:00:00"/>
    <x v="234"/>
    <x v="38"/>
    <n v="3.7853439999999999E-3"/>
    <n v="126.479699072"/>
    <s v="BJ"/>
    <x v="3"/>
    <x v="15"/>
    <s v="Q1"/>
    <n v="240"/>
    <n v="139.22083333333333"/>
    <s v="BJ PTS"/>
    <n v="1"/>
    <n v="33413"/>
    <n v="126.479699072"/>
    <n v="139.22083333333333"/>
  </r>
  <r>
    <n v="67465063"/>
    <x v="3"/>
    <n v="1572"/>
    <d v="2023-03-14T00:00:00"/>
    <x v="3"/>
    <x v="40"/>
    <n v="5.2680000000000001E-3"/>
    <n v="8.2812959999999993"/>
    <s v="PS"/>
    <x v="3"/>
    <x v="3"/>
    <s v="Q1"/>
    <n v="130"/>
    <n v="12.092307692307692"/>
    <s v="PG"/>
    <n v="1"/>
    <n v="1572"/>
    <n v="8.2812959999999993"/>
    <n v="12.092307692307692"/>
  </r>
  <r>
    <n v="67465063"/>
    <x v="3"/>
    <n v="3456"/>
    <d v="2023-03-14T00:00:00"/>
    <x v="3"/>
    <x v="6"/>
    <n v="5.2680000000000001E-3"/>
    <n v="18.206208"/>
    <s v="PS"/>
    <x v="3"/>
    <x v="3"/>
    <s v="Q1"/>
    <n v="130"/>
    <n v="26.584615384615386"/>
    <s v="PG"/>
    <n v="1"/>
    <n v="3456"/>
    <n v="18.206208"/>
    <n v="26.584615384615386"/>
  </r>
  <r>
    <n v="67465063"/>
    <x v="3"/>
    <n v="1185"/>
    <d v="2023-03-14T00:00:00"/>
    <x v="3"/>
    <x v="10"/>
    <n v="5.2680000000000001E-3"/>
    <n v="6.2425800000000002"/>
    <s v="PS"/>
    <x v="3"/>
    <x v="3"/>
    <s v="Q1"/>
    <n v="130"/>
    <n v="9.115384615384615"/>
    <s v="PG"/>
    <n v="1"/>
    <n v="1185"/>
    <n v="6.2425800000000002"/>
    <n v="9.115384615384615"/>
  </r>
  <r>
    <n v="67465064"/>
    <x v="3"/>
    <n v="2012"/>
    <d v="2023-03-14T00:00:00"/>
    <x v="7"/>
    <x v="3"/>
    <n v="1.596E-3"/>
    <n v="3.2111519999999998"/>
    <s v="PS"/>
    <x v="3"/>
    <x v="3"/>
    <s v="Q1"/>
    <n v="130"/>
    <n v="15.476923076923077"/>
    <s v="PG"/>
    <n v="1"/>
    <n v="2012"/>
    <n v="3.2111519999999998"/>
    <n v="15.476923076923077"/>
  </r>
  <r>
    <n v="67466492"/>
    <x v="3"/>
    <n v="1463"/>
    <d v="2023-03-14T00:00:00"/>
    <x v="8"/>
    <x v="7"/>
    <n v="5.2680000000000001E-3"/>
    <n v="7.707084"/>
    <s v="PS"/>
    <x v="3"/>
    <x v="3"/>
    <s v="Q1"/>
    <n v="130"/>
    <n v="11.253846153846155"/>
    <s v="PG"/>
    <n v="1"/>
    <n v="1463"/>
    <n v="7.707084"/>
    <n v="11.253846153846155"/>
  </r>
  <r>
    <n v="67466492"/>
    <x v="3"/>
    <n v="0"/>
    <d v="2023-03-14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3368"/>
    <d v="2023-03-14T00:00:00"/>
    <x v="8"/>
    <x v="8"/>
    <n v="5.2680000000000001E-3"/>
    <n v="17.742623999999999"/>
    <s v="PS"/>
    <x v="3"/>
    <x v="3"/>
    <s v="Q1"/>
    <n v="130"/>
    <n v="25.907692307692308"/>
    <s v="PG"/>
    <n v="1"/>
    <n v="3368"/>
    <n v="17.742623999999999"/>
    <n v="25.907692307692308"/>
  </r>
  <r>
    <n v="67466492"/>
    <x v="3"/>
    <n v="0"/>
    <d v="2023-03-14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723726"/>
    <x v="3"/>
    <n v="12599"/>
    <d v="2023-03-14T00:00:00"/>
    <x v="109"/>
    <x v="23"/>
    <n v="8.5199999999999998E-3"/>
    <n v="107.34348"/>
    <s v="BR"/>
    <x v="3"/>
    <x v="6"/>
    <s v="Q1"/>
    <n v="154"/>
    <n v="81.811688311688314"/>
    <s v="48oz"/>
    <n v="1"/>
    <n v="12599"/>
    <n v="107.34348"/>
    <n v="81.811688311688314"/>
  </r>
  <r>
    <n v="67726327"/>
    <x v="2"/>
    <n v="6230"/>
    <d v="2023-03-14T00:00:00"/>
    <x v="295"/>
    <x v="13"/>
    <n v="8.5199999999999998E-3"/>
    <n v="53.079599999999999"/>
    <s v="BR"/>
    <x v="3"/>
    <x v="2"/>
    <s v="Q1"/>
    <n v="154"/>
    <n v="40.454545454545453"/>
    <s v="48oz"/>
    <n v="1"/>
    <n v="6230"/>
    <n v="53.079599999999999"/>
    <n v="40.454545454545453"/>
  </r>
  <r>
    <n v="67885719"/>
    <x v="2"/>
    <n v="0"/>
    <d v="2023-03-14T00:00:00"/>
    <x v="11"/>
    <x v="13"/>
    <n v="8.5199999999999998E-3"/>
    <n v="0"/>
    <s v="BR"/>
    <x v="3"/>
    <x v="2"/>
    <s v="Q1"/>
    <n v="154"/>
    <n v="0"/>
    <s v="48oz"/>
    <n v="1"/>
    <n v="0"/>
    <n v="0"/>
    <n v="0"/>
  </r>
  <r>
    <n v="67885721"/>
    <x v="2"/>
    <n v="14173"/>
    <d v="2023-03-14T00:00:00"/>
    <x v="40"/>
    <x v="32"/>
    <n v="8.5199999999999998E-3"/>
    <n v="120.75395999999999"/>
    <s v="BR"/>
    <x v="3"/>
    <x v="2"/>
    <s v="Q1"/>
    <n v="154"/>
    <n v="92.032467532467535"/>
    <s v="48oz"/>
    <n v="1"/>
    <n v="14173"/>
    <n v="120.75395999999999"/>
    <n v="92.032467532467535"/>
  </r>
  <r>
    <n v="67901583"/>
    <x v="3"/>
    <n v="11479"/>
    <d v="2023-03-14T00:00:00"/>
    <x v="50"/>
    <x v="11"/>
    <n v="8.5199999999999998E-3"/>
    <n v="97.801079999999999"/>
    <s v="BR"/>
    <x v="3"/>
    <x v="6"/>
    <s v="Q1"/>
    <n v="154"/>
    <n v="74.538961038961034"/>
    <s v="48oz"/>
    <n v="1"/>
    <n v="11479"/>
    <n v="97.801079999999999"/>
    <n v="74.538961038961034"/>
  </r>
  <r>
    <n v="68300738"/>
    <x v="3"/>
    <n v="3564"/>
    <d v="2023-03-14T00:00:00"/>
    <x v="120"/>
    <x v="19"/>
    <n v="8.4960000000000001E-3"/>
    <n v="30.279744000000001"/>
    <s v="KL"/>
    <x v="3"/>
    <x v="8"/>
    <s v="Q1"/>
    <n v="132"/>
    <n v="27"/>
    <s v="EDF"/>
    <n v="1"/>
    <n v="3564"/>
    <n v="30.279744000000001"/>
    <n v="27"/>
  </r>
  <r>
    <n v="68454512"/>
    <x v="5"/>
    <n v="15759"/>
    <d v="2023-03-14T00:00:00"/>
    <x v="299"/>
    <x v="35"/>
    <n v="3.8999999999999998E-3"/>
    <n v="61.460099999999997"/>
    <s v="BJ"/>
    <x v="3"/>
    <x v="25"/>
    <s v="Q1"/>
    <n v="510"/>
    <n v="30.9"/>
    <s v="B&amp;J Dog Treat"/>
    <n v="1"/>
    <n v="15759"/>
    <n v="61.460099999999997"/>
    <n v="30.9"/>
  </r>
  <r>
    <n v="68634169"/>
    <x v="3"/>
    <n v="7482"/>
    <d v="2023-03-14T00:00:00"/>
    <x v="149"/>
    <x v="16"/>
    <n v="8.5199999999999998E-3"/>
    <n v="63.746639999999999"/>
    <s v="BR"/>
    <x v="3"/>
    <x v="6"/>
    <s v="Q1"/>
    <n v="154"/>
    <n v="48.584415584415588"/>
    <s v="48oz"/>
    <n v="1"/>
    <n v="7482"/>
    <n v="63.746639999999999"/>
    <n v="48.584415584415588"/>
  </r>
  <r>
    <n v="68689251"/>
    <x v="3"/>
    <n v="5864"/>
    <d v="2023-03-14T00:00:00"/>
    <x v="17"/>
    <x v="17"/>
    <n v="9.5760000000000012E-3"/>
    <n v="56.153664000000006"/>
    <s v="KL"/>
    <x v="3"/>
    <x v="8"/>
    <s v="Q1"/>
    <n v="132"/>
    <n v="44.424242424242422"/>
    <s v="EDF"/>
    <n v="1"/>
    <n v="5864"/>
    <n v="56.153664000000006"/>
    <n v="44.424242424242422"/>
  </r>
  <r>
    <n v="68710285"/>
    <x v="3"/>
    <n v="2630"/>
    <d v="2023-03-14T00:00:00"/>
    <x v="74"/>
    <x v="20"/>
    <n v="8.5199999999999998E-3"/>
    <n v="22.407599999999999"/>
    <s v="KL"/>
    <x v="3"/>
    <x v="8"/>
    <s v="Q1"/>
    <n v="132"/>
    <n v="19.924242424242426"/>
    <s v="EDF"/>
    <n v="1"/>
    <n v="2630"/>
    <n v="22.407599999999999"/>
    <n v="19.924242424242426"/>
  </r>
  <r>
    <n v="68741742"/>
    <x v="3"/>
    <n v="0"/>
    <d v="2023-03-14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741742"/>
    <x v="2"/>
    <n v="4158"/>
    <d v="2023-03-14T00:00:00"/>
    <x v="25"/>
    <x v="25"/>
    <n v="4.2560000000000002E-3"/>
    <n v="17.696448"/>
    <s v="GH"/>
    <x v="3"/>
    <x v="11"/>
    <s v="Q1"/>
    <n v="154"/>
    <n v="27"/>
    <s v="MBG"/>
    <n v="1"/>
    <n v="4158"/>
    <n v="17.696448"/>
    <n v="27"/>
  </r>
  <r>
    <n v="68746232"/>
    <x v="2"/>
    <n v="2233"/>
    <d v="2023-03-14T00:00:00"/>
    <x v="154"/>
    <x v="26"/>
    <n v="9.5879999999999993E-3"/>
    <n v="21.410003999999997"/>
    <s v="KL"/>
    <x v="3"/>
    <x v="12"/>
    <s v="Q1"/>
    <n v="132"/>
    <n v="16.916666666666668"/>
    <s v="EDF"/>
    <n v="1"/>
    <n v="2233"/>
    <n v="21.410003999999997"/>
    <n v="16.916666666666668"/>
  </r>
  <r>
    <n v="68889813"/>
    <x v="2"/>
    <n v="4560"/>
    <d v="2023-03-14T00:00:00"/>
    <x v="297"/>
    <x v="18"/>
    <n v="2.8380000000000002E-3"/>
    <n v="12.941280000000001"/>
    <s v="KL"/>
    <x v="3"/>
    <x v="9"/>
    <s v="Q1"/>
    <n v="264"/>
    <n v="17.272727272727273"/>
    <s v="ESS"/>
    <n v="1"/>
    <n v="4560"/>
    <n v="12.941280000000001"/>
    <n v="17.272727272727273"/>
  </r>
  <r>
    <n v="68890246"/>
    <x v="3"/>
    <n v="11404"/>
    <d v="2023-03-14T00:00:00"/>
    <x v="250"/>
    <x v="12"/>
    <n v="5.1101999999999995E-2"/>
    <n v="582.76720799999998"/>
    <s v="BR"/>
    <x v="3"/>
    <x v="6"/>
    <s v="Q1"/>
    <n v="176"/>
    <n v="64.795454545454547"/>
    <s v="48oz"/>
    <n v="1"/>
    <n v="11404"/>
    <n v="582.76720799999998"/>
    <n v="64.795454545454547"/>
  </r>
  <r>
    <n v="68896056"/>
    <x v="2"/>
    <n v="229"/>
    <d v="2023-03-14T00:00:00"/>
    <x v="116"/>
    <x v="2"/>
    <n v="8.5199999999999998E-3"/>
    <n v="1.9510799999999999"/>
    <s v="BR"/>
    <x v="3"/>
    <x v="2"/>
    <s v="Q1"/>
    <n v="176"/>
    <n v="1.3011363636363635"/>
    <s v="48oz"/>
    <n v="1"/>
    <n v="229"/>
    <n v="1.9510799999999999"/>
    <n v="1.3011363636363635"/>
  </r>
  <r>
    <n v="68914406"/>
    <x v="2"/>
    <n v="7521"/>
    <d v="2023-03-14T00:00:00"/>
    <x v="78"/>
    <x v="27"/>
    <n v="2.124E-3"/>
    <n v="15.974603999999999"/>
    <s v="KL"/>
    <x v="3"/>
    <x v="9"/>
    <s v="Q1"/>
    <n v="352"/>
    <n v="21.366477272727273"/>
    <s v="ESS"/>
    <n v="1"/>
    <n v="7521"/>
    <n v="15.974603999999999"/>
    <n v="21.366477272727273"/>
  </r>
  <r>
    <n v="68917388"/>
    <x v="3"/>
    <n v="6458"/>
    <d v="2023-03-14T00:00:00"/>
    <x v="287"/>
    <x v="36"/>
    <n v="3.9119999999999997E-3"/>
    <n v="25.263695999999999"/>
    <s v="KL"/>
    <x v="3"/>
    <x v="28"/>
    <s v="Q1"/>
    <n v="322"/>
    <n v="20.055900621118013"/>
    <s v="EFW"/>
    <n v="1"/>
    <n v="6458"/>
    <n v="25.263695999999999"/>
    <n v="20.055900621118013"/>
  </r>
  <r>
    <n v="68922018"/>
    <x v="2"/>
    <n v="10678"/>
    <d v="2023-03-14T00:00:00"/>
    <x v="95"/>
    <x v="21"/>
    <n v="3.7839999999999996E-3"/>
    <n v="40.405551999999993"/>
    <s v="TA"/>
    <x v="3"/>
    <x v="10"/>
    <s v="Q1"/>
    <n v="255"/>
    <n v="41.874509803921569"/>
    <s v="TALENTI"/>
    <n v="1"/>
    <n v="10678"/>
    <n v="40.405551999999993"/>
    <n v="41.874509803921569"/>
  </r>
  <r>
    <n v="68922106"/>
    <x v="2"/>
    <n v="0"/>
    <d v="2023-03-14T00:00:00"/>
    <x v="104"/>
    <x v="22"/>
    <n v="3.552E-3"/>
    <n v="0"/>
    <s v="TA"/>
    <x v="3"/>
    <x v="10"/>
    <s v="Q1"/>
    <n v="255"/>
    <n v="0"/>
    <s v="TALENTI"/>
    <n v="1"/>
    <n v="0"/>
    <n v="0"/>
    <n v="0"/>
  </r>
  <r>
    <n v="69549034"/>
    <x v="2"/>
    <n v="5670"/>
    <d v="2023-03-14T00:00:00"/>
    <x v="296"/>
    <x v="22"/>
    <n v="3.5439999999999998E-3"/>
    <n v="20.094480000000001"/>
    <s v="TA"/>
    <x v="3"/>
    <x v="10"/>
    <s v="Q1"/>
    <n v="255"/>
    <n v="22.235294117647058"/>
    <s v="TALENTI"/>
    <n v="1"/>
    <n v="5670"/>
    <n v="20.094480000000001"/>
    <n v="22.235294117647058"/>
  </r>
  <r>
    <n v="69555092"/>
    <x v="2"/>
    <n v="10515"/>
    <d v="2023-03-14T00:00:00"/>
    <x v="289"/>
    <x v="14"/>
    <n v="1.98E-3"/>
    <n v="20.819700000000001"/>
    <s v="TA"/>
    <x v="3"/>
    <x v="42"/>
    <s v="Q1"/>
    <n v="176"/>
    <n v="59.74431818181818"/>
    <s v="TAL NV"/>
    <n v="1"/>
    <n v="10515"/>
    <n v="20.819700000000001"/>
    <n v="59.74431818181818"/>
  </r>
  <r>
    <n v="69568829"/>
    <x v="2"/>
    <n v="0"/>
    <d v="2023-03-14T00:00:00"/>
    <x v="66"/>
    <x v="13"/>
    <n v="8.5199999999999998E-3"/>
    <n v="0"/>
    <s v="BR"/>
    <x v="3"/>
    <x v="2"/>
    <s v="Q1"/>
    <n v="176"/>
    <n v="0"/>
    <s v="48oz"/>
    <n v="1"/>
    <n v="0"/>
    <n v="0"/>
    <n v="0"/>
  </r>
  <r>
    <n v="69568964"/>
    <x v="2"/>
    <n v="897"/>
    <d v="2023-03-14T00:00:00"/>
    <x v="134"/>
    <x v="13"/>
    <n v="8.5199999999999998E-3"/>
    <n v="7.6424399999999997"/>
    <s v="BR"/>
    <x v="3"/>
    <x v="2"/>
    <s v="Q1"/>
    <n v="176"/>
    <n v="5.0965909090909092"/>
    <s v="48oz"/>
    <n v="1"/>
    <n v="897"/>
    <n v="7.6424399999999997"/>
    <n v="5.0965909090909092"/>
  </r>
  <r>
    <n v="69568965"/>
    <x v="2"/>
    <n v="9452"/>
    <d v="2023-03-14T00:00:00"/>
    <x v="298"/>
    <x v="2"/>
    <n v="8.5199999999999998E-3"/>
    <n v="80.531040000000004"/>
    <s v="BR"/>
    <x v="3"/>
    <x v="2"/>
    <s v="Q1"/>
    <n v="176"/>
    <n v="53.704545454545453"/>
    <s v="48oz"/>
    <n v="1"/>
    <n v="9452"/>
    <n v="80.531040000000004"/>
    <n v="53.704545454545453"/>
  </r>
  <r>
    <n v="69571484"/>
    <x v="2"/>
    <n v="20207"/>
    <d v="2023-03-14T00:00:00"/>
    <x v="230"/>
    <x v="5"/>
    <n v="1.2960000000000001E-2"/>
    <n v="261.88272000000001"/>
    <s v="MG"/>
    <x v="3"/>
    <x v="5"/>
    <s v="Q1"/>
    <n v="493"/>
    <n v="40.987829614604465"/>
    <s v="MG Sticks"/>
    <n v="1"/>
    <n v="20207"/>
    <n v="261.88272000000001"/>
    <n v="40.987829614604465"/>
  </r>
  <r>
    <n v="69572659"/>
    <x v="2"/>
    <n v="0"/>
    <d v="2023-03-14T00:00:00"/>
    <x v="5"/>
    <x v="5"/>
    <n v="2.1520000000000003E-3"/>
    <n v="0"/>
    <s v="MG"/>
    <x v="3"/>
    <x v="5"/>
    <s v="Q1"/>
    <n v="210"/>
    <n v="0"/>
    <s v="MG Sticks"/>
    <n v="1"/>
    <n v="0"/>
    <n v="0"/>
    <n v="0"/>
  </r>
  <r>
    <n v="69572659"/>
    <x v="2"/>
    <n v="0"/>
    <d v="2023-03-14T00:00:00"/>
    <x v="5"/>
    <x v="5"/>
    <n v="2.1520000000000003E-3"/>
    <n v="0"/>
    <s v="MG"/>
    <x v="3"/>
    <x v="5"/>
    <s v="Q1"/>
    <n v="210"/>
    <n v="0"/>
    <s v="MG Sticks"/>
    <n v="1"/>
    <n v="0"/>
    <n v="0"/>
    <n v="0"/>
  </r>
  <r>
    <n v="69621212"/>
    <x v="2"/>
    <n v="2505"/>
    <d v="2023-03-14T00:00:00"/>
    <x v="29"/>
    <x v="28"/>
    <n v="5.2680000000000001E-3"/>
    <n v="13.196340000000001"/>
    <s v="PG"/>
    <x v="3"/>
    <x v="14"/>
    <s v="Q1"/>
    <n v="130"/>
    <n v="19.26923076923077"/>
    <s v="PG"/>
    <n v="1"/>
    <n v="2505"/>
    <n v="13.196340000000001"/>
    <n v="19.26923076923077"/>
  </r>
  <r>
    <n v="69671641"/>
    <x v="3"/>
    <n v="2176"/>
    <d v="2023-03-14T00:00:00"/>
    <x v="260"/>
    <x v="4"/>
    <n v="3.9039999999999999E-3"/>
    <n v="8.4951039999999995"/>
    <s v="GH"/>
    <x v="3"/>
    <x v="4"/>
    <s v="Q1"/>
    <n v="154"/>
    <n v="14.129870129870129"/>
    <s v="MBG"/>
    <n v="1"/>
    <n v="2176"/>
    <n v="8.4951039999999995"/>
    <n v="14.129870129870129"/>
  </r>
  <r>
    <n v="69677917"/>
    <x v="3"/>
    <n v="3604"/>
    <d v="2023-03-14T00:00:00"/>
    <x v="30"/>
    <x v="29"/>
    <n v="5.2680000000000001E-3"/>
    <n v="18.985872000000001"/>
    <s v="PS"/>
    <x v="3"/>
    <x v="3"/>
    <s v="Q1"/>
    <n v="108"/>
    <n v="33.370370370370374"/>
    <s v="PG"/>
    <n v="1"/>
    <n v="3604"/>
    <n v="18.985872000000001"/>
    <n v="33.370370370370374"/>
  </r>
  <r>
    <n v="69677917"/>
    <x v="2"/>
    <n v="3032"/>
    <d v="2023-03-14T00:00:00"/>
    <x v="30"/>
    <x v="30"/>
    <n v="5.2680000000000001E-3"/>
    <n v="15.972576"/>
    <s v="PS"/>
    <x v="3"/>
    <x v="14"/>
    <s v="Q1"/>
    <n v="108"/>
    <n v="28.074074074074073"/>
    <s v="PG"/>
    <n v="1"/>
    <n v="3032"/>
    <n v="15.972576"/>
    <n v="28.074074074074073"/>
  </r>
  <r>
    <n v="69684521"/>
    <x v="2"/>
    <n v="5747"/>
    <d v="2023-03-14T00:00:00"/>
    <x v="160"/>
    <x v="31"/>
    <n v="4.2585119798234554E-3"/>
    <n v="24.473668348045397"/>
    <s v="MG "/>
    <x v="3"/>
    <x v="5"/>
    <s v="Q1"/>
    <n v="143"/>
    <n v="40.188811188811187"/>
    <s v="MG Sticks"/>
    <n v="1"/>
    <n v="5747"/>
    <n v="24.473668348045397"/>
    <n v="40.188811188811187"/>
  </r>
  <r>
    <n v="69684524"/>
    <x v="2"/>
    <n v="0"/>
    <d v="2023-03-14T00:00:00"/>
    <x v="69"/>
    <x v="31"/>
    <n v="4.2560000000000002E-3"/>
    <n v="0"/>
    <s v="BR"/>
    <x v="3"/>
    <x v="5"/>
    <s v="Q1"/>
    <n v="143"/>
    <n v="0"/>
    <s v="MG Sticks"/>
    <n v="1"/>
    <n v="0"/>
    <n v="0"/>
    <n v="0"/>
  </r>
  <r>
    <n v="69700048"/>
    <x v="3"/>
    <n v="5385"/>
    <d v="2023-03-14T00:00:00"/>
    <x v="288"/>
    <x v="24"/>
    <n v="2.3469132803553457E-3"/>
    <n v="12.638128014713537"/>
    <s v="GH"/>
    <x v="3"/>
    <x v="4"/>
    <s v="Q1"/>
    <n v="350"/>
    <n v="15.385714285714286"/>
    <s v="MBG"/>
    <n v="1"/>
    <n v="5385"/>
    <n v="12.638128014713537"/>
    <n v="15.385714285714286"/>
  </r>
  <r>
    <n v="84141094"/>
    <x v="2"/>
    <n v="24324"/>
    <d v="2023-03-14T00:00:00"/>
    <x v="107"/>
    <x v="15"/>
    <n v="3.7853439999999999E-3"/>
    <n v="92.074707455999999"/>
    <s v="BJ"/>
    <x v="3"/>
    <x v="30"/>
    <s v="Q1"/>
    <n v="240"/>
    <n v="101.35"/>
    <s v="BJ PTS"/>
    <n v="1"/>
    <n v="24324"/>
    <n v="92.074707455999999"/>
    <n v="101.35"/>
  </r>
  <r>
    <n v="67465063"/>
    <x v="3"/>
    <n v="1735"/>
    <d v="2023-03-15T00:00:00"/>
    <x v="3"/>
    <x v="40"/>
    <n v="5.2680000000000001E-3"/>
    <n v="9.1399799999999995"/>
    <s v="PS"/>
    <x v="3"/>
    <x v="3"/>
    <s v="Q1"/>
    <n v="130"/>
    <n v="13.346153846153847"/>
    <s v="PG"/>
    <n v="1"/>
    <n v="1735"/>
    <n v="9.1399799999999995"/>
    <n v="13.346153846153847"/>
  </r>
  <r>
    <n v="67465063"/>
    <x v="3"/>
    <n v="1928"/>
    <d v="2023-03-15T00:00:00"/>
    <x v="3"/>
    <x v="6"/>
    <n v="5.2680000000000001E-3"/>
    <n v="10.156704"/>
    <s v="PS"/>
    <x v="3"/>
    <x v="3"/>
    <s v="Q1"/>
    <n v="130"/>
    <n v="14.830769230769231"/>
    <s v="PG"/>
    <n v="1"/>
    <n v="1928"/>
    <n v="10.156704"/>
    <n v="14.830769230769231"/>
  </r>
  <r>
    <n v="67465063"/>
    <x v="3"/>
    <n v="3816"/>
    <d v="2023-03-15T00:00:00"/>
    <x v="3"/>
    <x v="10"/>
    <n v="5.2680000000000001E-3"/>
    <n v="20.102688000000001"/>
    <s v="PS"/>
    <x v="3"/>
    <x v="3"/>
    <s v="Q1"/>
    <n v="130"/>
    <n v="29.353846153846153"/>
    <s v="PG"/>
    <n v="1"/>
    <n v="3816"/>
    <n v="20.102688000000001"/>
    <n v="29.353846153846153"/>
  </r>
  <r>
    <n v="67465064"/>
    <x v="3"/>
    <n v="2883"/>
    <d v="2023-03-15T00:00:00"/>
    <x v="7"/>
    <x v="3"/>
    <n v="1.596E-3"/>
    <n v="4.6012680000000001"/>
    <s v="PS"/>
    <x v="3"/>
    <x v="3"/>
    <s v="Q1"/>
    <n v="130"/>
    <n v="22.176923076923078"/>
    <s v="PG"/>
    <n v="1"/>
    <n v="2883"/>
    <n v="4.6012680000000001"/>
    <n v="22.176923076923078"/>
  </r>
  <r>
    <n v="67466492"/>
    <x v="3"/>
    <n v="4136"/>
    <d v="2023-03-15T00:00:00"/>
    <x v="8"/>
    <x v="7"/>
    <n v="5.2680000000000001E-3"/>
    <n v="21.788447999999999"/>
    <s v="PS"/>
    <x v="3"/>
    <x v="3"/>
    <s v="Q1"/>
    <n v="130"/>
    <n v="31.815384615384616"/>
    <s v="PG"/>
    <n v="1"/>
    <n v="4136"/>
    <n v="21.788447999999999"/>
    <n v="31.815384615384616"/>
  </r>
  <r>
    <n v="67466492"/>
    <x v="3"/>
    <n v="0"/>
    <d v="2023-03-15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639"/>
    <d v="2023-03-15T00:00:00"/>
    <x v="8"/>
    <x v="8"/>
    <n v="5.2680000000000001E-3"/>
    <n v="3.3662520000000002"/>
    <s v="PS"/>
    <x v="3"/>
    <x v="3"/>
    <s v="Q1"/>
    <n v="130"/>
    <n v="4.9153846153846157"/>
    <s v="PG"/>
    <n v="1"/>
    <n v="639"/>
    <n v="3.3662520000000002"/>
    <n v="4.9153846153846157"/>
  </r>
  <r>
    <n v="67466492"/>
    <x v="3"/>
    <n v="0"/>
    <d v="2023-03-15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15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723726"/>
    <x v="3"/>
    <n v="8420"/>
    <d v="2023-03-15T00:00:00"/>
    <x v="109"/>
    <x v="23"/>
    <n v="8.5199999999999998E-3"/>
    <n v="71.738399999999999"/>
    <s v="BR"/>
    <x v="3"/>
    <x v="6"/>
    <s v="Q1"/>
    <n v="154"/>
    <n v="54.675324675324674"/>
    <s v="48oz"/>
    <n v="1"/>
    <n v="8420"/>
    <n v="71.738399999999999"/>
    <n v="54.675324675324674"/>
  </r>
  <r>
    <n v="67726327"/>
    <x v="2"/>
    <n v="11879"/>
    <d v="2023-03-15T00:00:00"/>
    <x v="295"/>
    <x v="13"/>
    <n v="8.5199999999999998E-3"/>
    <n v="101.20908"/>
    <s v="BR"/>
    <x v="3"/>
    <x v="2"/>
    <s v="Q1"/>
    <n v="154"/>
    <n v="77.13636363636364"/>
    <s v="48oz"/>
    <n v="1"/>
    <n v="11879"/>
    <n v="101.20908"/>
    <n v="77.13636363636364"/>
  </r>
  <r>
    <n v="67789313"/>
    <x v="5"/>
    <n v="30427"/>
    <d v="2023-03-15T00:00:00"/>
    <x v="169"/>
    <x v="35"/>
    <n v="3.7853439999999999E-3"/>
    <n v="115.176661888"/>
    <s v="BJ"/>
    <x v="3"/>
    <x v="15"/>
    <s v="Q1"/>
    <n v="240"/>
    <n v="126.77916666666667"/>
    <s v="BJ PTS"/>
    <n v="1"/>
    <n v="30427"/>
    <n v="115.176661888"/>
    <n v="126.77916666666667"/>
  </r>
  <r>
    <n v="67881629"/>
    <x v="5"/>
    <n v="12720"/>
    <d v="2023-03-15T00:00:00"/>
    <x v="65"/>
    <x v="33"/>
    <n v="3.7853439999999999E-3"/>
    <n v="48.149575679999998"/>
    <s v="BJ"/>
    <x v="3"/>
    <x v="15"/>
    <s v="Q1"/>
    <n v="240"/>
    <n v="53"/>
    <s v="BJ PTS"/>
    <n v="1"/>
    <n v="12720"/>
    <n v="48.149575679999998"/>
    <n v="53"/>
  </r>
  <r>
    <n v="67881629"/>
    <x v="5"/>
    <n v="59270"/>
    <d v="2023-03-15T00:00:00"/>
    <x v="65"/>
    <x v="33"/>
    <n v="3.7853439999999999E-3"/>
    <n v="224.35733887999999"/>
    <s v="BJ"/>
    <x v="3"/>
    <x v="15"/>
    <s v="Q1"/>
    <n v="240"/>
    <n v="246.95833333333334"/>
    <s v="BJ PTS"/>
    <n v="1"/>
    <n v="59270"/>
    <n v="224.35733887999999"/>
    <n v="246.95833333333334"/>
  </r>
  <r>
    <n v="67885719"/>
    <x v="2"/>
    <n v="0"/>
    <d v="2023-03-15T00:00:00"/>
    <x v="11"/>
    <x v="32"/>
    <n v="8.5199999999999998E-3"/>
    <n v="0"/>
    <s v="BR"/>
    <x v="3"/>
    <x v="2"/>
    <s v="Q1"/>
    <n v="154"/>
    <n v="0"/>
    <s v="48oz"/>
    <n v="1"/>
    <n v="0"/>
    <n v="0"/>
    <n v="0"/>
  </r>
  <r>
    <n v="67901583"/>
    <x v="3"/>
    <n v="13541"/>
    <d v="2023-03-15T00:00:00"/>
    <x v="50"/>
    <x v="11"/>
    <n v="8.5199999999999998E-3"/>
    <n v="115.36932"/>
    <s v="BR"/>
    <x v="3"/>
    <x v="6"/>
    <s v="Q1"/>
    <n v="154"/>
    <n v="87.928571428571431"/>
    <s v="48oz"/>
    <n v="1"/>
    <n v="13541"/>
    <n v="115.36932"/>
    <n v="87.928571428571431"/>
  </r>
  <r>
    <n v="68300738"/>
    <x v="3"/>
    <n v="5504"/>
    <d v="2023-03-15T00:00:00"/>
    <x v="120"/>
    <x v="19"/>
    <n v="8.4960000000000001E-3"/>
    <n v="46.761983999999998"/>
    <s v="KL"/>
    <x v="3"/>
    <x v="8"/>
    <s v="Q1"/>
    <n v="132"/>
    <n v="41.696969696969695"/>
    <s v="EDF"/>
    <n v="1"/>
    <n v="5504"/>
    <n v="46.761983999999998"/>
    <n v="41.696969696969695"/>
  </r>
  <r>
    <n v="68409143"/>
    <x v="5"/>
    <n v="35303"/>
    <d v="2023-03-15T00:00:00"/>
    <x v="137"/>
    <x v="35"/>
    <n v="1.419504E-3"/>
    <n v="50.112749712000003"/>
    <s v="BJ"/>
    <x v="3"/>
    <x v="25"/>
    <s v="Q1"/>
    <n v="510"/>
    <n v="69.221568627450978"/>
    <s v="B&amp;J Dog Treat"/>
    <n v="1"/>
    <n v="35303"/>
    <n v="50.112749712000003"/>
    <n v="69.221568627450978"/>
  </r>
  <r>
    <n v="68634169"/>
    <x v="3"/>
    <n v="5645"/>
    <d v="2023-03-15T00:00:00"/>
    <x v="149"/>
    <x v="16"/>
    <n v="8.5199999999999998E-3"/>
    <n v="48.095399999999998"/>
    <s v="BR"/>
    <x v="3"/>
    <x v="6"/>
    <s v="Q1"/>
    <n v="154"/>
    <n v="36.655844155844157"/>
    <s v="48oz"/>
    <n v="1"/>
    <n v="5645"/>
    <n v="48.095399999999998"/>
    <n v="36.655844155844157"/>
  </r>
  <r>
    <n v="68689251"/>
    <x v="3"/>
    <n v="6833"/>
    <d v="2023-03-15T00:00:00"/>
    <x v="17"/>
    <x v="17"/>
    <n v="9.5760000000000012E-3"/>
    <n v="65.432808000000009"/>
    <s v="KL"/>
    <x v="3"/>
    <x v="8"/>
    <s v="Q1"/>
    <n v="132"/>
    <n v="51.765151515151516"/>
    <s v="EDF"/>
    <n v="1"/>
    <n v="6833"/>
    <n v="65.432808000000009"/>
    <n v="51.765151515151516"/>
  </r>
  <r>
    <n v="68710285"/>
    <x v="3"/>
    <n v="1037"/>
    <d v="2023-03-15T00:00:00"/>
    <x v="74"/>
    <x v="20"/>
    <n v="8.5199999999999998E-3"/>
    <n v="8.8352400000000006"/>
    <s v="KL"/>
    <x v="3"/>
    <x v="8"/>
    <s v="Q1"/>
    <n v="132"/>
    <n v="7.8560606060606064"/>
    <s v="EDF"/>
    <n v="1"/>
    <n v="1037"/>
    <n v="8.8352400000000006"/>
    <n v="7.8560606060606064"/>
  </r>
  <r>
    <n v="68729723"/>
    <x v="2"/>
    <n v="25999"/>
    <d v="2023-03-15T00:00:00"/>
    <x v="300"/>
    <x v="21"/>
    <n v="3.7853440000000004E-3"/>
    <n v="98.415158656000017"/>
    <s v="TA"/>
    <x v="3"/>
    <x v="10"/>
    <s v="Q1"/>
    <n v="255"/>
    <n v="101.95686274509804"/>
    <s v="TALENTI"/>
    <n v="1"/>
    <n v="25999"/>
    <n v="98.415158656000017"/>
    <n v="101.95686274509804"/>
  </r>
  <r>
    <n v="68729723"/>
    <x v="2"/>
    <n v="0"/>
    <d v="2023-03-15T00:00:00"/>
    <x v="300"/>
    <x v="21"/>
    <n v="3.7853440000000004E-3"/>
    <n v="0"/>
    <s v="TA"/>
    <x v="3"/>
    <x v="10"/>
    <s v="Q1"/>
    <n v="255"/>
    <n v="0"/>
    <s v="TALENTI"/>
    <n v="1"/>
    <n v="0"/>
    <n v="0"/>
    <n v="0"/>
  </r>
  <r>
    <n v="68741742"/>
    <x v="3"/>
    <n v="0"/>
    <d v="2023-03-15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741742"/>
    <x v="2"/>
    <n v="2605"/>
    <d v="2023-03-15T00:00:00"/>
    <x v="25"/>
    <x v="25"/>
    <n v="4.2560000000000002E-3"/>
    <n v="11.086880000000001"/>
    <s v="GH"/>
    <x v="3"/>
    <x v="11"/>
    <s v="Q1"/>
    <n v="154"/>
    <n v="16.915584415584416"/>
    <s v="MBG"/>
    <n v="1"/>
    <n v="2605"/>
    <n v="11.086880000000001"/>
    <n v="16.915584415584416"/>
  </r>
  <r>
    <n v="68746232"/>
    <x v="2"/>
    <n v="4827"/>
    <d v="2023-03-15T00:00:00"/>
    <x v="154"/>
    <x v="26"/>
    <n v="9.5879999999999993E-3"/>
    <n v="46.281275999999998"/>
    <s v="KL"/>
    <x v="3"/>
    <x v="12"/>
    <s v="Q1"/>
    <n v="132"/>
    <n v="36.56818181818182"/>
    <s v="EDF"/>
    <n v="1"/>
    <n v="4827"/>
    <n v="46.281275999999998"/>
    <n v="36.56818181818182"/>
  </r>
  <r>
    <n v="68821728"/>
    <x v="2"/>
    <n v="0"/>
    <d v="2023-03-15T00:00:00"/>
    <x v="35"/>
    <x v="13"/>
    <n v="8.5199999999999998E-3"/>
    <n v="0"/>
    <s v="BR"/>
    <x v="3"/>
    <x v="2"/>
    <s v="Q1"/>
    <n v="176"/>
    <n v="0"/>
    <s v="48oz"/>
    <n v="1"/>
    <n v="0"/>
    <n v="0"/>
    <n v="0"/>
  </r>
  <r>
    <n v="68889812"/>
    <x v="2"/>
    <n v="0"/>
    <d v="2023-03-15T00:00:00"/>
    <x v="27"/>
    <x v="27"/>
    <n v="3.192E-3"/>
    <n v="0"/>
    <s v="KL"/>
    <x v="3"/>
    <x v="9"/>
    <s v="Q1"/>
    <n v="300"/>
    <n v="0"/>
    <s v="ESS"/>
    <n v="1"/>
    <n v="0"/>
    <n v="0"/>
    <n v="0"/>
  </r>
  <r>
    <n v="68889813"/>
    <x v="2"/>
    <n v="6231"/>
    <d v="2023-03-15T00:00:00"/>
    <x v="297"/>
    <x v="18"/>
    <n v="2.8380000000000002E-3"/>
    <n v="17.683578000000001"/>
    <s v="KL"/>
    <x v="3"/>
    <x v="9"/>
    <s v="Q1"/>
    <n v="264"/>
    <n v="23.602272727272727"/>
    <s v="ESS"/>
    <n v="1"/>
    <n v="6231"/>
    <n v="17.683578000000001"/>
    <n v="23.602272727272727"/>
  </r>
  <r>
    <n v="68890246"/>
    <x v="3"/>
    <n v="10742"/>
    <d v="2023-03-15T00:00:00"/>
    <x v="250"/>
    <x v="12"/>
    <n v="5.1101999999999995E-2"/>
    <n v="548.93768399999999"/>
    <s v="BR"/>
    <x v="3"/>
    <x v="6"/>
    <s v="Q1"/>
    <n v="176"/>
    <n v="61.034090909090907"/>
    <s v="48oz"/>
    <n v="1"/>
    <n v="10742"/>
    <n v="548.93768399999999"/>
    <n v="61.034090909090907"/>
  </r>
  <r>
    <n v="68896054"/>
    <x v="2"/>
    <n v="0"/>
    <d v="2023-03-15T00:00:00"/>
    <x v="181"/>
    <x v="2"/>
    <n v="8.5199999999999998E-3"/>
    <n v="0"/>
    <s v="BR"/>
    <x v="3"/>
    <x v="2"/>
    <s v="Q1"/>
    <n v="176"/>
    <n v="0"/>
    <s v="48oz"/>
    <n v="1"/>
    <n v="0"/>
    <n v="0"/>
    <n v="0"/>
  </r>
  <r>
    <n v="68914406"/>
    <x v="2"/>
    <n v="10004"/>
    <d v="2023-03-15T00:00:00"/>
    <x v="78"/>
    <x v="27"/>
    <n v="2.124E-3"/>
    <n v="21.248495999999999"/>
    <s v="KL"/>
    <x v="3"/>
    <x v="9"/>
    <s v="Q1"/>
    <n v="352"/>
    <n v="28.420454545454547"/>
    <s v="ESS"/>
    <n v="1"/>
    <n v="10004"/>
    <n v="21.248495999999999"/>
    <n v="28.420454545454547"/>
  </r>
  <r>
    <n v="68917388"/>
    <x v="3"/>
    <n v="9935"/>
    <d v="2023-03-15T00:00:00"/>
    <x v="287"/>
    <x v="36"/>
    <n v="3.9119999999999997E-3"/>
    <n v="38.865719999999996"/>
    <s v="KL"/>
    <x v="3"/>
    <x v="28"/>
    <s v="Q1"/>
    <n v="322"/>
    <n v="30.854037267080745"/>
    <s v="EFW"/>
    <n v="1"/>
    <n v="9935"/>
    <n v="38.865719999999996"/>
    <n v="30.854037267080745"/>
  </r>
  <r>
    <n v="68922018"/>
    <x v="2"/>
    <n v="0"/>
    <d v="2023-03-15T00:00:00"/>
    <x v="95"/>
    <x v="21"/>
    <n v="3.7839999999999996E-3"/>
    <n v="0"/>
    <s v="TA"/>
    <x v="3"/>
    <x v="10"/>
    <s v="Q1"/>
    <n v="255"/>
    <n v="0"/>
    <s v="TALENTI"/>
    <n v="1"/>
    <n v="0"/>
    <n v="0"/>
    <n v="0"/>
  </r>
  <r>
    <n v="68922106"/>
    <x v="2"/>
    <n v="8405"/>
    <d v="2023-03-15T00:00:00"/>
    <x v="104"/>
    <x v="22"/>
    <n v="3.552E-3"/>
    <n v="29.854559999999999"/>
    <s v="TA"/>
    <x v="3"/>
    <x v="10"/>
    <s v="Q1"/>
    <n v="255"/>
    <n v="32.96078431372549"/>
    <s v="TALENTI"/>
    <n v="1"/>
    <n v="8405"/>
    <n v="29.854559999999999"/>
    <n v="32.96078431372549"/>
  </r>
  <r>
    <n v="69555092"/>
    <x v="2"/>
    <n v="2857"/>
    <d v="2023-03-15T00:00:00"/>
    <x v="289"/>
    <x v="14"/>
    <n v="1.98E-3"/>
    <n v="5.65686"/>
    <s v="TA"/>
    <x v="3"/>
    <x v="42"/>
    <s v="Q1"/>
    <n v="176"/>
    <n v="16.232954545454547"/>
    <s v="TAL NV"/>
    <n v="1"/>
    <n v="2857"/>
    <n v="5.65686"/>
    <n v="16.232954545454547"/>
  </r>
  <r>
    <n v="69568829"/>
    <x v="2"/>
    <n v="0"/>
    <d v="2023-03-15T00:00:00"/>
    <x v="66"/>
    <x v="13"/>
    <n v="8.5199999999999998E-3"/>
    <n v="0"/>
    <s v="BR"/>
    <x v="3"/>
    <x v="2"/>
    <s v="Q1"/>
    <n v="176"/>
    <n v="0"/>
    <s v="48oz"/>
    <n v="1"/>
    <n v="0"/>
    <n v="0"/>
    <n v="0"/>
  </r>
  <r>
    <n v="69571484"/>
    <x v="2"/>
    <n v="890"/>
    <d v="2023-03-15T00:00:00"/>
    <x v="230"/>
    <x v="5"/>
    <n v="1.2960000000000001E-2"/>
    <n v="11.534400000000002"/>
    <s v="MG"/>
    <x v="3"/>
    <x v="5"/>
    <s v="Q1"/>
    <n v="493"/>
    <n v="1.8052738336713996"/>
    <s v="MG Sticks"/>
    <n v="1"/>
    <n v="890"/>
    <n v="11.534400000000002"/>
    <n v="1.8052738336713996"/>
  </r>
  <r>
    <n v="69621212"/>
    <x v="2"/>
    <n v="787"/>
    <d v="2023-03-15T00:00:00"/>
    <x v="29"/>
    <x v="28"/>
    <n v="5.2680000000000001E-3"/>
    <n v="4.1459159999999997"/>
    <s v="PG"/>
    <x v="3"/>
    <x v="14"/>
    <s v="Q1"/>
    <n v="130"/>
    <n v="6.0538461538461537"/>
    <s v="PG"/>
    <n v="1"/>
    <n v="787"/>
    <n v="4.1459159999999997"/>
    <n v="6.0538461538461537"/>
  </r>
  <r>
    <n v="69645145"/>
    <x v="0"/>
    <n v="18828"/>
    <d v="2023-03-15T00:00:00"/>
    <x v="118"/>
    <x v="0"/>
    <n v="2.8319999999999999E-3"/>
    <n v="53.320895999999998"/>
    <s v="GH"/>
    <x v="3"/>
    <x v="46"/>
    <s v="Q1"/>
    <n v="260"/>
    <n v="72.41538461538461"/>
    <s v="FB Cones"/>
    <n v="1"/>
    <n v="18828"/>
    <n v="53.320895999999998"/>
    <n v="72.41538461538461"/>
  </r>
  <r>
    <n v="69653125"/>
    <x v="0"/>
    <m/>
    <d v="2023-03-15T00:00:00"/>
    <x v="146"/>
    <x v="0"/>
    <n v="5.3220000000000003E-3"/>
    <n v="0"/>
    <s v="BR"/>
    <x v="3"/>
    <x v="37"/>
    <s v="Q1"/>
    <n v="120"/>
    <n v="0"/>
    <s v="BR Minicups"/>
    <n v="1"/>
    <n v="0"/>
    <n v="0"/>
    <n v="0"/>
  </r>
  <r>
    <n v="69671641"/>
    <x v="3"/>
    <n v="3314"/>
    <d v="2023-03-15T00:00:00"/>
    <x v="260"/>
    <x v="4"/>
    <n v="3.9039999999999999E-3"/>
    <n v="12.937856"/>
    <s v="GH"/>
    <x v="3"/>
    <x v="4"/>
    <s v="Q1"/>
    <n v="154"/>
    <n v="21.519480519480521"/>
    <s v="MBG"/>
    <n v="1"/>
    <n v="3314"/>
    <n v="12.937856"/>
    <n v="21.519480519480521"/>
  </r>
  <r>
    <n v="69677917"/>
    <x v="3"/>
    <n v="0"/>
    <d v="2023-03-15T00:00:00"/>
    <x v="30"/>
    <x v="29"/>
    <n v="5.2680000000000001E-3"/>
    <n v="0"/>
    <s v="PS"/>
    <x v="3"/>
    <x v="3"/>
    <s v="Q1"/>
    <n v="108"/>
    <n v="0"/>
    <s v="PG"/>
    <n v="1"/>
    <n v="0"/>
    <n v="0"/>
    <n v="0"/>
  </r>
  <r>
    <n v="69677917"/>
    <x v="3"/>
    <n v="1222"/>
    <d v="2023-03-15T00:00:00"/>
    <x v="30"/>
    <x v="29"/>
    <n v="5.2680000000000001E-3"/>
    <n v="6.4374960000000003"/>
    <s v="PS"/>
    <x v="3"/>
    <x v="3"/>
    <s v="Q1"/>
    <n v="108"/>
    <n v="11.314814814814815"/>
    <s v="PG"/>
    <n v="1"/>
    <n v="1222"/>
    <n v="6.4374960000000003"/>
    <n v="11.314814814814815"/>
  </r>
  <r>
    <n v="69677917"/>
    <x v="2"/>
    <n v="4810"/>
    <d v="2023-03-15T00:00:00"/>
    <x v="30"/>
    <x v="30"/>
    <n v="5.2680000000000001E-3"/>
    <n v="25.339079999999999"/>
    <s v="PS"/>
    <x v="3"/>
    <x v="14"/>
    <s v="Q1"/>
    <n v="108"/>
    <n v="44.537037037037038"/>
    <s v="PG"/>
    <n v="1"/>
    <n v="4810"/>
    <n v="25.339079999999999"/>
    <n v="44.537037037037038"/>
  </r>
  <r>
    <n v="69684521"/>
    <x v="2"/>
    <n v="1702"/>
    <d v="2023-03-15T00:00:00"/>
    <x v="160"/>
    <x v="31"/>
    <n v="4.2585119798234554E-3"/>
    <n v="7.2479873896595208"/>
    <s v="MG "/>
    <x v="3"/>
    <x v="5"/>
    <s v="Q1"/>
    <n v="143"/>
    <n v="11.902097902097902"/>
    <s v="MG Sticks"/>
    <n v="1"/>
    <n v="1702"/>
    <n v="7.2479873896595208"/>
    <n v="11.902097902097902"/>
  </r>
  <r>
    <n v="69684524"/>
    <x v="2"/>
    <n v="0"/>
    <d v="2023-03-15T00:00:00"/>
    <x v="69"/>
    <x v="31"/>
    <n v="4.2560000000000002E-3"/>
    <n v="0"/>
    <s v="BR"/>
    <x v="3"/>
    <x v="5"/>
    <s v="Q1"/>
    <n v="143"/>
    <n v="0"/>
    <s v="MG Sticks"/>
    <n v="1"/>
    <n v="0"/>
    <n v="0"/>
    <n v="0"/>
  </r>
  <r>
    <n v="69700048"/>
    <x v="3"/>
    <n v="4989"/>
    <d v="2023-03-15T00:00:00"/>
    <x v="288"/>
    <x v="24"/>
    <n v="2.3469132803553457E-3"/>
    <n v="11.708750355692819"/>
    <s v="GH"/>
    <x v="3"/>
    <x v="4"/>
    <s v="Q1"/>
    <n v="350"/>
    <n v="14.254285714285714"/>
    <s v="MBG"/>
    <n v="1"/>
    <n v="4989"/>
    <n v="11.708750355692819"/>
    <n v="14.254285714285714"/>
  </r>
  <r>
    <n v="84141094"/>
    <x v="2"/>
    <n v="25261"/>
    <d v="2023-03-15T00:00:00"/>
    <x v="107"/>
    <x v="15"/>
    <n v="3.7853439999999999E-3"/>
    <n v="95.621574784000003"/>
    <s v="BJ"/>
    <x v="3"/>
    <x v="30"/>
    <s v="Q1"/>
    <n v="240"/>
    <n v="105.25416666666666"/>
    <s v="BJ PTS"/>
    <n v="1"/>
    <n v="25261"/>
    <n v="95.621574784000003"/>
    <n v="105.25416666666666"/>
  </r>
  <r>
    <n v="67465063"/>
    <x v="3"/>
    <n v="1551"/>
    <d v="2023-03-16T00:00:00"/>
    <x v="3"/>
    <x v="40"/>
    <n v="5.2680000000000001E-3"/>
    <n v="8.1706680000000009"/>
    <s v="PS"/>
    <x v="3"/>
    <x v="3"/>
    <s v="Q1"/>
    <n v="130"/>
    <n v="11.930769230769231"/>
    <s v="PG"/>
    <n v="1"/>
    <n v="1551"/>
    <n v="8.1706680000000009"/>
    <n v="11.930769230769231"/>
  </r>
  <r>
    <n v="67465063"/>
    <x v="3"/>
    <n v="4550"/>
    <d v="2023-03-16T00:00:00"/>
    <x v="3"/>
    <x v="6"/>
    <n v="5.2680000000000001E-3"/>
    <n v="23.9694"/>
    <s v="PS"/>
    <x v="3"/>
    <x v="3"/>
    <s v="Q1"/>
    <n v="130"/>
    <n v="35"/>
    <s v="PG"/>
    <n v="1"/>
    <n v="4550"/>
    <n v="23.9694"/>
    <n v="35"/>
  </r>
  <r>
    <n v="67465063"/>
    <x v="3"/>
    <n v="4725"/>
    <d v="2023-03-16T00:00:00"/>
    <x v="3"/>
    <x v="10"/>
    <n v="5.2680000000000001E-3"/>
    <n v="24.891300000000001"/>
    <s v="PS"/>
    <x v="3"/>
    <x v="3"/>
    <s v="Q1"/>
    <n v="130"/>
    <n v="36.346153846153847"/>
    <s v="PG"/>
    <n v="1"/>
    <n v="4725"/>
    <n v="24.891300000000001"/>
    <n v="36.346153846153847"/>
  </r>
  <r>
    <n v="67465064"/>
    <x v="3"/>
    <n v="1226"/>
    <d v="2023-03-16T00:00:00"/>
    <x v="7"/>
    <x v="3"/>
    <n v="1.596E-3"/>
    <n v="1.956696"/>
    <s v="PS"/>
    <x v="3"/>
    <x v="3"/>
    <s v="Q1"/>
    <n v="130"/>
    <n v="9.430769230769231"/>
    <s v="PG"/>
    <n v="1"/>
    <n v="1226"/>
    <n v="1.956696"/>
    <n v="9.430769230769231"/>
  </r>
  <r>
    <n v="67466492"/>
    <x v="3"/>
    <n v="3615"/>
    <d v="2023-03-16T00:00:00"/>
    <x v="8"/>
    <x v="7"/>
    <n v="5.2680000000000001E-3"/>
    <n v="19.04382"/>
    <s v="PS"/>
    <x v="3"/>
    <x v="3"/>
    <s v="Q1"/>
    <n v="130"/>
    <n v="27.807692307692307"/>
    <s v="PG"/>
    <n v="1"/>
    <n v="3615"/>
    <n v="19.04382"/>
    <n v="27.807692307692307"/>
  </r>
  <r>
    <n v="67466492"/>
    <x v="3"/>
    <n v="0"/>
    <d v="2023-03-16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3107"/>
    <d v="2023-03-16T00:00:00"/>
    <x v="8"/>
    <x v="8"/>
    <n v="5.2680000000000001E-3"/>
    <n v="16.367675999999999"/>
    <s v="PS"/>
    <x v="3"/>
    <x v="3"/>
    <s v="Q1"/>
    <n v="130"/>
    <n v="23.9"/>
    <s v="PG"/>
    <n v="1"/>
    <n v="3107"/>
    <n v="16.367675999999999"/>
    <n v="23.9"/>
  </r>
  <r>
    <n v="67466492"/>
    <x v="3"/>
    <n v="0"/>
    <d v="2023-03-16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723726"/>
    <x v="3"/>
    <n v="7329"/>
    <d v="2023-03-16T00:00:00"/>
    <x v="109"/>
    <x v="23"/>
    <n v="8.5199999999999998E-3"/>
    <n v="62.443080000000002"/>
    <s v="BR"/>
    <x v="3"/>
    <x v="6"/>
    <s v="Q1"/>
    <n v="154"/>
    <n v="47.590909090909093"/>
    <s v="48oz"/>
    <n v="1"/>
    <n v="7329"/>
    <n v="62.443080000000002"/>
    <n v="47.590909090909093"/>
  </r>
  <r>
    <n v="67726327"/>
    <x v="2"/>
    <n v="8355"/>
    <d v="2023-03-16T00:00:00"/>
    <x v="295"/>
    <x v="13"/>
    <n v="8.5199999999999998E-3"/>
    <n v="71.184600000000003"/>
    <s v="BR"/>
    <x v="3"/>
    <x v="2"/>
    <s v="Q1"/>
    <n v="154"/>
    <n v="54.253246753246756"/>
    <s v="48oz"/>
    <n v="1"/>
    <n v="8355"/>
    <n v="71.184600000000003"/>
    <n v="54.253246753246756"/>
  </r>
  <r>
    <n v="67885719"/>
    <x v="2"/>
    <n v="0"/>
    <d v="2023-03-16T00:00:00"/>
    <x v="11"/>
    <x v="32"/>
    <n v="8.5199999999999998E-3"/>
    <n v="0"/>
    <s v="BR"/>
    <x v="3"/>
    <x v="2"/>
    <s v="Q1"/>
    <n v="154"/>
    <n v="0"/>
    <s v="48oz"/>
    <n v="1"/>
    <n v="0"/>
    <n v="0"/>
    <n v="0"/>
  </r>
  <r>
    <n v="67885721"/>
    <x v="2"/>
    <n v="23408"/>
    <d v="2023-03-16T00:00:00"/>
    <x v="40"/>
    <x v="32"/>
    <n v="8.5199999999999998E-3"/>
    <n v="199.43616"/>
    <s v="BR"/>
    <x v="3"/>
    <x v="2"/>
    <s v="Q1"/>
    <n v="154"/>
    <n v="152"/>
    <s v="48oz"/>
    <n v="1"/>
    <n v="23408"/>
    <n v="199.43616"/>
    <n v="152"/>
  </r>
  <r>
    <n v="67885721"/>
    <x v="2"/>
    <n v="16966"/>
    <d v="2023-03-16T00:00:00"/>
    <x v="40"/>
    <x v="32"/>
    <n v="8.5199999999999998E-3"/>
    <n v="144.55032"/>
    <s v="BR"/>
    <x v="3"/>
    <x v="2"/>
    <s v="Q1"/>
    <n v="154"/>
    <n v="110.16883116883118"/>
    <s v="48oz"/>
    <n v="1"/>
    <n v="16966"/>
    <n v="144.55032"/>
    <n v="110.16883116883118"/>
  </r>
  <r>
    <n v="67901583"/>
    <x v="3"/>
    <n v="12799"/>
    <d v="2023-03-16T00:00:00"/>
    <x v="50"/>
    <x v="11"/>
    <n v="8.5199999999999998E-3"/>
    <n v="109.04747999999999"/>
    <s v="BR"/>
    <x v="3"/>
    <x v="6"/>
    <s v="Q1"/>
    <n v="154"/>
    <n v="83.110389610389603"/>
    <s v="48oz"/>
    <n v="1"/>
    <n v="12799"/>
    <n v="109.04747999999999"/>
    <n v="83.110389610389603"/>
  </r>
  <r>
    <n v="67901585"/>
    <x v="3"/>
    <n v="0"/>
    <d v="2023-03-16T00:00:00"/>
    <x v="67"/>
    <x v="23"/>
    <n v="8.513999999999999E-3"/>
    <n v="0"/>
    <s v="BR"/>
    <x v="3"/>
    <x v="6"/>
    <s v="Q1"/>
    <n v="154"/>
    <n v="0"/>
    <s v="48oz"/>
    <n v="1"/>
    <n v="0"/>
    <n v="0"/>
    <n v="0"/>
  </r>
  <r>
    <n v="68300738"/>
    <x v="3"/>
    <n v="2901"/>
    <d v="2023-03-16T00:00:00"/>
    <x v="120"/>
    <x v="19"/>
    <n v="8.4960000000000001E-3"/>
    <n v="24.646896000000002"/>
    <s v="KL"/>
    <x v="3"/>
    <x v="8"/>
    <s v="Q1"/>
    <n v="132"/>
    <n v="21.977272727272727"/>
    <s v="EDF"/>
    <n v="1"/>
    <n v="2901"/>
    <n v="24.646896000000002"/>
    <n v="21.977272727272727"/>
  </r>
  <r>
    <n v="68409142"/>
    <x v="5"/>
    <n v="53179"/>
    <d v="2023-03-16T00:00:00"/>
    <x v="60"/>
    <x v="35"/>
    <n v="1.419504E-3"/>
    <n v="75.487803216000003"/>
    <s v="BJ"/>
    <x v="3"/>
    <x v="25"/>
    <s v="Q1"/>
    <n v="510"/>
    <n v="104.27254901960784"/>
    <s v="B&amp;J Dog Treat"/>
    <n v="1"/>
    <n v="53179"/>
    <n v="75.487803216000003"/>
    <n v="104.27254901960784"/>
  </r>
  <r>
    <n v="68626039"/>
    <x v="2"/>
    <n v="0"/>
    <d v="2023-03-16T00:00:00"/>
    <x v="158"/>
    <x v="15"/>
    <n v="3.7839999999999996E-3"/>
    <n v="0"/>
    <s v="BR"/>
    <x v="3"/>
    <x v="7"/>
    <s v="Q1"/>
    <n v="240"/>
    <n v="0"/>
    <s v="PTS"/>
    <n v="1"/>
    <n v="0"/>
    <n v="0"/>
    <n v="0"/>
  </r>
  <r>
    <n v="68634165"/>
    <x v="3"/>
    <n v="0"/>
    <d v="2023-03-16T00:00:00"/>
    <x v="301"/>
    <x v="16"/>
    <n v="8.5199999999999998E-3"/>
    <n v="0"/>
    <s v="BR"/>
    <x v="3"/>
    <x v="6"/>
    <s v="Q1"/>
    <n v="154"/>
    <n v="0"/>
    <s v="48oz"/>
    <n v="1"/>
    <n v="0"/>
    <n v="0"/>
    <n v="0"/>
  </r>
  <r>
    <n v="68634169"/>
    <x v="3"/>
    <n v="5369"/>
    <d v="2023-03-16T00:00:00"/>
    <x v="149"/>
    <x v="16"/>
    <n v="8.5199999999999998E-3"/>
    <n v="45.743879999999997"/>
    <s v="BR"/>
    <x v="3"/>
    <x v="6"/>
    <s v="Q1"/>
    <n v="154"/>
    <n v="34.863636363636367"/>
    <s v="48oz"/>
    <n v="1"/>
    <n v="5369"/>
    <n v="45.743879999999997"/>
    <n v="34.863636363636367"/>
  </r>
  <r>
    <n v="68689251"/>
    <x v="3"/>
    <n v="3257"/>
    <d v="2023-03-16T00:00:00"/>
    <x v="17"/>
    <x v="17"/>
    <n v="9.5760000000000012E-3"/>
    <n v="31.189032000000005"/>
    <s v="KL"/>
    <x v="3"/>
    <x v="8"/>
    <s v="Q1"/>
    <n v="132"/>
    <n v="24.674242424242426"/>
    <s v="EDF"/>
    <n v="1"/>
    <n v="3257"/>
    <n v="31.189032000000005"/>
    <n v="24.674242424242426"/>
  </r>
  <r>
    <n v="68689251"/>
    <x v="3"/>
    <n v="2433"/>
    <d v="2023-03-16T00:00:00"/>
    <x v="17"/>
    <x v="17"/>
    <n v="9.5760000000000012E-3"/>
    <n v="23.298408000000002"/>
    <s v="KL"/>
    <x v="3"/>
    <x v="8"/>
    <s v="Q1"/>
    <n v="132"/>
    <n v="18.431818181818183"/>
    <s v="EDF"/>
    <n v="1"/>
    <n v="2433"/>
    <n v="23.298408000000002"/>
    <n v="18.431818181818183"/>
  </r>
  <r>
    <n v="68710285"/>
    <x v="3"/>
    <n v="5807"/>
    <d v="2023-03-16T00:00:00"/>
    <x v="74"/>
    <x v="20"/>
    <n v="8.5199999999999998E-3"/>
    <n v="49.475639999999999"/>
    <s v="KL"/>
    <x v="3"/>
    <x v="8"/>
    <s v="Q1"/>
    <n v="132"/>
    <n v="43.992424242424242"/>
    <s v="EDF"/>
    <n v="1"/>
    <n v="5807"/>
    <n v="49.475639999999999"/>
    <n v="43.992424242424242"/>
  </r>
  <r>
    <n v="68729723"/>
    <x v="2"/>
    <n v="22065"/>
    <d v="2023-03-16T00:00:00"/>
    <x v="300"/>
    <x v="21"/>
    <n v="3.7853440000000004E-3"/>
    <n v="83.523615360000008"/>
    <s v="TA"/>
    <x v="3"/>
    <x v="10"/>
    <s v="Q1"/>
    <n v="255"/>
    <n v="86.529411764705884"/>
    <s v="TALENTI"/>
    <n v="1"/>
    <n v="22065"/>
    <n v="83.523615360000008"/>
    <n v="86.529411764705884"/>
  </r>
  <r>
    <n v="68729723"/>
    <x v="2"/>
    <n v="0"/>
    <d v="2023-03-16T00:00:00"/>
    <x v="300"/>
    <x v="21"/>
    <n v="3.7853440000000004E-3"/>
    <n v="0"/>
    <s v="TA"/>
    <x v="3"/>
    <x v="10"/>
    <s v="Q1"/>
    <n v="255"/>
    <n v="0"/>
    <s v="TALENTI"/>
    <n v="1"/>
    <n v="0"/>
    <n v="0"/>
    <n v="0"/>
  </r>
  <r>
    <n v="68730252"/>
    <x v="2"/>
    <n v="0"/>
    <d v="2023-03-16T00:00:00"/>
    <x v="22"/>
    <x v="22"/>
    <n v="3.7853440000000004E-3"/>
    <n v="0"/>
    <s v="TA"/>
    <x v="3"/>
    <x v="10"/>
    <s v="Q1"/>
    <n v="255"/>
    <n v="0"/>
    <s v="TALENTI"/>
    <n v="1"/>
    <n v="0"/>
    <n v="0"/>
    <n v="0"/>
  </r>
  <r>
    <n v="68741742"/>
    <x v="3"/>
    <n v="0"/>
    <d v="2023-03-16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741742"/>
    <x v="2"/>
    <n v="3367"/>
    <d v="2023-03-16T00:00:00"/>
    <x v="25"/>
    <x v="25"/>
    <n v="4.2560000000000002E-3"/>
    <n v="14.329952"/>
    <s v="GH"/>
    <x v="3"/>
    <x v="11"/>
    <s v="Q1"/>
    <n v="154"/>
    <n v="21.863636363636363"/>
    <s v="MBG"/>
    <n v="1"/>
    <n v="3367"/>
    <n v="14.329952"/>
    <n v="21.863636363636363"/>
  </r>
  <r>
    <n v="68746232"/>
    <x v="2"/>
    <n v="3411"/>
    <d v="2023-03-16T00:00:00"/>
    <x v="154"/>
    <x v="26"/>
    <n v="9.5879999999999993E-3"/>
    <n v="32.704667999999998"/>
    <s v="KL"/>
    <x v="3"/>
    <x v="12"/>
    <s v="Q1"/>
    <n v="132"/>
    <n v="25.84090909090909"/>
    <s v="EDF"/>
    <n v="1"/>
    <n v="3411"/>
    <n v="32.704667999999998"/>
    <n v="25.84090909090909"/>
  </r>
  <r>
    <n v="68842352"/>
    <x v="4"/>
    <n v="4400"/>
    <d v="2023-03-16T00:00:00"/>
    <x v="76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8889812"/>
    <x v="2"/>
    <n v="2905"/>
    <d v="2023-03-16T00:00:00"/>
    <x v="27"/>
    <x v="27"/>
    <n v="3.192E-3"/>
    <n v="9.2727599999999999"/>
    <s v="KL"/>
    <x v="3"/>
    <x v="9"/>
    <s v="Q1"/>
    <n v="300"/>
    <n v="9.6833333333333336"/>
    <s v="ESS"/>
    <n v="1"/>
    <n v="2905"/>
    <n v="9.2727599999999999"/>
    <n v="9.6833333333333336"/>
  </r>
  <r>
    <n v="68889813"/>
    <x v="2"/>
    <n v="5505"/>
    <d v="2023-03-16T00:00:00"/>
    <x v="297"/>
    <x v="18"/>
    <n v="2.8380000000000002E-3"/>
    <n v="15.623190000000001"/>
    <s v="KL"/>
    <x v="3"/>
    <x v="9"/>
    <s v="Q1"/>
    <n v="264"/>
    <n v="20.852272727272727"/>
    <s v="ESS"/>
    <n v="1"/>
    <n v="5505"/>
    <n v="15.623190000000001"/>
    <n v="20.852272727272727"/>
  </r>
  <r>
    <n v="68890246"/>
    <x v="3"/>
    <n v="12949"/>
    <d v="2023-03-16T00:00:00"/>
    <x v="250"/>
    <x v="12"/>
    <n v="5.1101999999999995E-2"/>
    <n v="661.71979799999997"/>
    <s v="BR"/>
    <x v="3"/>
    <x v="6"/>
    <s v="Q1"/>
    <n v="176"/>
    <n v="73.57386363636364"/>
    <s v="48oz"/>
    <n v="1"/>
    <n v="12949"/>
    <n v="661.71979799999997"/>
    <n v="73.57386363636364"/>
  </r>
  <r>
    <n v="68896054"/>
    <x v="2"/>
    <n v="8946"/>
    <d v="2023-03-16T00:00:00"/>
    <x v="181"/>
    <x v="2"/>
    <n v="8.5199999999999998E-3"/>
    <n v="76.219920000000002"/>
    <s v="BR"/>
    <x v="3"/>
    <x v="2"/>
    <s v="Q1"/>
    <n v="176"/>
    <n v="50.829545454545453"/>
    <s v="48oz"/>
    <n v="1"/>
    <n v="8946"/>
    <n v="76.219920000000002"/>
    <n v="50.829545454545453"/>
  </r>
  <r>
    <n v="68914406"/>
    <x v="2"/>
    <n v="0"/>
    <d v="2023-03-16T00:00:00"/>
    <x v="78"/>
    <x v="27"/>
    <n v="2.124E-3"/>
    <n v="0"/>
    <s v="KL"/>
    <x v="3"/>
    <x v="9"/>
    <s v="Q1"/>
    <n v="352"/>
    <n v="0"/>
    <s v="ESS"/>
    <n v="1"/>
    <n v="0"/>
    <n v="0"/>
    <n v="0"/>
  </r>
  <r>
    <n v="68917388"/>
    <x v="3"/>
    <n v="0"/>
    <d v="2023-03-16T00:00:00"/>
    <x v="287"/>
    <x v="36"/>
    <n v="3.9119999999999997E-3"/>
    <n v="0"/>
    <s v="KL"/>
    <x v="3"/>
    <x v="28"/>
    <s v="Q1"/>
    <n v="322"/>
    <n v="0"/>
    <s v="EFW"/>
    <n v="1"/>
    <n v="0"/>
    <n v="0"/>
    <n v="0"/>
  </r>
  <r>
    <n v="68922106"/>
    <x v="2"/>
    <n v="15052"/>
    <d v="2023-03-16T00:00:00"/>
    <x v="104"/>
    <x v="22"/>
    <n v="3.552E-3"/>
    <n v="53.464703999999998"/>
    <s v="TA"/>
    <x v="3"/>
    <x v="10"/>
    <s v="Q1"/>
    <n v="255"/>
    <n v="59.02745098039216"/>
    <s v="TALENTI"/>
    <n v="1"/>
    <n v="15052"/>
    <n v="53.464703999999998"/>
    <n v="59.02745098039216"/>
  </r>
  <r>
    <n v="68927903"/>
    <x v="1"/>
    <n v="4480"/>
    <d v="2023-03-16T00:00:00"/>
    <x v="56"/>
    <x v="0"/>
    <n v="2.16E-3"/>
    <n v="9.6768000000000001"/>
    <s v="MG"/>
    <x v="3"/>
    <x v="22"/>
    <s v="Q1"/>
    <n v="160"/>
    <n v="28"/>
    <s v="MG Sticks"/>
    <n v="1"/>
    <n v="4480"/>
    <n v="9.6768000000000001"/>
    <n v="28"/>
  </r>
  <r>
    <n v="68927903"/>
    <x v="1"/>
    <n v="4480"/>
    <d v="2023-03-16T00:00:00"/>
    <x v="56"/>
    <x v="0"/>
    <n v="2.16E-3"/>
    <n v="9.6768000000000001"/>
    <s v="MG"/>
    <x v="3"/>
    <x v="22"/>
    <s v="Q1"/>
    <n v="160"/>
    <n v="28"/>
    <s v="MG Sticks"/>
    <n v="1"/>
    <n v="4480"/>
    <n v="9.6768000000000001"/>
    <n v="28"/>
  </r>
  <r>
    <n v="68871168"/>
    <x v="1"/>
    <n v="2839"/>
    <d v="2023-03-16T00:00:00"/>
    <x v="57"/>
    <x v="0"/>
    <n v="6.0035555555555554E-3"/>
    <n v="17.04409422222222"/>
    <s v="KL"/>
    <x v="3"/>
    <x v="1"/>
    <s v="Q1"/>
    <n v="108"/>
    <n v="26.287037037037038"/>
    <s v="KL Sandwiches"/>
    <n v="1"/>
    <n v="2839"/>
    <n v="17.04409422222222"/>
    <n v="26.287037037037038"/>
  </r>
  <r>
    <n v="68871168"/>
    <x v="1"/>
    <n v="1080"/>
    <d v="2023-03-16T00:00:00"/>
    <x v="57"/>
    <x v="0"/>
    <n v="6.0035555555555554E-3"/>
    <n v="6.4838399999999998"/>
    <s v="KL"/>
    <x v="3"/>
    <x v="1"/>
    <s v="Q1"/>
    <n v="108"/>
    <n v="10"/>
    <s v="KL Sandwiches"/>
    <n v="1"/>
    <n v="1080"/>
    <n v="6.4838399999999998"/>
    <n v="10"/>
  </r>
  <r>
    <n v="69555092"/>
    <x v="2"/>
    <n v="10385"/>
    <d v="2023-03-16T00:00:00"/>
    <x v="289"/>
    <x v="14"/>
    <n v="1.98E-3"/>
    <n v="20.5623"/>
    <s v="TA"/>
    <x v="3"/>
    <x v="42"/>
    <s v="Q1"/>
    <n v="176"/>
    <n v="59.00568181818182"/>
    <s v="TAL NV"/>
    <n v="1"/>
    <n v="10385"/>
    <n v="20.5623"/>
    <n v="59.00568181818182"/>
  </r>
  <r>
    <n v="69568829"/>
    <x v="2"/>
    <n v="0"/>
    <d v="2023-03-16T00:00:00"/>
    <x v="66"/>
    <x v="13"/>
    <n v="8.5199999999999998E-3"/>
    <n v="0"/>
    <s v="BR"/>
    <x v="3"/>
    <x v="2"/>
    <s v="Q1"/>
    <n v="176"/>
    <n v="0"/>
    <s v="48oz"/>
    <n v="1"/>
    <n v="0"/>
    <n v="0"/>
    <n v="0"/>
  </r>
  <r>
    <n v="69568965"/>
    <x v="2"/>
    <n v="14154"/>
    <d v="2023-03-16T00:00:00"/>
    <x v="298"/>
    <x v="2"/>
    <n v="8.5199999999999998E-3"/>
    <n v="120.59208"/>
    <s v="BR"/>
    <x v="3"/>
    <x v="2"/>
    <s v="Q1"/>
    <n v="176"/>
    <n v="80.420454545454547"/>
    <s v="48oz"/>
    <n v="1"/>
    <n v="14154"/>
    <n v="120.59208"/>
    <n v="80.420454545454547"/>
  </r>
  <r>
    <n v="69568965"/>
    <x v="2"/>
    <n v="0"/>
    <d v="2023-03-16T00:00:00"/>
    <x v="298"/>
    <x v="2"/>
    <n v="8.5199999999999998E-3"/>
    <n v="0"/>
    <s v="BR"/>
    <x v="3"/>
    <x v="2"/>
    <s v="Q1"/>
    <n v="176"/>
    <n v="0"/>
    <s v="48oz"/>
    <n v="1"/>
    <n v="0"/>
    <n v="0"/>
    <n v="0"/>
  </r>
  <r>
    <n v="69572659"/>
    <x v="2"/>
    <n v="252"/>
    <d v="2023-03-16T00:00:00"/>
    <x v="5"/>
    <x v="5"/>
    <n v="2.1520000000000003E-3"/>
    <n v="0.54230400000000012"/>
    <s v="MG"/>
    <x v="3"/>
    <x v="5"/>
    <s v="Q1"/>
    <n v="210"/>
    <n v="1.2"/>
    <s v="MG Sticks"/>
    <n v="1"/>
    <n v="252"/>
    <n v="0.54230400000000012"/>
    <n v="1.2"/>
  </r>
  <r>
    <n v="69572659"/>
    <x v="2"/>
    <n v="5546"/>
    <d v="2023-03-16T00:00:00"/>
    <x v="5"/>
    <x v="5"/>
    <n v="2.1520000000000003E-3"/>
    <n v="11.934992000000001"/>
    <s v="MG"/>
    <x v="3"/>
    <x v="5"/>
    <s v="Q1"/>
    <n v="210"/>
    <n v="26.409523809523808"/>
    <s v="MG Sticks"/>
    <n v="1"/>
    <n v="5546"/>
    <n v="11.934992000000001"/>
    <n v="26.409523809523808"/>
  </r>
  <r>
    <n v="69586720"/>
    <x v="4"/>
    <n v="4400"/>
    <d v="2023-03-16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586720"/>
    <x v="4"/>
    <n v="4400"/>
    <d v="2023-03-16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586720"/>
    <x v="4"/>
    <n v="4400"/>
    <d v="2023-03-16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586720"/>
    <x v="4"/>
    <n v="4400"/>
    <d v="2023-03-16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621212"/>
    <x v="2"/>
    <n v="3660"/>
    <d v="2023-03-16T00:00:00"/>
    <x v="29"/>
    <x v="28"/>
    <n v="5.2680000000000001E-3"/>
    <n v="19.28088"/>
    <s v="PG"/>
    <x v="3"/>
    <x v="14"/>
    <s v="Q1"/>
    <n v="130"/>
    <n v="28.153846153846153"/>
    <s v="PG"/>
    <n v="1"/>
    <n v="3660"/>
    <n v="19.28088"/>
    <n v="28.153846153846153"/>
  </r>
  <r>
    <n v="69629477"/>
    <x v="1"/>
    <n v="2903"/>
    <d v="2023-03-16T00:00:00"/>
    <x v="61"/>
    <x v="0"/>
    <n v="5.3280000000000003E-3"/>
    <n v="15.467184000000001"/>
    <s v="KL"/>
    <x v="3"/>
    <x v="26"/>
    <s v="Q1"/>
    <n v="108"/>
    <n v="26.87962962962963"/>
    <s v="KL Mini Cones"/>
    <n v="1"/>
    <n v="2903"/>
    <n v="15.467184000000001"/>
    <n v="26.87962962962963"/>
  </r>
  <r>
    <n v="69629477"/>
    <x v="1"/>
    <n v="1905"/>
    <d v="2023-03-16T00:00:00"/>
    <x v="61"/>
    <x v="0"/>
    <n v="5.3280000000000003E-3"/>
    <n v="10.149840000000001"/>
    <s v="KL"/>
    <x v="3"/>
    <x v="26"/>
    <s v="Q1"/>
    <n v="108"/>
    <n v="17.638888888888889"/>
    <s v="KL Mini Cones"/>
    <n v="1"/>
    <n v="1905"/>
    <n v="10.149840000000001"/>
    <n v="17.638888888888889"/>
  </r>
  <r>
    <n v="69671641"/>
    <x v="3"/>
    <n v="1429"/>
    <d v="2023-03-16T00:00:00"/>
    <x v="260"/>
    <x v="4"/>
    <n v="3.9039999999999999E-3"/>
    <n v="5.5788159999999998"/>
    <s v="GH"/>
    <x v="3"/>
    <x v="4"/>
    <s v="Q1"/>
    <n v="154"/>
    <n v="9.279220779220779"/>
    <s v="MBG"/>
    <n v="1"/>
    <n v="1429"/>
    <n v="5.5788159999999998"/>
    <n v="9.279220779220779"/>
  </r>
  <r>
    <n v="69677917"/>
    <x v="3"/>
    <n v="3067"/>
    <d v="2023-03-16T00:00:00"/>
    <x v="30"/>
    <x v="29"/>
    <n v="5.2680000000000001E-3"/>
    <n v="16.156956000000001"/>
    <s v="PS"/>
    <x v="3"/>
    <x v="3"/>
    <s v="Q1"/>
    <n v="108"/>
    <n v="28.398148148148149"/>
    <s v="PG"/>
    <n v="1"/>
    <n v="3067"/>
    <n v="16.156956000000001"/>
    <n v="28.398148148148149"/>
  </r>
  <r>
    <n v="69677917"/>
    <x v="2"/>
    <n v="5031"/>
    <d v="2023-03-16T00:00:00"/>
    <x v="30"/>
    <x v="30"/>
    <n v="5.2680000000000001E-3"/>
    <n v="26.503308000000001"/>
    <s v="PS"/>
    <x v="3"/>
    <x v="14"/>
    <s v="Q1"/>
    <n v="108"/>
    <n v="46.583333333333336"/>
    <s v="PG"/>
    <n v="1"/>
    <n v="5031"/>
    <n v="26.503308000000001"/>
    <n v="46.583333333333336"/>
  </r>
  <r>
    <n v="69684522"/>
    <x v="2"/>
    <n v="1174"/>
    <d v="2023-03-16T00:00:00"/>
    <x v="31"/>
    <x v="31"/>
    <n v="4.2560000000000002E-3"/>
    <n v="4.9965440000000001"/>
    <s v="BR"/>
    <x v="3"/>
    <x v="5"/>
    <s v="Q1"/>
    <n v="143"/>
    <n v="8.20979020979021"/>
    <s v="MG Sticks"/>
    <n v="1"/>
    <n v="1174"/>
    <n v="4.9965440000000001"/>
    <n v="8.20979020979021"/>
  </r>
  <r>
    <n v="69684522"/>
    <x v="2"/>
    <n v="6567"/>
    <d v="2023-03-16T00:00:00"/>
    <x v="31"/>
    <x v="31"/>
    <n v="4.2560000000000002E-3"/>
    <n v="27.949152000000002"/>
    <s v="BR"/>
    <x v="3"/>
    <x v="5"/>
    <s v="Q1"/>
    <n v="143"/>
    <n v="45.92307692307692"/>
    <s v="MG Sticks"/>
    <n v="1"/>
    <n v="6567"/>
    <n v="27.949152000000002"/>
    <n v="45.92307692307692"/>
  </r>
  <r>
    <n v="69684524"/>
    <x v="2"/>
    <n v="0"/>
    <d v="2023-03-16T00:00:00"/>
    <x v="69"/>
    <x v="31"/>
    <n v="4.2560000000000002E-3"/>
    <n v="0"/>
    <s v="BR"/>
    <x v="3"/>
    <x v="5"/>
    <s v="Q1"/>
    <n v="143"/>
    <n v="0"/>
    <s v="MG Sticks"/>
    <n v="1"/>
    <n v="0"/>
    <n v="0"/>
    <n v="0"/>
  </r>
  <r>
    <n v="69691840"/>
    <x v="2"/>
    <n v="0"/>
    <d v="2023-03-16T00:00:00"/>
    <x v="106"/>
    <x v="21"/>
    <n v="3.7839999999999996E-3"/>
    <n v="0"/>
    <s v="TA"/>
    <x v="3"/>
    <x v="10"/>
    <s v="Q1"/>
    <n v="255"/>
    <n v="0"/>
    <s v="TALENTI"/>
    <n v="1"/>
    <n v="0"/>
    <n v="0"/>
    <n v="0"/>
  </r>
  <r>
    <n v="69700048"/>
    <x v="3"/>
    <n v="8572"/>
    <d v="2023-03-16T00:00:00"/>
    <x v="288"/>
    <x v="24"/>
    <n v="2.3469132803553457E-3"/>
    <n v="20.117740639206023"/>
    <s v="GH"/>
    <x v="3"/>
    <x v="4"/>
    <s v="Q1"/>
    <n v="350"/>
    <n v="24.491428571428571"/>
    <s v="MBG"/>
    <n v="1"/>
    <n v="8572"/>
    <n v="20.117740639206023"/>
    <n v="24.491428571428571"/>
  </r>
  <r>
    <n v="84141094"/>
    <x v="2"/>
    <n v="17329"/>
    <d v="2023-03-16T00:00:00"/>
    <x v="107"/>
    <x v="15"/>
    <n v="3.7853439999999999E-3"/>
    <n v="65.596226176000002"/>
    <s v="BJ"/>
    <x v="3"/>
    <x v="30"/>
    <s v="Q1"/>
    <n v="240"/>
    <n v="72.204166666666666"/>
    <s v="BJ PTS"/>
    <n v="1"/>
    <n v="17329"/>
    <n v="65.596226176000002"/>
    <n v="72.204166666666666"/>
  </r>
  <r>
    <n v="84141101"/>
    <x v="5"/>
    <n v="38400"/>
    <d v="2023-03-16T00:00:00"/>
    <x v="86"/>
    <x v="33"/>
    <n v="3.7853439999999999E-3"/>
    <n v="145.3572096"/>
    <s v="BJ"/>
    <x v="3"/>
    <x v="15"/>
    <s v="Q1"/>
    <n v="240"/>
    <n v="160"/>
    <s v="BJ PTS"/>
    <n v="1"/>
    <n v="38400"/>
    <n v="145.3572096"/>
    <n v="160"/>
  </r>
  <r>
    <n v="84144598"/>
    <x v="5"/>
    <n v="9372"/>
    <d v="2023-03-16T00:00:00"/>
    <x v="233"/>
    <x v="35"/>
    <n v="3.7853439999999999E-3"/>
    <n v="35.476243967999999"/>
    <s v="BJ"/>
    <x v="3"/>
    <x v="15"/>
    <s v="Q1"/>
    <n v="240"/>
    <n v="39.049999999999997"/>
    <s v="BJ PTS"/>
    <n v="1"/>
    <n v="9372"/>
    <n v="35.476243967999999"/>
    <n v="39.049999999999997"/>
  </r>
  <r>
    <n v="67465063"/>
    <x v="3"/>
    <n v="428"/>
    <d v="2023-03-17T00:00:00"/>
    <x v="3"/>
    <x v="40"/>
    <n v="5.2680000000000001E-3"/>
    <n v="2.2547040000000003"/>
    <s v="PS"/>
    <x v="3"/>
    <x v="3"/>
    <s v="Q1"/>
    <n v="130"/>
    <n v="3.2923076923076922"/>
    <s v="PG"/>
    <n v="1"/>
    <n v="428"/>
    <n v="2.2547040000000003"/>
    <n v="3.2923076923076922"/>
  </r>
  <r>
    <n v="67465063"/>
    <x v="3"/>
    <n v="4063"/>
    <d v="2023-03-17T00:00:00"/>
    <x v="3"/>
    <x v="6"/>
    <n v="5.2680000000000001E-3"/>
    <n v="21.403884000000001"/>
    <s v="PS"/>
    <x v="3"/>
    <x v="3"/>
    <s v="Q1"/>
    <n v="130"/>
    <n v="31.253846153846155"/>
    <s v="PG"/>
    <n v="1"/>
    <n v="4063"/>
    <n v="21.403884000000001"/>
    <n v="31.253846153846155"/>
  </r>
  <r>
    <n v="67465063"/>
    <x v="3"/>
    <n v="3342"/>
    <d v="2023-03-17T00:00:00"/>
    <x v="3"/>
    <x v="10"/>
    <n v="5.2680000000000001E-3"/>
    <n v="17.605656"/>
    <s v="PS"/>
    <x v="3"/>
    <x v="3"/>
    <s v="Q1"/>
    <n v="130"/>
    <n v="25.707692307692309"/>
    <s v="PG"/>
    <n v="1"/>
    <n v="3342"/>
    <n v="17.605656"/>
    <n v="25.707692307692309"/>
  </r>
  <r>
    <n v="67465064"/>
    <x v="3"/>
    <n v="1148"/>
    <d v="2023-03-17T00:00:00"/>
    <x v="7"/>
    <x v="3"/>
    <n v="1.596E-3"/>
    <n v="1.8322080000000001"/>
    <s v="PS"/>
    <x v="3"/>
    <x v="3"/>
    <s v="Q1"/>
    <n v="130"/>
    <n v="8.8307692307692314"/>
    <s v="PG"/>
    <n v="1"/>
    <n v="1148"/>
    <n v="1.8322080000000001"/>
    <n v="8.8307692307692314"/>
  </r>
  <r>
    <n v="67466492"/>
    <x v="3"/>
    <n v="2827"/>
    <d v="2023-03-17T00:00:00"/>
    <x v="8"/>
    <x v="7"/>
    <n v="5.2680000000000001E-3"/>
    <n v="14.892636"/>
    <s v="PS"/>
    <x v="3"/>
    <x v="3"/>
    <s v="Q1"/>
    <n v="130"/>
    <n v="21.746153846153845"/>
    <s v="PG"/>
    <n v="1"/>
    <n v="2827"/>
    <n v="14.892636"/>
    <n v="21.746153846153845"/>
  </r>
  <r>
    <n v="67466492"/>
    <x v="3"/>
    <n v="0"/>
    <d v="2023-03-17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1521"/>
    <d v="2023-03-17T00:00:00"/>
    <x v="8"/>
    <x v="8"/>
    <n v="5.2680000000000001E-3"/>
    <n v="8.0126279999999994"/>
    <s v="PS"/>
    <x v="3"/>
    <x v="3"/>
    <s v="Q1"/>
    <n v="130"/>
    <n v="11.7"/>
    <s v="PG"/>
    <n v="1"/>
    <n v="1521"/>
    <n v="8.0126279999999994"/>
    <n v="11.7"/>
  </r>
  <r>
    <n v="67466492"/>
    <x v="3"/>
    <n v="0"/>
    <d v="2023-03-17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794169"/>
    <x v="13"/>
    <n v="94345"/>
    <d v="2023-03-17T00:00:00"/>
    <x v="33"/>
    <x v="35"/>
    <n v="3.7853439999999999E-3"/>
    <n v="357.12827967999999"/>
    <s v="BJ"/>
    <x v="3"/>
    <x v="36"/>
    <s v="Q1"/>
    <n v="240"/>
    <n v="393.10416666666669"/>
    <s v="BJ PTS"/>
    <n v="1"/>
    <n v="94345"/>
    <n v="357.12827967999999"/>
    <n v="393.10416666666669"/>
  </r>
  <r>
    <n v="67885719"/>
    <x v="2"/>
    <n v="23870"/>
    <d v="2023-03-17T00:00:00"/>
    <x v="11"/>
    <x v="32"/>
    <n v="8.5199999999999998E-3"/>
    <n v="203.3724"/>
    <s v="BR"/>
    <x v="3"/>
    <x v="2"/>
    <s v="Q1"/>
    <n v="154"/>
    <n v="155"/>
    <s v="48oz"/>
    <n v="1"/>
    <n v="23870"/>
    <n v="203.3724"/>
    <n v="155"/>
  </r>
  <r>
    <n v="67901583"/>
    <x v="3"/>
    <n v="3132"/>
    <d v="2023-03-17T00:00:00"/>
    <x v="50"/>
    <x v="11"/>
    <n v="8.5199999999999998E-3"/>
    <n v="26.684639999999998"/>
    <s v="BR"/>
    <x v="3"/>
    <x v="6"/>
    <s v="Q1"/>
    <n v="154"/>
    <n v="20.337662337662337"/>
    <s v="48oz"/>
    <n v="1"/>
    <n v="3132"/>
    <n v="26.684639999999998"/>
    <n v="20.337662337662337"/>
  </r>
  <r>
    <n v="67901585"/>
    <x v="3"/>
    <n v="9923"/>
    <d v="2023-03-17T00:00:00"/>
    <x v="67"/>
    <x v="23"/>
    <n v="8.513999999999999E-3"/>
    <n v="84.484421999999995"/>
    <s v="BR"/>
    <x v="3"/>
    <x v="6"/>
    <s v="Q1"/>
    <n v="154"/>
    <n v="64.435064935064929"/>
    <s v="48oz"/>
    <n v="1"/>
    <n v="9923"/>
    <n v="84.484421999999995"/>
    <n v="64.435064935064929"/>
  </r>
  <r>
    <n v="68300738"/>
    <x v="3"/>
    <n v="1679"/>
    <d v="2023-03-17T00:00:00"/>
    <x v="120"/>
    <x v="19"/>
    <n v="8.4960000000000001E-3"/>
    <n v="14.264784000000001"/>
    <s v="KL"/>
    <x v="3"/>
    <x v="8"/>
    <s v="Q1"/>
    <n v="132"/>
    <n v="12.719696969696969"/>
    <s v="EDF"/>
    <n v="1"/>
    <n v="1679"/>
    <n v="14.264784000000001"/>
    <n v="12.719696969696969"/>
  </r>
  <r>
    <n v="68634165"/>
    <x v="3"/>
    <n v="0"/>
    <d v="2023-03-17T00:00:00"/>
    <x v="301"/>
    <x v="16"/>
    <n v="8.5199999999999998E-3"/>
    <n v="0"/>
    <s v="BR"/>
    <x v="3"/>
    <x v="6"/>
    <s v="Q1"/>
    <n v="154"/>
    <n v="0"/>
    <s v="48oz"/>
    <n v="1"/>
    <n v="0"/>
    <n v="0"/>
    <n v="0"/>
  </r>
  <r>
    <n v="68634165"/>
    <x v="3"/>
    <n v="2415"/>
    <d v="2023-03-17T00:00:00"/>
    <x v="301"/>
    <x v="16"/>
    <n v="8.5199999999999998E-3"/>
    <n v="20.575800000000001"/>
    <s v="BR"/>
    <x v="3"/>
    <x v="6"/>
    <s v="Q1"/>
    <n v="154"/>
    <n v="15.681818181818182"/>
    <s v="48oz"/>
    <n v="1"/>
    <n v="2415"/>
    <n v="20.575800000000001"/>
    <n v="15.681818181818182"/>
  </r>
  <r>
    <n v="68634167"/>
    <x v="3"/>
    <n v="0"/>
    <d v="2023-03-17T00:00:00"/>
    <x v="91"/>
    <x v="16"/>
    <n v="8.5199999999999998E-3"/>
    <n v="0"/>
    <s v="BR"/>
    <x v="3"/>
    <x v="6"/>
    <s v="Q1"/>
    <n v="154"/>
    <n v="0"/>
    <s v="48oz"/>
    <n v="1"/>
    <n v="0"/>
    <n v="0"/>
    <n v="0"/>
  </r>
  <r>
    <n v="68634167"/>
    <x v="3"/>
    <n v="6323"/>
    <d v="2023-03-17T00:00:00"/>
    <x v="91"/>
    <x v="16"/>
    <n v="8.5199999999999998E-3"/>
    <n v="53.871960000000001"/>
    <s v="BR"/>
    <x v="3"/>
    <x v="6"/>
    <s v="Q1"/>
    <n v="154"/>
    <n v="41.058441558441558"/>
    <s v="48oz"/>
    <n v="1"/>
    <n v="6323"/>
    <n v="53.871960000000001"/>
    <n v="41.058441558441558"/>
  </r>
  <r>
    <n v="68689251"/>
    <x v="3"/>
    <n v="8046"/>
    <d v="2023-03-17T00:00:00"/>
    <x v="17"/>
    <x v="17"/>
    <n v="9.5760000000000012E-3"/>
    <n v="77.048496000000014"/>
    <s v="KL"/>
    <x v="3"/>
    <x v="8"/>
    <s v="Q1"/>
    <n v="132"/>
    <n v="60.954545454545453"/>
    <s v="EDF"/>
    <n v="1"/>
    <n v="8046"/>
    <n v="77.048496000000014"/>
    <n v="60.954545454545453"/>
  </r>
  <r>
    <n v="68710285"/>
    <x v="3"/>
    <n v="5488"/>
    <d v="2023-03-17T00:00:00"/>
    <x v="74"/>
    <x v="20"/>
    <n v="8.5199999999999998E-3"/>
    <n v="46.757759999999998"/>
    <s v="KL"/>
    <x v="3"/>
    <x v="8"/>
    <s v="Q1"/>
    <n v="132"/>
    <n v="41.575757575757578"/>
    <s v="EDF"/>
    <n v="1"/>
    <n v="5488"/>
    <n v="46.757759999999998"/>
    <n v="41.575757575757578"/>
  </r>
  <r>
    <n v="68737750"/>
    <x v="3"/>
    <n v="0"/>
    <d v="2023-03-17T00:00:00"/>
    <x v="144"/>
    <x v="23"/>
    <n v="8.5199999999999998E-3"/>
    <n v="0"/>
    <s v="BR"/>
    <x v="3"/>
    <x v="6"/>
    <s v="Q1"/>
    <n v="176"/>
    <n v="0"/>
    <s v="48oz"/>
    <n v="1"/>
    <n v="0"/>
    <n v="0"/>
    <n v="0"/>
  </r>
  <r>
    <n v="68741742"/>
    <x v="3"/>
    <n v="0"/>
    <d v="2023-03-17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741742"/>
    <x v="2"/>
    <n v="2909"/>
    <d v="2023-03-17T00:00:00"/>
    <x v="25"/>
    <x v="25"/>
    <n v="4.2560000000000002E-3"/>
    <n v="12.380704000000001"/>
    <s v="GH"/>
    <x v="3"/>
    <x v="11"/>
    <s v="Q1"/>
    <n v="154"/>
    <n v="18.88961038961039"/>
    <s v="MBG"/>
    <n v="1"/>
    <n v="2909"/>
    <n v="12.380704000000001"/>
    <n v="18.88961038961039"/>
  </r>
  <r>
    <n v="68746232"/>
    <x v="2"/>
    <n v="4844"/>
    <d v="2023-03-17T00:00:00"/>
    <x v="154"/>
    <x v="26"/>
    <n v="9.5879999999999993E-3"/>
    <n v="46.444271999999998"/>
    <s v="KL"/>
    <x v="3"/>
    <x v="12"/>
    <s v="Q1"/>
    <n v="132"/>
    <n v="36.696969696969695"/>
    <s v="EDF"/>
    <n v="1"/>
    <n v="4844"/>
    <n v="46.444271999999998"/>
    <n v="36.696969696969695"/>
  </r>
  <r>
    <n v="68842352"/>
    <x v="4"/>
    <n v="4400"/>
    <d v="2023-03-17T00:00:00"/>
    <x v="76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8842352"/>
    <x v="4"/>
    <n v="48397"/>
    <d v="2023-03-17T00:00:00"/>
    <x v="76"/>
    <x v="0"/>
    <n v="2.6610000000000002E-3"/>
    <n v="128.78441700000002"/>
    <s v="KL"/>
    <x v="3"/>
    <x v="13"/>
    <s v="Q1"/>
    <n v="220"/>
    <n v="219.98636363636365"/>
    <s v="KL Mini Cones"/>
    <n v="1"/>
    <n v="48397"/>
    <n v="128.78441700000002"/>
    <n v="219.98636363636365"/>
  </r>
  <r>
    <n v="68842352"/>
    <x v="4"/>
    <n v="4400"/>
    <d v="2023-03-17T00:00:00"/>
    <x v="76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8842352"/>
    <x v="4"/>
    <n v="4400"/>
    <d v="2023-03-17T00:00:00"/>
    <x v="76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8889812"/>
    <x v="2"/>
    <n v="2783"/>
    <d v="2023-03-17T00:00:00"/>
    <x v="27"/>
    <x v="27"/>
    <n v="3.192E-3"/>
    <n v="8.8833359999999999"/>
    <s v="KL"/>
    <x v="3"/>
    <x v="9"/>
    <s v="Q1"/>
    <n v="300"/>
    <n v="9.2766666666666673"/>
    <s v="ESS"/>
    <n v="1"/>
    <n v="2783"/>
    <n v="8.8833359999999999"/>
    <n v="9.2766666666666673"/>
  </r>
  <r>
    <n v="68889813"/>
    <x v="2"/>
    <n v="4447"/>
    <d v="2023-03-17T00:00:00"/>
    <x v="297"/>
    <x v="18"/>
    <n v="2.8380000000000002E-3"/>
    <n v="12.620586000000001"/>
    <s v="KL"/>
    <x v="3"/>
    <x v="9"/>
    <s v="Q1"/>
    <n v="264"/>
    <n v="16.844696969696969"/>
    <s v="ESS"/>
    <n v="1"/>
    <n v="4447"/>
    <n v="12.620586000000001"/>
    <n v="16.844696969696969"/>
  </r>
  <r>
    <n v="68890246"/>
    <x v="3"/>
    <n v="6294"/>
    <d v="2023-03-17T00:00:00"/>
    <x v="250"/>
    <x v="12"/>
    <n v="5.1101999999999995E-2"/>
    <n v="321.63598799999994"/>
    <s v="BR"/>
    <x v="3"/>
    <x v="6"/>
    <s v="Q1"/>
    <n v="176"/>
    <n v="35.761363636363633"/>
    <s v="48oz"/>
    <n v="1"/>
    <n v="6294"/>
    <n v="321.63598799999994"/>
    <n v="35.761363636363633"/>
  </r>
  <r>
    <n v="68896054"/>
    <x v="2"/>
    <n v="14256"/>
    <d v="2023-03-17T00:00:00"/>
    <x v="181"/>
    <x v="2"/>
    <n v="8.5199999999999998E-3"/>
    <n v="121.46111999999999"/>
    <s v="BR"/>
    <x v="3"/>
    <x v="2"/>
    <s v="Q1"/>
    <n v="176"/>
    <n v="81"/>
    <s v="48oz"/>
    <n v="1"/>
    <n v="14256"/>
    <n v="121.46111999999999"/>
    <n v="81"/>
  </r>
  <r>
    <n v="68914406"/>
    <x v="2"/>
    <n v="0"/>
    <d v="2023-03-17T00:00:00"/>
    <x v="78"/>
    <x v="27"/>
    <n v="2.124E-3"/>
    <n v="0"/>
    <s v="KL"/>
    <x v="3"/>
    <x v="9"/>
    <s v="Q1"/>
    <n v="352"/>
    <n v="0"/>
    <s v="ESS"/>
    <n v="1"/>
    <n v="0"/>
    <n v="0"/>
    <n v="0"/>
  </r>
  <r>
    <n v="68922106"/>
    <x v="2"/>
    <n v="12129"/>
    <d v="2023-03-17T00:00:00"/>
    <x v="104"/>
    <x v="22"/>
    <n v="3.552E-3"/>
    <n v="43.082208000000001"/>
    <s v="TA"/>
    <x v="3"/>
    <x v="10"/>
    <s v="Q1"/>
    <n v="255"/>
    <n v="47.564705882352939"/>
    <s v="TALENTI"/>
    <n v="1"/>
    <n v="12129"/>
    <n v="43.082208000000001"/>
    <n v="47.564705882352939"/>
  </r>
  <r>
    <n v="69555092"/>
    <x v="2"/>
    <n v="1501"/>
    <d v="2023-03-17T00:00:00"/>
    <x v="289"/>
    <x v="14"/>
    <n v="1.98E-3"/>
    <n v="2.9719799999999998"/>
    <s v="TA"/>
    <x v="3"/>
    <x v="42"/>
    <s v="Q1"/>
    <n v="176"/>
    <n v="8.5284090909090917"/>
    <s v="TAL NV"/>
    <n v="1"/>
    <n v="1501"/>
    <n v="2.9719799999999998"/>
    <n v="8.5284090909090917"/>
  </r>
  <r>
    <n v="69568829"/>
    <x v="2"/>
    <n v="11968"/>
    <d v="2023-03-17T00:00:00"/>
    <x v="66"/>
    <x v="13"/>
    <n v="8.5199999999999998E-3"/>
    <n v="101.96736"/>
    <s v="BR"/>
    <x v="3"/>
    <x v="2"/>
    <s v="Q1"/>
    <n v="176"/>
    <n v="68"/>
    <s v="48oz"/>
    <n v="1"/>
    <n v="11968"/>
    <n v="101.96736"/>
    <n v="68"/>
  </r>
  <r>
    <n v="69572659"/>
    <x v="2"/>
    <n v="9924"/>
    <d v="2023-03-17T00:00:00"/>
    <x v="5"/>
    <x v="5"/>
    <n v="2.1520000000000003E-3"/>
    <n v="21.356448000000004"/>
    <s v="MG"/>
    <x v="3"/>
    <x v="5"/>
    <s v="Q1"/>
    <n v="210"/>
    <n v="47.25714285714286"/>
    <s v="MG Sticks"/>
    <n v="1"/>
    <n v="9924"/>
    <n v="21.356448000000004"/>
    <n v="47.25714285714286"/>
  </r>
  <r>
    <n v="69586720"/>
    <x v="4"/>
    <n v="4400"/>
    <d v="2023-03-17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586720"/>
    <x v="4"/>
    <n v="4400"/>
    <d v="2023-03-17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586720"/>
    <x v="4"/>
    <n v="4400"/>
    <d v="2023-03-17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586720"/>
    <x v="4"/>
    <n v="4400"/>
    <d v="2023-03-17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621212"/>
    <x v="2"/>
    <n v="6433"/>
    <d v="2023-03-17T00:00:00"/>
    <x v="29"/>
    <x v="28"/>
    <n v="5.2680000000000001E-3"/>
    <n v="33.889043999999998"/>
    <s v="PG"/>
    <x v="3"/>
    <x v="14"/>
    <s v="Q1"/>
    <n v="130"/>
    <n v="49.484615384615381"/>
    <s v="PG"/>
    <n v="1"/>
    <n v="6433"/>
    <n v="33.889043999999998"/>
    <n v="49.484615384615381"/>
  </r>
  <r>
    <n v="69671641"/>
    <x v="3"/>
    <n v="4646"/>
    <d v="2023-03-17T00:00:00"/>
    <x v="260"/>
    <x v="4"/>
    <n v="3.9039999999999999E-3"/>
    <n v="18.137983999999999"/>
    <s v="GH"/>
    <x v="3"/>
    <x v="4"/>
    <s v="Q1"/>
    <n v="154"/>
    <n v="30.168831168831169"/>
    <s v="MBG"/>
    <n v="1"/>
    <n v="4646"/>
    <n v="18.137983999999999"/>
    <n v="30.168831168831169"/>
  </r>
  <r>
    <n v="69677917"/>
    <x v="3"/>
    <n v="4809"/>
    <d v="2023-03-17T00:00:00"/>
    <x v="30"/>
    <x v="29"/>
    <n v="5.2680000000000001E-3"/>
    <n v="25.333812000000002"/>
    <s v="PS"/>
    <x v="3"/>
    <x v="3"/>
    <s v="Q1"/>
    <n v="108"/>
    <n v="44.527777777777779"/>
    <s v="PG"/>
    <n v="1"/>
    <n v="4809"/>
    <n v="25.333812000000002"/>
    <n v="44.527777777777779"/>
  </r>
  <r>
    <n v="69677917"/>
    <x v="2"/>
    <n v="7104"/>
    <d v="2023-03-17T00:00:00"/>
    <x v="30"/>
    <x v="30"/>
    <n v="5.2680000000000001E-3"/>
    <n v="37.423872000000003"/>
    <s v="PS"/>
    <x v="3"/>
    <x v="14"/>
    <s v="Q1"/>
    <n v="108"/>
    <n v="65.777777777777771"/>
    <s v="PG"/>
    <n v="1"/>
    <n v="7104"/>
    <n v="37.423872000000003"/>
    <n v="65.777777777777771"/>
  </r>
  <r>
    <n v="69684522"/>
    <x v="2"/>
    <n v="0"/>
    <d v="2023-03-17T00:00:00"/>
    <x v="31"/>
    <x v="31"/>
    <n v="4.2560000000000002E-3"/>
    <n v="0"/>
    <s v="BR"/>
    <x v="3"/>
    <x v="5"/>
    <s v="Q1"/>
    <n v="143"/>
    <n v="0"/>
    <s v="MG Sticks"/>
    <n v="1"/>
    <n v="0"/>
    <n v="0"/>
    <n v="0"/>
  </r>
  <r>
    <n v="69691840"/>
    <x v="2"/>
    <n v="0"/>
    <d v="2023-03-17T00:00:00"/>
    <x v="106"/>
    <x v="21"/>
    <n v="3.7839999999999996E-3"/>
    <n v="0"/>
    <s v="TA"/>
    <x v="3"/>
    <x v="10"/>
    <s v="Q1"/>
    <n v="255"/>
    <n v="0"/>
    <s v="TALENTI"/>
    <n v="1"/>
    <n v="0"/>
    <n v="0"/>
    <n v="0"/>
  </r>
  <r>
    <n v="69691840"/>
    <x v="2"/>
    <n v="14010"/>
    <d v="2023-03-17T00:00:00"/>
    <x v="106"/>
    <x v="21"/>
    <n v="3.7839999999999996E-3"/>
    <n v="53.013839999999995"/>
    <s v="TA"/>
    <x v="3"/>
    <x v="10"/>
    <s v="Q1"/>
    <n v="255"/>
    <n v="54.941176470588232"/>
    <s v="TALENTI"/>
    <n v="1"/>
    <n v="14010"/>
    <n v="53.013839999999995"/>
    <n v="54.941176470588232"/>
  </r>
  <r>
    <n v="69700048"/>
    <x v="3"/>
    <n v="982"/>
    <d v="2023-03-17T00:00:00"/>
    <x v="288"/>
    <x v="24"/>
    <n v="2.3469132803553457E-3"/>
    <n v="2.3046688413089496"/>
    <s v="GH"/>
    <x v="3"/>
    <x v="4"/>
    <s v="Q1"/>
    <n v="350"/>
    <n v="2.8057142857142856"/>
    <s v="MBG"/>
    <n v="1"/>
    <n v="982"/>
    <n v="2.3046688413089496"/>
    <n v="2.8057142857142856"/>
  </r>
  <r>
    <n v="84136704"/>
    <x v="5"/>
    <n v="32588"/>
    <d v="2023-03-17T00:00:00"/>
    <x v="223"/>
    <x v="35"/>
    <n v="3.7853439999999999E-3"/>
    <n v="123.356790272"/>
    <s v="BJ"/>
    <x v="3"/>
    <x v="15"/>
    <s v="Q1"/>
    <n v="240"/>
    <n v="135.78333333333333"/>
    <s v="BJ PTS"/>
    <n v="1"/>
    <n v="32588"/>
    <n v="123.356790272"/>
    <n v="135.78333333333333"/>
  </r>
  <r>
    <n v="84137725"/>
    <x v="13"/>
    <n v="39120"/>
    <d v="2023-03-17T00:00:00"/>
    <x v="132"/>
    <x v="33"/>
    <n v="3.7853439999999999E-3"/>
    <n v="148.08265728000001"/>
    <s v="BJ"/>
    <x v="3"/>
    <x v="36"/>
    <s v="Q1"/>
    <n v="240"/>
    <n v="163"/>
    <s v="BJ PTS"/>
    <n v="1"/>
    <n v="39120"/>
    <n v="148.08265728000001"/>
    <n v="163"/>
  </r>
  <r>
    <n v="84137725"/>
    <x v="13"/>
    <n v="44850"/>
    <d v="2023-03-17T00:00:00"/>
    <x v="132"/>
    <x v="33"/>
    <n v="3.7853439999999999E-3"/>
    <n v="169.77267839999999"/>
    <s v="BJ"/>
    <x v="3"/>
    <x v="36"/>
    <s v="Q1"/>
    <n v="240"/>
    <n v="186.875"/>
    <s v="BJ PTS"/>
    <n v="1"/>
    <n v="44850"/>
    <n v="169.77267839999999"/>
    <n v="186.875"/>
  </r>
  <r>
    <n v="84141094"/>
    <x v="2"/>
    <n v="0"/>
    <d v="2023-03-17T00:00:00"/>
    <x v="107"/>
    <x v="15"/>
    <n v="3.7853439999999999E-3"/>
    <n v="0"/>
    <s v="BJ"/>
    <x v="3"/>
    <x v="30"/>
    <s v="Q1"/>
    <n v="240"/>
    <n v="0"/>
    <s v="BJ PTS"/>
    <n v="1"/>
    <n v="0"/>
    <n v="0"/>
    <n v="0"/>
  </r>
  <r>
    <n v="84141101"/>
    <x v="5"/>
    <n v="51773"/>
    <d v="2023-03-17T00:00:00"/>
    <x v="86"/>
    <x v="33"/>
    <n v="3.7853439999999999E-3"/>
    <n v="195.97861491199998"/>
    <s v="BJ"/>
    <x v="3"/>
    <x v="15"/>
    <s v="Q1"/>
    <n v="240"/>
    <n v="215.72083333333333"/>
    <s v="BJ PTS"/>
    <n v="1"/>
    <n v="51773"/>
    <n v="195.97861491199998"/>
    <n v="215.72083333333333"/>
  </r>
  <r>
    <n v="84141102"/>
    <x v="5"/>
    <n v="37200"/>
    <d v="2023-03-17T00:00:00"/>
    <x v="217"/>
    <x v="38"/>
    <n v="3.7853439999999999E-3"/>
    <n v="140.81479680000001"/>
    <s v="BJ"/>
    <x v="3"/>
    <x v="15"/>
    <s v="Q1"/>
    <n v="240"/>
    <n v="155"/>
    <s v="BJ PTS"/>
    <n v="1"/>
    <n v="37200"/>
    <n v="140.81479680000001"/>
    <n v="155"/>
  </r>
  <r>
    <n v="84144598"/>
    <x v="5"/>
    <n v="20228"/>
    <d v="2023-03-17T00:00:00"/>
    <x v="233"/>
    <x v="35"/>
    <n v="3.7853439999999999E-3"/>
    <n v="76.569938432000001"/>
    <s v="BJ"/>
    <x v="3"/>
    <x v="15"/>
    <s v="Q1"/>
    <n v="240"/>
    <n v="84.283333333333331"/>
    <s v="BJ PTS"/>
    <n v="1"/>
    <n v="20228"/>
    <n v="76.569938432000001"/>
    <n v="84.283333333333331"/>
  </r>
  <r>
    <n v="67465063"/>
    <x v="3"/>
    <n v="2400"/>
    <d v="2023-03-18T00:00:00"/>
    <x v="3"/>
    <x v="6"/>
    <n v="5.2680000000000001E-3"/>
    <n v="12.6432"/>
    <s v="PS"/>
    <x v="3"/>
    <x v="3"/>
    <s v="Q1"/>
    <n v="130"/>
    <n v="18.46153846153846"/>
    <s v="PG"/>
    <n v="1"/>
    <n v="2400"/>
    <n v="12.6432"/>
    <n v="18.46153846153846"/>
  </r>
  <r>
    <n v="67465063"/>
    <x v="3"/>
    <n v="3725"/>
    <d v="2023-03-18T00:00:00"/>
    <x v="3"/>
    <x v="10"/>
    <n v="5.2680000000000001E-3"/>
    <n v="19.6233"/>
    <s v="PS"/>
    <x v="3"/>
    <x v="3"/>
    <s v="Q1"/>
    <n v="130"/>
    <n v="28.653846153846153"/>
    <s v="PG"/>
    <n v="1"/>
    <n v="3725"/>
    <n v="19.6233"/>
    <n v="28.653846153846153"/>
  </r>
  <r>
    <n v="67466492"/>
    <x v="3"/>
    <n v="0"/>
    <d v="2023-03-18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18T00:00:00"/>
    <x v="8"/>
    <x v="8"/>
    <n v="5.2680000000000001E-3"/>
    <n v="0"/>
    <s v="PS"/>
    <x v="3"/>
    <x v="3"/>
    <s v="Q1"/>
    <n v="130"/>
    <n v="0"/>
    <s v="PG"/>
    <n v="1"/>
    <n v="0"/>
    <n v="0"/>
    <n v="0"/>
  </r>
  <r>
    <n v="67885719"/>
    <x v="2"/>
    <n v="0"/>
    <d v="2023-03-18T00:00:00"/>
    <x v="11"/>
    <x v="2"/>
    <n v="8.5199999999999998E-3"/>
    <n v="0"/>
    <s v="BR"/>
    <x v="3"/>
    <x v="2"/>
    <s v="Q1"/>
    <n v="154"/>
    <n v="0"/>
    <s v="48oz"/>
    <n v="1"/>
    <n v="0"/>
    <n v="0"/>
    <n v="0"/>
  </r>
  <r>
    <n v="67901585"/>
    <x v="3"/>
    <n v="13147"/>
    <d v="2023-03-18T00:00:00"/>
    <x v="67"/>
    <x v="23"/>
    <n v="8.513999999999999E-3"/>
    <n v="111.93355799999999"/>
    <s v="BR"/>
    <x v="3"/>
    <x v="6"/>
    <s v="Q1"/>
    <n v="154"/>
    <n v="85.370129870129873"/>
    <s v="48oz"/>
    <n v="1"/>
    <n v="13147"/>
    <n v="111.93355799999999"/>
    <n v="85.370129870129873"/>
  </r>
  <r>
    <n v="68626039"/>
    <x v="2"/>
    <n v="10492"/>
    <d v="2023-03-18T00:00:00"/>
    <x v="158"/>
    <x v="15"/>
    <n v="3.7839999999999996E-3"/>
    <n v="39.701727999999996"/>
    <s v="BR"/>
    <x v="3"/>
    <x v="7"/>
    <s v="Q1"/>
    <n v="240"/>
    <n v="43.716666666666669"/>
    <s v="PTS"/>
    <n v="1"/>
    <n v="10492"/>
    <n v="39.701727999999996"/>
    <n v="43.716666666666669"/>
  </r>
  <r>
    <n v="68634167"/>
    <x v="3"/>
    <n v="13625"/>
    <d v="2023-03-18T00:00:00"/>
    <x v="91"/>
    <x v="16"/>
    <n v="8.5199999999999998E-3"/>
    <n v="116.08499999999999"/>
    <s v="BR"/>
    <x v="3"/>
    <x v="6"/>
    <s v="Q1"/>
    <n v="154"/>
    <n v="88.474025974025977"/>
    <s v="48oz"/>
    <n v="1"/>
    <n v="13625"/>
    <n v="116.08499999999999"/>
    <n v="88.474025974025977"/>
  </r>
  <r>
    <n v="68689251"/>
    <x v="3"/>
    <n v="7417"/>
    <d v="2023-03-18T00:00:00"/>
    <x v="17"/>
    <x v="17"/>
    <n v="9.5760000000000012E-3"/>
    <n v="71.025192000000004"/>
    <s v="KL"/>
    <x v="3"/>
    <x v="8"/>
    <s v="Q1"/>
    <n v="132"/>
    <n v="56.189393939393938"/>
    <s v="EDF"/>
    <n v="1"/>
    <n v="7417"/>
    <n v="71.025192000000004"/>
    <n v="56.189393939393938"/>
  </r>
  <r>
    <n v="68710285"/>
    <x v="3"/>
    <n v="2315"/>
    <d v="2023-03-18T00:00:00"/>
    <x v="74"/>
    <x v="20"/>
    <n v="8.5199999999999998E-3"/>
    <n v="19.723800000000001"/>
    <s v="KL"/>
    <x v="3"/>
    <x v="8"/>
    <s v="Q1"/>
    <n v="132"/>
    <n v="17.537878787878789"/>
    <s v="EDF"/>
    <n v="1"/>
    <n v="2315"/>
    <n v="19.723800000000001"/>
    <n v="17.537878787878789"/>
  </r>
  <r>
    <n v="68730252"/>
    <x v="2"/>
    <n v="7978"/>
    <d v="2023-03-18T00:00:00"/>
    <x v="22"/>
    <x v="22"/>
    <n v="3.7853440000000004E-3"/>
    <n v="30.199474432000002"/>
    <s v="TA"/>
    <x v="3"/>
    <x v="10"/>
    <s v="Q1"/>
    <n v="255"/>
    <n v="31.286274509803921"/>
    <s v="TALENTI"/>
    <n v="1"/>
    <n v="7978"/>
    <n v="30.199474432000002"/>
    <n v="31.286274509803921"/>
  </r>
  <r>
    <n v="68741742"/>
    <x v="3"/>
    <n v="0"/>
    <d v="2023-03-18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741742"/>
    <x v="2"/>
    <n v="5185"/>
    <d v="2023-03-18T00:00:00"/>
    <x v="25"/>
    <x v="25"/>
    <n v="4.2560000000000002E-3"/>
    <n v="22.067360000000001"/>
    <s v="GH"/>
    <x v="3"/>
    <x v="11"/>
    <s v="Q1"/>
    <n v="154"/>
    <n v="33.668831168831169"/>
    <s v="MBG"/>
    <n v="1"/>
    <n v="5185"/>
    <n v="22.067360000000001"/>
    <n v="33.668831168831169"/>
  </r>
  <r>
    <n v="68746232"/>
    <x v="2"/>
    <n v="3468"/>
    <d v="2023-03-18T00:00:00"/>
    <x v="154"/>
    <x v="26"/>
    <n v="9.5879999999999993E-3"/>
    <n v="33.251183999999995"/>
    <s v="KL"/>
    <x v="3"/>
    <x v="12"/>
    <s v="Q1"/>
    <n v="132"/>
    <n v="26.272727272727273"/>
    <s v="EDF"/>
    <n v="1"/>
    <n v="3468"/>
    <n v="33.251183999999995"/>
    <n v="26.272727272727273"/>
  </r>
  <r>
    <n v="68821728"/>
    <x v="2"/>
    <n v="0"/>
    <d v="2023-03-18T00:00:00"/>
    <x v="35"/>
    <x v="13"/>
    <n v="8.5199999999999998E-3"/>
    <n v="0"/>
    <s v="BR"/>
    <x v="3"/>
    <x v="2"/>
    <s v="Q1"/>
    <n v="176"/>
    <n v="0"/>
    <s v="48oz"/>
    <n v="1"/>
    <n v="0"/>
    <n v="0"/>
    <n v="0"/>
  </r>
  <r>
    <n v="68821728"/>
    <x v="2"/>
    <n v="4215"/>
    <d v="2023-03-18T00:00:00"/>
    <x v="35"/>
    <x v="13"/>
    <n v="8.5199999999999998E-3"/>
    <n v="35.911799999999999"/>
    <s v="BR"/>
    <x v="3"/>
    <x v="2"/>
    <s v="Q1"/>
    <n v="176"/>
    <n v="23.948863636363637"/>
    <s v="48oz"/>
    <n v="1"/>
    <n v="4215"/>
    <n v="35.911799999999999"/>
    <n v="23.948863636363637"/>
  </r>
  <r>
    <n v="68890247"/>
    <x v="2"/>
    <n v="0"/>
    <d v="2023-03-18T00:00:00"/>
    <x v="243"/>
    <x v="2"/>
    <n v="8.5170239596469088E-6"/>
    <n v="0"/>
    <s v="BR"/>
    <x v="3"/>
    <x v="2"/>
    <s v="Q1"/>
    <n v="176"/>
    <n v="0"/>
    <s v="48oz"/>
    <n v="1"/>
    <n v="0"/>
    <n v="0"/>
    <n v="0"/>
  </r>
  <r>
    <n v="68922106"/>
    <x v="2"/>
    <n v="0"/>
    <d v="2023-03-18T00:00:00"/>
    <x v="104"/>
    <x v="22"/>
    <n v="3.552E-3"/>
    <n v="0"/>
    <s v="TA"/>
    <x v="3"/>
    <x v="10"/>
    <s v="Q1"/>
    <n v="255"/>
    <n v="0"/>
    <s v="TALENTI"/>
    <n v="1"/>
    <n v="0"/>
    <n v="0"/>
    <n v="0"/>
  </r>
  <r>
    <n v="69568829"/>
    <x v="2"/>
    <n v="6956"/>
    <d v="2023-03-18T00:00:00"/>
    <x v="66"/>
    <x v="13"/>
    <n v="8.5199999999999998E-3"/>
    <n v="59.265119999999996"/>
    <s v="BR"/>
    <x v="3"/>
    <x v="2"/>
    <s v="Q1"/>
    <n v="176"/>
    <n v="39.522727272727273"/>
    <s v="48oz"/>
    <n v="1"/>
    <n v="6956"/>
    <n v="59.265119999999996"/>
    <n v="39.522727272727273"/>
  </r>
  <r>
    <n v="69572659"/>
    <x v="2"/>
    <n v="15643"/>
    <d v="2023-03-18T00:00:00"/>
    <x v="5"/>
    <x v="5"/>
    <n v="2.1520000000000003E-3"/>
    <n v="33.663736000000007"/>
    <s v="MG"/>
    <x v="3"/>
    <x v="5"/>
    <s v="Q1"/>
    <n v="210"/>
    <n v="74.490476190476187"/>
    <s v="MG Sticks"/>
    <n v="1"/>
    <n v="15643"/>
    <n v="33.663736000000007"/>
    <n v="74.490476190476187"/>
  </r>
  <r>
    <n v="69621212"/>
    <x v="2"/>
    <n v="3403"/>
    <d v="2023-03-18T00:00:00"/>
    <x v="29"/>
    <x v="28"/>
    <n v="5.2680000000000001E-3"/>
    <n v="17.927004"/>
    <s v="PG"/>
    <x v="3"/>
    <x v="14"/>
    <s v="Q1"/>
    <n v="130"/>
    <n v="26.176923076923078"/>
    <s v="PG"/>
    <n v="1"/>
    <n v="3403"/>
    <n v="17.927004"/>
    <n v="26.176923076923078"/>
  </r>
  <r>
    <n v="69671641"/>
    <x v="3"/>
    <n v="4246"/>
    <d v="2023-03-18T00:00:00"/>
    <x v="260"/>
    <x v="4"/>
    <n v="3.9039999999999999E-3"/>
    <n v="16.576384000000001"/>
    <s v="GH"/>
    <x v="3"/>
    <x v="4"/>
    <s v="Q1"/>
    <n v="154"/>
    <n v="27.571428571428573"/>
    <s v="MBG"/>
    <n v="1"/>
    <n v="4246"/>
    <n v="16.576384000000001"/>
    <n v="27.571428571428573"/>
  </r>
  <r>
    <n v="69677917"/>
    <x v="3"/>
    <n v="4189"/>
    <d v="2023-03-18T00:00:00"/>
    <x v="30"/>
    <x v="29"/>
    <n v="5.2680000000000001E-3"/>
    <n v="22.067651999999999"/>
    <s v="PS"/>
    <x v="3"/>
    <x v="3"/>
    <s v="Q1"/>
    <n v="108"/>
    <n v="38.787037037037038"/>
    <s v="PG"/>
    <n v="1"/>
    <n v="4189"/>
    <n v="22.067651999999999"/>
    <n v="38.787037037037038"/>
  </r>
  <r>
    <n v="69677917"/>
    <x v="2"/>
    <n v="2547"/>
    <d v="2023-03-18T00:00:00"/>
    <x v="30"/>
    <x v="30"/>
    <n v="5.2680000000000001E-3"/>
    <n v="13.417596"/>
    <s v="PS"/>
    <x v="3"/>
    <x v="14"/>
    <s v="Q1"/>
    <n v="108"/>
    <n v="23.583333333333332"/>
    <s v="PG"/>
    <n v="1"/>
    <n v="2547"/>
    <n v="13.417596"/>
    <n v="23.583333333333332"/>
  </r>
  <r>
    <n v="69700048"/>
    <x v="3"/>
    <n v="317"/>
    <d v="2023-03-18T00:00:00"/>
    <x v="288"/>
    <x v="24"/>
    <n v="2.3469132803553457E-3"/>
    <n v="0.7439715098726446"/>
    <s v="GH"/>
    <x v="3"/>
    <x v="4"/>
    <s v="Q1"/>
    <n v="350"/>
    <n v="0.90571428571428569"/>
    <s v="MBG"/>
    <n v="1"/>
    <n v="317"/>
    <n v="0.7439715098726446"/>
    <n v="0.90571428571428569"/>
  </r>
  <r>
    <n v="69700048"/>
    <x v="3"/>
    <n v="1847"/>
    <d v="2023-03-18T00:00:00"/>
    <x v="288"/>
    <x v="24"/>
    <n v="2.3469132803553457E-3"/>
    <n v="4.3347488288163234"/>
    <s v="GH"/>
    <x v="3"/>
    <x v="4"/>
    <s v="Q1"/>
    <n v="350"/>
    <n v="5.2771428571428576"/>
    <s v="MBG"/>
    <n v="1"/>
    <n v="1847"/>
    <n v="4.3347488288163234"/>
    <n v="5.2771428571428576"/>
  </r>
  <r>
    <n v="67309843"/>
    <x v="2"/>
    <n v="0"/>
    <d v="2023-03-19T00:00:00"/>
    <x v="88"/>
    <x v="13"/>
    <n v="8.5199999999999998E-3"/>
    <n v="0"/>
    <s v="BR"/>
    <x v="3"/>
    <x v="2"/>
    <s v="Q1"/>
    <n v="154"/>
    <n v="0"/>
    <s v="48oz"/>
    <n v="1"/>
    <n v="0"/>
    <n v="0"/>
    <n v="0"/>
  </r>
  <r>
    <n v="67309843"/>
    <x v="2"/>
    <n v="0"/>
    <d v="2023-03-19T00:00:00"/>
    <x v="88"/>
    <x v="13"/>
    <n v="8.5199999999999998E-3"/>
    <n v="0"/>
    <s v="BR"/>
    <x v="3"/>
    <x v="2"/>
    <s v="Q1"/>
    <n v="154"/>
    <n v="0"/>
    <s v="48oz"/>
    <n v="1"/>
    <n v="0"/>
    <n v="0"/>
    <n v="0"/>
  </r>
  <r>
    <n v="67465063"/>
    <x v="3"/>
    <n v="3532"/>
    <d v="2023-03-19T00:00:00"/>
    <x v="3"/>
    <x v="6"/>
    <n v="5.2680000000000001E-3"/>
    <n v="18.606576"/>
    <s v="PS"/>
    <x v="3"/>
    <x v="3"/>
    <s v="Q1"/>
    <n v="130"/>
    <n v="27.169230769230769"/>
    <s v="PG"/>
    <n v="1"/>
    <n v="3532"/>
    <n v="18.606576"/>
    <n v="27.169230769230769"/>
  </r>
  <r>
    <n v="67465063"/>
    <x v="3"/>
    <n v="4160"/>
    <d v="2023-03-19T00:00:00"/>
    <x v="3"/>
    <x v="10"/>
    <n v="5.2680000000000001E-3"/>
    <n v="21.91488"/>
    <s v="PS"/>
    <x v="3"/>
    <x v="3"/>
    <s v="Q1"/>
    <n v="130"/>
    <n v="32"/>
    <s v="PG"/>
    <n v="1"/>
    <n v="4160"/>
    <n v="21.91488"/>
    <n v="32"/>
  </r>
  <r>
    <n v="67466492"/>
    <x v="3"/>
    <n v="0"/>
    <d v="2023-03-19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2521"/>
    <d v="2023-03-19T00:00:00"/>
    <x v="8"/>
    <x v="8"/>
    <n v="5.2680000000000001E-3"/>
    <n v="13.280628"/>
    <s v="PS"/>
    <x v="3"/>
    <x v="3"/>
    <s v="Q1"/>
    <n v="130"/>
    <n v="19.392307692307693"/>
    <s v="PG"/>
    <n v="1"/>
    <n v="2521"/>
    <n v="13.280628"/>
    <n v="19.392307692307693"/>
  </r>
  <r>
    <n v="67885719"/>
    <x v="3"/>
    <n v="3341"/>
    <d v="2023-03-19T00:00:00"/>
    <x v="11"/>
    <x v="11"/>
    <n v="8.5199999999999998E-3"/>
    <n v="28.465319999999998"/>
    <s v="BR"/>
    <x v="3"/>
    <x v="6"/>
    <s v="Q1"/>
    <n v="154"/>
    <n v="21.694805194805195"/>
    <s v="48oz"/>
    <n v="1"/>
    <n v="3341"/>
    <n v="28.465319999999998"/>
    <n v="21.694805194805195"/>
  </r>
  <r>
    <n v="67885719"/>
    <x v="2"/>
    <n v="23173"/>
    <d v="2023-03-19T00:00:00"/>
    <x v="11"/>
    <x v="32"/>
    <n v="8.5199999999999998E-3"/>
    <n v="197.43395999999998"/>
    <s v="BR"/>
    <x v="3"/>
    <x v="2"/>
    <s v="Q1"/>
    <n v="154"/>
    <n v="150.47402597402598"/>
    <s v="48oz"/>
    <n v="1"/>
    <n v="23173"/>
    <n v="197.43395999999998"/>
    <n v="150.47402597402598"/>
  </r>
  <r>
    <n v="67885719"/>
    <x v="2"/>
    <n v="7238"/>
    <d v="2023-03-19T00:00:00"/>
    <x v="11"/>
    <x v="2"/>
    <n v="8.5199999999999998E-3"/>
    <n v="61.667760000000001"/>
    <s v="BR"/>
    <x v="3"/>
    <x v="2"/>
    <s v="Q1"/>
    <n v="154"/>
    <n v="47"/>
    <s v="48oz"/>
    <n v="1"/>
    <n v="7238"/>
    <n v="61.667760000000001"/>
    <n v="47"/>
  </r>
  <r>
    <n v="67901585"/>
    <x v="3"/>
    <n v="12896"/>
    <d v="2023-03-19T00:00:00"/>
    <x v="67"/>
    <x v="23"/>
    <n v="8.513999999999999E-3"/>
    <n v="109.79654399999998"/>
    <s v="BR"/>
    <x v="3"/>
    <x v="6"/>
    <s v="Q1"/>
    <n v="154"/>
    <n v="83.740259740259745"/>
    <s v="48oz"/>
    <n v="1"/>
    <n v="12896"/>
    <n v="109.79654399999998"/>
    <n v="83.740259740259745"/>
  </r>
  <r>
    <n v="67901592"/>
    <x v="2"/>
    <n v="380"/>
    <d v="2023-03-19T00:00:00"/>
    <x v="240"/>
    <x v="32"/>
    <n v="8.5199999999999998E-3"/>
    <n v="3.2376"/>
    <s v="BR"/>
    <x v="3"/>
    <x v="2"/>
    <s v="Q1"/>
    <n v="154"/>
    <n v="2.4675324675324677"/>
    <s v="48oz"/>
    <n v="1"/>
    <n v="380"/>
    <n v="3.2376"/>
    <n v="2.4675324675324677"/>
  </r>
  <r>
    <n v="67901593"/>
    <x v="2"/>
    <n v="0"/>
    <d v="2023-03-19T00:00:00"/>
    <x v="68"/>
    <x v="32"/>
    <n v="8.5199999999999998E-3"/>
    <n v="0"/>
    <s v="BR"/>
    <x v="3"/>
    <x v="2"/>
    <s v="Q1"/>
    <n v="154"/>
    <n v="0"/>
    <s v="48oz"/>
    <n v="1"/>
    <n v="0"/>
    <n v="0"/>
    <n v="0"/>
  </r>
  <r>
    <n v="68634167"/>
    <x v="3"/>
    <n v="11675"/>
    <d v="2023-03-19T00:00:00"/>
    <x v="91"/>
    <x v="16"/>
    <n v="8.5199999999999998E-3"/>
    <n v="99.471000000000004"/>
    <s v="BR"/>
    <x v="3"/>
    <x v="6"/>
    <s v="Q1"/>
    <n v="154"/>
    <n v="75.811688311688314"/>
    <s v="48oz"/>
    <n v="1"/>
    <n v="11675"/>
    <n v="99.471000000000004"/>
    <n v="75.811688311688314"/>
  </r>
  <r>
    <n v="68689251"/>
    <x v="3"/>
    <n v="4272"/>
    <d v="2023-03-19T00:00:00"/>
    <x v="17"/>
    <x v="17"/>
    <n v="9.5760000000000012E-3"/>
    <n v="40.908672000000003"/>
    <s v="KL"/>
    <x v="3"/>
    <x v="8"/>
    <s v="Q1"/>
    <n v="132"/>
    <n v="32.363636363636367"/>
    <s v="EDF"/>
    <n v="1"/>
    <n v="4272"/>
    <n v="40.908672000000003"/>
    <n v="32.363636363636367"/>
  </r>
  <r>
    <n v="68689251"/>
    <x v="3"/>
    <n v="14"/>
    <d v="2023-03-19T00:00:00"/>
    <x v="17"/>
    <x v="17"/>
    <n v="9.5760000000000012E-3"/>
    <n v="0.13406400000000002"/>
    <s v="KL"/>
    <x v="3"/>
    <x v="8"/>
    <s v="Q1"/>
    <n v="132"/>
    <n v="0.10606060606060606"/>
    <s v="EDF"/>
    <n v="1"/>
    <n v="14"/>
    <n v="0.13406400000000002"/>
    <n v="0.10606060606060606"/>
  </r>
  <r>
    <n v="68689251"/>
    <x v="3"/>
    <n v="0"/>
    <d v="2023-03-19T00:00:00"/>
    <x v="17"/>
    <x v="20"/>
    <n v="9.5760000000000012E-3"/>
    <n v="0"/>
    <s v="KL"/>
    <x v="3"/>
    <x v="8"/>
    <s v="Q1"/>
    <n v="132"/>
    <n v="0"/>
    <s v="EDF"/>
    <n v="1"/>
    <n v="0"/>
    <n v="0"/>
    <n v="0"/>
  </r>
  <r>
    <n v="68710285"/>
    <x v="3"/>
    <n v="4283"/>
    <d v="2023-03-19T00:00:00"/>
    <x v="74"/>
    <x v="20"/>
    <n v="8.5199999999999998E-3"/>
    <n v="36.491160000000001"/>
    <s v="KL"/>
    <x v="3"/>
    <x v="8"/>
    <s v="Q1"/>
    <n v="132"/>
    <n v="32.446969696969695"/>
    <s v="EDF"/>
    <n v="1"/>
    <n v="4283"/>
    <n v="36.491160000000001"/>
    <n v="32.446969696969695"/>
  </r>
  <r>
    <n v="68730252"/>
    <x v="2"/>
    <n v="0"/>
    <d v="2023-03-19T00:00:00"/>
    <x v="22"/>
    <x v="22"/>
    <n v="3.7853440000000004E-3"/>
    <n v="0"/>
    <s v="TA"/>
    <x v="3"/>
    <x v="10"/>
    <s v="Q1"/>
    <n v="255"/>
    <n v="0"/>
    <s v="TALENTI"/>
    <n v="1"/>
    <n v="0"/>
    <n v="0"/>
    <n v="0"/>
  </r>
  <r>
    <n v="68730252"/>
    <x v="2"/>
    <n v="14586"/>
    <d v="2023-03-19T00:00:00"/>
    <x v="22"/>
    <x v="22"/>
    <n v="3.7853440000000004E-3"/>
    <n v="55.213027584000002"/>
    <s v="TA"/>
    <x v="3"/>
    <x v="10"/>
    <s v="Q1"/>
    <n v="255"/>
    <n v="57.2"/>
    <s v="TALENTI"/>
    <n v="1"/>
    <n v="14586"/>
    <n v="55.213027584000002"/>
    <n v="57.2"/>
  </r>
  <r>
    <n v="68741742"/>
    <x v="2"/>
    <n v="5195"/>
    <d v="2023-03-19T00:00:00"/>
    <x v="25"/>
    <x v="25"/>
    <n v="4.2560000000000002E-3"/>
    <n v="22.109920000000002"/>
    <s v="GH"/>
    <x v="3"/>
    <x v="11"/>
    <s v="Q1"/>
    <n v="154"/>
    <n v="33.733766233766232"/>
    <s v="MBG"/>
    <n v="1"/>
    <n v="5195"/>
    <n v="22.109920000000002"/>
    <n v="33.733766233766232"/>
  </r>
  <r>
    <n v="68746232"/>
    <x v="2"/>
    <n v="5225"/>
    <d v="2023-03-19T00:00:00"/>
    <x v="154"/>
    <x v="26"/>
    <n v="9.5879999999999993E-3"/>
    <n v="50.097299999999997"/>
    <s v="KL"/>
    <x v="3"/>
    <x v="12"/>
    <s v="Q1"/>
    <n v="132"/>
    <n v="39.583333333333336"/>
    <s v="EDF"/>
    <n v="1"/>
    <n v="5225"/>
    <n v="50.097299999999997"/>
    <n v="39.583333333333336"/>
  </r>
  <r>
    <n v="68821728"/>
    <x v="2"/>
    <n v="10107"/>
    <d v="2023-03-19T00:00:00"/>
    <x v="35"/>
    <x v="13"/>
    <n v="8.5199999999999998E-3"/>
    <n v="86.111639999999994"/>
    <s v="BR"/>
    <x v="3"/>
    <x v="2"/>
    <s v="Q1"/>
    <n v="176"/>
    <n v="57.426136363636367"/>
    <s v="48oz"/>
    <n v="1"/>
    <n v="10107"/>
    <n v="86.111639999999994"/>
    <n v="57.426136363636367"/>
  </r>
  <r>
    <n v="68890247"/>
    <x v="2"/>
    <n v="0"/>
    <d v="2023-03-19T00:00:00"/>
    <x v="243"/>
    <x v="2"/>
    <n v="8.5170239596469088E-6"/>
    <n v="0"/>
    <s v="BR"/>
    <x v="3"/>
    <x v="2"/>
    <s v="Q1"/>
    <n v="176"/>
    <n v="0"/>
    <s v="48oz"/>
    <n v="1"/>
    <n v="0"/>
    <n v="0"/>
    <n v="0"/>
  </r>
  <r>
    <n v="68896054"/>
    <x v="2"/>
    <n v="12501"/>
    <d v="2023-03-19T00:00:00"/>
    <x v="181"/>
    <x v="2"/>
    <n v="8.5199999999999998E-3"/>
    <n v="106.50852"/>
    <s v="BR"/>
    <x v="3"/>
    <x v="2"/>
    <s v="Q1"/>
    <n v="176"/>
    <n v="71.028409090909093"/>
    <s v="48oz"/>
    <n v="1"/>
    <n v="12501"/>
    <n v="106.50852"/>
    <n v="71.028409090909093"/>
  </r>
  <r>
    <n v="68896054"/>
    <x v="2"/>
    <n v="1244"/>
    <d v="2023-03-19T00:00:00"/>
    <x v="181"/>
    <x v="2"/>
    <n v="8.5199999999999998E-3"/>
    <n v="10.598879999999999"/>
    <s v="BR"/>
    <x v="3"/>
    <x v="2"/>
    <s v="Q1"/>
    <n v="176"/>
    <n v="7.0681818181818183"/>
    <s v="48oz"/>
    <n v="1"/>
    <n v="1244"/>
    <n v="10.598879999999999"/>
    <n v="7.0681818181818183"/>
  </r>
  <r>
    <n v="69572659"/>
    <x v="2"/>
    <n v="9925"/>
    <d v="2023-03-19T00:00:00"/>
    <x v="5"/>
    <x v="5"/>
    <n v="2.1520000000000003E-3"/>
    <n v="21.358600000000003"/>
    <s v="MG"/>
    <x v="3"/>
    <x v="5"/>
    <s v="Q1"/>
    <n v="210"/>
    <n v="47.261904761904759"/>
    <s v="MG Sticks"/>
    <n v="1"/>
    <n v="9925"/>
    <n v="21.358600000000003"/>
    <n v="47.261904761904759"/>
  </r>
  <r>
    <n v="69621212"/>
    <x v="2"/>
    <n v="3407"/>
    <d v="2023-03-19T00:00:00"/>
    <x v="29"/>
    <x v="28"/>
    <n v="5.2680000000000001E-3"/>
    <n v="17.948076"/>
    <s v="PG"/>
    <x v="3"/>
    <x v="14"/>
    <s v="Q1"/>
    <n v="130"/>
    <n v="26.207692307692309"/>
    <s v="PG"/>
    <n v="1"/>
    <n v="3407"/>
    <n v="17.948076"/>
    <n v="26.207692307692309"/>
  </r>
  <r>
    <n v="69671641"/>
    <x v="3"/>
    <n v="3019"/>
    <d v="2023-03-19T00:00:00"/>
    <x v="260"/>
    <x v="4"/>
    <n v="3.9039999999999999E-3"/>
    <n v="11.786175999999999"/>
    <s v="GH"/>
    <x v="3"/>
    <x v="4"/>
    <s v="Q1"/>
    <n v="154"/>
    <n v="19.603896103896105"/>
    <s v="MBG"/>
    <n v="1"/>
    <n v="3019"/>
    <n v="11.786175999999999"/>
    <n v="19.603896103896105"/>
  </r>
  <r>
    <n v="69677917"/>
    <x v="3"/>
    <n v="2935"/>
    <d v="2023-03-19T00:00:00"/>
    <x v="30"/>
    <x v="29"/>
    <n v="5.2680000000000001E-3"/>
    <n v="15.46158"/>
    <s v="PS"/>
    <x v="3"/>
    <x v="3"/>
    <s v="Q1"/>
    <n v="108"/>
    <n v="27.175925925925927"/>
    <s v="PG"/>
    <n v="1"/>
    <n v="2935"/>
    <n v="15.46158"/>
    <n v="27.175925925925927"/>
  </r>
  <r>
    <n v="69677917"/>
    <x v="2"/>
    <n v="5796"/>
    <d v="2023-03-19T00:00:00"/>
    <x v="30"/>
    <x v="30"/>
    <n v="5.2680000000000001E-3"/>
    <n v="30.533328000000001"/>
    <s v="PS"/>
    <x v="3"/>
    <x v="14"/>
    <s v="Q1"/>
    <n v="108"/>
    <n v="53.666666666666664"/>
    <s v="PG"/>
    <n v="1"/>
    <n v="5796"/>
    <n v="30.533328000000001"/>
    <n v="53.666666666666664"/>
  </r>
  <r>
    <n v="69691816"/>
    <x v="2"/>
    <n v="0"/>
    <d v="2023-03-19T00:00:00"/>
    <x v="139"/>
    <x v="21"/>
    <n v="3.7839999999999996E-3"/>
    <n v="0"/>
    <s v="TA"/>
    <x v="3"/>
    <x v="10"/>
    <s v="Q1"/>
    <n v="255"/>
    <n v="0"/>
    <s v="TALENTI"/>
    <n v="1"/>
    <n v="0"/>
    <n v="0"/>
    <n v="0"/>
  </r>
  <r>
    <n v="69691840"/>
    <x v="2"/>
    <n v="35746"/>
    <d v="2023-03-19T00:00:00"/>
    <x v="106"/>
    <x v="21"/>
    <n v="3.7839999999999996E-3"/>
    <n v="135.26286399999998"/>
    <s v="TA"/>
    <x v="3"/>
    <x v="10"/>
    <s v="Q1"/>
    <n v="255"/>
    <n v="140.18039215686275"/>
    <s v="TALENTI"/>
    <n v="1"/>
    <n v="35746"/>
    <n v="135.26286399999998"/>
    <n v="140.18039215686275"/>
  </r>
  <r>
    <n v="69691840"/>
    <x v="2"/>
    <n v="3658"/>
    <d v="2023-03-19T00:00:00"/>
    <x v="106"/>
    <x v="21"/>
    <n v="3.7839999999999996E-3"/>
    <n v="13.841871999999999"/>
    <s v="TA"/>
    <x v="3"/>
    <x v="10"/>
    <s v="Q1"/>
    <n v="255"/>
    <n v="14.345098039215687"/>
    <s v="TALENTI"/>
    <n v="1"/>
    <n v="3658"/>
    <n v="13.841871999999999"/>
    <n v="14.345098039215687"/>
  </r>
  <r>
    <n v="69700048"/>
    <x v="3"/>
    <n v="1815"/>
    <d v="2023-03-19T00:00:00"/>
    <x v="288"/>
    <x v="24"/>
    <n v="2.3469132803553457E-3"/>
    <n v="4.259647603844952"/>
    <s v="GH"/>
    <x v="3"/>
    <x v="4"/>
    <s v="Q1"/>
    <n v="350"/>
    <n v="5.1857142857142859"/>
    <s v="MBG"/>
    <n v="1"/>
    <n v="1815"/>
    <n v="4.259647603844952"/>
    <n v="5.1857142857142859"/>
  </r>
  <r>
    <n v="84164936"/>
    <x v="5"/>
    <n v="17280"/>
    <d v="2023-03-19T00:00:00"/>
    <x v="162"/>
    <x v="42"/>
    <n v="3.7853439999999999E-3"/>
    <n v="65.410744319999992"/>
    <s v="BJ"/>
    <x v="3"/>
    <x v="15"/>
    <s v="Q1"/>
    <n v="240"/>
    <n v="72"/>
    <s v="BJ PTS"/>
    <n v="1"/>
    <n v="17280"/>
    <n v="65.410744319999992"/>
    <n v="72"/>
  </r>
  <r>
    <n v="67266891"/>
    <x v="5"/>
    <n v="4195"/>
    <d v="2023-03-20T00:00:00"/>
    <x v="303"/>
    <x v="35"/>
    <n v="1.1349999999999999E-2"/>
    <n v="47.613249999999994"/>
    <s v="BR"/>
    <x v="3"/>
    <x v="41"/>
    <s v="Q1"/>
    <n v="120"/>
    <n v="34.958333333333336"/>
    <s v="3 Gal"/>
    <n v="1"/>
    <n v="4195"/>
    <n v="47.613249999999994"/>
    <n v="34.958333333333336"/>
  </r>
  <r>
    <n v="67465063"/>
    <x v="3"/>
    <n v="2885"/>
    <d v="2023-03-20T00:00:00"/>
    <x v="3"/>
    <x v="40"/>
    <n v="5.2680000000000001E-3"/>
    <n v="15.198180000000001"/>
    <s v="PS"/>
    <x v="3"/>
    <x v="3"/>
    <s v="Q1"/>
    <n v="130"/>
    <n v="22.192307692307693"/>
    <s v="PG"/>
    <n v="1"/>
    <n v="2885"/>
    <n v="15.198180000000001"/>
    <n v="22.192307692307693"/>
  </r>
  <r>
    <n v="67465063"/>
    <x v="3"/>
    <n v="3659"/>
    <d v="2023-03-20T00:00:00"/>
    <x v="3"/>
    <x v="6"/>
    <n v="5.2680000000000001E-3"/>
    <n v="19.275611999999999"/>
    <s v="PS"/>
    <x v="3"/>
    <x v="3"/>
    <s v="Q1"/>
    <n v="130"/>
    <n v="28.146153846153847"/>
    <s v="PG"/>
    <n v="1"/>
    <n v="3659"/>
    <n v="19.275611999999999"/>
    <n v="28.146153846153847"/>
  </r>
  <r>
    <n v="67465063"/>
    <x v="3"/>
    <n v="4882"/>
    <d v="2023-03-20T00:00:00"/>
    <x v="3"/>
    <x v="10"/>
    <n v="5.2680000000000001E-3"/>
    <n v="25.718375999999999"/>
    <s v="PS"/>
    <x v="3"/>
    <x v="3"/>
    <s v="Q1"/>
    <n v="130"/>
    <n v="37.553846153846152"/>
    <s v="PG"/>
    <n v="1"/>
    <n v="4882"/>
    <n v="25.718375999999999"/>
    <n v="37.553846153846152"/>
  </r>
  <r>
    <n v="67465064"/>
    <x v="3"/>
    <n v="1739"/>
    <d v="2023-03-20T00:00:00"/>
    <x v="7"/>
    <x v="3"/>
    <n v="1.596E-3"/>
    <n v="2.7754439999999998"/>
    <s v="PS"/>
    <x v="3"/>
    <x v="3"/>
    <s v="Q1"/>
    <n v="130"/>
    <n v="13.376923076923077"/>
    <s v="PG"/>
    <n v="1"/>
    <n v="1739"/>
    <n v="2.7754439999999998"/>
    <n v="13.376923076923077"/>
  </r>
  <r>
    <n v="67466492"/>
    <x v="3"/>
    <n v="1879"/>
    <d v="2023-03-20T00:00:00"/>
    <x v="8"/>
    <x v="7"/>
    <n v="5.2680000000000001E-3"/>
    <n v="9.8985719999999997"/>
    <s v="PS"/>
    <x v="3"/>
    <x v="3"/>
    <s v="Q1"/>
    <n v="130"/>
    <n v="14.453846153846154"/>
    <s v="PG"/>
    <n v="1"/>
    <n v="1879"/>
    <n v="9.8985719999999997"/>
    <n v="14.453846153846154"/>
  </r>
  <r>
    <n v="67466492"/>
    <x v="3"/>
    <n v="0"/>
    <d v="2023-03-20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20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3794"/>
    <d v="2023-03-20T00:00:00"/>
    <x v="8"/>
    <x v="8"/>
    <n v="5.2680000000000001E-3"/>
    <n v="19.986792000000001"/>
    <s v="PS"/>
    <x v="3"/>
    <x v="3"/>
    <s v="Q1"/>
    <n v="130"/>
    <n v="29.184615384615384"/>
    <s v="PG"/>
    <n v="1"/>
    <n v="3794"/>
    <n v="19.986792000000001"/>
    <n v="29.184615384615384"/>
  </r>
  <r>
    <n v="67794169"/>
    <x v="13"/>
    <n v="0"/>
    <d v="2023-03-20T00:00:00"/>
    <x v="33"/>
    <x v="35"/>
    <n v="3.7853439999999999E-3"/>
    <n v="0"/>
    <s v="BJ"/>
    <x v="3"/>
    <x v="36"/>
    <s v="Q1"/>
    <n v="240"/>
    <n v="0"/>
    <s v="BJ PTS"/>
    <n v="1"/>
    <n v="0"/>
    <n v="0"/>
    <n v="0"/>
  </r>
  <r>
    <n v="67885719"/>
    <x v="3"/>
    <n v="9392"/>
    <d v="2023-03-20T00:00:00"/>
    <x v="11"/>
    <x v="11"/>
    <n v="8.5199999999999998E-3"/>
    <n v="80.019840000000002"/>
    <s v="BR"/>
    <x v="3"/>
    <x v="6"/>
    <s v="Q1"/>
    <n v="154"/>
    <n v="60.987012987012989"/>
    <s v="48oz"/>
    <n v="1"/>
    <n v="9392"/>
    <n v="80.019840000000002"/>
    <n v="60.987012987012989"/>
  </r>
  <r>
    <n v="67885719"/>
    <x v="2"/>
    <n v="16567"/>
    <d v="2023-03-20T00:00:00"/>
    <x v="11"/>
    <x v="32"/>
    <n v="8.5199999999999998E-3"/>
    <n v="141.15083999999999"/>
    <s v="BR"/>
    <x v="3"/>
    <x v="2"/>
    <s v="Q1"/>
    <n v="154"/>
    <n v="107.57792207792208"/>
    <s v="48oz"/>
    <n v="1"/>
    <n v="16567"/>
    <n v="141.15083999999999"/>
    <n v="107.57792207792208"/>
  </r>
  <r>
    <n v="67885719"/>
    <x v="2"/>
    <n v="0"/>
    <d v="2023-03-20T00:00:00"/>
    <x v="11"/>
    <x v="32"/>
    <n v="8.5199999999999998E-3"/>
    <n v="0"/>
    <s v="BR"/>
    <x v="3"/>
    <x v="2"/>
    <s v="Q1"/>
    <n v="154"/>
    <n v="0"/>
    <s v="48oz"/>
    <n v="1"/>
    <n v="0"/>
    <n v="0"/>
    <n v="0"/>
  </r>
  <r>
    <n v="67885719"/>
    <x v="2"/>
    <n v="0"/>
    <d v="2023-03-20T00:00:00"/>
    <x v="11"/>
    <x v="2"/>
    <n v="8.5199999999999998E-3"/>
    <n v="0"/>
    <s v="BR"/>
    <x v="3"/>
    <x v="2"/>
    <s v="Q1"/>
    <n v="154"/>
    <n v="0"/>
    <s v="48oz"/>
    <n v="1"/>
    <n v="0"/>
    <n v="0"/>
    <n v="0"/>
  </r>
  <r>
    <n v="67885723"/>
    <x v="3"/>
    <n v="0"/>
    <d v="2023-03-20T00:00:00"/>
    <x v="304"/>
    <x v="16"/>
    <n v="8.5199999999999998E-3"/>
    <n v="0"/>
    <s v="BR"/>
    <x v="3"/>
    <x v="6"/>
    <s v="Q1"/>
    <n v="154"/>
    <n v="0"/>
    <s v="48oz"/>
    <n v="1"/>
    <n v="0"/>
    <n v="0"/>
    <n v="0"/>
  </r>
  <r>
    <n v="67885723"/>
    <x v="3"/>
    <n v="3114"/>
    <d v="2023-03-20T00:00:00"/>
    <x v="304"/>
    <x v="16"/>
    <n v="8.5199999999999998E-3"/>
    <n v="26.531279999999999"/>
    <s v="BR"/>
    <x v="3"/>
    <x v="6"/>
    <s v="Q1"/>
    <n v="154"/>
    <n v="20.220779220779221"/>
    <s v="48oz"/>
    <n v="1"/>
    <n v="3114"/>
    <n v="26.531279999999999"/>
    <n v="20.220779220779221"/>
  </r>
  <r>
    <n v="67885724"/>
    <x v="3"/>
    <n v="13599"/>
    <d v="2023-03-20T00:00:00"/>
    <x v="49"/>
    <x v="12"/>
    <n v="8.5199999999999998E-3"/>
    <n v="115.86348"/>
    <s v="BR"/>
    <x v="3"/>
    <x v="6"/>
    <s v="Q1"/>
    <n v="154"/>
    <n v="88.305194805194802"/>
    <s v="48oz"/>
    <n v="1"/>
    <n v="13599"/>
    <n v="115.86348"/>
    <n v="88.305194805194802"/>
  </r>
  <r>
    <n v="67901585"/>
    <x v="3"/>
    <n v="9407"/>
    <d v="2023-03-20T00:00:00"/>
    <x v="67"/>
    <x v="23"/>
    <n v="8.513999999999999E-3"/>
    <n v="80.091197999999991"/>
    <s v="BR"/>
    <x v="3"/>
    <x v="6"/>
    <s v="Q1"/>
    <n v="154"/>
    <n v="61.084415584415588"/>
    <s v="48oz"/>
    <n v="1"/>
    <n v="9407"/>
    <n v="80.091197999999991"/>
    <n v="61.084415584415588"/>
  </r>
  <r>
    <n v="67901592"/>
    <x v="2"/>
    <n v="1581"/>
    <d v="2023-03-20T00:00:00"/>
    <x v="240"/>
    <x v="32"/>
    <n v="8.5199999999999998E-3"/>
    <n v="13.47012"/>
    <s v="BR"/>
    <x v="3"/>
    <x v="2"/>
    <s v="Q1"/>
    <n v="154"/>
    <n v="10.266233766233766"/>
    <s v="48oz"/>
    <n v="1"/>
    <n v="1581"/>
    <n v="13.47012"/>
    <n v="10.266233766233766"/>
  </r>
  <r>
    <n v="67901592"/>
    <x v="2"/>
    <n v="0"/>
    <d v="2023-03-20T00:00:00"/>
    <x v="240"/>
    <x v="32"/>
    <n v="8.5199999999999998E-3"/>
    <n v="0"/>
    <s v="BR"/>
    <x v="3"/>
    <x v="2"/>
    <s v="Q1"/>
    <n v="154"/>
    <n v="0"/>
    <s v="48oz"/>
    <n v="1"/>
    <n v="0"/>
    <n v="0"/>
    <n v="0"/>
  </r>
  <r>
    <n v="67901593"/>
    <x v="2"/>
    <n v="0"/>
    <d v="2023-03-20T00:00:00"/>
    <x v="68"/>
    <x v="32"/>
    <n v="8.5199999999999998E-3"/>
    <n v="0"/>
    <s v="BR"/>
    <x v="3"/>
    <x v="2"/>
    <s v="Q1"/>
    <n v="154"/>
    <n v="0"/>
    <s v="48oz"/>
    <n v="1"/>
    <n v="0"/>
    <n v="0"/>
    <n v="0"/>
  </r>
  <r>
    <n v="67901593"/>
    <x v="2"/>
    <n v="0"/>
    <d v="2023-03-20T00:00:00"/>
    <x v="68"/>
    <x v="32"/>
    <n v="8.5199999999999998E-3"/>
    <n v="0"/>
    <s v="BR"/>
    <x v="3"/>
    <x v="2"/>
    <s v="Q1"/>
    <n v="154"/>
    <n v="0"/>
    <s v="48oz"/>
    <n v="1"/>
    <n v="0"/>
    <n v="0"/>
    <n v="0"/>
  </r>
  <r>
    <n v="67901593"/>
    <x v="2"/>
    <n v="0"/>
    <d v="2023-03-20T00:00:00"/>
    <x v="68"/>
    <x v="32"/>
    <n v="8.5199999999999998E-3"/>
    <n v="0"/>
    <s v="BR"/>
    <x v="3"/>
    <x v="2"/>
    <s v="Q1"/>
    <n v="154"/>
    <n v="0"/>
    <s v="48oz"/>
    <n v="1"/>
    <n v="0"/>
    <n v="0"/>
    <n v="0"/>
  </r>
  <r>
    <n v="67908208"/>
    <x v="2"/>
    <n v="212"/>
    <d v="2023-03-20T00:00:00"/>
    <x v="225"/>
    <x v="25"/>
    <n v="3.9039999999999999E-3"/>
    <n v="0.82764799999999994"/>
    <s v="GH"/>
    <x v="3"/>
    <x v="11"/>
    <s v="Q1"/>
    <n v="154"/>
    <n v="1.3766233766233766"/>
    <s v="MBG"/>
    <n v="1"/>
    <n v="212"/>
    <n v="0.82764799999999994"/>
    <n v="1.3766233766233766"/>
  </r>
  <r>
    <n v="68300738"/>
    <x v="3"/>
    <n v="4281"/>
    <d v="2023-03-20T00:00:00"/>
    <x v="120"/>
    <x v="19"/>
    <n v="8.4960000000000001E-3"/>
    <n v="36.371375999999998"/>
    <s v="KL"/>
    <x v="3"/>
    <x v="8"/>
    <s v="Q1"/>
    <n v="132"/>
    <n v="32.43181818181818"/>
    <s v="EDF"/>
    <n v="1"/>
    <n v="4281"/>
    <n v="36.371375999999998"/>
    <n v="32.43181818181818"/>
  </r>
  <r>
    <n v="68354588"/>
    <x v="2"/>
    <n v="13517"/>
    <d v="2023-03-20T00:00:00"/>
    <x v="173"/>
    <x v="15"/>
    <n v="3.5999999999999999E-3"/>
    <n v="48.661200000000001"/>
    <s v="BJ"/>
    <x v="3"/>
    <x v="19"/>
    <s v="Q1"/>
    <n v="240"/>
    <n v="56.320833333333333"/>
    <s v="TOPPED"/>
    <n v="1"/>
    <n v="13517"/>
    <n v="48.661200000000001"/>
    <n v="56.320833333333333"/>
  </r>
  <r>
    <n v="68634167"/>
    <x v="3"/>
    <n v="3718"/>
    <d v="2023-03-20T00:00:00"/>
    <x v="91"/>
    <x v="16"/>
    <n v="8.5199999999999998E-3"/>
    <n v="31.67736"/>
    <s v="BR"/>
    <x v="3"/>
    <x v="6"/>
    <s v="Q1"/>
    <n v="154"/>
    <n v="24.142857142857142"/>
    <s v="48oz"/>
    <n v="1"/>
    <n v="3718"/>
    <n v="31.67736"/>
    <n v="24.142857142857142"/>
  </r>
  <r>
    <n v="68689251"/>
    <x v="3"/>
    <n v="0"/>
    <d v="2023-03-20T00:00:00"/>
    <x v="17"/>
    <x v="17"/>
    <n v="9.5760000000000012E-3"/>
    <n v="0"/>
    <s v="KL"/>
    <x v="3"/>
    <x v="8"/>
    <s v="Q1"/>
    <n v="132"/>
    <n v="0"/>
    <s v="EDF"/>
    <n v="1"/>
    <n v="0"/>
    <n v="0"/>
    <n v="0"/>
  </r>
  <r>
    <n v="68689251"/>
    <x v="3"/>
    <n v="6357"/>
    <d v="2023-03-20T00:00:00"/>
    <x v="17"/>
    <x v="20"/>
    <n v="9.5760000000000012E-3"/>
    <n v="60.874632000000005"/>
    <s v="KL"/>
    <x v="3"/>
    <x v="8"/>
    <s v="Q1"/>
    <n v="132"/>
    <n v="48.159090909090907"/>
    <s v="EDF"/>
    <n v="1"/>
    <n v="6357"/>
    <n v="60.874632000000005"/>
    <n v="48.159090909090907"/>
  </r>
  <r>
    <n v="68689251"/>
    <x v="3"/>
    <n v="1080"/>
    <d v="2023-03-20T00:00:00"/>
    <x v="17"/>
    <x v="17"/>
    <n v="9.5760000000000012E-3"/>
    <n v="10.342080000000001"/>
    <s v="KL"/>
    <x v="3"/>
    <x v="8"/>
    <s v="Q1"/>
    <n v="132"/>
    <n v="8.1818181818181817"/>
    <s v="EDF"/>
    <n v="1"/>
    <n v="1080"/>
    <n v="10.342080000000001"/>
    <n v="8.1818181818181817"/>
  </r>
  <r>
    <n v="68730252"/>
    <x v="2"/>
    <n v="6337"/>
    <d v="2023-03-20T00:00:00"/>
    <x v="22"/>
    <x v="21"/>
    <n v="3.7853440000000004E-3"/>
    <n v="23.987724928000002"/>
    <s v="TA"/>
    <x v="3"/>
    <x v="10"/>
    <s v="Q1"/>
    <n v="255"/>
    <n v="24.850980392156863"/>
    <s v="TALENTI"/>
    <n v="1"/>
    <n v="6337"/>
    <n v="23.987724928000002"/>
    <n v="24.850980392156863"/>
  </r>
  <r>
    <n v="68730252"/>
    <x v="2"/>
    <n v="0"/>
    <d v="2023-03-20T00:00:00"/>
    <x v="22"/>
    <x v="21"/>
    <n v="3.7853440000000004E-3"/>
    <n v="0"/>
    <s v="TA"/>
    <x v="3"/>
    <x v="10"/>
    <s v="Q1"/>
    <n v="255"/>
    <n v="0"/>
    <s v="TALENTI"/>
    <n v="1"/>
    <n v="0"/>
    <n v="0"/>
    <n v="0"/>
  </r>
  <r>
    <n v="68730252"/>
    <x v="2"/>
    <n v="10863"/>
    <d v="2023-03-20T00:00:00"/>
    <x v="22"/>
    <x v="21"/>
    <n v="3.7853440000000004E-3"/>
    <n v="41.120191872000007"/>
    <s v="TA"/>
    <x v="3"/>
    <x v="10"/>
    <s v="Q1"/>
    <n v="255"/>
    <n v="42.6"/>
    <s v="TALENTI"/>
    <n v="1"/>
    <n v="10863"/>
    <n v="41.120191872000007"/>
    <n v="42.6"/>
  </r>
  <r>
    <n v="68741742"/>
    <x v="3"/>
    <n v="0"/>
    <d v="2023-03-20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741742"/>
    <x v="3"/>
    <n v="4234"/>
    <d v="2023-03-20T00:00:00"/>
    <x v="25"/>
    <x v="4"/>
    <n v="4.2560000000000002E-3"/>
    <n v="18.019904"/>
    <s v="GH"/>
    <x v="3"/>
    <x v="4"/>
    <s v="Q1"/>
    <n v="154"/>
    <n v="27.493506493506494"/>
    <s v="MBG"/>
    <n v="1"/>
    <n v="4234"/>
    <n v="18.019904"/>
    <n v="27.493506493506494"/>
  </r>
  <r>
    <n v="68741742"/>
    <x v="2"/>
    <n v="177"/>
    <d v="2023-03-20T00:00:00"/>
    <x v="25"/>
    <x v="25"/>
    <n v="4.2560000000000002E-3"/>
    <n v="0.75331200000000009"/>
    <s v="GH"/>
    <x v="3"/>
    <x v="11"/>
    <s v="Q1"/>
    <n v="154"/>
    <n v="1.1493506493506493"/>
    <s v="MBG"/>
    <n v="1"/>
    <n v="177"/>
    <n v="0.75331200000000009"/>
    <n v="1.1493506493506493"/>
  </r>
  <r>
    <n v="68746232"/>
    <x v="2"/>
    <n v="106"/>
    <d v="2023-03-20T00:00:00"/>
    <x v="154"/>
    <x v="26"/>
    <n v="9.5879999999999993E-3"/>
    <n v="1.0163279999999999"/>
    <s v="KL"/>
    <x v="3"/>
    <x v="12"/>
    <s v="Q1"/>
    <n v="132"/>
    <n v="0.80303030303030298"/>
    <s v="EDF"/>
    <n v="1"/>
    <n v="106"/>
    <n v="1.0163279999999999"/>
    <n v="0.80303030303030298"/>
  </r>
  <r>
    <n v="68821728"/>
    <x v="2"/>
    <n v="2149"/>
    <d v="2023-03-20T00:00:00"/>
    <x v="35"/>
    <x v="13"/>
    <n v="8.5199999999999998E-3"/>
    <n v="18.309480000000001"/>
    <s v="BR"/>
    <x v="3"/>
    <x v="2"/>
    <s v="Q1"/>
    <n v="176"/>
    <n v="12.210227272727273"/>
    <s v="48oz"/>
    <n v="1"/>
    <n v="2149"/>
    <n v="18.309480000000001"/>
    <n v="12.210227272727273"/>
  </r>
  <r>
    <n v="68821728"/>
    <x v="2"/>
    <n v="0"/>
    <d v="2023-03-20T00:00:00"/>
    <x v="35"/>
    <x v="13"/>
    <n v="8.5199999999999998E-3"/>
    <n v="0"/>
    <s v="BR"/>
    <x v="3"/>
    <x v="2"/>
    <s v="Q1"/>
    <n v="176"/>
    <n v="0"/>
    <s v="48oz"/>
    <n v="1"/>
    <n v="0"/>
    <n v="0"/>
    <n v="0"/>
  </r>
  <r>
    <n v="68842352"/>
    <x v="4"/>
    <n v="4084"/>
    <d v="2023-03-20T00:00:00"/>
    <x v="76"/>
    <x v="0"/>
    <n v="2.6610000000000002E-3"/>
    <n v="10.867524000000001"/>
    <s v="KL"/>
    <x v="3"/>
    <x v="13"/>
    <s v="Q1"/>
    <n v="220"/>
    <n v="18.563636363636363"/>
    <s v="KL Mini Cones"/>
    <n v="1"/>
    <n v="4084"/>
    <n v="10.867524000000001"/>
    <n v="18.563636363636363"/>
  </r>
  <r>
    <n v="68852583"/>
    <x v="2"/>
    <n v="1131"/>
    <d v="2023-03-20T00:00:00"/>
    <x v="227"/>
    <x v="26"/>
    <n v="8.5199999999999998E-3"/>
    <n v="9.63612"/>
    <s v="KL"/>
    <x v="3"/>
    <x v="12"/>
    <s v="Q1"/>
    <n v="132"/>
    <n v="8.5681818181818183"/>
    <s v="EDF"/>
    <n v="1"/>
    <n v="1131"/>
    <n v="9.63612"/>
    <n v="8.5681818181818183"/>
  </r>
  <r>
    <n v="68889812"/>
    <x v="2"/>
    <n v="3601"/>
    <d v="2023-03-20T00:00:00"/>
    <x v="27"/>
    <x v="27"/>
    <n v="3.192E-3"/>
    <n v="11.494391999999999"/>
    <s v="KL"/>
    <x v="3"/>
    <x v="9"/>
    <s v="Q1"/>
    <n v="300"/>
    <n v="12.003333333333334"/>
    <s v="ESS"/>
    <n v="1"/>
    <n v="3601"/>
    <n v="11.494391999999999"/>
    <n v="12.003333333333334"/>
  </r>
  <r>
    <n v="68889813"/>
    <x v="2"/>
    <n v="5159"/>
    <d v="2023-03-20T00:00:00"/>
    <x v="297"/>
    <x v="18"/>
    <n v="2.8380000000000002E-3"/>
    <n v="14.641242000000002"/>
    <s v="KL"/>
    <x v="3"/>
    <x v="9"/>
    <s v="Q1"/>
    <n v="264"/>
    <n v="19.541666666666668"/>
    <s v="ESS"/>
    <n v="1"/>
    <n v="5159"/>
    <n v="14.641242000000002"/>
    <n v="19.541666666666668"/>
  </r>
  <r>
    <n v="68922011"/>
    <x v="2"/>
    <n v="11822"/>
    <d v="2023-03-20T00:00:00"/>
    <x v="261"/>
    <x v="22"/>
    <n v="3.7853440000000004E-3"/>
    <n v="44.750336768000004"/>
    <s v="TA"/>
    <x v="3"/>
    <x v="10"/>
    <s v="Q1"/>
    <n v="255"/>
    <n v="46.360784313725489"/>
    <s v="TALENTI"/>
    <n v="1"/>
    <n v="11822"/>
    <n v="44.750336768000004"/>
    <n v="46.360784313725489"/>
  </r>
  <r>
    <n v="68922011"/>
    <x v="2"/>
    <n v="0"/>
    <d v="2023-03-20T00:00:00"/>
    <x v="261"/>
    <x v="22"/>
    <n v="3.7853440000000004E-3"/>
    <n v="0"/>
    <s v="TA"/>
    <x v="3"/>
    <x v="10"/>
    <s v="Q1"/>
    <n v="255"/>
    <n v="0"/>
    <s v="TALENTI"/>
    <n v="1"/>
    <n v="0"/>
    <n v="0"/>
    <n v="0"/>
  </r>
  <r>
    <n v="68927904"/>
    <x v="1"/>
    <n v="4398"/>
    <d v="2023-03-20T00:00:00"/>
    <x v="305"/>
    <x v="0"/>
    <n v="3.3E-4"/>
    <n v="1.4513400000000001"/>
    <s v="MG"/>
    <x v="3"/>
    <x v="22"/>
    <s v="Q1"/>
    <n v="160"/>
    <n v="27.487500000000001"/>
    <s v="MG Sticks"/>
    <n v="1"/>
    <n v="4398"/>
    <n v="1.4513400000000001"/>
    <n v="27.487500000000001"/>
  </r>
  <r>
    <n v="69548143"/>
    <x v="3"/>
    <n v="0"/>
    <d v="2023-03-20T00:00:00"/>
    <x v="159"/>
    <x v="36"/>
    <n v="3.192E-3"/>
    <n v="0"/>
    <s v="KL"/>
    <x v="3"/>
    <x v="28"/>
    <s v="Q1"/>
    <n v="345"/>
    <n v="0"/>
    <s v="EFW"/>
    <n v="1"/>
    <n v="0"/>
    <n v="0"/>
    <n v="0"/>
  </r>
  <r>
    <n v="69555091"/>
    <x v="2"/>
    <n v="7467"/>
    <d v="2023-03-20T00:00:00"/>
    <x v="195"/>
    <x v="14"/>
    <n v="1.98E-3"/>
    <n v="14.784660000000001"/>
    <s v="TA"/>
    <x v="3"/>
    <x v="42"/>
    <s v="Q1"/>
    <n v="176"/>
    <n v="42.426136363636367"/>
    <s v="TAL NV"/>
    <n v="1"/>
    <n v="7467"/>
    <n v="14.784660000000001"/>
    <n v="42.426136363636367"/>
  </r>
  <r>
    <n v="69572657"/>
    <x v="2"/>
    <n v="0"/>
    <d v="2023-03-20T00:00:00"/>
    <x v="306"/>
    <x v="5"/>
    <n v="2.1520000000000003E-3"/>
    <n v="0"/>
    <s v="MG"/>
    <x v="3"/>
    <x v="5"/>
    <s v="Q1"/>
    <n v="210"/>
    <n v="0"/>
    <s v="MG Sticks"/>
    <n v="1"/>
    <n v="0"/>
    <n v="0"/>
    <n v="0"/>
  </r>
  <r>
    <n v="69572659"/>
    <x v="2"/>
    <n v="8024"/>
    <d v="2023-03-20T00:00:00"/>
    <x v="5"/>
    <x v="5"/>
    <n v="2.1520000000000003E-3"/>
    <n v="17.267648000000001"/>
    <s v="MG"/>
    <x v="3"/>
    <x v="5"/>
    <s v="Q1"/>
    <n v="210"/>
    <n v="38.209523809523809"/>
    <s v="MG Sticks"/>
    <n v="1"/>
    <n v="8024"/>
    <n v="17.267648000000001"/>
    <n v="38.209523809523809"/>
  </r>
  <r>
    <n v="69621212"/>
    <x v="2"/>
    <n v="5221"/>
    <d v="2023-03-20T00:00:00"/>
    <x v="29"/>
    <x v="28"/>
    <n v="5.2680000000000001E-3"/>
    <n v="27.504228000000001"/>
    <s v="PG"/>
    <x v="3"/>
    <x v="14"/>
    <s v="Q1"/>
    <n v="130"/>
    <n v="40.161538461538463"/>
    <s v="PG"/>
    <n v="1"/>
    <n v="5221"/>
    <n v="27.504228000000001"/>
    <n v="40.161538461538463"/>
  </r>
  <r>
    <n v="69677917"/>
    <x v="3"/>
    <n v="1384"/>
    <d v="2023-03-20T00:00:00"/>
    <x v="30"/>
    <x v="29"/>
    <n v="5.2680000000000001E-3"/>
    <n v="7.2909120000000005"/>
    <s v="PS"/>
    <x v="3"/>
    <x v="3"/>
    <s v="Q1"/>
    <n v="108"/>
    <n v="12.814814814814815"/>
    <s v="PG"/>
    <n v="1"/>
    <n v="1384"/>
    <n v="7.2909120000000005"/>
    <n v="12.814814814814815"/>
  </r>
  <r>
    <n v="69677917"/>
    <x v="2"/>
    <n v="3919"/>
    <d v="2023-03-20T00:00:00"/>
    <x v="30"/>
    <x v="30"/>
    <n v="5.2680000000000001E-3"/>
    <n v="20.645292000000001"/>
    <s v="PS"/>
    <x v="3"/>
    <x v="14"/>
    <s v="Q1"/>
    <n v="108"/>
    <n v="36.287037037037038"/>
    <s v="PG"/>
    <n v="1"/>
    <n v="3919"/>
    <n v="20.645292000000001"/>
    <n v="36.287037037037038"/>
  </r>
  <r>
    <n v="69684522"/>
    <x v="2"/>
    <n v="7447"/>
    <d v="2023-03-20T00:00:00"/>
    <x v="31"/>
    <x v="31"/>
    <n v="4.2560000000000002E-3"/>
    <n v="31.694432000000003"/>
    <s v="BR"/>
    <x v="3"/>
    <x v="5"/>
    <s v="Q1"/>
    <n v="143"/>
    <n v="52.07692307692308"/>
    <s v="MG Sticks"/>
    <n v="1"/>
    <n v="7447"/>
    <n v="31.694432000000003"/>
    <n v="52.07692307692308"/>
  </r>
  <r>
    <n v="69691816"/>
    <x v="2"/>
    <n v="5450"/>
    <d v="2023-03-20T00:00:00"/>
    <x v="139"/>
    <x v="21"/>
    <n v="3.7839999999999996E-3"/>
    <n v="20.622799999999998"/>
    <s v="TA"/>
    <x v="3"/>
    <x v="10"/>
    <s v="Q1"/>
    <n v="255"/>
    <n v="21.372549019607842"/>
    <s v="TALENTI"/>
    <n v="1"/>
    <n v="5450"/>
    <n v="20.622799999999998"/>
    <n v="21.372549019607842"/>
  </r>
  <r>
    <n v="69700048"/>
    <x v="3"/>
    <n v="5421"/>
    <d v="2023-03-20T00:00:00"/>
    <x v="288"/>
    <x v="24"/>
    <n v="2.3469132803553457E-3"/>
    <n v="12.722616892806329"/>
    <s v="GH"/>
    <x v="3"/>
    <x v="4"/>
    <s v="Q1"/>
    <n v="350"/>
    <n v="15.488571428571429"/>
    <s v="MBG"/>
    <n v="1"/>
    <n v="5421"/>
    <n v="12.722616892806329"/>
    <n v="15.488571428571429"/>
  </r>
  <r>
    <n v="84141102"/>
    <x v="5"/>
    <n v="64335"/>
    <d v="2023-03-20T00:00:00"/>
    <x v="217"/>
    <x v="38"/>
    <n v="3.7853439999999999E-3"/>
    <n v="243.53010624000001"/>
    <s v="BJ"/>
    <x v="3"/>
    <x v="15"/>
    <s v="Q1"/>
    <n v="240"/>
    <n v="268.0625"/>
    <s v="BJ PTS"/>
    <n v="1"/>
    <n v="64335"/>
    <n v="243.53010624000001"/>
    <n v="268.0625"/>
  </r>
  <r>
    <n v="84164936"/>
    <x v="5"/>
    <n v="10395"/>
    <d v="2023-03-20T00:00:00"/>
    <x v="162"/>
    <x v="42"/>
    <n v="3.7853439999999999E-3"/>
    <n v="39.348650880000001"/>
    <s v="BJ"/>
    <x v="3"/>
    <x v="15"/>
    <s v="Q1"/>
    <n v="240"/>
    <n v="43.3125"/>
    <s v="BJ PTS"/>
    <n v="1"/>
    <n v="10395"/>
    <n v="39.348650880000001"/>
    <n v="43.3125"/>
  </r>
  <r>
    <n v="67309841"/>
    <x v="2"/>
    <n v="0"/>
    <d v="2023-03-21T00:00:00"/>
    <x v="32"/>
    <x v="13"/>
    <n v="8.5199999999999998E-3"/>
    <n v="0"/>
    <s v="BR"/>
    <x v="3"/>
    <x v="2"/>
    <s v="Q1"/>
    <n v="154"/>
    <n v="0"/>
    <s v="48oz"/>
    <n v="1"/>
    <n v="0"/>
    <n v="0"/>
    <n v="0"/>
  </r>
  <r>
    <n v="67309843"/>
    <x v="2"/>
    <n v="0"/>
    <d v="2023-03-21T00:00:00"/>
    <x v="88"/>
    <x v="13"/>
    <n v="8.5199999999999998E-3"/>
    <n v="0"/>
    <s v="BR"/>
    <x v="3"/>
    <x v="2"/>
    <s v="Q1"/>
    <n v="154"/>
    <n v="0"/>
    <s v="48oz"/>
    <n v="1"/>
    <n v="0"/>
    <n v="0"/>
    <n v="0"/>
  </r>
  <r>
    <n v="67309843"/>
    <x v="2"/>
    <n v="113"/>
    <d v="2023-03-21T00:00:00"/>
    <x v="88"/>
    <x v="13"/>
    <n v="8.5199999999999998E-3"/>
    <n v="0.96275999999999995"/>
    <s v="BR"/>
    <x v="3"/>
    <x v="2"/>
    <s v="Q1"/>
    <n v="154"/>
    <n v="0.73376623376623373"/>
    <s v="48oz"/>
    <n v="1"/>
    <n v="113"/>
    <n v="0.96275999999999995"/>
    <n v="0.73376623376623373"/>
  </r>
  <r>
    <n v="67465063"/>
    <x v="3"/>
    <n v="1393"/>
    <d v="2023-03-21T00:00:00"/>
    <x v="3"/>
    <x v="40"/>
    <n v="5.2680000000000001E-3"/>
    <n v="7.3383240000000001"/>
    <s v="PS"/>
    <x v="3"/>
    <x v="3"/>
    <s v="Q1"/>
    <n v="130"/>
    <n v="10.715384615384615"/>
    <s v="PG"/>
    <n v="1"/>
    <n v="1393"/>
    <n v="7.3383240000000001"/>
    <n v="10.715384615384615"/>
  </r>
  <r>
    <n v="67465063"/>
    <x v="3"/>
    <n v="3650"/>
    <d v="2023-03-21T00:00:00"/>
    <x v="3"/>
    <x v="6"/>
    <n v="5.2680000000000001E-3"/>
    <n v="19.228200000000001"/>
    <s v="PS"/>
    <x v="3"/>
    <x v="3"/>
    <s v="Q1"/>
    <n v="130"/>
    <n v="28.076923076923077"/>
    <s v="PG"/>
    <n v="1"/>
    <n v="3650"/>
    <n v="19.228200000000001"/>
    <n v="28.076923076923077"/>
  </r>
  <r>
    <n v="67465063"/>
    <x v="3"/>
    <n v="2796"/>
    <d v="2023-03-21T00:00:00"/>
    <x v="3"/>
    <x v="10"/>
    <n v="5.2680000000000001E-3"/>
    <n v="14.729328000000001"/>
    <s v="PS"/>
    <x v="3"/>
    <x v="3"/>
    <s v="Q1"/>
    <n v="130"/>
    <n v="21.507692307692309"/>
    <s v="PG"/>
    <n v="1"/>
    <n v="2796"/>
    <n v="14.729328000000001"/>
    <n v="21.507692307692309"/>
  </r>
  <r>
    <n v="67465064"/>
    <x v="3"/>
    <n v="2539"/>
    <d v="2023-03-21T00:00:00"/>
    <x v="7"/>
    <x v="3"/>
    <n v="1.596E-3"/>
    <n v="4.052244"/>
    <s v="PS"/>
    <x v="3"/>
    <x v="3"/>
    <s v="Q1"/>
    <n v="130"/>
    <n v="19.530769230769231"/>
    <s v="PG"/>
    <n v="1"/>
    <n v="2539"/>
    <n v="4.052244"/>
    <n v="19.530769230769231"/>
  </r>
  <r>
    <n v="67466492"/>
    <x v="3"/>
    <n v="3771"/>
    <d v="2023-03-21T00:00:00"/>
    <x v="8"/>
    <x v="7"/>
    <n v="5.2680000000000001E-3"/>
    <n v="19.865628000000001"/>
    <s v="PS"/>
    <x v="3"/>
    <x v="3"/>
    <s v="Q1"/>
    <n v="130"/>
    <n v="29.007692307692309"/>
    <s v="PG"/>
    <n v="1"/>
    <n v="3771"/>
    <n v="19.865628000000001"/>
    <n v="29.007692307692309"/>
  </r>
  <r>
    <n v="67466492"/>
    <x v="3"/>
    <n v="0"/>
    <d v="2023-03-21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21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2804"/>
    <d v="2023-03-21T00:00:00"/>
    <x v="8"/>
    <x v="8"/>
    <n v="5.2680000000000001E-3"/>
    <n v="14.771472000000001"/>
    <s v="PS"/>
    <x v="3"/>
    <x v="3"/>
    <s v="Q1"/>
    <n v="130"/>
    <n v="21.569230769230771"/>
    <s v="PG"/>
    <n v="1"/>
    <n v="2804"/>
    <n v="14.771472000000001"/>
    <n v="21.569230769230771"/>
  </r>
  <r>
    <n v="67885719"/>
    <x v="3"/>
    <n v="14967"/>
    <d v="2023-03-21T00:00:00"/>
    <x v="11"/>
    <x v="11"/>
    <n v="8.5199999999999998E-3"/>
    <n v="127.51884"/>
    <s v="BR"/>
    <x v="3"/>
    <x v="6"/>
    <s v="Q1"/>
    <n v="154"/>
    <n v="97.188311688311686"/>
    <s v="48oz"/>
    <n v="1"/>
    <n v="14967"/>
    <n v="127.51884"/>
    <n v="97.188311688311686"/>
  </r>
  <r>
    <n v="67885723"/>
    <x v="3"/>
    <n v="4466"/>
    <d v="2023-03-21T00:00:00"/>
    <x v="304"/>
    <x v="16"/>
    <n v="8.5199999999999998E-3"/>
    <n v="38.050319999999999"/>
    <s v="BR"/>
    <x v="3"/>
    <x v="6"/>
    <s v="Q1"/>
    <n v="154"/>
    <n v="29"/>
    <s v="48oz"/>
    <n v="1"/>
    <n v="4466"/>
    <n v="38.050319999999999"/>
    <n v="29"/>
  </r>
  <r>
    <n v="67885724"/>
    <x v="3"/>
    <n v="15312"/>
    <d v="2023-03-21T00:00:00"/>
    <x v="49"/>
    <x v="12"/>
    <n v="8.5199999999999998E-3"/>
    <n v="130.45823999999999"/>
    <s v="BR"/>
    <x v="3"/>
    <x v="6"/>
    <s v="Q1"/>
    <n v="154"/>
    <n v="99.428571428571431"/>
    <s v="48oz"/>
    <n v="1"/>
    <n v="15312"/>
    <n v="130.45823999999999"/>
    <n v="99.428571428571431"/>
  </r>
  <r>
    <n v="67901592"/>
    <x v="2"/>
    <n v="9328"/>
    <d v="2023-03-21T00:00:00"/>
    <x v="240"/>
    <x v="32"/>
    <n v="8.5199999999999998E-3"/>
    <n v="79.474559999999997"/>
    <s v="BR"/>
    <x v="3"/>
    <x v="2"/>
    <s v="Q1"/>
    <n v="154"/>
    <n v="60.571428571428569"/>
    <s v="48oz"/>
    <n v="1"/>
    <n v="9328"/>
    <n v="79.474559999999997"/>
    <n v="60.571428571428569"/>
  </r>
  <r>
    <n v="67901593"/>
    <x v="2"/>
    <n v="6306"/>
    <d v="2023-03-21T00:00:00"/>
    <x v="68"/>
    <x v="32"/>
    <n v="8.5199999999999998E-3"/>
    <n v="53.727119999999999"/>
    <s v="BR"/>
    <x v="3"/>
    <x v="2"/>
    <s v="Q1"/>
    <n v="154"/>
    <n v="40.948051948051948"/>
    <s v="48oz"/>
    <n v="1"/>
    <n v="6306"/>
    <n v="53.727119999999999"/>
    <n v="40.948051948051948"/>
  </r>
  <r>
    <n v="67908208"/>
    <x v="2"/>
    <n v="3648"/>
    <d v="2023-03-21T00:00:00"/>
    <x v="225"/>
    <x v="25"/>
    <n v="3.9039999999999999E-3"/>
    <n v="14.241792"/>
    <s v="GH"/>
    <x v="3"/>
    <x v="11"/>
    <s v="Q1"/>
    <n v="154"/>
    <n v="23.688311688311689"/>
    <s v="MBG"/>
    <n v="1"/>
    <n v="3648"/>
    <n v="14.241792"/>
    <n v="23.688311688311689"/>
  </r>
  <r>
    <n v="68300738"/>
    <x v="3"/>
    <n v="6332"/>
    <d v="2023-03-21T00:00:00"/>
    <x v="120"/>
    <x v="19"/>
    <n v="8.4960000000000001E-3"/>
    <n v="53.796672000000001"/>
    <s v="KL"/>
    <x v="3"/>
    <x v="8"/>
    <s v="Q1"/>
    <n v="132"/>
    <n v="47.969696969696969"/>
    <s v="EDF"/>
    <n v="1"/>
    <n v="6332"/>
    <n v="53.796672000000001"/>
    <n v="47.969696969696969"/>
  </r>
  <r>
    <n v="68354588"/>
    <x v="2"/>
    <n v="20176"/>
    <d v="2023-03-21T00:00:00"/>
    <x v="173"/>
    <x v="15"/>
    <n v="3.5999999999999999E-3"/>
    <n v="72.633600000000001"/>
    <s v="BJ"/>
    <x v="3"/>
    <x v="19"/>
    <s v="Q1"/>
    <n v="240"/>
    <n v="84.066666666666663"/>
    <s v="TOPPED"/>
    <n v="1"/>
    <n v="20176"/>
    <n v="72.633600000000001"/>
    <n v="84.066666666666663"/>
  </r>
  <r>
    <n v="68689251"/>
    <x v="3"/>
    <n v="3592"/>
    <d v="2023-03-21T00:00:00"/>
    <x v="17"/>
    <x v="17"/>
    <n v="9.5760000000000012E-3"/>
    <n v="34.396992000000004"/>
    <s v="KL"/>
    <x v="3"/>
    <x v="8"/>
    <s v="Q1"/>
    <n v="132"/>
    <n v="27.212121212121211"/>
    <s v="EDF"/>
    <n v="1"/>
    <n v="3592"/>
    <n v="34.396992000000004"/>
    <n v="27.212121212121211"/>
  </r>
  <r>
    <n v="68689251"/>
    <x v="3"/>
    <n v="6751"/>
    <d v="2023-03-21T00:00:00"/>
    <x v="17"/>
    <x v="20"/>
    <n v="9.5760000000000012E-3"/>
    <n v="64.647576000000015"/>
    <s v="KL"/>
    <x v="3"/>
    <x v="8"/>
    <s v="Q1"/>
    <n v="132"/>
    <n v="51.143939393939391"/>
    <s v="EDF"/>
    <n v="1"/>
    <n v="6751"/>
    <n v="64.647576000000015"/>
    <n v="51.143939393939391"/>
  </r>
  <r>
    <n v="68728263"/>
    <x v="2"/>
    <n v="0"/>
    <d v="2023-03-21T00:00:00"/>
    <x v="307"/>
    <x v="22"/>
    <n v="3.7853439999999999E-3"/>
    <n v="0"/>
    <s v="TA"/>
    <x v="3"/>
    <x v="10"/>
    <s v="Q1"/>
    <n v="255"/>
    <n v="0"/>
    <s v="TALENTI"/>
    <n v="1"/>
    <n v="0"/>
    <n v="0"/>
    <n v="0"/>
  </r>
  <r>
    <n v="68730252"/>
    <x v="2"/>
    <n v="0"/>
    <d v="2023-03-21T00:00:00"/>
    <x v="22"/>
    <x v="22"/>
    <n v="3.7853440000000004E-3"/>
    <n v="0"/>
    <s v="TA"/>
    <x v="3"/>
    <x v="10"/>
    <s v="Q1"/>
    <n v="255"/>
    <n v="0"/>
    <s v="TALENTI"/>
    <n v="1"/>
    <n v="0"/>
    <n v="0"/>
    <n v="0"/>
  </r>
  <r>
    <n v="68737750"/>
    <x v="3"/>
    <n v="0"/>
    <d v="2023-03-21T00:00:00"/>
    <x v="144"/>
    <x v="23"/>
    <n v="8.5199999999999998E-3"/>
    <n v="0"/>
    <s v="BR"/>
    <x v="3"/>
    <x v="6"/>
    <s v="Q1"/>
    <n v="176"/>
    <n v="0"/>
    <s v="48oz"/>
    <n v="1"/>
    <n v="0"/>
    <n v="0"/>
    <n v="0"/>
  </r>
  <r>
    <n v="68741742"/>
    <x v="3"/>
    <n v="6037"/>
    <d v="2023-03-21T00:00:00"/>
    <x v="25"/>
    <x v="4"/>
    <n v="4.2560000000000002E-3"/>
    <n v="25.693472"/>
    <s v="GH"/>
    <x v="3"/>
    <x v="4"/>
    <s v="Q1"/>
    <n v="154"/>
    <n v="39.201298701298704"/>
    <s v="MBG"/>
    <n v="1"/>
    <n v="6037"/>
    <n v="25.693472"/>
    <n v="39.201298701298704"/>
  </r>
  <r>
    <n v="68821728"/>
    <x v="2"/>
    <n v="5730"/>
    <d v="2023-03-21T00:00:00"/>
    <x v="35"/>
    <x v="13"/>
    <n v="8.5199999999999998E-3"/>
    <n v="48.819600000000001"/>
    <s v="BR"/>
    <x v="3"/>
    <x v="2"/>
    <s v="Q1"/>
    <n v="176"/>
    <n v="32.55681818181818"/>
    <s v="48oz"/>
    <n v="1"/>
    <n v="5730"/>
    <n v="48.819600000000001"/>
    <n v="32.55681818181818"/>
  </r>
  <r>
    <n v="68829292"/>
    <x v="1"/>
    <n v="1260"/>
    <d v="2023-03-21T00:00:00"/>
    <x v="308"/>
    <x v="0"/>
    <n v="1.08E-3"/>
    <n v="1.3608"/>
    <s v="MG"/>
    <x v="3"/>
    <x v="22"/>
    <s v="Q1"/>
    <n v="493"/>
    <n v="2.5557809330628802"/>
    <s v="MG Sticks"/>
    <n v="1"/>
    <n v="1260"/>
    <n v="1.3608"/>
    <n v="2.5557809330628802"/>
  </r>
  <r>
    <n v="68842352"/>
    <x v="4"/>
    <n v="3955"/>
    <d v="2023-03-21T00:00:00"/>
    <x v="76"/>
    <x v="0"/>
    <n v="2.6610000000000002E-3"/>
    <n v="10.524255"/>
    <s v="KL"/>
    <x v="3"/>
    <x v="13"/>
    <s v="Q1"/>
    <n v="220"/>
    <n v="17.977272727272727"/>
    <s v="KL Mini Cones"/>
    <n v="1"/>
    <n v="3955"/>
    <n v="10.524255"/>
    <n v="17.977272727272727"/>
  </r>
  <r>
    <n v="68852583"/>
    <x v="2"/>
    <n v="3975"/>
    <d v="2023-03-21T00:00:00"/>
    <x v="227"/>
    <x v="26"/>
    <n v="8.5199999999999998E-3"/>
    <n v="33.866999999999997"/>
    <s v="KL"/>
    <x v="3"/>
    <x v="12"/>
    <s v="Q1"/>
    <n v="132"/>
    <n v="30.113636363636363"/>
    <s v="EDF"/>
    <n v="1"/>
    <n v="3975"/>
    <n v="33.866999999999997"/>
    <n v="30.113636363636363"/>
  </r>
  <r>
    <n v="68889812"/>
    <x v="2"/>
    <n v="5859"/>
    <d v="2023-03-21T00:00:00"/>
    <x v="27"/>
    <x v="27"/>
    <n v="3.192E-3"/>
    <n v="18.701927999999999"/>
    <s v="KL"/>
    <x v="3"/>
    <x v="9"/>
    <s v="Q1"/>
    <n v="300"/>
    <n v="19.53"/>
    <s v="ESS"/>
    <n v="1"/>
    <n v="5859"/>
    <n v="18.701927999999999"/>
    <n v="19.53"/>
  </r>
  <r>
    <n v="68889813"/>
    <x v="2"/>
    <n v="5544"/>
    <d v="2023-03-21T00:00:00"/>
    <x v="297"/>
    <x v="18"/>
    <n v="2.8380000000000002E-3"/>
    <n v="15.733872000000002"/>
    <s v="KL"/>
    <x v="3"/>
    <x v="9"/>
    <s v="Q1"/>
    <n v="264"/>
    <n v="21"/>
    <s v="ESS"/>
    <n v="1"/>
    <n v="5544"/>
    <n v="15.733872000000002"/>
    <n v="21"/>
  </r>
  <r>
    <n v="68890247"/>
    <x v="2"/>
    <n v="516"/>
    <d v="2023-03-21T00:00:00"/>
    <x v="243"/>
    <x v="2"/>
    <n v="8.5170239596469088E-6"/>
    <n v="4.3947843631778052E-3"/>
    <s v="BR"/>
    <x v="3"/>
    <x v="2"/>
    <s v="Q1"/>
    <n v="176"/>
    <n v="2.9318181818181817"/>
    <s v="48oz"/>
    <n v="1"/>
    <n v="516"/>
    <n v="4.3947843631778052E-3"/>
    <n v="2.9318181818181817"/>
  </r>
  <r>
    <n v="68890247"/>
    <x v="2"/>
    <n v="12286"/>
    <d v="2023-03-21T00:00:00"/>
    <x v="243"/>
    <x v="2"/>
    <n v="8.5170239596469088E-6"/>
    <n v="0.10464015636822192"/>
    <s v="BR"/>
    <x v="3"/>
    <x v="2"/>
    <s v="Q1"/>
    <n v="176"/>
    <n v="69.806818181818187"/>
    <s v="48oz"/>
    <n v="1"/>
    <n v="12286"/>
    <n v="0.10464015636822192"/>
    <n v="69.806818181818187"/>
  </r>
  <r>
    <n v="68922011"/>
    <x v="2"/>
    <n v="12955"/>
    <d v="2023-03-21T00:00:00"/>
    <x v="261"/>
    <x v="22"/>
    <n v="3.7853440000000004E-3"/>
    <n v="49.039131520000005"/>
    <s v="TA"/>
    <x v="3"/>
    <x v="10"/>
    <s v="Q1"/>
    <n v="255"/>
    <n v="50.803921568627452"/>
    <s v="TALENTI"/>
    <n v="1"/>
    <n v="12955"/>
    <n v="49.039131520000005"/>
    <n v="50.803921568627452"/>
  </r>
  <r>
    <n v="68922011"/>
    <x v="2"/>
    <n v="0"/>
    <d v="2023-03-21T00:00:00"/>
    <x v="261"/>
    <x v="22"/>
    <n v="3.7853440000000004E-3"/>
    <n v="0"/>
    <s v="TA"/>
    <x v="3"/>
    <x v="10"/>
    <s v="Q1"/>
    <n v="255"/>
    <n v="0"/>
    <s v="TALENTI"/>
    <n v="1"/>
    <n v="0"/>
    <n v="0"/>
    <n v="0"/>
  </r>
  <r>
    <n v="68927903"/>
    <x v="1"/>
    <n v="4185"/>
    <d v="2023-03-21T00:00:00"/>
    <x v="56"/>
    <x v="0"/>
    <n v="2.16E-3"/>
    <n v="9.0396000000000001"/>
    <s v="MG"/>
    <x v="3"/>
    <x v="22"/>
    <s v="Q1"/>
    <n v="160"/>
    <n v="26.15625"/>
    <s v="MG Sticks"/>
    <n v="1"/>
    <n v="4185"/>
    <n v="9.0396000000000001"/>
    <n v="26.15625"/>
  </r>
  <r>
    <n v="68927904"/>
    <x v="1"/>
    <n v="2240"/>
    <d v="2023-03-21T00:00:00"/>
    <x v="305"/>
    <x v="0"/>
    <n v="3.3E-4"/>
    <n v="0.73919999999999997"/>
    <s v="MG"/>
    <x v="3"/>
    <x v="22"/>
    <s v="Q1"/>
    <n v="160"/>
    <n v="14"/>
    <s v="MG Sticks"/>
    <n v="1"/>
    <n v="2240"/>
    <n v="0.73919999999999997"/>
    <n v="14"/>
  </r>
  <r>
    <n v="69548143"/>
    <x v="3"/>
    <n v="9105"/>
    <d v="2023-03-21T00:00:00"/>
    <x v="159"/>
    <x v="36"/>
    <n v="3.192E-3"/>
    <n v="29.06316"/>
    <s v="KL"/>
    <x v="3"/>
    <x v="28"/>
    <s v="Q1"/>
    <n v="345"/>
    <n v="26.391304347826086"/>
    <s v="EFW"/>
    <n v="1"/>
    <n v="9105"/>
    <n v="29.06316"/>
    <n v="26.391304347826086"/>
  </r>
  <r>
    <n v="69555091"/>
    <x v="2"/>
    <n v="4411"/>
    <d v="2023-03-21T00:00:00"/>
    <x v="195"/>
    <x v="14"/>
    <n v="1.98E-3"/>
    <n v="8.7337799999999994"/>
    <s v="TA"/>
    <x v="3"/>
    <x v="42"/>
    <s v="Q1"/>
    <n v="176"/>
    <n v="25.0625"/>
    <s v="TAL NV"/>
    <n v="1"/>
    <n v="4411"/>
    <n v="8.7337799999999994"/>
    <n v="25.0625"/>
  </r>
  <r>
    <n v="69568963"/>
    <x v="2"/>
    <n v="0"/>
    <d v="2023-03-21T00:00:00"/>
    <x v="94"/>
    <x v="2"/>
    <n v="8.5199999999999998E-3"/>
    <n v="0"/>
    <s v="BR"/>
    <x v="3"/>
    <x v="2"/>
    <s v="Q1"/>
    <n v="176"/>
    <n v="0"/>
    <s v="48oz"/>
    <n v="1"/>
    <n v="0"/>
    <n v="0"/>
    <n v="0"/>
  </r>
  <r>
    <n v="69568963"/>
    <x v="2"/>
    <n v="0"/>
    <d v="2023-03-21T00:00:00"/>
    <x v="94"/>
    <x v="2"/>
    <n v="8.5199999999999998E-3"/>
    <n v="0"/>
    <s v="BR"/>
    <x v="3"/>
    <x v="2"/>
    <s v="Q1"/>
    <n v="176"/>
    <n v="0"/>
    <s v="48oz"/>
    <n v="1"/>
    <n v="0"/>
    <n v="0"/>
    <n v="0"/>
  </r>
  <r>
    <n v="69572657"/>
    <x v="2"/>
    <n v="0"/>
    <d v="2023-03-21T00:00:00"/>
    <x v="306"/>
    <x v="5"/>
    <n v="2.1520000000000003E-3"/>
    <n v="0"/>
    <s v="MG"/>
    <x v="3"/>
    <x v="5"/>
    <s v="Q1"/>
    <n v="210"/>
    <n v="0"/>
    <s v="MG Sticks"/>
    <n v="1"/>
    <n v="0"/>
    <n v="0"/>
    <n v="0"/>
  </r>
  <r>
    <n v="69572657"/>
    <x v="2"/>
    <n v="2405"/>
    <d v="2023-03-21T00:00:00"/>
    <x v="306"/>
    <x v="5"/>
    <n v="2.1520000000000003E-3"/>
    <n v="5.1755600000000008"/>
    <s v="MG"/>
    <x v="3"/>
    <x v="5"/>
    <s v="Q1"/>
    <n v="210"/>
    <n v="11.452380952380953"/>
    <s v="MG Sticks"/>
    <n v="1"/>
    <n v="2405"/>
    <n v="5.1755600000000008"/>
    <n v="11.452380952380953"/>
  </r>
  <r>
    <n v="69572659"/>
    <x v="2"/>
    <n v="1352"/>
    <d v="2023-03-21T00:00:00"/>
    <x v="5"/>
    <x v="5"/>
    <n v="2.1520000000000003E-3"/>
    <n v="2.9095040000000005"/>
    <s v="MG"/>
    <x v="3"/>
    <x v="5"/>
    <s v="Q1"/>
    <n v="210"/>
    <n v="6.4380952380952383"/>
    <s v="MG Sticks"/>
    <n v="1"/>
    <n v="1352"/>
    <n v="2.9095040000000005"/>
    <n v="6.4380952380952383"/>
  </r>
  <r>
    <n v="69600846"/>
    <x v="3"/>
    <n v="6460"/>
    <d v="2023-03-21T00:00:00"/>
    <x v="270"/>
    <x v="23"/>
    <n v="8.4600000000000005E-3"/>
    <n v="54.651600000000002"/>
    <s v="BR"/>
    <x v="3"/>
    <x v="6"/>
    <s v="Q1"/>
    <n v="154"/>
    <n v="41.948051948051948"/>
    <s v="48oz"/>
    <n v="1"/>
    <n v="6460"/>
    <n v="54.651600000000002"/>
    <n v="41.948051948051948"/>
  </r>
  <r>
    <n v="69617285"/>
    <x v="4"/>
    <n v="3600"/>
    <d v="2023-03-21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1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1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1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1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1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21212"/>
    <x v="2"/>
    <n v="4264"/>
    <d v="2023-03-21T00:00:00"/>
    <x v="29"/>
    <x v="28"/>
    <n v="5.2680000000000001E-3"/>
    <n v="22.462752000000002"/>
    <s v="PG"/>
    <x v="3"/>
    <x v="14"/>
    <s v="Q1"/>
    <n v="130"/>
    <n v="32.799999999999997"/>
    <s v="PG"/>
    <n v="1"/>
    <n v="4264"/>
    <n v="22.462752000000002"/>
    <n v="32.799999999999997"/>
  </r>
  <r>
    <n v="69629477"/>
    <x v="1"/>
    <n v="2445"/>
    <d v="2023-03-21T00:00:00"/>
    <x v="61"/>
    <x v="0"/>
    <n v="5.3280000000000003E-3"/>
    <n v="13.026960000000001"/>
    <s v="KL"/>
    <x v="3"/>
    <x v="26"/>
    <s v="Q1"/>
    <n v="108"/>
    <n v="22.638888888888889"/>
    <s v="KL Mini Cones"/>
    <n v="1"/>
    <n v="2445"/>
    <n v="13.026960000000001"/>
    <n v="22.638888888888889"/>
  </r>
  <r>
    <n v="69629477"/>
    <x v="1"/>
    <n v="2808"/>
    <d v="2023-03-21T00:00:00"/>
    <x v="61"/>
    <x v="0"/>
    <n v="5.3280000000000003E-3"/>
    <n v="14.961024"/>
    <s v="KL"/>
    <x v="3"/>
    <x v="26"/>
    <s v="Q1"/>
    <n v="108"/>
    <n v="26"/>
    <s v="KL Mini Cones"/>
    <n v="1"/>
    <n v="2808"/>
    <n v="14.961024"/>
    <n v="26"/>
  </r>
  <r>
    <n v="69677917"/>
    <x v="3"/>
    <n v="4849"/>
    <d v="2023-03-21T00:00:00"/>
    <x v="30"/>
    <x v="29"/>
    <n v="5.2680000000000001E-3"/>
    <n v="25.544532"/>
    <s v="PS"/>
    <x v="3"/>
    <x v="3"/>
    <s v="Q1"/>
    <n v="108"/>
    <n v="44.898148148148145"/>
    <s v="PG"/>
    <n v="1"/>
    <n v="4849"/>
    <n v="25.544532"/>
    <n v="44.898148148148145"/>
  </r>
  <r>
    <n v="69677917"/>
    <x v="2"/>
    <n v="2914"/>
    <d v="2023-03-21T00:00:00"/>
    <x v="30"/>
    <x v="30"/>
    <n v="5.2680000000000001E-3"/>
    <n v="15.350951999999999"/>
    <s v="PS"/>
    <x v="3"/>
    <x v="14"/>
    <s v="Q1"/>
    <n v="108"/>
    <n v="26.981481481481481"/>
    <s v="PG"/>
    <n v="1"/>
    <n v="2914"/>
    <n v="15.350951999999999"/>
    <n v="26.981481481481481"/>
  </r>
  <r>
    <n v="69684522"/>
    <x v="2"/>
    <n v="4828"/>
    <d v="2023-03-21T00:00:00"/>
    <x v="31"/>
    <x v="31"/>
    <n v="4.2560000000000002E-3"/>
    <n v="20.547968000000001"/>
    <s v="BR"/>
    <x v="3"/>
    <x v="5"/>
    <s v="Q1"/>
    <n v="143"/>
    <n v="33.76223776223776"/>
    <s v="MG Sticks"/>
    <n v="1"/>
    <n v="4828"/>
    <n v="20.547968000000001"/>
    <n v="33.76223776223776"/>
  </r>
  <r>
    <n v="69691816"/>
    <x v="2"/>
    <n v="37832"/>
    <d v="2023-03-21T00:00:00"/>
    <x v="139"/>
    <x v="21"/>
    <n v="3.7839999999999996E-3"/>
    <n v="143.15628799999999"/>
    <s v="TA"/>
    <x v="3"/>
    <x v="10"/>
    <s v="Q1"/>
    <n v="255"/>
    <n v="148.3607843137255"/>
    <s v="TALENTI"/>
    <n v="1"/>
    <n v="37832"/>
    <n v="143.15628799999999"/>
    <n v="148.3607843137255"/>
  </r>
  <r>
    <n v="69700048"/>
    <x v="3"/>
    <n v="5709"/>
    <d v="2023-03-21T00:00:00"/>
    <x v="288"/>
    <x v="24"/>
    <n v="2.3469132803553457E-3"/>
    <n v="13.398527917548668"/>
    <s v="GH"/>
    <x v="3"/>
    <x v="4"/>
    <s v="Q1"/>
    <n v="350"/>
    <n v="16.311428571428571"/>
    <s v="MBG"/>
    <n v="1"/>
    <n v="5709"/>
    <n v="13.398527917548668"/>
    <n v="16.311428571428571"/>
  </r>
  <r>
    <n v="84135718"/>
    <x v="5"/>
    <n v="38675"/>
    <d v="2023-03-21T00:00:00"/>
    <x v="147"/>
    <x v="34"/>
    <n v="3.7853439999999999E-3"/>
    <n v="146.39817919999999"/>
    <s v="BJ"/>
    <x v="3"/>
    <x v="15"/>
    <s v="Q1"/>
    <n v="240"/>
    <n v="161.14583333333334"/>
    <s v="BJ PTS"/>
    <n v="1"/>
    <n v="38675"/>
    <n v="146.39817919999999"/>
    <n v="161.14583333333334"/>
  </r>
  <r>
    <n v="84138391"/>
    <x v="5"/>
    <n v="30000"/>
    <d v="2023-03-21T00:00:00"/>
    <x v="84"/>
    <x v="33"/>
    <n v="3.7853439999999999E-3"/>
    <n v="113.56032"/>
    <s v="BJ"/>
    <x v="3"/>
    <x v="15"/>
    <s v="Q1"/>
    <n v="240"/>
    <n v="125"/>
    <s v="BJ PTS"/>
    <n v="1"/>
    <n v="30000"/>
    <n v="113.56032"/>
    <n v="125"/>
  </r>
  <r>
    <n v="84138391"/>
    <x v="5"/>
    <n v="44126"/>
    <d v="2023-03-21T00:00:00"/>
    <x v="84"/>
    <x v="33"/>
    <n v="3.7853439999999999E-3"/>
    <n v="167.03208934399998"/>
    <s v="BJ"/>
    <x v="3"/>
    <x v="15"/>
    <s v="Q1"/>
    <n v="240"/>
    <n v="183.85833333333332"/>
    <s v="BJ PTS"/>
    <n v="1"/>
    <n v="44126"/>
    <n v="167.03208934399998"/>
    <n v="183.85833333333332"/>
  </r>
  <r>
    <n v="67309841"/>
    <x v="2"/>
    <n v="0"/>
    <d v="2023-03-22T00:00:00"/>
    <x v="32"/>
    <x v="13"/>
    <n v="8.5199999999999998E-3"/>
    <n v="0"/>
    <s v="BR"/>
    <x v="3"/>
    <x v="2"/>
    <s v="Q1"/>
    <n v="154"/>
    <n v="0"/>
    <s v="48oz"/>
    <n v="1"/>
    <n v="0"/>
    <n v="0"/>
    <n v="0"/>
  </r>
  <r>
    <n v="67309843"/>
    <x v="2"/>
    <n v="5480"/>
    <d v="2023-03-22T00:00:00"/>
    <x v="88"/>
    <x v="13"/>
    <n v="8.5199999999999998E-3"/>
    <n v="46.689599999999999"/>
    <s v="BR"/>
    <x v="3"/>
    <x v="2"/>
    <s v="Q1"/>
    <n v="154"/>
    <n v="35.584415584415588"/>
    <s v="48oz"/>
    <n v="1"/>
    <n v="5480"/>
    <n v="46.689599999999999"/>
    <n v="35.584415584415588"/>
  </r>
  <r>
    <n v="67465063"/>
    <x v="3"/>
    <n v="1456"/>
    <d v="2023-03-22T00:00:00"/>
    <x v="3"/>
    <x v="40"/>
    <n v="5.2680000000000001E-3"/>
    <n v="7.6702080000000006"/>
    <s v="PS"/>
    <x v="3"/>
    <x v="3"/>
    <s v="Q1"/>
    <n v="130"/>
    <n v="11.2"/>
    <s v="PG"/>
    <n v="1"/>
    <n v="1456"/>
    <n v="7.6702080000000006"/>
    <n v="11.2"/>
  </r>
  <r>
    <n v="67465063"/>
    <x v="3"/>
    <n v="0"/>
    <d v="2023-03-22T00:00:00"/>
    <x v="3"/>
    <x v="6"/>
    <n v="5.2680000000000001E-3"/>
    <n v="0"/>
    <s v="PS"/>
    <x v="3"/>
    <x v="3"/>
    <s v="Q1"/>
    <n v="130"/>
    <n v="0"/>
    <s v="PG"/>
    <n v="1"/>
    <n v="0"/>
    <n v="0"/>
    <n v="0"/>
  </r>
  <r>
    <n v="67465063"/>
    <x v="3"/>
    <n v="3828"/>
    <d v="2023-03-22T00:00:00"/>
    <x v="3"/>
    <x v="10"/>
    <n v="5.2680000000000001E-3"/>
    <n v="20.165904000000001"/>
    <s v="PS"/>
    <x v="3"/>
    <x v="3"/>
    <s v="Q1"/>
    <n v="130"/>
    <n v="29.446153846153845"/>
    <s v="PG"/>
    <n v="1"/>
    <n v="3828"/>
    <n v="20.165904000000001"/>
    <n v="29.446153846153845"/>
  </r>
  <r>
    <n v="67465064"/>
    <x v="3"/>
    <n v="2161"/>
    <d v="2023-03-22T00:00:00"/>
    <x v="7"/>
    <x v="3"/>
    <n v="1.596E-3"/>
    <n v="3.4489559999999999"/>
    <s v="PS"/>
    <x v="3"/>
    <x v="3"/>
    <s v="Q1"/>
    <n v="130"/>
    <n v="16.623076923076923"/>
    <s v="PG"/>
    <n v="1"/>
    <n v="2161"/>
    <n v="3.4489559999999999"/>
    <n v="16.623076923076923"/>
  </r>
  <r>
    <n v="67466492"/>
    <x v="3"/>
    <n v="2153"/>
    <d v="2023-03-22T00:00:00"/>
    <x v="8"/>
    <x v="7"/>
    <n v="5.2680000000000001E-3"/>
    <n v="11.342004000000001"/>
    <s v="PS"/>
    <x v="3"/>
    <x v="3"/>
    <s v="Q1"/>
    <n v="130"/>
    <n v="16.561538461538461"/>
    <s v="PG"/>
    <n v="1"/>
    <n v="2153"/>
    <n v="11.342004000000001"/>
    <n v="16.561538461538461"/>
  </r>
  <r>
    <n v="67466492"/>
    <x v="3"/>
    <n v="0"/>
    <d v="2023-03-22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22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3428"/>
    <d v="2023-03-22T00:00:00"/>
    <x v="8"/>
    <x v="8"/>
    <n v="5.2680000000000001E-3"/>
    <n v="18.058703999999999"/>
    <s v="PS"/>
    <x v="3"/>
    <x v="3"/>
    <s v="Q1"/>
    <n v="130"/>
    <n v="26.369230769230768"/>
    <s v="PG"/>
    <n v="1"/>
    <n v="3428"/>
    <n v="18.058703999999999"/>
    <n v="26.369230769230768"/>
  </r>
  <r>
    <n v="67885718"/>
    <x v="3"/>
    <n v="6766"/>
    <d v="2023-03-22T00:00:00"/>
    <x v="48"/>
    <x v="16"/>
    <n v="8.5199999999999998E-3"/>
    <n v="57.646319999999996"/>
    <s v="BR"/>
    <x v="3"/>
    <x v="6"/>
    <s v="Q1"/>
    <n v="154"/>
    <n v="43.935064935064936"/>
    <s v="48oz"/>
    <n v="1"/>
    <n v="6766"/>
    <n v="57.646319999999996"/>
    <n v="43.935064935064936"/>
  </r>
  <r>
    <n v="67885719"/>
    <x v="3"/>
    <n v="14863"/>
    <d v="2023-03-22T00:00:00"/>
    <x v="11"/>
    <x v="11"/>
    <n v="8.5199999999999998E-3"/>
    <n v="126.63275999999999"/>
    <s v="BR"/>
    <x v="3"/>
    <x v="6"/>
    <s v="Q1"/>
    <n v="154"/>
    <n v="96.512987012987011"/>
    <s v="48oz"/>
    <n v="1"/>
    <n v="14863"/>
    <n v="126.63275999999999"/>
    <n v="96.512987012987011"/>
  </r>
  <r>
    <n v="67885723"/>
    <x v="3"/>
    <n v="2994"/>
    <d v="2023-03-22T00:00:00"/>
    <x v="304"/>
    <x v="16"/>
    <n v="8.5199999999999998E-3"/>
    <n v="25.508879999999998"/>
    <s v="BR"/>
    <x v="3"/>
    <x v="6"/>
    <s v="Q1"/>
    <n v="154"/>
    <n v="19.441558441558442"/>
    <s v="48oz"/>
    <n v="1"/>
    <n v="2994"/>
    <n v="25.508879999999998"/>
    <n v="19.441558441558442"/>
  </r>
  <r>
    <n v="67885724"/>
    <x v="3"/>
    <n v="10247"/>
    <d v="2023-03-22T00:00:00"/>
    <x v="49"/>
    <x v="12"/>
    <n v="8.5199999999999998E-3"/>
    <n v="87.30444"/>
    <s v="BR"/>
    <x v="3"/>
    <x v="6"/>
    <s v="Q1"/>
    <n v="154"/>
    <n v="66.538961038961034"/>
    <s v="48oz"/>
    <n v="1"/>
    <n v="10247"/>
    <n v="87.30444"/>
    <n v="66.538961038961034"/>
  </r>
  <r>
    <n v="67901593"/>
    <x v="2"/>
    <n v="24992"/>
    <d v="2023-03-22T00:00:00"/>
    <x v="68"/>
    <x v="32"/>
    <n v="8.5199999999999998E-3"/>
    <n v="212.93183999999999"/>
    <s v="BR"/>
    <x v="3"/>
    <x v="2"/>
    <s v="Q1"/>
    <n v="154"/>
    <n v="162.28571428571428"/>
    <s v="48oz"/>
    <n v="1"/>
    <n v="24992"/>
    <n v="212.93183999999999"/>
    <n v="162.28571428571428"/>
  </r>
  <r>
    <n v="67908208"/>
    <x v="2"/>
    <n v="3508"/>
    <d v="2023-03-22T00:00:00"/>
    <x v="225"/>
    <x v="25"/>
    <n v="3.9039999999999999E-3"/>
    <n v="13.695231999999999"/>
    <s v="GH"/>
    <x v="3"/>
    <x v="11"/>
    <s v="Q1"/>
    <n v="154"/>
    <n v="22.779220779220779"/>
    <s v="MBG"/>
    <n v="1"/>
    <n v="3508"/>
    <n v="13.695231999999999"/>
    <n v="22.779220779220779"/>
  </r>
  <r>
    <n v="68297196"/>
    <x v="5"/>
    <n v="17925"/>
    <d v="2023-03-22T00:00:00"/>
    <x v="133"/>
    <x v="35"/>
    <n v="3.7853439999999999E-3"/>
    <n v="67.852291199999996"/>
    <s v="BJ"/>
    <x v="3"/>
    <x v="15"/>
    <s v="Q1"/>
    <n v="240"/>
    <n v="74.6875"/>
    <s v="BJ PTS"/>
    <n v="1"/>
    <n v="17925"/>
    <n v="67.852291199999996"/>
    <n v="74.6875"/>
  </r>
  <r>
    <n v="68300738"/>
    <x v="3"/>
    <n v="1806"/>
    <d v="2023-03-22T00:00:00"/>
    <x v="120"/>
    <x v="19"/>
    <n v="8.4960000000000001E-3"/>
    <n v="15.343776"/>
    <s v="KL"/>
    <x v="3"/>
    <x v="8"/>
    <s v="Q1"/>
    <n v="132"/>
    <n v="13.681818181818182"/>
    <s v="EDF"/>
    <n v="1"/>
    <n v="1806"/>
    <n v="15.343776"/>
    <n v="13.681818181818182"/>
  </r>
  <r>
    <n v="68300738"/>
    <x v="3"/>
    <n v="90"/>
    <d v="2023-03-22T00:00:00"/>
    <x v="120"/>
    <x v="19"/>
    <n v="8.4960000000000001E-3"/>
    <n v="0.76463999999999999"/>
    <s v="KL"/>
    <x v="3"/>
    <x v="8"/>
    <s v="Q1"/>
    <n v="132"/>
    <n v="0.68181818181818177"/>
    <s v="EDF"/>
    <n v="1"/>
    <n v="90"/>
    <n v="0.76463999999999999"/>
    <n v="0.68181818181818177"/>
  </r>
  <r>
    <n v="68354588"/>
    <x v="2"/>
    <n v="22379"/>
    <d v="2023-03-22T00:00:00"/>
    <x v="173"/>
    <x v="15"/>
    <n v="3.5999999999999999E-3"/>
    <n v="80.564399999999992"/>
    <s v="BJ"/>
    <x v="3"/>
    <x v="19"/>
    <s v="Q1"/>
    <n v="240"/>
    <n v="93.245833333333337"/>
    <s v="TOPPED"/>
    <n v="1"/>
    <n v="22379"/>
    <n v="80.564399999999992"/>
    <n v="93.245833333333337"/>
  </r>
  <r>
    <n v="68599804"/>
    <x v="0"/>
    <n v="6463"/>
    <d v="2023-03-22T00:00:00"/>
    <x v="114"/>
    <x v="1"/>
    <n v="8.5170239596469108E-3"/>
    <n v="55.045525851197986"/>
    <s v="BR"/>
    <x v="3"/>
    <x v="32"/>
    <s v="Q1"/>
    <n v="156"/>
    <n v="41.429487179487182"/>
    <s v="48oz"/>
    <n v="1"/>
    <n v="6463"/>
    <n v="55.045525851197986"/>
    <n v="41.429487179487182"/>
  </r>
  <r>
    <n v="68689251"/>
    <x v="3"/>
    <n v="443"/>
    <d v="2023-03-22T00:00:00"/>
    <x v="17"/>
    <x v="20"/>
    <n v="9.5760000000000012E-3"/>
    <n v="4.2421680000000004"/>
    <s v="KL"/>
    <x v="3"/>
    <x v="8"/>
    <s v="Q1"/>
    <n v="132"/>
    <n v="3.356060606060606"/>
    <s v="EDF"/>
    <n v="1"/>
    <n v="443"/>
    <n v="4.2421680000000004"/>
    <n v="3.356060606060606"/>
  </r>
  <r>
    <n v="68689251"/>
    <x v="3"/>
    <n v="5401"/>
    <d v="2023-03-22T00:00:00"/>
    <x v="17"/>
    <x v="17"/>
    <n v="9.5760000000000012E-3"/>
    <n v="51.71997600000001"/>
    <s v="KL"/>
    <x v="3"/>
    <x v="8"/>
    <s v="Q1"/>
    <n v="132"/>
    <n v="40.916666666666664"/>
    <s v="EDF"/>
    <n v="1"/>
    <n v="5401"/>
    <n v="51.71997600000001"/>
    <n v="40.916666666666664"/>
  </r>
  <r>
    <n v="68689251"/>
    <x v="3"/>
    <n v="2920"/>
    <d v="2023-03-22T00:00:00"/>
    <x v="17"/>
    <x v="20"/>
    <n v="9.5760000000000012E-3"/>
    <n v="27.961920000000003"/>
    <s v="KL"/>
    <x v="3"/>
    <x v="8"/>
    <s v="Q1"/>
    <n v="132"/>
    <n v="22.121212121212121"/>
    <s v="EDF"/>
    <n v="1"/>
    <n v="2920"/>
    <n v="27.961920000000003"/>
    <n v="22.121212121212121"/>
  </r>
  <r>
    <n v="68728263"/>
    <x v="2"/>
    <n v="9011"/>
    <d v="2023-03-22T00:00:00"/>
    <x v="307"/>
    <x v="22"/>
    <n v="3.7853439999999999E-3"/>
    <n v="34.109734783999997"/>
    <s v="TA"/>
    <x v="3"/>
    <x v="10"/>
    <s v="Q1"/>
    <n v="255"/>
    <n v="35.337254901960783"/>
    <s v="TALENTI"/>
    <n v="1"/>
    <n v="9011"/>
    <n v="34.109734783999997"/>
    <n v="35.337254901960783"/>
  </r>
  <r>
    <n v="68737750"/>
    <x v="3"/>
    <n v="12592"/>
    <d v="2023-03-22T00:00:00"/>
    <x v="144"/>
    <x v="23"/>
    <n v="8.5199999999999998E-3"/>
    <n v="107.28384"/>
    <s v="BR"/>
    <x v="3"/>
    <x v="6"/>
    <s v="Q1"/>
    <n v="176"/>
    <n v="71.545454545454547"/>
    <s v="48oz"/>
    <n v="1"/>
    <n v="12592"/>
    <n v="107.28384"/>
    <n v="71.545454545454547"/>
  </r>
  <r>
    <n v="68741742"/>
    <x v="3"/>
    <n v="3962"/>
    <d v="2023-03-22T00:00:00"/>
    <x v="25"/>
    <x v="4"/>
    <n v="4.2560000000000002E-3"/>
    <n v="16.862272000000001"/>
    <s v="GH"/>
    <x v="3"/>
    <x v="4"/>
    <s v="Q1"/>
    <n v="154"/>
    <n v="25.727272727272727"/>
    <s v="MBG"/>
    <n v="1"/>
    <n v="3962"/>
    <n v="16.862272000000001"/>
    <n v="25.727272727272727"/>
  </r>
  <r>
    <n v="68852583"/>
    <x v="2"/>
    <n v="2882"/>
    <d v="2023-03-22T00:00:00"/>
    <x v="227"/>
    <x v="26"/>
    <n v="8.5199999999999998E-3"/>
    <n v="24.554639999999999"/>
    <s v="KL"/>
    <x v="3"/>
    <x v="12"/>
    <s v="Q1"/>
    <n v="132"/>
    <n v="21.833333333333332"/>
    <s v="EDF"/>
    <n v="1"/>
    <n v="2882"/>
    <n v="24.554639999999999"/>
    <n v="21.833333333333332"/>
  </r>
  <r>
    <n v="68889812"/>
    <x v="2"/>
    <n v="5275"/>
    <d v="2023-03-22T00:00:00"/>
    <x v="27"/>
    <x v="27"/>
    <n v="3.192E-3"/>
    <n v="16.837800000000001"/>
    <s v="KL"/>
    <x v="3"/>
    <x v="9"/>
    <s v="Q1"/>
    <n v="300"/>
    <n v="17.583333333333332"/>
    <s v="ESS"/>
    <n v="1"/>
    <n v="5275"/>
    <n v="16.837800000000001"/>
    <n v="17.583333333333332"/>
  </r>
  <r>
    <n v="68889813"/>
    <x v="2"/>
    <n v="6447"/>
    <d v="2023-03-22T00:00:00"/>
    <x v="297"/>
    <x v="18"/>
    <n v="2.8380000000000002E-3"/>
    <n v="18.296586000000001"/>
    <s v="KL"/>
    <x v="3"/>
    <x v="9"/>
    <s v="Q1"/>
    <n v="264"/>
    <n v="24.420454545454547"/>
    <s v="ESS"/>
    <n v="1"/>
    <n v="6447"/>
    <n v="18.296586000000001"/>
    <n v="24.420454545454547"/>
  </r>
  <r>
    <n v="68890247"/>
    <x v="2"/>
    <n v="3533"/>
    <d v="2023-03-22T00:00:00"/>
    <x v="243"/>
    <x v="2"/>
    <n v="8.5170239596469088E-6"/>
    <n v="3.0090645649432528E-2"/>
    <s v="BR"/>
    <x v="3"/>
    <x v="2"/>
    <s v="Q1"/>
    <n v="176"/>
    <n v="20.073863636363637"/>
    <s v="48oz"/>
    <n v="1"/>
    <n v="3533"/>
    <n v="3.0090645649432528E-2"/>
    <n v="20.073863636363637"/>
  </r>
  <r>
    <n v="68922108"/>
    <x v="2"/>
    <n v="0"/>
    <d v="2023-03-22T00:00:00"/>
    <x v="184"/>
    <x v="21"/>
    <n v="3.7839999999999996E-3"/>
    <n v="0"/>
    <s v="TA"/>
    <x v="3"/>
    <x v="10"/>
    <s v="Q1"/>
    <n v="255"/>
    <n v="0"/>
    <s v="TALENTI"/>
    <n v="1"/>
    <n v="0"/>
    <n v="0"/>
    <n v="0"/>
  </r>
  <r>
    <n v="69548143"/>
    <x v="3"/>
    <n v="10043"/>
    <d v="2023-03-22T00:00:00"/>
    <x v="159"/>
    <x v="36"/>
    <n v="3.192E-3"/>
    <n v="32.057256000000002"/>
    <s v="KL"/>
    <x v="3"/>
    <x v="28"/>
    <s v="Q1"/>
    <n v="345"/>
    <n v="29.110144927536233"/>
    <s v="EFW"/>
    <n v="1"/>
    <n v="10043"/>
    <n v="32.057256000000002"/>
    <n v="29.110144927536233"/>
  </r>
  <r>
    <n v="69555091"/>
    <x v="2"/>
    <n v="4888"/>
    <d v="2023-03-22T00:00:00"/>
    <x v="195"/>
    <x v="14"/>
    <n v="1.98E-3"/>
    <n v="9.6782400000000006"/>
    <s v="TA"/>
    <x v="3"/>
    <x v="42"/>
    <s v="Q1"/>
    <n v="176"/>
    <n v="27.772727272727273"/>
    <s v="TAL NV"/>
    <n v="1"/>
    <n v="4888"/>
    <n v="9.6782400000000006"/>
    <n v="27.772727272727273"/>
  </r>
  <r>
    <n v="69568963"/>
    <x v="2"/>
    <n v="8704"/>
    <d v="2023-03-22T00:00:00"/>
    <x v="94"/>
    <x v="2"/>
    <n v="8.5199999999999998E-3"/>
    <n v="74.158079999999998"/>
    <s v="BR"/>
    <x v="3"/>
    <x v="2"/>
    <s v="Q1"/>
    <n v="176"/>
    <n v="49.454545454545453"/>
    <s v="48oz"/>
    <n v="1"/>
    <n v="8704"/>
    <n v="74.158079999999998"/>
    <n v="49.454545454545453"/>
  </r>
  <r>
    <n v="69572657"/>
    <x v="2"/>
    <n v="10118"/>
    <d v="2023-03-22T00:00:00"/>
    <x v="306"/>
    <x v="5"/>
    <n v="2.1520000000000003E-3"/>
    <n v="21.773936000000003"/>
    <s v="MG"/>
    <x v="3"/>
    <x v="5"/>
    <s v="Q1"/>
    <n v="210"/>
    <n v="48.180952380952384"/>
    <s v="MG Sticks"/>
    <n v="1"/>
    <n v="10118"/>
    <n v="21.773936000000003"/>
    <n v="48.180952380952384"/>
  </r>
  <r>
    <n v="69617285"/>
    <x v="4"/>
    <n v="3600"/>
    <d v="2023-03-22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2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2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2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370"/>
    <d v="2023-03-22T00:00:00"/>
    <x v="82"/>
    <x v="0"/>
    <n v="2.6610000000000002E-3"/>
    <n v="8.9675700000000003"/>
    <s v="PS"/>
    <x v="3"/>
    <x v="13"/>
    <s v="Q1"/>
    <n v="180"/>
    <n v="18.722222222222221"/>
    <s v="KL Mini Cones"/>
    <n v="1"/>
    <n v="3370"/>
    <n v="8.9675700000000003"/>
    <n v="18.722222222222221"/>
  </r>
  <r>
    <n v="69621212"/>
    <x v="2"/>
    <n v="1929"/>
    <d v="2023-03-22T00:00:00"/>
    <x v="29"/>
    <x v="28"/>
    <n v="5.2680000000000001E-3"/>
    <n v="10.161972"/>
    <s v="PG"/>
    <x v="3"/>
    <x v="14"/>
    <s v="Q1"/>
    <n v="130"/>
    <n v="14.838461538461539"/>
    <s v="PG"/>
    <n v="1"/>
    <n v="1929"/>
    <n v="10.161972"/>
    <n v="14.838461538461539"/>
  </r>
  <r>
    <n v="69677917"/>
    <x v="3"/>
    <n v="3744"/>
    <d v="2023-03-22T00:00:00"/>
    <x v="30"/>
    <x v="29"/>
    <n v="5.2680000000000001E-3"/>
    <n v="19.723392"/>
    <s v="PS"/>
    <x v="3"/>
    <x v="3"/>
    <s v="Q1"/>
    <n v="108"/>
    <n v="34.666666666666664"/>
    <s v="PG"/>
    <n v="1"/>
    <n v="3744"/>
    <n v="19.723392"/>
    <n v="34.666666666666664"/>
  </r>
  <r>
    <n v="69677917"/>
    <x v="2"/>
    <n v="1146"/>
    <d v="2023-03-22T00:00:00"/>
    <x v="30"/>
    <x v="30"/>
    <n v="5.2680000000000001E-3"/>
    <n v="6.037128"/>
    <s v="PS"/>
    <x v="3"/>
    <x v="14"/>
    <s v="Q1"/>
    <n v="108"/>
    <n v="10.611111111111111"/>
    <s v="PG"/>
    <n v="1"/>
    <n v="1146"/>
    <n v="6.037128"/>
    <n v="10.611111111111111"/>
  </r>
  <r>
    <n v="69684522"/>
    <x v="2"/>
    <n v="6080"/>
    <d v="2023-03-22T00:00:00"/>
    <x v="31"/>
    <x v="31"/>
    <n v="4.2560000000000002E-3"/>
    <n v="25.876480000000001"/>
    <s v="BR"/>
    <x v="3"/>
    <x v="5"/>
    <s v="Q1"/>
    <n v="143"/>
    <n v="42.51748251748252"/>
    <s v="MG Sticks"/>
    <n v="1"/>
    <n v="6080"/>
    <n v="25.876480000000001"/>
    <n v="42.51748251748252"/>
  </r>
  <r>
    <n v="69691816"/>
    <x v="2"/>
    <n v="21835"/>
    <d v="2023-03-22T00:00:00"/>
    <x v="139"/>
    <x v="21"/>
    <n v="3.7839999999999996E-3"/>
    <n v="82.623639999999995"/>
    <s v="TA"/>
    <x v="3"/>
    <x v="10"/>
    <s v="Q1"/>
    <n v="255"/>
    <n v="85.627450980392155"/>
    <s v="TALENTI"/>
    <n v="1"/>
    <n v="21835"/>
    <n v="82.623639999999995"/>
    <n v="85.627450980392155"/>
  </r>
  <r>
    <n v="69700048"/>
    <x v="3"/>
    <n v="7459"/>
    <d v="2023-03-22T00:00:00"/>
    <x v="288"/>
    <x v="24"/>
    <n v="2.3469132803553457E-3"/>
    <n v="17.505626158170525"/>
    <s v="GH"/>
    <x v="3"/>
    <x v="4"/>
    <s v="Q1"/>
    <n v="350"/>
    <n v="21.311428571428571"/>
    <s v="MBG"/>
    <n v="1"/>
    <n v="7459"/>
    <n v="17.505626158170525"/>
    <n v="21.311428571428571"/>
  </r>
  <r>
    <n v="84139090"/>
    <x v="5"/>
    <n v="28524"/>
    <d v="2023-03-22T00:00:00"/>
    <x v="85"/>
    <x v="43"/>
    <n v="3.7853439999999999E-3"/>
    <n v="107.97315225599999"/>
    <s v="BJ"/>
    <x v="3"/>
    <x v="15"/>
    <s v="Q1"/>
    <n v="240"/>
    <n v="118.85"/>
    <s v="BJ PTS"/>
    <n v="1"/>
    <n v="28524"/>
    <n v="107.97315225599999"/>
    <n v="118.85"/>
  </r>
  <r>
    <n v="84164939"/>
    <x v="5"/>
    <n v="11673"/>
    <d v="2023-03-22T00:00:00"/>
    <x v="186"/>
    <x v="35"/>
    <n v="9.0848256361922702E-3"/>
    <n v="106.04716965127237"/>
    <s v="BJ"/>
    <x v="3"/>
    <x v="39"/>
    <s v="Q1"/>
    <n v="125"/>
    <n v="93.384"/>
    <s v="2.4 Gal"/>
    <n v="1"/>
    <n v="11673"/>
    <n v="106.04716965127237"/>
    <n v="93.384"/>
  </r>
  <r>
    <n v="67278345"/>
    <x v="5"/>
    <n v="0"/>
    <d v="2023-03-23T00:00:00"/>
    <x v="100"/>
    <x v="33"/>
    <n v="3.7853439999999999E-3"/>
    <n v="0"/>
    <s v="BJ"/>
    <x v="3"/>
    <x v="15"/>
    <s v="Q1"/>
    <n v="240"/>
    <n v="0"/>
    <s v="BJ PTS"/>
    <n v="1"/>
    <n v="0"/>
    <n v="0"/>
    <n v="0"/>
  </r>
  <r>
    <n v="67309843"/>
    <x v="2"/>
    <n v="8633"/>
    <d v="2023-03-23T00:00:00"/>
    <x v="88"/>
    <x v="13"/>
    <n v="8.5199999999999998E-3"/>
    <n v="73.553159999999991"/>
    <s v="BR"/>
    <x v="3"/>
    <x v="2"/>
    <s v="Q1"/>
    <n v="154"/>
    <n v="56.058441558441558"/>
    <s v="48oz"/>
    <n v="1"/>
    <n v="8633"/>
    <n v="73.553159999999991"/>
    <n v="56.058441558441558"/>
  </r>
  <r>
    <n v="67465063"/>
    <x v="3"/>
    <n v="1682"/>
    <d v="2023-03-23T00:00:00"/>
    <x v="3"/>
    <x v="40"/>
    <n v="5.2680000000000001E-3"/>
    <n v="8.8607759999999995"/>
    <s v="PS"/>
    <x v="3"/>
    <x v="3"/>
    <s v="Q1"/>
    <n v="130"/>
    <n v="12.938461538461539"/>
    <s v="PG"/>
    <n v="1"/>
    <n v="1682"/>
    <n v="8.8607759999999995"/>
    <n v="12.938461538461539"/>
  </r>
  <r>
    <n v="67465063"/>
    <x v="3"/>
    <n v="3888"/>
    <d v="2023-03-23T00:00:00"/>
    <x v="3"/>
    <x v="6"/>
    <n v="5.2680000000000001E-3"/>
    <n v="20.481984000000001"/>
    <s v="PS"/>
    <x v="3"/>
    <x v="3"/>
    <s v="Q1"/>
    <n v="130"/>
    <n v="29.907692307692308"/>
    <s v="PG"/>
    <n v="1"/>
    <n v="3888"/>
    <n v="20.481984000000001"/>
    <n v="29.907692307692308"/>
  </r>
  <r>
    <n v="67465063"/>
    <x v="3"/>
    <n v="3445"/>
    <d v="2023-03-23T00:00:00"/>
    <x v="3"/>
    <x v="10"/>
    <n v="5.2680000000000001E-3"/>
    <n v="18.148260000000001"/>
    <s v="PS"/>
    <x v="3"/>
    <x v="3"/>
    <s v="Q1"/>
    <n v="130"/>
    <n v="26.5"/>
    <s v="PG"/>
    <n v="1"/>
    <n v="3445"/>
    <n v="18.148260000000001"/>
    <n v="26.5"/>
  </r>
  <r>
    <n v="67465064"/>
    <x v="3"/>
    <n v="2241"/>
    <d v="2023-03-23T00:00:00"/>
    <x v="7"/>
    <x v="3"/>
    <n v="1.596E-3"/>
    <n v="3.5766360000000001"/>
    <s v="PS"/>
    <x v="3"/>
    <x v="3"/>
    <s v="Q1"/>
    <n v="130"/>
    <n v="17.238461538461539"/>
    <s v="PG"/>
    <n v="1"/>
    <n v="2241"/>
    <n v="3.5766360000000001"/>
    <n v="17.238461538461539"/>
  </r>
  <r>
    <n v="67466492"/>
    <x v="3"/>
    <n v="351"/>
    <d v="2023-03-23T00:00:00"/>
    <x v="8"/>
    <x v="7"/>
    <n v="5.2680000000000001E-3"/>
    <n v="1.8490679999999999"/>
    <s v="PS"/>
    <x v="3"/>
    <x v="3"/>
    <s v="Q1"/>
    <n v="130"/>
    <n v="2.7"/>
    <s v="PG"/>
    <n v="1"/>
    <n v="351"/>
    <n v="1.8490679999999999"/>
    <n v="2.7"/>
  </r>
  <r>
    <n v="67466492"/>
    <x v="3"/>
    <n v="0"/>
    <d v="2023-03-23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23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1152"/>
    <d v="2023-03-23T00:00:00"/>
    <x v="8"/>
    <x v="8"/>
    <n v="5.2680000000000001E-3"/>
    <n v="6.0687360000000004"/>
    <s v="PS"/>
    <x v="3"/>
    <x v="3"/>
    <s v="Q1"/>
    <n v="130"/>
    <n v="8.861538461538462"/>
    <s v="PG"/>
    <n v="1"/>
    <n v="1152"/>
    <n v="6.0687360000000004"/>
    <n v="8.861538461538462"/>
  </r>
  <r>
    <n v="67885718"/>
    <x v="3"/>
    <n v="11319"/>
    <d v="2023-03-23T00:00:00"/>
    <x v="48"/>
    <x v="16"/>
    <n v="8.5199999999999998E-3"/>
    <n v="96.437879999999993"/>
    <s v="BR"/>
    <x v="3"/>
    <x v="6"/>
    <s v="Q1"/>
    <n v="154"/>
    <n v="73.5"/>
    <s v="48oz"/>
    <n v="1"/>
    <n v="11319"/>
    <n v="96.437879999999993"/>
    <n v="73.5"/>
  </r>
  <r>
    <n v="67885719"/>
    <x v="3"/>
    <n v="9252"/>
    <d v="2023-03-23T00:00:00"/>
    <x v="11"/>
    <x v="11"/>
    <n v="8.5199999999999998E-3"/>
    <n v="78.827039999999997"/>
    <s v="BR"/>
    <x v="3"/>
    <x v="6"/>
    <s v="Q1"/>
    <n v="154"/>
    <n v="60.077922077922075"/>
    <s v="48oz"/>
    <n v="1"/>
    <n v="9252"/>
    <n v="78.827039999999997"/>
    <n v="60.077922077922075"/>
  </r>
  <r>
    <n v="67885721"/>
    <x v="2"/>
    <n v="0"/>
    <d v="2023-03-23T00:00:00"/>
    <x v="40"/>
    <x v="32"/>
    <n v="8.5199999999999998E-3"/>
    <n v="0"/>
    <s v="BR"/>
    <x v="3"/>
    <x v="2"/>
    <s v="Q1"/>
    <n v="154"/>
    <n v="0"/>
    <s v="48oz"/>
    <n v="1"/>
    <n v="0"/>
    <n v="0"/>
    <n v="0"/>
  </r>
  <r>
    <n v="67885721"/>
    <x v="2"/>
    <n v="0"/>
    <d v="2023-03-23T00:00:00"/>
    <x v="40"/>
    <x v="32"/>
    <n v="8.5199999999999998E-3"/>
    <n v="0"/>
    <s v="BR"/>
    <x v="3"/>
    <x v="2"/>
    <s v="Q1"/>
    <n v="154"/>
    <n v="0"/>
    <s v="48oz"/>
    <n v="1"/>
    <n v="0"/>
    <n v="0"/>
    <n v="0"/>
  </r>
  <r>
    <n v="67885724"/>
    <x v="3"/>
    <n v="0"/>
    <d v="2023-03-23T00:00:00"/>
    <x v="49"/>
    <x v="12"/>
    <n v="8.5199999999999998E-3"/>
    <n v="0"/>
    <s v="BR"/>
    <x v="3"/>
    <x v="6"/>
    <s v="Q1"/>
    <n v="154"/>
    <n v="0"/>
    <s v="48oz"/>
    <n v="1"/>
    <n v="0"/>
    <n v="0"/>
    <n v="0"/>
  </r>
  <r>
    <n v="67901593"/>
    <x v="2"/>
    <n v="19313"/>
    <d v="2023-03-23T00:00:00"/>
    <x v="68"/>
    <x v="32"/>
    <n v="8.5199999999999998E-3"/>
    <n v="164.54676000000001"/>
    <s v="BR"/>
    <x v="3"/>
    <x v="2"/>
    <s v="Q1"/>
    <n v="154"/>
    <n v="125.40909090909091"/>
    <s v="48oz"/>
    <n v="1"/>
    <n v="19313"/>
    <n v="164.54676000000001"/>
    <n v="125.40909090909091"/>
  </r>
  <r>
    <n v="67908208"/>
    <x v="2"/>
    <n v="1594"/>
    <d v="2023-03-23T00:00:00"/>
    <x v="225"/>
    <x v="25"/>
    <n v="3.9039999999999999E-3"/>
    <n v="6.2229760000000001"/>
    <s v="GH"/>
    <x v="3"/>
    <x v="11"/>
    <s v="Q1"/>
    <n v="154"/>
    <n v="10.35064935064935"/>
    <s v="MBG"/>
    <n v="1"/>
    <n v="1594"/>
    <n v="6.2229760000000001"/>
    <n v="10.35064935064935"/>
  </r>
  <r>
    <n v="68300738"/>
    <x v="3"/>
    <n v="3952"/>
    <d v="2023-03-23T00:00:00"/>
    <x v="120"/>
    <x v="19"/>
    <n v="8.4960000000000001E-3"/>
    <n v="33.576191999999999"/>
    <s v="KL"/>
    <x v="3"/>
    <x v="8"/>
    <s v="Q1"/>
    <n v="132"/>
    <n v="29.939393939393938"/>
    <s v="EDF"/>
    <n v="1"/>
    <n v="3952"/>
    <n v="33.576191999999999"/>
    <n v="29.939393939393938"/>
  </r>
  <r>
    <n v="68354586"/>
    <x v="2"/>
    <n v="18548"/>
    <d v="2023-03-23T00:00:00"/>
    <x v="309"/>
    <x v="15"/>
    <n v="3.5999999999999999E-3"/>
    <n v="66.772800000000004"/>
    <s v="BJ"/>
    <x v="3"/>
    <x v="19"/>
    <s v="Q1"/>
    <n v="240"/>
    <n v="77.283333333333331"/>
    <s v="TOPPED"/>
    <n v="1"/>
    <n v="18548"/>
    <n v="66.772800000000004"/>
    <n v="77.283333333333331"/>
  </r>
  <r>
    <n v="68631026"/>
    <x v="2"/>
    <n v="0"/>
    <d v="2023-03-23T00:00:00"/>
    <x v="249"/>
    <x v="2"/>
    <n v="8.5199999999999998E-3"/>
    <n v="0"/>
    <s v="BR"/>
    <x v="3"/>
    <x v="2"/>
    <s v="Q1"/>
    <n v="154"/>
    <n v="0"/>
    <s v="48oz"/>
    <n v="1"/>
    <n v="0"/>
    <n v="0"/>
    <n v="0"/>
  </r>
  <r>
    <n v="68659722"/>
    <x v="2"/>
    <n v="0"/>
    <d v="2023-03-23T00:00:00"/>
    <x v="310"/>
    <x v="22"/>
    <n v="3.7853439999999999E-3"/>
    <n v="0"/>
    <s v="TA"/>
    <x v="3"/>
    <x v="10"/>
    <s v="Q1"/>
    <n v="255"/>
    <n v="0"/>
    <s v="TALENTI"/>
    <n v="1"/>
    <n v="0"/>
    <n v="0"/>
    <n v="0"/>
  </r>
  <r>
    <n v="68689251"/>
    <x v="3"/>
    <n v="5685"/>
    <d v="2023-03-23T00:00:00"/>
    <x v="17"/>
    <x v="20"/>
    <n v="9.5760000000000012E-3"/>
    <n v="54.439560000000007"/>
    <s v="KL"/>
    <x v="3"/>
    <x v="8"/>
    <s v="Q1"/>
    <n v="132"/>
    <n v="43.06818181818182"/>
    <s v="EDF"/>
    <n v="1"/>
    <n v="5685"/>
    <n v="54.439560000000007"/>
    <n v="43.06818181818182"/>
  </r>
  <r>
    <n v="68689251"/>
    <x v="3"/>
    <n v="6305"/>
    <d v="2023-03-23T00:00:00"/>
    <x v="17"/>
    <x v="17"/>
    <n v="9.5760000000000012E-3"/>
    <n v="60.376680000000007"/>
    <s v="KL"/>
    <x v="3"/>
    <x v="8"/>
    <s v="Q1"/>
    <n v="132"/>
    <n v="47.765151515151516"/>
    <s v="EDF"/>
    <n v="1"/>
    <n v="6305"/>
    <n v="60.376680000000007"/>
    <n v="47.765151515151516"/>
  </r>
  <r>
    <n v="68728263"/>
    <x v="2"/>
    <n v="13025"/>
    <d v="2023-03-23T00:00:00"/>
    <x v="307"/>
    <x v="22"/>
    <n v="3.7853439999999999E-3"/>
    <n v="49.3041056"/>
    <s v="TA"/>
    <x v="3"/>
    <x v="10"/>
    <s v="Q1"/>
    <n v="255"/>
    <n v="51.078431372549019"/>
    <s v="TALENTI"/>
    <n v="1"/>
    <n v="13025"/>
    <n v="49.3041056"/>
    <n v="51.078431372549019"/>
  </r>
  <r>
    <n v="68737750"/>
    <x v="3"/>
    <n v="11392"/>
    <d v="2023-03-23T00:00:00"/>
    <x v="144"/>
    <x v="23"/>
    <n v="8.5199999999999998E-3"/>
    <n v="97.059839999999994"/>
    <s v="BR"/>
    <x v="3"/>
    <x v="6"/>
    <s v="Q1"/>
    <n v="176"/>
    <n v="64.727272727272734"/>
    <s v="48oz"/>
    <n v="1"/>
    <n v="11392"/>
    <n v="97.059839999999994"/>
    <n v="64.727272727272734"/>
  </r>
  <r>
    <n v="68741742"/>
    <x v="3"/>
    <n v="6499"/>
    <d v="2023-03-23T00:00:00"/>
    <x v="25"/>
    <x v="4"/>
    <n v="4.2560000000000002E-3"/>
    <n v="27.659744"/>
    <s v="GH"/>
    <x v="3"/>
    <x v="4"/>
    <s v="Q1"/>
    <n v="154"/>
    <n v="42.201298701298704"/>
    <s v="MBG"/>
    <n v="1"/>
    <n v="6499"/>
    <n v="27.659744"/>
    <n v="42.201298701298704"/>
  </r>
  <r>
    <n v="68829292"/>
    <x v="1"/>
    <n v="12818"/>
    <d v="2023-03-23T00:00:00"/>
    <x v="308"/>
    <x v="0"/>
    <n v="1.08E-3"/>
    <n v="13.843439999999999"/>
    <s v="MG"/>
    <x v="3"/>
    <x v="22"/>
    <s v="Q1"/>
    <n v="493"/>
    <n v="26"/>
    <s v="MG Sticks"/>
    <n v="1"/>
    <n v="12818"/>
    <n v="13.843439999999999"/>
    <n v="26"/>
  </r>
  <r>
    <n v="68852583"/>
    <x v="2"/>
    <n v="3208"/>
    <d v="2023-03-23T00:00:00"/>
    <x v="227"/>
    <x v="26"/>
    <n v="8.5199999999999998E-3"/>
    <n v="27.332159999999998"/>
    <s v="KL"/>
    <x v="3"/>
    <x v="12"/>
    <s v="Q1"/>
    <n v="132"/>
    <n v="24.303030303030305"/>
    <s v="EDF"/>
    <n v="1"/>
    <n v="3208"/>
    <n v="27.332159999999998"/>
    <n v="24.303030303030305"/>
  </r>
  <r>
    <n v="68889812"/>
    <x v="2"/>
    <n v="6328"/>
    <d v="2023-03-23T00:00:00"/>
    <x v="27"/>
    <x v="27"/>
    <n v="3.192E-3"/>
    <n v="20.198975999999998"/>
    <s v="KL"/>
    <x v="3"/>
    <x v="9"/>
    <s v="Q1"/>
    <n v="300"/>
    <n v="21.093333333333334"/>
    <s v="ESS"/>
    <n v="1"/>
    <n v="6328"/>
    <n v="20.198975999999998"/>
    <n v="21.093333333333334"/>
  </r>
  <r>
    <n v="68889813"/>
    <x v="2"/>
    <n v="2079"/>
    <d v="2023-03-23T00:00:00"/>
    <x v="297"/>
    <x v="18"/>
    <n v="2.8380000000000002E-3"/>
    <n v="5.9002020000000002"/>
    <s v="KL"/>
    <x v="3"/>
    <x v="9"/>
    <s v="Q1"/>
    <n v="264"/>
    <n v="7.875"/>
    <s v="ESS"/>
    <n v="1"/>
    <n v="2079"/>
    <n v="5.9002020000000002"/>
    <n v="7.875"/>
  </r>
  <r>
    <n v="68899826"/>
    <x v="3"/>
    <n v="14930"/>
    <d v="2023-03-23T00:00:00"/>
    <x v="129"/>
    <x v="12"/>
    <n v="8.5199999999999998E-3"/>
    <n v="127.20359999999999"/>
    <s v="BR"/>
    <x v="3"/>
    <x v="6"/>
    <s v="Q1"/>
    <n v="176"/>
    <n v="84.829545454545453"/>
    <s v="48oz"/>
    <n v="1"/>
    <n v="14930"/>
    <n v="127.20359999999999"/>
    <n v="84.829545454545453"/>
  </r>
  <r>
    <n v="68922108"/>
    <x v="2"/>
    <n v="31307"/>
    <d v="2023-03-23T00:00:00"/>
    <x v="184"/>
    <x v="21"/>
    <n v="3.7839999999999996E-3"/>
    <n v="118.46568799999999"/>
    <s v="TA"/>
    <x v="3"/>
    <x v="10"/>
    <s v="Q1"/>
    <n v="255"/>
    <n v="122.77254901960784"/>
    <s v="TALENTI"/>
    <n v="1"/>
    <n v="31307"/>
    <n v="118.46568799999999"/>
    <n v="122.77254901960784"/>
  </r>
  <r>
    <n v="69548143"/>
    <x v="3"/>
    <n v="9181"/>
    <d v="2023-03-23T00:00:00"/>
    <x v="159"/>
    <x v="36"/>
    <n v="3.192E-3"/>
    <n v="29.305751999999998"/>
    <s v="KL"/>
    <x v="3"/>
    <x v="28"/>
    <s v="Q1"/>
    <n v="345"/>
    <n v="26.611594202898551"/>
    <s v="EFW"/>
    <n v="1"/>
    <n v="9181"/>
    <n v="29.305751999999998"/>
    <n v="26.611594202898551"/>
  </r>
  <r>
    <n v="69555091"/>
    <x v="2"/>
    <n v="0"/>
    <d v="2023-03-23T00:00:00"/>
    <x v="195"/>
    <x v="14"/>
    <n v="1.98E-3"/>
    <n v="0"/>
    <s v="TA"/>
    <x v="3"/>
    <x v="42"/>
    <s v="Q1"/>
    <n v="176"/>
    <n v="0"/>
    <s v="TAL NV"/>
    <n v="1"/>
    <n v="0"/>
    <n v="0"/>
    <n v="0"/>
  </r>
  <r>
    <n v="69555091"/>
    <x v="2"/>
    <n v="1695"/>
    <d v="2023-03-23T00:00:00"/>
    <x v="195"/>
    <x v="14"/>
    <n v="1.98E-3"/>
    <n v="3.3561000000000001"/>
    <s v="TA"/>
    <x v="3"/>
    <x v="42"/>
    <s v="Q1"/>
    <n v="176"/>
    <n v="9.6306818181818183"/>
    <s v="TAL NV"/>
    <n v="1"/>
    <n v="1695"/>
    <n v="3.3561000000000001"/>
    <n v="9.6306818181818183"/>
  </r>
  <r>
    <n v="69556602"/>
    <x v="4"/>
    <n v="2400"/>
    <d v="2023-03-23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56602"/>
    <x v="4"/>
    <n v="2400"/>
    <d v="2023-03-23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56602"/>
    <x v="4"/>
    <n v="2400"/>
    <d v="2023-03-23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56602"/>
    <x v="4"/>
    <n v="2400"/>
    <d v="2023-03-23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56602"/>
    <x v="4"/>
    <n v="2400"/>
    <d v="2023-03-23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56602"/>
    <x v="4"/>
    <n v="2400"/>
    <d v="2023-03-23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56602"/>
    <x v="4"/>
    <n v="2400"/>
    <d v="2023-03-23T00:00:00"/>
    <x v="165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564623"/>
    <x v="2"/>
    <n v="0"/>
    <d v="2023-03-23T00:00:00"/>
    <x v="238"/>
    <x v="13"/>
    <n v="8.5199999999999998E-3"/>
    <n v="0"/>
    <s v="BR"/>
    <x v="3"/>
    <x v="2"/>
    <s v="Q1"/>
    <n v="176"/>
    <n v="0"/>
    <s v="48oz"/>
    <n v="1"/>
    <n v="0"/>
    <n v="0"/>
    <n v="0"/>
  </r>
  <r>
    <n v="69572657"/>
    <x v="2"/>
    <n v="13266"/>
    <d v="2023-03-23T00:00:00"/>
    <x v="306"/>
    <x v="5"/>
    <n v="2.1520000000000003E-3"/>
    <n v="28.548432000000002"/>
    <s v="MG"/>
    <x v="3"/>
    <x v="5"/>
    <s v="Q1"/>
    <n v="210"/>
    <n v="63.171428571428571"/>
    <s v="MG Sticks"/>
    <n v="1"/>
    <n v="13266"/>
    <n v="28.548432000000002"/>
    <n v="63.171428571428571"/>
  </r>
  <r>
    <n v="69586720"/>
    <x v="4"/>
    <n v="4400"/>
    <d v="2023-03-23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586720"/>
    <x v="4"/>
    <n v="4400"/>
    <d v="2023-03-23T00:00:00"/>
    <x v="302"/>
    <x v="0"/>
    <n v="2.6610000000000002E-3"/>
    <n v="11.708400000000001"/>
    <s v="KL"/>
    <x v="3"/>
    <x v="13"/>
    <s v="Q1"/>
    <n v="220"/>
    <n v="20"/>
    <s v="KL Mini Cones"/>
    <n v="1"/>
    <n v="4400"/>
    <n v="11.708400000000001"/>
    <n v="20"/>
  </r>
  <r>
    <n v="69617285"/>
    <x v="4"/>
    <n v="3600"/>
    <d v="2023-03-23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17285"/>
    <x v="4"/>
    <n v="3600"/>
    <d v="2023-03-23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21212"/>
    <x v="2"/>
    <n v="5861"/>
    <d v="2023-03-23T00:00:00"/>
    <x v="29"/>
    <x v="28"/>
    <n v="5.2680000000000001E-3"/>
    <n v="30.875748000000002"/>
    <s v="PG"/>
    <x v="3"/>
    <x v="14"/>
    <s v="Q1"/>
    <n v="130"/>
    <n v="45.084615384615383"/>
    <s v="PG"/>
    <n v="1"/>
    <n v="5861"/>
    <n v="30.875748000000002"/>
    <n v="45.084615384615383"/>
  </r>
  <r>
    <n v="69629477"/>
    <x v="1"/>
    <n v="2944"/>
    <d v="2023-03-23T00:00:00"/>
    <x v="61"/>
    <x v="0"/>
    <n v="5.3280000000000003E-3"/>
    <n v="15.685632"/>
    <s v="KL"/>
    <x v="3"/>
    <x v="26"/>
    <s v="Q1"/>
    <n v="108"/>
    <n v="27.25925925925926"/>
    <s v="KL Mini Cones"/>
    <n v="1"/>
    <n v="2944"/>
    <n v="15.685632"/>
    <n v="27.25925925925926"/>
  </r>
  <r>
    <n v="69629477"/>
    <x v="1"/>
    <n v="2935"/>
    <d v="2023-03-23T00:00:00"/>
    <x v="61"/>
    <x v="0"/>
    <n v="5.3280000000000003E-3"/>
    <n v="15.637680000000001"/>
    <s v="KL"/>
    <x v="3"/>
    <x v="26"/>
    <s v="Q1"/>
    <n v="108"/>
    <n v="27.175925925925927"/>
    <s v="KL Mini Cones"/>
    <n v="1"/>
    <n v="2935"/>
    <n v="15.637680000000001"/>
    <n v="27.175925925925927"/>
  </r>
  <r>
    <n v="69629477"/>
    <x v="1"/>
    <n v="2890"/>
    <d v="2023-03-23T00:00:00"/>
    <x v="61"/>
    <x v="0"/>
    <n v="5.3280000000000003E-3"/>
    <n v="15.397920000000001"/>
    <s v="KL"/>
    <x v="3"/>
    <x v="26"/>
    <s v="Q1"/>
    <n v="108"/>
    <n v="26.75925925925926"/>
    <s v="KL Mini Cones"/>
    <n v="1"/>
    <n v="2890"/>
    <n v="15.397920000000001"/>
    <n v="26.75925925925926"/>
  </r>
  <r>
    <n v="69629477"/>
    <x v="1"/>
    <n v="2843"/>
    <d v="2023-03-23T00:00:00"/>
    <x v="61"/>
    <x v="0"/>
    <n v="5.3280000000000003E-3"/>
    <n v="15.147504000000001"/>
    <s v="KL"/>
    <x v="3"/>
    <x v="26"/>
    <s v="Q1"/>
    <n v="108"/>
    <n v="26.324074074074073"/>
    <s v="KL Mini Cones"/>
    <n v="1"/>
    <n v="2843"/>
    <n v="15.147504000000001"/>
    <n v="26.324074074074073"/>
  </r>
  <r>
    <n v="69629477"/>
    <x v="1"/>
    <n v="2939"/>
    <d v="2023-03-23T00:00:00"/>
    <x v="61"/>
    <x v="0"/>
    <n v="5.3280000000000003E-3"/>
    <n v="15.658992000000001"/>
    <s v="KL"/>
    <x v="3"/>
    <x v="26"/>
    <s v="Q1"/>
    <n v="108"/>
    <n v="27.212962962962962"/>
    <s v="KL Mini Cones"/>
    <n v="1"/>
    <n v="2939"/>
    <n v="15.658992000000001"/>
    <n v="27.212962962962962"/>
  </r>
  <r>
    <n v="69629477"/>
    <x v="1"/>
    <n v="2984"/>
    <d v="2023-03-23T00:00:00"/>
    <x v="61"/>
    <x v="0"/>
    <n v="5.3280000000000003E-3"/>
    <n v="15.898752"/>
    <s v="KL"/>
    <x v="3"/>
    <x v="26"/>
    <s v="Q1"/>
    <n v="108"/>
    <n v="27.62962962962963"/>
    <s v="KL Mini Cones"/>
    <n v="1"/>
    <n v="2984"/>
    <n v="15.898752"/>
    <n v="27.62962962962963"/>
  </r>
  <r>
    <n v="69677917"/>
    <x v="3"/>
    <n v="3398"/>
    <d v="2023-03-23T00:00:00"/>
    <x v="30"/>
    <x v="29"/>
    <n v="5.2680000000000001E-3"/>
    <n v="17.900663999999999"/>
    <s v="PS"/>
    <x v="3"/>
    <x v="3"/>
    <s v="Q1"/>
    <n v="108"/>
    <n v="31.462962962962962"/>
    <s v="PG"/>
    <n v="1"/>
    <n v="3398"/>
    <n v="17.900663999999999"/>
    <n v="31.462962962962962"/>
  </r>
  <r>
    <n v="69677917"/>
    <x v="2"/>
    <n v="4834"/>
    <d v="2023-03-23T00:00:00"/>
    <x v="30"/>
    <x v="30"/>
    <n v="5.2680000000000001E-3"/>
    <n v="25.465512"/>
    <s v="PS"/>
    <x v="3"/>
    <x v="14"/>
    <s v="Q1"/>
    <n v="108"/>
    <n v="44.75925925925926"/>
    <s v="PG"/>
    <n v="1"/>
    <n v="4834"/>
    <n v="25.465512"/>
    <n v="44.75925925925926"/>
  </r>
  <r>
    <n v="69684522"/>
    <x v="2"/>
    <n v="0"/>
    <d v="2023-03-23T00:00:00"/>
    <x v="31"/>
    <x v="31"/>
    <n v="4.2560000000000002E-3"/>
    <n v="0"/>
    <s v="BR"/>
    <x v="3"/>
    <x v="5"/>
    <s v="Q1"/>
    <n v="143"/>
    <n v="0"/>
    <s v="MG Sticks"/>
    <n v="1"/>
    <n v="0"/>
    <n v="0"/>
    <n v="0"/>
  </r>
  <r>
    <n v="69691816"/>
    <x v="2"/>
    <n v="0"/>
    <d v="2023-03-23T00:00:00"/>
    <x v="139"/>
    <x v="21"/>
    <n v="3.7839999999999996E-3"/>
    <n v="0"/>
    <s v="TA"/>
    <x v="3"/>
    <x v="10"/>
    <s v="Q1"/>
    <n v="255"/>
    <n v="0"/>
    <s v="TALENTI"/>
    <n v="1"/>
    <n v="0"/>
    <n v="0"/>
    <n v="0"/>
  </r>
  <r>
    <n v="69700048"/>
    <x v="3"/>
    <n v="2376"/>
    <d v="2023-03-23T00:00:00"/>
    <x v="288"/>
    <x v="24"/>
    <n v="2.3469132803553457E-3"/>
    <n v="5.5762659541243016"/>
    <s v="GH"/>
    <x v="3"/>
    <x v="4"/>
    <s v="Q1"/>
    <n v="350"/>
    <n v="6.7885714285714283"/>
    <s v="MBG"/>
    <n v="1"/>
    <n v="2376"/>
    <n v="5.5762659541243016"/>
    <n v="6.7885714285714283"/>
  </r>
  <r>
    <n v="84135799"/>
    <x v="5"/>
    <n v="5112"/>
    <d v="2023-03-23T00:00:00"/>
    <x v="232"/>
    <x v="35"/>
    <n v="9.0848256361922702E-3"/>
    <n v="46.441628652214888"/>
    <s v="BJ"/>
    <x v="3"/>
    <x v="39"/>
    <s v="Q1"/>
    <n v="125"/>
    <n v="40.896000000000001"/>
    <s v="2.4 Gal"/>
    <n v="1"/>
    <n v="5112"/>
    <n v="46.441628652214888"/>
    <n v="40.896000000000001"/>
  </r>
  <r>
    <n v="84137694"/>
    <x v="5"/>
    <n v="30339"/>
    <d v="2023-03-23T00:00:00"/>
    <x v="136"/>
    <x v="38"/>
    <n v="3.7853439999999999E-3"/>
    <n v="114.843551616"/>
    <s v="BJ"/>
    <x v="3"/>
    <x v="15"/>
    <s v="Q1"/>
    <n v="240"/>
    <n v="126.41249999999999"/>
    <s v="BJ PTS"/>
    <n v="1"/>
    <n v="30339"/>
    <n v="114.843551616"/>
    <n v="126.41249999999999"/>
  </r>
  <r>
    <n v="67309843"/>
    <x v="2"/>
    <n v="9132"/>
    <d v="2023-03-24T00:00:00"/>
    <x v="88"/>
    <x v="13"/>
    <n v="8.5199999999999998E-3"/>
    <n v="77.804639999999992"/>
    <s v="BR"/>
    <x v="3"/>
    <x v="2"/>
    <s v="Q1"/>
    <n v="154"/>
    <n v="59.298701298701296"/>
    <s v="48oz"/>
    <n v="1"/>
    <n v="9132"/>
    <n v="77.804639999999992"/>
    <n v="59.298701298701296"/>
  </r>
  <r>
    <n v="67309864"/>
    <x v="3"/>
    <n v="0"/>
    <d v="2023-03-24T00:00:00"/>
    <x v="63"/>
    <x v="11"/>
    <n v="8.5199999999999998E-3"/>
    <n v="0"/>
    <s v="BR"/>
    <x v="3"/>
    <x v="6"/>
    <s v="Q1"/>
    <n v="154"/>
    <n v="0"/>
    <s v="48oz"/>
    <n v="1"/>
    <n v="0"/>
    <n v="0"/>
    <n v="0"/>
  </r>
  <r>
    <n v="67309864"/>
    <x v="3"/>
    <n v="6392"/>
    <d v="2023-03-24T00:00:00"/>
    <x v="63"/>
    <x v="11"/>
    <n v="8.5199999999999998E-3"/>
    <n v="54.45984"/>
    <s v="BR"/>
    <x v="3"/>
    <x v="6"/>
    <s v="Q1"/>
    <n v="154"/>
    <n v="41.506493506493506"/>
    <s v="48oz"/>
    <n v="1"/>
    <n v="6392"/>
    <n v="54.45984"/>
    <n v="41.506493506493506"/>
  </r>
  <r>
    <n v="67465063"/>
    <x v="3"/>
    <n v="1270"/>
    <d v="2023-03-24T00:00:00"/>
    <x v="3"/>
    <x v="40"/>
    <n v="5.2680000000000001E-3"/>
    <n v="6.6903600000000001"/>
    <s v="PS"/>
    <x v="3"/>
    <x v="3"/>
    <s v="Q1"/>
    <n v="130"/>
    <n v="9.7692307692307701"/>
    <s v="PG"/>
    <n v="1"/>
    <n v="1270"/>
    <n v="6.6903600000000001"/>
    <n v="9.7692307692307701"/>
  </r>
  <r>
    <n v="67465063"/>
    <x v="3"/>
    <n v="3586"/>
    <d v="2023-03-24T00:00:00"/>
    <x v="3"/>
    <x v="6"/>
    <n v="5.2680000000000001E-3"/>
    <n v="18.891048000000001"/>
    <s v="PS"/>
    <x v="3"/>
    <x v="3"/>
    <s v="Q1"/>
    <n v="130"/>
    <n v="27.584615384615386"/>
    <s v="PG"/>
    <n v="1"/>
    <n v="3586"/>
    <n v="18.891048000000001"/>
    <n v="27.584615384615386"/>
  </r>
  <r>
    <n v="67465063"/>
    <x v="3"/>
    <n v="4895"/>
    <d v="2023-03-24T00:00:00"/>
    <x v="3"/>
    <x v="10"/>
    <n v="5.2680000000000001E-3"/>
    <n v="25.786860000000001"/>
    <s v="PS"/>
    <x v="3"/>
    <x v="3"/>
    <s v="Q1"/>
    <n v="130"/>
    <n v="37.653846153846153"/>
    <s v="PG"/>
    <n v="1"/>
    <n v="4895"/>
    <n v="25.786860000000001"/>
    <n v="37.653846153846153"/>
  </r>
  <r>
    <n v="67465064"/>
    <x v="3"/>
    <n v="1129"/>
    <d v="2023-03-24T00:00:00"/>
    <x v="7"/>
    <x v="3"/>
    <n v="1.596E-3"/>
    <n v="1.801884"/>
    <s v="PS"/>
    <x v="3"/>
    <x v="3"/>
    <s v="Q1"/>
    <n v="130"/>
    <n v="8.684615384615384"/>
    <s v="PG"/>
    <n v="1"/>
    <n v="1129"/>
    <n v="1.801884"/>
    <n v="8.684615384615384"/>
  </r>
  <r>
    <n v="67466492"/>
    <x v="3"/>
    <n v="1982"/>
    <d v="2023-03-24T00:00:00"/>
    <x v="8"/>
    <x v="7"/>
    <n v="5.2680000000000001E-3"/>
    <n v="10.441176"/>
    <s v="PS"/>
    <x v="3"/>
    <x v="3"/>
    <s v="Q1"/>
    <n v="130"/>
    <n v="15.246153846153845"/>
    <s v="PG"/>
    <n v="1"/>
    <n v="1982"/>
    <n v="10.441176"/>
    <n v="15.246153846153845"/>
  </r>
  <r>
    <n v="67466492"/>
    <x v="3"/>
    <n v="0"/>
    <d v="2023-03-24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24T00:00:00"/>
    <x v="8"/>
    <x v="9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3737"/>
    <d v="2023-03-24T00:00:00"/>
    <x v="8"/>
    <x v="8"/>
    <n v="5.2680000000000001E-3"/>
    <n v="19.686516000000001"/>
    <s v="PS"/>
    <x v="3"/>
    <x v="3"/>
    <s v="Q1"/>
    <n v="130"/>
    <n v="28.746153846153845"/>
    <s v="PG"/>
    <n v="1"/>
    <n v="3737"/>
    <n v="19.686516000000001"/>
    <n v="28.746153846153845"/>
  </r>
  <r>
    <n v="67885718"/>
    <x v="3"/>
    <n v="9365"/>
    <d v="2023-03-24T00:00:00"/>
    <x v="48"/>
    <x v="16"/>
    <n v="8.5199999999999998E-3"/>
    <n v="79.7898"/>
    <s v="BR"/>
    <x v="3"/>
    <x v="6"/>
    <s v="Q1"/>
    <n v="154"/>
    <n v="60.811688311688314"/>
    <s v="48oz"/>
    <n v="1"/>
    <n v="9365"/>
    <n v="79.7898"/>
    <n v="60.811688311688314"/>
  </r>
  <r>
    <n v="67885719"/>
    <x v="3"/>
    <n v="10735"/>
    <d v="2023-03-24T00:00:00"/>
    <x v="11"/>
    <x v="11"/>
    <n v="8.5199999999999998E-3"/>
    <n v="91.462199999999996"/>
    <s v="BR"/>
    <x v="3"/>
    <x v="6"/>
    <s v="Q1"/>
    <n v="154"/>
    <n v="69.70779220779221"/>
    <s v="48oz"/>
    <n v="1"/>
    <n v="10735"/>
    <n v="91.462199999999996"/>
    <n v="69.70779220779221"/>
  </r>
  <r>
    <n v="67885721"/>
    <x v="2"/>
    <n v="26427"/>
    <d v="2023-03-24T00:00:00"/>
    <x v="40"/>
    <x v="32"/>
    <n v="8.5199999999999998E-3"/>
    <n v="225.15804"/>
    <s v="BR"/>
    <x v="3"/>
    <x v="2"/>
    <s v="Q1"/>
    <n v="154"/>
    <n v="171.60389610389609"/>
    <s v="48oz"/>
    <n v="1"/>
    <n v="26427"/>
    <n v="225.15804"/>
    <n v="171.60389610389609"/>
  </r>
  <r>
    <n v="67885721"/>
    <x v="2"/>
    <n v="319"/>
    <d v="2023-03-24T00:00:00"/>
    <x v="40"/>
    <x v="32"/>
    <n v="8.5199999999999998E-3"/>
    <n v="2.7178800000000001"/>
    <s v="BR"/>
    <x v="3"/>
    <x v="2"/>
    <s v="Q1"/>
    <n v="154"/>
    <n v="2.0714285714285716"/>
    <s v="48oz"/>
    <n v="1"/>
    <n v="319"/>
    <n v="2.7178800000000001"/>
    <n v="2.0714285714285716"/>
  </r>
  <r>
    <n v="67901593"/>
    <x v="2"/>
    <n v="0"/>
    <d v="2023-03-24T00:00:00"/>
    <x v="68"/>
    <x v="32"/>
    <n v="8.5199999999999998E-3"/>
    <n v="0"/>
    <s v="BR"/>
    <x v="3"/>
    <x v="2"/>
    <s v="Q1"/>
    <n v="154"/>
    <n v="0"/>
    <s v="48oz"/>
    <n v="1"/>
    <n v="0"/>
    <n v="0"/>
    <n v="0"/>
  </r>
  <r>
    <n v="67908208"/>
    <x v="2"/>
    <n v="3260"/>
    <d v="2023-03-24T00:00:00"/>
    <x v="225"/>
    <x v="25"/>
    <n v="3.9039999999999999E-3"/>
    <n v="12.727040000000001"/>
    <s v="GH"/>
    <x v="3"/>
    <x v="11"/>
    <s v="Q1"/>
    <n v="154"/>
    <n v="21.168831168831169"/>
    <s v="MBG"/>
    <n v="1"/>
    <n v="3260"/>
    <n v="12.727040000000001"/>
    <n v="21.168831168831169"/>
  </r>
  <r>
    <n v="68300738"/>
    <x v="3"/>
    <n v="4566"/>
    <d v="2023-03-24T00:00:00"/>
    <x v="120"/>
    <x v="19"/>
    <n v="8.4960000000000001E-3"/>
    <n v="38.792735999999998"/>
    <s v="KL"/>
    <x v="3"/>
    <x v="8"/>
    <s v="Q1"/>
    <n v="132"/>
    <n v="34.590909090909093"/>
    <s v="EDF"/>
    <n v="1"/>
    <n v="4566"/>
    <n v="38.792735999999998"/>
    <n v="34.590909090909093"/>
  </r>
  <r>
    <n v="68354586"/>
    <x v="2"/>
    <n v="0"/>
    <d v="2023-03-24T00:00:00"/>
    <x v="309"/>
    <x v="15"/>
    <n v="3.5999999999999999E-3"/>
    <n v="0"/>
    <s v="BJ"/>
    <x v="3"/>
    <x v="19"/>
    <s v="Q1"/>
    <n v="240"/>
    <n v="0"/>
    <s v="TOPPED"/>
    <n v="1"/>
    <n v="0"/>
    <n v="0"/>
    <n v="0"/>
  </r>
  <r>
    <n v="68631026"/>
    <x v="2"/>
    <n v="0"/>
    <d v="2023-03-24T00:00:00"/>
    <x v="249"/>
    <x v="2"/>
    <n v="8.5199999999999998E-3"/>
    <n v="0"/>
    <s v="BR"/>
    <x v="3"/>
    <x v="2"/>
    <s v="Q1"/>
    <n v="154"/>
    <n v="0"/>
    <s v="48oz"/>
    <n v="1"/>
    <n v="0"/>
    <n v="0"/>
    <n v="0"/>
  </r>
  <r>
    <n v="68659722"/>
    <x v="2"/>
    <n v="8319"/>
    <d v="2023-03-24T00:00:00"/>
    <x v="310"/>
    <x v="22"/>
    <n v="3.7853439999999999E-3"/>
    <n v="31.490276735999998"/>
    <s v="TA"/>
    <x v="3"/>
    <x v="10"/>
    <s v="Q1"/>
    <n v="255"/>
    <n v="32.623529411764707"/>
    <s v="TALENTI"/>
    <n v="1"/>
    <n v="8319"/>
    <n v="31.490276735999998"/>
    <n v="32.623529411764707"/>
  </r>
  <r>
    <n v="68689251"/>
    <x v="3"/>
    <n v="6913"/>
    <d v="2023-03-24T00:00:00"/>
    <x v="17"/>
    <x v="20"/>
    <n v="9.5760000000000012E-3"/>
    <n v="66.198888000000011"/>
    <s v="KL"/>
    <x v="3"/>
    <x v="8"/>
    <s v="Q1"/>
    <n v="132"/>
    <n v="52.371212121212125"/>
    <s v="EDF"/>
    <n v="1"/>
    <n v="6913"/>
    <n v="66.198888000000011"/>
    <n v="52.371212121212125"/>
  </r>
  <r>
    <n v="68689251"/>
    <x v="3"/>
    <n v="5544"/>
    <d v="2023-03-24T00:00:00"/>
    <x v="17"/>
    <x v="17"/>
    <n v="9.5760000000000012E-3"/>
    <n v="53.089344000000004"/>
    <s v="KL"/>
    <x v="3"/>
    <x v="8"/>
    <s v="Q1"/>
    <n v="132"/>
    <n v="42"/>
    <s v="EDF"/>
    <n v="1"/>
    <n v="5544"/>
    <n v="53.089344000000004"/>
    <n v="42"/>
  </r>
  <r>
    <n v="68737750"/>
    <x v="3"/>
    <n v="4388"/>
    <d v="2023-03-24T00:00:00"/>
    <x v="144"/>
    <x v="23"/>
    <n v="8.5199999999999998E-3"/>
    <n v="37.385759999999998"/>
    <s v="BR"/>
    <x v="3"/>
    <x v="6"/>
    <s v="Q1"/>
    <n v="176"/>
    <n v="24.931818181818183"/>
    <s v="48oz"/>
    <n v="1"/>
    <n v="4388"/>
    <n v="37.385759999999998"/>
    <n v="24.931818181818183"/>
  </r>
  <r>
    <n v="68741742"/>
    <x v="3"/>
    <n v="1711"/>
    <d v="2023-03-24T00:00:00"/>
    <x v="25"/>
    <x v="4"/>
    <n v="4.2560000000000002E-3"/>
    <n v="7.2820160000000005"/>
    <s v="GH"/>
    <x v="3"/>
    <x v="4"/>
    <s v="Q1"/>
    <n v="154"/>
    <n v="11.11038961038961"/>
    <s v="MBG"/>
    <n v="1"/>
    <n v="1711"/>
    <n v="7.2820160000000005"/>
    <n v="11.11038961038961"/>
  </r>
  <r>
    <n v="68741742"/>
    <x v="3"/>
    <n v="0"/>
    <d v="2023-03-24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852583"/>
    <x v="2"/>
    <n v="4591"/>
    <d v="2023-03-24T00:00:00"/>
    <x v="227"/>
    <x v="26"/>
    <n v="8.5199999999999998E-3"/>
    <n v="39.115319999999997"/>
    <s v="KL"/>
    <x v="3"/>
    <x v="12"/>
    <s v="Q1"/>
    <n v="132"/>
    <n v="34.780303030303031"/>
    <s v="EDF"/>
    <n v="1"/>
    <n v="4591"/>
    <n v="39.115319999999997"/>
    <n v="34.780303030303031"/>
  </r>
  <r>
    <n v="68889812"/>
    <x v="2"/>
    <n v="0"/>
    <d v="2023-03-24T00:00:00"/>
    <x v="27"/>
    <x v="27"/>
    <n v="3.192E-3"/>
    <n v="0"/>
    <s v="KL"/>
    <x v="3"/>
    <x v="9"/>
    <s v="Q1"/>
    <n v="300"/>
    <n v="0"/>
    <s v="ESS"/>
    <n v="1"/>
    <n v="0"/>
    <n v="0"/>
    <n v="0"/>
  </r>
  <r>
    <n v="68889812"/>
    <x v="2"/>
    <n v="1037"/>
    <d v="2023-03-24T00:00:00"/>
    <x v="27"/>
    <x v="27"/>
    <n v="3.192E-3"/>
    <n v="3.3101039999999999"/>
    <s v="KL"/>
    <x v="3"/>
    <x v="9"/>
    <s v="Q1"/>
    <n v="300"/>
    <n v="3.4566666666666666"/>
    <s v="ESS"/>
    <n v="1"/>
    <n v="1037"/>
    <n v="3.3101039999999999"/>
    <n v="3.4566666666666666"/>
  </r>
  <r>
    <n v="68889813"/>
    <x v="2"/>
    <n v="0"/>
    <d v="2023-03-24T00:00:00"/>
    <x v="297"/>
    <x v="18"/>
    <n v="2.8380000000000002E-3"/>
    <n v="0"/>
    <s v="KL"/>
    <x v="3"/>
    <x v="9"/>
    <s v="Q1"/>
    <n v="264"/>
    <n v="0"/>
    <s v="ESS"/>
    <n v="1"/>
    <n v="0"/>
    <n v="0"/>
    <n v="0"/>
  </r>
  <r>
    <n v="68899826"/>
    <x v="3"/>
    <n v="15214"/>
    <d v="2023-03-24T00:00:00"/>
    <x v="129"/>
    <x v="12"/>
    <n v="8.5199999999999998E-3"/>
    <n v="129.62327999999999"/>
    <s v="BR"/>
    <x v="3"/>
    <x v="6"/>
    <s v="Q1"/>
    <n v="176"/>
    <n v="86.443181818181813"/>
    <s v="48oz"/>
    <n v="1"/>
    <n v="15214"/>
    <n v="129.62327999999999"/>
    <n v="86.443181818181813"/>
  </r>
  <r>
    <n v="68922108"/>
    <x v="2"/>
    <n v="42944"/>
    <d v="2023-03-24T00:00:00"/>
    <x v="184"/>
    <x v="21"/>
    <n v="3.7839999999999996E-3"/>
    <n v="162.50009599999998"/>
    <s v="TA"/>
    <x v="3"/>
    <x v="10"/>
    <s v="Q1"/>
    <n v="255"/>
    <n v="168.4078431372549"/>
    <s v="TALENTI"/>
    <n v="1"/>
    <n v="42944"/>
    <n v="162.50009599999998"/>
    <n v="168.4078431372549"/>
  </r>
  <r>
    <n v="68871168"/>
    <x v="1"/>
    <n v="2700"/>
    <d v="2023-03-24T00:00:00"/>
    <x v="57"/>
    <x v="0"/>
    <n v="6.0035555555555554E-3"/>
    <n v="16.209599999999998"/>
    <s v="KL"/>
    <x v="3"/>
    <x v="1"/>
    <s v="Q1"/>
    <n v="108"/>
    <n v="25"/>
    <s v="KL Sandwiches"/>
    <n v="1"/>
    <n v="2700"/>
    <n v="16.209599999999998"/>
    <n v="25"/>
  </r>
  <r>
    <n v="69555091"/>
    <x v="2"/>
    <n v="0"/>
    <d v="2023-03-24T00:00:00"/>
    <x v="195"/>
    <x v="14"/>
    <n v="1.98E-3"/>
    <n v="0"/>
    <s v="TA"/>
    <x v="3"/>
    <x v="42"/>
    <s v="Q1"/>
    <n v="176"/>
    <n v="0"/>
    <s v="TAL NV"/>
    <n v="1"/>
    <n v="0"/>
    <n v="0"/>
    <n v="0"/>
  </r>
  <r>
    <n v="69564623"/>
    <x v="2"/>
    <n v="0"/>
    <d v="2023-03-24T00:00:00"/>
    <x v="238"/>
    <x v="13"/>
    <n v="8.5199999999999998E-3"/>
    <n v="0"/>
    <s v="BR"/>
    <x v="3"/>
    <x v="2"/>
    <s v="Q1"/>
    <n v="176"/>
    <n v="0"/>
    <s v="48oz"/>
    <n v="1"/>
    <n v="0"/>
    <n v="0"/>
    <n v="0"/>
  </r>
  <r>
    <n v="69568963"/>
    <x v="2"/>
    <n v="11340"/>
    <d v="2023-03-24T00:00:00"/>
    <x v="94"/>
    <x v="2"/>
    <n v="8.5199999999999998E-3"/>
    <n v="96.616799999999998"/>
    <s v="BR"/>
    <x v="3"/>
    <x v="2"/>
    <s v="Q1"/>
    <n v="176"/>
    <n v="64.431818181818187"/>
    <s v="48oz"/>
    <n v="1"/>
    <n v="11340"/>
    <n v="96.616799999999998"/>
    <n v="64.431818181818187"/>
  </r>
  <r>
    <n v="69572657"/>
    <x v="2"/>
    <n v="6678"/>
    <d v="2023-03-24T00:00:00"/>
    <x v="306"/>
    <x v="5"/>
    <n v="2.1520000000000003E-3"/>
    <n v="14.371056000000001"/>
    <s v="MG"/>
    <x v="3"/>
    <x v="5"/>
    <s v="Q1"/>
    <n v="210"/>
    <n v="31.8"/>
    <s v="MG Sticks"/>
    <n v="1"/>
    <n v="6678"/>
    <n v="14.371056000000001"/>
    <n v="31.8"/>
  </r>
  <r>
    <n v="69587862"/>
    <x v="2"/>
    <n v="0"/>
    <d v="2023-03-24T00:00:00"/>
    <x v="311"/>
    <x v="2"/>
    <n v="8.5199999999999998E-3"/>
    <n v="0"/>
    <s v="BR"/>
    <x v="3"/>
    <x v="2"/>
    <s v="Q1"/>
    <n v="154"/>
    <n v="0"/>
    <s v="48oz"/>
    <n v="1"/>
    <n v="0"/>
    <n v="0"/>
    <n v="0"/>
  </r>
  <r>
    <n v="69617285"/>
    <x v="4"/>
    <n v="3600"/>
    <d v="2023-03-24T00:00:00"/>
    <x v="82"/>
    <x v="0"/>
    <n v="2.6610000000000002E-3"/>
    <n v="9.579600000000001"/>
    <s v="PS"/>
    <x v="3"/>
    <x v="13"/>
    <s v="Q1"/>
    <n v="180"/>
    <n v="20"/>
    <s v="KL Mini Cones"/>
    <n v="1"/>
    <n v="3600"/>
    <n v="9.579600000000001"/>
    <n v="20"/>
  </r>
  <r>
    <n v="69621212"/>
    <x v="2"/>
    <n v="4243"/>
    <d v="2023-03-24T00:00:00"/>
    <x v="29"/>
    <x v="28"/>
    <n v="5.2680000000000001E-3"/>
    <n v="22.352124"/>
    <s v="PG"/>
    <x v="3"/>
    <x v="14"/>
    <s v="Q1"/>
    <n v="130"/>
    <n v="32.638461538461542"/>
    <s v="PG"/>
    <n v="1"/>
    <n v="4243"/>
    <n v="22.352124"/>
    <n v="32.638461538461542"/>
  </r>
  <r>
    <n v="69677917"/>
    <x v="3"/>
    <n v="1253"/>
    <d v="2023-03-24T00:00:00"/>
    <x v="30"/>
    <x v="29"/>
    <n v="5.2680000000000001E-3"/>
    <n v="6.6008040000000001"/>
    <s v="PS"/>
    <x v="3"/>
    <x v="3"/>
    <s v="Q1"/>
    <n v="108"/>
    <n v="11.601851851851851"/>
    <s v="PG"/>
    <n v="1"/>
    <n v="1253"/>
    <n v="6.6008040000000001"/>
    <n v="11.601851851851851"/>
  </r>
  <r>
    <n v="69677917"/>
    <x v="2"/>
    <n v="4386"/>
    <d v="2023-03-24T00:00:00"/>
    <x v="30"/>
    <x v="30"/>
    <n v="5.2680000000000001E-3"/>
    <n v="23.105447999999999"/>
    <s v="PS"/>
    <x v="3"/>
    <x v="14"/>
    <s v="Q1"/>
    <n v="108"/>
    <n v="40.611111111111114"/>
    <s v="PG"/>
    <n v="1"/>
    <n v="4386"/>
    <n v="23.105447999999999"/>
    <n v="40.611111111111114"/>
  </r>
  <r>
    <n v="69700048"/>
    <x v="3"/>
    <n v="4107"/>
    <d v="2023-03-24T00:00:00"/>
    <x v="288"/>
    <x v="24"/>
    <n v="2.3469132803553457E-3"/>
    <n v="9.6387728424194048"/>
    <s v="GH"/>
    <x v="3"/>
    <x v="4"/>
    <s v="Q1"/>
    <n v="350"/>
    <n v="11.734285714285715"/>
    <s v="MBG"/>
    <n v="1"/>
    <n v="4107"/>
    <n v="9.6387728424194048"/>
    <n v="11.734285714285715"/>
  </r>
  <r>
    <n v="67309843"/>
    <x v="2"/>
    <n v="8701"/>
    <d v="2023-03-25T00:00:00"/>
    <x v="88"/>
    <x v="13"/>
    <n v="8.5199999999999998E-3"/>
    <n v="74.13252"/>
    <s v="BR"/>
    <x v="3"/>
    <x v="2"/>
    <s v="Q1"/>
    <n v="154"/>
    <n v="56.5"/>
    <s v="48oz"/>
    <n v="1"/>
    <n v="8701"/>
    <n v="74.13252"/>
    <n v="56.5"/>
  </r>
  <r>
    <n v="67309864"/>
    <x v="3"/>
    <n v="0"/>
    <d v="2023-03-25T00:00:00"/>
    <x v="63"/>
    <x v="11"/>
    <n v="8.5199999999999998E-3"/>
    <n v="0"/>
    <s v="BR"/>
    <x v="3"/>
    <x v="6"/>
    <s v="Q1"/>
    <n v="154"/>
    <n v="0"/>
    <s v="48oz"/>
    <n v="1"/>
    <n v="0"/>
    <n v="0"/>
    <n v="0"/>
  </r>
  <r>
    <n v="67309864"/>
    <x v="3"/>
    <n v="15791"/>
    <d v="2023-03-25T00:00:00"/>
    <x v="63"/>
    <x v="11"/>
    <n v="8.5199999999999998E-3"/>
    <n v="134.53932"/>
    <s v="BR"/>
    <x v="3"/>
    <x v="6"/>
    <s v="Q1"/>
    <n v="154"/>
    <n v="102.53896103896103"/>
    <s v="48oz"/>
    <n v="1"/>
    <n v="15791"/>
    <n v="134.53932"/>
    <n v="102.53896103896103"/>
  </r>
  <r>
    <n v="67465063"/>
    <x v="3"/>
    <n v="1735"/>
    <d v="2023-03-25T00:00:00"/>
    <x v="3"/>
    <x v="6"/>
    <n v="5.2680000000000001E-3"/>
    <n v="9.1399799999999995"/>
    <s v="PS"/>
    <x v="3"/>
    <x v="3"/>
    <s v="Q1"/>
    <n v="130"/>
    <n v="13.346153846153847"/>
    <s v="PG"/>
    <n v="1"/>
    <n v="1735"/>
    <n v="9.1399799999999995"/>
    <n v="13.346153846153847"/>
  </r>
  <r>
    <n v="67465063"/>
    <x v="3"/>
    <n v="5195"/>
    <d v="2023-03-25T00:00:00"/>
    <x v="3"/>
    <x v="10"/>
    <n v="5.2680000000000001E-3"/>
    <n v="27.367260000000002"/>
    <s v="PS"/>
    <x v="3"/>
    <x v="3"/>
    <s v="Q1"/>
    <n v="130"/>
    <n v="39.96153846153846"/>
    <s v="PG"/>
    <n v="1"/>
    <n v="5195"/>
    <n v="27.367260000000002"/>
    <n v="39.96153846153846"/>
  </r>
  <r>
    <n v="67466492"/>
    <x v="3"/>
    <n v="0"/>
    <d v="2023-03-25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4087"/>
    <d v="2023-03-25T00:00:00"/>
    <x v="8"/>
    <x v="8"/>
    <n v="5.2680000000000001E-3"/>
    <n v="21.530315999999999"/>
    <s v="PS"/>
    <x v="3"/>
    <x v="3"/>
    <s v="Q1"/>
    <n v="130"/>
    <n v="31.438461538461539"/>
    <s v="PG"/>
    <n v="1"/>
    <n v="4087"/>
    <n v="21.530315999999999"/>
    <n v="31.438461538461539"/>
  </r>
  <r>
    <n v="67885719"/>
    <x v="3"/>
    <n v="0"/>
    <d v="2023-03-25T00:00:00"/>
    <x v="11"/>
    <x v="11"/>
    <n v="8.5199999999999998E-3"/>
    <n v="0"/>
    <s v="BR"/>
    <x v="3"/>
    <x v="6"/>
    <s v="Q1"/>
    <n v="154"/>
    <n v="0"/>
    <s v="48oz"/>
    <n v="1"/>
    <n v="0"/>
    <n v="0"/>
    <n v="0"/>
  </r>
  <r>
    <n v="67908208"/>
    <x v="2"/>
    <n v="2667"/>
    <d v="2023-03-25T00:00:00"/>
    <x v="225"/>
    <x v="25"/>
    <n v="3.9039999999999999E-3"/>
    <n v="10.411968"/>
    <s v="GH"/>
    <x v="3"/>
    <x v="11"/>
    <s v="Q1"/>
    <n v="154"/>
    <n v="17.318181818181817"/>
    <s v="MBG"/>
    <n v="1"/>
    <n v="2667"/>
    <n v="10.411968"/>
    <n v="17.318181818181817"/>
  </r>
  <r>
    <n v="68309313"/>
    <x v="2"/>
    <n v="154"/>
    <d v="2023-03-25T00:00:00"/>
    <x v="121"/>
    <x v="32"/>
    <n v="8.5199999999999998E-3"/>
    <n v="1.3120799999999999"/>
    <s v="BR"/>
    <x v="3"/>
    <x v="2"/>
    <s v="Q1"/>
    <n v="154"/>
    <n v="1"/>
    <s v="48oz"/>
    <n v="1"/>
    <n v="154"/>
    <n v="1.3120799999999999"/>
    <n v="1"/>
  </r>
  <r>
    <n v="68354586"/>
    <x v="2"/>
    <n v="22070"/>
    <d v="2023-03-25T00:00:00"/>
    <x v="309"/>
    <x v="15"/>
    <n v="3.5999999999999999E-3"/>
    <n v="79.451999999999998"/>
    <s v="BJ"/>
    <x v="3"/>
    <x v="19"/>
    <s v="Q1"/>
    <n v="240"/>
    <n v="91.958333333333329"/>
    <s v="TOPPED"/>
    <n v="1"/>
    <n v="22070"/>
    <n v="79.451999999999998"/>
    <n v="91.958333333333329"/>
  </r>
  <r>
    <n v="68354586"/>
    <x v="2"/>
    <n v="0"/>
    <d v="2023-03-25T00:00:00"/>
    <x v="309"/>
    <x v="15"/>
    <n v="3.5999999999999999E-3"/>
    <n v="0"/>
    <s v="BJ"/>
    <x v="3"/>
    <x v="19"/>
    <s v="Q1"/>
    <n v="240"/>
    <n v="0"/>
    <s v="TOPPED"/>
    <n v="1"/>
    <n v="0"/>
    <n v="0"/>
    <n v="0"/>
  </r>
  <r>
    <n v="68599804"/>
    <x v="0"/>
    <n v="18937"/>
    <d v="2023-03-25T00:00:00"/>
    <x v="114"/>
    <x v="1"/>
    <n v="8.5170239596469108E-3"/>
    <n v="161.28688272383354"/>
    <s v="BR"/>
    <x v="3"/>
    <x v="32"/>
    <s v="Q1"/>
    <n v="156"/>
    <n v="121.39102564102564"/>
    <s v="48oz"/>
    <n v="1"/>
    <n v="18937"/>
    <n v="161.28688272383354"/>
    <n v="121.39102564102564"/>
  </r>
  <r>
    <n v="68631026"/>
    <x v="2"/>
    <n v="3577"/>
    <d v="2023-03-25T00:00:00"/>
    <x v="249"/>
    <x v="2"/>
    <n v="8.5199999999999998E-3"/>
    <n v="30.476039999999998"/>
    <s v="BR"/>
    <x v="3"/>
    <x v="2"/>
    <s v="Q1"/>
    <n v="154"/>
    <n v="23.227272727272727"/>
    <s v="48oz"/>
    <n v="1"/>
    <n v="3577"/>
    <n v="30.476039999999998"/>
    <n v="23.227272727272727"/>
  </r>
  <r>
    <n v="68654238"/>
    <x v="5"/>
    <n v="0"/>
    <d v="2023-03-25T00:00:00"/>
    <x v="54"/>
    <x v="33"/>
    <n v="3.7839999999999996E-3"/>
    <n v="0"/>
    <s v="BJ"/>
    <x v="3"/>
    <x v="15"/>
    <s v="Q1"/>
    <n v="240"/>
    <n v="0"/>
    <s v="BJ PTS"/>
    <n v="1"/>
    <n v="0"/>
    <n v="0"/>
    <n v="0"/>
  </r>
  <r>
    <n v="68659722"/>
    <x v="2"/>
    <n v="16708"/>
    <d v="2023-03-25T00:00:00"/>
    <x v="310"/>
    <x v="22"/>
    <n v="3.7853439999999999E-3"/>
    <n v="63.245527551999999"/>
    <s v="TA"/>
    <x v="3"/>
    <x v="10"/>
    <s v="Q1"/>
    <n v="255"/>
    <n v="65.521568627450975"/>
    <s v="TALENTI"/>
    <n v="1"/>
    <n v="16708"/>
    <n v="63.245527551999999"/>
    <n v="65.521568627450975"/>
  </r>
  <r>
    <n v="68689251"/>
    <x v="3"/>
    <n v="1841"/>
    <d v="2023-03-25T00:00:00"/>
    <x v="17"/>
    <x v="20"/>
    <n v="9.5760000000000012E-3"/>
    <n v="17.629416000000003"/>
    <s v="KL"/>
    <x v="3"/>
    <x v="8"/>
    <s v="Q1"/>
    <n v="132"/>
    <n v="13.946969696969697"/>
    <s v="EDF"/>
    <n v="1"/>
    <n v="1841"/>
    <n v="17.629416000000003"/>
    <n v="13.946969696969697"/>
  </r>
  <r>
    <n v="68689251"/>
    <x v="3"/>
    <n v="2307"/>
    <d v="2023-03-25T00:00:00"/>
    <x v="17"/>
    <x v="17"/>
    <n v="9.5760000000000012E-3"/>
    <n v="22.091832000000004"/>
    <s v="KL"/>
    <x v="3"/>
    <x v="8"/>
    <s v="Q1"/>
    <n v="132"/>
    <n v="17.477272727272727"/>
    <s v="EDF"/>
    <n v="1"/>
    <n v="2307"/>
    <n v="22.091832000000004"/>
    <n v="17.477272727272727"/>
  </r>
  <r>
    <n v="68689251"/>
    <x v="3"/>
    <n v="3643"/>
    <d v="2023-03-25T00:00:00"/>
    <x v="17"/>
    <x v="20"/>
    <n v="9.5760000000000012E-3"/>
    <n v="34.885368000000007"/>
    <s v="KL"/>
    <x v="3"/>
    <x v="8"/>
    <s v="Q1"/>
    <n v="132"/>
    <n v="27.598484848484848"/>
    <s v="EDF"/>
    <n v="1"/>
    <n v="3643"/>
    <n v="34.885368000000007"/>
    <n v="27.598484848484848"/>
  </r>
  <r>
    <n v="68689251"/>
    <x v="3"/>
    <n v="2978"/>
    <d v="2023-03-25T00:00:00"/>
    <x v="17"/>
    <x v="17"/>
    <n v="9.5760000000000012E-3"/>
    <n v="28.517328000000003"/>
    <s v="KL"/>
    <x v="3"/>
    <x v="8"/>
    <s v="Q1"/>
    <n v="132"/>
    <n v="22.560606060606062"/>
    <s v="EDF"/>
    <n v="1"/>
    <n v="2978"/>
    <n v="28.517328000000003"/>
    <n v="22.560606060606062"/>
  </r>
  <r>
    <n v="68741742"/>
    <x v="3"/>
    <n v="0"/>
    <d v="2023-03-25T00:00:00"/>
    <x v="25"/>
    <x v="4"/>
    <n v="4.2560000000000002E-3"/>
    <n v="0"/>
    <s v="GH"/>
    <x v="3"/>
    <x v="4"/>
    <s v="Q1"/>
    <n v="154"/>
    <n v="0"/>
    <s v="MBG"/>
    <n v="1"/>
    <n v="0"/>
    <n v="0"/>
    <n v="0"/>
  </r>
  <r>
    <n v="68852583"/>
    <x v="2"/>
    <n v="3960"/>
    <d v="2023-03-25T00:00:00"/>
    <x v="227"/>
    <x v="26"/>
    <n v="8.5199999999999998E-3"/>
    <n v="33.739199999999997"/>
    <s v="KL"/>
    <x v="3"/>
    <x v="12"/>
    <s v="Q1"/>
    <n v="132"/>
    <n v="30"/>
    <s v="EDF"/>
    <n v="1"/>
    <n v="3960"/>
    <n v="33.739199999999997"/>
    <n v="30"/>
  </r>
  <r>
    <n v="68863006"/>
    <x v="9"/>
    <n v="7020"/>
    <d v="2023-03-25T00:00:00"/>
    <x v="179"/>
    <x v="0"/>
    <n v="1.8959999999999999E-3"/>
    <n v="13.30992"/>
    <s v="BJ"/>
    <x v="3"/>
    <x v="23"/>
    <s v="Q1"/>
    <n v="272"/>
    <n v="25.808823529411764"/>
    <s v="Dough Bites"/>
    <n v="1"/>
    <n v="7020"/>
    <n v="13.30992"/>
    <n v="25.808823529411764"/>
  </r>
  <r>
    <n v="68899826"/>
    <x v="3"/>
    <n v="5448"/>
    <d v="2023-03-25T00:00:00"/>
    <x v="129"/>
    <x v="12"/>
    <n v="8.5199999999999998E-3"/>
    <n v="46.416959999999996"/>
    <s v="BR"/>
    <x v="3"/>
    <x v="6"/>
    <s v="Q1"/>
    <n v="176"/>
    <n v="30.954545454545453"/>
    <s v="48oz"/>
    <n v="1"/>
    <n v="5448"/>
    <n v="46.416959999999996"/>
    <n v="30.954545454545453"/>
  </r>
  <r>
    <n v="68922108"/>
    <x v="2"/>
    <n v="16801"/>
    <d v="2023-03-25T00:00:00"/>
    <x v="184"/>
    <x v="21"/>
    <n v="3.7839999999999996E-3"/>
    <n v="63.574983999999994"/>
    <s v="TA"/>
    <x v="3"/>
    <x v="10"/>
    <s v="Q1"/>
    <n v="255"/>
    <n v="65.886274509803926"/>
    <s v="TALENTI"/>
    <n v="1"/>
    <n v="16801"/>
    <n v="63.574983999999994"/>
    <n v="65.886274509803926"/>
  </r>
  <r>
    <n v="69564623"/>
    <x v="2"/>
    <n v="0"/>
    <d v="2023-03-25T00:00:00"/>
    <x v="238"/>
    <x v="13"/>
    <n v="8.5199999999999998E-3"/>
    <n v="0"/>
    <s v="BR"/>
    <x v="3"/>
    <x v="2"/>
    <s v="Q1"/>
    <n v="176"/>
    <n v="0"/>
    <s v="48oz"/>
    <n v="1"/>
    <n v="0"/>
    <n v="0"/>
    <n v="0"/>
  </r>
  <r>
    <n v="69568962"/>
    <x v="2"/>
    <n v="0"/>
    <d v="2023-03-25T00:00:00"/>
    <x v="121"/>
    <x v="32"/>
    <n v="8.5199999999999998E-3"/>
    <n v="0"/>
    <s v="BR"/>
    <x v="3"/>
    <x v="2"/>
    <s v="Q1"/>
    <n v="176"/>
    <n v="0"/>
    <s v="48oz"/>
    <n v="1"/>
    <n v="0"/>
    <n v="0"/>
    <n v="0"/>
  </r>
  <r>
    <n v="69568963"/>
    <x v="2"/>
    <n v="3672"/>
    <d v="2023-03-25T00:00:00"/>
    <x v="94"/>
    <x v="2"/>
    <n v="8.5199999999999998E-3"/>
    <n v="31.285439999999998"/>
    <s v="BR"/>
    <x v="3"/>
    <x v="2"/>
    <s v="Q1"/>
    <n v="176"/>
    <n v="20.863636363636363"/>
    <s v="48oz"/>
    <n v="1"/>
    <n v="3672"/>
    <n v="31.285439999999998"/>
    <n v="20.863636363636363"/>
  </r>
  <r>
    <n v="69572657"/>
    <x v="2"/>
    <n v="13255"/>
    <d v="2023-03-25T00:00:00"/>
    <x v="306"/>
    <x v="5"/>
    <n v="2.1520000000000003E-3"/>
    <n v="28.524760000000004"/>
    <s v="MG"/>
    <x v="3"/>
    <x v="5"/>
    <s v="Q1"/>
    <n v="210"/>
    <n v="63.11904761904762"/>
    <s v="MG Sticks"/>
    <n v="1"/>
    <n v="13255"/>
    <n v="28.524760000000004"/>
    <n v="63.11904761904762"/>
  </r>
  <r>
    <n v="69587862"/>
    <x v="2"/>
    <n v="0"/>
    <d v="2023-03-25T00:00:00"/>
    <x v="311"/>
    <x v="2"/>
    <n v="8.5199999999999998E-3"/>
    <n v="0"/>
    <s v="BR"/>
    <x v="3"/>
    <x v="2"/>
    <s v="Q1"/>
    <n v="154"/>
    <n v="0"/>
    <s v="48oz"/>
    <n v="1"/>
    <n v="0"/>
    <n v="0"/>
    <n v="0"/>
  </r>
  <r>
    <n v="69621212"/>
    <x v="2"/>
    <n v="6404"/>
    <d v="2023-03-25T00:00:00"/>
    <x v="29"/>
    <x v="28"/>
    <n v="5.2680000000000001E-3"/>
    <n v="33.736272"/>
    <s v="PG"/>
    <x v="3"/>
    <x v="14"/>
    <s v="Q1"/>
    <n v="130"/>
    <n v="49.261538461538464"/>
    <s v="PG"/>
    <n v="1"/>
    <n v="6404"/>
    <n v="33.736272"/>
    <n v="49.261538461538464"/>
  </r>
  <r>
    <n v="69645145"/>
    <x v="0"/>
    <n v="21565"/>
    <d v="2023-03-25T00:00:00"/>
    <x v="118"/>
    <x v="0"/>
    <n v="2.8319999999999999E-3"/>
    <n v="61.07208"/>
    <s v="GH"/>
    <x v="3"/>
    <x v="46"/>
    <s v="Q1"/>
    <n v="260"/>
    <n v="82.942307692307693"/>
    <s v="FB Cones"/>
    <n v="1"/>
    <n v="21565"/>
    <n v="61.07208"/>
    <n v="82.942307692307693"/>
  </r>
  <r>
    <n v="69677917"/>
    <x v="3"/>
    <n v="4693"/>
    <d v="2023-03-25T00:00:00"/>
    <x v="30"/>
    <x v="29"/>
    <n v="5.2680000000000001E-3"/>
    <n v="24.722723999999999"/>
    <s v="PS"/>
    <x v="3"/>
    <x v="3"/>
    <s v="Q1"/>
    <n v="108"/>
    <n v="43.453703703703702"/>
    <s v="PG"/>
    <n v="1"/>
    <n v="4693"/>
    <n v="24.722723999999999"/>
    <n v="43.453703703703702"/>
  </r>
  <r>
    <n v="69677917"/>
    <x v="3"/>
    <n v="840"/>
    <d v="2023-03-25T00:00:00"/>
    <x v="30"/>
    <x v="29"/>
    <n v="5.2680000000000001E-3"/>
    <n v="4.4251199999999997"/>
    <s v="PS"/>
    <x v="3"/>
    <x v="3"/>
    <s v="Q1"/>
    <n v="108"/>
    <n v="7.7777777777777777"/>
    <s v="PG"/>
    <n v="1"/>
    <n v="840"/>
    <n v="4.4251199999999997"/>
    <n v="7.7777777777777777"/>
  </r>
  <r>
    <n v="69677917"/>
    <x v="2"/>
    <n v="2415"/>
    <d v="2023-03-25T00:00:00"/>
    <x v="30"/>
    <x v="30"/>
    <n v="5.2680000000000001E-3"/>
    <n v="12.72222"/>
    <s v="PS"/>
    <x v="3"/>
    <x v="14"/>
    <s v="Q1"/>
    <n v="108"/>
    <n v="22.361111111111111"/>
    <s v="PG"/>
    <n v="1"/>
    <n v="2415"/>
    <n v="12.72222"/>
    <n v="22.361111111111111"/>
  </r>
  <r>
    <n v="69691903"/>
    <x v="2"/>
    <n v="0"/>
    <d v="2023-03-25T00:00:00"/>
    <x v="172"/>
    <x v="21"/>
    <n v="3.7839999999999996E-3"/>
    <n v="0"/>
    <s v="TA"/>
    <x v="3"/>
    <x v="10"/>
    <s v="Q1"/>
    <n v="255"/>
    <n v="0"/>
    <s v="TALENTI"/>
    <n v="1"/>
    <n v="0"/>
    <n v="0"/>
    <n v="0"/>
  </r>
  <r>
    <n v="69700048"/>
    <x v="3"/>
    <n v="5987"/>
    <d v="2023-03-25T00:00:00"/>
    <x v="288"/>
    <x v="24"/>
    <n v="2.3469132803553457E-3"/>
    <n v="14.050969809487455"/>
    <s v="GH"/>
    <x v="3"/>
    <x v="4"/>
    <s v="Q1"/>
    <n v="350"/>
    <n v="17.105714285714285"/>
    <s v="MBG"/>
    <n v="1"/>
    <n v="5987"/>
    <n v="14.050969809487455"/>
    <n v="17.105714285714285"/>
  </r>
  <r>
    <n v="67309843"/>
    <x v="2"/>
    <n v="585"/>
    <d v="2023-03-26T00:00:00"/>
    <x v="88"/>
    <x v="13"/>
    <n v="8.5199999999999998E-3"/>
    <n v="4.9841999999999995"/>
    <s v="BR"/>
    <x v="3"/>
    <x v="2"/>
    <s v="Q1"/>
    <n v="154"/>
    <n v="3.7987012987012987"/>
    <s v="48oz"/>
    <n v="1"/>
    <n v="585"/>
    <n v="4.9841999999999995"/>
    <n v="3.7987012987012987"/>
  </r>
  <r>
    <n v="67309864"/>
    <x v="3"/>
    <n v="13705"/>
    <d v="2023-03-26T00:00:00"/>
    <x v="63"/>
    <x v="11"/>
    <n v="8.5199999999999998E-3"/>
    <n v="116.7666"/>
    <s v="BR"/>
    <x v="3"/>
    <x v="6"/>
    <s v="Q1"/>
    <n v="154"/>
    <n v="88.993506493506487"/>
    <s v="48oz"/>
    <n v="1"/>
    <n v="13705"/>
    <n v="116.7666"/>
    <n v="88.993506493506487"/>
  </r>
  <r>
    <n v="67465063"/>
    <x v="3"/>
    <n v="3973"/>
    <d v="2023-03-26T00:00:00"/>
    <x v="3"/>
    <x v="6"/>
    <n v="5.2680000000000001E-3"/>
    <n v="20.929763999999999"/>
    <s v="PS"/>
    <x v="3"/>
    <x v="3"/>
    <s v="Q1"/>
    <n v="130"/>
    <n v="30.561538461538461"/>
    <s v="PG"/>
    <n v="1"/>
    <n v="3973"/>
    <n v="20.929763999999999"/>
    <n v="30.561538461538461"/>
  </r>
  <r>
    <n v="67465063"/>
    <x v="3"/>
    <n v="5090"/>
    <d v="2023-03-26T00:00:00"/>
    <x v="3"/>
    <x v="10"/>
    <n v="5.2680000000000001E-3"/>
    <n v="26.814119999999999"/>
    <s v="PS"/>
    <x v="3"/>
    <x v="3"/>
    <s v="Q1"/>
    <n v="130"/>
    <n v="39.153846153846153"/>
    <s v="PG"/>
    <n v="1"/>
    <n v="5090"/>
    <n v="26.814119999999999"/>
    <n v="39.153846153846153"/>
  </r>
  <r>
    <n v="67466492"/>
    <x v="3"/>
    <n v="0"/>
    <d v="2023-03-26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0"/>
    <d v="2023-03-26T00:00:00"/>
    <x v="8"/>
    <x v="8"/>
    <n v="5.2680000000000001E-3"/>
    <n v="0"/>
    <s v="PS"/>
    <x v="3"/>
    <x v="3"/>
    <s v="Q1"/>
    <n v="130"/>
    <n v="0"/>
    <s v="PG"/>
    <n v="1"/>
    <n v="0"/>
    <n v="0"/>
    <n v="0"/>
  </r>
  <r>
    <n v="67885719"/>
    <x v="2"/>
    <n v="0"/>
    <d v="2023-03-26T00:00:00"/>
    <x v="11"/>
    <x v="2"/>
    <n v="8.5199999999999998E-3"/>
    <n v="0"/>
    <s v="BR"/>
    <x v="3"/>
    <x v="2"/>
    <s v="Q1"/>
    <n v="154"/>
    <n v="0"/>
    <s v="48oz"/>
    <n v="1"/>
    <n v="0"/>
    <n v="0"/>
    <n v="0"/>
  </r>
  <r>
    <n v="67885721"/>
    <x v="2"/>
    <n v="18998"/>
    <d v="2023-03-26T00:00:00"/>
    <x v="40"/>
    <x v="32"/>
    <n v="8.5199999999999998E-3"/>
    <n v="161.86295999999999"/>
    <s v="BR"/>
    <x v="3"/>
    <x v="2"/>
    <s v="Q1"/>
    <n v="154"/>
    <n v="123.36363636363636"/>
    <s v="48oz"/>
    <n v="1"/>
    <n v="18998"/>
    <n v="161.86295999999999"/>
    <n v="123.36363636363636"/>
  </r>
  <r>
    <n v="67908208"/>
    <x v="2"/>
    <n v="1231"/>
    <d v="2023-03-26T00:00:00"/>
    <x v="225"/>
    <x v="25"/>
    <n v="3.9039999999999999E-3"/>
    <n v="4.8058240000000003"/>
    <s v="GH"/>
    <x v="3"/>
    <x v="11"/>
    <s v="Q1"/>
    <n v="154"/>
    <n v="7.9935064935064934"/>
    <s v="MBG"/>
    <n v="1"/>
    <n v="1231"/>
    <n v="4.8058240000000003"/>
    <n v="7.9935064935064934"/>
  </r>
  <r>
    <n v="68354591"/>
    <x v="2"/>
    <n v="0"/>
    <d v="2023-03-26T00:00:00"/>
    <x v="312"/>
    <x v="15"/>
    <n v="3.5999999999999999E-3"/>
    <n v="0"/>
    <s v="BJ"/>
    <x v="3"/>
    <x v="19"/>
    <s v="Q1"/>
    <n v="240"/>
    <n v="0"/>
    <s v="TOPPED"/>
    <n v="1"/>
    <n v="0"/>
    <n v="0"/>
    <n v="0"/>
  </r>
  <r>
    <n v="68631026"/>
    <x v="2"/>
    <n v="13080"/>
    <d v="2023-03-26T00:00:00"/>
    <x v="249"/>
    <x v="2"/>
    <n v="8.5199999999999998E-3"/>
    <n v="111.44159999999999"/>
    <s v="BR"/>
    <x v="3"/>
    <x v="2"/>
    <s v="Q1"/>
    <n v="154"/>
    <n v="84.935064935064929"/>
    <s v="48oz"/>
    <n v="1"/>
    <n v="13080"/>
    <n v="111.44159999999999"/>
    <n v="84.935064935064929"/>
  </r>
  <r>
    <n v="68659722"/>
    <x v="2"/>
    <n v="0"/>
    <d v="2023-03-26T00:00:00"/>
    <x v="310"/>
    <x v="22"/>
    <n v="3.7853439999999999E-3"/>
    <n v="0"/>
    <s v="TA"/>
    <x v="3"/>
    <x v="10"/>
    <s v="Q1"/>
    <n v="255"/>
    <n v="0"/>
    <s v="TALENTI"/>
    <n v="1"/>
    <n v="0"/>
    <n v="0"/>
    <n v="0"/>
  </r>
  <r>
    <n v="68689251"/>
    <x v="3"/>
    <n v="6714"/>
    <d v="2023-03-26T00:00:00"/>
    <x v="17"/>
    <x v="20"/>
    <n v="9.5760000000000012E-3"/>
    <n v="64.293264000000008"/>
    <s v="KL"/>
    <x v="3"/>
    <x v="8"/>
    <s v="Q1"/>
    <n v="132"/>
    <n v="50.863636363636367"/>
    <s v="EDF"/>
    <n v="1"/>
    <n v="6714"/>
    <n v="64.293264000000008"/>
    <n v="50.863636363636367"/>
  </r>
  <r>
    <n v="68689251"/>
    <x v="3"/>
    <n v="1784"/>
    <d v="2023-03-26T00:00:00"/>
    <x v="17"/>
    <x v="17"/>
    <n v="9.5760000000000012E-3"/>
    <n v="17.083584000000002"/>
    <s v="KL"/>
    <x v="3"/>
    <x v="8"/>
    <s v="Q1"/>
    <n v="132"/>
    <n v="13.515151515151516"/>
    <s v="EDF"/>
    <n v="1"/>
    <n v="1784"/>
    <n v="17.083584000000002"/>
    <n v="13.515151515151516"/>
  </r>
  <r>
    <n v="68728342"/>
    <x v="2"/>
    <n v="8344"/>
    <d v="2023-03-26T00:00:00"/>
    <x v="44"/>
    <x v="22"/>
    <n v="3.7853439999999999E-3"/>
    <n v="31.584910336"/>
    <s v="TA"/>
    <x v="3"/>
    <x v="10"/>
    <s v="Q1"/>
    <n v="255"/>
    <n v="32.721568627450978"/>
    <s v="TALENTI"/>
    <n v="1"/>
    <n v="8344"/>
    <n v="31.584910336"/>
    <n v="32.721568627450978"/>
  </r>
  <r>
    <n v="68741742"/>
    <x v="3"/>
    <n v="7921"/>
    <d v="2023-03-26T00:00:00"/>
    <x v="25"/>
    <x v="4"/>
    <n v="4.2560000000000002E-3"/>
    <n v="33.711776"/>
    <s v="GH"/>
    <x v="3"/>
    <x v="4"/>
    <s v="Q1"/>
    <n v="154"/>
    <n v="51.435064935064936"/>
    <s v="MBG"/>
    <n v="1"/>
    <n v="7921"/>
    <n v="33.711776"/>
    <n v="51.435064935064936"/>
  </r>
  <r>
    <n v="68852583"/>
    <x v="2"/>
    <n v="2861"/>
    <d v="2023-03-26T00:00:00"/>
    <x v="227"/>
    <x v="26"/>
    <n v="8.5199999999999998E-3"/>
    <n v="24.375720000000001"/>
    <s v="KL"/>
    <x v="3"/>
    <x v="12"/>
    <s v="Q1"/>
    <n v="132"/>
    <n v="21.674242424242426"/>
    <s v="EDF"/>
    <n v="1"/>
    <n v="2861"/>
    <n v="24.375720000000001"/>
    <n v="21.674242424242426"/>
  </r>
  <r>
    <n v="68852591"/>
    <x v="3"/>
    <n v="3044"/>
    <d v="2023-03-26T00:00:00"/>
    <x v="26"/>
    <x v="17"/>
    <n v="8.5199999999999998E-3"/>
    <n v="25.93488"/>
    <s v="KL"/>
    <x v="3"/>
    <x v="8"/>
    <s v="Q1"/>
    <n v="132"/>
    <n v="23.060606060606062"/>
    <s v="EDF"/>
    <n v="1"/>
    <n v="3044"/>
    <n v="25.93488"/>
    <n v="23.060606060606062"/>
  </r>
  <r>
    <n v="68899826"/>
    <x v="3"/>
    <n v="0"/>
    <d v="2023-03-26T00:00:00"/>
    <x v="129"/>
    <x v="12"/>
    <n v="8.5199999999999998E-3"/>
    <n v="0"/>
    <s v="BR"/>
    <x v="3"/>
    <x v="6"/>
    <s v="Q1"/>
    <n v="176"/>
    <n v="0"/>
    <s v="48oz"/>
    <n v="1"/>
    <n v="0"/>
    <n v="0"/>
    <n v="0"/>
  </r>
  <r>
    <n v="68922108"/>
    <x v="2"/>
    <n v="0"/>
    <d v="2023-03-26T00:00:00"/>
    <x v="184"/>
    <x v="21"/>
    <n v="3.7839999999999996E-3"/>
    <n v="0"/>
    <s v="TA"/>
    <x v="3"/>
    <x v="10"/>
    <s v="Q1"/>
    <n v="255"/>
    <n v="0"/>
    <s v="TALENTI"/>
    <n v="1"/>
    <n v="0"/>
    <n v="0"/>
    <n v="0"/>
  </r>
  <r>
    <n v="68930545"/>
    <x v="3"/>
    <n v="12132"/>
    <d v="2023-03-26T00:00:00"/>
    <x v="93"/>
    <x v="12"/>
    <n v="8.5199999999999998E-3"/>
    <n v="103.36463999999999"/>
    <s v="BR"/>
    <x v="3"/>
    <x v="6"/>
    <s v="Q1"/>
    <n v="176"/>
    <n v="68.931818181818187"/>
    <s v="48oz"/>
    <n v="1"/>
    <n v="12132"/>
    <n v="103.36463999999999"/>
    <n v="68.931818181818187"/>
  </r>
  <r>
    <n v="69564623"/>
    <x v="2"/>
    <n v="7764"/>
    <d v="2023-03-26T00:00:00"/>
    <x v="238"/>
    <x v="13"/>
    <n v="8.5199999999999998E-3"/>
    <n v="66.149280000000005"/>
    <s v="BR"/>
    <x v="3"/>
    <x v="2"/>
    <s v="Q1"/>
    <n v="176"/>
    <n v="44.113636363636367"/>
    <s v="48oz"/>
    <n v="1"/>
    <n v="7764"/>
    <n v="66.149280000000005"/>
    <n v="44.113636363636367"/>
  </r>
  <r>
    <n v="69568962"/>
    <x v="2"/>
    <n v="0"/>
    <d v="2023-03-26T00:00:00"/>
    <x v="121"/>
    <x v="32"/>
    <n v="8.5199999999999998E-3"/>
    <n v="0"/>
    <s v="BR"/>
    <x v="3"/>
    <x v="2"/>
    <s v="Q1"/>
    <n v="176"/>
    <n v="0"/>
    <s v="48oz"/>
    <n v="1"/>
    <n v="0"/>
    <n v="0"/>
    <n v="0"/>
  </r>
  <r>
    <n v="69572657"/>
    <x v="2"/>
    <n v="6858"/>
    <d v="2023-03-26T00:00:00"/>
    <x v="306"/>
    <x v="5"/>
    <n v="2.1520000000000003E-3"/>
    <n v="14.758416000000002"/>
    <s v="MG"/>
    <x v="3"/>
    <x v="5"/>
    <s v="Q1"/>
    <n v="210"/>
    <n v="32.657142857142858"/>
    <s v="MG Sticks"/>
    <n v="1"/>
    <n v="6858"/>
    <n v="14.758416000000002"/>
    <n v="32.657142857142858"/>
  </r>
  <r>
    <n v="69572659"/>
    <x v="2"/>
    <n v="0"/>
    <d v="2023-03-26T00:00:00"/>
    <x v="5"/>
    <x v="5"/>
    <n v="2.1520000000000003E-3"/>
    <n v="0"/>
    <s v="MG"/>
    <x v="3"/>
    <x v="5"/>
    <s v="Q1"/>
    <n v="210"/>
    <n v="0"/>
    <s v="MG Sticks"/>
    <n v="1"/>
    <n v="0"/>
    <n v="0"/>
    <n v="0"/>
  </r>
  <r>
    <n v="69621212"/>
    <x v="2"/>
    <n v="4795"/>
    <d v="2023-03-26T00:00:00"/>
    <x v="29"/>
    <x v="28"/>
    <n v="5.2680000000000001E-3"/>
    <n v="25.260059999999999"/>
    <s v="PG"/>
    <x v="3"/>
    <x v="14"/>
    <s v="Q1"/>
    <n v="130"/>
    <n v="36.884615384615387"/>
    <s v="PG"/>
    <n v="1"/>
    <n v="4795"/>
    <n v="25.260059999999999"/>
    <n v="36.884615384615387"/>
  </r>
  <r>
    <n v="69677917"/>
    <x v="3"/>
    <n v="4814"/>
    <d v="2023-03-26T00:00:00"/>
    <x v="30"/>
    <x v="29"/>
    <n v="5.2680000000000001E-3"/>
    <n v="25.360151999999999"/>
    <s v="PS"/>
    <x v="3"/>
    <x v="3"/>
    <s v="Q1"/>
    <n v="108"/>
    <n v="44.574074074074076"/>
    <s v="PG"/>
    <n v="1"/>
    <n v="4814"/>
    <n v="25.360151999999999"/>
    <n v="44.574074074074076"/>
  </r>
  <r>
    <n v="69677917"/>
    <x v="2"/>
    <n v="1223"/>
    <d v="2023-03-26T00:00:00"/>
    <x v="30"/>
    <x v="30"/>
    <n v="5.2680000000000001E-3"/>
    <n v="6.4427640000000004"/>
    <s v="PS"/>
    <x v="3"/>
    <x v="14"/>
    <s v="Q1"/>
    <n v="108"/>
    <n v="11.324074074074074"/>
    <s v="PG"/>
    <n v="1"/>
    <n v="1223"/>
    <n v="6.4427640000000004"/>
    <n v="11.324074074074074"/>
  </r>
  <r>
    <n v="69691903"/>
    <x v="2"/>
    <n v="0"/>
    <d v="2023-03-26T00:00:00"/>
    <x v="172"/>
    <x v="21"/>
    <n v="3.7839999999999996E-3"/>
    <n v="0"/>
    <s v="TA"/>
    <x v="3"/>
    <x v="10"/>
    <s v="Q1"/>
    <n v="255"/>
    <n v="0"/>
    <s v="TALENTI"/>
    <n v="1"/>
    <n v="0"/>
    <n v="0"/>
    <n v="0"/>
  </r>
  <r>
    <n v="69700048"/>
    <x v="3"/>
    <n v="3190"/>
    <d v="2023-03-26T00:00:00"/>
    <x v="288"/>
    <x v="24"/>
    <n v="2.3469132803553457E-3"/>
    <n v="7.4866533643335522"/>
    <s v="GH"/>
    <x v="3"/>
    <x v="4"/>
    <s v="Q1"/>
    <n v="350"/>
    <n v="9.1142857142857139"/>
    <s v="MBG"/>
    <n v="1"/>
    <n v="3190"/>
    <n v="7.4866533643335522"/>
    <n v="9.1142857142857139"/>
  </r>
  <r>
    <n v="84138347"/>
    <x v="5"/>
    <n v="6456"/>
    <d v="2023-03-26T00:00:00"/>
    <x v="216"/>
    <x v="35"/>
    <n v="9.0848256361922702E-3"/>
    <n v="58.651634307257297"/>
    <s v="BJ"/>
    <x v="3"/>
    <x v="39"/>
    <s v="Q1"/>
    <n v="125"/>
    <n v="51.648000000000003"/>
    <s v="2.4 Gal"/>
    <n v="1"/>
    <n v="6456"/>
    <n v="58.651634307257297"/>
    <n v="51.648000000000003"/>
  </r>
  <r>
    <n v="67309841"/>
    <x v="2"/>
    <n v="0"/>
    <d v="2023-03-27T00:00:00"/>
    <x v="32"/>
    <x v="13"/>
    <n v="8.5199999999999998E-3"/>
    <n v="0"/>
    <s v="BR"/>
    <x v="3"/>
    <x v="2"/>
    <s v="Q1"/>
    <n v="154"/>
    <n v="0"/>
    <s v="48oz"/>
    <n v="1"/>
    <n v="0"/>
    <n v="0"/>
    <n v="0"/>
  </r>
  <r>
    <n v="67309843"/>
    <x v="3"/>
    <n v="7849"/>
    <d v="2023-03-27T00:00:00"/>
    <x v="88"/>
    <x v="11"/>
    <n v="8.5199999999999998E-3"/>
    <n v="66.873480000000001"/>
    <s v="BR"/>
    <x v="3"/>
    <x v="6"/>
    <s v="Q1"/>
    <n v="154"/>
    <n v="50.967532467532465"/>
    <s v="48oz"/>
    <n v="1"/>
    <n v="7849"/>
    <n v="66.873480000000001"/>
    <n v="50.967532467532465"/>
  </r>
  <r>
    <n v="67309864"/>
    <x v="3"/>
    <n v="0"/>
    <d v="2023-03-27T00:00:00"/>
    <x v="63"/>
    <x v="11"/>
    <n v="8.5199999999999998E-3"/>
    <n v="0"/>
    <s v="BR"/>
    <x v="3"/>
    <x v="6"/>
    <s v="Q1"/>
    <n v="154"/>
    <n v="0"/>
    <s v="48oz"/>
    <n v="1"/>
    <n v="0"/>
    <n v="0"/>
    <n v="0"/>
  </r>
  <r>
    <n v="67309864"/>
    <x v="3"/>
    <n v="0"/>
    <d v="2023-03-27T00:00:00"/>
    <x v="63"/>
    <x v="11"/>
    <n v="8.5199999999999998E-3"/>
    <n v="0"/>
    <s v="BR"/>
    <x v="3"/>
    <x v="6"/>
    <s v="Q1"/>
    <n v="154"/>
    <n v="0"/>
    <s v="48oz"/>
    <n v="1"/>
    <n v="0"/>
    <n v="0"/>
    <n v="0"/>
  </r>
  <r>
    <n v="67465063"/>
    <x v="3"/>
    <n v="2966"/>
    <d v="2023-03-27T00:00:00"/>
    <x v="3"/>
    <x v="40"/>
    <n v="5.2680000000000001E-3"/>
    <n v="15.624888"/>
    <s v="PS"/>
    <x v="3"/>
    <x v="3"/>
    <s v="Q1"/>
    <n v="130"/>
    <n v="22.815384615384616"/>
    <s v="PG"/>
    <n v="1"/>
    <n v="2966"/>
    <n v="15.624888"/>
    <n v="22.815384615384616"/>
  </r>
  <r>
    <n v="67465063"/>
    <x v="3"/>
    <n v="605"/>
    <d v="2023-03-27T00:00:00"/>
    <x v="3"/>
    <x v="6"/>
    <n v="5.2680000000000001E-3"/>
    <n v="3.1871399999999999"/>
    <s v="PS"/>
    <x v="3"/>
    <x v="3"/>
    <s v="Q1"/>
    <n v="130"/>
    <n v="4.6538461538461542"/>
    <s v="PG"/>
    <n v="1"/>
    <n v="605"/>
    <n v="3.1871399999999999"/>
    <n v="4.6538461538461542"/>
  </r>
  <r>
    <n v="67465063"/>
    <x v="3"/>
    <n v="4390"/>
    <d v="2023-03-27T00:00:00"/>
    <x v="3"/>
    <x v="10"/>
    <n v="5.2680000000000001E-3"/>
    <n v="23.126519999999999"/>
    <s v="PS"/>
    <x v="3"/>
    <x v="3"/>
    <s v="Q1"/>
    <n v="130"/>
    <n v="33.769230769230766"/>
    <s v="PG"/>
    <n v="1"/>
    <n v="4390"/>
    <n v="23.126519999999999"/>
    <n v="33.769230769230766"/>
  </r>
  <r>
    <n v="67465064"/>
    <x v="3"/>
    <n v="0"/>
    <d v="2023-03-27T00:00:00"/>
    <x v="7"/>
    <x v="3"/>
    <n v="1.596E-3"/>
    <n v="0"/>
    <s v="PS"/>
    <x v="3"/>
    <x v="3"/>
    <s v="Q1"/>
    <n v="130"/>
    <n v="0"/>
    <s v="PG"/>
    <n v="1"/>
    <n v="0"/>
    <n v="0"/>
    <n v="0"/>
  </r>
  <r>
    <n v="67466492"/>
    <x v="3"/>
    <n v="4096"/>
    <d v="2023-03-27T00:00:00"/>
    <x v="8"/>
    <x v="8"/>
    <n v="5.2680000000000001E-3"/>
    <n v="21.577728"/>
    <s v="PS"/>
    <x v="3"/>
    <x v="3"/>
    <s v="Q1"/>
    <n v="130"/>
    <n v="31.507692307692309"/>
    <s v="PG"/>
    <n v="1"/>
    <n v="4096"/>
    <n v="21.577728"/>
    <n v="31.507692307692309"/>
  </r>
  <r>
    <n v="67466492"/>
    <x v="3"/>
    <n v="3853"/>
    <d v="2023-03-27T00:00:00"/>
    <x v="8"/>
    <x v="7"/>
    <n v="5.2680000000000001E-3"/>
    <n v="20.297604"/>
    <s v="PS"/>
    <x v="3"/>
    <x v="3"/>
    <s v="Q1"/>
    <n v="130"/>
    <n v="29.638461538461538"/>
    <s v="PG"/>
    <n v="1"/>
    <n v="3853"/>
    <n v="20.297604"/>
    <n v="29.638461538461538"/>
  </r>
  <r>
    <n v="67466492"/>
    <x v="3"/>
    <n v="742"/>
    <d v="2023-03-27T00:00:00"/>
    <x v="8"/>
    <x v="6"/>
    <n v="5.2680000000000001E-3"/>
    <n v="3.9088560000000001"/>
    <s v="PS"/>
    <x v="3"/>
    <x v="3"/>
    <s v="Q1"/>
    <n v="130"/>
    <n v="5.7076923076923078"/>
    <s v="PG"/>
    <n v="1"/>
    <n v="742"/>
    <n v="3.9088560000000001"/>
    <n v="5.7076923076923078"/>
  </r>
  <r>
    <n v="67466492"/>
    <x v="3"/>
    <n v="0"/>
    <d v="2023-03-27T00:00:00"/>
    <x v="8"/>
    <x v="10"/>
    <n v="5.2680000000000001E-3"/>
    <n v="0"/>
    <s v="PS"/>
    <x v="3"/>
    <x v="3"/>
    <s v="Q1"/>
    <n v="130"/>
    <n v="0"/>
    <s v="PG"/>
    <n v="1"/>
    <n v="0"/>
    <n v="0"/>
    <n v="0"/>
  </r>
  <r>
    <n v="67466492"/>
    <x v="3"/>
    <n v="1926"/>
    <d v="2023-03-27T00:00:00"/>
    <x v="8"/>
    <x v="8"/>
    <n v="5.2680000000000001E-3"/>
    <n v="10.146167999999999"/>
    <s v="PS"/>
    <x v="3"/>
    <x v="3"/>
    <s v="Q1"/>
    <n v="130"/>
    <n v="14.815384615384616"/>
    <s v="PG"/>
    <n v="1"/>
    <n v="1926"/>
    <n v="10.146167999999999"/>
    <n v="14.815384615384616"/>
  </r>
  <r>
    <n v="67723726"/>
    <x v="3"/>
    <n v="9694"/>
    <d v="2023-03-27T00:00:00"/>
    <x v="109"/>
    <x v="23"/>
    <n v="8.5199999999999998E-3"/>
    <n v="82.592879999999994"/>
    <s v="BR"/>
    <x v="3"/>
    <x v="6"/>
    <s v="Q1"/>
    <n v="154"/>
    <n v="62.948051948051948"/>
    <s v="48oz"/>
    <n v="1"/>
    <n v="9694"/>
    <n v="82.592879999999994"/>
    <n v="62.948051948051948"/>
  </r>
  <r>
    <n v="67736698"/>
    <x v="5"/>
    <n v="24164"/>
    <d v="2023-03-27T00:00:00"/>
    <x v="140"/>
    <x v="33"/>
    <n v="3.7839999999999996E-3"/>
    <n v="91.436575999999988"/>
    <s v="BJ"/>
    <x v="3"/>
    <x v="15"/>
    <s v="Q1"/>
    <n v="240"/>
    <n v="100.68333333333334"/>
    <s v="BJ PTS"/>
    <n v="1"/>
    <n v="24164"/>
    <n v="91.436575999999988"/>
    <n v="100.68333333333334"/>
  </r>
  <r>
    <n v="67885719"/>
    <x v="2"/>
    <n v="0"/>
    <d v="2023-03-27T00:00:00"/>
    <x v="11"/>
    <x v="2"/>
    <n v="8.5199999999999998E-3"/>
    <n v="0"/>
    <s v="BR"/>
    <x v="3"/>
    <x v="2"/>
    <s v="Q1"/>
    <n v="154"/>
    <n v="0"/>
    <s v="48oz"/>
    <n v="1"/>
    <n v="0"/>
    <n v="0"/>
    <n v="0"/>
  </r>
  <r>
    <n v="67885722"/>
    <x v="2"/>
    <n v="16016"/>
    <d v="2023-03-27T00:00:00"/>
    <x v="163"/>
    <x v="32"/>
    <n v="8.5199999999999998E-3"/>
    <n v="136.45632000000001"/>
    <s v="BR"/>
    <x v="3"/>
    <x v="2"/>
    <s v="Q1"/>
    <n v="154"/>
    <n v="104"/>
    <s v="48oz"/>
    <n v="1"/>
    <n v="16016"/>
    <n v="136.45632000000001"/>
    <n v="104"/>
  </r>
  <r>
    <n v="67893539"/>
    <x v="3"/>
    <n v="10424"/>
    <d v="2023-03-27T00:00:00"/>
    <x v="12"/>
    <x v="16"/>
    <n v="8.5199999999999998E-3"/>
    <n v="88.812479999999994"/>
    <s v="BR"/>
    <x v="3"/>
    <x v="6"/>
    <s v="Q1"/>
    <n v="154"/>
    <n v="67.688311688311686"/>
    <s v="48oz"/>
    <n v="1"/>
    <n v="10424"/>
    <n v="88.812479999999994"/>
    <n v="67.688311688311686"/>
  </r>
  <r>
    <n v="67908208"/>
    <x v="2"/>
    <n v="5017"/>
    <d v="2023-03-27T00:00:00"/>
    <x v="225"/>
    <x v="25"/>
    <n v="3.9039999999999999E-3"/>
    <n v="19.586368"/>
    <s v="GH"/>
    <x v="3"/>
    <x v="11"/>
    <s v="Q1"/>
    <n v="154"/>
    <n v="32.577922077922075"/>
    <s v="MBG"/>
    <n v="1"/>
    <n v="5017"/>
    <n v="19.586368"/>
    <n v="32.577922077922075"/>
  </r>
  <r>
    <n v="68188183"/>
    <x v="3"/>
    <n v="0"/>
    <d v="2023-03-27T00:00:00"/>
    <x v="70"/>
    <x v="9"/>
    <n v="3.8340000000000002E-3"/>
    <n v="0"/>
    <s v="PS"/>
    <x v="3"/>
    <x v="3"/>
    <s v="Q1"/>
    <n v="130"/>
    <n v="0"/>
    <s v="PG"/>
    <n v="1"/>
    <n v="0"/>
    <n v="0"/>
    <n v="0"/>
  </r>
  <r>
    <n v="68188183"/>
    <x v="3"/>
    <n v="0"/>
    <d v="2023-03-27T00:00:00"/>
    <x v="70"/>
    <x v="9"/>
    <n v="3.8340000000000002E-3"/>
    <n v="0"/>
    <s v="PS"/>
    <x v="3"/>
    <x v="3"/>
    <s v="Q1"/>
    <n v="130"/>
    <n v="0"/>
    <s v="PG"/>
    <n v="1"/>
    <n v="0"/>
    <n v="0"/>
    <n v="0"/>
  </r>
  <r>
    <n v="68309313"/>
    <x v="2"/>
    <n v="25077"/>
    <d v="2023-03-27T00:00:00"/>
    <x v="121"/>
    <x v="32"/>
    <n v="8.5199999999999998E-3"/>
    <n v="213.65603999999999"/>
    <s v="BR"/>
    <x v="3"/>
    <x v="2"/>
    <s v="Q1"/>
    <n v="154"/>
    <n v="162.83766233766235"/>
    <s v="48oz"/>
    <n v="1"/>
    <n v="25077"/>
    <n v="213.65603999999999"/>
    <n v="162.83766233766235"/>
  </r>
  <r>
    <n v="68309313"/>
    <x v="2"/>
    <n v="3880"/>
    <d v="2023-03-27T00:00:00"/>
    <x v="121"/>
    <x v="32"/>
    <n v="8.5199999999999998E-3"/>
    <n v="33.057600000000001"/>
    <s v="BR"/>
    <x v="3"/>
    <x v="2"/>
    <s v="Q1"/>
    <n v="154"/>
    <n v="25.194805194805195"/>
    <s v="48oz"/>
    <n v="1"/>
    <n v="3880"/>
    <n v="33.057600000000001"/>
    <n v="25.194805194805195"/>
  </r>
  <r>
    <n v="68354591"/>
    <x v="2"/>
    <n v="21987"/>
    <d v="2023-03-27T00:00:00"/>
    <x v="312"/>
    <x v="15"/>
    <n v="3.5999999999999999E-3"/>
    <n v="79.153199999999998"/>
    <s v="BJ"/>
    <x v="3"/>
    <x v="19"/>
    <s v="Q1"/>
    <n v="240"/>
    <n v="91.612499999999997"/>
    <s v="TOPPED"/>
    <n v="1"/>
    <n v="21987"/>
    <n v="79.153199999999998"/>
    <n v="91.612499999999997"/>
  </r>
  <r>
    <n v="68654217"/>
    <x v="5"/>
    <n v="11678"/>
    <d v="2023-03-27T00:00:00"/>
    <x v="135"/>
    <x v="33"/>
    <n v="3.7853439999999999E-3"/>
    <n v="44.205247231999998"/>
    <s v="BJ"/>
    <x v="3"/>
    <x v="15"/>
    <s v="Q1"/>
    <n v="240"/>
    <n v="48.658333333333331"/>
    <s v="BJ PTS"/>
    <n v="1"/>
    <n v="11678"/>
    <n v="44.205247231999998"/>
    <n v="48.658333333333331"/>
  </r>
  <r>
    <n v="68689251"/>
    <x v="3"/>
    <n v="7213"/>
    <d v="2023-03-27T00:00:00"/>
    <x v="17"/>
    <x v="20"/>
    <n v="9.5760000000000012E-3"/>
    <n v="69.071688000000009"/>
    <s v="KL"/>
    <x v="3"/>
    <x v="8"/>
    <s v="Q1"/>
    <n v="132"/>
    <n v="54.643939393939391"/>
    <s v="EDF"/>
    <n v="1"/>
    <n v="7213"/>
    <n v="69.071688000000009"/>
    <n v="54.643939393939391"/>
  </r>
  <r>
    <n v="68689253"/>
    <x v="2"/>
    <n v="1431"/>
    <d v="2023-03-27T00:00:00"/>
    <x v="125"/>
    <x v="18"/>
    <n v="6.0035555555555554E-3"/>
    <n v="8.5910879999999992"/>
    <s v="KL"/>
    <x v="3"/>
    <x v="9"/>
    <s v="Q1"/>
    <n v="120"/>
    <n v="11.925000000000001"/>
    <s v="ESS"/>
    <n v="1"/>
    <n v="1431"/>
    <n v="8.5910879999999992"/>
    <n v="11.925000000000001"/>
  </r>
  <r>
    <n v="68709233"/>
    <x v="3"/>
    <n v="4980"/>
    <d v="2023-03-27T00:00:00"/>
    <x v="19"/>
    <x v="19"/>
    <n v="8.4960000000000001E-3"/>
    <n v="42.310079999999999"/>
    <s v="KL"/>
    <x v="3"/>
    <x v="8"/>
    <s v="Q1"/>
    <n v="132"/>
    <n v="37.727272727272727"/>
    <s v="EDF"/>
    <n v="1"/>
    <n v="4980"/>
    <n v="42.310079999999999"/>
    <n v="37.727272727272727"/>
  </r>
  <r>
    <n v="68728342"/>
    <x v="2"/>
    <n v="15725"/>
    <d v="2023-03-27T00:00:00"/>
    <x v="44"/>
    <x v="22"/>
    <n v="3.7853439999999999E-3"/>
    <n v="59.5245344"/>
    <s v="TA"/>
    <x v="3"/>
    <x v="10"/>
    <s v="Q1"/>
    <n v="255"/>
    <n v="61.666666666666664"/>
    <s v="TALENTI"/>
    <n v="1"/>
    <n v="15725"/>
    <n v="59.5245344"/>
    <n v="61.666666666666664"/>
  </r>
  <r>
    <n v="68732322"/>
    <x v="13"/>
    <n v="7473"/>
    <d v="2023-03-27T00:00:00"/>
    <x v="313"/>
    <x v="35"/>
    <n v="3.6640000000000002E-3"/>
    <n v="27.381072"/>
    <s v="BJ"/>
    <x v="3"/>
    <x v="40"/>
    <s v="Q1"/>
    <n v="240"/>
    <n v="31.137499999999999"/>
    <s v="PTS Exports"/>
    <n v="1"/>
    <n v="7473"/>
    <n v="27.381072"/>
    <n v="31.137499999999999"/>
  </r>
  <r>
    <n v="68741742"/>
    <x v="3"/>
    <n v="6096"/>
    <d v="2023-03-27T00:00:00"/>
    <x v="25"/>
    <x v="4"/>
    <n v="4.2560000000000002E-3"/>
    <n v="25.944576000000001"/>
    <s v="GH"/>
    <x v="3"/>
    <x v="4"/>
    <s v="Q1"/>
    <n v="154"/>
    <n v="39.584415584415588"/>
    <s v="MBG"/>
    <n v="1"/>
    <n v="6096"/>
    <n v="25.944576000000001"/>
    <n v="39.584415584415588"/>
  </r>
  <r>
    <n v="68852583"/>
    <x v="2"/>
    <n v="0"/>
    <d v="2023-03-27T00:00:00"/>
    <x v="227"/>
    <x v="26"/>
    <n v="8.5199999999999998E-3"/>
    <n v="0"/>
    <s v="KL"/>
    <x v="3"/>
    <x v="12"/>
    <s v="Q1"/>
    <n v="132"/>
    <n v="0"/>
    <s v="EDF"/>
    <n v="1"/>
    <n v="0"/>
    <n v="0"/>
    <n v="0"/>
  </r>
  <r>
    <n v="68852591"/>
    <x v="3"/>
    <n v="7370"/>
    <d v="2023-03-27T00:00:00"/>
    <x v="26"/>
    <x v="17"/>
    <n v="8.5199999999999998E-3"/>
    <n v="62.792400000000001"/>
    <s v="KL"/>
    <x v="3"/>
    <x v="8"/>
    <s v="Q1"/>
    <n v="132"/>
    <n v="55.833333333333336"/>
    <s v="EDF"/>
    <n v="1"/>
    <n v="7370"/>
    <n v="62.792400000000001"/>
    <n v="55.833333333333336"/>
  </r>
  <r>
    <n v="68852591"/>
    <x v="2"/>
    <n v="833"/>
    <d v="2023-03-27T00:00:00"/>
    <x v="26"/>
    <x v="26"/>
    <n v="8.5199999999999998E-3"/>
    <n v="7.0971599999999997"/>
    <s v="KL"/>
    <x v="3"/>
    <x v="12"/>
    <s v="Q1"/>
    <n v="132"/>
    <n v="6.3106060606060606"/>
    <s v="EDF"/>
    <n v="1"/>
    <n v="833"/>
    <n v="7.0971599999999997"/>
    <n v="6.3106060606060606"/>
  </r>
  <r>
    <n v="68899826"/>
    <x v="3"/>
    <n v="0"/>
    <d v="2023-03-27T00:00:00"/>
    <x v="129"/>
    <x v="12"/>
    <n v="8.5199999999999998E-3"/>
    <n v="0"/>
    <s v="BR"/>
    <x v="3"/>
    <x v="6"/>
    <s v="Q1"/>
    <n v="176"/>
    <n v="0"/>
    <s v="48oz"/>
    <n v="1"/>
    <n v="0"/>
    <n v="0"/>
    <n v="0"/>
  </r>
  <r>
    <n v="68930545"/>
    <x v="3"/>
    <n v="12953"/>
    <d v="2023-03-27T00:00:00"/>
    <x v="93"/>
    <x v="12"/>
    <n v="8.5199999999999998E-3"/>
    <n v="110.35956"/>
    <s v="BR"/>
    <x v="3"/>
    <x v="6"/>
    <s v="Q1"/>
    <n v="176"/>
    <n v="73.596590909090907"/>
    <s v="48oz"/>
    <n v="1"/>
    <n v="12953"/>
    <n v="110.35956"/>
    <n v="73.596590909090907"/>
  </r>
  <r>
    <n v="69548143"/>
    <x v="3"/>
    <n v="0"/>
    <d v="2023-03-27T00:00:00"/>
    <x v="159"/>
    <x v="36"/>
    <n v="3.192E-3"/>
    <n v="0"/>
    <s v="KL"/>
    <x v="3"/>
    <x v="28"/>
    <s v="Q1"/>
    <n v="345"/>
    <n v="0"/>
    <s v="EFW"/>
    <n v="1"/>
    <n v="0"/>
    <n v="0"/>
    <n v="0"/>
  </r>
  <r>
    <n v="69552651"/>
    <x v="5"/>
    <n v="28030"/>
    <d v="2023-03-27T00:00:00"/>
    <x v="292"/>
    <x v="38"/>
    <n v="3.7839999999999996E-3"/>
    <n v="106.06551999999999"/>
    <s v="BJ"/>
    <x v="3"/>
    <x v="15"/>
    <s v="Q1"/>
    <n v="240"/>
    <n v="116.79166666666667"/>
    <s v="BJ PTS"/>
    <n v="1"/>
    <n v="28030"/>
    <n v="106.06551999999999"/>
    <n v="116.79166666666667"/>
  </r>
  <r>
    <n v="69552658"/>
    <x v="10"/>
    <n v="3402"/>
    <d v="2023-03-27T00:00:00"/>
    <x v="81"/>
    <x v="37"/>
    <n v="2.8390080000000001E-3"/>
    <n v="9.6583052160000005"/>
    <s v="KL"/>
    <x v="3"/>
    <x v="29"/>
    <s v="Q1"/>
    <n v="189"/>
    <n v="18"/>
    <s v="ESS"/>
    <n v="1"/>
    <n v="3402"/>
    <n v="9.6583052160000005"/>
    <n v="18"/>
  </r>
  <r>
    <n v="68871168"/>
    <x v="1"/>
    <n v="1836"/>
    <d v="2023-03-27T00:00:00"/>
    <x v="57"/>
    <x v="0"/>
    <n v="6.0035555555555554E-3"/>
    <n v="11.022527999999999"/>
    <s v="KL"/>
    <x v="3"/>
    <x v="1"/>
    <s v="Q1"/>
    <n v="108"/>
    <n v="17"/>
    <s v="KL Sandwiches"/>
    <n v="1"/>
    <n v="1836"/>
    <n v="11.022527999999999"/>
    <n v="17"/>
  </r>
  <r>
    <n v="69555093"/>
    <x v="2"/>
    <n v="4987"/>
    <d v="2023-03-27T00:00:00"/>
    <x v="229"/>
    <x v="14"/>
    <n v="1.98E-3"/>
    <n v="9.8742599999999996"/>
    <s v="TA"/>
    <x v="3"/>
    <x v="42"/>
    <s v="Q1"/>
    <n v="176"/>
    <n v="28.335227272727273"/>
    <s v="TAL NV"/>
    <n v="1"/>
    <n v="4987"/>
    <n v="9.8742599999999996"/>
    <n v="28.335227272727273"/>
  </r>
  <r>
    <n v="69557443"/>
    <x v="4"/>
    <n v="34072"/>
    <d v="2023-03-27T00:00:00"/>
    <x v="28"/>
    <x v="0"/>
    <n v="5.3220000000000003E-3"/>
    <n v="181.33118400000001"/>
    <s v="KL"/>
    <x v="3"/>
    <x v="13"/>
    <s v="Q1"/>
    <n v="120"/>
    <n v="283.93333333333334"/>
    <s v="KL Mini Cones"/>
    <n v="1"/>
    <n v="34072"/>
    <n v="181.33118400000001"/>
    <n v="283.93333333333334"/>
  </r>
  <r>
    <n v="69564623"/>
    <x v="2"/>
    <n v="0"/>
    <d v="2023-03-27T00:00:00"/>
    <x v="238"/>
    <x v="13"/>
    <n v="8.5199999999999998E-3"/>
    <n v="0"/>
    <s v="BR"/>
    <x v="3"/>
    <x v="2"/>
    <s v="Q1"/>
    <n v="176"/>
    <n v="0"/>
    <s v="48oz"/>
    <n v="1"/>
    <n v="0"/>
    <n v="0"/>
    <n v="0"/>
  </r>
  <r>
    <n v="69564623"/>
    <x v="2"/>
    <n v="12973"/>
    <d v="2023-03-27T00:00:00"/>
    <x v="238"/>
    <x v="13"/>
    <n v="8.5199999999999998E-3"/>
    <n v="110.52996"/>
    <s v="BR"/>
    <x v="3"/>
    <x v="2"/>
    <s v="Q1"/>
    <n v="176"/>
    <n v="73.710227272727266"/>
    <s v="48oz"/>
    <n v="1"/>
    <n v="12973"/>
    <n v="110.52996"/>
    <n v="73.710227272727266"/>
  </r>
  <r>
    <n v="69568963"/>
    <x v="2"/>
    <n v="8903"/>
    <d v="2023-03-27T00:00:00"/>
    <x v="94"/>
    <x v="2"/>
    <n v="8.5199999999999998E-3"/>
    <n v="75.853560000000002"/>
    <s v="BR"/>
    <x v="3"/>
    <x v="2"/>
    <s v="Q1"/>
    <n v="176"/>
    <n v="50.585227272727273"/>
    <s v="48oz"/>
    <n v="1"/>
    <n v="8903"/>
    <n v="75.853560000000002"/>
    <n v="50.585227272727273"/>
  </r>
  <r>
    <n v="69572659"/>
    <x v="2"/>
    <n v="3491"/>
    <d v="2023-03-27T00:00:00"/>
    <x v="5"/>
    <x v="5"/>
    <n v="2.1520000000000003E-3"/>
    <n v="7.5126320000000009"/>
    <s v="MG"/>
    <x v="3"/>
    <x v="5"/>
    <s v="Q1"/>
    <n v="210"/>
    <n v="16.623809523809523"/>
    <s v="MG Sticks"/>
    <n v="1"/>
    <n v="3491"/>
    <n v="7.5126320000000009"/>
    <n v="16.623809523809523"/>
  </r>
  <r>
    <n v="69587863"/>
    <x v="2"/>
    <n v="0"/>
    <d v="2023-03-27T00:00:00"/>
    <x v="249"/>
    <x v="2"/>
    <n v="8.5199999999999998E-3"/>
    <n v="0"/>
    <s v="BR"/>
    <x v="3"/>
    <x v="2"/>
    <s v="Q1"/>
    <n v="154"/>
    <n v="0"/>
    <s v="48oz"/>
    <n v="1"/>
    <n v="0"/>
    <n v="0"/>
    <n v="0"/>
  </r>
  <r>
    <n v="69617285"/>
    <x v="4"/>
    <n v="2726"/>
    <d v="2023-03-27T00:00:00"/>
    <x v="82"/>
    <x v="0"/>
    <n v="2.6610000000000002E-3"/>
    <n v="7.2538860000000005"/>
    <s v="PS"/>
    <x v="3"/>
    <x v="13"/>
    <s v="Q1"/>
    <n v="180"/>
    <n v="15.144444444444444"/>
    <s v="KL Mini Cones"/>
    <n v="1"/>
    <n v="2726"/>
    <n v="7.2538860000000005"/>
    <n v="15.144444444444444"/>
  </r>
  <r>
    <n v="69621212"/>
    <x v="2"/>
    <n v="4436"/>
    <d v="2023-03-27T00:00:00"/>
    <x v="29"/>
    <x v="28"/>
    <n v="5.2680000000000001E-3"/>
    <n v="23.368848"/>
    <s v="PG"/>
    <x v="3"/>
    <x v="14"/>
    <s v="Q1"/>
    <n v="130"/>
    <n v="34.123076923076923"/>
    <s v="PG"/>
    <n v="1"/>
    <n v="4436"/>
    <n v="23.368848"/>
    <n v="34.123076923076923"/>
  </r>
  <r>
    <n v="69629477"/>
    <x v="1"/>
    <n v="1133"/>
    <d v="2023-03-27T00:00:00"/>
    <x v="61"/>
    <x v="0"/>
    <n v="5.3280000000000003E-3"/>
    <n v="6.0366240000000007"/>
    <s v="KL"/>
    <x v="3"/>
    <x v="26"/>
    <s v="Q1"/>
    <n v="108"/>
    <n v="10.49074074074074"/>
    <s v="KL Mini Cones"/>
    <n v="1"/>
    <n v="1133"/>
    <n v="6.0366240000000007"/>
    <n v="10.49074074074074"/>
  </r>
  <r>
    <n v="69653125"/>
    <x v="0"/>
    <m/>
    <d v="2023-03-27T00:00:00"/>
    <x v="146"/>
    <x v="0"/>
    <n v="5.3220000000000003E-3"/>
    <n v="0"/>
    <s v="BR"/>
    <x v="3"/>
    <x v="37"/>
    <s v="Q1"/>
    <n v="120"/>
    <n v="0"/>
    <s v="BR Minicups"/>
    <n v="1"/>
    <n v="0"/>
    <n v="0"/>
    <n v="0"/>
  </r>
  <r>
    <n v="69677917"/>
    <x v="3"/>
    <n v="3882"/>
    <d v="2023-03-27T00:00:00"/>
    <x v="30"/>
    <x v="29"/>
    <n v="5.2680000000000001E-3"/>
    <n v="20.450376000000002"/>
    <s v="PS"/>
    <x v="3"/>
    <x v="3"/>
    <s v="Q1"/>
    <n v="108"/>
    <n v="35.944444444444443"/>
    <s v="PG"/>
    <n v="1"/>
    <n v="3882"/>
    <n v="20.450376000000002"/>
    <n v="35.944444444444443"/>
  </r>
  <r>
    <n v="69677917"/>
    <x v="2"/>
    <n v="280"/>
    <d v="2023-03-27T00:00:00"/>
    <x v="30"/>
    <x v="30"/>
    <n v="5.2680000000000001E-3"/>
    <n v="1.4750400000000001"/>
    <s v="PS"/>
    <x v="3"/>
    <x v="14"/>
    <s v="Q1"/>
    <n v="108"/>
    <n v="2.5925925925925926"/>
    <s v="PG"/>
    <n v="1"/>
    <n v="280"/>
    <n v="1.4750400000000001"/>
    <n v="2.5925925925925926"/>
  </r>
  <r>
    <n v="69684521"/>
    <x v="2"/>
    <n v="0"/>
    <d v="2023-03-27T00:00:00"/>
    <x v="160"/>
    <x v="31"/>
    <n v="4.2585119798234554E-3"/>
    <n v="0"/>
    <s v="MG "/>
    <x v="3"/>
    <x v="5"/>
    <s v="Q1"/>
    <n v="143"/>
    <n v="0"/>
    <s v="MG Sticks"/>
    <n v="1"/>
    <n v="0"/>
    <n v="0"/>
    <n v="0"/>
  </r>
  <r>
    <n v="69691903"/>
    <x v="2"/>
    <n v="29179"/>
    <d v="2023-03-27T00:00:00"/>
    <x v="172"/>
    <x v="21"/>
    <n v="3.7839999999999996E-3"/>
    <n v="110.41333599999999"/>
    <s v="TA"/>
    <x v="3"/>
    <x v="10"/>
    <s v="Q1"/>
    <n v="255"/>
    <n v="114.42745098039215"/>
    <s v="TALENTI"/>
    <n v="1"/>
    <n v="29179"/>
    <n v="110.41333599999999"/>
    <n v="114.42745098039215"/>
  </r>
  <r>
    <n v="69700048"/>
    <x v="3"/>
    <n v="6565"/>
    <d v="2023-03-27T00:00:00"/>
    <x v="288"/>
    <x v="24"/>
    <n v="2.3469132803553457E-3"/>
    <n v="15.407485685532844"/>
    <s v="GH"/>
    <x v="3"/>
    <x v="4"/>
    <s v="Q1"/>
    <n v="350"/>
    <n v="18.757142857142856"/>
    <s v="MBG"/>
    <n v="1"/>
    <n v="6565"/>
    <n v="15.407485685532844"/>
    <n v="18.757142857142856"/>
  </r>
  <r>
    <n v="69717801"/>
    <x v="2"/>
    <n v="4215"/>
    <d v="2023-03-27T00:00:00"/>
    <x v="160"/>
    <x v="31"/>
    <n v="4.2560000000000002E-3"/>
    <n v="17.939040000000002"/>
    <s v="BR"/>
    <x v="3"/>
    <x v="5"/>
    <s v="Q1"/>
    <n v="143"/>
    <n v="29.475524475524477"/>
    <s v="MG Sticks"/>
    <n v="1"/>
    <n v="4215"/>
    <n v="17.939040000000002"/>
    <n v="29.475524475524477"/>
  </r>
  <r>
    <n v="84135718"/>
    <x v="13"/>
    <n v="47280"/>
    <d v="2023-03-27T00:00:00"/>
    <x v="147"/>
    <x v="38"/>
    <n v="3.7853439999999999E-3"/>
    <n v="178.97106432000001"/>
    <s v="BJ"/>
    <x v="3"/>
    <x v="36"/>
    <s v="Q1"/>
    <n v="240"/>
    <n v="197"/>
    <s v="BJ PTS"/>
    <n v="1"/>
    <n v="47280"/>
    <n v="178.97106432000001"/>
    <n v="197"/>
  </r>
  <r>
    <n v="84135718"/>
    <x v="13"/>
    <n v="53835"/>
    <d v="2023-03-27T00:00:00"/>
    <x v="147"/>
    <x v="38"/>
    <n v="3.7853439999999999E-3"/>
    <n v="203.78399424"/>
    <s v="BJ"/>
    <x v="3"/>
    <x v="36"/>
    <s v="Q1"/>
    <n v="240"/>
    <n v="224.3125"/>
    <s v="BJ PTS"/>
    <n v="1"/>
    <n v="53835"/>
    <n v="203.78399424"/>
    <n v="224.3125"/>
  </r>
  <r>
    <n v="84137725"/>
    <x v="5"/>
    <n v="40597"/>
    <d v="2023-03-27T00:00:00"/>
    <x v="132"/>
    <x v="35"/>
    <n v="3.7853439999999999E-3"/>
    <n v="153.673610368"/>
    <s v="BJ"/>
    <x v="3"/>
    <x v="15"/>
    <s v="Q1"/>
    <n v="240"/>
    <n v="169.15416666666667"/>
    <s v="BJ PTS"/>
    <n v="1"/>
    <n v="40597"/>
    <n v="153.673610368"/>
    <n v="169.15416666666667"/>
  </r>
  <r>
    <n v="84141101"/>
    <x v="5"/>
    <n v="8730"/>
    <d v="2023-03-27T00:00:00"/>
    <x v="86"/>
    <x v="33"/>
    <n v="3.7853439999999999E-3"/>
    <n v="33.046053119999996"/>
    <s v="BJ"/>
    <x v="3"/>
    <x v="15"/>
    <s v="Q1"/>
    <n v="240"/>
    <n v="36.375"/>
    <s v="BJ PTS"/>
    <n v="1"/>
    <n v="8730"/>
    <n v="33.046053119999996"/>
    <n v="36.375"/>
  </r>
  <r>
    <n v="84141418"/>
    <x v="5"/>
    <n v="5983"/>
    <d v="2023-03-27T00:00:00"/>
    <x v="314"/>
    <x v="35"/>
    <n v="9.0848256361922702E-3"/>
    <n v="54.354511781338353"/>
    <s v="BJ"/>
    <x v="3"/>
    <x v="39"/>
    <s v="Q1"/>
    <n v="125"/>
    <n v="47.863999999999997"/>
    <s v="2.4 Gal"/>
    <n v="1"/>
    <n v="5983"/>
    <n v="54.354511781338353"/>
    <n v="47.863999999999997"/>
  </r>
  <r>
    <n v="84163605"/>
    <x v="5"/>
    <n v="35800"/>
    <d v="2023-03-27T00:00:00"/>
    <x v="219"/>
    <x v="35"/>
    <n v="3.7853439999999999E-3"/>
    <n v="135.5153152"/>
    <s v="BJ"/>
    <x v="3"/>
    <x v="15"/>
    <s v="Q1"/>
    <n v="240"/>
    <n v="149.16666666666666"/>
    <s v="BJ PTS"/>
    <n v="1"/>
    <n v="35800"/>
    <n v="135.5153152"/>
    <n v="149.16666666666666"/>
  </r>
  <r>
    <n v="67309841"/>
    <x v="2"/>
    <n v="0"/>
    <d v="2023-03-28T00:00:00"/>
    <x v="32"/>
    <x v="13"/>
    <n v="8.5199999999999998E-3"/>
    <n v="0"/>
    <s v="BR"/>
    <x v="3"/>
    <x v="2"/>
    <s v="Q1"/>
    <n v="154"/>
    <n v="0"/>
    <s v="48oz"/>
    <n v="1"/>
    <n v="0"/>
    <n v="0"/>
    <n v="0"/>
  </r>
  <r>
    <n v="67309843"/>
    <x v="3"/>
    <n v="0"/>
    <d v="2023-03-28T00:00:00"/>
    <x v="88"/>
    <x v="11"/>
    <n v="8.5199999999999998E-3"/>
    <n v="0"/>
    <s v="BR"/>
    <x v="3"/>
    <x v="6"/>
    <s v="Q1"/>
    <n v="154"/>
    <n v="0"/>
    <s v="48oz"/>
    <n v="1"/>
    <n v="0"/>
    <n v="0"/>
    <n v="0"/>
  </r>
  <r>
    <n v="67309843"/>
    <x v="3"/>
    <n v="10028"/>
    <d v="2023-03-28T00:00:00"/>
    <x v="88"/>
    <x v="11"/>
    <n v="8.5199999999999998E-3"/>
    <n v="85.438559999999995"/>
    <s v="BR"/>
    <x v="3"/>
    <x v="6"/>
    <s v="Q1"/>
    <n v="154"/>
    <n v="65.116883116883116"/>
    <s v="48oz"/>
    <n v="1"/>
    <n v="10028"/>
    <n v="85.438559999999995"/>
    <n v="65.116883116883116"/>
  </r>
  <r>
    <n v="67465063"/>
    <x v="3"/>
    <n v="2632"/>
    <d v="2023-03-28T00:00:00"/>
    <x v="3"/>
    <x v="40"/>
    <n v="5.2680000000000001E-3"/>
    <n v="13.865375999999999"/>
    <s v="PS"/>
    <x v="3"/>
    <x v="3"/>
    <s v="Q1"/>
    <n v="130"/>
    <n v="20.246153846153845"/>
    <s v="PG"/>
    <n v="1"/>
    <n v="2632"/>
    <n v="13.865375999999999"/>
    <n v="20.246153846153845"/>
  </r>
  <r>
    <n v="67465064"/>
    <x v="3"/>
    <n v="0"/>
    <d v="2023-03-28T00:00:00"/>
    <x v="7"/>
    <x v="3"/>
    <n v="1.596E-3"/>
    <n v="0"/>
    <s v="PS"/>
    <x v="3"/>
    <x v="3"/>
    <s v="Q1"/>
    <n v="130"/>
    <n v="0"/>
    <s v="PG"/>
    <n v="1"/>
    <n v="0"/>
    <n v="0"/>
    <n v="0"/>
  </r>
  <r>
    <n v="67466492"/>
    <x v="3"/>
    <n v="876"/>
    <d v="2023-03-28T00:00:00"/>
    <x v="8"/>
    <x v="8"/>
    <n v="5.2680000000000001E-3"/>
    <n v="4.6147679999999998"/>
    <s v="PS"/>
    <x v="3"/>
    <x v="3"/>
    <s v="Q1"/>
    <n v="130"/>
    <n v="6.7384615384615385"/>
    <s v="PG"/>
    <n v="1"/>
    <n v="876"/>
    <n v="4.6147679999999998"/>
    <n v="6.7384615384615385"/>
  </r>
  <r>
    <n v="67466492"/>
    <x v="3"/>
    <n v="2748"/>
    <d v="2023-03-28T00:00:00"/>
    <x v="8"/>
    <x v="6"/>
    <n v="5.2680000000000001E-3"/>
    <n v="14.476464"/>
    <s v="PS"/>
    <x v="3"/>
    <x v="3"/>
    <s v="Q1"/>
    <n v="130"/>
    <n v="21.138461538461538"/>
    <s v="PG"/>
    <n v="1"/>
    <n v="2748"/>
    <n v="14.476464"/>
    <n v="21.138461538461538"/>
  </r>
  <r>
    <n v="67466492"/>
    <x v="3"/>
    <n v="4014"/>
    <d v="2023-03-28T00:00:00"/>
    <x v="8"/>
    <x v="7"/>
    <n v="5.2680000000000001E-3"/>
    <n v="21.145752000000002"/>
    <s v="PS"/>
    <x v="3"/>
    <x v="3"/>
    <s v="Q1"/>
    <n v="130"/>
    <n v="30.876923076923077"/>
    <s v="PG"/>
    <n v="1"/>
    <n v="4014"/>
    <n v="21.145752000000002"/>
    <n v="30.876923076923077"/>
  </r>
  <r>
    <n v="67466492"/>
    <x v="3"/>
    <n v="1366"/>
    <d v="2023-03-28T00:00:00"/>
    <x v="8"/>
    <x v="10"/>
    <n v="5.2680000000000001E-3"/>
    <n v="7.1960880000000005"/>
    <s v="PS"/>
    <x v="3"/>
    <x v="3"/>
    <s v="Q1"/>
    <n v="130"/>
    <n v="10.507692307692308"/>
    <s v="PG"/>
    <n v="1"/>
    <n v="1366"/>
    <n v="7.1960880000000005"/>
    <n v="10.507692307692308"/>
  </r>
  <r>
    <n v="67723726"/>
    <x v="3"/>
    <n v="12381"/>
    <d v="2023-03-28T00:00:00"/>
    <x v="109"/>
    <x v="23"/>
    <n v="8.5199999999999998E-3"/>
    <n v="105.48612"/>
    <s v="BR"/>
    <x v="3"/>
    <x v="6"/>
    <s v="Q1"/>
    <n v="154"/>
    <n v="80.396103896103895"/>
    <s v="48oz"/>
    <n v="1"/>
    <n v="12381"/>
    <n v="105.48612"/>
    <n v="80.396103896103895"/>
  </r>
  <r>
    <n v="67885719"/>
    <x v="2"/>
    <n v="10070"/>
    <d v="2023-03-28T00:00:00"/>
    <x v="11"/>
    <x v="32"/>
    <n v="8.5199999999999998E-3"/>
    <n v="85.796399999999991"/>
    <s v="BR"/>
    <x v="3"/>
    <x v="2"/>
    <s v="Q1"/>
    <n v="154"/>
    <n v="65.389610389610397"/>
    <s v="48oz"/>
    <n v="1"/>
    <n v="10070"/>
    <n v="85.796399999999991"/>
    <n v="65.389610389610397"/>
  </r>
  <r>
    <n v="67885719"/>
    <x v="2"/>
    <n v="0"/>
    <d v="2023-03-28T00:00:00"/>
    <x v="11"/>
    <x v="2"/>
    <n v="8.5199999999999998E-3"/>
    <n v="0"/>
    <s v="BR"/>
    <x v="3"/>
    <x v="2"/>
    <s v="Q1"/>
    <n v="154"/>
    <n v="0"/>
    <s v="48oz"/>
    <n v="1"/>
    <n v="0"/>
    <n v="0"/>
    <n v="0"/>
  </r>
  <r>
    <n v="67885722"/>
    <x v="2"/>
    <n v="6601"/>
    <d v="2023-03-28T00:00:00"/>
    <x v="163"/>
    <x v="32"/>
    <n v="8.5199999999999998E-3"/>
    <n v="56.240519999999997"/>
    <s v="BR"/>
    <x v="3"/>
    <x v="2"/>
    <s v="Q1"/>
    <n v="154"/>
    <n v="42.863636363636367"/>
    <s v="48oz"/>
    <n v="1"/>
    <n v="6601"/>
    <n v="56.240519999999997"/>
    <n v="42.863636363636367"/>
  </r>
  <r>
    <n v="67893539"/>
    <x v="3"/>
    <n v="9175"/>
    <d v="2023-03-28T00:00:00"/>
    <x v="12"/>
    <x v="16"/>
    <n v="8.5199999999999998E-3"/>
    <n v="78.170999999999992"/>
    <s v="BR"/>
    <x v="3"/>
    <x v="6"/>
    <s v="Q1"/>
    <n v="154"/>
    <n v="59.577922077922075"/>
    <s v="48oz"/>
    <n v="1"/>
    <n v="9175"/>
    <n v="78.170999999999992"/>
    <n v="59.577922077922075"/>
  </r>
  <r>
    <n v="67908208"/>
    <x v="2"/>
    <n v="3034"/>
    <d v="2023-03-28T00:00:00"/>
    <x v="225"/>
    <x v="25"/>
    <n v="3.9039999999999999E-3"/>
    <n v="11.844735999999999"/>
    <s v="GH"/>
    <x v="3"/>
    <x v="11"/>
    <s v="Q1"/>
    <n v="154"/>
    <n v="19.7012987012987"/>
    <s v="MBG"/>
    <n v="1"/>
    <n v="3034"/>
    <n v="11.844735999999999"/>
    <n v="19.7012987012987"/>
  </r>
  <r>
    <n v="67995090"/>
    <x v="5"/>
    <n v="10333"/>
    <d v="2023-03-28T00:00:00"/>
    <x v="315"/>
    <x v="35"/>
    <n v="3.7853439999999999E-3"/>
    <n v="39.113959551999997"/>
    <s v="BJ"/>
    <x v="3"/>
    <x v="15"/>
    <s v="Q1"/>
    <n v="240"/>
    <n v="43.054166666666667"/>
    <s v="BJ PTS"/>
    <n v="1"/>
    <n v="10333"/>
    <n v="39.113959551999997"/>
    <n v="43.054166666666667"/>
  </r>
  <r>
    <n v="68188183"/>
    <x v="3"/>
    <n v="0"/>
    <d v="2023-03-28T00:00:00"/>
    <x v="70"/>
    <x v="9"/>
    <n v="3.8340000000000002E-3"/>
    <n v="0"/>
    <s v="PS"/>
    <x v="3"/>
    <x v="3"/>
    <s v="Q1"/>
    <n v="130"/>
    <n v="0"/>
    <s v="PG"/>
    <n v="1"/>
    <n v="0"/>
    <n v="0"/>
    <n v="0"/>
  </r>
  <r>
    <n v="68188183"/>
    <x v="3"/>
    <n v="0"/>
    <d v="2023-03-28T00:00:00"/>
    <x v="70"/>
    <x v="9"/>
    <n v="3.8340000000000002E-3"/>
    <n v="0"/>
    <s v="PS"/>
    <x v="3"/>
    <x v="3"/>
    <s v="Q1"/>
    <n v="130"/>
    <n v="0"/>
    <s v="PG"/>
    <n v="1"/>
    <n v="0"/>
    <n v="0"/>
    <n v="0"/>
  </r>
  <r>
    <n v="68354587"/>
    <x v="2"/>
    <n v="0"/>
    <d v="2023-03-28T00:00:00"/>
    <x v="226"/>
    <x v="15"/>
    <n v="3.5999999999999999E-3"/>
    <n v="0"/>
    <s v="BJ"/>
    <x v="3"/>
    <x v="19"/>
    <s v="Q1"/>
    <n v="240"/>
    <n v="0"/>
    <s v="TOPPED"/>
    <n v="1"/>
    <n v="0"/>
    <n v="0"/>
    <n v="0"/>
  </r>
  <r>
    <n v="68354587"/>
    <x v="2"/>
    <n v="18256"/>
    <d v="2023-03-28T00:00:00"/>
    <x v="226"/>
    <x v="15"/>
    <n v="3.5999999999999999E-3"/>
    <n v="65.721599999999995"/>
    <s v="BJ"/>
    <x v="3"/>
    <x v="19"/>
    <s v="Q1"/>
    <n v="240"/>
    <n v="76.066666666666663"/>
    <s v="TOPPED"/>
    <n v="1"/>
    <n v="18256"/>
    <n v="65.721599999999995"/>
    <n v="76.066666666666663"/>
  </r>
  <r>
    <n v="68354591"/>
    <x v="2"/>
    <n v="0"/>
    <d v="2023-03-28T00:00:00"/>
    <x v="312"/>
    <x v="15"/>
    <n v="3.5999999999999999E-3"/>
    <n v="0"/>
    <s v="BJ"/>
    <x v="3"/>
    <x v="19"/>
    <s v="Q1"/>
    <n v="240"/>
    <n v="0"/>
    <s v="TOPPED"/>
    <n v="1"/>
    <n v="0"/>
    <n v="0"/>
    <n v="0"/>
  </r>
  <r>
    <n v="68354591"/>
    <x v="2"/>
    <n v="1021"/>
    <d v="2023-03-28T00:00:00"/>
    <x v="312"/>
    <x v="15"/>
    <n v="3.5999999999999999E-3"/>
    <n v="3.6755999999999998"/>
    <s v="BJ"/>
    <x v="3"/>
    <x v="19"/>
    <s v="Q1"/>
    <n v="240"/>
    <n v="4.2541666666666664"/>
    <s v="TOPPED"/>
    <n v="1"/>
    <n v="1021"/>
    <n v="3.6755999999999998"/>
    <n v="4.2541666666666664"/>
  </r>
  <r>
    <n v="68631026"/>
    <x v="2"/>
    <n v="7117"/>
    <d v="2023-03-28T00:00:00"/>
    <x v="249"/>
    <x v="2"/>
    <n v="8.5199999999999998E-3"/>
    <n v="60.636839999999999"/>
    <s v="BR"/>
    <x v="3"/>
    <x v="2"/>
    <s v="Q1"/>
    <n v="154"/>
    <n v="46.214285714285715"/>
    <s v="48oz"/>
    <n v="1"/>
    <n v="7117"/>
    <n v="60.636839999999999"/>
    <n v="46.214285714285715"/>
  </r>
  <r>
    <n v="68631026"/>
    <x v="2"/>
    <n v="5331"/>
    <d v="2023-03-28T00:00:00"/>
    <x v="249"/>
    <x v="2"/>
    <n v="8.5199999999999998E-3"/>
    <n v="45.420119999999997"/>
    <s v="BR"/>
    <x v="3"/>
    <x v="2"/>
    <s v="Q1"/>
    <n v="154"/>
    <n v="34.616883116883116"/>
    <s v="48oz"/>
    <n v="1"/>
    <n v="5331"/>
    <n v="45.420119999999997"/>
    <n v="34.616883116883116"/>
  </r>
  <r>
    <n v="68689251"/>
    <x v="3"/>
    <n v="3434"/>
    <d v="2023-03-28T00:00:00"/>
    <x v="17"/>
    <x v="20"/>
    <n v="9.5760000000000012E-3"/>
    <n v="32.883984000000005"/>
    <s v="KL"/>
    <x v="3"/>
    <x v="8"/>
    <s v="Q1"/>
    <n v="132"/>
    <n v="26.015151515151516"/>
    <s v="EDF"/>
    <n v="1"/>
    <n v="3434"/>
    <n v="32.883984000000005"/>
    <n v="26.015151515151516"/>
  </r>
  <r>
    <n v="68689251"/>
    <x v="3"/>
    <n v="1096"/>
    <d v="2023-03-28T00:00:00"/>
    <x v="17"/>
    <x v="20"/>
    <n v="9.5760000000000012E-3"/>
    <n v="10.495296000000002"/>
    <s v="KL"/>
    <x v="3"/>
    <x v="8"/>
    <s v="Q1"/>
    <n v="132"/>
    <n v="8.3030303030303028"/>
    <s v="EDF"/>
    <n v="1"/>
    <n v="1096"/>
    <n v="10.495296000000002"/>
    <n v="8.3030303030303028"/>
  </r>
  <r>
    <n v="68689253"/>
    <x v="2"/>
    <n v="4995"/>
    <d v="2023-03-28T00:00:00"/>
    <x v="125"/>
    <x v="18"/>
    <n v="6.0035555555555554E-3"/>
    <n v="29.987759999999998"/>
    <s v="KL"/>
    <x v="3"/>
    <x v="9"/>
    <s v="Q1"/>
    <n v="120"/>
    <n v="41.625"/>
    <s v="ESS"/>
    <n v="1"/>
    <n v="4995"/>
    <n v="29.987759999999998"/>
    <n v="41.625"/>
  </r>
  <r>
    <n v="68709233"/>
    <x v="3"/>
    <n v="5202"/>
    <d v="2023-03-28T00:00:00"/>
    <x v="19"/>
    <x v="19"/>
    <n v="8.4960000000000001E-3"/>
    <n v="44.196192000000003"/>
    <s v="KL"/>
    <x v="3"/>
    <x v="8"/>
    <s v="Q1"/>
    <n v="132"/>
    <n v="39.409090909090907"/>
    <s v="EDF"/>
    <n v="1"/>
    <n v="5202"/>
    <n v="44.196192000000003"/>
    <n v="39.409090909090907"/>
  </r>
  <r>
    <n v="68728342"/>
    <x v="2"/>
    <n v="11018"/>
    <d v="2023-03-28T00:00:00"/>
    <x v="44"/>
    <x v="22"/>
    <n v="3.7853439999999999E-3"/>
    <n v="41.706920191999998"/>
    <s v="TA"/>
    <x v="3"/>
    <x v="10"/>
    <s v="Q1"/>
    <n v="255"/>
    <n v="43.207843137254905"/>
    <s v="TALENTI"/>
    <n v="1"/>
    <n v="11018"/>
    <n v="41.706920191999998"/>
    <n v="43.207843137254905"/>
  </r>
  <r>
    <n v="68741742"/>
    <x v="3"/>
    <n v="6942"/>
    <d v="2023-03-28T00:00:00"/>
    <x v="25"/>
    <x v="4"/>
    <n v="4.2560000000000002E-3"/>
    <n v="29.545152000000002"/>
    <s v="GH"/>
    <x v="3"/>
    <x v="4"/>
    <s v="Q1"/>
    <n v="154"/>
    <n v="45.077922077922075"/>
    <s v="MBG"/>
    <n v="1"/>
    <n v="6942"/>
    <n v="29.545152000000002"/>
    <n v="45.077922077922075"/>
  </r>
  <r>
    <n v="68852583"/>
    <x v="2"/>
    <n v="0"/>
    <d v="2023-03-28T00:00:00"/>
    <x v="227"/>
    <x v="26"/>
    <n v="8.5199999999999998E-3"/>
    <n v="0"/>
    <s v="KL"/>
    <x v="3"/>
    <x v="12"/>
    <s v="Q1"/>
    <n v="132"/>
    <n v="0"/>
    <s v="EDF"/>
    <n v="1"/>
    <n v="0"/>
    <n v="0"/>
    <n v="0"/>
  </r>
  <r>
    <n v="68852591"/>
    <x v="3"/>
    <n v="7227"/>
    <d v="2023-03-28T00:00:00"/>
    <x v="26"/>
    <x v="17"/>
    <n v="8.5199999999999998E-3"/>
    <n v="61.574039999999997"/>
    <s v="KL"/>
    <x v="3"/>
    <x v="8"/>
    <s v="Q1"/>
    <n v="132"/>
    <n v="54.75"/>
    <s v="EDF"/>
    <n v="1"/>
    <n v="7227"/>
    <n v="61.574039999999997"/>
    <n v="54.75"/>
  </r>
  <r>
    <n v="68852591"/>
    <x v="2"/>
    <n v="2347"/>
    <d v="2023-03-28T00:00:00"/>
    <x v="26"/>
    <x v="26"/>
    <n v="8.5199999999999998E-3"/>
    <n v="19.99644"/>
    <s v="KL"/>
    <x v="3"/>
    <x v="12"/>
    <s v="Q1"/>
    <n v="132"/>
    <n v="17.780303030303031"/>
    <s v="EDF"/>
    <n v="1"/>
    <n v="2347"/>
    <n v="19.99644"/>
    <n v="17.780303030303031"/>
  </r>
  <r>
    <n v="68922106"/>
    <x v="2"/>
    <n v="0"/>
    <d v="2023-03-28T00:00:00"/>
    <x v="104"/>
    <x v="22"/>
    <n v="3.552E-3"/>
    <n v="0"/>
    <s v="TA"/>
    <x v="3"/>
    <x v="10"/>
    <s v="Q1"/>
    <n v="255"/>
    <n v="0"/>
    <s v="TALENTI"/>
    <n v="1"/>
    <n v="0"/>
    <n v="0"/>
    <n v="0"/>
  </r>
  <r>
    <n v="68930545"/>
    <x v="3"/>
    <n v="7705"/>
    <d v="2023-03-28T00:00:00"/>
    <x v="93"/>
    <x v="12"/>
    <n v="8.5199999999999998E-3"/>
    <n v="65.646599999999992"/>
    <s v="BR"/>
    <x v="3"/>
    <x v="6"/>
    <s v="Q1"/>
    <n v="176"/>
    <n v="43.778409090909093"/>
    <s v="48oz"/>
    <n v="1"/>
    <n v="7705"/>
    <n v="65.646599999999992"/>
    <n v="43.778409090909093"/>
  </r>
  <r>
    <n v="69548143"/>
    <x v="3"/>
    <n v="6335"/>
    <d v="2023-03-28T00:00:00"/>
    <x v="159"/>
    <x v="36"/>
    <n v="3.192E-3"/>
    <n v="20.221319999999999"/>
    <s v="KL"/>
    <x v="3"/>
    <x v="28"/>
    <s v="Q1"/>
    <n v="345"/>
    <n v="18.362318840579711"/>
    <s v="EFW"/>
    <n v="1"/>
    <n v="6335"/>
    <n v="20.221319999999999"/>
    <n v="18.362318840579711"/>
  </r>
  <r>
    <n v="69552658"/>
    <x v="10"/>
    <n v="5664"/>
    <d v="2023-03-28T00:00:00"/>
    <x v="81"/>
    <x v="37"/>
    <n v="2.8390080000000001E-3"/>
    <n v="16.080141312000002"/>
    <s v="KL"/>
    <x v="3"/>
    <x v="29"/>
    <s v="Q1"/>
    <n v="189"/>
    <n v="29.968253968253968"/>
    <s v="ESS"/>
    <n v="1"/>
    <n v="5664"/>
    <n v="16.080141312000002"/>
    <n v="29.968253968253968"/>
  </r>
  <r>
    <n v="68871168"/>
    <x v="1"/>
    <n v="2606"/>
    <d v="2023-03-28T00:00:00"/>
    <x v="57"/>
    <x v="0"/>
    <n v="6.0035555555555554E-3"/>
    <n v="15.645265777777777"/>
    <s v="KL"/>
    <x v="3"/>
    <x v="1"/>
    <s v="Q1"/>
    <n v="108"/>
    <n v="24.12962962962963"/>
    <s v="KL Sandwiches"/>
    <n v="1"/>
    <n v="2606"/>
    <n v="15.645265777777777"/>
    <n v="24.12962962962963"/>
  </r>
  <r>
    <n v="69554208"/>
    <x v="2"/>
    <n v="0"/>
    <d v="2023-03-28T00:00:00"/>
    <x v="228"/>
    <x v="15"/>
    <n v="3.5999999999999999E-3"/>
    <n v="0"/>
    <s v="BJ"/>
    <x v="3"/>
    <x v="19"/>
    <s v="Q1"/>
    <n v="240"/>
    <n v="0"/>
    <s v="TOPPED"/>
    <n v="1"/>
    <n v="0"/>
    <n v="0"/>
    <n v="0"/>
  </r>
  <r>
    <n v="69555093"/>
    <x v="2"/>
    <n v="12400"/>
    <d v="2023-03-28T00:00:00"/>
    <x v="229"/>
    <x v="14"/>
    <n v="1.98E-3"/>
    <n v="24.552"/>
    <s v="TA"/>
    <x v="3"/>
    <x v="42"/>
    <s v="Q1"/>
    <n v="176"/>
    <n v="70.454545454545453"/>
    <s v="TAL NV"/>
    <n v="1"/>
    <n v="12400"/>
    <n v="24.552"/>
    <n v="70.454545454545453"/>
  </r>
  <r>
    <n v="69564623"/>
    <x v="2"/>
    <n v="11143"/>
    <d v="2023-03-28T00:00:00"/>
    <x v="238"/>
    <x v="13"/>
    <n v="8.5199999999999998E-3"/>
    <n v="94.938360000000003"/>
    <s v="BR"/>
    <x v="3"/>
    <x v="2"/>
    <s v="Q1"/>
    <n v="176"/>
    <n v="63.3125"/>
    <s v="48oz"/>
    <n v="1"/>
    <n v="11143"/>
    <n v="94.938360000000003"/>
    <n v="63.3125"/>
  </r>
  <r>
    <n v="69572659"/>
    <x v="2"/>
    <n v="11675"/>
    <d v="2023-03-28T00:00:00"/>
    <x v="5"/>
    <x v="5"/>
    <n v="2.1520000000000003E-3"/>
    <n v="25.124600000000004"/>
    <s v="MG"/>
    <x v="3"/>
    <x v="5"/>
    <s v="Q1"/>
    <n v="210"/>
    <n v="55.595238095238095"/>
    <s v="MG Sticks"/>
    <n v="1"/>
    <n v="11675"/>
    <n v="25.124600000000004"/>
    <n v="55.595238095238095"/>
  </r>
  <r>
    <n v="69621212"/>
    <x v="2"/>
    <n v="2391"/>
    <d v="2023-03-28T00:00:00"/>
    <x v="29"/>
    <x v="28"/>
    <n v="5.2680000000000001E-3"/>
    <n v="12.595788000000001"/>
    <s v="PG"/>
    <x v="3"/>
    <x v="14"/>
    <s v="Q1"/>
    <n v="130"/>
    <n v="18.392307692307693"/>
    <s v="PG"/>
    <n v="1"/>
    <n v="2391"/>
    <n v="12.595788000000001"/>
    <n v="18.392307692307693"/>
  </r>
  <r>
    <n v="69677917"/>
    <x v="3"/>
    <n v="3870"/>
    <d v="2023-03-28T00:00:00"/>
    <x v="30"/>
    <x v="29"/>
    <n v="5.2680000000000001E-3"/>
    <n v="20.387160000000002"/>
    <s v="PS"/>
    <x v="3"/>
    <x v="3"/>
    <s v="Q1"/>
    <n v="108"/>
    <n v="35.833333333333336"/>
    <s v="PG"/>
    <n v="1"/>
    <n v="3870"/>
    <n v="20.387160000000002"/>
    <n v="35.833333333333336"/>
  </r>
  <r>
    <n v="69677917"/>
    <x v="2"/>
    <n v="5013"/>
    <d v="2023-03-28T00:00:00"/>
    <x v="30"/>
    <x v="30"/>
    <n v="5.2680000000000001E-3"/>
    <n v="26.408484000000001"/>
    <s v="PS"/>
    <x v="3"/>
    <x v="14"/>
    <s v="Q1"/>
    <n v="108"/>
    <n v="46.416666666666664"/>
    <s v="PG"/>
    <n v="1"/>
    <n v="5013"/>
    <n v="26.408484000000001"/>
    <n v="46.416666666666664"/>
  </r>
  <r>
    <n v="69691903"/>
    <x v="2"/>
    <n v="36219"/>
    <d v="2023-03-28T00:00:00"/>
    <x v="172"/>
    <x v="21"/>
    <n v="3.7839999999999996E-3"/>
    <n v="137.052696"/>
    <s v="TA"/>
    <x v="3"/>
    <x v="10"/>
    <s v="Q1"/>
    <n v="255"/>
    <n v="142.03529411764706"/>
    <s v="TALENTI"/>
    <n v="1"/>
    <n v="36219"/>
    <n v="137.052696"/>
    <n v="142.03529411764706"/>
  </r>
  <r>
    <n v="69700048"/>
    <x v="3"/>
    <n v="6227"/>
    <d v="2023-03-28T00:00:00"/>
    <x v="288"/>
    <x v="24"/>
    <n v="2.3469132803553457E-3"/>
    <n v="14.614228996772738"/>
    <s v="GH"/>
    <x v="3"/>
    <x v="4"/>
    <s v="Q1"/>
    <n v="350"/>
    <n v="17.791428571428572"/>
    <s v="MBG"/>
    <n v="1"/>
    <n v="6227"/>
    <n v="14.614228996772738"/>
    <n v="17.791428571428572"/>
  </r>
  <r>
    <n v="69717801"/>
    <x v="2"/>
    <n v="6514"/>
    <d v="2023-03-28T00:00:00"/>
    <x v="160"/>
    <x v="31"/>
    <n v="4.2560000000000002E-3"/>
    <n v="27.723584000000002"/>
    <s v="BR"/>
    <x v="3"/>
    <x v="5"/>
    <s v="Q1"/>
    <n v="143"/>
    <n v="45.552447552447553"/>
    <s v="MG Sticks"/>
    <n v="1"/>
    <n v="6514"/>
    <n v="27.723584000000002"/>
    <n v="45.552447552447553"/>
  </r>
  <r>
    <n v="84135718"/>
    <x v="5"/>
    <n v="28828"/>
    <d v="2023-03-28T00:00:00"/>
    <x v="147"/>
    <x v="35"/>
    <n v="3.7853439999999999E-3"/>
    <n v="109.123896832"/>
    <s v="BJ"/>
    <x v="3"/>
    <x v="15"/>
    <s v="Q1"/>
    <n v="240"/>
    <n v="120.11666666666666"/>
    <s v="BJ PTS"/>
    <n v="1"/>
    <n v="28828"/>
    <n v="109.123896832"/>
    <n v="120.11666666666666"/>
  </r>
  <r>
    <n v="84135795"/>
    <x v="5"/>
    <n v="6258"/>
    <d v="2023-03-28T00:00:00"/>
    <x v="265"/>
    <x v="35"/>
    <n v="9.0848256361922702E-3"/>
    <n v="56.85283883129123"/>
    <s v="BJ"/>
    <x v="3"/>
    <x v="39"/>
    <s v="Q1"/>
    <n v="125"/>
    <n v="50.064"/>
    <s v="2.4 Gal"/>
    <n v="1"/>
    <n v="6258"/>
    <n v="56.85283883129123"/>
    <n v="50.064"/>
  </r>
  <r>
    <n v="84141037"/>
    <x v="5"/>
    <n v="5898"/>
    <d v="2023-03-28T00:00:00"/>
    <x v="167"/>
    <x v="35"/>
    <n v="9.0848256361922702E-3"/>
    <n v="53.582301602262007"/>
    <s v="BJ"/>
    <x v="3"/>
    <x v="39"/>
    <s v="Q1"/>
    <n v="125"/>
    <n v="47.183999999999997"/>
    <s v="2.4 Gal"/>
    <n v="1"/>
    <n v="5898"/>
    <n v="53.582301602262007"/>
    <n v="47.183999999999997"/>
  </r>
  <r>
    <n v="84141101"/>
    <x v="5"/>
    <n v="47893"/>
    <d v="2023-03-28T00:00:00"/>
    <x v="86"/>
    <x v="33"/>
    <n v="3.7853439999999999E-3"/>
    <n v="181.29148019199999"/>
    <s v="BJ"/>
    <x v="3"/>
    <x v="15"/>
    <s v="Q1"/>
    <n v="240"/>
    <n v="199.55416666666667"/>
    <s v="BJ PTS"/>
    <n v="1"/>
    <n v="47893"/>
    <n v="181.29148019199999"/>
    <n v="199.55416666666667"/>
  </r>
  <r>
    <n v="84141103"/>
    <x v="13"/>
    <n v="56880"/>
    <d v="2023-03-28T00:00:00"/>
    <x v="294"/>
    <x v="38"/>
    <n v="3.7853439999999999E-3"/>
    <n v="215.31036671999999"/>
    <s v="BJ"/>
    <x v="3"/>
    <x v="36"/>
    <s v="Q1"/>
    <n v="240"/>
    <n v="237"/>
    <s v="BJ PTS"/>
    <n v="1"/>
    <n v="56880"/>
    <n v="215.31036671999999"/>
    <n v="237"/>
  </r>
  <r>
    <n v="67309841"/>
    <x v="2"/>
    <n v="12051"/>
    <d v="2023-03-29T00:00:00"/>
    <x v="32"/>
    <x v="13"/>
    <n v="8.5199999999999998E-3"/>
    <n v="102.67452"/>
    <s v="BR"/>
    <x v="3"/>
    <x v="2"/>
    <s v="Q1"/>
    <n v="154"/>
    <n v="78.253246753246756"/>
    <s v="48oz"/>
    <n v="1"/>
    <n v="12051"/>
    <n v="102.67452"/>
    <n v="78.253246753246756"/>
  </r>
  <r>
    <n v="67309843"/>
    <x v="3"/>
    <n v="0"/>
    <d v="2023-03-29T00:00:00"/>
    <x v="88"/>
    <x v="11"/>
    <n v="8.5199999999999998E-3"/>
    <n v="0"/>
    <s v="BR"/>
    <x v="3"/>
    <x v="6"/>
    <s v="Q1"/>
    <n v="154"/>
    <n v="0"/>
    <s v="48oz"/>
    <n v="1"/>
    <n v="0"/>
    <n v="0"/>
    <n v="0"/>
  </r>
  <r>
    <n v="67309843"/>
    <x v="3"/>
    <n v="12066"/>
    <d v="2023-03-29T00:00:00"/>
    <x v="88"/>
    <x v="11"/>
    <n v="8.5199999999999998E-3"/>
    <n v="102.80231999999999"/>
    <s v="BR"/>
    <x v="3"/>
    <x v="6"/>
    <s v="Q1"/>
    <n v="154"/>
    <n v="78.350649350649348"/>
    <s v="48oz"/>
    <n v="1"/>
    <n v="12066"/>
    <n v="102.80231999999999"/>
    <n v="78.350649350649348"/>
  </r>
  <r>
    <n v="67465063"/>
    <x v="3"/>
    <n v="1447"/>
    <d v="2023-03-29T00:00:00"/>
    <x v="3"/>
    <x v="40"/>
    <n v="5.2680000000000001E-3"/>
    <n v="7.6227960000000001"/>
    <s v="PS"/>
    <x v="3"/>
    <x v="3"/>
    <s v="Q1"/>
    <n v="130"/>
    <n v="11.13076923076923"/>
    <s v="PG"/>
    <n v="1"/>
    <n v="1447"/>
    <n v="7.6227960000000001"/>
    <n v="11.13076923076923"/>
  </r>
  <r>
    <n v="67465064"/>
    <x v="3"/>
    <n v="0"/>
    <d v="2023-03-29T00:00:00"/>
    <x v="7"/>
    <x v="3"/>
    <n v="1.596E-3"/>
    <n v="0"/>
    <s v="PS"/>
    <x v="3"/>
    <x v="3"/>
    <s v="Q1"/>
    <n v="130"/>
    <n v="0"/>
    <s v="PG"/>
    <n v="1"/>
    <n v="0"/>
    <n v="0"/>
    <n v="0"/>
  </r>
  <r>
    <n v="67466492"/>
    <x v="3"/>
    <n v="4403"/>
    <d v="2023-03-29T00:00:00"/>
    <x v="8"/>
    <x v="8"/>
    <n v="5.2680000000000001E-3"/>
    <n v="23.195004000000001"/>
    <s v="PS"/>
    <x v="3"/>
    <x v="3"/>
    <s v="Q1"/>
    <n v="130"/>
    <n v="33.869230769230768"/>
    <s v="PG"/>
    <n v="1"/>
    <n v="4403"/>
    <n v="23.195004000000001"/>
    <n v="33.869230769230768"/>
  </r>
  <r>
    <n v="67466492"/>
    <x v="3"/>
    <n v="2224"/>
    <d v="2023-03-29T00:00:00"/>
    <x v="8"/>
    <x v="6"/>
    <n v="5.2680000000000001E-3"/>
    <n v="11.716032"/>
    <s v="PS"/>
    <x v="3"/>
    <x v="3"/>
    <s v="Q1"/>
    <n v="130"/>
    <n v="17.107692307692307"/>
    <s v="PG"/>
    <n v="1"/>
    <n v="2224"/>
    <n v="11.716032"/>
    <n v="17.107692307692307"/>
  </r>
  <r>
    <n v="67466492"/>
    <x v="3"/>
    <n v="4155"/>
    <d v="2023-03-29T00:00:00"/>
    <x v="8"/>
    <x v="7"/>
    <n v="5.2680000000000001E-3"/>
    <n v="21.888539999999999"/>
    <s v="PS"/>
    <x v="3"/>
    <x v="3"/>
    <s v="Q1"/>
    <n v="130"/>
    <n v="31.96153846153846"/>
    <s v="PG"/>
    <n v="1"/>
    <n v="4155"/>
    <n v="21.888539999999999"/>
    <n v="31.96153846153846"/>
  </r>
  <r>
    <n v="67466492"/>
    <x v="3"/>
    <n v="4103"/>
    <d v="2023-03-29T00:00:00"/>
    <x v="8"/>
    <x v="10"/>
    <n v="5.2680000000000001E-3"/>
    <n v="21.614604"/>
    <s v="PS"/>
    <x v="3"/>
    <x v="3"/>
    <s v="Q1"/>
    <n v="130"/>
    <n v="31.561538461538461"/>
    <s v="PG"/>
    <n v="1"/>
    <n v="4103"/>
    <n v="21.614604"/>
    <n v="31.561538461538461"/>
  </r>
  <r>
    <n v="67546032"/>
    <x v="5"/>
    <n v="9987"/>
    <d v="2023-03-29T00:00:00"/>
    <x v="316"/>
    <x v="35"/>
    <n v="3.6640000000000002E-3"/>
    <n v="36.592368"/>
    <s v="BJ"/>
    <x v="3"/>
    <x v="24"/>
    <s v="Q1"/>
    <n v="240"/>
    <n v="41.612499999999997"/>
    <s v="PTS Exports"/>
    <n v="1"/>
    <n v="9987"/>
    <n v="36.592368"/>
    <n v="41.612499999999997"/>
  </r>
  <r>
    <n v="67596354"/>
    <x v="5"/>
    <n v="8914"/>
    <d v="2023-03-29T00:00:00"/>
    <x v="317"/>
    <x v="35"/>
    <n v="3.6640000000000002E-3"/>
    <n v="32.660896000000001"/>
    <s v="BJ"/>
    <x v="3"/>
    <x v="24"/>
    <s v="Q1"/>
    <n v="240"/>
    <n v="37.141666666666666"/>
    <s v="PTS Exports"/>
    <n v="1"/>
    <n v="8914"/>
    <n v="32.660896000000001"/>
    <n v="37.141666666666666"/>
  </r>
  <r>
    <n v="67723726"/>
    <x v="3"/>
    <n v="10994"/>
    <d v="2023-03-29T00:00:00"/>
    <x v="109"/>
    <x v="23"/>
    <n v="8.5199999999999998E-3"/>
    <n v="93.668880000000001"/>
    <s v="BR"/>
    <x v="3"/>
    <x v="6"/>
    <s v="Q1"/>
    <n v="154"/>
    <n v="71.389610389610397"/>
    <s v="48oz"/>
    <n v="1"/>
    <n v="10994"/>
    <n v="93.668880000000001"/>
    <n v="71.389610389610397"/>
  </r>
  <r>
    <n v="67789314"/>
    <x v="5"/>
    <n v="34616"/>
    <d v="2023-03-29T00:00:00"/>
    <x v="152"/>
    <x v="35"/>
    <n v="3.7853439999999999E-3"/>
    <n v="131.03346790399999"/>
    <s v="BJ"/>
    <x v="3"/>
    <x v="15"/>
    <s v="Q1"/>
    <n v="240"/>
    <n v="144.23333333333332"/>
    <s v="BJ PTS"/>
    <n v="1"/>
    <n v="34616"/>
    <n v="131.03346790399999"/>
    <n v="144.23333333333332"/>
  </r>
  <r>
    <n v="67885719"/>
    <x v="2"/>
    <n v="12751"/>
    <d v="2023-03-29T00:00:00"/>
    <x v="11"/>
    <x v="2"/>
    <n v="8.5199999999999998E-3"/>
    <n v="108.63852"/>
    <s v="BR"/>
    <x v="3"/>
    <x v="2"/>
    <s v="Q1"/>
    <n v="154"/>
    <n v="82.798701298701303"/>
    <s v="48oz"/>
    <n v="1"/>
    <n v="12751"/>
    <n v="108.63852"/>
    <n v="82.798701298701303"/>
  </r>
  <r>
    <n v="67893539"/>
    <x v="3"/>
    <n v="0"/>
    <d v="2023-03-29T00:00:00"/>
    <x v="12"/>
    <x v="12"/>
    <n v="8.5199999999999998E-3"/>
    <n v="0"/>
    <s v="BR"/>
    <x v="3"/>
    <x v="6"/>
    <s v="Q1"/>
    <n v="154"/>
    <n v="0"/>
    <s v="48oz"/>
    <n v="1"/>
    <n v="0"/>
    <n v="0"/>
    <n v="0"/>
  </r>
  <r>
    <n v="67908208"/>
    <x v="2"/>
    <n v="1075"/>
    <d v="2023-03-29T00:00:00"/>
    <x v="225"/>
    <x v="25"/>
    <n v="3.9039999999999999E-3"/>
    <n v="4.1967999999999996"/>
    <s v="GH"/>
    <x v="3"/>
    <x v="11"/>
    <s v="Q1"/>
    <n v="154"/>
    <n v="6.9805194805194803"/>
    <s v="MBG"/>
    <n v="1"/>
    <n v="1075"/>
    <n v="4.1967999999999996"/>
    <n v="6.9805194805194803"/>
  </r>
  <r>
    <n v="68188183"/>
    <x v="3"/>
    <n v="0"/>
    <d v="2023-03-29T00:00:00"/>
    <x v="70"/>
    <x v="9"/>
    <n v="3.8340000000000002E-3"/>
    <n v="0"/>
    <s v="PS"/>
    <x v="3"/>
    <x v="3"/>
    <s v="Q1"/>
    <n v="130"/>
    <n v="0"/>
    <s v="PG"/>
    <n v="1"/>
    <n v="0"/>
    <n v="0"/>
    <n v="0"/>
  </r>
  <r>
    <n v="68188183"/>
    <x v="3"/>
    <n v="167"/>
    <d v="2023-03-29T00:00:00"/>
    <x v="70"/>
    <x v="9"/>
    <n v="3.8340000000000002E-3"/>
    <n v="0.64027800000000001"/>
    <s v="PS"/>
    <x v="3"/>
    <x v="3"/>
    <s v="Q1"/>
    <n v="130"/>
    <n v="1.2846153846153847"/>
    <s v="PG"/>
    <n v="1"/>
    <n v="167"/>
    <n v="0.64027800000000001"/>
    <n v="1.2846153846153847"/>
  </r>
  <r>
    <n v="68354587"/>
    <x v="2"/>
    <n v="2515"/>
    <d v="2023-03-29T00:00:00"/>
    <x v="226"/>
    <x v="15"/>
    <n v="3.5999999999999999E-3"/>
    <n v="9.0540000000000003"/>
    <s v="BJ"/>
    <x v="3"/>
    <x v="19"/>
    <s v="Q1"/>
    <n v="240"/>
    <n v="10.479166666666666"/>
    <s v="TOPPED"/>
    <n v="1"/>
    <n v="2515"/>
    <n v="9.0540000000000003"/>
    <n v="10.479166666666666"/>
  </r>
  <r>
    <n v="68599804"/>
    <x v="0"/>
    <n v="2214"/>
    <d v="2023-03-29T00:00:00"/>
    <x v="114"/>
    <x v="1"/>
    <n v="8.5170239596469108E-3"/>
    <n v="18.856691046658259"/>
    <s v="BR"/>
    <x v="3"/>
    <x v="32"/>
    <s v="Q1"/>
    <n v="156"/>
    <n v="14.192307692307692"/>
    <s v="48oz"/>
    <n v="1"/>
    <n v="2214"/>
    <n v="18.856691046658259"/>
    <n v="14.192307692307692"/>
  </r>
  <r>
    <n v="68656232"/>
    <x v="3"/>
    <n v="11593"/>
    <d v="2023-03-29T00:00:00"/>
    <x v="211"/>
    <x v="16"/>
    <n v="8.5199999999999998E-3"/>
    <n v="98.772359999999992"/>
    <s v="BR"/>
    <x v="3"/>
    <x v="6"/>
    <s v="Q1"/>
    <n v="154"/>
    <n v="75.279220779220779"/>
    <s v="48oz"/>
    <n v="1"/>
    <n v="11593"/>
    <n v="98.772359999999992"/>
    <n v="75.279220779220779"/>
  </r>
  <r>
    <n v="68656232"/>
    <x v="3"/>
    <n v="2081"/>
    <d v="2023-03-29T00:00:00"/>
    <x v="211"/>
    <x v="16"/>
    <n v="8.5199999999999998E-3"/>
    <n v="17.730119999999999"/>
    <s v="BR"/>
    <x v="3"/>
    <x v="6"/>
    <s v="Q1"/>
    <n v="154"/>
    <n v="13.512987012987013"/>
    <s v="48oz"/>
    <n v="1"/>
    <n v="2081"/>
    <n v="17.730119999999999"/>
    <n v="13.512987012987013"/>
  </r>
  <r>
    <n v="68689251"/>
    <x v="3"/>
    <n v="6875"/>
    <d v="2023-03-29T00:00:00"/>
    <x v="17"/>
    <x v="20"/>
    <n v="9.5760000000000012E-3"/>
    <n v="65.835000000000008"/>
    <s v="KL"/>
    <x v="3"/>
    <x v="8"/>
    <s v="Q1"/>
    <n v="132"/>
    <n v="52.083333333333336"/>
    <s v="EDF"/>
    <n v="1"/>
    <n v="6875"/>
    <n v="65.835000000000008"/>
    <n v="52.083333333333336"/>
  </r>
  <r>
    <n v="68689253"/>
    <x v="2"/>
    <n v="3956"/>
    <d v="2023-03-29T00:00:00"/>
    <x v="125"/>
    <x v="18"/>
    <n v="6.0035555555555554E-3"/>
    <n v="23.750065777777777"/>
    <s v="KL"/>
    <x v="3"/>
    <x v="9"/>
    <s v="Q1"/>
    <n v="120"/>
    <n v="32.966666666666669"/>
    <s v="ESS"/>
    <n v="1"/>
    <n v="3956"/>
    <n v="23.750065777777777"/>
    <n v="32.966666666666669"/>
  </r>
  <r>
    <n v="68709233"/>
    <x v="3"/>
    <n v="5575"/>
    <d v="2023-03-29T00:00:00"/>
    <x v="19"/>
    <x v="19"/>
    <n v="8.4960000000000001E-3"/>
    <n v="47.365200000000002"/>
    <s v="KL"/>
    <x v="3"/>
    <x v="8"/>
    <s v="Q1"/>
    <n v="132"/>
    <n v="42.234848484848484"/>
    <s v="EDF"/>
    <n v="1"/>
    <n v="5575"/>
    <n v="47.365200000000002"/>
    <n v="42.234848484848484"/>
  </r>
  <r>
    <n v="68728342"/>
    <x v="2"/>
    <n v="0"/>
    <d v="2023-03-29T00:00:00"/>
    <x v="44"/>
    <x v="22"/>
    <n v="3.7853439999999999E-3"/>
    <n v="0"/>
    <s v="TA"/>
    <x v="3"/>
    <x v="10"/>
    <s v="Q1"/>
    <n v="255"/>
    <n v="0"/>
    <s v="TALENTI"/>
    <n v="1"/>
    <n v="0"/>
    <n v="0"/>
    <n v="0"/>
  </r>
  <r>
    <n v="68741742"/>
    <x v="3"/>
    <n v="3208"/>
    <d v="2023-03-29T00:00:00"/>
    <x v="25"/>
    <x v="4"/>
    <n v="4.2560000000000002E-3"/>
    <n v="13.653248000000001"/>
    <s v="GH"/>
    <x v="3"/>
    <x v="4"/>
    <s v="Q1"/>
    <n v="154"/>
    <n v="20.831168831168831"/>
    <s v="MBG"/>
    <n v="1"/>
    <n v="3208"/>
    <n v="13.653248000000001"/>
    <n v="20.831168831168831"/>
  </r>
  <r>
    <n v="68821729"/>
    <x v="2"/>
    <n v="0"/>
    <d v="2023-03-29T00:00:00"/>
    <x v="142"/>
    <x v="2"/>
    <n v="8.5199999999999998E-3"/>
    <n v="0"/>
    <s v="BR"/>
    <x v="3"/>
    <x v="2"/>
    <s v="Q1"/>
    <n v="176"/>
    <n v="0"/>
    <s v="48oz"/>
    <n v="1"/>
    <n v="0"/>
    <n v="0"/>
    <n v="0"/>
  </r>
  <r>
    <n v="68852591"/>
    <x v="3"/>
    <n v="3783"/>
    <d v="2023-03-29T00:00:00"/>
    <x v="26"/>
    <x v="17"/>
    <n v="8.5199999999999998E-3"/>
    <n v="32.231160000000003"/>
    <s v="KL"/>
    <x v="3"/>
    <x v="8"/>
    <s v="Q1"/>
    <n v="132"/>
    <n v="28.65909090909091"/>
    <s v="EDF"/>
    <n v="1"/>
    <n v="3783"/>
    <n v="32.231160000000003"/>
    <n v="28.65909090909091"/>
  </r>
  <r>
    <n v="68852591"/>
    <x v="2"/>
    <n v="1188"/>
    <d v="2023-03-29T00:00:00"/>
    <x v="26"/>
    <x v="26"/>
    <n v="8.5199999999999998E-3"/>
    <n v="10.12176"/>
    <s v="KL"/>
    <x v="3"/>
    <x v="12"/>
    <s v="Q1"/>
    <n v="132"/>
    <n v="9"/>
    <s v="EDF"/>
    <n v="1"/>
    <n v="1188"/>
    <n v="10.12176"/>
    <n v="9"/>
  </r>
  <r>
    <n v="68922106"/>
    <x v="2"/>
    <n v="12124"/>
    <d v="2023-03-29T00:00:00"/>
    <x v="104"/>
    <x v="22"/>
    <n v="3.552E-3"/>
    <n v="43.064447999999999"/>
    <s v="TA"/>
    <x v="3"/>
    <x v="10"/>
    <s v="Q1"/>
    <n v="255"/>
    <n v="47.545098039215688"/>
    <s v="TALENTI"/>
    <n v="1"/>
    <n v="12124"/>
    <n v="43.064447999999999"/>
    <n v="47.545098039215688"/>
  </r>
  <r>
    <n v="68930545"/>
    <x v="3"/>
    <n v="5426"/>
    <d v="2023-03-29T00:00:00"/>
    <x v="93"/>
    <x v="12"/>
    <n v="8.5199999999999998E-3"/>
    <n v="46.229520000000001"/>
    <s v="BR"/>
    <x v="3"/>
    <x v="6"/>
    <s v="Q1"/>
    <n v="176"/>
    <n v="30.829545454545453"/>
    <s v="48oz"/>
    <n v="1"/>
    <n v="5426"/>
    <n v="46.229520000000001"/>
    <n v="30.829545454545453"/>
  </r>
  <r>
    <n v="68940226"/>
    <x v="5"/>
    <n v="28740"/>
    <d v="2023-03-29T00:00:00"/>
    <x v="113"/>
    <x v="35"/>
    <n v="3.7839999999999996E-3"/>
    <n v="108.75215999999999"/>
    <s v="BJ"/>
    <x v="3"/>
    <x v="15"/>
    <s v="Q1"/>
    <n v="240"/>
    <n v="119.75"/>
    <s v="BJ PTS"/>
    <n v="1"/>
    <n v="28740"/>
    <n v="108.75215999999999"/>
    <n v="119.75"/>
  </r>
  <r>
    <n v="69548143"/>
    <x v="3"/>
    <n v="9095"/>
    <d v="2023-03-29T00:00:00"/>
    <x v="159"/>
    <x v="36"/>
    <n v="3.192E-3"/>
    <n v="29.03124"/>
    <s v="KL"/>
    <x v="3"/>
    <x v="28"/>
    <s v="Q1"/>
    <n v="345"/>
    <n v="26.362318840579711"/>
    <s v="EFW"/>
    <n v="1"/>
    <n v="9095"/>
    <n v="29.03124"/>
    <n v="26.362318840579711"/>
  </r>
  <r>
    <n v="69552658"/>
    <x v="10"/>
    <n v="4231"/>
    <d v="2023-03-29T00:00:00"/>
    <x v="81"/>
    <x v="37"/>
    <n v="2.8390080000000001E-3"/>
    <n v="12.011842848000001"/>
    <s v="KL"/>
    <x v="3"/>
    <x v="29"/>
    <s v="Q1"/>
    <n v="189"/>
    <n v="22.386243386243386"/>
    <s v="ESS"/>
    <n v="1"/>
    <n v="4231"/>
    <n v="12.011842848000001"/>
    <n v="22.386243386243386"/>
  </r>
  <r>
    <n v="69554208"/>
    <x v="2"/>
    <n v="20768"/>
    <d v="2023-03-29T00:00:00"/>
    <x v="228"/>
    <x v="15"/>
    <n v="3.5999999999999999E-3"/>
    <n v="74.764799999999994"/>
    <s v="BJ"/>
    <x v="3"/>
    <x v="19"/>
    <s v="Q1"/>
    <n v="240"/>
    <n v="86.533333333333331"/>
    <s v="TOPPED"/>
    <n v="1"/>
    <n v="20768"/>
    <n v="74.764799999999994"/>
    <n v="86.533333333333331"/>
  </r>
  <r>
    <n v="69555093"/>
    <x v="2"/>
    <n v="9670"/>
    <d v="2023-03-29T00:00:00"/>
    <x v="229"/>
    <x v="14"/>
    <n v="1.98E-3"/>
    <n v="19.146599999999999"/>
    <s v="TA"/>
    <x v="3"/>
    <x v="42"/>
    <s v="Q1"/>
    <n v="176"/>
    <n v="54.94318181818182"/>
    <s v="TAL NV"/>
    <n v="1"/>
    <n v="9670"/>
    <n v="19.146599999999999"/>
    <n v="54.94318181818182"/>
  </r>
  <r>
    <n v="69564623"/>
    <x v="2"/>
    <n v="0"/>
    <d v="2023-03-29T00:00:00"/>
    <x v="238"/>
    <x v="2"/>
    <n v="8.5199999999999998E-3"/>
    <n v="0"/>
    <s v="BR"/>
    <x v="3"/>
    <x v="2"/>
    <s v="Q1"/>
    <n v="176"/>
    <n v="0"/>
    <s v="48oz"/>
    <n v="1"/>
    <n v="0"/>
    <n v="0"/>
    <n v="0"/>
  </r>
  <r>
    <n v="69572659"/>
    <x v="2"/>
    <n v="9155"/>
    <d v="2023-03-29T00:00:00"/>
    <x v="5"/>
    <x v="5"/>
    <n v="2.1520000000000003E-3"/>
    <n v="19.701560000000004"/>
    <s v="MG"/>
    <x v="3"/>
    <x v="5"/>
    <s v="Q1"/>
    <n v="210"/>
    <n v="43.595238095238095"/>
    <s v="MG Sticks"/>
    <n v="1"/>
    <n v="9155"/>
    <n v="19.701560000000004"/>
    <n v="43.595238095238095"/>
  </r>
  <r>
    <n v="69621212"/>
    <x v="2"/>
    <n v="5927"/>
    <d v="2023-03-29T00:00:00"/>
    <x v="29"/>
    <x v="28"/>
    <n v="5.2680000000000001E-3"/>
    <n v="31.223436"/>
    <s v="PG"/>
    <x v="3"/>
    <x v="14"/>
    <s v="Q1"/>
    <n v="130"/>
    <n v="45.592307692307692"/>
    <s v="PG"/>
    <n v="1"/>
    <n v="5927"/>
    <n v="31.223436"/>
    <n v="45.592307692307692"/>
  </r>
  <r>
    <n v="69629470"/>
    <x v="4"/>
    <n v="2400"/>
    <d v="2023-03-29T00:00:00"/>
    <x v="98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677917"/>
    <x v="3"/>
    <n v="2646"/>
    <d v="2023-03-29T00:00:00"/>
    <x v="30"/>
    <x v="29"/>
    <n v="5.2680000000000001E-3"/>
    <n v="13.939128"/>
    <s v="PS"/>
    <x v="3"/>
    <x v="3"/>
    <s v="Q1"/>
    <n v="108"/>
    <n v="24.5"/>
    <s v="PG"/>
    <n v="1"/>
    <n v="2646"/>
    <n v="13.939128"/>
    <n v="24.5"/>
  </r>
  <r>
    <n v="69677917"/>
    <x v="2"/>
    <n v="1297"/>
    <d v="2023-03-29T00:00:00"/>
    <x v="30"/>
    <x v="30"/>
    <n v="5.2680000000000001E-3"/>
    <n v="6.8325960000000006"/>
    <s v="PS"/>
    <x v="3"/>
    <x v="14"/>
    <s v="Q1"/>
    <n v="108"/>
    <n v="12.00925925925926"/>
    <s v="PG"/>
    <n v="1"/>
    <n v="1297"/>
    <n v="6.8325960000000006"/>
    <n v="12.00925925925926"/>
  </r>
  <r>
    <n v="69691903"/>
    <x v="2"/>
    <n v="689"/>
    <d v="2023-03-29T00:00:00"/>
    <x v="172"/>
    <x v="21"/>
    <n v="3.7839999999999996E-3"/>
    <n v="2.6071759999999999"/>
    <s v="TA"/>
    <x v="3"/>
    <x v="10"/>
    <s v="Q1"/>
    <n v="255"/>
    <n v="2.7019607843137257"/>
    <s v="TALENTI"/>
    <n v="1"/>
    <n v="689"/>
    <n v="2.6071759999999999"/>
    <n v="2.7019607843137257"/>
  </r>
  <r>
    <n v="69700048"/>
    <x v="3"/>
    <n v="2166"/>
    <d v="2023-03-29T00:00:00"/>
    <x v="288"/>
    <x v="24"/>
    <n v="2.3469132803553457E-3"/>
    <n v="5.0834141652496783"/>
    <s v="GH"/>
    <x v="3"/>
    <x v="4"/>
    <s v="Q1"/>
    <n v="350"/>
    <n v="6.1885714285714286"/>
    <s v="MBG"/>
    <n v="1"/>
    <n v="2166"/>
    <n v="5.0834141652496783"/>
    <n v="6.1885714285714286"/>
  </r>
  <r>
    <n v="69717801"/>
    <x v="2"/>
    <n v="7142"/>
    <d v="2023-03-29T00:00:00"/>
    <x v="160"/>
    <x v="31"/>
    <n v="4.2560000000000002E-3"/>
    <n v="30.396352"/>
    <s v="BR"/>
    <x v="3"/>
    <x v="5"/>
    <s v="Q1"/>
    <n v="143"/>
    <n v="49.944055944055947"/>
    <s v="MG Sticks"/>
    <n v="1"/>
    <n v="7142"/>
    <n v="30.396352"/>
    <n v="49.944055944055947"/>
  </r>
  <r>
    <n v="84141103"/>
    <x v="13"/>
    <n v="39323"/>
    <d v="2023-03-29T00:00:00"/>
    <x v="294"/>
    <x v="38"/>
    <n v="3.7853439999999999E-3"/>
    <n v="148.851082112"/>
    <s v="BJ"/>
    <x v="3"/>
    <x v="36"/>
    <s v="Q1"/>
    <n v="240"/>
    <n v="163.84583333333333"/>
    <s v="BJ PTS"/>
    <n v="1"/>
    <n v="39323"/>
    <n v="148.851082112"/>
    <n v="163.84583333333333"/>
  </r>
  <r>
    <n v="67309841"/>
    <x v="2"/>
    <n v="7922"/>
    <d v="2023-03-30T00:00:00"/>
    <x v="32"/>
    <x v="13"/>
    <n v="8.5199999999999998E-3"/>
    <n v="67.495440000000002"/>
    <s v="BR"/>
    <x v="3"/>
    <x v="2"/>
    <s v="Q1"/>
    <n v="154"/>
    <n v="51.441558441558442"/>
    <s v="48oz"/>
    <n v="1"/>
    <n v="7922"/>
    <n v="67.495440000000002"/>
    <n v="51.441558441558442"/>
  </r>
  <r>
    <n v="67309843"/>
    <x v="3"/>
    <n v="0"/>
    <d v="2023-03-30T00:00:00"/>
    <x v="88"/>
    <x v="11"/>
    <n v="8.5199999999999998E-3"/>
    <n v="0"/>
    <s v="BR"/>
    <x v="3"/>
    <x v="6"/>
    <s v="Q1"/>
    <n v="154"/>
    <n v="0"/>
    <s v="48oz"/>
    <n v="1"/>
    <n v="0"/>
    <n v="0"/>
    <n v="0"/>
  </r>
  <r>
    <n v="67309843"/>
    <x v="3"/>
    <n v="11099"/>
    <d v="2023-03-30T00:00:00"/>
    <x v="88"/>
    <x v="11"/>
    <n v="8.5199999999999998E-3"/>
    <n v="94.563479999999998"/>
    <s v="BR"/>
    <x v="3"/>
    <x v="6"/>
    <s v="Q1"/>
    <n v="154"/>
    <n v="72.071428571428569"/>
    <s v="48oz"/>
    <n v="1"/>
    <n v="11099"/>
    <n v="94.563479999999998"/>
    <n v="72.071428571428569"/>
  </r>
  <r>
    <n v="67465063"/>
    <x v="3"/>
    <n v="0"/>
    <d v="2023-03-30T00:00:00"/>
    <x v="3"/>
    <x v="40"/>
    <n v="5.2680000000000001E-3"/>
    <n v="0"/>
    <s v="PS"/>
    <x v="3"/>
    <x v="3"/>
    <s v="Q1"/>
    <n v="130"/>
    <n v="0"/>
    <s v="PG"/>
    <n v="1"/>
    <n v="0"/>
    <n v="0"/>
    <n v="0"/>
  </r>
  <r>
    <n v="67465064"/>
    <x v="3"/>
    <n v="0"/>
    <d v="2023-03-30T00:00:00"/>
    <x v="7"/>
    <x v="3"/>
    <n v="1.596E-3"/>
    <n v="0"/>
    <s v="PS"/>
    <x v="3"/>
    <x v="3"/>
    <s v="Q1"/>
    <n v="130"/>
    <n v="0"/>
    <s v="PG"/>
    <n v="1"/>
    <n v="0"/>
    <n v="0"/>
    <n v="0"/>
  </r>
  <r>
    <n v="67466492"/>
    <x v="3"/>
    <n v="2074"/>
    <d v="2023-03-30T00:00:00"/>
    <x v="8"/>
    <x v="8"/>
    <n v="5.2680000000000001E-3"/>
    <n v="10.925832"/>
    <s v="PS"/>
    <x v="3"/>
    <x v="3"/>
    <s v="Q1"/>
    <n v="130"/>
    <n v="15.953846153846154"/>
    <s v="PG"/>
    <n v="1"/>
    <n v="2074"/>
    <n v="10.925832"/>
    <n v="15.953846153846154"/>
  </r>
  <r>
    <n v="67466492"/>
    <x v="3"/>
    <n v="4446"/>
    <d v="2023-03-30T00:00:00"/>
    <x v="8"/>
    <x v="6"/>
    <n v="5.2680000000000001E-3"/>
    <n v="23.421528000000002"/>
    <s v="PS"/>
    <x v="3"/>
    <x v="3"/>
    <s v="Q1"/>
    <n v="130"/>
    <n v="34.200000000000003"/>
    <s v="PG"/>
    <n v="1"/>
    <n v="4446"/>
    <n v="23.421528000000002"/>
    <n v="34.200000000000003"/>
  </r>
  <r>
    <n v="67466492"/>
    <x v="3"/>
    <n v="4627"/>
    <d v="2023-03-30T00:00:00"/>
    <x v="8"/>
    <x v="7"/>
    <n v="5.2680000000000001E-3"/>
    <n v="24.375036000000001"/>
    <s v="PS"/>
    <x v="3"/>
    <x v="3"/>
    <s v="Q1"/>
    <n v="130"/>
    <n v="35.592307692307692"/>
    <s v="PG"/>
    <n v="1"/>
    <n v="4627"/>
    <n v="24.375036000000001"/>
    <n v="35.592307692307692"/>
  </r>
  <r>
    <n v="67466492"/>
    <x v="3"/>
    <n v="4908"/>
    <d v="2023-03-30T00:00:00"/>
    <x v="8"/>
    <x v="10"/>
    <n v="5.2680000000000001E-3"/>
    <n v="25.855344000000002"/>
    <s v="PS"/>
    <x v="3"/>
    <x v="3"/>
    <s v="Q1"/>
    <n v="130"/>
    <n v="37.753846153846155"/>
    <s v="PG"/>
    <n v="1"/>
    <n v="4908"/>
    <n v="25.855344000000002"/>
    <n v="37.753846153846155"/>
  </r>
  <r>
    <n v="67546042"/>
    <x v="5"/>
    <n v="36807"/>
    <d v="2023-03-30T00:00:00"/>
    <x v="108"/>
    <x v="35"/>
    <n v="3.7853439999999999E-3"/>
    <n v="139.327156608"/>
    <s v="BJ"/>
    <x v="3"/>
    <x v="15"/>
    <s v="Q1"/>
    <n v="240"/>
    <n v="153.36250000000001"/>
    <s v="BJ PTS"/>
    <n v="1"/>
    <n v="36807"/>
    <n v="139.327156608"/>
    <n v="153.36250000000001"/>
  </r>
  <r>
    <n v="67723726"/>
    <x v="3"/>
    <n v="13818"/>
    <d v="2023-03-30T00:00:00"/>
    <x v="109"/>
    <x v="23"/>
    <n v="8.5199999999999998E-3"/>
    <n v="117.72936"/>
    <s v="BR"/>
    <x v="3"/>
    <x v="6"/>
    <s v="Q1"/>
    <n v="154"/>
    <n v="89.727272727272734"/>
    <s v="48oz"/>
    <n v="1"/>
    <n v="13818"/>
    <n v="117.72936"/>
    <n v="89.727272727272734"/>
  </r>
  <r>
    <n v="67867261"/>
    <x v="5"/>
    <n v="12595"/>
    <d v="2023-03-30T00:00:00"/>
    <x v="110"/>
    <x v="35"/>
    <n v="3.7853439999999999E-3"/>
    <n v="47.676407679999997"/>
    <s v="BJ"/>
    <x v="3"/>
    <x v="15"/>
    <s v="Q1"/>
    <n v="240"/>
    <n v="52.479166666666664"/>
    <s v="BJ PTS"/>
    <n v="1"/>
    <n v="12595"/>
    <n v="47.676407679999997"/>
    <n v="52.479166666666664"/>
  </r>
  <r>
    <n v="67885718"/>
    <x v="2"/>
    <n v="0"/>
    <d v="2023-03-30T00:00:00"/>
    <x v="48"/>
    <x v="13"/>
    <n v="8.5199999999999998E-3"/>
    <n v="0"/>
    <s v="BR"/>
    <x v="3"/>
    <x v="2"/>
    <s v="Q1"/>
    <n v="154"/>
    <n v="0"/>
    <s v="48oz"/>
    <n v="1"/>
    <n v="0"/>
    <n v="0"/>
    <n v="0"/>
  </r>
  <r>
    <n v="67885719"/>
    <x v="3"/>
    <n v="10654"/>
    <d v="2023-03-30T00:00:00"/>
    <x v="11"/>
    <x v="12"/>
    <n v="8.5199999999999998E-3"/>
    <n v="90.772080000000003"/>
    <s v="BR"/>
    <x v="3"/>
    <x v="6"/>
    <s v="Q1"/>
    <n v="154"/>
    <n v="69.181818181818187"/>
    <s v="48oz"/>
    <n v="1"/>
    <n v="10654"/>
    <n v="90.772080000000003"/>
    <n v="69.181818181818187"/>
  </r>
  <r>
    <n v="67885719"/>
    <x v="2"/>
    <n v="28026"/>
    <d v="2023-03-30T00:00:00"/>
    <x v="11"/>
    <x v="32"/>
    <n v="8.5199999999999998E-3"/>
    <n v="238.78152"/>
    <s v="BR"/>
    <x v="3"/>
    <x v="2"/>
    <s v="Q1"/>
    <n v="154"/>
    <n v="181.98701298701297"/>
    <s v="48oz"/>
    <n v="1"/>
    <n v="28026"/>
    <n v="238.78152"/>
    <n v="181.98701298701297"/>
  </r>
  <r>
    <n v="67885719"/>
    <x v="2"/>
    <n v="3505"/>
    <d v="2023-03-30T00:00:00"/>
    <x v="11"/>
    <x v="32"/>
    <n v="8.5199999999999998E-3"/>
    <n v="29.8626"/>
    <s v="BR"/>
    <x v="3"/>
    <x v="2"/>
    <s v="Q1"/>
    <n v="154"/>
    <n v="22.759740259740258"/>
    <s v="48oz"/>
    <n v="1"/>
    <n v="3505"/>
    <n v="29.8626"/>
    <n v="22.759740259740258"/>
  </r>
  <r>
    <n v="67885719"/>
    <x v="2"/>
    <n v="5569"/>
    <d v="2023-03-30T00:00:00"/>
    <x v="11"/>
    <x v="2"/>
    <n v="8.5199999999999998E-3"/>
    <n v="47.447879999999998"/>
    <s v="BR"/>
    <x v="3"/>
    <x v="2"/>
    <s v="Q1"/>
    <n v="154"/>
    <n v="36.162337662337663"/>
    <s v="48oz"/>
    <n v="1"/>
    <n v="5569"/>
    <n v="47.447879999999998"/>
    <n v="36.162337662337663"/>
  </r>
  <r>
    <n v="67893539"/>
    <x v="3"/>
    <n v="1719"/>
    <d v="2023-03-30T00:00:00"/>
    <x v="12"/>
    <x v="12"/>
    <n v="8.5199999999999998E-3"/>
    <n v="14.64588"/>
    <s v="BR"/>
    <x v="3"/>
    <x v="6"/>
    <s v="Q1"/>
    <n v="154"/>
    <n v="11.162337662337663"/>
    <s v="48oz"/>
    <n v="1"/>
    <n v="1719"/>
    <n v="14.64588"/>
    <n v="11.162337662337663"/>
  </r>
  <r>
    <n v="67901593"/>
    <x v="2"/>
    <n v="10256"/>
    <d v="2023-03-30T00:00:00"/>
    <x v="68"/>
    <x v="32"/>
    <n v="8.5199999999999998E-3"/>
    <n v="87.381119999999996"/>
    <s v="BR"/>
    <x v="3"/>
    <x v="2"/>
    <s v="Q1"/>
    <n v="154"/>
    <n v="66.597402597402592"/>
    <s v="48oz"/>
    <n v="1"/>
    <n v="10256"/>
    <n v="87.381119999999996"/>
    <n v="66.597402597402592"/>
  </r>
  <r>
    <n v="67908208"/>
    <x v="2"/>
    <n v="0"/>
    <d v="2023-03-30T00:00:00"/>
    <x v="225"/>
    <x v="25"/>
    <n v="3.9039999999999999E-3"/>
    <n v="0"/>
    <s v="GH"/>
    <x v="3"/>
    <x v="11"/>
    <s v="Q1"/>
    <n v="154"/>
    <n v="0"/>
    <s v="MBG"/>
    <n v="1"/>
    <n v="0"/>
    <n v="0"/>
    <n v="0"/>
  </r>
  <r>
    <n v="68188183"/>
    <x v="3"/>
    <n v="0"/>
    <d v="2023-03-30T00:00:00"/>
    <x v="70"/>
    <x v="9"/>
    <n v="3.8340000000000002E-3"/>
    <n v="0"/>
    <s v="PS"/>
    <x v="3"/>
    <x v="3"/>
    <s v="Q1"/>
    <n v="130"/>
    <n v="0"/>
    <s v="PG"/>
    <n v="1"/>
    <n v="0"/>
    <n v="0"/>
    <n v="0"/>
  </r>
  <r>
    <n v="68188183"/>
    <x v="3"/>
    <n v="1809"/>
    <d v="2023-03-30T00:00:00"/>
    <x v="70"/>
    <x v="9"/>
    <n v="3.8340000000000002E-3"/>
    <n v="6.9357060000000006"/>
    <s v="PS"/>
    <x v="3"/>
    <x v="3"/>
    <s v="Q1"/>
    <n v="130"/>
    <n v="13.915384615384616"/>
    <s v="PG"/>
    <n v="1"/>
    <n v="1809"/>
    <n v="6.9357060000000006"/>
    <n v="13.915384615384616"/>
  </r>
  <r>
    <n v="68354578"/>
    <x v="5"/>
    <n v="5913"/>
    <d v="2023-03-30T00:00:00"/>
    <x v="318"/>
    <x v="35"/>
    <n v="9.0848256361922702E-3"/>
    <n v="53.718573986804891"/>
    <s v="BJ"/>
    <x v="3"/>
    <x v="39"/>
    <s v="Q1"/>
    <n v="125"/>
    <n v="47.304000000000002"/>
    <s v="2.4 Gal"/>
    <n v="1"/>
    <n v="5913"/>
    <n v="53.718573986804891"/>
    <n v="47.304000000000002"/>
  </r>
  <r>
    <n v="68599804"/>
    <x v="0"/>
    <n v="6774"/>
    <d v="2023-03-30T00:00:00"/>
    <x v="114"/>
    <x v="1"/>
    <n v="8.5170239596469108E-3"/>
    <n v="57.694320302648173"/>
    <s v="BR"/>
    <x v="3"/>
    <x v="32"/>
    <s v="Q1"/>
    <n v="156"/>
    <n v="43.42307692307692"/>
    <s v="48oz"/>
    <n v="1"/>
    <n v="6774"/>
    <n v="57.694320302648173"/>
    <n v="43.42307692307692"/>
  </r>
  <r>
    <n v="68656232"/>
    <x v="3"/>
    <n v="7629"/>
    <d v="2023-03-30T00:00:00"/>
    <x v="211"/>
    <x v="16"/>
    <n v="8.5199999999999998E-3"/>
    <n v="64.999079999999992"/>
    <s v="BR"/>
    <x v="3"/>
    <x v="6"/>
    <s v="Q1"/>
    <n v="154"/>
    <n v="49.538961038961041"/>
    <s v="48oz"/>
    <n v="1"/>
    <n v="7629"/>
    <n v="64.999079999999992"/>
    <n v="49.538961038961041"/>
  </r>
  <r>
    <n v="68689251"/>
    <x v="3"/>
    <n v="6813"/>
    <d v="2023-03-30T00:00:00"/>
    <x v="17"/>
    <x v="20"/>
    <n v="9.5760000000000012E-3"/>
    <n v="65.241288000000011"/>
    <s v="KL"/>
    <x v="3"/>
    <x v="8"/>
    <s v="Q1"/>
    <n v="132"/>
    <n v="51.613636363636367"/>
    <s v="EDF"/>
    <n v="1"/>
    <n v="6813"/>
    <n v="65.241288000000011"/>
    <n v="51.613636363636367"/>
  </r>
  <r>
    <n v="68689253"/>
    <x v="2"/>
    <n v="5101"/>
    <d v="2023-03-30T00:00:00"/>
    <x v="125"/>
    <x v="18"/>
    <n v="6.0035555555555554E-3"/>
    <n v="30.624136888888888"/>
    <s v="KL"/>
    <x v="3"/>
    <x v="9"/>
    <s v="Q1"/>
    <n v="120"/>
    <n v="42.508333333333333"/>
    <s v="ESS"/>
    <n v="1"/>
    <n v="5101"/>
    <n v="30.624136888888888"/>
    <n v="42.508333333333333"/>
  </r>
  <r>
    <n v="68709233"/>
    <x v="3"/>
    <n v="6554"/>
    <d v="2023-03-30T00:00:00"/>
    <x v="19"/>
    <x v="19"/>
    <n v="8.4960000000000001E-3"/>
    <n v="55.682783999999998"/>
    <s v="KL"/>
    <x v="3"/>
    <x v="8"/>
    <s v="Q1"/>
    <n v="132"/>
    <n v="49.651515151515149"/>
    <s v="EDF"/>
    <n v="1"/>
    <n v="6554"/>
    <n v="55.682783999999998"/>
    <n v="49.651515151515149"/>
  </r>
  <r>
    <n v="68726715"/>
    <x v="2"/>
    <n v="18131"/>
    <d v="2023-03-30T00:00:00"/>
    <x v="34"/>
    <x v="21"/>
    <n v="3.7853440000000004E-3"/>
    <n v="68.632072064000013"/>
    <s v="TA"/>
    <x v="3"/>
    <x v="10"/>
    <s v="Q1"/>
    <n v="255"/>
    <n v="71.101960784313732"/>
    <s v="TALENTI"/>
    <n v="1"/>
    <n v="18131"/>
    <n v="68.632072064000013"/>
    <n v="71.101960784313732"/>
  </r>
  <r>
    <n v="68741742"/>
    <x v="3"/>
    <n v="6549"/>
    <d v="2023-03-30T00:00:00"/>
    <x v="25"/>
    <x v="4"/>
    <n v="4.2560000000000002E-3"/>
    <n v="27.872544000000001"/>
    <s v="GH"/>
    <x v="3"/>
    <x v="4"/>
    <s v="Q1"/>
    <n v="154"/>
    <n v="42.525974025974023"/>
    <s v="MBG"/>
    <n v="1"/>
    <n v="6549"/>
    <n v="27.872544000000001"/>
    <n v="42.525974025974023"/>
  </r>
  <r>
    <n v="68821729"/>
    <x v="2"/>
    <n v="0"/>
    <d v="2023-03-30T00:00:00"/>
    <x v="142"/>
    <x v="2"/>
    <n v="8.5199999999999998E-3"/>
    <n v="0"/>
    <s v="BR"/>
    <x v="3"/>
    <x v="2"/>
    <s v="Q1"/>
    <n v="176"/>
    <n v="0"/>
    <s v="48oz"/>
    <n v="1"/>
    <n v="0"/>
    <n v="0"/>
    <n v="0"/>
  </r>
  <r>
    <n v="68852591"/>
    <x v="3"/>
    <n v="8051"/>
    <d v="2023-03-30T00:00:00"/>
    <x v="26"/>
    <x v="17"/>
    <n v="8.5199999999999998E-3"/>
    <n v="68.594520000000003"/>
    <s v="KL"/>
    <x v="3"/>
    <x v="8"/>
    <s v="Q1"/>
    <n v="132"/>
    <n v="60.992424242424242"/>
    <s v="EDF"/>
    <n v="1"/>
    <n v="8051"/>
    <n v="68.594520000000003"/>
    <n v="60.992424242424242"/>
  </r>
  <r>
    <n v="68852591"/>
    <x v="2"/>
    <n v="3824"/>
    <d v="2023-03-30T00:00:00"/>
    <x v="26"/>
    <x v="26"/>
    <n v="8.5199999999999998E-3"/>
    <n v="32.580480000000001"/>
    <s v="KL"/>
    <x v="3"/>
    <x v="12"/>
    <s v="Q1"/>
    <n v="132"/>
    <n v="28.969696969696969"/>
    <s v="EDF"/>
    <n v="1"/>
    <n v="3824"/>
    <n v="32.580480000000001"/>
    <n v="28.969696969696969"/>
  </r>
  <r>
    <n v="68922106"/>
    <x v="2"/>
    <n v="14118"/>
    <d v="2023-03-30T00:00:00"/>
    <x v="104"/>
    <x v="22"/>
    <n v="3.552E-3"/>
    <n v="50.147136000000003"/>
    <s v="TA"/>
    <x v="3"/>
    <x v="10"/>
    <s v="Q1"/>
    <n v="255"/>
    <n v="55.364705882352943"/>
    <s v="TALENTI"/>
    <n v="1"/>
    <n v="14118"/>
    <n v="50.147136000000003"/>
    <n v="55.364705882352943"/>
  </r>
  <r>
    <n v="68930545"/>
    <x v="3"/>
    <n v="0"/>
    <d v="2023-03-30T00:00:00"/>
    <x v="93"/>
    <x v="12"/>
    <n v="8.5199999999999998E-3"/>
    <n v="0"/>
    <s v="BR"/>
    <x v="3"/>
    <x v="6"/>
    <s v="Q1"/>
    <n v="176"/>
    <n v="0"/>
    <s v="48oz"/>
    <n v="1"/>
    <n v="0"/>
    <n v="0"/>
    <n v="0"/>
  </r>
  <r>
    <n v="69548143"/>
    <x v="3"/>
    <n v="7058"/>
    <d v="2023-03-30T00:00:00"/>
    <x v="159"/>
    <x v="36"/>
    <n v="3.192E-3"/>
    <n v="22.529136000000001"/>
    <s v="KL"/>
    <x v="3"/>
    <x v="28"/>
    <s v="Q1"/>
    <n v="345"/>
    <n v="20.457971014492752"/>
    <s v="EFW"/>
    <n v="1"/>
    <n v="7058"/>
    <n v="22.529136000000001"/>
    <n v="20.457971014492752"/>
  </r>
  <r>
    <n v="69554202"/>
    <x v="2"/>
    <n v="11882"/>
    <d v="2023-03-30T00:00:00"/>
    <x v="47"/>
    <x v="15"/>
    <n v="3.5999999999999999E-3"/>
    <n v="42.775199999999998"/>
    <s v="BJ"/>
    <x v="3"/>
    <x v="19"/>
    <s v="Q1"/>
    <n v="240"/>
    <n v="49.508333333333333"/>
    <s v="TOPPED"/>
    <n v="1"/>
    <n v="11882"/>
    <n v="42.775199999999998"/>
    <n v="49.508333333333333"/>
  </r>
  <r>
    <n v="69554208"/>
    <x v="2"/>
    <n v="0"/>
    <d v="2023-03-30T00:00:00"/>
    <x v="228"/>
    <x v="15"/>
    <n v="3.5999999999999999E-3"/>
    <n v="0"/>
    <s v="BJ"/>
    <x v="3"/>
    <x v="19"/>
    <s v="Q1"/>
    <n v="240"/>
    <n v="0"/>
    <s v="TOPPED"/>
    <n v="1"/>
    <n v="0"/>
    <n v="0"/>
    <n v="0"/>
  </r>
  <r>
    <n v="69555093"/>
    <x v="2"/>
    <n v="4414"/>
    <d v="2023-03-30T00:00:00"/>
    <x v="229"/>
    <x v="14"/>
    <n v="1.98E-3"/>
    <n v="8.7397200000000002"/>
    <s v="TA"/>
    <x v="3"/>
    <x v="42"/>
    <s v="Q1"/>
    <n v="176"/>
    <n v="25.079545454545453"/>
    <s v="TAL NV"/>
    <n v="1"/>
    <n v="4414"/>
    <n v="8.7397200000000002"/>
    <n v="25.079545454545453"/>
  </r>
  <r>
    <n v="69572659"/>
    <x v="2"/>
    <n v="10858"/>
    <d v="2023-03-30T00:00:00"/>
    <x v="5"/>
    <x v="5"/>
    <n v="2.1520000000000003E-3"/>
    <n v="23.366416000000005"/>
    <s v="MG"/>
    <x v="3"/>
    <x v="5"/>
    <s v="Q1"/>
    <n v="210"/>
    <n v="51.704761904761902"/>
    <s v="MG Sticks"/>
    <n v="1"/>
    <n v="10858"/>
    <n v="23.366416000000005"/>
    <n v="51.704761904761902"/>
  </r>
  <r>
    <n v="69621212"/>
    <x v="2"/>
    <n v="7020"/>
    <d v="2023-03-30T00:00:00"/>
    <x v="29"/>
    <x v="28"/>
    <n v="5.2680000000000001E-3"/>
    <n v="36.981360000000002"/>
    <s v="PG"/>
    <x v="3"/>
    <x v="14"/>
    <s v="Q1"/>
    <n v="130"/>
    <n v="54"/>
    <s v="PG"/>
    <n v="1"/>
    <n v="7020"/>
    <n v="36.981360000000002"/>
    <n v="54"/>
  </r>
  <r>
    <n v="69629470"/>
    <x v="4"/>
    <n v="2400"/>
    <d v="2023-03-30T00:00:00"/>
    <x v="98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629470"/>
    <x v="4"/>
    <n v="2400"/>
    <d v="2023-03-30T00:00:00"/>
    <x v="98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629470"/>
    <x v="4"/>
    <n v="2400"/>
    <d v="2023-03-30T00:00:00"/>
    <x v="98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629470"/>
    <x v="4"/>
    <n v="2400"/>
    <d v="2023-03-30T00:00:00"/>
    <x v="98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629470"/>
    <x v="4"/>
    <n v="2400"/>
    <d v="2023-03-30T00:00:00"/>
    <x v="98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677917"/>
    <x v="3"/>
    <n v="3837"/>
    <d v="2023-03-30T00:00:00"/>
    <x v="30"/>
    <x v="29"/>
    <n v="5.2680000000000001E-3"/>
    <n v="20.213315999999999"/>
    <s v="PS"/>
    <x v="3"/>
    <x v="3"/>
    <s v="Q1"/>
    <n v="108"/>
    <n v="35.527777777777779"/>
    <s v="PG"/>
    <n v="1"/>
    <n v="3837"/>
    <n v="20.213315999999999"/>
    <n v="35.527777777777779"/>
  </r>
  <r>
    <n v="69677917"/>
    <x v="2"/>
    <n v="2762"/>
    <d v="2023-03-30T00:00:00"/>
    <x v="30"/>
    <x v="30"/>
    <n v="5.2680000000000001E-3"/>
    <n v="14.550216000000001"/>
    <s v="PS"/>
    <x v="3"/>
    <x v="14"/>
    <s v="Q1"/>
    <n v="108"/>
    <n v="25.574074074074073"/>
    <s v="PG"/>
    <n v="1"/>
    <n v="2762"/>
    <n v="14.550216000000001"/>
    <n v="25.574074074074073"/>
  </r>
  <r>
    <n v="69691903"/>
    <x v="2"/>
    <n v="0"/>
    <d v="2023-03-30T00:00:00"/>
    <x v="172"/>
    <x v="21"/>
    <n v="3.7839999999999996E-3"/>
    <n v="0"/>
    <s v="TA"/>
    <x v="3"/>
    <x v="10"/>
    <s v="Q1"/>
    <n v="255"/>
    <n v="0"/>
    <s v="TALENTI"/>
    <n v="1"/>
    <n v="0"/>
    <n v="0"/>
    <n v="0"/>
  </r>
  <r>
    <n v="69700048"/>
    <x v="3"/>
    <n v="269"/>
    <d v="2023-03-30T00:00:00"/>
    <x v="288"/>
    <x v="24"/>
    <n v="2.3469132803553457E-3"/>
    <n v="0.63131967241558795"/>
    <s v="GH"/>
    <x v="3"/>
    <x v="4"/>
    <s v="Q1"/>
    <n v="350"/>
    <n v="0.76857142857142857"/>
    <s v="MBG"/>
    <n v="1"/>
    <n v="269"/>
    <n v="0.63131967241558795"/>
    <n v="0.76857142857142857"/>
  </r>
  <r>
    <n v="69700048"/>
    <x v="3"/>
    <n v="0"/>
    <d v="2023-03-30T00:00:00"/>
    <x v="288"/>
    <x v="24"/>
    <n v="2.3469132803553457E-3"/>
    <n v="0"/>
    <s v="GH"/>
    <x v="3"/>
    <x v="4"/>
    <s v="Q1"/>
    <n v="350"/>
    <n v="0"/>
    <s v="MBG"/>
    <n v="1"/>
    <n v="0"/>
    <n v="0"/>
    <n v="0"/>
  </r>
  <r>
    <n v="69717801"/>
    <x v="2"/>
    <n v="286"/>
    <d v="2023-03-30T00:00:00"/>
    <x v="160"/>
    <x v="31"/>
    <n v="4.2560000000000002E-3"/>
    <n v="1.2172160000000001"/>
    <s v="BR"/>
    <x v="3"/>
    <x v="5"/>
    <s v="Q1"/>
    <n v="143"/>
    <n v="2"/>
    <s v="MG Sticks"/>
    <n v="1"/>
    <n v="286"/>
    <n v="1.2172160000000001"/>
    <n v="2"/>
  </r>
  <r>
    <n v="67309841"/>
    <x v="2"/>
    <n v="11194"/>
    <d v="2023-03-31T00:00:00"/>
    <x v="32"/>
    <x v="13"/>
    <n v="8.5199999999999998E-3"/>
    <n v="95.372879999999995"/>
    <s v="BR"/>
    <x v="3"/>
    <x v="2"/>
    <s v="Q1"/>
    <n v="154"/>
    <n v="72.688311688311686"/>
    <s v="48oz"/>
    <n v="1"/>
    <n v="11194"/>
    <n v="95.372879999999995"/>
    <n v="72.688311688311686"/>
  </r>
  <r>
    <n v="67309843"/>
    <x v="3"/>
    <n v="0"/>
    <d v="2023-03-31T00:00:00"/>
    <x v="88"/>
    <x v="11"/>
    <n v="8.5199999999999998E-3"/>
    <n v="0"/>
    <s v="BR"/>
    <x v="3"/>
    <x v="6"/>
    <s v="Q1"/>
    <n v="154"/>
    <n v="0"/>
    <s v="48oz"/>
    <n v="1"/>
    <n v="0"/>
    <n v="0"/>
    <n v="0"/>
  </r>
  <r>
    <n v="67309843"/>
    <x v="3"/>
    <n v="6088"/>
    <d v="2023-03-31T00:00:00"/>
    <x v="88"/>
    <x v="11"/>
    <n v="8.5199999999999998E-3"/>
    <n v="51.869759999999999"/>
    <s v="BR"/>
    <x v="3"/>
    <x v="6"/>
    <s v="Q1"/>
    <n v="154"/>
    <n v="39.532467532467535"/>
    <s v="48oz"/>
    <n v="1"/>
    <n v="6088"/>
    <n v="51.869759999999999"/>
    <n v="39.532467532467535"/>
  </r>
  <r>
    <n v="67465063"/>
    <x v="3"/>
    <n v="0"/>
    <d v="2023-03-31T00:00:00"/>
    <x v="3"/>
    <x v="40"/>
    <n v="5.2680000000000001E-3"/>
    <n v="0"/>
    <s v="PS"/>
    <x v="3"/>
    <x v="3"/>
    <s v="Q1"/>
    <n v="130"/>
    <n v="0"/>
    <s v="PG"/>
    <n v="1"/>
    <n v="0"/>
    <n v="0"/>
    <n v="0"/>
  </r>
  <r>
    <n v="67465064"/>
    <x v="3"/>
    <n v="0"/>
    <d v="2023-03-31T00:00:00"/>
    <x v="7"/>
    <x v="3"/>
    <n v="1.596E-3"/>
    <n v="0"/>
    <s v="PS"/>
    <x v="3"/>
    <x v="3"/>
    <s v="Q1"/>
    <n v="130"/>
    <n v="0"/>
    <s v="PG"/>
    <n v="1"/>
    <n v="0"/>
    <n v="0"/>
    <n v="0"/>
  </r>
  <r>
    <n v="67466492"/>
    <x v="3"/>
    <n v="1917"/>
    <d v="2023-03-31T00:00:00"/>
    <x v="8"/>
    <x v="8"/>
    <n v="5.2680000000000001E-3"/>
    <n v="10.098756"/>
    <s v="PS"/>
    <x v="3"/>
    <x v="3"/>
    <s v="Q1"/>
    <n v="130"/>
    <n v="14.746153846153845"/>
    <s v="PG"/>
    <n v="1"/>
    <n v="1917"/>
    <n v="10.098756"/>
    <n v="14.746153846153845"/>
  </r>
  <r>
    <n v="67466492"/>
    <x v="3"/>
    <n v="1979"/>
    <d v="2023-03-31T00:00:00"/>
    <x v="8"/>
    <x v="6"/>
    <n v="5.2680000000000001E-3"/>
    <n v="10.425371999999999"/>
    <s v="PS"/>
    <x v="3"/>
    <x v="3"/>
    <s v="Q1"/>
    <n v="130"/>
    <n v="15.223076923076922"/>
    <s v="PG"/>
    <n v="1"/>
    <n v="1979"/>
    <n v="10.425371999999999"/>
    <n v="15.223076923076922"/>
  </r>
  <r>
    <n v="67466492"/>
    <x v="3"/>
    <n v="1971"/>
    <d v="2023-03-31T00:00:00"/>
    <x v="8"/>
    <x v="7"/>
    <n v="5.2680000000000001E-3"/>
    <n v="10.383228000000001"/>
    <s v="PS"/>
    <x v="3"/>
    <x v="3"/>
    <s v="Q1"/>
    <n v="130"/>
    <n v="15.161538461538461"/>
    <s v="PG"/>
    <n v="1"/>
    <n v="1971"/>
    <n v="10.383228000000001"/>
    <n v="15.161538461538461"/>
  </r>
  <r>
    <n v="67466492"/>
    <x v="3"/>
    <n v="2465"/>
    <d v="2023-03-31T00:00:00"/>
    <x v="8"/>
    <x v="10"/>
    <n v="5.2680000000000001E-3"/>
    <n v="12.985620000000001"/>
    <s v="PS"/>
    <x v="3"/>
    <x v="3"/>
    <s v="Q1"/>
    <n v="130"/>
    <n v="18.96153846153846"/>
    <s v="PG"/>
    <n v="1"/>
    <n v="2465"/>
    <n v="12.985620000000001"/>
    <n v="18.96153846153846"/>
  </r>
  <r>
    <n v="67723726"/>
    <x v="3"/>
    <n v="2513"/>
    <d v="2023-03-31T00:00:00"/>
    <x v="109"/>
    <x v="23"/>
    <n v="8.5199999999999998E-3"/>
    <n v="21.41076"/>
    <s v="BR"/>
    <x v="3"/>
    <x v="6"/>
    <s v="Q1"/>
    <n v="154"/>
    <n v="16.318181818181817"/>
    <s v="48oz"/>
    <n v="1"/>
    <n v="2513"/>
    <n v="21.41076"/>
    <n v="16.318181818181817"/>
  </r>
  <r>
    <n v="67885718"/>
    <x v="2"/>
    <n v="0"/>
    <d v="2023-03-31T00:00:00"/>
    <x v="48"/>
    <x v="13"/>
    <n v="8.5199999999999998E-3"/>
    <n v="0"/>
    <s v="BR"/>
    <x v="3"/>
    <x v="2"/>
    <s v="Q1"/>
    <n v="154"/>
    <n v="0"/>
    <s v="48oz"/>
    <n v="1"/>
    <n v="0"/>
    <n v="0"/>
    <n v="0"/>
  </r>
  <r>
    <n v="67885719"/>
    <x v="3"/>
    <n v="3633"/>
    <d v="2023-03-31T00:00:00"/>
    <x v="11"/>
    <x v="12"/>
    <n v="8.5199999999999998E-3"/>
    <n v="30.95316"/>
    <s v="BR"/>
    <x v="3"/>
    <x v="6"/>
    <s v="Q1"/>
    <n v="154"/>
    <n v="23.59090909090909"/>
    <s v="48oz"/>
    <n v="1"/>
    <n v="3633"/>
    <n v="30.95316"/>
    <n v="23.59090909090909"/>
  </r>
  <r>
    <n v="67885719"/>
    <x v="2"/>
    <n v="7544"/>
    <d v="2023-03-31T00:00:00"/>
    <x v="11"/>
    <x v="2"/>
    <n v="8.5199999999999998E-3"/>
    <n v="64.274879999999996"/>
    <s v="BR"/>
    <x v="3"/>
    <x v="2"/>
    <s v="Q1"/>
    <n v="154"/>
    <n v="48.987012987012989"/>
    <s v="48oz"/>
    <n v="1"/>
    <n v="7544"/>
    <n v="64.274879999999996"/>
    <n v="48.987012987012989"/>
  </r>
  <r>
    <n v="67901593"/>
    <x v="2"/>
    <n v="20944"/>
    <d v="2023-03-31T00:00:00"/>
    <x v="68"/>
    <x v="32"/>
    <n v="8.5199999999999998E-3"/>
    <n v="178.44288"/>
    <s v="BR"/>
    <x v="3"/>
    <x v="2"/>
    <s v="Q1"/>
    <n v="154"/>
    <n v="136"/>
    <s v="48oz"/>
    <n v="1"/>
    <n v="20944"/>
    <n v="178.44288"/>
    <n v="136"/>
  </r>
  <r>
    <n v="68188183"/>
    <x v="3"/>
    <n v="0"/>
    <d v="2023-03-31T00:00:00"/>
    <x v="70"/>
    <x v="9"/>
    <n v="3.8340000000000002E-3"/>
    <n v="0"/>
    <s v="PS"/>
    <x v="3"/>
    <x v="3"/>
    <s v="Q1"/>
    <n v="130"/>
    <n v="0"/>
    <s v="PG"/>
    <n v="1"/>
    <n v="0"/>
    <n v="0"/>
    <n v="0"/>
  </r>
  <r>
    <n v="68188183"/>
    <x v="3"/>
    <n v="801"/>
    <d v="2023-03-31T00:00:00"/>
    <x v="70"/>
    <x v="9"/>
    <n v="3.8340000000000002E-3"/>
    <n v="3.071034"/>
    <s v="PS"/>
    <x v="3"/>
    <x v="3"/>
    <s v="Q1"/>
    <n v="130"/>
    <n v="6.1615384615384619"/>
    <s v="PG"/>
    <n v="1"/>
    <n v="801"/>
    <n v="3.071034"/>
    <n v="6.1615384615384619"/>
  </r>
  <r>
    <n v="68414643"/>
    <x v="6"/>
    <n v="5602"/>
    <d v="2023-03-31T00:00:00"/>
    <x v="41"/>
    <x v="0"/>
    <n v="1.419504E-3"/>
    <n v="7.9520614080000005"/>
    <s v="BJ"/>
    <x v="3"/>
    <x v="17"/>
    <s v="Q1"/>
    <n v="238"/>
    <n v="23.537815126050422"/>
    <s v="B&amp;J Dog Treat - Repack"/>
    <n v="1"/>
    <n v="5602"/>
    <n v="7.9520614080000005"/>
    <n v="23.537815126050422"/>
  </r>
  <r>
    <n v="68599804"/>
    <x v="0"/>
    <n v="6481"/>
    <d v="2023-03-31T00:00:00"/>
    <x v="114"/>
    <x v="1"/>
    <n v="8.5170239596469108E-3"/>
    <n v="55.198832282471628"/>
    <s v="BR"/>
    <x v="3"/>
    <x v="32"/>
    <s v="Q1"/>
    <n v="156"/>
    <n v="41.544871794871796"/>
    <s v="48oz"/>
    <n v="1"/>
    <n v="6481"/>
    <n v="55.198832282471628"/>
    <n v="41.544871794871796"/>
  </r>
  <r>
    <n v="68634166"/>
    <x v="3"/>
    <n v="3488"/>
    <d v="2023-03-31T00:00:00"/>
    <x v="319"/>
    <x v="16"/>
    <n v="8.5170239596469108E-3"/>
    <n v="29.707379571248424"/>
    <s v="BR"/>
    <x v="3"/>
    <x v="6"/>
    <s v="Q1"/>
    <n v="154"/>
    <n v="22.649350649350648"/>
    <s v="48oz"/>
    <n v="1"/>
    <n v="3488"/>
    <n v="29.707379571248424"/>
    <n v="22.649350649350648"/>
  </r>
  <r>
    <n v="68634168"/>
    <x v="3"/>
    <n v="1288"/>
    <d v="2023-03-31T00:00:00"/>
    <x v="42"/>
    <x v="16"/>
    <n v="8.5170239596469108E-3"/>
    <n v="10.969926860025222"/>
    <s v="BR"/>
    <x v="3"/>
    <x v="6"/>
    <s v="Q1"/>
    <n v="154"/>
    <n v="8.3636363636363633"/>
    <s v="48oz"/>
    <n v="1"/>
    <n v="1288"/>
    <n v="10.969926860025222"/>
    <n v="8.3636363636363633"/>
  </r>
  <r>
    <n v="68689251"/>
    <x v="3"/>
    <n v="3477"/>
    <d v="2023-03-31T00:00:00"/>
    <x v="17"/>
    <x v="20"/>
    <n v="9.5760000000000012E-3"/>
    <n v="33.295752000000007"/>
    <s v="KL"/>
    <x v="3"/>
    <x v="8"/>
    <s v="Q1"/>
    <n v="132"/>
    <n v="26.34090909090909"/>
    <s v="EDF"/>
    <n v="1"/>
    <n v="3477"/>
    <n v="33.295752000000007"/>
    <n v="26.34090909090909"/>
  </r>
  <r>
    <n v="68689253"/>
    <x v="2"/>
    <n v="3558"/>
    <d v="2023-03-31T00:00:00"/>
    <x v="125"/>
    <x v="18"/>
    <n v="6.0035555555555554E-3"/>
    <n v="21.360650666666665"/>
    <s v="KL"/>
    <x v="3"/>
    <x v="9"/>
    <s v="Q1"/>
    <n v="120"/>
    <n v="29.65"/>
    <s v="ESS"/>
    <n v="1"/>
    <n v="3558"/>
    <n v="21.360650666666665"/>
    <n v="29.65"/>
  </r>
  <r>
    <n v="68709233"/>
    <x v="3"/>
    <n v="1579"/>
    <d v="2023-03-31T00:00:00"/>
    <x v="19"/>
    <x v="19"/>
    <n v="8.4960000000000001E-3"/>
    <n v="13.415184"/>
    <s v="KL"/>
    <x v="3"/>
    <x v="8"/>
    <s v="Q1"/>
    <n v="132"/>
    <n v="11.962121212121213"/>
    <s v="EDF"/>
    <n v="1"/>
    <n v="1579"/>
    <n v="13.415184"/>
    <n v="11.962121212121213"/>
  </r>
  <r>
    <n v="68726715"/>
    <x v="2"/>
    <n v="494"/>
    <d v="2023-03-31T00:00:00"/>
    <x v="34"/>
    <x v="21"/>
    <n v="3.7853440000000004E-3"/>
    <n v="1.8699599360000001"/>
    <s v="TA"/>
    <x v="3"/>
    <x v="10"/>
    <s v="Q1"/>
    <n v="255"/>
    <n v="1.9372549019607843"/>
    <s v="TALENTI"/>
    <n v="1"/>
    <n v="494"/>
    <n v="1.8699599360000001"/>
    <n v="1.9372549019607843"/>
  </r>
  <r>
    <n v="68726715"/>
    <x v="2"/>
    <n v="30257"/>
    <d v="2023-03-31T00:00:00"/>
    <x v="34"/>
    <x v="21"/>
    <n v="3.7853440000000004E-3"/>
    <n v="114.53315340800002"/>
    <s v="TA"/>
    <x v="3"/>
    <x v="10"/>
    <s v="Q1"/>
    <n v="255"/>
    <n v="118.65490196078431"/>
    <s v="TALENTI"/>
    <n v="1"/>
    <n v="30257"/>
    <n v="114.53315340800002"/>
    <n v="118.65490196078431"/>
  </r>
  <r>
    <n v="68730254"/>
    <x v="2"/>
    <n v="0"/>
    <d v="2023-03-31T00:00:00"/>
    <x v="128"/>
    <x v="21"/>
    <n v="3.7853440000000004E-3"/>
    <n v="0"/>
    <s v="TA"/>
    <x v="3"/>
    <x v="10"/>
    <s v="Q1"/>
    <n v="255"/>
    <n v="0"/>
    <s v="TALENTI"/>
    <n v="1"/>
    <n v="0"/>
    <n v="0"/>
    <n v="0"/>
  </r>
  <r>
    <n v="68741742"/>
    <x v="3"/>
    <n v="2326"/>
    <d v="2023-03-31T00:00:00"/>
    <x v="25"/>
    <x v="4"/>
    <n v="4.2560000000000002E-3"/>
    <n v="9.8994560000000007"/>
    <s v="GH"/>
    <x v="3"/>
    <x v="4"/>
    <s v="Q1"/>
    <n v="154"/>
    <n v="15.103896103896103"/>
    <s v="MBG"/>
    <n v="1"/>
    <n v="2326"/>
    <n v="9.8994560000000007"/>
    <n v="15.103896103896103"/>
  </r>
  <r>
    <n v="68852591"/>
    <x v="3"/>
    <n v="4313"/>
    <d v="2023-03-31T00:00:00"/>
    <x v="26"/>
    <x v="17"/>
    <n v="8.5199999999999998E-3"/>
    <n v="36.746760000000002"/>
    <s v="KL"/>
    <x v="3"/>
    <x v="8"/>
    <s v="Q1"/>
    <n v="132"/>
    <n v="32.674242424242422"/>
    <s v="EDF"/>
    <n v="1"/>
    <n v="4313"/>
    <n v="36.746760000000002"/>
    <n v="32.674242424242422"/>
  </r>
  <r>
    <n v="68852591"/>
    <x v="2"/>
    <n v="3432"/>
    <d v="2023-03-31T00:00:00"/>
    <x v="26"/>
    <x v="26"/>
    <n v="8.5199999999999998E-3"/>
    <n v="29.240639999999999"/>
    <s v="KL"/>
    <x v="3"/>
    <x v="12"/>
    <s v="Q1"/>
    <n v="132"/>
    <n v="26"/>
    <s v="EDF"/>
    <n v="1"/>
    <n v="3432"/>
    <n v="29.240639999999999"/>
    <n v="26"/>
  </r>
  <r>
    <n v="68852605"/>
    <x v="9"/>
    <n v="2924"/>
    <d v="2023-03-31T00:00:00"/>
    <x v="58"/>
    <x v="0"/>
    <n v="4.2112719751809718E-2"/>
    <n v="123.13759255429161"/>
    <s v="BJ"/>
    <x v="3"/>
    <x v="23"/>
    <s v="Q1"/>
    <n v="272"/>
    <n v="10.75"/>
    <s v="Dough Bites"/>
    <n v="1"/>
    <n v="2924"/>
    <n v="123.13759255429161"/>
    <n v="10.75"/>
  </r>
  <r>
    <n v="68930545"/>
    <x v="3"/>
    <n v="0"/>
    <d v="2023-03-31T00:00:00"/>
    <x v="93"/>
    <x v="12"/>
    <n v="8.5199999999999998E-3"/>
    <n v="0"/>
    <s v="BR"/>
    <x v="3"/>
    <x v="6"/>
    <s v="Q1"/>
    <n v="176"/>
    <n v="0"/>
    <s v="48oz"/>
    <n v="1"/>
    <n v="0"/>
    <n v="0"/>
    <n v="0"/>
  </r>
  <r>
    <n v="69549035"/>
    <x v="2"/>
    <n v="0"/>
    <d v="2023-03-31T00:00:00"/>
    <x v="320"/>
    <x v="22"/>
    <n v="3.7839999999999996E-3"/>
    <n v="0"/>
    <s v="TA"/>
    <x v="3"/>
    <x v="10"/>
    <s v="Q1"/>
    <n v="255"/>
    <n v="0"/>
    <s v="TALENTI"/>
    <n v="1"/>
    <n v="0"/>
    <n v="0"/>
    <n v="0"/>
  </r>
  <r>
    <n v="69552658"/>
    <x v="10"/>
    <n v="5481"/>
    <d v="2023-03-31T00:00:00"/>
    <x v="81"/>
    <x v="37"/>
    <n v="2.8390080000000001E-3"/>
    <n v="15.560602848"/>
    <s v="KL"/>
    <x v="3"/>
    <x v="29"/>
    <s v="Q1"/>
    <n v="189"/>
    <n v="29"/>
    <s v="ESS"/>
    <n v="1"/>
    <n v="5481"/>
    <n v="15.560602848"/>
    <n v="29"/>
  </r>
  <r>
    <n v="69552658"/>
    <x v="10"/>
    <n v="2608"/>
    <d v="2023-03-31T00:00:00"/>
    <x v="81"/>
    <x v="37"/>
    <n v="2.8390080000000001E-3"/>
    <n v="7.4041328640000001"/>
    <s v="KL"/>
    <x v="3"/>
    <x v="29"/>
    <s v="Q1"/>
    <n v="189"/>
    <n v="13.798941798941799"/>
    <s v="ESS"/>
    <n v="1"/>
    <n v="2608"/>
    <n v="7.4041328640000001"/>
    <n v="13.798941798941799"/>
  </r>
  <r>
    <n v="68871168"/>
    <x v="1"/>
    <n v="2808"/>
    <d v="2023-03-31T00:00:00"/>
    <x v="57"/>
    <x v="0"/>
    <n v="6.0035555555555554E-3"/>
    <n v="16.857983999999998"/>
    <s v="KL"/>
    <x v="3"/>
    <x v="1"/>
    <s v="Q1"/>
    <n v="108"/>
    <n v="26"/>
    <s v="KL Sandwiches"/>
    <n v="1"/>
    <n v="2808"/>
    <n v="16.857983999999998"/>
    <n v="26"/>
  </r>
  <r>
    <n v="69554202"/>
    <x v="2"/>
    <n v="12450"/>
    <d v="2023-03-31T00:00:00"/>
    <x v="47"/>
    <x v="15"/>
    <n v="3.5999999999999999E-3"/>
    <n v="44.82"/>
    <s v="BJ"/>
    <x v="3"/>
    <x v="19"/>
    <s v="Q1"/>
    <n v="240"/>
    <n v="51.875"/>
    <s v="TOPPED"/>
    <n v="1"/>
    <n v="12450"/>
    <n v="44.82"/>
    <n v="51.875"/>
  </r>
  <r>
    <n v="69555093"/>
    <x v="2"/>
    <n v="3965"/>
    <d v="2023-03-31T00:00:00"/>
    <x v="229"/>
    <x v="14"/>
    <n v="1.98E-3"/>
    <n v="7.8506999999999998"/>
    <s v="TA"/>
    <x v="3"/>
    <x v="42"/>
    <s v="Q1"/>
    <n v="176"/>
    <n v="22.52840909090909"/>
    <s v="TAL NV"/>
    <n v="1"/>
    <n v="3965"/>
    <n v="7.8506999999999998"/>
    <n v="22.52840909090909"/>
  </r>
  <r>
    <n v="69572657"/>
    <x v="2"/>
    <n v="0"/>
    <d v="2023-03-31T00:00:00"/>
    <x v="306"/>
    <x v="5"/>
    <n v="2.1520000000000003E-3"/>
    <n v="0"/>
    <s v="MG"/>
    <x v="3"/>
    <x v="5"/>
    <s v="Q1"/>
    <n v="210"/>
    <n v="0"/>
    <s v="MG Sticks"/>
    <n v="1"/>
    <n v="0"/>
    <n v="0"/>
    <n v="0"/>
  </r>
  <r>
    <n v="69572659"/>
    <x v="2"/>
    <n v="11532"/>
    <d v="2023-03-31T00:00:00"/>
    <x v="5"/>
    <x v="5"/>
    <n v="2.1520000000000003E-3"/>
    <n v="24.816864000000002"/>
    <s v="MG"/>
    <x v="3"/>
    <x v="5"/>
    <s v="Q1"/>
    <n v="210"/>
    <n v="54.914285714285711"/>
    <s v="MG Sticks"/>
    <n v="1"/>
    <n v="11532"/>
    <n v="24.816864000000002"/>
    <n v="54.914285714285711"/>
  </r>
  <r>
    <n v="69586720"/>
    <x v="4"/>
    <n v="4310"/>
    <d v="2023-03-31T00:00:00"/>
    <x v="302"/>
    <x v="0"/>
    <n v="2.6610000000000002E-3"/>
    <n v="11.468910000000001"/>
    <s v="KL"/>
    <x v="3"/>
    <x v="13"/>
    <s v="Q1"/>
    <n v="220"/>
    <n v="19.59090909090909"/>
    <s v="KL Mini Cones"/>
    <n v="1"/>
    <n v="4310"/>
    <n v="11.468910000000001"/>
    <n v="19.59090909090909"/>
  </r>
  <r>
    <n v="69621212"/>
    <x v="2"/>
    <n v="5292"/>
    <d v="2023-03-31T00:00:00"/>
    <x v="29"/>
    <x v="28"/>
    <n v="5.2680000000000001E-3"/>
    <n v="27.878256"/>
    <s v="PG"/>
    <x v="3"/>
    <x v="14"/>
    <s v="Q1"/>
    <n v="130"/>
    <n v="40.707692307692305"/>
    <s v="PG"/>
    <n v="1"/>
    <n v="5292"/>
    <n v="27.878256"/>
    <n v="40.707692307692305"/>
  </r>
  <r>
    <n v="69629470"/>
    <x v="4"/>
    <n v="2400"/>
    <d v="2023-03-31T00:00:00"/>
    <x v="98"/>
    <x v="0"/>
    <n v="5.3220000000000003E-3"/>
    <n v="12.7728"/>
    <s v="KL"/>
    <x v="3"/>
    <x v="13"/>
    <s v="Q1"/>
    <n v="120"/>
    <n v="20"/>
    <s v="KL Mini Cones"/>
    <n v="1"/>
    <n v="2400"/>
    <n v="12.7728"/>
    <n v="20"/>
  </r>
  <r>
    <n v="69629477"/>
    <x v="1"/>
    <n v="2892"/>
    <d v="2023-03-31T00:00:00"/>
    <x v="61"/>
    <x v="0"/>
    <n v="5.3280000000000003E-3"/>
    <n v="15.408576"/>
    <s v="KL"/>
    <x v="3"/>
    <x v="26"/>
    <s v="Q1"/>
    <n v="108"/>
    <n v="26.777777777777779"/>
    <s v="KL Mini Cones"/>
    <n v="1"/>
    <n v="2892"/>
    <n v="15.408576"/>
    <n v="26.777777777777779"/>
  </r>
  <r>
    <n v="69629477"/>
    <x v="1"/>
    <n v="2944"/>
    <d v="2023-03-31T00:00:00"/>
    <x v="61"/>
    <x v="0"/>
    <n v="5.3280000000000003E-3"/>
    <n v="15.685632"/>
    <s v="KL"/>
    <x v="3"/>
    <x v="26"/>
    <s v="Q1"/>
    <n v="108"/>
    <n v="27.25925925925926"/>
    <s v="KL Mini Cones"/>
    <n v="1"/>
    <n v="2944"/>
    <n v="15.685632"/>
    <n v="27.25925925925926"/>
  </r>
  <r>
    <n v="68484625"/>
    <x v="1"/>
    <n v="806"/>
    <d v="2023-04-01T00:00:00"/>
    <x v="321"/>
    <x v="1"/>
    <n v="2.16E-3"/>
    <n v="1.7409600000000001"/>
    <s v="MG"/>
    <x v="1"/>
    <x v="22"/>
    <s v="Q2"/>
    <n v="160"/>
    <n v="5.0374999999999996"/>
    <s v="MG Sticks"/>
    <n v="1"/>
    <n v="806"/>
    <n v="1.7409600000000001"/>
    <n v="5.0374999999999996"/>
  </r>
  <r>
    <n v="69629477"/>
    <x v="1"/>
    <n v="666"/>
    <d v="2023-03-31T00:00:00"/>
    <x v="61"/>
    <x v="0"/>
    <n v="5.3280000000000003E-3"/>
    <n v="3.548448"/>
    <s v="KL"/>
    <x v="3"/>
    <x v="26"/>
    <s v="Q1"/>
    <n v="108"/>
    <n v="6.166666666666667"/>
    <s v="KL Mini Cones"/>
    <n v="1"/>
    <n v="666"/>
    <n v="3.548448"/>
    <n v="6.166666666666667"/>
  </r>
  <r>
    <n v="69629477"/>
    <x v="1"/>
    <n v="2871"/>
    <d v="2023-03-31T00:00:00"/>
    <x v="61"/>
    <x v="0"/>
    <n v="5.3280000000000003E-3"/>
    <n v="15.296688000000001"/>
    <s v="KL"/>
    <x v="3"/>
    <x v="26"/>
    <s v="Q1"/>
    <n v="108"/>
    <n v="26.583333333333332"/>
    <s v="KL Mini Cones"/>
    <n v="1"/>
    <n v="2871"/>
    <n v="15.296688000000001"/>
    <n v="26.583333333333332"/>
  </r>
  <r>
    <n v="69645145"/>
    <x v="0"/>
    <n v="26165"/>
    <d v="2023-03-31T00:00:00"/>
    <x v="118"/>
    <x v="0"/>
    <n v="2.8319999999999999E-3"/>
    <n v="74.099279999999993"/>
    <s v="GH"/>
    <x v="3"/>
    <x v="46"/>
    <s v="Q1"/>
    <n v="260"/>
    <n v="100.63461538461539"/>
    <s v="FB Cones"/>
    <n v="1"/>
    <n v="26165"/>
    <n v="74.099279999999993"/>
    <n v="100.63461538461539"/>
  </r>
  <r>
    <n v="69677917"/>
    <x v="3"/>
    <n v="2536"/>
    <d v="2023-03-31T00:00:00"/>
    <x v="30"/>
    <x v="29"/>
    <n v="5.2680000000000001E-3"/>
    <n v="13.359648"/>
    <s v="PS"/>
    <x v="3"/>
    <x v="3"/>
    <s v="Q1"/>
    <n v="108"/>
    <n v="23.481481481481481"/>
    <s v="PG"/>
    <n v="1"/>
    <n v="2536"/>
    <n v="13.359648"/>
    <n v="23.481481481481481"/>
  </r>
  <r>
    <n v="69677917"/>
    <x v="2"/>
    <n v="2682"/>
    <d v="2023-03-31T00:00:00"/>
    <x v="30"/>
    <x v="30"/>
    <n v="5.2680000000000001E-3"/>
    <n v="14.128776"/>
    <s v="PS"/>
    <x v="3"/>
    <x v="14"/>
    <s v="Q1"/>
    <n v="108"/>
    <n v="24.833333333333332"/>
    <s v="PG"/>
    <n v="1"/>
    <n v="2682"/>
    <n v="14.128776"/>
    <n v="24.833333333333332"/>
  </r>
  <r>
    <n v="69700048"/>
    <x v="3"/>
    <n v="1232"/>
    <d v="2023-03-31T00:00:00"/>
    <x v="288"/>
    <x v="24"/>
    <n v="2.3469132803553457E-3"/>
    <n v="2.8913971613977858"/>
    <s v="GH"/>
    <x v="3"/>
    <x v="4"/>
    <s v="Q1"/>
    <n v="350"/>
    <n v="3.52"/>
    <s v="MBG"/>
    <n v="1"/>
    <n v="1232"/>
    <n v="2.8913971613977858"/>
    <n v="3.52"/>
  </r>
  <r>
    <n v="84141101"/>
    <x v="5"/>
    <n v="41029"/>
    <d v="2023-03-31T00:00:00"/>
    <x v="86"/>
    <x v="33"/>
    <n v="3.7853439999999999E-3"/>
    <n v="155.30887897599999"/>
    <s v="BJ"/>
    <x v="3"/>
    <x v="15"/>
    <s v="Q1"/>
    <n v="240"/>
    <n v="170.95416666666668"/>
    <s v="BJ PTS"/>
    <n v="1"/>
    <n v="41029"/>
    <n v="155.30887897599999"/>
    <n v="170.95416666666668"/>
  </r>
  <r>
    <n v="84141102"/>
    <x v="13"/>
    <n v="68771"/>
    <d v="2023-03-31T00:00:00"/>
    <x v="217"/>
    <x v="38"/>
    <n v="3.7853439999999999E-3"/>
    <n v="260.32189222400001"/>
    <s v="BJ"/>
    <x v="3"/>
    <x v="36"/>
    <s v="Q1"/>
    <n v="240"/>
    <n v="286.54583333333335"/>
    <s v="BJ PTS"/>
    <n v="1"/>
    <n v="68771"/>
    <n v="260.32189222400001"/>
    <n v="286.54583333333335"/>
  </r>
  <r>
    <n v="84163646"/>
    <x v="5"/>
    <n v="6325"/>
    <d v="2023-03-31T00:00:00"/>
    <x v="322"/>
    <x v="35"/>
    <n v="9.0848256361922702E-3"/>
    <n v="57.46152214891611"/>
    <s v="BJ"/>
    <x v="3"/>
    <x v="39"/>
    <s v="Q1"/>
    <n v="125"/>
    <n v="50.6"/>
    <s v="2.4 Gal"/>
    <n v="1"/>
    <n v="6325"/>
    <n v="57.46152214891611"/>
    <n v="50.6"/>
  </r>
  <r>
    <n v="69700048"/>
    <x v="15"/>
    <n v="0"/>
    <d v="2023-04-01T00:00:00"/>
    <x v="288"/>
    <x v="24"/>
    <n v="2.3469132803553457E-3"/>
    <n v="0"/>
    <s v="GH"/>
    <x v="1"/>
    <x v="4"/>
    <s v="Q2"/>
    <n v="350"/>
    <n v="0"/>
    <s v="MBG"/>
    <n v="1"/>
    <n v="0"/>
    <n v="0"/>
    <n v="0"/>
  </r>
  <r>
    <n v="68649099"/>
    <x v="16"/>
    <n v="0"/>
    <d v="2023-04-01T00:00:00"/>
    <x v="252"/>
    <x v="5"/>
    <n v="2.4150494713151304E-3"/>
    <n v="0"/>
    <s v="MG"/>
    <x v="1"/>
    <x v="5"/>
    <s v="Q2"/>
    <n v="210"/>
    <n v="0"/>
    <s v="MG Sticks"/>
    <n v="1"/>
    <n v="0"/>
    <n v="0"/>
    <n v="0"/>
  </r>
  <r>
    <n v="68726715"/>
    <x v="16"/>
    <n v="0"/>
    <d v="2023-04-01T00:00:00"/>
    <x v="34"/>
    <x v="21"/>
    <n v="3.7853440000000004E-3"/>
    <n v="0"/>
    <s v="TA"/>
    <x v="1"/>
    <x v="10"/>
    <s v="Q2"/>
    <n v="255"/>
    <n v="0"/>
    <s v="TALENTI"/>
    <n v="1"/>
    <n v="0"/>
    <n v="0"/>
    <n v="0"/>
  </r>
  <r>
    <n v="67466492"/>
    <x v="15"/>
    <n v="1089"/>
    <d v="2023-04-01T00:00:00"/>
    <x v="8"/>
    <x v="8"/>
    <n v="5.2680000000000001E-3"/>
    <n v="5.7368519999999998"/>
    <s v="PS"/>
    <x v="1"/>
    <x v="3"/>
    <s v="Q2"/>
    <n v="130"/>
    <n v="8.3769230769230774"/>
    <s v="PG"/>
    <n v="1"/>
    <n v="1089"/>
    <n v="5.7368519999999998"/>
    <n v="8.3769230769230774"/>
  </r>
  <r>
    <n v="67466492"/>
    <x v="15"/>
    <n v="581"/>
    <d v="2023-04-01T00:00:00"/>
    <x v="8"/>
    <x v="6"/>
    <n v="5.2680000000000001E-3"/>
    <n v="3.060708"/>
    <s v="PS"/>
    <x v="1"/>
    <x v="3"/>
    <s v="Q2"/>
    <n v="130"/>
    <n v="4.4692307692307693"/>
    <s v="PG"/>
    <n v="1"/>
    <n v="581"/>
    <n v="3.060708"/>
    <n v="4.4692307692307693"/>
  </r>
  <r>
    <n v="67466492"/>
    <x v="15"/>
    <n v="488"/>
    <d v="2023-04-01T00:00:00"/>
    <x v="8"/>
    <x v="10"/>
    <n v="5.2680000000000001E-3"/>
    <n v="2.5707840000000002"/>
    <s v="PS"/>
    <x v="1"/>
    <x v="3"/>
    <s v="Q2"/>
    <n v="130"/>
    <n v="3.7538461538461538"/>
    <s v="PG"/>
    <n v="1"/>
    <n v="488"/>
    <n v="2.5707840000000002"/>
    <n v="3.7538461538461538"/>
  </r>
  <r>
    <n v="67723726"/>
    <x v="15"/>
    <n v="2395"/>
    <d v="2023-04-01T00:00:00"/>
    <x v="109"/>
    <x v="23"/>
    <n v="8.5199999999999998E-3"/>
    <n v="20.4054"/>
    <s v="BR"/>
    <x v="1"/>
    <x v="6"/>
    <s v="Q2"/>
    <n v="154"/>
    <n v="15.551948051948052"/>
    <s v="48oz"/>
    <n v="1"/>
    <n v="2395"/>
    <n v="20.4054"/>
    <n v="15.551948051948052"/>
  </r>
  <r>
    <n v="68634168"/>
    <x v="15"/>
    <n v="0"/>
    <d v="2023-04-01T00:00:00"/>
    <x v="42"/>
    <x v="16"/>
    <n v="8.5170239596469108E-3"/>
    <n v="0"/>
    <s v="BR"/>
    <x v="1"/>
    <x v="6"/>
    <s v="Q2"/>
    <n v="154"/>
    <n v="0"/>
    <s v="48oz"/>
    <n v="1"/>
    <n v="0"/>
    <n v="0"/>
    <n v="0"/>
  </r>
  <r>
    <n v="68689251"/>
    <x v="15"/>
    <n v="1546"/>
    <d v="2023-04-01T00:00:00"/>
    <x v="17"/>
    <x v="20"/>
    <n v="9.5760000000000012E-3"/>
    <n v="14.804496000000002"/>
    <s v="KL"/>
    <x v="1"/>
    <x v="8"/>
    <s v="Q2"/>
    <n v="132"/>
    <n v="11.712121212121213"/>
    <s v="EDF"/>
    <n v="1"/>
    <n v="1546"/>
    <n v="14.804496000000002"/>
    <n v="11.712121212121213"/>
  </r>
  <r>
    <n v="68741742"/>
    <x v="15"/>
    <n v="0"/>
    <d v="2023-04-01T00:00:00"/>
    <x v="25"/>
    <x v="4"/>
    <n v="4.2560000000000002E-3"/>
    <n v="0"/>
    <s v="GH"/>
    <x v="1"/>
    <x v="4"/>
    <s v="Q2"/>
    <n v="154"/>
    <n v="0"/>
    <s v="MBG"/>
    <n v="1"/>
    <n v="0"/>
    <n v="0"/>
    <n v="0"/>
  </r>
  <r>
    <n v="68852591"/>
    <x v="15"/>
    <n v="1503"/>
    <d v="2023-04-01T00:00:00"/>
    <x v="26"/>
    <x v="17"/>
    <n v="8.5199999999999998E-3"/>
    <n v="12.80556"/>
    <s v="KL"/>
    <x v="1"/>
    <x v="8"/>
    <s v="Q2"/>
    <n v="132"/>
    <n v="11.386363636363637"/>
    <s v="EDF"/>
    <n v="1"/>
    <n v="1503"/>
    <n v="12.80556"/>
    <n v="11.386363636363637"/>
  </r>
  <r>
    <n v="69677917"/>
    <x v="15"/>
    <n v="0"/>
    <d v="2023-04-01T00:00:00"/>
    <x v="30"/>
    <x v="29"/>
    <n v="5.2680000000000001E-3"/>
    <n v="0"/>
    <s v="PS"/>
    <x v="1"/>
    <x v="3"/>
    <s v="Q2"/>
    <n v="108"/>
    <n v="0"/>
    <s v="PG"/>
    <n v="1"/>
    <n v="0"/>
    <n v="0"/>
    <n v="0"/>
  </r>
  <r>
    <n v="67309841"/>
    <x v="16"/>
    <n v="1507"/>
    <d v="2023-04-01T00:00:00"/>
    <x v="32"/>
    <x v="13"/>
    <n v="8.5199999999999998E-3"/>
    <n v="12.839639999999999"/>
    <s v="BR"/>
    <x v="1"/>
    <x v="2"/>
    <s v="Q2"/>
    <n v="154"/>
    <n v="9.7857142857142865"/>
    <s v="48oz"/>
    <n v="1"/>
    <n v="1507"/>
    <n v="12.839639999999999"/>
    <n v="9.7857142857142865"/>
  </r>
  <r>
    <n v="67885718"/>
    <x v="16"/>
    <n v="10901"/>
    <d v="2023-04-01T00:00:00"/>
    <x v="48"/>
    <x v="13"/>
    <n v="8.5199999999999998E-3"/>
    <n v="92.876519999999999"/>
    <s v="BR"/>
    <x v="1"/>
    <x v="2"/>
    <s v="Q2"/>
    <n v="154"/>
    <n v="70.785714285714292"/>
    <s v="48oz"/>
    <n v="1"/>
    <n v="10901"/>
    <n v="92.876519999999999"/>
    <n v="70.785714285714292"/>
  </r>
  <r>
    <n v="68821729"/>
    <x v="16"/>
    <n v="192"/>
    <d v="2023-04-01T00:00:00"/>
    <x v="142"/>
    <x v="2"/>
    <n v="8.5199999999999998E-3"/>
    <n v="1.63584"/>
    <s v="BR"/>
    <x v="1"/>
    <x v="2"/>
    <s v="Q2"/>
    <n v="176"/>
    <n v="1.0909090909090908"/>
    <s v="48oz"/>
    <n v="1"/>
    <n v="192"/>
    <n v="1.63584"/>
    <n v="1.0909090909090908"/>
  </r>
  <r>
    <n v="68821729"/>
    <x v="16"/>
    <n v="14501"/>
    <d v="2023-04-01T00:00:00"/>
    <x v="142"/>
    <x v="2"/>
    <n v="8.5199999999999998E-3"/>
    <n v="123.54852"/>
    <s v="BR"/>
    <x v="1"/>
    <x v="2"/>
    <s v="Q2"/>
    <n v="176"/>
    <n v="82.392045454545453"/>
    <s v="48oz"/>
    <n v="1"/>
    <n v="14501"/>
    <n v="123.54852"/>
    <n v="82.392045454545453"/>
  </r>
  <r>
    <n v="68852591"/>
    <x v="16"/>
    <n v="4481"/>
    <d v="2023-04-01T00:00:00"/>
    <x v="26"/>
    <x v="26"/>
    <n v="8.5199999999999998E-3"/>
    <n v="38.17812"/>
    <s v="KL"/>
    <x v="1"/>
    <x v="12"/>
    <s v="Q2"/>
    <n v="132"/>
    <n v="33.946969696969695"/>
    <s v="EDF"/>
    <n v="1"/>
    <n v="4481"/>
    <n v="38.17812"/>
    <n v="33.946969696969695"/>
  </r>
  <r>
    <n v="69572657"/>
    <x v="16"/>
    <n v="11906"/>
    <d v="2023-04-01T00:00:00"/>
    <x v="306"/>
    <x v="5"/>
    <n v="2.1520000000000003E-3"/>
    <n v="25.621712000000002"/>
    <s v="MG"/>
    <x v="1"/>
    <x v="5"/>
    <s v="Q2"/>
    <n v="210"/>
    <n v="56.695238095238096"/>
    <s v="MG Sticks"/>
    <n v="1"/>
    <n v="11906"/>
    <n v="25.621712000000002"/>
    <n v="56.695238095238096"/>
  </r>
  <r>
    <n v="69677917"/>
    <x v="16"/>
    <n v="6010"/>
    <d v="2023-04-01T00:00:00"/>
    <x v="30"/>
    <x v="30"/>
    <n v="5.2680000000000001E-3"/>
    <n v="31.660679999999999"/>
    <s v="PS"/>
    <x v="1"/>
    <x v="14"/>
    <s v="Q2"/>
    <n v="108"/>
    <n v="55.648148148148145"/>
    <s v="PG"/>
    <n v="1"/>
    <n v="6010"/>
    <n v="31.660679999999999"/>
    <n v="55.648148148148145"/>
  </r>
  <r>
    <n v="68188511"/>
    <x v="17"/>
    <n v="29984"/>
    <d v="2023-04-01T00:00:00"/>
    <x v="188"/>
    <x v="35"/>
    <n v="3.7853439999999999E-3"/>
    <n v="113.49975449599999"/>
    <s v="BJ"/>
    <x v="1"/>
    <x v="15"/>
    <s v="Q2"/>
    <n v="240"/>
    <n v="124.93333333333334"/>
    <s v="BJ PTS"/>
    <n v="1"/>
    <n v="29984"/>
    <n v="113.49975449599999"/>
    <n v="124.93333333333334"/>
  </r>
  <r>
    <n v="68188514"/>
    <x v="17"/>
    <n v="33308"/>
    <d v="2023-04-01T00:00:00"/>
    <x v="180"/>
    <x v="35"/>
    <n v="3.7853439999999999E-3"/>
    <n v="126.082237952"/>
    <s v="BJ"/>
    <x v="1"/>
    <x v="15"/>
    <s v="Q2"/>
    <n v="240"/>
    <n v="138.78333333333333"/>
    <s v="BJ PTS"/>
    <n v="1"/>
    <n v="33308"/>
    <n v="126.082237952"/>
    <n v="138.78333333333333"/>
  </r>
  <r>
    <n v="67901593"/>
    <x v="16"/>
    <n v="19915"/>
    <d v="2023-04-01T00:00:00"/>
    <x v="68"/>
    <x v="32"/>
    <n v="8.5199999999999998E-3"/>
    <n v="169.67580000000001"/>
    <s v="BR"/>
    <x v="1"/>
    <x v="2"/>
    <s v="Q2"/>
    <n v="154"/>
    <n v="129.31818181818181"/>
    <s v="48oz"/>
    <n v="1"/>
    <n v="19915"/>
    <n v="169.67580000000001"/>
    <n v="129.31818181818181"/>
  </r>
  <r>
    <n v="68922106"/>
    <x v="16"/>
    <n v="174"/>
    <d v="2023-04-01T00:00:00"/>
    <x v="104"/>
    <x v="22"/>
    <n v="3.552E-3"/>
    <n v="0.61804800000000004"/>
    <s v="TA"/>
    <x v="1"/>
    <x v="10"/>
    <s v="Q2"/>
    <n v="255"/>
    <n v="0.68235294117647061"/>
    <s v="TALENTI"/>
    <n v="1"/>
    <n v="174"/>
    <n v="0.61804800000000004"/>
    <n v="0.68235294117647061"/>
  </r>
  <r>
    <n v="69549035"/>
    <x v="16"/>
    <n v="4845"/>
    <d v="2023-04-01T00:00:00"/>
    <x v="320"/>
    <x v="22"/>
    <n v="3.7839999999999996E-3"/>
    <n v="18.333479999999998"/>
    <s v="TA"/>
    <x v="1"/>
    <x v="10"/>
    <s v="Q2"/>
    <n v="255"/>
    <n v="19"/>
    <s v="TALENTI"/>
    <n v="1"/>
    <n v="4845"/>
    <n v="18.333479999999998"/>
    <n v="19"/>
  </r>
  <r>
    <n v="69621212"/>
    <x v="16"/>
    <n v="4898"/>
    <d v="2023-04-01T00:00:00"/>
    <x v="29"/>
    <x v="28"/>
    <n v="5.2680000000000001E-3"/>
    <n v="25.802664"/>
    <s v="PG"/>
    <x v="1"/>
    <x v="14"/>
    <s v="Q2"/>
    <n v="130"/>
    <n v="37.676923076923075"/>
    <s v="PG"/>
    <n v="1"/>
    <n v="4898"/>
    <n v="25.802664"/>
    <n v="37.676923076923075"/>
  </r>
  <r>
    <n v="69700048"/>
    <x v="15"/>
    <n v="0"/>
    <d v="2023-04-02T00:00:00"/>
    <x v="288"/>
    <x v="24"/>
    <n v="2.3469132803553457E-3"/>
    <n v="0"/>
    <s v="GH"/>
    <x v="1"/>
    <x v="4"/>
    <s v="Q2"/>
    <n v="350"/>
    <n v="0"/>
    <s v="MBG"/>
    <n v="1"/>
    <n v="0"/>
    <n v="0"/>
    <n v="0"/>
  </r>
  <r>
    <n v="68726715"/>
    <x v="16"/>
    <n v="0"/>
    <d v="2023-04-02T00:00:00"/>
    <x v="34"/>
    <x v="21"/>
    <n v="3.7853440000000004E-3"/>
    <n v="0"/>
    <s v="TA"/>
    <x v="1"/>
    <x v="10"/>
    <s v="Q2"/>
    <n v="255"/>
    <n v="0"/>
    <s v="TALENTI"/>
    <n v="1"/>
    <n v="0"/>
    <n v="0"/>
    <n v="0"/>
  </r>
  <r>
    <n v="68922106"/>
    <x v="16"/>
    <n v="0"/>
    <d v="2023-04-02T00:00:00"/>
    <x v="104"/>
    <x v="22"/>
    <n v="3.552E-3"/>
    <n v="0"/>
    <s v="TA"/>
    <x v="1"/>
    <x v="10"/>
    <s v="Q2"/>
    <n v="255"/>
    <n v="0"/>
    <s v="TALENTI"/>
    <n v="1"/>
    <n v="0"/>
    <n v="0"/>
    <n v="0"/>
  </r>
  <r>
    <n v="69568964"/>
    <x v="16"/>
    <n v="0"/>
    <d v="2023-04-02T00:00:00"/>
    <x v="134"/>
    <x v="32"/>
    <n v="8.5199999999999998E-3"/>
    <n v="0"/>
    <s v="BR"/>
    <x v="1"/>
    <x v="2"/>
    <s v="Q2"/>
    <n v="176"/>
    <n v="0"/>
    <s v="48oz"/>
    <n v="1"/>
    <n v="0"/>
    <n v="0"/>
    <n v="0"/>
  </r>
  <r>
    <n v="69572657"/>
    <x v="16"/>
    <n v="0"/>
    <d v="2023-04-02T00:00:00"/>
    <x v="306"/>
    <x v="5"/>
    <n v="2.1520000000000003E-3"/>
    <n v="0"/>
    <s v="MG"/>
    <x v="1"/>
    <x v="5"/>
    <s v="Q2"/>
    <n v="210"/>
    <n v="0"/>
    <s v="MG Sticks"/>
    <n v="1"/>
    <n v="0"/>
    <n v="0"/>
    <n v="0"/>
  </r>
  <r>
    <n v="67278448"/>
    <x v="17"/>
    <n v="34528"/>
    <d v="2023-04-02T00:00:00"/>
    <x v="182"/>
    <x v="33"/>
    <n v="3.7839999999999996E-3"/>
    <n v="130.65395199999998"/>
    <s v="BJ"/>
    <x v="1"/>
    <x v="15"/>
    <s v="Q2"/>
    <n v="240"/>
    <n v="143.86666666666667"/>
    <s v="BJ PTS"/>
    <n v="1"/>
    <n v="34528"/>
    <n v="130.65395199999998"/>
    <n v="143.86666666666667"/>
  </r>
  <r>
    <n v="68188512"/>
    <x v="17"/>
    <n v="9554"/>
    <d v="2023-04-02T00:00:00"/>
    <x v="285"/>
    <x v="35"/>
    <n v="3.7839999999999996E-3"/>
    <n v="36.152335999999998"/>
    <s v="BJ"/>
    <x v="1"/>
    <x v="15"/>
    <s v="Q2"/>
    <n v="240"/>
    <n v="39.80833333333333"/>
    <s v="BJ PTS"/>
    <n v="1"/>
    <n v="9554"/>
    <n v="36.152335999999998"/>
    <n v="39.80833333333333"/>
  </r>
  <r>
    <n v="68575292"/>
    <x v="17"/>
    <n v="10228"/>
    <d v="2023-04-02T00:00:00"/>
    <x v="323"/>
    <x v="35"/>
    <n v="3.7839999999999996E-3"/>
    <n v="38.702751999999997"/>
    <s v="BJ"/>
    <x v="1"/>
    <x v="15"/>
    <s v="Q2"/>
    <n v="240"/>
    <n v="42.616666666666667"/>
    <s v="BJ PTS"/>
    <n v="1"/>
    <n v="10228"/>
    <n v="38.702751999999997"/>
    <n v="42.616666666666667"/>
  </r>
  <r>
    <n v="67466492"/>
    <x v="15"/>
    <n v="4013"/>
    <d v="2023-04-02T00:00:00"/>
    <x v="8"/>
    <x v="8"/>
    <n v="5.2680000000000001E-3"/>
    <n v="21.140484000000001"/>
    <s v="PS"/>
    <x v="1"/>
    <x v="3"/>
    <s v="Q2"/>
    <n v="130"/>
    <n v="30.869230769230768"/>
    <s v="PG"/>
    <n v="1"/>
    <n v="4013"/>
    <n v="21.140484000000001"/>
    <n v="30.869230769230768"/>
  </r>
  <r>
    <n v="67466492"/>
    <x v="15"/>
    <n v="4120"/>
    <d v="2023-04-02T00:00:00"/>
    <x v="8"/>
    <x v="6"/>
    <n v="5.2680000000000001E-3"/>
    <n v="21.704160000000002"/>
    <s v="PS"/>
    <x v="1"/>
    <x v="3"/>
    <s v="Q2"/>
    <n v="130"/>
    <n v="31.692307692307693"/>
    <s v="PG"/>
    <n v="1"/>
    <n v="4120"/>
    <n v="21.704160000000002"/>
    <n v="31.692307692307693"/>
  </r>
  <r>
    <n v="67466492"/>
    <x v="15"/>
    <n v="3232"/>
    <d v="2023-04-02T00:00:00"/>
    <x v="8"/>
    <x v="10"/>
    <n v="5.2680000000000001E-3"/>
    <n v="17.026176"/>
    <s v="PS"/>
    <x v="1"/>
    <x v="3"/>
    <s v="Q2"/>
    <n v="130"/>
    <n v="24.861538461538462"/>
    <s v="PG"/>
    <n v="1"/>
    <n v="3232"/>
    <n v="17.026176"/>
    <n v="24.861538461538462"/>
  </r>
  <r>
    <n v="67723726"/>
    <x v="15"/>
    <n v="14013"/>
    <d v="2023-04-02T00:00:00"/>
    <x v="109"/>
    <x v="23"/>
    <n v="8.5199999999999998E-3"/>
    <n v="119.39076"/>
    <s v="BR"/>
    <x v="1"/>
    <x v="6"/>
    <s v="Q2"/>
    <n v="154"/>
    <n v="90.993506493506487"/>
    <s v="48oz"/>
    <n v="1"/>
    <n v="14013"/>
    <n v="119.39076"/>
    <n v="90.993506493506487"/>
  </r>
  <r>
    <n v="68634168"/>
    <x v="15"/>
    <n v="8543"/>
    <d v="2023-04-02T00:00:00"/>
    <x v="42"/>
    <x v="16"/>
    <n v="8.5170239596469108E-3"/>
    <n v="72.760935687263554"/>
    <s v="BR"/>
    <x v="1"/>
    <x v="6"/>
    <s v="Q2"/>
    <n v="154"/>
    <n v="55.474025974025977"/>
    <s v="48oz"/>
    <n v="1"/>
    <n v="8543"/>
    <n v="72.760935687263554"/>
    <n v="55.474025974025977"/>
  </r>
  <r>
    <n v="68689251"/>
    <x v="15"/>
    <n v="3234"/>
    <d v="2023-04-02T00:00:00"/>
    <x v="17"/>
    <x v="20"/>
    <n v="9.5760000000000012E-3"/>
    <n v="30.968784000000003"/>
    <s v="KL"/>
    <x v="1"/>
    <x v="8"/>
    <s v="Q2"/>
    <n v="132"/>
    <n v="24.5"/>
    <s v="EDF"/>
    <n v="1"/>
    <n v="3234"/>
    <n v="30.968784000000003"/>
    <n v="24.5"/>
  </r>
  <r>
    <n v="68741742"/>
    <x v="15"/>
    <n v="0"/>
    <d v="2023-04-02T00:00:00"/>
    <x v="25"/>
    <x v="4"/>
    <n v="4.2560000000000002E-3"/>
    <n v="0"/>
    <s v="GH"/>
    <x v="1"/>
    <x v="4"/>
    <s v="Q2"/>
    <n v="154"/>
    <n v="0"/>
    <s v="MBG"/>
    <n v="1"/>
    <n v="0"/>
    <n v="0"/>
    <n v="0"/>
  </r>
  <r>
    <n v="68852591"/>
    <x v="15"/>
    <n v="6092"/>
    <d v="2023-04-02T00:00:00"/>
    <x v="26"/>
    <x v="17"/>
    <n v="8.5199999999999998E-3"/>
    <n v="51.903839999999995"/>
    <s v="KL"/>
    <x v="1"/>
    <x v="8"/>
    <s v="Q2"/>
    <n v="132"/>
    <n v="46.151515151515149"/>
    <s v="EDF"/>
    <n v="1"/>
    <n v="6092"/>
    <n v="51.903839999999995"/>
    <n v="46.151515151515149"/>
  </r>
  <r>
    <n v="69677917"/>
    <x v="15"/>
    <n v="0"/>
    <d v="2023-04-02T00:00:00"/>
    <x v="30"/>
    <x v="29"/>
    <n v="5.2680000000000001E-3"/>
    <n v="0"/>
    <s v="PS"/>
    <x v="1"/>
    <x v="3"/>
    <s v="Q2"/>
    <n v="108"/>
    <n v="0"/>
    <s v="PG"/>
    <n v="1"/>
    <n v="0"/>
    <n v="0"/>
    <n v="0"/>
  </r>
  <r>
    <n v="67885718"/>
    <x v="16"/>
    <n v="0"/>
    <d v="2023-04-02T00:00:00"/>
    <x v="48"/>
    <x v="13"/>
    <n v="8.5199999999999998E-3"/>
    <n v="0"/>
    <s v="BR"/>
    <x v="1"/>
    <x v="2"/>
    <s v="Q2"/>
    <n v="154"/>
    <n v="0"/>
    <s v="48oz"/>
    <n v="1"/>
    <n v="0"/>
    <n v="0"/>
    <n v="0"/>
  </r>
  <r>
    <n v="67885718"/>
    <x v="16"/>
    <n v="15554"/>
    <d v="2023-04-02T00:00:00"/>
    <x v="48"/>
    <x v="13"/>
    <n v="8.5199999999999998E-3"/>
    <n v="132.52008000000001"/>
    <s v="BR"/>
    <x v="1"/>
    <x v="2"/>
    <s v="Q2"/>
    <n v="154"/>
    <n v="101"/>
    <s v="48oz"/>
    <n v="1"/>
    <n v="15554"/>
    <n v="132.52008000000001"/>
    <n v="101"/>
  </r>
  <r>
    <n v="67901593"/>
    <x v="16"/>
    <n v="10764"/>
    <d v="2023-04-02T00:00:00"/>
    <x v="68"/>
    <x v="32"/>
    <n v="8.5199999999999998E-3"/>
    <n v="91.709279999999993"/>
    <s v="BR"/>
    <x v="1"/>
    <x v="2"/>
    <s v="Q2"/>
    <n v="154"/>
    <n v="69.896103896103895"/>
    <s v="48oz"/>
    <n v="1"/>
    <n v="10764"/>
    <n v="91.709279999999993"/>
    <n v="69.896103896103895"/>
  </r>
  <r>
    <n v="68634167"/>
    <x v="16"/>
    <n v="0"/>
    <d v="2023-04-02T00:00:00"/>
    <x v="91"/>
    <x v="13"/>
    <n v="8.5199999999999998E-3"/>
    <n v="0"/>
    <s v="BR"/>
    <x v="1"/>
    <x v="2"/>
    <s v="Q2"/>
    <n v="154"/>
    <n v="0"/>
    <s v="48oz"/>
    <n v="1"/>
    <n v="0"/>
    <n v="0"/>
    <n v="0"/>
  </r>
  <r>
    <n v="68649099"/>
    <x v="16"/>
    <n v="11760"/>
    <d v="2023-04-02T00:00:00"/>
    <x v="252"/>
    <x v="5"/>
    <n v="2.4150494713151304E-3"/>
    <n v="28.400981782665934"/>
    <s v="MG"/>
    <x v="1"/>
    <x v="5"/>
    <s v="Q2"/>
    <n v="210"/>
    <n v="56"/>
    <s v="MG Sticks"/>
    <n v="1"/>
    <n v="11760"/>
    <n v="28.400981782665934"/>
    <n v="56"/>
  </r>
  <r>
    <n v="68852591"/>
    <x v="16"/>
    <n v="3378"/>
    <d v="2023-04-02T00:00:00"/>
    <x v="26"/>
    <x v="26"/>
    <n v="8.5199999999999998E-3"/>
    <n v="28.780559999999998"/>
    <s v="KL"/>
    <x v="1"/>
    <x v="12"/>
    <s v="Q2"/>
    <n v="132"/>
    <n v="25.59090909090909"/>
    <s v="EDF"/>
    <n v="1"/>
    <n v="3378"/>
    <n v="28.780559999999998"/>
    <n v="25.59090909090909"/>
  </r>
  <r>
    <n v="69549035"/>
    <x v="16"/>
    <n v="15233"/>
    <d v="2023-04-02T00:00:00"/>
    <x v="320"/>
    <x v="22"/>
    <n v="3.7839999999999996E-3"/>
    <n v="57.641671999999993"/>
    <s v="TA"/>
    <x v="1"/>
    <x v="10"/>
    <s v="Q2"/>
    <n v="255"/>
    <n v="59.737254901960782"/>
    <s v="TALENTI"/>
    <n v="1"/>
    <n v="15233"/>
    <n v="57.641671999999993"/>
    <n v="59.737254901960782"/>
  </r>
  <r>
    <n v="69621212"/>
    <x v="16"/>
    <n v="3456"/>
    <d v="2023-04-02T00:00:00"/>
    <x v="29"/>
    <x v="28"/>
    <n v="5.2680000000000001E-3"/>
    <n v="18.206208"/>
    <s v="PG"/>
    <x v="1"/>
    <x v="14"/>
    <s v="Q2"/>
    <n v="130"/>
    <n v="26.584615384615386"/>
    <s v="PG"/>
    <n v="1"/>
    <n v="3456"/>
    <n v="18.206208"/>
    <n v="26.584615384615386"/>
  </r>
  <r>
    <n v="69677917"/>
    <x v="16"/>
    <n v="6052"/>
    <d v="2023-04-02T00:00:00"/>
    <x v="30"/>
    <x v="30"/>
    <n v="5.2680000000000001E-3"/>
    <n v="31.881936"/>
    <s v="PS"/>
    <x v="1"/>
    <x v="14"/>
    <s v="Q2"/>
    <n v="108"/>
    <n v="56.037037037037038"/>
    <s v="PG"/>
    <n v="1"/>
    <n v="6052"/>
    <n v="31.881936"/>
    <n v="56.037037037037038"/>
  </r>
  <r>
    <n v="69568964"/>
    <x v="16"/>
    <n v="8448"/>
    <d v="2023-04-02T00:00:00"/>
    <x v="134"/>
    <x v="32"/>
    <n v="8.5199999999999998E-3"/>
    <n v="71.976959999999991"/>
    <s v="BR"/>
    <x v="1"/>
    <x v="2"/>
    <s v="Q2"/>
    <n v="176"/>
    <n v="48"/>
    <s v="48oz"/>
    <n v="1"/>
    <n v="8448"/>
    <n v="71.976959999999991"/>
    <n v="48"/>
  </r>
  <r>
    <n v="67465063"/>
    <x v="15"/>
    <n v="0"/>
    <d v="2023-04-03T00:00:00"/>
    <x v="3"/>
    <x v="40"/>
    <n v="5.2680000000000001E-3"/>
    <n v="0"/>
    <s v="PS"/>
    <x v="1"/>
    <x v="3"/>
    <s v="Q2"/>
    <n v="130"/>
    <n v="0"/>
    <s v="PG"/>
    <n v="1"/>
    <n v="0"/>
    <n v="0"/>
    <n v="0"/>
  </r>
  <r>
    <n v="67465063"/>
    <x v="15"/>
    <n v="3102"/>
    <d v="2023-04-03T00:00:00"/>
    <x v="3"/>
    <x v="7"/>
    <n v="5.2680000000000001E-3"/>
    <n v="16.341336000000002"/>
    <s v="PS"/>
    <x v="1"/>
    <x v="3"/>
    <s v="Q2"/>
    <n v="130"/>
    <n v="23.861538461538462"/>
    <s v="PG"/>
    <n v="1"/>
    <n v="3102"/>
    <n v="16.341336000000002"/>
    <n v="23.861538461538462"/>
  </r>
  <r>
    <n v="67466462"/>
    <x v="15"/>
    <n v="0"/>
    <d v="2023-04-03T00:00:00"/>
    <x v="29"/>
    <x v="10"/>
    <n v="5.2680000000000001E-3"/>
    <n v="0"/>
    <s v="PS"/>
    <x v="1"/>
    <x v="3"/>
    <s v="Q2"/>
    <n v="130"/>
    <n v="0"/>
    <s v="PG"/>
    <n v="1"/>
    <n v="0"/>
    <n v="0"/>
    <n v="0"/>
  </r>
  <r>
    <n v="67466492"/>
    <x v="15"/>
    <n v="4093"/>
    <d v="2023-04-03T00:00:00"/>
    <x v="8"/>
    <x v="8"/>
    <n v="5.2680000000000001E-3"/>
    <n v="21.561924000000001"/>
    <s v="PS"/>
    <x v="1"/>
    <x v="3"/>
    <s v="Q2"/>
    <n v="130"/>
    <n v="31.484615384615385"/>
    <s v="PG"/>
    <n v="1"/>
    <n v="4093"/>
    <n v="21.561924000000001"/>
    <n v="31.484615384615385"/>
  </r>
  <r>
    <n v="67466492"/>
    <x v="15"/>
    <n v="4382"/>
    <d v="2023-04-03T00:00:00"/>
    <x v="8"/>
    <x v="6"/>
    <n v="5.2680000000000001E-3"/>
    <n v="23.084375999999999"/>
    <s v="PS"/>
    <x v="1"/>
    <x v="3"/>
    <s v="Q2"/>
    <n v="130"/>
    <n v="33.707692307692305"/>
    <s v="PG"/>
    <n v="1"/>
    <n v="4382"/>
    <n v="23.084375999999999"/>
    <n v="33.707692307692305"/>
  </r>
  <r>
    <n v="67466492"/>
    <x v="15"/>
    <n v="3536"/>
    <d v="2023-04-03T00:00:00"/>
    <x v="8"/>
    <x v="10"/>
    <n v="5.2680000000000001E-3"/>
    <n v="18.627648000000001"/>
    <s v="PS"/>
    <x v="1"/>
    <x v="3"/>
    <s v="Q2"/>
    <n v="130"/>
    <n v="27.2"/>
    <s v="PG"/>
    <n v="1"/>
    <n v="3536"/>
    <n v="18.627648000000001"/>
    <n v="27.2"/>
  </r>
  <r>
    <n v="68188183"/>
    <x v="15"/>
    <n v="1811"/>
    <d v="2023-04-03T00:00:00"/>
    <x v="70"/>
    <x v="9"/>
    <n v="3.8340000000000002E-3"/>
    <n v="6.9433740000000004"/>
    <s v="PS"/>
    <x v="1"/>
    <x v="3"/>
    <s v="Q2"/>
    <n v="130"/>
    <n v="13.930769230769231"/>
    <s v="PG"/>
    <n v="1"/>
    <n v="1811"/>
    <n v="6.9433740000000004"/>
    <n v="13.930769230769231"/>
  </r>
  <r>
    <n v="68300738"/>
    <x v="15"/>
    <n v="5329"/>
    <d v="2023-04-03T00:00:00"/>
    <x v="120"/>
    <x v="19"/>
    <n v="8.4960000000000001E-3"/>
    <n v="45.275184000000003"/>
    <s v="KL"/>
    <x v="1"/>
    <x v="8"/>
    <s v="Q2"/>
    <n v="132"/>
    <n v="40.371212121212125"/>
    <s v="EDF"/>
    <n v="1"/>
    <n v="5329"/>
    <n v="45.275184000000003"/>
    <n v="40.371212121212125"/>
  </r>
  <r>
    <n v="68689251"/>
    <x v="15"/>
    <n v="6221"/>
    <d v="2023-04-03T00:00:00"/>
    <x v="17"/>
    <x v="20"/>
    <n v="9.5760000000000012E-3"/>
    <n v="59.572296000000009"/>
    <s v="KL"/>
    <x v="1"/>
    <x v="8"/>
    <s v="Q2"/>
    <n v="132"/>
    <n v="47.128787878787875"/>
    <s v="EDF"/>
    <n v="1"/>
    <n v="6221"/>
    <n v="59.572296000000009"/>
    <n v="47.128787878787875"/>
  </r>
  <r>
    <n v="68709233"/>
    <x v="15"/>
    <n v="0"/>
    <d v="2023-04-03T00:00:00"/>
    <x v="19"/>
    <x v="19"/>
    <n v="8.4960000000000001E-3"/>
    <n v="0"/>
    <s v="KL"/>
    <x v="1"/>
    <x v="8"/>
    <s v="Q2"/>
    <n v="132"/>
    <n v="0"/>
    <s v="EDF"/>
    <n v="1"/>
    <n v="0"/>
    <n v="0"/>
    <n v="0"/>
  </r>
  <r>
    <n v="68741742"/>
    <x v="15"/>
    <n v="4364"/>
    <d v="2023-04-03T00:00:00"/>
    <x v="25"/>
    <x v="4"/>
    <n v="4.2560000000000002E-3"/>
    <n v="18.573184000000001"/>
    <s v="GH"/>
    <x v="1"/>
    <x v="4"/>
    <s v="Q2"/>
    <n v="154"/>
    <n v="28.337662337662337"/>
    <s v="MBG"/>
    <n v="1"/>
    <n v="4364"/>
    <n v="18.573184000000001"/>
    <n v="28.337662337662337"/>
  </r>
  <r>
    <n v="68852591"/>
    <x v="15"/>
    <n v="8416"/>
    <d v="2023-04-03T00:00:00"/>
    <x v="26"/>
    <x v="17"/>
    <n v="8.5199999999999998E-3"/>
    <n v="71.704319999999996"/>
    <s v="KL"/>
    <x v="1"/>
    <x v="8"/>
    <s v="Q2"/>
    <n v="132"/>
    <n v="63.757575757575758"/>
    <s v="EDF"/>
    <n v="1"/>
    <n v="8416"/>
    <n v="71.704319999999996"/>
    <n v="63.757575757575758"/>
  </r>
  <r>
    <n v="69677917"/>
    <x v="15"/>
    <n v="3032"/>
    <d v="2023-04-03T00:00:00"/>
    <x v="30"/>
    <x v="29"/>
    <n v="5.2680000000000001E-3"/>
    <n v="15.972576"/>
    <s v="PS"/>
    <x v="1"/>
    <x v="3"/>
    <s v="Q2"/>
    <n v="108"/>
    <n v="28.074074074074073"/>
    <s v="PG"/>
    <n v="1"/>
    <n v="3032"/>
    <n v="15.972576"/>
    <n v="28.074074074074073"/>
  </r>
  <r>
    <n v="69700048"/>
    <x v="15"/>
    <n v="3825"/>
    <d v="2023-04-03T00:00:00"/>
    <x v="288"/>
    <x v="24"/>
    <n v="2.3469132803553457E-3"/>
    <n v="8.9769432973591972"/>
    <s v="GH"/>
    <x v="1"/>
    <x v="4"/>
    <s v="Q2"/>
    <n v="350"/>
    <n v="10.928571428571429"/>
    <s v="MBG"/>
    <n v="1"/>
    <n v="3825"/>
    <n v="8.9769432973591972"/>
    <n v="10.928571428571429"/>
  </r>
  <r>
    <n v="68143998"/>
    <x v="16"/>
    <n v="0"/>
    <d v="2023-04-03T00:00:00"/>
    <x v="324"/>
    <x v="2"/>
    <n v="8.5199999999999998E-3"/>
    <n v="0"/>
    <s v="BR"/>
    <x v="1"/>
    <x v="2"/>
    <s v="Q2"/>
    <n v="154"/>
    <n v="0"/>
    <s v="48oz"/>
    <n v="1"/>
    <n v="0"/>
    <n v="0"/>
    <n v="0"/>
  </r>
  <r>
    <n v="68821729"/>
    <x v="16"/>
    <n v="12201"/>
    <d v="2023-04-03T00:00:00"/>
    <x v="142"/>
    <x v="2"/>
    <n v="8.5199999999999998E-3"/>
    <n v="103.95251999999999"/>
    <s v="BR"/>
    <x v="1"/>
    <x v="2"/>
    <s v="Q2"/>
    <n v="176"/>
    <n v="69.32386363636364"/>
    <s v="48oz"/>
    <n v="1"/>
    <n v="12201"/>
    <n v="103.95251999999999"/>
    <n v="69.32386363636364"/>
  </r>
  <r>
    <n v="68896057"/>
    <x v="16"/>
    <n v="0"/>
    <d v="2023-04-03T00:00:00"/>
    <x v="46"/>
    <x v="2"/>
    <n v="8.5199999999999998E-3"/>
    <n v="0"/>
    <s v="BR"/>
    <x v="1"/>
    <x v="2"/>
    <s v="Q2"/>
    <n v="176"/>
    <n v="0"/>
    <s v="48oz"/>
    <n v="1"/>
    <n v="0"/>
    <n v="0"/>
    <n v="0"/>
  </r>
  <r>
    <n v="68922106"/>
    <x v="16"/>
    <n v="10855"/>
    <d v="2023-04-03T00:00:00"/>
    <x v="104"/>
    <x v="22"/>
    <n v="3.552E-3"/>
    <n v="38.556960000000004"/>
    <s v="TA"/>
    <x v="1"/>
    <x v="10"/>
    <s v="Q2"/>
    <n v="255"/>
    <n v="42.568627450980394"/>
    <s v="TALENTI"/>
    <n v="1"/>
    <n v="10855"/>
    <n v="38.556960000000004"/>
    <n v="42.568627450980394"/>
  </r>
  <r>
    <n v="69549035"/>
    <x v="16"/>
    <n v="5100"/>
    <d v="2023-04-03T00:00:00"/>
    <x v="320"/>
    <x v="22"/>
    <n v="3.7839999999999996E-3"/>
    <n v="19.298399999999997"/>
    <s v="TA"/>
    <x v="1"/>
    <x v="10"/>
    <s v="Q2"/>
    <n v="255"/>
    <n v="20"/>
    <s v="TALENTI"/>
    <n v="1"/>
    <n v="5100"/>
    <n v="19.298399999999997"/>
    <n v="20"/>
  </r>
  <r>
    <n v="69572658"/>
    <x v="16"/>
    <n v="0"/>
    <d v="2023-04-03T00:00:00"/>
    <x v="166"/>
    <x v="5"/>
    <n v="2.1520000000000003E-3"/>
    <n v="0"/>
    <s v="MG"/>
    <x v="1"/>
    <x v="5"/>
    <s v="Q2"/>
    <n v="210"/>
    <n v="0"/>
    <s v="MG Sticks"/>
    <n v="1"/>
    <n v="0"/>
    <n v="0"/>
    <n v="0"/>
  </r>
  <r>
    <n v="84141102"/>
    <x v="18"/>
    <n v="22560"/>
    <d v="2023-04-03T00:00:00"/>
    <x v="217"/>
    <x v="38"/>
    <n v="3.7853439999999999E-3"/>
    <n v="85.397360640000002"/>
    <s v="BJ"/>
    <x v="1"/>
    <x v="36"/>
    <s v="Q2"/>
    <n v="240"/>
    <n v="94"/>
    <s v="BJ PTS"/>
    <n v="1"/>
    <n v="22560"/>
    <n v="85.397360640000002"/>
    <n v="94"/>
  </r>
  <r>
    <n v="67278444"/>
    <x v="17"/>
    <n v="37879"/>
    <d v="2023-04-03T00:00:00"/>
    <x v="213"/>
    <x v="38"/>
    <n v="3.7839999999999996E-3"/>
    <n v="143.33413599999997"/>
    <s v="BJ"/>
    <x v="1"/>
    <x v="15"/>
    <s v="Q2"/>
    <n v="240"/>
    <n v="157.82916666666668"/>
    <s v="BJ PTS"/>
    <n v="1"/>
    <n v="37879"/>
    <n v="143.33413599999997"/>
    <n v="157.82916666666668"/>
  </r>
  <r>
    <n v="68188513"/>
    <x v="17"/>
    <n v="10221"/>
    <d v="2023-04-03T00:00:00"/>
    <x v="279"/>
    <x v="38"/>
    <n v="3.7853439999999999E-3"/>
    <n v="38.690001023999997"/>
    <s v="BJ"/>
    <x v="1"/>
    <x v="15"/>
    <s v="Q2"/>
    <n v="240"/>
    <n v="42.587499999999999"/>
    <s v="BJ PTS"/>
    <n v="1"/>
    <n v="10221"/>
    <n v="38.690001023999997"/>
    <n v="42.587499999999999"/>
  </r>
  <r>
    <n v="68631413"/>
    <x v="17"/>
    <n v="10444"/>
    <d v="2023-04-03T00:00:00"/>
    <x v="207"/>
    <x v="33"/>
    <n v="3.7839999999999996E-3"/>
    <n v="39.520095999999995"/>
    <s v="BJ"/>
    <x v="1"/>
    <x v="24"/>
    <s v="Q2"/>
    <n v="240"/>
    <n v="43.516666666666666"/>
    <s v="PTS Exports"/>
    <n v="1"/>
    <n v="10444"/>
    <n v="39.520095999999995"/>
    <n v="43.516666666666666"/>
  </r>
  <r>
    <n v="68631415"/>
    <x v="17"/>
    <n v="9600"/>
    <d v="2023-04-03T00:00:00"/>
    <x v="190"/>
    <x v="35"/>
    <n v="3.7839999999999996E-3"/>
    <n v="36.3264"/>
    <s v="BJ"/>
    <x v="1"/>
    <x v="24"/>
    <s v="Q2"/>
    <n v="240"/>
    <n v="40"/>
    <s v="PTS Exports"/>
    <n v="1"/>
    <n v="9600"/>
    <n v="36.3264"/>
    <n v="40"/>
  </r>
  <r>
    <n v="68631418"/>
    <x v="17"/>
    <n v="8094"/>
    <d v="2023-04-03T00:00:00"/>
    <x v="202"/>
    <x v="33"/>
    <n v="3.7839999999999996E-3"/>
    <n v="30.627695999999997"/>
    <s v="BJ"/>
    <x v="1"/>
    <x v="24"/>
    <s v="Q2"/>
    <n v="240"/>
    <n v="33.725000000000001"/>
    <s v="PTS Exports"/>
    <n v="1"/>
    <n v="8094"/>
    <n v="30.627695999999997"/>
    <n v="33.725000000000001"/>
  </r>
  <r>
    <n v="67885720"/>
    <x v="15"/>
    <n v="9191"/>
    <d v="2023-04-03T00:00:00"/>
    <x v="39"/>
    <x v="12"/>
    <n v="8.5199999999999998E-3"/>
    <n v="78.307320000000004"/>
    <s v="BR"/>
    <x v="1"/>
    <x v="6"/>
    <s v="Q2"/>
    <n v="154"/>
    <n v="59.68181818181818"/>
    <s v="48oz"/>
    <n v="1"/>
    <n v="9191"/>
    <n v="78.307320000000004"/>
    <n v="59.68181818181818"/>
  </r>
  <r>
    <n v="67893540"/>
    <x v="15"/>
    <n v="9815"/>
    <d v="2023-04-03T00:00:00"/>
    <x v="66"/>
    <x v="11"/>
    <n v="8.5199999999999998E-3"/>
    <n v="83.623800000000003"/>
    <s v="BR"/>
    <x v="1"/>
    <x v="6"/>
    <s v="Q2"/>
    <n v="154"/>
    <n v="63.733766233766232"/>
    <s v="48oz"/>
    <n v="1"/>
    <n v="9815"/>
    <n v="83.623800000000003"/>
    <n v="63.733766233766232"/>
  </r>
  <r>
    <n v="68634168"/>
    <x v="15"/>
    <n v="5164"/>
    <d v="2023-04-03T00:00:00"/>
    <x v="42"/>
    <x v="16"/>
    <n v="8.5170239596469108E-3"/>
    <n v="43.981911727616648"/>
    <s v="BR"/>
    <x v="1"/>
    <x v="6"/>
    <s v="Q2"/>
    <n v="154"/>
    <n v="33.532467532467535"/>
    <s v="48oz"/>
    <n v="1"/>
    <n v="5164"/>
    <n v="43.981911727616648"/>
    <n v="33.532467532467535"/>
  </r>
  <r>
    <n v="68737750"/>
    <x v="15"/>
    <n v="2100"/>
    <d v="2023-04-03T00:00:00"/>
    <x v="144"/>
    <x v="23"/>
    <n v="8.5199999999999998E-3"/>
    <n v="17.891999999999999"/>
    <s v="BR"/>
    <x v="1"/>
    <x v="6"/>
    <s v="Q2"/>
    <n v="176"/>
    <n v="11.931818181818182"/>
    <s v="48oz"/>
    <n v="1"/>
    <n v="2100"/>
    <n v="17.891999999999999"/>
    <n v="11.931818181818182"/>
  </r>
  <r>
    <n v="67885718"/>
    <x v="16"/>
    <n v="9876"/>
    <d v="2023-04-03T00:00:00"/>
    <x v="48"/>
    <x v="13"/>
    <n v="8.5199999999999998E-3"/>
    <n v="84.143519999999995"/>
    <s v="BR"/>
    <x v="1"/>
    <x v="2"/>
    <s v="Q2"/>
    <n v="154"/>
    <n v="64.129870129870127"/>
    <s v="48oz"/>
    <n v="1"/>
    <n v="9876"/>
    <n v="84.143519999999995"/>
    <n v="64.129870129870127"/>
  </r>
  <r>
    <n v="67908208"/>
    <x v="16"/>
    <n v="806"/>
    <d v="2023-04-03T00:00:00"/>
    <x v="225"/>
    <x v="25"/>
    <n v="3.9039999999999999E-3"/>
    <n v="3.1466240000000001"/>
    <s v="GH"/>
    <x v="1"/>
    <x v="11"/>
    <s v="Q2"/>
    <n v="154"/>
    <n v="5.2337662337662341"/>
    <s v="MBG"/>
    <n v="1"/>
    <n v="806"/>
    <n v="3.1466240000000001"/>
    <n v="5.2337662337662341"/>
  </r>
  <r>
    <n v="68634167"/>
    <x v="16"/>
    <n v="770"/>
    <d v="2023-04-03T00:00:00"/>
    <x v="91"/>
    <x v="13"/>
    <n v="8.5199999999999998E-3"/>
    <n v="6.5603999999999996"/>
    <s v="BR"/>
    <x v="1"/>
    <x v="2"/>
    <s v="Q2"/>
    <n v="154"/>
    <n v="5"/>
    <s v="48oz"/>
    <n v="1"/>
    <n v="770"/>
    <n v="6.5603999999999996"/>
    <n v="5"/>
  </r>
  <r>
    <n v="68649095"/>
    <x v="16"/>
    <n v="13882"/>
    <d v="2023-04-03T00:00:00"/>
    <x v="286"/>
    <x v="15"/>
    <n v="3.5999999999999999E-3"/>
    <n v="49.975200000000001"/>
    <s v="BJ"/>
    <x v="1"/>
    <x v="19"/>
    <s v="Q2"/>
    <n v="240"/>
    <n v="57.841666666666669"/>
    <s v="TOPPED"/>
    <n v="1"/>
    <n v="13882"/>
    <n v="49.975200000000001"/>
    <n v="57.841666666666669"/>
  </r>
  <r>
    <n v="68649099"/>
    <x v="16"/>
    <n v="5511"/>
    <d v="2023-04-03T00:00:00"/>
    <x v="252"/>
    <x v="5"/>
    <n v="2.4150494713151304E-3"/>
    <n v="13.309337636417684"/>
    <s v="MG"/>
    <x v="1"/>
    <x v="5"/>
    <s v="Q2"/>
    <n v="210"/>
    <n v="26.242857142857144"/>
    <s v="MG Sticks"/>
    <n v="1"/>
    <n v="5511"/>
    <n v="13.309337636417684"/>
    <n v="26.242857142857144"/>
  </r>
  <r>
    <n v="68689253"/>
    <x v="16"/>
    <n v="5690"/>
    <d v="2023-04-03T00:00:00"/>
    <x v="125"/>
    <x v="18"/>
    <n v="6.0035555555555554E-3"/>
    <n v="34.160231111111109"/>
    <s v="KL"/>
    <x v="1"/>
    <x v="9"/>
    <s v="Q2"/>
    <n v="120"/>
    <n v="47.416666666666664"/>
    <s v="ESS"/>
    <n v="1"/>
    <n v="5690"/>
    <n v="34.160231111111109"/>
    <n v="47.416666666666664"/>
  </r>
  <r>
    <n v="68730254"/>
    <x v="16"/>
    <n v="35076"/>
    <d v="2023-04-03T00:00:00"/>
    <x v="128"/>
    <x v="21"/>
    <n v="3.7853440000000004E-3"/>
    <n v="132.77472614400003"/>
    <s v="TA"/>
    <x v="1"/>
    <x v="10"/>
    <s v="Q2"/>
    <n v="255"/>
    <n v="137.5529411764706"/>
    <s v="TALENTI"/>
    <n v="1"/>
    <n v="35076"/>
    <n v="132.77472614400003"/>
    <n v="137.5529411764706"/>
  </r>
  <r>
    <n v="68821729"/>
    <x v="16"/>
    <n v="7328"/>
    <d v="2023-04-03T00:00:00"/>
    <x v="142"/>
    <x v="2"/>
    <n v="8.5199999999999998E-3"/>
    <n v="62.434559999999998"/>
    <s v="BR"/>
    <x v="1"/>
    <x v="2"/>
    <s v="Q2"/>
    <n v="176"/>
    <n v="41.636363636363633"/>
    <s v="48oz"/>
    <n v="1"/>
    <n v="7328"/>
    <n v="62.434559999999998"/>
    <n v="41.636363636363633"/>
  </r>
  <r>
    <n v="68852591"/>
    <x v="16"/>
    <n v="4384"/>
    <d v="2023-04-03T00:00:00"/>
    <x v="26"/>
    <x v="26"/>
    <n v="8.5199999999999998E-3"/>
    <n v="37.351680000000002"/>
    <s v="KL"/>
    <x v="1"/>
    <x v="12"/>
    <s v="Q2"/>
    <n v="132"/>
    <n v="33.212121212121211"/>
    <s v="EDF"/>
    <n v="1"/>
    <n v="4384"/>
    <n v="37.351680000000002"/>
    <n v="33.212121212121211"/>
  </r>
  <r>
    <n v="69555090"/>
    <x v="16"/>
    <n v="10333"/>
    <d v="2023-04-03T00:00:00"/>
    <x v="254"/>
    <x v="14"/>
    <n v="1.98E-3"/>
    <n v="20.459340000000001"/>
    <s v="TA"/>
    <x v="1"/>
    <x v="42"/>
    <s v="Q2"/>
    <n v="176"/>
    <n v="58.710227272727273"/>
    <s v="TAL NV"/>
    <n v="1"/>
    <n v="10333"/>
    <n v="20.459340000000001"/>
    <n v="58.710227272727273"/>
  </r>
  <r>
    <n v="69568964"/>
    <x v="16"/>
    <n v="26745"/>
    <d v="2023-04-03T00:00:00"/>
    <x v="134"/>
    <x v="32"/>
    <n v="8.5199999999999998E-3"/>
    <n v="227.8674"/>
    <s v="BR"/>
    <x v="1"/>
    <x v="2"/>
    <s v="Q2"/>
    <n v="176"/>
    <n v="151.96022727272728"/>
    <s v="48oz"/>
    <n v="1"/>
    <n v="26745"/>
    <n v="227.8674"/>
    <n v="151.96022727272728"/>
  </r>
  <r>
    <n v="69621212"/>
    <x v="16"/>
    <n v="3210"/>
    <d v="2023-04-03T00:00:00"/>
    <x v="29"/>
    <x v="28"/>
    <n v="5.2680000000000001E-3"/>
    <n v="16.91028"/>
    <s v="PG"/>
    <x v="1"/>
    <x v="14"/>
    <s v="Q2"/>
    <n v="130"/>
    <n v="24.692307692307693"/>
    <s v="PG"/>
    <n v="1"/>
    <n v="3210"/>
    <n v="16.91028"/>
    <n v="24.692307692307693"/>
  </r>
  <r>
    <n v="69677917"/>
    <x v="16"/>
    <n v="2319"/>
    <d v="2023-04-03T00:00:00"/>
    <x v="30"/>
    <x v="30"/>
    <n v="5.2680000000000001E-3"/>
    <n v="12.216492000000001"/>
    <s v="PS"/>
    <x v="1"/>
    <x v="14"/>
    <s v="Q2"/>
    <n v="108"/>
    <n v="21.472222222222221"/>
    <s v="PG"/>
    <n v="1"/>
    <n v="2319"/>
    <n v="12.216492000000001"/>
    <n v="21.472222222222221"/>
  </r>
  <r>
    <n v="69717802"/>
    <x v="16"/>
    <n v="8553"/>
    <d v="2023-04-03T00:00:00"/>
    <x v="31"/>
    <x v="31"/>
    <n v="4.2560000000000002E-3"/>
    <n v="36.401568000000005"/>
    <s v="BR"/>
    <x v="1"/>
    <x v="5"/>
    <s v="Q2"/>
    <n v="143"/>
    <n v="59.811188811188813"/>
    <s v="MG Sticks"/>
    <n v="1"/>
    <n v="8553"/>
    <n v="36.401568000000005"/>
    <n v="59.811188811188813"/>
  </r>
  <r>
    <n v="68659723"/>
    <x v="16"/>
    <n v="1899"/>
    <d v="2023-04-03T00:00:00"/>
    <x v="325"/>
    <x v="22"/>
    <n v="3.7853439999999999E-3"/>
    <n v="7.1883682559999995"/>
    <s v="TA"/>
    <x v="1"/>
    <x v="10"/>
    <s v="Q2"/>
    <n v="255"/>
    <n v="7.447058823529412"/>
    <s v="TALENTI"/>
    <n v="1"/>
    <n v="1899"/>
    <n v="7.1883682559999995"/>
    <n v="7.447058823529412"/>
  </r>
  <r>
    <n v="67466492"/>
    <x v="15"/>
    <n v="2270"/>
    <d v="2023-04-04T00:00:00"/>
    <x v="8"/>
    <x v="10"/>
    <n v="5.2680000000000001E-3"/>
    <n v="11.958360000000001"/>
    <s v="PS"/>
    <x v="1"/>
    <x v="3"/>
    <s v="Q2"/>
    <n v="130"/>
    <n v="17.46153846153846"/>
    <s v="PG"/>
    <n v="1"/>
    <n v="2270"/>
    <n v="11.958360000000001"/>
    <n v="17.46153846153846"/>
  </r>
  <r>
    <n v="67893539"/>
    <x v="15"/>
    <n v="0"/>
    <d v="2023-04-04T00:00:00"/>
    <x v="12"/>
    <x v="16"/>
    <n v="8.5199999999999998E-3"/>
    <n v="0"/>
    <s v="BR"/>
    <x v="1"/>
    <x v="6"/>
    <s v="Q2"/>
    <n v="154"/>
    <n v="0"/>
    <s v="48oz"/>
    <n v="1"/>
    <n v="0"/>
    <n v="0"/>
    <n v="0"/>
  </r>
  <r>
    <n v="67893540"/>
    <x v="15"/>
    <n v="0"/>
    <d v="2023-04-04T00:00:00"/>
    <x v="66"/>
    <x v="11"/>
    <n v="8.5199999999999998E-3"/>
    <n v="0"/>
    <s v="BR"/>
    <x v="1"/>
    <x v="6"/>
    <s v="Q2"/>
    <n v="154"/>
    <n v="0"/>
    <s v="48oz"/>
    <n v="1"/>
    <n v="0"/>
    <n v="0"/>
    <n v="0"/>
  </r>
  <r>
    <n v="68300738"/>
    <x v="15"/>
    <n v="5189"/>
    <d v="2023-04-04T00:00:00"/>
    <x v="120"/>
    <x v="19"/>
    <n v="8.4960000000000001E-3"/>
    <n v="44.085743999999998"/>
    <s v="KL"/>
    <x v="1"/>
    <x v="8"/>
    <s v="Q2"/>
    <n v="132"/>
    <n v="39.310606060606062"/>
    <s v="EDF"/>
    <n v="1"/>
    <n v="5189"/>
    <n v="44.085743999999998"/>
    <n v="39.310606060606062"/>
  </r>
  <r>
    <n v="68709233"/>
    <x v="15"/>
    <n v="0"/>
    <d v="2023-04-04T00:00:00"/>
    <x v="19"/>
    <x v="19"/>
    <n v="8.4960000000000001E-3"/>
    <n v="0"/>
    <s v="KL"/>
    <x v="1"/>
    <x v="8"/>
    <s v="Q2"/>
    <n v="132"/>
    <n v="0"/>
    <s v="EDF"/>
    <n v="1"/>
    <n v="0"/>
    <n v="0"/>
    <n v="0"/>
  </r>
  <r>
    <n v="69549032"/>
    <x v="15"/>
    <n v="0"/>
    <d v="2023-04-04T00:00:00"/>
    <x v="79"/>
    <x v="36"/>
    <n v="2.3469132803553457E-3"/>
    <n v="0"/>
    <s v="GH"/>
    <x v="1"/>
    <x v="28"/>
    <s v="Q2"/>
    <n v="350"/>
    <n v="0"/>
    <s v="EFW"/>
    <n v="1"/>
    <n v="0"/>
    <n v="0"/>
    <n v="0"/>
  </r>
  <r>
    <n v="69568828"/>
    <x v="15"/>
    <n v="0"/>
    <d v="2023-04-04T00:00:00"/>
    <x v="12"/>
    <x v="16"/>
    <n v="8.5199999999999998E-3"/>
    <n v="0"/>
    <s v="BR"/>
    <x v="1"/>
    <x v="6"/>
    <s v="Q2"/>
    <n v="176"/>
    <n v="0"/>
    <s v="48oz"/>
    <n v="1"/>
    <n v="0"/>
    <n v="0"/>
    <n v="0"/>
  </r>
  <r>
    <n v="69700048"/>
    <x v="15"/>
    <n v="5083"/>
    <d v="2023-04-04T00:00:00"/>
    <x v="288"/>
    <x v="24"/>
    <n v="2.3469132803553457E-3"/>
    <n v="11.929360204046223"/>
    <s v="GH"/>
    <x v="1"/>
    <x v="4"/>
    <s v="Q2"/>
    <n v="350"/>
    <n v="14.522857142857143"/>
    <s v="MBG"/>
    <n v="1"/>
    <n v="5083"/>
    <n v="11.929360204046223"/>
    <n v="14.522857142857143"/>
  </r>
  <r>
    <n v="67885718"/>
    <x v="16"/>
    <n v="0"/>
    <d v="2023-04-04T00:00:00"/>
    <x v="48"/>
    <x v="13"/>
    <n v="8.5199999999999998E-3"/>
    <n v="0"/>
    <s v="BR"/>
    <x v="1"/>
    <x v="2"/>
    <s v="Q2"/>
    <n v="154"/>
    <n v="0"/>
    <s v="48oz"/>
    <n v="1"/>
    <n v="0"/>
    <n v="0"/>
    <n v="0"/>
  </r>
  <r>
    <n v="67885719"/>
    <x v="16"/>
    <n v="0"/>
    <d v="2023-04-04T00:00:00"/>
    <x v="11"/>
    <x v="32"/>
    <n v="8.5199999999999998E-3"/>
    <n v="0"/>
    <s v="BR"/>
    <x v="1"/>
    <x v="2"/>
    <s v="Q2"/>
    <n v="154"/>
    <n v="0"/>
    <s v="48oz"/>
    <n v="1"/>
    <n v="0"/>
    <n v="0"/>
    <n v="0"/>
  </r>
  <r>
    <n v="68143998"/>
    <x v="16"/>
    <n v="3433"/>
    <d v="2023-04-04T00:00:00"/>
    <x v="324"/>
    <x v="2"/>
    <n v="8.5199999999999998E-3"/>
    <n v="29.24916"/>
    <s v="BR"/>
    <x v="1"/>
    <x v="2"/>
    <s v="Q2"/>
    <n v="154"/>
    <n v="22.292207792207794"/>
    <s v="48oz"/>
    <n v="1"/>
    <n v="3433"/>
    <n v="29.24916"/>
    <n v="22.292207792207794"/>
  </r>
  <r>
    <n v="68649099"/>
    <x v="16"/>
    <n v="0"/>
    <d v="2023-04-04T00:00:00"/>
    <x v="252"/>
    <x v="5"/>
    <n v="2.4150494713151304E-3"/>
    <n v="0"/>
    <s v="MG"/>
    <x v="1"/>
    <x v="5"/>
    <s v="Q2"/>
    <n v="210"/>
    <n v="0"/>
    <s v="MG Sticks"/>
    <n v="1"/>
    <n v="0"/>
    <n v="0"/>
    <n v="0"/>
  </r>
  <r>
    <n v="84137725"/>
    <x v="18"/>
    <n v="46472"/>
    <d v="2023-04-04T00:00:00"/>
    <x v="132"/>
    <x v="33"/>
    <n v="3.7853439999999999E-3"/>
    <n v="175.91250636800001"/>
    <s v="BJ"/>
    <x v="1"/>
    <x v="36"/>
    <s v="Q2"/>
    <n v="240"/>
    <n v="193.63333333333333"/>
    <s v="BJ PTS"/>
    <n v="1"/>
    <n v="46472"/>
    <n v="175.91250636800001"/>
    <n v="193.63333333333333"/>
  </r>
  <r>
    <n v="68631416"/>
    <x v="17"/>
    <n v="8157"/>
    <d v="2023-04-04T00:00:00"/>
    <x v="191"/>
    <x v="38"/>
    <n v="3.7839999999999996E-3"/>
    <n v="30.866087999999998"/>
    <s v="BJ"/>
    <x v="1"/>
    <x v="24"/>
    <s v="Q2"/>
    <n v="240"/>
    <n v="33.987499999999997"/>
    <s v="PTS Exports"/>
    <n v="1"/>
    <n v="8157"/>
    <n v="30.866087999999998"/>
    <n v="33.987499999999997"/>
  </r>
  <r>
    <n v="68938274"/>
    <x v="17"/>
    <n v="18311"/>
    <d v="2023-04-04T00:00:00"/>
    <x v="194"/>
    <x v="35"/>
    <n v="3.7839999999999996E-3"/>
    <n v="69.288823999999991"/>
    <s v="BJ"/>
    <x v="1"/>
    <x v="15"/>
    <s v="Q2"/>
    <n v="240"/>
    <n v="76.295833333333334"/>
    <s v="BJ PTS"/>
    <n v="1"/>
    <n v="18311"/>
    <n v="69.288823999999991"/>
    <n v="76.295833333333334"/>
  </r>
  <r>
    <n v="69565376"/>
    <x v="17"/>
    <n v="9511"/>
    <d v="2023-04-04T00:00:00"/>
    <x v="206"/>
    <x v="35"/>
    <n v="3.7839999999999996E-3"/>
    <n v="35.989623999999999"/>
    <s v="BJ"/>
    <x v="1"/>
    <x v="15"/>
    <s v="Q2"/>
    <n v="240"/>
    <n v="39.62916666666667"/>
    <s v="BJ PTS"/>
    <n v="1"/>
    <n v="9511"/>
    <n v="35.989623999999999"/>
    <n v="39.62916666666667"/>
  </r>
  <r>
    <n v="67465063"/>
    <x v="15"/>
    <n v="0"/>
    <d v="2023-04-04T00:00:00"/>
    <x v="3"/>
    <x v="40"/>
    <n v="5.2680000000000001E-3"/>
    <n v="0"/>
    <s v="PS"/>
    <x v="1"/>
    <x v="3"/>
    <s v="Q2"/>
    <n v="130"/>
    <n v="0"/>
    <s v="PG"/>
    <n v="1"/>
    <n v="0"/>
    <n v="0"/>
    <n v="0"/>
  </r>
  <r>
    <n v="67465063"/>
    <x v="15"/>
    <n v="3900"/>
    <d v="2023-04-04T00:00:00"/>
    <x v="3"/>
    <x v="7"/>
    <n v="5.2680000000000001E-3"/>
    <n v="20.545200000000001"/>
    <s v="PS"/>
    <x v="1"/>
    <x v="3"/>
    <s v="Q2"/>
    <n v="130"/>
    <n v="30"/>
    <s v="PG"/>
    <n v="1"/>
    <n v="3900"/>
    <n v="20.545200000000001"/>
    <n v="30"/>
  </r>
  <r>
    <n v="67466462"/>
    <x v="15"/>
    <n v="130"/>
    <d v="2023-04-04T00:00:00"/>
    <x v="29"/>
    <x v="10"/>
    <n v="5.2680000000000001E-3"/>
    <n v="0.68484"/>
    <s v="PS"/>
    <x v="1"/>
    <x v="3"/>
    <s v="Q2"/>
    <n v="130"/>
    <n v="1"/>
    <s v="PG"/>
    <n v="1"/>
    <n v="130"/>
    <n v="0.68484"/>
    <n v="1"/>
  </r>
  <r>
    <n v="67466492"/>
    <x v="15"/>
    <n v="2679"/>
    <d v="2023-04-04T00:00:00"/>
    <x v="8"/>
    <x v="6"/>
    <n v="5.2680000000000001E-3"/>
    <n v="14.112972000000001"/>
    <s v="PS"/>
    <x v="1"/>
    <x v="3"/>
    <s v="Q2"/>
    <n v="130"/>
    <n v="20.607692307692307"/>
    <s v="PG"/>
    <n v="1"/>
    <n v="2679"/>
    <n v="14.112972000000001"/>
    <n v="20.607692307692307"/>
  </r>
  <r>
    <n v="67466492"/>
    <x v="15"/>
    <n v="3024"/>
    <d v="2023-04-04T00:00:00"/>
    <x v="8"/>
    <x v="8"/>
    <n v="5.2680000000000001E-3"/>
    <n v="15.930432"/>
    <s v="PS"/>
    <x v="1"/>
    <x v="3"/>
    <s v="Q2"/>
    <n v="130"/>
    <n v="23.261538461538461"/>
    <s v="PG"/>
    <n v="1"/>
    <n v="3024"/>
    <n v="15.930432"/>
    <n v="23.261538461538461"/>
  </r>
  <r>
    <n v="67885724"/>
    <x v="15"/>
    <n v="8479"/>
    <d v="2023-04-04T00:00:00"/>
    <x v="49"/>
    <x v="12"/>
    <n v="8.5199999999999998E-3"/>
    <n v="72.241079999999997"/>
    <s v="BR"/>
    <x v="1"/>
    <x v="6"/>
    <s v="Q2"/>
    <n v="154"/>
    <n v="55.058441558441558"/>
    <s v="48oz"/>
    <n v="1"/>
    <n v="8479"/>
    <n v="72.241079999999997"/>
    <n v="55.058441558441558"/>
  </r>
  <r>
    <n v="67893540"/>
    <x v="15"/>
    <n v="3377"/>
    <d v="2023-04-04T00:00:00"/>
    <x v="66"/>
    <x v="11"/>
    <n v="8.5199999999999998E-3"/>
    <n v="28.772040000000001"/>
    <s v="BR"/>
    <x v="1"/>
    <x v="6"/>
    <s v="Q2"/>
    <n v="154"/>
    <n v="21.928571428571427"/>
    <s v="48oz"/>
    <n v="1"/>
    <n v="3377"/>
    <n v="28.772040000000001"/>
    <n v="21.928571428571427"/>
  </r>
  <r>
    <n v="68188183"/>
    <x v="15"/>
    <n v="2626"/>
    <d v="2023-04-04T00:00:00"/>
    <x v="70"/>
    <x v="9"/>
    <n v="3.8340000000000002E-3"/>
    <n v="10.068084000000001"/>
    <s v="PS"/>
    <x v="1"/>
    <x v="3"/>
    <s v="Q2"/>
    <n v="130"/>
    <n v="20.2"/>
    <s v="PG"/>
    <n v="1"/>
    <n v="2626"/>
    <n v="10.068084000000001"/>
    <n v="20.2"/>
  </r>
  <r>
    <n v="68634168"/>
    <x v="15"/>
    <n v="4658"/>
    <d v="2023-04-04T00:00:00"/>
    <x v="42"/>
    <x v="16"/>
    <n v="8.5170239596469108E-3"/>
    <n v="39.672297604035307"/>
    <s v="BR"/>
    <x v="1"/>
    <x v="6"/>
    <s v="Q2"/>
    <n v="154"/>
    <n v="30.246753246753247"/>
    <s v="48oz"/>
    <n v="1"/>
    <n v="4658"/>
    <n v="39.672297604035307"/>
    <n v="30.246753246753247"/>
  </r>
  <r>
    <n v="68689251"/>
    <x v="15"/>
    <n v="2560"/>
    <d v="2023-04-04T00:00:00"/>
    <x v="17"/>
    <x v="20"/>
    <n v="9.5760000000000012E-3"/>
    <n v="24.514560000000003"/>
    <s v="KL"/>
    <x v="1"/>
    <x v="8"/>
    <s v="Q2"/>
    <n v="132"/>
    <n v="19.393939393939394"/>
    <s v="EDF"/>
    <n v="1"/>
    <n v="2560"/>
    <n v="24.514560000000003"/>
    <n v="19.393939393939394"/>
  </r>
  <r>
    <n v="68737750"/>
    <x v="15"/>
    <n v="9409"/>
    <d v="2023-04-04T00:00:00"/>
    <x v="144"/>
    <x v="23"/>
    <n v="8.5199999999999998E-3"/>
    <n v="80.164680000000004"/>
    <s v="BR"/>
    <x v="1"/>
    <x v="6"/>
    <s v="Q2"/>
    <n v="176"/>
    <n v="53.460227272727273"/>
    <s v="48oz"/>
    <n v="1"/>
    <n v="9409"/>
    <n v="80.164680000000004"/>
    <n v="53.460227272727273"/>
  </r>
  <r>
    <n v="68741742"/>
    <x v="15"/>
    <n v="4588"/>
    <d v="2023-04-04T00:00:00"/>
    <x v="25"/>
    <x v="4"/>
    <n v="4.2560000000000002E-3"/>
    <n v="19.526528000000003"/>
    <s v="GH"/>
    <x v="1"/>
    <x v="4"/>
    <s v="Q2"/>
    <n v="154"/>
    <n v="29.792207792207794"/>
    <s v="MBG"/>
    <n v="1"/>
    <n v="4588"/>
    <n v="19.526528000000003"/>
    <n v="29.792207792207794"/>
  </r>
  <r>
    <n v="68852591"/>
    <x v="15"/>
    <n v="6987"/>
    <d v="2023-04-04T00:00:00"/>
    <x v="26"/>
    <x v="17"/>
    <n v="8.5199999999999998E-3"/>
    <n v="59.529240000000001"/>
    <s v="KL"/>
    <x v="1"/>
    <x v="8"/>
    <s v="Q2"/>
    <n v="132"/>
    <n v="52.93181818181818"/>
    <s v="EDF"/>
    <n v="1"/>
    <n v="6987"/>
    <n v="59.529240000000001"/>
    <n v="52.93181818181818"/>
  </r>
  <r>
    <n v="69677917"/>
    <x v="15"/>
    <n v="2340"/>
    <d v="2023-04-04T00:00:00"/>
    <x v="30"/>
    <x v="29"/>
    <n v="5.2680000000000001E-3"/>
    <n v="12.327120000000001"/>
    <s v="PS"/>
    <x v="1"/>
    <x v="3"/>
    <s v="Q2"/>
    <n v="108"/>
    <n v="21.666666666666668"/>
    <s v="PG"/>
    <n v="1"/>
    <n v="2340"/>
    <n v="12.327120000000001"/>
    <n v="21.666666666666668"/>
  </r>
  <r>
    <n v="68634167"/>
    <x v="16"/>
    <n v="15400"/>
    <d v="2023-04-04T00:00:00"/>
    <x v="91"/>
    <x v="13"/>
    <n v="8.5199999999999998E-3"/>
    <n v="131.208"/>
    <s v="BR"/>
    <x v="1"/>
    <x v="2"/>
    <s v="Q2"/>
    <n v="154"/>
    <n v="100"/>
    <s v="48oz"/>
    <n v="1"/>
    <n v="15400"/>
    <n v="131.208"/>
    <n v="100"/>
  </r>
  <r>
    <n v="68659723"/>
    <x v="16"/>
    <n v="14981"/>
    <d v="2023-04-04T00:00:00"/>
    <x v="325"/>
    <x v="22"/>
    <n v="3.7853439999999999E-3"/>
    <n v="56.708238463999997"/>
    <s v="TA"/>
    <x v="1"/>
    <x v="10"/>
    <s v="Q2"/>
    <n v="255"/>
    <n v="58.749019607843138"/>
    <s v="TALENTI"/>
    <n v="1"/>
    <n v="14981"/>
    <n v="56.708238463999997"/>
    <n v="58.749019607843138"/>
  </r>
  <r>
    <n v="68689253"/>
    <x v="16"/>
    <n v="5320"/>
    <d v="2023-04-04T00:00:00"/>
    <x v="125"/>
    <x v="18"/>
    <n v="6.0035555555555554E-3"/>
    <n v="31.938915555555553"/>
    <s v="KL"/>
    <x v="1"/>
    <x v="9"/>
    <s v="Q2"/>
    <n v="120"/>
    <n v="44.333333333333336"/>
    <s v="ESS"/>
    <n v="1"/>
    <n v="5320"/>
    <n v="31.938915555555553"/>
    <n v="44.333333333333336"/>
  </r>
  <r>
    <n v="68730254"/>
    <x v="16"/>
    <n v="32822"/>
    <d v="2023-04-04T00:00:00"/>
    <x v="128"/>
    <x v="21"/>
    <n v="3.7853440000000004E-3"/>
    <n v="124.24256076800002"/>
    <s v="TA"/>
    <x v="1"/>
    <x v="10"/>
    <s v="Q2"/>
    <n v="255"/>
    <n v="128.71372549019608"/>
    <s v="TALENTI"/>
    <n v="1"/>
    <n v="32822"/>
    <n v="124.24256076800002"/>
    <n v="128.71372549019608"/>
  </r>
  <r>
    <n v="68852591"/>
    <x v="16"/>
    <n v="4659"/>
    <d v="2023-04-04T00:00:00"/>
    <x v="26"/>
    <x v="26"/>
    <n v="8.5199999999999998E-3"/>
    <n v="39.694679999999998"/>
    <s v="KL"/>
    <x v="1"/>
    <x v="12"/>
    <s v="Q2"/>
    <n v="132"/>
    <n v="35.295454545454547"/>
    <s v="EDF"/>
    <n v="1"/>
    <n v="4659"/>
    <n v="39.694679999999998"/>
    <n v="35.295454545454547"/>
  </r>
  <r>
    <n v="68896057"/>
    <x v="16"/>
    <n v="7744"/>
    <d v="2023-04-04T00:00:00"/>
    <x v="46"/>
    <x v="2"/>
    <n v="8.5199999999999998E-3"/>
    <n v="65.978880000000004"/>
    <s v="BR"/>
    <x v="1"/>
    <x v="2"/>
    <s v="Q2"/>
    <n v="176"/>
    <n v="44"/>
    <s v="48oz"/>
    <n v="1"/>
    <n v="7744"/>
    <n v="65.978880000000004"/>
    <n v="44"/>
  </r>
  <r>
    <n v="69555090"/>
    <x v="16"/>
    <n v="12105"/>
    <d v="2023-04-04T00:00:00"/>
    <x v="254"/>
    <x v="14"/>
    <n v="1.98E-3"/>
    <n v="23.9679"/>
    <s v="TA"/>
    <x v="1"/>
    <x v="42"/>
    <s v="Q2"/>
    <n v="176"/>
    <n v="68.778409090909093"/>
    <s v="TAL NV"/>
    <n v="1"/>
    <n v="12105"/>
    <n v="23.9679"/>
    <n v="68.778409090909093"/>
  </r>
  <r>
    <n v="69572658"/>
    <x v="16"/>
    <n v="1496"/>
    <d v="2023-04-04T00:00:00"/>
    <x v="166"/>
    <x v="5"/>
    <n v="2.1520000000000003E-3"/>
    <n v="3.2193920000000005"/>
    <s v="MG"/>
    <x v="1"/>
    <x v="5"/>
    <s v="Q2"/>
    <n v="210"/>
    <n v="7.1238095238095234"/>
    <s v="MG Sticks"/>
    <n v="1"/>
    <n v="1496"/>
    <n v="3.2193920000000005"/>
    <n v="7.1238095238095234"/>
  </r>
  <r>
    <n v="69621212"/>
    <x v="16"/>
    <n v="4188"/>
    <d v="2023-04-04T00:00:00"/>
    <x v="29"/>
    <x v="28"/>
    <n v="5.2680000000000001E-3"/>
    <n v="22.062384000000002"/>
    <s v="PG"/>
    <x v="1"/>
    <x v="14"/>
    <s v="Q2"/>
    <n v="130"/>
    <n v="32.215384615384615"/>
    <s v="PG"/>
    <n v="1"/>
    <n v="4188"/>
    <n v="22.062384000000002"/>
    <n v="32.215384615384615"/>
  </r>
  <r>
    <n v="69677917"/>
    <x v="16"/>
    <n v="4243"/>
    <d v="2023-04-04T00:00:00"/>
    <x v="30"/>
    <x v="30"/>
    <n v="5.2680000000000001E-3"/>
    <n v="22.352124"/>
    <s v="PS"/>
    <x v="1"/>
    <x v="14"/>
    <s v="Q2"/>
    <n v="108"/>
    <n v="39.287037037037038"/>
    <s v="PG"/>
    <n v="1"/>
    <n v="4243"/>
    <n v="22.352124"/>
    <n v="39.287037037037038"/>
  </r>
  <r>
    <n v="69717802"/>
    <x v="16"/>
    <n v="8580"/>
    <d v="2023-04-04T00:00:00"/>
    <x v="31"/>
    <x v="31"/>
    <n v="4.2560000000000002E-3"/>
    <n v="36.516480000000001"/>
    <s v="BR"/>
    <x v="1"/>
    <x v="5"/>
    <s v="Q2"/>
    <n v="143"/>
    <n v="60"/>
    <s v="MG Sticks"/>
    <n v="1"/>
    <n v="8580"/>
    <n v="36.516480000000001"/>
    <n v="60"/>
  </r>
  <r>
    <n v="67526826"/>
    <x v="17"/>
    <n v="28240"/>
    <d v="2023-04-04T00:00:00"/>
    <x v="187"/>
    <x v="35"/>
    <n v="3.7839999999999996E-3"/>
    <n v="106.86015999999999"/>
    <s v="BJ"/>
    <x v="1"/>
    <x v="15"/>
    <s v="Q2"/>
    <n v="240"/>
    <n v="117.66666666666667"/>
    <s v="BJ PTS"/>
    <n v="1"/>
    <n v="28240"/>
    <n v="106.86015999999999"/>
    <n v="117.66666666666667"/>
  </r>
  <r>
    <n v="67905834"/>
    <x v="17"/>
    <n v="24843"/>
    <d v="2023-04-04T00:00:00"/>
    <x v="201"/>
    <x v="38"/>
    <n v="3.7839999999999996E-3"/>
    <n v="94.005911999999995"/>
    <s v="BJ"/>
    <x v="1"/>
    <x v="15"/>
    <s v="Q2"/>
    <n v="240"/>
    <n v="103.5125"/>
    <s v="BJ PTS"/>
    <n v="1"/>
    <n v="24843"/>
    <n v="94.005911999999995"/>
    <n v="103.5125"/>
  </r>
  <r>
    <n v="67908208"/>
    <x v="16"/>
    <n v="924"/>
    <d v="2023-04-04T00:00:00"/>
    <x v="225"/>
    <x v="25"/>
    <n v="3.9039999999999999E-3"/>
    <n v="3.6072959999999998"/>
    <s v="GH"/>
    <x v="1"/>
    <x v="11"/>
    <s v="Q2"/>
    <n v="154"/>
    <n v="6"/>
    <s v="MBG"/>
    <n v="1"/>
    <n v="924"/>
    <n v="3.6072959999999998"/>
    <n v="6"/>
  </r>
  <r>
    <n v="68300738"/>
    <x v="15"/>
    <n v="4607"/>
    <d v="2023-04-05T00:00:00"/>
    <x v="120"/>
    <x v="19"/>
    <n v="8.4960000000000001E-3"/>
    <n v="39.141072000000001"/>
    <s v="KL"/>
    <x v="1"/>
    <x v="8"/>
    <s v="Q2"/>
    <n v="132"/>
    <n v="34.901515151515149"/>
    <s v="EDF"/>
    <n v="1"/>
    <n v="4607"/>
    <n v="39.141072000000001"/>
    <n v="34.901515151515149"/>
  </r>
  <r>
    <n v="68689251"/>
    <x v="15"/>
    <n v="4398"/>
    <d v="2023-04-05T00:00:00"/>
    <x v="17"/>
    <x v="20"/>
    <n v="9.5760000000000012E-3"/>
    <n v="42.115248000000008"/>
    <s v="KL"/>
    <x v="1"/>
    <x v="8"/>
    <s v="Q2"/>
    <n v="132"/>
    <n v="33.31818181818182"/>
    <s v="EDF"/>
    <n v="1"/>
    <n v="4398"/>
    <n v="42.115248000000008"/>
    <n v="33.31818181818182"/>
  </r>
  <r>
    <n v="68709233"/>
    <x v="15"/>
    <n v="0"/>
    <d v="2023-04-05T00:00:00"/>
    <x v="19"/>
    <x v="19"/>
    <n v="8.4960000000000001E-3"/>
    <n v="0"/>
    <s v="KL"/>
    <x v="1"/>
    <x v="8"/>
    <s v="Q2"/>
    <n v="132"/>
    <n v="0"/>
    <s v="EDF"/>
    <n v="1"/>
    <n v="0"/>
    <n v="0"/>
    <n v="0"/>
  </r>
  <r>
    <n v="68741745"/>
    <x v="15"/>
    <n v="1066"/>
    <d v="2023-04-05T00:00:00"/>
    <x v="281"/>
    <x v="24"/>
    <n v="2.8319999999999999E-3"/>
    <n v="3.0189119999999998"/>
    <s v="GH"/>
    <x v="1"/>
    <x v="4"/>
    <s v="Q2"/>
    <n v="315"/>
    <n v="3.3841269841269841"/>
    <s v="MBG"/>
    <n v="1"/>
    <n v="1066"/>
    <n v="3.0189119999999998"/>
    <n v="3.3841269841269841"/>
  </r>
  <r>
    <n v="69549032"/>
    <x v="15"/>
    <n v="1066"/>
    <d v="2023-04-05T00:00:00"/>
    <x v="79"/>
    <x v="36"/>
    <n v="2.3469132803553457E-3"/>
    <n v="2.5018095568587984"/>
    <s v="GH"/>
    <x v="1"/>
    <x v="28"/>
    <s v="Q2"/>
    <n v="350"/>
    <n v="3.0457142857142858"/>
    <s v="EFW"/>
    <n v="1"/>
    <n v="1066"/>
    <n v="2.5018095568587984"/>
    <n v="3.0457142857142858"/>
  </r>
  <r>
    <n v="69568829"/>
    <x v="15"/>
    <n v="0"/>
    <d v="2023-04-05T00:00:00"/>
    <x v="66"/>
    <x v="11"/>
    <n v="8.5199999999999998E-3"/>
    <n v="0"/>
    <s v="BR"/>
    <x v="1"/>
    <x v="6"/>
    <s v="Q2"/>
    <n v="176"/>
    <n v="0"/>
    <s v="48oz"/>
    <n v="1"/>
    <n v="0"/>
    <n v="0"/>
    <n v="0"/>
  </r>
  <r>
    <n v="68649096"/>
    <x v="16"/>
    <n v="0"/>
    <d v="2023-04-05T00:00:00"/>
    <x v="241"/>
    <x v="15"/>
    <n v="3.5999999999999999E-3"/>
    <n v="0"/>
    <s v="BJ"/>
    <x v="1"/>
    <x v="19"/>
    <s v="Q2"/>
    <n v="240"/>
    <n v="0"/>
    <s v="TOPPED"/>
    <n v="1"/>
    <n v="0"/>
    <n v="0"/>
    <n v="0"/>
  </r>
  <r>
    <n v="68896055"/>
    <x v="16"/>
    <n v="0"/>
    <d v="2023-04-05T00:00:00"/>
    <x v="326"/>
    <x v="2"/>
    <n v="8.5199999999999998E-3"/>
    <n v="0"/>
    <s v="BR"/>
    <x v="1"/>
    <x v="2"/>
    <s v="Q2"/>
    <n v="154"/>
    <n v="0"/>
    <s v="48oz"/>
    <n v="1"/>
    <n v="0"/>
    <n v="0"/>
    <n v="0"/>
  </r>
  <r>
    <n v="69568964"/>
    <x v="16"/>
    <n v="1666"/>
    <d v="2023-04-05T00:00:00"/>
    <x v="134"/>
    <x v="32"/>
    <n v="8.5199999999999998E-3"/>
    <n v="14.194319999999999"/>
    <s v="BR"/>
    <x v="1"/>
    <x v="2"/>
    <s v="Q2"/>
    <n v="176"/>
    <n v="9.4659090909090917"/>
    <s v="48oz"/>
    <n v="1"/>
    <n v="1666"/>
    <n v="14.194319999999999"/>
    <n v="9.4659090909090917"/>
  </r>
  <r>
    <n v="84137725"/>
    <x v="18"/>
    <n v="61585"/>
    <d v="2023-04-05T00:00:00"/>
    <x v="132"/>
    <x v="33"/>
    <n v="3.7853439999999999E-3"/>
    <n v="233.12041023999998"/>
    <s v="BJ"/>
    <x v="1"/>
    <x v="36"/>
    <s v="Q2"/>
    <n v="240"/>
    <n v="256.60416666666669"/>
    <s v="BJ PTS"/>
    <n v="1"/>
    <n v="61585"/>
    <n v="233.12041023999998"/>
    <n v="256.60416666666669"/>
  </r>
  <r>
    <n v="67465063"/>
    <x v="15"/>
    <n v="0"/>
    <d v="2023-04-05T00:00:00"/>
    <x v="3"/>
    <x v="40"/>
    <n v="5.2680000000000001E-3"/>
    <n v="0"/>
    <s v="PS"/>
    <x v="1"/>
    <x v="3"/>
    <s v="Q2"/>
    <n v="130"/>
    <n v="0"/>
    <s v="PG"/>
    <n v="1"/>
    <n v="0"/>
    <n v="0"/>
    <n v="0"/>
  </r>
  <r>
    <n v="67465063"/>
    <x v="15"/>
    <n v="4145"/>
    <d v="2023-04-05T00:00:00"/>
    <x v="3"/>
    <x v="7"/>
    <n v="5.2680000000000001E-3"/>
    <n v="21.83586"/>
    <s v="PS"/>
    <x v="1"/>
    <x v="3"/>
    <s v="Q2"/>
    <n v="130"/>
    <n v="31.884615384615383"/>
    <s v="PG"/>
    <n v="1"/>
    <n v="4145"/>
    <n v="21.83586"/>
    <n v="31.884615384615383"/>
  </r>
  <r>
    <n v="67466462"/>
    <x v="15"/>
    <n v="2122"/>
    <d v="2023-04-05T00:00:00"/>
    <x v="29"/>
    <x v="10"/>
    <n v="5.2680000000000001E-3"/>
    <n v="11.178696"/>
    <s v="PS"/>
    <x v="1"/>
    <x v="3"/>
    <s v="Q2"/>
    <n v="130"/>
    <n v="16.323076923076922"/>
    <s v="PG"/>
    <n v="1"/>
    <n v="2122"/>
    <n v="11.178696"/>
    <n v="16.323076923076922"/>
  </r>
  <r>
    <n v="67466492"/>
    <x v="15"/>
    <n v="2942"/>
    <d v="2023-04-05T00:00:00"/>
    <x v="8"/>
    <x v="8"/>
    <n v="5.2680000000000001E-3"/>
    <n v="15.498456000000001"/>
    <s v="PS"/>
    <x v="1"/>
    <x v="3"/>
    <s v="Q2"/>
    <n v="130"/>
    <n v="22.630769230769232"/>
    <s v="PG"/>
    <n v="1"/>
    <n v="2942"/>
    <n v="15.498456000000001"/>
    <n v="22.630769230769232"/>
  </r>
  <r>
    <n v="67466492"/>
    <x v="15"/>
    <n v="4032"/>
    <d v="2023-04-05T00:00:00"/>
    <x v="8"/>
    <x v="6"/>
    <n v="5.2680000000000001E-3"/>
    <n v="21.240576000000001"/>
    <s v="PS"/>
    <x v="1"/>
    <x v="3"/>
    <s v="Q2"/>
    <n v="130"/>
    <n v="31.015384615384615"/>
    <s v="PG"/>
    <n v="1"/>
    <n v="4032"/>
    <n v="21.240576000000001"/>
    <n v="31.015384615384615"/>
  </r>
  <r>
    <n v="67885724"/>
    <x v="15"/>
    <n v="9180"/>
    <d v="2023-04-05T00:00:00"/>
    <x v="49"/>
    <x v="12"/>
    <n v="8.5199999999999998E-3"/>
    <n v="78.2136"/>
    <s v="BR"/>
    <x v="1"/>
    <x v="6"/>
    <s v="Q2"/>
    <n v="154"/>
    <n v="59.61038961038961"/>
    <s v="48oz"/>
    <n v="1"/>
    <n v="9180"/>
    <n v="78.2136"/>
    <n v="59.61038961038961"/>
  </r>
  <r>
    <n v="67893540"/>
    <x v="15"/>
    <n v="10982"/>
    <d v="2023-04-05T00:00:00"/>
    <x v="66"/>
    <x v="11"/>
    <n v="8.5199999999999998E-3"/>
    <n v="93.566639999999992"/>
    <s v="BR"/>
    <x v="1"/>
    <x v="6"/>
    <s v="Q2"/>
    <n v="154"/>
    <n v="71.311688311688314"/>
    <s v="48oz"/>
    <n v="1"/>
    <n v="10982"/>
    <n v="93.566639999999992"/>
    <n v="71.311688311688314"/>
  </r>
  <r>
    <n v="68188183"/>
    <x v="15"/>
    <n v="2687"/>
    <d v="2023-04-05T00:00:00"/>
    <x v="70"/>
    <x v="9"/>
    <n v="3.8340000000000002E-3"/>
    <n v="10.301958000000001"/>
    <s v="PS"/>
    <x v="1"/>
    <x v="3"/>
    <s v="Q2"/>
    <n v="130"/>
    <n v="20.669230769230769"/>
    <s v="PG"/>
    <n v="1"/>
    <n v="2687"/>
    <n v="10.301958000000001"/>
    <n v="20.669230769230769"/>
  </r>
  <r>
    <n v="68737750"/>
    <x v="15"/>
    <n v="10364"/>
    <d v="2023-04-05T00:00:00"/>
    <x v="144"/>
    <x v="23"/>
    <n v="8.5199999999999998E-3"/>
    <n v="88.301279999999991"/>
    <s v="BR"/>
    <x v="1"/>
    <x v="6"/>
    <s v="Q2"/>
    <n v="176"/>
    <n v="58.886363636363633"/>
    <s v="48oz"/>
    <n v="1"/>
    <n v="10364"/>
    <n v="88.301279999999991"/>
    <n v="58.886363636363633"/>
  </r>
  <r>
    <n v="68741742"/>
    <x v="15"/>
    <n v="4405"/>
    <d v="2023-04-05T00:00:00"/>
    <x v="25"/>
    <x v="4"/>
    <n v="4.2560000000000002E-3"/>
    <n v="18.747680000000003"/>
    <s v="GH"/>
    <x v="1"/>
    <x v="4"/>
    <s v="Q2"/>
    <n v="154"/>
    <n v="28.603896103896105"/>
    <s v="MBG"/>
    <n v="1"/>
    <n v="4405"/>
    <n v="18.747680000000003"/>
    <n v="28.603896103896105"/>
  </r>
  <r>
    <n v="68852591"/>
    <x v="15"/>
    <n v="2830"/>
    <d v="2023-04-05T00:00:00"/>
    <x v="26"/>
    <x v="17"/>
    <n v="8.5199999999999998E-3"/>
    <n v="24.111599999999999"/>
    <s v="KL"/>
    <x v="1"/>
    <x v="8"/>
    <s v="Q2"/>
    <n v="132"/>
    <n v="21.439393939393938"/>
    <s v="EDF"/>
    <n v="1"/>
    <n v="2830"/>
    <n v="24.111599999999999"/>
    <n v="21.439393939393938"/>
  </r>
  <r>
    <n v="69568828"/>
    <x v="15"/>
    <n v="0"/>
    <d v="2023-04-05T00:00:00"/>
    <x v="12"/>
    <x v="16"/>
    <n v="8.5199999999999998E-3"/>
    <n v="0"/>
    <s v="BR"/>
    <x v="1"/>
    <x v="6"/>
    <s v="Q2"/>
    <n v="176"/>
    <n v="0"/>
    <s v="48oz"/>
    <n v="1"/>
    <n v="0"/>
    <n v="0"/>
    <n v="0"/>
  </r>
  <r>
    <n v="69677917"/>
    <x v="15"/>
    <n v="4468"/>
    <d v="2023-04-05T00:00:00"/>
    <x v="30"/>
    <x v="29"/>
    <n v="5.2680000000000001E-3"/>
    <n v="23.537424000000001"/>
    <s v="PS"/>
    <x v="1"/>
    <x v="3"/>
    <s v="Q2"/>
    <n v="108"/>
    <n v="41.370370370370374"/>
    <s v="PG"/>
    <n v="1"/>
    <n v="4468"/>
    <n v="23.537424000000001"/>
    <n v="41.370370370370374"/>
  </r>
  <r>
    <n v="67885719"/>
    <x v="16"/>
    <n v="17967"/>
    <d v="2023-04-05T00:00:00"/>
    <x v="11"/>
    <x v="32"/>
    <n v="8.5199999999999998E-3"/>
    <n v="153.07883999999999"/>
    <s v="BR"/>
    <x v="1"/>
    <x v="2"/>
    <s v="Q2"/>
    <n v="154"/>
    <n v="116.66883116883118"/>
    <s v="48oz"/>
    <n v="1"/>
    <n v="17967"/>
    <n v="153.07883999999999"/>
    <n v="116.66883116883118"/>
  </r>
  <r>
    <n v="68634167"/>
    <x v="16"/>
    <n v="12696"/>
    <d v="2023-04-05T00:00:00"/>
    <x v="91"/>
    <x v="13"/>
    <n v="8.5199999999999998E-3"/>
    <n v="108.16991999999999"/>
    <s v="BR"/>
    <x v="1"/>
    <x v="2"/>
    <s v="Q2"/>
    <n v="154"/>
    <n v="82.441558441558442"/>
    <s v="48oz"/>
    <n v="1"/>
    <n v="12696"/>
    <n v="108.16991999999999"/>
    <n v="82.441558441558442"/>
  </r>
  <r>
    <n v="68649095"/>
    <x v="16"/>
    <n v="17107"/>
    <d v="2023-04-05T00:00:00"/>
    <x v="286"/>
    <x v="15"/>
    <n v="3.5999999999999999E-3"/>
    <n v="61.5852"/>
    <s v="BJ"/>
    <x v="1"/>
    <x v="19"/>
    <s v="Q2"/>
    <n v="240"/>
    <n v="71.279166666666669"/>
    <s v="TOPPED"/>
    <n v="1"/>
    <n v="17107"/>
    <n v="61.5852"/>
    <n v="71.279166666666669"/>
  </r>
  <r>
    <n v="68659723"/>
    <x v="16"/>
    <n v="13728"/>
    <d v="2023-04-05T00:00:00"/>
    <x v="325"/>
    <x v="22"/>
    <n v="3.7853439999999999E-3"/>
    <n v="51.965202431999998"/>
    <s v="TA"/>
    <x v="1"/>
    <x v="10"/>
    <s v="Q2"/>
    <n v="255"/>
    <n v="53.835294117647059"/>
    <s v="TALENTI"/>
    <n v="1"/>
    <n v="13728"/>
    <n v="51.965202431999998"/>
    <n v="53.835294117647059"/>
  </r>
  <r>
    <n v="68689253"/>
    <x v="16"/>
    <n v="3576"/>
    <d v="2023-04-05T00:00:00"/>
    <x v="125"/>
    <x v="18"/>
    <n v="6.0035555555555554E-3"/>
    <n v="21.468714666666667"/>
    <s v="KL"/>
    <x v="1"/>
    <x v="9"/>
    <s v="Q2"/>
    <n v="120"/>
    <n v="29.8"/>
    <s v="ESS"/>
    <n v="1"/>
    <n v="3576"/>
    <n v="21.468714666666667"/>
    <n v="29.8"/>
  </r>
  <r>
    <n v="68896057"/>
    <x v="16"/>
    <n v="10878"/>
    <d v="2023-04-05T00:00:00"/>
    <x v="46"/>
    <x v="2"/>
    <n v="8.5199999999999998E-3"/>
    <n v="92.68056"/>
    <s v="BR"/>
    <x v="1"/>
    <x v="2"/>
    <s v="Q2"/>
    <n v="176"/>
    <n v="61.80681818181818"/>
    <s v="48oz"/>
    <n v="1"/>
    <n v="10878"/>
    <n v="92.68056"/>
    <n v="61.80681818181818"/>
  </r>
  <r>
    <n v="69555090"/>
    <x v="16"/>
    <n v="6980"/>
    <d v="2023-04-05T00:00:00"/>
    <x v="254"/>
    <x v="14"/>
    <n v="1.98E-3"/>
    <n v="13.820399999999999"/>
    <s v="TA"/>
    <x v="1"/>
    <x v="42"/>
    <s v="Q2"/>
    <n v="176"/>
    <n v="39.659090909090907"/>
    <s v="TAL NV"/>
    <n v="1"/>
    <n v="6980"/>
    <n v="13.820399999999999"/>
    <n v="39.659090909090907"/>
  </r>
  <r>
    <n v="69572658"/>
    <x v="16"/>
    <n v="6446"/>
    <d v="2023-04-05T00:00:00"/>
    <x v="166"/>
    <x v="5"/>
    <n v="2.1520000000000003E-3"/>
    <n v="13.871792000000001"/>
    <s v="MG"/>
    <x v="1"/>
    <x v="5"/>
    <s v="Q2"/>
    <n v="210"/>
    <n v="30.695238095238096"/>
    <s v="MG Sticks"/>
    <n v="1"/>
    <n v="6446"/>
    <n v="13.871792000000001"/>
    <n v="30.695238095238096"/>
  </r>
  <r>
    <n v="69621212"/>
    <x v="16"/>
    <n v="2844"/>
    <d v="2023-04-05T00:00:00"/>
    <x v="29"/>
    <x v="28"/>
    <n v="5.2680000000000001E-3"/>
    <n v="14.982192"/>
    <s v="PG"/>
    <x v="1"/>
    <x v="14"/>
    <s v="Q2"/>
    <n v="130"/>
    <n v="21.876923076923077"/>
    <s v="PG"/>
    <n v="1"/>
    <n v="2844"/>
    <n v="14.982192"/>
    <n v="21.876923076923077"/>
  </r>
  <r>
    <n v="69677917"/>
    <x v="16"/>
    <n v="7007"/>
    <d v="2023-04-05T00:00:00"/>
    <x v="30"/>
    <x v="30"/>
    <n v="5.2680000000000001E-3"/>
    <n v="36.912876000000004"/>
    <s v="PS"/>
    <x v="1"/>
    <x v="14"/>
    <s v="Q2"/>
    <n v="108"/>
    <n v="64.879629629629633"/>
    <s v="PG"/>
    <n v="1"/>
    <n v="7007"/>
    <n v="36.912876000000004"/>
    <n v="64.879629629629633"/>
  </r>
  <r>
    <n v="69717802"/>
    <x v="16"/>
    <n v="9199"/>
    <d v="2023-04-05T00:00:00"/>
    <x v="31"/>
    <x v="31"/>
    <n v="4.2560000000000002E-3"/>
    <n v="39.150944000000003"/>
    <s v="BR"/>
    <x v="1"/>
    <x v="5"/>
    <s v="Q2"/>
    <n v="143"/>
    <n v="64.328671328671334"/>
    <s v="MG Sticks"/>
    <n v="1"/>
    <n v="9199"/>
    <n v="39.150944000000003"/>
    <n v="64.328671328671334"/>
  </r>
  <r>
    <n v="67826412"/>
    <x v="18"/>
    <n v="58970"/>
    <d v="2023-04-05T00:00:00"/>
    <x v="214"/>
    <x v="35"/>
    <n v="3.7853439999999999E-3"/>
    <n v="223.22173567999999"/>
    <s v="BJ"/>
    <x v="1"/>
    <x v="36"/>
    <s v="Q2"/>
    <n v="240"/>
    <n v="245.70833333333334"/>
    <s v="BJ PTS"/>
    <n v="1"/>
    <n v="58970"/>
    <n v="223.22173567999999"/>
    <n v="245.70833333333334"/>
  </r>
  <r>
    <n v="67908208"/>
    <x v="16"/>
    <n v="1845"/>
    <d v="2023-04-05T00:00:00"/>
    <x v="225"/>
    <x v="25"/>
    <n v="3.9039999999999999E-3"/>
    <n v="7.2028799999999995"/>
    <s v="GH"/>
    <x v="1"/>
    <x v="11"/>
    <s v="Q2"/>
    <n v="154"/>
    <n v="11.980519480519481"/>
    <s v="MBG"/>
    <n v="1"/>
    <n v="1845"/>
    <n v="7.2028799999999995"/>
    <n v="11.980519480519481"/>
  </r>
  <r>
    <n v="68730254"/>
    <x v="16"/>
    <n v="14389"/>
    <d v="2023-04-05T00:00:00"/>
    <x v="128"/>
    <x v="21"/>
    <n v="3.7853440000000004E-3"/>
    <n v="54.467314816000005"/>
    <s v="TA"/>
    <x v="1"/>
    <x v="10"/>
    <s v="Q2"/>
    <n v="255"/>
    <n v="56.427450980392159"/>
    <s v="TALENTI"/>
    <n v="1"/>
    <n v="14389"/>
    <n v="54.467314816000005"/>
    <n v="56.427450980392159"/>
  </r>
  <r>
    <n v="68852591"/>
    <x v="16"/>
    <n v="1453"/>
    <d v="2023-04-05T00:00:00"/>
    <x v="26"/>
    <x v="26"/>
    <n v="8.5199999999999998E-3"/>
    <n v="12.37956"/>
    <s v="KL"/>
    <x v="1"/>
    <x v="12"/>
    <s v="Q2"/>
    <n v="132"/>
    <n v="11.007575757575758"/>
    <s v="EDF"/>
    <n v="1"/>
    <n v="1453"/>
    <n v="12.37956"/>
    <n v="11.007575757575758"/>
  </r>
  <r>
    <n v="67893539"/>
    <x v="15"/>
    <n v="2822"/>
    <d v="2023-04-06T00:00:00"/>
    <x v="12"/>
    <x v="16"/>
    <n v="8.5199999999999998E-3"/>
    <n v="24.04344"/>
    <s v="BR"/>
    <x v="1"/>
    <x v="6"/>
    <s v="Q2"/>
    <n v="154"/>
    <n v="18.324675324675326"/>
    <s v="48oz"/>
    <n v="1"/>
    <n v="2822"/>
    <n v="24.04344"/>
    <n v="18.324675324675326"/>
  </r>
  <r>
    <n v="68300738"/>
    <x v="15"/>
    <n v="5142"/>
    <d v="2023-04-06T00:00:00"/>
    <x v="120"/>
    <x v="19"/>
    <n v="8.4960000000000001E-3"/>
    <n v="43.686432000000003"/>
    <s v="KL"/>
    <x v="1"/>
    <x v="8"/>
    <s v="Q2"/>
    <n v="132"/>
    <n v="38.954545454545453"/>
    <s v="EDF"/>
    <n v="1"/>
    <n v="5142"/>
    <n v="43.686432000000003"/>
    <n v="38.954545454545453"/>
  </r>
  <r>
    <n v="68689251"/>
    <x v="15"/>
    <n v="3679"/>
    <d v="2023-04-06T00:00:00"/>
    <x v="17"/>
    <x v="20"/>
    <n v="9.5760000000000012E-3"/>
    <n v="35.230104000000004"/>
    <s v="KL"/>
    <x v="1"/>
    <x v="8"/>
    <s v="Q2"/>
    <n v="132"/>
    <n v="27.871212121212121"/>
    <s v="EDF"/>
    <n v="1"/>
    <n v="3679"/>
    <n v="35.230104000000004"/>
    <n v="27.871212121212121"/>
  </r>
  <r>
    <n v="68741742"/>
    <x v="15"/>
    <n v="291"/>
    <d v="2023-04-06T00:00:00"/>
    <x v="25"/>
    <x v="4"/>
    <n v="4.2560000000000002E-3"/>
    <n v="1.238496"/>
    <s v="GH"/>
    <x v="1"/>
    <x v="4"/>
    <s v="Q2"/>
    <n v="154"/>
    <n v="1.8896103896103895"/>
    <s v="MBG"/>
    <n v="1"/>
    <n v="291"/>
    <n v="1.238496"/>
    <n v="1.8896103896103895"/>
  </r>
  <r>
    <n v="68741742"/>
    <x v="15"/>
    <n v="2321"/>
    <d v="2023-04-06T00:00:00"/>
    <x v="25"/>
    <x v="4"/>
    <n v="4.2560000000000002E-3"/>
    <n v="9.8781759999999998"/>
    <s v="GH"/>
    <x v="1"/>
    <x v="4"/>
    <s v="Q2"/>
    <n v="154"/>
    <n v="15.071428571428571"/>
    <s v="MBG"/>
    <n v="1"/>
    <n v="2321"/>
    <n v="9.8781759999999998"/>
    <n v="15.071428571428571"/>
  </r>
  <r>
    <n v="68741745"/>
    <x v="15"/>
    <n v="3900"/>
    <d v="2023-04-06T00:00:00"/>
    <x v="281"/>
    <x v="24"/>
    <n v="2.8319999999999999E-3"/>
    <n v="11.0448"/>
    <s v="GH"/>
    <x v="1"/>
    <x v="4"/>
    <s v="Q2"/>
    <n v="315"/>
    <n v="12.380952380952381"/>
    <s v="MBG"/>
    <n v="1"/>
    <n v="3900"/>
    <n v="11.0448"/>
    <n v="12.380952380952381"/>
  </r>
  <r>
    <n v="68852591"/>
    <x v="15"/>
    <n v="6178"/>
    <d v="2023-04-06T00:00:00"/>
    <x v="26"/>
    <x v="17"/>
    <n v="8.5199999999999998E-3"/>
    <n v="52.636559999999996"/>
    <s v="KL"/>
    <x v="1"/>
    <x v="8"/>
    <s v="Q2"/>
    <n v="132"/>
    <n v="46.803030303030305"/>
    <s v="EDF"/>
    <n v="1"/>
    <n v="6178"/>
    <n v="52.636559999999996"/>
    <n v="46.803030303030305"/>
  </r>
  <r>
    <n v="68899825"/>
    <x v="15"/>
    <n v="9495"/>
    <d v="2023-04-06T00:00:00"/>
    <x v="77"/>
    <x v="12"/>
    <n v="8.5199999999999998E-3"/>
    <n v="80.897400000000005"/>
    <s v="BR"/>
    <x v="1"/>
    <x v="6"/>
    <s v="Q2"/>
    <n v="176"/>
    <n v="53.948863636363633"/>
    <s v="48oz"/>
    <n v="1"/>
    <n v="9495"/>
    <n v="80.897400000000005"/>
    <n v="53.948863636363633"/>
  </r>
  <r>
    <n v="69549032"/>
    <x v="15"/>
    <n v="2435"/>
    <d v="2023-04-06T00:00:00"/>
    <x v="79"/>
    <x v="36"/>
    <n v="2.3469132803553457E-3"/>
    <n v="5.7147338376652668"/>
    <s v="GH"/>
    <x v="1"/>
    <x v="28"/>
    <s v="Q2"/>
    <n v="350"/>
    <n v="6.9571428571428573"/>
    <s v="EFW"/>
    <n v="1"/>
    <n v="2435"/>
    <n v="5.7147338376652668"/>
    <n v="6.9571428571428573"/>
  </r>
  <r>
    <n v="69677917"/>
    <x v="15"/>
    <n v="588"/>
    <d v="2023-04-06T00:00:00"/>
    <x v="30"/>
    <x v="29"/>
    <n v="5.2680000000000001E-3"/>
    <n v="3.0975839999999999"/>
    <s v="PS"/>
    <x v="1"/>
    <x v="3"/>
    <s v="Q2"/>
    <n v="108"/>
    <n v="5.4444444444444446"/>
    <s v="PG"/>
    <n v="1"/>
    <n v="588"/>
    <n v="3.0975839999999999"/>
    <n v="5.4444444444444446"/>
  </r>
  <r>
    <n v="67885719"/>
    <x v="16"/>
    <n v="0"/>
    <d v="2023-04-06T00:00:00"/>
    <x v="11"/>
    <x v="13"/>
    <n v="8.5199999999999998E-3"/>
    <n v="0"/>
    <s v="BR"/>
    <x v="1"/>
    <x v="2"/>
    <s v="Q2"/>
    <n v="154"/>
    <n v="0"/>
    <s v="48oz"/>
    <n v="1"/>
    <n v="0"/>
    <n v="0"/>
    <n v="0"/>
  </r>
  <r>
    <n v="68659723"/>
    <x v="16"/>
    <n v="4244"/>
    <d v="2023-04-06T00:00:00"/>
    <x v="325"/>
    <x v="22"/>
    <n v="3.7853439999999999E-3"/>
    <n v="16.064999936"/>
    <s v="TA"/>
    <x v="1"/>
    <x v="10"/>
    <s v="Q2"/>
    <n v="255"/>
    <n v="16.643137254901962"/>
    <s v="TALENTI"/>
    <n v="1"/>
    <n v="4244"/>
    <n v="16.064999936"/>
    <n v="16.643137254901962"/>
  </r>
  <r>
    <n v="68896052"/>
    <x v="16"/>
    <n v="0"/>
    <d v="2023-04-06T00:00:00"/>
    <x v="36"/>
    <x v="2"/>
    <n v="8.5199999999999998E-3"/>
    <n v="0"/>
    <s v="BR"/>
    <x v="1"/>
    <x v="2"/>
    <s v="Q2"/>
    <n v="176"/>
    <n v="0"/>
    <s v="48oz"/>
    <n v="1"/>
    <n v="0"/>
    <n v="0"/>
    <n v="0"/>
  </r>
  <r>
    <n v="68896057"/>
    <x v="16"/>
    <n v="0"/>
    <d v="2023-04-06T00:00:00"/>
    <x v="46"/>
    <x v="2"/>
    <n v="8.5199999999999998E-3"/>
    <n v="0"/>
    <s v="BR"/>
    <x v="1"/>
    <x v="2"/>
    <s v="Q2"/>
    <n v="176"/>
    <n v="0"/>
    <s v="48oz"/>
    <n v="1"/>
    <n v="0"/>
    <n v="0"/>
    <n v="0"/>
  </r>
  <r>
    <n v="69568964"/>
    <x v="16"/>
    <n v="26895"/>
    <d v="2023-04-06T00:00:00"/>
    <x v="134"/>
    <x v="32"/>
    <n v="8.5199999999999998E-3"/>
    <n v="229.1454"/>
    <s v="BR"/>
    <x v="1"/>
    <x v="2"/>
    <s v="Q2"/>
    <n v="176"/>
    <n v="152.8125"/>
    <s v="48oz"/>
    <n v="1"/>
    <n v="26895"/>
    <n v="229.1454"/>
    <n v="152.8125"/>
  </r>
  <r>
    <n v="68631417"/>
    <x v="17"/>
    <n v="6990"/>
    <d v="2023-04-06T00:00:00"/>
    <x v="178"/>
    <x v="38"/>
    <n v="3.7839999999999996E-3"/>
    <n v="26.450159999999997"/>
    <s v="BJ"/>
    <x v="1"/>
    <x v="24"/>
    <s v="Q2"/>
    <n v="240"/>
    <n v="29.125"/>
    <s v="PTS Exports"/>
    <n v="1"/>
    <n v="6990"/>
    <n v="26.450159999999997"/>
    <n v="29.125"/>
  </r>
  <r>
    <n v="84141094"/>
    <x v="17"/>
    <n v="9045"/>
    <d v="2023-04-06T00:00:00"/>
    <x v="107"/>
    <x v="33"/>
    <n v="3.7853439999999999E-3"/>
    <n v="34.238436479999997"/>
    <s v="BJ"/>
    <x v="1"/>
    <x v="15"/>
    <s v="Q2"/>
    <n v="240"/>
    <n v="37.6875"/>
    <s v="BJ PTS"/>
    <n v="1"/>
    <n v="9045"/>
    <n v="34.238436479999997"/>
    <n v="37.6875"/>
  </r>
  <r>
    <n v="67465063"/>
    <x v="15"/>
    <n v="3270"/>
    <d v="2023-04-06T00:00:00"/>
    <x v="3"/>
    <x v="7"/>
    <n v="5.2680000000000001E-3"/>
    <n v="17.22636"/>
    <s v="PS"/>
    <x v="1"/>
    <x v="3"/>
    <s v="Q2"/>
    <n v="130"/>
    <n v="25.153846153846153"/>
    <s v="PG"/>
    <n v="1"/>
    <n v="3270"/>
    <n v="17.22636"/>
    <n v="25.153846153846153"/>
  </r>
  <r>
    <n v="67466462"/>
    <x v="15"/>
    <n v="3299"/>
    <d v="2023-04-06T00:00:00"/>
    <x v="29"/>
    <x v="10"/>
    <n v="5.2680000000000001E-3"/>
    <n v="17.379132000000002"/>
    <s v="PS"/>
    <x v="1"/>
    <x v="3"/>
    <s v="Q2"/>
    <n v="130"/>
    <n v="25.376923076923077"/>
    <s v="PG"/>
    <n v="1"/>
    <n v="3299"/>
    <n v="17.379132000000002"/>
    <n v="25.376923076923077"/>
  </r>
  <r>
    <n v="67466492"/>
    <x v="15"/>
    <n v="3925"/>
    <d v="2023-04-06T00:00:00"/>
    <x v="8"/>
    <x v="8"/>
    <n v="5.2680000000000001E-3"/>
    <n v="20.6769"/>
    <s v="PS"/>
    <x v="1"/>
    <x v="3"/>
    <s v="Q2"/>
    <n v="130"/>
    <n v="30.192307692307693"/>
    <s v="PG"/>
    <n v="1"/>
    <n v="3925"/>
    <n v="20.6769"/>
    <n v="30.192307692307693"/>
  </r>
  <r>
    <n v="67466492"/>
    <x v="15"/>
    <n v="3198"/>
    <d v="2023-04-06T00:00:00"/>
    <x v="8"/>
    <x v="6"/>
    <n v="5.2680000000000001E-3"/>
    <n v="16.847064"/>
    <s v="PS"/>
    <x v="1"/>
    <x v="3"/>
    <s v="Q2"/>
    <n v="130"/>
    <n v="24.6"/>
    <s v="PG"/>
    <n v="1"/>
    <n v="3198"/>
    <n v="16.847064"/>
    <n v="24.6"/>
  </r>
  <r>
    <n v="67885724"/>
    <x v="15"/>
    <n v="0"/>
    <d v="2023-04-06T00:00:00"/>
    <x v="49"/>
    <x v="12"/>
    <n v="8.5199999999999998E-3"/>
    <n v="0"/>
    <s v="BR"/>
    <x v="1"/>
    <x v="6"/>
    <s v="Q2"/>
    <n v="154"/>
    <n v="0"/>
    <s v="48oz"/>
    <n v="1"/>
    <n v="0"/>
    <n v="0"/>
    <n v="0"/>
  </r>
  <r>
    <n v="67893539"/>
    <x v="15"/>
    <n v="6065"/>
    <d v="2023-04-06T00:00:00"/>
    <x v="12"/>
    <x v="16"/>
    <n v="8.5199999999999998E-3"/>
    <n v="51.6738"/>
    <s v="BR"/>
    <x v="1"/>
    <x v="6"/>
    <s v="Q2"/>
    <n v="154"/>
    <n v="39.383116883116884"/>
    <s v="48oz"/>
    <n v="1"/>
    <n v="6065"/>
    <n v="51.6738"/>
    <n v="39.383116883116884"/>
  </r>
  <r>
    <n v="67893540"/>
    <x v="15"/>
    <n v="6709"/>
    <d v="2023-04-06T00:00:00"/>
    <x v="66"/>
    <x v="11"/>
    <n v="8.5199999999999998E-3"/>
    <n v="57.160679999999999"/>
    <s v="BR"/>
    <x v="1"/>
    <x v="6"/>
    <s v="Q2"/>
    <n v="154"/>
    <n v="43.564935064935064"/>
    <s v="48oz"/>
    <n v="1"/>
    <n v="6709"/>
    <n v="57.160679999999999"/>
    <n v="43.564935064935064"/>
  </r>
  <r>
    <n v="68188183"/>
    <x v="15"/>
    <n v="2665"/>
    <d v="2023-04-06T00:00:00"/>
    <x v="70"/>
    <x v="9"/>
    <n v="3.8340000000000002E-3"/>
    <n v="10.217610000000001"/>
    <s v="PS"/>
    <x v="1"/>
    <x v="3"/>
    <s v="Q2"/>
    <n v="130"/>
    <n v="20.5"/>
    <s v="PG"/>
    <n v="1"/>
    <n v="2665"/>
    <n v="10.217610000000001"/>
    <n v="20.5"/>
  </r>
  <r>
    <n v="68737750"/>
    <x v="15"/>
    <n v="7629"/>
    <d v="2023-04-06T00:00:00"/>
    <x v="144"/>
    <x v="23"/>
    <n v="8.5199999999999998E-3"/>
    <n v="64.999079999999992"/>
    <s v="BR"/>
    <x v="1"/>
    <x v="6"/>
    <s v="Q2"/>
    <n v="176"/>
    <n v="43.346590909090907"/>
    <s v="48oz"/>
    <n v="1"/>
    <n v="7629"/>
    <n v="64.999079999999992"/>
    <n v="43.346590909090907"/>
  </r>
  <r>
    <n v="69568828"/>
    <x v="15"/>
    <n v="0"/>
    <d v="2023-04-06T00:00:00"/>
    <x v="12"/>
    <x v="16"/>
    <n v="8.5199999999999998E-3"/>
    <n v="0"/>
    <s v="BR"/>
    <x v="1"/>
    <x v="6"/>
    <s v="Q2"/>
    <n v="176"/>
    <n v="0"/>
    <s v="48oz"/>
    <n v="1"/>
    <n v="0"/>
    <n v="0"/>
    <n v="0"/>
  </r>
  <r>
    <n v="69568829"/>
    <x v="15"/>
    <n v="6024"/>
    <d v="2023-04-06T00:00:00"/>
    <x v="66"/>
    <x v="11"/>
    <n v="8.5199999999999998E-3"/>
    <n v="51.324480000000001"/>
    <s v="BR"/>
    <x v="1"/>
    <x v="6"/>
    <s v="Q2"/>
    <n v="176"/>
    <n v="34.227272727272727"/>
    <s v="48oz"/>
    <n v="1"/>
    <n v="6024"/>
    <n v="51.324480000000001"/>
    <n v="34.227272727272727"/>
  </r>
  <r>
    <n v="67885719"/>
    <x v="16"/>
    <n v="22774"/>
    <d v="2023-04-06T00:00:00"/>
    <x v="11"/>
    <x v="32"/>
    <n v="8.5199999999999998E-3"/>
    <n v="194.03448"/>
    <s v="BR"/>
    <x v="1"/>
    <x v="2"/>
    <s v="Q2"/>
    <n v="154"/>
    <n v="147.88311688311688"/>
    <s v="48oz"/>
    <n v="1"/>
    <n v="22774"/>
    <n v="194.03448"/>
    <n v="147.88311688311688"/>
  </r>
  <r>
    <n v="67908208"/>
    <x v="16"/>
    <n v="5437"/>
    <d v="2023-04-06T00:00:00"/>
    <x v="225"/>
    <x v="25"/>
    <n v="3.9039999999999999E-3"/>
    <n v="21.226047999999999"/>
    <s v="GH"/>
    <x v="1"/>
    <x v="11"/>
    <s v="Q2"/>
    <n v="154"/>
    <n v="35.305194805194802"/>
    <s v="MBG"/>
    <n v="1"/>
    <n v="5437"/>
    <n v="21.226047999999999"/>
    <n v="35.305194805194802"/>
  </r>
  <r>
    <n v="68634167"/>
    <x v="16"/>
    <n v="10035"/>
    <d v="2023-04-06T00:00:00"/>
    <x v="91"/>
    <x v="13"/>
    <n v="8.5199999999999998E-3"/>
    <n v="85.498199999999997"/>
    <s v="BR"/>
    <x v="1"/>
    <x v="2"/>
    <s v="Q2"/>
    <n v="154"/>
    <n v="65.162337662337663"/>
    <s v="48oz"/>
    <n v="1"/>
    <n v="10035"/>
    <n v="85.498199999999997"/>
    <n v="65.162337662337663"/>
  </r>
  <r>
    <n v="68649096"/>
    <x v="16"/>
    <n v="20130"/>
    <d v="2023-04-06T00:00:00"/>
    <x v="241"/>
    <x v="15"/>
    <n v="3.5999999999999999E-3"/>
    <n v="72.468000000000004"/>
    <s v="BJ"/>
    <x v="1"/>
    <x v="19"/>
    <s v="Q2"/>
    <n v="240"/>
    <n v="83.875"/>
    <s v="TOPPED"/>
    <n v="1"/>
    <n v="20130"/>
    <n v="72.468000000000004"/>
    <n v="83.875"/>
  </r>
  <r>
    <n v="68689253"/>
    <x v="16"/>
    <n v="5899"/>
    <d v="2023-04-06T00:00:00"/>
    <x v="125"/>
    <x v="18"/>
    <n v="6.0035555555555554E-3"/>
    <n v="35.41497422222222"/>
    <s v="KL"/>
    <x v="1"/>
    <x v="9"/>
    <s v="Q2"/>
    <n v="120"/>
    <n v="49.158333333333331"/>
    <s v="ESS"/>
    <n v="1"/>
    <n v="5899"/>
    <n v="35.41497422222222"/>
    <n v="49.158333333333331"/>
  </r>
  <r>
    <n v="68896055"/>
    <x v="16"/>
    <n v="5060"/>
    <d v="2023-04-06T00:00:00"/>
    <x v="326"/>
    <x v="2"/>
    <n v="8.5199999999999998E-3"/>
    <n v="43.111199999999997"/>
    <s v="BR"/>
    <x v="1"/>
    <x v="2"/>
    <s v="Q2"/>
    <n v="154"/>
    <n v="32.857142857142854"/>
    <s v="48oz"/>
    <n v="1"/>
    <n v="5060"/>
    <n v="43.111199999999997"/>
    <n v="32.857142857142854"/>
  </r>
  <r>
    <n v="69555090"/>
    <x v="16"/>
    <n v="5525"/>
    <d v="2023-04-06T00:00:00"/>
    <x v="254"/>
    <x v="14"/>
    <n v="1.98E-3"/>
    <n v="10.939500000000001"/>
    <s v="TA"/>
    <x v="1"/>
    <x v="42"/>
    <s v="Q2"/>
    <n v="176"/>
    <n v="31.392045454545453"/>
    <s v="TAL NV"/>
    <n v="1"/>
    <n v="5525"/>
    <n v="10.939500000000001"/>
    <n v="31.392045454545453"/>
  </r>
  <r>
    <n v="69572658"/>
    <x v="16"/>
    <n v="13354"/>
    <d v="2023-04-06T00:00:00"/>
    <x v="166"/>
    <x v="5"/>
    <n v="2.1520000000000003E-3"/>
    <n v="28.737808000000005"/>
    <s v="MG"/>
    <x v="1"/>
    <x v="5"/>
    <s v="Q2"/>
    <n v="210"/>
    <n v="63.590476190476188"/>
    <s v="MG Sticks"/>
    <n v="1"/>
    <n v="13354"/>
    <n v="28.737808000000005"/>
    <n v="63.590476190476188"/>
  </r>
  <r>
    <n v="69621212"/>
    <x v="16"/>
    <n v="4747"/>
    <d v="2023-04-06T00:00:00"/>
    <x v="29"/>
    <x v="28"/>
    <n v="5.2680000000000001E-3"/>
    <n v="25.007196"/>
    <s v="PG"/>
    <x v="1"/>
    <x v="14"/>
    <s v="Q2"/>
    <n v="130"/>
    <n v="36.515384615384619"/>
    <s v="PG"/>
    <n v="1"/>
    <n v="4747"/>
    <n v="25.007196"/>
    <n v="36.515384615384619"/>
  </r>
  <r>
    <n v="69677917"/>
    <x v="16"/>
    <n v="4248"/>
    <d v="2023-04-06T00:00:00"/>
    <x v="30"/>
    <x v="30"/>
    <n v="5.2680000000000001E-3"/>
    <n v="22.378464000000001"/>
    <s v="PS"/>
    <x v="1"/>
    <x v="14"/>
    <s v="Q2"/>
    <n v="108"/>
    <n v="39.333333333333336"/>
    <s v="PG"/>
    <n v="1"/>
    <n v="4248"/>
    <n v="22.378464000000001"/>
    <n v="39.333333333333336"/>
  </r>
  <r>
    <n v="69717802"/>
    <x v="16"/>
    <n v="5355"/>
    <d v="2023-04-06T00:00:00"/>
    <x v="31"/>
    <x v="31"/>
    <n v="4.2560000000000002E-3"/>
    <n v="22.790880000000001"/>
    <s v="BR"/>
    <x v="1"/>
    <x v="5"/>
    <s v="Q2"/>
    <n v="143"/>
    <n v="37.447552447552447"/>
    <s v="MG Sticks"/>
    <n v="1"/>
    <n v="5355"/>
    <n v="22.790880000000001"/>
    <n v="37.447552447552447"/>
  </r>
  <r>
    <n v="67826412"/>
    <x v="18"/>
    <n v="34848"/>
    <d v="2023-04-06T00:00:00"/>
    <x v="214"/>
    <x v="35"/>
    <n v="3.7853439999999999E-3"/>
    <n v="131.911667712"/>
    <s v="BJ"/>
    <x v="1"/>
    <x v="36"/>
    <s v="Q2"/>
    <n v="240"/>
    <n v="145.19999999999999"/>
    <s v="BJ PTS"/>
    <n v="1"/>
    <n v="34848"/>
    <n v="131.911667712"/>
    <n v="145.19999999999999"/>
  </r>
  <r>
    <n v="84141094"/>
    <x v="17"/>
    <n v="32722"/>
    <d v="2023-04-06T00:00:00"/>
    <x v="107"/>
    <x v="33"/>
    <n v="3.7853439999999999E-3"/>
    <n v="123.864026368"/>
    <s v="BJ"/>
    <x v="1"/>
    <x v="15"/>
    <s v="Q2"/>
    <n v="240"/>
    <n v="136.34166666666667"/>
    <s v="BJ PTS"/>
    <n v="1"/>
    <n v="32722"/>
    <n v="123.864026368"/>
    <n v="136.34166666666667"/>
  </r>
  <r>
    <n v="84163503"/>
    <x v="17"/>
    <n v="7522"/>
    <d v="2023-04-06T00:00:00"/>
    <x v="327"/>
    <x v="35"/>
    <n v="3.7853439999999999E-3"/>
    <n v="28.473357568000001"/>
    <s v="BJ"/>
    <x v="1"/>
    <x v="15"/>
    <s v="Q2"/>
    <n v="240"/>
    <n v="31.341666666666665"/>
    <s v="BJ PTS"/>
    <n v="1"/>
    <n v="7522"/>
    <n v="28.473357568000001"/>
    <n v="31.341666666666665"/>
  </r>
  <r>
    <n v="68649095"/>
    <x v="16"/>
    <n v="26550"/>
    <d v="2023-04-06T00:00:00"/>
    <x v="286"/>
    <x v="15"/>
    <n v="3.5999999999999999E-3"/>
    <n v="95.58"/>
    <s v="BJ"/>
    <x v="1"/>
    <x v="19"/>
    <s v="Q2"/>
    <n v="240"/>
    <n v="110.625"/>
    <s v="TOPPED"/>
    <n v="1"/>
    <n v="26550"/>
    <n v="95.58"/>
    <n v="110.625"/>
  </r>
  <r>
    <n v="67466492"/>
    <x v="15"/>
    <n v="4973"/>
    <d v="2023-04-07T00:00:00"/>
    <x v="8"/>
    <x v="6"/>
    <n v="5.2680000000000001E-3"/>
    <n v="26.197763999999999"/>
    <s v="PS"/>
    <x v="1"/>
    <x v="3"/>
    <s v="Q2"/>
    <n v="130"/>
    <n v="38.253846153846155"/>
    <s v="PG"/>
    <n v="1"/>
    <n v="4973"/>
    <n v="26.197763999999999"/>
    <n v="38.253846153846155"/>
  </r>
  <r>
    <n v="67893540"/>
    <x v="15"/>
    <n v="0"/>
    <d v="2023-04-07T00:00:00"/>
    <x v="66"/>
    <x v="11"/>
    <n v="8.5199999999999998E-3"/>
    <n v="0"/>
    <s v="BR"/>
    <x v="1"/>
    <x v="6"/>
    <s v="Q2"/>
    <n v="154"/>
    <n v="0"/>
    <s v="48oz"/>
    <n v="1"/>
    <n v="0"/>
    <n v="0"/>
    <n v="0"/>
  </r>
  <r>
    <n v="68300738"/>
    <x v="15"/>
    <n v="4326"/>
    <d v="2023-04-07T00:00:00"/>
    <x v="120"/>
    <x v="19"/>
    <n v="8.4960000000000001E-3"/>
    <n v="36.753695999999998"/>
    <s v="KL"/>
    <x v="1"/>
    <x v="8"/>
    <s v="Q2"/>
    <n v="132"/>
    <n v="32.772727272727273"/>
    <s v="EDF"/>
    <n v="1"/>
    <n v="4326"/>
    <n v="36.753695999999998"/>
    <n v="32.772727272727273"/>
  </r>
  <r>
    <n v="68689251"/>
    <x v="15"/>
    <n v="1867"/>
    <d v="2023-04-07T00:00:00"/>
    <x v="17"/>
    <x v="20"/>
    <n v="9.5760000000000012E-3"/>
    <n v="17.878392000000002"/>
    <s v="KL"/>
    <x v="1"/>
    <x v="8"/>
    <s v="Q2"/>
    <n v="132"/>
    <n v="14.143939393939394"/>
    <s v="EDF"/>
    <n v="1"/>
    <n v="1867"/>
    <n v="17.878392000000002"/>
    <n v="14.143939393939394"/>
  </r>
  <r>
    <n v="69568829"/>
    <x v="15"/>
    <n v="5656"/>
    <d v="2023-04-07T00:00:00"/>
    <x v="66"/>
    <x v="11"/>
    <n v="8.5199999999999998E-3"/>
    <n v="48.189119999999996"/>
    <s v="BR"/>
    <x v="1"/>
    <x v="6"/>
    <s v="Q2"/>
    <n v="176"/>
    <n v="32.136363636363633"/>
    <s v="48oz"/>
    <n v="1"/>
    <n v="5656"/>
    <n v="48.189119999999996"/>
    <n v="32.136363636363633"/>
  </r>
  <r>
    <n v="68881270"/>
    <x v="16"/>
    <n v="0"/>
    <d v="2023-04-07T00:00:00"/>
    <x v="91"/>
    <x v="13"/>
    <n v="8.5199999999999998E-3"/>
    <n v="0"/>
    <s v="BR"/>
    <x v="1"/>
    <x v="2"/>
    <s v="Q2"/>
    <n v="176"/>
    <n v="0"/>
    <s v="48oz"/>
    <n v="1"/>
    <n v="0"/>
    <n v="0"/>
    <n v="0"/>
  </r>
  <r>
    <n v="69555090"/>
    <x v="16"/>
    <n v="0"/>
    <d v="2023-04-07T00:00:00"/>
    <x v="254"/>
    <x v="14"/>
    <n v="1.98E-3"/>
    <n v="0"/>
    <s v="TA"/>
    <x v="1"/>
    <x v="42"/>
    <s v="Q2"/>
    <n v="176"/>
    <n v="0"/>
    <s v="TAL NV"/>
    <n v="1"/>
    <n v="0"/>
    <n v="0"/>
    <n v="0"/>
  </r>
  <r>
    <n v="67465063"/>
    <x v="15"/>
    <n v="2032"/>
    <d v="2023-04-07T00:00:00"/>
    <x v="3"/>
    <x v="7"/>
    <n v="5.2680000000000001E-3"/>
    <n v="10.704575999999999"/>
    <s v="PS"/>
    <x v="1"/>
    <x v="3"/>
    <s v="Q2"/>
    <n v="130"/>
    <n v="15.63076923076923"/>
    <s v="PG"/>
    <n v="1"/>
    <n v="2032"/>
    <n v="10.704575999999999"/>
    <n v="15.63076923076923"/>
  </r>
  <r>
    <n v="67466462"/>
    <x v="15"/>
    <n v="575"/>
    <d v="2023-04-07T00:00:00"/>
    <x v="29"/>
    <x v="10"/>
    <n v="5.2680000000000001E-3"/>
    <n v="3.0291000000000001"/>
    <s v="PS"/>
    <x v="1"/>
    <x v="3"/>
    <s v="Q2"/>
    <n v="130"/>
    <n v="4.4230769230769234"/>
    <s v="PG"/>
    <n v="1"/>
    <n v="575"/>
    <n v="3.0291000000000001"/>
    <n v="4.4230769230769234"/>
  </r>
  <r>
    <n v="67466492"/>
    <x v="15"/>
    <n v="4420"/>
    <d v="2023-04-07T00:00:00"/>
    <x v="8"/>
    <x v="8"/>
    <n v="5.2680000000000001E-3"/>
    <n v="23.284559999999999"/>
    <s v="PS"/>
    <x v="1"/>
    <x v="3"/>
    <s v="Q2"/>
    <n v="130"/>
    <n v="34"/>
    <s v="PG"/>
    <n v="1"/>
    <n v="4420"/>
    <n v="23.284559999999999"/>
    <n v="34"/>
  </r>
  <r>
    <n v="67885716"/>
    <x v="15"/>
    <n v="2722"/>
    <d v="2023-04-07T00:00:00"/>
    <x v="89"/>
    <x v="11"/>
    <n v="8.5199999999999998E-3"/>
    <n v="23.19144"/>
    <s v="BR"/>
    <x v="1"/>
    <x v="6"/>
    <s v="Q2"/>
    <n v="154"/>
    <n v="17.675324675324674"/>
    <s v="48oz"/>
    <n v="1"/>
    <n v="2722"/>
    <n v="23.19144"/>
    <n v="17.675324675324674"/>
  </r>
  <r>
    <n v="68188183"/>
    <x v="15"/>
    <n v="2176"/>
    <d v="2023-04-07T00:00:00"/>
    <x v="70"/>
    <x v="9"/>
    <n v="3.8340000000000002E-3"/>
    <n v="8.342784"/>
    <s v="PS"/>
    <x v="1"/>
    <x v="3"/>
    <s v="Q2"/>
    <n v="130"/>
    <n v="16.738461538461539"/>
    <s v="PG"/>
    <n v="1"/>
    <n v="2176"/>
    <n v="8.342784"/>
    <n v="16.738461538461539"/>
  </r>
  <r>
    <n v="68737750"/>
    <x v="15"/>
    <n v="10373"/>
    <d v="2023-04-07T00:00:00"/>
    <x v="144"/>
    <x v="23"/>
    <n v="8.5199999999999998E-3"/>
    <n v="88.377960000000002"/>
    <s v="BR"/>
    <x v="1"/>
    <x v="6"/>
    <s v="Q2"/>
    <n v="176"/>
    <n v="58.9375"/>
    <s v="48oz"/>
    <n v="1"/>
    <n v="10373"/>
    <n v="88.377960000000002"/>
    <n v="58.9375"/>
  </r>
  <r>
    <n v="68741742"/>
    <x v="15"/>
    <n v="4408"/>
    <d v="2023-04-07T00:00:00"/>
    <x v="25"/>
    <x v="4"/>
    <n v="4.2560000000000002E-3"/>
    <n v="18.760448"/>
    <s v="GH"/>
    <x v="1"/>
    <x v="4"/>
    <s v="Q2"/>
    <n v="154"/>
    <n v="28.623376623376622"/>
    <s v="MBG"/>
    <n v="1"/>
    <n v="4408"/>
    <n v="18.760448"/>
    <n v="28.623376623376622"/>
  </r>
  <r>
    <n v="68741745"/>
    <x v="15"/>
    <n v="7472"/>
    <d v="2023-04-07T00:00:00"/>
    <x v="281"/>
    <x v="24"/>
    <n v="2.8319999999999999E-3"/>
    <n v="21.160703999999999"/>
    <s v="GH"/>
    <x v="1"/>
    <x v="4"/>
    <s v="Q2"/>
    <n v="315"/>
    <n v="23.720634920634922"/>
    <s v="MBG"/>
    <n v="1"/>
    <n v="7472"/>
    <n v="21.160703999999999"/>
    <n v="23.720634920634922"/>
  </r>
  <r>
    <n v="68852591"/>
    <x v="15"/>
    <n v="2763"/>
    <d v="2023-04-07T00:00:00"/>
    <x v="26"/>
    <x v="17"/>
    <n v="8.5199999999999998E-3"/>
    <n v="23.540759999999999"/>
    <s v="KL"/>
    <x v="1"/>
    <x v="8"/>
    <s v="Q2"/>
    <n v="132"/>
    <n v="20.931818181818183"/>
    <s v="EDF"/>
    <n v="1"/>
    <n v="2763"/>
    <n v="23.540759999999999"/>
    <n v="20.931818181818183"/>
  </r>
  <r>
    <n v="68899825"/>
    <x v="15"/>
    <n v="7544"/>
    <d v="2023-04-07T00:00:00"/>
    <x v="77"/>
    <x v="12"/>
    <n v="8.5199999999999998E-3"/>
    <n v="64.274879999999996"/>
    <s v="BR"/>
    <x v="1"/>
    <x v="6"/>
    <s v="Q2"/>
    <n v="176"/>
    <n v="42.863636363636367"/>
    <s v="48oz"/>
    <n v="1"/>
    <n v="7544"/>
    <n v="64.274879999999996"/>
    <n v="42.863636363636367"/>
  </r>
  <r>
    <n v="69568828"/>
    <x v="15"/>
    <n v="0"/>
    <d v="2023-04-07T00:00:00"/>
    <x v="12"/>
    <x v="16"/>
    <n v="8.5199999999999998E-3"/>
    <n v="0"/>
    <s v="BR"/>
    <x v="1"/>
    <x v="6"/>
    <s v="Q2"/>
    <n v="176"/>
    <n v="0"/>
    <s v="48oz"/>
    <n v="1"/>
    <n v="0"/>
    <n v="0"/>
    <n v="0"/>
  </r>
  <r>
    <n v="69677917"/>
    <x v="15"/>
    <n v="4680"/>
    <d v="2023-04-07T00:00:00"/>
    <x v="30"/>
    <x v="29"/>
    <n v="5.2680000000000001E-3"/>
    <n v="24.654240000000001"/>
    <s v="PS"/>
    <x v="1"/>
    <x v="3"/>
    <s v="Q2"/>
    <n v="108"/>
    <n v="43.333333333333336"/>
    <s v="PG"/>
    <n v="1"/>
    <n v="4680"/>
    <n v="24.654240000000001"/>
    <n v="43.333333333333336"/>
  </r>
  <r>
    <n v="69677917"/>
    <x v="15"/>
    <n v="2375"/>
    <d v="2023-04-07T00:00:00"/>
    <x v="30"/>
    <x v="29"/>
    <n v="5.2680000000000001E-3"/>
    <n v="12.5115"/>
    <s v="PS"/>
    <x v="1"/>
    <x v="3"/>
    <s v="Q2"/>
    <n v="108"/>
    <n v="21.99074074074074"/>
    <s v="PG"/>
    <n v="1"/>
    <n v="2375"/>
    <n v="12.5115"/>
    <n v="21.99074074074074"/>
  </r>
  <r>
    <n v="67885719"/>
    <x v="16"/>
    <n v="13647"/>
    <d v="2023-04-07T00:00:00"/>
    <x v="11"/>
    <x v="32"/>
    <n v="8.5199999999999998E-3"/>
    <n v="116.27244"/>
    <s v="BR"/>
    <x v="1"/>
    <x v="2"/>
    <s v="Q2"/>
    <n v="154"/>
    <n v="88.616883116883116"/>
    <s v="48oz"/>
    <n v="1"/>
    <n v="13647"/>
    <n v="116.27244"/>
    <n v="88.616883116883116"/>
  </r>
  <r>
    <n v="67885719"/>
    <x v="16"/>
    <n v="8094"/>
    <d v="2023-04-07T00:00:00"/>
    <x v="11"/>
    <x v="13"/>
    <n v="8.5199999999999998E-3"/>
    <n v="68.960880000000003"/>
    <s v="BR"/>
    <x v="1"/>
    <x v="2"/>
    <s v="Q2"/>
    <n v="154"/>
    <n v="52.558441558441558"/>
    <s v="48oz"/>
    <n v="1"/>
    <n v="8094"/>
    <n v="68.960880000000003"/>
    <n v="52.558441558441558"/>
  </r>
  <r>
    <n v="68634167"/>
    <x v="16"/>
    <n v="1014"/>
    <d v="2023-04-07T00:00:00"/>
    <x v="91"/>
    <x v="13"/>
    <n v="8.5199999999999998E-3"/>
    <n v="8.6392799999999994"/>
    <s v="BR"/>
    <x v="1"/>
    <x v="2"/>
    <s v="Q2"/>
    <n v="154"/>
    <n v="6.5844155844155843"/>
    <s v="48oz"/>
    <n v="1"/>
    <n v="1014"/>
    <n v="8.6392799999999994"/>
    <n v="6.5844155844155843"/>
  </r>
  <r>
    <n v="68649095"/>
    <x v="16"/>
    <n v="10348"/>
    <d v="2023-04-07T00:00:00"/>
    <x v="286"/>
    <x v="15"/>
    <n v="3.5999999999999999E-3"/>
    <n v="37.252800000000001"/>
    <s v="BJ"/>
    <x v="1"/>
    <x v="19"/>
    <s v="Q2"/>
    <n v="240"/>
    <n v="43.116666666666667"/>
    <s v="TOPPED"/>
    <n v="1"/>
    <n v="10348"/>
    <n v="37.252800000000001"/>
    <n v="43.116666666666667"/>
  </r>
  <r>
    <n v="68649096"/>
    <x v="16"/>
    <n v="8397"/>
    <d v="2023-04-07T00:00:00"/>
    <x v="241"/>
    <x v="15"/>
    <n v="3.5999999999999999E-3"/>
    <n v="30.229199999999999"/>
    <s v="BJ"/>
    <x v="1"/>
    <x v="19"/>
    <s v="Q2"/>
    <n v="240"/>
    <n v="34.987499999999997"/>
    <s v="TOPPED"/>
    <n v="1"/>
    <n v="8397"/>
    <n v="30.229199999999999"/>
    <n v="34.987499999999997"/>
  </r>
  <r>
    <n v="68689253"/>
    <x v="16"/>
    <n v="29"/>
    <d v="2023-04-07T00:00:00"/>
    <x v="125"/>
    <x v="18"/>
    <n v="6.0035555555555554E-3"/>
    <n v="0.1741031111111111"/>
    <s v="KL"/>
    <x v="1"/>
    <x v="9"/>
    <s v="Q2"/>
    <n v="120"/>
    <n v="0.24166666666666667"/>
    <s v="ESS"/>
    <n v="1"/>
    <n v="29"/>
    <n v="0.1741031111111111"/>
    <n v="0.24166666666666667"/>
  </r>
  <r>
    <n v="68896052"/>
    <x v="16"/>
    <n v="12698"/>
    <d v="2023-04-07T00:00:00"/>
    <x v="36"/>
    <x v="2"/>
    <n v="8.5199999999999998E-3"/>
    <n v="108.18696"/>
    <s v="BR"/>
    <x v="1"/>
    <x v="2"/>
    <s v="Q2"/>
    <n v="176"/>
    <n v="72.147727272727266"/>
    <s v="48oz"/>
    <n v="1"/>
    <n v="12698"/>
    <n v="108.18696"/>
    <n v="72.147727272727266"/>
  </r>
  <r>
    <n v="68896055"/>
    <x v="16"/>
    <n v="661"/>
    <d v="2023-04-07T00:00:00"/>
    <x v="326"/>
    <x v="2"/>
    <n v="8.5199999999999998E-3"/>
    <n v="5.6317199999999996"/>
    <s v="BR"/>
    <x v="1"/>
    <x v="2"/>
    <s v="Q2"/>
    <n v="154"/>
    <n v="4.2922077922077921"/>
    <s v="48oz"/>
    <n v="1"/>
    <n v="661"/>
    <n v="5.6317199999999996"/>
    <n v="4.2922077922077921"/>
  </r>
  <r>
    <n v="69572658"/>
    <x v="16"/>
    <n v="8066"/>
    <d v="2023-04-07T00:00:00"/>
    <x v="166"/>
    <x v="5"/>
    <n v="2.1520000000000003E-3"/>
    <n v="17.358032000000001"/>
    <s v="MG"/>
    <x v="1"/>
    <x v="5"/>
    <s v="Q2"/>
    <n v="210"/>
    <n v="38.409523809523812"/>
    <s v="MG Sticks"/>
    <n v="1"/>
    <n v="8066"/>
    <n v="17.358032000000001"/>
    <n v="38.409523809523812"/>
  </r>
  <r>
    <n v="69621212"/>
    <x v="16"/>
    <n v="6050"/>
    <d v="2023-04-07T00:00:00"/>
    <x v="29"/>
    <x v="28"/>
    <n v="5.2680000000000001E-3"/>
    <n v="31.871400000000001"/>
    <s v="PG"/>
    <x v="1"/>
    <x v="14"/>
    <s v="Q2"/>
    <n v="130"/>
    <n v="46.53846153846154"/>
    <s v="PG"/>
    <n v="1"/>
    <n v="6050"/>
    <n v="31.871400000000001"/>
    <n v="46.53846153846154"/>
  </r>
  <r>
    <n v="69677917"/>
    <x v="16"/>
    <n v="4507"/>
    <d v="2023-04-07T00:00:00"/>
    <x v="30"/>
    <x v="30"/>
    <n v="5.2680000000000001E-3"/>
    <n v="23.742875999999999"/>
    <s v="PS"/>
    <x v="1"/>
    <x v="14"/>
    <s v="Q2"/>
    <n v="108"/>
    <n v="41.731481481481481"/>
    <s v="PG"/>
    <n v="1"/>
    <n v="4507"/>
    <n v="23.742875999999999"/>
    <n v="41.731481481481481"/>
  </r>
  <r>
    <n v="69717802"/>
    <x v="16"/>
    <n v="1660"/>
    <d v="2023-04-07T00:00:00"/>
    <x v="31"/>
    <x v="31"/>
    <n v="4.2560000000000002E-3"/>
    <n v="7.0649600000000001"/>
    <s v="BR"/>
    <x v="1"/>
    <x v="5"/>
    <s v="Q2"/>
    <n v="143"/>
    <n v="11.608391608391608"/>
    <s v="MG Sticks"/>
    <n v="1"/>
    <n v="1660"/>
    <n v="7.0649600000000001"/>
    <n v="11.608391608391608"/>
  </r>
  <r>
    <n v="67908208"/>
    <x v="16"/>
    <n v="1586"/>
    <d v="2023-04-07T00:00:00"/>
    <x v="225"/>
    <x v="25"/>
    <n v="3.9039999999999999E-3"/>
    <n v="6.1917439999999999"/>
    <s v="GH"/>
    <x v="1"/>
    <x v="11"/>
    <s v="Q2"/>
    <n v="154"/>
    <n v="10.2987012987013"/>
    <s v="MBG"/>
    <n v="1"/>
    <n v="1586"/>
    <n v="6.1917439999999999"/>
    <n v="10.2987012987013"/>
  </r>
  <r>
    <n v="67466492"/>
    <x v="15"/>
    <n v="3101"/>
    <d v="2023-04-08T00:00:00"/>
    <x v="8"/>
    <x v="8"/>
    <n v="5.2680000000000001E-3"/>
    <n v="16.336068000000001"/>
    <s v="PS"/>
    <x v="1"/>
    <x v="3"/>
    <s v="Q2"/>
    <n v="130"/>
    <n v="23.853846153846153"/>
    <s v="PG"/>
    <n v="1"/>
    <n v="3101"/>
    <n v="16.336068000000001"/>
    <n v="23.853846153846153"/>
  </r>
  <r>
    <n v="67466492"/>
    <x v="15"/>
    <n v="0"/>
    <d v="2023-04-08T00:00:00"/>
    <x v="8"/>
    <x v="6"/>
    <n v="5.2680000000000001E-3"/>
    <n v="0"/>
    <s v="PS"/>
    <x v="1"/>
    <x v="3"/>
    <s v="Q2"/>
    <n v="130"/>
    <n v="0"/>
    <s v="PG"/>
    <n v="1"/>
    <n v="0"/>
    <n v="0"/>
    <n v="0"/>
  </r>
  <r>
    <n v="67885716"/>
    <x v="15"/>
    <n v="5387"/>
    <d v="2023-04-08T00:00:00"/>
    <x v="89"/>
    <x v="11"/>
    <n v="8.5199999999999998E-3"/>
    <n v="45.897239999999996"/>
    <s v="BR"/>
    <x v="1"/>
    <x v="6"/>
    <s v="Q2"/>
    <n v="154"/>
    <n v="34.980519480519483"/>
    <s v="48oz"/>
    <n v="1"/>
    <n v="5387"/>
    <n v="45.897239999999996"/>
    <n v="34.980519480519483"/>
  </r>
  <r>
    <n v="67885718"/>
    <x v="15"/>
    <n v="3019"/>
    <d v="2023-04-08T00:00:00"/>
    <x v="48"/>
    <x v="12"/>
    <n v="8.5199999999999998E-3"/>
    <n v="25.721879999999999"/>
    <s v="BR"/>
    <x v="1"/>
    <x v="6"/>
    <s v="Q2"/>
    <n v="154"/>
    <n v="19.603896103896105"/>
    <s v="48oz"/>
    <n v="1"/>
    <n v="3019"/>
    <n v="25.721879999999999"/>
    <n v="19.603896103896105"/>
  </r>
  <r>
    <n v="68689251"/>
    <x v="15"/>
    <n v="0"/>
    <d v="2023-04-08T00:00:00"/>
    <x v="17"/>
    <x v="20"/>
    <n v="9.5760000000000012E-3"/>
    <n v="0"/>
    <s v="KL"/>
    <x v="1"/>
    <x v="8"/>
    <s v="Q2"/>
    <n v="132"/>
    <n v="0"/>
    <s v="EDF"/>
    <n v="1"/>
    <n v="0"/>
    <n v="0"/>
    <n v="0"/>
  </r>
  <r>
    <n v="68689251"/>
    <x v="15"/>
    <n v="3229"/>
    <d v="2023-04-08T00:00:00"/>
    <x v="17"/>
    <x v="17"/>
    <n v="9.5760000000000012E-3"/>
    <n v="30.920904000000004"/>
    <s v="KL"/>
    <x v="1"/>
    <x v="8"/>
    <s v="Q2"/>
    <n v="132"/>
    <n v="24.462121212121211"/>
    <s v="EDF"/>
    <n v="1"/>
    <n v="3229"/>
    <n v="30.920904000000004"/>
    <n v="24.462121212121211"/>
  </r>
  <r>
    <n v="68741742"/>
    <x v="15"/>
    <n v="3327"/>
    <d v="2023-04-08T00:00:00"/>
    <x v="25"/>
    <x v="4"/>
    <n v="4.2560000000000002E-3"/>
    <n v="14.159712000000001"/>
    <s v="GH"/>
    <x v="1"/>
    <x v="4"/>
    <s v="Q2"/>
    <n v="154"/>
    <n v="21.603896103896105"/>
    <s v="MBG"/>
    <n v="1"/>
    <n v="3327"/>
    <n v="14.159712000000001"/>
    <n v="21.603896103896105"/>
  </r>
  <r>
    <n v="68852591"/>
    <x v="15"/>
    <n v="0"/>
    <d v="2023-04-08T00:00:00"/>
    <x v="26"/>
    <x v="17"/>
    <n v="8.5199999999999998E-3"/>
    <n v="0"/>
    <s v="KL"/>
    <x v="1"/>
    <x v="8"/>
    <s v="Q2"/>
    <n v="132"/>
    <n v="0"/>
    <s v="EDF"/>
    <n v="1"/>
    <n v="0"/>
    <n v="0"/>
    <n v="0"/>
  </r>
  <r>
    <n v="68899825"/>
    <x v="15"/>
    <n v="0"/>
    <d v="2023-04-08T00:00:00"/>
    <x v="77"/>
    <x v="12"/>
    <n v="8.5199999999999998E-3"/>
    <n v="0"/>
    <s v="BR"/>
    <x v="1"/>
    <x v="6"/>
    <s v="Q2"/>
    <n v="176"/>
    <n v="0"/>
    <s v="48oz"/>
    <n v="1"/>
    <n v="0"/>
    <n v="0"/>
    <n v="0"/>
  </r>
  <r>
    <n v="69677917"/>
    <x v="15"/>
    <n v="2836"/>
    <d v="2023-04-08T00:00:00"/>
    <x v="30"/>
    <x v="29"/>
    <n v="5.2680000000000001E-3"/>
    <n v="14.940048000000001"/>
    <s v="PS"/>
    <x v="1"/>
    <x v="3"/>
    <s v="Q2"/>
    <n v="108"/>
    <n v="26.25925925925926"/>
    <s v="PG"/>
    <n v="1"/>
    <n v="2836"/>
    <n v="14.940048000000001"/>
    <n v="26.25925925925926"/>
  </r>
  <r>
    <n v="67885719"/>
    <x v="16"/>
    <n v="0"/>
    <d v="2023-04-08T00:00:00"/>
    <x v="11"/>
    <x v="32"/>
    <n v="8.5199999999999998E-3"/>
    <n v="0"/>
    <s v="BR"/>
    <x v="1"/>
    <x v="2"/>
    <s v="Q2"/>
    <n v="154"/>
    <n v="0"/>
    <s v="48oz"/>
    <n v="1"/>
    <n v="0"/>
    <n v="0"/>
    <n v="0"/>
  </r>
  <r>
    <n v="68649095"/>
    <x v="16"/>
    <n v="0"/>
    <d v="2023-04-08T00:00:00"/>
    <x v="286"/>
    <x v="15"/>
    <n v="3.5999999999999999E-3"/>
    <n v="0"/>
    <s v="BJ"/>
    <x v="1"/>
    <x v="19"/>
    <s v="Q2"/>
    <n v="240"/>
    <n v="0"/>
    <s v="TOPPED"/>
    <n v="1"/>
    <n v="0"/>
    <n v="0"/>
    <n v="0"/>
  </r>
  <r>
    <n v="68881270"/>
    <x v="16"/>
    <n v="0"/>
    <d v="2023-04-08T00:00:00"/>
    <x v="91"/>
    <x v="13"/>
    <n v="8.5199999999999998E-3"/>
    <n v="0"/>
    <s v="BR"/>
    <x v="1"/>
    <x v="2"/>
    <s v="Q2"/>
    <n v="176"/>
    <n v="0"/>
    <s v="48oz"/>
    <n v="1"/>
    <n v="0"/>
    <n v="0"/>
    <n v="0"/>
  </r>
  <r>
    <n v="67466462"/>
    <x v="15"/>
    <n v="3118"/>
    <d v="2023-04-08T00:00:00"/>
    <x v="29"/>
    <x v="10"/>
    <n v="5.2680000000000001E-3"/>
    <n v="16.425623999999999"/>
    <s v="PS"/>
    <x v="1"/>
    <x v="3"/>
    <s v="Q2"/>
    <n v="130"/>
    <n v="23.984615384615385"/>
    <s v="PG"/>
    <n v="1"/>
    <n v="3118"/>
    <n v="16.425623999999999"/>
    <n v="23.984615384615385"/>
  </r>
  <r>
    <n v="67885718"/>
    <x v="15"/>
    <n v="4270"/>
    <d v="2023-04-08T00:00:00"/>
    <x v="48"/>
    <x v="12"/>
    <n v="8.5199999999999998E-3"/>
    <n v="36.380400000000002"/>
    <s v="BR"/>
    <x v="1"/>
    <x v="6"/>
    <s v="Q2"/>
    <n v="154"/>
    <n v="27.727272727272727"/>
    <s v="48oz"/>
    <n v="1"/>
    <n v="4270"/>
    <n v="36.380400000000002"/>
    <n v="27.727272727272727"/>
  </r>
  <r>
    <n v="68741745"/>
    <x v="15"/>
    <n v="5381"/>
    <d v="2023-04-08T00:00:00"/>
    <x v="281"/>
    <x v="24"/>
    <n v="2.8319999999999999E-3"/>
    <n v="15.238992"/>
    <s v="GH"/>
    <x v="1"/>
    <x v="4"/>
    <s v="Q2"/>
    <n v="315"/>
    <n v="17.082539682539682"/>
    <s v="MBG"/>
    <n v="1"/>
    <n v="5381"/>
    <n v="15.238992"/>
    <n v="17.082539682539682"/>
  </r>
  <r>
    <n v="67885719"/>
    <x v="16"/>
    <n v="6882"/>
    <d v="2023-04-08T00:00:00"/>
    <x v="11"/>
    <x v="13"/>
    <n v="8.5199999999999998E-3"/>
    <n v="58.634639999999997"/>
    <s v="BR"/>
    <x v="1"/>
    <x v="2"/>
    <s v="Q2"/>
    <n v="154"/>
    <n v="44.688311688311686"/>
    <s v="48oz"/>
    <n v="1"/>
    <n v="6882"/>
    <n v="58.634639999999997"/>
    <n v="44.688311688311686"/>
  </r>
  <r>
    <n v="67908208"/>
    <x v="16"/>
    <n v="2874"/>
    <d v="2023-04-08T00:00:00"/>
    <x v="225"/>
    <x v="25"/>
    <n v="3.9039999999999999E-3"/>
    <n v="11.220096"/>
    <s v="GH"/>
    <x v="1"/>
    <x v="11"/>
    <s v="Q2"/>
    <n v="154"/>
    <n v="18.662337662337663"/>
    <s v="MBG"/>
    <n v="1"/>
    <n v="2874"/>
    <n v="11.220096"/>
    <n v="18.662337662337663"/>
  </r>
  <r>
    <n v="69621212"/>
    <x v="16"/>
    <n v="3573"/>
    <d v="2023-04-08T00:00:00"/>
    <x v="29"/>
    <x v="28"/>
    <n v="5.2680000000000001E-3"/>
    <n v="18.822564"/>
    <s v="PG"/>
    <x v="1"/>
    <x v="14"/>
    <s v="Q2"/>
    <n v="130"/>
    <n v="27.484615384615385"/>
    <s v="PG"/>
    <n v="1"/>
    <n v="3573"/>
    <n v="18.822564"/>
    <n v="27.484615384615385"/>
  </r>
  <r>
    <n v="69677917"/>
    <x v="16"/>
    <n v="2887"/>
    <d v="2023-04-08T00:00:00"/>
    <x v="30"/>
    <x v="30"/>
    <n v="5.2680000000000001E-3"/>
    <n v="15.208716000000001"/>
    <s v="PS"/>
    <x v="1"/>
    <x v="14"/>
    <s v="Q2"/>
    <n v="108"/>
    <n v="26.731481481481481"/>
    <s v="PG"/>
    <n v="1"/>
    <n v="2887"/>
    <n v="15.208716000000001"/>
    <n v="26.731481481481481"/>
  </r>
  <r>
    <n v="67901583"/>
    <x v="16"/>
    <n v="7524"/>
    <d v="2023-04-08T00:00:00"/>
    <x v="50"/>
    <x v="32"/>
    <n v="8.5199999999999998E-3"/>
    <n v="64.104479999999995"/>
    <s v="BR"/>
    <x v="1"/>
    <x v="2"/>
    <s v="Q2"/>
    <n v="154"/>
    <n v="48.857142857142854"/>
    <s v="48oz"/>
    <n v="1"/>
    <n v="7524"/>
    <n v="64.104479999999995"/>
    <n v="48.857142857142854"/>
  </r>
  <r>
    <n v="84135718"/>
    <x v="17"/>
    <n v="23760"/>
    <d v="2023-04-09T00:00:00"/>
    <x v="147"/>
    <x v="38"/>
    <n v="3.7853439999999999E-3"/>
    <n v="89.939773439999996"/>
    <s v="BJ"/>
    <x v="1"/>
    <x v="15"/>
    <s v="Q2"/>
    <n v="240"/>
    <n v="99"/>
    <s v="BJ PTS"/>
    <n v="1"/>
    <n v="23760"/>
    <n v="89.939773439999996"/>
    <n v="99"/>
  </r>
  <r>
    <n v="67901583"/>
    <x v="16"/>
    <n v="13038"/>
    <d v="2023-04-09T00:00:00"/>
    <x v="50"/>
    <x v="32"/>
    <n v="8.5199999999999998E-3"/>
    <n v="111.08376"/>
    <s v="BR"/>
    <x v="1"/>
    <x v="2"/>
    <s v="Q2"/>
    <n v="154"/>
    <n v="84.662337662337663"/>
    <s v="48oz"/>
    <n v="1"/>
    <n v="13038"/>
    <n v="111.08376"/>
    <n v="84.662337662337663"/>
  </r>
  <r>
    <n v="68896052"/>
    <x v="16"/>
    <n v="9799"/>
    <d v="2023-04-09T00:00:00"/>
    <x v="36"/>
    <x v="2"/>
    <n v="8.5199999999999998E-3"/>
    <n v="83.487480000000005"/>
    <s v="BR"/>
    <x v="1"/>
    <x v="2"/>
    <s v="Q2"/>
    <n v="176"/>
    <n v="55.676136363636367"/>
    <s v="48oz"/>
    <n v="1"/>
    <n v="9799"/>
    <n v="83.487480000000005"/>
    <n v="55.676136363636367"/>
  </r>
  <r>
    <n v="67465063"/>
    <x v="15"/>
    <n v="63"/>
    <d v="2023-04-10T00:00:00"/>
    <x v="3"/>
    <x v="40"/>
    <n v="5.2680000000000001E-3"/>
    <n v="0.33188400000000001"/>
    <s v="PS"/>
    <x v="1"/>
    <x v="3"/>
    <s v="Q2"/>
    <n v="130"/>
    <n v="0.48461538461538461"/>
    <s v="PG"/>
    <n v="1"/>
    <n v="63"/>
    <n v="0.33188400000000001"/>
    <n v="0.48461538461538461"/>
  </r>
  <r>
    <n v="67465063"/>
    <x v="15"/>
    <n v="1373"/>
    <d v="2023-04-10T00:00:00"/>
    <x v="3"/>
    <x v="7"/>
    <n v="5.2680000000000001E-3"/>
    <n v="7.2329639999999999"/>
    <s v="PS"/>
    <x v="1"/>
    <x v="3"/>
    <s v="Q2"/>
    <n v="130"/>
    <n v="10.561538461538461"/>
    <s v="PG"/>
    <n v="1"/>
    <n v="1373"/>
    <n v="7.2329639999999999"/>
    <n v="10.561538461538461"/>
  </r>
  <r>
    <n v="67466492"/>
    <x v="15"/>
    <n v="2693"/>
    <d v="2023-04-10T00:00:00"/>
    <x v="8"/>
    <x v="6"/>
    <n v="5.2680000000000001E-3"/>
    <n v="14.186724"/>
    <s v="PS"/>
    <x v="1"/>
    <x v="3"/>
    <s v="Q2"/>
    <n v="130"/>
    <n v="20.715384615384615"/>
    <s v="PG"/>
    <n v="1"/>
    <n v="2693"/>
    <n v="14.186724"/>
    <n v="20.715384615384615"/>
  </r>
  <r>
    <n v="67466492"/>
    <x v="15"/>
    <n v="353"/>
    <d v="2023-04-10T00:00:00"/>
    <x v="8"/>
    <x v="8"/>
    <n v="5.2680000000000001E-3"/>
    <n v="1.859604"/>
    <s v="PS"/>
    <x v="1"/>
    <x v="3"/>
    <s v="Q2"/>
    <n v="130"/>
    <n v="2.7153846153846155"/>
    <s v="PG"/>
    <n v="1"/>
    <n v="353"/>
    <n v="1.859604"/>
    <n v="2.7153846153846155"/>
  </r>
  <r>
    <n v="67885716"/>
    <x v="15"/>
    <n v="5038"/>
    <d v="2023-04-10T00:00:00"/>
    <x v="89"/>
    <x v="11"/>
    <n v="8.5199999999999998E-3"/>
    <n v="42.923760000000001"/>
    <s v="BR"/>
    <x v="1"/>
    <x v="6"/>
    <s v="Q2"/>
    <n v="154"/>
    <n v="32.714285714285715"/>
    <s v="48oz"/>
    <n v="1"/>
    <n v="5038"/>
    <n v="42.923760000000001"/>
    <n v="32.714285714285715"/>
  </r>
  <r>
    <n v="67885716"/>
    <x v="15"/>
    <n v="0"/>
    <d v="2023-04-10T00:00:00"/>
    <x v="89"/>
    <x v="11"/>
    <n v="8.5199999999999998E-3"/>
    <n v="0"/>
    <s v="BR"/>
    <x v="1"/>
    <x v="6"/>
    <s v="Q2"/>
    <n v="154"/>
    <n v="0"/>
    <s v="48oz"/>
    <n v="1"/>
    <n v="0"/>
    <n v="0"/>
    <n v="0"/>
  </r>
  <r>
    <n v="67885719"/>
    <x v="15"/>
    <n v="10964"/>
    <d v="2023-04-10T00:00:00"/>
    <x v="11"/>
    <x v="12"/>
    <n v="8.5199999999999998E-3"/>
    <n v="93.41328"/>
    <s v="BR"/>
    <x v="1"/>
    <x v="6"/>
    <s v="Q2"/>
    <n v="154"/>
    <n v="71.194805194805198"/>
    <s v="48oz"/>
    <n v="1"/>
    <n v="10964"/>
    <n v="93.41328"/>
    <n v="71.194805194805198"/>
  </r>
  <r>
    <n v="68188183"/>
    <x v="15"/>
    <n v="3291"/>
    <d v="2023-04-10T00:00:00"/>
    <x v="70"/>
    <x v="9"/>
    <n v="3.8340000000000002E-3"/>
    <n v="12.617694"/>
    <s v="PS"/>
    <x v="1"/>
    <x v="3"/>
    <s v="Q2"/>
    <n v="130"/>
    <n v="25.315384615384616"/>
    <s v="PG"/>
    <n v="1"/>
    <n v="3291"/>
    <n v="12.617694"/>
    <n v="25.315384615384616"/>
  </r>
  <r>
    <n v="68300738"/>
    <x v="15"/>
    <n v="5043"/>
    <d v="2023-04-10T00:00:00"/>
    <x v="120"/>
    <x v="19"/>
    <n v="8.4960000000000001E-3"/>
    <n v="42.845328000000002"/>
    <s v="KL"/>
    <x v="1"/>
    <x v="8"/>
    <s v="Q2"/>
    <n v="132"/>
    <n v="38.204545454545453"/>
    <s v="EDF"/>
    <n v="1"/>
    <n v="5043"/>
    <n v="42.845328000000002"/>
    <n v="38.204545454545453"/>
  </r>
  <r>
    <n v="68656231"/>
    <x v="15"/>
    <n v="965"/>
    <d v="2023-04-10T00:00:00"/>
    <x v="16"/>
    <x v="16"/>
    <n v="8.5199999999999998E-3"/>
    <n v="8.2218"/>
    <s v="BR"/>
    <x v="1"/>
    <x v="6"/>
    <s v="Q2"/>
    <n v="154"/>
    <n v="6.2662337662337659"/>
    <s v="48oz"/>
    <n v="1"/>
    <n v="965"/>
    <n v="8.2218"/>
    <n v="6.2662337662337659"/>
  </r>
  <r>
    <n v="68689251"/>
    <x v="15"/>
    <n v="453"/>
    <d v="2023-04-10T00:00:00"/>
    <x v="17"/>
    <x v="17"/>
    <n v="9.5760000000000012E-3"/>
    <n v="4.3379280000000007"/>
    <s v="KL"/>
    <x v="1"/>
    <x v="8"/>
    <s v="Q2"/>
    <n v="132"/>
    <n v="3.4318181818181817"/>
    <s v="EDF"/>
    <n v="1"/>
    <n v="453"/>
    <n v="4.3379280000000007"/>
    <n v="3.4318181818181817"/>
  </r>
  <r>
    <n v="68726871"/>
    <x v="15"/>
    <n v="2871"/>
    <d v="2023-04-10T00:00:00"/>
    <x v="328"/>
    <x v="24"/>
    <n v="2.8319999999999999E-3"/>
    <n v="8.1306719999999988"/>
    <s v="GH"/>
    <x v="1"/>
    <x v="4"/>
    <s v="Q2"/>
    <n v="225"/>
    <n v="12.76"/>
    <s v="MBG"/>
    <n v="1"/>
    <n v="2871"/>
    <n v="8.1306719999999988"/>
    <n v="12.76"/>
  </r>
  <r>
    <n v="68737750"/>
    <x v="15"/>
    <n v="11479"/>
    <d v="2023-04-10T00:00:00"/>
    <x v="144"/>
    <x v="23"/>
    <n v="8.5199999999999998E-3"/>
    <n v="97.801079999999999"/>
    <s v="BR"/>
    <x v="1"/>
    <x v="6"/>
    <s v="Q2"/>
    <n v="176"/>
    <n v="65.221590909090907"/>
    <s v="48oz"/>
    <n v="1"/>
    <n v="11479"/>
    <n v="97.801079999999999"/>
    <n v="65.221590909090907"/>
  </r>
  <r>
    <n v="68741742"/>
    <x v="15"/>
    <n v="506"/>
    <d v="2023-04-10T00:00:00"/>
    <x v="25"/>
    <x v="4"/>
    <n v="4.2560000000000002E-3"/>
    <n v="2.1535360000000003"/>
    <s v="GH"/>
    <x v="1"/>
    <x v="4"/>
    <s v="Q2"/>
    <n v="154"/>
    <n v="3.2857142857142856"/>
    <s v="MBG"/>
    <n v="1"/>
    <n v="506"/>
    <n v="2.1535360000000003"/>
    <n v="3.2857142857142856"/>
  </r>
  <r>
    <n v="68741742"/>
    <x v="15"/>
    <n v="0"/>
    <d v="2023-04-10T00:00:00"/>
    <x v="25"/>
    <x v="4"/>
    <n v="4.2560000000000002E-3"/>
    <n v="0"/>
    <s v="GH"/>
    <x v="1"/>
    <x v="4"/>
    <s v="Q2"/>
    <n v="154"/>
    <n v="0"/>
    <s v="MBG"/>
    <n v="1"/>
    <n v="0"/>
    <n v="0"/>
    <n v="0"/>
  </r>
  <r>
    <n v="68746232"/>
    <x v="16"/>
    <n v="0"/>
    <d v="2023-04-10T00:00:00"/>
    <x v="154"/>
    <x v="26"/>
    <n v="9.5879999999999993E-3"/>
    <n v="0"/>
    <s v="KL"/>
    <x v="1"/>
    <x v="12"/>
    <s v="Q2"/>
    <n v="132"/>
    <n v="0"/>
    <s v="EDF"/>
    <n v="1"/>
    <n v="0"/>
    <n v="0"/>
    <n v="0"/>
  </r>
  <r>
    <n v="67789313"/>
    <x v="17"/>
    <n v="20825"/>
    <d v="2023-04-10T00:00:00"/>
    <x v="169"/>
    <x v="35"/>
    <n v="3.7853439999999999E-3"/>
    <n v="78.829788800000003"/>
    <s v="BJ"/>
    <x v="1"/>
    <x v="15"/>
    <s v="Q2"/>
    <n v="240"/>
    <n v="86.770833333333329"/>
    <s v="BJ PTS"/>
    <n v="1"/>
    <n v="20825"/>
    <n v="78.829788800000003"/>
    <n v="86.770833333333329"/>
  </r>
  <r>
    <n v="67789313"/>
    <x v="17"/>
    <n v="15251"/>
    <d v="2023-04-10T00:00:00"/>
    <x v="169"/>
    <x v="35"/>
    <n v="3.7853439999999999E-3"/>
    <n v="57.730281343999998"/>
    <s v="BJ"/>
    <x v="1"/>
    <x v="15"/>
    <s v="Q2"/>
    <n v="240"/>
    <n v="63.545833333333334"/>
    <s v="BJ PTS"/>
    <n v="1"/>
    <n v="15251"/>
    <n v="57.730281343999998"/>
    <n v="63.545833333333334"/>
  </r>
  <r>
    <n v="68654238"/>
    <x v="17"/>
    <n v="14214"/>
    <d v="2023-04-10T00:00:00"/>
    <x v="54"/>
    <x v="33"/>
    <n v="3.7839999999999996E-3"/>
    <n v="53.785775999999991"/>
    <s v="BJ"/>
    <x v="1"/>
    <x v="15"/>
    <s v="Q2"/>
    <n v="240"/>
    <n v="59.225000000000001"/>
    <s v="BJ PTS"/>
    <n v="1"/>
    <n v="14214"/>
    <n v="53.785775999999991"/>
    <n v="59.225000000000001"/>
  </r>
  <r>
    <n v="68940228"/>
    <x v="17"/>
    <n v="31596"/>
    <d v="2023-04-10T00:00:00"/>
    <x v="105"/>
    <x v="35"/>
    <n v="3.7839999999999996E-3"/>
    <n v="119.55926399999998"/>
    <s v="BJ"/>
    <x v="1"/>
    <x v="15"/>
    <s v="Q2"/>
    <n v="240"/>
    <n v="131.65"/>
    <s v="BJ PTS"/>
    <n v="1"/>
    <n v="31596"/>
    <n v="119.55926399999998"/>
    <n v="131.65"/>
  </r>
  <r>
    <n v="84136043"/>
    <x v="17"/>
    <n v="21293"/>
    <d v="2023-04-10T00:00:00"/>
    <x v="131"/>
    <x v="38"/>
    <n v="3.7853439999999999E-3"/>
    <n v="80.601329792000001"/>
    <s v="BJ"/>
    <x v="1"/>
    <x v="15"/>
    <s v="Q2"/>
    <n v="240"/>
    <n v="88.720833333333331"/>
    <s v="BJ PTS"/>
    <n v="1"/>
    <n v="21293"/>
    <n v="80.601329792000001"/>
    <n v="88.720833333333331"/>
  </r>
  <r>
    <n v="84139971"/>
    <x v="17"/>
    <n v="5884"/>
    <d v="2023-04-10T00:00:00"/>
    <x v="329"/>
    <x v="35"/>
    <n v="9.0848256361922702E-3"/>
    <n v="53.455114043355316"/>
    <s v="BJ"/>
    <x v="1"/>
    <x v="39"/>
    <s v="Q2"/>
    <n v="125"/>
    <n v="47.072000000000003"/>
    <s v="2.4 Gal"/>
    <n v="1"/>
    <n v="5884"/>
    <n v="53.455114043355316"/>
    <n v="47.072000000000003"/>
  </r>
  <r>
    <n v="84139972"/>
    <x v="17"/>
    <n v="6224"/>
    <d v="2023-04-10T00:00:00"/>
    <x v="330"/>
    <x v="35"/>
    <n v="9.0848256361922702E-3"/>
    <n v="56.543954759660693"/>
    <s v="BJ"/>
    <x v="1"/>
    <x v="39"/>
    <s v="Q2"/>
    <n v="125"/>
    <n v="49.792000000000002"/>
    <s v="2.4 Gal"/>
    <n v="1"/>
    <n v="6224"/>
    <n v="56.543954759660693"/>
    <n v="49.792000000000002"/>
  </r>
  <r>
    <n v="84141094"/>
    <x v="17"/>
    <n v="60225"/>
    <d v="2023-04-10T00:00:00"/>
    <x v="107"/>
    <x v="33"/>
    <n v="3.7853439999999999E-3"/>
    <n v="227.9723424"/>
    <s v="BJ"/>
    <x v="1"/>
    <x v="15"/>
    <s v="Q2"/>
    <n v="240"/>
    <n v="250.9375"/>
    <s v="BJ PTS"/>
    <n v="1"/>
    <n v="60225"/>
    <n v="227.9723424"/>
    <n v="250.9375"/>
  </r>
  <r>
    <n v="84161610"/>
    <x v="17"/>
    <n v="48581"/>
    <d v="2023-04-10T00:00:00"/>
    <x v="99"/>
    <x v="38"/>
    <n v="3.7853439999999999E-3"/>
    <n v="183.895796864"/>
    <s v="BJ"/>
    <x v="1"/>
    <x v="15"/>
    <s v="Q2"/>
    <n v="240"/>
    <n v="202.42083333333332"/>
    <s v="BJ PTS"/>
    <n v="1"/>
    <n v="48581"/>
    <n v="183.895796864"/>
    <n v="202.42083333333332"/>
  </r>
  <r>
    <n v="67466462"/>
    <x v="15"/>
    <n v="2983"/>
    <d v="2023-04-10T00:00:00"/>
    <x v="29"/>
    <x v="10"/>
    <n v="5.2680000000000001E-3"/>
    <n v="15.714444"/>
    <s v="PS"/>
    <x v="1"/>
    <x v="3"/>
    <s v="Q2"/>
    <n v="130"/>
    <n v="22.946153846153845"/>
    <s v="PG"/>
    <n v="1"/>
    <n v="2983"/>
    <n v="15.714444"/>
    <n v="22.946153846153845"/>
  </r>
  <r>
    <n v="68689251"/>
    <x v="15"/>
    <n v="2707"/>
    <d v="2023-04-10T00:00:00"/>
    <x v="17"/>
    <x v="17"/>
    <n v="9.5760000000000012E-3"/>
    <n v="25.922232000000005"/>
    <s v="KL"/>
    <x v="1"/>
    <x v="8"/>
    <s v="Q2"/>
    <n v="132"/>
    <n v="20.507575757575758"/>
    <s v="EDF"/>
    <n v="1"/>
    <n v="2707"/>
    <n v="25.922232000000005"/>
    <n v="20.507575757575758"/>
  </r>
  <r>
    <n v="69568828"/>
    <x v="15"/>
    <n v="6939"/>
    <d v="2023-04-10T00:00:00"/>
    <x v="12"/>
    <x v="16"/>
    <n v="8.5199999999999998E-3"/>
    <n v="59.120280000000001"/>
    <s v="BR"/>
    <x v="1"/>
    <x v="6"/>
    <s v="Q2"/>
    <n v="176"/>
    <n v="39.426136363636367"/>
    <s v="48oz"/>
    <n v="1"/>
    <n v="6939"/>
    <n v="59.120280000000001"/>
    <n v="39.426136363636367"/>
  </r>
  <r>
    <n v="69677917"/>
    <x v="15"/>
    <n v="1989"/>
    <d v="2023-04-10T00:00:00"/>
    <x v="30"/>
    <x v="29"/>
    <n v="5.2680000000000001E-3"/>
    <n v="10.478052"/>
    <s v="PS"/>
    <x v="1"/>
    <x v="3"/>
    <s v="Q2"/>
    <n v="108"/>
    <n v="18.416666666666668"/>
    <s v="PG"/>
    <n v="1"/>
    <n v="1989"/>
    <n v="10.478052"/>
    <n v="18.416666666666668"/>
  </r>
  <r>
    <n v="67885719"/>
    <x v="16"/>
    <n v="23868"/>
    <d v="2023-04-10T00:00:00"/>
    <x v="11"/>
    <x v="32"/>
    <n v="8.5199999999999998E-3"/>
    <n v="203.35535999999999"/>
    <s v="BR"/>
    <x v="1"/>
    <x v="2"/>
    <s v="Q2"/>
    <n v="154"/>
    <n v="154.98701298701297"/>
    <s v="48oz"/>
    <n v="1"/>
    <n v="23868"/>
    <n v="203.35535999999999"/>
    <n v="154.98701298701297"/>
  </r>
  <r>
    <n v="68689253"/>
    <x v="16"/>
    <n v="2604"/>
    <d v="2023-04-10T00:00:00"/>
    <x v="125"/>
    <x v="18"/>
    <n v="6.0035555555555554E-3"/>
    <n v="15.633258666666666"/>
    <s v="KL"/>
    <x v="1"/>
    <x v="9"/>
    <s v="Q2"/>
    <n v="120"/>
    <n v="21.7"/>
    <s v="ESS"/>
    <n v="1"/>
    <n v="2604"/>
    <n v="15.633258666666666"/>
    <n v="21.7"/>
  </r>
  <r>
    <n v="68726916"/>
    <x v="16"/>
    <n v="20473"/>
    <d v="2023-04-10T00:00:00"/>
    <x v="43"/>
    <x v="21"/>
    <n v="3.7853440000000004E-3"/>
    <n v="77.497347712000007"/>
    <s v="TA"/>
    <x v="1"/>
    <x v="10"/>
    <s v="Q2"/>
    <n v="255"/>
    <n v="80.286274509803917"/>
    <s v="TALENTI"/>
    <n v="1"/>
    <n v="20473"/>
    <n v="77.497347712000007"/>
    <n v="80.286274509803917"/>
  </r>
  <r>
    <n v="68741742"/>
    <x v="16"/>
    <n v="1382"/>
    <d v="2023-04-10T00:00:00"/>
    <x v="25"/>
    <x v="25"/>
    <n v="4.2560000000000002E-3"/>
    <n v="5.8817919999999999"/>
    <s v="GH"/>
    <x v="1"/>
    <x v="11"/>
    <s v="Q2"/>
    <n v="154"/>
    <n v="8.9740259740259738"/>
    <s v="MBG"/>
    <n v="1"/>
    <n v="1382"/>
    <n v="5.8817919999999999"/>
    <n v="8.9740259740259738"/>
  </r>
  <r>
    <n v="68817801"/>
    <x v="16"/>
    <n v="11805"/>
    <d v="2023-04-10T00:00:00"/>
    <x v="183"/>
    <x v="13"/>
    <n v="8.4600000000000005E-3"/>
    <n v="99.8703"/>
    <s v="BR"/>
    <x v="1"/>
    <x v="2"/>
    <s v="Q2"/>
    <n v="176"/>
    <n v="67.07386363636364"/>
    <s v="48oz"/>
    <n v="1"/>
    <n v="11805"/>
    <n v="99.8703"/>
    <n v="67.07386363636364"/>
  </r>
  <r>
    <n v="68881270"/>
    <x v="16"/>
    <n v="12826"/>
    <d v="2023-04-10T00:00:00"/>
    <x v="91"/>
    <x v="2"/>
    <n v="8.5199999999999998E-3"/>
    <n v="109.27752"/>
    <s v="BR"/>
    <x v="1"/>
    <x v="2"/>
    <s v="Q2"/>
    <n v="176"/>
    <n v="72.875"/>
    <s v="48oz"/>
    <n v="1"/>
    <n v="12826"/>
    <n v="109.27752"/>
    <n v="72.875"/>
  </r>
  <r>
    <n v="68889812"/>
    <x v="16"/>
    <n v="3836"/>
    <d v="2023-04-10T00:00:00"/>
    <x v="27"/>
    <x v="27"/>
    <n v="3.192E-3"/>
    <n v="12.244512"/>
    <s v="KL"/>
    <x v="1"/>
    <x v="9"/>
    <s v="Q2"/>
    <n v="300"/>
    <n v="12.786666666666667"/>
    <s v="ESS"/>
    <n v="1"/>
    <n v="3836"/>
    <n v="12.244512"/>
    <n v="12.786666666666667"/>
  </r>
  <r>
    <n v="69549036"/>
    <x v="16"/>
    <n v="9197"/>
    <d v="2023-04-10T00:00:00"/>
    <x v="331"/>
    <x v="22"/>
    <n v="3.7839999999999996E-3"/>
    <n v="34.801447999999993"/>
    <s v="TA"/>
    <x v="1"/>
    <x v="10"/>
    <s v="Q2"/>
    <n v="255"/>
    <n v="36.06666666666667"/>
    <s v="TALENTI"/>
    <n v="1"/>
    <n v="9197"/>
    <n v="34.801447999999993"/>
    <n v="36.06666666666667"/>
  </r>
  <r>
    <n v="69549219"/>
    <x v="16"/>
    <n v="2094"/>
    <d v="2023-04-10T00:00:00"/>
    <x v="96"/>
    <x v="5"/>
    <n v="1.2227999999999999E-5"/>
    <n v="2.5605431999999997E-2"/>
    <s v="MG"/>
    <x v="1"/>
    <x v="5"/>
    <s v="Q2"/>
    <n v="493"/>
    <n v="4.2474645030425959"/>
    <s v="MG Sticks"/>
    <n v="1"/>
    <n v="2094"/>
    <n v="2.5605431999999997E-2"/>
    <n v="4.2474645030425959"/>
  </r>
  <r>
    <n v="69555091"/>
    <x v="16"/>
    <n v="6844"/>
    <d v="2023-04-10T00:00:00"/>
    <x v="195"/>
    <x v="14"/>
    <n v="1.98E-3"/>
    <n v="13.551119999999999"/>
    <s v="TA"/>
    <x v="1"/>
    <x v="42"/>
    <s v="Q2"/>
    <n v="176"/>
    <n v="38.886363636363633"/>
    <s v="TAL NV"/>
    <n v="1"/>
    <n v="6844"/>
    <n v="13.551119999999999"/>
    <n v="38.886363636363633"/>
  </r>
  <r>
    <n v="69621212"/>
    <x v="16"/>
    <n v="3911"/>
    <d v="2023-04-10T00:00:00"/>
    <x v="29"/>
    <x v="28"/>
    <n v="5.2680000000000001E-3"/>
    <n v="20.603148000000001"/>
    <s v="PG"/>
    <x v="1"/>
    <x v="14"/>
    <s v="Q2"/>
    <n v="130"/>
    <n v="30.084615384615386"/>
    <s v="PG"/>
    <n v="1"/>
    <n v="3911"/>
    <n v="20.603148000000001"/>
    <n v="30.084615384615386"/>
  </r>
  <r>
    <n v="69677917"/>
    <x v="16"/>
    <n v="3484"/>
    <d v="2023-04-10T00:00:00"/>
    <x v="30"/>
    <x v="30"/>
    <n v="5.2680000000000001E-3"/>
    <n v="18.353712000000002"/>
    <s v="PS"/>
    <x v="1"/>
    <x v="14"/>
    <s v="Q2"/>
    <n v="108"/>
    <n v="32.25925925925926"/>
    <s v="PG"/>
    <n v="1"/>
    <n v="3484"/>
    <n v="18.353712000000002"/>
    <n v="32.25925925925926"/>
  </r>
  <r>
    <n v="69684524"/>
    <x v="16"/>
    <n v="2574"/>
    <d v="2023-04-10T00:00:00"/>
    <x v="69"/>
    <x v="31"/>
    <n v="4.2560000000000002E-3"/>
    <n v="10.954944000000001"/>
    <s v="BR"/>
    <x v="1"/>
    <x v="5"/>
    <s v="Q2"/>
    <n v="143"/>
    <n v="18"/>
    <s v="MG Sticks"/>
    <n v="1"/>
    <n v="2574"/>
    <n v="10.954944000000001"/>
    <n v="18"/>
  </r>
  <r>
    <n v="84141094"/>
    <x v="16"/>
    <n v="18195"/>
    <d v="2023-04-10T00:00:00"/>
    <x v="107"/>
    <x v="15"/>
    <n v="3.7853439999999999E-3"/>
    <n v="68.874334079999997"/>
    <s v="BJ"/>
    <x v="1"/>
    <x v="30"/>
    <s v="Q2"/>
    <n v="240"/>
    <n v="75.8125"/>
    <s v="BJ PTS"/>
    <n v="1"/>
    <n v="18195"/>
    <n v="68.874334079999997"/>
    <n v="75.8125"/>
  </r>
  <r>
    <n v="84167442"/>
    <x v="17"/>
    <n v="0"/>
    <d v="2023-04-10T00:00:00"/>
    <x v="272"/>
    <x v="35"/>
    <n v="3.7853439999999999E-3"/>
    <n v="0"/>
    <s v="BJ"/>
    <x v="1"/>
    <x v="15"/>
    <s v="Q2"/>
    <n v="240"/>
    <n v="0"/>
    <s v="BJ PTS"/>
    <n v="1"/>
    <n v="0"/>
    <n v="0"/>
    <n v="0"/>
  </r>
  <r>
    <n v="84141103"/>
    <x v="18"/>
    <n v="72960"/>
    <d v="2023-04-10T00:00:00"/>
    <x v="294"/>
    <x v="38"/>
    <n v="3.7853439999999999E-3"/>
    <n v="276.17869824000002"/>
    <s v="BJ"/>
    <x v="1"/>
    <x v="36"/>
    <s v="Q2"/>
    <n v="240"/>
    <n v="304"/>
    <s v="BJ PTS"/>
    <n v="1"/>
    <n v="72960"/>
    <n v="276.17869824000002"/>
    <n v="304"/>
  </r>
  <r>
    <n v="67465063"/>
    <x v="15"/>
    <n v="815"/>
    <d v="2023-04-11T00:00:00"/>
    <x v="3"/>
    <x v="40"/>
    <n v="5.2680000000000001E-3"/>
    <n v="4.2934200000000002"/>
    <s v="PS"/>
    <x v="1"/>
    <x v="3"/>
    <s v="Q2"/>
    <n v="130"/>
    <n v="6.2692307692307692"/>
    <s v="PG"/>
    <n v="1"/>
    <n v="815"/>
    <n v="4.2934200000000002"/>
    <n v="6.2692307692307692"/>
  </r>
  <r>
    <n v="68300738"/>
    <x v="15"/>
    <n v="7013"/>
    <d v="2023-04-11T00:00:00"/>
    <x v="120"/>
    <x v="19"/>
    <n v="8.4960000000000001E-3"/>
    <n v="59.582447999999999"/>
    <s v="KL"/>
    <x v="1"/>
    <x v="8"/>
    <s v="Q2"/>
    <n v="132"/>
    <n v="53.128787878787875"/>
    <s v="EDF"/>
    <n v="1"/>
    <n v="7013"/>
    <n v="59.582447999999999"/>
    <n v="53.128787878787875"/>
  </r>
  <r>
    <n v="68689251"/>
    <x v="15"/>
    <n v="7857"/>
    <d v="2023-04-11T00:00:00"/>
    <x v="17"/>
    <x v="17"/>
    <n v="9.5760000000000012E-3"/>
    <n v="75.23863200000001"/>
    <s v="KL"/>
    <x v="1"/>
    <x v="8"/>
    <s v="Q2"/>
    <n v="132"/>
    <n v="59.522727272727273"/>
    <s v="EDF"/>
    <n v="1"/>
    <n v="7857"/>
    <n v="75.23863200000001"/>
    <n v="59.522727272727273"/>
  </r>
  <r>
    <n v="68709237"/>
    <x v="15"/>
    <n v="0"/>
    <d v="2023-04-11T00:00:00"/>
    <x v="126"/>
    <x v="20"/>
    <n v="9.5760000000000012E-3"/>
    <n v="0"/>
    <s v="KL"/>
    <x v="1"/>
    <x v="8"/>
    <s v="Q2"/>
    <n v="132"/>
    <n v="0"/>
    <s v="EDF"/>
    <n v="1"/>
    <n v="0"/>
    <n v="0"/>
    <n v="0"/>
  </r>
  <r>
    <n v="69549032"/>
    <x v="15"/>
    <n v="5455"/>
    <d v="2023-04-11T00:00:00"/>
    <x v="79"/>
    <x v="36"/>
    <n v="2.3469132803553457E-3"/>
    <n v="12.802411944338411"/>
    <s v="GH"/>
    <x v="1"/>
    <x v="28"/>
    <s v="Q2"/>
    <n v="350"/>
    <n v="15.585714285714285"/>
    <s v="EFW"/>
    <n v="1"/>
    <n v="5455"/>
    <n v="12.802411944338411"/>
    <n v="15.585714285714285"/>
  </r>
  <r>
    <n v="84136708"/>
    <x v="17"/>
    <n v="6299"/>
    <d v="2023-04-11T00:00:00"/>
    <x v="332"/>
    <x v="35"/>
    <n v="9.0848256361922702E-3"/>
    <n v="57.225316682375109"/>
    <s v="BJ"/>
    <x v="1"/>
    <x v="39"/>
    <s v="Q2"/>
    <n v="125"/>
    <n v="50.392000000000003"/>
    <s v="2.4 Gal"/>
    <n v="1"/>
    <n v="6299"/>
    <n v="57.225316682375109"/>
    <n v="50.392000000000003"/>
  </r>
  <r>
    <n v="67465063"/>
    <x v="15"/>
    <n v="3411"/>
    <d v="2023-04-11T00:00:00"/>
    <x v="3"/>
    <x v="7"/>
    <n v="5.2680000000000001E-3"/>
    <n v="17.969148000000001"/>
    <s v="PS"/>
    <x v="1"/>
    <x v="3"/>
    <s v="Q2"/>
    <n v="130"/>
    <n v="26.238461538461539"/>
    <s v="PG"/>
    <n v="1"/>
    <n v="3411"/>
    <n v="17.969148000000001"/>
    <n v="26.238461538461539"/>
  </r>
  <r>
    <n v="67466462"/>
    <x v="15"/>
    <n v="3735"/>
    <d v="2023-04-11T00:00:00"/>
    <x v="29"/>
    <x v="10"/>
    <n v="5.2680000000000001E-3"/>
    <n v="19.675979999999999"/>
    <s v="PS"/>
    <x v="1"/>
    <x v="3"/>
    <s v="Q2"/>
    <n v="130"/>
    <n v="28.73076923076923"/>
    <s v="PG"/>
    <n v="1"/>
    <n v="3735"/>
    <n v="19.675979999999999"/>
    <n v="28.73076923076923"/>
  </r>
  <r>
    <n v="67466492"/>
    <x v="15"/>
    <n v="4389"/>
    <d v="2023-04-11T00:00:00"/>
    <x v="8"/>
    <x v="6"/>
    <n v="5.2680000000000001E-3"/>
    <n v="23.121252000000002"/>
    <s v="PS"/>
    <x v="1"/>
    <x v="3"/>
    <s v="Q2"/>
    <n v="130"/>
    <n v="33.761538461538464"/>
    <s v="PG"/>
    <n v="1"/>
    <n v="4389"/>
    <n v="23.121252000000002"/>
    <n v="33.761538461538464"/>
  </r>
  <r>
    <n v="67466492"/>
    <x v="15"/>
    <n v="929"/>
    <d v="2023-04-11T00:00:00"/>
    <x v="8"/>
    <x v="8"/>
    <n v="5.2680000000000001E-3"/>
    <n v="4.8939719999999998"/>
    <s v="PS"/>
    <x v="1"/>
    <x v="3"/>
    <s v="Q2"/>
    <n v="130"/>
    <n v="7.1461538461538465"/>
    <s v="PG"/>
    <n v="1"/>
    <n v="929"/>
    <n v="4.8939719999999998"/>
    <n v="7.1461538461538465"/>
  </r>
  <r>
    <n v="67885716"/>
    <x v="15"/>
    <n v="6492"/>
    <d v="2023-04-11T00:00:00"/>
    <x v="89"/>
    <x v="11"/>
    <n v="8.5199999999999998E-3"/>
    <n v="55.311839999999997"/>
    <s v="BR"/>
    <x v="1"/>
    <x v="6"/>
    <s v="Q2"/>
    <n v="154"/>
    <n v="42.155844155844157"/>
    <s v="48oz"/>
    <n v="1"/>
    <n v="6492"/>
    <n v="55.311839999999997"/>
    <n v="42.155844155844157"/>
  </r>
  <r>
    <n v="67885719"/>
    <x v="15"/>
    <n v="9636"/>
    <d v="2023-04-11T00:00:00"/>
    <x v="11"/>
    <x v="12"/>
    <n v="8.5199999999999998E-3"/>
    <n v="82.09872"/>
    <s v="BR"/>
    <x v="1"/>
    <x v="6"/>
    <s v="Q2"/>
    <n v="154"/>
    <n v="62.571428571428569"/>
    <s v="48oz"/>
    <n v="1"/>
    <n v="9636"/>
    <n v="82.09872"/>
    <n v="62.571428571428569"/>
  </r>
  <r>
    <n v="68188183"/>
    <x v="15"/>
    <n v="3308"/>
    <d v="2023-04-11T00:00:00"/>
    <x v="70"/>
    <x v="9"/>
    <n v="3.8340000000000002E-3"/>
    <n v="12.682872"/>
    <s v="PS"/>
    <x v="1"/>
    <x v="3"/>
    <s v="Q2"/>
    <n v="130"/>
    <n v="25.446153846153845"/>
    <s v="PG"/>
    <n v="1"/>
    <n v="3308"/>
    <n v="12.682872"/>
    <n v="25.446153846153845"/>
  </r>
  <r>
    <n v="68656231"/>
    <x v="15"/>
    <n v="13620"/>
    <d v="2023-04-11T00:00:00"/>
    <x v="16"/>
    <x v="16"/>
    <n v="8.5199999999999998E-3"/>
    <n v="116.0424"/>
    <s v="BR"/>
    <x v="1"/>
    <x v="6"/>
    <s v="Q2"/>
    <n v="154"/>
    <n v="88.441558441558442"/>
    <s v="48oz"/>
    <n v="1"/>
    <n v="13620"/>
    <n v="116.0424"/>
    <n v="88.441558441558442"/>
  </r>
  <r>
    <n v="68689251"/>
    <x v="15"/>
    <n v="4358"/>
    <d v="2023-04-11T00:00:00"/>
    <x v="17"/>
    <x v="20"/>
    <n v="9.5760000000000012E-3"/>
    <n v="41.732208000000007"/>
    <s v="KL"/>
    <x v="1"/>
    <x v="8"/>
    <s v="Q2"/>
    <n v="132"/>
    <n v="33.015151515151516"/>
    <s v="EDF"/>
    <n v="1"/>
    <n v="4358"/>
    <n v="41.732208000000007"/>
    <n v="33.015151515151516"/>
  </r>
  <r>
    <n v="68726871"/>
    <x v="15"/>
    <n v="6323"/>
    <d v="2023-04-11T00:00:00"/>
    <x v="328"/>
    <x v="24"/>
    <n v="2.8319999999999999E-3"/>
    <n v="17.906735999999999"/>
    <s v="GH"/>
    <x v="1"/>
    <x v="4"/>
    <s v="Q2"/>
    <n v="225"/>
    <n v="28.102222222222224"/>
    <s v="MBG"/>
    <n v="1"/>
    <n v="6323"/>
    <n v="17.906735999999999"/>
    <n v="28.102222222222224"/>
  </r>
  <r>
    <n v="68737750"/>
    <x v="15"/>
    <n v="10031"/>
    <d v="2023-04-11T00:00:00"/>
    <x v="144"/>
    <x v="23"/>
    <n v="8.5199999999999998E-3"/>
    <n v="85.464119999999994"/>
    <s v="BR"/>
    <x v="1"/>
    <x v="6"/>
    <s v="Q2"/>
    <n v="176"/>
    <n v="56.99431818181818"/>
    <s v="48oz"/>
    <n v="1"/>
    <n v="10031"/>
    <n v="85.464119999999994"/>
    <n v="56.99431818181818"/>
  </r>
  <r>
    <n v="68741742"/>
    <x v="15"/>
    <n v="3350"/>
    <d v="2023-04-11T00:00:00"/>
    <x v="25"/>
    <x v="4"/>
    <n v="4.2560000000000002E-3"/>
    <n v="14.2576"/>
    <s v="GH"/>
    <x v="1"/>
    <x v="4"/>
    <s v="Q2"/>
    <n v="154"/>
    <n v="21.753246753246753"/>
    <s v="MBG"/>
    <n v="1"/>
    <n v="3350"/>
    <n v="14.2576"/>
    <n v="21.753246753246753"/>
  </r>
  <r>
    <n v="69677917"/>
    <x v="15"/>
    <n v="3725"/>
    <d v="2023-04-11T00:00:00"/>
    <x v="30"/>
    <x v="29"/>
    <n v="5.2680000000000001E-3"/>
    <n v="19.6233"/>
    <s v="PS"/>
    <x v="1"/>
    <x v="3"/>
    <s v="Q2"/>
    <n v="108"/>
    <n v="34.49074074074074"/>
    <s v="PG"/>
    <n v="1"/>
    <n v="3725"/>
    <n v="19.6233"/>
    <n v="34.49074074074074"/>
  </r>
  <r>
    <n v="67885719"/>
    <x v="16"/>
    <n v="22947"/>
    <d v="2023-04-11T00:00:00"/>
    <x v="11"/>
    <x v="32"/>
    <n v="8.5199999999999998E-3"/>
    <n v="195.50844000000001"/>
    <s v="BR"/>
    <x v="1"/>
    <x v="2"/>
    <s v="Q2"/>
    <n v="154"/>
    <n v="149.00649350649351"/>
    <s v="48oz"/>
    <n v="1"/>
    <n v="22947"/>
    <n v="195.50844000000001"/>
    <n v="149.00649350649351"/>
  </r>
  <r>
    <n v="68689253"/>
    <x v="16"/>
    <n v="3663"/>
    <d v="2023-04-11T00:00:00"/>
    <x v="125"/>
    <x v="18"/>
    <n v="6.0035555555555554E-3"/>
    <n v="21.991023999999999"/>
    <s v="KL"/>
    <x v="1"/>
    <x v="9"/>
    <s v="Q2"/>
    <n v="120"/>
    <n v="30.524999999999999"/>
    <s v="ESS"/>
    <n v="1"/>
    <n v="3663"/>
    <n v="21.991023999999999"/>
    <n v="30.524999999999999"/>
  </r>
  <r>
    <n v="68726916"/>
    <x v="16"/>
    <n v="28796"/>
    <d v="2023-04-11T00:00:00"/>
    <x v="43"/>
    <x v="21"/>
    <n v="3.7853440000000004E-3"/>
    <n v="109.00276582400001"/>
    <s v="TA"/>
    <x v="1"/>
    <x v="10"/>
    <s v="Q2"/>
    <n v="255"/>
    <n v="112.92549019607843"/>
    <s v="TALENTI"/>
    <n v="1"/>
    <n v="28796"/>
    <n v="109.00276582400001"/>
    <n v="112.92549019607843"/>
  </r>
  <r>
    <n v="68741742"/>
    <x v="16"/>
    <n v="5581"/>
    <d v="2023-04-11T00:00:00"/>
    <x v="25"/>
    <x v="25"/>
    <n v="4.2560000000000002E-3"/>
    <n v="23.752736000000002"/>
    <s v="GH"/>
    <x v="1"/>
    <x v="11"/>
    <s v="Q2"/>
    <n v="154"/>
    <n v="36.240259740259738"/>
    <s v="MBG"/>
    <n v="1"/>
    <n v="5581"/>
    <n v="23.752736000000002"/>
    <n v="36.240259740259738"/>
  </r>
  <r>
    <n v="68817801"/>
    <x v="16"/>
    <n v="14533"/>
    <d v="2023-04-11T00:00:00"/>
    <x v="183"/>
    <x v="13"/>
    <n v="8.4600000000000005E-3"/>
    <n v="122.94918000000001"/>
    <s v="BR"/>
    <x v="1"/>
    <x v="2"/>
    <s v="Q2"/>
    <n v="176"/>
    <n v="82.57386363636364"/>
    <s v="48oz"/>
    <n v="1"/>
    <n v="14533"/>
    <n v="122.94918000000001"/>
    <n v="82.57386363636364"/>
  </r>
  <r>
    <n v="68881270"/>
    <x v="16"/>
    <n v="13050"/>
    <d v="2023-04-11T00:00:00"/>
    <x v="91"/>
    <x v="2"/>
    <n v="8.5199999999999998E-3"/>
    <n v="111.18599999999999"/>
    <s v="BR"/>
    <x v="1"/>
    <x v="2"/>
    <s v="Q2"/>
    <n v="176"/>
    <n v="74.147727272727266"/>
    <s v="48oz"/>
    <n v="1"/>
    <n v="13050"/>
    <n v="111.18599999999999"/>
    <n v="74.147727272727266"/>
  </r>
  <r>
    <n v="68889812"/>
    <x v="16"/>
    <n v="5781"/>
    <d v="2023-04-11T00:00:00"/>
    <x v="27"/>
    <x v="27"/>
    <n v="3.192E-3"/>
    <n v="18.452952"/>
    <s v="KL"/>
    <x v="1"/>
    <x v="9"/>
    <s v="Q2"/>
    <n v="300"/>
    <n v="19.27"/>
    <s v="ESS"/>
    <n v="1"/>
    <n v="5781"/>
    <n v="18.452952"/>
    <n v="19.27"/>
  </r>
  <r>
    <n v="69549036"/>
    <x v="16"/>
    <n v="7438"/>
    <d v="2023-04-11T00:00:00"/>
    <x v="331"/>
    <x v="22"/>
    <n v="3.7839999999999996E-3"/>
    <n v="28.145391999999998"/>
    <s v="TA"/>
    <x v="1"/>
    <x v="10"/>
    <s v="Q2"/>
    <n v="255"/>
    <n v="29.168627450980392"/>
    <s v="TALENTI"/>
    <n v="1"/>
    <n v="7438"/>
    <n v="28.145391999999998"/>
    <n v="29.168627450980392"/>
  </r>
  <r>
    <n v="69555091"/>
    <x v="16"/>
    <n v="11265"/>
    <d v="2023-04-11T00:00:00"/>
    <x v="195"/>
    <x v="14"/>
    <n v="1.98E-3"/>
    <n v="22.3047"/>
    <s v="TA"/>
    <x v="1"/>
    <x v="42"/>
    <s v="Q2"/>
    <n v="176"/>
    <n v="64.005681818181813"/>
    <s v="TAL NV"/>
    <n v="1"/>
    <n v="11265"/>
    <n v="22.3047"/>
    <n v="64.005681818181813"/>
  </r>
  <r>
    <n v="69621212"/>
    <x v="16"/>
    <n v="4823"/>
    <d v="2023-04-11T00:00:00"/>
    <x v="29"/>
    <x v="28"/>
    <n v="5.2680000000000001E-3"/>
    <n v="25.407564000000001"/>
    <s v="PG"/>
    <x v="1"/>
    <x v="14"/>
    <s v="Q2"/>
    <n v="130"/>
    <n v="37.1"/>
    <s v="PG"/>
    <n v="1"/>
    <n v="4823"/>
    <n v="25.407564000000001"/>
    <n v="37.1"/>
  </r>
  <r>
    <n v="69677917"/>
    <x v="16"/>
    <n v="4249"/>
    <d v="2023-04-11T00:00:00"/>
    <x v="30"/>
    <x v="30"/>
    <n v="5.2680000000000001E-3"/>
    <n v="22.383732000000002"/>
    <s v="PS"/>
    <x v="1"/>
    <x v="14"/>
    <s v="Q2"/>
    <n v="108"/>
    <n v="39.342592592592595"/>
    <s v="PG"/>
    <n v="1"/>
    <n v="4249"/>
    <n v="22.383732000000002"/>
    <n v="39.342592592592595"/>
  </r>
  <r>
    <n v="69684524"/>
    <x v="16"/>
    <n v="6403"/>
    <d v="2023-04-11T00:00:00"/>
    <x v="69"/>
    <x v="31"/>
    <n v="4.2560000000000002E-3"/>
    <n v="27.251168"/>
    <s v="BR"/>
    <x v="1"/>
    <x v="5"/>
    <s v="Q2"/>
    <n v="143"/>
    <n v="44.776223776223773"/>
    <s v="MG Sticks"/>
    <n v="1"/>
    <n v="6403"/>
    <n v="27.251168"/>
    <n v="44.776223776223773"/>
  </r>
  <r>
    <n v="84141094"/>
    <x v="16"/>
    <n v="24608"/>
    <d v="2023-04-11T00:00:00"/>
    <x v="107"/>
    <x v="15"/>
    <n v="3.7853439999999999E-3"/>
    <n v="93.149745151999994"/>
    <s v="BJ"/>
    <x v="1"/>
    <x v="30"/>
    <s v="Q2"/>
    <n v="240"/>
    <n v="102.53333333333333"/>
    <s v="BJ PTS"/>
    <n v="1"/>
    <n v="24608"/>
    <n v="93.149745151999994"/>
    <n v="102.53333333333333"/>
  </r>
  <r>
    <n v="68746232"/>
    <x v="16"/>
    <n v="320"/>
    <d v="2023-04-11T00:00:00"/>
    <x v="154"/>
    <x v="26"/>
    <n v="9.5879999999999993E-3"/>
    <n v="3.0681599999999998"/>
    <s v="KL"/>
    <x v="1"/>
    <x v="12"/>
    <s v="Q2"/>
    <n v="132"/>
    <n v="2.4242424242424243"/>
    <s v="EDF"/>
    <n v="1"/>
    <n v="320"/>
    <n v="3.0681599999999998"/>
    <n v="2.4242424242424243"/>
  </r>
  <r>
    <n v="69549219"/>
    <x v="16"/>
    <n v="9477"/>
    <d v="2023-04-11T00:00:00"/>
    <x v="96"/>
    <x v="5"/>
    <n v="1.2227999999999999E-5"/>
    <n v="0.11588475599999999"/>
    <s v="MG"/>
    <x v="1"/>
    <x v="5"/>
    <s v="Q2"/>
    <n v="493"/>
    <n v="19.223123732251523"/>
    <s v="MG Sticks"/>
    <n v="1"/>
    <n v="9477"/>
    <n v="0.11588475599999999"/>
    <n v="19.223123732251523"/>
  </r>
  <r>
    <n v="84135718"/>
    <x v="17"/>
    <n v="70832"/>
    <d v="2023-04-11T00:00:00"/>
    <x v="147"/>
    <x v="38"/>
    <n v="3.7853439999999999E-3"/>
    <n v="268.12348620799997"/>
    <s v="BJ"/>
    <x v="1"/>
    <x v="15"/>
    <s v="Q2"/>
    <n v="240"/>
    <n v="295.13333333333333"/>
    <s v="BJ PTS"/>
    <n v="1"/>
    <n v="70832"/>
    <n v="268.12348620799997"/>
    <n v="295.13333333333333"/>
  </r>
  <r>
    <n v="67465063"/>
    <x v="15"/>
    <n v="1090"/>
    <d v="2023-04-12T00:00:00"/>
    <x v="3"/>
    <x v="40"/>
    <n v="5.2680000000000001E-3"/>
    <n v="5.7421199999999999"/>
    <s v="PS"/>
    <x v="1"/>
    <x v="3"/>
    <s v="Q2"/>
    <n v="130"/>
    <n v="8.384615384615385"/>
    <s v="PG"/>
    <n v="1"/>
    <n v="1090"/>
    <n v="5.7421199999999999"/>
    <n v="8.384615384615385"/>
  </r>
  <r>
    <n v="67466462"/>
    <x v="15"/>
    <n v="965"/>
    <d v="2023-04-12T00:00:00"/>
    <x v="29"/>
    <x v="10"/>
    <n v="5.2680000000000001E-3"/>
    <n v="5.0836199999999998"/>
    <s v="PS"/>
    <x v="1"/>
    <x v="3"/>
    <s v="Q2"/>
    <n v="130"/>
    <n v="7.4230769230769234"/>
    <s v="PG"/>
    <n v="1"/>
    <n v="965"/>
    <n v="5.0836199999999998"/>
    <n v="7.4230769230769234"/>
  </r>
  <r>
    <n v="68689251"/>
    <x v="15"/>
    <n v="6503"/>
    <d v="2023-04-12T00:00:00"/>
    <x v="17"/>
    <x v="20"/>
    <n v="9.5760000000000012E-3"/>
    <n v="62.272728000000008"/>
    <s v="KL"/>
    <x v="1"/>
    <x v="8"/>
    <s v="Q2"/>
    <n v="132"/>
    <n v="49.265151515151516"/>
    <s v="EDF"/>
    <n v="1"/>
    <n v="6503"/>
    <n v="62.272728000000008"/>
    <n v="49.265151515151516"/>
  </r>
  <r>
    <n v="68709237"/>
    <x v="15"/>
    <n v="0"/>
    <d v="2023-04-12T00:00:00"/>
    <x v="126"/>
    <x v="20"/>
    <n v="9.5760000000000012E-3"/>
    <n v="0"/>
    <s v="KL"/>
    <x v="1"/>
    <x v="8"/>
    <s v="Q2"/>
    <n v="132"/>
    <n v="0"/>
    <s v="EDF"/>
    <n v="1"/>
    <n v="0"/>
    <n v="0"/>
    <n v="0"/>
  </r>
  <r>
    <n v="68726871"/>
    <x v="15"/>
    <n v="0"/>
    <d v="2023-04-12T00:00:00"/>
    <x v="328"/>
    <x v="24"/>
    <n v="2.8319999999999999E-3"/>
    <n v="0"/>
    <s v="GH"/>
    <x v="1"/>
    <x v="4"/>
    <s v="Q2"/>
    <n v="225"/>
    <n v="0"/>
    <s v="MBG"/>
    <n v="1"/>
    <n v="0"/>
    <n v="0"/>
    <n v="0"/>
  </r>
  <r>
    <n v="68741714"/>
    <x v="15"/>
    <n v="4434"/>
    <d v="2023-04-12T00:00:00"/>
    <x v="24"/>
    <x v="24"/>
    <n v="2.8319999999999999E-3"/>
    <n v="12.557088"/>
    <s v="GH"/>
    <x v="1"/>
    <x v="4"/>
    <s v="Q2"/>
    <n v="225"/>
    <n v="19.706666666666667"/>
    <s v="MBG"/>
    <n v="1"/>
    <n v="4434"/>
    <n v="12.557088"/>
    <n v="19.706666666666667"/>
  </r>
  <r>
    <n v="68741742"/>
    <x v="15"/>
    <n v="6581"/>
    <d v="2023-04-12T00:00:00"/>
    <x v="25"/>
    <x v="4"/>
    <n v="4.2560000000000002E-3"/>
    <n v="28.008736000000003"/>
    <s v="GH"/>
    <x v="1"/>
    <x v="4"/>
    <s v="Q2"/>
    <n v="154"/>
    <n v="42.733766233766232"/>
    <s v="MBG"/>
    <n v="1"/>
    <n v="6581"/>
    <n v="28.008736000000003"/>
    <n v="42.733766233766232"/>
  </r>
  <r>
    <n v="69549032"/>
    <x v="15"/>
    <n v="6496"/>
    <d v="2023-04-12T00:00:00"/>
    <x v="79"/>
    <x v="36"/>
    <n v="2.3469132803553457E-3"/>
    <n v="15.245548669188326"/>
    <s v="GH"/>
    <x v="1"/>
    <x v="28"/>
    <s v="Q2"/>
    <n v="350"/>
    <n v="18.559999999999999"/>
    <s v="EFW"/>
    <n v="1"/>
    <n v="6496"/>
    <n v="15.245548669188326"/>
    <n v="18.559999999999999"/>
  </r>
  <r>
    <n v="67885723"/>
    <x v="16"/>
    <n v="0"/>
    <d v="2023-04-12T00:00:00"/>
    <x v="304"/>
    <x v="2"/>
    <n v="8.5199999999999998E-3"/>
    <n v="0"/>
    <s v="BR"/>
    <x v="1"/>
    <x v="2"/>
    <s v="Q2"/>
    <n v="154"/>
    <n v="0"/>
    <s v="48oz"/>
    <n v="1"/>
    <n v="0"/>
    <n v="0"/>
    <n v="0"/>
  </r>
  <r>
    <n v="68689253"/>
    <x v="16"/>
    <n v="0"/>
    <d v="2023-04-12T00:00:00"/>
    <x v="125"/>
    <x v="18"/>
    <n v="6.0035555555555554E-3"/>
    <n v="0"/>
    <s v="KL"/>
    <x v="1"/>
    <x v="9"/>
    <s v="Q2"/>
    <n v="120"/>
    <n v="0"/>
    <s v="ESS"/>
    <n v="1"/>
    <n v="0"/>
    <n v="0"/>
    <n v="0"/>
  </r>
  <r>
    <n v="68730234"/>
    <x v="16"/>
    <n v="0"/>
    <d v="2023-04-12T00:00:00"/>
    <x v="21"/>
    <x v="21"/>
    <n v="3.7853440000000004E-3"/>
    <n v="0"/>
    <s v="TA"/>
    <x v="1"/>
    <x v="10"/>
    <s v="Q2"/>
    <n v="255"/>
    <n v="0"/>
    <s v="TALENTI"/>
    <n v="1"/>
    <n v="0"/>
    <n v="0"/>
    <n v="0"/>
  </r>
  <r>
    <n v="69549036"/>
    <x v="16"/>
    <n v="0"/>
    <d v="2023-04-12T00:00:00"/>
    <x v="331"/>
    <x v="22"/>
    <n v="3.7839999999999996E-3"/>
    <n v="0"/>
    <s v="TA"/>
    <x v="1"/>
    <x v="10"/>
    <s v="Q2"/>
    <n v="255"/>
    <n v="0"/>
    <s v="TALENTI"/>
    <n v="1"/>
    <n v="0"/>
    <n v="0"/>
    <n v="0"/>
  </r>
  <r>
    <n v="84141103"/>
    <x v="18"/>
    <n v="11558"/>
    <d v="2023-04-12T00:00:00"/>
    <x v="294"/>
    <x v="38"/>
    <n v="3.7853439999999999E-3"/>
    <n v="43.751005952"/>
    <s v="BJ"/>
    <x v="1"/>
    <x v="36"/>
    <s v="Q2"/>
    <n v="240"/>
    <n v="48.158333333333331"/>
    <s v="BJ PTS"/>
    <n v="1"/>
    <n v="11558"/>
    <n v="43.751005952"/>
    <n v="48.158333333333331"/>
  </r>
  <r>
    <n v="84141103"/>
    <x v="18"/>
    <n v="24720"/>
    <d v="2023-04-12T00:00:00"/>
    <x v="294"/>
    <x v="38"/>
    <n v="3.7853439999999999E-3"/>
    <n v="93.573703679999994"/>
    <s v="BJ"/>
    <x v="1"/>
    <x v="36"/>
    <s v="Q2"/>
    <n v="240"/>
    <n v="103"/>
    <s v="BJ PTS"/>
    <n v="1"/>
    <n v="24720"/>
    <n v="93.573703679999994"/>
    <n v="103"/>
  </r>
  <r>
    <n v="84141102"/>
    <x v="17"/>
    <n v="26047"/>
    <d v="2023-04-12T00:00:00"/>
    <x v="217"/>
    <x v="35"/>
    <n v="3.7853439999999999E-3"/>
    <n v="98.596855168000005"/>
    <s v="BJ"/>
    <x v="1"/>
    <x v="15"/>
    <s v="Q2"/>
    <n v="240"/>
    <n v="108.52916666666667"/>
    <s v="BJ PTS"/>
    <n v="1"/>
    <n v="26047"/>
    <n v="98.596855168000005"/>
    <n v="108.52916666666667"/>
  </r>
  <r>
    <n v="67465063"/>
    <x v="15"/>
    <n v="4379"/>
    <d v="2023-04-12T00:00:00"/>
    <x v="3"/>
    <x v="7"/>
    <n v="5.2680000000000001E-3"/>
    <n v="23.068572"/>
    <s v="PS"/>
    <x v="1"/>
    <x v="3"/>
    <s v="Q2"/>
    <n v="130"/>
    <n v="33.684615384615384"/>
    <s v="PG"/>
    <n v="1"/>
    <n v="4379"/>
    <n v="23.068572"/>
    <n v="33.684615384615384"/>
  </r>
  <r>
    <n v="67466492"/>
    <x v="15"/>
    <n v="4254"/>
    <d v="2023-04-12T00:00:00"/>
    <x v="8"/>
    <x v="6"/>
    <n v="5.2680000000000001E-3"/>
    <n v="22.410072"/>
    <s v="PS"/>
    <x v="1"/>
    <x v="3"/>
    <s v="Q2"/>
    <n v="130"/>
    <n v="32.723076923076924"/>
    <s v="PG"/>
    <n v="1"/>
    <n v="4254"/>
    <n v="22.410072"/>
    <n v="32.723076923076924"/>
  </r>
  <r>
    <n v="67885716"/>
    <x v="15"/>
    <n v="9997"/>
    <d v="2023-04-12T00:00:00"/>
    <x v="89"/>
    <x v="11"/>
    <n v="8.5199999999999998E-3"/>
    <n v="85.174440000000004"/>
    <s v="BR"/>
    <x v="1"/>
    <x v="6"/>
    <s v="Q2"/>
    <n v="154"/>
    <n v="64.915584415584419"/>
    <s v="48oz"/>
    <n v="1"/>
    <n v="9997"/>
    <n v="85.174440000000004"/>
    <n v="64.915584415584419"/>
  </r>
  <r>
    <n v="67885719"/>
    <x v="15"/>
    <n v="9280"/>
    <d v="2023-04-12T00:00:00"/>
    <x v="11"/>
    <x v="12"/>
    <n v="8.5199999999999998E-3"/>
    <n v="79.065600000000003"/>
    <s v="BR"/>
    <x v="1"/>
    <x v="6"/>
    <s v="Q2"/>
    <n v="154"/>
    <n v="60.259740259740262"/>
    <s v="48oz"/>
    <n v="1"/>
    <n v="9280"/>
    <n v="79.065600000000003"/>
    <n v="60.259740259740262"/>
  </r>
  <r>
    <n v="68188183"/>
    <x v="15"/>
    <n v="4557"/>
    <d v="2023-04-12T00:00:00"/>
    <x v="70"/>
    <x v="9"/>
    <n v="3.8340000000000002E-3"/>
    <n v="17.471538000000002"/>
    <s v="PS"/>
    <x v="1"/>
    <x v="3"/>
    <s v="Q2"/>
    <n v="130"/>
    <n v="35.053846153846152"/>
    <s v="PG"/>
    <n v="1"/>
    <n v="4557"/>
    <n v="17.471538000000002"/>
    <n v="35.053846153846152"/>
  </r>
  <r>
    <n v="68300738"/>
    <x v="15"/>
    <n v="6087"/>
    <d v="2023-04-12T00:00:00"/>
    <x v="120"/>
    <x v="19"/>
    <n v="8.4960000000000001E-3"/>
    <n v="51.715152000000003"/>
    <s v="KL"/>
    <x v="1"/>
    <x v="8"/>
    <s v="Q2"/>
    <n v="132"/>
    <n v="46.113636363636367"/>
    <s v="EDF"/>
    <n v="1"/>
    <n v="6087"/>
    <n v="51.715152000000003"/>
    <n v="46.113636363636367"/>
  </r>
  <r>
    <n v="68656231"/>
    <x v="15"/>
    <n v="10758"/>
    <d v="2023-04-12T00:00:00"/>
    <x v="16"/>
    <x v="16"/>
    <n v="8.5199999999999998E-3"/>
    <n v="91.658159999999995"/>
    <s v="BR"/>
    <x v="1"/>
    <x v="6"/>
    <s v="Q2"/>
    <n v="154"/>
    <n v="69.857142857142861"/>
    <s v="48oz"/>
    <n v="1"/>
    <n v="10758"/>
    <n v="91.658159999999995"/>
    <n v="69.857142857142861"/>
  </r>
  <r>
    <n v="68689251"/>
    <x v="15"/>
    <n v="7380"/>
    <d v="2023-04-12T00:00:00"/>
    <x v="17"/>
    <x v="17"/>
    <n v="9.5760000000000012E-3"/>
    <n v="70.670880000000011"/>
    <s v="KL"/>
    <x v="1"/>
    <x v="8"/>
    <s v="Q2"/>
    <n v="132"/>
    <n v="55.909090909090907"/>
    <s v="EDF"/>
    <n v="1"/>
    <n v="7380"/>
    <n v="70.670880000000011"/>
    <n v="55.909090909090907"/>
  </r>
  <r>
    <n v="68737750"/>
    <x v="15"/>
    <n v="8446"/>
    <d v="2023-04-12T00:00:00"/>
    <x v="144"/>
    <x v="23"/>
    <n v="8.5199999999999998E-3"/>
    <n v="71.959919999999997"/>
    <s v="BR"/>
    <x v="1"/>
    <x v="6"/>
    <s v="Q2"/>
    <n v="176"/>
    <n v="47.988636363636367"/>
    <s v="48oz"/>
    <n v="1"/>
    <n v="8446"/>
    <n v="71.959919999999997"/>
    <n v="47.988636363636367"/>
  </r>
  <r>
    <n v="69677917"/>
    <x v="15"/>
    <n v="4566"/>
    <d v="2023-04-12T00:00:00"/>
    <x v="30"/>
    <x v="29"/>
    <n v="5.2680000000000001E-3"/>
    <n v="24.053688000000001"/>
    <s v="PS"/>
    <x v="1"/>
    <x v="3"/>
    <s v="Q2"/>
    <n v="108"/>
    <n v="42.277777777777779"/>
    <s v="PG"/>
    <n v="1"/>
    <n v="4566"/>
    <n v="24.053688000000001"/>
    <n v="42.277777777777779"/>
  </r>
  <r>
    <n v="67885719"/>
    <x v="16"/>
    <n v="6707"/>
    <d v="2023-04-12T00:00:00"/>
    <x v="11"/>
    <x v="32"/>
    <n v="8.5199999999999998E-3"/>
    <n v="57.143639999999998"/>
    <s v="BR"/>
    <x v="1"/>
    <x v="2"/>
    <s v="Q2"/>
    <n v="154"/>
    <n v="43.551948051948052"/>
    <s v="48oz"/>
    <n v="1"/>
    <n v="6707"/>
    <n v="57.143639999999998"/>
    <n v="43.551948051948052"/>
  </r>
  <r>
    <n v="67901589"/>
    <x v="16"/>
    <n v="12936"/>
    <d v="2023-04-12T00:00:00"/>
    <x v="220"/>
    <x v="32"/>
    <n v="8.5199999999999998E-3"/>
    <n v="110.21472"/>
    <s v="BR"/>
    <x v="1"/>
    <x v="2"/>
    <s v="Q2"/>
    <n v="154"/>
    <n v="84"/>
    <s v="48oz"/>
    <n v="1"/>
    <n v="12936"/>
    <n v="110.21472"/>
    <n v="84"/>
  </r>
  <r>
    <n v="68689253"/>
    <x v="16"/>
    <n v="3060"/>
    <d v="2023-04-12T00:00:00"/>
    <x v="125"/>
    <x v="18"/>
    <n v="6.0035555555555554E-3"/>
    <n v="18.37088"/>
    <s v="KL"/>
    <x v="1"/>
    <x v="9"/>
    <s v="Q2"/>
    <n v="120"/>
    <n v="25.5"/>
    <s v="ESS"/>
    <n v="1"/>
    <n v="3060"/>
    <n v="18.37088"/>
    <n v="25.5"/>
  </r>
  <r>
    <n v="68726916"/>
    <x v="16"/>
    <n v="31775"/>
    <d v="2023-04-12T00:00:00"/>
    <x v="43"/>
    <x v="21"/>
    <n v="3.7853440000000004E-3"/>
    <n v="120.27930560000001"/>
    <s v="TA"/>
    <x v="1"/>
    <x v="10"/>
    <s v="Q2"/>
    <n v="255"/>
    <n v="124.6078431372549"/>
    <s v="TALENTI"/>
    <n v="1"/>
    <n v="31775"/>
    <n v="120.27930560000001"/>
    <n v="124.6078431372549"/>
  </r>
  <r>
    <n v="68741742"/>
    <x v="16"/>
    <n v="2673"/>
    <d v="2023-04-12T00:00:00"/>
    <x v="25"/>
    <x v="25"/>
    <n v="4.2560000000000002E-3"/>
    <n v="11.376288000000001"/>
    <s v="GH"/>
    <x v="1"/>
    <x v="11"/>
    <s v="Q2"/>
    <n v="154"/>
    <n v="17.357142857142858"/>
    <s v="MBG"/>
    <n v="1"/>
    <n v="2673"/>
    <n v="11.376288000000001"/>
    <n v="17.357142857142858"/>
  </r>
  <r>
    <n v="68782716"/>
    <x v="16"/>
    <n v="9966"/>
    <d v="2023-04-12T00:00:00"/>
    <x v="246"/>
    <x v="22"/>
    <n v="3.7853440000000004E-3"/>
    <n v="37.724738304000006"/>
    <s v="TA"/>
    <x v="1"/>
    <x v="10"/>
    <s v="Q2"/>
    <n v="255"/>
    <n v="39.082352941176474"/>
    <s v="TALENTI"/>
    <n v="1"/>
    <n v="9966"/>
    <n v="37.724738304000006"/>
    <n v="39.082352941176474"/>
  </r>
  <r>
    <n v="68817801"/>
    <x v="16"/>
    <n v="3625"/>
    <d v="2023-04-12T00:00:00"/>
    <x v="183"/>
    <x v="13"/>
    <n v="8.4600000000000005E-3"/>
    <n v="30.6675"/>
    <s v="BR"/>
    <x v="1"/>
    <x v="2"/>
    <s v="Q2"/>
    <n v="176"/>
    <n v="20.59659090909091"/>
    <s v="48oz"/>
    <n v="1"/>
    <n v="3625"/>
    <n v="30.6675"/>
    <n v="20.59659090909091"/>
  </r>
  <r>
    <n v="69549219"/>
    <x v="16"/>
    <n v="23185"/>
    <d v="2023-04-12T00:00:00"/>
    <x v="96"/>
    <x v="5"/>
    <n v="1.2227999999999999E-5"/>
    <n v="0.28350618"/>
    <s v="MG"/>
    <x v="1"/>
    <x v="5"/>
    <s v="Q2"/>
    <n v="493"/>
    <n v="47.028397565922923"/>
    <s v="MG Sticks"/>
    <n v="1"/>
    <n v="23185"/>
    <n v="0.28350618"/>
    <n v="47.028397565922923"/>
  </r>
  <r>
    <n v="69555091"/>
    <x v="16"/>
    <n v="7420"/>
    <d v="2023-04-12T00:00:00"/>
    <x v="195"/>
    <x v="14"/>
    <n v="1.98E-3"/>
    <n v="14.691599999999999"/>
    <s v="TA"/>
    <x v="1"/>
    <x v="42"/>
    <s v="Q2"/>
    <n v="176"/>
    <n v="42.159090909090907"/>
    <s v="TAL NV"/>
    <n v="1"/>
    <n v="7420"/>
    <n v="14.691599999999999"/>
    <n v="42.159090909090907"/>
  </r>
  <r>
    <n v="69555092"/>
    <x v="16"/>
    <n v="326"/>
    <d v="2023-04-12T00:00:00"/>
    <x v="289"/>
    <x v="14"/>
    <n v="1.98E-3"/>
    <n v="0.64547999999999994"/>
    <s v="TA"/>
    <x v="1"/>
    <x v="42"/>
    <s v="Q2"/>
    <n v="176"/>
    <n v="1.8522727272727273"/>
    <s v="TAL NV"/>
    <n v="1"/>
    <n v="326"/>
    <n v="0.64547999999999994"/>
    <n v="1.8522727272727273"/>
  </r>
  <r>
    <n v="69568963"/>
    <x v="16"/>
    <n v="5543"/>
    <d v="2023-04-12T00:00:00"/>
    <x v="94"/>
    <x v="13"/>
    <n v="8.5199999999999998E-3"/>
    <n v="47.22636"/>
    <s v="BR"/>
    <x v="1"/>
    <x v="2"/>
    <s v="Q2"/>
    <n v="176"/>
    <n v="31.494318181818183"/>
    <s v="48oz"/>
    <n v="1"/>
    <n v="5543"/>
    <n v="47.22636"/>
    <n v="31.494318181818183"/>
  </r>
  <r>
    <n v="69621212"/>
    <x v="16"/>
    <n v="4268"/>
    <d v="2023-04-12T00:00:00"/>
    <x v="29"/>
    <x v="28"/>
    <n v="5.2680000000000001E-3"/>
    <n v="22.483824000000002"/>
    <s v="PG"/>
    <x v="1"/>
    <x v="14"/>
    <s v="Q2"/>
    <n v="130"/>
    <n v="32.830769230769228"/>
    <s v="PG"/>
    <n v="1"/>
    <n v="4268"/>
    <n v="22.483824000000002"/>
    <n v="32.830769230769228"/>
  </r>
  <r>
    <n v="69677917"/>
    <x v="16"/>
    <n v="4115"/>
    <d v="2023-04-12T00:00:00"/>
    <x v="30"/>
    <x v="30"/>
    <n v="5.2680000000000001E-3"/>
    <n v="21.677820000000001"/>
    <s v="PS"/>
    <x v="1"/>
    <x v="14"/>
    <s v="Q2"/>
    <n v="108"/>
    <n v="38.101851851851855"/>
    <s v="PG"/>
    <n v="1"/>
    <n v="4115"/>
    <n v="21.677820000000001"/>
    <n v="38.101851851851855"/>
  </r>
  <r>
    <n v="69684524"/>
    <x v="16"/>
    <n v="6313"/>
    <d v="2023-04-12T00:00:00"/>
    <x v="69"/>
    <x v="31"/>
    <n v="4.2560000000000002E-3"/>
    <n v="26.868128000000002"/>
    <s v="BR"/>
    <x v="1"/>
    <x v="5"/>
    <s v="Q2"/>
    <n v="143"/>
    <n v="44.146853146853147"/>
    <s v="MG Sticks"/>
    <n v="1"/>
    <n v="6313"/>
    <n v="26.868128000000002"/>
    <n v="44.146853146853147"/>
  </r>
  <r>
    <n v="84141094"/>
    <x v="16"/>
    <n v="28285"/>
    <d v="2023-04-12T00:00:00"/>
    <x v="107"/>
    <x v="15"/>
    <n v="3.7853439999999999E-3"/>
    <n v="107.06845504"/>
    <s v="BJ"/>
    <x v="1"/>
    <x v="30"/>
    <s v="Q2"/>
    <n v="240"/>
    <n v="117.85416666666667"/>
    <s v="BJ PTS"/>
    <n v="1"/>
    <n v="28285"/>
    <n v="107.06845504"/>
    <n v="117.85416666666667"/>
  </r>
  <r>
    <n v="68746232"/>
    <x v="16"/>
    <n v="347"/>
    <d v="2023-04-12T00:00:00"/>
    <x v="154"/>
    <x v="26"/>
    <n v="9.5879999999999993E-3"/>
    <n v="3.3270359999999997"/>
    <s v="KL"/>
    <x v="1"/>
    <x v="12"/>
    <s v="Q2"/>
    <n v="132"/>
    <n v="2.6287878787878789"/>
    <s v="EDF"/>
    <n v="1"/>
    <n v="347"/>
    <n v="3.3270359999999997"/>
    <n v="2.6287878787878789"/>
  </r>
  <r>
    <n v="68889812"/>
    <x v="16"/>
    <n v="2091"/>
    <d v="2023-04-12T00:00:00"/>
    <x v="27"/>
    <x v="27"/>
    <n v="3.192E-3"/>
    <n v="6.6744719999999997"/>
    <s v="KL"/>
    <x v="1"/>
    <x v="9"/>
    <s v="Q2"/>
    <n v="300"/>
    <n v="6.97"/>
    <s v="ESS"/>
    <n v="1"/>
    <n v="2091"/>
    <n v="6.6744719999999997"/>
    <n v="6.97"/>
  </r>
  <r>
    <n v="67465063"/>
    <x v="15"/>
    <n v="147"/>
    <d v="2023-04-13T00:00:00"/>
    <x v="3"/>
    <x v="40"/>
    <n v="5.2680000000000001E-3"/>
    <n v="0.77439599999999997"/>
    <s v="PS"/>
    <x v="1"/>
    <x v="3"/>
    <s v="Q2"/>
    <n v="130"/>
    <n v="1.1307692307692307"/>
    <s v="PG"/>
    <n v="1"/>
    <n v="147"/>
    <n v="0.77439599999999997"/>
    <n v="1.1307692307692307"/>
  </r>
  <r>
    <n v="68300738"/>
    <x v="15"/>
    <n v="7260"/>
    <d v="2023-04-13T00:00:00"/>
    <x v="120"/>
    <x v="19"/>
    <n v="8.4960000000000001E-3"/>
    <n v="61.680959999999999"/>
    <s v="KL"/>
    <x v="1"/>
    <x v="8"/>
    <s v="Q2"/>
    <n v="132"/>
    <n v="55"/>
    <s v="EDF"/>
    <n v="1"/>
    <n v="7260"/>
    <n v="61.680959999999999"/>
    <n v="55"/>
  </r>
  <r>
    <n v="68689251"/>
    <x v="15"/>
    <n v="6232"/>
    <d v="2023-04-13T00:00:00"/>
    <x v="17"/>
    <x v="17"/>
    <n v="9.5760000000000012E-3"/>
    <n v="59.67763200000001"/>
    <s v="KL"/>
    <x v="1"/>
    <x v="8"/>
    <s v="Q2"/>
    <n v="132"/>
    <n v="47.212121212121211"/>
    <s v="EDF"/>
    <n v="1"/>
    <n v="6232"/>
    <n v="59.67763200000001"/>
    <n v="47.212121212121211"/>
  </r>
  <r>
    <n v="68689251"/>
    <x v="15"/>
    <n v="3925"/>
    <d v="2023-04-13T00:00:00"/>
    <x v="17"/>
    <x v="20"/>
    <n v="9.5760000000000012E-3"/>
    <n v="37.585800000000006"/>
    <s v="KL"/>
    <x v="1"/>
    <x v="8"/>
    <s v="Q2"/>
    <n v="132"/>
    <n v="29.734848484848484"/>
    <s v="EDF"/>
    <n v="1"/>
    <n v="3925"/>
    <n v="37.585800000000006"/>
    <n v="29.734848484848484"/>
  </r>
  <r>
    <n v="68709237"/>
    <x v="15"/>
    <n v="1376"/>
    <d v="2023-04-13T00:00:00"/>
    <x v="126"/>
    <x v="20"/>
    <n v="9.5760000000000012E-3"/>
    <n v="13.176576000000001"/>
    <s v="KL"/>
    <x v="1"/>
    <x v="8"/>
    <s v="Q2"/>
    <n v="132"/>
    <n v="10.424242424242424"/>
    <s v="EDF"/>
    <n v="1"/>
    <n v="1376"/>
    <n v="13.176576000000001"/>
    <n v="10.424242424242424"/>
  </r>
  <r>
    <n v="68741714"/>
    <x v="15"/>
    <n v="8283"/>
    <d v="2023-04-13T00:00:00"/>
    <x v="24"/>
    <x v="24"/>
    <n v="2.8319999999999999E-3"/>
    <n v="23.457456000000001"/>
    <s v="GH"/>
    <x v="1"/>
    <x v="4"/>
    <s v="Q2"/>
    <n v="225"/>
    <n v="36.813333333333333"/>
    <s v="MBG"/>
    <n v="1"/>
    <n v="8283"/>
    <n v="23.457456000000001"/>
    <n v="36.813333333333333"/>
  </r>
  <r>
    <n v="68741742"/>
    <x v="15"/>
    <n v="4111"/>
    <d v="2023-04-13T00:00:00"/>
    <x v="25"/>
    <x v="4"/>
    <n v="4.2560000000000002E-3"/>
    <n v="17.496416"/>
    <s v="GH"/>
    <x v="1"/>
    <x v="4"/>
    <s v="Q2"/>
    <n v="154"/>
    <n v="26.694805194805195"/>
    <s v="MBG"/>
    <n v="1"/>
    <n v="4111"/>
    <n v="17.496416"/>
    <n v="26.694805194805195"/>
  </r>
  <r>
    <n v="69549032"/>
    <x v="15"/>
    <n v="5710"/>
    <d v="2023-04-13T00:00:00"/>
    <x v="79"/>
    <x v="36"/>
    <n v="2.3469132803553457E-3"/>
    <n v="13.400874830829023"/>
    <s v="GH"/>
    <x v="1"/>
    <x v="28"/>
    <s v="Q2"/>
    <n v="350"/>
    <n v="16.314285714285713"/>
    <s v="EFW"/>
    <n v="1"/>
    <n v="5710"/>
    <n v="13.400874830829023"/>
    <n v="16.314285714285713"/>
  </r>
  <r>
    <n v="69677917"/>
    <x v="15"/>
    <n v="4403"/>
    <d v="2023-04-13T00:00:00"/>
    <x v="30"/>
    <x v="29"/>
    <n v="5.2680000000000001E-3"/>
    <n v="23.195004000000001"/>
    <s v="PS"/>
    <x v="1"/>
    <x v="3"/>
    <s v="Q2"/>
    <n v="108"/>
    <n v="40.768518518518519"/>
    <s v="PG"/>
    <n v="1"/>
    <n v="4403"/>
    <n v="23.195004000000001"/>
    <n v="40.768518518518519"/>
  </r>
  <r>
    <n v="68726916"/>
    <x v="16"/>
    <n v="0"/>
    <d v="2023-04-13T00:00:00"/>
    <x v="43"/>
    <x v="21"/>
    <n v="3.7853440000000004E-3"/>
    <n v="0"/>
    <s v="TA"/>
    <x v="1"/>
    <x v="10"/>
    <s v="Q2"/>
    <n v="255"/>
    <n v="0"/>
    <s v="TALENTI"/>
    <n v="1"/>
    <n v="0"/>
    <n v="0"/>
    <n v="0"/>
  </r>
  <r>
    <n v="68881270"/>
    <x v="16"/>
    <n v="15125"/>
    <d v="2023-04-13T00:00:00"/>
    <x v="91"/>
    <x v="2"/>
    <n v="8.5199999999999998E-3"/>
    <n v="128.86500000000001"/>
    <s v="BR"/>
    <x v="1"/>
    <x v="2"/>
    <s v="Q2"/>
    <n v="176"/>
    <n v="85.9375"/>
    <s v="48oz"/>
    <n v="1"/>
    <n v="15125"/>
    <n v="128.86500000000001"/>
    <n v="85.9375"/>
  </r>
  <r>
    <n v="68881270"/>
    <x v="16"/>
    <n v="2061"/>
    <d v="2023-04-13T00:00:00"/>
    <x v="91"/>
    <x v="2"/>
    <n v="8.5199999999999998E-3"/>
    <n v="17.559719999999999"/>
    <s v="BR"/>
    <x v="1"/>
    <x v="2"/>
    <s v="Q2"/>
    <n v="176"/>
    <n v="11.710227272727273"/>
    <s v="48oz"/>
    <n v="1"/>
    <n v="2061"/>
    <n v="17.559719999999999"/>
    <n v="11.710227272727273"/>
  </r>
  <r>
    <n v="69555091"/>
    <x v="16"/>
    <n v="0"/>
    <d v="2023-04-13T00:00:00"/>
    <x v="195"/>
    <x v="14"/>
    <n v="1.98E-3"/>
    <n v="0"/>
    <s v="TA"/>
    <x v="1"/>
    <x v="42"/>
    <s v="Q2"/>
    <n v="176"/>
    <n v="0"/>
    <s v="TAL NV"/>
    <n v="1"/>
    <n v="0"/>
    <n v="0"/>
    <n v="0"/>
  </r>
  <r>
    <n v="84151113"/>
    <x v="17"/>
    <n v="9781"/>
    <d v="2023-04-13T00:00:00"/>
    <x v="161"/>
    <x v="33"/>
    <n v="1.419504E-3"/>
    <n v="13.884168624000001"/>
    <s v="BJ"/>
    <x v="1"/>
    <x v="31"/>
    <s v="Q2"/>
    <n v="510"/>
    <n v="19.178431372549021"/>
    <s v="Cup Exports"/>
    <n v="1"/>
    <n v="9781"/>
    <n v="13.884168624000001"/>
    <n v="19.178431372549021"/>
  </r>
  <r>
    <n v="84164936"/>
    <x v="17"/>
    <n v="48447"/>
    <d v="2023-04-13T00:00:00"/>
    <x v="162"/>
    <x v="42"/>
    <n v="3.7853439999999999E-3"/>
    <n v="183.38856076799999"/>
    <s v="BJ"/>
    <x v="1"/>
    <x v="15"/>
    <s v="Q2"/>
    <n v="240"/>
    <n v="201.86250000000001"/>
    <s v="BJ PTS"/>
    <n v="1"/>
    <n v="48447"/>
    <n v="183.38856076799999"/>
    <n v="201.86250000000001"/>
  </r>
  <r>
    <n v="67465063"/>
    <x v="15"/>
    <n v="4026"/>
    <d v="2023-04-13T00:00:00"/>
    <x v="3"/>
    <x v="7"/>
    <n v="5.2680000000000001E-3"/>
    <n v="21.208967999999999"/>
    <s v="PS"/>
    <x v="1"/>
    <x v="3"/>
    <s v="Q2"/>
    <n v="130"/>
    <n v="30.969230769230769"/>
    <s v="PG"/>
    <n v="1"/>
    <n v="4026"/>
    <n v="21.208967999999999"/>
    <n v="30.969230769230769"/>
  </r>
  <r>
    <n v="67466462"/>
    <x v="15"/>
    <n v="4334"/>
    <d v="2023-04-13T00:00:00"/>
    <x v="29"/>
    <x v="10"/>
    <n v="5.2680000000000001E-3"/>
    <n v="22.831512"/>
    <s v="PS"/>
    <x v="1"/>
    <x v="3"/>
    <s v="Q2"/>
    <n v="130"/>
    <n v="33.338461538461537"/>
    <s v="PG"/>
    <n v="1"/>
    <n v="4334"/>
    <n v="22.831512"/>
    <n v="33.338461538461537"/>
  </r>
  <r>
    <n v="67466492"/>
    <x v="15"/>
    <n v="4615"/>
    <d v="2023-04-13T00:00:00"/>
    <x v="8"/>
    <x v="6"/>
    <n v="5.2680000000000001E-3"/>
    <n v="24.311820000000001"/>
    <s v="PS"/>
    <x v="1"/>
    <x v="3"/>
    <s v="Q2"/>
    <n v="130"/>
    <n v="35.5"/>
    <s v="PG"/>
    <n v="1"/>
    <n v="4615"/>
    <n v="24.311820000000001"/>
    <n v="35.5"/>
  </r>
  <r>
    <n v="67885716"/>
    <x v="15"/>
    <n v="11722"/>
    <d v="2023-04-13T00:00:00"/>
    <x v="89"/>
    <x v="11"/>
    <n v="8.5199999999999998E-3"/>
    <n v="99.871439999999993"/>
    <s v="BR"/>
    <x v="1"/>
    <x v="6"/>
    <s v="Q2"/>
    <n v="154"/>
    <n v="76.116883116883116"/>
    <s v="48oz"/>
    <n v="1"/>
    <n v="11722"/>
    <n v="99.871439999999993"/>
    <n v="76.116883116883116"/>
  </r>
  <r>
    <n v="67885719"/>
    <x v="15"/>
    <n v="12634"/>
    <d v="2023-04-13T00:00:00"/>
    <x v="11"/>
    <x v="12"/>
    <n v="8.5199999999999998E-3"/>
    <n v="107.64167999999999"/>
    <s v="BR"/>
    <x v="1"/>
    <x v="6"/>
    <s v="Q2"/>
    <n v="154"/>
    <n v="82.038961038961034"/>
    <s v="48oz"/>
    <n v="1"/>
    <n v="12634"/>
    <n v="107.64167999999999"/>
    <n v="82.038961038961034"/>
  </r>
  <r>
    <n v="68188183"/>
    <x v="15"/>
    <n v="3795"/>
    <d v="2023-04-13T00:00:00"/>
    <x v="70"/>
    <x v="9"/>
    <n v="3.8340000000000002E-3"/>
    <n v="14.550030000000001"/>
    <s v="PS"/>
    <x v="1"/>
    <x v="3"/>
    <s v="Q2"/>
    <n v="130"/>
    <n v="29.192307692307693"/>
    <s v="PG"/>
    <n v="1"/>
    <n v="3795"/>
    <n v="14.550030000000001"/>
    <n v="29.192307692307693"/>
  </r>
  <r>
    <n v="68656231"/>
    <x v="15"/>
    <n v="11752"/>
    <d v="2023-04-13T00:00:00"/>
    <x v="16"/>
    <x v="16"/>
    <n v="8.5199999999999998E-3"/>
    <n v="100.12703999999999"/>
    <s v="BR"/>
    <x v="1"/>
    <x v="6"/>
    <s v="Q2"/>
    <n v="154"/>
    <n v="76.311688311688314"/>
    <s v="48oz"/>
    <n v="1"/>
    <n v="11752"/>
    <n v="100.12703999999999"/>
    <n v="76.311688311688314"/>
  </r>
  <r>
    <n v="68737750"/>
    <x v="15"/>
    <n v="3293"/>
    <d v="2023-04-13T00:00:00"/>
    <x v="144"/>
    <x v="23"/>
    <n v="8.5199999999999998E-3"/>
    <n v="28.056359999999998"/>
    <s v="BR"/>
    <x v="1"/>
    <x v="6"/>
    <s v="Q2"/>
    <n v="176"/>
    <n v="18.710227272727273"/>
    <s v="48oz"/>
    <n v="1"/>
    <n v="3293"/>
    <n v="28.056359999999998"/>
    <n v="18.710227272727273"/>
  </r>
  <r>
    <n v="68769685"/>
    <x v="15"/>
    <n v="8386"/>
    <d v="2023-04-13T00:00:00"/>
    <x v="259"/>
    <x v="23"/>
    <n v="8.5199999999999998E-3"/>
    <n v="71.448719999999994"/>
    <s v="BR"/>
    <x v="1"/>
    <x v="6"/>
    <s v="Q2"/>
    <n v="176"/>
    <n v="47.647727272727273"/>
    <s v="48oz"/>
    <n v="1"/>
    <n v="8386"/>
    <n v="71.448719999999994"/>
    <n v="47.647727272727273"/>
  </r>
  <r>
    <n v="67885723"/>
    <x v="16"/>
    <n v="7028"/>
    <d v="2023-04-13T00:00:00"/>
    <x v="304"/>
    <x v="2"/>
    <n v="8.5199999999999998E-3"/>
    <n v="59.87856"/>
    <s v="BR"/>
    <x v="1"/>
    <x v="2"/>
    <s v="Q2"/>
    <n v="154"/>
    <n v="45.636363636363633"/>
    <s v="48oz"/>
    <n v="1"/>
    <n v="7028"/>
    <n v="59.87856"/>
    <n v="45.636363636363633"/>
  </r>
  <r>
    <n v="67901589"/>
    <x v="16"/>
    <n v="23912"/>
    <d v="2023-04-13T00:00:00"/>
    <x v="220"/>
    <x v="32"/>
    <n v="8.5199999999999998E-3"/>
    <n v="203.73024000000001"/>
    <s v="BR"/>
    <x v="1"/>
    <x v="2"/>
    <s v="Q2"/>
    <n v="154"/>
    <n v="155.27272727272728"/>
    <s v="48oz"/>
    <n v="1"/>
    <n v="23912"/>
    <n v="203.73024000000001"/>
    <n v="155.27272727272728"/>
  </r>
  <r>
    <n v="68730234"/>
    <x v="16"/>
    <n v="14309"/>
    <d v="2023-04-13T00:00:00"/>
    <x v="21"/>
    <x v="21"/>
    <n v="3.7853440000000004E-3"/>
    <n v="54.164487296000004"/>
    <s v="TA"/>
    <x v="1"/>
    <x v="10"/>
    <s v="Q2"/>
    <n v="255"/>
    <n v="56.113725490196082"/>
    <s v="TALENTI"/>
    <n v="1"/>
    <n v="14309"/>
    <n v="54.164487296000004"/>
    <n v="56.113725490196082"/>
  </r>
  <r>
    <n v="68741742"/>
    <x v="16"/>
    <n v="1268"/>
    <d v="2023-04-13T00:00:00"/>
    <x v="25"/>
    <x v="25"/>
    <n v="4.2560000000000002E-3"/>
    <n v="5.3966080000000005"/>
    <s v="GH"/>
    <x v="1"/>
    <x v="11"/>
    <s v="Q2"/>
    <n v="154"/>
    <n v="8.2337662337662341"/>
    <s v="MBG"/>
    <n v="1"/>
    <n v="1268"/>
    <n v="5.3966080000000005"/>
    <n v="8.2337662337662341"/>
  </r>
  <r>
    <n v="68746232"/>
    <x v="16"/>
    <n v="2325"/>
    <d v="2023-04-13T00:00:00"/>
    <x v="154"/>
    <x v="26"/>
    <n v="9.5879999999999993E-3"/>
    <n v="22.292099999999998"/>
    <s v="KL"/>
    <x v="1"/>
    <x v="12"/>
    <s v="Q2"/>
    <n v="132"/>
    <n v="17.613636363636363"/>
    <s v="EDF"/>
    <n v="1"/>
    <n v="2325"/>
    <n v="22.292099999999998"/>
    <n v="17.613636363636363"/>
  </r>
  <r>
    <n v="69549219"/>
    <x v="16"/>
    <n v="24065"/>
    <d v="2023-04-13T00:00:00"/>
    <x v="96"/>
    <x v="5"/>
    <n v="1.2227999999999999E-5"/>
    <n v="0.29426681999999998"/>
    <s v="MG"/>
    <x v="1"/>
    <x v="5"/>
    <s v="Q2"/>
    <n v="493"/>
    <n v="48.81338742393509"/>
    <s v="MG Sticks"/>
    <n v="1"/>
    <n v="24065"/>
    <n v="0.29426681999999998"/>
    <n v="48.81338742393509"/>
  </r>
  <r>
    <n v="69568963"/>
    <x v="16"/>
    <n v="13000"/>
    <d v="2023-04-13T00:00:00"/>
    <x v="94"/>
    <x v="13"/>
    <n v="8.5199999999999998E-3"/>
    <n v="110.75999999999999"/>
    <s v="BR"/>
    <x v="1"/>
    <x v="2"/>
    <s v="Q2"/>
    <n v="176"/>
    <n v="73.86363636363636"/>
    <s v="48oz"/>
    <n v="1"/>
    <n v="13000"/>
    <n v="110.75999999999999"/>
    <n v="73.86363636363636"/>
  </r>
  <r>
    <n v="69621212"/>
    <x v="16"/>
    <n v="4394"/>
    <d v="2023-04-13T00:00:00"/>
    <x v="29"/>
    <x v="28"/>
    <n v="5.2680000000000001E-3"/>
    <n v="23.147592"/>
    <s v="PG"/>
    <x v="1"/>
    <x v="14"/>
    <s v="Q2"/>
    <n v="130"/>
    <n v="33.799999999999997"/>
    <s v="PG"/>
    <n v="1"/>
    <n v="4394"/>
    <n v="23.147592"/>
    <n v="33.799999999999997"/>
  </r>
  <r>
    <n v="69677917"/>
    <x v="16"/>
    <n v="1325"/>
    <d v="2023-04-13T00:00:00"/>
    <x v="30"/>
    <x v="30"/>
    <n v="5.2680000000000001E-3"/>
    <n v="6.9801000000000002"/>
    <s v="PS"/>
    <x v="1"/>
    <x v="14"/>
    <s v="Q2"/>
    <n v="108"/>
    <n v="12.268518518518519"/>
    <s v="PG"/>
    <n v="1"/>
    <n v="1325"/>
    <n v="6.9801000000000002"/>
    <n v="12.268518518518519"/>
  </r>
  <r>
    <n v="69684524"/>
    <x v="16"/>
    <n v="5591"/>
    <d v="2023-04-13T00:00:00"/>
    <x v="69"/>
    <x v="31"/>
    <n v="4.2560000000000002E-3"/>
    <n v="23.795296"/>
    <s v="BR"/>
    <x v="1"/>
    <x v="5"/>
    <s v="Q2"/>
    <n v="143"/>
    <n v="39.0979020979021"/>
    <s v="MG Sticks"/>
    <n v="1"/>
    <n v="5591"/>
    <n v="23.795296"/>
    <n v="39.0979020979021"/>
  </r>
  <r>
    <n v="84141094"/>
    <x v="16"/>
    <n v="10253"/>
    <d v="2023-04-13T00:00:00"/>
    <x v="107"/>
    <x v="15"/>
    <n v="3.7853439999999999E-3"/>
    <n v="38.811132031999996"/>
    <s v="BJ"/>
    <x v="1"/>
    <x v="30"/>
    <s v="Q2"/>
    <n v="240"/>
    <n v="42.720833333333331"/>
    <s v="BJ PTS"/>
    <n v="1"/>
    <n v="10253"/>
    <n v="38.811132031999996"/>
    <n v="42.720833333333331"/>
  </r>
  <r>
    <n v="69555092"/>
    <x v="16"/>
    <n v="11001"/>
    <d v="2023-04-13T00:00:00"/>
    <x v="289"/>
    <x v="14"/>
    <n v="1.98E-3"/>
    <n v="21.781980000000001"/>
    <s v="TA"/>
    <x v="1"/>
    <x v="42"/>
    <s v="Q2"/>
    <n v="176"/>
    <n v="62.50568181818182"/>
    <s v="TAL NV"/>
    <n v="1"/>
    <n v="11001"/>
    <n v="21.781980000000001"/>
    <n v="62.50568181818182"/>
  </r>
  <r>
    <n v="67465063"/>
    <x v="15"/>
    <n v="587"/>
    <d v="2023-04-14T00:00:00"/>
    <x v="3"/>
    <x v="40"/>
    <n v="5.2680000000000001E-3"/>
    <n v="3.0923160000000003"/>
    <s v="PS"/>
    <x v="1"/>
    <x v="3"/>
    <s v="Q2"/>
    <n v="130"/>
    <n v="4.5153846153846153"/>
    <s v="PG"/>
    <n v="1"/>
    <n v="587"/>
    <n v="3.0923160000000003"/>
    <n v="4.5153846153846153"/>
  </r>
  <r>
    <n v="67466492"/>
    <x v="15"/>
    <n v="628"/>
    <d v="2023-04-14T00:00:00"/>
    <x v="8"/>
    <x v="8"/>
    <n v="5.2680000000000001E-3"/>
    <n v="3.3083040000000001"/>
    <s v="PS"/>
    <x v="1"/>
    <x v="3"/>
    <s v="Q2"/>
    <n v="130"/>
    <n v="4.8307692307692305"/>
    <s v="PG"/>
    <n v="1"/>
    <n v="628"/>
    <n v="3.3083040000000001"/>
    <n v="4.8307692307692305"/>
  </r>
  <r>
    <n v="68300738"/>
    <x v="15"/>
    <n v="0"/>
    <d v="2023-04-14T00:00:00"/>
    <x v="120"/>
    <x v="19"/>
    <n v="8.4960000000000001E-3"/>
    <n v="0"/>
    <s v="KL"/>
    <x v="1"/>
    <x v="8"/>
    <s v="Q2"/>
    <n v="132"/>
    <n v="0"/>
    <s v="EDF"/>
    <n v="1"/>
    <n v="0"/>
    <n v="0"/>
    <n v="0"/>
  </r>
  <r>
    <n v="68689251"/>
    <x v="15"/>
    <n v="0"/>
    <d v="2023-04-14T00:00:00"/>
    <x v="17"/>
    <x v="17"/>
    <n v="9.5760000000000012E-3"/>
    <n v="0"/>
    <s v="KL"/>
    <x v="1"/>
    <x v="8"/>
    <s v="Q2"/>
    <n v="132"/>
    <n v="0"/>
    <s v="EDF"/>
    <n v="1"/>
    <n v="0"/>
    <n v="0"/>
    <n v="0"/>
  </r>
  <r>
    <n v="68709237"/>
    <x v="15"/>
    <n v="1826"/>
    <d v="2023-04-14T00:00:00"/>
    <x v="126"/>
    <x v="20"/>
    <n v="9.5760000000000012E-3"/>
    <n v="17.485776000000001"/>
    <s v="KL"/>
    <x v="1"/>
    <x v="8"/>
    <s v="Q2"/>
    <n v="132"/>
    <n v="13.833333333333334"/>
    <s v="EDF"/>
    <n v="1"/>
    <n v="1826"/>
    <n v="17.485776000000001"/>
    <n v="13.833333333333334"/>
  </r>
  <r>
    <n v="68709237"/>
    <x v="15"/>
    <n v="0"/>
    <d v="2023-04-14T00:00:00"/>
    <x v="126"/>
    <x v="20"/>
    <n v="9.5760000000000012E-3"/>
    <n v="0"/>
    <s v="KL"/>
    <x v="1"/>
    <x v="8"/>
    <s v="Q2"/>
    <n v="132"/>
    <n v="0"/>
    <s v="EDF"/>
    <n v="1"/>
    <n v="0"/>
    <n v="0"/>
    <n v="0"/>
  </r>
  <r>
    <n v="68741714"/>
    <x v="15"/>
    <n v="7682"/>
    <d v="2023-04-14T00:00:00"/>
    <x v="24"/>
    <x v="24"/>
    <n v="2.8319999999999999E-3"/>
    <n v="21.755423999999998"/>
    <s v="GH"/>
    <x v="1"/>
    <x v="4"/>
    <s v="Q2"/>
    <n v="225"/>
    <n v="34.142222222222223"/>
    <s v="MBG"/>
    <n v="1"/>
    <n v="7682"/>
    <n v="21.755423999999998"/>
    <n v="34.142222222222223"/>
  </r>
  <r>
    <n v="69677917"/>
    <x v="15"/>
    <n v="1578"/>
    <d v="2023-04-14T00:00:00"/>
    <x v="30"/>
    <x v="29"/>
    <n v="5.2680000000000001E-3"/>
    <n v="8.3129039999999996"/>
    <s v="PS"/>
    <x v="1"/>
    <x v="3"/>
    <s v="Q2"/>
    <n v="108"/>
    <n v="14.611111111111111"/>
    <s v="PG"/>
    <n v="1"/>
    <n v="1578"/>
    <n v="8.3129039999999996"/>
    <n v="14.611111111111111"/>
  </r>
  <r>
    <n v="67901589"/>
    <x v="16"/>
    <n v="0"/>
    <d v="2023-04-14T00:00:00"/>
    <x v="220"/>
    <x v="32"/>
    <n v="8.5199999999999998E-3"/>
    <n v="0"/>
    <s v="BR"/>
    <x v="1"/>
    <x v="2"/>
    <s v="Q2"/>
    <n v="154"/>
    <n v="0"/>
    <s v="48oz"/>
    <n v="1"/>
    <n v="0"/>
    <n v="0"/>
    <n v="0"/>
  </r>
  <r>
    <n v="69549217"/>
    <x v="16"/>
    <n v="0"/>
    <d v="2023-04-14T00:00:00"/>
    <x v="80"/>
    <x v="5"/>
    <n v="2.0400000000000001E-3"/>
    <n v="0"/>
    <s v="MG"/>
    <x v="1"/>
    <x v="5"/>
    <s v="Q2"/>
    <n v="189"/>
    <n v="0"/>
    <s v="MG Sticks"/>
    <n v="1"/>
    <n v="0"/>
    <n v="0"/>
    <n v="0"/>
  </r>
  <r>
    <n v="69621212"/>
    <x v="16"/>
    <n v="0"/>
    <d v="2023-04-14T00:00:00"/>
    <x v="29"/>
    <x v="28"/>
    <n v="5.2680000000000001E-3"/>
    <n v="0"/>
    <s v="PG"/>
    <x v="1"/>
    <x v="14"/>
    <s v="Q2"/>
    <n v="130"/>
    <n v="0"/>
    <s v="PG"/>
    <n v="1"/>
    <n v="0"/>
    <n v="0"/>
    <n v="0"/>
  </r>
  <r>
    <n v="84135770"/>
    <x v="16"/>
    <n v="0"/>
    <d v="2023-04-14T00:00:00"/>
    <x v="277"/>
    <x v="15"/>
    <n v="3.7853439999999999E-3"/>
    <n v="0"/>
    <s v="BJ"/>
    <x v="1"/>
    <x v="30"/>
    <s v="Q2"/>
    <n v="240"/>
    <n v="0"/>
    <s v="BJ PTS"/>
    <n v="1"/>
    <n v="0"/>
    <n v="0"/>
    <n v="0"/>
  </r>
  <r>
    <n v="84141094"/>
    <x v="16"/>
    <n v="0"/>
    <d v="2023-04-14T00:00:00"/>
    <x v="107"/>
    <x v="15"/>
    <n v="3.7853439999999999E-3"/>
    <n v="0"/>
    <s v="BJ"/>
    <x v="1"/>
    <x v="30"/>
    <s v="Q2"/>
    <n v="240"/>
    <n v="0"/>
    <s v="BJ PTS"/>
    <n v="1"/>
    <n v="0"/>
    <n v="0"/>
    <n v="0"/>
  </r>
  <r>
    <n v="67803006"/>
    <x v="18"/>
    <n v="8939"/>
    <d v="2023-04-14T00:00:00"/>
    <x v="151"/>
    <x v="35"/>
    <n v="3.6640000000000002E-3"/>
    <n v="32.752496000000001"/>
    <s v="BJ"/>
    <x v="1"/>
    <x v="40"/>
    <s v="Q2"/>
    <n v="240"/>
    <n v="37.24583333333333"/>
    <s v="PTS Exports"/>
    <n v="1"/>
    <n v="8939"/>
    <n v="32.752496000000001"/>
    <n v="37.24583333333333"/>
  </r>
  <r>
    <n v="67465063"/>
    <x v="15"/>
    <n v="2288"/>
    <d v="2023-04-14T00:00:00"/>
    <x v="3"/>
    <x v="7"/>
    <n v="5.2680000000000001E-3"/>
    <n v="12.053184"/>
    <s v="PS"/>
    <x v="1"/>
    <x v="3"/>
    <s v="Q2"/>
    <n v="130"/>
    <n v="17.600000000000001"/>
    <s v="PG"/>
    <n v="1"/>
    <n v="2288"/>
    <n v="12.053184"/>
    <n v="17.600000000000001"/>
  </r>
  <r>
    <n v="67466462"/>
    <x v="15"/>
    <n v="3140"/>
    <d v="2023-04-14T00:00:00"/>
    <x v="29"/>
    <x v="10"/>
    <n v="5.2680000000000001E-3"/>
    <n v="16.541520000000002"/>
    <s v="PS"/>
    <x v="1"/>
    <x v="3"/>
    <s v="Q2"/>
    <n v="130"/>
    <n v="24.153846153846153"/>
    <s v="PG"/>
    <n v="1"/>
    <n v="3140"/>
    <n v="16.541520000000002"/>
    <n v="24.153846153846153"/>
  </r>
  <r>
    <n v="67466492"/>
    <x v="15"/>
    <n v="2988"/>
    <d v="2023-04-14T00:00:00"/>
    <x v="8"/>
    <x v="6"/>
    <n v="5.2680000000000001E-3"/>
    <n v="15.740784"/>
    <s v="PS"/>
    <x v="1"/>
    <x v="3"/>
    <s v="Q2"/>
    <n v="130"/>
    <n v="22.984615384615385"/>
    <s v="PG"/>
    <n v="1"/>
    <n v="2988"/>
    <n v="15.740784"/>
    <n v="22.984615384615385"/>
  </r>
  <r>
    <n v="67885716"/>
    <x v="15"/>
    <n v="7047"/>
    <d v="2023-04-14T00:00:00"/>
    <x v="89"/>
    <x v="11"/>
    <n v="8.5199999999999998E-3"/>
    <n v="60.040439999999997"/>
    <s v="BR"/>
    <x v="1"/>
    <x v="6"/>
    <s v="Q2"/>
    <n v="154"/>
    <n v="45.759740259740262"/>
    <s v="48oz"/>
    <n v="1"/>
    <n v="7047"/>
    <n v="60.040439999999997"/>
    <n v="45.759740259740262"/>
  </r>
  <r>
    <n v="67885719"/>
    <x v="15"/>
    <n v="2084"/>
    <d v="2023-04-14T00:00:00"/>
    <x v="11"/>
    <x v="12"/>
    <n v="8.5199999999999998E-3"/>
    <n v="17.755679999999998"/>
    <s v="BR"/>
    <x v="1"/>
    <x v="6"/>
    <s v="Q2"/>
    <n v="154"/>
    <n v="13.532467532467532"/>
    <s v="48oz"/>
    <n v="1"/>
    <n v="2084"/>
    <n v="17.755679999999998"/>
    <n v="13.532467532467532"/>
  </r>
  <r>
    <n v="68188183"/>
    <x v="15"/>
    <n v="2089"/>
    <d v="2023-04-14T00:00:00"/>
    <x v="70"/>
    <x v="9"/>
    <n v="3.8340000000000002E-3"/>
    <n v="8.009226"/>
    <s v="PS"/>
    <x v="1"/>
    <x v="3"/>
    <s v="Q2"/>
    <n v="130"/>
    <n v="16.069230769230771"/>
    <s v="PG"/>
    <n v="1"/>
    <n v="2089"/>
    <n v="8.009226"/>
    <n v="16.069230769230771"/>
  </r>
  <r>
    <n v="68656230"/>
    <x v="15"/>
    <n v="2913"/>
    <d v="2023-04-14T00:00:00"/>
    <x v="124"/>
    <x v="16"/>
    <n v="8.5199999999999998E-3"/>
    <n v="24.818760000000001"/>
    <s v="BR"/>
    <x v="1"/>
    <x v="6"/>
    <s v="Q2"/>
    <n v="154"/>
    <n v="18.915584415584416"/>
    <s v="48oz"/>
    <n v="1"/>
    <n v="2913"/>
    <n v="24.818760000000001"/>
    <n v="18.915584415584416"/>
  </r>
  <r>
    <n v="68689251"/>
    <x v="15"/>
    <n v="2986"/>
    <d v="2023-04-14T00:00:00"/>
    <x v="17"/>
    <x v="17"/>
    <n v="9.5760000000000012E-3"/>
    <n v="28.593936000000003"/>
    <s v="KL"/>
    <x v="1"/>
    <x v="8"/>
    <s v="Q2"/>
    <n v="132"/>
    <n v="22.621212121212121"/>
    <s v="EDF"/>
    <n v="1"/>
    <n v="2986"/>
    <n v="28.593936000000003"/>
    <n v="22.621212121212121"/>
  </r>
  <r>
    <n v="68689251"/>
    <x v="15"/>
    <n v="1525"/>
    <d v="2023-04-14T00:00:00"/>
    <x v="17"/>
    <x v="17"/>
    <n v="9.5760000000000012E-3"/>
    <n v="14.603400000000002"/>
    <s v="KL"/>
    <x v="1"/>
    <x v="8"/>
    <s v="Q2"/>
    <n v="132"/>
    <n v="11.553030303030303"/>
    <s v="EDF"/>
    <n v="1"/>
    <n v="1525"/>
    <n v="14.603400000000002"/>
    <n v="11.553030303030303"/>
  </r>
  <r>
    <n v="68709237"/>
    <x v="15"/>
    <n v="2512"/>
    <d v="2023-04-14T00:00:00"/>
    <x v="126"/>
    <x v="20"/>
    <n v="9.5760000000000012E-3"/>
    <n v="24.054912000000002"/>
    <s v="KL"/>
    <x v="1"/>
    <x v="8"/>
    <s v="Q2"/>
    <n v="132"/>
    <n v="19.030303030303031"/>
    <s v="EDF"/>
    <n v="1"/>
    <n v="2512"/>
    <n v="24.054912000000002"/>
    <n v="19.030303030303031"/>
  </r>
  <r>
    <n v="68741742"/>
    <x v="15"/>
    <n v="5446"/>
    <d v="2023-04-14T00:00:00"/>
    <x v="25"/>
    <x v="4"/>
    <n v="4.2560000000000002E-3"/>
    <n v="23.178176000000001"/>
    <s v="GH"/>
    <x v="1"/>
    <x v="4"/>
    <s v="Q2"/>
    <n v="154"/>
    <n v="35.363636363636367"/>
    <s v="MBG"/>
    <n v="1"/>
    <n v="5446"/>
    <n v="23.178176000000001"/>
    <n v="35.363636363636367"/>
  </r>
  <r>
    <n v="68769685"/>
    <x v="15"/>
    <n v="10487"/>
    <d v="2023-04-14T00:00:00"/>
    <x v="259"/>
    <x v="23"/>
    <n v="8.5199999999999998E-3"/>
    <n v="89.349239999999995"/>
    <s v="BR"/>
    <x v="1"/>
    <x v="6"/>
    <s v="Q2"/>
    <n v="176"/>
    <n v="59.585227272727273"/>
    <s v="48oz"/>
    <n v="1"/>
    <n v="10487"/>
    <n v="89.349239999999995"/>
    <n v="59.585227272727273"/>
  </r>
  <r>
    <n v="69677917"/>
    <x v="15"/>
    <n v="1280"/>
    <d v="2023-04-14T00:00:00"/>
    <x v="30"/>
    <x v="29"/>
    <n v="5.2680000000000001E-3"/>
    <n v="6.7430400000000006"/>
    <s v="PS"/>
    <x v="1"/>
    <x v="3"/>
    <s v="Q2"/>
    <n v="108"/>
    <n v="11.851851851851851"/>
    <s v="PG"/>
    <n v="1"/>
    <n v="1280"/>
    <n v="6.7430400000000006"/>
    <n v="11.851851851851851"/>
  </r>
  <r>
    <n v="69549219"/>
    <x v="16"/>
    <n v="13842"/>
    <d v="2023-04-14T00:00:00"/>
    <x v="96"/>
    <x v="5"/>
    <n v="1.2227999999999999E-5"/>
    <n v="0.16925997599999998"/>
    <s v="MG"/>
    <x v="1"/>
    <x v="5"/>
    <s v="Q2"/>
    <n v="493"/>
    <n v="28.077079107505071"/>
    <s v="MG Sticks"/>
    <n v="1"/>
    <n v="13842"/>
    <n v="0.16925997599999998"/>
    <n v="28.077079107505071"/>
  </r>
  <r>
    <n v="67885718"/>
    <x v="16"/>
    <n v="5978"/>
    <d v="2023-04-14T00:00:00"/>
    <x v="48"/>
    <x v="2"/>
    <n v="8.5199999999999998E-3"/>
    <n v="50.932560000000002"/>
    <s v="BR"/>
    <x v="1"/>
    <x v="2"/>
    <s v="Q2"/>
    <n v="154"/>
    <n v="38.81818181818182"/>
    <s v="48oz"/>
    <n v="1"/>
    <n v="5978"/>
    <n v="50.932560000000002"/>
    <n v="38.81818181818182"/>
  </r>
  <r>
    <n v="67885723"/>
    <x v="16"/>
    <n v="4973"/>
    <d v="2023-04-14T00:00:00"/>
    <x v="304"/>
    <x v="2"/>
    <n v="8.5199999999999998E-3"/>
    <n v="42.369959999999999"/>
    <s v="BR"/>
    <x v="1"/>
    <x v="2"/>
    <s v="Q2"/>
    <n v="154"/>
    <n v="32.29220779220779"/>
    <s v="48oz"/>
    <n v="1"/>
    <n v="4973"/>
    <n v="42.369959999999999"/>
    <n v="32.29220779220779"/>
  </r>
  <r>
    <n v="67901589"/>
    <x v="16"/>
    <n v="22555"/>
    <d v="2023-04-14T00:00:00"/>
    <x v="220"/>
    <x v="32"/>
    <n v="8.5199999999999998E-3"/>
    <n v="192.1686"/>
    <s v="BR"/>
    <x v="1"/>
    <x v="2"/>
    <s v="Q2"/>
    <n v="154"/>
    <n v="146.46103896103895"/>
    <s v="48oz"/>
    <n v="1"/>
    <n v="22555"/>
    <n v="192.1686"/>
    <n v="146.46103896103895"/>
  </r>
  <r>
    <n v="68730234"/>
    <x v="16"/>
    <n v="19911"/>
    <d v="2023-04-14T00:00:00"/>
    <x v="21"/>
    <x v="21"/>
    <n v="3.7853440000000004E-3"/>
    <n v="75.369984384000006"/>
    <s v="TA"/>
    <x v="1"/>
    <x v="10"/>
    <s v="Q2"/>
    <n v="255"/>
    <n v="78.082352941176467"/>
    <s v="TALENTI"/>
    <n v="1"/>
    <n v="19911"/>
    <n v="75.369984384000006"/>
    <n v="78.082352941176467"/>
  </r>
  <r>
    <n v="68741742"/>
    <x v="16"/>
    <n v="4928"/>
    <d v="2023-04-14T00:00:00"/>
    <x v="25"/>
    <x v="25"/>
    <n v="4.2560000000000002E-3"/>
    <n v="20.973568"/>
    <s v="GH"/>
    <x v="1"/>
    <x v="11"/>
    <s v="Q2"/>
    <n v="154"/>
    <n v="32"/>
    <s v="MBG"/>
    <n v="1"/>
    <n v="4928"/>
    <n v="20.973568"/>
    <n v="32"/>
  </r>
  <r>
    <n v="68746232"/>
    <x v="16"/>
    <n v="3691"/>
    <d v="2023-04-14T00:00:00"/>
    <x v="154"/>
    <x v="26"/>
    <n v="9.5879999999999993E-3"/>
    <n v="35.389308"/>
    <s v="KL"/>
    <x v="1"/>
    <x v="12"/>
    <s v="Q2"/>
    <n v="132"/>
    <n v="27.962121212121211"/>
    <s v="EDF"/>
    <n v="1"/>
    <n v="3691"/>
    <n v="35.389308"/>
    <n v="27.962121212121211"/>
  </r>
  <r>
    <n v="69568963"/>
    <x v="16"/>
    <n v="11158"/>
    <d v="2023-04-14T00:00:00"/>
    <x v="94"/>
    <x v="13"/>
    <n v="8.5199999999999998E-3"/>
    <n v="95.066159999999996"/>
    <s v="BR"/>
    <x v="1"/>
    <x v="2"/>
    <s v="Q2"/>
    <n v="176"/>
    <n v="63.397727272727273"/>
    <s v="48oz"/>
    <n v="1"/>
    <n v="11158"/>
    <n v="95.066159999999996"/>
    <n v="63.397727272727273"/>
  </r>
  <r>
    <n v="69677917"/>
    <x v="16"/>
    <n v="5056"/>
    <d v="2023-04-14T00:00:00"/>
    <x v="30"/>
    <x v="30"/>
    <n v="5.2680000000000001E-3"/>
    <n v="26.635007999999999"/>
    <s v="PS"/>
    <x v="1"/>
    <x v="14"/>
    <s v="Q2"/>
    <n v="108"/>
    <n v="46.814814814814817"/>
    <s v="PG"/>
    <n v="1"/>
    <n v="5056"/>
    <n v="26.635007999999999"/>
    <n v="46.814814814814817"/>
  </r>
  <r>
    <n v="69684524"/>
    <x v="16"/>
    <n v="4689"/>
    <d v="2023-04-14T00:00:00"/>
    <x v="69"/>
    <x v="31"/>
    <n v="4.2560000000000002E-3"/>
    <n v="19.956384"/>
    <s v="BR"/>
    <x v="1"/>
    <x v="5"/>
    <s v="Q2"/>
    <n v="143"/>
    <n v="32.790209790209794"/>
    <s v="MG Sticks"/>
    <n v="1"/>
    <n v="4689"/>
    <n v="19.956384"/>
    <n v="32.790209790209794"/>
  </r>
  <r>
    <n v="84138391"/>
    <x v="17"/>
    <n v="52229"/>
    <d v="2023-04-14T00:00:00"/>
    <x v="84"/>
    <x v="33"/>
    <n v="3.7853439999999999E-3"/>
    <n v="197.70473177599999"/>
    <s v="BJ"/>
    <x v="1"/>
    <x v="15"/>
    <s v="Q2"/>
    <n v="240"/>
    <n v="217.62083333333334"/>
    <s v="BJ PTS"/>
    <n v="1"/>
    <n v="52229"/>
    <n v="197.70473177599999"/>
    <n v="217.62083333333334"/>
  </r>
  <r>
    <n v="68922011"/>
    <x v="16"/>
    <n v="9435"/>
    <d v="2023-04-14T00:00:00"/>
    <x v="261"/>
    <x v="22"/>
    <n v="3.7853440000000004E-3"/>
    <n v="35.714720640000003"/>
    <s v="TA"/>
    <x v="1"/>
    <x v="10"/>
    <s v="Q2"/>
    <n v="255"/>
    <n v="37"/>
    <s v="TALENTI"/>
    <n v="1"/>
    <n v="9435"/>
    <n v="35.714720640000003"/>
    <n v="37"/>
  </r>
  <r>
    <n v="69555092"/>
    <x v="16"/>
    <n v="1359"/>
    <d v="2023-04-14T00:00:00"/>
    <x v="289"/>
    <x v="14"/>
    <n v="1.98E-3"/>
    <n v="2.69082"/>
    <s v="TA"/>
    <x v="1"/>
    <x v="42"/>
    <s v="Q2"/>
    <n v="176"/>
    <n v="7.7215909090909092"/>
    <s v="TAL NV"/>
    <n v="1"/>
    <n v="1359"/>
    <n v="2.69082"/>
    <n v="7.7215909090909092"/>
  </r>
  <r>
    <n v="68782716"/>
    <x v="16"/>
    <n v="15794"/>
    <d v="2023-04-14T00:00:00"/>
    <x v="246"/>
    <x v="22"/>
    <n v="3.7853440000000004E-3"/>
    <n v="59.785723136000009"/>
    <s v="TA"/>
    <x v="1"/>
    <x v="10"/>
    <s v="Q2"/>
    <n v="255"/>
    <n v="61.937254901960785"/>
    <s v="TALENTI"/>
    <n v="1"/>
    <n v="15794"/>
    <n v="59.785723136000009"/>
    <n v="61.937254901960785"/>
  </r>
  <r>
    <n v="67466492"/>
    <x v="15"/>
    <n v="1467"/>
    <d v="2023-04-15T00:00:00"/>
    <x v="8"/>
    <x v="8"/>
    <n v="5.2680000000000001E-3"/>
    <n v="7.7281560000000002"/>
    <s v="PS"/>
    <x v="1"/>
    <x v="3"/>
    <s v="Q2"/>
    <n v="130"/>
    <n v="11.284615384615385"/>
    <s v="PG"/>
    <n v="1"/>
    <n v="1467"/>
    <n v="7.7281560000000002"/>
    <n v="11.284615384615385"/>
  </r>
  <r>
    <n v="68656230"/>
    <x v="15"/>
    <n v="7889"/>
    <d v="2023-04-15T00:00:00"/>
    <x v="124"/>
    <x v="16"/>
    <n v="8.5199999999999998E-3"/>
    <n v="67.214280000000002"/>
    <s v="BR"/>
    <x v="1"/>
    <x v="6"/>
    <s v="Q2"/>
    <n v="154"/>
    <n v="51.227272727272727"/>
    <s v="48oz"/>
    <n v="1"/>
    <n v="7889"/>
    <n v="67.214280000000002"/>
    <n v="51.227272727272727"/>
  </r>
  <r>
    <n v="68709237"/>
    <x v="15"/>
    <n v="5440"/>
    <d v="2023-04-15T00:00:00"/>
    <x v="126"/>
    <x v="20"/>
    <n v="9.5760000000000012E-3"/>
    <n v="52.093440000000008"/>
    <s v="KL"/>
    <x v="1"/>
    <x v="8"/>
    <s v="Q2"/>
    <n v="132"/>
    <n v="41.212121212121211"/>
    <s v="EDF"/>
    <n v="1"/>
    <n v="5440"/>
    <n v="52.093440000000008"/>
    <n v="41.212121212121211"/>
  </r>
  <r>
    <n v="68741714"/>
    <x v="15"/>
    <n v="7581"/>
    <d v="2023-04-15T00:00:00"/>
    <x v="24"/>
    <x v="24"/>
    <n v="2.8319999999999999E-3"/>
    <n v="21.469391999999999"/>
    <s v="GH"/>
    <x v="1"/>
    <x v="4"/>
    <s v="Q2"/>
    <n v="225"/>
    <n v="33.693333333333335"/>
    <s v="MBG"/>
    <n v="1"/>
    <n v="7581"/>
    <n v="21.469391999999999"/>
    <n v="33.693333333333335"/>
  </r>
  <r>
    <n v="67466462"/>
    <x v="15"/>
    <n v="4260"/>
    <d v="2023-04-15T00:00:00"/>
    <x v="29"/>
    <x v="10"/>
    <n v="5.2680000000000001E-3"/>
    <n v="22.441680000000002"/>
    <s v="PS"/>
    <x v="1"/>
    <x v="3"/>
    <s v="Q2"/>
    <n v="130"/>
    <n v="32.769230769230766"/>
    <s v="PG"/>
    <n v="1"/>
    <n v="4260"/>
    <n v="22.441680000000002"/>
    <n v="32.769230769230766"/>
  </r>
  <r>
    <n v="67466492"/>
    <x v="15"/>
    <n v="3968"/>
    <d v="2023-04-15T00:00:00"/>
    <x v="8"/>
    <x v="6"/>
    <n v="5.2680000000000001E-3"/>
    <n v="20.903424000000001"/>
    <s v="PS"/>
    <x v="1"/>
    <x v="3"/>
    <s v="Q2"/>
    <n v="130"/>
    <n v="30.523076923076925"/>
    <s v="PG"/>
    <n v="1"/>
    <n v="3968"/>
    <n v="20.903424000000001"/>
    <n v="30.523076923076925"/>
  </r>
  <r>
    <n v="68689251"/>
    <x v="15"/>
    <n v="6441"/>
    <d v="2023-04-15T00:00:00"/>
    <x v="17"/>
    <x v="17"/>
    <n v="9.5760000000000012E-3"/>
    <n v="61.679016000000004"/>
    <s v="KL"/>
    <x v="1"/>
    <x v="8"/>
    <s v="Q2"/>
    <n v="132"/>
    <n v="48.795454545454547"/>
    <s v="EDF"/>
    <n v="1"/>
    <n v="6441"/>
    <n v="61.679016000000004"/>
    <n v="48.795454545454547"/>
  </r>
  <r>
    <n v="68741742"/>
    <x v="15"/>
    <n v="3471"/>
    <d v="2023-04-15T00:00:00"/>
    <x v="25"/>
    <x v="4"/>
    <n v="4.2560000000000002E-3"/>
    <n v="14.772576000000001"/>
    <s v="GH"/>
    <x v="1"/>
    <x v="4"/>
    <s v="Q2"/>
    <n v="154"/>
    <n v="22.538961038961038"/>
    <s v="MBG"/>
    <n v="1"/>
    <n v="3471"/>
    <n v="14.772576000000001"/>
    <n v="22.538961038961038"/>
  </r>
  <r>
    <n v="68769685"/>
    <x v="15"/>
    <n v="5486"/>
    <d v="2023-04-15T00:00:00"/>
    <x v="259"/>
    <x v="23"/>
    <n v="8.5199999999999998E-3"/>
    <n v="46.740719999999996"/>
    <s v="BR"/>
    <x v="1"/>
    <x v="6"/>
    <s v="Q2"/>
    <n v="176"/>
    <n v="31.170454545454547"/>
    <s v="48oz"/>
    <n v="1"/>
    <n v="5486"/>
    <n v="46.740719999999996"/>
    <n v="31.170454545454547"/>
  </r>
  <r>
    <n v="68881272"/>
    <x v="15"/>
    <n v="1555"/>
    <d v="2023-04-15T00:00:00"/>
    <x v="124"/>
    <x v="16"/>
    <n v="8.5199999999999998E-3"/>
    <n v="13.2486"/>
    <s v="BR"/>
    <x v="1"/>
    <x v="6"/>
    <s v="Q2"/>
    <n v="154"/>
    <n v="10.097402597402597"/>
    <s v="48oz"/>
    <n v="1"/>
    <n v="1555"/>
    <n v="13.2486"/>
    <n v="10.097402597402597"/>
  </r>
  <r>
    <n v="69677917"/>
    <x v="15"/>
    <n v="4374"/>
    <d v="2023-04-15T00:00:00"/>
    <x v="30"/>
    <x v="29"/>
    <n v="5.2680000000000001E-3"/>
    <n v="23.042232000000002"/>
    <s v="PS"/>
    <x v="1"/>
    <x v="3"/>
    <s v="Q2"/>
    <n v="108"/>
    <n v="40.5"/>
    <s v="PG"/>
    <n v="1"/>
    <n v="4374"/>
    <n v="23.042232000000002"/>
    <n v="40.5"/>
  </r>
  <r>
    <n v="67309841"/>
    <x v="16"/>
    <n v="1232"/>
    <d v="2023-04-15T00:00:00"/>
    <x v="32"/>
    <x v="13"/>
    <n v="8.5199999999999998E-3"/>
    <n v="10.496639999999999"/>
    <s v="BR"/>
    <x v="1"/>
    <x v="2"/>
    <s v="Q2"/>
    <n v="154"/>
    <n v="8"/>
    <s v="48oz"/>
    <n v="1"/>
    <n v="1232"/>
    <n v="10.496639999999999"/>
    <n v="8"/>
  </r>
  <r>
    <n v="67885719"/>
    <x v="16"/>
    <n v="8953"/>
    <d v="2023-04-15T00:00:00"/>
    <x v="11"/>
    <x v="32"/>
    <n v="8.5199999999999998E-3"/>
    <n v="76.279560000000004"/>
    <s v="BR"/>
    <x v="1"/>
    <x v="2"/>
    <s v="Q2"/>
    <n v="154"/>
    <n v="58.136363636363633"/>
    <s v="48oz"/>
    <n v="1"/>
    <n v="8953"/>
    <n v="76.279560000000004"/>
    <n v="58.136363636363633"/>
  </r>
  <r>
    <n v="69549217"/>
    <x v="16"/>
    <n v="4351"/>
    <d v="2023-04-15T00:00:00"/>
    <x v="80"/>
    <x v="5"/>
    <n v="2.0400000000000001E-3"/>
    <n v="8.8760400000000015"/>
    <s v="MG"/>
    <x v="1"/>
    <x v="5"/>
    <s v="Q2"/>
    <n v="189"/>
    <n v="23.021164021164022"/>
    <s v="MG Sticks"/>
    <n v="1"/>
    <n v="4351"/>
    <n v="8.8760400000000015"/>
    <n v="23.021164021164022"/>
  </r>
  <r>
    <n v="67885718"/>
    <x v="16"/>
    <n v="13167"/>
    <d v="2023-04-15T00:00:00"/>
    <x v="48"/>
    <x v="2"/>
    <n v="8.5199999999999998E-3"/>
    <n v="112.18284"/>
    <s v="BR"/>
    <x v="1"/>
    <x v="2"/>
    <s v="Q2"/>
    <n v="154"/>
    <n v="85.5"/>
    <s v="48oz"/>
    <n v="1"/>
    <n v="13167"/>
    <n v="112.18284"/>
    <n v="85.5"/>
  </r>
  <r>
    <n v="67901589"/>
    <x v="16"/>
    <n v="5431"/>
    <d v="2023-04-15T00:00:00"/>
    <x v="220"/>
    <x v="32"/>
    <n v="8.5199999999999998E-3"/>
    <n v="46.272120000000001"/>
    <s v="BR"/>
    <x v="1"/>
    <x v="2"/>
    <s v="Q2"/>
    <n v="154"/>
    <n v="35.266233766233768"/>
    <s v="48oz"/>
    <n v="1"/>
    <n v="5431"/>
    <n v="46.272120000000001"/>
    <n v="35.266233766233768"/>
  </r>
  <r>
    <n v="68730234"/>
    <x v="16"/>
    <n v="21764"/>
    <d v="2023-04-15T00:00:00"/>
    <x v="21"/>
    <x v="21"/>
    <n v="3.7853440000000004E-3"/>
    <n v="82.384226816000009"/>
    <s v="TA"/>
    <x v="1"/>
    <x v="10"/>
    <s v="Q2"/>
    <n v="255"/>
    <n v="85.349019607843132"/>
    <s v="TALENTI"/>
    <n v="1"/>
    <n v="21764"/>
    <n v="82.384226816000009"/>
    <n v="85.349019607843132"/>
  </r>
  <r>
    <n v="68741742"/>
    <x v="16"/>
    <n v="3377"/>
    <d v="2023-04-15T00:00:00"/>
    <x v="25"/>
    <x v="25"/>
    <n v="4.2560000000000002E-3"/>
    <n v="14.372512"/>
    <s v="GH"/>
    <x v="1"/>
    <x v="11"/>
    <s v="Q2"/>
    <n v="154"/>
    <n v="21.928571428571427"/>
    <s v="MBG"/>
    <n v="1"/>
    <n v="3377"/>
    <n v="14.372512"/>
    <n v="21.928571428571427"/>
  </r>
  <r>
    <n v="68746232"/>
    <x v="16"/>
    <n v="3902"/>
    <d v="2023-04-15T00:00:00"/>
    <x v="154"/>
    <x v="26"/>
    <n v="9.5879999999999993E-3"/>
    <n v="37.412375999999995"/>
    <s v="KL"/>
    <x v="1"/>
    <x v="12"/>
    <s v="Q2"/>
    <n v="132"/>
    <n v="29.560606060606062"/>
    <s v="EDF"/>
    <n v="1"/>
    <n v="3902"/>
    <n v="37.412375999999995"/>
    <n v="29.560606060606062"/>
  </r>
  <r>
    <n v="68922011"/>
    <x v="16"/>
    <n v="13303"/>
    <d v="2023-04-15T00:00:00"/>
    <x v="261"/>
    <x v="22"/>
    <n v="3.7853440000000004E-3"/>
    <n v="50.356431232000006"/>
    <s v="TA"/>
    <x v="1"/>
    <x v="10"/>
    <s v="Q2"/>
    <n v="255"/>
    <n v="52.168627450980395"/>
    <s v="TALENTI"/>
    <n v="1"/>
    <n v="13303"/>
    <n v="50.356431232000006"/>
    <n v="52.168627450980395"/>
  </r>
  <r>
    <n v="69677917"/>
    <x v="16"/>
    <n v="3624"/>
    <d v="2023-04-15T00:00:00"/>
    <x v="30"/>
    <x v="30"/>
    <n v="5.2680000000000001E-3"/>
    <n v="19.091232000000002"/>
    <s v="PS"/>
    <x v="1"/>
    <x v="14"/>
    <s v="Q2"/>
    <n v="108"/>
    <n v="33.555555555555557"/>
    <s v="PG"/>
    <n v="1"/>
    <n v="3624"/>
    <n v="19.091232000000002"/>
    <n v="33.555555555555557"/>
  </r>
  <r>
    <n v="68782716"/>
    <x v="16"/>
    <n v="34"/>
    <d v="2023-04-15T00:00:00"/>
    <x v="246"/>
    <x v="22"/>
    <n v="3.7853440000000004E-3"/>
    <n v="0.128701696"/>
    <s v="TA"/>
    <x v="1"/>
    <x v="10"/>
    <s v="Q2"/>
    <n v="255"/>
    <n v="0.13333333333333333"/>
    <s v="TALENTI"/>
    <n v="1"/>
    <n v="34"/>
    <n v="0.128701696"/>
    <n v="0.13333333333333333"/>
  </r>
  <r>
    <n v="69568963"/>
    <x v="16"/>
    <n v="6079"/>
    <d v="2023-04-15T00:00:00"/>
    <x v="94"/>
    <x v="13"/>
    <n v="8.5199999999999998E-3"/>
    <n v="51.793079999999996"/>
    <s v="BR"/>
    <x v="1"/>
    <x v="2"/>
    <s v="Q2"/>
    <n v="176"/>
    <n v="34.539772727272727"/>
    <s v="48oz"/>
    <n v="1"/>
    <n v="6079"/>
    <n v="51.793079999999996"/>
    <n v="34.539772727272727"/>
  </r>
  <r>
    <n v="67476560"/>
    <x v="15"/>
    <n v="0"/>
    <d v="2023-04-16T00:00:00"/>
    <x v="10"/>
    <x v="10"/>
    <n v="5.1060000000000003E-3"/>
    <n v="0"/>
    <s v="PS"/>
    <x v="1"/>
    <x v="3"/>
    <s v="Q2"/>
    <n v="130"/>
    <n v="0"/>
    <s v="PG"/>
    <n v="1"/>
    <n v="0"/>
    <n v="0"/>
    <n v="0"/>
  </r>
  <r>
    <n v="67885716"/>
    <x v="15"/>
    <n v="4265"/>
    <d v="2023-04-16T00:00:00"/>
    <x v="89"/>
    <x v="11"/>
    <n v="8.5199999999999998E-3"/>
    <n v="36.337800000000001"/>
    <s v="BR"/>
    <x v="1"/>
    <x v="6"/>
    <s v="Q2"/>
    <n v="154"/>
    <n v="27.694805194805195"/>
    <s v="48oz"/>
    <n v="1"/>
    <n v="4265"/>
    <n v="36.337800000000001"/>
    <n v="27.694805194805195"/>
  </r>
  <r>
    <n v="68709237"/>
    <x v="15"/>
    <n v="2055"/>
    <d v="2023-04-16T00:00:00"/>
    <x v="126"/>
    <x v="20"/>
    <n v="9.5760000000000012E-3"/>
    <n v="19.678680000000004"/>
    <s v="KL"/>
    <x v="1"/>
    <x v="8"/>
    <s v="Q2"/>
    <n v="132"/>
    <n v="15.568181818181818"/>
    <s v="EDF"/>
    <n v="1"/>
    <n v="2055"/>
    <n v="19.678680000000004"/>
    <n v="15.568181818181818"/>
  </r>
  <r>
    <n v="68741714"/>
    <x v="15"/>
    <n v="3897"/>
    <d v="2023-04-16T00:00:00"/>
    <x v="24"/>
    <x v="24"/>
    <n v="2.8319999999999999E-3"/>
    <n v="11.036303999999999"/>
    <s v="GH"/>
    <x v="1"/>
    <x v="4"/>
    <s v="Q2"/>
    <n v="225"/>
    <n v="17.32"/>
    <s v="MBG"/>
    <n v="1"/>
    <n v="3897"/>
    <n v="11.036303999999999"/>
    <n v="17.32"/>
  </r>
  <r>
    <n v="68921994"/>
    <x v="15"/>
    <n v="461"/>
    <d v="2023-04-16T00:00:00"/>
    <x v="258"/>
    <x v="20"/>
    <n v="9.5879999999999993E-3"/>
    <n v="4.4200679999999997"/>
    <s v="KL"/>
    <x v="1"/>
    <x v="8"/>
    <s v="Q2"/>
    <n v="132"/>
    <n v="3.4924242424242422"/>
    <s v="EDF"/>
    <n v="1"/>
    <n v="461"/>
    <n v="4.4200679999999997"/>
    <n v="3.4924242424242422"/>
  </r>
  <r>
    <n v="68922106"/>
    <x v="16"/>
    <n v="0"/>
    <d v="2023-04-16T00:00:00"/>
    <x v="104"/>
    <x v="22"/>
    <n v="3.552E-3"/>
    <n v="0"/>
    <s v="TA"/>
    <x v="1"/>
    <x v="10"/>
    <s v="Q2"/>
    <n v="255"/>
    <n v="0"/>
    <s v="TALENTI"/>
    <n v="1"/>
    <n v="0"/>
    <n v="0"/>
    <n v="0"/>
  </r>
  <r>
    <n v="67473913"/>
    <x v="17"/>
    <n v="5321"/>
    <d v="2023-04-16T00:00:00"/>
    <x v="333"/>
    <x v="33"/>
    <n v="3.6640000000000002E-3"/>
    <n v="19.496144000000001"/>
    <s v="BJ"/>
    <x v="1"/>
    <x v="24"/>
    <s v="Q2"/>
    <n v="240"/>
    <n v="22.170833333333334"/>
    <s v="PTS Exports"/>
    <n v="1"/>
    <n v="5321"/>
    <n v="19.496144000000001"/>
    <n v="22.170833333333334"/>
  </r>
  <r>
    <n v="67881629"/>
    <x v="17"/>
    <n v="77605"/>
    <d v="2023-04-16T00:00:00"/>
    <x v="65"/>
    <x v="33"/>
    <n v="3.7853439999999999E-3"/>
    <n v="293.76162111999997"/>
    <s v="BJ"/>
    <x v="1"/>
    <x v="15"/>
    <s v="Q2"/>
    <n v="240"/>
    <n v="323.35416666666669"/>
    <s v="BJ PTS"/>
    <n v="1"/>
    <n v="77605"/>
    <n v="293.76162111999997"/>
    <n v="323.35416666666669"/>
  </r>
  <r>
    <n v="84137701"/>
    <x v="17"/>
    <n v="25593"/>
    <d v="2023-04-16T00:00:00"/>
    <x v="37"/>
    <x v="33"/>
    <n v="1.4399999999999999E-3"/>
    <n v="36.853919999999995"/>
    <s v="BJ"/>
    <x v="1"/>
    <x v="16"/>
    <s v="Q2"/>
    <n v="510"/>
    <n v="50.182352941176468"/>
    <s v="B&amp;J Cups"/>
    <n v="1"/>
    <n v="25593"/>
    <n v="36.853919999999995"/>
    <n v="50.182352941176468"/>
  </r>
  <r>
    <n v="84149990"/>
    <x v="17"/>
    <n v="13505"/>
    <d v="2023-04-16T00:00:00"/>
    <x v="168"/>
    <x v="34"/>
    <n v="3.7853439999999999E-3"/>
    <n v="51.121070719999999"/>
    <s v="BJ"/>
    <x v="1"/>
    <x v="24"/>
    <s v="Q2"/>
    <n v="240"/>
    <n v="56.270833333333336"/>
    <s v="PTS Exports"/>
    <n v="1"/>
    <n v="13505"/>
    <n v="51.121070719999999"/>
    <n v="56.270833333333336"/>
  </r>
  <r>
    <n v="84164937"/>
    <x v="17"/>
    <n v="30942"/>
    <d v="2023-04-16T00:00:00"/>
    <x v="234"/>
    <x v="38"/>
    <n v="3.7853439999999999E-3"/>
    <n v="117.12611404800001"/>
    <s v="BJ"/>
    <x v="1"/>
    <x v="15"/>
    <s v="Q2"/>
    <n v="240"/>
    <n v="128.92500000000001"/>
    <s v="BJ PTS"/>
    <n v="1"/>
    <n v="30942"/>
    <n v="117.12611404800001"/>
    <n v="128.92500000000001"/>
  </r>
  <r>
    <n v="67466462"/>
    <x v="15"/>
    <n v="2080"/>
    <d v="2023-04-16T00:00:00"/>
    <x v="29"/>
    <x v="10"/>
    <n v="5.2680000000000001E-3"/>
    <n v="10.95744"/>
    <s v="PS"/>
    <x v="1"/>
    <x v="3"/>
    <s v="Q2"/>
    <n v="130"/>
    <n v="16"/>
    <s v="PG"/>
    <n v="1"/>
    <n v="2080"/>
    <n v="10.95744"/>
    <n v="16"/>
  </r>
  <r>
    <n v="67466492"/>
    <x v="15"/>
    <n v="4147"/>
    <d v="2023-04-16T00:00:00"/>
    <x v="8"/>
    <x v="6"/>
    <n v="5.2680000000000001E-3"/>
    <n v="21.846396000000002"/>
    <s v="PS"/>
    <x v="1"/>
    <x v="3"/>
    <s v="Q2"/>
    <n v="130"/>
    <n v="31.9"/>
    <s v="PG"/>
    <n v="1"/>
    <n v="4147"/>
    <n v="21.846396000000002"/>
    <n v="31.9"/>
  </r>
  <r>
    <n v="67466492"/>
    <x v="15"/>
    <n v="1921"/>
    <d v="2023-04-16T00:00:00"/>
    <x v="8"/>
    <x v="8"/>
    <n v="5.2680000000000001E-3"/>
    <n v="10.119828"/>
    <s v="PS"/>
    <x v="1"/>
    <x v="3"/>
    <s v="Q2"/>
    <n v="130"/>
    <n v="14.776923076923078"/>
    <s v="PG"/>
    <n v="1"/>
    <n v="1921"/>
    <n v="10.119828"/>
    <n v="14.776923076923078"/>
  </r>
  <r>
    <n v="68689251"/>
    <x v="15"/>
    <n v="6644"/>
    <d v="2023-04-16T00:00:00"/>
    <x v="17"/>
    <x v="17"/>
    <n v="9.5760000000000012E-3"/>
    <n v="63.622944000000011"/>
    <s v="KL"/>
    <x v="1"/>
    <x v="8"/>
    <s v="Q2"/>
    <n v="132"/>
    <n v="50.333333333333336"/>
    <s v="EDF"/>
    <n v="1"/>
    <n v="6644"/>
    <n v="63.622944000000011"/>
    <n v="50.333333333333336"/>
  </r>
  <r>
    <n v="68741742"/>
    <x v="15"/>
    <n v="6853"/>
    <d v="2023-04-16T00:00:00"/>
    <x v="25"/>
    <x v="4"/>
    <n v="4.2560000000000002E-3"/>
    <n v="29.166368000000002"/>
    <s v="GH"/>
    <x v="1"/>
    <x v="4"/>
    <s v="Q2"/>
    <n v="154"/>
    <n v="44.5"/>
    <s v="MBG"/>
    <n v="1"/>
    <n v="6853"/>
    <n v="29.166368000000002"/>
    <n v="44.5"/>
  </r>
  <r>
    <n v="68769685"/>
    <x v="15"/>
    <n v="0"/>
    <d v="2023-04-16T00:00:00"/>
    <x v="259"/>
    <x v="23"/>
    <n v="8.5199999999999998E-3"/>
    <n v="0"/>
    <s v="BR"/>
    <x v="1"/>
    <x v="6"/>
    <s v="Q2"/>
    <n v="176"/>
    <n v="0"/>
    <s v="48oz"/>
    <n v="1"/>
    <n v="0"/>
    <n v="0"/>
    <n v="0"/>
  </r>
  <r>
    <n v="68881272"/>
    <x v="15"/>
    <n v="9637"/>
    <d v="2023-04-16T00:00:00"/>
    <x v="124"/>
    <x v="16"/>
    <n v="8.5199999999999998E-3"/>
    <n v="82.107240000000004"/>
    <s v="BR"/>
    <x v="1"/>
    <x v="6"/>
    <s v="Q2"/>
    <n v="154"/>
    <n v="62.577922077922075"/>
    <s v="48oz"/>
    <n v="1"/>
    <n v="9637"/>
    <n v="82.107240000000004"/>
    <n v="62.577922077922075"/>
  </r>
  <r>
    <n v="69677917"/>
    <x v="15"/>
    <n v="4008"/>
    <d v="2023-04-16T00:00:00"/>
    <x v="30"/>
    <x v="29"/>
    <n v="5.2680000000000001E-3"/>
    <n v="21.114144"/>
    <s v="PS"/>
    <x v="1"/>
    <x v="3"/>
    <s v="Q2"/>
    <n v="108"/>
    <n v="37.111111111111114"/>
    <s v="PG"/>
    <n v="1"/>
    <n v="4008"/>
    <n v="21.114144"/>
    <n v="37.111111111111114"/>
  </r>
  <r>
    <n v="67309841"/>
    <x v="16"/>
    <n v="13981"/>
    <d v="2023-04-16T00:00:00"/>
    <x v="32"/>
    <x v="13"/>
    <n v="8.5199999999999998E-3"/>
    <n v="119.11811999999999"/>
    <s v="BR"/>
    <x v="1"/>
    <x v="2"/>
    <s v="Q2"/>
    <n v="154"/>
    <n v="90.785714285714292"/>
    <s v="48oz"/>
    <n v="1"/>
    <n v="13981"/>
    <n v="119.11811999999999"/>
    <n v="90.785714285714292"/>
  </r>
  <r>
    <n v="67885718"/>
    <x v="16"/>
    <n v="4921"/>
    <d v="2023-04-16T00:00:00"/>
    <x v="48"/>
    <x v="2"/>
    <n v="8.5199999999999998E-3"/>
    <n v="41.926919999999996"/>
    <s v="BR"/>
    <x v="1"/>
    <x v="2"/>
    <s v="Q2"/>
    <n v="154"/>
    <n v="31.954545454545453"/>
    <s v="48oz"/>
    <n v="1"/>
    <n v="4921"/>
    <n v="41.926919999999996"/>
    <n v="31.954545454545453"/>
  </r>
  <r>
    <n v="67885719"/>
    <x v="16"/>
    <n v="24178"/>
    <d v="2023-04-16T00:00:00"/>
    <x v="11"/>
    <x v="32"/>
    <n v="8.5199999999999998E-3"/>
    <n v="205.99655999999999"/>
    <s v="BR"/>
    <x v="1"/>
    <x v="2"/>
    <s v="Q2"/>
    <n v="154"/>
    <n v="157"/>
    <s v="48oz"/>
    <n v="1"/>
    <n v="24178"/>
    <n v="205.99655999999999"/>
    <n v="157"/>
  </r>
  <r>
    <n v="68730234"/>
    <x v="16"/>
    <n v="7044"/>
    <d v="2023-04-16T00:00:00"/>
    <x v="21"/>
    <x v="21"/>
    <n v="3.7853440000000004E-3"/>
    <n v="26.663963136000003"/>
    <s v="TA"/>
    <x v="1"/>
    <x v="10"/>
    <s v="Q2"/>
    <n v="255"/>
    <n v="27.623529411764707"/>
    <s v="TALENTI"/>
    <n v="1"/>
    <n v="7044"/>
    <n v="26.663963136000003"/>
    <n v="27.623529411764707"/>
  </r>
  <r>
    <n v="68746232"/>
    <x v="16"/>
    <n v="5288"/>
    <d v="2023-04-16T00:00:00"/>
    <x v="154"/>
    <x v="26"/>
    <n v="9.5879999999999993E-3"/>
    <n v="50.701343999999999"/>
    <s v="KL"/>
    <x v="1"/>
    <x v="12"/>
    <s v="Q2"/>
    <n v="132"/>
    <n v="40.060606060606062"/>
    <s v="EDF"/>
    <n v="1"/>
    <n v="5288"/>
    <n v="50.701343999999999"/>
    <n v="40.060606060606062"/>
  </r>
  <r>
    <n v="68922011"/>
    <x v="16"/>
    <n v="12661"/>
    <d v="2023-04-16T00:00:00"/>
    <x v="261"/>
    <x v="22"/>
    <n v="3.7853440000000004E-3"/>
    <n v="47.926240384000003"/>
    <s v="TA"/>
    <x v="1"/>
    <x v="10"/>
    <s v="Q2"/>
    <n v="255"/>
    <n v="49.65098039215686"/>
    <s v="TALENTI"/>
    <n v="1"/>
    <n v="12661"/>
    <n v="47.926240384000003"/>
    <n v="49.65098039215686"/>
  </r>
  <r>
    <n v="69549217"/>
    <x v="16"/>
    <n v="8134"/>
    <d v="2023-04-16T00:00:00"/>
    <x v="80"/>
    <x v="5"/>
    <n v="2.0400000000000001E-3"/>
    <n v="16.593360000000001"/>
    <s v="MG"/>
    <x v="1"/>
    <x v="5"/>
    <s v="Q2"/>
    <n v="189"/>
    <n v="43.037037037037038"/>
    <s v="MG Sticks"/>
    <n v="1"/>
    <n v="8134"/>
    <n v="16.593360000000001"/>
    <n v="43.037037037037038"/>
  </r>
  <r>
    <n v="69677917"/>
    <x v="16"/>
    <n v="1270"/>
    <d v="2023-04-16T00:00:00"/>
    <x v="30"/>
    <x v="30"/>
    <n v="5.2680000000000001E-3"/>
    <n v="6.6903600000000001"/>
    <s v="PS"/>
    <x v="1"/>
    <x v="14"/>
    <s v="Q2"/>
    <n v="108"/>
    <n v="11.75925925925926"/>
    <s v="PG"/>
    <n v="1"/>
    <n v="1270"/>
    <n v="6.6903600000000001"/>
    <n v="11.75925925925926"/>
  </r>
  <r>
    <n v="68741742"/>
    <x v="16"/>
    <n v="924"/>
    <d v="2023-04-16T00:00:00"/>
    <x v="25"/>
    <x v="25"/>
    <n v="4.2560000000000002E-3"/>
    <n v="3.932544"/>
    <s v="GH"/>
    <x v="1"/>
    <x v="11"/>
    <s v="Q2"/>
    <n v="154"/>
    <n v="6"/>
    <s v="MBG"/>
    <n v="1"/>
    <n v="924"/>
    <n v="3.932544"/>
    <n v="6"/>
  </r>
  <r>
    <n v="68881270"/>
    <x v="16"/>
    <n v="5412"/>
    <d v="2023-04-16T00:00:00"/>
    <x v="91"/>
    <x v="2"/>
    <n v="8.5199999999999998E-3"/>
    <n v="46.110239999999997"/>
    <s v="BR"/>
    <x v="1"/>
    <x v="2"/>
    <s v="Q2"/>
    <n v="176"/>
    <n v="30.75"/>
    <s v="48oz"/>
    <n v="1"/>
    <n v="5412"/>
    <n v="46.110239999999997"/>
    <n v="30.75"/>
  </r>
  <r>
    <n v="67465063"/>
    <x v="15"/>
    <n v="1047"/>
    <d v="2023-04-17T00:00:00"/>
    <x v="3"/>
    <x v="40"/>
    <n v="5.2680000000000001E-3"/>
    <n v="5.5155960000000004"/>
    <s v="PS"/>
    <x v="1"/>
    <x v="3"/>
    <s v="Q2"/>
    <n v="130"/>
    <n v="8.0538461538461537"/>
    <s v="PG"/>
    <n v="1"/>
    <n v="1047"/>
    <n v="5.5155960000000004"/>
    <n v="8.0538461538461537"/>
  </r>
  <r>
    <n v="67465063"/>
    <x v="15"/>
    <n v="3309"/>
    <d v="2023-04-17T00:00:00"/>
    <x v="3"/>
    <x v="7"/>
    <n v="5.2680000000000001E-3"/>
    <n v="17.431812000000001"/>
    <s v="PS"/>
    <x v="1"/>
    <x v="3"/>
    <s v="Q2"/>
    <n v="130"/>
    <n v="25.453846153846154"/>
    <s v="PG"/>
    <n v="1"/>
    <n v="3309"/>
    <n v="17.431812000000001"/>
    <n v="25.453846153846154"/>
  </r>
  <r>
    <n v="67465064"/>
    <x v="15"/>
    <n v="0"/>
    <d v="2023-04-17T00:00:00"/>
    <x v="7"/>
    <x v="3"/>
    <n v="1.596E-3"/>
    <n v="0"/>
    <s v="PS"/>
    <x v="1"/>
    <x v="3"/>
    <s v="Q2"/>
    <n v="130"/>
    <n v="0"/>
    <s v="PG"/>
    <n v="1"/>
    <n v="0"/>
    <n v="0"/>
    <n v="0"/>
  </r>
  <r>
    <n v="67466492"/>
    <x v="15"/>
    <n v="2092"/>
    <d v="2023-04-17T00:00:00"/>
    <x v="8"/>
    <x v="6"/>
    <n v="5.2680000000000001E-3"/>
    <n v="11.020656000000001"/>
    <s v="PS"/>
    <x v="1"/>
    <x v="3"/>
    <s v="Q2"/>
    <n v="130"/>
    <n v="16.092307692307692"/>
    <s v="PG"/>
    <n v="1"/>
    <n v="2092"/>
    <n v="11.020656000000001"/>
    <n v="16.092307692307692"/>
  </r>
  <r>
    <n v="67466492"/>
    <x v="15"/>
    <n v="2254"/>
    <d v="2023-04-17T00:00:00"/>
    <x v="8"/>
    <x v="8"/>
    <n v="5.2680000000000001E-3"/>
    <n v="11.874072"/>
    <s v="PS"/>
    <x v="1"/>
    <x v="3"/>
    <s v="Q2"/>
    <n v="130"/>
    <n v="17.338461538461537"/>
    <s v="PG"/>
    <n v="1"/>
    <n v="2254"/>
    <n v="11.874072"/>
    <n v="17.338461538461537"/>
  </r>
  <r>
    <n v="68188183"/>
    <x v="15"/>
    <n v="2972"/>
    <d v="2023-04-17T00:00:00"/>
    <x v="70"/>
    <x v="9"/>
    <n v="3.8340000000000002E-3"/>
    <n v="11.394648"/>
    <s v="PS"/>
    <x v="1"/>
    <x v="3"/>
    <s v="Q2"/>
    <n v="130"/>
    <n v="22.861538461538462"/>
    <s v="PG"/>
    <n v="1"/>
    <n v="2972"/>
    <n v="11.394648"/>
    <n v="22.861538461538462"/>
  </r>
  <r>
    <n v="68300738"/>
    <x v="15"/>
    <n v="1293"/>
    <d v="2023-04-17T00:00:00"/>
    <x v="120"/>
    <x v="19"/>
    <n v="8.4960000000000001E-3"/>
    <n v="10.985328000000001"/>
    <s v="KL"/>
    <x v="1"/>
    <x v="8"/>
    <s v="Q2"/>
    <n v="132"/>
    <n v="9.795454545454545"/>
    <s v="EDF"/>
    <n v="1"/>
    <n v="1293"/>
    <n v="10.985328000000001"/>
    <n v="9.795454545454545"/>
  </r>
  <r>
    <n v="68300738"/>
    <x v="15"/>
    <n v="2871"/>
    <d v="2023-04-17T00:00:00"/>
    <x v="120"/>
    <x v="19"/>
    <n v="8.4960000000000001E-3"/>
    <n v="24.392016000000002"/>
    <s v="KL"/>
    <x v="1"/>
    <x v="8"/>
    <s v="Q2"/>
    <n v="132"/>
    <n v="21.75"/>
    <s v="EDF"/>
    <n v="1"/>
    <n v="2871"/>
    <n v="24.392016000000002"/>
    <n v="21.75"/>
  </r>
  <r>
    <n v="68689251"/>
    <x v="15"/>
    <n v="5141"/>
    <d v="2023-04-17T00:00:00"/>
    <x v="17"/>
    <x v="17"/>
    <n v="9.5760000000000012E-3"/>
    <n v="49.230216000000006"/>
    <s v="KL"/>
    <x v="1"/>
    <x v="8"/>
    <s v="Q2"/>
    <n v="132"/>
    <n v="38.946969696969695"/>
    <s v="EDF"/>
    <n v="1"/>
    <n v="5141"/>
    <n v="49.230216000000006"/>
    <n v="38.946969696969695"/>
  </r>
  <r>
    <n v="68741742"/>
    <x v="15"/>
    <n v="4592"/>
    <d v="2023-04-17T00:00:00"/>
    <x v="25"/>
    <x v="4"/>
    <n v="4.2560000000000002E-3"/>
    <n v="19.543552000000002"/>
    <s v="GH"/>
    <x v="1"/>
    <x v="4"/>
    <s v="Q2"/>
    <n v="154"/>
    <n v="29.818181818181817"/>
    <s v="MBG"/>
    <n v="1"/>
    <n v="4592"/>
    <n v="19.543552000000002"/>
    <n v="29.818181818181817"/>
  </r>
  <r>
    <n v="69600865"/>
    <x v="15"/>
    <n v="0"/>
    <d v="2023-04-17T00:00:00"/>
    <x v="334"/>
    <x v="23"/>
    <n v="8.4600000000000005E-3"/>
    <n v="0"/>
    <s v="BR"/>
    <x v="1"/>
    <x v="6"/>
    <s v="Q2"/>
    <n v="154"/>
    <n v="0"/>
    <s v="48oz"/>
    <n v="1"/>
    <n v="0"/>
    <n v="0"/>
    <n v="0"/>
  </r>
  <r>
    <n v="68726896"/>
    <x v="16"/>
    <n v="11460"/>
    <d v="2023-04-17T00:00:00"/>
    <x v="280"/>
    <x v="21"/>
    <n v="3.7853440000000004E-3"/>
    <n v="43.380042240000002"/>
    <s v="TA"/>
    <x v="1"/>
    <x v="10"/>
    <s v="Q2"/>
    <n v="255"/>
    <n v="44.941176470588232"/>
    <s v="TALENTI"/>
    <n v="1"/>
    <n v="11460"/>
    <n v="43.380042240000002"/>
    <n v="44.941176470588232"/>
  </r>
  <r>
    <n v="68746232"/>
    <x v="16"/>
    <n v="71"/>
    <d v="2023-04-17T00:00:00"/>
    <x v="154"/>
    <x v="26"/>
    <n v="9.5879999999999993E-3"/>
    <n v="0.68074799999999991"/>
    <s v="KL"/>
    <x v="1"/>
    <x v="12"/>
    <s v="Q2"/>
    <n v="132"/>
    <n v="0.53787878787878785"/>
    <s v="EDF"/>
    <n v="1"/>
    <n v="71"/>
    <n v="0.68074799999999991"/>
    <n v="0.53787878787878785"/>
  </r>
  <r>
    <n v="68922011"/>
    <x v="16"/>
    <n v="2398"/>
    <d v="2023-04-17T00:00:00"/>
    <x v="261"/>
    <x v="22"/>
    <n v="3.7853440000000004E-3"/>
    <n v="9.0772549120000008"/>
    <s v="TA"/>
    <x v="1"/>
    <x v="10"/>
    <s v="Q2"/>
    <n v="255"/>
    <n v="9.4039215686274513"/>
    <s v="TALENTI"/>
    <n v="1"/>
    <n v="2398"/>
    <n v="9.0772549120000008"/>
    <n v="9.4039215686274513"/>
  </r>
  <r>
    <n v="69621212"/>
    <x v="16"/>
    <n v="0"/>
    <d v="2023-04-17T00:00:00"/>
    <x v="29"/>
    <x v="28"/>
    <n v="5.2680000000000001E-3"/>
    <n v="0"/>
    <s v="PG"/>
    <x v="1"/>
    <x v="14"/>
    <s v="Q2"/>
    <n v="130"/>
    <n v="0"/>
    <s v="PG"/>
    <n v="1"/>
    <n v="0"/>
    <n v="0"/>
    <n v="0"/>
  </r>
  <r>
    <n v="69621212"/>
    <x v="16"/>
    <n v="0"/>
    <d v="2023-04-17T00:00:00"/>
    <x v="29"/>
    <x v="28"/>
    <n v="5.2680000000000001E-3"/>
    <n v="0"/>
    <s v="PG"/>
    <x v="1"/>
    <x v="14"/>
    <s v="Q2"/>
    <n v="130"/>
    <n v="0"/>
    <s v="PG"/>
    <n v="1"/>
    <n v="0"/>
    <n v="0"/>
    <n v="0"/>
  </r>
  <r>
    <n v="67794170"/>
    <x v="17"/>
    <n v="8388"/>
    <d v="2023-04-17T00:00:00"/>
    <x v="141"/>
    <x v="38"/>
    <n v="3.7853439999999999E-3"/>
    <n v="31.751465472"/>
    <s v="BJ"/>
    <x v="1"/>
    <x v="15"/>
    <s v="Q2"/>
    <n v="240"/>
    <n v="34.950000000000003"/>
    <s v="BJ PTS"/>
    <n v="1"/>
    <n v="8388"/>
    <n v="31.751465472"/>
    <n v="34.950000000000003"/>
  </r>
  <r>
    <n v="84141102"/>
    <x v="17"/>
    <n v="35280"/>
    <d v="2023-04-17T00:00:00"/>
    <x v="217"/>
    <x v="38"/>
    <n v="3.7853439999999999E-3"/>
    <n v="133.54693631999999"/>
    <s v="BJ"/>
    <x v="1"/>
    <x v="15"/>
    <s v="Q2"/>
    <n v="240"/>
    <n v="147"/>
    <s v="BJ PTS"/>
    <n v="1"/>
    <n v="35280"/>
    <n v="133.54693631999999"/>
    <n v="147"/>
  </r>
  <r>
    <n v="67476560"/>
    <x v="15"/>
    <n v="0"/>
    <d v="2023-04-17T00:00:00"/>
    <x v="10"/>
    <x v="10"/>
    <n v="5.1060000000000003E-3"/>
    <n v="0"/>
    <s v="PS"/>
    <x v="1"/>
    <x v="3"/>
    <s v="Q2"/>
    <n v="130"/>
    <n v="0"/>
    <s v="PG"/>
    <n v="1"/>
    <n v="0"/>
    <n v="0"/>
    <n v="0"/>
  </r>
  <r>
    <n v="67885716"/>
    <x v="15"/>
    <n v="11111"/>
    <d v="2023-04-17T00:00:00"/>
    <x v="89"/>
    <x v="11"/>
    <n v="8.5199999999999998E-3"/>
    <n v="94.665719999999993"/>
    <s v="BR"/>
    <x v="1"/>
    <x v="6"/>
    <s v="Q2"/>
    <n v="154"/>
    <n v="72.149350649350652"/>
    <s v="48oz"/>
    <n v="1"/>
    <n v="11111"/>
    <n v="94.665719999999993"/>
    <n v="72.149350649350652"/>
  </r>
  <r>
    <n v="68741714"/>
    <x v="15"/>
    <n v="6208"/>
    <d v="2023-04-17T00:00:00"/>
    <x v="24"/>
    <x v="24"/>
    <n v="2.8319999999999999E-3"/>
    <n v="17.581056"/>
    <s v="GH"/>
    <x v="1"/>
    <x v="4"/>
    <s v="Q2"/>
    <n v="225"/>
    <n v="27.591111111111111"/>
    <s v="MBG"/>
    <n v="1"/>
    <n v="6208"/>
    <n v="17.581056"/>
    <n v="27.591111111111111"/>
  </r>
  <r>
    <n v="68769685"/>
    <x v="15"/>
    <n v="5422"/>
    <d v="2023-04-17T00:00:00"/>
    <x v="259"/>
    <x v="23"/>
    <n v="8.5199999999999998E-3"/>
    <n v="46.195439999999998"/>
    <s v="BR"/>
    <x v="1"/>
    <x v="6"/>
    <s v="Q2"/>
    <n v="176"/>
    <n v="30.806818181818183"/>
    <s v="48oz"/>
    <n v="1"/>
    <n v="5422"/>
    <n v="46.195439999999998"/>
    <n v="30.806818181818183"/>
  </r>
  <r>
    <n v="68881272"/>
    <x v="15"/>
    <n v="6344"/>
    <d v="2023-04-17T00:00:00"/>
    <x v="124"/>
    <x v="16"/>
    <n v="8.5199999999999998E-3"/>
    <n v="54.050879999999999"/>
    <s v="BR"/>
    <x v="1"/>
    <x v="6"/>
    <s v="Q2"/>
    <n v="154"/>
    <n v="41.194805194805198"/>
    <s v="48oz"/>
    <n v="1"/>
    <n v="6344"/>
    <n v="54.050879999999999"/>
    <n v="41.194805194805198"/>
  </r>
  <r>
    <n v="68921994"/>
    <x v="15"/>
    <n v="8222"/>
    <d v="2023-04-17T00:00:00"/>
    <x v="258"/>
    <x v="20"/>
    <n v="9.5879999999999993E-3"/>
    <n v="78.83253599999999"/>
    <s v="KL"/>
    <x v="1"/>
    <x v="8"/>
    <s v="Q2"/>
    <n v="132"/>
    <n v="62.287878787878789"/>
    <s v="EDF"/>
    <n v="1"/>
    <n v="8222"/>
    <n v="78.83253599999999"/>
    <n v="62.287878787878789"/>
  </r>
  <r>
    <n v="68930545"/>
    <x v="15"/>
    <n v="5279"/>
    <d v="2023-04-17T00:00:00"/>
    <x v="93"/>
    <x v="12"/>
    <n v="8.5199999999999998E-3"/>
    <n v="44.977080000000001"/>
    <s v="BR"/>
    <x v="1"/>
    <x v="6"/>
    <s v="Q2"/>
    <n v="176"/>
    <n v="29.994318181818183"/>
    <s v="48oz"/>
    <n v="1"/>
    <n v="5279"/>
    <n v="44.977080000000001"/>
    <n v="29.994318181818183"/>
  </r>
  <r>
    <n v="67885719"/>
    <x v="16"/>
    <n v="25072"/>
    <d v="2023-04-17T00:00:00"/>
    <x v="11"/>
    <x v="32"/>
    <n v="8.5199999999999998E-3"/>
    <n v="213.61344"/>
    <s v="BR"/>
    <x v="1"/>
    <x v="2"/>
    <s v="Q2"/>
    <n v="154"/>
    <n v="162.80519480519482"/>
    <s v="48oz"/>
    <n v="1"/>
    <n v="25072"/>
    <n v="213.61344"/>
    <n v="162.80519480519482"/>
  </r>
  <r>
    <n v="68689253"/>
    <x v="16"/>
    <n v="1827"/>
    <d v="2023-04-17T00:00:00"/>
    <x v="125"/>
    <x v="18"/>
    <n v="6.0035555555555554E-3"/>
    <n v="10.968496"/>
    <s v="KL"/>
    <x v="1"/>
    <x v="9"/>
    <s v="Q2"/>
    <n v="120"/>
    <n v="15.225"/>
    <s v="ESS"/>
    <n v="1"/>
    <n v="1827"/>
    <n v="10.968496"/>
    <n v="15.225"/>
  </r>
  <r>
    <n v="68726896"/>
    <x v="16"/>
    <n v="21392"/>
    <d v="2023-04-17T00:00:00"/>
    <x v="280"/>
    <x v="21"/>
    <n v="3.7853440000000004E-3"/>
    <n v="80.976078848000014"/>
    <s v="TA"/>
    <x v="1"/>
    <x v="10"/>
    <s v="Q2"/>
    <n v="255"/>
    <n v="83.890196078431373"/>
    <s v="TALENTI"/>
    <n v="1"/>
    <n v="21392"/>
    <n v="80.976078848000014"/>
    <n v="83.890196078431373"/>
  </r>
  <r>
    <n v="68741742"/>
    <x v="16"/>
    <n v="2917"/>
    <d v="2023-04-17T00:00:00"/>
    <x v="25"/>
    <x v="25"/>
    <n v="4.2560000000000002E-3"/>
    <n v="12.414752"/>
    <s v="GH"/>
    <x v="1"/>
    <x v="11"/>
    <s v="Q2"/>
    <n v="154"/>
    <n v="18.941558441558442"/>
    <s v="MBG"/>
    <n v="1"/>
    <n v="2917"/>
    <n v="12.414752"/>
    <n v="18.941558441558442"/>
  </r>
  <r>
    <n v="68852583"/>
    <x v="16"/>
    <n v="2903"/>
    <d v="2023-04-17T00:00:00"/>
    <x v="227"/>
    <x v="26"/>
    <n v="8.5199999999999998E-3"/>
    <n v="24.733560000000001"/>
    <s v="KL"/>
    <x v="1"/>
    <x v="12"/>
    <s v="Q2"/>
    <n v="132"/>
    <n v="21.992424242424242"/>
    <s v="EDF"/>
    <n v="1"/>
    <n v="2903"/>
    <n v="24.733560000000001"/>
    <n v="21.992424242424242"/>
  </r>
  <r>
    <n v="68881270"/>
    <x v="16"/>
    <n v="14054"/>
    <d v="2023-04-17T00:00:00"/>
    <x v="91"/>
    <x v="2"/>
    <n v="8.5199999999999998E-3"/>
    <n v="119.74007999999999"/>
    <s v="BR"/>
    <x v="1"/>
    <x v="2"/>
    <s v="Q2"/>
    <n v="176"/>
    <n v="79.852272727272734"/>
    <s v="48oz"/>
    <n v="1"/>
    <n v="14054"/>
    <n v="119.74007999999999"/>
    <n v="79.852272727272734"/>
  </r>
  <r>
    <n v="68914406"/>
    <x v="16"/>
    <n v="6388"/>
    <d v="2023-04-17T00:00:00"/>
    <x v="78"/>
    <x v="27"/>
    <n v="2.124E-3"/>
    <n v="13.568111999999999"/>
    <s v="KL"/>
    <x v="1"/>
    <x v="9"/>
    <s v="Q2"/>
    <n v="352"/>
    <n v="18.147727272727273"/>
    <s v="ESS"/>
    <n v="1"/>
    <n v="6388"/>
    <n v="13.568111999999999"/>
    <n v="18.147727272727273"/>
  </r>
  <r>
    <n v="69549217"/>
    <x v="16"/>
    <n v="11410"/>
    <d v="2023-04-17T00:00:00"/>
    <x v="80"/>
    <x v="5"/>
    <n v="2.0400000000000001E-3"/>
    <n v="23.276400000000002"/>
    <s v="MG"/>
    <x v="1"/>
    <x v="5"/>
    <s v="Q2"/>
    <n v="189"/>
    <n v="60.370370370370374"/>
    <s v="MG Sticks"/>
    <n v="1"/>
    <n v="11410"/>
    <n v="23.276400000000002"/>
    <n v="60.370370370370374"/>
  </r>
  <r>
    <n v="69621212"/>
    <x v="16"/>
    <n v="1524"/>
    <d v="2023-04-17T00:00:00"/>
    <x v="29"/>
    <x v="28"/>
    <n v="5.2680000000000001E-3"/>
    <n v="8.0284320000000005"/>
    <s v="PG"/>
    <x v="1"/>
    <x v="14"/>
    <s v="Q2"/>
    <n v="130"/>
    <n v="11.723076923076922"/>
    <s v="PG"/>
    <n v="1"/>
    <n v="1524"/>
    <n v="8.0284320000000005"/>
    <n v="11.723076923076922"/>
  </r>
  <r>
    <n v="69677917"/>
    <x v="16"/>
    <n v="3103"/>
    <d v="2023-04-17T00:00:00"/>
    <x v="30"/>
    <x v="30"/>
    <n v="5.2680000000000001E-3"/>
    <n v="16.346603999999999"/>
    <s v="PS"/>
    <x v="1"/>
    <x v="14"/>
    <s v="Q2"/>
    <n v="108"/>
    <n v="28.731481481481481"/>
    <s v="PG"/>
    <n v="1"/>
    <n v="3103"/>
    <n v="16.346603999999999"/>
    <n v="28.731481481481481"/>
  </r>
  <r>
    <n v="69717802"/>
    <x v="16"/>
    <n v="8405"/>
    <d v="2023-04-17T00:00:00"/>
    <x v="31"/>
    <x v="31"/>
    <n v="4.2560000000000002E-3"/>
    <n v="35.771680000000003"/>
    <s v="BR"/>
    <x v="1"/>
    <x v="5"/>
    <s v="Q2"/>
    <n v="143"/>
    <n v="58.776223776223773"/>
    <s v="MG Sticks"/>
    <n v="1"/>
    <n v="8405"/>
    <n v="35.771680000000003"/>
    <n v="58.776223776223773"/>
  </r>
  <r>
    <n v="84135770"/>
    <x v="16"/>
    <n v="21555"/>
    <d v="2023-04-17T00:00:00"/>
    <x v="277"/>
    <x v="15"/>
    <n v="3.7853439999999999E-3"/>
    <n v="81.593089919999997"/>
    <s v="BJ"/>
    <x v="1"/>
    <x v="30"/>
    <s v="Q2"/>
    <n v="240"/>
    <n v="89.8125"/>
    <s v="BJ PTS"/>
    <n v="1"/>
    <n v="21555"/>
    <n v="81.593089919999997"/>
    <n v="89.8125"/>
  </r>
  <r>
    <n v="68922106"/>
    <x v="16"/>
    <n v="3602"/>
    <d v="2023-04-17T00:00:00"/>
    <x v="104"/>
    <x v="22"/>
    <n v="3.552E-3"/>
    <n v="12.794304"/>
    <s v="TA"/>
    <x v="1"/>
    <x v="10"/>
    <s v="Q2"/>
    <n v="255"/>
    <n v="14.125490196078431"/>
    <s v="TALENTI"/>
    <n v="1"/>
    <n v="3602"/>
    <n v="12.794304"/>
    <n v="14.125490196078431"/>
  </r>
  <r>
    <n v="69572544"/>
    <x v="16"/>
    <n v="501"/>
    <d v="2023-04-17T00:00:00"/>
    <x v="171"/>
    <x v="14"/>
    <n v="1.9740000000000001E-3"/>
    <n v="0.98897400000000002"/>
    <s v="MG"/>
    <x v="1"/>
    <x v="5"/>
    <s v="Q2"/>
    <n v="176"/>
    <n v="2.8465909090909092"/>
    <s v="MG Sticks"/>
    <n v="1"/>
    <n v="501"/>
    <n v="0.98897400000000002"/>
    <n v="2.8465909090909092"/>
  </r>
  <r>
    <n v="68755566"/>
    <x v="17"/>
    <n v="14983"/>
    <d v="2023-04-17T00:00:00"/>
    <x v="174"/>
    <x v="35"/>
    <n v="1.1356032009663293E-2"/>
    <n v="170.14742760078511"/>
    <s v="BR"/>
    <x v="1"/>
    <x v="41"/>
    <s v="Q2"/>
    <n v="120"/>
    <n v="124.85833333333333"/>
    <s v="3 Gal"/>
    <n v="1"/>
    <n v="14983"/>
    <n v="170.14742760078511"/>
    <n v="124.85833333333333"/>
  </r>
  <r>
    <n v="67465063"/>
    <x v="15"/>
    <n v="3673"/>
    <d v="2023-04-18T00:00:00"/>
    <x v="3"/>
    <x v="7"/>
    <n v="5.2680000000000001E-3"/>
    <n v="19.349364000000001"/>
    <s v="PS"/>
    <x v="1"/>
    <x v="3"/>
    <s v="Q2"/>
    <n v="130"/>
    <n v="28.253846153846155"/>
    <s v="PG"/>
    <n v="1"/>
    <n v="3673"/>
    <n v="19.349364000000001"/>
    <n v="28.253846153846155"/>
  </r>
  <r>
    <n v="67465063"/>
    <x v="15"/>
    <n v="346"/>
    <d v="2023-04-18T00:00:00"/>
    <x v="3"/>
    <x v="40"/>
    <n v="5.2680000000000001E-3"/>
    <n v="1.8227280000000001"/>
    <s v="PS"/>
    <x v="1"/>
    <x v="3"/>
    <s v="Q2"/>
    <n v="130"/>
    <n v="2.6615384615384614"/>
    <s v="PG"/>
    <n v="1"/>
    <n v="346"/>
    <n v="1.8227280000000001"/>
    <n v="2.6615384615384614"/>
  </r>
  <r>
    <n v="67465064"/>
    <x v="15"/>
    <n v="0"/>
    <d v="2023-04-18T00:00:00"/>
    <x v="7"/>
    <x v="3"/>
    <n v="1.596E-3"/>
    <n v="0"/>
    <s v="PS"/>
    <x v="1"/>
    <x v="3"/>
    <s v="Q2"/>
    <n v="130"/>
    <n v="0"/>
    <s v="PG"/>
    <n v="1"/>
    <n v="0"/>
    <n v="0"/>
    <n v="0"/>
  </r>
  <r>
    <n v="67466492"/>
    <x v="15"/>
    <n v="3619"/>
    <d v="2023-04-18T00:00:00"/>
    <x v="8"/>
    <x v="6"/>
    <n v="5.2680000000000001E-3"/>
    <n v="19.064892"/>
    <s v="PS"/>
    <x v="1"/>
    <x v="3"/>
    <s v="Q2"/>
    <n v="130"/>
    <n v="27.838461538461537"/>
    <s v="PG"/>
    <n v="1"/>
    <n v="3619"/>
    <n v="19.064892"/>
    <n v="27.838461538461537"/>
  </r>
  <r>
    <n v="68300738"/>
    <x v="15"/>
    <n v="3437"/>
    <d v="2023-04-18T00:00:00"/>
    <x v="120"/>
    <x v="19"/>
    <n v="8.4960000000000001E-3"/>
    <n v="29.200752000000001"/>
    <s v="KL"/>
    <x v="1"/>
    <x v="8"/>
    <s v="Q2"/>
    <n v="132"/>
    <n v="26.037878787878789"/>
    <s v="EDF"/>
    <n v="1"/>
    <n v="3437"/>
    <n v="29.200752000000001"/>
    <n v="26.037878787878789"/>
  </r>
  <r>
    <n v="68741714"/>
    <x v="15"/>
    <n v="5638"/>
    <d v="2023-04-18T00:00:00"/>
    <x v="24"/>
    <x v="24"/>
    <n v="2.8319999999999999E-3"/>
    <n v="15.966816"/>
    <s v="GH"/>
    <x v="1"/>
    <x v="4"/>
    <s v="Q2"/>
    <n v="225"/>
    <n v="25.057777777777776"/>
    <s v="MBG"/>
    <n v="1"/>
    <n v="5638"/>
    <n v="15.966816"/>
    <n v="25.057777777777776"/>
  </r>
  <r>
    <n v="68921994"/>
    <x v="15"/>
    <n v="5745"/>
    <d v="2023-04-18T00:00:00"/>
    <x v="258"/>
    <x v="20"/>
    <n v="9.5879999999999993E-3"/>
    <n v="55.083059999999996"/>
    <s v="KL"/>
    <x v="1"/>
    <x v="8"/>
    <s v="Q2"/>
    <n v="132"/>
    <n v="43.522727272727273"/>
    <s v="EDF"/>
    <n v="1"/>
    <n v="5745"/>
    <n v="55.083059999999996"/>
    <n v="43.522727272727273"/>
  </r>
  <r>
    <n v="69549032"/>
    <x v="15"/>
    <n v="9676"/>
    <d v="2023-04-18T00:00:00"/>
    <x v="79"/>
    <x v="36"/>
    <n v="2.3469132803553457E-3"/>
    <n v="22.708732900718324"/>
    <s v="GH"/>
    <x v="1"/>
    <x v="28"/>
    <s v="Q2"/>
    <n v="350"/>
    <n v="27.645714285714284"/>
    <s v="EFW"/>
    <n v="1"/>
    <n v="9676"/>
    <n v="22.708732900718324"/>
    <n v="27.645714285714284"/>
  </r>
  <r>
    <n v="69600865"/>
    <x v="15"/>
    <n v="0"/>
    <d v="2023-04-18T00:00:00"/>
    <x v="334"/>
    <x v="23"/>
    <n v="8.4600000000000005E-3"/>
    <n v="0"/>
    <s v="BR"/>
    <x v="1"/>
    <x v="6"/>
    <s v="Q2"/>
    <n v="154"/>
    <n v="0"/>
    <s v="48oz"/>
    <n v="1"/>
    <n v="0"/>
    <n v="0"/>
    <n v="0"/>
  </r>
  <r>
    <n v="68593218"/>
    <x v="16"/>
    <n v="0"/>
    <d v="2023-04-18T00:00:00"/>
    <x v="311"/>
    <x v="2"/>
    <n v="8.5199999999999998E-3"/>
    <n v="0"/>
    <s v="BR"/>
    <x v="1"/>
    <x v="2"/>
    <s v="Q2"/>
    <n v="154"/>
    <n v="0"/>
    <s v="48oz"/>
    <n v="1"/>
    <n v="0"/>
    <n v="0"/>
    <n v="0"/>
  </r>
  <r>
    <n v="69568828"/>
    <x v="16"/>
    <n v="0"/>
    <d v="2023-04-18T00:00:00"/>
    <x v="12"/>
    <x v="13"/>
    <n v="8.5199999999999998E-3"/>
    <n v="0"/>
    <s v="BR"/>
    <x v="1"/>
    <x v="2"/>
    <s v="Q2"/>
    <n v="176"/>
    <n v="0"/>
    <s v="48oz"/>
    <n v="1"/>
    <n v="0"/>
    <n v="0"/>
    <n v="0"/>
  </r>
  <r>
    <n v="67794169"/>
    <x v="18"/>
    <n v="81165"/>
    <d v="2023-04-18T00:00:00"/>
    <x v="33"/>
    <x v="35"/>
    <n v="3.7853439999999999E-3"/>
    <n v="307.23744576000001"/>
    <s v="BJ"/>
    <x v="1"/>
    <x v="36"/>
    <s v="Q2"/>
    <n v="240"/>
    <n v="338.1875"/>
    <s v="BJ PTS"/>
    <n v="1"/>
    <n v="81165"/>
    <n v="307.23744576000001"/>
    <n v="338.1875"/>
  </r>
  <r>
    <n v="67794167"/>
    <x v="17"/>
    <n v="37680"/>
    <d v="2023-04-18T00:00:00"/>
    <x v="176"/>
    <x v="38"/>
    <n v="3.7853439999999999E-3"/>
    <n v="142.63176192"/>
    <s v="BJ"/>
    <x v="1"/>
    <x v="15"/>
    <s v="Q2"/>
    <n v="240"/>
    <n v="157"/>
    <s v="BJ PTS"/>
    <n v="1"/>
    <n v="37680"/>
    <n v="142.63176192"/>
    <n v="157"/>
  </r>
  <r>
    <n v="84141102"/>
    <x v="17"/>
    <n v="44499"/>
    <d v="2023-04-18T00:00:00"/>
    <x v="217"/>
    <x v="38"/>
    <n v="3.7853439999999999E-3"/>
    <n v="168.44402265599999"/>
    <s v="BJ"/>
    <x v="1"/>
    <x v="15"/>
    <s v="Q2"/>
    <n v="240"/>
    <n v="185.41249999999999"/>
    <s v="BJ PTS"/>
    <n v="1"/>
    <n v="44499"/>
    <n v="168.44402265599999"/>
    <n v="185.41249999999999"/>
  </r>
  <r>
    <n v="84149990"/>
    <x v="17"/>
    <n v="17539"/>
    <d v="2023-04-18T00:00:00"/>
    <x v="168"/>
    <x v="34"/>
    <n v="3.7853439999999999E-3"/>
    <n v="66.391148415999993"/>
    <s v="BJ"/>
    <x v="1"/>
    <x v="24"/>
    <s v="Q2"/>
    <n v="240"/>
    <n v="73.079166666666666"/>
    <s v="PTS Exports"/>
    <n v="1"/>
    <n v="17539"/>
    <n v="66.391148415999993"/>
    <n v="73.079166666666666"/>
  </r>
  <r>
    <n v="67466492"/>
    <x v="15"/>
    <n v="2340"/>
    <d v="2023-04-18T00:00:00"/>
    <x v="8"/>
    <x v="8"/>
    <n v="5.2680000000000001E-3"/>
    <n v="12.327120000000001"/>
    <s v="PS"/>
    <x v="1"/>
    <x v="3"/>
    <s v="Q2"/>
    <n v="130"/>
    <n v="18"/>
    <s v="PG"/>
    <n v="1"/>
    <n v="2340"/>
    <n v="12.327120000000001"/>
    <n v="18"/>
  </r>
  <r>
    <n v="67476560"/>
    <x v="15"/>
    <n v="3510"/>
    <d v="2023-04-18T00:00:00"/>
    <x v="10"/>
    <x v="10"/>
    <n v="5.1060000000000003E-3"/>
    <n v="17.922060000000002"/>
    <s v="PS"/>
    <x v="1"/>
    <x v="3"/>
    <s v="Q2"/>
    <n v="130"/>
    <n v="27"/>
    <s v="PG"/>
    <n v="1"/>
    <n v="3510"/>
    <n v="17.922060000000002"/>
    <n v="27"/>
  </r>
  <r>
    <n v="67885716"/>
    <x v="15"/>
    <n v="10628"/>
    <d v="2023-04-18T00:00:00"/>
    <x v="89"/>
    <x v="11"/>
    <n v="8.5199999999999998E-3"/>
    <n v="90.550560000000004"/>
    <s v="BR"/>
    <x v="1"/>
    <x v="6"/>
    <s v="Q2"/>
    <n v="154"/>
    <n v="69.012987012987011"/>
    <s v="48oz"/>
    <n v="1"/>
    <n v="10628"/>
    <n v="90.550560000000004"/>
    <n v="69.012987012987011"/>
  </r>
  <r>
    <n v="68188183"/>
    <x v="15"/>
    <n v="2643"/>
    <d v="2023-04-18T00:00:00"/>
    <x v="70"/>
    <x v="9"/>
    <n v="3.8340000000000002E-3"/>
    <n v="10.133262"/>
    <s v="PS"/>
    <x v="1"/>
    <x v="3"/>
    <s v="Q2"/>
    <n v="130"/>
    <n v="20.330769230769231"/>
    <s v="PG"/>
    <n v="1"/>
    <n v="2643"/>
    <n v="10.133262"/>
    <n v="20.330769230769231"/>
  </r>
  <r>
    <n v="68634169"/>
    <x v="15"/>
    <n v="3170"/>
    <d v="2023-04-18T00:00:00"/>
    <x v="149"/>
    <x v="16"/>
    <n v="8.5199999999999998E-3"/>
    <n v="27.008399999999998"/>
    <s v="BR"/>
    <x v="1"/>
    <x v="6"/>
    <s v="Q2"/>
    <n v="154"/>
    <n v="20.584415584415584"/>
    <s v="48oz"/>
    <n v="1"/>
    <n v="3170"/>
    <n v="27.008399999999998"/>
    <n v="20.584415584415584"/>
  </r>
  <r>
    <n v="68689251"/>
    <x v="15"/>
    <n v="1265"/>
    <d v="2023-04-18T00:00:00"/>
    <x v="17"/>
    <x v="17"/>
    <n v="9.5760000000000012E-3"/>
    <n v="12.113640000000002"/>
    <s v="KL"/>
    <x v="1"/>
    <x v="8"/>
    <s v="Q2"/>
    <n v="132"/>
    <n v="9.5833333333333339"/>
    <s v="EDF"/>
    <n v="1"/>
    <n v="1265"/>
    <n v="12.113640000000002"/>
    <n v="9.5833333333333339"/>
  </r>
  <r>
    <n v="68737749"/>
    <x v="15"/>
    <n v="0"/>
    <d v="2023-04-18T00:00:00"/>
    <x v="23"/>
    <x v="23"/>
    <n v="8.5199999999999998E-3"/>
    <n v="0"/>
    <s v="BR"/>
    <x v="1"/>
    <x v="6"/>
    <s v="Q2"/>
    <n v="176"/>
    <n v="0"/>
    <s v="48oz"/>
    <n v="1"/>
    <n v="0"/>
    <n v="0"/>
    <n v="0"/>
  </r>
  <r>
    <n v="68741742"/>
    <x v="15"/>
    <n v="2312"/>
    <d v="2023-04-18T00:00:00"/>
    <x v="25"/>
    <x v="4"/>
    <n v="4.2560000000000002E-3"/>
    <n v="9.8398719999999997"/>
    <s v="GH"/>
    <x v="1"/>
    <x v="4"/>
    <s v="Q2"/>
    <n v="154"/>
    <n v="15.012987012987013"/>
    <s v="MBG"/>
    <n v="1"/>
    <n v="2312"/>
    <n v="9.8398719999999997"/>
    <n v="15.012987012987013"/>
  </r>
  <r>
    <n v="68930545"/>
    <x v="15"/>
    <n v="8618"/>
    <d v="2023-04-18T00:00:00"/>
    <x v="93"/>
    <x v="12"/>
    <n v="8.5199999999999998E-3"/>
    <n v="73.425359999999998"/>
    <s v="BR"/>
    <x v="1"/>
    <x v="6"/>
    <s v="Q2"/>
    <n v="176"/>
    <n v="48.965909090909093"/>
    <s v="48oz"/>
    <n v="1"/>
    <n v="8618"/>
    <n v="73.425359999999998"/>
    <n v="48.965909090909093"/>
  </r>
  <r>
    <n v="67309841"/>
    <x v="16"/>
    <n v="8320"/>
    <d v="2023-04-18T00:00:00"/>
    <x v="32"/>
    <x v="13"/>
    <n v="8.5199999999999998E-3"/>
    <n v="70.886399999999995"/>
    <s v="BR"/>
    <x v="1"/>
    <x v="2"/>
    <s v="Q2"/>
    <n v="154"/>
    <n v="54.025974025974023"/>
    <s v="48oz"/>
    <n v="1"/>
    <n v="8320"/>
    <n v="70.886399999999995"/>
    <n v="54.025974025974023"/>
  </r>
  <r>
    <n v="67885719"/>
    <x v="16"/>
    <n v="26147"/>
    <d v="2023-04-18T00:00:00"/>
    <x v="11"/>
    <x v="32"/>
    <n v="8.5199999999999998E-3"/>
    <n v="222.77243999999999"/>
    <s v="BR"/>
    <x v="1"/>
    <x v="2"/>
    <s v="Q2"/>
    <n v="154"/>
    <n v="169.78571428571428"/>
    <s v="48oz"/>
    <n v="1"/>
    <n v="26147"/>
    <n v="222.77243999999999"/>
    <n v="169.78571428571428"/>
  </r>
  <r>
    <n v="68689253"/>
    <x v="16"/>
    <n v="2880"/>
    <d v="2023-04-18T00:00:00"/>
    <x v="125"/>
    <x v="18"/>
    <n v="6.0035555555555554E-3"/>
    <n v="17.290240000000001"/>
    <s v="KL"/>
    <x v="1"/>
    <x v="9"/>
    <s v="Q2"/>
    <n v="120"/>
    <n v="24"/>
    <s v="ESS"/>
    <n v="1"/>
    <n v="2880"/>
    <n v="17.290240000000001"/>
    <n v="24"/>
  </r>
  <r>
    <n v="68726896"/>
    <x v="16"/>
    <n v="20659"/>
    <d v="2023-04-18T00:00:00"/>
    <x v="280"/>
    <x v="21"/>
    <n v="3.7853440000000004E-3"/>
    <n v="78.201421696000011"/>
    <s v="TA"/>
    <x v="1"/>
    <x v="10"/>
    <s v="Q2"/>
    <n v="255"/>
    <n v="81.015686274509804"/>
    <s v="TALENTI"/>
    <n v="1"/>
    <n v="20659"/>
    <n v="78.201421696000011"/>
    <n v="81.015686274509804"/>
  </r>
  <r>
    <n v="68741742"/>
    <x v="16"/>
    <n v="5306"/>
    <d v="2023-04-18T00:00:00"/>
    <x v="25"/>
    <x v="25"/>
    <n v="4.2560000000000002E-3"/>
    <n v="22.582336000000002"/>
    <s v="GH"/>
    <x v="1"/>
    <x v="11"/>
    <s v="Q2"/>
    <n v="154"/>
    <n v="34.454545454545453"/>
    <s v="MBG"/>
    <n v="1"/>
    <n v="5306"/>
    <n v="22.582336000000002"/>
    <n v="34.454545454545453"/>
  </r>
  <r>
    <n v="68852583"/>
    <x v="16"/>
    <n v="3859"/>
    <d v="2023-04-18T00:00:00"/>
    <x v="227"/>
    <x v="26"/>
    <n v="8.5199999999999998E-3"/>
    <n v="32.878679999999996"/>
    <s v="KL"/>
    <x v="1"/>
    <x v="12"/>
    <s v="Q2"/>
    <n v="132"/>
    <n v="29.234848484848484"/>
    <s v="EDF"/>
    <n v="1"/>
    <n v="3859"/>
    <n v="32.878679999999996"/>
    <n v="29.234848484848484"/>
  </r>
  <r>
    <n v="68881270"/>
    <x v="16"/>
    <n v="15218"/>
    <d v="2023-04-18T00:00:00"/>
    <x v="91"/>
    <x v="2"/>
    <n v="8.5199999999999998E-3"/>
    <n v="129.65735999999998"/>
    <s v="BR"/>
    <x v="1"/>
    <x v="2"/>
    <s v="Q2"/>
    <n v="176"/>
    <n v="86.465909090909093"/>
    <s v="48oz"/>
    <n v="1"/>
    <n v="15218"/>
    <n v="129.65735999999998"/>
    <n v="86.465909090909093"/>
  </r>
  <r>
    <n v="68914406"/>
    <x v="16"/>
    <n v="9462"/>
    <d v="2023-04-18T00:00:00"/>
    <x v="78"/>
    <x v="27"/>
    <n v="2.124E-3"/>
    <n v="20.097287999999999"/>
    <s v="KL"/>
    <x v="1"/>
    <x v="9"/>
    <s v="Q2"/>
    <n v="352"/>
    <n v="26.880681818181817"/>
    <s v="ESS"/>
    <n v="1"/>
    <n v="9462"/>
    <n v="20.097287999999999"/>
    <n v="26.880681818181817"/>
  </r>
  <r>
    <n v="69549217"/>
    <x v="16"/>
    <n v="9722"/>
    <d v="2023-04-18T00:00:00"/>
    <x v="80"/>
    <x v="5"/>
    <n v="2.0400000000000001E-3"/>
    <n v="19.832880000000003"/>
    <s v="MG"/>
    <x v="1"/>
    <x v="5"/>
    <s v="Q2"/>
    <n v="189"/>
    <n v="51.439153439153436"/>
    <s v="MG Sticks"/>
    <n v="1"/>
    <n v="9722"/>
    <n v="19.832880000000003"/>
    <n v="51.439153439153436"/>
  </r>
  <r>
    <n v="69572544"/>
    <x v="16"/>
    <n v="5773"/>
    <d v="2023-04-18T00:00:00"/>
    <x v="171"/>
    <x v="14"/>
    <n v="1.9740000000000001E-3"/>
    <n v="11.395902"/>
    <s v="MG"/>
    <x v="1"/>
    <x v="5"/>
    <s v="Q2"/>
    <n v="176"/>
    <n v="32.801136363636367"/>
    <s v="MG Sticks"/>
    <n v="1"/>
    <n v="5773"/>
    <n v="11.395902"/>
    <n v="32.801136363636367"/>
  </r>
  <r>
    <n v="69621212"/>
    <x v="16"/>
    <n v="4500"/>
    <d v="2023-04-18T00:00:00"/>
    <x v="29"/>
    <x v="28"/>
    <n v="5.2680000000000001E-3"/>
    <n v="23.706"/>
    <s v="PG"/>
    <x v="1"/>
    <x v="14"/>
    <s v="Q2"/>
    <n v="130"/>
    <n v="34.615384615384613"/>
    <s v="PG"/>
    <n v="1"/>
    <n v="4500"/>
    <n v="23.706"/>
    <n v="34.615384615384613"/>
  </r>
  <r>
    <n v="69677917"/>
    <x v="16"/>
    <n v="4377"/>
    <d v="2023-04-18T00:00:00"/>
    <x v="30"/>
    <x v="30"/>
    <n v="5.2680000000000001E-3"/>
    <n v="23.058036000000001"/>
    <s v="PS"/>
    <x v="1"/>
    <x v="14"/>
    <s v="Q2"/>
    <n v="108"/>
    <n v="40.527777777777779"/>
    <s v="PG"/>
    <n v="1"/>
    <n v="4377"/>
    <n v="23.058036000000001"/>
    <n v="40.527777777777779"/>
  </r>
  <r>
    <n v="69717802"/>
    <x v="16"/>
    <n v="9459"/>
    <d v="2023-04-18T00:00:00"/>
    <x v="31"/>
    <x v="31"/>
    <n v="4.2560000000000002E-3"/>
    <n v="40.257504000000004"/>
    <s v="BR"/>
    <x v="1"/>
    <x v="5"/>
    <s v="Q2"/>
    <n v="143"/>
    <n v="66.146853146853147"/>
    <s v="MG Sticks"/>
    <n v="1"/>
    <n v="9459"/>
    <n v="40.257504000000004"/>
    <n v="66.146853146853147"/>
  </r>
  <r>
    <n v="84135770"/>
    <x v="16"/>
    <n v="30975"/>
    <d v="2023-04-18T00:00:00"/>
    <x v="277"/>
    <x v="15"/>
    <n v="3.7853439999999999E-3"/>
    <n v="117.2510304"/>
    <s v="BJ"/>
    <x v="1"/>
    <x v="30"/>
    <s v="Q2"/>
    <n v="240"/>
    <n v="129.0625"/>
    <s v="BJ PTS"/>
    <n v="1"/>
    <n v="30975"/>
    <n v="117.2510304"/>
    <n v="129.0625"/>
  </r>
  <r>
    <n v="67309841"/>
    <x v="16"/>
    <n v="10789"/>
    <d v="2023-04-18T00:00:00"/>
    <x v="32"/>
    <x v="13"/>
    <n v="8.5199999999999998E-3"/>
    <n v="91.922280000000001"/>
    <s v="BR"/>
    <x v="1"/>
    <x v="2"/>
    <s v="Q2"/>
    <n v="154"/>
    <n v="70.058441558441558"/>
    <s v="48oz"/>
    <n v="1"/>
    <n v="10789"/>
    <n v="91.922280000000001"/>
    <n v="70.058441558441558"/>
  </r>
  <r>
    <n v="67465063"/>
    <x v="15"/>
    <n v="3387"/>
    <d v="2023-04-19T00:00:00"/>
    <x v="3"/>
    <x v="7"/>
    <n v="5.2680000000000001E-3"/>
    <n v="17.842715999999999"/>
    <s v="PS"/>
    <x v="1"/>
    <x v="3"/>
    <s v="Q2"/>
    <n v="130"/>
    <n v="26.053846153846155"/>
    <s v="PG"/>
    <n v="1"/>
    <n v="3387"/>
    <n v="17.842715999999999"/>
    <n v="26.053846153846155"/>
  </r>
  <r>
    <n v="67465063"/>
    <x v="15"/>
    <n v="520"/>
    <d v="2023-04-19T00:00:00"/>
    <x v="3"/>
    <x v="40"/>
    <n v="5.2680000000000001E-3"/>
    <n v="2.73936"/>
    <s v="PS"/>
    <x v="1"/>
    <x v="3"/>
    <s v="Q2"/>
    <n v="130"/>
    <n v="4"/>
    <s v="PG"/>
    <n v="1"/>
    <n v="520"/>
    <n v="2.73936"/>
    <n v="4"/>
  </r>
  <r>
    <n v="67465064"/>
    <x v="15"/>
    <n v="1749"/>
    <d v="2023-04-19T00:00:00"/>
    <x v="7"/>
    <x v="3"/>
    <n v="1.596E-3"/>
    <n v="2.791404"/>
    <s v="PS"/>
    <x v="1"/>
    <x v="3"/>
    <s v="Q2"/>
    <n v="130"/>
    <n v="13.453846153846154"/>
    <s v="PG"/>
    <n v="1"/>
    <n v="1749"/>
    <n v="2.791404"/>
    <n v="13.453846153846154"/>
  </r>
  <r>
    <n v="67466492"/>
    <x v="15"/>
    <n v="3177"/>
    <d v="2023-04-19T00:00:00"/>
    <x v="8"/>
    <x v="8"/>
    <n v="5.2680000000000001E-3"/>
    <n v="16.736436000000001"/>
    <s v="PS"/>
    <x v="1"/>
    <x v="3"/>
    <s v="Q2"/>
    <n v="130"/>
    <n v="24.438461538461539"/>
    <s v="PG"/>
    <n v="1"/>
    <n v="3177"/>
    <n v="16.736436000000001"/>
    <n v="24.438461538461539"/>
  </r>
  <r>
    <n v="68300738"/>
    <x v="15"/>
    <n v="6758"/>
    <d v="2023-04-19T00:00:00"/>
    <x v="120"/>
    <x v="19"/>
    <n v="8.4960000000000001E-3"/>
    <n v="57.415967999999999"/>
    <s v="KL"/>
    <x v="1"/>
    <x v="8"/>
    <s v="Q2"/>
    <n v="132"/>
    <n v="51.196969696969695"/>
    <s v="EDF"/>
    <n v="1"/>
    <n v="6758"/>
    <n v="57.415967999999999"/>
    <n v="51.196969696969695"/>
  </r>
  <r>
    <n v="68689251"/>
    <x v="15"/>
    <n v="6529"/>
    <d v="2023-04-19T00:00:00"/>
    <x v="17"/>
    <x v="17"/>
    <n v="9.5760000000000012E-3"/>
    <n v="62.521704000000007"/>
    <s v="KL"/>
    <x v="1"/>
    <x v="8"/>
    <s v="Q2"/>
    <n v="132"/>
    <n v="49.462121212121211"/>
    <s v="EDF"/>
    <n v="1"/>
    <n v="6529"/>
    <n v="62.521704000000007"/>
    <n v="49.462121212121211"/>
  </r>
  <r>
    <n v="68741742"/>
    <x v="15"/>
    <n v="5501"/>
    <d v="2023-04-19T00:00:00"/>
    <x v="25"/>
    <x v="4"/>
    <n v="4.2560000000000002E-3"/>
    <n v="23.412256000000003"/>
    <s v="GH"/>
    <x v="1"/>
    <x v="4"/>
    <s v="Q2"/>
    <n v="154"/>
    <n v="35.720779220779221"/>
    <s v="MBG"/>
    <n v="1"/>
    <n v="5501"/>
    <n v="23.412256000000003"/>
    <n v="35.720779220779221"/>
  </r>
  <r>
    <n v="68921994"/>
    <x v="15"/>
    <n v="4053"/>
    <d v="2023-04-19T00:00:00"/>
    <x v="258"/>
    <x v="20"/>
    <n v="9.5879999999999993E-3"/>
    <n v="38.860163999999997"/>
    <s v="KL"/>
    <x v="1"/>
    <x v="8"/>
    <s v="Q2"/>
    <n v="132"/>
    <n v="30.704545454545453"/>
    <s v="EDF"/>
    <n v="1"/>
    <n v="4053"/>
    <n v="38.860163999999997"/>
    <n v="30.704545454545453"/>
  </r>
  <r>
    <n v="68921994"/>
    <x v="15"/>
    <n v="0"/>
    <d v="2023-04-19T00:00:00"/>
    <x v="258"/>
    <x v="20"/>
    <n v="9.5879999999999993E-3"/>
    <n v="0"/>
    <s v="KL"/>
    <x v="1"/>
    <x v="8"/>
    <s v="Q2"/>
    <n v="132"/>
    <n v="0"/>
    <s v="EDF"/>
    <n v="1"/>
    <n v="0"/>
    <n v="0"/>
    <n v="0"/>
  </r>
  <r>
    <n v="69549032"/>
    <x v="15"/>
    <n v="10077"/>
    <d v="2023-04-19T00:00:00"/>
    <x v="79"/>
    <x v="36"/>
    <n v="2.3469132803553457E-3"/>
    <n v="23.649845126140818"/>
    <s v="GH"/>
    <x v="1"/>
    <x v="28"/>
    <s v="Q2"/>
    <n v="350"/>
    <n v="28.791428571428572"/>
    <s v="EFW"/>
    <n v="1"/>
    <n v="10077"/>
    <n v="23.649845126140818"/>
    <n v="28.791428571428572"/>
  </r>
  <r>
    <n v="69600865"/>
    <x v="15"/>
    <n v="3183"/>
    <d v="2023-04-19T00:00:00"/>
    <x v="334"/>
    <x v="23"/>
    <n v="8.4600000000000005E-3"/>
    <n v="26.928180000000001"/>
    <s v="BR"/>
    <x v="1"/>
    <x v="6"/>
    <s v="Q2"/>
    <n v="154"/>
    <n v="20.668831168831169"/>
    <s v="48oz"/>
    <n v="1"/>
    <n v="3183"/>
    <n v="26.928180000000001"/>
    <n v="20.668831168831169"/>
  </r>
  <r>
    <n v="67885719"/>
    <x v="16"/>
    <n v="7084"/>
    <d v="2023-04-19T00:00:00"/>
    <x v="11"/>
    <x v="32"/>
    <n v="8.5199999999999998E-3"/>
    <n v="60.35568"/>
    <s v="BR"/>
    <x v="1"/>
    <x v="2"/>
    <s v="Q2"/>
    <n v="154"/>
    <n v="46"/>
    <s v="48oz"/>
    <n v="1"/>
    <n v="7084"/>
    <n v="60.35568"/>
    <n v="46"/>
  </r>
  <r>
    <n v="68729634"/>
    <x v="16"/>
    <n v="0"/>
    <d v="2023-04-19T00:00:00"/>
    <x v="92"/>
    <x v="22"/>
    <n v="3.7853439999999999E-3"/>
    <n v="0"/>
    <s v="TA"/>
    <x v="1"/>
    <x v="10"/>
    <s v="Q2"/>
    <n v="255"/>
    <n v="0"/>
    <s v="TALENTI"/>
    <n v="1"/>
    <n v="0"/>
    <n v="0"/>
    <n v="0"/>
  </r>
  <r>
    <n v="68730257"/>
    <x v="16"/>
    <n v="0"/>
    <d v="2023-04-19T00:00:00"/>
    <x v="75"/>
    <x v="21"/>
    <n v="3.7853440000000004E-3"/>
    <n v="0"/>
    <s v="TA"/>
    <x v="1"/>
    <x v="10"/>
    <s v="Q2"/>
    <n v="255"/>
    <n v="0"/>
    <s v="TALENTI"/>
    <n v="1"/>
    <n v="0"/>
    <n v="0"/>
    <n v="0"/>
  </r>
  <r>
    <n v="68881270"/>
    <x v="16"/>
    <n v="880"/>
    <d v="2023-04-19T00:00:00"/>
    <x v="91"/>
    <x v="2"/>
    <n v="8.5199999999999998E-3"/>
    <n v="7.4976000000000003"/>
    <s v="BR"/>
    <x v="1"/>
    <x v="2"/>
    <s v="Q2"/>
    <n v="176"/>
    <n v="5"/>
    <s v="48oz"/>
    <n v="1"/>
    <n v="880"/>
    <n v="7.4976000000000003"/>
    <n v="5"/>
  </r>
  <r>
    <n v="84141103"/>
    <x v="17"/>
    <n v="43826"/>
    <d v="2023-04-19T00:00:00"/>
    <x v="294"/>
    <x v="44"/>
    <n v="3.7853439999999999E-3"/>
    <n v="165.89648614399999"/>
    <s v="BJ"/>
    <x v="1"/>
    <x v="15"/>
    <s v="Q2"/>
    <n v="240"/>
    <n v="182.60833333333332"/>
    <s v="BJ PTS"/>
    <n v="1"/>
    <n v="43826"/>
    <n v="165.89648614399999"/>
    <n v="182.60833333333332"/>
  </r>
  <r>
    <n v="84144598"/>
    <x v="17"/>
    <n v="29040"/>
    <d v="2023-04-19T00:00:00"/>
    <x v="233"/>
    <x v="35"/>
    <n v="3.7853439999999999E-3"/>
    <n v="109.92638975999999"/>
    <s v="BJ"/>
    <x v="1"/>
    <x v="15"/>
    <s v="Q2"/>
    <n v="240"/>
    <n v="121"/>
    <s v="BJ PTS"/>
    <n v="1"/>
    <n v="29040"/>
    <n v="109.92638975999999"/>
    <n v="121"/>
  </r>
  <r>
    <n v="67466492"/>
    <x v="15"/>
    <n v="4412"/>
    <d v="2023-04-19T00:00:00"/>
    <x v="8"/>
    <x v="6"/>
    <n v="5.2680000000000001E-3"/>
    <n v="23.242416000000002"/>
    <s v="PS"/>
    <x v="1"/>
    <x v="3"/>
    <s v="Q2"/>
    <n v="130"/>
    <n v="33.938461538461539"/>
    <s v="PG"/>
    <n v="1"/>
    <n v="4412"/>
    <n v="23.242416000000002"/>
    <n v="33.938461538461539"/>
  </r>
  <r>
    <n v="67476560"/>
    <x v="15"/>
    <n v="3623"/>
    <d v="2023-04-19T00:00:00"/>
    <x v="10"/>
    <x v="10"/>
    <n v="5.1060000000000003E-3"/>
    <n v="18.499038000000002"/>
    <s v="PS"/>
    <x v="1"/>
    <x v="3"/>
    <s v="Q2"/>
    <n v="130"/>
    <n v="27.869230769230768"/>
    <s v="PG"/>
    <n v="1"/>
    <n v="3623"/>
    <n v="18.499038000000002"/>
    <n v="27.869230769230768"/>
  </r>
  <r>
    <n v="67885716"/>
    <x v="15"/>
    <n v="7424"/>
    <d v="2023-04-19T00:00:00"/>
    <x v="89"/>
    <x v="11"/>
    <n v="8.5199999999999998E-3"/>
    <n v="63.252479999999998"/>
    <s v="BR"/>
    <x v="1"/>
    <x v="6"/>
    <s v="Q2"/>
    <n v="154"/>
    <n v="48.20779220779221"/>
    <s v="48oz"/>
    <n v="1"/>
    <n v="7424"/>
    <n v="63.252479999999998"/>
    <n v="48.20779220779221"/>
  </r>
  <r>
    <n v="68188183"/>
    <x v="15"/>
    <n v="3262"/>
    <d v="2023-04-19T00:00:00"/>
    <x v="70"/>
    <x v="9"/>
    <n v="3.8340000000000002E-3"/>
    <n v="12.506508"/>
    <s v="PS"/>
    <x v="1"/>
    <x v="3"/>
    <s v="Q2"/>
    <n v="130"/>
    <n v="25.092307692307692"/>
    <s v="PG"/>
    <n v="1"/>
    <n v="3262"/>
    <n v="12.506508"/>
    <n v="25.092307692307692"/>
  </r>
  <r>
    <n v="68634169"/>
    <x v="15"/>
    <n v="9875"/>
    <d v="2023-04-19T00:00:00"/>
    <x v="149"/>
    <x v="16"/>
    <n v="8.5199999999999998E-3"/>
    <n v="84.134999999999991"/>
    <s v="BR"/>
    <x v="1"/>
    <x v="6"/>
    <s v="Q2"/>
    <n v="154"/>
    <n v="64.123376623376629"/>
    <s v="48oz"/>
    <n v="1"/>
    <n v="9875"/>
    <n v="84.134999999999991"/>
    <n v="64.123376623376629"/>
  </r>
  <r>
    <n v="68737749"/>
    <x v="15"/>
    <n v="7588"/>
    <d v="2023-04-19T00:00:00"/>
    <x v="23"/>
    <x v="23"/>
    <n v="8.5199999999999998E-3"/>
    <n v="64.649760000000001"/>
    <s v="BR"/>
    <x v="1"/>
    <x v="6"/>
    <s v="Q2"/>
    <n v="176"/>
    <n v="43.113636363636367"/>
    <s v="48oz"/>
    <n v="1"/>
    <n v="7588"/>
    <n v="64.649760000000001"/>
    <n v="43.113636363636367"/>
  </r>
  <r>
    <n v="68741714"/>
    <x v="15"/>
    <n v="2298"/>
    <d v="2023-04-19T00:00:00"/>
    <x v="24"/>
    <x v="24"/>
    <n v="2.8319999999999999E-3"/>
    <n v="6.5079359999999999"/>
    <s v="GH"/>
    <x v="1"/>
    <x v="4"/>
    <s v="Q2"/>
    <n v="225"/>
    <n v="10.213333333333333"/>
    <s v="MBG"/>
    <n v="1"/>
    <n v="2298"/>
    <n v="6.5079359999999999"/>
    <n v="10.213333333333333"/>
  </r>
  <r>
    <n v="68930545"/>
    <x v="15"/>
    <n v="8648"/>
    <d v="2023-04-19T00:00:00"/>
    <x v="93"/>
    <x v="12"/>
    <n v="8.5199999999999998E-3"/>
    <n v="73.680959999999999"/>
    <s v="BR"/>
    <x v="1"/>
    <x v="6"/>
    <s v="Q2"/>
    <n v="176"/>
    <n v="49.136363636363633"/>
    <s v="48oz"/>
    <n v="1"/>
    <n v="8648"/>
    <n v="73.680959999999999"/>
    <n v="49.136363636363633"/>
  </r>
  <r>
    <n v="68593218"/>
    <x v="16"/>
    <n v="890"/>
    <d v="2023-04-19T00:00:00"/>
    <x v="311"/>
    <x v="2"/>
    <n v="8.5199999999999998E-3"/>
    <n v="7.5827999999999998"/>
    <s v="BR"/>
    <x v="1"/>
    <x v="2"/>
    <s v="Q2"/>
    <n v="154"/>
    <n v="5.779220779220779"/>
    <s v="48oz"/>
    <n v="1"/>
    <n v="890"/>
    <n v="7.5827999999999998"/>
    <n v="5.779220779220779"/>
  </r>
  <r>
    <n v="68689253"/>
    <x v="16"/>
    <n v="2085"/>
    <d v="2023-04-19T00:00:00"/>
    <x v="125"/>
    <x v="18"/>
    <n v="6.0035555555555554E-3"/>
    <n v="12.517413333333334"/>
    <s v="KL"/>
    <x v="1"/>
    <x v="9"/>
    <s v="Q2"/>
    <n v="120"/>
    <n v="17.375"/>
    <s v="ESS"/>
    <n v="1"/>
    <n v="2085"/>
    <n v="12.517413333333334"/>
    <n v="17.375"/>
  </r>
  <r>
    <n v="68726896"/>
    <x v="16"/>
    <n v="11871"/>
    <d v="2023-04-19T00:00:00"/>
    <x v="280"/>
    <x v="21"/>
    <n v="3.7853440000000004E-3"/>
    <n v="44.935818624000007"/>
    <s v="TA"/>
    <x v="1"/>
    <x v="10"/>
    <s v="Q2"/>
    <n v="255"/>
    <n v="46.55294117647059"/>
    <s v="TALENTI"/>
    <n v="1"/>
    <n v="11871"/>
    <n v="44.935818624000007"/>
    <n v="46.55294117647059"/>
  </r>
  <r>
    <n v="68741742"/>
    <x v="16"/>
    <n v="4141"/>
    <d v="2023-04-19T00:00:00"/>
    <x v="25"/>
    <x v="25"/>
    <n v="4.2560000000000002E-3"/>
    <n v="17.624096000000002"/>
    <s v="GH"/>
    <x v="1"/>
    <x v="11"/>
    <s v="Q2"/>
    <n v="154"/>
    <n v="26.88961038961039"/>
    <s v="MBG"/>
    <n v="1"/>
    <n v="4141"/>
    <n v="17.624096000000002"/>
    <n v="26.88961038961039"/>
  </r>
  <r>
    <n v="68852583"/>
    <x v="16"/>
    <n v="4922"/>
    <d v="2023-04-19T00:00:00"/>
    <x v="227"/>
    <x v="26"/>
    <n v="8.5199999999999998E-3"/>
    <n v="41.93544"/>
    <s v="KL"/>
    <x v="1"/>
    <x v="12"/>
    <s v="Q2"/>
    <n v="132"/>
    <n v="37.287878787878789"/>
    <s v="EDF"/>
    <n v="1"/>
    <n v="4922"/>
    <n v="41.93544"/>
    <n v="37.287878787878789"/>
  </r>
  <r>
    <n v="68914406"/>
    <x v="16"/>
    <n v="5068"/>
    <d v="2023-04-19T00:00:00"/>
    <x v="78"/>
    <x v="27"/>
    <n v="2.124E-3"/>
    <n v="10.764431999999999"/>
    <s v="KL"/>
    <x v="1"/>
    <x v="9"/>
    <s v="Q2"/>
    <n v="352"/>
    <n v="14.397727272727273"/>
    <s v="ESS"/>
    <n v="1"/>
    <n v="5068"/>
    <n v="10.764431999999999"/>
    <n v="14.397727272727273"/>
  </r>
  <r>
    <n v="69549217"/>
    <x v="16"/>
    <n v="1199"/>
    <d v="2023-04-19T00:00:00"/>
    <x v="80"/>
    <x v="5"/>
    <n v="2.0400000000000001E-3"/>
    <n v="2.4459600000000004"/>
    <s v="MG"/>
    <x v="1"/>
    <x v="5"/>
    <s v="Q2"/>
    <n v="189"/>
    <n v="6.3439153439153442"/>
    <s v="MG Sticks"/>
    <n v="1"/>
    <n v="1199"/>
    <n v="2.4459600000000004"/>
    <n v="6.3439153439153442"/>
  </r>
  <r>
    <n v="69549220"/>
    <x v="16"/>
    <n v="5735"/>
    <d v="2023-04-19T00:00:00"/>
    <x v="97"/>
    <x v="5"/>
    <n v="2.0400000000000001E-3"/>
    <n v="11.699400000000001"/>
    <s v="MG"/>
    <x v="1"/>
    <x v="5"/>
    <s v="Q2"/>
    <n v="189"/>
    <n v="30.343915343915345"/>
    <s v="MG Sticks"/>
    <n v="1"/>
    <n v="5735"/>
    <n v="11.699400000000001"/>
    <n v="30.343915343915345"/>
  </r>
  <r>
    <n v="69568828"/>
    <x v="16"/>
    <n v="13024"/>
    <d v="2023-04-19T00:00:00"/>
    <x v="12"/>
    <x v="13"/>
    <n v="8.5199999999999998E-3"/>
    <n v="110.96447999999999"/>
    <s v="BR"/>
    <x v="1"/>
    <x v="2"/>
    <s v="Q2"/>
    <n v="176"/>
    <n v="74"/>
    <s v="48oz"/>
    <n v="1"/>
    <n v="13024"/>
    <n v="110.96447999999999"/>
    <n v="74"/>
  </r>
  <r>
    <n v="69572544"/>
    <x v="16"/>
    <n v="7533"/>
    <d v="2023-04-19T00:00:00"/>
    <x v="171"/>
    <x v="14"/>
    <n v="1.9740000000000001E-3"/>
    <n v="14.870142000000001"/>
    <s v="MG"/>
    <x v="1"/>
    <x v="5"/>
    <s v="Q2"/>
    <n v="176"/>
    <n v="42.801136363636367"/>
    <s v="MG Sticks"/>
    <n v="1"/>
    <n v="7533"/>
    <n v="14.870142000000001"/>
    <n v="42.801136363636367"/>
  </r>
  <r>
    <n v="69621212"/>
    <x v="16"/>
    <n v="5896"/>
    <d v="2023-04-19T00:00:00"/>
    <x v="29"/>
    <x v="28"/>
    <n v="5.2680000000000001E-3"/>
    <n v="31.060128000000002"/>
    <s v="PG"/>
    <x v="1"/>
    <x v="14"/>
    <s v="Q2"/>
    <n v="130"/>
    <n v="45.353846153846156"/>
    <s v="PG"/>
    <n v="1"/>
    <n v="5896"/>
    <n v="31.060128000000002"/>
    <n v="45.353846153846156"/>
  </r>
  <r>
    <n v="69677917"/>
    <x v="16"/>
    <n v="4130"/>
    <d v="2023-04-19T00:00:00"/>
    <x v="30"/>
    <x v="30"/>
    <n v="5.2680000000000001E-3"/>
    <n v="21.75684"/>
    <s v="PS"/>
    <x v="1"/>
    <x v="14"/>
    <s v="Q2"/>
    <n v="108"/>
    <n v="38.24074074074074"/>
    <s v="PG"/>
    <n v="1"/>
    <n v="4130"/>
    <n v="21.75684"/>
    <n v="38.24074074074074"/>
  </r>
  <r>
    <n v="69717802"/>
    <x v="16"/>
    <n v="9581"/>
    <d v="2023-04-19T00:00:00"/>
    <x v="31"/>
    <x v="31"/>
    <n v="4.2560000000000002E-3"/>
    <n v="40.776736"/>
    <s v="BR"/>
    <x v="1"/>
    <x v="5"/>
    <s v="Q2"/>
    <n v="143"/>
    <n v="67"/>
    <s v="MG Sticks"/>
    <n v="1"/>
    <n v="9581"/>
    <n v="40.776736"/>
    <n v="67"/>
  </r>
  <r>
    <n v="84135770"/>
    <x v="16"/>
    <n v="13048"/>
    <d v="2023-04-19T00:00:00"/>
    <x v="277"/>
    <x v="15"/>
    <n v="3.7853439999999999E-3"/>
    <n v="49.391168512"/>
    <s v="BJ"/>
    <x v="1"/>
    <x v="30"/>
    <s v="Q2"/>
    <n v="240"/>
    <n v="54.366666666666667"/>
    <s v="BJ PTS"/>
    <n v="1"/>
    <n v="13048"/>
    <n v="49.391168512"/>
    <n v="54.366666666666667"/>
  </r>
  <r>
    <n v="84136704"/>
    <x v="17"/>
    <n v="35167"/>
    <d v="2023-04-19T00:00:00"/>
    <x v="223"/>
    <x v="35"/>
    <n v="3.7853439999999999E-3"/>
    <n v="133.11919244800001"/>
    <s v="BJ"/>
    <x v="1"/>
    <x v="15"/>
    <s v="Q2"/>
    <n v="240"/>
    <n v="146.52916666666667"/>
    <s v="BJ PTS"/>
    <n v="1"/>
    <n v="35167"/>
    <n v="133.11919244800001"/>
    <n v="146.52916666666667"/>
  </r>
  <r>
    <n v="67901593"/>
    <x v="16"/>
    <n v="11003"/>
    <d v="2023-04-19T00:00:00"/>
    <x v="68"/>
    <x v="32"/>
    <n v="8.5199999999999998E-3"/>
    <n v="93.745559999999998"/>
    <s v="BR"/>
    <x v="1"/>
    <x v="2"/>
    <s v="Q2"/>
    <n v="154"/>
    <n v="71.448051948051955"/>
    <s v="48oz"/>
    <n v="1"/>
    <n v="11003"/>
    <n v="93.745559999999998"/>
    <n v="71.448051948051955"/>
  </r>
  <r>
    <n v="68499787"/>
    <x v="17"/>
    <n v="5351"/>
    <d v="2023-04-19T00:00:00"/>
    <x v="274"/>
    <x v="35"/>
    <n v="3.8999999999999998E-3"/>
    <n v="20.8689"/>
    <s v="BJ"/>
    <x v="1"/>
    <x v="39"/>
    <s v="Q2"/>
    <n v="125"/>
    <n v="42.808"/>
    <s v="2.4 Gal"/>
    <n v="1"/>
    <n v="5351"/>
    <n v="20.8689"/>
    <n v="42.808"/>
  </r>
  <r>
    <n v="68922106"/>
    <x v="16"/>
    <n v="17969"/>
    <d v="2023-04-19T00:00:00"/>
    <x v="104"/>
    <x v="22"/>
    <n v="3.552E-3"/>
    <n v="63.825887999999999"/>
    <s v="TA"/>
    <x v="1"/>
    <x v="10"/>
    <s v="Q2"/>
    <n v="255"/>
    <n v="70.466666666666669"/>
    <s v="TALENTI"/>
    <n v="1"/>
    <n v="17969"/>
    <n v="63.825887999999999"/>
    <n v="70.466666666666669"/>
  </r>
  <r>
    <n v="68300738"/>
    <x v="15"/>
    <n v="4616"/>
    <d v="2023-04-20T00:00:00"/>
    <x v="120"/>
    <x v="19"/>
    <n v="8.4960000000000001E-3"/>
    <n v="39.217536000000003"/>
    <s v="KL"/>
    <x v="1"/>
    <x v="8"/>
    <s v="Q2"/>
    <n v="132"/>
    <n v="34.969696969696969"/>
    <s v="EDF"/>
    <n v="1"/>
    <n v="4616"/>
    <n v="39.217536000000003"/>
    <n v="34.969696969696969"/>
  </r>
  <r>
    <n v="68689251"/>
    <x v="15"/>
    <n v="7378"/>
    <d v="2023-04-20T00:00:00"/>
    <x v="17"/>
    <x v="17"/>
    <n v="9.5760000000000012E-3"/>
    <n v="70.651728000000006"/>
    <s v="KL"/>
    <x v="1"/>
    <x v="8"/>
    <s v="Q2"/>
    <n v="132"/>
    <n v="55.893939393939391"/>
    <s v="EDF"/>
    <n v="1"/>
    <n v="7378"/>
    <n v="70.651728000000006"/>
    <n v="55.893939393939391"/>
  </r>
  <r>
    <n v="68741714"/>
    <x v="15"/>
    <n v="8098"/>
    <d v="2023-04-20T00:00:00"/>
    <x v="24"/>
    <x v="24"/>
    <n v="2.8319999999999999E-3"/>
    <n v="22.933536"/>
    <s v="GH"/>
    <x v="1"/>
    <x v="4"/>
    <s v="Q2"/>
    <n v="225"/>
    <n v="35.99111111111111"/>
    <s v="MBG"/>
    <n v="1"/>
    <n v="8098"/>
    <n v="22.933536"/>
    <n v="35.99111111111111"/>
  </r>
  <r>
    <n v="68741742"/>
    <x v="15"/>
    <n v="5046"/>
    <d v="2023-04-20T00:00:00"/>
    <x v="25"/>
    <x v="4"/>
    <n v="4.2560000000000002E-3"/>
    <n v="21.475776"/>
    <s v="GH"/>
    <x v="1"/>
    <x v="4"/>
    <s v="Q2"/>
    <n v="154"/>
    <n v="32.766233766233768"/>
    <s v="MBG"/>
    <n v="1"/>
    <n v="5046"/>
    <n v="21.475776"/>
    <n v="32.766233766233768"/>
  </r>
  <r>
    <n v="68930545"/>
    <x v="15"/>
    <n v="5471"/>
    <d v="2023-04-20T00:00:00"/>
    <x v="93"/>
    <x v="12"/>
    <n v="8.5199999999999998E-3"/>
    <n v="46.612919999999995"/>
    <s v="BR"/>
    <x v="1"/>
    <x v="6"/>
    <s v="Q2"/>
    <n v="176"/>
    <n v="31.085227272727273"/>
    <s v="48oz"/>
    <n v="1"/>
    <n v="5471"/>
    <n v="46.612919999999995"/>
    <n v="31.085227272727273"/>
  </r>
  <r>
    <n v="69549032"/>
    <x v="15"/>
    <n v="0"/>
    <d v="2023-04-20T00:00:00"/>
    <x v="79"/>
    <x v="36"/>
    <n v="2.3469132803553457E-3"/>
    <n v="0"/>
    <s v="GH"/>
    <x v="1"/>
    <x v="28"/>
    <s v="Q2"/>
    <n v="350"/>
    <n v="0"/>
    <s v="EFW"/>
    <n v="1"/>
    <n v="0"/>
    <n v="0"/>
    <n v="0"/>
  </r>
  <r>
    <n v="68726896"/>
    <x v="16"/>
    <n v="0"/>
    <d v="2023-04-20T00:00:00"/>
    <x v="280"/>
    <x v="21"/>
    <n v="3.7853440000000004E-3"/>
    <n v="0"/>
    <s v="TA"/>
    <x v="1"/>
    <x v="10"/>
    <s v="Q2"/>
    <n v="255"/>
    <n v="0"/>
    <s v="TALENTI"/>
    <n v="1"/>
    <n v="0"/>
    <n v="0"/>
    <n v="0"/>
  </r>
  <r>
    <n v="69549217"/>
    <x v="16"/>
    <n v="0"/>
    <d v="2023-04-20T00:00:00"/>
    <x v="80"/>
    <x v="5"/>
    <n v="2.0400000000000001E-3"/>
    <n v="0"/>
    <s v="MG"/>
    <x v="1"/>
    <x v="5"/>
    <s v="Q2"/>
    <n v="189"/>
    <n v="0"/>
    <s v="MG Sticks"/>
    <n v="1"/>
    <n v="0"/>
    <n v="0"/>
    <n v="0"/>
  </r>
  <r>
    <n v="84137725"/>
    <x v="18"/>
    <n v="69600"/>
    <d v="2023-04-20T00:00:00"/>
    <x v="132"/>
    <x v="33"/>
    <n v="3.7853439999999999E-3"/>
    <n v="263.45994239999999"/>
    <s v="BJ"/>
    <x v="1"/>
    <x v="36"/>
    <s v="Q2"/>
    <n v="240"/>
    <n v="290"/>
    <s v="BJ PTS"/>
    <n v="1"/>
    <n v="69600"/>
    <n v="263.45994239999999"/>
    <n v="290"/>
  </r>
  <r>
    <n v="67465063"/>
    <x v="15"/>
    <n v="3821"/>
    <d v="2023-04-20T00:00:00"/>
    <x v="3"/>
    <x v="7"/>
    <n v="5.2680000000000001E-3"/>
    <n v="20.129028000000002"/>
    <s v="PS"/>
    <x v="1"/>
    <x v="3"/>
    <s v="Q2"/>
    <n v="130"/>
    <n v="29.392307692307693"/>
    <s v="PG"/>
    <n v="1"/>
    <n v="3821"/>
    <n v="20.129028000000002"/>
    <n v="29.392307692307693"/>
  </r>
  <r>
    <n v="67465064"/>
    <x v="15"/>
    <n v="2940"/>
    <d v="2023-04-20T00:00:00"/>
    <x v="7"/>
    <x v="3"/>
    <n v="1.596E-3"/>
    <n v="4.69224"/>
    <s v="PS"/>
    <x v="1"/>
    <x v="3"/>
    <s v="Q2"/>
    <n v="130"/>
    <n v="22.615384615384617"/>
    <s v="PG"/>
    <n v="1"/>
    <n v="2940"/>
    <n v="4.69224"/>
    <n v="22.615384615384617"/>
  </r>
  <r>
    <n v="67466492"/>
    <x v="15"/>
    <n v="4657"/>
    <d v="2023-04-20T00:00:00"/>
    <x v="8"/>
    <x v="6"/>
    <n v="5.2680000000000001E-3"/>
    <n v="24.533076000000001"/>
    <s v="PS"/>
    <x v="1"/>
    <x v="3"/>
    <s v="Q2"/>
    <n v="130"/>
    <n v="35.823076923076925"/>
    <s v="PG"/>
    <n v="1"/>
    <n v="4657"/>
    <n v="24.533076000000001"/>
    <n v="35.823076923076925"/>
  </r>
  <r>
    <n v="67466492"/>
    <x v="15"/>
    <n v="4503"/>
    <d v="2023-04-20T00:00:00"/>
    <x v="8"/>
    <x v="8"/>
    <n v="5.2680000000000001E-3"/>
    <n v="23.721803999999999"/>
    <s v="PS"/>
    <x v="1"/>
    <x v="3"/>
    <s v="Q2"/>
    <n v="130"/>
    <n v="34.638461538461542"/>
    <s v="PG"/>
    <n v="1"/>
    <n v="4503"/>
    <n v="23.721803999999999"/>
    <n v="34.638461538461542"/>
  </r>
  <r>
    <n v="67476560"/>
    <x v="15"/>
    <n v="3637"/>
    <d v="2023-04-20T00:00:00"/>
    <x v="10"/>
    <x v="10"/>
    <n v="5.1060000000000003E-3"/>
    <n v="18.570522"/>
    <s v="PS"/>
    <x v="1"/>
    <x v="3"/>
    <s v="Q2"/>
    <n v="130"/>
    <n v="27.976923076923075"/>
    <s v="PG"/>
    <n v="1"/>
    <n v="3637"/>
    <n v="18.570522"/>
    <n v="27.976923076923075"/>
  </r>
  <r>
    <n v="67885716"/>
    <x v="15"/>
    <n v="11029"/>
    <d v="2023-04-20T00:00:00"/>
    <x v="89"/>
    <x v="11"/>
    <n v="8.5199999999999998E-3"/>
    <n v="93.967079999999996"/>
    <s v="BR"/>
    <x v="1"/>
    <x v="6"/>
    <s v="Q2"/>
    <n v="154"/>
    <n v="71.616883116883116"/>
    <s v="48oz"/>
    <n v="1"/>
    <n v="11029"/>
    <n v="93.967079999999996"/>
    <n v="71.616883116883116"/>
  </r>
  <r>
    <n v="68188183"/>
    <x v="15"/>
    <n v="2543"/>
    <d v="2023-04-20T00:00:00"/>
    <x v="70"/>
    <x v="9"/>
    <n v="3.8340000000000002E-3"/>
    <n v="9.7498620000000003"/>
    <s v="PS"/>
    <x v="1"/>
    <x v="3"/>
    <s v="Q2"/>
    <n v="130"/>
    <n v="19.561538461538461"/>
    <s v="PG"/>
    <n v="1"/>
    <n v="2543"/>
    <n v="9.7498620000000003"/>
    <n v="19.561538461538461"/>
  </r>
  <r>
    <n v="68634169"/>
    <x v="15"/>
    <n v="0"/>
    <d v="2023-04-20T00:00:00"/>
    <x v="149"/>
    <x v="16"/>
    <n v="8.5199999999999998E-3"/>
    <n v="0"/>
    <s v="BR"/>
    <x v="1"/>
    <x v="6"/>
    <s v="Q2"/>
    <n v="154"/>
    <n v="0"/>
    <s v="48oz"/>
    <n v="1"/>
    <n v="0"/>
    <n v="0"/>
    <n v="0"/>
  </r>
  <r>
    <n v="68737749"/>
    <x v="15"/>
    <n v="13540"/>
    <d v="2023-04-20T00:00:00"/>
    <x v="23"/>
    <x v="23"/>
    <n v="8.5199999999999998E-3"/>
    <n v="115.3608"/>
    <s v="BR"/>
    <x v="1"/>
    <x v="6"/>
    <s v="Q2"/>
    <n v="176"/>
    <n v="76.931818181818187"/>
    <s v="48oz"/>
    <n v="1"/>
    <n v="13540"/>
    <n v="115.3608"/>
    <n v="76.931818181818187"/>
  </r>
  <r>
    <n v="68921994"/>
    <x v="15"/>
    <n v="7595"/>
    <d v="2023-04-20T00:00:00"/>
    <x v="258"/>
    <x v="20"/>
    <n v="9.5879999999999993E-3"/>
    <n v="72.820859999999996"/>
    <s v="KL"/>
    <x v="1"/>
    <x v="8"/>
    <s v="Q2"/>
    <n v="132"/>
    <n v="57.537878787878789"/>
    <s v="EDF"/>
    <n v="1"/>
    <n v="7595"/>
    <n v="72.820859999999996"/>
    <n v="57.537878787878789"/>
  </r>
  <r>
    <n v="67901593"/>
    <x v="16"/>
    <n v="23408"/>
    <d v="2023-04-20T00:00:00"/>
    <x v="68"/>
    <x v="32"/>
    <n v="8.5199999999999998E-3"/>
    <n v="199.43616"/>
    <s v="BR"/>
    <x v="1"/>
    <x v="2"/>
    <s v="Q2"/>
    <n v="154"/>
    <n v="152"/>
    <s v="48oz"/>
    <n v="1"/>
    <n v="23408"/>
    <n v="199.43616"/>
    <n v="152"/>
  </r>
  <r>
    <n v="68593218"/>
    <x v="16"/>
    <n v="11573"/>
    <d v="2023-04-20T00:00:00"/>
    <x v="311"/>
    <x v="2"/>
    <n v="8.5199999999999998E-3"/>
    <n v="98.601959999999991"/>
    <s v="BR"/>
    <x v="1"/>
    <x v="2"/>
    <s v="Q2"/>
    <n v="154"/>
    <n v="75.149350649350652"/>
    <s v="48oz"/>
    <n v="1"/>
    <n v="11573"/>
    <n v="98.601959999999991"/>
    <n v="75.149350649350652"/>
  </r>
  <r>
    <n v="68689253"/>
    <x v="16"/>
    <n v="2908"/>
    <d v="2023-04-20T00:00:00"/>
    <x v="125"/>
    <x v="18"/>
    <n v="6.0035555555555554E-3"/>
    <n v="17.458339555555554"/>
    <s v="KL"/>
    <x v="1"/>
    <x v="9"/>
    <s v="Q2"/>
    <n v="120"/>
    <n v="24.233333333333334"/>
    <s v="ESS"/>
    <n v="1"/>
    <n v="2908"/>
    <n v="17.458339555555554"/>
    <n v="24.233333333333334"/>
  </r>
  <r>
    <n v="68729634"/>
    <x v="16"/>
    <n v="9415"/>
    <d v="2023-04-20T00:00:00"/>
    <x v="92"/>
    <x v="22"/>
    <n v="3.7853439999999999E-3"/>
    <n v="35.639013759999997"/>
    <s v="TA"/>
    <x v="1"/>
    <x v="10"/>
    <s v="Q2"/>
    <n v="255"/>
    <n v="36.921568627450981"/>
    <s v="TALENTI"/>
    <n v="1"/>
    <n v="9415"/>
    <n v="35.639013759999997"/>
    <n v="36.921568627450981"/>
  </r>
  <r>
    <n v="68741742"/>
    <x v="16"/>
    <n v="6053"/>
    <d v="2023-04-20T00:00:00"/>
    <x v="25"/>
    <x v="25"/>
    <n v="4.2560000000000002E-3"/>
    <n v="25.761568"/>
    <s v="GH"/>
    <x v="1"/>
    <x v="11"/>
    <s v="Q2"/>
    <n v="154"/>
    <n v="39.305194805194802"/>
    <s v="MBG"/>
    <n v="1"/>
    <n v="6053"/>
    <n v="25.761568"/>
    <n v="39.305194805194802"/>
  </r>
  <r>
    <n v="68852583"/>
    <x v="16"/>
    <n v="2989"/>
    <d v="2023-04-20T00:00:00"/>
    <x v="227"/>
    <x v="26"/>
    <n v="8.5199999999999998E-3"/>
    <n v="25.466280000000001"/>
    <s v="KL"/>
    <x v="1"/>
    <x v="12"/>
    <s v="Q2"/>
    <n v="132"/>
    <n v="22.643939393939394"/>
    <s v="EDF"/>
    <n v="1"/>
    <n v="2989"/>
    <n v="25.466280000000001"/>
    <n v="22.643939393939394"/>
  </r>
  <r>
    <n v="68914406"/>
    <x v="16"/>
    <n v="7073"/>
    <d v="2023-04-20T00:00:00"/>
    <x v="78"/>
    <x v="27"/>
    <n v="2.124E-3"/>
    <n v="15.023052"/>
    <s v="KL"/>
    <x v="1"/>
    <x v="9"/>
    <s v="Q2"/>
    <n v="352"/>
    <n v="20.09375"/>
    <s v="ESS"/>
    <n v="1"/>
    <n v="7073"/>
    <n v="15.023052"/>
    <n v="20.09375"/>
  </r>
  <r>
    <n v="69549220"/>
    <x v="16"/>
    <n v="11360"/>
    <d v="2023-04-20T00:00:00"/>
    <x v="97"/>
    <x v="5"/>
    <n v="2.0400000000000001E-3"/>
    <n v="23.174400000000002"/>
    <s v="MG"/>
    <x v="1"/>
    <x v="5"/>
    <s v="Q2"/>
    <n v="189"/>
    <n v="60.105820105820108"/>
    <s v="MG Sticks"/>
    <n v="1"/>
    <n v="11360"/>
    <n v="23.174400000000002"/>
    <n v="60.105820105820108"/>
  </r>
  <r>
    <n v="69568828"/>
    <x v="16"/>
    <n v="13904"/>
    <d v="2023-04-20T00:00:00"/>
    <x v="12"/>
    <x v="13"/>
    <n v="8.5199999999999998E-3"/>
    <n v="118.46208"/>
    <s v="BR"/>
    <x v="1"/>
    <x v="2"/>
    <s v="Q2"/>
    <n v="176"/>
    <n v="79"/>
    <s v="48oz"/>
    <n v="1"/>
    <n v="13904"/>
    <n v="118.46208"/>
    <n v="79"/>
  </r>
  <r>
    <n v="69572544"/>
    <x v="16"/>
    <n v="5089"/>
    <d v="2023-04-20T00:00:00"/>
    <x v="171"/>
    <x v="14"/>
    <n v="1.9740000000000001E-3"/>
    <n v="10.045686"/>
    <s v="MG"/>
    <x v="1"/>
    <x v="5"/>
    <s v="Q2"/>
    <n v="176"/>
    <n v="28.914772727272727"/>
    <s v="MG Sticks"/>
    <n v="1"/>
    <n v="5089"/>
    <n v="10.045686"/>
    <n v="28.914772727272727"/>
  </r>
  <r>
    <n v="69621212"/>
    <x v="16"/>
    <n v="6762"/>
    <d v="2023-04-20T00:00:00"/>
    <x v="29"/>
    <x v="28"/>
    <n v="5.2680000000000001E-3"/>
    <n v="35.622216000000002"/>
    <s v="PG"/>
    <x v="1"/>
    <x v="14"/>
    <s v="Q2"/>
    <n v="130"/>
    <n v="52.015384615384619"/>
    <s v="PG"/>
    <n v="1"/>
    <n v="6762"/>
    <n v="35.622216000000002"/>
    <n v="52.015384615384619"/>
  </r>
  <r>
    <n v="69677917"/>
    <x v="16"/>
    <n v="2649"/>
    <d v="2023-04-20T00:00:00"/>
    <x v="30"/>
    <x v="30"/>
    <n v="5.2680000000000001E-3"/>
    <n v="13.954931999999999"/>
    <s v="PS"/>
    <x v="1"/>
    <x v="14"/>
    <s v="Q2"/>
    <n v="108"/>
    <n v="24.527777777777779"/>
    <s v="PG"/>
    <n v="1"/>
    <n v="2649"/>
    <n v="13.954931999999999"/>
    <n v="24.527777777777779"/>
  </r>
  <r>
    <n v="69717802"/>
    <x v="16"/>
    <n v="1092"/>
    <d v="2023-04-20T00:00:00"/>
    <x v="31"/>
    <x v="31"/>
    <n v="4.2560000000000002E-3"/>
    <n v="4.6475520000000001"/>
    <s v="BR"/>
    <x v="1"/>
    <x v="5"/>
    <s v="Q2"/>
    <n v="143"/>
    <n v="7.6363636363636367"/>
    <s v="MG Sticks"/>
    <n v="1"/>
    <n v="1092"/>
    <n v="4.6475520000000001"/>
    <n v="7.6363636363636367"/>
  </r>
  <r>
    <n v="84135770"/>
    <x v="16"/>
    <n v="22069"/>
    <d v="2023-04-20T00:00:00"/>
    <x v="277"/>
    <x v="15"/>
    <n v="3.7853439999999999E-3"/>
    <n v="83.538756735999996"/>
    <s v="BJ"/>
    <x v="1"/>
    <x v="30"/>
    <s v="Q2"/>
    <n v="240"/>
    <n v="91.954166666666666"/>
    <s v="BJ PTS"/>
    <n v="1"/>
    <n v="22069"/>
    <n v="83.538756735999996"/>
    <n v="91.954166666666666"/>
  </r>
  <r>
    <n v="67465063"/>
    <x v="15"/>
    <n v="565"/>
    <d v="2023-04-20T00:00:00"/>
    <x v="3"/>
    <x v="40"/>
    <n v="5.2680000000000001E-3"/>
    <n v="2.9764200000000001"/>
    <s v="PS"/>
    <x v="1"/>
    <x v="3"/>
    <s v="Q2"/>
    <n v="130"/>
    <n v="4.3461538461538458"/>
    <s v="PG"/>
    <n v="1"/>
    <n v="565"/>
    <n v="2.9764200000000001"/>
    <n v="4.3461538461538458"/>
  </r>
  <r>
    <n v="69600859"/>
    <x v="17"/>
    <n v="2094"/>
    <d v="2023-04-20T00:00:00"/>
    <x v="209"/>
    <x v="35"/>
    <n v="9.0850000000000011E-3"/>
    <n v="19.023990000000001"/>
    <s v="BJ"/>
    <x v="1"/>
    <x v="39"/>
    <s v="Q2"/>
    <n v="125"/>
    <n v="16.751999999999999"/>
    <s v="2.4 Gal"/>
    <n v="1"/>
    <n v="2094"/>
    <n v="19.023990000000001"/>
    <n v="16.751999999999999"/>
  </r>
  <r>
    <n v="68922106"/>
    <x v="16"/>
    <n v="17952"/>
    <d v="2023-04-20T00:00:00"/>
    <x v="104"/>
    <x v="22"/>
    <n v="3.552E-3"/>
    <n v="63.765504"/>
    <s v="TA"/>
    <x v="1"/>
    <x v="10"/>
    <s v="Q2"/>
    <n v="255"/>
    <n v="70.400000000000006"/>
    <s v="TALENTI"/>
    <n v="1"/>
    <n v="17952"/>
    <n v="63.765504"/>
    <n v="70.400000000000006"/>
  </r>
  <r>
    <n v="84141101"/>
    <x v="17"/>
    <n v="59112"/>
    <d v="2023-04-20T00:00:00"/>
    <x v="86"/>
    <x v="33"/>
    <n v="3.7853439999999999E-3"/>
    <n v="223.75925452799999"/>
    <s v="BJ"/>
    <x v="1"/>
    <x v="15"/>
    <s v="Q2"/>
    <n v="240"/>
    <n v="246.3"/>
    <s v="BJ PTS"/>
    <n v="1"/>
    <n v="59112"/>
    <n v="223.75925452799999"/>
    <n v="246.3"/>
  </r>
  <r>
    <n v="67466492"/>
    <x v="15"/>
    <n v="2585"/>
    <d v="2023-04-21T00:00:00"/>
    <x v="8"/>
    <x v="6"/>
    <n v="5.2680000000000001E-3"/>
    <n v="13.61778"/>
    <s v="PS"/>
    <x v="1"/>
    <x v="3"/>
    <s v="Q2"/>
    <n v="130"/>
    <n v="19.884615384615383"/>
    <s v="PG"/>
    <n v="1"/>
    <n v="2585"/>
    <n v="13.61778"/>
    <n v="19.884615384615383"/>
  </r>
  <r>
    <n v="67885724"/>
    <x v="15"/>
    <n v="11445"/>
    <d v="2023-04-21T00:00:00"/>
    <x v="49"/>
    <x v="12"/>
    <n v="8.5199999999999998E-3"/>
    <n v="97.511399999999995"/>
    <s v="BR"/>
    <x v="1"/>
    <x v="6"/>
    <s v="Q2"/>
    <n v="154"/>
    <n v="74.318181818181813"/>
    <s v="48oz"/>
    <n v="1"/>
    <n v="11445"/>
    <n v="97.511399999999995"/>
    <n v="74.318181818181813"/>
  </r>
  <r>
    <n v="67901593"/>
    <x v="15"/>
    <n v="0"/>
    <d v="2023-04-21T00:00:00"/>
    <x v="68"/>
    <x v="12"/>
    <n v="8.5199999999999998E-3"/>
    <n v="0"/>
    <s v="BR"/>
    <x v="1"/>
    <x v="6"/>
    <s v="Q2"/>
    <n v="154"/>
    <n v="0"/>
    <s v="48oz"/>
    <n v="1"/>
    <n v="0"/>
    <n v="0"/>
    <n v="0"/>
  </r>
  <r>
    <n v="68300738"/>
    <x v="15"/>
    <n v="0"/>
    <d v="2023-04-21T00:00:00"/>
    <x v="120"/>
    <x v="19"/>
    <n v="8.4960000000000001E-3"/>
    <n v="0"/>
    <s v="KL"/>
    <x v="1"/>
    <x v="8"/>
    <s v="Q2"/>
    <n v="132"/>
    <n v="0"/>
    <s v="EDF"/>
    <n v="1"/>
    <n v="0"/>
    <n v="0"/>
    <n v="0"/>
  </r>
  <r>
    <n v="68737749"/>
    <x v="15"/>
    <n v="8770"/>
    <d v="2023-04-21T00:00:00"/>
    <x v="23"/>
    <x v="23"/>
    <n v="8.5199999999999998E-3"/>
    <n v="74.720399999999998"/>
    <s v="BR"/>
    <x v="1"/>
    <x v="6"/>
    <s v="Q2"/>
    <n v="176"/>
    <n v="49.829545454545453"/>
    <s v="48oz"/>
    <n v="1"/>
    <n v="8770"/>
    <n v="74.720399999999998"/>
    <n v="49.829545454545453"/>
  </r>
  <r>
    <n v="68921994"/>
    <x v="15"/>
    <n v="7840"/>
    <d v="2023-04-21T00:00:00"/>
    <x v="258"/>
    <x v="20"/>
    <n v="9.5879999999999993E-3"/>
    <n v="75.169919999999991"/>
    <s v="KL"/>
    <x v="1"/>
    <x v="8"/>
    <s v="Q2"/>
    <n v="132"/>
    <n v="59.393939393939391"/>
    <s v="EDF"/>
    <n v="1"/>
    <n v="7840"/>
    <n v="75.169919999999991"/>
    <n v="59.393939393939391"/>
  </r>
  <r>
    <n v="67885721"/>
    <x v="16"/>
    <n v="0"/>
    <d v="2023-04-21T00:00:00"/>
    <x v="40"/>
    <x v="32"/>
    <n v="8.5199999999999998E-3"/>
    <n v="0"/>
    <s v="BR"/>
    <x v="1"/>
    <x v="2"/>
    <s v="Q2"/>
    <n v="154"/>
    <n v="0"/>
    <s v="48oz"/>
    <n v="1"/>
    <n v="0"/>
    <n v="0"/>
    <n v="0"/>
  </r>
  <r>
    <n v="68730257"/>
    <x v="16"/>
    <n v="28195"/>
    <d v="2023-04-21T00:00:00"/>
    <x v="75"/>
    <x v="21"/>
    <n v="3.7853440000000004E-3"/>
    <n v="106.72777408000002"/>
    <s v="TA"/>
    <x v="1"/>
    <x v="10"/>
    <s v="Q2"/>
    <n v="255"/>
    <n v="110.56862745098039"/>
    <s v="TALENTI"/>
    <n v="1"/>
    <n v="28195"/>
    <n v="106.72777408000002"/>
    <n v="110.56862745098039"/>
  </r>
  <r>
    <n v="68896056"/>
    <x v="16"/>
    <n v="0"/>
    <d v="2023-04-21T00:00:00"/>
    <x v="116"/>
    <x v="2"/>
    <n v="8.5199999999999998E-3"/>
    <n v="0"/>
    <s v="BR"/>
    <x v="1"/>
    <x v="2"/>
    <s v="Q2"/>
    <n v="176"/>
    <n v="0"/>
    <s v="48oz"/>
    <n v="1"/>
    <n v="0"/>
    <n v="0"/>
    <n v="0"/>
  </r>
  <r>
    <n v="68914406"/>
    <x v="16"/>
    <n v="0"/>
    <d v="2023-04-21T00:00:00"/>
    <x v="78"/>
    <x v="27"/>
    <n v="2.124E-3"/>
    <n v="0"/>
    <s v="KL"/>
    <x v="1"/>
    <x v="9"/>
    <s v="Q2"/>
    <n v="352"/>
    <n v="0"/>
    <s v="ESS"/>
    <n v="1"/>
    <n v="0"/>
    <n v="0"/>
    <n v="0"/>
  </r>
  <r>
    <n v="68922106"/>
    <x v="16"/>
    <n v="0"/>
    <d v="2023-04-21T00:00:00"/>
    <x v="104"/>
    <x v="22"/>
    <n v="3.552E-3"/>
    <n v="0"/>
    <s v="TA"/>
    <x v="1"/>
    <x v="10"/>
    <s v="Q2"/>
    <n v="255"/>
    <n v="0"/>
    <s v="TALENTI"/>
    <n v="1"/>
    <n v="0"/>
    <n v="0"/>
    <n v="0"/>
  </r>
  <r>
    <n v="69717802"/>
    <x v="16"/>
    <n v="0"/>
    <d v="2023-04-21T00:00:00"/>
    <x v="31"/>
    <x v="31"/>
    <n v="4.2560000000000002E-3"/>
    <n v="0"/>
    <s v="BR"/>
    <x v="1"/>
    <x v="5"/>
    <s v="Q2"/>
    <n v="143"/>
    <n v="0"/>
    <s v="MG Sticks"/>
    <n v="1"/>
    <n v="0"/>
    <n v="0"/>
    <n v="0"/>
  </r>
  <r>
    <n v="84137725"/>
    <x v="18"/>
    <n v="29586"/>
    <d v="2023-04-21T00:00:00"/>
    <x v="132"/>
    <x v="33"/>
    <n v="3.7853439999999999E-3"/>
    <n v="111.993187584"/>
    <s v="BJ"/>
    <x v="1"/>
    <x v="36"/>
    <s v="Q2"/>
    <n v="240"/>
    <n v="123.27500000000001"/>
    <s v="BJ PTS"/>
    <n v="1"/>
    <n v="29586"/>
    <n v="111.993187584"/>
    <n v="123.27500000000001"/>
  </r>
  <r>
    <n v="67794167"/>
    <x v="17"/>
    <n v="60503"/>
    <d v="2023-04-21T00:00:00"/>
    <x v="176"/>
    <x v="38"/>
    <n v="3.7853439999999999E-3"/>
    <n v="229.02466803199999"/>
    <s v="BJ"/>
    <x v="1"/>
    <x v="15"/>
    <s v="Q2"/>
    <n v="240"/>
    <n v="252.09583333333333"/>
    <s v="BJ PTS"/>
    <n v="1"/>
    <n v="60503"/>
    <n v="229.02466803199999"/>
    <n v="252.09583333333333"/>
  </r>
  <r>
    <n v="67309843"/>
    <x v="15"/>
    <n v="0"/>
    <d v="2023-04-21T00:00:00"/>
    <x v="88"/>
    <x v="11"/>
    <n v="8.5199999999999998E-3"/>
    <n v="0"/>
    <s v="BR"/>
    <x v="1"/>
    <x v="6"/>
    <s v="Q2"/>
    <n v="154"/>
    <n v="0"/>
    <s v="48oz"/>
    <n v="1"/>
    <n v="0"/>
    <n v="0"/>
    <n v="0"/>
  </r>
  <r>
    <n v="67465063"/>
    <x v="15"/>
    <n v="2070"/>
    <d v="2023-04-21T00:00:00"/>
    <x v="3"/>
    <x v="7"/>
    <n v="5.2680000000000001E-3"/>
    <n v="10.90476"/>
    <s v="PS"/>
    <x v="1"/>
    <x v="3"/>
    <s v="Q2"/>
    <n v="130"/>
    <n v="15.923076923076923"/>
    <s v="PG"/>
    <n v="1"/>
    <n v="2070"/>
    <n v="10.90476"/>
    <n v="15.923076923076923"/>
  </r>
  <r>
    <n v="67465064"/>
    <x v="15"/>
    <n v="686"/>
    <d v="2023-04-21T00:00:00"/>
    <x v="7"/>
    <x v="3"/>
    <n v="1.596E-3"/>
    <n v="1.0948560000000001"/>
    <s v="PS"/>
    <x v="1"/>
    <x v="3"/>
    <s v="Q2"/>
    <n v="130"/>
    <n v="5.2769230769230768"/>
    <s v="PG"/>
    <n v="1"/>
    <n v="686"/>
    <n v="1.0948560000000001"/>
    <n v="5.2769230769230768"/>
  </r>
  <r>
    <n v="67466492"/>
    <x v="15"/>
    <n v="4420"/>
    <d v="2023-04-21T00:00:00"/>
    <x v="8"/>
    <x v="8"/>
    <n v="5.2680000000000001E-3"/>
    <n v="23.284559999999999"/>
    <s v="PS"/>
    <x v="1"/>
    <x v="3"/>
    <s v="Q2"/>
    <n v="130"/>
    <n v="34"/>
    <s v="PG"/>
    <n v="1"/>
    <n v="4420"/>
    <n v="23.284559999999999"/>
    <n v="34"/>
  </r>
  <r>
    <n v="67476560"/>
    <x v="15"/>
    <n v="2305"/>
    <d v="2023-04-21T00:00:00"/>
    <x v="10"/>
    <x v="10"/>
    <n v="5.1060000000000003E-3"/>
    <n v="11.76933"/>
    <s v="PS"/>
    <x v="1"/>
    <x v="3"/>
    <s v="Q2"/>
    <n v="130"/>
    <n v="17.73076923076923"/>
    <s v="PG"/>
    <n v="1"/>
    <n v="2305"/>
    <n v="11.76933"/>
    <n v="17.73076923076923"/>
  </r>
  <r>
    <n v="67885716"/>
    <x v="15"/>
    <n v="11883"/>
    <d v="2023-04-21T00:00:00"/>
    <x v="89"/>
    <x v="11"/>
    <n v="8.5199999999999998E-3"/>
    <n v="101.24316"/>
    <s v="BR"/>
    <x v="1"/>
    <x v="6"/>
    <s v="Q2"/>
    <n v="154"/>
    <n v="77.162337662337663"/>
    <s v="48oz"/>
    <n v="1"/>
    <n v="11883"/>
    <n v="101.24316"/>
    <n v="77.162337662337663"/>
  </r>
  <r>
    <n v="68188183"/>
    <x v="15"/>
    <n v="1055"/>
    <d v="2023-04-21T00:00:00"/>
    <x v="70"/>
    <x v="9"/>
    <n v="3.8340000000000002E-3"/>
    <n v="4.0448700000000004"/>
    <s v="PS"/>
    <x v="1"/>
    <x v="3"/>
    <s v="Q2"/>
    <n v="130"/>
    <n v="8.115384615384615"/>
    <s v="PG"/>
    <n v="1"/>
    <n v="1055"/>
    <n v="4.0448700000000004"/>
    <n v="8.115384615384615"/>
  </r>
  <r>
    <n v="68634169"/>
    <x v="15"/>
    <n v="5872"/>
    <d v="2023-04-21T00:00:00"/>
    <x v="149"/>
    <x v="16"/>
    <n v="8.5199999999999998E-3"/>
    <n v="50.029440000000001"/>
    <s v="BR"/>
    <x v="1"/>
    <x v="6"/>
    <s v="Q2"/>
    <n v="154"/>
    <n v="38.129870129870127"/>
    <s v="48oz"/>
    <n v="1"/>
    <n v="5872"/>
    <n v="50.029440000000001"/>
    <n v="38.129870129870127"/>
  </r>
  <r>
    <n v="68689251"/>
    <x v="15"/>
    <n v="3496"/>
    <d v="2023-04-21T00:00:00"/>
    <x v="17"/>
    <x v="17"/>
    <n v="9.5760000000000012E-3"/>
    <n v="33.477696000000002"/>
    <s v="KL"/>
    <x v="1"/>
    <x v="8"/>
    <s v="Q2"/>
    <n v="132"/>
    <n v="26.484848484848484"/>
    <s v="EDF"/>
    <n v="1"/>
    <n v="3496"/>
    <n v="33.477696000000002"/>
    <n v="26.484848484848484"/>
  </r>
  <r>
    <n v="68741714"/>
    <x v="15"/>
    <n v="7658"/>
    <d v="2023-04-21T00:00:00"/>
    <x v="24"/>
    <x v="24"/>
    <n v="2.8319999999999999E-3"/>
    <n v="21.687455999999997"/>
    <s v="GH"/>
    <x v="1"/>
    <x v="4"/>
    <s v="Q2"/>
    <n v="225"/>
    <n v="34.035555555555554"/>
    <s v="MBG"/>
    <n v="1"/>
    <n v="7658"/>
    <n v="21.687455999999997"/>
    <n v="34.035555555555554"/>
  </r>
  <r>
    <n v="68741742"/>
    <x v="15"/>
    <n v="6419"/>
    <d v="2023-04-21T00:00:00"/>
    <x v="25"/>
    <x v="4"/>
    <n v="4.2560000000000002E-3"/>
    <n v="27.319264"/>
    <s v="GH"/>
    <x v="1"/>
    <x v="4"/>
    <s v="Q2"/>
    <n v="154"/>
    <n v="41.68181818181818"/>
    <s v="MBG"/>
    <n v="1"/>
    <n v="6419"/>
    <n v="27.319264"/>
    <n v="41.68181818181818"/>
  </r>
  <r>
    <n v="67465063"/>
    <x v="15"/>
    <n v="425"/>
    <d v="2023-04-21T00:00:00"/>
    <x v="3"/>
    <x v="40"/>
    <n v="5.2680000000000001E-3"/>
    <n v="2.2389000000000001"/>
    <s v="PS"/>
    <x v="1"/>
    <x v="3"/>
    <s v="Q2"/>
    <n v="130"/>
    <n v="3.2692307692307692"/>
    <s v="PG"/>
    <n v="1"/>
    <n v="425"/>
    <n v="2.2389000000000001"/>
    <n v="3.2692307692307692"/>
  </r>
  <r>
    <n v="69565377"/>
    <x v="17"/>
    <n v="33939"/>
    <d v="2023-04-21T00:00:00"/>
    <x v="138"/>
    <x v="35"/>
    <n v="3.7839999999999996E-3"/>
    <n v="128.42517599999999"/>
    <s v="BJ"/>
    <x v="1"/>
    <x v="15"/>
    <s v="Q2"/>
    <n v="240"/>
    <n v="141.41249999999999"/>
    <s v="BJ PTS"/>
    <n v="1"/>
    <n v="33939"/>
    <n v="128.42517599999999"/>
    <n v="141.41249999999999"/>
  </r>
  <r>
    <n v="67901593"/>
    <x v="16"/>
    <n v="22878"/>
    <d v="2023-04-21T00:00:00"/>
    <x v="68"/>
    <x v="32"/>
    <n v="8.5199999999999998E-3"/>
    <n v="194.92055999999999"/>
    <s v="BR"/>
    <x v="1"/>
    <x v="2"/>
    <s v="Q2"/>
    <n v="154"/>
    <n v="148.55844155844156"/>
    <s v="48oz"/>
    <n v="1"/>
    <n v="22878"/>
    <n v="194.92055999999999"/>
    <n v="148.55844155844156"/>
  </r>
  <r>
    <n v="68593218"/>
    <x v="16"/>
    <n v="10484"/>
    <d v="2023-04-21T00:00:00"/>
    <x v="311"/>
    <x v="2"/>
    <n v="8.5199999999999998E-3"/>
    <n v="89.323679999999996"/>
    <s v="BR"/>
    <x v="1"/>
    <x v="2"/>
    <s v="Q2"/>
    <n v="154"/>
    <n v="68.077922077922082"/>
    <s v="48oz"/>
    <n v="1"/>
    <n v="10484"/>
    <n v="89.323679999999996"/>
    <n v="68.077922077922082"/>
  </r>
  <r>
    <n v="68689253"/>
    <x v="16"/>
    <n v="2943"/>
    <d v="2023-04-21T00:00:00"/>
    <x v="125"/>
    <x v="18"/>
    <n v="6.0035555555555554E-3"/>
    <n v="17.668464"/>
    <s v="KL"/>
    <x v="1"/>
    <x v="9"/>
    <s v="Q2"/>
    <n v="120"/>
    <n v="24.524999999999999"/>
    <s v="ESS"/>
    <n v="1"/>
    <n v="2943"/>
    <n v="17.668464"/>
    <n v="24.524999999999999"/>
  </r>
  <r>
    <n v="68729634"/>
    <x v="16"/>
    <n v="13182"/>
    <d v="2023-04-21T00:00:00"/>
    <x v="92"/>
    <x v="22"/>
    <n v="3.7853439999999999E-3"/>
    <n v="49.898404608"/>
    <s v="TA"/>
    <x v="1"/>
    <x v="10"/>
    <s v="Q2"/>
    <n v="255"/>
    <n v="51.694117647058825"/>
    <s v="TALENTI"/>
    <n v="1"/>
    <n v="13182"/>
    <n v="49.898404608"/>
    <n v="51.694117647058825"/>
  </r>
  <r>
    <n v="68730257"/>
    <x v="16"/>
    <n v="35437"/>
    <d v="2023-04-21T00:00:00"/>
    <x v="75"/>
    <x v="21"/>
    <n v="3.7853440000000004E-3"/>
    <n v="134.14123532800002"/>
    <s v="TA"/>
    <x v="1"/>
    <x v="10"/>
    <s v="Q2"/>
    <n v="255"/>
    <n v="138.96862745098039"/>
    <s v="TALENTI"/>
    <n v="1"/>
    <n v="35437"/>
    <n v="134.14123532800002"/>
    <n v="138.96862745098039"/>
  </r>
  <r>
    <n v="68741742"/>
    <x v="16"/>
    <n v="4687"/>
    <d v="2023-04-21T00:00:00"/>
    <x v="25"/>
    <x v="25"/>
    <n v="4.2560000000000002E-3"/>
    <n v="19.947872"/>
    <s v="GH"/>
    <x v="1"/>
    <x v="11"/>
    <s v="Q2"/>
    <n v="154"/>
    <n v="30.435064935064936"/>
    <s v="MBG"/>
    <n v="1"/>
    <n v="4687"/>
    <n v="19.947872"/>
    <n v="30.435064935064936"/>
  </r>
  <r>
    <n v="68852583"/>
    <x v="16"/>
    <n v="3680"/>
    <d v="2023-04-21T00:00:00"/>
    <x v="227"/>
    <x v="26"/>
    <n v="8.5199999999999998E-3"/>
    <n v="31.3536"/>
    <s v="KL"/>
    <x v="1"/>
    <x v="12"/>
    <s v="Q2"/>
    <n v="132"/>
    <n v="27.878787878787879"/>
    <s v="EDF"/>
    <n v="1"/>
    <n v="3680"/>
    <n v="31.3536"/>
    <n v="27.878787878787879"/>
  </r>
  <r>
    <n v="69549220"/>
    <x v="16"/>
    <n v="10931"/>
    <d v="2023-04-21T00:00:00"/>
    <x v="97"/>
    <x v="5"/>
    <n v="2.0400000000000001E-3"/>
    <n v="22.299240000000001"/>
    <s v="MG"/>
    <x v="1"/>
    <x v="5"/>
    <s v="Q2"/>
    <n v="189"/>
    <n v="57.835978835978835"/>
    <s v="MG Sticks"/>
    <n v="1"/>
    <n v="10931"/>
    <n v="22.299240000000001"/>
    <n v="57.835978835978835"/>
  </r>
  <r>
    <n v="69568828"/>
    <x v="16"/>
    <n v="7568"/>
    <d v="2023-04-21T00:00:00"/>
    <x v="12"/>
    <x v="13"/>
    <n v="8.5199999999999998E-3"/>
    <n v="64.47936"/>
    <s v="BR"/>
    <x v="1"/>
    <x v="2"/>
    <s v="Q2"/>
    <n v="176"/>
    <n v="43"/>
    <s v="48oz"/>
    <n v="1"/>
    <n v="7568"/>
    <n v="64.47936"/>
    <n v="43"/>
  </r>
  <r>
    <n v="69572544"/>
    <x v="16"/>
    <n v="6455"/>
    <d v="2023-04-21T00:00:00"/>
    <x v="171"/>
    <x v="14"/>
    <n v="1.9740000000000001E-3"/>
    <n v="12.74217"/>
    <s v="MG"/>
    <x v="1"/>
    <x v="5"/>
    <s v="Q2"/>
    <n v="176"/>
    <n v="36.676136363636367"/>
    <s v="MG Sticks"/>
    <n v="1"/>
    <n v="6455"/>
    <n v="12.74217"/>
    <n v="36.676136363636367"/>
  </r>
  <r>
    <n v="69621212"/>
    <x v="16"/>
    <n v="3782"/>
    <d v="2023-04-21T00:00:00"/>
    <x v="29"/>
    <x v="28"/>
    <n v="5.2680000000000001E-3"/>
    <n v="19.923576000000001"/>
    <s v="PG"/>
    <x v="1"/>
    <x v="14"/>
    <s v="Q2"/>
    <n v="130"/>
    <n v="29.092307692307692"/>
    <s v="PG"/>
    <n v="1"/>
    <n v="3782"/>
    <n v="19.923576000000001"/>
    <n v="29.092307692307692"/>
  </r>
  <r>
    <n v="69677917"/>
    <x v="16"/>
    <n v="2833"/>
    <d v="2023-04-21T00:00:00"/>
    <x v="30"/>
    <x v="30"/>
    <n v="5.2680000000000001E-3"/>
    <n v="14.924244"/>
    <s v="PS"/>
    <x v="1"/>
    <x v="14"/>
    <s v="Q2"/>
    <n v="108"/>
    <n v="26.231481481481481"/>
    <s v="PG"/>
    <n v="1"/>
    <n v="2833"/>
    <n v="14.924244"/>
    <n v="26.231481481481481"/>
  </r>
  <r>
    <n v="84135770"/>
    <x v="16"/>
    <n v="5074"/>
    <d v="2023-04-21T00:00:00"/>
    <x v="277"/>
    <x v="15"/>
    <n v="3.7853439999999999E-3"/>
    <n v="19.206835456"/>
    <s v="BJ"/>
    <x v="1"/>
    <x v="30"/>
    <s v="Q2"/>
    <n v="240"/>
    <n v="21.141666666666666"/>
    <s v="BJ PTS"/>
    <n v="1"/>
    <n v="5074"/>
    <n v="19.206835456"/>
    <n v="21.141666666666666"/>
  </r>
  <r>
    <n v="84135718"/>
    <x v="18"/>
    <n v="68160"/>
    <d v="2023-04-21T00:00:00"/>
    <x v="147"/>
    <x v="38"/>
    <n v="3.7853439999999999E-3"/>
    <n v="258.00904703999998"/>
    <s v="BJ"/>
    <x v="1"/>
    <x v="36"/>
    <s v="Q2"/>
    <n v="240"/>
    <n v="284"/>
    <s v="BJ PTS"/>
    <n v="1"/>
    <n v="68160"/>
    <n v="258.00904703999998"/>
    <n v="284"/>
  </r>
  <r>
    <n v="67885716"/>
    <x v="15"/>
    <n v="1035"/>
    <d v="2023-04-22T00:00:00"/>
    <x v="89"/>
    <x v="11"/>
    <n v="8.5199999999999998E-3"/>
    <n v="8.8181999999999992"/>
    <s v="BR"/>
    <x v="1"/>
    <x v="6"/>
    <s v="Q2"/>
    <n v="154"/>
    <n v="6.720779220779221"/>
    <s v="48oz"/>
    <n v="1"/>
    <n v="1035"/>
    <n v="8.8181999999999992"/>
    <n v="6.720779220779221"/>
  </r>
  <r>
    <n v="68729679"/>
    <x v="16"/>
    <n v="0"/>
    <d v="2023-04-22T00:00:00"/>
    <x v="127"/>
    <x v="21"/>
    <n v="3.7853440000000004E-3"/>
    <n v="0"/>
    <s v="TA"/>
    <x v="1"/>
    <x v="10"/>
    <s v="Q2"/>
    <n v="255"/>
    <n v="0"/>
    <s v="TALENTI"/>
    <n v="1"/>
    <n v="0"/>
    <n v="0"/>
    <n v="0"/>
  </r>
  <r>
    <n v="67309843"/>
    <x v="15"/>
    <n v="616"/>
    <d v="2023-04-22T00:00:00"/>
    <x v="88"/>
    <x v="11"/>
    <n v="8.5199999999999998E-3"/>
    <n v="5.2483199999999997"/>
    <s v="BR"/>
    <x v="1"/>
    <x v="6"/>
    <s v="Q2"/>
    <n v="154"/>
    <n v="4"/>
    <s v="48oz"/>
    <n v="1"/>
    <n v="616"/>
    <n v="5.2483199999999997"/>
    <n v="4"/>
  </r>
  <r>
    <n v="67465064"/>
    <x v="15"/>
    <n v="2340"/>
    <d v="2023-04-22T00:00:00"/>
    <x v="7"/>
    <x v="3"/>
    <n v="1.596E-3"/>
    <n v="3.7346399999999997"/>
    <s v="PS"/>
    <x v="1"/>
    <x v="3"/>
    <s v="Q2"/>
    <n v="130"/>
    <n v="18"/>
    <s v="PG"/>
    <n v="1"/>
    <n v="2340"/>
    <n v="3.7346399999999997"/>
    <n v="18"/>
  </r>
  <r>
    <n v="67466492"/>
    <x v="15"/>
    <n v="1636"/>
    <d v="2023-04-22T00:00:00"/>
    <x v="8"/>
    <x v="6"/>
    <n v="5.2680000000000001E-3"/>
    <n v="8.6184480000000008"/>
    <s v="PS"/>
    <x v="1"/>
    <x v="3"/>
    <s v="Q2"/>
    <n v="130"/>
    <n v="12.584615384615384"/>
    <s v="PG"/>
    <n v="1"/>
    <n v="1636"/>
    <n v="8.6184480000000008"/>
    <n v="12.584615384615384"/>
  </r>
  <r>
    <n v="67466492"/>
    <x v="15"/>
    <n v="3848"/>
    <d v="2023-04-22T00:00:00"/>
    <x v="8"/>
    <x v="8"/>
    <n v="5.2680000000000001E-3"/>
    <n v="20.271264000000002"/>
    <s v="PS"/>
    <x v="1"/>
    <x v="3"/>
    <s v="Q2"/>
    <n v="130"/>
    <n v="29.6"/>
    <s v="PG"/>
    <n v="1"/>
    <n v="3848"/>
    <n v="20.271264000000002"/>
    <n v="29.6"/>
  </r>
  <r>
    <n v="67885724"/>
    <x v="15"/>
    <n v="14139"/>
    <d v="2023-04-22T00:00:00"/>
    <x v="49"/>
    <x v="12"/>
    <n v="8.5199999999999998E-3"/>
    <n v="120.46428"/>
    <s v="BR"/>
    <x v="1"/>
    <x v="6"/>
    <s v="Q2"/>
    <n v="154"/>
    <n v="91.811688311688314"/>
    <s v="48oz"/>
    <n v="1"/>
    <n v="14139"/>
    <n v="120.46428"/>
    <n v="91.811688311688314"/>
  </r>
  <r>
    <n v="68689251"/>
    <x v="15"/>
    <n v="4278"/>
    <d v="2023-04-22T00:00:00"/>
    <x v="17"/>
    <x v="17"/>
    <n v="9.5760000000000012E-3"/>
    <n v="40.966128000000005"/>
    <s v="KL"/>
    <x v="1"/>
    <x v="8"/>
    <s v="Q2"/>
    <n v="132"/>
    <n v="32.409090909090907"/>
    <s v="EDF"/>
    <n v="1"/>
    <n v="4278"/>
    <n v="40.966128000000005"/>
    <n v="32.409090909090907"/>
  </r>
  <r>
    <n v="68741714"/>
    <x v="15"/>
    <n v="7650"/>
    <d v="2023-04-22T00:00:00"/>
    <x v="24"/>
    <x v="24"/>
    <n v="2.8319999999999999E-3"/>
    <n v="21.6648"/>
    <s v="GH"/>
    <x v="1"/>
    <x v="4"/>
    <s v="Q2"/>
    <n v="225"/>
    <n v="34"/>
    <s v="MBG"/>
    <n v="1"/>
    <n v="7650"/>
    <n v="21.6648"/>
    <n v="34"/>
  </r>
  <r>
    <n v="68741742"/>
    <x v="15"/>
    <n v="3368"/>
    <d v="2023-04-22T00:00:00"/>
    <x v="25"/>
    <x v="4"/>
    <n v="4.2560000000000002E-3"/>
    <n v="14.334208"/>
    <s v="GH"/>
    <x v="1"/>
    <x v="4"/>
    <s v="Q2"/>
    <n v="154"/>
    <n v="21.870129870129869"/>
    <s v="MBG"/>
    <n v="1"/>
    <n v="3368"/>
    <n v="14.334208"/>
    <n v="21.870129870129869"/>
  </r>
  <r>
    <n v="68850683"/>
    <x v="15"/>
    <n v="3510"/>
    <d v="2023-04-22T00:00:00"/>
    <x v="335"/>
    <x v="11"/>
    <n v="8.5199999999999998E-3"/>
    <n v="29.905200000000001"/>
    <s v="BR"/>
    <x v="1"/>
    <x v="6"/>
    <s v="Q2"/>
    <n v="176"/>
    <n v="19.943181818181817"/>
    <s v="48oz"/>
    <n v="1"/>
    <n v="3510"/>
    <n v="29.905200000000001"/>
    <n v="19.943181818181817"/>
  </r>
  <r>
    <n v="68921994"/>
    <x v="15"/>
    <n v="5190"/>
    <d v="2023-04-22T00:00:00"/>
    <x v="258"/>
    <x v="20"/>
    <n v="9.5879999999999993E-3"/>
    <n v="49.761719999999997"/>
    <s v="KL"/>
    <x v="1"/>
    <x v="8"/>
    <s v="Q2"/>
    <n v="132"/>
    <n v="39.31818181818182"/>
    <s v="EDF"/>
    <n v="1"/>
    <n v="5190"/>
    <n v="49.761719999999997"/>
    <n v="39.31818181818182"/>
  </r>
  <r>
    <n v="67885717"/>
    <x v="16"/>
    <n v="11307"/>
    <d v="2023-04-22T00:00:00"/>
    <x v="38"/>
    <x v="32"/>
    <n v="8.5199999999999998E-3"/>
    <n v="96.335639999999998"/>
    <s v="BR"/>
    <x v="1"/>
    <x v="2"/>
    <s v="Q2"/>
    <n v="154"/>
    <n v="73.422077922077918"/>
    <s v="48oz"/>
    <n v="1"/>
    <n v="11307"/>
    <n v="96.335639999999998"/>
    <n v="73.422077922077918"/>
  </r>
  <r>
    <n v="67885721"/>
    <x v="16"/>
    <n v="1760"/>
    <d v="2023-04-22T00:00:00"/>
    <x v="40"/>
    <x v="32"/>
    <n v="8.5199999999999998E-3"/>
    <n v="14.995200000000001"/>
    <s v="BR"/>
    <x v="1"/>
    <x v="2"/>
    <s v="Q2"/>
    <n v="154"/>
    <n v="11.428571428571429"/>
    <s v="48oz"/>
    <n v="1"/>
    <n v="1760"/>
    <n v="14.995200000000001"/>
    <n v="11.428571428571429"/>
  </r>
  <r>
    <n v="67901593"/>
    <x v="16"/>
    <n v="5527"/>
    <d v="2023-04-22T00:00:00"/>
    <x v="68"/>
    <x v="32"/>
    <n v="8.5199999999999998E-3"/>
    <n v="47.090040000000002"/>
    <s v="BR"/>
    <x v="1"/>
    <x v="2"/>
    <s v="Q2"/>
    <n v="154"/>
    <n v="35.88961038961039"/>
    <s v="48oz"/>
    <n v="1"/>
    <n v="5527"/>
    <n v="47.090040000000002"/>
    <n v="35.88961038961039"/>
  </r>
  <r>
    <n v="68728263"/>
    <x v="16"/>
    <n v="13286"/>
    <d v="2023-04-22T00:00:00"/>
    <x v="307"/>
    <x v="22"/>
    <n v="3.7853439999999999E-3"/>
    <n v="50.292080384000002"/>
    <s v="TA"/>
    <x v="1"/>
    <x v="10"/>
    <s v="Q2"/>
    <n v="255"/>
    <n v="52.101960784313725"/>
    <s v="TALENTI"/>
    <n v="1"/>
    <n v="13286"/>
    <n v="50.292080384000002"/>
    <n v="52.101960784313725"/>
  </r>
  <r>
    <n v="68730257"/>
    <x v="16"/>
    <n v="26018"/>
    <d v="2023-04-22T00:00:00"/>
    <x v="75"/>
    <x v="21"/>
    <n v="3.7853440000000004E-3"/>
    <n v="98.487080192000008"/>
    <s v="TA"/>
    <x v="1"/>
    <x v="10"/>
    <s v="Q2"/>
    <n v="255"/>
    <n v="102.03137254901961"/>
    <s v="TALENTI"/>
    <n v="1"/>
    <n v="26018"/>
    <n v="98.487080192000008"/>
    <n v="102.03137254901961"/>
  </r>
  <r>
    <n v="68741742"/>
    <x v="16"/>
    <n v="1906"/>
    <d v="2023-04-22T00:00:00"/>
    <x v="25"/>
    <x v="25"/>
    <n v="4.2560000000000002E-3"/>
    <n v="8.111936"/>
    <s v="GH"/>
    <x v="1"/>
    <x v="11"/>
    <s v="Q2"/>
    <n v="154"/>
    <n v="12.376623376623376"/>
    <s v="MBG"/>
    <n v="1"/>
    <n v="1906"/>
    <n v="8.111936"/>
    <n v="12.376623376623376"/>
  </r>
  <r>
    <n v="68852583"/>
    <x v="16"/>
    <n v="2953"/>
    <d v="2023-04-22T00:00:00"/>
    <x v="227"/>
    <x v="26"/>
    <n v="8.5199999999999998E-3"/>
    <n v="25.159559999999999"/>
    <s v="KL"/>
    <x v="1"/>
    <x v="12"/>
    <s v="Q2"/>
    <n v="132"/>
    <n v="22.371212121212121"/>
    <s v="EDF"/>
    <n v="1"/>
    <n v="2953"/>
    <n v="25.159559999999999"/>
    <n v="22.371212121212121"/>
  </r>
  <r>
    <n v="68896056"/>
    <x v="16"/>
    <n v="10489"/>
    <d v="2023-04-22T00:00:00"/>
    <x v="116"/>
    <x v="2"/>
    <n v="8.5199999999999998E-3"/>
    <n v="89.366280000000003"/>
    <s v="BR"/>
    <x v="1"/>
    <x v="2"/>
    <s v="Q2"/>
    <n v="176"/>
    <n v="59.596590909090907"/>
    <s v="48oz"/>
    <n v="1"/>
    <n v="10489"/>
    <n v="89.366280000000003"/>
    <n v="59.596590909090907"/>
  </r>
  <r>
    <n v="69549220"/>
    <x v="16"/>
    <n v="11339"/>
    <d v="2023-04-22T00:00:00"/>
    <x v="97"/>
    <x v="5"/>
    <n v="2.0400000000000001E-3"/>
    <n v="23.13156"/>
    <s v="MG"/>
    <x v="1"/>
    <x v="5"/>
    <s v="Q2"/>
    <n v="189"/>
    <n v="59.994708994708994"/>
    <s v="MG Sticks"/>
    <n v="1"/>
    <n v="11339"/>
    <n v="23.13156"/>
    <n v="59.994708994708994"/>
  </r>
  <r>
    <n v="69568829"/>
    <x v="16"/>
    <n v="16217"/>
    <d v="2023-04-22T00:00:00"/>
    <x v="66"/>
    <x v="13"/>
    <n v="8.5199999999999998E-3"/>
    <n v="138.16883999999999"/>
    <s v="BR"/>
    <x v="1"/>
    <x v="2"/>
    <s v="Q2"/>
    <n v="176"/>
    <n v="92.142045454545453"/>
    <s v="48oz"/>
    <n v="1"/>
    <n v="16217"/>
    <n v="138.16883999999999"/>
    <n v="92.142045454545453"/>
  </r>
  <r>
    <n v="69621212"/>
    <x v="16"/>
    <n v="6330"/>
    <d v="2023-04-22T00:00:00"/>
    <x v="29"/>
    <x v="28"/>
    <n v="5.2680000000000001E-3"/>
    <n v="33.346440000000001"/>
    <s v="PG"/>
    <x v="1"/>
    <x v="14"/>
    <s v="Q2"/>
    <n v="130"/>
    <n v="48.692307692307693"/>
    <s v="PG"/>
    <n v="1"/>
    <n v="6330"/>
    <n v="33.346440000000001"/>
    <n v="48.692307692307693"/>
  </r>
  <r>
    <n v="69677917"/>
    <x v="16"/>
    <n v="3311"/>
    <d v="2023-04-22T00:00:00"/>
    <x v="30"/>
    <x v="30"/>
    <n v="5.2680000000000001E-3"/>
    <n v="17.442347999999999"/>
    <s v="PS"/>
    <x v="1"/>
    <x v="14"/>
    <s v="Q2"/>
    <n v="108"/>
    <n v="30.657407407407408"/>
    <s v="PG"/>
    <n v="1"/>
    <n v="3311"/>
    <n v="17.442347999999999"/>
    <n v="30.657407407407408"/>
  </r>
  <r>
    <n v="67789313"/>
    <x v="17"/>
    <n v="36315"/>
    <d v="2023-04-22T00:00:00"/>
    <x v="169"/>
    <x v="35"/>
    <n v="3.7853439999999999E-3"/>
    <n v="137.46476736"/>
    <s v="BJ"/>
    <x v="1"/>
    <x v="15"/>
    <s v="Q2"/>
    <n v="240"/>
    <n v="151.3125"/>
    <s v="BJ PTS"/>
    <n v="1"/>
    <n v="36315"/>
    <n v="137.46476736"/>
    <n v="151.3125"/>
  </r>
  <r>
    <n v="67465064"/>
    <x v="15"/>
    <n v="2248"/>
    <d v="2023-04-23T00:00:00"/>
    <x v="7"/>
    <x v="3"/>
    <n v="1.596E-3"/>
    <n v="3.5878079999999999"/>
    <s v="PS"/>
    <x v="1"/>
    <x v="3"/>
    <s v="Q2"/>
    <n v="130"/>
    <n v="17.292307692307691"/>
    <s v="PG"/>
    <n v="1"/>
    <n v="2248"/>
    <n v="3.5878079999999999"/>
    <n v="17.292307692307691"/>
  </r>
  <r>
    <n v="68921994"/>
    <x v="15"/>
    <n v="1965"/>
    <d v="2023-04-23T00:00:00"/>
    <x v="258"/>
    <x v="20"/>
    <n v="9.5879999999999993E-3"/>
    <n v="18.840419999999998"/>
    <s v="KL"/>
    <x v="1"/>
    <x v="8"/>
    <s v="Q2"/>
    <n v="132"/>
    <n v="14.886363636363637"/>
    <s v="EDF"/>
    <n v="1"/>
    <n v="1965"/>
    <n v="18.840419999999998"/>
    <n v="14.886363636363637"/>
  </r>
  <r>
    <n v="67885717"/>
    <x v="16"/>
    <n v="0"/>
    <d v="2023-04-23T00:00:00"/>
    <x v="38"/>
    <x v="32"/>
    <n v="8.5199999999999998E-3"/>
    <n v="0"/>
    <s v="BR"/>
    <x v="1"/>
    <x v="2"/>
    <s v="Q2"/>
    <n v="154"/>
    <n v="0"/>
    <s v="48oz"/>
    <n v="1"/>
    <n v="0"/>
    <n v="0"/>
    <n v="0"/>
  </r>
  <r>
    <n v="68729649"/>
    <x v="16"/>
    <n v="0"/>
    <d v="2023-04-23T00:00:00"/>
    <x v="237"/>
    <x v="22"/>
    <n v="3.7853439999999999E-3"/>
    <n v="0"/>
    <s v="TA"/>
    <x v="1"/>
    <x v="10"/>
    <s v="Q2"/>
    <n v="255"/>
    <n v="0"/>
    <s v="TALENTI"/>
    <n v="1"/>
    <n v="0"/>
    <n v="0"/>
    <n v="0"/>
  </r>
  <r>
    <n v="67309843"/>
    <x v="15"/>
    <n v="13077"/>
    <d v="2023-04-23T00:00:00"/>
    <x v="88"/>
    <x v="11"/>
    <n v="8.5199999999999998E-3"/>
    <n v="111.41604"/>
    <s v="BR"/>
    <x v="1"/>
    <x v="6"/>
    <s v="Q2"/>
    <n v="154"/>
    <n v="84.915584415584419"/>
    <s v="48oz"/>
    <n v="1"/>
    <n v="13077"/>
    <n v="111.41604"/>
    <n v="84.915584415584419"/>
  </r>
  <r>
    <n v="67466492"/>
    <x v="15"/>
    <n v="2691"/>
    <d v="2023-04-23T00:00:00"/>
    <x v="8"/>
    <x v="6"/>
    <n v="5.2680000000000001E-3"/>
    <n v="14.176188"/>
    <s v="PS"/>
    <x v="1"/>
    <x v="3"/>
    <s v="Q2"/>
    <n v="130"/>
    <n v="20.7"/>
    <s v="PG"/>
    <n v="1"/>
    <n v="2691"/>
    <n v="14.176188"/>
    <n v="20.7"/>
  </r>
  <r>
    <n v="67466492"/>
    <x v="15"/>
    <n v="0"/>
    <d v="2023-04-23T00:00:00"/>
    <x v="8"/>
    <x v="8"/>
    <n v="5.2680000000000001E-3"/>
    <n v="0"/>
    <s v="PS"/>
    <x v="1"/>
    <x v="3"/>
    <s v="Q2"/>
    <n v="130"/>
    <n v="0"/>
    <s v="PG"/>
    <n v="1"/>
    <n v="0"/>
    <n v="0"/>
    <n v="0"/>
  </r>
  <r>
    <n v="67885724"/>
    <x v="15"/>
    <n v="9341"/>
    <d v="2023-04-23T00:00:00"/>
    <x v="49"/>
    <x v="12"/>
    <n v="8.5199999999999998E-3"/>
    <n v="79.585319999999996"/>
    <s v="BR"/>
    <x v="1"/>
    <x v="6"/>
    <s v="Q2"/>
    <n v="154"/>
    <n v="60.655844155844157"/>
    <s v="48oz"/>
    <n v="1"/>
    <n v="9341"/>
    <n v="79.585319999999996"/>
    <n v="60.655844155844157"/>
  </r>
  <r>
    <n v="68689251"/>
    <x v="15"/>
    <n v="6094"/>
    <d v="2023-04-23T00:00:00"/>
    <x v="17"/>
    <x v="17"/>
    <n v="9.5760000000000012E-3"/>
    <n v="58.356144000000008"/>
    <s v="KL"/>
    <x v="1"/>
    <x v="8"/>
    <s v="Q2"/>
    <n v="132"/>
    <n v="46.166666666666664"/>
    <s v="EDF"/>
    <n v="1"/>
    <n v="6094"/>
    <n v="58.356144000000008"/>
    <n v="46.166666666666664"/>
  </r>
  <r>
    <n v="68741714"/>
    <x v="15"/>
    <n v="2025"/>
    <d v="2023-04-23T00:00:00"/>
    <x v="24"/>
    <x v="24"/>
    <n v="2.8319999999999999E-3"/>
    <n v="5.7347999999999999"/>
    <s v="GH"/>
    <x v="1"/>
    <x v="4"/>
    <s v="Q2"/>
    <n v="225"/>
    <n v="9"/>
    <s v="MBG"/>
    <n v="1"/>
    <n v="2025"/>
    <n v="5.7347999999999999"/>
    <n v="9"/>
  </r>
  <r>
    <n v="68741742"/>
    <x v="15"/>
    <n v="6874"/>
    <d v="2023-04-23T00:00:00"/>
    <x v="25"/>
    <x v="4"/>
    <n v="4.2560000000000002E-3"/>
    <n v="29.255744"/>
    <s v="GH"/>
    <x v="1"/>
    <x v="4"/>
    <s v="Q2"/>
    <n v="154"/>
    <n v="44.636363636363633"/>
    <s v="MBG"/>
    <n v="1"/>
    <n v="6874"/>
    <n v="29.255744"/>
    <n v="44.636363636363633"/>
  </r>
  <r>
    <n v="68921994"/>
    <x v="15"/>
    <n v="3025"/>
    <d v="2023-04-23T00:00:00"/>
    <x v="258"/>
    <x v="20"/>
    <n v="9.5879999999999993E-3"/>
    <n v="29.003699999999998"/>
    <s v="KL"/>
    <x v="1"/>
    <x v="8"/>
    <s v="Q2"/>
    <n v="132"/>
    <n v="22.916666666666668"/>
    <s v="EDF"/>
    <n v="1"/>
    <n v="3025"/>
    <n v="29.003699999999998"/>
    <n v="22.916666666666668"/>
  </r>
  <r>
    <n v="67885721"/>
    <x v="16"/>
    <n v="26048"/>
    <d v="2023-04-23T00:00:00"/>
    <x v="40"/>
    <x v="32"/>
    <n v="8.5199999999999998E-3"/>
    <n v="221.92895999999999"/>
    <s v="BR"/>
    <x v="1"/>
    <x v="2"/>
    <s v="Q2"/>
    <n v="154"/>
    <n v="169.14285714285714"/>
    <s v="48oz"/>
    <n v="1"/>
    <n v="26048"/>
    <n v="221.92895999999999"/>
    <n v="169.14285714285714"/>
  </r>
  <r>
    <n v="68730257"/>
    <x v="16"/>
    <n v="0"/>
    <d v="2023-04-23T00:00:00"/>
    <x v="75"/>
    <x v="21"/>
    <n v="3.7853440000000004E-3"/>
    <n v="0"/>
    <s v="TA"/>
    <x v="1"/>
    <x v="10"/>
    <s v="Q2"/>
    <n v="255"/>
    <n v="0"/>
    <s v="TALENTI"/>
    <n v="1"/>
    <n v="0"/>
    <n v="0"/>
    <n v="0"/>
  </r>
  <r>
    <n v="68741742"/>
    <x v="16"/>
    <n v="3426"/>
    <d v="2023-04-23T00:00:00"/>
    <x v="25"/>
    <x v="25"/>
    <n v="4.2560000000000002E-3"/>
    <n v="14.581056"/>
    <s v="GH"/>
    <x v="1"/>
    <x v="11"/>
    <s v="Q2"/>
    <n v="154"/>
    <n v="22.246753246753247"/>
    <s v="MBG"/>
    <n v="1"/>
    <n v="3426"/>
    <n v="14.581056"/>
    <n v="22.246753246753247"/>
  </r>
  <r>
    <n v="68852583"/>
    <x v="16"/>
    <n v="4063"/>
    <d v="2023-04-23T00:00:00"/>
    <x v="227"/>
    <x v="26"/>
    <n v="8.5199999999999998E-3"/>
    <n v="34.616759999999999"/>
    <s v="KL"/>
    <x v="1"/>
    <x v="12"/>
    <s v="Q2"/>
    <n v="132"/>
    <n v="30.780303030303031"/>
    <s v="EDF"/>
    <n v="1"/>
    <n v="4063"/>
    <n v="34.616759999999999"/>
    <n v="30.780303030303031"/>
  </r>
  <r>
    <n v="68896056"/>
    <x v="16"/>
    <n v="13200"/>
    <d v="2023-04-23T00:00:00"/>
    <x v="116"/>
    <x v="2"/>
    <n v="8.5199999999999998E-3"/>
    <n v="112.464"/>
    <s v="BR"/>
    <x v="1"/>
    <x v="2"/>
    <s v="Q2"/>
    <n v="176"/>
    <n v="75"/>
    <s v="48oz"/>
    <n v="1"/>
    <n v="13200"/>
    <n v="112.464"/>
    <n v="75"/>
  </r>
  <r>
    <n v="69549220"/>
    <x v="16"/>
    <n v="12331"/>
    <d v="2023-04-23T00:00:00"/>
    <x v="97"/>
    <x v="5"/>
    <n v="2.0400000000000001E-3"/>
    <n v="25.155240000000003"/>
    <s v="MG"/>
    <x v="1"/>
    <x v="5"/>
    <s v="Q2"/>
    <n v="189"/>
    <n v="65.24338624338624"/>
    <s v="MG Sticks"/>
    <n v="1"/>
    <n v="12331"/>
    <n v="25.155240000000003"/>
    <n v="65.24338624338624"/>
  </r>
  <r>
    <n v="69568829"/>
    <x v="16"/>
    <n v="15058"/>
    <d v="2023-04-23T00:00:00"/>
    <x v="66"/>
    <x v="13"/>
    <n v="8.5199999999999998E-3"/>
    <n v="128.29416000000001"/>
    <s v="BR"/>
    <x v="1"/>
    <x v="2"/>
    <s v="Q2"/>
    <n v="176"/>
    <n v="85.556818181818187"/>
    <s v="48oz"/>
    <n v="1"/>
    <n v="15058"/>
    <n v="128.29416000000001"/>
    <n v="85.556818181818187"/>
  </r>
  <r>
    <n v="69621212"/>
    <x v="16"/>
    <n v="5615"/>
    <d v="2023-04-23T00:00:00"/>
    <x v="29"/>
    <x v="28"/>
    <n v="5.2680000000000001E-3"/>
    <n v="29.579820000000002"/>
    <s v="PG"/>
    <x v="1"/>
    <x v="14"/>
    <s v="Q2"/>
    <n v="130"/>
    <n v="43.192307692307693"/>
    <s v="PG"/>
    <n v="1"/>
    <n v="5615"/>
    <n v="29.579820000000002"/>
    <n v="43.192307692307693"/>
  </r>
  <r>
    <n v="69677917"/>
    <x v="16"/>
    <n v="2404"/>
    <d v="2023-04-23T00:00:00"/>
    <x v="30"/>
    <x v="30"/>
    <n v="5.2680000000000001E-3"/>
    <n v="12.664272"/>
    <s v="PS"/>
    <x v="1"/>
    <x v="14"/>
    <s v="Q2"/>
    <n v="108"/>
    <n v="22.25925925925926"/>
    <s v="PG"/>
    <n v="1"/>
    <n v="2404"/>
    <n v="12.664272"/>
    <n v="22.25925925925926"/>
  </r>
  <r>
    <n v="84135718"/>
    <x v="18"/>
    <n v="40529"/>
    <d v="2023-04-23T00:00:00"/>
    <x v="147"/>
    <x v="38"/>
    <n v="3.7853439999999999E-3"/>
    <n v="153.41620697599998"/>
    <s v="BJ"/>
    <x v="1"/>
    <x v="36"/>
    <s v="Q2"/>
    <n v="240"/>
    <n v="168.87083333333334"/>
    <s v="BJ PTS"/>
    <n v="1"/>
    <n v="40529"/>
    <n v="153.41620697599998"/>
    <n v="168.87083333333334"/>
  </r>
  <r>
    <n v="67465063"/>
    <x v="15"/>
    <n v="711"/>
    <d v="2023-04-24T00:00:00"/>
    <x v="3"/>
    <x v="40"/>
    <n v="5.2680000000000001E-3"/>
    <n v="3.7455479999999999"/>
    <s v="PS"/>
    <x v="1"/>
    <x v="3"/>
    <s v="Q2"/>
    <n v="130"/>
    <n v="5.4692307692307693"/>
    <s v="PG"/>
    <n v="1"/>
    <n v="711"/>
    <n v="3.7455479999999999"/>
    <n v="5.4692307692307693"/>
  </r>
  <r>
    <n v="67466492"/>
    <x v="15"/>
    <n v="910"/>
    <d v="2023-04-24T00:00:00"/>
    <x v="8"/>
    <x v="6"/>
    <n v="5.2680000000000001E-3"/>
    <n v="4.7938799999999997"/>
    <s v="PS"/>
    <x v="1"/>
    <x v="3"/>
    <s v="Q2"/>
    <n v="130"/>
    <n v="7"/>
    <s v="PG"/>
    <n v="1"/>
    <n v="910"/>
    <n v="4.7938799999999997"/>
    <n v="7"/>
  </r>
  <r>
    <n v="67885718"/>
    <x v="15"/>
    <n v="8729"/>
    <d v="2023-04-24T00:00:00"/>
    <x v="48"/>
    <x v="12"/>
    <n v="8.5199999999999998E-3"/>
    <n v="74.371079999999992"/>
    <s v="BR"/>
    <x v="1"/>
    <x v="6"/>
    <s v="Q2"/>
    <n v="154"/>
    <n v="56.68181818181818"/>
    <s v="48oz"/>
    <n v="1"/>
    <n v="8729"/>
    <n v="74.371079999999992"/>
    <n v="56.68181818181818"/>
  </r>
  <r>
    <n v="68921994"/>
    <x v="15"/>
    <n v="0"/>
    <d v="2023-04-24T00:00:00"/>
    <x v="258"/>
    <x v="20"/>
    <n v="9.5879999999999993E-3"/>
    <n v="0"/>
    <s v="KL"/>
    <x v="1"/>
    <x v="8"/>
    <s v="Q2"/>
    <n v="132"/>
    <n v="0"/>
    <s v="EDF"/>
    <n v="1"/>
    <n v="0"/>
    <n v="0"/>
    <n v="0"/>
  </r>
  <r>
    <n v="67885717"/>
    <x v="16"/>
    <n v="0"/>
    <d v="2023-04-24T00:00:00"/>
    <x v="38"/>
    <x v="32"/>
    <n v="8.5199999999999998E-3"/>
    <n v="0"/>
    <s v="BR"/>
    <x v="1"/>
    <x v="2"/>
    <s v="Q2"/>
    <n v="154"/>
    <n v="0"/>
    <s v="48oz"/>
    <n v="1"/>
    <n v="0"/>
    <n v="0"/>
    <n v="0"/>
  </r>
  <r>
    <n v="68728263"/>
    <x v="16"/>
    <n v="0"/>
    <d v="2023-04-24T00:00:00"/>
    <x v="307"/>
    <x v="22"/>
    <n v="3.7853439999999999E-3"/>
    <n v="0"/>
    <s v="TA"/>
    <x v="1"/>
    <x v="10"/>
    <s v="Q2"/>
    <n v="255"/>
    <n v="0"/>
    <s v="TALENTI"/>
    <n v="1"/>
    <n v="0"/>
    <n v="0"/>
    <n v="0"/>
  </r>
  <r>
    <n v="68729679"/>
    <x v="16"/>
    <n v="31493"/>
    <d v="2023-04-24T00:00:00"/>
    <x v="127"/>
    <x v="21"/>
    <n v="3.7853440000000004E-3"/>
    <n v="119.21183859200001"/>
    <s v="TA"/>
    <x v="1"/>
    <x v="10"/>
    <s v="Q2"/>
    <n v="255"/>
    <n v="123.50196078431372"/>
    <s v="TALENTI"/>
    <n v="1"/>
    <n v="31493"/>
    <n v="119.21183859200001"/>
    <n v="123.50196078431372"/>
  </r>
  <r>
    <n v="68821728"/>
    <x v="16"/>
    <n v="0"/>
    <d v="2023-04-24T00:00:00"/>
    <x v="35"/>
    <x v="2"/>
    <n v="8.5199999999999998E-3"/>
    <n v="0"/>
    <s v="BR"/>
    <x v="1"/>
    <x v="2"/>
    <s v="Q2"/>
    <n v="176"/>
    <n v="0"/>
    <s v="48oz"/>
    <n v="1"/>
    <n v="0"/>
    <n v="0"/>
    <n v="0"/>
  </r>
  <r>
    <n v="68821728"/>
    <x v="16"/>
    <n v="0"/>
    <d v="2023-04-24T00:00:00"/>
    <x v="35"/>
    <x v="13"/>
    <n v="8.5199999999999998E-3"/>
    <n v="0"/>
    <s v="BR"/>
    <x v="1"/>
    <x v="2"/>
    <s v="Q2"/>
    <n v="176"/>
    <n v="0"/>
    <s v="48oz"/>
    <n v="1"/>
    <n v="0"/>
    <n v="0"/>
    <n v="0"/>
  </r>
  <r>
    <n v="68852583"/>
    <x v="16"/>
    <n v="0"/>
    <d v="2023-04-24T00:00:00"/>
    <x v="227"/>
    <x v="26"/>
    <n v="8.5199999999999998E-3"/>
    <n v="0"/>
    <s v="KL"/>
    <x v="1"/>
    <x v="12"/>
    <s v="Q2"/>
    <n v="132"/>
    <n v="0"/>
    <s v="EDF"/>
    <n v="1"/>
    <n v="0"/>
    <n v="0"/>
    <n v="0"/>
  </r>
  <r>
    <n v="68896054"/>
    <x v="16"/>
    <n v="0"/>
    <d v="2023-04-24T00:00:00"/>
    <x v="181"/>
    <x v="2"/>
    <n v="8.5199999999999998E-3"/>
    <n v="0"/>
    <s v="BR"/>
    <x v="1"/>
    <x v="2"/>
    <s v="Q2"/>
    <n v="176"/>
    <n v="0"/>
    <s v="48oz"/>
    <n v="1"/>
    <n v="0"/>
    <n v="0"/>
    <n v="0"/>
  </r>
  <r>
    <n v="69568829"/>
    <x v="16"/>
    <n v="0"/>
    <d v="2023-04-24T00:00:00"/>
    <x v="66"/>
    <x v="13"/>
    <n v="8.5199999999999998E-3"/>
    <n v="0"/>
    <s v="BR"/>
    <x v="1"/>
    <x v="2"/>
    <s v="Q2"/>
    <n v="176"/>
    <n v="0"/>
    <s v="48oz"/>
    <n v="1"/>
    <n v="0"/>
    <n v="0"/>
    <n v="0"/>
  </r>
  <r>
    <n v="69568829"/>
    <x v="16"/>
    <n v="4055"/>
    <d v="2023-04-24T00:00:00"/>
    <x v="66"/>
    <x v="13"/>
    <n v="8.5199999999999998E-3"/>
    <n v="34.5486"/>
    <s v="BR"/>
    <x v="1"/>
    <x v="2"/>
    <s v="Q2"/>
    <n v="176"/>
    <n v="23.039772727272727"/>
    <s v="48oz"/>
    <n v="1"/>
    <n v="4055"/>
    <n v="34.5486"/>
    <n v="23.039772727272727"/>
  </r>
  <r>
    <n v="69572544"/>
    <x v="16"/>
    <n v="2166"/>
    <d v="2023-04-24T00:00:00"/>
    <x v="171"/>
    <x v="14"/>
    <n v="1.9740000000000001E-3"/>
    <n v="4.275684"/>
    <s v="MG"/>
    <x v="1"/>
    <x v="5"/>
    <s v="Q2"/>
    <n v="176"/>
    <n v="12.306818181818182"/>
    <s v="MG Sticks"/>
    <n v="1"/>
    <n v="2166"/>
    <n v="4.275684"/>
    <n v="12.306818181818182"/>
  </r>
  <r>
    <n v="69691840"/>
    <x v="16"/>
    <n v="0"/>
    <d v="2023-04-24T00:00:00"/>
    <x v="106"/>
    <x v="21"/>
    <n v="3.7839999999999996E-3"/>
    <n v="0"/>
    <s v="TA"/>
    <x v="1"/>
    <x v="10"/>
    <s v="Q2"/>
    <n v="255"/>
    <n v="0"/>
    <s v="TALENTI"/>
    <n v="1"/>
    <n v="0"/>
    <n v="0"/>
    <n v="0"/>
  </r>
  <r>
    <n v="84141101"/>
    <x v="17"/>
    <n v="37899"/>
    <d v="2023-04-24T00:00:00"/>
    <x v="86"/>
    <x v="33"/>
    <n v="3.7853439999999999E-3"/>
    <n v="143.46075225600001"/>
    <s v="BJ"/>
    <x v="1"/>
    <x v="15"/>
    <s v="Q2"/>
    <n v="240"/>
    <n v="157.91249999999999"/>
    <s v="BJ PTS"/>
    <n v="1"/>
    <n v="37899"/>
    <n v="143.46075225600001"/>
    <n v="157.91249999999999"/>
  </r>
  <r>
    <n v="67309843"/>
    <x v="15"/>
    <n v="10562"/>
    <d v="2023-04-24T00:00:00"/>
    <x v="88"/>
    <x v="11"/>
    <n v="8.5199999999999998E-3"/>
    <n v="89.988240000000005"/>
    <s v="BR"/>
    <x v="1"/>
    <x v="6"/>
    <s v="Q2"/>
    <n v="154"/>
    <n v="68.584415584415581"/>
    <s v="48oz"/>
    <n v="1"/>
    <n v="10562"/>
    <n v="89.988240000000005"/>
    <n v="68.584415584415581"/>
  </r>
  <r>
    <n v="67465063"/>
    <x v="15"/>
    <n v="5858"/>
    <d v="2023-04-24T00:00:00"/>
    <x v="3"/>
    <x v="7"/>
    <n v="5.2680000000000001E-3"/>
    <n v="30.859944000000002"/>
    <s v="PS"/>
    <x v="1"/>
    <x v="3"/>
    <s v="Q2"/>
    <n v="130"/>
    <n v="45.061538461538461"/>
    <s v="PG"/>
    <n v="1"/>
    <n v="5858"/>
    <n v="30.859944000000002"/>
    <n v="45.061538461538461"/>
  </r>
  <r>
    <n v="67465064"/>
    <x v="15"/>
    <n v="2188"/>
    <d v="2023-04-24T00:00:00"/>
    <x v="7"/>
    <x v="3"/>
    <n v="1.596E-3"/>
    <n v="3.492048"/>
    <s v="PS"/>
    <x v="1"/>
    <x v="3"/>
    <s v="Q2"/>
    <n v="130"/>
    <n v="16.830769230769231"/>
    <s v="PG"/>
    <n v="1"/>
    <n v="2188"/>
    <n v="3.492048"/>
    <n v="16.830769230769231"/>
  </r>
  <r>
    <n v="67466492"/>
    <x v="15"/>
    <n v="2395"/>
    <d v="2023-04-24T00:00:00"/>
    <x v="8"/>
    <x v="8"/>
    <n v="5.2680000000000001E-3"/>
    <n v="12.616860000000001"/>
    <s v="PS"/>
    <x v="1"/>
    <x v="3"/>
    <s v="Q2"/>
    <n v="130"/>
    <n v="18.423076923076923"/>
    <s v="PG"/>
    <n v="1"/>
    <n v="2395"/>
    <n v="12.616860000000001"/>
    <n v="18.423076923076923"/>
  </r>
  <r>
    <n v="67476560"/>
    <x v="15"/>
    <n v="3375"/>
    <d v="2023-04-24T00:00:00"/>
    <x v="10"/>
    <x v="10"/>
    <n v="5.1060000000000003E-3"/>
    <n v="17.232749999999999"/>
    <s v="PS"/>
    <x v="1"/>
    <x v="3"/>
    <s v="Q2"/>
    <n v="130"/>
    <n v="25.96153846153846"/>
    <s v="PG"/>
    <n v="1"/>
    <n v="3375"/>
    <n v="17.232749999999999"/>
    <n v="25.96153846153846"/>
  </r>
  <r>
    <n v="67885724"/>
    <x v="15"/>
    <n v="0"/>
    <d v="2023-04-24T00:00:00"/>
    <x v="49"/>
    <x v="12"/>
    <n v="8.5199999999999998E-3"/>
    <n v="0"/>
    <s v="BR"/>
    <x v="1"/>
    <x v="6"/>
    <s v="Q2"/>
    <n v="154"/>
    <n v="0"/>
    <s v="48oz"/>
    <n v="1"/>
    <n v="0"/>
    <n v="0"/>
    <n v="0"/>
  </r>
  <r>
    <n v="67901585"/>
    <x v="15"/>
    <n v="8308"/>
    <d v="2023-04-24T00:00:00"/>
    <x v="67"/>
    <x v="23"/>
    <n v="8.513999999999999E-3"/>
    <n v="70.734311999999989"/>
    <s v="BR"/>
    <x v="1"/>
    <x v="6"/>
    <s v="Q2"/>
    <n v="154"/>
    <n v="53.948051948051948"/>
    <s v="48oz"/>
    <n v="1"/>
    <n v="8308"/>
    <n v="70.734311999999989"/>
    <n v="53.948051948051948"/>
  </r>
  <r>
    <n v="68188183"/>
    <x v="15"/>
    <n v="444"/>
    <d v="2023-04-24T00:00:00"/>
    <x v="70"/>
    <x v="9"/>
    <n v="3.8340000000000002E-3"/>
    <n v="1.702296"/>
    <s v="PS"/>
    <x v="1"/>
    <x v="3"/>
    <s v="Q2"/>
    <n v="130"/>
    <n v="3.4153846153846152"/>
    <s v="PG"/>
    <n v="1"/>
    <n v="444"/>
    <n v="1.702296"/>
    <n v="3.4153846153846152"/>
  </r>
  <r>
    <n v="68300738"/>
    <x v="15"/>
    <n v="5801"/>
    <d v="2023-04-24T00:00:00"/>
    <x v="120"/>
    <x v="19"/>
    <n v="8.4960000000000001E-3"/>
    <n v="49.285296000000002"/>
    <s v="KL"/>
    <x v="1"/>
    <x v="8"/>
    <s v="Q2"/>
    <n v="132"/>
    <n v="43.946969696969695"/>
    <s v="EDF"/>
    <n v="1"/>
    <n v="5801"/>
    <n v="49.285296000000002"/>
    <n v="43.946969696969695"/>
  </r>
  <r>
    <n v="68689251"/>
    <x v="15"/>
    <n v="8102"/>
    <d v="2023-04-24T00:00:00"/>
    <x v="17"/>
    <x v="17"/>
    <n v="9.5760000000000012E-3"/>
    <n v="77.584752000000009"/>
    <s v="KL"/>
    <x v="1"/>
    <x v="8"/>
    <s v="Q2"/>
    <n v="132"/>
    <n v="61.378787878787875"/>
    <s v="EDF"/>
    <n v="1"/>
    <n v="8102"/>
    <n v="77.584752000000009"/>
    <n v="61.378787878787875"/>
  </r>
  <r>
    <n v="68741714"/>
    <x v="15"/>
    <n v="5362"/>
    <d v="2023-04-24T00:00:00"/>
    <x v="24"/>
    <x v="24"/>
    <n v="2.8319999999999999E-3"/>
    <n v="15.185184"/>
    <s v="GH"/>
    <x v="1"/>
    <x v="4"/>
    <s v="Q2"/>
    <n v="225"/>
    <n v="23.83111111111111"/>
    <s v="MBG"/>
    <n v="1"/>
    <n v="5362"/>
    <n v="15.185184"/>
    <n v="23.83111111111111"/>
  </r>
  <r>
    <n v="68741742"/>
    <x v="15"/>
    <n v="5399"/>
    <d v="2023-04-24T00:00:00"/>
    <x v="25"/>
    <x v="4"/>
    <n v="4.2560000000000002E-3"/>
    <n v="22.978144"/>
    <s v="GH"/>
    <x v="1"/>
    <x v="4"/>
    <s v="Q2"/>
    <n v="154"/>
    <n v="35.058441558441558"/>
    <s v="MBG"/>
    <n v="1"/>
    <n v="5399"/>
    <n v="22.978144"/>
    <n v="35.058441558441558"/>
  </r>
  <r>
    <n v="68899825"/>
    <x v="15"/>
    <n v="8311"/>
    <d v="2023-04-24T00:00:00"/>
    <x v="77"/>
    <x v="16"/>
    <n v="8.5199999999999998E-3"/>
    <n v="70.809719999999999"/>
    <s v="BR"/>
    <x v="1"/>
    <x v="6"/>
    <s v="Q2"/>
    <n v="176"/>
    <n v="47.221590909090907"/>
    <s v="48oz"/>
    <n v="1"/>
    <n v="8311"/>
    <n v="70.809719999999999"/>
    <n v="47.221590909090907"/>
  </r>
  <r>
    <n v="68921994"/>
    <x v="15"/>
    <n v="8236"/>
    <d v="2023-04-24T00:00:00"/>
    <x v="258"/>
    <x v="20"/>
    <n v="9.5879999999999993E-3"/>
    <n v="78.966767999999988"/>
    <s v="KL"/>
    <x v="1"/>
    <x v="8"/>
    <s v="Q2"/>
    <n v="132"/>
    <n v="62.393939393939391"/>
    <s v="EDF"/>
    <n v="1"/>
    <n v="8236"/>
    <n v="78.966767999999988"/>
    <n v="62.393939393939391"/>
  </r>
  <r>
    <n v="68649097"/>
    <x v="16"/>
    <n v="20875"/>
    <d v="2023-04-24T00:00:00"/>
    <x v="336"/>
    <x v="15"/>
    <n v="3.5999999999999999E-3"/>
    <n v="75.149999999999991"/>
    <s v="BJ"/>
    <x v="1"/>
    <x v="19"/>
    <s v="Q2"/>
    <n v="240"/>
    <n v="86.979166666666671"/>
    <s v="TOPPED"/>
    <n v="1"/>
    <n v="20875"/>
    <n v="75.149999999999991"/>
    <n v="86.979166666666671"/>
  </r>
  <r>
    <n v="68689253"/>
    <x v="16"/>
    <n v="2503"/>
    <d v="2023-04-24T00:00:00"/>
    <x v="125"/>
    <x v="18"/>
    <n v="6.0035555555555554E-3"/>
    <n v="15.026899555555556"/>
    <s v="KL"/>
    <x v="1"/>
    <x v="9"/>
    <s v="Q2"/>
    <n v="120"/>
    <n v="20.858333333333334"/>
    <s v="ESS"/>
    <n v="1"/>
    <n v="2503"/>
    <n v="15.026899555555556"/>
    <n v="20.858333333333334"/>
  </r>
  <r>
    <n v="68728263"/>
    <x v="16"/>
    <n v="11763"/>
    <d v="2023-04-24T00:00:00"/>
    <x v="307"/>
    <x v="22"/>
    <n v="3.7853439999999999E-3"/>
    <n v="44.527001472000002"/>
    <s v="TA"/>
    <x v="1"/>
    <x v="10"/>
    <s v="Q2"/>
    <n v="255"/>
    <n v="46.129411764705885"/>
    <s v="TALENTI"/>
    <n v="1"/>
    <n v="11763"/>
    <n v="44.527001472000002"/>
    <n v="46.129411764705885"/>
  </r>
  <r>
    <n v="68728263"/>
    <x v="16"/>
    <n v="530"/>
    <d v="2023-04-24T00:00:00"/>
    <x v="307"/>
    <x v="22"/>
    <n v="3.7853439999999999E-3"/>
    <n v="2.0062323200000001"/>
    <s v="TA"/>
    <x v="1"/>
    <x v="10"/>
    <s v="Q2"/>
    <n v="255"/>
    <n v="2.0784313725490198"/>
    <s v="TALENTI"/>
    <n v="1"/>
    <n v="530"/>
    <n v="2.0062323200000001"/>
    <n v="2.0784313725490198"/>
  </r>
  <r>
    <n v="68729649"/>
    <x v="16"/>
    <n v="6060"/>
    <d v="2023-04-24T00:00:00"/>
    <x v="237"/>
    <x v="22"/>
    <n v="3.7853439999999999E-3"/>
    <n v="22.939184640000001"/>
    <s v="TA"/>
    <x v="1"/>
    <x v="10"/>
    <s v="Q2"/>
    <n v="255"/>
    <n v="23.764705882352942"/>
    <s v="TALENTI"/>
    <n v="1"/>
    <n v="6060"/>
    <n v="22.939184640000001"/>
    <n v="23.764705882352942"/>
  </r>
  <r>
    <n v="68729679"/>
    <x v="16"/>
    <n v="26113"/>
    <d v="2023-04-24T00:00:00"/>
    <x v="127"/>
    <x v="21"/>
    <n v="3.7853440000000004E-3"/>
    <n v="98.846687872000004"/>
    <s v="TA"/>
    <x v="1"/>
    <x v="10"/>
    <s v="Q2"/>
    <n v="255"/>
    <n v="102.40392156862745"/>
    <s v="TALENTI"/>
    <n v="1"/>
    <n v="26113"/>
    <n v="98.846687872000004"/>
    <n v="102.40392156862745"/>
  </r>
  <r>
    <n v="68741742"/>
    <x v="16"/>
    <n v="4273"/>
    <d v="2023-04-24T00:00:00"/>
    <x v="25"/>
    <x v="25"/>
    <n v="4.2560000000000002E-3"/>
    <n v="18.185888000000002"/>
    <s v="GH"/>
    <x v="1"/>
    <x v="11"/>
    <s v="Q2"/>
    <n v="154"/>
    <n v="27.746753246753247"/>
    <s v="MBG"/>
    <n v="1"/>
    <n v="4273"/>
    <n v="18.185888000000002"/>
    <n v="27.746753246753247"/>
  </r>
  <r>
    <n v="68746232"/>
    <x v="16"/>
    <n v="566"/>
    <d v="2023-04-24T00:00:00"/>
    <x v="154"/>
    <x v="26"/>
    <n v="9.5879999999999993E-3"/>
    <n v="5.4268079999999994"/>
    <s v="KL"/>
    <x v="1"/>
    <x v="12"/>
    <s v="Q2"/>
    <n v="132"/>
    <n v="4.2878787878787881"/>
    <s v="EDF"/>
    <n v="1"/>
    <n v="566"/>
    <n v="5.4268079999999994"/>
    <n v="4.2878787878787881"/>
  </r>
  <r>
    <n v="68821728"/>
    <x v="16"/>
    <n v="9333"/>
    <d v="2023-04-24T00:00:00"/>
    <x v="35"/>
    <x v="13"/>
    <n v="8.5199999999999998E-3"/>
    <n v="79.517160000000004"/>
    <s v="BR"/>
    <x v="1"/>
    <x v="2"/>
    <s v="Q2"/>
    <n v="176"/>
    <n v="53.028409090909093"/>
    <s v="48oz"/>
    <n v="1"/>
    <n v="9333"/>
    <n v="79.517160000000004"/>
    <n v="53.028409090909093"/>
  </r>
  <r>
    <n v="68896056"/>
    <x v="16"/>
    <n v="8249"/>
    <d v="2023-04-24T00:00:00"/>
    <x v="116"/>
    <x v="2"/>
    <n v="8.5199999999999998E-3"/>
    <n v="70.281480000000002"/>
    <s v="BR"/>
    <x v="1"/>
    <x v="2"/>
    <s v="Q2"/>
    <n v="176"/>
    <n v="46.86931818181818"/>
    <s v="48oz"/>
    <n v="1"/>
    <n v="8249"/>
    <n v="70.281480000000002"/>
    <n v="46.86931818181818"/>
  </r>
  <r>
    <n v="68914406"/>
    <x v="16"/>
    <n v="8183"/>
    <d v="2023-04-24T00:00:00"/>
    <x v="78"/>
    <x v="27"/>
    <n v="2.124E-3"/>
    <n v="17.380692"/>
    <s v="KL"/>
    <x v="1"/>
    <x v="9"/>
    <s v="Q2"/>
    <n v="352"/>
    <n v="23.24715909090909"/>
    <s v="ESS"/>
    <n v="1"/>
    <n v="8183"/>
    <n v="17.380692"/>
    <n v="23.24715909090909"/>
  </r>
  <r>
    <n v="69549220"/>
    <x v="16"/>
    <n v="9332"/>
    <d v="2023-04-24T00:00:00"/>
    <x v="97"/>
    <x v="5"/>
    <n v="2.0400000000000001E-3"/>
    <n v="19.037280000000003"/>
    <s v="MG"/>
    <x v="1"/>
    <x v="5"/>
    <s v="Q2"/>
    <n v="189"/>
    <n v="49.375661375661373"/>
    <s v="MG Sticks"/>
    <n v="1"/>
    <n v="9332"/>
    <n v="19.037280000000003"/>
    <n v="49.375661375661373"/>
  </r>
  <r>
    <n v="69621212"/>
    <x v="16"/>
    <n v="4897"/>
    <d v="2023-04-24T00:00:00"/>
    <x v="29"/>
    <x v="28"/>
    <n v="5.2680000000000001E-3"/>
    <n v="25.797395999999999"/>
    <s v="PG"/>
    <x v="1"/>
    <x v="14"/>
    <s v="Q2"/>
    <n v="130"/>
    <n v="37.669230769230772"/>
    <s v="PG"/>
    <n v="1"/>
    <n v="4897"/>
    <n v="25.797395999999999"/>
    <n v="37.669230769230772"/>
  </r>
  <r>
    <n v="69677917"/>
    <x v="16"/>
    <n v="2796"/>
    <d v="2023-04-24T00:00:00"/>
    <x v="30"/>
    <x v="30"/>
    <n v="5.2680000000000001E-3"/>
    <n v="14.729328000000001"/>
    <s v="PS"/>
    <x v="1"/>
    <x v="14"/>
    <s v="Q2"/>
    <n v="108"/>
    <n v="25.888888888888889"/>
    <s v="PG"/>
    <n v="1"/>
    <n v="2796"/>
    <n v="14.729328000000001"/>
    <n v="25.888888888888889"/>
  </r>
  <r>
    <n v="69706147"/>
    <x v="16"/>
    <n v="4752"/>
    <d v="2023-04-24T00:00:00"/>
    <x v="195"/>
    <x v="31"/>
    <n v="3.8999999999999998E-3"/>
    <n v="18.532799999999998"/>
    <s v="TA"/>
    <x v="1"/>
    <x v="42"/>
    <s v="Q2"/>
    <n v="176"/>
    <n v="27"/>
    <s v="TAL NV"/>
    <n v="1"/>
    <n v="4752"/>
    <n v="18.532799999999998"/>
    <n v="27"/>
  </r>
  <r>
    <n v="67466462"/>
    <x v="15"/>
    <n v="1032"/>
    <d v="2023-04-25T00:00:00"/>
    <x v="29"/>
    <x v="6"/>
    <n v="5.2680000000000001E-3"/>
    <n v="5.4365760000000005"/>
    <s v="PS"/>
    <x v="1"/>
    <x v="3"/>
    <s v="Q2"/>
    <n v="130"/>
    <n v="7.9384615384615387"/>
    <s v="PG"/>
    <n v="1"/>
    <n v="1032"/>
    <n v="5.4365760000000005"/>
    <n v="7.9384615384615387"/>
  </r>
  <r>
    <n v="68689251"/>
    <x v="15"/>
    <n v="2849"/>
    <d v="2023-04-25T00:00:00"/>
    <x v="17"/>
    <x v="17"/>
    <n v="9.5760000000000012E-3"/>
    <n v="27.282024000000003"/>
    <s v="KL"/>
    <x v="1"/>
    <x v="8"/>
    <s v="Q2"/>
    <n v="132"/>
    <n v="21.583333333333332"/>
    <s v="EDF"/>
    <n v="1"/>
    <n v="2849"/>
    <n v="27.282024000000003"/>
    <n v="21.583333333333332"/>
  </r>
  <r>
    <n v="68917388"/>
    <x v="15"/>
    <n v="7645"/>
    <d v="2023-04-25T00:00:00"/>
    <x v="287"/>
    <x v="36"/>
    <n v="3.9119999999999997E-3"/>
    <n v="29.907239999999998"/>
    <s v="KL"/>
    <x v="1"/>
    <x v="28"/>
    <s v="Q2"/>
    <n v="322"/>
    <n v="23.742236024844722"/>
    <s v="EFW"/>
    <n v="1"/>
    <n v="7645"/>
    <n v="29.907239999999998"/>
    <n v="23.742236024844722"/>
  </r>
  <r>
    <n v="68921994"/>
    <x v="15"/>
    <n v="5995"/>
    <d v="2023-04-25T00:00:00"/>
    <x v="258"/>
    <x v="20"/>
    <n v="9.5879999999999993E-3"/>
    <n v="57.480059999999995"/>
    <s v="KL"/>
    <x v="1"/>
    <x v="8"/>
    <s v="Q2"/>
    <n v="132"/>
    <n v="45.416666666666664"/>
    <s v="EDF"/>
    <n v="1"/>
    <n v="5995"/>
    <n v="57.480059999999995"/>
    <n v="45.416666666666664"/>
  </r>
  <r>
    <n v="67885721"/>
    <x v="16"/>
    <n v="153"/>
    <d v="2023-04-25T00:00:00"/>
    <x v="40"/>
    <x v="32"/>
    <n v="8.5199999999999998E-3"/>
    <n v="1.3035600000000001"/>
    <s v="BR"/>
    <x v="1"/>
    <x v="2"/>
    <s v="Q2"/>
    <n v="154"/>
    <n v="0.99350649350649356"/>
    <s v="48oz"/>
    <n v="1"/>
    <n v="153"/>
    <n v="1.3035600000000001"/>
    <n v="0.99350649350649356"/>
  </r>
  <r>
    <n v="68309313"/>
    <x v="16"/>
    <n v="0"/>
    <d v="2023-04-25T00:00:00"/>
    <x v="121"/>
    <x v="32"/>
    <n v="8.5199999999999998E-3"/>
    <n v="0"/>
    <s v="BR"/>
    <x v="1"/>
    <x v="2"/>
    <s v="Q2"/>
    <n v="154"/>
    <n v="0"/>
    <s v="48oz"/>
    <n v="1"/>
    <n v="0"/>
    <n v="0"/>
    <n v="0"/>
  </r>
  <r>
    <n v="68649097"/>
    <x v="16"/>
    <n v="8824"/>
    <d v="2023-04-25T00:00:00"/>
    <x v="336"/>
    <x v="15"/>
    <n v="3.5999999999999999E-3"/>
    <n v="31.766400000000001"/>
    <s v="BJ"/>
    <x v="1"/>
    <x v="19"/>
    <s v="Q2"/>
    <n v="240"/>
    <n v="36.766666666666666"/>
    <s v="TOPPED"/>
    <n v="1"/>
    <n v="8824"/>
    <n v="31.766400000000001"/>
    <n v="36.766666666666666"/>
  </r>
  <r>
    <n v="68729679"/>
    <x v="16"/>
    <n v="0"/>
    <d v="2023-04-25T00:00:00"/>
    <x v="127"/>
    <x v="21"/>
    <n v="3.7853440000000004E-3"/>
    <n v="0"/>
    <s v="TA"/>
    <x v="1"/>
    <x v="10"/>
    <s v="Q2"/>
    <n v="255"/>
    <n v="0"/>
    <s v="TALENTI"/>
    <n v="1"/>
    <n v="0"/>
    <n v="0"/>
    <n v="0"/>
  </r>
  <r>
    <n v="68922045"/>
    <x v="16"/>
    <n v="0"/>
    <d v="2023-04-25T00:00:00"/>
    <x v="337"/>
    <x v="22"/>
    <n v="3.7839999999999996E-3"/>
    <n v="0"/>
    <s v="TA"/>
    <x v="1"/>
    <x v="10"/>
    <s v="Q2"/>
    <n v="255"/>
    <n v="0"/>
    <s v="TALENTI"/>
    <n v="1"/>
    <n v="0"/>
    <n v="0"/>
    <n v="0"/>
  </r>
  <r>
    <n v="69568829"/>
    <x v="16"/>
    <n v="0"/>
    <d v="2023-04-25T00:00:00"/>
    <x v="66"/>
    <x v="13"/>
    <n v="8.5199999999999998E-3"/>
    <n v="0"/>
    <s v="BR"/>
    <x v="1"/>
    <x v="2"/>
    <s v="Q2"/>
    <n v="176"/>
    <n v="0"/>
    <s v="48oz"/>
    <n v="1"/>
    <n v="0"/>
    <n v="0"/>
    <n v="0"/>
  </r>
  <r>
    <n v="69572544"/>
    <x v="16"/>
    <n v="0"/>
    <d v="2023-04-25T00:00:00"/>
    <x v="171"/>
    <x v="14"/>
    <n v="1.9740000000000001E-3"/>
    <n v="0"/>
    <s v="MG"/>
    <x v="1"/>
    <x v="5"/>
    <s v="Q2"/>
    <n v="176"/>
    <n v="0"/>
    <s v="MG Sticks"/>
    <n v="1"/>
    <n v="0"/>
    <n v="0"/>
    <n v="0"/>
  </r>
  <r>
    <n v="69586716"/>
    <x v="16"/>
    <n v="0"/>
    <d v="2023-04-25T00:00:00"/>
    <x v="6"/>
    <x v="5"/>
    <n v="2.0400000000000001E-3"/>
    <n v="0"/>
    <s v="MG"/>
    <x v="1"/>
    <x v="5"/>
    <s v="Q2"/>
    <n v="210"/>
    <n v="0"/>
    <s v="MG Sticks"/>
    <n v="1"/>
    <n v="0"/>
    <n v="0"/>
    <n v="0"/>
  </r>
  <r>
    <n v="68940228"/>
    <x v="17"/>
    <n v="6039"/>
    <d v="2023-04-25T00:00:00"/>
    <x v="105"/>
    <x v="33"/>
    <n v="3.7839999999999996E-3"/>
    <n v="22.851575999999998"/>
    <s v="BJ"/>
    <x v="1"/>
    <x v="15"/>
    <s v="Q2"/>
    <n v="240"/>
    <n v="25.162500000000001"/>
    <s v="BJ PTS"/>
    <n v="1"/>
    <n v="6039"/>
    <n v="22.851575999999998"/>
    <n v="25.162500000000001"/>
  </r>
  <r>
    <n v="67309843"/>
    <x v="15"/>
    <n v="12989"/>
    <d v="2023-04-25T00:00:00"/>
    <x v="88"/>
    <x v="11"/>
    <n v="8.5199999999999998E-3"/>
    <n v="110.66628"/>
    <s v="BR"/>
    <x v="1"/>
    <x v="6"/>
    <s v="Q2"/>
    <n v="154"/>
    <n v="84.34415584415585"/>
    <s v="48oz"/>
    <n v="1"/>
    <n v="12989"/>
    <n v="110.66628"/>
    <n v="84.34415584415585"/>
  </r>
  <r>
    <n v="67465063"/>
    <x v="15"/>
    <n v="4495"/>
    <d v="2023-04-25T00:00:00"/>
    <x v="3"/>
    <x v="7"/>
    <n v="5.2680000000000001E-3"/>
    <n v="23.679660000000002"/>
    <s v="PS"/>
    <x v="1"/>
    <x v="3"/>
    <s v="Q2"/>
    <n v="130"/>
    <n v="34.57692307692308"/>
    <s v="PG"/>
    <n v="1"/>
    <n v="4495"/>
    <n v="23.679660000000002"/>
    <n v="34.57692307692308"/>
  </r>
  <r>
    <n v="67465063"/>
    <x v="15"/>
    <n v="1462"/>
    <d v="2023-04-25T00:00:00"/>
    <x v="3"/>
    <x v="40"/>
    <n v="5.2680000000000001E-3"/>
    <n v="7.701816"/>
    <s v="PS"/>
    <x v="1"/>
    <x v="3"/>
    <s v="Q2"/>
    <n v="130"/>
    <n v="11.246153846153845"/>
    <s v="PG"/>
    <n v="1"/>
    <n v="1462"/>
    <n v="7.701816"/>
    <n v="11.246153846153845"/>
  </r>
  <r>
    <n v="67465064"/>
    <x v="15"/>
    <n v="864"/>
    <d v="2023-04-25T00:00:00"/>
    <x v="7"/>
    <x v="3"/>
    <n v="1.596E-3"/>
    <n v="1.3789439999999999"/>
    <s v="PS"/>
    <x v="1"/>
    <x v="3"/>
    <s v="Q2"/>
    <n v="130"/>
    <n v="6.6461538461538465"/>
    <s v="PG"/>
    <n v="1"/>
    <n v="864"/>
    <n v="1.3789439999999999"/>
    <n v="6.6461538461538465"/>
  </r>
  <r>
    <n v="67466462"/>
    <x v="15"/>
    <n v="2804"/>
    <d v="2023-04-25T00:00:00"/>
    <x v="29"/>
    <x v="6"/>
    <n v="5.2680000000000001E-3"/>
    <n v="14.771472000000001"/>
    <s v="PS"/>
    <x v="1"/>
    <x v="3"/>
    <s v="Q2"/>
    <n v="130"/>
    <n v="21.569230769230771"/>
    <s v="PG"/>
    <n v="1"/>
    <n v="2804"/>
    <n v="14.771472000000001"/>
    <n v="21.569230769230771"/>
  </r>
  <r>
    <n v="67466492"/>
    <x v="15"/>
    <n v="2595"/>
    <d v="2023-04-25T00:00:00"/>
    <x v="8"/>
    <x v="8"/>
    <n v="5.2680000000000001E-3"/>
    <n v="13.67046"/>
    <s v="PS"/>
    <x v="1"/>
    <x v="3"/>
    <s v="Q2"/>
    <n v="130"/>
    <n v="19.96153846153846"/>
    <s v="PG"/>
    <n v="1"/>
    <n v="2595"/>
    <n v="13.67046"/>
    <n v="19.96153846153846"/>
  </r>
  <r>
    <n v="67476560"/>
    <x v="15"/>
    <n v="3906"/>
    <d v="2023-04-25T00:00:00"/>
    <x v="10"/>
    <x v="10"/>
    <n v="5.1060000000000003E-3"/>
    <n v="19.944036000000001"/>
    <s v="PS"/>
    <x v="1"/>
    <x v="3"/>
    <s v="Q2"/>
    <n v="130"/>
    <n v="30.046153846153846"/>
    <s v="PG"/>
    <n v="1"/>
    <n v="3906"/>
    <n v="19.944036000000001"/>
    <n v="30.046153846153846"/>
  </r>
  <r>
    <n v="67885718"/>
    <x v="15"/>
    <n v="12924"/>
    <d v="2023-04-25T00:00:00"/>
    <x v="48"/>
    <x v="12"/>
    <n v="8.5199999999999998E-3"/>
    <n v="110.11247999999999"/>
    <s v="BR"/>
    <x v="1"/>
    <x v="6"/>
    <s v="Q2"/>
    <n v="154"/>
    <n v="83.922077922077918"/>
    <s v="48oz"/>
    <n v="1"/>
    <n v="12924"/>
    <n v="110.11247999999999"/>
    <n v="83.922077922077918"/>
  </r>
  <r>
    <n v="67901584"/>
    <x v="15"/>
    <n v="0"/>
    <d v="2023-04-25T00:00:00"/>
    <x v="51"/>
    <x v="11"/>
    <n v="8.5199999999999998E-3"/>
    <n v="0"/>
    <s v="BR"/>
    <x v="1"/>
    <x v="6"/>
    <s v="Q2"/>
    <n v="154"/>
    <n v="0"/>
    <s v="48oz"/>
    <n v="1"/>
    <n v="0"/>
    <n v="0"/>
    <n v="0"/>
  </r>
  <r>
    <n v="67901585"/>
    <x v="15"/>
    <n v="12776"/>
    <d v="2023-04-25T00:00:00"/>
    <x v="67"/>
    <x v="23"/>
    <n v="8.513999999999999E-3"/>
    <n v="108.77486399999999"/>
    <s v="BR"/>
    <x v="1"/>
    <x v="6"/>
    <s v="Q2"/>
    <n v="154"/>
    <n v="82.961038961038966"/>
    <s v="48oz"/>
    <n v="1"/>
    <n v="12776"/>
    <n v="108.77486399999999"/>
    <n v="82.961038961038966"/>
  </r>
  <r>
    <n v="68188183"/>
    <x v="15"/>
    <n v="1417"/>
    <d v="2023-04-25T00:00:00"/>
    <x v="70"/>
    <x v="9"/>
    <n v="3.8340000000000002E-3"/>
    <n v="5.4327779999999999"/>
    <s v="PS"/>
    <x v="1"/>
    <x v="3"/>
    <s v="Q2"/>
    <n v="130"/>
    <n v="10.9"/>
    <s v="PG"/>
    <n v="1"/>
    <n v="1417"/>
    <n v="5.4327779999999999"/>
    <n v="10.9"/>
  </r>
  <r>
    <n v="68300738"/>
    <x v="15"/>
    <n v="5241"/>
    <d v="2023-04-25T00:00:00"/>
    <x v="120"/>
    <x v="19"/>
    <n v="8.4960000000000001E-3"/>
    <n v="44.527535999999998"/>
    <s v="KL"/>
    <x v="1"/>
    <x v="8"/>
    <s v="Q2"/>
    <n v="132"/>
    <n v="39.704545454545453"/>
    <s v="EDF"/>
    <n v="1"/>
    <n v="5241"/>
    <n v="44.527535999999998"/>
    <n v="39.704545454545453"/>
  </r>
  <r>
    <n v="68741714"/>
    <x v="15"/>
    <n v="4779"/>
    <d v="2023-04-25T00:00:00"/>
    <x v="24"/>
    <x v="24"/>
    <n v="2.8319999999999999E-3"/>
    <n v="13.534127999999999"/>
    <s v="GH"/>
    <x v="1"/>
    <x v="4"/>
    <s v="Q2"/>
    <n v="225"/>
    <n v="21.24"/>
    <s v="MBG"/>
    <n v="1"/>
    <n v="4779"/>
    <n v="13.534127999999999"/>
    <n v="21.24"/>
  </r>
  <r>
    <n v="68741742"/>
    <x v="15"/>
    <n v="0"/>
    <d v="2023-04-25T00:00:00"/>
    <x v="25"/>
    <x v="4"/>
    <n v="4.2560000000000002E-3"/>
    <n v="0"/>
    <s v="GH"/>
    <x v="1"/>
    <x v="4"/>
    <s v="Q2"/>
    <n v="154"/>
    <n v="0"/>
    <s v="MBG"/>
    <n v="1"/>
    <n v="0"/>
    <n v="0"/>
    <n v="0"/>
  </r>
  <r>
    <n v="68899825"/>
    <x v="15"/>
    <n v="5673"/>
    <d v="2023-04-25T00:00:00"/>
    <x v="77"/>
    <x v="16"/>
    <n v="8.5199999999999998E-3"/>
    <n v="48.333959999999998"/>
    <s v="BR"/>
    <x v="1"/>
    <x v="6"/>
    <s v="Q2"/>
    <n v="176"/>
    <n v="32.232954545454547"/>
    <s v="48oz"/>
    <n v="1"/>
    <n v="5673"/>
    <n v="48.333959999999998"/>
    <n v="32.232954545454547"/>
  </r>
  <r>
    <n v="67885721"/>
    <x v="16"/>
    <n v="26752"/>
    <d v="2023-04-25T00:00:00"/>
    <x v="40"/>
    <x v="32"/>
    <n v="8.5199999999999998E-3"/>
    <n v="227.92704000000001"/>
    <s v="BR"/>
    <x v="1"/>
    <x v="2"/>
    <s v="Q2"/>
    <n v="154"/>
    <n v="173.71428571428572"/>
    <s v="48oz"/>
    <n v="1"/>
    <n v="26752"/>
    <n v="227.92704000000001"/>
    <n v="173.71428571428572"/>
  </r>
  <r>
    <n v="68354586"/>
    <x v="16"/>
    <n v="2160"/>
    <d v="2023-04-25T00:00:00"/>
    <x v="309"/>
    <x v="15"/>
    <n v="3.5999999999999999E-3"/>
    <n v="7.7759999999999998"/>
    <s v="BJ"/>
    <x v="1"/>
    <x v="19"/>
    <s v="Q2"/>
    <n v="240"/>
    <n v="9"/>
    <s v="TOPPED"/>
    <n v="1"/>
    <n v="2160"/>
    <n v="7.7759999999999998"/>
    <n v="9"/>
  </r>
  <r>
    <n v="68689253"/>
    <x v="16"/>
    <n v="3720"/>
    <d v="2023-04-25T00:00:00"/>
    <x v="125"/>
    <x v="18"/>
    <n v="6.0035555555555554E-3"/>
    <n v="22.333226666666665"/>
    <s v="KL"/>
    <x v="1"/>
    <x v="9"/>
    <s v="Q2"/>
    <n v="120"/>
    <n v="31"/>
    <s v="ESS"/>
    <n v="1"/>
    <n v="3720"/>
    <n v="22.333226666666665"/>
    <n v="31"/>
  </r>
  <r>
    <n v="68729649"/>
    <x v="16"/>
    <n v="10092"/>
    <d v="2023-04-25T00:00:00"/>
    <x v="237"/>
    <x v="22"/>
    <n v="3.7853439999999999E-3"/>
    <n v="38.201691648000001"/>
    <s v="TA"/>
    <x v="1"/>
    <x v="10"/>
    <s v="Q2"/>
    <n v="255"/>
    <n v="39.576470588235296"/>
    <s v="TALENTI"/>
    <n v="1"/>
    <n v="10092"/>
    <n v="38.201691648000001"/>
    <n v="39.576470588235296"/>
  </r>
  <r>
    <n v="68741742"/>
    <x v="16"/>
    <n v="4040"/>
    <d v="2023-04-25T00:00:00"/>
    <x v="25"/>
    <x v="25"/>
    <n v="4.2560000000000002E-3"/>
    <n v="17.194240000000001"/>
    <s v="GH"/>
    <x v="1"/>
    <x v="11"/>
    <s v="Q2"/>
    <n v="154"/>
    <n v="26.233766233766232"/>
    <s v="MBG"/>
    <n v="1"/>
    <n v="4040"/>
    <n v="17.194240000000001"/>
    <n v="26.233766233766232"/>
  </r>
  <r>
    <n v="68746232"/>
    <x v="16"/>
    <n v="4690"/>
    <d v="2023-04-25T00:00:00"/>
    <x v="154"/>
    <x v="26"/>
    <n v="9.5879999999999993E-3"/>
    <n v="44.96772"/>
    <s v="KL"/>
    <x v="1"/>
    <x v="12"/>
    <s v="Q2"/>
    <n v="132"/>
    <n v="35.530303030303031"/>
    <s v="EDF"/>
    <n v="1"/>
    <n v="4690"/>
    <n v="44.96772"/>
    <n v="35.530303030303031"/>
  </r>
  <r>
    <n v="68821728"/>
    <x v="16"/>
    <n v="13551"/>
    <d v="2023-04-25T00:00:00"/>
    <x v="35"/>
    <x v="13"/>
    <n v="8.5199999999999998E-3"/>
    <n v="115.45452"/>
    <s v="BR"/>
    <x v="1"/>
    <x v="2"/>
    <s v="Q2"/>
    <n v="176"/>
    <n v="76.994318181818187"/>
    <s v="48oz"/>
    <n v="1"/>
    <n v="13551"/>
    <n v="115.45452"/>
    <n v="76.994318181818187"/>
  </r>
  <r>
    <n v="68896054"/>
    <x v="16"/>
    <n v="10425"/>
    <d v="2023-04-25T00:00:00"/>
    <x v="181"/>
    <x v="2"/>
    <n v="8.5199999999999998E-3"/>
    <n v="88.820999999999998"/>
    <s v="BR"/>
    <x v="1"/>
    <x v="2"/>
    <s v="Q2"/>
    <n v="176"/>
    <n v="59.232954545454547"/>
    <s v="48oz"/>
    <n v="1"/>
    <n v="10425"/>
    <n v="88.820999999999998"/>
    <n v="59.232954545454547"/>
  </r>
  <r>
    <n v="68914406"/>
    <x v="16"/>
    <n v="9953"/>
    <d v="2023-04-25T00:00:00"/>
    <x v="78"/>
    <x v="27"/>
    <n v="2.124E-3"/>
    <n v="21.140172"/>
    <s v="KL"/>
    <x v="1"/>
    <x v="9"/>
    <s v="Q2"/>
    <n v="352"/>
    <n v="28.275568181818183"/>
    <s v="ESS"/>
    <n v="1"/>
    <n v="9953"/>
    <n v="21.140172"/>
    <n v="28.275568181818183"/>
  </r>
  <r>
    <n v="69549220"/>
    <x v="16"/>
    <n v="5633"/>
    <d v="2023-04-25T00:00:00"/>
    <x v="97"/>
    <x v="5"/>
    <n v="2.0400000000000001E-3"/>
    <n v="11.49132"/>
    <s v="MG"/>
    <x v="1"/>
    <x v="5"/>
    <s v="Q2"/>
    <n v="189"/>
    <n v="29.804232804232804"/>
    <s v="MG Sticks"/>
    <n v="1"/>
    <n v="5633"/>
    <n v="11.49132"/>
    <n v="29.804232804232804"/>
  </r>
  <r>
    <n v="69568962"/>
    <x v="16"/>
    <n v="17304"/>
    <d v="2023-04-25T00:00:00"/>
    <x v="121"/>
    <x v="32"/>
    <n v="8.5199999999999998E-3"/>
    <n v="147.43008"/>
    <s v="BR"/>
    <x v="1"/>
    <x v="2"/>
    <s v="Q2"/>
    <n v="176"/>
    <n v="98.318181818181813"/>
    <s v="48oz"/>
    <n v="1"/>
    <n v="17304"/>
    <n v="147.43008"/>
    <n v="98.318181818181813"/>
  </r>
  <r>
    <n v="69621212"/>
    <x v="16"/>
    <n v="2160"/>
    <d v="2023-04-25T00:00:00"/>
    <x v="29"/>
    <x v="28"/>
    <n v="5.2680000000000001E-3"/>
    <n v="11.378880000000001"/>
    <s v="PG"/>
    <x v="1"/>
    <x v="14"/>
    <s v="Q2"/>
    <n v="130"/>
    <n v="16.615384615384617"/>
    <s v="PG"/>
    <n v="1"/>
    <n v="2160"/>
    <n v="11.378880000000001"/>
    <n v="16.615384615384617"/>
  </r>
  <r>
    <n v="69677917"/>
    <x v="16"/>
    <n v="4678"/>
    <d v="2023-04-25T00:00:00"/>
    <x v="30"/>
    <x v="30"/>
    <n v="5.2680000000000001E-3"/>
    <n v="24.643704"/>
    <s v="PS"/>
    <x v="1"/>
    <x v="14"/>
    <s v="Q2"/>
    <n v="108"/>
    <n v="43.314814814814817"/>
    <s v="PG"/>
    <n v="1"/>
    <n v="4678"/>
    <n v="24.643704"/>
    <n v="43.314814814814817"/>
  </r>
  <r>
    <n v="69691840"/>
    <x v="16"/>
    <n v="19361"/>
    <d v="2023-04-25T00:00:00"/>
    <x v="106"/>
    <x v="21"/>
    <n v="3.7839999999999996E-3"/>
    <n v="73.262023999999997"/>
    <s v="TA"/>
    <x v="1"/>
    <x v="10"/>
    <s v="Q2"/>
    <n v="255"/>
    <n v="75.925490196078428"/>
    <s v="TALENTI"/>
    <n v="1"/>
    <n v="19361"/>
    <n v="73.262023999999997"/>
    <n v="75.925490196078428"/>
  </r>
  <r>
    <n v="69706147"/>
    <x v="16"/>
    <n v="9136"/>
    <d v="2023-04-25T00:00:00"/>
    <x v="195"/>
    <x v="31"/>
    <n v="3.8999999999999998E-3"/>
    <n v="35.630400000000002"/>
    <s v="TA"/>
    <x v="1"/>
    <x v="42"/>
    <s v="Q2"/>
    <n v="176"/>
    <n v="51.909090909090907"/>
    <s v="TAL NV"/>
    <n v="1"/>
    <n v="9136"/>
    <n v="35.630400000000002"/>
    <n v="51.909090909090907"/>
  </r>
  <r>
    <n v="67465063"/>
    <x v="15"/>
    <n v="1474"/>
    <d v="2023-04-26T00:00:00"/>
    <x v="3"/>
    <x v="40"/>
    <n v="5.2680000000000001E-3"/>
    <n v="7.7650320000000006"/>
    <s v="PS"/>
    <x v="1"/>
    <x v="3"/>
    <s v="Q2"/>
    <n v="130"/>
    <n v="11.338461538461539"/>
    <s v="PG"/>
    <n v="1"/>
    <n v="1474"/>
    <n v="7.7650320000000006"/>
    <n v="11.338461538461539"/>
  </r>
  <r>
    <n v="67465064"/>
    <x v="15"/>
    <n v="1430"/>
    <d v="2023-04-26T00:00:00"/>
    <x v="7"/>
    <x v="3"/>
    <n v="1.596E-3"/>
    <n v="2.2822800000000001"/>
    <s v="PS"/>
    <x v="1"/>
    <x v="3"/>
    <s v="Q2"/>
    <n v="130"/>
    <n v="11"/>
    <s v="PG"/>
    <n v="1"/>
    <n v="1430"/>
    <n v="2.2822800000000001"/>
    <n v="11"/>
  </r>
  <r>
    <n v="67466462"/>
    <x v="15"/>
    <n v="3139"/>
    <d v="2023-04-26T00:00:00"/>
    <x v="29"/>
    <x v="6"/>
    <n v="5.2680000000000001E-3"/>
    <n v="16.536252000000001"/>
    <s v="PS"/>
    <x v="1"/>
    <x v="3"/>
    <s v="Q2"/>
    <n v="130"/>
    <n v="24.146153846153847"/>
    <s v="PG"/>
    <n v="1"/>
    <n v="3139"/>
    <n v="16.536252000000001"/>
    <n v="24.146153846153847"/>
  </r>
  <r>
    <n v="67476560"/>
    <x v="15"/>
    <n v="2358"/>
    <d v="2023-04-26T00:00:00"/>
    <x v="10"/>
    <x v="10"/>
    <n v="5.1060000000000003E-3"/>
    <n v="12.039948000000001"/>
    <s v="PS"/>
    <x v="1"/>
    <x v="3"/>
    <s v="Q2"/>
    <n v="130"/>
    <n v="18.138461538461538"/>
    <s v="PG"/>
    <n v="1"/>
    <n v="2358"/>
    <n v="12.039948000000001"/>
    <n v="18.138461538461538"/>
  </r>
  <r>
    <n v="67885718"/>
    <x v="15"/>
    <n v="9058"/>
    <d v="2023-04-26T00:00:00"/>
    <x v="48"/>
    <x v="12"/>
    <n v="8.5199999999999998E-3"/>
    <n v="77.174160000000001"/>
    <s v="BR"/>
    <x v="1"/>
    <x v="6"/>
    <s v="Q2"/>
    <n v="154"/>
    <n v="58.81818181818182"/>
    <s v="48oz"/>
    <n v="1"/>
    <n v="9058"/>
    <n v="77.174160000000001"/>
    <n v="58.81818181818182"/>
  </r>
  <r>
    <n v="68689251"/>
    <x v="15"/>
    <n v="6202"/>
    <d v="2023-04-26T00:00:00"/>
    <x v="17"/>
    <x v="17"/>
    <n v="9.5760000000000012E-3"/>
    <n v="59.390352000000007"/>
    <s v="KL"/>
    <x v="1"/>
    <x v="8"/>
    <s v="Q2"/>
    <n v="132"/>
    <n v="46.984848484848484"/>
    <s v="EDF"/>
    <n v="1"/>
    <n v="6202"/>
    <n v="59.390352000000007"/>
    <n v="46.984848484848484"/>
  </r>
  <r>
    <n v="68741742"/>
    <x v="15"/>
    <n v="6299"/>
    <d v="2023-04-26T00:00:00"/>
    <x v="25"/>
    <x v="4"/>
    <n v="4.2560000000000002E-3"/>
    <n v="26.808544000000001"/>
    <s v="GH"/>
    <x v="1"/>
    <x v="4"/>
    <s v="Q2"/>
    <n v="154"/>
    <n v="40.902597402597401"/>
    <s v="MBG"/>
    <n v="1"/>
    <n v="6299"/>
    <n v="26.808544000000001"/>
    <n v="40.902597402597401"/>
  </r>
  <r>
    <n v="68917388"/>
    <x v="15"/>
    <n v="11145"/>
    <d v="2023-04-26T00:00:00"/>
    <x v="287"/>
    <x v="36"/>
    <n v="3.9119999999999997E-3"/>
    <n v="43.599239999999995"/>
    <s v="KL"/>
    <x v="1"/>
    <x v="28"/>
    <s v="Q2"/>
    <n v="322"/>
    <n v="34.611801242236027"/>
    <s v="EFW"/>
    <n v="1"/>
    <n v="11145"/>
    <n v="43.599239999999995"/>
    <n v="34.611801242236027"/>
  </r>
  <r>
    <n v="68921994"/>
    <x v="15"/>
    <n v="636"/>
    <d v="2023-04-26T00:00:00"/>
    <x v="258"/>
    <x v="20"/>
    <n v="9.5879999999999993E-3"/>
    <n v="6.0979679999999998"/>
    <s v="KL"/>
    <x v="1"/>
    <x v="8"/>
    <s v="Q2"/>
    <n v="132"/>
    <n v="4.8181818181818183"/>
    <s v="EDF"/>
    <n v="1"/>
    <n v="636"/>
    <n v="6.0979679999999998"/>
    <n v="4.8181818181818183"/>
  </r>
  <r>
    <n v="68921994"/>
    <x v="15"/>
    <n v="3937"/>
    <d v="2023-04-26T00:00:00"/>
    <x v="258"/>
    <x v="20"/>
    <n v="9.5879999999999993E-3"/>
    <n v="37.747955999999995"/>
    <s v="KL"/>
    <x v="1"/>
    <x v="8"/>
    <s v="Q2"/>
    <n v="132"/>
    <n v="29.825757575757574"/>
    <s v="EDF"/>
    <n v="1"/>
    <n v="3937"/>
    <n v="37.747955999999995"/>
    <n v="29.825757575757574"/>
  </r>
  <r>
    <n v="67885719"/>
    <x v="16"/>
    <n v="0"/>
    <d v="2023-04-26T00:00:00"/>
    <x v="11"/>
    <x v="32"/>
    <n v="8.5199999999999998E-3"/>
    <n v="0"/>
    <s v="BR"/>
    <x v="1"/>
    <x v="2"/>
    <s v="Q2"/>
    <n v="154"/>
    <n v="0"/>
    <s v="48oz"/>
    <n v="1"/>
    <n v="0"/>
    <n v="0"/>
    <n v="0"/>
  </r>
  <r>
    <n v="68354586"/>
    <x v="16"/>
    <n v="0"/>
    <d v="2023-04-26T00:00:00"/>
    <x v="309"/>
    <x v="15"/>
    <n v="3.5999999999999999E-3"/>
    <n v="0"/>
    <s v="BJ"/>
    <x v="1"/>
    <x v="19"/>
    <s v="Q2"/>
    <n v="240"/>
    <n v="0"/>
    <s v="TOPPED"/>
    <n v="1"/>
    <n v="0"/>
    <n v="0"/>
    <n v="0"/>
  </r>
  <r>
    <n v="68729649"/>
    <x v="16"/>
    <n v="4431"/>
    <d v="2023-04-26T00:00:00"/>
    <x v="237"/>
    <x v="22"/>
    <n v="3.7853439999999999E-3"/>
    <n v="16.772859264000001"/>
    <s v="TA"/>
    <x v="1"/>
    <x v="10"/>
    <s v="Q2"/>
    <n v="255"/>
    <n v="17.376470588235293"/>
    <s v="TALENTI"/>
    <n v="1"/>
    <n v="4431"/>
    <n v="16.772859264000001"/>
    <n v="17.376470588235293"/>
  </r>
  <r>
    <n v="68729679"/>
    <x v="16"/>
    <n v="0"/>
    <d v="2023-04-26T00:00:00"/>
    <x v="127"/>
    <x v="21"/>
    <n v="3.7853440000000004E-3"/>
    <n v="0"/>
    <s v="TA"/>
    <x v="1"/>
    <x v="10"/>
    <s v="Q2"/>
    <n v="255"/>
    <n v="0"/>
    <s v="TALENTI"/>
    <n v="1"/>
    <n v="0"/>
    <n v="0"/>
    <n v="0"/>
  </r>
  <r>
    <n v="68922108"/>
    <x v="16"/>
    <n v="0"/>
    <d v="2023-04-26T00:00:00"/>
    <x v="184"/>
    <x v="21"/>
    <n v="3.7839999999999996E-3"/>
    <n v="0"/>
    <s v="TA"/>
    <x v="1"/>
    <x v="10"/>
    <s v="Q2"/>
    <n v="255"/>
    <n v="0"/>
    <s v="TALENTI"/>
    <n v="1"/>
    <n v="0"/>
    <n v="0"/>
    <n v="0"/>
  </r>
  <r>
    <n v="69572544"/>
    <x v="16"/>
    <n v="0"/>
    <d v="2023-04-26T00:00:00"/>
    <x v="171"/>
    <x v="14"/>
    <n v="1.9740000000000001E-3"/>
    <n v="0"/>
    <s v="MG"/>
    <x v="1"/>
    <x v="5"/>
    <s v="Q2"/>
    <n v="176"/>
    <n v="0"/>
    <s v="MG Sticks"/>
    <n v="1"/>
    <n v="0"/>
    <n v="0"/>
    <n v="0"/>
  </r>
  <r>
    <n v="69586716"/>
    <x v="16"/>
    <n v="0"/>
    <d v="2023-04-26T00:00:00"/>
    <x v="6"/>
    <x v="5"/>
    <n v="2.0400000000000001E-3"/>
    <n v="0"/>
    <s v="MG"/>
    <x v="1"/>
    <x v="5"/>
    <s v="Q2"/>
    <n v="210"/>
    <n v="0"/>
    <s v="MG Sticks"/>
    <n v="1"/>
    <n v="0"/>
    <n v="0"/>
    <n v="0"/>
  </r>
  <r>
    <n v="84141103"/>
    <x v="18"/>
    <n v="55920"/>
    <d v="2023-04-26T00:00:00"/>
    <x v="294"/>
    <x v="38"/>
    <n v="3.7853439999999999E-3"/>
    <n v="211.67643648000001"/>
    <s v="BJ"/>
    <x v="1"/>
    <x v="36"/>
    <s v="Q2"/>
    <n v="240"/>
    <n v="233"/>
    <s v="BJ PTS"/>
    <n v="1"/>
    <n v="55920"/>
    <n v="211.67643648000001"/>
    <n v="233"/>
  </r>
  <r>
    <n v="67309843"/>
    <x v="15"/>
    <n v="9523"/>
    <d v="2023-04-26T00:00:00"/>
    <x v="88"/>
    <x v="11"/>
    <n v="8.5199999999999998E-3"/>
    <n v="81.135959999999997"/>
    <s v="BR"/>
    <x v="1"/>
    <x v="6"/>
    <s v="Q2"/>
    <n v="154"/>
    <n v="61.837662337662337"/>
    <s v="48oz"/>
    <n v="1"/>
    <n v="9523"/>
    <n v="81.135959999999997"/>
    <n v="61.837662337662337"/>
  </r>
  <r>
    <n v="67465063"/>
    <x v="15"/>
    <n v="3604"/>
    <d v="2023-04-26T00:00:00"/>
    <x v="3"/>
    <x v="7"/>
    <n v="5.2680000000000001E-3"/>
    <n v="18.985872000000001"/>
    <s v="PS"/>
    <x v="1"/>
    <x v="3"/>
    <s v="Q2"/>
    <n v="130"/>
    <n v="27.723076923076924"/>
    <s v="PG"/>
    <n v="1"/>
    <n v="3604"/>
    <n v="18.985872000000001"/>
    <n v="27.723076923076924"/>
  </r>
  <r>
    <n v="67466492"/>
    <x v="15"/>
    <n v="2258"/>
    <d v="2023-04-26T00:00:00"/>
    <x v="8"/>
    <x v="8"/>
    <n v="5.2680000000000001E-3"/>
    <n v="11.895144"/>
    <s v="PS"/>
    <x v="1"/>
    <x v="3"/>
    <s v="Q2"/>
    <n v="130"/>
    <n v="17.369230769230768"/>
    <s v="PG"/>
    <n v="1"/>
    <n v="2258"/>
    <n v="11.895144"/>
    <n v="17.369230769230768"/>
  </r>
  <r>
    <n v="67901583"/>
    <x v="15"/>
    <n v="0"/>
    <d v="2023-04-26T00:00:00"/>
    <x v="50"/>
    <x v="11"/>
    <n v="8.5199999999999998E-3"/>
    <n v="0"/>
    <s v="BR"/>
    <x v="1"/>
    <x v="6"/>
    <s v="Q2"/>
    <n v="154"/>
    <n v="0"/>
    <s v="48oz"/>
    <n v="1"/>
    <n v="0"/>
    <n v="0"/>
    <n v="0"/>
  </r>
  <r>
    <n v="67901585"/>
    <x v="15"/>
    <n v="5164"/>
    <d v="2023-04-26T00:00:00"/>
    <x v="67"/>
    <x v="23"/>
    <n v="8.513999999999999E-3"/>
    <n v="43.966295999999993"/>
    <s v="BR"/>
    <x v="1"/>
    <x v="6"/>
    <s v="Q2"/>
    <n v="154"/>
    <n v="33.532467532467535"/>
    <s v="48oz"/>
    <n v="1"/>
    <n v="5164"/>
    <n v="43.966295999999993"/>
    <n v="33.532467532467535"/>
  </r>
  <r>
    <n v="68188183"/>
    <x v="15"/>
    <n v="640"/>
    <d v="2023-04-26T00:00:00"/>
    <x v="70"/>
    <x v="9"/>
    <n v="3.8340000000000002E-3"/>
    <n v="2.4537599999999999"/>
    <s v="PS"/>
    <x v="1"/>
    <x v="3"/>
    <s v="Q2"/>
    <n v="130"/>
    <n v="4.9230769230769234"/>
    <s v="PG"/>
    <n v="1"/>
    <n v="640"/>
    <n v="2.4537599999999999"/>
    <n v="4.9230769230769234"/>
  </r>
  <r>
    <n v="68300738"/>
    <x v="15"/>
    <n v="6033"/>
    <d v="2023-04-26T00:00:00"/>
    <x v="120"/>
    <x v="19"/>
    <n v="8.4960000000000001E-3"/>
    <n v="51.256368000000002"/>
    <s v="KL"/>
    <x v="1"/>
    <x v="8"/>
    <s v="Q2"/>
    <n v="132"/>
    <n v="45.704545454545453"/>
    <s v="EDF"/>
    <n v="1"/>
    <n v="6033"/>
    <n v="51.256368000000002"/>
    <n v="45.704545454545453"/>
  </r>
  <r>
    <n v="68634169"/>
    <x v="15"/>
    <n v="0"/>
    <d v="2023-04-26T00:00:00"/>
    <x v="149"/>
    <x v="16"/>
    <n v="8.5199999999999998E-3"/>
    <n v="0"/>
    <s v="BR"/>
    <x v="1"/>
    <x v="6"/>
    <s v="Q2"/>
    <n v="154"/>
    <n v="0"/>
    <s v="48oz"/>
    <n v="1"/>
    <n v="0"/>
    <n v="0"/>
    <n v="0"/>
  </r>
  <r>
    <n v="68741714"/>
    <x v="15"/>
    <n v="3212"/>
    <d v="2023-04-26T00:00:00"/>
    <x v="24"/>
    <x v="24"/>
    <n v="2.8319999999999999E-3"/>
    <n v="9.0963840000000005"/>
    <s v="GH"/>
    <x v="1"/>
    <x v="4"/>
    <s v="Q2"/>
    <n v="225"/>
    <n v="14.275555555555556"/>
    <s v="MBG"/>
    <n v="1"/>
    <n v="3212"/>
    <n v="9.0963840000000005"/>
    <n v="14.275555555555556"/>
  </r>
  <r>
    <n v="68741742"/>
    <x v="15"/>
    <n v="0"/>
    <d v="2023-04-26T00:00:00"/>
    <x v="25"/>
    <x v="4"/>
    <n v="4.2560000000000002E-3"/>
    <n v="0"/>
    <s v="GH"/>
    <x v="1"/>
    <x v="4"/>
    <s v="Q2"/>
    <n v="154"/>
    <n v="0"/>
    <s v="MBG"/>
    <n v="1"/>
    <n v="0"/>
    <n v="0"/>
    <n v="0"/>
  </r>
  <r>
    <n v="68899825"/>
    <x v="15"/>
    <n v="7425"/>
    <d v="2023-04-26T00:00:00"/>
    <x v="77"/>
    <x v="16"/>
    <n v="8.5199999999999998E-3"/>
    <n v="63.260999999999996"/>
    <s v="BR"/>
    <x v="1"/>
    <x v="6"/>
    <s v="Q2"/>
    <n v="176"/>
    <n v="42.1875"/>
    <s v="48oz"/>
    <n v="1"/>
    <n v="7425"/>
    <n v="63.260999999999996"/>
    <n v="42.1875"/>
  </r>
  <r>
    <n v="68354586"/>
    <x v="16"/>
    <n v="22930"/>
    <d v="2023-04-26T00:00:00"/>
    <x v="309"/>
    <x v="15"/>
    <n v="3.5999999999999999E-3"/>
    <n v="82.548000000000002"/>
    <s v="BJ"/>
    <x v="1"/>
    <x v="19"/>
    <s v="Q2"/>
    <n v="240"/>
    <n v="95.541666666666671"/>
    <s v="TOPPED"/>
    <n v="1"/>
    <n v="22930"/>
    <n v="82.548000000000002"/>
    <n v="95.541666666666671"/>
  </r>
  <r>
    <n v="68689253"/>
    <x v="16"/>
    <n v="1914"/>
    <d v="2023-04-26T00:00:00"/>
    <x v="125"/>
    <x v="18"/>
    <n v="6.0035555555555554E-3"/>
    <n v="11.490805333333332"/>
    <s v="KL"/>
    <x v="1"/>
    <x v="9"/>
    <s v="Q2"/>
    <n v="120"/>
    <n v="15.95"/>
    <s v="ESS"/>
    <n v="1"/>
    <n v="1914"/>
    <n v="11.490805333333332"/>
    <n v="15.95"/>
  </r>
  <r>
    <n v="68741742"/>
    <x v="16"/>
    <n v="3938"/>
    <d v="2023-04-26T00:00:00"/>
    <x v="25"/>
    <x v="25"/>
    <n v="4.2560000000000002E-3"/>
    <n v="16.760128000000002"/>
    <s v="GH"/>
    <x v="1"/>
    <x v="11"/>
    <s v="Q2"/>
    <n v="154"/>
    <n v="25.571428571428573"/>
    <s v="MBG"/>
    <n v="1"/>
    <n v="3938"/>
    <n v="16.760128000000002"/>
    <n v="25.571428571428573"/>
  </r>
  <r>
    <n v="68746232"/>
    <x v="16"/>
    <n v="4659"/>
    <d v="2023-04-26T00:00:00"/>
    <x v="154"/>
    <x v="26"/>
    <n v="9.5879999999999993E-3"/>
    <n v="44.670491999999996"/>
    <s v="KL"/>
    <x v="1"/>
    <x v="12"/>
    <s v="Q2"/>
    <n v="132"/>
    <n v="35.295454545454547"/>
    <s v="EDF"/>
    <n v="1"/>
    <n v="4659"/>
    <n v="44.670491999999996"/>
    <n v="35.295454545454547"/>
  </r>
  <r>
    <n v="68821728"/>
    <x v="16"/>
    <n v="12977"/>
    <d v="2023-04-26T00:00:00"/>
    <x v="35"/>
    <x v="13"/>
    <n v="8.5199999999999998E-3"/>
    <n v="110.56403999999999"/>
    <s v="BR"/>
    <x v="1"/>
    <x v="2"/>
    <s v="Q2"/>
    <n v="176"/>
    <n v="73.732954545454547"/>
    <s v="48oz"/>
    <n v="1"/>
    <n v="12977"/>
    <n v="110.56403999999999"/>
    <n v="73.732954545454547"/>
  </r>
  <r>
    <n v="68896054"/>
    <x v="16"/>
    <n v="11298"/>
    <d v="2023-04-26T00:00:00"/>
    <x v="181"/>
    <x v="2"/>
    <n v="8.5199999999999998E-3"/>
    <n v="96.258960000000002"/>
    <s v="BR"/>
    <x v="1"/>
    <x v="2"/>
    <s v="Q2"/>
    <n v="176"/>
    <n v="64.193181818181813"/>
    <s v="48oz"/>
    <n v="1"/>
    <n v="11298"/>
    <n v="96.258960000000002"/>
    <n v="64.193181818181813"/>
  </r>
  <r>
    <n v="68914406"/>
    <x v="16"/>
    <n v="5311"/>
    <d v="2023-04-26T00:00:00"/>
    <x v="78"/>
    <x v="27"/>
    <n v="2.124E-3"/>
    <n v="11.280564"/>
    <s v="KL"/>
    <x v="1"/>
    <x v="9"/>
    <s v="Q2"/>
    <n v="352"/>
    <n v="15.088068181818182"/>
    <s v="ESS"/>
    <n v="1"/>
    <n v="5311"/>
    <n v="11.280564"/>
    <n v="15.088068181818182"/>
  </r>
  <r>
    <n v="69549220"/>
    <x v="16"/>
    <n v="8021"/>
    <d v="2023-04-26T00:00:00"/>
    <x v="97"/>
    <x v="5"/>
    <n v="2.0400000000000001E-3"/>
    <n v="16.362840000000002"/>
    <s v="MG"/>
    <x v="1"/>
    <x v="5"/>
    <s v="Q2"/>
    <n v="189"/>
    <n v="42.439153439153436"/>
    <s v="MG Sticks"/>
    <n v="1"/>
    <n v="8021"/>
    <n v="16.362840000000002"/>
    <n v="42.439153439153436"/>
  </r>
  <r>
    <n v="69568962"/>
    <x v="16"/>
    <n v="22586"/>
    <d v="2023-04-26T00:00:00"/>
    <x v="121"/>
    <x v="32"/>
    <n v="8.5199999999999998E-3"/>
    <n v="192.43271999999999"/>
    <s v="BR"/>
    <x v="1"/>
    <x v="2"/>
    <s v="Q2"/>
    <n v="176"/>
    <n v="128.32954545454547"/>
    <s v="48oz"/>
    <n v="1"/>
    <n v="22586"/>
    <n v="192.43271999999999"/>
    <n v="128.32954545454547"/>
  </r>
  <r>
    <n v="69621212"/>
    <x v="16"/>
    <n v="4671"/>
    <d v="2023-04-26T00:00:00"/>
    <x v="29"/>
    <x v="28"/>
    <n v="5.2680000000000001E-3"/>
    <n v="24.606828"/>
    <s v="PG"/>
    <x v="1"/>
    <x v="14"/>
    <s v="Q2"/>
    <n v="130"/>
    <n v="35.930769230769229"/>
    <s v="PG"/>
    <n v="1"/>
    <n v="4671"/>
    <n v="24.606828"/>
    <n v="35.930769230769229"/>
  </r>
  <r>
    <n v="69677917"/>
    <x v="16"/>
    <n v="1164"/>
    <d v="2023-04-26T00:00:00"/>
    <x v="30"/>
    <x v="30"/>
    <n v="5.2680000000000001E-3"/>
    <n v="6.1319520000000001"/>
    <s v="PS"/>
    <x v="1"/>
    <x v="14"/>
    <s v="Q2"/>
    <n v="108"/>
    <n v="10.777777777777779"/>
    <s v="PG"/>
    <n v="1"/>
    <n v="1164"/>
    <n v="6.1319520000000001"/>
    <n v="10.777777777777779"/>
  </r>
  <r>
    <n v="69691840"/>
    <x v="16"/>
    <n v="26679"/>
    <d v="2023-04-26T00:00:00"/>
    <x v="106"/>
    <x v="21"/>
    <n v="3.7839999999999996E-3"/>
    <n v="100.95333599999999"/>
    <s v="TA"/>
    <x v="1"/>
    <x v="10"/>
    <s v="Q2"/>
    <n v="255"/>
    <n v="104.62352941176471"/>
    <s v="TALENTI"/>
    <n v="1"/>
    <n v="26679"/>
    <n v="100.95333599999999"/>
    <n v="104.62352941176471"/>
  </r>
  <r>
    <n v="69706147"/>
    <x v="16"/>
    <n v="6856"/>
    <d v="2023-04-26T00:00:00"/>
    <x v="195"/>
    <x v="31"/>
    <n v="3.8999999999999998E-3"/>
    <n v="26.738399999999999"/>
    <s v="TA"/>
    <x v="1"/>
    <x v="42"/>
    <s v="Q2"/>
    <n v="176"/>
    <n v="38.954545454545453"/>
    <s v="TAL NV"/>
    <n v="1"/>
    <n v="6856"/>
    <n v="26.738399999999999"/>
    <n v="38.954545454545453"/>
  </r>
  <r>
    <n v="68922045"/>
    <x v="16"/>
    <n v="1020"/>
    <d v="2023-04-26T00:00:00"/>
    <x v="337"/>
    <x v="22"/>
    <n v="3.7839999999999996E-3"/>
    <n v="3.8596799999999996"/>
    <s v="TA"/>
    <x v="1"/>
    <x v="10"/>
    <s v="Q2"/>
    <n v="255"/>
    <n v="4"/>
    <s v="TALENTI"/>
    <n v="1"/>
    <n v="1020"/>
    <n v="3.8596799999999996"/>
    <n v="4"/>
  </r>
  <r>
    <n v="68741742"/>
    <x v="16"/>
    <n v="3494"/>
    <d v="2023-04-26T00:00:00"/>
    <x v="25"/>
    <x v="25"/>
    <n v="4.2560000000000002E-3"/>
    <n v="14.870464"/>
    <s v="GH"/>
    <x v="1"/>
    <x v="11"/>
    <s v="Q2"/>
    <n v="154"/>
    <n v="22.688311688311689"/>
    <s v="MBG"/>
    <n v="1"/>
    <n v="3494"/>
    <n v="14.870464"/>
    <n v="22.688311688311689"/>
  </r>
  <r>
    <n v="68896054"/>
    <x v="16"/>
    <n v="1243"/>
    <d v="2023-04-26T00:00:00"/>
    <x v="181"/>
    <x v="2"/>
    <n v="8.5199999999999998E-3"/>
    <n v="10.59036"/>
    <s v="BR"/>
    <x v="1"/>
    <x v="2"/>
    <s v="Q2"/>
    <n v="176"/>
    <n v="7.0625"/>
    <s v="48oz"/>
    <n v="1"/>
    <n v="1243"/>
    <n v="10.59036"/>
    <n v="7.0625"/>
  </r>
  <r>
    <n v="69568962"/>
    <x v="16"/>
    <n v="1680"/>
    <d v="2023-04-26T00:00:00"/>
    <x v="121"/>
    <x v="32"/>
    <n v="8.5199999999999998E-3"/>
    <n v="14.313599999999999"/>
    <s v="BR"/>
    <x v="1"/>
    <x v="2"/>
    <s v="Q2"/>
    <n v="176"/>
    <n v="9.545454545454545"/>
    <s v="48oz"/>
    <n v="1"/>
    <n v="1680"/>
    <n v="14.313599999999999"/>
    <n v="9.545454545454545"/>
  </r>
  <r>
    <n v="69677917"/>
    <x v="16"/>
    <n v="746"/>
    <d v="2023-04-26T00:00:00"/>
    <x v="30"/>
    <x v="30"/>
    <n v="5.2680000000000001E-3"/>
    <n v="3.9299279999999999"/>
    <s v="PS"/>
    <x v="1"/>
    <x v="14"/>
    <s v="Q2"/>
    <n v="108"/>
    <n v="6.9074074074074074"/>
    <s v="PG"/>
    <n v="1"/>
    <n v="746"/>
    <n v="3.9299279999999999"/>
    <n v="6.9074074074074074"/>
  </r>
  <r>
    <n v="69621212"/>
    <x v="16"/>
    <n v="6220"/>
    <d v="2023-04-26T00:00:00"/>
    <x v="29"/>
    <x v="28"/>
    <n v="5.2680000000000001E-3"/>
    <n v="32.766959999999997"/>
    <s v="PG"/>
    <x v="1"/>
    <x v="14"/>
    <s v="Q2"/>
    <n v="130"/>
    <n v="47.846153846153847"/>
    <s v="PG"/>
    <n v="1"/>
    <n v="6220"/>
    <n v="32.766959999999997"/>
    <n v="47.846153846153847"/>
  </r>
  <r>
    <n v="67465064"/>
    <x v="15"/>
    <n v="3799"/>
    <d v="2023-04-27T00:00:00"/>
    <x v="7"/>
    <x v="3"/>
    <n v="1.596E-3"/>
    <n v="6.0632039999999998"/>
    <s v="PS"/>
    <x v="1"/>
    <x v="3"/>
    <s v="Q2"/>
    <n v="130"/>
    <n v="29.223076923076924"/>
    <s v="PG"/>
    <n v="1"/>
    <n v="3799"/>
    <n v="6.0632039999999998"/>
    <n v="29.223076923076924"/>
  </r>
  <r>
    <n v="67466462"/>
    <x v="15"/>
    <n v="3875"/>
    <d v="2023-04-27T00:00:00"/>
    <x v="29"/>
    <x v="6"/>
    <n v="5.2680000000000001E-3"/>
    <n v="20.413499999999999"/>
    <s v="PS"/>
    <x v="1"/>
    <x v="3"/>
    <s v="Q2"/>
    <n v="130"/>
    <n v="29.807692307692307"/>
    <s v="PG"/>
    <n v="1"/>
    <n v="3875"/>
    <n v="20.413499999999999"/>
    <n v="29.807692307692307"/>
  </r>
  <r>
    <n v="67901584"/>
    <x v="15"/>
    <n v="8778"/>
    <d v="2023-04-27T00:00:00"/>
    <x v="51"/>
    <x v="11"/>
    <n v="8.5199999999999998E-3"/>
    <n v="74.788560000000004"/>
    <s v="BR"/>
    <x v="1"/>
    <x v="6"/>
    <s v="Q2"/>
    <n v="154"/>
    <n v="57"/>
    <s v="48oz"/>
    <n v="1"/>
    <n v="8778"/>
    <n v="74.788560000000004"/>
    <n v="57"/>
  </r>
  <r>
    <n v="68300738"/>
    <x v="15"/>
    <n v="5091"/>
    <d v="2023-04-27T00:00:00"/>
    <x v="120"/>
    <x v="19"/>
    <n v="8.4960000000000001E-3"/>
    <n v="43.253135999999998"/>
    <s v="KL"/>
    <x v="1"/>
    <x v="8"/>
    <s v="Q2"/>
    <n v="132"/>
    <n v="38.56818181818182"/>
    <s v="EDF"/>
    <n v="1"/>
    <n v="5091"/>
    <n v="43.253135999999998"/>
    <n v="38.56818181818182"/>
  </r>
  <r>
    <n v="68634169"/>
    <x v="15"/>
    <n v="10640"/>
    <d v="2023-04-27T00:00:00"/>
    <x v="149"/>
    <x v="16"/>
    <n v="8.5199999999999998E-3"/>
    <n v="90.652799999999999"/>
    <s v="BR"/>
    <x v="1"/>
    <x v="6"/>
    <s v="Q2"/>
    <n v="154"/>
    <n v="69.090909090909093"/>
    <s v="48oz"/>
    <n v="1"/>
    <n v="10640"/>
    <n v="90.652799999999999"/>
    <n v="69.090909090909093"/>
  </r>
  <r>
    <n v="68689251"/>
    <x v="15"/>
    <n v="6251"/>
    <d v="2023-04-27T00:00:00"/>
    <x v="17"/>
    <x v="17"/>
    <n v="9.5760000000000012E-3"/>
    <n v="59.859576000000004"/>
    <s v="KL"/>
    <x v="1"/>
    <x v="8"/>
    <s v="Q2"/>
    <n v="132"/>
    <n v="47.356060606060609"/>
    <s v="EDF"/>
    <n v="1"/>
    <n v="6251"/>
    <n v="59.859576000000004"/>
    <n v="47.356060606060609"/>
  </r>
  <r>
    <n v="68741714"/>
    <x v="15"/>
    <n v="8000"/>
    <d v="2023-04-27T00:00:00"/>
    <x v="24"/>
    <x v="24"/>
    <n v="2.8319999999999999E-3"/>
    <n v="22.655999999999999"/>
    <s v="GH"/>
    <x v="1"/>
    <x v="4"/>
    <s v="Q2"/>
    <n v="225"/>
    <n v="35.555555555555557"/>
    <s v="MBG"/>
    <n v="1"/>
    <n v="8000"/>
    <n v="22.655999999999999"/>
    <n v="35.555555555555557"/>
  </r>
  <r>
    <n v="68741742"/>
    <x v="15"/>
    <n v="6394"/>
    <d v="2023-04-27T00:00:00"/>
    <x v="25"/>
    <x v="4"/>
    <n v="4.2560000000000002E-3"/>
    <n v="27.212864000000003"/>
    <s v="GH"/>
    <x v="1"/>
    <x v="4"/>
    <s v="Q2"/>
    <n v="154"/>
    <n v="41.519480519480517"/>
    <s v="MBG"/>
    <n v="1"/>
    <n v="6394"/>
    <n v="27.212864000000003"/>
    <n v="41.519480519480517"/>
  </r>
  <r>
    <n v="68917388"/>
    <x v="15"/>
    <n v="9101"/>
    <d v="2023-04-27T00:00:00"/>
    <x v="287"/>
    <x v="36"/>
    <n v="3.9119999999999997E-3"/>
    <n v="35.603111999999996"/>
    <s v="KL"/>
    <x v="1"/>
    <x v="28"/>
    <s v="Q2"/>
    <n v="322"/>
    <n v="28.263975155279503"/>
    <s v="EFW"/>
    <n v="1"/>
    <n v="9101"/>
    <n v="35.603111999999996"/>
    <n v="28.263975155279503"/>
  </r>
  <r>
    <n v="68921994"/>
    <x v="15"/>
    <n v="6613"/>
    <d v="2023-04-27T00:00:00"/>
    <x v="258"/>
    <x v="20"/>
    <n v="9.5879999999999993E-3"/>
    <n v="63.405443999999996"/>
    <s v="KL"/>
    <x v="1"/>
    <x v="8"/>
    <s v="Q2"/>
    <n v="132"/>
    <n v="50.098484848484851"/>
    <s v="EDF"/>
    <n v="1"/>
    <n v="6613"/>
    <n v="63.405443999999996"/>
    <n v="50.098484848484851"/>
  </r>
  <r>
    <n v="67885719"/>
    <x v="16"/>
    <n v="0"/>
    <d v="2023-04-27T00:00:00"/>
    <x v="11"/>
    <x v="32"/>
    <n v="8.5199999999999998E-3"/>
    <n v="0"/>
    <s v="BR"/>
    <x v="1"/>
    <x v="2"/>
    <s v="Q2"/>
    <n v="154"/>
    <n v="0"/>
    <s v="48oz"/>
    <n v="1"/>
    <n v="0"/>
    <n v="0"/>
    <n v="0"/>
  </r>
  <r>
    <n v="68821728"/>
    <x v="16"/>
    <n v="0"/>
    <d v="2023-04-27T00:00:00"/>
    <x v="35"/>
    <x v="13"/>
    <n v="8.5199999999999998E-3"/>
    <n v="0"/>
    <s v="BR"/>
    <x v="1"/>
    <x v="2"/>
    <s v="Q2"/>
    <n v="176"/>
    <n v="0"/>
    <s v="48oz"/>
    <n v="1"/>
    <n v="0"/>
    <n v="0"/>
    <n v="0"/>
  </r>
  <r>
    <n v="69549220"/>
    <x v="16"/>
    <n v="0"/>
    <d v="2023-04-27T00:00:00"/>
    <x v="97"/>
    <x v="5"/>
    <n v="2.0400000000000001E-3"/>
    <n v="0"/>
    <s v="MG"/>
    <x v="1"/>
    <x v="5"/>
    <s v="Q2"/>
    <n v="189"/>
    <n v="0"/>
    <s v="MG Sticks"/>
    <n v="1"/>
    <n v="0"/>
    <n v="0"/>
    <n v="0"/>
  </r>
  <r>
    <n v="69572544"/>
    <x v="16"/>
    <n v="0"/>
    <d v="2023-04-27T00:00:00"/>
    <x v="171"/>
    <x v="14"/>
    <n v="1.9740000000000001E-3"/>
    <n v="0"/>
    <s v="MG"/>
    <x v="1"/>
    <x v="5"/>
    <s v="Q2"/>
    <n v="176"/>
    <n v="0"/>
    <s v="MG Sticks"/>
    <n v="1"/>
    <n v="0"/>
    <n v="0"/>
    <n v="0"/>
  </r>
  <r>
    <n v="69586716"/>
    <x v="16"/>
    <n v="0"/>
    <d v="2023-04-27T00:00:00"/>
    <x v="6"/>
    <x v="5"/>
    <n v="2.0400000000000001E-3"/>
    <n v="0"/>
    <s v="MG"/>
    <x v="1"/>
    <x v="5"/>
    <s v="Q2"/>
    <n v="210"/>
    <n v="0"/>
    <s v="MG Sticks"/>
    <n v="1"/>
    <n v="0"/>
    <n v="0"/>
    <n v="0"/>
  </r>
  <r>
    <n v="84141103"/>
    <x v="18"/>
    <n v="51401"/>
    <d v="2023-04-27T00:00:00"/>
    <x v="294"/>
    <x v="38"/>
    <n v="3.7853439999999999E-3"/>
    <n v="194.570466944"/>
    <s v="BJ"/>
    <x v="1"/>
    <x v="36"/>
    <s v="Q2"/>
    <n v="240"/>
    <n v="214.17083333333332"/>
    <s v="BJ PTS"/>
    <n v="1"/>
    <n v="51401"/>
    <n v="194.570466944"/>
    <n v="214.17083333333332"/>
  </r>
  <r>
    <n v="67430513"/>
    <x v="17"/>
    <n v="49680"/>
    <d v="2023-04-27T00:00:00"/>
    <x v="119"/>
    <x v="38"/>
    <n v="3.7839999999999996E-3"/>
    <n v="187.98911999999999"/>
    <s v="BJ"/>
    <x v="1"/>
    <x v="15"/>
    <s v="Q2"/>
    <n v="240"/>
    <n v="207"/>
    <s v="BJ PTS"/>
    <n v="1"/>
    <n v="49680"/>
    <n v="187.98911999999999"/>
    <n v="207"/>
  </r>
  <r>
    <n v="67430513"/>
    <x v="17"/>
    <n v="51526"/>
    <d v="2023-04-27T00:00:00"/>
    <x v="119"/>
    <x v="38"/>
    <n v="3.7839999999999996E-3"/>
    <n v="194.97438399999999"/>
    <s v="BJ"/>
    <x v="1"/>
    <x v="15"/>
    <s v="Q2"/>
    <n v="240"/>
    <n v="214.69166666666666"/>
    <s v="BJ PTS"/>
    <n v="1"/>
    <n v="51526"/>
    <n v="194.97438399999999"/>
    <n v="214.69166666666666"/>
  </r>
  <r>
    <n v="68940228"/>
    <x v="17"/>
    <n v="21969"/>
    <d v="2023-04-27T00:00:00"/>
    <x v="105"/>
    <x v="33"/>
    <n v="3.7839999999999996E-3"/>
    <n v="83.130695999999986"/>
    <s v="BJ"/>
    <x v="1"/>
    <x v="15"/>
    <s v="Q2"/>
    <n v="240"/>
    <n v="91.537499999999994"/>
    <s v="BJ PTS"/>
    <n v="1"/>
    <n v="21969"/>
    <n v="83.130695999999986"/>
    <n v="91.537499999999994"/>
  </r>
  <r>
    <n v="84138391"/>
    <x v="17"/>
    <n v="75513"/>
    <d v="2023-04-27T00:00:00"/>
    <x v="84"/>
    <x v="33"/>
    <n v="3.7853439999999999E-3"/>
    <n v="285.84268147199998"/>
    <s v="BJ"/>
    <x v="1"/>
    <x v="15"/>
    <s v="Q2"/>
    <n v="240"/>
    <n v="314.63749999999999"/>
    <s v="BJ PTS"/>
    <n v="1"/>
    <n v="75513"/>
    <n v="285.84268147199998"/>
    <n v="314.63749999999999"/>
  </r>
  <r>
    <n v="67465063"/>
    <x v="15"/>
    <n v="4606"/>
    <d v="2023-04-27T00:00:00"/>
    <x v="3"/>
    <x v="7"/>
    <n v="5.2680000000000001E-3"/>
    <n v="24.264408"/>
    <s v="PS"/>
    <x v="1"/>
    <x v="3"/>
    <s v="Q2"/>
    <n v="130"/>
    <n v="35.430769230769229"/>
    <s v="PG"/>
    <n v="1"/>
    <n v="4606"/>
    <n v="24.264408"/>
    <n v="35.430769230769229"/>
  </r>
  <r>
    <n v="67465063"/>
    <x v="15"/>
    <n v="1998"/>
    <d v="2023-04-27T00:00:00"/>
    <x v="3"/>
    <x v="40"/>
    <n v="5.2680000000000001E-3"/>
    <n v="10.525463999999999"/>
    <s v="PS"/>
    <x v="1"/>
    <x v="3"/>
    <s v="Q2"/>
    <n v="130"/>
    <n v="15.36923076923077"/>
    <s v="PG"/>
    <n v="1"/>
    <n v="1998"/>
    <n v="10.525463999999999"/>
    <n v="15.36923076923077"/>
  </r>
  <r>
    <n v="67466492"/>
    <x v="15"/>
    <n v="3620"/>
    <d v="2023-04-27T00:00:00"/>
    <x v="8"/>
    <x v="8"/>
    <n v="5.2680000000000001E-3"/>
    <n v="19.070160000000001"/>
    <s v="PS"/>
    <x v="1"/>
    <x v="3"/>
    <s v="Q2"/>
    <n v="130"/>
    <n v="27.846153846153847"/>
    <s v="PG"/>
    <n v="1"/>
    <n v="3620"/>
    <n v="19.070160000000001"/>
    <n v="27.846153846153847"/>
  </r>
  <r>
    <n v="67476560"/>
    <x v="15"/>
    <n v="3778"/>
    <d v="2023-04-27T00:00:00"/>
    <x v="10"/>
    <x v="10"/>
    <n v="5.1060000000000003E-3"/>
    <n v="19.290468000000001"/>
    <s v="PS"/>
    <x v="1"/>
    <x v="3"/>
    <s v="Q2"/>
    <n v="130"/>
    <n v="29.061538461538461"/>
    <s v="PG"/>
    <n v="1"/>
    <n v="3778"/>
    <n v="19.290468000000001"/>
    <n v="29.061538461538461"/>
  </r>
  <r>
    <n v="67885718"/>
    <x v="15"/>
    <n v="11274"/>
    <d v="2023-04-27T00:00:00"/>
    <x v="48"/>
    <x v="12"/>
    <n v="8.5199999999999998E-3"/>
    <n v="96.054479999999998"/>
    <s v="BR"/>
    <x v="1"/>
    <x v="6"/>
    <s v="Q2"/>
    <n v="154"/>
    <n v="73.20779220779221"/>
    <s v="48oz"/>
    <n v="1"/>
    <n v="11274"/>
    <n v="96.054479999999998"/>
    <n v="73.20779220779221"/>
  </r>
  <r>
    <n v="67901583"/>
    <x v="15"/>
    <n v="0"/>
    <d v="2023-04-27T00:00:00"/>
    <x v="50"/>
    <x v="11"/>
    <n v="8.5199999999999998E-3"/>
    <n v="0"/>
    <s v="BR"/>
    <x v="1"/>
    <x v="6"/>
    <s v="Q2"/>
    <n v="154"/>
    <n v="0"/>
    <s v="48oz"/>
    <n v="1"/>
    <n v="0"/>
    <n v="0"/>
    <n v="0"/>
  </r>
  <r>
    <n v="67901585"/>
    <x v="15"/>
    <n v="11554"/>
    <d v="2023-04-27T00:00:00"/>
    <x v="67"/>
    <x v="23"/>
    <n v="8.513999999999999E-3"/>
    <n v="98.370755999999986"/>
    <s v="BR"/>
    <x v="1"/>
    <x v="6"/>
    <s v="Q2"/>
    <n v="154"/>
    <n v="75.025974025974023"/>
    <s v="48oz"/>
    <n v="1"/>
    <n v="11554"/>
    <n v="98.370755999999986"/>
    <n v="75.025974025974023"/>
  </r>
  <r>
    <n v="68188183"/>
    <x v="15"/>
    <n v="1639"/>
    <d v="2023-04-27T00:00:00"/>
    <x v="70"/>
    <x v="9"/>
    <n v="3.8340000000000002E-3"/>
    <n v="6.2839260000000001"/>
    <s v="PS"/>
    <x v="1"/>
    <x v="3"/>
    <s v="Q2"/>
    <n v="130"/>
    <n v="12.607692307692307"/>
    <s v="PG"/>
    <n v="1"/>
    <n v="1639"/>
    <n v="6.2839260000000001"/>
    <n v="12.607692307692307"/>
  </r>
  <r>
    <n v="68354586"/>
    <x v="16"/>
    <n v="27944"/>
    <d v="2023-04-27T00:00:00"/>
    <x v="309"/>
    <x v="15"/>
    <n v="3.5999999999999999E-3"/>
    <n v="100.5984"/>
    <s v="BJ"/>
    <x v="1"/>
    <x v="19"/>
    <s v="Q2"/>
    <n v="240"/>
    <n v="116.43333333333334"/>
    <s v="TOPPED"/>
    <n v="1"/>
    <n v="27944"/>
    <n v="100.5984"/>
    <n v="116.43333333333334"/>
  </r>
  <r>
    <n v="68746232"/>
    <x v="16"/>
    <n v="3431"/>
    <d v="2023-04-27T00:00:00"/>
    <x v="154"/>
    <x v="26"/>
    <n v="9.5879999999999993E-3"/>
    <n v="32.896428"/>
    <s v="KL"/>
    <x v="1"/>
    <x v="12"/>
    <s v="Q2"/>
    <n v="132"/>
    <n v="25.992424242424242"/>
    <s v="EDF"/>
    <n v="1"/>
    <n v="3431"/>
    <n v="32.896428"/>
    <n v="25.992424242424242"/>
  </r>
  <r>
    <n v="68914406"/>
    <x v="16"/>
    <n v="9253"/>
    <d v="2023-04-27T00:00:00"/>
    <x v="78"/>
    <x v="27"/>
    <n v="2.124E-3"/>
    <n v="19.653372000000001"/>
    <s v="KL"/>
    <x v="1"/>
    <x v="9"/>
    <s v="Q2"/>
    <n v="352"/>
    <n v="26.286931818181817"/>
    <s v="ESS"/>
    <n v="1"/>
    <n v="9253"/>
    <n v="19.653372000000001"/>
    <n v="26.286931818181817"/>
  </r>
  <r>
    <n v="68922045"/>
    <x v="16"/>
    <n v="14920"/>
    <d v="2023-04-27T00:00:00"/>
    <x v="337"/>
    <x v="22"/>
    <n v="3.7839999999999996E-3"/>
    <n v="56.457279999999997"/>
    <s v="TA"/>
    <x v="1"/>
    <x v="10"/>
    <s v="Q2"/>
    <n v="255"/>
    <n v="58.509803921568626"/>
    <s v="TALENTI"/>
    <n v="1"/>
    <n v="14920"/>
    <n v="56.457279999999997"/>
    <n v="58.509803921568626"/>
  </r>
  <r>
    <n v="68922108"/>
    <x v="16"/>
    <n v="4316"/>
    <d v="2023-04-27T00:00:00"/>
    <x v="184"/>
    <x v="21"/>
    <n v="3.7839999999999996E-3"/>
    <n v="16.331743999999997"/>
    <s v="TA"/>
    <x v="1"/>
    <x v="10"/>
    <s v="Q2"/>
    <n v="255"/>
    <n v="16.925490196078432"/>
    <s v="TALENTI"/>
    <n v="1"/>
    <n v="4316"/>
    <n v="16.331743999999997"/>
    <n v="16.925490196078432"/>
  </r>
  <r>
    <n v="69568963"/>
    <x v="16"/>
    <n v="839"/>
    <d v="2023-04-27T00:00:00"/>
    <x v="94"/>
    <x v="13"/>
    <n v="8.5199999999999998E-3"/>
    <n v="7.1482799999999997"/>
    <s v="BR"/>
    <x v="1"/>
    <x v="2"/>
    <s v="Q2"/>
    <n v="176"/>
    <n v="4.7670454545454541"/>
    <s v="48oz"/>
    <n v="1"/>
    <n v="839"/>
    <n v="7.1482799999999997"/>
    <n v="4.7670454545454541"/>
  </r>
  <r>
    <n v="69691840"/>
    <x v="16"/>
    <n v="4522"/>
    <d v="2023-04-27T00:00:00"/>
    <x v="106"/>
    <x v="21"/>
    <n v="3.7839999999999996E-3"/>
    <n v="17.111248"/>
    <s v="TA"/>
    <x v="1"/>
    <x v="10"/>
    <s v="Q2"/>
    <n v="255"/>
    <n v="17.733333333333334"/>
    <s v="TALENTI"/>
    <n v="1"/>
    <n v="4522"/>
    <n v="17.111248"/>
    <n v="17.733333333333334"/>
  </r>
  <r>
    <n v="69706147"/>
    <x v="16"/>
    <n v="5092"/>
    <d v="2023-04-27T00:00:00"/>
    <x v="195"/>
    <x v="31"/>
    <n v="3.8999999999999998E-3"/>
    <n v="19.858799999999999"/>
    <s v="TA"/>
    <x v="1"/>
    <x v="42"/>
    <s v="Q2"/>
    <n v="176"/>
    <n v="28.931818181818183"/>
    <s v="TAL NV"/>
    <n v="1"/>
    <n v="5092"/>
    <n v="19.858799999999999"/>
    <n v="28.931818181818183"/>
  </r>
  <r>
    <n v="68689253"/>
    <x v="16"/>
    <n v="3711"/>
    <d v="2023-04-27T00:00:00"/>
    <x v="125"/>
    <x v="18"/>
    <n v="6.0035555555555554E-3"/>
    <n v="22.279194666666665"/>
    <s v="KL"/>
    <x v="1"/>
    <x v="9"/>
    <s v="Q2"/>
    <n v="120"/>
    <n v="30.925000000000001"/>
    <s v="ESS"/>
    <n v="1"/>
    <n v="3711"/>
    <n v="22.279194666666665"/>
    <n v="30.925000000000001"/>
  </r>
  <r>
    <n v="67465064"/>
    <x v="15"/>
    <n v="3667"/>
    <d v="2023-04-28T00:00:00"/>
    <x v="7"/>
    <x v="3"/>
    <n v="1.596E-3"/>
    <n v="5.8525320000000001"/>
    <s v="PS"/>
    <x v="1"/>
    <x v="3"/>
    <s v="Q2"/>
    <n v="130"/>
    <n v="28.207692307692309"/>
    <s v="PG"/>
    <n v="1"/>
    <n v="3667"/>
    <n v="5.8525320000000001"/>
    <n v="28.207692307692309"/>
  </r>
  <r>
    <n v="68689251"/>
    <x v="15"/>
    <n v="3710"/>
    <d v="2023-04-28T00:00:00"/>
    <x v="17"/>
    <x v="17"/>
    <n v="9.5760000000000012E-3"/>
    <n v="35.526960000000003"/>
    <s v="KL"/>
    <x v="1"/>
    <x v="8"/>
    <s v="Q2"/>
    <n v="132"/>
    <n v="28.106060606060606"/>
    <s v="EDF"/>
    <n v="1"/>
    <n v="3710"/>
    <n v="35.526960000000003"/>
    <n v="28.106060606060606"/>
  </r>
  <r>
    <n v="68689251"/>
    <x v="15"/>
    <n v="555"/>
    <d v="2023-04-28T00:00:00"/>
    <x v="17"/>
    <x v="19"/>
    <n v="9.5760000000000012E-3"/>
    <n v="5.314680000000001"/>
    <s v="KL"/>
    <x v="1"/>
    <x v="8"/>
    <s v="Q2"/>
    <n v="132"/>
    <n v="4.2045454545454541"/>
    <s v="EDF"/>
    <n v="1"/>
    <n v="555"/>
    <n v="5.314680000000001"/>
    <n v="4.2045454545454541"/>
  </r>
  <r>
    <n v="68689251"/>
    <x v="15"/>
    <n v="0"/>
    <d v="2023-04-28T00:00:00"/>
    <x v="17"/>
    <x v="17"/>
    <n v="9.5760000000000012E-3"/>
    <n v="0"/>
    <s v="KL"/>
    <x v="1"/>
    <x v="8"/>
    <s v="Q2"/>
    <n v="132"/>
    <n v="0"/>
    <s v="EDF"/>
    <n v="1"/>
    <n v="0"/>
    <n v="0"/>
    <n v="0"/>
  </r>
  <r>
    <n v="68817794"/>
    <x v="15"/>
    <n v="9575"/>
    <d v="2023-04-28T00:00:00"/>
    <x v="67"/>
    <x v="23"/>
    <n v="8.5199999999999998E-3"/>
    <n v="81.578999999999994"/>
    <s v="BR"/>
    <x v="1"/>
    <x v="6"/>
    <s v="Q2"/>
    <n v="176"/>
    <n v="54.403409090909093"/>
    <s v="48oz"/>
    <n v="1"/>
    <n v="9575"/>
    <n v="81.578999999999994"/>
    <n v="54.403409090909093"/>
  </r>
  <r>
    <n v="68728342"/>
    <x v="16"/>
    <n v="0"/>
    <d v="2023-04-28T00:00:00"/>
    <x v="44"/>
    <x v="22"/>
    <n v="3.7853439999999999E-3"/>
    <n v="0"/>
    <s v="TA"/>
    <x v="1"/>
    <x v="10"/>
    <s v="Q2"/>
    <n v="255"/>
    <n v="0"/>
    <s v="TALENTI"/>
    <n v="1"/>
    <n v="0"/>
    <n v="0"/>
    <n v="0"/>
  </r>
  <r>
    <n v="68896052"/>
    <x v="16"/>
    <n v="0"/>
    <d v="2023-04-28T00:00:00"/>
    <x v="36"/>
    <x v="2"/>
    <n v="8.5199999999999998E-3"/>
    <n v="0"/>
    <s v="BR"/>
    <x v="1"/>
    <x v="2"/>
    <s v="Q2"/>
    <n v="176"/>
    <n v="0"/>
    <s v="48oz"/>
    <n v="1"/>
    <n v="0"/>
    <n v="0"/>
    <n v="0"/>
  </r>
  <r>
    <n v="69568962"/>
    <x v="16"/>
    <n v="0"/>
    <d v="2023-04-28T00:00:00"/>
    <x v="121"/>
    <x v="32"/>
    <n v="8.5199999999999998E-3"/>
    <n v="0"/>
    <s v="BR"/>
    <x v="1"/>
    <x v="2"/>
    <s v="Q2"/>
    <n v="176"/>
    <n v="0"/>
    <s v="48oz"/>
    <n v="1"/>
    <n v="0"/>
    <n v="0"/>
    <n v="0"/>
  </r>
  <r>
    <n v="69572544"/>
    <x v="16"/>
    <n v="0"/>
    <d v="2023-04-28T00:00:00"/>
    <x v="171"/>
    <x v="14"/>
    <n v="1.9740000000000001E-3"/>
    <n v="0"/>
    <s v="MG"/>
    <x v="1"/>
    <x v="5"/>
    <s v="Q2"/>
    <n v="176"/>
    <n v="0"/>
    <s v="MG Sticks"/>
    <n v="1"/>
    <n v="0"/>
    <n v="0"/>
    <n v="0"/>
  </r>
  <r>
    <n v="67465063"/>
    <x v="15"/>
    <n v="1622"/>
    <d v="2023-04-28T00:00:00"/>
    <x v="3"/>
    <x v="7"/>
    <n v="5.2680000000000001E-3"/>
    <n v="8.5446960000000001"/>
    <s v="PS"/>
    <x v="1"/>
    <x v="3"/>
    <s v="Q2"/>
    <n v="130"/>
    <n v="12.476923076923077"/>
    <s v="PG"/>
    <n v="1"/>
    <n v="1622"/>
    <n v="8.5446960000000001"/>
    <n v="12.476923076923077"/>
  </r>
  <r>
    <n v="67465063"/>
    <x v="15"/>
    <n v="1331"/>
    <d v="2023-04-28T00:00:00"/>
    <x v="3"/>
    <x v="40"/>
    <n v="5.2680000000000001E-3"/>
    <n v="7.0117080000000005"/>
    <s v="PS"/>
    <x v="1"/>
    <x v="3"/>
    <s v="Q2"/>
    <n v="130"/>
    <n v="10.238461538461538"/>
    <s v="PG"/>
    <n v="1"/>
    <n v="1331"/>
    <n v="7.0117080000000005"/>
    <n v="10.238461538461538"/>
  </r>
  <r>
    <n v="67466462"/>
    <x v="15"/>
    <n v="3366"/>
    <d v="2023-04-28T00:00:00"/>
    <x v="29"/>
    <x v="6"/>
    <n v="5.2680000000000001E-3"/>
    <n v="17.732088000000001"/>
    <s v="PS"/>
    <x v="1"/>
    <x v="3"/>
    <s v="Q2"/>
    <n v="130"/>
    <n v="25.892307692307693"/>
    <s v="PG"/>
    <n v="1"/>
    <n v="3366"/>
    <n v="17.732088000000001"/>
    <n v="25.892307692307693"/>
  </r>
  <r>
    <n v="67466492"/>
    <x v="15"/>
    <n v="4449"/>
    <d v="2023-04-28T00:00:00"/>
    <x v="8"/>
    <x v="8"/>
    <n v="5.2680000000000001E-3"/>
    <n v="23.437332000000001"/>
    <s v="PS"/>
    <x v="1"/>
    <x v="3"/>
    <s v="Q2"/>
    <n v="130"/>
    <n v="34.223076923076924"/>
    <s v="PG"/>
    <n v="1"/>
    <n v="4449"/>
    <n v="23.437332000000001"/>
    <n v="34.223076923076924"/>
  </r>
  <r>
    <n v="67476560"/>
    <x v="15"/>
    <n v="2230"/>
    <d v="2023-04-28T00:00:00"/>
    <x v="10"/>
    <x v="10"/>
    <n v="5.1060000000000003E-3"/>
    <n v="11.386380000000001"/>
    <s v="PS"/>
    <x v="1"/>
    <x v="3"/>
    <s v="Q2"/>
    <n v="130"/>
    <n v="17.153846153846153"/>
    <s v="PG"/>
    <n v="1"/>
    <n v="2230"/>
    <n v="11.386380000000001"/>
    <n v="17.153846153846153"/>
  </r>
  <r>
    <n v="67885718"/>
    <x v="15"/>
    <n v="0"/>
    <d v="2023-04-28T00:00:00"/>
    <x v="48"/>
    <x v="12"/>
    <n v="8.5199999999999998E-3"/>
    <n v="0"/>
    <s v="BR"/>
    <x v="1"/>
    <x v="6"/>
    <s v="Q2"/>
    <n v="154"/>
    <n v="0"/>
    <s v="48oz"/>
    <n v="1"/>
    <n v="0"/>
    <n v="0"/>
    <n v="0"/>
  </r>
  <r>
    <n v="67901583"/>
    <x v="15"/>
    <n v="0"/>
    <d v="2023-04-28T00:00:00"/>
    <x v="50"/>
    <x v="11"/>
    <n v="8.5199999999999998E-3"/>
    <n v="0"/>
    <s v="BR"/>
    <x v="1"/>
    <x v="6"/>
    <s v="Q2"/>
    <n v="154"/>
    <n v="0"/>
    <s v="48oz"/>
    <n v="1"/>
    <n v="0"/>
    <n v="0"/>
    <n v="0"/>
  </r>
  <r>
    <n v="67901584"/>
    <x v="15"/>
    <n v="3765"/>
    <d v="2023-04-28T00:00:00"/>
    <x v="51"/>
    <x v="11"/>
    <n v="8.5199999999999998E-3"/>
    <n v="32.077799999999996"/>
    <s v="BR"/>
    <x v="1"/>
    <x v="6"/>
    <s v="Q2"/>
    <n v="154"/>
    <n v="24.448051948051948"/>
    <s v="48oz"/>
    <n v="1"/>
    <n v="3765"/>
    <n v="32.077799999999996"/>
    <n v="24.448051948051948"/>
  </r>
  <r>
    <n v="68188183"/>
    <x v="15"/>
    <n v="1219"/>
    <d v="2023-04-28T00:00:00"/>
    <x v="70"/>
    <x v="9"/>
    <n v="3.8340000000000002E-3"/>
    <n v="4.6736460000000006"/>
    <s v="PS"/>
    <x v="1"/>
    <x v="3"/>
    <s v="Q2"/>
    <n v="130"/>
    <n v="9.3769230769230774"/>
    <s v="PG"/>
    <n v="1"/>
    <n v="1219"/>
    <n v="4.6736460000000006"/>
    <n v="9.3769230769230774"/>
  </r>
  <r>
    <n v="68300738"/>
    <x v="15"/>
    <n v="0"/>
    <d v="2023-04-28T00:00:00"/>
    <x v="120"/>
    <x v="19"/>
    <n v="8.4960000000000001E-3"/>
    <n v="0"/>
    <s v="KL"/>
    <x v="1"/>
    <x v="8"/>
    <s v="Q2"/>
    <n v="132"/>
    <n v="0"/>
    <s v="EDF"/>
    <n v="1"/>
    <n v="0"/>
    <n v="0"/>
    <n v="0"/>
  </r>
  <r>
    <n v="68634167"/>
    <x v="15"/>
    <n v="4485"/>
    <d v="2023-04-28T00:00:00"/>
    <x v="91"/>
    <x v="16"/>
    <n v="8.5199999999999998E-3"/>
    <n v="38.212199999999996"/>
    <s v="BR"/>
    <x v="1"/>
    <x v="6"/>
    <s v="Q2"/>
    <n v="154"/>
    <n v="29.123376623376622"/>
    <s v="48oz"/>
    <n v="1"/>
    <n v="4485"/>
    <n v="38.212199999999996"/>
    <n v="29.123376623376622"/>
  </r>
  <r>
    <n v="68634169"/>
    <x v="15"/>
    <n v="5525"/>
    <d v="2023-04-28T00:00:00"/>
    <x v="149"/>
    <x v="16"/>
    <n v="8.5199999999999998E-3"/>
    <n v="47.073"/>
    <s v="BR"/>
    <x v="1"/>
    <x v="6"/>
    <s v="Q2"/>
    <n v="154"/>
    <n v="35.876623376623378"/>
    <s v="48oz"/>
    <n v="1"/>
    <n v="5525"/>
    <n v="47.073"/>
    <n v="35.876623376623378"/>
  </r>
  <r>
    <n v="68741714"/>
    <x v="15"/>
    <n v="8061"/>
    <d v="2023-04-28T00:00:00"/>
    <x v="24"/>
    <x v="24"/>
    <n v="2.8319999999999999E-3"/>
    <n v="22.828751999999998"/>
    <s v="GH"/>
    <x v="1"/>
    <x v="4"/>
    <s v="Q2"/>
    <n v="225"/>
    <n v="35.826666666666668"/>
    <s v="MBG"/>
    <n v="1"/>
    <n v="8061"/>
    <n v="22.828751999999998"/>
    <n v="35.826666666666668"/>
  </r>
  <r>
    <n v="68741742"/>
    <x v="15"/>
    <n v="6711"/>
    <d v="2023-04-28T00:00:00"/>
    <x v="25"/>
    <x v="4"/>
    <n v="4.2560000000000002E-3"/>
    <n v="28.562016"/>
    <s v="GH"/>
    <x v="1"/>
    <x v="4"/>
    <s v="Q2"/>
    <n v="154"/>
    <n v="43.577922077922075"/>
    <s v="MBG"/>
    <n v="1"/>
    <n v="6711"/>
    <n v="28.562016"/>
    <n v="43.577922077922075"/>
  </r>
  <r>
    <n v="68921994"/>
    <x v="15"/>
    <n v="4777"/>
    <d v="2023-04-28T00:00:00"/>
    <x v="258"/>
    <x v="20"/>
    <n v="9.5879999999999993E-3"/>
    <n v="45.801876"/>
    <s v="KL"/>
    <x v="1"/>
    <x v="8"/>
    <s v="Q2"/>
    <n v="132"/>
    <n v="36.189393939393938"/>
    <s v="EDF"/>
    <n v="1"/>
    <n v="4777"/>
    <n v="45.801876"/>
    <n v="36.189393939393938"/>
  </r>
  <r>
    <n v="67885719"/>
    <x v="16"/>
    <n v="12620"/>
    <d v="2023-04-28T00:00:00"/>
    <x v="11"/>
    <x v="32"/>
    <n v="8.5199999999999998E-3"/>
    <n v="107.52239999999999"/>
    <s v="BR"/>
    <x v="1"/>
    <x v="2"/>
    <s v="Q2"/>
    <n v="154"/>
    <n v="81.948051948051955"/>
    <s v="48oz"/>
    <n v="1"/>
    <n v="12620"/>
    <n v="107.52239999999999"/>
    <n v="81.948051948051955"/>
  </r>
  <r>
    <n v="68354586"/>
    <x v="16"/>
    <n v="11389"/>
    <d v="2023-04-28T00:00:00"/>
    <x v="309"/>
    <x v="15"/>
    <n v="3.5999999999999999E-3"/>
    <n v="41.000399999999999"/>
    <s v="BJ"/>
    <x v="1"/>
    <x v="19"/>
    <s v="Q2"/>
    <n v="240"/>
    <n v="47.454166666666666"/>
    <s v="TOPPED"/>
    <n v="1"/>
    <n v="11389"/>
    <n v="41.000399999999999"/>
    <n v="47.454166666666666"/>
  </r>
  <r>
    <n v="68689253"/>
    <x v="16"/>
    <n v="3578"/>
    <d v="2023-04-28T00:00:00"/>
    <x v="125"/>
    <x v="18"/>
    <n v="6.0035555555555554E-3"/>
    <n v="21.480721777777777"/>
    <s v="KL"/>
    <x v="1"/>
    <x v="9"/>
    <s v="Q2"/>
    <n v="120"/>
    <n v="29.816666666666666"/>
    <s v="ESS"/>
    <n v="1"/>
    <n v="3578"/>
    <n v="21.480721777777777"/>
    <n v="29.816666666666666"/>
  </r>
  <r>
    <n v="68741742"/>
    <x v="16"/>
    <n v="2206"/>
    <d v="2023-04-28T00:00:00"/>
    <x v="25"/>
    <x v="25"/>
    <n v="4.2560000000000002E-3"/>
    <n v="9.3887359999999997"/>
    <s v="GH"/>
    <x v="1"/>
    <x v="11"/>
    <s v="Q2"/>
    <n v="154"/>
    <n v="14.324675324675324"/>
    <s v="MBG"/>
    <n v="1"/>
    <n v="2206"/>
    <n v="9.3887359999999997"/>
    <n v="14.324675324675324"/>
  </r>
  <r>
    <n v="68746232"/>
    <x v="16"/>
    <n v="3658"/>
    <d v="2023-04-28T00:00:00"/>
    <x v="154"/>
    <x v="26"/>
    <n v="9.5879999999999993E-3"/>
    <n v="35.072903999999994"/>
    <s v="KL"/>
    <x v="1"/>
    <x v="12"/>
    <s v="Q2"/>
    <n v="132"/>
    <n v="27.712121212121211"/>
    <s v="EDF"/>
    <n v="1"/>
    <n v="3658"/>
    <n v="35.072903999999994"/>
    <n v="27.712121212121211"/>
  </r>
  <r>
    <n v="68896054"/>
    <x v="16"/>
    <n v="7294"/>
    <d v="2023-04-28T00:00:00"/>
    <x v="181"/>
    <x v="2"/>
    <n v="8.5199999999999998E-3"/>
    <n v="62.144880000000001"/>
    <s v="BR"/>
    <x v="1"/>
    <x v="2"/>
    <s v="Q2"/>
    <n v="176"/>
    <n v="41.44318181818182"/>
    <s v="48oz"/>
    <n v="1"/>
    <n v="7294"/>
    <n v="62.144880000000001"/>
    <n v="41.44318181818182"/>
  </r>
  <r>
    <n v="68914406"/>
    <x v="16"/>
    <n v="315"/>
    <d v="2023-04-28T00:00:00"/>
    <x v="78"/>
    <x v="27"/>
    <n v="2.124E-3"/>
    <n v="0.66905999999999999"/>
    <s v="KL"/>
    <x v="1"/>
    <x v="9"/>
    <s v="Q2"/>
    <n v="352"/>
    <n v="0.89488636363636365"/>
    <s v="ESS"/>
    <n v="1"/>
    <n v="315"/>
    <n v="0.66905999999999999"/>
    <n v="0.89488636363636365"/>
  </r>
  <r>
    <n v="68922045"/>
    <x v="16"/>
    <n v="5147"/>
    <d v="2023-04-28T00:00:00"/>
    <x v="337"/>
    <x v="22"/>
    <n v="3.7839999999999996E-3"/>
    <n v="19.476247999999998"/>
    <s v="TA"/>
    <x v="1"/>
    <x v="10"/>
    <s v="Q2"/>
    <n v="255"/>
    <n v="20.184313725490195"/>
    <s v="TALENTI"/>
    <n v="1"/>
    <n v="5147"/>
    <n v="19.476247999999998"/>
    <n v="20.184313725490195"/>
  </r>
  <r>
    <n v="68922108"/>
    <x v="16"/>
    <n v="25319"/>
    <d v="2023-04-28T00:00:00"/>
    <x v="184"/>
    <x v="21"/>
    <n v="3.7839999999999996E-3"/>
    <n v="95.807095999999987"/>
    <s v="TA"/>
    <x v="1"/>
    <x v="10"/>
    <s v="Q2"/>
    <n v="255"/>
    <n v="99.290196078431379"/>
    <s v="TALENTI"/>
    <n v="1"/>
    <n v="25319"/>
    <n v="95.807095999999987"/>
    <n v="99.290196078431379"/>
  </r>
  <r>
    <n v="69568963"/>
    <x v="16"/>
    <n v="9382"/>
    <d v="2023-04-28T00:00:00"/>
    <x v="94"/>
    <x v="13"/>
    <n v="8.5199999999999998E-3"/>
    <n v="79.934640000000002"/>
    <s v="BR"/>
    <x v="1"/>
    <x v="2"/>
    <s v="Q2"/>
    <n v="176"/>
    <n v="53.30681818181818"/>
    <s v="48oz"/>
    <n v="1"/>
    <n v="9382"/>
    <n v="79.934640000000002"/>
    <n v="53.30681818181818"/>
  </r>
  <r>
    <n v="69586716"/>
    <x v="16"/>
    <n v="7149"/>
    <d v="2023-04-28T00:00:00"/>
    <x v="6"/>
    <x v="5"/>
    <n v="2.0400000000000001E-3"/>
    <n v="14.583960000000001"/>
    <s v="MG"/>
    <x v="1"/>
    <x v="5"/>
    <s v="Q2"/>
    <n v="210"/>
    <n v="34.042857142857144"/>
    <s v="MG Sticks"/>
    <n v="1"/>
    <n v="7149"/>
    <n v="14.583960000000001"/>
    <n v="34.042857142857144"/>
  </r>
  <r>
    <n v="69621212"/>
    <x v="16"/>
    <n v="4857"/>
    <d v="2023-04-28T00:00:00"/>
    <x v="29"/>
    <x v="28"/>
    <n v="5.2680000000000001E-3"/>
    <n v="25.586676000000001"/>
    <s v="PG"/>
    <x v="1"/>
    <x v="14"/>
    <s v="Q2"/>
    <n v="130"/>
    <n v="37.361538461538458"/>
    <s v="PG"/>
    <n v="1"/>
    <n v="4857"/>
    <n v="25.586676000000001"/>
    <n v="37.361538461538458"/>
  </r>
  <r>
    <n v="69677917"/>
    <x v="16"/>
    <n v="2205"/>
    <d v="2023-04-28T00:00:00"/>
    <x v="30"/>
    <x v="30"/>
    <n v="5.2680000000000001E-3"/>
    <n v="11.61594"/>
    <s v="PS"/>
    <x v="1"/>
    <x v="14"/>
    <s v="Q2"/>
    <n v="108"/>
    <n v="20.416666666666668"/>
    <s v="PG"/>
    <n v="1"/>
    <n v="2205"/>
    <n v="11.61594"/>
    <n v="20.416666666666668"/>
  </r>
  <r>
    <n v="69706147"/>
    <x v="16"/>
    <n v="5778"/>
    <d v="2023-04-28T00:00:00"/>
    <x v="195"/>
    <x v="31"/>
    <n v="3.8999999999999998E-3"/>
    <n v="22.534199999999998"/>
    <s v="TA"/>
    <x v="1"/>
    <x v="42"/>
    <s v="Q2"/>
    <n v="176"/>
    <n v="32.829545454545453"/>
    <s v="TAL NV"/>
    <n v="1"/>
    <n v="5778"/>
    <n v="22.534199999999998"/>
    <n v="32.829545454545453"/>
  </r>
  <r>
    <n v="67465064"/>
    <x v="15"/>
    <n v="4647"/>
    <d v="2023-04-29T00:00:00"/>
    <x v="7"/>
    <x v="3"/>
    <n v="1.596E-3"/>
    <n v="7.4166119999999998"/>
    <s v="PS"/>
    <x v="1"/>
    <x v="3"/>
    <s v="Q2"/>
    <n v="130"/>
    <n v="35.746153846153845"/>
    <s v="PG"/>
    <n v="1"/>
    <n v="4647"/>
    <n v="7.4166119999999998"/>
    <n v="35.746153846153845"/>
  </r>
  <r>
    <n v="67901593"/>
    <x v="15"/>
    <n v="1917"/>
    <d v="2023-04-29T00:00:00"/>
    <x v="68"/>
    <x v="12"/>
    <n v="8.5199999999999998E-3"/>
    <n v="16.332840000000001"/>
    <s v="BR"/>
    <x v="1"/>
    <x v="6"/>
    <s v="Q2"/>
    <n v="154"/>
    <n v="12.448051948051948"/>
    <s v="48oz"/>
    <n v="1"/>
    <n v="1917"/>
    <n v="16.332840000000001"/>
    <n v="12.448051948051948"/>
  </r>
  <r>
    <n v="68689251"/>
    <x v="15"/>
    <n v="5598"/>
    <d v="2023-04-29T00:00:00"/>
    <x v="17"/>
    <x v="17"/>
    <n v="9.5760000000000012E-3"/>
    <n v="53.606448000000007"/>
    <s v="KL"/>
    <x v="1"/>
    <x v="8"/>
    <s v="Q2"/>
    <n v="132"/>
    <n v="42.409090909090907"/>
    <s v="EDF"/>
    <n v="1"/>
    <n v="5598"/>
    <n v="53.606448000000007"/>
    <n v="42.409090909090907"/>
  </r>
  <r>
    <n v="68689251"/>
    <x v="15"/>
    <n v="4293"/>
    <d v="2023-04-29T00:00:00"/>
    <x v="17"/>
    <x v="19"/>
    <n v="9.5760000000000012E-3"/>
    <n v="41.109768000000003"/>
    <s v="KL"/>
    <x v="1"/>
    <x v="8"/>
    <s v="Q2"/>
    <n v="132"/>
    <n v="32.522727272727273"/>
    <s v="EDF"/>
    <n v="1"/>
    <n v="4293"/>
    <n v="41.109768000000003"/>
    <n v="32.522727272727273"/>
  </r>
  <r>
    <n v="68741714"/>
    <x v="15"/>
    <n v="5935"/>
    <d v="2023-04-29T00:00:00"/>
    <x v="24"/>
    <x v="24"/>
    <n v="2.8319999999999999E-3"/>
    <n v="16.807919999999999"/>
    <s v="GH"/>
    <x v="1"/>
    <x v="4"/>
    <s v="Q2"/>
    <n v="225"/>
    <n v="26.377777777777776"/>
    <s v="MBG"/>
    <n v="1"/>
    <n v="5935"/>
    <n v="16.807919999999999"/>
    <n v="26.377777777777776"/>
  </r>
  <r>
    <n v="68817794"/>
    <x v="15"/>
    <n v="11953"/>
    <d v="2023-04-29T00:00:00"/>
    <x v="67"/>
    <x v="23"/>
    <n v="8.5199999999999998E-3"/>
    <n v="101.83955999999999"/>
    <s v="BR"/>
    <x v="1"/>
    <x v="6"/>
    <s v="Q2"/>
    <n v="176"/>
    <n v="67.914772727272734"/>
    <s v="48oz"/>
    <n v="1"/>
    <n v="11953"/>
    <n v="101.83955999999999"/>
    <n v="67.914772727272734"/>
  </r>
  <r>
    <n v="68921994"/>
    <x v="15"/>
    <n v="0"/>
    <d v="2023-04-29T00:00:00"/>
    <x v="258"/>
    <x v="20"/>
    <n v="9.5879999999999993E-3"/>
    <n v="0"/>
    <s v="KL"/>
    <x v="1"/>
    <x v="8"/>
    <s v="Q2"/>
    <n v="132"/>
    <n v="0"/>
    <s v="EDF"/>
    <n v="1"/>
    <n v="0"/>
    <n v="0"/>
    <n v="0"/>
  </r>
  <r>
    <n v="69551489"/>
    <x v="15"/>
    <n v="0"/>
    <d v="2023-04-29T00:00:00"/>
    <x v="338"/>
    <x v="4"/>
    <n v="3.8989043190215313E-3"/>
    <n v="0"/>
    <s v="GH"/>
    <x v="1"/>
    <x v="4"/>
    <s v="Q2"/>
    <n v="154"/>
    <n v="0"/>
    <s v="MBG"/>
    <n v="1"/>
    <n v="0"/>
    <n v="0"/>
    <n v="0"/>
  </r>
  <r>
    <n v="67904289"/>
    <x v="17"/>
    <n v="45225"/>
    <d v="2023-04-29T00:00:00"/>
    <x v="235"/>
    <x v="33"/>
    <n v="3.7839999999999996E-3"/>
    <n v="171.13139999999999"/>
    <s v="BJ"/>
    <x v="1"/>
    <x v="15"/>
    <s v="Q2"/>
    <n v="240"/>
    <n v="188.4375"/>
    <s v="BJ PTS"/>
    <n v="1"/>
    <n v="45225"/>
    <n v="171.13139999999999"/>
    <n v="188.4375"/>
  </r>
  <r>
    <n v="68631416"/>
    <x v="17"/>
    <n v="9427"/>
    <d v="2023-04-29T00:00:00"/>
    <x v="191"/>
    <x v="35"/>
    <n v="3.7839999999999996E-3"/>
    <n v="35.671767999999993"/>
    <s v="BJ"/>
    <x v="1"/>
    <x v="24"/>
    <s v="Q2"/>
    <n v="240"/>
    <n v="39.279166666666669"/>
    <s v="PTS Exports"/>
    <n v="1"/>
    <n v="9427"/>
    <n v="35.671767999999993"/>
    <n v="39.279166666666669"/>
  </r>
  <r>
    <n v="84150840"/>
    <x v="17"/>
    <n v="26697"/>
    <d v="2023-04-29T00:00:00"/>
    <x v="251"/>
    <x v="33"/>
    <n v="1.4399999999999999E-3"/>
    <n v="38.443679999999993"/>
    <s v="BJ"/>
    <x v="1"/>
    <x v="16"/>
    <s v="Q2"/>
    <n v="510"/>
    <n v="52.347058823529409"/>
    <s v="B&amp;J Cups"/>
    <n v="1"/>
    <n v="26697"/>
    <n v="38.443679999999993"/>
    <n v="52.347058823529409"/>
  </r>
  <r>
    <n v="67466462"/>
    <x v="15"/>
    <n v="4088"/>
    <d v="2023-04-29T00:00:00"/>
    <x v="29"/>
    <x v="6"/>
    <n v="5.2680000000000001E-3"/>
    <n v="21.535584"/>
    <s v="PS"/>
    <x v="1"/>
    <x v="3"/>
    <s v="Q2"/>
    <n v="130"/>
    <n v="31.446153846153845"/>
    <s v="PG"/>
    <n v="1"/>
    <n v="4088"/>
    <n v="21.535584"/>
    <n v="31.446153846153845"/>
  </r>
  <r>
    <n v="67466492"/>
    <x v="15"/>
    <n v="2346"/>
    <d v="2023-04-29T00:00:00"/>
    <x v="8"/>
    <x v="8"/>
    <n v="5.2680000000000001E-3"/>
    <n v="12.358728000000001"/>
    <s v="PS"/>
    <x v="1"/>
    <x v="3"/>
    <s v="Q2"/>
    <n v="130"/>
    <n v="18.046153846153846"/>
    <s v="PG"/>
    <n v="1"/>
    <n v="2346"/>
    <n v="12.358728000000001"/>
    <n v="18.046153846153846"/>
  </r>
  <r>
    <n v="68634167"/>
    <x v="15"/>
    <n v="7096"/>
    <d v="2023-04-29T00:00:00"/>
    <x v="91"/>
    <x v="16"/>
    <n v="8.5199999999999998E-3"/>
    <n v="60.457920000000001"/>
    <s v="BR"/>
    <x v="1"/>
    <x v="6"/>
    <s v="Q2"/>
    <n v="154"/>
    <n v="46.077922077922075"/>
    <s v="48oz"/>
    <n v="1"/>
    <n v="7096"/>
    <n v="60.457920000000001"/>
    <n v="46.077922077922075"/>
  </r>
  <r>
    <n v="68741742"/>
    <x v="15"/>
    <n v="3409"/>
    <d v="2023-04-29T00:00:00"/>
    <x v="25"/>
    <x v="4"/>
    <n v="4.2560000000000002E-3"/>
    <n v="14.508704000000002"/>
    <s v="GH"/>
    <x v="1"/>
    <x v="4"/>
    <s v="Q2"/>
    <n v="154"/>
    <n v="22.136363636363637"/>
    <s v="MBG"/>
    <n v="1"/>
    <n v="3409"/>
    <n v="14.508704000000002"/>
    <n v="22.136363636363637"/>
  </r>
  <r>
    <n v="68852591"/>
    <x v="15"/>
    <n v="323"/>
    <d v="2023-04-29T00:00:00"/>
    <x v="26"/>
    <x v="17"/>
    <n v="8.5199999999999998E-3"/>
    <n v="2.75196"/>
    <s v="KL"/>
    <x v="1"/>
    <x v="8"/>
    <s v="Q2"/>
    <n v="132"/>
    <n v="2.4469696969696968"/>
    <s v="EDF"/>
    <n v="1"/>
    <n v="323"/>
    <n v="2.75196"/>
    <n v="2.4469696969696968"/>
  </r>
  <r>
    <n v="67885719"/>
    <x v="16"/>
    <n v="25254"/>
    <d v="2023-04-29T00:00:00"/>
    <x v="11"/>
    <x v="32"/>
    <n v="8.5199999999999998E-3"/>
    <n v="215.16407999999998"/>
    <s v="BR"/>
    <x v="1"/>
    <x v="2"/>
    <s v="Q2"/>
    <n v="154"/>
    <n v="163.98701298701297"/>
    <s v="48oz"/>
    <n v="1"/>
    <n v="25254"/>
    <n v="215.16407999999998"/>
    <n v="163.98701298701297"/>
  </r>
  <r>
    <n v="68689253"/>
    <x v="16"/>
    <n v="10"/>
    <d v="2023-04-29T00:00:00"/>
    <x v="125"/>
    <x v="18"/>
    <n v="6.0035555555555554E-3"/>
    <n v="6.003555555555555E-2"/>
    <s v="KL"/>
    <x v="1"/>
    <x v="9"/>
    <s v="Q2"/>
    <n v="120"/>
    <n v="8.3333333333333329E-2"/>
    <s v="ESS"/>
    <n v="1"/>
    <n v="10"/>
    <n v="6.003555555555555E-2"/>
    <n v="8.3333333333333329E-2"/>
  </r>
  <r>
    <n v="68728342"/>
    <x v="16"/>
    <n v="11716"/>
    <d v="2023-04-29T00:00:00"/>
    <x v="44"/>
    <x v="22"/>
    <n v="3.7853439999999999E-3"/>
    <n v="44.349090304000001"/>
    <s v="TA"/>
    <x v="1"/>
    <x v="10"/>
    <s v="Q2"/>
    <n v="255"/>
    <n v="45.945098039215686"/>
    <s v="TALENTI"/>
    <n v="1"/>
    <n v="11716"/>
    <n v="44.349090304000001"/>
    <n v="45.945098039215686"/>
  </r>
  <r>
    <n v="68741742"/>
    <x v="16"/>
    <n v="5376"/>
    <d v="2023-04-29T00:00:00"/>
    <x v="25"/>
    <x v="25"/>
    <n v="4.2560000000000002E-3"/>
    <n v="22.880256000000003"/>
    <s v="GH"/>
    <x v="1"/>
    <x v="11"/>
    <s v="Q2"/>
    <n v="154"/>
    <n v="34.909090909090907"/>
    <s v="MBG"/>
    <n v="1"/>
    <n v="5376"/>
    <n v="22.880256000000003"/>
    <n v="34.909090909090907"/>
  </r>
  <r>
    <n v="68746232"/>
    <x v="16"/>
    <n v="3935"/>
    <d v="2023-04-29T00:00:00"/>
    <x v="154"/>
    <x v="26"/>
    <n v="9.5879999999999993E-3"/>
    <n v="37.72878"/>
    <s v="KL"/>
    <x v="1"/>
    <x v="12"/>
    <s v="Q2"/>
    <n v="132"/>
    <n v="29.810606060606062"/>
    <s v="EDF"/>
    <n v="1"/>
    <n v="3935"/>
    <n v="37.72878"/>
    <n v="29.810606060606062"/>
  </r>
  <r>
    <n v="68922108"/>
    <x v="16"/>
    <n v="38425"/>
    <d v="2023-04-29T00:00:00"/>
    <x v="184"/>
    <x v="21"/>
    <n v="3.7839999999999996E-3"/>
    <n v="145.40019999999998"/>
    <s v="TA"/>
    <x v="1"/>
    <x v="10"/>
    <s v="Q2"/>
    <n v="255"/>
    <n v="150.68627450980392"/>
    <s v="TALENTI"/>
    <n v="1"/>
    <n v="38425"/>
    <n v="145.40019999999998"/>
    <n v="150.68627450980392"/>
  </r>
  <r>
    <n v="69568963"/>
    <x v="16"/>
    <n v="15345"/>
    <d v="2023-04-29T00:00:00"/>
    <x v="94"/>
    <x v="13"/>
    <n v="8.5199999999999998E-3"/>
    <n v="130.73939999999999"/>
    <s v="BR"/>
    <x v="1"/>
    <x v="2"/>
    <s v="Q2"/>
    <n v="176"/>
    <n v="87.1875"/>
    <s v="48oz"/>
    <n v="1"/>
    <n v="15345"/>
    <n v="130.73939999999999"/>
    <n v="87.1875"/>
  </r>
  <r>
    <n v="69586716"/>
    <x v="16"/>
    <n v="12299"/>
    <d v="2023-04-29T00:00:00"/>
    <x v="6"/>
    <x v="5"/>
    <n v="2.0400000000000001E-3"/>
    <n v="25.089960000000001"/>
    <s v="MG"/>
    <x v="1"/>
    <x v="5"/>
    <s v="Q2"/>
    <n v="210"/>
    <n v="58.56666666666667"/>
    <s v="MG Sticks"/>
    <n v="1"/>
    <n v="12299"/>
    <n v="25.089960000000001"/>
    <n v="58.56666666666667"/>
  </r>
  <r>
    <n v="69621212"/>
    <x v="16"/>
    <n v="5622"/>
    <d v="2023-04-29T00:00:00"/>
    <x v="29"/>
    <x v="28"/>
    <n v="5.2680000000000001E-3"/>
    <n v="29.616696000000001"/>
    <s v="PG"/>
    <x v="1"/>
    <x v="14"/>
    <s v="Q2"/>
    <n v="130"/>
    <n v="43.246153846153845"/>
    <s v="PG"/>
    <n v="1"/>
    <n v="5622"/>
    <n v="29.616696000000001"/>
    <n v="43.246153846153845"/>
  </r>
  <r>
    <n v="69677917"/>
    <x v="16"/>
    <n v="4665"/>
    <d v="2023-04-29T00:00:00"/>
    <x v="30"/>
    <x v="30"/>
    <n v="5.2680000000000001E-3"/>
    <n v="24.575220000000002"/>
    <s v="PS"/>
    <x v="1"/>
    <x v="14"/>
    <s v="Q2"/>
    <n v="108"/>
    <n v="43.194444444444443"/>
    <s v="PG"/>
    <n v="1"/>
    <n v="4665"/>
    <n v="24.575220000000002"/>
    <n v="43.194444444444443"/>
  </r>
  <r>
    <n v="69565376"/>
    <x v="17"/>
    <n v="35979"/>
    <d v="2023-04-29T00:00:00"/>
    <x v="206"/>
    <x v="35"/>
    <n v="3.7839999999999996E-3"/>
    <n v="136.14453599999999"/>
    <s v="BJ"/>
    <x v="1"/>
    <x v="15"/>
    <s v="Q2"/>
    <n v="240"/>
    <n v="149.91249999999999"/>
    <s v="BJ PTS"/>
    <n v="1"/>
    <n v="35979"/>
    <n v="136.14453599999999"/>
    <n v="149.91249999999999"/>
  </r>
  <r>
    <n v="68896052"/>
    <x v="16"/>
    <n v="4752"/>
    <d v="2023-04-29T00:00:00"/>
    <x v="36"/>
    <x v="2"/>
    <n v="8.5199999999999998E-3"/>
    <n v="40.48704"/>
    <s v="BR"/>
    <x v="1"/>
    <x v="2"/>
    <s v="Q2"/>
    <n v="176"/>
    <n v="27"/>
    <s v="48oz"/>
    <n v="1"/>
    <n v="4752"/>
    <n v="40.48704"/>
    <n v="27"/>
  </r>
  <r>
    <n v="68896054"/>
    <x v="16"/>
    <n v="4269"/>
    <d v="2023-04-29T00:00:00"/>
    <x v="181"/>
    <x v="2"/>
    <n v="8.5199999999999998E-3"/>
    <n v="36.371879999999997"/>
    <s v="BR"/>
    <x v="1"/>
    <x v="2"/>
    <s v="Q2"/>
    <n v="176"/>
    <n v="24.255681818181817"/>
    <s v="48oz"/>
    <n v="1"/>
    <n v="4269"/>
    <n v="36.371879999999997"/>
    <n v="24.255681818181817"/>
  </r>
  <r>
    <n v="67465064"/>
    <x v="15"/>
    <n v="3634"/>
    <d v="2023-04-30T00:00:00"/>
    <x v="7"/>
    <x v="3"/>
    <n v="1.596E-3"/>
    <n v="5.7998640000000004"/>
    <s v="PS"/>
    <x v="1"/>
    <x v="3"/>
    <s v="Q2"/>
    <n v="130"/>
    <n v="27.953846153846154"/>
    <s v="PG"/>
    <n v="1"/>
    <n v="3634"/>
    <n v="5.7998640000000004"/>
    <n v="27.953846153846154"/>
  </r>
  <r>
    <n v="68689251"/>
    <x v="15"/>
    <n v="0"/>
    <d v="2023-04-30T00:00:00"/>
    <x v="17"/>
    <x v="17"/>
    <n v="9.5760000000000012E-3"/>
    <n v="0"/>
    <s v="KL"/>
    <x v="1"/>
    <x v="8"/>
    <s v="Q2"/>
    <n v="132"/>
    <n v="0"/>
    <s v="EDF"/>
    <n v="1"/>
    <n v="0"/>
    <n v="0"/>
    <n v="0"/>
  </r>
  <r>
    <n v="68689251"/>
    <x v="15"/>
    <n v="3999"/>
    <d v="2023-04-30T00:00:00"/>
    <x v="17"/>
    <x v="19"/>
    <n v="9.5760000000000012E-3"/>
    <n v="38.294424000000006"/>
    <s v="KL"/>
    <x v="1"/>
    <x v="8"/>
    <s v="Q2"/>
    <n v="132"/>
    <n v="30.295454545454547"/>
    <s v="EDF"/>
    <n v="1"/>
    <n v="3999"/>
    <n v="38.294424000000006"/>
    <n v="30.295454545454547"/>
  </r>
  <r>
    <n v="68741714"/>
    <x v="15"/>
    <n v="1062"/>
    <d v="2023-04-30T00:00:00"/>
    <x v="24"/>
    <x v="24"/>
    <n v="2.8319999999999999E-3"/>
    <n v="3.007584"/>
    <s v="GH"/>
    <x v="1"/>
    <x v="4"/>
    <s v="Q2"/>
    <n v="225"/>
    <n v="4.72"/>
    <s v="MBG"/>
    <n v="1"/>
    <n v="1062"/>
    <n v="3.007584"/>
    <n v="4.72"/>
  </r>
  <r>
    <n v="68741745"/>
    <x v="15"/>
    <n v="0"/>
    <d v="2023-04-30T00:00:00"/>
    <x v="281"/>
    <x v="24"/>
    <n v="2.8319999999999999E-3"/>
    <n v="0"/>
    <s v="GH"/>
    <x v="1"/>
    <x v="4"/>
    <s v="Q2"/>
    <n v="315"/>
    <n v="0"/>
    <s v="MBG"/>
    <n v="1"/>
    <n v="0"/>
    <n v="0"/>
    <n v="0"/>
  </r>
  <r>
    <n v="68817794"/>
    <x v="15"/>
    <n v="13837"/>
    <d v="2023-04-30T00:00:00"/>
    <x v="67"/>
    <x v="23"/>
    <n v="8.5199999999999998E-3"/>
    <n v="117.89124"/>
    <s v="BR"/>
    <x v="1"/>
    <x v="6"/>
    <s v="Q2"/>
    <n v="176"/>
    <n v="78.619318181818187"/>
    <s v="48oz"/>
    <n v="1"/>
    <n v="13837"/>
    <n v="117.89124"/>
    <n v="78.619318181818187"/>
  </r>
  <r>
    <n v="68852591"/>
    <x v="15"/>
    <n v="2764"/>
    <d v="2023-04-30T00:00:00"/>
    <x v="26"/>
    <x v="17"/>
    <n v="8.5199999999999998E-3"/>
    <n v="23.54928"/>
    <s v="KL"/>
    <x v="1"/>
    <x v="8"/>
    <s v="Q2"/>
    <n v="132"/>
    <n v="20.939393939393938"/>
    <s v="EDF"/>
    <n v="1"/>
    <n v="2764"/>
    <n v="23.54928"/>
    <n v="20.939393939393938"/>
  </r>
  <r>
    <n v="68921994"/>
    <x v="15"/>
    <n v="0"/>
    <d v="2023-04-30T00:00:00"/>
    <x v="258"/>
    <x v="20"/>
    <n v="9.5879999999999993E-3"/>
    <n v="0"/>
    <s v="KL"/>
    <x v="1"/>
    <x v="8"/>
    <s v="Q2"/>
    <n v="132"/>
    <n v="0"/>
    <s v="EDF"/>
    <n v="1"/>
    <n v="0"/>
    <n v="0"/>
    <n v="0"/>
  </r>
  <r>
    <n v="69551489"/>
    <x v="15"/>
    <n v="3078"/>
    <d v="2023-04-30T00:00:00"/>
    <x v="338"/>
    <x v="4"/>
    <n v="3.8989043190215313E-3"/>
    <n v="12.000827493948274"/>
    <s v="GH"/>
    <x v="1"/>
    <x v="4"/>
    <s v="Q2"/>
    <n v="154"/>
    <n v="19.987012987012989"/>
    <s v="MBG"/>
    <n v="1"/>
    <n v="3078"/>
    <n v="12.000827493948274"/>
    <n v="19.987012987012989"/>
  </r>
  <r>
    <n v="67794169"/>
    <x v="18"/>
    <n v="30000"/>
    <d v="2023-04-30T00:00:00"/>
    <x v="33"/>
    <x v="35"/>
    <n v="3.7853439999999999E-3"/>
    <n v="113.56032"/>
    <s v="BJ"/>
    <x v="1"/>
    <x v="36"/>
    <s v="Q2"/>
    <n v="240"/>
    <n v="125"/>
    <s v="BJ PTS"/>
    <n v="1"/>
    <n v="30000"/>
    <n v="113.56032"/>
    <n v="125"/>
  </r>
  <r>
    <n v="67278448"/>
    <x v="17"/>
    <n v="30168"/>
    <d v="2023-04-30T00:00:00"/>
    <x v="182"/>
    <x v="34"/>
    <n v="3.7839999999999996E-3"/>
    <n v="114.15571199999999"/>
    <s v="BJ"/>
    <x v="1"/>
    <x v="15"/>
    <s v="Q2"/>
    <n v="240"/>
    <n v="125.7"/>
    <s v="BJ PTS"/>
    <n v="1"/>
    <n v="30168"/>
    <n v="114.15571199999999"/>
    <n v="125.7"/>
  </r>
  <r>
    <n v="67420264"/>
    <x v="17"/>
    <n v="17394"/>
    <d v="2023-04-30T00:00:00"/>
    <x v="244"/>
    <x v="35"/>
    <n v="1.419504E-3"/>
    <n v="24.690852576000001"/>
    <s v="BJ"/>
    <x v="1"/>
    <x v="16"/>
    <s v="Q2"/>
    <n v="510"/>
    <n v="34.10588235294118"/>
    <s v="B&amp;J Cups"/>
    <n v="1"/>
    <n v="17394"/>
    <n v="24.690852576000001"/>
    <n v="34.10588235294118"/>
  </r>
  <r>
    <n v="67526826"/>
    <x v="17"/>
    <n v="35046"/>
    <d v="2023-04-30T00:00:00"/>
    <x v="187"/>
    <x v="38"/>
    <n v="3.7839999999999996E-3"/>
    <n v="132.61406399999998"/>
    <s v="BJ"/>
    <x v="1"/>
    <x v="15"/>
    <s v="Q2"/>
    <n v="240"/>
    <n v="146.02500000000001"/>
    <s v="BJ PTS"/>
    <n v="1"/>
    <n v="35046"/>
    <n v="132.61406399999998"/>
    <n v="146.02500000000001"/>
  </r>
  <r>
    <n v="68188514"/>
    <x v="17"/>
    <n v="30827"/>
    <d v="2023-04-30T00:00:00"/>
    <x v="180"/>
    <x v="35"/>
    <n v="3.7853439999999999E-3"/>
    <n v="116.690799488"/>
    <s v="BJ"/>
    <x v="1"/>
    <x v="15"/>
    <s v="Q2"/>
    <n v="240"/>
    <n v="128.44583333333333"/>
    <s v="BJ PTS"/>
    <n v="1"/>
    <n v="30827"/>
    <n v="116.690799488"/>
    <n v="128.44583333333333"/>
  </r>
  <r>
    <n v="68631390"/>
    <x v="17"/>
    <n v="7247"/>
    <d v="2023-04-30T00:00:00"/>
    <x v="177"/>
    <x v="35"/>
    <n v="3.7839999999999996E-3"/>
    <n v="27.422647999999999"/>
    <s v="BJ"/>
    <x v="1"/>
    <x v="24"/>
    <s v="Q2"/>
    <n v="240"/>
    <n v="30.195833333333333"/>
    <s v="PTS Exports"/>
    <n v="1"/>
    <n v="7247"/>
    <n v="27.422647999999999"/>
    <n v="30.195833333333333"/>
  </r>
  <r>
    <n v="68631418"/>
    <x v="17"/>
    <n v="8179"/>
    <d v="2023-04-30T00:00:00"/>
    <x v="202"/>
    <x v="35"/>
    <n v="3.7839999999999996E-3"/>
    <n v="30.949335999999995"/>
    <s v="BJ"/>
    <x v="1"/>
    <x v="24"/>
    <s v="Q2"/>
    <n v="240"/>
    <n v="34.079166666666666"/>
    <s v="PTS Exports"/>
    <n v="1"/>
    <n v="8179"/>
    <n v="30.949335999999995"/>
    <n v="34.079166666666666"/>
  </r>
  <r>
    <n v="67466462"/>
    <x v="15"/>
    <n v="4144"/>
    <d v="2023-04-30T00:00:00"/>
    <x v="29"/>
    <x v="6"/>
    <n v="5.2680000000000001E-3"/>
    <n v="21.830591999999999"/>
    <s v="PS"/>
    <x v="1"/>
    <x v="3"/>
    <s v="Q2"/>
    <n v="130"/>
    <n v="31.876923076923077"/>
    <s v="PG"/>
    <n v="1"/>
    <n v="4144"/>
    <n v="21.830591999999999"/>
    <n v="31.876923076923077"/>
  </r>
  <r>
    <n v="67466492"/>
    <x v="15"/>
    <n v="2118"/>
    <d v="2023-04-30T00:00:00"/>
    <x v="8"/>
    <x v="8"/>
    <n v="5.2680000000000001E-3"/>
    <n v="11.157624"/>
    <s v="PS"/>
    <x v="1"/>
    <x v="3"/>
    <s v="Q2"/>
    <n v="130"/>
    <n v="16.292307692307691"/>
    <s v="PG"/>
    <n v="1"/>
    <n v="2118"/>
    <n v="11.157624"/>
    <n v="16.292307692307691"/>
  </r>
  <r>
    <n v="68634167"/>
    <x v="15"/>
    <n v="13050"/>
    <d v="2023-04-30T00:00:00"/>
    <x v="91"/>
    <x v="16"/>
    <n v="8.5199999999999998E-3"/>
    <n v="111.18599999999999"/>
    <s v="BR"/>
    <x v="1"/>
    <x v="6"/>
    <s v="Q2"/>
    <n v="154"/>
    <n v="84.740259740259745"/>
    <s v="48oz"/>
    <n v="1"/>
    <n v="13050"/>
    <n v="111.18599999999999"/>
    <n v="84.740259740259745"/>
  </r>
  <r>
    <n v="68741742"/>
    <x v="15"/>
    <n v="0"/>
    <d v="2023-04-30T00:00:00"/>
    <x v="25"/>
    <x v="4"/>
    <n v="4.2560000000000002E-3"/>
    <n v="0"/>
    <s v="GH"/>
    <x v="1"/>
    <x v="4"/>
    <s v="Q2"/>
    <n v="154"/>
    <n v="0"/>
    <s v="MBG"/>
    <n v="1"/>
    <n v="0"/>
    <n v="0"/>
    <n v="0"/>
  </r>
  <r>
    <n v="67885719"/>
    <x v="16"/>
    <n v="17269"/>
    <d v="2023-04-30T00:00:00"/>
    <x v="11"/>
    <x v="32"/>
    <n v="8.5199999999999998E-3"/>
    <n v="147.13188"/>
    <s v="BR"/>
    <x v="1"/>
    <x v="2"/>
    <s v="Q2"/>
    <n v="154"/>
    <n v="112.13636363636364"/>
    <s v="48oz"/>
    <n v="1"/>
    <n v="17269"/>
    <n v="147.13188"/>
    <n v="112.13636363636364"/>
  </r>
  <r>
    <n v="68728342"/>
    <x v="16"/>
    <n v="10074"/>
    <d v="2023-04-30T00:00:00"/>
    <x v="44"/>
    <x v="22"/>
    <n v="3.7853439999999999E-3"/>
    <n v="38.133555455999996"/>
    <s v="TA"/>
    <x v="1"/>
    <x v="10"/>
    <s v="Q2"/>
    <n v="255"/>
    <n v="39.505882352941178"/>
    <s v="TALENTI"/>
    <n v="1"/>
    <n v="10074"/>
    <n v="38.133555455999996"/>
    <n v="39.505882352941178"/>
  </r>
  <r>
    <n v="68741742"/>
    <x v="16"/>
    <n v="7976"/>
    <d v="2023-04-30T00:00:00"/>
    <x v="25"/>
    <x v="25"/>
    <n v="4.2560000000000002E-3"/>
    <n v="33.945855999999999"/>
    <s v="GH"/>
    <x v="1"/>
    <x v="11"/>
    <s v="Q2"/>
    <n v="154"/>
    <n v="51.79220779220779"/>
    <s v="MBG"/>
    <n v="1"/>
    <n v="7976"/>
    <n v="33.945855999999999"/>
    <n v="51.79220779220779"/>
  </r>
  <r>
    <n v="68746232"/>
    <x v="16"/>
    <n v="3482"/>
    <d v="2023-04-30T00:00:00"/>
    <x v="154"/>
    <x v="26"/>
    <n v="9.5879999999999993E-3"/>
    <n v="33.385415999999999"/>
    <s v="KL"/>
    <x v="1"/>
    <x v="12"/>
    <s v="Q2"/>
    <n v="132"/>
    <n v="26.378787878787879"/>
    <s v="EDF"/>
    <n v="1"/>
    <n v="3482"/>
    <n v="33.385415999999999"/>
    <n v="26.378787878787879"/>
  </r>
  <r>
    <n v="68896052"/>
    <x v="16"/>
    <n v="14045"/>
    <d v="2023-04-30T00:00:00"/>
    <x v="36"/>
    <x v="2"/>
    <n v="8.5199999999999998E-3"/>
    <n v="119.6634"/>
    <s v="BR"/>
    <x v="1"/>
    <x v="2"/>
    <s v="Q2"/>
    <n v="176"/>
    <n v="79.80113636363636"/>
    <s v="48oz"/>
    <n v="1"/>
    <n v="14045"/>
    <n v="119.6634"/>
    <n v="79.80113636363636"/>
  </r>
  <r>
    <n v="68922108"/>
    <x v="16"/>
    <n v="30168"/>
    <d v="2023-04-30T00:00:00"/>
    <x v="184"/>
    <x v="21"/>
    <n v="3.7839999999999996E-3"/>
    <n v="114.15571199999999"/>
    <s v="TA"/>
    <x v="1"/>
    <x v="10"/>
    <s v="Q2"/>
    <n v="255"/>
    <n v="118.30588235294118"/>
    <s v="TALENTI"/>
    <n v="1"/>
    <n v="30168"/>
    <n v="114.15571199999999"/>
    <n v="118.30588235294118"/>
  </r>
  <r>
    <n v="69568963"/>
    <x v="16"/>
    <n v="14800"/>
    <d v="2023-04-30T00:00:00"/>
    <x v="94"/>
    <x v="13"/>
    <n v="8.5199999999999998E-3"/>
    <n v="126.096"/>
    <s v="BR"/>
    <x v="1"/>
    <x v="2"/>
    <s v="Q2"/>
    <n v="176"/>
    <n v="84.090909090909093"/>
    <s v="48oz"/>
    <n v="1"/>
    <n v="14800"/>
    <n v="126.096"/>
    <n v="84.090909090909093"/>
  </r>
  <r>
    <n v="69586716"/>
    <x v="16"/>
    <n v="10134"/>
    <d v="2023-04-30T00:00:00"/>
    <x v="6"/>
    <x v="5"/>
    <n v="2.0400000000000001E-3"/>
    <n v="20.673360000000002"/>
    <s v="MG"/>
    <x v="1"/>
    <x v="5"/>
    <s v="Q2"/>
    <n v="210"/>
    <n v="48.25714285714286"/>
    <s v="MG Sticks"/>
    <n v="1"/>
    <n v="10134"/>
    <n v="20.673360000000002"/>
    <n v="48.25714285714286"/>
  </r>
  <r>
    <n v="69621212"/>
    <x v="16"/>
    <n v="6637"/>
    <d v="2023-04-30T00:00:00"/>
    <x v="29"/>
    <x v="28"/>
    <n v="5.2680000000000001E-3"/>
    <n v="34.963715999999998"/>
    <s v="PG"/>
    <x v="1"/>
    <x v="14"/>
    <s v="Q2"/>
    <n v="130"/>
    <n v="51.053846153846152"/>
    <s v="PG"/>
    <n v="1"/>
    <n v="6637"/>
    <n v="34.963715999999998"/>
    <n v="51.053846153846152"/>
  </r>
  <r>
    <n v="69677917"/>
    <x v="16"/>
    <n v="3066"/>
    <d v="2023-04-30T00:00:00"/>
    <x v="30"/>
    <x v="30"/>
    <n v="5.2680000000000001E-3"/>
    <n v="16.151688"/>
    <s v="PS"/>
    <x v="1"/>
    <x v="14"/>
    <s v="Q2"/>
    <n v="108"/>
    <n v="28.388888888888889"/>
    <s v="PG"/>
    <n v="1"/>
    <n v="3066"/>
    <n v="16.151688"/>
    <n v="28.388888888888889"/>
  </r>
  <r>
    <n v="67465063"/>
    <x v="15"/>
    <n v="5919"/>
    <d v="2023-05-01T00:00:00"/>
    <x v="3"/>
    <x v="7"/>
    <n v="5.2680000000000001E-3"/>
    <n v="31.181291999999999"/>
    <s v="PS"/>
    <x v="4"/>
    <x v="3"/>
    <s v="Q2"/>
    <n v="130"/>
    <n v="45.530769230769231"/>
    <s v="PG"/>
    <n v="1"/>
    <n v="5919"/>
    <n v="31.181291999999999"/>
    <n v="45.530769230769231"/>
  </r>
  <r>
    <n v="67465063"/>
    <x v="15"/>
    <n v="1516"/>
    <d v="2023-05-01T00:00:00"/>
    <x v="3"/>
    <x v="40"/>
    <n v="5.2680000000000001E-3"/>
    <n v="7.9862880000000001"/>
    <s v="PS"/>
    <x v="4"/>
    <x v="3"/>
    <s v="Q2"/>
    <n v="130"/>
    <n v="11.661538461538461"/>
    <s v="PG"/>
    <n v="1"/>
    <n v="1516"/>
    <n v="7.9862880000000001"/>
    <n v="11.661538461538461"/>
  </r>
  <r>
    <n v="67466492"/>
    <x v="15"/>
    <n v="2230"/>
    <d v="2023-05-01T00:00:00"/>
    <x v="8"/>
    <x v="8"/>
    <n v="5.2680000000000001E-3"/>
    <n v="11.747640000000001"/>
    <s v="PS"/>
    <x v="4"/>
    <x v="3"/>
    <s v="Q2"/>
    <n v="130"/>
    <n v="17.153846153846153"/>
    <s v="PG"/>
    <n v="1"/>
    <n v="2230"/>
    <n v="11.747640000000001"/>
    <n v="17.153846153846153"/>
  </r>
  <r>
    <n v="68741745"/>
    <x v="15"/>
    <n v="3933"/>
    <d v="2023-05-01T00:00:00"/>
    <x v="281"/>
    <x v="24"/>
    <n v="2.8319999999999999E-3"/>
    <n v="11.138256"/>
    <s v="GH"/>
    <x v="4"/>
    <x v="4"/>
    <s v="Q2"/>
    <n v="315"/>
    <n v="12.485714285714286"/>
    <s v="MBG"/>
    <n v="1"/>
    <n v="3933"/>
    <n v="11.138256"/>
    <n v="12.485714285714286"/>
  </r>
  <r>
    <n v="68817794"/>
    <x v="15"/>
    <n v="0"/>
    <d v="2023-05-01T00:00:00"/>
    <x v="67"/>
    <x v="23"/>
    <n v="8.5199999999999998E-3"/>
    <n v="0"/>
    <s v="BR"/>
    <x v="4"/>
    <x v="6"/>
    <s v="Q2"/>
    <n v="176"/>
    <n v="0"/>
    <s v="48oz"/>
    <n v="1"/>
    <n v="0"/>
    <n v="0"/>
    <n v="0"/>
  </r>
  <r>
    <n v="68607438"/>
    <x v="16"/>
    <n v="0"/>
    <d v="2023-05-01T00:00:00"/>
    <x v="122"/>
    <x v="14"/>
    <n v="3.8999999999999998E-3"/>
    <n v="0"/>
    <s v="MG"/>
    <x v="4"/>
    <x v="5"/>
    <s v="Q2"/>
    <n v="176"/>
    <n v="0"/>
    <s v="MG Sticks"/>
    <n v="1"/>
    <n v="0"/>
    <n v="0"/>
    <n v="0"/>
  </r>
  <r>
    <n v="69568965"/>
    <x v="16"/>
    <n v="0"/>
    <d v="2023-05-01T00:00:00"/>
    <x v="298"/>
    <x v="2"/>
    <n v="8.5199999999999998E-3"/>
    <n v="0"/>
    <s v="BR"/>
    <x v="4"/>
    <x v="2"/>
    <s v="Q2"/>
    <n v="176"/>
    <n v="0"/>
    <s v="48oz"/>
    <n v="1"/>
    <n v="0"/>
    <n v="0"/>
    <n v="0"/>
  </r>
  <r>
    <n v="69577493"/>
    <x v="16"/>
    <n v="0"/>
    <d v="2023-05-01T00:00:00"/>
    <x v="252"/>
    <x v="5"/>
    <n v="2.0400000000000001E-3"/>
    <n v="0"/>
    <s v="MG"/>
    <x v="4"/>
    <x v="5"/>
    <s v="Q2"/>
    <n v="210"/>
    <n v="0"/>
    <s v="MG Sticks"/>
    <n v="1"/>
    <n v="0"/>
    <n v="0"/>
    <n v="0"/>
  </r>
  <r>
    <n v="69647063"/>
    <x v="16"/>
    <n v="0"/>
    <d v="2023-05-01T00:00:00"/>
    <x v="122"/>
    <x v="14"/>
    <n v="1.98E-3"/>
    <n v="0"/>
    <s v="MG"/>
    <x v="4"/>
    <x v="5"/>
    <s v="Q2"/>
    <n v="176"/>
    <n v="0"/>
    <s v="MG Sticks"/>
    <n v="1"/>
    <n v="0"/>
    <n v="0"/>
    <n v="0"/>
  </r>
  <r>
    <n v="67794169"/>
    <x v="18"/>
    <n v="70430"/>
    <d v="2023-05-01T00:00:00"/>
    <x v="33"/>
    <x v="35"/>
    <n v="3.7853439999999999E-3"/>
    <n v="266.60177792000002"/>
    <s v="BJ"/>
    <x v="4"/>
    <x v="36"/>
    <s v="Q2"/>
    <n v="240"/>
    <n v="293.45833333333331"/>
    <s v="BJ PTS"/>
    <n v="1"/>
    <n v="70430"/>
    <n v="266.60177792000002"/>
    <n v="293.45833333333331"/>
  </r>
  <r>
    <n v="68188511"/>
    <x v="17"/>
    <n v="29304"/>
    <d v="2023-05-01T00:00:00"/>
    <x v="188"/>
    <x v="33"/>
    <n v="3.7853439999999999E-3"/>
    <n v="110.925720576"/>
    <s v="BJ"/>
    <x v="4"/>
    <x v="15"/>
    <s v="Q2"/>
    <n v="240"/>
    <n v="122.1"/>
    <s v="BJ PTS"/>
    <n v="1"/>
    <n v="29304"/>
    <n v="110.925720576"/>
    <n v="122.1"/>
  </r>
  <r>
    <n v="84150071"/>
    <x v="17"/>
    <n v="4092"/>
    <d v="2023-05-01T00:00:00"/>
    <x v="117"/>
    <x v="33"/>
    <n v="1.4384307203870285E-3"/>
    <n v="5.8860585078237211"/>
    <s v="BJ"/>
    <x v="4"/>
    <x v="31"/>
    <s v="Q2"/>
    <n v="510"/>
    <n v="8.0235294117647058"/>
    <s v="Cup Exports"/>
    <n v="1"/>
    <n v="4092"/>
    <n v="5.8860585078237211"/>
    <n v="8.0235294117647058"/>
  </r>
  <r>
    <n v="67465064"/>
    <x v="15"/>
    <n v="4023"/>
    <d v="2023-05-01T00:00:00"/>
    <x v="7"/>
    <x v="3"/>
    <n v="1.596E-3"/>
    <n v="6.4207080000000003"/>
    <s v="PS"/>
    <x v="4"/>
    <x v="3"/>
    <s v="Q2"/>
    <n v="130"/>
    <n v="30.946153846153845"/>
    <s v="PG"/>
    <n v="1"/>
    <n v="4023"/>
    <n v="6.4207080000000003"/>
    <n v="30.946153846153845"/>
  </r>
  <r>
    <n v="67466462"/>
    <x v="15"/>
    <n v="3587"/>
    <d v="2023-05-01T00:00:00"/>
    <x v="29"/>
    <x v="6"/>
    <n v="5.2680000000000001E-3"/>
    <n v="18.896315999999999"/>
    <s v="PS"/>
    <x v="4"/>
    <x v="3"/>
    <s v="Q2"/>
    <n v="130"/>
    <n v="27.592307692307692"/>
    <s v="PG"/>
    <n v="1"/>
    <n v="3587"/>
    <n v="18.896315999999999"/>
    <n v="27.592307692307692"/>
  </r>
  <r>
    <n v="67476560"/>
    <x v="15"/>
    <n v="3320"/>
    <d v="2023-05-01T00:00:00"/>
    <x v="10"/>
    <x v="10"/>
    <n v="5.1060000000000003E-3"/>
    <n v="16.951920000000001"/>
    <s v="PS"/>
    <x v="4"/>
    <x v="3"/>
    <s v="Q2"/>
    <n v="130"/>
    <n v="25.53846153846154"/>
    <s v="PG"/>
    <n v="1"/>
    <n v="3320"/>
    <n v="16.951920000000001"/>
    <n v="25.53846153846154"/>
  </r>
  <r>
    <n v="67885724"/>
    <x v="15"/>
    <n v="9160"/>
    <d v="2023-05-01T00:00:00"/>
    <x v="49"/>
    <x v="12"/>
    <n v="8.5199999999999998E-3"/>
    <n v="78.043199999999999"/>
    <s v="BR"/>
    <x v="4"/>
    <x v="6"/>
    <s v="Q2"/>
    <n v="154"/>
    <n v="59.480519480519483"/>
    <s v="48oz"/>
    <n v="1"/>
    <n v="9160"/>
    <n v="78.043199999999999"/>
    <n v="59.480519480519483"/>
  </r>
  <r>
    <n v="67901583"/>
    <x v="15"/>
    <n v="12484"/>
    <d v="2023-05-01T00:00:00"/>
    <x v="50"/>
    <x v="11"/>
    <n v="8.5199999999999998E-3"/>
    <n v="106.36368"/>
    <s v="BR"/>
    <x v="4"/>
    <x v="6"/>
    <s v="Q2"/>
    <n v="154"/>
    <n v="81.064935064935071"/>
    <s v="48oz"/>
    <n v="1"/>
    <n v="12484"/>
    <n v="106.36368"/>
    <n v="81.064935064935071"/>
  </r>
  <r>
    <n v="68188183"/>
    <x v="15"/>
    <n v="1430"/>
    <d v="2023-05-01T00:00:00"/>
    <x v="70"/>
    <x v="9"/>
    <n v="3.8340000000000002E-3"/>
    <n v="5.4826199999999998"/>
    <s v="PS"/>
    <x v="4"/>
    <x v="3"/>
    <s v="Q2"/>
    <n v="130"/>
    <n v="11"/>
    <s v="PG"/>
    <n v="1"/>
    <n v="1430"/>
    <n v="5.4826199999999998"/>
    <n v="11"/>
  </r>
  <r>
    <n v="68634167"/>
    <x v="15"/>
    <n v="14615"/>
    <d v="2023-05-01T00:00:00"/>
    <x v="91"/>
    <x v="16"/>
    <n v="8.5199999999999998E-3"/>
    <n v="124.5198"/>
    <s v="BR"/>
    <x v="4"/>
    <x v="6"/>
    <s v="Q2"/>
    <n v="154"/>
    <n v="94.902597402597408"/>
    <s v="48oz"/>
    <n v="1"/>
    <n v="14615"/>
    <n v="124.5198"/>
    <n v="94.902597402597408"/>
  </r>
  <r>
    <n v="69551489"/>
    <x v="15"/>
    <n v="4928"/>
    <d v="2023-05-01T00:00:00"/>
    <x v="338"/>
    <x v="4"/>
    <n v="3.8989043190215313E-3"/>
    <n v="19.213800484138105"/>
    <s v="GH"/>
    <x v="4"/>
    <x v="4"/>
    <s v="Q2"/>
    <n v="154"/>
    <n v="32"/>
    <s v="MBG"/>
    <n v="1"/>
    <n v="4928"/>
    <n v="19.213800484138105"/>
    <n v="32"/>
  </r>
  <r>
    <n v="68354590"/>
    <x v="16"/>
    <n v="24476"/>
    <d v="2023-05-01T00:00:00"/>
    <x v="339"/>
    <x v="15"/>
    <n v="3.5999999999999999E-3"/>
    <n v="88.113599999999991"/>
    <s v="BJ"/>
    <x v="4"/>
    <x v="19"/>
    <s v="Q2"/>
    <n v="240"/>
    <n v="101.98333333333333"/>
    <s v="TOPPED"/>
    <n v="1"/>
    <n v="24476"/>
    <n v="88.113599999999991"/>
    <n v="101.98333333333333"/>
  </r>
  <r>
    <n v="68728342"/>
    <x v="16"/>
    <n v="7111"/>
    <d v="2023-05-01T00:00:00"/>
    <x v="44"/>
    <x v="22"/>
    <n v="3.7853439999999999E-3"/>
    <n v="26.917581183999999"/>
    <s v="TA"/>
    <x v="4"/>
    <x v="10"/>
    <s v="Q2"/>
    <n v="255"/>
    <n v="27.886274509803922"/>
    <s v="TALENTI"/>
    <n v="1"/>
    <n v="7111"/>
    <n v="26.917581183999999"/>
    <n v="27.886274509803922"/>
  </r>
  <r>
    <n v="68730234"/>
    <x v="16"/>
    <n v="31857"/>
    <d v="2023-05-01T00:00:00"/>
    <x v="21"/>
    <x v="21"/>
    <n v="3.7853440000000004E-3"/>
    <n v="120.58970380800001"/>
    <s v="TA"/>
    <x v="4"/>
    <x v="10"/>
    <s v="Q2"/>
    <n v="255"/>
    <n v="124.92941176470588"/>
    <s v="TALENTI"/>
    <n v="1"/>
    <n v="31857"/>
    <n v="120.58970380800001"/>
    <n v="124.92941176470588"/>
  </r>
  <r>
    <n v="68741742"/>
    <x v="16"/>
    <n v="2069"/>
    <d v="2023-05-01T00:00:00"/>
    <x v="25"/>
    <x v="25"/>
    <n v="4.2560000000000002E-3"/>
    <n v="8.8056640000000002"/>
    <s v="GH"/>
    <x v="4"/>
    <x v="11"/>
    <s v="Q2"/>
    <n v="154"/>
    <n v="13.435064935064934"/>
    <s v="MBG"/>
    <n v="1"/>
    <n v="2069"/>
    <n v="8.8056640000000002"/>
    <n v="13.435064935064934"/>
  </r>
  <r>
    <n v="69568963"/>
    <x v="16"/>
    <n v="6126"/>
    <d v="2023-05-01T00:00:00"/>
    <x v="94"/>
    <x v="13"/>
    <n v="8.5199999999999998E-3"/>
    <n v="52.193519999999999"/>
    <s v="BR"/>
    <x v="4"/>
    <x v="2"/>
    <s v="Q2"/>
    <n v="176"/>
    <n v="34.80681818181818"/>
    <s v="48oz"/>
    <n v="1"/>
    <n v="6126"/>
    <n v="52.193519999999999"/>
    <n v="34.80681818181818"/>
  </r>
  <r>
    <n v="69586716"/>
    <x v="16"/>
    <n v="7695"/>
    <d v="2023-05-01T00:00:00"/>
    <x v="6"/>
    <x v="5"/>
    <n v="2.0400000000000001E-3"/>
    <n v="15.697800000000001"/>
    <s v="MG"/>
    <x v="4"/>
    <x v="5"/>
    <s v="Q2"/>
    <n v="210"/>
    <n v="36.642857142857146"/>
    <s v="MG Sticks"/>
    <n v="1"/>
    <n v="7695"/>
    <n v="15.697800000000001"/>
    <n v="36.642857142857146"/>
  </r>
  <r>
    <n v="69621212"/>
    <x v="16"/>
    <n v="4646"/>
    <d v="2023-05-01T00:00:00"/>
    <x v="29"/>
    <x v="28"/>
    <n v="5.2680000000000001E-3"/>
    <n v="24.475128000000002"/>
    <s v="PG"/>
    <x v="4"/>
    <x v="14"/>
    <s v="Q2"/>
    <n v="130"/>
    <n v="35.738461538461536"/>
    <s v="PG"/>
    <n v="1"/>
    <n v="4646"/>
    <n v="24.475128000000002"/>
    <n v="35.738461538461536"/>
  </r>
  <r>
    <n v="69677917"/>
    <x v="16"/>
    <n v="1875"/>
    <d v="2023-05-01T00:00:00"/>
    <x v="30"/>
    <x v="30"/>
    <n v="5.2680000000000001E-3"/>
    <n v="9.8774999999999995"/>
    <s v="PS"/>
    <x v="4"/>
    <x v="14"/>
    <s v="Q2"/>
    <n v="108"/>
    <n v="17.361111111111111"/>
    <s v="PG"/>
    <n v="1"/>
    <n v="1875"/>
    <n v="9.8774999999999995"/>
    <n v="17.361111111111111"/>
  </r>
  <r>
    <n v="69706138"/>
    <x v="16"/>
    <n v="4956"/>
    <d v="2023-05-01T00:00:00"/>
    <x v="289"/>
    <x v="31"/>
    <n v="3.8999999999999998E-3"/>
    <n v="19.328399999999998"/>
    <s v="TA"/>
    <x v="4"/>
    <x v="42"/>
    <s v="Q2"/>
    <n v="176"/>
    <n v="28.15909090909091"/>
    <s v="TAL NV"/>
    <n v="1"/>
    <n v="4956"/>
    <n v="19.328399999999998"/>
    <n v="28.15909090909091"/>
  </r>
  <r>
    <n v="69552658"/>
    <x v="10"/>
    <n v="4158"/>
    <d v="2023-05-01T00:00:00"/>
    <x v="81"/>
    <x v="37"/>
    <n v="2.8390080000000001E-3"/>
    <n v="11.804595264"/>
    <s v="KL"/>
    <x v="4"/>
    <x v="29"/>
    <s v="Q2"/>
    <n v="189"/>
    <n v="22"/>
    <s v="ESS"/>
    <n v="1"/>
    <n v="4158"/>
    <n v="11.804595264"/>
    <n v="22"/>
  </r>
  <r>
    <n v="69557443"/>
    <x v="4"/>
    <n v="864"/>
    <d v="2023-04-01T00:00:00"/>
    <x v="28"/>
    <x v="1"/>
    <n v="5.3220000000000003E-3"/>
    <n v="4.5982080000000005"/>
    <s v="KL"/>
    <x v="1"/>
    <x v="13"/>
    <s v="Q2"/>
    <n v="120"/>
    <n v="7.2"/>
    <s v="KL Mini Cones"/>
    <n v="1"/>
    <n v="864"/>
    <n v="4.5982080000000005"/>
    <n v="7.2"/>
  </r>
  <r>
    <n v="69665113"/>
    <x v="9"/>
    <n v="0"/>
    <d v="2023-05-01T00:00:00"/>
    <x v="340"/>
    <x v="1"/>
    <n v="1.8160000000000001E-3"/>
    <n v="0"/>
    <s v="BJ"/>
    <x v="4"/>
    <x v="23"/>
    <s v="Q2"/>
    <n v="256"/>
    <n v="0"/>
    <s v="Dough Bites"/>
    <n v="1"/>
    <n v="0"/>
    <n v="0"/>
    <n v="0"/>
  </r>
  <r>
    <n v="69665114"/>
    <x v="9"/>
    <n v="0"/>
    <d v="2023-05-01T00:00:00"/>
    <x v="341"/>
    <x v="1"/>
    <n v="1.8160000000000001E-3"/>
    <n v="0"/>
    <s v="BJ"/>
    <x v="4"/>
    <x v="23"/>
    <s v="Q2"/>
    <n v="256"/>
    <n v="0"/>
    <s v="Dough Bites"/>
    <n v="1"/>
    <n v="0"/>
    <n v="0"/>
    <n v="0"/>
  </r>
  <r>
    <n v="69665115"/>
    <x v="9"/>
    <n v="0"/>
    <d v="2023-05-01T00:00:00"/>
    <x v="342"/>
    <x v="1"/>
    <n v="1.8160000000000001E-3"/>
    <n v="0"/>
    <s v="BJ"/>
    <x v="4"/>
    <x v="23"/>
    <s v="Q2"/>
    <n v="256"/>
    <n v="0"/>
    <s v="Dough Bites"/>
    <n v="1"/>
    <n v="0"/>
    <n v="0"/>
    <n v="0"/>
  </r>
  <r>
    <n v="69713190"/>
    <x v="9"/>
    <n v="0"/>
    <d v="2023-05-01T00:00:00"/>
    <x v="340"/>
    <x v="1"/>
    <n v="1.8959999999999999E-3"/>
    <n v="0"/>
    <s v="BJ"/>
    <x v="4"/>
    <x v="23"/>
    <s v="Q2"/>
    <n v="256"/>
    <n v="0"/>
    <s v="Dough Bites"/>
    <n v="1"/>
    <n v="0"/>
    <n v="0"/>
    <n v="0"/>
  </r>
  <r>
    <n v="68788589"/>
    <x v="9"/>
    <n v="6000"/>
    <d v="2023-05-01T00:00:00"/>
    <x v="145"/>
    <x v="1"/>
    <n v="2.1292560036643622E-3"/>
    <n v="12.775536021986174"/>
    <s v="BJ"/>
    <x v="4"/>
    <x v="23"/>
    <s v="Q2"/>
    <n v="240"/>
    <n v="25"/>
    <s v="Dough Bites"/>
    <n v="1"/>
    <n v="6000"/>
    <n v="12.775536021986174"/>
    <n v="25"/>
  </r>
  <r>
    <n v="68852605"/>
    <x v="9"/>
    <n v="8000"/>
    <d v="2023-05-01T00:00:00"/>
    <x v="58"/>
    <x v="1"/>
    <n v="4.2112719751809718E-2"/>
    <n v="336.90175801447776"/>
    <s v="BJ"/>
    <x v="4"/>
    <x v="23"/>
    <s v="Q2"/>
    <n v="272"/>
    <n v="29.411764705882351"/>
    <s v="Dough Bites"/>
    <n v="1"/>
    <n v="8000"/>
    <n v="336.90175801447776"/>
    <n v="29.411764705882351"/>
  </r>
  <r>
    <n v="68863006"/>
    <x v="9"/>
    <n v="0"/>
    <d v="2023-05-01T00:00:00"/>
    <x v="179"/>
    <x v="1"/>
    <n v="1.8959999999999999E-3"/>
    <n v="0"/>
    <s v="BJ"/>
    <x v="4"/>
    <x v="23"/>
    <s v="Q2"/>
    <n v="272"/>
    <n v="0"/>
    <s v="Dough Bites"/>
    <n v="1"/>
    <n v="0"/>
    <n v="0"/>
    <n v="0"/>
  </r>
  <r>
    <n v="68863007"/>
    <x v="9"/>
    <n v="688"/>
    <d v="2023-05-01T00:00:00"/>
    <x v="242"/>
    <x v="1"/>
    <n v="1.8959999999999999E-3"/>
    <n v="1.3044479999999998"/>
    <s v="BJ"/>
    <x v="4"/>
    <x v="23"/>
    <s v="Q2"/>
    <n v="272"/>
    <n v="2.5294117647058822"/>
    <s v="Dough Bites"/>
    <n v="1"/>
    <n v="688"/>
    <n v="1.3044479999999998"/>
    <n v="2.5294117647058822"/>
  </r>
  <r>
    <n v="68863008"/>
    <x v="9"/>
    <n v="0"/>
    <d v="2023-05-01T00:00:00"/>
    <x v="267"/>
    <x v="1"/>
    <n v="1.8959999999999999E-3"/>
    <n v="0"/>
    <s v="BJ"/>
    <x v="4"/>
    <x v="23"/>
    <s v="Q2"/>
    <n v="272"/>
    <n v="0"/>
    <s v="Dough Bites"/>
    <n v="1"/>
    <n v="0"/>
    <n v="0"/>
    <n v="0"/>
  </r>
  <r>
    <n v="68942622"/>
    <x v="6"/>
    <n v="0"/>
    <d v="2023-05-01T00:00:00"/>
    <x v="343"/>
    <x v="1"/>
    <n v="2.55456E-3"/>
    <n v="0"/>
    <s v="TA"/>
    <x v="4"/>
    <x v="47"/>
    <s v="Q2"/>
    <n v="54"/>
    <n v="0"/>
    <s v="TALENTI"/>
    <n v="1"/>
    <n v="0"/>
    <n v="0"/>
    <n v="0"/>
  </r>
  <r>
    <n v="69705264"/>
    <x v="6"/>
    <n v="1100"/>
    <d v="2023-05-01T00:00:00"/>
    <x v="52"/>
    <x v="1"/>
    <n v="5.7599999999999995E-3"/>
    <n v="6.3359999999999994"/>
    <s v="MG"/>
    <x v="4"/>
    <x v="20"/>
    <s v="Q2"/>
    <n v="30"/>
    <n v="36.666666666666664"/>
    <s v="Repack MG Sticks"/>
    <n v="1"/>
    <n v="1100"/>
    <n v="6.3359999999999994"/>
    <n v="36.666666666666664"/>
  </r>
  <r>
    <n v="68521425"/>
    <x v="0"/>
    <n v="16200"/>
    <d v="2023-05-01T00:00:00"/>
    <x v="0"/>
    <x v="1"/>
    <n v="4.248E-3"/>
    <n v="68.817599999999999"/>
    <s v="GH"/>
    <x v="4"/>
    <x v="0"/>
    <s v="Q2"/>
    <n v="216"/>
    <n v="75"/>
    <s v="Giant SW"/>
    <n v="1"/>
    <n v="16200"/>
    <n v="68.817599999999999"/>
    <n v="75"/>
  </r>
  <r>
    <n v="68599804"/>
    <x v="0"/>
    <n v="13941"/>
    <d v="2023-05-01T00:00:00"/>
    <x v="114"/>
    <x v="1"/>
    <n v="8.5170239596469108E-3"/>
    <n v="118.73583102143759"/>
    <s v="BR"/>
    <x v="4"/>
    <x v="32"/>
    <s v="Q2"/>
    <n v="156"/>
    <n v="89.365384615384613"/>
    <s v="48oz"/>
    <n v="1"/>
    <n v="13941"/>
    <n v="118.73583102143759"/>
    <n v="89.365384615384613"/>
  </r>
  <r>
    <n v="68871219"/>
    <x v="0"/>
    <n v="0"/>
    <d v="2023-05-01T00:00:00"/>
    <x v="155"/>
    <x v="1"/>
    <n v="3.0280000000000001E-2"/>
    <n v="0"/>
    <s v="MG"/>
    <x v="4"/>
    <x v="38"/>
    <s v="Q2"/>
    <n v="240"/>
    <n v="0"/>
    <s v="PTS"/>
    <n v="1"/>
    <n v="0"/>
    <n v="0"/>
    <n v="0"/>
  </r>
  <r>
    <n v="68871220"/>
    <x v="0"/>
    <n v="0"/>
    <d v="2023-05-01T00:00:00"/>
    <x v="156"/>
    <x v="1"/>
    <n v="3.7853439999999999E-3"/>
    <n v="0"/>
    <s v="BR"/>
    <x v="4"/>
    <x v="38"/>
    <s v="Q2"/>
    <n v="240"/>
    <n v="0"/>
    <s v="PTS"/>
    <n v="1"/>
    <n v="0"/>
    <n v="0"/>
    <n v="0"/>
  </r>
  <r>
    <n v="68871221"/>
    <x v="0"/>
    <n v="474"/>
    <d v="2023-05-01T00:00:00"/>
    <x v="157"/>
    <x v="1"/>
    <n v="3.7839999999999996E-3"/>
    <n v="1.7936159999999999"/>
    <s v="BR"/>
    <x v="4"/>
    <x v="38"/>
    <s v="Q2"/>
    <n v="240"/>
    <n v="1.9750000000000001"/>
    <s v="PTS"/>
    <n v="1"/>
    <n v="474"/>
    <n v="1.7936159999999999"/>
    <n v="1.9750000000000001"/>
  </r>
  <r>
    <n v="68919011"/>
    <x v="0"/>
    <n v="0"/>
    <d v="2023-05-01T00:00:00"/>
    <x v="247"/>
    <x v="1"/>
    <n v="3.7839999999999996E-3"/>
    <n v="0"/>
    <s v="BR"/>
    <x v="4"/>
    <x v="38"/>
    <s v="Q2"/>
    <n v="240"/>
    <n v="0"/>
    <s v="PTS"/>
    <n v="1"/>
    <n v="0"/>
    <n v="0"/>
    <n v="0"/>
  </r>
  <r>
    <n v="68919013"/>
    <x v="0"/>
    <n v="12986"/>
    <d v="2023-04-01T00:00:00"/>
    <x v="158"/>
    <x v="1"/>
    <n v="3.0280000000000001E-2"/>
    <n v="393.21608000000003"/>
    <s v="BR"/>
    <x v="1"/>
    <x v="38"/>
    <s v="Q2"/>
    <n v="240"/>
    <n v="54.108333333333334"/>
    <s v="PTS"/>
    <n v="1"/>
    <n v="12986"/>
    <n v="393.21608000000003"/>
    <n v="54.108333333333334"/>
  </r>
  <r>
    <n v="68919014"/>
    <x v="0"/>
    <n v="0"/>
    <d v="2023-05-01T00:00:00"/>
    <x v="269"/>
    <x v="1"/>
    <n v="3.0280000000000001E-2"/>
    <n v="0"/>
    <s v="BR"/>
    <x v="4"/>
    <x v="38"/>
    <s v="Q2"/>
    <n v="240"/>
    <n v="0"/>
    <s v="PTS"/>
    <n v="1"/>
    <n v="0"/>
    <n v="0"/>
    <n v="0"/>
  </r>
  <r>
    <n v="67466462"/>
    <x v="15"/>
    <n v="0"/>
    <d v="2023-05-02T00:00:00"/>
    <x v="29"/>
    <x v="6"/>
    <n v="5.2680000000000001E-3"/>
    <n v="0"/>
    <s v="PS"/>
    <x v="4"/>
    <x v="3"/>
    <s v="Q2"/>
    <n v="130"/>
    <n v="0"/>
    <s v="PG"/>
    <n v="1"/>
    <n v="0"/>
    <n v="0"/>
    <n v="0"/>
  </r>
  <r>
    <n v="67723726"/>
    <x v="15"/>
    <n v="10406"/>
    <d v="2023-05-02T00:00:00"/>
    <x v="109"/>
    <x v="23"/>
    <n v="8.5199999999999998E-3"/>
    <n v="88.659120000000001"/>
    <s v="BR"/>
    <x v="4"/>
    <x v="6"/>
    <s v="Q2"/>
    <n v="154"/>
    <n v="67.571428571428569"/>
    <s v="48oz"/>
    <n v="1"/>
    <n v="10406"/>
    <n v="88.659120000000001"/>
    <n v="67.571428571428569"/>
  </r>
  <r>
    <n v="67885724"/>
    <x v="15"/>
    <n v="9785"/>
    <d v="2023-05-02T00:00:00"/>
    <x v="49"/>
    <x v="12"/>
    <n v="8.5199999999999998E-3"/>
    <n v="83.368200000000002"/>
    <s v="BR"/>
    <x v="4"/>
    <x v="6"/>
    <s v="Q2"/>
    <n v="154"/>
    <n v="63.538961038961041"/>
    <s v="48oz"/>
    <n v="1"/>
    <n v="9785"/>
    <n v="83.368200000000002"/>
    <n v="63.538961038961041"/>
  </r>
  <r>
    <n v="68634165"/>
    <x v="15"/>
    <n v="5836"/>
    <d v="2023-05-02T00:00:00"/>
    <x v="301"/>
    <x v="16"/>
    <n v="8.5199999999999998E-3"/>
    <n v="49.722719999999995"/>
    <s v="BR"/>
    <x v="4"/>
    <x v="6"/>
    <s v="Q2"/>
    <n v="154"/>
    <n v="37.896103896103895"/>
    <s v="48oz"/>
    <n v="1"/>
    <n v="5836"/>
    <n v="49.722719999999995"/>
    <n v="37.896103896103895"/>
  </r>
  <r>
    <n v="68634167"/>
    <x v="15"/>
    <n v="3707"/>
    <d v="2023-05-02T00:00:00"/>
    <x v="91"/>
    <x v="16"/>
    <n v="8.5199999999999998E-3"/>
    <n v="31.583639999999999"/>
    <s v="BR"/>
    <x v="4"/>
    <x v="6"/>
    <s v="Q2"/>
    <n v="154"/>
    <n v="24.071428571428573"/>
    <s v="48oz"/>
    <n v="1"/>
    <n v="3707"/>
    <n v="31.583639999999999"/>
    <n v="24.071428571428573"/>
  </r>
  <r>
    <n v="67885719"/>
    <x v="16"/>
    <n v="23650"/>
    <d v="2023-05-02T00:00:00"/>
    <x v="11"/>
    <x v="32"/>
    <n v="8.5199999999999998E-3"/>
    <n v="201.49799999999999"/>
    <s v="BR"/>
    <x v="4"/>
    <x v="2"/>
    <s v="Q2"/>
    <n v="154"/>
    <n v="153.57142857142858"/>
    <s v="48oz"/>
    <n v="1"/>
    <n v="23650"/>
    <n v="201.49799999999999"/>
    <n v="153.57142857142858"/>
  </r>
  <r>
    <n v="68354590"/>
    <x v="16"/>
    <n v="8878"/>
    <d v="2023-05-02T00:00:00"/>
    <x v="339"/>
    <x v="15"/>
    <n v="3.5999999999999999E-3"/>
    <n v="31.960799999999999"/>
    <s v="BJ"/>
    <x v="4"/>
    <x v="19"/>
    <s v="Q2"/>
    <n v="240"/>
    <n v="36.991666666666667"/>
    <s v="TOPPED"/>
    <n v="1"/>
    <n v="8878"/>
    <n v="31.960799999999999"/>
    <n v="36.991666666666667"/>
  </r>
  <r>
    <n v="68728342"/>
    <x v="16"/>
    <n v="839"/>
    <d v="2023-05-02T00:00:00"/>
    <x v="44"/>
    <x v="22"/>
    <n v="3.7853439999999999E-3"/>
    <n v="3.1759036159999998"/>
    <s v="TA"/>
    <x v="4"/>
    <x v="10"/>
    <s v="Q2"/>
    <n v="255"/>
    <n v="3.2901960784313724"/>
    <s v="TALENTI"/>
    <n v="1"/>
    <n v="839"/>
    <n v="3.1759036159999998"/>
    <n v="3.2901960784313724"/>
  </r>
  <r>
    <n v="68896052"/>
    <x v="16"/>
    <n v="695"/>
    <d v="2023-05-02T00:00:00"/>
    <x v="36"/>
    <x v="2"/>
    <n v="8.5199999999999998E-3"/>
    <n v="5.9214000000000002"/>
    <s v="BR"/>
    <x v="4"/>
    <x v="2"/>
    <s v="Q2"/>
    <n v="176"/>
    <n v="3.9488636363636362"/>
    <s v="48oz"/>
    <n v="1"/>
    <n v="695"/>
    <n v="5.9214000000000002"/>
    <n v="3.9488636363636362"/>
  </r>
  <r>
    <n v="69549033"/>
    <x v="16"/>
    <n v="0"/>
    <d v="2023-05-02T00:00:00"/>
    <x v="344"/>
    <x v="22"/>
    <n v="3.552E-3"/>
    <n v="0"/>
    <s v="TA"/>
    <x v="4"/>
    <x v="10"/>
    <s v="Q2"/>
    <n v="255"/>
    <n v="0"/>
    <s v="TALENTI"/>
    <n v="1"/>
    <n v="0"/>
    <n v="0"/>
    <n v="0"/>
  </r>
  <r>
    <n v="69568965"/>
    <x v="16"/>
    <n v="0"/>
    <d v="2023-05-02T00:00:00"/>
    <x v="298"/>
    <x v="2"/>
    <n v="8.5199999999999998E-3"/>
    <n v="0"/>
    <s v="BR"/>
    <x v="4"/>
    <x v="2"/>
    <s v="Q2"/>
    <n v="176"/>
    <n v="0"/>
    <s v="48oz"/>
    <n v="1"/>
    <n v="0"/>
    <n v="0"/>
    <n v="0"/>
  </r>
  <r>
    <n v="69647063"/>
    <x v="16"/>
    <n v="0"/>
    <d v="2023-05-02T00:00:00"/>
    <x v="122"/>
    <x v="14"/>
    <n v="1.98E-3"/>
    <n v="0"/>
    <s v="MG"/>
    <x v="4"/>
    <x v="5"/>
    <s v="Q2"/>
    <n v="176"/>
    <n v="0"/>
    <s v="MG Sticks"/>
    <n v="1"/>
    <n v="0"/>
    <n v="0"/>
    <n v="0"/>
  </r>
  <r>
    <n v="69691903"/>
    <x v="16"/>
    <n v="0"/>
    <d v="2023-05-02T00:00:00"/>
    <x v="172"/>
    <x v="21"/>
    <n v="3.7839999999999996E-3"/>
    <n v="0"/>
    <s v="TA"/>
    <x v="4"/>
    <x v="10"/>
    <s v="Q2"/>
    <n v="255"/>
    <n v="0"/>
    <s v="TALENTI"/>
    <n v="1"/>
    <n v="0"/>
    <n v="0"/>
    <n v="0"/>
  </r>
  <r>
    <n v="67491117"/>
    <x v="17"/>
    <n v="19761"/>
    <d v="2023-05-02T00:00:00"/>
    <x v="210"/>
    <x v="35"/>
    <n v="3.7853439999999999E-3"/>
    <n v="74.802182783999996"/>
    <s v="BJ"/>
    <x v="4"/>
    <x v="15"/>
    <s v="Q2"/>
    <n v="240"/>
    <n v="82.337500000000006"/>
    <s v="BJ PTS"/>
    <n v="1"/>
    <n v="19761"/>
    <n v="74.802182783999996"/>
    <n v="82.337500000000006"/>
  </r>
  <r>
    <n v="84137694"/>
    <x v="17"/>
    <n v="34375"/>
    <d v="2023-05-02T00:00:00"/>
    <x v="136"/>
    <x v="38"/>
    <n v="3.7853439999999999E-3"/>
    <n v="130.12119999999999"/>
    <s v="BJ"/>
    <x v="4"/>
    <x v="15"/>
    <s v="Q2"/>
    <n v="240"/>
    <n v="143.22916666666666"/>
    <s v="BJ PTS"/>
    <n v="1"/>
    <n v="34375"/>
    <n v="130.12119999999999"/>
    <n v="143.22916666666666"/>
  </r>
  <r>
    <n v="84139090"/>
    <x v="17"/>
    <n v="34251"/>
    <d v="2023-05-02T00:00:00"/>
    <x v="85"/>
    <x v="43"/>
    <n v="3.7853439999999999E-3"/>
    <n v="129.65181734399999"/>
    <s v="BJ"/>
    <x v="4"/>
    <x v="15"/>
    <s v="Q2"/>
    <n v="240"/>
    <n v="142.71250000000001"/>
    <s v="BJ PTS"/>
    <n v="1"/>
    <n v="34251"/>
    <n v="129.65181734399999"/>
    <n v="142.71250000000001"/>
  </r>
  <r>
    <n v="67465063"/>
    <x v="15"/>
    <n v="2696"/>
    <d v="2023-05-02T00:00:00"/>
    <x v="3"/>
    <x v="40"/>
    <n v="5.2680000000000001E-3"/>
    <n v="14.202528000000001"/>
    <s v="PS"/>
    <x v="4"/>
    <x v="3"/>
    <s v="Q2"/>
    <n v="130"/>
    <n v="20.738461538461539"/>
    <s v="PG"/>
    <n v="1"/>
    <n v="2696"/>
    <n v="14.202528000000001"/>
    <n v="20.738461538461539"/>
  </r>
  <r>
    <n v="67465063"/>
    <x v="15"/>
    <n v="4673"/>
    <d v="2023-05-02T00:00:00"/>
    <x v="3"/>
    <x v="7"/>
    <n v="5.2680000000000001E-3"/>
    <n v="24.617364000000002"/>
    <s v="PS"/>
    <x v="4"/>
    <x v="3"/>
    <s v="Q2"/>
    <n v="130"/>
    <n v="35.946153846153848"/>
    <s v="PG"/>
    <n v="1"/>
    <n v="4673"/>
    <n v="24.617364000000002"/>
    <n v="35.946153846153848"/>
  </r>
  <r>
    <n v="67465064"/>
    <x v="15"/>
    <n v="3348"/>
    <d v="2023-05-02T00:00:00"/>
    <x v="7"/>
    <x v="3"/>
    <n v="1.596E-3"/>
    <n v="5.3434080000000002"/>
    <s v="PS"/>
    <x v="4"/>
    <x v="3"/>
    <s v="Q2"/>
    <n v="130"/>
    <n v="25.753846153846155"/>
    <s v="PG"/>
    <n v="1"/>
    <n v="3348"/>
    <n v="5.3434080000000002"/>
    <n v="25.753846153846155"/>
  </r>
  <r>
    <n v="67466492"/>
    <x v="15"/>
    <n v="2792"/>
    <d v="2023-05-02T00:00:00"/>
    <x v="8"/>
    <x v="8"/>
    <n v="5.2680000000000001E-3"/>
    <n v="14.708256"/>
    <s v="PS"/>
    <x v="4"/>
    <x v="3"/>
    <s v="Q2"/>
    <n v="130"/>
    <n v="21.476923076923075"/>
    <s v="PG"/>
    <n v="1"/>
    <n v="2792"/>
    <n v="14.708256"/>
    <n v="21.476923076923075"/>
  </r>
  <r>
    <n v="67476560"/>
    <x v="15"/>
    <n v="3095"/>
    <d v="2023-05-02T00:00:00"/>
    <x v="10"/>
    <x v="10"/>
    <n v="5.1060000000000003E-3"/>
    <n v="15.803070000000002"/>
    <s v="PS"/>
    <x v="4"/>
    <x v="3"/>
    <s v="Q2"/>
    <n v="130"/>
    <n v="23.807692307692307"/>
    <s v="PG"/>
    <n v="1"/>
    <n v="3095"/>
    <n v="15.803070000000002"/>
    <n v="23.807692307692307"/>
  </r>
  <r>
    <n v="67901583"/>
    <x v="15"/>
    <n v="10002"/>
    <d v="2023-05-02T00:00:00"/>
    <x v="50"/>
    <x v="11"/>
    <n v="8.5199999999999998E-3"/>
    <n v="85.217039999999997"/>
    <s v="BR"/>
    <x v="4"/>
    <x v="6"/>
    <s v="Q2"/>
    <n v="154"/>
    <n v="64.948051948051955"/>
    <s v="48oz"/>
    <n v="1"/>
    <n v="10002"/>
    <n v="85.217039999999997"/>
    <n v="64.948051948051955"/>
  </r>
  <r>
    <n v="68188183"/>
    <x v="15"/>
    <n v="1456"/>
    <d v="2023-05-02T00:00:00"/>
    <x v="70"/>
    <x v="9"/>
    <n v="3.8340000000000002E-3"/>
    <n v="5.5823040000000006"/>
    <s v="PS"/>
    <x v="4"/>
    <x v="3"/>
    <s v="Q2"/>
    <n v="130"/>
    <n v="11.2"/>
    <s v="PG"/>
    <n v="1"/>
    <n v="1456"/>
    <n v="5.5823040000000006"/>
    <n v="11.2"/>
  </r>
  <r>
    <n v="68741745"/>
    <x v="15"/>
    <n v="7215"/>
    <d v="2023-05-02T00:00:00"/>
    <x v="281"/>
    <x v="24"/>
    <n v="2.8319999999999999E-3"/>
    <n v="20.432880000000001"/>
    <s v="GH"/>
    <x v="4"/>
    <x v="4"/>
    <s v="Q2"/>
    <n v="315"/>
    <n v="22.904761904761905"/>
    <s v="MBG"/>
    <n v="1"/>
    <n v="7215"/>
    <n v="20.432880000000001"/>
    <n v="22.904761904761905"/>
  </r>
  <r>
    <n v="69551489"/>
    <x v="15"/>
    <n v="3237"/>
    <d v="2023-05-02T00:00:00"/>
    <x v="338"/>
    <x v="4"/>
    <n v="3.8989043190215313E-3"/>
    <n v="12.620753280672696"/>
    <s v="GH"/>
    <x v="4"/>
    <x v="4"/>
    <s v="Q2"/>
    <n v="154"/>
    <n v="21.019480519480521"/>
    <s v="MBG"/>
    <n v="1"/>
    <n v="3237"/>
    <n v="12.620753280672696"/>
    <n v="21.019480519480521"/>
  </r>
  <r>
    <n v="67885719"/>
    <x v="16"/>
    <n v="25254"/>
    <d v="2023-05-02T00:00:00"/>
    <x v="11"/>
    <x v="32"/>
    <n v="8.5199999999999998E-3"/>
    <n v="215.16407999999998"/>
    <s v="BR"/>
    <x v="4"/>
    <x v="2"/>
    <s v="Q2"/>
    <n v="154"/>
    <n v="163.98701298701297"/>
    <s v="48oz"/>
    <n v="1"/>
    <n v="25254"/>
    <n v="215.16407999999998"/>
    <n v="163.98701298701297"/>
  </r>
  <r>
    <n v="68356102"/>
    <x v="16"/>
    <n v="9123"/>
    <d v="2023-05-02T00:00:00"/>
    <x v="13"/>
    <x v="2"/>
    <n v="8.513999999999999E-3"/>
    <n v="77.673221999999996"/>
    <s v="BR"/>
    <x v="4"/>
    <x v="2"/>
    <s v="Q2"/>
    <n v="154"/>
    <n v="59.240259740259738"/>
    <s v="48oz"/>
    <n v="1"/>
    <n v="9123"/>
    <n v="77.673221999999996"/>
    <n v="59.240259740259738"/>
  </r>
  <r>
    <n v="68730234"/>
    <x v="16"/>
    <n v="2330"/>
    <d v="2023-05-02T00:00:00"/>
    <x v="21"/>
    <x v="21"/>
    <n v="3.7853440000000004E-3"/>
    <n v="8.8198515200000003"/>
    <s v="TA"/>
    <x v="4"/>
    <x v="10"/>
    <s v="Q2"/>
    <n v="255"/>
    <n v="9.1372549019607838"/>
    <s v="TALENTI"/>
    <n v="1"/>
    <n v="2330"/>
    <n v="8.8198515200000003"/>
    <n v="9.1372549019607838"/>
  </r>
  <r>
    <n v="68741742"/>
    <x v="16"/>
    <n v="5029"/>
    <d v="2023-05-02T00:00:00"/>
    <x v="25"/>
    <x v="25"/>
    <n v="4.2560000000000002E-3"/>
    <n v="21.403424000000001"/>
    <s v="GH"/>
    <x v="4"/>
    <x v="11"/>
    <s v="Q2"/>
    <n v="154"/>
    <n v="32.655844155844157"/>
    <s v="MBG"/>
    <n v="1"/>
    <n v="5029"/>
    <n v="21.403424000000001"/>
    <n v="32.655844155844157"/>
  </r>
  <r>
    <n v="68896052"/>
    <x v="16"/>
    <n v="14809"/>
    <d v="2023-05-02T00:00:00"/>
    <x v="36"/>
    <x v="2"/>
    <n v="8.5199999999999998E-3"/>
    <n v="126.17268"/>
    <s v="BR"/>
    <x v="4"/>
    <x v="2"/>
    <s v="Q2"/>
    <n v="176"/>
    <n v="84.142045454545453"/>
    <s v="48oz"/>
    <n v="1"/>
    <n v="14809"/>
    <n v="126.17268"/>
    <n v="84.142045454545453"/>
  </r>
  <r>
    <n v="69568963"/>
    <x v="16"/>
    <n v="11736"/>
    <d v="2023-05-02T00:00:00"/>
    <x v="94"/>
    <x v="13"/>
    <n v="8.5199999999999998E-3"/>
    <n v="99.990719999999996"/>
    <s v="BR"/>
    <x v="4"/>
    <x v="2"/>
    <s v="Q2"/>
    <n v="176"/>
    <n v="66.681818181818187"/>
    <s v="48oz"/>
    <n v="1"/>
    <n v="11736"/>
    <n v="99.990719999999996"/>
    <n v="66.681818181818187"/>
  </r>
  <r>
    <n v="69621212"/>
    <x v="16"/>
    <n v="4225"/>
    <d v="2023-05-02T00:00:00"/>
    <x v="29"/>
    <x v="28"/>
    <n v="5.2680000000000001E-3"/>
    <n v="22.257300000000001"/>
    <s v="PG"/>
    <x v="4"/>
    <x v="14"/>
    <s v="Q2"/>
    <n v="130"/>
    <n v="32.5"/>
    <s v="PG"/>
    <n v="1"/>
    <n v="4225"/>
    <n v="22.257300000000001"/>
    <n v="32.5"/>
  </r>
  <r>
    <n v="69706138"/>
    <x v="16"/>
    <n v="8856"/>
    <d v="2023-05-02T00:00:00"/>
    <x v="289"/>
    <x v="31"/>
    <n v="3.8999999999999998E-3"/>
    <n v="34.538399999999996"/>
    <s v="TA"/>
    <x v="4"/>
    <x v="42"/>
    <s v="Q2"/>
    <n v="176"/>
    <n v="50.31818181818182"/>
    <s v="TAL NV"/>
    <n v="1"/>
    <n v="8856"/>
    <n v="34.538399999999996"/>
    <n v="50.31818181818182"/>
  </r>
  <r>
    <n v="68940226"/>
    <x v="17"/>
    <n v="33879"/>
    <d v="2023-05-02T00:00:00"/>
    <x v="113"/>
    <x v="35"/>
    <n v="3.7839999999999996E-3"/>
    <n v="128.19813599999998"/>
    <s v="BJ"/>
    <x v="4"/>
    <x v="15"/>
    <s v="Q2"/>
    <n v="240"/>
    <n v="141.16249999999999"/>
    <s v="BJ PTS"/>
    <n v="1"/>
    <n v="33879"/>
    <n v="128.19813599999998"/>
    <n v="141.16249999999999"/>
  </r>
  <r>
    <n v="69577493"/>
    <x v="16"/>
    <n v="2564"/>
    <d v="2023-05-02T00:00:00"/>
    <x v="252"/>
    <x v="5"/>
    <n v="2.0400000000000001E-3"/>
    <n v="5.2305600000000005"/>
    <s v="MG"/>
    <x v="4"/>
    <x v="5"/>
    <s v="Q2"/>
    <n v="210"/>
    <n v="12.209523809523809"/>
    <s v="MG Sticks"/>
    <n v="1"/>
    <n v="2564"/>
    <n v="5.2305600000000005"/>
    <n v="12.209523809523809"/>
  </r>
  <r>
    <n v="69677917"/>
    <x v="16"/>
    <n v="2017"/>
    <d v="2023-05-02T00:00:00"/>
    <x v="30"/>
    <x v="30"/>
    <n v="5.2680000000000001E-3"/>
    <n v="10.625556"/>
    <s v="PS"/>
    <x v="4"/>
    <x v="14"/>
    <s v="Q2"/>
    <n v="108"/>
    <n v="18.675925925925927"/>
    <s v="PG"/>
    <n v="1"/>
    <n v="2017"/>
    <n v="10.625556"/>
    <n v="18.675925925925927"/>
  </r>
  <r>
    <n v="69552658"/>
    <x v="10"/>
    <n v="6048"/>
    <d v="2023-05-02T00:00:00"/>
    <x v="81"/>
    <x v="37"/>
    <n v="2.8390080000000001E-3"/>
    <n v="17.170320384"/>
    <s v="KL"/>
    <x v="4"/>
    <x v="29"/>
    <s v="Q2"/>
    <n v="189"/>
    <n v="32"/>
    <s v="ESS"/>
    <n v="1"/>
    <n v="6048"/>
    <n v="17.170320384"/>
    <n v="32"/>
  </r>
  <r>
    <n v="67465064"/>
    <x v="15"/>
    <n v="2589"/>
    <d v="2023-05-03T00:00:00"/>
    <x v="7"/>
    <x v="3"/>
    <n v="1.596E-3"/>
    <n v="4.1320439999999996"/>
    <s v="PS"/>
    <x v="4"/>
    <x v="3"/>
    <s v="Q2"/>
    <n v="130"/>
    <n v="19.915384615384614"/>
    <s v="PG"/>
    <n v="1"/>
    <n v="2589"/>
    <n v="4.1320439999999996"/>
    <n v="19.915384615384614"/>
  </r>
  <r>
    <n v="67723726"/>
    <x v="15"/>
    <n v="11731"/>
    <d v="2023-05-03T00:00:00"/>
    <x v="109"/>
    <x v="23"/>
    <n v="8.5199999999999998E-3"/>
    <n v="99.948120000000003"/>
    <s v="BR"/>
    <x v="4"/>
    <x v="6"/>
    <s v="Q2"/>
    <n v="154"/>
    <n v="76.175324675324674"/>
    <s v="48oz"/>
    <n v="1"/>
    <n v="11731"/>
    <n v="99.948120000000003"/>
    <n v="76.175324675324674"/>
  </r>
  <r>
    <n v="67885724"/>
    <x v="15"/>
    <n v="12961"/>
    <d v="2023-05-03T00:00:00"/>
    <x v="49"/>
    <x v="12"/>
    <n v="8.5199999999999998E-3"/>
    <n v="110.42771999999999"/>
    <s v="BR"/>
    <x v="4"/>
    <x v="6"/>
    <s v="Q2"/>
    <n v="154"/>
    <n v="84.162337662337663"/>
    <s v="48oz"/>
    <n v="1"/>
    <n v="12961"/>
    <n v="110.42771999999999"/>
    <n v="84.162337662337663"/>
  </r>
  <r>
    <n v="69551489"/>
    <x v="15"/>
    <n v="462"/>
    <d v="2023-05-03T00:00:00"/>
    <x v="338"/>
    <x v="4"/>
    <n v="3.8989043190215313E-3"/>
    <n v="1.8012937953879475"/>
    <s v="GH"/>
    <x v="4"/>
    <x v="4"/>
    <s v="Q2"/>
    <n v="154"/>
    <n v="3"/>
    <s v="MBG"/>
    <n v="1"/>
    <n v="462"/>
    <n v="1.8012937953879475"/>
    <n v="3"/>
  </r>
  <r>
    <n v="69551489"/>
    <x v="15"/>
    <n v="2771"/>
    <d v="2023-05-03T00:00:00"/>
    <x v="338"/>
    <x v="4"/>
    <n v="3.8989043190215313E-3"/>
    <n v="10.803863868008664"/>
    <s v="GH"/>
    <x v="4"/>
    <x v="4"/>
    <s v="Q2"/>
    <n v="154"/>
    <n v="17.993506493506494"/>
    <s v="MBG"/>
    <n v="1"/>
    <n v="2771"/>
    <n v="10.803863868008664"/>
    <n v="17.993506493506494"/>
  </r>
  <r>
    <n v="67885719"/>
    <x v="16"/>
    <n v="0"/>
    <d v="2023-05-03T00:00:00"/>
    <x v="11"/>
    <x v="13"/>
    <n v="8.5199999999999998E-3"/>
    <n v="0"/>
    <s v="BR"/>
    <x v="4"/>
    <x v="2"/>
    <s v="Q2"/>
    <n v="154"/>
    <n v="0"/>
    <s v="48oz"/>
    <n v="1"/>
    <n v="0"/>
    <n v="0"/>
    <n v="0"/>
  </r>
  <r>
    <n v="67901592"/>
    <x v="16"/>
    <n v="0"/>
    <d v="2023-05-03T00:00:00"/>
    <x v="240"/>
    <x v="32"/>
    <n v="8.5199999999999998E-3"/>
    <n v="0"/>
    <s v="BR"/>
    <x v="4"/>
    <x v="2"/>
    <s v="Q2"/>
    <n v="154"/>
    <n v="0"/>
    <s v="48oz"/>
    <n v="1"/>
    <n v="0"/>
    <n v="0"/>
    <n v="0"/>
  </r>
  <r>
    <n v="68354587"/>
    <x v="16"/>
    <n v="18306"/>
    <d v="2023-05-03T00:00:00"/>
    <x v="226"/>
    <x v="15"/>
    <n v="3.5999999999999999E-3"/>
    <n v="65.901600000000002"/>
    <s v="BJ"/>
    <x v="4"/>
    <x v="19"/>
    <s v="Q2"/>
    <n v="240"/>
    <n v="76.275000000000006"/>
    <s v="TOPPED"/>
    <n v="1"/>
    <n v="18306"/>
    <n v="65.901600000000002"/>
    <n v="76.275000000000006"/>
  </r>
  <r>
    <n v="68354588"/>
    <x v="16"/>
    <n v="0"/>
    <d v="2023-05-03T00:00:00"/>
    <x v="173"/>
    <x v="15"/>
    <n v="3.5999999999999999E-3"/>
    <n v="0"/>
    <s v="BJ"/>
    <x v="4"/>
    <x v="19"/>
    <s v="Q2"/>
    <n v="240"/>
    <n v="0"/>
    <s v="TOPPED"/>
    <n v="1"/>
    <n v="0"/>
    <n v="0"/>
    <n v="0"/>
  </r>
  <r>
    <n v="68607438"/>
    <x v="16"/>
    <n v="0"/>
    <d v="2023-05-03T00:00:00"/>
    <x v="122"/>
    <x v="14"/>
    <n v="3.8999999999999998E-3"/>
    <n v="0"/>
    <s v="MG"/>
    <x v="4"/>
    <x v="5"/>
    <s v="Q2"/>
    <n v="176"/>
    <n v="0"/>
    <s v="MG Sticks"/>
    <n v="1"/>
    <n v="0"/>
    <n v="0"/>
    <n v="0"/>
  </r>
  <r>
    <n v="69549034"/>
    <x v="16"/>
    <n v="0"/>
    <d v="2023-05-03T00:00:00"/>
    <x v="296"/>
    <x v="22"/>
    <n v="3.5439999999999998E-3"/>
    <n v="0"/>
    <s v="TA"/>
    <x v="4"/>
    <x v="10"/>
    <s v="Q2"/>
    <n v="255"/>
    <n v="0"/>
    <s v="TALENTI"/>
    <n v="1"/>
    <n v="0"/>
    <n v="0"/>
    <n v="0"/>
  </r>
  <r>
    <n v="69568965"/>
    <x v="16"/>
    <n v="0"/>
    <d v="2023-05-03T00:00:00"/>
    <x v="298"/>
    <x v="2"/>
    <n v="8.5199999999999998E-3"/>
    <n v="0"/>
    <s v="BR"/>
    <x v="4"/>
    <x v="2"/>
    <s v="Q2"/>
    <n v="176"/>
    <n v="0"/>
    <s v="48oz"/>
    <n v="1"/>
    <n v="0"/>
    <n v="0"/>
    <n v="0"/>
  </r>
  <r>
    <n v="69647063"/>
    <x v="16"/>
    <n v="0"/>
    <d v="2023-05-03T00:00:00"/>
    <x v="122"/>
    <x v="14"/>
    <n v="1.98E-3"/>
    <n v="0"/>
    <s v="MG"/>
    <x v="4"/>
    <x v="5"/>
    <s v="Q2"/>
    <n v="176"/>
    <n v="0"/>
    <s v="MG Sticks"/>
    <n v="1"/>
    <n v="0"/>
    <n v="0"/>
    <n v="0"/>
  </r>
  <r>
    <n v="69677917"/>
    <x v="16"/>
    <n v="0"/>
    <d v="2023-05-03T00:00:00"/>
    <x v="30"/>
    <x v="30"/>
    <n v="5.2680000000000001E-3"/>
    <n v="0"/>
    <s v="PS"/>
    <x v="4"/>
    <x v="14"/>
    <s v="Q2"/>
    <n v="108"/>
    <n v="0"/>
    <s v="PG"/>
    <n v="1"/>
    <n v="0"/>
    <n v="0"/>
    <n v="0"/>
  </r>
  <r>
    <n v="84163605"/>
    <x v="17"/>
    <n v="34055"/>
    <d v="2023-05-03T00:00:00"/>
    <x v="219"/>
    <x v="35"/>
    <n v="3.7853439999999999E-3"/>
    <n v="128.90988992000001"/>
    <s v="BJ"/>
    <x v="4"/>
    <x v="15"/>
    <s v="Q2"/>
    <n v="240"/>
    <n v="141.89583333333334"/>
    <s v="BJ PTS"/>
    <n v="1"/>
    <n v="34055"/>
    <n v="128.90988992000001"/>
    <n v="141.89583333333334"/>
  </r>
  <r>
    <n v="67465063"/>
    <x v="15"/>
    <n v="4262"/>
    <d v="2023-05-03T00:00:00"/>
    <x v="3"/>
    <x v="7"/>
    <n v="5.2680000000000001E-3"/>
    <n v="22.452216"/>
    <s v="PS"/>
    <x v="4"/>
    <x v="3"/>
    <s v="Q2"/>
    <n v="130"/>
    <n v="32.784615384615385"/>
    <s v="PG"/>
    <n v="1"/>
    <n v="4262"/>
    <n v="22.452216"/>
    <n v="32.784615384615385"/>
  </r>
  <r>
    <n v="67465063"/>
    <x v="15"/>
    <n v="2513"/>
    <d v="2023-05-03T00:00:00"/>
    <x v="3"/>
    <x v="40"/>
    <n v="5.2680000000000001E-3"/>
    <n v="13.238484"/>
    <s v="PS"/>
    <x v="4"/>
    <x v="3"/>
    <s v="Q2"/>
    <n v="130"/>
    <n v="19.330769230769231"/>
    <s v="PG"/>
    <n v="1"/>
    <n v="2513"/>
    <n v="13.238484"/>
    <n v="19.330769230769231"/>
  </r>
  <r>
    <n v="67466462"/>
    <x v="15"/>
    <n v="3053"/>
    <d v="2023-05-03T00:00:00"/>
    <x v="29"/>
    <x v="6"/>
    <n v="5.2680000000000001E-3"/>
    <n v="16.083204000000002"/>
    <s v="PS"/>
    <x v="4"/>
    <x v="3"/>
    <s v="Q2"/>
    <n v="130"/>
    <n v="23.484615384615385"/>
    <s v="PG"/>
    <n v="1"/>
    <n v="3053"/>
    <n v="16.083204000000002"/>
    <n v="23.484615384615385"/>
  </r>
  <r>
    <n v="67466492"/>
    <x v="15"/>
    <n v="3698"/>
    <d v="2023-05-03T00:00:00"/>
    <x v="8"/>
    <x v="8"/>
    <n v="5.2680000000000001E-3"/>
    <n v="19.481064"/>
    <s v="PS"/>
    <x v="4"/>
    <x v="3"/>
    <s v="Q2"/>
    <n v="130"/>
    <n v="28.446153846153845"/>
    <s v="PG"/>
    <n v="1"/>
    <n v="3698"/>
    <n v="19.481064"/>
    <n v="28.446153846153845"/>
  </r>
  <r>
    <n v="67476560"/>
    <x v="15"/>
    <n v="2478"/>
    <d v="2023-05-03T00:00:00"/>
    <x v="10"/>
    <x v="10"/>
    <n v="5.1060000000000003E-3"/>
    <n v="12.652668"/>
    <s v="PS"/>
    <x v="4"/>
    <x v="3"/>
    <s v="Q2"/>
    <n v="130"/>
    <n v="19.061538461538461"/>
    <s v="PG"/>
    <n v="1"/>
    <n v="2478"/>
    <n v="12.652668"/>
    <n v="19.061538461538461"/>
  </r>
  <r>
    <n v="67901583"/>
    <x v="15"/>
    <n v="6744"/>
    <d v="2023-05-03T00:00:00"/>
    <x v="50"/>
    <x v="11"/>
    <n v="8.5199999999999998E-3"/>
    <n v="57.458880000000001"/>
    <s v="BR"/>
    <x v="4"/>
    <x v="6"/>
    <s v="Q2"/>
    <n v="154"/>
    <n v="43.79220779220779"/>
    <s v="48oz"/>
    <n v="1"/>
    <n v="6744"/>
    <n v="57.458880000000001"/>
    <n v="43.79220779220779"/>
  </r>
  <r>
    <n v="68188183"/>
    <x v="15"/>
    <n v="1368"/>
    <d v="2023-05-03T00:00:00"/>
    <x v="70"/>
    <x v="9"/>
    <n v="3.8340000000000002E-3"/>
    <n v="5.2449120000000002"/>
    <s v="PS"/>
    <x v="4"/>
    <x v="3"/>
    <s v="Q2"/>
    <n v="130"/>
    <n v="10.523076923076923"/>
    <s v="PG"/>
    <n v="1"/>
    <n v="1368"/>
    <n v="5.2449120000000002"/>
    <n v="10.523076923076923"/>
  </r>
  <r>
    <n v="68656231"/>
    <x v="15"/>
    <n v="7326"/>
    <d v="2023-05-03T00:00:00"/>
    <x v="16"/>
    <x v="16"/>
    <n v="8.5199999999999998E-3"/>
    <n v="62.417519999999996"/>
    <s v="BR"/>
    <x v="4"/>
    <x v="6"/>
    <s v="Q2"/>
    <n v="154"/>
    <n v="47.571428571428569"/>
    <s v="48oz"/>
    <n v="1"/>
    <n v="7326"/>
    <n v="62.417519999999996"/>
    <n v="47.571428571428569"/>
  </r>
  <r>
    <n v="68741745"/>
    <x v="15"/>
    <n v="6426"/>
    <d v="2023-05-03T00:00:00"/>
    <x v="281"/>
    <x v="24"/>
    <n v="2.8319999999999999E-3"/>
    <n v="18.198432"/>
    <s v="GH"/>
    <x v="4"/>
    <x v="4"/>
    <s v="Q2"/>
    <n v="315"/>
    <n v="20.399999999999999"/>
    <s v="MBG"/>
    <n v="1"/>
    <n v="6426"/>
    <n v="18.198432"/>
    <n v="20.399999999999999"/>
  </r>
  <r>
    <n v="67885719"/>
    <x v="16"/>
    <n v="22791"/>
    <d v="2023-05-03T00:00:00"/>
    <x v="11"/>
    <x v="32"/>
    <n v="8.5199999999999998E-3"/>
    <n v="194.17931999999999"/>
    <s v="BR"/>
    <x v="4"/>
    <x v="2"/>
    <s v="Q2"/>
    <n v="154"/>
    <n v="147.99350649350649"/>
    <s v="48oz"/>
    <n v="1"/>
    <n v="22791"/>
    <n v="194.17931999999999"/>
    <n v="147.99350649350649"/>
  </r>
  <r>
    <n v="68354587"/>
    <x v="16"/>
    <n v="14691"/>
    <d v="2023-05-03T00:00:00"/>
    <x v="226"/>
    <x v="15"/>
    <n v="3.5999999999999999E-3"/>
    <n v="52.887599999999999"/>
    <s v="BJ"/>
    <x v="4"/>
    <x v="19"/>
    <s v="Q2"/>
    <n v="240"/>
    <n v="61.212499999999999"/>
    <s v="TOPPED"/>
    <n v="1"/>
    <n v="14691"/>
    <n v="52.887599999999999"/>
    <n v="61.212499999999999"/>
  </r>
  <r>
    <n v="68356102"/>
    <x v="16"/>
    <n v="14316"/>
    <d v="2023-05-03T00:00:00"/>
    <x v="13"/>
    <x v="2"/>
    <n v="8.513999999999999E-3"/>
    <n v="121.88642399999999"/>
    <s v="BR"/>
    <x v="4"/>
    <x v="2"/>
    <s v="Q2"/>
    <n v="154"/>
    <n v="92.961038961038966"/>
    <s v="48oz"/>
    <n v="1"/>
    <n v="14316"/>
    <n v="121.88642399999999"/>
    <n v="92.961038961038966"/>
  </r>
  <r>
    <n v="68607438"/>
    <x v="16"/>
    <n v="930"/>
    <d v="2023-05-03T00:00:00"/>
    <x v="122"/>
    <x v="14"/>
    <n v="3.8999999999999998E-3"/>
    <n v="3.6269999999999998"/>
    <s v="MG"/>
    <x v="4"/>
    <x v="5"/>
    <s v="Q2"/>
    <n v="176"/>
    <n v="5.2840909090909092"/>
    <s v="MG Sticks"/>
    <n v="1"/>
    <n v="930"/>
    <n v="3.6269999999999998"/>
    <n v="5.2840909090909092"/>
  </r>
  <r>
    <n v="68730234"/>
    <x v="16"/>
    <n v="25238"/>
    <d v="2023-05-03T00:00:00"/>
    <x v="21"/>
    <x v="21"/>
    <n v="3.7853440000000004E-3"/>
    <n v="95.53451187200001"/>
    <s v="TA"/>
    <x v="4"/>
    <x v="10"/>
    <s v="Q2"/>
    <n v="255"/>
    <n v="98.97254901960784"/>
    <s v="TALENTI"/>
    <n v="1"/>
    <n v="25238"/>
    <n v="95.53451187200001"/>
    <n v="98.97254901960784"/>
  </r>
  <r>
    <n v="68741742"/>
    <x v="16"/>
    <n v="6468"/>
    <d v="2023-05-03T00:00:00"/>
    <x v="25"/>
    <x v="25"/>
    <n v="4.2560000000000002E-3"/>
    <n v="27.527808"/>
    <s v="GH"/>
    <x v="4"/>
    <x v="11"/>
    <s v="Q2"/>
    <n v="154"/>
    <n v="42"/>
    <s v="MBG"/>
    <n v="1"/>
    <n v="6468"/>
    <n v="27.527808"/>
    <n v="42"/>
  </r>
  <r>
    <n v="69549033"/>
    <x v="16"/>
    <n v="14541"/>
    <d v="2023-05-03T00:00:00"/>
    <x v="344"/>
    <x v="22"/>
    <n v="3.552E-3"/>
    <n v="51.649632000000004"/>
    <s v="TA"/>
    <x v="4"/>
    <x v="10"/>
    <s v="Q2"/>
    <n v="255"/>
    <n v="57.023529411764706"/>
    <s v="TALENTI"/>
    <n v="1"/>
    <n v="14541"/>
    <n v="51.649632000000004"/>
    <n v="57.023529411764706"/>
  </r>
  <r>
    <n v="69568963"/>
    <x v="16"/>
    <n v="12671"/>
    <d v="2023-05-03T00:00:00"/>
    <x v="94"/>
    <x v="13"/>
    <n v="8.5199999999999998E-3"/>
    <n v="107.95692"/>
    <s v="BR"/>
    <x v="4"/>
    <x v="2"/>
    <s v="Q2"/>
    <n v="176"/>
    <n v="71.994318181818187"/>
    <s v="48oz"/>
    <n v="1"/>
    <n v="12671"/>
    <n v="107.95692"/>
    <n v="71.994318181818187"/>
  </r>
  <r>
    <n v="69621212"/>
    <x v="16"/>
    <n v="3696"/>
    <d v="2023-05-03T00:00:00"/>
    <x v="29"/>
    <x v="28"/>
    <n v="5.2680000000000001E-3"/>
    <n v="19.470528000000002"/>
    <s v="PG"/>
    <x v="4"/>
    <x v="14"/>
    <s v="Q2"/>
    <n v="130"/>
    <n v="28.430769230769229"/>
    <s v="PG"/>
    <n v="1"/>
    <n v="3696"/>
    <n v="19.470528000000002"/>
    <n v="28.430769230769229"/>
  </r>
  <r>
    <n v="69691903"/>
    <x v="16"/>
    <n v="1710"/>
    <d v="2023-05-03T00:00:00"/>
    <x v="172"/>
    <x v="21"/>
    <n v="3.7839999999999996E-3"/>
    <n v="6.4706399999999995"/>
    <s v="TA"/>
    <x v="4"/>
    <x v="10"/>
    <s v="Q2"/>
    <n v="255"/>
    <n v="6.7058823529411766"/>
    <s v="TALENTI"/>
    <n v="1"/>
    <n v="1710"/>
    <n v="6.4706399999999995"/>
    <n v="6.7058823529411766"/>
  </r>
  <r>
    <n v="69706138"/>
    <x v="16"/>
    <n v="5211"/>
    <d v="2023-05-03T00:00:00"/>
    <x v="289"/>
    <x v="31"/>
    <n v="3.8999999999999998E-3"/>
    <n v="20.322900000000001"/>
    <s v="TA"/>
    <x v="4"/>
    <x v="42"/>
    <s v="Q2"/>
    <n v="176"/>
    <n v="29.607954545454547"/>
    <s v="TAL NV"/>
    <n v="1"/>
    <n v="5211"/>
    <n v="20.322900000000001"/>
    <n v="29.607954545454547"/>
  </r>
  <r>
    <n v="69577493"/>
    <x v="16"/>
    <n v="5177"/>
    <d v="2023-05-03T00:00:00"/>
    <x v="252"/>
    <x v="5"/>
    <n v="2.0400000000000001E-3"/>
    <n v="10.56108"/>
    <s v="MG"/>
    <x v="4"/>
    <x v="5"/>
    <s v="Q2"/>
    <n v="210"/>
    <n v="24.652380952380952"/>
    <s v="MG Sticks"/>
    <n v="1"/>
    <n v="5177"/>
    <n v="10.56108"/>
    <n v="24.652380952380952"/>
  </r>
  <r>
    <n v="69677917"/>
    <x v="16"/>
    <n v="4378"/>
    <d v="2023-05-03T00:00:00"/>
    <x v="30"/>
    <x v="30"/>
    <n v="5.2680000000000001E-3"/>
    <n v="23.063304000000002"/>
    <s v="PS"/>
    <x v="4"/>
    <x v="14"/>
    <s v="Q2"/>
    <n v="108"/>
    <n v="40.537037037037038"/>
    <s v="PG"/>
    <n v="1"/>
    <n v="4378"/>
    <n v="23.063304000000002"/>
    <n v="40.537037037037038"/>
  </r>
  <r>
    <n v="69552658"/>
    <x v="10"/>
    <n v="6993"/>
    <d v="2023-05-03T00:00:00"/>
    <x v="81"/>
    <x v="37"/>
    <n v="2.8390080000000001E-3"/>
    <n v="19.853182944"/>
    <s v="KL"/>
    <x v="4"/>
    <x v="29"/>
    <s v="Q2"/>
    <n v="189"/>
    <n v="37"/>
    <s v="ESS"/>
    <n v="1"/>
    <n v="6993"/>
    <n v="19.853182944"/>
    <n v="37"/>
  </r>
  <r>
    <n v="67465064"/>
    <x v="15"/>
    <n v="3040"/>
    <d v="2023-05-04T00:00:00"/>
    <x v="7"/>
    <x v="3"/>
    <n v="1.596E-3"/>
    <n v="4.8518400000000002"/>
    <s v="PS"/>
    <x v="4"/>
    <x v="3"/>
    <s v="Q2"/>
    <n v="130"/>
    <n v="23.384615384615383"/>
    <s v="PG"/>
    <n v="1"/>
    <n v="3040"/>
    <n v="4.8518400000000002"/>
    <n v="23.384615384615383"/>
  </r>
  <r>
    <n v="67723726"/>
    <x v="15"/>
    <n v="13620"/>
    <d v="2023-05-04T00:00:00"/>
    <x v="109"/>
    <x v="23"/>
    <n v="8.5199999999999998E-3"/>
    <n v="116.0424"/>
    <s v="BR"/>
    <x v="4"/>
    <x v="6"/>
    <s v="Q2"/>
    <n v="154"/>
    <n v="88.441558441558442"/>
    <s v="48oz"/>
    <n v="1"/>
    <n v="13620"/>
    <n v="116.0424"/>
    <n v="88.441558441558442"/>
  </r>
  <r>
    <n v="67885724"/>
    <x v="15"/>
    <n v="8642"/>
    <d v="2023-05-04T00:00:00"/>
    <x v="49"/>
    <x v="12"/>
    <n v="8.5199999999999998E-3"/>
    <n v="73.629840000000002"/>
    <s v="BR"/>
    <x v="4"/>
    <x v="6"/>
    <s v="Q2"/>
    <n v="154"/>
    <n v="56.116883116883116"/>
    <s v="48oz"/>
    <n v="1"/>
    <n v="8642"/>
    <n v="73.629840000000002"/>
    <n v="56.116883116883116"/>
  </r>
  <r>
    <n v="68656231"/>
    <x v="15"/>
    <n v="0"/>
    <d v="2023-05-04T00:00:00"/>
    <x v="16"/>
    <x v="16"/>
    <n v="8.5199999999999998E-3"/>
    <n v="0"/>
    <s v="BR"/>
    <x v="4"/>
    <x v="6"/>
    <s v="Q2"/>
    <n v="154"/>
    <n v="0"/>
    <s v="48oz"/>
    <n v="1"/>
    <n v="0"/>
    <n v="0"/>
    <n v="0"/>
  </r>
  <r>
    <n v="68726871"/>
    <x v="15"/>
    <n v="1739"/>
    <d v="2023-05-04T00:00:00"/>
    <x v="328"/>
    <x v="24"/>
    <n v="2.8319999999999999E-3"/>
    <n v="4.9248479999999999"/>
    <s v="GH"/>
    <x v="4"/>
    <x v="4"/>
    <s v="Q2"/>
    <n v="225"/>
    <n v="7.7288888888888891"/>
    <s v="MBG"/>
    <n v="1"/>
    <n v="1739"/>
    <n v="4.9248479999999999"/>
    <n v="7.7288888888888891"/>
  </r>
  <r>
    <n v="68741745"/>
    <x v="15"/>
    <n v="0"/>
    <d v="2023-05-04T00:00:00"/>
    <x v="281"/>
    <x v="24"/>
    <n v="2.8319999999999999E-3"/>
    <n v="0"/>
    <s v="GH"/>
    <x v="4"/>
    <x v="4"/>
    <s v="Q2"/>
    <n v="315"/>
    <n v="0"/>
    <s v="MBG"/>
    <n v="1"/>
    <n v="0"/>
    <n v="0"/>
    <n v="0"/>
  </r>
  <r>
    <n v="68881269"/>
    <x v="15"/>
    <n v="13583"/>
    <d v="2023-05-04T00:00:00"/>
    <x v="16"/>
    <x v="16"/>
    <n v="8.5199999999999998E-3"/>
    <n v="115.72716"/>
    <s v="BR"/>
    <x v="4"/>
    <x v="6"/>
    <s v="Q2"/>
    <n v="154"/>
    <n v="88.201298701298697"/>
    <s v="48oz"/>
    <n v="1"/>
    <n v="13583"/>
    <n v="115.72716"/>
    <n v="88.201298701298697"/>
  </r>
  <r>
    <n v="67885719"/>
    <x v="16"/>
    <n v="0"/>
    <d v="2023-05-04T00:00:00"/>
    <x v="11"/>
    <x v="32"/>
    <n v="8.5199999999999998E-3"/>
    <n v="0"/>
    <s v="BR"/>
    <x v="4"/>
    <x v="2"/>
    <s v="Q2"/>
    <n v="154"/>
    <n v="0"/>
    <s v="48oz"/>
    <n v="1"/>
    <n v="0"/>
    <n v="0"/>
    <n v="0"/>
  </r>
  <r>
    <n v="67885719"/>
    <x v="16"/>
    <n v="0"/>
    <d v="2023-05-04T00:00:00"/>
    <x v="11"/>
    <x v="32"/>
    <n v="8.5199999999999998E-3"/>
    <n v="0"/>
    <s v="BR"/>
    <x v="4"/>
    <x v="2"/>
    <s v="Q2"/>
    <n v="154"/>
    <n v="0"/>
    <s v="48oz"/>
    <n v="1"/>
    <n v="0"/>
    <n v="0"/>
    <n v="0"/>
  </r>
  <r>
    <n v="67885719"/>
    <x v="16"/>
    <n v="0"/>
    <d v="2023-05-04T00:00:00"/>
    <x v="11"/>
    <x v="13"/>
    <n v="8.5199999999999998E-3"/>
    <n v="0"/>
    <s v="BR"/>
    <x v="4"/>
    <x v="2"/>
    <s v="Q2"/>
    <n v="154"/>
    <n v="0"/>
    <s v="48oz"/>
    <n v="1"/>
    <n v="0"/>
    <n v="0"/>
    <n v="0"/>
  </r>
  <r>
    <n v="68354587"/>
    <x v="16"/>
    <n v="0"/>
    <d v="2023-05-04T00:00:00"/>
    <x v="226"/>
    <x v="15"/>
    <n v="3.5999999999999999E-3"/>
    <n v="0"/>
    <s v="BJ"/>
    <x v="4"/>
    <x v="19"/>
    <s v="Q2"/>
    <n v="240"/>
    <n v="0"/>
    <s v="TOPPED"/>
    <n v="1"/>
    <n v="0"/>
    <n v="0"/>
    <n v="0"/>
  </r>
  <r>
    <n v="68607438"/>
    <x v="16"/>
    <n v="1592"/>
    <d v="2023-05-04T00:00:00"/>
    <x v="122"/>
    <x v="14"/>
    <n v="3.8999999999999998E-3"/>
    <n v="6.2088000000000001"/>
    <s v="MG"/>
    <x v="4"/>
    <x v="5"/>
    <s v="Q2"/>
    <n v="176"/>
    <n v="9.045454545454545"/>
    <s v="MG Sticks"/>
    <n v="1"/>
    <n v="1592"/>
    <n v="6.2088000000000001"/>
    <n v="9.045454545454545"/>
  </r>
  <r>
    <n v="68730234"/>
    <x v="16"/>
    <n v="0"/>
    <d v="2023-05-04T00:00:00"/>
    <x v="21"/>
    <x v="21"/>
    <n v="3.7853440000000004E-3"/>
    <n v="0"/>
    <s v="TA"/>
    <x v="4"/>
    <x v="10"/>
    <s v="Q2"/>
    <n v="255"/>
    <n v="0"/>
    <s v="TALENTI"/>
    <n v="1"/>
    <n v="0"/>
    <n v="0"/>
    <n v="0"/>
  </r>
  <r>
    <n v="69549033"/>
    <x v="16"/>
    <n v="0"/>
    <d v="2023-05-04T00:00:00"/>
    <x v="344"/>
    <x v="22"/>
    <n v="3.552E-3"/>
    <n v="0"/>
    <s v="TA"/>
    <x v="4"/>
    <x v="10"/>
    <s v="Q2"/>
    <n v="255"/>
    <n v="0"/>
    <s v="TALENTI"/>
    <n v="1"/>
    <n v="0"/>
    <n v="0"/>
    <n v="0"/>
  </r>
  <r>
    <n v="69549033"/>
    <x v="16"/>
    <n v="0"/>
    <d v="2023-05-04T00:00:00"/>
    <x v="344"/>
    <x v="22"/>
    <n v="3.552E-3"/>
    <n v="0"/>
    <s v="TA"/>
    <x v="4"/>
    <x v="10"/>
    <s v="Q2"/>
    <n v="255"/>
    <n v="0"/>
    <s v="TALENTI"/>
    <n v="1"/>
    <n v="0"/>
    <n v="0"/>
    <n v="0"/>
  </r>
  <r>
    <n v="69568963"/>
    <x v="16"/>
    <n v="0"/>
    <d v="2023-05-04T00:00:00"/>
    <x v="94"/>
    <x v="13"/>
    <n v="8.5199999999999998E-3"/>
    <n v="0"/>
    <s v="BR"/>
    <x v="4"/>
    <x v="2"/>
    <s v="Q2"/>
    <n v="176"/>
    <n v="0"/>
    <s v="48oz"/>
    <n v="1"/>
    <n v="0"/>
    <n v="0"/>
    <n v="0"/>
  </r>
  <r>
    <n v="69572657"/>
    <x v="16"/>
    <n v="0"/>
    <d v="2023-05-04T00:00:00"/>
    <x v="306"/>
    <x v="5"/>
    <n v="2.1520000000000003E-3"/>
    <n v="0"/>
    <s v="MG"/>
    <x v="4"/>
    <x v="5"/>
    <s v="Q2"/>
    <n v="210"/>
    <n v="0"/>
    <s v="MG Sticks"/>
    <n v="1"/>
    <n v="0"/>
    <n v="0"/>
    <n v="0"/>
  </r>
  <r>
    <n v="69647063"/>
    <x v="16"/>
    <n v="0"/>
    <d v="2023-05-04T00:00:00"/>
    <x v="122"/>
    <x v="14"/>
    <n v="1.98E-3"/>
    <n v="0"/>
    <s v="MG"/>
    <x v="4"/>
    <x v="5"/>
    <s v="Q2"/>
    <n v="176"/>
    <n v="0"/>
    <s v="MG Sticks"/>
    <n v="1"/>
    <n v="0"/>
    <n v="0"/>
    <n v="0"/>
  </r>
  <r>
    <n v="69706133"/>
    <x v="16"/>
    <n v="0"/>
    <d v="2023-05-04T00:00:00"/>
    <x v="229"/>
    <x v="31"/>
    <n v="3.8999999999999998E-3"/>
    <n v="0"/>
    <s v="TA"/>
    <x v="4"/>
    <x v="42"/>
    <s v="Q2"/>
    <n v="176"/>
    <n v="0"/>
    <s v="TAL NV"/>
    <n v="1"/>
    <n v="0"/>
    <n v="0"/>
    <n v="0"/>
  </r>
  <r>
    <n v="69706138"/>
    <x v="16"/>
    <n v="0"/>
    <d v="2023-05-04T00:00:00"/>
    <x v="289"/>
    <x v="31"/>
    <n v="3.8999999999999998E-3"/>
    <n v="0"/>
    <s v="TA"/>
    <x v="4"/>
    <x v="42"/>
    <s v="Q2"/>
    <n v="176"/>
    <n v="0"/>
    <s v="TAL NV"/>
    <n v="1"/>
    <n v="0"/>
    <n v="0"/>
    <n v="0"/>
  </r>
  <r>
    <n v="84137725"/>
    <x v="18"/>
    <n v="54000"/>
    <d v="2023-05-04T00:00:00"/>
    <x v="132"/>
    <x v="33"/>
    <n v="3.7853439999999999E-3"/>
    <n v="204.40857600000001"/>
    <s v="BJ"/>
    <x v="4"/>
    <x v="36"/>
    <s v="Q2"/>
    <n v="240"/>
    <n v="225"/>
    <s v="BJ PTS"/>
    <n v="1"/>
    <n v="54000"/>
    <n v="204.40857600000001"/>
    <n v="225"/>
  </r>
  <r>
    <n v="84137725"/>
    <x v="18"/>
    <n v="53388"/>
    <d v="2023-05-04T00:00:00"/>
    <x v="132"/>
    <x v="33"/>
    <n v="3.7853439999999999E-3"/>
    <n v="202.09194547199999"/>
    <s v="BJ"/>
    <x v="4"/>
    <x v="36"/>
    <s v="Q2"/>
    <n v="240"/>
    <n v="222.45"/>
    <s v="BJ PTS"/>
    <n v="1"/>
    <n v="53388"/>
    <n v="202.09194547199999"/>
    <n v="222.45"/>
  </r>
  <r>
    <n v="84146285"/>
    <x v="17"/>
    <n v="18592"/>
    <d v="2023-05-04T00:00:00"/>
    <x v="248"/>
    <x v="38"/>
    <n v="3.7853439999999999E-3"/>
    <n v="70.377115648"/>
    <s v="BJ"/>
    <x v="4"/>
    <x v="15"/>
    <s v="Q2"/>
    <n v="240"/>
    <n v="77.466666666666669"/>
    <s v="BJ PTS"/>
    <n v="1"/>
    <n v="18592"/>
    <n v="70.377115648"/>
    <n v="77.466666666666669"/>
  </r>
  <r>
    <n v="67465063"/>
    <x v="15"/>
    <n v="4290"/>
    <d v="2023-05-04T00:00:00"/>
    <x v="3"/>
    <x v="7"/>
    <n v="5.2680000000000001E-3"/>
    <n v="22.599720000000001"/>
    <s v="PS"/>
    <x v="4"/>
    <x v="3"/>
    <s v="Q2"/>
    <n v="130"/>
    <n v="33"/>
    <s v="PG"/>
    <n v="1"/>
    <n v="4290"/>
    <n v="22.599720000000001"/>
    <n v="33"/>
  </r>
  <r>
    <n v="67465063"/>
    <x v="15"/>
    <n v="2773"/>
    <d v="2023-05-04T00:00:00"/>
    <x v="3"/>
    <x v="40"/>
    <n v="5.2680000000000001E-3"/>
    <n v="14.608164"/>
    <s v="PS"/>
    <x v="4"/>
    <x v="3"/>
    <s v="Q2"/>
    <n v="130"/>
    <n v="21.330769230769231"/>
    <s v="PG"/>
    <n v="1"/>
    <n v="2773"/>
    <n v="14.608164"/>
    <n v="21.330769230769231"/>
  </r>
  <r>
    <n v="67466462"/>
    <x v="15"/>
    <n v="3420"/>
    <d v="2023-05-04T00:00:00"/>
    <x v="29"/>
    <x v="6"/>
    <n v="5.2680000000000001E-3"/>
    <n v="18.016560000000002"/>
    <s v="PS"/>
    <x v="4"/>
    <x v="3"/>
    <s v="Q2"/>
    <n v="130"/>
    <n v="26.307692307692307"/>
    <s v="PG"/>
    <n v="1"/>
    <n v="3420"/>
    <n v="18.016560000000002"/>
    <n v="26.307692307692307"/>
  </r>
  <r>
    <n v="67466492"/>
    <x v="15"/>
    <n v="3182"/>
    <d v="2023-05-04T00:00:00"/>
    <x v="8"/>
    <x v="8"/>
    <n v="5.2680000000000001E-3"/>
    <n v="16.762775999999999"/>
    <s v="PS"/>
    <x v="4"/>
    <x v="3"/>
    <s v="Q2"/>
    <n v="130"/>
    <n v="24.476923076923075"/>
    <s v="PG"/>
    <n v="1"/>
    <n v="3182"/>
    <n v="16.762775999999999"/>
    <n v="24.476923076923075"/>
  </r>
  <r>
    <n v="67476560"/>
    <x v="15"/>
    <n v="1991"/>
    <d v="2023-05-04T00:00:00"/>
    <x v="10"/>
    <x v="10"/>
    <n v="5.1060000000000003E-3"/>
    <n v="10.166046000000001"/>
    <s v="PS"/>
    <x v="4"/>
    <x v="3"/>
    <s v="Q2"/>
    <n v="130"/>
    <n v="15.315384615384616"/>
    <s v="PG"/>
    <n v="1"/>
    <n v="1991"/>
    <n v="10.166046000000001"/>
    <n v="15.315384615384616"/>
  </r>
  <r>
    <n v="67901583"/>
    <x v="15"/>
    <n v="11738"/>
    <d v="2023-05-04T00:00:00"/>
    <x v="50"/>
    <x v="11"/>
    <n v="8.5199999999999998E-3"/>
    <n v="100.00776"/>
    <s v="BR"/>
    <x v="4"/>
    <x v="6"/>
    <s v="Q2"/>
    <n v="154"/>
    <n v="76.220779220779221"/>
    <s v="48oz"/>
    <n v="1"/>
    <n v="11738"/>
    <n v="100.00776"/>
    <n v="76.220779220779221"/>
  </r>
  <r>
    <n v="68188183"/>
    <x v="15"/>
    <n v="803"/>
    <d v="2023-05-04T00:00:00"/>
    <x v="70"/>
    <x v="9"/>
    <n v="3.8340000000000002E-3"/>
    <n v="3.0787020000000003"/>
    <s v="PS"/>
    <x v="4"/>
    <x v="3"/>
    <s v="Q2"/>
    <n v="130"/>
    <n v="6.1769230769230772"/>
    <s v="PG"/>
    <n v="1"/>
    <n v="803"/>
    <n v="3.0787020000000003"/>
    <n v="6.1769230769230772"/>
  </r>
  <r>
    <n v="69551489"/>
    <x v="15"/>
    <n v="5946"/>
    <d v="2023-05-04T00:00:00"/>
    <x v="338"/>
    <x v="4"/>
    <n v="3.8989043190215313E-3"/>
    <n v="23.182885080902025"/>
    <s v="GH"/>
    <x v="4"/>
    <x v="4"/>
    <s v="Q2"/>
    <n v="154"/>
    <n v="38.61038961038961"/>
    <s v="MBG"/>
    <n v="1"/>
    <n v="5946"/>
    <n v="23.182885080902025"/>
    <n v="38.61038961038961"/>
  </r>
  <r>
    <n v="67885719"/>
    <x v="16"/>
    <n v="6146"/>
    <d v="2023-05-04T00:00:00"/>
    <x v="11"/>
    <x v="13"/>
    <n v="8.5199999999999998E-3"/>
    <n v="52.36392"/>
    <s v="BR"/>
    <x v="4"/>
    <x v="2"/>
    <s v="Q2"/>
    <n v="154"/>
    <n v="39.909090909090907"/>
    <s v="48oz"/>
    <n v="1"/>
    <n v="6146"/>
    <n v="52.36392"/>
    <n v="39.909090909090907"/>
  </r>
  <r>
    <n v="67901592"/>
    <x v="16"/>
    <n v="11533"/>
    <d v="2023-05-04T00:00:00"/>
    <x v="240"/>
    <x v="32"/>
    <n v="8.5199999999999998E-3"/>
    <n v="98.261160000000004"/>
    <s v="BR"/>
    <x v="4"/>
    <x v="2"/>
    <s v="Q2"/>
    <n v="154"/>
    <n v="74.889610389610397"/>
    <s v="48oz"/>
    <n v="1"/>
    <n v="11533"/>
    <n v="98.261160000000004"/>
    <n v="74.889610389610397"/>
  </r>
  <r>
    <n v="67901593"/>
    <x v="16"/>
    <n v="4366"/>
    <d v="2023-05-04T00:00:00"/>
    <x v="68"/>
    <x v="32"/>
    <n v="8.5199999999999998E-3"/>
    <n v="37.198320000000002"/>
    <s v="BR"/>
    <x v="4"/>
    <x v="2"/>
    <s v="Q2"/>
    <n v="154"/>
    <n v="28.350649350649352"/>
    <s v="48oz"/>
    <n v="1"/>
    <n v="4366"/>
    <n v="37.198320000000002"/>
    <n v="28.350649350649352"/>
  </r>
  <r>
    <n v="68354588"/>
    <x v="16"/>
    <n v="24657"/>
    <d v="2023-05-04T00:00:00"/>
    <x v="173"/>
    <x v="15"/>
    <n v="3.5999999999999999E-3"/>
    <n v="88.765199999999993"/>
    <s v="BJ"/>
    <x v="4"/>
    <x v="19"/>
    <s v="Q2"/>
    <n v="240"/>
    <n v="102.7375"/>
    <s v="TOPPED"/>
    <n v="1"/>
    <n v="24657"/>
    <n v="88.765199999999993"/>
    <n v="102.7375"/>
  </r>
  <r>
    <n v="68356102"/>
    <x v="16"/>
    <n v="11157"/>
    <d v="2023-05-04T00:00:00"/>
    <x v="13"/>
    <x v="2"/>
    <n v="8.513999999999999E-3"/>
    <n v="94.990697999999995"/>
    <s v="BR"/>
    <x v="4"/>
    <x v="2"/>
    <s v="Q2"/>
    <n v="154"/>
    <n v="72.448051948051955"/>
    <s v="48oz"/>
    <n v="1"/>
    <n v="11157"/>
    <n v="94.990697999999995"/>
    <n v="72.448051948051955"/>
  </r>
  <r>
    <n v="68656229"/>
    <x v="16"/>
    <n v="0"/>
    <d v="2023-05-04T00:00:00"/>
    <x v="208"/>
    <x v="2"/>
    <n v="8.5199999999999998E-3"/>
    <n v="0"/>
    <s v="BR"/>
    <x v="4"/>
    <x v="2"/>
    <s v="Q2"/>
    <n v="154"/>
    <n v="0"/>
    <s v="48oz"/>
    <n v="1"/>
    <n v="0"/>
    <n v="0"/>
    <n v="0"/>
  </r>
  <r>
    <n v="68741742"/>
    <x v="16"/>
    <n v="5068"/>
    <d v="2023-05-04T00:00:00"/>
    <x v="25"/>
    <x v="25"/>
    <n v="4.2560000000000002E-3"/>
    <n v="21.569408000000003"/>
    <s v="GH"/>
    <x v="4"/>
    <x v="11"/>
    <s v="Q2"/>
    <n v="154"/>
    <n v="32.909090909090907"/>
    <s v="MBG"/>
    <n v="1"/>
    <n v="5068"/>
    <n v="21.569408000000003"/>
    <n v="32.909090909090907"/>
  </r>
  <r>
    <n v="69577493"/>
    <x v="16"/>
    <n v="8570"/>
    <d v="2023-05-04T00:00:00"/>
    <x v="252"/>
    <x v="5"/>
    <n v="2.0400000000000001E-3"/>
    <n v="17.482800000000001"/>
    <s v="MG"/>
    <x v="4"/>
    <x v="5"/>
    <s v="Q2"/>
    <n v="210"/>
    <n v="40.80952380952381"/>
    <s v="MG Sticks"/>
    <n v="1"/>
    <n v="8570"/>
    <n v="17.482800000000001"/>
    <n v="40.80952380952381"/>
  </r>
  <r>
    <n v="69621212"/>
    <x v="16"/>
    <n v="4371"/>
    <d v="2023-05-04T00:00:00"/>
    <x v="29"/>
    <x v="28"/>
    <n v="5.2680000000000001E-3"/>
    <n v="23.026427999999999"/>
    <s v="PG"/>
    <x v="4"/>
    <x v="14"/>
    <s v="Q2"/>
    <n v="130"/>
    <n v="33.623076923076923"/>
    <s v="PG"/>
    <n v="1"/>
    <n v="4371"/>
    <n v="23.026427999999999"/>
    <n v="33.623076923076923"/>
  </r>
  <r>
    <n v="69691903"/>
    <x v="16"/>
    <n v="28714"/>
    <d v="2023-05-04T00:00:00"/>
    <x v="172"/>
    <x v="21"/>
    <n v="3.7839999999999996E-3"/>
    <n v="108.65377599999999"/>
    <s v="TA"/>
    <x v="4"/>
    <x v="10"/>
    <s v="Q2"/>
    <n v="255"/>
    <n v="112.60392156862746"/>
    <s v="TALENTI"/>
    <n v="1"/>
    <n v="28714"/>
    <n v="108.65377599999999"/>
    <n v="112.60392156862746"/>
  </r>
  <r>
    <n v="69549034"/>
    <x v="16"/>
    <n v="6607"/>
    <d v="2023-05-04T00:00:00"/>
    <x v="296"/>
    <x v="22"/>
    <n v="3.5439999999999998E-3"/>
    <n v="23.415208"/>
    <s v="TA"/>
    <x v="4"/>
    <x v="10"/>
    <s v="Q2"/>
    <n v="255"/>
    <n v="25.909803921568628"/>
    <s v="TALENTI"/>
    <n v="1"/>
    <n v="6607"/>
    <n v="23.415208"/>
    <n v="25.909803921568628"/>
  </r>
  <r>
    <n v="67465064"/>
    <x v="15"/>
    <n v="3209"/>
    <d v="2023-05-05T00:00:00"/>
    <x v="7"/>
    <x v="3"/>
    <n v="1.596E-3"/>
    <n v="5.1215640000000002"/>
    <s v="PS"/>
    <x v="4"/>
    <x v="3"/>
    <s v="Q2"/>
    <n v="130"/>
    <n v="24.684615384615384"/>
    <s v="PG"/>
    <n v="1"/>
    <n v="3209"/>
    <n v="5.1215640000000002"/>
    <n v="24.684615384615384"/>
  </r>
  <r>
    <n v="67466462"/>
    <x v="15"/>
    <n v="4220"/>
    <d v="2023-05-05T00:00:00"/>
    <x v="29"/>
    <x v="6"/>
    <n v="5.2680000000000001E-3"/>
    <n v="22.23096"/>
    <s v="PS"/>
    <x v="4"/>
    <x v="3"/>
    <s v="Q2"/>
    <n v="130"/>
    <n v="32.46153846153846"/>
    <s v="PG"/>
    <n v="1"/>
    <n v="4220"/>
    <n v="22.23096"/>
    <n v="32.46153846153846"/>
  </r>
  <r>
    <n v="67476560"/>
    <x v="15"/>
    <n v="708"/>
    <d v="2023-05-05T00:00:00"/>
    <x v="10"/>
    <x v="10"/>
    <n v="5.1060000000000003E-3"/>
    <n v="3.6150480000000003"/>
    <s v="PS"/>
    <x v="4"/>
    <x v="3"/>
    <s v="Q2"/>
    <n v="130"/>
    <n v="5.4461538461538463"/>
    <s v="PG"/>
    <n v="1"/>
    <n v="708"/>
    <n v="3.6150480000000003"/>
    <n v="5.4461538461538463"/>
  </r>
  <r>
    <n v="67723726"/>
    <x v="15"/>
    <n v="6936"/>
    <d v="2023-05-05T00:00:00"/>
    <x v="109"/>
    <x v="23"/>
    <n v="8.5199999999999998E-3"/>
    <n v="59.094719999999995"/>
    <s v="BR"/>
    <x v="4"/>
    <x v="6"/>
    <s v="Q2"/>
    <n v="154"/>
    <n v="45.038961038961041"/>
    <s v="48oz"/>
    <n v="1"/>
    <n v="6936"/>
    <n v="59.094719999999995"/>
    <n v="45.038961038961041"/>
  </r>
  <r>
    <n v="67723726"/>
    <x v="15"/>
    <n v="0"/>
    <d v="2023-05-05T00:00:00"/>
    <x v="109"/>
    <x v="23"/>
    <n v="8.5199999999999998E-3"/>
    <n v="0"/>
    <s v="BR"/>
    <x v="4"/>
    <x v="6"/>
    <s v="Q2"/>
    <n v="154"/>
    <n v="0"/>
    <s v="48oz"/>
    <n v="1"/>
    <n v="0"/>
    <n v="0"/>
    <n v="0"/>
  </r>
  <r>
    <n v="67885716"/>
    <x v="15"/>
    <n v="6802"/>
    <d v="2023-05-05T00:00:00"/>
    <x v="89"/>
    <x v="11"/>
    <n v="8.5199999999999998E-3"/>
    <n v="57.953040000000001"/>
    <s v="BR"/>
    <x v="4"/>
    <x v="6"/>
    <s v="Q2"/>
    <n v="154"/>
    <n v="44.168831168831169"/>
    <s v="48oz"/>
    <n v="1"/>
    <n v="6802"/>
    <n v="57.953040000000001"/>
    <n v="44.168831168831169"/>
  </r>
  <r>
    <n v="67885719"/>
    <x v="15"/>
    <n v="13277"/>
    <d v="2023-05-05T00:00:00"/>
    <x v="11"/>
    <x v="12"/>
    <n v="8.5199999999999998E-3"/>
    <n v="113.12004"/>
    <s v="BR"/>
    <x v="4"/>
    <x v="6"/>
    <s v="Q2"/>
    <n v="154"/>
    <n v="86.214285714285708"/>
    <s v="48oz"/>
    <n v="1"/>
    <n v="13277"/>
    <n v="113.12004"/>
    <n v="86.214285714285708"/>
  </r>
  <r>
    <n v="67901583"/>
    <x v="15"/>
    <n v="2104"/>
    <d v="2023-05-05T00:00:00"/>
    <x v="50"/>
    <x v="11"/>
    <n v="8.5199999999999998E-3"/>
    <n v="17.926079999999999"/>
    <s v="BR"/>
    <x v="4"/>
    <x v="6"/>
    <s v="Q2"/>
    <n v="154"/>
    <n v="13.662337662337663"/>
    <s v="48oz"/>
    <n v="1"/>
    <n v="2104"/>
    <n v="17.926079999999999"/>
    <n v="13.662337662337663"/>
  </r>
  <r>
    <n v="67901584"/>
    <x v="15"/>
    <n v="3349"/>
    <d v="2023-05-05T00:00:00"/>
    <x v="51"/>
    <x v="11"/>
    <n v="8.5199999999999998E-3"/>
    <n v="28.533480000000001"/>
    <s v="BR"/>
    <x v="4"/>
    <x v="6"/>
    <s v="Q2"/>
    <n v="154"/>
    <n v="21.746753246753247"/>
    <s v="48oz"/>
    <n v="1"/>
    <n v="3349"/>
    <n v="28.533480000000001"/>
    <n v="21.746753246753247"/>
  </r>
  <r>
    <n v="68188183"/>
    <x v="15"/>
    <n v="554"/>
    <d v="2023-05-05T00:00:00"/>
    <x v="70"/>
    <x v="9"/>
    <n v="3.8340000000000002E-3"/>
    <n v="2.1240360000000003"/>
    <s v="PS"/>
    <x v="4"/>
    <x v="3"/>
    <s v="Q2"/>
    <n v="130"/>
    <n v="4.2615384615384615"/>
    <s v="PG"/>
    <n v="1"/>
    <n v="554"/>
    <n v="2.1240360000000003"/>
    <n v="4.2615384615384615"/>
  </r>
  <r>
    <n v="67901592"/>
    <x v="16"/>
    <n v="0"/>
    <d v="2023-05-05T00:00:00"/>
    <x v="240"/>
    <x v="32"/>
    <n v="8.5199999999999998E-3"/>
    <n v="0"/>
    <s v="BR"/>
    <x v="4"/>
    <x v="2"/>
    <s v="Q2"/>
    <n v="154"/>
    <n v="0"/>
    <s v="48oz"/>
    <n v="1"/>
    <n v="0"/>
    <n v="0"/>
    <n v="0"/>
  </r>
  <r>
    <n v="68726982"/>
    <x v="16"/>
    <n v="0"/>
    <d v="2023-05-05T00:00:00"/>
    <x v="291"/>
    <x v="21"/>
    <n v="3.7853440000000004E-3"/>
    <n v="0"/>
    <s v="TA"/>
    <x v="4"/>
    <x v="10"/>
    <s v="Q2"/>
    <n v="255"/>
    <n v="0"/>
    <s v="TALENTI"/>
    <n v="1"/>
    <n v="0"/>
    <n v="0"/>
    <n v="0"/>
  </r>
  <r>
    <n v="68922106"/>
    <x v="16"/>
    <n v="0"/>
    <d v="2023-05-05T00:00:00"/>
    <x v="104"/>
    <x v="22"/>
    <n v="3.552E-3"/>
    <n v="0"/>
    <s v="TA"/>
    <x v="4"/>
    <x v="10"/>
    <s v="Q2"/>
    <n v="255"/>
    <n v="0"/>
    <s v="TALENTI"/>
    <n v="1"/>
    <n v="0"/>
    <n v="0"/>
    <n v="0"/>
  </r>
  <r>
    <n v="69572657"/>
    <x v="16"/>
    <n v="0"/>
    <d v="2023-05-05T00:00:00"/>
    <x v="306"/>
    <x v="5"/>
    <n v="2.1520000000000003E-3"/>
    <n v="0"/>
    <s v="MG"/>
    <x v="4"/>
    <x v="5"/>
    <s v="Q2"/>
    <n v="210"/>
    <n v="0"/>
    <s v="MG Sticks"/>
    <n v="1"/>
    <n v="0"/>
    <n v="0"/>
    <n v="0"/>
  </r>
  <r>
    <n v="69647063"/>
    <x v="16"/>
    <n v="0"/>
    <d v="2023-05-05T00:00:00"/>
    <x v="122"/>
    <x v="14"/>
    <n v="1.98E-3"/>
    <n v="0"/>
    <s v="MG"/>
    <x v="4"/>
    <x v="5"/>
    <s v="Q2"/>
    <n v="176"/>
    <n v="0"/>
    <s v="MG Sticks"/>
    <n v="1"/>
    <n v="0"/>
    <n v="0"/>
    <n v="0"/>
  </r>
  <r>
    <n v="69706133"/>
    <x v="16"/>
    <n v="0"/>
    <d v="2023-05-05T00:00:00"/>
    <x v="229"/>
    <x v="31"/>
    <n v="3.8999999999999998E-3"/>
    <n v="0"/>
    <s v="TA"/>
    <x v="4"/>
    <x v="42"/>
    <s v="Q2"/>
    <n v="176"/>
    <n v="0"/>
    <s v="TAL NV"/>
    <n v="1"/>
    <n v="0"/>
    <n v="0"/>
    <n v="0"/>
  </r>
  <r>
    <n v="68297196"/>
    <x v="17"/>
    <n v="18752"/>
    <d v="2023-05-05T00:00:00"/>
    <x v="133"/>
    <x v="35"/>
    <n v="3.7853439999999999E-3"/>
    <n v="70.982770688000002"/>
    <s v="BJ"/>
    <x v="4"/>
    <x v="15"/>
    <s v="Q2"/>
    <n v="240"/>
    <n v="78.13333333333334"/>
    <s v="BJ PTS"/>
    <n v="1"/>
    <n v="18752"/>
    <n v="70.982770688000002"/>
    <n v="78.13333333333334"/>
  </r>
  <r>
    <n v="84135758"/>
    <x v="17"/>
    <n v="59021"/>
    <d v="2023-05-05T00:00:00"/>
    <x v="130"/>
    <x v="33"/>
    <n v="1.4399999999999999E-3"/>
    <n v="84.990239999999986"/>
    <s v="BJ"/>
    <x v="4"/>
    <x v="16"/>
    <s v="Q2"/>
    <n v="510"/>
    <n v="115.72745098039216"/>
    <s v="B&amp;J Cups"/>
    <n v="1"/>
    <n v="59021"/>
    <n v="84.990239999999986"/>
    <n v="115.72745098039216"/>
  </r>
  <r>
    <n v="84141094"/>
    <x v="17"/>
    <n v="48000"/>
    <d v="2023-05-05T00:00:00"/>
    <x v="107"/>
    <x v="33"/>
    <n v="3.7853439999999999E-3"/>
    <n v="181.69651199999998"/>
    <s v="BJ"/>
    <x v="4"/>
    <x v="15"/>
    <s v="Q2"/>
    <n v="240"/>
    <n v="200"/>
    <s v="BJ PTS"/>
    <n v="1"/>
    <n v="48000"/>
    <n v="181.69651199999998"/>
    <n v="200"/>
  </r>
  <r>
    <n v="84141094"/>
    <x v="17"/>
    <n v="53140"/>
    <d v="2023-05-05T00:00:00"/>
    <x v="107"/>
    <x v="33"/>
    <n v="3.7853439999999999E-3"/>
    <n v="201.15318016000001"/>
    <s v="BJ"/>
    <x v="4"/>
    <x v="15"/>
    <s v="Q2"/>
    <n v="240"/>
    <n v="221.41666666666666"/>
    <s v="BJ PTS"/>
    <n v="1"/>
    <n v="53140"/>
    <n v="201.15318016000001"/>
    <n v="221.41666666666666"/>
  </r>
  <r>
    <n v="67465063"/>
    <x v="15"/>
    <n v="893"/>
    <d v="2023-05-05T00:00:00"/>
    <x v="3"/>
    <x v="40"/>
    <n v="5.2680000000000001E-3"/>
    <n v="4.7043239999999997"/>
    <s v="PS"/>
    <x v="4"/>
    <x v="3"/>
    <s v="Q2"/>
    <n v="130"/>
    <n v="6.8692307692307688"/>
    <s v="PG"/>
    <n v="1"/>
    <n v="893"/>
    <n v="4.7043239999999997"/>
    <n v="6.8692307692307688"/>
  </r>
  <r>
    <n v="67465063"/>
    <x v="15"/>
    <n v="2566"/>
    <d v="2023-05-05T00:00:00"/>
    <x v="3"/>
    <x v="7"/>
    <n v="5.2680000000000001E-3"/>
    <n v="13.517688"/>
    <s v="PS"/>
    <x v="4"/>
    <x v="3"/>
    <s v="Q2"/>
    <n v="130"/>
    <n v="19.738461538461539"/>
    <s v="PG"/>
    <n v="1"/>
    <n v="2566"/>
    <n v="13.517688"/>
    <n v="19.738461538461539"/>
  </r>
  <r>
    <n v="67466492"/>
    <x v="15"/>
    <n v="4481"/>
    <d v="2023-05-05T00:00:00"/>
    <x v="8"/>
    <x v="8"/>
    <n v="5.2680000000000001E-3"/>
    <n v="23.605907999999999"/>
    <s v="PS"/>
    <x v="4"/>
    <x v="3"/>
    <s v="Q2"/>
    <n v="130"/>
    <n v="34.469230769230769"/>
    <s v="PG"/>
    <n v="1"/>
    <n v="4481"/>
    <n v="23.605907999999999"/>
    <n v="34.469230769230769"/>
  </r>
  <r>
    <n v="68726871"/>
    <x v="15"/>
    <n v="8201"/>
    <d v="2023-05-05T00:00:00"/>
    <x v="328"/>
    <x v="24"/>
    <n v="2.8319999999999999E-3"/>
    <n v="23.225231999999998"/>
    <s v="GH"/>
    <x v="4"/>
    <x v="4"/>
    <s v="Q2"/>
    <n v="225"/>
    <n v="36.448888888888888"/>
    <s v="MBG"/>
    <n v="1"/>
    <n v="8201"/>
    <n v="23.225231999999998"/>
    <n v="36.448888888888888"/>
  </r>
  <r>
    <n v="68881269"/>
    <x v="15"/>
    <n v="0"/>
    <d v="2023-05-05T00:00:00"/>
    <x v="16"/>
    <x v="16"/>
    <n v="8.5199999999999998E-3"/>
    <n v="0"/>
    <s v="BR"/>
    <x v="4"/>
    <x v="6"/>
    <s v="Q2"/>
    <n v="154"/>
    <n v="0"/>
    <s v="48oz"/>
    <n v="1"/>
    <n v="0"/>
    <n v="0"/>
    <n v="0"/>
  </r>
  <r>
    <n v="69551489"/>
    <x v="15"/>
    <n v="5524"/>
    <d v="2023-05-05T00:00:00"/>
    <x v="338"/>
    <x v="4"/>
    <n v="3.8989043190215313E-3"/>
    <n v="21.53754745827494"/>
    <s v="GH"/>
    <x v="4"/>
    <x v="4"/>
    <s v="Q2"/>
    <n v="154"/>
    <n v="35.870129870129873"/>
    <s v="MBG"/>
    <n v="1"/>
    <n v="5524"/>
    <n v="21.53754745827494"/>
    <n v="35.870129870129873"/>
  </r>
  <r>
    <n v="67885719"/>
    <x v="16"/>
    <n v="4893"/>
    <d v="2023-05-05T00:00:00"/>
    <x v="11"/>
    <x v="13"/>
    <n v="8.5199999999999998E-3"/>
    <n v="41.688359999999996"/>
    <s v="BR"/>
    <x v="4"/>
    <x v="2"/>
    <s v="Q2"/>
    <n v="154"/>
    <n v="31.772727272727273"/>
    <s v="48oz"/>
    <n v="1"/>
    <n v="4893"/>
    <n v="41.688359999999996"/>
    <n v="31.772727272727273"/>
  </r>
  <r>
    <n v="68354588"/>
    <x v="16"/>
    <n v="23867"/>
    <d v="2023-05-05T00:00:00"/>
    <x v="173"/>
    <x v="15"/>
    <n v="3.5999999999999999E-3"/>
    <n v="85.921199999999999"/>
    <s v="BJ"/>
    <x v="4"/>
    <x v="19"/>
    <s v="Q2"/>
    <n v="240"/>
    <n v="99.44583333333334"/>
    <s v="TOPPED"/>
    <n v="1"/>
    <n v="23867"/>
    <n v="85.921199999999999"/>
    <n v="99.44583333333334"/>
  </r>
  <r>
    <n v="68607438"/>
    <x v="16"/>
    <n v="2042"/>
    <d v="2023-05-05T00:00:00"/>
    <x v="122"/>
    <x v="14"/>
    <n v="3.8999999999999998E-3"/>
    <n v="7.9638"/>
    <s v="MG"/>
    <x v="4"/>
    <x v="5"/>
    <s v="Q2"/>
    <n v="176"/>
    <n v="11.602272727272727"/>
    <s v="MG Sticks"/>
    <n v="1"/>
    <n v="2042"/>
    <n v="7.9638"/>
    <n v="11.602272727272727"/>
  </r>
  <r>
    <n v="68741742"/>
    <x v="16"/>
    <n v="1342"/>
    <d v="2023-05-05T00:00:00"/>
    <x v="25"/>
    <x v="25"/>
    <n v="4.2560000000000002E-3"/>
    <n v="5.7115520000000002"/>
    <s v="GH"/>
    <x v="4"/>
    <x v="11"/>
    <s v="Q2"/>
    <n v="154"/>
    <n v="8.7142857142857135"/>
    <s v="MBG"/>
    <n v="1"/>
    <n v="1342"/>
    <n v="5.7115520000000002"/>
    <n v="8.7142857142857135"/>
  </r>
  <r>
    <n v="69549034"/>
    <x v="16"/>
    <n v="12164"/>
    <d v="2023-05-05T00:00:00"/>
    <x v="296"/>
    <x v="22"/>
    <n v="3.5439999999999998E-3"/>
    <n v="43.109215999999996"/>
    <s v="TA"/>
    <x v="4"/>
    <x v="10"/>
    <s v="Q2"/>
    <n v="255"/>
    <n v="47.701960784313727"/>
    <s v="TALENTI"/>
    <n v="1"/>
    <n v="12164"/>
    <n v="43.109215999999996"/>
    <n v="47.701960784313727"/>
  </r>
  <r>
    <n v="69577493"/>
    <x v="16"/>
    <n v="13968"/>
    <d v="2023-05-05T00:00:00"/>
    <x v="252"/>
    <x v="5"/>
    <n v="2.0400000000000001E-3"/>
    <n v="28.494720000000001"/>
    <s v="MG"/>
    <x v="4"/>
    <x v="5"/>
    <s v="Q2"/>
    <n v="210"/>
    <n v="66.51428571428572"/>
    <s v="MG Sticks"/>
    <n v="1"/>
    <n v="13968"/>
    <n v="28.494720000000001"/>
    <n v="66.51428571428572"/>
  </r>
  <r>
    <n v="69621212"/>
    <x v="16"/>
    <n v="5857"/>
    <d v="2023-05-05T00:00:00"/>
    <x v="29"/>
    <x v="28"/>
    <n v="5.2680000000000001E-3"/>
    <n v="30.854676000000001"/>
    <s v="PG"/>
    <x v="4"/>
    <x v="14"/>
    <s v="Q2"/>
    <n v="130"/>
    <n v="45.053846153846152"/>
    <s v="PG"/>
    <n v="1"/>
    <n v="5857"/>
    <n v="30.854676000000001"/>
    <n v="45.053846153846152"/>
  </r>
  <r>
    <n v="69691903"/>
    <x v="16"/>
    <n v="19344"/>
    <d v="2023-05-05T00:00:00"/>
    <x v="172"/>
    <x v="21"/>
    <n v="3.7839999999999996E-3"/>
    <n v="73.197695999999993"/>
    <s v="TA"/>
    <x v="4"/>
    <x v="10"/>
    <s v="Q2"/>
    <n v="255"/>
    <n v="75.858823529411765"/>
    <s v="TALENTI"/>
    <n v="1"/>
    <n v="19344"/>
    <n v="73.197695999999993"/>
    <n v="75.858823529411765"/>
  </r>
  <r>
    <n v="67901593"/>
    <x v="16"/>
    <n v="27446"/>
    <d v="2023-05-05T00:00:00"/>
    <x v="68"/>
    <x v="32"/>
    <n v="8.5199999999999998E-3"/>
    <n v="233.83992000000001"/>
    <s v="BR"/>
    <x v="4"/>
    <x v="2"/>
    <s v="Q2"/>
    <n v="154"/>
    <n v="178.22077922077921"/>
    <s v="48oz"/>
    <n v="1"/>
    <n v="27446"/>
    <n v="233.83992000000001"/>
    <n v="178.22077922077921"/>
  </r>
  <r>
    <n v="69552658"/>
    <x v="10"/>
    <n v="3837"/>
    <d v="2023-05-05T00:00:00"/>
    <x v="81"/>
    <x v="37"/>
    <n v="2.8390080000000001E-3"/>
    <n v="10.893273696"/>
    <s v="KL"/>
    <x v="4"/>
    <x v="29"/>
    <s v="Q2"/>
    <n v="189"/>
    <n v="20.301587301587301"/>
    <s v="ESS"/>
    <n v="1"/>
    <n v="3837"/>
    <n v="10.893273696"/>
    <n v="20.301587301587301"/>
  </r>
  <r>
    <n v="69552658"/>
    <x v="10"/>
    <n v="3036"/>
    <d v="2023-05-05T00:00:00"/>
    <x v="81"/>
    <x v="37"/>
    <n v="2.8390080000000001E-3"/>
    <n v="8.6192282880000004"/>
    <s v="KL"/>
    <x v="4"/>
    <x v="29"/>
    <s v="Q2"/>
    <n v="189"/>
    <n v="16.063492063492063"/>
    <s v="ESS"/>
    <n v="1"/>
    <n v="3036"/>
    <n v="8.6192282880000004"/>
    <n v="16.063492063492063"/>
  </r>
  <r>
    <n v="67465064"/>
    <x v="15"/>
    <n v="4763"/>
    <d v="2023-05-06T00:00:00"/>
    <x v="7"/>
    <x v="3"/>
    <n v="1.596E-3"/>
    <n v="7.6017479999999997"/>
    <s v="PS"/>
    <x v="4"/>
    <x v="3"/>
    <s v="Q2"/>
    <n v="130"/>
    <n v="36.638461538461542"/>
    <s v="PG"/>
    <n v="1"/>
    <n v="4763"/>
    <n v="7.6017479999999997"/>
    <n v="36.638461538461542"/>
  </r>
  <r>
    <n v="67466462"/>
    <x v="15"/>
    <n v="4598"/>
    <d v="2023-05-06T00:00:00"/>
    <x v="29"/>
    <x v="6"/>
    <n v="5.2680000000000001E-3"/>
    <n v="24.222263999999999"/>
    <s v="PS"/>
    <x v="4"/>
    <x v="3"/>
    <s v="Q2"/>
    <n v="130"/>
    <n v="35.369230769230768"/>
    <s v="PG"/>
    <n v="1"/>
    <n v="4598"/>
    <n v="24.222263999999999"/>
    <n v="35.369230769230768"/>
  </r>
  <r>
    <n v="67885716"/>
    <x v="15"/>
    <n v="6891"/>
    <d v="2023-05-06T00:00:00"/>
    <x v="89"/>
    <x v="11"/>
    <n v="8.5199999999999998E-3"/>
    <n v="58.711320000000001"/>
    <s v="BR"/>
    <x v="4"/>
    <x v="6"/>
    <s v="Q2"/>
    <n v="154"/>
    <n v="44.746753246753244"/>
    <s v="48oz"/>
    <n v="1"/>
    <n v="6891"/>
    <n v="58.711320000000001"/>
    <n v="44.746753246753244"/>
  </r>
  <r>
    <n v="67885719"/>
    <x v="15"/>
    <n v="15125"/>
    <d v="2023-05-06T00:00:00"/>
    <x v="11"/>
    <x v="12"/>
    <n v="8.5199999999999998E-3"/>
    <n v="128.86500000000001"/>
    <s v="BR"/>
    <x v="4"/>
    <x v="6"/>
    <s v="Q2"/>
    <n v="154"/>
    <n v="98.214285714285708"/>
    <s v="48oz"/>
    <n v="1"/>
    <n v="15125"/>
    <n v="128.86500000000001"/>
    <n v="98.214285714285708"/>
  </r>
  <r>
    <n v="68850683"/>
    <x v="15"/>
    <n v="3077"/>
    <d v="2023-05-06T00:00:00"/>
    <x v="335"/>
    <x v="11"/>
    <n v="8.5199999999999998E-3"/>
    <n v="26.21604"/>
    <s v="BR"/>
    <x v="4"/>
    <x v="6"/>
    <s v="Q2"/>
    <n v="176"/>
    <n v="17.482954545454547"/>
    <s v="48oz"/>
    <n v="1"/>
    <n v="3077"/>
    <n v="26.21604"/>
    <n v="17.482954545454547"/>
  </r>
  <r>
    <n v="68354588"/>
    <x v="16"/>
    <n v="0"/>
    <d v="2023-05-06T00:00:00"/>
    <x v="173"/>
    <x v="15"/>
    <n v="3.5999999999999999E-3"/>
    <n v="0"/>
    <s v="BJ"/>
    <x v="4"/>
    <x v="19"/>
    <s v="Q2"/>
    <n v="240"/>
    <n v="0"/>
    <s v="TOPPED"/>
    <n v="1"/>
    <n v="0"/>
    <n v="0"/>
    <n v="0"/>
  </r>
  <r>
    <n v="68656229"/>
    <x v="16"/>
    <n v="9896"/>
    <d v="2023-05-06T00:00:00"/>
    <x v="208"/>
    <x v="2"/>
    <n v="8.5199999999999998E-3"/>
    <n v="84.313919999999996"/>
    <s v="BR"/>
    <x v="4"/>
    <x v="2"/>
    <s v="Q2"/>
    <n v="154"/>
    <n v="64.259740259740255"/>
    <s v="48oz"/>
    <n v="1"/>
    <n v="9896"/>
    <n v="84.313919999999996"/>
    <n v="64.259740259740255"/>
  </r>
  <r>
    <n v="68896057"/>
    <x v="16"/>
    <n v="0"/>
    <d v="2023-05-06T00:00:00"/>
    <x v="46"/>
    <x v="2"/>
    <n v="8.5199999999999998E-3"/>
    <n v="0"/>
    <s v="BR"/>
    <x v="4"/>
    <x v="2"/>
    <s v="Q2"/>
    <n v="176"/>
    <n v="0"/>
    <s v="48oz"/>
    <n v="1"/>
    <n v="0"/>
    <n v="0"/>
    <n v="0"/>
  </r>
  <r>
    <n v="69568965"/>
    <x v="16"/>
    <n v="7828"/>
    <d v="2023-05-06T00:00:00"/>
    <x v="298"/>
    <x v="13"/>
    <n v="8.5199999999999998E-3"/>
    <n v="66.694559999999996"/>
    <s v="BR"/>
    <x v="4"/>
    <x v="2"/>
    <s v="Q2"/>
    <n v="176"/>
    <n v="44.477272727272727"/>
    <s v="48oz"/>
    <n v="1"/>
    <n v="7828"/>
    <n v="66.694559999999996"/>
    <n v="44.477272727272727"/>
  </r>
  <r>
    <n v="67466492"/>
    <x v="15"/>
    <n v="3625"/>
    <d v="2023-05-06T00:00:00"/>
    <x v="8"/>
    <x v="8"/>
    <n v="5.2680000000000001E-3"/>
    <n v="19.096499999999999"/>
    <s v="PS"/>
    <x v="4"/>
    <x v="3"/>
    <s v="Q2"/>
    <n v="130"/>
    <n v="27.884615384615383"/>
    <s v="PG"/>
    <n v="1"/>
    <n v="3625"/>
    <n v="19.096499999999999"/>
    <n v="27.884615384615383"/>
  </r>
  <r>
    <n v="68726871"/>
    <x v="15"/>
    <n v="8708"/>
    <d v="2023-05-06T00:00:00"/>
    <x v="328"/>
    <x v="24"/>
    <n v="2.8319999999999999E-3"/>
    <n v="24.661055999999999"/>
    <s v="GH"/>
    <x v="4"/>
    <x v="4"/>
    <s v="Q2"/>
    <n v="225"/>
    <n v="38.702222222222225"/>
    <s v="MBG"/>
    <n v="1"/>
    <n v="8708"/>
    <n v="24.661055999999999"/>
    <n v="38.702222222222225"/>
  </r>
  <r>
    <n v="69551489"/>
    <x v="15"/>
    <n v="4395"/>
    <d v="2023-05-06T00:00:00"/>
    <x v="338"/>
    <x v="4"/>
    <n v="3.8989043190215313E-3"/>
    <n v="17.135684482099631"/>
    <s v="GH"/>
    <x v="4"/>
    <x v="4"/>
    <s v="Q2"/>
    <n v="154"/>
    <n v="28.538961038961038"/>
    <s v="MBG"/>
    <n v="1"/>
    <n v="4395"/>
    <n v="17.135684482099631"/>
    <n v="28.538961038961038"/>
  </r>
  <r>
    <n v="67901593"/>
    <x v="16"/>
    <n v="20935"/>
    <d v="2023-05-06T00:00:00"/>
    <x v="68"/>
    <x v="32"/>
    <n v="8.5199999999999998E-3"/>
    <n v="178.36619999999999"/>
    <s v="BR"/>
    <x v="4"/>
    <x v="2"/>
    <s v="Q2"/>
    <n v="154"/>
    <n v="135.94155844155844"/>
    <s v="48oz"/>
    <n v="1"/>
    <n v="20935"/>
    <n v="178.36619999999999"/>
    <n v="135.94155844155844"/>
  </r>
  <r>
    <n v="68656229"/>
    <x v="16"/>
    <n v="11939"/>
    <d v="2023-05-06T00:00:00"/>
    <x v="208"/>
    <x v="2"/>
    <n v="8.5199999999999998E-3"/>
    <n v="101.72028"/>
    <s v="BR"/>
    <x v="4"/>
    <x v="2"/>
    <s v="Q2"/>
    <n v="154"/>
    <n v="77.525974025974023"/>
    <s v="48oz"/>
    <n v="1"/>
    <n v="11939"/>
    <n v="101.72028"/>
    <n v="77.525974025974023"/>
  </r>
  <r>
    <n v="68726982"/>
    <x v="16"/>
    <n v="24465"/>
    <d v="2023-05-06T00:00:00"/>
    <x v="291"/>
    <x v="21"/>
    <n v="3.7853440000000004E-3"/>
    <n v="92.60844096000001"/>
    <s v="TA"/>
    <x v="4"/>
    <x v="10"/>
    <s v="Q2"/>
    <n v="255"/>
    <n v="95.941176470588232"/>
    <s v="TALENTI"/>
    <n v="1"/>
    <n v="24465"/>
    <n v="92.60844096000001"/>
    <n v="95.941176470588232"/>
  </r>
  <r>
    <n v="69549034"/>
    <x v="16"/>
    <n v="4626"/>
    <d v="2023-05-06T00:00:00"/>
    <x v="296"/>
    <x v="22"/>
    <n v="3.5439999999999998E-3"/>
    <n v="16.394544"/>
    <s v="TA"/>
    <x v="4"/>
    <x v="10"/>
    <s v="Q2"/>
    <n v="255"/>
    <n v="18.141176470588235"/>
    <s v="TALENTI"/>
    <n v="1"/>
    <n v="4626"/>
    <n v="16.394544"/>
    <n v="18.141176470588235"/>
  </r>
  <r>
    <n v="69568965"/>
    <x v="16"/>
    <n v="13697"/>
    <d v="2023-05-06T00:00:00"/>
    <x v="298"/>
    <x v="13"/>
    <n v="8.5199999999999998E-3"/>
    <n v="116.69843999999999"/>
    <s v="BR"/>
    <x v="4"/>
    <x v="2"/>
    <s v="Q2"/>
    <n v="176"/>
    <n v="77.82386363636364"/>
    <s v="48oz"/>
    <n v="1"/>
    <n v="13697"/>
    <n v="116.69843999999999"/>
    <n v="77.82386363636364"/>
  </r>
  <r>
    <n v="69577493"/>
    <x v="16"/>
    <n v="512"/>
    <d v="2023-05-06T00:00:00"/>
    <x v="252"/>
    <x v="5"/>
    <n v="2.0400000000000001E-3"/>
    <n v="1.0444800000000001"/>
    <s v="MG"/>
    <x v="4"/>
    <x v="5"/>
    <s v="Q2"/>
    <n v="210"/>
    <n v="2.4380952380952383"/>
    <s v="MG Sticks"/>
    <n v="1"/>
    <n v="512"/>
    <n v="1.0444800000000001"/>
    <n v="2.4380952380952383"/>
  </r>
  <r>
    <n v="69621212"/>
    <x v="16"/>
    <n v="5454"/>
    <d v="2023-05-06T00:00:00"/>
    <x v="29"/>
    <x v="28"/>
    <n v="5.2680000000000001E-3"/>
    <n v="28.731672"/>
    <s v="PG"/>
    <x v="4"/>
    <x v="14"/>
    <s v="Q2"/>
    <n v="130"/>
    <n v="41.95384615384615"/>
    <s v="PG"/>
    <n v="1"/>
    <n v="5454"/>
    <n v="28.731672"/>
    <n v="41.95384615384615"/>
  </r>
  <r>
    <n v="68741742"/>
    <x v="16"/>
    <n v="1438"/>
    <d v="2023-05-06T00:00:00"/>
    <x v="25"/>
    <x v="25"/>
    <n v="4.2560000000000002E-3"/>
    <n v="6.1201280000000002"/>
    <s v="GH"/>
    <x v="4"/>
    <x v="11"/>
    <s v="Q2"/>
    <n v="154"/>
    <n v="9.3376623376623371"/>
    <s v="MBG"/>
    <n v="1"/>
    <n v="1438"/>
    <n v="6.1201280000000002"/>
    <n v="9.3376623376623371"/>
  </r>
  <r>
    <n v="68922106"/>
    <x v="16"/>
    <n v="929"/>
    <d v="2023-05-06T00:00:00"/>
    <x v="104"/>
    <x v="22"/>
    <n v="3.552E-3"/>
    <n v="3.2998080000000001"/>
    <s v="TA"/>
    <x v="4"/>
    <x v="10"/>
    <s v="Q2"/>
    <n v="255"/>
    <n v="3.6431372549019607"/>
    <s v="TALENTI"/>
    <n v="1"/>
    <n v="929"/>
    <n v="3.2998080000000001"/>
    <n v="3.6431372549019607"/>
  </r>
  <r>
    <n v="69572657"/>
    <x v="16"/>
    <n v="970"/>
    <d v="2023-05-06T00:00:00"/>
    <x v="306"/>
    <x v="5"/>
    <n v="2.1520000000000003E-3"/>
    <n v="2.0874400000000004"/>
    <s v="MG"/>
    <x v="4"/>
    <x v="5"/>
    <s v="Q2"/>
    <n v="210"/>
    <n v="4.6190476190476186"/>
    <s v="MG Sticks"/>
    <n v="1"/>
    <n v="970"/>
    <n v="2.0874400000000004"/>
    <n v="4.6190476190476186"/>
  </r>
  <r>
    <n v="68599804"/>
    <x v="19"/>
    <n v="0"/>
    <d v="2023-05-06T00:00:00"/>
    <x v="114"/>
    <x v="0"/>
    <n v="8.5170239596469108E-3"/>
    <n v="0"/>
    <s v="BR"/>
    <x v="4"/>
    <x v="32"/>
    <s v="Q2"/>
    <n v="156"/>
    <n v="0"/>
    <s v="48oz"/>
    <n v="1"/>
    <n v="0"/>
    <n v="0"/>
    <n v="0"/>
  </r>
  <r>
    <n v="67465064"/>
    <x v="15"/>
    <n v="4419"/>
    <d v="2023-05-07T00:00:00"/>
    <x v="7"/>
    <x v="3"/>
    <n v="1.596E-3"/>
    <n v="7.0527239999999995"/>
    <s v="PS"/>
    <x v="4"/>
    <x v="3"/>
    <s v="Q2"/>
    <n v="130"/>
    <n v="33.992307692307691"/>
    <s v="PG"/>
    <n v="1"/>
    <n v="4419"/>
    <n v="7.0527239999999995"/>
    <n v="33.992307692307691"/>
  </r>
  <r>
    <n v="67466462"/>
    <x v="15"/>
    <n v="3476"/>
    <d v="2023-05-07T00:00:00"/>
    <x v="29"/>
    <x v="6"/>
    <n v="5.2680000000000001E-3"/>
    <n v="18.311568000000001"/>
    <s v="PS"/>
    <x v="4"/>
    <x v="3"/>
    <s v="Q2"/>
    <n v="130"/>
    <n v="26.738461538461539"/>
    <s v="PG"/>
    <n v="1"/>
    <n v="3476"/>
    <n v="18.311568000000001"/>
    <n v="26.738461538461539"/>
  </r>
  <r>
    <n v="67885719"/>
    <x v="15"/>
    <n v="12236"/>
    <d v="2023-05-07T00:00:00"/>
    <x v="11"/>
    <x v="12"/>
    <n v="8.5199999999999998E-3"/>
    <n v="104.25072"/>
    <s v="BR"/>
    <x v="4"/>
    <x v="6"/>
    <s v="Q2"/>
    <n v="154"/>
    <n v="79.454545454545453"/>
    <s v="48oz"/>
    <n v="1"/>
    <n v="12236"/>
    <n v="104.25072"/>
    <n v="79.454545454545453"/>
  </r>
  <r>
    <n v="67893539"/>
    <x v="15"/>
    <n v="0"/>
    <d v="2023-05-07T00:00:00"/>
    <x v="12"/>
    <x v="12"/>
    <n v="8.5199999999999998E-3"/>
    <n v="0"/>
    <s v="BR"/>
    <x v="4"/>
    <x v="6"/>
    <s v="Q2"/>
    <n v="154"/>
    <n v="0"/>
    <s v="48oz"/>
    <n v="1"/>
    <n v="0"/>
    <n v="0"/>
    <n v="0"/>
  </r>
  <r>
    <n v="69551489"/>
    <x v="15"/>
    <n v="2548"/>
    <d v="2023-05-07T00:00:00"/>
    <x v="338"/>
    <x v="4"/>
    <n v="3.8989043190215313E-3"/>
    <n v="9.9344082048668625"/>
    <s v="GH"/>
    <x v="4"/>
    <x v="4"/>
    <s v="Q2"/>
    <n v="154"/>
    <n v="16.545454545454547"/>
    <s v="MBG"/>
    <n v="1"/>
    <n v="2548"/>
    <n v="9.9344082048668625"/>
    <n v="16.545454545454547"/>
  </r>
  <r>
    <n v="69671652"/>
    <x v="15"/>
    <n v="2869"/>
    <d v="2023-05-07T00:00:00"/>
    <x v="197"/>
    <x v="24"/>
    <n v="2.8319999999999999E-3"/>
    <n v="8.1250079999999993"/>
    <s v="GH"/>
    <x v="4"/>
    <x v="4"/>
    <s v="Q2"/>
    <n v="225"/>
    <n v="12.751111111111111"/>
    <s v="MBG"/>
    <n v="1"/>
    <n v="2869"/>
    <n v="8.1250079999999993"/>
    <n v="12.751111111111111"/>
  </r>
  <r>
    <n v="67901593"/>
    <x v="16"/>
    <n v="0"/>
    <d v="2023-05-07T00:00:00"/>
    <x v="68"/>
    <x v="32"/>
    <n v="8.5199999999999998E-3"/>
    <n v="0"/>
    <s v="BR"/>
    <x v="4"/>
    <x v="2"/>
    <s v="Q2"/>
    <n v="154"/>
    <n v="0"/>
    <s v="48oz"/>
    <n v="1"/>
    <n v="0"/>
    <n v="0"/>
    <n v="0"/>
  </r>
  <r>
    <n v="68726916"/>
    <x v="16"/>
    <n v="0"/>
    <d v="2023-05-07T00:00:00"/>
    <x v="43"/>
    <x v="21"/>
    <n v="3.7853440000000004E-3"/>
    <n v="0"/>
    <s v="TA"/>
    <x v="4"/>
    <x v="10"/>
    <s v="Q2"/>
    <n v="255"/>
    <n v="0"/>
    <s v="TALENTI"/>
    <n v="1"/>
    <n v="0"/>
    <n v="0"/>
    <n v="0"/>
  </r>
  <r>
    <n v="68896057"/>
    <x v="16"/>
    <n v="0"/>
    <d v="2023-05-07T00:00:00"/>
    <x v="46"/>
    <x v="2"/>
    <n v="8.5199999999999998E-3"/>
    <n v="0"/>
    <s v="BR"/>
    <x v="4"/>
    <x v="2"/>
    <s v="Q2"/>
    <n v="176"/>
    <n v="0"/>
    <s v="48oz"/>
    <n v="1"/>
    <n v="0"/>
    <n v="0"/>
    <n v="0"/>
  </r>
  <r>
    <n v="69568965"/>
    <x v="16"/>
    <n v="0"/>
    <d v="2023-05-07T00:00:00"/>
    <x v="298"/>
    <x v="13"/>
    <n v="8.5199999999999998E-3"/>
    <n v="0"/>
    <s v="BR"/>
    <x v="4"/>
    <x v="2"/>
    <s v="Q2"/>
    <n v="176"/>
    <n v="0"/>
    <s v="48oz"/>
    <n v="1"/>
    <n v="0"/>
    <n v="0"/>
    <n v="0"/>
  </r>
  <r>
    <n v="69568965"/>
    <x v="16"/>
    <n v="0"/>
    <d v="2023-05-07T00:00:00"/>
    <x v="298"/>
    <x v="13"/>
    <n v="8.5199999999999998E-3"/>
    <n v="0"/>
    <s v="BR"/>
    <x v="4"/>
    <x v="2"/>
    <s v="Q2"/>
    <n v="176"/>
    <n v="0"/>
    <s v="48oz"/>
    <n v="1"/>
    <n v="0"/>
    <n v="0"/>
    <n v="0"/>
  </r>
  <r>
    <n v="67466492"/>
    <x v="15"/>
    <n v="2284"/>
    <d v="2023-05-07T00:00:00"/>
    <x v="8"/>
    <x v="8"/>
    <n v="5.2680000000000001E-3"/>
    <n v="12.032112"/>
    <s v="PS"/>
    <x v="4"/>
    <x v="3"/>
    <s v="Q2"/>
    <n v="130"/>
    <n v="17.569230769230771"/>
    <s v="PG"/>
    <n v="1"/>
    <n v="2284"/>
    <n v="12.032112"/>
    <n v="17.569230769230771"/>
  </r>
  <r>
    <n v="68726871"/>
    <x v="15"/>
    <n v="0"/>
    <d v="2023-05-07T00:00:00"/>
    <x v="328"/>
    <x v="24"/>
    <n v="2.8319999999999999E-3"/>
    <n v="0"/>
    <s v="GH"/>
    <x v="4"/>
    <x v="4"/>
    <s v="Q2"/>
    <n v="225"/>
    <n v="0"/>
    <s v="MBG"/>
    <n v="1"/>
    <n v="0"/>
    <n v="0"/>
    <n v="0"/>
  </r>
  <r>
    <n v="68850683"/>
    <x v="15"/>
    <n v="0"/>
    <d v="2023-05-07T00:00:00"/>
    <x v="335"/>
    <x v="11"/>
    <n v="8.5199999999999998E-3"/>
    <n v="0"/>
    <s v="BR"/>
    <x v="4"/>
    <x v="6"/>
    <s v="Q2"/>
    <n v="176"/>
    <n v="0"/>
    <s v="48oz"/>
    <n v="1"/>
    <n v="0"/>
    <n v="0"/>
    <n v="0"/>
  </r>
  <r>
    <n v="68741742"/>
    <x v="16"/>
    <n v="919"/>
    <d v="2023-05-07T00:00:00"/>
    <x v="25"/>
    <x v="25"/>
    <n v="4.2560000000000002E-3"/>
    <n v="3.9112640000000001"/>
    <s v="GH"/>
    <x v="4"/>
    <x v="11"/>
    <s v="Q2"/>
    <n v="154"/>
    <n v="5.9675324675324672"/>
    <s v="MBG"/>
    <n v="1"/>
    <n v="919"/>
    <n v="3.9112640000000001"/>
    <n v="5.9675324675324672"/>
  </r>
  <r>
    <n v="68896057"/>
    <x v="16"/>
    <n v="0"/>
    <d v="2023-05-07T00:00:00"/>
    <x v="46"/>
    <x v="2"/>
    <n v="8.5199999999999998E-3"/>
    <n v="0"/>
    <s v="BR"/>
    <x v="4"/>
    <x v="2"/>
    <s v="Q2"/>
    <n v="176"/>
    <n v="0"/>
    <s v="48oz"/>
    <n v="1"/>
    <n v="0"/>
    <n v="0"/>
    <n v="0"/>
  </r>
  <r>
    <n v="68922106"/>
    <x v="16"/>
    <n v="12439"/>
    <d v="2023-05-07T00:00:00"/>
    <x v="104"/>
    <x v="22"/>
    <n v="3.552E-3"/>
    <n v="44.183328000000003"/>
    <s v="TA"/>
    <x v="4"/>
    <x v="10"/>
    <s v="Q2"/>
    <n v="255"/>
    <n v="48.780392156862746"/>
    <s v="TALENTI"/>
    <n v="1"/>
    <n v="12439"/>
    <n v="44.183328000000003"/>
    <n v="48.780392156862746"/>
  </r>
  <r>
    <n v="69564623"/>
    <x v="16"/>
    <n v="6716"/>
    <d v="2023-05-07T00:00:00"/>
    <x v="238"/>
    <x v="13"/>
    <n v="8.5199999999999998E-3"/>
    <n v="57.220320000000001"/>
    <s v="BR"/>
    <x v="4"/>
    <x v="2"/>
    <s v="Q2"/>
    <n v="176"/>
    <n v="38.159090909090907"/>
    <s v="48oz"/>
    <n v="1"/>
    <n v="6716"/>
    <n v="57.220320000000001"/>
    <n v="38.159090909090907"/>
  </r>
  <r>
    <n v="69568964"/>
    <x v="16"/>
    <n v="19184"/>
    <d v="2023-05-07T00:00:00"/>
    <x v="134"/>
    <x v="32"/>
    <n v="8.5199999999999998E-3"/>
    <n v="163.44767999999999"/>
    <s v="BR"/>
    <x v="4"/>
    <x v="2"/>
    <s v="Q2"/>
    <n v="176"/>
    <n v="109"/>
    <s v="48oz"/>
    <n v="1"/>
    <n v="19184"/>
    <n v="163.44767999999999"/>
    <n v="109"/>
  </r>
  <r>
    <n v="69572657"/>
    <x v="16"/>
    <n v="10520"/>
    <d v="2023-05-07T00:00:00"/>
    <x v="306"/>
    <x v="5"/>
    <n v="2.1520000000000003E-3"/>
    <n v="22.639040000000001"/>
    <s v="MG"/>
    <x v="4"/>
    <x v="5"/>
    <s v="Q2"/>
    <n v="210"/>
    <n v="50.095238095238095"/>
    <s v="MG Sticks"/>
    <n v="1"/>
    <n v="10520"/>
    <n v="22.639040000000001"/>
    <n v="50.095238095238095"/>
  </r>
  <r>
    <n v="69621212"/>
    <x v="16"/>
    <n v="6449"/>
    <d v="2023-05-07T00:00:00"/>
    <x v="29"/>
    <x v="28"/>
    <n v="5.2680000000000001E-3"/>
    <n v="33.973331999999999"/>
    <s v="PG"/>
    <x v="4"/>
    <x v="14"/>
    <s v="Q2"/>
    <n v="130"/>
    <n v="49.607692307692311"/>
    <s v="PG"/>
    <n v="1"/>
    <n v="6449"/>
    <n v="33.973331999999999"/>
    <n v="49.607692307692311"/>
  </r>
  <r>
    <n v="67465063"/>
    <x v="15"/>
    <n v="2253"/>
    <d v="2023-05-08T00:00:00"/>
    <x v="3"/>
    <x v="40"/>
    <n v="5.2680000000000001E-3"/>
    <n v="11.868804000000001"/>
    <s v="PS"/>
    <x v="4"/>
    <x v="3"/>
    <s v="Q2"/>
    <n v="130"/>
    <n v="17.330769230769231"/>
    <s v="PG"/>
    <n v="1"/>
    <n v="2253"/>
    <n v="11.868804000000001"/>
    <n v="17.330769230769231"/>
  </r>
  <r>
    <n v="67465063"/>
    <x v="15"/>
    <n v="4588"/>
    <d v="2023-05-08T00:00:00"/>
    <x v="3"/>
    <x v="7"/>
    <n v="5.2680000000000001E-3"/>
    <n v="24.169584"/>
    <s v="PS"/>
    <x v="4"/>
    <x v="3"/>
    <s v="Q2"/>
    <n v="130"/>
    <n v="35.292307692307695"/>
    <s v="PG"/>
    <n v="1"/>
    <n v="4588"/>
    <n v="24.169584"/>
    <n v="35.292307692307695"/>
  </r>
  <r>
    <n v="67466462"/>
    <x v="15"/>
    <n v="4751"/>
    <d v="2023-05-08T00:00:00"/>
    <x v="29"/>
    <x v="6"/>
    <n v="5.2680000000000001E-3"/>
    <n v="25.028268000000001"/>
    <s v="PS"/>
    <x v="4"/>
    <x v="3"/>
    <s v="Q2"/>
    <n v="130"/>
    <n v="36.54615384615385"/>
    <s v="PG"/>
    <n v="1"/>
    <n v="4751"/>
    <n v="25.028268000000001"/>
    <n v="36.54615384615385"/>
  </r>
  <r>
    <n v="67885719"/>
    <x v="15"/>
    <n v="6073"/>
    <d v="2023-05-08T00:00:00"/>
    <x v="11"/>
    <x v="12"/>
    <n v="8.5199999999999998E-3"/>
    <n v="51.741959999999999"/>
    <s v="BR"/>
    <x v="4"/>
    <x v="6"/>
    <s v="Q2"/>
    <n v="154"/>
    <n v="39.435064935064936"/>
    <s v="48oz"/>
    <n v="1"/>
    <n v="6073"/>
    <n v="51.741959999999999"/>
    <n v="39.435064935064936"/>
  </r>
  <r>
    <n v="69568828"/>
    <x v="15"/>
    <n v="10635"/>
    <d v="2023-05-08T00:00:00"/>
    <x v="12"/>
    <x v="11"/>
    <n v="8.5199999999999998E-3"/>
    <n v="90.610199999999992"/>
    <s v="BR"/>
    <x v="4"/>
    <x v="6"/>
    <s v="Q2"/>
    <n v="176"/>
    <n v="60.426136363636367"/>
    <s v="48oz"/>
    <n v="1"/>
    <n v="10635"/>
    <n v="90.610199999999992"/>
    <n v="60.426136363636367"/>
  </r>
  <r>
    <n v="69600846"/>
    <x v="15"/>
    <n v="5581"/>
    <d v="2023-05-08T00:00:00"/>
    <x v="270"/>
    <x v="23"/>
    <n v="8.4600000000000005E-3"/>
    <n v="47.215260000000001"/>
    <s v="BR"/>
    <x v="4"/>
    <x v="6"/>
    <s v="Q2"/>
    <n v="154"/>
    <n v="36.240259740259738"/>
    <s v="48oz"/>
    <n v="1"/>
    <n v="5581"/>
    <n v="47.215260000000001"/>
    <n v="36.240259740259738"/>
  </r>
  <r>
    <n v="69671652"/>
    <x v="15"/>
    <n v="3849"/>
    <d v="2023-05-08T00:00:00"/>
    <x v="197"/>
    <x v="24"/>
    <n v="2.8319999999999999E-3"/>
    <n v="10.900368"/>
    <s v="GH"/>
    <x v="4"/>
    <x v="4"/>
    <s v="Q2"/>
    <n v="225"/>
    <n v="17.106666666666666"/>
    <s v="MBG"/>
    <n v="1"/>
    <n v="3849"/>
    <n v="10.900368"/>
    <n v="17.106666666666666"/>
  </r>
  <r>
    <n v="68410355"/>
    <x v="16"/>
    <n v="0"/>
    <d v="2023-05-08T00:00:00"/>
    <x v="345"/>
    <x v="14"/>
    <n v="1.98E-3"/>
    <n v="0"/>
    <s v="MG"/>
    <x v="4"/>
    <x v="5"/>
    <s v="Q2"/>
    <n v="176"/>
    <n v="0"/>
    <s v="MG Sticks"/>
    <n v="1"/>
    <n v="0"/>
    <n v="0"/>
    <n v="0"/>
  </r>
  <r>
    <n v="68726982"/>
    <x v="16"/>
    <n v="32639"/>
    <d v="2023-05-08T00:00:00"/>
    <x v="291"/>
    <x v="21"/>
    <n v="3.7853440000000004E-3"/>
    <n v="123.54984281600001"/>
    <s v="TA"/>
    <x v="4"/>
    <x v="10"/>
    <s v="Q2"/>
    <n v="255"/>
    <n v="127.99607843137255"/>
    <s v="TALENTI"/>
    <n v="1"/>
    <n v="32639"/>
    <n v="123.54984281600001"/>
    <n v="127.99607843137255"/>
  </r>
  <r>
    <n v="68726982"/>
    <x v="16"/>
    <n v="0"/>
    <d v="2023-05-08T00:00:00"/>
    <x v="291"/>
    <x v="21"/>
    <n v="3.7853440000000004E-3"/>
    <n v="0"/>
    <s v="TA"/>
    <x v="4"/>
    <x v="10"/>
    <s v="Q2"/>
    <n v="255"/>
    <n v="0"/>
    <s v="TALENTI"/>
    <n v="1"/>
    <n v="0"/>
    <n v="0"/>
    <n v="0"/>
  </r>
  <r>
    <n v="68890247"/>
    <x v="16"/>
    <n v="0"/>
    <d v="2023-05-08T00:00:00"/>
    <x v="243"/>
    <x v="2"/>
    <n v="8.5170239596469088E-6"/>
    <n v="0"/>
    <s v="BR"/>
    <x v="4"/>
    <x v="2"/>
    <s v="Q2"/>
    <n v="176"/>
    <n v="0"/>
    <s v="48oz"/>
    <n v="1"/>
    <n v="0"/>
    <n v="0"/>
    <n v="0"/>
  </r>
  <r>
    <n v="68896057"/>
    <x v="16"/>
    <n v="11730"/>
    <d v="2023-05-08T00:00:00"/>
    <x v="46"/>
    <x v="2"/>
    <n v="8.5199999999999998E-3"/>
    <n v="99.939599999999999"/>
    <s v="BR"/>
    <x v="4"/>
    <x v="2"/>
    <s v="Q2"/>
    <n v="176"/>
    <n v="66.647727272727266"/>
    <s v="48oz"/>
    <n v="1"/>
    <n v="11730"/>
    <n v="99.939599999999999"/>
    <n v="66.647727272727266"/>
  </r>
  <r>
    <n v="69564623"/>
    <x v="16"/>
    <n v="0"/>
    <d v="2023-05-08T00:00:00"/>
    <x v="238"/>
    <x v="13"/>
    <n v="8.5199999999999998E-3"/>
    <n v="0"/>
    <s v="BR"/>
    <x v="4"/>
    <x v="2"/>
    <s v="Q2"/>
    <n v="176"/>
    <n v="0"/>
    <s v="48oz"/>
    <n v="1"/>
    <n v="0"/>
    <n v="0"/>
    <n v="0"/>
  </r>
  <r>
    <n v="69564623"/>
    <x v="16"/>
    <n v="0"/>
    <d v="2023-05-08T00:00:00"/>
    <x v="238"/>
    <x v="13"/>
    <n v="8.5199999999999998E-3"/>
    <n v="0"/>
    <s v="BR"/>
    <x v="4"/>
    <x v="2"/>
    <s v="Q2"/>
    <n v="176"/>
    <n v="0"/>
    <s v="48oz"/>
    <n v="1"/>
    <n v="0"/>
    <n v="0"/>
    <n v="0"/>
  </r>
  <r>
    <n v="69564623"/>
    <x v="16"/>
    <n v="0"/>
    <d v="2023-05-08T00:00:00"/>
    <x v="238"/>
    <x v="13"/>
    <n v="8.5199999999999998E-3"/>
    <n v="0"/>
    <s v="BR"/>
    <x v="4"/>
    <x v="2"/>
    <s v="Q2"/>
    <n v="176"/>
    <n v="0"/>
    <s v="48oz"/>
    <n v="1"/>
    <n v="0"/>
    <n v="0"/>
    <n v="0"/>
  </r>
  <r>
    <n v="69571484"/>
    <x v="16"/>
    <n v="0"/>
    <d v="2023-05-08T00:00:00"/>
    <x v="230"/>
    <x v="5"/>
    <n v="1.2960000000000001E-2"/>
    <n v="0"/>
    <s v="MG"/>
    <x v="4"/>
    <x v="5"/>
    <s v="Q2"/>
    <n v="493"/>
    <n v="0"/>
    <s v="MG Sticks"/>
    <n v="1"/>
    <n v="0"/>
    <n v="0"/>
    <n v="0"/>
  </r>
  <r>
    <n v="69677917"/>
    <x v="16"/>
    <n v="0"/>
    <d v="2023-05-08T00:00:00"/>
    <x v="30"/>
    <x v="30"/>
    <n v="5.2680000000000001E-3"/>
    <n v="0"/>
    <s v="PS"/>
    <x v="4"/>
    <x v="14"/>
    <s v="Q2"/>
    <n v="108"/>
    <n v="0"/>
    <s v="PG"/>
    <n v="1"/>
    <n v="0"/>
    <n v="0"/>
    <n v="0"/>
  </r>
  <r>
    <n v="84141103"/>
    <x v="18"/>
    <n v="43898"/>
    <d v="2023-05-08T00:00:00"/>
    <x v="294"/>
    <x v="38"/>
    <n v="3.7853439999999999E-3"/>
    <n v="166.16903091200001"/>
    <s v="BJ"/>
    <x v="4"/>
    <x v="36"/>
    <s v="Q2"/>
    <n v="240"/>
    <n v="182.90833333333333"/>
    <s v="BJ PTS"/>
    <n v="1"/>
    <n v="43898"/>
    <n v="166.16903091200001"/>
    <n v="182.90833333333333"/>
  </r>
  <r>
    <n v="84141103"/>
    <x v="18"/>
    <n v="57436"/>
    <d v="2023-05-08T00:00:00"/>
    <x v="294"/>
    <x v="38"/>
    <n v="3.7853439999999999E-3"/>
    <n v="217.415017984"/>
    <s v="BJ"/>
    <x v="4"/>
    <x v="36"/>
    <s v="Q2"/>
    <n v="240"/>
    <n v="239.31666666666666"/>
    <s v="BJ PTS"/>
    <n v="1"/>
    <n v="57436"/>
    <n v="217.415017984"/>
    <n v="239.31666666666666"/>
  </r>
  <r>
    <n v="84162829"/>
    <x v="18"/>
    <n v="6557"/>
    <d v="2023-05-08T00:00:00"/>
    <x v="59"/>
    <x v="33"/>
    <n v="3.6640000000000002E-3"/>
    <n v="24.024848000000002"/>
    <s v="BJ"/>
    <x v="4"/>
    <x v="40"/>
    <s v="Q2"/>
    <n v="240"/>
    <n v="27.320833333333333"/>
    <s v="PTS Exports"/>
    <n v="1"/>
    <n v="6557"/>
    <n v="24.024848000000002"/>
    <n v="27.320833333333333"/>
  </r>
  <r>
    <n v="68654239"/>
    <x v="17"/>
    <n v="9810"/>
    <d v="2023-05-08T00:00:00"/>
    <x v="103"/>
    <x v="38"/>
    <n v="3.7853439999999999E-3"/>
    <n v="37.134224639999999"/>
    <s v="BJ"/>
    <x v="4"/>
    <x v="15"/>
    <s v="Q2"/>
    <n v="240"/>
    <n v="40.875"/>
    <s v="BJ PTS"/>
    <n v="1"/>
    <n v="9810"/>
    <n v="37.134224639999999"/>
    <n v="40.875"/>
  </r>
  <r>
    <n v="68783577"/>
    <x v="17"/>
    <n v="4644"/>
    <d v="2023-05-08T00:00:00"/>
    <x v="346"/>
    <x v="35"/>
    <n v="3.6640000000000002E-3"/>
    <n v="17.015616000000001"/>
    <s v="BJ"/>
    <x v="4"/>
    <x v="24"/>
    <s v="Q2"/>
    <n v="240"/>
    <n v="19.350000000000001"/>
    <s v="PTS Exports"/>
    <n v="1"/>
    <n v="4644"/>
    <n v="17.015616000000001"/>
    <n v="19.350000000000001"/>
  </r>
  <r>
    <n v="84135799"/>
    <x v="17"/>
    <n v="5333"/>
    <d v="2023-05-08T00:00:00"/>
    <x v="232"/>
    <x v="35"/>
    <n v="9.0848256361922702E-3"/>
    <n v="48.449375117813375"/>
    <s v="BJ"/>
    <x v="4"/>
    <x v="39"/>
    <s v="Q2"/>
    <n v="125"/>
    <n v="42.664000000000001"/>
    <s v="2.4 Gal"/>
    <n v="1"/>
    <n v="5333"/>
    <n v="48.449375117813375"/>
    <n v="42.664000000000001"/>
  </r>
  <r>
    <n v="84137701"/>
    <x v="17"/>
    <n v="31863"/>
    <d v="2023-05-08T00:00:00"/>
    <x v="37"/>
    <x v="33"/>
    <n v="1.4399999999999999E-3"/>
    <n v="45.882719999999999"/>
    <s v="BJ"/>
    <x v="4"/>
    <x v="16"/>
    <s v="Q2"/>
    <n v="510"/>
    <n v="62.476470588235294"/>
    <s v="B&amp;J Cups"/>
    <n v="1"/>
    <n v="31863"/>
    <n v="45.882719999999999"/>
    <n v="62.476470588235294"/>
  </r>
  <r>
    <n v="84141101"/>
    <x v="17"/>
    <n v="53445"/>
    <d v="2023-05-08T00:00:00"/>
    <x v="86"/>
    <x v="35"/>
    <n v="3.7853439999999999E-3"/>
    <n v="202.30771007999999"/>
    <s v="BJ"/>
    <x v="4"/>
    <x v="15"/>
    <s v="Q2"/>
    <n v="240"/>
    <n v="222.6875"/>
    <s v="BJ PTS"/>
    <n v="1"/>
    <n v="53445"/>
    <n v="202.30771007999999"/>
    <n v="222.6875"/>
  </r>
  <r>
    <n v="84161610"/>
    <x v="17"/>
    <n v="30502"/>
    <d v="2023-05-08T00:00:00"/>
    <x v="99"/>
    <x v="38"/>
    <n v="3.7853439999999999E-3"/>
    <n v="115.460562688"/>
    <s v="BJ"/>
    <x v="4"/>
    <x v="15"/>
    <s v="Q2"/>
    <n v="240"/>
    <n v="127.09166666666667"/>
    <s v="BJ PTS"/>
    <n v="1"/>
    <n v="30502"/>
    <n v="115.460562688"/>
    <n v="127.09166666666667"/>
  </r>
  <r>
    <n v="67465064"/>
    <x v="15"/>
    <n v="4212"/>
    <d v="2023-05-08T00:00:00"/>
    <x v="7"/>
    <x v="3"/>
    <n v="1.596E-3"/>
    <n v="6.7223519999999999"/>
    <s v="PS"/>
    <x v="4"/>
    <x v="3"/>
    <s v="Q2"/>
    <n v="130"/>
    <n v="32.4"/>
    <s v="PG"/>
    <n v="1"/>
    <n v="4212"/>
    <n v="6.7223519999999999"/>
    <n v="32.4"/>
  </r>
  <r>
    <n v="67466492"/>
    <x v="15"/>
    <n v="2134"/>
    <d v="2023-05-08T00:00:00"/>
    <x v="8"/>
    <x v="8"/>
    <n v="5.2680000000000001E-3"/>
    <n v="11.241912000000001"/>
    <s v="PS"/>
    <x v="4"/>
    <x v="3"/>
    <s v="Q2"/>
    <n v="130"/>
    <n v="16.415384615384614"/>
    <s v="PG"/>
    <n v="1"/>
    <n v="2134"/>
    <n v="11.241912000000001"/>
    <n v="16.415384615384614"/>
  </r>
  <r>
    <n v="67476560"/>
    <x v="15"/>
    <n v="2615"/>
    <d v="2023-05-08T00:00:00"/>
    <x v="10"/>
    <x v="10"/>
    <n v="5.1060000000000003E-3"/>
    <n v="13.35219"/>
    <s v="PS"/>
    <x v="4"/>
    <x v="3"/>
    <s v="Q2"/>
    <n v="130"/>
    <n v="20.115384615384617"/>
    <s v="PG"/>
    <n v="1"/>
    <n v="2615"/>
    <n v="13.35219"/>
    <n v="20.115384615384617"/>
  </r>
  <r>
    <n v="68188183"/>
    <x v="15"/>
    <n v="1343"/>
    <d v="2023-05-08T00:00:00"/>
    <x v="70"/>
    <x v="9"/>
    <n v="3.8340000000000002E-3"/>
    <n v="5.1490619999999998"/>
    <s v="PS"/>
    <x v="4"/>
    <x v="3"/>
    <s v="Q2"/>
    <n v="130"/>
    <n v="10.330769230769231"/>
    <s v="PG"/>
    <n v="1"/>
    <n v="1343"/>
    <n v="5.1490619999999998"/>
    <n v="10.330769230769231"/>
  </r>
  <r>
    <n v="68737750"/>
    <x v="15"/>
    <n v="7073"/>
    <d v="2023-05-08T00:00:00"/>
    <x v="144"/>
    <x v="23"/>
    <n v="8.5199999999999998E-3"/>
    <n v="60.261960000000002"/>
    <s v="BR"/>
    <x v="4"/>
    <x v="6"/>
    <s v="Q2"/>
    <n v="176"/>
    <n v="40.1875"/>
    <s v="48oz"/>
    <n v="1"/>
    <n v="7073"/>
    <n v="60.261960000000002"/>
    <n v="40.1875"/>
  </r>
  <r>
    <n v="68850683"/>
    <x v="15"/>
    <n v="0"/>
    <d v="2023-05-08T00:00:00"/>
    <x v="335"/>
    <x v="11"/>
    <n v="8.5199999999999998E-3"/>
    <n v="0"/>
    <s v="BR"/>
    <x v="4"/>
    <x v="6"/>
    <s v="Q2"/>
    <n v="176"/>
    <n v="0"/>
    <s v="48oz"/>
    <n v="1"/>
    <n v="0"/>
    <n v="0"/>
    <n v="0"/>
  </r>
  <r>
    <n v="68881270"/>
    <x v="15"/>
    <n v="15007"/>
    <d v="2023-05-08T00:00:00"/>
    <x v="91"/>
    <x v="16"/>
    <n v="8.5199999999999998E-3"/>
    <n v="127.85964"/>
    <s v="BR"/>
    <x v="4"/>
    <x v="6"/>
    <s v="Q2"/>
    <n v="176"/>
    <n v="85.267045454545453"/>
    <s v="48oz"/>
    <n v="1"/>
    <n v="15007"/>
    <n v="127.85964"/>
    <n v="85.267045454545453"/>
  </r>
  <r>
    <n v="69551489"/>
    <x v="15"/>
    <n v="5573"/>
    <d v="2023-05-08T00:00:00"/>
    <x v="338"/>
    <x v="4"/>
    <n v="3.8989043190215313E-3"/>
    <n v="21.728593769906993"/>
    <s v="GH"/>
    <x v="4"/>
    <x v="4"/>
    <s v="Q2"/>
    <n v="154"/>
    <n v="36.188311688311686"/>
    <s v="MBG"/>
    <n v="1"/>
    <n v="5573"/>
    <n v="21.728593769906993"/>
    <n v="36.188311688311686"/>
  </r>
  <r>
    <n v="69568828"/>
    <x v="15"/>
    <n v="11658"/>
    <d v="2023-05-08T00:00:00"/>
    <x v="12"/>
    <x v="11"/>
    <n v="8.5199999999999998E-3"/>
    <n v="99.326160000000002"/>
    <s v="BR"/>
    <x v="4"/>
    <x v="6"/>
    <s v="Q2"/>
    <n v="176"/>
    <n v="66.23863636363636"/>
    <s v="48oz"/>
    <n v="1"/>
    <n v="11658"/>
    <n v="99.326160000000002"/>
    <n v="66.23863636363636"/>
  </r>
  <r>
    <n v="68649095"/>
    <x v="16"/>
    <n v="12513"/>
    <d v="2023-05-08T00:00:00"/>
    <x v="286"/>
    <x v="15"/>
    <n v="3.5999999999999999E-3"/>
    <n v="45.046799999999998"/>
    <s v="BJ"/>
    <x v="4"/>
    <x v="19"/>
    <s v="Q2"/>
    <n v="240"/>
    <n v="52.137500000000003"/>
    <s v="TOPPED"/>
    <n v="1"/>
    <n v="12513"/>
    <n v="45.046799999999998"/>
    <n v="52.137500000000003"/>
  </r>
  <r>
    <n v="68726916"/>
    <x v="16"/>
    <n v="21212"/>
    <d v="2023-05-08T00:00:00"/>
    <x v="43"/>
    <x v="21"/>
    <n v="3.7853440000000004E-3"/>
    <n v="80.294716928000014"/>
    <s v="TA"/>
    <x v="4"/>
    <x v="10"/>
    <s v="Q2"/>
    <n v="255"/>
    <n v="83.184313725490199"/>
    <s v="TALENTI"/>
    <n v="1"/>
    <n v="21212"/>
    <n v="80.294716928000014"/>
    <n v="83.184313725490199"/>
  </r>
  <r>
    <n v="68741742"/>
    <x v="16"/>
    <n v="4245"/>
    <d v="2023-05-08T00:00:00"/>
    <x v="25"/>
    <x v="25"/>
    <n v="4.2560000000000002E-3"/>
    <n v="18.06672"/>
    <s v="GH"/>
    <x v="4"/>
    <x v="11"/>
    <s v="Q2"/>
    <n v="154"/>
    <n v="27.564935064935064"/>
    <s v="MBG"/>
    <n v="1"/>
    <n v="4245"/>
    <n v="18.06672"/>
    <n v="27.564935064935064"/>
  </r>
  <r>
    <n v="68922106"/>
    <x v="16"/>
    <n v="10721"/>
    <d v="2023-05-08T00:00:00"/>
    <x v="104"/>
    <x v="22"/>
    <n v="3.552E-3"/>
    <n v="38.080992000000002"/>
    <s v="TA"/>
    <x v="4"/>
    <x v="10"/>
    <s v="Q2"/>
    <n v="255"/>
    <n v="42.043137254901964"/>
    <s v="TALENTI"/>
    <n v="1"/>
    <n v="10721"/>
    <n v="38.080992000000002"/>
    <n v="42.043137254901964"/>
  </r>
  <r>
    <n v="69564623"/>
    <x v="16"/>
    <n v="9648"/>
    <d v="2023-05-08T00:00:00"/>
    <x v="238"/>
    <x v="13"/>
    <n v="8.5199999999999998E-3"/>
    <n v="82.200959999999995"/>
    <s v="BR"/>
    <x v="4"/>
    <x v="2"/>
    <s v="Q2"/>
    <n v="176"/>
    <n v="54.81818181818182"/>
    <s v="48oz"/>
    <n v="1"/>
    <n v="9648"/>
    <n v="82.200959999999995"/>
    <n v="54.81818181818182"/>
  </r>
  <r>
    <n v="69568964"/>
    <x v="16"/>
    <n v="20339"/>
    <d v="2023-05-08T00:00:00"/>
    <x v="134"/>
    <x v="32"/>
    <n v="8.5199999999999998E-3"/>
    <n v="173.28827999999999"/>
    <s v="BR"/>
    <x v="4"/>
    <x v="2"/>
    <s v="Q2"/>
    <n v="176"/>
    <n v="115.5625"/>
    <s v="48oz"/>
    <n v="1"/>
    <n v="20339"/>
    <n v="173.28827999999999"/>
    <n v="115.5625"/>
  </r>
  <r>
    <n v="69621212"/>
    <x v="16"/>
    <n v="2230"/>
    <d v="2023-05-08T00:00:00"/>
    <x v="29"/>
    <x v="28"/>
    <n v="5.2680000000000001E-3"/>
    <n v="11.747640000000001"/>
    <s v="PG"/>
    <x v="4"/>
    <x v="14"/>
    <s v="Q2"/>
    <n v="130"/>
    <n v="17.153846153846153"/>
    <s v="PG"/>
    <n v="1"/>
    <n v="2230"/>
    <n v="11.747640000000001"/>
    <n v="17.153846153846153"/>
  </r>
  <r>
    <n v="69647063"/>
    <x v="16"/>
    <n v="1094"/>
    <d v="2023-05-08T00:00:00"/>
    <x v="122"/>
    <x v="14"/>
    <n v="1.98E-3"/>
    <n v="2.1661199999999998"/>
    <s v="MG"/>
    <x v="4"/>
    <x v="5"/>
    <s v="Q2"/>
    <n v="176"/>
    <n v="6.2159090909090908"/>
    <s v="MG Sticks"/>
    <n v="1"/>
    <n v="1094"/>
    <n v="2.1661199999999998"/>
    <n v="6.2159090909090908"/>
  </r>
  <r>
    <n v="69572657"/>
    <x v="16"/>
    <n v="7531"/>
    <d v="2023-05-08T00:00:00"/>
    <x v="306"/>
    <x v="5"/>
    <n v="2.1520000000000003E-3"/>
    <n v="16.206712000000003"/>
    <s v="MG"/>
    <x v="4"/>
    <x v="5"/>
    <s v="Q2"/>
    <n v="210"/>
    <n v="35.861904761904761"/>
    <s v="MG Sticks"/>
    <n v="1"/>
    <n v="7531"/>
    <n v="16.206712000000003"/>
    <n v="35.861904761904761"/>
  </r>
  <r>
    <n v="68521425"/>
    <x v="19"/>
    <n v="18817"/>
    <d v="2023-05-08T00:00:00"/>
    <x v="0"/>
    <x v="0"/>
    <n v="4.248E-3"/>
    <n v="79.934616000000005"/>
    <s v="GH"/>
    <x v="4"/>
    <x v="0"/>
    <s v="Q2"/>
    <n v="216"/>
    <n v="87.115740740740748"/>
    <s v="Giant SW"/>
    <n v="1"/>
    <n v="18817"/>
    <n v="79.934616000000005"/>
    <n v="87.115740740740748"/>
  </r>
  <r>
    <n v="68919013"/>
    <x v="19"/>
    <n v="21614"/>
    <d v="2023-05-08T00:00:00"/>
    <x v="158"/>
    <x v="0"/>
    <n v="3.0280000000000001E-2"/>
    <n v="654.47192000000007"/>
    <s v="BR"/>
    <x v="4"/>
    <x v="38"/>
    <s v="Q2"/>
    <n v="240"/>
    <n v="90.058333333333337"/>
    <s v="PTS"/>
    <n v="1"/>
    <n v="21614"/>
    <n v="654.47192000000007"/>
    <n v="90.058333333333337"/>
  </r>
  <r>
    <n v="68919014"/>
    <x v="19"/>
    <n v="5649"/>
    <d v="2023-05-08T00:00:00"/>
    <x v="269"/>
    <x v="0"/>
    <n v="3.0280000000000001E-2"/>
    <n v="171.05172000000002"/>
    <s v="BR"/>
    <x v="4"/>
    <x v="38"/>
    <s v="Q2"/>
    <n v="240"/>
    <n v="23.537500000000001"/>
    <s v="PTS"/>
    <n v="1"/>
    <n v="5649"/>
    <n v="171.05172000000002"/>
    <n v="23.537500000000001"/>
  </r>
  <r>
    <n v="67465063"/>
    <x v="15"/>
    <n v="2182"/>
    <d v="2023-05-09T00:00:00"/>
    <x v="3"/>
    <x v="40"/>
    <n v="5.2680000000000001E-3"/>
    <n v="11.494776"/>
    <s v="PS"/>
    <x v="4"/>
    <x v="3"/>
    <s v="Q2"/>
    <n v="130"/>
    <n v="16.784615384615385"/>
    <s v="PG"/>
    <n v="1"/>
    <n v="2182"/>
    <n v="11.494776"/>
    <n v="16.784615384615385"/>
  </r>
  <r>
    <n v="67466462"/>
    <x v="15"/>
    <n v="2260"/>
    <d v="2023-05-09T00:00:00"/>
    <x v="29"/>
    <x v="6"/>
    <n v="5.2680000000000001E-3"/>
    <n v="11.90568"/>
    <s v="PS"/>
    <x v="4"/>
    <x v="3"/>
    <s v="Q2"/>
    <n v="130"/>
    <n v="17.384615384615383"/>
    <s v="PG"/>
    <n v="1"/>
    <n v="2260"/>
    <n v="11.90568"/>
    <n v="17.384615384615383"/>
  </r>
  <r>
    <n v="68188183"/>
    <x v="15"/>
    <n v="466"/>
    <d v="2023-05-09T00:00:00"/>
    <x v="70"/>
    <x v="9"/>
    <n v="3.8340000000000002E-3"/>
    <n v="1.7866440000000001"/>
    <s v="PS"/>
    <x v="4"/>
    <x v="3"/>
    <s v="Q2"/>
    <n v="130"/>
    <n v="3.5846153846153848"/>
    <s v="PG"/>
    <n v="1"/>
    <n v="466"/>
    <n v="1.7866440000000001"/>
    <n v="3.5846153846153848"/>
  </r>
  <r>
    <n v="68899826"/>
    <x v="15"/>
    <n v="10804"/>
    <d v="2023-05-09T00:00:00"/>
    <x v="129"/>
    <x v="12"/>
    <n v="8.5199999999999998E-3"/>
    <n v="92.050079999999994"/>
    <s v="BR"/>
    <x v="4"/>
    <x v="6"/>
    <s v="Q2"/>
    <n v="176"/>
    <n v="61.386363636363633"/>
    <s v="48oz"/>
    <n v="1"/>
    <n v="10804"/>
    <n v="92.050079999999994"/>
    <n v="61.386363636363633"/>
  </r>
  <r>
    <n v="69568828"/>
    <x v="15"/>
    <n v="7190"/>
    <d v="2023-05-09T00:00:00"/>
    <x v="12"/>
    <x v="11"/>
    <n v="8.5199999999999998E-3"/>
    <n v="61.258800000000001"/>
    <s v="BR"/>
    <x v="4"/>
    <x v="6"/>
    <s v="Q2"/>
    <n v="176"/>
    <n v="40.852272727272727"/>
    <s v="48oz"/>
    <n v="1"/>
    <n v="7190"/>
    <n v="61.258800000000001"/>
    <n v="40.852272727272727"/>
  </r>
  <r>
    <n v="67901593"/>
    <x v="16"/>
    <n v="0"/>
    <d v="2023-05-09T00:00:00"/>
    <x v="68"/>
    <x v="32"/>
    <n v="8.5199999999999998E-3"/>
    <n v="0"/>
    <s v="BR"/>
    <x v="4"/>
    <x v="2"/>
    <s v="Q2"/>
    <n v="154"/>
    <n v="0"/>
    <s v="48oz"/>
    <n v="1"/>
    <n v="0"/>
    <n v="0"/>
    <n v="0"/>
  </r>
  <r>
    <n v="68410355"/>
    <x v="16"/>
    <n v="0"/>
    <d v="2023-05-09T00:00:00"/>
    <x v="345"/>
    <x v="14"/>
    <n v="1.98E-3"/>
    <n v="0"/>
    <s v="MG"/>
    <x v="4"/>
    <x v="5"/>
    <s v="Q2"/>
    <n v="176"/>
    <n v="0"/>
    <s v="MG Sticks"/>
    <n v="1"/>
    <n v="0"/>
    <n v="0"/>
    <n v="0"/>
  </r>
  <r>
    <n v="68764901"/>
    <x v="16"/>
    <n v="0"/>
    <d v="2023-05-09T00:00:00"/>
    <x v="347"/>
    <x v="13"/>
    <n v="8.5199999999999998E-3"/>
    <n v="0"/>
    <s v="BR"/>
    <x v="4"/>
    <x v="2"/>
    <s v="Q2"/>
    <n v="154"/>
    <n v="0"/>
    <s v="48oz"/>
    <n v="1"/>
    <n v="0"/>
    <n v="0"/>
    <n v="0"/>
  </r>
  <r>
    <n v="68896057"/>
    <x v="16"/>
    <n v="10328"/>
    <d v="2023-05-09T00:00:00"/>
    <x v="46"/>
    <x v="2"/>
    <n v="8.5199999999999998E-3"/>
    <n v="87.994559999999993"/>
    <s v="BR"/>
    <x v="4"/>
    <x v="2"/>
    <s v="Q2"/>
    <n v="176"/>
    <n v="58.68181818181818"/>
    <s v="48oz"/>
    <n v="1"/>
    <n v="10328"/>
    <n v="87.994559999999993"/>
    <n v="58.68181818181818"/>
  </r>
  <r>
    <n v="68896057"/>
    <x v="16"/>
    <n v="0"/>
    <d v="2023-05-09T00:00:00"/>
    <x v="46"/>
    <x v="2"/>
    <n v="8.5199999999999998E-3"/>
    <n v="0"/>
    <s v="BR"/>
    <x v="4"/>
    <x v="2"/>
    <s v="Q2"/>
    <n v="176"/>
    <n v="0"/>
    <s v="48oz"/>
    <n v="1"/>
    <n v="0"/>
    <n v="0"/>
    <n v="0"/>
  </r>
  <r>
    <n v="69571484"/>
    <x v="16"/>
    <n v="0"/>
    <d v="2023-05-09T00:00:00"/>
    <x v="230"/>
    <x v="5"/>
    <n v="1.2960000000000001E-2"/>
    <n v="0"/>
    <s v="MG"/>
    <x v="4"/>
    <x v="5"/>
    <s v="Q2"/>
    <n v="493"/>
    <n v="0"/>
    <s v="MG Sticks"/>
    <n v="1"/>
    <n v="0"/>
    <n v="0"/>
    <n v="0"/>
  </r>
  <r>
    <n v="69572657"/>
    <x v="16"/>
    <n v="0"/>
    <d v="2023-05-09T00:00:00"/>
    <x v="306"/>
    <x v="5"/>
    <n v="2.1520000000000003E-3"/>
    <n v="0"/>
    <s v="MG"/>
    <x v="4"/>
    <x v="5"/>
    <s v="Q2"/>
    <n v="210"/>
    <n v="0"/>
    <s v="MG Sticks"/>
    <n v="1"/>
    <n v="0"/>
    <n v="0"/>
    <n v="0"/>
  </r>
  <r>
    <n v="84150840"/>
    <x v="17"/>
    <n v="19159"/>
    <d v="2023-05-09T00:00:00"/>
    <x v="251"/>
    <x v="33"/>
    <n v="1.4399999999999999E-3"/>
    <n v="27.588959999999997"/>
    <s v="BJ"/>
    <x v="4"/>
    <x v="16"/>
    <s v="Q2"/>
    <n v="510"/>
    <n v="37.56666666666667"/>
    <s v="B&amp;J Cups"/>
    <n v="1"/>
    <n v="19159"/>
    <n v="27.588959999999997"/>
    <n v="37.56666666666667"/>
  </r>
  <r>
    <n v="67465063"/>
    <x v="15"/>
    <n v="4290"/>
    <d v="2023-05-09T00:00:00"/>
    <x v="3"/>
    <x v="7"/>
    <n v="5.2680000000000001E-3"/>
    <n v="22.599720000000001"/>
    <s v="PS"/>
    <x v="4"/>
    <x v="3"/>
    <s v="Q2"/>
    <n v="130"/>
    <n v="33"/>
    <s v="PG"/>
    <n v="1"/>
    <n v="4290"/>
    <n v="22.599720000000001"/>
    <n v="33"/>
  </r>
  <r>
    <n v="67465064"/>
    <x v="15"/>
    <n v="4154"/>
    <d v="2023-05-09T00:00:00"/>
    <x v="7"/>
    <x v="3"/>
    <n v="1.596E-3"/>
    <n v="6.6297839999999999"/>
    <s v="PS"/>
    <x v="4"/>
    <x v="3"/>
    <s v="Q2"/>
    <n v="130"/>
    <n v="31.953846153846154"/>
    <s v="PG"/>
    <n v="1"/>
    <n v="4154"/>
    <n v="6.6297839999999999"/>
    <n v="31.953846153846154"/>
  </r>
  <r>
    <n v="67466492"/>
    <x v="15"/>
    <n v="4902"/>
    <d v="2023-05-09T00:00:00"/>
    <x v="8"/>
    <x v="8"/>
    <n v="5.2680000000000001E-3"/>
    <n v="25.823736"/>
    <s v="PS"/>
    <x v="4"/>
    <x v="3"/>
    <s v="Q2"/>
    <n v="130"/>
    <n v="37.707692307692305"/>
    <s v="PG"/>
    <n v="1"/>
    <n v="4902"/>
    <n v="25.823736"/>
    <n v="37.707692307692305"/>
  </r>
  <r>
    <n v="67476560"/>
    <x v="15"/>
    <n v="4762"/>
    <d v="2023-05-09T00:00:00"/>
    <x v="10"/>
    <x v="10"/>
    <n v="5.1060000000000003E-3"/>
    <n v="24.314772000000001"/>
    <s v="PS"/>
    <x v="4"/>
    <x v="3"/>
    <s v="Q2"/>
    <n v="130"/>
    <n v="36.630769230769232"/>
    <s v="PG"/>
    <n v="1"/>
    <n v="4762"/>
    <n v="24.314772000000001"/>
    <n v="36.630769230769232"/>
  </r>
  <r>
    <n v="68737750"/>
    <x v="15"/>
    <n v="14895"/>
    <d v="2023-05-09T00:00:00"/>
    <x v="144"/>
    <x v="23"/>
    <n v="8.5199999999999998E-3"/>
    <n v="126.9054"/>
    <s v="BR"/>
    <x v="4"/>
    <x v="6"/>
    <s v="Q2"/>
    <n v="176"/>
    <n v="84.630681818181813"/>
    <s v="48oz"/>
    <n v="1"/>
    <n v="14895"/>
    <n v="126.9054"/>
    <n v="84.630681818181813"/>
  </r>
  <r>
    <n v="68881270"/>
    <x v="15"/>
    <n v="13340"/>
    <d v="2023-05-09T00:00:00"/>
    <x v="91"/>
    <x v="16"/>
    <n v="8.5199999999999998E-3"/>
    <n v="113.6568"/>
    <s v="BR"/>
    <x v="4"/>
    <x v="6"/>
    <s v="Q2"/>
    <n v="176"/>
    <n v="75.795454545454547"/>
    <s v="48oz"/>
    <n v="1"/>
    <n v="13340"/>
    <n v="113.6568"/>
    <n v="75.795454545454547"/>
  </r>
  <r>
    <n v="69551489"/>
    <x v="15"/>
    <n v="5144"/>
    <d v="2023-05-09T00:00:00"/>
    <x v="338"/>
    <x v="4"/>
    <n v="3.8989043190215313E-3"/>
    <n v="20.055963817046756"/>
    <s v="GH"/>
    <x v="4"/>
    <x v="4"/>
    <s v="Q2"/>
    <n v="154"/>
    <n v="33.402597402597401"/>
    <s v="MBG"/>
    <n v="1"/>
    <n v="5144"/>
    <n v="20.055963817046756"/>
    <n v="33.402597402597401"/>
  </r>
  <r>
    <n v="69671652"/>
    <x v="15"/>
    <n v="4311"/>
    <d v="2023-05-09T00:00:00"/>
    <x v="197"/>
    <x v="24"/>
    <n v="2.8319999999999999E-3"/>
    <n v="12.208751999999999"/>
    <s v="GH"/>
    <x v="4"/>
    <x v="4"/>
    <s v="Q2"/>
    <n v="225"/>
    <n v="19.16"/>
    <s v="MBG"/>
    <n v="1"/>
    <n v="4311"/>
    <n v="12.208751999999999"/>
    <n v="19.16"/>
  </r>
  <r>
    <n v="68649095"/>
    <x v="16"/>
    <n v="19832"/>
    <d v="2023-05-09T00:00:00"/>
    <x v="286"/>
    <x v="15"/>
    <n v="3.5999999999999999E-3"/>
    <n v="71.395200000000003"/>
    <s v="BJ"/>
    <x v="4"/>
    <x v="19"/>
    <s v="Q2"/>
    <n v="240"/>
    <n v="82.63333333333334"/>
    <s v="TOPPED"/>
    <n v="1"/>
    <n v="19832"/>
    <n v="71.395200000000003"/>
    <n v="82.63333333333334"/>
  </r>
  <r>
    <n v="68726916"/>
    <x v="16"/>
    <n v="32540"/>
    <d v="2023-05-09T00:00:00"/>
    <x v="43"/>
    <x v="21"/>
    <n v="3.7853440000000004E-3"/>
    <n v="123.17509376000001"/>
    <s v="TA"/>
    <x v="4"/>
    <x v="10"/>
    <s v="Q2"/>
    <n v="255"/>
    <n v="127.6078431372549"/>
    <s v="TALENTI"/>
    <n v="1"/>
    <n v="32540"/>
    <n v="123.17509376000001"/>
    <n v="127.6078431372549"/>
  </r>
  <r>
    <n v="68729634"/>
    <x v="16"/>
    <n v="0"/>
    <d v="2023-05-09T00:00:00"/>
    <x v="92"/>
    <x v="22"/>
    <n v="3.7853439999999999E-3"/>
    <n v="0"/>
    <s v="TA"/>
    <x v="4"/>
    <x v="10"/>
    <s v="Q2"/>
    <n v="255"/>
    <n v="0"/>
    <s v="TALENTI"/>
    <n v="1"/>
    <n v="0"/>
    <n v="0"/>
    <n v="0"/>
  </r>
  <r>
    <n v="68741742"/>
    <x v="16"/>
    <n v="6006"/>
    <d v="2023-05-09T00:00:00"/>
    <x v="25"/>
    <x v="25"/>
    <n v="4.2560000000000002E-3"/>
    <n v="25.561536"/>
    <s v="GH"/>
    <x v="4"/>
    <x v="11"/>
    <s v="Q2"/>
    <n v="154"/>
    <n v="39"/>
    <s v="MBG"/>
    <n v="1"/>
    <n v="6006"/>
    <n v="25.561536"/>
    <n v="39"/>
  </r>
  <r>
    <n v="68890247"/>
    <x v="16"/>
    <n v="11055"/>
    <d v="2023-05-09T00:00:00"/>
    <x v="243"/>
    <x v="2"/>
    <n v="8.5170239596469088E-6"/>
    <n v="9.4155699873896576E-2"/>
    <s v="BR"/>
    <x v="4"/>
    <x v="2"/>
    <s v="Q2"/>
    <n v="176"/>
    <n v="62.8125"/>
    <s v="48oz"/>
    <n v="1"/>
    <n v="11055"/>
    <n v="9.4155699873896576E-2"/>
    <n v="62.8125"/>
  </r>
  <r>
    <n v="69564623"/>
    <x v="16"/>
    <n v="10076"/>
    <d v="2023-05-09T00:00:00"/>
    <x v="238"/>
    <x v="13"/>
    <n v="8.5199999999999998E-3"/>
    <n v="85.847520000000003"/>
    <s v="BR"/>
    <x v="4"/>
    <x v="2"/>
    <s v="Q2"/>
    <n v="176"/>
    <n v="57.25"/>
    <s v="48oz"/>
    <n v="1"/>
    <n v="10076"/>
    <n v="85.847520000000003"/>
    <n v="57.25"/>
  </r>
  <r>
    <n v="69621212"/>
    <x v="16"/>
    <n v="5952"/>
    <d v="2023-05-09T00:00:00"/>
    <x v="29"/>
    <x v="28"/>
    <n v="5.2680000000000001E-3"/>
    <n v="31.355136000000002"/>
    <s v="PG"/>
    <x v="4"/>
    <x v="14"/>
    <s v="Q2"/>
    <n v="130"/>
    <n v="45.784615384615385"/>
    <s v="PG"/>
    <n v="1"/>
    <n v="5952"/>
    <n v="31.355136000000002"/>
    <n v="45.784615384615385"/>
  </r>
  <r>
    <n v="69647063"/>
    <x v="16"/>
    <n v="5980"/>
    <d v="2023-05-09T00:00:00"/>
    <x v="122"/>
    <x v="14"/>
    <n v="1.98E-3"/>
    <n v="11.840400000000001"/>
    <s v="MG"/>
    <x v="4"/>
    <x v="5"/>
    <s v="Q2"/>
    <n v="176"/>
    <n v="33.977272727272727"/>
    <s v="MG Sticks"/>
    <n v="1"/>
    <n v="5980"/>
    <n v="11.840400000000001"/>
    <n v="33.977272727272727"/>
  </r>
  <r>
    <n v="84141101"/>
    <x v="17"/>
    <n v="59269"/>
    <d v="2023-05-09T00:00:00"/>
    <x v="86"/>
    <x v="33"/>
    <n v="3.7853439999999999E-3"/>
    <n v="224.35355353599999"/>
    <s v="BJ"/>
    <x v="4"/>
    <x v="15"/>
    <s v="Q2"/>
    <n v="240"/>
    <n v="246.95416666666668"/>
    <s v="BJ PTS"/>
    <n v="1"/>
    <n v="59269"/>
    <n v="224.35355353599999"/>
    <n v="246.95416666666668"/>
  </r>
  <r>
    <n v="68922106"/>
    <x v="16"/>
    <n v="12264"/>
    <d v="2023-05-09T00:00:00"/>
    <x v="104"/>
    <x v="22"/>
    <n v="3.552E-3"/>
    <n v="43.561728000000002"/>
    <s v="TA"/>
    <x v="4"/>
    <x v="10"/>
    <s v="Q2"/>
    <n v="255"/>
    <n v="48.094117647058823"/>
    <s v="TALENTI"/>
    <n v="1"/>
    <n v="12264"/>
    <n v="43.561728000000002"/>
    <n v="48.094117647058823"/>
  </r>
  <r>
    <n v="69677917"/>
    <x v="16"/>
    <n v="647"/>
    <d v="2023-05-09T00:00:00"/>
    <x v="30"/>
    <x v="30"/>
    <n v="5.2680000000000001E-3"/>
    <n v="3.4083960000000002"/>
    <s v="PS"/>
    <x v="4"/>
    <x v="14"/>
    <s v="Q2"/>
    <n v="108"/>
    <n v="5.9907407407407405"/>
    <s v="PG"/>
    <n v="1"/>
    <n v="647"/>
    <n v="3.4083960000000002"/>
    <n v="5.9907407407407405"/>
  </r>
  <r>
    <n v="67309864"/>
    <x v="15"/>
    <n v="4288"/>
    <d v="2023-05-10T00:00:00"/>
    <x v="63"/>
    <x v="11"/>
    <n v="8.5199999999999998E-3"/>
    <n v="36.533760000000001"/>
    <s v="BR"/>
    <x v="4"/>
    <x v="6"/>
    <s v="Q2"/>
    <n v="154"/>
    <n v="27.844155844155843"/>
    <s v="48oz"/>
    <n v="1"/>
    <n v="4288"/>
    <n v="36.533760000000001"/>
    <n v="27.844155844155843"/>
  </r>
  <r>
    <n v="67465063"/>
    <x v="15"/>
    <n v="1995"/>
    <d v="2023-05-10T00:00:00"/>
    <x v="3"/>
    <x v="40"/>
    <n v="5.2680000000000001E-3"/>
    <n v="10.50966"/>
    <s v="PS"/>
    <x v="4"/>
    <x v="3"/>
    <s v="Q2"/>
    <n v="130"/>
    <n v="15.346153846153847"/>
    <s v="PG"/>
    <n v="1"/>
    <n v="1995"/>
    <n v="10.50966"/>
    <n v="15.346153846153847"/>
  </r>
  <r>
    <n v="67465064"/>
    <x v="15"/>
    <n v="1220"/>
    <d v="2023-05-10T00:00:00"/>
    <x v="7"/>
    <x v="3"/>
    <n v="1.596E-3"/>
    <n v="1.94712"/>
    <s v="PS"/>
    <x v="4"/>
    <x v="3"/>
    <s v="Q2"/>
    <n v="130"/>
    <n v="9.384615384615385"/>
    <s v="PG"/>
    <n v="1"/>
    <n v="1220"/>
    <n v="1.94712"/>
    <n v="9.384615384615385"/>
  </r>
  <r>
    <n v="67466462"/>
    <x v="15"/>
    <n v="4174"/>
    <d v="2023-05-10T00:00:00"/>
    <x v="29"/>
    <x v="6"/>
    <n v="5.2680000000000001E-3"/>
    <n v="21.988631999999999"/>
    <s v="PS"/>
    <x v="4"/>
    <x v="3"/>
    <s v="Q2"/>
    <n v="130"/>
    <n v="32.107692307692311"/>
    <s v="PG"/>
    <n v="1"/>
    <n v="4174"/>
    <n v="21.988631999999999"/>
    <n v="32.107692307692311"/>
  </r>
  <r>
    <n v="67466492"/>
    <x v="15"/>
    <n v="4461"/>
    <d v="2023-05-10T00:00:00"/>
    <x v="8"/>
    <x v="8"/>
    <n v="5.2680000000000001E-3"/>
    <n v="23.500548000000002"/>
    <s v="PS"/>
    <x v="4"/>
    <x v="3"/>
    <s v="Q2"/>
    <n v="130"/>
    <n v="34.315384615384616"/>
    <s v="PG"/>
    <n v="1"/>
    <n v="4461"/>
    <n v="23.500548000000002"/>
    <n v="34.315384615384616"/>
  </r>
  <r>
    <n v="68188183"/>
    <x v="15"/>
    <n v="730"/>
    <d v="2023-05-10T00:00:00"/>
    <x v="70"/>
    <x v="9"/>
    <n v="3.8340000000000002E-3"/>
    <n v="2.7988200000000001"/>
    <s v="PS"/>
    <x v="4"/>
    <x v="3"/>
    <s v="Q2"/>
    <n v="130"/>
    <n v="5.615384615384615"/>
    <s v="PG"/>
    <n v="1"/>
    <n v="730"/>
    <n v="2.7988200000000001"/>
    <n v="5.615384615384615"/>
  </r>
  <r>
    <n v="68899826"/>
    <x v="15"/>
    <n v="14079"/>
    <d v="2023-05-10T00:00:00"/>
    <x v="129"/>
    <x v="12"/>
    <n v="8.5199999999999998E-3"/>
    <n v="119.95308"/>
    <s v="BR"/>
    <x v="4"/>
    <x v="6"/>
    <s v="Q2"/>
    <n v="176"/>
    <n v="79.994318181818187"/>
    <s v="48oz"/>
    <n v="1"/>
    <n v="14079"/>
    <n v="119.95308"/>
    <n v="79.994318181818187"/>
  </r>
  <r>
    <n v="69551489"/>
    <x v="15"/>
    <n v="4927"/>
    <d v="2023-05-10T00:00:00"/>
    <x v="338"/>
    <x v="4"/>
    <n v="3.8989043190215313E-3"/>
    <n v="19.209901579819086"/>
    <s v="GH"/>
    <x v="4"/>
    <x v="4"/>
    <s v="Q2"/>
    <n v="154"/>
    <n v="31.993506493506494"/>
    <s v="MBG"/>
    <n v="1"/>
    <n v="4927"/>
    <n v="19.209901579819086"/>
    <n v="31.993506493506494"/>
  </r>
  <r>
    <n v="68410355"/>
    <x v="16"/>
    <n v="0"/>
    <d v="2023-05-10T00:00:00"/>
    <x v="345"/>
    <x v="14"/>
    <n v="1.98E-3"/>
    <n v="0"/>
    <s v="MG"/>
    <x v="4"/>
    <x v="5"/>
    <s v="Q2"/>
    <n v="176"/>
    <n v="0"/>
    <s v="MG Sticks"/>
    <n v="1"/>
    <n v="0"/>
    <n v="0"/>
    <n v="0"/>
  </r>
  <r>
    <n v="68817801"/>
    <x v="16"/>
    <n v="0"/>
    <d v="2023-05-10T00:00:00"/>
    <x v="183"/>
    <x v="2"/>
    <n v="8.4600000000000005E-3"/>
    <n v="0"/>
    <s v="BR"/>
    <x v="4"/>
    <x v="2"/>
    <s v="Q2"/>
    <n v="176"/>
    <n v="0"/>
    <s v="48oz"/>
    <n v="1"/>
    <n v="0"/>
    <n v="0"/>
    <n v="0"/>
  </r>
  <r>
    <n v="68817801"/>
    <x v="16"/>
    <n v="0"/>
    <d v="2023-05-10T00:00:00"/>
    <x v="183"/>
    <x v="2"/>
    <n v="8.4600000000000005E-3"/>
    <n v="0"/>
    <s v="BR"/>
    <x v="4"/>
    <x v="2"/>
    <s v="Q2"/>
    <n v="176"/>
    <n v="0"/>
    <s v="48oz"/>
    <n v="1"/>
    <n v="0"/>
    <n v="0"/>
    <n v="0"/>
  </r>
  <r>
    <n v="69564623"/>
    <x v="16"/>
    <n v="0"/>
    <d v="2023-05-10T00:00:00"/>
    <x v="238"/>
    <x v="13"/>
    <n v="8.5199999999999998E-3"/>
    <n v="0"/>
    <s v="BR"/>
    <x v="4"/>
    <x v="2"/>
    <s v="Q2"/>
    <n v="176"/>
    <n v="0"/>
    <s v="48oz"/>
    <n v="1"/>
    <n v="0"/>
    <n v="0"/>
    <n v="0"/>
  </r>
  <r>
    <n v="69564623"/>
    <x v="16"/>
    <n v="0"/>
    <d v="2023-05-10T00:00:00"/>
    <x v="238"/>
    <x v="13"/>
    <n v="8.5199999999999998E-3"/>
    <n v="0"/>
    <s v="BR"/>
    <x v="4"/>
    <x v="2"/>
    <s v="Q2"/>
    <n v="176"/>
    <n v="0"/>
    <s v="48oz"/>
    <n v="1"/>
    <n v="0"/>
    <n v="0"/>
    <n v="0"/>
  </r>
  <r>
    <n v="69568964"/>
    <x v="16"/>
    <n v="23861"/>
    <d v="2023-05-10T00:00:00"/>
    <x v="134"/>
    <x v="32"/>
    <n v="8.5199999999999998E-3"/>
    <n v="203.29571999999999"/>
    <s v="BR"/>
    <x v="4"/>
    <x v="2"/>
    <s v="Q2"/>
    <n v="176"/>
    <n v="135.57386363636363"/>
    <s v="48oz"/>
    <n v="1"/>
    <n v="23861"/>
    <n v="203.29571999999999"/>
    <n v="135.57386363636363"/>
  </r>
  <r>
    <n v="69568964"/>
    <x v="16"/>
    <n v="0"/>
    <d v="2023-05-10T00:00:00"/>
    <x v="134"/>
    <x v="32"/>
    <n v="8.5199999999999998E-3"/>
    <n v="0"/>
    <s v="BR"/>
    <x v="4"/>
    <x v="2"/>
    <s v="Q2"/>
    <n v="176"/>
    <n v="0"/>
    <s v="48oz"/>
    <n v="1"/>
    <n v="0"/>
    <n v="0"/>
    <n v="0"/>
  </r>
  <r>
    <n v="69572544"/>
    <x v="16"/>
    <n v="0"/>
    <d v="2023-05-10T00:00:00"/>
    <x v="171"/>
    <x v="5"/>
    <n v="1.9740000000000001E-3"/>
    <n v="0"/>
    <s v="MG"/>
    <x v="4"/>
    <x v="5"/>
    <s v="Q2"/>
    <n v="176"/>
    <n v="0"/>
    <s v="MG Sticks"/>
    <n v="1"/>
    <n v="0"/>
    <n v="0"/>
    <n v="0"/>
  </r>
  <r>
    <n v="69572657"/>
    <x v="16"/>
    <n v="0"/>
    <d v="2023-05-10T00:00:00"/>
    <x v="306"/>
    <x v="5"/>
    <n v="2.1520000000000003E-3"/>
    <n v="0"/>
    <s v="MG"/>
    <x v="4"/>
    <x v="5"/>
    <s v="Q2"/>
    <n v="210"/>
    <n v="0"/>
    <s v="MG Sticks"/>
    <n v="1"/>
    <n v="0"/>
    <n v="0"/>
    <n v="0"/>
  </r>
  <r>
    <n v="69647063"/>
    <x v="16"/>
    <n v="0"/>
    <d v="2023-05-10T00:00:00"/>
    <x v="122"/>
    <x v="14"/>
    <n v="1.98E-3"/>
    <n v="0"/>
    <s v="MG"/>
    <x v="4"/>
    <x v="5"/>
    <s v="Q2"/>
    <n v="176"/>
    <n v="0"/>
    <s v="MG Sticks"/>
    <n v="1"/>
    <n v="0"/>
    <n v="0"/>
    <n v="0"/>
  </r>
  <r>
    <n v="69691816"/>
    <x v="16"/>
    <n v="0"/>
    <d v="2023-05-10T00:00:00"/>
    <x v="139"/>
    <x v="21"/>
    <n v="3.7839999999999996E-3"/>
    <n v="0"/>
    <s v="TA"/>
    <x v="4"/>
    <x v="10"/>
    <s v="Q2"/>
    <n v="255"/>
    <n v="0"/>
    <s v="TALENTI"/>
    <n v="1"/>
    <n v="0"/>
    <n v="0"/>
    <n v="0"/>
  </r>
  <r>
    <n v="67794169"/>
    <x v="17"/>
    <n v="34320"/>
    <d v="2023-05-10T00:00:00"/>
    <x v="33"/>
    <x v="35"/>
    <n v="3.7853439999999999E-3"/>
    <n v="129.91300608"/>
    <s v="BJ"/>
    <x v="4"/>
    <x v="15"/>
    <s v="Q2"/>
    <n v="240"/>
    <n v="143"/>
    <s v="BJ PTS"/>
    <n v="1"/>
    <n v="34320"/>
    <n v="129.91300608"/>
    <n v="143"/>
  </r>
  <r>
    <n v="67465063"/>
    <x v="15"/>
    <n v="4712"/>
    <d v="2023-05-10T00:00:00"/>
    <x v="3"/>
    <x v="7"/>
    <n v="5.2680000000000001E-3"/>
    <n v="24.822816"/>
    <s v="PS"/>
    <x v="4"/>
    <x v="3"/>
    <s v="Q2"/>
    <n v="130"/>
    <n v="36.246153846153845"/>
    <s v="PG"/>
    <n v="1"/>
    <n v="4712"/>
    <n v="24.822816"/>
    <n v="36.246153846153845"/>
  </r>
  <r>
    <n v="67476560"/>
    <x v="15"/>
    <n v="4030"/>
    <d v="2023-05-10T00:00:00"/>
    <x v="10"/>
    <x v="10"/>
    <n v="5.1060000000000003E-3"/>
    <n v="20.577180000000002"/>
    <s v="PS"/>
    <x v="4"/>
    <x v="3"/>
    <s v="Q2"/>
    <n v="130"/>
    <n v="31"/>
    <s v="PG"/>
    <n v="1"/>
    <n v="4030"/>
    <n v="20.577180000000002"/>
    <n v="31"/>
  </r>
  <r>
    <n v="68737750"/>
    <x v="15"/>
    <n v="11727"/>
    <d v="2023-05-10T00:00:00"/>
    <x v="144"/>
    <x v="23"/>
    <n v="8.5199999999999998E-3"/>
    <n v="99.91404"/>
    <s v="BR"/>
    <x v="4"/>
    <x v="6"/>
    <s v="Q2"/>
    <n v="176"/>
    <n v="66.630681818181813"/>
    <s v="48oz"/>
    <n v="1"/>
    <n v="11727"/>
    <n v="99.91404"/>
    <n v="66.630681818181813"/>
  </r>
  <r>
    <n v="68881270"/>
    <x v="15"/>
    <n v="12560"/>
    <d v="2023-05-10T00:00:00"/>
    <x v="91"/>
    <x v="16"/>
    <n v="8.5199999999999998E-3"/>
    <n v="107.0112"/>
    <s v="BR"/>
    <x v="4"/>
    <x v="6"/>
    <s v="Q2"/>
    <n v="176"/>
    <n v="71.36363636363636"/>
    <s v="48oz"/>
    <n v="1"/>
    <n v="12560"/>
    <n v="107.0112"/>
    <n v="71.36363636363636"/>
  </r>
  <r>
    <n v="69568828"/>
    <x v="15"/>
    <n v="8028"/>
    <d v="2023-05-10T00:00:00"/>
    <x v="12"/>
    <x v="11"/>
    <n v="8.5199999999999998E-3"/>
    <n v="68.398560000000003"/>
    <s v="BR"/>
    <x v="4"/>
    <x v="6"/>
    <s v="Q2"/>
    <n v="176"/>
    <n v="45.613636363636367"/>
    <s v="48oz"/>
    <n v="1"/>
    <n v="8028"/>
    <n v="68.398560000000003"/>
    <n v="45.613636363636367"/>
  </r>
  <r>
    <n v="69671652"/>
    <x v="15"/>
    <n v="4500"/>
    <d v="2023-05-10T00:00:00"/>
    <x v="197"/>
    <x v="24"/>
    <n v="2.8319999999999999E-3"/>
    <n v="12.744"/>
    <s v="GH"/>
    <x v="4"/>
    <x v="4"/>
    <s v="Q2"/>
    <n v="225"/>
    <n v="20"/>
    <s v="MBG"/>
    <n v="1"/>
    <n v="4500"/>
    <n v="12.744"/>
    <n v="20"/>
  </r>
  <r>
    <n v="67309845"/>
    <x v="16"/>
    <n v="0"/>
    <d v="2023-05-10T00:00:00"/>
    <x v="62"/>
    <x v="2"/>
    <n v="8.5199999999999998E-3"/>
    <n v="0"/>
    <s v="BR"/>
    <x v="4"/>
    <x v="2"/>
    <s v="Q2"/>
    <n v="154"/>
    <n v="0"/>
    <s v="48oz"/>
    <n v="1"/>
    <n v="0"/>
    <n v="0"/>
    <n v="0"/>
  </r>
  <r>
    <n v="67901593"/>
    <x v="16"/>
    <n v="18295"/>
    <d v="2023-05-10T00:00:00"/>
    <x v="68"/>
    <x v="32"/>
    <n v="8.5199999999999998E-3"/>
    <n v="155.8734"/>
    <s v="BR"/>
    <x v="4"/>
    <x v="2"/>
    <s v="Q2"/>
    <n v="154"/>
    <n v="118.7987012987013"/>
    <s v="48oz"/>
    <n v="1"/>
    <n v="18295"/>
    <n v="155.8734"/>
    <n v="118.7987012987013"/>
  </r>
  <r>
    <n v="68649095"/>
    <x v="16"/>
    <n v="13527"/>
    <d v="2023-05-10T00:00:00"/>
    <x v="286"/>
    <x v="15"/>
    <n v="3.5999999999999999E-3"/>
    <n v="48.697199999999995"/>
    <s v="BJ"/>
    <x v="4"/>
    <x v="19"/>
    <s v="Q2"/>
    <n v="240"/>
    <n v="56.362499999999997"/>
    <s v="TOPPED"/>
    <n v="1"/>
    <n v="13527"/>
    <n v="48.697199999999995"/>
    <n v="56.362499999999997"/>
  </r>
  <r>
    <n v="68726916"/>
    <x v="16"/>
    <n v="29053"/>
    <d v="2023-05-10T00:00:00"/>
    <x v="43"/>
    <x v="21"/>
    <n v="3.7853440000000004E-3"/>
    <n v="109.97559923200001"/>
    <s v="TA"/>
    <x v="4"/>
    <x v="10"/>
    <s v="Q2"/>
    <n v="255"/>
    <n v="113.93333333333334"/>
    <s v="TALENTI"/>
    <n v="1"/>
    <n v="29053"/>
    <n v="109.97559923200001"/>
    <n v="113.93333333333334"/>
  </r>
  <r>
    <n v="68729634"/>
    <x v="16"/>
    <n v="0"/>
    <d v="2023-05-10T00:00:00"/>
    <x v="92"/>
    <x v="22"/>
    <n v="3.7853439999999999E-3"/>
    <n v="0"/>
    <s v="TA"/>
    <x v="4"/>
    <x v="10"/>
    <s v="Q2"/>
    <n v="255"/>
    <n v="0"/>
    <s v="TALENTI"/>
    <n v="1"/>
    <n v="0"/>
    <n v="0"/>
    <n v="0"/>
  </r>
  <r>
    <n v="68741742"/>
    <x v="16"/>
    <n v="4182"/>
    <d v="2023-05-10T00:00:00"/>
    <x v="25"/>
    <x v="25"/>
    <n v="4.2560000000000002E-3"/>
    <n v="17.798591999999999"/>
    <s v="GH"/>
    <x v="4"/>
    <x v="11"/>
    <s v="Q2"/>
    <n v="154"/>
    <n v="27.155844155844157"/>
    <s v="MBG"/>
    <n v="1"/>
    <n v="4182"/>
    <n v="17.798591999999999"/>
    <n v="27.155844155844157"/>
  </r>
  <r>
    <n v="68764901"/>
    <x v="16"/>
    <n v="2112"/>
    <d v="2023-05-10T00:00:00"/>
    <x v="347"/>
    <x v="13"/>
    <n v="8.5199999999999998E-3"/>
    <n v="17.994239999999998"/>
    <s v="BR"/>
    <x v="4"/>
    <x v="2"/>
    <s v="Q2"/>
    <n v="154"/>
    <n v="13.714285714285714"/>
    <s v="48oz"/>
    <n v="1"/>
    <n v="2112"/>
    <n v="17.994239999999998"/>
    <n v="13.714285714285714"/>
  </r>
  <r>
    <n v="68890247"/>
    <x v="16"/>
    <n v="10951"/>
    <d v="2023-05-10T00:00:00"/>
    <x v="243"/>
    <x v="2"/>
    <n v="8.5170239596469088E-6"/>
    <n v="9.3269929382093303E-2"/>
    <s v="BR"/>
    <x v="4"/>
    <x v="2"/>
    <s v="Q2"/>
    <n v="176"/>
    <n v="62.221590909090907"/>
    <s v="48oz"/>
    <n v="1"/>
    <n v="10951"/>
    <n v="9.3269929382093303E-2"/>
    <n v="62.221590909090907"/>
  </r>
  <r>
    <n v="68922106"/>
    <x v="16"/>
    <n v="1454"/>
    <d v="2023-05-10T00:00:00"/>
    <x v="104"/>
    <x v="22"/>
    <n v="3.552E-3"/>
    <n v="5.1646080000000003"/>
    <s v="TA"/>
    <x v="4"/>
    <x v="10"/>
    <s v="Q2"/>
    <n v="255"/>
    <n v="5.7019607843137257"/>
    <s v="TALENTI"/>
    <n v="1"/>
    <n v="1454"/>
    <n v="5.1646080000000003"/>
    <n v="5.7019607843137257"/>
  </r>
  <r>
    <n v="69564623"/>
    <x v="16"/>
    <n v="1027"/>
    <d v="2023-05-10T00:00:00"/>
    <x v="238"/>
    <x v="13"/>
    <n v="8.5199999999999998E-3"/>
    <n v="8.7500400000000003"/>
    <s v="BR"/>
    <x v="4"/>
    <x v="2"/>
    <s v="Q2"/>
    <n v="176"/>
    <n v="5.8352272727272725"/>
    <s v="48oz"/>
    <n v="1"/>
    <n v="1027"/>
    <n v="8.7500400000000003"/>
    <n v="5.8352272727272725"/>
  </r>
  <r>
    <n v="69621212"/>
    <x v="16"/>
    <n v="5617"/>
    <d v="2023-05-10T00:00:00"/>
    <x v="29"/>
    <x v="28"/>
    <n v="5.2680000000000001E-3"/>
    <n v="29.590356"/>
    <s v="PG"/>
    <x v="4"/>
    <x v="14"/>
    <s v="Q2"/>
    <n v="130"/>
    <n v="43.207692307692305"/>
    <s v="PG"/>
    <n v="1"/>
    <n v="5617"/>
    <n v="29.590356"/>
    <n v="43.207692307692305"/>
  </r>
  <r>
    <n v="69677917"/>
    <x v="16"/>
    <n v="2645"/>
    <d v="2023-05-10T00:00:00"/>
    <x v="30"/>
    <x v="30"/>
    <n v="5.2680000000000001E-3"/>
    <n v="13.933860000000001"/>
    <s v="PS"/>
    <x v="4"/>
    <x v="14"/>
    <s v="Q2"/>
    <n v="108"/>
    <n v="24.49074074074074"/>
    <s v="PG"/>
    <n v="1"/>
    <n v="2645"/>
    <n v="13.933860000000001"/>
    <n v="24.49074074074074"/>
  </r>
  <r>
    <n v="69706133"/>
    <x v="16"/>
    <n v="6688"/>
    <d v="2023-05-10T00:00:00"/>
    <x v="229"/>
    <x v="31"/>
    <n v="3.8999999999999998E-3"/>
    <n v="26.083199999999998"/>
    <s v="TA"/>
    <x v="4"/>
    <x v="42"/>
    <s v="Q2"/>
    <n v="176"/>
    <n v="38"/>
    <s v="TAL NV"/>
    <n v="1"/>
    <n v="6688"/>
    <n v="26.083199999999998"/>
    <n v="38"/>
  </r>
  <r>
    <n v="69571484"/>
    <x v="16"/>
    <n v="9396"/>
    <d v="2023-05-10T00:00:00"/>
    <x v="230"/>
    <x v="5"/>
    <n v="1.2960000000000001E-2"/>
    <n v="121.77216000000001"/>
    <s v="MG"/>
    <x v="4"/>
    <x v="5"/>
    <s v="Q2"/>
    <n v="493"/>
    <n v="19.058823529411764"/>
    <s v="MG Sticks"/>
    <n v="1"/>
    <n v="9396"/>
    <n v="121.77216000000001"/>
    <n v="19.058823529411764"/>
  </r>
  <r>
    <n v="67465063"/>
    <x v="15"/>
    <n v="2999"/>
    <d v="2023-05-11T00:00:00"/>
    <x v="3"/>
    <x v="40"/>
    <n v="5.2680000000000001E-3"/>
    <n v="15.798732000000001"/>
    <s v="PS"/>
    <x v="4"/>
    <x v="3"/>
    <s v="Q2"/>
    <n v="130"/>
    <n v="23.069230769230771"/>
    <s v="PG"/>
    <n v="1"/>
    <n v="2999"/>
    <n v="15.798732000000001"/>
    <n v="23.069230769230771"/>
  </r>
  <r>
    <n v="67465064"/>
    <x v="15"/>
    <n v="378"/>
    <d v="2023-05-11T00:00:00"/>
    <x v="7"/>
    <x v="3"/>
    <n v="1.596E-3"/>
    <n v="0.60328800000000005"/>
    <s v="PS"/>
    <x v="4"/>
    <x v="3"/>
    <s v="Q2"/>
    <n v="130"/>
    <n v="2.9076923076923076"/>
    <s v="PG"/>
    <n v="1"/>
    <n v="378"/>
    <n v="0.60328800000000005"/>
    <n v="2.9076923076923076"/>
  </r>
  <r>
    <n v="67466492"/>
    <x v="15"/>
    <n v="5459"/>
    <d v="2023-05-11T00:00:00"/>
    <x v="8"/>
    <x v="8"/>
    <n v="5.2680000000000001E-3"/>
    <n v="28.758012000000001"/>
    <s v="PS"/>
    <x v="4"/>
    <x v="3"/>
    <s v="Q2"/>
    <n v="130"/>
    <n v="41.992307692307691"/>
    <s v="PG"/>
    <n v="1"/>
    <n v="5459"/>
    <n v="28.758012000000001"/>
    <n v="41.992307692307691"/>
  </r>
  <r>
    <n v="67723726"/>
    <x v="15"/>
    <n v="12771"/>
    <d v="2023-05-11T00:00:00"/>
    <x v="109"/>
    <x v="23"/>
    <n v="8.5199999999999998E-3"/>
    <n v="108.80892"/>
    <s v="BR"/>
    <x v="4"/>
    <x v="6"/>
    <s v="Q2"/>
    <n v="154"/>
    <n v="82.928571428571431"/>
    <s v="48oz"/>
    <n v="1"/>
    <n v="12771"/>
    <n v="108.80892"/>
    <n v="82.928571428571431"/>
  </r>
  <r>
    <n v="67885718"/>
    <x v="15"/>
    <n v="7140"/>
    <d v="2023-05-11T00:00:00"/>
    <x v="48"/>
    <x v="16"/>
    <n v="8.5199999999999998E-3"/>
    <n v="60.832799999999999"/>
    <s v="BR"/>
    <x v="4"/>
    <x v="6"/>
    <s v="Q2"/>
    <n v="154"/>
    <n v="46.363636363636367"/>
    <s v="48oz"/>
    <n v="1"/>
    <n v="7140"/>
    <n v="60.832799999999999"/>
    <n v="46.363636363636367"/>
  </r>
  <r>
    <n v="68188183"/>
    <x v="15"/>
    <n v="978"/>
    <d v="2023-05-11T00:00:00"/>
    <x v="70"/>
    <x v="9"/>
    <n v="3.8340000000000002E-3"/>
    <n v="3.7496520000000002"/>
    <s v="PS"/>
    <x v="4"/>
    <x v="3"/>
    <s v="Q2"/>
    <n v="130"/>
    <n v="7.523076923076923"/>
    <s v="PG"/>
    <n v="1"/>
    <n v="978"/>
    <n v="3.7496520000000002"/>
    <n v="7.523076923076923"/>
  </r>
  <r>
    <n v="68899826"/>
    <x v="15"/>
    <n v="11711"/>
    <d v="2023-05-11T00:00:00"/>
    <x v="129"/>
    <x v="12"/>
    <n v="8.5199999999999998E-3"/>
    <n v="99.777720000000002"/>
    <s v="BR"/>
    <x v="4"/>
    <x v="6"/>
    <s v="Q2"/>
    <n v="176"/>
    <n v="66.539772727272734"/>
    <s v="48oz"/>
    <n v="1"/>
    <n v="11711"/>
    <n v="99.777720000000002"/>
    <n v="66.539772727272734"/>
  </r>
  <r>
    <n v="69671652"/>
    <x v="15"/>
    <n v="7125"/>
    <d v="2023-05-11T00:00:00"/>
    <x v="197"/>
    <x v="24"/>
    <n v="2.8319999999999999E-3"/>
    <n v="20.178000000000001"/>
    <s v="GH"/>
    <x v="4"/>
    <x v="4"/>
    <s v="Q2"/>
    <n v="225"/>
    <n v="31.666666666666668"/>
    <s v="MBG"/>
    <n v="1"/>
    <n v="7125"/>
    <n v="20.178000000000001"/>
    <n v="31.666666666666668"/>
  </r>
  <r>
    <n v="67309845"/>
    <x v="16"/>
    <n v="89"/>
    <d v="2023-05-11T00:00:00"/>
    <x v="62"/>
    <x v="2"/>
    <n v="8.5199999999999998E-3"/>
    <n v="0.75827999999999995"/>
    <s v="BR"/>
    <x v="4"/>
    <x v="2"/>
    <s v="Q2"/>
    <n v="154"/>
    <n v="0.57792207792207795"/>
    <s v="48oz"/>
    <n v="1"/>
    <n v="89"/>
    <n v="0.75827999999999995"/>
    <n v="0.57792207792207795"/>
  </r>
  <r>
    <n v="68410355"/>
    <x v="16"/>
    <n v="0"/>
    <d v="2023-05-11T00:00:00"/>
    <x v="345"/>
    <x v="14"/>
    <n v="1.98E-3"/>
    <n v="0"/>
    <s v="MG"/>
    <x v="4"/>
    <x v="5"/>
    <s v="Q2"/>
    <n v="176"/>
    <n v="0"/>
    <s v="MG Sticks"/>
    <n v="1"/>
    <n v="0"/>
    <n v="0"/>
    <n v="0"/>
  </r>
  <r>
    <n v="68649095"/>
    <x v="16"/>
    <n v="15117"/>
    <d v="2023-05-11T00:00:00"/>
    <x v="286"/>
    <x v="15"/>
    <n v="3.5999999999999999E-3"/>
    <n v="54.421199999999999"/>
    <s v="BJ"/>
    <x v="4"/>
    <x v="19"/>
    <s v="Q2"/>
    <n v="240"/>
    <n v="62.987499999999997"/>
    <s v="TOPPED"/>
    <n v="1"/>
    <n v="15117"/>
    <n v="54.421199999999999"/>
    <n v="62.987499999999997"/>
  </r>
  <r>
    <n v="68650199"/>
    <x v="16"/>
    <n v="0"/>
    <d v="2023-05-11T00:00:00"/>
    <x v="348"/>
    <x v="5"/>
    <n v="1.0200000000000001E-3"/>
    <n v="0"/>
    <s v="MG"/>
    <x v="4"/>
    <x v="5"/>
    <s v="Q2"/>
    <n v="493"/>
    <n v="0"/>
    <s v="MG Sticks"/>
    <n v="1"/>
    <n v="0"/>
    <n v="0"/>
    <n v="0"/>
  </r>
  <r>
    <n v="68726916"/>
    <x v="16"/>
    <n v="8642"/>
    <d v="2023-05-11T00:00:00"/>
    <x v="43"/>
    <x v="21"/>
    <n v="3.7853440000000004E-3"/>
    <n v="32.712942848000004"/>
    <s v="TA"/>
    <x v="4"/>
    <x v="10"/>
    <s v="Q2"/>
    <n v="255"/>
    <n v="33.890196078431373"/>
    <s v="TALENTI"/>
    <n v="1"/>
    <n v="8642"/>
    <n v="32.712942848000004"/>
    <n v="33.890196078431373"/>
  </r>
  <r>
    <n v="68729634"/>
    <x v="16"/>
    <n v="0"/>
    <d v="2023-05-11T00:00:00"/>
    <x v="92"/>
    <x v="22"/>
    <n v="3.7853439999999999E-3"/>
    <n v="0"/>
    <s v="TA"/>
    <x v="4"/>
    <x v="10"/>
    <s v="Q2"/>
    <n v="255"/>
    <n v="0"/>
    <s v="TALENTI"/>
    <n v="1"/>
    <n v="0"/>
    <n v="0"/>
    <n v="0"/>
  </r>
  <r>
    <n v="68729634"/>
    <x v="16"/>
    <n v="0"/>
    <d v="2023-05-11T00:00:00"/>
    <x v="92"/>
    <x v="22"/>
    <n v="3.7853439999999999E-3"/>
    <n v="0"/>
    <s v="TA"/>
    <x v="4"/>
    <x v="10"/>
    <s v="Q2"/>
    <n v="255"/>
    <n v="0"/>
    <s v="TALENTI"/>
    <n v="1"/>
    <n v="0"/>
    <n v="0"/>
    <n v="0"/>
  </r>
  <r>
    <n v="68764900"/>
    <x v="16"/>
    <n v="0"/>
    <d v="2023-05-11T00:00:00"/>
    <x v="295"/>
    <x v="13"/>
    <n v="8.5199999999999998E-3"/>
    <n v="0"/>
    <s v="BR"/>
    <x v="4"/>
    <x v="2"/>
    <s v="Q2"/>
    <n v="176"/>
    <n v="0"/>
    <s v="48oz"/>
    <n v="1"/>
    <n v="0"/>
    <n v="0"/>
    <n v="0"/>
  </r>
  <r>
    <n v="68817801"/>
    <x v="16"/>
    <n v="0"/>
    <d v="2023-05-11T00:00:00"/>
    <x v="183"/>
    <x v="2"/>
    <n v="8.4600000000000005E-3"/>
    <n v="0"/>
    <s v="BR"/>
    <x v="4"/>
    <x v="2"/>
    <s v="Q2"/>
    <n v="176"/>
    <n v="0"/>
    <s v="48oz"/>
    <n v="1"/>
    <n v="0"/>
    <n v="0"/>
    <n v="0"/>
  </r>
  <r>
    <n v="67789314"/>
    <x v="17"/>
    <n v="33550"/>
    <d v="2023-05-11T00:00:00"/>
    <x v="152"/>
    <x v="35"/>
    <n v="3.7853439999999999E-3"/>
    <n v="126.9982912"/>
    <s v="BJ"/>
    <x v="4"/>
    <x v="15"/>
    <s v="Q2"/>
    <n v="240"/>
    <n v="139.79166666666666"/>
    <s v="BJ PTS"/>
    <n v="1"/>
    <n v="33550"/>
    <n v="126.9982912"/>
    <n v="139.79166666666666"/>
  </r>
  <r>
    <n v="68499787"/>
    <x v="17"/>
    <n v="4550"/>
    <d v="2023-05-11T00:00:00"/>
    <x v="274"/>
    <x v="35"/>
    <n v="3.8999999999999998E-3"/>
    <n v="17.744999999999997"/>
    <s v="BJ"/>
    <x v="4"/>
    <x v="39"/>
    <s v="Q2"/>
    <n v="125"/>
    <n v="36.4"/>
    <s v="2.4 Gal"/>
    <n v="1"/>
    <n v="4550"/>
    <n v="17.744999999999997"/>
    <n v="36.4"/>
  </r>
  <r>
    <n v="67309864"/>
    <x v="15"/>
    <n v="13241"/>
    <d v="2023-05-11T00:00:00"/>
    <x v="63"/>
    <x v="11"/>
    <n v="8.5199999999999998E-3"/>
    <n v="112.81331999999999"/>
    <s v="BR"/>
    <x v="4"/>
    <x v="6"/>
    <s v="Q2"/>
    <n v="154"/>
    <n v="85.980519480519476"/>
    <s v="48oz"/>
    <n v="1"/>
    <n v="13241"/>
    <n v="112.81331999999999"/>
    <n v="85.980519480519476"/>
  </r>
  <r>
    <n v="67465063"/>
    <x v="15"/>
    <n v="4428"/>
    <d v="2023-05-11T00:00:00"/>
    <x v="3"/>
    <x v="7"/>
    <n v="5.2680000000000001E-3"/>
    <n v="23.326703999999999"/>
    <s v="PS"/>
    <x v="4"/>
    <x v="3"/>
    <s v="Q2"/>
    <n v="130"/>
    <n v="34.061538461538461"/>
    <s v="PG"/>
    <n v="1"/>
    <n v="4428"/>
    <n v="23.326703999999999"/>
    <n v="34.061538461538461"/>
  </r>
  <r>
    <n v="67465064"/>
    <x v="15"/>
    <n v="3049"/>
    <d v="2023-05-11T00:00:00"/>
    <x v="7"/>
    <x v="3"/>
    <n v="1.596E-3"/>
    <n v="4.8662039999999998"/>
    <s v="PS"/>
    <x v="4"/>
    <x v="3"/>
    <s v="Q2"/>
    <n v="130"/>
    <n v="23.453846153846154"/>
    <s v="PG"/>
    <n v="1"/>
    <n v="3049"/>
    <n v="4.8662039999999998"/>
    <n v="23.453846153846154"/>
  </r>
  <r>
    <n v="67466462"/>
    <x v="15"/>
    <n v="3945"/>
    <d v="2023-05-11T00:00:00"/>
    <x v="29"/>
    <x v="6"/>
    <n v="5.2680000000000001E-3"/>
    <n v="20.782260000000001"/>
    <s v="PS"/>
    <x v="4"/>
    <x v="3"/>
    <s v="Q2"/>
    <n v="130"/>
    <n v="30.346153846153847"/>
    <s v="PG"/>
    <n v="1"/>
    <n v="3945"/>
    <n v="20.782260000000001"/>
    <n v="30.346153846153847"/>
  </r>
  <r>
    <n v="67476560"/>
    <x v="15"/>
    <n v="3520"/>
    <d v="2023-05-11T00:00:00"/>
    <x v="10"/>
    <x v="10"/>
    <n v="5.1060000000000003E-3"/>
    <n v="17.973120000000002"/>
    <s v="PS"/>
    <x v="4"/>
    <x v="3"/>
    <s v="Q2"/>
    <n v="130"/>
    <n v="27.076923076923077"/>
    <s v="PG"/>
    <n v="1"/>
    <n v="3520"/>
    <n v="17.973120000000002"/>
    <n v="27.076923076923077"/>
  </r>
  <r>
    <n v="68737750"/>
    <x v="15"/>
    <n v="0"/>
    <d v="2023-05-11T00:00:00"/>
    <x v="144"/>
    <x v="23"/>
    <n v="8.5199999999999998E-3"/>
    <n v="0"/>
    <s v="BR"/>
    <x v="4"/>
    <x v="6"/>
    <s v="Q2"/>
    <n v="176"/>
    <n v="0"/>
    <s v="48oz"/>
    <n v="1"/>
    <n v="0"/>
    <n v="0"/>
    <n v="0"/>
  </r>
  <r>
    <n v="68881270"/>
    <x v="15"/>
    <n v="0"/>
    <d v="2023-05-11T00:00:00"/>
    <x v="91"/>
    <x v="16"/>
    <n v="8.5199999999999998E-3"/>
    <n v="0"/>
    <s v="BR"/>
    <x v="4"/>
    <x v="6"/>
    <s v="Q2"/>
    <n v="176"/>
    <n v="0"/>
    <s v="48oz"/>
    <n v="1"/>
    <n v="0"/>
    <n v="0"/>
    <n v="0"/>
  </r>
  <r>
    <n v="69551489"/>
    <x v="15"/>
    <n v="2255"/>
    <d v="2023-05-11T00:00:00"/>
    <x v="338"/>
    <x v="4"/>
    <n v="3.8989043190215313E-3"/>
    <n v="8.7920292393935533"/>
    <s v="GH"/>
    <x v="4"/>
    <x v="4"/>
    <s v="Q2"/>
    <n v="154"/>
    <n v="14.642857142857142"/>
    <s v="MBG"/>
    <n v="1"/>
    <n v="2255"/>
    <n v="8.7920292393935533"/>
    <n v="14.642857142857142"/>
  </r>
  <r>
    <n v="67309845"/>
    <x v="16"/>
    <n v="2040"/>
    <d v="2023-05-11T00:00:00"/>
    <x v="62"/>
    <x v="2"/>
    <n v="8.5199999999999998E-3"/>
    <n v="17.380800000000001"/>
    <s v="BR"/>
    <x v="4"/>
    <x v="2"/>
    <s v="Q2"/>
    <n v="154"/>
    <n v="13.246753246753247"/>
    <s v="48oz"/>
    <n v="1"/>
    <n v="2040"/>
    <n v="17.380800000000001"/>
    <n v="13.246753246753247"/>
  </r>
  <r>
    <n v="67901593"/>
    <x v="16"/>
    <n v="24595"/>
    <d v="2023-05-11T00:00:00"/>
    <x v="68"/>
    <x v="32"/>
    <n v="8.5199999999999998E-3"/>
    <n v="209.54939999999999"/>
    <s v="BR"/>
    <x v="4"/>
    <x v="2"/>
    <s v="Q2"/>
    <n v="154"/>
    <n v="159.70779220779221"/>
    <s v="48oz"/>
    <n v="1"/>
    <n v="24595"/>
    <n v="209.54939999999999"/>
    <n v="159.70779220779221"/>
  </r>
  <r>
    <n v="68741742"/>
    <x v="16"/>
    <n v="1782"/>
    <d v="2023-05-11T00:00:00"/>
    <x v="25"/>
    <x v="25"/>
    <n v="4.2560000000000002E-3"/>
    <n v="7.5841920000000007"/>
    <s v="GH"/>
    <x v="4"/>
    <x v="11"/>
    <s v="Q2"/>
    <n v="154"/>
    <n v="11.571428571428571"/>
    <s v="MBG"/>
    <n v="1"/>
    <n v="1782"/>
    <n v="7.5841920000000007"/>
    <n v="11.571428571428571"/>
  </r>
  <r>
    <n v="68764900"/>
    <x v="16"/>
    <n v="5446"/>
    <d v="2023-05-11T00:00:00"/>
    <x v="295"/>
    <x v="13"/>
    <n v="8.5199999999999998E-3"/>
    <n v="46.399920000000002"/>
    <s v="BR"/>
    <x v="4"/>
    <x v="2"/>
    <s v="Q2"/>
    <n v="176"/>
    <n v="30.943181818181817"/>
    <s v="48oz"/>
    <n v="1"/>
    <n v="5446"/>
    <n v="46.399920000000002"/>
    <n v="30.943181818181817"/>
  </r>
  <r>
    <n v="68764901"/>
    <x v="16"/>
    <n v="3978"/>
    <d v="2023-05-11T00:00:00"/>
    <x v="347"/>
    <x v="13"/>
    <n v="8.5199999999999998E-3"/>
    <n v="33.892559999999996"/>
    <s v="BR"/>
    <x v="4"/>
    <x v="2"/>
    <s v="Q2"/>
    <n v="154"/>
    <n v="25.831168831168831"/>
    <s v="48oz"/>
    <n v="1"/>
    <n v="3978"/>
    <n v="33.892559999999996"/>
    <n v="25.831168831168831"/>
  </r>
  <r>
    <n v="68817801"/>
    <x v="16"/>
    <n v="9271"/>
    <d v="2023-05-11T00:00:00"/>
    <x v="183"/>
    <x v="2"/>
    <n v="8.4600000000000005E-3"/>
    <n v="78.432659999999998"/>
    <s v="BR"/>
    <x v="4"/>
    <x v="2"/>
    <s v="Q2"/>
    <n v="176"/>
    <n v="52.676136363636367"/>
    <s v="48oz"/>
    <n v="1"/>
    <n v="9271"/>
    <n v="78.432659999999998"/>
    <n v="52.676136363636367"/>
  </r>
  <r>
    <n v="68938272"/>
    <x v="16"/>
    <n v="13350"/>
    <d v="2023-05-11T00:00:00"/>
    <x v="293"/>
    <x v="15"/>
    <n v="3.5999999999999999E-3"/>
    <n v="48.059999999999995"/>
    <s v="BJ"/>
    <x v="4"/>
    <x v="19"/>
    <s v="Q2"/>
    <n v="240"/>
    <n v="55.625"/>
    <s v="TOPPED"/>
    <n v="1"/>
    <n v="13350"/>
    <n v="48.059999999999995"/>
    <n v="55.625"/>
  </r>
  <r>
    <n v="69571484"/>
    <x v="16"/>
    <n v="14848"/>
    <d v="2023-05-11T00:00:00"/>
    <x v="230"/>
    <x v="5"/>
    <n v="1.2960000000000001E-2"/>
    <n v="192.43008"/>
    <s v="MG"/>
    <x v="4"/>
    <x v="5"/>
    <s v="Q2"/>
    <n v="493"/>
    <n v="30.117647058823529"/>
    <s v="MG Sticks"/>
    <n v="1"/>
    <n v="14848"/>
    <n v="192.43008"/>
    <n v="30.117647058823529"/>
  </r>
  <r>
    <n v="69572544"/>
    <x v="16"/>
    <n v="826"/>
    <d v="2023-05-11T00:00:00"/>
    <x v="171"/>
    <x v="14"/>
    <n v="1.9740000000000001E-3"/>
    <n v="1.6305240000000001"/>
    <s v="MG"/>
    <x v="4"/>
    <x v="5"/>
    <s v="Q2"/>
    <n v="176"/>
    <n v="4.6931818181818183"/>
    <s v="MG Sticks"/>
    <n v="1"/>
    <n v="826"/>
    <n v="1.6305240000000001"/>
    <n v="4.6931818181818183"/>
  </r>
  <r>
    <n v="69621212"/>
    <x v="16"/>
    <n v="4901"/>
    <d v="2023-05-11T00:00:00"/>
    <x v="29"/>
    <x v="28"/>
    <n v="5.2680000000000001E-3"/>
    <n v="25.818467999999999"/>
    <s v="PG"/>
    <x v="4"/>
    <x v="14"/>
    <s v="Q2"/>
    <n v="130"/>
    <n v="37.700000000000003"/>
    <s v="PG"/>
    <n v="1"/>
    <n v="4901"/>
    <n v="25.818467999999999"/>
    <n v="37.700000000000003"/>
  </r>
  <r>
    <n v="69677917"/>
    <x v="16"/>
    <n v="4428"/>
    <d v="2023-05-11T00:00:00"/>
    <x v="30"/>
    <x v="30"/>
    <n v="5.2680000000000001E-3"/>
    <n v="23.326703999999999"/>
    <s v="PS"/>
    <x v="4"/>
    <x v="14"/>
    <s v="Q2"/>
    <n v="108"/>
    <n v="41"/>
    <s v="PG"/>
    <n v="1"/>
    <n v="4428"/>
    <n v="23.326703999999999"/>
    <n v="41"/>
  </r>
  <r>
    <n v="69691816"/>
    <x v="16"/>
    <n v="8588"/>
    <d v="2023-05-11T00:00:00"/>
    <x v="139"/>
    <x v="21"/>
    <n v="3.7839999999999996E-3"/>
    <n v="32.496991999999999"/>
    <s v="TA"/>
    <x v="4"/>
    <x v="10"/>
    <s v="Q2"/>
    <n v="255"/>
    <n v="33.678431372549021"/>
    <s v="TALENTI"/>
    <n v="1"/>
    <n v="8588"/>
    <n v="32.496991999999999"/>
    <n v="33.678431372549021"/>
  </r>
  <r>
    <n v="69706133"/>
    <x v="16"/>
    <n v="11505"/>
    <d v="2023-05-11T00:00:00"/>
    <x v="229"/>
    <x v="31"/>
    <n v="3.8999999999999998E-3"/>
    <n v="44.869499999999995"/>
    <s v="TA"/>
    <x v="4"/>
    <x v="42"/>
    <s v="Q2"/>
    <n v="176"/>
    <n v="65.369318181818187"/>
    <s v="TAL NV"/>
    <n v="1"/>
    <n v="11505"/>
    <n v="44.869499999999995"/>
    <n v="65.369318181818187"/>
  </r>
  <r>
    <n v="84135718"/>
    <x v="17"/>
    <n v="9462"/>
    <d v="2023-05-11T00:00:00"/>
    <x v="147"/>
    <x v="35"/>
    <n v="3.7853439999999999E-3"/>
    <n v="35.816924927999999"/>
    <s v="BJ"/>
    <x v="4"/>
    <x v="15"/>
    <s v="Q2"/>
    <n v="240"/>
    <n v="39.424999999999997"/>
    <s v="BJ PTS"/>
    <n v="1"/>
    <n v="9462"/>
    <n v="35.816924927999999"/>
    <n v="39.424999999999997"/>
  </r>
  <r>
    <n v="68409142"/>
    <x v="17"/>
    <n v="32439"/>
    <d v="2023-05-11T00:00:00"/>
    <x v="60"/>
    <x v="35"/>
    <n v="1.419504E-3"/>
    <n v="46.047290256000004"/>
    <s v="BJ"/>
    <x v="4"/>
    <x v="25"/>
    <s v="Q2"/>
    <n v="510"/>
    <n v="63.60588235294118"/>
    <s v="B&amp;J Dog Treat"/>
    <n v="1"/>
    <n v="32439"/>
    <n v="46.047290256000004"/>
    <n v="63.60588235294118"/>
  </r>
  <r>
    <n v="68863006"/>
    <x v="20"/>
    <n v="6509"/>
    <d v="2023-05-11T00:00:00"/>
    <x v="179"/>
    <x v="0"/>
    <n v="1.8959999999999999E-3"/>
    <n v="12.341063999999999"/>
    <s v="BJ"/>
    <x v="4"/>
    <x v="48"/>
    <s v="Q2"/>
    <n v="272"/>
    <n v="23.930147058823529"/>
    <s v="Dough Bites"/>
    <n v="1"/>
    <n v="6509"/>
    <n v="12.341063999999999"/>
    <n v="23.930147058823529"/>
  </r>
  <r>
    <n v="68919013"/>
    <x v="19"/>
    <n v="16529"/>
    <d v="2023-05-11T00:00:00"/>
    <x v="158"/>
    <x v="0"/>
    <n v="3.0280000000000001E-2"/>
    <n v="500.49812000000003"/>
    <s v="BR"/>
    <x v="4"/>
    <x v="38"/>
    <s v="Q2"/>
    <n v="240"/>
    <n v="68.870833333333337"/>
    <s v="PTS"/>
    <n v="1"/>
    <n v="16529"/>
    <n v="500.49812000000003"/>
    <n v="68.870833333333337"/>
  </r>
  <r>
    <n v="68521425"/>
    <x v="19"/>
    <n v="24100"/>
    <d v="2023-05-11T00:00:00"/>
    <x v="0"/>
    <x v="0"/>
    <n v="4.248E-3"/>
    <n v="102.3768"/>
    <s v="GH"/>
    <x v="4"/>
    <x v="0"/>
    <s v="Q2"/>
    <n v="216"/>
    <n v="111.57407407407408"/>
    <s v="Giant SW"/>
    <n v="1"/>
    <n v="24100"/>
    <n v="102.3768"/>
    <n v="111.57407407407408"/>
  </r>
  <r>
    <n v="68919011"/>
    <x v="19"/>
    <n v="25804"/>
    <d v="2023-05-11T00:00:00"/>
    <x v="247"/>
    <x v="0"/>
    <n v="3.7839999999999996E-3"/>
    <n v="97.642335999999986"/>
    <s v="BR"/>
    <x v="4"/>
    <x v="38"/>
    <s v="Q2"/>
    <n v="240"/>
    <n v="107.51666666666667"/>
    <s v="PTS"/>
    <n v="1"/>
    <n v="25804"/>
    <n v="97.642335999999986"/>
    <n v="107.51666666666667"/>
  </r>
  <r>
    <n v="67465063"/>
    <x v="15"/>
    <n v="667"/>
    <d v="2023-05-12T00:00:00"/>
    <x v="3"/>
    <x v="40"/>
    <n v="5.2680000000000001E-3"/>
    <n v="3.5137559999999999"/>
    <s v="PS"/>
    <x v="4"/>
    <x v="3"/>
    <s v="Q2"/>
    <n v="130"/>
    <n v="5.1307692307692312"/>
    <s v="PG"/>
    <n v="1"/>
    <n v="667"/>
    <n v="3.5137559999999999"/>
    <n v="5.1307692307692312"/>
  </r>
  <r>
    <n v="67466462"/>
    <x v="15"/>
    <n v="4095"/>
    <d v="2023-05-12T00:00:00"/>
    <x v="29"/>
    <x v="6"/>
    <n v="5.2680000000000001E-3"/>
    <n v="21.57246"/>
    <s v="PS"/>
    <x v="4"/>
    <x v="3"/>
    <s v="Q2"/>
    <n v="130"/>
    <n v="31.5"/>
    <s v="PG"/>
    <n v="1"/>
    <n v="4095"/>
    <n v="21.57246"/>
    <n v="31.5"/>
  </r>
  <r>
    <n v="67476560"/>
    <x v="15"/>
    <n v="2592"/>
    <d v="2023-05-12T00:00:00"/>
    <x v="10"/>
    <x v="10"/>
    <n v="5.1060000000000003E-3"/>
    <n v="13.234752"/>
    <s v="PS"/>
    <x v="4"/>
    <x v="3"/>
    <s v="Q2"/>
    <n v="130"/>
    <n v="19.938461538461539"/>
    <s v="PG"/>
    <n v="1"/>
    <n v="2592"/>
    <n v="13.234752"/>
    <n v="19.938461538461539"/>
  </r>
  <r>
    <n v="67885718"/>
    <x v="15"/>
    <n v="13257"/>
    <d v="2023-05-12T00:00:00"/>
    <x v="48"/>
    <x v="16"/>
    <n v="8.5199999999999998E-3"/>
    <n v="112.94964"/>
    <s v="BR"/>
    <x v="4"/>
    <x v="6"/>
    <s v="Q2"/>
    <n v="154"/>
    <n v="86.084415584415581"/>
    <s v="48oz"/>
    <n v="1"/>
    <n v="13257"/>
    <n v="112.94964"/>
    <n v="86.084415584415581"/>
  </r>
  <r>
    <n v="68188183"/>
    <x v="15"/>
    <n v="683"/>
    <d v="2023-05-12T00:00:00"/>
    <x v="70"/>
    <x v="9"/>
    <n v="3.8340000000000002E-3"/>
    <n v="2.6186220000000002"/>
    <s v="PS"/>
    <x v="4"/>
    <x v="3"/>
    <s v="Q2"/>
    <n v="130"/>
    <n v="5.2538461538461538"/>
    <s v="PG"/>
    <n v="1"/>
    <n v="683"/>
    <n v="2.6186220000000002"/>
    <n v="5.2538461538461538"/>
  </r>
  <r>
    <n v="68899826"/>
    <x v="15"/>
    <n v="4373"/>
    <d v="2023-05-12T00:00:00"/>
    <x v="129"/>
    <x v="12"/>
    <n v="8.5199999999999998E-3"/>
    <n v="37.257959999999997"/>
    <s v="BR"/>
    <x v="4"/>
    <x v="6"/>
    <s v="Q2"/>
    <n v="176"/>
    <n v="24.84659090909091"/>
    <s v="48oz"/>
    <n v="1"/>
    <n v="4373"/>
    <n v="37.257959999999997"/>
    <n v="24.84659090909091"/>
  </r>
  <r>
    <n v="67309841"/>
    <x v="16"/>
    <n v="0"/>
    <d v="2023-05-12T00:00:00"/>
    <x v="32"/>
    <x v="13"/>
    <n v="8.5199999999999998E-3"/>
    <n v="0"/>
    <s v="BR"/>
    <x v="4"/>
    <x v="2"/>
    <s v="Q2"/>
    <n v="154"/>
    <n v="0"/>
    <s v="48oz"/>
    <n v="1"/>
    <n v="0"/>
    <n v="0"/>
    <n v="0"/>
  </r>
  <r>
    <n v="67309843"/>
    <x v="16"/>
    <n v="0"/>
    <d v="2023-05-12T00:00:00"/>
    <x v="88"/>
    <x v="32"/>
    <n v="8.5199999999999998E-3"/>
    <n v="0"/>
    <s v="BR"/>
    <x v="4"/>
    <x v="2"/>
    <s v="Q2"/>
    <n v="154"/>
    <n v="0"/>
    <s v="48oz"/>
    <n v="1"/>
    <n v="0"/>
    <n v="0"/>
    <n v="0"/>
  </r>
  <r>
    <n v="68410355"/>
    <x v="16"/>
    <n v="0"/>
    <d v="2023-05-12T00:00:00"/>
    <x v="345"/>
    <x v="14"/>
    <n v="1.98E-3"/>
    <n v="0"/>
    <s v="MG"/>
    <x v="4"/>
    <x v="5"/>
    <s v="Q2"/>
    <n v="176"/>
    <n v="0"/>
    <s v="MG Sticks"/>
    <n v="1"/>
    <n v="0"/>
    <n v="0"/>
    <n v="0"/>
  </r>
  <r>
    <n v="68650199"/>
    <x v="16"/>
    <n v="0"/>
    <d v="2023-05-12T00:00:00"/>
    <x v="348"/>
    <x v="5"/>
    <n v="1.0200000000000001E-3"/>
    <n v="0"/>
    <s v="MG"/>
    <x v="4"/>
    <x v="5"/>
    <s v="Q2"/>
    <n v="493"/>
    <n v="0"/>
    <s v="MG Sticks"/>
    <n v="1"/>
    <n v="0"/>
    <n v="0"/>
    <n v="0"/>
  </r>
  <r>
    <n v="68729634"/>
    <x v="16"/>
    <n v="1265"/>
    <d v="2023-05-12T00:00:00"/>
    <x v="92"/>
    <x v="22"/>
    <n v="3.7853439999999999E-3"/>
    <n v="4.7884601599999996"/>
    <s v="TA"/>
    <x v="4"/>
    <x v="10"/>
    <s v="Q2"/>
    <n v="255"/>
    <n v="4.9607843137254903"/>
    <s v="TALENTI"/>
    <n v="1"/>
    <n v="1265"/>
    <n v="4.7884601599999996"/>
    <n v="4.9607843137254903"/>
  </r>
  <r>
    <n v="68729634"/>
    <x v="16"/>
    <n v="13533"/>
    <d v="2023-05-12T00:00:00"/>
    <x v="92"/>
    <x v="22"/>
    <n v="3.7853439999999999E-3"/>
    <n v="51.227060352000002"/>
    <s v="TA"/>
    <x v="4"/>
    <x v="10"/>
    <s v="Q2"/>
    <n v="255"/>
    <n v="53.070588235294117"/>
    <s v="TALENTI"/>
    <n v="1"/>
    <n v="13533"/>
    <n v="51.227060352000002"/>
    <n v="53.070588235294117"/>
  </r>
  <r>
    <n v="68817801"/>
    <x v="16"/>
    <n v="0"/>
    <d v="2023-05-12T00:00:00"/>
    <x v="183"/>
    <x v="2"/>
    <n v="8.4600000000000005E-3"/>
    <n v="0"/>
    <s v="BR"/>
    <x v="4"/>
    <x v="2"/>
    <s v="Q2"/>
    <n v="176"/>
    <n v="0"/>
    <s v="48oz"/>
    <n v="1"/>
    <n v="0"/>
    <n v="0"/>
    <n v="0"/>
  </r>
  <r>
    <n v="84141102"/>
    <x v="18"/>
    <n v="59882"/>
    <d v="2023-05-12T00:00:00"/>
    <x v="217"/>
    <x v="38"/>
    <n v="3.7853439999999999E-3"/>
    <n v="226.673969408"/>
    <s v="BJ"/>
    <x v="4"/>
    <x v="36"/>
    <s v="Q2"/>
    <n v="240"/>
    <n v="249.50833333333333"/>
    <s v="BJ PTS"/>
    <n v="1"/>
    <n v="59882"/>
    <n v="226.673969408"/>
    <n v="249.50833333333333"/>
  </r>
  <r>
    <n v="84141102"/>
    <x v="18"/>
    <n v="39281"/>
    <d v="2023-05-12T00:00:00"/>
    <x v="217"/>
    <x v="38"/>
    <n v="3.7853439999999999E-3"/>
    <n v="148.69209766399999"/>
    <s v="BJ"/>
    <x v="4"/>
    <x v="36"/>
    <s v="Q2"/>
    <n v="240"/>
    <n v="163.67083333333332"/>
    <s v="BJ PTS"/>
    <n v="1"/>
    <n v="39281"/>
    <n v="148.69209766399999"/>
    <n v="163.67083333333332"/>
  </r>
  <r>
    <n v="84141101"/>
    <x v="17"/>
    <n v="38640"/>
    <d v="2023-05-12T00:00:00"/>
    <x v="86"/>
    <x v="33"/>
    <n v="3.7853439999999999E-3"/>
    <n v="146.26569215999999"/>
    <s v="BJ"/>
    <x v="4"/>
    <x v="15"/>
    <s v="Q2"/>
    <n v="240"/>
    <n v="161"/>
    <s v="BJ PTS"/>
    <n v="1"/>
    <n v="38640"/>
    <n v="146.26569215999999"/>
    <n v="161"/>
  </r>
  <r>
    <n v="67309864"/>
    <x v="15"/>
    <n v="6122"/>
    <d v="2023-05-12T00:00:00"/>
    <x v="63"/>
    <x v="11"/>
    <n v="8.5199999999999998E-3"/>
    <n v="52.159439999999996"/>
    <s v="BR"/>
    <x v="4"/>
    <x v="6"/>
    <s v="Q2"/>
    <n v="154"/>
    <n v="39.753246753246756"/>
    <s v="48oz"/>
    <n v="1"/>
    <n v="6122"/>
    <n v="52.159439999999996"/>
    <n v="39.753246753246756"/>
  </r>
  <r>
    <n v="67465063"/>
    <x v="15"/>
    <n v="3106"/>
    <d v="2023-05-12T00:00:00"/>
    <x v="3"/>
    <x v="7"/>
    <n v="5.2680000000000001E-3"/>
    <n v="16.362408000000002"/>
    <s v="PS"/>
    <x v="4"/>
    <x v="3"/>
    <s v="Q2"/>
    <n v="130"/>
    <n v="23.892307692307693"/>
    <s v="PG"/>
    <n v="1"/>
    <n v="3106"/>
    <n v="16.362408000000002"/>
    <n v="23.892307692307693"/>
  </r>
  <r>
    <n v="67465064"/>
    <x v="15"/>
    <n v="3335"/>
    <d v="2023-05-12T00:00:00"/>
    <x v="7"/>
    <x v="3"/>
    <n v="1.596E-3"/>
    <n v="5.3226599999999999"/>
    <s v="PS"/>
    <x v="4"/>
    <x v="3"/>
    <s v="Q2"/>
    <n v="130"/>
    <n v="25.653846153846153"/>
    <s v="PG"/>
    <n v="1"/>
    <n v="3335"/>
    <n v="5.3226599999999999"/>
    <n v="25.653846153846153"/>
  </r>
  <r>
    <n v="67466492"/>
    <x v="15"/>
    <n v="5225"/>
    <d v="2023-05-12T00:00:00"/>
    <x v="8"/>
    <x v="8"/>
    <n v="5.2680000000000001E-3"/>
    <n v="27.525300000000001"/>
    <s v="PS"/>
    <x v="4"/>
    <x v="3"/>
    <s v="Q2"/>
    <n v="130"/>
    <n v="40.192307692307693"/>
    <s v="PG"/>
    <n v="1"/>
    <n v="5225"/>
    <n v="27.525300000000001"/>
    <n v="40.192307692307693"/>
  </r>
  <r>
    <n v="67723726"/>
    <x v="15"/>
    <n v="13649"/>
    <d v="2023-05-12T00:00:00"/>
    <x v="109"/>
    <x v="23"/>
    <n v="8.5199999999999998E-3"/>
    <n v="116.28948"/>
    <s v="BR"/>
    <x v="4"/>
    <x v="6"/>
    <s v="Q2"/>
    <n v="154"/>
    <n v="88.629870129870127"/>
    <s v="48oz"/>
    <n v="1"/>
    <n v="13649"/>
    <n v="116.28948"/>
    <n v="88.629870129870127"/>
  </r>
  <r>
    <n v="69671652"/>
    <x v="15"/>
    <n v="6845"/>
    <d v="2023-05-12T00:00:00"/>
    <x v="197"/>
    <x v="24"/>
    <n v="2.8319999999999999E-3"/>
    <n v="19.38504"/>
    <s v="GH"/>
    <x v="4"/>
    <x v="4"/>
    <s v="Q2"/>
    <n v="225"/>
    <n v="30.422222222222221"/>
    <s v="MBG"/>
    <n v="1"/>
    <n v="6845"/>
    <n v="19.38504"/>
    <n v="30.422222222222221"/>
  </r>
  <r>
    <n v="69551489"/>
    <x v="15"/>
    <n v="4270"/>
    <d v="2023-05-12T00:00:00"/>
    <x v="338"/>
    <x v="4"/>
    <n v="3.8989043190215313E-3"/>
    <n v="16.648321442221938"/>
    <s v="GH"/>
    <x v="4"/>
    <x v="4"/>
    <s v="Q2"/>
    <n v="154"/>
    <n v="27.727272727272727"/>
    <s v="MBG"/>
    <n v="1"/>
    <n v="4270"/>
    <n v="16.648321442221938"/>
    <n v="27.727272727272727"/>
  </r>
  <r>
    <n v="67901593"/>
    <x v="16"/>
    <n v="16297"/>
    <d v="2023-05-12T00:00:00"/>
    <x v="68"/>
    <x v="32"/>
    <n v="8.5199999999999998E-3"/>
    <n v="138.85043999999999"/>
    <s v="BR"/>
    <x v="4"/>
    <x v="2"/>
    <s v="Q2"/>
    <n v="154"/>
    <n v="105.82467532467533"/>
    <s v="48oz"/>
    <n v="1"/>
    <n v="16297"/>
    <n v="138.85043999999999"/>
    <n v="105.82467532467533"/>
  </r>
  <r>
    <n v="68729634"/>
    <x v="16"/>
    <n v="13192"/>
    <d v="2023-05-12T00:00:00"/>
    <x v="92"/>
    <x v="22"/>
    <n v="3.7853439999999999E-3"/>
    <n v="49.936258047999999"/>
    <s v="TA"/>
    <x v="4"/>
    <x v="10"/>
    <s v="Q2"/>
    <n v="255"/>
    <n v="51.733333333333334"/>
    <s v="TALENTI"/>
    <n v="1"/>
    <n v="13192"/>
    <n v="49.936258047999999"/>
    <n v="51.733333333333334"/>
  </r>
  <r>
    <n v="68741742"/>
    <x v="16"/>
    <n v="2707"/>
    <d v="2023-05-12T00:00:00"/>
    <x v="25"/>
    <x v="25"/>
    <n v="4.2560000000000002E-3"/>
    <n v="11.520992000000001"/>
    <s v="GH"/>
    <x v="4"/>
    <x v="11"/>
    <s v="Q2"/>
    <n v="154"/>
    <n v="17.577922077922079"/>
    <s v="MBG"/>
    <n v="1"/>
    <n v="2707"/>
    <n v="11.520992000000001"/>
    <n v="17.577922077922079"/>
  </r>
  <r>
    <n v="68764900"/>
    <x v="16"/>
    <n v="9199"/>
    <d v="2023-05-12T00:00:00"/>
    <x v="295"/>
    <x v="13"/>
    <n v="8.5199999999999998E-3"/>
    <n v="78.375479999999996"/>
    <s v="BR"/>
    <x v="4"/>
    <x v="2"/>
    <s v="Q2"/>
    <n v="176"/>
    <n v="52.267045454545453"/>
    <s v="48oz"/>
    <n v="1"/>
    <n v="9199"/>
    <n v="78.375479999999996"/>
    <n v="52.267045454545453"/>
  </r>
  <r>
    <n v="68817801"/>
    <x v="16"/>
    <n v="13095"/>
    <d v="2023-05-12T00:00:00"/>
    <x v="183"/>
    <x v="2"/>
    <n v="8.4600000000000005E-3"/>
    <n v="110.78370000000001"/>
    <s v="BR"/>
    <x v="4"/>
    <x v="2"/>
    <s v="Q2"/>
    <n v="176"/>
    <n v="74.403409090909093"/>
    <s v="48oz"/>
    <n v="1"/>
    <n v="13095"/>
    <n v="110.78370000000001"/>
    <n v="74.403409090909093"/>
  </r>
  <r>
    <n v="68938272"/>
    <x v="16"/>
    <n v="14244"/>
    <d v="2023-05-12T00:00:00"/>
    <x v="293"/>
    <x v="15"/>
    <n v="3.5999999999999999E-3"/>
    <n v="51.278399999999998"/>
    <s v="BJ"/>
    <x v="4"/>
    <x v="19"/>
    <s v="Q2"/>
    <n v="240"/>
    <n v="59.35"/>
    <s v="TOPPED"/>
    <n v="1"/>
    <n v="14244"/>
    <n v="51.278399999999998"/>
    <n v="59.35"/>
  </r>
  <r>
    <n v="69571484"/>
    <x v="16"/>
    <n v="18199"/>
    <d v="2023-05-12T00:00:00"/>
    <x v="230"/>
    <x v="5"/>
    <n v="1.2960000000000001E-2"/>
    <n v="235.85904000000002"/>
    <s v="MG"/>
    <x v="4"/>
    <x v="5"/>
    <s v="Q2"/>
    <n v="493"/>
    <n v="36.914807302231239"/>
    <s v="MG Sticks"/>
    <n v="1"/>
    <n v="18199"/>
    <n v="235.85904000000002"/>
    <n v="36.914807302231239"/>
  </r>
  <r>
    <n v="69572544"/>
    <x v="16"/>
    <n v="4157"/>
    <d v="2023-05-12T00:00:00"/>
    <x v="171"/>
    <x v="14"/>
    <n v="1.9740000000000001E-3"/>
    <n v="8.2059180000000005"/>
    <s v="MG"/>
    <x v="4"/>
    <x v="5"/>
    <s v="Q2"/>
    <n v="176"/>
    <n v="23.619318181818183"/>
    <s v="MG Sticks"/>
    <n v="1"/>
    <n v="4157"/>
    <n v="8.2059180000000005"/>
    <n v="23.619318181818183"/>
  </r>
  <r>
    <n v="69621212"/>
    <x v="16"/>
    <n v="6398"/>
    <d v="2023-05-12T00:00:00"/>
    <x v="29"/>
    <x v="28"/>
    <n v="5.2680000000000001E-3"/>
    <n v="33.704664000000001"/>
    <s v="PG"/>
    <x v="4"/>
    <x v="14"/>
    <s v="Q2"/>
    <n v="130"/>
    <n v="49.215384615384615"/>
    <s v="PG"/>
    <n v="1"/>
    <n v="6398"/>
    <n v="33.704664000000001"/>
    <n v="49.215384615384615"/>
  </r>
  <r>
    <n v="69677917"/>
    <x v="16"/>
    <n v="2361"/>
    <d v="2023-05-12T00:00:00"/>
    <x v="30"/>
    <x v="30"/>
    <n v="5.2680000000000001E-3"/>
    <n v="12.437748000000001"/>
    <s v="PS"/>
    <x v="4"/>
    <x v="14"/>
    <s v="Q2"/>
    <n v="108"/>
    <n v="21.861111111111111"/>
    <s v="PG"/>
    <n v="1"/>
    <n v="2361"/>
    <n v="12.437748000000001"/>
    <n v="21.861111111111111"/>
  </r>
  <r>
    <n v="69691816"/>
    <x v="16"/>
    <n v="37583"/>
    <d v="2023-05-12T00:00:00"/>
    <x v="139"/>
    <x v="21"/>
    <n v="3.7839999999999996E-3"/>
    <n v="142.21407199999999"/>
    <s v="TA"/>
    <x v="4"/>
    <x v="10"/>
    <s v="Q2"/>
    <n v="255"/>
    <n v="147.38431372549019"/>
    <s v="TALENTI"/>
    <n v="1"/>
    <n v="37583"/>
    <n v="142.21407199999999"/>
    <n v="147.38431372549019"/>
  </r>
  <r>
    <n v="69706133"/>
    <x v="16"/>
    <n v="6336"/>
    <d v="2023-05-12T00:00:00"/>
    <x v="229"/>
    <x v="31"/>
    <n v="3.8999999999999998E-3"/>
    <n v="24.7104"/>
    <s v="TA"/>
    <x v="4"/>
    <x v="42"/>
    <s v="Q2"/>
    <n v="176"/>
    <n v="36"/>
    <s v="TAL NV"/>
    <n v="1"/>
    <n v="6336"/>
    <n v="24.7104"/>
    <n v="36"/>
  </r>
  <r>
    <n v="84135718"/>
    <x v="18"/>
    <n v="68248"/>
    <d v="2023-05-12T00:00:00"/>
    <x v="147"/>
    <x v="38"/>
    <n v="3.7853439999999999E-3"/>
    <n v="258.34215731199998"/>
    <s v="BJ"/>
    <x v="4"/>
    <x v="36"/>
    <s v="Q2"/>
    <n v="240"/>
    <n v="284.36666666666667"/>
    <s v="BJ PTS"/>
    <n v="1"/>
    <n v="68248"/>
    <n v="258.34215731199998"/>
    <n v="284.36666666666667"/>
  </r>
  <r>
    <n v="67789313"/>
    <x v="17"/>
    <n v="35133"/>
    <d v="2023-05-12T00:00:00"/>
    <x v="169"/>
    <x v="35"/>
    <n v="3.7853439999999999E-3"/>
    <n v="132.990490752"/>
    <s v="BJ"/>
    <x v="4"/>
    <x v="15"/>
    <s v="Q2"/>
    <n v="240"/>
    <n v="146.38749999999999"/>
    <s v="BJ PTS"/>
    <n v="1"/>
    <n v="35133"/>
    <n v="132.990490752"/>
    <n v="146.38749999999999"/>
  </r>
  <r>
    <n v="67466462"/>
    <x v="15"/>
    <n v="5242"/>
    <d v="2023-05-13T00:00:00"/>
    <x v="29"/>
    <x v="6"/>
    <n v="5.2680000000000001E-3"/>
    <n v="27.614856"/>
    <s v="PS"/>
    <x v="4"/>
    <x v="3"/>
    <s v="Q2"/>
    <n v="130"/>
    <n v="40.323076923076925"/>
    <s v="PG"/>
    <n v="1"/>
    <n v="5242"/>
    <n v="27.614856"/>
    <n v="40.323076923076925"/>
  </r>
  <r>
    <n v="69551489"/>
    <x v="15"/>
    <n v="5117"/>
    <d v="2023-05-13T00:00:00"/>
    <x v="338"/>
    <x v="4"/>
    <n v="3.8989043190215313E-3"/>
    <n v="19.950693400433178"/>
    <s v="GH"/>
    <x v="4"/>
    <x v="4"/>
    <s v="Q2"/>
    <n v="154"/>
    <n v="33.227272727272727"/>
    <s v="MBG"/>
    <n v="1"/>
    <n v="5117"/>
    <n v="19.950693400433178"/>
    <n v="33.227272727272727"/>
  </r>
  <r>
    <n v="67309841"/>
    <x v="16"/>
    <n v="0"/>
    <d v="2023-05-13T00:00:00"/>
    <x v="32"/>
    <x v="13"/>
    <n v="8.5199999999999998E-3"/>
    <n v="0"/>
    <s v="BR"/>
    <x v="4"/>
    <x v="2"/>
    <s v="Q2"/>
    <n v="154"/>
    <n v="0"/>
    <s v="48oz"/>
    <n v="1"/>
    <n v="0"/>
    <n v="0"/>
    <n v="0"/>
  </r>
  <r>
    <n v="69572544"/>
    <x v="16"/>
    <n v="0"/>
    <d v="2023-05-13T00:00:00"/>
    <x v="171"/>
    <x v="14"/>
    <n v="1.9740000000000001E-3"/>
    <n v="0"/>
    <s v="MG"/>
    <x v="4"/>
    <x v="5"/>
    <s v="Q2"/>
    <n v="176"/>
    <n v="0"/>
    <s v="MG Sticks"/>
    <n v="1"/>
    <n v="0"/>
    <n v="0"/>
    <n v="0"/>
  </r>
  <r>
    <n v="69691816"/>
    <x v="16"/>
    <n v="0"/>
    <d v="2023-05-13T00:00:00"/>
    <x v="139"/>
    <x v="21"/>
    <n v="3.7839999999999996E-3"/>
    <n v="0"/>
    <s v="TA"/>
    <x v="4"/>
    <x v="10"/>
    <s v="Q2"/>
    <n v="255"/>
    <n v="0"/>
    <s v="TALENTI"/>
    <n v="1"/>
    <n v="0"/>
    <n v="0"/>
    <n v="0"/>
  </r>
  <r>
    <n v="67465064"/>
    <x v="15"/>
    <n v="1855"/>
    <d v="2023-05-13T00:00:00"/>
    <x v="7"/>
    <x v="3"/>
    <n v="1.596E-3"/>
    <n v="2.9605799999999998"/>
    <s v="PS"/>
    <x v="4"/>
    <x v="3"/>
    <s v="Q2"/>
    <n v="130"/>
    <n v="14.26923076923077"/>
    <s v="PG"/>
    <n v="1"/>
    <n v="1855"/>
    <n v="2.9605799999999998"/>
    <n v="14.26923076923077"/>
  </r>
  <r>
    <n v="67466492"/>
    <x v="15"/>
    <n v="4223"/>
    <d v="2023-05-13T00:00:00"/>
    <x v="8"/>
    <x v="8"/>
    <n v="5.2680000000000001E-3"/>
    <n v="22.246763999999999"/>
    <s v="PS"/>
    <x v="4"/>
    <x v="3"/>
    <s v="Q2"/>
    <n v="130"/>
    <n v="32.484615384615381"/>
    <s v="PG"/>
    <n v="1"/>
    <n v="4223"/>
    <n v="22.246763999999999"/>
    <n v="32.484615384615381"/>
  </r>
  <r>
    <n v="67723726"/>
    <x v="15"/>
    <n v="13766"/>
    <d v="2023-05-13T00:00:00"/>
    <x v="109"/>
    <x v="23"/>
    <n v="8.5199999999999998E-3"/>
    <n v="117.28632"/>
    <s v="BR"/>
    <x v="4"/>
    <x v="6"/>
    <s v="Q2"/>
    <n v="154"/>
    <n v="89.389610389610397"/>
    <s v="48oz"/>
    <n v="1"/>
    <n v="13766"/>
    <n v="117.28632"/>
    <n v="89.389610389610397"/>
  </r>
  <r>
    <n v="67885718"/>
    <x v="15"/>
    <n v="10724"/>
    <d v="2023-05-13T00:00:00"/>
    <x v="48"/>
    <x v="16"/>
    <n v="8.5199999999999998E-3"/>
    <n v="91.368479999999991"/>
    <s v="BR"/>
    <x v="4"/>
    <x v="6"/>
    <s v="Q2"/>
    <n v="154"/>
    <n v="69.63636363636364"/>
    <s v="48oz"/>
    <n v="1"/>
    <n v="10724"/>
    <n v="91.368479999999991"/>
    <n v="69.63636363636364"/>
  </r>
  <r>
    <n v="69671652"/>
    <x v="15"/>
    <n v="4210"/>
    <d v="2023-05-13T00:00:00"/>
    <x v="197"/>
    <x v="24"/>
    <n v="2.8319999999999999E-3"/>
    <n v="11.92272"/>
    <s v="GH"/>
    <x v="4"/>
    <x v="4"/>
    <s v="Q2"/>
    <n v="225"/>
    <n v="18.711111111111112"/>
    <s v="MBG"/>
    <n v="1"/>
    <n v="4210"/>
    <n v="11.92272"/>
    <n v="18.711111111111112"/>
  </r>
  <r>
    <n v="67309843"/>
    <x v="16"/>
    <n v="17402"/>
    <d v="2023-05-13T00:00:00"/>
    <x v="88"/>
    <x v="32"/>
    <n v="8.5199999999999998E-3"/>
    <n v="148.26504"/>
    <s v="BR"/>
    <x v="4"/>
    <x v="2"/>
    <s v="Q2"/>
    <n v="154"/>
    <n v="113"/>
    <s v="48oz"/>
    <n v="1"/>
    <n v="17402"/>
    <n v="148.26504"/>
    <n v="113"/>
  </r>
  <r>
    <n v="68650199"/>
    <x v="16"/>
    <n v="6244"/>
    <d v="2023-05-13T00:00:00"/>
    <x v="348"/>
    <x v="5"/>
    <n v="1.0200000000000001E-3"/>
    <n v="6.3688800000000008"/>
    <s v="MG"/>
    <x v="4"/>
    <x v="5"/>
    <s v="Q2"/>
    <n v="493"/>
    <n v="12.665314401622718"/>
    <s v="MG Sticks"/>
    <n v="1"/>
    <n v="6244"/>
    <n v="6.3688800000000008"/>
    <n v="12.665314401622718"/>
  </r>
  <r>
    <n v="68764900"/>
    <x v="16"/>
    <n v="7533"/>
    <d v="2023-05-13T00:00:00"/>
    <x v="295"/>
    <x v="13"/>
    <n v="8.5199999999999998E-3"/>
    <n v="64.181160000000006"/>
    <s v="BR"/>
    <x v="4"/>
    <x v="2"/>
    <s v="Q2"/>
    <n v="176"/>
    <n v="42.801136363636367"/>
    <s v="48oz"/>
    <n v="1"/>
    <n v="7533"/>
    <n v="64.181160000000006"/>
    <n v="42.801136363636367"/>
  </r>
  <r>
    <n v="68817801"/>
    <x v="16"/>
    <n v="7391"/>
    <d v="2023-05-13T00:00:00"/>
    <x v="183"/>
    <x v="2"/>
    <n v="8.4600000000000005E-3"/>
    <n v="62.527860000000004"/>
    <s v="BR"/>
    <x v="4"/>
    <x v="2"/>
    <s v="Q2"/>
    <n v="176"/>
    <n v="41.99431818181818"/>
    <s v="48oz"/>
    <n v="1"/>
    <n v="7391"/>
    <n v="62.527860000000004"/>
    <n v="41.99431818181818"/>
  </r>
  <r>
    <n v="69568829"/>
    <x v="16"/>
    <n v="4980"/>
    <d v="2023-05-13T00:00:00"/>
    <x v="66"/>
    <x v="2"/>
    <n v="8.5199999999999998E-3"/>
    <n v="42.429600000000001"/>
    <s v="BR"/>
    <x v="4"/>
    <x v="2"/>
    <s v="Q2"/>
    <n v="176"/>
    <n v="28.295454545454547"/>
    <s v="48oz"/>
    <n v="1"/>
    <n v="4980"/>
    <n v="42.429600000000001"/>
    <n v="28.295454545454547"/>
  </r>
  <r>
    <n v="69571484"/>
    <x v="16"/>
    <n v="870"/>
    <d v="2023-05-13T00:00:00"/>
    <x v="230"/>
    <x v="5"/>
    <n v="1.2960000000000001E-2"/>
    <n v="11.275200000000002"/>
    <s v="MG"/>
    <x v="4"/>
    <x v="5"/>
    <s v="Q2"/>
    <n v="493"/>
    <n v="1.7647058823529411"/>
    <s v="MG Sticks"/>
    <n v="1"/>
    <n v="870"/>
    <n v="11.275200000000002"/>
    <n v="1.7647058823529411"/>
  </r>
  <r>
    <n v="69596585"/>
    <x v="16"/>
    <n v="0"/>
    <d v="2023-05-13T00:00:00"/>
    <x v="348"/>
    <x v="5"/>
    <n v="1.0200000000000001E-3"/>
    <n v="0"/>
    <s v="MG"/>
    <x v="4"/>
    <x v="5"/>
    <s v="Q2"/>
    <n v="493"/>
    <n v="0"/>
    <s v="MG Sticks"/>
    <n v="1"/>
    <n v="0"/>
    <n v="0"/>
    <n v="0"/>
  </r>
  <r>
    <n v="69621212"/>
    <x v="16"/>
    <n v="6402"/>
    <d v="2023-05-13T00:00:00"/>
    <x v="29"/>
    <x v="28"/>
    <n v="5.2680000000000001E-3"/>
    <n v="33.725735999999998"/>
    <s v="PG"/>
    <x v="4"/>
    <x v="14"/>
    <s v="Q2"/>
    <n v="130"/>
    <n v="49.246153846153845"/>
    <s v="PG"/>
    <n v="1"/>
    <n v="6402"/>
    <n v="33.725735999999998"/>
    <n v="49.246153846153845"/>
  </r>
  <r>
    <n v="69677917"/>
    <x v="16"/>
    <n v="4030"/>
    <d v="2023-05-13T00:00:00"/>
    <x v="30"/>
    <x v="30"/>
    <n v="5.2680000000000001E-3"/>
    <n v="21.230039999999999"/>
    <s v="PS"/>
    <x v="4"/>
    <x v="14"/>
    <s v="Q2"/>
    <n v="108"/>
    <n v="37.314814814814817"/>
    <s v="PG"/>
    <n v="1"/>
    <n v="4030"/>
    <n v="21.230039999999999"/>
    <n v="37.314814814814817"/>
  </r>
  <r>
    <n v="68741742"/>
    <x v="16"/>
    <n v="873"/>
    <d v="2023-05-13T00:00:00"/>
    <x v="25"/>
    <x v="25"/>
    <n v="4.2560000000000002E-3"/>
    <n v="3.7154880000000001"/>
    <s v="GH"/>
    <x v="4"/>
    <x v="11"/>
    <s v="Q2"/>
    <n v="154"/>
    <n v="5.6688311688311686"/>
    <s v="MBG"/>
    <n v="1"/>
    <n v="873"/>
    <n v="3.7154880000000001"/>
    <n v="5.6688311688311686"/>
  </r>
  <r>
    <n v="68922011"/>
    <x v="16"/>
    <n v="510"/>
    <d v="2023-05-13T00:00:00"/>
    <x v="261"/>
    <x v="22"/>
    <n v="3.7853440000000004E-3"/>
    <n v="1.9305254400000003"/>
    <s v="TA"/>
    <x v="4"/>
    <x v="10"/>
    <s v="Q2"/>
    <n v="255"/>
    <n v="2"/>
    <s v="TALENTI"/>
    <n v="1"/>
    <n v="510"/>
    <n v="1.9305254400000003"/>
    <n v="2"/>
  </r>
  <r>
    <n v="69551489"/>
    <x v="15"/>
    <n v="2950"/>
    <d v="2023-05-14T00:00:00"/>
    <x v="338"/>
    <x v="4"/>
    <n v="3.8989043190215313E-3"/>
    <n v="11.501767741113518"/>
    <s v="GH"/>
    <x v="4"/>
    <x v="4"/>
    <s v="Q2"/>
    <n v="154"/>
    <n v="19.155844155844157"/>
    <s v="MBG"/>
    <n v="1"/>
    <n v="2950"/>
    <n v="11.501767741113518"/>
    <n v="19.155844155844157"/>
  </r>
  <r>
    <n v="67309841"/>
    <x v="16"/>
    <n v="0"/>
    <d v="2023-05-14T00:00:00"/>
    <x v="32"/>
    <x v="13"/>
    <n v="8.5199999999999998E-3"/>
    <n v="0"/>
    <s v="BR"/>
    <x v="4"/>
    <x v="2"/>
    <s v="Q2"/>
    <n v="154"/>
    <n v="0"/>
    <s v="48oz"/>
    <n v="1"/>
    <n v="0"/>
    <n v="0"/>
    <n v="0"/>
  </r>
  <r>
    <n v="67885721"/>
    <x v="16"/>
    <n v="0"/>
    <d v="2023-05-14T00:00:00"/>
    <x v="40"/>
    <x v="32"/>
    <n v="8.5199999999999998E-3"/>
    <n v="0"/>
    <s v="BR"/>
    <x v="4"/>
    <x v="2"/>
    <s v="Q2"/>
    <n v="154"/>
    <n v="0"/>
    <s v="48oz"/>
    <n v="1"/>
    <n v="0"/>
    <n v="0"/>
    <n v="0"/>
  </r>
  <r>
    <n v="68741742"/>
    <x v="16"/>
    <n v="0"/>
    <d v="2023-05-14T00:00:00"/>
    <x v="25"/>
    <x v="25"/>
    <n v="4.2560000000000002E-3"/>
    <n v="0"/>
    <s v="GH"/>
    <x v="4"/>
    <x v="11"/>
    <s v="Q2"/>
    <n v="154"/>
    <n v="0"/>
    <s v="MBG"/>
    <n v="1"/>
    <n v="0"/>
    <n v="0"/>
    <n v="0"/>
  </r>
  <r>
    <n v="68764900"/>
    <x v="16"/>
    <n v="2233"/>
    <d v="2023-05-14T00:00:00"/>
    <x v="295"/>
    <x v="13"/>
    <n v="8.5199999999999998E-3"/>
    <n v="19.02516"/>
    <s v="BR"/>
    <x v="4"/>
    <x v="2"/>
    <s v="Q2"/>
    <n v="176"/>
    <n v="12.6875"/>
    <s v="48oz"/>
    <n v="1"/>
    <n v="2233"/>
    <n v="19.02516"/>
    <n v="12.6875"/>
  </r>
  <r>
    <n v="68922108"/>
    <x v="16"/>
    <n v="0"/>
    <d v="2023-05-14T00:00:00"/>
    <x v="184"/>
    <x v="21"/>
    <n v="3.7839999999999996E-3"/>
    <n v="0"/>
    <s v="TA"/>
    <x v="4"/>
    <x v="10"/>
    <s v="Q2"/>
    <n v="255"/>
    <n v="0"/>
    <s v="TALENTI"/>
    <n v="1"/>
    <n v="0"/>
    <n v="0"/>
    <n v="0"/>
  </r>
  <r>
    <n v="69596585"/>
    <x v="16"/>
    <n v="0"/>
    <d v="2023-05-14T00:00:00"/>
    <x v="348"/>
    <x v="5"/>
    <n v="1.0200000000000001E-3"/>
    <n v="0"/>
    <s v="MG"/>
    <x v="4"/>
    <x v="5"/>
    <s v="Q2"/>
    <n v="493"/>
    <n v="0"/>
    <s v="MG Sticks"/>
    <n v="1"/>
    <n v="0"/>
    <n v="0"/>
    <n v="0"/>
  </r>
  <r>
    <n v="69691816"/>
    <x v="16"/>
    <n v="0"/>
    <d v="2023-05-14T00:00:00"/>
    <x v="139"/>
    <x v="21"/>
    <n v="3.7839999999999996E-3"/>
    <n v="0"/>
    <s v="TA"/>
    <x v="4"/>
    <x v="10"/>
    <s v="Q2"/>
    <n v="255"/>
    <n v="0"/>
    <s v="TALENTI"/>
    <n v="1"/>
    <n v="0"/>
    <n v="0"/>
    <n v="0"/>
  </r>
  <r>
    <n v="69717803"/>
    <x v="16"/>
    <n v="0"/>
    <d v="2023-05-14T00:00:00"/>
    <x v="69"/>
    <x v="31"/>
    <n v="4.2560000000000002E-3"/>
    <n v="0"/>
    <s v="BR"/>
    <x v="4"/>
    <x v="5"/>
    <s v="Q2"/>
    <n v="143"/>
    <n v="0"/>
    <s v="MG Sticks"/>
    <n v="1"/>
    <n v="0"/>
    <n v="0"/>
    <n v="0"/>
  </r>
  <r>
    <n v="67465064"/>
    <x v="15"/>
    <n v="145"/>
    <d v="2023-05-14T00:00:00"/>
    <x v="7"/>
    <x v="3"/>
    <n v="1.596E-3"/>
    <n v="0.23141999999999999"/>
    <s v="PS"/>
    <x v="4"/>
    <x v="3"/>
    <s v="Q2"/>
    <n v="130"/>
    <n v="1.1153846153846154"/>
    <s v="PG"/>
    <n v="1"/>
    <n v="145"/>
    <n v="0.23141999999999999"/>
    <n v="1.1153846153846154"/>
  </r>
  <r>
    <n v="67466462"/>
    <x v="15"/>
    <n v="66"/>
    <d v="2023-05-14T00:00:00"/>
    <x v="29"/>
    <x v="6"/>
    <n v="5.2680000000000001E-3"/>
    <n v="0.347688"/>
    <s v="PS"/>
    <x v="4"/>
    <x v="3"/>
    <s v="Q2"/>
    <n v="130"/>
    <n v="0.50769230769230766"/>
    <s v="PG"/>
    <n v="1"/>
    <n v="66"/>
    <n v="0.347688"/>
    <n v="0.50769230769230766"/>
  </r>
  <r>
    <n v="67466492"/>
    <x v="15"/>
    <n v="4563"/>
    <d v="2023-05-14T00:00:00"/>
    <x v="8"/>
    <x v="8"/>
    <n v="5.2680000000000001E-3"/>
    <n v="24.037884000000002"/>
    <s v="PS"/>
    <x v="4"/>
    <x v="3"/>
    <s v="Q2"/>
    <n v="130"/>
    <n v="35.1"/>
    <s v="PG"/>
    <n v="1"/>
    <n v="4563"/>
    <n v="24.037884000000002"/>
    <n v="35.1"/>
  </r>
  <r>
    <n v="67723726"/>
    <x v="15"/>
    <n v="12948"/>
    <d v="2023-05-14T00:00:00"/>
    <x v="109"/>
    <x v="23"/>
    <n v="8.5199999999999998E-3"/>
    <n v="110.31695999999999"/>
    <s v="BR"/>
    <x v="4"/>
    <x v="6"/>
    <s v="Q2"/>
    <n v="154"/>
    <n v="84.077922077922082"/>
    <s v="48oz"/>
    <n v="1"/>
    <n v="12948"/>
    <n v="110.31695999999999"/>
    <n v="84.077922077922082"/>
  </r>
  <r>
    <n v="67885718"/>
    <x v="15"/>
    <n v="8454"/>
    <d v="2023-05-14T00:00:00"/>
    <x v="48"/>
    <x v="16"/>
    <n v="8.5199999999999998E-3"/>
    <n v="72.028080000000003"/>
    <s v="BR"/>
    <x v="4"/>
    <x v="6"/>
    <s v="Q2"/>
    <n v="154"/>
    <n v="54.896103896103895"/>
    <s v="48oz"/>
    <n v="1"/>
    <n v="8454"/>
    <n v="72.028080000000003"/>
    <n v="54.896103896103895"/>
  </r>
  <r>
    <n v="69671652"/>
    <x v="15"/>
    <n v="0"/>
    <d v="2023-05-14T00:00:00"/>
    <x v="197"/>
    <x v="24"/>
    <n v="2.8319999999999999E-3"/>
    <n v="0"/>
    <s v="GH"/>
    <x v="4"/>
    <x v="4"/>
    <s v="Q2"/>
    <n v="225"/>
    <n v="0"/>
    <s v="MBG"/>
    <n v="1"/>
    <n v="0"/>
    <n v="0"/>
    <n v="0"/>
  </r>
  <r>
    <n v="67309843"/>
    <x v="16"/>
    <n v="24049"/>
    <d v="2023-05-14T00:00:00"/>
    <x v="88"/>
    <x v="32"/>
    <n v="8.5199999999999998E-3"/>
    <n v="204.89748"/>
    <s v="BR"/>
    <x v="4"/>
    <x v="2"/>
    <s v="Q2"/>
    <n v="154"/>
    <n v="156.16233766233765"/>
    <s v="48oz"/>
    <n v="1"/>
    <n v="24049"/>
    <n v="204.89748"/>
    <n v="156.16233766233765"/>
  </r>
  <r>
    <n v="68650199"/>
    <x v="16"/>
    <n v="9083"/>
    <d v="2023-05-14T00:00:00"/>
    <x v="348"/>
    <x v="5"/>
    <n v="1.0200000000000001E-3"/>
    <n v="9.264660000000001"/>
    <s v="MG"/>
    <x v="4"/>
    <x v="5"/>
    <s v="Q2"/>
    <n v="493"/>
    <n v="18.42393509127789"/>
    <s v="MG Sticks"/>
    <n v="1"/>
    <n v="9083"/>
    <n v="9.264660000000001"/>
    <n v="18.42393509127789"/>
  </r>
  <r>
    <n v="68729634"/>
    <x v="16"/>
    <n v="5098"/>
    <d v="2023-05-14T00:00:00"/>
    <x v="92"/>
    <x v="22"/>
    <n v="3.7853439999999999E-3"/>
    <n v="19.297683712000001"/>
    <s v="TA"/>
    <x v="4"/>
    <x v="10"/>
    <s v="Q2"/>
    <n v="255"/>
    <n v="19.992156862745098"/>
    <s v="TALENTI"/>
    <n v="1"/>
    <n v="5098"/>
    <n v="19.297683712000001"/>
    <n v="19.992156862745098"/>
  </r>
  <r>
    <n v="68741742"/>
    <x v="16"/>
    <n v="5121"/>
    <d v="2023-05-14T00:00:00"/>
    <x v="25"/>
    <x v="25"/>
    <n v="4.2560000000000002E-3"/>
    <n v="21.794976000000002"/>
    <s v="GH"/>
    <x v="4"/>
    <x v="11"/>
    <s v="Q2"/>
    <n v="154"/>
    <n v="33.253246753246756"/>
    <s v="MBG"/>
    <n v="1"/>
    <n v="5121"/>
    <n v="21.794976000000002"/>
    <n v="33.253246753246756"/>
  </r>
  <r>
    <n v="68881270"/>
    <x v="16"/>
    <n v="3696"/>
    <d v="2023-05-14T00:00:00"/>
    <x v="91"/>
    <x v="2"/>
    <n v="8.5199999999999998E-3"/>
    <n v="31.489919999999998"/>
    <s v="BR"/>
    <x v="4"/>
    <x v="2"/>
    <s v="Q2"/>
    <n v="176"/>
    <n v="21"/>
    <s v="48oz"/>
    <n v="1"/>
    <n v="3696"/>
    <n v="31.489919999999998"/>
    <n v="21"/>
  </r>
  <r>
    <n v="68922011"/>
    <x v="16"/>
    <n v="0"/>
    <d v="2023-05-14T00:00:00"/>
    <x v="261"/>
    <x v="22"/>
    <n v="3.7853440000000004E-3"/>
    <n v="0"/>
    <s v="TA"/>
    <x v="4"/>
    <x v="10"/>
    <s v="Q2"/>
    <n v="255"/>
    <n v="0"/>
    <s v="TALENTI"/>
    <n v="1"/>
    <n v="0"/>
    <n v="0"/>
    <n v="0"/>
  </r>
  <r>
    <n v="68922011"/>
    <x v="16"/>
    <n v="7985"/>
    <d v="2023-05-14T00:00:00"/>
    <x v="261"/>
    <x v="22"/>
    <n v="3.7853440000000004E-3"/>
    <n v="30.225971840000003"/>
    <s v="TA"/>
    <x v="4"/>
    <x v="10"/>
    <s v="Q2"/>
    <n v="255"/>
    <n v="31.313725490196077"/>
    <s v="TALENTI"/>
    <n v="1"/>
    <n v="7985"/>
    <n v="30.225971840000003"/>
    <n v="31.313725490196077"/>
  </r>
  <r>
    <n v="69568829"/>
    <x v="16"/>
    <n v="8211"/>
    <d v="2023-05-14T00:00:00"/>
    <x v="66"/>
    <x v="2"/>
    <n v="8.5199999999999998E-3"/>
    <n v="69.957719999999995"/>
    <s v="BR"/>
    <x v="4"/>
    <x v="2"/>
    <s v="Q2"/>
    <n v="176"/>
    <n v="46.653409090909093"/>
    <s v="48oz"/>
    <n v="1"/>
    <n v="8211"/>
    <n v="69.957719999999995"/>
    <n v="46.653409090909093"/>
  </r>
  <r>
    <n v="69621212"/>
    <x v="16"/>
    <n v="4333"/>
    <d v="2023-05-14T00:00:00"/>
    <x v="29"/>
    <x v="28"/>
    <n v="5.2680000000000001E-3"/>
    <n v="22.826243999999999"/>
    <s v="PG"/>
    <x v="4"/>
    <x v="14"/>
    <s v="Q2"/>
    <n v="130"/>
    <n v="33.330769230769228"/>
    <s v="PG"/>
    <n v="1"/>
    <n v="4333"/>
    <n v="22.826243999999999"/>
    <n v="33.330769230769228"/>
  </r>
  <r>
    <n v="69677917"/>
    <x v="16"/>
    <n v="5929"/>
    <d v="2023-05-14T00:00:00"/>
    <x v="30"/>
    <x v="30"/>
    <n v="5.2680000000000001E-3"/>
    <n v="31.233972000000001"/>
    <s v="PS"/>
    <x v="4"/>
    <x v="14"/>
    <s v="Q2"/>
    <n v="108"/>
    <n v="54.898148148148145"/>
    <s v="PG"/>
    <n v="1"/>
    <n v="5929"/>
    <n v="31.233972000000001"/>
    <n v="54.898148148148145"/>
  </r>
  <r>
    <n v="67465063"/>
    <x v="15"/>
    <n v="2311"/>
    <d v="2023-05-15T00:00:00"/>
    <x v="3"/>
    <x v="40"/>
    <n v="5.2680000000000001E-3"/>
    <n v="12.174348"/>
    <s v="PS"/>
    <x v="4"/>
    <x v="3"/>
    <s v="Q2"/>
    <n v="130"/>
    <n v="17.776923076923076"/>
    <s v="PG"/>
    <n v="1"/>
    <n v="2311"/>
    <n v="12.174348"/>
    <n v="17.776923076923076"/>
  </r>
  <r>
    <n v="67466462"/>
    <x v="15"/>
    <n v="3504"/>
    <d v="2023-05-15T00:00:00"/>
    <x v="29"/>
    <x v="6"/>
    <n v="5.2680000000000001E-3"/>
    <n v="18.459071999999999"/>
    <s v="PS"/>
    <x v="4"/>
    <x v="3"/>
    <s v="Q2"/>
    <n v="130"/>
    <n v="26.953846153846154"/>
    <s v="PG"/>
    <n v="1"/>
    <n v="3504"/>
    <n v="18.459071999999999"/>
    <n v="26.953846153846154"/>
  </r>
  <r>
    <n v="67476560"/>
    <x v="15"/>
    <n v="2364"/>
    <d v="2023-05-15T00:00:00"/>
    <x v="10"/>
    <x v="10"/>
    <n v="5.1060000000000003E-3"/>
    <n v="12.070584"/>
    <s v="PS"/>
    <x v="4"/>
    <x v="3"/>
    <s v="Q2"/>
    <n v="130"/>
    <n v="18.184615384615384"/>
    <s v="PG"/>
    <n v="1"/>
    <n v="2364"/>
    <n v="12.070584"/>
    <n v="18.184615384615384"/>
  </r>
  <r>
    <n v="68737750"/>
    <x v="15"/>
    <n v="0"/>
    <d v="2023-05-15T00:00:00"/>
    <x v="144"/>
    <x v="23"/>
    <n v="8.5199999999999998E-3"/>
    <n v="0"/>
    <s v="BR"/>
    <x v="4"/>
    <x v="6"/>
    <s v="Q2"/>
    <n v="176"/>
    <n v="0"/>
    <s v="48oz"/>
    <n v="1"/>
    <n v="0"/>
    <n v="0"/>
    <n v="0"/>
  </r>
  <r>
    <n v="69568828"/>
    <x v="15"/>
    <n v="3274"/>
    <d v="2023-05-15T00:00:00"/>
    <x v="12"/>
    <x v="12"/>
    <n v="8.5199999999999998E-3"/>
    <n v="27.894479999999998"/>
    <s v="BR"/>
    <x v="4"/>
    <x v="6"/>
    <s v="Q2"/>
    <n v="176"/>
    <n v="18.602272727272727"/>
    <s v="48oz"/>
    <n v="1"/>
    <n v="3274"/>
    <n v="27.894479999999998"/>
    <n v="18.602272727272727"/>
  </r>
  <r>
    <n v="69568828"/>
    <x v="15"/>
    <n v="5148"/>
    <d v="2023-05-15T00:00:00"/>
    <x v="12"/>
    <x v="12"/>
    <n v="8.5199999999999998E-3"/>
    <n v="43.860959999999999"/>
    <s v="BR"/>
    <x v="4"/>
    <x v="6"/>
    <s v="Q2"/>
    <n v="176"/>
    <n v="29.25"/>
    <s v="48oz"/>
    <n v="1"/>
    <n v="5148"/>
    <n v="43.860959999999999"/>
    <n v="29.25"/>
  </r>
  <r>
    <n v="69671652"/>
    <x v="15"/>
    <n v="2576"/>
    <d v="2023-05-15T00:00:00"/>
    <x v="197"/>
    <x v="24"/>
    <n v="2.8319999999999999E-3"/>
    <n v="7.2952319999999995"/>
    <s v="GH"/>
    <x v="4"/>
    <x v="4"/>
    <s v="Q2"/>
    <n v="225"/>
    <n v="11.448888888888888"/>
    <s v="MBG"/>
    <n v="1"/>
    <n v="2576"/>
    <n v="7.2952319999999995"/>
    <n v="11.448888888888888"/>
  </r>
  <r>
    <n v="67885721"/>
    <x v="16"/>
    <n v="0"/>
    <d v="2023-05-15T00:00:00"/>
    <x v="40"/>
    <x v="32"/>
    <n v="8.5199999999999998E-3"/>
    <n v="0"/>
    <s v="BR"/>
    <x v="4"/>
    <x v="2"/>
    <s v="Q2"/>
    <n v="154"/>
    <n v="0"/>
    <s v="48oz"/>
    <n v="1"/>
    <n v="0"/>
    <n v="0"/>
    <n v="0"/>
  </r>
  <r>
    <n v="68354589"/>
    <x v="16"/>
    <n v="0"/>
    <d v="2023-05-15T00:00:00"/>
    <x v="53"/>
    <x v="15"/>
    <n v="3.5999999999999999E-3"/>
    <n v="0"/>
    <s v="BJ"/>
    <x v="4"/>
    <x v="19"/>
    <s v="Q2"/>
    <n v="240"/>
    <n v="0"/>
    <s v="TOPPED"/>
    <n v="1"/>
    <n v="0"/>
    <n v="0"/>
    <n v="0"/>
  </r>
  <r>
    <n v="69554202"/>
    <x v="16"/>
    <n v="0"/>
    <d v="2023-05-15T00:00:00"/>
    <x v="47"/>
    <x v="15"/>
    <n v="3.5999999999999999E-3"/>
    <n v="0"/>
    <s v="BJ"/>
    <x v="4"/>
    <x v="19"/>
    <s v="Q2"/>
    <n v="240"/>
    <n v="0"/>
    <s v="TOPPED"/>
    <n v="1"/>
    <n v="0"/>
    <n v="0"/>
    <n v="0"/>
  </r>
  <r>
    <n v="69568829"/>
    <x v="16"/>
    <n v="0"/>
    <d v="2023-05-15T00:00:00"/>
    <x v="66"/>
    <x v="2"/>
    <n v="8.5199999999999998E-3"/>
    <n v="0"/>
    <s v="BR"/>
    <x v="4"/>
    <x v="2"/>
    <s v="Q2"/>
    <n v="176"/>
    <n v="0"/>
    <s v="48oz"/>
    <n v="1"/>
    <n v="0"/>
    <n v="0"/>
    <n v="0"/>
  </r>
  <r>
    <n v="69572658"/>
    <x v="16"/>
    <n v="0"/>
    <d v="2023-05-15T00:00:00"/>
    <x v="166"/>
    <x v="5"/>
    <n v="2.1520000000000003E-3"/>
    <n v="0"/>
    <s v="MG"/>
    <x v="4"/>
    <x v="5"/>
    <s v="Q2"/>
    <n v="210"/>
    <n v="0"/>
    <s v="MG Sticks"/>
    <n v="1"/>
    <n v="0"/>
    <n v="0"/>
    <n v="0"/>
  </r>
  <r>
    <n v="84149990"/>
    <x v="18"/>
    <n v="21309"/>
    <d v="2023-05-15T00:00:00"/>
    <x v="168"/>
    <x v="33"/>
    <n v="3.7853439999999999E-3"/>
    <n v="80.661895295999997"/>
    <s v="BJ"/>
    <x v="4"/>
    <x v="40"/>
    <s v="Q2"/>
    <n v="240"/>
    <n v="88.787499999999994"/>
    <s v="PTS Exports"/>
    <n v="1"/>
    <n v="21309"/>
    <n v="80.661895295999997"/>
    <n v="88.787499999999994"/>
  </r>
  <r>
    <n v="68409143"/>
    <x v="17"/>
    <n v="51417"/>
    <d v="2023-05-15T00:00:00"/>
    <x v="137"/>
    <x v="35"/>
    <n v="1.419504E-3"/>
    <n v="72.986637168000001"/>
    <s v="BJ"/>
    <x v="4"/>
    <x v="25"/>
    <s v="Q2"/>
    <n v="510"/>
    <n v="100.81764705882352"/>
    <s v="B&amp;J Dog Treat"/>
    <n v="1"/>
    <n v="51417"/>
    <n v="72.986637168000001"/>
    <n v="100.81764705882352"/>
  </r>
  <r>
    <n v="84138391"/>
    <x v="17"/>
    <n v="76899"/>
    <d v="2023-05-15T00:00:00"/>
    <x v="84"/>
    <x v="33"/>
    <n v="3.7853439999999999E-3"/>
    <n v="291.08916825599999"/>
    <s v="BJ"/>
    <x v="4"/>
    <x v="15"/>
    <s v="Q2"/>
    <n v="240"/>
    <n v="320.41250000000002"/>
    <s v="BJ PTS"/>
    <n v="1"/>
    <n v="76899"/>
    <n v="291.08916825599999"/>
    <n v="320.41250000000002"/>
  </r>
  <r>
    <n v="84141103"/>
    <x v="17"/>
    <n v="68147"/>
    <d v="2023-05-15T00:00:00"/>
    <x v="294"/>
    <x v="44"/>
    <n v="3.7853439999999999E-3"/>
    <n v="257.95983756800001"/>
    <s v="BJ"/>
    <x v="4"/>
    <x v="15"/>
    <s v="Q2"/>
    <n v="240"/>
    <n v="283.94583333333333"/>
    <s v="BJ PTS"/>
    <n v="1"/>
    <n v="68147"/>
    <n v="257.95983756800001"/>
    <n v="283.94583333333333"/>
  </r>
  <r>
    <n v="67465064"/>
    <x v="15"/>
    <n v="2540"/>
    <d v="2023-05-15T00:00:00"/>
    <x v="7"/>
    <x v="3"/>
    <n v="1.596E-3"/>
    <n v="4.0538400000000001"/>
    <s v="PS"/>
    <x v="4"/>
    <x v="3"/>
    <s v="Q2"/>
    <n v="130"/>
    <n v="19.53846153846154"/>
    <s v="PG"/>
    <n v="1"/>
    <n v="2540"/>
    <n v="4.0538400000000001"/>
    <n v="19.53846153846154"/>
  </r>
  <r>
    <n v="67466492"/>
    <x v="15"/>
    <n v="3748"/>
    <d v="2023-05-15T00:00:00"/>
    <x v="8"/>
    <x v="8"/>
    <n v="5.2680000000000001E-3"/>
    <n v="19.744464000000001"/>
    <s v="PS"/>
    <x v="4"/>
    <x v="3"/>
    <s v="Q2"/>
    <n v="130"/>
    <n v="28.830769230769231"/>
    <s v="PG"/>
    <n v="1"/>
    <n v="3748"/>
    <n v="19.744464000000001"/>
    <n v="28.830769230769231"/>
  </r>
  <r>
    <n v="67466492"/>
    <x v="15"/>
    <n v="3713"/>
    <d v="2023-05-15T00:00:00"/>
    <x v="8"/>
    <x v="7"/>
    <n v="5.2680000000000001E-3"/>
    <n v="19.560084"/>
    <s v="PS"/>
    <x v="4"/>
    <x v="3"/>
    <s v="Q2"/>
    <n v="130"/>
    <n v="28.561538461538461"/>
    <s v="PG"/>
    <n v="1"/>
    <n v="3713"/>
    <n v="19.560084"/>
    <n v="28.561538461538461"/>
  </r>
  <r>
    <n v="67723726"/>
    <x v="15"/>
    <n v="0"/>
    <d v="2023-05-15T00:00:00"/>
    <x v="109"/>
    <x v="23"/>
    <n v="8.5199999999999998E-3"/>
    <n v="0"/>
    <s v="BR"/>
    <x v="4"/>
    <x v="6"/>
    <s v="Q2"/>
    <n v="154"/>
    <n v="0"/>
    <s v="48oz"/>
    <n v="1"/>
    <n v="0"/>
    <n v="0"/>
    <n v="0"/>
  </r>
  <r>
    <n v="67885718"/>
    <x v="15"/>
    <n v="0"/>
    <d v="2023-05-15T00:00:00"/>
    <x v="48"/>
    <x v="16"/>
    <n v="8.5199999999999998E-3"/>
    <n v="0"/>
    <s v="BR"/>
    <x v="4"/>
    <x v="6"/>
    <s v="Q2"/>
    <n v="154"/>
    <n v="0"/>
    <s v="48oz"/>
    <n v="1"/>
    <n v="0"/>
    <n v="0"/>
    <n v="0"/>
  </r>
  <r>
    <n v="68188183"/>
    <x v="15"/>
    <n v="682"/>
    <d v="2023-05-15T00:00:00"/>
    <x v="70"/>
    <x v="9"/>
    <n v="3.8340000000000002E-3"/>
    <n v="2.6147880000000003"/>
    <s v="PS"/>
    <x v="4"/>
    <x v="3"/>
    <s v="Q2"/>
    <n v="130"/>
    <n v="5.2461538461538462"/>
    <s v="PG"/>
    <n v="1"/>
    <n v="682"/>
    <n v="2.6147880000000003"/>
    <n v="5.2461538461538462"/>
  </r>
  <r>
    <n v="68656232"/>
    <x v="15"/>
    <n v="3967"/>
    <d v="2023-05-15T00:00:00"/>
    <x v="211"/>
    <x v="16"/>
    <n v="8.5199999999999998E-3"/>
    <n v="33.798839999999998"/>
    <s v="BR"/>
    <x v="4"/>
    <x v="6"/>
    <s v="Q2"/>
    <n v="154"/>
    <n v="25.759740259740258"/>
    <s v="48oz"/>
    <n v="1"/>
    <n v="3967"/>
    <n v="33.798839999999998"/>
    <n v="25.759740259740258"/>
  </r>
  <r>
    <n v="69568829"/>
    <x v="15"/>
    <n v="9660"/>
    <d v="2023-05-15T00:00:00"/>
    <x v="66"/>
    <x v="11"/>
    <n v="8.5199999999999998E-3"/>
    <n v="82.303200000000004"/>
    <s v="BR"/>
    <x v="4"/>
    <x v="6"/>
    <s v="Q2"/>
    <n v="176"/>
    <n v="54.886363636363633"/>
    <s v="48oz"/>
    <n v="1"/>
    <n v="9660"/>
    <n v="82.303200000000004"/>
    <n v="54.886363636363633"/>
  </r>
  <r>
    <n v="67309841"/>
    <x v="16"/>
    <n v="308"/>
    <d v="2023-05-15T00:00:00"/>
    <x v="32"/>
    <x v="13"/>
    <n v="8.5199999999999998E-3"/>
    <n v="2.6241599999999998"/>
    <s v="BR"/>
    <x v="4"/>
    <x v="2"/>
    <s v="Q2"/>
    <n v="154"/>
    <n v="2"/>
    <s v="48oz"/>
    <n v="1"/>
    <n v="308"/>
    <n v="2.6241599999999998"/>
    <n v="2"/>
  </r>
  <r>
    <n v="68650199"/>
    <x v="16"/>
    <n v="6204"/>
    <d v="2023-05-15T00:00:00"/>
    <x v="348"/>
    <x v="5"/>
    <n v="1.0200000000000001E-3"/>
    <n v="6.3280800000000008"/>
    <s v="MG"/>
    <x v="4"/>
    <x v="5"/>
    <s v="Q2"/>
    <n v="493"/>
    <n v="12.584178498985802"/>
    <s v="MG Sticks"/>
    <n v="1"/>
    <n v="6204"/>
    <n v="6.3280800000000008"/>
    <n v="12.584178498985802"/>
  </r>
  <r>
    <n v="68741742"/>
    <x v="16"/>
    <n v="3012"/>
    <d v="2023-05-15T00:00:00"/>
    <x v="25"/>
    <x v="25"/>
    <n v="4.2560000000000002E-3"/>
    <n v="12.819072"/>
    <s v="GH"/>
    <x v="4"/>
    <x v="11"/>
    <s v="Q2"/>
    <n v="154"/>
    <n v="19.558441558441558"/>
    <s v="MBG"/>
    <n v="1"/>
    <n v="3012"/>
    <n v="12.819072"/>
    <n v="19.558441558441558"/>
  </r>
  <r>
    <n v="68922011"/>
    <x v="16"/>
    <n v="14766"/>
    <d v="2023-05-15T00:00:00"/>
    <x v="261"/>
    <x v="22"/>
    <n v="3.7853440000000004E-3"/>
    <n v="55.894389504000003"/>
    <s v="TA"/>
    <x v="4"/>
    <x v="10"/>
    <s v="Q2"/>
    <n v="255"/>
    <n v="57.905882352941177"/>
    <s v="TALENTI"/>
    <n v="1"/>
    <n v="14766"/>
    <n v="55.894389504000003"/>
    <n v="57.905882352941177"/>
  </r>
  <r>
    <n v="68922108"/>
    <x v="16"/>
    <n v="0"/>
    <d v="2023-05-15T00:00:00"/>
    <x v="184"/>
    <x v="21"/>
    <n v="3.7839999999999996E-3"/>
    <n v="0"/>
    <s v="TA"/>
    <x v="4"/>
    <x v="10"/>
    <s v="Q2"/>
    <n v="255"/>
    <n v="0"/>
    <s v="TALENTI"/>
    <n v="1"/>
    <n v="0"/>
    <n v="0"/>
    <n v="0"/>
  </r>
  <r>
    <n v="68922108"/>
    <x v="16"/>
    <n v="28862"/>
    <d v="2023-05-15T00:00:00"/>
    <x v="184"/>
    <x v="21"/>
    <n v="3.7839999999999996E-3"/>
    <n v="109.21380799999999"/>
    <s v="TA"/>
    <x v="4"/>
    <x v="10"/>
    <s v="Q2"/>
    <n v="255"/>
    <n v="113.1843137254902"/>
    <s v="TALENTI"/>
    <n v="1"/>
    <n v="28862"/>
    <n v="109.21380799999999"/>
    <n v="113.1843137254902"/>
  </r>
  <r>
    <n v="69554197"/>
    <x v="16"/>
    <n v="24987"/>
    <d v="2023-05-15T00:00:00"/>
    <x v="15"/>
    <x v="15"/>
    <n v="3.7839999999999996E-3"/>
    <n v="94.550807999999989"/>
    <s v="BR"/>
    <x v="4"/>
    <x v="7"/>
    <s v="Q2"/>
    <n v="240"/>
    <n v="104.1125"/>
    <s v="PTS"/>
    <n v="1"/>
    <n v="24987"/>
    <n v="94.550807999999989"/>
    <n v="104.1125"/>
  </r>
  <r>
    <n v="67309843"/>
    <x v="15"/>
    <n v="3500"/>
    <d v="2023-05-18T00:00:00"/>
    <x v="88"/>
    <x v="12"/>
    <n v="8.5199999999999998E-3"/>
    <n v="29.82"/>
    <s v="BR"/>
    <x v="4"/>
    <x v="6"/>
    <s v="Q2"/>
    <n v="154"/>
    <n v="22.727272727272727"/>
    <s v="48oz"/>
    <n v="0.95"/>
    <n v="3325"/>
    <n v="28.329000000000001"/>
    <n v="21.59090909090909"/>
  </r>
  <r>
    <n v="67465063"/>
    <x v="15"/>
    <n v="2568"/>
    <d v="2023-05-18T00:00:00"/>
    <x v="3"/>
    <x v="40"/>
    <n v="5.2680000000000001E-3"/>
    <n v="13.528224"/>
    <s v="PS"/>
    <x v="4"/>
    <x v="3"/>
    <s v="Q2"/>
    <n v="130"/>
    <n v="19.753846153846155"/>
    <s v="PG"/>
    <n v="0.9"/>
    <n v="2311.2000000000003"/>
    <n v="12.175401600000001"/>
    <n v="17.778461538461539"/>
  </r>
  <r>
    <n v="67465064"/>
    <x v="15"/>
    <n v="2800"/>
    <d v="2023-05-18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92"/>
    <x v="15"/>
    <n v="3600"/>
    <d v="2023-05-18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476560"/>
    <x v="15"/>
    <n v="3600"/>
    <d v="2023-05-18T00:00:00"/>
    <x v="10"/>
    <x v="10"/>
    <n v="5.1060000000000003E-3"/>
    <n v="18.381600000000002"/>
    <s v="PS"/>
    <x v="4"/>
    <x v="3"/>
    <s v="Q2"/>
    <n v="130"/>
    <n v="27.692307692307693"/>
    <s v="PG"/>
    <n v="0.9"/>
    <n v="3240"/>
    <n v="16.543440000000004"/>
    <n v="24.923076923076923"/>
  </r>
  <r>
    <n v="68188183"/>
    <x v="15"/>
    <n v="3000"/>
    <d v="2023-05-18T00:00:00"/>
    <x v="70"/>
    <x v="9"/>
    <n v="3.8340000000000002E-3"/>
    <n v="11.502000000000001"/>
    <s v="PS"/>
    <x v="4"/>
    <x v="3"/>
    <s v="Q2"/>
    <n v="130"/>
    <n v="23.076923076923077"/>
    <s v="PG"/>
    <n v="0.9"/>
    <n v="2700"/>
    <n v="10.351800000000001"/>
    <n v="20.76923076923077"/>
  </r>
  <r>
    <n v="68881265"/>
    <x v="15"/>
    <n v="10700"/>
    <d v="2023-05-18T00:00:00"/>
    <x v="211"/>
    <x v="16"/>
    <n v="8.5199999999999998E-3"/>
    <n v="91.164000000000001"/>
    <s v="BR"/>
    <x v="4"/>
    <x v="6"/>
    <s v="Q2"/>
    <n v="154"/>
    <n v="69.480519480519476"/>
    <s v="48oz"/>
    <n v="0.95"/>
    <n v="10165"/>
    <n v="86.605800000000002"/>
    <n v="66.006493506493499"/>
  </r>
  <r>
    <n v="69671652"/>
    <x v="15"/>
    <n v="6000"/>
    <d v="2023-05-18T00:00:00"/>
    <x v="197"/>
    <x v="24"/>
    <n v="2.8319999999999999E-3"/>
    <n v="16.992000000000001"/>
    <s v="GH"/>
    <x v="4"/>
    <x v="4"/>
    <s v="Q2"/>
    <n v="225"/>
    <n v="26.666666666666668"/>
    <s v="MBG"/>
    <n v="0.87"/>
    <n v="5220"/>
    <n v="14.783040000000002"/>
    <n v="23.2"/>
  </r>
  <r>
    <n v="68271452"/>
    <x v="16"/>
    <n v="1"/>
    <d v="2023-05-18T00:00:00"/>
    <x v="142"/>
    <x v="2"/>
    <n v="8.513999999999999E-3"/>
    <n v="8.513999999999999E-3"/>
    <s v="BR"/>
    <x v="4"/>
    <x v="2"/>
    <s v="Q2"/>
    <n v="154"/>
    <n v="6.4935064935064939E-3"/>
    <s v="48oz"/>
    <n v="0.95"/>
    <n v="0.95"/>
    <n v="8.0882999999999979E-3"/>
    <n v="6.1688311688311692E-3"/>
  </r>
  <r>
    <n v="68728321"/>
    <x v="16"/>
    <n v="1"/>
    <d v="2023-05-18T00:00:00"/>
    <x v="150"/>
    <x v="22"/>
    <n v="3.7853439999999999E-3"/>
    <n v="3.7853439999999999E-3"/>
    <s v="TA"/>
    <x v="4"/>
    <x v="10"/>
    <s v="Q2"/>
    <n v="255"/>
    <n v="3.9215686274509803E-3"/>
    <s v="TALENTI"/>
    <n v="0.94"/>
    <n v="0.94"/>
    <n v="3.5582233599999995E-3"/>
    <n v="3.6862745098039211E-3"/>
  </r>
  <r>
    <n v="68741742"/>
    <x v="16"/>
    <n v="2700"/>
    <d v="2023-05-18T00:00:00"/>
    <x v="25"/>
    <x v="25"/>
    <n v="4.2560000000000002E-3"/>
    <n v="11.491200000000001"/>
    <s v="GH"/>
    <x v="4"/>
    <x v="11"/>
    <s v="Q2"/>
    <n v="154"/>
    <n v="17.532467532467532"/>
    <s v="MBG"/>
    <n v="0.87"/>
    <n v="2349"/>
    <n v="9.997344"/>
    <n v="15.253246753246753"/>
  </r>
  <r>
    <n v="68821729"/>
    <x v="16"/>
    <n v="1"/>
    <d v="2023-05-18T00:00:00"/>
    <x v="142"/>
    <x v="2"/>
    <n v="8.5199999999999998E-3"/>
    <n v="8.5199999999999998E-3"/>
    <s v="BR"/>
    <x v="4"/>
    <x v="2"/>
    <s v="Q2"/>
    <n v="176"/>
    <n v="5.681818181818182E-3"/>
    <s v="48oz"/>
    <n v="0.95"/>
    <n v="0.95"/>
    <n v="8.0939999999999988E-3"/>
    <n v="5.3977272727272728E-3"/>
  </r>
  <r>
    <n v="68922106"/>
    <x v="16"/>
    <n v="15000"/>
    <d v="2023-05-18T00:00:00"/>
    <x v="104"/>
    <x v="22"/>
    <n v="3.552E-3"/>
    <n v="53.28"/>
    <s v="TA"/>
    <x v="4"/>
    <x v="10"/>
    <s v="Q2"/>
    <n v="255"/>
    <n v="58.823529411764703"/>
    <s v="TALENTI"/>
    <n v="0.94"/>
    <n v="14100"/>
    <n v="50.083199999999998"/>
    <n v="55.294117647058819"/>
  </r>
  <r>
    <n v="68922108"/>
    <x v="16"/>
    <n v="1"/>
    <d v="2023-05-18T00:00:00"/>
    <x v="184"/>
    <x v="21"/>
    <n v="3.7839999999999996E-3"/>
    <n v="3.7839999999999996E-3"/>
    <s v="TA"/>
    <x v="4"/>
    <x v="10"/>
    <s v="Q2"/>
    <n v="255"/>
    <n v="3.9215686274509803E-3"/>
    <s v="TALENTI"/>
    <n v="0.94"/>
    <n v="0.94"/>
    <n v="3.5569599999999996E-3"/>
    <n v="3.6862745098039211E-3"/>
  </r>
  <r>
    <n v="67803006"/>
    <x v="18"/>
    <n v="16500"/>
    <d v="2023-05-18T00:00:00"/>
    <x v="151"/>
    <x v="35"/>
    <n v="3.6640000000000002E-3"/>
    <n v="60.456000000000003"/>
    <s v="BJ"/>
    <x v="4"/>
    <x v="40"/>
    <s v="Q2"/>
    <n v="240"/>
    <n v="68.75"/>
    <s v="PTS Exports"/>
    <n v="0.9"/>
    <n v="14850"/>
    <n v="54.410400000000003"/>
    <n v="61.875"/>
  </r>
  <r>
    <n v="67826412"/>
    <x v="18"/>
    <n v="69300"/>
    <d v="2023-05-18T00:00:00"/>
    <x v="214"/>
    <x v="35"/>
    <n v="3.7853439999999999E-3"/>
    <n v="262.3243392"/>
    <s v="BJ"/>
    <x v="4"/>
    <x v="36"/>
    <s v="Q2"/>
    <n v="240"/>
    <n v="288.75"/>
    <s v="BJ PTS"/>
    <n v="0.9"/>
    <n v="62370"/>
    <n v="236.09190527999999"/>
    <n v="259.875"/>
  </r>
  <r>
    <n v="68264945"/>
    <x v="17"/>
    <n v="5340"/>
    <d v="2023-05-18T00:00:00"/>
    <x v="349"/>
    <x v="35"/>
    <n v="3.8999999999999998E-3"/>
    <n v="20.826000000000001"/>
    <s v="BJ"/>
    <x v="4"/>
    <x v="31"/>
    <s v="Q2"/>
    <n v="510"/>
    <n v="10.470588235294118"/>
    <s v="Cup Exports"/>
    <n v="0.85"/>
    <n v="4539"/>
    <n v="17.702100000000002"/>
    <n v="8.9"/>
  </r>
  <r>
    <n v="84136394"/>
    <x v="17"/>
    <n v="20880"/>
    <d v="2023-05-18T00:00:00"/>
    <x v="222"/>
    <x v="38"/>
    <n v="3.7839999999999996E-3"/>
    <n v="79.009919999999994"/>
    <s v="BJ"/>
    <x v="4"/>
    <x v="15"/>
    <s v="Q2"/>
    <n v="240"/>
    <n v="87"/>
    <s v="BJ PTS"/>
    <n v="0.9"/>
    <n v="18792"/>
    <n v="71.108927999999992"/>
    <n v="78.3"/>
  </r>
  <r>
    <n v="67465063"/>
    <x v="15"/>
    <n v="2568"/>
    <d v="2023-05-18T00:00:00"/>
    <x v="3"/>
    <x v="40"/>
    <n v="5.2680000000000001E-3"/>
    <n v="13.528224"/>
    <s v="PS"/>
    <x v="4"/>
    <x v="3"/>
    <s v="Q2"/>
    <n v="130"/>
    <n v="19.753846153846155"/>
    <s v="PG"/>
    <n v="0.9"/>
    <n v="2311.2000000000003"/>
    <n v="12.175401600000001"/>
    <n v="17.778461538461539"/>
  </r>
  <r>
    <n v="67466462"/>
    <x v="15"/>
    <n v="3425"/>
    <d v="2023-05-18T00:00:00"/>
    <x v="29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6492"/>
    <x v="15"/>
    <n v="4500"/>
    <d v="2023-05-18T00:00:00"/>
    <x v="8"/>
    <x v="7"/>
    <n v="5.2680000000000001E-3"/>
    <n v="23.706"/>
    <s v="PS"/>
    <x v="4"/>
    <x v="3"/>
    <s v="Q2"/>
    <n v="130"/>
    <n v="34.615384615384613"/>
    <s v="PG"/>
    <n v="0.9"/>
    <n v="4050"/>
    <n v="21.3354"/>
    <n v="31.153846153846153"/>
  </r>
  <r>
    <n v="68737750"/>
    <x v="15"/>
    <n v="11200"/>
    <d v="2023-05-18T00:00:00"/>
    <x v="144"/>
    <x v="23"/>
    <n v="8.5199999999999998E-3"/>
    <n v="95.423999999999992"/>
    <s v="BR"/>
    <x v="4"/>
    <x v="6"/>
    <s v="Q2"/>
    <n v="176"/>
    <n v="63.636363636363633"/>
    <s v="48oz"/>
    <n v="0.95"/>
    <n v="10640"/>
    <n v="90.652799999999985"/>
    <n v="60.454545454545446"/>
  </r>
  <r>
    <n v="69568828"/>
    <x v="15"/>
    <n v="10800"/>
    <d v="2023-05-18T00:00:00"/>
    <x v="12"/>
    <x v="12"/>
    <n v="8.5199999999999998E-3"/>
    <n v="92.015999999999991"/>
    <s v="BR"/>
    <x v="4"/>
    <x v="6"/>
    <s v="Q2"/>
    <n v="176"/>
    <n v="61.363636363636367"/>
    <s v="48oz"/>
    <n v="0.95"/>
    <n v="10260"/>
    <n v="87.415199999999984"/>
    <n v="58.295454545454547"/>
  </r>
  <r>
    <n v="69568829"/>
    <x v="15"/>
    <n v="12000"/>
    <d v="2023-05-18T00:00:00"/>
    <x v="66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67309841"/>
    <x v="16"/>
    <n v="9450"/>
    <d v="2023-05-18T00:00:00"/>
    <x v="32"/>
    <x v="13"/>
    <n v="8.5199999999999998E-3"/>
    <n v="80.513999999999996"/>
    <s v="BR"/>
    <x v="4"/>
    <x v="2"/>
    <s v="Q2"/>
    <n v="154"/>
    <n v="61.363636363636367"/>
    <s v="48oz"/>
    <n v="0.95"/>
    <n v="8977.5"/>
    <n v="76.488299999999995"/>
    <n v="58.295454545454547"/>
  </r>
  <r>
    <n v="67885721"/>
    <x v="16"/>
    <n v="17100"/>
    <d v="2023-05-18T00:00:00"/>
    <x v="40"/>
    <x v="32"/>
    <n v="8.5199999999999998E-3"/>
    <n v="145.69200000000001"/>
    <s v="BR"/>
    <x v="4"/>
    <x v="2"/>
    <s v="Q2"/>
    <n v="154"/>
    <n v="111.03896103896103"/>
    <s v="48oz"/>
    <n v="0.95"/>
    <n v="16245"/>
    <n v="138.4074"/>
    <n v="105.48701298701297"/>
  </r>
  <r>
    <n v="68354589"/>
    <x v="16"/>
    <n v="22800"/>
    <d v="2023-05-18T00:00:00"/>
    <x v="53"/>
    <x v="15"/>
    <n v="3.5999999999999999E-3"/>
    <n v="82.08"/>
    <s v="BJ"/>
    <x v="4"/>
    <x v="19"/>
    <s v="Q2"/>
    <n v="240"/>
    <n v="95"/>
    <s v="TOPPED"/>
    <n v="0.91"/>
    <n v="20748"/>
    <n v="74.692800000000005"/>
    <n v="86.45"/>
  </r>
  <r>
    <n v="68410355"/>
    <x v="16"/>
    <n v="8400"/>
    <d v="2023-05-18T00:00:00"/>
    <x v="345"/>
    <x v="14"/>
    <n v="1.98E-3"/>
    <n v="16.632000000000001"/>
    <s v="MG"/>
    <x v="4"/>
    <x v="5"/>
    <s v="Q2"/>
    <n v="176"/>
    <n v="47.727272727272727"/>
    <s v="MG Sticks"/>
    <n v="0.93"/>
    <n v="7812"/>
    <n v="15.467760000000002"/>
    <n v="44.38636363636364"/>
  </r>
  <r>
    <n v="68881270"/>
    <x v="16"/>
    <n v="9450"/>
    <d v="2023-05-18T00:00:00"/>
    <x v="91"/>
    <x v="2"/>
    <n v="8.5199999999999998E-3"/>
    <n v="80.513999999999996"/>
    <s v="BR"/>
    <x v="4"/>
    <x v="2"/>
    <s v="Q2"/>
    <n v="176"/>
    <n v="53.69318181818182"/>
    <s v="48oz"/>
    <n v="0.95"/>
    <n v="8977.5"/>
    <n v="76.488299999999995"/>
    <n v="51.008522727272727"/>
  </r>
  <r>
    <n v="69572658"/>
    <x v="16"/>
    <n v="8000"/>
    <d v="2023-05-18T00:00:00"/>
    <x v="166"/>
    <x v="5"/>
    <n v="2.1520000000000003E-3"/>
    <n v="17.216000000000001"/>
    <s v="MG"/>
    <x v="4"/>
    <x v="5"/>
    <s v="Q2"/>
    <n v="210"/>
    <n v="38.095238095238095"/>
    <s v="MG Sticks"/>
    <n v="0.93"/>
    <n v="7440"/>
    <n v="16.01088"/>
    <n v="35.428571428571431"/>
  </r>
  <r>
    <n v="69621212"/>
    <x v="16"/>
    <n v="5400"/>
    <d v="2023-05-18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2700"/>
    <d v="2023-05-18T00:00:00"/>
    <x v="30"/>
    <x v="30"/>
    <n v="5.2680000000000001E-3"/>
    <n v="14.223600000000001"/>
    <s v="PS"/>
    <x v="4"/>
    <x v="14"/>
    <s v="Q2"/>
    <n v="108"/>
    <n v="25"/>
    <s v="PG"/>
    <n v="0.9"/>
    <n v="2430"/>
    <n v="12.801240000000002"/>
    <n v="22.5"/>
  </r>
  <r>
    <n v="69717803"/>
    <x v="16"/>
    <n v="7800"/>
    <d v="2023-05-18T00:00:00"/>
    <x v="69"/>
    <x v="31"/>
    <n v="4.2560000000000002E-3"/>
    <n v="33.196800000000003"/>
    <s v="BR"/>
    <x v="4"/>
    <x v="5"/>
    <s v="Q2"/>
    <n v="143"/>
    <n v="54.545454545454547"/>
    <s v="MG Sticks"/>
    <n v="0.93"/>
    <n v="7254"/>
    <n v="30.873024000000004"/>
    <n v="50.727272727272734"/>
  </r>
  <r>
    <n v="84135794"/>
    <x v="17"/>
    <n v="4160"/>
    <d v="2023-05-18T00:00:00"/>
    <x v="198"/>
    <x v="35"/>
    <n v="9.0848256361922702E-3"/>
    <n v="37.792874646559845"/>
    <s v="BJ"/>
    <x v="4"/>
    <x v="39"/>
    <s v="Q2"/>
    <n v="125"/>
    <n v="33.28"/>
    <s v="2.4 Gal"/>
    <n v="0.85"/>
    <n v="3536"/>
    <n v="32.123943449575869"/>
    <n v="28.288"/>
  </r>
  <r>
    <n v="84139090"/>
    <x v="17"/>
    <n v="23200"/>
    <d v="2023-05-18T00:00:00"/>
    <x v="85"/>
    <x v="35"/>
    <n v="3.7853439999999999E-3"/>
    <n v="87.819980799999996"/>
    <s v="BJ"/>
    <x v="4"/>
    <x v="15"/>
    <s v="Q2"/>
    <n v="240"/>
    <n v="96.666666666666671"/>
    <s v="BJ PTS"/>
    <n v="0.9"/>
    <n v="20880"/>
    <n v="79.037982720000002"/>
    <n v="87"/>
  </r>
  <r>
    <n v="67309843"/>
    <x v="15"/>
    <n v="3500"/>
    <d v="2023-05-19T00:00:00"/>
    <x v="88"/>
    <x v="12"/>
    <n v="8.5199999999999998E-3"/>
    <n v="29.82"/>
    <s v="BR"/>
    <x v="4"/>
    <x v="6"/>
    <s v="Q2"/>
    <n v="154"/>
    <n v="22.727272727272727"/>
    <s v="48oz"/>
    <n v="0.95"/>
    <n v="3325"/>
    <n v="28.329000000000001"/>
    <n v="21.59090909090909"/>
  </r>
  <r>
    <n v="67465064"/>
    <x v="15"/>
    <n v="2800"/>
    <d v="2023-05-19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62"/>
    <x v="15"/>
    <n v="3425"/>
    <d v="2023-05-19T00:00:00"/>
    <x v="29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6492"/>
    <x v="15"/>
    <n v="2250"/>
    <d v="2023-05-19T00:00:00"/>
    <x v="8"/>
    <x v="7"/>
    <n v="5.2680000000000001E-3"/>
    <n v="11.853"/>
    <s v="PS"/>
    <x v="4"/>
    <x v="3"/>
    <s v="Q2"/>
    <n v="130"/>
    <n v="17.307692307692307"/>
    <s v="PG"/>
    <n v="0.9"/>
    <n v="2025"/>
    <n v="10.6677"/>
    <n v="15.576923076923077"/>
  </r>
  <r>
    <n v="67476560"/>
    <x v="15"/>
    <n v="1800"/>
    <d v="2023-05-19T00:00:00"/>
    <x v="10"/>
    <x v="10"/>
    <n v="5.1060000000000003E-3"/>
    <n v="9.1908000000000012"/>
    <s v="PS"/>
    <x v="4"/>
    <x v="3"/>
    <s v="Q2"/>
    <n v="130"/>
    <n v="13.846153846153847"/>
    <s v="PG"/>
    <n v="0.9"/>
    <n v="1620"/>
    <n v="8.271720000000002"/>
    <n v="12.461538461538462"/>
  </r>
  <r>
    <n v="68188183"/>
    <x v="15"/>
    <n v="1500"/>
    <d v="2023-05-19T00:00:00"/>
    <x v="70"/>
    <x v="9"/>
    <n v="3.8340000000000002E-3"/>
    <n v="5.7510000000000003"/>
    <s v="PS"/>
    <x v="4"/>
    <x v="3"/>
    <s v="Q2"/>
    <n v="130"/>
    <n v="11.538461538461538"/>
    <s v="PG"/>
    <n v="0.9"/>
    <n v="1350"/>
    <n v="5.1759000000000004"/>
    <n v="10.384615384615385"/>
  </r>
  <r>
    <n v="67309841"/>
    <x v="16"/>
    <n v="1000"/>
    <d v="2023-05-19T00:00:00"/>
    <x v="32"/>
    <x v="13"/>
    <n v="8.5199999999999998E-3"/>
    <n v="8.52"/>
    <s v="BR"/>
    <x v="4"/>
    <x v="2"/>
    <s v="Q2"/>
    <n v="154"/>
    <n v="6.4935064935064934"/>
    <s v="48oz"/>
    <n v="0.95"/>
    <n v="950"/>
    <n v="8.0939999999999994"/>
    <n v="6.1688311688311686"/>
  </r>
  <r>
    <n v="67885719"/>
    <x v="16"/>
    <n v="22800"/>
    <d v="2023-05-19T00:00:00"/>
    <x v="11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885721"/>
    <x v="16"/>
    <n v="12600"/>
    <d v="2023-05-19T00:00:00"/>
    <x v="40"/>
    <x v="13"/>
    <n v="8.5199999999999998E-3"/>
    <n v="107.352"/>
    <s v="BR"/>
    <x v="4"/>
    <x v="2"/>
    <s v="Q2"/>
    <n v="154"/>
    <n v="81.818181818181813"/>
    <s v="48oz"/>
    <n v="0.95"/>
    <n v="11970"/>
    <n v="101.98439999999999"/>
    <n v="77.72727272727272"/>
  </r>
  <r>
    <n v="67885721"/>
    <x v="16"/>
    <n v="1000"/>
    <d v="2023-05-19T00:00:00"/>
    <x v="40"/>
    <x v="32"/>
    <n v="8.5199999999999998E-3"/>
    <n v="8.52"/>
    <s v="BR"/>
    <x v="4"/>
    <x v="2"/>
    <s v="Q2"/>
    <n v="154"/>
    <n v="6.4935064935064934"/>
    <s v="48oz"/>
    <n v="0.95"/>
    <n v="950"/>
    <n v="8.0939999999999994"/>
    <n v="6.1688311688311686"/>
  </r>
  <r>
    <n v="68271452"/>
    <x v="16"/>
    <n v="4000"/>
    <d v="2023-05-19T00:00:00"/>
    <x v="142"/>
    <x v="2"/>
    <n v="8.513999999999999E-3"/>
    <n v="34.055999999999997"/>
    <s v="BR"/>
    <x v="4"/>
    <x v="2"/>
    <s v="Q2"/>
    <n v="154"/>
    <n v="25.974025974025974"/>
    <s v="48oz"/>
    <n v="0.95"/>
    <n v="3800"/>
    <n v="32.353199999999994"/>
    <n v="24.675324675324674"/>
  </r>
  <r>
    <n v="68354589"/>
    <x v="16"/>
    <n v="7600"/>
    <d v="2023-05-19T00:00:00"/>
    <x v="53"/>
    <x v="15"/>
    <n v="3.5999999999999999E-3"/>
    <n v="27.36"/>
    <s v="BJ"/>
    <x v="4"/>
    <x v="19"/>
    <s v="Q2"/>
    <n v="240"/>
    <n v="31.666666666666668"/>
    <s v="TOPPED"/>
    <n v="0.91"/>
    <n v="6916"/>
    <n v="24.897600000000001"/>
    <n v="28.81666666666667"/>
  </r>
  <r>
    <n v="68410355"/>
    <x v="16"/>
    <n v="6300"/>
    <d v="2023-05-19T00:00:00"/>
    <x v="345"/>
    <x v="14"/>
    <n v="1.98E-3"/>
    <n v="12.474"/>
    <s v="MG"/>
    <x v="4"/>
    <x v="5"/>
    <s v="Q2"/>
    <n v="176"/>
    <n v="35.795454545454547"/>
    <s v="MG Sticks"/>
    <n v="0.93"/>
    <n v="5859"/>
    <n v="11.600820000000001"/>
    <n v="33.289772727272734"/>
  </r>
  <r>
    <n v="68728321"/>
    <x v="16"/>
    <n v="1000"/>
    <d v="2023-05-19T00:00:00"/>
    <x v="150"/>
    <x v="22"/>
    <n v="3.7853439999999999E-3"/>
    <n v="3.7853439999999998"/>
    <s v="TA"/>
    <x v="4"/>
    <x v="10"/>
    <s v="Q2"/>
    <n v="255"/>
    <n v="3.9215686274509802"/>
    <s v="TALENTI"/>
    <n v="0.94"/>
    <n v="940"/>
    <n v="3.5582233599999995"/>
    <n v="3.6862745098039214"/>
  </r>
  <r>
    <n v="68741742"/>
    <x v="16"/>
    <n v="5400"/>
    <d v="2023-05-19T00:00:00"/>
    <x v="25"/>
    <x v="25"/>
    <n v="4.2560000000000002E-3"/>
    <n v="22.982400000000002"/>
    <s v="GH"/>
    <x v="4"/>
    <x v="11"/>
    <s v="Q2"/>
    <n v="154"/>
    <n v="35.064935064935064"/>
    <s v="MBG"/>
    <n v="0.87"/>
    <n v="4698"/>
    <n v="19.994688"/>
    <n v="30.506493506493506"/>
  </r>
  <r>
    <n v="68821729"/>
    <x v="16"/>
    <n v="6600"/>
    <d v="2023-05-19T00:00:00"/>
    <x v="142"/>
    <x v="2"/>
    <n v="8.5199999999999998E-3"/>
    <n v="56.231999999999999"/>
    <s v="BR"/>
    <x v="4"/>
    <x v="2"/>
    <s v="Q2"/>
    <n v="176"/>
    <n v="37.5"/>
    <s v="48oz"/>
    <n v="0.95"/>
    <n v="6270"/>
    <n v="53.420399999999994"/>
    <n v="35.625"/>
  </r>
  <r>
    <n v="68922106"/>
    <x v="16"/>
    <n v="15000"/>
    <d v="2023-05-19T00:00:00"/>
    <x v="104"/>
    <x v="22"/>
    <n v="3.552E-3"/>
    <n v="53.28"/>
    <s v="TA"/>
    <x v="4"/>
    <x v="10"/>
    <s v="Q2"/>
    <n v="255"/>
    <n v="58.823529411764703"/>
    <s v="TALENTI"/>
    <n v="0.94"/>
    <n v="14100"/>
    <n v="50.083199999999998"/>
    <n v="55.294117647058819"/>
  </r>
  <r>
    <n v="68922108"/>
    <x v="16"/>
    <n v="1000"/>
    <d v="2023-05-19T00:00:00"/>
    <x v="184"/>
    <x v="21"/>
    <n v="3.7839999999999996E-3"/>
    <n v="3.7839999999999998"/>
    <s v="TA"/>
    <x v="4"/>
    <x v="10"/>
    <s v="Q2"/>
    <n v="255"/>
    <n v="3.9215686274509802"/>
    <s v="TALENTI"/>
    <n v="0.94"/>
    <n v="940"/>
    <n v="3.5569599999999997"/>
    <n v="3.6862745098039214"/>
  </r>
  <r>
    <n v="69554202"/>
    <x v="16"/>
    <n v="7600"/>
    <d v="2023-05-19T00:00:00"/>
    <x v="47"/>
    <x v="15"/>
    <n v="3.5999999999999999E-3"/>
    <n v="27.36"/>
    <s v="BJ"/>
    <x v="4"/>
    <x v="19"/>
    <s v="Q2"/>
    <n v="240"/>
    <n v="31.666666666666668"/>
    <s v="TOPPED"/>
    <n v="0.91"/>
    <n v="6916"/>
    <n v="24.897600000000001"/>
    <n v="28.81666666666667"/>
  </r>
  <r>
    <n v="69572657"/>
    <x v="16"/>
    <n v="12000"/>
    <d v="2023-05-19T00:00:00"/>
    <x v="306"/>
    <x v="5"/>
    <n v="2.1520000000000003E-3"/>
    <n v="25.824000000000002"/>
    <s v="MG"/>
    <x v="4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5-19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5-19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9691840"/>
    <x v="16"/>
    <n v="28500"/>
    <d v="2023-05-19T00:00:00"/>
    <x v="106"/>
    <x v="21"/>
    <n v="3.7839999999999996E-3"/>
    <n v="107.84399999999999"/>
    <s v="TA"/>
    <x v="4"/>
    <x v="10"/>
    <s v="Q2"/>
    <n v="255"/>
    <n v="111.76470588235294"/>
    <s v="TALENTI"/>
    <n v="0.94"/>
    <n v="26790"/>
    <n v="101.37335999999999"/>
    <n v="105.05882352941175"/>
  </r>
  <r>
    <n v="69717803"/>
    <x v="16"/>
    <n v="5850"/>
    <d v="2023-05-19T00:00:00"/>
    <x v="69"/>
    <x v="31"/>
    <n v="4.2560000000000002E-3"/>
    <n v="24.897600000000001"/>
    <s v="BR"/>
    <x v="4"/>
    <x v="5"/>
    <s v="Q2"/>
    <n v="143"/>
    <n v="40.909090909090907"/>
    <s v="MG Sticks"/>
    <n v="0.93"/>
    <n v="5440.5"/>
    <n v="23.154768000000001"/>
    <n v="38.045454545454547"/>
  </r>
  <r>
    <n v="67466492"/>
    <x v="15"/>
    <n v="3600"/>
    <d v="2023-05-19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885716"/>
    <x v="15"/>
    <n v="9500"/>
    <d v="2023-05-19T00:00:00"/>
    <x v="89"/>
    <x v="11"/>
    <n v="8.5199999999999998E-3"/>
    <n v="80.94"/>
    <s v="BR"/>
    <x v="4"/>
    <x v="6"/>
    <s v="Q2"/>
    <n v="154"/>
    <n v="61.688311688311686"/>
    <s v="48oz"/>
    <n v="0.95"/>
    <n v="9025"/>
    <n v="76.893000000000001"/>
    <n v="58.603896103896098"/>
  </r>
  <r>
    <n v="67885724"/>
    <x v="15"/>
    <n v="7650"/>
    <d v="2023-05-19T00:00:00"/>
    <x v="49"/>
    <x v="12"/>
    <n v="8.5199999999999998E-3"/>
    <n v="65.177999999999997"/>
    <s v="BR"/>
    <x v="4"/>
    <x v="6"/>
    <s v="Q2"/>
    <n v="154"/>
    <n v="49.675324675324674"/>
    <s v="48oz"/>
    <n v="0.95"/>
    <n v="7267.5"/>
    <n v="61.919099999999993"/>
    <n v="47.191558441558435"/>
  </r>
  <r>
    <n v="68737750"/>
    <x v="15"/>
    <n v="11200"/>
    <d v="2023-05-19T00:00:00"/>
    <x v="144"/>
    <x v="23"/>
    <n v="8.5199999999999998E-3"/>
    <n v="95.423999999999992"/>
    <s v="BR"/>
    <x v="4"/>
    <x v="6"/>
    <s v="Q2"/>
    <n v="176"/>
    <n v="63.636363636363633"/>
    <s v="48oz"/>
    <n v="0.95"/>
    <n v="10640"/>
    <n v="90.652799999999985"/>
    <n v="60.454545454545446"/>
  </r>
  <r>
    <n v="68881265"/>
    <x v="15"/>
    <n v="10700"/>
    <d v="2023-05-19T00:00:00"/>
    <x v="211"/>
    <x v="16"/>
    <n v="8.5199999999999998E-3"/>
    <n v="91.164000000000001"/>
    <s v="BR"/>
    <x v="4"/>
    <x v="6"/>
    <s v="Q2"/>
    <n v="154"/>
    <n v="69.480519480519476"/>
    <s v="48oz"/>
    <n v="0.95"/>
    <n v="10165"/>
    <n v="86.605800000000002"/>
    <n v="66.006493506493499"/>
  </r>
  <r>
    <n v="69671652"/>
    <x v="15"/>
    <n v="6000"/>
    <d v="2023-05-19T00:00:00"/>
    <x v="197"/>
    <x v="24"/>
    <n v="2.8319999999999999E-3"/>
    <n v="16.992000000000001"/>
    <s v="GH"/>
    <x v="4"/>
    <x v="4"/>
    <s v="Q2"/>
    <n v="225"/>
    <n v="26.666666666666668"/>
    <s v="MBG"/>
    <n v="0.87"/>
    <n v="5220"/>
    <n v="14.783040000000002"/>
    <n v="23.2"/>
  </r>
  <r>
    <n v="67794169"/>
    <x v="18"/>
    <n v="79200"/>
    <d v="2023-05-19T00:00:00"/>
    <x v="33"/>
    <x v="35"/>
    <n v="3.7853439999999999E-3"/>
    <n v="299.7992448"/>
    <s v="BJ"/>
    <x v="4"/>
    <x v="36"/>
    <s v="Q2"/>
    <n v="240"/>
    <n v="330"/>
    <s v="BJ PTS"/>
    <n v="0.9"/>
    <n v="71280"/>
    <n v="269.81932032000003"/>
    <n v="297"/>
  </r>
  <r>
    <n v="67881629"/>
    <x v="17"/>
    <n v="42920"/>
    <d v="2023-05-19T00:00:00"/>
    <x v="65"/>
    <x v="33"/>
    <n v="3.7853439999999999E-3"/>
    <n v="162.46696448"/>
    <s v="BJ"/>
    <x v="4"/>
    <x v="15"/>
    <s v="Q2"/>
    <n v="240"/>
    <n v="178.83333333333334"/>
    <s v="BJ PTS"/>
    <n v="0.9"/>
    <n v="38628"/>
    <n v="146.22026803200001"/>
    <n v="160.95000000000002"/>
  </r>
  <r>
    <n v="84136704"/>
    <x v="17"/>
    <n v="35960"/>
    <d v="2023-05-19T00:00:00"/>
    <x v="223"/>
    <x v="35"/>
    <n v="3.7853439999999999E-3"/>
    <n v="136.12097023999999"/>
    <s v="BJ"/>
    <x v="4"/>
    <x v="15"/>
    <s v="Q2"/>
    <n v="240"/>
    <n v="149.83333333333334"/>
    <s v="BJ PTS"/>
    <n v="0.9"/>
    <n v="32364"/>
    <n v="122.508873216"/>
    <n v="134.85000000000002"/>
  </r>
  <r>
    <n v="84137721"/>
    <x v="17"/>
    <n v="4680"/>
    <d v="2023-05-19T00:00:00"/>
    <x v="271"/>
    <x v="35"/>
    <n v="9.0848256361922702E-3"/>
    <n v="42.516983977379823"/>
    <s v="BJ"/>
    <x v="4"/>
    <x v="39"/>
    <s v="Q2"/>
    <n v="125"/>
    <n v="37.44"/>
    <s v="2.4 Gal"/>
    <n v="0.85"/>
    <n v="3978"/>
    <n v="36.13943638077285"/>
    <n v="31.823999999999998"/>
  </r>
  <r>
    <n v="67465064"/>
    <x v="15"/>
    <n v="2800"/>
    <d v="2023-05-20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62"/>
    <x v="15"/>
    <n v="3425"/>
    <d v="2023-05-20T00:00:00"/>
    <x v="29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885716"/>
    <x v="15"/>
    <n v="6500"/>
    <d v="2023-05-20T00:00:00"/>
    <x v="89"/>
    <x v="11"/>
    <n v="8.5199999999999998E-3"/>
    <n v="55.379999999999995"/>
    <s v="BR"/>
    <x v="4"/>
    <x v="6"/>
    <s v="Q2"/>
    <n v="154"/>
    <n v="42.20779220779221"/>
    <s v="48oz"/>
    <n v="0.95"/>
    <n v="6175"/>
    <n v="52.61099999999999"/>
    <n v="40.097402597402599"/>
  </r>
  <r>
    <n v="68656232"/>
    <x v="15"/>
    <n v="10"/>
    <d v="2023-05-20T00:00:00"/>
    <x v="211"/>
    <x v="16"/>
    <n v="8.5199999999999998E-3"/>
    <n v="8.5199999999999998E-2"/>
    <s v="BR"/>
    <x v="4"/>
    <x v="6"/>
    <s v="Q2"/>
    <n v="154"/>
    <n v="6.4935064935064929E-2"/>
    <s v="48oz"/>
    <n v="0.95"/>
    <n v="9.5"/>
    <n v="8.0939999999999998E-2"/>
    <n v="6.1688311688311681E-2"/>
  </r>
  <r>
    <n v="67885719"/>
    <x v="16"/>
    <n v="22800"/>
    <d v="2023-05-20T00:00:00"/>
    <x v="11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885721"/>
    <x v="16"/>
    <n v="12600"/>
    <d v="2023-05-20T00:00:00"/>
    <x v="40"/>
    <x v="13"/>
    <n v="8.5199999999999998E-3"/>
    <n v="107.352"/>
    <s v="BR"/>
    <x v="4"/>
    <x v="2"/>
    <s v="Q2"/>
    <n v="154"/>
    <n v="81.818181818181813"/>
    <s v="48oz"/>
    <n v="0.95"/>
    <n v="11970"/>
    <n v="101.98439999999999"/>
    <n v="77.72727272727272"/>
  </r>
  <r>
    <n v="68741742"/>
    <x v="16"/>
    <n v="5400"/>
    <d v="2023-05-20T00:00:00"/>
    <x v="25"/>
    <x v="25"/>
    <n v="4.2560000000000002E-3"/>
    <n v="22.982400000000002"/>
    <s v="GH"/>
    <x v="4"/>
    <x v="11"/>
    <s v="Q2"/>
    <n v="154"/>
    <n v="35.064935064935064"/>
    <s v="MBG"/>
    <n v="0.87"/>
    <n v="4698"/>
    <n v="19.994688"/>
    <n v="30.506493506493506"/>
  </r>
  <r>
    <n v="68821729"/>
    <x v="16"/>
    <n v="12600"/>
    <d v="2023-05-20T00:00:00"/>
    <x v="142"/>
    <x v="2"/>
    <n v="8.5199999999999998E-3"/>
    <n v="107.352"/>
    <s v="BR"/>
    <x v="4"/>
    <x v="2"/>
    <s v="Q2"/>
    <n v="176"/>
    <n v="71.590909090909093"/>
    <s v="48oz"/>
    <n v="0.95"/>
    <n v="11970"/>
    <n v="101.98439999999999"/>
    <n v="68.01136363636364"/>
  </r>
  <r>
    <n v="68922106"/>
    <x v="16"/>
    <n v="10000"/>
    <d v="2023-05-20T00:00:00"/>
    <x v="104"/>
    <x v="22"/>
    <n v="3.552E-3"/>
    <n v="35.520000000000003"/>
    <s v="TA"/>
    <x v="4"/>
    <x v="10"/>
    <s v="Q2"/>
    <n v="255"/>
    <n v="39.215686274509807"/>
    <s v="TALENTI"/>
    <n v="0.94"/>
    <n v="9400"/>
    <n v="33.388800000000003"/>
    <n v="36.86274509803922"/>
  </r>
  <r>
    <n v="68922108"/>
    <x v="16"/>
    <n v="34200"/>
    <d v="2023-05-20T00:00:00"/>
    <x v="184"/>
    <x v="21"/>
    <n v="3.7839999999999996E-3"/>
    <n v="129.41279999999998"/>
    <s v="TA"/>
    <x v="4"/>
    <x v="10"/>
    <s v="Q2"/>
    <n v="255"/>
    <n v="134.11764705882354"/>
    <s v="TALENTI"/>
    <n v="0.94"/>
    <n v="32147.999999999996"/>
    <n v="121.64803199999997"/>
    <n v="126.07058823529411"/>
  </r>
  <r>
    <n v="69572657"/>
    <x v="16"/>
    <n v="12000"/>
    <d v="2023-05-20T00:00:00"/>
    <x v="306"/>
    <x v="5"/>
    <n v="2.1520000000000003E-3"/>
    <n v="25.824000000000002"/>
    <s v="MG"/>
    <x v="4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5-20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5-20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9600859"/>
    <x v="17"/>
    <n v="4160"/>
    <d v="2023-05-20T00:00:00"/>
    <x v="209"/>
    <x v="35"/>
    <n v="9.0850000000000011E-3"/>
    <n v="37.793600000000005"/>
    <s v="BJ"/>
    <x v="4"/>
    <x v="39"/>
    <s v="Q2"/>
    <n v="125"/>
    <n v="33.28"/>
    <s v="2.4 Gal"/>
    <n v="0.85"/>
    <n v="3536"/>
    <n v="32.124560000000002"/>
    <n v="28.288"/>
  </r>
  <r>
    <n v="67466492"/>
    <x v="15"/>
    <n v="3600"/>
    <d v="2023-05-20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885724"/>
    <x v="15"/>
    <n v="10800"/>
    <d v="2023-05-20T00:00:00"/>
    <x v="49"/>
    <x v="12"/>
    <n v="8.5199999999999998E-3"/>
    <n v="92.015999999999991"/>
    <s v="BR"/>
    <x v="4"/>
    <x v="6"/>
    <s v="Q2"/>
    <n v="154"/>
    <n v="70.129870129870127"/>
    <s v="48oz"/>
    <n v="0.95"/>
    <n v="10260"/>
    <n v="87.415199999999984"/>
    <n v="66.623376623376615"/>
  </r>
  <r>
    <n v="68850683"/>
    <x v="15"/>
    <n v="5500"/>
    <d v="2023-05-20T00:00:00"/>
    <x v="335"/>
    <x v="11"/>
    <n v="8.5199999999999998E-3"/>
    <n v="46.86"/>
    <s v="BR"/>
    <x v="4"/>
    <x v="6"/>
    <s v="Q2"/>
    <n v="176"/>
    <n v="31.25"/>
    <s v="48oz"/>
    <n v="0.95"/>
    <n v="5225"/>
    <n v="44.516999999999996"/>
    <n v="29.6875"/>
  </r>
  <r>
    <n v="69671652"/>
    <x v="15"/>
    <n v="6000"/>
    <d v="2023-05-20T00:00:00"/>
    <x v="197"/>
    <x v="24"/>
    <n v="2.8319999999999999E-3"/>
    <n v="16.992000000000001"/>
    <s v="GH"/>
    <x v="4"/>
    <x v="4"/>
    <s v="Q2"/>
    <n v="225"/>
    <n v="26.666666666666668"/>
    <s v="MBG"/>
    <n v="0.87"/>
    <n v="5220"/>
    <n v="14.783040000000002"/>
    <n v="23.2"/>
  </r>
  <r>
    <n v="67825196"/>
    <x v="17"/>
    <n v="6240"/>
    <d v="2023-05-20T00:00:00"/>
    <x v="350"/>
    <x v="35"/>
    <n v="9.0848256361922702E-3"/>
    <n v="56.689311969839764"/>
    <s v="BJ"/>
    <x v="4"/>
    <x v="39"/>
    <s v="Q2"/>
    <n v="125"/>
    <n v="49.92"/>
    <s v="2.4 Gal"/>
    <n v="0.85"/>
    <n v="5304"/>
    <n v="48.185915174363799"/>
    <n v="42.432000000000002"/>
  </r>
  <r>
    <n v="67465064"/>
    <x v="15"/>
    <n v="2800"/>
    <d v="2023-05-21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9671652"/>
    <x v="15"/>
    <n v="3000"/>
    <d v="2023-05-21T00:00:00"/>
    <x v="197"/>
    <x v="24"/>
    <n v="2.8319999999999999E-3"/>
    <n v="8.4960000000000004"/>
    <s v="GH"/>
    <x v="4"/>
    <x v="4"/>
    <s v="Q2"/>
    <n v="225"/>
    <n v="13.333333333333334"/>
    <s v="MBG"/>
    <n v="0.87"/>
    <n v="2610"/>
    <n v="7.3915200000000008"/>
    <n v="11.6"/>
  </r>
  <r>
    <n v="67885719"/>
    <x v="16"/>
    <n v="17100"/>
    <d v="2023-05-21T00:00:00"/>
    <x v="11"/>
    <x v="32"/>
    <n v="8.5199999999999998E-3"/>
    <n v="145.69200000000001"/>
    <s v="BR"/>
    <x v="4"/>
    <x v="2"/>
    <s v="Q2"/>
    <n v="154"/>
    <n v="111.03896103896103"/>
    <s v="48oz"/>
    <n v="0.95"/>
    <n v="16245"/>
    <n v="138.4074"/>
    <n v="105.48701298701297"/>
  </r>
  <r>
    <n v="67885721"/>
    <x v="16"/>
    <n v="9450"/>
    <d v="2023-05-21T00:00:00"/>
    <x v="40"/>
    <x v="13"/>
    <n v="8.5199999999999998E-3"/>
    <n v="80.513999999999996"/>
    <s v="BR"/>
    <x v="4"/>
    <x v="2"/>
    <s v="Q2"/>
    <n v="154"/>
    <n v="61.363636363636367"/>
    <s v="48oz"/>
    <n v="0.95"/>
    <n v="8977.5"/>
    <n v="76.488299999999995"/>
    <n v="58.295454545454547"/>
  </r>
  <r>
    <n v="68741742"/>
    <x v="16"/>
    <n v="5400"/>
    <d v="2023-05-21T00:00:00"/>
    <x v="25"/>
    <x v="25"/>
    <n v="4.2560000000000002E-3"/>
    <n v="22.982400000000002"/>
    <s v="GH"/>
    <x v="4"/>
    <x v="11"/>
    <s v="Q2"/>
    <n v="154"/>
    <n v="35.064935064935064"/>
    <s v="MBG"/>
    <n v="0.87"/>
    <n v="4698"/>
    <n v="19.994688"/>
    <n v="30.506493506493506"/>
  </r>
  <r>
    <n v="68821729"/>
    <x v="16"/>
    <n v="6500"/>
    <d v="2023-05-21T00:00:00"/>
    <x v="142"/>
    <x v="2"/>
    <n v="8.5199999999999998E-3"/>
    <n v="55.379999999999995"/>
    <s v="BR"/>
    <x v="4"/>
    <x v="2"/>
    <s v="Q2"/>
    <n v="176"/>
    <n v="36.93181818181818"/>
    <s v="48oz"/>
    <n v="0.95"/>
    <n v="6175"/>
    <n v="52.61099999999999"/>
    <n v="35.085227272727266"/>
  </r>
  <r>
    <n v="69572657"/>
    <x v="16"/>
    <n v="12000"/>
    <d v="2023-05-21T00:00:00"/>
    <x v="306"/>
    <x v="5"/>
    <n v="2.1520000000000003E-3"/>
    <n v="25.824000000000002"/>
    <s v="MG"/>
    <x v="4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5-21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5-21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7278444"/>
    <x v="17"/>
    <n v="9600"/>
    <d v="2023-05-21T00:00:00"/>
    <x v="213"/>
    <x v="38"/>
    <n v="3.7839999999999996E-3"/>
    <n v="36.3264"/>
    <s v="BJ"/>
    <x v="4"/>
    <x v="15"/>
    <s v="Q2"/>
    <n v="240"/>
    <n v="40"/>
    <s v="BJ PTS"/>
    <n v="0.9"/>
    <n v="8640"/>
    <n v="32.693759999999997"/>
    <n v="36"/>
  </r>
  <r>
    <n v="67278448"/>
    <x v="17"/>
    <n v="15080"/>
    <d v="2023-05-21T00:00:00"/>
    <x v="182"/>
    <x v="34"/>
    <n v="3.7839999999999996E-3"/>
    <n v="57.062719999999992"/>
    <s v="BJ"/>
    <x v="4"/>
    <x v="15"/>
    <s v="Q2"/>
    <n v="240"/>
    <n v="62.833333333333336"/>
    <s v="BJ PTS"/>
    <n v="0.9"/>
    <n v="13572"/>
    <n v="51.356447999999993"/>
    <n v="56.550000000000004"/>
  </r>
  <r>
    <n v="68938274"/>
    <x v="17"/>
    <n v="18560"/>
    <d v="2023-05-21T00:00:00"/>
    <x v="194"/>
    <x v="35"/>
    <n v="3.7839999999999996E-3"/>
    <n v="70.231039999999993"/>
    <s v="BJ"/>
    <x v="4"/>
    <x v="15"/>
    <s v="Q2"/>
    <n v="240"/>
    <n v="77.333333333333329"/>
    <s v="BJ PTS"/>
    <n v="0.9"/>
    <n v="16704"/>
    <n v="63.207935999999997"/>
    <n v="69.599999999999994"/>
  </r>
  <r>
    <n v="67466462"/>
    <x v="15"/>
    <n v="3425"/>
    <d v="2023-05-21T00:00:00"/>
    <x v="29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6492"/>
    <x v="15"/>
    <n v="3600"/>
    <d v="2023-05-21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885724"/>
    <x v="15"/>
    <n v="10800"/>
    <d v="2023-05-21T00:00:00"/>
    <x v="49"/>
    <x v="12"/>
    <n v="8.5199999999999998E-3"/>
    <n v="92.015999999999991"/>
    <s v="BR"/>
    <x v="4"/>
    <x v="6"/>
    <s v="Q2"/>
    <n v="154"/>
    <n v="70.129870129870127"/>
    <s v="48oz"/>
    <n v="0.95"/>
    <n v="10260"/>
    <n v="87.415199999999984"/>
    <n v="66.623376623376615"/>
  </r>
  <r>
    <n v="68850683"/>
    <x v="15"/>
    <n v="12000"/>
    <d v="2023-05-21T00:00:00"/>
    <x v="335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67465063"/>
    <x v="15"/>
    <n v="1713"/>
    <d v="2023-05-22T00:00:00"/>
    <x v="3"/>
    <x v="6"/>
    <n v="5.2680000000000001E-3"/>
    <n v="9.0240840000000002"/>
    <s v="PS"/>
    <x v="4"/>
    <x v="3"/>
    <s v="Q2"/>
    <n v="130"/>
    <n v="13.176923076923076"/>
    <s v="PG"/>
    <n v="0.9"/>
    <n v="1541.7"/>
    <n v="8.1216755999999997"/>
    <n v="11.859230769230768"/>
  </r>
  <r>
    <n v="67465064"/>
    <x v="15"/>
    <n v="2800"/>
    <d v="2023-05-22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92"/>
    <x v="15"/>
    <n v="1800"/>
    <d v="2023-05-22T00:00:00"/>
    <x v="8"/>
    <x v="8"/>
    <n v="5.2680000000000001E-3"/>
    <n v="9.4824000000000002"/>
    <s v="PS"/>
    <x v="4"/>
    <x v="3"/>
    <s v="Q2"/>
    <n v="130"/>
    <n v="13.846153846153847"/>
    <s v="PG"/>
    <n v="0.9"/>
    <n v="1620"/>
    <n v="8.53416"/>
    <n v="12.461538461538462"/>
  </r>
  <r>
    <n v="67476560"/>
    <x v="15"/>
    <n v="1800"/>
    <d v="2023-05-22T00:00:00"/>
    <x v="10"/>
    <x v="10"/>
    <n v="5.1060000000000003E-3"/>
    <n v="9.1908000000000012"/>
    <s v="PS"/>
    <x v="4"/>
    <x v="3"/>
    <s v="Q2"/>
    <n v="130"/>
    <n v="13.846153846153847"/>
    <s v="PG"/>
    <n v="0.9"/>
    <n v="1620"/>
    <n v="8.271720000000002"/>
    <n v="12.461538461538462"/>
  </r>
  <r>
    <n v="69677917"/>
    <x v="15"/>
    <n v="975"/>
    <d v="2023-05-22T00:00:00"/>
    <x v="30"/>
    <x v="29"/>
    <n v="5.2680000000000001E-3"/>
    <n v="5.1363000000000003"/>
    <s v="PS"/>
    <x v="4"/>
    <x v="3"/>
    <s v="Q2"/>
    <n v="108"/>
    <n v="9.0277777777777786"/>
    <s v="PG"/>
    <n v="0.9"/>
    <n v="877.5"/>
    <n v="4.6226700000000003"/>
    <n v="8.1250000000000018"/>
  </r>
  <r>
    <n v="67885717"/>
    <x v="16"/>
    <n v="6300"/>
    <d v="2023-05-22T00:00:00"/>
    <x v="38"/>
    <x v="13"/>
    <n v="8.5199999999999998E-3"/>
    <n v="53.676000000000002"/>
    <s v="BR"/>
    <x v="4"/>
    <x v="2"/>
    <s v="Q2"/>
    <n v="154"/>
    <n v="40.909090909090907"/>
    <s v="48oz"/>
    <n v="0.95"/>
    <n v="5985"/>
    <n v="50.992199999999997"/>
    <n v="38.86363636363636"/>
  </r>
  <r>
    <n v="67885718"/>
    <x v="16"/>
    <n v="12600"/>
    <d v="2023-05-22T00:00:00"/>
    <x v="48"/>
    <x v="2"/>
    <n v="8.5199999999999998E-3"/>
    <n v="107.352"/>
    <s v="BR"/>
    <x v="4"/>
    <x v="2"/>
    <s v="Q2"/>
    <n v="154"/>
    <n v="81.818181818181813"/>
    <s v="48oz"/>
    <n v="0.95"/>
    <n v="11970"/>
    <n v="101.98439999999999"/>
    <n v="77.72727272727272"/>
  </r>
  <r>
    <n v="67885721"/>
    <x v="16"/>
    <n v="6300"/>
    <d v="2023-05-22T00:00:00"/>
    <x v="40"/>
    <x v="13"/>
    <n v="8.5199999999999998E-3"/>
    <n v="53.676000000000002"/>
    <s v="BR"/>
    <x v="4"/>
    <x v="2"/>
    <s v="Q2"/>
    <n v="154"/>
    <n v="40.909090909090907"/>
    <s v="48oz"/>
    <n v="0.95"/>
    <n v="5985"/>
    <n v="50.992199999999997"/>
    <n v="38.86363636363636"/>
  </r>
  <r>
    <n v="67901589"/>
    <x v="16"/>
    <n v="22800"/>
    <d v="2023-05-22T00:00:00"/>
    <x v="220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908208"/>
    <x v="16"/>
    <n v="2700"/>
    <d v="2023-05-22T00:00:00"/>
    <x v="225"/>
    <x v="25"/>
    <n v="3.9039999999999999E-3"/>
    <n v="10.540799999999999"/>
    <s v="GH"/>
    <x v="4"/>
    <x v="11"/>
    <s v="Q2"/>
    <n v="154"/>
    <n v="17.532467532467532"/>
    <s v="MBG"/>
    <n v="0.87"/>
    <n v="2349"/>
    <n v="9.170496"/>
    <n v="15.253246753246753"/>
  </r>
  <r>
    <n v="68728342"/>
    <x v="16"/>
    <n v="15000"/>
    <d v="2023-05-22T00:00:00"/>
    <x v="44"/>
    <x v="22"/>
    <n v="3.7853439999999999E-3"/>
    <n v="56.780160000000002"/>
    <s v="TA"/>
    <x v="4"/>
    <x v="10"/>
    <s v="Q2"/>
    <n v="255"/>
    <n v="58.823529411764703"/>
    <s v="TALENTI"/>
    <n v="0.94"/>
    <n v="14100"/>
    <n v="53.3733504"/>
    <n v="55.294117647058819"/>
  </r>
  <r>
    <n v="68728342"/>
    <x v="16"/>
    <n v="15000"/>
    <d v="2023-05-22T00:00:00"/>
    <x v="44"/>
    <x v="22"/>
    <n v="3.7853439999999999E-3"/>
    <n v="56.780160000000002"/>
    <s v="TA"/>
    <x v="4"/>
    <x v="10"/>
    <s v="Q2"/>
    <n v="255"/>
    <n v="58.823529411764703"/>
    <s v="TALENTI"/>
    <n v="0.94"/>
    <n v="14100"/>
    <n v="53.3733504"/>
    <n v="55.294117647058819"/>
  </r>
  <r>
    <n v="68730254"/>
    <x v="16"/>
    <n v="34200"/>
    <d v="2023-05-22T00:00:00"/>
    <x v="128"/>
    <x v="21"/>
    <n v="3.7853440000000004E-3"/>
    <n v="129.45876480000001"/>
    <s v="TA"/>
    <x v="4"/>
    <x v="10"/>
    <s v="Q2"/>
    <n v="255"/>
    <n v="134.11764705882354"/>
    <s v="TALENTI"/>
    <n v="0.94"/>
    <n v="32147.999999999996"/>
    <n v="121.691238912"/>
    <n v="126.07058823529411"/>
  </r>
  <r>
    <n v="69572657"/>
    <x v="16"/>
    <n v="3000"/>
    <d v="2023-05-22T00:00:00"/>
    <x v="306"/>
    <x v="5"/>
    <n v="2.1520000000000003E-3"/>
    <n v="6.4560000000000004"/>
    <s v="MG"/>
    <x v="4"/>
    <x v="5"/>
    <s v="Q2"/>
    <n v="210"/>
    <n v="14.285714285714286"/>
    <s v="MG Sticks"/>
    <n v="0.93"/>
    <n v="2790"/>
    <n v="6.004080000000001"/>
    <n v="13.285714285714286"/>
  </r>
  <r>
    <n v="69621212"/>
    <x v="16"/>
    <n v="5400"/>
    <d v="2023-05-22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2700"/>
    <d v="2023-05-22T00:00:00"/>
    <x v="30"/>
    <x v="30"/>
    <n v="5.2680000000000001E-3"/>
    <n v="14.223600000000001"/>
    <s v="PS"/>
    <x v="4"/>
    <x v="14"/>
    <s v="Q2"/>
    <n v="108"/>
    <n v="25"/>
    <s v="PG"/>
    <n v="0.9"/>
    <n v="2430"/>
    <n v="12.801240000000002"/>
    <n v="22.5"/>
  </r>
  <r>
    <n v="69706147"/>
    <x v="16"/>
    <n v="7000"/>
    <d v="2023-05-22T00:00:00"/>
    <x v="195"/>
    <x v="31"/>
    <n v="3.8999999999999998E-3"/>
    <n v="27.299999999999997"/>
    <s v="TA"/>
    <x v="4"/>
    <x v="42"/>
    <s v="Q2"/>
    <n v="176"/>
    <n v="39.772727272727273"/>
    <s v="TAL NV"/>
    <n v="0.97"/>
    <n v="6790"/>
    <n v="26.480999999999998"/>
    <n v="38.579545454545453"/>
  </r>
  <r>
    <n v="84164936"/>
    <x v="16"/>
    <n v="15500"/>
    <d v="2023-05-22T00:00:00"/>
    <x v="162"/>
    <x v="15"/>
    <n v="3.7853439999999999E-3"/>
    <n v="58.672832"/>
    <s v="BJ"/>
    <x v="4"/>
    <x v="30"/>
    <s v="Q2"/>
    <n v="240"/>
    <n v="64.583333333333329"/>
    <s v="BJ PTS"/>
    <n v="0.9"/>
    <n v="13950"/>
    <n v="52.805548800000004"/>
    <n v="58.125"/>
  </r>
  <r>
    <n v="67278448"/>
    <x v="17"/>
    <n v="19720"/>
    <d v="2023-05-22T00:00:00"/>
    <x v="182"/>
    <x v="34"/>
    <n v="3.7839999999999996E-3"/>
    <n v="74.620479999999986"/>
    <s v="BJ"/>
    <x v="4"/>
    <x v="15"/>
    <s v="Q2"/>
    <n v="240"/>
    <n v="82.166666666666671"/>
    <s v="BJ PTS"/>
    <n v="0.9"/>
    <n v="17748"/>
    <n v="67.158431999999991"/>
    <n v="73.95"/>
  </r>
  <r>
    <n v="67465063"/>
    <x v="15"/>
    <n v="2568"/>
    <d v="2023-05-22T00:00:00"/>
    <x v="3"/>
    <x v="40"/>
    <n v="5.2680000000000001E-3"/>
    <n v="13.528224"/>
    <s v="PS"/>
    <x v="4"/>
    <x v="3"/>
    <s v="Q2"/>
    <n v="130"/>
    <n v="19.753846153846155"/>
    <s v="PG"/>
    <n v="0.9"/>
    <n v="2311.2000000000003"/>
    <n v="12.175401600000001"/>
    <n v="17.778461538461539"/>
  </r>
  <r>
    <n v="67466492"/>
    <x v="15"/>
    <n v="4500"/>
    <d v="2023-05-22T00:00:00"/>
    <x v="8"/>
    <x v="7"/>
    <n v="5.2680000000000001E-3"/>
    <n v="23.706"/>
    <s v="PS"/>
    <x v="4"/>
    <x v="3"/>
    <s v="Q2"/>
    <n v="130"/>
    <n v="34.615384615384613"/>
    <s v="PG"/>
    <n v="0.9"/>
    <n v="4050"/>
    <n v="21.3354"/>
    <n v="31.153846153846153"/>
  </r>
  <r>
    <n v="67723726"/>
    <x v="15"/>
    <n v="11200"/>
    <d v="2023-05-22T00:00:00"/>
    <x v="109"/>
    <x v="23"/>
    <n v="8.5199999999999998E-3"/>
    <n v="95.423999999999992"/>
    <s v="BR"/>
    <x v="4"/>
    <x v="6"/>
    <s v="Q2"/>
    <n v="154"/>
    <n v="72.727272727272734"/>
    <s v="48oz"/>
    <n v="0.95"/>
    <n v="10640"/>
    <n v="90.652799999999985"/>
    <n v="69.090909090909093"/>
  </r>
  <r>
    <n v="67885724"/>
    <x v="15"/>
    <n v="10800"/>
    <d v="2023-05-22T00:00:00"/>
    <x v="49"/>
    <x v="12"/>
    <n v="8.5199999999999998E-3"/>
    <n v="92.015999999999991"/>
    <s v="BR"/>
    <x v="4"/>
    <x v="6"/>
    <s v="Q2"/>
    <n v="154"/>
    <n v="70.129870129870127"/>
    <s v="48oz"/>
    <n v="0.95"/>
    <n v="10260"/>
    <n v="87.415199999999984"/>
    <n v="66.623376623376615"/>
  </r>
  <r>
    <n v="68188183"/>
    <x v="15"/>
    <n v="3000"/>
    <d v="2023-05-22T00:00:00"/>
    <x v="70"/>
    <x v="9"/>
    <n v="3.8340000000000002E-3"/>
    <n v="11.502000000000001"/>
    <s v="PS"/>
    <x v="4"/>
    <x v="3"/>
    <s v="Q2"/>
    <n v="130"/>
    <n v="23.076923076923077"/>
    <s v="PG"/>
    <n v="0.9"/>
    <n v="2700"/>
    <n v="10.351800000000001"/>
    <n v="20.76923076923077"/>
  </r>
  <r>
    <n v="68850683"/>
    <x v="15"/>
    <n v="12000"/>
    <d v="2023-05-22T00:00:00"/>
    <x v="335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69568828"/>
    <x v="15"/>
    <n v="10700"/>
    <d v="2023-05-22T00:00:00"/>
    <x v="12"/>
    <x v="16"/>
    <n v="8.5199999999999998E-3"/>
    <n v="91.164000000000001"/>
    <s v="BR"/>
    <x v="4"/>
    <x v="6"/>
    <s v="Q2"/>
    <n v="176"/>
    <n v="60.795454545454547"/>
    <s v="48oz"/>
    <n v="0.95"/>
    <n v="10165"/>
    <n v="86.605800000000002"/>
    <n v="57.75568181818182"/>
  </r>
  <r>
    <n v="84141103"/>
    <x v="18"/>
    <n v="69300"/>
    <d v="2023-05-22T00:00:00"/>
    <x v="294"/>
    <x v="38"/>
    <n v="3.7853439999999999E-3"/>
    <n v="262.3243392"/>
    <s v="BJ"/>
    <x v="4"/>
    <x v="36"/>
    <s v="Q2"/>
    <n v="240"/>
    <n v="288.75"/>
    <s v="BJ PTS"/>
    <n v="0.9"/>
    <n v="62370"/>
    <n v="236.09190527999999"/>
    <n v="259.875"/>
  </r>
  <r>
    <n v="67278365"/>
    <x v="17"/>
    <n v="6240"/>
    <d v="2023-05-22T00:00:00"/>
    <x v="351"/>
    <x v="35"/>
    <n v="9.0848256361922702E-3"/>
    <n v="56.689311969839764"/>
    <s v="BJ"/>
    <x v="4"/>
    <x v="39"/>
    <s v="Q2"/>
    <n v="125"/>
    <n v="49.92"/>
    <s v="2.4 Gal"/>
    <n v="0.85"/>
    <n v="5304"/>
    <n v="48.185915174363799"/>
    <n v="42.432000000000002"/>
  </r>
  <r>
    <n v="67278444"/>
    <x v="17"/>
    <n v="38400"/>
    <d v="2023-05-22T00:00:00"/>
    <x v="213"/>
    <x v="38"/>
    <n v="3.7839999999999996E-3"/>
    <n v="145.3056"/>
    <s v="BJ"/>
    <x v="4"/>
    <x v="15"/>
    <s v="Q2"/>
    <n v="240"/>
    <n v="160"/>
    <s v="BJ PTS"/>
    <n v="0.9"/>
    <n v="34560"/>
    <n v="130.77503999999999"/>
    <n v="144"/>
  </r>
  <r>
    <n v="67905834"/>
    <x v="17"/>
    <n v="32480"/>
    <d v="2023-05-22T00:00:00"/>
    <x v="201"/>
    <x v="38"/>
    <n v="3.7839999999999996E-3"/>
    <n v="122.90431999999998"/>
    <s v="BJ"/>
    <x v="4"/>
    <x v="15"/>
    <s v="Q2"/>
    <n v="240"/>
    <n v="135.33333333333334"/>
    <s v="BJ PTS"/>
    <n v="0.9"/>
    <n v="29232"/>
    <n v="110.61388799999999"/>
    <n v="121.80000000000001"/>
  </r>
  <r>
    <n v="68188514"/>
    <x v="17"/>
    <n v="34800"/>
    <d v="2023-05-22T00:00:00"/>
    <x v="180"/>
    <x v="35"/>
    <n v="3.7853439999999999E-3"/>
    <n v="131.72997119999999"/>
    <s v="BJ"/>
    <x v="4"/>
    <x v="15"/>
    <s v="Q2"/>
    <n v="240"/>
    <n v="145"/>
    <s v="BJ PTS"/>
    <n v="0.9"/>
    <n v="31320"/>
    <n v="118.55697408"/>
    <n v="130.5"/>
  </r>
  <r>
    <n v="67465063"/>
    <x v="15"/>
    <n v="2568"/>
    <d v="2023-05-23T00:00:00"/>
    <x v="3"/>
    <x v="40"/>
    <n v="5.2680000000000001E-3"/>
    <n v="13.528224"/>
    <s v="PS"/>
    <x v="4"/>
    <x v="3"/>
    <s v="Q2"/>
    <n v="130"/>
    <n v="19.753846153846155"/>
    <s v="PG"/>
    <n v="0.9"/>
    <n v="2311.2000000000003"/>
    <n v="12.175401600000001"/>
    <n v="17.778461538461539"/>
  </r>
  <r>
    <n v="67465063"/>
    <x v="15"/>
    <n v="3425"/>
    <d v="2023-05-23T00:00:00"/>
    <x v="3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76560"/>
    <x v="15"/>
    <n v="3600"/>
    <d v="2023-05-23T00:00:00"/>
    <x v="10"/>
    <x v="10"/>
    <n v="5.1060000000000003E-3"/>
    <n v="18.381600000000002"/>
    <s v="PS"/>
    <x v="4"/>
    <x v="3"/>
    <s v="Q2"/>
    <n v="130"/>
    <n v="27.692307692307693"/>
    <s v="PG"/>
    <n v="0.9"/>
    <n v="3240"/>
    <n v="16.543440000000004"/>
    <n v="24.923076923076923"/>
  </r>
  <r>
    <n v="68188183"/>
    <x v="15"/>
    <n v="3000"/>
    <d v="2023-05-23T00:00:00"/>
    <x v="70"/>
    <x v="9"/>
    <n v="3.8340000000000002E-3"/>
    <n v="11.502000000000001"/>
    <s v="PS"/>
    <x v="4"/>
    <x v="3"/>
    <s v="Q2"/>
    <n v="130"/>
    <n v="23.076923076923077"/>
    <s v="PG"/>
    <n v="0.9"/>
    <n v="2700"/>
    <n v="10.351800000000001"/>
    <n v="20.76923076923077"/>
  </r>
  <r>
    <n v="69677917"/>
    <x v="15"/>
    <n v="1950"/>
    <d v="2023-05-23T00:00:00"/>
    <x v="30"/>
    <x v="29"/>
    <n v="5.2680000000000001E-3"/>
    <n v="10.272600000000001"/>
    <s v="PS"/>
    <x v="4"/>
    <x v="3"/>
    <s v="Q2"/>
    <n v="108"/>
    <n v="18.055555555555557"/>
    <s v="PG"/>
    <n v="0.9"/>
    <n v="1755"/>
    <n v="9.2453400000000006"/>
    <n v="16.250000000000004"/>
  </r>
  <r>
    <n v="67885718"/>
    <x v="16"/>
    <n v="12600"/>
    <d v="2023-05-23T00:00:00"/>
    <x v="48"/>
    <x v="2"/>
    <n v="8.5199999999999998E-3"/>
    <n v="107.352"/>
    <s v="BR"/>
    <x v="4"/>
    <x v="2"/>
    <s v="Q2"/>
    <n v="154"/>
    <n v="81.818181818181813"/>
    <s v="48oz"/>
    <n v="0.95"/>
    <n v="11970"/>
    <n v="101.98439999999999"/>
    <n v="77.72727272727272"/>
  </r>
  <r>
    <n v="67885721"/>
    <x v="16"/>
    <n v="12600"/>
    <d v="2023-05-23T00:00:00"/>
    <x v="40"/>
    <x v="13"/>
    <n v="8.5199999999999998E-3"/>
    <n v="107.352"/>
    <s v="BR"/>
    <x v="4"/>
    <x v="2"/>
    <s v="Q2"/>
    <n v="154"/>
    <n v="81.818181818181813"/>
    <s v="48oz"/>
    <n v="0.95"/>
    <n v="11970"/>
    <n v="101.98439999999999"/>
    <n v="77.72727272727272"/>
  </r>
  <r>
    <n v="67901589"/>
    <x v="16"/>
    <n v="22800"/>
    <d v="2023-05-23T00:00:00"/>
    <x v="220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908208"/>
    <x v="16"/>
    <n v="5400"/>
    <d v="2023-05-23T00:00:00"/>
    <x v="225"/>
    <x v="25"/>
    <n v="3.9039999999999999E-3"/>
    <n v="21.081599999999998"/>
    <s v="GH"/>
    <x v="4"/>
    <x v="11"/>
    <s v="Q2"/>
    <n v="154"/>
    <n v="35.064935064935064"/>
    <s v="MBG"/>
    <n v="0.87"/>
    <n v="4698"/>
    <n v="18.340992"/>
    <n v="30.506493506493506"/>
  </r>
  <r>
    <n v="68728342"/>
    <x v="16"/>
    <n v="15000"/>
    <d v="2023-05-23T00:00:00"/>
    <x v="44"/>
    <x v="22"/>
    <n v="3.7853439999999999E-3"/>
    <n v="56.780160000000002"/>
    <s v="TA"/>
    <x v="4"/>
    <x v="10"/>
    <s v="Q2"/>
    <n v="255"/>
    <n v="58.823529411764703"/>
    <s v="TALENTI"/>
    <n v="0.94"/>
    <n v="14100"/>
    <n v="53.3733504"/>
    <n v="55.294117647058819"/>
  </r>
  <r>
    <n v="68730254"/>
    <x v="16"/>
    <n v="34200"/>
    <d v="2023-05-23T00:00:00"/>
    <x v="128"/>
    <x v="21"/>
    <n v="3.7853440000000004E-3"/>
    <n v="129.45876480000001"/>
    <s v="TA"/>
    <x v="4"/>
    <x v="10"/>
    <s v="Q2"/>
    <n v="255"/>
    <n v="134.11764705882354"/>
    <s v="TALENTI"/>
    <n v="0.94"/>
    <n v="32147.999999999996"/>
    <n v="121.691238912"/>
    <n v="126.07058823529411"/>
  </r>
  <r>
    <n v="69555090"/>
    <x v="16"/>
    <n v="6400"/>
    <d v="2023-05-23T00:00:00"/>
    <x v="254"/>
    <x v="14"/>
    <n v="1.98E-3"/>
    <n v="12.672000000000001"/>
    <s v="TA"/>
    <x v="4"/>
    <x v="42"/>
    <s v="Q2"/>
    <n v="176"/>
    <n v="36.363636363636367"/>
    <s v="TAL NV"/>
    <n v="0.97"/>
    <n v="6208"/>
    <n v="12.291840000000001"/>
    <n v="35.272727272727273"/>
  </r>
  <r>
    <n v="69572657"/>
    <x v="16"/>
    <n v="12000"/>
    <d v="2023-05-23T00:00:00"/>
    <x v="306"/>
    <x v="5"/>
    <n v="2.1520000000000003E-3"/>
    <n v="25.824000000000002"/>
    <s v="MG"/>
    <x v="4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5-23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5-23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9706147"/>
    <x v="16"/>
    <n v="8400"/>
    <d v="2023-05-23T00:00:00"/>
    <x v="195"/>
    <x v="31"/>
    <n v="3.8999999999999998E-3"/>
    <n v="32.76"/>
    <s v="TA"/>
    <x v="4"/>
    <x v="42"/>
    <s v="Q2"/>
    <n v="176"/>
    <n v="47.727272727272727"/>
    <s v="TAL NV"/>
    <n v="0.97"/>
    <n v="8148"/>
    <n v="31.777199999999997"/>
    <n v="46.295454545454547"/>
  </r>
  <r>
    <n v="84164936"/>
    <x v="16"/>
    <n v="7750"/>
    <d v="2023-05-23T00:00:00"/>
    <x v="162"/>
    <x v="15"/>
    <n v="3.7853439999999999E-3"/>
    <n v="29.336416"/>
    <s v="BJ"/>
    <x v="4"/>
    <x v="30"/>
    <s v="Q2"/>
    <n v="240"/>
    <n v="32.291666666666664"/>
    <s v="BJ PTS"/>
    <n v="0.9"/>
    <n v="6975"/>
    <n v="26.402774400000002"/>
    <n v="29.0625"/>
  </r>
  <r>
    <n v="68188513"/>
    <x v="17"/>
    <n v="16240"/>
    <d v="2023-05-23T00:00:00"/>
    <x v="279"/>
    <x v="33"/>
    <n v="3.7853439999999999E-3"/>
    <n v="61.47398656"/>
    <s v="BJ"/>
    <x v="4"/>
    <x v="15"/>
    <s v="Q2"/>
    <n v="240"/>
    <n v="67.666666666666671"/>
    <s v="BJ PTS"/>
    <n v="0.9"/>
    <n v="14616"/>
    <n v="55.326587904"/>
    <n v="60.900000000000006"/>
  </r>
  <r>
    <n v="67465064"/>
    <x v="15"/>
    <n v="2800"/>
    <d v="2023-05-23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92"/>
    <x v="15"/>
    <n v="4500"/>
    <d v="2023-05-23T00:00:00"/>
    <x v="8"/>
    <x v="7"/>
    <n v="5.2680000000000001E-3"/>
    <n v="23.706"/>
    <s v="PS"/>
    <x v="4"/>
    <x v="3"/>
    <s v="Q2"/>
    <n v="130"/>
    <n v="34.615384615384613"/>
    <s v="PG"/>
    <n v="0.9"/>
    <n v="4050"/>
    <n v="21.3354"/>
    <n v="31.153846153846153"/>
  </r>
  <r>
    <n v="67466492"/>
    <x v="15"/>
    <n v="3600"/>
    <d v="2023-05-23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723726"/>
    <x v="15"/>
    <n v="11200"/>
    <d v="2023-05-23T00:00:00"/>
    <x v="109"/>
    <x v="23"/>
    <n v="8.5199999999999998E-3"/>
    <n v="95.423999999999992"/>
    <s v="BR"/>
    <x v="4"/>
    <x v="6"/>
    <s v="Q2"/>
    <n v="154"/>
    <n v="72.727272727272734"/>
    <s v="48oz"/>
    <n v="0.95"/>
    <n v="10640"/>
    <n v="90.652799999999985"/>
    <n v="69.090909090909093"/>
  </r>
  <r>
    <n v="68850683"/>
    <x v="15"/>
    <n v="9500"/>
    <d v="2023-05-23T00:00:00"/>
    <x v="335"/>
    <x v="11"/>
    <n v="8.5199999999999998E-3"/>
    <n v="80.94"/>
    <s v="BR"/>
    <x v="4"/>
    <x v="6"/>
    <s v="Q2"/>
    <n v="176"/>
    <n v="53.977272727272727"/>
    <s v="48oz"/>
    <n v="0.95"/>
    <n v="9025"/>
    <n v="76.893000000000001"/>
    <n v="51.278409090909086"/>
  </r>
  <r>
    <n v="68930545"/>
    <x v="15"/>
    <n v="7650"/>
    <d v="2023-05-23T00:00:00"/>
    <x v="93"/>
    <x v="12"/>
    <n v="8.5199999999999998E-3"/>
    <n v="65.177999999999997"/>
    <s v="BR"/>
    <x v="4"/>
    <x v="6"/>
    <s v="Q2"/>
    <n v="176"/>
    <n v="43.465909090909093"/>
    <s v="48oz"/>
    <n v="0.95"/>
    <n v="7267.5"/>
    <n v="61.919099999999993"/>
    <n v="41.29261363636364"/>
  </r>
  <r>
    <n v="69568828"/>
    <x v="15"/>
    <n v="10700"/>
    <d v="2023-05-23T00:00:00"/>
    <x v="12"/>
    <x v="16"/>
    <n v="8.5199999999999998E-3"/>
    <n v="91.164000000000001"/>
    <s v="BR"/>
    <x v="4"/>
    <x v="6"/>
    <s v="Q2"/>
    <n v="176"/>
    <n v="60.795454545454547"/>
    <s v="48oz"/>
    <n v="0.95"/>
    <n v="10165"/>
    <n v="86.605800000000002"/>
    <n v="57.75568181818182"/>
  </r>
  <r>
    <n v="84141037"/>
    <x v="17"/>
    <n v="6240"/>
    <d v="2023-05-23T00:00:00"/>
    <x v="167"/>
    <x v="35"/>
    <n v="9.0848256361922702E-3"/>
    <n v="56.689311969839764"/>
    <s v="BJ"/>
    <x v="4"/>
    <x v="39"/>
    <s v="Q2"/>
    <n v="125"/>
    <n v="49.92"/>
    <s v="2.4 Gal"/>
    <n v="0.85"/>
    <n v="5304"/>
    <n v="48.185915174363799"/>
    <n v="42.432000000000002"/>
  </r>
  <r>
    <n v="67465063"/>
    <x v="15"/>
    <n v="2568"/>
    <d v="2023-05-24T00:00:00"/>
    <x v="3"/>
    <x v="40"/>
    <n v="5.2680000000000001E-3"/>
    <n v="13.528224"/>
    <s v="PS"/>
    <x v="4"/>
    <x v="3"/>
    <s v="Q2"/>
    <n v="130"/>
    <n v="19.753846153846155"/>
    <s v="PG"/>
    <n v="0.9"/>
    <n v="2311.2000000000003"/>
    <n v="12.175401600000001"/>
    <n v="17.778461538461539"/>
  </r>
  <r>
    <n v="67465063"/>
    <x v="15"/>
    <n v="3425"/>
    <d v="2023-05-24T00:00:00"/>
    <x v="3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5064"/>
    <x v="15"/>
    <n v="1000"/>
    <d v="2023-05-24T00:00:00"/>
    <x v="7"/>
    <x v="3"/>
    <n v="1.596E-3"/>
    <n v="1.5960000000000001"/>
    <s v="PS"/>
    <x v="4"/>
    <x v="3"/>
    <s v="Q2"/>
    <n v="130"/>
    <n v="7.6923076923076925"/>
    <s v="PG"/>
    <n v="0.9"/>
    <n v="900"/>
    <n v="1.4364000000000001"/>
    <n v="6.9230769230769234"/>
  </r>
  <r>
    <n v="68188183"/>
    <x v="15"/>
    <n v="3000"/>
    <d v="2023-05-24T00:00:00"/>
    <x v="70"/>
    <x v="9"/>
    <n v="3.8340000000000002E-3"/>
    <n v="11.502000000000001"/>
    <s v="PS"/>
    <x v="4"/>
    <x v="3"/>
    <s v="Q2"/>
    <n v="130"/>
    <n v="23.076923076923077"/>
    <s v="PG"/>
    <n v="0.9"/>
    <n v="2700"/>
    <n v="10.351800000000001"/>
    <n v="20.76923076923077"/>
  </r>
  <r>
    <n v="68930545"/>
    <x v="15"/>
    <n v="10800"/>
    <d v="2023-05-24T00:00:00"/>
    <x v="93"/>
    <x v="12"/>
    <n v="8.5199999999999998E-3"/>
    <n v="92.015999999999991"/>
    <s v="BR"/>
    <x v="4"/>
    <x v="6"/>
    <s v="Q2"/>
    <n v="176"/>
    <n v="61.363636363636367"/>
    <s v="48oz"/>
    <n v="0.95"/>
    <n v="10260"/>
    <n v="87.415199999999984"/>
    <n v="58.295454545454547"/>
  </r>
  <r>
    <n v="69677917"/>
    <x v="15"/>
    <n v="2925"/>
    <d v="2023-05-24T00:00:00"/>
    <x v="30"/>
    <x v="29"/>
    <n v="5.2680000000000001E-3"/>
    <n v="15.408900000000001"/>
    <s v="PS"/>
    <x v="4"/>
    <x v="3"/>
    <s v="Q2"/>
    <n v="108"/>
    <n v="27.083333333333332"/>
    <s v="PG"/>
    <n v="0.9"/>
    <n v="2632.5"/>
    <n v="13.868010000000002"/>
    <n v="24.375"/>
  </r>
  <r>
    <n v="67885718"/>
    <x v="16"/>
    <n v="9450"/>
    <d v="2023-05-24T00:00:00"/>
    <x v="48"/>
    <x v="2"/>
    <n v="8.5199999999999998E-3"/>
    <n v="80.513999999999996"/>
    <s v="BR"/>
    <x v="4"/>
    <x v="2"/>
    <s v="Q2"/>
    <n v="154"/>
    <n v="61.363636363636367"/>
    <s v="48oz"/>
    <n v="0.95"/>
    <n v="8977.5"/>
    <n v="76.488299999999995"/>
    <n v="58.295454545454547"/>
  </r>
  <r>
    <n v="67885721"/>
    <x v="16"/>
    <n v="9450"/>
    <d v="2023-05-24T00:00:00"/>
    <x v="40"/>
    <x v="13"/>
    <n v="8.5199999999999998E-3"/>
    <n v="80.513999999999996"/>
    <s v="BR"/>
    <x v="4"/>
    <x v="2"/>
    <s v="Q2"/>
    <n v="154"/>
    <n v="61.363636363636367"/>
    <s v="48oz"/>
    <n v="0.95"/>
    <n v="8977.5"/>
    <n v="76.488299999999995"/>
    <n v="58.295454545454547"/>
  </r>
  <r>
    <n v="67901589"/>
    <x v="16"/>
    <n v="22800"/>
    <d v="2023-05-24T00:00:00"/>
    <x v="220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908208"/>
    <x v="16"/>
    <n v="5400"/>
    <d v="2023-05-24T00:00:00"/>
    <x v="225"/>
    <x v="25"/>
    <n v="3.9039999999999999E-3"/>
    <n v="21.081599999999998"/>
    <s v="GH"/>
    <x v="4"/>
    <x v="11"/>
    <s v="Q2"/>
    <n v="154"/>
    <n v="35.064935064935064"/>
    <s v="MBG"/>
    <n v="0.87"/>
    <n v="4698"/>
    <n v="18.340992"/>
    <n v="30.506493506493506"/>
  </r>
  <r>
    <n v="68728342"/>
    <x v="16"/>
    <n v="7500"/>
    <d v="2023-05-24T00:00:00"/>
    <x v="44"/>
    <x v="22"/>
    <n v="3.7853439999999999E-3"/>
    <n v="28.390080000000001"/>
    <s v="TA"/>
    <x v="4"/>
    <x v="10"/>
    <s v="Q2"/>
    <n v="255"/>
    <n v="29.411764705882351"/>
    <s v="TALENTI"/>
    <n v="0.94"/>
    <n v="7050"/>
    <n v="26.6866752"/>
    <n v="27.647058823529409"/>
  </r>
  <r>
    <n v="68730254"/>
    <x v="16"/>
    <n v="17100"/>
    <d v="2023-05-24T00:00:00"/>
    <x v="128"/>
    <x v="21"/>
    <n v="3.7853440000000004E-3"/>
    <n v="64.729382400000006"/>
    <s v="TA"/>
    <x v="4"/>
    <x v="10"/>
    <s v="Q2"/>
    <n v="255"/>
    <n v="67.058823529411768"/>
    <s v="TALENTI"/>
    <n v="0.94"/>
    <n v="16073.999999999998"/>
    <n v="60.845619456000001"/>
    <n v="63.035294117647055"/>
  </r>
  <r>
    <n v="69555090"/>
    <x v="16"/>
    <n v="6400"/>
    <d v="2023-05-24T00:00:00"/>
    <x v="254"/>
    <x v="14"/>
    <n v="1.98E-3"/>
    <n v="12.672000000000001"/>
    <s v="TA"/>
    <x v="4"/>
    <x v="42"/>
    <s v="Q2"/>
    <n v="176"/>
    <n v="36.363636363636367"/>
    <s v="TAL NV"/>
    <n v="0.97"/>
    <n v="6208"/>
    <n v="12.291840000000001"/>
    <n v="35.272727272727273"/>
  </r>
  <r>
    <n v="69572657"/>
    <x v="16"/>
    <n v="12000"/>
    <d v="2023-05-24T00:00:00"/>
    <x v="306"/>
    <x v="5"/>
    <n v="2.1520000000000003E-3"/>
    <n v="25.824000000000002"/>
    <s v="MG"/>
    <x v="4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5-24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5-24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9706147"/>
    <x v="16"/>
    <n v="5600"/>
    <d v="2023-05-24T00:00:00"/>
    <x v="195"/>
    <x v="31"/>
    <n v="3.8999999999999998E-3"/>
    <n v="21.84"/>
    <s v="TA"/>
    <x v="4"/>
    <x v="42"/>
    <s v="Q2"/>
    <n v="176"/>
    <n v="31.818181818181817"/>
    <s v="TAL NV"/>
    <n v="0.97"/>
    <n v="5432"/>
    <n v="21.184799999999999"/>
    <n v="30.86363636363636"/>
  </r>
  <r>
    <n v="84141094"/>
    <x v="16"/>
    <n v="22800"/>
    <d v="2023-05-24T00:00:00"/>
    <x v="107"/>
    <x v="15"/>
    <n v="3.7853439999999999E-3"/>
    <n v="86.305843199999998"/>
    <s v="BJ"/>
    <x v="4"/>
    <x v="30"/>
    <s v="Q2"/>
    <n v="240"/>
    <n v="95"/>
    <s v="BJ PTS"/>
    <n v="0.9"/>
    <n v="20520"/>
    <n v="77.675258880000001"/>
    <n v="85.5"/>
  </r>
  <r>
    <n v="84141103"/>
    <x v="18"/>
    <n v="37950"/>
    <d v="2023-05-24T00:00:00"/>
    <x v="294"/>
    <x v="38"/>
    <n v="3.7853439999999999E-3"/>
    <n v="143.65380479999999"/>
    <s v="BJ"/>
    <x v="4"/>
    <x v="36"/>
    <s v="Q2"/>
    <n v="240"/>
    <n v="158.125"/>
    <s v="BJ PTS"/>
    <n v="0.9"/>
    <n v="34155"/>
    <n v="129.28842431999999"/>
    <n v="142.3125"/>
  </r>
  <r>
    <n v="67546042"/>
    <x v="17"/>
    <n v="6960"/>
    <d v="2023-05-24T00:00:00"/>
    <x v="108"/>
    <x v="35"/>
    <n v="3.7853439999999999E-3"/>
    <n v="26.34599424"/>
    <s v="BJ"/>
    <x v="4"/>
    <x v="15"/>
    <s v="Q2"/>
    <n v="240"/>
    <n v="29"/>
    <s v="BJ PTS"/>
    <n v="0.9"/>
    <n v="6264"/>
    <n v="23.711394815999999"/>
    <n v="26.1"/>
  </r>
  <r>
    <n v="69600853"/>
    <x v="17"/>
    <n v="5200"/>
    <d v="2023-05-24T00:00:00"/>
    <x v="231"/>
    <x v="35"/>
    <n v="9.0850000000000011E-3"/>
    <n v="47.242000000000004"/>
    <s v="BJ"/>
    <x v="4"/>
    <x v="39"/>
    <s v="Q2"/>
    <n v="125"/>
    <n v="41.6"/>
    <s v="2.4 Gal"/>
    <n v="0.85"/>
    <n v="4420"/>
    <n v="40.155700000000003"/>
    <n v="35.36"/>
  </r>
  <r>
    <n v="67466492"/>
    <x v="15"/>
    <n v="4500"/>
    <d v="2023-05-24T00:00:00"/>
    <x v="8"/>
    <x v="7"/>
    <n v="5.2680000000000001E-3"/>
    <n v="23.706"/>
    <s v="PS"/>
    <x v="4"/>
    <x v="3"/>
    <s v="Q2"/>
    <n v="130"/>
    <n v="34.615384615384613"/>
    <s v="PG"/>
    <n v="0.9"/>
    <n v="4050"/>
    <n v="21.3354"/>
    <n v="31.153846153846153"/>
  </r>
  <r>
    <n v="67466492"/>
    <x v="15"/>
    <n v="3600"/>
    <d v="2023-05-24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476560"/>
    <x v="15"/>
    <n v="3600"/>
    <d v="2023-05-24T00:00:00"/>
    <x v="10"/>
    <x v="10"/>
    <n v="5.1060000000000003E-3"/>
    <n v="18.381600000000002"/>
    <s v="PS"/>
    <x v="4"/>
    <x v="3"/>
    <s v="Q2"/>
    <n v="130"/>
    <n v="27.692307692307693"/>
    <s v="PG"/>
    <n v="0.9"/>
    <n v="3240"/>
    <n v="16.543440000000004"/>
    <n v="24.923076923076923"/>
  </r>
  <r>
    <n v="67723726"/>
    <x v="15"/>
    <n v="11200"/>
    <d v="2023-05-24T00:00:00"/>
    <x v="109"/>
    <x v="23"/>
    <n v="8.5199999999999998E-3"/>
    <n v="95.423999999999992"/>
    <s v="BR"/>
    <x v="4"/>
    <x v="6"/>
    <s v="Q2"/>
    <n v="154"/>
    <n v="72.727272727272734"/>
    <s v="48oz"/>
    <n v="0.95"/>
    <n v="10640"/>
    <n v="90.652799999999985"/>
    <n v="69.090909090909093"/>
  </r>
  <r>
    <n v="68850683"/>
    <x v="15"/>
    <n v="12000"/>
    <d v="2023-05-24T00:00:00"/>
    <x v="335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69568828"/>
    <x v="15"/>
    <n v="10700"/>
    <d v="2023-05-24T00:00:00"/>
    <x v="12"/>
    <x v="16"/>
    <n v="8.5199999999999998E-3"/>
    <n v="91.164000000000001"/>
    <s v="BR"/>
    <x v="4"/>
    <x v="6"/>
    <s v="Q2"/>
    <n v="176"/>
    <n v="60.795454545454547"/>
    <s v="48oz"/>
    <n v="0.95"/>
    <n v="10165"/>
    <n v="86.605800000000002"/>
    <n v="57.75568181818182"/>
  </r>
  <r>
    <n v="67546042"/>
    <x v="17"/>
    <n v="27840"/>
    <d v="2023-05-24T00:00:00"/>
    <x v="108"/>
    <x v="35"/>
    <n v="3.7853439999999999E-3"/>
    <n v="105.38397696"/>
    <s v="BJ"/>
    <x v="4"/>
    <x v="15"/>
    <s v="Q2"/>
    <n v="240"/>
    <n v="116"/>
    <s v="BJ PTS"/>
    <n v="0.9"/>
    <n v="25056"/>
    <n v="94.845579263999994"/>
    <n v="104.4"/>
  </r>
  <r>
    <n v="69565377"/>
    <x v="17"/>
    <n v="35960"/>
    <d v="2023-05-24T00:00:00"/>
    <x v="138"/>
    <x v="35"/>
    <n v="3.7839999999999996E-3"/>
    <n v="136.07263999999998"/>
    <s v="BJ"/>
    <x v="4"/>
    <x v="15"/>
    <s v="Q2"/>
    <n v="240"/>
    <n v="149.83333333333334"/>
    <s v="BJ PTS"/>
    <n v="0.9"/>
    <n v="32364"/>
    <n v="122.46537599999998"/>
    <n v="134.85000000000002"/>
  </r>
  <r>
    <n v="84139000"/>
    <x v="17"/>
    <n v="6240"/>
    <d v="2023-05-24T00:00:00"/>
    <x v="282"/>
    <x v="33"/>
    <n v="9.0848256361922702E-3"/>
    <n v="56.689311969839764"/>
    <s v="BJ"/>
    <x v="4"/>
    <x v="39"/>
    <s v="Q2"/>
    <n v="125"/>
    <n v="49.92"/>
    <s v="2.4 Gal"/>
    <n v="0.85"/>
    <n v="5304"/>
    <n v="48.185915174363799"/>
    <n v="42.432000000000002"/>
  </r>
  <r>
    <n v="67465063"/>
    <x v="15"/>
    <n v="2568"/>
    <d v="2023-05-25T00:00:00"/>
    <x v="3"/>
    <x v="40"/>
    <n v="5.2680000000000001E-3"/>
    <n v="13.528224"/>
    <s v="PS"/>
    <x v="4"/>
    <x v="3"/>
    <s v="Q2"/>
    <n v="130"/>
    <n v="19.753846153846155"/>
    <s v="PG"/>
    <n v="0.9"/>
    <n v="2311.2000000000003"/>
    <n v="12.175401600000001"/>
    <n v="17.778461538461539"/>
  </r>
  <r>
    <n v="67465064"/>
    <x v="15"/>
    <n v="2800"/>
    <d v="2023-05-25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8188183"/>
    <x v="15"/>
    <n v="3000"/>
    <d v="2023-05-25T00:00:00"/>
    <x v="70"/>
    <x v="9"/>
    <n v="3.8340000000000002E-3"/>
    <n v="11.502000000000001"/>
    <s v="PS"/>
    <x v="4"/>
    <x v="3"/>
    <s v="Q2"/>
    <n v="130"/>
    <n v="23.076923076923077"/>
    <s v="PG"/>
    <n v="0.9"/>
    <n v="2700"/>
    <n v="10.351800000000001"/>
    <n v="20.76923076923077"/>
  </r>
  <r>
    <n v="68634169"/>
    <x v="15"/>
    <n v="7140"/>
    <d v="2023-05-25T00:00:00"/>
    <x v="149"/>
    <x v="16"/>
    <n v="8.5199999999999998E-3"/>
    <n v="60.832799999999999"/>
    <s v="BR"/>
    <x v="4"/>
    <x v="6"/>
    <s v="Q2"/>
    <n v="154"/>
    <n v="46.363636363636367"/>
    <s v="48oz"/>
    <n v="0.95"/>
    <n v="6783"/>
    <n v="57.791159999999998"/>
    <n v="44.045454545454547"/>
  </r>
  <r>
    <n v="68737750"/>
    <x v="15"/>
    <n v="7470"/>
    <d v="2023-05-25T00:00:00"/>
    <x v="144"/>
    <x v="23"/>
    <n v="8.5199999999999998E-3"/>
    <n v="63.644399999999997"/>
    <s v="BR"/>
    <x v="4"/>
    <x v="6"/>
    <s v="Q2"/>
    <n v="176"/>
    <n v="42.44318181818182"/>
    <s v="48oz"/>
    <n v="0.95"/>
    <n v="7096.5"/>
    <n v="60.462179999999996"/>
    <n v="40.321022727272727"/>
  </r>
  <r>
    <n v="68930545"/>
    <x v="15"/>
    <n v="10800"/>
    <d v="2023-05-25T00:00:00"/>
    <x v="93"/>
    <x v="12"/>
    <n v="8.5199999999999998E-3"/>
    <n v="92.015999999999991"/>
    <s v="BR"/>
    <x v="4"/>
    <x v="6"/>
    <s v="Q2"/>
    <n v="176"/>
    <n v="61.363636363636367"/>
    <s v="48oz"/>
    <n v="0.95"/>
    <n v="10260"/>
    <n v="87.415199999999984"/>
    <n v="58.295454545454547"/>
  </r>
  <r>
    <n v="69677917"/>
    <x v="15"/>
    <n v="1950"/>
    <d v="2023-05-25T00:00:00"/>
    <x v="30"/>
    <x v="29"/>
    <n v="5.2680000000000001E-3"/>
    <n v="10.272600000000001"/>
    <s v="PS"/>
    <x v="4"/>
    <x v="3"/>
    <s v="Q2"/>
    <n v="108"/>
    <n v="18.055555555555557"/>
    <s v="PG"/>
    <n v="0.9"/>
    <n v="1755"/>
    <n v="9.2453400000000006"/>
    <n v="16.250000000000004"/>
  </r>
  <r>
    <n v="67885719"/>
    <x v="16"/>
    <n v="17100"/>
    <d v="2023-05-25T00:00:00"/>
    <x v="11"/>
    <x v="32"/>
    <n v="8.5199999999999998E-3"/>
    <n v="145.69200000000001"/>
    <s v="BR"/>
    <x v="4"/>
    <x v="2"/>
    <s v="Q2"/>
    <n v="154"/>
    <n v="111.03896103896103"/>
    <s v="48oz"/>
    <n v="0.95"/>
    <n v="16245"/>
    <n v="138.4074"/>
    <n v="105.48701298701297"/>
  </r>
  <r>
    <n v="67908208"/>
    <x v="16"/>
    <n v="2700"/>
    <d v="2023-05-25T00:00:00"/>
    <x v="225"/>
    <x v="25"/>
    <n v="3.9039999999999999E-3"/>
    <n v="10.540799999999999"/>
    <s v="GH"/>
    <x v="4"/>
    <x v="11"/>
    <s v="Q2"/>
    <n v="154"/>
    <n v="17.532467532467532"/>
    <s v="MBG"/>
    <n v="0.87"/>
    <n v="2349"/>
    <n v="9.170496"/>
    <n v="15.253246753246753"/>
  </r>
  <r>
    <n v="68143999"/>
    <x v="16"/>
    <n v="6000"/>
    <d v="2023-05-25T00:00:00"/>
    <x v="94"/>
    <x v="13"/>
    <n v="8.5199999999999998E-3"/>
    <n v="51.12"/>
    <s v="BR"/>
    <x v="4"/>
    <x v="2"/>
    <s v="Q2"/>
    <n v="154"/>
    <n v="38.961038961038959"/>
    <s v="48oz"/>
    <n v="0.95"/>
    <n v="5700"/>
    <n v="48.563999999999993"/>
    <n v="37.012987012987011"/>
  </r>
  <r>
    <n v="68726982"/>
    <x v="16"/>
    <n v="34200"/>
    <d v="2023-05-25T00:00:00"/>
    <x v="291"/>
    <x v="21"/>
    <n v="3.7853440000000004E-3"/>
    <n v="129.45876480000001"/>
    <s v="TA"/>
    <x v="4"/>
    <x v="10"/>
    <s v="Q2"/>
    <n v="255"/>
    <n v="134.11764705882354"/>
    <s v="TALENTI"/>
    <n v="0.94"/>
    <n v="32147.999999999996"/>
    <n v="121.691238912"/>
    <n v="126.07058823529411"/>
  </r>
  <r>
    <n v="68729702"/>
    <x v="16"/>
    <n v="16200"/>
    <d v="2023-05-25T00:00:00"/>
    <x v="205"/>
    <x v="22"/>
    <n v="3.7853440000000004E-3"/>
    <n v="61.322572800000003"/>
    <s v="TA"/>
    <x v="4"/>
    <x v="10"/>
    <s v="Q2"/>
    <n v="255"/>
    <n v="63.529411764705884"/>
    <s v="TALENTI"/>
    <n v="0.94"/>
    <n v="15228"/>
    <n v="57.643218431999998"/>
    <n v="59.71764705882353"/>
  </r>
  <r>
    <n v="68821728"/>
    <x v="16"/>
    <n v="12600"/>
    <d v="2023-05-25T00:00:00"/>
    <x v="35"/>
    <x v="2"/>
    <n v="8.5199999999999998E-3"/>
    <n v="107.352"/>
    <s v="BR"/>
    <x v="4"/>
    <x v="2"/>
    <s v="Q2"/>
    <n v="176"/>
    <n v="71.590909090909093"/>
    <s v="48oz"/>
    <n v="0.95"/>
    <n v="11970"/>
    <n v="101.98439999999999"/>
    <n v="68.01136363636364"/>
  </r>
  <r>
    <n v="69555090"/>
    <x v="16"/>
    <n v="9600"/>
    <d v="2023-05-25T00:00:00"/>
    <x v="254"/>
    <x v="14"/>
    <n v="1.98E-3"/>
    <n v="19.007999999999999"/>
    <s v="TA"/>
    <x v="4"/>
    <x v="42"/>
    <s v="Q2"/>
    <n v="176"/>
    <n v="54.545454545454547"/>
    <s v="TAL NV"/>
    <n v="0.97"/>
    <n v="9312"/>
    <n v="18.437759999999997"/>
    <n v="52.909090909090907"/>
  </r>
  <r>
    <n v="69568963"/>
    <x v="16"/>
    <n v="6600"/>
    <d v="2023-05-25T00:00:00"/>
    <x v="94"/>
    <x v="13"/>
    <n v="8.5199999999999998E-3"/>
    <n v="56.231999999999999"/>
    <s v="BR"/>
    <x v="4"/>
    <x v="2"/>
    <s v="Q2"/>
    <n v="176"/>
    <n v="37.5"/>
    <s v="48oz"/>
    <n v="0.95"/>
    <n v="6270"/>
    <n v="53.420399999999994"/>
    <n v="35.625"/>
  </r>
  <r>
    <n v="69572657"/>
    <x v="16"/>
    <n v="8000"/>
    <d v="2023-05-25T00:00:00"/>
    <x v="306"/>
    <x v="5"/>
    <n v="2.1520000000000003E-3"/>
    <n v="17.216000000000001"/>
    <s v="MG"/>
    <x v="4"/>
    <x v="5"/>
    <s v="Q2"/>
    <n v="210"/>
    <n v="38.095238095238095"/>
    <s v="MG Sticks"/>
    <n v="0.93"/>
    <n v="7440"/>
    <n v="16.01088"/>
    <n v="35.428571428571431"/>
  </r>
  <r>
    <n v="69621212"/>
    <x v="16"/>
    <n v="5400"/>
    <d v="2023-05-25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2700"/>
    <d v="2023-05-25T00:00:00"/>
    <x v="30"/>
    <x v="30"/>
    <n v="5.2680000000000001E-3"/>
    <n v="14.223600000000001"/>
    <s v="PS"/>
    <x v="4"/>
    <x v="14"/>
    <s v="Q2"/>
    <n v="108"/>
    <n v="25"/>
    <s v="PG"/>
    <n v="0.9"/>
    <n v="2430"/>
    <n v="12.801240000000002"/>
    <n v="22.5"/>
  </r>
  <r>
    <n v="69706147"/>
    <x v="16"/>
    <n v="8400"/>
    <d v="2023-05-25T00:00:00"/>
    <x v="195"/>
    <x v="31"/>
    <n v="3.8999999999999998E-3"/>
    <n v="32.76"/>
    <s v="TA"/>
    <x v="4"/>
    <x v="42"/>
    <s v="Q2"/>
    <n v="176"/>
    <n v="47.727272727272727"/>
    <s v="TAL NV"/>
    <n v="0.97"/>
    <n v="8148"/>
    <n v="31.777199999999997"/>
    <n v="46.295454545454547"/>
  </r>
  <r>
    <n v="84141094"/>
    <x v="16"/>
    <n v="22800"/>
    <d v="2023-05-25T00:00:00"/>
    <x v="107"/>
    <x v="15"/>
    <n v="3.7853439999999999E-3"/>
    <n v="86.305843199999998"/>
    <s v="BJ"/>
    <x v="4"/>
    <x v="30"/>
    <s v="Q2"/>
    <n v="240"/>
    <n v="95"/>
    <s v="BJ PTS"/>
    <n v="0.9"/>
    <n v="20520"/>
    <n v="77.675258880000001"/>
    <n v="85.5"/>
  </r>
  <r>
    <n v="68638142"/>
    <x v="18"/>
    <n v="6600"/>
    <d v="2023-05-25T00:00:00"/>
    <x v="192"/>
    <x v="35"/>
    <n v="3.7853439999999999E-3"/>
    <n v="24.983270399999999"/>
    <s v="BJ"/>
    <x v="4"/>
    <x v="36"/>
    <s v="Q2"/>
    <n v="240"/>
    <n v="27.5"/>
    <s v="BJ PTS"/>
    <n v="0.9"/>
    <n v="5940"/>
    <n v="22.484943359999999"/>
    <n v="24.75"/>
  </r>
  <r>
    <n v="68499773"/>
    <x v="17"/>
    <n v="4320"/>
    <d v="2023-05-25T00:00:00"/>
    <x v="352"/>
    <x v="35"/>
    <n v="3.8999999999999998E-3"/>
    <n v="16.847999999999999"/>
    <s v="BJ"/>
    <x v="4"/>
    <x v="39"/>
    <s v="Q2"/>
    <n v="125"/>
    <n v="34.56"/>
    <s v="2.4 Gal"/>
    <n v="0.85"/>
    <n v="3672"/>
    <n v="14.320799999999998"/>
    <n v="29.376000000000001"/>
  </r>
  <r>
    <n v="67465063"/>
    <x v="15"/>
    <n v="3425"/>
    <d v="2023-05-25T00:00:00"/>
    <x v="3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6492"/>
    <x v="15"/>
    <n v="3600"/>
    <d v="2023-05-25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466492"/>
    <x v="15"/>
    <n v="4500"/>
    <d v="2023-05-25T00:00:00"/>
    <x v="8"/>
    <x v="7"/>
    <n v="5.2680000000000001E-3"/>
    <n v="23.706"/>
    <s v="PS"/>
    <x v="4"/>
    <x v="3"/>
    <s v="Q2"/>
    <n v="130"/>
    <n v="34.615384615384613"/>
    <s v="PG"/>
    <n v="0.9"/>
    <n v="4050"/>
    <n v="21.3354"/>
    <n v="31.153846153846153"/>
  </r>
  <r>
    <n v="67476560"/>
    <x v="15"/>
    <n v="3600"/>
    <d v="2023-05-25T00:00:00"/>
    <x v="10"/>
    <x v="10"/>
    <n v="5.1060000000000003E-3"/>
    <n v="18.381600000000002"/>
    <s v="PS"/>
    <x v="4"/>
    <x v="3"/>
    <s v="Q2"/>
    <n v="130"/>
    <n v="27.692307692307693"/>
    <s v="PG"/>
    <n v="0.9"/>
    <n v="3240"/>
    <n v="16.543440000000004"/>
    <n v="24.923076923076923"/>
  </r>
  <r>
    <n v="68850683"/>
    <x v="15"/>
    <n v="12000"/>
    <d v="2023-05-25T00:00:00"/>
    <x v="335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84137725"/>
    <x v="18"/>
    <n v="52800"/>
    <d v="2023-05-25T00:00:00"/>
    <x v="132"/>
    <x v="33"/>
    <n v="3.7853439999999999E-3"/>
    <n v="199.86616319999999"/>
    <s v="BJ"/>
    <x v="4"/>
    <x v="36"/>
    <s v="Q2"/>
    <n v="240"/>
    <n v="220"/>
    <s v="BJ PTS"/>
    <n v="0.9"/>
    <n v="47520"/>
    <n v="179.87954687999999"/>
    <n v="198"/>
  </r>
  <r>
    <n v="67881628"/>
    <x v="17"/>
    <n v="37120"/>
    <d v="2023-05-25T00:00:00"/>
    <x v="64"/>
    <x v="35"/>
    <n v="3.7853439999999999E-3"/>
    <n v="140.51196927999999"/>
    <s v="BJ"/>
    <x v="4"/>
    <x v="15"/>
    <s v="Q2"/>
    <n v="240"/>
    <n v="154.66666666666666"/>
    <s v="BJ PTS"/>
    <n v="0.9"/>
    <n v="33408"/>
    <n v="126.46077235199999"/>
    <n v="139.19999999999999"/>
  </r>
  <r>
    <n v="67465063"/>
    <x v="15"/>
    <n v="3425"/>
    <d v="2023-05-26T00:00:00"/>
    <x v="3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6492"/>
    <x v="15"/>
    <n v="2250"/>
    <d v="2023-05-26T00:00:00"/>
    <x v="8"/>
    <x v="7"/>
    <n v="5.2680000000000001E-3"/>
    <n v="11.853"/>
    <s v="PS"/>
    <x v="4"/>
    <x v="3"/>
    <s v="Q2"/>
    <n v="130"/>
    <n v="17.307692307692307"/>
    <s v="PG"/>
    <n v="0.9"/>
    <n v="2025"/>
    <n v="10.6677"/>
    <n v="15.576923076923077"/>
  </r>
  <r>
    <n v="68188183"/>
    <x v="15"/>
    <n v="1500"/>
    <d v="2023-05-26T00:00:00"/>
    <x v="70"/>
    <x v="9"/>
    <n v="3.8340000000000002E-3"/>
    <n v="5.7510000000000003"/>
    <s v="PS"/>
    <x v="4"/>
    <x v="3"/>
    <s v="Q2"/>
    <n v="130"/>
    <n v="11.538461538461538"/>
    <s v="PG"/>
    <n v="0.9"/>
    <n v="1350"/>
    <n v="5.1759000000000004"/>
    <n v="10.384615384615385"/>
  </r>
  <r>
    <n v="68930545"/>
    <x v="15"/>
    <n v="10800"/>
    <d v="2023-05-26T00:00:00"/>
    <x v="93"/>
    <x v="12"/>
    <n v="8.5199999999999998E-3"/>
    <n v="92.015999999999991"/>
    <s v="BR"/>
    <x v="4"/>
    <x v="6"/>
    <s v="Q2"/>
    <n v="176"/>
    <n v="61.363636363636367"/>
    <s v="48oz"/>
    <n v="0.95"/>
    <n v="10260"/>
    <n v="87.415199999999984"/>
    <n v="58.295454545454547"/>
  </r>
  <r>
    <n v="67885719"/>
    <x v="16"/>
    <n v="22800"/>
    <d v="2023-05-26T00:00:00"/>
    <x v="11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908208"/>
    <x v="16"/>
    <n v="5400"/>
    <d v="2023-05-26T00:00:00"/>
    <x v="225"/>
    <x v="25"/>
    <n v="3.9039999999999999E-3"/>
    <n v="21.081599999999998"/>
    <s v="GH"/>
    <x v="4"/>
    <x v="11"/>
    <s v="Q2"/>
    <n v="154"/>
    <n v="35.064935064935064"/>
    <s v="MBG"/>
    <n v="0.87"/>
    <n v="4698"/>
    <n v="18.340992"/>
    <n v="30.506493506493506"/>
  </r>
  <r>
    <n v="68726982"/>
    <x v="16"/>
    <n v="17100"/>
    <d v="2023-05-26T00:00:00"/>
    <x v="291"/>
    <x v="21"/>
    <n v="3.7853440000000004E-3"/>
    <n v="64.729382400000006"/>
    <s v="TA"/>
    <x v="4"/>
    <x v="10"/>
    <s v="Q2"/>
    <n v="255"/>
    <n v="67.058823529411768"/>
    <s v="TALENTI"/>
    <n v="0.94"/>
    <n v="16073.999999999998"/>
    <n v="60.845619456000001"/>
    <n v="63.035294117647055"/>
  </r>
  <r>
    <n v="68729702"/>
    <x v="16"/>
    <n v="10800"/>
    <d v="2023-05-26T00:00:00"/>
    <x v="205"/>
    <x v="22"/>
    <n v="3.7853440000000004E-3"/>
    <n v="40.881715200000002"/>
    <s v="TA"/>
    <x v="4"/>
    <x v="10"/>
    <s v="Q2"/>
    <n v="255"/>
    <n v="42.352941176470587"/>
    <s v="TALENTI"/>
    <n v="0.94"/>
    <n v="10152"/>
    <n v="38.428812288000003"/>
    <n v="39.811764705882347"/>
  </r>
  <r>
    <n v="68821728"/>
    <x v="16"/>
    <n v="12600"/>
    <d v="2023-05-26T00:00:00"/>
    <x v="35"/>
    <x v="2"/>
    <n v="8.5199999999999998E-3"/>
    <n v="107.352"/>
    <s v="BR"/>
    <x v="4"/>
    <x v="2"/>
    <s v="Q2"/>
    <n v="176"/>
    <n v="71.590909090909093"/>
    <s v="48oz"/>
    <n v="0.95"/>
    <n v="11970"/>
    <n v="101.98439999999999"/>
    <n v="68.01136363636364"/>
  </r>
  <r>
    <n v="68922018"/>
    <x v="16"/>
    <n v="9975"/>
    <d v="2023-05-26T00:00:00"/>
    <x v="95"/>
    <x v="21"/>
    <n v="3.7839999999999996E-3"/>
    <n v="37.745399999999997"/>
    <s v="TA"/>
    <x v="4"/>
    <x v="10"/>
    <s v="Q2"/>
    <n v="255"/>
    <n v="39.117647058823529"/>
    <s v="TALENTI"/>
    <n v="0.94"/>
    <n v="9376.5"/>
    <n v="35.480675999999995"/>
    <n v="36.770588235294113"/>
  </r>
  <r>
    <n v="69555090"/>
    <x v="16"/>
    <n v="7200"/>
    <d v="2023-05-26T00:00:00"/>
    <x v="254"/>
    <x v="14"/>
    <n v="1.98E-3"/>
    <n v="14.256"/>
    <s v="TA"/>
    <x v="4"/>
    <x v="42"/>
    <s v="Q2"/>
    <n v="176"/>
    <n v="40.909090909090907"/>
    <s v="TAL NV"/>
    <n v="0.97"/>
    <n v="6984"/>
    <n v="13.82832"/>
    <n v="39.68181818181818"/>
  </r>
  <r>
    <n v="69568963"/>
    <x v="16"/>
    <n v="12600"/>
    <d v="2023-05-26T00:00:00"/>
    <x v="94"/>
    <x v="13"/>
    <n v="8.5199999999999998E-3"/>
    <n v="107.352"/>
    <s v="BR"/>
    <x v="4"/>
    <x v="2"/>
    <s v="Q2"/>
    <n v="176"/>
    <n v="71.590909090909093"/>
    <s v="48oz"/>
    <n v="0.95"/>
    <n v="11970"/>
    <n v="101.98439999999999"/>
    <n v="68.01136363636364"/>
  </r>
  <r>
    <n v="69571484"/>
    <x v="16"/>
    <n v="18600"/>
    <d v="2023-05-26T00:00:00"/>
    <x v="230"/>
    <x v="5"/>
    <n v="1.2960000000000001E-2"/>
    <n v="241.05600000000001"/>
    <s v="MG"/>
    <x v="4"/>
    <x v="5"/>
    <s v="Q2"/>
    <n v="493"/>
    <n v="37.728194726166329"/>
    <s v="MG Sticks"/>
    <n v="0.93"/>
    <n v="17298"/>
    <n v="224.18208000000001"/>
    <n v="35.087221095334691"/>
  </r>
  <r>
    <n v="69621212"/>
    <x v="16"/>
    <n v="5400"/>
    <d v="2023-05-26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5-26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9706147"/>
    <x v="16"/>
    <n v="6300"/>
    <d v="2023-05-26T00:00:00"/>
    <x v="195"/>
    <x v="31"/>
    <n v="3.8999999999999998E-3"/>
    <n v="24.57"/>
    <s v="TA"/>
    <x v="4"/>
    <x v="42"/>
    <s v="Q2"/>
    <n v="176"/>
    <n v="35.795454545454547"/>
    <s v="TAL NV"/>
    <n v="0.97"/>
    <n v="6111"/>
    <n v="23.832899999999999"/>
    <n v="34.721590909090907"/>
  </r>
  <r>
    <n v="84141094"/>
    <x v="16"/>
    <n v="17100"/>
    <d v="2023-05-26T00:00:00"/>
    <x v="107"/>
    <x v="15"/>
    <n v="3.7853439999999999E-3"/>
    <n v="64.729382400000006"/>
    <s v="BJ"/>
    <x v="4"/>
    <x v="30"/>
    <s v="Q2"/>
    <n v="240"/>
    <n v="71.25"/>
    <s v="BJ PTS"/>
    <n v="0.9"/>
    <n v="15390"/>
    <n v="58.256444160000008"/>
    <n v="64.125"/>
  </r>
  <r>
    <n v="67825198"/>
    <x v="17"/>
    <n v="6240"/>
    <d v="2023-05-26T00:00:00"/>
    <x v="353"/>
    <x v="35"/>
    <n v="9.0848256361922702E-3"/>
    <n v="56.689311969839764"/>
    <s v="BJ"/>
    <x v="4"/>
    <x v="39"/>
    <s v="Q2"/>
    <n v="125"/>
    <n v="49.92"/>
    <s v="2.4 Gal"/>
    <n v="0.85"/>
    <n v="5304"/>
    <n v="48.185915174363799"/>
    <n v="42.432000000000002"/>
  </r>
  <r>
    <n v="67465063"/>
    <x v="15"/>
    <n v="2568"/>
    <d v="2023-05-26T00:00:00"/>
    <x v="3"/>
    <x v="40"/>
    <n v="5.2680000000000001E-3"/>
    <n v="13.528224"/>
    <s v="PS"/>
    <x v="4"/>
    <x v="3"/>
    <s v="Q2"/>
    <n v="130"/>
    <n v="19.753846153846155"/>
    <s v="PG"/>
    <n v="0.9"/>
    <n v="2311.2000000000003"/>
    <n v="12.175401600000001"/>
    <n v="17.778461538461539"/>
  </r>
  <r>
    <n v="67465064"/>
    <x v="15"/>
    <n v="2800"/>
    <d v="2023-05-26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92"/>
    <x v="15"/>
    <n v="3600"/>
    <d v="2023-05-26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476560"/>
    <x v="15"/>
    <n v="3600"/>
    <d v="2023-05-26T00:00:00"/>
    <x v="10"/>
    <x v="10"/>
    <n v="5.1060000000000003E-3"/>
    <n v="18.381600000000002"/>
    <s v="PS"/>
    <x v="4"/>
    <x v="3"/>
    <s v="Q2"/>
    <n v="130"/>
    <n v="27.692307692307693"/>
    <s v="PG"/>
    <n v="0.9"/>
    <n v="3240"/>
    <n v="16.543440000000004"/>
    <n v="24.923076923076923"/>
  </r>
  <r>
    <n v="68634169"/>
    <x v="15"/>
    <n v="10700"/>
    <d v="2023-05-26T00:00:00"/>
    <x v="149"/>
    <x v="16"/>
    <n v="8.5199999999999998E-3"/>
    <n v="91.164000000000001"/>
    <s v="BR"/>
    <x v="4"/>
    <x v="6"/>
    <s v="Q2"/>
    <n v="154"/>
    <n v="69.480519480519476"/>
    <s v="48oz"/>
    <n v="0.95"/>
    <n v="10165"/>
    <n v="86.605800000000002"/>
    <n v="66.006493506493499"/>
  </r>
  <r>
    <n v="68737750"/>
    <x v="15"/>
    <n v="11200"/>
    <d v="2023-05-26T00:00:00"/>
    <x v="144"/>
    <x v="23"/>
    <n v="8.5199999999999998E-3"/>
    <n v="95.423999999999992"/>
    <s v="BR"/>
    <x v="4"/>
    <x v="6"/>
    <s v="Q2"/>
    <n v="176"/>
    <n v="63.636363636363633"/>
    <s v="48oz"/>
    <n v="0.95"/>
    <n v="10640"/>
    <n v="90.652799999999985"/>
    <n v="60.454545454545446"/>
  </r>
  <r>
    <n v="68850683"/>
    <x v="15"/>
    <n v="12000"/>
    <d v="2023-05-26T00:00:00"/>
    <x v="335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69677917"/>
    <x v="15"/>
    <n v="3900"/>
    <d v="2023-05-26T00:00:00"/>
    <x v="30"/>
    <x v="29"/>
    <n v="5.2680000000000001E-3"/>
    <n v="20.545200000000001"/>
    <s v="PS"/>
    <x v="4"/>
    <x v="3"/>
    <s v="Q2"/>
    <n v="108"/>
    <n v="36.111111111111114"/>
    <s v="PG"/>
    <n v="0.9"/>
    <n v="3510"/>
    <n v="18.490680000000001"/>
    <n v="32.500000000000007"/>
  </r>
  <r>
    <n v="68940228"/>
    <x v="17"/>
    <n v="37120"/>
    <d v="2023-05-26T00:00:00"/>
    <x v="105"/>
    <x v="33"/>
    <n v="3.7839999999999996E-3"/>
    <n v="140.46207999999999"/>
    <s v="BJ"/>
    <x v="4"/>
    <x v="15"/>
    <s v="Q2"/>
    <n v="240"/>
    <n v="154.66666666666666"/>
    <s v="BJ PTS"/>
    <n v="0.9"/>
    <n v="33408"/>
    <n v="126.41587199999999"/>
    <n v="139.19999999999999"/>
  </r>
  <r>
    <n v="67465063"/>
    <x v="15"/>
    <n v="3425"/>
    <d v="2023-05-27T00:00:00"/>
    <x v="3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885719"/>
    <x v="16"/>
    <n v="22800"/>
    <d v="2023-05-27T00:00:00"/>
    <x v="11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908208"/>
    <x v="16"/>
    <n v="5400"/>
    <d v="2023-05-27T00:00:00"/>
    <x v="225"/>
    <x v="25"/>
    <n v="3.9039999999999999E-3"/>
    <n v="21.081599999999998"/>
    <s v="GH"/>
    <x v="4"/>
    <x v="11"/>
    <s v="Q2"/>
    <n v="154"/>
    <n v="35.064935064935064"/>
    <s v="MBG"/>
    <n v="0.87"/>
    <n v="4698"/>
    <n v="18.340992"/>
    <n v="30.506493506493506"/>
  </r>
  <r>
    <n v="68782716"/>
    <x v="16"/>
    <n v="16200"/>
    <d v="2023-05-27T00:00:00"/>
    <x v="246"/>
    <x v="22"/>
    <n v="3.7853440000000004E-3"/>
    <n v="61.322572800000003"/>
    <s v="TA"/>
    <x v="4"/>
    <x v="10"/>
    <s v="Q2"/>
    <n v="255"/>
    <n v="63.529411764705884"/>
    <s v="TALENTI"/>
    <n v="0.94"/>
    <n v="15228"/>
    <n v="57.643218431999998"/>
    <n v="59.71764705882353"/>
  </r>
  <r>
    <n v="68821728"/>
    <x v="16"/>
    <n v="9450"/>
    <d v="2023-05-27T00:00:00"/>
    <x v="35"/>
    <x v="2"/>
    <n v="8.5199999999999998E-3"/>
    <n v="80.513999999999996"/>
    <s v="BR"/>
    <x v="4"/>
    <x v="2"/>
    <s v="Q2"/>
    <n v="176"/>
    <n v="53.69318181818182"/>
    <s v="48oz"/>
    <n v="0.95"/>
    <n v="8977.5"/>
    <n v="76.488299999999995"/>
    <n v="51.008522727272727"/>
  </r>
  <r>
    <n v="68922018"/>
    <x v="16"/>
    <n v="34200"/>
    <d v="2023-05-27T00:00:00"/>
    <x v="95"/>
    <x v="21"/>
    <n v="3.7839999999999996E-3"/>
    <n v="129.41279999999998"/>
    <s v="TA"/>
    <x v="4"/>
    <x v="10"/>
    <s v="Q2"/>
    <n v="255"/>
    <n v="134.11764705882354"/>
    <s v="TALENTI"/>
    <n v="0.94"/>
    <n v="32147.999999999996"/>
    <n v="121.64803199999997"/>
    <n v="126.07058823529411"/>
  </r>
  <r>
    <n v="69568963"/>
    <x v="16"/>
    <n v="9450"/>
    <d v="2023-05-27T00:00:00"/>
    <x v="94"/>
    <x v="13"/>
    <n v="8.5199999999999998E-3"/>
    <n v="80.513999999999996"/>
    <s v="BR"/>
    <x v="4"/>
    <x v="2"/>
    <s v="Q2"/>
    <n v="176"/>
    <n v="53.69318181818182"/>
    <s v="48oz"/>
    <n v="0.95"/>
    <n v="8977.5"/>
    <n v="76.488299999999995"/>
    <n v="51.008522727272727"/>
  </r>
  <r>
    <n v="69571484"/>
    <x v="16"/>
    <n v="18600"/>
    <d v="2023-05-27T00:00:00"/>
    <x v="230"/>
    <x v="5"/>
    <n v="1.2960000000000001E-2"/>
    <n v="241.05600000000001"/>
    <s v="MG"/>
    <x v="4"/>
    <x v="5"/>
    <s v="Q2"/>
    <n v="493"/>
    <n v="37.728194726166329"/>
    <s v="MG Sticks"/>
    <n v="0.93"/>
    <n v="17298"/>
    <n v="224.18208000000001"/>
    <n v="35.087221095334691"/>
  </r>
  <r>
    <n v="69621212"/>
    <x v="16"/>
    <n v="5400"/>
    <d v="2023-05-27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5-27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84137725"/>
    <x v="18"/>
    <n v="0"/>
    <d v="2023-05-27T00:00:00"/>
    <x v="132"/>
    <x v="33"/>
    <n v="3.7853439999999999E-3"/>
    <n v="0"/>
    <s v="BJ"/>
    <x v="4"/>
    <x v="36"/>
    <s v="Q2"/>
    <n v="240"/>
    <n v="0"/>
    <s v="BJ PTS"/>
    <n v="0.9"/>
    <n v="0"/>
    <n v="0"/>
    <n v="0"/>
  </r>
  <r>
    <n v="67465064"/>
    <x v="15"/>
    <n v="2800"/>
    <d v="2023-05-27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92"/>
    <x v="15"/>
    <n v="3600"/>
    <d v="2023-05-27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8634169"/>
    <x v="15"/>
    <n v="10700"/>
    <d v="2023-05-27T00:00:00"/>
    <x v="149"/>
    <x v="16"/>
    <n v="8.5199999999999998E-3"/>
    <n v="91.164000000000001"/>
    <s v="BR"/>
    <x v="4"/>
    <x v="6"/>
    <s v="Q2"/>
    <n v="154"/>
    <n v="69.480519480519476"/>
    <s v="48oz"/>
    <n v="0.95"/>
    <n v="10165"/>
    <n v="86.605800000000002"/>
    <n v="66.006493506493499"/>
  </r>
  <r>
    <n v="68737750"/>
    <x v="15"/>
    <n v="11200"/>
    <d v="2023-05-27T00:00:00"/>
    <x v="144"/>
    <x v="23"/>
    <n v="8.5199999999999998E-3"/>
    <n v="95.423999999999992"/>
    <s v="BR"/>
    <x v="4"/>
    <x v="6"/>
    <s v="Q2"/>
    <n v="176"/>
    <n v="63.636363636363633"/>
    <s v="48oz"/>
    <n v="0.95"/>
    <n v="10640"/>
    <n v="90.652799999999985"/>
    <n v="60.454545454545446"/>
  </r>
  <r>
    <n v="69677917"/>
    <x v="15"/>
    <n v="3900"/>
    <d v="2023-05-27T00:00:00"/>
    <x v="30"/>
    <x v="29"/>
    <n v="5.2680000000000001E-3"/>
    <n v="20.545200000000001"/>
    <s v="PS"/>
    <x v="4"/>
    <x v="3"/>
    <s v="Q2"/>
    <n v="108"/>
    <n v="36.111111111111114"/>
    <s v="PG"/>
    <n v="0.9"/>
    <n v="3510"/>
    <n v="18.490680000000001"/>
    <n v="32.500000000000007"/>
  </r>
  <r>
    <n v="67465063"/>
    <x v="15"/>
    <n v="1713"/>
    <d v="2023-05-28T00:00:00"/>
    <x v="3"/>
    <x v="6"/>
    <n v="5.2680000000000001E-3"/>
    <n v="9.0240840000000002"/>
    <s v="PS"/>
    <x v="4"/>
    <x v="3"/>
    <s v="Q2"/>
    <n v="130"/>
    <n v="13.176923076923076"/>
    <s v="PG"/>
    <n v="0.9"/>
    <n v="1541.7"/>
    <n v="8.1216755999999997"/>
    <n v="11.859230769230768"/>
  </r>
  <r>
    <n v="67465064"/>
    <x v="15"/>
    <n v="1400"/>
    <d v="2023-05-28T00:00:00"/>
    <x v="7"/>
    <x v="3"/>
    <n v="1.596E-3"/>
    <n v="2.2343999999999999"/>
    <s v="PS"/>
    <x v="4"/>
    <x v="3"/>
    <s v="Q2"/>
    <n v="130"/>
    <n v="10.76923076923077"/>
    <s v="PG"/>
    <n v="0.9"/>
    <n v="1260"/>
    <n v="2.0109599999999999"/>
    <n v="9.6923076923076934"/>
  </r>
  <r>
    <n v="68634169"/>
    <x v="15"/>
    <n v="5350"/>
    <d v="2023-05-28T00:00:00"/>
    <x v="149"/>
    <x v="16"/>
    <n v="8.5199999999999998E-3"/>
    <n v="45.582000000000001"/>
    <s v="BR"/>
    <x v="4"/>
    <x v="6"/>
    <s v="Q2"/>
    <n v="154"/>
    <n v="34.740259740259738"/>
    <s v="48oz"/>
    <n v="0.95"/>
    <n v="5082.5"/>
    <n v="43.302900000000001"/>
    <n v="33.003246753246749"/>
  </r>
  <r>
    <n v="68737750"/>
    <x v="15"/>
    <n v="5600"/>
    <d v="2023-05-28T00:00:00"/>
    <x v="144"/>
    <x v="23"/>
    <n v="8.5199999999999998E-3"/>
    <n v="47.711999999999996"/>
    <s v="BR"/>
    <x v="4"/>
    <x v="6"/>
    <s v="Q2"/>
    <n v="176"/>
    <n v="31.818181818181817"/>
    <s v="48oz"/>
    <n v="0.95"/>
    <n v="5320"/>
    <n v="45.326399999999992"/>
    <n v="30.227272727272723"/>
  </r>
  <r>
    <n v="69677917"/>
    <x v="15"/>
    <n v="1950"/>
    <d v="2023-05-28T00:00:00"/>
    <x v="30"/>
    <x v="29"/>
    <n v="5.2680000000000001E-3"/>
    <n v="10.272600000000001"/>
    <s v="PS"/>
    <x v="4"/>
    <x v="3"/>
    <s v="Q2"/>
    <n v="108"/>
    <n v="18.055555555555557"/>
    <s v="PG"/>
    <n v="0.9"/>
    <n v="1755"/>
    <n v="9.2453400000000006"/>
    <n v="16.250000000000004"/>
  </r>
  <r>
    <n v="67885719"/>
    <x v="16"/>
    <n v="11400"/>
    <d v="2023-05-28T00:00:00"/>
    <x v="11"/>
    <x v="32"/>
    <n v="8.5199999999999998E-3"/>
    <n v="97.128"/>
    <s v="BR"/>
    <x v="4"/>
    <x v="2"/>
    <s v="Q2"/>
    <n v="154"/>
    <n v="74.025974025974023"/>
    <s v="48oz"/>
    <n v="0.95"/>
    <n v="10830"/>
    <n v="92.271599999999992"/>
    <n v="70.324675324675312"/>
  </r>
  <r>
    <n v="67908208"/>
    <x v="16"/>
    <n v="2700"/>
    <d v="2023-05-28T00:00:00"/>
    <x v="225"/>
    <x v="25"/>
    <n v="3.9039999999999999E-3"/>
    <n v="10.540799999999999"/>
    <s v="GH"/>
    <x v="4"/>
    <x v="11"/>
    <s v="Q2"/>
    <n v="154"/>
    <n v="17.532467532467532"/>
    <s v="MBG"/>
    <n v="0.87"/>
    <n v="2349"/>
    <n v="9.170496"/>
    <n v="15.253246753246753"/>
  </r>
  <r>
    <n v="68782716"/>
    <x v="16"/>
    <n v="8100"/>
    <d v="2023-05-28T00:00:00"/>
    <x v="246"/>
    <x v="22"/>
    <n v="3.7853440000000004E-3"/>
    <n v="30.661286400000002"/>
    <s v="TA"/>
    <x v="4"/>
    <x v="10"/>
    <s v="Q2"/>
    <n v="255"/>
    <n v="31.764705882352942"/>
    <s v="TALENTI"/>
    <n v="0.94"/>
    <n v="7614"/>
    <n v="28.821609215999999"/>
    <n v="29.858823529411765"/>
  </r>
  <r>
    <n v="68922018"/>
    <x v="16"/>
    <n v="17100"/>
    <d v="2023-05-28T00:00:00"/>
    <x v="95"/>
    <x v="21"/>
    <n v="3.7839999999999996E-3"/>
    <n v="64.706399999999988"/>
    <s v="TA"/>
    <x v="4"/>
    <x v="10"/>
    <s v="Q2"/>
    <n v="255"/>
    <n v="67.058823529411768"/>
    <s v="TALENTI"/>
    <n v="0.94"/>
    <n v="16073.999999999998"/>
    <n v="60.824015999999986"/>
    <n v="63.035294117647055"/>
  </r>
  <r>
    <n v="69571484"/>
    <x v="16"/>
    <n v="9300"/>
    <d v="2023-05-28T00:00:00"/>
    <x v="230"/>
    <x v="5"/>
    <n v="1.2960000000000001E-2"/>
    <n v="120.52800000000001"/>
    <s v="MG"/>
    <x v="4"/>
    <x v="5"/>
    <s v="Q2"/>
    <n v="493"/>
    <n v="18.864097363083165"/>
    <s v="MG Sticks"/>
    <n v="0.93"/>
    <n v="8649"/>
    <n v="112.09104000000001"/>
    <n v="17.543610547667345"/>
  </r>
  <r>
    <n v="69621212"/>
    <x v="16"/>
    <n v="2700"/>
    <d v="2023-05-28T00:00:00"/>
    <x v="29"/>
    <x v="28"/>
    <n v="5.2680000000000001E-3"/>
    <n v="14.223600000000001"/>
    <s v="PG"/>
    <x v="4"/>
    <x v="14"/>
    <s v="Q2"/>
    <n v="130"/>
    <n v="20.76923076923077"/>
    <s v="PG"/>
    <n v="0.9"/>
    <n v="2430"/>
    <n v="12.801240000000002"/>
    <n v="18.692307692307693"/>
  </r>
  <r>
    <n v="69677917"/>
    <x v="16"/>
    <n v="5400"/>
    <d v="2023-05-28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7466492"/>
    <x v="15"/>
    <n v="1800"/>
    <d v="2023-05-28T00:00:00"/>
    <x v="8"/>
    <x v="8"/>
    <n v="5.2680000000000001E-3"/>
    <n v="9.4824000000000002"/>
    <s v="PS"/>
    <x v="4"/>
    <x v="3"/>
    <s v="Q2"/>
    <n v="130"/>
    <n v="13.846153846153847"/>
    <s v="PG"/>
    <n v="0.9"/>
    <n v="1620"/>
    <n v="8.53416"/>
    <n v="12.461538461538462"/>
  </r>
  <r>
    <n v="67465063"/>
    <x v="15"/>
    <n v="1713"/>
    <d v="2023-05-30T00:00:00"/>
    <x v="3"/>
    <x v="6"/>
    <n v="5.2680000000000001E-3"/>
    <n v="9.0240840000000002"/>
    <s v="PS"/>
    <x v="4"/>
    <x v="3"/>
    <s v="Q2"/>
    <n v="130"/>
    <n v="13.176923076923076"/>
    <s v="PG"/>
    <n v="0.9"/>
    <n v="1541.7"/>
    <n v="8.1216755999999997"/>
    <n v="11.859230769230768"/>
  </r>
  <r>
    <n v="67465063"/>
    <x v="15"/>
    <n v="1713"/>
    <d v="2023-05-30T00:00:00"/>
    <x v="3"/>
    <x v="40"/>
    <n v="5.2680000000000001E-3"/>
    <n v="9.0240840000000002"/>
    <s v="PS"/>
    <x v="4"/>
    <x v="3"/>
    <s v="Q2"/>
    <n v="130"/>
    <n v="13.176923076923076"/>
    <s v="PG"/>
    <n v="0.9"/>
    <n v="1541.7"/>
    <n v="8.1216755999999997"/>
    <n v="11.859230769230768"/>
  </r>
  <r>
    <n v="67465064"/>
    <x v="15"/>
    <n v="1400"/>
    <d v="2023-05-30T00:00:00"/>
    <x v="7"/>
    <x v="3"/>
    <n v="1.596E-3"/>
    <n v="2.2343999999999999"/>
    <s v="PS"/>
    <x v="4"/>
    <x v="3"/>
    <s v="Q2"/>
    <n v="130"/>
    <n v="10.76923076923077"/>
    <s v="PG"/>
    <n v="0.9"/>
    <n v="1260"/>
    <n v="2.0109599999999999"/>
    <n v="9.6923076923076934"/>
  </r>
  <r>
    <n v="67466492"/>
    <x v="15"/>
    <n v="2250"/>
    <d v="2023-05-30T00:00:00"/>
    <x v="8"/>
    <x v="7"/>
    <n v="5.2680000000000001E-3"/>
    <n v="11.853"/>
    <s v="PS"/>
    <x v="4"/>
    <x v="3"/>
    <s v="Q2"/>
    <n v="130"/>
    <n v="17.307692307692307"/>
    <s v="PG"/>
    <n v="0.9"/>
    <n v="2025"/>
    <n v="10.6677"/>
    <n v="15.576923076923077"/>
  </r>
  <r>
    <n v="67466492"/>
    <x v="15"/>
    <n v="1200"/>
    <d v="2023-05-30T00:00:00"/>
    <x v="8"/>
    <x v="8"/>
    <n v="5.2680000000000001E-3"/>
    <n v="6.3216000000000001"/>
    <s v="PS"/>
    <x v="4"/>
    <x v="3"/>
    <s v="Q2"/>
    <n v="130"/>
    <n v="9.2307692307692299"/>
    <s v="PG"/>
    <n v="0.9"/>
    <n v="1080"/>
    <n v="5.6894400000000003"/>
    <n v="8.3076923076923066"/>
  </r>
  <r>
    <n v="67476560"/>
    <x v="15"/>
    <n v="1800"/>
    <d v="2023-05-30T00:00:00"/>
    <x v="10"/>
    <x v="10"/>
    <n v="5.1060000000000003E-3"/>
    <n v="9.1908000000000012"/>
    <s v="PS"/>
    <x v="4"/>
    <x v="3"/>
    <s v="Q2"/>
    <n v="130"/>
    <n v="13.846153846153847"/>
    <s v="PG"/>
    <n v="0.9"/>
    <n v="1620"/>
    <n v="8.271720000000002"/>
    <n v="12.461538461538462"/>
  </r>
  <r>
    <n v="67885720"/>
    <x v="15"/>
    <n v="5400"/>
    <d v="2023-05-30T00:00:00"/>
    <x v="39"/>
    <x v="12"/>
    <n v="8.5199999999999998E-3"/>
    <n v="46.007999999999996"/>
    <s v="BR"/>
    <x v="4"/>
    <x v="6"/>
    <s v="Q2"/>
    <n v="154"/>
    <n v="35.064935064935064"/>
    <s v="48oz"/>
    <n v="0.95"/>
    <n v="5130"/>
    <n v="43.707599999999992"/>
    <n v="33.311688311688307"/>
  </r>
  <r>
    <n v="68188183"/>
    <x v="15"/>
    <n v="1500"/>
    <d v="2023-05-30T00:00:00"/>
    <x v="70"/>
    <x v="9"/>
    <n v="3.8340000000000002E-3"/>
    <n v="5.7510000000000003"/>
    <s v="PS"/>
    <x v="4"/>
    <x v="3"/>
    <s v="Q2"/>
    <n v="130"/>
    <n v="11.538461538461538"/>
    <s v="PG"/>
    <n v="0.9"/>
    <n v="1350"/>
    <n v="5.1759000000000004"/>
    <n v="10.384615384615385"/>
  </r>
  <r>
    <n v="68817794"/>
    <x v="15"/>
    <n v="5600"/>
    <d v="2023-05-30T00:00:00"/>
    <x v="67"/>
    <x v="23"/>
    <n v="8.5199999999999998E-3"/>
    <n v="47.711999999999996"/>
    <s v="BR"/>
    <x v="4"/>
    <x v="6"/>
    <s v="Q2"/>
    <n v="176"/>
    <n v="31.818181818181817"/>
    <s v="48oz"/>
    <n v="0.95"/>
    <n v="5320"/>
    <n v="45.326399999999992"/>
    <n v="30.227272727272723"/>
  </r>
  <r>
    <n v="68881272"/>
    <x v="15"/>
    <n v="5350"/>
    <d v="2023-05-30T00:00:00"/>
    <x v="124"/>
    <x v="16"/>
    <n v="8.5199999999999998E-3"/>
    <n v="45.582000000000001"/>
    <s v="BR"/>
    <x v="4"/>
    <x v="6"/>
    <s v="Q2"/>
    <n v="154"/>
    <n v="34.740259740259738"/>
    <s v="48oz"/>
    <n v="0.95"/>
    <n v="5082.5"/>
    <n v="43.302900000000001"/>
    <n v="33.003246753246749"/>
  </r>
  <r>
    <n v="69677917"/>
    <x v="15"/>
    <n v="1950"/>
    <d v="2023-05-30T00:00:00"/>
    <x v="30"/>
    <x v="29"/>
    <n v="5.2680000000000001E-3"/>
    <n v="10.272600000000001"/>
    <s v="PS"/>
    <x v="4"/>
    <x v="3"/>
    <s v="Q2"/>
    <n v="108"/>
    <n v="18.055555555555557"/>
    <s v="PG"/>
    <n v="0.9"/>
    <n v="1755"/>
    <n v="9.2453400000000006"/>
    <n v="16.250000000000004"/>
  </r>
  <r>
    <n v="67885721"/>
    <x v="16"/>
    <n v="11400"/>
    <d v="2023-05-30T00:00:00"/>
    <x v="40"/>
    <x v="32"/>
    <n v="8.5199999999999998E-3"/>
    <n v="97.128"/>
    <s v="BR"/>
    <x v="4"/>
    <x v="2"/>
    <s v="Q2"/>
    <n v="154"/>
    <n v="74.025974025974023"/>
    <s v="48oz"/>
    <n v="0.95"/>
    <n v="10830"/>
    <n v="92.271599999999992"/>
    <n v="70.324675324675312"/>
  </r>
  <r>
    <n v="67908208"/>
    <x v="16"/>
    <n v="2700"/>
    <d v="2023-05-30T00:00:00"/>
    <x v="225"/>
    <x v="25"/>
    <n v="3.9039999999999999E-3"/>
    <n v="10.540799999999999"/>
    <s v="GH"/>
    <x v="4"/>
    <x v="11"/>
    <s v="Q2"/>
    <n v="154"/>
    <n v="17.532467532467532"/>
    <s v="MBG"/>
    <n v="0.87"/>
    <n v="2349"/>
    <n v="9.170496"/>
    <n v="15.253246753246753"/>
  </r>
  <r>
    <n v="68527303"/>
    <x v="16"/>
    <n v="11400"/>
    <d v="2023-05-30T00:00:00"/>
    <x v="156"/>
    <x v="15"/>
    <n v="3.7839999999999996E-3"/>
    <n v="43.137599999999992"/>
    <s v="BR"/>
    <x v="4"/>
    <x v="7"/>
    <s v="Q2"/>
    <n v="240"/>
    <n v="47.5"/>
    <s v="PTS"/>
    <n v="0.95"/>
    <n v="10830"/>
    <n v="40.980719999999991"/>
    <n v="45.125"/>
  </r>
  <r>
    <n v="68728342"/>
    <x v="16"/>
    <n v="7500"/>
    <d v="2023-05-30T00:00:00"/>
    <x v="44"/>
    <x v="22"/>
    <n v="3.7853439999999999E-3"/>
    <n v="28.390080000000001"/>
    <s v="TA"/>
    <x v="4"/>
    <x v="10"/>
    <s v="Q2"/>
    <n v="255"/>
    <n v="29.411764705882351"/>
    <s v="TALENTI"/>
    <n v="0.94"/>
    <n v="7050"/>
    <n v="26.6866752"/>
    <n v="27.647058823529409"/>
  </r>
  <r>
    <n v="68729723"/>
    <x v="16"/>
    <n v="8550"/>
    <d v="2023-05-30T00:00:00"/>
    <x v="300"/>
    <x v="21"/>
    <n v="3.7853440000000004E-3"/>
    <n v="32.364691200000003"/>
    <s v="TA"/>
    <x v="4"/>
    <x v="10"/>
    <s v="Q2"/>
    <n v="255"/>
    <n v="33.529411764705884"/>
    <s v="TALENTI"/>
    <n v="0.94"/>
    <n v="8036.9999999999991"/>
    <n v="30.422809728000001"/>
    <n v="31.517647058823528"/>
  </r>
  <r>
    <n v="68881270"/>
    <x v="16"/>
    <n v="6300"/>
    <d v="2023-05-30T00:00:00"/>
    <x v="91"/>
    <x v="2"/>
    <n v="8.5199999999999998E-3"/>
    <n v="53.676000000000002"/>
    <s v="BR"/>
    <x v="4"/>
    <x v="2"/>
    <s v="Q2"/>
    <n v="176"/>
    <n v="35.795454545454547"/>
    <s v="48oz"/>
    <n v="0.95"/>
    <n v="5985"/>
    <n v="50.992199999999997"/>
    <n v="34.00568181818182"/>
  </r>
  <r>
    <n v="68881270"/>
    <x v="16"/>
    <n v="6300"/>
    <d v="2023-05-30T00:00:00"/>
    <x v="91"/>
    <x v="13"/>
    <n v="8.5199999999999998E-3"/>
    <n v="53.676000000000002"/>
    <s v="BR"/>
    <x v="4"/>
    <x v="2"/>
    <s v="Q2"/>
    <n v="176"/>
    <n v="35.795454545454547"/>
    <s v="48oz"/>
    <n v="0.95"/>
    <n v="5985"/>
    <n v="50.992199999999997"/>
    <n v="34.00568181818182"/>
  </r>
  <r>
    <n v="69572544"/>
    <x v="16"/>
    <n v="5100"/>
    <d v="2023-05-30T00:00:00"/>
    <x v="171"/>
    <x v="14"/>
    <n v="1.9740000000000001E-3"/>
    <n v="10.067400000000001"/>
    <s v="MG"/>
    <x v="4"/>
    <x v="5"/>
    <s v="Q2"/>
    <n v="176"/>
    <n v="28.977272727272727"/>
    <s v="MG Sticks"/>
    <n v="0.93"/>
    <n v="4743"/>
    <n v="9.3626820000000013"/>
    <n v="26.948863636363637"/>
  </r>
  <r>
    <n v="69572657"/>
    <x v="16"/>
    <n v="6000"/>
    <d v="2023-05-30T00:00:00"/>
    <x v="306"/>
    <x v="5"/>
    <n v="2.1520000000000003E-3"/>
    <n v="12.912000000000001"/>
    <s v="MG"/>
    <x v="4"/>
    <x v="5"/>
    <s v="Q2"/>
    <n v="210"/>
    <n v="28.571428571428573"/>
    <s v="MG Sticks"/>
    <n v="0.93"/>
    <n v="5580"/>
    <n v="12.008160000000002"/>
    <n v="26.571428571428573"/>
  </r>
  <r>
    <n v="69621212"/>
    <x v="16"/>
    <n v="2700"/>
    <d v="2023-05-30T00:00:00"/>
    <x v="29"/>
    <x v="28"/>
    <n v="5.2680000000000001E-3"/>
    <n v="14.223600000000001"/>
    <s v="PG"/>
    <x v="4"/>
    <x v="14"/>
    <s v="Q2"/>
    <n v="130"/>
    <n v="20.76923076923077"/>
    <s v="PG"/>
    <n v="0.9"/>
    <n v="2430"/>
    <n v="12.801240000000002"/>
    <n v="18.692307692307693"/>
  </r>
  <r>
    <n v="69677917"/>
    <x v="16"/>
    <n v="2700"/>
    <d v="2023-05-30T00:00:00"/>
    <x v="30"/>
    <x v="30"/>
    <n v="5.2680000000000001E-3"/>
    <n v="14.223600000000001"/>
    <s v="PS"/>
    <x v="4"/>
    <x v="14"/>
    <s v="Q2"/>
    <n v="108"/>
    <n v="25"/>
    <s v="PG"/>
    <n v="0.9"/>
    <n v="2430"/>
    <n v="12.801240000000002"/>
    <n v="22.5"/>
  </r>
  <r>
    <n v="69706147"/>
    <x v="16"/>
    <n v="4200"/>
    <d v="2023-05-30T00:00:00"/>
    <x v="195"/>
    <x v="31"/>
    <n v="3.8999999999999998E-3"/>
    <n v="16.38"/>
    <s v="TA"/>
    <x v="4"/>
    <x v="42"/>
    <s v="Q2"/>
    <n v="176"/>
    <n v="23.863636363636363"/>
    <s v="TAL NV"/>
    <n v="0.97"/>
    <n v="4074"/>
    <n v="15.888599999999999"/>
    <n v="23.147727272727273"/>
  </r>
  <r>
    <n v="68655555"/>
    <x v="17"/>
    <n v="5340"/>
    <d v="2023-05-30T00:00:00"/>
    <x v="115"/>
    <x v="35"/>
    <n v="1.4399999999999999E-3"/>
    <n v="7.6895999999999995"/>
    <s v="BJ"/>
    <x v="4"/>
    <x v="31"/>
    <s v="Q2"/>
    <n v="510"/>
    <n v="10.470588235294118"/>
    <s v="Cup Exports"/>
    <n v="0.85"/>
    <n v="4539"/>
    <n v="6.5361599999999997"/>
    <n v="8.9"/>
  </r>
  <r>
    <n v="68850684"/>
    <x v="15"/>
    <n v="12000"/>
    <d v="2023-05-30T00:00:00"/>
    <x v="354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69572657"/>
    <x v="16"/>
    <n v="12000"/>
    <d v="2023-05-30T00:00:00"/>
    <x v="306"/>
    <x v="5"/>
    <n v="2.1520000000000003E-3"/>
    <n v="25.824000000000002"/>
    <s v="MG"/>
    <x v="4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5-30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84135718"/>
    <x v="18"/>
    <n v="47850"/>
    <d v="2023-05-30T00:00:00"/>
    <x v="147"/>
    <x v="38"/>
    <n v="3.7853439999999999E-3"/>
    <n v="181.12871039999999"/>
    <s v="BJ"/>
    <x v="4"/>
    <x v="36"/>
    <s v="Q2"/>
    <n v="240"/>
    <n v="199.375"/>
    <s v="BJ PTS"/>
    <n v="0.9"/>
    <n v="43065"/>
    <n v="163.01583936"/>
    <n v="179.4375"/>
  </r>
  <r>
    <n v="67296703"/>
    <x v="17"/>
    <n v="11600"/>
    <d v="2023-05-30T00:00:00"/>
    <x v="355"/>
    <x v="33"/>
    <n v="3.7853439999999999E-3"/>
    <n v="43.909990399999998"/>
    <s v="BJ"/>
    <x v="4"/>
    <x v="15"/>
    <s v="Q2"/>
    <n v="240"/>
    <n v="48.333333333333336"/>
    <s v="BJ PTS"/>
    <n v="0.9"/>
    <n v="10440"/>
    <n v="39.518991360000001"/>
    <n v="43.5"/>
  </r>
  <r>
    <n v="67794167"/>
    <x v="17"/>
    <n v="104000"/>
    <d v="2023-05-30T00:00:00"/>
    <x v="176"/>
    <x v="38"/>
    <n v="3.7853439999999999E-3"/>
    <n v="393.67577599999998"/>
    <s v="BJ"/>
    <x v="4"/>
    <x v="15"/>
    <s v="Q2"/>
    <n v="240"/>
    <n v="433.33333333333331"/>
    <s v="BJ PTS"/>
    <n v="0.9"/>
    <n v="93600"/>
    <n v="354.30819839999998"/>
    <n v="390"/>
  </r>
  <r>
    <n v="84137725"/>
    <x v="17"/>
    <n v="35960"/>
    <d v="2023-05-30T00:00:00"/>
    <x v="132"/>
    <x v="34"/>
    <n v="3.7853439999999999E-3"/>
    <n v="136.12097023999999"/>
    <s v="BJ"/>
    <x v="4"/>
    <x v="15"/>
    <s v="Q2"/>
    <n v="240"/>
    <n v="149.83333333333334"/>
    <s v="BJ PTS"/>
    <n v="0.9"/>
    <n v="32364"/>
    <n v="122.508873216"/>
    <n v="134.85000000000002"/>
  </r>
  <r>
    <n v="84135758"/>
    <x v="17"/>
    <n v="59150"/>
    <d v="2023-05-30T00:00:00"/>
    <x v="130"/>
    <x v="33"/>
    <n v="1.4399999999999999E-3"/>
    <n v="85.175999999999988"/>
    <s v="BJ"/>
    <x v="4"/>
    <x v="16"/>
    <s v="Q2"/>
    <n v="510"/>
    <n v="115.98039215686275"/>
    <s v="B&amp;J Cups"/>
    <n v="0.85"/>
    <n v="50277.5"/>
    <n v="72.399599999999992"/>
    <n v="98.583333333333329"/>
  </r>
  <r>
    <n v="68817794"/>
    <x v="15"/>
    <n v="11200"/>
    <d v="2023-05-31T00:00:00"/>
    <x v="67"/>
    <x v="23"/>
    <n v="8.5199999999999998E-3"/>
    <n v="95.423999999999992"/>
    <s v="BR"/>
    <x v="4"/>
    <x v="6"/>
    <s v="Q2"/>
    <n v="176"/>
    <n v="63.636363636363633"/>
    <s v="48oz"/>
    <n v="0.95"/>
    <n v="10640"/>
    <n v="90.652799999999985"/>
    <n v="60.454545454545446"/>
  </r>
  <r>
    <n v="67885721"/>
    <x v="16"/>
    <n v="22800"/>
    <d v="2023-05-31T00:00:00"/>
    <x v="40"/>
    <x v="32"/>
    <n v="8.5199999999999998E-3"/>
    <n v="194.256"/>
    <s v="BR"/>
    <x v="4"/>
    <x v="2"/>
    <s v="Q2"/>
    <n v="154"/>
    <n v="148.05194805194805"/>
    <s v="48oz"/>
    <n v="0.95"/>
    <n v="21660"/>
    <n v="184.54319999999998"/>
    <n v="140.64935064935062"/>
  </r>
  <r>
    <n v="67908208"/>
    <x v="16"/>
    <n v="5400"/>
    <d v="2023-05-31T00:00:00"/>
    <x v="225"/>
    <x v="25"/>
    <n v="3.9039999999999999E-3"/>
    <n v="21.081599999999998"/>
    <s v="GH"/>
    <x v="4"/>
    <x v="11"/>
    <s v="Q2"/>
    <n v="154"/>
    <n v="35.064935064935064"/>
    <s v="MBG"/>
    <n v="0.87"/>
    <n v="4698"/>
    <n v="18.340992"/>
    <n v="30.506493506493506"/>
  </r>
  <r>
    <n v="68527303"/>
    <x v="16"/>
    <n v="22800"/>
    <d v="2023-05-31T00:00:00"/>
    <x v="156"/>
    <x v="15"/>
    <n v="3.7839999999999996E-3"/>
    <n v="86.275199999999984"/>
    <s v="BR"/>
    <x v="4"/>
    <x v="7"/>
    <s v="Q2"/>
    <n v="240"/>
    <n v="95"/>
    <s v="PTS"/>
    <n v="0.95"/>
    <n v="21660"/>
    <n v="81.961439999999982"/>
    <n v="90.25"/>
  </r>
  <r>
    <n v="68728342"/>
    <x v="16"/>
    <n v="15000"/>
    <d v="2023-05-31T00:00:00"/>
    <x v="44"/>
    <x v="22"/>
    <n v="3.7853439999999999E-3"/>
    <n v="56.780160000000002"/>
    <s v="TA"/>
    <x v="4"/>
    <x v="10"/>
    <s v="Q2"/>
    <n v="255"/>
    <n v="58.823529411764703"/>
    <s v="TALENTI"/>
    <n v="0.94"/>
    <n v="14100"/>
    <n v="53.3733504"/>
    <n v="55.294117647058819"/>
  </r>
  <r>
    <n v="68729723"/>
    <x v="16"/>
    <n v="17100"/>
    <d v="2023-05-31T00:00:00"/>
    <x v="300"/>
    <x v="21"/>
    <n v="3.7853440000000004E-3"/>
    <n v="64.729382400000006"/>
    <s v="TA"/>
    <x v="4"/>
    <x v="10"/>
    <s v="Q2"/>
    <n v="255"/>
    <n v="67.058823529411768"/>
    <s v="TALENTI"/>
    <n v="0.94"/>
    <n v="16073.999999999998"/>
    <n v="60.845619456000001"/>
    <n v="63.035294117647055"/>
  </r>
  <r>
    <n v="68881270"/>
    <x v="16"/>
    <n v="12600"/>
    <d v="2023-05-31T00:00:00"/>
    <x v="91"/>
    <x v="2"/>
    <n v="8.5199999999999998E-3"/>
    <n v="107.352"/>
    <s v="BR"/>
    <x v="4"/>
    <x v="2"/>
    <s v="Q2"/>
    <n v="176"/>
    <n v="71.590909090909093"/>
    <s v="48oz"/>
    <n v="0.95"/>
    <n v="11970"/>
    <n v="101.98439999999999"/>
    <n v="68.01136363636364"/>
  </r>
  <r>
    <n v="68881270"/>
    <x v="16"/>
    <n v="12600"/>
    <d v="2023-05-31T00:00:00"/>
    <x v="91"/>
    <x v="13"/>
    <n v="8.5199999999999998E-3"/>
    <n v="107.352"/>
    <s v="BR"/>
    <x v="4"/>
    <x v="2"/>
    <s v="Q2"/>
    <n v="176"/>
    <n v="71.590909090909093"/>
    <s v="48oz"/>
    <n v="0.95"/>
    <n v="11970"/>
    <n v="101.98439999999999"/>
    <n v="68.01136363636364"/>
  </r>
  <r>
    <n v="69572544"/>
    <x v="16"/>
    <n v="10200"/>
    <d v="2023-05-31T00:00:00"/>
    <x v="171"/>
    <x v="14"/>
    <n v="1.9740000000000001E-3"/>
    <n v="20.134800000000002"/>
    <s v="MG"/>
    <x v="4"/>
    <x v="5"/>
    <s v="Q2"/>
    <n v="176"/>
    <n v="57.954545454545453"/>
    <s v="MG Sticks"/>
    <n v="0.93"/>
    <n v="9486"/>
    <n v="18.725364000000003"/>
    <n v="53.897727272727273"/>
  </r>
  <r>
    <n v="69677917"/>
    <x v="16"/>
    <n v="5400"/>
    <d v="2023-05-31T00:00:00"/>
    <x v="30"/>
    <x v="30"/>
    <n v="5.2680000000000001E-3"/>
    <n v="28.447200000000002"/>
    <s v="PS"/>
    <x v="4"/>
    <x v="14"/>
    <s v="Q2"/>
    <n v="108"/>
    <n v="50"/>
    <s v="PG"/>
    <n v="0.9"/>
    <n v="4860"/>
    <n v="25.602480000000003"/>
    <n v="45"/>
  </r>
  <r>
    <n v="69706147"/>
    <x v="16"/>
    <n v="8400"/>
    <d v="2023-05-31T00:00:00"/>
    <x v="195"/>
    <x v="31"/>
    <n v="3.8999999999999998E-3"/>
    <n v="32.76"/>
    <s v="TA"/>
    <x v="4"/>
    <x v="42"/>
    <s v="Q2"/>
    <n v="176"/>
    <n v="47.727272727272727"/>
    <s v="TAL NV"/>
    <n v="0.97"/>
    <n v="8148"/>
    <n v="31.777199999999997"/>
    <n v="46.295454545454547"/>
  </r>
  <r>
    <n v="67473913"/>
    <x v="17"/>
    <n v="4640"/>
    <d v="2023-05-31T00:00:00"/>
    <x v="333"/>
    <x v="33"/>
    <n v="3.6640000000000002E-3"/>
    <n v="17.000959999999999"/>
    <s v="BJ"/>
    <x v="4"/>
    <x v="24"/>
    <s v="Q2"/>
    <n v="240"/>
    <n v="19.333333333333332"/>
    <s v="PTS Exports"/>
    <n v="0.9"/>
    <n v="4176"/>
    <n v="15.300863999999999"/>
    <n v="17.399999999999999"/>
  </r>
  <r>
    <n v="67465063"/>
    <x v="15"/>
    <n v="3425"/>
    <d v="2023-05-31T00:00:00"/>
    <x v="3"/>
    <x v="6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5063"/>
    <x v="15"/>
    <n v="3425"/>
    <d v="2023-05-31T00:00:00"/>
    <x v="3"/>
    <x v="40"/>
    <n v="5.2680000000000001E-3"/>
    <n v="18.042899999999999"/>
    <s v="PS"/>
    <x v="4"/>
    <x v="3"/>
    <s v="Q2"/>
    <n v="130"/>
    <n v="26.346153846153847"/>
    <s v="PG"/>
    <n v="0.9"/>
    <n v="3082.5"/>
    <n v="16.238610000000001"/>
    <n v="23.711538461538463"/>
  </r>
  <r>
    <n v="67465064"/>
    <x v="15"/>
    <n v="2800"/>
    <d v="2023-05-31T00:00:00"/>
    <x v="7"/>
    <x v="3"/>
    <n v="1.596E-3"/>
    <n v="4.4687999999999999"/>
    <s v="PS"/>
    <x v="4"/>
    <x v="3"/>
    <s v="Q2"/>
    <n v="130"/>
    <n v="21.53846153846154"/>
    <s v="PG"/>
    <n v="0.9"/>
    <n v="2520"/>
    <n v="4.0219199999999997"/>
    <n v="19.384615384615387"/>
  </r>
  <r>
    <n v="67466492"/>
    <x v="15"/>
    <n v="4500"/>
    <d v="2023-05-31T00:00:00"/>
    <x v="8"/>
    <x v="7"/>
    <n v="5.2680000000000001E-3"/>
    <n v="23.706"/>
    <s v="PS"/>
    <x v="4"/>
    <x v="3"/>
    <s v="Q2"/>
    <n v="130"/>
    <n v="34.615384615384613"/>
    <s v="PG"/>
    <n v="0.9"/>
    <n v="4050"/>
    <n v="21.3354"/>
    <n v="31.153846153846153"/>
  </r>
  <r>
    <n v="67466492"/>
    <x v="15"/>
    <n v="3600"/>
    <d v="2023-05-31T00:00:00"/>
    <x v="8"/>
    <x v="8"/>
    <n v="5.2680000000000001E-3"/>
    <n v="18.9648"/>
    <s v="PS"/>
    <x v="4"/>
    <x v="3"/>
    <s v="Q2"/>
    <n v="130"/>
    <n v="27.692307692307693"/>
    <s v="PG"/>
    <n v="0.9"/>
    <n v="3240"/>
    <n v="17.06832"/>
    <n v="24.923076923076923"/>
  </r>
  <r>
    <n v="67476560"/>
    <x v="15"/>
    <n v="3600"/>
    <d v="2023-05-31T00:00:00"/>
    <x v="10"/>
    <x v="10"/>
    <n v="5.1060000000000003E-3"/>
    <n v="18.381600000000002"/>
    <s v="PS"/>
    <x v="4"/>
    <x v="3"/>
    <s v="Q2"/>
    <n v="130"/>
    <n v="27.692307692307693"/>
    <s v="PG"/>
    <n v="0.9"/>
    <n v="3240"/>
    <n v="16.543440000000004"/>
    <n v="24.923076923076923"/>
  </r>
  <r>
    <n v="67885724"/>
    <x v="15"/>
    <n v="10800"/>
    <d v="2023-05-31T00:00:00"/>
    <x v="49"/>
    <x v="12"/>
    <n v="8.5199999999999998E-3"/>
    <n v="92.015999999999991"/>
    <s v="BR"/>
    <x v="4"/>
    <x v="6"/>
    <s v="Q2"/>
    <n v="154"/>
    <n v="70.129870129870127"/>
    <s v="48oz"/>
    <n v="0.95"/>
    <n v="10260"/>
    <n v="87.415199999999984"/>
    <n v="66.623376623376615"/>
  </r>
  <r>
    <n v="68188183"/>
    <x v="15"/>
    <n v="3000"/>
    <d v="2023-05-31T00:00:00"/>
    <x v="70"/>
    <x v="9"/>
    <n v="3.8340000000000002E-3"/>
    <n v="11.502000000000001"/>
    <s v="PS"/>
    <x v="4"/>
    <x v="3"/>
    <s v="Q2"/>
    <n v="130"/>
    <n v="23.076923076923077"/>
    <s v="PG"/>
    <n v="0.9"/>
    <n v="2700"/>
    <n v="10.351800000000001"/>
    <n v="20.76923076923077"/>
  </r>
  <r>
    <n v="68850684"/>
    <x v="15"/>
    <n v="12000"/>
    <d v="2023-05-31T00:00:00"/>
    <x v="354"/>
    <x v="11"/>
    <n v="8.5199999999999998E-3"/>
    <n v="102.24"/>
    <s v="BR"/>
    <x v="4"/>
    <x v="6"/>
    <s v="Q2"/>
    <n v="176"/>
    <n v="68.181818181818187"/>
    <s v="48oz"/>
    <n v="0.95"/>
    <n v="11400"/>
    <n v="97.127999999999986"/>
    <n v="64.77272727272728"/>
  </r>
  <r>
    <n v="68881272"/>
    <x v="15"/>
    <n v="10700"/>
    <d v="2023-05-31T00:00:00"/>
    <x v="124"/>
    <x v="16"/>
    <n v="8.5199999999999998E-3"/>
    <n v="91.164000000000001"/>
    <s v="BR"/>
    <x v="4"/>
    <x v="6"/>
    <s v="Q2"/>
    <n v="154"/>
    <n v="69.480519480519476"/>
    <s v="48oz"/>
    <n v="0.95"/>
    <n v="10165"/>
    <n v="86.605800000000002"/>
    <n v="66.006493506493499"/>
  </r>
  <r>
    <n v="69677917"/>
    <x v="15"/>
    <n v="3900"/>
    <d v="2023-05-31T00:00:00"/>
    <x v="30"/>
    <x v="29"/>
    <n v="5.2680000000000001E-3"/>
    <n v="20.545200000000001"/>
    <s v="PS"/>
    <x v="4"/>
    <x v="3"/>
    <s v="Q2"/>
    <n v="108"/>
    <n v="36.111111111111114"/>
    <s v="PG"/>
    <n v="0.9"/>
    <n v="3510"/>
    <n v="18.490680000000001"/>
    <n v="32.500000000000007"/>
  </r>
  <r>
    <n v="69572657"/>
    <x v="16"/>
    <n v="12000"/>
    <d v="2023-05-31T00:00:00"/>
    <x v="306"/>
    <x v="5"/>
    <n v="2.1520000000000003E-3"/>
    <n v="25.824000000000002"/>
    <s v="MG"/>
    <x v="4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5-31T00:00:00"/>
    <x v="29"/>
    <x v="28"/>
    <n v="5.2680000000000001E-3"/>
    <n v="28.447200000000002"/>
    <s v="PG"/>
    <x v="4"/>
    <x v="14"/>
    <s v="Q2"/>
    <n v="130"/>
    <n v="41.53846153846154"/>
    <s v="PG"/>
    <n v="0.9"/>
    <n v="4860"/>
    <n v="25.602480000000003"/>
    <n v="37.384615384615387"/>
  </r>
  <r>
    <n v="84138391"/>
    <x v="17"/>
    <n v="69600"/>
    <d v="2023-05-31T00:00:00"/>
    <x v="84"/>
    <x v="33"/>
    <n v="3.7853439999999999E-3"/>
    <n v="263.45994239999999"/>
    <s v="BJ"/>
    <x v="4"/>
    <x v="15"/>
    <s v="Q2"/>
    <n v="240"/>
    <n v="290"/>
    <s v="BJ PTS"/>
    <n v="0.9"/>
    <n v="62640"/>
    <n v="237.11394816000001"/>
    <n v="261"/>
  </r>
  <r>
    <n v="68817794"/>
    <x v="15"/>
    <n v="11200"/>
    <d v="2023-06-01T00:00:00"/>
    <x v="67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67885721"/>
    <x v="16"/>
    <n v="17100"/>
    <d v="2023-06-01T00:00:00"/>
    <x v="40"/>
    <x v="32"/>
    <n v="8.5199999999999998E-3"/>
    <n v="145.69200000000001"/>
    <s v="BR"/>
    <x v="5"/>
    <x v="2"/>
    <s v="Q2"/>
    <n v="154"/>
    <n v="111.03896103896103"/>
    <s v="48oz"/>
    <n v="0.95"/>
    <n v="16245"/>
    <n v="138.4074"/>
    <n v="105.48701298701297"/>
  </r>
  <r>
    <n v="67908208"/>
    <x v="16"/>
    <n v="5400"/>
    <d v="2023-06-01T00:00:00"/>
    <x v="225"/>
    <x v="25"/>
    <n v="3.9039999999999999E-3"/>
    <n v="21.081599999999998"/>
    <s v="GH"/>
    <x v="5"/>
    <x v="11"/>
    <s v="Q2"/>
    <n v="154"/>
    <n v="35.064935064935064"/>
    <s v="MBG"/>
    <n v="0.87"/>
    <n v="4698"/>
    <n v="18.340992"/>
    <n v="30.506493506493506"/>
  </r>
  <r>
    <n v="68527303"/>
    <x v="16"/>
    <n v="11400"/>
    <d v="2023-06-01T00:00:00"/>
    <x v="156"/>
    <x v="15"/>
    <n v="3.7839999999999996E-3"/>
    <n v="43.137599999999992"/>
    <s v="BR"/>
    <x v="5"/>
    <x v="7"/>
    <s v="Q2"/>
    <n v="240"/>
    <n v="47.5"/>
    <s v="PTS"/>
    <n v="0.95"/>
    <n v="10830"/>
    <n v="40.980719999999991"/>
    <n v="45.125"/>
  </r>
  <r>
    <n v="68728342"/>
    <x v="16"/>
    <n v="11693"/>
    <d v="2023-06-01T00:00:00"/>
    <x v="44"/>
    <x v="22"/>
    <n v="3.7853439999999999E-3"/>
    <n v="44.262027392"/>
    <s v="TA"/>
    <x v="5"/>
    <x v="10"/>
    <s v="Q2"/>
    <n v="255"/>
    <n v="45.854901960784311"/>
    <s v="TALENTI"/>
    <n v="0.94"/>
    <n v="10991.42"/>
    <n v="41.606305748479997"/>
    <n v="43.103607843137247"/>
  </r>
  <r>
    <n v="68729723"/>
    <x v="16"/>
    <n v="17100"/>
    <d v="2023-06-01T00:00:00"/>
    <x v="300"/>
    <x v="21"/>
    <n v="3.7853440000000004E-3"/>
    <n v="64.729382400000006"/>
    <s v="TA"/>
    <x v="5"/>
    <x v="10"/>
    <s v="Q2"/>
    <n v="255"/>
    <n v="67.058823529411768"/>
    <s v="TALENTI"/>
    <n v="0.94"/>
    <n v="16073.999999999998"/>
    <n v="60.845619456000001"/>
    <n v="63.035294117647055"/>
  </r>
  <r>
    <n v="68881270"/>
    <x v="16"/>
    <n v="9450"/>
    <d v="2023-06-01T00:00:00"/>
    <x v="91"/>
    <x v="2"/>
    <n v="8.5199999999999998E-3"/>
    <n v="80.513999999999996"/>
    <s v="BR"/>
    <x v="5"/>
    <x v="2"/>
    <s v="Q2"/>
    <n v="176"/>
    <n v="53.69318181818182"/>
    <s v="48oz"/>
    <n v="0.95"/>
    <n v="8977.5"/>
    <n v="76.488299999999995"/>
    <n v="51.008522727272727"/>
  </r>
  <r>
    <n v="68881270"/>
    <x v="16"/>
    <n v="9450"/>
    <d v="2023-06-01T00:00:00"/>
    <x v="91"/>
    <x v="13"/>
    <n v="8.5199999999999998E-3"/>
    <n v="80.513999999999996"/>
    <s v="BR"/>
    <x v="5"/>
    <x v="2"/>
    <s v="Q2"/>
    <n v="176"/>
    <n v="53.69318181818182"/>
    <s v="48oz"/>
    <n v="0.95"/>
    <n v="8977.5"/>
    <n v="76.488299999999995"/>
    <n v="51.008522727272727"/>
  </r>
  <r>
    <n v="69572544"/>
    <x v="16"/>
    <n v="10200"/>
    <d v="2023-06-01T00:00:00"/>
    <x v="171"/>
    <x v="14"/>
    <n v="1.9740000000000001E-3"/>
    <n v="20.134800000000002"/>
    <s v="MG"/>
    <x v="5"/>
    <x v="5"/>
    <s v="Q2"/>
    <n v="176"/>
    <n v="57.954545454545453"/>
    <s v="MG Sticks"/>
    <n v="0.93"/>
    <n v="9486"/>
    <n v="18.725364000000003"/>
    <n v="53.897727272727273"/>
  </r>
  <r>
    <n v="69677917"/>
    <x v="16"/>
    <n v="5400"/>
    <d v="2023-06-01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06147"/>
    <x v="16"/>
    <n v="8400"/>
    <d v="2023-06-01T00:00:00"/>
    <x v="195"/>
    <x v="31"/>
    <n v="3.8999999999999998E-3"/>
    <n v="32.76"/>
    <s v="TA"/>
    <x v="5"/>
    <x v="42"/>
    <s v="Q2"/>
    <n v="176"/>
    <n v="47.727272727272727"/>
    <s v="TAL NV"/>
    <n v="0.97"/>
    <n v="8148"/>
    <n v="31.777199999999997"/>
    <n v="46.295454545454547"/>
  </r>
  <r>
    <n v="67465063"/>
    <x v="15"/>
    <n v="3425"/>
    <d v="2023-06-01T00:00:00"/>
    <x v="3"/>
    <x v="6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3"/>
    <x v="15"/>
    <n v="3425"/>
    <d v="2023-06-01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4"/>
    <x v="15"/>
    <n v="2800"/>
    <d v="2023-06-01T00:00:00"/>
    <x v="7"/>
    <x v="3"/>
    <n v="1.596E-3"/>
    <n v="4.4687999999999999"/>
    <s v="PS"/>
    <x v="5"/>
    <x v="3"/>
    <s v="Q2"/>
    <n v="130"/>
    <n v="21.53846153846154"/>
    <s v="PG"/>
    <n v="0.9"/>
    <n v="2520"/>
    <n v="4.0219199999999997"/>
    <n v="19.384615384615387"/>
  </r>
  <r>
    <n v="67466492"/>
    <x v="15"/>
    <n v="4500"/>
    <d v="2023-06-01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01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01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885724"/>
    <x v="15"/>
    <n v="10800"/>
    <d v="2023-06-01T00:00:00"/>
    <x v="49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8188183"/>
    <x v="15"/>
    <n v="3000"/>
    <d v="2023-06-01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850684"/>
    <x v="15"/>
    <n v="12000"/>
    <d v="2023-06-01T00:00:00"/>
    <x v="354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8881272"/>
    <x v="15"/>
    <n v="10700"/>
    <d v="2023-06-01T00:00:00"/>
    <x v="124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9677917"/>
    <x v="15"/>
    <n v="3900"/>
    <d v="2023-06-01T00:00:00"/>
    <x v="30"/>
    <x v="29"/>
    <n v="5.2680000000000001E-3"/>
    <n v="20.545200000000001"/>
    <s v="PS"/>
    <x v="5"/>
    <x v="3"/>
    <s v="Q2"/>
    <n v="108"/>
    <n v="36.111111111111114"/>
    <s v="PG"/>
    <n v="0.9"/>
    <n v="3510"/>
    <n v="18.490680000000001"/>
    <n v="32.500000000000007"/>
  </r>
  <r>
    <n v="69621212"/>
    <x v="16"/>
    <n v="5400"/>
    <d v="2023-06-01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84135718"/>
    <x v="18"/>
    <n v="51150"/>
    <d v="2023-06-01T00:00:00"/>
    <x v="147"/>
    <x v="38"/>
    <n v="3.7853439999999999E-3"/>
    <n v="193.62034560000001"/>
    <s v="BJ"/>
    <x v="5"/>
    <x v="36"/>
    <s v="Q2"/>
    <n v="240"/>
    <n v="213.125"/>
    <s v="BJ PTS"/>
    <n v="0.9"/>
    <n v="46035"/>
    <n v="174.25831104000002"/>
    <n v="191.8125"/>
  </r>
  <r>
    <n v="84164936"/>
    <x v="17"/>
    <n v="35960"/>
    <d v="2023-06-01T00:00:00"/>
    <x v="162"/>
    <x v="42"/>
    <n v="3.7853439999999999E-3"/>
    <n v="136.12097023999999"/>
    <s v="BJ"/>
    <x v="5"/>
    <x v="15"/>
    <s v="Q2"/>
    <n v="240"/>
    <n v="149.83333333333334"/>
    <s v="BJ PTS"/>
    <n v="0.9"/>
    <n v="32364"/>
    <n v="122.508873216"/>
    <n v="134.85000000000002"/>
  </r>
  <r>
    <n v="67465063"/>
    <x v="15"/>
    <n v="3425"/>
    <d v="2023-06-02T00:00:00"/>
    <x v="3"/>
    <x v="6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8817794"/>
    <x v="15"/>
    <n v="11200"/>
    <d v="2023-06-02T00:00:00"/>
    <x v="67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69677917"/>
    <x v="15"/>
    <n v="1950"/>
    <d v="2023-06-02T00:00:00"/>
    <x v="30"/>
    <x v="29"/>
    <n v="5.2680000000000001E-3"/>
    <n v="10.272600000000001"/>
    <s v="PS"/>
    <x v="5"/>
    <x v="3"/>
    <s v="Q2"/>
    <n v="108"/>
    <n v="18.055555555555557"/>
    <s v="PG"/>
    <n v="0.9"/>
    <n v="1755"/>
    <n v="9.2453400000000006"/>
    <n v="16.250000000000004"/>
  </r>
  <r>
    <n v="67885719"/>
    <x v="16"/>
    <n v="22800"/>
    <d v="2023-06-02T00:00:00"/>
    <x v="11"/>
    <x v="32"/>
    <n v="8.5199999999999998E-3"/>
    <n v="194.256"/>
    <s v="BR"/>
    <x v="5"/>
    <x v="2"/>
    <s v="Q2"/>
    <n v="154"/>
    <n v="148.05194805194805"/>
    <s v="48oz"/>
    <n v="0.95"/>
    <n v="21660"/>
    <n v="184.54319999999998"/>
    <n v="140.64935064935062"/>
  </r>
  <r>
    <n v="67908208"/>
    <x v="16"/>
    <n v="2700"/>
    <d v="2023-06-02T00:00:00"/>
    <x v="225"/>
    <x v="25"/>
    <n v="3.9039999999999999E-3"/>
    <n v="10.540799999999999"/>
    <s v="GH"/>
    <x v="5"/>
    <x v="11"/>
    <s v="Q2"/>
    <n v="154"/>
    <n v="17.532467532467532"/>
    <s v="MBG"/>
    <n v="0.87"/>
    <n v="2349"/>
    <n v="9.170496"/>
    <n v="15.253246753246753"/>
  </r>
  <r>
    <n v="68354591"/>
    <x v="16"/>
    <n v="13300"/>
    <d v="2023-06-02T00:00:00"/>
    <x v="312"/>
    <x v="15"/>
    <n v="3.5999999999999999E-3"/>
    <n v="47.879999999999995"/>
    <s v="BJ"/>
    <x v="5"/>
    <x v="19"/>
    <s v="Q2"/>
    <n v="240"/>
    <n v="55.416666666666664"/>
    <s v="TOPPED"/>
    <n v="0.91"/>
    <n v="12103"/>
    <n v="43.570799999999998"/>
    <n v="50.429166666666667"/>
  </r>
  <r>
    <n v="68728263"/>
    <x v="16"/>
    <n v="13750"/>
    <d v="2023-06-02T00:00:00"/>
    <x v="307"/>
    <x v="22"/>
    <n v="3.7853439999999999E-3"/>
    <n v="52.048479999999998"/>
    <s v="TA"/>
    <x v="5"/>
    <x v="10"/>
    <s v="Q2"/>
    <n v="255"/>
    <n v="53.921568627450981"/>
    <s v="TALENTI"/>
    <n v="0.94"/>
    <n v="12925"/>
    <n v="48.925571199999993"/>
    <n v="50.686274509803916"/>
  </r>
  <r>
    <n v="68730257"/>
    <x v="16"/>
    <n v="34200"/>
    <d v="2023-06-02T00:00:00"/>
    <x v="75"/>
    <x v="21"/>
    <n v="3.7853440000000004E-3"/>
    <n v="129.45876480000001"/>
    <s v="TA"/>
    <x v="5"/>
    <x v="10"/>
    <s v="Q2"/>
    <n v="255"/>
    <n v="134.11764705882354"/>
    <s v="TALENTI"/>
    <n v="0.94"/>
    <n v="32147.999999999996"/>
    <n v="121.691238912"/>
    <n v="126.07058823529411"/>
  </r>
  <r>
    <n v="68817793"/>
    <x v="16"/>
    <n v="12600"/>
    <d v="2023-06-02T00:00:00"/>
    <x v="48"/>
    <x v="13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8896052"/>
    <x v="16"/>
    <n v="12600"/>
    <d v="2023-06-02T00:00:00"/>
    <x v="36"/>
    <x v="2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9572544"/>
    <x v="16"/>
    <n v="6800"/>
    <d v="2023-06-02T00:00:00"/>
    <x v="171"/>
    <x v="14"/>
    <n v="1.9740000000000001E-3"/>
    <n v="13.4232"/>
    <s v="MG"/>
    <x v="5"/>
    <x v="5"/>
    <s v="Q2"/>
    <n v="176"/>
    <n v="38.636363636363633"/>
    <s v="MG Sticks"/>
    <n v="0.93"/>
    <n v="6324"/>
    <n v="12.483576000000001"/>
    <n v="35.93181818181818"/>
  </r>
  <r>
    <n v="69572657"/>
    <x v="16"/>
    <n v="8000"/>
    <d v="2023-06-02T00:00:00"/>
    <x v="306"/>
    <x v="5"/>
    <n v="2.1520000000000003E-3"/>
    <n v="17.216000000000001"/>
    <s v="MG"/>
    <x v="5"/>
    <x v="5"/>
    <s v="Q2"/>
    <n v="210"/>
    <n v="38.095238095238095"/>
    <s v="MG Sticks"/>
    <n v="0.93"/>
    <n v="7440"/>
    <n v="16.01088"/>
    <n v="35.428571428571431"/>
  </r>
  <r>
    <n v="69677917"/>
    <x v="16"/>
    <n v="2700"/>
    <d v="2023-06-02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706147"/>
    <x v="16"/>
    <n v="5600"/>
    <d v="2023-06-02T00:00:00"/>
    <x v="195"/>
    <x v="31"/>
    <n v="3.8999999999999998E-3"/>
    <n v="21.84"/>
    <s v="TA"/>
    <x v="5"/>
    <x v="42"/>
    <s v="Q2"/>
    <n v="176"/>
    <n v="31.818181818181817"/>
    <s v="TAL NV"/>
    <n v="0.97"/>
    <n v="5432"/>
    <n v="21.184799999999999"/>
    <n v="30.86363636363636"/>
  </r>
  <r>
    <n v="68638140"/>
    <x v="18"/>
    <n v="6600"/>
    <d v="2023-06-02T00:00:00"/>
    <x v="245"/>
    <x v="35"/>
    <n v="3.7853439999999999E-3"/>
    <n v="24.983270399999999"/>
    <s v="BJ"/>
    <x v="5"/>
    <x v="36"/>
    <s v="Q2"/>
    <n v="240"/>
    <n v="27.5"/>
    <s v="BJ PTS"/>
    <n v="0.9"/>
    <n v="5940"/>
    <n v="22.484943359999999"/>
    <n v="24.75"/>
  </r>
  <r>
    <n v="67465063"/>
    <x v="15"/>
    <n v="3425"/>
    <d v="2023-06-02T00:00:00"/>
    <x v="3"/>
    <x v="6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3"/>
    <x v="15"/>
    <n v="3425"/>
    <d v="2023-06-02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4"/>
    <x v="15"/>
    <n v="2800"/>
    <d v="2023-06-02T00:00:00"/>
    <x v="7"/>
    <x v="3"/>
    <n v="1.596E-3"/>
    <n v="4.4687999999999999"/>
    <s v="PS"/>
    <x v="5"/>
    <x v="3"/>
    <s v="Q2"/>
    <n v="130"/>
    <n v="21.53846153846154"/>
    <s v="PG"/>
    <n v="0.9"/>
    <n v="2520"/>
    <n v="4.0219199999999997"/>
    <n v="19.384615384615387"/>
  </r>
  <r>
    <n v="67466492"/>
    <x v="15"/>
    <n v="4500"/>
    <d v="2023-06-02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02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02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885724"/>
    <x v="15"/>
    <n v="10800"/>
    <d v="2023-06-02T00:00:00"/>
    <x v="49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8188183"/>
    <x v="15"/>
    <n v="3000"/>
    <d v="2023-06-02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850684"/>
    <x v="15"/>
    <n v="12000"/>
    <d v="2023-06-02T00:00:00"/>
    <x v="354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8881272"/>
    <x v="15"/>
    <n v="10700"/>
    <d v="2023-06-02T00:00:00"/>
    <x v="124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9572657"/>
    <x v="16"/>
    <n v="12000"/>
    <d v="2023-06-02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6-02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84141103"/>
    <x v="18"/>
    <n v="79200"/>
    <d v="2023-06-02T00:00:00"/>
    <x v="294"/>
    <x v="38"/>
    <n v="3.7853439999999999E-3"/>
    <n v="299.7992448"/>
    <s v="BJ"/>
    <x v="5"/>
    <x v="36"/>
    <s v="Q2"/>
    <n v="240"/>
    <n v="330"/>
    <s v="BJ PTS"/>
    <n v="0.9"/>
    <n v="71280"/>
    <n v="269.81932032000003"/>
    <n v="297"/>
  </r>
  <r>
    <n v="67885719"/>
    <x v="16"/>
    <n v="22800"/>
    <d v="2023-06-03T00:00:00"/>
    <x v="11"/>
    <x v="32"/>
    <n v="8.5199999999999998E-3"/>
    <n v="194.256"/>
    <s v="BR"/>
    <x v="5"/>
    <x v="2"/>
    <s v="Q2"/>
    <n v="154"/>
    <n v="148.05194805194805"/>
    <s v="48oz"/>
    <n v="0.95"/>
    <n v="21660"/>
    <n v="184.54319999999998"/>
    <n v="140.64935064935062"/>
  </r>
  <r>
    <n v="67908208"/>
    <x v="16"/>
    <n v="5400"/>
    <d v="2023-06-03T00:00:00"/>
    <x v="225"/>
    <x v="25"/>
    <n v="3.9039999999999999E-3"/>
    <n v="21.081599999999998"/>
    <s v="GH"/>
    <x v="5"/>
    <x v="11"/>
    <s v="Q2"/>
    <n v="154"/>
    <n v="35.064935064935064"/>
    <s v="MBG"/>
    <n v="0.87"/>
    <n v="4698"/>
    <n v="18.340992"/>
    <n v="30.506493506493506"/>
  </r>
  <r>
    <n v="68730257"/>
    <x v="16"/>
    <n v="34200"/>
    <d v="2023-06-03T00:00:00"/>
    <x v="75"/>
    <x v="21"/>
    <n v="3.7853440000000004E-3"/>
    <n v="129.45876480000001"/>
    <s v="TA"/>
    <x v="5"/>
    <x v="10"/>
    <s v="Q2"/>
    <n v="255"/>
    <n v="134.11764705882354"/>
    <s v="TALENTI"/>
    <n v="0.94"/>
    <n v="32147.999999999996"/>
    <n v="121.691238912"/>
    <n v="126.07058823529411"/>
  </r>
  <r>
    <n v="68817793"/>
    <x v="16"/>
    <n v="12600"/>
    <d v="2023-06-03T00:00:00"/>
    <x v="48"/>
    <x v="13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8896052"/>
    <x v="16"/>
    <n v="12600"/>
    <d v="2023-06-03T00:00:00"/>
    <x v="36"/>
    <x v="2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9677917"/>
    <x v="16"/>
    <n v="5400"/>
    <d v="2023-06-03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691774"/>
    <x v="16"/>
    <n v="13750"/>
    <d v="2023-06-03T00:00:00"/>
    <x v="185"/>
    <x v="22"/>
    <n v="3.7839999999999996E-3"/>
    <n v="52.029999999999994"/>
    <s v="TA"/>
    <x v="5"/>
    <x v="10"/>
    <s v="Q2"/>
    <n v="255"/>
    <n v="53.921568627450981"/>
    <s v="TALENTI"/>
    <n v="0.94"/>
    <n v="12925"/>
    <n v="48.908199999999994"/>
    <n v="50.686274509803916"/>
  </r>
  <r>
    <n v="67309843"/>
    <x v="15"/>
    <n v="7650"/>
    <d v="2023-06-03T00:00:00"/>
    <x v="88"/>
    <x v="12"/>
    <n v="8.5199999999999998E-3"/>
    <n v="65.177999999999997"/>
    <s v="BR"/>
    <x v="5"/>
    <x v="6"/>
    <s v="Q2"/>
    <n v="154"/>
    <n v="49.675324675324674"/>
    <s v="48oz"/>
    <n v="0.95"/>
    <n v="7267.5"/>
    <n v="61.919099999999993"/>
    <n v="47.191558441558435"/>
  </r>
  <r>
    <n v="67465063"/>
    <x v="15"/>
    <n v="3425"/>
    <d v="2023-06-03T00:00:00"/>
    <x v="3"/>
    <x v="6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4"/>
    <x v="15"/>
    <n v="2800"/>
    <d v="2023-06-03T00:00:00"/>
    <x v="7"/>
    <x v="3"/>
    <n v="1.596E-3"/>
    <n v="4.4687999999999999"/>
    <s v="PS"/>
    <x v="5"/>
    <x v="3"/>
    <s v="Q2"/>
    <n v="130"/>
    <n v="21.53846153846154"/>
    <s v="PG"/>
    <n v="0.9"/>
    <n v="2520"/>
    <n v="4.0219199999999997"/>
    <n v="19.384615384615387"/>
  </r>
  <r>
    <n v="67466492"/>
    <x v="15"/>
    <n v="3600"/>
    <d v="2023-06-03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03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850683"/>
    <x v="15"/>
    <n v="9500"/>
    <d v="2023-06-03T00:00:00"/>
    <x v="335"/>
    <x v="11"/>
    <n v="8.5199999999999998E-3"/>
    <n v="80.94"/>
    <s v="BR"/>
    <x v="5"/>
    <x v="6"/>
    <s v="Q2"/>
    <n v="176"/>
    <n v="53.977272727272727"/>
    <s v="48oz"/>
    <n v="0.95"/>
    <n v="9025"/>
    <n v="76.893000000000001"/>
    <n v="51.278409090909086"/>
  </r>
  <r>
    <n v="69677917"/>
    <x v="15"/>
    <n v="3900"/>
    <d v="2023-06-03T00:00:00"/>
    <x v="30"/>
    <x v="29"/>
    <n v="5.2680000000000001E-3"/>
    <n v="20.545200000000001"/>
    <s v="PS"/>
    <x v="5"/>
    <x v="3"/>
    <s v="Q2"/>
    <n v="108"/>
    <n v="36.111111111111114"/>
    <s v="PG"/>
    <n v="0.9"/>
    <n v="3510"/>
    <n v="18.490680000000001"/>
    <n v="32.500000000000007"/>
  </r>
  <r>
    <n v="69572657"/>
    <x v="16"/>
    <n v="12000"/>
    <d v="2023-06-03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6-03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7794169"/>
    <x v="17"/>
    <n v="35960"/>
    <d v="2023-06-03T00:00:00"/>
    <x v="33"/>
    <x v="35"/>
    <n v="3.7853439999999999E-3"/>
    <n v="136.12097023999999"/>
    <s v="BJ"/>
    <x v="5"/>
    <x v="15"/>
    <s v="Q2"/>
    <n v="240"/>
    <n v="149.83333333333334"/>
    <s v="BJ PTS"/>
    <n v="0.9"/>
    <n v="32364"/>
    <n v="122.508873216"/>
    <n v="134.85000000000002"/>
  </r>
  <r>
    <n v="84137701"/>
    <x v="17"/>
    <n v="30030"/>
    <d v="2023-06-03T00:00:00"/>
    <x v="37"/>
    <x v="33"/>
    <n v="1.4399999999999999E-3"/>
    <n v="43.243199999999995"/>
    <s v="BJ"/>
    <x v="5"/>
    <x v="16"/>
    <s v="Q2"/>
    <n v="510"/>
    <n v="58.882352941176471"/>
    <s v="B&amp;J Cups"/>
    <n v="0.85"/>
    <n v="25525.5"/>
    <n v="36.756719999999994"/>
    <n v="50.05"/>
  </r>
  <r>
    <n v="84135718"/>
    <x v="17"/>
    <n v="48720"/>
    <d v="2023-06-03T00:00:00"/>
    <x v="147"/>
    <x v="35"/>
    <n v="3.7853439999999999E-3"/>
    <n v="184.42195967999999"/>
    <s v="BJ"/>
    <x v="5"/>
    <x v="15"/>
    <s v="Q2"/>
    <n v="240"/>
    <n v="203"/>
    <s v="BJ PTS"/>
    <n v="0.9"/>
    <n v="43848"/>
    <n v="165.97976371199999"/>
    <n v="182.70000000000002"/>
  </r>
  <r>
    <n v="67465064"/>
    <x v="15"/>
    <n v="2800"/>
    <d v="2023-06-04T00:00:00"/>
    <x v="7"/>
    <x v="3"/>
    <n v="1.596E-3"/>
    <n v="4.4687999999999999"/>
    <s v="PS"/>
    <x v="5"/>
    <x v="3"/>
    <s v="Q2"/>
    <n v="130"/>
    <n v="21.53846153846154"/>
    <s v="PG"/>
    <n v="0.9"/>
    <n v="2520"/>
    <n v="4.0219199999999997"/>
    <n v="19.384615384615387"/>
  </r>
  <r>
    <n v="67885719"/>
    <x v="16"/>
    <n v="17100"/>
    <d v="2023-06-04T00:00:00"/>
    <x v="11"/>
    <x v="32"/>
    <n v="8.5199999999999998E-3"/>
    <n v="145.69200000000001"/>
    <s v="BR"/>
    <x v="5"/>
    <x v="2"/>
    <s v="Q2"/>
    <n v="154"/>
    <n v="111.03896103896103"/>
    <s v="48oz"/>
    <n v="0.95"/>
    <n v="16245"/>
    <n v="138.4074"/>
    <n v="105.48701298701297"/>
  </r>
  <r>
    <n v="67908208"/>
    <x v="16"/>
    <n v="5400"/>
    <d v="2023-06-04T00:00:00"/>
    <x v="225"/>
    <x v="25"/>
    <n v="3.9039999999999999E-3"/>
    <n v="21.081599999999998"/>
    <s v="GH"/>
    <x v="5"/>
    <x v="11"/>
    <s v="Q2"/>
    <n v="154"/>
    <n v="35.064935064935064"/>
    <s v="MBG"/>
    <n v="0.87"/>
    <n v="4698"/>
    <n v="18.340992"/>
    <n v="30.506493506493506"/>
  </r>
  <r>
    <n v="68730257"/>
    <x v="16"/>
    <n v="25650"/>
    <d v="2023-06-04T00:00:00"/>
    <x v="75"/>
    <x v="21"/>
    <n v="3.7853440000000004E-3"/>
    <n v="97.094073600000016"/>
    <s v="TA"/>
    <x v="5"/>
    <x v="10"/>
    <s v="Q2"/>
    <n v="255"/>
    <n v="100.58823529411765"/>
    <s v="TALENTI"/>
    <n v="0.94"/>
    <n v="24111"/>
    <n v="91.268429184000013"/>
    <n v="94.552941176470583"/>
  </r>
  <r>
    <n v="68817793"/>
    <x v="16"/>
    <n v="9450"/>
    <d v="2023-06-04T00:00:00"/>
    <x v="48"/>
    <x v="13"/>
    <n v="8.5199999999999998E-3"/>
    <n v="80.513999999999996"/>
    <s v="BR"/>
    <x v="5"/>
    <x v="2"/>
    <s v="Q2"/>
    <n v="176"/>
    <n v="53.69318181818182"/>
    <s v="48oz"/>
    <n v="0.95"/>
    <n v="8977.5"/>
    <n v="76.488299999999995"/>
    <n v="51.008522727272727"/>
  </r>
  <r>
    <n v="68896052"/>
    <x v="16"/>
    <n v="9450"/>
    <d v="2023-06-04T00:00:00"/>
    <x v="36"/>
    <x v="2"/>
    <n v="8.5199999999999998E-3"/>
    <n v="80.513999999999996"/>
    <s v="BR"/>
    <x v="5"/>
    <x v="2"/>
    <s v="Q2"/>
    <n v="176"/>
    <n v="53.69318181818182"/>
    <s v="48oz"/>
    <n v="0.95"/>
    <n v="8977.5"/>
    <n v="76.488299999999995"/>
    <n v="51.008522727272727"/>
  </r>
  <r>
    <n v="69677917"/>
    <x v="16"/>
    <n v="5400"/>
    <d v="2023-06-04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691774"/>
    <x v="16"/>
    <n v="10000"/>
    <d v="2023-06-04T00:00:00"/>
    <x v="185"/>
    <x v="22"/>
    <n v="3.7839999999999996E-3"/>
    <n v="37.839999999999996"/>
    <s v="TA"/>
    <x v="5"/>
    <x v="10"/>
    <s v="Q2"/>
    <n v="255"/>
    <n v="39.215686274509807"/>
    <s v="TALENTI"/>
    <n v="0.94"/>
    <n v="9400"/>
    <n v="35.569599999999994"/>
    <n v="36.86274509803922"/>
  </r>
  <r>
    <n v="67309843"/>
    <x v="15"/>
    <n v="10800"/>
    <d v="2023-06-04T00:00:00"/>
    <x v="88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7466492"/>
    <x v="15"/>
    <n v="3600"/>
    <d v="2023-06-04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8850683"/>
    <x v="15"/>
    <n v="12000"/>
    <d v="2023-06-04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77917"/>
    <x v="15"/>
    <n v="3900"/>
    <d v="2023-06-04T00:00:00"/>
    <x v="30"/>
    <x v="29"/>
    <n v="5.2680000000000001E-3"/>
    <n v="20.545200000000001"/>
    <s v="PS"/>
    <x v="5"/>
    <x v="3"/>
    <s v="Q2"/>
    <n v="108"/>
    <n v="36.111111111111114"/>
    <s v="PG"/>
    <n v="0.9"/>
    <n v="3510"/>
    <n v="18.490680000000001"/>
    <n v="32.500000000000007"/>
  </r>
  <r>
    <n v="67904289"/>
    <x v="17"/>
    <n v="35960"/>
    <d v="2023-06-04T00:00:00"/>
    <x v="235"/>
    <x v="33"/>
    <n v="3.7839999999999996E-3"/>
    <n v="136.07263999999998"/>
    <s v="BJ"/>
    <x v="5"/>
    <x v="15"/>
    <s v="Q2"/>
    <n v="240"/>
    <n v="149.83333333333334"/>
    <s v="BJ PTS"/>
    <n v="0.9"/>
    <n v="32364"/>
    <n v="122.46537599999998"/>
    <n v="134.85000000000002"/>
  </r>
  <r>
    <n v="67420264"/>
    <x v="17"/>
    <n v="28210"/>
    <d v="2023-06-04T00:00:00"/>
    <x v="244"/>
    <x v="35"/>
    <n v="1.419504E-3"/>
    <n v="40.044207839999999"/>
    <s v="BJ"/>
    <x v="5"/>
    <x v="16"/>
    <s v="Q2"/>
    <n v="510"/>
    <n v="55.313725490196077"/>
    <s v="B&amp;J Cups"/>
    <n v="0.85"/>
    <n v="23978.5"/>
    <n v="34.037576663999999"/>
    <n v="47.016666666666666"/>
  </r>
  <r>
    <n v="67465063"/>
    <x v="15"/>
    <n v="1800"/>
    <d v="2023-06-05T00:00:00"/>
    <x v="3"/>
    <x v="6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65063"/>
    <x v="15"/>
    <n v="1713"/>
    <d v="2023-06-05T00:00:00"/>
    <x v="3"/>
    <x v="40"/>
    <n v="5.2680000000000001E-3"/>
    <n v="9.0240840000000002"/>
    <s v="PS"/>
    <x v="5"/>
    <x v="3"/>
    <s v="Q2"/>
    <n v="130"/>
    <n v="13.176923076923076"/>
    <s v="PG"/>
    <n v="0.9"/>
    <n v="1541.7"/>
    <n v="8.1216755999999997"/>
    <n v="11.859230769230768"/>
  </r>
  <r>
    <n v="67466492"/>
    <x v="15"/>
    <n v="2250"/>
    <d v="2023-06-05T00:00:00"/>
    <x v="8"/>
    <x v="7"/>
    <n v="5.2680000000000001E-3"/>
    <n v="11.853"/>
    <s v="PS"/>
    <x v="5"/>
    <x v="3"/>
    <s v="Q2"/>
    <n v="130"/>
    <n v="17.307692307692307"/>
    <s v="PG"/>
    <n v="0.9"/>
    <n v="2025"/>
    <n v="10.6677"/>
    <n v="15.576923076923077"/>
  </r>
  <r>
    <n v="67466492"/>
    <x v="15"/>
    <n v="1800"/>
    <d v="2023-06-05T00:00:00"/>
    <x v="8"/>
    <x v="8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76560"/>
    <x v="15"/>
    <n v="1800"/>
    <d v="2023-06-05T00:00:00"/>
    <x v="10"/>
    <x v="10"/>
    <n v="5.1060000000000003E-3"/>
    <n v="9.1908000000000012"/>
    <s v="PS"/>
    <x v="5"/>
    <x v="3"/>
    <s v="Q2"/>
    <n v="130"/>
    <n v="13.846153846153847"/>
    <s v="PG"/>
    <n v="0.9"/>
    <n v="1620"/>
    <n v="8.271720000000002"/>
    <n v="12.461538461538462"/>
  </r>
  <r>
    <n v="67723726"/>
    <x v="15"/>
    <n v="7470"/>
    <d v="2023-06-05T00:00:00"/>
    <x v="109"/>
    <x v="23"/>
    <n v="8.5199999999999998E-3"/>
    <n v="63.644399999999997"/>
    <s v="BR"/>
    <x v="5"/>
    <x v="6"/>
    <s v="Q2"/>
    <n v="154"/>
    <n v="48.506493506493506"/>
    <s v="48oz"/>
    <n v="0.95"/>
    <n v="7096.5"/>
    <n v="60.462179999999996"/>
    <n v="46.081168831168831"/>
  </r>
  <r>
    <n v="69677917"/>
    <x v="15"/>
    <n v="2000"/>
    <d v="2023-06-05T00:00:00"/>
    <x v="30"/>
    <x v="29"/>
    <n v="5.2680000000000001E-3"/>
    <n v="10.536"/>
    <s v="PS"/>
    <x v="5"/>
    <x v="3"/>
    <s v="Q2"/>
    <n v="108"/>
    <n v="18.518518518518519"/>
    <s v="PG"/>
    <n v="0.9"/>
    <n v="1800"/>
    <n v="9.4824000000000002"/>
    <n v="16.666666666666668"/>
  </r>
  <r>
    <n v="67309841"/>
    <x v="16"/>
    <n v="12600"/>
    <d v="2023-06-05T00:00:00"/>
    <x v="32"/>
    <x v="13"/>
    <n v="8.5199999999999998E-3"/>
    <n v="107.352"/>
    <s v="BR"/>
    <x v="5"/>
    <x v="2"/>
    <s v="Q2"/>
    <n v="154"/>
    <n v="81.818181818181813"/>
    <s v="48oz"/>
    <n v="0.95"/>
    <n v="11970"/>
    <n v="101.98439999999999"/>
    <n v="77.72727272727272"/>
  </r>
  <r>
    <n v="67309842"/>
    <x v="16"/>
    <n v="12600"/>
    <d v="2023-06-05T00:00:00"/>
    <x v="2"/>
    <x v="2"/>
    <n v="8.5199999999999998E-3"/>
    <n v="107.352"/>
    <s v="BR"/>
    <x v="5"/>
    <x v="2"/>
    <s v="Q2"/>
    <n v="154"/>
    <n v="81.818181818181813"/>
    <s v="48oz"/>
    <n v="0.95"/>
    <n v="11970"/>
    <n v="101.98439999999999"/>
    <n v="77.72727272727272"/>
  </r>
  <r>
    <n v="67901592"/>
    <x v="16"/>
    <n v="11400"/>
    <d v="2023-06-05T00:00:00"/>
    <x v="240"/>
    <x v="32"/>
    <n v="8.5199999999999998E-3"/>
    <n v="97.128"/>
    <s v="BR"/>
    <x v="5"/>
    <x v="2"/>
    <s v="Q2"/>
    <n v="154"/>
    <n v="74.025974025974023"/>
    <s v="48oz"/>
    <n v="0.95"/>
    <n v="10830"/>
    <n v="92.271599999999992"/>
    <n v="70.324675324675312"/>
  </r>
  <r>
    <n v="67901593"/>
    <x v="16"/>
    <n v="11400"/>
    <d v="2023-06-05T00:00:00"/>
    <x v="68"/>
    <x v="32"/>
    <n v="8.5199999999999998E-3"/>
    <n v="97.128"/>
    <s v="BR"/>
    <x v="5"/>
    <x v="2"/>
    <s v="Q2"/>
    <n v="154"/>
    <n v="74.025974025974023"/>
    <s v="48oz"/>
    <n v="0.95"/>
    <n v="10830"/>
    <n v="92.271599999999992"/>
    <n v="70.324675324675312"/>
  </r>
  <r>
    <n v="68741742"/>
    <x v="16"/>
    <n v="2700"/>
    <d v="2023-06-05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8922106"/>
    <x v="16"/>
    <n v="15000"/>
    <d v="2023-06-05T00:00:00"/>
    <x v="104"/>
    <x v="22"/>
    <n v="3.552E-3"/>
    <n v="53.28"/>
    <s v="TA"/>
    <x v="5"/>
    <x v="10"/>
    <s v="Q2"/>
    <n v="255"/>
    <n v="58.823529411764703"/>
    <s v="TALENTI"/>
    <n v="0.94"/>
    <n v="14100"/>
    <n v="50.083199999999998"/>
    <n v="55.294117647058819"/>
  </r>
  <r>
    <n v="69572544"/>
    <x v="16"/>
    <n v="8500"/>
    <d v="2023-06-05T00:00:00"/>
    <x v="171"/>
    <x v="14"/>
    <n v="1.9740000000000001E-3"/>
    <n v="16.779"/>
    <s v="MG"/>
    <x v="5"/>
    <x v="5"/>
    <s v="Q2"/>
    <n v="176"/>
    <n v="48.295454545454547"/>
    <s v="MG Sticks"/>
    <n v="0.93"/>
    <n v="7905"/>
    <n v="15.604470000000001"/>
    <n v="44.914772727272734"/>
  </r>
  <r>
    <n v="69572657"/>
    <x v="16"/>
    <n v="3000"/>
    <d v="2023-06-05T00:00:00"/>
    <x v="306"/>
    <x v="5"/>
    <n v="2.1520000000000003E-3"/>
    <n v="6.4560000000000004"/>
    <s v="MG"/>
    <x v="5"/>
    <x v="5"/>
    <s v="Q2"/>
    <n v="210"/>
    <n v="14.285714285714286"/>
    <s v="MG Sticks"/>
    <n v="0.93"/>
    <n v="2790"/>
    <n v="6.004080000000001"/>
    <n v="13.285714285714286"/>
  </r>
  <r>
    <n v="69621212"/>
    <x v="16"/>
    <n v="2700"/>
    <d v="2023-06-05T00:00:00"/>
    <x v="29"/>
    <x v="28"/>
    <n v="5.2680000000000001E-3"/>
    <n v="14.223600000000001"/>
    <s v="PG"/>
    <x v="5"/>
    <x v="14"/>
    <s v="Q2"/>
    <n v="130"/>
    <n v="20.76923076923077"/>
    <s v="PG"/>
    <n v="0.9"/>
    <n v="2430"/>
    <n v="12.801240000000002"/>
    <n v="18.692307692307693"/>
  </r>
  <r>
    <n v="69677917"/>
    <x v="16"/>
    <n v="2700"/>
    <d v="2023-06-05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691903"/>
    <x v="16"/>
    <n v="17100"/>
    <d v="2023-06-05T00:00:00"/>
    <x v="172"/>
    <x v="21"/>
    <n v="3.7839999999999996E-3"/>
    <n v="64.706399999999988"/>
    <s v="TA"/>
    <x v="5"/>
    <x v="10"/>
    <s v="Q2"/>
    <n v="255"/>
    <n v="67.058823529411768"/>
    <s v="TALENTI"/>
    <n v="0.94"/>
    <n v="16073.999999999998"/>
    <n v="60.824015999999986"/>
    <n v="63.035294117647055"/>
  </r>
  <r>
    <n v="69706138"/>
    <x v="16"/>
    <n v="7000"/>
    <d v="2023-06-05T00:00:00"/>
    <x v="289"/>
    <x v="31"/>
    <n v="3.8999999999999998E-3"/>
    <n v="27.299999999999997"/>
    <s v="TA"/>
    <x v="5"/>
    <x v="42"/>
    <s v="Q2"/>
    <n v="176"/>
    <n v="39.772727272727273"/>
    <s v="TAL NV"/>
    <n v="0.97"/>
    <n v="6790"/>
    <n v="26.480999999999998"/>
    <n v="38.579545454545453"/>
  </r>
  <r>
    <n v="84135781"/>
    <x v="16"/>
    <n v="22800"/>
    <d v="2023-06-05T00:00:00"/>
    <x v="356"/>
    <x v="15"/>
    <n v="3.7853439999999999E-3"/>
    <n v="86.305843199999998"/>
    <s v="BJ"/>
    <x v="5"/>
    <x v="30"/>
    <s v="Q2"/>
    <n v="240"/>
    <n v="95"/>
    <s v="BJ PTS"/>
    <n v="0.9"/>
    <n v="20520"/>
    <n v="77.675258880000001"/>
    <n v="85.5"/>
  </r>
  <r>
    <n v="84141103"/>
    <x v="18"/>
    <n v="0"/>
    <d v="2023-06-05T00:00:00"/>
    <x v="294"/>
    <x v="38"/>
    <n v="3.7853439999999999E-3"/>
    <n v="0"/>
    <s v="BJ"/>
    <x v="5"/>
    <x v="36"/>
    <s v="Q2"/>
    <n v="240"/>
    <n v="0"/>
    <s v="BJ PTS"/>
    <n v="0.9"/>
    <n v="0"/>
    <n v="0"/>
    <n v="0"/>
  </r>
  <r>
    <n v="68264944"/>
    <x v="17"/>
    <n v="40050"/>
    <d v="2023-06-05T00:00:00"/>
    <x v="357"/>
    <x v="38"/>
    <n v="3.6640000000000002E-3"/>
    <n v="146.7432"/>
    <s v="BJ"/>
    <x v="5"/>
    <x v="24"/>
    <s v="Q2"/>
    <n v="240"/>
    <n v="166.875"/>
    <s v="PTS Exports"/>
    <n v="0.9"/>
    <n v="36045"/>
    <n v="132.06888000000001"/>
    <n v="150.1875"/>
  </r>
  <r>
    <n v="67309843"/>
    <x v="15"/>
    <n v="10800"/>
    <d v="2023-06-05T00:00:00"/>
    <x v="88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7465064"/>
    <x v="15"/>
    <n v="3000"/>
    <d v="2023-06-05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8188183"/>
    <x v="15"/>
    <n v="3000"/>
    <d v="2023-06-05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850683"/>
    <x v="15"/>
    <n v="12000"/>
    <d v="2023-06-05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8881269"/>
    <x v="15"/>
    <n v="10700"/>
    <d v="2023-06-05T00:00:00"/>
    <x v="16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9621212"/>
    <x v="16"/>
    <n v="5400"/>
    <d v="2023-06-05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8654238"/>
    <x v="17"/>
    <n v="23200"/>
    <d v="2023-06-05T00:00:00"/>
    <x v="54"/>
    <x v="38"/>
    <n v="3.7839999999999996E-3"/>
    <n v="87.788799999999995"/>
    <s v="BJ"/>
    <x v="5"/>
    <x v="15"/>
    <s v="Q2"/>
    <n v="240"/>
    <n v="96.666666666666671"/>
    <s v="BJ PTS"/>
    <n v="0.9"/>
    <n v="20880"/>
    <n v="79.009919999999994"/>
    <n v="87"/>
  </r>
  <r>
    <n v="84141101"/>
    <x v="17"/>
    <n v="96000"/>
    <d v="2023-06-05T00:00:00"/>
    <x v="86"/>
    <x v="33"/>
    <n v="3.7853439999999999E-3"/>
    <n v="363.39302399999997"/>
    <s v="BJ"/>
    <x v="5"/>
    <x v="15"/>
    <s v="Q2"/>
    <n v="240"/>
    <n v="400"/>
    <s v="BJ PTS"/>
    <n v="0.9"/>
    <n v="86400"/>
    <n v="327.05372159999996"/>
    <n v="360"/>
  </r>
  <r>
    <n v="67465064"/>
    <x v="15"/>
    <n v="1500"/>
    <d v="2023-06-06T00:00:00"/>
    <x v="7"/>
    <x v="3"/>
    <n v="1.596E-3"/>
    <n v="2.3940000000000001"/>
    <s v="PS"/>
    <x v="5"/>
    <x v="3"/>
    <s v="Q2"/>
    <n v="130"/>
    <n v="11.538461538461538"/>
    <s v="PG"/>
    <n v="0.9"/>
    <n v="1350"/>
    <n v="2.1546000000000003"/>
    <n v="10.384615384615385"/>
  </r>
  <r>
    <n v="67723726"/>
    <x v="15"/>
    <n v="11200"/>
    <d v="2023-06-06T00:00:00"/>
    <x v="109"/>
    <x v="23"/>
    <n v="8.5199999999999998E-3"/>
    <n v="95.423999999999992"/>
    <s v="BR"/>
    <x v="5"/>
    <x v="6"/>
    <s v="Q2"/>
    <n v="154"/>
    <n v="72.727272727272734"/>
    <s v="48oz"/>
    <n v="0.95"/>
    <n v="10640"/>
    <n v="90.652799999999985"/>
    <n v="69.090909090909093"/>
  </r>
  <r>
    <n v="67309841"/>
    <x v="16"/>
    <n v="12600"/>
    <d v="2023-06-06T00:00:00"/>
    <x v="32"/>
    <x v="13"/>
    <n v="8.5199999999999998E-3"/>
    <n v="107.352"/>
    <s v="BR"/>
    <x v="5"/>
    <x v="2"/>
    <s v="Q2"/>
    <n v="154"/>
    <n v="81.818181818181813"/>
    <s v="48oz"/>
    <n v="0.95"/>
    <n v="11970"/>
    <n v="101.98439999999999"/>
    <n v="77.72727272727272"/>
  </r>
  <r>
    <n v="67309842"/>
    <x v="16"/>
    <n v="9450"/>
    <d v="2023-06-06T00:00:00"/>
    <x v="2"/>
    <x v="2"/>
    <n v="8.5199999999999998E-3"/>
    <n v="80.513999999999996"/>
    <s v="BR"/>
    <x v="5"/>
    <x v="2"/>
    <s v="Q2"/>
    <n v="154"/>
    <n v="61.363636363636367"/>
    <s v="48oz"/>
    <n v="0.95"/>
    <n v="8977.5"/>
    <n v="76.488299999999995"/>
    <n v="58.295454545454547"/>
  </r>
  <r>
    <n v="67901593"/>
    <x v="16"/>
    <n v="22800"/>
    <d v="2023-06-06T00:00:00"/>
    <x v="68"/>
    <x v="32"/>
    <n v="8.5199999999999998E-3"/>
    <n v="194.256"/>
    <s v="BR"/>
    <x v="5"/>
    <x v="2"/>
    <s v="Q2"/>
    <n v="154"/>
    <n v="148.05194805194805"/>
    <s v="48oz"/>
    <n v="0.95"/>
    <n v="21660"/>
    <n v="184.54319999999998"/>
    <n v="140.64935064935062"/>
  </r>
  <r>
    <n v="68741742"/>
    <x v="16"/>
    <n v="5400"/>
    <d v="2023-06-06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922106"/>
    <x v="16"/>
    <n v="-79325"/>
    <d v="2023-06-06T00:00:00"/>
    <x v="104"/>
    <x v="22"/>
    <n v="3.552E-3"/>
    <n v="-281.76240000000001"/>
    <s v="TA"/>
    <x v="5"/>
    <x v="10"/>
    <s v="Q2"/>
    <n v="255"/>
    <n v="-311.07843137254901"/>
    <s v="TALENTI"/>
    <n v="0.94"/>
    <n v="-74565.5"/>
    <n v="-264.85665599999999"/>
    <n v="-292.41372549019604"/>
  </r>
  <r>
    <n v="69572544"/>
    <x v="16"/>
    <n v="10200"/>
    <d v="2023-06-06T00:00:00"/>
    <x v="171"/>
    <x v="14"/>
    <n v="1.9740000000000001E-3"/>
    <n v="20.134800000000002"/>
    <s v="MG"/>
    <x v="5"/>
    <x v="5"/>
    <s v="Q2"/>
    <n v="176"/>
    <n v="57.954545454545453"/>
    <s v="MG Sticks"/>
    <n v="0.93"/>
    <n v="9486"/>
    <n v="18.725364000000003"/>
    <n v="53.897727272727273"/>
  </r>
  <r>
    <n v="69572657"/>
    <x v="16"/>
    <n v="12000"/>
    <d v="2023-06-06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06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691903"/>
    <x v="16"/>
    <n v="17100"/>
    <d v="2023-06-06T00:00:00"/>
    <x v="172"/>
    <x v="21"/>
    <n v="3.7839999999999996E-3"/>
    <n v="64.706399999999988"/>
    <s v="TA"/>
    <x v="5"/>
    <x v="10"/>
    <s v="Q2"/>
    <n v="255"/>
    <n v="67.058823529411768"/>
    <s v="TALENTI"/>
    <n v="0.94"/>
    <n v="16073.999999999998"/>
    <n v="60.824015999999986"/>
    <n v="63.035294117647055"/>
  </r>
  <r>
    <n v="69706138"/>
    <x v="16"/>
    <n v="8400"/>
    <d v="2023-06-06T00:00:00"/>
    <x v="289"/>
    <x v="31"/>
    <n v="3.8999999999999998E-3"/>
    <n v="32.76"/>
    <s v="TA"/>
    <x v="5"/>
    <x v="42"/>
    <s v="Q2"/>
    <n v="176"/>
    <n v="47.727272727272727"/>
    <s v="TAL NV"/>
    <n v="0.97"/>
    <n v="8148"/>
    <n v="31.777199999999997"/>
    <n v="46.295454545454547"/>
  </r>
  <r>
    <n v="84135781"/>
    <x v="16"/>
    <n v="22800"/>
    <d v="2023-06-06T00:00:00"/>
    <x v="356"/>
    <x v="15"/>
    <n v="3.7853439999999999E-3"/>
    <n v="86.305843199999998"/>
    <s v="BJ"/>
    <x v="5"/>
    <x v="30"/>
    <s v="Q2"/>
    <n v="240"/>
    <n v="95"/>
    <s v="BJ PTS"/>
    <n v="0.9"/>
    <n v="20520"/>
    <n v="77.675258880000001"/>
    <n v="85.5"/>
  </r>
  <r>
    <n v="84162846"/>
    <x v="17"/>
    <n v="26040"/>
    <d v="2023-06-06T00:00:00"/>
    <x v="255"/>
    <x v="33"/>
    <n v="1.4384307203870285E-3"/>
    <n v="37.456735958878227"/>
    <s v="BJ"/>
    <x v="5"/>
    <x v="31"/>
    <s v="Q2"/>
    <n v="510"/>
    <n v="51.058823529411768"/>
    <s v="Cup Exports"/>
    <n v="0.85"/>
    <n v="22134"/>
    <n v="31.838225565046493"/>
    <n v="43.4"/>
  </r>
  <r>
    <n v="67309843"/>
    <x v="15"/>
    <n v="10800"/>
    <d v="2023-06-06T00:00:00"/>
    <x v="88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7465063"/>
    <x v="15"/>
    <n v="3600"/>
    <d v="2023-06-06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3"/>
    <x v="15"/>
    <n v="3425"/>
    <d v="2023-06-06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6492"/>
    <x v="15"/>
    <n v="4500"/>
    <d v="2023-06-06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06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06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188183"/>
    <x v="15"/>
    <n v="3000"/>
    <d v="2023-06-06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850683"/>
    <x v="15"/>
    <n v="12000"/>
    <d v="2023-06-06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8881269"/>
    <x v="15"/>
    <n v="10700"/>
    <d v="2023-06-06T00:00:00"/>
    <x v="16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9677917"/>
    <x v="15"/>
    <n v="4000"/>
    <d v="2023-06-06T00:00:00"/>
    <x v="30"/>
    <x v="29"/>
    <n v="5.2680000000000001E-3"/>
    <n v="21.071999999999999"/>
    <s v="PS"/>
    <x v="5"/>
    <x v="3"/>
    <s v="Q2"/>
    <n v="108"/>
    <n v="37.037037037037038"/>
    <s v="PG"/>
    <n v="0.9"/>
    <n v="3600"/>
    <n v="18.9648"/>
    <n v="33.333333333333336"/>
  </r>
  <r>
    <n v="69621212"/>
    <x v="16"/>
    <n v="5400"/>
    <d v="2023-06-06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84161610"/>
    <x v="17"/>
    <n v="34800"/>
    <d v="2023-06-06T00:00:00"/>
    <x v="99"/>
    <x v="38"/>
    <n v="3.7853439999999999E-3"/>
    <n v="131.72997119999999"/>
    <s v="BJ"/>
    <x v="5"/>
    <x v="15"/>
    <s v="Q2"/>
    <n v="240"/>
    <n v="145"/>
    <s v="BJ PTS"/>
    <n v="0.9"/>
    <n v="31320"/>
    <n v="118.55697408"/>
    <n v="130.5"/>
  </r>
  <r>
    <n v="84137725"/>
    <x v="18"/>
    <n v="107250"/>
    <d v="2023-06-06T00:00:00"/>
    <x v="132"/>
    <x v="33"/>
    <n v="3.7853439999999999E-3"/>
    <n v="405.97814399999999"/>
    <s v="BJ"/>
    <x v="5"/>
    <x v="36"/>
    <s v="Q2"/>
    <n v="240"/>
    <n v="446.875"/>
    <s v="BJ PTS"/>
    <n v="0.9"/>
    <n v="96525"/>
    <n v="365.38032959999998"/>
    <n v="402.1875"/>
  </r>
  <r>
    <n v="84150840"/>
    <x v="17"/>
    <n v="54600"/>
    <d v="2023-06-06T00:00:00"/>
    <x v="251"/>
    <x v="33"/>
    <n v="1.4399999999999999E-3"/>
    <n v="78.623999999999995"/>
    <s v="BJ"/>
    <x v="5"/>
    <x v="16"/>
    <s v="Q2"/>
    <n v="510"/>
    <n v="107.05882352941177"/>
    <s v="B&amp;J Cups"/>
    <n v="0.85"/>
    <n v="46410"/>
    <n v="66.830399999999997"/>
    <n v="91"/>
  </r>
  <r>
    <n v="68850683"/>
    <x v="15"/>
    <n v="9500"/>
    <d v="2023-06-07T00:00:00"/>
    <x v="335"/>
    <x v="11"/>
    <n v="8.5199999999999998E-3"/>
    <n v="80.94"/>
    <s v="BR"/>
    <x v="5"/>
    <x v="6"/>
    <s v="Q2"/>
    <n v="176"/>
    <n v="53.977272727272727"/>
    <s v="48oz"/>
    <n v="0.95"/>
    <n v="9025"/>
    <n v="76.893000000000001"/>
    <n v="51.278409090909086"/>
  </r>
  <r>
    <n v="67309841"/>
    <x v="16"/>
    <n v="9450"/>
    <d v="2023-06-07T00:00:00"/>
    <x v="32"/>
    <x v="13"/>
    <n v="8.5199999999999998E-3"/>
    <n v="80.513999999999996"/>
    <s v="BR"/>
    <x v="5"/>
    <x v="2"/>
    <s v="Q2"/>
    <n v="154"/>
    <n v="61.363636363636367"/>
    <s v="48oz"/>
    <n v="0.95"/>
    <n v="8977.5"/>
    <n v="76.488299999999995"/>
    <n v="58.295454545454547"/>
  </r>
  <r>
    <n v="67901593"/>
    <x v="16"/>
    <n v="17100"/>
    <d v="2023-06-07T00:00:00"/>
    <x v="68"/>
    <x v="32"/>
    <n v="8.5199999999999998E-3"/>
    <n v="145.69200000000001"/>
    <s v="BR"/>
    <x v="5"/>
    <x v="2"/>
    <s v="Q2"/>
    <n v="154"/>
    <n v="111.03896103896103"/>
    <s v="48oz"/>
    <n v="0.95"/>
    <n v="16245"/>
    <n v="138.4074"/>
    <n v="105.48701298701297"/>
  </r>
  <r>
    <n v="68741742"/>
    <x v="16"/>
    <n v="5400"/>
    <d v="2023-06-07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96054"/>
    <x v="16"/>
    <n v="12600"/>
    <d v="2023-06-07T00:00:00"/>
    <x v="181"/>
    <x v="2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8922106"/>
    <x v="16"/>
    <n v="10000"/>
    <d v="2023-06-07T00:00:00"/>
    <x v="104"/>
    <x v="22"/>
    <n v="3.552E-3"/>
    <n v="35.520000000000003"/>
    <s v="TA"/>
    <x v="5"/>
    <x v="10"/>
    <s v="Q2"/>
    <n v="255"/>
    <n v="39.215686274509807"/>
    <s v="TALENTI"/>
    <n v="0.94"/>
    <n v="9400"/>
    <n v="33.388800000000003"/>
    <n v="36.86274509803922"/>
  </r>
  <r>
    <n v="69572544"/>
    <x v="16"/>
    <n v="6800"/>
    <d v="2023-06-07T00:00:00"/>
    <x v="171"/>
    <x v="14"/>
    <n v="1.9740000000000001E-3"/>
    <n v="13.4232"/>
    <s v="MG"/>
    <x v="5"/>
    <x v="5"/>
    <s v="Q2"/>
    <n v="176"/>
    <n v="38.636363636363633"/>
    <s v="MG Sticks"/>
    <n v="0.93"/>
    <n v="6324"/>
    <n v="12.483576000000001"/>
    <n v="35.93181818181818"/>
  </r>
  <r>
    <n v="69572657"/>
    <x v="16"/>
    <n v="12000"/>
    <d v="2023-06-07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07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691903"/>
    <x v="16"/>
    <n v="17100"/>
    <d v="2023-06-07T00:00:00"/>
    <x v="172"/>
    <x v="21"/>
    <n v="3.7839999999999996E-3"/>
    <n v="64.706399999999988"/>
    <s v="TA"/>
    <x v="5"/>
    <x v="10"/>
    <s v="Q2"/>
    <n v="255"/>
    <n v="67.058823529411768"/>
    <s v="TALENTI"/>
    <n v="0.94"/>
    <n v="16073.999999999998"/>
    <n v="60.824015999999986"/>
    <n v="63.035294117647055"/>
  </r>
  <r>
    <n v="69706138"/>
    <x v="16"/>
    <n v="5600"/>
    <d v="2023-06-07T00:00:00"/>
    <x v="289"/>
    <x v="31"/>
    <n v="3.8999999999999998E-3"/>
    <n v="21.84"/>
    <s v="TA"/>
    <x v="5"/>
    <x v="42"/>
    <s v="Q2"/>
    <n v="176"/>
    <n v="31.818181818181817"/>
    <s v="TAL NV"/>
    <n v="0.97"/>
    <n v="5432"/>
    <n v="21.184799999999999"/>
    <n v="30.86363636363636"/>
  </r>
  <r>
    <n v="84135781"/>
    <x v="16"/>
    <n v="9500"/>
    <d v="2023-06-07T00:00:00"/>
    <x v="356"/>
    <x v="15"/>
    <n v="3.7853439999999999E-3"/>
    <n v="35.960768000000002"/>
    <s v="BJ"/>
    <x v="5"/>
    <x v="30"/>
    <s v="Q2"/>
    <n v="240"/>
    <n v="39.583333333333336"/>
    <s v="BJ PTS"/>
    <n v="0.9"/>
    <n v="8550"/>
    <n v="32.364691200000003"/>
    <n v="35.625"/>
  </r>
  <r>
    <n v="67465063"/>
    <x v="15"/>
    <n v="3600"/>
    <d v="2023-06-07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3"/>
    <x v="15"/>
    <n v="3425"/>
    <d v="2023-06-07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4"/>
    <x v="15"/>
    <n v="3000"/>
    <d v="2023-06-07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4500"/>
    <d v="2023-06-07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07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07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723726"/>
    <x v="15"/>
    <n v="11200"/>
    <d v="2023-06-07T00:00:00"/>
    <x v="109"/>
    <x v="23"/>
    <n v="8.5199999999999998E-3"/>
    <n v="95.423999999999992"/>
    <s v="BR"/>
    <x v="5"/>
    <x v="6"/>
    <s v="Q2"/>
    <n v="154"/>
    <n v="72.727272727272734"/>
    <s v="48oz"/>
    <n v="0.95"/>
    <n v="10640"/>
    <n v="90.652799999999985"/>
    <n v="69.090909090909093"/>
  </r>
  <r>
    <n v="67885724"/>
    <x v="15"/>
    <n v="7650"/>
    <d v="2023-06-07T00:00:00"/>
    <x v="49"/>
    <x v="12"/>
    <n v="8.5199999999999998E-3"/>
    <n v="65.177999999999997"/>
    <s v="BR"/>
    <x v="5"/>
    <x v="6"/>
    <s v="Q2"/>
    <n v="154"/>
    <n v="49.675324675324674"/>
    <s v="48oz"/>
    <n v="0.95"/>
    <n v="7267.5"/>
    <n v="61.919099999999993"/>
    <n v="47.191558441558435"/>
  </r>
  <r>
    <n v="68188183"/>
    <x v="15"/>
    <n v="3000"/>
    <d v="2023-06-07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881269"/>
    <x v="15"/>
    <n v="10700"/>
    <d v="2023-06-07T00:00:00"/>
    <x v="16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9677917"/>
    <x v="15"/>
    <n v="4000"/>
    <d v="2023-06-07T00:00:00"/>
    <x v="30"/>
    <x v="29"/>
    <n v="5.2680000000000001E-3"/>
    <n v="21.071999999999999"/>
    <s v="PS"/>
    <x v="5"/>
    <x v="3"/>
    <s v="Q2"/>
    <n v="108"/>
    <n v="37.037037037037038"/>
    <s v="PG"/>
    <n v="0.9"/>
    <n v="3600"/>
    <n v="18.9648"/>
    <n v="33.333333333333336"/>
  </r>
  <r>
    <n v="69621212"/>
    <x v="16"/>
    <n v="5400"/>
    <d v="2023-06-07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84144598"/>
    <x v="17"/>
    <n v="25520"/>
    <d v="2023-06-07T00:00:00"/>
    <x v="233"/>
    <x v="35"/>
    <n v="3.7853439999999999E-3"/>
    <n v="96.601978880000004"/>
    <s v="BJ"/>
    <x v="5"/>
    <x v="15"/>
    <s v="Q2"/>
    <n v="240"/>
    <n v="106.33333333333333"/>
    <s v="BJ PTS"/>
    <n v="0.9"/>
    <n v="22968"/>
    <n v="86.941780992000005"/>
    <n v="95.7"/>
  </r>
  <r>
    <n v="67881629"/>
    <x v="17"/>
    <n v="35960"/>
    <d v="2023-06-07T00:00:00"/>
    <x v="65"/>
    <x v="33"/>
    <n v="3.7853439999999999E-3"/>
    <n v="136.12097023999999"/>
    <s v="BJ"/>
    <x v="5"/>
    <x v="15"/>
    <s v="Q2"/>
    <n v="240"/>
    <n v="149.83333333333334"/>
    <s v="BJ PTS"/>
    <n v="0.9"/>
    <n v="32364"/>
    <n v="122.508873216"/>
    <n v="134.85000000000002"/>
  </r>
  <r>
    <n v="69677917"/>
    <x v="15"/>
    <n v="2000"/>
    <d v="2023-06-08T00:00:00"/>
    <x v="30"/>
    <x v="29"/>
    <n v="5.2680000000000001E-3"/>
    <n v="10.536"/>
    <s v="PS"/>
    <x v="5"/>
    <x v="3"/>
    <s v="Q2"/>
    <n v="108"/>
    <n v="18.518518518518519"/>
    <s v="PG"/>
    <n v="0.9"/>
    <n v="1800"/>
    <n v="9.4824000000000002"/>
    <n v="16.666666666666668"/>
  </r>
  <r>
    <n v="67885719"/>
    <x v="16"/>
    <n v="22800"/>
    <d v="2023-06-08T00:00:00"/>
    <x v="11"/>
    <x v="32"/>
    <n v="8.5199999999999998E-3"/>
    <n v="194.256"/>
    <s v="BR"/>
    <x v="5"/>
    <x v="2"/>
    <s v="Q2"/>
    <n v="154"/>
    <n v="148.05194805194805"/>
    <s v="48oz"/>
    <n v="0.95"/>
    <n v="21660"/>
    <n v="184.54319999999998"/>
    <n v="140.64935064935062"/>
  </r>
  <r>
    <n v="68649097"/>
    <x v="16"/>
    <n v="9500"/>
    <d v="2023-06-08T00:00:00"/>
    <x v="336"/>
    <x v="15"/>
    <n v="3.5999999999999999E-3"/>
    <n v="34.199999999999996"/>
    <s v="BJ"/>
    <x v="5"/>
    <x v="19"/>
    <s v="Q2"/>
    <n v="240"/>
    <n v="39.583333333333336"/>
    <s v="TOPPED"/>
    <n v="0.91"/>
    <n v="8645"/>
    <n v="31.121999999999996"/>
    <n v="36.020833333333336"/>
  </r>
  <r>
    <n v="68658786"/>
    <x v="16"/>
    <n v="15000"/>
    <d v="2023-06-08T00:00:00"/>
    <x v="358"/>
    <x v="22"/>
    <n v="3.7853440000000004E-3"/>
    <n v="56.780160000000002"/>
    <s v="TA"/>
    <x v="5"/>
    <x v="10"/>
    <s v="Q2"/>
    <n v="255"/>
    <n v="58.823529411764703"/>
    <s v="TALENTI"/>
    <n v="0.94"/>
    <n v="14100"/>
    <n v="53.3733504"/>
    <n v="55.294117647058819"/>
  </r>
  <r>
    <n v="68741742"/>
    <x v="16"/>
    <n v="2700"/>
    <d v="2023-06-08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8896054"/>
    <x v="16"/>
    <n v="12600"/>
    <d v="2023-06-08T00:00:00"/>
    <x v="181"/>
    <x v="2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8899825"/>
    <x v="16"/>
    <n v="12600"/>
    <d v="2023-06-08T00:00:00"/>
    <x v="77"/>
    <x v="13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9572544"/>
    <x v="16"/>
    <n v="10200"/>
    <d v="2023-06-08T00:00:00"/>
    <x v="171"/>
    <x v="14"/>
    <n v="1.9740000000000001E-3"/>
    <n v="20.134800000000002"/>
    <s v="MG"/>
    <x v="5"/>
    <x v="5"/>
    <s v="Q2"/>
    <n v="176"/>
    <n v="57.954545454545453"/>
    <s v="MG Sticks"/>
    <n v="0.93"/>
    <n v="9486"/>
    <n v="18.725364000000003"/>
    <n v="53.897727272727273"/>
  </r>
  <r>
    <n v="69572657"/>
    <x v="16"/>
    <n v="8000"/>
    <d v="2023-06-08T00:00:00"/>
    <x v="306"/>
    <x v="5"/>
    <n v="2.1520000000000003E-3"/>
    <n v="17.216000000000001"/>
    <s v="MG"/>
    <x v="5"/>
    <x v="5"/>
    <s v="Q2"/>
    <n v="210"/>
    <n v="38.095238095238095"/>
    <s v="MG Sticks"/>
    <n v="0.93"/>
    <n v="7440"/>
    <n v="16.01088"/>
    <n v="35.428571428571431"/>
  </r>
  <r>
    <n v="69677917"/>
    <x v="16"/>
    <n v="2700"/>
    <d v="2023-06-08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691903"/>
    <x v="16"/>
    <n v="17100"/>
    <d v="2023-06-08T00:00:00"/>
    <x v="172"/>
    <x v="21"/>
    <n v="3.7839999999999996E-3"/>
    <n v="64.706399999999988"/>
    <s v="TA"/>
    <x v="5"/>
    <x v="10"/>
    <s v="Q2"/>
    <n v="255"/>
    <n v="67.058823529411768"/>
    <s v="TALENTI"/>
    <n v="0.94"/>
    <n v="16073.999999999998"/>
    <n v="60.824015999999986"/>
    <n v="63.035294117647055"/>
  </r>
  <r>
    <n v="69706138"/>
    <x v="16"/>
    <n v="8400"/>
    <d v="2023-06-08T00:00:00"/>
    <x v="289"/>
    <x v="31"/>
    <n v="3.8999999999999998E-3"/>
    <n v="32.76"/>
    <s v="TA"/>
    <x v="5"/>
    <x v="42"/>
    <s v="Q2"/>
    <n v="176"/>
    <n v="47.727272727272727"/>
    <s v="TAL NV"/>
    <n v="0.97"/>
    <n v="8148"/>
    <n v="31.777199999999997"/>
    <n v="46.295454545454547"/>
  </r>
  <r>
    <n v="84163503"/>
    <x v="17"/>
    <n v="10440"/>
    <d v="2023-06-08T00:00:00"/>
    <x v="327"/>
    <x v="35"/>
    <n v="3.7853439999999999E-3"/>
    <n v="39.518991360000001"/>
    <s v="BJ"/>
    <x v="5"/>
    <x v="15"/>
    <s v="Q2"/>
    <n v="240"/>
    <n v="43.5"/>
    <s v="BJ PTS"/>
    <n v="0.9"/>
    <n v="9396"/>
    <n v="35.567092224"/>
    <n v="39.15"/>
  </r>
  <r>
    <n v="67465063"/>
    <x v="15"/>
    <n v="3600"/>
    <d v="2023-06-08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3"/>
    <x v="15"/>
    <n v="3425"/>
    <d v="2023-06-08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4"/>
    <x v="15"/>
    <n v="3000"/>
    <d v="2023-06-08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4500"/>
    <d v="2023-06-08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08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08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723726"/>
    <x v="15"/>
    <n v="11200"/>
    <d v="2023-06-08T00:00:00"/>
    <x v="109"/>
    <x v="23"/>
    <n v="8.5199999999999998E-3"/>
    <n v="95.423999999999992"/>
    <s v="BR"/>
    <x v="5"/>
    <x v="6"/>
    <s v="Q2"/>
    <n v="154"/>
    <n v="72.727272727272734"/>
    <s v="48oz"/>
    <n v="0.95"/>
    <n v="10640"/>
    <n v="90.652799999999985"/>
    <n v="69.090909090909093"/>
  </r>
  <r>
    <n v="67885724"/>
    <x v="15"/>
    <n v="10800"/>
    <d v="2023-06-08T00:00:00"/>
    <x v="49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8188183"/>
    <x v="15"/>
    <n v="3000"/>
    <d v="2023-06-08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850683"/>
    <x v="15"/>
    <n v="12000"/>
    <d v="2023-06-08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8881269"/>
    <x v="15"/>
    <n v="10700"/>
    <d v="2023-06-08T00:00:00"/>
    <x v="16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9621212"/>
    <x v="16"/>
    <n v="5400"/>
    <d v="2023-06-08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84136704"/>
    <x v="17"/>
    <n v="33640"/>
    <d v="2023-06-08T00:00:00"/>
    <x v="223"/>
    <x v="35"/>
    <n v="3.7853439999999999E-3"/>
    <n v="127.33897216"/>
    <s v="BJ"/>
    <x v="5"/>
    <x v="15"/>
    <s v="Q2"/>
    <n v="240"/>
    <n v="140.16666666666666"/>
    <s v="BJ PTS"/>
    <n v="0.9"/>
    <n v="30276"/>
    <n v="114.60507494399999"/>
    <n v="126.14999999999999"/>
  </r>
  <r>
    <n v="68188183"/>
    <x v="15"/>
    <n v="1500"/>
    <d v="2023-06-09T00:00:00"/>
    <x v="70"/>
    <x v="9"/>
    <n v="3.8340000000000002E-3"/>
    <n v="5.7510000000000003"/>
    <s v="PS"/>
    <x v="5"/>
    <x v="3"/>
    <s v="Q2"/>
    <n v="130"/>
    <n v="11.538461538461538"/>
    <s v="PG"/>
    <n v="0.9"/>
    <n v="1350"/>
    <n v="5.1759000000000004"/>
    <n v="10.384615384615385"/>
  </r>
  <r>
    <n v="68634169"/>
    <x v="15"/>
    <n v="7140"/>
    <d v="2023-06-09T00:00:00"/>
    <x v="149"/>
    <x v="16"/>
    <n v="8.5199999999999998E-3"/>
    <n v="60.832799999999999"/>
    <s v="BR"/>
    <x v="5"/>
    <x v="6"/>
    <s v="Q2"/>
    <n v="154"/>
    <n v="46.363636363636367"/>
    <s v="48oz"/>
    <n v="0.95"/>
    <n v="6783"/>
    <n v="57.791159999999998"/>
    <n v="44.045454545454547"/>
  </r>
  <r>
    <n v="67885719"/>
    <x v="16"/>
    <n v="22800"/>
    <d v="2023-06-09T00:00:00"/>
    <x v="11"/>
    <x v="32"/>
    <n v="8.5199999999999998E-3"/>
    <n v="194.256"/>
    <s v="BR"/>
    <x v="5"/>
    <x v="2"/>
    <s v="Q2"/>
    <n v="154"/>
    <n v="148.05194805194805"/>
    <s v="48oz"/>
    <n v="0.95"/>
    <n v="21660"/>
    <n v="184.54319999999998"/>
    <n v="140.64935064935062"/>
  </r>
  <r>
    <n v="68649097"/>
    <x v="16"/>
    <n v="17100"/>
    <d v="2023-06-09T00:00:00"/>
    <x v="336"/>
    <x v="15"/>
    <n v="3.5999999999999999E-3"/>
    <n v="61.559999999999995"/>
    <s v="BJ"/>
    <x v="5"/>
    <x v="19"/>
    <s v="Q2"/>
    <n v="240"/>
    <n v="71.25"/>
    <s v="TOPPED"/>
    <n v="0.91"/>
    <n v="15561"/>
    <n v="56.019599999999997"/>
    <n v="64.837500000000006"/>
  </r>
  <r>
    <n v="68658786"/>
    <x v="16"/>
    <n v="10000"/>
    <d v="2023-06-09T00:00:00"/>
    <x v="358"/>
    <x v="22"/>
    <n v="3.7853440000000004E-3"/>
    <n v="37.853440000000006"/>
    <s v="TA"/>
    <x v="5"/>
    <x v="10"/>
    <s v="Q2"/>
    <n v="255"/>
    <n v="39.215686274509807"/>
    <s v="TALENTI"/>
    <n v="0.94"/>
    <n v="9400"/>
    <n v="35.582233600000002"/>
    <n v="36.86274509803922"/>
  </r>
  <r>
    <n v="68726916"/>
    <x v="16"/>
    <n v="34200"/>
    <d v="2023-06-09T00:00:00"/>
    <x v="43"/>
    <x v="21"/>
    <n v="3.7853440000000004E-3"/>
    <n v="129.45876480000001"/>
    <s v="TA"/>
    <x v="5"/>
    <x v="10"/>
    <s v="Q2"/>
    <n v="255"/>
    <n v="134.11764705882354"/>
    <s v="TALENTI"/>
    <n v="0.94"/>
    <n v="32147.999999999996"/>
    <n v="121.691238912"/>
    <n v="126.07058823529411"/>
  </r>
  <r>
    <n v="68741742"/>
    <x v="16"/>
    <n v="5400"/>
    <d v="2023-06-09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96054"/>
    <x v="16"/>
    <n v="9450"/>
    <d v="2023-06-09T00:00:00"/>
    <x v="181"/>
    <x v="2"/>
    <n v="8.5199999999999998E-3"/>
    <n v="80.513999999999996"/>
    <s v="BR"/>
    <x v="5"/>
    <x v="2"/>
    <s v="Q2"/>
    <n v="176"/>
    <n v="53.69318181818182"/>
    <s v="48oz"/>
    <n v="0.95"/>
    <n v="8977.5"/>
    <n v="76.488299999999995"/>
    <n v="51.008522727272727"/>
  </r>
  <r>
    <n v="68899825"/>
    <x v="16"/>
    <n v="12600"/>
    <d v="2023-06-09T00:00:00"/>
    <x v="77"/>
    <x v="13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9572544"/>
    <x v="16"/>
    <n v="7650"/>
    <d v="2023-06-09T00:00:00"/>
    <x v="171"/>
    <x v="14"/>
    <n v="1.9740000000000001E-3"/>
    <n v="15.101100000000001"/>
    <s v="MG"/>
    <x v="5"/>
    <x v="5"/>
    <s v="Q2"/>
    <n v="176"/>
    <n v="43.465909090909093"/>
    <s v="MG Sticks"/>
    <n v="0.93"/>
    <n v="7114.5"/>
    <n v="14.044023000000001"/>
    <n v="40.42329545454546"/>
  </r>
  <r>
    <n v="69572657"/>
    <x v="16"/>
    <n v="12000"/>
    <d v="2023-06-09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09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06138"/>
    <x v="16"/>
    <n v="6300"/>
    <d v="2023-06-09T00:00:00"/>
    <x v="289"/>
    <x v="31"/>
    <n v="3.8999999999999998E-3"/>
    <n v="24.57"/>
    <s v="TA"/>
    <x v="5"/>
    <x v="42"/>
    <s v="Q2"/>
    <n v="176"/>
    <n v="35.795454545454547"/>
    <s v="TAL NV"/>
    <n v="0.97"/>
    <n v="6111"/>
    <n v="23.832899999999999"/>
    <n v="34.721590909090907"/>
  </r>
  <r>
    <n v="67465063"/>
    <x v="15"/>
    <n v="3600"/>
    <d v="2023-06-09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3"/>
    <x v="15"/>
    <n v="3425"/>
    <d v="2023-06-09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4"/>
    <x v="15"/>
    <n v="3000"/>
    <d v="2023-06-09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4500"/>
    <d v="2023-06-09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09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09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885724"/>
    <x v="15"/>
    <n v="10800"/>
    <d v="2023-06-09T00:00:00"/>
    <x v="49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8737750"/>
    <x v="15"/>
    <n v="7470"/>
    <d v="2023-06-09T00:00:00"/>
    <x v="144"/>
    <x v="23"/>
    <n v="8.5199999999999998E-3"/>
    <n v="63.644399999999997"/>
    <s v="BR"/>
    <x v="5"/>
    <x v="6"/>
    <s v="Q2"/>
    <n v="176"/>
    <n v="42.44318181818182"/>
    <s v="48oz"/>
    <n v="0.95"/>
    <n v="7096.5"/>
    <n v="60.462179999999996"/>
    <n v="40.321022727272727"/>
  </r>
  <r>
    <n v="68850683"/>
    <x v="15"/>
    <n v="12000"/>
    <d v="2023-06-09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77917"/>
    <x v="15"/>
    <n v="4000"/>
    <d v="2023-06-09T00:00:00"/>
    <x v="30"/>
    <x v="29"/>
    <n v="5.2680000000000001E-3"/>
    <n v="21.071999999999999"/>
    <s v="PS"/>
    <x v="5"/>
    <x v="3"/>
    <s v="Q2"/>
    <n v="108"/>
    <n v="37.037037037037038"/>
    <s v="PG"/>
    <n v="0.9"/>
    <n v="3600"/>
    <n v="18.9648"/>
    <n v="33.333333333333336"/>
  </r>
  <r>
    <n v="69621212"/>
    <x v="16"/>
    <n v="5400"/>
    <d v="2023-06-09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7736698"/>
    <x v="17"/>
    <n v="17400"/>
    <d v="2023-06-09T00:00:00"/>
    <x v="140"/>
    <x v="33"/>
    <n v="3.7839999999999996E-3"/>
    <n v="65.8416"/>
    <s v="BJ"/>
    <x v="5"/>
    <x v="15"/>
    <s v="Q2"/>
    <n v="240"/>
    <n v="72.5"/>
    <s v="BJ PTS"/>
    <n v="0.9"/>
    <n v="15660"/>
    <n v="59.257440000000003"/>
    <n v="65.25"/>
  </r>
  <r>
    <n v="67826412"/>
    <x v="18"/>
    <n v="107250"/>
    <d v="2023-06-09T00:00:00"/>
    <x v="214"/>
    <x v="35"/>
    <n v="3.7853439999999999E-3"/>
    <n v="405.97814399999999"/>
    <s v="BJ"/>
    <x v="5"/>
    <x v="36"/>
    <s v="Q2"/>
    <n v="240"/>
    <n v="446.875"/>
    <s v="BJ PTS"/>
    <n v="0.9"/>
    <n v="96525"/>
    <n v="365.38032959999998"/>
    <n v="402.1875"/>
  </r>
  <r>
    <n v="68634169"/>
    <x v="15"/>
    <n v="1860"/>
    <d v="2023-06-10T00:00:00"/>
    <x v="149"/>
    <x v="16"/>
    <n v="8.5199999999999998E-3"/>
    <n v="15.847199999999999"/>
    <s v="BR"/>
    <x v="5"/>
    <x v="6"/>
    <s v="Q2"/>
    <n v="154"/>
    <n v="12.077922077922079"/>
    <s v="48oz"/>
    <n v="0.95"/>
    <n v="1767"/>
    <n v="15.054839999999999"/>
    <n v="11.474025974025974"/>
  </r>
  <r>
    <n v="67885719"/>
    <x v="16"/>
    <n v="17100"/>
    <d v="2023-06-10T00:00:00"/>
    <x v="11"/>
    <x v="32"/>
    <n v="8.5199999999999998E-3"/>
    <n v="145.69200000000001"/>
    <s v="BR"/>
    <x v="5"/>
    <x v="2"/>
    <s v="Q2"/>
    <n v="154"/>
    <n v="111.03896103896103"/>
    <s v="48oz"/>
    <n v="0.95"/>
    <n v="16245"/>
    <n v="138.4074"/>
    <n v="105.48701298701297"/>
  </r>
  <r>
    <n v="68726916"/>
    <x v="16"/>
    <n v="34200"/>
    <d v="2023-06-10T00:00:00"/>
    <x v="43"/>
    <x v="21"/>
    <n v="3.7853440000000004E-3"/>
    <n v="129.45876480000001"/>
    <s v="TA"/>
    <x v="5"/>
    <x v="10"/>
    <s v="Q2"/>
    <n v="255"/>
    <n v="134.11764705882354"/>
    <s v="TALENTI"/>
    <n v="0.94"/>
    <n v="32147.999999999996"/>
    <n v="121.691238912"/>
    <n v="126.07058823529411"/>
  </r>
  <r>
    <n v="68741742"/>
    <x v="16"/>
    <n v="5400"/>
    <d v="2023-06-10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17801"/>
    <x v="16"/>
    <n v="12600"/>
    <d v="2023-06-10T00:00:00"/>
    <x v="183"/>
    <x v="2"/>
    <n v="8.4600000000000005E-3"/>
    <n v="106.596"/>
    <s v="BR"/>
    <x v="5"/>
    <x v="2"/>
    <s v="Q2"/>
    <n v="176"/>
    <n v="71.590909090909093"/>
    <s v="48oz"/>
    <n v="0.95"/>
    <n v="11970"/>
    <n v="101.2662"/>
    <n v="68.01136363636364"/>
  </r>
  <r>
    <n v="68899825"/>
    <x v="16"/>
    <n v="9450"/>
    <d v="2023-06-10T00:00:00"/>
    <x v="77"/>
    <x v="13"/>
    <n v="8.5199999999999998E-3"/>
    <n v="80.513999999999996"/>
    <s v="BR"/>
    <x v="5"/>
    <x v="2"/>
    <s v="Q2"/>
    <n v="176"/>
    <n v="53.69318181818182"/>
    <s v="48oz"/>
    <n v="0.95"/>
    <n v="8977.5"/>
    <n v="76.488299999999995"/>
    <n v="51.008522727272727"/>
  </r>
  <r>
    <n v="69549036"/>
    <x v="16"/>
    <n v="16200"/>
    <d v="2023-06-10T00:00:00"/>
    <x v="331"/>
    <x v="22"/>
    <n v="3.7839999999999996E-3"/>
    <n v="61.300799999999995"/>
    <s v="TA"/>
    <x v="5"/>
    <x v="10"/>
    <s v="Q2"/>
    <n v="255"/>
    <n v="63.529411764705884"/>
    <s v="TALENTI"/>
    <n v="0.94"/>
    <n v="15228"/>
    <n v="57.622751999999991"/>
    <n v="59.71764705882353"/>
  </r>
  <r>
    <n v="69572657"/>
    <x v="16"/>
    <n v="12000"/>
    <d v="2023-06-10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10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84146285"/>
    <x v="17"/>
    <n v="18560"/>
    <d v="2023-06-10T00:00:00"/>
    <x v="248"/>
    <x v="38"/>
    <n v="3.7853439999999999E-3"/>
    <n v="70.255984639999994"/>
    <s v="BJ"/>
    <x v="5"/>
    <x v="15"/>
    <s v="Q2"/>
    <n v="240"/>
    <n v="77.333333333333329"/>
    <s v="BJ PTS"/>
    <n v="0.9"/>
    <n v="16704"/>
    <n v="63.230386175999996"/>
    <n v="69.599999999999994"/>
  </r>
  <r>
    <n v="67465063"/>
    <x v="15"/>
    <n v="3600"/>
    <d v="2023-06-10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10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3600"/>
    <d v="2023-06-10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8737750"/>
    <x v="15"/>
    <n v="11200"/>
    <d v="2023-06-10T00:00:00"/>
    <x v="144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68899821"/>
    <x v="15"/>
    <n v="8840"/>
    <d v="2023-06-10T00:00:00"/>
    <x v="149"/>
    <x v="16"/>
    <n v="8.5199999999999998E-3"/>
    <n v="75.316800000000001"/>
    <s v="BR"/>
    <x v="5"/>
    <x v="6"/>
    <s v="Q2"/>
    <n v="176"/>
    <n v="50.227272727272727"/>
    <s v="48oz"/>
    <n v="0.95"/>
    <n v="8398"/>
    <n v="71.550960000000003"/>
    <n v="47.715909090909086"/>
  </r>
  <r>
    <n v="69677917"/>
    <x v="15"/>
    <n v="4000"/>
    <d v="2023-06-10T00:00:00"/>
    <x v="30"/>
    <x v="29"/>
    <n v="5.2680000000000001E-3"/>
    <n v="21.071999999999999"/>
    <s v="PS"/>
    <x v="5"/>
    <x v="3"/>
    <s v="Q2"/>
    <n v="108"/>
    <n v="37.037037037037038"/>
    <s v="PG"/>
    <n v="0.9"/>
    <n v="3600"/>
    <n v="18.9648"/>
    <n v="33.333333333333336"/>
  </r>
  <r>
    <n v="69621212"/>
    <x v="16"/>
    <n v="5400"/>
    <d v="2023-06-10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84164936"/>
    <x v="17"/>
    <n v="35960"/>
    <d v="2023-06-10T00:00:00"/>
    <x v="162"/>
    <x v="35"/>
    <n v="3.7853439999999999E-3"/>
    <n v="136.12097023999999"/>
    <s v="BJ"/>
    <x v="5"/>
    <x v="15"/>
    <s v="Q2"/>
    <n v="240"/>
    <n v="149.83333333333334"/>
    <s v="BJ PTS"/>
    <n v="0.9"/>
    <n v="32364"/>
    <n v="122.508873216"/>
    <n v="134.85000000000002"/>
  </r>
  <r>
    <n v="84164939"/>
    <x v="17"/>
    <n v="8320"/>
    <d v="2023-06-10T00:00:00"/>
    <x v="186"/>
    <x v="35"/>
    <n v="9.0848256361922702E-3"/>
    <n v="75.58574929311969"/>
    <s v="BJ"/>
    <x v="5"/>
    <x v="39"/>
    <s v="Q2"/>
    <n v="125"/>
    <n v="66.56"/>
    <s v="2.4 Gal"/>
    <n v="0.85"/>
    <n v="7072"/>
    <n v="64.247886899151737"/>
    <n v="56.576000000000001"/>
  </r>
  <r>
    <n v="68726916"/>
    <x v="16"/>
    <n v="25650"/>
    <d v="2023-06-11T00:00:00"/>
    <x v="43"/>
    <x v="21"/>
    <n v="3.7853440000000004E-3"/>
    <n v="97.094073600000016"/>
    <s v="TA"/>
    <x v="5"/>
    <x v="10"/>
    <s v="Q2"/>
    <n v="255"/>
    <n v="100.58823529411765"/>
    <s v="TALENTI"/>
    <n v="0.94"/>
    <n v="24111"/>
    <n v="91.268429184000013"/>
    <n v="94.552941176470583"/>
  </r>
  <r>
    <n v="68741742"/>
    <x v="16"/>
    <n v="5400"/>
    <d v="2023-06-11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17801"/>
    <x v="16"/>
    <n v="9450"/>
    <d v="2023-06-11T00:00:00"/>
    <x v="183"/>
    <x v="2"/>
    <n v="8.4600000000000005E-3"/>
    <n v="79.947000000000003"/>
    <s v="BR"/>
    <x v="5"/>
    <x v="2"/>
    <s v="Q2"/>
    <n v="176"/>
    <n v="53.69318181818182"/>
    <s v="48oz"/>
    <n v="0.95"/>
    <n v="8977.5"/>
    <n v="75.949650000000005"/>
    <n v="51.008522727272727"/>
  </r>
  <r>
    <n v="69549036"/>
    <x v="16"/>
    <n v="10800"/>
    <d v="2023-06-11T00:00:00"/>
    <x v="331"/>
    <x v="22"/>
    <n v="3.7839999999999996E-3"/>
    <n v="40.867199999999997"/>
    <s v="TA"/>
    <x v="5"/>
    <x v="10"/>
    <s v="Q2"/>
    <n v="255"/>
    <n v="42.352941176470587"/>
    <s v="TALENTI"/>
    <n v="0.94"/>
    <n v="10152"/>
    <n v="38.415167999999994"/>
    <n v="39.811764705882347"/>
  </r>
  <r>
    <n v="69568962"/>
    <x v="16"/>
    <n v="22800"/>
    <d v="2023-06-11T00:00:00"/>
    <x v="121"/>
    <x v="32"/>
    <n v="8.5199999999999998E-3"/>
    <n v="194.256"/>
    <s v="BR"/>
    <x v="5"/>
    <x v="2"/>
    <s v="Q2"/>
    <n v="176"/>
    <n v="129.54545454545453"/>
    <s v="48oz"/>
    <n v="0.95"/>
    <n v="21660"/>
    <n v="184.54319999999998"/>
    <n v="123.0681818181818"/>
  </r>
  <r>
    <n v="69568963"/>
    <x v="16"/>
    <n v="12600"/>
    <d v="2023-06-11T00:00:00"/>
    <x v="94"/>
    <x v="13"/>
    <n v="8.5199999999999998E-3"/>
    <n v="107.352"/>
    <s v="BR"/>
    <x v="5"/>
    <x v="2"/>
    <s v="Q2"/>
    <n v="176"/>
    <n v="71.590909090909093"/>
    <s v="48oz"/>
    <n v="0.95"/>
    <n v="11970"/>
    <n v="101.98439999999999"/>
    <n v="68.01136363636364"/>
  </r>
  <r>
    <n v="69572657"/>
    <x v="16"/>
    <n v="12000"/>
    <d v="2023-06-11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11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7465063"/>
    <x v="15"/>
    <n v="3600"/>
    <d v="2023-06-11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11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3600"/>
    <d v="2023-06-11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8737750"/>
    <x v="15"/>
    <n v="11200"/>
    <d v="2023-06-11T00:00:00"/>
    <x v="144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68899821"/>
    <x v="15"/>
    <n v="10700"/>
    <d v="2023-06-11T00:00:00"/>
    <x v="149"/>
    <x v="16"/>
    <n v="8.5199999999999998E-3"/>
    <n v="91.164000000000001"/>
    <s v="BR"/>
    <x v="5"/>
    <x v="6"/>
    <s v="Q2"/>
    <n v="176"/>
    <n v="60.795454545454547"/>
    <s v="48oz"/>
    <n v="0.95"/>
    <n v="10165"/>
    <n v="86.605800000000002"/>
    <n v="57.75568181818182"/>
  </r>
  <r>
    <n v="69677917"/>
    <x v="15"/>
    <n v="4000"/>
    <d v="2023-06-11T00:00:00"/>
    <x v="30"/>
    <x v="29"/>
    <n v="5.2680000000000001E-3"/>
    <n v="21.071999999999999"/>
    <s v="PS"/>
    <x v="5"/>
    <x v="3"/>
    <s v="Q2"/>
    <n v="108"/>
    <n v="37.037037037037038"/>
    <s v="PG"/>
    <n v="0.9"/>
    <n v="3600"/>
    <n v="18.9648"/>
    <n v="33.333333333333336"/>
  </r>
  <r>
    <n v="67546042"/>
    <x v="17"/>
    <n v="31320"/>
    <d v="2023-06-11T00:00:00"/>
    <x v="108"/>
    <x v="35"/>
    <n v="3.7853439999999999E-3"/>
    <n v="118.55697408"/>
    <s v="BJ"/>
    <x v="5"/>
    <x v="15"/>
    <s v="Q2"/>
    <n v="240"/>
    <n v="130.5"/>
    <s v="BJ PTS"/>
    <n v="0.9"/>
    <n v="28188"/>
    <n v="106.70127667200001"/>
    <n v="117.45"/>
  </r>
  <r>
    <n v="84135799"/>
    <x v="17"/>
    <n v="11960"/>
    <d v="2023-06-11T00:00:00"/>
    <x v="232"/>
    <x v="35"/>
    <n v="9.0848256361922702E-3"/>
    <n v="108.65451460885956"/>
    <s v="BJ"/>
    <x v="5"/>
    <x v="39"/>
    <s v="Q2"/>
    <n v="125"/>
    <n v="95.68"/>
    <s v="2.4 Gal"/>
    <n v="0.85"/>
    <n v="10166"/>
    <n v="92.356337417530625"/>
    <n v="81.328000000000003"/>
  </r>
  <r>
    <n v="67789313"/>
    <x v="17"/>
    <n v="35960"/>
    <d v="2023-06-11T00:00:00"/>
    <x v="169"/>
    <x v="35"/>
    <n v="3.7853439999999999E-3"/>
    <n v="136.12097023999999"/>
    <s v="BJ"/>
    <x v="5"/>
    <x v="15"/>
    <s v="Q2"/>
    <n v="240"/>
    <n v="149.83333333333334"/>
    <s v="BJ PTS"/>
    <n v="0.9"/>
    <n v="32364"/>
    <n v="122.508873216"/>
    <n v="134.85000000000002"/>
  </r>
  <r>
    <n v="67465063"/>
    <x v="15"/>
    <n v="2568"/>
    <d v="2023-06-12T00:00:00"/>
    <x v="3"/>
    <x v="40"/>
    <n v="5.2680000000000001E-3"/>
    <n v="13.528224"/>
    <s v="PS"/>
    <x v="5"/>
    <x v="3"/>
    <s v="Q2"/>
    <n v="130"/>
    <n v="19.753846153846155"/>
    <s v="PG"/>
    <n v="0.9"/>
    <n v="2311.2000000000003"/>
    <n v="12.175401600000001"/>
    <n v="17.778461538461539"/>
  </r>
  <r>
    <n v="67465063"/>
    <x v="15"/>
    <n v="1800"/>
    <d v="2023-06-12T00:00:00"/>
    <x v="3"/>
    <x v="6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65064"/>
    <x v="15"/>
    <n v="1500"/>
    <d v="2023-06-12T00:00:00"/>
    <x v="7"/>
    <x v="3"/>
    <n v="1.596E-3"/>
    <n v="2.3940000000000001"/>
    <s v="PS"/>
    <x v="5"/>
    <x v="3"/>
    <s v="Q2"/>
    <n v="130"/>
    <n v="11.538461538461538"/>
    <s v="PG"/>
    <n v="0.9"/>
    <n v="1350"/>
    <n v="2.1546000000000003"/>
    <n v="10.384615384615385"/>
  </r>
  <r>
    <n v="67466492"/>
    <x v="15"/>
    <n v="1800"/>
    <d v="2023-06-12T00:00:00"/>
    <x v="8"/>
    <x v="8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66492"/>
    <x v="15"/>
    <n v="2250"/>
    <d v="2023-06-12T00:00:00"/>
    <x v="8"/>
    <x v="7"/>
    <n v="5.2680000000000001E-3"/>
    <n v="11.853"/>
    <s v="PS"/>
    <x v="5"/>
    <x v="3"/>
    <s v="Q2"/>
    <n v="130"/>
    <n v="17.307692307692307"/>
    <s v="PG"/>
    <n v="0.9"/>
    <n v="2025"/>
    <n v="10.6677"/>
    <n v="15.576923076923077"/>
  </r>
  <r>
    <n v="67476560"/>
    <x v="15"/>
    <n v="1800"/>
    <d v="2023-06-12T00:00:00"/>
    <x v="10"/>
    <x v="10"/>
    <n v="5.1060000000000003E-3"/>
    <n v="9.1908000000000012"/>
    <s v="PS"/>
    <x v="5"/>
    <x v="3"/>
    <s v="Q2"/>
    <n v="130"/>
    <n v="13.846153846153847"/>
    <s v="PG"/>
    <n v="0.9"/>
    <n v="1620"/>
    <n v="8.271720000000002"/>
    <n v="12.461538461538462"/>
  </r>
  <r>
    <n v="69700048"/>
    <x v="15"/>
    <n v="6000"/>
    <d v="2023-06-12T00:00:00"/>
    <x v="288"/>
    <x v="24"/>
    <n v="2.3469132803553457E-3"/>
    <n v="14.081479682132073"/>
    <s v="GH"/>
    <x v="5"/>
    <x v="4"/>
    <s v="Q2"/>
    <n v="350"/>
    <n v="17.142857142857142"/>
    <s v="MBG"/>
    <n v="0.87"/>
    <n v="5220"/>
    <n v="12.250887323454904"/>
    <n v="14.914285714285715"/>
  </r>
  <r>
    <n v="68649095"/>
    <x v="16"/>
    <n v="22800"/>
    <d v="2023-06-12T00:00:00"/>
    <x v="286"/>
    <x v="15"/>
    <n v="3.5999999999999999E-3"/>
    <n v="82.08"/>
    <s v="BJ"/>
    <x v="5"/>
    <x v="19"/>
    <s v="Q2"/>
    <n v="240"/>
    <n v="95"/>
    <s v="TOPPED"/>
    <n v="0.91"/>
    <n v="20748"/>
    <n v="74.692800000000005"/>
    <n v="86.45"/>
  </r>
  <r>
    <n v="68726982"/>
    <x v="16"/>
    <n v="34200"/>
    <d v="2023-06-12T00:00:00"/>
    <x v="291"/>
    <x v="21"/>
    <n v="3.7853440000000004E-3"/>
    <n v="129.45876480000001"/>
    <s v="TA"/>
    <x v="5"/>
    <x v="10"/>
    <s v="Q2"/>
    <n v="255"/>
    <n v="134.11764705882354"/>
    <s v="TALENTI"/>
    <n v="0.94"/>
    <n v="32147.999999999996"/>
    <n v="121.691238912"/>
    <n v="126.07058823529411"/>
  </r>
  <r>
    <n v="68741742"/>
    <x v="16"/>
    <n v="2700"/>
    <d v="2023-06-12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9549035"/>
    <x v="16"/>
    <n v="16200"/>
    <d v="2023-06-12T00:00:00"/>
    <x v="320"/>
    <x v="22"/>
    <n v="3.7839999999999996E-3"/>
    <n v="61.300799999999995"/>
    <s v="TA"/>
    <x v="5"/>
    <x v="10"/>
    <s v="Q2"/>
    <n v="255"/>
    <n v="63.529411764705884"/>
    <s v="TALENTI"/>
    <n v="0.94"/>
    <n v="15228"/>
    <n v="57.622751999999991"/>
    <n v="59.71764705882353"/>
  </r>
  <r>
    <n v="69568962"/>
    <x v="16"/>
    <n v="23400"/>
    <d v="2023-06-12T00:00:00"/>
    <x v="121"/>
    <x v="32"/>
    <n v="8.5199999999999998E-3"/>
    <n v="199.36799999999999"/>
    <s v="BR"/>
    <x v="5"/>
    <x v="2"/>
    <s v="Q2"/>
    <n v="176"/>
    <n v="132.95454545454547"/>
    <s v="48oz"/>
    <n v="0.95"/>
    <n v="22230"/>
    <n v="189.39959999999999"/>
    <n v="126.30681818181819"/>
  </r>
  <r>
    <n v="69568963"/>
    <x v="16"/>
    <n v="13200"/>
    <d v="2023-06-12T00:00:00"/>
    <x v="94"/>
    <x v="13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9568963"/>
    <x v="16"/>
    <n v="13200"/>
    <d v="2023-06-12T00:00:00"/>
    <x v="94"/>
    <x v="2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9572544"/>
    <x v="16"/>
    <n v="8500"/>
    <d v="2023-06-12T00:00:00"/>
    <x v="171"/>
    <x v="14"/>
    <n v="1.9740000000000001E-3"/>
    <n v="16.779"/>
    <s v="MG"/>
    <x v="5"/>
    <x v="5"/>
    <s v="Q2"/>
    <n v="176"/>
    <n v="48.295454545454547"/>
    <s v="MG Sticks"/>
    <n v="0.93"/>
    <n v="7905"/>
    <n v="15.604470000000001"/>
    <n v="44.914772727272734"/>
  </r>
  <r>
    <n v="69572657"/>
    <x v="16"/>
    <n v="3000"/>
    <d v="2023-06-12T00:00:00"/>
    <x v="306"/>
    <x v="5"/>
    <n v="2.1520000000000003E-3"/>
    <n v="6.4560000000000004"/>
    <s v="MG"/>
    <x v="5"/>
    <x v="5"/>
    <s v="Q2"/>
    <n v="210"/>
    <n v="14.285714285714286"/>
    <s v="MG Sticks"/>
    <n v="0.93"/>
    <n v="2790"/>
    <n v="6.004080000000001"/>
    <n v="13.285714285714286"/>
  </r>
  <r>
    <n v="69621212"/>
    <x v="16"/>
    <n v="5400"/>
    <d v="2023-06-12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2700"/>
    <d v="2023-06-12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717802"/>
    <x v="16"/>
    <n v="6500"/>
    <d v="2023-06-12T00:00:00"/>
    <x v="31"/>
    <x v="31"/>
    <n v="4.2560000000000002E-3"/>
    <n v="27.664000000000001"/>
    <s v="BR"/>
    <x v="5"/>
    <x v="5"/>
    <s v="Q2"/>
    <n v="143"/>
    <n v="45.454545454545453"/>
    <s v="MG Sticks"/>
    <n v="0.93"/>
    <n v="6045"/>
    <n v="25.727520000000002"/>
    <n v="42.272727272727273"/>
  </r>
  <r>
    <n v="67901583"/>
    <x v="15"/>
    <n v="12000"/>
    <d v="2023-06-12T00:00:00"/>
    <x v="50"/>
    <x v="11"/>
    <n v="8.5199999999999998E-3"/>
    <n v="102.24"/>
    <s v="BR"/>
    <x v="5"/>
    <x v="6"/>
    <s v="Q2"/>
    <n v="154"/>
    <n v="77.922077922077918"/>
    <s v="48oz"/>
    <n v="0.95"/>
    <n v="11400"/>
    <n v="97.127999999999986"/>
    <n v="74.025974025974023"/>
  </r>
  <r>
    <n v="68188183"/>
    <x v="15"/>
    <n v="3000"/>
    <d v="2023-06-12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737750"/>
    <x v="15"/>
    <n v="11200"/>
    <d v="2023-06-12T00:00:00"/>
    <x v="144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68899821"/>
    <x v="15"/>
    <n v="10700"/>
    <d v="2023-06-12T00:00:00"/>
    <x v="149"/>
    <x v="16"/>
    <n v="8.5199999999999998E-3"/>
    <n v="91.164000000000001"/>
    <s v="BR"/>
    <x v="5"/>
    <x v="6"/>
    <s v="Q2"/>
    <n v="176"/>
    <n v="60.795454545454547"/>
    <s v="48oz"/>
    <n v="0.95"/>
    <n v="10165"/>
    <n v="86.605800000000002"/>
    <n v="57.75568181818182"/>
  </r>
  <r>
    <n v="69568828"/>
    <x v="15"/>
    <n v="10800"/>
    <d v="2023-06-12T00:00:00"/>
    <x v="12"/>
    <x v="12"/>
    <n v="8.5199999999999998E-3"/>
    <n v="92.015999999999991"/>
    <s v="BR"/>
    <x v="5"/>
    <x v="6"/>
    <s v="Q2"/>
    <n v="176"/>
    <n v="61.363636363636367"/>
    <s v="48oz"/>
    <n v="0.95"/>
    <n v="10260"/>
    <n v="87.415199999999984"/>
    <n v="58.295454545454547"/>
  </r>
  <r>
    <n v="69671641"/>
    <x v="15"/>
    <n v="4800"/>
    <d v="2023-06-12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84141037"/>
    <x v="17"/>
    <n v="8840"/>
    <d v="2023-06-12T00:00:00"/>
    <x v="167"/>
    <x v="35"/>
    <n v="9.0848256361922702E-3"/>
    <n v="80.309858623939675"/>
    <s v="BJ"/>
    <x v="5"/>
    <x v="39"/>
    <s v="Q2"/>
    <n v="125"/>
    <n v="70.72"/>
    <s v="2.4 Gal"/>
    <n v="0.85"/>
    <n v="7514"/>
    <n v="68.263379830348725"/>
    <n v="60.111999999999995"/>
  </r>
  <r>
    <n v="67794169"/>
    <x v="18"/>
    <n v="107250"/>
    <d v="2023-06-12T00:00:00"/>
    <x v="33"/>
    <x v="35"/>
    <n v="3.7853439999999999E-3"/>
    <n v="405.97814399999999"/>
    <s v="BJ"/>
    <x v="5"/>
    <x v="36"/>
    <s v="Q2"/>
    <n v="240"/>
    <n v="446.875"/>
    <s v="BJ PTS"/>
    <n v="0.9"/>
    <n v="96525"/>
    <n v="365.38032959999998"/>
    <n v="402.1875"/>
  </r>
  <r>
    <n v="84141094"/>
    <x v="17"/>
    <n v="76560"/>
    <d v="2023-06-12T00:00:00"/>
    <x v="107"/>
    <x v="34"/>
    <n v="3.7853439999999999E-3"/>
    <n v="289.80593663999997"/>
    <s v="BJ"/>
    <x v="5"/>
    <x v="15"/>
    <s v="Q2"/>
    <n v="240"/>
    <n v="319"/>
    <s v="BJ PTS"/>
    <n v="0.9"/>
    <n v="68904"/>
    <n v="260.825342976"/>
    <n v="287.10000000000002"/>
  </r>
  <r>
    <n v="67309843"/>
    <x v="15"/>
    <n v="7140"/>
    <d v="2023-06-13T00:00:00"/>
    <x v="88"/>
    <x v="16"/>
    <n v="8.5199999999999998E-3"/>
    <n v="60.832799999999999"/>
    <s v="BR"/>
    <x v="5"/>
    <x v="6"/>
    <s v="Q2"/>
    <n v="154"/>
    <n v="46.363636363636367"/>
    <s v="48oz"/>
    <n v="0.95"/>
    <n v="6783"/>
    <n v="57.791159999999998"/>
    <n v="44.045454545454547"/>
  </r>
  <r>
    <n v="67465063"/>
    <x v="15"/>
    <n v="2568"/>
    <d v="2023-06-13T00:00:00"/>
    <x v="3"/>
    <x v="40"/>
    <n v="5.2680000000000001E-3"/>
    <n v="13.528224"/>
    <s v="PS"/>
    <x v="5"/>
    <x v="3"/>
    <s v="Q2"/>
    <n v="130"/>
    <n v="19.753846153846155"/>
    <s v="PG"/>
    <n v="0.9"/>
    <n v="2311.2000000000003"/>
    <n v="12.175401600000001"/>
    <n v="17.778461538461539"/>
  </r>
  <r>
    <n v="68769686"/>
    <x v="15"/>
    <n v="5600"/>
    <d v="2023-06-13T00:00:00"/>
    <x v="266"/>
    <x v="23"/>
    <n v="8.513999999999999E-3"/>
    <n v="47.678399999999996"/>
    <s v="BR"/>
    <x v="5"/>
    <x v="6"/>
    <s v="Q2"/>
    <n v="154"/>
    <n v="36.363636363636367"/>
    <s v="48oz"/>
    <n v="0.95"/>
    <n v="5320"/>
    <n v="45.294479999999993"/>
    <n v="34.545454545454547"/>
  </r>
  <r>
    <n v="69700048"/>
    <x v="15"/>
    <n v="6000"/>
    <d v="2023-06-13T00:00:00"/>
    <x v="288"/>
    <x v="24"/>
    <n v="2.3469132803553457E-3"/>
    <n v="14.081479682132073"/>
    <s v="GH"/>
    <x v="5"/>
    <x v="4"/>
    <s v="Q2"/>
    <n v="350"/>
    <n v="17.142857142857142"/>
    <s v="MBG"/>
    <n v="0.87"/>
    <n v="5220"/>
    <n v="12.250887323454904"/>
    <n v="14.914285714285715"/>
  </r>
  <r>
    <n v="68649095"/>
    <x v="16"/>
    <n v="22800"/>
    <d v="2023-06-13T00:00:00"/>
    <x v="286"/>
    <x v="15"/>
    <n v="3.5999999999999999E-3"/>
    <n v="82.08"/>
    <s v="BJ"/>
    <x v="5"/>
    <x v="19"/>
    <s v="Q2"/>
    <n v="240"/>
    <n v="95"/>
    <s v="TOPPED"/>
    <n v="0.91"/>
    <n v="20748"/>
    <n v="74.692800000000005"/>
    <n v="86.45"/>
  </r>
  <r>
    <n v="68726982"/>
    <x v="16"/>
    <n v="22800"/>
    <d v="2023-06-13T00:00:00"/>
    <x v="291"/>
    <x v="21"/>
    <n v="3.7853440000000004E-3"/>
    <n v="86.305843200000012"/>
    <s v="TA"/>
    <x v="5"/>
    <x v="10"/>
    <s v="Q2"/>
    <n v="255"/>
    <n v="89.411764705882348"/>
    <s v="TALENTI"/>
    <n v="0.94"/>
    <n v="21432"/>
    <n v="81.127492608000011"/>
    <n v="84.047058823529397"/>
  </r>
  <r>
    <n v="68741742"/>
    <x v="16"/>
    <n v="5400"/>
    <d v="2023-06-13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9549035"/>
    <x v="16"/>
    <n v="10800"/>
    <d v="2023-06-13T00:00:00"/>
    <x v="320"/>
    <x v="22"/>
    <n v="3.7839999999999996E-3"/>
    <n v="40.867199999999997"/>
    <s v="TA"/>
    <x v="5"/>
    <x v="10"/>
    <s v="Q2"/>
    <n v="255"/>
    <n v="42.352941176470587"/>
    <s v="TALENTI"/>
    <n v="0.94"/>
    <n v="10152"/>
    <n v="38.415167999999994"/>
    <n v="39.811764705882347"/>
  </r>
  <r>
    <n v="69568962"/>
    <x v="16"/>
    <n v="17550"/>
    <d v="2023-06-13T00:00:00"/>
    <x v="121"/>
    <x v="32"/>
    <n v="8.5199999999999998E-3"/>
    <n v="149.52600000000001"/>
    <s v="BR"/>
    <x v="5"/>
    <x v="2"/>
    <s v="Q2"/>
    <n v="176"/>
    <n v="99.715909090909093"/>
    <s v="48oz"/>
    <n v="0.95"/>
    <n v="16672.5"/>
    <n v="142.0497"/>
    <n v="94.73011363636364"/>
  </r>
  <r>
    <n v="69568963"/>
    <x v="16"/>
    <n v="9900"/>
    <d v="2023-06-13T00:00:00"/>
    <x v="94"/>
    <x v="13"/>
    <n v="8.5199999999999998E-3"/>
    <n v="84.347999999999999"/>
    <s v="BR"/>
    <x v="5"/>
    <x v="2"/>
    <s v="Q2"/>
    <n v="176"/>
    <n v="56.25"/>
    <s v="48oz"/>
    <n v="0.95"/>
    <n v="9405"/>
    <n v="80.130600000000001"/>
    <n v="53.4375"/>
  </r>
  <r>
    <n v="69568963"/>
    <x v="16"/>
    <n v="9900"/>
    <d v="2023-06-13T00:00:00"/>
    <x v="94"/>
    <x v="2"/>
    <n v="8.5199999999999998E-3"/>
    <n v="84.347999999999999"/>
    <s v="BR"/>
    <x v="5"/>
    <x v="2"/>
    <s v="Q2"/>
    <n v="176"/>
    <n v="56.25"/>
    <s v="48oz"/>
    <n v="0.95"/>
    <n v="9405"/>
    <n v="80.130600000000001"/>
    <n v="53.4375"/>
  </r>
  <r>
    <n v="69572544"/>
    <x v="16"/>
    <n v="10200"/>
    <d v="2023-06-13T00:00:00"/>
    <x v="171"/>
    <x v="14"/>
    <n v="1.9740000000000001E-3"/>
    <n v="20.134800000000002"/>
    <s v="MG"/>
    <x v="5"/>
    <x v="5"/>
    <s v="Q2"/>
    <n v="176"/>
    <n v="57.954545454545453"/>
    <s v="MG Sticks"/>
    <n v="0.93"/>
    <n v="9486"/>
    <n v="18.725364000000003"/>
    <n v="53.897727272727273"/>
  </r>
  <r>
    <n v="69572657"/>
    <x v="16"/>
    <n v="12000"/>
    <d v="2023-06-13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6-13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6-13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17802"/>
    <x v="16"/>
    <n v="7800"/>
    <d v="2023-06-13T00:00:00"/>
    <x v="31"/>
    <x v="31"/>
    <n v="4.2560000000000002E-3"/>
    <n v="33.196800000000003"/>
    <s v="BR"/>
    <x v="5"/>
    <x v="5"/>
    <s v="Q2"/>
    <n v="143"/>
    <n v="54.545454545454547"/>
    <s v="MG Sticks"/>
    <n v="0.93"/>
    <n v="7254"/>
    <n v="30.873024000000004"/>
    <n v="50.727272727272734"/>
  </r>
  <r>
    <n v="67465063"/>
    <x v="15"/>
    <n v="3600"/>
    <d v="2023-06-13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13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3600"/>
    <d v="2023-06-13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4500"/>
    <d v="2023-06-13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76560"/>
    <x v="15"/>
    <n v="3600"/>
    <d v="2023-06-13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901583"/>
    <x v="15"/>
    <n v="12000"/>
    <d v="2023-06-13T00:00:00"/>
    <x v="50"/>
    <x v="11"/>
    <n v="8.5199999999999998E-3"/>
    <n v="102.24"/>
    <s v="BR"/>
    <x v="5"/>
    <x v="6"/>
    <s v="Q2"/>
    <n v="154"/>
    <n v="77.922077922077918"/>
    <s v="48oz"/>
    <n v="0.95"/>
    <n v="11400"/>
    <n v="97.127999999999986"/>
    <n v="74.025974025974023"/>
  </r>
  <r>
    <n v="68188183"/>
    <x v="15"/>
    <n v="3000"/>
    <d v="2023-06-13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769685"/>
    <x v="15"/>
    <n v="1870"/>
    <d v="2023-06-13T00:00:00"/>
    <x v="259"/>
    <x v="23"/>
    <n v="8.5199999999999998E-3"/>
    <n v="15.932399999999999"/>
    <s v="BR"/>
    <x v="5"/>
    <x v="6"/>
    <s v="Q2"/>
    <n v="176"/>
    <n v="10.625"/>
    <s v="48oz"/>
    <n v="0.95"/>
    <n v="1776.5"/>
    <n v="15.135779999999999"/>
    <n v="10.09375"/>
  </r>
  <r>
    <n v="69568828"/>
    <x v="15"/>
    <n v="10800"/>
    <d v="2023-06-13T00:00:00"/>
    <x v="12"/>
    <x v="12"/>
    <n v="8.5199999999999998E-3"/>
    <n v="92.015999999999991"/>
    <s v="BR"/>
    <x v="5"/>
    <x v="6"/>
    <s v="Q2"/>
    <n v="176"/>
    <n v="61.363636363636367"/>
    <s v="48oz"/>
    <n v="0.95"/>
    <n v="10260"/>
    <n v="87.415199999999984"/>
    <n v="58.295454545454547"/>
  </r>
  <r>
    <n v="69671641"/>
    <x v="15"/>
    <n v="4800"/>
    <d v="2023-06-13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84143543"/>
    <x v="17"/>
    <n v="4160"/>
    <d v="2023-06-13T00:00:00"/>
    <x v="218"/>
    <x v="35"/>
    <n v="9.0848256361922702E-3"/>
    <n v="37.792874646559845"/>
    <s v="BJ"/>
    <x v="5"/>
    <x v="39"/>
    <s v="Q2"/>
    <n v="125"/>
    <n v="33.28"/>
    <s v="2.4 Gal"/>
    <n v="0.85"/>
    <n v="3536"/>
    <n v="32.123943449575869"/>
    <n v="28.288"/>
  </r>
  <r>
    <n v="84138391"/>
    <x v="17"/>
    <n v="75400"/>
    <d v="2023-06-13T00:00:00"/>
    <x v="84"/>
    <x v="33"/>
    <n v="3.7853439999999999E-3"/>
    <n v="285.41493759999997"/>
    <s v="BJ"/>
    <x v="5"/>
    <x v="15"/>
    <s v="Q2"/>
    <n v="240"/>
    <n v="314.16666666666669"/>
    <s v="BJ PTS"/>
    <n v="0.9"/>
    <n v="67860"/>
    <n v="256.87344383999999"/>
    <n v="282.75"/>
  </r>
  <r>
    <n v="67465063"/>
    <x v="15"/>
    <n v="2568"/>
    <d v="2023-06-14T00:00:00"/>
    <x v="3"/>
    <x v="40"/>
    <n v="5.2680000000000001E-3"/>
    <n v="13.528224"/>
    <s v="PS"/>
    <x v="5"/>
    <x v="3"/>
    <s v="Q2"/>
    <n v="130"/>
    <n v="19.753846153846155"/>
    <s v="PG"/>
    <n v="0.9"/>
    <n v="2311.2000000000003"/>
    <n v="12.175401600000001"/>
    <n v="17.778461538461539"/>
  </r>
  <r>
    <n v="69700048"/>
    <x v="15"/>
    <n v="6000"/>
    <d v="2023-06-14T00:00:00"/>
    <x v="288"/>
    <x v="24"/>
    <n v="2.3469132803553457E-3"/>
    <n v="14.081479682132073"/>
    <s v="GH"/>
    <x v="5"/>
    <x v="4"/>
    <s v="Q2"/>
    <n v="350"/>
    <n v="17.142857142857142"/>
    <s v="MBG"/>
    <n v="0.87"/>
    <n v="5220"/>
    <n v="12.250887323454904"/>
    <n v="14.914285714285715"/>
  </r>
  <r>
    <n v="67885719"/>
    <x v="16"/>
    <n v="23400"/>
    <d v="2023-06-14T00:00:00"/>
    <x v="11"/>
    <x v="32"/>
    <n v="8.5199999999999998E-3"/>
    <n v="199.36799999999999"/>
    <s v="BR"/>
    <x v="5"/>
    <x v="2"/>
    <s v="Q2"/>
    <n v="154"/>
    <n v="151.94805194805195"/>
    <s v="48oz"/>
    <n v="0.95"/>
    <n v="22230"/>
    <n v="189.39959999999999"/>
    <n v="144.35064935064935"/>
  </r>
  <r>
    <n v="68649095"/>
    <x v="16"/>
    <n v="22800"/>
    <d v="2023-06-14T00:00:00"/>
    <x v="286"/>
    <x v="15"/>
    <n v="3.5999999999999999E-3"/>
    <n v="82.08"/>
    <s v="BJ"/>
    <x v="5"/>
    <x v="19"/>
    <s v="Q2"/>
    <n v="240"/>
    <n v="95"/>
    <s v="TOPPED"/>
    <n v="0.91"/>
    <n v="20748"/>
    <n v="74.692800000000005"/>
    <n v="86.45"/>
  </r>
  <r>
    <n v="68741742"/>
    <x v="16"/>
    <n v="5400"/>
    <d v="2023-06-14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21728"/>
    <x v="16"/>
    <n v="13200"/>
    <d v="2023-06-14T00:00:00"/>
    <x v="35"/>
    <x v="2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8922011"/>
    <x v="16"/>
    <n v="15000"/>
    <d v="2023-06-14T00:00:00"/>
    <x v="261"/>
    <x v="22"/>
    <n v="3.7853440000000004E-3"/>
    <n v="56.780160000000002"/>
    <s v="TA"/>
    <x v="5"/>
    <x v="10"/>
    <s v="Q2"/>
    <n v="255"/>
    <n v="58.823529411764703"/>
    <s v="TALENTI"/>
    <n v="0.94"/>
    <n v="14100"/>
    <n v="53.3733504"/>
    <n v="55.294117647058819"/>
  </r>
  <r>
    <n v="69568965"/>
    <x v="16"/>
    <n v="13200"/>
    <d v="2023-06-14T00:00:00"/>
    <x v="298"/>
    <x v="13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9572544"/>
    <x v="16"/>
    <n v="6800"/>
    <d v="2023-06-14T00:00:00"/>
    <x v="171"/>
    <x v="14"/>
    <n v="1.9740000000000001E-3"/>
    <n v="13.4232"/>
    <s v="MG"/>
    <x v="5"/>
    <x v="5"/>
    <s v="Q2"/>
    <n v="176"/>
    <n v="38.636363636363633"/>
    <s v="MG Sticks"/>
    <n v="0.93"/>
    <n v="6324"/>
    <n v="12.483576000000001"/>
    <n v="35.93181818181818"/>
  </r>
  <r>
    <n v="69572657"/>
    <x v="16"/>
    <n v="12000"/>
    <d v="2023-06-14T00:00:00"/>
    <x v="30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6-14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6-14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691790"/>
    <x v="16"/>
    <n v="17100"/>
    <d v="2023-06-14T00:00:00"/>
    <x v="212"/>
    <x v="21"/>
    <n v="3.7839999999999996E-3"/>
    <n v="64.706399999999988"/>
    <s v="TA"/>
    <x v="5"/>
    <x v="10"/>
    <s v="Q2"/>
    <n v="255"/>
    <n v="67.058823529411768"/>
    <s v="TALENTI"/>
    <n v="0.94"/>
    <n v="16073.999999999998"/>
    <n v="60.824015999999986"/>
    <n v="63.035294117647055"/>
  </r>
  <r>
    <n v="69717802"/>
    <x v="16"/>
    <n v="5200"/>
    <d v="2023-06-14T00:00:00"/>
    <x v="31"/>
    <x v="31"/>
    <n v="4.2560000000000002E-3"/>
    <n v="22.1312"/>
    <s v="BR"/>
    <x v="5"/>
    <x v="5"/>
    <s v="Q2"/>
    <n v="143"/>
    <n v="36.363636363636367"/>
    <s v="MG Sticks"/>
    <n v="0.93"/>
    <n v="4836"/>
    <n v="20.582015999999999"/>
    <n v="33.81818181818182"/>
  </r>
  <r>
    <n v="67309843"/>
    <x v="15"/>
    <n v="10700"/>
    <d v="2023-06-14T00:00:00"/>
    <x v="88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7465063"/>
    <x v="15"/>
    <n v="3600"/>
    <d v="2023-06-14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14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3600"/>
    <d v="2023-06-14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4500"/>
    <d v="2023-06-14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76560"/>
    <x v="15"/>
    <n v="3600"/>
    <d v="2023-06-14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901583"/>
    <x v="15"/>
    <n v="12000"/>
    <d v="2023-06-14T00:00:00"/>
    <x v="50"/>
    <x v="11"/>
    <n v="8.5199999999999998E-3"/>
    <n v="102.24"/>
    <s v="BR"/>
    <x v="5"/>
    <x v="6"/>
    <s v="Q2"/>
    <n v="154"/>
    <n v="77.922077922077918"/>
    <s v="48oz"/>
    <n v="0.95"/>
    <n v="11400"/>
    <n v="97.127999999999986"/>
    <n v="74.025974025974023"/>
  </r>
  <r>
    <n v="68188183"/>
    <x v="15"/>
    <n v="3000"/>
    <d v="2023-06-14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769685"/>
    <x v="15"/>
    <n v="11200"/>
    <d v="2023-06-14T00:00:00"/>
    <x v="259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69568828"/>
    <x v="15"/>
    <n v="10800"/>
    <d v="2023-06-14T00:00:00"/>
    <x v="12"/>
    <x v="12"/>
    <n v="8.5199999999999998E-3"/>
    <n v="92.015999999999991"/>
    <s v="BR"/>
    <x v="5"/>
    <x v="6"/>
    <s v="Q2"/>
    <n v="176"/>
    <n v="61.363636363636367"/>
    <s v="48oz"/>
    <n v="0.95"/>
    <n v="10260"/>
    <n v="87.415199999999984"/>
    <n v="58.295454545454547"/>
  </r>
  <r>
    <n v="69671641"/>
    <x v="15"/>
    <n v="4800"/>
    <d v="2023-06-14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84135795"/>
    <x v="17"/>
    <n v="6240"/>
    <d v="2023-06-14T00:00:00"/>
    <x v="265"/>
    <x v="35"/>
    <n v="9.0848256361922702E-3"/>
    <n v="56.689311969839764"/>
    <s v="BJ"/>
    <x v="5"/>
    <x v="39"/>
    <s v="Q2"/>
    <n v="125"/>
    <n v="49.92"/>
    <s v="2.4 Gal"/>
    <n v="0.85"/>
    <n v="5304"/>
    <n v="48.185915174363799"/>
    <n v="42.432000000000002"/>
  </r>
  <r>
    <n v="67430513"/>
    <x v="17"/>
    <n v="104000"/>
    <d v="2023-06-14T00:00:00"/>
    <x v="119"/>
    <x v="38"/>
    <n v="3.7839999999999996E-3"/>
    <n v="393.53599999999994"/>
    <s v="BJ"/>
    <x v="5"/>
    <x v="15"/>
    <s v="Q2"/>
    <n v="240"/>
    <n v="433.33333333333331"/>
    <s v="BJ PTS"/>
    <n v="0.9"/>
    <n v="93600"/>
    <n v="354.18239999999997"/>
    <n v="390"/>
  </r>
  <r>
    <n v="67465063"/>
    <x v="15"/>
    <n v="2568"/>
    <d v="2023-06-15T00:00:00"/>
    <x v="3"/>
    <x v="40"/>
    <n v="5.2680000000000001E-3"/>
    <n v="13.528224"/>
    <s v="PS"/>
    <x v="5"/>
    <x v="3"/>
    <s v="Q2"/>
    <n v="130"/>
    <n v="19.753846153846155"/>
    <s v="PG"/>
    <n v="0.9"/>
    <n v="2311.2000000000003"/>
    <n v="12.175401600000001"/>
    <n v="17.778461538461539"/>
  </r>
  <r>
    <n v="67901583"/>
    <x v="15"/>
    <n v="4000"/>
    <d v="2023-06-15T00:00:00"/>
    <x v="50"/>
    <x v="11"/>
    <n v="8.5199999999999998E-3"/>
    <n v="34.08"/>
    <s v="BR"/>
    <x v="5"/>
    <x v="6"/>
    <s v="Q2"/>
    <n v="154"/>
    <n v="25.974025974025974"/>
    <s v="48oz"/>
    <n v="0.95"/>
    <n v="3800"/>
    <n v="32.375999999999998"/>
    <n v="24.675324675324674"/>
  </r>
  <r>
    <n v="68850684"/>
    <x v="15"/>
    <n v="5500"/>
    <d v="2023-06-15T00:00:00"/>
    <x v="354"/>
    <x v="11"/>
    <n v="8.5199999999999998E-3"/>
    <n v="46.86"/>
    <s v="BR"/>
    <x v="5"/>
    <x v="6"/>
    <s v="Q2"/>
    <n v="176"/>
    <n v="31.25"/>
    <s v="48oz"/>
    <n v="0.95"/>
    <n v="5225"/>
    <n v="44.516999999999996"/>
    <n v="29.6875"/>
  </r>
  <r>
    <n v="69568828"/>
    <x v="15"/>
    <n v="7560"/>
    <d v="2023-06-15T00:00:00"/>
    <x v="12"/>
    <x v="12"/>
    <n v="8.5199999999999998E-3"/>
    <n v="64.411199999999994"/>
    <s v="BR"/>
    <x v="5"/>
    <x v="6"/>
    <s v="Q2"/>
    <n v="176"/>
    <n v="42.954545454545453"/>
    <s v="48oz"/>
    <n v="0.95"/>
    <n v="7182"/>
    <n v="61.190639999999988"/>
    <n v="40.80681818181818"/>
  </r>
  <r>
    <n v="69671641"/>
    <x v="15"/>
    <n v="2400"/>
    <d v="2023-06-15T00:00:00"/>
    <x v="260"/>
    <x v="4"/>
    <n v="3.9039999999999999E-3"/>
    <n v="9.3696000000000002"/>
    <s v="GH"/>
    <x v="5"/>
    <x v="4"/>
    <s v="Q2"/>
    <n v="154"/>
    <n v="15.584415584415584"/>
    <s v="MBG"/>
    <n v="0.87"/>
    <n v="2088"/>
    <n v="8.1515520000000006"/>
    <n v="13.558441558441558"/>
  </r>
  <r>
    <n v="69700048"/>
    <x v="15"/>
    <n v="3000"/>
    <d v="2023-06-15T00:00:00"/>
    <x v="288"/>
    <x v="24"/>
    <n v="2.3469132803553457E-3"/>
    <n v="7.0407398410660367"/>
    <s v="GH"/>
    <x v="5"/>
    <x v="4"/>
    <s v="Q2"/>
    <n v="350"/>
    <n v="8.5714285714285712"/>
    <s v="MBG"/>
    <n v="0.87"/>
    <n v="2610"/>
    <n v="6.1254436617274521"/>
    <n v="7.4571428571428573"/>
  </r>
  <r>
    <n v="67885719"/>
    <x v="16"/>
    <n v="17550"/>
    <d v="2023-06-15T00:00:00"/>
    <x v="11"/>
    <x v="32"/>
    <n v="8.5199999999999998E-3"/>
    <n v="149.52600000000001"/>
    <s v="BR"/>
    <x v="5"/>
    <x v="2"/>
    <s v="Q2"/>
    <n v="154"/>
    <n v="113.96103896103897"/>
    <s v="48oz"/>
    <n v="0.95"/>
    <n v="16672.5"/>
    <n v="142.0497"/>
    <n v="108.26298701298701"/>
  </r>
  <r>
    <n v="68741742"/>
    <x v="16"/>
    <n v="2700"/>
    <d v="2023-06-15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8821728"/>
    <x v="16"/>
    <n v="9900"/>
    <d v="2023-06-15T00:00:00"/>
    <x v="35"/>
    <x v="2"/>
    <n v="8.5199999999999998E-3"/>
    <n v="84.347999999999999"/>
    <s v="BR"/>
    <x v="5"/>
    <x v="2"/>
    <s v="Q2"/>
    <n v="176"/>
    <n v="56.25"/>
    <s v="48oz"/>
    <n v="0.95"/>
    <n v="9405"/>
    <n v="80.130600000000001"/>
    <n v="53.4375"/>
  </r>
  <r>
    <n v="68922011"/>
    <x v="16"/>
    <n v="15000"/>
    <d v="2023-06-15T00:00:00"/>
    <x v="261"/>
    <x v="22"/>
    <n v="3.7853440000000004E-3"/>
    <n v="56.780160000000002"/>
    <s v="TA"/>
    <x v="5"/>
    <x v="10"/>
    <s v="Q2"/>
    <n v="255"/>
    <n v="58.823529411764703"/>
    <s v="TALENTI"/>
    <n v="0.94"/>
    <n v="14100"/>
    <n v="53.3733504"/>
    <n v="55.294117647058819"/>
  </r>
  <r>
    <n v="68938272"/>
    <x v="16"/>
    <n v="9500"/>
    <d v="2023-06-15T00:00:00"/>
    <x v="293"/>
    <x v="15"/>
    <n v="3.5999999999999999E-3"/>
    <n v="34.199999999999996"/>
    <s v="BJ"/>
    <x v="5"/>
    <x v="19"/>
    <s v="Q2"/>
    <n v="240"/>
    <n v="39.583333333333336"/>
    <s v="TOPPED"/>
    <n v="0.91"/>
    <n v="8645"/>
    <n v="31.121999999999996"/>
    <n v="36.020833333333336"/>
  </r>
  <r>
    <n v="69568965"/>
    <x v="16"/>
    <n v="9900"/>
    <d v="2023-06-15T00:00:00"/>
    <x v="298"/>
    <x v="13"/>
    <n v="8.5199999999999998E-3"/>
    <n v="84.347999999999999"/>
    <s v="BR"/>
    <x v="5"/>
    <x v="2"/>
    <s v="Q2"/>
    <n v="176"/>
    <n v="56.25"/>
    <s v="48oz"/>
    <n v="0.95"/>
    <n v="9405"/>
    <n v="80.130600000000001"/>
    <n v="53.4375"/>
  </r>
  <r>
    <n v="69572544"/>
    <x v="16"/>
    <n v="10200"/>
    <d v="2023-06-15T00:00:00"/>
    <x v="171"/>
    <x v="14"/>
    <n v="1.9740000000000001E-3"/>
    <n v="20.134800000000002"/>
    <s v="MG"/>
    <x v="5"/>
    <x v="5"/>
    <s v="Q2"/>
    <n v="176"/>
    <n v="57.954545454545453"/>
    <s v="MG Sticks"/>
    <n v="0.93"/>
    <n v="9486"/>
    <n v="18.725364000000003"/>
    <n v="53.897727272727273"/>
  </r>
  <r>
    <n v="69572657"/>
    <x v="16"/>
    <n v="8000"/>
    <d v="2023-06-15T00:00:00"/>
    <x v="306"/>
    <x v="5"/>
    <n v="2.1520000000000003E-3"/>
    <n v="17.216000000000001"/>
    <s v="MG"/>
    <x v="5"/>
    <x v="5"/>
    <s v="Q2"/>
    <n v="210"/>
    <n v="38.095238095238095"/>
    <s v="MG Sticks"/>
    <n v="0.93"/>
    <n v="7440"/>
    <n v="16.01088"/>
    <n v="35.428571428571431"/>
  </r>
  <r>
    <n v="69621212"/>
    <x v="16"/>
    <n v="5400"/>
    <d v="2023-06-15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2700"/>
    <d v="2023-06-15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691790"/>
    <x v="16"/>
    <n v="11400"/>
    <d v="2023-06-15T00:00:00"/>
    <x v="212"/>
    <x v="21"/>
    <n v="3.7839999999999996E-3"/>
    <n v="43.137599999999992"/>
    <s v="TA"/>
    <x v="5"/>
    <x v="10"/>
    <s v="Q2"/>
    <n v="255"/>
    <n v="44.705882352941174"/>
    <s v="TALENTI"/>
    <n v="0.94"/>
    <n v="10716"/>
    <n v="40.549343999999991"/>
    <n v="42.023529411764699"/>
  </r>
  <r>
    <n v="69717802"/>
    <x v="16"/>
    <n v="7800"/>
    <d v="2023-06-15T00:00:00"/>
    <x v="31"/>
    <x v="31"/>
    <n v="4.2560000000000002E-3"/>
    <n v="33.196800000000003"/>
    <s v="BR"/>
    <x v="5"/>
    <x v="5"/>
    <s v="Q2"/>
    <n v="143"/>
    <n v="54.545454545454547"/>
    <s v="MG Sticks"/>
    <n v="0.93"/>
    <n v="7254"/>
    <n v="30.873024000000004"/>
    <n v="50.727272727272734"/>
  </r>
  <r>
    <n v="84139971"/>
    <x v="17"/>
    <n v="6240"/>
    <d v="2023-06-15T00:00:00"/>
    <x v="329"/>
    <x v="35"/>
    <n v="9.0848256361922702E-3"/>
    <n v="56.689311969839764"/>
    <s v="BJ"/>
    <x v="5"/>
    <x v="39"/>
    <s v="Q2"/>
    <n v="125"/>
    <n v="49.92"/>
    <s v="2.4 Gal"/>
    <n v="0.85"/>
    <n v="5304"/>
    <n v="48.185915174363799"/>
    <n v="42.432000000000002"/>
  </r>
  <r>
    <n v="67309843"/>
    <x v="15"/>
    <n v="10700"/>
    <d v="2023-06-15T00:00:00"/>
    <x v="88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7465063"/>
    <x v="15"/>
    <n v="3600"/>
    <d v="2023-06-15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15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3600"/>
    <d v="2023-06-15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4500"/>
    <d v="2023-06-15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76560"/>
    <x v="15"/>
    <n v="3600"/>
    <d v="2023-06-15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188183"/>
    <x v="15"/>
    <n v="3000"/>
    <d v="2023-06-15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769685"/>
    <x v="15"/>
    <n v="11200"/>
    <d v="2023-06-15T00:00:00"/>
    <x v="259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84138346"/>
    <x v="17"/>
    <n v="6240"/>
    <d v="2023-06-15T00:00:00"/>
    <x v="276"/>
    <x v="35"/>
    <n v="9.0848256361922702E-3"/>
    <n v="56.689311969839764"/>
    <s v="BJ"/>
    <x v="5"/>
    <x v="39"/>
    <s v="Q2"/>
    <n v="125"/>
    <n v="49.92"/>
    <s v="2.4 Gal"/>
    <n v="0.85"/>
    <n v="5304"/>
    <n v="48.185915174363799"/>
    <n v="42.432000000000002"/>
  </r>
  <r>
    <n v="67794167"/>
    <x v="18"/>
    <n v="51150"/>
    <d v="2023-06-15T00:00:00"/>
    <x v="176"/>
    <x v="35"/>
    <n v="3.7853439999999999E-3"/>
    <n v="193.62034560000001"/>
    <s v="BJ"/>
    <x v="5"/>
    <x v="36"/>
    <s v="Q2"/>
    <n v="240"/>
    <n v="213.125"/>
    <s v="BJ PTS"/>
    <n v="0.9"/>
    <n v="46035"/>
    <n v="174.25831104000002"/>
    <n v="191.8125"/>
  </r>
  <r>
    <n v="67465063"/>
    <x v="15"/>
    <n v="2568"/>
    <d v="2023-06-16T00:00:00"/>
    <x v="3"/>
    <x v="40"/>
    <n v="5.2680000000000001E-3"/>
    <n v="13.528224"/>
    <s v="PS"/>
    <x v="5"/>
    <x v="3"/>
    <s v="Q2"/>
    <n v="130"/>
    <n v="19.753846153846155"/>
    <s v="PG"/>
    <n v="0.9"/>
    <n v="2311.2000000000003"/>
    <n v="12.175401600000001"/>
    <n v="17.778461538461539"/>
  </r>
  <r>
    <n v="68188183"/>
    <x v="15"/>
    <n v="1500"/>
    <d v="2023-06-16T00:00:00"/>
    <x v="70"/>
    <x v="9"/>
    <n v="3.8340000000000002E-3"/>
    <n v="5.7510000000000003"/>
    <s v="PS"/>
    <x v="5"/>
    <x v="3"/>
    <s v="Q2"/>
    <n v="130"/>
    <n v="11.538461538461538"/>
    <s v="PG"/>
    <n v="0.9"/>
    <n v="1350"/>
    <n v="5.1759000000000004"/>
    <n v="10.384615384615385"/>
  </r>
  <r>
    <n v="68890246"/>
    <x v="15"/>
    <n v="10800"/>
    <d v="2023-06-16T00:00:00"/>
    <x v="250"/>
    <x v="12"/>
    <n v="5.1101999999999995E-2"/>
    <n v="551.90159999999992"/>
    <s v="BR"/>
    <x v="5"/>
    <x v="6"/>
    <s v="Q2"/>
    <n v="176"/>
    <n v="61.363636363636367"/>
    <s v="48oz"/>
    <n v="0.95"/>
    <n v="10260"/>
    <n v="524.30651999999986"/>
    <n v="58.295454545454547"/>
  </r>
  <r>
    <n v="69700048"/>
    <x v="15"/>
    <n v="6000"/>
    <d v="2023-06-16T00:00:00"/>
    <x v="288"/>
    <x v="24"/>
    <n v="2.3469132803553457E-3"/>
    <n v="14.081479682132073"/>
    <s v="GH"/>
    <x v="5"/>
    <x v="4"/>
    <s v="Q2"/>
    <n v="350"/>
    <n v="17.142857142857142"/>
    <s v="MBG"/>
    <n v="0.87"/>
    <n v="5220"/>
    <n v="12.250887323454904"/>
    <n v="14.914285714285715"/>
  </r>
  <r>
    <n v="67901593"/>
    <x v="16"/>
    <n v="23400"/>
    <d v="2023-06-16T00:00:00"/>
    <x v="68"/>
    <x v="32"/>
    <n v="8.5199999999999998E-3"/>
    <n v="199.36799999999999"/>
    <s v="BR"/>
    <x v="5"/>
    <x v="2"/>
    <s v="Q2"/>
    <n v="154"/>
    <n v="151.94805194805195"/>
    <s v="48oz"/>
    <n v="0.95"/>
    <n v="22230"/>
    <n v="189.39959999999999"/>
    <n v="144.35064935064935"/>
  </r>
  <r>
    <n v="68356102"/>
    <x v="16"/>
    <n v="13200"/>
    <d v="2023-06-16T00:00:00"/>
    <x v="13"/>
    <x v="13"/>
    <n v="8.513999999999999E-3"/>
    <n v="112.38479999999998"/>
    <s v="BR"/>
    <x v="5"/>
    <x v="2"/>
    <s v="Q2"/>
    <n v="154"/>
    <n v="85.714285714285708"/>
    <s v="48oz"/>
    <n v="0.95"/>
    <n v="12540"/>
    <n v="106.76555999999998"/>
    <n v="81.428571428571416"/>
  </r>
  <r>
    <n v="68728321"/>
    <x v="16"/>
    <n v="2500"/>
    <d v="2023-06-16T00:00:00"/>
    <x v="150"/>
    <x v="22"/>
    <n v="3.7853439999999999E-3"/>
    <n v="9.4633599999999998"/>
    <s v="TA"/>
    <x v="5"/>
    <x v="10"/>
    <s v="Q2"/>
    <n v="255"/>
    <n v="9.8039215686274517"/>
    <s v="TALENTI"/>
    <n v="0.94"/>
    <n v="2350"/>
    <n v="8.8955583999999988"/>
    <n v="9.2156862745098049"/>
  </r>
  <r>
    <n v="68729679"/>
    <x v="16"/>
    <n v="17100"/>
    <d v="2023-06-16T00:00:00"/>
    <x v="127"/>
    <x v="21"/>
    <n v="3.7853440000000004E-3"/>
    <n v="64.729382400000006"/>
    <s v="TA"/>
    <x v="5"/>
    <x v="10"/>
    <s v="Q2"/>
    <n v="255"/>
    <n v="67.058823529411768"/>
    <s v="TALENTI"/>
    <n v="0.94"/>
    <n v="16073.999999999998"/>
    <n v="60.845619456000001"/>
    <n v="63.035294117647055"/>
  </r>
  <r>
    <n v="68741742"/>
    <x v="16"/>
    <n v="5400"/>
    <d v="2023-06-16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81270"/>
    <x v="16"/>
    <n v="13200"/>
    <d v="2023-06-16T00:00:00"/>
    <x v="91"/>
    <x v="2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8922011"/>
    <x v="16"/>
    <n v="7500"/>
    <d v="2023-06-16T00:00:00"/>
    <x v="261"/>
    <x v="22"/>
    <n v="3.7853440000000004E-3"/>
    <n v="28.390080000000001"/>
    <s v="TA"/>
    <x v="5"/>
    <x v="10"/>
    <s v="Q2"/>
    <n v="255"/>
    <n v="29.411764705882351"/>
    <s v="TALENTI"/>
    <n v="0.94"/>
    <n v="7050"/>
    <n v="26.6866752"/>
    <n v="27.647058823529409"/>
  </r>
  <r>
    <n v="68938272"/>
    <x v="16"/>
    <n v="17100"/>
    <d v="2023-06-16T00:00:00"/>
    <x v="293"/>
    <x v="15"/>
    <n v="3.5999999999999999E-3"/>
    <n v="61.559999999999995"/>
    <s v="BJ"/>
    <x v="5"/>
    <x v="19"/>
    <s v="Q2"/>
    <n v="240"/>
    <n v="71.25"/>
    <s v="TOPPED"/>
    <n v="0.91"/>
    <n v="15561"/>
    <n v="56.019599999999997"/>
    <n v="64.837500000000006"/>
  </r>
  <r>
    <n v="69572544"/>
    <x v="16"/>
    <n v="7650"/>
    <d v="2023-06-16T00:00:00"/>
    <x v="171"/>
    <x v="14"/>
    <n v="1.9740000000000001E-3"/>
    <n v="15.101100000000001"/>
    <s v="MG"/>
    <x v="5"/>
    <x v="5"/>
    <s v="Q2"/>
    <n v="176"/>
    <n v="43.465909090909093"/>
    <s v="MG Sticks"/>
    <n v="0.93"/>
    <n v="7114.5"/>
    <n v="14.044023000000001"/>
    <n v="40.42329545454546"/>
  </r>
  <r>
    <n v="69572659"/>
    <x v="16"/>
    <n v="12000"/>
    <d v="2023-06-16T00:00:00"/>
    <x v="5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6-16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6-16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17802"/>
    <x v="16"/>
    <n v="5850"/>
    <d v="2023-06-16T00:00:00"/>
    <x v="31"/>
    <x v="31"/>
    <n v="4.2560000000000002E-3"/>
    <n v="24.897600000000001"/>
    <s v="BR"/>
    <x v="5"/>
    <x v="5"/>
    <s v="Q2"/>
    <n v="143"/>
    <n v="40.909090909090907"/>
    <s v="MG Sticks"/>
    <n v="0.93"/>
    <n v="5440.5"/>
    <n v="23.154768000000001"/>
    <n v="38.045454545454547"/>
  </r>
  <r>
    <n v="68354578"/>
    <x v="17"/>
    <n v="6240"/>
    <d v="2023-06-16T00:00:00"/>
    <x v="318"/>
    <x v="35"/>
    <n v="9.0848256361922702E-3"/>
    <n v="56.689311969839764"/>
    <s v="BJ"/>
    <x v="5"/>
    <x v="39"/>
    <s v="Q2"/>
    <n v="125"/>
    <n v="49.92"/>
    <s v="2.4 Gal"/>
    <n v="0.85"/>
    <n v="5304"/>
    <n v="48.185915174363799"/>
    <n v="42.432000000000002"/>
  </r>
  <r>
    <n v="67309843"/>
    <x v="15"/>
    <n v="10700"/>
    <d v="2023-06-16T00:00:00"/>
    <x v="88"/>
    <x v="16"/>
    <n v="8.5199999999999998E-3"/>
    <n v="91.164000000000001"/>
    <s v="BR"/>
    <x v="5"/>
    <x v="6"/>
    <s v="Q2"/>
    <n v="154"/>
    <n v="69.480519480519476"/>
    <s v="48oz"/>
    <n v="0.95"/>
    <n v="10165"/>
    <n v="86.605800000000002"/>
    <n v="66.006493506493499"/>
  </r>
  <r>
    <n v="67465063"/>
    <x v="15"/>
    <n v="3600"/>
    <d v="2023-06-16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16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3600"/>
    <d v="2023-06-16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4500"/>
    <d v="2023-06-16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76560"/>
    <x v="15"/>
    <n v="3600"/>
    <d v="2023-06-16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769685"/>
    <x v="15"/>
    <n v="11200"/>
    <d v="2023-06-16T00:00:00"/>
    <x v="259"/>
    <x v="23"/>
    <n v="8.5199999999999998E-3"/>
    <n v="95.423999999999992"/>
    <s v="BR"/>
    <x v="5"/>
    <x v="6"/>
    <s v="Q2"/>
    <n v="176"/>
    <n v="63.636363636363633"/>
    <s v="48oz"/>
    <n v="0.95"/>
    <n v="10640"/>
    <n v="90.652799999999985"/>
    <n v="60.454545454545446"/>
  </r>
  <r>
    <n v="69568829"/>
    <x v="15"/>
    <n v="12000"/>
    <d v="2023-06-16T00:00:00"/>
    <x v="66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71641"/>
    <x v="15"/>
    <n v="2400"/>
    <d v="2023-06-16T00:00:00"/>
    <x v="260"/>
    <x v="4"/>
    <n v="3.9039999999999999E-3"/>
    <n v="9.3696000000000002"/>
    <s v="GH"/>
    <x v="5"/>
    <x v="4"/>
    <s v="Q2"/>
    <n v="154"/>
    <n v="15.584415584415584"/>
    <s v="MBG"/>
    <n v="0.87"/>
    <n v="2088"/>
    <n v="8.1515520000000006"/>
    <n v="13.558441558441558"/>
  </r>
  <r>
    <n v="69700048"/>
    <x v="15"/>
    <n v="6000"/>
    <d v="2023-06-17T00:00:00"/>
    <x v="288"/>
    <x v="24"/>
    <n v="2.3469132803553457E-3"/>
    <n v="14.081479682132073"/>
    <s v="GH"/>
    <x v="5"/>
    <x v="4"/>
    <s v="Q2"/>
    <n v="350"/>
    <n v="17.142857142857142"/>
    <s v="MBG"/>
    <n v="0.87"/>
    <n v="5220"/>
    <n v="12.250887323454904"/>
    <n v="14.914285714285715"/>
  </r>
  <r>
    <n v="67901593"/>
    <x v="16"/>
    <n v="23400"/>
    <d v="2023-06-17T00:00:00"/>
    <x v="68"/>
    <x v="32"/>
    <n v="8.5199999999999998E-3"/>
    <n v="199.36799999999999"/>
    <s v="BR"/>
    <x v="5"/>
    <x v="2"/>
    <s v="Q2"/>
    <n v="154"/>
    <n v="151.94805194805195"/>
    <s v="48oz"/>
    <n v="0.95"/>
    <n v="22230"/>
    <n v="189.39959999999999"/>
    <n v="144.35064935064935"/>
  </r>
  <r>
    <n v="68356102"/>
    <x v="16"/>
    <n v="13200"/>
    <d v="2023-06-17T00:00:00"/>
    <x v="13"/>
    <x v="13"/>
    <n v="8.513999999999999E-3"/>
    <n v="112.38479999999998"/>
    <s v="BR"/>
    <x v="5"/>
    <x v="2"/>
    <s v="Q2"/>
    <n v="154"/>
    <n v="85.714285714285708"/>
    <s v="48oz"/>
    <n v="0.95"/>
    <n v="12540"/>
    <n v="106.76555999999998"/>
    <n v="81.428571428571416"/>
  </r>
  <r>
    <n v="68728321"/>
    <x v="16"/>
    <n v="15000"/>
    <d v="2023-06-17T00:00:00"/>
    <x v="150"/>
    <x v="22"/>
    <n v="3.7853439999999999E-3"/>
    <n v="56.780160000000002"/>
    <s v="TA"/>
    <x v="5"/>
    <x v="10"/>
    <s v="Q2"/>
    <n v="255"/>
    <n v="58.823529411764703"/>
    <s v="TALENTI"/>
    <n v="0.94"/>
    <n v="14100"/>
    <n v="53.3733504"/>
    <n v="55.294117647058819"/>
  </r>
  <r>
    <n v="68729679"/>
    <x v="16"/>
    <n v="17100"/>
    <d v="2023-06-17T00:00:00"/>
    <x v="127"/>
    <x v="21"/>
    <n v="3.7853440000000004E-3"/>
    <n v="64.729382400000006"/>
    <s v="TA"/>
    <x v="5"/>
    <x v="10"/>
    <s v="Q2"/>
    <n v="255"/>
    <n v="67.058823529411768"/>
    <s v="TALENTI"/>
    <n v="0.94"/>
    <n v="16073.999999999998"/>
    <n v="60.845619456000001"/>
    <n v="63.035294117647055"/>
  </r>
  <r>
    <n v="68741742"/>
    <x v="16"/>
    <n v="5400"/>
    <d v="2023-06-17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81270"/>
    <x v="16"/>
    <n v="13200"/>
    <d v="2023-06-17T00:00:00"/>
    <x v="91"/>
    <x v="2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9572659"/>
    <x v="16"/>
    <n v="12000"/>
    <d v="2023-06-17T00:00:00"/>
    <x v="5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21212"/>
    <x v="16"/>
    <n v="5400"/>
    <d v="2023-06-17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6-17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7465063"/>
    <x v="15"/>
    <n v="3600"/>
    <d v="2023-06-17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3600"/>
    <d v="2023-06-17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17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890246"/>
    <x v="15"/>
    <n v="10800"/>
    <d v="2023-06-17T00:00:00"/>
    <x v="250"/>
    <x v="12"/>
    <n v="5.1101999999999995E-2"/>
    <n v="551.90159999999992"/>
    <s v="BR"/>
    <x v="5"/>
    <x v="6"/>
    <s v="Q2"/>
    <n v="176"/>
    <n v="61.363636363636367"/>
    <s v="48oz"/>
    <n v="0.95"/>
    <n v="10260"/>
    <n v="524.30651999999986"/>
    <n v="58.295454545454547"/>
  </r>
  <r>
    <n v="69568829"/>
    <x v="15"/>
    <n v="12000"/>
    <d v="2023-06-17T00:00:00"/>
    <x v="66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71641"/>
    <x v="15"/>
    <n v="4800"/>
    <d v="2023-06-17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67465063"/>
    <x v="15"/>
    <n v="1800"/>
    <d v="2023-06-18T00:00:00"/>
    <x v="3"/>
    <x v="6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66492"/>
    <x v="15"/>
    <n v="1800"/>
    <d v="2023-06-18T00:00:00"/>
    <x v="8"/>
    <x v="8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76560"/>
    <x v="15"/>
    <n v="1800"/>
    <d v="2023-06-18T00:00:00"/>
    <x v="10"/>
    <x v="10"/>
    <n v="5.1060000000000003E-3"/>
    <n v="9.1908000000000012"/>
    <s v="PS"/>
    <x v="5"/>
    <x v="3"/>
    <s v="Q2"/>
    <n v="130"/>
    <n v="13.846153846153847"/>
    <s v="PG"/>
    <n v="0.9"/>
    <n v="1620"/>
    <n v="8.271720000000002"/>
    <n v="12.461538461538462"/>
  </r>
  <r>
    <n v="68890246"/>
    <x v="15"/>
    <n v="5400"/>
    <d v="2023-06-18T00:00:00"/>
    <x v="250"/>
    <x v="12"/>
    <n v="5.1101999999999995E-2"/>
    <n v="275.95079999999996"/>
    <s v="BR"/>
    <x v="5"/>
    <x v="6"/>
    <s v="Q2"/>
    <n v="176"/>
    <n v="30.681818181818183"/>
    <s v="48oz"/>
    <n v="0.95"/>
    <n v="5130"/>
    <n v="262.15325999999993"/>
    <n v="29.147727272727273"/>
  </r>
  <r>
    <n v="69568829"/>
    <x v="15"/>
    <n v="6000"/>
    <d v="2023-06-18T00:00:00"/>
    <x v="66"/>
    <x v="11"/>
    <n v="8.5199999999999998E-3"/>
    <n v="51.12"/>
    <s v="BR"/>
    <x v="5"/>
    <x v="6"/>
    <s v="Q2"/>
    <n v="176"/>
    <n v="34.090909090909093"/>
    <s v="48oz"/>
    <n v="0.95"/>
    <n v="5700"/>
    <n v="48.563999999999993"/>
    <n v="32.38636363636364"/>
  </r>
  <r>
    <n v="69671641"/>
    <x v="15"/>
    <n v="2400"/>
    <d v="2023-06-18T00:00:00"/>
    <x v="260"/>
    <x v="4"/>
    <n v="3.9039999999999999E-3"/>
    <n v="9.3696000000000002"/>
    <s v="GH"/>
    <x v="5"/>
    <x v="4"/>
    <s v="Q2"/>
    <n v="154"/>
    <n v="15.584415584415584"/>
    <s v="MBG"/>
    <n v="0.87"/>
    <n v="2088"/>
    <n v="8.1515520000000006"/>
    <n v="13.558441558441558"/>
  </r>
  <r>
    <n v="69700048"/>
    <x v="15"/>
    <n v="3000"/>
    <d v="2023-06-18T00:00:00"/>
    <x v="288"/>
    <x v="24"/>
    <n v="2.3469132803553457E-3"/>
    <n v="7.0407398410660367"/>
    <s v="GH"/>
    <x v="5"/>
    <x v="4"/>
    <s v="Q2"/>
    <n v="350"/>
    <n v="8.5714285714285712"/>
    <s v="MBG"/>
    <n v="0.87"/>
    <n v="2610"/>
    <n v="6.1254436617274521"/>
    <n v="7.4571428571428573"/>
  </r>
  <r>
    <n v="67901593"/>
    <x v="16"/>
    <n v="11700"/>
    <d v="2023-06-18T00:00:00"/>
    <x v="68"/>
    <x v="32"/>
    <n v="8.5199999999999998E-3"/>
    <n v="99.683999999999997"/>
    <s v="BR"/>
    <x v="5"/>
    <x v="2"/>
    <s v="Q2"/>
    <n v="154"/>
    <n v="75.974025974025977"/>
    <s v="48oz"/>
    <n v="0.95"/>
    <n v="11115"/>
    <n v="94.699799999999996"/>
    <n v="72.175324675324674"/>
  </r>
  <r>
    <n v="68728321"/>
    <x v="16"/>
    <n v="7500"/>
    <d v="2023-06-18T00:00:00"/>
    <x v="150"/>
    <x v="22"/>
    <n v="3.7853439999999999E-3"/>
    <n v="28.390080000000001"/>
    <s v="TA"/>
    <x v="5"/>
    <x v="10"/>
    <s v="Q2"/>
    <n v="255"/>
    <n v="29.411764705882351"/>
    <s v="TALENTI"/>
    <n v="0.94"/>
    <n v="7050"/>
    <n v="26.6866752"/>
    <n v="27.647058823529409"/>
  </r>
  <r>
    <n v="68729679"/>
    <x v="16"/>
    <n v="8550"/>
    <d v="2023-06-18T00:00:00"/>
    <x v="127"/>
    <x v="21"/>
    <n v="3.7853440000000004E-3"/>
    <n v="32.364691200000003"/>
    <s v="TA"/>
    <x v="5"/>
    <x v="10"/>
    <s v="Q2"/>
    <n v="255"/>
    <n v="33.529411764705884"/>
    <s v="TALENTI"/>
    <n v="0.94"/>
    <n v="8036.9999999999991"/>
    <n v="30.422809728000001"/>
    <n v="31.517647058823528"/>
  </r>
  <r>
    <n v="68741742"/>
    <x v="16"/>
    <n v="2700"/>
    <d v="2023-06-18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8821733"/>
    <x v="16"/>
    <n v="6600"/>
    <d v="2023-06-18T00:00:00"/>
    <x v="13"/>
    <x v="13"/>
    <n v="8.5199999999999998E-3"/>
    <n v="56.231999999999999"/>
    <s v="BR"/>
    <x v="5"/>
    <x v="2"/>
    <s v="Q2"/>
    <n v="176"/>
    <n v="37.5"/>
    <s v="48oz"/>
    <n v="0.95"/>
    <n v="6270"/>
    <n v="53.420399999999994"/>
    <n v="35.625"/>
  </r>
  <r>
    <n v="68881270"/>
    <x v="16"/>
    <n v="6600"/>
    <d v="2023-06-18T00:00:00"/>
    <x v="91"/>
    <x v="2"/>
    <n v="8.5199999999999998E-3"/>
    <n v="56.231999999999999"/>
    <s v="BR"/>
    <x v="5"/>
    <x v="2"/>
    <s v="Q2"/>
    <n v="176"/>
    <n v="37.5"/>
    <s v="48oz"/>
    <n v="0.95"/>
    <n v="6270"/>
    <n v="53.420399999999994"/>
    <n v="35.625"/>
  </r>
  <r>
    <n v="69572659"/>
    <x v="16"/>
    <n v="6000"/>
    <d v="2023-06-18T00:00:00"/>
    <x v="5"/>
    <x v="5"/>
    <n v="2.1520000000000003E-3"/>
    <n v="12.912000000000001"/>
    <s v="MG"/>
    <x v="5"/>
    <x v="5"/>
    <s v="Q2"/>
    <n v="210"/>
    <n v="28.571428571428573"/>
    <s v="MG Sticks"/>
    <n v="0.93"/>
    <n v="5580"/>
    <n v="12.008160000000002"/>
    <n v="26.571428571428573"/>
  </r>
  <r>
    <n v="69621212"/>
    <x v="16"/>
    <n v="2700"/>
    <d v="2023-06-18T00:00:00"/>
    <x v="29"/>
    <x v="28"/>
    <n v="5.2680000000000001E-3"/>
    <n v="14.223600000000001"/>
    <s v="PG"/>
    <x v="5"/>
    <x v="14"/>
    <s v="Q2"/>
    <n v="130"/>
    <n v="20.76923076923077"/>
    <s v="PG"/>
    <n v="0.9"/>
    <n v="2430"/>
    <n v="12.801240000000002"/>
    <n v="18.692307692307693"/>
  </r>
  <r>
    <n v="69677917"/>
    <x v="16"/>
    <n v="2700"/>
    <d v="2023-06-18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84138347"/>
    <x v="17"/>
    <n v="5720"/>
    <d v="2023-06-19T00:00:00"/>
    <x v="216"/>
    <x v="35"/>
    <n v="9.0848256361922702E-3"/>
    <n v="51.965202639019786"/>
    <s v="BJ"/>
    <x v="5"/>
    <x v="39"/>
    <s v="Q2"/>
    <n v="125"/>
    <n v="45.76"/>
    <s v="2.4 Gal"/>
    <n v="0.85"/>
    <n v="4862"/>
    <n v="44.170422243166819"/>
    <n v="38.896000000000001"/>
  </r>
  <r>
    <n v="84141102"/>
    <x v="18"/>
    <n v="107250"/>
    <d v="2023-06-19T00:00:00"/>
    <x v="217"/>
    <x v="38"/>
    <n v="3.7853439999999999E-3"/>
    <n v="405.97814399999999"/>
    <s v="BJ"/>
    <x v="5"/>
    <x v="36"/>
    <s v="Q2"/>
    <n v="240"/>
    <n v="446.875"/>
    <s v="BJ PTS"/>
    <n v="0.9"/>
    <n v="96525"/>
    <n v="365.38032959999998"/>
    <n v="402.1875"/>
  </r>
  <r>
    <n v="67309864"/>
    <x v="15"/>
    <n v="4800"/>
    <d v="2023-06-20T00:00:00"/>
    <x v="63"/>
    <x v="12"/>
    <n v="8.5199999999999998E-3"/>
    <n v="40.896000000000001"/>
    <s v="BR"/>
    <x v="5"/>
    <x v="6"/>
    <s v="Q2"/>
    <n v="154"/>
    <n v="31.168831168831169"/>
    <s v="48oz"/>
    <n v="0.95"/>
    <n v="4560"/>
    <n v="38.851199999999999"/>
    <n v="29.61038961038961"/>
  </r>
  <r>
    <n v="67465063"/>
    <x v="15"/>
    <n v="1713"/>
    <d v="2023-06-20T00:00:00"/>
    <x v="3"/>
    <x v="40"/>
    <n v="5.2680000000000001E-3"/>
    <n v="9.0240840000000002"/>
    <s v="PS"/>
    <x v="5"/>
    <x v="3"/>
    <s v="Q2"/>
    <n v="130"/>
    <n v="13.176923076923076"/>
    <s v="PG"/>
    <n v="0.9"/>
    <n v="1541.7"/>
    <n v="8.1216755999999997"/>
    <n v="11.859230769230768"/>
  </r>
  <r>
    <n v="67465063"/>
    <x v="15"/>
    <n v="1800"/>
    <d v="2023-06-20T00:00:00"/>
    <x v="3"/>
    <x v="6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66492"/>
    <x v="15"/>
    <n v="2250"/>
    <d v="2023-06-20T00:00:00"/>
    <x v="8"/>
    <x v="7"/>
    <n v="5.2680000000000001E-3"/>
    <n v="11.853"/>
    <s v="PS"/>
    <x v="5"/>
    <x v="3"/>
    <s v="Q2"/>
    <n v="130"/>
    <n v="17.307692307692307"/>
    <s v="PG"/>
    <n v="0.9"/>
    <n v="2025"/>
    <n v="10.6677"/>
    <n v="15.576923076923077"/>
  </r>
  <r>
    <n v="67466492"/>
    <x v="15"/>
    <n v="1800"/>
    <d v="2023-06-20T00:00:00"/>
    <x v="8"/>
    <x v="8"/>
    <n v="5.2680000000000001E-3"/>
    <n v="9.4824000000000002"/>
    <s v="PS"/>
    <x v="5"/>
    <x v="3"/>
    <s v="Q2"/>
    <n v="130"/>
    <n v="13.846153846153847"/>
    <s v="PG"/>
    <n v="0.9"/>
    <n v="1620"/>
    <n v="8.53416"/>
    <n v="12.461538461538462"/>
  </r>
  <r>
    <n v="67476560"/>
    <x v="15"/>
    <n v="1800"/>
    <d v="2023-06-20T00:00:00"/>
    <x v="10"/>
    <x v="10"/>
    <n v="5.1060000000000003E-3"/>
    <n v="9.1908000000000012"/>
    <s v="PS"/>
    <x v="5"/>
    <x v="3"/>
    <s v="Q2"/>
    <n v="130"/>
    <n v="13.846153846153847"/>
    <s v="PG"/>
    <n v="0.9"/>
    <n v="1620"/>
    <n v="8.271720000000002"/>
    <n v="12.461538461538462"/>
  </r>
  <r>
    <n v="67723726"/>
    <x v="15"/>
    <n v="5600"/>
    <d v="2023-06-20T00:00:00"/>
    <x v="109"/>
    <x v="23"/>
    <n v="8.5199999999999998E-3"/>
    <n v="47.711999999999996"/>
    <s v="BR"/>
    <x v="5"/>
    <x v="6"/>
    <s v="Q2"/>
    <n v="154"/>
    <n v="36.363636363636367"/>
    <s v="48oz"/>
    <n v="0.95"/>
    <n v="5320"/>
    <n v="45.326399999999992"/>
    <n v="34.545454545454547"/>
  </r>
  <r>
    <n v="68188183"/>
    <x v="15"/>
    <n v="1500"/>
    <d v="2023-06-20T00:00:00"/>
    <x v="70"/>
    <x v="9"/>
    <n v="3.8340000000000002E-3"/>
    <n v="5.7510000000000003"/>
    <s v="PS"/>
    <x v="5"/>
    <x v="3"/>
    <s v="Q2"/>
    <n v="130"/>
    <n v="11.538461538461538"/>
    <s v="PG"/>
    <n v="0.9"/>
    <n v="1350"/>
    <n v="5.1759000000000004"/>
    <n v="10.384615384615385"/>
  </r>
  <r>
    <n v="68634166"/>
    <x v="15"/>
    <n v="5350"/>
    <d v="2023-06-20T00:00:00"/>
    <x v="319"/>
    <x v="16"/>
    <n v="8.5170239596469108E-3"/>
    <n v="45.566078184110971"/>
    <s v="BR"/>
    <x v="5"/>
    <x v="6"/>
    <s v="Q2"/>
    <n v="154"/>
    <n v="34.740259740259738"/>
    <s v="48oz"/>
    <n v="0.95"/>
    <n v="5082.5"/>
    <n v="43.287774274905424"/>
    <n v="33.003246753246749"/>
  </r>
  <r>
    <n v="68741714"/>
    <x v="15"/>
    <n v="3450"/>
    <d v="2023-06-20T00:00:00"/>
    <x v="24"/>
    <x v="24"/>
    <n v="2.8319999999999999E-3"/>
    <n v="9.7704000000000004"/>
    <s v="GH"/>
    <x v="5"/>
    <x v="4"/>
    <s v="Q2"/>
    <n v="225"/>
    <n v="15.333333333333334"/>
    <s v="MBG"/>
    <n v="0.87"/>
    <n v="3001.5"/>
    <n v="8.5002480000000009"/>
    <n v="13.34"/>
  </r>
  <r>
    <n v="69568828"/>
    <x v="15"/>
    <n v="6000"/>
    <d v="2023-06-20T00:00:00"/>
    <x v="12"/>
    <x v="11"/>
    <n v="8.5199999999999998E-3"/>
    <n v="51.12"/>
    <s v="BR"/>
    <x v="5"/>
    <x v="6"/>
    <s v="Q2"/>
    <n v="176"/>
    <n v="34.090909090909093"/>
    <s v="48oz"/>
    <n v="0.95"/>
    <n v="5700"/>
    <n v="48.563999999999993"/>
    <n v="32.38636363636364"/>
  </r>
  <r>
    <n v="69671641"/>
    <x v="15"/>
    <n v="2400"/>
    <d v="2023-06-20T00:00:00"/>
    <x v="260"/>
    <x v="4"/>
    <n v="3.9039999999999999E-3"/>
    <n v="9.3696000000000002"/>
    <s v="GH"/>
    <x v="5"/>
    <x v="4"/>
    <s v="Q2"/>
    <n v="154"/>
    <n v="15.584415584415584"/>
    <s v="MBG"/>
    <n v="0.87"/>
    <n v="2088"/>
    <n v="8.1515520000000006"/>
    <n v="13.558441558441558"/>
  </r>
  <r>
    <n v="67309841"/>
    <x v="16"/>
    <n v="6600"/>
    <d v="2023-06-20T00:00:00"/>
    <x v="32"/>
    <x v="2"/>
    <n v="8.5199999999999998E-3"/>
    <n v="56.231999999999999"/>
    <s v="BR"/>
    <x v="5"/>
    <x v="2"/>
    <s v="Q2"/>
    <n v="154"/>
    <n v="42.857142857142854"/>
    <s v="48oz"/>
    <n v="0.95"/>
    <n v="6270"/>
    <n v="53.420399999999994"/>
    <n v="40.714285714285708"/>
  </r>
  <r>
    <n v="67885722"/>
    <x v="16"/>
    <n v="11700"/>
    <d v="2023-06-20T00:00:00"/>
    <x v="163"/>
    <x v="32"/>
    <n v="8.5199999999999998E-3"/>
    <n v="99.683999999999997"/>
    <s v="BR"/>
    <x v="5"/>
    <x v="2"/>
    <s v="Q2"/>
    <n v="154"/>
    <n v="75.974025974025977"/>
    <s v="48oz"/>
    <n v="0.95"/>
    <n v="11115"/>
    <n v="94.699799999999996"/>
    <n v="72.175324675324674"/>
  </r>
  <r>
    <n v="68659722"/>
    <x v="16"/>
    <n v="6875"/>
    <d v="2023-06-20T00:00:00"/>
    <x v="310"/>
    <x v="22"/>
    <n v="3.7853439999999999E-3"/>
    <n v="26.024239999999999"/>
    <s v="TA"/>
    <x v="5"/>
    <x v="10"/>
    <s v="Q2"/>
    <n v="255"/>
    <n v="26.96078431372549"/>
    <s v="TALENTI"/>
    <n v="0.94"/>
    <n v="6462.5"/>
    <n v="24.462785599999997"/>
    <n v="25.343137254901958"/>
  </r>
  <r>
    <n v="68741742"/>
    <x v="16"/>
    <n v="2700"/>
    <d v="2023-06-20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8881270"/>
    <x v="16"/>
    <n v="6600"/>
    <d v="2023-06-20T00:00:00"/>
    <x v="91"/>
    <x v="13"/>
    <n v="8.5199999999999998E-3"/>
    <n v="56.231999999999999"/>
    <s v="BR"/>
    <x v="5"/>
    <x v="2"/>
    <s v="Q2"/>
    <n v="176"/>
    <n v="37.5"/>
    <s v="48oz"/>
    <n v="0.95"/>
    <n v="6270"/>
    <n v="53.420399999999994"/>
    <n v="35.625"/>
  </r>
  <r>
    <n v="68922108"/>
    <x v="16"/>
    <n v="17100"/>
    <d v="2023-06-20T00:00:00"/>
    <x v="184"/>
    <x v="21"/>
    <n v="3.7839999999999996E-3"/>
    <n v="64.706399999999988"/>
    <s v="TA"/>
    <x v="5"/>
    <x v="10"/>
    <s v="Q2"/>
    <n v="255"/>
    <n v="67.058823529411768"/>
    <s v="TALENTI"/>
    <n v="0.94"/>
    <n v="16073.999999999998"/>
    <n v="60.824015999999986"/>
    <n v="63.035294117647055"/>
  </r>
  <r>
    <n v="69554197"/>
    <x v="16"/>
    <n v="11400"/>
    <d v="2023-06-20T00:00:00"/>
    <x v="15"/>
    <x v="15"/>
    <n v="3.7839999999999996E-3"/>
    <n v="43.137599999999992"/>
    <s v="BR"/>
    <x v="5"/>
    <x v="7"/>
    <s v="Q2"/>
    <n v="240"/>
    <n v="47.5"/>
    <s v="PTS"/>
    <n v="0.95"/>
    <n v="10830"/>
    <n v="40.980719999999991"/>
    <n v="45.125"/>
  </r>
  <r>
    <n v="69572659"/>
    <x v="16"/>
    <n v="3000"/>
    <d v="2023-06-20T00:00:00"/>
    <x v="5"/>
    <x v="5"/>
    <n v="2.1520000000000003E-3"/>
    <n v="6.4560000000000004"/>
    <s v="MG"/>
    <x v="5"/>
    <x v="5"/>
    <s v="Q2"/>
    <n v="210"/>
    <n v="14.285714285714286"/>
    <s v="MG Sticks"/>
    <n v="0.93"/>
    <n v="2790"/>
    <n v="6.004080000000001"/>
    <n v="13.285714285714286"/>
  </r>
  <r>
    <n v="69621212"/>
    <x v="16"/>
    <n v="2700"/>
    <d v="2023-06-20T00:00:00"/>
    <x v="29"/>
    <x v="28"/>
    <n v="5.2680000000000001E-3"/>
    <n v="14.223600000000001"/>
    <s v="PG"/>
    <x v="5"/>
    <x v="14"/>
    <s v="Q2"/>
    <n v="130"/>
    <n v="20.76923076923077"/>
    <s v="PG"/>
    <n v="0.9"/>
    <n v="2430"/>
    <n v="12.801240000000002"/>
    <n v="18.692307692307693"/>
  </r>
  <r>
    <n v="69677917"/>
    <x v="16"/>
    <n v="2700"/>
    <d v="2023-06-20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706147"/>
    <x v="16"/>
    <n v="4200"/>
    <d v="2023-06-20T00:00:00"/>
    <x v="195"/>
    <x v="31"/>
    <n v="3.8999999999999998E-3"/>
    <n v="16.38"/>
    <s v="TA"/>
    <x v="5"/>
    <x v="42"/>
    <s v="Q2"/>
    <n v="176"/>
    <n v="23.863636363636363"/>
    <s v="TAL NV"/>
    <n v="0.97"/>
    <n v="4074"/>
    <n v="15.888599999999999"/>
    <n v="23.147727272727273"/>
  </r>
  <r>
    <n v="69565374"/>
    <x v="17"/>
    <n v="4160"/>
    <d v="2023-06-20T00:00:00"/>
    <x v="196"/>
    <x v="35"/>
    <n v="9.0850000000000011E-3"/>
    <n v="37.793600000000005"/>
    <s v="BJ"/>
    <x v="5"/>
    <x v="39"/>
    <s v="Q2"/>
    <n v="125"/>
    <n v="33.28"/>
    <s v="2.4 Gal"/>
    <n v="0.85"/>
    <n v="3536"/>
    <n v="32.124560000000002"/>
    <n v="28.288"/>
  </r>
  <r>
    <n v="84141102"/>
    <x v="17"/>
    <n v="9600"/>
    <d v="2023-06-20T00:00:00"/>
    <x v="217"/>
    <x v="38"/>
    <n v="3.7853439999999999E-3"/>
    <n v="36.339302400000001"/>
    <s v="BJ"/>
    <x v="5"/>
    <x v="15"/>
    <s v="Q2"/>
    <n v="240"/>
    <n v="40"/>
    <s v="BJ PTS"/>
    <n v="0.9"/>
    <n v="8640"/>
    <n v="32.705372160000003"/>
    <n v="36"/>
  </r>
  <r>
    <n v="67465064"/>
    <x v="15"/>
    <n v="3000"/>
    <d v="2023-06-20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9621212"/>
    <x v="16"/>
    <n v="5400"/>
    <d v="2023-06-20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84139000"/>
    <x v="17"/>
    <n v="5720"/>
    <d v="2023-06-20T00:00:00"/>
    <x v="282"/>
    <x v="33"/>
    <n v="9.0848256361922702E-3"/>
    <n v="51.965202639019786"/>
    <s v="BJ"/>
    <x v="5"/>
    <x v="39"/>
    <s v="Q2"/>
    <n v="125"/>
    <n v="45.76"/>
    <s v="2.4 Gal"/>
    <n v="0.85"/>
    <n v="4862"/>
    <n v="44.170422243166819"/>
    <n v="38.896000000000001"/>
  </r>
  <r>
    <n v="68940226"/>
    <x v="17"/>
    <n v="34800"/>
    <d v="2023-06-20T00:00:00"/>
    <x v="113"/>
    <x v="35"/>
    <n v="3.7839999999999996E-3"/>
    <n v="131.6832"/>
    <s v="BJ"/>
    <x v="5"/>
    <x v="15"/>
    <s v="Q2"/>
    <n v="240"/>
    <n v="145"/>
    <s v="BJ PTS"/>
    <n v="0.9"/>
    <n v="31320"/>
    <n v="118.51488000000001"/>
    <n v="130.5"/>
  </r>
  <r>
    <n v="67723726"/>
    <x v="15"/>
    <n v="11200"/>
    <d v="2023-06-21T00:00:00"/>
    <x v="109"/>
    <x v="23"/>
    <n v="8.5199999999999998E-3"/>
    <n v="95.423999999999992"/>
    <s v="BR"/>
    <x v="5"/>
    <x v="6"/>
    <s v="Q2"/>
    <n v="154"/>
    <n v="72.727272727272734"/>
    <s v="48oz"/>
    <n v="0.95"/>
    <n v="10640"/>
    <n v="90.652799999999985"/>
    <n v="69.090909090909093"/>
  </r>
  <r>
    <n v="67309841"/>
    <x v="16"/>
    <n v="13200"/>
    <d v="2023-06-21T00:00:00"/>
    <x v="32"/>
    <x v="2"/>
    <n v="8.5199999999999998E-3"/>
    <n v="112.464"/>
    <s v="BR"/>
    <x v="5"/>
    <x v="2"/>
    <s v="Q2"/>
    <n v="154"/>
    <n v="85.714285714285708"/>
    <s v="48oz"/>
    <n v="0.95"/>
    <n v="12540"/>
    <n v="106.84079999999999"/>
    <n v="81.428571428571416"/>
  </r>
  <r>
    <n v="67885719"/>
    <x v="16"/>
    <n v="23400"/>
    <d v="2023-06-21T00:00:00"/>
    <x v="11"/>
    <x v="32"/>
    <n v="8.5199999999999998E-3"/>
    <n v="199.36799999999999"/>
    <s v="BR"/>
    <x v="5"/>
    <x v="2"/>
    <s v="Q2"/>
    <n v="154"/>
    <n v="151.94805194805195"/>
    <s v="48oz"/>
    <n v="0.95"/>
    <n v="22230"/>
    <n v="189.39959999999999"/>
    <n v="144.35064935064935"/>
  </r>
  <r>
    <n v="68659726"/>
    <x v="16"/>
    <n v="12500"/>
    <d v="2023-06-21T00:00:00"/>
    <x v="359"/>
    <x v="22"/>
    <n v="3.7853439999999999E-3"/>
    <n v="47.316800000000001"/>
    <s v="TA"/>
    <x v="5"/>
    <x v="10"/>
    <s v="Q2"/>
    <n v="255"/>
    <n v="49.019607843137258"/>
    <s v="TALENTI"/>
    <n v="0.94"/>
    <n v="11750"/>
    <n v="44.477792000000001"/>
    <n v="46.078431372549019"/>
  </r>
  <r>
    <n v="68741742"/>
    <x v="16"/>
    <n v="5400"/>
    <d v="2023-06-21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81270"/>
    <x v="16"/>
    <n v="13200"/>
    <d v="2023-06-21T00:00:00"/>
    <x v="91"/>
    <x v="13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8922108"/>
    <x v="16"/>
    <n v="34200"/>
    <d v="2023-06-21T00:00:00"/>
    <x v="184"/>
    <x v="21"/>
    <n v="3.7839999999999996E-3"/>
    <n v="129.41279999999998"/>
    <s v="TA"/>
    <x v="5"/>
    <x v="10"/>
    <s v="Q2"/>
    <n v="255"/>
    <n v="134.11764705882354"/>
    <s v="TALENTI"/>
    <n v="0.94"/>
    <n v="32147.999999999996"/>
    <n v="121.64803199999997"/>
    <n v="126.07058823529411"/>
  </r>
  <r>
    <n v="69554197"/>
    <x v="16"/>
    <n v="22800"/>
    <d v="2023-06-21T00:00:00"/>
    <x v="15"/>
    <x v="15"/>
    <n v="3.7839999999999996E-3"/>
    <n v="86.275199999999984"/>
    <s v="BR"/>
    <x v="5"/>
    <x v="7"/>
    <s v="Q2"/>
    <n v="240"/>
    <n v="95"/>
    <s v="PTS"/>
    <n v="0.95"/>
    <n v="21660"/>
    <n v="81.961439999999982"/>
    <n v="90.25"/>
  </r>
  <r>
    <n v="69572659"/>
    <x v="16"/>
    <n v="12000"/>
    <d v="2023-06-21T00:00:00"/>
    <x v="5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21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06147"/>
    <x v="16"/>
    <n v="8400"/>
    <d v="2023-06-21T00:00:00"/>
    <x v="195"/>
    <x v="31"/>
    <n v="3.8999999999999998E-3"/>
    <n v="32.76"/>
    <s v="TA"/>
    <x v="5"/>
    <x v="42"/>
    <s v="Q2"/>
    <n v="176"/>
    <n v="47.727272727272727"/>
    <s v="TAL NV"/>
    <n v="0.97"/>
    <n v="8148"/>
    <n v="31.777199999999997"/>
    <n v="46.295454545454547"/>
  </r>
  <r>
    <n v="68654233"/>
    <x v="17"/>
    <n v="25520"/>
    <d v="2023-06-21T00:00:00"/>
    <x v="102"/>
    <x v="33"/>
    <n v="3.7853439999999999E-3"/>
    <n v="96.601978880000004"/>
    <s v="BJ"/>
    <x v="5"/>
    <x v="15"/>
    <s v="Q2"/>
    <n v="240"/>
    <n v="106.33333333333333"/>
    <s v="BJ PTS"/>
    <n v="0.9"/>
    <n v="22968"/>
    <n v="86.941780992000005"/>
    <n v="95.7"/>
  </r>
  <r>
    <n v="67309864"/>
    <x v="15"/>
    <n v="10800"/>
    <d v="2023-06-21T00:00:00"/>
    <x v="63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7465063"/>
    <x v="15"/>
    <n v="3425"/>
    <d v="2023-06-21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3"/>
    <x v="15"/>
    <n v="3600"/>
    <d v="2023-06-21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21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3600"/>
    <d v="2023-06-21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4500"/>
    <d v="2023-06-21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76560"/>
    <x v="15"/>
    <n v="3600"/>
    <d v="2023-06-21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188183"/>
    <x v="15"/>
    <n v="3000"/>
    <d v="2023-06-21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634168"/>
    <x v="15"/>
    <n v="10700"/>
    <d v="2023-06-21T00:00:00"/>
    <x v="42"/>
    <x v="16"/>
    <n v="8.5170239596469108E-3"/>
    <n v="91.132156368221942"/>
    <s v="BR"/>
    <x v="5"/>
    <x v="6"/>
    <s v="Q2"/>
    <n v="154"/>
    <n v="69.480519480519476"/>
    <s v="48oz"/>
    <n v="0.95"/>
    <n v="10165"/>
    <n v="86.575548549810847"/>
    <n v="66.006493506493499"/>
  </r>
  <r>
    <n v="68741714"/>
    <x v="15"/>
    <n v="6900"/>
    <d v="2023-06-21T00:00:00"/>
    <x v="24"/>
    <x v="24"/>
    <n v="2.8319999999999999E-3"/>
    <n v="19.540800000000001"/>
    <s v="GH"/>
    <x v="5"/>
    <x v="4"/>
    <s v="Q2"/>
    <n v="225"/>
    <n v="30.666666666666668"/>
    <s v="MBG"/>
    <n v="0.87"/>
    <n v="6003"/>
    <n v="17.000496000000002"/>
    <n v="26.68"/>
  </r>
  <r>
    <n v="69568828"/>
    <x v="15"/>
    <n v="12000"/>
    <d v="2023-06-21T00:00:00"/>
    <x v="12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71641"/>
    <x v="15"/>
    <n v="4800"/>
    <d v="2023-06-21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69621212"/>
    <x v="16"/>
    <n v="5400"/>
    <d v="2023-06-21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568970"/>
    <x v="17"/>
    <n v="5200"/>
    <d v="2023-06-21T00:00:00"/>
    <x v="275"/>
    <x v="35"/>
    <n v="9.0850000000000011E-3"/>
    <n v="47.242000000000004"/>
    <s v="BJ"/>
    <x v="5"/>
    <x v="39"/>
    <s v="Q2"/>
    <n v="125"/>
    <n v="41.6"/>
    <s v="2.4 Gal"/>
    <n v="0.85"/>
    <n v="4420"/>
    <n v="40.155700000000003"/>
    <n v="35.36"/>
  </r>
  <r>
    <n v="67309841"/>
    <x v="16"/>
    <n v="9900"/>
    <d v="2023-06-22T00:00:00"/>
    <x v="32"/>
    <x v="2"/>
    <n v="8.5199999999999998E-3"/>
    <n v="84.347999999999999"/>
    <s v="BR"/>
    <x v="5"/>
    <x v="2"/>
    <s v="Q2"/>
    <n v="154"/>
    <n v="64.285714285714292"/>
    <s v="48oz"/>
    <n v="0.95"/>
    <n v="9405"/>
    <n v="80.130600000000001"/>
    <n v="61.071428571428577"/>
  </r>
  <r>
    <n v="67885719"/>
    <x v="16"/>
    <n v="17550"/>
    <d v="2023-06-22T00:00:00"/>
    <x v="11"/>
    <x v="32"/>
    <n v="8.5199999999999998E-3"/>
    <n v="149.52600000000001"/>
    <s v="BR"/>
    <x v="5"/>
    <x v="2"/>
    <s v="Q2"/>
    <n v="154"/>
    <n v="113.96103896103897"/>
    <s v="48oz"/>
    <n v="0.95"/>
    <n v="16672.5"/>
    <n v="142.0497"/>
    <n v="108.26298701298701"/>
  </r>
  <r>
    <n v="68659726"/>
    <x v="16"/>
    <n v="10000"/>
    <d v="2023-06-22T00:00:00"/>
    <x v="359"/>
    <x v="22"/>
    <n v="3.7853439999999999E-3"/>
    <n v="37.853439999999999"/>
    <s v="TA"/>
    <x v="5"/>
    <x v="10"/>
    <s v="Q2"/>
    <n v="255"/>
    <n v="39.215686274509807"/>
    <s v="TALENTI"/>
    <n v="0.94"/>
    <n v="9400"/>
    <n v="35.582233599999995"/>
    <n v="36.86274509803922"/>
  </r>
  <r>
    <n v="68741742"/>
    <x v="16"/>
    <n v="5400"/>
    <d v="2023-06-22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81270"/>
    <x v="16"/>
    <n v="9900"/>
    <d v="2023-06-22T00:00:00"/>
    <x v="91"/>
    <x v="13"/>
    <n v="8.5199999999999998E-3"/>
    <n v="84.347999999999999"/>
    <s v="BR"/>
    <x v="5"/>
    <x v="2"/>
    <s v="Q2"/>
    <n v="176"/>
    <n v="56.25"/>
    <s v="48oz"/>
    <n v="0.95"/>
    <n v="9405"/>
    <n v="80.130600000000001"/>
    <n v="53.4375"/>
  </r>
  <r>
    <n v="68922108"/>
    <x v="16"/>
    <n v="34200"/>
    <d v="2023-06-22T00:00:00"/>
    <x v="184"/>
    <x v="21"/>
    <n v="3.7839999999999996E-3"/>
    <n v="129.41279999999998"/>
    <s v="TA"/>
    <x v="5"/>
    <x v="10"/>
    <s v="Q2"/>
    <n v="255"/>
    <n v="134.11764705882354"/>
    <s v="TALENTI"/>
    <n v="0.94"/>
    <n v="32147.999999999996"/>
    <n v="121.64803199999997"/>
    <n v="126.07058823529411"/>
  </r>
  <r>
    <n v="69554197"/>
    <x v="16"/>
    <n v="15200"/>
    <d v="2023-06-22T00:00:00"/>
    <x v="15"/>
    <x v="15"/>
    <n v="3.7839999999999996E-3"/>
    <n v="57.516799999999996"/>
    <s v="BR"/>
    <x v="5"/>
    <x v="7"/>
    <s v="Q2"/>
    <n v="240"/>
    <n v="63.333333333333336"/>
    <s v="PTS"/>
    <n v="0.95"/>
    <n v="14440"/>
    <n v="54.640959999999993"/>
    <n v="60.166666666666664"/>
  </r>
  <r>
    <n v="69572659"/>
    <x v="16"/>
    <n v="12000"/>
    <d v="2023-06-22T00:00:00"/>
    <x v="5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3010"/>
    <x v="16"/>
    <n v="4000"/>
    <d v="2023-06-22T00:00:00"/>
    <x v="360"/>
    <x v="14"/>
    <n v="1.98E-3"/>
    <n v="7.92"/>
    <s v="MG"/>
    <x v="5"/>
    <x v="5"/>
    <s v="Q2"/>
    <n v="143"/>
    <n v="27.972027972027973"/>
    <s v="MG Sticks"/>
    <n v="0.93"/>
    <n v="3720"/>
    <n v="7.3656000000000006"/>
    <n v="26.013986013986017"/>
  </r>
  <r>
    <n v="69677917"/>
    <x v="16"/>
    <n v="5400"/>
    <d v="2023-06-22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06147"/>
    <x v="16"/>
    <n v="8400"/>
    <d v="2023-06-22T00:00:00"/>
    <x v="195"/>
    <x v="31"/>
    <n v="3.8999999999999998E-3"/>
    <n v="32.76"/>
    <s v="TA"/>
    <x v="5"/>
    <x v="42"/>
    <s v="Q2"/>
    <n v="176"/>
    <n v="47.727272727272727"/>
    <s v="TAL NV"/>
    <n v="0.97"/>
    <n v="8148"/>
    <n v="31.777199999999997"/>
    <n v="46.295454545454547"/>
  </r>
  <r>
    <n v="84141036"/>
    <x v="17"/>
    <n v="6240"/>
    <d v="2023-06-22T00:00:00"/>
    <x v="175"/>
    <x v="35"/>
    <n v="9.0848256361922702E-3"/>
    <n v="56.689311969839764"/>
    <s v="BJ"/>
    <x v="5"/>
    <x v="39"/>
    <s v="Q2"/>
    <n v="125"/>
    <n v="49.92"/>
    <s v="2.4 Gal"/>
    <n v="0.85"/>
    <n v="5304"/>
    <n v="48.185915174363799"/>
    <n v="42.432000000000002"/>
  </r>
  <r>
    <n v="67309864"/>
    <x v="15"/>
    <n v="10800"/>
    <d v="2023-06-22T00:00:00"/>
    <x v="63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7465063"/>
    <x v="15"/>
    <n v="3425"/>
    <d v="2023-06-22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3"/>
    <x v="15"/>
    <n v="3600"/>
    <d v="2023-06-22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5064"/>
    <x v="15"/>
    <n v="3000"/>
    <d v="2023-06-22T00:00:00"/>
    <x v="7"/>
    <x v="3"/>
    <n v="1.596E-3"/>
    <n v="4.7880000000000003"/>
    <s v="PS"/>
    <x v="5"/>
    <x v="3"/>
    <s v="Q2"/>
    <n v="130"/>
    <n v="23.076923076923077"/>
    <s v="PG"/>
    <n v="0.9"/>
    <n v="2700"/>
    <n v="4.3092000000000006"/>
    <n v="20.76923076923077"/>
  </r>
  <r>
    <n v="67466492"/>
    <x v="15"/>
    <n v="4500"/>
    <d v="2023-06-22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22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22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723726"/>
    <x v="15"/>
    <n v="11200"/>
    <d v="2023-06-22T00:00:00"/>
    <x v="109"/>
    <x v="23"/>
    <n v="8.5199999999999998E-3"/>
    <n v="95.423999999999992"/>
    <s v="BR"/>
    <x v="5"/>
    <x v="6"/>
    <s v="Q2"/>
    <n v="154"/>
    <n v="72.727272727272734"/>
    <s v="48oz"/>
    <n v="0.95"/>
    <n v="10640"/>
    <n v="90.652799999999985"/>
    <n v="69.090909090909093"/>
  </r>
  <r>
    <n v="68188183"/>
    <x v="15"/>
    <n v="3000"/>
    <d v="2023-06-22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634168"/>
    <x v="15"/>
    <n v="10700"/>
    <d v="2023-06-22T00:00:00"/>
    <x v="42"/>
    <x v="16"/>
    <n v="8.5170239596469108E-3"/>
    <n v="91.132156368221942"/>
    <s v="BR"/>
    <x v="5"/>
    <x v="6"/>
    <s v="Q2"/>
    <n v="154"/>
    <n v="69.480519480519476"/>
    <s v="48oz"/>
    <n v="0.95"/>
    <n v="10165"/>
    <n v="86.575548549810847"/>
    <n v="66.006493506493499"/>
  </r>
  <r>
    <n v="68741714"/>
    <x v="15"/>
    <n v="6900"/>
    <d v="2023-06-22T00:00:00"/>
    <x v="24"/>
    <x v="24"/>
    <n v="2.8319999999999999E-3"/>
    <n v="19.540800000000001"/>
    <s v="GH"/>
    <x v="5"/>
    <x v="4"/>
    <s v="Q2"/>
    <n v="225"/>
    <n v="30.666666666666668"/>
    <s v="MBG"/>
    <n v="0.87"/>
    <n v="6003"/>
    <n v="17.000496000000002"/>
    <n v="26.68"/>
  </r>
  <r>
    <n v="69568828"/>
    <x v="15"/>
    <n v="12000"/>
    <d v="2023-06-22T00:00:00"/>
    <x v="12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71641"/>
    <x v="15"/>
    <n v="4800"/>
    <d v="2023-06-22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69621212"/>
    <x v="16"/>
    <n v="5400"/>
    <d v="2023-06-22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7568055"/>
    <x v="17"/>
    <n v="5200"/>
    <d v="2023-06-22T00:00:00"/>
    <x v="200"/>
    <x v="35"/>
    <n v="9.0848256361922702E-3"/>
    <n v="47.241093308199808"/>
    <s v="BJ"/>
    <x v="5"/>
    <x v="39"/>
    <s v="Q2"/>
    <n v="125"/>
    <n v="41.6"/>
    <s v="2.4 Gal"/>
    <n v="0.85"/>
    <n v="4420"/>
    <n v="40.154929311969838"/>
    <n v="35.36"/>
  </r>
  <r>
    <n v="67789314"/>
    <x v="17"/>
    <n v="46400"/>
    <d v="2023-06-22T00:00:00"/>
    <x v="152"/>
    <x v="35"/>
    <n v="3.7853439999999999E-3"/>
    <n v="175.63996159999999"/>
    <s v="BJ"/>
    <x v="5"/>
    <x v="15"/>
    <s v="Q2"/>
    <n v="240"/>
    <n v="193.33333333333334"/>
    <s v="BJ PTS"/>
    <n v="0.9"/>
    <n v="41760"/>
    <n v="158.07596544"/>
    <n v="174"/>
  </r>
  <r>
    <n v="68940228"/>
    <x v="17"/>
    <n v="37120"/>
    <d v="2023-06-22T00:00:00"/>
    <x v="105"/>
    <x v="35"/>
    <n v="3.7839999999999996E-3"/>
    <n v="140.46207999999999"/>
    <s v="BJ"/>
    <x v="5"/>
    <x v="15"/>
    <s v="Q2"/>
    <n v="240"/>
    <n v="154.66666666666666"/>
    <s v="BJ PTS"/>
    <n v="0.9"/>
    <n v="33408"/>
    <n v="126.41587199999999"/>
    <n v="139.19999999999999"/>
  </r>
  <r>
    <n v="67465064"/>
    <x v="15"/>
    <n v="1500"/>
    <d v="2023-06-23T00:00:00"/>
    <x v="7"/>
    <x v="3"/>
    <n v="1.596E-3"/>
    <n v="2.3940000000000001"/>
    <s v="PS"/>
    <x v="5"/>
    <x v="3"/>
    <s v="Q2"/>
    <n v="130"/>
    <n v="11.538461538461538"/>
    <s v="PG"/>
    <n v="0.9"/>
    <n v="1350"/>
    <n v="2.1546000000000003"/>
    <n v="10.384615384615385"/>
  </r>
  <r>
    <n v="67723726"/>
    <x v="15"/>
    <n v="11200"/>
    <d v="2023-06-23T00:00:00"/>
    <x v="109"/>
    <x v="23"/>
    <n v="8.5199999999999998E-3"/>
    <n v="95.423999999999992"/>
    <s v="BR"/>
    <x v="5"/>
    <x v="6"/>
    <s v="Q2"/>
    <n v="154"/>
    <n v="72.727272727272734"/>
    <s v="48oz"/>
    <n v="0.95"/>
    <n v="10640"/>
    <n v="90.652799999999985"/>
    <n v="69.090909090909093"/>
  </r>
  <r>
    <n v="68741714"/>
    <x v="15"/>
    <n v="3450"/>
    <d v="2023-06-23T00:00:00"/>
    <x v="24"/>
    <x v="24"/>
    <n v="2.8319999999999999E-3"/>
    <n v="9.7704000000000004"/>
    <s v="GH"/>
    <x v="5"/>
    <x v="4"/>
    <s v="Q2"/>
    <n v="225"/>
    <n v="15.333333333333334"/>
    <s v="MBG"/>
    <n v="0.87"/>
    <n v="3001.5"/>
    <n v="8.5002480000000009"/>
    <n v="13.34"/>
  </r>
  <r>
    <n v="69671641"/>
    <x v="15"/>
    <n v="2400"/>
    <d v="2023-06-23T00:00:00"/>
    <x v="260"/>
    <x v="4"/>
    <n v="3.9039999999999999E-3"/>
    <n v="9.3696000000000002"/>
    <s v="GH"/>
    <x v="5"/>
    <x v="4"/>
    <s v="Q2"/>
    <n v="154"/>
    <n v="15.584415584415584"/>
    <s v="MBG"/>
    <n v="0.87"/>
    <n v="2088"/>
    <n v="8.1515520000000006"/>
    <n v="13.558441558441558"/>
  </r>
  <r>
    <n v="67885718"/>
    <x v="16"/>
    <n v="13200"/>
    <d v="2023-06-23T00:00:00"/>
    <x v="48"/>
    <x v="13"/>
    <n v="8.5199999999999998E-3"/>
    <n v="112.464"/>
    <s v="BR"/>
    <x v="5"/>
    <x v="2"/>
    <s v="Q2"/>
    <n v="154"/>
    <n v="85.714285714285708"/>
    <s v="48oz"/>
    <n v="0.95"/>
    <n v="12540"/>
    <n v="106.84079999999999"/>
    <n v="81.428571428571416"/>
  </r>
  <r>
    <n v="67901593"/>
    <x v="16"/>
    <n v="23400"/>
    <d v="2023-06-23T00:00:00"/>
    <x v="68"/>
    <x v="32"/>
    <n v="8.5199999999999998E-3"/>
    <n v="199.36799999999999"/>
    <s v="BR"/>
    <x v="5"/>
    <x v="2"/>
    <s v="Q2"/>
    <n v="154"/>
    <n v="151.94805194805195"/>
    <s v="48oz"/>
    <n v="0.95"/>
    <n v="22230"/>
    <n v="189.39959999999999"/>
    <n v="144.35064935064935"/>
  </r>
  <r>
    <n v="68728342"/>
    <x v="16"/>
    <n v="15000"/>
    <d v="2023-06-23T00:00:00"/>
    <x v="44"/>
    <x v="22"/>
    <n v="3.7853439999999999E-3"/>
    <n v="56.780160000000002"/>
    <s v="TA"/>
    <x v="5"/>
    <x v="10"/>
    <s v="Q2"/>
    <n v="255"/>
    <n v="58.823529411764703"/>
    <s v="TALENTI"/>
    <n v="0.94"/>
    <n v="14100"/>
    <n v="53.3733504"/>
    <n v="55.294117647058819"/>
  </r>
  <r>
    <n v="68730252"/>
    <x v="16"/>
    <n v="8550"/>
    <d v="2023-06-23T00:00:00"/>
    <x v="22"/>
    <x v="21"/>
    <n v="3.7853440000000004E-3"/>
    <n v="32.364691200000003"/>
    <s v="TA"/>
    <x v="5"/>
    <x v="10"/>
    <s v="Q2"/>
    <n v="255"/>
    <n v="33.529411764705884"/>
    <s v="TALENTI"/>
    <n v="0.94"/>
    <n v="8036.9999999999991"/>
    <n v="30.422809728000001"/>
    <n v="31.517647058823528"/>
  </r>
  <r>
    <n v="68741742"/>
    <x v="16"/>
    <n v="2700"/>
    <d v="2023-06-23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8922108"/>
    <x v="16"/>
    <n v="5700"/>
    <d v="2023-06-23T00:00:00"/>
    <x v="184"/>
    <x v="21"/>
    <n v="3.7839999999999996E-3"/>
    <n v="21.568799999999996"/>
    <s v="TA"/>
    <x v="5"/>
    <x v="10"/>
    <s v="Q2"/>
    <n v="255"/>
    <n v="22.352941176470587"/>
    <s v="TALENTI"/>
    <n v="0.94"/>
    <n v="5358"/>
    <n v="20.274671999999995"/>
    <n v="21.011764705882349"/>
  </r>
  <r>
    <n v="69554197"/>
    <x v="16"/>
    <n v="15200"/>
    <d v="2023-06-23T00:00:00"/>
    <x v="15"/>
    <x v="15"/>
    <n v="3.7839999999999996E-3"/>
    <n v="57.516799999999996"/>
    <s v="BR"/>
    <x v="5"/>
    <x v="7"/>
    <s v="Q2"/>
    <n v="240"/>
    <n v="63.333333333333336"/>
    <s v="PTS"/>
    <n v="0.95"/>
    <n v="14440"/>
    <n v="54.640959999999993"/>
    <n v="60.166666666666664"/>
  </r>
  <r>
    <n v="69568964"/>
    <x v="16"/>
    <n v="13200"/>
    <d v="2023-06-23T00:00:00"/>
    <x v="134"/>
    <x v="2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9572659"/>
    <x v="16"/>
    <n v="8000"/>
    <d v="2023-06-23T00:00:00"/>
    <x v="5"/>
    <x v="5"/>
    <n v="2.1520000000000003E-3"/>
    <n v="17.216000000000001"/>
    <s v="MG"/>
    <x v="5"/>
    <x v="5"/>
    <s v="Q2"/>
    <n v="210"/>
    <n v="38.095238095238095"/>
    <s v="MG Sticks"/>
    <n v="0.93"/>
    <n v="7440"/>
    <n v="16.01088"/>
    <n v="35.428571428571431"/>
  </r>
  <r>
    <n v="69673010"/>
    <x v="16"/>
    <n v="5000"/>
    <d v="2023-06-23T00:00:00"/>
    <x v="360"/>
    <x v="14"/>
    <n v="1.98E-3"/>
    <n v="9.9"/>
    <s v="MG"/>
    <x v="5"/>
    <x v="5"/>
    <s v="Q2"/>
    <n v="143"/>
    <n v="34.965034965034967"/>
    <s v="MG Sticks"/>
    <n v="0.93"/>
    <n v="4650"/>
    <n v="9.2070000000000007"/>
    <n v="32.51748251748252"/>
  </r>
  <r>
    <n v="69677917"/>
    <x v="16"/>
    <n v="2700"/>
    <d v="2023-06-23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706147"/>
    <x v="16"/>
    <n v="5600"/>
    <d v="2023-06-23T00:00:00"/>
    <x v="195"/>
    <x v="31"/>
    <n v="3.8999999999999998E-3"/>
    <n v="21.84"/>
    <s v="TA"/>
    <x v="5"/>
    <x v="42"/>
    <s v="Q2"/>
    <n v="176"/>
    <n v="31.818181818181817"/>
    <s v="TAL NV"/>
    <n v="0.97"/>
    <n v="5432"/>
    <n v="21.184799999999999"/>
    <n v="30.86363636363636"/>
  </r>
  <r>
    <n v="67309864"/>
    <x v="15"/>
    <n v="10800"/>
    <d v="2023-06-23T00:00:00"/>
    <x v="63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7465063"/>
    <x v="15"/>
    <n v="3425"/>
    <d v="2023-06-23T00:00:00"/>
    <x v="3"/>
    <x v="40"/>
    <n v="5.2680000000000001E-3"/>
    <n v="18.042899999999999"/>
    <s v="PS"/>
    <x v="5"/>
    <x v="3"/>
    <s v="Q2"/>
    <n v="130"/>
    <n v="26.346153846153847"/>
    <s v="PG"/>
    <n v="0.9"/>
    <n v="3082.5"/>
    <n v="16.238610000000001"/>
    <n v="23.711538461538463"/>
  </r>
  <r>
    <n v="67465063"/>
    <x v="15"/>
    <n v="3600"/>
    <d v="2023-06-23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4500"/>
    <d v="2023-06-23T00:00:00"/>
    <x v="8"/>
    <x v="7"/>
    <n v="5.2680000000000001E-3"/>
    <n v="23.706"/>
    <s v="PS"/>
    <x v="5"/>
    <x v="3"/>
    <s v="Q2"/>
    <n v="130"/>
    <n v="34.615384615384613"/>
    <s v="PG"/>
    <n v="0.9"/>
    <n v="4050"/>
    <n v="21.3354"/>
    <n v="31.153846153846153"/>
  </r>
  <r>
    <n v="67466492"/>
    <x v="15"/>
    <n v="3600"/>
    <d v="2023-06-23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23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188183"/>
    <x v="15"/>
    <n v="3000"/>
    <d v="2023-06-23T00:00:00"/>
    <x v="70"/>
    <x v="9"/>
    <n v="3.8340000000000002E-3"/>
    <n v="11.502000000000001"/>
    <s v="PS"/>
    <x v="5"/>
    <x v="3"/>
    <s v="Q2"/>
    <n v="130"/>
    <n v="23.076923076923077"/>
    <s v="PG"/>
    <n v="0.9"/>
    <n v="2700"/>
    <n v="10.351800000000001"/>
    <n v="20.76923076923077"/>
  </r>
  <r>
    <n v="68634168"/>
    <x v="15"/>
    <n v="10700"/>
    <d v="2023-06-23T00:00:00"/>
    <x v="42"/>
    <x v="16"/>
    <n v="8.5170239596469108E-3"/>
    <n v="91.132156368221942"/>
    <s v="BR"/>
    <x v="5"/>
    <x v="6"/>
    <s v="Q2"/>
    <n v="154"/>
    <n v="69.480519480519476"/>
    <s v="48oz"/>
    <n v="0.95"/>
    <n v="10165"/>
    <n v="86.575548549810847"/>
    <n v="66.006493506493499"/>
  </r>
  <r>
    <n v="69568828"/>
    <x v="15"/>
    <n v="12000"/>
    <d v="2023-06-23T00:00:00"/>
    <x v="12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21212"/>
    <x v="16"/>
    <n v="5400"/>
    <d v="2023-06-23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8938274"/>
    <x v="17"/>
    <n v="11600"/>
    <d v="2023-06-23T00:00:00"/>
    <x v="194"/>
    <x v="35"/>
    <n v="3.7839999999999996E-3"/>
    <n v="43.894399999999997"/>
    <s v="BJ"/>
    <x v="5"/>
    <x v="15"/>
    <s v="Q2"/>
    <n v="240"/>
    <n v="48.333333333333336"/>
    <s v="BJ PTS"/>
    <n v="0.9"/>
    <n v="10440"/>
    <n v="39.504959999999997"/>
    <n v="43.5"/>
  </r>
  <r>
    <n v="67466492"/>
    <x v="15"/>
    <m/>
    <d v="2023-06-23T00:00:00"/>
    <x v="8"/>
    <x v="7"/>
    <n v="5.2680000000000001E-3"/>
    <n v="0"/>
    <s v="PS"/>
    <x v="5"/>
    <x v="3"/>
    <s v="Q2"/>
    <n v="130"/>
    <n v="0"/>
    <s v="PG"/>
    <n v="0.9"/>
    <n v="0"/>
    <n v="0"/>
    <n v="0"/>
  </r>
  <r>
    <n v="84141103"/>
    <x v="18"/>
    <n v="107250"/>
    <d v="2023-06-23T00:00:00"/>
    <x v="294"/>
    <x v="38"/>
    <n v="3.7853439999999999E-3"/>
    <n v="405.97814399999999"/>
    <s v="BJ"/>
    <x v="5"/>
    <x v="36"/>
    <s v="Q2"/>
    <n v="240"/>
    <n v="446.875"/>
    <s v="BJ PTS"/>
    <n v="0.9"/>
    <n v="96525"/>
    <n v="365.38032959999998"/>
    <n v="402.1875"/>
  </r>
  <r>
    <n v="67885724"/>
    <x v="15"/>
    <n v="7650"/>
    <d v="2023-06-24T00:00:00"/>
    <x v="49"/>
    <x v="12"/>
    <n v="8.5199999999999998E-3"/>
    <n v="65.177999999999997"/>
    <s v="BR"/>
    <x v="5"/>
    <x v="6"/>
    <s v="Q2"/>
    <n v="154"/>
    <n v="49.675324675324674"/>
    <s v="48oz"/>
    <n v="0.95"/>
    <n v="7267.5"/>
    <n v="61.919099999999993"/>
    <n v="47.191558441558435"/>
  </r>
  <r>
    <n v="68850683"/>
    <x v="15"/>
    <n v="9500"/>
    <d v="2023-06-24T00:00:00"/>
    <x v="335"/>
    <x v="11"/>
    <n v="8.5199999999999998E-3"/>
    <n v="80.94"/>
    <s v="BR"/>
    <x v="5"/>
    <x v="6"/>
    <s v="Q2"/>
    <n v="176"/>
    <n v="53.977272727272727"/>
    <s v="48oz"/>
    <n v="0.95"/>
    <n v="9025"/>
    <n v="76.893000000000001"/>
    <n v="51.278409090909086"/>
  </r>
  <r>
    <n v="67885718"/>
    <x v="16"/>
    <n v="13200"/>
    <d v="2023-06-24T00:00:00"/>
    <x v="48"/>
    <x v="13"/>
    <n v="8.5199999999999998E-3"/>
    <n v="112.464"/>
    <s v="BR"/>
    <x v="5"/>
    <x v="2"/>
    <s v="Q2"/>
    <n v="154"/>
    <n v="85.714285714285708"/>
    <s v="48oz"/>
    <n v="0.95"/>
    <n v="12540"/>
    <n v="106.84079999999999"/>
    <n v="81.428571428571416"/>
  </r>
  <r>
    <n v="67901593"/>
    <x v="16"/>
    <n v="23400"/>
    <d v="2023-06-24T00:00:00"/>
    <x v="68"/>
    <x v="32"/>
    <n v="8.5199999999999998E-3"/>
    <n v="199.36799999999999"/>
    <s v="BR"/>
    <x v="5"/>
    <x v="2"/>
    <s v="Q2"/>
    <n v="154"/>
    <n v="151.94805194805195"/>
    <s v="48oz"/>
    <n v="0.95"/>
    <n v="22230"/>
    <n v="189.39959999999999"/>
    <n v="144.35064935064935"/>
  </r>
  <r>
    <n v="68728342"/>
    <x v="16"/>
    <n v="15000"/>
    <d v="2023-06-24T00:00:00"/>
    <x v="44"/>
    <x v="22"/>
    <n v="3.7853439999999999E-3"/>
    <n v="56.780160000000002"/>
    <s v="TA"/>
    <x v="5"/>
    <x v="10"/>
    <s v="Q2"/>
    <n v="255"/>
    <n v="58.823529411764703"/>
    <s v="TALENTI"/>
    <n v="0.94"/>
    <n v="14100"/>
    <n v="53.3733504"/>
    <n v="55.294117647058819"/>
  </r>
  <r>
    <n v="68730252"/>
    <x v="16"/>
    <n v="17100"/>
    <d v="2023-06-24T00:00:00"/>
    <x v="22"/>
    <x v="21"/>
    <n v="3.7853440000000004E-3"/>
    <n v="64.729382400000006"/>
    <s v="TA"/>
    <x v="5"/>
    <x v="10"/>
    <s v="Q2"/>
    <n v="255"/>
    <n v="67.058823529411768"/>
    <s v="TALENTI"/>
    <n v="0.94"/>
    <n v="16073.999999999998"/>
    <n v="60.845619456000001"/>
    <n v="63.035294117647055"/>
  </r>
  <r>
    <n v="68741742"/>
    <x v="16"/>
    <n v="5400"/>
    <d v="2023-06-24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9568964"/>
    <x v="16"/>
    <n v="13200"/>
    <d v="2023-06-24T00:00:00"/>
    <x v="134"/>
    <x v="2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9572658"/>
    <x v="16"/>
    <n v="12000"/>
    <d v="2023-06-24T00:00:00"/>
    <x v="16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24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8575291"/>
    <x v="17"/>
    <n v="10440"/>
    <d v="2023-06-24T00:00:00"/>
    <x v="361"/>
    <x v="33"/>
    <n v="3.7853439999999999E-3"/>
    <n v="39.518991360000001"/>
    <s v="BJ"/>
    <x v="5"/>
    <x v="15"/>
    <s v="Q2"/>
    <n v="240"/>
    <n v="43.5"/>
    <s v="BJ PTS"/>
    <n v="0.9"/>
    <n v="9396"/>
    <n v="35.567092224"/>
    <n v="39.15"/>
  </r>
  <r>
    <n v="67465063"/>
    <x v="15"/>
    <n v="3600"/>
    <d v="2023-06-24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3600"/>
    <d v="2023-06-24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24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8741714"/>
    <x v="15"/>
    <n v="6900"/>
    <d v="2023-06-24T00:00:00"/>
    <x v="24"/>
    <x v="24"/>
    <n v="2.8319999999999999E-3"/>
    <n v="19.540800000000001"/>
    <s v="GH"/>
    <x v="5"/>
    <x v="4"/>
    <s v="Q2"/>
    <n v="225"/>
    <n v="30.666666666666668"/>
    <s v="MBG"/>
    <n v="0.87"/>
    <n v="6003"/>
    <n v="17.000496000000002"/>
    <n v="26.68"/>
  </r>
  <r>
    <n v="69671641"/>
    <x v="15"/>
    <n v="4800"/>
    <d v="2023-06-24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69621212"/>
    <x v="16"/>
    <n v="5400"/>
    <d v="2023-06-24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7278447"/>
    <x v="17"/>
    <n v="35200"/>
    <d v="2023-06-24T00:00:00"/>
    <x v="290"/>
    <x v="44"/>
    <n v="3.7839999999999996E-3"/>
    <n v="133.1968"/>
    <s v="BJ"/>
    <x v="5"/>
    <x v="15"/>
    <s v="Q2"/>
    <n v="240"/>
    <n v="146.66666666666666"/>
    <s v="BJ PTS"/>
    <n v="0.9"/>
    <n v="31680"/>
    <n v="119.87712000000001"/>
    <n v="132"/>
  </r>
  <r>
    <n v="67278448"/>
    <x v="17"/>
    <n v="23200"/>
    <d v="2023-06-24T00:00:00"/>
    <x v="182"/>
    <x v="33"/>
    <n v="3.7839999999999996E-3"/>
    <n v="87.788799999999995"/>
    <s v="BJ"/>
    <x v="5"/>
    <x v="15"/>
    <s v="Q2"/>
    <n v="240"/>
    <n v="96.666666666666671"/>
    <s v="BJ PTS"/>
    <n v="0.9"/>
    <n v="20880"/>
    <n v="79.009919999999994"/>
    <n v="87"/>
  </r>
  <r>
    <n v="68188512"/>
    <x v="17"/>
    <n v="13920"/>
    <d v="2023-06-24T00:00:00"/>
    <x v="285"/>
    <x v="35"/>
    <n v="3.7839999999999996E-3"/>
    <n v="52.673279999999991"/>
    <s v="BJ"/>
    <x v="5"/>
    <x v="15"/>
    <s v="Q2"/>
    <n v="240"/>
    <n v="58"/>
    <s v="BJ PTS"/>
    <n v="0.9"/>
    <n v="12528"/>
    <n v="47.405951999999992"/>
    <n v="52.2"/>
  </r>
  <r>
    <n v="67885718"/>
    <x v="16"/>
    <n v="9900"/>
    <d v="2023-06-25T00:00:00"/>
    <x v="48"/>
    <x v="13"/>
    <n v="8.5199999999999998E-3"/>
    <n v="84.347999999999999"/>
    <s v="BR"/>
    <x v="5"/>
    <x v="2"/>
    <s v="Q2"/>
    <n v="154"/>
    <n v="64.285714285714292"/>
    <s v="48oz"/>
    <n v="0.95"/>
    <n v="9405"/>
    <n v="80.130600000000001"/>
    <n v="61.071428571428577"/>
  </r>
  <r>
    <n v="67901593"/>
    <x v="16"/>
    <n v="17550"/>
    <d v="2023-06-25T00:00:00"/>
    <x v="68"/>
    <x v="32"/>
    <n v="8.5199999999999998E-3"/>
    <n v="149.52600000000001"/>
    <s v="BR"/>
    <x v="5"/>
    <x v="2"/>
    <s v="Q2"/>
    <n v="154"/>
    <n v="113.96103896103897"/>
    <s v="48oz"/>
    <n v="0.95"/>
    <n v="16672.5"/>
    <n v="142.0497"/>
    <n v="108.26298701298701"/>
  </r>
  <r>
    <n v="68728342"/>
    <x v="16"/>
    <n v="10000"/>
    <d v="2023-06-25T00:00:00"/>
    <x v="44"/>
    <x v="22"/>
    <n v="3.7853439999999999E-3"/>
    <n v="37.853439999999999"/>
    <s v="TA"/>
    <x v="5"/>
    <x v="10"/>
    <s v="Q2"/>
    <n v="255"/>
    <n v="39.215686274509807"/>
    <s v="TALENTI"/>
    <n v="0.94"/>
    <n v="9400"/>
    <n v="35.582233599999995"/>
    <n v="36.86274509803922"/>
  </r>
  <r>
    <n v="68730252"/>
    <x v="16"/>
    <n v="11400"/>
    <d v="2023-06-25T00:00:00"/>
    <x v="22"/>
    <x v="21"/>
    <n v="3.7853440000000004E-3"/>
    <n v="43.152921600000006"/>
    <s v="TA"/>
    <x v="5"/>
    <x v="10"/>
    <s v="Q2"/>
    <n v="255"/>
    <n v="44.705882352941174"/>
    <s v="TALENTI"/>
    <n v="0.94"/>
    <n v="10716"/>
    <n v="40.563746304000006"/>
    <n v="42.023529411764699"/>
  </r>
  <r>
    <n v="68741742"/>
    <x v="16"/>
    <n v="5400"/>
    <d v="2023-06-25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9568964"/>
    <x v="16"/>
    <n v="9900"/>
    <d v="2023-06-25T00:00:00"/>
    <x v="134"/>
    <x v="2"/>
    <n v="8.5199999999999998E-3"/>
    <n v="84.347999999999999"/>
    <s v="BR"/>
    <x v="5"/>
    <x v="2"/>
    <s v="Q2"/>
    <n v="176"/>
    <n v="56.25"/>
    <s v="48oz"/>
    <n v="0.95"/>
    <n v="9405"/>
    <n v="80.130600000000001"/>
    <n v="53.4375"/>
  </r>
  <r>
    <n v="69572658"/>
    <x v="16"/>
    <n v="12000"/>
    <d v="2023-06-25T00:00:00"/>
    <x v="166"/>
    <x v="5"/>
    <n v="2.1520000000000003E-3"/>
    <n v="25.824000000000002"/>
    <s v="MG"/>
    <x v="5"/>
    <x v="5"/>
    <s v="Q2"/>
    <n v="210"/>
    <n v="57.142857142857146"/>
    <s v="MG Sticks"/>
    <n v="0.93"/>
    <n v="11160"/>
    <n v="24.016320000000004"/>
    <n v="53.142857142857146"/>
  </r>
  <r>
    <n v="69677917"/>
    <x v="16"/>
    <n v="5400"/>
    <d v="2023-06-25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7905834"/>
    <x v="17"/>
    <n v="19720"/>
    <d v="2023-06-25T00:00:00"/>
    <x v="201"/>
    <x v="38"/>
    <n v="3.7839999999999996E-3"/>
    <n v="74.620479999999986"/>
    <s v="BJ"/>
    <x v="5"/>
    <x v="15"/>
    <s v="Q2"/>
    <n v="240"/>
    <n v="82.166666666666671"/>
    <s v="BJ PTS"/>
    <n v="0.9"/>
    <n v="17748"/>
    <n v="67.158431999999991"/>
    <n v="73.95"/>
  </r>
  <r>
    <n v="68188513"/>
    <x v="17"/>
    <n v="12760"/>
    <d v="2023-06-25T00:00:00"/>
    <x v="279"/>
    <x v="33"/>
    <n v="3.7853439999999999E-3"/>
    <n v="48.300989440000002"/>
    <s v="BJ"/>
    <x v="5"/>
    <x v="15"/>
    <s v="Q2"/>
    <n v="240"/>
    <n v="53.166666666666664"/>
    <s v="BJ PTS"/>
    <n v="0.9"/>
    <n v="11484"/>
    <n v="43.470890496000003"/>
    <n v="47.85"/>
  </r>
  <r>
    <n v="67465063"/>
    <x v="15"/>
    <n v="3600"/>
    <d v="2023-06-25T00:00:00"/>
    <x v="3"/>
    <x v="6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66492"/>
    <x v="15"/>
    <n v="18000"/>
    <d v="2023-06-25T00:00:00"/>
    <x v="8"/>
    <x v="8"/>
    <n v="5.2680000000000001E-3"/>
    <n v="94.823999999999998"/>
    <s v="PS"/>
    <x v="5"/>
    <x v="3"/>
    <s v="Q2"/>
    <n v="130"/>
    <n v="138.46153846153845"/>
    <s v="PG"/>
    <n v="0.9"/>
    <n v="16200"/>
    <n v="85.3416"/>
    <n v="124.61538461538461"/>
  </r>
  <r>
    <n v="67466492"/>
    <x v="15"/>
    <n v="3600"/>
    <d v="2023-06-25T00:00:00"/>
    <x v="8"/>
    <x v="8"/>
    <n v="5.2680000000000001E-3"/>
    <n v="18.9648"/>
    <s v="PS"/>
    <x v="5"/>
    <x v="3"/>
    <s v="Q2"/>
    <n v="130"/>
    <n v="27.692307692307693"/>
    <s v="PG"/>
    <n v="0.9"/>
    <n v="3240"/>
    <n v="17.06832"/>
    <n v="24.923076923076923"/>
  </r>
  <r>
    <n v="67476560"/>
    <x v="15"/>
    <n v="3600"/>
    <d v="2023-06-25T00:00:00"/>
    <x v="10"/>
    <x v="10"/>
    <n v="5.1060000000000003E-3"/>
    <n v="18.381600000000002"/>
    <s v="PS"/>
    <x v="5"/>
    <x v="3"/>
    <s v="Q2"/>
    <n v="130"/>
    <n v="27.692307692307693"/>
    <s v="PG"/>
    <n v="0.9"/>
    <n v="3240"/>
    <n v="16.543440000000004"/>
    <n v="24.923076923076923"/>
  </r>
  <r>
    <n v="67885724"/>
    <x v="15"/>
    <n v="10800"/>
    <d v="2023-06-25T00:00:00"/>
    <x v="49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8741714"/>
    <x v="15"/>
    <n v="34500"/>
    <d v="2023-06-25T00:00:00"/>
    <x v="24"/>
    <x v="24"/>
    <n v="2.8319999999999999E-3"/>
    <n v="97.703999999999994"/>
    <s v="GH"/>
    <x v="5"/>
    <x v="4"/>
    <s v="Q2"/>
    <n v="225"/>
    <n v="153.33333333333334"/>
    <s v="MBG"/>
    <n v="0.87"/>
    <n v="30015"/>
    <n v="85.002479999999991"/>
    <n v="133.4"/>
  </r>
  <r>
    <n v="68741714"/>
    <x v="15"/>
    <m/>
    <d v="2023-06-25T00:00:00"/>
    <x v="24"/>
    <x v="24"/>
    <n v="2.8319999999999999E-3"/>
    <n v="0"/>
    <s v="GH"/>
    <x v="5"/>
    <x v="4"/>
    <s v="Q2"/>
    <n v="225"/>
    <n v="0"/>
    <s v="MBG"/>
    <n v="0.87"/>
    <n v="0"/>
    <n v="0"/>
    <n v="0"/>
  </r>
  <r>
    <n v="68850683"/>
    <x v="15"/>
    <n v="12000"/>
    <d v="2023-06-25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9671641"/>
    <x v="15"/>
    <n v="4800"/>
    <d v="2023-06-25T00:00:00"/>
    <x v="260"/>
    <x v="4"/>
    <n v="3.9039999999999999E-3"/>
    <n v="18.7392"/>
    <s v="GH"/>
    <x v="5"/>
    <x v="4"/>
    <s v="Q2"/>
    <n v="154"/>
    <n v="31.168831168831169"/>
    <s v="MBG"/>
    <n v="0.87"/>
    <n v="4176"/>
    <n v="16.303104000000001"/>
    <n v="27.116883116883116"/>
  </r>
  <r>
    <n v="67885721"/>
    <x v="15"/>
    <n v="22800"/>
    <d v="2023-06-26T00:00:00"/>
    <x v="40"/>
    <x v="12"/>
    <n v="8.5199999999999998E-3"/>
    <n v="194.256"/>
    <s v="BR"/>
    <x v="5"/>
    <x v="6"/>
    <s v="Q2"/>
    <n v="154"/>
    <n v="148.05194805194805"/>
    <s v="48oz"/>
    <n v="0.95"/>
    <n v="21660"/>
    <n v="184.54319999999998"/>
    <n v="140.64935064935062"/>
  </r>
  <r>
    <n v="68737750"/>
    <x v="15"/>
    <n v="48000"/>
    <d v="2023-06-26T00:00:00"/>
    <x v="144"/>
    <x v="23"/>
    <n v="8.5199999999999998E-3"/>
    <n v="408.96"/>
    <s v="BR"/>
    <x v="5"/>
    <x v="6"/>
    <s v="Q2"/>
    <n v="176"/>
    <n v="272.72727272727275"/>
    <s v="48oz"/>
    <n v="0.95"/>
    <n v="45600"/>
    <n v="388.51199999999994"/>
    <n v="259.09090909090912"/>
  </r>
  <r>
    <n v="68769685"/>
    <x v="15"/>
    <n v="48000"/>
    <d v="2023-06-26T00:00:00"/>
    <x v="259"/>
    <x v="23"/>
    <n v="8.5199999999999998E-3"/>
    <n v="408.96"/>
    <s v="BR"/>
    <x v="5"/>
    <x v="6"/>
    <s v="Q2"/>
    <n v="176"/>
    <n v="272.72727272727275"/>
    <s v="48oz"/>
    <n v="0.95"/>
    <n v="45600"/>
    <n v="388.51199999999994"/>
    <n v="259.09090909090912"/>
  </r>
  <r>
    <n v="68899826"/>
    <x v="15"/>
    <n v="48000"/>
    <d v="2023-06-26T00:00:00"/>
    <x v="129"/>
    <x v="12"/>
    <n v="8.5199999999999998E-3"/>
    <n v="408.96"/>
    <s v="BR"/>
    <x v="5"/>
    <x v="6"/>
    <s v="Q2"/>
    <n v="176"/>
    <n v="272.72727272727275"/>
    <s v="48oz"/>
    <n v="0.95"/>
    <n v="45600"/>
    <n v="388.51199999999994"/>
    <n v="259.09090909090912"/>
  </r>
  <r>
    <n v="68741742"/>
    <x v="16"/>
    <n v="2700"/>
    <d v="2023-06-26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9577493"/>
    <x v="16"/>
    <n v="3000"/>
    <d v="2023-06-26T00:00:00"/>
    <x v="252"/>
    <x v="5"/>
    <n v="2.0400000000000001E-3"/>
    <n v="6.12"/>
    <s v="MG"/>
    <x v="5"/>
    <x v="5"/>
    <s v="Q2"/>
    <n v="210"/>
    <n v="14.285714285714286"/>
    <s v="MG Sticks"/>
    <n v="0.93"/>
    <n v="2790"/>
    <n v="5.6916000000000002"/>
    <n v="13.285714285714286"/>
  </r>
  <r>
    <n v="69621212"/>
    <x v="16"/>
    <n v="5400"/>
    <d v="2023-06-26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3010"/>
    <x v="16"/>
    <n v="6000"/>
    <d v="2023-06-26T00:00:00"/>
    <x v="360"/>
    <x v="14"/>
    <n v="1.98E-3"/>
    <n v="11.88"/>
    <s v="MG"/>
    <x v="5"/>
    <x v="5"/>
    <s v="Q2"/>
    <n v="143"/>
    <n v="41.95804195804196"/>
    <s v="MG Sticks"/>
    <n v="0.93"/>
    <n v="5580"/>
    <n v="11.048400000000001"/>
    <n v="39.020979020979027"/>
  </r>
  <r>
    <n v="69677917"/>
    <x v="16"/>
    <n v="2700"/>
    <d v="2023-06-26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706133"/>
    <x v="16"/>
    <n v="7000"/>
    <d v="2023-06-26T00:00:00"/>
    <x v="229"/>
    <x v="31"/>
    <n v="3.8999999999999998E-3"/>
    <n v="27.299999999999997"/>
    <s v="TA"/>
    <x v="5"/>
    <x v="42"/>
    <s v="Q2"/>
    <n v="176"/>
    <n v="39.772727272727273"/>
    <s v="TAL NV"/>
    <n v="0.97"/>
    <n v="6790"/>
    <n v="26.480999999999998"/>
    <n v="38.579545454545453"/>
  </r>
  <r>
    <n v="67491117"/>
    <x v="17"/>
    <n v="16240"/>
    <d v="2023-06-26T00:00:00"/>
    <x v="210"/>
    <x v="35"/>
    <n v="3.7853439999999999E-3"/>
    <n v="61.47398656"/>
    <s v="BJ"/>
    <x v="5"/>
    <x v="15"/>
    <s v="Q2"/>
    <n v="240"/>
    <n v="67.666666666666671"/>
    <s v="BJ PTS"/>
    <n v="0.9"/>
    <n v="14616"/>
    <n v="55.326587904"/>
    <n v="60.900000000000006"/>
  </r>
  <r>
    <n v="68188511"/>
    <x v="17"/>
    <n v="35200"/>
    <d v="2023-06-26T00:00:00"/>
    <x v="188"/>
    <x v="33"/>
    <n v="3.7853439999999999E-3"/>
    <n v="133.24410879999999"/>
    <s v="BJ"/>
    <x v="5"/>
    <x v="15"/>
    <s v="Q2"/>
    <n v="240"/>
    <n v="146.66666666666666"/>
    <s v="BJ PTS"/>
    <n v="0.9"/>
    <n v="31680"/>
    <n v="119.91969791999999"/>
    <n v="132"/>
  </r>
  <r>
    <n v="69565376"/>
    <x v="17"/>
    <n v="18560"/>
    <d v="2023-06-26T00:00:00"/>
    <x v="206"/>
    <x v="35"/>
    <n v="3.7839999999999996E-3"/>
    <n v="70.231039999999993"/>
    <s v="BJ"/>
    <x v="5"/>
    <x v="15"/>
    <s v="Q2"/>
    <n v="240"/>
    <n v="77.333333333333329"/>
    <s v="BJ PTS"/>
    <n v="0.9"/>
    <n v="16704"/>
    <n v="63.207935999999997"/>
    <n v="69.599999999999994"/>
  </r>
  <r>
    <n v="67465063"/>
    <x v="15"/>
    <n v="14400"/>
    <d v="2023-06-26T00:00:00"/>
    <x v="3"/>
    <x v="6"/>
    <n v="5.2680000000000001E-3"/>
    <n v="75.859200000000001"/>
    <s v="PS"/>
    <x v="5"/>
    <x v="3"/>
    <s v="Q2"/>
    <n v="130"/>
    <n v="110.76923076923077"/>
    <s v="PG"/>
    <n v="0.9"/>
    <n v="12960"/>
    <n v="68.27328"/>
    <n v="99.692307692307693"/>
  </r>
  <r>
    <n v="67465063"/>
    <x v="15"/>
    <n v="15413"/>
    <d v="2023-06-26T00:00:00"/>
    <x v="3"/>
    <x v="40"/>
    <n v="5.2680000000000001E-3"/>
    <n v="81.195684"/>
    <s v="PS"/>
    <x v="5"/>
    <x v="3"/>
    <s v="Q2"/>
    <n v="130"/>
    <n v="118.56153846153846"/>
    <s v="PG"/>
    <n v="0.9"/>
    <n v="13871.7"/>
    <n v="73.076115600000008"/>
    <n v="106.70538461538462"/>
  </r>
  <r>
    <n v="67465064"/>
    <x v="15"/>
    <n v="13500"/>
    <d v="2023-06-26T00:00:00"/>
    <x v="7"/>
    <x v="3"/>
    <n v="1.596E-3"/>
    <n v="21.545999999999999"/>
    <s v="PS"/>
    <x v="5"/>
    <x v="3"/>
    <s v="Q2"/>
    <n v="130"/>
    <n v="103.84615384615384"/>
    <s v="PG"/>
    <n v="0.9"/>
    <n v="12150"/>
    <n v="19.391400000000001"/>
    <n v="93.461538461538453"/>
  </r>
  <r>
    <n v="67476560"/>
    <x v="15"/>
    <n v="18000"/>
    <d v="2023-06-26T00:00:00"/>
    <x v="10"/>
    <x v="10"/>
    <n v="5.1060000000000003E-3"/>
    <n v="91.908000000000001"/>
    <s v="PS"/>
    <x v="5"/>
    <x v="3"/>
    <s v="Q2"/>
    <n v="130"/>
    <n v="138.46153846153845"/>
    <s v="PG"/>
    <n v="0.9"/>
    <n v="16200"/>
    <n v="82.717200000000005"/>
    <n v="124.61538461538461"/>
  </r>
  <r>
    <n v="67723726"/>
    <x v="15"/>
    <n v="48000"/>
    <d v="2023-06-26T00:00:00"/>
    <x v="109"/>
    <x v="23"/>
    <n v="8.5199999999999998E-3"/>
    <n v="408.96"/>
    <s v="BR"/>
    <x v="5"/>
    <x v="6"/>
    <s v="Q2"/>
    <n v="154"/>
    <n v="311.68831168831167"/>
    <s v="48oz"/>
    <n v="0.95"/>
    <n v="45600"/>
    <n v="388.51199999999994"/>
    <n v="296.10389610389609"/>
  </r>
  <r>
    <n v="67885720"/>
    <x v="15"/>
    <n v="2850"/>
    <d v="2023-06-26T00:00:00"/>
    <x v="39"/>
    <x v="12"/>
    <n v="8.5199999999999998E-3"/>
    <n v="24.282"/>
    <s v="BR"/>
    <x v="5"/>
    <x v="6"/>
    <s v="Q2"/>
    <n v="154"/>
    <n v="18.506493506493506"/>
    <s v="48oz"/>
    <n v="0.95"/>
    <n v="2707.5"/>
    <n v="23.067899999999998"/>
    <n v="17.581168831168828"/>
  </r>
  <r>
    <n v="67885722"/>
    <x v="15"/>
    <n v="3150"/>
    <d v="2023-06-26T00:00:00"/>
    <x v="163"/>
    <x v="11"/>
    <n v="8.5199999999999998E-3"/>
    <n v="26.838000000000001"/>
    <s v="BR"/>
    <x v="5"/>
    <x v="6"/>
    <s v="Q2"/>
    <n v="154"/>
    <n v="20.454545454545453"/>
    <s v="48oz"/>
    <n v="0.95"/>
    <n v="2992.5"/>
    <n v="25.496099999999998"/>
    <n v="19.43181818181818"/>
  </r>
  <r>
    <n v="67885723"/>
    <x v="15"/>
    <n v="5700"/>
    <d v="2023-06-26T00:00:00"/>
    <x v="304"/>
    <x v="12"/>
    <n v="8.5199999999999998E-3"/>
    <n v="48.564"/>
    <s v="BR"/>
    <x v="5"/>
    <x v="6"/>
    <s v="Q2"/>
    <n v="154"/>
    <n v="37.012987012987011"/>
    <s v="48oz"/>
    <n v="0.95"/>
    <n v="5415"/>
    <n v="46.135799999999996"/>
    <n v="35.162337662337656"/>
  </r>
  <r>
    <n v="67885724"/>
    <x v="15"/>
    <n v="10800"/>
    <d v="2023-06-26T00:00:00"/>
    <x v="49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7901584"/>
    <x v="15"/>
    <n v="7000"/>
    <d v="2023-06-26T00:00:00"/>
    <x v="51"/>
    <x v="11"/>
    <n v="8.5199999999999998E-3"/>
    <n v="59.64"/>
    <s v="BR"/>
    <x v="5"/>
    <x v="6"/>
    <s v="Q2"/>
    <n v="154"/>
    <n v="45.454545454545453"/>
    <s v="48oz"/>
    <n v="0.95"/>
    <n v="6650"/>
    <n v="56.658000000000001"/>
    <n v="43.18181818181818"/>
  </r>
  <r>
    <n v="68188183"/>
    <x v="15"/>
    <n v="19500"/>
    <d v="2023-06-26T00:00:00"/>
    <x v="70"/>
    <x v="9"/>
    <n v="3.8340000000000002E-3"/>
    <n v="74.763000000000005"/>
    <s v="PS"/>
    <x v="5"/>
    <x v="3"/>
    <s v="Q2"/>
    <n v="130"/>
    <n v="150"/>
    <s v="PG"/>
    <n v="0.9"/>
    <n v="17550"/>
    <n v="67.28670000000001"/>
    <n v="135"/>
  </r>
  <r>
    <n v="68634166"/>
    <x v="15"/>
    <n v="2760"/>
    <d v="2023-06-26T00:00:00"/>
    <x v="319"/>
    <x v="23"/>
    <n v="8.5170239596469108E-3"/>
    <n v="23.506986128625474"/>
    <s v="BR"/>
    <x v="5"/>
    <x v="6"/>
    <s v="Q2"/>
    <n v="154"/>
    <n v="17.922077922077921"/>
    <s v="48oz"/>
    <n v="0.95"/>
    <n v="2622"/>
    <n v="22.331636822194199"/>
    <n v="17.025974025974026"/>
  </r>
  <r>
    <n v="68769686"/>
    <x v="15"/>
    <n v="3150"/>
    <d v="2023-06-26T00:00:00"/>
    <x v="266"/>
    <x v="23"/>
    <n v="8.513999999999999E-3"/>
    <n v="26.819099999999995"/>
    <s v="BR"/>
    <x v="5"/>
    <x v="6"/>
    <s v="Q2"/>
    <n v="154"/>
    <n v="20.454545454545453"/>
    <s v="48oz"/>
    <n v="0.95"/>
    <n v="2992.5"/>
    <n v="25.478144999999994"/>
    <n v="19.43181818181818"/>
  </r>
  <r>
    <n v="68850683"/>
    <x v="15"/>
    <n v="12000"/>
    <d v="2023-06-26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8850684"/>
    <x v="15"/>
    <n v="25200"/>
    <d v="2023-06-26T00:00:00"/>
    <x v="354"/>
    <x v="11"/>
    <n v="8.5199999999999998E-3"/>
    <n v="214.70400000000001"/>
    <s v="BR"/>
    <x v="5"/>
    <x v="6"/>
    <s v="Q2"/>
    <n v="176"/>
    <n v="143.18181818181819"/>
    <s v="48oz"/>
    <n v="0.95"/>
    <n v="23940"/>
    <n v="203.96879999999999"/>
    <n v="136.02272727272728"/>
  </r>
  <r>
    <n v="68881269"/>
    <x v="15"/>
    <n v="46000"/>
    <d v="2023-06-26T00:00:00"/>
    <x v="16"/>
    <x v="16"/>
    <n v="8.5199999999999998E-3"/>
    <n v="391.92"/>
    <s v="BR"/>
    <x v="5"/>
    <x v="6"/>
    <s v="Q2"/>
    <n v="154"/>
    <n v="298.7012987012987"/>
    <s v="48oz"/>
    <n v="0.95"/>
    <n v="43700"/>
    <n v="372.32400000000001"/>
    <n v="283.76623376623377"/>
  </r>
  <r>
    <n v="68881270"/>
    <x v="15"/>
    <n v="11900"/>
    <d v="2023-06-26T00:00:00"/>
    <x v="91"/>
    <x v="12"/>
    <n v="8.5199999999999998E-3"/>
    <n v="101.38799999999999"/>
    <s v="BR"/>
    <x v="5"/>
    <x v="6"/>
    <s v="Q2"/>
    <n v="176"/>
    <n v="67.61363636363636"/>
    <s v="48oz"/>
    <n v="0.95"/>
    <n v="11305"/>
    <n v="96.318599999999989"/>
    <n v="64.232954545454533"/>
  </r>
  <r>
    <n v="68930545"/>
    <x v="15"/>
    <n v="22800"/>
    <d v="2023-06-26T00:00:00"/>
    <x v="93"/>
    <x v="12"/>
    <n v="8.5199999999999998E-3"/>
    <n v="194.256"/>
    <s v="BR"/>
    <x v="5"/>
    <x v="6"/>
    <s v="Q2"/>
    <n v="176"/>
    <n v="129.54545454545453"/>
    <s v="48oz"/>
    <n v="0.95"/>
    <n v="21660"/>
    <n v="184.54319999999998"/>
    <n v="123.0681818181818"/>
  </r>
  <r>
    <n v="69671641"/>
    <x v="15"/>
    <n v="26400"/>
    <d v="2023-06-26T00:00:00"/>
    <x v="260"/>
    <x v="4"/>
    <n v="3.9039999999999999E-3"/>
    <n v="103.0656"/>
    <s v="GH"/>
    <x v="5"/>
    <x v="4"/>
    <s v="Q2"/>
    <n v="154"/>
    <n v="171.42857142857142"/>
    <s v="MBG"/>
    <n v="0.87"/>
    <n v="22968"/>
    <n v="89.667072000000005"/>
    <n v="149.14285714285714"/>
  </r>
  <r>
    <n v="67885723"/>
    <x v="16"/>
    <n v="13200"/>
    <d v="2023-06-26T00:00:00"/>
    <x v="304"/>
    <x v="13"/>
    <n v="8.5199999999999998E-3"/>
    <n v="112.464"/>
    <s v="BR"/>
    <x v="5"/>
    <x v="2"/>
    <s v="Q2"/>
    <n v="154"/>
    <n v="85.714285714285708"/>
    <s v="48oz"/>
    <n v="0.95"/>
    <n v="12540"/>
    <n v="106.84079999999999"/>
    <n v="81.428571428571416"/>
  </r>
  <r>
    <n v="67901589"/>
    <x v="16"/>
    <n v="45600"/>
    <d v="2023-06-26T00:00:00"/>
    <x v="220"/>
    <x v="32"/>
    <n v="8.5199999999999998E-3"/>
    <n v="388.512"/>
    <s v="BR"/>
    <x v="5"/>
    <x v="2"/>
    <s v="Q2"/>
    <n v="154"/>
    <n v="296.10389610389609"/>
    <s v="48oz"/>
    <n v="0.95"/>
    <n v="43320"/>
    <n v="369.08639999999997"/>
    <n v="281.29870129870125"/>
  </r>
  <r>
    <n v="68881270"/>
    <x v="16"/>
    <n v="13200"/>
    <d v="2023-06-26T00:00:00"/>
    <x v="91"/>
    <x v="13"/>
    <n v="8.5199999999999998E-3"/>
    <n v="112.464"/>
    <s v="BR"/>
    <x v="5"/>
    <x v="2"/>
    <s v="Q2"/>
    <n v="176"/>
    <n v="75"/>
    <s v="48oz"/>
    <n v="0.95"/>
    <n v="12540"/>
    <n v="106.84079999999999"/>
    <n v="71.25"/>
  </r>
  <r>
    <n v="68896056"/>
    <x v="16"/>
    <n v="26400"/>
    <d v="2023-06-26T00:00:00"/>
    <x v="116"/>
    <x v="13"/>
    <n v="8.5199999999999998E-3"/>
    <n v="224.928"/>
    <s v="BR"/>
    <x v="5"/>
    <x v="2"/>
    <s v="Q2"/>
    <n v="176"/>
    <n v="150"/>
    <s v="48oz"/>
    <n v="0.95"/>
    <n v="25080"/>
    <n v="213.68159999999997"/>
    <n v="142.5"/>
  </r>
  <r>
    <n v="69587863"/>
    <x v="16"/>
    <n v="26400"/>
    <d v="2023-06-26T00:00:00"/>
    <x v="249"/>
    <x v="13"/>
    <n v="8.5199999999999998E-3"/>
    <n v="224.928"/>
    <s v="BR"/>
    <x v="5"/>
    <x v="2"/>
    <s v="Q2"/>
    <n v="154"/>
    <n v="171.42857142857142"/>
    <s v="48oz"/>
    <n v="0.95"/>
    <n v="25080"/>
    <n v="213.68159999999997"/>
    <n v="162.85714285714283"/>
  </r>
  <r>
    <n v="69621212"/>
    <x v="16"/>
    <n v="29700"/>
    <d v="2023-06-26T00:00:00"/>
    <x v="29"/>
    <x v="28"/>
    <n v="5.2680000000000001E-3"/>
    <n v="156.45959999999999"/>
    <s v="PG"/>
    <x v="5"/>
    <x v="14"/>
    <s v="Q2"/>
    <n v="130"/>
    <n v="228.46153846153845"/>
    <s v="PG"/>
    <n v="0.9"/>
    <n v="26730"/>
    <n v="140.81363999999999"/>
    <n v="205.61538461538461"/>
  </r>
  <r>
    <n v="84135718"/>
    <x v="18"/>
    <n v="9900"/>
    <d v="2023-06-26T00:00:00"/>
    <x v="147"/>
    <x v="38"/>
    <n v="3.7853439999999999E-3"/>
    <n v="37.4749056"/>
    <s v="BJ"/>
    <x v="5"/>
    <x v="36"/>
    <s v="Q2"/>
    <n v="240"/>
    <n v="41.25"/>
    <s v="BJ PTS"/>
    <n v="0.9"/>
    <n v="8910"/>
    <n v="33.727415040000004"/>
    <n v="37.125"/>
  </r>
  <r>
    <n v="84135758"/>
    <x v="17"/>
    <n v="59150"/>
    <d v="2023-06-26T00:00:00"/>
    <x v="130"/>
    <x v="33"/>
    <n v="1.4399999999999999E-3"/>
    <n v="85.175999999999988"/>
    <s v="BJ"/>
    <x v="5"/>
    <x v="16"/>
    <s v="Q2"/>
    <n v="510"/>
    <n v="115.98039215686275"/>
    <s v="B&amp;J Cups"/>
    <n v="0.85"/>
    <n v="50277.5"/>
    <n v="72.399599999999992"/>
    <n v="98.583333333333329"/>
  </r>
  <r>
    <n v="67885722"/>
    <x v="16"/>
    <n v="5700"/>
    <d v="2023-06-27T00:00:00"/>
    <x v="163"/>
    <x v="32"/>
    <n v="8.5199999999999998E-3"/>
    <n v="48.564"/>
    <s v="BR"/>
    <x v="5"/>
    <x v="2"/>
    <s v="Q2"/>
    <n v="154"/>
    <n v="37.012987012987011"/>
    <s v="48oz"/>
    <n v="0.95"/>
    <n v="5415"/>
    <n v="46.135799999999996"/>
    <n v="35.162337662337656"/>
  </r>
  <r>
    <n v="68354586"/>
    <x v="16"/>
    <n v="39900"/>
    <d v="2023-06-27T00:00:00"/>
    <x v="309"/>
    <x v="15"/>
    <n v="3.5999999999999999E-3"/>
    <n v="143.63999999999999"/>
    <s v="BJ"/>
    <x v="5"/>
    <x v="19"/>
    <s v="Q2"/>
    <n v="240"/>
    <n v="166.25"/>
    <s v="TOPPED"/>
    <n v="0.91"/>
    <n v="36309"/>
    <n v="130.7124"/>
    <n v="151.28749999999999"/>
  </r>
  <r>
    <n v="68354588"/>
    <x v="16"/>
    <n v="55100"/>
    <d v="2023-06-27T00:00:00"/>
    <x v="173"/>
    <x v="15"/>
    <n v="3.5999999999999999E-3"/>
    <n v="198.35999999999999"/>
    <s v="BJ"/>
    <x v="5"/>
    <x v="19"/>
    <s v="Q2"/>
    <n v="240"/>
    <n v="229.58333333333334"/>
    <s v="TOPPED"/>
    <n v="0.91"/>
    <n v="50141"/>
    <n v="180.5076"/>
    <n v="208.92083333333335"/>
  </r>
  <r>
    <n v="68656229"/>
    <x v="16"/>
    <n v="22050"/>
    <d v="2023-06-27T00:00:00"/>
    <x v="208"/>
    <x v="2"/>
    <n v="8.5199999999999998E-3"/>
    <n v="187.86599999999999"/>
    <s v="BR"/>
    <x v="5"/>
    <x v="2"/>
    <s v="Q2"/>
    <n v="154"/>
    <n v="143.18181818181819"/>
    <s v="48oz"/>
    <n v="0.95"/>
    <n v="20947.5"/>
    <n v="178.47269999999997"/>
    <n v="136.02272727272728"/>
  </r>
  <r>
    <n v="68659722"/>
    <x v="16"/>
    <n v="25000"/>
    <d v="2023-06-27T00:00:00"/>
    <x v="310"/>
    <x v="22"/>
    <n v="3.7853439999999999E-3"/>
    <n v="94.633600000000001"/>
    <s v="TA"/>
    <x v="5"/>
    <x v="10"/>
    <s v="Q2"/>
    <n v="255"/>
    <n v="98.039215686274517"/>
    <s v="TALENTI"/>
    <n v="0.94"/>
    <n v="23500"/>
    <n v="88.955584000000002"/>
    <n v="92.156862745098039"/>
  </r>
  <r>
    <n v="68729627"/>
    <x v="16"/>
    <n v="25000"/>
    <d v="2023-06-27T00:00:00"/>
    <x v="362"/>
    <x v="22"/>
    <n v="3.7853439999999999E-3"/>
    <n v="94.633600000000001"/>
    <s v="TA"/>
    <x v="5"/>
    <x v="10"/>
    <s v="Q2"/>
    <n v="255"/>
    <n v="98.039215686274517"/>
    <s v="TALENTI"/>
    <n v="0.94"/>
    <n v="23500"/>
    <n v="88.955584000000002"/>
    <n v="92.156862745098039"/>
  </r>
  <r>
    <n v="68729649"/>
    <x v="16"/>
    <n v="25000"/>
    <d v="2023-06-27T00:00:00"/>
    <x v="237"/>
    <x v="22"/>
    <n v="3.7853439999999999E-3"/>
    <n v="94.633600000000001"/>
    <s v="TA"/>
    <x v="5"/>
    <x v="10"/>
    <s v="Q2"/>
    <n v="255"/>
    <n v="98.039215686274517"/>
    <s v="TALENTI"/>
    <n v="0.94"/>
    <n v="23500"/>
    <n v="88.955584000000002"/>
    <n v="92.156862745098039"/>
  </r>
  <r>
    <n v="68730234"/>
    <x v="16"/>
    <n v="57000"/>
    <d v="2023-06-27T00:00:00"/>
    <x v="21"/>
    <x v="21"/>
    <n v="3.7853440000000004E-3"/>
    <n v="215.76460800000001"/>
    <s v="TA"/>
    <x v="5"/>
    <x v="10"/>
    <s v="Q2"/>
    <n v="255"/>
    <n v="223.52941176470588"/>
    <s v="TALENTI"/>
    <n v="0.94"/>
    <n v="53580"/>
    <n v="202.81873152"/>
    <n v="210.11764705882351"/>
  </r>
  <r>
    <n v="68741742"/>
    <x v="16"/>
    <n v="5400"/>
    <d v="2023-06-27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8817793"/>
    <x v="16"/>
    <n v="0"/>
    <d v="2023-06-27T00:00:00"/>
    <x v="48"/>
    <x v="32"/>
    <n v="8.5199999999999998E-3"/>
    <n v="0"/>
    <s v="BR"/>
    <x v="5"/>
    <x v="2"/>
    <s v="Q2"/>
    <n v="176"/>
    <n v="0"/>
    <s v="48oz"/>
    <n v="0.95"/>
    <n v="0"/>
    <n v="0"/>
    <n v="0"/>
  </r>
  <r>
    <n v="68817801"/>
    <x v="16"/>
    <n v="0"/>
    <d v="2023-06-27T00:00:00"/>
    <x v="183"/>
    <x v="32"/>
    <n v="8.4600000000000005E-3"/>
    <n v="0"/>
    <s v="BR"/>
    <x v="5"/>
    <x v="2"/>
    <s v="Q2"/>
    <n v="176"/>
    <n v="0"/>
    <s v="48oz"/>
    <n v="0.95"/>
    <n v="0"/>
    <n v="0"/>
    <n v="0"/>
  </r>
  <r>
    <n v="68821729"/>
    <x v="16"/>
    <n v="0"/>
    <d v="2023-06-27T00:00:00"/>
    <x v="142"/>
    <x v="2"/>
    <n v="8.5199999999999998E-3"/>
    <n v="0"/>
    <s v="BR"/>
    <x v="5"/>
    <x v="2"/>
    <s v="Q2"/>
    <n v="176"/>
    <n v="0"/>
    <s v="48oz"/>
    <n v="0.95"/>
    <n v="0"/>
    <n v="0"/>
    <n v="0"/>
  </r>
  <r>
    <n v="68881270"/>
    <x v="16"/>
    <n v="0"/>
    <d v="2023-06-27T00:00:00"/>
    <x v="91"/>
    <x v="2"/>
    <n v="8.5199999999999998E-3"/>
    <n v="0"/>
    <s v="BR"/>
    <x v="5"/>
    <x v="2"/>
    <s v="Q2"/>
    <n v="176"/>
    <n v="0"/>
    <s v="48oz"/>
    <n v="0.95"/>
    <n v="0"/>
    <n v="0"/>
    <n v="0"/>
  </r>
  <r>
    <n v="68896057"/>
    <x v="16"/>
    <n v="22050"/>
    <d v="2023-06-27T00:00:00"/>
    <x v="46"/>
    <x v="2"/>
    <n v="8.5199999999999998E-3"/>
    <n v="187.86599999999999"/>
    <s v="BR"/>
    <x v="5"/>
    <x v="2"/>
    <s v="Q2"/>
    <n v="176"/>
    <n v="125.28409090909091"/>
    <s v="48oz"/>
    <n v="0.95"/>
    <n v="20947.5"/>
    <n v="178.47269999999997"/>
    <n v="119.01988636363636"/>
  </r>
  <r>
    <n v="69555090"/>
    <x v="16"/>
    <n v="6400"/>
    <d v="2023-06-27T00:00:00"/>
    <x v="254"/>
    <x v="14"/>
    <n v="1.98E-3"/>
    <n v="12.672000000000001"/>
    <s v="TA"/>
    <x v="5"/>
    <x v="42"/>
    <s v="Q2"/>
    <n v="176"/>
    <n v="36.363636363636367"/>
    <s v="TAL NV"/>
    <n v="0.97"/>
    <n v="6208"/>
    <n v="12.291840000000001"/>
    <n v="35.272727272727273"/>
  </r>
  <r>
    <n v="69568964"/>
    <x v="16"/>
    <n v="23400"/>
    <d v="2023-06-27T00:00:00"/>
    <x v="134"/>
    <x v="32"/>
    <n v="8.5199999999999998E-3"/>
    <n v="199.36799999999999"/>
    <s v="BR"/>
    <x v="5"/>
    <x v="2"/>
    <s v="Q2"/>
    <n v="176"/>
    <n v="132.95454545454547"/>
    <s v="48oz"/>
    <n v="0.95"/>
    <n v="22230"/>
    <n v="189.39959999999999"/>
    <n v="126.30681818181819"/>
  </r>
  <r>
    <n v="69577493"/>
    <x v="16"/>
    <n v="12000"/>
    <d v="2023-06-27T00:00:00"/>
    <x v="252"/>
    <x v="5"/>
    <n v="2.0400000000000001E-3"/>
    <n v="24.48"/>
    <s v="MG"/>
    <x v="5"/>
    <x v="5"/>
    <s v="Q2"/>
    <n v="210"/>
    <n v="57.142857142857146"/>
    <s v="MG Sticks"/>
    <n v="0.93"/>
    <n v="11160"/>
    <n v="22.766400000000001"/>
    <n v="53.142857142857146"/>
  </r>
  <r>
    <n v="69621212"/>
    <x v="16"/>
    <n v="5400"/>
    <d v="2023-06-27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27000"/>
    <d v="2023-06-27T00:00:00"/>
    <x v="30"/>
    <x v="30"/>
    <n v="5.2680000000000001E-3"/>
    <n v="142.23599999999999"/>
    <s v="PS"/>
    <x v="5"/>
    <x v="14"/>
    <s v="Q2"/>
    <n v="108"/>
    <n v="250"/>
    <s v="PG"/>
    <n v="0.9"/>
    <n v="24300"/>
    <n v="128.01239999999999"/>
    <n v="225"/>
  </r>
  <r>
    <n v="69677917"/>
    <x v="16"/>
    <n v="5400"/>
    <d v="2023-06-27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691809"/>
    <x v="16"/>
    <n v="25650"/>
    <d v="2023-06-27T00:00:00"/>
    <x v="283"/>
    <x v="21"/>
    <n v="3.7839999999999996E-3"/>
    <n v="97.059599999999989"/>
    <s v="TA"/>
    <x v="5"/>
    <x v="10"/>
    <s v="Q2"/>
    <n v="255"/>
    <n v="100.58823529411765"/>
    <s v="TALENTI"/>
    <n v="0.94"/>
    <n v="24111"/>
    <n v="91.236023999999986"/>
    <n v="94.552941176470583"/>
  </r>
  <r>
    <n v="69691816"/>
    <x v="16"/>
    <n v="57000"/>
    <d v="2023-06-27T00:00:00"/>
    <x v="139"/>
    <x v="21"/>
    <n v="3.7839999999999996E-3"/>
    <n v="215.68799999999999"/>
    <s v="TA"/>
    <x v="5"/>
    <x v="10"/>
    <s v="Q2"/>
    <n v="255"/>
    <n v="223.52941176470588"/>
    <s v="TALENTI"/>
    <n v="0.94"/>
    <n v="53580"/>
    <n v="202.74671999999998"/>
    <n v="210.11764705882351"/>
  </r>
  <r>
    <n v="69706133"/>
    <x v="16"/>
    <n v="8400"/>
    <d v="2023-06-27T00:00:00"/>
    <x v="229"/>
    <x v="31"/>
    <n v="3.8999999999999998E-3"/>
    <n v="32.76"/>
    <s v="TA"/>
    <x v="5"/>
    <x v="42"/>
    <s v="Q2"/>
    <n v="176"/>
    <n v="47.727272727272727"/>
    <s v="TAL NV"/>
    <n v="0.97"/>
    <n v="8148"/>
    <n v="31.777199999999997"/>
    <n v="46.295454545454547"/>
  </r>
  <r>
    <n v="84135781"/>
    <x v="16"/>
    <n v="22800"/>
    <d v="2023-06-27T00:00:00"/>
    <x v="356"/>
    <x v="15"/>
    <n v="3.7853439999999999E-3"/>
    <n v="86.305843199999998"/>
    <s v="BJ"/>
    <x v="5"/>
    <x v="30"/>
    <s v="Q2"/>
    <n v="240"/>
    <n v="95"/>
    <s v="BJ PTS"/>
    <n v="0.9"/>
    <n v="20520"/>
    <n v="77.675258880000001"/>
    <n v="85.5"/>
  </r>
  <r>
    <n v="84137725"/>
    <x v="17"/>
    <n v="6960"/>
    <d v="2023-06-27T00:00:00"/>
    <x v="132"/>
    <x v="35"/>
    <n v="3.7853439999999999E-3"/>
    <n v="26.34599424"/>
    <s v="BJ"/>
    <x v="5"/>
    <x v="15"/>
    <s v="Q2"/>
    <n v="240"/>
    <n v="29"/>
    <s v="BJ PTS"/>
    <n v="0.9"/>
    <n v="6264"/>
    <n v="23.711394815999999"/>
    <n v="26.1"/>
  </r>
  <r>
    <n v="67885724"/>
    <x v="15"/>
    <n v="10800"/>
    <d v="2023-06-27T00:00:00"/>
    <x v="49"/>
    <x v="12"/>
    <n v="8.5199999999999998E-3"/>
    <n v="92.015999999999991"/>
    <s v="BR"/>
    <x v="5"/>
    <x v="6"/>
    <s v="Q2"/>
    <n v="154"/>
    <n v="70.129870129870127"/>
    <s v="48oz"/>
    <n v="0.95"/>
    <n v="10260"/>
    <n v="87.415199999999984"/>
    <n v="66.623376623376615"/>
  </r>
  <r>
    <n v="68850683"/>
    <x v="15"/>
    <n v="12000"/>
    <d v="2023-06-27T00:00:00"/>
    <x v="335"/>
    <x v="11"/>
    <n v="8.5199999999999998E-3"/>
    <n v="102.24"/>
    <s v="BR"/>
    <x v="5"/>
    <x v="6"/>
    <s v="Q2"/>
    <n v="176"/>
    <n v="68.181818181818187"/>
    <s v="48oz"/>
    <n v="0.95"/>
    <n v="11400"/>
    <n v="97.127999999999986"/>
    <n v="64.77272727272728"/>
  </r>
  <r>
    <n v="67881629"/>
    <x v="17"/>
    <n v="34800"/>
    <d v="2023-06-27T00:00:00"/>
    <x v="65"/>
    <x v="33"/>
    <n v="3.7853439999999999E-3"/>
    <n v="131.72997119999999"/>
    <s v="BJ"/>
    <x v="5"/>
    <x v="15"/>
    <s v="Q2"/>
    <n v="240"/>
    <n v="145"/>
    <s v="BJ PTS"/>
    <n v="0.9"/>
    <n v="31320"/>
    <n v="118.55697408"/>
    <n v="130.5"/>
  </r>
  <r>
    <n v="84137725"/>
    <x v="17"/>
    <n v="29000"/>
    <d v="2023-06-27T00:00:00"/>
    <x v="132"/>
    <x v="35"/>
    <n v="3.7853439999999999E-3"/>
    <n v="109.774976"/>
    <s v="BJ"/>
    <x v="5"/>
    <x v="15"/>
    <s v="Q2"/>
    <n v="240"/>
    <n v="120.83333333333333"/>
    <s v="BJ PTS"/>
    <n v="0.9"/>
    <n v="26100"/>
    <n v="98.797478400000003"/>
    <n v="108.75"/>
  </r>
  <r>
    <n v="84135718"/>
    <x v="18"/>
    <n v="105600"/>
    <d v="2023-06-27T00:00:00"/>
    <x v="147"/>
    <x v="38"/>
    <n v="3.7853439999999999E-3"/>
    <n v="399.73232639999998"/>
    <s v="BJ"/>
    <x v="5"/>
    <x v="36"/>
    <s v="Q2"/>
    <n v="240"/>
    <n v="440"/>
    <s v="BJ PTS"/>
    <n v="0.9"/>
    <n v="95040"/>
    <n v="359.75909375999998"/>
    <n v="396"/>
  </r>
  <r>
    <n v="68741742"/>
    <x v="16"/>
    <n v="5400"/>
    <d v="2023-06-28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9555090"/>
    <x v="16"/>
    <n v="9600"/>
    <d v="2023-06-28T00:00:00"/>
    <x v="254"/>
    <x v="14"/>
    <n v="1.98E-3"/>
    <n v="19.007999999999999"/>
    <s v="TA"/>
    <x v="5"/>
    <x v="42"/>
    <s v="Q2"/>
    <n v="176"/>
    <n v="54.545454545454547"/>
    <s v="TAL NV"/>
    <n v="0.97"/>
    <n v="9312"/>
    <n v="18.437759999999997"/>
    <n v="52.909090909090907"/>
  </r>
  <r>
    <n v="69577493"/>
    <x v="16"/>
    <n v="12000"/>
    <d v="2023-06-28T00:00:00"/>
    <x v="252"/>
    <x v="5"/>
    <n v="2.0400000000000001E-3"/>
    <n v="24.48"/>
    <s v="MG"/>
    <x v="5"/>
    <x v="5"/>
    <s v="Q2"/>
    <n v="210"/>
    <n v="57.142857142857146"/>
    <s v="MG Sticks"/>
    <n v="0.93"/>
    <n v="11160"/>
    <n v="22.766400000000001"/>
    <n v="53.142857142857146"/>
  </r>
  <r>
    <n v="69621212"/>
    <x v="16"/>
    <n v="5400"/>
    <d v="2023-06-28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6-28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06133"/>
    <x v="16"/>
    <n v="5600"/>
    <d v="2023-06-28T00:00:00"/>
    <x v="229"/>
    <x v="31"/>
    <n v="3.8999999999999998E-3"/>
    <n v="21.84"/>
    <s v="TA"/>
    <x v="5"/>
    <x v="42"/>
    <s v="Q2"/>
    <n v="176"/>
    <n v="31.818181818181817"/>
    <s v="TAL NV"/>
    <n v="0.97"/>
    <n v="5432"/>
    <n v="21.184799999999999"/>
    <n v="30.86363636363636"/>
  </r>
  <r>
    <n v="67789313"/>
    <x v="17"/>
    <n v="41760"/>
    <d v="2023-06-28T00:00:00"/>
    <x v="169"/>
    <x v="35"/>
    <n v="3.7853439999999999E-3"/>
    <n v="158.07596544"/>
    <s v="BJ"/>
    <x v="5"/>
    <x v="15"/>
    <s v="Q2"/>
    <n v="240"/>
    <n v="174"/>
    <s v="BJ PTS"/>
    <n v="0.9"/>
    <n v="37584"/>
    <n v="142.268368896"/>
    <n v="156.6"/>
  </r>
  <r>
    <n v="68741742"/>
    <x v="16"/>
    <n v="2700"/>
    <d v="2023-06-29T00:00:00"/>
    <x v="25"/>
    <x v="25"/>
    <n v="4.2560000000000002E-3"/>
    <n v="11.491200000000001"/>
    <s v="GH"/>
    <x v="5"/>
    <x v="11"/>
    <s v="Q2"/>
    <n v="154"/>
    <n v="17.532467532467532"/>
    <s v="MBG"/>
    <n v="0.87"/>
    <n v="2349"/>
    <n v="9.997344"/>
    <n v="15.253246753246753"/>
  </r>
  <r>
    <n v="69555090"/>
    <x v="16"/>
    <n v="9600"/>
    <d v="2023-06-29T00:00:00"/>
    <x v="254"/>
    <x v="14"/>
    <n v="1.98E-3"/>
    <n v="19.007999999999999"/>
    <s v="TA"/>
    <x v="5"/>
    <x v="42"/>
    <s v="Q2"/>
    <n v="176"/>
    <n v="54.545454545454547"/>
    <s v="TAL NV"/>
    <n v="0.97"/>
    <n v="9312"/>
    <n v="18.437759999999997"/>
    <n v="52.909090909090907"/>
  </r>
  <r>
    <n v="69577493"/>
    <x v="16"/>
    <n v="8000"/>
    <d v="2023-06-29T00:00:00"/>
    <x v="252"/>
    <x v="5"/>
    <n v="2.0400000000000001E-3"/>
    <n v="16.32"/>
    <s v="MG"/>
    <x v="5"/>
    <x v="5"/>
    <s v="Q2"/>
    <n v="210"/>
    <n v="38.095238095238095"/>
    <s v="MG Sticks"/>
    <n v="0.93"/>
    <n v="7440"/>
    <n v="15.177600000000002"/>
    <n v="35.428571428571431"/>
  </r>
  <r>
    <n v="69621212"/>
    <x v="16"/>
    <n v="5400"/>
    <d v="2023-06-29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2700"/>
    <d v="2023-06-29T00:00:00"/>
    <x v="30"/>
    <x v="30"/>
    <n v="5.2680000000000001E-3"/>
    <n v="14.223600000000001"/>
    <s v="PS"/>
    <x v="5"/>
    <x v="14"/>
    <s v="Q2"/>
    <n v="108"/>
    <n v="25"/>
    <s v="PG"/>
    <n v="0.9"/>
    <n v="2430"/>
    <n v="12.801240000000002"/>
    <n v="22.5"/>
  </r>
  <r>
    <n v="69706133"/>
    <x v="16"/>
    <n v="8400"/>
    <d v="2023-06-29T00:00:00"/>
    <x v="229"/>
    <x v="31"/>
    <n v="3.8999999999999998E-3"/>
    <n v="32.76"/>
    <s v="TA"/>
    <x v="5"/>
    <x v="42"/>
    <s v="Q2"/>
    <n v="176"/>
    <n v="47.727272727272727"/>
    <s v="TAL NV"/>
    <n v="0.97"/>
    <n v="8148"/>
    <n v="31.777199999999997"/>
    <n v="46.295454545454547"/>
  </r>
  <r>
    <n v="67466492"/>
    <x v="15"/>
    <n v="11250"/>
    <d v="2023-06-29T00:00:00"/>
    <x v="8"/>
    <x v="7"/>
    <n v="5.2680000000000001E-3"/>
    <n v="59.265000000000001"/>
    <s v="PS"/>
    <x v="5"/>
    <x v="3"/>
    <s v="Q2"/>
    <n v="130"/>
    <n v="86.538461538461533"/>
    <s v="PG"/>
    <n v="0.9"/>
    <n v="10125"/>
    <n v="53.338500000000003"/>
    <n v="77.884615384615387"/>
  </r>
  <r>
    <n v="84151113"/>
    <x v="17"/>
    <n v="16020"/>
    <d v="2023-06-29T00:00:00"/>
    <x v="161"/>
    <x v="33"/>
    <n v="1.419504E-3"/>
    <n v="22.740454079999999"/>
    <s v="BJ"/>
    <x v="5"/>
    <x v="31"/>
    <s v="Q2"/>
    <n v="510"/>
    <n v="31.411764705882351"/>
    <s v="Cup Exports"/>
    <n v="0.85"/>
    <n v="13617"/>
    <n v="19.329385968"/>
    <n v="26.7"/>
  </r>
  <r>
    <n v="84161610"/>
    <x v="17"/>
    <n v="35960"/>
    <d v="2023-06-29T00:00:00"/>
    <x v="99"/>
    <x v="38"/>
    <n v="3.7853439999999999E-3"/>
    <n v="136.12097023999999"/>
    <s v="BJ"/>
    <x v="5"/>
    <x v="15"/>
    <s v="Q2"/>
    <n v="240"/>
    <n v="149.83333333333334"/>
    <s v="BJ PTS"/>
    <n v="0.9"/>
    <n v="32364"/>
    <n v="122.508873216"/>
    <n v="134.85000000000002"/>
  </r>
  <r>
    <n v="68741742"/>
    <x v="16"/>
    <n v="5400"/>
    <d v="2023-06-30T00:00:00"/>
    <x v="25"/>
    <x v="25"/>
    <n v="4.2560000000000002E-3"/>
    <n v="22.982400000000002"/>
    <s v="GH"/>
    <x v="5"/>
    <x v="11"/>
    <s v="Q2"/>
    <n v="154"/>
    <n v="35.064935064935064"/>
    <s v="MBG"/>
    <n v="0.87"/>
    <n v="4698"/>
    <n v="19.994688"/>
    <n v="30.506493506493506"/>
  </r>
  <r>
    <n v="69555090"/>
    <x v="16"/>
    <n v="6400"/>
    <d v="2023-06-30T00:00:00"/>
    <x v="254"/>
    <x v="14"/>
    <n v="1.98E-3"/>
    <n v="12.672000000000001"/>
    <s v="TA"/>
    <x v="5"/>
    <x v="42"/>
    <s v="Q2"/>
    <n v="176"/>
    <n v="36.363636363636367"/>
    <s v="TAL NV"/>
    <n v="0.97"/>
    <n v="6208"/>
    <n v="12.291840000000001"/>
    <n v="35.272727272727273"/>
  </r>
  <r>
    <n v="69596585"/>
    <x v="16"/>
    <n v="18600"/>
    <d v="2023-06-30T00:00:00"/>
    <x v="348"/>
    <x v="5"/>
    <n v="1.0200000000000001E-3"/>
    <n v="18.972000000000001"/>
    <s v="MG"/>
    <x v="5"/>
    <x v="5"/>
    <s v="Q2"/>
    <n v="493"/>
    <n v="37.728194726166329"/>
    <s v="MG Sticks"/>
    <n v="0.93"/>
    <n v="17298"/>
    <n v="17.643960000000003"/>
    <n v="35.087221095334691"/>
  </r>
  <r>
    <n v="69621212"/>
    <x v="16"/>
    <n v="5400"/>
    <d v="2023-06-30T00:00:00"/>
    <x v="29"/>
    <x v="28"/>
    <n v="5.2680000000000001E-3"/>
    <n v="28.447200000000002"/>
    <s v="PG"/>
    <x v="5"/>
    <x v="14"/>
    <s v="Q2"/>
    <n v="130"/>
    <n v="41.53846153846154"/>
    <s v="PG"/>
    <n v="0.9"/>
    <n v="4860"/>
    <n v="25.602480000000003"/>
    <n v="37.384615384615387"/>
  </r>
  <r>
    <n v="69677917"/>
    <x v="16"/>
    <n v="5400"/>
    <d v="2023-06-30T00:00:00"/>
    <x v="30"/>
    <x v="30"/>
    <n v="5.2680000000000001E-3"/>
    <n v="28.447200000000002"/>
    <s v="PS"/>
    <x v="5"/>
    <x v="14"/>
    <s v="Q2"/>
    <n v="108"/>
    <n v="50"/>
    <s v="PG"/>
    <n v="0.9"/>
    <n v="4860"/>
    <n v="25.602480000000003"/>
    <n v="45"/>
  </r>
  <r>
    <n v="69706133"/>
    <x v="16"/>
    <n v="6300"/>
    <d v="2023-06-30T00:00:00"/>
    <x v="229"/>
    <x v="31"/>
    <n v="3.8999999999999998E-3"/>
    <n v="24.57"/>
    <s v="TA"/>
    <x v="5"/>
    <x v="42"/>
    <s v="Q2"/>
    <n v="176"/>
    <n v="35.795454545454547"/>
    <s v="TAL NV"/>
    <n v="0.97"/>
    <n v="6111"/>
    <n v="23.832899999999999"/>
    <n v="34.721590909090907"/>
  </r>
  <r>
    <n v="84136043"/>
    <x v="17"/>
    <n v="23200"/>
    <d v="2023-06-30T00:00:00"/>
    <x v="131"/>
    <x v="38"/>
    <n v="3.7853439999999999E-3"/>
    <n v="87.819980799999996"/>
    <s v="BJ"/>
    <x v="5"/>
    <x v="15"/>
    <s v="Q2"/>
    <n v="240"/>
    <n v="96.666666666666671"/>
    <s v="BJ PTS"/>
    <n v="0.9"/>
    <n v="20880"/>
    <n v="79.037982720000002"/>
    <n v="87"/>
  </r>
  <r>
    <n v="84150840"/>
    <x v="17"/>
    <n v="21840"/>
    <d v="2023-06-30T00:00:00"/>
    <x v="251"/>
    <x v="33"/>
    <n v="1.4399999999999999E-3"/>
    <n v="31.449599999999997"/>
    <s v="BJ"/>
    <x v="5"/>
    <x v="16"/>
    <s v="Q2"/>
    <n v="510"/>
    <n v="42.823529411764703"/>
    <s v="B&amp;J Cups"/>
    <n v="0.85"/>
    <n v="18564"/>
    <n v="26.732159999999997"/>
    <n v="36.4"/>
  </r>
  <r>
    <n v="67465063"/>
    <x v="15"/>
    <n v="8563"/>
    <d v="2023-06-30T00:00:00"/>
    <x v="3"/>
    <x v="40"/>
    <n v="5.2680000000000001E-3"/>
    <n v="45.109884000000001"/>
    <s v="PS"/>
    <x v="5"/>
    <x v="3"/>
    <s v="Q2"/>
    <n v="130"/>
    <n v="65.869230769230768"/>
    <s v="PG"/>
    <n v="0.9"/>
    <n v="7706.7"/>
    <n v="40.598895599999999"/>
    <n v="59.28230769230769"/>
  </r>
  <r>
    <n v="68188183"/>
    <x v="15"/>
    <n v="7500"/>
    <d v="2023-06-30T00:00:00"/>
    <x v="70"/>
    <x v="9"/>
    <n v="3.8340000000000002E-3"/>
    <n v="28.755000000000003"/>
    <s v="PS"/>
    <x v="5"/>
    <x v="3"/>
    <s v="Q2"/>
    <n v="130"/>
    <n v="57.692307692307693"/>
    <s v="PG"/>
    <n v="0.9"/>
    <n v="6750"/>
    <n v="25.879500000000004"/>
    <n v="51.923076923076927"/>
  </r>
  <r>
    <n v="84137725"/>
    <x v="18"/>
    <n v="0"/>
    <d v="2023-06-30T00:00:00"/>
    <x v="132"/>
    <x v="33"/>
    <n v="3.7853439999999999E-3"/>
    <n v="0"/>
    <s v="BJ"/>
    <x v="5"/>
    <x v="36"/>
    <s v="Q2"/>
    <n v="240"/>
    <n v="0"/>
    <s v="BJ PTS"/>
    <n v="0.9"/>
    <n v="0"/>
    <n v="0"/>
    <n v="0"/>
  </r>
  <r>
    <n v="67904289"/>
    <x v="17"/>
    <n v="75400"/>
    <d v="2023-06-30T00:00:00"/>
    <x v="235"/>
    <x v="35"/>
    <n v="3.7839999999999996E-3"/>
    <n v="285.31359999999995"/>
    <s v="BJ"/>
    <x v="5"/>
    <x v="15"/>
    <s v="Q2"/>
    <n v="240"/>
    <n v="314.16666666666669"/>
    <s v="BJ PTS"/>
    <n v="0.9"/>
    <n v="67860"/>
    <n v="256.78223999999994"/>
    <n v="282.75"/>
  </r>
  <r>
    <n v="68741742"/>
    <x v="16"/>
    <n v="5400"/>
    <d v="2023-07-01T00:00:00"/>
    <x v="25"/>
    <x v="25"/>
    <n v="4.2560000000000002E-3"/>
    <n v="22.982400000000002"/>
    <s v="GH"/>
    <x v="6"/>
    <x v="11"/>
    <s v="Q3"/>
    <n v="154"/>
    <n v="35.064935064935064"/>
    <s v="MBG"/>
    <n v="0.87"/>
    <n v="4698"/>
    <n v="19.994688"/>
    <n v="30.506493506493506"/>
  </r>
  <r>
    <n v="69596585"/>
    <x v="16"/>
    <n v="18600"/>
    <d v="2023-07-01T00:00:00"/>
    <x v="348"/>
    <x v="5"/>
    <n v="1.0200000000000001E-3"/>
    <n v="18.972000000000001"/>
    <s v="MG"/>
    <x v="6"/>
    <x v="5"/>
    <s v="Q3"/>
    <n v="493"/>
    <n v="37.728194726166329"/>
    <s v="MG Sticks"/>
    <n v="0.93"/>
    <n v="17298"/>
    <n v="17.643960000000003"/>
    <n v="35.087221095334691"/>
  </r>
  <r>
    <n v="69621212"/>
    <x v="16"/>
    <n v="5400"/>
    <d v="2023-07-01T00:00:00"/>
    <x v="29"/>
    <x v="28"/>
    <n v="5.2680000000000001E-3"/>
    <n v="28.447200000000002"/>
    <s v="PG"/>
    <x v="6"/>
    <x v="14"/>
    <s v="Q3"/>
    <n v="130"/>
    <n v="41.53846153846154"/>
    <s v="PG"/>
    <n v="0.9"/>
    <n v="4860"/>
    <n v="25.602480000000003"/>
    <n v="37.384615384615387"/>
  </r>
  <r>
    <n v="69677917"/>
    <x v="16"/>
    <n v="5400"/>
    <d v="2023-07-01T00:00:00"/>
    <x v="30"/>
    <x v="30"/>
    <n v="5.2680000000000001E-3"/>
    <n v="28.447200000000002"/>
    <s v="PS"/>
    <x v="6"/>
    <x v="14"/>
    <s v="Q3"/>
    <n v="108"/>
    <n v="50"/>
    <s v="PG"/>
    <n v="0.9"/>
    <n v="4860"/>
    <n v="25.602480000000003"/>
    <n v="45"/>
  </r>
  <r>
    <n v="67466492"/>
    <x v="15"/>
    <n v="15840"/>
    <d v="2023-07-01T00:00:00"/>
    <x v="8"/>
    <x v="8"/>
    <n v="5.2680000000000001E-3"/>
    <n v="83.445120000000003"/>
    <s v="PS"/>
    <x v="6"/>
    <x v="3"/>
    <s v="Q3"/>
    <n v="130"/>
    <n v="121.84615384615384"/>
    <s v="PG"/>
    <n v="0.9"/>
    <n v="14256"/>
    <n v="75.100608000000008"/>
    <n v="109.66153846153846"/>
  </r>
  <r>
    <n v="67466492"/>
    <x v="15"/>
    <n v="14400"/>
    <d v="2023-07-01T00:00:00"/>
    <x v="8"/>
    <x v="6"/>
    <n v="5.2680000000000001E-3"/>
    <n v="75.859200000000001"/>
    <s v="PS"/>
    <x v="6"/>
    <x v="3"/>
    <s v="Q3"/>
    <n v="130"/>
    <n v="110.76923076923077"/>
    <s v="PG"/>
    <n v="0.9"/>
    <n v="12960"/>
    <n v="68.27328"/>
    <n v="99.692307692307693"/>
  </r>
  <r>
    <n v="68741714"/>
    <x v="15"/>
    <n v="31050"/>
    <d v="2023-07-01T00:00:00"/>
    <x v="24"/>
    <x v="24"/>
    <n v="2.8319999999999999E-3"/>
    <n v="87.933599999999998"/>
    <s v="GH"/>
    <x v="6"/>
    <x v="4"/>
    <s v="Q3"/>
    <n v="225"/>
    <n v="138"/>
    <s v="MBG"/>
    <n v="0.87"/>
    <n v="27013.5"/>
    <n v="76.502231999999992"/>
    <n v="120.06"/>
  </r>
  <r>
    <n v="67995090"/>
    <x v="17"/>
    <n v="10440"/>
    <d v="2023-07-01T00:00:00"/>
    <x v="315"/>
    <x v="35"/>
    <n v="3.7853439999999999E-3"/>
    <n v="39.518991360000001"/>
    <s v="BJ"/>
    <x v="6"/>
    <x v="15"/>
    <s v="Q3"/>
    <n v="240"/>
    <n v="43.5"/>
    <s v="BJ PTS"/>
    <n v="0.9"/>
    <n v="9396"/>
    <n v="35.567092224"/>
    <n v="39.15"/>
  </r>
  <r>
    <n v="68741742"/>
    <x v="16"/>
    <n v="2700"/>
    <d v="2023-07-02T00:00:00"/>
    <x v="25"/>
    <x v="25"/>
    <n v="4.2560000000000002E-3"/>
    <n v="11.491200000000001"/>
    <s v="GH"/>
    <x v="6"/>
    <x v="11"/>
    <s v="Q3"/>
    <n v="154"/>
    <n v="17.532467532467532"/>
    <s v="MBG"/>
    <n v="0.87"/>
    <n v="2349"/>
    <n v="9.997344"/>
    <n v="15.253246753246753"/>
  </r>
  <r>
    <n v="69596585"/>
    <x v="16"/>
    <n v="18600"/>
    <d v="2023-07-02T00:00:00"/>
    <x v="348"/>
    <x v="5"/>
    <n v="1.0200000000000001E-3"/>
    <n v="18.972000000000001"/>
    <s v="MG"/>
    <x v="6"/>
    <x v="5"/>
    <s v="Q3"/>
    <n v="493"/>
    <n v="37.728194726166329"/>
    <s v="MG Sticks"/>
    <n v="0.93"/>
    <n v="17298"/>
    <n v="17.643960000000003"/>
    <n v="35.087221095334691"/>
  </r>
  <r>
    <n v="69621212"/>
    <x v="16"/>
    <n v="2700"/>
    <d v="2023-07-02T00:00:00"/>
    <x v="29"/>
    <x v="28"/>
    <n v="5.2680000000000001E-3"/>
    <n v="14.223600000000001"/>
    <s v="PG"/>
    <x v="6"/>
    <x v="14"/>
    <s v="Q3"/>
    <n v="130"/>
    <n v="20.76923076923077"/>
    <s v="PG"/>
    <n v="0.9"/>
    <n v="2430"/>
    <n v="12.801240000000002"/>
    <n v="18.692307692307693"/>
  </r>
  <r>
    <n v="69677917"/>
    <x v="16"/>
    <n v="2700"/>
    <d v="2023-07-02T00:00:00"/>
    <x v="30"/>
    <x v="30"/>
    <n v="5.2680000000000001E-3"/>
    <n v="14.223600000000001"/>
    <s v="PS"/>
    <x v="6"/>
    <x v="14"/>
    <s v="Q3"/>
    <n v="108"/>
    <n v="25"/>
    <s v="PG"/>
    <n v="0.9"/>
    <n v="2430"/>
    <n v="12.801240000000002"/>
    <n v="22.5"/>
  </r>
  <r>
    <n v="68264945"/>
    <x v="17"/>
    <n v="36400"/>
    <d v="2023-07-02T00:00:00"/>
    <x v="349"/>
    <x v="35"/>
    <n v="3.8999999999999998E-3"/>
    <n v="141.95999999999998"/>
    <s v="BJ"/>
    <x v="6"/>
    <x v="31"/>
    <s v="Q3"/>
    <n v="510"/>
    <n v="71.372549019607845"/>
    <s v="Cup Exports"/>
    <n v="0.85"/>
    <n v="30940"/>
    <n v="120.66599999999998"/>
    <n v="60.666666666666664"/>
  </r>
  <r>
    <n v="67465064"/>
    <x v="15"/>
    <n v="7500"/>
    <d v="2023-07-02T00:00:00"/>
    <x v="7"/>
    <x v="3"/>
    <n v="1.596E-3"/>
    <n v="11.97"/>
    <s v="PS"/>
    <x v="6"/>
    <x v="3"/>
    <s v="Q3"/>
    <n v="130"/>
    <n v="57.692307692307693"/>
    <s v="PG"/>
    <n v="0.9"/>
    <n v="6750"/>
    <n v="10.773000000000001"/>
    <n v="51.923076923076927"/>
  </r>
  <r>
    <n v="67466462"/>
    <x v="15"/>
    <n v="7200"/>
    <d v="2023-07-02T00:00:00"/>
    <x v="29"/>
    <x v="10"/>
    <n v="5.2680000000000001E-3"/>
    <n v="37.929600000000001"/>
    <s v="PS"/>
    <x v="6"/>
    <x v="3"/>
    <s v="Q3"/>
    <n v="130"/>
    <n v="55.384615384615387"/>
    <s v="PG"/>
    <n v="0.9"/>
    <n v="6480"/>
    <n v="34.13664"/>
    <n v="49.846153846153847"/>
  </r>
  <r>
    <n v="67885721"/>
    <x v="15"/>
    <n v="25200"/>
    <d v="2023-07-02T00:00:00"/>
    <x v="40"/>
    <x v="11"/>
    <n v="8.5199999999999998E-3"/>
    <n v="214.70400000000001"/>
    <s v="BR"/>
    <x v="6"/>
    <x v="6"/>
    <s v="Q3"/>
    <n v="154"/>
    <n v="163.63636363636363"/>
    <s v="48oz"/>
    <n v="0.95"/>
    <n v="23940"/>
    <n v="203.96879999999999"/>
    <n v="155.45454545454544"/>
  </r>
  <r>
    <n v="68737750"/>
    <x v="15"/>
    <n v="48000"/>
    <d v="2023-07-02T00:00:00"/>
    <x v="144"/>
    <x v="23"/>
    <n v="8.5199999999999998E-3"/>
    <n v="408.96"/>
    <s v="BR"/>
    <x v="6"/>
    <x v="6"/>
    <s v="Q3"/>
    <n v="176"/>
    <n v="272.72727272727275"/>
    <s v="48oz"/>
    <n v="0.95"/>
    <n v="45600"/>
    <n v="388.51199999999994"/>
    <n v="259.09090909090912"/>
  </r>
  <r>
    <n v="68741742"/>
    <x v="15"/>
    <n v="17500"/>
    <d v="2023-07-02T00:00:00"/>
    <x v="25"/>
    <x v="4"/>
    <n v="4.2560000000000002E-3"/>
    <n v="74.48"/>
    <s v="GH"/>
    <x v="6"/>
    <x v="4"/>
    <s v="Q3"/>
    <n v="154"/>
    <n v="113.63636363636364"/>
    <s v="MBG"/>
    <n v="0.87"/>
    <n v="15225"/>
    <n v="64.797600000000003"/>
    <n v="98.86363636363636"/>
  </r>
  <r>
    <n v="68817794"/>
    <x v="15"/>
    <n v="48000"/>
    <d v="2023-07-02T00:00:00"/>
    <x v="67"/>
    <x v="23"/>
    <n v="8.5199999999999998E-3"/>
    <n v="408.96"/>
    <s v="BR"/>
    <x v="6"/>
    <x v="6"/>
    <s v="Q3"/>
    <n v="176"/>
    <n v="272.72727272727275"/>
    <s v="48oz"/>
    <n v="0.95"/>
    <n v="45600"/>
    <n v="388.51199999999994"/>
    <n v="259.09090909090912"/>
  </r>
  <r>
    <n v="68850683"/>
    <x v="15"/>
    <n v="22800"/>
    <d v="2023-07-02T00:00:00"/>
    <x v="335"/>
    <x v="12"/>
    <n v="8.5199999999999998E-3"/>
    <n v="194.256"/>
    <s v="BR"/>
    <x v="6"/>
    <x v="6"/>
    <s v="Q3"/>
    <n v="176"/>
    <n v="129.54545454545453"/>
    <s v="48oz"/>
    <n v="0.95"/>
    <n v="21660"/>
    <n v="184.54319999999998"/>
    <n v="123.0681818181818"/>
  </r>
  <r>
    <n v="68896054"/>
    <x v="15"/>
    <n v="20400"/>
    <d v="2023-07-02T00:00:00"/>
    <x v="181"/>
    <x v="16"/>
    <n v="8.5199999999999998E-3"/>
    <n v="173.80799999999999"/>
    <s v="BR"/>
    <x v="6"/>
    <x v="6"/>
    <s v="Q3"/>
    <n v="176"/>
    <n v="115.90909090909091"/>
    <s v="48oz"/>
    <n v="0.95"/>
    <n v="19380"/>
    <n v="165.11759999999998"/>
    <n v="110.11363636363636"/>
  </r>
  <r>
    <n v="67794167"/>
    <x v="17"/>
    <n v="104000"/>
    <d v="2023-07-02T00:00:00"/>
    <x v="176"/>
    <x v="38"/>
    <n v="3.7853439999999999E-3"/>
    <n v="393.67577599999998"/>
    <s v="BJ"/>
    <x v="6"/>
    <x v="15"/>
    <s v="Q3"/>
    <n v="240"/>
    <n v="433.33333333333331"/>
    <s v="BJ PTS"/>
    <n v="0.9"/>
    <n v="93600"/>
    <n v="354.30819839999998"/>
    <n v="390"/>
  </r>
  <r>
    <n v="67794169"/>
    <x v="17"/>
    <n v="32480"/>
    <d v="2023-07-02T00:00:00"/>
    <x v="33"/>
    <x v="35"/>
    <n v="3.7853439999999999E-3"/>
    <n v="122.94797312"/>
    <s v="BJ"/>
    <x v="6"/>
    <x v="15"/>
    <s v="Q3"/>
    <n v="240"/>
    <n v="135.33333333333334"/>
    <s v="BJ PTS"/>
    <n v="0.9"/>
    <n v="29232"/>
    <n v="110.653175808"/>
    <n v="121.80000000000001"/>
  </r>
  <r>
    <n v="84141113"/>
    <x v="17"/>
    <n v="29120"/>
    <d v="2023-07-02T00:00:00"/>
    <x v="257"/>
    <x v="33"/>
    <n v="1.419504E-3"/>
    <n v="41.33595648"/>
    <s v="BJ"/>
    <x v="6"/>
    <x v="16"/>
    <s v="Q3"/>
    <n v="510"/>
    <n v="57.098039215686278"/>
    <s v="B&amp;J Cups"/>
    <n v="0.85"/>
    <n v="24752"/>
    <n v="35.135563007999998"/>
    <n v="48.533333333333331"/>
  </r>
  <r>
    <n v="67232079"/>
    <x v="15"/>
    <n v="38400"/>
    <d v="2023-07-03T00:00:00"/>
    <x v="363"/>
    <x v="16"/>
    <n v="1.1356032009663295E-2"/>
    <n v="436.07162917107053"/>
    <s v="BR"/>
    <x v="6"/>
    <x v="49"/>
    <s v="Q3"/>
    <n v="108"/>
    <n v="355.55555555555554"/>
    <s v="64oz"/>
    <n v="0.9"/>
    <n v="34560"/>
    <n v="392.46446625396351"/>
    <n v="320"/>
  </r>
  <r>
    <n v="67885722"/>
    <x v="16"/>
    <n v="3300"/>
    <d v="2023-07-03T00:00:00"/>
    <x v="163"/>
    <x v="2"/>
    <n v="8.5199999999999998E-3"/>
    <n v="28.116"/>
    <s v="BR"/>
    <x v="6"/>
    <x v="2"/>
    <s v="Q3"/>
    <n v="154"/>
    <n v="21.428571428571427"/>
    <s v="48oz"/>
    <n v="0.95"/>
    <n v="3135"/>
    <n v="26.710199999999997"/>
    <n v="20.357142857142854"/>
  </r>
  <r>
    <n v="68410353"/>
    <x v="16"/>
    <n v="1"/>
    <d v="2023-07-03T00:00:00"/>
    <x v="364"/>
    <x v="14"/>
    <n v="1.98E-3"/>
    <n v="1.98E-3"/>
    <s v="MG"/>
    <x v="6"/>
    <x v="5"/>
    <s v="Q3"/>
    <n v="176"/>
    <n v="5.681818181818182E-3"/>
    <s v="MG Sticks"/>
    <n v="0.93"/>
    <n v="0.93"/>
    <n v="1.8414E-3"/>
    <n v="5.2840909090909093E-3"/>
  </r>
  <r>
    <n v="68881270"/>
    <x v="16"/>
    <n v="13200"/>
    <d v="2023-07-03T00:00:00"/>
    <x v="91"/>
    <x v="13"/>
    <n v="8.5199999999999998E-3"/>
    <n v="112.464"/>
    <s v="BR"/>
    <x v="6"/>
    <x v="2"/>
    <s v="Q3"/>
    <n v="176"/>
    <n v="75"/>
    <s v="48oz"/>
    <n v="0.95"/>
    <n v="12540"/>
    <n v="106.84079999999999"/>
    <n v="71.25"/>
  </r>
  <r>
    <n v="68896056"/>
    <x v="16"/>
    <n v="26400"/>
    <d v="2023-07-03T00:00:00"/>
    <x v="116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68828"/>
    <x v="16"/>
    <n v="23400"/>
    <d v="2023-07-03T00:00:00"/>
    <x v="12"/>
    <x v="2"/>
    <n v="8.5199999999999998E-3"/>
    <n v="199.36799999999999"/>
    <s v="BR"/>
    <x v="6"/>
    <x v="2"/>
    <s v="Q3"/>
    <n v="176"/>
    <n v="132.95454545454547"/>
    <s v="48oz"/>
    <n v="0.95"/>
    <n v="22230"/>
    <n v="189.39959999999999"/>
    <n v="126.30681818181819"/>
  </r>
  <r>
    <n v="69571484"/>
    <x v="16"/>
    <n v="72000"/>
    <d v="2023-07-03T00:00:00"/>
    <x v="230"/>
    <x v="5"/>
    <n v="1.2960000000000001E-2"/>
    <n v="933.12000000000012"/>
    <s v="MG"/>
    <x v="6"/>
    <x v="5"/>
    <s v="Q3"/>
    <n v="493"/>
    <n v="146.0446247464503"/>
    <s v="MG Sticks"/>
    <n v="0.93"/>
    <n v="66960"/>
    <n v="867.80160000000012"/>
    <n v="135.82150101419879"/>
  </r>
  <r>
    <n v="69572544"/>
    <x v="16"/>
    <n v="35000"/>
    <d v="2023-07-03T00:00:00"/>
    <x v="171"/>
    <x v="14"/>
    <n v="1.9740000000000001E-3"/>
    <n v="69.09"/>
    <s v="MG"/>
    <x v="6"/>
    <x v="5"/>
    <s v="Q3"/>
    <n v="176"/>
    <n v="198.86363636363637"/>
    <s v="MG Sticks"/>
    <n v="0.93"/>
    <n v="32550"/>
    <n v="64.253700000000009"/>
    <n v="184.94318181818184"/>
  </r>
  <r>
    <n v="69621212"/>
    <x v="16"/>
    <n v="18900"/>
    <d v="2023-07-03T00:00:00"/>
    <x v="29"/>
    <x v="28"/>
    <n v="5.2680000000000001E-3"/>
    <n v="99.565200000000004"/>
    <s v="PG"/>
    <x v="6"/>
    <x v="14"/>
    <s v="Q3"/>
    <n v="130"/>
    <n v="145.38461538461539"/>
    <s v="PG"/>
    <n v="0.9"/>
    <n v="17010"/>
    <n v="89.608680000000007"/>
    <n v="130.84615384615384"/>
  </r>
  <r>
    <n v="69717802"/>
    <x v="16"/>
    <n v="25000"/>
    <d v="2023-07-03T00:00:00"/>
    <x v="31"/>
    <x v="31"/>
    <n v="4.2560000000000002E-3"/>
    <n v="106.4"/>
    <s v="BR"/>
    <x v="6"/>
    <x v="5"/>
    <s v="Q3"/>
    <n v="143"/>
    <n v="174.82517482517483"/>
    <s v="MG Sticks"/>
    <n v="0.93"/>
    <n v="23250"/>
    <n v="98.952000000000012"/>
    <n v="162.58741258741259"/>
  </r>
  <r>
    <n v="67309841"/>
    <x v="16"/>
    <n v="45600"/>
    <d v="2023-07-04T00:00:00"/>
    <x v="32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7885722"/>
    <x v="16"/>
    <n v="5700"/>
    <d v="2023-07-04T00:00:00"/>
    <x v="163"/>
    <x v="32"/>
    <n v="8.5199999999999998E-3"/>
    <n v="48.564"/>
    <s v="BR"/>
    <x v="6"/>
    <x v="2"/>
    <s v="Q3"/>
    <n v="154"/>
    <n v="37.012987012987011"/>
    <s v="48oz"/>
    <n v="0.95"/>
    <n v="5415"/>
    <n v="46.135799999999996"/>
    <n v="35.162337662337656"/>
  </r>
  <r>
    <n v="68527304"/>
    <x v="16"/>
    <n v="36000"/>
    <d v="2023-07-04T00:00:00"/>
    <x v="155"/>
    <x v="45"/>
    <n v="3.7839999999999996E-3"/>
    <n v="136.22399999999999"/>
    <s v="BR"/>
    <x v="6"/>
    <x v="7"/>
    <s v="Q3"/>
    <n v="240"/>
    <n v="150"/>
    <s v="PTS"/>
    <n v="0.95"/>
    <n v="34200"/>
    <n v="129.41279999999998"/>
    <n v="142.5"/>
  </r>
  <r>
    <n v="68626039"/>
    <x v="16"/>
    <n v="59850"/>
    <d v="2023-07-04T00:00:00"/>
    <x v="158"/>
    <x v="15"/>
    <n v="3.7839999999999996E-3"/>
    <n v="226.47239999999996"/>
    <s v="BR"/>
    <x v="6"/>
    <x v="7"/>
    <s v="Q3"/>
    <n v="240"/>
    <n v="249.375"/>
    <s v="Pts"/>
    <n v="0.95"/>
    <n v="56857.5"/>
    <n v="215.14877999999996"/>
    <n v="236.90625"/>
  </r>
  <r>
    <n v="68626040"/>
    <x v="16"/>
    <n v="5700"/>
    <d v="2023-07-04T00:00:00"/>
    <x v="269"/>
    <x v="15"/>
    <n v="3.7839999999999996E-3"/>
    <n v="21.568799999999996"/>
    <s v="BR"/>
    <x v="6"/>
    <x v="7"/>
    <s v="Q3"/>
    <n v="240"/>
    <n v="23.75"/>
    <s v="Pts"/>
    <n v="0.95"/>
    <n v="5415"/>
    <n v="20.490359999999995"/>
    <n v="22.5625"/>
  </r>
  <r>
    <n v="68726715"/>
    <x v="16"/>
    <n v="25650"/>
    <d v="2023-07-04T00:00:00"/>
    <x v="34"/>
    <x v="21"/>
    <n v="3.7853440000000004E-3"/>
    <n v="97.094073600000016"/>
    <s v="TA"/>
    <x v="6"/>
    <x v="10"/>
    <s v="Q3"/>
    <n v="255"/>
    <n v="100.58823529411765"/>
    <s v="TALENTI"/>
    <n v="0.94"/>
    <n v="24111"/>
    <n v="91.268429184000013"/>
    <n v="94.552941176470583"/>
  </r>
  <r>
    <n v="68726916"/>
    <x v="16"/>
    <n v="179076"/>
    <d v="2023-07-04T00:00:00"/>
    <x v="43"/>
    <x v="21"/>
    <n v="3.7853440000000004E-3"/>
    <n v="677.86426214400012"/>
    <s v="TA"/>
    <x v="6"/>
    <x v="10"/>
    <s v="Q3"/>
    <n v="255"/>
    <n v="702.25882352941176"/>
    <s v="TALENTI"/>
    <n v="0.94"/>
    <n v="168331.44"/>
    <n v="637.1924064153601"/>
    <n v="660.12329411764699"/>
  </r>
  <r>
    <n v="68728263"/>
    <x v="16"/>
    <n v="-25000"/>
    <d v="2023-07-04T00:00:00"/>
    <x v="307"/>
    <x v="22"/>
    <n v="3.7853439999999999E-3"/>
    <n v="-94.633600000000001"/>
    <s v="TA"/>
    <x v="6"/>
    <x v="10"/>
    <s v="Q3"/>
    <n v="255"/>
    <n v="-98.039215686274517"/>
    <s v="TALENTI"/>
    <n v="0.94"/>
    <n v="-23500"/>
    <n v="-88.955584000000002"/>
    <n v="-92.156862745098039"/>
  </r>
  <r>
    <n v="68741742"/>
    <x v="16"/>
    <n v="24300"/>
    <d v="2023-07-04T00:00:00"/>
    <x v="25"/>
    <x v="25"/>
    <n v="4.2560000000000002E-3"/>
    <n v="103.4208"/>
    <s v="GH"/>
    <x v="6"/>
    <x v="11"/>
    <s v="Q3"/>
    <n v="154"/>
    <n v="157.79220779220779"/>
    <s v="MBG"/>
    <n v="0.87"/>
    <n v="21141"/>
    <n v="89.976095999999998"/>
    <n v="137.27922077922076"/>
  </r>
  <r>
    <n v="68782716"/>
    <x v="16"/>
    <n v="25650"/>
    <d v="2023-07-04T00:00:00"/>
    <x v="246"/>
    <x v="21"/>
    <n v="3.7853440000000004E-3"/>
    <n v="97.094073600000016"/>
    <s v="TA"/>
    <x v="6"/>
    <x v="10"/>
    <s v="Q3"/>
    <n v="255"/>
    <n v="100.58823529411765"/>
    <s v="TALENTI"/>
    <n v="0.94"/>
    <n v="24111"/>
    <n v="91.268429184000013"/>
    <n v="94.552941176470583"/>
  </r>
  <r>
    <n v="68922106"/>
    <x v="16"/>
    <n v="40000"/>
    <d v="2023-07-04T00:00:00"/>
    <x v="104"/>
    <x v="22"/>
    <n v="3.552E-3"/>
    <n v="142.08000000000001"/>
    <s v="TA"/>
    <x v="6"/>
    <x v="10"/>
    <s v="Q3"/>
    <n v="255"/>
    <n v="156.86274509803923"/>
    <s v="TALENTI"/>
    <n v="0.94"/>
    <n v="37600"/>
    <n v="133.55520000000001"/>
    <n v="147.45098039215688"/>
  </r>
  <r>
    <n v="69554198"/>
    <x v="16"/>
    <n v="22800"/>
    <d v="2023-07-04T00:00:00"/>
    <x v="71"/>
    <x v="15"/>
    <n v="3.7839999999999996E-3"/>
    <n v="86.275199999999984"/>
    <s v="BR"/>
    <x v="6"/>
    <x v="7"/>
    <s v="Q3"/>
    <n v="240"/>
    <n v="95"/>
    <s v="PTS"/>
    <n v="0.95"/>
    <n v="21660"/>
    <n v="81.961439999999982"/>
    <n v="90.25"/>
  </r>
  <r>
    <n v="69677917"/>
    <x v="16"/>
    <n v="16200"/>
    <d v="2023-07-04T00:00:00"/>
    <x v="30"/>
    <x v="30"/>
    <n v="5.2680000000000001E-3"/>
    <n v="85.3416"/>
    <s v="PS"/>
    <x v="6"/>
    <x v="14"/>
    <s v="Q3"/>
    <n v="108"/>
    <n v="150"/>
    <s v="PG"/>
    <n v="0.9"/>
    <n v="14580"/>
    <n v="76.80744"/>
    <n v="135"/>
  </r>
  <r>
    <n v="84135781"/>
    <x v="16"/>
    <n v="22800"/>
    <d v="2023-07-04T00:00:00"/>
    <x v="356"/>
    <x v="15"/>
    <n v="3.7853439999999999E-3"/>
    <n v="86.305843199999998"/>
    <s v="BJ"/>
    <x v="6"/>
    <x v="30"/>
    <s v="Q3"/>
    <n v="240"/>
    <n v="95"/>
    <s v="BJ PTS"/>
    <n v="0.9"/>
    <n v="20520"/>
    <n v="77.675258880000001"/>
    <n v="85.5"/>
  </r>
  <r>
    <n v="84164936"/>
    <x v="16"/>
    <n v="22800"/>
    <d v="2023-07-04T00:00:00"/>
    <x v="162"/>
    <x v="15"/>
    <n v="3.7853439999999999E-3"/>
    <n v="86.305843199999998"/>
    <s v="BJ"/>
    <x v="6"/>
    <x v="30"/>
    <s v="Q3"/>
    <n v="240"/>
    <n v="95"/>
    <s v="BJ PTS"/>
    <n v="0.9"/>
    <n v="20520"/>
    <n v="77.675258880000001"/>
    <n v="85.5"/>
  </r>
  <r>
    <n v="68409143"/>
    <x v="17"/>
    <n v="24480"/>
    <d v="2023-07-06T00:00:00"/>
    <x v="137"/>
    <x v="35"/>
    <n v="1.419504E-3"/>
    <n v="34.749457919999998"/>
    <s v="BJ"/>
    <x v="6"/>
    <x v="25"/>
    <s v="Q3"/>
    <n v="510"/>
    <n v="48"/>
    <s v="B&amp;J Dog Treat"/>
    <n v="0.85"/>
    <n v="20808"/>
    <n v="29.537039231999998"/>
    <n v="40.799999999999997"/>
  </r>
  <r>
    <n v="84139090"/>
    <x v="17"/>
    <n v="31320"/>
    <d v="2023-07-06T00:00:00"/>
    <x v="85"/>
    <x v="43"/>
    <n v="3.7853439999999999E-3"/>
    <n v="118.55697408"/>
    <s v="BJ"/>
    <x v="6"/>
    <x v="15"/>
    <s v="Q3"/>
    <n v="240"/>
    <n v="130.5"/>
    <s v="BJ PTS"/>
    <n v="0.9"/>
    <n v="28188"/>
    <n v="106.70127667200001"/>
    <n v="117.45"/>
  </r>
  <r>
    <n v="84138391"/>
    <x v="17"/>
    <n v="75400"/>
    <d v="2023-07-06T00:00:00"/>
    <x v="84"/>
    <x v="33"/>
    <n v="3.7853439999999999E-3"/>
    <n v="285.41493759999997"/>
    <s v="BJ"/>
    <x v="6"/>
    <x v="15"/>
    <s v="Q3"/>
    <n v="240"/>
    <n v="314.16666666666669"/>
    <s v="BJ PTS"/>
    <n v="0.9"/>
    <n v="67860"/>
    <n v="256.87344383999999"/>
    <n v="282.75"/>
  </r>
  <r>
    <n v="67794167"/>
    <x v="18"/>
    <n v="107250"/>
    <d v="2023-07-06T00:00:00"/>
    <x v="176"/>
    <x v="35"/>
    <n v="3.7853439999999999E-3"/>
    <n v="405.97814399999999"/>
    <s v="BJ"/>
    <x v="6"/>
    <x v="36"/>
    <s v="Q3"/>
    <n v="240"/>
    <n v="446.875"/>
    <s v="BJ PTS"/>
    <n v="0.9"/>
    <n v="96525"/>
    <n v="365.38032959999998"/>
    <n v="402.1875"/>
  </r>
  <r>
    <n v="84137694"/>
    <x v="17"/>
    <n v="40600"/>
    <d v="2023-07-07T00:00:00"/>
    <x v="136"/>
    <x v="38"/>
    <n v="3.7853439999999999E-3"/>
    <n v="153.68496640000001"/>
    <s v="BJ"/>
    <x v="6"/>
    <x v="15"/>
    <s v="Q3"/>
    <n v="240"/>
    <n v="169.16666666666666"/>
    <s v="BJ PTS"/>
    <n v="0.9"/>
    <n v="36540"/>
    <n v="138.31646976000002"/>
    <n v="152.25"/>
  </r>
  <r>
    <n v="68409142"/>
    <x v="17"/>
    <n v="38760"/>
    <d v="2023-07-07T00:00:00"/>
    <x v="60"/>
    <x v="35"/>
    <n v="1.419504E-3"/>
    <n v="55.019975039999999"/>
    <s v="BJ"/>
    <x v="6"/>
    <x v="25"/>
    <s v="Q3"/>
    <n v="510"/>
    <n v="76"/>
    <s v="B&amp;J Dog Treat"/>
    <n v="0.85"/>
    <n v="32946"/>
    <n v="46.766978783999996"/>
    <n v="64.599999999999994"/>
  </r>
  <r>
    <n v="67466492"/>
    <x v="15"/>
    <n v="20250"/>
    <d v="2023-07-07T00:00:00"/>
    <x v="8"/>
    <x v="7"/>
    <n v="5.2680000000000001E-3"/>
    <n v="106.67700000000001"/>
    <s v="PS"/>
    <x v="6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7-09T00:00:00"/>
    <x v="8"/>
    <x v="6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466492"/>
    <x v="15"/>
    <n v="23400"/>
    <d v="2023-07-09T00:00:00"/>
    <x v="8"/>
    <x v="8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465063"/>
    <x v="15"/>
    <n v="15413"/>
    <d v="2023-07-10T00:00:00"/>
    <x v="3"/>
    <x v="40"/>
    <n v="5.2680000000000001E-3"/>
    <n v="81.195684"/>
    <s v="PS"/>
    <x v="6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7-10T00:00:00"/>
    <x v="7"/>
    <x v="3"/>
    <n v="1.596E-3"/>
    <n v="21.545999999999999"/>
    <s v="PS"/>
    <x v="6"/>
    <x v="3"/>
    <s v="Q3"/>
    <n v="130"/>
    <n v="103.84615384615384"/>
    <s v="PG"/>
    <n v="0.9"/>
    <n v="12150"/>
    <n v="19.391400000000001"/>
    <n v="93.461538461538453"/>
  </r>
  <r>
    <n v="67466462"/>
    <x v="15"/>
    <n v="16200"/>
    <d v="2023-07-10T00:00:00"/>
    <x v="29"/>
    <x v="10"/>
    <n v="5.2680000000000001E-3"/>
    <n v="85.3416"/>
    <s v="PS"/>
    <x v="6"/>
    <x v="3"/>
    <s v="Q3"/>
    <n v="130"/>
    <n v="124.61538461538461"/>
    <s v="PG"/>
    <n v="0.9"/>
    <n v="14580"/>
    <n v="76.80744"/>
    <n v="112.15384615384616"/>
  </r>
  <r>
    <n v="67885720"/>
    <x v="15"/>
    <n v="2550"/>
    <d v="2023-07-10T00:00:00"/>
    <x v="39"/>
    <x v="16"/>
    <n v="8.5199999999999998E-3"/>
    <n v="21.725999999999999"/>
    <s v="BR"/>
    <x v="6"/>
    <x v="6"/>
    <s v="Q3"/>
    <n v="154"/>
    <n v="16.558441558441558"/>
    <s v="48oz"/>
    <n v="0.95"/>
    <n v="2422.5"/>
    <n v="20.639699999999998"/>
    <n v="15.730519480519479"/>
  </r>
  <r>
    <n v="67885721"/>
    <x v="15"/>
    <n v="25200"/>
    <d v="2023-07-10T00:00:00"/>
    <x v="40"/>
    <x v="11"/>
    <n v="8.5199999999999998E-3"/>
    <n v="214.70400000000001"/>
    <s v="BR"/>
    <x v="6"/>
    <x v="6"/>
    <s v="Q3"/>
    <n v="154"/>
    <n v="163.63636363636363"/>
    <s v="48oz"/>
    <n v="0.95"/>
    <n v="23940"/>
    <n v="203.96879999999999"/>
    <n v="155.45454545454544"/>
  </r>
  <r>
    <n v="67885724"/>
    <x v="15"/>
    <n v="22800"/>
    <d v="2023-07-10T00:00:00"/>
    <x v="49"/>
    <x v="12"/>
    <n v="8.5199999999999998E-3"/>
    <n v="194.256"/>
    <s v="BR"/>
    <x v="6"/>
    <x v="6"/>
    <s v="Q3"/>
    <n v="154"/>
    <n v="148.05194805194805"/>
    <s v="48oz"/>
    <n v="0.95"/>
    <n v="21660"/>
    <n v="184.54319999999998"/>
    <n v="140.64935064935062"/>
  </r>
  <r>
    <n v="68188183"/>
    <x v="15"/>
    <n v="19500"/>
    <d v="2023-07-10T00:00:00"/>
    <x v="70"/>
    <x v="9"/>
    <n v="3.8340000000000002E-3"/>
    <n v="74.763000000000005"/>
    <s v="PS"/>
    <x v="6"/>
    <x v="3"/>
    <s v="Q3"/>
    <n v="130"/>
    <n v="150"/>
    <s v="PG"/>
    <n v="0.9"/>
    <n v="17550"/>
    <n v="67.28670000000001"/>
    <n v="135"/>
  </r>
  <r>
    <n v="68737750"/>
    <x v="15"/>
    <n v="48000"/>
    <d v="2023-07-10T00:00:00"/>
    <x v="144"/>
    <x v="23"/>
    <n v="8.5199999999999998E-3"/>
    <n v="408.96"/>
    <s v="BR"/>
    <x v="6"/>
    <x v="6"/>
    <s v="Q3"/>
    <n v="176"/>
    <n v="272.72727272727275"/>
    <s v="48oz"/>
    <n v="0.95"/>
    <n v="45600"/>
    <n v="388.51199999999994"/>
    <n v="259.09090909090912"/>
  </r>
  <r>
    <n v="68741742"/>
    <x v="15"/>
    <n v="30000"/>
    <d v="2023-07-10T00:00:00"/>
    <x v="25"/>
    <x v="4"/>
    <n v="4.2560000000000002E-3"/>
    <n v="127.68"/>
    <s v="GH"/>
    <x v="6"/>
    <x v="4"/>
    <s v="Q3"/>
    <n v="154"/>
    <n v="194.80519480519482"/>
    <s v="MBG"/>
    <n v="0.87"/>
    <n v="26100"/>
    <n v="111.08160000000001"/>
    <n v="169.48051948051949"/>
  </r>
  <r>
    <n v="68817793"/>
    <x v="15"/>
    <n v="20400"/>
    <d v="2023-07-10T00:00:00"/>
    <x v="48"/>
    <x v="16"/>
    <n v="8.5199999999999998E-3"/>
    <n v="173.80799999999999"/>
    <s v="BR"/>
    <x v="6"/>
    <x v="6"/>
    <s v="Q3"/>
    <n v="176"/>
    <n v="115.90909090909091"/>
    <s v="48oz"/>
    <n v="0.95"/>
    <n v="19380"/>
    <n v="165.11759999999998"/>
    <n v="110.11363636363636"/>
  </r>
  <r>
    <n v="68850683"/>
    <x v="15"/>
    <n v="25200"/>
    <d v="2023-07-10T00:00:00"/>
    <x v="335"/>
    <x v="11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8850683"/>
    <x v="15"/>
    <n v="20400"/>
    <d v="2023-07-10T00:00:00"/>
    <x v="335"/>
    <x v="16"/>
    <n v="8.5199999999999998E-3"/>
    <n v="173.80799999999999"/>
    <s v="BR"/>
    <x v="6"/>
    <x v="6"/>
    <s v="Q3"/>
    <n v="176"/>
    <n v="115.90909090909091"/>
    <s v="48oz"/>
    <n v="0.95"/>
    <n v="19380"/>
    <n v="165.11759999999998"/>
    <n v="110.11363636363636"/>
  </r>
  <r>
    <n v="68850684"/>
    <x v="15"/>
    <n v="25200"/>
    <d v="2023-07-10T00:00:00"/>
    <x v="354"/>
    <x v="11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8890246"/>
    <x v="15"/>
    <n v="22800"/>
    <d v="2023-07-10T00:00:00"/>
    <x v="250"/>
    <x v="12"/>
    <n v="5.1101999999999995E-2"/>
    <n v="1165.1255999999998"/>
    <s v="BR"/>
    <x v="6"/>
    <x v="6"/>
    <s v="Q3"/>
    <n v="176"/>
    <n v="129.54545454545453"/>
    <s v="48oz"/>
    <n v="0.95"/>
    <n v="21660"/>
    <n v="1106.8693199999998"/>
    <n v="123.0681818181818"/>
  </r>
  <r>
    <n v="69568829"/>
    <x v="15"/>
    <n v="22800"/>
    <d v="2023-07-10T00:00:00"/>
    <x v="66"/>
    <x v="12"/>
    <n v="8.5199999999999998E-3"/>
    <n v="194.256"/>
    <s v="BR"/>
    <x v="6"/>
    <x v="6"/>
    <s v="Q3"/>
    <n v="176"/>
    <n v="129.54545454545453"/>
    <s v="48oz"/>
    <n v="0.95"/>
    <n v="21660"/>
    <n v="184.54319999999998"/>
    <n v="123.0681818181818"/>
  </r>
  <r>
    <n v="69700048"/>
    <x v="15"/>
    <n v="36000"/>
    <d v="2023-07-10T00:00:00"/>
    <x v="288"/>
    <x v="24"/>
    <n v="2.3469132803553457E-3"/>
    <n v="84.488878092792447"/>
    <s v="GH"/>
    <x v="6"/>
    <x v="4"/>
    <s v="Q3"/>
    <n v="350"/>
    <n v="102.85714285714286"/>
    <s v="MBG"/>
    <n v="0.87"/>
    <n v="31320"/>
    <n v="73.505323940729426"/>
    <n v="89.485714285714295"/>
  </r>
  <r>
    <n v="67901593"/>
    <x v="16"/>
    <n v="45600"/>
    <d v="2023-07-10T00:00:00"/>
    <x v="68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8764900"/>
    <x v="16"/>
    <n v="26400"/>
    <d v="2023-07-10T00:00:00"/>
    <x v="295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8821728"/>
    <x v="16"/>
    <n v="26400"/>
    <d v="2023-07-10T00:00:00"/>
    <x v="35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68963"/>
    <x v="16"/>
    <n v="26400"/>
    <d v="2023-07-10T00:00:00"/>
    <x v="94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72657"/>
    <x v="16"/>
    <n v="69000"/>
    <d v="2023-07-10T00:00:00"/>
    <x v="306"/>
    <x v="5"/>
    <n v="2.1520000000000003E-3"/>
    <n v="148.48800000000003"/>
    <s v="MG"/>
    <x v="6"/>
    <x v="5"/>
    <s v="Q3"/>
    <n v="210"/>
    <n v="328.57142857142856"/>
    <s v="MG Sticks"/>
    <n v="0.93"/>
    <n v="64170"/>
    <n v="138.09384000000003"/>
    <n v="305.57142857142856"/>
  </r>
  <r>
    <n v="69591653"/>
    <x v="16"/>
    <n v="44000"/>
    <d v="2023-07-10T00:00:00"/>
    <x v="365"/>
    <x v="14"/>
    <n v="1.98E-3"/>
    <n v="87.12"/>
    <s v="MG"/>
    <x v="6"/>
    <x v="5"/>
    <s v="Q3"/>
    <n v="176"/>
    <n v="250"/>
    <s v="MG Sticks"/>
    <n v="0.93"/>
    <n v="40920"/>
    <n v="81.021600000000007"/>
    <n v="232.5"/>
  </r>
  <r>
    <n v="69621212"/>
    <x v="16"/>
    <n v="35100"/>
    <d v="2023-07-10T00:00:00"/>
    <x v="29"/>
    <x v="28"/>
    <n v="5.2680000000000001E-3"/>
    <n v="184.9068"/>
    <s v="PG"/>
    <x v="6"/>
    <x v="14"/>
    <s v="Q3"/>
    <n v="130"/>
    <n v="270"/>
    <s v="PG"/>
    <n v="0.9"/>
    <n v="31590"/>
    <n v="166.41612000000001"/>
    <n v="243"/>
  </r>
  <r>
    <n v="69717803"/>
    <x v="16"/>
    <n v="33150"/>
    <d v="2023-07-10T00:00:00"/>
    <x v="69"/>
    <x v="31"/>
    <n v="4.2560000000000002E-3"/>
    <n v="141.0864"/>
    <s v="BR"/>
    <x v="6"/>
    <x v="5"/>
    <s v="Q3"/>
    <n v="143"/>
    <n v="231.81818181818181"/>
    <s v="MG Sticks"/>
    <n v="0.93"/>
    <n v="30829.5"/>
    <n v="131.210352"/>
    <n v="215.59090909090909"/>
  </r>
  <r>
    <n v="67826412"/>
    <x v="18"/>
    <n v="107250"/>
    <d v="2023-07-10T00:00:00"/>
    <x v="214"/>
    <x v="35"/>
    <n v="3.7853439999999999E-3"/>
    <n v="405.97814399999999"/>
    <s v="BJ"/>
    <x v="6"/>
    <x v="36"/>
    <s v="Q3"/>
    <n v="240"/>
    <n v="446.875"/>
    <s v="BJ PTS"/>
    <n v="0.9"/>
    <n v="96525"/>
    <n v="365.38032959999998"/>
    <n v="402.1875"/>
  </r>
  <r>
    <n v="84135718"/>
    <x v="18"/>
    <n v="90750"/>
    <d v="2023-07-10T00:00:00"/>
    <x v="147"/>
    <x v="38"/>
    <n v="3.7853439999999999E-3"/>
    <n v="343.51996800000001"/>
    <s v="BJ"/>
    <x v="6"/>
    <x v="36"/>
    <s v="Q3"/>
    <n v="240"/>
    <n v="378.125"/>
    <s v="BJ PTS"/>
    <n v="0.9"/>
    <n v="81675"/>
    <n v="309.16797120000001"/>
    <n v="340.3125"/>
  </r>
  <r>
    <n v="84149990"/>
    <x v="18"/>
    <n v="14850"/>
    <d v="2023-07-10T00:00:00"/>
    <x v="168"/>
    <x v="33"/>
    <n v="3.7853439999999999E-3"/>
    <n v="56.212358399999999"/>
    <s v="BJ"/>
    <x v="6"/>
    <x v="40"/>
    <s v="Q3"/>
    <n v="240"/>
    <n v="61.875"/>
    <s v="PTS Exports"/>
    <n v="0.9"/>
    <n v="13365"/>
    <n v="50.591122560000002"/>
    <n v="55.6875"/>
  </r>
  <r>
    <n v="67278370"/>
    <x v="17"/>
    <n v="6240"/>
    <d v="2023-07-10T00:00:00"/>
    <x v="366"/>
    <x v="35"/>
    <n v="9.0848256361922702E-3"/>
    <n v="56.689311969839764"/>
    <s v="BJ"/>
    <x v="6"/>
    <x v="39"/>
    <s v="Q3"/>
    <n v="125"/>
    <n v="49.92"/>
    <s v="2.4 Gal"/>
    <n v="0.85"/>
    <n v="5304"/>
    <n v="48.185915174363799"/>
    <n v="42.432000000000002"/>
  </r>
  <r>
    <n v="67430513"/>
    <x v="17"/>
    <n v="102400"/>
    <d v="2023-07-10T00:00:00"/>
    <x v="119"/>
    <x v="38"/>
    <n v="3.7839999999999996E-3"/>
    <n v="387.48159999999996"/>
    <s v="BJ"/>
    <x v="6"/>
    <x v="15"/>
    <s v="Q3"/>
    <n v="240"/>
    <n v="426.66666666666669"/>
    <s v="BJ PTS"/>
    <n v="0.9"/>
    <n v="92160"/>
    <n v="348.73343999999997"/>
    <n v="384"/>
  </r>
  <r>
    <n v="67546042"/>
    <x v="17"/>
    <n v="30160"/>
    <d v="2023-07-10T00:00:00"/>
    <x v="108"/>
    <x v="35"/>
    <n v="3.7853439999999999E-3"/>
    <n v="114.16597503999999"/>
    <s v="BJ"/>
    <x v="6"/>
    <x v="15"/>
    <s v="Q3"/>
    <n v="240"/>
    <n v="125.66666666666667"/>
    <s v="BJ PTS"/>
    <n v="0.9"/>
    <n v="27144"/>
    <n v="102.749377536"/>
    <n v="113.10000000000001"/>
  </r>
  <r>
    <n v="67789314"/>
    <x v="17"/>
    <n v="34800"/>
    <d v="2023-07-10T00:00:00"/>
    <x v="152"/>
    <x v="35"/>
    <n v="3.7853439999999999E-3"/>
    <n v="131.72997119999999"/>
    <s v="BJ"/>
    <x v="6"/>
    <x v="15"/>
    <s v="Q3"/>
    <n v="240"/>
    <n v="145"/>
    <s v="BJ PTS"/>
    <n v="0.9"/>
    <n v="31320"/>
    <n v="118.55697408"/>
    <n v="130.5"/>
  </r>
  <r>
    <n v="67794168"/>
    <x v="17"/>
    <n v="10440"/>
    <d v="2023-07-10T00:00:00"/>
    <x v="367"/>
    <x v="33"/>
    <n v="3.7853439999999999E-3"/>
    <n v="39.518991360000001"/>
    <s v="BJ"/>
    <x v="6"/>
    <x v="15"/>
    <s v="Q3"/>
    <n v="240"/>
    <n v="43.5"/>
    <s v="BJ PTS"/>
    <n v="0.9"/>
    <n v="9396"/>
    <n v="35.567092224"/>
    <n v="39.15"/>
  </r>
  <r>
    <n v="67794170"/>
    <x v="17"/>
    <n v="11600"/>
    <d v="2023-07-10T00:00:00"/>
    <x v="141"/>
    <x v="38"/>
    <n v="3.7853439999999999E-3"/>
    <n v="43.909990399999998"/>
    <s v="BJ"/>
    <x v="6"/>
    <x v="15"/>
    <s v="Q3"/>
    <n v="240"/>
    <n v="48.333333333333336"/>
    <s v="BJ PTS"/>
    <n v="0.9"/>
    <n v="10440"/>
    <n v="39.518991360000001"/>
    <n v="43.5"/>
  </r>
  <r>
    <n v="67825197"/>
    <x v="17"/>
    <n v="6240"/>
    <d v="2023-07-10T00:00:00"/>
    <x v="273"/>
    <x v="35"/>
    <n v="9.0848256361922702E-3"/>
    <n v="56.689311969839764"/>
    <s v="BJ"/>
    <x v="6"/>
    <x v="39"/>
    <s v="Q3"/>
    <n v="125"/>
    <n v="49.92"/>
    <s v="2.4 Gal"/>
    <n v="0.85"/>
    <n v="5304"/>
    <n v="48.185915174363799"/>
    <n v="42.432000000000002"/>
  </r>
  <r>
    <n v="67881629"/>
    <x v="17"/>
    <n v="40600"/>
    <d v="2023-07-10T00:00:00"/>
    <x v="65"/>
    <x v="33"/>
    <n v="3.7853439999999999E-3"/>
    <n v="153.68496640000001"/>
    <s v="BJ"/>
    <x v="6"/>
    <x v="15"/>
    <s v="Q3"/>
    <n v="240"/>
    <n v="169.16666666666666"/>
    <s v="BJ PTS"/>
    <n v="0.9"/>
    <n v="36540"/>
    <n v="138.31646976000002"/>
    <n v="152.25"/>
  </r>
  <r>
    <n v="68692903"/>
    <x v="17"/>
    <n v="3120"/>
    <d v="2023-07-10T00:00:00"/>
    <x v="204"/>
    <x v="35"/>
    <n v="9.0848256361922702E-3"/>
    <n v="28.344655984919882"/>
    <s v="BJ"/>
    <x v="6"/>
    <x v="39"/>
    <s v="Q3"/>
    <n v="125"/>
    <n v="24.96"/>
    <s v="2.4 Gal"/>
    <n v="0.85"/>
    <n v="2652"/>
    <n v="24.0929575871819"/>
    <n v="21.216000000000001"/>
  </r>
  <r>
    <n v="69565377"/>
    <x v="17"/>
    <n v="30160"/>
    <d v="2023-07-10T00:00:00"/>
    <x v="138"/>
    <x v="35"/>
    <n v="3.7839999999999996E-3"/>
    <n v="114.12543999999998"/>
    <s v="BJ"/>
    <x v="6"/>
    <x v="15"/>
    <s v="Q3"/>
    <n v="240"/>
    <n v="125.66666666666667"/>
    <s v="BJ PTS"/>
    <n v="0.9"/>
    <n v="27144"/>
    <n v="102.71289599999999"/>
    <n v="113.10000000000001"/>
  </r>
  <r>
    <n v="84135718"/>
    <x v="17"/>
    <n v="34800"/>
    <d v="2023-07-10T00:00:00"/>
    <x v="147"/>
    <x v="35"/>
    <n v="3.7853439999999999E-3"/>
    <n v="131.72997119999999"/>
    <s v="BJ"/>
    <x v="6"/>
    <x v="15"/>
    <s v="Q3"/>
    <n v="240"/>
    <n v="145"/>
    <s v="BJ PTS"/>
    <n v="0.9"/>
    <n v="31320"/>
    <n v="118.55697408"/>
    <n v="130.5"/>
  </r>
  <r>
    <n v="84135794"/>
    <x v="17"/>
    <n v="7280"/>
    <d v="2023-07-10T00:00:00"/>
    <x v="198"/>
    <x v="35"/>
    <n v="9.0848256361922702E-3"/>
    <n v="66.137530631479734"/>
    <s v="BJ"/>
    <x v="6"/>
    <x v="39"/>
    <s v="Q3"/>
    <n v="125"/>
    <n v="58.24"/>
    <s v="2.4 Gal"/>
    <n v="0.85"/>
    <n v="6188"/>
    <n v="56.216901036757776"/>
    <n v="49.503999999999998"/>
  </r>
  <r>
    <n v="84135795"/>
    <x v="17"/>
    <n v="9360"/>
    <d v="2023-07-10T00:00:00"/>
    <x v="265"/>
    <x v="35"/>
    <n v="9.0848256361922702E-3"/>
    <n v="85.033967954759646"/>
    <s v="BJ"/>
    <x v="6"/>
    <x v="39"/>
    <s v="Q3"/>
    <n v="125"/>
    <n v="74.88"/>
    <s v="2.4 Gal"/>
    <n v="0.85"/>
    <n v="7956"/>
    <n v="72.278872761545699"/>
    <n v="63.647999999999996"/>
  </r>
  <r>
    <n v="84135799"/>
    <x v="17"/>
    <n v="6760"/>
    <d v="2023-07-10T00:00:00"/>
    <x v="232"/>
    <x v="35"/>
    <n v="9.0848256361922702E-3"/>
    <n v="61.413421300659749"/>
    <s v="BJ"/>
    <x v="6"/>
    <x v="39"/>
    <s v="Q3"/>
    <n v="125"/>
    <n v="54.08"/>
    <s v="2.4 Gal"/>
    <n v="0.85"/>
    <n v="5746"/>
    <n v="52.201408105560787"/>
    <n v="45.967999999999996"/>
  </r>
  <r>
    <n v="84141035"/>
    <x v="17"/>
    <n v="5200"/>
    <d v="2023-07-10T00:00:00"/>
    <x v="278"/>
    <x v="35"/>
    <n v="9.0848256361922702E-3"/>
    <n v="47.241093308199808"/>
    <s v="BJ"/>
    <x v="6"/>
    <x v="39"/>
    <s v="Q3"/>
    <n v="125"/>
    <n v="41.6"/>
    <s v="2.4 Gal"/>
    <n v="0.85"/>
    <n v="4420"/>
    <n v="40.154929311969838"/>
    <n v="35.36"/>
  </r>
  <r>
    <n v="84141101"/>
    <x v="17"/>
    <n v="46400"/>
    <d v="2023-07-10T00:00:00"/>
    <x v="86"/>
    <x v="35"/>
    <n v="3.7853439999999999E-3"/>
    <n v="175.63996159999999"/>
    <s v="BJ"/>
    <x v="6"/>
    <x v="15"/>
    <s v="Q3"/>
    <n v="240"/>
    <n v="193.33333333333334"/>
    <s v="BJ PTS"/>
    <n v="0.9"/>
    <n v="41760"/>
    <n v="158.07596544"/>
    <n v="174"/>
  </r>
  <r>
    <n v="84141103"/>
    <x v="17"/>
    <n v="34800"/>
    <d v="2023-07-10T00:00:00"/>
    <x v="294"/>
    <x v="44"/>
    <n v="3.7853439999999999E-3"/>
    <n v="131.72997119999999"/>
    <s v="BJ"/>
    <x v="6"/>
    <x v="15"/>
    <s v="Q3"/>
    <n v="240"/>
    <n v="145"/>
    <s v="BJ PTS"/>
    <n v="0.9"/>
    <n v="31320"/>
    <n v="118.55697408"/>
    <n v="130.5"/>
  </r>
  <r>
    <n v="84144621"/>
    <x v="17"/>
    <n v="4160"/>
    <d v="2023-07-10T00:00:00"/>
    <x v="239"/>
    <x v="35"/>
    <n v="9.0848256361922702E-3"/>
    <n v="37.792874646559845"/>
    <s v="BJ"/>
    <x v="6"/>
    <x v="39"/>
    <s v="Q3"/>
    <n v="125"/>
    <n v="33.28"/>
    <s v="2.4 Gal"/>
    <n v="0.85"/>
    <n v="3536"/>
    <n v="32.123943449575869"/>
    <n v="28.288"/>
  </r>
  <r>
    <n v="84164937"/>
    <x v="17"/>
    <n v="30160"/>
    <d v="2023-07-10T00:00:00"/>
    <x v="234"/>
    <x v="38"/>
    <n v="3.7853439999999999E-3"/>
    <n v="114.16597503999999"/>
    <s v="BJ"/>
    <x v="6"/>
    <x v="15"/>
    <s v="Q3"/>
    <n v="240"/>
    <n v="125.66666666666667"/>
    <s v="BJ PTS"/>
    <n v="0.9"/>
    <n v="27144"/>
    <n v="102.749377536"/>
    <n v="113.10000000000001"/>
  </r>
  <r>
    <n v="67885719"/>
    <x v="16"/>
    <n v="45600"/>
    <d v="2023-07-11T00:00:00"/>
    <x v="11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7885721"/>
    <x v="16"/>
    <n v="45600"/>
    <d v="2023-07-11T00:00:00"/>
    <x v="40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8354587"/>
    <x v="16"/>
    <n v="57000"/>
    <d v="2023-07-11T00:00:00"/>
    <x v="226"/>
    <x v="15"/>
    <n v="3.5999999999999999E-3"/>
    <n v="205.2"/>
    <s v="BJ"/>
    <x v="6"/>
    <x v="19"/>
    <s v="Q3"/>
    <n v="240"/>
    <n v="237.5"/>
    <s v="Topped"/>
    <n v="0.91"/>
    <n v="51870"/>
    <n v="186.732"/>
    <n v="216.125"/>
  </r>
  <r>
    <n v="68354589"/>
    <x v="16"/>
    <n v="1"/>
    <d v="2023-07-11T00:00:00"/>
    <x v="53"/>
    <x v="15"/>
    <n v="3.5999999999999999E-3"/>
    <n v="3.5999999999999999E-3"/>
    <s v="BJ"/>
    <x v="6"/>
    <x v="19"/>
    <s v="Q3"/>
    <n v="240"/>
    <n v="4.1666666666666666E-3"/>
    <s v="Topped"/>
    <n v="0.91"/>
    <n v="0.91"/>
    <n v="3.2759999999999998E-3"/>
    <n v="3.7916666666666667E-3"/>
  </r>
  <r>
    <n v="68527303"/>
    <x v="16"/>
    <n v="22800"/>
    <d v="2023-07-11T00:00:00"/>
    <x v="156"/>
    <x v="15"/>
    <n v="3.7839999999999996E-3"/>
    <n v="86.275199999999984"/>
    <s v="BR"/>
    <x v="6"/>
    <x v="7"/>
    <s v="Q3"/>
    <n v="240"/>
    <n v="95"/>
    <s v="PTS"/>
    <n v="0.95"/>
    <n v="21660"/>
    <n v="81.961439999999982"/>
    <n v="90.25"/>
  </r>
  <r>
    <n v="68726982"/>
    <x v="16"/>
    <n v="57000"/>
    <d v="2023-07-11T00:00:00"/>
    <x v="291"/>
    <x v="21"/>
    <n v="3.7853440000000004E-3"/>
    <n v="215.76460800000001"/>
    <s v="TA"/>
    <x v="6"/>
    <x v="10"/>
    <s v="Q3"/>
    <n v="255"/>
    <n v="223.52941176470588"/>
    <s v="TALENTI"/>
    <n v="0.94"/>
    <n v="53580"/>
    <n v="202.81873152"/>
    <n v="210.11764705882351"/>
  </r>
  <r>
    <n v="68728342"/>
    <x v="16"/>
    <n v="40000"/>
    <d v="2023-07-11T00:00:00"/>
    <x v="44"/>
    <x v="22"/>
    <n v="3.7853439999999999E-3"/>
    <n v="151.41376"/>
    <s v="TA"/>
    <x v="6"/>
    <x v="10"/>
    <s v="Q3"/>
    <n v="255"/>
    <n v="156.86274509803923"/>
    <s v="TALENTI"/>
    <n v="0.94"/>
    <n v="37600"/>
    <n v="142.32893439999998"/>
    <n v="147.45098039215688"/>
  </r>
  <r>
    <n v="68729634"/>
    <x v="16"/>
    <n v="25000"/>
    <d v="2023-07-11T00:00:00"/>
    <x v="92"/>
    <x v="22"/>
    <n v="3.7853439999999999E-3"/>
    <n v="94.633600000000001"/>
    <s v="TA"/>
    <x v="6"/>
    <x v="10"/>
    <s v="Q3"/>
    <n v="255"/>
    <n v="98.039215686274517"/>
    <s v="TALENTI"/>
    <n v="0.94"/>
    <n v="23500"/>
    <n v="88.955584000000002"/>
    <n v="92.156862745098039"/>
  </r>
  <r>
    <n v="68729723"/>
    <x v="16"/>
    <n v="50000"/>
    <d v="2023-07-11T00:00:00"/>
    <x v="300"/>
    <x v="21"/>
    <n v="3.7853440000000004E-3"/>
    <n v="189.26720000000003"/>
    <s v="TA"/>
    <x v="6"/>
    <x v="10"/>
    <s v="Q3"/>
    <n v="255"/>
    <n v="196.07843137254903"/>
    <s v="TALENTI"/>
    <n v="0.94"/>
    <n v="47000"/>
    <n v="177.91116800000003"/>
    <n v="184.31372549019608"/>
  </r>
  <r>
    <n v="68741742"/>
    <x v="16"/>
    <n v="32400"/>
    <d v="2023-07-11T00:00:00"/>
    <x v="25"/>
    <x v="25"/>
    <n v="4.2560000000000002E-3"/>
    <n v="137.89440000000002"/>
    <s v="GH"/>
    <x v="6"/>
    <x v="11"/>
    <s v="Q3"/>
    <n v="154"/>
    <n v="210.3896103896104"/>
    <s v="MBG"/>
    <n v="0.87"/>
    <n v="28188"/>
    <n v="119.96812800000002"/>
    <n v="183.03896103896105"/>
  </r>
  <r>
    <n v="68890247"/>
    <x v="16"/>
    <n v="26400"/>
    <d v="2023-07-11T00:00:00"/>
    <x v="243"/>
    <x v="2"/>
    <n v="8.5170239596469088E-6"/>
    <n v="0.2248494325346784"/>
    <s v="BR"/>
    <x v="6"/>
    <x v="2"/>
    <s v="Q3"/>
    <n v="176"/>
    <n v="150"/>
    <s v="48oz"/>
    <n v="0.95"/>
    <n v="25080"/>
    <n v="0.21360696090794448"/>
    <n v="142.5"/>
  </r>
  <r>
    <n v="69549034"/>
    <x v="16"/>
    <n v="25000"/>
    <d v="2023-07-11T00:00:00"/>
    <x v="296"/>
    <x v="22"/>
    <n v="3.5439999999999998E-3"/>
    <n v="88.6"/>
    <s v="TA"/>
    <x v="6"/>
    <x v="10"/>
    <s v="Q3"/>
    <n v="255"/>
    <n v="98.039215686274517"/>
    <s v="TALENTI"/>
    <n v="0.94"/>
    <n v="23500"/>
    <n v="83.283999999999992"/>
    <n v="92.156862745098039"/>
  </r>
  <r>
    <n v="69554197"/>
    <x v="16"/>
    <n v="1"/>
    <d v="2023-07-11T00:00:00"/>
    <x v="15"/>
    <x v="15"/>
    <n v="3.7839999999999996E-3"/>
    <n v="3.7839999999999996E-3"/>
    <s v="BR"/>
    <x v="6"/>
    <x v="7"/>
    <s v="Q3"/>
    <n v="240"/>
    <n v="4.1666666666666666E-3"/>
    <s v="PTS"/>
    <n v="0.95"/>
    <n v="0.95"/>
    <n v="3.5947999999999996E-3"/>
    <n v="3.9583333333333328E-3"/>
  </r>
  <r>
    <n v="69564623"/>
    <x v="16"/>
    <n v="26400"/>
    <d v="2023-07-11T00:00:00"/>
    <x v="238"/>
    <x v="2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87862"/>
    <x v="16"/>
    <n v="26400"/>
    <d v="2023-07-11T00:00:00"/>
    <x v="311"/>
    <x v="2"/>
    <n v="8.5199999999999998E-3"/>
    <n v="224.928"/>
    <s v="BR"/>
    <x v="6"/>
    <x v="2"/>
    <s v="Q3"/>
    <n v="154"/>
    <n v="171.42857142857142"/>
    <s v="48oz"/>
    <n v="0.95"/>
    <n v="25080"/>
    <n v="213.68159999999997"/>
    <n v="162.85714285714283"/>
  </r>
  <r>
    <n v="69677917"/>
    <x v="16"/>
    <n v="32400"/>
    <d v="2023-07-11T00:00:00"/>
    <x v="30"/>
    <x v="30"/>
    <n v="5.2680000000000001E-3"/>
    <n v="170.6832"/>
    <s v="PS"/>
    <x v="6"/>
    <x v="14"/>
    <s v="Q3"/>
    <n v="108"/>
    <n v="300"/>
    <s v="PG"/>
    <n v="0.9"/>
    <n v="29160"/>
    <n v="153.61488"/>
    <n v="270"/>
  </r>
  <r>
    <n v="84135781"/>
    <x v="16"/>
    <n v="45600"/>
    <d v="2023-07-11T00:00:00"/>
    <x v="356"/>
    <x v="15"/>
    <n v="3.7853439999999999E-3"/>
    <n v="172.6116864"/>
    <s v="BJ"/>
    <x v="6"/>
    <x v="30"/>
    <s v="Q3"/>
    <n v="240"/>
    <n v="190"/>
    <s v="BJ PTS"/>
    <n v="0.9"/>
    <n v="41040"/>
    <n v="155.35051776"/>
    <n v="171"/>
  </r>
  <r>
    <n v="67466492"/>
    <x v="15"/>
    <n v="20250"/>
    <d v="2023-07-14T00:00:00"/>
    <x v="8"/>
    <x v="7"/>
    <n v="5.2680000000000001E-3"/>
    <n v="106.67700000000001"/>
    <s v="PS"/>
    <x v="6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7-16T00:00:00"/>
    <x v="8"/>
    <x v="8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466492"/>
    <x v="15"/>
    <n v="23400"/>
    <d v="2023-07-16T00:00:00"/>
    <x v="8"/>
    <x v="6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465063"/>
    <x v="15"/>
    <n v="15413"/>
    <d v="2023-07-17T00:00:00"/>
    <x v="3"/>
    <x v="40"/>
    <n v="5.2680000000000001E-3"/>
    <n v="81.195684"/>
    <s v="PS"/>
    <x v="6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7-17T00:00:00"/>
    <x v="7"/>
    <x v="3"/>
    <n v="1.596E-3"/>
    <n v="21.545999999999999"/>
    <s v="PS"/>
    <x v="6"/>
    <x v="3"/>
    <s v="Q3"/>
    <n v="130"/>
    <n v="103.84615384615384"/>
    <s v="PG"/>
    <n v="0.9"/>
    <n v="12150"/>
    <n v="19.391400000000001"/>
    <n v="93.461538461538453"/>
  </r>
  <r>
    <n v="67466462"/>
    <x v="15"/>
    <n v="5400"/>
    <d v="2023-07-17T00:00:00"/>
    <x v="29"/>
    <x v="10"/>
    <n v="5.2680000000000001E-3"/>
    <n v="28.447200000000002"/>
    <s v="PS"/>
    <x v="6"/>
    <x v="3"/>
    <s v="Q3"/>
    <n v="130"/>
    <n v="41.53846153846154"/>
    <s v="PG"/>
    <n v="0.9"/>
    <n v="4860"/>
    <n v="25.602480000000003"/>
    <n v="37.384615384615387"/>
  </r>
  <r>
    <n v="67880013"/>
    <x v="15"/>
    <n v="22000"/>
    <d v="2023-07-17T00:00:00"/>
    <x v="368"/>
    <x v="16"/>
    <n v="8.5199999999999998E-3"/>
    <n v="187.44"/>
    <s v="BR"/>
    <x v="6"/>
    <x v="6"/>
    <s v="Q3"/>
    <n v="154"/>
    <n v="142.85714285714286"/>
    <s v="48oz"/>
    <n v="0.95"/>
    <n v="20900"/>
    <n v="178.06799999999998"/>
    <n v="135.71428571428572"/>
  </r>
  <r>
    <n v="67885719"/>
    <x v="15"/>
    <n v="25200"/>
    <d v="2023-07-17T00:00:00"/>
    <x v="11"/>
    <x v="23"/>
    <n v="8.5199999999999998E-3"/>
    <n v="214.70400000000001"/>
    <s v="BR"/>
    <x v="6"/>
    <x v="6"/>
    <s v="Q3"/>
    <n v="154"/>
    <n v="163.63636363636363"/>
    <s v="48oz"/>
    <n v="0.95"/>
    <n v="23940"/>
    <n v="203.96879999999999"/>
    <n v="155.45454545454544"/>
  </r>
  <r>
    <n v="67885721"/>
    <x v="15"/>
    <n v="25200"/>
    <d v="2023-07-17T00:00:00"/>
    <x v="40"/>
    <x v="23"/>
    <n v="8.5199999999999998E-3"/>
    <n v="214.70400000000001"/>
    <s v="BR"/>
    <x v="6"/>
    <x v="6"/>
    <s v="Q3"/>
    <n v="154"/>
    <n v="163.63636363636363"/>
    <s v="48oz"/>
    <n v="0.95"/>
    <n v="23940"/>
    <n v="203.96879999999999"/>
    <n v="155.45454545454544"/>
  </r>
  <r>
    <n v="67885724"/>
    <x v="15"/>
    <n v="22800"/>
    <d v="2023-07-17T00:00:00"/>
    <x v="49"/>
    <x v="12"/>
    <n v="8.5199999999999998E-3"/>
    <n v="194.256"/>
    <s v="BR"/>
    <x v="6"/>
    <x v="6"/>
    <s v="Q3"/>
    <n v="154"/>
    <n v="148.05194805194805"/>
    <s v="48oz"/>
    <n v="0.95"/>
    <n v="21660"/>
    <n v="184.54319999999998"/>
    <n v="140.64935064935062"/>
  </r>
  <r>
    <n v="68188183"/>
    <x v="15"/>
    <n v="19500"/>
    <d v="2023-07-17T00:00:00"/>
    <x v="70"/>
    <x v="9"/>
    <n v="3.8340000000000002E-3"/>
    <n v="74.763000000000005"/>
    <s v="PS"/>
    <x v="6"/>
    <x v="3"/>
    <s v="Q3"/>
    <n v="130"/>
    <n v="150"/>
    <s v="PG"/>
    <n v="0.9"/>
    <n v="17550"/>
    <n v="67.28670000000001"/>
    <n v="135"/>
  </r>
  <r>
    <n v="68817793"/>
    <x v="15"/>
    <n v="25200"/>
    <d v="2023-07-17T00:00:00"/>
    <x v="48"/>
    <x v="23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8850684"/>
    <x v="15"/>
    <n v="25200"/>
    <d v="2023-07-17T00:00:00"/>
    <x v="354"/>
    <x v="11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8881270"/>
    <x v="15"/>
    <n v="11900"/>
    <d v="2023-07-17T00:00:00"/>
    <x v="91"/>
    <x v="16"/>
    <n v="8.5199999999999998E-3"/>
    <n v="101.38799999999999"/>
    <s v="BR"/>
    <x v="6"/>
    <x v="6"/>
    <s v="Q3"/>
    <n v="176"/>
    <n v="67.61363636363636"/>
    <s v="48oz"/>
    <n v="0.95"/>
    <n v="11305"/>
    <n v="96.318599999999989"/>
    <n v="64.232954545454533"/>
  </r>
  <r>
    <n v="68881272"/>
    <x v="15"/>
    <n v="20400"/>
    <d v="2023-07-17T00:00:00"/>
    <x v="124"/>
    <x v="16"/>
    <n v="8.5199999999999998E-3"/>
    <n v="173.80799999999999"/>
    <s v="BR"/>
    <x v="6"/>
    <x v="6"/>
    <s v="Q3"/>
    <n v="154"/>
    <n v="132.46753246753246"/>
    <s v="48oz"/>
    <n v="0.95"/>
    <n v="19380"/>
    <n v="165.11759999999998"/>
    <n v="125.84415584415584"/>
  </r>
  <r>
    <n v="68930545"/>
    <x v="15"/>
    <n v="22800"/>
    <d v="2023-07-17T00:00:00"/>
    <x v="93"/>
    <x v="12"/>
    <n v="8.5199999999999998E-3"/>
    <n v="194.256"/>
    <s v="BR"/>
    <x v="6"/>
    <x v="6"/>
    <s v="Q3"/>
    <n v="176"/>
    <n v="129.54545454545453"/>
    <s v="48oz"/>
    <n v="0.95"/>
    <n v="21660"/>
    <n v="184.54319999999998"/>
    <n v="123.0681818181818"/>
  </r>
  <r>
    <n v="69677917"/>
    <x v="15"/>
    <n v="24000"/>
    <d v="2023-07-17T00:00:00"/>
    <x v="30"/>
    <x v="29"/>
    <n v="5.2680000000000001E-3"/>
    <n v="126.432"/>
    <s v="PS"/>
    <x v="6"/>
    <x v="3"/>
    <s v="Q3"/>
    <n v="108"/>
    <n v="222.22222222222223"/>
    <s v="PG"/>
    <n v="0.9"/>
    <n v="21600"/>
    <n v="113.78880000000001"/>
    <n v="200"/>
  </r>
  <r>
    <n v="69700048"/>
    <x v="15"/>
    <n v="36000"/>
    <d v="2023-07-17T00:00:00"/>
    <x v="288"/>
    <x v="24"/>
    <n v="2.3469132803553457E-3"/>
    <n v="84.488878092792447"/>
    <s v="GH"/>
    <x v="6"/>
    <x v="4"/>
    <s v="Q3"/>
    <n v="350"/>
    <n v="102.85714285714286"/>
    <s v="MBG"/>
    <n v="0.87"/>
    <n v="31320"/>
    <n v="73.505323940729426"/>
    <n v="89.485714285714295"/>
  </r>
  <r>
    <n v="67309864"/>
    <x v="16"/>
    <n v="26400"/>
    <d v="2023-07-17T00:00:00"/>
    <x v="63"/>
    <x v="2"/>
    <n v="8.5199999999999998E-3"/>
    <n v="224.928"/>
    <s v="BR"/>
    <x v="6"/>
    <x v="2"/>
    <s v="Q3"/>
    <n v="154"/>
    <n v="171.42857142857142"/>
    <s v="48oz"/>
    <n v="0.95"/>
    <n v="25080"/>
    <n v="213.68159999999997"/>
    <n v="162.85714285714283"/>
  </r>
  <r>
    <n v="67885722"/>
    <x v="16"/>
    <n v="3300"/>
    <d v="2023-07-17T00:00:00"/>
    <x v="163"/>
    <x v="2"/>
    <n v="8.5199999999999998E-3"/>
    <n v="28.116"/>
    <s v="BR"/>
    <x v="6"/>
    <x v="2"/>
    <s v="Q3"/>
    <n v="154"/>
    <n v="21.428571428571427"/>
    <s v="48oz"/>
    <n v="0.95"/>
    <n v="3135"/>
    <n v="26.710199999999997"/>
    <n v="20.357142857142854"/>
  </r>
  <r>
    <n v="67901592"/>
    <x v="16"/>
    <n v="5700"/>
    <d v="2023-07-17T00:00:00"/>
    <x v="240"/>
    <x v="32"/>
    <n v="8.5199999999999998E-3"/>
    <n v="48.564"/>
    <s v="BR"/>
    <x v="6"/>
    <x v="2"/>
    <s v="Q3"/>
    <n v="154"/>
    <n v="37.012987012987011"/>
    <s v="48oz"/>
    <n v="0.95"/>
    <n v="5415"/>
    <n v="46.135799999999996"/>
    <n v="35.162337662337656"/>
  </r>
  <r>
    <n v="68821733"/>
    <x v="16"/>
    <n v="26400"/>
    <d v="2023-07-17T00:00:00"/>
    <x v="13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68965"/>
    <x v="16"/>
    <n v="26400"/>
    <d v="2023-07-17T00:00:00"/>
    <x v="298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72544"/>
    <x v="16"/>
    <n v="44000"/>
    <d v="2023-07-17T00:00:00"/>
    <x v="171"/>
    <x v="14"/>
    <n v="1.9740000000000001E-3"/>
    <n v="86.856000000000009"/>
    <s v="MG"/>
    <x v="6"/>
    <x v="5"/>
    <s v="Q3"/>
    <n v="176"/>
    <n v="250"/>
    <s v="MG Sticks"/>
    <n v="0.93"/>
    <n v="40920"/>
    <n v="80.776080000000007"/>
    <n v="232.5"/>
  </r>
  <r>
    <n v="69572658"/>
    <x v="16"/>
    <n v="27000"/>
    <d v="2023-07-17T00:00:00"/>
    <x v="166"/>
    <x v="5"/>
    <n v="2.1520000000000003E-3"/>
    <n v="58.104000000000006"/>
    <s v="MG"/>
    <x v="6"/>
    <x v="5"/>
    <s v="Q3"/>
    <n v="210"/>
    <n v="128.57142857142858"/>
    <s v="MG Sticks"/>
    <n v="0.93"/>
    <n v="25110"/>
    <n v="54.03672000000001"/>
    <n v="119.57142857142858"/>
  </r>
  <r>
    <n v="69587863"/>
    <x v="16"/>
    <n v="26400"/>
    <d v="2023-07-17T00:00:00"/>
    <x v="249"/>
    <x v="13"/>
    <n v="8.5199999999999998E-3"/>
    <n v="224.928"/>
    <s v="BR"/>
    <x v="6"/>
    <x v="2"/>
    <s v="Q3"/>
    <n v="154"/>
    <n v="171.42857142857142"/>
    <s v="48oz"/>
    <n v="0.95"/>
    <n v="25080"/>
    <n v="213.68159999999997"/>
    <n v="162.85714285714283"/>
  </r>
  <r>
    <n v="69621212"/>
    <x v="16"/>
    <n v="35100"/>
    <d v="2023-07-17T00:00:00"/>
    <x v="29"/>
    <x v="28"/>
    <n v="5.2680000000000001E-3"/>
    <n v="184.9068"/>
    <s v="PG"/>
    <x v="6"/>
    <x v="14"/>
    <s v="Q3"/>
    <n v="130"/>
    <n v="270"/>
    <s v="PG"/>
    <n v="0.9"/>
    <n v="31590"/>
    <n v="166.41612000000001"/>
    <n v="243"/>
  </r>
  <r>
    <n v="69706147"/>
    <x v="16"/>
    <n v="35700"/>
    <d v="2023-07-31T00:00:00"/>
    <x v="195"/>
    <x v="31"/>
    <n v="3.8999999999999998E-3"/>
    <n v="139.22999999999999"/>
    <s v="TA"/>
    <x v="6"/>
    <x v="42"/>
    <s v="Q3"/>
    <n v="176"/>
    <n v="202.84090909090909"/>
    <s v="TAL NV"/>
    <n v="0.97"/>
    <n v="34629"/>
    <n v="135.05309999999997"/>
    <n v="196.75568181818181"/>
  </r>
  <r>
    <n v="84141102"/>
    <x v="18"/>
    <n v="105600"/>
    <d v="2023-07-17T00:00:00"/>
    <x v="217"/>
    <x v="38"/>
    <n v="3.7853439999999999E-3"/>
    <n v="399.73232639999998"/>
    <s v="BJ"/>
    <x v="6"/>
    <x v="36"/>
    <s v="Q3"/>
    <n v="240"/>
    <n v="440"/>
    <s v="BJ PTS"/>
    <n v="0.9"/>
    <n v="95040"/>
    <n v="359.75909375999998"/>
    <n v="396"/>
  </r>
  <r>
    <n v="84141103"/>
    <x v="18"/>
    <n v="105600"/>
    <d v="2023-07-17T00:00:00"/>
    <x v="294"/>
    <x v="38"/>
    <n v="3.7853439999999999E-3"/>
    <n v="399.73232639999998"/>
    <s v="BJ"/>
    <x v="6"/>
    <x v="36"/>
    <s v="Q3"/>
    <n v="240"/>
    <n v="440"/>
    <s v="BJ PTS"/>
    <n v="0.9"/>
    <n v="95040"/>
    <n v="359.75909375999998"/>
    <n v="396"/>
  </r>
  <r>
    <n v="67789313"/>
    <x v="17"/>
    <n v="34800"/>
    <d v="2023-07-17T00:00:00"/>
    <x v="169"/>
    <x v="35"/>
    <n v="3.7853439999999999E-3"/>
    <n v="131.72997119999999"/>
    <s v="BJ"/>
    <x v="6"/>
    <x v="15"/>
    <s v="Q3"/>
    <n v="240"/>
    <n v="145"/>
    <s v="BJ PTS"/>
    <n v="0.9"/>
    <n v="31320"/>
    <n v="118.55697408"/>
    <n v="130.5"/>
  </r>
  <r>
    <n v="67904289"/>
    <x v="17"/>
    <n v="46400"/>
    <d v="2023-07-17T00:00:00"/>
    <x v="235"/>
    <x v="33"/>
    <n v="3.7839999999999996E-3"/>
    <n v="175.57759999999999"/>
    <s v="BJ"/>
    <x v="6"/>
    <x v="15"/>
    <s v="Q3"/>
    <n v="240"/>
    <n v="193.33333333333334"/>
    <s v="BJ PTS"/>
    <n v="0.9"/>
    <n v="41760"/>
    <n v="158.01983999999999"/>
    <n v="174"/>
  </r>
  <r>
    <n v="67995090"/>
    <x v="17"/>
    <n v="10440"/>
    <d v="2023-07-17T00:00:00"/>
    <x v="315"/>
    <x v="35"/>
    <n v="3.7853439999999999E-3"/>
    <n v="39.518991360000001"/>
    <s v="BJ"/>
    <x v="6"/>
    <x v="15"/>
    <s v="Q3"/>
    <n v="240"/>
    <n v="43.5"/>
    <s v="BJ PTS"/>
    <n v="0.9"/>
    <n v="9396"/>
    <n v="35.567092224"/>
    <n v="39.15"/>
  </r>
  <r>
    <n v="68655558"/>
    <x v="17"/>
    <n v="6240"/>
    <d v="2023-07-17T00:00:00"/>
    <x v="369"/>
    <x v="35"/>
    <n v="9.0848256361922702E-3"/>
    <n v="56.689311969839764"/>
    <s v="BJ"/>
    <x v="6"/>
    <x v="39"/>
    <s v="Q3"/>
    <n v="125"/>
    <n v="49.92"/>
    <s v="2.4 gal"/>
    <n v="0.85"/>
    <n v="5304"/>
    <n v="48.185915174363799"/>
    <n v="42.432000000000002"/>
  </r>
  <r>
    <n v="84135799"/>
    <x v="17"/>
    <n v="12480"/>
    <d v="2023-07-17T00:00:00"/>
    <x v="232"/>
    <x v="35"/>
    <n v="9.0848256361922702E-3"/>
    <n v="113.37862393967953"/>
    <s v="BJ"/>
    <x v="6"/>
    <x v="39"/>
    <s v="Q3"/>
    <n v="125"/>
    <n v="99.84"/>
    <s v="2.4 Gal"/>
    <n v="0.85"/>
    <n v="10608"/>
    <n v="96.371830348727599"/>
    <n v="84.864000000000004"/>
  </r>
  <r>
    <n v="84137725"/>
    <x v="17"/>
    <n v="34800"/>
    <d v="2023-07-17T00:00:00"/>
    <x v="132"/>
    <x v="34"/>
    <n v="3.7853439999999999E-3"/>
    <n v="131.72997119999999"/>
    <s v="BJ"/>
    <x v="6"/>
    <x v="15"/>
    <s v="Q3"/>
    <n v="240"/>
    <n v="145"/>
    <s v="BJ PTS"/>
    <n v="0.9"/>
    <n v="31320"/>
    <n v="118.55697408"/>
    <n v="130.5"/>
  </r>
  <r>
    <n v="84138391"/>
    <x v="17"/>
    <n v="75400"/>
    <d v="2023-07-17T00:00:00"/>
    <x v="84"/>
    <x v="33"/>
    <n v="3.7853439999999999E-3"/>
    <n v="285.41493759999997"/>
    <s v="BJ"/>
    <x v="6"/>
    <x v="15"/>
    <s v="Q3"/>
    <n v="240"/>
    <n v="314.16666666666669"/>
    <s v="BJ PTS"/>
    <n v="0.9"/>
    <n v="67860"/>
    <n v="256.87344383999999"/>
    <n v="282.75"/>
  </r>
  <r>
    <n v="84141037"/>
    <x v="17"/>
    <n v="12480"/>
    <d v="2023-07-17T00:00:00"/>
    <x v="167"/>
    <x v="35"/>
    <n v="9.0848256361922702E-3"/>
    <n v="113.37862393967953"/>
    <s v="BJ"/>
    <x v="6"/>
    <x v="39"/>
    <s v="Q3"/>
    <n v="125"/>
    <n v="99.84"/>
    <s v="2.4 Gal"/>
    <n v="0.85"/>
    <n v="10608"/>
    <n v="96.371830348727599"/>
    <n v="84.864000000000004"/>
  </r>
  <r>
    <n v="84141094"/>
    <x v="17"/>
    <n v="104000"/>
    <d v="2023-07-17T00:00:00"/>
    <x v="107"/>
    <x v="33"/>
    <n v="3.7853439999999999E-3"/>
    <n v="393.67577599999998"/>
    <s v="BJ"/>
    <x v="6"/>
    <x v="15"/>
    <s v="Q3"/>
    <n v="240"/>
    <n v="433.33333333333331"/>
    <s v="BJ PTS"/>
    <n v="0.9"/>
    <n v="93600"/>
    <n v="354.30819839999998"/>
    <n v="390"/>
  </r>
  <r>
    <n v="84141418"/>
    <x v="17"/>
    <n v="6240"/>
    <d v="2023-07-17T00:00:00"/>
    <x v="314"/>
    <x v="35"/>
    <n v="9.0848256361922702E-3"/>
    <n v="56.689311969839764"/>
    <s v="BJ"/>
    <x v="6"/>
    <x v="39"/>
    <s v="Q3"/>
    <n v="125"/>
    <n v="49.92"/>
    <s v="2.4 Gal"/>
    <n v="0.85"/>
    <n v="5304"/>
    <n v="48.185915174363799"/>
    <n v="42.432000000000002"/>
  </r>
  <r>
    <n v="84164936"/>
    <x v="17"/>
    <n v="34800"/>
    <d v="2023-07-17T00:00:00"/>
    <x v="162"/>
    <x v="42"/>
    <n v="3.7853439999999999E-3"/>
    <n v="131.72997119999999"/>
    <s v="BJ"/>
    <x v="6"/>
    <x v="15"/>
    <s v="Q3"/>
    <n v="240"/>
    <n v="145"/>
    <s v="BJ PTS"/>
    <n v="0.9"/>
    <n v="31320"/>
    <n v="118.55697408"/>
    <n v="130.5"/>
  </r>
  <r>
    <n v="67309842"/>
    <x v="16"/>
    <n v="45600"/>
    <d v="2023-07-18T00:00:00"/>
    <x v="2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7885719"/>
    <x v="16"/>
    <n v="45600"/>
    <d v="2023-07-18T00:00:00"/>
    <x v="11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8354590"/>
    <x v="16"/>
    <n v="57000"/>
    <d v="2023-07-18T00:00:00"/>
    <x v="339"/>
    <x v="15"/>
    <n v="3.5999999999999999E-3"/>
    <n v="205.2"/>
    <s v="BJ"/>
    <x v="6"/>
    <x v="19"/>
    <s v="Q3"/>
    <n v="240"/>
    <n v="237.5"/>
    <s v="Topped"/>
    <n v="0.91"/>
    <n v="51870"/>
    <n v="186.732"/>
    <n v="216.125"/>
  </r>
  <r>
    <n v="68354592"/>
    <x v="16"/>
    <n v="57000"/>
    <d v="2023-07-18T00:00:00"/>
    <x v="370"/>
    <x v="15"/>
    <n v="3.5999999999999999E-3"/>
    <n v="205.2"/>
    <s v="BJ"/>
    <x v="6"/>
    <x v="19"/>
    <s v="Q3"/>
    <n v="240"/>
    <n v="237.5"/>
    <s v="Topped"/>
    <n v="0.91"/>
    <n v="51870"/>
    <n v="186.732"/>
    <n v="216.125"/>
  </r>
  <r>
    <n v="68527300"/>
    <x v="16"/>
    <n v="1"/>
    <d v="2023-07-18T00:00:00"/>
    <x v="157"/>
    <x v="15"/>
    <n v="3.7839999999999996E-3"/>
    <n v="3.7839999999999996E-3"/>
    <s v="BR"/>
    <x v="6"/>
    <x v="7"/>
    <s v="Q3"/>
    <n v="240"/>
    <n v="4.1666666666666666E-3"/>
    <s v="PTS"/>
    <n v="0.95"/>
    <n v="0.95"/>
    <n v="3.5947999999999996E-3"/>
    <n v="3.9583333333333328E-3"/>
  </r>
  <r>
    <n v="68728321"/>
    <x v="16"/>
    <n v="25000"/>
    <d v="2023-07-18T00:00:00"/>
    <x v="150"/>
    <x v="22"/>
    <n v="3.7853439999999999E-3"/>
    <n v="94.633600000000001"/>
    <s v="TA"/>
    <x v="6"/>
    <x v="10"/>
    <s v="Q3"/>
    <n v="255"/>
    <n v="98.039215686274517"/>
    <s v="TALENTI"/>
    <n v="0.94"/>
    <n v="23500"/>
    <n v="88.955584000000002"/>
    <n v="92.156862745098039"/>
  </r>
  <r>
    <n v="68728326"/>
    <x v="16"/>
    <n v="25000"/>
    <d v="2023-07-18T00:00:00"/>
    <x v="371"/>
    <x v="22"/>
    <n v="3.7853439999999999E-3"/>
    <n v="94.633600000000001"/>
    <s v="TA"/>
    <x v="6"/>
    <x v="10"/>
    <s v="Q3"/>
    <n v="255"/>
    <n v="98.039215686274517"/>
    <s v="TALENTI"/>
    <n v="0.94"/>
    <n v="23500"/>
    <n v="88.955584000000002"/>
    <n v="92.156862745098039"/>
  </r>
  <r>
    <n v="68730254"/>
    <x v="16"/>
    <n v="91000"/>
    <d v="2023-07-18T00:00:00"/>
    <x v="128"/>
    <x v="21"/>
    <n v="3.7853440000000004E-3"/>
    <n v="344.46630400000004"/>
    <s v="TA"/>
    <x v="6"/>
    <x v="10"/>
    <s v="Q3"/>
    <n v="255"/>
    <n v="356.86274509803923"/>
    <s v="TALENTI"/>
    <n v="0.94"/>
    <n v="85540"/>
    <n v="323.79832576000001"/>
    <n v="335.45098039215685"/>
  </r>
  <r>
    <n v="68741742"/>
    <x v="16"/>
    <n v="32400"/>
    <d v="2023-07-18T00:00:00"/>
    <x v="25"/>
    <x v="25"/>
    <n v="4.2560000000000002E-3"/>
    <n v="137.89440000000002"/>
    <s v="GH"/>
    <x v="6"/>
    <x v="11"/>
    <s v="Q3"/>
    <n v="154"/>
    <n v="210.3896103896104"/>
    <s v="MBG"/>
    <n v="0.87"/>
    <n v="28188"/>
    <n v="119.96812800000002"/>
    <n v="183.03896103896105"/>
  </r>
  <r>
    <n v="68850683"/>
    <x v="16"/>
    <n v="45600"/>
    <d v="2023-07-18T00:00:00"/>
    <x v="335"/>
    <x v="32"/>
    <n v="8.5199999999999998E-3"/>
    <n v="388.512"/>
    <s v="BR"/>
    <x v="6"/>
    <x v="2"/>
    <s v="Q3"/>
    <n v="176"/>
    <n v="259.09090909090907"/>
    <s v="48oz"/>
    <n v="0.95"/>
    <n v="43320"/>
    <n v="369.08639999999997"/>
    <n v="246.1363636363636"/>
  </r>
  <r>
    <n v="68896052"/>
    <x v="16"/>
    <n v="26400"/>
    <d v="2023-07-18T00:00:00"/>
    <x v="36"/>
    <x v="2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8922106"/>
    <x v="16"/>
    <n v="40000"/>
    <d v="2023-07-18T00:00:00"/>
    <x v="104"/>
    <x v="22"/>
    <n v="3.552E-3"/>
    <n v="142.08000000000001"/>
    <s v="TA"/>
    <x v="6"/>
    <x v="10"/>
    <s v="Q3"/>
    <n v="255"/>
    <n v="156.86274509803923"/>
    <s v="TALENTI"/>
    <n v="0.94"/>
    <n v="37600"/>
    <n v="133.55520000000001"/>
    <n v="147.45098039215688"/>
  </r>
  <r>
    <n v="69568963"/>
    <x v="16"/>
    <n v="26400"/>
    <d v="2023-07-18T00:00:00"/>
    <x v="94"/>
    <x v="2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629468"/>
    <x v="16"/>
    <n v="32400"/>
    <d v="2023-07-18T00:00:00"/>
    <x v="30"/>
    <x v="30"/>
    <n v="5.2680000000000001E-3"/>
    <n v="170.6832"/>
    <s v="PS"/>
    <x v="6"/>
    <x v="14"/>
    <s v="Q3"/>
    <n v="130"/>
    <n v="249.23076923076923"/>
    <s v="PG"/>
    <n v="0.9"/>
    <n v="29160"/>
    <n v="153.61488"/>
    <n v="224.30769230769232"/>
  </r>
  <r>
    <n v="69691840"/>
    <x v="16"/>
    <n v="57000"/>
    <d v="2023-07-18T00:00:00"/>
    <x v="106"/>
    <x v="21"/>
    <n v="3.7839999999999996E-3"/>
    <n v="215.68799999999999"/>
    <s v="TA"/>
    <x v="6"/>
    <x v="10"/>
    <s v="Q3"/>
    <n v="255"/>
    <n v="223.52941176470588"/>
    <s v="TALENTI"/>
    <n v="0.94"/>
    <n v="53580"/>
    <n v="202.74671999999998"/>
    <n v="210.11764705882351"/>
  </r>
  <r>
    <n v="67466492"/>
    <x v="15"/>
    <n v="20250"/>
    <d v="2023-07-21T00:00:00"/>
    <x v="8"/>
    <x v="7"/>
    <n v="5.2680000000000001E-3"/>
    <n v="106.67700000000001"/>
    <s v="PS"/>
    <x v="6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7-23T00:00:00"/>
    <x v="8"/>
    <x v="8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466492"/>
    <x v="15"/>
    <n v="23400"/>
    <d v="2023-07-23T00:00:00"/>
    <x v="8"/>
    <x v="6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309843"/>
    <x v="15"/>
    <n v="22800"/>
    <d v="2023-07-24T00:00:00"/>
    <x v="88"/>
    <x v="12"/>
    <n v="8.5199999999999998E-3"/>
    <n v="194.256"/>
    <s v="BR"/>
    <x v="6"/>
    <x v="6"/>
    <s v="Q3"/>
    <n v="154"/>
    <n v="148.05194805194805"/>
    <s v="48oz"/>
    <n v="0.95"/>
    <n v="21660"/>
    <n v="184.54319999999998"/>
    <n v="140.64935064935062"/>
  </r>
  <r>
    <n v="67465063"/>
    <x v="15"/>
    <n v="15413"/>
    <d v="2023-07-24T00:00:00"/>
    <x v="3"/>
    <x v="40"/>
    <n v="5.2680000000000001E-3"/>
    <n v="81.195684"/>
    <s v="PS"/>
    <x v="6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7-24T00:00:00"/>
    <x v="7"/>
    <x v="3"/>
    <n v="1.596E-3"/>
    <n v="21.545999999999999"/>
    <s v="PS"/>
    <x v="6"/>
    <x v="3"/>
    <s v="Q3"/>
    <n v="130"/>
    <n v="103.84615384615384"/>
    <s v="PG"/>
    <n v="0.9"/>
    <n v="12150"/>
    <n v="19.391400000000001"/>
    <n v="93.461538461538453"/>
  </r>
  <r>
    <n v="67466462"/>
    <x v="15"/>
    <n v="5400"/>
    <d v="2023-07-24T00:00:00"/>
    <x v="29"/>
    <x v="10"/>
    <n v="5.2680000000000001E-3"/>
    <n v="28.447200000000002"/>
    <s v="PS"/>
    <x v="6"/>
    <x v="3"/>
    <s v="Q3"/>
    <n v="130"/>
    <n v="41.53846153846154"/>
    <s v="PG"/>
    <n v="0.9"/>
    <n v="4860"/>
    <n v="25.602480000000003"/>
    <n v="37.384615384615387"/>
  </r>
  <r>
    <n v="67885721"/>
    <x v="15"/>
    <n v="20400"/>
    <d v="2023-07-24T00:00:00"/>
    <x v="40"/>
    <x v="16"/>
    <n v="8.5199999999999998E-3"/>
    <n v="173.80799999999999"/>
    <s v="BR"/>
    <x v="6"/>
    <x v="6"/>
    <s v="Q3"/>
    <n v="154"/>
    <n v="132.46753246753246"/>
    <s v="48oz"/>
    <n v="0.95"/>
    <n v="19380"/>
    <n v="165.11759999999998"/>
    <n v="125.84415584415584"/>
  </r>
  <r>
    <n v="67885723"/>
    <x v="15"/>
    <n v="2550"/>
    <d v="2023-07-24T00:00:00"/>
    <x v="304"/>
    <x v="16"/>
    <n v="8.5199999999999998E-3"/>
    <n v="21.725999999999999"/>
    <s v="BR"/>
    <x v="6"/>
    <x v="6"/>
    <s v="Q3"/>
    <n v="154"/>
    <n v="16.558441558441558"/>
    <s v="48oz"/>
    <n v="0.95"/>
    <n v="2422.5"/>
    <n v="20.639699999999998"/>
    <n v="15.730519480519479"/>
  </r>
  <r>
    <n v="68188183"/>
    <x v="15"/>
    <n v="19500"/>
    <d v="2023-07-24T00:00:00"/>
    <x v="70"/>
    <x v="9"/>
    <n v="3.8340000000000002E-3"/>
    <n v="74.763000000000005"/>
    <s v="PS"/>
    <x v="6"/>
    <x v="3"/>
    <s v="Q3"/>
    <n v="130"/>
    <n v="150"/>
    <s v="PG"/>
    <n v="0.9"/>
    <n v="17550"/>
    <n v="67.28670000000001"/>
    <n v="135"/>
  </r>
  <r>
    <n v="68659718"/>
    <x v="15"/>
    <n v="36000"/>
    <d v="2023-07-24T00:00:00"/>
    <x v="193"/>
    <x v="24"/>
    <n v="2.8319999999999999E-3"/>
    <n v="101.952"/>
    <s v="GH"/>
    <x v="6"/>
    <x v="4"/>
    <s v="Q3"/>
    <n v="225"/>
    <n v="160"/>
    <s v="MBG"/>
    <n v="0.87"/>
    <n v="31320"/>
    <n v="88.698239999999998"/>
    <n v="139.19999999999999"/>
  </r>
  <r>
    <n v="68850683"/>
    <x v="15"/>
    <n v="25200"/>
    <d v="2023-07-24T00:00:00"/>
    <x v="335"/>
    <x v="11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8850684"/>
    <x v="15"/>
    <n v="25200"/>
    <d v="2023-07-24T00:00:00"/>
    <x v="354"/>
    <x v="11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8881270"/>
    <x v="15"/>
    <n v="11900"/>
    <d v="2023-07-24T00:00:00"/>
    <x v="91"/>
    <x v="12"/>
    <n v="8.5199999999999998E-3"/>
    <n v="101.38799999999999"/>
    <s v="BR"/>
    <x v="6"/>
    <x v="6"/>
    <s v="Q3"/>
    <n v="176"/>
    <n v="67.61363636363636"/>
    <s v="48oz"/>
    <n v="0.95"/>
    <n v="11305"/>
    <n v="96.318599999999989"/>
    <n v="64.232954545454533"/>
  </r>
  <r>
    <n v="69568828"/>
    <x v="15"/>
    <n v="25200"/>
    <d v="2023-07-24T00:00:00"/>
    <x v="12"/>
    <x v="11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9677917"/>
    <x v="15"/>
    <n v="24000"/>
    <d v="2023-07-24T00:00:00"/>
    <x v="30"/>
    <x v="29"/>
    <n v="5.2680000000000001E-3"/>
    <n v="126.432"/>
    <s v="PS"/>
    <x v="6"/>
    <x v="3"/>
    <s v="Q3"/>
    <n v="108"/>
    <n v="222.22222222222223"/>
    <s v="PG"/>
    <n v="0.9"/>
    <n v="21600"/>
    <n v="113.78880000000001"/>
    <n v="200"/>
  </r>
  <r>
    <n v="69792955"/>
    <x v="15"/>
    <n v="41070"/>
    <d v="2023-07-24T00:00:00"/>
    <x v="372"/>
    <x v="23"/>
    <n v="8.5199999999999998E-3"/>
    <n v="349.91640000000001"/>
    <s v="BR"/>
    <x v="6"/>
    <x v="6"/>
    <s v="Q3"/>
    <n v="176"/>
    <n v="233.35227272727272"/>
    <s v="48oz"/>
    <n v="0.95"/>
    <n v="39016.5"/>
    <n v="332.42057999999997"/>
    <n v="221.68465909090907"/>
  </r>
  <r>
    <n v="69792956"/>
    <x v="15"/>
    <n v="40050"/>
    <d v="2023-07-24T00:00:00"/>
    <x v="373"/>
    <x v="12"/>
    <n v="8.5199999999999998E-3"/>
    <n v="341.226"/>
    <s v="BR"/>
    <x v="6"/>
    <x v="6"/>
    <s v="Q3"/>
    <n v="176"/>
    <n v="227.55681818181819"/>
    <s v="48oz"/>
    <n v="0.95"/>
    <n v="38047.5"/>
    <n v="324.16469999999998"/>
    <n v="216.17897727272728"/>
  </r>
  <r>
    <n v="67885723"/>
    <x v="16"/>
    <n v="3300"/>
    <d v="2023-07-24T00:00:00"/>
    <x v="304"/>
    <x v="13"/>
    <n v="8.5199999999999998E-3"/>
    <n v="28.116"/>
    <s v="BR"/>
    <x v="6"/>
    <x v="2"/>
    <s v="Q3"/>
    <n v="154"/>
    <n v="21.428571428571427"/>
    <s v="48oz"/>
    <n v="0.95"/>
    <n v="3135"/>
    <n v="26.710199999999997"/>
    <n v="20.357142857142854"/>
  </r>
  <r>
    <n v="67901593"/>
    <x v="16"/>
    <n v="45600"/>
    <d v="2023-07-24T00:00:00"/>
    <x v="68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9572657"/>
    <x v="16"/>
    <n v="71000"/>
    <d v="2023-10-02T00:00:00"/>
    <x v="306"/>
    <x v="5"/>
    <n v="2.1520000000000003E-3"/>
    <n v="152.79200000000003"/>
    <s v="MG"/>
    <x v="7"/>
    <x v="5"/>
    <s v="Q4"/>
    <n v="210"/>
    <n v="338.09523809523807"/>
    <s v="MG Sticks"/>
    <n v="0.93"/>
    <n v="66030"/>
    <n v="142.09656000000004"/>
    <n v="314.42857142857144"/>
  </r>
  <r>
    <n v="68764900"/>
    <x v="16"/>
    <n v="26400"/>
    <d v="2023-07-24T00:00:00"/>
    <x v="295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8850684"/>
    <x v="16"/>
    <n v="26400"/>
    <d v="2023-07-24T00:00:00"/>
    <x v="354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8899825"/>
    <x v="16"/>
    <n v="23400"/>
    <d v="2023-07-24T00:00:00"/>
    <x v="77"/>
    <x v="13"/>
    <n v="8.5199999999999998E-3"/>
    <n v="199.36799999999999"/>
    <s v="BR"/>
    <x v="6"/>
    <x v="2"/>
    <s v="Q3"/>
    <n v="176"/>
    <n v="132.95454545454547"/>
    <s v="48oz"/>
    <n v="0.95"/>
    <n v="22230"/>
    <n v="189.39959999999999"/>
    <n v="126.30681818181819"/>
  </r>
  <r>
    <n v="69555093"/>
    <x v="16"/>
    <n v="20000"/>
    <d v="2023-07-24T00:00:00"/>
    <x v="229"/>
    <x v="14"/>
    <n v="1.98E-3"/>
    <n v="39.6"/>
    <s v="TA"/>
    <x v="6"/>
    <x v="42"/>
    <s v="Q3"/>
    <n v="176"/>
    <n v="113.63636363636364"/>
    <s v="TAL NV"/>
    <n v="0.97"/>
    <n v="19400"/>
    <n v="38.411999999999999"/>
    <n v="110.22727272727273"/>
  </r>
  <r>
    <n v="69586716"/>
    <x v="16"/>
    <n v="24000"/>
    <d v="2023-07-24T00:00:00"/>
    <x v="6"/>
    <x v="5"/>
    <n v="2.0400000000000001E-3"/>
    <n v="48.96"/>
    <s v="MG"/>
    <x v="6"/>
    <x v="5"/>
    <s v="Q3"/>
    <n v="210"/>
    <n v="114.28571428571429"/>
    <s v="MG Sticks"/>
    <n v="0.93"/>
    <n v="22320"/>
    <n v="45.532800000000002"/>
    <n v="106.28571428571429"/>
  </r>
  <r>
    <n v="69621212"/>
    <x v="16"/>
    <n v="35100"/>
    <d v="2023-07-24T00:00:00"/>
    <x v="29"/>
    <x v="28"/>
    <n v="5.2680000000000001E-3"/>
    <n v="184.9068"/>
    <s v="PG"/>
    <x v="6"/>
    <x v="14"/>
    <s v="Q3"/>
    <n v="130"/>
    <n v="270"/>
    <s v="PG"/>
    <n v="0.9"/>
    <n v="31590"/>
    <n v="166.41612000000001"/>
    <n v="243"/>
  </r>
  <r>
    <n v="69673010"/>
    <x v="16"/>
    <n v="20000"/>
    <d v="2023-07-24T00:00:00"/>
    <x v="360"/>
    <x v="14"/>
    <n v="1.98E-3"/>
    <n v="39.6"/>
    <s v="MG"/>
    <x v="6"/>
    <x v="5"/>
    <s v="Q3"/>
    <n v="143"/>
    <n v="139.86013986013987"/>
    <s v="MG Sticks"/>
    <n v="0.93"/>
    <n v="18600"/>
    <n v="36.828000000000003"/>
    <n v="130.06993006993008"/>
  </r>
  <r>
    <n v="69706138"/>
    <x v="16"/>
    <n v="35700"/>
    <d v="2023-07-24T00:00:00"/>
    <x v="289"/>
    <x v="31"/>
    <n v="3.8999999999999998E-3"/>
    <n v="139.22999999999999"/>
    <s v="TA"/>
    <x v="6"/>
    <x v="42"/>
    <s v="Q3"/>
    <n v="176"/>
    <n v="202.84090909090909"/>
    <s v="TAL NV"/>
    <n v="0.97"/>
    <n v="34629"/>
    <n v="135.05309999999997"/>
    <n v="196.75568181818181"/>
  </r>
  <r>
    <n v="67794169"/>
    <x v="18"/>
    <n v="105600"/>
    <d v="2023-07-24T00:00:00"/>
    <x v="33"/>
    <x v="35"/>
    <n v="3.7853439999999999E-3"/>
    <n v="399.73232639999998"/>
    <s v="BJ"/>
    <x v="6"/>
    <x v="36"/>
    <s v="Q3"/>
    <n v="240"/>
    <n v="440"/>
    <s v="BJ PTS"/>
    <n v="0.9"/>
    <n v="95040"/>
    <n v="359.75909375999998"/>
    <n v="396"/>
  </r>
  <r>
    <n v="84137725"/>
    <x v="18"/>
    <n v="107250"/>
    <d v="2023-07-24T00:00:00"/>
    <x v="132"/>
    <x v="33"/>
    <n v="3.7853439999999999E-3"/>
    <n v="405.97814399999999"/>
    <s v="BJ"/>
    <x v="6"/>
    <x v="36"/>
    <s v="Q3"/>
    <n v="240"/>
    <n v="446.875"/>
    <s v="BJ PTS"/>
    <n v="0.9"/>
    <n v="96525"/>
    <n v="365.38032959999998"/>
    <n v="402.1875"/>
  </r>
  <r>
    <n v="67420264"/>
    <x v="17"/>
    <n v="21840"/>
    <d v="2023-07-24T00:00:00"/>
    <x v="244"/>
    <x v="35"/>
    <n v="1.419504E-3"/>
    <n v="31.001967360000002"/>
    <s v="BJ"/>
    <x v="6"/>
    <x v="16"/>
    <s v="Q3"/>
    <n v="510"/>
    <n v="42.823529411764703"/>
    <s v="B&amp;J Cups"/>
    <n v="0.85"/>
    <n v="18564"/>
    <n v="26.351672256000001"/>
    <n v="36.4"/>
  </r>
  <r>
    <n v="67881629"/>
    <x v="17"/>
    <n v="54520"/>
    <d v="2023-07-24T00:00:00"/>
    <x v="65"/>
    <x v="33"/>
    <n v="3.7853439999999999E-3"/>
    <n v="206.37695488"/>
    <s v="BJ"/>
    <x v="6"/>
    <x v="15"/>
    <s v="Q3"/>
    <n v="240"/>
    <n v="227.16666666666666"/>
    <s v="BJ PTS"/>
    <n v="0.9"/>
    <n v="49068"/>
    <n v="185.73925939200001"/>
    <n v="204.45"/>
  </r>
  <r>
    <n v="68940228"/>
    <x v="17"/>
    <n v="25520"/>
    <d v="2023-07-24T00:00:00"/>
    <x v="105"/>
    <x v="35"/>
    <n v="3.7839999999999996E-3"/>
    <n v="96.567679999999996"/>
    <s v="BJ"/>
    <x v="6"/>
    <x v="15"/>
    <s v="Q3"/>
    <n v="240"/>
    <n v="106.33333333333333"/>
    <s v="BJ PTS"/>
    <n v="0.9"/>
    <n v="22968"/>
    <n v="86.910911999999996"/>
    <n v="95.7"/>
  </r>
  <r>
    <n v="84135758"/>
    <x v="17"/>
    <n v="49140"/>
    <d v="2023-07-24T00:00:00"/>
    <x v="130"/>
    <x v="33"/>
    <n v="1.4399999999999999E-3"/>
    <n v="70.761599999999987"/>
    <s v="BJ"/>
    <x v="6"/>
    <x v="16"/>
    <s v="Q3"/>
    <n v="510"/>
    <n v="96.352941176470594"/>
    <s v="B&amp;J Cups"/>
    <n v="0.85"/>
    <n v="41769"/>
    <n v="60.147359999999985"/>
    <n v="81.900000000000006"/>
  </r>
  <r>
    <n v="84136043"/>
    <x v="17"/>
    <n v="25520"/>
    <d v="2023-07-24T00:00:00"/>
    <x v="131"/>
    <x v="38"/>
    <n v="3.7853439999999999E-3"/>
    <n v="96.601978880000004"/>
    <s v="BJ"/>
    <x v="6"/>
    <x v="15"/>
    <s v="Q3"/>
    <n v="240"/>
    <n v="106.33333333333333"/>
    <s v="BJ PTS"/>
    <n v="0.9"/>
    <n v="22968"/>
    <n v="86.941780992000005"/>
    <n v="95.7"/>
  </r>
  <r>
    <n v="84136704"/>
    <x v="17"/>
    <n v="34800"/>
    <d v="2023-07-24T00:00:00"/>
    <x v="223"/>
    <x v="35"/>
    <n v="3.7853439999999999E-3"/>
    <n v="131.72997119999999"/>
    <s v="BJ"/>
    <x v="6"/>
    <x v="15"/>
    <s v="Q3"/>
    <n v="240"/>
    <n v="145"/>
    <s v="BJ PTS"/>
    <n v="0.9"/>
    <n v="31320"/>
    <n v="118.55697408"/>
    <n v="130.5"/>
  </r>
  <r>
    <n v="84141101"/>
    <x v="17"/>
    <n v="104000"/>
    <d v="2023-07-24T00:00:00"/>
    <x v="86"/>
    <x v="33"/>
    <n v="3.7853439999999999E-3"/>
    <n v="393.67577599999998"/>
    <s v="BJ"/>
    <x v="6"/>
    <x v="15"/>
    <s v="Q3"/>
    <n v="240"/>
    <n v="433.33333333333331"/>
    <s v="BJ PTS"/>
    <n v="0.9"/>
    <n v="93600"/>
    <n v="354.30819839999998"/>
    <n v="390"/>
  </r>
  <r>
    <n v="84141113"/>
    <x v="17"/>
    <n v="34580"/>
    <d v="2023-07-24T00:00:00"/>
    <x v="257"/>
    <x v="33"/>
    <n v="1.419504E-3"/>
    <n v="49.086448320000002"/>
    <s v="BJ"/>
    <x v="6"/>
    <x v="16"/>
    <s v="Q3"/>
    <n v="510"/>
    <n v="67.803921568627445"/>
    <s v="B&amp;J Cups"/>
    <n v="0.85"/>
    <n v="29393"/>
    <n v="41.723481071999998"/>
    <n v="57.633333333333326"/>
  </r>
  <r>
    <n v="84143851"/>
    <x v="17"/>
    <n v="25520"/>
    <d v="2023-07-24T00:00:00"/>
    <x v="374"/>
    <x v="35"/>
    <n v="3.7853439999999999E-3"/>
    <n v="96.601978880000004"/>
    <s v="BJ"/>
    <x v="6"/>
    <x v="15"/>
    <s v="Q3"/>
    <n v="240"/>
    <n v="106.33333333333333"/>
    <s v="BJ PTS"/>
    <n v="0.9"/>
    <n v="22968"/>
    <n v="86.941780992000005"/>
    <n v="95.7"/>
  </r>
  <r>
    <n v="84144598"/>
    <x v="17"/>
    <n v="30160"/>
    <d v="2023-07-24T00:00:00"/>
    <x v="233"/>
    <x v="35"/>
    <n v="3.7853439999999999E-3"/>
    <n v="114.16597503999999"/>
    <s v="BJ"/>
    <x v="6"/>
    <x v="15"/>
    <s v="Q3"/>
    <n v="240"/>
    <n v="125.66666666666667"/>
    <s v="BJ PTS"/>
    <n v="0.9"/>
    <n v="27144"/>
    <n v="102.749377536"/>
    <n v="113.10000000000001"/>
  </r>
  <r>
    <n v="84146285"/>
    <x v="17"/>
    <n v="16240"/>
    <d v="2023-07-24T00:00:00"/>
    <x v="248"/>
    <x v="38"/>
    <n v="3.7853439999999999E-3"/>
    <n v="61.47398656"/>
    <s v="BJ"/>
    <x v="6"/>
    <x v="15"/>
    <s v="Q3"/>
    <n v="240"/>
    <n v="67.666666666666671"/>
    <s v="BJ PTS"/>
    <n v="0.9"/>
    <n v="14616"/>
    <n v="55.326587904"/>
    <n v="60.900000000000006"/>
  </r>
  <r>
    <n v="84150071"/>
    <x v="17"/>
    <n v="18200"/>
    <d v="2023-07-24T00:00:00"/>
    <x v="117"/>
    <x v="33"/>
    <n v="1.4384307203870285E-3"/>
    <n v="26.179439111043919"/>
    <s v="BJ"/>
    <x v="6"/>
    <x v="31"/>
    <s v="Q3"/>
    <n v="510"/>
    <n v="35.686274509803923"/>
    <s v="Cup Exports"/>
    <n v="0.85"/>
    <n v="15470"/>
    <n v="22.25252324438733"/>
    <n v="30.333333333333332"/>
  </r>
  <r>
    <n v="84161610"/>
    <x v="17"/>
    <n v="45240"/>
    <d v="2023-07-24T00:00:00"/>
    <x v="99"/>
    <x v="38"/>
    <n v="3.7853439999999999E-3"/>
    <n v="171.24896256"/>
    <s v="BJ"/>
    <x v="6"/>
    <x v="15"/>
    <s v="Q3"/>
    <n v="240"/>
    <n v="188.5"/>
    <s v="BJ PTS"/>
    <n v="0.9"/>
    <n v="40716"/>
    <n v="154.124066304"/>
    <n v="169.65"/>
  </r>
  <r>
    <n v="67885719"/>
    <x v="16"/>
    <n v="45600"/>
    <d v="2023-07-25T00:00:00"/>
    <x v="11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7885721"/>
    <x v="16"/>
    <n v="45600"/>
    <d v="2023-07-25T00:00:00"/>
    <x v="40"/>
    <x v="32"/>
    <n v="8.5199999999999998E-3"/>
    <n v="388.512"/>
    <s v="BR"/>
    <x v="6"/>
    <x v="2"/>
    <s v="Q3"/>
    <n v="154"/>
    <n v="296.10389610389609"/>
    <s v="48oz"/>
    <n v="0.95"/>
    <n v="43320"/>
    <n v="369.08639999999997"/>
    <n v="281.29870129870125"/>
  </r>
  <r>
    <n v="68527300"/>
    <x v="16"/>
    <n v="36000"/>
    <d v="2023-07-25T00:00:00"/>
    <x v="157"/>
    <x v="15"/>
    <n v="3.7839999999999996E-3"/>
    <n v="136.22399999999999"/>
    <s v="BR"/>
    <x v="6"/>
    <x v="7"/>
    <s v="Q3"/>
    <n v="240"/>
    <n v="150"/>
    <s v="PTS"/>
    <n v="0.95"/>
    <n v="34200"/>
    <n v="129.41279999999998"/>
    <n v="142.5"/>
  </r>
  <r>
    <n v="68659722"/>
    <x v="16"/>
    <n v="25000"/>
    <d v="2023-07-25T00:00:00"/>
    <x v="310"/>
    <x v="22"/>
    <n v="3.7853439999999999E-3"/>
    <n v="94.633600000000001"/>
    <s v="TA"/>
    <x v="6"/>
    <x v="10"/>
    <s v="Q3"/>
    <n v="255"/>
    <n v="98.039215686274517"/>
    <s v="TALENTI"/>
    <n v="0.94"/>
    <n v="23500"/>
    <n v="88.955584000000002"/>
    <n v="92.156862745098039"/>
  </r>
  <r>
    <n v="68728263"/>
    <x v="16"/>
    <n v="25000"/>
    <d v="2023-07-25T00:00:00"/>
    <x v="307"/>
    <x v="22"/>
    <n v="3.7853439999999999E-3"/>
    <n v="94.633600000000001"/>
    <s v="TA"/>
    <x v="6"/>
    <x v="10"/>
    <s v="Q3"/>
    <n v="255"/>
    <n v="98.039215686274517"/>
    <s v="TALENTI"/>
    <n v="0.94"/>
    <n v="23500"/>
    <n v="88.955584000000002"/>
    <n v="92.156862745098039"/>
  </r>
  <r>
    <n v="68729634"/>
    <x v="16"/>
    <n v="25000"/>
    <d v="2023-07-25T00:00:00"/>
    <x v="92"/>
    <x v="22"/>
    <n v="3.7853439999999999E-3"/>
    <n v="94.633600000000001"/>
    <s v="TA"/>
    <x v="6"/>
    <x v="10"/>
    <s v="Q3"/>
    <n v="255"/>
    <n v="98.039215686274517"/>
    <s v="TALENTI"/>
    <n v="0.94"/>
    <n v="23500"/>
    <n v="88.955584000000002"/>
    <n v="92.156862745098039"/>
  </r>
  <r>
    <n v="68729679"/>
    <x v="16"/>
    <n v="57000"/>
    <d v="2023-07-25T00:00:00"/>
    <x v="127"/>
    <x v="21"/>
    <n v="3.7853440000000004E-3"/>
    <n v="215.76460800000001"/>
    <s v="TA"/>
    <x v="6"/>
    <x v="10"/>
    <s v="Q3"/>
    <n v="255"/>
    <n v="223.52941176470588"/>
    <s v="TALENTI"/>
    <n v="0.94"/>
    <n v="53580"/>
    <n v="202.81873152"/>
    <n v="210.11764705882351"/>
  </r>
  <r>
    <n v="68730257"/>
    <x v="16"/>
    <n v="91200"/>
    <d v="2023-07-25T00:00:00"/>
    <x v="75"/>
    <x v="21"/>
    <n v="3.7853440000000004E-3"/>
    <n v="345.22337280000005"/>
    <s v="TA"/>
    <x v="6"/>
    <x v="10"/>
    <s v="Q3"/>
    <n v="255"/>
    <n v="357.64705882352939"/>
    <s v="TALENTI"/>
    <n v="0.94"/>
    <n v="85728"/>
    <n v="324.50997043200005"/>
    <n v="336.18823529411759"/>
  </r>
  <r>
    <n v="68741742"/>
    <x v="16"/>
    <n v="32400"/>
    <d v="2023-07-25T00:00:00"/>
    <x v="25"/>
    <x v="25"/>
    <n v="4.2560000000000002E-3"/>
    <n v="137.89440000000002"/>
    <s v="GH"/>
    <x v="6"/>
    <x v="11"/>
    <s v="Q3"/>
    <n v="154"/>
    <n v="210.3896103896104"/>
    <s v="MBG"/>
    <n v="0.87"/>
    <n v="28188"/>
    <n v="119.96812800000002"/>
    <n v="183.03896103896105"/>
  </r>
  <r>
    <n v="68896052"/>
    <x v="16"/>
    <n v="26400"/>
    <d v="2023-07-25T00:00:00"/>
    <x v="36"/>
    <x v="2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8938272"/>
    <x v="16"/>
    <n v="57000"/>
    <d v="2023-07-25T00:00:00"/>
    <x v="293"/>
    <x v="15"/>
    <n v="3.5999999999999999E-3"/>
    <n v="205.2"/>
    <s v="BJ"/>
    <x v="6"/>
    <x v="19"/>
    <s v="Q3"/>
    <n v="240"/>
    <n v="237.5"/>
    <s v="Topped"/>
    <n v="0.91"/>
    <n v="51870"/>
    <n v="186.732"/>
    <n v="216.125"/>
  </r>
  <r>
    <n v="69554197"/>
    <x v="16"/>
    <n v="22800"/>
    <d v="2023-07-25T00:00:00"/>
    <x v="15"/>
    <x v="15"/>
    <n v="3.7839999999999996E-3"/>
    <n v="86.275199999999984"/>
    <s v="BR"/>
    <x v="6"/>
    <x v="7"/>
    <s v="Q3"/>
    <n v="240"/>
    <n v="95"/>
    <s v="PTS"/>
    <n v="0.95"/>
    <n v="21660"/>
    <n v="81.961439999999982"/>
    <n v="90.25"/>
  </r>
  <r>
    <n v="69564623"/>
    <x v="16"/>
    <n v="26400"/>
    <d v="2023-07-25T00:00:00"/>
    <x v="238"/>
    <x v="2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629468"/>
    <x v="16"/>
    <n v="32400"/>
    <d v="2023-07-25T00:00:00"/>
    <x v="30"/>
    <x v="30"/>
    <n v="5.2680000000000001E-3"/>
    <n v="170.6832"/>
    <s v="PS"/>
    <x v="6"/>
    <x v="14"/>
    <s v="Q3"/>
    <n v="130"/>
    <n v="249.23076923076923"/>
    <s v="PG"/>
    <n v="0.9"/>
    <n v="29160"/>
    <n v="153.61488"/>
    <n v="224.30769230769232"/>
  </r>
  <r>
    <n v="69792954"/>
    <x v="16"/>
    <n v="22050"/>
    <d v="2023-07-25T00:00:00"/>
    <x v="375"/>
    <x v="2"/>
    <n v="8.5199999999999998E-3"/>
    <n v="187.86599999999999"/>
    <s v="BR"/>
    <x v="6"/>
    <x v="2"/>
    <s v="Q3"/>
    <n v="176"/>
    <n v="125.28409090909091"/>
    <s v="48oz"/>
    <n v="0.95"/>
    <n v="20947.5"/>
    <n v="178.47269999999997"/>
    <n v="119.01988636363636"/>
  </r>
  <r>
    <n v="67466492"/>
    <x v="15"/>
    <n v="20250"/>
    <d v="2023-07-28T00:00:00"/>
    <x v="8"/>
    <x v="7"/>
    <n v="5.2680000000000001E-3"/>
    <n v="106.67700000000001"/>
    <s v="PS"/>
    <x v="6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7-30T00:00:00"/>
    <x v="8"/>
    <x v="8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466492"/>
    <x v="15"/>
    <n v="23400"/>
    <d v="2023-07-30T00:00:00"/>
    <x v="8"/>
    <x v="6"/>
    <n v="5.2680000000000001E-3"/>
    <n v="123.27120000000001"/>
    <s v="PS"/>
    <x v="6"/>
    <x v="3"/>
    <s v="Q3"/>
    <n v="130"/>
    <n v="180"/>
    <s v="PG"/>
    <n v="0.9"/>
    <n v="21060"/>
    <n v="110.94408000000001"/>
    <n v="162"/>
  </r>
  <r>
    <n v="67309843"/>
    <x v="15"/>
    <n v="25200"/>
    <d v="2023-07-31T00:00:00"/>
    <x v="88"/>
    <x v="11"/>
    <n v="8.5199999999999998E-3"/>
    <n v="214.70400000000001"/>
    <s v="BR"/>
    <x v="6"/>
    <x v="6"/>
    <s v="Q3"/>
    <n v="154"/>
    <n v="163.63636363636363"/>
    <s v="48oz"/>
    <n v="0.95"/>
    <n v="23940"/>
    <n v="203.96879999999999"/>
    <n v="155.45454545454544"/>
  </r>
  <r>
    <n v="67465063"/>
    <x v="15"/>
    <n v="15413"/>
    <d v="2023-07-31T00:00:00"/>
    <x v="3"/>
    <x v="40"/>
    <n v="5.2680000000000001E-3"/>
    <n v="81.195684"/>
    <s v="PS"/>
    <x v="6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7-31T00:00:00"/>
    <x v="7"/>
    <x v="3"/>
    <n v="1.596E-3"/>
    <n v="21.545999999999999"/>
    <s v="PS"/>
    <x v="6"/>
    <x v="3"/>
    <s v="Q3"/>
    <n v="130"/>
    <n v="103.84615384615384"/>
    <s v="PG"/>
    <n v="0.9"/>
    <n v="12150"/>
    <n v="19.391400000000001"/>
    <n v="93.461538461538453"/>
  </r>
  <r>
    <n v="67466462"/>
    <x v="15"/>
    <n v="5400"/>
    <d v="2023-07-31T00:00:00"/>
    <x v="29"/>
    <x v="10"/>
    <n v="5.2680000000000001E-3"/>
    <n v="28.447200000000002"/>
    <s v="PS"/>
    <x v="6"/>
    <x v="3"/>
    <s v="Q3"/>
    <n v="130"/>
    <n v="41.53846153846154"/>
    <s v="PG"/>
    <n v="0.9"/>
    <n v="4860"/>
    <n v="25.602480000000003"/>
    <n v="37.384615384615387"/>
  </r>
  <r>
    <n v="67885719"/>
    <x v="15"/>
    <n v="20400"/>
    <d v="2023-07-31T00:00:00"/>
    <x v="11"/>
    <x v="16"/>
    <n v="8.5199999999999998E-3"/>
    <n v="173.80799999999999"/>
    <s v="BR"/>
    <x v="6"/>
    <x v="6"/>
    <s v="Q3"/>
    <n v="154"/>
    <n v="132.46753246753246"/>
    <s v="48oz"/>
    <n v="0.95"/>
    <n v="19380"/>
    <n v="165.11759999999998"/>
    <n v="125.84415584415584"/>
  </r>
  <r>
    <n v="67885719"/>
    <x v="15"/>
    <n v="25200"/>
    <d v="2023-07-31T00:00:00"/>
    <x v="11"/>
    <x v="11"/>
    <n v="8.5199999999999998E-3"/>
    <n v="214.70400000000001"/>
    <s v="BR"/>
    <x v="6"/>
    <x v="6"/>
    <s v="Q3"/>
    <n v="154"/>
    <n v="163.63636363636363"/>
    <s v="48oz"/>
    <n v="0.95"/>
    <n v="23940"/>
    <n v="203.96879999999999"/>
    <n v="155.45454545454544"/>
  </r>
  <r>
    <n v="67885720"/>
    <x v="15"/>
    <n v="2850"/>
    <d v="2023-07-31T00:00:00"/>
    <x v="39"/>
    <x v="12"/>
    <n v="8.5199999999999998E-3"/>
    <n v="24.282"/>
    <s v="BR"/>
    <x v="6"/>
    <x v="6"/>
    <s v="Q3"/>
    <n v="154"/>
    <n v="18.506493506493506"/>
    <s v="48oz"/>
    <n v="0.95"/>
    <n v="2707.5"/>
    <n v="23.067899999999998"/>
    <n v="17.581168831168828"/>
  </r>
  <r>
    <n v="67885724"/>
    <x v="15"/>
    <n v="22800"/>
    <d v="2023-07-31T00:00:00"/>
    <x v="49"/>
    <x v="12"/>
    <n v="8.5199999999999998E-3"/>
    <n v="194.256"/>
    <s v="BR"/>
    <x v="6"/>
    <x v="6"/>
    <s v="Q3"/>
    <n v="154"/>
    <n v="148.05194805194805"/>
    <s v="48oz"/>
    <n v="0.95"/>
    <n v="21660"/>
    <n v="184.54319999999998"/>
    <n v="140.64935064935062"/>
  </r>
  <r>
    <n v="68188183"/>
    <x v="15"/>
    <n v="19500"/>
    <d v="2023-07-31T00:00:00"/>
    <x v="70"/>
    <x v="9"/>
    <n v="3.8340000000000002E-3"/>
    <n v="74.763000000000005"/>
    <s v="PS"/>
    <x v="6"/>
    <x v="3"/>
    <s v="Q3"/>
    <n v="130"/>
    <n v="150"/>
    <s v="PG"/>
    <n v="0.9"/>
    <n v="17550"/>
    <n v="67.28670000000001"/>
    <n v="135"/>
  </r>
  <r>
    <n v="68659718"/>
    <x v="15"/>
    <n v="36000"/>
    <d v="2023-07-31T00:00:00"/>
    <x v="193"/>
    <x v="24"/>
    <n v="2.8319999999999999E-3"/>
    <n v="101.952"/>
    <s v="GH"/>
    <x v="6"/>
    <x v="4"/>
    <s v="Q3"/>
    <n v="225"/>
    <n v="160"/>
    <s v="MBG"/>
    <n v="0.87"/>
    <n v="31320"/>
    <n v="88.698239999999998"/>
    <n v="139.19999999999999"/>
  </r>
  <r>
    <n v="68881272"/>
    <x v="15"/>
    <n v="11900"/>
    <d v="2023-07-31T00:00:00"/>
    <x v="124"/>
    <x v="23"/>
    <n v="8.5199999999999998E-3"/>
    <n v="101.38799999999999"/>
    <s v="BR"/>
    <x v="6"/>
    <x v="6"/>
    <s v="Q3"/>
    <n v="154"/>
    <n v="77.272727272727266"/>
    <s v="48oz"/>
    <n v="0.95"/>
    <n v="11305"/>
    <n v="96.318599999999989"/>
    <n v="73.409090909090907"/>
  </r>
  <r>
    <n v="68896054"/>
    <x v="15"/>
    <n v="20400"/>
    <d v="2023-07-31T00:00:00"/>
    <x v="181"/>
    <x v="16"/>
    <n v="8.5199999999999998E-3"/>
    <n v="173.80799999999999"/>
    <s v="BR"/>
    <x v="6"/>
    <x v="6"/>
    <s v="Q3"/>
    <n v="176"/>
    <n v="115.90909090909091"/>
    <s v="48oz"/>
    <n v="0.95"/>
    <n v="19380"/>
    <n v="165.11759999999998"/>
    <n v="110.11363636363636"/>
  </r>
  <r>
    <n v="68899821"/>
    <x v="15"/>
    <n v="24000"/>
    <d v="2023-07-31T00:00:00"/>
    <x v="149"/>
    <x v="23"/>
    <n v="8.5199999999999998E-3"/>
    <n v="204.48"/>
    <s v="BR"/>
    <x v="6"/>
    <x v="6"/>
    <s v="Q3"/>
    <n v="176"/>
    <n v="136.36363636363637"/>
    <s v="48oz"/>
    <n v="0.95"/>
    <n v="22800"/>
    <n v="194.25599999999997"/>
    <n v="129.54545454545456"/>
  </r>
  <r>
    <n v="68899826"/>
    <x v="15"/>
    <n v="25200"/>
    <d v="2023-07-31T00:00:00"/>
    <x v="129"/>
    <x v="12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9568828"/>
    <x v="15"/>
    <n v="20400"/>
    <d v="2023-07-31T00:00:00"/>
    <x v="12"/>
    <x v="16"/>
    <n v="8.5199999999999998E-3"/>
    <n v="173.80799999999999"/>
    <s v="BR"/>
    <x v="6"/>
    <x v="6"/>
    <s v="Q3"/>
    <n v="176"/>
    <n v="115.90909090909091"/>
    <s v="48oz"/>
    <n v="0.95"/>
    <n v="19380"/>
    <n v="165.11759999999998"/>
    <n v="110.11363636363636"/>
  </r>
  <r>
    <n v="69568829"/>
    <x v="15"/>
    <n v="25200"/>
    <d v="2023-07-31T00:00:00"/>
    <x v="66"/>
    <x v="23"/>
    <n v="8.5199999999999998E-3"/>
    <n v="214.70400000000001"/>
    <s v="BR"/>
    <x v="6"/>
    <x v="6"/>
    <s v="Q3"/>
    <n v="176"/>
    <n v="143.18181818181819"/>
    <s v="48oz"/>
    <n v="0.95"/>
    <n v="23940"/>
    <n v="203.96879999999999"/>
    <n v="136.02272727272728"/>
  </r>
  <r>
    <n v="69677917"/>
    <x v="15"/>
    <n v="24000"/>
    <d v="2023-07-31T00:00:00"/>
    <x v="30"/>
    <x v="29"/>
    <n v="5.2680000000000001E-3"/>
    <n v="126.432"/>
    <s v="PS"/>
    <x v="6"/>
    <x v="3"/>
    <s v="Q3"/>
    <n v="108"/>
    <n v="222.22222222222223"/>
    <s v="PG"/>
    <n v="0.9"/>
    <n v="21600"/>
    <n v="113.78880000000001"/>
    <n v="200"/>
  </r>
  <r>
    <n v="67309841"/>
    <x v="16"/>
    <n v="26400"/>
    <d v="2023-07-31T00:00:00"/>
    <x v="32"/>
    <x v="13"/>
    <n v="8.5199999999999998E-3"/>
    <n v="224.928"/>
    <s v="BR"/>
    <x v="6"/>
    <x v="2"/>
    <s v="Q3"/>
    <n v="154"/>
    <n v="171.42857142857142"/>
    <s v="48oz"/>
    <n v="0.95"/>
    <n v="25080"/>
    <n v="213.68159999999997"/>
    <n v="162.85714285714283"/>
  </r>
  <r>
    <n v="67885717"/>
    <x v="16"/>
    <n v="3300"/>
    <d v="2023-07-31T00:00:00"/>
    <x v="38"/>
    <x v="13"/>
    <n v="8.5199999999999998E-3"/>
    <n v="28.116"/>
    <s v="BR"/>
    <x v="6"/>
    <x v="2"/>
    <s v="Q3"/>
    <n v="154"/>
    <n v="21.428571428571427"/>
    <s v="48oz"/>
    <n v="0.95"/>
    <n v="3135"/>
    <n v="26.710199999999997"/>
    <n v="20.357142857142854"/>
  </r>
  <r>
    <n v="68821728"/>
    <x v="16"/>
    <n v="26400"/>
    <d v="2023-07-31T00:00:00"/>
    <x v="35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55090"/>
    <x v="16"/>
    <n v="28900"/>
    <d v="2023-07-31T00:00:00"/>
    <x v="254"/>
    <x v="14"/>
    <n v="1.98E-3"/>
    <n v="57.222000000000001"/>
    <s v="TA"/>
    <x v="6"/>
    <x v="42"/>
    <s v="Q3"/>
    <n v="176"/>
    <n v="164.20454545454547"/>
    <s v="TAL NV"/>
    <n v="0.97"/>
    <n v="28033"/>
    <n v="55.505339999999997"/>
    <n v="159.27840909090909"/>
  </r>
  <r>
    <n v="69568965"/>
    <x v="16"/>
    <n v="26400"/>
    <d v="2023-07-31T00:00:00"/>
    <x v="298"/>
    <x v="13"/>
    <n v="8.5199999999999998E-3"/>
    <n v="224.928"/>
    <s v="BR"/>
    <x v="6"/>
    <x v="2"/>
    <s v="Q3"/>
    <n v="176"/>
    <n v="150"/>
    <s v="48oz"/>
    <n v="0.95"/>
    <n v="25080"/>
    <n v="213.68159999999997"/>
    <n v="142.5"/>
  </r>
  <r>
    <n v="69577493"/>
    <x v="16"/>
    <n v="35000"/>
    <d v="2023-07-24T00:00:00"/>
    <x v="252"/>
    <x v="5"/>
    <n v="2.0400000000000001E-3"/>
    <n v="71.400000000000006"/>
    <s v="MG"/>
    <x v="6"/>
    <x v="5"/>
    <s v="Q3"/>
    <n v="210"/>
    <n v="166.66666666666666"/>
    <s v="MG Sticks"/>
    <n v="0.93"/>
    <n v="32550"/>
    <n v="66.402000000000015"/>
    <n v="155"/>
  </r>
  <r>
    <n v="69572657"/>
    <x v="16"/>
    <n v="35000"/>
    <d v="2023-07-31T00:00:00"/>
    <x v="306"/>
    <x v="5"/>
    <n v="2.1520000000000003E-3"/>
    <n v="75.320000000000007"/>
    <s v="MG"/>
    <x v="6"/>
    <x v="5"/>
    <s v="Q3"/>
    <n v="210"/>
    <n v="166.66666666666666"/>
    <s v="MG Sticks"/>
    <n v="0.93"/>
    <n v="32550"/>
    <n v="70.047600000000017"/>
    <n v="155"/>
  </r>
  <r>
    <n v="69717803"/>
    <x v="16"/>
    <n v="35700"/>
    <d v="2023-07-17T00:00:00"/>
    <x v="69"/>
    <x v="31"/>
    <n v="4.2560000000000002E-3"/>
    <n v="151.9392"/>
    <s v="BR"/>
    <x v="6"/>
    <x v="5"/>
    <s v="Q3"/>
    <n v="143"/>
    <n v="249.65034965034965"/>
    <s v="MG Sticks"/>
    <n v="0.93"/>
    <n v="33201"/>
    <n v="141.30345600000001"/>
    <n v="232.1748251748252"/>
  </r>
  <r>
    <n v="69778792"/>
    <x v="16"/>
    <n v="35100"/>
    <d v="2023-07-31T00:00:00"/>
    <x v="376"/>
    <x v="28"/>
    <n v="5.2680000000000001E-3"/>
    <n v="184.9068"/>
    <s v="PS"/>
    <x v="6"/>
    <x v="14"/>
    <s v="Q3"/>
    <n v="130"/>
    <n v="270"/>
    <s v="PG"/>
    <n v="0.9"/>
    <n v="31590"/>
    <n v="166.41612000000001"/>
    <n v="243"/>
  </r>
  <r>
    <n v="84141102"/>
    <x v="18"/>
    <n v="105600"/>
    <d v="2023-07-31T00:00:00"/>
    <x v="217"/>
    <x v="38"/>
    <n v="3.7853439999999999E-3"/>
    <n v="399.73232639999998"/>
    <s v="BJ"/>
    <x v="6"/>
    <x v="36"/>
    <s v="Q3"/>
    <n v="240"/>
    <n v="440"/>
    <s v="BJ PTS"/>
    <n v="0.9"/>
    <n v="95040"/>
    <n v="359.75909375999998"/>
    <n v="396"/>
  </r>
  <r>
    <n v="84141103"/>
    <x v="18"/>
    <n v="0"/>
    <d v="2023-07-31T00:00:00"/>
    <x v="294"/>
    <x v="38"/>
    <n v="3.7853439999999999E-3"/>
    <n v="0"/>
    <s v="BJ"/>
    <x v="6"/>
    <x v="36"/>
    <s v="Q3"/>
    <n v="240"/>
    <n v="0"/>
    <s v="BJ PTS"/>
    <n v="0.9"/>
    <n v="0"/>
    <n v="0"/>
    <n v="0"/>
  </r>
  <r>
    <n v="67794167"/>
    <x v="17"/>
    <n v="104000"/>
    <d v="2023-07-31T00:00:00"/>
    <x v="176"/>
    <x v="38"/>
    <n v="3.7853439999999999E-3"/>
    <n v="393.67577599999998"/>
    <s v="BJ"/>
    <x v="6"/>
    <x v="15"/>
    <s v="Q3"/>
    <n v="240"/>
    <n v="433.33333333333331"/>
    <s v="BJ PTS"/>
    <n v="0.9"/>
    <n v="93600"/>
    <n v="354.30819839999998"/>
    <n v="390"/>
  </r>
  <r>
    <n v="67867261"/>
    <x v="17"/>
    <n v="22040"/>
    <d v="2023-07-31T00:00:00"/>
    <x v="110"/>
    <x v="35"/>
    <n v="3.7853439999999999E-3"/>
    <n v="83.428981759999999"/>
    <s v="BJ"/>
    <x v="6"/>
    <x v="15"/>
    <s v="Q3"/>
    <n v="240"/>
    <n v="91.833333333333329"/>
    <s v="BJ PTS"/>
    <n v="0.9"/>
    <n v="19836"/>
    <n v="75.086083584000008"/>
    <n v="82.649999999999991"/>
  </r>
  <r>
    <n v="68409142"/>
    <x v="17"/>
    <n v="34580"/>
    <d v="2023-07-31T00:00:00"/>
    <x v="60"/>
    <x v="35"/>
    <n v="1.419504E-3"/>
    <n v="49.086448320000002"/>
    <s v="BJ"/>
    <x v="6"/>
    <x v="25"/>
    <s v="Q3"/>
    <n v="510"/>
    <n v="67.803921568627445"/>
    <s v="B&amp;J Dog Treat"/>
    <n v="0.85"/>
    <n v="29393"/>
    <n v="41.723481071999998"/>
    <n v="57.633333333333326"/>
  </r>
  <r>
    <n v="68409143"/>
    <x v="17"/>
    <n v="0"/>
    <d v="2023-07-31T00:00:00"/>
    <x v="137"/>
    <x v="35"/>
    <n v="1.419504E-3"/>
    <n v="0"/>
    <s v="BJ"/>
    <x v="6"/>
    <x v="25"/>
    <s v="Q3"/>
    <n v="510"/>
    <n v="0"/>
    <s v="B&amp;J Dog Treat"/>
    <n v="0.85"/>
    <n v="0"/>
    <n v="0"/>
    <n v="0"/>
  </r>
  <r>
    <n v="84137701"/>
    <x v="17"/>
    <n v="28210"/>
    <d v="2023-07-31T00:00:00"/>
    <x v="37"/>
    <x v="33"/>
    <n v="1.4399999999999999E-3"/>
    <n v="40.622399999999999"/>
    <s v="BJ"/>
    <x v="6"/>
    <x v="16"/>
    <s v="Q3"/>
    <n v="510"/>
    <n v="55.313725490196077"/>
    <s v="B&amp;J Cups"/>
    <n v="0.85"/>
    <n v="23978.5"/>
    <n v="34.529039999999995"/>
    <n v="47.016666666666666"/>
  </r>
  <r>
    <n v="84150840"/>
    <x v="17"/>
    <n v="28210"/>
    <d v="2023-07-31T00:00:00"/>
    <x v="251"/>
    <x v="33"/>
    <n v="1.4399999999999999E-3"/>
    <n v="40.622399999999999"/>
    <s v="BJ"/>
    <x v="6"/>
    <x v="16"/>
    <s v="Q3"/>
    <n v="510"/>
    <n v="55.313725490196077"/>
    <s v="B&amp;J Cups"/>
    <n v="0.85"/>
    <n v="23978.5"/>
    <n v="34.529039999999995"/>
    <n v="47.016666666666666"/>
  </r>
  <r>
    <n v="67885719"/>
    <x v="16"/>
    <n v="45600"/>
    <d v="2023-08-01T00:00:00"/>
    <x v="11"/>
    <x v="32"/>
    <n v="8.5199999999999998E-3"/>
    <n v="388.512"/>
    <s v="BR"/>
    <x v="8"/>
    <x v="2"/>
    <s v="Q3"/>
    <n v="154"/>
    <n v="296.10389610389609"/>
    <s v="48oz"/>
    <n v="0.95"/>
    <n v="43320"/>
    <n v="369.08639999999997"/>
    <n v="281.29870129870125"/>
  </r>
  <r>
    <n v="67885721"/>
    <x v="16"/>
    <n v="45600"/>
    <d v="2023-08-01T00:00:00"/>
    <x v="40"/>
    <x v="32"/>
    <n v="8.5199999999999998E-3"/>
    <n v="388.512"/>
    <s v="BR"/>
    <x v="8"/>
    <x v="2"/>
    <s v="Q3"/>
    <n v="154"/>
    <n v="296.10389610389609"/>
    <s v="48oz"/>
    <n v="0.95"/>
    <n v="43320"/>
    <n v="369.08639999999997"/>
    <n v="281.29870129870125"/>
  </r>
  <r>
    <n v="67885722"/>
    <x v="16"/>
    <n v="5700"/>
    <d v="2023-08-01T00:00:00"/>
    <x v="163"/>
    <x v="32"/>
    <n v="8.5199999999999998E-3"/>
    <n v="48.564"/>
    <s v="BR"/>
    <x v="8"/>
    <x v="2"/>
    <s v="Q3"/>
    <n v="154"/>
    <n v="37.012987012987011"/>
    <s v="48oz"/>
    <n v="0.95"/>
    <n v="5415"/>
    <n v="46.135799999999996"/>
    <n v="35.162337662337656"/>
  </r>
  <r>
    <n v="68354591"/>
    <x v="16"/>
    <n v="57000"/>
    <d v="2023-08-01T00:00:00"/>
    <x v="312"/>
    <x v="15"/>
    <n v="3.5999999999999999E-3"/>
    <n v="205.2"/>
    <s v="BJ"/>
    <x v="8"/>
    <x v="19"/>
    <s v="Q3"/>
    <n v="240"/>
    <n v="237.5"/>
    <s v="Topped"/>
    <n v="0.91"/>
    <n v="51870"/>
    <n v="186.732"/>
    <n v="216.125"/>
  </r>
  <r>
    <n v="68649097"/>
    <x v="16"/>
    <n v="57000"/>
    <d v="2023-08-01T00:00:00"/>
    <x v="336"/>
    <x v="15"/>
    <n v="3.5999999999999999E-3"/>
    <n v="205.2"/>
    <s v="BJ"/>
    <x v="8"/>
    <x v="19"/>
    <s v="Q3"/>
    <n v="240"/>
    <n v="237.5"/>
    <s v="Topped"/>
    <n v="0.91"/>
    <n v="51870"/>
    <n v="186.732"/>
    <n v="216.125"/>
  </r>
  <r>
    <n v="68659723"/>
    <x v="16"/>
    <n v="25000"/>
    <d v="2023-08-01T00:00:00"/>
    <x v="325"/>
    <x v="22"/>
    <n v="3.7853439999999999E-3"/>
    <n v="94.633600000000001"/>
    <s v="TA"/>
    <x v="8"/>
    <x v="10"/>
    <s v="Q3"/>
    <n v="255"/>
    <n v="98.039215686274517"/>
    <s v="TALENTI"/>
    <n v="0.94"/>
    <n v="23500"/>
    <n v="88.955584000000002"/>
    <n v="92.156862745098039"/>
  </r>
  <r>
    <n v="68726916"/>
    <x v="16"/>
    <n v="91200"/>
    <d v="2023-08-01T00:00:00"/>
    <x v="43"/>
    <x v="21"/>
    <n v="3.7853440000000004E-3"/>
    <n v="345.22337280000005"/>
    <s v="TA"/>
    <x v="8"/>
    <x v="10"/>
    <s v="Q3"/>
    <n v="255"/>
    <n v="357.64705882352939"/>
    <s v="TALENTI"/>
    <n v="0.94"/>
    <n v="85728"/>
    <n v="324.50997043200005"/>
    <n v="336.18823529411759"/>
  </r>
  <r>
    <n v="68741742"/>
    <x v="16"/>
    <n v="32400"/>
    <d v="2023-08-01T00:00:00"/>
    <x v="25"/>
    <x v="25"/>
    <n v="4.2560000000000002E-3"/>
    <n v="137.89440000000002"/>
    <s v="GH"/>
    <x v="8"/>
    <x v="11"/>
    <s v="Q3"/>
    <n v="154"/>
    <n v="210.3896103896104"/>
    <s v="MBG"/>
    <n v="0.87"/>
    <n v="28188"/>
    <n v="119.96812800000002"/>
    <n v="183.03896103896105"/>
  </r>
  <r>
    <n v="68817793"/>
    <x v="16"/>
    <n v="23400"/>
    <d v="2023-08-01T00:00:00"/>
    <x v="48"/>
    <x v="32"/>
    <n v="8.5199999999999998E-3"/>
    <n v="199.36799999999999"/>
    <s v="BR"/>
    <x v="8"/>
    <x v="2"/>
    <s v="Q3"/>
    <n v="176"/>
    <n v="132.95454545454547"/>
    <s v="48oz"/>
    <n v="0.95"/>
    <n v="22230"/>
    <n v="189.39959999999999"/>
    <n v="126.30681818181819"/>
  </r>
  <r>
    <n v="68821729"/>
    <x v="16"/>
    <n v="22050"/>
    <d v="2023-08-01T00:00:00"/>
    <x v="142"/>
    <x v="2"/>
    <n v="8.5199999999999998E-3"/>
    <n v="187.86599999999999"/>
    <s v="BR"/>
    <x v="8"/>
    <x v="2"/>
    <s v="Q3"/>
    <n v="176"/>
    <n v="125.28409090909091"/>
    <s v="48oz"/>
    <n v="0.95"/>
    <n v="20947.5"/>
    <n v="178.47269999999997"/>
    <n v="119.01988636363636"/>
  </r>
  <r>
    <n v="68896054"/>
    <x v="16"/>
    <n v="26400"/>
    <d v="2023-08-01T00:00:00"/>
    <x v="181"/>
    <x v="2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8896057"/>
    <x v="16"/>
    <n v="22050"/>
    <d v="2023-08-01T00:00:00"/>
    <x v="46"/>
    <x v="2"/>
    <n v="8.5199999999999998E-3"/>
    <n v="187.86599999999999"/>
    <s v="BR"/>
    <x v="8"/>
    <x v="2"/>
    <s v="Q3"/>
    <n v="176"/>
    <n v="125.28409090909091"/>
    <s v="48oz"/>
    <n v="0.95"/>
    <n v="20947.5"/>
    <n v="178.47269999999997"/>
    <n v="119.01988636363636"/>
  </r>
  <r>
    <n v="68922045"/>
    <x v="16"/>
    <n v="25000"/>
    <d v="2023-08-01T00:00:00"/>
    <x v="337"/>
    <x v="22"/>
    <n v="3.7839999999999996E-3"/>
    <n v="94.6"/>
    <s v="TA"/>
    <x v="8"/>
    <x v="10"/>
    <s v="Q3"/>
    <n v="255"/>
    <n v="98.039215686274517"/>
    <s v="TALENTI"/>
    <n v="0.94"/>
    <n v="23500"/>
    <n v="88.923999999999992"/>
    <n v="92.156862745098039"/>
  </r>
  <r>
    <n v="69549033"/>
    <x v="16"/>
    <n v="25000"/>
    <d v="2023-08-01T00:00:00"/>
    <x v="344"/>
    <x v="22"/>
    <n v="3.552E-3"/>
    <n v="88.8"/>
    <s v="TA"/>
    <x v="8"/>
    <x v="10"/>
    <s v="Q3"/>
    <n v="255"/>
    <n v="98.039215686274517"/>
    <s v="TALENTI"/>
    <n v="0.94"/>
    <n v="23500"/>
    <n v="83.471999999999994"/>
    <n v="92.156862745098039"/>
  </r>
  <r>
    <n v="69568964"/>
    <x v="16"/>
    <n v="23400"/>
    <d v="2023-08-01T00:00:00"/>
    <x v="134"/>
    <x v="32"/>
    <n v="8.5199999999999998E-3"/>
    <n v="199.36799999999999"/>
    <s v="BR"/>
    <x v="8"/>
    <x v="2"/>
    <s v="Q3"/>
    <n v="176"/>
    <n v="132.95454545454547"/>
    <s v="48oz"/>
    <n v="0.95"/>
    <n v="22230"/>
    <n v="189.39959999999999"/>
    <n v="126.30681818181819"/>
  </r>
  <r>
    <n v="69629468"/>
    <x v="16"/>
    <n v="32400"/>
    <d v="2023-08-01T00:00:00"/>
    <x v="30"/>
    <x v="30"/>
    <n v="5.2680000000000001E-3"/>
    <n v="170.6832"/>
    <s v="PS"/>
    <x v="8"/>
    <x v="14"/>
    <s v="Q3"/>
    <n v="130"/>
    <n v="249.23076923076923"/>
    <s v="PG"/>
    <n v="0.9"/>
    <n v="29160"/>
    <n v="153.61488"/>
    <n v="224.30769230769232"/>
  </r>
  <r>
    <n v="69691816"/>
    <x v="16"/>
    <n v="57000"/>
    <d v="2023-08-01T00:00:00"/>
    <x v="139"/>
    <x v="21"/>
    <n v="3.7839999999999996E-3"/>
    <n v="215.68799999999999"/>
    <s v="TA"/>
    <x v="8"/>
    <x v="10"/>
    <s v="Q3"/>
    <n v="255"/>
    <n v="223.52941176470588"/>
    <s v="TALENTI"/>
    <n v="0.94"/>
    <n v="53580"/>
    <n v="202.74671999999998"/>
    <n v="210.11764705882351"/>
  </r>
  <r>
    <n v="84135770"/>
    <x v="16"/>
    <n v="1"/>
    <d v="2023-08-01T00:00:00"/>
    <x v="277"/>
    <x v="15"/>
    <n v="3.7853439999999999E-3"/>
    <n v="3.7853439999999999E-3"/>
    <s v="BJ"/>
    <x v="8"/>
    <x v="30"/>
    <s v="Q3"/>
    <n v="240"/>
    <n v="4.1666666666666666E-3"/>
    <s v="BJ PTS"/>
    <n v="0.9"/>
    <n v="0.9"/>
    <n v="3.4068096E-3"/>
    <n v="3.7499999999999999E-3"/>
  </r>
  <r>
    <n v="67466492"/>
    <x v="15"/>
    <n v="20250"/>
    <d v="2023-08-04T00:00:00"/>
    <x v="8"/>
    <x v="7"/>
    <n v="5.2680000000000001E-3"/>
    <n v="106.67700000000001"/>
    <s v="PS"/>
    <x v="8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8-06T00:00:00"/>
    <x v="8"/>
    <x v="6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7466492"/>
    <x v="15"/>
    <n v="23400"/>
    <d v="2023-08-06T00:00:00"/>
    <x v="8"/>
    <x v="8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8741714"/>
    <x v="15"/>
    <n v="41400"/>
    <d v="2023-08-06T00:00:00"/>
    <x v="24"/>
    <x v="24"/>
    <n v="2.8319999999999999E-3"/>
    <n v="117.2448"/>
    <s v="GH"/>
    <x v="8"/>
    <x v="4"/>
    <s v="Q3"/>
    <n v="225"/>
    <n v="184"/>
    <s v="MBG"/>
    <n v="0.87"/>
    <n v="36018"/>
    <n v="102.002976"/>
    <n v="160.08000000000001"/>
  </r>
  <r>
    <n v="67309843"/>
    <x v="15"/>
    <n v="25200"/>
    <d v="2023-08-07T00:00:00"/>
    <x v="88"/>
    <x v="11"/>
    <n v="8.5199999999999998E-3"/>
    <n v="214.70400000000001"/>
    <s v="BR"/>
    <x v="8"/>
    <x v="6"/>
    <s v="Q3"/>
    <n v="154"/>
    <n v="163.63636363636363"/>
    <s v="48oz"/>
    <n v="0.95"/>
    <n v="23940"/>
    <n v="203.96879999999999"/>
    <n v="155.45454545454544"/>
  </r>
  <r>
    <n v="67465063"/>
    <x v="15"/>
    <n v="15413"/>
    <d v="2023-08-07T00:00:00"/>
    <x v="3"/>
    <x v="40"/>
    <n v="5.2680000000000001E-3"/>
    <n v="81.195684"/>
    <s v="PS"/>
    <x v="8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8-07T00:00:00"/>
    <x v="7"/>
    <x v="3"/>
    <n v="1.596E-3"/>
    <n v="21.545999999999999"/>
    <s v="PS"/>
    <x v="8"/>
    <x v="3"/>
    <s v="Q3"/>
    <n v="130"/>
    <n v="103.84615384615384"/>
    <s v="PG"/>
    <n v="0.9"/>
    <n v="12150"/>
    <n v="19.391400000000001"/>
    <n v="93.461538461538453"/>
  </r>
  <r>
    <n v="67723726"/>
    <x v="15"/>
    <n v="48000"/>
    <d v="2023-08-07T00:00:00"/>
    <x v="109"/>
    <x v="23"/>
    <n v="8.5199999999999998E-3"/>
    <n v="408.96"/>
    <s v="BR"/>
    <x v="8"/>
    <x v="6"/>
    <s v="Q3"/>
    <n v="154"/>
    <n v="311.68831168831167"/>
    <s v="48oz"/>
    <n v="0.95"/>
    <n v="45600"/>
    <n v="388.51199999999994"/>
    <n v="296.10389610389609"/>
  </r>
  <r>
    <n v="67885724"/>
    <x v="15"/>
    <n v="22800"/>
    <d v="2023-08-07T00:00:00"/>
    <x v="49"/>
    <x v="12"/>
    <n v="8.5199999999999998E-3"/>
    <n v="194.256"/>
    <s v="BR"/>
    <x v="8"/>
    <x v="6"/>
    <s v="Q3"/>
    <n v="154"/>
    <n v="148.05194805194805"/>
    <s v="48oz"/>
    <n v="0.95"/>
    <n v="21660"/>
    <n v="184.54319999999998"/>
    <n v="140.64935064935062"/>
  </r>
  <r>
    <n v="68188183"/>
    <x v="15"/>
    <n v="19500"/>
    <d v="2023-08-07T00:00:00"/>
    <x v="70"/>
    <x v="9"/>
    <n v="3.8340000000000002E-3"/>
    <n v="74.763000000000005"/>
    <s v="PS"/>
    <x v="8"/>
    <x v="3"/>
    <s v="Q3"/>
    <n v="130"/>
    <n v="150"/>
    <s v="PG"/>
    <n v="0.9"/>
    <n v="17550"/>
    <n v="67.28670000000001"/>
    <n v="135"/>
  </r>
  <r>
    <n v="68817793"/>
    <x v="15"/>
    <n v="20400"/>
    <d v="2023-08-07T00:00:00"/>
    <x v="48"/>
    <x v="16"/>
    <n v="8.5199999999999998E-3"/>
    <n v="173.80799999999999"/>
    <s v="BR"/>
    <x v="8"/>
    <x v="6"/>
    <s v="Q3"/>
    <n v="176"/>
    <n v="115.90909090909091"/>
    <s v="48oz"/>
    <n v="0.95"/>
    <n v="19380"/>
    <n v="165.11759999999998"/>
    <n v="110.11363636363636"/>
  </r>
  <r>
    <n v="68817801"/>
    <x v="15"/>
    <n v="25200"/>
    <d v="2023-08-07T00:00:00"/>
    <x v="183"/>
    <x v="11"/>
    <n v="8.4600000000000005E-3"/>
    <n v="213.19200000000001"/>
    <s v="BR"/>
    <x v="8"/>
    <x v="6"/>
    <s v="Q3"/>
    <n v="176"/>
    <n v="143.18181818181819"/>
    <s v="48oz"/>
    <n v="0.95"/>
    <n v="23940"/>
    <n v="202.5324"/>
    <n v="136.02272727272728"/>
  </r>
  <r>
    <n v="68899821"/>
    <x v="15"/>
    <n v="23000"/>
    <d v="2023-08-07T00:00:00"/>
    <x v="149"/>
    <x v="16"/>
    <n v="8.5199999999999998E-3"/>
    <n v="195.96"/>
    <s v="BR"/>
    <x v="8"/>
    <x v="6"/>
    <s v="Q3"/>
    <n v="176"/>
    <n v="130.68181818181819"/>
    <s v="48oz"/>
    <n v="0.95"/>
    <n v="21850"/>
    <n v="186.16200000000001"/>
    <n v="124.14772727272727"/>
  </r>
  <r>
    <n v="69568828"/>
    <x v="15"/>
    <n v="25200"/>
    <d v="2023-08-07T00:00:00"/>
    <x v="12"/>
    <x v="11"/>
    <n v="8.5199999999999998E-3"/>
    <n v="214.70400000000001"/>
    <s v="BR"/>
    <x v="8"/>
    <x v="6"/>
    <s v="Q3"/>
    <n v="176"/>
    <n v="143.18181818181819"/>
    <s v="48oz"/>
    <n v="0.95"/>
    <n v="23940"/>
    <n v="203.96879999999999"/>
    <n v="136.02272727272728"/>
  </r>
  <r>
    <n v="69568829"/>
    <x v="15"/>
    <n v="45600"/>
    <d v="2023-08-07T00:00:00"/>
    <x v="66"/>
    <x v="12"/>
    <n v="8.5199999999999998E-3"/>
    <n v="388.512"/>
    <s v="BR"/>
    <x v="8"/>
    <x v="6"/>
    <s v="Q3"/>
    <n v="176"/>
    <n v="259.09090909090907"/>
    <s v="48oz"/>
    <n v="0.95"/>
    <n v="43320"/>
    <n v="369.08639999999997"/>
    <n v="246.1363636363636"/>
  </r>
  <r>
    <n v="69677917"/>
    <x v="15"/>
    <n v="24000"/>
    <d v="2023-08-07T00:00:00"/>
    <x v="30"/>
    <x v="29"/>
    <n v="5.2680000000000001E-3"/>
    <n v="126.432"/>
    <s v="PS"/>
    <x v="8"/>
    <x v="3"/>
    <s v="Q3"/>
    <n v="108"/>
    <n v="222.22222222222223"/>
    <s v="PG"/>
    <n v="0.9"/>
    <n v="21600"/>
    <n v="113.78880000000001"/>
    <n v="200"/>
  </r>
  <r>
    <n v="67309841"/>
    <x v="16"/>
    <n v="26400"/>
    <d v="2023-08-07T00:00:00"/>
    <x v="32"/>
    <x v="13"/>
    <n v="8.5199999999999998E-3"/>
    <n v="224.928"/>
    <s v="BR"/>
    <x v="8"/>
    <x v="2"/>
    <s v="Q3"/>
    <n v="154"/>
    <n v="171.42857142857142"/>
    <s v="48oz"/>
    <n v="0.95"/>
    <n v="25080"/>
    <n v="213.68159999999997"/>
    <n v="162.85714285714283"/>
  </r>
  <r>
    <n v="67901589"/>
    <x v="16"/>
    <n v="91200"/>
    <d v="2023-08-07T00:00:00"/>
    <x v="220"/>
    <x v="32"/>
    <n v="8.5199999999999998E-3"/>
    <n v="777.024"/>
    <s v="BR"/>
    <x v="8"/>
    <x v="2"/>
    <s v="Q3"/>
    <n v="154"/>
    <n v="592.20779220779218"/>
    <s v="48oz"/>
    <n v="0.95"/>
    <n v="86640"/>
    <n v="738.17279999999994"/>
    <n v="562.59740259740249"/>
  </r>
  <r>
    <n v="68117573"/>
    <x v="16"/>
    <n v="20000"/>
    <d v="2023-08-07T00:00:00"/>
    <x v="160"/>
    <x v="14"/>
    <n v="4.2560000000000002E-3"/>
    <n v="85.12"/>
    <s v="BR"/>
    <x v="8"/>
    <x v="5"/>
    <s v="Q3"/>
    <n v="143"/>
    <n v="139.86013986013987"/>
    <s v="MG Sticks"/>
    <n v="0.93"/>
    <n v="18600"/>
    <n v="79.161600000000007"/>
    <n v="130.06993006993008"/>
  </r>
  <r>
    <n v="68117574"/>
    <x v="16"/>
    <n v="20000"/>
    <d v="2023-08-07T00:00:00"/>
    <x v="69"/>
    <x v="14"/>
    <n v="4.2560000000000002E-3"/>
    <n v="85.12"/>
    <s v="BR"/>
    <x v="8"/>
    <x v="5"/>
    <s v="Q3"/>
    <n v="143"/>
    <n v="139.86013986013987"/>
    <s v="MG Sticks"/>
    <n v="0.93"/>
    <n v="18600"/>
    <n v="79.161600000000007"/>
    <n v="130.06993006993008"/>
  </r>
  <r>
    <n v="68850683"/>
    <x v="16"/>
    <n v="26400"/>
    <d v="2023-08-07T00:00:00"/>
    <x v="335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68828"/>
    <x v="16"/>
    <n v="23400"/>
    <d v="2023-08-07T00:00:00"/>
    <x v="12"/>
    <x v="2"/>
    <n v="8.5199999999999998E-3"/>
    <n v="199.36799999999999"/>
    <s v="BR"/>
    <x v="8"/>
    <x v="2"/>
    <s v="Q3"/>
    <n v="176"/>
    <n v="132.95454545454547"/>
    <s v="48oz"/>
    <n v="0.95"/>
    <n v="22230"/>
    <n v="189.39959999999999"/>
    <n v="126.30681818181819"/>
  </r>
  <r>
    <n v="69568963"/>
    <x v="16"/>
    <n v="26400"/>
    <d v="2023-08-07T00:00:00"/>
    <x v="94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68964"/>
    <x v="16"/>
    <n v="23400"/>
    <d v="2023-08-07T00:00:00"/>
    <x v="134"/>
    <x v="2"/>
    <n v="8.5199999999999998E-3"/>
    <n v="199.36799999999999"/>
    <s v="BR"/>
    <x v="8"/>
    <x v="2"/>
    <s v="Q3"/>
    <n v="176"/>
    <n v="132.95454545454547"/>
    <s v="48oz"/>
    <n v="0.95"/>
    <n v="22230"/>
    <n v="189.39959999999999"/>
    <n v="126.30681818181819"/>
  </r>
  <r>
    <n v="69572657"/>
    <x v="16"/>
    <n v="71000"/>
    <d v="2023-08-07T00:00:00"/>
    <x v="306"/>
    <x v="5"/>
    <n v="2.1520000000000003E-3"/>
    <n v="152.79200000000003"/>
    <s v="MG"/>
    <x v="8"/>
    <x v="5"/>
    <s v="Q3"/>
    <n v="210"/>
    <n v="338.09523809523807"/>
    <s v="MG Sticks"/>
    <n v="0.93"/>
    <n v="66030"/>
    <n v="142.09656000000004"/>
    <n v="314.42857142857144"/>
  </r>
  <r>
    <n v="69717802"/>
    <x v="16"/>
    <n v="33150"/>
    <d v="2023-08-07T00:00:00"/>
    <x v="31"/>
    <x v="31"/>
    <n v="4.2560000000000002E-3"/>
    <n v="141.0864"/>
    <s v="BR"/>
    <x v="8"/>
    <x v="5"/>
    <s v="Q3"/>
    <n v="143"/>
    <n v="231.81818181818181"/>
    <s v="MG Sticks"/>
    <n v="0.93"/>
    <n v="30829.5"/>
    <n v="131.210352"/>
    <n v="215.59090909090909"/>
  </r>
  <r>
    <n v="69778792"/>
    <x v="16"/>
    <n v="35100"/>
    <d v="2023-08-07T00:00:00"/>
    <x v="376"/>
    <x v="28"/>
    <n v="5.2680000000000001E-3"/>
    <n v="184.9068"/>
    <s v="PS"/>
    <x v="8"/>
    <x v="14"/>
    <s v="Q3"/>
    <n v="130"/>
    <n v="270"/>
    <s v="PG"/>
    <n v="0.9"/>
    <n v="31590"/>
    <n v="166.41612000000001"/>
    <n v="243"/>
  </r>
  <r>
    <n v="84135718"/>
    <x v="18"/>
    <n v="211200"/>
    <d v="2023-08-07T00:00:00"/>
    <x v="147"/>
    <x v="38"/>
    <n v="3.7853439999999999E-3"/>
    <n v="799.46465279999995"/>
    <s v="BJ"/>
    <x v="8"/>
    <x v="36"/>
    <s v="Q3"/>
    <n v="240"/>
    <n v="880"/>
    <s v="BJ PTS"/>
    <n v="0.9"/>
    <n v="190080"/>
    <n v="719.51818751999997"/>
    <n v="792"/>
  </r>
  <r>
    <n v="84149990"/>
    <x v="18"/>
    <n v="21450"/>
    <d v="2023-08-07T00:00:00"/>
    <x v="168"/>
    <x v="33"/>
    <n v="3.7853439999999999E-3"/>
    <n v="81.195628799999994"/>
    <s v="BJ"/>
    <x v="8"/>
    <x v="40"/>
    <s v="Q3"/>
    <n v="240"/>
    <n v="89.375"/>
    <s v="PTS Exports"/>
    <n v="0.9"/>
    <n v="19305"/>
    <n v="73.076065919999991"/>
    <n v="80.4375"/>
  </r>
  <r>
    <n v="67546032"/>
    <x v="17"/>
    <n v="4640"/>
    <d v="2023-08-07T00:00:00"/>
    <x v="316"/>
    <x v="33"/>
    <n v="3.6640000000000002E-3"/>
    <n v="17.000959999999999"/>
    <s v="BJ"/>
    <x v="8"/>
    <x v="24"/>
    <s v="Q3"/>
    <n v="240"/>
    <n v="19.333333333333332"/>
    <s v="PTS Exports"/>
    <n v="0.9"/>
    <n v="4176"/>
    <n v="15.300863999999999"/>
    <n v="17.399999999999999"/>
  </r>
  <r>
    <n v="68264945"/>
    <x v="17"/>
    <n v="16020"/>
    <d v="2023-08-07T00:00:00"/>
    <x v="349"/>
    <x v="35"/>
    <n v="3.8999999999999998E-3"/>
    <n v="62.477999999999994"/>
    <s v="BJ"/>
    <x v="8"/>
    <x v="31"/>
    <s v="Q3"/>
    <n v="510"/>
    <n v="31.411764705882351"/>
    <s v="Cup Exports"/>
    <n v="0.85"/>
    <n v="13617"/>
    <n v="53.106299999999997"/>
    <n v="26.7"/>
  </r>
  <r>
    <n v="68297196"/>
    <x v="17"/>
    <n v="16240"/>
    <d v="2023-08-07T00:00:00"/>
    <x v="133"/>
    <x v="35"/>
    <n v="3.7853439999999999E-3"/>
    <n v="61.47398656"/>
    <s v="BJ"/>
    <x v="8"/>
    <x v="15"/>
    <s v="Q3"/>
    <n v="240"/>
    <n v="67.666666666666671"/>
    <s v="BJ PTS"/>
    <n v="0.9"/>
    <n v="14616"/>
    <n v="55.326587904"/>
    <n v="60.900000000000006"/>
  </r>
  <r>
    <n v="68499787"/>
    <x v="17"/>
    <n v="13000"/>
    <d v="2023-08-07T00:00:00"/>
    <x v="274"/>
    <x v="35"/>
    <n v="3.8999999999999998E-3"/>
    <n v="50.699999999999996"/>
    <s v="BJ"/>
    <x v="8"/>
    <x v="39"/>
    <s v="Q3"/>
    <n v="125"/>
    <n v="104"/>
    <s v="2.4 Gal"/>
    <n v="0.85"/>
    <n v="11050"/>
    <n v="43.094999999999992"/>
    <n v="88.399999999999991"/>
  </r>
  <r>
    <n v="68638142"/>
    <x v="17"/>
    <n v="6960"/>
    <d v="2023-08-07T00:00:00"/>
    <x v="192"/>
    <x v="35"/>
    <n v="3.7853439999999999E-3"/>
    <n v="26.34599424"/>
    <s v="BJ"/>
    <x v="8"/>
    <x v="15"/>
    <s v="Q3"/>
    <n v="240"/>
    <n v="29"/>
    <s v="BJ PTS"/>
    <n v="0.9"/>
    <n v="6264"/>
    <n v="23.711394815999999"/>
    <n v="26.1"/>
  </r>
  <r>
    <n v="68654239"/>
    <x v="17"/>
    <n v="16240"/>
    <d v="2023-08-07T00:00:00"/>
    <x v="103"/>
    <x v="33"/>
    <n v="3.7853439999999999E-3"/>
    <n v="61.47398656"/>
    <s v="BJ"/>
    <x v="8"/>
    <x v="15"/>
    <s v="Q3"/>
    <n v="240"/>
    <n v="67.666666666666671"/>
    <s v="BJ PTS"/>
    <n v="0.9"/>
    <n v="14616"/>
    <n v="55.326587904"/>
    <n v="60.900000000000006"/>
  </r>
  <r>
    <n v="69552651"/>
    <x v="17"/>
    <n v="30160"/>
    <d v="2023-08-07T00:00:00"/>
    <x v="292"/>
    <x v="35"/>
    <n v="3.7839999999999996E-3"/>
    <n v="114.12543999999998"/>
    <s v="BJ"/>
    <x v="8"/>
    <x v="15"/>
    <s v="Q3"/>
    <n v="240"/>
    <n v="125.66666666666667"/>
    <s v="BJ PTS"/>
    <n v="0.9"/>
    <n v="27144"/>
    <n v="102.71289599999999"/>
    <n v="113.10000000000001"/>
  </r>
  <r>
    <n v="84138391"/>
    <x v="17"/>
    <n v="75400"/>
    <d v="2023-08-07T00:00:00"/>
    <x v="84"/>
    <x v="33"/>
    <n v="3.7853439999999999E-3"/>
    <n v="285.41493759999997"/>
    <s v="BJ"/>
    <x v="8"/>
    <x v="15"/>
    <s v="Q3"/>
    <n v="240"/>
    <n v="314.16666666666669"/>
    <s v="BJ PTS"/>
    <n v="0.9"/>
    <n v="67860"/>
    <n v="256.87344383999999"/>
    <n v="282.75"/>
  </r>
  <r>
    <n v="84143851"/>
    <x v="17"/>
    <n v="38400"/>
    <d v="2023-08-07T00:00:00"/>
    <x v="374"/>
    <x v="33"/>
    <n v="3.7853439999999999E-3"/>
    <n v="145.3572096"/>
    <s v="BJ"/>
    <x v="8"/>
    <x v="15"/>
    <s v="Q3"/>
    <n v="240"/>
    <n v="160"/>
    <s v="BJ PTS"/>
    <n v="0.9"/>
    <n v="34560"/>
    <n v="130.82148864000001"/>
    <n v="144"/>
  </r>
  <r>
    <n v="84151113"/>
    <x v="17"/>
    <n v="16020"/>
    <d v="2023-08-07T00:00:00"/>
    <x v="161"/>
    <x v="33"/>
    <n v="1.419504E-3"/>
    <n v="22.740454079999999"/>
    <s v="BJ"/>
    <x v="8"/>
    <x v="31"/>
    <s v="Q3"/>
    <n v="510"/>
    <n v="31.411764705882351"/>
    <s v="Cup Exports"/>
    <n v="0.85"/>
    <n v="13617"/>
    <n v="19.329385968"/>
    <n v="26.7"/>
  </r>
  <r>
    <n v="84163503"/>
    <x v="17"/>
    <n v="102400"/>
    <d v="2023-08-07T00:00:00"/>
    <x v="327"/>
    <x v="33"/>
    <n v="3.7853439999999999E-3"/>
    <n v="387.61922559999999"/>
    <s v="BJ"/>
    <x v="8"/>
    <x v="15"/>
    <s v="Q3"/>
    <n v="240"/>
    <n v="426.66666666666669"/>
    <s v="BJ PTS"/>
    <n v="0.9"/>
    <n v="92160"/>
    <n v="348.85730303999998"/>
    <n v="384"/>
  </r>
  <r>
    <n v="84163605"/>
    <x v="17"/>
    <n v="64960"/>
    <d v="2023-08-07T00:00:00"/>
    <x v="219"/>
    <x v="34"/>
    <n v="3.7853439999999999E-3"/>
    <n v="245.89594624"/>
    <s v="BJ"/>
    <x v="8"/>
    <x v="15"/>
    <s v="Q3"/>
    <n v="240"/>
    <n v="270.66666666666669"/>
    <s v="BJ PTS"/>
    <n v="0.9"/>
    <n v="58464"/>
    <n v="221.306351616"/>
    <n v="243.60000000000002"/>
  </r>
  <r>
    <n v="84167442"/>
    <x v="17"/>
    <n v="102400"/>
    <d v="2023-08-07T00:00:00"/>
    <x v="272"/>
    <x v="35"/>
    <n v="3.7853439999999999E-3"/>
    <n v="387.61922559999999"/>
    <s v="BJ"/>
    <x v="8"/>
    <x v="15"/>
    <s v="Q3"/>
    <n v="240"/>
    <n v="426.66666666666669"/>
    <s v="BJ PTS"/>
    <n v="0.9"/>
    <n v="92160"/>
    <n v="348.85730303999998"/>
    <n v="384"/>
  </r>
  <r>
    <n v="67885719"/>
    <x v="16"/>
    <n v="45600"/>
    <d v="2023-08-08T00:00:00"/>
    <x v="11"/>
    <x v="32"/>
    <n v="8.5199999999999998E-3"/>
    <n v="388.512"/>
    <s v="BR"/>
    <x v="8"/>
    <x v="2"/>
    <s v="Q3"/>
    <n v="154"/>
    <n v="296.10389610389609"/>
    <s v="48oz"/>
    <n v="0.95"/>
    <n v="43320"/>
    <n v="369.08639999999997"/>
    <n v="281.29870129870125"/>
  </r>
  <r>
    <n v="68463619"/>
    <x v="16"/>
    <n v="45600"/>
    <d v="2023-08-08T00:00:00"/>
    <x v="377"/>
    <x v="15"/>
    <n v="3.7853439999999999E-3"/>
    <n v="172.6116864"/>
    <s v="BR"/>
    <x v="8"/>
    <x v="50"/>
    <s v="Q3"/>
    <n v="240"/>
    <n v="190"/>
    <s v="CS PTS"/>
    <n v="0.91"/>
    <n v="41496"/>
    <n v="157.07663462400001"/>
    <n v="172.9"/>
  </r>
  <r>
    <n v="68463620"/>
    <x v="16"/>
    <n v="45600"/>
    <d v="2023-08-08T00:00:00"/>
    <x v="378"/>
    <x v="15"/>
    <n v="3.7853439999999999E-3"/>
    <n v="172.6116864"/>
    <s v="BR"/>
    <x v="8"/>
    <x v="50"/>
    <s v="Q3"/>
    <n v="240"/>
    <n v="190"/>
    <s v="CS PTS"/>
    <n v="0.91"/>
    <n v="41496"/>
    <n v="157.07663462400001"/>
    <n v="172.9"/>
  </r>
  <r>
    <n v="68463623"/>
    <x v="16"/>
    <n v="45600"/>
    <d v="2023-08-08T00:00:00"/>
    <x v="379"/>
    <x v="15"/>
    <n v="3.7853439999999999E-3"/>
    <n v="172.6116864"/>
    <s v="BR"/>
    <x v="8"/>
    <x v="50"/>
    <s v="Q3"/>
    <n v="240"/>
    <n v="190"/>
    <s v="CS PTS"/>
    <n v="0.91"/>
    <n v="41496"/>
    <n v="157.07663462400001"/>
    <n v="172.9"/>
  </r>
  <r>
    <n v="68726982"/>
    <x v="16"/>
    <n v="57000"/>
    <d v="2023-08-08T00:00:00"/>
    <x v="291"/>
    <x v="21"/>
    <n v="3.7853440000000004E-3"/>
    <n v="215.76460800000001"/>
    <s v="TA"/>
    <x v="8"/>
    <x v="10"/>
    <s v="Q3"/>
    <n v="255"/>
    <n v="223.52941176470588"/>
    <s v="TALENTI"/>
    <n v="0.94"/>
    <n v="53580"/>
    <n v="202.81873152"/>
    <n v="210.11764705882351"/>
  </r>
  <r>
    <n v="68729659"/>
    <x v="16"/>
    <n v="25000"/>
    <d v="2023-08-08T00:00:00"/>
    <x v="380"/>
    <x v="22"/>
    <n v="3.7853439999999999E-3"/>
    <n v="94.633600000000001"/>
    <s v="TA"/>
    <x v="8"/>
    <x v="10"/>
    <s v="Q3"/>
    <n v="255"/>
    <n v="98.039215686274517"/>
    <s v="TALENTI"/>
    <n v="0.94"/>
    <n v="23500"/>
    <n v="88.955584000000002"/>
    <n v="92.156862745098039"/>
  </r>
  <r>
    <n v="68729702"/>
    <x v="16"/>
    <n v="27000"/>
    <d v="2023-08-08T00:00:00"/>
    <x v="205"/>
    <x v="22"/>
    <n v="3.7853440000000004E-3"/>
    <n v="102.20428800000001"/>
    <s v="TA"/>
    <x v="8"/>
    <x v="10"/>
    <s v="Q3"/>
    <n v="255"/>
    <n v="105.88235294117646"/>
    <s v="TALENTI"/>
    <n v="0.94"/>
    <n v="25380"/>
    <n v="96.072030720000001"/>
    <n v="99.52941176470587"/>
  </r>
  <r>
    <n v="68741742"/>
    <x v="16"/>
    <n v="32400"/>
    <d v="2023-08-08T00:00:00"/>
    <x v="25"/>
    <x v="25"/>
    <n v="4.2560000000000002E-3"/>
    <n v="137.89440000000002"/>
    <s v="GH"/>
    <x v="8"/>
    <x v="11"/>
    <s v="Q3"/>
    <n v="154"/>
    <n v="210.3896103896104"/>
    <s v="MBG"/>
    <n v="0.87"/>
    <n v="28188"/>
    <n v="119.96812800000002"/>
    <n v="183.03896103896105"/>
  </r>
  <r>
    <n v="68881270"/>
    <x v="16"/>
    <n v="26400"/>
    <d v="2023-08-08T00:00:00"/>
    <x v="91"/>
    <x v="2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8922011"/>
    <x v="16"/>
    <n v="25000"/>
    <d v="2023-08-08T00:00:00"/>
    <x v="261"/>
    <x v="22"/>
    <n v="3.7853440000000004E-3"/>
    <n v="94.633600000000015"/>
    <s v="TA"/>
    <x v="8"/>
    <x v="10"/>
    <s v="Q3"/>
    <n v="255"/>
    <n v="98.039215686274517"/>
    <s v="TALENTI"/>
    <n v="0.94"/>
    <n v="23500"/>
    <n v="88.955584000000016"/>
    <n v="92.156862745098039"/>
  </r>
  <r>
    <n v="68922018"/>
    <x v="16"/>
    <n v="57000"/>
    <d v="2023-08-08T00:00:00"/>
    <x v="95"/>
    <x v="21"/>
    <n v="3.7839999999999996E-3"/>
    <n v="215.68799999999999"/>
    <s v="TA"/>
    <x v="8"/>
    <x v="10"/>
    <s v="Q3"/>
    <n v="255"/>
    <n v="223.52941176470588"/>
    <s v="TALENTI"/>
    <n v="0.94"/>
    <n v="53580"/>
    <n v="202.74671999999998"/>
    <n v="210.11764705882351"/>
  </r>
  <r>
    <n v="69629468"/>
    <x v="16"/>
    <n v="16200"/>
    <d v="2023-08-08T00:00:00"/>
    <x v="30"/>
    <x v="30"/>
    <n v="5.2680000000000001E-3"/>
    <n v="85.3416"/>
    <s v="PS"/>
    <x v="8"/>
    <x v="14"/>
    <s v="Q3"/>
    <n v="130"/>
    <n v="124.61538461538461"/>
    <s v="PG"/>
    <n v="0.9"/>
    <n v="14580"/>
    <n v="76.80744"/>
    <n v="112.15384615384616"/>
  </r>
  <r>
    <n v="67466492"/>
    <x v="15"/>
    <n v="20250"/>
    <d v="2023-08-11T00:00:00"/>
    <x v="8"/>
    <x v="7"/>
    <n v="5.2680000000000001E-3"/>
    <n v="106.67700000000001"/>
    <s v="PS"/>
    <x v="8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8-13T00:00:00"/>
    <x v="8"/>
    <x v="6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7466492"/>
    <x v="15"/>
    <n v="23400"/>
    <d v="2023-08-13T00:00:00"/>
    <x v="8"/>
    <x v="8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8741714"/>
    <x v="15"/>
    <n v="41400"/>
    <d v="2023-08-13T00:00:00"/>
    <x v="24"/>
    <x v="24"/>
    <n v="2.8319999999999999E-3"/>
    <n v="117.2448"/>
    <s v="GH"/>
    <x v="8"/>
    <x v="4"/>
    <s v="Q3"/>
    <n v="225"/>
    <n v="184"/>
    <s v="MBG"/>
    <n v="0.87"/>
    <n v="36018"/>
    <n v="102.002976"/>
    <n v="160.08000000000001"/>
  </r>
  <r>
    <n v="67309843"/>
    <x v="15"/>
    <n v="25200"/>
    <d v="2023-08-14T00:00:00"/>
    <x v="88"/>
    <x v="11"/>
    <n v="8.5199999999999998E-3"/>
    <n v="214.70400000000001"/>
    <s v="BR"/>
    <x v="8"/>
    <x v="6"/>
    <s v="Q3"/>
    <n v="154"/>
    <n v="163.63636363636363"/>
    <s v="48oz"/>
    <n v="0.95"/>
    <n v="23940"/>
    <n v="203.96879999999999"/>
    <n v="155.45454545454544"/>
  </r>
  <r>
    <n v="67465063"/>
    <x v="15"/>
    <n v="15413"/>
    <d v="2023-08-14T00:00:00"/>
    <x v="3"/>
    <x v="40"/>
    <n v="5.2680000000000001E-3"/>
    <n v="81.195684"/>
    <s v="PS"/>
    <x v="8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8-14T00:00:00"/>
    <x v="7"/>
    <x v="3"/>
    <n v="1.596E-3"/>
    <n v="21.545999999999999"/>
    <s v="PS"/>
    <x v="8"/>
    <x v="3"/>
    <s v="Q3"/>
    <n v="130"/>
    <n v="103.84615384615384"/>
    <s v="PG"/>
    <n v="0.9"/>
    <n v="12150"/>
    <n v="19.391400000000001"/>
    <n v="93.461538461538453"/>
  </r>
  <r>
    <n v="68188183"/>
    <x v="15"/>
    <n v="13500"/>
    <d v="2023-08-14T00:00:00"/>
    <x v="70"/>
    <x v="9"/>
    <n v="3.8340000000000002E-3"/>
    <n v="51.759"/>
    <s v="PS"/>
    <x v="8"/>
    <x v="3"/>
    <s v="Q3"/>
    <n v="130"/>
    <n v="103.84615384615384"/>
    <s v="PG"/>
    <n v="0.9"/>
    <n v="12150"/>
    <n v="46.583100000000002"/>
    <n v="93.461538461538453"/>
  </r>
  <r>
    <n v="68737750"/>
    <x v="15"/>
    <n v="48000"/>
    <d v="2023-08-14T00:00:00"/>
    <x v="144"/>
    <x v="23"/>
    <n v="8.5199999999999998E-3"/>
    <n v="408.96"/>
    <s v="BR"/>
    <x v="8"/>
    <x v="6"/>
    <s v="Q3"/>
    <n v="176"/>
    <n v="272.72727272727275"/>
    <s v="48oz"/>
    <n v="0.95"/>
    <n v="45600"/>
    <n v="388.51199999999994"/>
    <n v="259.09090909090912"/>
  </r>
  <r>
    <n v="68817794"/>
    <x v="15"/>
    <n v="48000"/>
    <d v="2023-08-14T00:00:00"/>
    <x v="67"/>
    <x v="23"/>
    <n v="8.5199999999999998E-3"/>
    <n v="408.96"/>
    <s v="BR"/>
    <x v="8"/>
    <x v="6"/>
    <s v="Q3"/>
    <n v="176"/>
    <n v="272.72727272727275"/>
    <s v="48oz"/>
    <n v="0.95"/>
    <n v="45600"/>
    <n v="388.51199999999994"/>
    <n v="259.09090909090912"/>
  </r>
  <r>
    <n v="68817797"/>
    <x v="15"/>
    <n v="6000"/>
    <d v="2023-08-14T00:00:00"/>
    <x v="381"/>
    <x v="11"/>
    <n v="8.5199999999999998E-3"/>
    <n v="51.12"/>
    <s v="BR"/>
    <x v="8"/>
    <x v="6"/>
    <s v="Q3"/>
    <n v="154"/>
    <n v="38.961038961038959"/>
    <s v="48oz"/>
    <n v="0.95"/>
    <n v="5700"/>
    <n v="48.563999999999993"/>
    <n v="37.012987012987011"/>
  </r>
  <r>
    <n v="68850684"/>
    <x v="15"/>
    <n v="25200"/>
    <d v="2023-08-14T00:00:00"/>
    <x v="354"/>
    <x v="11"/>
    <n v="8.5199999999999998E-3"/>
    <n v="214.70400000000001"/>
    <s v="BR"/>
    <x v="8"/>
    <x v="6"/>
    <s v="Q3"/>
    <n v="176"/>
    <n v="143.18181818181819"/>
    <s v="48oz"/>
    <n v="0.95"/>
    <n v="23940"/>
    <n v="203.96879999999999"/>
    <n v="136.02272727272728"/>
  </r>
  <r>
    <n v="68881270"/>
    <x v="15"/>
    <n v="23800"/>
    <d v="2023-08-14T00:00:00"/>
    <x v="91"/>
    <x v="16"/>
    <n v="8.5199999999999998E-3"/>
    <n v="202.77599999999998"/>
    <s v="BR"/>
    <x v="8"/>
    <x v="6"/>
    <s v="Q3"/>
    <n v="176"/>
    <n v="135.22727272727272"/>
    <s v="48oz"/>
    <n v="0.95"/>
    <n v="22610"/>
    <n v="192.63719999999998"/>
    <n v="128.46590909090907"/>
  </r>
  <r>
    <n v="68881272"/>
    <x v="15"/>
    <n v="20400"/>
    <d v="2023-08-14T00:00:00"/>
    <x v="124"/>
    <x v="16"/>
    <n v="8.5199999999999998E-3"/>
    <n v="173.80799999999999"/>
    <s v="BR"/>
    <x v="8"/>
    <x v="6"/>
    <s v="Q3"/>
    <n v="154"/>
    <n v="132.46753246753246"/>
    <s v="48oz"/>
    <n v="0.95"/>
    <n v="19380"/>
    <n v="165.11759999999998"/>
    <n v="125.84415584415584"/>
  </r>
  <r>
    <n v="68890246"/>
    <x v="15"/>
    <n v="22800"/>
    <d v="2023-08-14T00:00:00"/>
    <x v="250"/>
    <x v="12"/>
    <n v="5.1101999999999995E-2"/>
    <n v="1165.1255999999998"/>
    <s v="BR"/>
    <x v="8"/>
    <x v="6"/>
    <s v="Q3"/>
    <n v="176"/>
    <n v="129.54545454545453"/>
    <s v="48oz"/>
    <n v="0.95"/>
    <n v="21660"/>
    <n v="1106.8693199999998"/>
    <n v="123.0681818181818"/>
  </r>
  <r>
    <n v="68899826"/>
    <x v="15"/>
    <n v="25200"/>
    <d v="2023-08-14T00:00:00"/>
    <x v="129"/>
    <x v="12"/>
    <n v="8.5199999999999998E-3"/>
    <n v="214.70400000000001"/>
    <s v="BR"/>
    <x v="8"/>
    <x v="6"/>
    <s v="Q3"/>
    <n v="176"/>
    <n v="143.18181818181819"/>
    <s v="48oz"/>
    <n v="0.95"/>
    <n v="23940"/>
    <n v="203.96879999999999"/>
    <n v="136.02272727272728"/>
  </r>
  <r>
    <n v="69551489"/>
    <x v="15"/>
    <n v="30000"/>
    <d v="2023-08-14T00:00:00"/>
    <x v="338"/>
    <x v="4"/>
    <n v="3.8989043190215313E-3"/>
    <n v="116.96712957064594"/>
    <s v="GH"/>
    <x v="8"/>
    <x v="4"/>
    <s v="Q3"/>
    <n v="154"/>
    <n v="194.80519480519482"/>
    <s v="MBG"/>
    <n v="0.87"/>
    <n v="26100"/>
    <n v="101.76140272646197"/>
    <n v="169.48051948051949"/>
  </r>
  <r>
    <n v="69568828"/>
    <x v="15"/>
    <n v="20400"/>
    <d v="2023-08-14T00:00:00"/>
    <x v="12"/>
    <x v="16"/>
    <n v="8.5199999999999998E-3"/>
    <n v="173.80799999999999"/>
    <s v="BR"/>
    <x v="8"/>
    <x v="6"/>
    <s v="Q3"/>
    <n v="176"/>
    <n v="115.90909090909091"/>
    <s v="48oz"/>
    <n v="0.95"/>
    <n v="19380"/>
    <n v="165.11759999999998"/>
    <n v="110.11363636363636"/>
  </r>
  <r>
    <n v="69677917"/>
    <x v="15"/>
    <n v="24000"/>
    <d v="2023-08-14T00:00:00"/>
    <x v="30"/>
    <x v="29"/>
    <n v="5.2680000000000001E-3"/>
    <n v="126.432"/>
    <s v="PS"/>
    <x v="8"/>
    <x v="3"/>
    <s v="Q3"/>
    <n v="108"/>
    <n v="222.22222222222223"/>
    <s v="PG"/>
    <n v="0.9"/>
    <n v="21600"/>
    <n v="113.78880000000001"/>
    <n v="200"/>
  </r>
  <r>
    <n v="67885719"/>
    <x v="16"/>
    <n v="26400"/>
    <d v="2023-08-14T00:00:00"/>
    <x v="11"/>
    <x v="13"/>
    <n v="8.5199999999999998E-3"/>
    <n v="224.928"/>
    <s v="BR"/>
    <x v="8"/>
    <x v="2"/>
    <s v="Q3"/>
    <n v="154"/>
    <n v="171.42857142857142"/>
    <s v="48oz"/>
    <n v="0.95"/>
    <n v="25080"/>
    <n v="213.68159999999997"/>
    <n v="162.85714285714283"/>
  </r>
  <r>
    <n v="67901593"/>
    <x v="16"/>
    <n v="0"/>
    <d v="2023-08-14T00:00:00"/>
    <x v="68"/>
    <x v="32"/>
    <n v="8.5199999999999998E-3"/>
    <n v="0"/>
    <s v="BR"/>
    <x v="8"/>
    <x v="2"/>
    <s v="Q3"/>
    <n v="154"/>
    <n v="0"/>
    <s v="48oz"/>
    <n v="0.95"/>
    <n v="0"/>
    <n v="0"/>
    <n v="0"/>
  </r>
  <r>
    <n v="68117572"/>
    <x v="16"/>
    <n v="15000"/>
    <d v="2023-08-14T00:00:00"/>
    <x v="31"/>
    <x v="14"/>
    <n v="4.2560000000000002E-3"/>
    <n v="63.84"/>
    <s v="BR"/>
    <x v="8"/>
    <x v="5"/>
    <s v="Q3"/>
    <n v="143"/>
    <n v="104.89510489510489"/>
    <s v="MG Sticks"/>
    <n v="0.93"/>
    <n v="13950"/>
    <n v="59.371200000000009"/>
    <n v="97.55244755244756"/>
  </r>
  <r>
    <n v="68850683"/>
    <x v="16"/>
    <n v="26400"/>
    <d v="2023-08-14T00:00:00"/>
    <x v="335"/>
    <x v="2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8850684"/>
    <x v="16"/>
    <n v="26400"/>
    <d v="2023-08-14T00:00:00"/>
    <x v="354"/>
    <x v="2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68828"/>
    <x v="16"/>
    <n v="26400"/>
    <d v="2023-08-14T00:00:00"/>
    <x v="12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68963"/>
    <x v="16"/>
    <n v="26400"/>
    <d v="2023-08-14T00:00:00"/>
    <x v="94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72544"/>
    <x v="16"/>
    <n v="20000"/>
    <d v="2023-08-14T00:00:00"/>
    <x v="171"/>
    <x v="14"/>
    <n v="1.9740000000000001E-3"/>
    <n v="39.480000000000004"/>
    <s v="MG"/>
    <x v="8"/>
    <x v="5"/>
    <s v="Q3"/>
    <n v="176"/>
    <n v="113.63636363636364"/>
    <s v="MG Sticks"/>
    <n v="0.93"/>
    <n v="18600"/>
    <n v="36.716400000000007"/>
    <n v="105.68181818181819"/>
  </r>
  <r>
    <n v="69572658"/>
    <x v="16"/>
    <n v="24000"/>
    <d v="2023-08-14T00:00:00"/>
    <x v="166"/>
    <x v="5"/>
    <n v="2.1520000000000003E-3"/>
    <n v="51.648000000000003"/>
    <s v="MG"/>
    <x v="8"/>
    <x v="5"/>
    <s v="Q3"/>
    <n v="210"/>
    <n v="114.28571428571429"/>
    <s v="MG Sticks"/>
    <n v="0.93"/>
    <n v="22320"/>
    <n v="48.032640000000008"/>
    <n v="106.28571428571429"/>
  </r>
  <r>
    <n v="69572659"/>
    <x v="16"/>
    <n v="35000"/>
    <d v="2023-08-14T00:00:00"/>
    <x v="5"/>
    <x v="5"/>
    <n v="2.1520000000000003E-3"/>
    <n v="75.320000000000007"/>
    <s v="MG"/>
    <x v="8"/>
    <x v="5"/>
    <s v="Q3"/>
    <n v="210"/>
    <n v="166.66666666666666"/>
    <s v="MG Sticks"/>
    <n v="0.93"/>
    <n v="32550"/>
    <n v="70.047600000000017"/>
    <n v="155"/>
  </r>
  <r>
    <n v="69717803"/>
    <x v="16"/>
    <n v="33150"/>
    <d v="2023-08-14T00:00:00"/>
    <x v="69"/>
    <x v="31"/>
    <n v="4.2560000000000002E-3"/>
    <n v="141.0864"/>
    <s v="BR"/>
    <x v="8"/>
    <x v="5"/>
    <s v="Q3"/>
    <n v="143"/>
    <n v="231.81818181818181"/>
    <s v="MG Sticks"/>
    <n v="0.93"/>
    <n v="30829.5"/>
    <n v="131.210352"/>
    <n v="215.59090909090909"/>
  </r>
  <r>
    <n v="69778792"/>
    <x v="16"/>
    <n v="35100"/>
    <d v="2023-08-14T00:00:00"/>
    <x v="376"/>
    <x v="28"/>
    <n v="5.2680000000000001E-3"/>
    <n v="184.9068"/>
    <s v="PS"/>
    <x v="8"/>
    <x v="14"/>
    <s v="Q3"/>
    <n v="130"/>
    <n v="270"/>
    <s v="PG"/>
    <n v="0.9"/>
    <n v="31590"/>
    <n v="166.41612000000001"/>
    <n v="243"/>
  </r>
  <r>
    <n v="67803006"/>
    <x v="18"/>
    <n v="14850"/>
    <d v="2023-08-14T00:00:00"/>
    <x v="151"/>
    <x v="35"/>
    <n v="3.6640000000000002E-3"/>
    <n v="54.410400000000003"/>
    <s v="BJ"/>
    <x v="8"/>
    <x v="40"/>
    <s v="Q3"/>
    <n v="240"/>
    <n v="61.875"/>
    <s v="PTS Exports"/>
    <n v="0.9"/>
    <n v="13365"/>
    <n v="48.969360000000002"/>
    <n v="55.6875"/>
  </r>
  <r>
    <n v="67826412"/>
    <x v="18"/>
    <n v="211200"/>
    <d v="2023-08-14T00:00:00"/>
    <x v="214"/>
    <x v="35"/>
    <n v="3.7853439999999999E-3"/>
    <n v="799.46465279999995"/>
    <s v="BJ"/>
    <x v="8"/>
    <x v="36"/>
    <s v="Q3"/>
    <n v="240"/>
    <n v="880"/>
    <s v="BJ PTS"/>
    <n v="0.9"/>
    <n v="190080"/>
    <n v="719.51818751999997"/>
    <n v="792"/>
  </r>
  <r>
    <n v="67278444"/>
    <x v="17"/>
    <n v="38400"/>
    <d v="2023-08-14T00:00:00"/>
    <x v="213"/>
    <x v="38"/>
    <n v="3.7839999999999996E-3"/>
    <n v="145.3056"/>
    <s v="BJ"/>
    <x v="8"/>
    <x v="15"/>
    <s v="Q3"/>
    <n v="240"/>
    <n v="160"/>
    <s v="BJ PTS"/>
    <n v="0.9"/>
    <n v="34560"/>
    <n v="130.77503999999999"/>
    <n v="144"/>
  </r>
  <r>
    <n v="67296703"/>
    <x v="17"/>
    <n v="10680"/>
    <d v="2023-08-14T00:00:00"/>
    <x v="355"/>
    <x v="33"/>
    <n v="3.7853439999999999E-3"/>
    <n v="40.427473919999997"/>
    <s v="BJ"/>
    <x v="8"/>
    <x v="15"/>
    <s v="Q3"/>
    <n v="240"/>
    <n v="44.5"/>
    <s v="BJ PTS"/>
    <n v="0.9"/>
    <n v="9612"/>
    <n v="36.384726528000002"/>
    <n v="40.050000000000004"/>
  </r>
  <r>
    <n v="67736697"/>
    <x v="17"/>
    <n v="13920"/>
    <d v="2023-08-14T00:00:00"/>
    <x v="253"/>
    <x v="35"/>
    <n v="3.7853439999999999E-3"/>
    <n v="52.691988479999999"/>
    <s v="BJ"/>
    <x v="8"/>
    <x v="15"/>
    <s v="Q3"/>
    <n v="240"/>
    <n v="58"/>
    <s v="BJ PTS"/>
    <n v="0.9"/>
    <n v="12528"/>
    <n v="47.422789631999997"/>
    <n v="52.2"/>
  </r>
  <r>
    <n v="67736698"/>
    <x v="17"/>
    <n v="18560"/>
    <d v="2023-08-14T00:00:00"/>
    <x v="140"/>
    <x v="33"/>
    <n v="3.7839999999999996E-3"/>
    <n v="70.231039999999993"/>
    <s v="BJ"/>
    <x v="8"/>
    <x v="15"/>
    <s v="Q3"/>
    <n v="240"/>
    <n v="77.333333333333329"/>
    <s v="BJ PTS"/>
    <n v="0.9"/>
    <n v="16704"/>
    <n v="63.207935999999997"/>
    <n v="69.599999999999994"/>
  </r>
  <r>
    <n v="67789314"/>
    <x v="17"/>
    <n v="46400"/>
    <d v="2023-08-14T00:00:00"/>
    <x v="152"/>
    <x v="35"/>
    <n v="3.7853439999999999E-3"/>
    <n v="175.63996159999999"/>
    <s v="BJ"/>
    <x v="8"/>
    <x v="15"/>
    <s v="Q3"/>
    <n v="240"/>
    <n v="193.33333333333334"/>
    <s v="BJ PTS"/>
    <n v="0.9"/>
    <n v="41760"/>
    <n v="158.07596544"/>
    <n v="174"/>
  </r>
  <r>
    <n v="67794168"/>
    <x v="17"/>
    <n v="10440"/>
    <d v="2023-08-14T00:00:00"/>
    <x v="367"/>
    <x v="33"/>
    <n v="3.7853439999999999E-3"/>
    <n v="39.518991360000001"/>
    <s v="BJ"/>
    <x v="8"/>
    <x v="15"/>
    <s v="Q3"/>
    <n v="240"/>
    <n v="43.5"/>
    <s v="BJ PTS"/>
    <n v="0.9"/>
    <n v="9396"/>
    <n v="35.567092224"/>
    <n v="39.15"/>
  </r>
  <r>
    <n v="68188514"/>
    <x v="17"/>
    <n v="102400"/>
    <d v="2023-08-14T00:00:00"/>
    <x v="180"/>
    <x v="35"/>
    <n v="3.7853439999999999E-3"/>
    <n v="387.61922559999999"/>
    <s v="BJ"/>
    <x v="8"/>
    <x v="15"/>
    <s v="Q3"/>
    <n v="240"/>
    <n v="426.66666666666669"/>
    <s v="BJ PTS"/>
    <n v="0.9"/>
    <n v="92160"/>
    <n v="348.85730303999998"/>
    <n v="384"/>
  </r>
  <r>
    <n v="68575292"/>
    <x v="17"/>
    <n v="102400"/>
    <d v="2023-08-14T00:00:00"/>
    <x v="323"/>
    <x v="35"/>
    <n v="3.7839999999999996E-3"/>
    <n v="387.48159999999996"/>
    <s v="BJ"/>
    <x v="8"/>
    <x v="15"/>
    <s v="Q3"/>
    <n v="240"/>
    <n v="426.66666666666669"/>
    <s v="BJ PTS"/>
    <n v="0.9"/>
    <n v="92160"/>
    <n v="348.73343999999997"/>
    <n v="384"/>
  </r>
  <r>
    <n v="84137694"/>
    <x v="17"/>
    <n v="37120"/>
    <d v="2023-08-14T00:00:00"/>
    <x v="136"/>
    <x v="38"/>
    <n v="3.7853439999999999E-3"/>
    <n v="140.51196927999999"/>
    <s v="BJ"/>
    <x v="8"/>
    <x v="15"/>
    <s v="Q3"/>
    <n v="240"/>
    <n v="154.66666666666666"/>
    <s v="BJ PTS"/>
    <n v="0.9"/>
    <n v="33408"/>
    <n v="126.46077235199999"/>
    <n v="139.19999999999999"/>
  </r>
  <r>
    <n v="67309843"/>
    <x v="16"/>
    <n v="45600"/>
    <d v="2023-08-15T00:00:00"/>
    <x v="88"/>
    <x v="32"/>
    <n v="8.5199999999999998E-3"/>
    <n v="388.512"/>
    <s v="BR"/>
    <x v="8"/>
    <x v="2"/>
    <s v="Q3"/>
    <n v="154"/>
    <n v="296.10389610389609"/>
    <s v="48oz"/>
    <n v="0.95"/>
    <n v="43320"/>
    <n v="369.08639999999997"/>
    <n v="281.29870129870125"/>
  </r>
  <r>
    <n v="67885722"/>
    <x v="16"/>
    <n v="5700"/>
    <d v="2023-08-15T00:00:00"/>
    <x v="163"/>
    <x v="32"/>
    <n v="8.5199999999999998E-3"/>
    <n v="48.564"/>
    <s v="BR"/>
    <x v="8"/>
    <x v="2"/>
    <s v="Q3"/>
    <n v="154"/>
    <n v="37.012987012987011"/>
    <s v="48oz"/>
    <n v="0.95"/>
    <n v="5415"/>
    <n v="46.135799999999996"/>
    <n v="35.162337662337656"/>
  </r>
  <r>
    <n v="67908208"/>
    <x v="16"/>
    <n v="32400"/>
    <d v="2023-08-15T00:00:00"/>
    <x v="225"/>
    <x v="25"/>
    <n v="3.9039999999999999E-3"/>
    <n v="126.4896"/>
    <s v="GH"/>
    <x v="8"/>
    <x v="11"/>
    <s v="Q3"/>
    <n v="154"/>
    <n v="210.3896103896104"/>
    <s v="MBG"/>
    <n v="0.87"/>
    <n v="28188"/>
    <n v="110.045952"/>
    <n v="183.03896103896105"/>
  </r>
  <r>
    <n v="68354586"/>
    <x v="16"/>
    <n v="57000"/>
    <d v="2023-08-15T00:00:00"/>
    <x v="309"/>
    <x v="15"/>
    <n v="3.5999999999999999E-3"/>
    <n v="205.2"/>
    <s v="BJ"/>
    <x v="8"/>
    <x v="19"/>
    <s v="Q3"/>
    <n v="240"/>
    <n v="237.5"/>
    <s v="Topped"/>
    <n v="0.91"/>
    <n v="51870"/>
    <n v="186.732"/>
    <n v="216.125"/>
  </r>
  <r>
    <n v="68656229"/>
    <x v="16"/>
    <n v="22050"/>
    <d v="2023-08-15T00:00:00"/>
    <x v="208"/>
    <x v="2"/>
    <n v="8.5199999999999998E-3"/>
    <n v="187.86599999999999"/>
    <s v="BR"/>
    <x v="8"/>
    <x v="2"/>
    <s v="Q3"/>
    <n v="154"/>
    <n v="143.18181818181819"/>
    <s v="48oz"/>
    <n v="0.95"/>
    <n v="20947.5"/>
    <n v="178.47269999999997"/>
    <n v="136.02272727272728"/>
  </r>
  <r>
    <n v="68730234"/>
    <x v="16"/>
    <n v="57000"/>
    <d v="2023-08-15T00:00:00"/>
    <x v="21"/>
    <x v="21"/>
    <n v="3.7853440000000004E-3"/>
    <n v="215.76460800000001"/>
    <s v="TA"/>
    <x v="8"/>
    <x v="10"/>
    <s v="Q3"/>
    <n v="255"/>
    <n v="223.52941176470588"/>
    <s v="TALENTI"/>
    <n v="0.94"/>
    <n v="53580"/>
    <n v="202.81873152"/>
    <n v="210.11764705882351"/>
  </r>
  <r>
    <n v="68922106"/>
    <x v="16"/>
    <n v="40000"/>
    <d v="2023-08-15T00:00:00"/>
    <x v="104"/>
    <x v="22"/>
    <n v="3.552E-3"/>
    <n v="142.08000000000001"/>
    <s v="TA"/>
    <x v="8"/>
    <x v="10"/>
    <s v="Q3"/>
    <n v="255"/>
    <n v="156.86274509803923"/>
    <s v="TALENTI"/>
    <n v="0.94"/>
    <n v="37600"/>
    <n v="133.55520000000001"/>
    <n v="147.45098039215688"/>
  </r>
  <r>
    <n v="69554197"/>
    <x v="16"/>
    <n v="22800"/>
    <d v="2023-08-15T00:00:00"/>
    <x v="15"/>
    <x v="15"/>
    <n v="3.7839999999999996E-3"/>
    <n v="86.275199999999984"/>
    <s v="BR"/>
    <x v="8"/>
    <x v="7"/>
    <s v="Q3"/>
    <n v="240"/>
    <n v="95"/>
    <s v="PTS"/>
    <n v="0.95"/>
    <n v="21660"/>
    <n v="81.961439999999982"/>
    <n v="90.25"/>
  </r>
  <r>
    <n v="69554202"/>
    <x v="16"/>
    <n v="9500"/>
    <d v="2023-08-15T00:00:00"/>
    <x v="47"/>
    <x v="15"/>
    <n v="3.5999999999999999E-3"/>
    <n v="34.199999999999996"/>
    <s v="BJ"/>
    <x v="8"/>
    <x v="19"/>
    <s v="Q3"/>
    <n v="240"/>
    <n v="39.583333333333336"/>
    <s v="TOPPED"/>
    <n v="0.91"/>
    <n v="8645"/>
    <n v="31.121999999999996"/>
    <n v="36.020833333333336"/>
  </r>
  <r>
    <n v="69554208"/>
    <x v="16"/>
    <n v="9500"/>
    <d v="2023-08-15T00:00:00"/>
    <x v="228"/>
    <x v="15"/>
    <n v="3.5999999999999999E-3"/>
    <n v="34.199999999999996"/>
    <s v="BJ"/>
    <x v="8"/>
    <x v="19"/>
    <s v="Q3"/>
    <n v="240"/>
    <n v="39.583333333333336"/>
    <s v="TOPPED"/>
    <n v="0.91"/>
    <n v="8645"/>
    <n v="31.121999999999996"/>
    <n v="36.020833333333336"/>
  </r>
  <r>
    <n v="69568962"/>
    <x v="16"/>
    <n v="0"/>
    <d v="2023-08-15T00:00:00"/>
    <x v="121"/>
    <x v="32"/>
    <n v="8.5199999999999998E-3"/>
    <n v="0"/>
    <s v="BR"/>
    <x v="8"/>
    <x v="2"/>
    <s v="Q3"/>
    <n v="176"/>
    <n v="0"/>
    <s v="48oz"/>
    <n v="0.95"/>
    <n v="0"/>
    <n v="0"/>
    <n v="0"/>
  </r>
  <r>
    <n v="69629468"/>
    <x v="16"/>
    <n v="32400"/>
    <d v="2023-08-15T00:00:00"/>
    <x v="30"/>
    <x v="30"/>
    <n v="5.2680000000000001E-3"/>
    <n v="170.6832"/>
    <s v="PS"/>
    <x v="8"/>
    <x v="14"/>
    <s v="Q3"/>
    <n v="130"/>
    <n v="249.23076923076923"/>
    <s v="PG"/>
    <n v="0.9"/>
    <n v="29160"/>
    <n v="153.61488"/>
    <n v="224.30769230769232"/>
  </r>
  <r>
    <n v="69691774"/>
    <x v="16"/>
    <n v="25000"/>
    <d v="2023-08-15T00:00:00"/>
    <x v="185"/>
    <x v="22"/>
    <n v="3.7839999999999996E-3"/>
    <n v="94.6"/>
    <s v="TA"/>
    <x v="8"/>
    <x v="10"/>
    <s v="Q3"/>
    <n v="255"/>
    <n v="98.039215686274517"/>
    <s v="TALENTI"/>
    <n v="0.94"/>
    <n v="23500"/>
    <n v="88.923999999999992"/>
    <n v="92.156862745098039"/>
  </r>
  <r>
    <n v="69691790"/>
    <x v="16"/>
    <n v="27000"/>
    <d v="2023-08-15T00:00:00"/>
    <x v="212"/>
    <x v="22"/>
    <n v="3.7839999999999996E-3"/>
    <n v="102.16799999999999"/>
    <s v="TA"/>
    <x v="8"/>
    <x v="10"/>
    <s v="Q3"/>
    <n v="255"/>
    <n v="105.88235294117646"/>
    <s v="TALENTI"/>
    <n v="0.94"/>
    <n v="25380"/>
    <n v="96.037919999999986"/>
    <n v="99.52941176470587"/>
  </r>
  <r>
    <n v="69691809"/>
    <x v="16"/>
    <n v="25650"/>
    <d v="2023-08-15T00:00:00"/>
    <x v="283"/>
    <x v="21"/>
    <n v="3.7839999999999996E-3"/>
    <n v="97.059599999999989"/>
    <s v="TA"/>
    <x v="8"/>
    <x v="10"/>
    <s v="Q3"/>
    <n v="255"/>
    <n v="100.58823529411765"/>
    <s v="TALENTI"/>
    <n v="0.94"/>
    <n v="24111"/>
    <n v="91.236023999999986"/>
    <n v="94.552941176470583"/>
  </r>
  <r>
    <n v="69691903"/>
    <x v="16"/>
    <n v="57000"/>
    <d v="2023-08-15T00:00:00"/>
    <x v="172"/>
    <x v="21"/>
    <n v="3.7839999999999996E-3"/>
    <n v="215.68799999999999"/>
    <s v="TA"/>
    <x v="8"/>
    <x v="10"/>
    <s v="Q3"/>
    <n v="255"/>
    <n v="223.52941176470588"/>
    <s v="TALENTI"/>
    <n v="0.94"/>
    <n v="53580"/>
    <n v="202.74671999999998"/>
    <n v="210.11764705882351"/>
  </r>
  <r>
    <n v="84135770"/>
    <x v="16"/>
    <n v="22800"/>
    <d v="2023-08-15T00:00:00"/>
    <x v="277"/>
    <x v="15"/>
    <n v="3.7853439999999999E-3"/>
    <n v="86.305843199999998"/>
    <s v="BJ"/>
    <x v="8"/>
    <x v="30"/>
    <s v="Q3"/>
    <n v="240"/>
    <n v="95"/>
    <s v="BJ PTS"/>
    <n v="0.9"/>
    <n v="20520"/>
    <n v="77.675258880000001"/>
    <n v="85.5"/>
  </r>
  <r>
    <n v="67466492"/>
    <x v="15"/>
    <n v="20250"/>
    <d v="2023-08-18T00:00:00"/>
    <x v="8"/>
    <x v="7"/>
    <n v="5.2680000000000001E-3"/>
    <n v="106.67700000000001"/>
    <s v="PS"/>
    <x v="8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8-20T00:00:00"/>
    <x v="8"/>
    <x v="8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7466492"/>
    <x v="15"/>
    <n v="23400"/>
    <d v="2023-08-20T00:00:00"/>
    <x v="8"/>
    <x v="6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8741714"/>
    <x v="15"/>
    <n v="41400"/>
    <d v="2023-08-20T00:00:00"/>
    <x v="24"/>
    <x v="24"/>
    <n v="2.8319999999999999E-3"/>
    <n v="117.2448"/>
    <s v="GH"/>
    <x v="8"/>
    <x v="4"/>
    <s v="Q3"/>
    <n v="225"/>
    <n v="184"/>
    <s v="MBG"/>
    <n v="0.87"/>
    <n v="36018"/>
    <n v="102.002976"/>
    <n v="160.08000000000001"/>
  </r>
  <r>
    <n v="67465063"/>
    <x v="15"/>
    <n v="15413"/>
    <d v="2023-08-21T00:00:00"/>
    <x v="3"/>
    <x v="40"/>
    <n v="5.2680000000000001E-3"/>
    <n v="81.195684"/>
    <s v="PS"/>
    <x v="8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8-21T00:00:00"/>
    <x v="7"/>
    <x v="3"/>
    <n v="1.596E-3"/>
    <n v="21.545999999999999"/>
    <s v="PS"/>
    <x v="8"/>
    <x v="3"/>
    <s v="Q3"/>
    <n v="130"/>
    <n v="103.84615384615384"/>
    <s v="PG"/>
    <n v="0.9"/>
    <n v="12150"/>
    <n v="19.391400000000001"/>
    <n v="93.461538461538453"/>
  </r>
  <r>
    <n v="67885724"/>
    <x v="15"/>
    <n v="22800"/>
    <d v="2023-08-21T00:00:00"/>
    <x v="49"/>
    <x v="12"/>
    <n v="8.5199999999999998E-3"/>
    <n v="194.256"/>
    <s v="BR"/>
    <x v="8"/>
    <x v="6"/>
    <s v="Q3"/>
    <n v="154"/>
    <n v="148.05194805194805"/>
    <s v="48oz"/>
    <n v="0.95"/>
    <n v="21660"/>
    <n v="184.54319999999998"/>
    <n v="140.64935064935062"/>
  </r>
  <r>
    <n v="68188183"/>
    <x v="15"/>
    <n v="13500"/>
    <d v="2023-08-21T00:00:00"/>
    <x v="70"/>
    <x v="9"/>
    <n v="3.8340000000000002E-3"/>
    <n v="51.759"/>
    <s v="PS"/>
    <x v="8"/>
    <x v="3"/>
    <s v="Q3"/>
    <n v="130"/>
    <n v="103.84615384615384"/>
    <s v="PG"/>
    <n v="0.9"/>
    <n v="12150"/>
    <n v="46.583100000000002"/>
    <n v="93.461538461538453"/>
  </r>
  <r>
    <n v="68769685"/>
    <x v="15"/>
    <n v="48000"/>
    <d v="2023-08-21T00:00:00"/>
    <x v="259"/>
    <x v="23"/>
    <n v="8.5199999999999998E-3"/>
    <n v="408.96"/>
    <s v="BR"/>
    <x v="8"/>
    <x v="6"/>
    <s v="Q3"/>
    <n v="176"/>
    <n v="272.72727272727275"/>
    <s v="48oz"/>
    <n v="0.95"/>
    <n v="45600"/>
    <n v="388.51199999999994"/>
    <n v="259.09090909090912"/>
  </r>
  <r>
    <n v="68850683"/>
    <x v="15"/>
    <n v="22800"/>
    <d v="2023-08-21T00:00:00"/>
    <x v="335"/>
    <x v="12"/>
    <n v="8.5199999999999998E-3"/>
    <n v="194.256"/>
    <s v="BR"/>
    <x v="8"/>
    <x v="6"/>
    <s v="Q3"/>
    <n v="176"/>
    <n v="129.54545454545453"/>
    <s v="48oz"/>
    <n v="0.95"/>
    <n v="21660"/>
    <n v="184.54319999999998"/>
    <n v="123.0681818181818"/>
  </r>
  <r>
    <n v="68850683"/>
    <x v="15"/>
    <n v="25200"/>
    <d v="2023-08-21T00:00:00"/>
    <x v="335"/>
    <x v="11"/>
    <n v="8.5199999999999998E-3"/>
    <n v="214.70400000000001"/>
    <s v="BR"/>
    <x v="8"/>
    <x v="6"/>
    <s v="Q3"/>
    <n v="176"/>
    <n v="143.18181818181819"/>
    <s v="48oz"/>
    <n v="0.95"/>
    <n v="23940"/>
    <n v="203.96879999999999"/>
    <n v="136.02272727272728"/>
  </r>
  <r>
    <n v="68850684"/>
    <x v="15"/>
    <n v="25200"/>
    <d v="2023-08-21T00:00:00"/>
    <x v="354"/>
    <x v="11"/>
    <n v="8.5199999999999998E-3"/>
    <n v="214.70400000000001"/>
    <s v="BR"/>
    <x v="8"/>
    <x v="6"/>
    <s v="Q3"/>
    <n v="176"/>
    <n v="143.18181818181819"/>
    <s v="48oz"/>
    <n v="0.95"/>
    <n v="23940"/>
    <n v="203.96879999999999"/>
    <n v="136.02272727272728"/>
  </r>
  <r>
    <n v="68881265"/>
    <x v="15"/>
    <n v="23000"/>
    <d v="2023-08-21T00:00:00"/>
    <x v="211"/>
    <x v="16"/>
    <n v="8.5199999999999998E-3"/>
    <n v="195.96"/>
    <s v="BR"/>
    <x v="8"/>
    <x v="6"/>
    <s v="Q3"/>
    <n v="154"/>
    <n v="149.35064935064935"/>
    <s v="48oz"/>
    <n v="0.95"/>
    <n v="21850"/>
    <n v="186.16200000000001"/>
    <n v="141.88311688311688"/>
  </r>
  <r>
    <n v="68881270"/>
    <x v="15"/>
    <n v="11900"/>
    <d v="2023-08-21T00:00:00"/>
    <x v="91"/>
    <x v="16"/>
    <n v="8.5199999999999998E-3"/>
    <n v="101.38799999999999"/>
    <s v="BR"/>
    <x v="8"/>
    <x v="6"/>
    <s v="Q3"/>
    <n v="176"/>
    <n v="67.61363636363636"/>
    <s v="48oz"/>
    <n v="0.95"/>
    <n v="11305"/>
    <n v="96.318599999999989"/>
    <n v="64.232954545454533"/>
  </r>
  <r>
    <n v="68930545"/>
    <x v="15"/>
    <n v="22800"/>
    <d v="2023-08-21T00:00:00"/>
    <x v="93"/>
    <x v="12"/>
    <n v="8.5199999999999998E-3"/>
    <n v="194.256"/>
    <s v="BR"/>
    <x v="8"/>
    <x v="6"/>
    <s v="Q3"/>
    <n v="176"/>
    <n v="129.54545454545453"/>
    <s v="48oz"/>
    <n v="0.95"/>
    <n v="21660"/>
    <n v="184.54319999999998"/>
    <n v="123.0681818181818"/>
  </r>
  <r>
    <n v="69551489"/>
    <x v="15"/>
    <n v="30000"/>
    <d v="2023-08-21T00:00:00"/>
    <x v="338"/>
    <x v="4"/>
    <n v="3.8989043190215313E-3"/>
    <n v="116.96712957064594"/>
    <s v="GH"/>
    <x v="8"/>
    <x v="4"/>
    <s v="Q3"/>
    <n v="154"/>
    <n v="194.80519480519482"/>
    <s v="MBG"/>
    <n v="0.87"/>
    <n v="26100"/>
    <n v="101.76140272646197"/>
    <n v="169.48051948051949"/>
  </r>
  <r>
    <n v="69568829"/>
    <x v="15"/>
    <n v="25200"/>
    <d v="2023-08-21T00:00:00"/>
    <x v="66"/>
    <x v="11"/>
    <n v="8.5199999999999998E-3"/>
    <n v="214.70400000000001"/>
    <s v="BR"/>
    <x v="8"/>
    <x v="6"/>
    <s v="Q3"/>
    <n v="176"/>
    <n v="143.18181818181819"/>
    <s v="48oz"/>
    <n v="0.95"/>
    <n v="23940"/>
    <n v="203.96879999999999"/>
    <n v="136.02272727272728"/>
  </r>
  <r>
    <n v="69629468"/>
    <x v="15"/>
    <n v="24000"/>
    <d v="2023-08-21T00:00:00"/>
    <x v="30"/>
    <x v="29"/>
    <n v="5.2680000000000001E-3"/>
    <n v="126.432"/>
    <s v="PS"/>
    <x v="8"/>
    <x v="3"/>
    <s v="Q3"/>
    <n v="130"/>
    <n v="184.61538461538461"/>
    <s v="PG"/>
    <n v="0.9"/>
    <n v="21600"/>
    <n v="113.78880000000001"/>
    <n v="166.15384615384616"/>
  </r>
  <r>
    <n v="67885723"/>
    <x v="16"/>
    <n v="3300"/>
    <d v="2023-08-21T00:00:00"/>
    <x v="304"/>
    <x v="13"/>
    <n v="8.5199999999999998E-3"/>
    <n v="28.116"/>
    <s v="BR"/>
    <x v="8"/>
    <x v="2"/>
    <s v="Q3"/>
    <n v="154"/>
    <n v="21.428571428571427"/>
    <s v="48oz"/>
    <n v="0.95"/>
    <n v="3135"/>
    <n v="26.710199999999997"/>
    <n v="20.357142857142854"/>
  </r>
  <r>
    <n v="67901592"/>
    <x v="16"/>
    <n v="5700"/>
    <d v="2023-08-21T00:00:00"/>
    <x v="240"/>
    <x v="32"/>
    <n v="8.5199999999999998E-3"/>
    <n v="48.564"/>
    <s v="BR"/>
    <x v="8"/>
    <x v="2"/>
    <s v="Q3"/>
    <n v="154"/>
    <n v="37.012987012987011"/>
    <s v="48oz"/>
    <n v="0.95"/>
    <n v="5415"/>
    <n v="46.135799999999996"/>
    <n v="35.162337662337656"/>
  </r>
  <r>
    <n v="68821733"/>
    <x v="16"/>
    <n v="26400"/>
    <d v="2023-08-21T00:00:00"/>
    <x v="13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8850683"/>
    <x v="16"/>
    <n v="26400"/>
    <d v="2023-08-21T00:00:00"/>
    <x v="335"/>
    <x v="2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8881270"/>
    <x v="16"/>
    <n v="26400"/>
    <d v="2023-08-21T00:00:00"/>
    <x v="91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68829"/>
    <x v="16"/>
    <n v="26400"/>
    <d v="2023-08-21T00:00:00"/>
    <x v="66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71484"/>
    <x v="16"/>
    <n v="99200"/>
    <d v="2023-08-21T00:00:00"/>
    <x v="230"/>
    <x v="5"/>
    <n v="1.2960000000000001E-2"/>
    <n v="1285.6320000000001"/>
    <s v="MG"/>
    <x v="8"/>
    <x v="5"/>
    <s v="Q3"/>
    <n v="493"/>
    <n v="201.21703853955376"/>
    <s v="MG Sticks"/>
    <n v="0.93"/>
    <n v="92256"/>
    <n v="1195.6377600000001"/>
    <n v="187.13184584178501"/>
  </r>
  <r>
    <n v="69555090"/>
    <x v="16"/>
    <n v="40000"/>
    <d v="2023-08-21T00:00:00"/>
    <x v="254"/>
    <x v="14"/>
    <n v="1.98E-3"/>
    <n v="79.2"/>
    <s v="TA"/>
    <x v="8"/>
    <x v="42"/>
    <s v="Q3"/>
    <n v="176"/>
    <n v="227.27272727272728"/>
    <s v="TAL NV"/>
    <n v="0.97"/>
    <n v="38800"/>
    <n v="76.823999999999998"/>
    <n v="220.45454545454547"/>
  </r>
  <r>
    <n v="69706138"/>
    <x v="16"/>
    <n v="33150"/>
    <d v="2023-08-21T00:00:00"/>
    <x v="289"/>
    <x v="31"/>
    <n v="3.8999999999999998E-3"/>
    <n v="129.285"/>
    <s v="TA"/>
    <x v="8"/>
    <x v="42"/>
    <s v="Q3"/>
    <n v="176"/>
    <n v="188.35227272727272"/>
    <s v="TAL NV"/>
    <n v="0.97"/>
    <n v="32155.5"/>
    <n v="125.40644999999999"/>
    <n v="182.70170454545453"/>
  </r>
  <r>
    <n v="69778792"/>
    <x v="16"/>
    <n v="35100"/>
    <d v="2023-08-21T00:00:00"/>
    <x v="376"/>
    <x v="28"/>
    <n v="5.2680000000000001E-3"/>
    <n v="184.9068"/>
    <s v="PS"/>
    <x v="8"/>
    <x v="14"/>
    <s v="Q3"/>
    <n v="130"/>
    <n v="270"/>
    <s v="PG"/>
    <n v="0.9"/>
    <n v="31590"/>
    <n v="166.41612000000001"/>
    <n v="243"/>
  </r>
  <r>
    <n v="84141103"/>
    <x v="18"/>
    <n v="211200"/>
    <d v="2023-08-21T00:00:00"/>
    <x v="294"/>
    <x v="38"/>
    <n v="3.7853439999999999E-3"/>
    <n v="799.46465279999995"/>
    <s v="BJ"/>
    <x v="8"/>
    <x v="36"/>
    <s v="Q3"/>
    <n v="240"/>
    <n v="880"/>
    <s v="BJ PTS"/>
    <n v="0.9"/>
    <n v="190080"/>
    <n v="719.51818751999997"/>
    <n v="792"/>
  </r>
  <r>
    <n v="67278448"/>
    <x v="17"/>
    <n v="102400"/>
    <d v="2023-08-21T00:00:00"/>
    <x v="182"/>
    <x v="33"/>
    <n v="3.7839999999999996E-3"/>
    <n v="387.48159999999996"/>
    <s v="BJ"/>
    <x v="8"/>
    <x v="15"/>
    <s v="Q3"/>
    <n v="240"/>
    <n v="426.66666666666669"/>
    <s v="BJ PTS"/>
    <n v="0.9"/>
    <n v="92160"/>
    <n v="348.73343999999997"/>
    <n v="384"/>
  </r>
  <r>
    <n v="67491117"/>
    <x v="17"/>
    <n v="27840"/>
    <d v="2023-08-21T00:00:00"/>
    <x v="210"/>
    <x v="35"/>
    <n v="3.7853439999999999E-3"/>
    <n v="105.38397696"/>
    <s v="BJ"/>
    <x v="8"/>
    <x v="15"/>
    <s v="Q3"/>
    <n v="240"/>
    <n v="116"/>
    <s v="BJ PTS"/>
    <n v="0.9"/>
    <n v="25056"/>
    <n v="94.845579263999994"/>
    <n v="104.4"/>
  </r>
  <r>
    <n v="67526826"/>
    <x v="17"/>
    <n v="47560"/>
    <d v="2023-08-21T00:00:00"/>
    <x v="187"/>
    <x v="33"/>
    <n v="3.7839999999999996E-3"/>
    <n v="179.96703999999997"/>
    <s v="BJ"/>
    <x v="8"/>
    <x v="15"/>
    <s v="Q3"/>
    <n v="240"/>
    <n v="198.16666666666666"/>
    <s v="BJ PTS"/>
    <n v="0.9"/>
    <n v="42804"/>
    <n v="161.97033599999997"/>
    <n v="178.35"/>
  </r>
  <r>
    <n v="67546042"/>
    <x v="17"/>
    <n v="34800"/>
    <d v="2023-08-21T00:00:00"/>
    <x v="108"/>
    <x v="35"/>
    <n v="3.7853439999999999E-3"/>
    <n v="131.72997119999999"/>
    <s v="BJ"/>
    <x v="8"/>
    <x v="15"/>
    <s v="Q3"/>
    <n v="240"/>
    <n v="145"/>
    <s v="BJ PTS"/>
    <n v="0.9"/>
    <n v="31320"/>
    <n v="118.55697408"/>
    <n v="130.5"/>
  </r>
  <r>
    <n v="68732323"/>
    <x v="17"/>
    <n v="42720"/>
    <d v="2023-08-21T00:00:00"/>
    <x v="382"/>
    <x v="35"/>
    <n v="3.6640000000000002E-3"/>
    <n v="156.52608000000001"/>
    <s v="BJ"/>
    <x v="8"/>
    <x v="24"/>
    <s v="Q3"/>
    <n v="240"/>
    <n v="178"/>
    <s v="PTS Exports"/>
    <n v="0.9"/>
    <n v="38448"/>
    <n v="140.87347200000002"/>
    <n v="160.20000000000002"/>
  </r>
  <r>
    <n v="84136394"/>
    <x v="17"/>
    <n v="16240"/>
    <d v="2023-08-21T00:00:00"/>
    <x v="222"/>
    <x v="38"/>
    <n v="3.7839999999999996E-3"/>
    <n v="61.452159999999992"/>
    <s v="BJ"/>
    <x v="8"/>
    <x v="15"/>
    <s v="Q3"/>
    <n v="240"/>
    <n v="67.666666666666671"/>
    <s v="BJ PTS"/>
    <n v="0.9"/>
    <n v="14616"/>
    <n v="55.306943999999994"/>
    <n v="60.900000000000006"/>
  </r>
  <r>
    <n v="84138392"/>
    <x v="17"/>
    <n v="13920"/>
    <d v="2023-08-21T00:00:00"/>
    <x v="383"/>
    <x v="34"/>
    <n v="3.7839999999999996E-3"/>
    <n v="52.673279999999991"/>
    <s v="BJ"/>
    <x v="8"/>
    <x v="15"/>
    <s v="Q3"/>
    <n v="240"/>
    <n v="58"/>
    <s v="BJ PTS"/>
    <n v="0.9"/>
    <n v="12528"/>
    <n v="47.405951999999992"/>
    <n v="52.2"/>
  </r>
  <r>
    <n v="84139972"/>
    <x v="17"/>
    <n v="6240"/>
    <d v="2023-08-21T00:00:00"/>
    <x v="330"/>
    <x v="35"/>
    <n v="9.0848256361922702E-3"/>
    <n v="56.689311969839764"/>
    <s v="BJ"/>
    <x v="8"/>
    <x v="39"/>
    <s v="Q3"/>
    <n v="125"/>
    <n v="49.92"/>
    <s v="2.4 Gal"/>
    <n v="0.85"/>
    <n v="5304"/>
    <n v="48.185915174363799"/>
    <n v="42.432000000000002"/>
  </r>
  <r>
    <n v="84141101"/>
    <x v="17"/>
    <n v="102400"/>
    <d v="2023-08-21T00:00:00"/>
    <x v="86"/>
    <x v="33"/>
    <n v="3.7853439999999999E-3"/>
    <n v="387.61922559999999"/>
    <s v="BJ"/>
    <x v="8"/>
    <x v="15"/>
    <s v="Q3"/>
    <n v="240"/>
    <n v="426.66666666666669"/>
    <s v="BJ PTS"/>
    <n v="0.9"/>
    <n v="92160"/>
    <n v="348.85730303999998"/>
    <n v="384"/>
  </r>
  <r>
    <n v="84143851"/>
    <x v="17"/>
    <n v="27840"/>
    <d v="2023-08-21T00:00:00"/>
    <x v="374"/>
    <x v="35"/>
    <n v="3.7853439999999999E-3"/>
    <n v="105.38397696"/>
    <s v="BJ"/>
    <x v="8"/>
    <x v="15"/>
    <s v="Q3"/>
    <n v="240"/>
    <n v="116"/>
    <s v="BJ PTS"/>
    <n v="0.9"/>
    <n v="25056"/>
    <n v="94.845579263999994"/>
    <n v="104.4"/>
  </r>
  <r>
    <n v="67309841"/>
    <x v="16"/>
    <n v="0"/>
    <d v="2023-08-22T00:00:00"/>
    <x v="32"/>
    <x v="32"/>
    <n v="8.5199999999999998E-3"/>
    <n v="0"/>
    <s v="BR"/>
    <x v="8"/>
    <x v="2"/>
    <s v="Q3"/>
    <n v="154"/>
    <n v="0"/>
    <s v="48oz"/>
    <n v="0.95"/>
    <n v="0"/>
    <n v="0"/>
    <n v="0"/>
  </r>
  <r>
    <n v="67885719"/>
    <x v="16"/>
    <n v="45600"/>
    <d v="2023-08-22T00:00:00"/>
    <x v="11"/>
    <x v="32"/>
    <n v="8.5199999999999998E-3"/>
    <n v="388.512"/>
    <s v="BR"/>
    <x v="8"/>
    <x v="2"/>
    <s v="Q3"/>
    <n v="154"/>
    <n v="296.10389610389609"/>
    <s v="48oz"/>
    <n v="0.95"/>
    <n v="43320"/>
    <n v="369.08639999999997"/>
    <n v="281.29870129870125"/>
  </r>
  <r>
    <n v="67885721"/>
    <x v="16"/>
    <n v="0"/>
    <d v="2023-08-22T00:00:00"/>
    <x v="40"/>
    <x v="32"/>
    <n v="8.5199999999999998E-3"/>
    <n v="0"/>
    <s v="BR"/>
    <x v="8"/>
    <x v="2"/>
    <s v="Q3"/>
    <n v="154"/>
    <n v="0"/>
    <s v="48oz"/>
    <n v="0.95"/>
    <n v="0"/>
    <n v="0"/>
    <n v="0"/>
  </r>
  <r>
    <n v="67908208"/>
    <x v="16"/>
    <n v="32400"/>
    <d v="2023-08-22T00:00:00"/>
    <x v="225"/>
    <x v="25"/>
    <n v="3.9039999999999999E-3"/>
    <n v="126.4896"/>
    <s v="GH"/>
    <x v="8"/>
    <x v="11"/>
    <s v="Q3"/>
    <n v="154"/>
    <n v="210.3896103896104"/>
    <s v="MBG"/>
    <n v="0.87"/>
    <n v="28188"/>
    <n v="110.045952"/>
    <n v="183.03896103896105"/>
  </r>
  <r>
    <n v="68527303"/>
    <x v="16"/>
    <n v="45600"/>
    <d v="2023-08-22T00:00:00"/>
    <x v="156"/>
    <x v="15"/>
    <n v="3.7839999999999996E-3"/>
    <n v="172.55039999999997"/>
    <s v="BR"/>
    <x v="8"/>
    <x v="7"/>
    <s v="Q3"/>
    <n v="240"/>
    <n v="190"/>
    <s v="PTS"/>
    <n v="0.95"/>
    <n v="43320"/>
    <n v="163.92287999999996"/>
    <n v="180.5"/>
  </r>
  <r>
    <n v="68626039"/>
    <x v="16"/>
    <n v="57000"/>
    <d v="2023-08-22T00:00:00"/>
    <x v="158"/>
    <x v="15"/>
    <n v="3.7839999999999996E-3"/>
    <n v="215.68799999999999"/>
    <s v="BR"/>
    <x v="8"/>
    <x v="7"/>
    <s v="Q3"/>
    <n v="240"/>
    <n v="237.5"/>
    <s v="Pts"/>
    <n v="0.95"/>
    <n v="54150"/>
    <n v="204.90359999999998"/>
    <n v="225.625"/>
  </r>
  <r>
    <n v="68726716"/>
    <x v="16"/>
    <n v="27000"/>
    <d v="2023-08-22T00:00:00"/>
    <x v="384"/>
    <x v="22"/>
    <n v="3.7853440000000004E-3"/>
    <n v="102.20428800000001"/>
    <s v="TA"/>
    <x v="8"/>
    <x v="10"/>
    <s v="Q3"/>
    <n v="255"/>
    <n v="105.88235294117646"/>
    <s v="TALENTI"/>
    <n v="0.94"/>
    <n v="25380"/>
    <n v="96.072030720000001"/>
    <n v="99.52941176470587"/>
  </r>
  <r>
    <n v="68862392"/>
    <x v="16"/>
    <n v="45591"/>
    <d v="2023-08-22T00:00:00"/>
    <x v="106"/>
    <x v="21"/>
    <n v="3.7839999999999996E-3"/>
    <n v="172.51634399999998"/>
    <s v="TA"/>
    <x v="8"/>
    <x v="10"/>
    <s v="Q3"/>
    <n v="255"/>
    <n v="178.78823529411764"/>
    <s v="TALENTI"/>
    <n v="0.94"/>
    <n v="42855.54"/>
    <n v="162.16536335999996"/>
    <n v="168.06094117647058"/>
  </r>
  <r>
    <n v="68862392"/>
    <x v="16"/>
    <n v="52570"/>
    <d v="2023-08-22T00:00:00"/>
    <x v="106"/>
    <x v="22"/>
    <n v="3.7839999999999996E-3"/>
    <n v="198.92487999999997"/>
    <s v="TA"/>
    <x v="8"/>
    <x v="10"/>
    <s v="Q3"/>
    <n v="255"/>
    <n v="206.15686274509804"/>
    <s v="TALENTI"/>
    <n v="0.94"/>
    <n v="49415.799999999996"/>
    <n v="186.98938719999995"/>
    <n v="193.78745098039215"/>
  </r>
  <r>
    <n v="68881270"/>
    <x v="16"/>
    <n v="26400"/>
    <d v="2023-08-22T00:00:00"/>
    <x v="91"/>
    <x v="2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8890247"/>
    <x v="16"/>
    <n v="26400"/>
    <d v="2023-08-22T00:00:00"/>
    <x v="243"/>
    <x v="2"/>
    <n v="8.5170239596469088E-6"/>
    <n v="0.2248494325346784"/>
    <s v="BR"/>
    <x v="8"/>
    <x v="2"/>
    <s v="Q3"/>
    <n v="176"/>
    <n v="150"/>
    <s v="48oz"/>
    <n v="0.95"/>
    <n v="25080"/>
    <n v="0.21360696090794448"/>
    <n v="142.5"/>
  </r>
  <r>
    <n v="68922108"/>
    <x v="16"/>
    <n v="91200"/>
    <d v="2023-08-22T00:00:00"/>
    <x v="184"/>
    <x v="21"/>
    <n v="3.7839999999999996E-3"/>
    <n v="345.10079999999994"/>
    <s v="TA"/>
    <x v="8"/>
    <x v="10"/>
    <s v="Q3"/>
    <n v="255"/>
    <n v="357.64705882352939"/>
    <s v="TALENTI"/>
    <n v="0.94"/>
    <n v="85728"/>
    <n v="324.39475199999993"/>
    <n v="336.18823529411759"/>
  </r>
  <r>
    <n v="69549035"/>
    <x v="16"/>
    <n v="34200"/>
    <d v="2023-08-22T00:00:00"/>
    <x v="320"/>
    <x v="21"/>
    <n v="3.7839999999999996E-3"/>
    <n v="129.41279999999998"/>
    <s v="TA"/>
    <x v="8"/>
    <x v="10"/>
    <s v="Q3"/>
    <n v="255"/>
    <n v="134.11764705882354"/>
    <s v="TALENTI"/>
    <n v="0.94"/>
    <n v="32147.999999999996"/>
    <n v="121.64803199999997"/>
    <n v="126.07058823529411"/>
  </r>
  <r>
    <n v="69629468"/>
    <x v="16"/>
    <n v="32400"/>
    <d v="2023-08-22T00:00:00"/>
    <x v="30"/>
    <x v="30"/>
    <n v="5.2680000000000001E-3"/>
    <n v="170.6832"/>
    <s v="PS"/>
    <x v="8"/>
    <x v="14"/>
    <s v="Q3"/>
    <n v="130"/>
    <n v="249.23076923076923"/>
    <s v="PG"/>
    <n v="0.9"/>
    <n v="29160"/>
    <n v="153.61488"/>
    <n v="224.30769230769232"/>
  </r>
  <r>
    <n v="84135770"/>
    <x v="16"/>
    <n v="22800"/>
    <d v="2023-08-22T00:00:00"/>
    <x v="277"/>
    <x v="15"/>
    <n v="3.7853439999999999E-3"/>
    <n v="86.305843199999998"/>
    <s v="BJ"/>
    <x v="8"/>
    <x v="30"/>
    <s v="Q3"/>
    <n v="240"/>
    <n v="95"/>
    <s v="BJ PTS"/>
    <n v="0.9"/>
    <n v="20520"/>
    <n v="77.675258880000001"/>
    <n v="85.5"/>
  </r>
  <r>
    <n v="67466492"/>
    <x v="15"/>
    <n v="20250"/>
    <d v="2023-08-25T00:00:00"/>
    <x v="8"/>
    <x v="7"/>
    <n v="5.2680000000000001E-3"/>
    <n v="106.67700000000001"/>
    <s v="PS"/>
    <x v="8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8-27T00:00:00"/>
    <x v="8"/>
    <x v="8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7466492"/>
    <x v="15"/>
    <n v="23400"/>
    <d v="2023-08-27T00:00:00"/>
    <x v="8"/>
    <x v="6"/>
    <n v="5.2680000000000001E-3"/>
    <n v="123.27120000000001"/>
    <s v="PS"/>
    <x v="8"/>
    <x v="3"/>
    <s v="Q3"/>
    <n v="130"/>
    <n v="180"/>
    <s v="PG"/>
    <n v="0.9"/>
    <n v="21060"/>
    <n v="110.94408000000001"/>
    <n v="162"/>
  </r>
  <r>
    <n v="68726871"/>
    <x v="15"/>
    <n v="36000"/>
    <d v="2023-08-27T00:00:00"/>
    <x v="328"/>
    <x v="24"/>
    <n v="2.8319999999999999E-3"/>
    <n v="101.952"/>
    <s v="GH"/>
    <x v="8"/>
    <x v="4"/>
    <s v="Q3"/>
    <n v="225"/>
    <n v="160"/>
    <s v="MBG"/>
    <n v="0.87"/>
    <n v="31320"/>
    <n v="88.698239999999998"/>
    <n v="139.19999999999999"/>
  </r>
  <r>
    <n v="67309864"/>
    <x v="15"/>
    <n v="25200"/>
    <d v="2023-08-28T00:00:00"/>
    <x v="63"/>
    <x v="11"/>
    <n v="8.5199999999999998E-3"/>
    <n v="214.70400000000001"/>
    <s v="BR"/>
    <x v="8"/>
    <x v="6"/>
    <s v="Q3"/>
    <n v="154"/>
    <n v="163.63636363636363"/>
    <s v="48oz"/>
    <n v="0.95"/>
    <n v="23940"/>
    <n v="203.96879999999999"/>
    <n v="155.45454545454544"/>
  </r>
  <r>
    <n v="67465063"/>
    <x v="15"/>
    <n v="15413"/>
    <d v="2023-08-28T00:00:00"/>
    <x v="3"/>
    <x v="40"/>
    <n v="5.2680000000000001E-3"/>
    <n v="81.195684"/>
    <s v="PS"/>
    <x v="8"/>
    <x v="3"/>
    <s v="Q3"/>
    <n v="130"/>
    <n v="118.56153846153846"/>
    <s v="PG"/>
    <n v="0.9"/>
    <n v="13871.7"/>
    <n v="73.076115600000008"/>
    <n v="106.70538461538462"/>
  </r>
  <r>
    <n v="67465064"/>
    <x v="15"/>
    <n v="13500"/>
    <d v="2023-08-28T00:00:00"/>
    <x v="7"/>
    <x v="3"/>
    <n v="1.596E-3"/>
    <n v="21.545999999999999"/>
    <s v="PS"/>
    <x v="8"/>
    <x v="3"/>
    <s v="Q3"/>
    <n v="130"/>
    <n v="103.84615384615384"/>
    <s v="PG"/>
    <n v="0.9"/>
    <n v="12150"/>
    <n v="19.391400000000001"/>
    <n v="93.461538461538453"/>
  </r>
  <r>
    <n v="67885720"/>
    <x v="15"/>
    <n v="2850"/>
    <d v="2023-08-28T00:00:00"/>
    <x v="39"/>
    <x v="12"/>
    <n v="8.5199999999999998E-3"/>
    <n v="24.282"/>
    <s v="BR"/>
    <x v="8"/>
    <x v="6"/>
    <s v="Q3"/>
    <n v="154"/>
    <n v="18.506493506493506"/>
    <s v="48oz"/>
    <n v="0.95"/>
    <n v="2707.5"/>
    <n v="23.067899999999998"/>
    <n v="17.581168831168828"/>
  </r>
  <r>
    <n v="68188183"/>
    <x v="15"/>
    <n v="13500"/>
    <d v="2023-08-28T00:00:00"/>
    <x v="70"/>
    <x v="9"/>
    <n v="3.8340000000000002E-3"/>
    <n v="51.759"/>
    <s v="PS"/>
    <x v="8"/>
    <x v="3"/>
    <s v="Q3"/>
    <n v="130"/>
    <n v="103.84615384615384"/>
    <s v="PG"/>
    <n v="0.9"/>
    <n v="12150"/>
    <n v="46.583100000000002"/>
    <n v="93.461538461538453"/>
  </r>
  <r>
    <n v="68634166"/>
    <x v="15"/>
    <n v="2750"/>
    <d v="2023-08-28T00:00:00"/>
    <x v="319"/>
    <x v="16"/>
    <n v="8.5170239596469108E-3"/>
    <n v="23.421815889029006"/>
    <s v="BR"/>
    <x v="8"/>
    <x v="6"/>
    <s v="Q3"/>
    <n v="154"/>
    <n v="17.857142857142858"/>
    <s v="48oz"/>
    <n v="0.95"/>
    <n v="2612.5"/>
    <n v="22.250725094577554"/>
    <n v="16.964285714285715"/>
  </r>
  <r>
    <n v="68737749"/>
    <x v="15"/>
    <n v="48000"/>
    <d v="2023-08-28T00:00:00"/>
    <x v="23"/>
    <x v="23"/>
    <n v="8.5199999999999998E-3"/>
    <n v="408.96"/>
    <s v="BR"/>
    <x v="8"/>
    <x v="6"/>
    <s v="Q3"/>
    <n v="176"/>
    <n v="272.72727272727275"/>
    <s v="48oz"/>
    <n v="0.95"/>
    <n v="45600"/>
    <n v="388.51199999999994"/>
    <n v="259.09090909090912"/>
  </r>
  <r>
    <n v="68741742"/>
    <x v="15"/>
    <n v="28800"/>
    <d v="2023-08-28T00:00:00"/>
    <x v="25"/>
    <x v="4"/>
    <n v="4.2560000000000002E-3"/>
    <n v="122.5728"/>
    <s v="GH"/>
    <x v="8"/>
    <x v="4"/>
    <s v="Q3"/>
    <n v="154"/>
    <n v="187.01298701298703"/>
    <s v="MBG"/>
    <n v="0.87"/>
    <n v="25056"/>
    <n v="106.638336"/>
    <n v="162.70129870129873"/>
  </r>
  <r>
    <n v="68817801"/>
    <x v="15"/>
    <n v="25200"/>
    <d v="2023-08-28T00:00:00"/>
    <x v="183"/>
    <x v="11"/>
    <n v="8.4600000000000005E-3"/>
    <n v="213.19200000000001"/>
    <s v="BR"/>
    <x v="8"/>
    <x v="6"/>
    <s v="Q3"/>
    <n v="176"/>
    <n v="143.18181818181819"/>
    <s v="48oz"/>
    <n v="0.95"/>
    <n v="23940"/>
    <n v="202.5324"/>
    <n v="136.02272727272728"/>
  </r>
  <r>
    <n v="68817801"/>
    <x v="15"/>
    <n v="22800"/>
    <d v="2023-08-28T00:00:00"/>
    <x v="183"/>
    <x v="12"/>
    <n v="8.4600000000000005E-3"/>
    <n v="192.88800000000001"/>
    <s v="BR"/>
    <x v="8"/>
    <x v="6"/>
    <s v="Q3"/>
    <n v="176"/>
    <n v="129.54545454545453"/>
    <s v="48oz"/>
    <n v="0.95"/>
    <n v="21660"/>
    <n v="183.24359999999999"/>
    <n v="123.0681818181818"/>
  </r>
  <r>
    <n v="68850683"/>
    <x v="15"/>
    <n v="22800"/>
    <d v="2023-08-28T00:00:00"/>
    <x v="335"/>
    <x v="12"/>
    <n v="8.5199999999999998E-3"/>
    <n v="194.256"/>
    <s v="BR"/>
    <x v="8"/>
    <x v="6"/>
    <s v="Q3"/>
    <n v="176"/>
    <n v="129.54545454545453"/>
    <s v="48oz"/>
    <n v="0.95"/>
    <n v="21660"/>
    <n v="184.54319999999998"/>
    <n v="123.0681818181818"/>
  </r>
  <r>
    <n v="68881270"/>
    <x v="15"/>
    <n v="11900"/>
    <d v="2023-08-28T00:00:00"/>
    <x v="91"/>
    <x v="16"/>
    <n v="8.5199999999999998E-3"/>
    <n v="101.38799999999999"/>
    <s v="BR"/>
    <x v="8"/>
    <x v="6"/>
    <s v="Q3"/>
    <n v="176"/>
    <n v="67.61363636363636"/>
    <s v="48oz"/>
    <n v="0.95"/>
    <n v="11305"/>
    <n v="96.318599999999989"/>
    <n v="64.232954545454533"/>
  </r>
  <r>
    <n v="68896054"/>
    <x v="15"/>
    <n v="20400"/>
    <d v="2023-08-28T00:00:00"/>
    <x v="181"/>
    <x v="16"/>
    <n v="8.5199999999999998E-3"/>
    <n v="173.80799999999999"/>
    <s v="BR"/>
    <x v="8"/>
    <x v="6"/>
    <s v="Q3"/>
    <n v="176"/>
    <n v="115.90909090909091"/>
    <s v="48oz"/>
    <n v="0.95"/>
    <n v="19380"/>
    <n v="165.11759999999998"/>
    <n v="110.11363636363636"/>
  </r>
  <r>
    <n v="68899825"/>
    <x v="15"/>
    <n v="25200"/>
    <d v="2023-08-28T00:00:00"/>
    <x v="77"/>
    <x v="16"/>
    <n v="8.5199999999999998E-3"/>
    <n v="214.70400000000001"/>
    <s v="BR"/>
    <x v="8"/>
    <x v="6"/>
    <s v="Q3"/>
    <n v="176"/>
    <n v="143.18181818181819"/>
    <s v="48oz"/>
    <n v="0.95"/>
    <n v="23940"/>
    <n v="203.96879999999999"/>
    <n v="136.02272727272728"/>
  </r>
  <r>
    <n v="69629468"/>
    <x v="15"/>
    <n v="24000"/>
    <d v="2023-08-28T00:00:00"/>
    <x v="30"/>
    <x v="29"/>
    <n v="5.2680000000000001E-3"/>
    <n v="126.432"/>
    <s v="PS"/>
    <x v="8"/>
    <x v="3"/>
    <s v="Q3"/>
    <n v="130"/>
    <n v="184.61538461538461"/>
    <s v="PG"/>
    <n v="0.9"/>
    <n v="21600"/>
    <n v="113.78880000000001"/>
    <n v="166.15384615384616"/>
  </r>
  <r>
    <n v="67885719"/>
    <x v="16"/>
    <n v="26400"/>
    <d v="2023-08-28T00:00:00"/>
    <x v="11"/>
    <x v="2"/>
    <n v="8.5199999999999998E-3"/>
    <n v="224.928"/>
    <s v="BR"/>
    <x v="8"/>
    <x v="2"/>
    <s v="Q3"/>
    <n v="154"/>
    <n v="171.42857142857142"/>
    <s v="48oz"/>
    <n v="0.95"/>
    <n v="25080"/>
    <n v="213.68159999999997"/>
    <n v="162.85714285714283"/>
  </r>
  <r>
    <n v="67901593"/>
    <x v="16"/>
    <n v="45600"/>
    <d v="2023-08-28T00:00:00"/>
    <x v="68"/>
    <x v="32"/>
    <n v="8.5199999999999998E-3"/>
    <n v="388.512"/>
    <s v="BR"/>
    <x v="8"/>
    <x v="2"/>
    <s v="Q3"/>
    <n v="154"/>
    <n v="296.10389610389609"/>
    <s v="48oz"/>
    <n v="0.95"/>
    <n v="43320"/>
    <n v="369.08639999999997"/>
    <n v="281.29870129870125"/>
  </r>
  <r>
    <n v="68817793"/>
    <x v="16"/>
    <n v="26400"/>
    <d v="2023-08-28T00:00:00"/>
    <x v="48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8881270"/>
    <x v="16"/>
    <n v="26400"/>
    <d v="2023-08-28T00:00:00"/>
    <x v="91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68963"/>
    <x v="16"/>
    <n v="26400"/>
    <d v="2023-08-28T00:00:00"/>
    <x v="94"/>
    <x v="13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72657"/>
    <x v="16"/>
    <n v="65000"/>
    <d v="2023-08-28T00:00:00"/>
    <x v="306"/>
    <x v="5"/>
    <n v="2.1520000000000003E-3"/>
    <n v="139.88000000000002"/>
    <s v="MG"/>
    <x v="8"/>
    <x v="5"/>
    <s v="Q3"/>
    <n v="210"/>
    <n v="309.52380952380952"/>
    <s v="MG Sticks"/>
    <n v="0.93"/>
    <n v="60450"/>
    <n v="130.08840000000004"/>
    <n v="287.85714285714289"/>
  </r>
  <r>
    <n v="69555093"/>
    <x v="16"/>
    <n v="35000"/>
    <d v="2023-08-28T00:00:00"/>
    <x v="229"/>
    <x v="14"/>
    <n v="1.98E-3"/>
    <n v="69.3"/>
    <s v="TA"/>
    <x v="8"/>
    <x v="42"/>
    <s v="Q3"/>
    <n v="176"/>
    <n v="198.86363636363637"/>
    <s v="TAL NV"/>
    <n v="0.97"/>
    <n v="33950"/>
    <n v="67.220999999999989"/>
    <n v="192.89772727272728"/>
  </r>
  <r>
    <n v="69621212"/>
    <x v="16"/>
    <n v="35100"/>
    <d v="2023-08-28T00:00:00"/>
    <x v="29"/>
    <x v="28"/>
    <n v="5.2680000000000001E-3"/>
    <n v="184.9068"/>
    <s v="PG"/>
    <x v="8"/>
    <x v="14"/>
    <s v="Q3"/>
    <n v="130"/>
    <n v="270"/>
    <s v="PG"/>
    <n v="0.9"/>
    <n v="31590"/>
    <n v="166.41612000000001"/>
    <n v="243"/>
  </r>
  <r>
    <n v="69706147"/>
    <x v="16"/>
    <n v="35700"/>
    <d v="2023-08-28T00:00:00"/>
    <x v="195"/>
    <x v="31"/>
    <n v="3.8999999999999998E-3"/>
    <n v="139.22999999999999"/>
    <s v="TA"/>
    <x v="8"/>
    <x v="42"/>
    <s v="Q3"/>
    <n v="176"/>
    <n v="202.84090909090909"/>
    <s v="TAL NV"/>
    <n v="0.97"/>
    <n v="34629"/>
    <n v="135.05309999999997"/>
    <n v="196.75568181818181"/>
  </r>
  <r>
    <n v="84141102"/>
    <x v="18"/>
    <n v="150000"/>
    <d v="2023-08-28T00:00:00"/>
    <x v="217"/>
    <x v="38"/>
    <n v="3.7853439999999999E-3"/>
    <n v="567.80160000000001"/>
    <s v="BJ"/>
    <x v="8"/>
    <x v="36"/>
    <s v="Q3"/>
    <n v="240"/>
    <n v="625"/>
    <s v="BJ PTS"/>
    <n v="0.9"/>
    <n v="135000"/>
    <n v="511.02144000000004"/>
    <n v="562.5"/>
  </r>
  <r>
    <n v="67278446"/>
    <x v="17"/>
    <n v="9280"/>
    <d v="2023-08-28T00:00:00"/>
    <x v="199"/>
    <x v="33"/>
    <n v="3.7853439999999999E-3"/>
    <n v="35.127992319999997"/>
    <s v="BJ"/>
    <x v="8"/>
    <x v="15"/>
    <s v="Q3"/>
    <n v="240"/>
    <n v="38.666666666666664"/>
    <s v="BJ PTS"/>
    <n v="0.9"/>
    <n v="8352"/>
    <n v="31.615193087999998"/>
    <n v="34.799999999999997"/>
  </r>
  <r>
    <n v="67596354"/>
    <x v="17"/>
    <n v="24360"/>
    <d v="2023-08-28T00:00:00"/>
    <x v="317"/>
    <x v="35"/>
    <n v="3.6640000000000002E-3"/>
    <n v="89.255040000000008"/>
    <s v="BJ"/>
    <x v="8"/>
    <x v="24"/>
    <s v="Q3"/>
    <n v="240"/>
    <n v="101.5"/>
    <s v="PTS Exports"/>
    <n v="0.9"/>
    <n v="21924"/>
    <n v="80.329536000000004"/>
    <n v="91.350000000000009"/>
  </r>
  <r>
    <n v="67794168"/>
    <x v="17"/>
    <n v="10440"/>
    <d v="2023-08-28T00:00:00"/>
    <x v="367"/>
    <x v="33"/>
    <n v="3.7853439999999999E-3"/>
    <n v="39.518991360000001"/>
    <s v="BJ"/>
    <x v="8"/>
    <x v="15"/>
    <s v="Q3"/>
    <n v="240"/>
    <n v="43.5"/>
    <s v="BJ PTS"/>
    <n v="0.9"/>
    <n v="9396"/>
    <n v="35.567092224"/>
    <n v="39.15"/>
  </r>
  <r>
    <n v="68409143"/>
    <x v="17"/>
    <n v="32040"/>
    <d v="2023-08-28T00:00:00"/>
    <x v="137"/>
    <x v="35"/>
    <n v="1.419504E-3"/>
    <n v="45.480908159999998"/>
    <s v="BJ"/>
    <x v="8"/>
    <x v="25"/>
    <s v="Q3"/>
    <n v="510"/>
    <n v="62.823529411764703"/>
    <s v="B&amp;J Dog Treat"/>
    <n v="0.85"/>
    <n v="27234"/>
    <n v="38.658771936000001"/>
    <n v="53.4"/>
  </r>
  <r>
    <n v="68499773"/>
    <x v="17"/>
    <n v="5200"/>
    <d v="2023-08-28T00:00:00"/>
    <x v="352"/>
    <x v="35"/>
    <n v="3.8999999999999998E-3"/>
    <n v="20.279999999999998"/>
    <s v="BJ"/>
    <x v="8"/>
    <x v="39"/>
    <s v="Q3"/>
    <n v="125"/>
    <n v="41.6"/>
    <s v="2.4 Gal"/>
    <n v="0.85"/>
    <n v="4420"/>
    <n v="17.237999999999996"/>
    <n v="35.36"/>
  </r>
  <r>
    <n v="68654238"/>
    <x v="17"/>
    <n v="16240"/>
    <d v="2023-08-28T00:00:00"/>
    <x v="54"/>
    <x v="33"/>
    <n v="3.7839999999999996E-3"/>
    <n v="61.452159999999992"/>
    <s v="BJ"/>
    <x v="8"/>
    <x v="15"/>
    <s v="Q3"/>
    <n v="240"/>
    <n v="67.666666666666671"/>
    <s v="BJ PTS"/>
    <n v="0.9"/>
    <n v="14616"/>
    <n v="55.306943999999994"/>
    <n v="60.900000000000006"/>
  </r>
  <r>
    <n v="68938274"/>
    <x v="17"/>
    <n v="19720"/>
    <d v="2023-08-28T00:00:00"/>
    <x v="194"/>
    <x v="35"/>
    <n v="3.7839999999999996E-3"/>
    <n v="74.620479999999986"/>
    <s v="BJ"/>
    <x v="8"/>
    <x v="15"/>
    <s v="Q3"/>
    <n v="240"/>
    <n v="82.166666666666671"/>
    <s v="BJ PTS"/>
    <n v="0.9"/>
    <n v="17748"/>
    <n v="67.158431999999991"/>
    <n v="73.95"/>
  </r>
  <r>
    <n v="84138392"/>
    <x v="17"/>
    <n v="13920"/>
    <d v="2023-08-28T00:00:00"/>
    <x v="383"/>
    <x v="35"/>
    <n v="3.7839999999999996E-3"/>
    <n v="52.673279999999991"/>
    <s v="BJ"/>
    <x v="8"/>
    <x v="15"/>
    <s v="Q3"/>
    <n v="240"/>
    <n v="58"/>
    <s v="BJ PTS"/>
    <n v="0.9"/>
    <n v="12528"/>
    <n v="47.405951999999992"/>
    <n v="52.2"/>
  </r>
  <r>
    <n v="84151113"/>
    <x v="17"/>
    <n v="16020"/>
    <d v="2023-08-28T00:00:00"/>
    <x v="161"/>
    <x v="33"/>
    <n v="1.419504E-3"/>
    <n v="22.740454079999999"/>
    <s v="BJ"/>
    <x v="8"/>
    <x v="31"/>
    <s v="Q3"/>
    <n v="510"/>
    <n v="31.411764705882351"/>
    <s v="Cup Exports"/>
    <n v="0.85"/>
    <n v="13617"/>
    <n v="19.329385968"/>
    <n v="26.7"/>
  </r>
  <r>
    <n v="67885717"/>
    <x v="16"/>
    <n v="5700"/>
    <d v="2023-08-29T00:00:00"/>
    <x v="38"/>
    <x v="32"/>
    <n v="8.5199999999999998E-3"/>
    <n v="48.564"/>
    <s v="BR"/>
    <x v="8"/>
    <x v="2"/>
    <s v="Q3"/>
    <n v="154"/>
    <n v="37.012987012987011"/>
    <s v="48oz"/>
    <n v="0.95"/>
    <n v="5415"/>
    <n v="46.135799999999996"/>
    <n v="35.162337662337656"/>
  </r>
  <r>
    <n v="67885721"/>
    <x v="16"/>
    <n v="45600"/>
    <d v="2023-08-29T00:00:00"/>
    <x v="40"/>
    <x v="32"/>
    <n v="8.5199999999999998E-3"/>
    <n v="388.512"/>
    <s v="BR"/>
    <x v="8"/>
    <x v="2"/>
    <s v="Q3"/>
    <n v="154"/>
    <n v="296.10389610389609"/>
    <s v="48oz"/>
    <n v="0.95"/>
    <n v="43320"/>
    <n v="369.08639999999997"/>
    <n v="281.29870129870125"/>
  </r>
  <r>
    <n v="67908208"/>
    <x v="16"/>
    <n v="32400"/>
    <d v="2023-08-29T00:00:00"/>
    <x v="225"/>
    <x v="25"/>
    <n v="3.9039999999999999E-3"/>
    <n v="126.4896"/>
    <s v="GH"/>
    <x v="8"/>
    <x v="11"/>
    <s v="Q3"/>
    <n v="154"/>
    <n v="210.3896103896104"/>
    <s v="MBG"/>
    <n v="0.87"/>
    <n v="28188"/>
    <n v="110.045952"/>
    <n v="183.03896103896105"/>
  </r>
  <r>
    <n v="68649095"/>
    <x v="16"/>
    <n v="57000"/>
    <d v="2023-08-29T00:00:00"/>
    <x v="286"/>
    <x v="15"/>
    <n v="3.5999999999999999E-3"/>
    <n v="205.2"/>
    <s v="BJ"/>
    <x v="8"/>
    <x v="19"/>
    <s v="Q3"/>
    <n v="240"/>
    <n v="237.5"/>
    <s v="Topped"/>
    <n v="0.91"/>
    <n v="51870"/>
    <n v="186.732"/>
    <n v="216.125"/>
  </r>
  <r>
    <n v="68649096"/>
    <x v="16"/>
    <n v="57000"/>
    <d v="2023-08-29T00:00:00"/>
    <x v="241"/>
    <x v="15"/>
    <n v="3.5999999999999999E-3"/>
    <n v="205.2"/>
    <s v="BJ"/>
    <x v="8"/>
    <x v="19"/>
    <s v="Q3"/>
    <n v="240"/>
    <n v="237.5"/>
    <s v="Topped"/>
    <n v="0.91"/>
    <n v="51870"/>
    <n v="186.732"/>
    <n v="216.125"/>
  </r>
  <r>
    <n v="68659726"/>
    <x v="16"/>
    <n v="25000"/>
    <d v="2023-08-29T00:00:00"/>
    <x v="359"/>
    <x v="22"/>
    <n v="3.7853439999999999E-3"/>
    <n v="94.633600000000001"/>
    <s v="TA"/>
    <x v="8"/>
    <x v="10"/>
    <s v="Q3"/>
    <n v="255"/>
    <n v="98.039215686274517"/>
    <s v="TALENTI"/>
    <n v="0.94"/>
    <n v="23500"/>
    <n v="88.955584000000002"/>
    <n v="92.156862745098039"/>
  </r>
  <r>
    <n v="68728342"/>
    <x v="16"/>
    <n v="40000"/>
    <d v="2023-08-29T00:00:00"/>
    <x v="44"/>
    <x v="22"/>
    <n v="3.7853439999999999E-3"/>
    <n v="151.41376"/>
    <s v="TA"/>
    <x v="8"/>
    <x v="10"/>
    <s v="Q3"/>
    <n v="255"/>
    <n v="156.86274509803923"/>
    <s v="TALENTI"/>
    <n v="0.94"/>
    <n v="37600"/>
    <n v="142.32893439999998"/>
    <n v="147.45098039215688"/>
  </r>
  <r>
    <n v="68730254"/>
    <x v="16"/>
    <n v="91200"/>
    <d v="2023-08-29T00:00:00"/>
    <x v="128"/>
    <x v="21"/>
    <n v="3.7853440000000004E-3"/>
    <n v="345.22337280000005"/>
    <s v="TA"/>
    <x v="8"/>
    <x v="10"/>
    <s v="Q3"/>
    <n v="255"/>
    <n v="357.64705882352939"/>
    <s v="TALENTI"/>
    <n v="0.94"/>
    <n v="85728"/>
    <n v="324.50997043200005"/>
    <n v="336.18823529411759"/>
  </r>
  <r>
    <n v="68782716"/>
    <x v="16"/>
    <n v="25650"/>
    <d v="2023-08-29T00:00:00"/>
    <x v="246"/>
    <x v="21"/>
    <n v="3.7853440000000004E-3"/>
    <n v="97.094073600000016"/>
    <s v="TA"/>
    <x v="8"/>
    <x v="10"/>
    <s v="Q3"/>
    <n v="255"/>
    <n v="100.58823529411765"/>
    <s v="TALENTI"/>
    <n v="0.94"/>
    <n v="24111"/>
    <n v="91.268429184000013"/>
    <n v="94.552941176470583"/>
  </r>
  <r>
    <n v="68821728"/>
    <x v="16"/>
    <n v="26400"/>
    <d v="2023-08-29T00:00:00"/>
    <x v="35"/>
    <x v="2"/>
    <n v="8.5199999999999998E-3"/>
    <n v="224.928"/>
    <s v="BR"/>
    <x v="8"/>
    <x v="2"/>
    <s v="Q3"/>
    <n v="176"/>
    <n v="150"/>
    <s v="48oz"/>
    <n v="0.95"/>
    <n v="25080"/>
    <n v="213.68159999999997"/>
    <n v="142.5"/>
  </r>
  <r>
    <n v="69554197"/>
    <x v="16"/>
    <n v="22800"/>
    <d v="2023-08-29T00:00:00"/>
    <x v="15"/>
    <x v="15"/>
    <n v="3.7839999999999996E-3"/>
    <n v="86.275199999999984"/>
    <s v="BR"/>
    <x v="8"/>
    <x v="7"/>
    <s v="Q3"/>
    <n v="240"/>
    <n v="95"/>
    <s v="PTS"/>
    <n v="0.95"/>
    <n v="21660"/>
    <n v="81.961439999999982"/>
    <n v="90.25"/>
  </r>
  <r>
    <n v="69568964"/>
    <x v="16"/>
    <n v="46800"/>
    <d v="2023-08-29T00:00:00"/>
    <x v="134"/>
    <x v="32"/>
    <n v="8.5199999999999998E-3"/>
    <n v="398.73599999999999"/>
    <s v="BR"/>
    <x v="8"/>
    <x v="2"/>
    <s v="Q3"/>
    <n v="176"/>
    <n v="265.90909090909093"/>
    <s v="48oz"/>
    <n v="0.95"/>
    <n v="44460"/>
    <n v="378.79919999999998"/>
    <n v="252.61363636363637"/>
  </r>
  <r>
    <n v="69587863"/>
    <x v="16"/>
    <n v="26400"/>
    <d v="2023-08-29T00:00:00"/>
    <x v="249"/>
    <x v="2"/>
    <n v="8.5199999999999998E-3"/>
    <n v="224.928"/>
    <s v="BR"/>
    <x v="8"/>
    <x v="2"/>
    <s v="Q3"/>
    <n v="154"/>
    <n v="171.42857142857142"/>
    <s v="48oz"/>
    <n v="0.95"/>
    <n v="25080"/>
    <n v="213.68159999999997"/>
    <n v="162.85714285714283"/>
  </r>
  <r>
    <n v="69629468"/>
    <x v="16"/>
    <n v="32400"/>
    <d v="2023-08-29T00:00:00"/>
    <x v="30"/>
    <x v="30"/>
    <n v="5.2680000000000001E-3"/>
    <n v="170.6832"/>
    <s v="PS"/>
    <x v="8"/>
    <x v="14"/>
    <s v="Q3"/>
    <n v="130"/>
    <n v="249.23076923076923"/>
    <s v="PG"/>
    <n v="0.9"/>
    <n v="29160"/>
    <n v="153.61488"/>
    <n v="224.30769230769232"/>
  </r>
  <r>
    <n v="67466492"/>
    <x v="15"/>
    <n v="15750"/>
    <d v="2023-08-31T00:00:00"/>
    <x v="8"/>
    <x v="7"/>
    <n v="5.2680000000000001E-3"/>
    <n v="82.971000000000004"/>
    <s v="PS"/>
    <x v="8"/>
    <x v="3"/>
    <s v="Q3"/>
    <n v="130"/>
    <n v="121.15384615384616"/>
    <s v="PG"/>
    <n v="0.9"/>
    <n v="14175"/>
    <n v="74.673900000000003"/>
    <n v="109.03846153846155"/>
  </r>
  <r>
    <n v="67465063"/>
    <x v="15"/>
    <n v="15413"/>
    <d v="2023-09-01T00:00:00"/>
    <x v="3"/>
    <x v="40"/>
    <n v="5.2680000000000001E-3"/>
    <n v="81.195684"/>
    <s v="PS"/>
    <x v="9"/>
    <x v="3"/>
    <s v="Q3"/>
    <n v="130"/>
    <n v="118.56153846153846"/>
    <s v="PG"/>
    <n v="0.9"/>
    <n v="13871.7"/>
    <n v="73.076115600000008"/>
    <n v="106.70538461538462"/>
  </r>
  <r>
    <n v="68188183"/>
    <x v="15"/>
    <n v="10500"/>
    <d v="2023-09-01T00:00:00"/>
    <x v="70"/>
    <x v="9"/>
    <n v="3.8340000000000002E-3"/>
    <n v="40.257000000000005"/>
    <s v="PS"/>
    <x v="9"/>
    <x v="3"/>
    <s v="Q3"/>
    <n v="130"/>
    <n v="80.769230769230774"/>
    <s v="PG"/>
    <n v="0.9"/>
    <n v="9450"/>
    <n v="36.231300000000005"/>
    <n v="72.692307692307693"/>
  </r>
  <r>
    <n v="69629468"/>
    <x v="15"/>
    <n v="20000"/>
    <d v="2023-09-01T00:00:00"/>
    <x v="30"/>
    <x v="29"/>
    <n v="5.2680000000000001E-3"/>
    <n v="105.36"/>
    <s v="PS"/>
    <x v="9"/>
    <x v="3"/>
    <s v="Q3"/>
    <n v="130"/>
    <n v="153.84615384615384"/>
    <s v="PG"/>
    <n v="0.9"/>
    <n v="18000"/>
    <n v="94.823999999999998"/>
    <n v="138.46153846153845"/>
  </r>
  <r>
    <n v="67466492"/>
    <x v="15"/>
    <n v="19800"/>
    <d v="2023-09-02T00:00:00"/>
    <x v="8"/>
    <x v="8"/>
    <n v="5.2680000000000001E-3"/>
    <n v="104.3064"/>
    <s v="PS"/>
    <x v="9"/>
    <x v="3"/>
    <s v="Q3"/>
    <n v="130"/>
    <n v="152.30769230769232"/>
    <s v="PG"/>
    <n v="0.9"/>
    <n v="17820"/>
    <n v="93.87576"/>
    <n v="137.07692307692309"/>
  </r>
  <r>
    <n v="67466492"/>
    <x v="15"/>
    <n v="18000"/>
    <d v="2023-09-02T00:00:00"/>
    <x v="8"/>
    <x v="6"/>
    <n v="5.2680000000000001E-3"/>
    <n v="94.823999999999998"/>
    <s v="PS"/>
    <x v="9"/>
    <x v="3"/>
    <s v="Q3"/>
    <n v="130"/>
    <n v="138.46153846153845"/>
    <s v="PG"/>
    <n v="0.9"/>
    <n v="16200"/>
    <n v="85.3416"/>
    <n v="124.61538461538461"/>
  </r>
  <r>
    <n v="67465064"/>
    <x v="15"/>
    <n v="9000"/>
    <d v="2023-09-03T00:00:00"/>
    <x v="7"/>
    <x v="3"/>
    <n v="1.596E-3"/>
    <n v="14.363999999999999"/>
    <s v="PS"/>
    <x v="9"/>
    <x v="3"/>
    <s v="Q3"/>
    <n v="130"/>
    <n v="69.230769230769226"/>
    <s v="PG"/>
    <n v="0.9"/>
    <n v="8100"/>
    <n v="12.9276"/>
    <n v="62.307692307692307"/>
  </r>
  <r>
    <n v="67885721"/>
    <x v="15"/>
    <n v="25200"/>
    <d v="2023-09-03T00:00:00"/>
    <x v="40"/>
    <x v="23"/>
    <n v="8.5199999999999998E-3"/>
    <n v="214.70400000000001"/>
    <s v="BR"/>
    <x v="9"/>
    <x v="6"/>
    <s v="Q3"/>
    <n v="154"/>
    <n v="163.63636363636363"/>
    <s v="48oz"/>
    <n v="0.95"/>
    <n v="23940"/>
    <n v="203.96879999999999"/>
    <n v="155.45454545454544"/>
  </r>
  <r>
    <n v="67885724"/>
    <x v="15"/>
    <n v="22800"/>
    <d v="2023-09-03T00:00:00"/>
    <x v="49"/>
    <x v="12"/>
    <n v="8.5199999999999998E-3"/>
    <n v="194.256"/>
    <s v="BR"/>
    <x v="9"/>
    <x v="6"/>
    <s v="Q3"/>
    <n v="154"/>
    <n v="148.05194805194805"/>
    <s v="48oz"/>
    <n v="0.95"/>
    <n v="21660"/>
    <n v="184.54319999999998"/>
    <n v="140.64935064935062"/>
  </r>
  <r>
    <n v="67908263"/>
    <x v="15"/>
    <n v="27000"/>
    <d v="2023-09-03T00:00:00"/>
    <x v="164"/>
    <x v="24"/>
    <n v="2.8319999999999999E-3"/>
    <n v="76.463999999999999"/>
    <s v="GH"/>
    <x v="9"/>
    <x v="4"/>
    <s v="Q3"/>
    <n v="225"/>
    <n v="120"/>
    <s v="MBG"/>
    <n v="0.87"/>
    <n v="23490"/>
    <n v="66.523679999999999"/>
    <n v="104.4"/>
  </r>
  <r>
    <n v="68741742"/>
    <x v="15"/>
    <n v="28800"/>
    <d v="2023-09-03T00:00:00"/>
    <x v="25"/>
    <x v="4"/>
    <n v="4.2560000000000002E-3"/>
    <n v="122.5728"/>
    <s v="GH"/>
    <x v="9"/>
    <x v="4"/>
    <s v="Q3"/>
    <n v="154"/>
    <n v="187.01298701298703"/>
    <s v="MBG"/>
    <n v="0.87"/>
    <n v="25056"/>
    <n v="106.638336"/>
    <n v="162.70129870129873"/>
  </r>
  <r>
    <n v="68817801"/>
    <x v="15"/>
    <n v="25200"/>
    <d v="2023-09-03T00:00:00"/>
    <x v="183"/>
    <x v="11"/>
    <n v="8.4600000000000005E-3"/>
    <n v="213.19200000000001"/>
    <s v="BR"/>
    <x v="9"/>
    <x v="6"/>
    <s v="Q3"/>
    <n v="176"/>
    <n v="143.18181818181819"/>
    <s v="48oz"/>
    <n v="0.95"/>
    <n v="23940"/>
    <n v="202.5324"/>
    <n v="136.02272727272728"/>
  </r>
  <r>
    <n v="68850684"/>
    <x v="15"/>
    <n v="25200"/>
    <d v="2023-09-03T00:00:00"/>
    <x v="354"/>
    <x v="11"/>
    <n v="8.5199999999999998E-3"/>
    <n v="214.70400000000001"/>
    <s v="BR"/>
    <x v="9"/>
    <x v="6"/>
    <s v="Q3"/>
    <n v="176"/>
    <n v="143.18181818181819"/>
    <s v="48oz"/>
    <n v="0.95"/>
    <n v="23940"/>
    <n v="203.96879999999999"/>
    <n v="136.02272727272728"/>
  </r>
  <r>
    <n v="68881270"/>
    <x v="15"/>
    <n v="11900"/>
    <d v="2023-09-03T00:00:00"/>
    <x v="91"/>
    <x v="12"/>
    <n v="8.5199999999999998E-3"/>
    <n v="101.38799999999999"/>
    <s v="BR"/>
    <x v="9"/>
    <x v="6"/>
    <s v="Q3"/>
    <n v="176"/>
    <n v="67.61363636363636"/>
    <s v="48oz"/>
    <n v="0.95"/>
    <n v="11305"/>
    <n v="96.318599999999989"/>
    <n v="64.232954545454533"/>
  </r>
  <r>
    <n v="68881270"/>
    <x v="15"/>
    <n v="11900"/>
    <d v="2023-09-03T00:00:00"/>
    <x v="91"/>
    <x v="16"/>
    <n v="8.5199999999999998E-3"/>
    <n v="101.38799999999999"/>
    <s v="BR"/>
    <x v="9"/>
    <x v="6"/>
    <s v="Q3"/>
    <n v="176"/>
    <n v="67.61363636363636"/>
    <s v="48oz"/>
    <n v="0.95"/>
    <n v="11305"/>
    <n v="96.318599999999989"/>
    <n v="64.232954545454533"/>
  </r>
  <r>
    <n v="68899821"/>
    <x v="15"/>
    <n v="23000"/>
    <d v="2023-09-03T00:00:00"/>
    <x v="149"/>
    <x v="16"/>
    <n v="8.5199999999999998E-3"/>
    <n v="195.96"/>
    <s v="BR"/>
    <x v="9"/>
    <x v="6"/>
    <s v="Q3"/>
    <n v="176"/>
    <n v="130.68181818181819"/>
    <s v="48oz"/>
    <n v="0.95"/>
    <n v="21850"/>
    <n v="186.16200000000001"/>
    <n v="124.14772727272727"/>
  </r>
  <r>
    <n v="84137725"/>
    <x v="18"/>
    <n v="105600"/>
    <d v="2023-09-03T00:00:00"/>
    <x v="132"/>
    <x v="33"/>
    <n v="3.7853439999999999E-3"/>
    <n v="399.73232639999998"/>
    <s v="BJ"/>
    <x v="9"/>
    <x v="36"/>
    <s v="Q3"/>
    <n v="240"/>
    <n v="440"/>
    <s v="BJ PTS"/>
    <n v="0.9"/>
    <n v="95040"/>
    <n v="359.75909375999998"/>
    <n v="396"/>
  </r>
  <r>
    <n v="84149990"/>
    <x v="18"/>
    <n v="36400"/>
    <d v="2023-09-03T00:00:00"/>
    <x v="168"/>
    <x v="33"/>
    <n v="3.7853439999999999E-3"/>
    <n v="137.78652159999999"/>
    <s v="BJ"/>
    <x v="9"/>
    <x v="40"/>
    <s v="Q3"/>
    <n v="240"/>
    <n v="151.66666666666666"/>
    <s v="PTS Exports"/>
    <n v="0.9"/>
    <n v="32760"/>
    <n v="124.00786943999999"/>
    <n v="136.5"/>
  </r>
  <r>
    <n v="67278344"/>
    <x v="17"/>
    <n v="102400"/>
    <d v="2023-09-03T00:00:00"/>
    <x v="264"/>
    <x v="35"/>
    <n v="3.7853439999999999E-3"/>
    <n v="387.61922559999999"/>
    <s v="BJ"/>
    <x v="9"/>
    <x v="15"/>
    <s v="Q3"/>
    <n v="240"/>
    <n v="426.66666666666669"/>
    <s v="BJ PTS"/>
    <n v="0.9"/>
    <n v="92160"/>
    <n v="348.85730303999998"/>
    <n v="384"/>
  </r>
  <r>
    <n v="67420264"/>
    <x v="17"/>
    <n v="10680"/>
    <d v="2023-09-03T00:00:00"/>
    <x v="244"/>
    <x v="35"/>
    <n v="1.419504E-3"/>
    <n v="15.160302720000001"/>
    <s v="BJ"/>
    <x v="9"/>
    <x v="16"/>
    <s v="Q3"/>
    <n v="510"/>
    <n v="20.941176470588236"/>
    <s v="B&amp;J Cups"/>
    <n v="0.85"/>
    <n v="9078"/>
    <n v="12.886257312"/>
    <n v="17.8"/>
  </r>
  <r>
    <n v="67546032"/>
    <x v="17"/>
    <n v="20025"/>
    <d v="2023-09-03T00:00:00"/>
    <x v="316"/>
    <x v="35"/>
    <n v="3.6640000000000002E-3"/>
    <n v="73.371600000000001"/>
    <s v="BJ"/>
    <x v="9"/>
    <x v="24"/>
    <s v="Q3"/>
    <n v="240"/>
    <n v="83.4375"/>
    <s v="PTS Exports"/>
    <n v="0.9"/>
    <n v="18022.5"/>
    <n v="66.034440000000004"/>
    <n v="75.09375"/>
  </r>
  <r>
    <n v="84135758"/>
    <x v="17"/>
    <n v="32040"/>
    <d v="2023-09-03T00:00:00"/>
    <x v="130"/>
    <x v="33"/>
    <n v="1.4399999999999999E-3"/>
    <n v="46.137599999999999"/>
    <s v="BJ"/>
    <x v="9"/>
    <x v="16"/>
    <s v="Q3"/>
    <n v="510"/>
    <n v="62.823529411764703"/>
    <s v="B&amp;J Cups"/>
    <n v="0.85"/>
    <n v="27234"/>
    <n v="39.21696"/>
    <n v="53.4"/>
  </r>
  <r>
    <n v="84139090"/>
    <x v="17"/>
    <n v="27840"/>
    <d v="2023-09-03T00:00:00"/>
    <x v="85"/>
    <x v="43"/>
    <n v="3.7853439999999999E-3"/>
    <n v="105.38397696"/>
    <s v="BJ"/>
    <x v="9"/>
    <x v="15"/>
    <s v="Q3"/>
    <n v="240"/>
    <n v="116"/>
    <s v="BJ PTS"/>
    <n v="0.9"/>
    <n v="25056"/>
    <n v="94.845579263999994"/>
    <n v="104.4"/>
  </r>
  <r>
    <n v="84163605"/>
    <x v="17"/>
    <n v="32480"/>
    <d v="2023-09-03T00:00:00"/>
    <x v="219"/>
    <x v="34"/>
    <n v="3.7853439999999999E-3"/>
    <n v="122.94797312"/>
    <s v="BJ"/>
    <x v="9"/>
    <x v="15"/>
    <s v="Q3"/>
    <n v="240"/>
    <n v="135.33333333333334"/>
    <s v="BJ PTS"/>
    <n v="0.9"/>
    <n v="29232"/>
    <n v="110.653175808"/>
    <n v="121.80000000000001"/>
  </r>
  <r>
    <n v="67309864"/>
    <x v="16"/>
    <n v="26400"/>
    <d v="2023-09-04T00:00:00"/>
    <x v="63"/>
    <x v="2"/>
    <n v="8.5199999999999998E-3"/>
    <n v="224.928"/>
    <s v="BR"/>
    <x v="9"/>
    <x v="2"/>
    <s v="Q3"/>
    <n v="154"/>
    <n v="171.42857142857142"/>
    <s v="48oz"/>
    <n v="0.95"/>
    <n v="25080"/>
    <n v="213.68159999999997"/>
    <n v="162.85714285714283"/>
  </r>
  <r>
    <n v="67901589"/>
    <x v="16"/>
    <n v="45600"/>
    <d v="2023-09-04T00:00:00"/>
    <x v="220"/>
    <x v="32"/>
    <n v="8.5199999999999998E-3"/>
    <n v="388.512"/>
    <s v="BR"/>
    <x v="9"/>
    <x v="2"/>
    <s v="Q3"/>
    <n v="154"/>
    <n v="296.10389610389609"/>
    <s v="48oz"/>
    <n v="0.95"/>
    <n v="43320"/>
    <n v="369.08639999999997"/>
    <n v="281.29870129870125"/>
  </r>
  <r>
    <n v="67901593"/>
    <x v="16"/>
    <n v="45600"/>
    <d v="2023-09-04T00:00:00"/>
    <x v="68"/>
    <x v="32"/>
    <n v="8.5199999999999998E-3"/>
    <n v="388.512"/>
    <s v="BR"/>
    <x v="9"/>
    <x v="2"/>
    <s v="Q3"/>
    <n v="154"/>
    <n v="296.10389610389609"/>
    <s v="48oz"/>
    <n v="0.95"/>
    <n v="43320"/>
    <n v="369.08639999999997"/>
    <n v="281.29870129870125"/>
  </r>
  <r>
    <n v="68821728"/>
    <x v="16"/>
    <n v="26400"/>
    <d v="2023-09-04T00:00:00"/>
    <x v="35"/>
    <x v="13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8881270"/>
    <x v="16"/>
    <n v="13200"/>
    <d v="2023-09-04T00:00:00"/>
    <x v="91"/>
    <x v="13"/>
    <n v="8.5199999999999998E-3"/>
    <n v="112.464"/>
    <s v="BR"/>
    <x v="9"/>
    <x v="2"/>
    <s v="Q3"/>
    <n v="176"/>
    <n v="75"/>
    <s v="48oz"/>
    <n v="0.95"/>
    <n v="12540"/>
    <n v="106.84079999999999"/>
    <n v="71.25"/>
  </r>
  <r>
    <n v="69572544"/>
    <x v="16"/>
    <n v="44000"/>
    <d v="2023-09-04T00:00:00"/>
    <x v="171"/>
    <x v="14"/>
    <n v="1.9740000000000001E-3"/>
    <n v="86.856000000000009"/>
    <s v="MG"/>
    <x v="9"/>
    <x v="5"/>
    <s v="Q3"/>
    <n v="176"/>
    <n v="250"/>
    <s v="MG Sticks"/>
    <n v="0.93"/>
    <n v="40920"/>
    <n v="80.776080000000007"/>
    <n v="232.5"/>
  </r>
  <r>
    <n v="69577493"/>
    <x v="16"/>
    <n v="24000"/>
    <d v="2023-09-25T00:00:00"/>
    <x v="252"/>
    <x v="5"/>
    <n v="2.0400000000000001E-3"/>
    <n v="48.96"/>
    <s v="MG"/>
    <x v="9"/>
    <x v="5"/>
    <s v="Q3"/>
    <n v="210"/>
    <n v="114.28571428571429"/>
    <s v="MG Sticks"/>
    <n v="0.93"/>
    <n v="22320"/>
    <n v="45.532800000000002"/>
    <n v="106.28571428571429"/>
  </r>
  <r>
    <n v="69586716"/>
    <x v="16"/>
    <n v="36000"/>
    <d v="2023-09-25T00:00:00"/>
    <x v="6"/>
    <x v="5"/>
    <n v="2.0400000000000001E-3"/>
    <n v="73.440000000000012"/>
    <s v="MG"/>
    <x v="9"/>
    <x v="5"/>
    <s v="Q3"/>
    <n v="210"/>
    <n v="171.42857142857142"/>
    <s v="MG Sticks"/>
    <n v="0.93"/>
    <n v="33480"/>
    <n v="68.299200000000013"/>
    <n v="159.42857142857142"/>
  </r>
  <r>
    <n v="69621212"/>
    <x v="16"/>
    <n v="29700"/>
    <d v="2023-09-04T00:00:00"/>
    <x v="29"/>
    <x v="28"/>
    <n v="5.2680000000000001E-3"/>
    <n v="156.45959999999999"/>
    <s v="PG"/>
    <x v="9"/>
    <x v="14"/>
    <s v="Q3"/>
    <n v="130"/>
    <n v="228.46153846153845"/>
    <s v="PG"/>
    <n v="0.9"/>
    <n v="26730"/>
    <n v="140.81363999999999"/>
    <n v="205.61538461538461"/>
  </r>
  <r>
    <n v="69706138"/>
    <x v="16"/>
    <n v="35700"/>
    <d v="2023-09-04T00:00:00"/>
    <x v="289"/>
    <x v="31"/>
    <n v="3.8999999999999998E-3"/>
    <n v="139.22999999999999"/>
    <s v="TA"/>
    <x v="9"/>
    <x v="42"/>
    <s v="Q3"/>
    <n v="176"/>
    <n v="202.84090909090909"/>
    <s v="TAL NV"/>
    <n v="0.97"/>
    <n v="34629"/>
    <n v="135.05309999999997"/>
    <n v="196.75568181818181"/>
  </r>
  <r>
    <n v="67885722"/>
    <x v="16"/>
    <n v="5700"/>
    <d v="2023-09-05T00:00:00"/>
    <x v="163"/>
    <x v="32"/>
    <n v="8.5199999999999998E-3"/>
    <n v="48.564"/>
    <s v="BR"/>
    <x v="9"/>
    <x v="2"/>
    <s v="Q3"/>
    <n v="154"/>
    <n v="37.012987012987011"/>
    <s v="48oz"/>
    <n v="0.95"/>
    <n v="5415"/>
    <n v="46.135799999999996"/>
    <n v="35.162337662337656"/>
  </r>
  <r>
    <n v="68354588"/>
    <x v="16"/>
    <n v="57000"/>
    <d v="2023-09-05T00:00:00"/>
    <x v="173"/>
    <x v="15"/>
    <n v="3.5999999999999999E-3"/>
    <n v="205.2"/>
    <s v="BJ"/>
    <x v="9"/>
    <x v="19"/>
    <s v="Q3"/>
    <n v="240"/>
    <n v="237.5"/>
    <s v="Topped"/>
    <n v="0.91"/>
    <n v="51870"/>
    <n v="186.732"/>
    <n v="216.125"/>
  </r>
  <r>
    <n v="68726715"/>
    <x v="16"/>
    <n v="25650"/>
    <d v="2023-09-05T00:00:00"/>
    <x v="34"/>
    <x v="21"/>
    <n v="3.7853440000000004E-3"/>
    <n v="97.094073600000016"/>
    <s v="TA"/>
    <x v="9"/>
    <x v="10"/>
    <s v="Q3"/>
    <n v="255"/>
    <n v="100.58823529411765"/>
    <s v="TALENTI"/>
    <n v="0.94"/>
    <n v="24111"/>
    <n v="91.268429184000013"/>
    <n v="94.552941176470583"/>
  </r>
  <r>
    <n v="68741742"/>
    <x v="16"/>
    <n v="27000"/>
    <d v="2023-09-05T00:00:00"/>
    <x v="25"/>
    <x v="25"/>
    <n v="4.2560000000000002E-3"/>
    <n v="114.91200000000001"/>
    <s v="GH"/>
    <x v="9"/>
    <x v="11"/>
    <s v="Q3"/>
    <n v="154"/>
    <n v="175.32467532467533"/>
    <s v="MBG"/>
    <n v="0.87"/>
    <n v="23490"/>
    <n v="99.973440000000011"/>
    <n v="152.53246753246754"/>
  </r>
  <r>
    <n v="68881269"/>
    <x v="16"/>
    <n v="26400"/>
    <d v="2023-09-05T00:00:00"/>
    <x v="16"/>
    <x v="2"/>
    <n v="8.5199999999999998E-3"/>
    <n v="224.928"/>
    <s v="BR"/>
    <x v="9"/>
    <x v="2"/>
    <s v="Q3"/>
    <n v="154"/>
    <n v="171.42857142857142"/>
    <s v="48oz"/>
    <n v="0.95"/>
    <n v="25080"/>
    <n v="213.68159999999997"/>
    <n v="162.85714285714283"/>
  </r>
  <r>
    <n v="69554197"/>
    <x v="16"/>
    <n v="22800"/>
    <d v="2023-09-05T00:00:00"/>
    <x v="15"/>
    <x v="15"/>
    <n v="3.7839999999999996E-3"/>
    <n v="86.275199999999984"/>
    <s v="BR"/>
    <x v="9"/>
    <x v="7"/>
    <s v="Q3"/>
    <n v="240"/>
    <n v="95"/>
    <s v="PTS"/>
    <n v="0.95"/>
    <n v="21660"/>
    <n v="81.961439999999982"/>
    <n v="90.25"/>
  </r>
  <r>
    <n v="69554208"/>
    <x v="16"/>
    <n v="22800"/>
    <d v="2023-09-05T00:00:00"/>
    <x v="228"/>
    <x v="15"/>
    <n v="3.5999999999999999E-3"/>
    <n v="82.08"/>
    <s v="BJ"/>
    <x v="9"/>
    <x v="19"/>
    <s v="Q3"/>
    <n v="240"/>
    <n v="95"/>
    <s v="TOPPED"/>
    <n v="0.91"/>
    <n v="20748"/>
    <n v="74.692800000000005"/>
    <n v="86.45"/>
  </r>
  <r>
    <n v="69629468"/>
    <x v="16"/>
    <n v="29400"/>
    <d v="2023-09-05T00:00:00"/>
    <x v="30"/>
    <x v="30"/>
    <n v="5.2680000000000001E-3"/>
    <n v="154.8792"/>
    <s v="PS"/>
    <x v="9"/>
    <x v="14"/>
    <s v="Q3"/>
    <n v="130"/>
    <n v="226.15384615384616"/>
    <s v="PG"/>
    <n v="0.9"/>
    <n v="26460"/>
    <n v="139.39127999999999"/>
    <n v="203.53846153846155"/>
  </r>
  <r>
    <n v="69691840"/>
    <x v="16"/>
    <n v="21058"/>
    <d v="2023-09-05T00:00:00"/>
    <x v="106"/>
    <x v="21"/>
    <n v="3.7839999999999996E-3"/>
    <n v="79.683471999999995"/>
    <s v="TA"/>
    <x v="9"/>
    <x v="10"/>
    <s v="Q3"/>
    <n v="255"/>
    <n v="82.580392156862743"/>
    <s v="TALENTI"/>
    <n v="0.94"/>
    <n v="19794.52"/>
    <n v="74.902463679999997"/>
    <n v="77.625568627450974"/>
  </r>
  <r>
    <n v="84135770"/>
    <x v="16"/>
    <n v="22800"/>
    <d v="2023-09-05T00:00:00"/>
    <x v="277"/>
    <x v="15"/>
    <n v="3.7853439999999999E-3"/>
    <n v="86.305843199999998"/>
    <s v="BJ"/>
    <x v="9"/>
    <x v="30"/>
    <s v="Q3"/>
    <n v="240"/>
    <n v="95"/>
    <s v="BJ PTS"/>
    <n v="0.9"/>
    <n v="20520"/>
    <n v="77.675258880000001"/>
    <n v="85.5"/>
  </r>
  <r>
    <n v="67466492"/>
    <x v="15"/>
    <n v="15750"/>
    <d v="2023-09-08T00:00:00"/>
    <x v="8"/>
    <x v="7"/>
    <n v="5.2680000000000001E-3"/>
    <n v="82.971000000000004"/>
    <s v="PS"/>
    <x v="9"/>
    <x v="3"/>
    <s v="Q3"/>
    <n v="130"/>
    <n v="121.15384615384616"/>
    <s v="PG"/>
    <n v="0.9"/>
    <n v="14175"/>
    <n v="74.673900000000003"/>
    <n v="109.03846153846155"/>
  </r>
  <r>
    <n v="67466492"/>
    <x v="15"/>
    <n v="23400"/>
    <d v="2023-09-10T00:00:00"/>
    <x v="8"/>
    <x v="8"/>
    <n v="5.2680000000000001E-3"/>
    <n v="123.27120000000001"/>
    <s v="PS"/>
    <x v="9"/>
    <x v="3"/>
    <s v="Q3"/>
    <n v="130"/>
    <n v="180"/>
    <s v="PG"/>
    <n v="0.9"/>
    <n v="21060"/>
    <n v="110.94408000000001"/>
    <n v="162"/>
  </r>
  <r>
    <n v="68741714"/>
    <x v="15"/>
    <n v="41400"/>
    <d v="2023-09-10T00:00:00"/>
    <x v="24"/>
    <x v="24"/>
    <n v="2.8319999999999999E-3"/>
    <n v="117.2448"/>
    <s v="GH"/>
    <x v="9"/>
    <x v="4"/>
    <s v="Q3"/>
    <n v="225"/>
    <n v="184"/>
    <s v="MBG"/>
    <n v="0.87"/>
    <n v="36018"/>
    <n v="102.002976"/>
    <n v="160.08000000000001"/>
  </r>
  <r>
    <n v="67465063"/>
    <x v="15"/>
    <n v="15413"/>
    <d v="2023-09-11T00:00:00"/>
    <x v="3"/>
    <x v="40"/>
    <n v="5.2680000000000001E-3"/>
    <n v="81.195684"/>
    <s v="PS"/>
    <x v="9"/>
    <x v="3"/>
    <s v="Q3"/>
    <n v="130"/>
    <n v="118.56153846153846"/>
    <s v="PG"/>
    <n v="0.9"/>
    <n v="13871.7"/>
    <n v="73.076115600000008"/>
    <n v="106.70538461538462"/>
  </r>
  <r>
    <n v="67465063"/>
    <x v="15"/>
    <n v="23400"/>
    <d v="2023-09-11T00:00:00"/>
    <x v="3"/>
    <x v="6"/>
    <n v="5.2680000000000001E-3"/>
    <n v="123.27120000000001"/>
    <s v="PS"/>
    <x v="9"/>
    <x v="3"/>
    <s v="Q3"/>
    <n v="130"/>
    <n v="180"/>
    <s v="PG"/>
    <n v="0.9"/>
    <n v="21060"/>
    <n v="110.94408000000001"/>
    <n v="162"/>
  </r>
  <r>
    <n v="67465064"/>
    <x v="15"/>
    <n v="13500"/>
    <d v="2023-09-11T00:00:00"/>
    <x v="7"/>
    <x v="3"/>
    <n v="1.596E-3"/>
    <n v="21.545999999999999"/>
    <s v="PS"/>
    <x v="9"/>
    <x v="3"/>
    <s v="Q3"/>
    <n v="130"/>
    <n v="103.84615384615384"/>
    <s v="PG"/>
    <n v="0.9"/>
    <n v="12150"/>
    <n v="19.391400000000001"/>
    <n v="93.461538461538453"/>
  </r>
  <r>
    <n v="67885719"/>
    <x v="15"/>
    <n v="75600"/>
    <d v="2023-09-11T00:00:00"/>
    <x v="11"/>
    <x v="23"/>
    <n v="8.5199999999999998E-3"/>
    <n v="644.11199999999997"/>
    <s v="BR"/>
    <x v="9"/>
    <x v="6"/>
    <s v="Q3"/>
    <n v="154"/>
    <n v="490.90909090909093"/>
    <s v="48oz"/>
    <n v="0.95"/>
    <n v="71820"/>
    <n v="611.90639999999996"/>
    <n v="466.36363636363637"/>
  </r>
  <r>
    <n v="67885723"/>
    <x v="15"/>
    <n v="2550"/>
    <d v="2023-09-11T00:00:00"/>
    <x v="304"/>
    <x v="16"/>
    <n v="8.5199999999999998E-3"/>
    <n v="21.725999999999999"/>
    <s v="BR"/>
    <x v="9"/>
    <x v="6"/>
    <s v="Q3"/>
    <n v="154"/>
    <n v="16.558441558441558"/>
    <s v="48oz"/>
    <n v="0.95"/>
    <n v="2422.5"/>
    <n v="20.639699999999998"/>
    <n v="15.730519480519479"/>
  </r>
  <r>
    <n v="67885724"/>
    <x v="15"/>
    <n v="20400"/>
    <d v="2023-09-11T00:00:00"/>
    <x v="49"/>
    <x v="16"/>
    <n v="8.5199999999999998E-3"/>
    <n v="173.80799999999999"/>
    <s v="BR"/>
    <x v="9"/>
    <x v="6"/>
    <s v="Q3"/>
    <n v="154"/>
    <n v="132.46753246753246"/>
    <s v="48oz"/>
    <n v="0.95"/>
    <n v="19380"/>
    <n v="165.11759999999998"/>
    <n v="125.84415584415584"/>
  </r>
  <r>
    <n v="68188183"/>
    <x v="15"/>
    <n v="13500"/>
    <d v="2023-09-11T00:00:00"/>
    <x v="70"/>
    <x v="9"/>
    <n v="3.8340000000000002E-3"/>
    <n v="51.759"/>
    <s v="PS"/>
    <x v="9"/>
    <x v="3"/>
    <s v="Q3"/>
    <n v="130"/>
    <n v="103.84615384615384"/>
    <s v="PG"/>
    <n v="0.9"/>
    <n v="12150"/>
    <n v="46.583100000000002"/>
    <n v="93.461538461538453"/>
  </r>
  <r>
    <n v="68741742"/>
    <x v="15"/>
    <n v="28800"/>
    <d v="2023-09-11T00:00:00"/>
    <x v="25"/>
    <x v="4"/>
    <n v="4.2560000000000002E-3"/>
    <n v="122.5728"/>
    <s v="GH"/>
    <x v="9"/>
    <x v="4"/>
    <s v="Q3"/>
    <n v="154"/>
    <n v="187.01298701298703"/>
    <s v="MBG"/>
    <n v="0.87"/>
    <n v="25056"/>
    <n v="106.638336"/>
    <n v="162.70129870129873"/>
  </r>
  <r>
    <n v="68850683"/>
    <x v="15"/>
    <n v="25200"/>
    <d v="2023-09-11T00:00:00"/>
    <x v="335"/>
    <x v="11"/>
    <n v="8.5199999999999998E-3"/>
    <n v="214.70400000000001"/>
    <s v="BR"/>
    <x v="9"/>
    <x v="6"/>
    <s v="Q3"/>
    <n v="176"/>
    <n v="143.18181818181819"/>
    <s v="48oz"/>
    <n v="0.95"/>
    <n v="23940"/>
    <n v="203.96879999999999"/>
    <n v="136.02272727272728"/>
  </r>
  <r>
    <n v="68881270"/>
    <x v="15"/>
    <n v="11900"/>
    <d v="2023-09-11T00:00:00"/>
    <x v="91"/>
    <x v="16"/>
    <n v="8.5199999999999998E-3"/>
    <n v="101.38799999999999"/>
    <s v="BR"/>
    <x v="9"/>
    <x v="6"/>
    <s v="Q3"/>
    <n v="176"/>
    <n v="67.61363636363636"/>
    <s v="48oz"/>
    <n v="0.95"/>
    <n v="11305"/>
    <n v="96.318599999999989"/>
    <n v="64.232954545454533"/>
  </r>
  <r>
    <n v="68890246"/>
    <x v="15"/>
    <n v="22800"/>
    <d v="2023-09-11T00:00:00"/>
    <x v="250"/>
    <x v="12"/>
    <n v="5.1101999999999995E-2"/>
    <n v="1165.1255999999998"/>
    <s v="BR"/>
    <x v="9"/>
    <x v="6"/>
    <s v="Q3"/>
    <n v="176"/>
    <n v="129.54545454545453"/>
    <s v="48oz"/>
    <n v="0.95"/>
    <n v="21660"/>
    <n v="1106.8693199999998"/>
    <n v="123.0681818181818"/>
  </r>
  <r>
    <n v="68930545"/>
    <x v="15"/>
    <n v="22800"/>
    <d v="2023-09-11T00:00:00"/>
    <x v="93"/>
    <x v="12"/>
    <n v="8.5199999999999998E-3"/>
    <n v="194.256"/>
    <s v="BR"/>
    <x v="9"/>
    <x v="6"/>
    <s v="Q3"/>
    <n v="176"/>
    <n v="129.54545454545453"/>
    <s v="48oz"/>
    <n v="0.95"/>
    <n v="21660"/>
    <n v="184.54319999999998"/>
    <n v="123.0681818181818"/>
  </r>
  <r>
    <n v="68930545"/>
    <x v="15"/>
    <n v="22800"/>
    <d v="2023-09-11T00:00:00"/>
    <x v="93"/>
    <x v="16"/>
    <n v="8.5199999999999998E-3"/>
    <n v="194.256"/>
    <s v="BR"/>
    <x v="9"/>
    <x v="6"/>
    <s v="Q3"/>
    <n v="176"/>
    <n v="129.54545454545453"/>
    <s v="48oz"/>
    <n v="0.95"/>
    <n v="21660"/>
    <n v="184.54319999999998"/>
    <n v="123.0681818181818"/>
  </r>
  <r>
    <n v="69568829"/>
    <x v="15"/>
    <n v="25200"/>
    <d v="2023-09-11T00:00:00"/>
    <x v="66"/>
    <x v="11"/>
    <n v="8.5199999999999998E-3"/>
    <n v="214.70400000000001"/>
    <s v="BR"/>
    <x v="9"/>
    <x v="6"/>
    <s v="Q3"/>
    <n v="176"/>
    <n v="143.18181818181819"/>
    <s v="48oz"/>
    <n v="0.95"/>
    <n v="23940"/>
    <n v="203.96879999999999"/>
    <n v="136.02272727272728"/>
  </r>
  <r>
    <n v="69629468"/>
    <x v="15"/>
    <n v="24000"/>
    <d v="2023-09-11T00:00:00"/>
    <x v="30"/>
    <x v="29"/>
    <n v="5.2680000000000001E-3"/>
    <n v="126.432"/>
    <s v="PS"/>
    <x v="9"/>
    <x v="3"/>
    <s v="Q3"/>
    <n v="130"/>
    <n v="184.61538461538461"/>
    <s v="PG"/>
    <n v="0.9"/>
    <n v="21600"/>
    <n v="113.78880000000001"/>
    <n v="166.15384615384616"/>
  </r>
  <r>
    <n v="67309841"/>
    <x v="16"/>
    <n v="26400"/>
    <d v="2023-09-11T00:00:00"/>
    <x v="32"/>
    <x v="13"/>
    <n v="8.5199999999999998E-3"/>
    <n v="224.928"/>
    <s v="BR"/>
    <x v="9"/>
    <x v="2"/>
    <s v="Q3"/>
    <n v="154"/>
    <n v="171.42857142857142"/>
    <s v="48oz"/>
    <n v="0.95"/>
    <n v="25080"/>
    <n v="213.68159999999997"/>
    <n v="162.85714285714283"/>
  </r>
  <r>
    <n v="67901593"/>
    <x v="16"/>
    <n v="45600"/>
    <d v="2023-09-11T00:00:00"/>
    <x v="68"/>
    <x v="32"/>
    <n v="8.5199999999999998E-3"/>
    <n v="388.512"/>
    <s v="BR"/>
    <x v="9"/>
    <x v="2"/>
    <s v="Q3"/>
    <n v="154"/>
    <n v="296.10389610389609"/>
    <s v="48oz"/>
    <n v="0.95"/>
    <n v="43320"/>
    <n v="369.08639999999997"/>
    <n v="281.29870129870125"/>
  </r>
  <r>
    <n v="68817793"/>
    <x v="16"/>
    <n v="26400"/>
    <d v="2023-09-11T00:00:00"/>
    <x v="48"/>
    <x v="2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8850684"/>
    <x v="16"/>
    <n v="26400"/>
    <d v="2023-09-11T00:00:00"/>
    <x v="354"/>
    <x v="13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9555090"/>
    <x v="16"/>
    <n v="40000"/>
    <d v="2023-09-11T00:00:00"/>
    <x v="254"/>
    <x v="14"/>
    <n v="1.98E-3"/>
    <n v="79.2"/>
    <s v="TA"/>
    <x v="9"/>
    <x v="42"/>
    <s v="Q3"/>
    <n v="176"/>
    <n v="227.27272727272728"/>
    <s v="TAL NV"/>
    <n v="0.97"/>
    <n v="38800"/>
    <n v="76.823999999999998"/>
    <n v="220.45454545454547"/>
  </r>
  <r>
    <n v="69568963"/>
    <x v="16"/>
    <n v="26400"/>
    <d v="2023-09-11T00:00:00"/>
    <x v="94"/>
    <x v="13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9572658"/>
    <x v="16"/>
    <n v="35000"/>
    <d v="2023-09-11T00:00:00"/>
    <x v="166"/>
    <x v="5"/>
    <n v="2.1520000000000003E-3"/>
    <n v="75.320000000000007"/>
    <s v="MG"/>
    <x v="9"/>
    <x v="5"/>
    <s v="Q3"/>
    <n v="210"/>
    <n v="166.66666666666666"/>
    <s v="MG Sticks"/>
    <n v="0.93"/>
    <n v="32550"/>
    <n v="70.047600000000017"/>
    <n v="155"/>
  </r>
  <r>
    <n v="69572659"/>
    <x v="16"/>
    <n v="36000"/>
    <d v="2023-09-11T00:00:00"/>
    <x v="5"/>
    <x v="5"/>
    <n v="2.1520000000000003E-3"/>
    <n v="77.472000000000008"/>
    <s v="MG"/>
    <x v="9"/>
    <x v="5"/>
    <s v="Q3"/>
    <n v="210"/>
    <n v="171.42857142857142"/>
    <s v="MG Sticks"/>
    <n v="0.93"/>
    <n v="33480"/>
    <n v="72.048960000000008"/>
    <n v="159.42857142857142"/>
  </r>
  <r>
    <n v="69621212"/>
    <x v="16"/>
    <n v="35100"/>
    <d v="2023-09-11T00:00:00"/>
    <x v="29"/>
    <x v="28"/>
    <n v="5.2680000000000001E-3"/>
    <n v="184.9068"/>
    <s v="PG"/>
    <x v="9"/>
    <x v="14"/>
    <s v="Q3"/>
    <n v="130"/>
    <n v="270"/>
    <s v="PG"/>
    <n v="0.9"/>
    <n v="31590"/>
    <n v="166.41612000000001"/>
    <n v="243"/>
  </r>
  <r>
    <n v="69706133"/>
    <x v="16"/>
    <n v="35700"/>
    <d v="2023-09-11T00:00:00"/>
    <x v="229"/>
    <x v="31"/>
    <n v="3.8999999999999998E-3"/>
    <n v="139.22999999999999"/>
    <s v="TA"/>
    <x v="9"/>
    <x v="42"/>
    <s v="Q3"/>
    <n v="176"/>
    <n v="202.84090909090909"/>
    <s v="TAL NV"/>
    <n v="0.97"/>
    <n v="34629"/>
    <n v="135.05309999999997"/>
    <n v="196.75568181818181"/>
  </r>
  <r>
    <n v="84135718"/>
    <x v="18"/>
    <n v="105600"/>
    <d v="2023-09-11T00:00:00"/>
    <x v="147"/>
    <x v="38"/>
    <n v="3.7853439999999999E-3"/>
    <n v="399.73232639999998"/>
    <s v="BJ"/>
    <x v="9"/>
    <x v="36"/>
    <s v="Q3"/>
    <n v="240"/>
    <n v="440"/>
    <s v="BJ PTS"/>
    <n v="0.9"/>
    <n v="95040"/>
    <n v="359.75909375999998"/>
    <n v="396"/>
  </r>
  <r>
    <n v="84162829"/>
    <x v="18"/>
    <n v="6600"/>
    <d v="2023-09-11T00:00:00"/>
    <x v="59"/>
    <x v="33"/>
    <n v="3.6640000000000002E-3"/>
    <n v="24.182400000000001"/>
    <s v="BJ"/>
    <x v="9"/>
    <x v="40"/>
    <s v="Q3"/>
    <n v="240"/>
    <n v="27.5"/>
    <s v="PTS Exports"/>
    <n v="0.9"/>
    <n v="5940"/>
    <n v="21.76416"/>
    <n v="24.75"/>
  </r>
  <r>
    <n v="67430513"/>
    <x v="17"/>
    <n v="102400"/>
    <d v="2023-09-11T00:00:00"/>
    <x v="119"/>
    <x v="38"/>
    <n v="3.7839999999999996E-3"/>
    <n v="387.48159999999996"/>
    <s v="BJ"/>
    <x v="9"/>
    <x v="15"/>
    <s v="Q3"/>
    <n v="240"/>
    <n v="426.66666666666669"/>
    <s v="BJ PTS"/>
    <n v="0.9"/>
    <n v="92160"/>
    <n v="348.73343999999997"/>
    <n v="384"/>
  </r>
  <r>
    <n v="67789313"/>
    <x v="17"/>
    <n v="102400"/>
    <d v="2023-09-11T00:00:00"/>
    <x v="169"/>
    <x v="35"/>
    <n v="3.7853439999999999E-3"/>
    <n v="387.61922559999999"/>
    <s v="BJ"/>
    <x v="9"/>
    <x v="15"/>
    <s v="Q3"/>
    <n v="240"/>
    <n v="426.66666666666669"/>
    <s v="BJ PTS"/>
    <n v="0.9"/>
    <n v="92160"/>
    <n v="348.85730303999998"/>
    <n v="384"/>
  </r>
  <r>
    <n v="67826411"/>
    <x v="17"/>
    <n v="102400"/>
    <d v="2023-09-11T00:00:00"/>
    <x v="148"/>
    <x v="35"/>
    <n v="3.7839999999999996E-3"/>
    <n v="387.48159999999996"/>
    <s v="BJ"/>
    <x v="9"/>
    <x v="15"/>
    <s v="Q3"/>
    <n v="240"/>
    <n v="426.66666666666669"/>
    <s v="BJ PTS"/>
    <n v="0.9"/>
    <n v="92160"/>
    <n v="348.73343999999997"/>
    <n v="384"/>
  </r>
  <r>
    <n v="67881629"/>
    <x v="17"/>
    <n v="102400"/>
    <d v="2023-09-11T00:00:00"/>
    <x v="65"/>
    <x v="33"/>
    <n v="3.7853439999999999E-3"/>
    <n v="387.61922559999999"/>
    <s v="BJ"/>
    <x v="9"/>
    <x v="15"/>
    <s v="Q3"/>
    <n v="240"/>
    <n v="426.66666666666669"/>
    <s v="BJ PTS"/>
    <n v="0.9"/>
    <n v="92160"/>
    <n v="348.85730303999998"/>
    <n v="384"/>
  </r>
  <r>
    <n v="68409142"/>
    <x v="17"/>
    <n v="32040"/>
    <d v="2023-09-11T00:00:00"/>
    <x v="60"/>
    <x v="35"/>
    <n v="1.419504E-3"/>
    <n v="45.480908159999998"/>
    <s v="BJ"/>
    <x v="9"/>
    <x v="25"/>
    <s v="Q3"/>
    <n v="510"/>
    <n v="62.823529411764703"/>
    <s v="B&amp;J Dog Treat"/>
    <n v="0.85"/>
    <n v="27234"/>
    <n v="38.658771936000001"/>
    <n v="53.4"/>
  </r>
  <r>
    <n v="69565376"/>
    <x v="17"/>
    <n v="102400"/>
    <d v="2023-09-11T00:00:00"/>
    <x v="206"/>
    <x v="35"/>
    <n v="3.7839999999999996E-3"/>
    <n v="387.48159999999996"/>
    <s v="BJ"/>
    <x v="9"/>
    <x v="15"/>
    <s v="Q3"/>
    <n v="240"/>
    <n v="426.66666666666669"/>
    <s v="BJ PTS"/>
    <n v="0.9"/>
    <n v="92160"/>
    <n v="348.73343999999997"/>
    <n v="384"/>
  </r>
  <r>
    <n v="67885719"/>
    <x v="16"/>
    <n v="45600"/>
    <d v="2023-09-12T00:00:00"/>
    <x v="11"/>
    <x v="32"/>
    <n v="8.5199999999999998E-3"/>
    <n v="388.512"/>
    <s v="BR"/>
    <x v="9"/>
    <x v="2"/>
    <s v="Q3"/>
    <n v="154"/>
    <n v="296.10389610389609"/>
    <s v="48oz"/>
    <n v="0.95"/>
    <n v="43320"/>
    <n v="369.08639999999997"/>
    <n v="281.29870129870125"/>
  </r>
  <r>
    <n v="68649095"/>
    <x v="16"/>
    <n v="57000"/>
    <d v="2023-09-12T00:00:00"/>
    <x v="286"/>
    <x v="15"/>
    <n v="3.5999999999999999E-3"/>
    <n v="205.2"/>
    <s v="BJ"/>
    <x v="9"/>
    <x v="19"/>
    <s v="Q3"/>
    <n v="240"/>
    <n v="237.5"/>
    <s v="Topped"/>
    <n v="0.91"/>
    <n v="51870"/>
    <n v="186.732"/>
    <n v="216.125"/>
  </r>
  <r>
    <n v="68726896"/>
    <x v="16"/>
    <n v="27000"/>
    <d v="2023-09-12T00:00:00"/>
    <x v="280"/>
    <x v="22"/>
    <n v="3.7853440000000004E-3"/>
    <n v="102.20428800000001"/>
    <s v="TA"/>
    <x v="9"/>
    <x v="10"/>
    <s v="Q3"/>
    <n v="255"/>
    <n v="105.88235294117646"/>
    <s v="TALENTI"/>
    <n v="0.94"/>
    <n v="25380"/>
    <n v="96.072030720000001"/>
    <n v="99.52941176470587"/>
  </r>
  <r>
    <n v="68726916"/>
    <x v="16"/>
    <n v="91200"/>
    <d v="2023-09-12T00:00:00"/>
    <x v="43"/>
    <x v="21"/>
    <n v="3.7853440000000004E-3"/>
    <n v="345.22337280000005"/>
    <s v="TA"/>
    <x v="9"/>
    <x v="10"/>
    <s v="Q3"/>
    <n v="255"/>
    <n v="357.64705882352939"/>
    <s v="TALENTI"/>
    <n v="0.94"/>
    <n v="85728"/>
    <n v="324.50997043200005"/>
    <n v="336.18823529411759"/>
  </r>
  <r>
    <n v="68741742"/>
    <x v="16"/>
    <n v="32400"/>
    <d v="2023-09-12T00:00:00"/>
    <x v="25"/>
    <x v="25"/>
    <n v="4.2560000000000002E-3"/>
    <n v="137.89440000000002"/>
    <s v="GH"/>
    <x v="9"/>
    <x v="11"/>
    <s v="Q3"/>
    <n v="154"/>
    <n v="210.3896103896104"/>
    <s v="MBG"/>
    <n v="0.87"/>
    <n v="28188"/>
    <n v="119.96812800000002"/>
    <n v="183.03896103896105"/>
  </r>
  <r>
    <n v="68896052"/>
    <x v="16"/>
    <n v="26400"/>
    <d v="2023-09-12T00:00:00"/>
    <x v="36"/>
    <x v="2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8899825"/>
    <x v="16"/>
    <n v="23400"/>
    <d v="2023-09-12T00:00:00"/>
    <x v="77"/>
    <x v="32"/>
    <n v="8.5199999999999998E-3"/>
    <n v="199.36799999999999"/>
    <s v="BR"/>
    <x v="9"/>
    <x v="2"/>
    <s v="Q3"/>
    <n v="176"/>
    <n v="132.95454545454547"/>
    <s v="48oz"/>
    <n v="0.95"/>
    <n v="22230"/>
    <n v="189.39959999999999"/>
    <n v="126.30681818181819"/>
  </r>
  <r>
    <n v="68922011"/>
    <x v="16"/>
    <n v="201732"/>
    <d v="2023-09-12T00:00:00"/>
    <x v="261"/>
    <x v="22"/>
    <n v="3.7853440000000004E-3"/>
    <n v="763.62501580800006"/>
    <s v="TA"/>
    <x v="9"/>
    <x v="10"/>
    <s v="Q3"/>
    <n v="255"/>
    <n v="791.10588235294119"/>
    <s v="TALENTI"/>
    <n v="0.94"/>
    <n v="189628.08"/>
    <n v="717.80751485951998"/>
    <n v="743.63952941176467"/>
  </r>
  <r>
    <n v="68922106"/>
    <x v="16"/>
    <n v="40000"/>
    <d v="2023-09-12T00:00:00"/>
    <x v="104"/>
    <x v="22"/>
    <n v="3.552E-3"/>
    <n v="142.08000000000001"/>
    <s v="TA"/>
    <x v="9"/>
    <x v="10"/>
    <s v="Q3"/>
    <n v="255"/>
    <n v="156.86274509803923"/>
    <s v="TALENTI"/>
    <n v="0.94"/>
    <n v="37600"/>
    <n v="133.55520000000001"/>
    <n v="147.45098039215688"/>
  </r>
  <r>
    <n v="69554197"/>
    <x v="16"/>
    <n v="22800"/>
    <d v="2023-09-12T00:00:00"/>
    <x v="15"/>
    <x v="15"/>
    <n v="3.7839999999999996E-3"/>
    <n v="86.275199999999984"/>
    <s v="BR"/>
    <x v="9"/>
    <x v="7"/>
    <s v="Q3"/>
    <n v="240"/>
    <n v="95"/>
    <s v="PTS"/>
    <n v="0.95"/>
    <n v="21660"/>
    <n v="81.961439999999982"/>
    <n v="90.25"/>
  </r>
  <r>
    <n v="69568964"/>
    <x v="16"/>
    <n v="35000"/>
    <d v="2023-09-12T00:00:00"/>
    <x v="134"/>
    <x v="32"/>
    <n v="8.5199999999999998E-3"/>
    <n v="298.2"/>
    <s v="BR"/>
    <x v="9"/>
    <x v="2"/>
    <s v="Q3"/>
    <n v="176"/>
    <n v="198.86363636363637"/>
    <s v="48oz"/>
    <n v="0.95"/>
    <n v="33250"/>
    <n v="283.28999999999996"/>
    <n v="188.92045454545453"/>
  </r>
  <r>
    <n v="69587862"/>
    <x v="16"/>
    <n v="35000"/>
    <d v="2023-09-12T00:00:00"/>
    <x v="311"/>
    <x v="2"/>
    <n v="8.5199999999999998E-3"/>
    <n v="298.2"/>
    <s v="BR"/>
    <x v="9"/>
    <x v="2"/>
    <s v="Q3"/>
    <n v="154"/>
    <n v="227.27272727272728"/>
    <s v="48oz"/>
    <n v="0.95"/>
    <n v="33250"/>
    <n v="283.28999999999996"/>
    <n v="215.90909090909091"/>
  </r>
  <r>
    <n v="69629468"/>
    <x v="16"/>
    <n v="32400"/>
    <d v="2023-09-12T00:00:00"/>
    <x v="30"/>
    <x v="30"/>
    <n v="5.2680000000000001E-3"/>
    <n v="170.6832"/>
    <s v="PS"/>
    <x v="9"/>
    <x v="14"/>
    <s v="Q3"/>
    <n v="130"/>
    <n v="249.23076923076923"/>
    <s v="PG"/>
    <n v="0.9"/>
    <n v="29160"/>
    <n v="153.61488"/>
    <n v="224.30769230769232"/>
  </r>
  <r>
    <n v="84141094"/>
    <x v="16"/>
    <n v="22800"/>
    <d v="2023-09-12T00:00:00"/>
    <x v="107"/>
    <x v="15"/>
    <n v="3.7853439999999999E-3"/>
    <n v="86.305843199999998"/>
    <s v="BJ"/>
    <x v="9"/>
    <x v="30"/>
    <s v="Q3"/>
    <n v="240"/>
    <n v="95"/>
    <s v="BJ PTS"/>
    <n v="0.9"/>
    <n v="20520"/>
    <n v="77.675258880000001"/>
    <n v="85.5"/>
  </r>
  <r>
    <n v="84164936"/>
    <x v="16"/>
    <n v="22800"/>
    <d v="2023-09-12T00:00:00"/>
    <x v="162"/>
    <x v="15"/>
    <n v="3.7853439999999999E-3"/>
    <n v="86.305843199999998"/>
    <s v="BJ"/>
    <x v="9"/>
    <x v="30"/>
    <s v="Q3"/>
    <n v="240"/>
    <n v="95"/>
    <s v="BJ PTS"/>
    <n v="0.9"/>
    <n v="20520"/>
    <n v="77.675258880000001"/>
    <n v="85.5"/>
  </r>
  <r>
    <n v="67466492"/>
    <x v="15"/>
    <n v="20250"/>
    <d v="2023-09-15T00:00:00"/>
    <x v="8"/>
    <x v="7"/>
    <n v="5.2680000000000001E-3"/>
    <n v="106.67700000000001"/>
    <s v="PS"/>
    <x v="9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9-17T00:00:00"/>
    <x v="8"/>
    <x v="8"/>
    <n v="5.2680000000000001E-3"/>
    <n v="123.27120000000001"/>
    <s v="PS"/>
    <x v="9"/>
    <x v="3"/>
    <s v="Q3"/>
    <n v="130"/>
    <n v="180"/>
    <s v="PG"/>
    <n v="0.9"/>
    <n v="21060"/>
    <n v="110.94408000000001"/>
    <n v="162"/>
  </r>
  <r>
    <n v="68741714"/>
    <x v="15"/>
    <n v="41400"/>
    <d v="2023-09-17T00:00:00"/>
    <x v="24"/>
    <x v="24"/>
    <n v="2.8319999999999999E-3"/>
    <n v="117.2448"/>
    <s v="GH"/>
    <x v="9"/>
    <x v="4"/>
    <s v="Q3"/>
    <n v="225"/>
    <n v="184"/>
    <s v="MBG"/>
    <n v="0.87"/>
    <n v="36018"/>
    <n v="102.002976"/>
    <n v="160.08000000000001"/>
  </r>
  <r>
    <n v="67465063"/>
    <x v="15"/>
    <n v="15413"/>
    <d v="2023-09-18T00:00:00"/>
    <x v="3"/>
    <x v="40"/>
    <n v="5.2680000000000001E-3"/>
    <n v="81.195684"/>
    <s v="PS"/>
    <x v="9"/>
    <x v="3"/>
    <s v="Q3"/>
    <n v="130"/>
    <n v="118.56153846153846"/>
    <s v="PG"/>
    <n v="0.9"/>
    <n v="13871.7"/>
    <n v="73.076115600000008"/>
    <n v="106.70538461538462"/>
  </r>
  <r>
    <n v="67465063"/>
    <x v="15"/>
    <n v="23400"/>
    <d v="2023-09-18T00:00:00"/>
    <x v="3"/>
    <x v="6"/>
    <n v="5.2680000000000001E-3"/>
    <n v="123.27120000000001"/>
    <s v="PS"/>
    <x v="9"/>
    <x v="3"/>
    <s v="Q3"/>
    <n v="130"/>
    <n v="180"/>
    <s v="PG"/>
    <n v="0.9"/>
    <n v="21060"/>
    <n v="110.94408000000001"/>
    <n v="162"/>
  </r>
  <r>
    <n v="67465064"/>
    <x v="15"/>
    <n v="13500"/>
    <d v="2023-09-18T00:00:00"/>
    <x v="7"/>
    <x v="3"/>
    <n v="1.596E-3"/>
    <n v="21.545999999999999"/>
    <s v="PS"/>
    <x v="9"/>
    <x v="3"/>
    <s v="Q3"/>
    <n v="130"/>
    <n v="103.84615384615384"/>
    <s v="PG"/>
    <n v="0.9"/>
    <n v="12150"/>
    <n v="19.391400000000001"/>
    <n v="93.461538461538453"/>
  </r>
  <r>
    <n v="67885719"/>
    <x v="15"/>
    <n v="25200"/>
    <d v="2023-09-18T00:00:00"/>
    <x v="11"/>
    <x v="11"/>
    <n v="8.5199999999999998E-3"/>
    <n v="214.70400000000001"/>
    <s v="BR"/>
    <x v="9"/>
    <x v="6"/>
    <s v="Q3"/>
    <n v="154"/>
    <n v="163.63636363636363"/>
    <s v="48oz"/>
    <n v="0.95"/>
    <n v="23940"/>
    <n v="203.96879999999999"/>
    <n v="155.45454545454544"/>
  </r>
  <r>
    <n v="67885719"/>
    <x v="15"/>
    <n v="50400"/>
    <d v="2023-09-18T00:00:00"/>
    <x v="11"/>
    <x v="23"/>
    <n v="8.5199999999999998E-3"/>
    <n v="429.40800000000002"/>
    <s v="BR"/>
    <x v="9"/>
    <x v="6"/>
    <s v="Q3"/>
    <n v="154"/>
    <n v="327.27272727272725"/>
    <s v="48oz"/>
    <n v="0.95"/>
    <n v="47880"/>
    <n v="407.93759999999997"/>
    <n v="310.90909090909088"/>
  </r>
  <r>
    <n v="68188183"/>
    <x v="15"/>
    <n v="13500"/>
    <d v="2023-09-18T00:00:00"/>
    <x v="70"/>
    <x v="9"/>
    <n v="3.8340000000000002E-3"/>
    <n v="51.759"/>
    <s v="PS"/>
    <x v="9"/>
    <x v="3"/>
    <s v="Q3"/>
    <n v="130"/>
    <n v="103.84615384615384"/>
    <s v="PG"/>
    <n v="0.9"/>
    <n v="12150"/>
    <n v="46.583100000000002"/>
    <n v="93.461538461538453"/>
  </r>
  <r>
    <n v="68634168"/>
    <x v="15"/>
    <n v="20400"/>
    <d v="2023-09-18T00:00:00"/>
    <x v="42"/>
    <x v="16"/>
    <n v="8.5170239596469108E-3"/>
    <n v="173.74728877679698"/>
    <s v="BR"/>
    <x v="9"/>
    <x v="6"/>
    <s v="Q3"/>
    <n v="154"/>
    <n v="132.46753246753246"/>
    <s v="48oz"/>
    <n v="0.95"/>
    <n v="19380"/>
    <n v="165.05992433795711"/>
    <n v="125.84415584415584"/>
  </r>
  <r>
    <n v="68769686"/>
    <x v="15"/>
    <n v="3150"/>
    <d v="2023-09-18T00:00:00"/>
    <x v="266"/>
    <x v="23"/>
    <n v="8.513999999999999E-3"/>
    <n v="26.819099999999995"/>
    <s v="BR"/>
    <x v="9"/>
    <x v="6"/>
    <s v="Q3"/>
    <n v="154"/>
    <n v="20.454545454545453"/>
    <s v="48oz"/>
    <n v="0.95"/>
    <n v="2992.5"/>
    <n v="25.478144999999994"/>
    <n v="19.43181818181818"/>
  </r>
  <r>
    <n v="68817793"/>
    <x v="15"/>
    <n v="22800"/>
    <d v="2023-09-18T00:00:00"/>
    <x v="48"/>
    <x v="12"/>
    <n v="8.5199999999999998E-3"/>
    <n v="194.256"/>
    <s v="BR"/>
    <x v="9"/>
    <x v="6"/>
    <s v="Q3"/>
    <n v="176"/>
    <n v="129.54545454545453"/>
    <s v="48oz"/>
    <n v="0.95"/>
    <n v="21660"/>
    <n v="184.54319999999998"/>
    <n v="123.0681818181818"/>
  </r>
  <r>
    <n v="68850683"/>
    <x v="15"/>
    <n v="50400"/>
    <d v="2023-09-18T00:00:00"/>
    <x v="335"/>
    <x v="11"/>
    <n v="8.5199999999999998E-3"/>
    <n v="429.40800000000002"/>
    <s v="BR"/>
    <x v="9"/>
    <x v="6"/>
    <s v="Q3"/>
    <n v="176"/>
    <n v="286.36363636363637"/>
    <s v="48oz"/>
    <n v="0.95"/>
    <n v="47880"/>
    <n v="407.93759999999997"/>
    <n v="272.04545454545456"/>
  </r>
  <r>
    <n v="68881270"/>
    <x v="15"/>
    <n v="11900"/>
    <d v="2023-09-18T00:00:00"/>
    <x v="91"/>
    <x v="12"/>
    <n v="8.5199999999999998E-3"/>
    <n v="101.38799999999999"/>
    <s v="BR"/>
    <x v="9"/>
    <x v="6"/>
    <s v="Q3"/>
    <n v="176"/>
    <n v="67.61363636363636"/>
    <s v="48oz"/>
    <n v="0.95"/>
    <n v="11305"/>
    <n v="96.318599999999989"/>
    <n v="64.232954545454533"/>
  </r>
  <r>
    <n v="68881272"/>
    <x v="15"/>
    <n v="20400"/>
    <d v="2023-09-18T00:00:00"/>
    <x v="124"/>
    <x v="16"/>
    <n v="8.5199999999999998E-3"/>
    <n v="173.80799999999999"/>
    <s v="BR"/>
    <x v="9"/>
    <x v="6"/>
    <s v="Q3"/>
    <n v="154"/>
    <n v="132.46753246753246"/>
    <s v="48oz"/>
    <n v="0.95"/>
    <n v="19380"/>
    <n v="165.11759999999998"/>
    <n v="125.84415584415584"/>
  </r>
  <r>
    <n v="68930545"/>
    <x v="15"/>
    <n v="22800"/>
    <d v="2023-09-18T00:00:00"/>
    <x v="93"/>
    <x v="12"/>
    <n v="8.5199999999999998E-3"/>
    <n v="194.256"/>
    <s v="BR"/>
    <x v="9"/>
    <x v="6"/>
    <s v="Q3"/>
    <n v="176"/>
    <n v="129.54545454545453"/>
    <s v="48oz"/>
    <n v="0.95"/>
    <n v="21660"/>
    <n v="184.54319999999998"/>
    <n v="123.0681818181818"/>
  </r>
  <r>
    <n v="69629468"/>
    <x v="15"/>
    <n v="24000"/>
    <d v="2023-09-18T00:00:00"/>
    <x v="30"/>
    <x v="29"/>
    <n v="5.2680000000000001E-3"/>
    <n v="126.432"/>
    <s v="PS"/>
    <x v="9"/>
    <x v="3"/>
    <s v="Q3"/>
    <n v="130"/>
    <n v="184.61538461538461"/>
    <s v="PG"/>
    <n v="0.9"/>
    <n v="21600"/>
    <n v="113.78880000000001"/>
    <n v="166.15384615384616"/>
  </r>
  <r>
    <n v="69671641"/>
    <x v="15"/>
    <n v="27600"/>
    <d v="2023-09-18T00:00:00"/>
    <x v="260"/>
    <x v="4"/>
    <n v="3.9039999999999999E-3"/>
    <n v="107.7504"/>
    <s v="GH"/>
    <x v="9"/>
    <x v="4"/>
    <s v="Q3"/>
    <n v="154"/>
    <n v="179.22077922077921"/>
    <s v="MBG"/>
    <n v="0.87"/>
    <n v="24012"/>
    <n v="93.742847999999995"/>
    <n v="155.9220779220779"/>
  </r>
  <r>
    <n v="67885719"/>
    <x v="16"/>
    <n v="26400"/>
    <d v="2023-09-18T00:00:00"/>
    <x v="11"/>
    <x v="2"/>
    <n v="8.5199999999999998E-3"/>
    <n v="224.928"/>
    <s v="BR"/>
    <x v="9"/>
    <x v="2"/>
    <s v="Q3"/>
    <n v="154"/>
    <n v="171.42857142857142"/>
    <s v="48oz"/>
    <n v="0.95"/>
    <n v="25080"/>
    <n v="213.68159999999997"/>
    <n v="162.85714285714283"/>
  </r>
  <r>
    <n v="67885719"/>
    <x v="16"/>
    <n v="26400"/>
    <d v="2023-09-18T00:00:00"/>
    <x v="11"/>
    <x v="13"/>
    <n v="8.5199999999999998E-3"/>
    <n v="224.928"/>
    <s v="BR"/>
    <x v="9"/>
    <x v="2"/>
    <s v="Q3"/>
    <n v="154"/>
    <n v="171.42857142857142"/>
    <s v="48oz"/>
    <n v="0.95"/>
    <n v="25080"/>
    <n v="213.68159999999997"/>
    <n v="162.85714285714283"/>
  </r>
  <r>
    <n v="67885723"/>
    <x v="16"/>
    <n v="3300"/>
    <d v="2023-09-18T00:00:00"/>
    <x v="304"/>
    <x v="13"/>
    <n v="8.5199999999999998E-3"/>
    <n v="28.116"/>
    <s v="BR"/>
    <x v="9"/>
    <x v="2"/>
    <s v="Q3"/>
    <n v="154"/>
    <n v="21.428571428571427"/>
    <s v="48oz"/>
    <n v="0.95"/>
    <n v="3135"/>
    <n v="26.710199999999997"/>
    <n v="20.357142857142854"/>
  </r>
  <r>
    <n v="68817793"/>
    <x v="16"/>
    <n v="26400"/>
    <d v="2023-09-18T00:00:00"/>
    <x v="48"/>
    <x v="2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8881270"/>
    <x v="16"/>
    <n v="13200"/>
    <d v="2023-09-18T00:00:00"/>
    <x v="91"/>
    <x v="13"/>
    <n v="8.5199999999999998E-3"/>
    <n v="112.464"/>
    <s v="BR"/>
    <x v="9"/>
    <x v="2"/>
    <s v="Q3"/>
    <n v="176"/>
    <n v="75"/>
    <s v="48oz"/>
    <n v="0.95"/>
    <n v="12540"/>
    <n v="106.84079999999999"/>
    <n v="71.25"/>
  </r>
  <r>
    <n v="69568829"/>
    <x v="16"/>
    <n v="26400"/>
    <d v="2023-09-18T00:00:00"/>
    <x v="66"/>
    <x v="13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9572544"/>
    <x v="16"/>
    <n v="44000"/>
    <d v="2023-09-18T00:00:00"/>
    <x v="171"/>
    <x v="14"/>
    <n v="1.9740000000000001E-3"/>
    <n v="86.856000000000009"/>
    <s v="MG"/>
    <x v="9"/>
    <x v="5"/>
    <s v="Q3"/>
    <n v="176"/>
    <n v="250"/>
    <s v="MG Sticks"/>
    <n v="0.93"/>
    <n v="40920"/>
    <n v="80.776080000000007"/>
    <n v="232.5"/>
  </r>
  <r>
    <n v="69572657"/>
    <x v="16"/>
    <n v="71000"/>
    <d v="2023-09-18T00:00:00"/>
    <x v="306"/>
    <x v="5"/>
    <n v="2.1520000000000003E-3"/>
    <n v="152.79200000000003"/>
    <s v="MG"/>
    <x v="9"/>
    <x v="5"/>
    <s v="Q3"/>
    <n v="210"/>
    <n v="338.09523809523807"/>
    <s v="MG Sticks"/>
    <n v="0.93"/>
    <n v="66030"/>
    <n v="142.09656000000004"/>
    <n v="314.42857142857144"/>
  </r>
  <r>
    <n v="69621212"/>
    <x v="16"/>
    <n v="35100"/>
    <d v="2023-09-18T00:00:00"/>
    <x v="29"/>
    <x v="28"/>
    <n v="5.2680000000000001E-3"/>
    <n v="184.9068"/>
    <s v="PG"/>
    <x v="9"/>
    <x v="14"/>
    <s v="Q3"/>
    <n v="130"/>
    <n v="270"/>
    <s v="PG"/>
    <n v="0.9"/>
    <n v="31590"/>
    <n v="166.41612000000001"/>
    <n v="243"/>
  </r>
  <r>
    <n v="69717802"/>
    <x v="16"/>
    <n v="33150"/>
    <d v="2023-09-18T00:00:00"/>
    <x v="31"/>
    <x v="31"/>
    <n v="4.2560000000000002E-3"/>
    <n v="141.0864"/>
    <s v="BR"/>
    <x v="9"/>
    <x v="5"/>
    <s v="Q3"/>
    <n v="143"/>
    <n v="231.81818181818181"/>
    <s v="MG Sticks"/>
    <n v="0.93"/>
    <n v="30829.5"/>
    <n v="131.210352"/>
    <n v="215.59090909090909"/>
  </r>
  <r>
    <n v="84137725"/>
    <x v="18"/>
    <n v="105600"/>
    <d v="2023-09-18T00:00:00"/>
    <x v="132"/>
    <x v="33"/>
    <n v="3.7853439999999999E-3"/>
    <n v="399.73232639999998"/>
    <s v="BJ"/>
    <x v="9"/>
    <x v="36"/>
    <s v="Q3"/>
    <n v="240"/>
    <n v="440"/>
    <s v="BJ PTS"/>
    <n v="0.9"/>
    <n v="95040"/>
    <n v="359.75909375999998"/>
    <n v="396"/>
  </r>
  <r>
    <n v="84141103"/>
    <x v="18"/>
    <n v="105600"/>
    <d v="2023-09-18T00:00:00"/>
    <x v="294"/>
    <x v="38"/>
    <n v="3.7853439999999999E-3"/>
    <n v="399.73232639999998"/>
    <s v="BJ"/>
    <x v="9"/>
    <x v="36"/>
    <s v="Q3"/>
    <n v="240"/>
    <n v="440"/>
    <s v="BJ PTS"/>
    <n v="0.9"/>
    <n v="95040"/>
    <n v="359.75909375999998"/>
    <n v="396"/>
  </r>
  <r>
    <n v="67278447"/>
    <x v="17"/>
    <n v="30160"/>
    <d v="2023-09-18T00:00:00"/>
    <x v="290"/>
    <x v="42"/>
    <n v="3.7839999999999996E-3"/>
    <n v="114.12543999999998"/>
    <s v="BJ"/>
    <x v="9"/>
    <x v="15"/>
    <s v="Q3"/>
    <n v="240"/>
    <n v="125.66666666666667"/>
    <s v="BJ PTS"/>
    <n v="0.9"/>
    <n v="27144"/>
    <n v="102.71289599999999"/>
    <n v="113.10000000000001"/>
  </r>
  <r>
    <n v="67736698"/>
    <x v="17"/>
    <n v="18560"/>
    <d v="2023-09-18T00:00:00"/>
    <x v="140"/>
    <x v="33"/>
    <n v="3.7839999999999996E-3"/>
    <n v="70.231039999999993"/>
    <s v="BJ"/>
    <x v="9"/>
    <x v="15"/>
    <s v="Q3"/>
    <n v="240"/>
    <n v="77.333333333333329"/>
    <s v="BJ PTS"/>
    <n v="0.9"/>
    <n v="16704"/>
    <n v="63.207935999999997"/>
    <n v="69.599999999999994"/>
  </r>
  <r>
    <n v="67794168"/>
    <x v="17"/>
    <n v="10440"/>
    <d v="2023-09-18T00:00:00"/>
    <x v="367"/>
    <x v="33"/>
    <n v="3.7853439999999999E-3"/>
    <n v="39.518991360000001"/>
    <s v="BJ"/>
    <x v="9"/>
    <x v="15"/>
    <s v="Q3"/>
    <n v="240"/>
    <n v="43.5"/>
    <s v="BJ PTS"/>
    <n v="0.9"/>
    <n v="9396"/>
    <n v="35.567092224"/>
    <n v="39.15"/>
  </r>
  <r>
    <n v="67904289"/>
    <x v="17"/>
    <n v="34800"/>
    <d v="2023-09-18T00:00:00"/>
    <x v="235"/>
    <x v="33"/>
    <n v="3.7839999999999996E-3"/>
    <n v="131.6832"/>
    <s v="BJ"/>
    <x v="9"/>
    <x v="15"/>
    <s v="Q3"/>
    <n v="240"/>
    <n v="145"/>
    <s v="BJ PTS"/>
    <n v="0.9"/>
    <n v="31320"/>
    <n v="118.51488000000001"/>
    <n v="130.5"/>
  </r>
  <r>
    <n v="68188511"/>
    <x v="17"/>
    <n v="16240"/>
    <d v="2023-09-18T00:00:00"/>
    <x v="188"/>
    <x v="35"/>
    <n v="3.7853439999999999E-3"/>
    <n v="61.47398656"/>
    <s v="BJ"/>
    <x v="9"/>
    <x v="15"/>
    <s v="Q3"/>
    <n v="240"/>
    <n v="67.666666666666671"/>
    <s v="BJ PTS"/>
    <n v="0.9"/>
    <n v="14616"/>
    <n v="55.326587904"/>
    <n v="60.900000000000006"/>
  </r>
  <r>
    <n v="68188513"/>
    <x v="17"/>
    <n v="22400"/>
    <d v="2023-09-18T00:00:00"/>
    <x v="279"/>
    <x v="35"/>
    <n v="3.7853439999999999E-3"/>
    <n v="84.7917056"/>
    <s v="BJ"/>
    <x v="9"/>
    <x v="15"/>
    <s v="Q3"/>
    <n v="240"/>
    <n v="93.333333333333329"/>
    <s v="BJ PTS"/>
    <n v="0.9"/>
    <n v="20160"/>
    <n v="76.31253504"/>
    <n v="84"/>
  </r>
  <r>
    <n v="68188514"/>
    <x v="17"/>
    <n v="18560"/>
    <d v="2023-09-18T00:00:00"/>
    <x v="180"/>
    <x v="35"/>
    <n v="3.7853439999999999E-3"/>
    <n v="70.255984639999994"/>
    <s v="BJ"/>
    <x v="9"/>
    <x v="15"/>
    <s v="Q3"/>
    <n v="240"/>
    <n v="77.333333333333329"/>
    <s v="BJ PTS"/>
    <n v="0.9"/>
    <n v="16704"/>
    <n v="63.230386175999996"/>
    <n v="69.599999999999994"/>
  </r>
  <r>
    <n v="68823975"/>
    <x v="17"/>
    <n v="18600"/>
    <d v="2023-09-18T00:00:00"/>
    <x v="385"/>
    <x v="35"/>
    <n v="9.0848256361922702E-3"/>
    <n v="168.97775683317622"/>
    <s v="BJ"/>
    <x v="9"/>
    <x v="39"/>
    <s v="Q3"/>
    <n v="125"/>
    <n v="148.80000000000001"/>
    <s v="2.4 gal"/>
    <n v="0.85"/>
    <n v="15810"/>
    <n v="143.63109330819978"/>
    <n v="126.48"/>
  </r>
  <r>
    <n v="84136704"/>
    <x v="17"/>
    <n v="34800"/>
    <d v="2023-09-18T00:00:00"/>
    <x v="223"/>
    <x v="38"/>
    <n v="3.7853439999999999E-3"/>
    <n v="131.72997119999999"/>
    <s v="BJ"/>
    <x v="9"/>
    <x v="15"/>
    <s v="Q3"/>
    <n v="240"/>
    <n v="145"/>
    <s v="BJ PTS"/>
    <n v="0.9"/>
    <n v="31320"/>
    <n v="118.55697408"/>
    <n v="130.5"/>
  </r>
  <r>
    <n v="84138391"/>
    <x v="17"/>
    <n v="74240"/>
    <d v="2023-09-18T00:00:00"/>
    <x v="84"/>
    <x v="33"/>
    <n v="3.7853439999999999E-3"/>
    <n v="281.02393855999998"/>
    <s v="BJ"/>
    <x v="9"/>
    <x v="15"/>
    <s v="Q3"/>
    <n v="240"/>
    <n v="309.33333333333331"/>
    <s v="BJ PTS"/>
    <n v="0.9"/>
    <n v="66816"/>
    <n v="252.92154470399998"/>
    <n v="278.39999999999998"/>
  </r>
  <r>
    <n v="84143851"/>
    <x v="17"/>
    <n v="27840"/>
    <d v="2023-09-18T00:00:00"/>
    <x v="374"/>
    <x v="35"/>
    <n v="3.7853439999999999E-3"/>
    <n v="105.38397696"/>
    <s v="BJ"/>
    <x v="9"/>
    <x v="15"/>
    <s v="Q3"/>
    <n v="240"/>
    <n v="116"/>
    <s v="BJ PTS"/>
    <n v="0.9"/>
    <n v="25056"/>
    <n v="94.845579263999994"/>
    <n v="104.4"/>
  </r>
  <r>
    <n v="67885721"/>
    <x v="16"/>
    <n v="91200"/>
    <d v="2023-09-19T00:00:00"/>
    <x v="40"/>
    <x v="32"/>
    <n v="8.5199999999999998E-3"/>
    <n v="777.024"/>
    <s v="BR"/>
    <x v="9"/>
    <x v="2"/>
    <s v="Q3"/>
    <n v="154"/>
    <n v="592.20779220779218"/>
    <s v="48oz"/>
    <n v="0.95"/>
    <n v="86640"/>
    <n v="738.17279999999994"/>
    <n v="562.59740259740249"/>
  </r>
  <r>
    <n v="67885722"/>
    <x v="16"/>
    <n v="5700"/>
    <d v="2023-09-19T00:00:00"/>
    <x v="163"/>
    <x v="32"/>
    <n v="8.5199999999999998E-3"/>
    <n v="48.564"/>
    <s v="BR"/>
    <x v="9"/>
    <x v="2"/>
    <s v="Q3"/>
    <n v="154"/>
    <n v="37.012987012987011"/>
    <s v="48oz"/>
    <n v="0.95"/>
    <n v="5415"/>
    <n v="46.135799999999996"/>
    <n v="35.162337662337656"/>
  </r>
  <r>
    <n v="68354589"/>
    <x v="16"/>
    <n v="136800"/>
    <d v="2023-09-19T00:00:00"/>
    <x v="53"/>
    <x v="15"/>
    <n v="3.5999999999999999E-3"/>
    <n v="492.47999999999996"/>
    <s v="BJ"/>
    <x v="9"/>
    <x v="19"/>
    <s v="Q3"/>
    <n v="240"/>
    <n v="570"/>
    <s v="Topped"/>
    <n v="0.91"/>
    <n v="124488"/>
    <n v="448.15679999999998"/>
    <n v="518.70000000000005"/>
  </r>
  <r>
    <n v="68726982"/>
    <x v="16"/>
    <n v="57000"/>
    <d v="2023-09-19T00:00:00"/>
    <x v="291"/>
    <x v="21"/>
    <n v="3.7853440000000004E-3"/>
    <n v="215.76460800000001"/>
    <s v="TA"/>
    <x v="9"/>
    <x v="10"/>
    <s v="Q3"/>
    <n v="255"/>
    <n v="223.52941176470588"/>
    <s v="TALENTI"/>
    <n v="0.94"/>
    <n v="53580"/>
    <n v="202.81873152"/>
    <n v="210.11764705882351"/>
  </r>
  <r>
    <n v="68728321"/>
    <x v="16"/>
    <n v="25000"/>
    <d v="2023-09-19T00:00:00"/>
    <x v="150"/>
    <x v="22"/>
    <n v="3.7853439999999999E-3"/>
    <n v="94.633600000000001"/>
    <s v="TA"/>
    <x v="9"/>
    <x v="10"/>
    <s v="Q3"/>
    <n v="255"/>
    <n v="98.039215686274517"/>
    <s v="TALENTI"/>
    <n v="0.94"/>
    <n v="23500"/>
    <n v="88.955584000000002"/>
    <n v="92.156862745098039"/>
  </r>
  <r>
    <n v="68729634"/>
    <x v="16"/>
    <n v="25000"/>
    <d v="2023-09-19T00:00:00"/>
    <x v="92"/>
    <x v="22"/>
    <n v="3.7853439999999999E-3"/>
    <n v="94.633600000000001"/>
    <s v="TA"/>
    <x v="9"/>
    <x v="10"/>
    <s v="Q3"/>
    <n v="255"/>
    <n v="98.039215686274517"/>
    <s v="TALENTI"/>
    <n v="0.94"/>
    <n v="23500"/>
    <n v="88.955584000000002"/>
    <n v="92.156862745098039"/>
  </r>
  <r>
    <n v="68729679"/>
    <x v="16"/>
    <n v="57000"/>
    <d v="2023-09-19T00:00:00"/>
    <x v="127"/>
    <x v="21"/>
    <n v="3.7853440000000004E-3"/>
    <n v="215.76460800000001"/>
    <s v="TA"/>
    <x v="9"/>
    <x v="10"/>
    <s v="Q3"/>
    <n v="255"/>
    <n v="223.52941176470588"/>
    <s v="TALENTI"/>
    <n v="0.94"/>
    <n v="53580"/>
    <n v="202.81873152"/>
    <n v="210.11764705882351"/>
  </r>
  <r>
    <n v="68741742"/>
    <x v="16"/>
    <n v="32400"/>
    <d v="2023-09-19T00:00:00"/>
    <x v="25"/>
    <x v="25"/>
    <n v="4.2560000000000002E-3"/>
    <n v="137.89440000000002"/>
    <s v="GH"/>
    <x v="9"/>
    <x v="11"/>
    <s v="Q3"/>
    <n v="154"/>
    <n v="210.3896103896104"/>
    <s v="MBG"/>
    <n v="0.87"/>
    <n v="28188"/>
    <n v="119.96812800000002"/>
    <n v="183.03896103896105"/>
  </r>
  <r>
    <n v="68817793"/>
    <x v="16"/>
    <n v="23400"/>
    <d v="2023-09-19T00:00:00"/>
    <x v="48"/>
    <x v="32"/>
    <n v="8.5199999999999998E-3"/>
    <n v="199.36799999999999"/>
    <s v="BR"/>
    <x v="9"/>
    <x v="2"/>
    <s v="Q3"/>
    <n v="176"/>
    <n v="132.95454545454547"/>
    <s v="48oz"/>
    <n v="0.95"/>
    <n v="22230"/>
    <n v="189.39959999999999"/>
    <n v="126.30681818181819"/>
  </r>
  <r>
    <n v="68896054"/>
    <x v="16"/>
    <n v="26400"/>
    <d v="2023-09-19T00:00:00"/>
    <x v="181"/>
    <x v="2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9568962"/>
    <x v="16"/>
    <n v="23400"/>
    <d v="2023-09-19T00:00:00"/>
    <x v="121"/>
    <x v="32"/>
    <n v="8.5199999999999998E-3"/>
    <n v="199.36799999999999"/>
    <s v="BR"/>
    <x v="9"/>
    <x v="2"/>
    <s v="Q3"/>
    <n v="176"/>
    <n v="132.95454545454547"/>
    <s v="48oz"/>
    <n v="0.95"/>
    <n v="22230"/>
    <n v="189.39959999999999"/>
    <n v="126.30681818181819"/>
  </r>
  <r>
    <n v="69629468"/>
    <x v="16"/>
    <n v="32400"/>
    <d v="2023-09-19T00:00:00"/>
    <x v="30"/>
    <x v="30"/>
    <n v="5.2680000000000001E-3"/>
    <n v="170.6832"/>
    <s v="PS"/>
    <x v="9"/>
    <x v="14"/>
    <s v="Q3"/>
    <n v="130"/>
    <n v="249.23076923076923"/>
    <s v="PG"/>
    <n v="0.9"/>
    <n v="29160"/>
    <n v="153.61488"/>
    <n v="224.30769230769232"/>
  </r>
  <r>
    <n v="67466492"/>
    <x v="15"/>
    <n v="20250"/>
    <d v="2023-09-22T00:00:00"/>
    <x v="8"/>
    <x v="7"/>
    <n v="5.2680000000000001E-3"/>
    <n v="106.67700000000001"/>
    <s v="PS"/>
    <x v="9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09-24T00:00:00"/>
    <x v="8"/>
    <x v="8"/>
    <n v="5.2680000000000001E-3"/>
    <n v="123.27120000000001"/>
    <s v="PS"/>
    <x v="9"/>
    <x v="3"/>
    <s v="Q3"/>
    <n v="130"/>
    <n v="180"/>
    <s v="PG"/>
    <n v="0.9"/>
    <n v="21060"/>
    <n v="110.94408000000001"/>
    <n v="162"/>
  </r>
  <r>
    <n v="68741714"/>
    <x v="15"/>
    <n v="41400"/>
    <d v="2023-09-24T00:00:00"/>
    <x v="24"/>
    <x v="24"/>
    <n v="2.8319999999999999E-3"/>
    <n v="117.2448"/>
    <s v="GH"/>
    <x v="9"/>
    <x v="4"/>
    <s v="Q3"/>
    <n v="225"/>
    <n v="184"/>
    <s v="MBG"/>
    <n v="0.87"/>
    <n v="36018"/>
    <n v="102.002976"/>
    <n v="160.08000000000001"/>
  </r>
  <r>
    <n v="67465063"/>
    <x v="15"/>
    <n v="15413"/>
    <d v="2023-09-25T00:00:00"/>
    <x v="3"/>
    <x v="40"/>
    <n v="5.2680000000000001E-3"/>
    <n v="81.195684"/>
    <s v="PS"/>
    <x v="9"/>
    <x v="3"/>
    <s v="Q3"/>
    <n v="130"/>
    <n v="118.56153846153846"/>
    <s v="PG"/>
    <n v="0.9"/>
    <n v="13871.7"/>
    <n v="73.076115600000008"/>
    <n v="106.70538461538462"/>
  </r>
  <r>
    <n v="67465063"/>
    <x v="15"/>
    <n v="23400"/>
    <d v="2023-09-25T00:00:00"/>
    <x v="3"/>
    <x v="6"/>
    <n v="5.2680000000000001E-3"/>
    <n v="123.27120000000001"/>
    <s v="PS"/>
    <x v="9"/>
    <x v="3"/>
    <s v="Q3"/>
    <n v="130"/>
    <n v="180"/>
    <s v="PG"/>
    <n v="0.9"/>
    <n v="21060"/>
    <n v="110.94408000000001"/>
    <n v="162"/>
  </r>
  <r>
    <n v="67465064"/>
    <x v="15"/>
    <n v="13500"/>
    <d v="2023-09-25T00:00:00"/>
    <x v="7"/>
    <x v="3"/>
    <n v="1.596E-3"/>
    <n v="21.545999999999999"/>
    <s v="PS"/>
    <x v="9"/>
    <x v="3"/>
    <s v="Q3"/>
    <n v="130"/>
    <n v="103.84615384615384"/>
    <s v="PG"/>
    <n v="0.9"/>
    <n v="12150"/>
    <n v="19.391400000000001"/>
    <n v="93.461538461538453"/>
  </r>
  <r>
    <n v="67476456"/>
    <x v="15"/>
    <n v="1"/>
    <d v="2023-09-25T00:00:00"/>
    <x v="9"/>
    <x v="10"/>
    <n v="1.536E-3"/>
    <n v="1.536E-3"/>
    <s v="PS"/>
    <x v="9"/>
    <x v="3"/>
    <s v="Q3"/>
    <n v="400"/>
    <n v="2.5000000000000001E-3"/>
    <s v="PG"/>
    <n v="0.9"/>
    <n v="0.9"/>
    <n v="1.3824E-3"/>
    <n v="2.2500000000000003E-3"/>
  </r>
  <r>
    <n v="67476456"/>
    <x v="15"/>
    <n v="1"/>
    <d v="2023-09-25T00:00:00"/>
    <x v="9"/>
    <x v="9"/>
    <n v="1.536E-3"/>
    <n v="1.536E-3"/>
    <s v="PS"/>
    <x v="9"/>
    <x v="3"/>
    <s v="Q3"/>
    <n v="400"/>
    <n v="2.5000000000000001E-3"/>
    <s v="PG"/>
    <n v="0.9"/>
    <n v="0.9"/>
    <n v="1.3824E-3"/>
    <n v="2.2500000000000003E-3"/>
  </r>
  <r>
    <n v="67476560"/>
    <x v="15"/>
    <m/>
    <d v="2023-09-25T00:00:00"/>
    <x v="10"/>
    <x v="10"/>
    <n v="5.1060000000000003E-3"/>
    <n v="0"/>
    <s v="PS"/>
    <x v="9"/>
    <x v="3"/>
    <s v="Q3"/>
    <n v="130"/>
    <n v="0"/>
    <s v="PG"/>
    <n v="0.9"/>
    <n v="0"/>
    <n v="0"/>
    <n v="0"/>
  </r>
  <r>
    <n v="67723726"/>
    <x v="15"/>
    <n v="25200"/>
    <d v="2023-09-25T00:00:00"/>
    <x v="109"/>
    <x v="23"/>
    <n v="8.5199999999999998E-3"/>
    <n v="214.70400000000001"/>
    <s v="BR"/>
    <x v="9"/>
    <x v="6"/>
    <s v="Q3"/>
    <n v="154"/>
    <n v="163.63636363636363"/>
    <s v="48oz"/>
    <n v="0.95"/>
    <n v="23940"/>
    <n v="203.96879999999999"/>
    <n v="155.45454545454544"/>
  </r>
  <r>
    <n v="67885719"/>
    <x v="15"/>
    <n v="25200"/>
    <d v="2023-09-25T00:00:00"/>
    <x v="11"/>
    <x v="11"/>
    <n v="8.5199999999999998E-3"/>
    <n v="214.70400000000001"/>
    <s v="BR"/>
    <x v="9"/>
    <x v="6"/>
    <s v="Q3"/>
    <n v="154"/>
    <n v="163.63636363636363"/>
    <s v="48oz"/>
    <n v="0.95"/>
    <n v="23940"/>
    <n v="203.96879999999999"/>
    <n v="155.45454545454544"/>
  </r>
  <r>
    <n v="67885724"/>
    <x v="15"/>
    <n v="22800"/>
    <d v="2023-09-25T00:00:00"/>
    <x v="49"/>
    <x v="12"/>
    <n v="8.5199999999999998E-3"/>
    <n v="194.256"/>
    <s v="BR"/>
    <x v="9"/>
    <x v="6"/>
    <s v="Q3"/>
    <n v="154"/>
    <n v="148.05194805194805"/>
    <s v="48oz"/>
    <n v="0.95"/>
    <n v="21660"/>
    <n v="184.54319999999998"/>
    <n v="140.64935064935062"/>
  </r>
  <r>
    <n v="68634168"/>
    <x v="15"/>
    <n v="20400"/>
    <d v="2023-09-25T00:00:00"/>
    <x v="42"/>
    <x v="16"/>
    <n v="8.5170239596469108E-3"/>
    <n v="173.74728877679698"/>
    <s v="BR"/>
    <x v="9"/>
    <x v="6"/>
    <s v="Q3"/>
    <n v="154"/>
    <n v="132.46753246753246"/>
    <s v="48oz"/>
    <n v="0.95"/>
    <n v="19380"/>
    <n v="165.05992433795711"/>
    <n v="125.84415584415584"/>
  </r>
  <r>
    <n v="68850683"/>
    <x v="15"/>
    <n v="25200"/>
    <d v="2023-09-25T00:00:00"/>
    <x v="335"/>
    <x v="11"/>
    <n v="8.5199999999999998E-3"/>
    <n v="214.70400000000001"/>
    <s v="BR"/>
    <x v="9"/>
    <x v="6"/>
    <s v="Q3"/>
    <n v="176"/>
    <n v="143.18181818181819"/>
    <s v="48oz"/>
    <n v="0.95"/>
    <n v="23940"/>
    <n v="203.96879999999999"/>
    <n v="136.02272727272728"/>
  </r>
  <r>
    <n v="68850683"/>
    <x v="15"/>
    <n v="22800"/>
    <d v="2023-09-25T00:00:00"/>
    <x v="335"/>
    <x v="12"/>
    <n v="8.5199999999999998E-3"/>
    <n v="194.256"/>
    <s v="BR"/>
    <x v="9"/>
    <x v="6"/>
    <s v="Q3"/>
    <n v="176"/>
    <n v="129.54545454545453"/>
    <s v="48oz"/>
    <n v="0.95"/>
    <n v="21660"/>
    <n v="184.54319999999998"/>
    <n v="123.0681818181818"/>
  </r>
  <r>
    <n v="68850684"/>
    <x v="15"/>
    <n v="20400"/>
    <d v="2023-09-25T00:00:00"/>
    <x v="354"/>
    <x v="16"/>
    <n v="8.5199999999999998E-3"/>
    <n v="173.80799999999999"/>
    <s v="BR"/>
    <x v="9"/>
    <x v="6"/>
    <s v="Q3"/>
    <n v="176"/>
    <n v="115.90909090909091"/>
    <s v="48oz"/>
    <n v="0.95"/>
    <n v="19380"/>
    <n v="165.11759999999998"/>
    <n v="110.11363636363636"/>
  </r>
  <r>
    <n v="68899821"/>
    <x v="15"/>
    <n v="24000"/>
    <d v="2023-09-25T00:00:00"/>
    <x v="149"/>
    <x v="23"/>
    <n v="8.5199999999999998E-3"/>
    <n v="204.48"/>
    <s v="BR"/>
    <x v="9"/>
    <x v="6"/>
    <s v="Q3"/>
    <n v="176"/>
    <n v="136.36363636363637"/>
    <s v="48oz"/>
    <n v="0.95"/>
    <n v="22800"/>
    <n v="194.25599999999997"/>
    <n v="129.54545454545456"/>
  </r>
  <r>
    <n v="69568828"/>
    <x v="15"/>
    <n v="20400"/>
    <d v="2023-09-25T00:00:00"/>
    <x v="12"/>
    <x v="16"/>
    <n v="8.5199999999999998E-3"/>
    <n v="173.80799999999999"/>
    <s v="BR"/>
    <x v="9"/>
    <x v="6"/>
    <s v="Q3"/>
    <n v="176"/>
    <n v="115.90909090909091"/>
    <s v="48oz"/>
    <n v="0.95"/>
    <n v="19380"/>
    <n v="165.11759999999998"/>
    <n v="110.11363636363636"/>
  </r>
  <r>
    <n v="69568828"/>
    <x v="15"/>
    <n v="25200"/>
    <d v="2023-09-25T00:00:00"/>
    <x v="12"/>
    <x v="23"/>
    <n v="8.5199999999999998E-3"/>
    <n v="214.70400000000001"/>
    <s v="BR"/>
    <x v="9"/>
    <x v="6"/>
    <s v="Q3"/>
    <n v="176"/>
    <n v="143.18181818181819"/>
    <s v="48oz"/>
    <n v="0.95"/>
    <n v="23940"/>
    <n v="203.96879999999999"/>
    <n v="136.02272727272728"/>
  </r>
  <r>
    <n v="69629468"/>
    <x v="15"/>
    <n v="24000"/>
    <d v="2023-09-25T00:00:00"/>
    <x v="30"/>
    <x v="29"/>
    <n v="5.2680000000000001E-3"/>
    <n v="126.432"/>
    <s v="PS"/>
    <x v="9"/>
    <x v="3"/>
    <s v="Q3"/>
    <n v="130"/>
    <n v="184.61538461538461"/>
    <s v="PG"/>
    <n v="0.9"/>
    <n v="21600"/>
    <n v="113.78880000000001"/>
    <n v="166.15384615384616"/>
  </r>
  <r>
    <n v="69671641"/>
    <x v="15"/>
    <n v="27600"/>
    <d v="2023-09-25T00:00:00"/>
    <x v="260"/>
    <x v="4"/>
    <n v="3.9039999999999999E-3"/>
    <n v="107.7504"/>
    <s v="GH"/>
    <x v="9"/>
    <x v="4"/>
    <s v="Q3"/>
    <n v="154"/>
    <n v="179.22077922077921"/>
    <s v="MBG"/>
    <n v="0.87"/>
    <n v="24012"/>
    <n v="93.742847999999995"/>
    <n v="155.9220779220779"/>
  </r>
  <r>
    <n v="67309841"/>
    <x v="16"/>
    <n v="46000"/>
    <d v="2023-09-25T00:00:00"/>
    <x v="32"/>
    <x v="13"/>
    <n v="8.5199999999999998E-3"/>
    <n v="391.92"/>
    <s v="BR"/>
    <x v="9"/>
    <x v="2"/>
    <s v="Q3"/>
    <n v="154"/>
    <n v="298.7012987012987"/>
    <s v="48oz"/>
    <n v="0.95"/>
    <n v="43700"/>
    <n v="372.32400000000001"/>
    <n v="283.76623376623377"/>
  </r>
  <r>
    <n v="67901592"/>
    <x v="16"/>
    <n v="5700"/>
    <d v="2023-09-25T00:00:00"/>
    <x v="240"/>
    <x v="32"/>
    <n v="8.5199999999999998E-3"/>
    <n v="48.564"/>
    <s v="BR"/>
    <x v="9"/>
    <x v="2"/>
    <s v="Q3"/>
    <n v="154"/>
    <n v="37.012987012987011"/>
    <s v="48oz"/>
    <n v="0.95"/>
    <n v="5415"/>
    <n v="46.135799999999996"/>
    <n v="35.162337662337656"/>
  </r>
  <r>
    <n v="67901593"/>
    <x v="16"/>
    <n v="91200"/>
    <d v="2023-09-25T00:00:00"/>
    <x v="68"/>
    <x v="32"/>
    <n v="8.5199999999999998E-3"/>
    <n v="777.024"/>
    <s v="BR"/>
    <x v="9"/>
    <x v="2"/>
    <s v="Q3"/>
    <n v="154"/>
    <n v="592.20779220779218"/>
    <s v="48oz"/>
    <n v="0.95"/>
    <n v="86640"/>
    <n v="738.17279999999994"/>
    <n v="562.59740259740249"/>
  </r>
  <r>
    <n v="68821728"/>
    <x v="16"/>
    <n v="26400"/>
    <d v="2023-09-25T00:00:00"/>
    <x v="35"/>
    <x v="13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9568963"/>
    <x v="16"/>
    <n v="26400"/>
    <d v="2023-09-25T00:00:00"/>
    <x v="94"/>
    <x v="13"/>
    <n v="8.5199999999999998E-3"/>
    <n v="224.928"/>
    <s v="BR"/>
    <x v="9"/>
    <x v="2"/>
    <s v="Q3"/>
    <n v="176"/>
    <n v="150"/>
    <s v="48oz"/>
    <n v="0.95"/>
    <n v="25080"/>
    <n v="213.68159999999997"/>
    <n v="142.5"/>
  </r>
  <r>
    <n v="69571484"/>
    <x v="16"/>
    <n v="88000"/>
    <d v="2023-09-04T00:00:00"/>
    <x v="230"/>
    <x v="5"/>
    <n v="1.2960000000000001E-2"/>
    <n v="1140.48"/>
    <s v="MG"/>
    <x v="9"/>
    <x v="5"/>
    <s v="Q3"/>
    <n v="493"/>
    <n v="178.49898580121703"/>
    <s v="MG Sticks"/>
    <n v="0.93"/>
    <n v="81840"/>
    <n v="1060.6464000000001"/>
    <n v="166.00405679513185"/>
  </r>
  <r>
    <n v="69591653"/>
    <x v="16"/>
    <n v="44000"/>
    <d v="2023-09-25T00:00:00"/>
    <x v="365"/>
    <x v="14"/>
    <n v="1.98E-3"/>
    <n v="87.12"/>
    <s v="MG"/>
    <x v="9"/>
    <x v="5"/>
    <s v="Q3"/>
    <n v="176"/>
    <n v="250"/>
    <s v="MG Sticks"/>
    <n v="0.93"/>
    <n v="40920"/>
    <n v="81.021600000000007"/>
    <n v="232.5"/>
  </r>
  <r>
    <n v="69621212"/>
    <x v="16"/>
    <n v="35100"/>
    <d v="2023-09-25T00:00:00"/>
    <x v="29"/>
    <x v="28"/>
    <n v="5.2680000000000001E-3"/>
    <n v="184.9068"/>
    <s v="PG"/>
    <x v="9"/>
    <x v="14"/>
    <s v="Q3"/>
    <n v="130"/>
    <n v="270"/>
    <s v="PG"/>
    <n v="0.9"/>
    <n v="31590"/>
    <n v="166.41612000000001"/>
    <n v="243"/>
  </r>
  <r>
    <n v="69717803"/>
    <x v="16"/>
    <n v="33150"/>
    <d v="2023-09-25T00:00:00"/>
    <x v="69"/>
    <x v="31"/>
    <n v="4.2560000000000002E-3"/>
    <n v="141.0864"/>
    <s v="BR"/>
    <x v="9"/>
    <x v="5"/>
    <s v="Q3"/>
    <n v="143"/>
    <n v="231.81818181818181"/>
    <s v="MG Sticks"/>
    <n v="0.93"/>
    <n v="30829.5"/>
    <n v="131.210352"/>
    <n v="215.59090909090909"/>
  </r>
  <r>
    <n v="84137725"/>
    <x v="18"/>
    <n v="105600"/>
    <d v="2023-09-25T00:00:00"/>
    <x v="132"/>
    <x v="33"/>
    <n v="3.7853439999999999E-3"/>
    <n v="399.73232639999998"/>
    <s v="BJ"/>
    <x v="9"/>
    <x v="36"/>
    <s v="Q3"/>
    <n v="240"/>
    <n v="440"/>
    <s v="BJ PTS"/>
    <n v="0.9"/>
    <n v="95040"/>
    <n v="359.75909375999998"/>
    <n v="396"/>
  </r>
  <r>
    <n v="84141102"/>
    <x v="18"/>
    <n v="105600"/>
    <d v="2023-09-25T00:00:00"/>
    <x v="217"/>
    <x v="38"/>
    <n v="3.7853439999999999E-3"/>
    <n v="399.73232639999998"/>
    <s v="BJ"/>
    <x v="9"/>
    <x v="36"/>
    <s v="Q3"/>
    <n v="240"/>
    <n v="440"/>
    <s v="BJ PTS"/>
    <n v="0.9"/>
    <n v="95040"/>
    <n v="359.75909375999998"/>
    <n v="396"/>
  </r>
  <r>
    <n v="67278448"/>
    <x v="17"/>
    <n v="35960"/>
    <d v="2023-09-25T00:00:00"/>
    <x v="182"/>
    <x v="33"/>
    <n v="3.7839999999999996E-3"/>
    <n v="136.07263999999998"/>
    <s v="BJ"/>
    <x v="9"/>
    <x v="15"/>
    <s v="Q3"/>
    <n v="240"/>
    <n v="149.83333333333334"/>
    <s v="BJ PTS"/>
    <n v="0.9"/>
    <n v="32364"/>
    <n v="122.46537599999998"/>
    <n v="134.85000000000002"/>
  </r>
  <r>
    <n v="67526826"/>
    <x v="17"/>
    <n v="35960"/>
    <d v="2023-09-25T00:00:00"/>
    <x v="187"/>
    <x v="33"/>
    <n v="3.7839999999999996E-3"/>
    <n v="136.07263999999998"/>
    <s v="BJ"/>
    <x v="9"/>
    <x v="15"/>
    <s v="Q3"/>
    <n v="240"/>
    <n v="149.83333333333334"/>
    <s v="BJ PTS"/>
    <n v="0.9"/>
    <n v="32364"/>
    <n v="122.46537599999998"/>
    <n v="134.85000000000002"/>
  </r>
  <r>
    <n v="67596354"/>
    <x v="17"/>
    <n v="21360"/>
    <d v="2023-09-25T00:00:00"/>
    <x v="317"/>
    <x v="35"/>
    <n v="3.6640000000000002E-3"/>
    <n v="78.263040000000004"/>
    <s v="BJ"/>
    <x v="9"/>
    <x v="24"/>
    <s v="Q3"/>
    <n v="240"/>
    <n v="89"/>
    <s v="PTS Exports"/>
    <n v="0.9"/>
    <n v="19224"/>
    <n v="70.43673600000001"/>
    <n v="80.100000000000009"/>
  </r>
  <r>
    <n v="67803006"/>
    <x v="17"/>
    <n v="24360"/>
    <d v="2023-09-25T00:00:00"/>
    <x v="151"/>
    <x v="35"/>
    <n v="3.6640000000000002E-3"/>
    <n v="89.255040000000008"/>
    <s v="BJ"/>
    <x v="9"/>
    <x v="24"/>
    <s v="Q3"/>
    <n v="240"/>
    <n v="101.5"/>
    <s v="PTS Exports"/>
    <n v="0.9"/>
    <n v="21924"/>
    <n v="80.329536000000004"/>
    <n v="91.350000000000009"/>
  </r>
  <r>
    <n v="67881628"/>
    <x v="17"/>
    <n v="30160"/>
    <d v="2023-09-25T00:00:00"/>
    <x v="64"/>
    <x v="33"/>
    <n v="3.7853439999999999E-3"/>
    <n v="114.16597503999999"/>
    <s v="BJ"/>
    <x v="9"/>
    <x v="15"/>
    <s v="Q3"/>
    <n v="240"/>
    <n v="125.66666666666667"/>
    <s v="BJ PTS"/>
    <n v="0.9"/>
    <n v="27144"/>
    <n v="102.749377536"/>
    <n v="113.10000000000001"/>
  </r>
  <r>
    <n v="67905834"/>
    <x v="17"/>
    <n v="28800"/>
    <d v="2023-09-25T00:00:00"/>
    <x v="201"/>
    <x v="35"/>
    <n v="3.7839999999999996E-3"/>
    <n v="108.97919999999999"/>
    <s v="BJ"/>
    <x v="9"/>
    <x v="15"/>
    <s v="Q3"/>
    <n v="240"/>
    <n v="120"/>
    <s v="BJ PTS"/>
    <n v="0.9"/>
    <n v="25920"/>
    <n v="98.081279999999992"/>
    <n v="108"/>
  </r>
  <r>
    <n v="68654233"/>
    <x v="17"/>
    <n v="18560"/>
    <d v="2023-09-25T00:00:00"/>
    <x v="102"/>
    <x v="33"/>
    <n v="3.7853439999999999E-3"/>
    <n v="70.255984639999994"/>
    <s v="BJ"/>
    <x v="9"/>
    <x v="15"/>
    <s v="Q3"/>
    <n v="240"/>
    <n v="77.333333333333329"/>
    <s v="BJ PTS"/>
    <n v="0.9"/>
    <n v="16704"/>
    <n v="63.230386175999996"/>
    <n v="69.599999999999994"/>
  </r>
  <r>
    <n v="68823975"/>
    <x v="17"/>
    <n v="13280"/>
    <d v="2023-09-25T00:00:00"/>
    <x v="385"/>
    <x v="35"/>
    <n v="9.0848256361922702E-3"/>
    <n v="120.64648444863334"/>
    <s v="BJ"/>
    <x v="9"/>
    <x v="39"/>
    <s v="Q3"/>
    <n v="125"/>
    <n v="106.24"/>
    <s v="2.4 gal"/>
    <n v="0.85"/>
    <n v="11288"/>
    <n v="102.54951178133834"/>
    <n v="90.303999999999988"/>
  </r>
  <r>
    <n v="68940226"/>
    <x v="17"/>
    <n v="30160"/>
    <d v="2023-09-25T00:00:00"/>
    <x v="113"/>
    <x v="35"/>
    <n v="3.7839999999999996E-3"/>
    <n v="114.12543999999998"/>
    <s v="BJ"/>
    <x v="9"/>
    <x v="15"/>
    <s v="Q3"/>
    <n v="240"/>
    <n v="125.66666666666667"/>
    <s v="BJ PTS"/>
    <n v="0.9"/>
    <n v="27144"/>
    <n v="102.71289599999999"/>
    <n v="113.10000000000001"/>
  </r>
  <r>
    <n v="84141101"/>
    <x v="17"/>
    <n v="34800"/>
    <d v="2023-09-25T00:00:00"/>
    <x v="86"/>
    <x v="35"/>
    <n v="3.7853439999999999E-3"/>
    <n v="131.72997119999999"/>
    <s v="BJ"/>
    <x v="9"/>
    <x v="15"/>
    <s v="Q3"/>
    <n v="240"/>
    <n v="145"/>
    <s v="BJ PTS"/>
    <n v="0.9"/>
    <n v="31320"/>
    <n v="118.55697408"/>
    <n v="130.5"/>
  </r>
  <r>
    <n v="84141101"/>
    <x v="17"/>
    <n v="34800"/>
    <d v="2023-09-25T00:00:00"/>
    <x v="86"/>
    <x v="34"/>
    <n v="3.7853439999999999E-3"/>
    <n v="131.72997119999999"/>
    <s v="BJ"/>
    <x v="9"/>
    <x v="15"/>
    <s v="Q3"/>
    <n v="240"/>
    <n v="145"/>
    <s v="BJ PTS"/>
    <n v="0.9"/>
    <n v="31320"/>
    <n v="118.55697408"/>
    <n v="130.5"/>
  </r>
  <r>
    <n v="84150071"/>
    <x v="17"/>
    <n v="32040"/>
    <d v="2023-09-25T00:00:00"/>
    <x v="117"/>
    <x v="33"/>
    <n v="1.4384307203870285E-3"/>
    <n v="46.087320281200398"/>
    <s v="BJ"/>
    <x v="9"/>
    <x v="31"/>
    <s v="Q3"/>
    <n v="510"/>
    <n v="62.823529411764703"/>
    <s v="Cup Exports"/>
    <n v="0.85"/>
    <n v="27234"/>
    <n v="39.174222239020338"/>
    <n v="53.4"/>
  </r>
  <r>
    <n v="84151113"/>
    <x v="17"/>
    <n v="32040"/>
    <d v="2023-09-25T00:00:00"/>
    <x v="161"/>
    <x v="33"/>
    <n v="1.419504E-3"/>
    <n v="45.480908159999998"/>
    <s v="BJ"/>
    <x v="9"/>
    <x v="31"/>
    <s v="Q3"/>
    <n v="510"/>
    <n v="62.823529411764703"/>
    <s v="Cup Exports"/>
    <n v="0.85"/>
    <n v="27234"/>
    <n v="38.658771936000001"/>
    <n v="53.4"/>
  </r>
  <r>
    <n v="84164937"/>
    <x v="17"/>
    <n v="27840"/>
    <d v="2023-09-25T00:00:00"/>
    <x v="234"/>
    <x v="38"/>
    <n v="3.7853439999999999E-3"/>
    <n v="105.38397696"/>
    <s v="BJ"/>
    <x v="9"/>
    <x v="15"/>
    <s v="Q3"/>
    <n v="240"/>
    <n v="116"/>
    <s v="BJ PTS"/>
    <n v="0.9"/>
    <n v="25056"/>
    <n v="94.845579263999994"/>
    <n v="104.4"/>
  </r>
  <r>
    <n v="67309841"/>
    <x v="16"/>
    <n v="45600"/>
    <d v="2023-09-26T00:00:00"/>
    <x v="32"/>
    <x v="32"/>
    <n v="8.5199999999999998E-3"/>
    <n v="388.512"/>
    <s v="BR"/>
    <x v="9"/>
    <x v="2"/>
    <s v="Q3"/>
    <n v="154"/>
    <n v="296.10389610389609"/>
    <s v="48oz"/>
    <n v="0.95"/>
    <n v="43320"/>
    <n v="369.08639999999997"/>
    <n v="281.29870129870125"/>
  </r>
  <r>
    <n v="68741742"/>
    <x v="16"/>
    <n v="32400"/>
    <d v="2023-09-26T00:00:00"/>
    <x v="25"/>
    <x v="25"/>
    <n v="4.2560000000000002E-3"/>
    <n v="137.89440000000002"/>
    <s v="GH"/>
    <x v="9"/>
    <x v="11"/>
    <s v="Q3"/>
    <n v="154"/>
    <n v="210.3896103896104"/>
    <s v="MBG"/>
    <n v="0.87"/>
    <n v="28188"/>
    <n v="119.96812800000002"/>
    <n v="183.03896103896105"/>
  </r>
  <r>
    <n v="68881270"/>
    <x v="16"/>
    <n v="46000"/>
    <d v="2023-09-26T00:00:00"/>
    <x v="91"/>
    <x v="2"/>
    <n v="8.5199999999999998E-3"/>
    <n v="391.92"/>
    <s v="BR"/>
    <x v="9"/>
    <x v="2"/>
    <s v="Q3"/>
    <n v="176"/>
    <n v="261.36363636363637"/>
    <s v="48oz"/>
    <n v="0.95"/>
    <n v="43700"/>
    <n v="372.32400000000001"/>
    <n v="248.29545454545453"/>
  </r>
  <r>
    <n v="68896056"/>
    <x v="16"/>
    <n v="35000"/>
    <d v="2023-09-26T00:00:00"/>
    <x v="116"/>
    <x v="2"/>
    <n v="8.5199999999999998E-3"/>
    <n v="298.2"/>
    <s v="BR"/>
    <x v="9"/>
    <x v="2"/>
    <s v="Q3"/>
    <n v="176"/>
    <n v="198.86363636363637"/>
    <s v="48oz"/>
    <n v="0.95"/>
    <n v="33250"/>
    <n v="283.28999999999996"/>
    <n v="188.92045454545453"/>
  </r>
  <r>
    <n v="68922108"/>
    <x v="16"/>
    <n v="91200"/>
    <d v="2023-09-26T00:00:00"/>
    <x v="184"/>
    <x v="21"/>
    <n v="3.7839999999999996E-3"/>
    <n v="345.10079999999994"/>
    <s v="TA"/>
    <x v="9"/>
    <x v="10"/>
    <s v="Q3"/>
    <n v="255"/>
    <n v="357.64705882352939"/>
    <s v="TALENTI"/>
    <n v="0.94"/>
    <n v="85728"/>
    <n v="324.39475199999993"/>
    <n v="336.18823529411759"/>
  </r>
  <r>
    <n v="69554197"/>
    <x v="16"/>
    <n v="22800"/>
    <d v="2023-09-26T00:00:00"/>
    <x v="15"/>
    <x v="15"/>
    <n v="3.7839999999999996E-3"/>
    <n v="86.275199999999984"/>
    <s v="BR"/>
    <x v="9"/>
    <x v="7"/>
    <s v="Q3"/>
    <n v="240"/>
    <n v="95"/>
    <s v="PTS"/>
    <n v="0.95"/>
    <n v="21660"/>
    <n v="81.961439999999982"/>
    <n v="90.25"/>
  </r>
  <r>
    <n v="69564623"/>
    <x v="16"/>
    <n v="35000"/>
    <d v="2023-09-26T00:00:00"/>
    <x v="238"/>
    <x v="2"/>
    <n v="8.5199999999999998E-3"/>
    <n v="298.2"/>
    <s v="BR"/>
    <x v="9"/>
    <x v="2"/>
    <s v="Q3"/>
    <n v="176"/>
    <n v="198.86363636363637"/>
    <s v="48oz"/>
    <n v="0.95"/>
    <n v="33250"/>
    <n v="283.28999999999996"/>
    <n v="188.92045454545453"/>
  </r>
  <r>
    <n v="69629468"/>
    <x v="16"/>
    <n v="32400"/>
    <d v="2023-09-26T00:00:00"/>
    <x v="30"/>
    <x v="30"/>
    <n v="5.2680000000000001E-3"/>
    <n v="170.6832"/>
    <s v="PS"/>
    <x v="9"/>
    <x v="14"/>
    <s v="Q3"/>
    <n v="130"/>
    <n v="249.23076923076923"/>
    <s v="PG"/>
    <n v="0.9"/>
    <n v="29160"/>
    <n v="153.61488"/>
    <n v="224.30769230769232"/>
  </r>
  <r>
    <n v="69691903"/>
    <x v="16"/>
    <n v="57000"/>
    <d v="2023-09-26T00:00:00"/>
    <x v="172"/>
    <x v="21"/>
    <n v="3.7839999999999996E-3"/>
    <n v="215.68799999999999"/>
    <s v="TA"/>
    <x v="9"/>
    <x v="10"/>
    <s v="Q3"/>
    <n v="255"/>
    <n v="223.52941176470588"/>
    <s v="TALENTI"/>
    <n v="0.94"/>
    <n v="53580"/>
    <n v="202.74671999999998"/>
    <n v="210.11764705882351"/>
  </r>
  <r>
    <n v="84135770"/>
    <x v="16"/>
    <n v="0"/>
    <d v="2023-09-26T00:00:00"/>
    <x v="277"/>
    <x v="15"/>
    <n v="3.7853439999999999E-3"/>
    <n v="0"/>
    <s v="BJ"/>
    <x v="9"/>
    <x v="30"/>
    <s v="Q3"/>
    <n v="240"/>
    <n v="0"/>
    <s v="BJ PTS"/>
    <n v="0.9"/>
    <n v="0"/>
    <n v="0"/>
    <n v="0"/>
  </r>
  <r>
    <n v="84135781"/>
    <x v="16"/>
    <n v="0"/>
    <d v="2023-09-26T00:00:00"/>
    <x v="356"/>
    <x v="15"/>
    <n v="3.7853439999999999E-3"/>
    <n v="0"/>
    <s v="BJ"/>
    <x v="9"/>
    <x v="30"/>
    <s v="Q3"/>
    <n v="240"/>
    <n v="0"/>
    <s v="BJ PTS"/>
    <n v="0.9"/>
    <n v="0"/>
    <n v="0"/>
    <n v="0"/>
  </r>
  <r>
    <n v="84141094"/>
    <x v="16"/>
    <n v="68400"/>
    <d v="2023-09-26T00:00:00"/>
    <x v="107"/>
    <x v="15"/>
    <n v="3.7853439999999999E-3"/>
    <n v="258.91752960000002"/>
    <s v="BJ"/>
    <x v="9"/>
    <x v="30"/>
    <s v="Q3"/>
    <n v="240"/>
    <n v="285"/>
    <s v="BJ PTS"/>
    <n v="0.9"/>
    <n v="61560"/>
    <n v="233.02577664000003"/>
    <n v="256.5"/>
  </r>
  <r>
    <n v="67466492"/>
    <x v="15"/>
    <n v="20250"/>
    <d v="2023-09-29T00:00:00"/>
    <x v="8"/>
    <x v="7"/>
    <n v="5.2680000000000001E-3"/>
    <n v="106.67700000000001"/>
    <s v="PS"/>
    <x v="9"/>
    <x v="3"/>
    <s v="Q3"/>
    <n v="130"/>
    <n v="155.76923076923077"/>
    <s v="PG"/>
    <n v="0.9"/>
    <n v="18225"/>
    <n v="96.00930000000001"/>
    <n v="140.19230769230771"/>
  </r>
  <r>
    <n v="67466492"/>
    <x v="15"/>
    <n v="23400"/>
    <d v="2023-10-01T00:00:00"/>
    <x v="8"/>
    <x v="8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8741714"/>
    <x v="15"/>
    <n v="41400"/>
    <d v="2023-10-01T00:00:00"/>
    <x v="24"/>
    <x v="24"/>
    <n v="2.8319999999999999E-3"/>
    <n v="117.2448"/>
    <s v="GH"/>
    <x v="7"/>
    <x v="4"/>
    <s v="Q4"/>
    <n v="225"/>
    <n v="184"/>
    <s v="MBG"/>
    <n v="0.87"/>
    <n v="36018"/>
    <n v="102.002976"/>
    <n v="160.08000000000001"/>
  </r>
  <r>
    <n v="67309843"/>
    <x v="15"/>
    <n v="22800"/>
    <d v="2023-10-02T00:00:00"/>
    <x v="88"/>
    <x v="12"/>
    <n v="8.5199999999999998E-3"/>
    <n v="194.256"/>
    <s v="BR"/>
    <x v="7"/>
    <x v="6"/>
    <s v="Q4"/>
    <n v="154"/>
    <n v="148.05194805194805"/>
    <s v="48oz"/>
    <n v="0.95"/>
    <n v="21660"/>
    <n v="184.54319999999998"/>
    <n v="140.64935064935062"/>
  </r>
  <r>
    <n v="67309843"/>
    <x v="15"/>
    <n v="25200"/>
    <d v="2023-10-02T00:00:00"/>
    <x v="88"/>
    <x v="11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465063"/>
    <x v="15"/>
    <n v="15413"/>
    <d v="2023-10-02T00:00:00"/>
    <x v="3"/>
    <x v="40"/>
    <n v="5.2680000000000001E-3"/>
    <n v="81.195684"/>
    <s v="PS"/>
    <x v="7"/>
    <x v="3"/>
    <s v="Q4"/>
    <n v="130"/>
    <n v="118.56153846153846"/>
    <s v="PG"/>
    <n v="0.9"/>
    <n v="13871.7"/>
    <n v="73.076115600000008"/>
    <n v="106.70538461538462"/>
  </r>
  <r>
    <n v="67465063"/>
    <x v="15"/>
    <n v="23400"/>
    <d v="2023-10-02T00:00:00"/>
    <x v="3"/>
    <x v="6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465064"/>
    <x v="15"/>
    <n v="13500"/>
    <d v="2023-10-02T00:00:00"/>
    <x v="7"/>
    <x v="3"/>
    <n v="1.596E-3"/>
    <n v="21.545999999999999"/>
    <s v="PS"/>
    <x v="7"/>
    <x v="3"/>
    <s v="Q4"/>
    <n v="130"/>
    <n v="103.84615384615384"/>
    <s v="PG"/>
    <n v="0.9"/>
    <n v="12150"/>
    <n v="19.391400000000001"/>
    <n v="93.461538461538453"/>
  </r>
  <r>
    <n v="67476560"/>
    <x v="15"/>
    <m/>
    <d v="2023-10-02T00:00:00"/>
    <x v="10"/>
    <x v="10"/>
    <n v="5.1060000000000003E-3"/>
    <n v="0"/>
    <s v="PS"/>
    <x v="7"/>
    <x v="3"/>
    <s v="Q4"/>
    <n v="130"/>
    <n v="0"/>
    <s v="PG"/>
    <n v="0.9"/>
    <n v="0"/>
    <n v="0"/>
    <n v="0"/>
  </r>
  <r>
    <n v="67885719"/>
    <x v="15"/>
    <n v="25200"/>
    <d v="2023-10-02T00:00:00"/>
    <x v="11"/>
    <x v="23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885720"/>
    <x v="15"/>
    <n v="2850"/>
    <d v="2023-10-02T00:00:00"/>
    <x v="39"/>
    <x v="12"/>
    <n v="8.5199999999999998E-3"/>
    <n v="24.282"/>
    <s v="BR"/>
    <x v="7"/>
    <x v="6"/>
    <s v="Q4"/>
    <n v="154"/>
    <n v="18.506493506493506"/>
    <s v="48oz"/>
    <n v="0.95"/>
    <n v="2707.5"/>
    <n v="23.067899999999998"/>
    <n v="17.581168831168828"/>
  </r>
  <r>
    <n v="67885721"/>
    <x v="15"/>
    <n v="25200"/>
    <d v="2023-10-02T00:00:00"/>
    <x v="40"/>
    <x v="23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8634168"/>
    <x v="15"/>
    <n v="20400"/>
    <d v="2023-10-02T00:00:00"/>
    <x v="42"/>
    <x v="16"/>
    <n v="8.5170239596469108E-3"/>
    <n v="173.74728877679698"/>
    <s v="BR"/>
    <x v="7"/>
    <x v="6"/>
    <s v="Q4"/>
    <n v="154"/>
    <n v="132.46753246753246"/>
    <s v="48oz"/>
    <n v="0.95"/>
    <n v="19380"/>
    <n v="165.05992433795711"/>
    <n v="125.84415584415584"/>
  </r>
  <r>
    <n v="68850684"/>
    <x v="15"/>
    <n v="50400"/>
    <d v="2023-10-02T00:00:00"/>
    <x v="354"/>
    <x v="11"/>
    <n v="8.5199999999999998E-3"/>
    <n v="429.40800000000002"/>
    <s v="BR"/>
    <x v="7"/>
    <x v="6"/>
    <s v="Q4"/>
    <n v="176"/>
    <n v="286.36363636363637"/>
    <s v="48oz"/>
    <n v="0.95"/>
    <n v="47880"/>
    <n v="407.93759999999997"/>
    <n v="272.04545454545456"/>
  </r>
  <r>
    <n v="68890246"/>
    <x v="15"/>
    <n v="22800"/>
    <d v="2023-10-02T00:00:00"/>
    <x v="250"/>
    <x v="12"/>
    <n v="5.1101999999999995E-2"/>
    <n v="1165.1255999999998"/>
    <s v="BR"/>
    <x v="7"/>
    <x v="6"/>
    <s v="Q4"/>
    <n v="176"/>
    <n v="129.54545454545453"/>
    <s v="48oz"/>
    <n v="0.95"/>
    <n v="21660"/>
    <n v="1106.8693199999998"/>
    <n v="123.0681818181818"/>
  </r>
  <r>
    <n v="68899826"/>
    <x v="15"/>
    <n v="25200"/>
    <d v="2023-10-02T00:00:00"/>
    <x v="129"/>
    <x v="12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9551489"/>
    <x v="15"/>
    <n v="30000"/>
    <d v="2023-10-02T00:00:00"/>
    <x v="338"/>
    <x v="4"/>
    <n v="3.8989043190215313E-3"/>
    <n v="116.96712957064594"/>
    <s v="GH"/>
    <x v="7"/>
    <x v="4"/>
    <s v="Q4"/>
    <n v="154"/>
    <n v="194.80519480519482"/>
    <s v="MBG"/>
    <n v="0.87"/>
    <n v="26100"/>
    <n v="101.76140272646197"/>
    <n v="169.48051948051949"/>
  </r>
  <r>
    <n v="69568828"/>
    <x v="15"/>
    <n v="20400"/>
    <d v="2023-10-02T00:00:00"/>
    <x v="12"/>
    <x v="16"/>
    <n v="8.5199999999999998E-3"/>
    <n v="173.80799999999999"/>
    <s v="BR"/>
    <x v="7"/>
    <x v="6"/>
    <s v="Q4"/>
    <n v="176"/>
    <n v="115.90909090909091"/>
    <s v="48oz"/>
    <n v="0.95"/>
    <n v="19380"/>
    <n v="165.11759999999998"/>
    <n v="110.11363636363636"/>
  </r>
  <r>
    <n v="69629468"/>
    <x v="15"/>
    <n v="24000"/>
    <d v="2023-10-02T00:00:00"/>
    <x v="30"/>
    <x v="29"/>
    <n v="5.2680000000000001E-3"/>
    <n v="126.432"/>
    <s v="PS"/>
    <x v="7"/>
    <x v="3"/>
    <s v="Q4"/>
    <n v="130"/>
    <n v="184.61538461538461"/>
    <s v="PG"/>
    <n v="0.9"/>
    <n v="21600"/>
    <n v="113.78880000000001"/>
    <n v="166.15384615384616"/>
  </r>
  <r>
    <n v="67309843"/>
    <x v="16"/>
    <n v="26400"/>
    <d v="2023-10-02T00:00:00"/>
    <x v="88"/>
    <x v="13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7885719"/>
    <x v="16"/>
    <n v="26400"/>
    <d v="2023-10-02T00:00:00"/>
    <x v="11"/>
    <x v="13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8821733"/>
    <x v="16"/>
    <n v="26400"/>
    <d v="2023-10-02T00:00:00"/>
    <x v="13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55090"/>
    <x v="16"/>
    <n v="40000"/>
    <d v="2023-10-02T00:00:00"/>
    <x v="254"/>
    <x v="14"/>
    <n v="1.98E-3"/>
    <n v="79.2"/>
    <s v="TA"/>
    <x v="7"/>
    <x v="42"/>
    <s v="Q4"/>
    <n v="176"/>
    <n v="227.27272727272728"/>
    <s v="TAL NV"/>
    <n v="0.97"/>
    <n v="38800"/>
    <n v="76.823999999999998"/>
    <n v="220.45454545454547"/>
  </r>
  <r>
    <n v="69577493"/>
    <x v="16"/>
    <n v="35000"/>
    <d v="2023-10-09T00:00:00"/>
    <x v="252"/>
    <x v="5"/>
    <n v="2.0400000000000001E-3"/>
    <n v="71.400000000000006"/>
    <s v="MG"/>
    <x v="7"/>
    <x v="5"/>
    <s v="Q4"/>
    <n v="210"/>
    <n v="166.66666666666666"/>
    <s v="MG Sticks"/>
    <n v="0.93"/>
    <n v="32550"/>
    <n v="66.402000000000015"/>
    <n v="155"/>
  </r>
  <r>
    <n v="69621212"/>
    <x v="16"/>
    <n v="35100"/>
    <d v="2023-10-02T00:00:00"/>
    <x v="29"/>
    <x v="28"/>
    <n v="5.2680000000000001E-3"/>
    <n v="184.9068"/>
    <s v="PG"/>
    <x v="7"/>
    <x v="14"/>
    <s v="Q4"/>
    <n v="130"/>
    <n v="270"/>
    <s v="PG"/>
    <n v="0.9"/>
    <n v="31590"/>
    <n v="166.41612000000001"/>
    <n v="243"/>
  </r>
  <r>
    <n v="69717801"/>
    <x v="16"/>
    <n v="33150"/>
    <d v="2023-10-02T00:00:00"/>
    <x v="160"/>
    <x v="31"/>
    <n v="4.2560000000000002E-3"/>
    <n v="141.0864"/>
    <s v="BR"/>
    <x v="7"/>
    <x v="5"/>
    <s v="Q4"/>
    <n v="143"/>
    <n v="231.81818181818181"/>
    <s v="MG Sticks"/>
    <n v="0.93"/>
    <n v="30829.5"/>
    <n v="131.210352"/>
    <n v="215.59090909090909"/>
  </r>
  <r>
    <n v="67794169"/>
    <x v="18"/>
    <n v="105600"/>
    <d v="2023-10-02T00:00:00"/>
    <x v="33"/>
    <x v="35"/>
    <n v="3.7853439999999999E-3"/>
    <n v="399.73232639999998"/>
    <s v="BJ"/>
    <x v="7"/>
    <x v="36"/>
    <s v="Q4"/>
    <n v="240"/>
    <n v="440"/>
    <s v="BJ PTS"/>
    <n v="0.9"/>
    <n v="95040"/>
    <n v="359.75909375999998"/>
    <n v="396"/>
  </r>
  <r>
    <n v="84149990"/>
    <x v="18"/>
    <n v="46200"/>
    <d v="2023-10-02T00:00:00"/>
    <x v="168"/>
    <x v="33"/>
    <n v="3.7853439999999999E-3"/>
    <n v="174.88289280000001"/>
    <s v="BJ"/>
    <x v="7"/>
    <x v="40"/>
    <s v="Q4"/>
    <n v="240"/>
    <n v="192.5"/>
    <s v="PTS Exports"/>
    <n v="0.9"/>
    <n v="41580"/>
    <n v="157.39460352"/>
    <n v="173.25"/>
  </r>
  <r>
    <n v="67546042"/>
    <x v="17"/>
    <n v="34800"/>
    <d v="2023-10-02T00:00:00"/>
    <x v="108"/>
    <x v="35"/>
    <n v="3.7853439999999999E-3"/>
    <n v="131.72997119999999"/>
    <s v="BJ"/>
    <x v="7"/>
    <x v="15"/>
    <s v="Q4"/>
    <n v="240"/>
    <n v="145"/>
    <s v="BJ PTS"/>
    <n v="0.9"/>
    <n v="31320"/>
    <n v="118.55697408"/>
    <n v="130.5"/>
  </r>
  <r>
    <n v="67794168"/>
    <x v="17"/>
    <n v="10440"/>
    <d v="2023-10-02T00:00:00"/>
    <x v="367"/>
    <x v="33"/>
    <n v="3.7853439999999999E-3"/>
    <n v="39.518991360000001"/>
    <s v="BJ"/>
    <x v="7"/>
    <x v="15"/>
    <s v="Q4"/>
    <n v="240"/>
    <n v="43.5"/>
    <s v="BJ PTS"/>
    <n v="0.9"/>
    <n v="9396"/>
    <n v="35.567092224"/>
    <n v="39.15"/>
  </r>
  <r>
    <n v="67794170"/>
    <x v="17"/>
    <n v="11600"/>
    <d v="2023-10-02T00:00:00"/>
    <x v="141"/>
    <x v="38"/>
    <n v="3.7853439999999999E-3"/>
    <n v="43.909990399999998"/>
    <s v="BJ"/>
    <x v="7"/>
    <x v="15"/>
    <s v="Q4"/>
    <n v="240"/>
    <n v="48.333333333333336"/>
    <s v="BJ PTS"/>
    <n v="0.9"/>
    <n v="10440"/>
    <n v="39.518991360000001"/>
    <n v="43.5"/>
  </r>
  <r>
    <n v="67881629"/>
    <x v="17"/>
    <n v="41760"/>
    <d v="2023-10-02T00:00:00"/>
    <x v="65"/>
    <x v="33"/>
    <n v="3.7853439999999999E-3"/>
    <n v="158.07596544"/>
    <s v="BJ"/>
    <x v="7"/>
    <x v="15"/>
    <s v="Q4"/>
    <n v="240"/>
    <n v="174"/>
    <s v="BJ PTS"/>
    <n v="0.9"/>
    <n v="37584"/>
    <n v="142.268368896"/>
    <n v="156.6"/>
  </r>
  <r>
    <n v="69552651"/>
    <x v="17"/>
    <n v="30160"/>
    <d v="2023-10-02T00:00:00"/>
    <x v="292"/>
    <x v="35"/>
    <n v="3.7839999999999996E-3"/>
    <n v="114.12543999999998"/>
    <s v="BJ"/>
    <x v="7"/>
    <x v="15"/>
    <s v="Q4"/>
    <n v="240"/>
    <n v="125.66666666666667"/>
    <s v="BJ PTS"/>
    <n v="0.9"/>
    <n v="27144"/>
    <n v="102.71289599999999"/>
    <n v="113.10000000000001"/>
  </r>
  <r>
    <n v="84135758"/>
    <x v="17"/>
    <n v="32040"/>
    <d v="2023-10-02T00:00:00"/>
    <x v="130"/>
    <x v="33"/>
    <n v="1.4399999999999999E-3"/>
    <n v="46.137599999999999"/>
    <s v="BJ"/>
    <x v="7"/>
    <x v="16"/>
    <s v="Q4"/>
    <n v="510"/>
    <n v="62.823529411764703"/>
    <s v="B&amp;J Cups"/>
    <n v="0.85"/>
    <n v="27234"/>
    <n v="39.21696"/>
    <n v="53.4"/>
  </r>
  <r>
    <n v="84137701"/>
    <x v="17"/>
    <n v="21360"/>
    <d v="2023-10-02T00:00:00"/>
    <x v="37"/>
    <x v="33"/>
    <n v="1.4399999999999999E-3"/>
    <n v="30.758399999999998"/>
    <s v="BJ"/>
    <x v="7"/>
    <x v="16"/>
    <s v="Q4"/>
    <n v="510"/>
    <n v="41.882352941176471"/>
    <s v="B&amp;J Cups"/>
    <n v="0.85"/>
    <n v="18156"/>
    <n v="26.144639999999999"/>
    <n v="35.6"/>
  </r>
  <r>
    <n v="84137721"/>
    <x v="17"/>
    <n v="6240"/>
    <d v="2023-10-02T00:00:00"/>
    <x v="271"/>
    <x v="35"/>
    <n v="9.0848256361922702E-3"/>
    <n v="56.689311969839764"/>
    <s v="BJ"/>
    <x v="7"/>
    <x v="39"/>
    <s v="Q4"/>
    <n v="125"/>
    <n v="49.92"/>
    <s v="2.4 Gal"/>
    <n v="0.85"/>
    <n v="5304"/>
    <n v="48.185915174363799"/>
    <n v="42.432000000000002"/>
  </r>
  <r>
    <n v="84141036"/>
    <x v="17"/>
    <n v="6240"/>
    <d v="2023-10-02T00:00:00"/>
    <x v="175"/>
    <x v="35"/>
    <n v="9.0848256361922702E-3"/>
    <n v="56.689311969839764"/>
    <s v="BJ"/>
    <x v="7"/>
    <x v="39"/>
    <s v="Q4"/>
    <n v="125"/>
    <n v="49.92"/>
    <s v="2.4 Gal"/>
    <n v="0.85"/>
    <n v="5304"/>
    <n v="48.185915174363799"/>
    <n v="42.432000000000002"/>
  </r>
  <r>
    <n v="84141113"/>
    <x v="17"/>
    <n v="10680"/>
    <d v="2023-10-02T00:00:00"/>
    <x v="257"/>
    <x v="33"/>
    <n v="1.419504E-3"/>
    <n v="15.160302720000001"/>
    <s v="BJ"/>
    <x v="7"/>
    <x v="16"/>
    <s v="Q4"/>
    <n v="510"/>
    <n v="20.941176470588236"/>
    <s v="B&amp;J Cups"/>
    <n v="0.85"/>
    <n v="9078"/>
    <n v="12.886257312"/>
    <n v="17.8"/>
  </r>
  <r>
    <n v="84146285"/>
    <x v="17"/>
    <n v="18560"/>
    <d v="2023-10-02T00:00:00"/>
    <x v="248"/>
    <x v="38"/>
    <n v="3.7853439999999999E-3"/>
    <n v="70.255984639999994"/>
    <s v="BJ"/>
    <x v="7"/>
    <x v="15"/>
    <s v="Q4"/>
    <n v="240"/>
    <n v="77.333333333333329"/>
    <s v="BJ PTS"/>
    <n v="0.9"/>
    <n v="16704"/>
    <n v="63.230386175999996"/>
    <n v="69.599999999999994"/>
  </r>
  <r>
    <n v="84161610"/>
    <x v="17"/>
    <n v="37120"/>
    <d v="2023-10-02T00:00:00"/>
    <x v="99"/>
    <x v="38"/>
    <n v="3.7853439999999999E-3"/>
    <n v="140.51196927999999"/>
    <s v="BJ"/>
    <x v="7"/>
    <x v="15"/>
    <s v="Q4"/>
    <n v="240"/>
    <n v="154.66666666666666"/>
    <s v="BJ PTS"/>
    <n v="0.9"/>
    <n v="33408"/>
    <n v="126.46077235199999"/>
    <n v="139.19999999999999"/>
  </r>
  <r>
    <n v="67885719"/>
    <x v="16"/>
    <n v="45600"/>
    <d v="2023-10-03T00:00:00"/>
    <x v="11"/>
    <x v="32"/>
    <n v="8.5199999999999998E-3"/>
    <n v="388.512"/>
    <s v="BR"/>
    <x v="7"/>
    <x v="2"/>
    <s v="Q4"/>
    <n v="154"/>
    <n v="296.10389610389609"/>
    <s v="48oz"/>
    <n v="0.95"/>
    <n v="43320"/>
    <n v="369.08639999999997"/>
    <n v="281.29870129870125"/>
  </r>
  <r>
    <n v="67885722"/>
    <x v="16"/>
    <n v="5700"/>
    <d v="2023-10-03T00:00:00"/>
    <x v="163"/>
    <x v="32"/>
    <n v="8.5199999999999998E-3"/>
    <n v="48.564"/>
    <s v="BR"/>
    <x v="7"/>
    <x v="2"/>
    <s v="Q4"/>
    <n v="154"/>
    <n v="37.012987012987011"/>
    <s v="48oz"/>
    <n v="0.95"/>
    <n v="5415"/>
    <n v="46.135799999999996"/>
    <n v="35.162337662337656"/>
  </r>
  <r>
    <n v="68649095"/>
    <x v="16"/>
    <n v="57000"/>
    <d v="2023-10-03T00:00:00"/>
    <x v="286"/>
    <x v="15"/>
    <n v="3.5999999999999999E-3"/>
    <n v="205.2"/>
    <s v="BJ"/>
    <x v="7"/>
    <x v="19"/>
    <s v="Q4"/>
    <n v="240"/>
    <n v="237.5"/>
    <s v="Topped"/>
    <n v="0.91"/>
    <n v="51870"/>
    <n v="186.732"/>
    <n v="216.125"/>
  </r>
  <r>
    <n v="68728342"/>
    <x v="16"/>
    <n v="40000"/>
    <d v="2023-10-03T00:00:00"/>
    <x v="44"/>
    <x v="22"/>
    <n v="3.7853439999999999E-3"/>
    <n v="151.41376"/>
    <s v="TA"/>
    <x v="7"/>
    <x v="10"/>
    <s v="Q4"/>
    <n v="255"/>
    <n v="156.86274509803923"/>
    <s v="TALENTI"/>
    <n v="0.94"/>
    <n v="37600"/>
    <n v="142.32893439999998"/>
    <n v="147.45098039215688"/>
  </r>
  <r>
    <n v="68730234"/>
    <x v="16"/>
    <n v="57000"/>
    <d v="2023-10-03T00:00:00"/>
    <x v="21"/>
    <x v="21"/>
    <n v="3.7853440000000004E-3"/>
    <n v="215.76460800000001"/>
    <s v="TA"/>
    <x v="7"/>
    <x v="10"/>
    <s v="Q4"/>
    <n v="255"/>
    <n v="223.52941176470588"/>
    <s v="TALENTI"/>
    <n v="0.94"/>
    <n v="53580"/>
    <n v="202.81873152"/>
    <n v="210.11764705882351"/>
  </r>
  <r>
    <n v="68730253"/>
    <x v="16"/>
    <n v="-41084"/>
    <d v="2023-10-03T00:00:00"/>
    <x v="386"/>
    <x v="22"/>
    <n v="3.7853440000000004E-3"/>
    <n v="-155.517072896"/>
    <s v="TA"/>
    <x v="7"/>
    <x v="10"/>
    <s v="Q4"/>
    <n v="255"/>
    <n v="-161.11372549019609"/>
    <s v="TALENTI"/>
    <n v="0.94"/>
    <n v="-38618.959999999999"/>
    <n v="-146.18604852223999"/>
    <n v="-151.44690196078432"/>
  </r>
  <r>
    <n v="68730257"/>
    <x v="16"/>
    <n v="91200"/>
    <d v="2023-10-03T00:00:00"/>
    <x v="75"/>
    <x v="21"/>
    <n v="3.7853440000000004E-3"/>
    <n v="345.22337280000005"/>
    <s v="TA"/>
    <x v="7"/>
    <x v="10"/>
    <s v="Q4"/>
    <n v="255"/>
    <n v="357.64705882352939"/>
    <s v="TALENTI"/>
    <n v="0.94"/>
    <n v="85728"/>
    <n v="324.50997043200005"/>
    <n v="336.18823529411759"/>
  </r>
  <r>
    <n v="68741742"/>
    <x v="16"/>
    <n v="10800"/>
    <d v="2023-10-03T00:00:00"/>
    <x v="25"/>
    <x v="25"/>
    <n v="4.2560000000000002E-3"/>
    <n v="45.964800000000004"/>
    <s v="GH"/>
    <x v="7"/>
    <x v="11"/>
    <s v="Q4"/>
    <n v="154"/>
    <n v="70.129870129870127"/>
    <s v="MBG"/>
    <n v="0.87"/>
    <n v="9396"/>
    <n v="39.989376"/>
    <n v="61.012987012987011"/>
  </r>
  <r>
    <n v="68850684"/>
    <x v="16"/>
    <n v="45600"/>
    <d v="2023-10-03T00:00:00"/>
    <x v="354"/>
    <x v="32"/>
    <n v="8.5199999999999998E-3"/>
    <n v="388.512"/>
    <s v="BR"/>
    <x v="7"/>
    <x v="2"/>
    <s v="Q4"/>
    <n v="176"/>
    <n v="259.09090909090907"/>
    <s v="48oz"/>
    <n v="0.95"/>
    <n v="43320"/>
    <n v="369.08639999999997"/>
    <n v="246.1363636363636"/>
  </r>
  <r>
    <n v="68881269"/>
    <x v="16"/>
    <n v="26400"/>
    <d v="2023-10-03T00:00:00"/>
    <x v="16"/>
    <x v="2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8881270"/>
    <x v="16"/>
    <n v="13200"/>
    <d v="2023-10-03T00:00:00"/>
    <x v="91"/>
    <x v="2"/>
    <n v="8.5199999999999998E-3"/>
    <n v="112.464"/>
    <s v="BR"/>
    <x v="7"/>
    <x v="2"/>
    <s v="Q4"/>
    <n v="176"/>
    <n v="75"/>
    <s v="48oz"/>
    <n v="0.95"/>
    <n v="12540"/>
    <n v="106.84079999999999"/>
    <n v="71.25"/>
  </r>
  <r>
    <n v="68890247"/>
    <x v="16"/>
    <n v="26400"/>
    <d v="2023-10-03T00:00:00"/>
    <x v="243"/>
    <x v="2"/>
    <n v="8.5170239596469088E-6"/>
    <n v="0.2248494325346784"/>
    <s v="BR"/>
    <x v="7"/>
    <x v="2"/>
    <s v="Q4"/>
    <n v="176"/>
    <n v="150"/>
    <s v="48oz"/>
    <n v="0.95"/>
    <n v="25080"/>
    <n v="0.21360696090794448"/>
    <n v="142.5"/>
  </r>
  <r>
    <n v="69568964"/>
    <x v="16"/>
    <n v="23400"/>
    <d v="2023-10-03T00:00:00"/>
    <x v="134"/>
    <x v="32"/>
    <n v="8.5199999999999998E-3"/>
    <n v="199.36799999999999"/>
    <s v="BR"/>
    <x v="7"/>
    <x v="2"/>
    <s v="Q4"/>
    <n v="176"/>
    <n v="132.95454545454547"/>
    <s v="48oz"/>
    <n v="0.95"/>
    <n v="22230"/>
    <n v="189.39959999999999"/>
    <n v="126.30681818181819"/>
  </r>
  <r>
    <n v="69629468"/>
    <x v="16"/>
    <n v="32400"/>
    <d v="2023-10-03T00:00:00"/>
    <x v="30"/>
    <x v="30"/>
    <n v="5.2680000000000001E-3"/>
    <n v="170.6832"/>
    <s v="PS"/>
    <x v="7"/>
    <x v="14"/>
    <s v="Q4"/>
    <n v="130"/>
    <n v="249.23076923076923"/>
    <s v="PG"/>
    <n v="0.9"/>
    <n v="29160"/>
    <n v="153.61488"/>
    <n v="224.30769230769232"/>
  </r>
  <r>
    <n v="84135781"/>
    <x v="16"/>
    <n v="22800"/>
    <d v="2023-10-03T00:00:00"/>
    <x v="356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84141094"/>
    <x v="16"/>
    <n v="22800"/>
    <d v="2023-10-03T00:00:00"/>
    <x v="107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84164936"/>
    <x v="16"/>
    <n v="22800"/>
    <d v="2023-10-03T00:00:00"/>
    <x v="162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67466492"/>
    <x v="15"/>
    <n v="20250"/>
    <d v="2023-10-06T00:00:00"/>
    <x v="8"/>
    <x v="7"/>
    <n v="5.2680000000000001E-3"/>
    <n v="106.67700000000001"/>
    <s v="PS"/>
    <x v="7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0-08T00:00:00"/>
    <x v="8"/>
    <x v="8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8741714"/>
    <x v="15"/>
    <n v="41400"/>
    <d v="2023-10-08T00:00:00"/>
    <x v="24"/>
    <x v="24"/>
    <n v="2.8319999999999999E-3"/>
    <n v="117.2448"/>
    <s v="GH"/>
    <x v="7"/>
    <x v="4"/>
    <s v="Q4"/>
    <n v="225"/>
    <n v="184"/>
    <s v="MBG"/>
    <n v="0.87"/>
    <n v="36018"/>
    <n v="102.002976"/>
    <n v="160.08000000000001"/>
  </r>
  <r>
    <n v="67309864"/>
    <x v="15"/>
    <n v="25200"/>
    <d v="2023-10-09T00:00:00"/>
    <x v="63"/>
    <x v="11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465063"/>
    <x v="15"/>
    <n v="23400"/>
    <d v="2023-10-09T00:00:00"/>
    <x v="3"/>
    <x v="6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465063"/>
    <x v="15"/>
    <n v="15413"/>
    <d v="2023-10-09T00:00:00"/>
    <x v="3"/>
    <x v="40"/>
    <n v="5.2680000000000001E-3"/>
    <n v="81.195684"/>
    <s v="PS"/>
    <x v="7"/>
    <x v="3"/>
    <s v="Q4"/>
    <n v="130"/>
    <n v="118.56153846153846"/>
    <s v="PG"/>
    <n v="0.9"/>
    <n v="13871.7"/>
    <n v="73.076115600000008"/>
    <n v="106.70538461538462"/>
  </r>
  <r>
    <n v="67465064"/>
    <x v="15"/>
    <n v="13500"/>
    <d v="2023-10-09T00:00:00"/>
    <x v="7"/>
    <x v="3"/>
    <n v="1.596E-3"/>
    <n v="21.545999999999999"/>
    <s v="PS"/>
    <x v="7"/>
    <x v="3"/>
    <s v="Q4"/>
    <n v="130"/>
    <n v="103.84615384615384"/>
    <s v="PG"/>
    <n v="0.9"/>
    <n v="12150"/>
    <n v="19.391400000000001"/>
    <n v="93.461538461538453"/>
  </r>
  <r>
    <n v="67476560"/>
    <x v="15"/>
    <m/>
    <d v="2023-10-09T00:00:00"/>
    <x v="10"/>
    <x v="10"/>
    <n v="5.1060000000000003E-3"/>
    <n v="0"/>
    <s v="PS"/>
    <x v="7"/>
    <x v="3"/>
    <s v="Q4"/>
    <n v="130"/>
    <n v="0"/>
    <s v="PG"/>
    <n v="0.9"/>
    <n v="0"/>
    <n v="0"/>
    <n v="0"/>
  </r>
  <r>
    <n v="67723726"/>
    <x v="15"/>
    <n v="25200"/>
    <d v="2023-10-09T00:00:00"/>
    <x v="109"/>
    <x v="23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885724"/>
    <x v="15"/>
    <n v="22800"/>
    <d v="2023-10-09T00:00:00"/>
    <x v="49"/>
    <x v="12"/>
    <n v="8.5199999999999998E-3"/>
    <n v="194.256"/>
    <s v="BR"/>
    <x v="7"/>
    <x v="6"/>
    <s v="Q4"/>
    <n v="154"/>
    <n v="148.05194805194805"/>
    <s v="48oz"/>
    <n v="0.95"/>
    <n v="21660"/>
    <n v="184.54319999999998"/>
    <n v="140.64935064935062"/>
  </r>
  <r>
    <n v="68634165"/>
    <x v="15"/>
    <n v="1"/>
    <d v="2023-10-09T00:00:00"/>
    <x v="301"/>
    <x v="12"/>
    <n v="8.5199999999999998E-3"/>
    <n v="8.5199999999999998E-3"/>
    <s v="BR"/>
    <x v="7"/>
    <x v="6"/>
    <s v="Q4"/>
    <n v="154"/>
    <n v="6.4935064935064939E-3"/>
    <s v="48oz"/>
    <n v="0.95"/>
    <n v="0.95"/>
    <n v="8.0939999999999988E-3"/>
    <n v="6.1688311688311692E-3"/>
  </r>
  <r>
    <n v="68634165"/>
    <x v="15"/>
    <n v="1"/>
    <d v="2023-10-09T00:00:00"/>
    <x v="301"/>
    <x v="23"/>
    <n v="8.5199999999999998E-3"/>
    <n v="8.5199999999999998E-3"/>
    <s v="BR"/>
    <x v="7"/>
    <x v="6"/>
    <s v="Q4"/>
    <n v="154"/>
    <n v="6.4935064935064939E-3"/>
    <s v="48oz"/>
    <n v="0.95"/>
    <n v="0.95"/>
    <n v="8.0939999999999988E-3"/>
    <n v="6.1688311688311692E-3"/>
  </r>
  <r>
    <n v="68634165"/>
    <x v="15"/>
    <n v="1"/>
    <d v="2023-10-09T00:00:00"/>
    <x v="301"/>
    <x v="16"/>
    <n v="8.5199999999999998E-3"/>
    <n v="8.5199999999999998E-3"/>
    <s v="BR"/>
    <x v="7"/>
    <x v="6"/>
    <s v="Q4"/>
    <n v="154"/>
    <n v="6.4935064935064939E-3"/>
    <s v="48oz"/>
    <n v="0.95"/>
    <n v="0.95"/>
    <n v="8.0939999999999988E-3"/>
    <n v="6.1688311688311692E-3"/>
  </r>
  <r>
    <n v="68817793"/>
    <x v="15"/>
    <n v="20400"/>
    <d v="2023-10-09T00:00:00"/>
    <x v="48"/>
    <x v="16"/>
    <n v="8.5199999999999998E-3"/>
    <n v="173.80799999999999"/>
    <s v="BR"/>
    <x v="7"/>
    <x v="6"/>
    <s v="Q4"/>
    <n v="176"/>
    <n v="115.90909090909091"/>
    <s v="48oz"/>
    <n v="0.95"/>
    <n v="19380"/>
    <n v="165.11759999999998"/>
    <n v="110.11363636363636"/>
  </r>
  <r>
    <n v="68850683"/>
    <x v="15"/>
    <n v="22800"/>
    <d v="2023-10-09T00:00:00"/>
    <x v="335"/>
    <x v="12"/>
    <n v="8.5199999999999998E-3"/>
    <n v="194.256"/>
    <s v="BR"/>
    <x v="7"/>
    <x v="6"/>
    <s v="Q4"/>
    <n v="176"/>
    <n v="129.54545454545453"/>
    <s v="48oz"/>
    <n v="0.95"/>
    <n v="21660"/>
    <n v="184.54319999999998"/>
    <n v="123.0681818181818"/>
  </r>
  <r>
    <n v="68881265"/>
    <x v="15"/>
    <n v="23000"/>
    <d v="2023-10-09T00:00:00"/>
    <x v="211"/>
    <x v="16"/>
    <n v="8.5199999999999998E-3"/>
    <n v="195.96"/>
    <s v="BR"/>
    <x v="7"/>
    <x v="6"/>
    <s v="Q4"/>
    <n v="154"/>
    <n v="149.35064935064935"/>
    <s v="48oz"/>
    <n v="0.95"/>
    <n v="21850"/>
    <n v="186.16200000000001"/>
    <n v="141.88311688311688"/>
  </r>
  <r>
    <n v="69551489"/>
    <x v="15"/>
    <n v="30000"/>
    <d v="2023-10-09T00:00:00"/>
    <x v="338"/>
    <x v="4"/>
    <n v="3.8989043190215313E-3"/>
    <n v="116.96712957064594"/>
    <s v="GH"/>
    <x v="7"/>
    <x v="4"/>
    <s v="Q4"/>
    <n v="154"/>
    <n v="194.80519480519482"/>
    <s v="MBG"/>
    <n v="0.87"/>
    <n v="26100"/>
    <n v="101.76140272646197"/>
    <n v="169.48051948051949"/>
  </r>
  <r>
    <n v="69568828"/>
    <x v="15"/>
    <n v="25200"/>
    <d v="2023-10-09T00:00:00"/>
    <x v="12"/>
    <x v="11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9568828"/>
    <x v="15"/>
    <n v="25200"/>
    <d v="2023-10-09T00:00:00"/>
    <x v="12"/>
    <x v="23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9629468"/>
    <x v="15"/>
    <n v="24000"/>
    <d v="2023-10-09T00:00:00"/>
    <x v="30"/>
    <x v="29"/>
    <n v="5.2680000000000001E-3"/>
    <n v="126.432"/>
    <s v="PS"/>
    <x v="7"/>
    <x v="3"/>
    <s v="Q4"/>
    <n v="130"/>
    <n v="184.61538461538461"/>
    <s v="PG"/>
    <n v="0.9"/>
    <n v="21600"/>
    <n v="113.78880000000001"/>
    <n v="166.15384615384616"/>
  </r>
  <r>
    <n v="67901593"/>
    <x v="16"/>
    <n v="45600"/>
    <d v="2023-10-09T00:00:00"/>
    <x v="68"/>
    <x v="32"/>
    <n v="8.5199999999999998E-3"/>
    <n v="388.512"/>
    <s v="BR"/>
    <x v="7"/>
    <x v="2"/>
    <s v="Q4"/>
    <n v="154"/>
    <n v="296.10389610389609"/>
    <s v="48oz"/>
    <n v="0.95"/>
    <n v="43320"/>
    <n v="369.08639999999997"/>
    <n v="281.29870129870125"/>
  </r>
  <r>
    <n v="68634165"/>
    <x v="16"/>
    <n v="1"/>
    <d v="2023-10-09T00:00:00"/>
    <x v="301"/>
    <x v="13"/>
    <n v="8.5199999999999998E-3"/>
    <n v="8.5199999999999998E-3"/>
    <s v="BR"/>
    <x v="7"/>
    <x v="2"/>
    <s v="Q4"/>
    <n v="154"/>
    <n v="6.4935064935064939E-3"/>
    <s v="48oz"/>
    <n v="0.95"/>
    <n v="0.95"/>
    <n v="8.0939999999999988E-3"/>
    <n v="6.1688311688311692E-3"/>
  </r>
  <r>
    <n v="68764900"/>
    <x v="16"/>
    <n v="26400"/>
    <d v="2023-10-09T00:00:00"/>
    <x v="295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8764901"/>
    <x v="16"/>
    <n v="3150"/>
    <d v="2023-10-09T00:00:00"/>
    <x v="347"/>
    <x v="13"/>
    <n v="8.5199999999999998E-3"/>
    <n v="26.838000000000001"/>
    <s v="BR"/>
    <x v="7"/>
    <x v="2"/>
    <s v="Q4"/>
    <n v="154"/>
    <n v="20.454545454545453"/>
    <s v="48oz"/>
    <n v="0.95"/>
    <n v="2992.5"/>
    <n v="25.496099999999998"/>
    <n v="19.43181818181818"/>
  </r>
  <r>
    <n v="68817793"/>
    <x v="16"/>
    <n v="26400"/>
    <d v="2023-10-09T00:00:00"/>
    <x v="48"/>
    <x v="2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68829"/>
    <x v="16"/>
    <n v="26400"/>
    <d v="2023-10-09T00:00:00"/>
    <x v="66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68963"/>
    <x v="16"/>
    <n v="26400"/>
    <d v="2023-10-09T00:00:00"/>
    <x v="94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96585"/>
    <x v="16"/>
    <n v="40000"/>
    <d v="2023-10-09T00:00:00"/>
    <x v="348"/>
    <x v="5"/>
    <n v="1.0200000000000001E-3"/>
    <n v="40.800000000000004"/>
    <s v="MG"/>
    <x v="7"/>
    <x v="5"/>
    <s v="Q4"/>
    <n v="493"/>
    <n v="81.135902636916839"/>
    <s v="MG Sticks"/>
    <n v="0.93"/>
    <n v="37200"/>
    <n v="37.944000000000003"/>
    <n v="75.456389452332658"/>
  </r>
  <r>
    <n v="69572657"/>
    <x v="16"/>
    <n v="35000"/>
    <d v="2023-10-16T00:00:00"/>
    <x v="306"/>
    <x v="5"/>
    <n v="2.1520000000000003E-3"/>
    <n v="75.320000000000007"/>
    <s v="MG"/>
    <x v="7"/>
    <x v="5"/>
    <s v="Q4"/>
    <n v="210"/>
    <n v="166.66666666666666"/>
    <s v="MG Sticks"/>
    <n v="0.93"/>
    <n v="32550"/>
    <n v="70.047600000000017"/>
    <n v="155"/>
  </r>
  <r>
    <n v="69621212"/>
    <x v="16"/>
    <n v="35100"/>
    <d v="2023-10-09T00:00:00"/>
    <x v="29"/>
    <x v="28"/>
    <n v="5.2680000000000001E-3"/>
    <n v="184.9068"/>
    <s v="PG"/>
    <x v="7"/>
    <x v="14"/>
    <s v="Q4"/>
    <n v="130"/>
    <n v="270"/>
    <s v="PG"/>
    <n v="0.9"/>
    <n v="31590"/>
    <n v="166.41612000000001"/>
    <n v="243"/>
  </r>
  <r>
    <n v="69706147"/>
    <x v="16"/>
    <n v="35700"/>
    <d v="2023-10-09T00:00:00"/>
    <x v="195"/>
    <x v="31"/>
    <n v="3.8999999999999998E-3"/>
    <n v="139.22999999999999"/>
    <s v="TA"/>
    <x v="7"/>
    <x v="42"/>
    <s v="Q4"/>
    <n v="176"/>
    <n v="202.84090909090909"/>
    <s v="TAL NV"/>
    <n v="0.97"/>
    <n v="34629"/>
    <n v="135.05309999999997"/>
    <n v="196.75568181818181"/>
  </r>
  <r>
    <n v="84135718"/>
    <x v="18"/>
    <n v="105600"/>
    <d v="2023-10-09T00:00:00"/>
    <x v="147"/>
    <x v="38"/>
    <n v="3.7853439999999999E-3"/>
    <n v="399.73232639999998"/>
    <s v="BJ"/>
    <x v="7"/>
    <x v="36"/>
    <s v="Q4"/>
    <n v="240"/>
    <n v="440"/>
    <s v="BJ PTS"/>
    <n v="0.9"/>
    <n v="95040"/>
    <n v="359.75909375999998"/>
    <n v="396"/>
  </r>
  <r>
    <n v="84141103"/>
    <x v="18"/>
    <n v="105600"/>
    <d v="2023-10-09T00:00:00"/>
    <x v="294"/>
    <x v="38"/>
    <n v="3.7853439999999999E-3"/>
    <n v="399.73232639999998"/>
    <s v="BJ"/>
    <x v="7"/>
    <x v="36"/>
    <s v="Q4"/>
    <n v="240"/>
    <n v="440"/>
    <s v="BJ PTS"/>
    <n v="0.9"/>
    <n v="95040"/>
    <n v="359.75909375999998"/>
    <n v="396"/>
  </r>
  <r>
    <n v="67420264"/>
    <x v="17"/>
    <n v="10680"/>
    <d v="2023-10-09T00:00:00"/>
    <x v="244"/>
    <x v="35"/>
    <n v="1.419504E-3"/>
    <n v="15.160302720000001"/>
    <s v="BJ"/>
    <x v="7"/>
    <x v="16"/>
    <s v="Q4"/>
    <n v="510"/>
    <n v="20.941176470588236"/>
    <s v="B&amp;J Cups"/>
    <n v="0.85"/>
    <n v="9078"/>
    <n v="12.886257312"/>
    <n v="17.8"/>
  </r>
  <r>
    <n v="67789313"/>
    <x v="17"/>
    <n v="32480"/>
    <d v="2023-10-09T00:00:00"/>
    <x v="169"/>
    <x v="35"/>
    <n v="3.7853439999999999E-3"/>
    <n v="122.94797312"/>
    <s v="BJ"/>
    <x v="7"/>
    <x v="15"/>
    <s v="Q4"/>
    <n v="240"/>
    <n v="135.33333333333334"/>
    <s v="BJ PTS"/>
    <n v="0.9"/>
    <n v="29232"/>
    <n v="110.653175808"/>
    <n v="121.80000000000001"/>
  </r>
  <r>
    <n v="67789314"/>
    <x v="17"/>
    <n v="46400"/>
    <d v="2023-10-09T00:00:00"/>
    <x v="152"/>
    <x v="35"/>
    <n v="3.7853439999999999E-3"/>
    <n v="175.63996159999999"/>
    <s v="BJ"/>
    <x v="7"/>
    <x v="15"/>
    <s v="Q4"/>
    <n v="240"/>
    <n v="193.33333333333334"/>
    <s v="BJ PTS"/>
    <n v="0.9"/>
    <n v="41760"/>
    <n v="158.07596544"/>
    <n v="174"/>
  </r>
  <r>
    <n v="67825196"/>
    <x v="17"/>
    <n v="12480"/>
    <d v="2023-10-09T00:00:00"/>
    <x v="350"/>
    <x v="35"/>
    <n v="9.0848256361922702E-3"/>
    <n v="113.37862393967953"/>
    <s v="BJ"/>
    <x v="7"/>
    <x v="39"/>
    <s v="Q4"/>
    <n v="125"/>
    <n v="99.84"/>
    <s v="2.4 Gal"/>
    <n v="0.85"/>
    <n v="10608"/>
    <n v="96.371830348727599"/>
    <n v="84.864000000000004"/>
  </r>
  <r>
    <n v="68297196"/>
    <x v="17"/>
    <n v="16240"/>
    <d v="2023-10-09T00:00:00"/>
    <x v="133"/>
    <x v="35"/>
    <n v="3.7853439999999999E-3"/>
    <n v="61.47398656"/>
    <s v="BJ"/>
    <x v="7"/>
    <x v="15"/>
    <s v="Q4"/>
    <n v="240"/>
    <n v="67.666666666666671"/>
    <s v="BJ PTS"/>
    <n v="0.9"/>
    <n v="14616"/>
    <n v="55.326587904"/>
    <n v="60.900000000000006"/>
  </r>
  <r>
    <n v="84138391"/>
    <x v="17"/>
    <n v="74240"/>
    <d v="2023-10-09T00:00:00"/>
    <x v="84"/>
    <x v="33"/>
    <n v="3.7853439999999999E-3"/>
    <n v="281.02393855999998"/>
    <s v="BJ"/>
    <x v="7"/>
    <x v="15"/>
    <s v="Q4"/>
    <n v="240"/>
    <n v="309.33333333333331"/>
    <s v="BJ PTS"/>
    <n v="0.9"/>
    <n v="66816"/>
    <n v="252.92154470399998"/>
    <n v="278.39999999999998"/>
  </r>
  <r>
    <n v="84141101"/>
    <x v="17"/>
    <n v="102400"/>
    <d v="2023-10-09T00:00:00"/>
    <x v="86"/>
    <x v="33"/>
    <n v="3.7853439999999999E-3"/>
    <n v="387.61922559999999"/>
    <s v="BJ"/>
    <x v="7"/>
    <x v="15"/>
    <s v="Q4"/>
    <n v="240"/>
    <n v="426.66666666666669"/>
    <s v="BJ PTS"/>
    <n v="0.9"/>
    <n v="92160"/>
    <n v="348.85730303999998"/>
    <n v="384"/>
  </r>
  <r>
    <n v="84144598"/>
    <x v="17"/>
    <n v="27840"/>
    <d v="2023-10-09T00:00:00"/>
    <x v="233"/>
    <x v="35"/>
    <n v="3.7853439999999999E-3"/>
    <n v="105.38397696"/>
    <s v="BJ"/>
    <x v="7"/>
    <x v="15"/>
    <s v="Q4"/>
    <n v="240"/>
    <n v="116"/>
    <s v="BJ PTS"/>
    <n v="0.9"/>
    <n v="25056"/>
    <n v="94.845579263999994"/>
    <n v="104.4"/>
  </r>
  <r>
    <n v="67885719"/>
    <x v="16"/>
    <n v="0"/>
    <d v="2023-10-10T00:00:00"/>
    <x v="11"/>
    <x v="32"/>
    <n v="8.5199999999999998E-3"/>
    <n v="0"/>
    <s v="BR"/>
    <x v="7"/>
    <x v="2"/>
    <s v="Q4"/>
    <n v="154"/>
    <n v="0"/>
    <s v="48oz"/>
    <n v="0.95"/>
    <n v="0"/>
    <n v="0"/>
    <n v="0"/>
  </r>
  <r>
    <n v="67885721"/>
    <x v="16"/>
    <n v="0"/>
    <d v="2023-10-10T00:00:00"/>
    <x v="40"/>
    <x v="32"/>
    <n v="8.5199999999999998E-3"/>
    <n v="0"/>
    <s v="BR"/>
    <x v="7"/>
    <x v="2"/>
    <s v="Q4"/>
    <n v="154"/>
    <n v="0"/>
    <s v="48oz"/>
    <n v="0.95"/>
    <n v="0"/>
    <n v="0"/>
    <n v="0"/>
  </r>
  <r>
    <n v="68354586"/>
    <x v="16"/>
    <n v="57000"/>
    <d v="2023-10-10T00:00:00"/>
    <x v="309"/>
    <x v="15"/>
    <n v="3.5999999999999999E-3"/>
    <n v="205.2"/>
    <s v="BJ"/>
    <x v="7"/>
    <x v="19"/>
    <s v="Q4"/>
    <n v="240"/>
    <n v="237.5"/>
    <s v="Topped"/>
    <n v="0.91"/>
    <n v="51870"/>
    <n v="186.732"/>
    <n v="216.125"/>
  </r>
  <r>
    <n v="68354588"/>
    <x v="16"/>
    <n v="57000"/>
    <d v="2023-10-10T00:00:00"/>
    <x v="173"/>
    <x v="15"/>
    <n v="3.5999999999999999E-3"/>
    <n v="205.2"/>
    <s v="BJ"/>
    <x v="7"/>
    <x v="19"/>
    <s v="Q4"/>
    <n v="240"/>
    <n v="237.5"/>
    <s v="Topped"/>
    <n v="0.91"/>
    <n v="51870"/>
    <n v="186.732"/>
    <n v="216.125"/>
  </r>
  <r>
    <n v="68634165"/>
    <x v="16"/>
    <n v="1"/>
    <d v="2023-10-10T00:00:00"/>
    <x v="301"/>
    <x v="2"/>
    <n v="8.5199999999999998E-3"/>
    <n v="8.5199999999999998E-3"/>
    <s v="BR"/>
    <x v="7"/>
    <x v="2"/>
    <s v="Q4"/>
    <n v="154"/>
    <n v="6.4935064935064939E-3"/>
    <s v="48oz"/>
    <n v="0.95"/>
    <n v="0.95"/>
    <n v="8.0939999999999988E-3"/>
    <n v="6.1688311688311692E-3"/>
  </r>
  <r>
    <n v="68658786"/>
    <x v="16"/>
    <n v="25000"/>
    <d v="2023-10-10T00:00:00"/>
    <x v="358"/>
    <x v="22"/>
    <n v="3.7853440000000004E-3"/>
    <n v="94.633600000000015"/>
    <s v="TA"/>
    <x v="7"/>
    <x v="10"/>
    <s v="Q4"/>
    <n v="255"/>
    <n v="98.039215686274517"/>
    <s v="TALENTI"/>
    <n v="0.94"/>
    <n v="23500"/>
    <n v="88.955584000000016"/>
    <n v="92.156862745098039"/>
  </r>
  <r>
    <n v="68728263"/>
    <x v="16"/>
    <n v="25000"/>
    <d v="2023-10-10T00:00:00"/>
    <x v="307"/>
    <x v="22"/>
    <n v="3.7853439999999999E-3"/>
    <n v="94.633600000000001"/>
    <s v="TA"/>
    <x v="7"/>
    <x v="10"/>
    <s v="Q4"/>
    <n v="255"/>
    <n v="98.039215686274517"/>
    <s v="TALENTI"/>
    <n v="0.94"/>
    <n v="23500"/>
    <n v="88.955584000000002"/>
    <n v="92.156862745098039"/>
  </r>
  <r>
    <n v="68730254"/>
    <x v="16"/>
    <n v="91200"/>
    <d v="2023-10-10T00:00:00"/>
    <x v="128"/>
    <x v="21"/>
    <n v="3.7853440000000004E-3"/>
    <n v="345.22337280000005"/>
    <s v="TA"/>
    <x v="7"/>
    <x v="10"/>
    <s v="Q4"/>
    <n v="255"/>
    <n v="357.64705882352939"/>
    <s v="TALENTI"/>
    <n v="0.94"/>
    <n v="85728"/>
    <n v="324.50997043200005"/>
    <n v="336.18823529411759"/>
  </r>
  <r>
    <n v="68741742"/>
    <x v="16"/>
    <n v="32400"/>
    <d v="2023-10-10T00:00:00"/>
    <x v="25"/>
    <x v="25"/>
    <n v="4.2560000000000002E-3"/>
    <n v="137.89440000000002"/>
    <s v="GH"/>
    <x v="7"/>
    <x v="11"/>
    <s v="Q4"/>
    <n v="154"/>
    <n v="210.3896103896104"/>
    <s v="MBG"/>
    <n v="0.87"/>
    <n v="28188"/>
    <n v="119.96812800000002"/>
    <n v="183.03896103896105"/>
  </r>
  <r>
    <n v="68881270"/>
    <x v="16"/>
    <n v="13200"/>
    <d v="2023-10-10T00:00:00"/>
    <x v="91"/>
    <x v="2"/>
    <n v="8.5199999999999998E-3"/>
    <n v="112.464"/>
    <s v="BR"/>
    <x v="7"/>
    <x v="2"/>
    <s v="Q4"/>
    <n v="176"/>
    <n v="75"/>
    <s v="48oz"/>
    <n v="0.95"/>
    <n v="12540"/>
    <n v="106.84079999999999"/>
    <n v="71.25"/>
  </r>
  <r>
    <n v="68896052"/>
    <x v="16"/>
    <n v="26400"/>
    <d v="2023-10-10T00:00:00"/>
    <x v="36"/>
    <x v="2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8922106"/>
    <x v="16"/>
    <n v="4058"/>
    <d v="2023-10-10T00:00:00"/>
    <x v="104"/>
    <x v="22"/>
    <n v="3.552E-3"/>
    <n v="14.414016"/>
    <s v="TA"/>
    <x v="7"/>
    <x v="10"/>
    <s v="Q4"/>
    <n v="255"/>
    <n v="15.913725490196079"/>
    <s v="TALENTI"/>
    <n v="0.94"/>
    <n v="3814.52"/>
    <n v="13.54917504"/>
    <n v="14.958901960784313"/>
  </r>
  <r>
    <n v="69629468"/>
    <x v="16"/>
    <n v="32400"/>
    <d v="2023-10-10T00:00:00"/>
    <x v="30"/>
    <x v="30"/>
    <n v="5.2680000000000001E-3"/>
    <n v="170.6832"/>
    <s v="PS"/>
    <x v="7"/>
    <x v="14"/>
    <s v="Q4"/>
    <n v="130"/>
    <n v="249.23076923076923"/>
    <s v="PG"/>
    <n v="0.9"/>
    <n v="29160"/>
    <n v="153.61488"/>
    <n v="224.30769230769232"/>
  </r>
  <r>
    <n v="84141094"/>
    <x v="16"/>
    <n v="22800"/>
    <d v="2023-10-10T00:00:00"/>
    <x v="107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67466492"/>
    <x v="15"/>
    <n v="20250"/>
    <d v="2023-10-13T00:00:00"/>
    <x v="8"/>
    <x v="7"/>
    <n v="5.2680000000000001E-3"/>
    <n v="106.67700000000001"/>
    <s v="PS"/>
    <x v="7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0-15T00:00:00"/>
    <x v="8"/>
    <x v="8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466492"/>
    <x v="15"/>
    <n v="23400"/>
    <d v="2023-10-15T00:00:00"/>
    <x v="8"/>
    <x v="6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465063"/>
    <x v="15"/>
    <n v="15413"/>
    <d v="2023-10-16T00:00:00"/>
    <x v="3"/>
    <x v="40"/>
    <n v="5.2680000000000001E-3"/>
    <n v="81.195684"/>
    <s v="PS"/>
    <x v="7"/>
    <x v="3"/>
    <s v="Q4"/>
    <n v="130"/>
    <n v="118.56153846153846"/>
    <s v="PG"/>
    <n v="0.9"/>
    <n v="13871.7"/>
    <n v="73.076115600000008"/>
    <n v="106.70538461538462"/>
  </r>
  <r>
    <n v="67465064"/>
    <x v="15"/>
    <n v="13500"/>
    <d v="2023-10-16T00:00:00"/>
    <x v="7"/>
    <x v="3"/>
    <n v="1.596E-3"/>
    <n v="21.545999999999999"/>
    <s v="PS"/>
    <x v="7"/>
    <x v="3"/>
    <s v="Q4"/>
    <n v="130"/>
    <n v="103.84615384615384"/>
    <s v="PG"/>
    <n v="0.9"/>
    <n v="12150"/>
    <n v="19.391400000000001"/>
    <n v="93.461538461538453"/>
  </r>
  <r>
    <n v="67476560"/>
    <x v="15"/>
    <m/>
    <d v="2023-10-16T00:00:00"/>
    <x v="10"/>
    <x v="10"/>
    <n v="5.1060000000000003E-3"/>
    <n v="0"/>
    <s v="PS"/>
    <x v="7"/>
    <x v="3"/>
    <s v="Q4"/>
    <n v="130"/>
    <n v="0"/>
    <s v="PG"/>
    <n v="0.9"/>
    <n v="0"/>
    <n v="0"/>
    <n v="0"/>
  </r>
  <r>
    <n v="68634165"/>
    <x v="15"/>
    <n v="2550"/>
    <d v="2023-10-16T00:00:00"/>
    <x v="301"/>
    <x v="16"/>
    <n v="8.5199999999999998E-3"/>
    <n v="21.725999999999999"/>
    <s v="BR"/>
    <x v="7"/>
    <x v="6"/>
    <s v="Q4"/>
    <n v="154"/>
    <n v="16.558441558441558"/>
    <s v="48oz"/>
    <n v="0.95"/>
    <n v="2422.5"/>
    <n v="20.639699999999998"/>
    <n v="15.730519480519479"/>
  </r>
  <r>
    <n v="68634166"/>
    <x v="15"/>
    <n v="2760"/>
    <d v="2023-10-16T00:00:00"/>
    <x v="319"/>
    <x v="23"/>
    <n v="8.5170239596469108E-3"/>
    <n v="23.506986128625474"/>
    <s v="BR"/>
    <x v="7"/>
    <x v="6"/>
    <s v="Q4"/>
    <n v="154"/>
    <n v="17.922077922077921"/>
    <s v="48oz"/>
    <n v="0.95"/>
    <n v="2622"/>
    <n v="22.331636822194199"/>
    <n v="17.025974025974026"/>
  </r>
  <r>
    <n v="68634168"/>
    <x v="15"/>
    <n v="20400"/>
    <d v="2023-10-16T00:00:00"/>
    <x v="42"/>
    <x v="16"/>
    <n v="8.5170239596469108E-3"/>
    <n v="173.74728877679698"/>
    <s v="BR"/>
    <x v="7"/>
    <x v="6"/>
    <s v="Q4"/>
    <n v="154"/>
    <n v="132.46753246753246"/>
    <s v="48oz"/>
    <n v="0.95"/>
    <n v="19380"/>
    <n v="165.05992433795711"/>
    <n v="125.84415584415584"/>
  </r>
  <r>
    <n v="68737750"/>
    <x v="15"/>
    <n v="25200"/>
    <d v="2023-10-16T00:00:00"/>
    <x v="144"/>
    <x v="23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817801"/>
    <x v="15"/>
    <n v="25200"/>
    <d v="2023-10-16T00:00:00"/>
    <x v="183"/>
    <x v="11"/>
    <n v="8.4600000000000005E-3"/>
    <n v="213.19200000000001"/>
    <s v="BR"/>
    <x v="7"/>
    <x v="6"/>
    <s v="Q4"/>
    <n v="176"/>
    <n v="143.18181818181819"/>
    <s v="48oz"/>
    <n v="0.95"/>
    <n v="23940"/>
    <n v="202.5324"/>
    <n v="136.02272727272728"/>
  </r>
  <r>
    <n v="68850683"/>
    <x v="15"/>
    <n v="25200"/>
    <d v="2023-10-16T00:00:00"/>
    <x v="335"/>
    <x v="11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850684"/>
    <x v="15"/>
    <n v="25200"/>
    <d v="2023-10-16T00:00:00"/>
    <x v="354"/>
    <x v="11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881270"/>
    <x v="15"/>
    <n v="23800"/>
    <d v="2023-10-16T00:00:00"/>
    <x v="91"/>
    <x v="12"/>
    <n v="8.5199999999999998E-3"/>
    <n v="202.77599999999998"/>
    <s v="BR"/>
    <x v="7"/>
    <x v="6"/>
    <s v="Q4"/>
    <n v="176"/>
    <n v="135.22727272727272"/>
    <s v="48oz"/>
    <n v="0.95"/>
    <n v="22610"/>
    <n v="192.63719999999998"/>
    <n v="128.46590909090907"/>
  </r>
  <r>
    <n v="68881272"/>
    <x v="15"/>
    <n v="20400"/>
    <d v="2023-10-16T00:00:00"/>
    <x v="124"/>
    <x v="16"/>
    <n v="8.5199999999999998E-3"/>
    <n v="173.80799999999999"/>
    <s v="BR"/>
    <x v="7"/>
    <x v="6"/>
    <s v="Q4"/>
    <n v="154"/>
    <n v="132.46753246753246"/>
    <s v="48oz"/>
    <n v="0.95"/>
    <n v="19380"/>
    <n v="165.11759999999998"/>
    <n v="125.84415584415584"/>
  </r>
  <r>
    <n v="68930545"/>
    <x v="15"/>
    <n v="22800"/>
    <d v="2023-10-16T00:00:00"/>
    <x v="93"/>
    <x v="12"/>
    <n v="8.5199999999999998E-3"/>
    <n v="194.256"/>
    <s v="BR"/>
    <x v="7"/>
    <x v="6"/>
    <s v="Q4"/>
    <n v="176"/>
    <n v="129.54545454545453"/>
    <s v="48oz"/>
    <n v="0.95"/>
    <n v="21660"/>
    <n v="184.54319999999998"/>
    <n v="123.0681818181818"/>
  </r>
  <r>
    <n v="69568828"/>
    <x v="15"/>
    <n v="22800"/>
    <d v="2023-10-16T00:00:00"/>
    <x v="12"/>
    <x v="12"/>
    <n v="8.5199999999999998E-3"/>
    <n v="194.256"/>
    <s v="BR"/>
    <x v="7"/>
    <x v="6"/>
    <s v="Q4"/>
    <n v="176"/>
    <n v="129.54545454545453"/>
    <s v="48oz"/>
    <n v="0.95"/>
    <n v="21660"/>
    <n v="184.54319999999998"/>
    <n v="123.0681818181818"/>
  </r>
  <r>
    <n v="69629468"/>
    <x v="15"/>
    <n v="24000"/>
    <d v="2023-10-16T00:00:00"/>
    <x v="30"/>
    <x v="29"/>
    <n v="5.2680000000000001E-3"/>
    <n v="126.432"/>
    <s v="PS"/>
    <x v="7"/>
    <x v="3"/>
    <s v="Q4"/>
    <n v="130"/>
    <n v="184.61538461538461"/>
    <s v="PG"/>
    <n v="0.9"/>
    <n v="21600"/>
    <n v="113.78880000000001"/>
    <n v="166.15384615384616"/>
  </r>
  <r>
    <n v="69671641"/>
    <x v="15"/>
    <n v="27600"/>
    <d v="2023-10-16T00:00:00"/>
    <x v="260"/>
    <x v="4"/>
    <n v="3.9039999999999999E-3"/>
    <n v="107.7504"/>
    <s v="GH"/>
    <x v="7"/>
    <x v="4"/>
    <s v="Q4"/>
    <n v="154"/>
    <n v="179.22077922077921"/>
    <s v="MBG"/>
    <n v="0.87"/>
    <n v="24012"/>
    <n v="93.742847999999995"/>
    <n v="155.9220779220779"/>
  </r>
  <r>
    <n v="69671652"/>
    <x v="15"/>
    <n v="36000"/>
    <d v="2023-10-16T00:00:00"/>
    <x v="197"/>
    <x v="24"/>
    <n v="2.8319999999999999E-3"/>
    <n v="101.952"/>
    <s v="GH"/>
    <x v="7"/>
    <x v="4"/>
    <s v="Q4"/>
    <n v="225"/>
    <n v="160"/>
    <s v="MBG"/>
    <n v="0.87"/>
    <n v="31320"/>
    <n v="88.698239999999998"/>
    <n v="139.19999999999999"/>
  </r>
  <r>
    <n v="67885719"/>
    <x v="16"/>
    <n v="26400"/>
    <d v="2023-10-16T00:00:00"/>
    <x v="11"/>
    <x v="13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7885721"/>
    <x v="16"/>
    <n v="26400"/>
    <d v="2023-10-16T00:00:00"/>
    <x v="40"/>
    <x v="2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7885723"/>
    <x v="16"/>
    <n v="3300"/>
    <d v="2023-10-16T00:00:00"/>
    <x v="304"/>
    <x v="13"/>
    <n v="8.5199999999999998E-3"/>
    <n v="28.116"/>
    <s v="BR"/>
    <x v="7"/>
    <x v="2"/>
    <s v="Q4"/>
    <n v="154"/>
    <n v="21.428571428571427"/>
    <s v="48oz"/>
    <n v="0.95"/>
    <n v="3135"/>
    <n v="26.710199999999997"/>
    <n v="20.357142857142854"/>
  </r>
  <r>
    <n v="67901589"/>
    <x v="16"/>
    <n v="0"/>
    <d v="2023-10-16T00:00:00"/>
    <x v="220"/>
    <x v="32"/>
    <n v="8.5199999999999998E-3"/>
    <n v="0"/>
    <s v="BR"/>
    <x v="7"/>
    <x v="2"/>
    <s v="Q4"/>
    <n v="154"/>
    <n v="0"/>
    <s v="48oz"/>
    <n v="0.95"/>
    <n v="0"/>
    <n v="0"/>
    <n v="0"/>
  </r>
  <r>
    <n v="67901593"/>
    <x v="16"/>
    <n v="0"/>
    <d v="2023-10-16T00:00:00"/>
    <x v="68"/>
    <x v="32"/>
    <n v="8.5199999999999998E-3"/>
    <n v="0"/>
    <s v="BR"/>
    <x v="7"/>
    <x v="2"/>
    <s v="Q4"/>
    <n v="154"/>
    <n v="0"/>
    <s v="48oz"/>
    <n v="0.95"/>
    <n v="0"/>
    <n v="0"/>
    <n v="0"/>
  </r>
  <r>
    <n v="68817793"/>
    <x v="16"/>
    <n v="26400"/>
    <d v="2023-10-16T00:00:00"/>
    <x v="48"/>
    <x v="2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68963"/>
    <x v="16"/>
    <n v="26400"/>
    <d v="2023-10-16T00:00:00"/>
    <x v="94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68965"/>
    <x v="16"/>
    <n v="26400"/>
    <d v="2023-10-16T00:00:00"/>
    <x v="298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72658"/>
    <x v="16"/>
    <n v="36000"/>
    <d v="2023-10-16T00:00:00"/>
    <x v="166"/>
    <x v="5"/>
    <n v="2.1520000000000003E-3"/>
    <n v="77.472000000000008"/>
    <s v="MG"/>
    <x v="7"/>
    <x v="5"/>
    <s v="Q4"/>
    <n v="210"/>
    <n v="171.42857142857142"/>
    <s v="MG Sticks"/>
    <n v="0.93"/>
    <n v="33480"/>
    <n v="72.048960000000008"/>
    <n v="159.42857142857142"/>
  </r>
  <r>
    <n v="68383244"/>
    <x v="16"/>
    <n v="36000"/>
    <d v="2023-10-23T00:00:00"/>
    <x v="387"/>
    <x v="5"/>
    <n v="2.16E-3"/>
    <n v="77.760000000000005"/>
    <s v="MG"/>
    <x v="7"/>
    <x v="5"/>
    <s v="Q4"/>
    <n v="210"/>
    <n v="171.42857142857142"/>
    <s v="MG Sticks"/>
    <n v="0.93"/>
    <n v="33480"/>
    <n v="72.316800000000015"/>
    <n v="159.42857142857142"/>
  </r>
  <r>
    <n v="69621212"/>
    <x v="16"/>
    <n v="35100"/>
    <d v="2023-10-16T00:00:00"/>
    <x v="29"/>
    <x v="28"/>
    <n v="5.2680000000000001E-3"/>
    <n v="184.9068"/>
    <s v="PG"/>
    <x v="7"/>
    <x v="14"/>
    <s v="Q4"/>
    <n v="130"/>
    <n v="270"/>
    <s v="PG"/>
    <n v="0.9"/>
    <n v="31590"/>
    <n v="166.41612000000001"/>
    <n v="243"/>
  </r>
  <r>
    <n v="69706138"/>
    <x v="16"/>
    <n v="35700"/>
    <d v="2023-10-16T00:00:00"/>
    <x v="289"/>
    <x v="31"/>
    <n v="3.8999999999999998E-3"/>
    <n v="139.22999999999999"/>
    <s v="TA"/>
    <x v="7"/>
    <x v="42"/>
    <s v="Q4"/>
    <n v="176"/>
    <n v="202.84090909090909"/>
    <s v="TAL NV"/>
    <n v="0.97"/>
    <n v="34629"/>
    <n v="135.05309999999997"/>
    <n v="196.75568181818181"/>
  </r>
  <r>
    <n v="84141102"/>
    <x v="18"/>
    <n v="105600"/>
    <d v="2023-10-16T00:00:00"/>
    <x v="217"/>
    <x v="38"/>
    <n v="3.7853439999999999E-3"/>
    <n v="399.73232639999998"/>
    <s v="BJ"/>
    <x v="7"/>
    <x v="36"/>
    <s v="Q4"/>
    <n v="240"/>
    <n v="440"/>
    <s v="BJ PTS"/>
    <n v="0.9"/>
    <n v="95040"/>
    <n v="359.75909375999998"/>
    <n v="396"/>
  </r>
  <r>
    <n v="84141103"/>
    <x v="18"/>
    <n v="105600"/>
    <d v="2023-10-16T00:00:00"/>
    <x v="294"/>
    <x v="38"/>
    <n v="3.7853439999999999E-3"/>
    <n v="399.73232639999998"/>
    <s v="BJ"/>
    <x v="7"/>
    <x v="36"/>
    <s v="Q4"/>
    <n v="240"/>
    <n v="440"/>
    <s v="BJ PTS"/>
    <n v="0.9"/>
    <n v="95040"/>
    <n v="359.75909375999998"/>
    <n v="396"/>
  </r>
  <r>
    <n v="67794167"/>
    <x v="17"/>
    <n v="37120"/>
    <d v="2023-10-16T00:00:00"/>
    <x v="176"/>
    <x v="33"/>
    <n v="3.7853439999999999E-3"/>
    <n v="140.51196927999999"/>
    <s v="BJ"/>
    <x v="7"/>
    <x v="15"/>
    <s v="Q4"/>
    <n v="240"/>
    <n v="154.66666666666666"/>
    <s v="BJ PTS"/>
    <n v="0.9"/>
    <n v="33408"/>
    <n v="126.46077235199999"/>
    <n v="139.19999999999999"/>
  </r>
  <r>
    <n v="67904289"/>
    <x v="17"/>
    <n v="102400"/>
    <d v="2023-10-16T00:00:00"/>
    <x v="235"/>
    <x v="38"/>
    <n v="3.7839999999999996E-3"/>
    <n v="387.48159999999996"/>
    <s v="BJ"/>
    <x v="7"/>
    <x v="15"/>
    <s v="Q4"/>
    <n v="240"/>
    <n v="426.66666666666669"/>
    <s v="BJ PTS"/>
    <n v="0.9"/>
    <n v="92160"/>
    <n v="348.73343999999997"/>
    <n v="384"/>
  </r>
  <r>
    <n v="84137694"/>
    <x v="17"/>
    <n v="37120"/>
    <d v="2023-10-16T00:00:00"/>
    <x v="136"/>
    <x v="38"/>
    <n v="3.7853439999999999E-3"/>
    <n v="140.51196927999999"/>
    <s v="BJ"/>
    <x v="7"/>
    <x v="15"/>
    <s v="Q4"/>
    <n v="240"/>
    <n v="154.66666666666666"/>
    <s v="BJ PTS"/>
    <n v="0.9"/>
    <n v="33408"/>
    <n v="126.46077235199999"/>
    <n v="139.19999999999999"/>
  </r>
  <r>
    <n v="84139090"/>
    <x v="17"/>
    <n v="27840"/>
    <d v="2023-10-16T00:00:00"/>
    <x v="85"/>
    <x v="43"/>
    <n v="3.7853439999999999E-3"/>
    <n v="105.38397696"/>
    <s v="BJ"/>
    <x v="7"/>
    <x v="15"/>
    <s v="Q4"/>
    <n v="240"/>
    <n v="116"/>
    <s v="BJ PTS"/>
    <n v="0.9"/>
    <n v="25056"/>
    <n v="94.845579263999994"/>
    <n v="104.4"/>
  </r>
  <r>
    <n v="84150840"/>
    <x v="17"/>
    <n v="32040"/>
    <d v="2023-10-16T00:00:00"/>
    <x v="251"/>
    <x v="33"/>
    <n v="1.4399999999999999E-3"/>
    <n v="46.137599999999999"/>
    <s v="BJ"/>
    <x v="7"/>
    <x v="16"/>
    <s v="Q4"/>
    <n v="510"/>
    <n v="62.823529411764703"/>
    <s v="B&amp;J Cups"/>
    <n v="0.85"/>
    <n v="27234"/>
    <n v="39.21696"/>
    <n v="53.4"/>
  </r>
  <r>
    <n v="67309843"/>
    <x v="16"/>
    <n v="45600"/>
    <d v="2023-10-17T00:00:00"/>
    <x v="88"/>
    <x v="32"/>
    <n v="8.5199999999999998E-3"/>
    <n v="388.512"/>
    <s v="BR"/>
    <x v="7"/>
    <x v="2"/>
    <s v="Q4"/>
    <n v="154"/>
    <n v="296.10389610389609"/>
    <s v="48oz"/>
    <n v="0.95"/>
    <n v="43320"/>
    <n v="369.08639999999997"/>
    <n v="281.29870129870125"/>
  </r>
  <r>
    <n v="67885717"/>
    <x v="16"/>
    <n v="5700"/>
    <d v="2023-10-17T00:00:00"/>
    <x v="38"/>
    <x v="32"/>
    <n v="8.5199999999999998E-3"/>
    <n v="48.564"/>
    <s v="BR"/>
    <x v="7"/>
    <x v="2"/>
    <s v="Q4"/>
    <n v="154"/>
    <n v="37.012987012987011"/>
    <s v="48oz"/>
    <n v="0.95"/>
    <n v="5415"/>
    <n v="46.135799999999996"/>
    <n v="35.162337662337656"/>
  </r>
  <r>
    <n v="68354590"/>
    <x v="16"/>
    <n v="57000"/>
    <d v="2023-10-17T00:00:00"/>
    <x v="339"/>
    <x v="15"/>
    <n v="3.5999999999999999E-3"/>
    <n v="205.2"/>
    <s v="BJ"/>
    <x v="7"/>
    <x v="19"/>
    <s v="Q4"/>
    <n v="240"/>
    <n v="237.5"/>
    <s v="Topped"/>
    <n v="0.91"/>
    <n v="51870"/>
    <n v="186.732"/>
    <n v="216.125"/>
  </r>
  <r>
    <n v="68726715"/>
    <x v="16"/>
    <n v="25650"/>
    <d v="2023-10-17T00:00:00"/>
    <x v="34"/>
    <x v="21"/>
    <n v="3.7853440000000004E-3"/>
    <n v="97.094073600000016"/>
    <s v="TA"/>
    <x v="7"/>
    <x v="10"/>
    <s v="Q4"/>
    <n v="255"/>
    <n v="100.58823529411765"/>
    <s v="TALENTI"/>
    <n v="0.94"/>
    <n v="24111"/>
    <n v="91.268429184000013"/>
    <n v="94.552941176470583"/>
  </r>
  <r>
    <n v="68741742"/>
    <x v="16"/>
    <n v="32400"/>
    <d v="2023-10-17T00:00:00"/>
    <x v="25"/>
    <x v="25"/>
    <n v="4.2560000000000002E-3"/>
    <n v="137.89440000000002"/>
    <s v="GH"/>
    <x v="7"/>
    <x v="11"/>
    <s v="Q4"/>
    <n v="154"/>
    <n v="210.3896103896104"/>
    <s v="MBG"/>
    <n v="0.87"/>
    <n v="28188"/>
    <n v="119.96812800000002"/>
    <n v="183.03896103896105"/>
  </r>
  <r>
    <n v="68881270"/>
    <x v="16"/>
    <n v="13200"/>
    <d v="2023-10-17T00:00:00"/>
    <x v="91"/>
    <x v="2"/>
    <n v="8.5199999999999998E-3"/>
    <n v="112.464"/>
    <s v="BR"/>
    <x v="7"/>
    <x v="2"/>
    <s v="Q4"/>
    <n v="176"/>
    <n v="75"/>
    <s v="48oz"/>
    <n v="0.95"/>
    <n v="12540"/>
    <n v="106.84079999999999"/>
    <n v="71.25"/>
  </r>
  <r>
    <n v="69554197"/>
    <x v="16"/>
    <n v="22800"/>
    <d v="2023-10-17T00:00:00"/>
    <x v="15"/>
    <x v="15"/>
    <n v="3.7839999999999996E-3"/>
    <n v="86.275199999999984"/>
    <s v="BR"/>
    <x v="7"/>
    <x v="7"/>
    <s v="Q4"/>
    <n v="240"/>
    <n v="95"/>
    <s v="PTS"/>
    <n v="0.95"/>
    <n v="21660"/>
    <n v="81.961439999999982"/>
    <n v="90.25"/>
  </r>
  <r>
    <n v="69629468"/>
    <x v="16"/>
    <n v="32400"/>
    <d v="2023-10-17T00:00:00"/>
    <x v="30"/>
    <x v="30"/>
    <n v="5.2680000000000001E-3"/>
    <n v="170.6832"/>
    <s v="PS"/>
    <x v="7"/>
    <x v="14"/>
    <s v="Q4"/>
    <n v="130"/>
    <n v="249.23076923076923"/>
    <s v="PG"/>
    <n v="0.9"/>
    <n v="29160"/>
    <n v="153.61488"/>
    <n v="224.30769230769232"/>
  </r>
  <r>
    <n v="69691790"/>
    <x v="16"/>
    <n v="25650"/>
    <d v="2023-10-17T00:00:00"/>
    <x v="212"/>
    <x v="21"/>
    <n v="3.7839999999999996E-3"/>
    <n v="97.059599999999989"/>
    <s v="TA"/>
    <x v="7"/>
    <x v="10"/>
    <s v="Q4"/>
    <n v="255"/>
    <n v="100.58823529411765"/>
    <s v="TALENTI"/>
    <n v="0.94"/>
    <n v="24111"/>
    <n v="91.236023999999986"/>
    <n v="94.552941176470583"/>
  </r>
  <r>
    <n v="69691809"/>
    <x v="16"/>
    <n v="25650"/>
    <d v="2023-10-17T00:00:00"/>
    <x v="283"/>
    <x v="21"/>
    <n v="3.7839999999999996E-3"/>
    <n v="97.059599999999989"/>
    <s v="TA"/>
    <x v="7"/>
    <x v="10"/>
    <s v="Q4"/>
    <n v="255"/>
    <n v="100.58823529411765"/>
    <s v="TALENTI"/>
    <n v="0.94"/>
    <n v="24111"/>
    <n v="91.236023999999986"/>
    <n v="94.552941176470583"/>
  </r>
  <r>
    <n v="84141094"/>
    <x v="16"/>
    <n v="22800"/>
    <d v="2023-10-17T00:00:00"/>
    <x v="107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84164936"/>
    <x v="16"/>
    <n v="22800"/>
    <d v="2023-10-17T00:00:00"/>
    <x v="162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67466492"/>
    <x v="15"/>
    <n v="20250"/>
    <d v="2023-10-20T00:00:00"/>
    <x v="8"/>
    <x v="7"/>
    <n v="5.2680000000000001E-3"/>
    <n v="106.67700000000001"/>
    <s v="PS"/>
    <x v="7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0-22T00:00:00"/>
    <x v="8"/>
    <x v="8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466492"/>
    <x v="15"/>
    <n v="23400"/>
    <d v="2023-10-22T00:00:00"/>
    <x v="8"/>
    <x v="6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232079"/>
    <x v="15"/>
    <n v="38400"/>
    <d v="2023-10-23T00:00:00"/>
    <x v="363"/>
    <x v="16"/>
    <n v="1.1356032009663295E-2"/>
    <n v="436.07162917107053"/>
    <s v="BR"/>
    <x v="7"/>
    <x v="49"/>
    <s v="Q4"/>
    <n v="108"/>
    <n v="355.55555555555554"/>
    <s v="64oz"/>
    <n v="0.9"/>
    <n v="34560"/>
    <n v="392.46446625396351"/>
    <n v="320"/>
  </r>
  <r>
    <n v="67465063"/>
    <x v="15"/>
    <n v="15413"/>
    <d v="2023-10-23T00:00:00"/>
    <x v="3"/>
    <x v="40"/>
    <n v="5.2680000000000001E-3"/>
    <n v="81.195684"/>
    <s v="PS"/>
    <x v="7"/>
    <x v="3"/>
    <s v="Q4"/>
    <n v="130"/>
    <n v="118.56153846153846"/>
    <s v="PG"/>
    <n v="0.9"/>
    <n v="13871.7"/>
    <n v="73.076115600000008"/>
    <n v="106.70538461538462"/>
  </r>
  <r>
    <n v="67465064"/>
    <x v="15"/>
    <n v="13500"/>
    <d v="2023-10-23T00:00:00"/>
    <x v="7"/>
    <x v="3"/>
    <n v="1.596E-3"/>
    <n v="21.545999999999999"/>
    <s v="PS"/>
    <x v="7"/>
    <x v="3"/>
    <s v="Q4"/>
    <n v="130"/>
    <n v="103.84615384615384"/>
    <s v="PG"/>
    <n v="0.9"/>
    <n v="12150"/>
    <n v="19.391400000000001"/>
    <n v="93.461538461538453"/>
  </r>
  <r>
    <n v="67476560"/>
    <x v="15"/>
    <m/>
    <d v="2023-10-23T00:00:00"/>
    <x v="10"/>
    <x v="10"/>
    <n v="5.1060000000000003E-3"/>
    <n v="0"/>
    <s v="PS"/>
    <x v="7"/>
    <x v="3"/>
    <s v="Q4"/>
    <n v="130"/>
    <n v="0"/>
    <s v="PG"/>
    <n v="0.9"/>
    <n v="0"/>
    <n v="0"/>
    <n v="0"/>
  </r>
  <r>
    <n v="67723726"/>
    <x v="15"/>
    <n v="25200"/>
    <d v="2023-10-23T00:00:00"/>
    <x v="109"/>
    <x v="23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885724"/>
    <x v="15"/>
    <n v="22800"/>
    <d v="2023-10-23T00:00:00"/>
    <x v="49"/>
    <x v="12"/>
    <n v="8.5199999999999998E-3"/>
    <n v="194.256"/>
    <s v="BR"/>
    <x v="7"/>
    <x v="6"/>
    <s v="Q4"/>
    <n v="154"/>
    <n v="148.05194805194805"/>
    <s v="48oz"/>
    <n v="0.95"/>
    <n v="21660"/>
    <n v="184.54319999999998"/>
    <n v="140.64935064935062"/>
  </r>
  <r>
    <n v="68737750"/>
    <x v="15"/>
    <n v="25200"/>
    <d v="2023-10-23T00:00:00"/>
    <x v="144"/>
    <x v="23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817793"/>
    <x v="15"/>
    <n v="20400"/>
    <d v="2023-10-23T00:00:00"/>
    <x v="48"/>
    <x v="16"/>
    <n v="8.5199999999999998E-3"/>
    <n v="173.80799999999999"/>
    <s v="BR"/>
    <x v="7"/>
    <x v="6"/>
    <s v="Q4"/>
    <n v="176"/>
    <n v="115.90909090909091"/>
    <s v="48oz"/>
    <n v="0.95"/>
    <n v="19380"/>
    <n v="165.11759999999998"/>
    <n v="110.11363636363636"/>
  </r>
  <r>
    <n v="68850683"/>
    <x v="15"/>
    <n v="25200"/>
    <d v="2023-10-23T00:00:00"/>
    <x v="335"/>
    <x v="11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850684"/>
    <x v="15"/>
    <n v="25200"/>
    <d v="2023-10-23T00:00:00"/>
    <x v="354"/>
    <x v="11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890246"/>
    <x v="15"/>
    <n v="22800"/>
    <d v="2023-10-23T00:00:00"/>
    <x v="250"/>
    <x v="12"/>
    <n v="5.1101999999999995E-2"/>
    <n v="1165.1255999999998"/>
    <s v="BR"/>
    <x v="7"/>
    <x v="6"/>
    <s v="Q4"/>
    <n v="176"/>
    <n v="129.54545454545453"/>
    <s v="48oz"/>
    <n v="0.95"/>
    <n v="21660"/>
    <n v="1106.8693199999998"/>
    <n v="123.0681818181818"/>
  </r>
  <r>
    <n v="68899821"/>
    <x v="15"/>
    <n v="24000"/>
    <d v="2023-10-23T00:00:00"/>
    <x v="149"/>
    <x v="23"/>
    <n v="8.5199999999999998E-3"/>
    <n v="204.48"/>
    <s v="BR"/>
    <x v="7"/>
    <x v="6"/>
    <s v="Q4"/>
    <n v="176"/>
    <n v="136.36363636363637"/>
    <s v="48oz"/>
    <n v="0.95"/>
    <n v="22800"/>
    <n v="194.25599999999997"/>
    <n v="129.54545454545456"/>
  </r>
  <r>
    <n v="69629468"/>
    <x v="15"/>
    <n v="24000"/>
    <d v="2023-10-23T00:00:00"/>
    <x v="30"/>
    <x v="29"/>
    <n v="5.2680000000000001E-3"/>
    <n v="126.432"/>
    <s v="PS"/>
    <x v="7"/>
    <x v="3"/>
    <s v="Q4"/>
    <n v="130"/>
    <n v="184.61538461538461"/>
    <s v="PG"/>
    <n v="0.9"/>
    <n v="21600"/>
    <n v="113.78880000000001"/>
    <n v="166.15384615384616"/>
  </r>
  <r>
    <n v="69671641"/>
    <x v="15"/>
    <n v="27600"/>
    <d v="2023-10-23T00:00:00"/>
    <x v="260"/>
    <x v="4"/>
    <n v="3.9039999999999999E-3"/>
    <n v="107.7504"/>
    <s v="GH"/>
    <x v="7"/>
    <x v="4"/>
    <s v="Q4"/>
    <n v="154"/>
    <n v="179.22077922077921"/>
    <s v="MBG"/>
    <n v="0.87"/>
    <n v="24012"/>
    <n v="93.742847999999995"/>
    <n v="155.9220779220779"/>
  </r>
  <r>
    <n v="69671652"/>
    <x v="15"/>
    <n v="36000"/>
    <d v="2023-10-23T00:00:00"/>
    <x v="197"/>
    <x v="24"/>
    <n v="2.8319999999999999E-3"/>
    <n v="101.952"/>
    <s v="GH"/>
    <x v="7"/>
    <x v="4"/>
    <s v="Q4"/>
    <n v="225"/>
    <n v="160"/>
    <s v="MBG"/>
    <n v="0.87"/>
    <n v="31320"/>
    <n v="88.698239999999998"/>
    <n v="139.19999999999999"/>
  </r>
  <r>
    <n v="67309841"/>
    <x v="16"/>
    <n v="26400"/>
    <d v="2023-10-23T00:00:00"/>
    <x v="32"/>
    <x v="13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7885719"/>
    <x v="16"/>
    <n v="26400"/>
    <d v="2023-10-23T00:00:00"/>
    <x v="11"/>
    <x v="2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8410353"/>
    <x v="16"/>
    <n v="1"/>
    <d v="2023-10-23T00:00:00"/>
    <x v="364"/>
    <x v="14"/>
    <n v="1.98E-3"/>
    <n v="1.98E-3"/>
    <s v="MG"/>
    <x v="7"/>
    <x v="5"/>
    <s v="Q4"/>
    <n v="176"/>
    <n v="5.681818181818182E-3"/>
    <s v="MG Sticks"/>
    <n v="0.93"/>
    <n v="0.93"/>
    <n v="1.8414E-3"/>
    <n v="5.2840909090909093E-3"/>
  </r>
  <r>
    <n v="68821728"/>
    <x v="16"/>
    <n v="26400"/>
    <d v="2023-10-23T00:00:00"/>
    <x v="35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55093"/>
    <x v="16"/>
    <n v="40000"/>
    <d v="2023-10-09T00:00:00"/>
    <x v="229"/>
    <x v="14"/>
    <n v="1.98E-3"/>
    <n v="79.2"/>
    <s v="TA"/>
    <x v="7"/>
    <x v="42"/>
    <s v="Q4"/>
    <n v="176"/>
    <n v="227.27272727272728"/>
    <s v="TAL NV"/>
    <n v="0.97"/>
    <n v="38800"/>
    <n v="76.823999999999998"/>
    <n v="220.45454545454547"/>
  </r>
  <r>
    <n v="69568963"/>
    <x v="16"/>
    <n v="26400"/>
    <d v="2023-10-23T00:00:00"/>
    <x v="94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72659"/>
    <x v="16"/>
    <n v="36000"/>
    <d v="2023-10-23T00:00:00"/>
    <x v="5"/>
    <x v="5"/>
    <n v="2.1520000000000003E-3"/>
    <n v="77.472000000000008"/>
    <s v="MG"/>
    <x v="7"/>
    <x v="5"/>
    <s v="Q4"/>
    <n v="210"/>
    <n v="171.42857142857142"/>
    <s v="MG Sticks"/>
    <n v="0.93"/>
    <n v="33480"/>
    <n v="72.048960000000008"/>
    <n v="159.42857142857142"/>
  </r>
  <r>
    <n v="68649098"/>
    <x v="16"/>
    <n v="35000"/>
    <d v="2023-10-30T00:00:00"/>
    <x v="388"/>
    <x v="5"/>
    <n v="2.4150494713151304E-3"/>
    <n v="84.526731496029569"/>
    <s v="MG"/>
    <x v="7"/>
    <x v="5"/>
    <s v="Q4"/>
    <n v="210"/>
    <n v="166.66666666666666"/>
    <s v="MG Sticks"/>
    <n v="0.93"/>
    <n v="32550"/>
    <n v="78.609860291307498"/>
    <n v="155"/>
  </r>
  <r>
    <n v="69706147"/>
    <x v="16"/>
    <n v="35700"/>
    <d v="2023-10-23T00:00:00"/>
    <x v="195"/>
    <x v="31"/>
    <n v="3.8999999999999998E-3"/>
    <n v="139.22999999999999"/>
    <s v="TA"/>
    <x v="7"/>
    <x v="42"/>
    <s v="Q4"/>
    <n v="176"/>
    <n v="202.84090909090909"/>
    <s v="TAL NV"/>
    <n v="0.97"/>
    <n v="34629"/>
    <n v="135.05309999999997"/>
    <n v="196.75568181818181"/>
  </r>
  <r>
    <n v="69778792"/>
    <x v="16"/>
    <n v="35100"/>
    <d v="2023-10-23T00:00:00"/>
    <x v="376"/>
    <x v="28"/>
    <n v="5.2680000000000001E-3"/>
    <n v="184.9068"/>
    <s v="PS"/>
    <x v="7"/>
    <x v="14"/>
    <s v="Q4"/>
    <n v="130"/>
    <n v="270"/>
    <s v="PG"/>
    <n v="0.9"/>
    <n v="31590"/>
    <n v="166.41612000000001"/>
    <n v="243"/>
  </r>
  <r>
    <n v="67826412"/>
    <x v="18"/>
    <n v="105600"/>
    <d v="2023-10-23T00:00:00"/>
    <x v="214"/>
    <x v="35"/>
    <n v="3.7853439999999999E-3"/>
    <n v="399.73232639999998"/>
    <s v="BJ"/>
    <x v="7"/>
    <x v="36"/>
    <s v="Q4"/>
    <n v="240"/>
    <n v="440"/>
    <s v="BJ PTS"/>
    <n v="0.9"/>
    <n v="95040"/>
    <n v="359.75909375999998"/>
    <n v="396"/>
  </r>
  <r>
    <n v="84137725"/>
    <x v="18"/>
    <n v="0"/>
    <d v="2023-10-23T00:00:00"/>
    <x v="132"/>
    <x v="33"/>
    <n v="3.7853439999999999E-3"/>
    <n v="0"/>
    <s v="BJ"/>
    <x v="7"/>
    <x v="36"/>
    <s v="Q4"/>
    <n v="240"/>
    <n v="0"/>
    <s v="BJ PTS"/>
    <n v="0.9"/>
    <n v="0"/>
    <n v="0"/>
    <n v="0"/>
  </r>
  <r>
    <n v="67278444"/>
    <x v="17"/>
    <n v="48000"/>
    <d v="2023-10-23T00:00:00"/>
    <x v="213"/>
    <x v="38"/>
    <n v="3.7839999999999996E-3"/>
    <n v="181.63199999999998"/>
    <s v="BJ"/>
    <x v="7"/>
    <x v="15"/>
    <s v="Q4"/>
    <n v="240"/>
    <n v="200"/>
    <s v="BJ PTS"/>
    <n v="0.9"/>
    <n v="43200"/>
    <n v="163.46879999999999"/>
    <n v="180"/>
  </r>
  <r>
    <n v="67278447"/>
    <x v="17"/>
    <n v="30160"/>
    <d v="2023-10-23T00:00:00"/>
    <x v="290"/>
    <x v="42"/>
    <n v="3.7839999999999996E-3"/>
    <n v="114.12543999999998"/>
    <s v="BJ"/>
    <x v="7"/>
    <x v="15"/>
    <s v="Q4"/>
    <n v="240"/>
    <n v="125.66666666666667"/>
    <s v="BJ PTS"/>
    <n v="0.9"/>
    <n v="27144"/>
    <n v="102.71289599999999"/>
    <n v="113.10000000000001"/>
  </r>
  <r>
    <n v="67736698"/>
    <x v="17"/>
    <n v="18560"/>
    <d v="2023-10-23T00:00:00"/>
    <x v="140"/>
    <x v="33"/>
    <n v="3.7839999999999996E-3"/>
    <n v="70.231039999999993"/>
    <s v="BJ"/>
    <x v="7"/>
    <x v="15"/>
    <s v="Q4"/>
    <n v="240"/>
    <n v="77.333333333333329"/>
    <s v="BJ PTS"/>
    <n v="0.9"/>
    <n v="16704"/>
    <n v="63.207935999999997"/>
    <n v="69.599999999999994"/>
  </r>
  <r>
    <n v="67825198"/>
    <x v="17"/>
    <n v="6240"/>
    <d v="2023-10-23T00:00:00"/>
    <x v="353"/>
    <x v="35"/>
    <n v="9.0848256361922702E-3"/>
    <n v="56.689311969839764"/>
    <s v="BJ"/>
    <x v="7"/>
    <x v="39"/>
    <s v="Q4"/>
    <n v="125"/>
    <n v="49.92"/>
    <s v="2.4 Gal"/>
    <n v="0.85"/>
    <n v="5304"/>
    <n v="48.185915174363799"/>
    <n v="42.432000000000002"/>
  </r>
  <r>
    <n v="67867261"/>
    <x v="17"/>
    <n v="22040"/>
    <d v="2023-10-23T00:00:00"/>
    <x v="110"/>
    <x v="35"/>
    <n v="3.7853439999999999E-3"/>
    <n v="83.428981759999999"/>
    <s v="BJ"/>
    <x v="7"/>
    <x v="15"/>
    <s v="Q4"/>
    <n v="240"/>
    <n v="91.833333333333329"/>
    <s v="BJ PTS"/>
    <n v="0.9"/>
    <n v="19836"/>
    <n v="75.086083584000008"/>
    <n v="82.649999999999991"/>
  </r>
  <r>
    <n v="67881629"/>
    <x v="17"/>
    <n v="41760"/>
    <d v="2023-10-23T00:00:00"/>
    <x v="65"/>
    <x v="33"/>
    <n v="3.7853439999999999E-3"/>
    <n v="158.07596544"/>
    <s v="BJ"/>
    <x v="7"/>
    <x v="15"/>
    <s v="Q4"/>
    <n v="240"/>
    <n v="174"/>
    <s v="BJ PTS"/>
    <n v="0.9"/>
    <n v="37584"/>
    <n v="142.268368896"/>
    <n v="156.6"/>
  </r>
  <r>
    <n v="68188511"/>
    <x v="17"/>
    <n v="16240"/>
    <d v="2023-10-23T00:00:00"/>
    <x v="188"/>
    <x v="35"/>
    <n v="3.7853439999999999E-3"/>
    <n v="61.47398656"/>
    <s v="BJ"/>
    <x v="7"/>
    <x v="15"/>
    <s v="Q4"/>
    <n v="240"/>
    <n v="67.666666666666671"/>
    <s v="BJ PTS"/>
    <n v="0.9"/>
    <n v="14616"/>
    <n v="55.326587904"/>
    <n v="60.900000000000006"/>
  </r>
  <r>
    <n v="68188514"/>
    <x v="17"/>
    <n v="18560"/>
    <d v="2023-10-23T00:00:00"/>
    <x v="180"/>
    <x v="35"/>
    <n v="3.7853439999999999E-3"/>
    <n v="70.255984639999994"/>
    <s v="BJ"/>
    <x v="7"/>
    <x v="15"/>
    <s v="Q4"/>
    <n v="240"/>
    <n v="77.333333333333329"/>
    <s v="BJ PTS"/>
    <n v="0.9"/>
    <n v="16704"/>
    <n v="63.230386175999996"/>
    <n v="69.599999999999994"/>
  </r>
  <r>
    <n v="68409142"/>
    <x v="17"/>
    <n v="32040"/>
    <d v="2023-10-23T00:00:00"/>
    <x v="60"/>
    <x v="35"/>
    <n v="1.419504E-3"/>
    <n v="45.480908159999998"/>
    <s v="BJ"/>
    <x v="7"/>
    <x v="25"/>
    <s v="Q4"/>
    <n v="510"/>
    <n v="62.823529411764703"/>
    <s v="B&amp;J Dog Treat"/>
    <n v="0.85"/>
    <n v="27234"/>
    <n v="38.658771936000001"/>
    <n v="53.4"/>
  </r>
  <r>
    <n v="68409143"/>
    <x v="17"/>
    <n v="32040"/>
    <d v="2023-10-23T00:00:00"/>
    <x v="137"/>
    <x v="35"/>
    <n v="1.419504E-3"/>
    <n v="45.480908159999998"/>
    <s v="BJ"/>
    <x v="7"/>
    <x v="25"/>
    <s v="Q4"/>
    <n v="510"/>
    <n v="62.823529411764703"/>
    <s v="B&amp;J Dog Treat"/>
    <n v="0.85"/>
    <n v="27234"/>
    <n v="38.658771936000001"/>
    <n v="53.4"/>
  </r>
  <r>
    <n v="68518538"/>
    <x v="17"/>
    <n v="6400"/>
    <d v="2023-10-23T00:00:00"/>
    <x v="189"/>
    <x v="33"/>
    <n v="3.6640000000000002E-3"/>
    <n v="23.4496"/>
    <s v="BJ"/>
    <x v="7"/>
    <x v="24"/>
    <s v="Q4"/>
    <n v="240"/>
    <n v="26.666666666666668"/>
    <s v="PTS Exports"/>
    <n v="0.9"/>
    <n v="5760"/>
    <n v="21.10464"/>
    <n v="24"/>
  </r>
  <r>
    <n v="68575292"/>
    <x v="17"/>
    <n v="13920"/>
    <d v="2023-10-23T00:00:00"/>
    <x v="323"/>
    <x v="35"/>
    <n v="3.7839999999999996E-3"/>
    <n v="52.673279999999991"/>
    <s v="BJ"/>
    <x v="7"/>
    <x v="15"/>
    <s v="Q4"/>
    <n v="240"/>
    <n v="58"/>
    <s v="BJ PTS"/>
    <n v="0.9"/>
    <n v="12528"/>
    <n v="47.405951999999992"/>
    <n v="52.2"/>
  </r>
  <r>
    <n v="68654238"/>
    <x v="17"/>
    <n v="16240"/>
    <d v="2023-10-23T00:00:00"/>
    <x v="54"/>
    <x v="33"/>
    <n v="3.7839999999999996E-3"/>
    <n v="61.452159999999992"/>
    <s v="BJ"/>
    <x v="7"/>
    <x v="15"/>
    <s v="Q4"/>
    <n v="240"/>
    <n v="67.666666666666671"/>
    <s v="BJ PTS"/>
    <n v="0.9"/>
    <n v="14616"/>
    <n v="55.306943999999994"/>
    <n v="60.900000000000006"/>
  </r>
  <r>
    <n v="84135758"/>
    <x v="17"/>
    <n v="32040"/>
    <d v="2023-10-23T00:00:00"/>
    <x v="130"/>
    <x v="33"/>
    <n v="1.4399999999999999E-3"/>
    <n v="46.137599999999999"/>
    <s v="BJ"/>
    <x v="7"/>
    <x v="16"/>
    <s v="Q4"/>
    <n v="510"/>
    <n v="62.823529411764703"/>
    <s v="B&amp;J Cups"/>
    <n v="0.85"/>
    <n v="27234"/>
    <n v="39.21696"/>
    <n v="53.4"/>
  </r>
  <r>
    <n v="67885719"/>
    <x v="16"/>
    <n v="45600"/>
    <d v="2023-10-24T00:00:00"/>
    <x v="11"/>
    <x v="32"/>
    <n v="8.5199999999999998E-3"/>
    <n v="388.512"/>
    <s v="BR"/>
    <x v="7"/>
    <x v="2"/>
    <s v="Q4"/>
    <n v="154"/>
    <n v="296.10389610389609"/>
    <s v="48oz"/>
    <n v="0.95"/>
    <n v="43320"/>
    <n v="369.08639999999997"/>
    <n v="281.29870129870125"/>
  </r>
  <r>
    <n v="67885721"/>
    <x v="16"/>
    <n v="45600"/>
    <d v="2023-10-24T00:00:00"/>
    <x v="40"/>
    <x v="32"/>
    <n v="8.5199999999999998E-3"/>
    <n v="388.512"/>
    <s v="BR"/>
    <x v="7"/>
    <x v="2"/>
    <s v="Q4"/>
    <n v="154"/>
    <n v="296.10389610389609"/>
    <s v="48oz"/>
    <n v="0.95"/>
    <n v="43320"/>
    <n v="369.08639999999997"/>
    <n v="281.29870129870125"/>
  </r>
  <r>
    <n v="67885722"/>
    <x v="16"/>
    <n v="5700"/>
    <d v="2023-10-24T00:00:00"/>
    <x v="163"/>
    <x v="32"/>
    <n v="8.5199999999999998E-3"/>
    <n v="48.564"/>
    <s v="BR"/>
    <x v="7"/>
    <x v="2"/>
    <s v="Q4"/>
    <n v="154"/>
    <n v="37.012987012987011"/>
    <s v="48oz"/>
    <n v="0.95"/>
    <n v="5415"/>
    <n v="46.135799999999996"/>
    <n v="35.162337662337656"/>
  </r>
  <r>
    <n v="68527300"/>
    <x v="16"/>
    <n v="22800"/>
    <d v="2023-10-24T00:00:00"/>
    <x v="157"/>
    <x v="15"/>
    <n v="3.7839999999999996E-3"/>
    <n v="86.275199999999984"/>
    <s v="BR"/>
    <x v="7"/>
    <x v="7"/>
    <s v="Q4"/>
    <n v="240"/>
    <n v="95"/>
    <s v="PTS"/>
    <n v="0.95"/>
    <n v="21660"/>
    <n v="81.961439999999982"/>
    <n v="90.25"/>
  </r>
  <r>
    <n v="68626039"/>
    <x v="16"/>
    <n v="57000"/>
    <d v="2023-10-24T00:00:00"/>
    <x v="158"/>
    <x v="15"/>
    <n v="3.7839999999999996E-3"/>
    <n v="215.68799999999999"/>
    <s v="BR"/>
    <x v="7"/>
    <x v="7"/>
    <s v="Q4"/>
    <n v="240"/>
    <n v="237.5"/>
    <s v="Pts"/>
    <n v="0.95"/>
    <n v="54150"/>
    <n v="204.90359999999998"/>
    <n v="225.625"/>
  </r>
  <r>
    <n v="68729649"/>
    <x v="16"/>
    <n v="25000"/>
    <d v="2023-10-24T00:00:00"/>
    <x v="237"/>
    <x v="22"/>
    <n v="3.7853439999999999E-3"/>
    <n v="94.633600000000001"/>
    <s v="TA"/>
    <x v="7"/>
    <x v="10"/>
    <s v="Q4"/>
    <n v="255"/>
    <n v="98.039215686274517"/>
    <s v="TALENTI"/>
    <n v="0.94"/>
    <n v="23500"/>
    <n v="88.955584000000002"/>
    <n v="92.156862745098039"/>
  </r>
  <r>
    <n v="68729723"/>
    <x v="16"/>
    <n v="57000"/>
    <d v="2023-10-24T00:00:00"/>
    <x v="300"/>
    <x v="21"/>
    <n v="3.7853440000000004E-3"/>
    <n v="215.76460800000001"/>
    <s v="TA"/>
    <x v="7"/>
    <x v="10"/>
    <s v="Q4"/>
    <n v="255"/>
    <n v="223.52941176470588"/>
    <s v="TALENTI"/>
    <n v="0.94"/>
    <n v="53580"/>
    <n v="202.81873152"/>
    <n v="210.11764705882351"/>
  </r>
  <r>
    <n v="68741742"/>
    <x v="16"/>
    <n v="32400"/>
    <d v="2023-10-24T00:00:00"/>
    <x v="25"/>
    <x v="25"/>
    <n v="4.2560000000000002E-3"/>
    <n v="137.89440000000002"/>
    <s v="GH"/>
    <x v="7"/>
    <x v="11"/>
    <s v="Q4"/>
    <n v="154"/>
    <n v="210.3896103896104"/>
    <s v="MBG"/>
    <n v="0.87"/>
    <n v="28188"/>
    <n v="119.96812800000002"/>
    <n v="183.03896103896105"/>
  </r>
  <r>
    <n v="68881270"/>
    <x v="16"/>
    <n v="13200"/>
    <d v="2023-10-24T00:00:00"/>
    <x v="91"/>
    <x v="2"/>
    <n v="8.5199999999999998E-3"/>
    <n v="112.464"/>
    <s v="BR"/>
    <x v="7"/>
    <x v="2"/>
    <s v="Q4"/>
    <n v="176"/>
    <n v="75"/>
    <s v="48oz"/>
    <n v="0.95"/>
    <n v="12540"/>
    <n v="106.84079999999999"/>
    <n v="71.25"/>
  </r>
  <r>
    <n v="68896054"/>
    <x v="16"/>
    <n v="26400"/>
    <d v="2023-10-24T00:00:00"/>
    <x v="181"/>
    <x v="2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8899825"/>
    <x v="16"/>
    <n v="23400"/>
    <d v="2023-10-24T00:00:00"/>
    <x v="77"/>
    <x v="32"/>
    <n v="8.5199999999999998E-3"/>
    <n v="199.36799999999999"/>
    <s v="BR"/>
    <x v="7"/>
    <x v="2"/>
    <s v="Q4"/>
    <n v="176"/>
    <n v="132.95454545454547"/>
    <s v="48oz"/>
    <n v="0.95"/>
    <n v="22230"/>
    <n v="189.39959999999999"/>
    <n v="126.30681818181819"/>
  </r>
  <r>
    <n v="68922011"/>
    <x v="16"/>
    <n v="25000"/>
    <d v="2023-10-24T00:00:00"/>
    <x v="261"/>
    <x v="22"/>
    <n v="3.7853440000000004E-3"/>
    <n v="94.633600000000015"/>
    <s v="TA"/>
    <x v="7"/>
    <x v="10"/>
    <s v="Q4"/>
    <n v="255"/>
    <n v="98.039215686274517"/>
    <s v="TALENTI"/>
    <n v="0.94"/>
    <n v="23500"/>
    <n v="88.955584000000016"/>
    <n v="92.156862745098039"/>
  </r>
  <r>
    <n v="69549036"/>
    <x v="16"/>
    <n v="34200"/>
    <d v="2023-10-24T00:00:00"/>
    <x v="331"/>
    <x v="21"/>
    <n v="3.7839999999999996E-3"/>
    <n v="129.41279999999998"/>
    <s v="TA"/>
    <x v="7"/>
    <x v="10"/>
    <s v="Q4"/>
    <n v="255"/>
    <n v="134.11764705882354"/>
    <s v="TALENTI"/>
    <n v="0.94"/>
    <n v="32147.999999999996"/>
    <n v="121.64803199999997"/>
    <n v="126.07058823529411"/>
  </r>
  <r>
    <n v="69554202"/>
    <x v="16"/>
    <n v="22800"/>
    <d v="2023-10-24T00:00:00"/>
    <x v="47"/>
    <x v="15"/>
    <n v="3.5999999999999999E-3"/>
    <n v="82.08"/>
    <s v="BJ"/>
    <x v="7"/>
    <x v="19"/>
    <s v="Q4"/>
    <n v="240"/>
    <n v="95"/>
    <s v="TOPPED"/>
    <n v="0.91"/>
    <n v="20748"/>
    <n v="74.692800000000005"/>
    <n v="86.45"/>
  </r>
  <r>
    <n v="69568964"/>
    <x v="16"/>
    <n v="23400"/>
    <d v="2023-10-24T00:00:00"/>
    <x v="134"/>
    <x v="32"/>
    <n v="8.5199999999999998E-3"/>
    <n v="199.36799999999999"/>
    <s v="BR"/>
    <x v="7"/>
    <x v="2"/>
    <s v="Q4"/>
    <n v="176"/>
    <n v="132.95454545454547"/>
    <s v="48oz"/>
    <n v="0.95"/>
    <n v="22230"/>
    <n v="189.39959999999999"/>
    <n v="126.30681818181819"/>
  </r>
  <r>
    <n v="69629468"/>
    <x v="16"/>
    <n v="32400"/>
    <d v="2023-10-24T00:00:00"/>
    <x v="30"/>
    <x v="30"/>
    <n v="5.2680000000000001E-3"/>
    <n v="170.6832"/>
    <s v="PS"/>
    <x v="7"/>
    <x v="14"/>
    <s v="Q4"/>
    <n v="130"/>
    <n v="249.23076923076923"/>
    <s v="PG"/>
    <n v="0.9"/>
    <n v="29160"/>
    <n v="153.61488"/>
    <n v="224.30769230769232"/>
  </r>
  <r>
    <n v="69691816"/>
    <x v="16"/>
    <n v="92942"/>
    <d v="2023-10-24T00:00:00"/>
    <x v="139"/>
    <x v="21"/>
    <n v="3.7839999999999996E-3"/>
    <n v="351.69252799999998"/>
    <s v="TA"/>
    <x v="7"/>
    <x v="10"/>
    <s v="Q4"/>
    <n v="255"/>
    <n v="364.47843137254904"/>
    <s v="TALENTI"/>
    <n v="0.94"/>
    <n v="87365.48"/>
    <n v="330.59097631999998"/>
    <n v="342.60972549019607"/>
  </r>
  <r>
    <n v="84135770"/>
    <x v="16"/>
    <n v="22800"/>
    <d v="2023-10-24T00:00:00"/>
    <x v="277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67466492"/>
    <x v="15"/>
    <n v="20250"/>
    <d v="2023-10-27T00:00:00"/>
    <x v="8"/>
    <x v="7"/>
    <n v="5.2680000000000001E-3"/>
    <n v="106.67700000000001"/>
    <s v="PS"/>
    <x v="7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0-29T00:00:00"/>
    <x v="8"/>
    <x v="8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466492"/>
    <x v="15"/>
    <n v="23400"/>
    <d v="2023-10-29T00:00:00"/>
    <x v="8"/>
    <x v="6"/>
    <n v="5.2680000000000001E-3"/>
    <n v="123.27120000000001"/>
    <s v="PS"/>
    <x v="7"/>
    <x v="3"/>
    <s v="Q4"/>
    <n v="130"/>
    <n v="180"/>
    <s v="PG"/>
    <n v="0.9"/>
    <n v="21060"/>
    <n v="110.94408000000001"/>
    <n v="162"/>
  </r>
  <r>
    <n v="67309843"/>
    <x v="15"/>
    <n v="25200"/>
    <d v="2023-10-30T00:00:00"/>
    <x v="88"/>
    <x v="23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309843"/>
    <x v="15"/>
    <n v="25200"/>
    <d v="2023-10-30T00:00:00"/>
    <x v="88"/>
    <x v="11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465063"/>
    <x v="15"/>
    <n v="15413"/>
    <d v="2023-10-30T00:00:00"/>
    <x v="3"/>
    <x v="40"/>
    <n v="5.2680000000000001E-3"/>
    <n v="81.195684"/>
    <s v="PS"/>
    <x v="7"/>
    <x v="3"/>
    <s v="Q4"/>
    <n v="130"/>
    <n v="118.56153846153846"/>
    <s v="PG"/>
    <n v="0.9"/>
    <n v="13871.7"/>
    <n v="73.076115600000008"/>
    <n v="106.70538461538462"/>
  </r>
  <r>
    <n v="67465064"/>
    <x v="15"/>
    <n v="13500"/>
    <d v="2023-10-30T00:00:00"/>
    <x v="7"/>
    <x v="3"/>
    <n v="1.596E-3"/>
    <n v="21.545999999999999"/>
    <s v="PS"/>
    <x v="7"/>
    <x v="3"/>
    <s v="Q4"/>
    <n v="130"/>
    <n v="103.84615384615384"/>
    <s v="PG"/>
    <n v="0.9"/>
    <n v="12150"/>
    <n v="19.391400000000001"/>
    <n v="93.461538461538453"/>
  </r>
  <r>
    <n v="67476560"/>
    <x v="15"/>
    <m/>
    <d v="2023-10-30T00:00:00"/>
    <x v="10"/>
    <x v="10"/>
    <n v="5.1060000000000003E-3"/>
    <n v="0"/>
    <s v="PS"/>
    <x v="7"/>
    <x v="3"/>
    <s v="Q4"/>
    <n v="130"/>
    <n v="0"/>
    <s v="PG"/>
    <n v="0.9"/>
    <n v="0"/>
    <n v="0"/>
    <n v="0"/>
  </r>
  <r>
    <n v="67885719"/>
    <x v="15"/>
    <n v="25200"/>
    <d v="2023-10-30T00:00:00"/>
    <x v="11"/>
    <x v="23"/>
    <n v="8.5199999999999998E-3"/>
    <n v="214.70400000000001"/>
    <s v="BR"/>
    <x v="7"/>
    <x v="6"/>
    <s v="Q4"/>
    <n v="154"/>
    <n v="163.63636363636363"/>
    <s v="48oz"/>
    <n v="0.95"/>
    <n v="23940"/>
    <n v="203.96879999999999"/>
    <n v="155.45454545454544"/>
  </r>
  <r>
    <n v="67885720"/>
    <x v="15"/>
    <n v="2850"/>
    <d v="2023-10-30T00:00:00"/>
    <x v="39"/>
    <x v="12"/>
    <n v="8.5199999999999998E-3"/>
    <n v="24.282"/>
    <s v="BR"/>
    <x v="7"/>
    <x v="6"/>
    <s v="Q4"/>
    <n v="154"/>
    <n v="18.506493506493506"/>
    <s v="48oz"/>
    <n v="0.95"/>
    <n v="2707.5"/>
    <n v="23.067899999999998"/>
    <n v="17.581168831168828"/>
  </r>
  <r>
    <n v="68634165"/>
    <x v="15"/>
    <n v="2550"/>
    <d v="2023-10-30T00:00:00"/>
    <x v="301"/>
    <x v="16"/>
    <n v="8.5199999999999998E-3"/>
    <n v="21.725999999999999"/>
    <s v="BR"/>
    <x v="7"/>
    <x v="6"/>
    <s v="Q4"/>
    <n v="154"/>
    <n v="16.558441558441558"/>
    <s v="48oz"/>
    <n v="0.95"/>
    <n v="2422.5"/>
    <n v="20.639699999999998"/>
    <n v="15.730519480519479"/>
  </r>
  <r>
    <n v="68850683"/>
    <x v="15"/>
    <n v="25200"/>
    <d v="2023-10-30T00:00:00"/>
    <x v="335"/>
    <x v="11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881270"/>
    <x v="15"/>
    <n v="23800"/>
    <d v="2023-10-30T00:00:00"/>
    <x v="91"/>
    <x v="16"/>
    <n v="8.5199999999999998E-3"/>
    <n v="202.77599999999998"/>
    <s v="BR"/>
    <x v="7"/>
    <x v="6"/>
    <s v="Q4"/>
    <n v="176"/>
    <n v="135.22727272727272"/>
    <s v="48oz"/>
    <n v="0.95"/>
    <n v="22610"/>
    <n v="192.63719999999998"/>
    <n v="128.46590909090907"/>
  </r>
  <r>
    <n v="68890246"/>
    <x v="15"/>
    <n v="22800"/>
    <d v="2023-10-30T00:00:00"/>
    <x v="250"/>
    <x v="12"/>
    <n v="5.1101999999999995E-2"/>
    <n v="1165.1255999999998"/>
    <s v="BR"/>
    <x v="7"/>
    <x v="6"/>
    <s v="Q4"/>
    <n v="176"/>
    <n v="129.54545454545453"/>
    <s v="48oz"/>
    <n v="0.95"/>
    <n v="21660"/>
    <n v="1106.8693199999998"/>
    <n v="123.0681818181818"/>
  </r>
  <r>
    <n v="68899826"/>
    <x v="15"/>
    <n v="25200"/>
    <d v="2023-10-30T00:00:00"/>
    <x v="129"/>
    <x v="12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8930545"/>
    <x v="15"/>
    <n v="22800"/>
    <d v="2023-10-30T00:00:00"/>
    <x v="93"/>
    <x v="12"/>
    <n v="8.5199999999999998E-3"/>
    <n v="194.256"/>
    <s v="BR"/>
    <x v="7"/>
    <x v="6"/>
    <s v="Q4"/>
    <n v="176"/>
    <n v="129.54545454545453"/>
    <s v="48oz"/>
    <n v="0.95"/>
    <n v="21660"/>
    <n v="184.54319999999998"/>
    <n v="123.0681818181818"/>
  </r>
  <r>
    <n v="69568828"/>
    <x v="15"/>
    <n v="25200"/>
    <d v="2023-10-30T00:00:00"/>
    <x v="12"/>
    <x v="11"/>
    <n v="8.5199999999999998E-3"/>
    <n v="214.70400000000001"/>
    <s v="BR"/>
    <x v="7"/>
    <x v="6"/>
    <s v="Q4"/>
    <n v="176"/>
    <n v="143.18181818181819"/>
    <s v="48oz"/>
    <n v="0.95"/>
    <n v="23940"/>
    <n v="203.96879999999999"/>
    <n v="136.02272727272728"/>
  </r>
  <r>
    <n v="69629468"/>
    <x v="15"/>
    <n v="24000"/>
    <d v="2023-10-30T00:00:00"/>
    <x v="30"/>
    <x v="29"/>
    <n v="5.2680000000000001E-3"/>
    <n v="126.432"/>
    <s v="PS"/>
    <x v="7"/>
    <x v="3"/>
    <s v="Q4"/>
    <n v="130"/>
    <n v="184.61538461538461"/>
    <s v="PG"/>
    <n v="0.9"/>
    <n v="21600"/>
    <n v="113.78880000000001"/>
    <n v="166.15384615384616"/>
  </r>
  <r>
    <n v="69671641"/>
    <x v="15"/>
    <n v="27600"/>
    <d v="2023-10-30T00:00:00"/>
    <x v="260"/>
    <x v="4"/>
    <n v="3.9039999999999999E-3"/>
    <n v="107.7504"/>
    <s v="GH"/>
    <x v="7"/>
    <x v="4"/>
    <s v="Q4"/>
    <n v="154"/>
    <n v="179.22077922077921"/>
    <s v="MBG"/>
    <n v="0.87"/>
    <n v="24012"/>
    <n v="93.742847999999995"/>
    <n v="155.9220779220779"/>
  </r>
  <r>
    <n v="69671652"/>
    <x v="15"/>
    <n v="36000"/>
    <d v="2023-10-30T00:00:00"/>
    <x v="197"/>
    <x v="24"/>
    <n v="2.8319999999999999E-3"/>
    <n v="101.952"/>
    <s v="GH"/>
    <x v="7"/>
    <x v="4"/>
    <s v="Q4"/>
    <n v="225"/>
    <n v="160"/>
    <s v="MBG"/>
    <n v="0.87"/>
    <n v="31320"/>
    <n v="88.698239999999998"/>
    <n v="139.19999999999999"/>
  </r>
  <r>
    <n v="67309843"/>
    <x v="16"/>
    <n v="26400"/>
    <d v="2023-10-30T00:00:00"/>
    <x v="88"/>
    <x v="2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7885719"/>
    <x v="16"/>
    <n v="26400"/>
    <d v="2023-10-30T00:00:00"/>
    <x v="11"/>
    <x v="13"/>
    <n v="8.5199999999999998E-3"/>
    <n v="224.928"/>
    <s v="BR"/>
    <x v="7"/>
    <x v="2"/>
    <s v="Q4"/>
    <n v="154"/>
    <n v="171.42857142857142"/>
    <s v="48oz"/>
    <n v="0.95"/>
    <n v="25080"/>
    <n v="213.68159999999997"/>
    <n v="162.85714285714283"/>
  </r>
  <r>
    <n v="67901592"/>
    <x v="16"/>
    <n v="5700"/>
    <d v="2023-10-30T00:00:00"/>
    <x v="240"/>
    <x v="32"/>
    <n v="8.5199999999999998E-3"/>
    <n v="48.564"/>
    <s v="BR"/>
    <x v="7"/>
    <x v="2"/>
    <s v="Q4"/>
    <n v="154"/>
    <n v="37.012987012987011"/>
    <s v="48oz"/>
    <n v="0.95"/>
    <n v="5415"/>
    <n v="46.135799999999996"/>
    <n v="35.162337662337656"/>
  </r>
  <r>
    <n v="67901593"/>
    <x v="16"/>
    <n v="45600"/>
    <d v="2023-10-30T00:00:00"/>
    <x v="68"/>
    <x v="32"/>
    <n v="8.5199999999999998E-3"/>
    <n v="388.512"/>
    <s v="BR"/>
    <x v="7"/>
    <x v="2"/>
    <s v="Q4"/>
    <n v="154"/>
    <n v="296.10389610389609"/>
    <s v="48oz"/>
    <n v="0.95"/>
    <n v="43320"/>
    <n v="369.08639999999997"/>
    <n v="281.29870129870125"/>
  </r>
  <r>
    <n v="69572657"/>
    <x v="16"/>
    <n v="30000"/>
    <d v="2023-10-30T00:00:00"/>
    <x v="306"/>
    <x v="5"/>
    <n v="2.1520000000000003E-3"/>
    <n v="64.56"/>
    <s v="MG"/>
    <x v="7"/>
    <x v="5"/>
    <s v="Q4"/>
    <n v="210"/>
    <n v="142.85714285714286"/>
    <s v="MG Sticks"/>
    <n v="0.93"/>
    <n v="27900"/>
    <n v="60.040800000000004"/>
    <n v="132.85714285714286"/>
  </r>
  <r>
    <n v="69568828"/>
    <x v="16"/>
    <n v="26400"/>
    <d v="2023-10-30T00:00:00"/>
    <x v="12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568828"/>
    <x v="16"/>
    <n v="23400"/>
    <d v="2023-10-30T00:00:00"/>
    <x v="12"/>
    <x v="2"/>
    <n v="8.5199999999999998E-3"/>
    <n v="199.36799999999999"/>
    <s v="BR"/>
    <x v="7"/>
    <x v="2"/>
    <s v="Q4"/>
    <n v="176"/>
    <n v="132.95454545454547"/>
    <s v="48oz"/>
    <n v="0.95"/>
    <n v="22230"/>
    <n v="189.39959999999999"/>
    <n v="126.30681818181819"/>
  </r>
  <r>
    <n v="69568829"/>
    <x v="16"/>
    <n v="26400"/>
    <d v="2023-10-30T00:00:00"/>
    <x v="66"/>
    <x v="13"/>
    <n v="8.5199999999999998E-3"/>
    <n v="224.928"/>
    <s v="BR"/>
    <x v="7"/>
    <x v="2"/>
    <s v="Q4"/>
    <n v="176"/>
    <n v="150"/>
    <s v="48oz"/>
    <n v="0.95"/>
    <n v="25080"/>
    <n v="213.68159999999997"/>
    <n v="142.5"/>
  </r>
  <r>
    <n v="69717802"/>
    <x v="16"/>
    <n v="33150"/>
    <d v="2023-10-30T00:00:00"/>
    <x v="31"/>
    <x v="31"/>
    <n v="4.2560000000000002E-3"/>
    <n v="141.0864"/>
    <s v="BR"/>
    <x v="7"/>
    <x v="5"/>
    <s v="Q4"/>
    <n v="143"/>
    <n v="231.81818181818181"/>
    <s v="MG Sticks"/>
    <n v="0.93"/>
    <n v="30829.5"/>
    <n v="131.210352"/>
    <n v="215.59090909090909"/>
  </r>
  <r>
    <n v="69778792"/>
    <x v="16"/>
    <n v="35100"/>
    <d v="2023-10-30T00:00:00"/>
    <x v="376"/>
    <x v="28"/>
    <n v="5.2680000000000001E-3"/>
    <n v="184.9068"/>
    <s v="PS"/>
    <x v="7"/>
    <x v="14"/>
    <s v="Q4"/>
    <n v="130"/>
    <n v="270"/>
    <s v="PG"/>
    <n v="0.9"/>
    <n v="31590"/>
    <n v="166.41612000000001"/>
    <n v="243"/>
  </r>
  <r>
    <n v="67794169"/>
    <x v="18"/>
    <n v="0"/>
    <d v="2023-10-30T00:00:00"/>
    <x v="33"/>
    <x v="35"/>
    <n v="3.7853439999999999E-3"/>
    <n v="0"/>
    <s v="BJ"/>
    <x v="7"/>
    <x v="36"/>
    <s v="Q4"/>
    <n v="240"/>
    <n v="0"/>
    <s v="BJ PTS"/>
    <n v="0.9"/>
    <n v="0"/>
    <n v="0"/>
    <n v="0"/>
  </r>
  <r>
    <n v="84141102"/>
    <x v="18"/>
    <n v="0"/>
    <d v="2023-10-30T00:00:00"/>
    <x v="217"/>
    <x v="38"/>
    <n v="3.7853439999999999E-3"/>
    <n v="0"/>
    <s v="BJ"/>
    <x v="7"/>
    <x v="36"/>
    <s v="Q4"/>
    <n v="240"/>
    <n v="0"/>
    <s v="BJ PTS"/>
    <n v="0.9"/>
    <n v="0"/>
    <n v="0"/>
    <n v="0"/>
  </r>
  <r>
    <n v="67278448"/>
    <x v="17"/>
    <n v="27840"/>
    <d v="2023-10-30T00:00:00"/>
    <x v="182"/>
    <x v="34"/>
    <n v="3.7839999999999996E-3"/>
    <n v="105.34655999999998"/>
    <s v="BJ"/>
    <x v="7"/>
    <x v="15"/>
    <s v="Q4"/>
    <n v="240"/>
    <n v="116"/>
    <s v="BJ PTS"/>
    <n v="0.9"/>
    <n v="25056"/>
    <n v="94.811903999999984"/>
    <n v="104.4"/>
  </r>
  <r>
    <n v="67491117"/>
    <x v="17"/>
    <n v="27840"/>
    <d v="2023-10-30T00:00:00"/>
    <x v="210"/>
    <x v="35"/>
    <n v="3.7853439999999999E-3"/>
    <n v="105.38397696"/>
    <s v="BJ"/>
    <x v="7"/>
    <x v="15"/>
    <s v="Q4"/>
    <n v="240"/>
    <n v="116"/>
    <s v="BJ PTS"/>
    <n v="0.9"/>
    <n v="25056"/>
    <n v="94.845579263999994"/>
    <n v="104.4"/>
  </r>
  <r>
    <n v="67526826"/>
    <x v="17"/>
    <n v="33640"/>
    <d v="2023-10-30T00:00:00"/>
    <x v="187"/>
    <x v="33"/>
    <n v="3.7839999999999996E-3"/>
    <n v="127.29375999999999"/>
    <s v="BJ"/>
    <x v="7"/>
    <x v="15"/>
    <s v="Q4"/>
    <n v="240"/>
    <n v="140.16666666666666"/>
    <s v="BJ PTS"/>
    <n v="0.9"/>
    <n v="30276"/>
    <n v="114.56438399999999"/>
    <n v="126.14999999999999"/>
  </r>
  <r>
    <n v="67596354"/>
    <x v="17"/>
    <n v="30160"/>
    <d v="2023-10-30T00:00:00"/>
    <x v="317"/>
    <x v="35"/>
    <n v="3.6640000000000002E-3"/>
    <n v="110.50624000000001"/>
    <s v="BJ"/>
    <x v="7"/>
    <x v="24"/>
    <s v="Q4"/>
    <n v="240"/>
    <n v="125.66666666666667"/>
    <s v="PTS Exports"/>
    <n v="0.9"/>
    <n v="27144"/>
    <n v="99.455616000000006"/>
    <n v="113.10000000000001"/>
  </r>
  <r>
    <n v="67794168"/>
    <x v="17"/>
    <n v="10440"/>
    <d v="2023-10-30T00:00:00"/>
    <x v="367"/>
    <x v="33"/>
    <n v="3.7853439999999999E-3"/>
    <n v="39.518991360000001"/>
    <s v="BJ"/>
    <x v="7"/>
    <x v="15"/>
    <s v="Q4"/>
    <n v="240"/>
    <n v="43.5"/>
    <s v="BJ PTS"/>
    <n v="0.9"/>
    <n v="9396"/>
    <n v="35.567092224"/>
    <n v="39.15"/>
  </r>
  <r>
    <n v="67803006"/>
    <x v="17"/>
    <n v="30160"/>
    <d v="2023-10-30T00:00:00"/>
    <x v="151"/>
    <x v="35"/>
    <n v="3.6640000000000002E-3"/>
    <n v="110.50624000000001"/>
    <s v="BJ"/>
    <x v="7"/>
    <x v="24"/>
    <s v="Q4"/>
    <n v="240"/>
    <n v="125.66666666666667"/>
    <s v="PTS Exports"/>
    <n v="0.9"/>
    <n v="27144"/>
    <n v="99.455616000000006"/>
    <n v="113.10000000000001"/>
  </r>
  <r>
    <n v="67905834"/>
    <x v="17"/>
    <n v="28800"/>
    <d v="2023-10-30T00:00:00"/>
    <x v="201"/>
    <x v="35"/>
    <n v="3.7839999999999996E-3"/>
    <n v="108.97919999999999"/>
    <s v="BJ"/>
    <x v="7"/>
    <x v="15"/>
    <s v="Q4"/>
    <n v="240"/>
    <n v="120"/>
    <s v="BJ PTS"/>
    <n v="0.9"/>
    <n v="25920"/>
    <n v="98.081279999999992"/>
    <n v="108"/>
  </r>
  <r>
    <n v="68354578"/>
    <x v="17"/>
    <n v="6240"/>
    <d v="2023-10-30T00:00:00"/>
    <x v="318"/>
    <x v="35"/>
    <n v="9.0848256361922702E-3"/>
    <n v="56.689311969839764"/>
    <s v="BJ"/>
    <x v="7"/>
    <x v="39"/>
    <s v="Q4"/>
    <n v="125"/>
    <n v="49.92"/>
    <s v="2.4 Gal"/>
    <n v="0.85"/>
    <n v="5304"/>
    <n v="48.185915174363799"/>
    <n v="42.432000000000002"/>
  </r>
  <r>
    <n v="68654239"/>
    <x v="17"/>
    <n v="16240"/>
    <d v="2023-10-30T00:00:00"/>
    <x v="103"/>
    <x v="33"/>
    <n v="3.7853439999999999E-3"/>
    <n v="61.47398656"/>
    <s v="BJ"/>
    <x v="7"/>
    <x v="15"/>
    <s v="Q4"/>
    <n v="240"/>
    <n v="67.666666666666671"/>
    <s v="BJ PTS"/>
    <n v="0.9"/>
    <n v="14616"/>
    <n v="55.326587904"/>
    <n v="60.900000000000006"/>
  </r>
  <r>
    <n v="68940228"/>
    <x v="17"/>
    <n v="30160"/>
    <d v="2023-10-30T00:00:00"/>
    <x v="105"/>
    <x v="33"/>
    <n v="3.7839999999999996E-3"/>
    <n v="114.12543999999998"/>
    <s v="BJ"/>
    <x v="7"/>
    <x v="15"/>
    <s v="Q4"/>
    <n v="240"/>
    <n v="125.66666666666667"/>
    <s v="BJ PTS"/>
    <n v="0.9"/>
    <n v="27144"/>
    <n v="102.71289599999999"/>
    <n v="113.10000000000001"/>
  </r>
  <r>
    <n v="84136704"/>
    <x v="17"/>
    <n v="34800"/>
    <d v="2023-10-30T00:00:00"/>
    <x v="223"/>
    <x v="35"/>
    <n v="3.7853439999999999E-3"/>
    <n v="131.72997119999999"/>
    <s v="BJ"/>
    <x v="7"/>
    <x v="15"/>
    <s v="Q4"/>
    <n v="240"/>
    <n v="145"/>
    <s v="BJ PTS"/>
    <n v="0.9"/>
    <n v="31320"/>
    <n v="118.55697408"/>
    <n v="130.5"/>
  </r>
  <r>
    <n v="84138391"/>
    <x v="17"/>
    <n v="74240"/>
    <d v="2023-10-30T00:00:00"/>
    <x v="84"/>
    <x v="33"/>
    <n v="3.7853439999999999E-3"/>
    <n v="281.02393855999998"/>
    <s v="BJ"/>
    <x v="7"/>
    <x v="15"/>
    <s v="Q4"/>
    <n v="240"/>
    <n v="309.33333333333331"/>
    <s v="BJ PTS"/>
    <n v="0.9"/>
    <n v="66816"/>
    <n v="252.92154470399998"/>
    <n v="278.39999999999998"/>
  </r>
  <r>
    <n v="84141113"/>
    <x v="17"/>
    <n v="10680"/>
    <d v="2023-10-30T00:00:00"/>
    <x v="257"/>
    <x v="33"/>
    <n v="1.419504E-3"/>
    <n v="15.160302720000001"/>
    <s v="BJ"/>
    <x v="7"/>
    <x v="16"/>
    <s v="Q4"/>
    <n v="510"/>
    <n v="20.941176470588236"/>
    <s v="B&amp;J Cups"/>
    <n v="0.85"/>
    <n v="9078"/>
    <n v="12.886257312"/>
    <n v="17.8"/>
  </r>
  <r>
    <n v="84144621"/>
    <x v="17"/>
    <n v="6240"/>
    <d v="2023-10-30T00:00:00"/>
    <x v="239"/>
    <x v="35"/>
    <n v="9.0848256361922702E-3"/>
    <n v="56.689311969839764"/>
    <s v="BJ"/>
    <x v="7"/>
    <x v="39"/>
    <s v="Q4"/>
    <n v="125"/>
    <n v="49.92"/>
    <s v="2.4 Gal"/>
    <n v="0.85"/>
    <n v="5304"/>
    <n v="48.185915174363799"/>
    <n v="42.432000000000002"/>
  </r>
  <r>
    <n v="84150071"/>
    <x v="17"/>
    <n v="40050"/>
    <d v="2023-10-30T00:00:00"/>
    <x v="117"/>
    <x v="33"/>
    <n v="1.4384307203870285E-3"/>
    <n v="57.609150351500496"/>
    <s v="BJ"/>
    <x v="7"/>
    <x v="31"/>
    <s v="Q4"/>
    <n v="510"/>
    <n v="78.529411764705884"/>
    <s v="Cup Exports"/>
    <n v="0.85"/>
    <n v="34042.5"/>
    <n v="48.967777798775423"/>
    <n v="66.75"/>
  </r>
  <r>
    <n v="84151113"/>
    <x v="17"/>
    <n v="15130"/>
    <d v="2023-10-30T00:00:00"/>
    <x v="161"/>
    <x v="33"/>
    <n v="1.419504E-3"/>
    <n v="21.477095519999999"/>
    <s v="BJ"/>
    <x v="7"/>
    <x v="31"/>
    <s v="Q4"/>
    <n v="510"/>
    <n v="29.666666666666668"/>
    <s v="Cup Exports"/>
    <n v="0.85"/>
    <n v="12860.5"/>
    <n v="18.255531191999999"/>
    <n v="25.216666666666669"/>
  </r>
  <r>
    <n v="84163646"/>
    <x v="17"/>
    <n v="6240"/>
    <d v="2023-10-30T00:00:00"/>
    <x v="322"/>
    <x v="35"/>
    <n v="9.0848256361922702E-3"/>
    <n v="56.689311969839764"/>
    <s v="BJ"/>
    <x v="7"/>
    <x v="39"/>
    <s v="Q4"/>
    <n v="125"/>
    <n v="49.92"/>
    <s v="2.4 Gal"/>
    <n v="0.85"/>
    <n v="5304"/>
    <n v="48.185915174363799"/>
    <n v="42.432000000000002"/>
  </r>
  <r>
    <n v="67885719"/>
    <x v="16"/>
    <n v="45600"/>
    <d v="2023-10-31T00:00:00"/>
    <x v="11"/>
    <x v="32"/>
    <n v="8.5199999999999998E-3"/>
    <n v="388.512"/>
    <s v="BR"/>
    <x v="7"/>
    <x v="2"/>
    <s v="Q4"/>
    <n v="154"/>
    <n v="296.10389610389609"/>
    <s v="48oz"/>
    <n v="0.95"/>
    <n v="43320"/>
    <n v="369.08639999999997"/>
    <n v="281.29870129870125"/>
  </r>
  <r>
    <n v="68354587"/>
    <x v="16"/>
    <n v="57000"/>
    <d v="2023-10-31T00:00:00"/>
    <x v="226"/>
    <x v="15"/>
    <n v="3.5999999999999999E-3"/>
    <n v="205.2"/>
    <s v="BJ"/>
    <x v="7"/>
    <x v="19"/>
    <s v="Q4"/>
    <n v="240"/>
    <n v="237.5"/>
    <s v="Topped"/>
    <n v="0.91"/>
    <n v="51870"/>
    <n v="186.732"/>
    <n v="216.125"/>
  </r>
  <r>
    <n v="68659722"/>
    <x v="16"/>
    <n v="25000"/>
    <d v="2023-10-31T00:00:00"/>
    <x v="310"/>
    <x v="22"/>
    <n v="3.7853439999999999E-3"/>
    <n v="94.633600000000001"/>
    <s v="TA"/>
    <x v="7"/>
    <x v="10"/>
    <s v="Q4"/>
    <n v="255"/>
    <n v="98.039215686274517"/>
    <s v="TALENTI"/>
    <n v="0.94"/>
    <n v="23500"/>
    <n v="88.955584000000002"/>
    <n v="92.156862745098039"/>
  </r>
  <r>
    <n v="68726916"/>
    <x v="16"/>
    <n v="91200"/>
    <d v="2023-10-31T00:00:00"/>
    <x v="43"/>
    <x v="21"/>
    <n v="3.7853440000000004E-3"/>
    <n v="345.22337280000005"/>
    <s v="TA"/>
    <x v="7"/>
    <x v="10"/>
    <s v="Q4"/>
    <n v="255"/>
    <n v="357.64705882352939"/>
    <s v="TALENTI"/>
    <n v="0.94"/>
    <n v="85728"/>
    <n v="324.50997043200005"/>
    <n v="336.18823529411759"/>
  </r>
  <r>
    <n v="68726982"/>
    <x v="16"/>
    <n v="57000"/>
    <d v="2023-10-31T00:00:00"/>
    <x v="291"/>
    <x v="21"/>
    <n v="3.7853440000000004E-3"/>
    <n v="215.76460800000001"/>
    <s v="TA"/>
    <x v="7"/>
    <x v="10"/>
    <s v="Q4"/>
    <n v="255"/>
    <n v="223.52941176470588"/>
    <s v="TALENTI"/>
    <n v="0.94"/>
    <n v="53580"/>
    <n v="202.81873152"/>
    <n v="210.11764705882351"/>
  </r>
  <r>
    <n v="68741742"/>
    <x v="16"/>
    <n v="5400"/>
    <d v="2023-10-31T00:00:00"/>
    <x v="25"/>
    <x v="25"/>
    <n v="4.2560000000000002E-3"/>
    <n v="22.982400000000002"/>
    <s v="GH"/>
    <x v="7"/>
    <x v="11"/>
    <s v="Q4"/>
    <n v="154"/>
    <n v="35.064935064935064"/>
    <s v="MBG"/>
    <n v="0.87"/>
    <n v="4698"/>
    <n v="19.994688"/>
    <n v="30.506493506493506"/>
  </r>
  <r>
    <n v="68881270"/>
    <x v="16"/>
    <n v="13200"/>
    <d v="2023-10-31T00:00:00"/>
    <x v="91"/>
    <x v="2"/>
    <n v="8.5199999999999998E-3"/>
    <n v="112.464"/>
    <s v="BR"/>
    <x v="7"/>
    <x v="2"/>
    <s v="Q4"/>
    <n v="176"/>
    <n v="75"/>
    <s v="48oz"/>
    <n v="0.95"/>
    <n v="12540"/>
    <n v="106.84079999999999"/>
    <n v="71.25"/>
  </r>
  <r>
    <n v="69549033"/>
    <x v="16"/>
    <n v="25000"/>
    <d v="2023-10-31T00:00:00"/>
    <x v="344"/>
    <x v="22"/>
    <n v="3.552E-3"/>
    <n v="88.8"/>
    <s v="TA"/>
    <x v="7"/>
    <x v="10"/>
    <s v="Q4"/>
    <n v="255"/>
    <n v="98.039215686274517"/>
    <s v="TALENTI"/>
    <n v="0.94"/>
    <n v="23500"/>
    <n v="83.471999999999994"/>
    <n v="92.156862745098039"/>
  </r>
  <r>
    <n v="69549034"/>
    <x v="16"/>
    <n v="25000"/>
    <d v="2023-10-31T00:00:00"/>
    <x v="296"/>
    <x v="22"/>
    <n v="3.5439999999999998E-3"/>
    <n v="88.6"/>
    <s v="TA"/>
    <x v="7"/>
    <x v="10"/>
    <s v="Q4"/>
    <n v="255"/>
    <n v="98.039215686274517"/>
    <s v="TALENTI"/>
    <n v="0.94"/>
    <n v="23500"/>
    <n v="83.283999999999992"/>
    <n v="92.156862745098039"/>
  </r>
  <r>
    <n v="69568962"/>
    <x v="16"/>
    <n v="23400"/>
    <d v="2023-10-31T00:00:00"/>
    <x v="121"/>
    <x v="32"/>
    <n v="8.5199999999999998E-3"/>
    <n v="199.36799999999999"/>
    <s v="BR"/>
    <x v="7"/>
    <x v="2"/>
    <s v="Q4"/>
    <n v="176"/>
    <n v="132.95454545454547"/>
    <s v="48oz"/>
    <n v="0.95"/>
    <n v="22230"/>
    <n v="189.39959999999999"/>
    <n v="126.30681818181819"/>
  </r>
  <r>
    <n v="69629468"/>
    <x v="16"/>
    <n v="32400"/>
    <d v="2023-10-31T00:00:00"/>
    <x v="30"/>
    <x v="30"/>
    <n v="5.2680000000000001E-3"/>
    <n v="170.6832"/>
    <s v="PS"/>
    <x v="7"/>
    <x v="14"/>
    <s v="Q4"/>
    <n v="130"/>
    <n v="249.23076923076923"/>
    <s v="PG"/>
    <n v="0.9"/>
    <n v="29160"/>
    <n v="153.61488"/>
    <n v="224.30769230769232"/>
  </r>
  <r>
    <n v="84135781"/>
    <x v="16"/>
    <n v="22800"/>
    <d v="2023-10-31T00:00:00"/>
    <x v="356"/>
    <x v="15"/>
    <n v="3.7853439999999999E-3"/>
    <n v="86.305843199999998"/>
    <s v="BJ"/>
    <x v="7"/>
    <x v="30"/>
    <s v="Q4"/>
    <n v="240"/>
    <n v="95"/>
    <s v="BJ PTS"/>
    <n v="0.9"/>
    <n v="20520"/>
    <n v="77.675258880000001"/>
    <n v="85.5"/>
  </r>
  <r>
    <n v="67466492"/>
    <x v="15"/>
    <n v="20250"/>
    <d v="2023-11-03T00:00:00"/>
    <x v="8"/>
    <x v="7"/>
    <n v="5.2680000000000001E-3"/>
    <n v="106.67700000000001"/>
    <s v="PS"/>
    <x v="10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1-05T00:00:00"/>
    <x v="8"/>
    <x v="8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7466492"/>
    <x v="15"/>
    <n v="23400"/>
    <d v="2023-11-05T00:00:00"/>
    <x v="8"/>
    <x v="6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7466492"/>
    <x v="15"/>
    <n v="23400"/>
    <d v="2023-11-05T00:00:00"/>
    <x v="8"/>
    <x v="10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8869019"/>
    <x v="15"/>
    <n v="18000"/>
    <d v="2023-11-05T00:00:00"/>
    <x v="389"/>
    <x v="24"/>
    <n v="4.2560000000000002E-3"/>
    <n v="76.608000000000004"/>
    <s v="GH"/>
    <x v="10"/>
    <x v="4"/>
    <s v="Q4"/>
    <n v="140"/>
    <n v="128.57142857142858"/>
    <s v="MBG"/>
    <n v="0.87"/>
    <n v="15660"/>
    <n v="66.648960000000002"/>
    <n v="111.85714285714286"/>
  </r>
  <r>
    <n v="67465063"/>
    <x v="15"/>
    <n v="15413"/>
    <d v="2023-11-06T00:00:00"/>
    <x v="3"/>
    <x v="40"/>
    <n v="5.2680000000000001E-3"/>
    <n v="81.195684"/>
    <s v="PS"/>
    <x v="10"/>
    <x v="3"/>
    <s v="Q4"/>
    <n v="130"/>
    <n v="118.56153846153846"/>
    <s v="PG"/>
    <n v="0.9"/>
    <n v="13871.7"/>
    <n v="73.076115600000008"/>
    <n v="106.70538461538462"/>
  </r>
  <r>
    <n v="67465064"/>
    <x v="15"/>
    <n v="13500"/>
    <d v="2023-11-06T00:00:00"/>
    <x v="7"/>
    <x v="3"/>
    <n v="1.596E-3"/>
    <n v="21.545999999999999"/>
    <s v="PS"/>
    <x v="10"/>
    <x v="3"/>
    <s v="Q4"/>
    <n v="130"/>
    <n v="103.84615384615384"/>
    <s v="PG"/>
    <n v="0.9"/>
    <n v="12150"/>
    <n v="19.391400000000001"/>
    <n v="93.461538461538453"/>
  </r>
  <r>
    <n v="67723726"/>
    <x v="15"/>
    <n v="25200"/>
    <d v="2023-11-06T00:00:00"/>
    <x v="109"/>
    <x v="23"/>
    <n v="8.5199999999999998E-3"/>
    <n v="214.70400000000001"/>
    <s v="BR"/>
    <x v="10"/>
    <x v="6"/>
    <s v="Q4"/>
    <n v="154"/>
    <n v="163.63636363636363"/>
    <s v="48oz"/>
    <n v="0.95"/>
    <n v="23940"/>
    <n v="203.96879999999999"/>
    <n v="155.45454545454544"/>
  </r>
  <r>
    <n v="67885722"/>
    <x v="15"/>
    <n v="3150"/>
    <d v="2023-11-06T00:00:00"/>
    <x v="163"/>
    <x v="11"/>
    <n v="8.5199999999999998E-3"/>
    <n v="26.838000000000001"/>
    <s v="BR"/>
    <x v="10"/>
    <x v="6"/>
    <s v="Q4"/>
    <n v="154"/>
    <n v="20.454545454545453"/>
    <s v="48oz"/>
    <n v="0.95"/>
    <n v="2992.5"/>
    <n v="25.496099999999998"/>
    <n v="19.43181818181818"/>
  </r>
  <r>
    <n v="67885724"/>
    <x v="15"/>
    <n v="22800"/>
    <d v="2023-11-06T00:00:00"/>
    <x v="49"/>
    <x v="12"/>
    <n v="8.5199999999999998E-3"/>
    <n v="194.256"/>
    <s v="BR"/>
    <x v="10"/>
    <x v="6"/>
    <s v="Q4"/>
    <n v="154"/>
    <n v="148.05194805194805"/>
    <s v="48oz"/>
    <n v="0.95"/>
    <n v="21660"/>
    <n v="184.54319999999998"/>
    <n v="140.64935064935062"/>
  </r>
  <r>
    <n v="68737750"/>
    <x v="15"/>
    <n v="25200"/>
    <d v="2023-11-06T00:00:00"/>
    <x v="144"/>
    <x v="23"/>
    <n v="8.5199999999999998E-3"/>
    <n v="214.70400000000001"/>
    <s v="BR"/>
    <x v="10"/>
    <x v="6"/>
    <s v="Q4"/>
    <n v="176"/>
    <n v="143.18181818181819"/>
    <s v="48oz"/>
    <n v="0.95"/>
    <n v="23940"/>
    <n v="203.96879999999999"/>
    <n v="136.02272727272728"/>
  </r>
  <r>
    <n v="68817797"/>
    <x v="15"/>
    <n v="3150"/>
    <d v="2023-11-06T00:00:00"/>
    <x v="381"/>
    <x v="11"/>
    <n v="8.5199999999999998E-3"/>
    <n v="26.838000000000001"/>
    <s v="BR"/>
    <x v="10"/>
    <x v="6"/>
    <s v="Q4"/>
    <n v="154"/>
    <n v="20.454545454545453"/>
    <s v="48oz"/>
    <n v="0.95"/>
    <n v="2992.5"/>
    <n v="25.496099999999998"/>
    <n v="19.43181818181818"/>
  </r>
  <r>
    <n v="68850683"/>
    <x v="15"/>
    <n v="25200"/>
    <d v="2023-11-06T00:00:00"/>
    <x v="335"/>
    <x v="11"/>
    <n v="8.5199999999999998E-3"/>
    <n v="214.70400000000001"/>
    <s v="BR"/>
    <x v="10"/>
    <x v="6"/>
    <s v="Q4"/>
    <n v="176"/>
    <n v="143.18181818181819"/>
    <s v="48oz"/>
    <n v="0.95"/>
    <n v="23940"/>
    <n v="203.96879999999999"/>
    <n v="136.02272727272728"/>
  </r>
  <r>
    <n v="68850683"/>
    <x v="15"/>
    <n v="20400"/>
    <d v="2023-11-06T00:00:00"/>
    <x v="335"/>
    <x v="16"/>
    <n v="8.5199999999999998E-3"/>
    <n v="173.80799999999999"/>
    <s v="BR"/>
    <x v="10"/>
    <x v="6"/>
    <s v="Q4"/>
    <n v="176"/>
    <n v="115.90909090909091"/>
    <s v="48oz"/>
    <n v="0.95"/>
    <n v="19380"/>
    <n v="165.11759999999998"/>
    <n v="110.11363636363636"/>
  </r>
  <r>
    <n v="68850684"/>
    <x v="15"/>
    <n v="25200"/>
    <d v="2023-11-06T00:00:00"/>
    <x v="354"/>
    <x v="11"/>
    <n v="8.5199999999999998E-3"/>
    <n v="214.70400000000001"/>
    <s v="BR"/>
    <x v="10"/>
    <x v="6"/>
    <s v="Q4"/>
    <n v="176"/>
    <n v="143.18181818181819"/>
    <s v="48oz"/>
    <n v="0.95"/>
    <n v="23940"/>
    <n v="203.96879999999999"/>
    <n v="136.02272727272728"/>
  </r>
  <r>
    <n v="68881269"/>
    <x v="15"/>
    <n v="20400"/>
    <d v="2023-11-06T00:00:00"/>
    <x v="16"/>
    <x v="16"/>
    <n v="8.5199999999999998E-3"/>
    <n v="173.80799999999999"/>
    <s v="BR"/>
    <x v="10"/>
    <x v="6"/>
    <s v="Q4"/>
    <n v="154"/>
    <n v="132.46753246753246"/>
    <s v="48oz"/>
    <n v="0.95"/>
    <n v="19380"/>
    <n v="165.11759999999998"/>
    <n v="125.84415584415584"/>
  </r>
  <r>
    <n v="68881270"/>
    <x v="15"/>
    <n v="11900"/>
    <d v="2023-11-06T00:00:00"/>
    <x v="91"/>
    <x v="16"/>
    <n v="8.5199999999999998E-3"/>
    <n v="101.38799999999999"/>
    <s v="BR"/>
    <x v="10"/>
    <x v="6"/>
    <s v="Q4"/>
    <n v="176"/>
    <n v="67.61363636363636"/>
    <s v="48oz"/>
    <n v="0.95"/>
    <n v="11305"/>
    <n v="96.318599999999989"/>
    <n v="64.232954545454533"/>
  </r>
  <r>
    <n v="69568829"/>
    <x v="15"/>
    <n v="22800"/>
    <d v="2023-11-06T00:00:00"/>
    <x v="66"/>
    <x v="12"/>
    <n v="8.5199999999999998E-3"/>
    <n v="194.256"/>
    <s v="BR"/>
    <x v="10"/>
    <x v="6"/>
    <s v="Q4"/>
    <n v="176"/>
    <n v="129.54545454545453"/>
    <s v="48oz"/>
    <n v="0.95"/>
    <n v="21660"/>
    <n v="184.54319999999998"/>
    <n v="123.0681818181818"/>
  </r>
  <r>
    <n v="69629468"/>
    <x v="15"/>
    <n v="24000"/>
    <d v="2023-11-06T00:00:00"/>
    <x v="30"/>
    <x v="29"/>
    <n v="5.2680000000000001E-3"/>
    <n v="126.432"/>
    <s v="PS"/>
    <x v="10"/>
    <x v="3"/>
    <s v="Q4"/>
    <n v="130"/>
    <n v="184.61538461538461"/>
    <s v="PG"/>
    <n v="0.9"/>
    <n v="21600"/>
    <n v="113.78880000000001"/>
    <n v="166.15384615384616"/>
  </r>
  <r>
    <n v="69671641"/>
    <x v="15"/>
    <n v="27600"/>
    <d v="2023-11-06T00:00:00"/>
    <x v="260"/>
    <x v="4"/>
    <n v="3.9039999999999999E-3"/>
    <n v="107.7504"/>
    <s v="GH"/>
    <x v="10"/>
    <x v="4"/>
    <s v="Q4"/>
    <n v="154"/>
    <n v="179.22077922077921"/>
    <s v="MBG"/>
    <n v="0.87"/>
    <n v="24012"/>
    <n v="93.742847999999995"/>
    <n v="155.9220779220779"/>
  </r>
  <r>
    <n v="67309841"/>
    <x v="16"/>
    <n v="26400"/>
    <d v="2023-11-06T00:00:00"/>
    <x v="32"/>
    <x v="13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7885721"/>
    <x v="16"/>
    <n v="26400"/>
    <d v="2023-11-06T00:00:00"/>
    <x v="40"/>
    <x v="2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7901589"/>
    <x v="16"/>
    <n v="45600"/>
    <d v="2023-11-06T00:00:00"/>
    <x v="220"/>
    <x v="32"/>
    <n v="8.5199999999999998E-3"/>
    <n v="388.512"/>
    <s v="BR"/>
    <x v="10"/>
    <x v="2"/>
    <s v="Q4"/>
    <n v="154"/>
    <n v="296.10389610389609"/>
    <s v="48oz"/>
    <n v="0.95"/>
    <n v="43320"/>
    <n v="369.08639999999997"/>
    <n v="281.29870129870125"/>
  </r>
  <r>
    <n v="68817793"/>
    <x v="16"/>
    <n v="26400"/>
    <d v="2023-11-06T00:00:00"/>
    <x v="48"/>
    <x v="2"/>
    <n v="8.5199999999999998E-3"/>
    <n v="224.928"/>
    <s v="BR"/>
    <x v="10"/>
    <x v="2"/>
    <s v="Q4"/>
    <n v="176"/>
    <n v="150"/>
    <s v="48oz"/>
    <n v="0.95"/>
    <n v="25080"/>
    <n v="213.68159999999997"/>
    <n v="142.5"/>
  </r>
  <r>
    <n v="68821733"/>
    <x v="16"/>
    <n v="26400"/>
    <d v="2023-11-06T00:00:00"/>
    <x v="13"/>
    <x v="13"/>
    <n v="8.5199999999999998E-3"/>
    <n v="224.928"/>
    <s v="BR"/>
    <x v="10"/>
    <x v="2"/>
    <s v="Q4"/>
    <n v="176"/>
    <n v="150"/>
    <s v="48oz"/>
    <n v="0.95"/>
    <n v="25080"/>
    <n v="213.68159999999997"/>
    <n v="142.5"/>
  </r>
  <r>
    <n v="69568828"/>
    <x v="16"/>
    <n v="23400"/>
    <d v="2023-11-06T00:00:00"/>
    <x v="12"/>
    <x v="2"/>
    <n v="8.5199999999999998E-3"/>
    <n v="199.36799999999999"/>
    <s v="BR"/>
    <x v="10"/>
    <x v="2"/>
    <s v="Q4"/>
    <n v="176"/>
    <n v="132.95454545454547"/>
    <s v="48oz"/>
    <n v="0.95"/>
    <n v="22230"/>
    <n v="189.39959999999999"/>
    <n v="126.30681818181819"/>
  </r>
  <r>
    <n v="69568963"/>
    <x v="16"/>
    <n v="26400"/>
    <d v="2023-11-06T00:00:00"/>
    <x v="94"/>
    <x v="13"/>
    <n v="8.5199999999999998E-3"/>
    <n v="224.928"/>
    <s v="BR"/>
    <x v="10"/>
    <x v="2"/>
    <s v="Q4"/>
    <n v="176"/>
    <n v="150"/>
    <s v="48oz"/>
    <n v="0.95"/>
    <n v="25080"/>
    <n v="213.68159999999997"/>
    <n v="142.5"/>
  </r>
  <r>
    <n v="69673010"/>
    <x v="16"/>
    <n v="32550"/>
    <d v="2023-11-06T00:00:00"/>
    <x v="360"/>
    <x v="14"/>
    <n v="1.98E-3"/>
    <n v="64.448999999999998"/>
    <s v="MG"/>
    <x v="10"/>
    <x v="5"/>
    <s v="Q4"/>
    <n v="143"/>
    <n v="227.62237762237763"/>
    <s v="MG Sticks"/>
    <n v="0.93"/>
    <n v="30271.5"/>
    <n v="59.937570000000001"/>
    <n v="211.6888111888112"/>
  </r>
  <r>
    <n v="69706147"/>
    <x v="16"/>
    <n v="33150"/>
    <d v="2023-11-06T00:00:00"/>
    <x v="195"/>
    <x v="31"/>
    <n v="3.8999999999999998E-3"/>
    <n v="129.285"/>
    <s v="TA"/>
    <x v="10"/>
    <x v="42"/>
    <s v="Q4"/>
    <n v="176"/>
    <n v="188.35227272727272"/>
    <s v="TAL NV"/>
    <n v="0.97"/>
    <n v="32155.5"/>
    <n v="125.40644999999999"/>
    <n v="182.70170454545453"/>
  </r>
  <r>
    <n v="69778792"/>
    <x v="16"/>
    <n v="35100"/>
    <d v="2023-11-06T00:00:00"/>
    <x v="376"/>
    <x v="28"/>
    <n v="5.2680000000000001E-3"/>
    <n v="184.9068"/>
    <s v="PS"/>
    <x v="10"/>
    <x v="14"/>
    <s v="Q4"/>
    <n v="130"/>
    <n v="270"/>
    <s v="PG"/>
    <n v="0.9"/>
    <n v="31590"/>
    <n v="166.41612000000001"/>
    <n v="243"/>
  </r>
  <r>
    <n v="68732322"/>
    <x v="18"/>
    <n v="6600"/>
    <d v="2023-11-06T00:00:00"/>
    <x v="313"/>
    <x v="35"/>
    <n v="3.6640000000000002E-3"/>
    <n v="24.182400000000001"/>
    <s v="BJ"/>
    <x v="10"/>
    <x v="40"/>
    <s v="Q4"/>
    <n v="240"/>
    <n v="27.5"/>
    <s v="PTS Exports"/>
    <n v="0.9"/>
    <n v="5940"/>
    <n v="21.76416"/>
    <n v="24.75"/>
  </r>
  <r>
    <n v="84135718"/>
    <x v="18"/>
    <n v="105600"/>
    <d v="2023-11-06T00:00:00"/>
    <x v="147"/>
    <x v="38"/>
    <n v="3.7853439999999999E-3"/>
    <n v="399.73232639999998"/>
    <s v="BJ"/>
    <x v="10"/>
    <x v="36"/>
    <s v="Q4"/>
    <n v="240"/>
    <n v="440"/>
    <s v="BJ PTS"/>
    <n v="0.9"/>
    <n v="95040"/>
    <n v="359.75909375999998"/>
    <n v="396"/>
  </r>
  <r>
    <n v="84149990"/>
    <x v="18"/>
    <n v="29700"/>
    <d v="2023-11-06T00:00:00"/>
    <x v="168"/>
    <x v="33"/>
    <n v="3.7853439999999999E-3"/>
    <n v="112.4247168"/>
    <s v="BJ"/>
    <x v="10"/>
    <x v="40"/>
    <s v="Q4"/>
    <n v="240"/>
    <n v="123.75"/>
    <s v="PTS Exports"/>
    <n v="0.9"/>
    <n v="26730"/>
    <n v="101.18224512"/>
    <n v="111.375"/>
  </r>
  <r>
    <n v="67546032"/>
    <x v="17"/>
    <n v="4640"/>
    <d v="2023-11-06T00:00:00"/>
    <x v="316"/>
    <x v="35"/>
    <n v="3.6640000000000002E-3"/>
    <n v="17.000959999999999"/>
    <s v="BJ"/>
    <x v="10"/>
    <x v="24"/>
    <s v="Q4"/>
    <n v="240"/>
    <n v="19.333333333333332"/>
    <s v="PTS Exports"/>
    <n v="0.9"/>
    <n v="4176"/>
    <n v="15.300863999999999"/>
    <n v="17.399999999999999"/>
  </r>
  <r>
    <n v="67794167"/>
    <x v="17"/>
    <n v="80000"/>
    <d v="2023-11-06T00:00:00"/>
    <x v="176"/>
    <x v="38"/>
    <n v="3.7853439999999999E-3"/>
    <n v="302.82751999999999"/>
    <s v="BJ"/>
    <x v="10"/>
    <x v="15"/>
    <s v="Q4"/>
    <n v="240"/>
    <n v="333.33333333333331"/>
    <s v="BJ PTS"/>
    <n v="0.9"/>
    <n v="72000"/>
    <n v="272.54476799999998"/>
    <n v="300"/>
  </r>
  <r>
    <n v="67916890"/>
    <x v="17"/>
    <n v="4640"/>
    <d v="2023-11-06T00:00:00"/>
    <x v="390"/>
    <x v="35"/>
    <n v="3.6640000000000002E-3"/>
    <n v="17.000959999999999"/>
    <s v="BJ"/>
    <x v="10"/>
    <x v="24"/>
    <s v="Q4"/>
    <n v="240"/>
    <n v="19.333333333333332"/>
    <s v="PTS Exports"/>
    <n v="0.9"/>
    <n v="4176"/>
    <n v="15.300863999999999"/>
    <n v="17.399999999999999"/>
  </r>
  <r>
    <n v="84136043"/>
    <x v="17"/>
    <n v="23200"/>
    <d v="2023-11-06T00:00:00"/>
    <x v="131"/>
    <x v="38"/>
    <n v="3.7853439999999999E-3"/>
    <n v="87.819980799999996"/>
    <s v="BJ"/>
    <x v="10"/>
    <x v="15"/>
    <s v="Q4"/>
    <n v="240"/>
    <n v="96.666666666666671"/>
    <s v="BJ PTS"/>
    <n v="0.9"/>
    <n v="20880"/>
    <n v="79.037982720000002"/>
    <n v="87"/>
  </r>
  <r>
    <n v="84139000"/>
    <x v="17"/>
    <n v="12480"/>
    <d v="2023-11-06T00:00:00"/>
    <x v="282"/>
    <x v="33"/>
    <n v="9.0848256361922702E-3"/>
    <n v="113.37862393967953"/>
    <s v="BJ"/>
    <x v="10"/>
    <x v="39"/>
    <s v="Q4"/>
    <n v="125"/>
    <n v="99.84"/>
    <s v="2.4 Gal"/>
    <n v="0.85"/>
    <n v="10608"/>
    <n v="96.371830348727599"/>
    <n v="84.864000000000004"/>
  </r>
  <r>
    <n v="84141101"/>
    <x v="17"/>
    <n v="34800"/>
    <d v="2023-11-06T00:00:00"/>
    <x v="86"/>
    <x v="35"/>
    <n v="3.7853439999999999E-3"/>
    <n v="131.72997119999999"/>
    <s v="BJ"/>
    <x v="10"/>
    <x v="15"/>
    <s v="Q4"/>
    <n v="240"/>
    <n v="145"/>
    <s v="BJ PTS"/>
    <n v="0.9"/>
    <n v="31320"/>
    <n v="118.55697408"/>
    <n v="130.5"/>
  </r>
  <r>
    <n v="84161610"/>
    <x v="17"/>
    <n v="37120"/>
    <d v="2023-11-06T00:00:00"/>
    <x v="99"/>
    <x v="38"/>
    <n v="3.7853439999999999E-3"/>
    <n v="140.51196927999999"/>
    <s v="BJ"/>
    <x v="10"/>
    <x v="15"/>
    <s v="Q4"/>
    <n v="240"/>
    <n v="154.66666666666666"/>
    <s v="BJ PTS"/>
    <n v="0.9"/>
    <n v="33408"/>
    <n v="126.46077235199999"/>
    <n v="139.19999999999999"/>
  </r>
  <r>
    <n v="67885719"/>
    <x v="16"/>
    <n v="45600"/>
    <d v="2023-11-07T00:00:00"/>
    <x v="11"/>
    <x v="32"/>
    <n v="8.5199999999999998E-3"/>
    <n v="388.512"/>
    <s v="BR"/>
    <x v="10"/>
    <x v="2"/>
    <s v="Q4"/>
    <n v="154"/>
    <n v="296.10389610389609"/>
    <s v="48oz"/>
    <n v="0.95"/>
    <n v="43320"/>
    <n v="369.08639999999997"/>
    <n v="281.29870129870125"/>
  </r>
  <r>
    <n v="67885722"/>
    <x v="16"/>
    <n v="5700"/>
    <d v="2023-11-07T00:00:00"/>
    <x v="163"/>
    <x v="32"/>
    <n v="8.5199999999999998E-3"/>
    <n v="48.564"/>
    <s v="BR"/>
    <x v="10"/>
    <x v="2"/>
    <s v="Q4"/>
    <n v="154"/>
    <n v="37.012987012987011"/>
    <s v="48oz"/>
    <n v="0.95"/>
    <n v="5415"/>
    <n v="46.135799999999996"/>
    <n v="35.162337662337656"/>
  </r>
  <r>
    <n v="68728321"/>
    <x v="16"/>
    <n v="25000"/>
    <d v="2023-11-07T00:00:00"/>
    <x v="150"/>
    <x v="22"/>
    <n v="3.7853439999999999E-3"/>
    <n v="94.633600000000001"/>
    <s v="TA"/>
    <x v="10"/>
    <x v="10"/>
    <s v="Q4"/>
    <n v="255"/>
    <n v="98.039215686274517"/>
    <s v="TALENTI"/>
    <n v="0.94"/>
    <n v="23500"/>
    <n v="88.955584000000002"/>
    <n v="92.156862745098039"/>
  </r>
  <r>
    <n v="68728342"/>
    <x v="16"/>
    <n v="40000"/>
    <d v="2023-11-07T00:00:00"/>
    <x v="44"/>
    <x v="22"/>
    <n v="3.7853439999999999E-3"/>
    <n v="151.41376"/>
    <s v="TA"/>
    <x v="10"/>
    <x v="10"/>
    <s v="Q4"/>
    <n v="255"/>
    <n v="156.86274509803923"/>
    <s v="TALENTI"/>
    <n v="0.94"/>
    <n v="37600"/>
    <n v="142.32893439999998"/>
    <n v="147.45098039215688"/>
  </r>
  <r>
    <n v="68730252"/>
    <x v="16"/>
    <n v="172674"/>
    <d v="2023-11-07T00:00:00"/>
    <x v="22"/>
    <x v="22"/>
    <n v="3.7853440000000004E-3"/>
    <n v="653.63048985600005"/>
    <s v="TA"/>
    <x v="10"/>
    <x v="10"/>
    <s v="Q4"/>
    <n v="255"/>
    <n v="677.15294117647056"/>
    <s v="TALENTI"/>
    <n v="0.94"/>
    <n v="162313.56"/>
    <n v="614.41266046464"/>
    <n v="636.52376470588229"/>
  </r>
  <r>
    <n v="68741742"/>
    <x v="16"/>
    <n v="32400"/>
    <d v="2023-11-07T00:00:00"/>
    <x v="25"/>
    <x v="25"/>
    <n v="4.2560000000000002E-3"/>
    <n v="137.89440000000002"/>
    <s v="GH"/>
    <x v="10"/>
    <x v="11"/>
    <s v="Q4"/>
    <n v="154"/>
    <n v="210.3896103896104"/>
    <s v="MBG"/>
    <n v="0.87"/>
    <n v="28188"/>
    <n v="119.96812800000002"/>
    <n v="183.03896103896105"/>
  </r>
  <r>
    <n v="68850684"/>
    <x v="16"/>
    <n v="45600"/>
    <d v="2023-11-07T00:00:00"/>
    <x v="354"/>
    <x v="32"/>
    <n v="8.5199999999999998E-3"/>
    <n v="388.512"/>
    <s v="BR"/>
    <x v="10"/>
    <x v="2"/>
    <s v="Q4"/>
    <n v="176"/>
    <n v="259.09090909090907"/>
    <s v="48oz"/>
    <n v="0.95"/>
    <n v="43320"/>
    <n v="369.08639999999997"/>
    <n v="246.1363636363636"/>
  </r>
  <r>
    <n v="68922018"/>
    <x v="16"/>
    <n v="57000"/>
    <d v="2023-11-07T00:00:00"/>
    <x v="95"/>
    <x v="21"/>
    <n v="3.7839999999999996E-3"/>
    <n v="215.68799999999999"/>
    <s v="TA"/>
    <x v="10"/>
    <x v="10"/>
    <s v="Q4"/>
    <n v="255"/>
    <n v="223.52941176470588"/>
    <s v="TALENTI"/>
    <n v="0.94"/>
    <n v="53580"/>
    <n v="202.74671999999998"/>
    <n v="210.11764705882351"/>
  </r>
  <r>
    <n v="68922108"/>
    <x v="16"/>
    <n v="91200"/>
    <d v="2023-11-07T00:00:00"/>
    <x v="184"/>
    <x v="21"/>
    <n v="3.7839999999999996E-3"/>
    <n v="345.10079999999994"/>
    <s v="TA"/>
    <x v="10"/>
    <x v="10"/>
    <s v="Q4"/>
    <n v="255"/>
    <n v="357.64705882352939"/>
    <s v="TALENTI"/>
    <n v="0.94"/>
    <n v="85728"/>
    <n v="324.39475199999993"/>
    <n v="336.18823529411759"/>
  </r>
  <r>
    <n v="68938272"/>
    <x v="16"/>
    <n v="57000"/>
    <d v="2023-11-07T00:00:00"/>
    <x v="293"/>
    <x v="15"/>
    <n v="3.5999999999999999E-3"/>
    <n v="205.2"/>
    <s v="BJ"/>
    <x v="10"/>
    <x v="19"/>
    <s v="Q4"/>
    <n v="240"/>
    <n v="237.5"/>
    <s v="Topped"/>
    <n v="0.91"/>
    <n v="51870"/>
    <n v="186.732"/>
    <n v="216.125"/>
  </r>
  <r>
    <n v="69554197"/>
    <x v="16"/>
    <n v="22800"/>
    <d v="2023-11-07T00:00:00"/>
    <x v="15"/>
    <x v="15"/>
    <n v="3.7839999999999996E-3"/>
    <n v="86.275199999999984"/>
    <s v="BR"/>
    <x v="10"/>
    <x v="7"/>
    <s v="Q4"/>
    <n v="240"/>
    <n v="95"/>
    <s v="PTS"/>
    <n v="0.95"/>
    <n v="21660"/>
    <n v="81.961439999999982"/>
    <n v="90.25"/>
  </r>
  <r>
    <n v="69629468"/>
    <x v="16"/>
    <n v="32400"/>
    <d v="2023-11-07T00:00:00"/>
    <x v="30"/>
    <x v="30"/>
    <n v="5.2680000000000001E-3"/>
    <n v="170.6832"/>
    <s v="PS"/>
    <x v="10"/>
    <x v="14"/>
    <s v="Q4"/>
    <n v="130"/>
    <n v="249.23076923076923"/>
    <s v="PG"/>
    <n v="0.9"/>
    <n v="29160"/>
    <n v="153.61488"/>
    <n v="224.30769230769232"/>
  </r>
  <r>
    <n v="84141094"/>
    <x v="16"/>
    <n v="22800"/>
    <d v="2023-11-07T00:00:00"/>
    <x v="107"/>
    <x v="15"/>
    <n v="3.7853439999999999E-3"/>
    <n v="86.305843199999998"/>
    <s v="BJ"/>
    <x v="10"/>
    <x v="30"/>
    <s v="Q4"/>
    <n v="240"/>
    <n v="95"/>
    <s v="BJ PTS"/>
    <n v="0.9"/>
    <n v="20520"/>
    <n v="77.675258880000001"/>
    <n v="85.5"/>
  </r>
  <r>
    <n v="84164936"/>
    <x v="16"/>
    <n v="22800"/>
    <d v="2023-11-07T00:00:00"/>
    <x v="162"/>
    <x v="15"/>
    <n v="3.7853439999999999E-3"/>
    <n v="86.305843199999998"/>
    <s v="BJ"/>
    <x v="10"/>
    <x v="30"/>
    <s v="Q4"/>
    <n v="240"/>
    <n v="95"/>
    <s v="BJ PTS"/>
    <n v="0.9"/>
    <n v="20520"/>
    <n v="77.675258880000001"/>
    <n v="85.5"/>
  </r>
  <r>
    <n v="67466492"/>
    <x v="15"/>
    <n v="20250"/>
    <d v="2023-11-10T00:00:00"/>
    <x v="8"/>
    <x v="7"/>
    <n v="5.2680000000000001E-3"/>
    <n v="106.67700000000001"/>
    <s v="PS"/>
    <x v="10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1-12T00:00:00"/>
    <x v="8"/>
    <x v="10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7466492"/>
    <x v="15"/>
    <n v="23400"/>
    <d v="2023-11-12T00:00:00"/>
    <x v="8"/>
    <x v="8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7466492"/>
    <x v="15"/>
    <n v="23400"/>
    <d v="2023-11-12T00:00:00"/>
    <x v="8"/>
    <x v="6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8869019"/>
    <x v="15"/>
    <n v="18000"/>
    <d v="2023-11-12T00:00:00"/>
    <x v="389"/>
    <x v="24"/>
    <n v="4.2560000000000002E-3"/>
    <n v="76.608000000000004"/>
    <s v="GH"/>
    <x v="10"/>
    <x v="4"/>
    <s v="Q4"/>
    <n v="140"/>
    <n v="128.57142857142858"/>
    <s v="MBG"/>
    <n v="0.87"/>
    <n v="15660"/>
    <n v="66.648960000000002"/>
    <n v="111.85714285714286"/>
  </r>
  <r>
    <n v="67309864"/>
    <x v="15"/>
    <n v="25200"/>
    <d v="2023-11-13T00:00:00"/>
    <x v="63"/>
    <x v="23"/>
    <n v="8.5199999999999998E-3"/>
    <n v="214.70400000000001"/>
    <s v="BR"/>
    <x v="10"/>
    <x v="6"/>
    <s v="Q4"/>
    <n v="154"/>
    <n v="163.63636363636363"/>
    <s v="48oz"/>
    <n v="0.95"/>
    <n v="23940"/>
    <n v="203.96879999999999"/>
    <n v="155.45454545454544"/>
  </r>
  <r>
    <n v="67465063"/>
    <x v="15"/>
    <n v="13500"/>
    <d v="2023-11-13T00:00:00"/>
    <x v="3"/>
    <x v="3"/>
    <n v="5.2680000000000001E-3"/>
    <n v="71.117999999999995"/>
    <s v="PS"/>
    <x v="10"/>
    <x v="3"/>
    <s v="Q4"/>
    <n v="130"/>
    <n v="103.84615384615384"/>
    <s v="PG"/>
    <n v="0.9"/>
    <n v="12150"/>
    <n v="64.006199999999993"/>
    <n v="93.461538461538453"/>
  </r>
  <r>
    <n v="67465063"/>
    <x v="15"/>
    <n v="15413"/>
    <d v="2023-11-13T00:00:00"/>
    <x v="3"/>
    <x v="40"/>
    <n v="5.2680000000000001E-3"/>
    <n v="81.195684"/>
    <s v="PS"/>
    <x v="10"/>
    <x v="3"/>
    <s v="Q4"/>
    <n v="130"/>
    <n v="118.56153846153846"/>
    <s v="PG"/>
    <n v="0.9"/>
    <n v="13871.7"/>
    <n v="73.076115600000008"/>
    <n v="106.70538461538462"/>
  </r>
  <r>
    <n v="67885719"/>
    <x v="15"/>
    <n v="25200"/>
    <d v="2023-11-13T00:00:00"/>
    <x v="11"/>
    <x v="11"/>
    <n v="8.5199999999999998E-3"/>
    <n v="214.70400000000001"/>
    <s v="BR"/>
    <x v="10"/>
    <x v="6"/>
    <s v="Q4"/>
    <n v="154"/>
    <n v="163.63636363636363"/>
    <s v="48oz"/>
    <n v="0.95"/>
    <n v="23940"/>
    <n v="203.96879999999999"/>
    <n v="155.45454545454544"/>
  </r>
  <r>
    <n v="67885723"/>
    <x v="15"/>
    <n v="2550"/>
    <d v="2023-11-13T00:00:00"/>
    <x v="304"/>
    <x v="16"/>
    <n v="8.5199999999999998E-3"/>
    <n v="21.725999999999999"/>
    <s v="BR"/>
    <x v="10"/>
    <x v="6"/>
    <s v="Q4"/>
    <n v="154"/>
    <n v="16.558441558441558"/>
    <s v="48oz"/>
    <n v="0.95"/>
    <n v="2422.5"/>
    <n v="20.639699999999998"/>
    <n v="15.730519480519479"/>
  </r>
  <r>
    <n v="67885724"/>
    <x v="15"/>
    <n v="22800"/>
    <d v="2023-11-13T00:00:00"/>
    <x v="49"/>
    <x v="12"/>
    <n v="8.5199999999999998E-3"/>
    <n v="194.256"/>
    <s v="BR"/>
    <x v="10"/>
    <x v="6"/>
    <s v="Q4"/>
    <n v="154"/>
    <n v="148.05194805194805"/>
    <s v="48oz"/>
    <n v="0.95"/>
    <n v="21660"/>
    <n v="184.54319999999998"/>
    <n v="140.64935064935062"/>
  </r>
  <r>
    <n v="68737750"/>
    <x v="15"/>
    <n v="25200"/>
    <d v="2023-11-13T00:00:00"/>
    <x v="144"/>
    <x v="23"/>
    <n v="8.5199999999999998E-3"/>
    <n v="214.70400000000001"/>
    <s v="BR"/>
    <x v="10"/>
    <x v="6"/>
    <s v="Q4"/>
    <n v="176"/>
    <n v="143.18181818181819"/>
    <s v="48oz"/>
    <n v="0.95"/>
    <n v="23940"/>
    <n v="203.96879999999999"/>
    <n v="136.02272727272728"/>
  </r>
  <r>
    <n v="68817793"/>
    <x v="15"/>
    <n v="22800"/>
    <d v="2023-11-13T00:00:00"/>
    <x v="48"/>
    <x v="12"/>
    <n v="8.5199999999999998E-3"/>
    <n v="194.256"/>
    <s v="BR"/>
    <x v="10"/>
    <x v="6"/>
    <s v="Q4"/>
    <n v="176"/>
    <n v="129.54545454545453"/>
    <s v="48oz"/>
    <n v="0.95"/>
    <n v="21660"/>
    <n v="184.54319999999998"/>
    <n v="123.0681818181818"/>
  </r>
  <r>
    <n v="68817801"/>
    <x v="15"/>
    <n v="25200"/>
    <d v="2023-11-13T00:00:00"/>
    <x v="183"/>
    <x v="11"/>
    <n v="8.4600000000000005E-3"/>
    <n v="213.19200000000001"/>
    <s v="BR"/>
    <x v="10"/>
    <x v="6"/>
    <s v="Q4"/>
    <n v="176"/>
    <n v="143.18181818181819"/>
    <s v="48oz"/>
    <n v="0.95"/>
    <n v="23940"/>
    <n v="202.5324"/>
    <n v="136.02272727272728"/>
  </r>
  <r>
    <n v="68850683"/>
    <x v="15"/>
    <n v="25200"/>
    <d v="2023-11-13T00:00:00"/>
    <x v="335"/>
    <x v="11"/>
    <n v="8.5199999999999998E-3"/>
    <n v="214.70400000000001"/>
    <s v="BR"/>
    <x v="10"/>
    <x v="6"/>
    <s v="Q4"/>
    <n v="176"/>
    <n v="143.18181818181819"/>
    <s v="48oz"/>
    <n v="0.95"/>
    <n v="23940"/>
    <n v="203.96879999999999"/>
    <n v="136.02272727272728"/>
  </r>
  <r>
    <n v="68881270"/>
    <x v="15"/>
    <n v="11900"/>
    <d v="2023-11-13T00:00:00"/>
    <x v="91"/>
    <x v="16"/>
    <n v="8.5199999999999998E-3"/>
    <n v="101.38799999999999"/>
    <s v="BR"/>
    <x v="10"/>
    <x v="6"/>
    <s v="Q4"/>
    <n v="176"/>
    <n v="67.61363636363636"/>
    <s v="48oz"/>
    <n v="0.95"/>
    <n v="11305"/>
    <n v="96.318599999999989"/>
    <n v="64.232954545454533"/>
  </r>
  <r>
    <n v="68899821"/>
    <x v="15"/>
    <n v="46000"/>
    <d v="2023-11-13T00:00:00"/>
    <x v="149"/>
    <x v="16"/>
    <n v="8.5199999999999998E-3"/>
    <n v="391.92"/>
    <s v="BR"/>
    <x v="10"/>
    <x v="6"/>
    <s v="Q4"/>
    <n v="176"/>
    <n v="261.36363636363637"/>
    <s v="48oz"/>
    <n v="0.95"/>
    <n v="43700"/>
    <n v="372.32400000000001"/>
    <n v="248.29545454545453"/>
  </r>
  <r>
    <n v="68930545"/>
    <x v="15"/>
    <n v="46000"/>
    <d v="2023-11-13T00:00:00"/>
    <x v="93"/>
    <x v="12"/>
    <n v="8.5199999999999998E-3"/>
    <n v="391.92"/>
    <s v="BR"/>
    <x v="10"/>
    <x v="6"/>
    <s v="Q4"/>
    <n v="176"/>
    <n v="261.36363636363637"/>
    <s v="48oz"/>
    <n v="0.95"/>
    <n v="43700"/>
    <n v="372.32400000000001"/>
    <n v="248.29545454545453"/>
  </r>
  <r>
    <n v="69629468"/>
    <x v="15"/>
    <n v="24000"/>
    <d v="2023-11-13T00:00:00"/>
    <x v="30"/>
    <x v="29"/>
    <n v="5.2680000000000001E-3"/>
    <n v="126.432"/>
    <s v="PS"/>
    <x v="10"/>
    <x v="3"/>
    <s v="Q4"/>
    <n v="130"/>
    <n v="184.61538461538461"/>
    <s v="PG"/>
    <n v="0.9"/>
    <n v="21600"/>
    <n v="113.78880000000001"/>
    <n v="166.15384615384616"/>
  </r>
  <r>
    <n v="67885719"/>
    <x v="16"/>
    <n v="26400"/>
    <d v="2023-11-13T00:00:00"/>
    <x v="11"/>
    <x v="13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7885719"/>
    <x v="16"/>
    <n v="26400"/>
    <d v="2023-11-13T00:00:00"/>
    <x v="11"/>
    <x v="2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7885721"/>
    <x v="16"/>
    <n v="26400"/>
    <d v="2023-11-13T00:00:00"/>
    <x v="40"/>
    <x v="13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7901593"/>
    <x v="16"/>
    <n v="45600"/>
    <d v="2023-11-13T00:00:00"/>
    <x v="68"/>
    <x v="32"/>
    <n v="8.5199999999999998E-3"/>
    <n v="388.512"/>
    <s v="BR"/>
    <x v="10"/>
    <x v="2"/>
    <s v="Q4"/>
    <n v="154"/>
    <n v="296.10389610389609"/>
    <s v="48oz"/>
    <n v="0.95"/>
    <n v="43320"/>
    <n v="369.08639999999997"/>
    <n v="281.29870129870125"/>
  </r>
  <r>
    <n v="69587863"/>
    <x v="16"/>
    <n v="26400"/>
    <d v="2023-11-13T00:00:00"/>
    <x v="249"/>
    <x v="13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9706138"/>
    <x v="16"/>
    <n v="33150"/>
    <d v="2023-11-13T00:00:00"/>
    <x v="289"/>
    <x v="31"/>
    <n v="3.8999999999999998E-3"/>
    <n v="129.285"/>
    <s v="TA"/>
    <x v="10"/>
    <x v="42"/>
    <s v="Q4"/>
    <n v="176"/>
    <n v="188.35227272727272"/>
    <s v="TAL NV"/>
    <n v="0.97"/>
    <n v="32155.5"/>
    <n v="125.40644999999999"/>
    <n v="182.70170454545453"/>
  </r>
  <r>
    <n v="69778792"/>
    <x v="16"/>
    <n v="35100"/>
    <d v="2023-11-13T00:00:00"/>
    <x v="376"/>
    <x v="28"/>
    <n v="5.2680000000000001E-3"/>
    <n v="184.9068"/>
    <s v="PS"/>
    <x v="10"/>
    <x v="14"/>
    <s v="Q4"/>
    <n v="130"/>
    <n v="270"/>
    <s v="PG"/>
    <n v="0.9"/>
    <n v="31590"/>
    <n v="166.41612000000001"/>
    <n v="243"/>
  </r>
  <r>
    <n v="84137725"/>
    <x v="18"/>
    <n v="105600"/>
    <d v="2023-11-13T00:00:00"/>
    <x v="132"/>
    <x v="33"/>
    <n v="3.7853439999999999E-3"/>
    <n v="399.73232639999998"/>
    <s v="BJ"/>
    <x v="10"/>
    <x v="36"/>
    <s v="Q4"/>
    <n v="240"/>
    <n v="440"/>
    <s v="BJ PTS"/>
    <n v="0.9"/>
    <n v="95040"/>
    <n v="359.75909375999998"/>
    <n v="396"/>
  </r>
  <r>
    <n v="84141103"/>
    <x v="18"/>
    <n v="105600"/>
    <d v="2023-11-13T00:00:00"/>
    <x v="294"/>
    <x v="38"/>
    <n v="3.7853439999999999E-3"/>
    <n v="399.73232639999998"/>
    <s v="BJ"/>
    <x v="10"/>
    <x v="36"/>
    <s v="Q4"/>
    <n v="240"/>
    <n v="440"/>
    <s v="BJ PTS"/>
    <n v="0.9"/>
    <n v="95040"/>
    <n v="359.75909375999998"/>
    <n v="396"/>
  </r>
  <r>
    <n v="84162829"/>
    <x v="18"/>
    <n v="6600"/>
    <d v="2023-11-13T00:00:00"/>
    <x v="59"/>
    <x v="33"/>
    <n v="3.6640000000000002E-3"/>
    <n v="24.182400000000001"/>
    <s v="BJ"/>
    <x v="10"/>
    <x v="40"/>
    <s v="Q4"/>
    <n v="240"/>
    <n v="27.5"/>
    <s v="PTS Exports"/>
    <n v="0.9"/>
    <n v="5940"/>
    <n v="21.76416"/>
    <n v="24.75"/>
  </r>
  <r>
    <n v="67546042"/>
    <x v="17"/>
    <n v="34800"/>
    <d v="2023-11-13T00:00:00"/>
    <x v="108"/>
    <x v="35"/>
    <n v="3.7853439999999999E-3"/>
    <n v="131.72997119999999"/>
    <s v="BJ"/>
    <x v="10"/>
    <x v="15"/>
    <s v="Q4"/>
    <n v="240"/>
    <n v="145"/>
    <s v="BJ PTS"/>
    <n v="0.9"/>
    <n v="31320"/>
    <n v="118.55697408"/>
    <n v="130.5"/>
  </r>
  <r>
    <n v="67995090"/>
    <x v="17"/>
    <n v="102400"/>
    <d v="2023-11-13T00:00:00"/>
    <x v="315"/>
    <x v="35"/>
    <n v="3.7853439999999999E-3"/>
    <n v="387.61922559999999"/>
    <s v="BJ"/>
    <x v="10"/>
    <x v="15"/>
    <s v="Q4"/>
    <n v="240"/>
    <n v="426.66666666666669"/>
    <s v="BJ PTS"/>
    <n v="0.9"/>
    <n v="92160"/>
    <n v="348.85730303999998"/>
    <n v="384"/>
  </r>
  <r>
    <n v="84137701"/>
    <x v="17"/>
    <n v="21360"/>
    <d v="2023-11-13T00:00:00"/>
    <x v="37"/>
    <x v="33"/>
    <n v="1.4399999999999999E-3"/>
    <n v="30.758399999999998"/>
    <s v="BJ"/>
    <x v="10"/>
    <x v="16"/>
    <s v="Q4"/>
    <n v="510"/>
    <n v="41.882352941176471"/>
    <s v="B&amp;J Cups"/>
    <n v="0.85"/>
    <n v="18156"/>
    <n v="26.144639999999999"/>
    <n v="35.6"/>
  </r>
  <r>
    <n v="84162846"/>
    <x v="17"/>
    <n v="4450"/>
    <d v="2023-11-13T00:00:00"/>
    <x v="255"/>
    <x v="33"/>
    <n v="1.4384307203870285E-3"/>
    <n v="6.4010167057222773"/>
    <s v="BJ"/>
    <x v="10"/>
    <x v="31"/>
    <s v="Q4"/>
    <n v="510"/>
    <n v="8.7254901960784306"/>
    <s v="Cup Exports"/>
    <n v="0.85"/>
    <n v="3782.5"/>
    <n v="5.4408641998639355"/>
    <n v="7.4166666666666661"/>
  </r>
  <r>
    <n v="84163605"/>
    <x v="17"/>
    <n v="102400"/>
    <d v="2023-11-13T00:00:00"/>
    <x v="219"/>
    <x v="34"/>
    <n v="3.7853439999999999E-3"/>
    <n v="387.61922559999999"/>
    <s v="BJ"/>
    <x v="10"/>
    <x v="15"/>
    <s v="Q4"/>
    <n v="240"/>
    <n v="426.66666666666669"/>
    <s v="BJ PTS"/>
    <n v="0.9"/>
    <n v="92160"/>
    <n v="348.85730303999998"/>
    <n v="384"/>
  </r>
  <r>
    <n v="84164937"/>
    <x v="17"/>
    <n v="102400"/>
    <d v="2023-11-13T00:00:00"/>
    <x v="234"/>
    <x v="38"/>
    <n v="3.7853439999999999E-3"/>
    <n v="387.61922559999999"/>
    <s v="BJ"/>
    <x v="10"/>
    <x v="15"/>
    <s v="Q4"/>
    <n v="240"/>
    <n v="426.66666666666669"/>
    <s v="BJ PTS"/>
    <n v="0.9"/>
    <n v="92160"/>
    <n v="348.85730303999998"/>
    <n v="384"/>
  </r>
  <r>
    <n v="84164939"/>
    <x v="17"/>
    <n v="12480"/>
    <d v="2023-11-13T00:00:00"/>
    <x v="186"/>
    <x v="35"/>
    <n v="9.0848256361922702E-3"/>
    <n v="113.37862393967953"/>
    <s v="BJ"/>
    <x v="10"/>
    <x v="39"/>
    <s v="Q4"/>
    <n v="125"/>
    <n v="99.84"/>
    <s v="2.4 Gal"/>
    <n v="0.85"/>
    <n v="10608"/>
    <n v="96.371830348727599"/>
    <n v="84.864000000000004"/>
  </r>
  <r>
    <n v="68728278"/>
    <x v="16"/>
    <n v="25000"/>
    <d v="2023-11-14T00:00:00"/>
    <x v="391"/>
    <x v="22"/>
    <n v="3.7853439999999999E-3"/>
    <n v="94.633600000000001"/>
    <s v="TA"/>
    <x v="10"/>
    <x v="10"/>
    <s v="Q4"/>
    <n v="255"/>
    <n v="98.039215686274517"/>
    <s v="TALENTI"/>
    <n v="0.94"/>
    <n v="23500"/>
    <n v="88.955584000000002"/>
    <n v="92.156862745098039"/>
  </r>
  <r>
    <n v="68729634"/>
    <x v="16"/>
    <n v="25000"/>
    <d v="2023-11-14T00:00:00"/>
    <x v="92"/>
    <x v="22"/>
    <n v="3.7853439999999999E-3"/>
    <n v="94.633600000000001"/>
    <s v="TA"/>
    <x v="10"/>
    <x v="10"/>
    <s v="Q4"/>
    <n v="255"/>
    <n v="98.039215686274517"/>
    <s v="TALENTI"/>
    <n v="0.94"/>
    <n v="23500"/>
    <n v="88.955584000000002"/>
    <n v="92.156862745098039"/>
  </r>
  <r>
    <n v="68730234"/>
    <x v="16"/>
    <n v="57000"/>
    <d v="2023-11-14T00:00:00"/>
    <x v="21"/>
    <x v="21"/>
    <n v="3.7853440000000004E-3"/>
    <n v="215.76460800000001"/>
    <s v="TA"/>
    <x v="10"/>
    <x v="10"/>
    <s v="Q4"/>
    <n v="255"/>
    <n v="223.52941176470588"/>
    <s v="TALENTI"/>
    <n v="0.94"/>
    <n v="53580"/>
    <n v="202.81873152"/>
    <n v="210.11764705882351"/>
  </r>
  <r>
    <n v="68741742"/>
    <x v="16"/>
    <n v="32400"/>
    <d v="2023-11-14T00:00:00"/>
    <x v="25"/>
    <x v="25"/>
    <n v="4.2560000000000002E-3"/>
    <n v="137.89440000000002"/>
    <s v="GH"/>
    <x v="10"/>
    <x v="11"/>
    <s v="Q4"/>
    <n v="154"/>
    <n v="210.3896103896104"/>
    <s v="MBG"/>
    <n v="0.87"/>
    <n v="28188"/>
    <n v="119.96812800000002"/>
    <n v="183.03896103896105"/>
  </r>
  <r>
    <n v="68782716"/>
    <x v="16"/>
    <n v="25650"/>
    <d v="2023-11-14T00:00:00"/>
    <x v="246"/>
    <x v="21"/>
    <n v="3.7853440000000004E-3"/>
    <n v="97.094073600000016"/>
    <s v="TA"/>
    <x v="10"/>
    <x v="10"/>
    <s v="Q4"/>
    <n v="255"/>
    <n v="100.58823529411765"/>
    <s v="TALENTI"/>
    <n v="0.94"/>
    <n v="24111"/>
    <n v="91.268429184000013"/>
    <n v="94.552941176470583"/>
  </r>
  <r>
    <n v="68850683"/>
    <x v="16"/>
    <n v="45600"/>
    <d v="2023-11-14T00:00:00"/>
    <x v="335"/>
    <x v="32"/>
    <n v="8.5199999999999998E-3"/>
    <n v="388.512"/>
    <s v="BR"/>
    <x v="10"/>
    <x v="2"/>
    <s v="Q4"/>
    <n v="176"/>
    <n v="259.09090909090907"/>
    <s v="48oz"/>
    <n v="0.95"/>
    <n v="43320"/>
    <n v="369.08639999999997"/>
    <n v="246.1363636363636"/>
  </r>
  <r>
    <n v="68881269"/>
    <x v="16"/>
    <n v="26400"/>
    <d v="2023-11-14T00:00:00"/>
    <x v="16"/>
    <x v="2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8881270"/>
    <x v="16"/>
    <n v="26400"/>
    <d v="2023-11-14T00:00:00"/>
    <x v="91"/>
    <x v="2"/>
    <n v="8.5199999999999998E-3"/>
    <n v="224.928"/>
    <s v="BR"/>
    <x v="10"/>
    <x v="2"/>
    <s v="Q4"/>
    <n v="176"/>
    <n v="150"/>
    <s v="48oz"/>
    <n v="0.95"/>
    <n v="25080"/>
    <n v="213.68159999999997"/>
    <n v="142.5"/>
  </r>
  <r>
    <n v="68922106"/>
    <x v="16"/>
    <n v="40000"/>
    <d v="2023-11-14T00:00:00"/>
    <x v="104"/>
    <x v="22"/>
    <n v="3.552E-3"/>
    <n v="142.08000000000001"/>
    <s v="TA"/>
    <x v="10"/>
    <x v="10"/>
    <s v="Q4"/>
    <n v="255"/>
    <n v="156.86274509803923"/>
    <s v="TALENTI"/>
    <n v="0.94"/>
    <n v="37600"/>
    <n v="133.55520000000001"/>
    <n v="147.45098039215688"/>
  </r>
  <r>
    <n v="69568964"/>
    <x v="16"/>
    <n v="23400"/>
    <d v="2023-11-14T00:00:00"/>
    <x v="134"/>
    <x v="32"/>
    <n v="8.5199999999999998E-3"/>
    <n v="199.36799999999999"/>
    <s v="BR"/>
    <x v="10"/>
    <x v="2"/>
    <s v="Q4"/>
    <n v="176"/>
    <n v="132.95454545454547"/>
    <s v="48oz"/>
    <n v="0.95"/>
    <n v="22230"/>
    <n v="189.39959999999999"/>
    <n v="126.30681818181819"/>
  </r>
  <r>
    <n v="69629468"/>
    <x v="16"/>
    <n v="32400"/>
    <d v="2023-11-14T00:00:00"/>
    <x v="30"/>
    <x v="30"/>
    <n v="5.2680000000000001E-3"/>
    <n v="170.6832"/>
    <s v="PS"/>
    <x v="10"/>
    <x v="14"/>
    <s v="Q4"/>
    <n v="130"/>
    <n v="249.23076923076923"/>
    <s v="PG"/>
    <n v="0.9"/>
    <n v="29160"/>
    <n v="153.61488"/>
    <n v="224.30769230769232"/>
  </r>
  <r>
    <n v="69691840"/>
    <x v="16"/>
    <n v="57000"/>
    <d v="2023-11-14T00:00:00"/>
    <x v="106"/>
    <x v="21"/>
    <n v="3.7839999999999996E-3"/>
    <n v="215.68799999999999"/>
    <s v="TA"/>
    <x v="10"/>
    <x v="10"/>
    <s v="Q4"/>
    <n v="255"/>
    <n v="223.52941176470588"/>
    <s v="TALENTI"/>
    <n v="0.94"/>
    <n v="53580"/>
    <n v="202.74671999999998"/>
    <n v="210.11764705882351"/>
  </r>
  <r>
    <n v="84135781"/>
    <x v="16"/>
    <n v="22800"/>
    <d v="2023-11-14T00:00:00"/>
    <x v="356"/>
    <x v="15"/>
    <n v="3.7853439999999999E-3"/>
    <n v="86.305843199999998"/>
    <s v="BJ"/>
    <x v="10"/>
    <x v="30"/>
    <s v="Q4"/>
    <n v="240"/>
    <n v="95"/>
    <s v="BJ PTS"/>
    <n v="0.9"/>
    <n v="20520"/>
    <n v="77.675258880000001"/>
    <n v="85.5"/>
  </r>
  <r>
    <n v="84141094"/>
    <x v="16"/>
    <n v="22800"/>
    <d v="2023-11-14T00:00:00"/>
    <x v="107"/>
    <x v="15"/>
    <n v="3.7853439999999999E-3"/>
    <n v="86.305843199999998"/>
    <s v="BJ"/>
    <x v="10"/>
    <x v="30"/>
    <s v="Q4"/>
    <n v="240"/>
    <n v="95"/>
    <s v="BJ PTS"/>
    <n v="0.9"/>
    <n v="20520"/>
    <n v="77.675258880000001"/>
    <n v="85.5"/>
  </r>
  <r>
    <n v="67466492"/>
    <x v="15"/>
    <n v="11250"/>
    <d v="2023-11-17T00:00:00"/>
    <x v="8"/>
    <x v="7"/>
    <n v="5.2680000000000001E-3"/>
    <n v="59.265000000000001"/>
    <s v="PS"/>
    <x v="10"/>
    <x v="3"/>
    <s v="Q4"/>
    <n v="130"/>
    <n v="86.538461538461533"/>
    <s v="PG"/>
    <n v="0.9"/>
    <n v="10125"/>
    <n v="53.338500000000003"/>
    <n v="77.884615384615387"/>
  </r>
  <r>
    <n v="67466492"/>
    <x v="15"/>
    <n v="9000"/>
    <d v="2023-11-19T00:00:00"/>
    <x v="8"/>
    <x v="10"/>
    <n v="5.2680000000000001E-3"/>
    <n v="47.411999999999999"/>
    <s v="PS"/>
    <x v="10"/>
    <x v="3"/>
    <s v="Q4"/>
    <n v="130"/>
    <n v="69.230769230769226"/>
    <s v="PG"/>
    <n v="0.9"/>
    <n v="8100"/>
    <n v="42.6708"/>
    <n v="62.307692307692307"/>
  </r>
  <r>
    <n v="67466492"/>
    <x v="15"/>
    <n v="9000"/>
    <d v="2023-11-19T00:00:00"/>
    <x v="8"/>
    <x v="8"/>
    <n v="5.2680000000000001E-3"/>
    <n v="47.411999999999999"/>
    <s v="PS"/>
    <x v="10"/>
    <x v="3"/>
    <s v="Q4"/>
    <n v="130"/>
    <n v="69.230769230769226"/>
    <s v="PG"/>
    <n v="0.9"/>
    <n v="8100"/>
    <n v="42.6708"/>
    <n v="62.307692307692307"/>
  </r>
  <r>
    <n v="67466492"/>
    <x v="15"/>
    <n v="9000"/>
    <d v="2023-11-19T00:00:00"/>
    <x v="8"/>
    <x v="6"/>
    <n v="5.2680000000000001E-3"/>
    <n v="47.411999999999999"/>
    <s v="PS"/>
    <x v="10"/>
    <x v="3"/>
    <s v="Q4"/>
    <n v="130"/>
    <n v="69.230769230769226"/>
    <s v="PG"/>
    <n v="0.9"/>
    <n v="8100"/>
    <n v="42.6708"/>
    <n v="62.307692307692307"/>
  </r>
  <r>
    <n v="68869019"/>
    <x v="15"/>
    <n v="15000"/>
    <d v="2023-11-19T00:00:00"/>
    <x v="389"/>
    <x v="24"/>
    <n v="4.2560000000000002E-3"/>
    <n v="63.84"/>
    <s v="GH"/>
    <x v="10"/>
    <x v="4"/>
    <s v="Q4"/>
    <n v="140"/>
    <n v="107.14285714285714"/>
    <s v="MBG"/>
    <n v="0.87"/>
    <n v="13050"/>
    <n v="55.540800000000004"/>
    <n v="93.214285714285708"/>
  </r>
  <r>
    <n v="67465063"/>
    <x v="15"/>
    <n v="7500"/>
    <d v="2023-11-20T00:00:00"/>
    <x v="3"/>
    <x v="3"/>
    <n v="5.2680000000000001E-3"/>
    <n v="39.51"/>
    <s v="PS"/>
    <x v="10"/>
    <x v="3"/>
    <s v="Q4"/>
    <n v="130"/>
    <n v="57.692307692307693"/>
    <s v="PG"/>
    <n v="0.9"/>
    <n v="6750"/>
    <n v="35.558999999999997"/>
    <n v="51.923076923076927"/>
  </r>
  <r>
    <n v="67465063"/>
    <x v="15"/>
    <n v="8563"/>
    <d v="2023-11-20T00:00:00"/>
    <x v="3"/>
    <x v="40"/>
    <n v="5.2680000000000001E-3"/>
    <n v="45.109884000000001"/>
    <s v="PS"/>
    <x v="10"/>
    <x v="3"/>
    <s v="Q4"/>
    <n v="130"/>
    <n v="65.869230769230768"/>
    <s v="PG"/>
    <n v="0.9"/>
    <n v="7706.7"/>
    <n v="40.598895599999999"/>
    <n v="59.28230769230769"/>
  </r>
  <r>
    <n v="67723726"/>
    <x v="15"/>
    <n v="25200"/>
    <d v="2023-11-20T00:00:00"/>
    <x v="109"/>
    <x v="23"/>
    <n v="8.5199999999999998E-3"/>
    <n v="214.70400000000001"/>
    <s v="BR"/>
    <x v="10"/>
    <x v="6"/>
    <s v="Q4"/>
    <n v="154"/>
    <n v="163.63636363636363"/>
    <s v="48oz"/>
    <n v="0.95"/>
    <n v="23940"/>
    <n v="203.96879999999999"/>
    <n v="155.45454545454544"/>
  </r>
  <r>
    <n v="67885719"/>
    <x v="15"/>
    <n v="20400"/>
    <d v="2023-11-20T00:00:00"/>
    <x v="11"/>
    <x v="16"/>
    <n v="8.5199999999999998E-3"/>
    <n v="173.80799999999999"/>
    <s v="BR"/>
    <x v="10"/>
    <x v="6"/>
    <s v="Q4"/>
    <n v="154"/>
    <n v="132.46753246753246"/>
    <s v="48oz"/>
    <n v="0.95"/>
    <n v="19380"/>
    <n v="165.11759999999998"/>
    <n v="125.84415584415584"/>
  </r>
  <r>
    <n v="67885724"/>
    <x v="15"/>
    <n v="46000"/>
    <d v="2023-11-20T00:00:00"/>
    <x v="49"/>
    <x v="12"/>
    <n v="8.5199999999999998E-3"/>
    <n v="391.92"/>
    <s v="BR"/>
    <x v="10"/>
    <x v="6"/>
    <s v="Q4"/>
    <n v="154"/>
    <n v="298.7012987012987"/>
    <s v="48oz"/>
    <n v="0.95"/>
    <n v="43700"/>
    <n v="372.32400000000001"/>
    <n v="283.76623376623377"/>
  </r>
  <r>
    <n v="68737750"/>
    <x v="15"/>
    <n v="48000"/>
    <d v="2023-11-20T00:00:00"/>
    <x v="144"/>
    <x v="23"/>
    <n v="8.5199999999999998E-3"/>
    <n v="408.96"/>
    <s v="BR"/>
    <x v="10"/>
    <x v="6"/>
    <s v="Q4"/>
    <n v="176"/>
    <n v="272.72727272727275"/>
    <s v="48oz"/>
    <n v="0.95"/>
    <n v="45600"/>
    <n v="388.51199999999994"/>
    <n v="259.09090909090912"/>
  </r>
  <r>
    <n v="68741742"/>
    <x v="15"/>
    <n v="12500"/>
    <d v="2023-11-20T00:00:00"/>
    <x v="25"/>
    <x v="4"/>
    <n v="4.2560000000000002E-3"/>
    <n v="53.2"/>
    <s v="GH"/>
    <x v="10"/>
    <x v="4"/>
    <s v="Q4"/>
    <n v="154"/>
    <n v="81.168831168831176"/>
    <s v="MBG"/>
    <n v="0.87"/>
    <n v="10875"/>
    <n v="46.283999999999999"/>
    <n v="70.616883116883116"/>
  </r>
  <r>
    <n v="68817793"/>
    <x v="15"/>
    <n v="46000"/>
    <d v="2023-11-20T00:00:00"/>
    <x v="48"/>
    <x v="16"/>
    <n v="8.5199999999999998E-3"/>
    <n v="391.92"/>
    <s v="BR"/>
    <x v="10"/>
    <x v="6"/>
    <s v="Q4"/>
    <n v="176"/>
    <n v="261.36363636363637"/>
    <s v="48oz"/>
    <n v="0.95"/>
    <n v="43700"/>
    <n v="372.32400000000001"/>
    <n v="248.29545454545453"/>
  </r>
  <r>
    <n v="68817797"/>
    <x v="15"/>
    <n v="3150"/>
    <d v="2023-11-20T00:00:00"/>
    <x v="381"/>
    <x v="11"/>
    <n v="8.5199999999999998E-3"/>
    <n v="26.838000000000001"/>
    <s v="BR"/>
    <x v="10"/>
    <x v="6"/>
    <s v="Q4"/>
    <n v="154"/>
    <n v="20.454545454545453"/>
    <s v="48oz"/>
    <n v="0.95"/>
    <n v="2992.5"/>
    <n v="25.496099999999998"/>
    <n v="19.43181818181818"/>
  </r>
  <r>
    <n v="68850683"/>
    <x v="15"/>
    <n v="25200"/>
    <d v="2023-11-20T00:00:00"/>
    <x v="335"/>
    <x v="11"/>
    <n v="8.5199999999999998E-3"/>
    <n v="214.70400000000001"/>
    <s v="BR"/>
    <x v="10"/>
    <x v="6"/>
    <s v="Q4"/>
    <n v="176"/>
    <n v="143.18181818181819"/>
    <s v="48oz"/>
    <n v="0.95"/>
    <n v="23940"/>
    <n v="203.96879999999999"/>
    <n v="136.02272727272728"/>
  </r>
  <r>
    <n v="68850684"/>
    <x v="15"/>
    <n v="25200"/>
    <d v="2023-11-20T00:00:00"/>
    <x v="354"/>
    <x v="11"/>
    <n v="8.5199999999999998E-3"/>
    <n v="214.70400000000001"/>
    <s v="BR"/>
    <x v="10"/>
    <x v="6"/>
    <s v="Q4"/>
    <n v="176"/>
    <n v="143.18181818181819"/>
    <s v="48oz"/>
    <n v="0.95"/>
    <n v="23940"/>
    <n v="203.96879999999999"/>
    <n v="136.02272727272728"/>
  </r>
  <r>
    <n v="68881270"/>
    <x v="15"/>
    <n v="11900"/>
    <d v="2023-11-20T00:00:00"/>
    <x v="91"/>
    <x v="16"/>
    <n v="8.5199999999999998E-3"/>
    <n v="101.38799999999999"/>
    <s v="BR"/>
    <x v="10"/>
    <x v="6"/>
    <s v="Q4"/>
    <n v="176"/>
    <n v="67.61363636363636"/>
    <s v="48oz"/>
    <n v="0.95"/>
    <n v="11305"/>
    <n v="96.318599999999989"/>
    <n v="64.232954545454533"/>
  </r>
  <r>
    <n v="68890246"/>
    <x v="15"/>
    <n v="22800"/>
    <d v="2023-11-20T00:00:00"/>
    <x v="250"/>
    <x v="12"/>
    <n v="5.1101999999999995E-2"/>
    <n v="1165.1255999999998"/>
    <s v="BR"/>
    <x v="10"/>
    <x v="6"/>
    <s v="Q4"/>
    <n v="176"/>
    <n v="129.54545454545453"/>
    <s v="48oz"/>
    <n v="0.95"/>
    <n v="21660"/>
    <n v="1106.8693199999998"/>
    <n v="123.0681818181818"/>
  </r>
  <r>
    <n v="69629468"/>
    <x v="15"/>
    <n v="10000"/>
    <d v="2023-11-20T00:00:00"/>
    <x v="30"/>
    <x v="29"/>
    <n v="5.2680000000000001E-3"/>
    <n v="52.68"/>
    <s v="PS"/>
    <x v="10"/>
    <x v="3"/>
    <s v="Q4"/>
    <n v="130"/>
    <n v="76.92307692307692"/>
    <s v="PG"/>
    <n v="0.9"/>
    <n v="9000"/>
    <n v="47.411999999999999"/>
    <n v="69.230769230769226"/>
  </r>
  <r>
    <n v="67309841"/>
    <x v="16"/>
    <n v="26400"/>
    <d v="2023-11-20T00:00:00"/>
    <x v="32"/>
    <x v="13"/>
    <n v="8.5199999999999998E-3"/>
    <n v="224.928"/>
    <s v="BR"/>
    <x v="10"/>
    <x v="2"/>
    <s v="Q4"/>
    <n v="154"/>
    <n v="171.42857142857142"/>
    <s v="48oz"/>
    <n v="0.95"/>
    <n v="25080"/>
    <n v="213.68159999999997"/>
    <n v="162.85714285714283"/>
  </r>
  <r>
    <n v="67885723"/>
    <x v="16"/>
    <n v="3300"/>
    <d v="2023-11-20T00:00:00"/>
    <x v="304"/>
    <x v="13"/>
    <n v="8.5199999999999998E-3"/>
    <n v="28.116"/>
    <s v="BR"/>
    <x v="10"/>
    <x v="2"/>
    <s v="Q4"/>
    <n v="154"/>
    <n v="21.428571428571427"/>
    <s v="48oz"/>
    <n v="0.95"/>
    <n v="3135"/>
    <n v="26.710199999999997"/>
    <n v="20.357142857142854"/>
  </r>
  <r>
    <n v="67901593"/>
    <x v="16"/>
    <n v="45600"/>
    <d v="2023-11-20T00:00:00"/>
    <x v="68"/>
    <x v="32"/>
    <n v="8.5199999999999998E-3"/>
    <n v="388.512"/>
    <s v="BR"/>
    <x v="10"/>
    <x v="2"/>
    <s v="Q4"/>
    <n v="154"/>
    <n v="296.10389610389609"/>
    <s v="48oz"/>
    <n v="0.95"/>
    <n v="43320"/>
    <n v="369.08639999999997"/>
    <n v="281.29870129870125"/>
  </r>
  <r>
    <n v="69571484"/>
    <x v="16"/>
    <n v="99000"/>
    <d v="2023-11-01T00:00:00"/>
    <x v="230"/>
    <x v="5"/>
    <n v="1.2960000000000001E-2"/>
    <n v="1283.0400000000002"/>
    <s v="MG"/>
    <x v="10"/>
    <x v="5"/>
    <s v="Q4"/>
    <n v="493"/>
    <n v="200.81135902636916"/>
    <s v="MG Sticks"/>
    <n v="0.93"/>
    <n v="92070"/>
    <n v="1193.2272000000003"/>
    <n v="186.75456389452333"/>
  </r>
  <r>
    <n v="68821728"/>
    <x v="16"/>
    <n v="26400"/>
    <d v="2023-11-20T00:00:00"/>
    <x v="35"/>
    <x v="13"/>
    <n v="8.5199999999999998E-3"/>
    <n v="224.928"/>
    <s v="BR"/>
    <x v="10"/>
    <x v="2"/>
    <s v="Q4"/>
    <n v="176"/>
    <n v="150"/>
    <s v="48oz"/>
    <n v="0.95"/>
    <n v="25080"/>
    <n v="213.68159999999997"/>
    <n v="142.5"/>
  </r>
  <r>
    <n v="69555090"/>
    <x v="16"/>
    <n v="40000"/>
    <d v="2023-11-20T00:00:00"/>
    <x v="254"/>
    <x v="14"/>
    <n v="1.98E-3"/>
    <n v="79.2"/>
    <s v="TA"/>
    <x v="10"/>
    <x v="42"/>
    <s v="Q4"/>
    <n v="176"/>
    <n v="227.27272727272728"/>
    <s v="TAL NV"/>
    <n v="0.97"/>
    <n v="38800"/>
    <n v="76.823999999999998"/>
    <n v="220.45454545454547"/>
  </r>
  <r>
    <n v="69568828"/>
    <x v="16"/>
    <n v="23400"/>
    <d v="2023-11-20T00:00:00"/>
    <x v="12"/>
    <x v="2"/>
    <n v="8.5199999999999998E-3"/>
    <n v="199.36799999999999"/>
    <s v="BR"/>
    <x v="10"/>
    <x v="2"/>
    <s v="Q4"/>
    <n v="176"/>
    <n v="132.95454545454547"/>
    <s v="48oz"/>
    <n v="0.95"/>
    <n v="22230"/>
    <n v="189.39959999999999"/>
    <n v="126.30681818181819"/>
  </r>
  <r>
    <n v="69568963"/>
    <x v="16"/>
    <n v="26400"/>
    <d v="2023-11-20T00:00:00"/>
    <x v="94"/>
    <x v="13"/>
    <n v="8.5199999999999998E-3"/>
    <n v="224.928"/>
    <s v="BR"/>
    <x v="10"/>
    <x v="2"/>
    <s v="Q4"/>
    <n v="176"/>
    <n v="150"/>
    <s v="48oz"/>
    <n v="0.95"/>
    <n v="25080"/>
    <n v="213.68159999999997"/>
    <n v="142.5"/>
  </r>
  <r>
    <n v="69717803"/>
    <x v="16"/>
    <n v="20000"/>
    <d v="2023-11-20T00:00:00"/>
    <x v="69"/>
    <x v="31"/>
    <n v="4.2560000000000002E-3"/>
    <n v="85.12"/>
    <s v="BR"/>
    <x v="10"/>
    <x v="5"/>
    <s v="Q4"/>
    <n v="143"/>
    <n v="139.86013986013987"/>
    <s v="MG Sticks"/>
    <n v="0.93"/>
    <n v="18600"/>
    <n v="79.161600000000007"/>
    <n v="130.06993006993008"/>
  </r>
  <r>
    <n v="69778792"/>
    <x v="16"/>
    <n v="13500"/>
    <d v="2023-11-20T00:00:00"/>
    <x v="376"/>
    <x v="28"/>
    <n v="5.2680000000000001E-3"/>
    <n v="71.117999999999995"/>
    <s v="PS"/>
    <x v="10"/>
    <x v="14"/>
    <s v="Q4"/>
    <n v="130"/>
    <n v="103.84615384615384"/>
    <s v="PG"/>
    <n v="0.9"/>
    <n v="12150"/>
    <n v="64.006199999999993"/>
    <n v="93.461538461538453"/>
  </r>
  <r>
    <n v="84135718"/>
    <x v="18"/>
    <n v="105600"/>
    <d v="2023-11-20T00:00:00"/>
    <x v="147"/>
    <x v="38"/>
    <n v="3.7853439999999999E-3"/>
    <n v="399.73232639999998"/>
    <s v="BJ"/>
    <x v="10"/>
    <x v="36"/>
    <s v="Q4"/>
    <n v="240"/>
    <n v="440"/>
    <s v="BJ PTS"/>
    <n v="0.9"/>
    <n v="95040"/>
    <n v="359.75909375999998"/>
    <n v="396"/>
  </r>
  <r>
    <n v="84141103"/>
    <x v="18"/>
    <n v="0"/>
    <d v="2023-11-20T00:00:00"/>
    <x v="294"/>
    <x v="38"/>
    <n v="3.7853439999999999E-3"/>
    <n v="0"/>
    <s v="BJ"/>
    <x v="10"/>
    <x v="36"/>
    <s v="Q4"/>
    <n v="240"/>
    <n v="0"/>
    <s v="BJ PTS"/>
    <n v="0.9"/>
    <n v="0"/>
    <n v="0"/>
    <n v="0"/>
  </r>
  <r>
    <n v="67789313"/>
    <x v="17"/>
    <n v="102400"/>
    <d v="2023-11-20T00:00:00"/>
    <x v="169"/>
    <x v="35"/>
    <n v="3.7853439999999999E-3"/>
    <n v="387.61922559999999"/>
    <s v="BJ"/>
    <x v="10"/>
    <x v="15"/>
    <s v="Q4"/>
    <n v="240"/>
    <n v="426.66666666666669"/>
    <s v="BJ PTS"/>
    <n v="0.9"/>
    <n v="92160"/>
    <n v="348.85730303999998"/>
    <n v="384"/>
  </r>
  <r>
    <n v="67881629"/>
    <x v="17"/>
    <n v="41760"/>
    <d v="2023-11-20T00:00:00"/>
    <x v="65"/>
    <x v="33"/>
    <n v="3.7853439999999999E-3"/>
    <n v="158.07596544"/>
    <s v="BJ"/>
    <x v="10"/>
    <x v="15"/>
    <s v="Q4"/>
    <n v="240"/>
    <n v="174"/>
    <s v="BJ PTS"/>
    <n v="0.9"/>
    <n v="37584"/>
    <n v="142.268368896"/>
    <n v="156.6"/>
  </r>
  <r>
    <n v="69565377"/>
    <x v="17"/>
    <n v="30160"/>
    <d v="2023-11-20T00:00:00"/>
    <x v="138"/>
    <x v="35"/>
    <n v="3.7839999999999996E-3"/>
    <n v="114.12543999999998"/>
    <s v="BJ"/>
    <x v="10"/>
    <x v="15"/>
    <s v="Q4"/>
    <n v="240"/>
    <n v="125.66666666666667"/>
    <s v="BJ PTS"/>
    <n v="0.9"/>
    <n v="27144"/>
    <n v="102.71289599999999"/>
    <n v="113.10000000000001"/>
  </r>
  <r>
    <n v="84135758"/>
    <x v="17"/>
    <n v="32040"/>
    <d v="2023-11-20T00:00:00"/>
    <x v="130"/>
    <x v="33"/>
    <n v="1.4399999999999999E-3"/>
    <n v="46.137599999999999"/>
    <s v="BJ"/>
    <x v="10"/>
    <x v="16"/>
    <s v="Q4"/>
    <n v="510"/>
    <n v="62.823529411764703"/>
    <s v="B&amp;J Cups"/>
    <n v="0.85"/>
    <n v="27234"/>
    <n v="39.21696"/>
    <n v="53.4"/>
  </r>
  <r>
    <n v="84135795"/>
    <x v="17"/>
    <n v="25480"/>
    <d v="2023-11-20T00:00:00"/>
    <x v="265"/>
    <x v="35"/>
    <n v="9.0848256361922702E-3"/>
    <n v="231.48135721017906"/>
    <s v="BJ"/>
    <x v="10"/>
    <x v="39"/>
    <s v="Q4"/>
    <n v="125"/>
    <n v="203.84"/>
    <s v="2.4 Gal"/>
    <n v="0.85"/>
    <n v="21658"/>
    <n v="196.7591536286522"/>
    <n v="173.26400000000001"/>
  </r>
  <r>
    <n v="84138391"/>
    <x v="17"/>
    <n v="74240"/>
    <d v="2023-11-20T00:00:00"/>
    <x v="84"/>
    <x v="33"/>
    <n v="3.7853439999999999E-3"/>
    <n v="281.02393855999998"/>
    <s v="BJ"/>
    <x v="10"/>
    <x v="15"/>
    <s v="Q4"/>
    <n v="240"/>
    <n v="309.33333333333331"/>
    <s v="BJ PTS"/>
    <n v="0.9"/>
    <n v="66816"/>
    <n v="252.92154470399998"/>
    <n v="278.39999999999998"/>
  </r>
  <r>
    <n v="84141101"/>
    <x v="17"/>
    <n v="102400"/>
    <d v="2023-11-20T00:00:00"/>
    <x v="86"/>
    <x v="33"/>
    <n v="3.7853439999999999E-3"/>
    <n v="387.61922559999999"/>
    <s v="BJ"/>
    <x v="10"/>
    <x v="15"/>
    <s v="Q4"/>
    <n v="240"/>
    <n v="426.66666666666669"/>
    <s v="BJ PTS"/>
    <n v="0.9"/>
    <n v="92160"/>
    <n v="348.85730303999998"/>
    <n v="384"/>
  </r>
  <r>
    <n v="67885719"/>
    <x v="16"/>
    <n v="45600"/>
    <d v="2023-11-21T00:00:00"/>
    <x v="11"/>
    <x v="32"/>
    <n v="8.5199999999999998E-3"/>
    <n v="388.512"/>
    <s v="BR"/>
    <x v="10"/>
    <x v="2"/>
    <s v="Q4"/>
    <n v="154"/>
    <n v="296.10389610389609"/>
    <s v="48oz"/>
    <n v="0.95"/>
    <n v="43320"/>
    <n v="369.08639999999997"/>
    <n v="281.29870129870125"/>
  </r>
  <r>
    <n v="67885722"/>
    <x v="16"/>
    <n v="5700"/>
    <d v="2023-11-21T00:00:00"/>
    <x v="163"/>
    <x v="32"/>
    <n v="8.5199999999999998E-3"/>
    <n v="48.564"/>
    <s v="BR"/>
    <x v="10"/>
    <x v="2"/>
    <s v="Q4"/>
    <n v="154"/>
    <n v="37.012987012987011"/>
    <s v="48oz"/>
    <n v="0.95"/>
    <n v="5415"/>
    <n v="46.135799999999996"/>
    <n v="35.162337662337656"/>
  </r>
  <r>
    <n v="67908208"/>
    <x v="16"/>
    <n v="13500"/>
    <d v="2023-11-21T00:00:00"/>
    <x v="225"/>
    <x v="25"/>
    <n v="3.9039999999999999E-3"/>
    <n v="52.704000000000001"/>
    <s v="GH"/>
    <x v="10"/>
    <x v="11"/>
    <s v="Q4"/>
    <n v="154"/>
    <n v="87.662337662337663"/>
    <s v="MBG"/>
    <n v="0.87"/>
    <n v="11745"/>
    <n v="45.85248"/>
    <n v="76.266233766233768"/>
  </r>
  <r>
    <n v="68890247"/>
    <x v="16"/>
    <n v="26400"/>
    <d v="2023-11-21T00:00:00"/>
    <x v="243"/>
    <x v="2"/>
    <n v="8.5170239596469088E-6"/>
    <n v="0.2248494325346784"/>
    <s v="BR"/>
    <x v="10"/>
    <x v="2"/>
    <s v="Q4"/>
    <n v="176"/>
    <n v="150"/>
    <s v="48oz"/>
    <n v="0.95"/>
    <n v="25080"/>
    <n v="0.21360696090794448"/>
    <n v="142.5"/>
  </r>
  <r>
    <n v="68896052"/>
    <x v="16"/>
    <n v="26400"/>
    <d v="2023-11-21T00:00:00"/>
    <x v="36"/>
    <x v="2"/>
    <n v="8.5199999999999998E-3"/>
    <n v="224.928"/>
    <s v="BR"/>
    <x v="10"/>
    <x v="2"/>
    <s v="Q4"/>
    <n v="176"/>
    <n v="150"/>
    <s v="48oz"/>
    <n v="0.95"/>
    <n v="25080"/>
    <n v="213.68159999999997"/>
    <n v="142.5"/>
  </r>
  <r>
    <n v="68899825"/>
    <x v="16"/>
    <n v="23400"/>
    <d v="2023-11-21T00:00:00"/>
    <x v="77"/>
    <x v="32"/>
    <n v="8.5199999999999998E-3"/>
    <n v="199.36799999999999"/>
    <s v="BR"/>
    <x v="10"/>
    <x v="2"/>
    <s v="Q4"/>
    <n v="176"/>
    <n v="132.95454545454547"/>
    <s v="48oz"/>
    <n v="0.95"/>
    <n v="22230"/>
    <n v="189.39959999999999"/>
    <n v="126.30681818181819"/>
  </r>
  <r>
    <n v="69568962"/>
    <x v="16"/>
    <n v="23400"/>
    <d v="2023-11-21T00:00:00"/>
    <x v="121"/>
    <x v="32"/>
    <n v="8.5199999999999998E-3"/>
    <n v="199.36799999999999"/>
    <s v="BR"/>
    <x v="10"/>
    <x v="2"/>
    <s v="Q4"/>
    <n v="176"/>
    <n v="132.95454545454547"/>
    <s v="48oz"/>
    <n v="0.95"/>
    <n v="22230"/>
    <n v="189.39959999999999"/>
    <n v="126.30681818181819"/>
  </r>
  <r>
    <n v="69629468"/>
    <x v="16"/>
    <n v="13500"/>
    <d v="2023-11-21T00:00:00"/>
    <x v="30"/>
    <x v="30"/>
    <n v="5.2680000000000001E-3"/>
    <n v="71.117999999999995"/>
    <s v="PS"/>
    <x v="10"/>
    <x v="14"/>
    <s v="Q4"/>
    <n v="130"/>
    <n v="103.84615384615384"/>
    <s v="PG"/>
    <n v="0.9"/>
    <n v="12150"/>
    <n v="64.006199999999993"/>
    <n v="93.461538461538453"/>
  </r>
  <r>
    <n v="84135770"/>
    <x v="16"/>
    <n v="0"/>
    <d v="2023-11-21T00:00:00"/>
    <x v="277"/>
    <x v="15"/>
    <n v="3.7853439999999999E-3"/>
    <n v="0"/>
    <s v="BJ"/>
    <x v="10"/>
    <x v="30"/>
    <s v="Q4"/>
    <n v="240"/>
    <n v="0"/>
    <s v="BJ PTS"/>
    <n v="0.9"/>
    <n v="0"/>
    <n v="0"/>
    <n v="0"/>
  </r>
  <r>
    <n v="84141094"/>
    <x v="16"/>
    <n v="0"/>
    <d v="2023-11-21T00:00:00"/>
    <x v="107"/>
    <x v="15"/>
    <n v="3.7853439999999999E-3"/>
    <n v="0"/>
    <s v="BJ"/>
    <x v="10"/>
    <x v="30"/>
    <s v="Q4"/>
    <n v="240"/>
    <n v="0"/>
    <s v="BJ PTS"/>
    <n v="0.9"/>
    <n v="0"/>
    <n v="0"/>
    <n v="0"/>
  </r>
  <r>
    <n v="84164936"/>
    <x v="16"/>
    <n v="0"/>
    <d v="2023-11-21T00:00:00"/>
    <x v="162"/>
    <x v="15"/>
    <n v="3.7853439999999999E-3"/>
    <n v="0"/>
    <s v="BJ"/>
    <x v="10"/>
    <x v="30"/>
    <s v="Q4"/>
    <n v="240"/>
    <n v="0"/>
    <s v="BJ PTS"/>
    <n v="0.9"/>
    <n v="0"/>
    <n v="0"/>
    <n v="0"/>
  </r>
  <r>
    <n v="67466492"/>
    <x v="15"/>
    <n v="20250"/>
    <d v="2023-11-24T00:00:00"/>
    <x v="8"/>
    <x v="7"/>
    <n v="5.2680000000000001E-3"/>
    <n v="106.67700000000001"/>
    <s v="PS"/>
    <x v="10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1-26T00:00:00"/>
    <x v="8"/>
    <x v="8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7466492"/>
    <x v="15"/>
    <n v="23400"/>
    <d v="2023-11-26T00:00:00"/>
    <x v="8"/>
    <x v="10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7466492"/>
    <x v="15"/>
    <n v="23400"/>
    <d v="2023-11-26T00:00:00"/>
    <x v="8"/>
    <x v="6"/>
    <n v="5.2680000000000001E-3"/>
    <n v="123.27120000000001"/>
    <s v="PS"/>
    <x v="10"/>
    <x v="3"/>
    <s v="Q4"/>
    <n v="130"/>
    <n v="180"/>
    <s v="PG"/>
    <n v="0.9"/>
    <n v="21060"/>
    <n v="110.94408000000001"/>
    <n v="162"/>
  </r>
  <r>
    <n v="68869019"/>
    <x v="15"/>
    <n v="18000"/>
    <d v="2023-11-26T00:00:00"/>
    <x v="389"/>
    <x v="24"/>
    <n v="4.2560000000000002E-3"/>
    <n v="76.608000000000004"/>
    <s v="GH"/>
    <x v="10"/>
    <x v="4"/>
    <s v="Q4"/>
    <n v="140"/>
    <n v="128.57142857142858"/>
    <s v="MBG"/>
    <n v="0.87"/>
    <n v="15660"/>
    <n v="66.648960000000002"/>
    <n v="111.85714285714286"/>
  </r>
  <r>
    <n v="67465063"/>
    <x v="15"/>
    <n v="15413"/>
    <d v="2023-11-27T00:00:00"/>
    <x v="3"/>
    <x v="40"/>
    <n v="5.2680000000000001E-3"/>
    <n v="81.195684"/>
    <s v="PS"/>
    <x v="10"/>
    <x v="3"/>
    <s v="Q4"/>
    <n v="130"/>
    <n v="118.56153846153846"/>
    <s v="PG"/>
    <n v="0.9"/>
    <n v="13871.7"/>
    <n v="73.076115600000008"/>
    <n v="106.70538461538462"/>
  </r>
  <r>
    <n v="67465063"/>
    <x v="15"/>
    <n v="13500"/>
    <d v="2023-11-27T00:00:00"/>
    <x v="3"/>
    <x v="3"/>
    <n v="5.2680000000000001E-3"/>
    <n v="71.117999999999995"/>
    <s v="PS"/>
    <x v="10"/>
    <x v="3"/>
    <s v="Q4"/>
    <n v="130"/>
    <n v="103.84615384615384"/>
    <s v="PG"/>
    <n v="0.9"/>
    <n v="12150"/>
    <n v="64.006199999999993"/>
    <n v="93.461538461538453"/>
  </r>
  <r>
    <n v="67465064"/>
    <x v="15"/>
    <n v="1"/>
    <d v="2023-11-27T00:00:00"/>
    <x v="7"/>
    <x v="3"/>
    <n v="1.596E-3"/>
    <n v="1.596E-3"/>
    <s v="PS"/>
    <x v="10"/>
    <x v="3"/>
    <s v="Q4"/>
    <n v="130"/>
    <n v="7.6923076923076927E-3"/>
    <s v="PG"/>
    <n v="0.9"/>
    <n v="0.9"/>
    <n v="1.4364E-3"/>
    <n v="6.9230769230769233E-3"/>
  </r>
  <r>
    <n v="68741742"/>
    <x v="15"/>
    <n v="30000"/>
    <d v="2023-11-27T00:00:00"/>
    <x v="25"/>
    <x v="4"/>
    <n v="4.2560000000000002E-3"/>
    <n v="127.68"/>
    <s v="GH"/>
    <x v="10"/>
    <x v="4"/>
    <s v="Q4"/>
    <n v="154"/>
    <n v="194.80519480519482"/>
    <s v="MBG"/>
    <n v="0.87"/>
    <n v="26100"/>
    <n v="111.08160000000001"/>
    <n v="169.48051948051949"/>
  </r>
  <r>
    <n v="69629468"/>
    <x v="15"/>
    <n v="24000"/>
    <d v="2023-11-27T00:00:00"/>
    <x v="30"/>
    <x v="29"/>
    <n v="5.2680000000000001E-3"/>
    <n v="126.432"/>
    <s v="PS"/>
    <x v="10"/>
    <x v="3"/>
    <s v="Q4"/>
    <n v="130"/>
    <n v="184.61538461538461"/>
    <s v="PG"/>
    <n v="0.9"/>
    <n v="21600"/>
    <n v="113.78880000000001"/>
    <n v="166.15384615384616"/>
  </r>
  <r>
    <n v="69621212"/>
    <x v="16"/>
    <n v="35100"/>
    <d v="2023-11-27T00:00:00"/>
    <x v="29"/>
    <x v="28"/>
    <n v="5.2680000000000001E-3"/>
    <n v="184.9068"/>
    <s v="PG"/>
    <x v="10"/>
    <x v="14"/>
    <s v="Q4"/>
    <n v="130"/>
    <n v="270"/>
    <s v="PG"/>
    <n v="0.9"/>
    <n v="31590"/>
    <n v="166.41612000000001"/>
    <n v="243"/>
  </r>
  <r>
    <n v="69684522"/>
    <x v="16"/>
    <n v="27900"/>
    <d v="2023-11-27T00:00:00"/>
    <x v="31"/>
    <x v="31"/>
    <n v="4.2560000000000002E-3"/>
    <n v="118.7424"/>
    <s v="BR"/>
    <x v="10"/>
    <x v="5"/>
    <s v="Q4"/>
    <n v="143"/>
    <n v="195.10489510489509"/>
    <s v="MG Sticks"/>
    <n v="0.93"/>
    <n v="25947"/>
    <n v="110.43043200000001"/>
    <n v="181.44755244755245"/>
  </r>
  <r>
    <n v="84141102"/>
    <x v="18"/>
    <n v="0"/>
    <d v="2023-11-27T00:00:00"/>
    <x v="217"/>
    <x v="38"/>
    <n v="3.7853439999999999E-3"/>
    <n v="0"/>
    <s v="BJ"/>
    <x v="10"/>
    <x v="36"/>
    <s v="Q4"/>
    <n v="240"/>
    <n v="0"/>
    <s v="BJ PTS"/>
    <n v="0.9"/>
    <n v="0"/>
    <n v="0"/>
    <n v="0"/>
  </r>
  <r>
    <n v="84149990"/>
    <x v="18"/>
    <n v="21450"/>
    <d v="2023-11-27T00:00:00"/>
    <x v="168"/>
    <x v="33"/>
    <n v="3.7853439999999999E-3"/>
    <n v="81.195628799999994"/>
    <s v="BJ"/>
    <x v="10"/>
    <x v="40"/>
    <s v="Q4"/>
    <n v="240"/>
    <n v="89.375"/>
    <s v="PTS Exports"/>
    <n v="0.9"/>
    <n v="19305"/>
    <n v="73.076065919999991"/>
    <n v="80.4375"/>
  </r>
  <r>
    <n v="67430513"/>
    <x v="17"/>
    <n v="102400"/>
    <d v="2023-11-27T00:00:00"/>
    <x v="119"/>
    <x v="38"/>
    <n v="3.7839999999999996E-3"/>
    <n v="387.48159999999996"/>
    <s v="BJ"/>
    <x v="10"/>
    <x v="15"/>
    <s v="Q4"/>
    <n v="240"/>
    <n v="426.66666666666669"/>
    <s v="BJ PTS"/>
    <n v="0.9"/>
    <n v="92160"/>
    <n v="348.73343999999997"/>
    <n v="384"/>
  </r>
  <r>
    <n v="67596354"/>
    <x v="17"/>
    <n v="30140"/>
    <d v="2023-11-27T00:00:00"/>
    <x v="317"/>
    <x v="35"/>
    <n v="3.6640000000000002E-3"/>
    <n v="110.43296000000001"/>
    <s v="BJ"/>
    <x v="10"/>
    <x v="24"/>
    <s v="Q4"/>
    <n v="240"/>
    <n v="125.58333333333333"/>
    <s v="PTS Exports"/>
    <n v="0.9"/>
    <n v="27126"/>
    <n v="99.38966400000001"/>
    <n v="113.02499999999999"/>
  </r>
  <r>
    <n v="67803006"/>
    <x v="17"/>
    <n v="30160"/>
    <d v="2023-11-27T00:00:00"/>
    <x v="151"/>
    <x v="35"/>
    <n v="3.6640000000000002E-3"/>
    <n v="110.50624000000001"/>
    <s v="BJ"/>
    <x v="10"/>
    <x v="24"/>
    <s v="Q4"/>
    <n v="240"/>
    <n v="125.66666666666667"/>
    <s v="PTS Exports"/>
    <n v="0.9"/>
    <n v="27144"/>
    <n v="99.455616000000006"/>
    <n v="113.10000000000001"/>
  </r>
  <r>
    <n v="67881628"/>
    <x v="17"/>
    <n v="30160"/>
    <d v="2023-11-27T00:00:00"/>
    <x v="64"/>
    <x v="35"/>
    <n v="3.7853439999999999E-3"/>
    <n v="114.16597503999999"/>
    <s v="BJ"/>
    <x v="10"/>
    <x v="15"/>
    <s v="Q4"/>
    <n v="240"/>
    <n v="125.66666666666667"/>
    <s v="BJ PTS"/>
    <n v="0.9"/>
    <n v="27144"/>
    <n v="102.749377536"/>
    <n v="113.10000000000001"/>
  </r>
  <r>
    <n v="68938274"/>
    <x v="17"/>
    <n v="30160"/>
    <d v="2023-11-27T00:00:00"/>
    <x v="194"/>
    <x v="35"/>
    <n v="3.7839999999999996E-3"/>
    <n v="114.12543999999998"/>
    <s v="BJ"/>
    <x v="10"/>
    <x v="15"/>
    <s v="Q4"/>
    <n v="240"/>
    <n v="125.66666666666667"/>
    <s v="BJ PTS"/>
    <n v="0.9"/>
    <n v="27144"/>
    <n v="102.71289599999999"/>
    <n v="113.10000000000001"/>
  </r>
  <r>
    <n v="84138392"/>
    <x v="17"/>
    <n v="13920"/>
    <d v="2023-11-27T00:00:00"/>
    <x v="383"/>
    <x v="34"/>
    <n v="3.7839999999999996E-3"/>
    <n v="52.673279999999991"/>
    <s v="BJ"/>
    <x v="10"/>
    <x v="15"/>
    <s v="Q4"/>
    <n v="240"/>
    <n v="58"/>
    <s v="BJ PTS"/>
    <n v="0.9"/>
    <n v="12528"/>
    <n v="47.405951999999992"/>
    <n v="52.2"/>
  </r>
  <r>
    <n v="84144598"/>
    <x v="17"/>
    <n v="27840"/>
    <d v="2023-11-27T00:00:00"/>
    <x v="233"/>
    <x v="35"/>
    <n v="3.7853439999999999E-3"/>
    <n v="105.38397696"/>
    <s v="BJ"/>
    <x v="10"/>
    <x v="15"/>
    <s v="Q4"/>
    <n v="240"/>
    <n v="116"/>
    <s v="BJ PTS"/>
    <n v="0.9"/>
    <n v="25056"/>
    <n v="94.845579263999994"/>
    <n v="104.4"/>
  </r>
  <r>
    <n v="84150071"/>
    <x v="17"/>
    <n v="15130"/>
    <d v="2023-11-27T00:00:00"/>
    <x v="117"/>
    <x v="33"/>
    <n v="1.4384307203870285E-3"/>
    <n v="21.763456799455742"/>
    <s v="BJ"/>
    <x v="10"/>
    <x v="31"/>
    <s v="Q4"/>
    <n v="510"/>
    <n v="29.666666666666668"/>
    <s v="Cup Exports"/>
    <n v="0.85"/>
    <n v="12860.5"/>
    <n v="18.498938279537381"/>
    <n v="25.216666666666669"/>
  </r>
  <r>
    <n v="84151113"/>
    <x v="17"/>
    <n v="15130"/>
    <d v="2023-11-27T00:00:00"/>
    <x v="161"/>
    <x v="33"/>
    <n v="1.419504E-3"/>
    <n v="21.477095519999999"/>
    <s v="BJ"/>
    <x v="10"/>
    <x v="31"/>
    <s v="Q4"/>
    <n v="510"/>
    <n v="29.666666666666668"/>
    <s v="Cup Exports"/>
    <n v="0.85"/>
    <n v="12860.5"/>
    <n v="18.255531191999999"/>
    <n v="25.216666666666669"/>
  </r>
  <r>
    <n v="67908208"/>
    <x v="16"/>
    <n v="32400"/>
    <d v="2023-11-28T00:00:00"/>
    <x v="225"/>
    <x v="25"/>
    <n v="3.9039999999999999E-3"/>
    <n v="126.4896"/>
    <s v="GH"/>
    <x v="10"/>
    <x v="11"/>
    <s v="Q4"/>
    <n v="154"/>
    <n v="210.3896103896104"/>
    <s v="MBG"/>
    <n v="0.87"/>
    <n v="28188"/>
    <n v="110.045952"/>
    <n v="183.03896103896105"/>
  </r>
  <r>
    <n v="68649095"/>
    <x v="16"/>
    <n v="57000"/>
    <d v="2023-11-28T00:00:00"/>
    <x v="286"/>
    <x v="15"/>
    <n v="3.5999999999999999E-3"/>
    <n v="205.2"/>
    <s v="BJ"/>
    <x v="10"/>
    <x v="19"/>
    <s v="Q4"/>
    <n v="240"/>
    <n v="237.5"/>
    <s v="Topped"/>
    <n v="0.91"/>
    <n v="51870"/>
    <n v="186.732"/>
    <n v="216.125"/>
  </r>
  <r>
    <n v="68726896"/>
    <x v="16"/>
    <n v="27000"/>
    <d v="2023-11-28T00:00:00"/>
    <x v="280"/>
    <x v="22"/>
    <n v="3.7853440000000004E-3"/>
    <n v="102.20428800000001"/>
    <s v="TA"/>
    <x v="10"/>
    <x v="10"/>
    <s v="Q4"/>
    <n v="255"/>
    <n v="105.88235294117646"/>
    <s v="TALENTI"/>
    <n v="0.94"/>
    <n v="25380"/>
    <n v="96.072030720000001"/>
    <n v="99.52941176470587"/>
  </r>
  <r>
    <n v="68730257"/>
    <x v="16"/>
    <n v="91200"/>
    <d v="2023-11-28T00:00:00"/>
    <x v="75"/>
    <x v="21"/>
    <n v="3.7853440000000004E-3"/>
    <n v="345.22337280000005"/>
    <s v="TA"/>
    <x v="10"/>
    <x v="10"/>
    <s v="Q4"/>
    <n v="255"/>
    <n v="357.64705882352939"/>
    <s v="TALENTI"/>
    <n v="0.94"/>
    <n v="85728"/>
    <n v="324.50997043200005"/>
    <n v="336.18823529411759"/>
  </r>
  <r>
    <n v="69554197"/>
    <x v="16"/>
    <n v="22800"/>
    <d v="2023-11-28T00:00:00"/>
    <x v="15"/>
    <x v="15"/>
    <n v="3.7839999999999996E-3"/>
    <n v="86.275199999999984"/>
    <s v="BR"/>
    <x v="10"/>
    <x v="7"/>
    <s v="Q4"/>
    <n v="240"/>
    <n v="95"/>
    <s v="PTS"/>
    <n v="0.95"/>
    <n v="21660"/>
    <n v="81.961439999999982"/>
    <n v="90.25"/>
  </r>
  <r>
    <n v="69629468"/>
    <x v="16"/>
    <n v="32400"/>
    <d v="2023-11-28T00:00:00"/>
    <x v="30"/>
    <x v="30"/>
    <n v="5.2680000000000001E-3"/>
    <n v="170.6832"/>
    <s v="PS"/>
    <x v="10"/>
    <x v="14"/>
    <s v="Q4"/>
    <n v="130"/>
    <n v="249.23076923076923"/>
    <s v="PG"/>
    <n v="0.9"/>
    <n v="29160"/>
    <n v="153.61488"/>
    <n v="224.30769230769232"/>
  </r>
  <r>
    <n v="69677917"/>
    <x v="16"/>
    <n v="1"/>
    <d v="2023-11-28T00:00:00"/>
    <x v="30"/>
    <x v="30"/>
    <n v="5.2680000000000001E-3"/>
    <n v="5.2680000000000001E-3"/>
    <s v="PS"/>
    <x v="10"/>
    <x v="14"/>
    <s v="Q4"/>
    <n v="108"/>
    <n v="9.2592592592592587E-3"/>
    <s v="PG"/>
    <n v="0.9"/>
    <n v="0.9"/>
    <n v="4.7412000000000001E-3"/>
    <n v="8.3333333333333332E-3"/>
  </r>
  <r>
    <n v="69691903"/>
    <x v="16"/>
    <n v="57000"/>
    <d v="2023-11-28T00:00:00"/>
    <x v="172"/>
    <x v="21"/>
    <n v="3.7839999999999996E-3"/>
    <n v="215.68799999999999"/>
    <s v="TA"/>
    <x v="10"/>
    <x v="10"/>
    <s v="Q4"/>
    <n v="255"/>
    <n v="223.52941176470588"/>
    <s v="TALENTI"/>
    <n v="0.94"/>
    <n v="53580"/>
    <n v="202.74671999999998"/>
    <n v="210.11764705882351"/>
  </r>
  <r>
    <n v="84141094"/>
    <x v="16"/>
    <n v="0"/>
    <d v="2023-11-28T00:00:00"/>
    <x v="107"/>
    <x v="15"/>
    <n v="3.7853439999999999E-3"/>
    <n v="0"/>
    <s v="BJ"/>
    <x v="10"/>
    <x v="30"/>
    <s v="Q4"/>
    <n v="240"/>
    <n v="0"/>
    <s v="BJ PTS"/>
    <n v="0.9"/>
    <n v="0"/>
    <n v="0"/>
    <n v="0"/>
  </r>
  <r>
    <n v="67466492"/>
    <x v="15"/>
    <n v="20250"/>
    <d v="2023-12-01T00:00:00"/>
    <x v="8"/>
    <x v="7"/>
    <n v="5.2680000000000001E-3"/>
    <n v="106.67700000000001"/>
    <s v="PS"/>
    <x v="11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2-03T00:00:00"/>
    <x v="8"/>
    <x v="8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7466492"/>
    <x v="15"/>
    <n v="23400"/>
    <d v="2023-12-03T00:00:00"/>
    <x v="8"/>
    <x v="10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7466492"/>
    <x v="15"/>
    <n v="23400"/>
    <d v="2023-12-03T00:00:00"/>
    <x v="8"/>
    <x v="6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8869019"/>
    <x v="15"/>
    <n v="18000"/>
    <d v="2023-12-03T00:00:00"/>
    <x v="389"/>
    <x v="24"/>
    <n v="4.2560000000000002E-3"/>
    <n v="76.608000000000004"/>
    <s v="GH"/>
    <x v="11"/>
    <x v="4"/>
    <s v="Q4"/>
    <n v="140"/>
    <n v="128.57142857142858"/>
    <s v="MBG"/>
    <n v="0.87"/>
    <n v="15660"/>
    <n v="66.648960000000002"/>
    <n v="111.85714285714286"/>
  </r>
  <r>
    <n v="67309843"/>
    <x v="15"/>
    <n v="25200"/>
    <d v="2023-12-04T00:00:00"/>
    <x v="88"/>
    <x v="11"/>
    <n v="8.5199999999999998E-3"/>
    <n v="214.70400000000001"/>
    <s v="BR"/>
    <x v="11"/>
    <x v="6"/>
    <s v="Q4"/>
    <n v="154"/>
    <n v="163.63636363636363"/>
    <s v="48oz"/>
    <n v="0.95"/>
    <n v="23940"/>
    <n v="203.96879999999999"/>
    <n v="155.45454545454544"/>
  </r>
  <r>
    <n v="67465063"/>
    <x v="15"/>
    <n v="15413"/>
    <d v="2023-12-04T00:00:00"/>
    <x v="3"/>
    <x v="40"/>
    <n v="5.2680000000000001E-3"/>
    <n v="81.195684"/>
    <s v="PS"/>
    <x v="11"/>
    <x v="3"/>
    <s v="Q4"/>
    <n v="130"/>
    <n v="118.56153846153846"/>
    <s v="PG"/>
    <n v="0.9"/>
    <n v="13871.7"/>
    <n v="73.076115600000008"/>
    <n v="106.70538461538462"/>
  </r>
  <r>
    <n v="67465063"/>
    <x v="15"/>
    <n v="13500"/>
    <d v="2023-12-04T00:00:00"/>
    <x v="3"/>
    <x v="3"/>
    <n v="5.2680000000000001E-3"/>
    <n v="71.117999999999995"/>
    <s v="PS"/>
    <x v="11"/>
    <x v="3"/>
    <s v="Q4"/>
    <n v="130"/>
    <n v="103.84615384615384"/>
    <s v="PG"/>
    <n v="0.9"/>
    <n v="12150"/>
    <n v="64.006199999999993"/>
    <n v="93.461538461538453"/>
  </r>
  <r>
    <n v="67885720"/>
    <x v="15"/>
    <n v="2850"/>
    <d v="2023-12-04T00:00:00"/>
    <x v="39"/>
    <x v="12"/>
    <n v="8.5199999999999998E-3"/>
    <n v="24.282"/>
    <s v="BR"/>
    <x v="11"/>
    <x v="6"/>
    <s v="Q4"/>
    <n v="154"/>
    <n v="18.506493506493506"/>
    <s v="48oz"/>
    <n v="0.95"/>
    <n v="2707.5"/>
    <n v="23.067899999999998"/>
    <n v="17.581168831168828"/>
  </r>
  <r>
    <n v="67885721"/>
    <x v="15"/>
    <n v="25200"/>
    <d v="2023-12-04T00:00:00"/>
    <x v="40"/>
    <x v="11"/>
    <n v="8.5199999999999998E-3"/>
    <n v="214.70400000000001"/>
    <s v="BR"/>
    <x v="11"/>
    <x v="6"/>
    <s v="Q4"/>
    <n v="154"/>
    <n v="163.63636363636363"/>
    <s v="48oz"/>
    <n v="0.95"/>
    <n v="23940"/>
    <n v="203.96879999999999"/>
    <n v="155.45454545454544"/>
  </r>
  <r>
    <n v="67885721"/>
    <x v="15"/>
    <n v="20400"/>
    <d v="2023-12-04T00:00:00"/>
    <x v="40"/>
    <x v="16"/>
    <n v="8.5199999999999998E-3"/>
    <n v="173.80799999999999"/>
    <s v="BR"/>
    <x v="11"/>
    <x v="6"/>
    <s v="Q4"/>
    <n v="154"/>
    <n v="132.46753246753246"/>
    <s v="48oz"/>
    <n v="0.95"/>
    <n v="19380"/>
    <n v="165.11759999999998"/>
    <n v="125.84415584415584"/>
  </r>
  <r>
    <n v="68737749"/>
    <x v="15"/>
    <n v="25200"/>
    <d v="2023-12-04T00:00:00"/>
    <x v="23"/>
    <x v="23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741742"/>
    <x v="15"/>
    <n v="30000"/>
    <d v="2023-12-04T00:00:00"/>
    <x v="25"/>
    <x v="4"/>
    <n v="4.2560000000000002E-3"/>
    <n v="127.68"/>
    <s v="GH"/>
    <x v="11"/>
    <x v="4"/>
    <s v="Q4"/>
    <n v="154"/>
    <n v="194.80519480519482"/>
    <s v="MBG"/>
    <n v="0.87"/>
    <n v="26100"/>
    <n v="111.08160000000001"/>
    <n v="169.48051948051949"/>
  </r>
  <r>
    <n v="68769685"/>
    <x v="15"/>
    <n v="25200"/>
    <d v="2023-12-04T00:00:00"/>
    <x v="259"/>
    <x v="23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881272"/>
    <x v="15"/>
    <n v="20400"/>
    <d v="2023-12-04T00:00:00"/>
    <x v="124"/>
    <x v="16"/>
    <n v="8.5199999999999998E-3"/>
    <n v="173.80799999999999"/>
    <s v="BR"/>
    <x v="11"/>
    <x v="6"/>
    <s v="Q4"/>
    <n v="154"/>
    <n v="132.46753246753246"/>
    <s v="48oz"/>
    <n v="0.95"/>
    <n v="19380"/>
    <n v="165.11759999999998"/>
    <n v="125.84415584415584"/>
  </r>
  <r>
    <n v="68896054"/>
    <x v="15"/>
    <n v="20400"/>
    <d v="2023-12-04T00:00:00"/>
    <x v="181"/>
    <x v="16"/>
    <n v="8.5199999999999998E-3"/>
    <n v="173.80799999999999"/>
    <s v="BR"/>
    <x v="11"/>
    <x v="6"/>
    <s v="Q4"/>
    <n v="176"/>
    <n v="115.90909090909091"/>
    <s v="48oz"/>
    <n v="0.95"/>
    <n v="19380"/>
    <n v="165.11759999999998"/>
    <n v="110.11363636363636"/>
  </r>
  <r>
    <n v="68930545"/>
    <x v="15"/>
    <n v="22800"/>
    <d v="2023-12-04T00:00:00"/>
    <x v="93"/>
    <x v="12"/>
    <n v="8.5199999999999998E-3"/>
    <n v="194.256"/>
    <s v="BR"/>
    <x v="11"/>
    <x v="6"/>
    <s v="Q4"/>
    <n v="176"/>
    <n v="129.54545454545453"/>
    <s v="48oz"/>
    <n v="0.95"/>
    <n v="21660"/>
    <n v="184.54319999999998"/>
    <n v="123.0681818181818"/>
  </r>
  <r>
    <n v="69568829"/>
    <x v="15"/>
    <n v="22800"/>
    <d v="2023-12-04T00:00:00"/>
    <x v="66"/>
    <x v="12"/>
    <n v="8.5199999999999998E-3"/>
    <n v="194.256"/>
    <s v="BR"/>
    <x v="11"/>
    <x v="6"/>
    <s v="Q4"/>
    <n v="176"/>
    <n v="129.54545454545453"/>
    <s v="48oz"/>
    <n v="0.95"/>
    <n v="21660"/>
    <n v="184.54319999999998"/>
    <n v="123.0681818181818"/>
  </r>
  <r>
    <n v="69629468"/>
    <x v="15"/>
    <n v="24000"/>
    <d v="2023-12-04T00:00:00"/>
    <x v="30"/>
    <x v="29"/>
    <n v="5.2680000000000001E-3"/>
    <n v="126.432"/>
    <s v="PS"/>
    <x v="11"/>
    <x v="3"/>
    <s v="Q4"/>
    <n v="130"/>
    <n v="184.61538461538461"/>
    <s v="PG"/>
    <n v="0.9"/>
    <n v="21600"/>
    <n v="113.78880000000001"/>
    <n v="166.15384615384616"/>
  </r>
  <r>
    <n v="67309841"/>
    <x v="16"/>
    <n v="26400"/>
    <d v="2023-12-04T00:00:00"/>
    <x v="32"/>
    <x v="13"/>
    <n v="8.5199999999999998E-3"/>
    <n v="224.928"/>
    <s v="BR"/>
    <x v="11"/>
    <x v="2"/>
    <s v="Q4"/>
    <n v="154"/>
    <n v="171.42857142857142"/>
    <s v="48oz"/>
    <n v="0.95"/>
    <n v="25080"/>
    <n v="213.68159999999997"/>
    <n v="162.85714285714283"/>
  </r>
  <r>
    <n v="67901589"/>
    <x v="16"/>
    <n v="45600"/>
    <d v="2023-12-04T00:00:00"/>
    <x v="220"/>
    <x v="32"/>
    <n v="8.5199999999999998E-3"/>
    <n v="388.512"/>
    <s v="BR"/>
    <x v="11"/>
    <x v="2"/>
    <s v="Q4"/>
    <n v="154"/>
    <n v="296.10389610389609"/>
    <s v="48oz"/>
    <n v="0.95"/>
    <n v="43320"/>
    <n v="369.08639999999997"/>
    <n v="281.29870129870125"/>
  </r>
  <r>
    <n v="67901592"/>
    <x v="16"/>
    <n v="5700"/>
    <d v="2023-12-04T00:00:00"/>
    <x v="240"/>
    <x v="32"/>
    <n v="8.5199999999999998E-3"/>
    <n v="48.564"/>
    <s v="BR"/>
    <x v="11"/>
    <x v="2"/>
    <s v="Q4"/>
    <n v="154"/>
    <n v="37.012987012987011"/>
    <s v="48oz"/>
    <n v="0.95"/>
    <n v="5415"/>
    <n v="46.135799999999996"/>
    <n v="35.162337662337656"/>
  </r>
  <r>
    <n v="68817793"/>
    <x v="16"/>
    <n v="26400"/>
    <d v="2023-12-04T00:00:00"/>
    <x v="48"/>
    <x v="2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8817801"/>
    <x v="16"/>
    <n v="26400"/>
    <d v="2023-12-04T00:00:00"/>
    <x v="183"/>
    <x v="2"/>
    <n v="8.4600000000000005E-3"/>
    <n v="223.34400000000002"/>
    <s v="BR"/>
    <x v="11"/>
    <x v="2"/>
    <s v="Q4"/>
    <n v="176"/>
    <n v="150"/>
    <s v="48oz"/>
    <n v="0.95"/>
    <n v="25080"/>
    <n v="212.17680000000001"/>
    <n v="142.5"/>
  </r>
  <r>
    <n v="68821733"/>
    <x v="16"/>
    <n v="26400"/>
    <d v="2023-12-04T00:00:00"/>
    <x v="13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568963"/>
    <x v="16"/>
    <n v="26400"/>
    <d v="2023-12-04T00:00:00"/>
    <x v="94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621212"/>
    <x v="16"/>
    <n v="35100"/>
    <d v="2023-12-04T00:00:00"/>
    <x v="29"/>
    <x v="28"/>
    <n v="5.2680000000000001E-3"/>
    <n v="184.9068"/>
    <s v="PG"/>
    <x v="11"/>
    <x v="14"/>
    <s v="Q4"/>
    <n v="130"/>
    <n v="270"/>
    <s v="PG"/>
    <n v="0.9"/>
    <n v="31590"/>
    <n v="166.41612000000001"/>
    <n v="243"/>
  </r>
  <r>
    <n v="69706147"/>
    <x v="16"/>
    <n v="35700"/>
    <d v="2023-12-04T00:00:00"/>
    <x v="195"/>
    <x v="31"/>
    <n v="3.8999999999999998E-3"/>
    <n v="139.22999999999999"/>
    <s v="TA"/>
    <x v="11"/>
    <x v="42"/>
    <s v="Q4"/>
    <n v="176"/>
    <n v="202.84090909090909"/>
    <s v="TAL NV"/>
    <n v="0.97"/>
    <n v="34629"/>
    <n v="135.05309999999997"/>
    <n v="196.75568181818181"/>
  </r>
  <r>
    <n v="67794169"/>
    <x v="18"/>
    <n v="105600"/>
    <d v="2023-12-04T00:00:00"/>
    <x v="33"/>
    <x v="35"/>
    <n v="3.7853439999999999E-3"/>
    <n v="399.73232639999998"/>
    <s v="BJ"/>
    <x v="11"/>
    <x v="36"/>
    <s v="Q4"/>
    <n v="240"/>
    <n v="440"/>
    <s v="BJ PTS"/>
    <n v="0.9"/>
    <n v="95040"/>
    <n v="359.75909375999998"/>
    <n v="396"/>
  </r>
  <r>
    <n v="84135718"/>
    <x v="18"/>
    <n v="105600"/>
    <d v="2023-12-04T00:00:00"/>
    <x v="147"/>
    <x v="38"/>
    <n v="3.7853439999999999E-3"/>
    <n v="399.73232639999998"/>
    <s v="BJ"/>
    <x v="11"/>
    <x v="36"/>
    <s v="Q4"/>
    <n v="240"/>
    <n v="440"/>
    <s v="BJ PTS"/>
    <n v="0.9"/>
    <n v="95040"/>
    <n v="359.75909375999998"/>
    <n v="396"/>
  </r>
  <r>
    <n v="67278365"/>
    <x v="17"/>
    <n v="6240"/>
    <d v="2023-12-04T00:00:00"/>
    <x v="351"/>
    <x v="35"/>
    <n v="9.0848256361922702E-3"/>
    <n v="56.689311969839764"/>
    <s v="BJ"/>
    <x v="11"/>
    <x v="39"/>
    <s v="Q4"/>
    <n v="125"/>
    <n v="49.92"/>
    <s v="2.4 Gal"/>
    <n v="0.85"/>
    <n v="5304"/>
    <n v="48.185915174363799"/>
    <n v="42.432000000000002"/>
  </r>
  <r>
    <n v="67278448"/>
    <x v="17"/>
    <n v="34800"/>
    <d v="2023-12-04T00:00:00"/>
    <x v="182"/>
    <x v="33"/>
    <n v="3.7839999999999996E-3"/>
    <n v="131.6832"/>
    <s v="BJ"/>
    <x v="11"/>
    <x v="15"/>
    <s v="Q4"/>
    <n v="240"/>
    <n v="145"/>
    <s v="BJ PTS"/>
    <n v="0.9"/>
    <n v="31320"/>
    <n v="118.51488000000001"/>
    <n v="130.5"/>
  </r>
  <r>
    <n v="67526826"/>
    <x v="17"/>
    <n v="30160"/>
    <d v="2023-12-04T00:00:00"/>
    <x v="187"/>
    <x v="33"/>
    <n v="3.7839999999999996E-3"/>
    <n v="114.12543999999998"/>
    <s v="BJ"/>
    <x v="11"/>
    <x v="15"/>
    <s v="Q4"/>
    <n v="240"/>
    <n v="125.66666666666667"/>
    <s v="BJ PTS"/>
    <n v="0.9"/>
    <n v="27144"/>
    <n v="102.71289599999999"/>
    <n v="113.10000000000001"/>
  </r>
  <r>
    <n v="67789314"/>
    <x v="17"/>
    <n v="46400"/>
    <d v="2023-12-04T00:00:00"/>
    <x v="152"/>
    <x v="35"/>
    <n v="3.7853439999999999E-3"/>
    <n v="175.63996159999999"/>
    <s v="BJ"/>
    <x v="11"/>
    <x v="15"/>
    <s v="Q4"/>
    <n v="240"/>
    <n v="193.33333333333334"/>
    <s v="BJ PTS"/>
    <n v="0.9"/>
    <n v="41760"/>
    <n v="158.07596544"/>
    <n v="174"/>
  </r>
  <r>
    <n v="67905834"/>
    <x v="17"/>
    <n v="28800"/>
    <d v="2023-12-04T00:00:00"/>
    <x v="201"/>
    <x v="35"/>
    <n v="3.7839999999999996E-3"/>
    <n v="108.97919999999999"/>
    <s v="BJ"/>
    <x v="11"/>
    <x v="15"/>
    <s v="Q4"/>
    <n v="240"/>
    <n v="120"/>
    <s v="BJ PTS"/>
    <n v="0.9"/>
    <n v="25920"/>
    <n v="98.081279999999992"/>
    <n v="108"/>
  </r>
  <r>
    <n v="68454511"/>
    <x v="17"/>
    <n v="8900"/>
    <d v="2023-12-04T00:00:00"/>
    <x v="143"/>
    <x v="35"/>
    <n v="3.8999999999999998E-3"/>
    <n v="34.71"/>
    <s v="BJ"/>
    <x v="11"/>
    <x v="25"/>
    <s v="Q4"/>
    <n v="510"/>
    <n v="17.450980392156861"/>
    <s v="B&amp;J Dog Treat"/>
    <n v="0.85"/>
    <n v="7565"/>
    <n v="29.503499999999999"/>
    <n v="14.833333333333332"/>
  </r>
  <r>
    <n v="68575291"/>
    <x v="17"/>
    <n v="13920"/>
    <d v="2023-12-04T00:00:00"/>
    <x v="361"/>
    <x v="33"/>
    <n v="3.7853439999999999E-3"/>
    <n v="52.691988479999999"/>
    <s v="BJ"/>
    <x v="11"/>
    <x v="15"/>
    <s v="Q4"/>
    <n v="240"/>
    <n v="58"/>
    <s v="BJ PTS"/>
    <n v="0.9"/>
    <n v="12528"/>
    <n v="47.422789631999997"/>
    <n v="52.2"/>
  </r>
  <r>
    <n v="84139971"/>
    <x v="17"/>
    <n v="6240"/>
    <d v="2023-12-04T00:00:00"/>
    <x v="329"/>
    <x v="35"/>
    <n v="9.0848256361922702E-3"/>
    <n v="56.689311969839764"/>
    <s v="BJ"/>
    <x v="11"/>
    <x v="39"/>
    <s v="Q4"/>
    <n v="125"/>
    <n v="49.92"/>
    <s v="2.4 Gal"/>
    <n v="0.85"/>
    <n v="5304"/>
    <n v="48.185915174363799"/>
    <n v="42.432000000000002"/>
  </r>
  <r>
    <n v="84141113"/>
    <x v="17"/>
    <n v="10680"/>
    <d v="2023-12-04T00:00:00"/>
    <x v="257"/>
    <x v="33"/>
    <n v="1.419504E-3"/>
    <n v="15.160302720000001"/>
    <s v="BJ"/>
    <x v="11"/>
    <x v="16"/>
    <s v="Q4"/>
    <n v="510"/>
    <n v="20.941176470588236"/>
    <s v="B&amp;J Cups"/>
    <n v="0.85"/>
    <n v="9078"/>
    <n v="12.886257312"/>
    <n v="17.8"/>
  </r>
  <r>
    <n v="67885717"/>
    <x v="16"/>
    <n v="5700"/>
    <d v="2023-12-05T00:00:00"/>
    <x v="38"/>
    <x v="32"/>
    <n v="8.5199999999999998E-3"/>
    <n v="48.564"/>
    <s v="BR"/>
    <x v="11"/>
    <x v="2"/>
    <s v="Q4"/>
    <n v="154"/>
    <n v="37.012987012987011"/>
    <s v="48oz"/>
    <n v="0.95"/>
    <n v="5415"/>
    <n v="46.135799999999996"/>
    <n v="35.162337662337656"/>
  </r>
  <r>
    <n v="67885719"/>
    <x v="16"/>
    <n v="45600"/>
    <d v="2023-12-05T00:00:00"/>
    <x v="11"/>
    <x v="32"/>
    <n v="8.5199999999999998E-3"/>
    <n v="388.512"/>
    <s v="BR"/>
    <x v="11"/>
    <x v="2"/>
    <s v="Q4"/>
    <n v="154"/>
    <n v="296.10389610389609"/>
    <s v="48oz"/>
    <n v="0.95"/>
    <n v="43320"/>
    <n v="369.08639999999997"/>
    <n v="281.29870129870125"/>
  </r>
  <r>
    <n v="67908208"/>
    <x v="16"/>
    <n v="32400"/>
    <d v="2023-12-05T00:00:00"/>
    <x v="225"/>
    <x v="25"/>
    <n v="3.9039999999999999E-3"/>
    <n v="126.4896"/>
    <s v="GH"/>
    <x v="11"/>
    <x v="11"/>
    <s v="Q4"/>
    <n v="154"/>
    <n v="210.3896103896104"/>
    <s v="MBG"/>
    <n v="0.87"/>
    <n v="28188"/>
    <n v="110.045952"/>
    <n v="183.03896103896105"/>
  </r>
  <r>
    <n v="68117572"/>
    <x v="16"/>
    <n v="1"/>
    <d v="2023-12-05T00:00:00"/>
    <x v="31"/>
    <x v="45"/>
    <n v="4.2560000000000002E-3"/>
    <n v="4.2560000000000002E-3"/>
    <s v="BR"/>
    <x v="11"/>
    <x v="5"/>
    <s v="Q4"/>
    <n v="143"/>
    <n v="6.993006993006993E-3"/>
    <s v="MG Sticks"/>
    <n v="0.93"/>
    <n v="0.93"/>
    <n v="3.9580800000000001E-3"/>
    <n v="6.5034965034965041E-3"/>
  </r>
  <r>
    <n v="68117573"/>
    <x v="16"/>
    <n v="1"/>
    <d v="2023-12-05T00:00:00"/>
    <x v="160"/>
    <x v="45"/>
    <n v="4.2560000000000002E-3"/>
    <n v="4.2560000000000002E-3"/>
    <s v="BR"/>
    <x v="11"/>
    <x v="5"/>
    <s v="Q4"/>
    <n v="143"/>
    <n v="6.993006993006993E-3"/>
    <s v="MG Sticks"/>
    <n v="0.93"/>
    <n v="0.93"/>
    <n v="3.9580800000000001E-3"/>
    <n v="6.5034965034965041E-3"/>
  </r>
  <r>
    <n v="68117574"/>
    <x v="16"/>
    <n v="1"/>
    <d v="2023-12-05T00:00:00"/>
    <x v="69"/>
    <x v="45"/>
    <n v="4.2560000000000002E-3"/>
    <n v="4.2560000000000002E-3"/>
    <s v="BR"/>
    <x v="11"/>
    <x v="5"/>
    <s v="Q4"/>
    <n v="143"/>
    <n v="6.993006993006993E-3"/>
    <s v="MG Sticks"/>
    <n v="0.93"/>
    <n v="0.93"/>
    <n v="3.9580800000000001E-3"/>
    <n v="6.5034965034965041E-3"/>
  </r>
  <r>
    <n v="68527303"/>
    <x v="16"/>
    <n v="57000"/>
    <d v="2023-12-05T00:00:00"/>
    <x v="156"/>
    <x v="15"/>
    <n v="3.7839999999999996E-3"/>
    <n v="215.68799999999999"/>
    <s v="BR"/>
    <x v="11"/>
    <x v="7"/>
    <s v="Q4"/>
    <n v="240"/>
    <n v="237.5"/>
    <s v="PTS"/>
    <n v="0.95"/>
    <n v="54150"/>
    <n v="204.90359999999998"/>
    <n v="225.625"/>
  </r>
  <r>
    <n v="68726916"/>
    <x v="16"/>
    <n v="91200"/>
    <d v="2023-12-05T00:00:00"/>
    <x v="43"/>
    <x v="21"/>
    <n v="3.7853440000000004E-3"/>
    <n v="345.22337280000005"/>
    <s v="TA"/>
    <x v="11"/>
    <x v="10"/>
    <s v="Q4"/>
    <n v="255"/>
    <n v="357.64705882352939"/>
    <s v="TALENTI"/>
    <n v="0.94"/>
    <n v="85728"/>
    <n v="324.50997043200005"/>
    <n v="336.18823529411759"/>
  </r>
  <r>
    <n v="68728342"/>
    <x v="16"/>
    <n v="40000"/>
    <d v="2023-12-05T00:00:00"/>
    <x v="44"/>
    <x v="22"/>
    <n v="3.7853439999999999E-3"/>
    <n v="151.41376"/>
    <s v="TA"/>
    <x v="11"/>
    <x v="10"/>
    <s v="Q4"/>
    <n v="255"/>
    <n v="156.86274509803923"/>
    <s v="TALENTI"/>
    <n v="0.94"/>
    <n v="37600"/>
    <n v="142.32893439999998"/>
    <n v="147.45098039215688"/>
  </r>
  <r>
    <n v="69564623"/>
    <x v="16"/>
    <n v="26400"/>
    <d v="2023-12-05T00:00:00"/>
    <x v="238"/>
    <x v="2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568964"/>
    <x v="16"/>
    <n v="23400"/>
    <d v="2023-12-05T00:00:00"/>
    <x v="134"/>
    <x v="32"/>
    <n v="8.5199999999999998E-3"/>
    <n v="199.36799999999999"/>
    <s v="BR"/>
    <x v="11"/>
    <x v="2"/>
    <s v="Q4"/>
    <n v="176"/>
    <n v="132.95454545454547"/>
    <s v="48oz"/>
    <n v="0.95"/>
    <n v="22230"/>
    <n v="189.39959999999999"/>
    <n v="126.30681818181819"/>
  </r>
  <r>
    <n v="69629468"/>
    <x v="16"/>
    <n v="32400"/>
    <d v="2023-12-05T00:00:00"/>
    <x v="30"/>
    <x v="30"/>
    <n v="5.2680000000000001E-3"/>
    <n v="170.6832"/>
    <s v="PS"/>
    <x v="11"/>
    <x v="14"/>
    <s v="Q4"/>
    <n v="130"/>
    <n v="249.23076923076923"/>
    <s v="PG"/>
    <n v="0.9"/>
    <n v="29160"/>
    <n v="153.61488"/>
    <n v="224.30769230769232"/>
  </r>
  <r>
    <n v="69691774"/>
    <x v="16"/>
    <n v="25000"/>
    <d v="2023-12-05T00:00:00"/>
    <x v="185"/>
    <x v="22"/>
    <n v="3.7839999999999996E-3"/>
    <n v="94.6"/>
    <s v="TA"/>
    <x v="11"/>
    <x v="10"/>
    <s v="Q4"/>
    <n v="255"/>
    <n v="98.039215686274517"/>
    <s v="TALENTI"/>
    <n v="0.94"/>
    <n v="23500"/>
    <n v="88.923999999999992"/>
    <n v="92.156862745098039"/>
  </r>
  <r>
    <n v="69691816"/>
    <x v="16"/>
    <n v="57000"/>
    <d v="2023-12-05T00:00:00"/>
    <x v="139"/>
    <x v="21"/>
    <n v="3.7839999999999996E-3"/>
    <n v="215.68799999999999"/>
    <s v="TA"/>
    <x v="11"/>
    <x v="10"/>
    <s v="Q4"/>
    <n v="255"/>
    <n v="223.52941176470588"/>
    <s v="TALENTI"/>
    <n v="0.94"/>
    <n v="53580"/>
    <n v="202.74671999999998"/>
    <n v="210.11764705882351"/>
  </r>
  <r>
    <n v="67466492"/>
    <x v="15"/>
    <n v="20250"/>
    <d v="2023-12-08T00:00:00"/>
    <x v="8"/>
    <x v="7"/>
    <n v="5.2680000000000001E-3"/>
    <n v="106.67700000000001"/>
    <s v="PS"/>
    <x v="11"/>
    <x v="3"/>
    <s v="Q4"/>
    <n v="130"/>
    <n v="155.76923076923077"/>
    <s v="PG"/>
    <n v="0.9"/>
    <n v="18225"/>
    <n v="96.00930000000001"/>
    <n v="140.19230769230771"/>
  </r>
  <r>
    <n v="67466492"/>
    <x v="15"/>
    <n v="23400"/>
    <d v="2023-12-10T00:00:00"/>
    <x v="8"/>
    <x v="8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7466492"/>
    <x v="15"/>
    <n v="23400"/>
    <d v="2023-12-10T00:00:00"/>
    <x v="8"/>
    <x v="6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7466492"/>
    <x v="15"/>
    <n v="23400"/>
    <d v="2023-12-10T00:00:00"/>
    <x v="8"/>
    <x v="10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8869019"/>
    <x v="15"/>
    <n v="18000"/>
    <d v="2023-12-10T00:00:00"/>
    <x v="389"/>
    <x v="24"/>
    <n v="4.2560000000000002E-3"/>
    <n v="76.608000000000004"/>
    <s v="GH"/>
    <x v="11"/>
    <x v="4"/>
    <s v="Q4"/>
    <n v="140"/>
    <n v="128.57142857142858"/>
    <s v="MBG"/>
    <n v="0.87"/>
    <n v="15660"/>
    <n v="66.648960000000002"/>
    <n v="111.85714285714286"/>
  </r>
  <r>
    <n v="67465063"/>
    <x v="15"/>
    <n v="15413"/>
    <d v="2023-12-11T00:00:00"/>
    <x v="3"/>
    <x v="40"/>
    <n v="5.2680000000000001E-3"/>
    <n v="81.195684"/>
    <s v="PS"/>
    <x v="11"/>
    <x v="3"/>
    <s v="Q4"/>
    <n v="130"/>
    <n v="118.56153846153846"/>
    <s v="PG"/>
    <n v="0.9"/>
    <n v="13871.7"/>
    <n v="73.076115600000008"/>
    <n v="106.70538461538462"/>
  </r>
  <r>
    <n v="67465063"/>
    <x v="15"/>
    <n v="13500"/>
    <d v="2023-12-11T00:00:00"/>
    <x v="3"/>
    <x v="3"/>
    <n v="5.2680000000000001E-3"/>
    <n v="71.117999999999995"/>
    <s v="PS"/>
    <x v="11"/>
    <x v="3"/>
    <s v="Q4"/>
    <n v="130"/>
    <n v="103.84615384615384"/>
    <s v="PG"/>
    <n v="0.9"/>
    <n v="12150"/>
    <n v="64.006199999999993"/>
    <n v="93.461538461538453"/>
  </r>
  <r>
    <n v="67723726"/>
    <x v="15"/>
    <n v="50400"/>
    <d v="2023-12-11T00:00:00"/>
    <x v="109"/>
    <x v="23"/>
    <n v="8.5199999999999998E-3"/>
    <n v="429.40800000000002"/>
    <s v="BR"/>
    <x v="11"/>
    <x v="6"/>
    <s v="Q4"/>
    <n v="154"/>
    <n v="327.27272727272725"/>
    <s v="48oz"/>
    <n v="0.95"/>
    <n v="47880"/>
    <n v="407.93759999999997"/>
    <n v="310.90909090909088"/>
  </r>
  <r>
    <n v="67885719"/>
    <x v="15"/>
    <n v="22800"/>
    <d v="2023-12-11T00:00:00"/>
    <x v="11"/>
    <x v="12"/>
    <n v="8.5199999999999998E-3"/>
    <n v="194.256"/>
    <s v="BR"/>
    <x v="11"/>
    <x v="6"/>
    <s v="Q4"/>
    <n v="154"/>
    <n v="148.05194805194805"/>
    <s v="48oz"/>
    <n v="0.95"/>
    <n v="21660"/>
    <n v="184.54319999999998"/>
    <n v="140.64935064935062"/>
  </r>
  <r>
    <n v="67885724"/>
    <x v="15"/>
    <n v="22800"/>
    <d v="2023-12-11T00:00:00"/>
    <x v="49"/>
    <x v="12"/>
    <n v="8.5199999999999998E-3"/>
    <n v="194.256"/>
    <s v="BR"/>
    <x v="11"/>
    <x v="6"/>
    <s v="Q4"/>
    <n v="154"/>
    <n v="148.05194805194805"/>
    <s v="48oz"/>
    <n v="0.95"/>
    <n v="21660"/>
    <n v="184.54319999999998"/>
    <n v="140.64935064935062"/>
  </r>
  <r>
    <n v="68659718"/>
    <x v="15"/>
    <n v="1"/>
    <d v="2023-12-11T00:00:00"/>
    <x v="193"/>
    <x v="24"/>
    <n v="2.8319999999999999E-3"/>
    <n v="2.8319999999999999E-3"/>
    <s v="GH"/>
    <x v="11"/>
    <x v="4"/>
    <s v="Q4"/>
    <n v="225"/>
    <n v="4.4444444444444444E-3"/>
    <s v="MBG"/>
    <n v="0.87"/>
    <n v="0.87"/>
    <n v="2.4638399999999997E-3"/>
    <n v="3.8666666666666667E-3"/>
  </r>
  <r>
    <n v="68741742"/>
    <x v="15"/>
    <n v="30000"/>
    <d v="2023-12-11T00:00:00"/>
    <x v="25"/>
    <x v="4"/>
    <n v="4.2560000000000002E-3"/>
    <n v="127.68"/>
    <s v="GH"/>
    <x v="11"/>
    <x v="4"/>
    <s v="Q4"/>
    <n v="154"/>
    <n v="194.80519480519482"/>
    <s v="MBG"/>
    <n v="0.87"/>
    <n v="26100"/>
    <n v="111.08160000000001"/>
    <n v="169.48051948051949"/>
  </r>
  <r>
    <n v="68817793"/>
    <x v="15"/>
    <n v="20400"/>
    <d v="2023-12-11T00:00:00"/>
    <x v="48"/>
    <x v="16"/>
    <n v="8.5199999999999998E-3"/>
    <n v="173.80799999999999"/>
    <s v="BR"/>
    <x v="11"/>
    <x v="6"/>
    <s v="Q4"/>
    <n v="176"/>
    <n v="115.90909090909091"/>
    <s v="48oz"/>
    <n v="0.95"/>
    <n v="19380"/>
    <n v="165.11759999999998"/>
    <n v="110.11363636363636"/>
  </r>
  <r>
    <n v="68817801"/>
    <x v="15"/>
    <n v="25200"/>
    <d v="2023-12-11T00:00:00"/>
    <x v="183"/>
    <x v="11"/>
    <n v="8.4600000000000005E-3"/>
    <n v="213.19200000000001"/>
    <s v="BR"/>
    <x v="11"/>
    <x v="6"/>
    <s v="Q4"/>
    <n v="176"/>
    <n v="143.18181818181819"/>
    <s v="48oz"/>
    <n v="0.95"/>
    <n v="23940"/>
    <n v="202.5324"/>
    <n v="136.02272727272728"/>
  </r>
  <r>
    <n v="68850683"/>
    <x v="15"/>
    <n v="25200"/>
    <d v="2023-12-11T00:00:00"/>
    <x v="335"/>
    <x v="11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850684"/>
    <x v="15"/>
    <n v="25200"/>
    <d v="2023-12-11T00:00:00"/>
    <x v="354"/>
    <x v="11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881270"/>
    <x v="15"/>
    <n v="23800"/>
    <d v="2023-12-11T00:00:00"/>
    <x v="91"/>
    <x v="16"/>
    <n v="8.5199999999999998E-3"/>
    <n v="202.77599999999998"/>
    <s v="BR"/>
    <x v="11"/>
    <x v="6"/>
    <s v="Q4"/>
    <n v="176"/>
    <n v="135.22727272727272"/>
    <s v="48oz"/>
    <n v="0.95"/>
    <n v="22610"/>
    <n v="192.63719999999998"/>
    <n v="128.46590909090907"/>
  </r>
  <r>
    <n v="68899826"/>
    <x v="15"/>
    <n v="25200"/>
    <d v="2023-12-11T00:00:00"/>
    <x v="129"/>
    <x v="12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9629468"/>
    <x v="15"/>
    <n v="24000"/>
    <d v="2023-12-11T00:00:00"/>
    <x v="30"/>
    <x v="29"/>
    <n v="5.2680000000000001E-3"/>
    <n v="126.432"/>
    <s v="PS"/>
    <x v="11"/>
    <x v="3"/>
    <s v="Q4"/>
    <n v="130"/>
    <n v="184.61538461538461"/>
    <s v="PG"/>
    <n v="0.9"/>
    <n v="21600"/>
    <n v="113.78880000000001"/>
    <n v="166.15384615384616"/>
  </r>
  <r>
    <n v="67885723"/>
    <x v="16"/>
    <n v="3300"/>
    <d v="2023-12-11T00:00:00"/>
    <x v="304"/>
    <x v="13"/>
    <n v="8.5199999999999998E-3"/>
    <n v="28.116"/>
    <s v="BR"/>
    <x v="11"/>
    <x v="2"/>
    <s v="Q4"/>
    <n v="154"/>
    <n v="21.428571428571427"/>
    <s v="48oz"/>
    <n v="0.95"/>
    <n v="3135"/>
    <n v="26.710199999999997"/>
    <n v="20.357142857142854"/>
  </r>
  <r>
    <n v="67901593"/>
    <x v="16"/>
    <n v="45600"/>
    <d v="2023-12-11T00:00:00"/>
    <x v="68"/>
    <x v="32"/>
    <n v="8.5199999999999998E-3"/>
    <n v="388.512"/>
    <s v="BR"/>
    <x v="11"/>
    <x v="2"/>
    <s v="Q4"/>
    <n v="154"/>
    <n v="296.10389610389609"/>
    <s v="48oz"/>
    <n v="0.95"/>
    <n v="43320"/>
    <n v="369.08639999999997"/>
    <n v="281.29870129870125"/>
  </r>
  <r>
    <n v="68850683"/>
    <x v="16"/>
    <n v="26400"/>
    <d v="2023-12-11T00:00:00"/>
    <x v="335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8850684"/>
    <x v="16"/>
    <n v="26400"/>
    <d v="2023-12-11T00:00:00"/>
    <x v="354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568828"/>
    <x v="16"/>
    <n v="23400"/>
    <d v="2023-12-11T00:00:00"/>
    <x v="12"/>
    <x v="2"/>
    <n v="8.5199999999999998E-3"/>
    <n v="199.36799999999999"/>
    <s v="BR"/>
    <x v="11"/>
    <x v="2"/>
    <s v="Q4"/>
    <n v="176"/>
    <n v="132.95454545454547"/>
    <s v="48oz"/>
    <n v="0.95"/>
    <n v="22230"/>
    <n v="189.39959999999999"/>
    <n v="126.30681818181819"/>
  </r>
  <r>
    <n v="69568829"/>
    <x v="16"/>
    <n v="26400"/>
    <d v="2023-12-11T00:00:00"/>
    <x v="66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621212"/>
    <x v="16"/>
    <n v="35100"/>
    <d v="2023-12-11T00:00:00"/>
    <x v="29"/>
    <x v="28"/>
    <n v="5.2680000000000001E-3"/>
    <n v="184.9068"/>
    <s v="PG"/>
    <x v="11"/>
    <x v="14"/>
    <s v="Q4"/>
    <n v="130"/>
    <n v="270"/>
    <s v="PG"/>
    <n v="0.9"/>
    <n v="31590"/>
    <n v="166.41612000000001"/>
    <n v="243"/>
  </r>
  <r>
    <n v="69717802"/>
    <x v="16"/>
    <n v="33150"/>
    <d v="2023-12-11T00:00:00"/>
    <x v="31"/>
    <x v="31"/>
    <n v="4.2560000000000002E-3"/>
    <n v="141.0864"/>
    <s v="BR"/>
    <x v="11"/>
    <x v="5"/>
    <s v="Q4"/>
    <n v="143"/>
    <n v="231.81818181818181"/>
    <s v="MG Sticks"/>
    <n v="0.93"/>
    <n v="30829.5"/>
    <n v="131.210352"/>
    <n v="215.59090909090909"/>
  </r>
  <r>
    <n v="84137725"/>
    <x v="18"/>
    <n v="105600"/>
    <d v="2023-12-11T00:00:00"/>
    <x v="132"/>
    <x v="33"/>
    <n v="3.7853439999999999E-3"/>
    <n v="399.73232639999998"/>
    <s v="BJ"/>
    <x v="11"/>
    <x v="36"/>
    <s v="Q4"/>
    <n v="240"/>
    <n v="440"/>
    <s v="BJ PTS"/>
    <n v="0.9"/>
    <n v="95040"/>
    <n v="359.75909375999998"/>
    <n v="396"/>
  </r>
  <r>
    <n v="84141103"/>
    <x v="18"/>
    <n v="105600"/>
    <d v="2023-12-11T00:00:00"/>
    <x v="294"/>
    <x v="38"/>
    <n v="3.7853439999999999E-3"/>
    <n v="399.73232639999998"/>
    <s v="BJ"/>
    <x v="11"/>
    <x v="36"/>
    <s v="Q4"/>
    <n v="240"/>
    <n v="440"/>
    <s v="BJ PTS"/>
    <n v="0.9"/>
    <n v="95040"/>
    <n v="359.75909375999998"/>
    <n v="396"/>
  </r>
  <r>
    <n v="67420264"/>
    <x v="17"/>
    <n v="10680"/>
    <d v="2023-12-11T00:00:00"/>
    <x v="244"/>
    <x v="35"/>
    <n v="1.419504E-3"/>
    <n v="15.160302720000001"/>
    <s v="BJ"/>
    <x v="11"/>
    <x v="16"/>
    <s v="Q4"/>
    <n v="510"/>
    <n v="20.941176470588236"/>
    <s v="B&amp;J Cups"/>
    <n v="0.85"/>
    <n v="9078"/>
    <n v="12.886257312"/>
    <n v="17.8"/>
  </r>
  <r>
    <n v="67881629"/>
    <x v="17"/>
    <n v="41760"/>
    <d v="2023-12-11T00:00:00"/>
    <x v="65"/>
    <x v="33"/>
    <n v="3.7853439999999999E-3"/>
    <n v="158.07596544"/>
    <s v="BJ"/>
    <x v="11"/>
    <x v="15"/>
    <s v="Q4"/>
    <n v="240"/>
    <n v="174"/>
    <s v="BJ PTS"/>
    <n v="0.9"/>
    <n v="37584"/>
    <n v="142.268368896"/>
    <n v="156.6"/>
  </r>
  <r>
    <n v="68409142"/>
    <x v="17"/>
    <n v="32040"/>
    <d v="2023-12-11T00:00:00"/>
    <x v="60"/>
    <x v="35"/>
    <n v="1.419504E-3"/>
    <n v="45.480908159999998"/>
    <s v="BJ"/>
    <x v="11"/>
    <x v="25"/>
    <s v="Q4"/>
    <n v="510"/>
    <n v="62.823529411764703"/>
    <s v="B&amp;J Dog Treat"/>
    <n v="0.85"/>
    <n v="27234"/>
    <n v="38.658771936000001"/>
    <n v="53.4"/>
  </r>
  <r>
    <n v="68654233"/>
    <x v="17"/>
    <n v="18560"/>
    <d v="2023-12-11T00:00:00"/>
    <x v="102"/>
    <x v="38"/>
    <n v="3.7853439999999999E-3"/>
    <n v="70.255984639999994"/>
    <s v="BJ"/>
    <x v="11"/>
    <x v="15"/>
    <s v="Q4"/>
    <n v="240"/>
    <n v="77.333333333333329"/>
    <s v="BJ PTS"/>
    <n v="0.9"/>
    <n v="16704"/>
    <n v="63.230386175999996"/>
    <n v="69.599999999999994"/>
  </r>
  <r>
    <n v="68654238"/>
    <x v="17"/>
    <n v="16240"/>
    <d v="2023-12-11T00:00:00"/>
    <x v="54"/>
    <x v="33"/>
    <n v="3.7839999999999996E-3"/>
    <n v="61.452159999999992"/>
    <s v="BJ"/>
    <x v="11"/>
    <x v="15"/>
    <s v="Q4"/>
    <n v="240"/>
    <n v="67.666666666666671"/>
    <s v="BJ PTS"/>
    <n v="0.9"/>
    <n v="14616"/>
    <n v="55.306943999999994"/>
    <n v="60.900000000000006"/>
  </r>
  <r>
    <n v="68655558"/>
    <x v="17"/>
    <n v="6240"/>
    <d v="2023-12-11T00:00:00"/>
    <x v="369"/>
    <x v="35"/>
    <n v="9.0848256361922702E-3"/>
    <n v="56.689311969839764"/>
    <s v="BJ"/>
    <x v="11"/>
    <x v="39"/>
    <s v="Q4"/>
    <n v="125"/>
    <n v="49.92"/>
    <s v="2.4 gal"/>
    <n v="0.85"/>
    <n v="5304"/>
    <n v="48.185915174363799"/>
    <n v="42.432000000000002"/>
  </r>
  <r>
    <n v="84136704"/>
    <x v="17"/>
    <n v="34800"/>
    <d v="2023-12-11T00:00:00"/>
    <x v="223"/>
    <x v="35"/>
    <n v="3.7853439999999999E-3"/>
    <n v="131.72997119999999"/>
    <s v="BJ"/>
    <x v="11"/>
    <x v="15"/>
    <s v="Q4"/>
    <n v="240"/>
    <n v="145"/>
    <s v="BJ PTS"/>
    <n v="0.9"/>
    <n v="31320"/>
    <n v="118.55697408"/>
    <n v="130.5"/>
  </r>
  <r>
    <n v="84139090"/>
    <x v="17"/>
    <n v="27840"/>
    <d v="2023-12-11T00:00:00"/>
    <x v="85"/>
    <x v="43"/>
    <n v="3.7853439999999999E-3"/>
    <n v="105.38397696"/>
    <s v="BJ"/>
    <x v="11"/>
    <x v="15"/>
    <s v="Q4"/>
    <n v="240"/>
    <n v="116"/>
    <s v="BJ PTS"/>
    <n v="0.9"/>
    <n v="25056"/>
    <n v="94.845579263999994"/>
    <n v="104.4"/>
  </r>
  <r>
    <n v="84141101"/>
    <x v="17"/>
    <n v="102400"/>
    <d v="2023-12-11T00:00:00"/>
    <x v="86"/>
    <x v="33"/>
    <n v="3.7853439999999999E-3"/>
    <n v="387.61922559999999"/>
    <s v="BJ"/>
    <x v="11"/>
    <x v="15"/>
    <s v="Q4"/>
    <n v="240"/>
    <n v="426.66666666666669"/>
    <s v="BJ PTS"/>
    <n v="0.9"/>
    <n v="92160"/>
    <n v="348.85730303999998"/>
    <n v="384"/>
  </r>
  <r>
    <n v="84146285"/>
    <x v="17"/>
    <n v="18560"/>
    <d v="2023-12-11T00:00:00"/>
    <x v="248"/>
    <x v="38"/>
    <n v="3.7853439999999999E-3"/>
    <n v="70.255984639999994"/>
    <s v="BJ"/>
    <x v="11"/>
    <x v="15"/>
    <s v="Q4"/>
    <n v="240"/>
    <n v="77.333333333333329"/>
    <s v="BJ PTS"/>
    <n v="0.9"/>
    <n v="16704"/>
    <n v="63.230386175999996"/>
    <n v="69.599999999999994"/>
  </r>
  <r>
    <n v="84150840"/>
    <x v="17"/>
    <n v="32040"/>
    <d v="2023-12-11T00:00:00"/>
    <x v="251"/>
    <x v="33"/>
    <n v="1.4399999999999999E-3"/>
    <n v="46.137599999999999"/>
    <s v="BJ"/>
    <x v="11"/>
    <x v="16"/>
    <s v="Q4"/>
    <n v="510"/>
    <n v="62.823529411764703"/>
    <s v="B&amp;J Cups"/>
    <n v="0.85"/>
    <n v="27234"/>
    <n v="39.21696"/>
    <n v="53.4"/>
  </r>
  <r>
    <n v="84161610"/>
    <x v="17"/>
    <n v="37120"/>
    <d v="2023-12-11T00:00:00"/>
    <x v="99"/>
    <x v="38"/>
    <n v="3.7853439999999999E-3"/>
    <n v="140.51196927999999"/>
    <s v="BJ"/>
    <x v="11"/>
    <x v="15"/>
    <s v="Q4"/>
    <n v="240"/>
    <n v="154.66666666666666"/>
    <s v="BJ PTS"/>
    <n v="0.9"/>
    <n v="33408"/>
    <n v="126.46077235199999"/>
    <n v="139.19999999999999"/>
  </r>
  <r>
    <n v="67885719"/>
    <x v="16"/>
    <n v="91200"/>
    <d v="2023-12-12T00:00:00"/>
    <x v="11"/>
    <x v="32"/>
    <n v="8.5199999999999998E-3"/>
    <n v="777.024"/>
    <s v="BR"/>
    <x v="11"/>
    <x v="2"/>
    <s v="Q4"/>
    <n v="154"/>
    <n v="592.20779220779218"/>
    <s v="48oz"/>
    <n v="0.95"/>
    <n v="86640"/>
    <n v="738.17279999999994"/>
    <n v="562.59740259740249"/>
  </r>
  <r>
    <n v="67908208"/>
    <x v="16"/>
    <n v="32400"/>
    <d v="2023-12-12T00:00:00"/>
    <x v="225"/>
    <x v="25"/>
    <n v="3.9039999999999999E-3"/>
    <n v="126.4896"/>
    <s v="GH"/>
    <x v="11"/>
    <x v="11"/>
    <s v="Q4"/>
    <n v="154"/>
    <n v="210.3896103896104"/>
    <s v="MBG"/>
    <n v="0.87"/>
    <n v="28188"/>
    <n v="110.045952"/>
    <n v="183.03896103896105"/>
  </r>
  <r>
    <n v="68143996"/>
    <x v="16"/>
    <n v="1"/>
    <d v="2023-12-12T00:00:00"/>
    <x v="392"/>
    <x v="2"/>
    <n v="8.5199999999999998E-3"/>
    <n v="8.5199999999999998E-3"/>
    <s v="BR"/>
    <x v="11"/>
    <x v="2"/>
    <s v="Q4"/>
    <n v="154"/>
    <n v="6.4935064935064939E-3"/>
    <s v="48oz"/>
    <n v="0.95"/>
    <n v="0.95"/>
    <n v="8.0939999999999988E-3"/>
    <n v="6.1688311688311692E-3"/>
  </r>
  <r>
    <n v="68726716"/>
    <x v="16"/>
    <n v="-76920"/>
    <d v="2023-12-12T00:00:00"/>
    <x v="384"/>
    <x v="22"/>
    <n v="3.7853440000000004E-3"/>
    <n v="-291.16866048000003"/>
    <s v="TA"/>
    <x v="11"/>
    <x v="10"/>
    <s v="Q4"/>
    <n v="255"/>
    <n v="-301.64705882352939"/>
    <s v="TALENTI"/>
    <n v="0.94"/>
    <n v="-72304.800000000003"/>
    <n v="-273.69854085119999"/>
    <n v="-283.5482352941176"/>
  </r>
  <r>
    <n v="68729679"/>
    <x v="16"/>
    <n v="57000"/>
    <d v="2023-12-12T00:00:00"/>
    <x v="127"/>
    <x v="21"/>
    <n v="3.7853440000000004E-3"/>
    <n v="215.76460800000001"/>
    <s v="TA"/>
    <x v="11"/>
    <x v="10"/>
    <s v="Q4"/>
    <n v="255"/>
    <n v="223.52941176470588"/>
    <s v="TALENTI"/>
    <n v="0.94"/>
    <n v="53580"/>
    <n v="202.81873152"/>
    <n v="210.11764705882351"/>
  </r>
  <r>
    <n v="68881270"/>
    <x v="16"/>
    <n v="13200"/>
    <d v="2023-12-12T00:00:00"/>
    <x v="91"/>
    <x v="2"/>
    <n v="8.5199999999999998E-3"/>
    <n v="112.464"/>
    <s v="BR"/>
    <x v="11"/>
    <x v="2"/>
    <s v="Q4"/>
    <n v="176"/>
    <n v="75"/>
    <s v="48oz"/>
    <n v="0.95"/>
    <n v="12540"/>
    <n v="106.84079999999999"/>
    <n v="71.25"/>
  </r>
  <r>
    <n v="68896054"/>
    <x v="16"/>
    <n v="26400"/>
    <d v="2023-12-12T00:00:00"/>
    <x v="181"/>
    <x v="2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8922011"/>
    <x v="16"/>
    <n v="25000"/>
    <d v="2023-12-12T00:00:00"/>
    <x v="261"/>
    <x v="22"/>
    <n v="3.7853440000000004E-3"/>
    <n v="94.633600000000015"/>
    <s v="TA"/>
    <x v="11"/>
    <x v="10"/>
    <s v="Q4"/>
    <n v="255"/>
    <n v="98.039215686274517"/>
    <s v="TALENTI"/>
    <n v="0.94"/>
    <n v="23500"/>
    <n v="88.955584000000016"/>
    <n v="92.156862745098039"/>
  </r>
  <r>
    <n v="68922106"/>
    <x v="16"/>
    <n v="40000"/>
    <d v="2023-12-12T00:00:00"/>
    <x v="104"/>
    <x v="22"/>
    <n v="3.552E-3"/>
    <n v="142.08000000000001"/>
    <s v="TA"/>
    <x v="11"/>
    <x v="10"/>
    <s v="Q4"/>
    <n v="255"/>
    <n v="156.86274509803923"/>
    <s v="TALENTI"/>
    <n v="0.94"/>
    <n v="37600"/>
    <n v="133.55520000000001"/>
    <n v="147.45098039215688"/>
  </r>
  <r>
    <n v="68922108"/>
    <x v="16"/>
    <n v="91200"/>
    <d v="2023-12-12T00:00:00"/>
    <x v="184"/>
    <x v="21"/>
    <n v="3.7839999999999996E-3"/>
    <n v="345.10079999999994"/>
    <s v="TA"/>
    <x v="11"/>
    <x v="10"/>
    <s v="Q4"/>
    <n v="255"/>
    <n v="357.64705882352939"/>
    <s v="TALENTI"/>
    <n v="0.94"/>
    <n v="85728"/>
    <n v="324.39475199999993"/>
    <n v="336.18823529411759"/>
  </r>
  <r>
    <n v="69629468"/>
    <x v="16"/>
    <n v="32400"/>
    <d v="2023-12-12T00:00:00"/>
    <x v="30"/>
    <x v="30"/>
    <n v="5.2680000000000001E-3"/>
    <n v="170.6832"/>
    <s v="PS"/>
    <x v="11"/>
    <x v="14"/>
    <s v="Q4"/>
    <n v="130"/>
    <n v="249.23076923076923"/>
    <s v="PG"/>
    <n v="0.9"/>
    <n v="29160"/>
    <n v="153.61488"/>
    <n v="224.30769230769232"/>
  </r>
  <r>
    <n v="84135770"/>
    <x v="16"/>
    <n v="22800"/>
    <d v="2023-12-12T00:00:00"/>
    <x v="277"/>
    <x v="15"/>
    <n v="3.7853439999999999E-3"/>
    <n v="86.305843199999998"/>
    <s v="BJ"/>
    <x v="11"/>
    <x v="30"/>
    <s v="Q4"/>
    <n v="240"/>
    <n v="95"/>
    <s v="BJ PTS"/>
    <n v="0.9"/>
    <n v="20520"/>
    <n v="77.675258880000001"/>
    <n v="85.5"/>
  </r>
  <r>
    <n v="84141094"/>
    <x v="16"/>
    <n v="45600"/>
    <d v="2023-12-12T00:00:00"/>
    <x v="107"/>
    <x v="15"/>
    <n v="3.7853439999999999E-3"/>
    <n v="172.6116864"/>
    <s v="BJ"/>
    <x v="11"/>
    <x v="30"/>
    <s v="Q4"/>
    <n v="240"/>
    <n v="190"/>
    <s v="BJ PTS"/>
    <n v="0.9"/>
    <n v="41040"/>
    <n v="155.35051776"/>
    <n v="171"/>
  </r>
  <r>
    <n v="84164936"/>
    <x v="16"/>
    <n v="22800"/>
    <d v="2023-12-12T00:00:00"/>
    <x v="162"/>
    <x v="15"/>
    <n v="3.7853439999999999E-3"/>
    <n v="86.305843199999998"/>
    <s v="BJ"/>
    <x v="11"/>
    <x v="30"/>
    <s v="Q4"/>
    <n v="240"/>
    <n v="95"/>
    <s v="BJ PTS"/>
    <n v="0.9"/>
    <n v="20520"/>
    <n v="77.675258880000001"/>
    <n v="85.5"/>
  </r>
  <r>
    <n v="67466492"/>
    <x v="15"/>
    <n v="20250"/>
    <d v="2023-12-15T00:00:00"/>
    <x v="8"/>
    <x v="7"/>
    <n v="5.2680000000000001E-3"/>
    <n v="106.67700000000001"/>
    <s v="PS"/>
    <x v="11"/>
    <x v="3"/>
    <s v="Q4"/>
    <n v="130"/>
    <n v="155.76923076923077"/>
    <s v="PG"/>
    <n v="0.9"/>
    <n v="18225"/>
    <n v="96.00930000000001"/>
    <n v="140.19230769230771"/>
  </r>
  <r>
    <n v="67466492"/>
    <x v="15"/>
    <n v="1"/>
    <d v="2023-12-17T00:00:00"/>
    <x v="8"/>
    <x v="10"/>
    <n v="5.2680000000000001E-3"/>
    <n v="5.2680000000000001E-3"/>
    <s v="PS"/>
    <x v="11"/>
    <x v="3"/>
    <s v="Q4"/>
    <n v="130"/>
    <n v="7.6923076923076927E-3"/>
    <s v="PG"/>
    <n v="0.9"/>
    <n v="0.9"/>
    <n v="4.7412000000000001E-3"/>
    <n v="6.9230769230769233E-3"/>
  </r>
  <r>
    <n v="67466492"/>
    <x v="15"/>
    <n v="23400"/>
    <d v="2023-12-17T00:00:00"/>
    <x v="8"/>
    <x v="10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7466492"/>
    <x v="15"/>
    <n v="23400"/>
    <d v="2023-12-17T00:00:00"/>
    <x v="8"/>
    <x v="6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7466492"/>
    <x v="15"/>
    <n v="23400"/>
    <d v="2023-12-17T00:00:00"/>
    <x v="8"/>
    <x v="8"/>
    <n v="5.2680000000000001E-3"/>
    <n v="123.27120000000001"/>
    <s v="PS"/>
    <x v="11"/>
    <x v="3"/>
    <s v="Q4"/>
    <n v="130"/>
    <n v="180"/>
    <s v="PG"/>
    <n v="0.9"/>
    <n v="21060"/>
    <n v="110.94408000000001"/>
    <n v="162"/>
  </r>
  <r>
    <n v="68869019"/>
    <x v="15"/>
    <n v="18000"/>
    <d v="2023-12-17T00:00:00"/>
    <x v="389"/>
    <x v="24"/>
    <n v="4.2560000000000002E-3"/>
    <n v="76.608000000000004"/>
    <s v="GH"/>
    <x v="11"/>
    <x v="4"/>
    <s v="Q4"/>
    <n v="140"/>
    <n v="128.57142857142858"/>
    <s v="MBG"/>
    <n v="0.87"/>
    <n v="15660"/>
    <n v="66.648960000000002"/>
    <n v="111.85714285714286"/>
  </r>
  <r>
    <n v="67309843"/>
    <x v="15"/>
    <n v="22800"/>
    <d v="2023-12-18T00:00:00"/>
    <x v="88"/>
    <x v="12"/>
    <n v="8.5199999999999998E-3"/>
    <n v="194.256"/>
    <s v="BR"/>
    <x v="11"/>
    <x v="6"/>
    <s v="Q4"/>
    <n v="154"/>
    <n v="148.05194805194805"/>
    <s v="48oz"/>
    <n v="0.95"/>
    <n v="21660"/>
    <n v="184.54319999999998"/>
    <n v="140.64935064935062"/>
  </r>
  <r>
    <n v="67465063"/>
    <x v="15"/>
    <n v="15413"/>
    <d v="2023-12-18T00:00:00"/>
    <x v="3"/>
    <x v="40"/>
    <n v="5.2680000000000001E-3"/>
    <n v="81.195684"/>
    <s v="PS"/>
    <x v="11"/>
    <x v="3"/>
    <s v="Q4"/>
    <n v="130"/>
    <n v="118.56153846153846"/>
    <s v="PG"/>
    <n v="0.9"/>
    <n v="13871.7"/>
    <n v="73.076115600000008"/>
    <n v="106.70538461538462"/>
  </r>
  <r>
    <n v="67465063"/>
    <x v="15"/>
    <n v="13500"/>
    <d v="2023-12-18T00:00:00"/>
    <x v="3"/>
    <x v="3"/>
    <n v="5.2680000000000001E-3"/>
    <n v="71.117999999999995"/>
    <s v="PS"/>
    <x v="11"/>
    <x v="3"/>
    <s v="Q4"/>
    <n v="130"/>
    <n v="103.84615384615384"/>
    <s v="PG"/>
    <n v="0.9"/>
    <n v="12150"/>
    <n v="64.006199999999993"/>
    <n v="93.461538461538453"/>
  </r>
  <r>
    <n v="67885719"/>
    <x v="15"/>
    <n v="25200"/>
    <d v="2023-12-18T00:00:00"/>
    <x v="11"/>
    <x v="11"/>
    <n v="8.5199999999999998E-3"/>
    <n v="214.70400000000001"/>
    <s v="BR"/>
    <x v="11"/>
    <x v="6"/>
    <s v="Q4"/>
    <n v="154"/>
    <n v="163.63636363636363"/>
    <s v="48oz"/>
    <n v="0.95"/>
    <n v="23940"/>
    <n v="203.96879999999999"/>
    <n v="155.45454545454544"/>
  </r>
  <r>
    <n v="68634168"/>
    <x v="15"/>
    <n v="20400"/>
    <d v="2023-12-18T00:00:00"/>
    <x v="42"/>
    <x v="16"/>
    <n v="8.5170239596469108E-3"/>
    <n v="173.74728877679698"/>
    <s v="BR"/>
    <x v="11"/>
    <x v="6"/>
    <s v="Q4"/>
    <n v="154"/>
    <n v="132.46753246753246"/>
    <s v="48oz"/>
    <n v="0.95"/>
    <n v="19380"/>
    <n v="165.05992433795711"/>
    <n v="125.84415584415584"/>
  </r>
  <r>
    <n v="68737750"/>
    <x v="15"/>
    <n v="25200"/>
    <d v="2023-12-18T00:00:00"/>
    <x v="144"/>
    <x v="23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741742"/>
    <x v="15"/>
    <n v="30000"/>
    <d v="2023-12-18T00:00:00"/>
    <x v="25"/>
    <x v="4"/>
    <n v="4.2560000000000002E-3"/>
    <n v="127.68"/>
    <s v="GH"/>
    <x v="11"/>
    <x v="4"/>
    <s v="Q4"/>
    <n v="154"/>
    <n v="194.80519480519482"/>
    <s v="MBG"/>
    <n v="0.87"/>
    <n v="26100"/>
    <n v="111.08160000000001"/>
    <n v="169.48051948051949"/>
  </r>
  <r>
    <n v="68769686"/>
    <x v="15"/>
    <n v="3150"/>
    <d v="2023-12-18T00:00:00"/>
    <x v="266"/>
    <x v="23"/>
    <n v="8.513999999999999E-3"/>
    <n v="26.819099999999995"/>
    <s v="BR"/>
    <x v="11"/>
    <x v="6"/>
    <s v="Q4"/>
    <n v="154"/>
    <n v="20.454545454545453"/>
    <s v="48oz"/>
    <n v="0.95"/>
    <n v="2992.5"/>
    <n v="25.478144999999994"/>
    <n v="19.43181818181818"/>
  </r>
  <r>
    <n v="68817793"/>
    <x v="15"/>
    <n v="22800"/>
    <d v="2023-12-18T00:00:00"/>
    <x v="48"/>
    <x v="12"/>
    <n v="8.5199999999999998E-3"/>
    <n v="194.256"/>
    <s v="BR"/>
    <x v="11"/>
    <x v="6"/>
    <s v="Q4"/>
    <n v="176"/>
    <n v="129.54545454545453"/>
    <s v="48oz"/>
    <n v="0.95"/>
    <n v="21660"/>
    <n v="184.54319999999998"/>
    <n v="123.0681818181818"/>
  </r>
  <r>
    <n v="68817794"/>
    <x v="15"/>
    <n v="25200"/>
    <d v="2023-12-18T00:00:00"/>
    <x v="67"/>
    <x v="23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817797"/>
    <x v="15"/>
    <n v="3150"/>
    <d v="2023-12-18T00:00:00"/>
    <x v="381"/>
    <x v="11"/>
    <n v="8.5199999999999998E-3"/>
    <n v="26.838000000000001"/>
    <s v="BR"/>
    <x v="11"/>
    <x v="6"/>
    <s v="Q4"/>
    <n v="154"/>
    <n v="20.454545454545453"/>
    <s v="48oz"/>
    <n v="0.95"/>
    <n v="2992.5"/>
    <n v="25.496099999999998"/>
    <n v="19.43181818181818"/>
  </r>
  <r>
    <n v="68850683"/>
    <x v="15"/>
    <n v="25200"/>
    <d v="2023-12-18T00:00:00"/>
    <x v="335"/>
    <x v="11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881270"/>
    <x v="15"/>
    <n v="11900"/>
    <d v="2023-12-18T00:00:00"/>
    <x v="91"/>
    <x v="16"/>
    <n v="8.5199999999999998E-3"/>
    <n v="101.38799999999999"/>
    <s v="BR"/>
    <x v="11"/>
    <x v="6"/>
    <s v="Q4"/>
    <n v="176"/>
    <n v="67.61363636363636"/>
    <s v="48oz"/>
    <n v="0.95"/>
    <n v="11305"/>
    <n v="96.318599999999989"/>
    <n v="64.232954545454533"/>
  </r>
  <r>
    <n v="68899821"/>
    <x v="15"/>
    <n v="23000"/>
    <d v="2023-12-18T00:00:00"/>
    <x v="149"/>
    <x v="16"/>
    <n v="8.5199999999999998E-3"/>
    <n v="195.96"/>
    <s v="BR"/>
    <x v="11"/>
    <x v="6"/>
    <s v="Q4"/>
    <n v="176"/>
    <n v="130.68181818181819"/>
    <s v="48oz"/>
    <n v="0.95"/>
    <n v="21850"/>
    <n v="186.16200000000001"/>
    <n v="124.14772727272727"/>
  </r>
  <r>
    <n v="69629468"/>
    <x v="15"/>
    <n v="24000"/>
    <d v="2023-12-18T00:00:00"/>
    <x v="30"/>
    <x v="29"/>
    <n v="5.2680000000000001E-3"/>
    <n v="126.432"/>
    <s v="PS"/>
    <x v="11"/>
    <x v="3"/>
    <s v="Q4"/>
    <n v="130"/>
    <n v="184.61538461538461"/>
    <s v="PG"/>
    <n v="0.9"/>
    <n v="21600"/>
    <n v="113.78880000000001"/>
    <n v="166.15384615384616"/>
  </r>
  <r>
    <n v="67901593"/>
    <x v="16"/>
    <n v="45600"/>
    <d v="2023-12-18T00:00:00"/>
    <x v="68"/>
    <x v="32"/>
    <n v="8.5199999999999998E-3"/>
    <n v="388.512"/>
    <s v="BR"/>
    <x v="11"/>
    <x v="2"/>
    <s v="Q4"/>
    <n v="154"/>
    <n v="296.10389610389609"/>
    <s v="48oz"/>
    <n v="0.95"/>
    <n v="43320"/>
    <n v="369.08639999999997"/>
    <n v="281.29870129870125"/>
  </r>
  <r>
    <n v="68821728"/>
    <x v="16"/>
    <n v="26400"/>
    <d v="2023-12-18T00:00:00"/>
    <x v="35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568828"/>
    <x v="16"/>
    <n v="23400"/>
    <d v="2023-12-18T00:00:00"/>
    <x v="12"/>
    <x v="2"/>
    <n v="8.5199999999999998E-3"/>
    <n v="199.36799999999999"/>
    <s v="BR"/>
    <x v="11"/>
    <x v="2"/>
    <s v="Q4"/>
    <n v="176"/>
    <n v="132.95454545454547"/>
    <s v="48oz"/>
    <n v="0.95"/>
    <n v="22230"/>
    <n v="189.39959999999999"/>
    <n v="126.30681818181819"/>
  </r>
  <r>
    <n v="69568963"/>
    <x v="16"/>
    <n v="26400"/>
    <d v="2023-12-18T00:00:00"/>
    <x v="94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568965"/>
    <x v="16"/>
    <n v="26400"/>
    <d v="2023-12-18T00:00:00"/>
    <x v="298"/>
    <x v="13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621212"/>
    <x v="16"/>
    <n v="35100"/>
    <d v="2023-12-18T00:00:00"/>
    <x v="29"/>
    <x v="28"/>
    <n v="5.2680000000000001E-3"/>
    <n v="184.9068"/>
    <s v="PG"/>
    <x v="11"/>
    <x v="14"/>
    <s v="Q4"/>
    <n v="130"/>
    <n v="270"/>
    <s v="PG"/>
    <n v="0.9"/>
    <n v="31590"/>
    <n v="166.41612000000001"/>
    <n v="243"/>
  </r>
  <r>
    <n v="69706138"/>
    <x v="16"/>
    <n v="35700"/>
    <d v="2023-12-18T00:00:00"/>
    <x v="289"/>
    <x v="31"/>
    <n v="3.8999999999999998E-3"/>
    <n v="139.22999999999999"/>
    <s v="TA"/>
    <x v="11"/>
    <x v="42"/>
    <s v="Q4"/>
    <n v="176"/>
    <n v="202.84090909090909"/>
    <s v="TAL NV"/>
    <n v="0.97"/>
    <n v="34629"/>
    <n v="135.05309999999997"/>
    <n v="196.75568181818181"/>
  </r>
  <r>
    <n v="67794169"/>
    <x v="18"/>
    <n v="105600"/>
    <d v="2023-12-18T00:00:00"/>
    <x v="33"/>
    <x v="35"/>
    <n v="3.7853439999999999E-3"/>
    <n v="399.73232639999998"/>
    <s v="BJ"/>
    <x v="11"/>
    <x v="36"/>
    <s v="Q4"/>
    <n v="240"/>
    <n v="440"/>
    <s v="BJ PTS"/>
    <n v="0.9"/>
    <n v="95040"/>
    <n v="359.75909375999998"/>
    <n v="396"/>
  </r>
  <r>
    <n v="67826412"/>
    <x v="18"/>
    <n v="0"/>
    <d v="2023-12-18T00:00:00"/>
    <x v="214"/>
    <x v="35"/>
    <n v="3.7853439999999999E-3"/>
    <n v="0"/>
    <s v="BJ"/>
    <x v="11"/>
    <x v="36"/>
    <s v="Q4"/>
    <n v="240"/>
    <n v="0"/>
    <s v="BJ PTS"/>
    <n v="0.9"/>
    <n v="0"/>
    <n v="0"/>
    <n v="0"/>
  </r>
  <r>
    <n v="67596354"/>
    <x v="17"/>
    <n v="15080"/>
    <d v="2023-12-18T00:00:00"/>
    <x v="317"/>
    <x v="35"/>
    <n v="3.6640000000000002E-3"/>
    <n v="55.253120000000003"/>
    <s v="BJ"/>
    <x v="11"/>
    <x v="24"/>
    <s v="Q4"/>
    <n v="240"/>
    <n v="62.833333333333336"/>
    <s v="PTS Exports"/>
    <n v="0.9"/>
    <n v="13572"/>
    <n v="49.727808000000003"/>
    <n v="56.550000000000004"/>
  </r>
  <r>
    <n v="67789313"/>
    <x v="17"/>
    <n v="32480"/>
    <d v="2023-12-18T00:00:00"/>
    <x v="169"/>
    <x v="35"/>
    <n v="3.7853439999999999E-3"/>
    <n v="122.94797312"/>
    <s v="BJ"/>
    <x v="11"/>
    <x v="15"/>
    <s v="Q4"/>
    <n v="240"/>
    <n v="135.33333333333334"/>
    <s v="BJ PTS"/>
    <n v="0.9"/>
    <n v="29232"/>
    <n v="110.653175808"/>
    <n v="121.80000000000001"/>
  </r>
  <r>
    <n v="67794167"/>
    <x v="17"/>
    <n v="80000"/>
    <d v="2023-12-18T00:00:00"/>
    <x v="176"/>
    <x v="38"/>
    <n v="3.7853439999999999E-3"/>
    <n v="302.82751999999999"/>
    <s v="BJ"/>
    <x v="11"/>
    <x v="15"/>
    <s v="Q4"/>
    <n v="240"/>
    <n v="333.33333333333331"/>
    <s v="BJ PTS"/>
    <n v="0.9"/>
    <n v="72000"/>
    <n v="272.54476799999998"/>
    <n v="300"/>
  </r>
  <r>
    <n v="67803006"/>
    <x v="17"/>
    <n v="15080"/>
    <d v="2023-12-18T00:00:00"/>
    <x v="151"/>
    <x v="35"/>
    <n v="3.6640000000000002E-3"/>
    <n v="55.253120000000003"/>
    <s v="BJ"/>
    <x v="11"/>
    <x v="24"/>
    <s v="Q4"/>
    <n v="240"/>
    <n v="62.833333333333336"/>
    <s v="PTS Exports"/>
    <n v="0.9"/>
    <n v="13572"/>
    <n v="49.727808000000003"/>
    <n v="56.550000000000004"/>
  </r>
  <r>
    <n v="84135758"/>
    <x v="17"/>
    <n v="32040"/>
    <d v="2023-12-18T00:00:00"/>
    <x v="130"/>
    <x v="33"/>
    <n v="1.4399999999999999E-3"/>
    <n v="46.137599999999999"/>
    <s v="BJ"/>
    <x v="11"/>
    <x v="16"/>
    <s v="Q4"/>
    <n v="510"/>
    <n v="62.823529411764703"/>
    <s v="B&amp;J Cups"/>
    <n v="0.85"/>
    <n v="27234"/>
    <n v="39.21696"/>
    <n v="53.4"/>
  </r>
  <r>
    <n v="84136708"/>
    <x v="17"/>
    <n v="6240"/>
    <d v="2023-12-18T00:00:00"/>
    <x v="332"/>
    <x v="35"/>
    <n v="9.0848256361922702E-3"/>
    <n v="56.689311969839764"/>
    <s v="BJ"/>
    <x v="11"/>
    <x v="39"/>
    <s v="Q4"/>
    <n v="125"/>
    <n v="49.92"/>
    <s v="2.4 Gal"/>
    <n v="0.85"/>
    <n v="5304"/>
    <n v="48.185915174363799"/>
    <n v="42.432000000000002"/>
  </r>
  <r>
    <n v="84137694"/>
    <x v="17"/>
    <n v="37120"/>
    <d v="2023-12-18T00:00:00"/>
    <x v="136"/>
    <x v="38"/>
    <n v="3.7853439999999999E-3"/>
    <n v="140.51196927999999"/>
    <s v="BJ"/>
    <x v="11"/>
    <x v="15"/>
    <s v="Q4"/>
    <n v="240"/>
    <n v="154.66666666666666"/>
    <s v="BJ PTS"/>
    <n v="0.9"/>
    <n v="33408"/>
    <n v="126.46077235199999"/>
    <n v="139.19999999999999"/>
  </r>
  <r>
    <n v="84138391"/>
    <x v="17"/>
    <n v="74240"/>
    <d v="2023-12-18T00:00:00"/>
    <x v="84"/>
    <x v="33"/>
    <n v="3.7853439999999999E-3"/>
    <n v="281.02393855999998"/>
    <s v="BJ"/>
    <x v="11"/>
    <x v="15"/>
    <s v="Q4"/>
    <n v="240"/>
    <n v="309.33333333333331"/>
    <s v="BJ PTS"/>
    <n v="0.9"/>
    <n v="66816"/>
    <n v="252.92154470399998"/>
    <n v="278.39999999999998"/>
  </r>
  <r>
    <n v="84143543"/>
    <x v="17"/>
    <n v="6240"/>
    <d v="2023-12-18T00:00:00"/>
    <x v="218"/>
    <x v="35"/>
    <n v="9.0848256361922702E-3"/>
    <n v="56.689311969839764"/>
    <s v="BJ"/>
    <x v="11"/>
    <x v="39"/>
    <s v="Q4"/>
    <n v="125"/>
    <n v="49.92"/>
    <s v="2.4 Gal"/>
    <n v="0.85"/>
    <n v="5304"/>
    <n v="48.185915174363799"/>
    <n v="42.432000000000002"/>
  </r>
  <r>
    <n v="84150071"/>
    <x v="17"/>
    <n v="15130"/>
    <d v="2023-12-18T00:00:00"/>
    <x v="117"/>
    <x v="33"/>
    <n v="1.4384307203870285E-3"/>
    <n v="21.763456799455742"/>
    <s v="BJ"/>
    <x v="11"/>
    <x v="31"/>
    <s v="Q4"/>
    <n v="510"/>
    <n v="29.666666666666668"/>
    <s v="Cup Exports"/>
    <n v="0.85"/>
    <n v="12860.5"/>
    <n v="18.498938279537381"/>
    <n v="25.216666666666669"/>
  </r>
  <r>
    <n v="84151113"/>
    <x v="17"/>
    <n v="15130"/>
    <d v="2023-12-18T00:00:00"/>
    <x v="161"/>
    <x v="33"/>
    <n v="1.419504E-3"/>
    <n v="21.477095519999999"/>
    <s v="BJ"/>
    <x v="11"/>
    <x v="31"/>
    <s v="Q4"/>
    <n v="510"/>
    <n v="29.666666666666668"/>
    <s v="Cup Exports"/>
    <n v="0.85"/>
    <n v="12860.5"/>
    <n v="18.255531191999999"/>
    <n v="25.216666666666669"/>
  </r>
  <r>
    <n v="67885721"/>
    <x v="16"/>
    <n v="45600"/>
    <d v="2023-12-19T00:00:00"/>
    <x v="40"/>
    <x v="32"/>
    <n v="8.5199999999999998E-3"/>
    <n v="388.512"/>
    <s v="BR"/>
    <x v="11"/>
    <x v="2"/>
    <s v="Q4"/>
    <n v="154"/>
    <n v="296.10389610389609"/>
    <s v="48oz"/>
    <n v="0.95"/>
    <n v="43320"/>
    <n v="369.08639999999997"/>
    <n v="281.29870129870125"/>
  </r>
  <r>
    <n v="67885722"/>
    <x v="16"/>
    <n v="5700"/>
    <d v="2023-12-19T00:00:00"/>
    <x v="163"/>
    <x v="32"/>
    <n v="8.5199999999999998E-3"/>
    <n v="48.564"/>
    <s v="BR"/>
    <x v="11"/>
    <x v="2"/>
    <s v="Q4"/>
    <n v="154"/>
    <n v="37.012987012987011"/>
    <s v="48oz"/>
    <n v="0.95"/>
    <n v="5415"/>
    <n v="46.135799999999996"/>
    <n v="35.162337662337656"/>
  </r>
  <r>
    <n v="67908208"/>
    <x v="16"/>
    <n v="32400"/>
    <d v="2023-12-19T00:00:00"/>
    <x v="225"/>
    <x v="25"/>
    <n v="3.9039999999999999E-3"/>
    <n v="126.4896"/>
    <s v="GH"/>
    <x v="11"/>
    <x v="11"/>
    <s v="Q4"/>
    <n v="154"/>
    <n v="210.3896103896104"/>
    <s v="MBG"/>
    <n v="0.87"/>
    <n v="28188"/>
    <n v="110.045952"/>
    <n v="183.03896103896105"/>
  </r>
  <r>
    <n v="68354588"/>
    <x v="16"/>
    <n v="57000"/>
    <d v="2023-12-19T00:00:00"/>
    <x v="173"/>
    <x v="15"/>
    <n v="3.5999999999999999E-3"/>
    <n v="205.2"/>
    <s v="BJ"/>
    <x v="11"/>
    <x v="19"/>
    <s v="Q4"/>
    <n v="240"/>
    <n v="237.5"/>
    <s v="Topped"/>
    <n v="0.91"/>
    <n v="51870"/>
    <n v="186.732"/>
    <n v="216.125"/>
  </r>
  <r>
    <n v="68649096"/>
    <x v="16"/>
    <n v="57000"/>
    <d v="2023-12-19T00:00:00"/>
    <x v="241"/>
    <x v="15"/>
    <n v="3.5999999999999999E-3"/>
    <n v="205.2"/>
    <s v="BJ"/>
    <x v="11"/>
    <x v="19"/>
    <s v="Q4"/>
    <n v="240"/>
    <n v="237.5"/>
    <s v="Topped"/>
    <n v="0.91"/>
    <n v="51870"/>
    <n v="186.732"/>
    <n v="216.125"/>
  </r>
  <r>
    <n v="68726716"/>
    <x v="16"/>
    <n v="25650"/>
    <d v="2023-12-19T00:00:00"/>
    <x v="384"/>
    <x v="21"/>
    <n v="3.7853440000000004E-3"/>
    <n v="97.094073600000016"/>
    <s v="TA"/>
    <x v="11"/>
    <x v="10"/>
    <s v="Q4"/>
    <n v="255"/>
    <n v="100.58823529411765"/>
    <s v="TALENTI"/>
    <n v="0.94"/>
    <n v="24111"/>
    <n v="91.268429184000013"/>
    <n v="94.552941176470583"/>
  </r>
  <r>
    <n v="68726982"/>
    <x v="16"/>
    <n v="57000"/>
    <d v="2023-12-19T00:00:00"/>
    <x v="291"/>
    <x v="21"/>
    <n v="3.7853440000000004E-3"/>
    <n v="215.76460800000001"/>
    <s v="TA"/>
    <x v="11"/>
    <x v="10"/>
    <s v="Q4"/>
    <n v="255"/>
    <n v="223.52941176470588"/>
    <s v="TALENTI"/>
    <n v="0.94"/>
    <n v="53580"/>
    <n v="202.81873152"/>
    <n v="210.11764705882351"/>
  </r>
  <r>
    <n v="68728263"/>
    <x v="16"/>
    <n v="25000"/>
    <d v="2023-12-19T00:00:00"/>
    <x v="307"/>
    <x v="22"/>
    <n v="3.7853439999999999E-3"/>
    <n v="94.633600000000001"/>
    <s v="TA"/>
    <x v="11"/>
    <x v="10"/>
    <s v="Q4"/>
    <n v="255"/>
    <n v="98.039215686274517"/>
    <s v="TALENTI"/>
    <n v="0.94"/>
    <n v="23500"/>
    <n v="88.955584000000002"/>
    <n v="92.156862745098039"/>
  </r>
  <r>
    <n v="68729634"/>
    <x v="16"/>
    <n v="25000"/>
    <d v="2023-12-19T00:00:00"/>
    <x v="92"/>
    <x v="22"/>
    <n v="3.7853439999999999E-3"/>
    <n v="94.633600000000001"/>
    <s v="TA"/>
    <x v="11"/>
    <x v="10"/>
    <s v="Q4"/>
    <n v="255"/>
    <n v="98.039215686274517"/>
    <s v="TALENTI"/>
    <n v="0.94"/>
    <n v="23500"/>
    <n v="88.955584000000002"/>
    <n v="92.156862745098039"/>
  </r>
  <r>
    <n v="68730234"/>
    <x v="16"/>
    <n v="57000"/>
    <d v="2023-12-19T00:00:00"/>
    <x v="21"/>
    <x v="21"/>
    <n v="3.7853440000000004E-3"/>
    <n v="215.76460800000001"/>
    <s v="TA"/>
    <x v="11"/>
    <x v="10"/>
    <s v="Q4"/>
    <n v="255"/>
    <n v="223.52941176470588"/>
    <s v="TALENTI"/>
    <n v="0.94"/>
    <n v="53580"/>
    <n v="202.81873152"/>
    <n v="210.11764705882351"/>
  </r>
  <r>
    <n v="68881270"/>
    <x v="16"/>
    <n v="26400"/>
    <d v="2023-12-19T00:00:00"/>
    <x v="91"/>
    <x v="2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568962"/>
    <x v="16"/>
    <n v="23400"/>
    <d v="2023-12-19T00:00:00"/>
    <x v="121"/>
    <x v="32"/>
    <n v="8.5199999999999998E-3"/>
    <n v="199.36799999999999"/>
    <s v="BR"/>
    <x v="11"/>
    <x v="2"/>
    <s v="Q4"/>
    <n v="176"/>
    <n v="132.95454545454547"/>
    <s v="48oz"/>
    <n v="0.95"/>
    <n v="22230"/>
    <n v="189.39959999999999"/>
    <n v="126.30681818181819"/>
  </r>
  <r>
    <n v="69568963"/>
    <x v="16"/>
    <n v="26400"/>
    <d v="2023-12-19T00:00:00"/>
    <x v="94"/>
    <x v="2"/>
    <n v="8.5199999999999998E-3"/>
    <n v="224.928"/>
    <s v="BR"/>
    <x v="11"/>
    <x v="2"/>
    <s v="Q4"/>
    <n v="176"/>
    <n v="150"/>
    <s v="48oz"/>
    <n v="0.95"/>
    <n v="25080"/>
    <n v="213.68159999999997"/>
    <n v="142.5"/>
  </r>
  <r>
    <n v="69568964"/>
    <x v="16"/>
    <n v="23400"/>
    <d v="2023-12-19T00:00:00"/>
    <x v="134"/>
    <x v="32"/>
    <n v="8.5199999999999998E-3"/>
    <n v="199.36799999999999"/>
    <s v="BR"/>
    <x v="11"/>
    <x v="2"/>
    <s v="Q4"/>
    <n v="176"/>
    <n v="132.95454545454547"/>
    <s v="48oz"/>
    <n v="0.95"/>
    <n v="22230"/>
    <n v="189.39959999999999"/>
    <n v="126.30681818181819"/>
  </r>
  <r>
    <n v="69629468"/>
    <x v="16"/>
    <n v="32400"/>
    <d v="2023-12-19T00:00:00"/>
    <x v="30"/>
    <x v="30"/>
    <n v="5.2680000000000001E-3"/>
    <n v="170.6832"/>
    <s v="PS"/>
    <x v="11"/>
    <x v="14"/>
    <s v="Q4"/>
    <n v="130"/>
    <n v="249.23076923076923"/>
    <s v="PG"/>
    <n v="0.9"/>
    <n v="29160"/>
    <n v="153.61488"/>
    <n v="224.30769230769232"/>
  </r>
  <r>
    <n v="84135781"/>
    <x v="16"/>
    <n v="0"/>
    <d v="2023-12-19T00:00:00"/>
    <x v="356"/>
    <x v="15"/>
    <n v="3.7853439999999999E-3"/>
    <n v="0"/>
    <s v="BJ"/>
    <x v="11"/>
    <x v="30"/>
    <s v="Q4"/>
    <n v="240"/>
    <n v="0"/>
    <s v="BJ PTS"/>
    <n v="0.9"/>
    <n v="0"/>
    <n v="0"/>
    <n v="0"/>
  </r>
  <r>
    <n v="67476456"/>
    <x v="15"/>
    <m/>
    <d v="2023-12-23T00:00:00"/>
    <x v="9"/>
    <x v="10"/>
    <n v="1.536E-3"/>
    <n v="0"/>
    <s v="PS"/>
    <x v="11"/>
    <x v="3"/>
    <s v="Q4"/>
    <n v="400"/>
    <n v="0"/>
    <s v="PG"/>
    <n v="0.9"/>
    <n v="0"/>
    <n v="0"/>
    <n v="0"/>
  </r>
  <r>
    <n v="68659717"/>
    <x v="15"/>
    <n v="1"/>
    <d v="2023-12-23T00:00:00"/>
    <x v="260"/>
    <x v="6"/>
    <n v="2.8319999999999999E-3"/>
    <n v="2.8319999999999999E-3"/>
    <s v="GH"/>
    <x v="11"/>
    <x v="4"/>
    <s v="Q4"/>
    <n v="154"/>
    <n v="6.4935064935064939E-3"/>
    <s v="MBG"/>
    <n v="0.87"/>
    <n v="0.87"/>
    <n v="2.4638399999999997E-3"/>
    <n v="5.6493506493506497E-3"/>
  </r>
  <r>
    <n v="68659717"/>
    <x v="15"/>
    <n v="1"/>
    <d v="2023-12-23T00:00:00"/>
    <x v="260"/>
    <x v="4"/>
    <n v="2.8319999999999999E-3"/>
    <n v="2.8319999999999999E-3"/>
    <s v="GH"/>
    <x v="11"/>
    <x v="4"/>
    <s v="Q4"/>
    <n v="154"/>
    <n v="6.4935064935064939E-3"/>
    <s v="MBG"/>
    <n v="0.87"/>
    <n v="0.87"/>
    <n v="2.4638399999999997E-3"/>
    <n v="5.6493506493506497E-3"/>
  </r>
  <r>
    <n v="69700048"/>
    <x v="15"/>
    <n v="2000"/>
    <d v="2023-12-23T00:00:00"/>
    <x v="288"/>
    <x v="24"/>
    <n v="2.3469132803553457E-3"/>
    <n v="4.6938265607106917"/>
    <s v="GH"/>
    <x v="11"/>
    <x v="4"/>
    <s v="Q4"/>
    <n v="350"/>
    <n v="5.7142857142857144"/>
    <s v="MBG"/>
    <n v="0.87"/>
    <n v="1740"/>
    <n v="4.083629107818302"/>
    <n v="4.9714285714285715"/>
  </r>
  <r>
    <n v="84149990"/>
    <x v="18"/>
    <n v="21450"/>
    <d v="2023-12-23T00:00:00"/>
    <x v="168"/>
    <x v="33"/>
    <n v="3.7853439999999999E-3"/>
    <n v="81.195628799999994"/>
    <s v="BJ"/>
    <x v="11"/>
    <x v="40"/>
    <s v="Q4"/>
    <n v="240"/>
    <n v="89.375"/>
    <s v="PTS Exports"/>
    <n v="0.9"/>
    <n v="19305"/>
    <n v="73.076065919999991"/>
    <n v="80.4375"/>
  </r>
  <r>
    <n v="67546042"/>
    <x v="17"/>
    <n v="34800"/>
    <d v="2023-12-23T00:00:00"/>
    <x v="108"/>
    <x v="35"/>
    <n v="3.7853439999999999E-3"/>
    <n v="131.72997119999999"/>
    <s v="BJ"/>
    <x v="11"/>
    <x v="15"/>
    <s v="Q4"/>
    <n v="240"/>
    <n v="145"/>
    <s v="BJ PTS"/>
    <n v="0.9"/>
    <n v="31320"/>
    <n v="118.55697408"/>
    <n v="130.5"/>
  </r>
  <r>
    <n v="67568055"/>
    <x v="17"/>
    <n v="6240"/>
    <d v="2023-12-23T00:00:00"/>
    <x v="200"/>
    <x v="35"/>
    <n v="9.0848256361922702E-3"/>
    <n v="56.689311969839764"/>
    <s v="BJ"/>
    <x v="11"/>
    <x v="39"/>
    <s v="Q4"/>
    <n v="125"/>
    <n v="49.92"/>
    <s v="2.4 Gal"/>
    <n v="0.85"/>
    <n v="5304"/>
    <n v="48.185915174363799"/>
    <n v="42.432000000000002"/>
  </r>
  <r>
    <n v="68631390"/>
    <x v="17"/>
    <n v="7280"/>
    <d v="2023-12-23T00:00:00"/>
    <x v="177"/>
    <x v="35"/>
    <n v="3.7839999999999996E-3"/>
    <n v="27.547519999999999"/>
    <s v="BJ"/>
    <x v="11"/>
    <x v="24"/>
    <s v="Q4"/>
    <n v="240"/>
    <n v="30.333333333333332"/>
    <s v="PTS Exports"/>
    <n v="0.9"/>
    <n v="6552"/>
    <n v="24.792767999999999"/>
    <n v="27.3"/>
  </r>
  <r>
    <n v="68631390"/>
    <x v="17"/>
    <n v="6960"/>
    <d v="2023-12-23T00:00:00"/>
    <x v="177"/>
    <x v="33"/>
    <n v="3.7839999999999996E-3"/>
    <n v="26.336639999999996"/>
    <s v="BJ"/>
    <x v="11"/>
    <x v="24"/>
    <s v="Q4"/>
    <n v="240"/>
    <n v="29"/>
    <s v="PTS Exports"/>
    <n v="0.9"/>
    <n v="6264"/>
    <n v="23.702975999999996"/>
    <n v="26.1"/>
  </r>
  <r>
    <n v="68631390"/>
    <x v="17"/>
    <n v="1"/>
    <d v="2023-12-23T00:00:00"/>
    <x v="177"/>
    <x v="33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5"/>
    <x v="17"/>
    <n v="1"/>
    <d v="2023-12-23T00:00:00"/>
    <x v="190"/>
    <x v="38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5"/>
    <x v="17"/>
    <n v="1"/>
    <d v="2023-12-23T00:00:00"/>
    <x v="190"/>
    <x v="33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5"/>
    <x v="17"/>
    <n v="1"/>
    <d v="2023-12-23T00:00:00"/>
    <x v="190"/>
    <x v="35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6"/>
    <x v="17"/>
    <n v="1"/>
    <d v="2023-12-23T00:00:00"/>
    <x v="191"/>
    <x v="38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6"/>
    <x v="17"/>
    <n v="1"/>
    <d v="2023-12-23T00:00:00"/>
    <x v="191"/>
    <x v="33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6"/>
    <x v="17"/>
    <n v="1"/>
    <d v="2023-12-23T00:00:00"/>
    <x v="191"/>
    <x v="35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7"/>
    <x v="17"/>
    <n v="1"/>
    <d v="2023-12-23T00:00:00"/>
    <x v="178"/>
    <x v="33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7"/>
    <x v="17"/>
    <n v="1"/>
    <d v="2023-12-23T00:00:00"/>
    <x v="178"/>
    <x v="38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31417"/>
    <x v="17"/>
    <n v="1"/>
    <d v="2023-12-23T00:00:00"/>
    <x v="178"/>
    <x v="35"/>
    <n v="3.7839999999999996E-3"/>
    <n v="3.7839999999999996E-3"/>
    <s v="BJ"/>
    <x v="11"/>
    <x v="24"/>
    <s v="Q4"/>
    <n v="240"/>
    <n v="4.1666666666666666E-3"/>
    <s v="PTS Exports"/>
    <n v="0.9"/>
    <n v="0.9"/>
    <n v="3.4055999999999995E-3"/>
    <n v="3.7499999999999999E-3"/>
  </r>
  <r>
    <n v="68692901"/>
    <x v="17"/>
    <n v="1"/>
    <d v="2023-12-23T00:00:00"/>
    <x v="393"/>
    <x v="35"/>
    <n v="9.0848256361922702E-3"/>
    <n v="9.0848256361922702E-3"/>
    <s v="BJ"/>
    <x v="11"/>
    <x v="39"/>
    <s v="Q4"/>
    <n v="125"/>
    <n v="8.0000000000000002E-3"/>
    <s v="2.4 gal"/>
    <n v="0.85"/>
    <n v="0.85"/>
    <n v="7.7221017907634299E-3"/>
    <n v="6.7999999999999996E-3"/>
  </r>
  <r>
    <n v="69552651"/>
    <x v="17"/>
    <n v="30160"/>
    <d v="2023-12-23T00:00:00"/>
    <x v="292"/>
    <x v="35"/>
    <n v="3.7839999999999996E-3"/>
    <n v="114.12543999999998"/>
    <s v="BJ"/>
    <x v="11"/>
    <x v="15"/>
    <s v="Q4"/>
    <n v="240"/>
    <n v="125.66666666666667"/>
    <s v="BJ PTS"/>
    <n v="0.9"/>
    <n v="27144"/>
    <n v="102.71289599999999"/>
    <n v="113.10000000000001"/>
  </r>
  <r>
    <n v="69572657"/>
    <x v="16"/>
    <n v="71000"/>
    <d v="2023-12-25T00:00:00"/>
    <x v="306"/>
    <x v="5"/>
    <n v="2.1520000000000003E-3"/>
    <n v="152.79200000000003"/>
    <s v="MG"/>
    <x v="11"/>
    <x v="5"/>
    <s v="Q4"/>
    <n v="210"/>
    <n v="338.09523809523807"/>
    <s v="MG Sticks"/>
    <n v="0.93"/>
    <n v="66030"/>
    <n v="142.09656000000004"/>
    <n v="314.42857142857144"/>
  </r>
  <r>
    <n v="69572544"/>
    <x v="16"/>
    <n v="43350"/>
    <d v="2023-12-06T00:00:00"/>
    <x v="171"/>
    <x v="14"/>
    <n v="1.9740000000000001E-3"/>
    <n v="85.572900000000004"/>
    <s v="MG"/>
    <x v="11"/>
    <x v="5"/>
    <s v="Q4"/>
    <n v="176"/>
    <n v="246.30681818181819"/>
    <s v="MG Sticks"/>
    <n v="0.93"/>
    <n v="40315.5"/>
    <n v="79.582797000000014"/>
    <n v="229.06534090909093"/>
  </r>
  <r>
    <n v="69572659"/>
    <x v="16"/>
    <n v="71000"/>
    <d v="2023-12-25T00:00:00"/>
    <x v="5"/>
    <x v="5"/>
    <n v="2.1520000000000003E-3"/>
    <n v="152.79200000000003"/>
    <s v="MG"/>
    <x v="11"/>
    <x v="5"/>
    <s v="Q4"/>
    <n v="210"/>
    <n v="338.09523809523807"/>
    <s v="MG Sticks"/>
    <n v="0.93"/>
    <n v="66030"/>
    <n v="142.09656000000004"/>
    <n v="314.42857142857144"/>
  </r>
  <r>
    <n v="69621212"/>
    <x v="16"/>
    <m/>
    <d v="2023-12-25T00:00:00"/>
    <x v="29"/>
    <x v="28"/>
    <n v="5.2680000000000001E-3"/>
    <n v="0"/>
    <s v="PG"/>
    <x v="11"/>
    <x v="14"/>
    <s v="Q4"/>
    <n v="130"/>
    <n v="0"/>
    <s v="PG"/>
    <n v="0.9"/>
    <n v="0"/>
    <n v="0"/>
    <n v="0"/>
  </r>
  <r>
    <n v="69706147"/>
    <x v="16"/>
    <m/>
    <d v="2023-12-25T00:00:00"/>
    <x v="195"/>
    <x v="31"/>
    <n v="3.8999999999999998E-3"/>
    <n v="0"/>
    <s v="TA"/>
    <x v="11"/>
    <x v="42"/>
    <s v="Q4"/>
    <n v="176"/>
    <n v="0"/>
    <s v="TAL NV"/>
    <n v="0.97"/>
    <n v="0"/>
    <n v="0"/>
    <n v="0"/>
  </r>
  <r>
    <n v="68354586"/>
    <x v="16"/>
    <n v="57000"/>
    <d v="2023-12-26T00:00:00"/>
    <x v="309"/>
    <x v="15"/>
    <n v="3.5999999999999999E-3"/>
    <n v="205.2"/>
    <s v="BJ"/>
    <x v="11"/>
    <x v="19"/>
    <s v="Q4"/>
    <n v="240"/>
    <n v="237.5"/>
    <s v="Topped"/>
    <n v="0.91"/>
    <n v="51870"/>
    <n v="186.732"/>
    <n v="216.125"/>
  </r>
  <r>
    <n v="69677917"/>
    <x v="16"/>
    <m/>
    <d v="2023-12-26T00:00:00"/>
    <x v="30"/>
    <x v="30"/>
    <n v="5.2680000000000001E-3"/>
    <n v="0"/>
    <s v="PS"/>
    <x v="11"/>
    <x v="14"/>
    <s v="Q4"/>
    <n v="108"/>
    <n v="0"/>
    <s v="PG"/>
    <n v="0.9"/>
    <n v="0"/>
    <n v="0"/>
    <n v="0"/>
  </r>
  <r>
    <n v="84141094"/>
    <x v="16"/>
    <n v="0"/>
    <d v="2023-12-26T00:00:00"/>
    <x v="107"/>
    <x v="15"/>
    <n v="3.7853439999999999E-3"/>
    <n v="0"/>
    <s v="BJ"/>
    <x v="11"/>
    <x v="30"/>
    <s v="Q4"/>
    <n v="240"/>
    <n v="0"/>
    <s v="BJ PTS"/>
    <n v="0.9"/>
    <n v="0"/>
    <n v="0"/>
    <n v="0"/>
  </r>
  <r>
    <n v="84164936"/>
    <x v="16"/>
    <n v="22800"/>
    <d v="2023-12-26T00:00:00"/>
    <x v="162"/>
    <x v="15"/>
    <n v="3.7853439999999999E-3"/>
    <n v="86.305843199999998"/>
    <s v="BJ"/>
    <x v="11"/>
    <x v="30"/>
    <s v="Q4"/>
    <n v="240"/>
    <n v="95"/>
    <s v="BJ PTS"/>
    <n v="0.9"/>
    <n v="20520"/>
    <n v="77.675258880000001"/>
    <n v="85.5"/>
  </r>
  <r>
    <n v="68188183"/>
    <x v="15"/>
    <m/>
    <d v="2023-12-29T00:00:00"/>
    <x v="70"/>
    <x v="9"/>
    <n v="3.8340000000000002E-3"/>
    <n v="0"/>
    <s v="PS"/>
    <x v="11"/>
    <x v="3"/>
    <s v="Q4"/>
    <n v="130"/>
    <n v="0"/>
    <s v="PG"/>
    <n v="0.9"/>
    <n v="0"/>
    <n v="0"/>
    <n v="0"/>
  </r>
  <r>
    <n v="67309843"/>
    <x v="15"/>
    <n v="25200"/>
    <d v="2023-12-31T00:00:00"/>
    <x v="88"/>
    <x v="11"/>
    <n v="8.5199999999999998E-3"/>
    <n v="214.70400000000001"/>
    <s v="BR"/>
    <x v="11"/>
    <x v="6"/>
    <s v="Q4"/>
    <n v="154"/>
    <n v="163.63636363636363"/>
    <s v="48oz"/>
    <n v="0.95"/>
    <n v="23940"/>
    <n v="203.96879999999999"/>
    <n v="155.45454545454544"/>
  </r>
  <r>
    <n v="67723726"/>
    <x v="15"/>
    <n v="25200"/>
    <d v="2023-12-31T00:00:00"/>
    <x v="109"/>
    <x v="23"/>
    <n v="8.5199999999999998E-3"/>
    <n v="214.70400000000001"/>
    <s v="BR"/>
    <x v="11"/>
    <x v="6"/>
    <s v="Q4"/>
    <n v="154"/>
    <n v="163.63636363636363"/>
    <s v="48oz"/>
    <n v="0.95"/>
    <n v="23940"/>
    <n v="203.96879999999999"/>
    <n v="155.45454545454544"/>
  </r>
  <r>
    <n v="67885719"/>
    <x v="15"/>
    <n v="22800"/>
    <d v="2023-12-31T00:00:00"/>
    <x v="11"/>
    <x v="12"/>
    <n v="8.5199999999999998E-3"/>
    <n v="194.256"/>
    <s v="BR"/>
    <x v="11"/>
    <x v="6"/>
    <s v="Q4"/>
    <n v="154"/>
    <n v="148.05194805194805"/>
    <s v="48oz"/>
    <n v="0.95"/>
    <n v="21660"/>
    <n v="184.54319999999998"/>
    <n v="140.64935064935062"/>
  </r>
  <r>
    <n v="67885720"/>
    <x v="15"/>
    <n v="2850"/>
    <d v="2023-12-31T00:00:00"/>
    <x v="39"/>
    <x v="12"/>
    <n v="8.5199999999999998E-3"/>
    <n v="24.282"/>
    <s v="BR"/>
    <x v="11"/>
    <x v="6"/>
    <s v="Q4"/>
    <n v="154"/>
    <n v="18.506493506493506"/>
    <s v="48oz"/>
    <n v="0.95"/>
    <n v="2707.5"/>
    <n v="23.067899999999998"/>
    <n v="17.581168831168828"/>
  </r>
  <r>
    <n v="67885723"/>
    <x v="15"/>
    <n v="2550"/>
    <d v="2023-12-31T00:00:00"/>
    <x v="304"/>
    <x v="16"/>
    <n v="8.5199999999999998E-3"/>
    <n v="21.725999999999999"/>
    <s v="BR"/>
    <x v="11"/>
    <x v="6"/>
    <s v="Q4"/>
    <n v="154"/>
    <n v="16.558441558441558"/>
    <s v="48oz"/>
    <n v="0.95"/>
    <n v="2422.5"/>
    <n v="20.639699999999998"/>
    <n v="15.730519480519479"/>
  </r>
  <r>
    <n v="67885724"/>
    <x v="15"/>
    <n v="22800"/>
    <d v="2023-12-31T00:00:00"/>
    <x v="49"/>
    <x v="12"/>
    <n v="8.5199999999999998E-3"/>
    <n v="194.256"/>
    <s v="BR"/>
    <x v="11"/>
    <x v="6"/>
    <s v="Q4"/>
    <n v="154"/>
    <n v="148.05194805194805"/>
    <s v="48oz"/>
    <n v="0.95"/>
    <n v="21660"/>
    <n v="184.54319999999998"/>
    <n v="140.64935064935062"/>
  </r>
  <r>
    <n v="68737750"/>
    <x v="15"/>
    <n v="25200"/>
    <d v="2023-12-31T00:00:00"/>
    <x v="144"/>
    <x v="23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850683"/>
    <x v="15"/>
    <n v="22800"/>
    <d v="2023-12-31T00:00:00"/>
    <x v="335"/>
    <x v="12"/>
    <n v="8.5199999999999998E-3"/>
    <n v="194.256"/>
    <s v="BR"/>
    <x v="11"/>
    <x v="6"/>
    <s v="Q4"/>
    <n v="176"/>
    <n v="129.54545454545453"/>
    <s v="48oz"/>
    <n v="0.95"/>
    <n v="21660"/>
    <n v="184.54319999999998"/>
    <n v="123.0681818181818"/>
  </r>
  <r>
    <n v="68850684"/>
    <x v="15"/>
    <n v="25200"/>
    <d v="2023-12-31T00:00:00"/>
    <x v="354"/>
    <x v="11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8881265"/>
    <x v="15"/>
    <n v="23000"/>
    <d v="2023-12-31T00:00:00"/>
    <x v="211"/>
    <x v="16"/>
    <n v="8.5199999999999998E-3"/>
    <n v="195.96"/>
    <s v="BR"/>
    <x v="11"/>
    <x v="6"/>
    <s v="Q4"/>
    <n v="154"/>
    <n v="149.35064935064935"/>
    <s v="48oz"/>
    <n v="0.95"/>
    <n v="21850"/>
    <n v="186.16200000000001"/>
    <n v="141.88311688311688"/>
  </r>
  <r>
    <n v="68881270"/>
    <x v="15"/>
    <n v="11900"/>
    <d v="2023-12-31T00:00:00"/>
    <x v="91"/>
    <x v="16"/>
    <n v="8.5199999999999998E-3"/>
    <n v="101.38799999999999"/>
    <s v="BR"/>
    <x v="11"/>
    <x v="6"/>
    <s v="Q4"/>
    <n v="176"/>
    <n v="67.61363636363636"/>
    <s v="48oz"/>
    <n v="0.95"/>
    <n v="11305"/>
    <n v="96.318599999999989"/>
    <n v="64.232954545454533"/>
  </r>
  <r>
    <n v="69568828"/>
    <x v="15"/>
    <n v="20400"/>
    <d v="2023-12-31T00:00:00"/>
    <x v="12"/>
    <x v="16"/>
    <n v="8.5199999999999998E-3"/>
    <n v="173.80799999999999"/>
    <s v="BR"/>
    <x v="11"/>
    <x v="6"/>
    <s v="Q4"/>
    <n v="176"/>
    <n v="115.90909090909091"/>
    <s v="48oz"/>
    <n v="0.95"/>
    <n v="19380"/>
    <n v="165.11759999999998"/>
    <n v="110.11363636363636"/>
  </r>
  <r>
    <n v="69568829"/>
    <x v="15"/>
    <n v="25200"/>
    <d v="2023-12-31T00:00:00"/>
    <x v="66"/>
    <x v="11"/>
    <n v="8.5199999999999998E-3"/>
    <n v="214.70400000000001"/>
    <s v="BR"/>
    <x v="11"/>
    <x v="6"/>
    <s v="Q4"/>
    <n v="176"/>
    <n v="143.18181818181819"/>
    <s v="48oz"/>
    <n v="0.95"/>
    <n v="23940"/>
    <n v="203.96879999999999"/>
    <n v="136.02272727272728"/>
  </r>
  <r>
    <n v="69700048"/>
    <x v="15"/>
    <m/>
    <d v="2023-12-31T00:00:00"/>
    <x v="288"/>
    <x v="24"/>
    <n v="2.3469132803553457E-3"/>
    <n v="0"/>
    <s v="GH"/>
    <x v="11"/>
    <x v="4"/>
    <s v="Q4"/>
    <n v="350"/>
    <n v="0"/>
    <s v="MBG"/>
    <n v="0.87"/>
    <n v="0"/>
    <n v="0"/>
    <n v="0"/>
  </r>
  <r>
    <n v="84137725"/>
    <x v="18"/>
    <n v="0"/>
    <d v="2023-12-31T00:00:00"/>
    <x v="132"/>
    <x v="33"/>
    <n v="3.7853439999999999E-3"/>
    <n v="0"/>
    <s v="BJ"/>
    <x v="11"/>
    <x v="36"/>
    <s v="Q4"/>
    <n v="240"/>
    <n v="0"/>
    <s v="BJ PTS"/>
    <n v="0.9"/>
    <n v="0"/>
    <n v="0"/>
    <n v="0"/>
  </r>
  <r>
    <n v="67278444"/>
    <x v="17"/>
    <n v="38400"/>
    <d v="2023-12-31T00:00:00"/>
    <x v="213"/>
    <x v="38"/>
    <n v="3.7839999999999996E-3"/>
    <n v="145.3056"/>
    <s v="BJ"/>
    <x v="11"/>
    <x v="15"/>
    <s v="Q4"/>
    <n v="240"/>
    <n v="160"/>
    <s v="BJ PTS"/>
    <n v="0.9"/>
    <n v="34560"/>
    <n v="130.77503999999999"/>
    <n v="144"/>
  </r>
  <r>
    <n v="67736697"/>
    <x v="17"/>
    <n v="13920"/>
    <d v="2023-12-31T00:00:00"/>
    <x v="253"/>
    <x v="35"/>
    <n v="3.7853439999999999E-3"/>
    <n v="52.691988479999999"/>
    <s v="BJ"/>
    <x v="11"/>
    <x v="15"/>
    <s v="Q4"/>
    <n v="240"/>
    <n v="58"/>
    <s v="BJ PTS"/>
    <n v="0.9"/>
    <n v="12528"/>
    <n v="47.422789631999997"/>
    <n v="52.2"/>
  </r>
  <r>
    <n v="67736698"/>
    <x v="17"/>
    <n v="18560"/>
    <d v="2023-12-31T00:00:00"/>
    <x v="140"/>
    <x v="33"/>
    <n v="3.7839999999999996E-3"/>
    <n v="70.231039999999993"/>
    <s v="BJ"/>
    <x v="11"/>
    <x v="15"/>
    <s v="Q4"/>
    <n v="240"/>
    <n v="77.333333333333329"/>
    <s v="BJ PTS"/>
    <n v="0.9"/>
    <n v="16704"/>
    <n v="63.207935999999997"/>
    <n v="69.599999999999994"/>
  </r>
  <r>
    <n v="67881629"/>
    <x v="17"/>
    <n v="41760"/>
    <d v="2023-12-31T00:00:00"/>
    <x v="65"/>
    <x v="33"/>
    <n v="3.7853439999999999E-3"/>
    <n v="158.07596544"/>
    <s v="BJ"/>
    <x v="11"/>
    <x v="15"/>
    <s v="Q4"/>
    <n v="240"/>
    <n v="174"/>
    <s v="BJ PTS"/>
    <n v="0.9"/>
    <n v="37584"/>
    <n v="142.268368896"/>
    <n v="156.6"/>
  </r>
  <r>
    <n v="68188511"/>
    <x v="17"/>
    <n v="16000"/>
    <d v="2023-12-31T00:00:00"/>
    <x v="188"/>
    <x v="33"/>
    <n v="3.7853439999999999E-3"/>
    <n v="60.565503999999997"/>
    <s v="BJ"/>
    <x v="11"/>
    <x v="15"/>
    <s v="Q4"/>
    <n v="240"/>
    <n v="66.666666666666671"/>
    <s v="BJ PTS"/>
    <n v="0.9"/>
    <n v="14400"/>
    <n v="54.508953599999998"/>
    <n v="60.000000000000007"/>
  </r>
  <r>
    <n v="68188512"/>
    <x v="17"/>
    <n v="11600"/>
    <d v="2023-12-31T00:00:00"/>
    <x v="285"/>
    <x v="35"/>
    <n v="3.7839999999999996E-3"/>
    <n v="43.894399999999997"/>
    <s v="BJ"/>
    <x v="11"/>
    <x v="15"/>
    <s v="Q4"/>
    <n v="240"/>
    <n v="48.333333333333336"/>
    <s v="BJ PTS"/>
    <n v="0.9"/>
    <n v="10440"/>
    <n v="39.504959999999997"/>
    <n v="43.5"/>
  </r>
  <r>
    <n v="68188514"/>
    <x v="17"/>
    <n v="18560"/>
    <d v="2023-12-31T00:00:00"/>
    <x v="180"/>
    <x v="35"/>
    <n v="3.7853439999999999E-3"/>
    <n v="70.255984639999994"/>
    <s v="BJ"/>
    <x v="11"/>
    <x v="15"/>
    <s v="Q4"/>
    <n v="240"/>
    <n v="77.333333333333329"/>
    <s v="BJ PTS"/>
    <n v="0.9"/>
    <n v="16704"/>
    <n v="63.230386175999996"/>
    <n v="69.599999999999994"/>
  </r>
  <r>
    <n v="84136043"/>
    <x v="17"/>
    <n v="23200"/>
    <d v="2023-12-31T00:00:00"/>
    <x v="131"/>
    <x v="38"/>
    <n v="3.7853439999999999E-3"/>
    <n v="87.819980799999996"/>
    <s v="BJ"/>
    <x v="11"/>
    <x v="15"/>
    <s v="Q4"/>
    <n v="240"/>
    <n v="96.666666666666671"/>
    <s v="BJ PTS"/>
    <n v="0.9"/>
    <n v="20880"/>
    <n v="79.037982720000002"/>
    <n v="87"/>
  </r>
  <r>
    <n v="84138347"/>
    <x v="17"/>
    <n v="6240"/>
    <d v="2023-12-31T00:00:00"/>
    <x v="216"/>
    <x v="35"/>
    <n v="9.0848256361922702E-3"/>
    <n v="56.689311969839764"/>
    <s v="BJ"/>
    <x v="11"/>
    <x v="39"/>
    <s v="Q4"/>
    <n v="125"/>
    <n v="49.92"/>
    <s v="2.4 Gal"/>
    <n v="0.85"/>
    <n v="5304"/>
    <n v="48.185915174363799"/>
    <n v="42.432000000000002"/>
  </r>
  <r>
    <n v="69629477"/>
    <x v="1"/>
    <n v="2919"/>
    <d v="2023-04-04T00:00:00"/>
    <x v="61"/>
    <x v="0"/>
    <n v="5.3280000000000003E-3"/>
    <n v="15.552432000000001"/>
    <s v="KL"/>
    <x v="1"/>
    <x v="26"/>
    <s v="Q2"/>
    <n v="108"/>
    <n v="27.027777777777779"/>
    <s v="KL Mini Cones"/>
    <n v="1"/>
    <n v="2919"/>
    <n v="15.552432000000001"/>
    <n v="27.027777777777779"/>
  </r>
  <r>
    <n v="69629477"/>
    <x v="1"/>
    <n v="2927"/>
    <d v="2023-04-04T00:00:00"/>
    <x v="61"/>
    <x v="0"/>
    <n v="5.3280000000000003E-3"/>
    <n v="15.595056000000001"/>
    <s v="KL"/>
    <x v="1"/>
    <x v="26"/>
    <s v="Q2"/>
    <n v="108"/>
    <n v="27.101851851851851"/>
    <s v="KL Mini Cones"/>
    <n v="1"/>
    <n v="2927"/>
    <n v="15.595056000000001"/>
    <n v="27.101851851851851"/>
  </r>
  <r>
    <n v="69629477"/>
    <x v="1"/>
    <n v="2952"/>
    <d v="2023-04-04T00:00:00"/>
    <x v="61"/>
    <x v="0"/>
    <n v="5.3280000000000003E-3"/>
    <n v="15.728256"/>
    <s v="KL"/>
    <x v="1"/>
    <x v="26"/>
    <s v="Q2"/>
    <n v="108"/>
    <n v="27.333333333333332"/>
    <s v="KL Mini Cones"/>
    <n v="1"/>
    <n v="2952"/>
    <n v="15.728256"/>
    <n v="27.333333333333332"/>
  </r>
  <r>
    <n v="69629477"/>
    <x v="1"/>
    <n v="2978"/>
    <d v="2023-04-04T00:00:00"/>
    <x v="61"/>
    <x v="0"/>
    <n v="5.3280000000000003E-3"/>
    <n v="15.866784000000001"/>
    <s v="KL"/>
    <x v="1"/>
    <x v="26"/>
    <s v="Q2"/>
    <n v="108"/>
    <n v="27.574074074074073"/>
    <s v="KL Mini Cones"/>
    <n v="1"/>
    <n v="2978"/>
    <n v="15.866784000000001"/>
    <n v="27.574074074074073"/>
  </r>
  <r>
    <n v="68927903"/>
    <x v="1"/>
    <n v="3040"/>
    <d v="2023-04-05T00:00:00"/>
    <x v="56"/>
    <x v="0"/>
    <n v="2.16E-3"/>
    <n v="6.5663999999999998"/>
    <s v="MG"/>
    <x v="1"/>
    <x v="22"/>
    <s v="Q2"/>
    <n v="160"/>
    <n v="19"/>
    <s v="MG Sticks"/>
    <n v="1"/>
    <n v="3040"/>
    <n v="6.5663999999999998"/>
    <n v="19"/>
  </r>
  <r>
    <n v="69629477"/>
    <x v="1"/>
    <n v="2965"/>
    <d v="2023-04-10T00:00:00"/>
    <x v="61"/>
    <x v="0"/>
    <n v="5.3280000000000003E-3"/>
    <n v="15.79752"/>
    <s v="KL"/>
    <x v="1"/>
    <x v="26"/>
    <s v="Q2"/>
    <n v="108"/>
    <n v="27.453703703703702"/>
    <s v="KL Mini Cones"/>
    <n v="1"/>
    <n v="2965"/>
    <n v="15.79752"/>
    <n v="27.453703703703702"/>
  </r>
  <r>
    <n v="69629477"/>
    <x v="1"/>
    <n v="2464"/>
    <d v="2023-04-12T00:00:00"/>
    <x v="61"/>
    <x v="0"/>
    <n v="5.3280000000000003E-3"/>
    <n v="13.128192"/>
    <s v="KL"/>
    <x v="1"/>
    <x v="26"/>
    <s v="Q2"/>
    <n v="108"/>
    <n v="22.814814814814813"/>
    <s v="KL Mini Cones"/>
    <n v="1"/>
    <n v="2464"/>
    <n v="13.128192"/>
    <n v="22.814814814814813"/>
  </r>
  <r>
    <n v="69629477"/>
    <x v="1"/>
    <n v="2945"/>
    <d v="2023-04-11T00:00:00"/>
    <x v="61"/>
    <x v="0"/>
    <n v="5.3280000000000003E-3"/>
    <n v="15.69096"/>
    <s v="KL"/>
    <x v="1"/>
    <x v="26"/>
    <s v="Q2"/>
    <n v="108"/>
    <n v="27.268518518518519"/>
    <s v="KL Mini Cones"/>
    <n v="1"/>
    <n v="2945"/>
    <n v="15.69096"/>
    <n v="27.268518518518519"/>
  </r>
  <r>
    <n v="69629477"/>
    <x v="1"/>
    <n v="2909"/>
    <d v="2023-04-11T00:00:00"/>
    <x v="61"/>
    <x v="0"/>
    <n v="5.3280000000000003E-3"/>
    <n v="15.499152"/>
    <s v="KL"/>
    <x v="1"/>
    <x v="26"/>
    <s v="Q2"/>
    <n v="108"/>
    <n v="26.935185185185187"/>
    <s v="KL Mini Cones"/>
    <n v="1"/>
    <n v="2909"/>
    <n v="15.499152"/>
    <n v="26.935185185185187"/>
  </r>
  <r>
    <n v="69629477"/>
    <x v="1"/>
    <n v="2743"/>
    <d v="2023-04-24T00:00:00"/>
    <x v="61"/>
    <x v="0"/>
    <n v="5.3280000000000003E-3"/>
    <n v="14.614704000000001"/>
    <s v="KL"/>
    <x v="1"/>
    <x v="26"/>
    <s v="Q2"/>
    <n v="108"/>
    <n v="25.398148148148149"/>
    <s v="KL Mini Cones"/>
    <n v="1"/>
    <n v="2743"/>
    <n v="14.614704000000001"/>
    <n v="25.398148148148149"/>
  </r>
  <r>
    <n v="69629477"/>
    <x v="1"/>
    <n v="2963"/>
    <d v="2023-04-24T00:00:00"/>
    <x v="61"/>
    <x v="0"/>
    <n v="5.3280000000000003E-3"/>
    <n v="15.786864000000001"/>
    <s v="KL"/>
    <x v="1"/>
    <x v="26"/>
    <s v="Q2"/>
    <n v="108"/>
    <n v="27.435185185185187"/>
    <s v="KL Mini Cones"/>
    <n v="1"/>
    <n v="2963"/>
    <n v="15.786864000000001"/>
    <n v="27.435185185185187"/>
  </r>
  <r>
    <n v="69621212"/>
    <x v="16"/>
    <n v="2414"/>
    <d v="2023-05-15T00:00:00"/>
    <x v="29"/>
    <x v="28"/>
    <n v="5.2680000000000001E-3"/>
    <n v="12.716952000000001"/>
    <s v="PG"/>
    <x v="4"/>
    <x v="14"/>
    <s v="Q2"/>
    <n v="130"/>
    <n v="18.569230769230771"/>
    <s v="PG"/>
    <n v="1"/>
    <n v="2414"/>
    <n v="12.716952000000001"/>
    <n v="18.569230769230771"/>
  </r>
  <r>
    <n v="69677917"/>
    <x v="16"/>
    <n v="5079"/>
    <d v="2023-05-15T00:00:00"/>
    <x v="30"/>
    <x v="30"/>
    <n v="5.2680000000000001E-3"/>
    <n v="26.756171999999999"/>
    <s v="PS"/>
    <x v="4"/>
    <x v="14"/>
    <s v="Q2"/>
    <n v="108"/>
    <n v="47.027777777777779"/>
    <s v="PG"/>
    <n v="1"/>
    <n v="5079"/>
    <n v="26.756171999999999"/>
    <n v="47.027777777777779"/>
  </r>
  <r>
    <n v="84141113"/>
    <x v="17"/>
    <n v="23500"/>
    <d v="2023-05-15T00:00:00"/>
    <x v="257"/>
    <x v="33"/>
    <n v="1.419504E-3"/>
    <n v="33.358344000000002"/>
    <s v="BJ"/>
    <x v="4"/>
    <x v="16"/>
    <s v="Q2"/>
    <n v="510"/>
    <n v="46.078431372549019"/>
    <s v="B&amp;J Cups"/>
    <n v="1"/>
    <n v="23500"/>
    <n v="33.358344000000002"/>
    <n v="46.078431372549019"/>
  </r>
  <r>
    <n v="84144598"/>
    <x v="17"/>
    <n v="34597"/>
    <d v="2023-05-15T00:00:00"/>
    <x v="233"/>
    <x v="35"/>
    <n v="3.7853439999999999E-3"/>
    <n v="130.961546368"/>
    <s v="BJ"/>
    <x v="4"/>
    <x v="15"/>
    <s v="Q2"/>
    <n v="240"/>
    <n v="144.15416666666667"/>
    <s v="BJ PTS"/>
    <n v="1"/>
    <n v="34597"/>
    <n v="130.961546368"/>
    <n v="144.15416666666667"/>
  </r>
  <r>
    <n v="69717803"/>
    <x v="16"/>
    <n v="1132"/>
    <d v="2023-05-15T00:00:00"/>
    <x v="69"/>
    <x v="31"/>
    <n v="4.2560000000000002E-3"/>
    <n v="4.8177919999999999"/>
    <s v="BR"/>
    <x v="4"/>
    <x v="5"/>
    <s v="Q2"/>
    <n v="143"/>
    <n v="7.9160839160839158"/>
    <s v="MG Sticks"/>
    <n v="1"/>
    <n v="1132"/>
    <n v="4.8177919999999999"/>
    <n v="7.9160839160839158"/>
  </r>
  <r>
    <n v="68863006"/>
    <x v="20"/>
    <n v="7020"/>
    <d v="2023-04-13T00:00:00"/>
    <x v="179"/>
    <x v="0"/>
    <n v="1.8959999999999999E-3"/>
    <n v="13.30992"/>
    <s v="BJ"/>
    <x v="1"/>
    <x v="48"/>
    <s v="Q2"/>
    <n v="272"/>
    <n v="25.808823529411764"/>
    <s v="Dough Bites"/>
    <n v="1"/>
    <n v="7020"/>
    <n v="13.30992"/>
    <n v="25.808823529411764"/>
  </r>
  <r>
    <n v="69556602"/>
    <x v="4"/>
    <n v="2400"/>
    <d v="2023-04-05T00:00:00"/>
    <x v="165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556602"/>
    <x v="4"/>
    <n v="2400"/>
    <d v="2023-04-05T00:00:00"/>
    <x v="165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05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05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06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05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06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06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7896936"/>
    <x v="21"/>
    <n v="2847"/>
    <d v="2023-04-26T00:00:00"/>
    <x v="394"/>
    <x v="0"/>
    <n v="1.9797349107240664E-3"/>
    <n v="5.6363052908314168"/>
    <s v="MG"/>
    <x v="1"/>
    <x v="51"/>
    <s v="Q2"/>
    <n v="162"/>
    <n v="17.574074074074073"/>
    <s v="MG Sticks ND"/>
    <n v="1"/>
    <n v="2847"/>
    <n v="5.6363052908314168"/>
    <n v="17.574074074074073"/>
  </r>
  <r>
    <n v="69629469"/>
    <x v="4"/>
    <n v="2400"/>
    <d v="2023-04-14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7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7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7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7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7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7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7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2400"/>
    <d v="2023-04-14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14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1774"/>
    <d v="2023-04-20T00:00:00"/>
    <x v="83"/>
    <x v="0"/>
    <n v="5.3220000000000003E-3"/>
    <n v="9.4412280000000006"/>
    <s v="KL"/>
    <x v="1"/>
    <x v="13"/>
    <s v="Q2"/>
    <n v="120"/>
    <n v="14.783333333333333"/>
    <s v="KL Mini Cones"/>
    <n v="1"/>
    <n v="1774"/>
    <n v="9.4412280000000006"/>
    <n v="14.783333333333333"/>
  </r>
  <r>
    <n v="69629470"/>
    <x v="4"/>
    <n v="2400"/>
    <d v="2023-04-12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12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12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12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12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70"/>
    <x v="4"/>
    <n v="2400"/>
    <d v="2023-04-11T00:00:00"/>
    <x v="98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586720"/>
    <x v="4"/>
    <n v="4400"/>
    <d v="2023-04-11T00:00:00"/>
    <x v="302"/>
    <x v="0"/>
    <n v="2.6610000000000002E-3"/>
    <n v="11.708400000000001"/>
    <s v="KL"/>
    <x v="1"/>
    <x v="13"/>
    <s v="Q2"/>
    <n v="220"/>
    <n v="20"/>
    <s v="KL Mini Cones"/>
    <n v="1"/>
    <n v="4400"/>
    <n v="11.708400000000001"/>
    <n v="20"/>
  </r>
  <r>
    <n v="69586720"/>
    <x v="4"/>
    <n v="4400"/>
    <d v="2023-04-12T00:00:00"/>
    <x v="302"/>
    <x v="0"/>
    <n v="2.6610000000000002E-3"/>
    <n v="11.708400000000001"/>
    <s v="KL"/>
    <x v="1"/>
    <x v="13"/>
    <s v="Q2"/>
    <n v="220"/>
    <n v="20"/>
    <s v="KL Mini Cones"/>
    <n v="1"/>
    <n v="4400"/>
    <n v="11.708400000000001"/>
    <n v="20"/>
  </r>
  <r>
    <n v="69586720"/>
    <x v="4"/>
    <n v="4400"/>
    <d v="2023-04-11T00:00:00"/>
    <x v="302"/>
    <x v="0"/>
    <n v="2.6610000000000002E-3"/>
    <n v="11.708400000000001"/>
    <s v="KL"/>
    <x v="1"/>
    <x v="13"/>
    <s v="Q2"/>
    <n v="220"/>
    <n v="20"/>
    <s v="KL Mini Cones"/>
    <n v="1"/>
    <n v="4400"/>
    <n v="11.708400000000001"/>
    <n v="20"/>
  </r>
  <r>
    <n v="69586720"/>
    <x v="4"/>
    <n v="3935"/>
    <d v="2023-04-12T00:00:00"/>
    <x v="302"/>
    <x v="0"/>
    <n v="2.6610000000000002E-3"/>
    <n v="10.471035000000001"/>
    <s v="KL"/>
    <x v="1"/>
    <x v="13"/>
    <s v="Q2"/>
    <n v="220"/>
    <n v="17.886363636363637"/>
    <s v="KL Mini Cones"/>
    <n v="1"/>
    <n v="3935"/>
    <n v="10.471035000000001"/>
    <n v="17.886363636363637"/>
  </r>
  <r>
    <n v="68788589"/>
    <x v="20"/>
    <n v="5335"/>
    <d v="2023-04-20T00:00:00"/>
    <x v="145"/>
    <x v="0"/>
    <n v="2.1292560036643622E-3"/>
    <n v="11.359580779549372"/>
    <s v="BJ"/>
    <x v="1"/>
    <x v="48"/>
    <s v="Q2"/>
    <n v="240"/>
    <n v="22.229166666666668"/>
    <s v="Dough Bites"/>
    <n v="1"/>
    <n v="5335"/>
    <n v="11.359580779549372"/>
    <n v="22.229166666666668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118"/>
    <d v="2023-04-21T00:00:00"/>
    <x v="263"/>
    <x v="0"/>
    <n v="5.3220000000000003E-3"/>
    <n v="0.627996"/>
    <s v="KL"/>
    <x v="1"/>
    <x v="13"/>
    <s v="Q2"/>
    <n v="120"/>
    <n v="0.98333333333333328"/>
    <s v="KL Mini Cones"/>
    <n v="1"/>
    <n v="118"/>
    <n v="0.627996"/>
    <n v="0.98333333333333328"/>
  </r>
  <r>
    <n v="69628686"/>
    <x v="4"/>
    <n v="402"/>
    <d v="2023-04-21T00:00:00"/>
    <x v="263"/>
    <x v="0"/>
    <n v="5.3220000000000003E-3"/>
    <n v="2.1394440000000001"/>
    <s v="KL"/>
    <x v="1"/>
    <x v="13"/>
    <s v="Q2"/>
    <n v="120"/>
    <n v="3.35"/>
    <s v="KL Mini Cones"/>
    <n v="1"/>
    <n v="402"/>
    <n v="2.1394440000000001"/>
    <n v="3.35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5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14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13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556602"/>
    <x v="4"/>
    <n v="45"/>
    <d v="2023-04-05T00:00:00"/>
    <x v="165"/>
    <x v="0"/>
    <n v="5.3220000000000003E-3"/>
    <n v="0.23949000000000001"/>
    <s v="KL"/>
    <x v="1"/>
    <x v="13"/>
    <s v="Q2"/>
    <n v="120"/>
    <n v="0.375"/>
    <s v="KL Mini Cones"/>
    <n v="1"/>
    <n v="45"/>
    <n v="0.23949000000000001"/>
    <n v="0.375"/>
  </r>
  <r>
    <n v="69556602"/>
    <x v="4"/>
    <n v="1909"/>
    <d v="2023-04-14T00:00:00"/>
    <x v="165"/>
    <x v="0"/>
    <n v="5.3220000000000003E-3"/>
    <n v="10.159698000000001"/>
    <s v="KL"/>
    <x v="1"/>
    <x v="13"/>
    <s v="Q2"/>
    <n v="120"/>
    <n v="15.908333333333333"/>
    <s v="KL Mini Cones"/>
    <n v="1"/>
    <n v="1909"/>
    <n v="10.159698000000001"/>
    <n v="15.908333333333333"/>
  </r>
  <r>
    <n v="69629469"/>
    <x v="4"/>
    <n v="2400"/>
    <d v="2023-04-13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9469"/>
    <x v="4"/>
    <n v="960"/>
    <d v="2023-04-13T00:00:00"/>
    <x v="83"/>
    <x v="0"/>
    <n v="5.3220000000000003E-3"/>
    <n v="5.1091200000000008"/>
    <s v="KL"/>
    <x v="1"/>
    <x v="13"/>
    <s v="Q2"/>
    <n v="120"/>
    <n v="8"/>
    <s v="KL Mini Cones"/>
    <n v="1"/>
    <n v="960"/>
    <n v="5.1091200000000008"/>
    <n v="8"/>
  </r>
  <r>
    <n v="69629469"/>
    <x v="4"/>
    <n v="2400"/>
    <d v="2023-04-14T00:00:00"/>
    <x v="8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8842352"/>
    <x v="4"/>
    <n v="210"/>
    <d v="2023-05-01T00:00:00"/>
    <x v="76"/>
    <x v="0"/>
    <n v="2.6610000000000002E-3"/>
    <n v="10.524255"/>
    <s v="KL"/>
    <x v="3"/>
    <x v="13"/>
    <s v="Q1"/>
    <n v="220"/>
    <n v="17.977272727272727"/>
    <s v="KL Mini Cones"/>
    <n v="1"/>
    <n v="3955"/>
    <n v="10.524255"/>
    <n v="17.977272727272727"/>
  </r>
  <r>
    <n v="68842352"/>
    <x v="4"/>
    <n v="1100"/>
    <d v="2023-06-01T00:00:00"/>
    <x v="76"/>
    <x v="0"/>
    <n v="2.6610000000000002E-3"/>
    <n v="10.524255"/>
    <s v="KL"/>
    <x v="3"/>
    <x v="13"/>
    <s v="Q1"/>
    <n v="220"/>
    <n v="17.977272727272727"/>
    <s v="KL Mini Cones"/>
    <n v="1"/>
    <n v="3955"/>
    <n v="10.524255"/>
    <n v="17.977272727272727"/>
  </r>
  <r>
    <n v="68842352"/>
    <x v="4"/>
    <n v="3300"/>
    <d v="2023-04-13T00:00:00"/>
    <x v="76"/>
    <x v="0"/>
    <n v="2.6610000000000002E-3"/>
    <n v="8.7812999999999999"/>
    <s v="KL"/>
    <x v="1"/>
    <x v="13"/>
    <s v="Q2"/>
    <n v="220"/>
    <n v="15"/>
    <s v="KL Mini Cones"/>
    <n v="1"/>
    <n v="3300"/>
    <n v="8.7812999999999999"/>
    <n v="15"/>
  </r>
  <r>
    <n v="69645145"/>
    <x v="19"/>
    <n v="26165"/>
    <d v="2023-04-06T00:00:00"/>
    <x v="118"/>
    <x v="0"/>
    <n v="2.8319999999999999E-3"/>
    <n v="74.099279999999993"/>
    <s v="GH"/>
    <x v="1"/>
    <x v="46"/>
    <s v="Q2"/>
    <n v="260"/>
    <n v="100.63461538461539"/>
    <s v="FB Cones"/>
    <n v="1"/>
    <n v="26165"/>
    <n v="74.099279999999993"/>
    <n v="100.63461538461539"/>
  </r>
  <r>
    <n v="68871220"/>
    <x v="19"/>
    <n v="2352"/>
    <d v="2023-05-15T00:00:00"/>
    <x v="156"/>
    <x v="0"/>
    <n v="3.7853439999999999E-3"/>
    <n v="8.903129088"/>
    <s v="BR"/>
    <x v="4"/>
    <x v="38"/>
    <s v="Q2"/>
    <n v="240"/>
    <n v="9.8000000000000007"/>
    <s v="PTS"/>
    <n v="1"/>
    <n v="2352"/>
    <n v="8.903129088"/>
    <n v="9.8000000000000007"/>
  </r>
  <r>
    <n v="69628686"/>
    <x v="4"/>
    <n v="2400"/>
    <d v="2023-04-24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4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4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1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628686"/>
    <x v="4"/>
    <n v="2400"/>
    <d v="2023-04-24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7465063"/>
    <x v="15"/>
    <n v="1720"/>
    <d v="2023-05-16T00:00:00"/>
    <x v="3"/>
    <x v="40"/>
    <n v="5.2680000000000001E-3"/>
    <n v="9.0609599999999997"/>
    <s v="PS"/>
    <x v="4"/>
    <x v="3"/>
    <s v="Q2"/>
    <n v="130"/>
    <n v="13.23076923076923"/>
    <s v="PG"/>
    <n v="1"/>
    <n v="1720"/>
    <n v="9.0609599999999997"/>
    <n v="13.23076923076923"/>
  </r>
  <r>
    <n v="67476560"/>
    <x v="15"/>
    <n v="5161"/>
    <d v="2023-05-16T00:00:00"/>
    <x v="10"/>
    <x v="10"/>
    <n v="5.1060000000000003E-3"/>
    <n v="26.352066000000001"/>
    <s v="PS"/>
    <x v="4"/>
    <x v="3"/>
    <s v="Q2"/>
    <n v="130"/>
    <n v="39.700000000000003"/>
    <s v="PG"/>
    <n v="1"/>
    <n v="5161"/>
    <n v="26.352066000000001"/>
    <n v="39.700000000000003"/>
  </r>
  <r>
    <n v="68188183"/>
    <x v="15"/>
    <n v="1335"/>
    <d v="2023-05-16T00:00:00"/>
    <x v="70"/>
    <x v="9"/>
    <n v="3.8340000000000002E-3"/>
    <n v="5.1183900000000007"/>
    <s v="PS"/>
    <x v="4"/>
    <x v="3"/>
    <s v="Q2"/>
    <n v="130"/>
    <n v="10.26923076923077"/>
    <s v="PG"/>
    <n v="1"/>
    <n v="1335"/>
    <n v="5.1183900000000007"/>
    <n v="10.26923076923077"/>
  </r>
  <r>
    <n v="69628686"/>
    <x v="4"/>
    <n v="2400"/>
    <d v="2023-04-28T00:00:00"/>
    <x v="263"/>
    <x v="0"/>
    <n v="5.3220000000000003E-3"/>
    <n v="12.7728"/>
    <s v="KL"/>
    <x v="1"/>
    <x v="13"/>
    <s v="Q2"/>
    <n v="120"/>
    <n v="20"/>
    <s v="KL Mini Cones"/>
    <n v="1"/>
    <n v="2400"/>
    <n v="12.7728"/>
    <n v="20"/>
  </r>
  <r>
    <n v="69586720"/>
    <x v="4"/>
    <n v="4400"/>
    <d v="2023-04-28T00:00:00"/>
    <x v="302"/>
    <x v="0"/>
    <n v="2.6610000000000002E-3"/>
    <n v="11.708400000000001"/>
    <s v="KL"/>
    <x v="1"/>
    <x v="13"/>
    <s v="Q2"/>
    <n v="220"/>
    <n v="20"/>
    <s v="KL Mini Cones"/>
    <n v="1"/>
    <n v="4400"/>
    <n v="11.708400000000001"/>
    <n v="20"/>
  </r>
  <r>
    <n v="69628686"/>
    <x v="4"/>
    <n v="1560"/>
    <d v="2023-04-28T00:00:00"/>
    <x v="263"/>
    <x v="0"/>
    <n v="5.3220000000000003E-3"/>
    <n v="8.3023199999999999"/>
    <s v="KL"/>
    <x v="1"/>
    <x v="13"/>
    <s v="Q2"/>
    <n v="120"/>
    <n v="13"/>
    <s v="KL Mini Cones"/>
    <n v="1"/>
    <n v="1560"/>
    <n v="8.3023199999999999"/>
    <n v="13"/>
  </r>
  <r>
    <n v="68656232"/>
    <x v="15"/>
    <n v="12195"/>
    <d v="2023-05-16T00:00:00"/>
    <x v="211"/>
    <x v="16"/>
    <n v="8.5199999999999998E-3"/>
    <n v="103.9014"/>
    <s v="BR"/>
    <x v="4"/>
    <x v="6"/>
    <s v="Q2"/>
    <n v="154"/>
    <n v="79.188311688311686"/>
    <s v="48oz"/>
    <n v="1"/>
    <n v="12195"/>
    <n v="103.9014"/>
    <n v="79.188311688311686"/>
  </r>
  <r>
    <n v="68414643"/>
    <x v="22"/>
    <n v="2802"/>
    <d v="2023-04-04T00:00:00"/>
    <x v="41"/>
    <x v="0"/>
    <n v="1.419504E-3"/>
    <n v="3.977450208"/>
    <s v="BJ"/>
    <x v="1"/>
    <x v="17"/>
    <s v="Q2"/>
    <n v="238"/>
    <n v="11.77310924369748"/>
    <s v="B&amp;J Dog Treat - Repack"/>
    <n v="1"/>
    <n v="2802"/>
    <n v="3.977450208"/>
    <n v="11.77310924369748"/>
  </r>
  <r>
    <n v="68414647"/>
    <x v="22"/>
    <n v="2801"/>
    <d v="2023-04-04T00:00:00"/>
    <x v="90"/>
    <x v="0"/>
    <n v="1.419504E-3"/>
    <n v="3.9760307040000002"/>
    <s v="BJ"/>
    <x v="1"/>
    <x v="17"/>
    <s v="Q2"/>
    <n v="238"/>
    <n v="11.768907563025211"/>
    <s v="B&amp;J Dog Treat - Repack"/>
    <n v="1"/>
    <n v="2801"/>
    <n v="3.9760307040000002"/>
    <n v="11.768907563025211"/>
  </r>
  <r>
    <n v="68414647"/>
    <x v="22"/>
    <n v="2803"/>
    <d v="2023-04-06T00:00:00"/>
    <x v="90"/>
    <x v="0"/>
    <n v="1.419504E-3"/>
    <n v="3.9788697120000003"/>
    <s v="BJ"/>
    <x v="1"/>
    <x v="17"/>
    <s v="Q2"/>
    <n v="238"/>
    <n v="11.777310924369749"/>
    <s v="B&amp;J Dog Treat - Repack"/>
    <n v="1"/>
    <n v="2803"/>
    <n v="3.9788697120000003"/>
    <n v="11.777310924369749"/>
  </r>
  <r>
    <n v="68414643"/>
    <x v="22"/>
    <n v="2804"/>
    <d v="2023-04-11T00:00:00"/>
    <x v="41"/>
    <x v="0"/>
    <n v="1.419504E-3"/>
    <n v="3.9802892160000001"/>
    <s v="BJ"/>
    <x v="1"/>
    <x v="17"/>
    <s v="Q2"/>
    <n v="238"/>
    <n v="11.781512605042018"/>
    <s v="B&amp;J Dog Treat - Repack"/>
    <n v="1"/>
    <n v="2804"/>
    <n v="3.9802892160000001"/>
    <n v="11.781512605042018"/>
  </r>
  <r>
    <n v="68737750"/>
    <x v="15"/>
    <n v="14199"/>
    <d v="2023-05-16T00:00:00"/>
    <x v="144"/>
    <x v="23"/>
    <n v="8.5199999999999998E-3"/>
    <n v="120.97547999999999"/>
    <s v="BR"/>
    <x v="4"/>
    <x v="6"/>
    <s v="Q2"/>
    <n v="176"/>
    <n v="80.67613636363636"/>
    <s v="48oz"/>
    <n v="1"/>
    <n v="14199"/>
    <n v="120.97547999999999"/>
    <n v="80.67613636363636"/>
  </r>
  <r>
    <n v="67309843"/>
    <x v="16"/>
    <n v="576"/>
    <d v="2023-05-16T00:00:00"/>
    <x v="88"/>
    <x v="32"/>
    <n v="8.5199999999999998E-3"/>
    <n v="4.9075199999999999"/>
    <s v="BR"/>
    <x v="4"/>
    <x v="2"/>
    <s v="Q2"/>
    <n v="154"/>
    <n v="3.7402597402597402"/>
    <s v="48oz"/>
    <n v="1"/>
    <n v="576"/>
    <n v="4.9075199999999999"/>
    <n v="3.7402597402597402"/>
  </r>
  <r>
    <n v="67309843"/>
    <x v="16"/>
    <n v="3080"/>
    <d v="2023-05-16T00:00:00"/>
    <x v="88"/>
    <x v="32"/>
    <n v="8.5199999999999998E-3"/>
    <n v="26.241599999999998"/>
    <s v="BR"/>
    <x v="4"/>
    <x v="2"/>
    <s v="Q2"/>
    <n v="154"/>
    <n v="20"/>
    <s v="48oz"/>
    <n v="1"/>
    <n v="3080"/>
    <n v="26.241599999999998"/>
    <n v="20"/>
  </r>
  <r>
    <n v="69645145"/>
    <x v="19"/>
    <n v="25612"/>
    <d v="2023-04-05T00:00:00"/>
    <x v="118"/>
    <x v="0"/>
    <n v="2.8319999999999999E-3"/>
    <n v="72.533183999999991"/>
    <s v="GH"/>
    <x v="1"/>
    <x v="46"/>
    <s v="Q2"/>
    <n v="260"/>
    <n v="98.507692307692309"/>
    <s v="FB Cones"/>
    <n v="1"/>
    <n v="25612"/>
    <n v="72.533183999999991"/>
    <n v="98.507692307692309"/>
  </r>
  <r>
    <n v="68414647"/>
    <x v="22"/>
    <n v="2802"/>
    <d v="2023-04-20T00:00:00"/>
    <x v="90"/>
    <x v="0"/>
    <n v="1.419504E-3"/>
    <n v="3.977450208"/>
    <s v="BJ"/>
    <x v="1"/>
    <x v="17"/>
    <s v="Q2"/>
    <n v="238"/>
    <n v="11.77310924369748"/>
    <s v="B&amp;J Dog Treat - Repack"/>
    <n v="1"/>
    <n v="2802"/>
    <n v="3.977450208"/>
    <n v="11.77310924369748"/>
  </r>
  <r>
    <n v="68414643"/>
    <x v="22"/>
    <n v="2799"/>
    <d v="2023-04-18T00:00:00"/>
    <x v="41"/>
    <x v="0"/>
    <n v="1.419504E-3"/>
    <n v="3.9731916960000002"/>
    <s v="BJ"/>
    <x v="1"/>
    <x v="17"/>
    <s v="Q2"/>
    <n v="238"/>
    <n v="11.760504201680673"/>
    <s v="B&amp;J Dog Treat - Repack"/>
    <n v="1"/>
    <n v="2799"/>
    <n v="3.9731916960000002"/>
    <n v="11.760504201680673"/>
  </r>
  <r>
    <n v="67885721"/>
    <x v="16"/>
    <n v="0"/>
    <d v="2023-05-16T00:00:00"/>
    <x v="40"/>
    <x v="13"/>
    <n v="8.5199999999999998E-3"/>
    <n v="0"/>
    <s v="BR"/>
    <x v="4"/>
    <x v="2"/>
    <s v="Q2"/>
    <n v="154"/>
    <n v="0"/>
    <s v="48oz"/>
    <n v="1"/>
    <n v="0"/>
    <n v="0"/>
    <n v="0"/>
  </r>
  <r>
    <n v="67901593"/>
    <x v="16"/>
    <n v="0"/>
    <d v="2023-05-16T00:00:00"/>
    <x v="68"/>
    <x v="32"/>
    <n v="8.5199999999999998E-3"/>
    <n v="0"/>
    <s v="BR"/>
    <x v="4"/>
    <x v="2"/>
    <s v="Q2"/>
    <n v="154"/>
    <n v="0"/>
    <s v="48oz"/>
    <n v="1"/>
    <n v="0"/>
    <n v="0"/>
    <n v="0"/>
  </r>
  <r>
    <n v="68650199"/>
    <x v="16"/>
    <n v="0"/>
    <d v="2023-05-16T00:00:00"/>
    <x v="348"/>
    <x v="5"/>
    <n v="1.0200000000000001E-3"/>
    <n v="0"/>
    <s v="MG"/>
    <x v="4"/>
    <x v="5"/>
    <s v="Q2"/>
    <n v="493"/>
    <n v="0"/>
    <s v="MG Sticks"/>
    <n v="1"/>
    <n v="0"/>
    <n v="0"/>
    <n v="0"/>
  </r>
  <r>
    <n v="68728321"/>
    <x v="16"/>
    <n v="46984"/>
    <d v="2023-05-16T00:00:00"/>
    <x v="150"/>
    <x v="22"/>
    <n v="3.7853439999999999E-3"/>
    <n v="177.85060249599999"/>
    <s v="TA"/>
    <x v="4"/>
    <x v="10"/>
    <s v="Q2"/>
    <n v="255"/>
    <n v="184.25098039215686"/>
    <s v="TALENTI"/>
    <n v="1"/>
    <n v="46984"/>
    <n v="177.85060249599999"/>
    <n v="184.25098039215686"/>
  </r>
  <r>
    <n v="68881270"/>
    <x v="16"/>
    <n v="2875"/>
    <d v="2023-05-16T00:00:00"/>
    <x v="91"/>
    <x v="2"/>
    <n v="8.5199999999999998E-3"/>
    <n v="24.495000000000001"/>
    <s v="BR"/>
    <x v="4"/>
    <x v="2"/>
    <s v="Q2"/>
    <n v="176"/>
    <n v="16.335227272727273"/>
    <s v="48oz"/>
    <n v="1"/>
    <n v="2875"/>
    <n v="24.495000000000001"/>
    <n v="16.335227272727273"/>
  </r>
  <r>
    <n v="68922108"/>
    <x v="16"/>
    <n v="-30000"/>
    <d v="2023-05-16T00:00:00"/>
    <x v="184"/>
    <x v="21"/>
    <n v="3.7839999999999996E-3"/>
    <n v="-113.51999999999998"/>
    <s v="TA"/>
    <x v="4"/>
    <x v="10"/>
    <s v="Q2"/>
    <n v="255"/>
    <n v="-117.64705882352941"/>
    <s v="TALENTI"/>
    <n v="1"/>
    <n v="-30000"/>
    <n v="-113.51999999999998"/>
    <n v="-117.64705882352941"/>
  </r>
  <r>
    <n v="69554197"/>
    <x v="16"/>
    <n v="2462"/>
    <d v="2023-05-16T00:00:00"/>
    <x v="15"/>
    <x v="15"/>
    <n v="3.7839999999999996E-3"/>
    <n v="9.3162079999999996"/>
    <s v="BR"/>
    <x v="4"/>
    <x v="7"/>
    <s v="Q2"/>
    <n v="240"/>
    <n v="10.258333333333333"/>
    <s v="PTS"/>
    <n v="1"/>
    <n v="2462"/>
    <n v="9.3162079999999996"/>
    <n v="10.258333333333333"/>
  </r>
  <r>
    <n v="69596585"/>
    <x v="16"/>
    <n v="0"/>
    <d v="2023-05-16T00:00:00"/>
    <x v="348"/>
    <x v="5"/>
    <n v="1.0200000000000001E-3"/>
    <n v="0"/>
    <s v="MG"/>
    <x v="4"/>
    <x v="5"/>
    <s v="Q2"/>
    <n v="493"/>
    <n v="0"/>
    <s v="MG Sticks"/>
    <n v="1"/>
    <n v="0"/>
    <n v="0"/>
    <n v="0"/>
  </r>
  <r>
    <n v="69596585"/>
    <x v="16"/>
    <n v="0"/>
    <d v="2023-05-16T00:00:00"/>
    <x v="348"/>
    <x v="5"/>
    <n v="1.0200000000000001E-3"/>
    <n v="0"/>
    <s v="MG"/>
    <x v="4"/>
    <x v="5"/>
    <s v="Q2"/>
    <n v="493"/>
    <n v="0"/>
    <s v="MG Sticks"/>
    <n v="1"/>
    <n v="0"/>
    <n v="0"/>
    <n v="0"/>
  </r>
  <r>
    <n v="67596354"/>
    <x v="17"/>
    <n v="18231"/>
    <d v="2023-05-16T00:00:00"/>
    <x v="317"/>
    <x v="33"/>
    <n v="3.6640000000000002E-3"/>
    <n v="66.798383999999999"/>
    <s v="BJ"/>
    <x v="4"/>
    <x v="24"/>
    <s v="Q2"/>
    <n v="240"/>
    <n v="75.962500000000006"/>
    <s v="PTS Exports"/>
    <n v="1"/>
    <n v="18231"/>
    <n v="66.798383999999999"/>
    <n v="75.962500000000006"/>
  </r>
  <r>
    <n v="69653125"/>
    <x v="19"/>
    <m/>
    <d v="2023-05-04T00:00:00"/>
    <x v="146"/>
    <x v="0"/>
    <n v="5.3220000000000003E-3"/>
    <n v="0"/>
    <s v="BR"/>
    <x v="4"/>
    <x v="37"/>
    <s v="Q2"/>
    <n v="120"/>
    <n v="0"/>
    <s v="BR Minicups"/>
    <n v="1"/>
    <n v="0"/>
    <n v="0"/>
    <n v="0"/>
  </r>
  <r>
    <n v="67916890"/>
    <x v="17"/>
    <n v="5680"/>
    <d v="2023-05-16T00:00:00"/>
    <x v="390"/>
    <x v="35"/>
    <n v="3.6640000000000002E-3"/>
    <n v="20.811520000000002"/>
    <s v="BJ"/>
    <x v="4"/>
    <x v="24"/>
    <s v="Q2"/>
    <n v="240"/>
    <n v="23.666666666666668"/>
    <s v="PTS Exports"/>
    <n v="1"/>
    <n v="5680"/>
    <n v="20.811520000000002"/>
    <n v="23.666666666666668"/>
  </r>
  <r>
    <n v="84136043"/>
    <x v="17"/>
    <n v="21084"/>
    <d v="2023-05-16T00:00:00"/>
    <x v="131"/>
    <x v="38"/>
    <n v="3.7853439999999999E-3"/>
    <n v="79.810192896000004"/>
    <s v="BJ"/>
    <x v="4"/>
    <x v="15"/>
    <s v="Q2"/>
    <n v="240"/>
    <n v="87.85"/>
    <s v="BJ PTS"/>
    <n v="1"/>
    <n v="21084"/>
    <n v="79.810192896000004"/>
    <n v="87.85"/>
  </r>
  <r>
    <n v="67465064"/>
    <x v="15"/>
    <n v="2978"/>
    <d v="2023-05-16T00:00:00"/>
    <x v="7"/>
    <x v="3"/>
    <n v="1.596E-3"/>
    <n v="4.7528879999999996"/>
    <s v="PS"/>
    <x v="4"/>
    <x v="3"/>
    <s v="Q2"/>
    <n v="130"/>
    <n v="22.907692307692308"/>
    <s v="PG"/>
    <n v="1"/>
    <n v="2978"/>
    <n v="4.7528879999999996"/>
    <n v="22.907692307692308"/>
  </r>
  <r>
    <n v="67466462"/>
    <x v="15"/>
    <n v="1530"/>
    <d v="2023-05-16T00:00:00"/>
    <x v="29"/>
    <x v="6"/>
    <n v="5.2680000000000001E-3"/>
    <n v="8.0600400000000008"/>
    <s v="PS"/>
    <x v="4"/>
    <x v="3"/>
    <s v="Q2"/>
    <n v="130"/>
    <n v="11.76923076923077"/>
    <s v="PG"/>
    <n v="1"/>
    <n v="1530"/>
    <n v="8.0600400000000008"/>
    <n v="11.76923076923077"/>
  </r>
  <r>
    <n v="67466492"/>
    <x v="15"/>
    <n v="4700"/>
    <d v="2023-05-16T00:00:00"/>
    <x v="8"/>
    <x v="7"/>
    <n v="5.2680000000000001E-3"/>
    <n v="24.759599999999999"/>
    <s v="PS"/>
    <x v="4"/>
    <x v="3"/>
    <s v="Q2"/>
    <n v="130"/>
    <n v="36.153846153846153"/>
    <s v="PG"/>
    <n v="1"/>
    <n v="4700"/>
    <n v="24.759599999999999"/>
    <n v="36.153846153846153"/>
  </r>
  <r>
    <n v="67466492"/>
    <x v="15"/>
    <n v="1575"/>
    <d v="2023-05-16T00:00:00"/>
    <x v="8"/>
    <x v="8"/>
    <n v="5.2680000000000001E-3"/>
    <n v="8.2971000000000004"/>
    <s v="PS"/>
    <x v="4"/>
    <x v="3"/>
    <s v="Q2"/>
    <n v="130"/>
    <n v="12.115384615384615"/>
    <s v="PG"/>
    <n v="1"/>
    <n v="1575"/>
    <n v="8.2971000000000004"/>
    <n v="12.115384615384615"/>
  </r>
  <r>
    <n v="68521425"/>
    <x v="19"/>
    <n v="19844"/>
    <d v="2023-04-01T00:00:00"/>
    <x v="0"/>
    <x v="0"/>
    <n v="4.248E-3"/>
    <n v="84.297312000000005"/>
    <s v="GH"/>
    <x v="1"/>
    <x v="0"/>
    <s v="Q2"/>
    <n v="216"/>
    <n v="91.870370370370367"/>
    <s v="Giant SW"/>
    <n v="1"/>
    <n v="19844"/>
    <n v="84.297312000000005"/>
    <n v="91.870370370370367"/>
  </r>
  <r>
    <n v="69645145"/>
    <x v="19"/>
    <n v="23718"/>
    <d v="2023-04-17T00:00:00"/>
    <x v="118"/>
    <x v="0"/>
    <n v="2.8319999999999999E-3"/>
    <n v="67.169376"/>
    <s v="GH"/>
    <x v="1"/>
    <x v="46"/>
    <s v="Q2"/>
    <n v="260"/>
    <n v="91.223076923076917"/>
    <s v="FB Cones"/>
    <n v="1"/>
    <n v="23718"/>
    <n v="67.169376"/>
    <n v="91.223076923076917"/>
  </r>
  <r>
    <n v="68414643"/>
    <x v="22"/>
    <n v="2803"/>
    <d v="2023-04-26T00:00:00"/>
    <x v="41"/>
    <x v="0"/>
    <n v="1.419504E-3"/>
    <n v="3.9788697120000003"/>
    <s v="BJ"/>
    <x v="1"/>
    <x v="17"/>
    <s v="Q2"/>
    <n v="238"/>
    <n v="11.777310924369749"/>
    <s v="B&amp;J Dog Treat - Repack"/>
    <n v="1"/>
    <n v="2803"/>
    <n v="3.9788697120000003"/>
    <n v="11.777310924369749"/>
  </r>
  <r>
    <n v="68414647"/>
    <x v="22"/>
    <n v="2794"/>
    <d v="2023-04-20T00:00:00"/>
    <x v="90"/>
    <x v="0"/>
    <n v="1.419504E-3"/>
    <n v="3.9660941759999999"/>
    <s v="BJ"/>
    <x v="1"/>
    <x v="17"/>
    <s v="Q2"/>
    <n v="238"/>
    <n v="11.739495798319327"/>
    <s v="B&amp;J Dog Treat - Repack"/>
    <n v="1"/>
    <n v="2794"/>
    <n v="3.9660941759999999"/>
    <n v="11.739495798319327"/>
  </r>
  <r>
    <n v="68521425"/>
    <x v="19"/>
    <n v="4728"/>
    <d v="2023-04-11T00:00:00"/>
    <x v="0"/>
    <x v="0"/>
    <n v="4.248E-3"/>
    <n v="20.084544000000001"/>
    <s v="GH"/>
    <x v="1"/>
    <x v="0"/>
    <s v="Q2"/>
    <n v="216"/>
    <n v="21.888888888888889"/>
    <s v="Giant SW"/>
    <n v="1"/>
    <n v="4728"/>
    <n v="20.084544000000001"/>
    <n v="21.888888888888889"/>
  </r>
  <r>
    <n v="69568828"/>
    <x v="15"/>
    <n v="9681"/>
    <d v="2023-05-16T00:00:00"/>
    <x v="12"/>
    <x v="12"/>
    <n v="8.5199999999999998E-3"/>
    <n v="82.482119999999995"/>
    <s v="BR"/>
    <x v="4"/>
    <x v="6"/>
    <s v="Q2"/>
    <n v="176"/>
    <n v="55.00568181818182"/>
    <s v="48oz"/>
    <n v="1"/>
    <n v="9681"/>
    <n v="82.482119999999995"/>
    <n v="55.00568181818182"/>
  </r>
  <r>
    <n v="69568829"/>
    <x v="15"/>
    <n v="14829"/>
    <d v="2023-05-16T00:00:00"/>
    <x v="66"/>
    <x v="11"/>
    <n v="8.5199999999999998E-3"/>
    <n v="126.34308"/>
    <s v="BR"/>
    <x v="4"/>
    <x v="6"/>
    <s v="Q2"/>
    <n v="176"/>
    <n v="84.255681818181813"/>
    <s v="48oz"/>
    <n v="1"/>
    <n v="14829"/>
    <n v="126.34308"/>
    <n v="84.255681818181813"/>
  </r>
  <r>
    <n v="69671652"/>
    <x v="15"/>
    <n v="7108"/>
    <d v="2023-05-16T00:00:00"/>
    <x v="197"/>
    <x v="24"/>
    <n v="2.8319999999999999E-3"/>
    <n v="20.129856"/>
    <s v="GH"/>
    <x v="4"/>
    <x v="4"/>
    <s v="Q2"/>
    <n v="225"/>
    <n v="31.591111111111111"/>
    <s v="MBG"/>
    <n v="1"/>
    <n v="7108"/>
    <n v="20.129856"/>
    <n v="31.591111111111111"/>
  </r>
  <r>
    <n v="67309841"/>
    <x v="16"/>
    <n v="2232"/>
    <d v="2023-05-16T00:00:00"/>
    <x v="32"/>
    <x v="13"/>
    <n v="8.5199999999999998E-3"/>
    <n v="19.016639999999999"/>
    <s v="BR"/>
    <x v="4"/>
    <x v="2"/>
    <s v="Q2"/>
    <n v="154"/>
    <n v="14.493506493506494"/>
    <s v="48oz"/>
    <n v="1"/>
    <n v="2232"/>
    <n v="19.016639999999999"/>
    <n v="14.493506493506494"/>
  </r>
  <r>
    <n v="67885721"/>
    <x v="16"/>
    <n v="13088"/>
    <d v="2023-05-16T00:00:00"/>
    <x v="40"/>
    <x v="32"/>
    <n v="8.5199999999999998E-3"/>
    <n v="111.50976"/>
    <s v="BR"/>
    <x v="4"/>
    <x v="2"/>
    <s v="Q2"/>
    <n v="154"/>
    <n v="84.987012987012989"/>
    <s v="48oz"/>
    <n v="1"/>
    <n v="13088"/>
    <n v="111.50976"/>
    <n v="84.987012987012989"/>
  </r>
  <r>
    <n v="68354589"/>
    <x v="16"/>
    <n v="17331"/>
    <d v="2023-05-16T00:00:00"/>
    <x v="53"/>
    <x v="15"/>
    <n v="3.5999999999999999E-3"/>
    <n v="62.391599999999997"/>
    <s v="BJ"/>
    <x v="4"/>
    <x v="19"/>
    <s v="Q2"/>
    <n v="240"/>
    <n v="72.212500000000006"/>
    <s v="Topped"/>
    <n v="1"/>
    <n v="17331"/>
    <n v="62.391599999999997"/>
    <n v="72.212500000000006"/>
  </r>
  <r>
    <n v="68410355"/>
    <x v="16"/>
    <n v="1155"/>
    <d v="2023-05-16T00:00:00"/>
    <x v="345"/>
    <x v="14"/>
    <n v="1.98E-3"/>
    <n v="2.2869000000000002"/>
    <s v="MG"/>
    <x v="4"/>
    <x v="5"/>
    <s v="Q2"/>
    <n v="176"/>
    <n v="6.5625"/>
    <s v="MG Sticks"/>
    <n v="1"/>
    <n v="1155"/>
    <n v="2.2869000000000002"/>
    <n v="6.5625"/>
  </r>
  <r>
    <n v="68881270"/>
    <x v="16"/>
    <n v="12964"/>
    <d v="2023-05-16T00:00:00"/>
    <x v="91"/>
    <x v="2"/>
    <n v="8.5199999999999998E-3"/>
    <n v="110.45327999999999"/>
    <s v="BR"/>
    <x v="4"/>
    <x v="2"/>
    <s v="Q2"/>
    <n v="176"/>
    <n v="73.659090909090907"/>
    <s v="48oz"/>
    <n v="1"/>
    <n v="12964"/>
    <n v="110.45327999999999"/>
    <n v="73.659090909090907"/>
  </r>
  <r>
    <n v="68922011"/>
    <x v="16"/>
    <n v="9970"/>
    <d v="2023-05-16T00:00:00"/>
    <x v="261"/>
    <x v="22"/>
    <n v="3.7853440000000004E-3"/>
    <n v="37.739879680000001"/>
    <s v="TA"/>
    <x v="4"/>
    <x v="10"/>
    <s v="Q2"/>
    <n v="255"/>
    <n v="39.098039215686278"/>
    <s v="TALENTI"/>
    <n v="1"/>
    <n v="9970"/>
    <n v="37.739879680000001"/>
    <n v="39.098039215686278"/>
  </r>
  <r>
    <n v="68922108"/>
    <x v="16"/>
    <n v="29317"/>
    <d v="2023-05-16T00:00:00"/>
    <x v="184"/>
    <x v="21"/>
    <n v="3.7839999999999996E-3"/>
    <n v="110.93552799999999"/>
    <s v="TA"/>
    <x v="4"/>
    <x v="10"/>
    <s v="Q2"/>
    <n v="255"/>
    <n v="114.96862745098039"/>
    <s v="TALENTI"/>
    <n v="1"/>
    <n v="29317"/>
    <n v="110.93552799999999"/>
    <n v="114.96862745098039"/>
  </r>
  <r>
    <n v="68871221"/>
    <x v="19"/>
    <n v="30726"/>
    <d v="2023-04-12T00:00:00"/>
    <x v="157"/>
    <x v="0"/>
    <n v="3.7839999999999996E-3"/>
    <n v="116.26718399999999"/>
    <s v="BR"/>
    <x v="1"/>
    <x v="38"/>
    <s v="Q2"/>
    <n v="240"/>
    <n v="128.02500000000001"/>
    <s v="PTS"/>
    <n v="1"/>
    <n v="30726"/>
    <n v="116.26718399999999"/>
    <n v="128.02500000000001"/>
  </r>
  <r>
    <n v="68414643"/>
    <x v="22"/>
    <n v="2804"/>
    <d v="2023-05-01T00:00:00"/>
    <x v="41"/>
    <x v="0"/>
    <n v="1.419504E-3"/>
    <n v="3.9802892160000001"/>
    <s v="BJ"/>
    <x v="4"/>
    <x v="17"/>
    <s v="Q2"/>
    <n v="238"/>
    <n v="11.781512605042018"/>
    <s v="B&amp;J Dog Treat - Repack"/>
    <n v="1"/>
    <n v="2804"/>
    <n v="3.9802892160000001"/>
    <n v="11.781512605042018"/>
  </r>
  <r>
    <n v="68414647"/>
    <x v="22"/>
    <n v="2802"/>
    <d v="2023-05-02T00:00:00"/>
    <x v="90"/>
    <x v="0"/>
    <n v="1.419504E-3"/>
    <n v="3.977450208"/>
    <s v="BJ"/>
    <x v="4"/>
    <x v="17"/>
    <s v="Q2"/>
    <n v="238"/>
    <n v="11.77310924369748"/>
    <s v="B&amp;J Dog Treat - Repack"/>
    <n v="1"/>
    <n v="2802"/>
    <n v="3.977450208"/>
    <n v="11.77310924369748"/>
  </r>
  <r>
    <n v="68863006"/>
    <x v="20"/>
    <n v="7000"/>
    <d v="2023-04-28T00:00:00"/>
    <x v="179"/>
    <x v="0"/>
    <n v="1.8959999999999999E-3"/>
    <n v="13.271999999999998"/>
    <s v="BJ"/>
    <x v="1"/>
    <x v="48"/>
    <s v="Q2"/>
    <n v="272"/>
    <n v="25.735294117647058"/>
    <s v="Dough Bites"/>
    <n v="1"/>
    <n v="7000"/>
    <n v="13.271999999999998"/>
    <n v="25.735294117647058"/>
  </r>
  <r>
    <n v="69621212"/>
    <x v="16"/>
    <n v="4790"/>
    <d v="2023-05-16T00:00:00"/>
    <x v="29"/>
    <x v="28"/>
    <n v="5.2680000000000001E-3"/>
    <n v="25.233720000000002"/>
    <s v="PG"/>
    <x v="4"/>
    <x v="14"/>
    <s v="Q2"/>
    <n v="130"/>
    <n v="36.846153846153847"/>
    <s v="PG"/>
    <n v="1"/>
    <n v="4790"/>
    <n v="25.233720000000002"/>
    <n v="36.846153846153847"/>
  </r>
  <r>
    <n v="68521425"/>
    <x v="19"/>
    <n v="25773"/>
    <d v="2023-04-19T00:00:00"/>
    <x v="0"/>
    <x v="0"/>
    <n v="4.248E-3"/>
    <n v="109.483704"/>
    <s v="GH"/>
    <x v="1"/>
    <x v="0"/>
    <s v="Q2"/>
    <n v="216"/>
    <n v="119.31944444444444"/>
    <s v="Giant SW"/>
    <n v="1"/>
    <n v="25773"/>
    <n v="109.483704"/>
    <n v="119.31944444444444"/>
  </r>
  <r>
    <n v="69653125"/>
    <x v="19"/>
    <m/>
    <d v="2023-05-11T00:00:00"/>
    <x v="146"/>
    <x v="0"/>
    <n v="5.3220000000000003E-3"/>
    <n v="0"/>
    <s v="BR"/>
    <x v="4"/>
    <x v="37"/>
    <s v="Q2"/>
    <n v="120"/>
    <n v="0"/>
    <s v="BR Minicups"/>
    <n v="1"/>
    <n v="0"/>
    <n v="0"/>
    <n v="0"/>
  </r>
  <r>
    <n v="69645145"/>
    <x v="19"/>
    <n v="38205"/>
    <d v="2023-04-19T00:00:00"/>
    <x v="118"/>
    <x v="0"/>
    <n v="2.8319999999999999E-3"/>
    <n v="108.19655999999999"/>
    <s v="GH"/>
    <x v="1"/>
    <x v="46"/>
    <s v="Q2"/>
    <n v="260"/>
    <n v="146.94230769230768"/>
    <s v="FB Cones"/>
    <n v="1"/>
    <n v="38205"/>
    <n v="108.19655999999999"/>
    <n v="146.94230769230768"/>
  </r>
  <r>
    <n v="68871220"/>
    <x v="19"/>
    <n v="5439"/>
    <d v="2023-04-26T00:00:00"/>
    <x v="156"/>
    <x v="0"/>
    <n v="3.7853439999999999E-3"/>
    <n v="20.588486016000001"/>
    <s v="BR"/>
    <x v="1"/>
    <x v="38"/>
    <s v="Q2"/>
    <n v="240"/>
    <n v="22.662500000000001"/>
    <s v="PTS"/>
    <n v="1"/>
    <n v="5439"/>
    <n v="20.588486016000001"/>
    <n v="22.662500000000001"/>
  </r>
  <r>
    <n v="68521425"/>
    <x v="19"/>
    <n v="19668"/>
    <d v="2023-04-26T00:00:00"/>
    <x v="0"/>
    <x v="0"/>
    <n v="4.248E-3"/>
    <n v="83.549664000000007"/>
    <s v="GH"/>
    <x v="1"/>
    <x v="0"/>
    <s v="Q2"/>
    <n v="216"/>
    <n v="91.055555555555557"/>
    <s v="Giant SW"/>
    <n v="1"/>
    <n v="19668"/>
    <n v="83.549664000000007"/>
    <n v="91.055555555555557"/>
  </r>
  <r>
    <n v="69653125"/>
    <x v="19"/>
    <m/>
    <d v="2023-05-16T00:00:00"/>
    <x v="146"/>
    <x v="0"/>
    <n v="5.3220000000000003E-3"/>
    <n v="0"/>
    <s v="BR"/>
    <x v="4"/>
    <x v="37"/>
    <s v="Q2"/>
    <n v="120"/>
    <n v="0"/>
    <s v="BR Minicups"/>
    <n v="1"/>
    <n v="0"/>
    <n v="0"/>
    <n v="0"/>
  </r>
  <r>
    <n v="69687232"/>
    <x v="19"/>
    <n v="24079"/>
    <d v="2023-04-26T00:00:00"/>
    <x v="395"/>
    <x v="0"/>
    <n v="2.8439999999999997E-3"/>
    <n v="68.480675999999988"/>
    <s v="GH"/>
    <x v="1"/>
    <x v="46"/>
    <s v="Q2"/>
    <n v="260"/>
    <n v="92.611538461538458"/>
    <s v="FB Cones"/>
    <n v="1"/>
    <n v="24079"/>
    <n v="68.480675999999988"/>
    <n v="92.611538461538458"/>
  </r>
  <r>
    <n v="69717803"/>
    <x v="16"/>
    <n v="4984"/>
    <d v="2023-05-16T00:00:00"/>
    <x v="69"/>
    <x v="31"/>
    <n v="4.2560000000000002E-3"/>
    <n v="21.211904000000001"/>
    <s v="BR"/>
    <x v="4"/>
    <x v="5"/>
    <s v="Q2"/>
    <n v="143"/>
    <n v="34.853146853146853"/>
    <s v="MG Sticks"/>
    <n v="1"/>
    <n v="4984"/>
    <n v="21.211904000000001"/>
    <n v="34.853146853146853"/>
  </r>
  <r>
    <n v="68414643"/>
    <x v="22"/>
    <n v="2803"/>
    <d v="2023-05-04T00:00:00"/>
    <x v="41"/>
    <x v="0"/>
    <n v="1.419504E-3"/>
    <n v="3.9788697120000003"/>
    <s v="BJ"/>
    <x v="4"/>
    <x v="17"/>
    <s v="Q2"/>
    <n v="238"/>
    <n v="11.777310924369749"/>
    <s v="B&amp;J Dog Treat - Repack"/>
    <n v="1"/>
    <n v="2803"/>
    <n v="3.9788697120000003"/>
    <n v="11.777310924369749"/>
  </r>
  <r>
    <n v="68414647"/>
    <x v="22"/>
    <n v="2798"/>
    <d v="2023-05-08T00:00:00"/>
    <x v="90"/>
    <x v="0"/>
    <n v="1.419504E-3"/>
    <n v="3.971772192"/>
    <s v="BJ"/>
    <x v="4"/>
    <x v="17"/>
    <s v="Q2"/>
    <n v="238"/>
    <n v="11.756302521008404"/>
    <s v="B&amp;J Dog Treat - Repack"/>
    <n v="1"/>
    <n v="2798"/>
    <n v="3.971772192"/>
    <n v="11.756302521008404"/>
  </r>
  <r>
    <n v="68863007"/>
    <x v="20"/>
    <n v="7512"/>
    <d v="2023-05-18T00:00:00"/>
    <x v="242"/>
    <x v="0"/>
    <n v="1.8959999999999999E-3"/>
    <n v="14.242751999999999"/>
    <s v="BJ"/>
    <x v="4"/>
    <x v="48"/>
    <s v="Q2"/>
    <n v="272"/>
    <n v="27.617647058823529"/>
    <s v="Dough Bites"/>
    <n v="0.94"/>
    <n v="7061.28"/>
    <n v="13.388186879999999"/>
    <n v="25.960588235294114"/>
  </r>
  <r>
    <n v="84141101"/>
    <x v="17"/>
    <n v="57392"/>
    <d v="2023-05-16T00:00:00"/>
    <x v="86"/>
    <x v="33"/>
    <n v="3.7853439999999999E-3"/>
    <n v="217.248462848"/>
    <s v="BJ"/>
    <x v="4"/>
    <x v="15"/>
    <s v="Q2"/>
    <n v="240"/>
    <n v="239.13333333333333"/>
    <s v="BJ PTS"/>
    <n v="1"/>
    <n v="57392"/>
    <n v="217.248462848"/>
    <n v="239.13333333333333"/>
  </r>
  <r>
    <n v="69652931"/>
    <x v="19"/>
    <n v="2516"/>
    <d v="2023-05-01T00:00:00"/>
    <x v="396"/>
    <x v="0"/>
    <n v="5.3220000000000003E-3"/>
    <n v="13.390152"/>
    <s v="BR"/>
    <x v="4"/>
    <x v="37"/>
    <s v="Q2"/>
    <n v="120"/>
    <n v="20.966666666666665"/>
    <s v="BR Minicups"/>
    <n v="1"/>
    <n v="2516"/>
    <n v="13.390152"/>
    <n v="20.966666666666665"/>
  </r>
  <r>
    <n v="69653125"/>
    <x v="19"/>
    <m/>
    <d v="2023-05-08T00:00:00"/>
    <x v="146"/>
    <x v="0"/>
    <n v="5.3220000000000003E-3"/>
    <n v="0"/>
    <s v="BR"/>
    <x v="4"/>
    <x v="37"/>
    <s v="Q2"/>
    <n v="120"/>
    <n v="0"/>
    <s v="BR Minicups"/>
    <n v="1"/>
    <n v="0"/>
    <n v="0"/>
    <n v="0"/>
  </r>
  <r>
    <n v="69687232"/>
    <x v="19"/>
    <m/>
    <d v="2023-05-08T00:00:00"/>
    <x v="395"/>
    <x v="0"/>
    <n v="2.8439999999999997E-3"/>
    <n v="0"/>
    <s v="GH"/>
    <x v="4"/>
    <x v="46"/>
    <s v="Q2"/>
    <n v="260"/>
    <n v="0"/>
    <s v="FB Cones"/>
    <n v="1"/>
    <n v="0"/>
    <n v="0"/>
    <n v="0"/>
  </r>
  <r>
    <n v="84167442"/>
    <x v="17"/>
    <n v="17780"/>
    <d v="2023-05-16T00:00:00"/>
    <x v="272"/>
    <x v="35"/>
    <n v="3.7853439999999999E-3"/>
    <n v="67.303416319999997"/>
    <s v="BJ"/>
    <x v="4"/>
    <x v="15"/>
    <s v="Q2"/>
    <n v="240"/>
    <n v="74.083333333333329"/>
    <s v="BJ PTS"/>
    <n v="1"/>
    <n v="17780"/>
    <n v="67.303416319999997"/>
    <n v="74.083333333333329"/>
  </r>
  <r>
    <n v="68410355"/>
    <x v="16"/>
    <n v="49"/>
    <d v="2023-05-16T00:00:00"/>
    <x v="345"/>
    <x v="14"/>
    <n v="1.98E-3"/>
    <n v="9.7019999999999995E-2"/>
    <s v="MG"/>
    <x v="4"/>
    <x v="5"/>
    <s v="Q2"/>
    <n v="176"/>
    <n v="0.27840909090909088"/>
    <s v="MG Sticks"/>
    <n v="1"/>
    <n v="49"/>
    <n v="9.7019999999999995E-2"/>
    <n v="0.27840909090909088"/>
  </r>
  <r>
    <n v="68741742"/>
    <x v="16"/>
    <n v="887"/>
    <d v="2023-05-16T00:00:00"/>
    <x v="25"/>
    <x v="25"/>
    <n v="4.2560000000000002E-3"/>
    <n v="3.7750720000000002"/>
    <s v="GH"/>
    <x v="4"/>
    <x v="11"/>
    <s v="Q2"/>
    <n v="154"/>
    <n v="5.7597402597402594"/>
    <s v="MBG"/>
    <n v="1"/>
    <n v="887"/>
    <n v="3.7750720000000002"/>
    <n v="5.7597402597402594"/>
  </r>
  <r>
    <n v="68414643"/>
    <x v="22"/>
    <n v="2797"/>
    <d v="2023-05-18T00:00:00"/>
    <x v="41"/>
    <x v="0"/>
    <n v="1.419504E-3"/>
    <n v="3.9703526880000002"/>
    <s v="BJ"/>
    <x v="4"/>
    <x v="17"/>
    <s v="Q2"/>
    <n v="238"/>
    <n v="11.752100840336135"/>
    <s v="B&amp;J Dog Treat - Repack"/>
    <n v="1"/>
    <n v="2797"/>
    <n v="3.9703526880000002"/>
    <n v="11.752100840336135"/>
  </r>
  <r>
    <n v="68414647"/>
    <x v="22"/>
    <n v="2759"/>
    <d v="2023-05-11T00:00:00"/>
    <x v="90"/>
    <x v="0"/>
    <n v="1.419504E-3"/>
    <n v="3.916411536"/>
    <s v="BJ"/>
    <x v="4"/>
    <x v="17"/>
    <s v="Q2"/>
    <n v="238"/>
    <n v="11.592436974789916"/>
    <s v="B&amp;J Dog Treat - Repack"/>
    <n v="1"/>
    <n v="2759"/>
    <n v="3.916411536"/>
    <n v="11.592436974789916"/>
  </r>
  <r>
    <n v="69645145"/>
    <x v="19"/>
    <m/>
    <d v="2023-05-11T00:00:00"/>
    <x v="118"/>
    <x v="0"/>
    <n v="2.8319999999999999E-3"/>
    <n v="0"/>
    <s v="GH"/>
    <x v="4"/>
    <x v="46"/>
    <s v="Q2"/>
    <n v="260"/>
    <n v="0"/>
    <s v="FB Cones"/>
    <n v="1"/>
    <n v="0"/>
    <n v="0"/>
    <n v="0"/>
  </r>
  <r>
    <n v="69572658"/>
    <x v="16"/>
    <n v="1885"/>
    <d v="2023-05-16T00:00:00"/>
    <x v="166"/>
    <x v="5"/>
    <n v="2.1520000000000003E-3"/>
    <n v="4.0565200000000008"/>
    <s v="MG"/>
    <x v="4"/>
    <x v="5"/>
    <s v="Q2"/>
    <n v="210"/>
    <n v="8.9761904761904763"/>
    <s v="MG Sticks"/>
    <n v="1"/>
    <n v="1885"/>
    <n v="4.0565200000000008"/>
    <n v="8.9761904761904763"/>
  </r>
  <r>
    <n v="69677917"/>
    <x v="16"/>
    <n v="2305"/>
    <d v="2023-05-16T00:00:00"/>
    <x v="30"/>
    <x v="30"/>
    <n v="5.2680000000000001E-3"/>
    <n v="12.14274"/>
    <s v="PS"/>
    <x v="4"/>
    <x v="14"/>
    <s v="Q2"/>
    <n v="108"/>
    <n v="21.342592592592592"/>
    <s v="PG"/>
    <n v="1"/>
    <n v="2305"/>
    <n v="12.14274"/>
    <n v="21.342592592592592"/>
  </r>
  <r>
    <n v="69645145"/>
    <x v="19"/>
    <m/>
    <d v="2023-05-10T00:00:00"/>
    <x v="118"/>
    <x v="0"/>
    <n v="2.8319999999999999E-3"/>
    <n v="0"/>
    <s v="GH"/>
    <x v="4"/>
    <x v="46"/>
    <s v="Q2"/>
    <n v="260"/>
    <n v="0"/>
    <s v="FB Cones"/>
    <n v="1"/>
    <n v="0"/>
    <n v="0"/>
    <n v="0"/>
  </r>
  <r>
    <n v="69687232"/>
    <x v="19"/>
    <m/>
    <d v="2023-05-15T00:00:00"/>
    <x v="395"/>
    <x v="0"/>
    <n v="2.8439999999999997E-3"/>
    <n v="0"/>
    <s v="GH"/>
    <x v="4"/>
    <x v="46"/>
    <s v="Q2"/>
    <n v="260"/>
    <n v="0"/>
    <s v="FB Cones"/>
    <n v="1"/>
    <n v="0"/>
    <n v="0"/>
    <n v="0"/>
  </r>
  <r>
    <n v="69645145"/>
    <x v="19"/>
    <m/>
    <d v="2023-05-18T00:00:00"/>
    <x v="118"/>
    <x v="0"/>
    <n v="2.8319999999999999E-3"/>
    <n v="0"/>
    <s v="GH"/>
    <x v="4"/>
    <x v="46"/>
    <s v="Q2"/>
    <n v="260"/>
    <n v="0"/>
    <s v="FB Cones"/>
    <n v="1"/>
    <n v="0"/>
    <n v="0"/>
    <n v="0"/>
  </r>
  <r>
    <n v="68521425"/>
    <x v="19"/>
    <n v="4720"/>
    <d v="2023-05-18T00:00:00"/>
    <x v="0"/>
    <x v="0"/>
    <n v="4.248E-3"/>
    <n v="20.050560000000001"/>
    <s v="GH"/>
    <x v="4"/>
    <x v="0"/>
    <s v="Q2"/>
    <n v="216"/>
    <n v="21.851851851851851"/>
    <s v="Giant SW"/>
    <n v="0.95"/>
    <n v="4484"/>
    <n v="19.048031999999999"/>
    <n v="20.759259259259256"/>
  </r>
  <r>
    <n v="69687232"/>
    <x v="19"/>
    <n v="59965"/>
    <d v="2023-05-18T00:00:00"/>
    <x v="395"/>
    <x v="0"/>
    <n v="2.8439999999999997E-3"/>
    <n v="170.54046"/>
    <s v="GH"/>
    <x v="4"/>
    <x v="46"/>
    <s v="Q2"/>
    <n v="260"/>
    <n v="230.63461538461539"/>
    <s v="FB Cones"/>
    <n v="1"/>
    <n v="59965"/>
    <n v="170.54046"/>
    <n v="230.63461538461539"/>
  </r>
  <r>
    <n v="69552658"/>
    <x v="10"/>
    <n v="2079"/>
    <d v="2023-04-19T00:00:00"/>
    <x v="81"/>
    <x v="37"/>
    <n v="2.8390080000000001E-3"/>
    <n v="5.9022976319999998"/>
    <s v="KL"/>
    <x v="1"/>
    <x v="29"/>
    <s v="Q2"/>
    <n v="189"/>
    <n v="11"/>
    <s v="ESS"/>
    <n v="1"/>
    <n v="2079"/>
    <n v="5.9022976319999998"/>
    <n v="11"/>
  </r>
  <r>
    <n v="69552658"/>
    <x v="10"/>
    <n v="4725"/>
    <d v="2023-04-20T00:00:00"/>
    <x v="81"/>
    <x v="37"/>
    <n v="2.8390080000000001E-3"/>
    <n v="13.414312800000001"/>
    <s v="KL"/>
    <x v="1"/>
    <x v="29"/>
    <s v="Q2"/>
    <n v="189"/>
    <n v="25"/>
    <s v="ESS"/>
    <n v="1"/>
    <n v="4725"/>
    <n v="13.414312800000001"/>
    <n v="25"/>
  </r>
  <r>
    <n v="69552658"/>
    <x v="10"/>
    <n v="5670"/>
    <d v="2023-04-21T00:00:00"/>
    <x v="81"/>
    <x v="37"/>
    <n v="2.8390080000000001E-3"/>
    <n v="16.097175360000001"/>
    <s v="KL"/>
    <x v="1"/>
    <x v="29"/>
    <s v="Q2"/>
    <n v="189"/>
    <n v="30"/>
    <s v="ESS"/>
    <n v="1"/>
    <n v="5670"/>
    <n v="16.097175360000001"/>
    <n v="30"/>
  </r>
  <r>
    <n v="69552658"/>
    <x v="10"/>
    <n v="857"/>
    <d v="2023-04-22T00:00:00"/>
    <x v="81"/>
    <x v="37"/>
    <n v="2.8390080000000001E-3"/>
    <n v="2.4330298560000001"/>
    <s v="KL"/>
    <x v="1"/>
    <x v="29"/>
    <s v="Q2"/>
    <n v="189"/>
    <n v="4.534391534391534"/>
    <s v="ESS"/>
    <n v="1"/>
    <n v="857"/>
    <n v="2.4330298560000001"/>
    <n v="4.534391534391534"/>
  </r>
  <r>
    <n v="69552658"/>
    <x v="10"/>
    <n v="3213"/>
    <d v="2023-04-24T00:00:00"/>
    <x v="81"/>
    <x v="37"/>
    <n v="2.8390080000000001E-3"/>
    <n v="9.1217327039999994"/>
    <s v="KL"/>
    <x v="1"/>
    <x v="29"/>
    <s v="Q2"/>
    <n v="189"/>
    <n v="17"/>
    <s v="ESS"/>
    <n v="1"/>
    <n v="3213"/>
    <n v="9.1217327039999994"/>
    <n v="17"/>
  </r>
  <r>
    <n v="69552658"/>
    <x v="10"/>
    <n v="4914"/>
    <d v="2023-04-25T00:00:00"/>
    <x v="81"/>
    <x v="37"/>
    <n v="2.8390080000000001E-3"/>
    <n v="13.950885312"/>
    <s v="KL"/>
    <x v="1"/>
    <x v="29"/>
    <s v="Q2"/>
    <n v="189"/>
    <n v="26"/>
    <s v="ESS"/>
    <n v="1"/>
    <n v="4914"/>
    <n v="13.950885312"/>
    <n v="26"/>
  </r>
  <r>
    <n v="69552658"/>
    <x v="10"/>
    <n v="2148"/>
    <d v="2023-04-26T00:00:00"/>
    <x v="81"/>
    <x v="37"/>
    <n v="2.8390080000000001E-3"/>
    <n v="6.0981891839999998"/>
    <s v="KL"/>
    <x v="1"/>
    <x v="29"/>
    <s v="Q2"/>
    <n v="189"/>
    <n v="11.365079365079366"/>
    <s v="ESS"/>
    <n v="1"/>
    <n v="2148"/>
    <n v="6.0981891839999998"/>
    <n v="11.365079365079366"/>
  </r>
  <r>
    <n v="69552658"/>
    <x v="10"/>
    <n v="6237"/>
    <d v="2023-04-27T00:00:00"/>
    <x v="81"/>
    <x v="37"/>
    <n v="2.8390080000000001E-3"/>
    <n v="17.706892895999999"/>
    <s v="KL"/>
    <x v="1"/>
    <x v="29"/>
    <s v="Q2"/>
    <n v="189"/>
    <n v="33"/>
    <s v="ESS"/>
    <n v="1"/>
    <n v="6237"/>
    <n v="17.706892895999999"/>
    <n v="33"/>
  </r>
  <r>
    <n v="69552658"/>
    <x v="10"/>
    <n v="4186"/>
    <d v="2023-04-28T00:00:00"/>
    <x v="81"/>
    <x v="37"/>
    <n v="2.8390080000000001E-3"/>
    <n v="11.884087488"/>
    <s v="KL"/>
    <x v="1"/>
    <x v="29"/>
    <s v="Q2"/>
    <n v="189"/>
    <n v="22.148148148148149"/>
    <s v="ESS"/>
    <n v="1"/>
    <n v="4186"/>
    <n v="11.884087488"/>
    <n v="22.148148148148149"/>
  </r>
  <r>
    <n v="67465063"/>
    <x v="15"/>
    <n v="3335"/>
    <d v="2023-05-17T00:00:00"/>
    <x v="3"/>
    <x v="40"/>
    <n v="5.2680000000000001E-3"/>
    <n v="17.56878"/>
    <s v="PS"/>
    <x v="4"/>
    <x v="3"/>
    <s v="Q2"/>
    <n v="130"/>
    <n v="25.653846153846153"/>
    <s v="PG"/>
    <n v="1"/>
    <n v="3335"/>
    <n v="17.56878"/>
    <n v="25.653846153846153"/>
  </r>
  <r>
    <n v="67465064"/>
    <x v="15"/>
    <n v="910"/>
    <d v="2023-05-17T00:00:00"/>
    <x v="7"/>
    <x v="3"/>
    <n v="1.596E-3"/>
    <n v="1.4523599999999999"/>
    <s v="PS"/>
    <x v="4"/>
    <x v="3"/>
    <s v="Q2"/>
    <n v="130"/>
    <n v="7"/>
    <s v="PG"/>
    <n v="1"/>
    <n v="910"/>
    <n v="1.4523599999999999"/>
    <n v="7"/>
  </r>
  <r>
    <n v="67466462"/>
    <x v="15"/>
    <n v="3578"/>
    <d v="2023-05-17T00:00:00"/>
    <x v="29"/>
    <x v="6"/>
    <n v="5.2680000000000001E-3"/>
    <n v="18.848904000000001"/>
    <s v="PS"/>
    <x v="4"/>
    <x v="3"/>
    <s v="Q2"/>
    <n v="130"/>
    <n v="27.523076923076925"/>
    <s v="PG"/>
    <n v="1"/>
    <n v="3578"/>
    <n v="18.848904000000001"/>
    <n v="27.523076923076925"/>
  </r>
  <r>
    <n v="67466492"/>
    <x v="15"/>
    <n v="3314"/>
    <d v="2023-05-17T00:00:00"/>
    <x v="8"/>
    <x v="8"/>
    <n v="5.2680000000000001E-3"/>
    <n v="17.458152000000002"/>
    <s v="PS"/>
    <x v="4"/>
    <x v="3"/>
    <s v="Q2"/>
    <n v="130"/>
    <n v="25.492307692307691"/>
    <s v="PG"/>
    <n v="1"/>
    <n v="3314"/>
    <n v="17.458152000000002"/>
    <n v="25.492307692307691"/>
  </r>
  <r>
    <n v="67382713"/>
    <x v="14"/>
    <n v="28973"/>
    <d v="2023-04-01T00:00:00"/>
    <x v="256"/>
    <x v="0"/>
    <n v="5.6879999999999995E-3"/>
    <n v="164.79842399999998"/>
    <s v="GH"/>
    <x v="1"/>
    <x v="43"/>
    <s v="Q2"/>
    <n v="207"/>
    <n v="139.96618357487924"/>
    <s v="King Cone (PT)"/>
    <n v="1"/>
    <n v="28973"/>
    <n v="164.79842399999998"/>
    <n v="139.96618357487924"/>
  </r>
  <r>
    <n v="67476560"/>
    <x v="15"/>
    <n v="5579"/>
    <d v="2023-05-17T00:00:00"/>
    <x v="10"/>
    <x v="10"/>
    <n v="5.1060000000000003E-3"/>
    <n v="28.486374000000001"/>
    <s v="PS"/>
    <x v="4"/>
    <x v="3"/>
    <s v="Q2"/>
    <n v="130"/>
    <n v="42.915384615384617"/>
    <s v="PG"/>
    <n v="1"/>
    <n v="5579"/>
    <n v="28.486374000000001"/>
    <n v="42.915384615384617"/>
  </r>
  <r>
    <n v="68188183"/>
    <x v="15"/>
    <n v="1354"/>
    <d v="2023-05-17T00:00:00"/>
    <x v="70"/>
    <x v="9"/>
    <n v="3.8340000000000002E-3"/>
    <n v="5.191236"/>
    <s v="PS"/>
    <x v="4"/>
    <x v="3"/>
    <s v="Q2"/>
    <n v="130"/>
    <n v="10.415384615384616"/>
    <s v="PG"/>
    <n v="1"/>
    <n v="1354"/>
    <n v="5.191236"/>
    <n v="10.415384615384616"/>
  </r>
  <r>
    <n v="68728321"/>
    <x v="16"/>
    <n v="-5000"/>
    <d v="2023-05-17T00:00:00"/>
    <x v="150"/>
    <x v="22"/>
    <n v="3.7853439999999999E-3"/>
    <n v="-18.92672"/>
    <s v="TA"/>
    <x v="4"/>
    <x v="10"/>
    <s v="Q2"/>
    <n v="255"/>
    <n v="-19.607843137254903"/>
    <s v="TALENTI"/>
    <n v="1"/>
    <n v="-5000"/>
    <n v="-18.92672"/>
    <n v="-19.607843137254903"/>
  </r>
  <r>
    <n v="68933337"/>
    <x v="7"/>
    <n v="28509"/>
    <d v="2023-01-01T00:00:00"/>
    <x v="397"/>
    <x v="1"/>
    <n v="3.7200000000000002E-3"/>
    <n v="106.05348000000001"/>
    <s v="BJ"/>
    <x v="0"/>
    <x v="18"/>
    <s v="Q1"/>
    <n v="240"/>
    <n v="118.78749999999999"/>
    <s v="BJ PTS"/>
    <n v="1"/>
    <n v="28509"/>
    <n v="106.05348000000001"/>
    <n v="118.78749999999999"/>
  </r>
  <r>
    <n v="68933337"/>
    <x v="7"/>
    <n v="18916"/>
    <d v="2023-02-01T00:00:00"/>
    <x v="397"/>
    <x v="1"/>
    <n v="3.7200000000000002E-3"/>
    <n v="70.367519999999999"/>
    <s v="BJ"/>
    <x v="2"/>
    <x v="18"/>
    <s v="Q1"/>
    <n v="240"/>
    <n v="78.816666666666663"/>
    <s v="BJ PTS"/>
    <n v="1"/>
    <n v="18916"/>
    <n v="70.367519999999999"/>
    <n v="78.816666666666663"/>
  </r>
  <r>
    <n v="69691840"/>
    <x v="16"/>
    <n v="0"/>
    <d v="2023-05-17T00:00:00"/>
    <x v="106"/>
    <x v="21"/>
    <n v="3.7839999999999996E-3"/>
    <n v="0"/>
    <s v="TA"/>
    <x v="4"/>
    <x v="10"/>
    <s v="Q2"/>
    <n v="255"/>
    <n v="0"/>
    <s v="TALENTI"/>
    <n v="1"/>
    <n v="0"/>
    <n v="0"/>
    <n v="0"/>
  </r>
  <r>
    <n v="67826412"/>
    <x v="18"/>
    <n v="32442"/>
    <d v="2023-05-17T00:00:00"/>
    <x v="214"/>
    <x v="35"/>
    <n v="3.7853439999999999E-3"/>
    <n v="122.804130048"/>
    <s v="BJ"/>
    <x v="4"/>
    <x v="36"/>
    <s v="Q2"/>
    <n v="240"/>
    <n v="135.17500000000001"/>
    <s v="BJ PTS"/>
    <n v="1"/>
    <n v="32442"/>
    <n v="122.804130048"/>
    <n v="135.17500000000001"/>
  </r>
  <r>
    <n v="67466492"/>
    <x v="15"/>
    <n v="4368"/>
    <d v="2023-05-17T00:00:00"/>
    <x v="8"/>
    <x v="7"/>
    <n v="5.2680000000000001E-3"/>
    <n v="23.010624"/>
    <s v="PS"/>
    <x v="4"/>
    <x v="3"/>
    <s v="Q2"/>
    <n v="130"/>
    <n v="33.6"/>
    <s v="PG"/>
    <n v="1"/>
    <n v="4368"/>
    <n v="23.010624"/>
    <n v="33.6"/>
  </r>
  <r>
    <n v="68656232"/>
    <x v="15"/>
    <n v="13230"/>
    <d v="2023-05-17T00:00:00"/>
    <x v="211"/>
    <x v="16"/>
    <n v="8.5199999999999998E-3"/>
    <n v="112.7196"/>
    <s v="BR"/>
    <x v="4"/>
    <x v="6"/>
    <s v="Q2"/>
    <n v="154"/>
    <n v="85.909090909090907"/>
    <s v="48oz"/>
    <n v="1"/>
    <n v="13230"/>
    <n v="112.7196"/>
    <n v="85.909090909090907"/>
  </r>
  <r>
    <n v="69629470"/>
    <x v="4"/>
    <n v="434"/>
    <d v="2023-04-01T00:00:00"/>
    <x v="98"/>
    <x v="0"/>
    <n v="5.3220000000000003E-3"/>
    <n v="2.3097480000000004"/>
    <s v="KL"/>
    <x v="1"/>
    <x v="13"/>
    <s v="Q2"/>
    <n v="120"/>
    <n v="3.6166666666666667"/>
    <s v="KL Mini Cones"/>
    <n v="1"/>
    <n v="434"/>
    <n v="2.3097480000000004"/>
    <n v="3.6166666666666667"/>
  </r>
  <r>
    <n v="69665113"/>
    <x v="9"/>
    <n v="36576"/>
    <d v="2023-06-01T00:00:00"/>
    <x v="340"/>
    <x v="1"/>
    <n v="1.8160000000000001E-3"/>
    <n v="66.422015999999999"/>
    <s v="BJ"/>
    <x v="5"/>
    <x v="23"/>
    <s v="Q2"/>
    <n v="256"/>
    <n v="142.875"/>
    <s v="Dough Bites"/>
    <n v="0.94"/>
    <n v="34381.439999999995"/>
    <n v="62.436695039999996"/>
    <n v="134.30249999999998"/>
  </r>
  <r>
    <n v="69665113"/>
    <x v="9"/>
    <n v="34576"/>
    <d v="2023-07-01T00:00:00"/>
    <x v="340"/>
    <x v="1"/>
    <n v="1.8160000000000001E-3"/>
    <n v="62.790016000000001"/>
    <s v="BJ"/>
    <x v="6"/>
    <x v="23"/>
    <s v="Q3"/>
    <n v="256"/>
    <n v="135.0625"/>
    <s v="Dough Bites"/>
    <n v="0.94"/>
    <n v="32501.439999999999"/>
    <n v="59.022615039999998"/>
    <n v="126.95874999999999"/>
  </r>
  <r>
    <n v="69665113"/>
    <x v="9"/>
    <n v="0"/>
    <d v="2023-08-01T00:00:00"/>
    <x v="340"/>
    <x v="1"/>
    <n v="1.8160000000000001E-3"/>
    <n v="0"/>
    <s v="BJ"/>
    <x v="8"/>
    <x v="23"/>
    <s v="Q3"/>
    <n v="256"/>
    <n v="0"/>
    <s v="Dough Bites"/>
    <n v="0.94"/>
    <n v="0"/>
    <n v="0"/>
    <n v="0"/>
  </r>
  <r>
    <n v="69665113"/>
    <x v="9"/>
    <n v="22288"/>
    <d v="2023-09-01T00:00:00"/>
    <x v="340"/>
    <x v="1"/>
    <n v="1.8160000000000001E-3"/>
    <n v="40.475008000000003"/>
    <s v="BJ"/>
    <x v="9"/>
    <x v="23"/>
    <s v="Q3"/>
    <n v="256"/>
    <n v="87.0625"/>
    <s v="Dough Bites"/>
    <n v="0.94"/>
    <n v="20950.719999999998"/>
    <n v="38.046507519999999"/>
    <n v="81.83874999999999"/>
  </r>
  <r>
    <n v="69665113"/>
    <x v="9"/>
    <n v="12288"/>
    <d v="2023-10-01T00:00:00"/>
    <x v="340"/>
    <x v="1"/>
    <n v="1.8160000000000001E-3"/>
    <n v="22.315008000000002"/>
    <s v="BJ"/>
    <x v="7"/>
    <x v="23"/>
    <s v="Q4"/>
    <n v="256"/>
    <n v="48"/>
    <s v="Dough Bites"/>
    <n v="0.94"/>
    <n v="11550.72"/>
    <n v="20.976107519999999"/>
    <n v="45.12"/>
  </r>
  <r>
    <n v="69665113"/>
    <x v="9"/>
    <n v="22288"/>
    <d v="2023-11-01T00:00:00"/>
    <x v="340"/>
    <x v="1"/>
    <n v="1.8160000000000001E-3"/>
    <n v="40.475008000000003"/>
    <s v="BJ"/>
    <x v="10"/>
    <x v="23"/>
    <s v="Q4"/>
    <n v="256"/>
    <n v="87.0625"/>
    <s v="Dough Bites"/>
    <n v="0.94"/>
    <n v="20950.719999999998"/>
    <n v="38.046507519999999"/>
    <n v="81.83874999999999"/>
  </r>
  <r>
    <n v="69665113"/>
    <x v="9"/>
    <n v="24576"/>
    <d v="2023-12-01T00:00:00"/>
    <x v="340"/>
    <x v="1"/>
    <n v="1.8160000000000001E-3"/>
    <n v="44.630016000000005"/>
    <s v="BJ"/>
    <x v="11"/>
    <x v="23"/>
    <s v="Q4"/>
    <n v="256"/>
    <n v="96"/>
    <s v="Dough Bites"/>
    <n v="0.94"/>
    <n v="23101.439999999999"/>
    <n v="41.952215039999999"/>
    <n v="90.24"/>
  </r>
  <r>
    <n v="68737750"/>
    <x v="15"/>
    <n v="14001"/>
    <d v="2023-05-17T00:00:00"/>
    <x v="144"/>
    <x v="23"/>
    <n v="8.5199999999999998E-3"/>
    <n v="119.28851999999999"/>
    <s v="BR"/>
    <x v="4"/>
    <x v="6"/>
    <s v="Q2"/>
    <n v="176"/>
    <n v="79.55113636363636"/>
    <s v="48oz"/>
    <n v="1"/>
    <n v="14001"/>
    <n v="119.28851999999999"/>
    <n v="79.55113636363636"/>
  </r>
  <r>
    <n v="69665114"/>
    <x v="9"/>
    <n v="0"/>
    <d v="2023-06-01T00:00:00"/>
    <x v="341"/>
    <x v="1"/>
    <n v="1.8160000000000001E-3"/>
    <n v="0"/>
    <s v="BJ"/>
    <x v="5"/>
    <x v="23"/>
    <s v="Q2"/>
    <n v="256"/>
    <n v="0"/>
    <s v="Dough Bites"/>
    <n v="0.94"/>
    <n v="0"/>
    <n v="0"/>
    <n v="0"/>
  </r>
  <r>
    <n v="69665114"/>
    <x v="9"/>
    <n v="6144"/>
    <d v="2023-07-01T00:00:00"/>
    <x v="341"/>
    <x v="1"/>
    <n v="1.8160000000000001E-3"/>
    <n v="11.157504000000001"/>
    <s v="BJ"/>
    <x v="6"/>
    <x v="23"/>
    <s v="Q3"/>
    <n v="256"/>
    <n v="24"/>
    <s v="Dough Bites"/>
    <n v="0.94"/>
    <n v="5775.36"/>
    <n v="10.48805376"/>
    <n v="22.56"/>
  </r>
  <r>
    <n v="69665114"/>
    <x v="9"/>
    <n v="22288"/>
    <d v="2023-08-01T00:00:00"/>
    <x v="341"/>
    <x v="1"/>
    <n v="1.8160000000000001E-3"/>
    <n v="40.475008000000003"/>
    <s v="BJ"/>
    <x v="8"/>
    <x v="23"/>
    <s v="Q3"/>
    <n v="256"/>
    <n v="87.0625"/>
    <s v="Dough Bites"/>
    <n v="0.94"/>
    <n v="20950.719999999998"/>
    <n v="38.046507519999999"/>
    <n v="81.83874999999999"/>
  </r>
  <r>
    <n v="69665114"/>
    <x v="9"/>
    <n v="0"/>
    <d v="2023-09-01T00:00:00"/>
    <x v="341"/>
    <x v="1"/>
    <n v="1.8160000000000001E-3"/>
    <n v="0"/>
    <s v="BJ"/>
    <x v="9"/>
    <x v="23"/>
    <s v="Q3"/>
    <n v="256"/>
    <n v="0"/>
    <s v="Dough Bites"/>
    <n v="0.94"/>
    <n v="0"/>
    <n v="0"/>
    <n v="0"/>
  </r>
  <r>
    <n v="69665114"/>
    <x v="9"/>
    <n v="12288"/>
    <d v="2023-10-01T00:00:00"/>
    <x v="341"/>
    <x v="1"/>
    <n v="1.8160000000000001E-3"/>
    <n v="22.315008000000002"/>
    <s v="BJ"/>
    <x v="7"/>
    <x v="23"/>
    <s v="Q4"/>
    <n v="256"/>
    <n v="48"/>
    <s v="Dough Bites"/>
    <n v="0.94"/>
    <n v="11550.72"/>
    <n v="20.976107519999999"/>
    <n v="45.12"/>
  </r>
  <r>
    <n v="69665114"/>
    <x v="9"/>
    <n v="0"/>
    <d v="2023-11-01T00:00:00"/>
    <x v="341"/>
    <x v="1"/>
    <n v="1.8160000000000001E-3"/>
    <n v="0"/>
    <s v="BJ"/>
    <x v="10"/>
    <x v="23"/>
    <s v="Q4"/>
    <n v="256"/>
    <n v="0"/>
    <s v="Dough Bites"/>
    <n v="0.94"/>
    <n v="0"/>
    <n v="0"/>
    <n v="0"/>
  </r>
  <r>
    <n v="69665114"/>
    <x v="9"/>
    <n v="0"/>
    <d v="2023-12-01T00:00:00"/>
    <x v="341"/>
    <x v="1"/>
    <n v="1.8160000000000001E-3"/>
    <n v="0"/>
    <s v="BJ"/>
    <x v="11"/>
    <x v="23"/>
    <s v="Q4"/>
    <n v="256"/>
    <n v="0"/>
    <s v="Dough Bites"/>
    <n v="0.94"/>
    <n v="0"/>
    <n v="0"/>
    <n v="0"/>
  </r>
  <r>
    <n v="69568828"/>
    <x v="15"/>
    <n v="13575"/>
    <d v="2023-05-17T00:00:00"/>
    <x v="12"/>
    <x v="12"/>
    <n v="8.5199999999999998E-3"/>
    <n v="115.65899999999999"/>
    <s v="BR"/>
    <x v="4"/>
    <x v="6"/>
    <s v="Q2"/>
    <n v="176"/>
    <n v="77.130681818181813"/>
    <s v="48oz"/>
    <n v="1"/>
    <n v="13575"/>
    <n v="115.65899999999999"/>
    <n v="77.130681818181813"/>
  </r>
  <r>
    <n v="69665115"/>
    <x v="9"/>
    <n v="0"/>
    <d v="2023-06-01T00:00:00"/>
    <x v="342"/>
    <x v="1"/>
    <n v="1.8160000000000001E-3"/>
    <n v="0"/>
    <s v="BJ"/>
    <x v="5"/>
    <x v="23"/>
    <s v="Q2"/>
    <n v="256"/>
    <n v="0"/>
    <s v="Dough Bites"/>
    <n v="0.94"/>
    <n v="0"/>
    <n v="0"/>
    <n v="0"/>
  </r>
  <r>
    <n v="69665115"/>
    <x v="9"/>
    <n v="5000"/>
    <d v="2023-07-01T00:00:00"/>
    <x v="342"/>
    <x v="1"/>
    <n v="1.8160000000000001E-3"/>
    <n v="9.08"/>
    <s v="BJ"/>
    <x v="6"/>
    <x v="23"/>
    <s v="Q3"/>
    <n v="256"/>
    <n v="19.53125"/>
    <s v="Dough Bites"/>
    <n v="0.94"/>
    <n v="4700"/>
    <n v="8.5351999999999997"/>
    <n v="18.359375"/>
  </r>
  <r>
    <n v="69665115"/>
    <x v="9"/>
    <n v="0"/>
    <d v="2023-08-01T00:00:00"/>
    <x v="342"/>
    <x v="1"/>
    <n v="1.8160000000000001E-3"/>
    <n v="0"/>
    <s v="BJ"/>
    <x v="8"/>
    <x v="23"/>
    <s v="Q3"/>
    <n v="256"/>
    <n v="0"/>
    <s v="Dough Bites"/>
    <n v="0.94"/>
    <n v="0"/>
    <n v="0"/>
    <n v="0"/>
  </r>
  <r>
    <n v="69665115"/>
    <x v="9"/>
    <n v="0"/>
    <d v="2023-09-01T00:00:00"/>
    <x v="342"/>
    <x v="1"/>
    <n v="1.8160000000000001E-3"/>
    <n v="0"/>
    <s v="BJ"/>
    <x v="9"/>
    <x v="23"/>
    <s v="Q3"/>
    <n v="256"/>
    <n v="0"/>
    <s v="Dough Bites"/>
    <n v="0.94"/>
    <n v="0"/>
    <n v="0"/>
    <n v="0"/>
  </r>
  <r>
    <n v="69665115"/>
    <x v="9"/>
    <n v="0"/>
    <d v="2023-10-01T00:00:00"/>
    <x v="342"/>
    <x v="1"/>
    <n v="1.8160000000000001E-3"/>
    <n v="0"/>
    <s v="BJ"/>
    <x v="7"/>
    <x v="23"/>
    <s v="Q4"/>
    <n v="256"/>
    <n v="0"/>
    <s v="Dough Bites"/>
    <n v="0.94"/>
    <n v="0"/>
    <n v="0"/>
    <n v="0"/>
  </r>
  <r>
    <n v="69665115"/>
    <x v="9"/>
    <n v="0"/>
    <d v="2023-11-01T00:00:00"/>
    <x v="342"/>
    <x v="1"/>
    <n v="1.8160000000000001E-3"/>
    <n v="0"/>
    <s v="BJ"/>
    <x v="10"/>
    <x v="23"/>
    <s v="Q4"/>
    <n v="256"/>
    <n v="0"/>
    <s v="Dough Bites"/>
    <n v="0.94"/>
    <n v="0"/>
    <n v="0"/>
    <n v="0"/>
  </r>
  <r>
    <n v="69665115"/>
    <x v="9"/>
    <n v="0"/>
    <d v="2023-12-01T00:00:00"/>
    <x v="342"/>
    <x v="1"/>
    <n v="1.8160000000000001E-3"/>
    <n v="0"/>
    <s v="BJ"/>
    <x v="11"/>
    <x v="23"/>
    <s v="Q4"/>
    <n v="256"/>
    <n v="0"/>
    <s v="Dough Bites"/>
    <n v="0.94"/>
    <n v="0"/>
    <n v="0"/>
    <n v="0"/>
  </r>
  <r>
    <n v="69568829"/>
    <x v="15"/>
    <n v="6215"/>
    <d v="2023-05-17T00:00:00"/>
    <x v="66"/>
    <x v="11"/>
    <n v="8.5199999999999998E-3"/>
    <n v="52.951799999999999"/>
    <s v="BR"/>
    <x v="4"/>
    <x v="6"/>
    <s v="Q2"/>
    <n v="176"/>
    <n v="35.3125"/>
    <s v="48oz"/>
    <n v="1"/>
    <n v="6215"/>
    <n v="52.951799999999999"/>
    <n v="35.3125"/>
  </r>
  <r>
    <n v="69671652"/>
    <x v="15"/>
    <n v="5830"/>
    <d v="2023-05-17T00:00:00"/>
    <x v="197"/>
    <x v="24"/>
    <n v="2.8319999999999999E-3"/>
    <n v="16.510559999999998"/>
    <s v="GH"/>
    <x v="4"/>
    <x v="4"/>
    <s v="Q2"/>
    <n v="225"/>
    <n v="25.911111111111111"/>
    <s v="MBG"/>
    <n v="1"/>
    <n v="5830"/>
    <n v="16.510559999999998"/>
    <n v="25.911111111111111"/>
  </r>
  <r>
    <n v="67885721"/>
    <x v="16"/>
    <n v="23331"/>
    <d v="2023-05-17T00:00:00"/>
    <x v="40"/>
    <x v="32"/>
    <n v="8.5199999999999998E-3"/>
    <n v="198.78011999999998"/>
    <s v="BR"/>
    <x v="4"/>
    <x v="2"/>
    <s v="Q2"/>
    <n v="154"/>
    <n v="151.5"/>
    <s v="48oz"/>
    <n v="1"/>
    <n v="23331"/>
    <n v="198.78011999999998"/>
    <n v="151.5"/>
  </r>
  <r>
    <n v="69713190"/>
    <x v="9"/>
    <n v="0"/>
    <d v="2023-06-01T00:00:00"/>
    <x v="340"/>
    <x v="1"/>
    <n v="1.8959999999999999E-3"/>
    <n v="0"/>
    <s v="BJ"/>
    <x v="5"/>
    <x v="23"/>
    <s v="Q2"/>
    <n v="256"/>
    <n v="0"/>
    <s v="Dough Bites"/>
    <n v="0.94"/>
    <n v="0"/>
    <n v="0"/>
    <n v="0"/>
  </r>
  <r>
    <n v="69713190"/>
    <x v="9"/>
    <n v="0"/>
    <d v="2023-07-01T00:00:00"/>
    <x v="340"/>
    <x v="1"/>
    <n v="1.8959999999999999E-3"/>
    <n v="0"/>
    <s v="BJ"/>
    <x v="6"/>
    <x v="23"/>
    <s v="Q3"/>
    <n v="256"/>
    <n v="0"/>
    <s v="Dough Bites"/>
    <n v="0.94"/>
    <n v="0"/>
    <n v="0"/>
    <n v="0"/>
  </r>
  <r>
    <n v="69713190"/>
    <x v="9"/>
    <n v="0"/>
    <d v="2023-08-01T00:00:00"/>
    <x v="340"/>
    <x v="1"/>
    <n v="1.8959999999999999E-3"/>
    <n v="0"/>
    <s v="BJ"/>
    <x v="8"/>
    <x v="23"/>
    <s v="Q3"/>
    <n v="256"/>
    <n v="0"/>
    <s v="Dough Bites"/>
    <n v="0.94"/>
    <n v="0"/>
    <n v="0"/>
    <n v="0"/>
  </r>
  <r>
    <n v="69713190"/>
    <x v="9"/>
    <n v="0"/>
    <d v="2023-09-01T00:00:00"/>
    <x v="340"/>
    <x v="1"/>
    <n v="1.8959999999999999E-3"/>
    <n v="0"/>
    <s v="BJ"/>
    <x v="9"/>
    <x v="23"/>
    <s v="Q3"/>
    <n v="256"/>
    <n v="0"/>
    <s v="Dough Bites"/>
    <n v="0.94"/>
    <n v="0"/>
    <n v="0"/>
    <n v="0"/>
  </r>
  <r>
    <n v="69713190"/>
    <x v="9"/>
    <n v="0"/>
    <d v="2023-10-01T00:00:00"/>
    <x v="340"/>
    <x v="1"/>
    <n v="1.8959999999999999E-3"/>
    <n v="0"/>
    <s v="BJ"/>
    <x v="7"/>
    <x v="23"/>
    <s v="Q4"/>
    <n v="256"/>
    <n v="0"/>
    <s v="Dough Bites"/>
    <n v="0.94"/>
    <n v="0"/>
    <n v="0"/>
    <n v="0"/>
  </r>
  <r>
    <n v="69713190"/>
    <x v="9"/>
    <n v="0"/>
    <d v="2023-11-01T00:00:00"/>
    <x v="340"/>
    <x v="1"/>
    <n v="1.8959999999999999E-3"/>
    <n v="0"/>
    <s v="BJ"/>
    <x v="10"/>
    <x v="23"/>
    <s v="Q4"/>
    <n v="256"/>
    <n v="0"/>
    <s v="Dough Bites"/>
    <n v="0.94"/>
    <n v="0"/>
    <n v="0"/>
    <n v="0"/>
  </r>
  <r>
    <n v="69713190"/>
    <x v="9"/>
    <n v="0"/>
    <d v="2023-12-01T00:00:00"/>
    <x v="340"/>
    <x v="1"/>
    <n v="1.8959999999999999E-3"/>
    <n v="0"/>
    <s v="BJ"/>
    <x v="11"/>
    <x v="23"/>
    <s v="Q4"/>
    <n v="256"/>
    <n v="0"/>
    <s v="Dough Bites"/>
    <n v="0.94"/>
    <n v="0"/>
    <n v="0"/>
    <n v="0"/>
  </r>
  <r>
    <n v="67278337"/>
    <x v="23"/>
    <n v="125"/>
    <d v="2023-10-01T00:00:00"/>
    <x v="398"/>
    <x v="1"/>
    <e v="#N/A"/>
    <e v="#N/A"/>
    <e v="#N/A"/>
    <x v="7"/>
    <x v="52"/>
    <s v="Q4"/>
    <e v="#N/A"/>
    <e v="#N/A"/>
    <e v="#N/A"/>
    <e v="#N/A"/>
    <e v="#N/A"/>
    <e v="#N/A"/>
    <e v="#N/A"/>
  </r>
  <r>
    <n v="67278337"/>
    <x v="23"/>
    <n v="250"/>
    <d v="2023-11-01T00:00:00"/>
    <x v="398"/>
    <x v="1"/>
    <e v="#N/A"/>
    <e v="#N/A"/>
    <e v="#N/A"/>
    <x v="10"/>
    <x v="52"/>
    <s v="Q4"/>
    <e v="#N/A"/>
    <e v="#N/A"/>
    <e v="#N/A"/>
    <e v="#N/A"/>
    <e v="#N/A"/>
    <e v="#N/A"/>
    <e v="#N/A"/>
  </r>
  <r>
    <n v="67278337"/>
    <x v="23"/>
    <n v="125"/>
    <d v="2023-12-01T00:00:00"/>
    <x v="398"/>
    <x v="1"/>
    <e v="#N/A"/>
    <e v="#N/A"/>
    <e v="#N/A"/>
    <x v="11"/>
    <x v="52"/>
    <s v="Q4"/>
    <e v="#N/A"/>
    <e v="#N/A"/>
    <e v="#N/A"/>
    <e v="#N/A"/>
    <e v="#N/A"/>
    <e v="#N/A"/>
    <e v="#N/A"/>
  </r>
  <r>
    <n v="67278338"/>
    <x v="23"/>
    <n v="875"/>
    <d v="2023-08-01T00:00:00"/>
    <x v="399"/>
    <x v="1"/>
    <e v="#N/A"/>
    <e v="#N/A"/>
    <e v="#N/A"/>
    <x v="8"/>
    <x v="52"/>
    <s v="Q3"/>
    <e v="#N/A"/>
    <e v="#N/A"/>
    <e v="#N/A"/>
    <e v="#N/A"/>
    <e v="#N/A"/>
    <e v="#N/A"/>
    <e v="#N/A"/>
  </r>
  <r>
    <n v="67278338"/>
    <x v="23"/>
    <n v="1000"/>
    <d v="2023-09-01T00:00:00"/>
    <x v="399"/>
    <x v="1"/>
    <e v="#N/A"/>
    <e v="#N/A"/>
    <e v="#N/A"/>
    <x v="9"/>
    <x v="52"/>
    <s v="Q3"/>
    <e v="#N/A"/>
    <e v="#N/A"/>
    <e v="#N/A"/>
    <e v="#N/A"/>
    <e v="#N/A"/>
    <e v="#N/A"/>
    <e v="#N/A"/>
  </r>
  <r>
    <n v="67278338"/>
    <x v="23"/>
    <n v="875"/>
    <d v="2023-10-01T00:00:00"/>
    <x v="399"/>
    <x v="1"/>
    <e v="#N/A"/>
    <e v="#N/A"/>
    <e v="#N/A"/>
    <x v="7"/>
    <x v="52"/>
    <s v="Q4"/>
    <e v="#N/A"/>
    <e v="#N/A"/>
    <e v="#N/A"/>
    <e v="#N/A"/>
    <e v="#N/A"/>
    <e v="#N/A"/>
    <e v="#N/A"/>
  </r>
  <r>
    <n v="67278338"/>
    <x v="23"/>
    <n v="875"/>
    <d v="2023-11-01T00:00:00"/>
    <x v="399"/>
    <x v="1"/>
    <e v="#N/A"/>
    <e v="#N/A"/>
    <e v="#N/A"/>
    <x v="10"/>
    <x v="52"/>
    <s v="Q4"/>
    <e v="#N/A"/>
    <e v="#N/A"/>
    <e v="#N/A"/>
    <e v="#N/A"/>
    <e v="#N/A"/>
    <e v="#N/A"/>
    <e v="#N/A"/>
  </r>
  <r>
    <n v="67278338"/>
    <x v="23"/>
    <n v="875"/>
    <d v="2023-12-01T00:00:00"/>
    <x v="399"/>
    <x v="1"/>
    <e v="#N/A"/>
    <e v="#N/A"/>
    <e v="#N/A"/>
    <x v="11"/>
    <x v="52"/>
    <s v="Q4"/>
    <e v="#N/A"/>
    <e v="#N/A"/>
    <e v="#N/A"/>
    <e v="#N/A"/>
    <e v="#N/A"/>
    <e v="#N/A"/>
    <e v="#N/A"/>
  </r>
  <r>
    <n v="67289358"/>
    <x v="23"/>
    <n v="250"/>
    <d v="2023-08-01T00:00:00"/>
    <x v="400"/>
    <x v="1"/>
    <e v="#N/A"/>
    <e v="#N/A"/>
    <e v="#N/A"/>
    <x v="8"/>
    <x v="52"/>
    <s v="Q3"/>
    <e v="#N/A"/>
    <e v="#N/A"/>
    <e v="#N/A"/>
    <e v="#N/A"/>
    <e v="#N/A"/>
    <e v="#N/A"/>
    <e v="#N/A"/>
  </r>
  <r>
    <n v="67289358"/>
    <x v="23"/>
    <n v="125"/>
    <d v="2023-09-01T00:00:00"/>
    <x v="400"/>
    <x v="1"/>
    <e v="#N/A"/>
    <e v="#N/A"/>
    <e v="#N/A"/>
    <x v="9"/>
    <x v="52"/>
    <s v="Q3"/>
    <e v="#N/A"/>
    <e v="#N/A"/>
    <e v="#N/A"/>
    <e v="#N/A"/>
    <e v="#N/A"/>
    <e v="#N/A"/>
    <e v="#N/A"/>
  </r>
  <r>
    <n v="67289358"/>
    <x v="23"/>
    <n v="125"/>
    <d v="2023-10-01T00:00:00"/>
    <x v="400"/>
    <x v="1"/>
    <e v="#N/A"/>
    <e v="#N/A"/>
    <e v="#N/A"/>
    <x v="7"/>
    <x v="52"/>
    <s v="Q4"/>
    <e v="#N/A"/>
    <e v="#N/A"/>
    <e v="#N/A"/>
    <e v="#N/A"/>
    <e v="#N/A"/>
    <e v="#N/A"/>
    <e v="#N/A"/>
  </r>
  <r>
    <n v="67289358"/>
    <x v="23"/>
    <n v="125"/>
    <d v="2023-11-01T00:00:00"/>
    <x v="400"/>
    <x v="1"/>
    <e v="#N/A"/>
    <e v="#N/A"/>
    <e v="#N/A"/>
    <x v="10"/>
    <x v="52"/>
    <s v="Q4"/>
    <e v="#N/A"/>
    <e v="#N/A"/>
    <e v="#N/A"/>
    <e v="#N/A"/>
    <e v="#N/A"/>
    <e v="#N/A"/>
    <e v="#N/A"/>
  </r>
  <r>
    <n v="67289358"/>
    <x v="23"/>
    <n v="125"/>
    <d v="2023-12-01T00:00:00"/>
    <x v="400"/>
    <x v="1"/>
    <e v="#N/A"/>
    <e v="#N/A"/>
    <e v="#N/A"/>
    <x v="11"/>
    <x v="52"/>
    <s v="Q4"/>
    <e v="#N/A"/>
    <e v="#N/A"/>
    <e v="#N/A"/>
    <e v="#N/A"/>
    <e v="#N/A"/>
    <e v="#N/A"/>
    <e v="#N/A"/>
  </r>
  <r>
    <n v="67605294"/>
    <x v="23"/>
    <n v="625"/>
    <d v="2023-08-01T00:00:00"/>
    <x v="401"/>
    <x v="1"/>
    <e v="#N/A"/>
    <e v="#N/A"/>
    <e v="#N/A"/>
    <x v="8"/>
    <x v="52"/>
    <s v="Q3"/>
    <e v="#N/A"/>
    <e v="#N/A"/>
    <e v="#N/A"/>
    <e v="#N/A"/>
    <e v="#N/A"/>
    <e v="#N/A"/>
    <e v="#N/A"/>
  </r>
  <r>
    <n v="67605294"/>
    <x v="23"/>
    <n v="625"/>
    <d v="2023-09-01T00:00:00"/>
    <x v="401"/>
    <x v="1"/>
    <e v="#N/A"/>
    <e v="#N/A"/>
    <e v="#N/A"/>
    <x v="9"/>
    <x v="52"/>
    <s v="Q3"/>
    <e v="#N/A"/>
    <e v="#N/A"/>
    <e v="#N/A"/>
    <e v="#N/A"/>
    <e v="#N/A"/>
    <e v="#N/A"/>
    <e v="#N/A"/>
  </r>
  <r>
    <n v="67605294"/>
    <x v="23"/>
    <n v="625"/>
    <d v="2023-10-01T00:00:00"/>
    <x v="401"/>
    <x v="1"/>
    <e v="#N/A"/>
    <e v="#N/A"/>
    <e v="#N/A"/>
    <x v="7"/>
    <x v="52"/>
    <s v="Q4"/>
    <e v="#N/A"/>
    <e v="#N/A"/>
    <e v="#N/A"/>
    <e v="#N/A"/>
    <e v="#N/A"/>
    <e v="#N/A"/>
    <e v="#N/A"/>
  </r>
  <r>
    <n v="67605294"/>
    <x v="23"/>
    <n v="625"/>
    <d v="2023-11-01T00:00:00"/>
    <x v="401"/>
    <x v="1"/>
    <e v="#N/A"/>
    <e v="#N/A"/>
    <e v="#N/A"/>
    <x v="10"/>
    <x v="52"/>
    <s v="Q4"/>
    <e v="#N/A"/>
    <e v="#N/A"/>
    <e v="#N/A"/>
    <e v="#N/A"/>
    <e v="#N/A"/>
    <e v="#N/A"/>
    <e v="#N/A"/>
  </r>
  <r>
    <n v="67605294"/>
    <x v="23"/>
    <n v="625"/>
    <d v="2023-12-01T00:00:00"/>
    <x v="401"/>
    <x v="1"/>
    <e v="#N/A"/>
    <e v="#N/A"/>
    <e v="#N/A"/>
    <x v="11"/>
    <x v="52"/>
    <s v="Q4"/>
    <e v="#N/A"/>
    <e v="#N/A"/>
    <e v="#N/A"/>
    <e v="#N/A"/>
    <e v="#N/A"/>
    <e v="#N/A"/>
    <e v="#N/A"/>
  </r>
  <r>
    <n v="68409139"/>
    <x v="23"/>
    <n v="750"/>
    <d v="2023-08-01T00:00:00"/>
    <x v="402"/>
    <x v="1"/>
    <e v="#N/A"/>
    <e v="#N/A"/>
    <e v="#N/A"/>
    <x v="8"/>
    <x v="52"/>
    <s v="Q3"/>
    <e v="#N/A"/>
    <e v="#N/A"/>
    <e v="#N/A"/>
    <e v="#N/A"/>
    <e v="#N/A"/>
    <e v="#N/A"/>
    <e v="#N/A"/>
  </r>
  <r>
    <n v="68409139"/>
    <x v="23"/>
    <n v="625"/>
    <d v="2023-09-01T00:00:00"/>
    <x v="402"/>
    <x v="1"/>
    <e v="#N/A"/>
    <e v="#N/A"/>
    <e v="#N/A"/>
    <x v="9"/>
    <x v="52"/>
    <s v="Q3"/>
    <e v="#N/A"/>
    <e v="#N/A"/>
    <e v="#N/A"/>
    <e v="#N/A"/>
    <e v="#N/A"/>
    <e v="#N/A"/>
    <e v="#N/A"/>
  </r>
  <r>
    <n v="68409139"/>
    <x v="23"/>
    <n v="625"/>
    <d v="2023-10-01T00:00:00"/>
    <x v="402"/>
    <x v="1"/>
    <e v="#N/A"/>
    <e v="#N/A"/>
    <e v="#N/A"/>
    <x v="7"/>
    <x v="52"/>
    <s v="Q4"/>
    <e v="#N/A"/>
    <e v="#N/A"/>
    <e v="#N/A"/>
    <e v="#N/A"/>
    <e v="#N/A"/>
    <e v="#N/A"/>
    <e v="#N/A"/>
  </r>
  <r>
    <n v="68409139"/>
    <x v="23"/>
    <n v="625"/>
    <d v="2023-11-01T00:00:00"/>
    <x v="402"/>
    <x v="1"/>
    <e v="#N/A"/>
    <e v="#N/A"/>
    <e v="#N/A"/>
    <x v="10"/>
    <x v="52"/>
    <s v="Q4"/>
    <e v="#N/A"/>
    <e v="#N/A"/>
    <e v="#N/A"/>
    <e v="#N/A"/>
    <e v="#N/A"/>
    <e v="#N/A"/>
    <e v="#N/A"/>
  </r>
  <r>
    <n v="68409139"/>
    <x v="23"/>
    <n v="750"/>
    <d v="2023-12-01T00:00:00"/>
    <x v="402"/>
    <x v="1"/>
    <e v="#N/A"/>
    <e v="#N/A"/>
    <e v="#N/A"/>
    <x v="11"/>
    <x v="52"/>
    <s v="Q4"/>
    <e v="#N/A"/>
    <e v="#N/A"/>
    <e v="#N/A"/>
    <e v="#N/A"/>
    <e v="#N/A"/>
    <e v="#N/A"/>
    <e v="#N/A"/>
  </r>
  <r>
    <n v="68354589"/>
    <x v="16"/>
    <n v="3358"/>
    <d v="2023-05-17T00:00:00"/>
    <x v="53"/>
    <x v="15"/>
    <n v="3.5999999999999999E-3"/>
    <n v="12.088799999999999"/>
    <s v="BJ"/>
    <x v="4"/>
    <x v="19"/>
    <s v="Q2"/>
    <n v="240"/>
    <n v="13.991666666666667"/>
    <s v="Topped"/>
    <n v="1"/>
    <n v="3358"/>
    <n v="12.088799999999999"/>
    <n v="13.991666666666667"/>
  </r>
  <r>
    <n v="68419329"/>
    <x v="23"/>
    <n v="125"/>
    <d v="2023-08-01T00:00:00"/>
    <x v="403"/>
    <x v="1"/>
    <e v="#N/A"/>
    <e v="#N/A"/>
    <e v="#N/A"/>
    <x v="8"/>
    <x v="52"/>
    <s v="Q3"/>
    <e v="#N/A"/>
    <e v="#N/A"/>
    <e v="#N/A"/>
    <e v="#N/A"/>
    <e v="#N/A"/>
    <e v="#N/A"/>
    <e v="#N/A"/>
  </r>
  <r>
    <n v="68419329"/>
    <x v="23"/>
    <n v="125"/>
    <d v="2023-09-01T00:00:00"/>
    <x v="403"/>
    <x v="1"/>
    <e v="#N/A"/>
    <e v="#N/A"/>
    <e v="#N/A"/>
    <x v="9"/>
    <x v="52"/>
    <s v="Q3"/>
    <e v="#N/A"/>
    <e v="#N/A"/>
    <e v="#N/A"/>
    <e v="#N/A"/>
    <e v="#N/A"/>
    <e v="#N/A"/>
    <e v="#N/A"/>
  </r>
  <r>
    <n v="68419329"/>
    <x v="23"/>
    <n v="125"/>
    <d v="2023-10-01T00:00:00"/>
    <x v="403"/>
    <x v="1"/>
    <e v="#N/A"/>
    <e v="#N/A"/>
    <e v="#N/A"/>
    <x v="7"/>
    <x v="52"/>
    <s v="Q4"/>
    <e v="#N/A"/>
    <e v="#N/A"/>
    <e v="#N/A"/>
    <e v="#N/A"/>
    <e v="#N/A"/>
    <e v="#N/A"/>
    <e v="#N/A"/>
  </r>
  <r>
    <n v="68419329"/>
    <x v="23"/>
    <n v="125"/>
    <d v="2023-11-01T00:00:00"/>
    <x v="403"/>
    <x v="1"/>
    <e v="#N/A"/>
    <e v="#N/A"/>
    <e v="#N/A"/>
    <x v="10"/>
    <x v="52"/>
    <s v="Q4"/>
    <e v="#N/A"/>
    <e v="#N/A"/>
    <e v="#N/A"/>
    <e v="#N/A"/>
    <e v="#N/A"/>
    <e v="#N/A"/>
    <e v="#N/A"/>
  </r>
  <r>
    <n v="68419329"/>
    <x v="23"/>
    <n v="250"/>
    <d v="2023-12-01T00:00:00"/>
    <x v="403"/>
    <x v="1"/>
    <e v="#N/A"/>
    <e v="#N/A"/>
    <e v="#N/A"/>
    <x v="11"/>
    <x v="52"/>
    <s v="Q4"/>
    <e v="#N/A"/>
    <e v="#N/A"/>
    <e v="#N/A"/>
    <e v="#N/A"/>
    <e v="#N/A"/>
    <e v="#N/A"/>
    <e v="#N/A"/>
  </r>
  <r>
    <n v="68518543"/>
    <x v="23"/>
    <n v="250"/>
    <d v="2023-08-01T00:00:00"/>
    <x v="404"/>
    <x v="1"/>
    <e v="#N/A"/>
    <e v="#N/A"/>
    <e v="#N/A"/>
    <x v="8"/>
    <x v="52"/>
    <s v="Q3"/>
    <e v="#N/A"/>
    <e v="#N/A"/>
    <e v="#N/A"/>
    <e v="#N/A"/>
    <e v="#N/A"/>
    <e v="#N/A"/>
    <e v="#N/A"/>
  </r>
  <r>
    <n v="68518543"/>
    <x v="23"/>
    <n v="125"/>
    <d v="2023-09-01T00:00:00"/>
    <x v="404"/>
    <x v="1"/>
    <e v="#N/A"/>
    <e v="#N/A"/>
    <e v="#N/A"/>
    <x v="9"/>
    <x v="52"/>
    <s v="Q3"/>
    <e v="#N/A"/>
    <e v="#N/A"/>
    <e v="#N/A"/>
    <e v="#N/A"/>
    <e v="#N/A"/>
    <e v="#N/A"/>
    <e v="#N/A"/>
  </r>
  <r>
    <n v="68518543"/>
    <x v="23"/>
    <n v="125"/>
    <d v="2023-10-01T00:00:00"/>
    <x v="404"/>
    <x v="1"/>
    <e v="#N/A"/>
    <e v="#N/A"/>
    <e v="#N/A"/>
    <x v="7"/>
    <x v="52"/>
    <s v="Q4"/>
    <e v="#N/A"/>
    <e v="#N/A"/>
    <e v="#N/A"/>
    <e v="#N/A"/>
    <e v="#N/A"/>
    <e v="#N/A"/>
    <e v="#N/A"/>
  </r>
  <r>
    <n v="68518543"/>
    <x v="23"/>
    <n v="125"/>
    <d v="2023-11-01T00:00:00"/>
    <x v="404"/>
    <x v="1"/>
    <e v="#N/A"/>
    <e v="#N/A"/>
    <e v="#N/A"/>
    <x v="10"/>
    <x v="52"/>
    <s v="Q4"/>
    <e v="#N/A"/>
    <e v="#N/A"/>
    <e v="#N/A"/>
    <e v="#N/A"/>
    <e v="#N/A"/>
    <e v="#N/A"/>
    <e v="#N/A"/>
  </r>
  <r>
    <n v="68518543"/>
    <x v="23"/>
    <n v="125"/>
    <d v="2023-12-01T00:00:00"/>
    <x v="404"/>
    <x v="1"/>
    <e v="#N/A"/>
    <e v="#N/A"/>
    <e v="#N/A"/>
    <x v="11"/>
    <x v="52"/>
    <s v="Q4"/>
    <e v="#N/A"/>
    <e v="#N/A"/>
    <e v="#N/A"/>
    <e v="#N/A"/>
    <e v="#N/A"/>
    <e v="#N/A"/>
    <e v="#N/A"/>
  </r>
  <r>
    <n v="68546489"/>
    <x v="23"/>
    <n v="25"/>
    <d v="2023-05-01T00:00:00"/>
    <x v="405"/>
    <x v="1"/>
    <e v="#N/A"/>
    <e v="#N/A"/>
    <e v="#N/A"/>
    <x v="4"/>
    <x v="52"/>
    <s v="Q2"/>
    <e v="#N/A"/>
    <e v="#N/A"/>
    <e v="#N/A"/>
    <e v="#N/A"/>
    <e v="#N/A"/>
    <e v="#N/A"/>
    <e v="#N/A"/>
  </r>
  <r>
    <n v="68739208"/>
    <x v="23"/>
    <n v="500"/>
    <d v="2023-08-01T00:00:00"/>
    <x v="406"/>
    <x v="1"/>
    <n v="8.9499999999999996E-3"/>
    <n v="4.4749999999999996"/>
    <s v="BJ"/>
    <x v="8"/>
    <x v="52"/>
    <s v="Q3"/>
    <n v="125"/>
    <n v="4"/>
    <s v="2.4 Gal"/>
    <n v="0.85"/>
    <n v="425"/>
    <n v="3.8037499999999995"/>
    <n v="3.4"/>
  </r>
  <r>
    <n v="68739208"/>
    <x v="23"/>
    <n v="375"/>
    <d v="2023-09-01T00:00:00"/>
    <x v="406"/>
    <x v="1"/>
    <n v="8.9499999999999996E-3"/>
    <n v="3.3562499999999997"/>
    <s v="BJ"/>
    <x v="9"/>
    <x v="52"/>
    <s v="Q3"/>
    <n v="125"/>
    <n v="3"/>
    <s v="2.4 Gal"/>
    <n v="0.85"/>
    <n v="318.75"/>
    <n v="2.8528124999999998"/>
    <n v="2.5499999999999998"/>
  </r>
  <r>
    <n v="68739208"/>
    <x v="23"/>
    <n v="375"/>
    <d v="2023-10-01T00:00:00"/>
    <x v="406"/>
    <x v="1"/>
    <n v="8.9499999999999996E-3"/>
    <n v="3.3562499999999997"/>
    <s v="BJ"/>
    <x v="7"/>
    <x v="52"/>
    <s v="Q4"/>
    <n v="125"/>
    <n v="3"/>
    <s v="2.4 Gal"/>
    <n v="0.85"/>
    <n v="318.75"/>
    <n v="2.8528124999999998"/>
    <n v="2.5499999999999998"/>
  </r>
  <r>
    <n v="68739208"/>
    <x v="23"/>
    <n v="375"/>
    <d v="2023-11-01T00:00:00"/>
    <x v="406"/>
    <x v="1"/>
    <n v="8.9499999999999996E-3"/>
    <n v="3.3562499999999997"/>
    <s v="BJ"/>
    <x v="10"/>
    <x v="52"/>
    <s v="Q4"/>
    <n v="125"/>
    <n v="3"/>
    <s v="2.4 Gal"/>
    <n v="0.85"/>
    <n v="318.75"/>
    <n v="2.8528124999999998"/>
    <n v="2.5499999999999998"/>
  </r>
  <r>
    <n v="68739208"/>
    <x v="23"/>
    <n v="375"/>
    <d v="2023-12-01T00:00:00"/>
    <x v="406"/>
    <x v="1"/>
    <n v="8.9499999999999996E-3"/>
    <n v="3.3562499999999997"/>
    <s v="BJ"/>
    <x v="11"/>
    <x v="52"/>
    <s v="Q4"/>
    <n v="125"/>
    <n v="3"/>
    <s v="2.4 Gal"/>
    <n v="0.85"/>
    <n v="318.75"/>
    <n v="2.8528124999999998"/>
    <n v="2.5499999999999998"/>
  </r>
  <r>
    <n v="68742263"/>
    <x v="23"/>
    <n v="125"/>
    <d v="2023-07-01T00:00:00"/>
    <x v="407"/>
    <x v="1"/>
    <e v="#N/A"/>
    <e v="#N/A"/>
    <e v="#N/A"/>
    <x v="6"/>
    <x v="52"/>
    <s v="Q3"/>
    <e v="#N/A"/>
    <e v="#N/A"/>
    <e v="#N/A"/>
    <e v="#N/A"/>
    <e v="#N/A"/>
    <e v="#N/A"/>
    <e v="#N/A"/>
  </r>
  <r>
    <n v="68783555"/>
    <x v="23"/>
    <n v="125"/>
    <d v="2023-08-01T00:00:00"/>
    <x v="408"/>
    <x v="1"/>
    <n v="8.9499999999999996E-3"/>
    <n v="1.1187499999999999"/>
    <s v="BJ"/>
    <x v="8"/>
    <x v="52"/>
    <s v="Q3"/>
    <n v="125"/>
    <n v="1"/>
    <s v="2.4 Gal"/>
    <n v="0.85"/>
    <n v="106.25"/>
    <n v="0.95093749999999988"/>
    <n v="0.85"/>
  </r>
  <r>
    <n v="68783556"/>
    <x v="23"/>
    <n v="500"/>
    <d v="2023-08-01T00:00:00"/>
    <x v="409"/>
    <x v="1"/>
    <n v="8.9499999999999996E-3"/>
    <n v="4.4749999999999996"/>
    <s v="BJ"/>
    <x v="8"/>
    <x v="52"/>
    <s v="Q3"/>
    <n v="125"/>
    <n v="4"/>
    <s v="2.4 Gal"/>
    <n v="0.85"/>
    <n v="425"/>
    <n v="3.8037499999999995"/>
    <n v="3.4"/>
  </r>
  <r>
    <n v="68783556"/>
    <x v="23"/>
    <n v="375"/>
    <d v="2023-09-01T00:00:00"/>
    <x v="409"/>
    <x v="1"/>
    <n v="8.9499999999999996E-3"/>
    <n v="3.3562499999999997"/>
    <s v="BJ"/>
    <x v="9"/>
    <x v="52"/>
    <s v="Q3"/>
    <n v="125"/>
    <n v="3"/>
    <s v="2.4 Gal"/>
    <n v="0.85"/>
    <n v="318.75"/>
    <n v="2.8528124999999998"/>
    <n v="2.5499999999999998"/>
  </r>
  <r>
    <n v="68783556"/>
    <x v="23"/>
    <n v="375"/>
    <d v="2023-10-01T00:00:00"/>
    <x v="409"/>
    <x v="1"/>
    <n v="8.9499999999999996E-3"/>
    <n v="3.3562499999999997"/>
    <s v="BJ"/>
    <x v="7"/>
    <x v="52"/>
    <s v="Q4"/>
    <n v="125"/>
    <n v="3"/>
    <s v="2.4 Gal"/>
    <n v="0.85"/>
    <n v="318.75"/>
    <n v="2.8528124999999998"/>
    <n v="2.5499999999999998"/>
  </r>
  <r>
    <n v="68783556"/>
    <x v="23"/>
    <n v="375"/>
    <d v="2023-11-01T00:00:00"/>
    <x v="409"/>
    <x v="1"/>
    <n v="8.9499999999999996E-3"/>
    <n v="3.3562499999999997"/>
    <s v="BJ"/>
    <x v="10"/>
    <x v="52"/>
    <s v="Q4"/>
    <n v="125"/>
    <n v="3"/>
    <s v="2.4 Gal"/>
    <n v="0.85"/>
    <n v="318.75"/>
    <n v="2.8528124999999998"/>
    <n v="2.5499999999999998"/>
  </r>
  <r>
    <n v="68783556"/>
    <x v="23"/>
    <n v="500"/>
    <d v="2023-12-01T00:00:00"/>
    <x v="409"/>
    <x v="1"/>
    <n v="8.9499999999999996E-3"/>
    <n v="4.4749999999999996"/>
    <s v="BJ"/>
    <x v="11"/>
    <x v="52"/>
    <s v="Q4"/>
    <n v="125"/>
    <n v="4"/>
    <s v="2.4 Gal"/>
    <n v="0.85"/>
    <n v="425"/>
    <n v="3.8037499999999995"/>
    <n v="3.4"/>
  </r>
  <r>
    <n v="69572661"/>
    <x v="23"/>
    <n v="125"/>
    <d v="2023-07-01T00:00:00"/>
    <x v="410"/>
    <x v="1"/>
    <n v="9.0850000000000011E-3"/>
    <n v="1.1356250000000001"/>
    <s v="BJ"/>
    <x v="6"/>
    <x v="52"/>
    <s v="Q3"/>
    <n v="125"/>
    <n v="1"/>
    <s v="2.4 Gal"/>
    <n v="0.85"/>
    <n v="106.25"/>
    <n v="0.96528125000000009"/>
    <n v="0.85"/>
  </r>
  <r>
    <n v="69572661"/>
    <x v="23"/>
    <n v="250"/>
    <d v="2023-08-01T00:00:00"/>
    <x v="410"/>
    <x v="1"/>
    <n v="9.0850000000000011E-3"/>
    <n v="2.2712500000000002"/>
    <s v="BJ"/>
    <x v="8"/>
    <x v="52"/>
    <s v="Q3"/>
    <n v="125"/>
    <n v="2"/>
    <s v="2.4 Gal"/>
    <n v="0.85"/>
    <n v="212.5"/>
    <n v="1.9305625000000002"/>
    <n v="1.7"/>
  </r>
  <r>
    <n v="69572661"/>
    <x v="23"/>
    <n v="250"/>
    <d v="2023-09-01T00:00:00"/>
    <x v="410"/>
    <x v="1"/>
    <n v="9.0850000000000011E-3"/>
    <n v="2.2712500000000002"/>
    <s v="BJ"/>
    <x v="9"/>
    <x v="52"/>
    <s v="Q3"/>
    <n v="125"/>
    <n v="2"/>
    <s v="2.4 Gal"/>
    <n v="0.85"/>
    <n v="212.5"/>
    <n v="1.9305625000000002"/>
    <n v="1.7"/>
  </r>
  <r>
    <n v="69572661"/>
    <x v="23"/>
    <n v="250"/>
    <d v="2023-10-01T00:00:00"/>
    <x v="410"/>
    <x v="1"/>
    <n v="9.0850000000000011E-3"/>
    <n v="2.2712500000000002"/>
    <s v="BJ"/>
    <x v="7"/>
    <x v="52"/>
    <s v="Q4"/>
    <n v="125"/>
    <n v="2"/>
    <s v="2.4 Gal"/>
    <n v="0.85"/>
    <n v="212.5"/>
    <n v="1.9305625000000002"/>
    <n v="1.7"/>
  </r>
  <r>
    <n v="69572661"/>
    <x v="23"/>
    <n v="375"/>
    <d v="2023-11-01T00:00:00"/>
    <x v="410"/>
    <x v="1"/>
    <n v="9.0850000000000011E-3"/>
    <n v="3.4068750000000003"/>
    <s v="BJ"/>
    <x v="10"/>
    <x v="52"/>
    <s v="Q4"/>
    <n v="125"/>
    <n v="3"/>
    <s v="2.4 Gal"/>
    <n v="0.85"/>
    <n v="318.75"/>
    <n v="2.89584375"/>
    <n v="2.5499999999999998"/>
  </r>
  <r>
    <n v="69572661"/>
    <x v="23"/>
    <n v="500"/>
    <d v="2023-12-01T00:00:00"/>
    <x v="410"/>
    <x v="1"/>
    <n v="9.0850000000000011E-3"/>
    <n v="4.5425000000000004"/>
    <s v="BJ"/>
    <x v="11"/>
    <x v="52"/>
    <s v="Q4"/>
    <n v="125"/>
    <n v="4"/>
    <s v="2.4 Gal"/>
    <n v="0.85"/>
    <n v="425"/>
    <n v="3.8611250000000004"/>
    <n v="3.4"/>
  </r>
  <r>
    <n v="69610112"/>
    <x v="23"/>
    <n v="125"/>
    <d v="2023-08-01T00:00:00"/>
    <x v="411"/>
    <x v="1"/>
    <e v="#N/A"/>
    <e v="#N/A"/>
    <e v="#N/A"/>
    <x v="8"/>
    <x v="52"/>
    <s v="Q3"/>
    <e v="#N/A"/>
    <e v="#N/A"/>
    <e v="#N/A"/>
    <e v="#N/A"/>
    <e v="#N/A"/>
    <e v="#N/A"/>
    <e v="#N/A"/>
  </r>
  <r>
    <n v="69610112"/>
    <x v="23"/>
    <n v="375"/>
    <d v="2023-09-01T00:00:00"/>
    <x v="411"/>
    <x v="1"/>
    <e v="#N/A"/>
    <e v="#N/A"/>
    <e v="#N/A"/>
    <x v="9"/>
    <x v="52"/>
    <s v="Q3"/>
    <e v="#N/A"/>
    <e v="#N/A"/>
    <e v="#N/A"/>
    <e v="#N/A"/>
    <e v="#N/A"/>
    <e v="#N/A"/>
    <e v="#N/A"/>
  </r>
  <r>
    <n v="69610112"/>
    <x v="23"/>
    <n v="250"/>
    <d v="2023-10-01T00:00:00"/>
    <x v="411"/>
    <x v="1"/>
    <e v="#N/A"/>
    <e v="#N/A"/>
    <e v="#N/A"/>
    <x v="7"/>
    <x v="52"/>
    <s v="Q4"/>
    <e v="#N/A"/>
    <e v="#N/A"/>
    <e v="#N/A"/>
    <e v="#N/A"/>
    <e v="#N/A"/>
    <e v="#N/A"/>
    <e v="#N/A"/>
  </r>
  <r>
    <n v="69610112"/>
    <x v="23"/>
    <n v="250"/>
    <d v="2023-11-01T00:00:00"/>
    <x v="411"/>
    <x v="1"/>
    <e v="#N/A"/>
    <e v="#N/A"/>
    <e v="#N/A"/>
    <x v="10"/>
    <x v="52"/>
    <s v="Q4"/>
    <e v="#N/A"/>
    <e v="#N/A"/>
    <e v="#N/A"/>
    <e v="#N/A"/>
    <e v="#N/A"/>
    <e v="#N/A"/>
    <e v="#N/A"/>
  </r>
  <r>
    <n v="69610112"/>
    <x v="23"/>
    <n v="250"/>
    <d v="2023-12-01T00:00:00"/>
    <x v="411"/>
    <x v="1"/>
    <e v="#N/A"/>
    <e v="#N/A"/>
    <e v="#N/A"/>
    <x v="11"/>
    <x v="52"/>
    <s v="Q4"/>
    <e v="#N/A"/>
    <e v="#N/A"/>
    <e v="#N/A"/>
    <e v="#N/A"/>
    <e v="#N/A"/>
    <e v="#N/A"/>
    <e v="#N/A"/>
  </r>
  <r>
    <n v="84135797"/>
    <x v="23"/>
    <n v="125"/>
    <d v="2023-07-01T00:00:00"/>
    <x v="412"/>
    <x v="1"/>
    <e v="#N/A"/>
    <e v="#N/A"/>
    <e v="#N/A"/>
    <x v="6"/>
    <x v="52"/>
    <s v="Q3"/>
    <e v="#N/A"/>
    <e v="#N/A"/>
    <e v="#N/A"/>
    <e v="#N/A"/>
    <e v="#N/A"/>
    <e v="#N/A"/>
    <e v="#N/A"/>
  </r>
  <r>
    <n v="84135797"/>
    <x v="23"/>
    <n v="1250"/>
    <d v="2023-08-01T00:00:00"/>
    <x v="412"/>
    <x v="1"/>
    <e v="#N/A"/>
    <e v="#N/A"/>
    <e v="#N/A"/>
    <x v="8"/>
    <x v="52"/>
    <s v="Q3"/>
    <e v="#N/A"/>
    <e v="#N/A"/>
    <e v="#N/A"/>
    <e v="#N/A"/>
    <e v="#N/A"/>
    <e v="#N/A"/>
    <e v="#N/A"/>
  </r>
  <r>
    <n v="84135797"/>
    <x v="23"/>
    <n v="1250"/>
    <d v="2023-09-01T00:00:00"/>
    <x v="412"/>
    <x v="1"/>
    <e v="#N/A"/>
    <e v="#N/A"/>
    <e v="#N/A"/>
    <x v="9"/>
    <x v="52"/>
    <s v="Q3"/>
    <e v="#N/A"/>
    <e v="#N/A"/>
    <e v="#N/A"/>
    <e v="#N/A"/>
    <e v="#N/A"/>
    <e v="#N/A"/>
    <e v="#N/A"/>
  </r>
  <r>
    <n v="84135797"/>
    <x v="23"/>
    <n v="1125"/>
    <d v="2023-10-01T00:00:00"/>
    <x v="412"/>
    <x v="1"/>
    <e v="#N/A"/>
    <e v="#N/A"/>
    <e v="#N/A"/>
    <x v="7"/>
    <x v="52"/>
    <s v="Q4"/>
    <e v="#N/A"/>
    <e v="#N/A"/>
    <e v="#N/A"/>
    <e v="#N/A"/>
    <e v="#N/A"/>
    <e v="#N/A"/>
    <e v="#N/A"/>
  </r>
  <r>
    <n v="84135797"/>
    <x v="23"/>
    <n v="1250"/>
    <d v="2023-11-01T00:00:00"/>
    <x v="412"/>
    <x v="1"/>
    <e v="#N/A"/>
    <e v="#N/A"/>
    <e v="#N/A"/>
    <x v="10"/>
    <x v="52"/>
    <s v="Q4"/>
    <e v="#N/A"/>
    <e v="#N/A"/>
    <e v="#N/A"/>
    <e v="#N/A"/>
    <e v="#N/A"/>
    <e v="#N/A"/>
    <e v="#N/A"/>
  </r>
  <r>
    <n v="84135797"/>
    <x v="23"/>
    <n v="1125"/>
    <d v="2023-12-01T00:00:00"/>
    <x v="412"/>
    <x v="1"/>
    <e v="#N/A"/>
    <e v="#N/A"/>
    <e v="#N/A"/>
    <x v="11"/>
    <x v="52"/>
    <s v="Q4"/>
    <e v="#N/A"/>
    <e v="#N/A"/>
    <e v="#N/A"/>
    <e v="#N/A"/>
    <e v="#N/A"/>
    <e v="#N/A"/>
    <e v="#N/A"/>
  </r>
  <r>
    <n v="84135798"/>
    <x v="23"/>
    <n v="1250"/>
    <d v="2023-08-01T00:00:00"/>
    <x v="413"/>
    <x v="1"/>
    <e v="#N/A"/>
    <e v="#N/A"/>
    <e v="#N/A"/>
    <x v="8"/>
    <x v="52"/>
    <s v="Q3"/>
    <e v="#N/A"/>
    <e v="#N/A"/>
    <e v="#N/A"/>
    <e v="#N/A"/>
    <e v="#N/A"/>
    <e v="#N/A"/>
    <e v="#N/A"/>
  </r>
  <r>
    <n v="84135798"/>
    <x v="23"/>
    <n v="1125"/>
    <d v="2023-09-01T00:00:00"/>
    <x v="413"/>
    <x v="1"/>
    <e v="#N/A"/>
    <e v="#N/A"/>
    <e v="#N/A"/>
    <x v="9"/>
    <x v="52"/>
    <s v="Q3"/>
    <e v="#N/A"/>
    <e v="#N/A"/>
    <e v="#N/A"/>
    <e v="#N/A"/>
    <e v="#N/A"/>
    <e v="#N/A"/>
    <e v="#N/A"/>
  </r>
  <r>
    <n v="84135798"/>
    <x v="23"/>
    <n v="1125"/>
    <d v="2023-10-01T00:00:00"/>
    <x v="413"/>
    <x v="1"/>
    <e v="#N/A"/>
    <e v="#N/A"/>
    <e v="#N/A"/>
    <x v="7"/>
    <x v="52"/>
    <s v="Q4"/>
    <e v="#N/A"/>
    <e v="#N/A"/>
    <e v="#N/A"/>
    <e v="#N/A"/>
    <e v="#N/A"/>
    <e v="#N/A"/>
    <e v="#N/A"/>
  </r>
  <r>
    <n v="84135798"/>
    <x v="23"/>
    <n v="1250"/>
    <d v="2023-11-01T00:00:00"/>
    <x v="413"/>
    <x v="1"/>
    <e v="#N/A"/>
    <e v="#N/A"/>
    <e v="#N/A"/>
    <x v="10"/>
    <x v="52"/>
    <s v="Q4"/>
    <e v="#N/A"/>
    <e v="#N/A"/>
    <e v="#N/A"/>
    <e v="#N/A"/>
    <e v="#N/A"/>
    <e v="#N/A"/>
    <e v="#N/A"/>
  </r>
  <r>
    <n v="84135798"/>
    <x v="23"/>
    <n v="1125"/>
    <d v="2023-12-01T00:00:00"/>
    <x v="413"/>
    <x v="1"/>
    <e v="#N/A"/>
    <e v="#N/A"/>
    <e v="#N/A"/>
    <x v="11"/>
    <x v="52"/>
    <s v="Q4"/>
    <e v="#N/A"/>
    <e v="#N/A"/>
    <e v="#N/A"/>
    <e v="#N/A"/>
    <e v="#N/A"/>
    <e v="#N/A"/>
    <e v="#N/A"/>
  </r>
  <r>
    <n v="84135876"/>
    <x v="23"/>
    <n v="375"/>
    <d v="2023-07-01T00:00:00"/>
    <x v="414"/>
    <x v="1"/>
    <e v="#N/A"/>
    <e v="#N/A"/>
    <e v="#N/A"/>
    <x v="6"/>
    <x v="52"/>
    <s v="Q3"/>
    <e v="#N/A"/>
    <e v="#N/A"/>
    <e v="#N/A"/>
    <e v="#N/A"/>
    <e v="#N/A"/>
    <e v="#N/A"/>
    <e v="#N/A"/>
  </r>
  <r>
    <n v="84135876"/>
    <x v="23"/>
    <n v="250"/>
    <d v="2023-09-01T00:00:00"/>
    <x v="414"/>
    <x v="1"/>
    <e v="#N/A"/>
    <e v="#N/A"/>
    <e v="#N/A"/>
    <x v="9"/>
    <x v="52"/>
    <s v="Q3"/>
    <e v="#N/A"/>
    <e v="#N/A"/>
    <e v="#N/A"/>
    <e v="#N/A"/>
    <e v="#N/A"/>
    <e v="#N/A"/>
    <e v="#N/A"/>
  </r>
  <r>
    <n v="84135876"/>
    <x v="23"/>
    <n v="250"/>
    <d v="2023-10-01T00:00:00"/>
    <x v="414"/>
    <x v="1"/>
    <e v="#N/A"/>
    <e v="#N/A"/>
    <e v="#N/A"/>
    <x v="7"/>
    <x v="52"/>
    <s v="Q4"/>
    <e v="#N/A"/>
    <e v="#N/A"/>
    <e v="#N/A"/>
    <e v="#N/A"/>
    <e v="#N/A"/>
    <e v="#N/A"/>
    <e v="#N/A"/>
  </r>
  <r>
    <n v="84135876"/>
    <x v="23"/>
    <n v="500"/>
    <d v="2023-11-01T00:00:00"/>
    <x v="414"/>
    <x v="1"/>
    <e v="#N/A"/>
    <e v="#N/A"/>
    <e v="#N/A"/>
    <x v="10"/>
    <x v="52"/>
    <s v="Q4"/>
    <e v="#N/A"/>
    <e v="#N/A"/>
    <e v="#N/A"/>
    <e v="#N/A"/>
    <e v="#N/A"/>
    <e v="#N/A"/>
    <e v="#N/A"/>
  </r>
  <r>
    <n v="84135876"/>
    <x v="23"/>
    <n v="125"/>
    <d v="2023-12-01T00:00:00"/>
    <x v="414"/>
    <x v="1"/>
    <e v="#N/A"/>
    <e v="#N/A"/>
    <e v="#N/A"/>
    <x v="11"/>
    <x v="52"/>
    <s v="Q4"/>
    <e v="#N/A"/>
    <e v="#N/A"/>
    <e v="#N/A"/>
    <e v="#N/A"/>
    <e v="#N/A"/>
    <e v="#N/A"/>
    <e v="#N/A"/>
  </r>
  <r>
    <n v="84136709"/>
    <x v="23"/>
    <n v="500"/>
    <d v="2023-08-01T00:00:00"/>
    <x v="415"/>
    <x v="1"/>
    <e v="#N/A"/>
    <e v="#N/A"/>
    <e v="#N/A"/>
    <x v="8"/>
    <x v="52"/>
    <s v="Q3"/>
    <e v="#N/A"/>
    <e v="#N/A"/>
    <e v="#N/A"/>
    <e v="#N/A"/>
    <e v="#N/A"/>
    <e v="#N/A"/>
    <e v="#N/A"/>
  </r>
  <r>
    <n v="84136709"/>
    <x v="23"/>
    <n v="375"/>
    <d v="2023-09-01T00:00:00"/>
    <x v="415"/>
    <x v="1"/>
    <e v="#N/A"/>
    <e v="#N/A"/>
    <e v="#N/A"/>
    <x v="9"/>
    <x v="52"/>
    <s v="Q3"/>
    <e v="#N/A"/>
    <e v="#N/A"/>
    <e v="#N/A"/>
    <e v="#N/A"/>
    <e v="#N/A"/>
    <e v="#N/A"/>
    <e v="#N/A"/>
  </r>
  <r>
    <n v="84136709"/>
    <x v="23"/>
    <n v="375"/>
    <d v="2023-10-01T00:00:00"/>
    <x v="415"/>
    <x v="1"/>
    <e v="#N/A"/>
    <e v="#N/A"/>
    <e v="#N/A"/>
    <x v="7"/>
    <x v="52"/>
    <s v="Q4"/>
    <e v="#N/A"/>
    <e v="#N/A"/>
    <e v="#N/A"/>
    <e v="#N/A"/>
    <e v="#N/A"/>
    <e v="#N/A"/>
    <e v="#N/A"/>
  </r>
  <r>
    <n v="84136709"/>
    <x v="23"/>
    <n v="500"/>
    <d v="2023-11-01T00:00:00"/>
    <x v="415"/>
    <x v="1"/>
    <e v="#N/A"/>
    <e v="#N/A"/>
    <e v="#N/A"/>
    <x v="10"/>
    <x v="52"/>
    <s v="Q4"/>
    <e v="#N/A"/>
    <e v="#N/A"/>
    <e v="#N/A"/>
    <e v="#N/A"/>
    <e v="#N/A"/>
    <e v="#N/A"/>
    <e v="#N/A"/>
  </r>
  <r>
    <n v="84136709"/>
    <x v="23"/>
    <n v="1500"/>
    <d v="2023-12-01T00:00:00"/>
    <x v="415"/>
    <x v="1"/>
    <e v="#N/A"/>
    <e v="#N/A"/>
    <e v="#N/A"/>
    <x v="11"/>
    <x v="52"/>
    <s v="Q4"/>
    <e v="#N/A"/>
    <e v="#N/A"/>
    <e v="#N/A"/>
    <e v="#N/A"/>
    <e v="#N/A"/>
    <e v="#N/A"/>
    <e v="#N/A"/>
  </r>
  <r>
    <n v="84136710"/>
    <x v="23"/>
    <n v="625"/>
    <d v="2023-08-01T00:00:00"/>
    <x v="416"/>
    <x v="1"/>
    <e v="#N/A"/>
    <e v="#N/A"/>
    <e v="#N/A"/>
    <x v="8"/>
    <x v="52"/>
    <s v="Q3"/>
    <e v="#N/A"/>
    <e v="#N/A"/>
    <e v="#N/A"/>
    <e v="#N/A"/>
    <e v="#N/A"/>
    <e v="#N/A"/>
    <e v="#N/A"/>
  </r>
  <r>
    <n v="84136710"/>
    <x v="23"/>
    <n v="625"/>
    <d v="2023-09-01T00:00:00"/>
    <x v="416"/>
    <x v="1"/>
    <e v="#N/A"/>
    <e v="#N/A"/>
    <e v="#N/A"/>
    <x v="9"/>
    <x v="52"/>
    <s v="Q3"/>
    <e v="#N/A"/>
    <e v="#N/A"/>
    <e v="#N/A"/>
    <e v="#N/A"/>
    <e v="#N/A"/>
    <e v="#N/A"/>
    <e v="#N/A"/>
  </r>
  <r>
    <n v="84136710"/>
    <x v="23"/>
    <n v="500"/>
    <d v="2023-10-01T00:00:00"/>
    <x v="416"/>
    <x v="1"/>
    <e v="#N/A"/>
    <e v="#N/A"/>
    <e v="#N/A"/>
    <x v="7"/>
    <x v="52"/>
    <s v="Q4"/>
    <e v="#N/A"/>
    <e v="#N/A"/>
    <e v="#N/A"/>
    <e v="#N/A"/>
    <e v="#N/A"/>
    <e v="#N/A"/>
    <e v="#N/A"/>
  </r>
  <r>
    <n v="84136710"/>
    <x v="23"/>
    <n v="500"/>
    <d v="2023-11-01T00:00:00"/>
    <x v="416"/>
    <x v="1"/>
    <e v="#N/A"/>
    <e v="#N/A"/>
    <e v="#N/A"/>
    <x v="10"/>
    <x v="52"/>
    <s v="Q4"/>
    <e v="#N/A"/>
    <e v="#N/A"/>
    <e v="#N/A"/>
    <e v="#N/A"/>
    <e v="#N/A"/>
    <e v="#N/A"/>
    <e v="#N/A"/>
  </r>
  <r>
    <n v="84136710"/>
    <x v="23"/>
    <n v="625"/>
    <d v="2023-12-01T00:00:00"/>
    <x v="416"/>
    <x v="1"/>
    <e v="#N/A"/>
    <e v="#N/A"/>
    <e v="#N/A"/>
    <x v="11"/>
    <x v="52"/>
    <s v="Q4"/>
    <e v="#N/A"/>
    <e v="#N/A"/>
    <e v="#N/A"/>
    <e v="#N/A"/>
    <e v="#N/A"/>
    <e v="#N/A"/>
    <e v="#N/A"/>
  </r>
  <r>
    <n v="84137699"/>
    <x v="23"/>
    <n v="125"/>
    <d v="2023-08-01T00:00:00"/>
    <x v="417"/>
    <x v="1"/>
    <e v="#N/A"/>
    <e v="#N/A"/>
    <e v="#N/A"/>
    <x v="8"/>
    <x v="52"/>
    <s v="Q3"/>
    <e v="#N/A"/>
    <e v="#N/A"/>
    <e v="#N/A"/>
    <e v="#N/A"/>
    <e v="#N/A"/>
    <e v="#N/A"/>
    <e v="#N/A"/>
  </r>
  <r>
    <n v="84137699"/>
    <x v="23"/>
    <n v="125"/>
    <d v="2023-11-01T00:00:00"/>
    <x v="417"/>
    <x v="1"/>
    <e v="#N/A"/>
    <e v="#N/A"/>
    <e v="#N/A"/>
    <x v="10"/>
    <x v="52"/>
    <s v="Q4"/>
    <e v="#N/A"/>
    <e v="#N/A"/>
    <e v="#N/A"/>
    <e v="#N/A"/>
    <e v="#N/A"/>
    <e v="#N/A"/>
    <e v="#N/A"/>
  </r>
  <r>
    <n v="84137711"/>
    <x v="23"/>
    <n v="125"/>
    <d v="2023-07-01T00:00:00"/>
    <x v="418"/>
    <x v="1"/>
    <e v="#N/A"/>
    <e v="#N/A"/>
    <e v="#N/A"/>
    <x v="6"/>
    <x v="52"/>
    <s v="Q3"/>
    <e v="#N/A"/>
    <e v="#N/A"/>
    <e v="#N/A"/>
    <e v="#N/A"/>
    <e v="#N/A"/>
    <e v="#N/A"/>
    <e v="#N/A"/>
  </r>
  <r>
    <n v="84137711"/>
    <x v="23"/>
    <n v="250"/>
    <d v="2023-08-01T00:00:00"/>
    <x v="418"/>
    <x v="1"/>
    <e v="#N/A"/>
    <e v="#N/A"/>
    <e v="#N/A"/>
    <x v="8"/>
    <x v="52"/>
    <s v="Q3"/>
    <e v="#N/A"/>
    <e v="#N/A"/>
    <e v="#N/A"/>
    <e v="#N/A"/>
    <e v="#N/A"/>
    <e v="#N/A"/>
    <e v="#N/A"/>
  </r>
  <r>
    <n v="84137711"/>
    <x v="23"/>
    <n v="250"/>
    <d v="2023-09-01T00:00:00"/>
    <x v="418"/>
    <x v="1"/>
    <e v="#N/A"/>
    <e v="#N/A"/>
    <e v="#N/A"/>
    <x v="9"/>
    <x v="52"/>
    <s v="Q3"/>
    <e v="#N/A"/>
    <e v="#N/A"/>
    <e v="#N/A"/>
    <e v="#N/A"/>
    <e v="#N/A"/>
    <e v="#N/A"/>
    <e v="#N/A"/>
  </r>
  <r>
    <n v="84137711"/>
    <x v="23"/>
    <n v="250"/>
    <d v="2023-10-01T00:00:00"/>
    <x v="418"/>
    <x v="1"/>
    <e v="#N/A"/>
    <e v="#N/A"/>
    <e v="#N/A"/>
    <x v="7"/>
    <x v="52"/>
    <s v="Q4"/>
    <e v="#N/A"/>
    <e v="#N/A"/>
    <e v="#N/A"/>
    <e v="#N/A"/>
    <e v="#N/A"/>
    <e v="#N/A"/>
    <e v="#N/A"/>
  </r>
  <r>
    <n v="84137711"/>
    <x v="23"/>
    <n v="375"/>
    <d v="2023-11-01T00:00:00"/>
    <x v="418"/>
    <x v="1"/>
    <e v="#N/A"/>
    <e v="#N/A"/>
    <e v="#N/A"/>
    <x v="10"/>
    <x v="52"/>
    <s v="Q4"/>
    <e v="#N/A"/>
    <e v="#N/A"/>
    <e v="#N/A"/>
    <e v="#N/A"/>
    <e v="#N/A"/>
    <e v="#N/A"/>
    <e v="#N/A"/>
  </r>
  <r>
    <n v="84137711"/>
    <x v="23"/>
    <n v="125"/>
    <d v="2023-12-01T00:00:00"/>
    <x v="418"/>
    <x v="1"/>
    <e v="#N/A"/>
    <e v="#N/A"/>
    <e v="#N/A"/>
    <x v="11"/>
    <x v="52"/>
    <s v="Q4"/>
    <e v="#N/A"/>
    <e v="#N/A"/>
    <e v="#N/A"/>
    <e v="#N/A"/>
    <e v="#N/A"/>
    <e v="#N/A"/>
    <e v="#N/A"/>
  </r>
  <r>
    <n v="84138371"/>
    <x v="23"/>
    <n v="500"/>
    <d v="2023-08-01T00:00:00"/>
    <x v="419"/>
    <x v="1"/>
    <e v="#N/A"/>
    <e v="#N/A"/>
    <e v="#N/A"/>
    <x v="8"/>
    <x v="52"/>
    <s v="Q3"/>
    <e v="#N/A"/>
    <e v="#N/A"/>
    <e v="#N/A"/>
    <e v="#N/A"/>
    <e v="#N/A"/>
    <e v="#N/A"/>
    <e v="#N/A"/>
  </r>
  <r>
    <n v="84138371"/>
    <x v="23"/>
    <n v="375"/>
    <d v="2023-09-01T00:00:00"/>
    <x v="419"/>
    <x v="1"/>
    <e v="#N/A"/>
    <e v="#N/A"/>
    <e v="#N/A"/>
    <x v="9"/>
    <x v="52"/>
    <s v="Q3"/>
    <e v="#N/A"/>
    <e v="#N/A"/>
    <e v="#N/A"/>
    <e v="#N/A"/>
    <e v="#N/A"/>
    <e v="#N/A"/>
    <e v="#N/A"/>
  </r>
  <r>
    <n v="84138371"/>
    <x v="23"/>
    <n v="375"/>
    <d v="2023-10-01T00:00:00"/>
    <x v="419"/>
    <x v="1"/>
    <e v="#N/A"/>
    <e v="#N/A"/>
    <e v="#N/A"/>
    <x v="7"/>
    <x v="52"/>
    <s v="Q4"/>
    <e v="#N/A"/>
    <e v="#N/A"/>
    <e v="#N/A"/>
    <e v="#N/A"/>
    <e v="#N/A"/>
    <e v="#N/A"/>
    <e v="#N/A"/>
  </r>
  <r>
    <n v="84138371"/>
    <x v="23"/>
    <n v="500"/>
    <d v="2023-11-01T00:00:00"/>
    <x v="419"/>
    <x v="1"/>
    <e v="#N/A"/>
    <e v="#N/A"/>
    <e v="#N/A"/>
    <x v="10"/>
    <x v="52"/>
    <s v="Q4"/>
    <e v="#N/A"/>
    <e v="#N/A"/>
    <e v="#N/A"/>
    <e v="#N/A"/>
    <e v="#N/A"/>
    <e v="#N/A"/>
    <e v="#N/A"/>
  </r>
  <r>
    <n v="84138371"/>
    <x v="23"/>
    <n v="375"/>
    <d v="2023-12-01T00:00:00"/>
    <x v="419"/>
    <x v="1"/>
    <e v="#N/A"/>
    <e v="#N/A"/>
    <e v="#N/A"/>
    <x v="11"/>
    <x v="52"/>
    <s v="Q4"/>
    <e v="#N/A"/>
    <e v="#N/A"/>
    <e v="#N/A"/>
    <e v="#N/A"/>
    <e v="#N/A"/>
    <e v="#N/A"/>
    <e v="#N/A"/>
  </r>
  <r>
    <n v="84138372"/>
    <x v="23"/>
    <n v="500"/>
    <d v="2023-08-01T00:00:00"/>
    <x v="420"/>
    <x v="1"/>
    <e v="#N/A"/>
    <e v="#N/A"/>
    <e v="#N/A"/>
    <x v="8"/>
    <x v="52"/>
    <s v="Q3"/>
    <e v="#N/A"/>
    <e v="#N/A"/>
    <e v="#N/A"/>
    <e v="#N/A"/>
    <e v="#N/A"/>
    <e v="#N/A"/>
    <e v="#N/A"/>
  </r>
  <r>
    <n v="84138372"/>
    <x v="23"/>
    <n v="375"/>
    <d v="2023-09-01T00:00:00"/>
    <x v="420"/>
    <x v="1"/>
    <e v="#N/A"/>
    <e v="#N/A"/>
    <e v="#N/A"/>
    <x v="9"/>
    <x v="52"/>
    <s v="Q3"/>
    <e v="#N/A"/>
    <e v="#N/A"/>
    <e v="#N/A"/>
    <e v="#N/A"/>
    <e v="#N/A"/>
    <e v="#N/A"/>
    <e v="#N/A"/>
  </r>
  <r>
    <n v="84138372"/>
    <x v="23"/>
    <n v="375"/>
    <d v="2023-10-01T00:00:00"/>
    <x v="420"/>
    <x v="1"/>
    <e v="#N/A"/>
    <e v="#N/A"/>
    <e v="#N/A"/>
    <x v="7"/>
    <x v="52"/>
    <s v="Q4"/>
    <e v="#N/A"/>
    <e v="#N/A"/>
    <e v="#N/A"/>
    <e v="#N/A"/>
    <e v="#N/A"/>
    <e v="#N/A"/>
    <e v="#N/A"/>
  </r>
  <r>
    <n v="84138372"/>
    <x v="23"/>
    <n v="375"/>
    <d v="2023-11-01T00:00:00"/>
    <x v="420"/>
    <x v="1"/>
    <e v="#N/A"/>
    <e v="#N/A"/>
    <e v="#N/A"/>
    <x v="10"/>
    <x v="52"/>
    <s v="Q4"/>
    <e v="#N/A"/>
    <e v="#N/A"/>
    <e v="#N/A"/>
    <e v="#N/A"/>
    <e v="#N/A"/>
    <e v="#N/A"/>
    <e v="#N/A"/>
  </r>
  <r>
    <n v="84138372"/>
    <x v="23"/>
    <n v="375"/>
    <d v="2023-12-01T00:00:00"/>
    <x v="420"/>
    <x v="1"/>
    <e v="#N/A"/>
    <e v="#N/A"/>
    <e v="#N/A"/>
    <x v="11"/>
    <x v="52"/>
    <s v="Q4"/>
    <e v="#N/A"/>
    <e v="#N/A"/>
    <e v="#N/A"/>
    <e v="#N/A"/>
    <e v="#N/A"/>
    <e v="#N/A"/>
    <e v="#N/A"/>
  </r>
  <r>
    <n v="84139314"/>
    <x v="23"/>
    <n v="125"/>
    <d v="2023-07-01T00:00:00"/>
    <x v="421"/>
    <x v="1"/>
    <e v="#N/A"/>
    <e v="#N/A"/>
    <e v="#N/A"/>
    <x v="6"/>
    <x v="52"/>
    <s v="Q3"/>
    <e v="#N/A"/>
    <e v="#N/A"/>
    <e v="#N/A"/>
    <e v="#N/A"/>
    <e v="#N/A"/>
    <e v="#N/A"/>
    <e v="#N/A"/>
  </r>
  <r>
    <n v="84139314"/>
    <x v="23"/>
    <n v="1125"/>
    <d v="2023-08-01T00:00:00"/>
    <x v="421"/>
    <x v="1"/>
    <e v="#N/A"/>
    <e v="#N/A"/>
    <e v="#N/A"/>
    <x v="8"/>
    <x v="52"/>
    <s v="Q3"/>
    <e v="#N/A"/>
    <e v="#N/A"/>
    <e v="#N/A"/>
    <e v="#N/A"/>
    <e v="#N/A"/>
    <e v="#N/A"/>
    <e v="#N/A"/>
  </r>
  <r>
    <n v="84139314"/>
    <x v="23"/>
    <n v="1375"/>
    <d v="2023-09-01T00:00:00"/>
    <x v="421"/>
    <x v="1"/>
    <e v="#N/A"/>
    <e v="#N/A"/>
    <e v="#N/A"/>
    <x v="9"/>
    <x v="52"/>
    <s v="Q3"/>
    <e v="#N/A"/>
    <e v="#N/A"/>
    <e v="#N/A"/>
    <e v="#N/A"/>
    <e v="#N/A"/>
    <e v="#N/A"/>
    <e v="#N/A"/>
  </r>
  <r>
    <n v="84139314"/>
    <x v="23"/>
    <n v="1125"/>
    <d v="2023-10-01T00:00:00"/>
    <x v="421"/>
    <x v="1"/>
    <e v="#N/A"/>
    <e v="#N/A"/>
    <e v="#N/A"/>
    <x v="7"/>
    <x v="52"/>
    <s v="Q4"/>
    <e v="#N/A"/>
    <e v="#N/A"/>
    <e v="#N/A"/>
    <e v="#N/A"/>
    <e v="#N/A"/>
    <e v="#N/A"/>
    <e v="#N/A"/>
  </r>
  <r>
    <n v="84139314"/>
    <x v="23"/>
    <n v="1250"/>
    <d v="2023-11-01T00:00:00"/>
    <x v="421"/>
    <x v="1"/>
    <e v="#N/A"/>
    <e v="#N/A"/>
    <e v="#N/A"/>
    <x v="10"/>
    <x v="52"/>
    <s v="Q4"/>
    <e v="#N/A"/>
    <e v="#N/A"/>
    <e v="#N/A"/>
    <e v="#N/A"/>
    <e v="#N/A"/>
    <e v="#N/A"/>
    <e v="#N/A"/>
  </r>
  <r>
    <n v="84139314"/>
    <x v="23"/>
    <n v="1000"/>
    <d v="2023-12-01T00:00:00"/>
    <x v="421"/>
    <x v="1"/>
    <e v="#N/A"/>
    <e v="#N/A"/>
    <e v="#N/A"/>
    <x v="11"/>
    <x v="52"/>
    <s v="Q4"/>
    <e v="#N/A"/>
    <e v="#N/A"/>
    <e v="#N/A"/>
    <e v="#N/A"/>
    <e v="#N/A"/>
    <e v="#N/A"/>
    <e v="#N/A"/>
  </r>
  <r>
    <n v="84139316"/>
    <x v="23"/>
    <n v="625"/>
    <d v="2023-08-01T00:00:00"/>
    <x v="422"/>
    <x v="1"/>
    <e v="#N/A"/>
    <e v="#N/A"/>
    <e v="#N/A"/>
    <x v="8"/>
    <x v="52"/>
    <s v="Q3"/>
    <e v="#N/A"/>
    <e v="#N/A"/>
    <e v="#N/A"/>
    <e v="#N/A"/>
    <e v="#N/A"/>
    <e v="#N/A"/>
    <e v="#N/A"/>
  </r>
  <r>
    <n v="84139316"/>
    <x v="23"/>
    <n v="500"/>
    <d v="2023-09-01T00:00:00"/>
    <x v="422"/>
    <x v="1"/>
    <e v="#N/A"/>
    <e v="#N/A"/>
    <e v="#N/A"/>
    <x v="9"/>
    <x v="52"/>
    <s v="Q3"/>
    <e v="#N/A"/>
    <e v="#N/A"/>
    <e v="#N/A"/>
    <e v="#N/A"/>
    <e v="#N/A"/>
    <e v="#N/A"/>
    <e v="#N/A"/>
  </r>
  <r>
    <n v="84139316"/>
    <x v="23"/>
    <n v="500"/>
    <d v="2023-10-01T00:00:00"/>
    <x v="422"/>
    <x v="1"/>
    <e v="#N/A"/>
    <e v="#N/A"/>
    <e v="#N/A"/>
    <x v="7"/>
    <x v="52"/>
    <s v="Q4"/>
    <e v="#N/A"/>
    <e v="#N/A"/>
    <e v="#N/A"/>
    <e v="#N/A"/>
    <e v="#N/A"/>
    <e v="#N/A"/>
    <e v="#N/A"/>
  </r>
  <r>
    <n v="84139316"/>
    <x v="23"/>
    <n v="500"/>
    <d v="2023-11-01T00:00:00"/>
    <x v="422"/>
    <x v="1"/>
    <e v="#N/A"/>
    <e v="#N/A"/>
    <e v="#N/A"/>
    <x v="10"/>
    <x v="52"/>
    <s v="Q4"/>
    <e v="#N/A"/>
    <e v="#N/A"/>
    <e v="#N/A"/>
    <e v="#N/A"/>
    <e v="#N/A"/>
    <e v="#N/A"/>
    <e v="#N/A"/>
  </r>
  <r>
    <n v="84139316"/>
    <x v="23"/>
    <n v="375"/>
    <d v="2023-12-01T00:00:00"/>
    <x v="422"/>
    <x v="1"/>
    <e v="#N/A"/>
    <e v="#N/A"/>
    <e v="#N/A"/>
    <x v="11"/>
    <x v="52"/>
    <s v="Q4"/>
    <e v="#N/A"/>
    <e v="#N/A"/>
    <e v="#N/A"/>
    <e v="#N/A"/>
    <e v="#N/A"/>
    <e v="#N/A"/>
    <e v="#N/A"/>
  </r>
  <r>
    <n v="84139317"/>
    <x v="23"/>
    <n v="375"/>
    <d v="2023-08-01T00:00:00"/>
    <x v="423"/>
    <x v="1"/>
    <e v="#N/A"/>
    <e v="#N/A"/>
    <e v="#N/A"/>
    <x v="8"/>
    <x v="52"/>
    <s v="Q3"/>
    <e v="#N/A"/>
    <e v="#N/A"/>
    <e v="#N/A"/>
    <e v="#N/A"/>
    <e v="#N/A"/>
    <e v="#N/A"/>
    <e v="#N/A"/>
  </r>
  <r>
    <n v="84139317"/>
    <x v="23"/>
    <n v="500"/>
    <d v="2023-09-01T00:00:00"/>
    <x v="423"/>
    <x v="1"/>
    <e v="#N/A"/>
    <e v="#N/A"/>
    <e v="#N/A"/>
    <x v="9"/>
    <x v="52"/>
    <s v="Q3"/>
    <e v="#N/A"/>
    <e v="#N/A"/>
    <e v="#N/A"/>
    <e v="#N/A"/>
    <e v="#N/A"/>
    <e v="#N/A"/>
    <e v="#N/A"/>
  </r>
  <r>
    <n v="84139317"/>
    <x v="23"/>
    <n v="375"/>
    <d v="2023-10-01T00:00:00"/>
    <x v="423"/>
    <x v="1"/>
    <e v="#N/A"/>
    <e v="#N/A"/>
    <e v="#N/A"/>
    <x v="7"/>
    <x v="52"/>
    <s v="Q4"/>
    <e v="#N/A"/>
    <e v="#N/A"/>
    <e v="#N/A"/>
    <e v="#N/A"/>
    <e v="#N/A"/>
    <e v="#N/A"/>
    <e v="#N/A"/>
  </r>
  <r>
    <n v="84139317"/>
    <x v="23"/>
    <n v="375"/>
    <d v="2023-11-01T00:00:00"/>
    <x v="423"/>
    <x v="1"/>
    <e v="#N/A"/>
    <e v="#N/A"/>
    <e v="#N/A"/>
    <x v="10"/>
    <x v="52"/>
    <s v="Q4"/>
    <e v="#N/A"/>
    <e v="#N/A"/>
    <e v="#N/A"/>
    <e v="#N/A"/>
    <e v="#N/A"/>
    <e v="#N/A"/>
    <e v="#N/A"/>
  </r>
  <r>
    <n v="84139317"/>
    <x v="23"/>
    <n v="375"/>
    <d v="2023-12-01T00:00:00"/>
    <x v="423"/>
    <x v="1"/>
    <e v="#N/A"/>
    <e v="#N/A"/>
    <e v="#N/A"/>
    <x v="11"/>
    <x v="52"/>
    <s v="Q4"/>
    <e v="#N/A"/>
    <e v="#N/A"/>
    <e v="#N/A"/>
    <e v="#N/A"/>
    <e v="#N/A"/>
    <e v="#N/A"/>
    <e v="#N/A"/>
  </r>
  <r>
    <n v="84139318"/>
    <x v="23"/>
    <n v="625"/>
    <d v="2023-08-01T00:00:00"/>
    <x v="424"/>
    <x v="1"/>
    <e v="#N/A"/>
    <e v="#N/A"/>
    <e v="#N/A"/>
    <x v="8"/>
    <x v="52"/>
    <s v="Q3"/>
    <e v="#N/A"/>
    <e v="#N/A"/>
    <e v="#N/A"/>
    <e v="#N/A"/>
    <e v="#N/A"/>
    <e v="#N/A"/>
    <e v="#N/A"/>
  </r>
  <r>
    <n v="84139318"/>
    <x v="23"/>
    <n v="625"/>
    <d v="2023-09-01T00:00:00"/>
    <x v="424"/>
    <x v="1"/>
    <e v="#N/A"/>
    <e v="#N/A"/>
    <e v="#N/A"/>
    <x v="9"/>
    <x v="52"/>
    <s v="Q3"/>
    <e v="#N/A"/>
    <e v="#N/A"/>
    <e v="#N/A"/>
    <e v="#N/A"/>
    <e v="#N/A"/>
    <e v="#N/A"/>
    <e v="#N/A"/>
  </r>
  <r>
    <n v="84139318"/>
    <x v="23"/>
    <n v="625"/>
    <d v="2023-10-01T00:00:00"/>
    <x v="424"/>
    <x v="1"/>
    <e v="#N/A"/>
    <e v="#N/A"/>
    <e v="#N/A"/>
    <x v="7"/>
    <x v="52"/>
    <s v="Q4"/>
    <e v="#N/A"/>
    <e v="#N/A"/>
    <e v="#N/A"/>
    <e v="#N/A"/>
    <e v="#N/A"/>
    <e v="#N/A"/>
    <e v="#N/A"/>
  </r>
  <r>
    <n v="84139318"/>
    <x v="23"/>
    <n v="750"/>
    <d v="2023-11-01T00:00:00"/>
    <x v="424"/>
    <x v="1"/>
    <e v="#N/A"/>
    <e v="#N/A"/>
    <e v="#N/A"/>
    <x v="10"/>
    <x v="52"/>
    <s v="Q4"/>
    <e v="#N/A"/>
    <e v="#N/A"/>
    <e v="#N/A"/>
    <e v="#N/A"/>
    <e v="#N/A"/>
    <e v="#N/A"/>
    <e v="#N/A"/>
  </r>
  <r>
    <n v="84139318"/>
    <x v="23"/>
    <n v="625"/>
    <d v="2023-12-01T00:00:00"/>
    <x v="424"/>
    <x v="1"/>
    <e v="#N/A"/>
    <e v="#N/A"/>
    <e v="#N/A"/>
    <x v="11"/>
    <x v="52"/>
    <s v="Q4"/>
    <e v="#N/A"/>
    <e v="#N/A"/>
    <e v="#N/A"/>
    <e v="#N/A"/>
    <e v="#N/A"/>
    <e v="#N/A"/>
    <e v="#N/A"/>
  </r>
  <r>
    <n v="68410355"/>
    <x v="16"/>
    <n v="4563"/>
    <d v="2023-05-17T00:00:00"/>
    <x v="345"/>
    <x v="14"/>
    <n v="1.98E-3"/>
    <n v="9.0347399999999993"/>
    <s v="MG"/>
    <x v="4"/>
    <x v="5"/>
    <s v="Q2"/>
    <n v="176"/>
    <n v="25.926136363636363"/>
    <s v="MG Sticks"/>
    <n v="1"/>
    <n v="4563"/>
    <n v="9.0347399999999993"/>
    <n v="25.926136363636363"/>
  </r>
  <r>
    <n v="68788589"/>
    <x v="9"/>
    <n v="0"/>
    <d v="2023-06-01T00:00:00"/>
    <x v="145"/>
    <x v="1"/>
    <n v="2.1292560036643622E-3"/>
    <n v="0"/>
    <s v="BJ"/>
    <x v="5"/>
    <x v="23"/>
    <s v="Q2"/>
    <n v="240"/>
    <n v="0"/>
    <s v="Dough Bites"/>
    <n v="0.94"/>
    <n v="0"/>
    <n v="0"/>
    <n v="0"/>
  </r>
  <r>
    <n v="68788589"/>
    <x v="9"/>
    <n v="6000"/>
    <d v="2023-07-01T00:00:00"/>
    <x v="145"/>
    <x v="1"/>
    <n v="2.1292560036643622E-3"/>
    <n v="12.775536021986174"/>
    <s v="BJ"/>
    <x v="6"/>
    <x v="23"/>
    <s v="Q3"/>
    <n v="240"/>
    <n v="25"/>
    <s v="Dough Bites"/>
    <n v="0.94"/>
    <n v="5640"/>
    <n v="12.009003860667002"/>
    <n v="23.5"/>
  </r>
  <r>
    <n v="68788589"/>
    <x v="9"/>
    <n v="0"/>
    <d v="2023-08-01T00:00:00"/>
    <x v="145"/>
    <x v="1"/>
    <n v="2.1292560036643622E-3"/>
    <n v="0"/>
    <s v="BJ"/>
    <x v="8"/>
    <x v="23"/>
    <s v="Q3"/>
    <n v="240"/>
    <n v="0"/>
    <s v="Dough Bites"/>
    <n v="0.94"/>
    <n v="0"/>
    <n v="0"/>
    <n v="0"/>
  </r>
  <r>
    <n v="68788589"/>
    <x v="9"/>
    <n v="0"/>
    <d v="2023-09-01T00:00:00"/>
    <x v="145"/>
    <x v="1"/>
    <n v="2.1292560036643622E-3"/>
    <n v="0"/>
    <s v="BJ"/>
    <x v="9"/>
    <x v="23"/>
    <s v="Q3"/>
    <n v="240"/>
    <n v="0"/>
    <s v="Dough Bites"/>
    <n v="0.94"/>
    <n v="0"/>
    <n v="0"/>
    <n v="0"/>
  </r>
  <r>
    <n v="68788589"/>
    <x v="9"/>
    <n v="6000"/>
    <d v="2023-10-01T00:00:00"/>
    <x v="145"/>
    <x v="1"/>
    <n v="2.1292560036643622E-3"/>
    <n v="12.775536021986174"/>
    <s v="BJ"/>
    <x v="7"/>
    <x v="23"/>
    <s v="Q4"/>
    <n v="240"/>
    <n v="25"/>
    <s v="Dough Bites"/>
    <n v="0.94"/>
    <n v="5640"/>
    <n v="12.009003860667002"/>
    <n v="23.5"/>
  </r>
  <r>
    <n v="68788589"/>
    <x v="9"/>
    <n v="0"/>
    <d v="2023-11-01T00:00:00"/>
    <x v="145"/>
    <x v="1"/>
    <n v="2.1292560036643622E-3"/>
    <n v="0"/>
    <s v="BJ"/>
    <x v="10"/>
    <x v="23"/>
    <s v="Q4"/>
    <n v="240"/>
    <n v="0"/>
    <s v="Dough Bites"/>
    <n v="0.94"/>
    <n v="0"/>
    <n v="0"/>
    <n v="0"/>
  </r>
  <r>
    <n v="68788589"/>
    <x v="9"/>
    <n v="0"/>
    <d v="2023-12-01T00:00:00"/>
    <x v="145"/>
    <x v="1"/>
    <n v="2.1292560036643622E-3"/>
    <n v="0"/>
    <s v="BJ"/>
    <x v="11"/>
    <x v="23"/>
    <s v="Q4"/>
    <n v="240"/>
    <n v="0"/>
    <s v="Dough Bites"/>
    <n v="0.94"/>
    <n v="0"/>
    <n v="0"/>
    <n v="0"/>
  </r>
  <r>
    <n v="68741742"/>
    <x v="16"/>
    <n v="5082"/>
    <d v="2023-05-17T00:00:00"/>
    <x v="25"/>
    <x v="25"/>
    <n v="4.2560000000000002E-3"/>
    <n v="21.628992"/>
    <s v="GH"/>
    <x v="4"/>
    <x v="11"/>
    <s v="Q2"/>
    <n v="154"/>
    <n v="33"/>
    <s v="MBG"/>
    <n v="1"/>
    <n v="5082"/>
    <n v="21.628992"/>
    <n v="33"/>
  </r>
  <r>
    <n v="68852605"/>
    <x v="9"/>
    <n v="8000"/>
    <d v="2023-06-01T00:00:00"/>
    <x v="58"/>
    <x v="1"/>
    <n v="4.2112719751809718E-2"/>
    <n v="336.90175801447776"/>
    <s v="BJ"/>
    <x v="5"/>
    <x v="23"/>
    <s v="Q2"/>
    <n v="272"/>
    <n v="29.411764705882351"/>
    <s v="Dough Bites"/>
    <n v="0.94"/>
    <n v="7520"/>
    <n v="316.68765253360908"/>
    <n v="27.647058823529409"/>
  </r>
  <r>
    <n v="68852605"/>
    <x v="9"/>
    <n v="7000"/>
    <d v="2023-07-01T00:00:00"/>
    <x v="58"/>
    <x v="1"/>
    <n v="4.2112719751809718E-2"/>
    <n v="294.78903826266804"/>
    <s v="BJ"/>
    <x v="6"/>
    <x v="23"/>
    <s v="Q3"/>
    <n v="272"/>
    <n v="25.735294117647058"/>
    <s v="Dough Bites"/>
    <n v="0.94"/>
    <n v="6580"/>
    <n v="277.10169596690793"/>
    <n v="24.191176470588232"/>
  </r>
  <r>
    <n v="68852605"/>
    <x v="9"/>
    <n v="16000"/>
    <d v="2023-08-01T00:00:00"/>
    <x v="58"/>
    <x v="1"/>
    <n v="4.2112719751809718E-2"/>
    <n v="673.80351602895553"/>
    <s v="BJ"/>
    <x v="8"/>
    <x v="23"/>
    <s v="Q3"/>
    <n v="272"/>
    <n v="58.823529411764703"/>
    <s v="Dough Bites"/>
    <n v="0.94"/>
    <n v="15040"/>
    <n v="633.37530506721816"/>
    <n v="55.294117647058819"/>
  </r>
  <r>
    <n v="68852605"/>
    <x v="9"/>
    <n v="16000"/>
    <d v="2023-09-01T00:00:00"/>
    <x v="58"/>
    <x v="1"/>
    <n v="4.2112719751809718E-2"/>
    <n v="673.80351602895553"/>
    <s v="BJ"/>
    <x v="9"/>
    <x v="23"/>
    <s v="Q3"/>
    <n v="272"/>
    <n v="58.823529411764703"/>
    <s v="Dough Bites"/>
    <n v="0.94"/>
    <n v="15040"/>
    <n v="633.37530506721816"/>
    <n v="55.294117647058819"/>
  </r>
  <r>
    <n v="68852605"/>
    <x v="9"/>
    <n v="0"/>
    <d v="2023-10-01T00:00:00"/>
    <x v="58"/>
    <x v="1"/>
    <n v="4.2112719751809718E-2"/>
    <n v="0"/>
    <s v="BJ"/>
    <x v="7"/>
    <x v="23"/>
    <s v="Q4"/>
    <n v="272"/>
    <n v="0"/>
    <s v="Dough Bites"/>
    <n v="0.94"/>
    <n v="0"/>
    <n v="0"/>
    <n v="0"/>
  </r>
  <r>
    <n v="68852605"/>
    <x v="9"/>
    <n v="6000"/>
    <d v="2023-11-01T00:00:00"/>
    <x v="58"/>
    <x v="1"/>
    <n v="4.2112719751809718E-2"/>
    <n v="252.67631851085832"/>
    <s v="BJ"/>
    <x v="10"/>
    <x v="23"/>
    <s v="Q4"/>
    <n v="272"/>
    <n v="22.058823529411764"/>
    <s v="Dough Bites"/>
    <n v="0.94"/>
    <n v="5640"/>
    <n v="237.5157394002068"/>
    <n v="20.735294117647058"/>
  </r>
  <r>
    <n v="68852605"/>
    <x v="9"/>
    <n v="12000"/>
    <d v="2023-12-01T00:00:00"/>
    <x v="58"/>
    <x v="1"/>
    <n v="4.2112719751809718E-2"/>
    <n v="505.35263702171665"/>
    <s v="BJ"/>
    <x v="11"/>
    <x v="23"/>
    <s v="Q4"/>
    <n v="272"/>
    <n v="44.117647058823529"/>
    <s v="Dough Bites"/>
    <n v="0.94"/>
    <n v="11280"/>
    <n v="475.03147880041359"/>
    <n v="41.470588235294116"/>
  </r>
  <r>
    <n v="68863006"/>
    <x v="9"/>
    <n v="0"/>
    <d v="2023-06-01T00:00:00"/>
    <x v="179"/>
    <x v="1"/>
    <n v="1.8959999999999999E-3"/>
    <n v="0"/>
    <s v="BJ"/>
    <x v="5"/>
    <x v="23"/>
    <s v="Q2"/>
    <n v="272"/>
    <n v="0"/>
    <s v="Dough Bites"/>
    <n v="0.94"/>
    <n v="0"/>
    <n v="0"/>
    <n v="0"/>
  </r>
  <r>
    <n v="68863006"/>
    <x v="9"/>
    <n v="6000"/>
    <d v="2023-07-01T00:00:00"/>
    <x v="179"/>
    <x v="1"/>
    <n v="1.8959999999999999E-3"/>
    <n v="11.375999999999999"/>
    <s v="BJ"/>
    <x v="6"/>
    <x v="23"/>
    <s v="Q3"/>
    <n v="272"/>
    <n v="22.058823529411764"/>
    <s v="Dough Bites"/>
    <n v="0.94"/>
    <n v="5640"/>
    <n v="10.693439999999999"/>
    <n v="20.735294117647058"/>
  </r>
  <r>
    <n v="68863006"/>
    <x v="9"/>
    <n v="16000"/>
    <d v="2023-08-01T00:00:00"/>
    <x v="179"/>
    <x v="1"/>
    <n v="1.8959999999999999E-3"/>
    <n v="30.335999999999999"/>
    <s v="BJ"/>
    <x v="8"/>
    <x v="23"/>
    <s v="Q3"/>
    <n v="272"/>
    <n v="58.823529411764703"/>
    <s v="Dough Bites"/>
    <n v="0.94"/>
    <n v="15040"/>
    <n v="28.515839999999997"/>
    <n v="55.294117647058819"/>
  </r>
  <r>
    <n v="68863006"/>
    <x v="9"/>
    <n v="16000"/>
    <d v="2023-09-01T00:00:00"/>
    <x v="179"/>
    <x v="1"/>
    <n v="1.8959999999999999E-3"/>
    <n v="30.335999999999999"/>
    <s v="BJ"/>
    <x v="9"/>
    <x v="23"/>
    <s v="Q3"/>
    <n v="272"/>
    <n v="58.823529411764703"/>
    <s v="Dough Bites"/>
    <n v="0.94"/>
    <n v="15040"/>
    <n v="28.515839999999997"/>
    <n v="55.294117647058819"/>
  </r>
  <r>
    <n v="68863006"/>
    <x v="9"/>
    <n v="0"/>
    <d v="2023-10-01T00:00:00"/>
    <x v="179"/>
    <x v="1"/>
    <n v="1.8959999999999999E-3"/>
    <n v="0"/>
    <s v="BJ"/>
    <x v="7"/>
    <x v="23"/>
    <s v="Q4"/>
    <n v="272"/>
    <n v="0"/>
    <s v="Dough Bites"/>
    <n v="0.94"/>
    <n v="0"/>
    <n v="0"/>
    <n v="0"/>
  </r>
  <r>
    <n v="68863006"/>
    <x v="9"/>
    <n v="0"/>
    <d v="2023-11-01T00:00:00"/>
    <x v="179"/>
    <x v="1"/>
    <n v="1.8959999999999999E-3"/>
    <n v="0"/>
    <s v="BJ"/>
    <x v="10"/>
    <x v="23"/>
    <s v="Q4"/>
    <n v="272"/>
    <n v="0"/>
    <s v="Dough Bites"/>
    <n v="0.94"/>
    <n v="0"/>
    <n v="0"/>
    <n v="0"/>
  </r>
  <r>
    <n v="68863006"/>
    <x v="9"/>
    <n v="6000"/>
    <d v="2023-12-01T00:00:00"/>
    <x v="179"/>
    <x v="1"/>
    <n v="1.8959999999999999E-3"/>
    <n v="11.375999999999999"/>
    <s v="BJ"/>
    <x v="11"/>
    <x v="23"/>
    <s v="Q4"/>
    <n v="272"/>
    <n v="22.058823529411764"/>
    <s v="Dough Bites"/>
    <n v="0.94"/>
    <n v="5640"/>
    <n v="10.693439999999999"/>
    <n v="20.735294117647058"/>
  </r>
  <r>
    <n v="68881270"/>
    <x v="16"/>
    <n v="12397"/>
    <d v="2023-05-17T00:00:00"/>
    <x v="91"/>
    <x v="2"/>
    <n v="8.5199999999999998E-3"/>
    <n v="105.62244"/>
    <s v="BR"/>
    <x v="4"/>
    <x v="2"/>
    <s v="Q2"/>
    <n v="176"/>
    <n v="70.4375"/>
    <s v="48oz"/>
    <n v="1"/>
    <n v="12397"/>
    <n v="105.62244"/>
    <n v="70.4375"/>
  </r>
  <r>
    <n v="68863007"/>
    <x v="9"/>
    <n v="7000"/>
    <d v="2023-06-01T00:00:00"/>
    <x v="242"/>
    <x v="1"/>
    <n v="1.8959999999999999E-3"/>
    <n v="13.271999999999998"/>
    <s v="BJ"/>
    <x v="5"/>
    <x v="23"/>
    <s v="Q2"/>
    <n v="272"/>
    <n v="25.735294117647058"/>
    <s v="Dough Bites"/>
    <n v="0.94"/>
    <n v="6580"/>
    <n v="12.475679999999997"/>
    <n v="24.191176470588232"/>
  </r>
  <r>
    <n v="68863007"/>
    <x v="9"/>
    <n v="7000"/>
    <d v="2023-07-01T00:00:00"/>
    <x v="242"/>
    <x v="1"/>
    <n v="1.8959999999999999E-3"/>
    <n v="13.271999999999998"/>
    <s v="BJ"/>
    <x v="6"/>
    <x v="23"/>
    <s v="Q3"/>
    <n v="272"/>
    <n v="25.735294117647058"/>
    <s v="Dough Bites"/>
    <n v="0.94"/>
    <n v="6580"/>
    <n v="12.475679999999997"/>
    <n v="24.191176470588232"/>
  </r>
  <r>
    <n v="68863007"/>
    <x v="9"/>
    <n v="6000"/>
    <d v="2023-08-01T00:00:00"/>
    <x v="242"/>
    <x v="1"/>
    <n v="1.8959999999999999E-3"/>
    <n v="11.375999999999999"/>
    <s v="BJ"/>
    <x v="8"/>
    <x v="23"/>
    <s v="Q3"/>
    <n v="272"/>
    <n v="22.058823529411764"/>
    <s v="Dough Bites"/>
    <n v="0.94"/>
    <n v="5640"/>
    <n v="10.693439999999999"/>
    <n v="20.735294117647058"/>
  </r>
  <r>
    <n v="68863007"/>
    <x v="9"/>
    <n v="0"/>
    <d v="2023-09-01T00:00:00"/>
    <x v="242"/>
    <x v="1"/>
    <n v="1.8959999999999999E-3"/>
    <n v="0"/>
    <s v="BJ"/>
    <x v="9"/>
    <x v="23"/>
    <s v="Q3"/>
    <n v="272"/>
    <n v="0"/>
    <s v="Dough Bites"/>
    <n v="0.94"/>
    <n v="0"/>
    <n v="0"/>
    <n v="0"/>
  </r>
  <r>
    <n v="68863007"/>
    <x v="9"/>
    <n v="6000"/>
    <d v="2023-10-01T00:00:00"/>
    <x v="242"/>
    <x v="1"/>
    <n v="1.8959999999999999E-3"/>
    <n v="11.375999999999999"/>
    <s v="BJ"/>
    <x v="7"/>
    <x v="23"/>
    <s v="Q4"/>
    <n v="272"/>
    <n v="22.058823529411764"/>
    <s v="Dough Bites"/>
    <n v="0.94"/>
    <n v="5640"/>
    <n v="10.693439999999999"/>
    <n v="20.735294117647058"/>
  </r>
  <r>
    <n v="68863007"/>
    <x v="9"/>
    <n v="0"/>
    <d v="2023-11-01T00:00:00"/>
    <x v="242"/>
    <x v="1"/>
    <n v="1.8959999999999999E-3"/>
    <n v="0"/>
    <s v="BJ"/>
    <x v="10"/>
    <x v="23"/>
    <s v="Q4"/>
    <n v="272"/>
    <n v="0"/>
    <s v="Dough Bites"/>
    <n v="0.94"/>
    <n v="0"/>
    <n v="0"/>
    <n v="0"/>
  </r>
  <r>
    <n v="68863007"/>
    <x v="9"/>
    <n v="6000"/>
    <d v="2023-12-01T00:00:00"/>
    <x v="242"/>
    <x v="1"/>
    <n v="1.8959999999999999E-3"/>
    <n v="11.375999999999999"/>
    <s v="BJ"/>
    <x v="11"/>
    <x v="23"/>
    <s v="Q4"/>
    <n v="272"/>
    <n v="22.058823529411764"/>
    <s v="Dough Bites"/>
    <n v="0.94"/>
    <n v="5640"/>
    <n v="10.693439999999999"/>
    <n v="20.735294117647058"/>
  </r>
  <r>
    <n v="68863008"/>
    <x v="9"/>
    <n v="0"/>
    <d v="2023-06-01T00:00:00"/>
    <x v="267"/>
    <x v="1"/>
    <n v="1.8959999999999999E-3"/>
    <n v="0"/>
    <s v="BJ"/>
    <x v="5"/>
    <x v="23"/>
    <s v="Q2"/>
    <n v="272"/>
    <n v="0"/>
    <s v="Dough Bites"/>
    <n v="0.94"/>
    <n v="0"/>
    <n v="0"/>
    <n v="0"/>
  </r>
  <r>
    <n v="68863008"/>
    <x v="9"/>
    <n v="4000"/>
    <d v="2023-07-01T00:00:00"/>
    <x v="267"/>
    <x v="1"/>
    <n v="1.8959999999999999E-3"/>
    <n v="7.5839999999999996"/>
    <s v="BJ"/>
    <x v="6"/>
    <x v="23"/>
    <s v="Q3"/>
    <n v="272"/>
    <n v="14.705882352941176"/>
    <s v="Dough Bites"/>
    <n v="0.94"/>
    <n v="3760"/>
    <n v="7.1289599999999993"/>
    <n v="13.823529411764705"/>
  </r>
  <r>
    <n v="68863008"/>
    <x v="9"/>
    <n v="0"/>
    <d v="2023-08-01T00:00:00"/>
    <x v="267"/>
    <x v="1"/>
    <n v="1.8959999999999999E-3"/>
    <n v="0"/>
    <s v="BJ"/>
    <x v="8"/>
    <x v="23"/>
    <s v="Q3"/>
    <n v="272"/>
    <n v="0"/>
    <s v="Dough Bites"/>
    <n v="0.94"/>
    <n v="0"/>
    <n v="0"/>
    <n v="0"/>
  </r>
  <r>
    <n v="68863008"/>
    <x v="9"/>
    <n v="0"/>
    <d v="2023-09-01T00:00:00"/>
    <x v="267"/>
    <x v="1"/>
    <n v="1.8959999999999999E-3"/>
    <n v="0"/>
    <s v="BJ"/>
    <x v="9"/>
    <x v="23"/>
    <s v="Q3"/>
    <n v="272"/>
    <n v="0"/>
    <s v="Dough Bites"/>
    <n v="0.94"/>
    <n v="0"/>
    <n v="0"/>
    <n v="0"/>
  </r>
  <r>
    <n v="68863008"/>
    <x v="9"/>
    <n v="6000"/>
    <d v="2023-10-01T00:00:00"/>
    <x v="267"/>
    <x v="1"/>
    <n v="1.8959999999999999E-3"/>
    <n v="11.375999999999999"/>
    <s v="BJ"/>
    <x v="7"/>
    <x v="23"/>
    <s v="Q4"/>
    <n v="272"/>
    <n v="22.058823529411764"/>
    <s v="Dough Bites"/>
    <n v="0.94"/>
    <n v="5640"/>
    <n v="10.693439999999999"/>
    <n v="20.735294117647058"/>
  </r>
  <r>
    <n v="68863008"/>
    <x v="9"/>
    <n v="0"/>
    <d v="2023-11-01T00:00:00"/>
    <x v="267"/>
    <x v="1"/>
    <n v="1.8959999999999999E-3"/>
    <n v="0"/>
    <s v="BJ"/>
    <x v="10"/>
    <x v="23"/>
    <s v="Q4"/>
    <n v="272"/>
    <n v="0"/>
    <s v="Dough Bites"/>
    <n v="0.94"/>
    <n v="0"/>
    <n v="0"/>
    <n v="0"/>
  </r>
  <r>
    <n v="68863008"/>
    <x v="9"/>
    <n v="0"/>
    <d v="2023-12-01T00:00:00"/>
    <x v="267"/>
    <x v="1"/>
    <n v="1.8959999999999999E-3"/>
    <n v="0"/>
    <s v="BJ"/>
    <x v="11"/>
    <x v="23"/>
    <s v="Q4"/>
    <n v="272"/>
    <n v="0"/>
    <s v="Dough Bites"/>
    <n v="0.94"/>
    <n v="0"/>
    <n v="0"/>
    <n v="0"/>
  </r>
  <r>
    <n v="68115479"/>
    <x v="6"/>
    <n v="0"/>
    <d v="2023-05-01T00:00:00"/>
    <x v="52"/>
    <x v="1"/>
    <n v="5.7599999999999995E-3"/>
    <n v="0"/>
    <s v="MG "/>
    <x v="4"/>
    <x v="20"/>
    <s v="Q2"/>
    <n v="30"/>
    <n v="0"/>
    <s v="Repack MG Sticks"/>
    <n v="0.99"/>
    <n v="0"/>
    <n v="0"/>
    <n v="0"/>
  </r>
  <r>
    <n v="68115479"/>
    <x v="6"/>
    <n v="0"/>
    <d v="2023-06-01T00:00:00"/>
    <x v="52"/>
    <x v="1"/>
    <n v="5.7599999999999995E-3"/>
    <n v="0"/>
    <s v="MG "/>
    <x v="5"/>
    <x v="20"/>
    <s v="Q2"/>
    <n v="30"/>
    <n v="0"/>
    <s v="Repack MG Sticks"/>
    <n v="0.99"/>
    <n v="0"/>
    <n v="0"/>
    <n v="0"/>
  </r>
  <r>
    <n v="68115479"/>
    <x v="6"/>
    <n v="0"/>
    <d v="2023-07-01T00:00:00"/>
    <x v="52"/>
    <x v="1"/>
    <n v="5.7599999999999995E-3"/>
    <n v="0"/>
    <s v="MG "/>
    <x v="6"/>
    <x v="20"/>
    <s v="Q3"/>
    <n v="30"/>
    <n v="0"/>
    <s v="Repack MG Sticks"/>
    <n v="0.99"/>
    <n v="0"/>
    <n v="0"/>
    <n v="0"/>
  </r>
  <r>
    <n v="68115479"/>
    <x v="6"/>
    <n v="0"/>
    <d v="2023-08-01T00:00:00"/>
    <x v="52"/>
    <x v="1"/>
    <n v="5.7599999999999995E-3"/>
    <n v="0"/>
    <s v="MG "/>
    <x v="8"/>
    <x v="20"/>
    <s v="Q3"/>
    <n v="30"/>
    <n v="0"/>
    <s v="Repack MG Sticks"/>
    <n v="0.99"/>
    <n v="0"/>
    <n v="0"/>
    <n v="0"/>
  </r>
  <r>
    <n v="68115479"/>
    <x v="6"/>
    <n v="0"/>
    <d v="2023-09-01T00:00:00"/>
    <x v="52"/>
    <x v="1"/>
    <n v="5.7599999999999995E-3"/>
    <n v="0"/>
    <s v="MG "/>
    <x v="9"/>
    <x v="20"/>
    <s v="Q3"/>
    <n v="30"/>
    <n v="0"/>
    <s v="Repack MG Sticks"/>
    <n v="0.99"/>
    <n v="0"/>
    <n v="0"/>
    <n v="0"/>
  </r>
  <r>
    <n v="68115479"/>
    <x v="6"/>
    <n v="0"/>
    <d v="2023-10-01T00:00:00"/>
    <x v="52"/>
    <x v="1"/>
    <n v="5.7599999999999995E-3"/>
    <n v="0"/>
    <s v="MG "/>
    <x v="7"/>
    <x v="20"/>
    <s v="Q4"/>
    <n v="30"/>
    <n v="0"/>
    <s v="Repack MG Sticks"/>
    <n v="0.99"/>
    <n v="0"/>
    <n v="0"/>
    <n v="0"/>
  </r>
  <r>
    <n v="68115479"/>
    <x v="6"/>
    <n v="0"/>
    <d v="2023-11-01T00:00:00"/>
    <x v="52"/>
    <x v="1"/>
    <n v="5.7599999999999995E-3"/>
    <n v="0"/>
    <s v="MG "/>
    <x v="10"/>
    <x v="20"/>
    <s v="Q4"/>
    <n v="30"/>
    <n v="0"/>
    <s v="Repack MG Sticks"/>
    <n v="0.99"/>
    <n v="0"/>
    <n v="0"/>
    <n v="0"/>
  </r>
  <r>
    <n v="68115479"/>
    <x v="6"/>
    <n v="0"/>
    <d v="2023-12-01T00:00:00"/>
    <x v="52"/>
    <x v="1"/>
    <n v="5.7599999999999995E-3"/>
    <n v="0"/>
    <s v="MG "/>
    <x v="11"/>
    <x v="20"/>
    <s v="Q4"/>
    <n v="30"/>
    <n v="0"/>
    <s v="Repack MG Sticks"/>
    <n v="0.99"/>
    <n v="0"/>
    <n v="0"/>
    <n v="0"/>
  </r>
  <r>
    <n v="68414643"/>
    <x v="6"/>
    <n v="5666"/>
    <d v="2023-05-01T00:00:00"/>
    <x v="41"/>
    <x v="1"/>
    <n v="1.419504E-3"/>
    <n v="8.0429096639999997"/>
    <s v="BJ"/>
    <x v="4"/>
    <x v="17"/>
    <s v="Q2"/>
    <n v="238"/>
    <n v="23.806722689075631"/>
    <s v="B&amp;J Dog Treat - Repack"/>
    <n v="1"/>
    <n v="5666"/>
    <n v="8.0429096639999997"/>
    <n v="23.806722689075631"/>
  </r>
  <r>
    <n v="68414643"/>
    <x v="6"/>
    <n v="7000"/>
    <d v="2023-06-01T00:00:00"/>
    <x v="41"/>
    <x v="1"/>
    <n v="1.419504E-3"/>
    <n v="9.9365280000000009"/>
    <s v="BJ"/>
    <x v="5"/>
    <x v="17"/>
    <s v="Q2"/>
    <n v="238"/>
    <n v="29.411764705882351"/>
    <s v="B&amp;J Dog Treat - Repack"/>
    <n v="1"/>
    <n v="7000"/>
    <n v="9.9365280000000009"/>
    <n v="29.411764705882351"/>
  </r>
  <r>
    <n v="68414643"/>
    <x v="6"/>
    <n v="9800"/>
    <d v="2023-07-01T00:00:00"/>
    <x v="41"/>
    <x v="1"/>
    <n v="1.419504E-3"/>
    <n v="13.911139200000001"/>
    <s v="BJ"/>
    <x v="6"/>
    <x v="17"/>
    <s v="Q3"/>
    <n v="238"/>
    <n v="41.176470588235297"/>
    <s v="B&amp;J Dog Treat - Repack"/>
    <n v="1"/>
    <n v="9800"/>
    <n v="13.911139200000001"/>
    <n v="41.176470588235297"/>
  </r>
  <r>
    <n v="68414643"/>
    <x v="6"/>
    <n v="21000"/>
    <d v="2023-08-01T00:00:00"/>
    <x v="41"/>
    <x v="1"/>
    <n v="1.419504E-3"/>
    <n v="29.809584000000001"/>
    <s v="BJ"/>
    <x v="8"/>
    <x v="17"/>
    <s v="Q3"/>
    <n v="238"/>
    <n v="88.235294117647058"/>
    <s v="B&amp;J Dog Treat - Repack"/>
    <n v="1"/>
    <n v="21000"/>
    <n v="29.809584000000001"/>
    <n v="88.235294117647058"/>
  </r>
  <r>
    <n v="68414643"/>
    <x v="6"/>
    <n v="16800"/>
    <d v="2023-09-01T00:00:00"/>
    <x v="41"/>
    <x v="1"/>
    <n v="1.419504E-3"/>
    <n v="23.8476672"/>
    <s v="BJ"/>
    <x v="9"/>
    <x v="17"/>
    <s v="Q3"/>
    <n v="238"/>
    <n v="70.588235294117652"/>
    <s v="B&amp;J Dog Treat - Repack"/>
    <n v="1"/>
    <n v="16800"/>
    <n v="23.8476672"/>
    <n v="70.588235294117652"/>
  </r>
  <r>
    <n v="68414643"/>
    <x v="6"/>
    <n v="11200"/>
    <d v="2023-10-01T00:00:00"/>
    <x v="41"/>
    <x v="1"/>
    <n v="1.419504E-3"/>
    <n v="15.8984448"/>
    <s v="BJ"/>
    <x v="7"/>
    <x v="17"/>
    <s v="Q4"/>
    <n v="238"/>
    <n v="47.058823529411768"/>
    <s v="B&amp;J Dog Treat - Repack"/>
    <n v="1"/>
    <n v="11200"/>
    <n v="15.8984448"/>
    <n v="47.058823529411768"/>
  </r>
  <r>
    <n v="68414643"/>
    <x v="6"/>
    <n v="8400"/>
    <d v="2023-11-01T00:00:00"/>
    <x v="41"/>
    <x v="1"/>
    <n v="1.419504E-3"/>
    <n v="11.9238336"/>
    <s v="BJ"/>
    <x v="10"/>
    <x v="17"/>
    <s v="Q4"/>
    <n v="238"/>
    <n v="35.294117647058826"/>
    <s v="B&amp;J Dog Treat - Repack"/>
    <n v="1"/>
    <n v="8400"/>
    <n v="11.9238336"/>
    <n v="35.294117647058826"/>
  </r>
  <r>
    <n v="68414643"/>
    <x v="6"/>
    <n v="14000"/>
    <d v="2023-12-01T00:00:00"/>
    <x v="41"/>
    <x v="1"/>
    <n v="1.419504E-3"/>
    <n v="19.873056000000002"/>
    <s v="BJ"/>
    <x v="11"/>
    <x v="17"/>
    <s v="Q4"/>
    <n v="238"/>
    <n v="58.823529411764703"/>
    <s v="B&amp;J Dog Treat - Repack"/>
    <n v="1"/>
    <n v="14000"/>
    <n v="19.873056000000002"/>
    <n v="58.823529411764703"/>
  </r>
  <r>
    <n v="68414647"/>
    <x v="6"/>
    <n v="3046"/>
    <d v="2023-05-01T00:00:00"/>
    <x v="90"/>
    <x v="1"/>
    <n v="1.419504E-3"/>
    <n v="4.3238091839999999"/>
    <s v="BJ"/>
    <x v="4"/>
    <x v="17"/>
    <s v="Q2"/>
    <n v="238"/>
    <n v="12.798319327731093"/>
    <s v="B&amp;J Dog Treat - Repack"/>
    <n v="1"/>
    <n v="3046"/>
    <n v="4.3238091839999999"/>
    <n v="12.798319327731093"/>
  </r>
  <r>
    <n v="68414647"/>
    <x v="6"/>
    <n v="8400"/>
    <d v="2023-06-01T00:00:00"/>
    <x v="90"/>
    <x v="1"/>
    <n v="1.419504E-3"/>
    <n v="11.9238336"/>
    <s v="BJ"/>
    <x v="5"/>
    <x v="17"/>
    <s v="Q2"/>
    <n v="238"/>
    <n v="35.294117647058826"/>
    <s v="B&amp;J Dog Treat - Repack"/>
    <n v="1"/>
    <n v="8400"/>
    <n v="11.9238336"/>
    <n v="35.294117647058826"/>
  </r>
  <r>
    <n v="68414647"/>
    <x v="6"/>
    <n v="7000"/>
    <d v="2023-07-01T00:00:00"/>
    <x v="90"/>
    <x v="1"/>
    <n v="1.419504E-3"/>
    <n v="9.9365280000000009"/>
    <s v="BJ"/>
    <x v="6"/>
    <x v="17"/>
    <s v="Q3"/>
    <n v="238"/>
    <n v="29.411764705882351"/>
    <s v="B&amp;J Dog Treat - Repack"/>
    <n v="1"/>
    <n v="7000"/>
    <n v="9.9365280000000009"/>
    <n v="29.411764705882351"/>
  </r>
  <r>
    <n v="68414647"/>
    <x v="6"/>
    <n v="16800"/>
    <d v="2023-08-01T00:00:00"/>
    <x v="90"/>
    <x v="1"/>
    <n v="1.419504E-3"/>
    <n v="23.8476672"/>
    <s v="BJ"/>
    <x v="8"/>
    <x v="17"/>
    <s v="Q3"/>
    <n v="238"/>
    <n v="70.588235294117652"/>
    <s v="B&amp;J Dog Treat - Repack"/>
    <n v="1"/>
    <n v="16800"/>
    <n v="23.8476672"/>
    <n v="70.588235294117652"/>
  </r>
  <r>
    <n v="68414647"/>
    <x v="6"/>
    <n v="12600"/>
    <d v="2023-09-01T00:00:00"/>
    <x v="90"/>
    <x v="1"/>
    <n v="1.419504E-3"/>
    <n v="17.885750399999999"/>
    <s v="BJ"/>
    <x v="9"/>
    <x v="17"/>
    <s v="Q3"/>
    <n v="238"/>
    <n v="52.941176470588232"/>
    <s v="B&amp;J Dog Treat - Repack"/>
    <n v="1"/>
    <n v="12600"/>
    <n v="17.885750399999999"/>
    <n v="52.941176470588232"/>
  </r>
  <r>
    <n v="68414647"/>
    <x v="6"/>
    <n v="7000"/>
    <d v="2023-10-01T00:00:00"/>
    <x v="90"/>
    <x v="1"/>
    <n v="1.419504E-3"/>
    <n v="9.9365280000000009"/>
    <s v="BJ"/>
    <x v="7"/>
    <x v="17"/>
    <s v="Q4"/>
    <n v="238"/>
    <n v="29.411764705882351"/>
    <s v="B&amp;J Dog Treat - Repack"/>
    <n v="1"/>
    <n v="7000"/>
    <n v="9.9365280000000009"/>
    <n v="29.411764705882351"/>
  </r>
  <r>
    <n v="68414647"/>
    <x v="6"/>
    <n v="7000"/>
    <d v="2023-11-01T00:00:00"/>
    <x v="90"/>
    <x v="1"/>
    <n v="1.419504E-3"/>
    <n v="9.9365280000000009"/>
    <s v="BJ"/>
    <x v="10"/>
    <x v="17"/>
    <s v="Q4"/>
    <n v="238"/>
    <n v="29.411764705882351"/>
    <s v="B&amp;J Dog Treat - Repack"/>
    <n v="1"/>
    <n v="7000"/>
    <n v="9.9365280000000009"/>
    <n v="29.411764705882351"/>
  </r>
  <r>
    <n v="68414647"/>
    <x v="6"/>
    <n v="8400"/>
    <d v="2023-12-01T00:00:00"/>
    <x v="90"/>
    <x v="1"/>
    <n v="1.419504E-3"/>
    <n v="11.9238336"/>
    <s v="BJ"/>
    <x v="11"/>
    <x v="17"/>
    <s v="Q4"/>
    <n v="238"/>
    <n v="35.294117647058826"/>
    <s v="B&amp;J Dog Treat - Repack"/>
    <n v="1"/>
    <n v="8400"/>
    <n v="11.9238336"/>
    <n v="35.294117647058826"/>
  </r>
  <r>
    <n v="68942622"/>
    <x v="6"/>
    <n v="1820"/>
    <d v="2023-06-01T00:00:00"/>
    <x v="343"/>
    <x v="1"/>
    <n v="2.55456E-3"/>
    <n v="4.6492991999999997"/>
    <s v="TA"/>
    <x v="5"/>
    <x v="47"/>
    <s v="Q2"/>
    <n v="54"/>
    <n v="33.703703703703702"/>
    <s v="TALENTI"/>
    <n v="0.94"/>
    <n v="1710.8"/>
    <n v="4.3703412479999999"/>
    <n v="31.681481481481477"/>
  </r>
  <r>
    <n v="68942622"/>
    <x v="6"/>
    <n v="3640"/>
    <d v="2023-07-01T00:00:00"/>
    <x v="343"/>
    <x v="1"/>
    <n v="2.55456E-3"/>
    <n v="9.2985983999999995"/>
    <s v="TA"/>
    <x v="6"/>
    <x v="47"/>
    <s v="Q3"/>
    <n v="54"/>
    <n v="67.407407407407405"/>
    <s v="TALENTI"/>
    <n v="0.94"/>
    <n v="3421.6"/>
    <n v="8.7406824959999998"/>
    <n v="63.362962962962953"/>
  </r>
  <r>
    <n v="68942622"/>
    <x v="6"/>
    <n v="4550"/>
    <d v="2023-08-01T00:00:00"/>
    <x v="343"/>
    <x v="1"/>
    <n v="2.55456E-3"/>
    <n v="11.623248"/>
    <s v="TA"/>
    <x v="8"/>
    <x v="47"/>
    <s v="Q3"/>
    <n v="54"/>
    <n v="84.259259259259252"/>
    <s v="TALENTI"/>
    <n v="0.94"/>
    <n v="4277"/>
    <n v="10.925853119999999"/>
    <n v="79.203703703703695"/>
  </r>
  <r>
    <n v="68942622"/>
    <x v="6"/>
    <n v="3640"/>
    <d v="2023-09-01T00:00:00"/>
    <x v="343"/>
    <x v="1"/>
    <n v="2.55456E-3"/>
    <n v="9.2985983999999995"/>
    <s v="TA"/>
    <x v="9"/>
    <x v="47"/>
    <s v="Q3"/>
    <n v="54"/>
    <n v="67.407407407407405"/>
    <s v="TALENTI"/>
    <n v="0.94"/>
    <n v="3421.6"/>
    <n v="8.7406824959999998"/>
    <n v="63.362962962962953"/>
  </r>
  <r>
    <n v="68942622"/>
    <x v="6"/>
    <n v="0"/>
    <d v="2023-10-01T00:00:00"/>
    <x v="343"/>
    <x v="1"/>
    <n v="2.55456E-3"/>
    <n v="0"/>
    <s v="TA"/>
    <x v="7"/>
    <x v="47"/>
    <s v="Q4"/>
    <n v="54"/>
    <n v="0"/>
    <s v="TALENTI"/>
    <n v="0.94"/>
    <n v="0"/>
    <n v="0"/>
    <n v="0"/>
  </r>
  <r>
    <n v="68942622"/>
    <x v="6"/>
    <n v="0"/>
    <d v="2023-11-01T00:00:00"/>
    <x v="343"/>
    <x v="1"/>
    <n v="2.55456E-3"/>
    <n v="0"/>
    <s v="TA"/>
    <x v="10"/>
    <x v="47"/>
    <s v="Q4"/>
    <n v="54"/>
    <n v="0"/>
    <s v="TALENTI"/>
    <n v="0.94"/>
    <n v="0"/>
    <n v="0"/>
    <n v="0"/>
  </r>
  <r>
    <n v="68942622"/>
    <x v="6"/>
    <n v="0"/>
    <d v="2023-12-01T00:00:00"/>
    <x v="343"/>
    <x v="1"/>
    <n v="2.55456E-3"/>
    <n v="0"/>
    <s v="TA"/>
    <x v="11"/>
    <x v="47"/>
    <s v="Q4"/>
    <n v="54"/>
    <n v="0"/>
    <s v="TALENTI"/>
    <n v="0.94"/>
    <n v="0"/>
    <n v="0"/>
    <n v="0"/>
  </r>
  <r>
    <n v="69554209"/>
    <x v="6"/>
    <n v="0"/>
    <d v="2023-05-01T00:00:00"/>
    <x v="262"/>
    <x v="1"/>
    <n v="1.1356032000000002E-2"/>
    <n v="0"/>
    <s v="BJ"/>
    <x v="4"/>
    <x v="44"/>
    <s v="Q2"/>
    <n v="72"/>
    <n v="0"/>
    <s v="Repack BJ Pints"/>
    <n v="0.99"/>
    <n v="0"/>
    <n v="0"/>
    <n v="0"/>
  </r>
  <r>
    <n v="69554209"/>
    <x v="6"/>
    <n v="0"/>
    <d v="2023-06-01T00:00:00"/>
    <x v="262"/>
    <x v="1"/>
    <n v="1.1356032000000002E-2"/>
    <n v="0"/>
    <s v="BJ"/>
    <x v="5"/>
    <x v="44"/>
    <s v="Q2"/>
    <n v="72"/>
    <n v="0"/>
    <s v="Repack BJ Pints"/>
    <n v="0.99"/>
    <n v="0"/>
    <n v="0"/>
    <n v="0"/>
  </r>
  <r>
    <n v="69554209"/>
    <x v="6"/>
    <n v="0"/>
    <d v="2023-07-01T00:00:00"/>
    <x v="262"/>
    <x v="1"/>
    <n v="1.1356032000000002E-2"/>
    <n v="0"/>
    <s v="BJ"/>
    <x v="6"/>
    <x v="44"/>
    <s v="Q3"/>
    <n v="72"/>
    <n v="0"/>
    <s v="Repack BJ Pints"/>
    <n v="0.99"/>
    <n v="0"/>
    <n v="0"/>
    <n v="0"/>
  </r>
  <r>
    <n v="69554209"/>
    <x v="6"/>
    <n v="0"/>
    <d v="2023-08-01T00:00:00"/>
    <x v="262"/>
    <x v="1"/>
    <n v="1.1356032000000002E-2"/>
    <n v="0"/>
    <s v="BJ"/>
    <x v="8"/>
    <x v="44"/>
    <s v="Q3"/>
    <n v="72"/>
    <n v="0"/>
    <s v="Repack BJ Pints"/>
    <n v="0.99"/>
    <n v="0"/>
    <n v="0"/>
    <n v="0"/>
  </r>
  <r>
    <n v="69554209"/>
    <x v="6"/>
    <n v="0"/>
    <d v="2023-09-01T00:00:00"/>
    <x v="262"/>
    <x v="1"/>
    <n v="1.1356032000000002E-2"/>
    <n v="0"/>
    <s v="BJ"/>
    <x v="9"/>
    <x v="44"/>
    <s v="Q3"/>
    <n v="72"/>
    <n v="0"/>
    <s v="Repack BJ Pints"/>
    <n v="0.99"/>
    <n v="0"/>
    <n v="0"/>
    <n v="0"/>
  </r>
  <r>
    <n v="69554209"/>
    <x v="6"/>
    <n v="0"/>
    <d v="2023-10-01T00:00:00"/>
    <x v="262"/>
    <x v="1"/>
    <n v="1.1356032000000002E-2"/>
    <n v="0"/>
    <s v="BJ"/>
    <x v="7"/>
    <x v="44"/>
    <s v="Q4"/>
    <n v="72"/>
    <n v="0"/>
    <s v="Repack BJ Pints"/>
    <n v="0.99"/>
    <n v="0"/>
    <n v="0"/>
    <n v="0"/>
  </r>
  <r>
    <n v="69554209"/>
    <x v="6"/>
    <n v="0"/>
    <d v="2023-11-01T00:00:00"/>
    <x v="262"/>
    <x v="1"/>
    <n v="1.1356032000000002E-2"/>
    <n v="0"/>
    <s v="BJ"/>
    <x v="10"/>
    <x v="44"/>
    <s v="Q4"/>
    <n v="72"/>
    <n v="0"/>
    <s v="Repack BJ Pints"/>
    <n v="0.99"/>
    <n v="0"/>
    <n v="0"/>
    <n v="0"/>
  </r>
  <r>
    <n v="69554209"/>
    <x v="6"/>
    <n v="0"/>
    <d v="2023-12-01T00:00:00"/>
    <x v="262"/>
    <x v="1"/>
    <n v="1.1356032000000002E-2"/>
    <n v="0"/>
    <s v="BJ"/>
    <x v="11"/>
    <x v="44"/>
    <s v="Q4"/>
    <n v="72"/>
    <n v="0"/>
    <s v="Repack BJ Pints"/>
    <n v="0.99"/>
    <n v="0"/>
    <n v="0"/>
    <n v="0"/>
  </r>
  <r>
    <n v="68922011"/>
    <x v="16"/>
    <n v="6391"/>
    <d v="2023-05-17T00:00:00"/>
    <x v="261"/>
    <x v="22"/>
    <n v="3.7853440000000004E-3"/>
    <n v="24.192133504000001"/>
    <s v="TA"/>
    <x v="4"/>
    <x v="10"/>
    <s v="Q2"/>
    <n v="255"/>
    <n v="25.062745098039215"/>
    <s v="TALENTI"/>
    <n v="1"/>
    <n v="6391"/>
    <n v="24.192133504000001"/>
    <n v="25.062745098039215"/>
  </r>
  <r>
    <n v="69705264"/>
    <x v="6"/>
    <n v="5150"/>
    <d v="2023-06-01T00:00:00"/>
    <x v="52"/>
    <x v="1"/>
    <n v="5.7599999999999995E-3"/>
    <n v="29.663999999999998"/>
    <s v="MG"/>
    <x v="5"/>
    <x v="20"/>
    <s v="Q2"/>
    <n v="30"/>
    <n v="171.66666666666666"/>
    <s v="Repack MG Sticks"/>
    <n v="0.99"/>
    <n v="5098.5"/>
    <n v="29.367359999999998"/>
    <n v="169.95"/>
  </r>
  <r>
    <n v="69705264"/>
    <x v="6"/>
    <n v="4400"/>
    <d v="2023-07-01T00:00:00"/>
    <x v="52"/>
    <x v="1"/>
    <n v="5.7599999999999995E-3"/>
    <n v="25.343999999999998"/>
    <s v="MG"/>
    <x v="6"/>
    <x v="20"/>
    <s v="Q3"/>
    <n v="30"/>
    <n v="146.66666666666666"/>
    <s v="Repack MG Sticks"/>
    <n v="0.99"/>
    <n v="4356"/>
    <n v="25.090559999999996"/>
    <n v="145.19999999999999"/>
  </r>
  <r>
    <n v="69705264"/>
    <x v="6"/>
    <n v="3350"/>
    <d v="2023-08-01T00:00:00"/>
    <x v="52"/>
    <x v="1"/>
    <n v="5.7599999999999995E-3"/>
    <n v="19.295999999999999"/>
    <s v="MG"/>
    <x v="8"/>
    <x v="20"/>
    <s v="Q3"/>
    <n v="30"/>
    <n v="111.66666666666667"/>
    <s v="Repack MG Sticks"/>
    <n v="0.99"/>
    <n v="3316.5"/>
    <n v="19.10304"/>
    <n v="110.55"/>
  </r>
  <r>
    <n v="69705264"/>
    <x v="6"/>
    <n v="3750"/>
    <d v="2023-09-01T00:00:00"/>
    <x v="52"/>
    <x v="1"/>
    <n v="5.7599999999999995E-3"/>
    <n v="21.599999999999998"/>
    <s v="MG"/>
    <x v="9"/>
    <x v="20"/>
    <s v="Q3"/>
    <n v="30"/>
    <n v="125"/>
    <s v="Repack MG Sticks"/>
    <n v="0.99"/>
    <n v="3712.5"/>
    <n v="21.383999999999997"/>
    <n v="123.75"/>
  </r>
  <r>
    <n v="69705264"/>
    <x v="6"/>
    <n v="4400"/>
    <d v="2023-10-01T00:00:00"/>
    <x v="52"/>
    <x v="1"/>
    <n v="5.7599999999999995E-3"/>
    <n v="25.343999999999998"/>
    <s v="MG"/>
    <x v="7"/>
    <x v="20"/>
    <s v="Q4"/>
    <n v="30"/>
    <n v="146.66666666666666"/>
    <s v="Repack MG Sticks"/>
    <n v="0.99"/>
    <n v="4356"/>
    <n v="25.090559999999996"/>
    <n v="145.19999999999999"/>
  </r>
  <r>
    <n v="69705264"/>
    <x v="6"/>
    <n v="2250"/>
    <d v="2023-11-01T00:00:00"/>
    <x v="52"/>
    <x v="1"/>
    <n v="5.7599999999999995E-3"/>
    <n v="12.959999999999999"/>
    <s v="MG"/>
    <x v="10"/>
    <x v="20"/>
    <s v="Q4"/>
    <n v="30"/>
    <n v="75"/>
    <s v="Repack MG Sticks"/>
    <n v="0.99"/>
    <n v="2227.5"/>
    <n v="12.830399999999999"/>
    <n v="74.25"/>
  </r>
  <r>
    <n v="69705264"/>
    <x v="6"/>
    <n v="2625"/>
    <d v="2023-12-01T00:00:00"/>
    <x v="52"/>
    <x v="1"/>
    <n v="5.7599999999999995E-3"/>
    <n v="15.12"/>
    <s v="MG"/>
    <x v="11"/>
    <x v="20"/>
    <s v="Q4"/>
    <n v="30"/>
    <n v="87.5"/>
    <s v="Repack MG Sticks"/>
    <n v="0.99"/>
    <n v="2598.75"/>
    <n v="14.9688"/>
    <n v="86.625"/>
  </r>
  <r>
    <n v="68922108"/>
    <x v="16"/>
    <n v="25629"/>
    <d v="2023-05-17T00:00:00"/>
    <x v="184"/>
    <x v="21"/>
    <n v="3.7839999999999996E-3"/>
    <n v="96.980135999999987"/>
    <s v="TA"/>
    <x v="4"/>
    <x v="10"/>
    <s v="Q2"/>
    <n v="255"/>
    <n v="100.50588235294117"/>
    <s v="TALENTI"/>
    <n v="1"/>
    <n v="25629"/>
    <n v="96.980135999999987"/>
    <n v="100.50588235294117"/>
  </r>
  <r>
    <n v="69572658"/>
    <x v="16"/>
    <n v="9668"/>
    <d v="2023-05-17T00:00:00"/>
    <x v="166"/>
    <x v="5"/>
    <n v="2.1520000000000003E-3"/>
    <n v="20.805536000000004"/>
    <s v="MG"/>
    <x v="4"/>
    <x v="5"/>
    <s v="Q2"/>
    <n v="210"/>
    <n v="46.038095238095238"/>
    <s v="MG Sticks"/>
    <n v="1"/>
    <n v="9668"/>
    <n v="20.805536000000004"/>
    <n v="46.038095238095238"/>
  </r>
  <r>
    <n v="69621212"/>
    <x v="16"/>
    <n v="4113"/>
    <d v="2023-05-17T00:00:00"/>
    <x v="29"/>
    <x v="28"/>
    <n v="5.2680000000000001E-3"/>
    <n v="21.667284000000002"/>
    <s v="PG"/>
    <x v="4"/>
    <x v="14"/>
    <s v="Q2"/>
    <n v="130"/>
    <n v="31.638461538461538"/>
    <s v="PG"/>
    <n v="1"/>
    <n v="4113"/>
    <n v="21.667284000000002"/>
    <n v="31.638461538461538"/>
  </r>
  <r>
    <n v="69677917"/>
    <x v="16"/>
    <n v="4671"/>
    <d v="2023-05-17T00:00:00"/>
    <x v="30"/>
    <x v="30"/>
    <n v="5.2680000000000001E-3"/>
    <n v="24.606828"/>
    <s v="PS"/>
    <x v="4"/>
    <x v="14"/>
    <s v="Q2"/>
    <n v="108"/>
    <n v="43.25"/>
    <s v="PG"/>
    <n v="1"/>
    <n v="4671"/>
    <n v="24.606828"/>
    <n v="43.25"/>
  </r>
  <r>
    <n v="69691840"/>
    <x v="16"/>
    <n v="0"/>
    <d v="2023-05-17T00:00:00"/>
    <x v="106"/>
    <x v="21"/>
    <n v="3.7839999999999996E-3"/>
    <n v="0"/>
    <s v="TA"/>
    <x v="4"/>
    <x v="10"/>
    <s v="Q2"/>
    <n v="255"/>
    <n v="0"/>
    <s v="TALENTI"/>
    <n v="1"/>
    <n v="0"/>
    <n v="0"/>
    <n v="0"/>
  </r>
  <r>
    <n v="69717803"/>
    <x v="16"/>
    <n v="5321"/>
    <d v="2023-05-17T00:00:00"/>
    <x v="69"/>
    <x v="31"/>
    <n v="4.2560000000000002E-3"/>
    <n v="22.646176000000001"/>
    <s v="BR"/>
    <x v="4"/>
    <x v="5"/>
    <s v="Q2"/>
    <n v="143"/>
    <n v="37.209790209790206"/>
    <s v="MG Sticks"/>
    <n v="1"/>
    <n v="5321"/>
    <n v="22.646176000000001"/>
    <n v="37.209790209790206"/>
  </r>
  <r>
    <n v="68829236"/>
    <x v="1"/>
    <n v="317"/>
    <d v="2023-01-01T00:00:00"/>
    <x v="365"/>
    <x v="1"/>
    <n v="1.98E-3"/>
    <n v="0.62766"/>
    <s v="MG"/>
    <x v="0"/>
    <x v="22"/>
    <s v="Q1"/>
    <n v="160"/>
    <n v="1.98125"/>
    <s v="MG Sticks"/>
    <n v="1"/>
    <n v="317"/>
    <n v="0.62766"/>
    <n v="1.98125"/>
  </r>
  <r>
    <n v="84164936"/>
    <x v="17"/>
    <n v="240"/>
    <d v="2023-05-17T00:00:00"/>
    <x v="162"/>
    <x v="42"/>
    <n v="3.7853439999999999E-3"/>
    <n v="0.90848255999999994"/>
    <s v="BJ"/>
    <x v="4"/>
    <x v="15"/>
    <s v="Q2"/>
    <n v="240"/>
    <n v="1"/>
    <s v="BJ PTS"/>
    <n v="1"/>
    <n v="240"/>
    <n v="0.90848255999999994"/>
    <n v="1"/>
  </r>
  <r>
    <n v="67309841"/>
    <x v="16"/>
    <n v="5282"/>
    <d v="2023-05-17T00:00:00"/>
    <x v="32"/>
    <x v="13"/>
    <n v="8.5199999999999998E-3"/>
    <n v="45.00264"/>
    <s v="BR"/>
    <x v="4"/>
    <x v="2"/>
    <s v="Q2"/>
    <n v="154"/>
    <n v="34.298701298701296"/>
    <s v="48oz"/>
    <n v="1"/>
    <n v="5282"/>
    <n v="45.00264"/>
    <n v="34.298701298701296"/>
  </r>
  <r>
    <n v="84141101"/>
    <x v="17"/>
    <n v="2640"/>
    <d v="2023-05-17T00:00:00"/>
    <x v="86"/>
    <x v="33"/>
    <n v="3.7853439999999999E-3"/>
    <n v="9.9933081599999998"/>
    <s v="BJ"/>
    <x v="4"/>
    <x v="15"/>
    <s v="Q2"/>
    <n v="240"/>
    <n v="11"/>
    <s v="BJ PTS"/>
    <n v="1"/>
    <n v="2640"/>
    <n v="9.9933081599999998"/>
    <n v="11"/>
  </r>
  <r>
    <n v="68871168"/>
    <x v="1"/>
    <n v="648"/>
    <d v="2023-04-01T00:00:00"/>
    <x v="57"/>
    <x v="0"/>
    <n v="6.0035555555555554E-3"/>
    <n v="3.890304"/>
    <s v="KL"/>
    <x v="1"/>
    <x v="1"/>
    <s v="Q2"/>
    <n v="108"/>
    <n v="6"/>
    <s v="KL Sandwiches"/>
    <n v="1"/>
    <n v="648"/>
    <n v="3.890304"/>
    <n v="6"/>
  </r>
  <r>
    <n v="84139320"/>
    <x v="23"/>
    <n v="625"/>
    <d v="2023-08-01T00:00:00"/>
    <x v="425"/>
    <x v="1"/>
    <e v="#N/A"/>
    <e v="#N/A"/>
    <e v="#N/A"/>
    <x v="8"/>
    <x v="52"/>
    <s v="Q3"/>
    <e v="#N/A"/>
    <e v="#N/A"/>
    <e v="#N/A"/>
    <e v="#N/A"/>
    <e v="#N/A"/>
    <e v="#N/A"/>
    <e v="#N/A"/>
  </r>
  <r>
    <n v="84139320"/>
    <x v="23"/>
    <n v="625"/>
    <d v="2023-09-01T00:00:00"/>
    <x v="425"/>
    <x v="1"/>
    <e v="#N/A"/>
    <e v="#N/A"/>
    <e v="#N/A"/>
    <x v="9"/>
    <x v="52"/>
    <s v="Q3"/>
    <e v="#N/A"/>
    <e v="#N/A"/>
    <e v="#N/A"/>
    <e v="#N/A"/>
    <e v="#N/A"/>
    <e v="#N/A"/>
    <e v="#N/A"/>
  </r>
  <r>
    <n v="84139320"/>
    <x v="23"/>
    <n v="500"/>
    <d v="2023-10-01T00:00:00"/>
    <x v="425"/>
    <x v="1"/>
    <e v="#N/A"/>
    <e v="#N/A"/>
    <e v="#N/A"/>
    <x v="7"/>
    <x v="52"/>
    <s v="Q4"/>
    <e v="#N/A"/>
    <e v="#N/A"/>
    <e v="#N/A"/>
    <e v="#N/A"/>
    <e v="#N/A"/>
    <e v="#N/A"/>
    <e v="#N/A"/>
  </r>
  <r>
    <n v="84139320"/>
    <x v="23"/>
    <n v="500"/>
    <d v="2023-11-01T00:00:00"/>
    <x v="425"/>
    <x v="1"/>
    <e v="#N/A"/>
    <e v="#N/A"/>
    <e v="#N/A"/>
    <x v="10"/>
    <x v="52"/>
    <s v="Q4"/>
    <e v="#N/A"/>
    <e v="#N/A"/>
    <e v="#N/A"/>
    <e v="#N/A"/>
    <e v="#N/A"/>
    <e v="#N/A"/>
    <e v="#N/A"/>
  </r>
  <r>
    <n v="84139320"/>
    <x v="23"/>
    <n v="500"/>
    <d v="2023-12-01T00:00:00"/>
    <x v="425"/>
    <x v="1"/>
    <e v="#N/A"/>
    <e v="#N/A"/>
    <e v="#N/A"/>
    <x v="11"/>
    <x v="52"/>
    <s v="Q4"/>
    <e v="#N/A"/>
    <e v="#N/A"/>
    <e v="#N/A"/>
    <e v="#N/A"/>
    <e v="#N/A"/>
    <e v="#N/A"/>
    <e v="#N/A"/>
  </r>
  <r>
    <n v="84139352"/>
    <x v="23"/>
    <n v="250"/>
    <d v="2023-08-01T00:00:00"/>
    <x v="426"/>
    <x v="1"/>
    <e v="#N/A"/>
    <e v="#N/A"/>
    <e v="#N/A"/>
    <x v="8"/>
    <x v="52"/>
    <s v="Q3"/>
    <e v="#N/A"/>
    <e v="#N/A"/>
    <e v="#N/A"/>
    <e v="#N/A"/>
    <e v="#N/A"/>
    <e v="#N/A"/>
    <e v="#N/A"/>
  </r>
  <r>
    <n v="84139352"/>
    <x v="23"/>
    <n v="125"/>
    <d v="2023-09-01T00:00:00"/>
    <x v="426"/>
    <x v="1"/>
    <e v="#N/A"/>
    <e v="#N/A"/>
    <e v="#N/A"/>
    <x v="9"/>
    <x v="52"/>
    <s v="Q3"/>
    <e v="#N/A"/>
    <e v="#N/A"/>
    <e v="#N/A"/>
    <e v="#N/A"/>
    <e v="#N/A"/>
    <e v="#N/A"/>
    <e v="#N/A"/>
  </r>
  <r>
    <n v="84139352"/>
    <x v="23"/>
    <n v="125"/>
    <d v="2023-10-01T00:00:00"/>
    <x v="426"/>
    <x v="1"/>
    <e v="#N/A"/>
    <e v="#N/A"/>
    <e v="#N/A"/>
    <x v="7"/>
    <x v="52"/>
    <s v="Q4"/>
    <e v="#N/A"/>
    <e v="#N/A"/>
    <e v="#N/A"/>
    <e v="#N/A"/>
    <e v="#N/A"/>
    <e v="#N/A"/>
    <e v="#N/A"/>
  </r>
  <r>
    <n v="84139352"/>
    <x v="23"/>
    <n v="125"/>
    <d v="2023-11-01T00:00:00"/>
    <x v="426"/>
    <x v="1"/>
    <e v="#N/A"/>
    <e v="#N/A"/>
    <e v="#N/A"/>
    <x v="10"/>
    <x v="52"/>
    <s v="Q4"/>
    <e v="#N/A"/>
    <e v="#N/A"/>
    <e v="#N/A"/>
    <e v="#N/A"/>
    <e v="#N/A"/>
    <e v="#N/A"/>
    <e v="#N/A"/>
  </r>
  <r>
    <n v="84143840"/>
    <x v="23"/>
    <n v="1000"/>
    <d v="2023-08-01T00:00:00"/>
    <x v="427"/>
    <x v="1"/>
    <e v="#N/A"/>
    <e v="#N/A"/>
    <e v="#N/A"/>
    <x v="8"/>
    <x v="52"/>
    <s v="Q3"/>
    <e v="#N/A"/>
    <e v="#N/A"/>
    <e v="#N/A"/>
    <e v="#N/A"/>
    <e v="#N/A"/>
    <e v="#N/A"/>
    <e v="#N/A"/>
  </r>
  <r>
    <n v="84143840"/>
    <x v="23"/>
    <n v="1125"/>
    <d v="2023-09-01T00:00:00"/>
    <x v="427"/>
    <x v="1"/>
    <e v="#N/A"/>
    <e v="#N/A"/>
    <e v="#N/A"/>
    <x v="9"/>
    <x v="52"/>
    <s v="Q3"/>
    <e v="#N/A"/>
    <e v="#N/A"/>
    <e v="#N/A"/>
    <e v="#N/A"/>
    <e v="#N/A"/>
    <e v="#N/A"/>
    <e v="#N/A"/>
  </r>
  <r>
    <n v="84143840"/>
    <x v="23"/>
    <n v="875"/>
    <d v="2023-10-01T00:00:00"/>
    <x v="427"/>
    <x v="1"/>
    <e v="#N/A"/>
    <e v="#N/A"/>
    <e v="#N/A"/>
    <x v="7"/>
    <x v="52"/>
    <s v="Q4"/>
    <e v="#N/A"/>
    <e v="#N/A"/>
    <e v="#N/A"/>
    <e v="#N/A"/>
    <e v="#N/A"/>
    <e v="#N/A"/>
    <e v="#N/A"/>
  </r>
  <r>
    <n v="84143840"/>
    <x v="23"/>
    <n v="1000"/>
    <d v="2023-11-01T00:00:00"/>
    <x v="427"/>
    <x v="1"/>
    <e v="#N/A"/>
    <e v="#N/A"/>
    <e v="#N/A"/>
    <x v="10"/>
    <x v="52"/>
    <s v="Q4"/>
    <e v="#N/A"/>
    <e v="#N/A"/>
    <e v="#N/A"/>
    <e v="#N/A"/>
    <e v="#N/A"/>
    <e v="#N/A"/>
    <e v="#N/A"/>
  </r>
  <r>
    <n v="84143840"/>
    <x v="23"/>
    <n v="875"/>
    <d v="2023-12-01T00:00:00"/>
    <x v="427"/>
    <x v="1"/>
    <e v="#N/A"/>
    <e v="#N/A"/>
    <e v="#N/A"/>
    <x v="11"/>
    <x v="52"/>
    <s v="Q4"/>
    <e v="#N/A"/>
    <e v="#N/A"/>
    <e v="#N/A"/>
    <e v="#N/A"/>
    <e v="#N/A"/>
    <e v="#N/A"/>
    <e v="#N/A"/>
  </r>
  <r>
    <n v="84144453"/>
    <x v="23"/>
    <n v="3750"/>
    <d v="2023-07-01T00:00:00"/>
    <x v="428"/>
    <x v="1"/>
    <e v="#N/A"/>
    <e v="#N/A"/>
    <e v="#N/A"/>
    <x v="6"/>
    <x v="52"/>
    <s v="Q3"/>
    <e v="#N/A"/>
    <e v="#N/A"/>
    <e v="#N/A"/>
    <e v="#N/A"/>
    <e v="#N/A"/>
    <e v="#N/A"/>
    <e v="#N/A"/>
  </r>
  <r>
    <n v="84144453"/>
    <x v="23"/>
    <n v="15000"/>
    <d v="2023-08-01T00:00:00"/>
    <x v="428"/>
    <x v="1"/>
    <e v="#N/A"/>
    <e v="#N/A"/>
    <e v="#N/A"/>
    <x v="8"/>
    <x v="52"/>
    <s v="Q3"/>
    <e v="#N/A"/>
    <e v="#N/A"/>
    <e v="#N/A"/>
    <e v="#N/A"/>
    <e v="#N/A"/>
    <e v="#N/A"/>
    <e v="#N/A"/>
  </r>
  <r>
    <n v="84144453"/>
    <x v="23"/>
    <n v="15000"/>
    <d v="2023-09-01T00:00:00"/>
    <x v="428"/>
    <x v="1"/>
    <e v="#N/A"/>
    <e v="#N/A"/>
    <e v="#N/A"/>
    <x v="9"/>
    <x v="52"/>
    <s v="Q3"/>
    <e v="#N/A"/>
    <e v="#N/A"/>
    <e v="#N/A"/>
    <e v="#N/A"/>
    <e v="#N/A"/>
    <e v="#N/A"/>
    <e v="#N/A"/>
  </r>
  <r>
    <n v="84144453"/>
    <x v="23"/>
    <n v="15000"/>
    <d v="2023-10-01T00:00:00"/>
    <x v="428"/>
    <x v="1"/>
    <e v="#N/A"/>
    <e v="#N/A"/>
    <e v="#N/A"/>
    <x v="7"/>
    <x v="52"/>
    <s v="Q4"/>
    <e v="#N/A"/>
    <e v="#N/A"/>
    <e v="#N/A"/>
    <e v="#N/A"/>
    <e v="#N/A"/>
    <e v="#N/A"/>
    <e v="#N/A"/>
  </r>
  <r>
    <n v="84144453"/>
    <x v="23"/>
    <n v="15000"/>
    <d v="2023-11-01T00:00:00"/>
    <x v="428"/>
    <x v="1"/>
    <e v="#N/A"/>
    <e v="#N/A"/>
    <e v="#N/A"/>
    <x v="10"/>
    <x v="52"/>
    <s v="Q4"/>
    <e v="#N/A"/>
    <e v="#N/A"/>
    <e v="#N/A"/>
    <e v="#N/A"/>
    <e v="#N/A"/>
    <e v="#N/A"/>
    <e v="#N/A"/>
  </r>
  <r>
    <n v="84144453"/>
    <x v="23"/>
    <n v="15000"/>
    <d v="2023-12-01T00:00:00"/>
    <x v="428"/>
    <x v="1"/>
    <e v="#N/A"/>
    <e v="#N/A"/>
    <e v="#N/A"/>
    <x v="11"/>
    <x v="52"/>
    <s v="Q4"/>
    <e v="#N/A"/>
    <e v="#N/A"/>
    <e v="#N/A"/>
    <e v="#N/A"/>
    <e v="#N/A"/>
    <e v="#N/A"/>
    <e v="#N/A"/>
  </r>
  <r>
    <n v="84150055"/>
    <x v="23"/>
    <n v="4250"/>
    <d v="2023-07-01T00:00:00"/>
    <x v="429"/>
    <x v="1"/>
    <e v="#N/A"/>
    <e v="#N/A"/>
    <e v="#N/A"/>
    <x v="6"/>
    <x v="52"/>
    <s v="Q3"/>
    <e v="#N/A"/>
    <e v="#N/A"/>
    <e v="#N/A"/>
    <e v="#N/A"/>
    <e v="#N/A"/>
    <e v="#N/A"/>
    <e v="#N/A"/>
  </r>
  <r>
    <n v="84150055"/>
    <x v="23"/>
    <n v="30000"/>
    <d v="2023-08-01T00:00:00"/>
    <x v="429"/>
    <x v="1"/>
    <e v="#N/A"/>
    <e v="#N/A"/>
    <e v="#N/A"/>
    <x v="8"/>
    <x v="52"/>
    <s v="Q3"/>
    <e v="#N/A"/>
    <e v="#N/A"/>
    <e v="#N/A"/>
    <e v="#N/A"/>
    <e v="#N/A"/>
    <e v="#N/A"/>
    <e v="#N/A"/>
  </r>
  <r>
    <n v="84150055"/>
    <x v="23"/>
    <n v="30000"/>
    <d v="2023-09-01T00:00:00"/>
    <x v="429"/>
    <x v="1"/>
    <e v="#N/A"/>
    <e v="#N/A"/>
    <e v="#N/A"/>
    <x v="9"/>
    <x v="52"/>
    <s v="Q3"/>
    <e v="#N/A"/>
    <e v="#N/A"/>
    <e v="#N/A"/>
    <e v="#N/A"/>
    <e v="#N/A"/>
    <e v="#N/A"/>
    <e v="#N/A"/>
  </r>
  <r>
    <n v="84150055"/>
    <x v="23"/>
    <n v="30000"/>
    <d v="2023-10-01T00:00:00"/>
    <x v="429"/>
    <x v="1"/>
    <e v="#N/A"/>
    <e v="#N/A"/>
    <e v="#N/A"/>
    <x v="7"/>
    <x v="52"/>
    <s v="Q4"/>
    <e v="#N/A"/>
    <e v="#N/A"/>
    <e v="#N/A"/>
    <e v="#N/A"/>
    <e v="#N/A"/>
    <e v="#N/A"/>
    <e v="#N/A"/>
  </r>
  <r>
    <n v="84150055"/>
    <x v="23"/>
    <n v="30000"/>
    <d v="2023-11-01T00:00:00"/>
    <x v="429"/>
    <x v="1"/>
    <e v="#N/A"/>
    <e v="#N/A"/>
    <e v="#N/A"/>
    <x v="10"/>
    <x v="52"/>
    <s v="Q4"/>
    <e v="#N/A"/>
    <e v="#N/A"/>
    <e v="#N/A"/>
    <e v="#N/A"/>
    <e v="#N/A"/>
    <e v="#N/A"/>
    <e v="#N/A"/>
  </r>
  <r>
    <n v="84150055"/>
    <x v="23"/>
    <n v="30000"/>
    <d v="2023-12-01T00:00:00"/>
    <x v="429"/>
    <x v="1"/>
    <e v="#N/A"/>
    <e v="#N/A"/>
    <e v="#N/A"/>
    <x v="11"/>
    <x v="52"/>
    <s v="Q4"/>
    <e v="#N/A"/>
    <e v="#N/A"/>
    <e v="#N/A"/>
    <e v="#N/A"/>
    <e v="#N/A"/>
    <e v="#N/A"/>
    <e v="#N/A"/>
  </r>
  <r>
    <n v="84155110"/>
    <x v="23"/>
    <n v="375"/>
    <d v="2023-08-01T00:00:00"/>
    <x v="430"/>
    <x v="1"/>
    <e v="#N/A"/>
    <e v="#N/A"/>
    <e v="#N/A"/>
    <x v="8"/>
    <x v="52"/>
    <s v="Q3"/>
    <e v="#N/A"/>
    <e v="#N/A"/>
    <e v="#N/A"/>
    <e v="#N/A"/>
    <e v="#N/A"/>
    <e v="#N/A"/>
    <e v="#N/A"/>
  </r>
  <r>
    <n v="84155110"/>
    <x v="23"/>
    <n v="375"/>
    <d v="2023-09-01T00:00:00"/>
    <x v="430"/>
    <x v="1"/>
    <e v="#N/A"/>
    <e v="#N/A"/>
    <e v="#N/A"/>
    <x v="9"/>
    <x v="52"/>
    <s v="Q3"/>
    <e v="#N/A"/>
    <e v="#N/A"/>
    <e v="#N/A"/>
    <e v="#N/A"/>
    <e v="#N/A"/>
    <e v="#N/A"/>
    <e v="#N/A"/>
  </r>
  <r>
    <n v="84155110"/>
    <x v="23"/>
    <n v="375"/>
    <d v="2023-10-01T00:00:00"/>
    <x v="430"/>
    <x v="1"/>
    <e v="#N/A"/>
    <e v="#N/A"/>
    <e v="#N/A"/>
    <x v="7"/>
    <x v="52"/>
    <s v="Q4"/>
    <e v="#N/A"/>
    <e v="#N/A"/>
    <e v="#N/A"/>
    <e v="#N/A"/>
    <e v="#N/A"/>
    <e v="#N/A"/>
    <e v="#N/A"/>
  </r>
  <r>
    <n v="84155110"/>
    <x v="23"/>
    <n v="375"/>
    <d v="2023-11-01T00:00:00"/>
    <x v="430"/>
    <x v="1"/>
    <e v="#N/A"/>
    <e v="#N/A"/>
    <e v="#N/A"/>
    <x v="10"/>
    <x v="52"/>
    <s v="Q4"/>
    <e v="#N/A"/>
    <e v="#N/A"/>
    <e v="#N/A"/>
    <e v="#N/A"/>
    <e v="#N/A"/>
    <e v="#N/A"/>
    <e v="#N/A"/>
  </r>
  <r>
    <n v="84155110"/>
    <x v="23"/>
    <n v="375"/>
    <d v="2023-12-01T00:00:00"/>
    <x v="430"/>
    <x v="1"/>
    <e v="#N/A"/>
    <e v="#N/A"/>
    <e v="#N/A"/>
    <x v="11"/>
    <x v="52"/>
    <s v="Q4"/>
    <e v="#N/A"/>
    <e v="#N/A"/>
    <e v="#N/A"/>
    <e v="#N/A"/>
    <e v="#N/A"/>
    <e v="#N/A"/>
    <e v="#N/A"/>
  </r>
  <r>
    <n v="84155743"/>
    <x v="23"/>
    <n v="11250"/>
    <d v="2023-08-01T00:00:00"/>
    <x v="431"/>
    <x v="1"/>
    <e v="#N/A"/>
    <e v="#N/A"/>
    <e v="#N/A"/>
    <x v="8"/>
    <x v="52"/>
    <s v="Q3"/>
    <e v="#N/A"/>
    <e v="#N/A"/>
    <e v="#N/A"/>
    <e v="#N/A"/>
    <e v="#N/A"/>
    <e v="#N/A"/>
    <e v="#N/A"/>
  </r>
  <r>
    <n v="84155743"/>
    <x v="23"/>
    <n v="15000"/>
    <d v="2023-09-01T00:00:00"/>
    <x v="431"/>
    <x v="1"/>
    <e v="#N/A"/>
    <e v="#N/A"/>
    <e v="#N/A"/>
    <x v="9"/>
    <x v="52"/>
    <s v="Q3"/>
    <e v="#N/A"/>
    <e v="#N/A"/>
    <e v="#N/A"/>
    <e v="#N/A"/>
    <e v="#N/A"/>
    <e v="#N/A"/>
    <e v="#N/A"/>
  </r>
  <r>
    <n v="84155743"/>
    <x v="23"/>
    <n v="15000"/>
    <d v="2023-10-01T00:00:00"/>
    <x v="431"/>
    <x v="1"/>
    <e v="#N/A"/>
    <e v="#N/A"/>
    <e v="#N/A"/>
    <x v="7"/>
    <x v="52"/>
    <s v="Q4"/>
    <e v="#N/A"/>
    <e v="#N/A"/>
    <e v="#N/A"/>
    <e v="#N/A"/>
    <e v="#N/A"/>
    <e v="#N/A"/>
    <e v="#N/A"/>
  </r>
  <r>
    <n v="84155743"/>
    <x v="23"/>
    <n v="15000"/>
    <d v="2023-11-01T00:00:00"/>
    <x v="431"/>
    <x v="1"/>
    <e v="#N/A"/>
    <e v="#N/A"/>
    <e v="#N/A"/>
    <x v="10"/>
    <x v="52"/>
    <s v="Q4"/>
    <e v="#N/A"/>
    <e v="#N/A"/>
    <e v="#N/A"/>
    <e v="#N/A"/>
    <e v="#N/A"/>
    <e v="#N/A"/>
    <e v="#N/A"/>
  </r>
  <r>
    <n v="84155743"/>
    <x v="23"/>
    <n v="15000"/>
    <d v="2023-12-01T00:00:00"/>
    <x v="431"/>
    <x v="1"/>
    <e v="#N/A"/>
    <e v="#N/A"/>
    <e v="#N/A"/>
    <x v="11"/>
    <x v="52"/>
    <s v="Q4"/>
    <e v="#N/A"/>
    <e v="#N/A"/>
    <e v="#N/A"/>
    <e v="#N/A"/>
    <e v="#N/A"/>
    <e v="#N/A"/>
    <e v="#N/A"/>
  </r>
  <r>
    <n v="84163899"/>
    <x v="23"/>
    <n v="500"/>
    <d v="2023-08-01T00:00:00"/>
    <x v="432"/>
    <x v="1"/>
    <e v="#N/A"/>
    <e v="#N/A"/>
    <e v="#N/A"/>
    <x v="8"/>
    <x v="52"/>
    <s v="Q3"/>
    <e v="#N/A"/>
    <e v="#N/A"/>
    <e v="#N/A"/>
    <e v="#N/A"/>
    <e v="#N/A"/>
    <e v="#N/A"/>
    <e v="#N/A"/>
  </r>
  <r>
    <n v="84163899"/>
    <x v="23"/>
    <n v="375"/>
    <d v="2023-09-01T00:00:00"/>
    <x v="432"/>
    <x v="1"/>
    <e v="#N/A"/>
    <e v="#N/A"/>
    <e v="#N/A"/>
    <x v="9"/>
    <x v="52"/>
    <s v="Q3"/>
    <e v="#N/A"/>
    <e v="#N/A"/>
    <e v="#N/A"/>
    <e v="#N/A"/>
    <e v="#N/A"/>
    <e v="#N/A"/>
    <e v="#N/A"/>
  </r>
  <r>
    <n v="84163899"/>
    <x v="23"/>
    <n v="375"/>
    <d v="2023-10-01T00:00:00"/>
    <x v="432"/>
    <x v="1"/>
    <e v="#N/A"/>
    <e v="#N/A"/>
    <e v="#N/A"/>
    <x v="7"/>
    <x v="52"/>
    <s v="Q4"/>
    <e v="#N/A"/>
    <e v="#N/A"/>
    <e v="#N/A"/>
    <e v="#N/A"/>
    <e v="#N/A"/>
    <e v="#N/A"/>
    <e v="#N/A"/>
  </r>
  <r>
    <n v="84163899"/>
    <x v="23"/>
    <n v="500"/>
    <d v="2023-11-01T00:00:00"/>
    <x v="432"/>
    <x v="1"/>
    <e v="#N/A"/>
    <e v="#N/A"/>
    <e v="#N/A"/>
    <x v="10"/>
    <x v="52"/>
    <s v="Q4"/>
    <e v="#N/A"/>
    <e v="#N/A"/>
    <e v="#N/A"/>
    <e v="#N/A"/>
    <e v="#N/A"/>
    <e v="#N/A"/>
    <e v="#N/A"/>
  </r>
  <r>
    <n v="84163899"/>
    <x v="23"/>
    <n v="375"/>
    <d v="2023-12-01T00:00:00"/>
    <x v="432"/>
    <x v="1"/>
    <e v="#N/A"/>
    <e v="#N/A"/>
    <e v="#N/A"/>
    <x v="11"/>
    <x v="52"/>
    <s v="Q4"/>
    <e v="#N/A"/>
    <e v="#N/A"/>
    <e v="#N/A"/>
    <e v="#N/A"/>
    <e v="#N/A"/>
    <e v="#N/A"/>
    <e v="#N/A"/>
  </r>
  <r>
    <n v="84169346"/>
    <x v="23"/>
    <n v="125"/>
    <d v="2023-07-01T00:00:00"/>
    <x v="433"/>
    <x v="1"/>
    <e v="#N/A"/>
    <e v="#N/A"/>
    <e v="#N/A"/>
    <x v="6"/>
    <x v="52"/>
    <s v="Q3"/>
    <e v="#N/A"/>
    <e v="#N/A"/>
    <e v="#N/A"/>
    <e v="#N/A"/>
    <e v="#N/A"/>
    <e v="#N/A"/>
    <e v="#N/A"/>
  </r>
  <r>
    <n v="84169346"/>
    <x v="23"/>
    <n v="625"/>
    <d v="2023-08-01T00:00:00"/>
    <x v="433"/>
    <x v="1"/>
    <e v="#N/A"/>
    <e v="#N/A"/>
    <e v="#N/A"/>
    <x v="8"/>
    <x v="52"/>
    <s v="Q3"/>
    <e v="#N/A"/>
    <e v="#N/A"/>
    <e v="#N/A"/>
    <e v="#N/A"/>
    <e v="#N/A"/>
    <e v="#N/A"/>
    <e v="#N/A"/>
  </r>
  <r>
    <n v="84169346"/>
    <x v="23"/>
    <n v="625"/>
    <d v="2023-09-01T00:00:00"/>
    <x v="433"/>
    <x v="1"/>
    <e v="#N/A"/>
    <e v="#N/A"/>
    <e v="#N/A"/>
    <x v="9"/>
    <x v="52"/>
    <s v="Q3"/>
    <e v="#N/A"/>
    <e v="#N/A"/>
    <e v="#N/A"/>
    <e v="#N/A"/>
    <e v="#N/A"/>
    <e v="#N/A"/>
    <e v="#N/A"/>
  </r>
  <r>
    <n v="84169346"/>
    <x v="23"/>
    <n v="500"/>
    <d v="2023-10-01T00:00:00"/>
    <x v="433"/>
    <x v="1"/>
    <e v="#N/A"/>
    <e v="#N/A"/>
    <e v="#N/A"/>
    <x v="7"/>
    <x v="52"/>
    <s v="Q4"/>
    <e v="#N/A"/>
    <e v="#N/A"/>
    <e v="#N/A"/>
    <e v="#N/A"/>
    <e v="#N/A"/>
    <e v="#N/A"/>
    <e v="#N/A"/>
  </r>
  <r>
    <n v="84169346"/>
    <x v="23"/>
    <n v="500"/>
    <d v="2023-11-01T00:00:00"/>
    <x v="433"/>
    <x v="1"/>
    <e v="#N/A"/>
    <e v="#N/A"/>
    <e v="#N/A"/>
    <x v="10"/>
    <x v="52"/>
    <s v="Q4"/>
    <e v="#N/A"/>
    <e v="#N/A"/>
    <e v="#N/A"/>
    <e v="#N/A"/>
    <e v="#N/A"/>
    <e v="#N/A"/>
    <e v="#N/A"/>
  </r>
  <r>
    <n v="84169346"/>
    <x v="23"/>
    <n v="375"/>
    <d v="2023-12-01T00:00:00"/>
    <x v="433"/>
    <x v="1"/>
    <e v="#N/A"/>
    <e v="#N/A"/>
    <e v="#N/A"/>
    <x v="11"/>
    <x v="52"/>
    <s v="Q4"/>
    <e v="#N/A"/>
    <e v="#N/A"/>
    <e v="#N/A"/>
    <e v="#N/A"/>
    <e v="#N/A"/>
    <e v="#N/A"/>
    <e v="#N/A"/>
  </r>
  <r>
    <n v="68521425"/>
    <x v="0"/>
    <n v="100000"/>
    <d v="2023-06-01T00:00:00"/>
    <x v="0"/>
    <x v="1"/>
    <n v="4.248E-3"/>
    <n v="424.8"/>
    <s v="GH"/>
    <x v="5"/>
    <x v="0"/>
    <s v="Q2"/>
    <n v="216"/>
    <n v="462.96296296296299"/>
    <s v="Giant SW"/>
    <n v="0.95"/>
    <n v="95000"/>
    <n v="403.56"/>
    <n v="439.81481481481484"/>
  </r>
  <r>
    <n v="68521425"/>
    <x v="0"/>
    <n v="50000"/>
    <d v="2023-07-01T00:00:00"/>
    <x v="0"/>
    <x v="1"/>
    <n v="4.248E-3"/>
    <n v="212.4"/>
    <s v="GH"/>
    <x v="6"/>
    <x v="0"/>
    <s v="Q3"/>
    <n v="216"/>
    <n v="231.4814814814815"/>
    <s v="Giant SW"/>
    <n v="0.95"/>
    <n v="47500"/>
    <n v="201.78"/>
    <n v="219.90740740740742"/>
  </r>
  <r>
    <n v="68521425"/>
    <x v="0"/>
    <n v="100000"/>
    <d v="2023-08-01T00:00:00"/>
    <x v="0"/>
    <x v="1"/>
    <n v="4.248E-3"/>
    <n v="424.8"/>
    <s v="GH"/>
    <x v="8"/>
    <x v="0"/>
    <s v="Q3"/>
    <n v="216"/>
    <n v="462.96296296296299"/>
    <s v="Giant SW"/>
    <n v="0.95"/>
    <n v="95000"/>
    <n v="403.56"/>
    <n v="439.81481481481484"/>
  </r>
  <r>
    <n v="68521425"/>
    <x v="0"/>
    <n v="0"/>
    <d v="2023-09-01T00:00:00"/>
    <x v="0"/>
    <x v="1"/>
    <n v="4.248E-3"/>
    <n v="0"/>
    <s v="GH"/>
    <x v="9"/>
    <x v="0"/>
    <s v="Q3"/>
    <n v="216"/>
    <n v="0"/>
    <s v="Giant SW"/>
    <n v="0.95"/>
    <n v="0"/>
    <n v="0"/>
    <n v="0"/>
  </r>
  <r>
    <n v="68521425"/>
    <x v="0"/>
    <n v="75000"/>
    <d v="2023-10-01T00:00:00"/>
    <x v="0"/>
    <x v="1"/>
    <n v="4.248E-3"/>
    <n v="318.60000000000002"/>
    <s v="GH"/>
    <x v="7"/>
    <x v="0"/>
    <s v="Q4"/>
    <n v="216"/>
    <n v="347.22222222222223"/>
    <s v="Giant SW"/>
    <n v="0.95"/>
    <n v="71250"/>
    <n v="302.67"/>
    <n v="329.86111111111109"/>
  </r>
  <r>
    <n v="68521425"/>
    <x v="0"/>
    <n v="50000"/>
    <d v="2023-11-01T00:00:00"/>
    <x v="0"/>
    <x v="1"/>
    <n v="4.248E-3"/>
    <n v="212.4"/>
    <s v="GH"/>
    <x v="10"/>
    <x v="0"/>
    <s v="Q4"/>
    <n v="216"/>
    <n v="231.4814814814815"/>
    <s v="Giant SW"/>
    <n v="0.95"/>
    <n v="47500"/>
    <n v="201.78"/>
    <n v="219.90740740740742"/>
  </r>
  <r>
    <n v="68521425"/>
    <x v="0"/>
    <n v="50000"/>
    <d v="2023-12-01T00:00:00"/>
    <x v="0"/>
    <x v="1"/>
    <n v="4.248E-3"/>
    <n v="212.4"/>
    <s v="GH"/>
    <x v="11"/>
    <x v="0"/>
    <s v="Q4"/>
    <n v="216"/>
    <n v="231.4814814814815"/>
    <s v="Giant SW"/>
    <n v="0.95"/>
    <n v="47500"/>
    <n v="201.78"/>
    <n v="219.90740740740742"/>
  </r>
  <r>
    <n v="68599804"/>
    <x v="0"/>
    <n v="60747"/>
    <d v="2023-06-01T00:00:00"/>
    <x v="114"/>
    <x v="1"/>
    <n v="8.5170239596469108E-3"/>
    <n v="517.38365447667093"/>
    <s v="BR"/>
    <x v="5"/>
    <x v="32"/>
    <s v="Q2"/>
    <n v="156"/>
    <n v="389.40384615384613"/>
    <s v="48oz"/>
    <n v="0.95"/>
    <n v="57709.649999999994"/>
    <n v="491.51447175283738"/>
    <n v="369.93365384615379"/>
  </r>
  <r>
    <n v="68599804"/>
    <x v="0"/>
    <n v="100000"/>
    <d v="2023-07-01T00:00:00"/>
    <x v="114"/>
    <x v="1"/>
    <n v="8.5170239596469108E-3"/>
    <n v="851.70239596469105"/>
    <s v="BR"/>
    <x v="6"/>
    <x v="32"/>
    <s v="Q3"/>
    <n v="156"/>
    <n v="641.02564102564099"/>
    <s v="48oz"/>
    <n v="0.95"/>
    <n v="95000"/>
    <n v="809.11727616645646"/>
    <n v="608.97435897435889"/>
  </r>
  <r>
    <n v="68599804"/>
    <x v="0"/>
    <n v="100000"/>
    <d v="2023-08-01T00:00:00"/>
    <x v="114"/>
    <x v="1"/>
    <n v="8.5170239596469108E-3"/>
    <n v="851.70239596469105"/>
    <s v="BR"/>
    <x v="8"/>
    <x v="32"/>
    <s v="Q3"/>
    <n v="156"/>
    <n v="641.02564102564099"/>
    <s v="48oz"/>
    <n v="0.95"/>
    <n v="95000"/>
    <n v="809.11727616645646"/>
    <n v="608.97435897435889"/>
  </r>
  <r>
    <n v="68599804"/>
    <x v="19"/>
    <n v="21057"/>
    <d v="2023-04-01T00:00:00"/>
    <x v="114"/>
    <x v="0"/>
    <n v="8.5170239596469108E-3"/>
    <n v="179.34297351828499"/>
    <s v="BR"/>
    <x v="1"/>
    <x v="32"/>
    <s v="Q2"/>
    <n v="156"/>
    <n v="134.98076923076923"/>
    <s v="48oz"/>
    <n v="1"/>
    <n v="21057"/>
    <n v="179.34297351828499"/>
    <n v="134.98076923076923"/>
  </r>
  <r>
    <n v="68599804"/>
    <x v="0"/>
    <n v="125000"/>
    <d v="2023-09-01T00:00:00"/>
    <x v="114"/>
    <x v="1"/>
    <n v="8.5170239596469108E-3"/>
    <n v="1064.6279949558639"/>
    <s v="BR"/>
    <x v="9"/>
    <x v="32"/>
    <s v="Q3"/>
    <n v="156"/>
    <n v="801.28205128205127"/>
    <s v="48oz"/>
    <n v="0.95"/>
    <n v="118750"/>
    <n v="1011.3965952080706"/>
    <n v="761.21794871794862"/>
  </r>
  <r>
    <n v="68599804"/>
    <x v="0"/>
    <n v="0"/>
    <d v="2023-10-01T00:00:00"/>
    <x v="114"/>
    <x v="1"/>
    <n v="8.5170239596469108E-3"/>
    <n v="0"/>
    <s v="BR"/>
    <x v="7"/>
    <x v="32"/>
    <s v="Q4"/>
    <n v="156"/>
    <n v="0"/>
    <s v="48oz"/>
    <n v="0.95"/>
    <n v="0"/>
    <n v="0"/>
    <n v="0"/>
  </r>
  <r>
    <n v="68599804"/>
    <x v="0"/>
    <n v="0"/>
    <d v="2023-11-01T00:00:00"/>
    <x v="114"/>
    <x v="1"/>
    <n v="8.5170239596469108E-3"/>
    <n v="0"/>
    <s v="BR"/>
    <x v="10"/>
    <x v="32"/>
    <s v="Q4"/>
    <n v="156"/>
    <n v="0"/>
    <s v="48oz"/>
    <n v="0.95"/>
    <n v="0"/>
    <n v="0"/>
    <n v="0"/>
  </r>
  <r>
    <n v="68599804"/>
    <x v="0"/>
    <n v="0"/>
    <d v="2023-12-01T00:00:00"/>
    <x v="114"/>
    <x v="1"/>
    <n v="8.5170239596469108E-3"/>
    <n v="0"/>
    <s v="BR"/>
    <x v="11"/>
    <x v="32"/>
    <s v="Q4"/>
    <n v="156"/>
    <n v="0"/>
    <s v="48oz"/>
    <n v="0.95"/>
    <n v="0"/>
    <n v="0"/>
    <n v="0"/>
  </r>
  <r>
    <n v="68871219"/>
    <x v="0"/>
    <n v="0"/>
    <d v="2023-06-01T00:00:00"/>
    <x v="155"/>
    <x v="1"/>
    <n v="3.0280000000000001E-2"/>
    <n v="0"/>
    <s v="MG"/>
    <x v="5"/>
    <x v="38"/>
    <s v="Q2"/>
    <n v="240"/>
    <n v="0"/>
    <s v="PTS"/>
    <n v="0.95"/>
    <n v="0"/>
    <n v="0"/>
    <n v="0"/>
  </r>
  <r>
    <n v="68871219"/>
    <x v="0"/>
    <n v="0"/>
    <d v="2023-07-01T00:00:00"/>
    <x v="155"/>
    <x v="1"/>
    <n v="3.0280000000000001E-2"/>
    <n v="0"/>
    <s v="MG"/>
    <x v="6"/>
    <x v="38"/>
    <s v="Q3"/>
    <n v="240"/>
    <n v="0"/>
    <s v="PTS"/>
    <n v="0.95"/>
    <n v="0"/>
    <n v="0"/>
    <n v="0"/>
  </r>
  <r>
    <n v="68871219"/>
    <x v="0"/>
    <n v="0"/>
    <d v="2023-08-01T00:00:00"/>
    <x v="155"/>
    <x v="1"/>
    <n v="3.0280000000000001E-2"/>
    <n v="0"/>
    <s v="MG"/>
    <x v="8"/>
    <x v="38"/>
    <s v="Q3"/>
    <n v="240"/>
    <n v="0"/>
    <s v="PTS"/>
    <n v="0.95"/>
    <n v="0"/>
    <n v="0"/>
    <n v="0"/>
  </r>
  <r>
    <n v="68871219"/>
    <x v="0"/>
    <n v="0"/>
    <d v="2023-09-01T00:00:00"/>
    <x v="155"/>
    <x v="1"/>
    <n v="3.0280000000000001E-2"/>
    <n v="0"/>
    <s v="MG"/>
    <x v="9"/>
    <x v="38"/>
    <s v="Q3"/>
    <n v="240"/>
    <n v="0"/>
    <s v="PTS"/>
    <n v="0.95"/>
    <n v="0"/>
    <n v="0"/>
    <n v="0"/>
  </r>
  <r>
    <n v="68871219"/>
    <x v="0"/>
    <n v="0"/>
    <d v="2023-10-01T00:00:00"/>
    <x v="155"/>
    <x v="1"/>
    <n v="3.0280000000000001E-2"/>
    <n v="0"/>
    <s v="MG"/>
    <x v="7"/>
    <x v="38"/>
    <s v="Q4"/>
    <n v="240"/>
    <n v="0"/>
    <s v="PTS"/>
    <n v="0.95"/>
    <n v="0"/>
    <n v="0"/>
    <n v="0"/>
  </r>
  <r>
    <n v="68871219"/>
    <x v="0"/>
    <n v="0"/>
    <d v="2023-11-01T00:00:00"/>
    <x v="155"/>
    <x v="1"/>
    <n v="3.0280000000000001E-2"/>
    <n v="0"/>
    <s v="MG"/>
    <x v="10"/>
    <x v="38"/>
    <s v="Q4"/>
    <n v="240"/>
    <n v="0"/>
    <s v="PTS"/>
    <n v="0.95"/>
    <n v="0"/>
    <n v="0"/>
    <n v="0"/>
  </r>
  <r>
    <n v="68871219"/>
    <x v="0"/>
    <n v="0"/>
    <d v="2023-12-01T00:00:00"/>
    <x v="155"/>
    <x v="1"/>
    <n v="3.0280000000000001E-2"/>
    <n v="0"/>
    <s v="MG"/>
    <x v="11"/>
    <x v="38"/>
    <s v="Q4"/>
    <n v="240"/>
    <n v="0"/>
    <s v="PTS"/>
    <n v="0.95"/>
    <n v="0"/>
    <n v="0"/>
    <n v="0"/>
  </r>
  <r>
    <n v="68871220"/>
    <x v="0"/>
    <n v="0"/>
    <d v="2023-06-01T00:00:00"/>
    <x v="156"/>
    <x v="1"/>
    <n v="3.7853439999999999E-3"/>
    <n v="0"/>
    <s v="BR"/>
    <x v="5"/>
    <x v="38"/>
    <s v="Q2"/>
    <n v="240"/>
    <n v="0"/>
    <s v="PTS"/>
    <n v="0.95"/>
    <n v="0"/>
    <n v="0"/>
    <n v="0"/>
  </r>
  <r>
    <n v="68871220"/>
    <x v="0"/>
    <n v="0"/>
    <d v="2023-07-01T00:00:00"/>
    <x v="156"/>
    <x v="1"/>
    <n v="3.7853439999999999E-3"/>
    <n v="0"/>
    <s v="BR"/>
    <x v="6"/>
    <x v="38"/>
    <s v="Q3"/>
    <n v="240"/>
    <n v="0"/>
    <s v="PTS"/>
    <n v="0.95"/>
    <n v="0"/>
    <n v="0"/>
    <n v="0"/>
  </r>
  <r>
    <n v="68871220"/>
    <x v="0"/>
    <n v="0"/>
    <d v="2023-08-01T00:00:00"/>
    <x v="156"/>
    <x v="1"/>
    <n v="3.7853439999999999E-3"/>
    <n v="0"/>
    <s v="BR"/>
    <x v="8"/>
    <x v="38"/>
    <s v="Q3"/>
    <n v="240"/>
    <n v="0"/>
    <s v="PTS"/>
    <n v="0.95"/>
    <n v="0"/>
    <n v="0"/>
    <n v="0"/>
  </r>
  <r>
    <n v="68871220"/>
    <x v="0"/>
    <n v="0"/>
    <d v="2023-09-01T00:00:00"/>
    <x v="156"/>
    <x v="1"/>
    <n v="3.7853439999999999E-3"/>
    <n v="0"/>
    <s v="BR"/>
    <x v="9"/>
    <x v="38"/>
    <s v="Q3"/>
    <n v="240"/>
    <n v="0"/>
    <s v="PTS"/>
    <n v="0.95"/>
    <n v="0"/>
    <n v="0"/>
    <n v="0"/>
  </r>
  <r>
    <n v="68871220"/>
    <x v="0"/>
    <n v="0"/>
    <d v="2023-10-01T00:00:00"/>
    <x v="156"/>
    <x v="1"/>
    <n v="3.7853439999999999E-3"/>
    <n v="0"/>
    <s v="BR"/>
    <x v="7"/>
    <x v="38"/>
    <s v="Q4"/>
    <n v="240"/>
    <n v="0"/>
    <s v="PTS"/>
    <n v="0.95"/>
    <n v="0"/>
    <n v="0"/>
    <n v="0"/>
  </r>
  <r>
    <n v="68871220"/>
    <x v="0"/>
    <n v="0"/>
    <d v="2023-11-01T00:00:00"/>
    <x v="156"/>
    <x v="1"/>
    <n v="3.7853439999999999E-3"/>
    <n v="0"/>
    <s v="BR"/>
    <x v="10"/>
    <x v="38"/>
    <s v="Q4"/>
    <n v="240"/>
    <n v="0"/>
    <s v="PTS"/>
    <n v="0.95"/>
    <n v="0"/>
    <n v="0"/>
    <n v="0"/>
  </r>
  <r>
    <n v="68871220"/>
    <x v="0"/>
    <n v="0"/>
    <d v="2023-12-01T00:00:00"/>
    <x v="156"/>
    <x v="1"/>
    <n v="3.7853439999999999E-3"/>
    <n v="0"/>
    <s v="BR"/>
    <x v="11"/>
    <x v="38"/>
    <s v="Q4"/>
    <n v="240"/>
    <n v="0"/>
    <s v="PTS"/>
    <n v="0.95"/>
    <n v="0"/>
    <n v="0"/>
    <n v="0"/>
  </r>
  <r>
    <n v="68871221"/>
    <x v="0"/>
    <n v="0"/>
    <d v="2023-06-01T00:00:00"/>
    <x v="157"/>
    <x v="1"/>
    <n v="3.7839999999999996E-3"/>
    <n v="0"/>
    <s v="BR"/>
    <x v="5"/>
    <x v="38"/>
    <s v="Q2"/>
    <n v="240"/>
    <n v="0"/>
    <s v="PTS"/>
    <n v="0.95"/>
    <n v="0"/>
    <n v="0"/>
    <n v="0"/>
  </r>
  <r>
    <n v="68871221"/>
    <x v="0"/>
    <n v="0"/>
    <d v="2023-07-01T00:00:00"/>
    <x v="157"/>
    <x v="1"/>
    <n v="3.7839999999999996E-3"/>
    <n v="0"/>
    <s v="BR"/>
    <x v="6"/>
    <x v="38"/>
    <s v="Q3"/>
    <n v="240"/>
    <n v="0"/>
    <s v="PTS"/>
    <n v="0.95"/>
    <n v="0"/>
    <n v="0"/>
    <n v="0"/>
  </r>
  <r>
    <n v="68871221"/>
    <x v="0"/>
    <n v="0"/>
    <d v="2023-08-01T00:00:00"/>
    <x v="157"/>
    <x v="1"/>
    <n v="3.7839999999999996E-3"/>
    <n v="0"/>
    <s v="BR"/>
    <x v="8"/>
    <x v="38"/>
    <s v="Q3"/>
    <n v="240"/>
    <n v="0"/>
    <s v="PTS"/>
    <n v="0.95"/>
    <n v="0"/>
    <n v="0"/>
    <n v="0"/>
  </r>
  <r>
    <n v="68871221"/>
    <x v="0"/>
    <n v="0"/>
    <d v="2023-09-01T00:00:00"/>
    <x v="157"/>
    <x v="1"/>
    <n v="3.7839999999999996E-3"/>
    <n v="0"/>
    <s v="BR"/>
    <x v="9"/>
    <x v="38"/>
    <s v="Q3"/>
    <n v="240"/>
    <n v="0"/>
    <s v="PTS"/>
    <n v="0.95"/>
    <n v="0"/>
    <n v="0"/>
    <n v="0"/>
  </r>
  <r>
    <n v="68871221"/>
    <x v="0"/>
    <n v="0"/>
    <d v="2023-10-01T00:00:00"/>
    <x v="157"/>
    <x v="1"/>
    <n v="3.7839999999999996E-3"/>
    <n v="0"/>
    <s v="BR"/>
    <x v="7"/>
    <x v="38"/>
    <s v="Q4"/>
    <n v="240"/>
    <n v="0"/>
    <s v="PTS"/>
    <n v="0.95"/>
    <n v="0"/>
    <n v="0"/>
    <n v="0"/>
  </r>
  <r>
    <n v="68871221"/>
    <x v="0"/>
    <n v="0"/>
    <d v="2023-11-01T00:00:00"/>
    <x v="157"/>
    <x v="1"/>
    <n v="3.7839999999999996E-3"/>
    <n v="0"/>
    <s v="BR"/>
    <x v="10"/>
    <x v="38"/>
    <s v="Q4"/>
    <n v="240"/>
    <n v="0"/>
    <s v="PTS"/>
    <n v="0.95"/>
    <n v="0"/>
    <n v="0"/>
    <n v="0"/>
  </r>
  <r>
    <n v="68871221"/>
    <x v="0"/>
    <n v="0"/>
    <d v="2023-12-01T00:00:00"/>
    <x v="157"/>
    <x v="1"/>
    <n v="3.7839999999999996E-3"/>
    <n v="0"/>
    <s v="BR"/>
    <x v="11"/>
    <x v="38"/>
    <s v="Q4"/>
    <n v="240"/>
    <n v="0"/>
    <s v="PTS"/>
    <n v="0.95"/>
    <n v="0"/>
    <n v="0"/>
    <n v="0"/>
  </r>
  <r>
    <n v="68919011"/>
    <x v="0"/>
    <n v="57000"/>
    <d v="2023-06-01T00:00:00"/>
    <x v="247"/>
    <x v="1"/>
    <n v="3.7839999999999996E-3"/>
    <n v="215.68799999999999"/>
    <s v="BR"/>
    <x v="5"/>
    <x v="38"/>
    <s v="Q2"/>
    <n v="240"/>
    <n v="237.5"/>
    <s v="PTS"/>
    <n v="0.95"/>
    <n v="54150"/>
    <n v="204.90359999999998"/>
    <n v="225.625"/>
  </r>
  <r>
    <n v="68919011"/>
    <x v="0"/>
    <n v="0"/>
    <d v="2023-07-01T00:00:00"/>
    <x v="247"/>
    <x v="1"/>
    <n v="3.7839999999999996E-3"/>
    <n v="0"/>
    <s v="BR"/>
    <x v="6"/>
    <x v="38"/>
    <s v="Q3"/>
    <n v="240"/>
    <n v="0"/>
    <s v="PTS"/>
    <n v="0.95"/>
    <n v="0"/>
    <n v="0"/>
    <n v="0"/>
  </r>
  <r>
    <n v="68919011"/>
    <x v="0"/>
    <n v="0"/>
    <d v="2023-08-01T00:00:00"/>
    <x v="247"/>
    <x v="1"/>
    <n v="3.7839999999999996E-3"/>
    <n v="0"/>
    <s v="BR"/>
    <x v="8"/>
    <x v="38"/>
    <s v="Q3"/>
    <n v="240"/>
    <n v="0"/>
    <s v="PTS"/>
    <n v="0.95"/>
    <n v="0"/>
    <n v="0"/>
    <n v="0"/>
  </r>
  <r>
    <n v="68919011"/>
    <x v="0"/>
    <n v="0"/>
    <d v="2023-09-01T00:00:00"/>
    <x v="247"/>
    <x v="1"/>
    <n v="3.7839999999999996E-3"/>
    <n v="0"/>
    <s v="BR"/>
    <x v="9"/>
    <x v="38"/>
    <s v="Q3"/>
    <n v="240"/>
    <n v="0"/>
    <s v="PTS"/>
    <n v="0.95"/>
    <n v="0"/>
    <n v="0"/>
    <n v="0"/>
  </r>
  <r>
    <n v="68919011"/>
    <x v="0"/>
    <n v="0"/>
    <d v="2023-10-01T00:00:00"/>
    <x v="247"/>
    <x v="1"/>
    <n v="3.7839999999999996E-3"/>
    <n v="0"/>
    <s v="BR"/>
    <x v="7"/>
    <x v="38"/>
    <s v="Q4"/>
    <n v="240"/>
    <n v="0"/>
    <s v="PTS"/>
    <n v="0.95"/>
    <n v="0"/>
    <n v="0"/>
    <n v="0"/>
  </r>
  <r>
    <n v="68919011"/>
    <x v="0"/>
    <n v="0"/>
    <d v="2023-11-01T00:00:00"/>
    <x v="247"/>
    <x v="1"/>
    <n v="3.7839999999999996E-3"/>
    <n v="0"/>
    <s v="BR"/>
    <x v="10"/>
    <x v="38"/>
    <s v="Q4"/>
    <n v="240"/>
    <n v="0"/>
    <s v="PTS"/>
    <n v="0.95"/>
    <n v="0"/>
    <n v="0"/>
    <n v="0"/>
  </r>
  <r>
    <n v="68919011"/>
    <x v="0"/>
    <n v="0"/>
    <d v="2023-12-01T00:00:00"/>
    <x v="247"/>
    <x v="1"/>
    <n v="3.7839999999999996E-3"/>
    <n v="0"/>
    <s v="BR"/>
    <x v="11"/>
    <x v="38"/>
    <s v="Q4"/>
    <n v="240"/>
    <n v="0"/>
    <s v="PTS"/>
    <n v="0.95"/>
    <n v="0"/>
    <n v="0"/>
    <n v="0"/>
  </r>
  <r>
    <n v="68919013"/>
    <x v="0"/>
    <n v="0"/>
    <d v="2023-06-01T00:00:00"/>
    <x v="158"/>
    <x v="1"/>
    <n v="3.0280000000000001E-2"/>
    <n v="0"/>
    <s v="BR"/>
    <x v="5"/>
    <x v="38"/>
    <s v="Q2"/>
    <n v="240"/>
    <n v="0"/>
    <s v="pts"/>
    <n v="0.95"/>
    <n v="0"/>
    <n v="0"/>
    <n v="0"/>
  </r>
  <r>
    <n v="68919013"/>
    <x v="0"/>
    <n v="0"/>
    <d v="2023-07-01T00:00:00"/>
    <x v="158"/>
    <x v="1"/>
    <n v="3.0280000000000001E-2"/>
    <n v="0"/>
    <s v="BR"/>
    <x v="6"/>
    <x v="38"/>
    <s v="Q3"/>
    <n v="240"/>
    <n v="0"/>
    <s v="pts"/>
    <n v="0.95"/>
    <n v="0"/>
    <n v="0"/>
    <n v="0"/>
  </r>
  <r>
    <n v="68919013"/>
    <x v="0"/>
    <n v="0"/>
    <d v="2023-08-01T00:00:00"/>
    <x v="158"/>
    <x v="1"/>
    <n v="3.0280000000000001E-2"/>
    <n v="0"/>
    <s v="BR"/>
    <x v="8"/>
    <x v="38"/>
    <s v="Q3"/>
    <n v="240"/>
    <n v="0"/>
    <s v="pts"/>
    <n v="0.95"/>
    <n v="0"/>
    <n v="0"/>
    <n v="0"/>
  </r>
  <r>
    <n v="68919013"/>
    <x v="0"/>
    <n v="0"/>
    <d v="2023-09-01T00:00:00"/>
    <x v="158"/>
    <x v="1"/>
    <n v="3.0280000000000001E-2"/>
    <n v="0"/>
    <s v="BR"/>
    <x v="9"/>
    <x v="38"/>
    <s v="Q3"/>
    <n v="240"/>
    <n v="0"/>
    <s v="pts"/>
    <n v="0.95"/>
    <n v="0"/>
    <n v="0"/>
    <n v="0"/>
  </r>
  <r>
    <n v="68919013"/>
    <x v="0"/>
    <n v="0"/>
    <d v="2023-10-01T00:00:00"/>
    <x v="158"/>
    <x v="1"/>
    <n v="3.0280000000000001E-2"/>
    <n v="0"/>
    <s v="BR"/>
    <x v="7"/>
    <x v="38"/>
    <s v="Q4"/>
    <n v="240"/>
    <n v="0"/>
    <s v="pts"/>
    <n v="0.95"/>
    <n v="0"/>
    <n v="0"/>
    <n v="0"/>
  </r>
  <r>
    <n v="68919013"/>
    <x v="0"/>
    <n v="0"/>
    <d v="2023-11-01T00:00:00"/>
    <x v="158"/>
    <x v="1"/>
    <n v="3.0280000000000001E-2"/>
    <n v="0"/>
    <s v="BR"/>
    <x v="10"/>
    <x v="38"/>
    <s v="Q4"/>
    <n v="240"/>
    <n v="0"/>
    <s v="pts"/>
    <n v="0.95"/>
    <n v="0"/>
    <n v="0"/>
    <n v="0"/>
  </r>
  <r>
    <n v="68919013"/>
    <x v="0"/>
    <n v="0"/>
    <d v="2023-12-01T00:00:00"/>
    <x v="158"/>
    <x v="1"/>
    <n v="3.0280000000000001E-2"/>
    <n v="0"/>
    <s v="BR"/>
    <x v="11"/>
    <x v="38"/>
    <s v="Q4"/>
    <n v="240"/>
    <n v="0"/>
    <s v="pts"/>
    <n v="0.95"/>
    <n v="0"/>
    <n v="0"/>
    <n v="0"/>
  </r>
  <r>
    <n v="69705264"/>
    <x v="22"/>
    <n v="1119"/>
    <d v="2023-05-17T00:00:00"/>
    <x v="52"/>
    <x v="0"/>
    <n v="5.7599999999999995E-3"/>
    <n v="6.4454399999999996"/>
    <s v="MG"/>
    <x v="4"/>
    <x v="20"/>
    <s v="Q2"/>
    <n v="30"/>
    <n v="37.299999999999997"/>
    <s v="Repack MG Sticks"/>
    <n v="1"/>
    <n v="1119"/>
    <n v="6.4454399999999996"/>
    <n v="37.299999999999997"/>
  </r>
  <r>
    <n v="68919014"/>
    <x v="0"/>
    <n v="0"/>
    <d v="2023-06-01T00:00:00"/>
    <x v="269"/>
    <x v="1"/>
    <n v="3.0280000000000001E-2"/>
    <n v="0"/>
    <s v="BR"/>
    <x v="5"/>
    <x v="38"/>
    <s v="Q2"/>
    <n v="240"/>
    <n v="0"/>
    <s v="pts"/>
    <n v="0.95"/>
    <n v="0"/>
    <n v="0"/>
    <n v="0"/>
  </r>
  <r>
    <n v="68919014"/>
    <x v="0"/>
    <n v="0"/>
    <d v="2023-07-01T00:00:00"/>
    <x v="269"/>
    <x v="1"/>
    <n v="3.0280000000000001E-2"/>
    <n v="0"/>
    <s v="BR"/>
    <x v="6"/>
    <x v="38"/>
    <s v="Q3"/>
    <n v="240"/>
    <n v="0"/>
    <s v="pts"/>
    <n v="0.95"/>
    <n v="0"/>
    <n v="0"/>
    <n v="0"/>
  </r>
  <r>
    <n v="68919014"/>
    <x v="0"/>
    <n v="0"/>
    <d v="2023-08-01T00:00:00"/>
    <x v="269"/>
    <x v="1"/>
    <n v="3.0280000000000001E-2"/>
    <n v="0"/>
    <s v="BR"/>
    <x v="8"/>
    <x v="38"/>
    <s v="Q3"/>
    <n v="240"/>
    <n v="0"/>
    <s v="pts"/>
    <n v="0.95"/>
    <n v="0"/>
    <n v="0"/>
    <n v="0"/>
  </r>
  <r>
    <n v="68919014"/>
    <x v="0"/>
    <n v="0"/>
    <d v="2023-09-01T00:00:00"/>
    <x v="269"/>
    <x v="1"/>
    <n v="3.0280000000000001E-2"/>
    <n v="0"/>
    <s v="BR"/>
    <x v="9"/>
    <x v="38"/>
    <s v="Q3"/>
    <n v="240"/>
    <n v="0"/>
    <s v="pts"/>
    <n v="0.95"/>
    <n v="0"/>
    <n v="0"/>
    <n v="0"/>
  </r>
  <r>
    <n v="68919014"/>
    <x v="0"/>
    <n v="0"/>
    <d v="2023-10-01T00:00:00"/>
    <x v="269"/>
    <x v="1"/>
    <n v="3.0280000000000001E-2"/>
    <n v="0"/>
    <s v="BR"/>
    <x v="7"/>
    <x v="38"/>
    <s v="Q4"/>
    <n v="240"/>
    <n v="0"/>
    <s v="pts"/>
    <n v="0.95"/>
    <n v="0"/>
    <n v="0"/>
    <n v="0"/>
  </r>
  <r>
    <n v="68919014"/>
    <x v="0"/>
    <n v="0"/>
    <d v="2023-11-01T00:00:00"/>
    <x v="269"/>
    <x v="1"/>
    <n v="3.0280000000000001E-2"/>
    <n v="0"/>
    <s v="BR"/>
    <x v="10"/>
    <x v="38"/>
    <s v="Q4"/>
    <n v="240"/>
    <n v="0"/>
    <s v="pts"/>
    <n v="0.95"/>
    <n v="0"/>
    <n v="0"/>
    <n v="0"/>
  </r>
  <r>
    <n v="68919014"/>
    <x v="0"/>
    <n v="0"/>
    <d v="2023-12-01T00:00:00"/>
    <x v="269"/>
    <x v="1"/>
    <n v="3.0280000000000001E-2"/>
    <n v="0"/>
    <s v="BR"/>
    <x v="11"/>
    <x v="38"/>
    <s v="Q4"/>
    <n v="240"/>
    <n v="0"/>
    <s v="pts"/>
    <n v="0.95"/>
    <n v="0"/>
    <n v="0"/>
    <n v="0"/>
  </r>
  <r>
    <n v="69645145"/>
    <x v="0"/>
    <n v="87234"/>
    <d v="2023-05-01T00:00:00"/>
    <x v="118"/>
    <x v="1"/>
    <n v="2.8319999999999999E-3"/>
    <n v="247.04668799999999"/>
    <s v="GH"/>
    <x v="4"/>
    <x v="46"/>
    <s v="Q2"/>
    <n v="260"/>
    <n v="335.51538461538462"/>
    <s v="FB Cones"/>
    <n v="1"/>
    <n v="87234"/>
    <n v="247.04668799999999"/>
    <n v="335.51538461538462"/>
  </r>
  <r>
    <n v="69645145"/>
    <x v="0"/>
    <n v="64299"/>
    <d v="2023-06-01T00:00:00"/>
    <x v="118"/>
    <x v="1"/>
    <n v="2.8319999999999999E-3"/>
    <n v="182.09476799999999"/>
    <s v="GH"/>
    <x v="5"/>
    <x v="46"/>
    <s v="Q2"/>
    <n v="260"/>
    <n v="247.30384615384617"/>
    <s v="FB Cones"/>
    <n v="1"/>
    <n v="64299"/>
    <n v="182.09476799999999"/>
    <n v="247.30384615384617"/>
  </r>
  <r>
    <n v="69645145"/>
    <x v="0"/>
    <n v="90000"/>
    <d v="2023-07-01T00:00:00"/>
    <x v="118"/>
    <x v="1"/>
    <n v="2.8319999999999999E-3"/>
    <n v="254.88"/>
    <s v="GH"/>
    <x v="6"/>
    <x v="46"/>
    <s v="Q3"/>
    <n v="260"/>
    <n v="346.15384615384613"/>
    <s v="FB Cones"/>
    <n v="1"/>
    <n v="90000"/>
    <n v="254.88"/>
    <n v="346.15384615384613"/>
  </r>
  <r>
    <n v="69645145"/>
    <x v="0"/>
    <n v="30000"/>
    <d v="2023-08-01T00:00:00"/>
    <x v="118"/>
    <x v="1"/>
    <n v="2.8319999999999999E-3"/>
    <n v="84.96"/>
    <s v="GH"/>
    <x v="8"/>
    <x v="46"/>
    <s v="Q3"/>
    <n v="260"/>
    <n v="115.38461538461539"/>
    <s v="FB Cones"/>
    <n v="1"/>
    <n v="30000"/>
    <n v="84.96"/>
    <n v="115.38461538461539"/>
  </r>
  <r>
    <n v="69645145"/>
    <x v="0"/>
    <n v="30000"/>
    <d v="2023-09-01T00:00:00"/>
    <x v="118"/>
    <x v="1"/>
    <n v="2.8319999999999999E-3"/>
    <n v="84.96"/>
    <s v="GH"/>
    <x v="9"/>
    <x v="46"/>
    <s v="Q3"/>
    <n v="260"/>
    <n v="115.38461538461539"/>
    <s v="FB Cones"/>
    <n v="1"/>
    <n v="30000"/>
    <n v="84.96"/>
    <n v="115.38461538461539"/>
  </r>
  <r>
    <n v="69645145"/>
    <x v="0"/>
    <n v="45000"/>
    <d v="2023-10-01T00:00:00"/>
    <x v="118"/>
    <x v="1"/>
    <n v="2.8319999999999999E-3"/>
    <n v="127.44"/>
    <s v="GH"/>
    <x v="7"/>
    <x v="46"/>
    <s v="Q4"/>
    <n v="260"/>
    <n v="173.07692307692307"/>
    <s v="FB Cones"/>
    <n v="1"/>
    <n v="45000"/>
    <n v="127.44"/>
    <n v="173.07692307692307"/>
  </r>
  <r>
    <n v="69645145"/>
    <x v="0"/>
    <n v="30000"/>
    <d v="2023-11-01T00:00:00"/>
    <x v="118"/>
    <x v="1"/>
    <n v="2.8319999999999999E-3"/>
    <n v="84.96"/>
    <s v="GH"/>
    <x v="10"/>
    <x v="46"/>
    <s v="Q4"/>
    <n v="260"/>
    <n v="115.38461538461539"/>
    <s v="FB Cones"/>
    <n v="1"/>
    <n v="30000"/>
    <n v="84.96"/>
    <n v="115.38461538461539"/>
  </r>
  <r>
    <n v="69645145"/>
    <x v="0"/>
    <n v="15000"/>
    <d v="2023-12-01T00:00:00"/>
    <x v="118"/>
    <x v="1"/>
    <n v="2.8319999999999999E-3"/>
    <n v="42.48"/>
    <s v="GH"/>
    <x v="11"/>
    <x v="46"/>
    <s v="Q4"/>
    <n v="260"/>
    <n v="57.692307692307693"/>
    <s v="FB Cones"/>
    <n v="1"/>
    <n v="15000"/>
    <n v="42.48"/>
    <n v="57.692307692307693"/>
  </r>
  <r>
    <n v="69652931"/>
    <x v="0"/>
    <n v="40261"/>
    <d v="2023-04-01T00:00:00"/>
    <x v="396"/>
    <x v="1"/>
    <n v="5.3220000000000003E-3"/>
    <n v="214.26904200000001"/>
    <s v="BR"/>
    <x v="1"/>
    <x v="37"/>
    <s v="Q2"/>
    <n v="120"/>
    <n v="335.50833333333333"/>
    <s v="BR Minicups"/>
    <n v="1"/>
    <n v="40261"/>
    <n v="214.26904200000001"/>
    <n v="335.50833333333333"/>
  </r>
  <r>
    <n v="69652931"/>
    <x v="0"/>
    <m/>
    <d v="2023-06-01T00:00:00"/>
    <x v="396"/>
    <x v="1"/>
    <n v="5.3220000000000003E-3"/>
    <n v="0"/>
    <s v="BR"/>
    <x v="5"/>
    <x v="37"/>
    <s v="Q2"/>
    <n v="120"/>
    <n v="0"/>
    <s v="BR Minicups"/>
    <n v="1"/>
    <n v="0"/>
    <n v="0"/>
    <n v="0"/>
  </r>
  <r>
    <n v="69652931"/>
    <x v="0"/>
    <n v="2500"/>
    <d v="2023-07-01T00:00:00"/>
    <x v="396"/>
    <x v="1"/>
    <n v="5.3220000000000003E-3"/>
    <n v="13.305000000000001"/>
    <s v="BR"/>
    <x v="6"/>
    <x v="37"/>
    <s v="Q3"/>
    <n v="120"/>
    <n v="20.833333333333332"/>
    <s v="BR Minicups"/>
    <n v="1"/>
    <n v="2500"/>
    <n v="13.305000000000001"/>
    <n v="20.833333333333332"/>
  </r>
  <r>
    <n v="69652931"/>
    <x v="0"/>
    <m/>
    <d v="2023-08-01T00:00:00"/>
    <x v="396"/>
    <x v="1"/>
    <n v="5.3220000000000003E-3"/>
    <n v="0"/>
    <s v="BR"/>
    <x v="8"/>
    <x v="37"/>
    <s v="Q3"/>
    <n v="120"/>
    <n v="0"/>
    <s v="BR Minicups"/>
    <n v="1"/>
    <n v="0"/>
    <n v="0"/>
    <n v="0"/>
  </r>
  <r>
    <n v="69652931"/>
    <x v="0"/>
    <m/>
    <d v="2023-09-01T00:00:00"/>
    <x v="396"/>
    <x v="1"/>
    <n v="5.3220000000000003E-3"/>
    <n v="0"/>
    <s v="BR"/>
    <x v="9"/>
    <x v="37"/>
    <s v="Q3"/>
    <n v="120"/>
    <n v="0"/>
    <s v="BR Minicups"/>
    <n v="1"/>
    <n v="0"/>
    <n v="0"/>
    <n v="0"/>
  </r>
  <r>
    <n v="69652931"/>
    <x v="0"/>
    <n v="0"/>
    <d v="2023-10-01T00:00:00"/>
    <x v="396"/>
    <x v="1"/>
    <n v="5.3220000000000003E-3"/>
    <n v="0"/>
    <s v="BR"/>
    <x v="7"/>
    <x v="37"/>
    <s v="Q4"/>
    <n v="120"/>
    <n v="0"/>
    <s v="BR Minicups"/>
    <n v="1"/>
    <n v="0"/>
    <n v="0"/>
    <n v="0"/>
  </r>
  <r>
    <n v="69652931"/>
    <x v="0"/>
    <n v="0"/>
    <d v="2023-11-01T00:00:00"/>
    <x v="396"/>
    <x v="1"/>
    <n v="5.3220000000000003E-3"/>
    <n v="0"/>
    <s v="BR"/>
    <x v="10"/>
    <x v="37"/>
    <s v="Q4"/>
    <n v="120"/>
    <n v="0"/>
    <s v="BR Minicups"/>
    <n v="1"/>
    <n v="0"/>
    <n v="0"/>
    <n v="0"/>
  </r>
  <r>
    <n v="69652931"/>
    <x v="0"/>
    <m/>
    <d v="2023-12-01T00:00:00"/>
    <x v="396"/>
    <x v="1"/>
    <n v="5.3220000000000003E-3"/>
    <n v="0"/>
    <s v="BR"/>
    <x v="11"/>
    <x v="37"/>
    <s v="Q4"/>
    <n v="120"/>
    <n v="0"/>
    <s v="BR Minicups"/>
    <n v="1"/>
    <n v="0"/>
    <n v="0"/>
    <n v="0"/>
  </r>
  <r>
    <n v="69653125"/>
    <x v="0"/>
    <n v="8434"/>
    <d v="2023-05-01T00:00:00"/>
    <x v="146"/>
    <x v="1"/>
    <n v="5.3220000000000003E-3"/>
    <n v="44.885748"/>
    <s v="BR"/>
    <x v="4"/>
    <x v="37"/>
    <s v="Q2"/>
    <n v="120"/>
    <n v="70.283333333333331"/>
    <s v="BR Minicups"/>
    <n v="1"/>
    <n v="8434"/>
    <n v="44.885748"/>
    <n v="70.283333333333331"/>
  </r>
  <r>
    <n v="69653125"/>
    <x v="0"/>
    <n v="0"/>
    <d v="2023-06-01T00:00:00"/>
    <x v="146"/>
    <x v="1"/>
    <n v="5.3220000000000003E-3"/>
    <n v="0"/>
    <s v="BR"/>
    <x v="5"/>
    <x v="37"/>
    <s v="Q2"/>
    <n v="120"/>
    <n v="0"/>
    <s v="BR Minicups"/>
    <n v="1"/>
    <n v="0"/>
    <n v="0"/>
    <n v="0"/>
  </r>
  <r>
    <n v="69653125"/>
    <x v="0"/>
    <n v="0"/>
    <d v="2023-07-01T00:00:00"/>
    <x v="146"/>
    <x v="1"/>
    <n v="5.3220000000000003E-3"/>
    <n v="0"/>
    <s v="BR"/>
    <x v="6"/>
    <x v="37"/>
    <s v="Q3"/>
    <n v="120"/>
    <n v="0"/>
    <s v="BR Minicups"/>
    <n v="1"/>
    <n v="0"/>
    <n v="0"/>
    <n v="0"/>
  </r>
  <r>
    <n v="69653125"/>
    <x v="0"/>
    <n v="0"/>
    <d v="2023-08-01T00:00:00"/>
    <x v="146"/>
    <x v="1"/>
    <n v="5.3220000000000003E-3"/>
    <n v="0"/>
    <s v="BR"/>
    <x v="8"/>
    <x v="37"/>
    <s v="Q3"/>
    <n v="120"/>
    <n v="0"/>
    <s v="BR Minicups"/>
    <n v="1"/>
    <n v="0"/>
    <n v="0"/>
    <n v="0"/>
  </r>
  <r>
    <n v="69653125"/>
    <x v="0"/>
    <n v="0"/>
    <d v="2023-09-01T00:00:00"/>
    <x v="146"/>
    <x v="1"/>
    <n v="5.3220000000000003E-3"/>
    <n v="0"/>
    <s v="BR"/>
    <x v="9"/>
    <x v="37"/>
    <s v="Q3"/>
    <n v="120"/>
    <n v="0"/>
    <s v="BR Minicups"/>
    <n v="1"/>
    <n v="0"/>
    <n v="0"/>
    <n v="0"/>
  </r>
  <r>
    <n v="69653125"/>
    <x v="0"/>
    <n v="0"/>
    <d v="2023-10-01T00:00:00"/>
    <x v="146"/>
    <x v="1"/>
    <n v="5.3220000000000003E-3"/>
    <n v="0"/>
    <s v="BR"/>
    <x v="7"/>
    <x v="37"/>
    <s v="Q4"/>
    <n v="120"/>
    <n v="0"/>
    <s v="BR Minicups"/>
    <n v="1"/>
    <n v="0"/>
    <n v="0"/>
    <n v="0"/>
  </r>
  <r>
    <n v="69653125"/>
    <x v="0"/>
    <n v="0"/>
    <d v="2023-11-01T00:00:00"/>
    <x v="146"/>
    <x v="1"/>
    <n v="5.3220000000000003E-3"/>
    <n v="0"/>
    <s v="BR"/>
    <x v="10"/>
    <x v="37"/>
    <s v="Q4"/>
    <n v="120"/>
    <n v="0"/>
    <s v="BR Minicups"/>
    <n v="1"/>
    <n v="0"/>
    <n v="0"/>
    <n v="0"/>
  </r>
  <r>
    <n v="69653125"/>
    <x v="0"/>
    <n v="0"/>
    <d v="2023-12-01T00:00:00"/>
    <x v="146"/>
    <x v="1"/>
    <n v="5.3220000000000003E-3"/>
    <n v="0"/>
    <s v="BR"/>
    <x v="11"/>
    <x v="37"/>
    <s v="Q4"/>
    <n v="120"/>
    <n v="0"/>
    <s v="BR Minicups"/>
    <n v="1"/>
    <n v="0"/>
    <n v="0"/>
    <n v="0"/>
  </r>
  <r>
    <n v="69653140"/>
    <x v="0"/>
    <n v="10359"/>
    <d v="2023-05-01T00:00:00"/>
    <x v="434"/>
    <x v="1"/>
    <n v="5.3220000000000003E-3"/>
    <n v="55.130598000000006"/>
    <s v="BR"/>
    <x v="4"/>
    <x v="37"/>
    <s v="Q2"/>
    <n v="120"/>
    <n v="86.325000000000003"/>
    <s v="BR Minicups"/>
    <n v="1"/>
    <n v="10359"/>
    <n v="55.130598000000006"/>
    <n v="86.325000000000003"/>
  </r>
  <r>
    <n v="69653140"/>
    <x v="0"/>
    <n v="58602"/>
    <d v="2023-06-01T00:00:00"/>
    <x v="434"/>
    <x v="1"/>
    <n v="5.3220000000000003E-3"/>
    <n v="311.87984400000005"/>
    <s v="BR"/>
    <x v="5"/>
    <x v="37"/>
    <s v="Q2"/>
    <n v="120"/>
    <n v="488.35"/>
    <s v="BR Minicups"/>
    <n v="1"/>
    <n v="58602"/>
    <n v="311.87984400000005"/>
    <n v="488.35"/>
  </r>
  <r>
    <n v="69653140"/>
    <x v="0"/>
    <n v="12000"/>
    <d v="2023-07-01T00:00:00"/>
    <x v="434"/>
    <x v="1"/>
    <n v="5.3220000000000003E-3"/>
    <n v="63.864000000000004"/>
    <s v="BR"/>
    <x v="6"/>
    <x v="37"/>
    <s v="Q3"/>
    <n v="120"/>
    <n v="100"/>
    <s v="BR Minicups"/>
    <n v="1"/>
    <n v="12000"/>
    <n v="63.864000000000004"/>
    <n v="100"/>
  </r>
  <r>
    <n v="69653140"/>
    <x v="0"/>
    <n v="45000"/>
    <d v="2023-08-01T00:00:00"/>
    <x v="434"/>
    <x v="1"/>
    <n v="5.3220000000000003E-3"/>
    <n v="239.49"/>
    <s v="BR"/>
    <x v="8"/>
    <x v="37"/>
    <s v="Q3"/>
    <n v="120"/>
    <n v="375"/>
    <s v="BR Minicups"/>
    <n v="1"/>
    <n v="45000"/>
    <n v="239.49"/>
    <n v="375"/>
  </r>
  <r>
    <n v="69653140"/>
    <x v="0"/>
    <n v="30000"/>
    <d v="2023-09-01T00:00:00"/>
    <x v="434"/>
    <x v="1"/>
    <n v="5.3220000000000003E-3"/>
    <n v="159.66"/>
    <s v="BR"/>
    <x v="9"/>
    <x v="37"/>
    <s v="Q3"/>
    <n v="120"/>
    <n v="250"/>
    <s v="BR Minicups"/>
    <n v="1"/>
    <n v="30000"/>
    <n v="159.66"/>
    <n v="250"/>
  </r>
  <r>
    <n v="69653140"/>
    <x v="0"/>
    <n v="30000"/>
    <d v="2023-10-01T00:00:00"/>
    <x v="434"/>
    <x v="1"/>
    <n v="5.3220000000000003E-3"/>
    <n v="159.66"/>
    <s v="BR"/>
    <x v="7"/>
    <x v="37"/>
    <s v="Q4"/>
    <n v="120"/>
    <n v="250"/>
    <s v="BR Minicups"/>
    <n v="1"/>
    <n v="30000"/>
    <n v="159.66"/>
    <n v="250"/>
  </r>
  <r>
    <n v="69653140"/>
    <x v="0"/>
    <n v="52500"/>
    <d v="2023-11-01T00:00:00"/>
    <x v="434"/>
    <x v="1"/>
    <n v="5.3220000000000003E-3"/>
    <n v="279.40500000000003"/>
    <s v="BR"/>
    <x v="10"/>
    <x v="37"/>
    <s v="Q4"/>
    <n v="120"/>
    <n v="437.5"/>
    <s v="BR Minicups"/>
    <n v="1"/>
    <n v="52500"/>
    <n v="279.40500000000003"/>
    <n v="437.5"/>
  </r>
  <r>
    <n v="69653140"/>
    <x v="0"/>
    <n v="15000"/>
    <d v="2023-12-01T00:00:00"/>
    <x v="434"/>
    <x v="1"/>
    <n v="5.3220000000000003E-3"/>
    <n v="79.83"/>
    <s v="BR"/>
    <x v="11"/>
    <x v="37"/>
    <s v="Q4"/>
    <n v="120"/>
    <n v="125"/>
    <s v="BR Minicups"/>
    <n v="1"/>
    <n v="15000"/>
    <n v="79.83"/>
    <n v="125"/>
  </r>
  <r>
    <n v="69687232"/>
    <x v="0"/>
    <m/>
    <d v="2023-05-01T00:00:00"/>
    <x v="395"/>
    <x v="1"/>
    <n v="2.8439999999999997E-3"/>
    <n v="0"/>
    <s v="GH"/>
    <x v="4"/>
    <x v="46"/>
    <s v="Q2"/>
    <n v="260"/>
    <n v="0"/>
    <s v="FB Cones"/>
    <n v="1"/>
    <n v="0"/>
    <n v="0"/>
    <n v="0"/>
  </r>
  <r>
    <n v="69687232"/>
    <x v="0"/>
    <n v="30000"/>
    <d v="2023-06-01T00:00:00"/>
    <x v="395"/>
    <x v="1"/>
    <n v="2.8439999999999997E-3"/>
    <n v="85.32"/>
    <s v="GH"/>
    <x v="5"/>
    <x v="46"/>
    <s v="Q2"/>
    <n v="260"/>
    <n v="115.38461538461539"/>
    <s v="FB Cones"/>
    <n v="1"/>
    <n v="30000"/>
    <n v="85.32"/>
    <n v="115.38461538461539"/>
  </r>
  <r>
    <n v="69687232"/>
    <x v="0"/>
    <n v="30000"/>
    <d v="2023-07-01T00:00:00"/>
    <x v="395"/>
    <x v="1"/>
    <n v="2.8439999999999997E-3"/>
    <n v="85.32"/>
    <s v="GH"/>
    <x v="6"/>
    <x v="46"/>
    <s v="Q3"/>
    <n v="260"/>
    <n v="115.38461538461539"/>
    <s v="FB Cones"/>
    <n v="1"/>
    <n v="30000"/>
    <n v="85.32"/>
    <n v="115.38461538461539"/>
  </r>
  <r>
    <n v="69687232"/>
    <x v="0"/>
    <n v="0"/>
    <d v="2023-08-01T00:00:00"/>
    <x v="395"/>
    <x v="1"/>
    <n v="2.8439999999999997E-3"/>
    <n v="0"/>
    <s v="GH"/>
    <x v="8"/>
    <x v="46"/>
    <s v="Q3"/>
    <n v="260"/>
    <n v="0"/>
    <s v="FB Cones"/>
    <n v="1"/>
    <n v="0"/>
    <n v="0"/>
    <n v="0"/>
  </r>
  <r>
    <n v="69687232"/>
    <x v="0"/>
    <n v="30000"/>
    <d v="2023-09-01T00:00:00"/>
    <x v="395"/>
    <x v="1"/>
    <n v="2.8439999999999997E-3"/>
    <n v="85.32"/>
    <s v="GH"/>
    <x v="9"/>
    <x v="46"/>
    <s v="Q3"/>
    <n v="260"/>
    <n v="115.38461538461539"/>
    <s v="FB Cones"/>
    <n v="1"/>
    <n v="30000"/>
    <n v="85.32"/>
    <n v="115.38461538461539"/>
  </r>
  <r>
    <n v="69687232"/>
    <x v="0"/>
    <n v="15000"/>
    <d v="2023-10-01T00:00:00"/>
    <x v="395"/>
    <x v="1"/>
    <n v="2.8439999999999997E-3"/>
    <n v="42.66"/>
    <s v="GH"/>
    <x v="7"/>
    <x v="46"/>
    <s v="Q4"/>
    <n v="260"/>
    <n v="57.692307692307693"/>
    <s v="FB Cones"/>
    <n v="1"/>
    <n v="15000"/>
    <n v="42.66"/>
    <n v="57.692307692307693"/>
  </r>
  <r>
    <n v="69687232"/>
    <x v="0"/>
    <n v="0"/>
    <d v="2023-11-01T00:00:00"/>
    <x v="395"/>
    <x v="1"/>
    <n v="2.8439999999999997E-3"/>
    <n v="0"/>
    <s v="GH"/>
    <x v="10"/>
    <x v="46"/>
    <s v="Q4"/>
    <n v="260"/>
    <n v="0"/>
    <s v="FB Cones"/>
    <n v="1"/>
    <n v="0"/>
    <n v="0"/>
    <n v="0"/>
  </r>
  <r>
    <n v="69687232"/>
    <x v="0"/>
    <n v="15000"/>
    <d v="2023-12-01T00:00:00"/>
    <x v="395"/>
    <x v="1"/>
    <n v="2.8439999999999997E-3"/>
    <n v="42.66"/>
    <s v="GH"/>
    <x v="11"/>
    <x v="46"/>
    <s v="Q4"/>
    <n v="260"/>
    <n v="57.692307692307693"/>
    <s v="FB Cones"/>
    <n v="1"/>
    <n v="15000"/>
    <n v="42.66"/>
    <n v="57.692307692307693"/>
  </r>
  <r>
    <n v="84149990"/>
    <x v="18"/>
    <n v="42900"/>
    <d v="2023-06-23T00:00:00"/>
    <x v="168"/>
    <x v="33"/>
    <n v="3.7853439999999999E-3"/>
    <n v="162.39125759999999"/>
    <s v="BJ"/>
    <x v="5"/>
    <x v="40"/>
    <s v="Q2"/>
    <n v="240"/>
    <n v="178.75"/>
    <s v="PTS Exports"/>
    <n v="0.9"/>
    <n v="38610"/>
    <n v="146.15213183999998"/>
    <n v="160.875"/>
  </r>
  <r>
    <n v="84135794"/>
    <x v="17"/>
    <n v="7280"/>
    <d v="2023-08-10T00:00:00"/>
    <x v="198"/>
    <x v="35"/>
    <n v="9.0848256361922702E-3"/>
    <n v="66.137530631479734"/>
    <s v="BJ"/>
    <x v="8"/>
    <x v="39"/>
    <s v="Q3"/>
    <n v="125"/>
    <n v="58.24"/>
    <s v="2.4 Gal"/>
    <n v="0.85"/>
    <n v="6188"/>
    <n v="56.216901036757776"/>
    <n v="49.503999999999998"/>
  </r>
  <r>
    <n v="84135795"/>
    <x v="17"/>
    <n v="18720"/>
    <d v="2023-08-10T00:00:00"/>
    <x v="265"/>
    <x v="35"/>
    <n v="9.0848256361922702E-3"/>
    <n v="170.06793590951929"/>
    <s v="BJ"/>
    <x v="8"/>
    <x v="39"/>
    <s v="Q3"/>
    <n v="125"/>
    <n v="149.76"/>
    <s v="2.4 Gal"/>
    <n v="0.85"/>
    <n v="15912"/>
    <n v="144.5577455230914"/>
    <n v="127.29599999999999"/>
  </r>
  <r>
    <n v="84135799"/>
    <x v="17"/>
    <n v="18720"/>
    <d v="2023-08-10T00:00:00"/>
    <x v="232"/>
    <x v="35"/>
    <n v="9.0848256361922702E-3"/>
    <n v="170.06793590951929"/>
    <s v="BJ"/>
    <x v="8"/>
    <x v="39"/>
    <s v="Q3"/>
    <n v="125"/>
    <n v="149.76"/>
    <s v="2.4 Gal"/>
    <n v="0.85"/>
    <n v="15912"/>
    <n v="144.5577455230914"/>
    <n v="127.29599999999999"/>
  </r>
  <r>
    <n v="84141035"/>
    <x v="17"/>
    <n v="5200"/>
    <d v="2023-08-10T00:00:00"/>
    <x v="278"/>
    <x v="35"/>
    <n v="9.0848256361922702E-3"/>
    <n v="47.241093308199808"/>
    <s v="BJ"/>
    <x v="8"/>
    <x v="39"/>
    <s v="Q3"/>
    <n v="125"/>
    <n v="41.6"/>
    <s v="2.4 Gal"/>
    <n v="0.85"/>
    <n v="4420"/>
    <n v="40.154929311969838"/>
    <n v="35.36"/>
  </r>
  <r>
    <n v="84135799"/>
    <x v="17"/>
    <n v="24960"/>
    <d v="2023-09-18T00:00:00"/>
    <x v="232"/>
    <x v="35"/>
    <n v="9.0848256361922702E-3"/>
    <n v="226.75724787935906"/>
    <s v="BJ"/>
    <x v="9"/>
    <x v="39"/>
    <s v="Q3"/>
    <n v="125"/>
    <n v="199.68"/>
    <s v="2.4 Gal"/>
    <n v="0.85"/>
    <n v="21216"/>
    <n v="192.7436606974552"/>
    <n v="169.72800000000001"/>
  </r>
  <r>
    <n v="84141035"/>
    <x v="17"/>
    <n v="5200"/>
    <d v="2023-09-25T00:00:00"/>
    <x v="278"/>
    <x v="35"/>
    <n v="9.0848256361922702E-3"/>
    <n v="47.241093308199808"/>
    <s v="BJ"/>
    <x v="9"/>
    <x v="39"/>
    <s v="Q3"/>
    <n v="125"/>
    <n v="41.6"/>
    <s v="2.4 Gal"/>
    <n v="0.85"/>
    <n v="4420"/>
    <n v="40.154929311969838"/>
    <n v="35.36"/>
  </r>
  <r>
    <n v="84135799"/>
    <x v="17"/>
    <n v="12480"/>
    <d v="2023-09-25T00:00:00"/>
    <x v="232"/>
    <x v="35"/>
    <n v="9.0848256361922702E-3"/>
    <n v="113.37862393967953"/>
    <s v="BJ"/>
    <x v="9"/>
    <x v="39"/>
    <s v="Q3"/>
    <n v="125"/>
    <n v="99.84"/>
    <s v="2.4 Gal"/>
    <n v="0.85"/>
    <n v="10608"/>
    <n v="96.371830348727599"/>
    <n v="84.864000000000004"/>
  </r>
  <r>
    <n v="67596354"/>
    <x v="17"/>
    <n v="34800"/>
    <d v="2023-07-14T00:00:00"/>
    <x v="317"/>
    <x v="35"/>
    <n v="3.6640000000000002E-3"/>
    <n v="127.50720000000001"/>
    <s v="BJ"/>
    <x v="6"/>
    <x v="24"/>
    <s v="Q3"/>
    <n v="240"/>
    <n v="145"/>
    <s v="PTS Exports"/>
    <n v="0.9"/>
    <n v="31320"/>
    <n v="114.75648000000001"/>
    <n v="130.5"/>
  </r>
  <r>
    <n v="67803006"/>
    <x v="17"/>
    <n v="34800"/>
    <d v="2023-07-14T00:00:00"/>
    <x v="151"/>
    <x v="35"/>
    <n v="3.6640000000000002E-3"/>
    <n v="127.50720000000001"/>
    <s v="BJ"/>
    <x v="6"/>
    <x v="24"/>
    <s v="Q3"/>
    <n v="240"/>
    <n v="145"/>
    <s v="PTS Exports"/>
    <n v="0.9"/>
    <n v="31320"/>
    <n v="114.75648000000001"/>
    <n v="130.5"/>
  </r>
  <r>
    <n v="84135758"/>
    <x v="17"/>
    <n v="64080"/>
    <d v="2023-08-02T00:00:00"/>
    <x v="130"/>
    <x v="33"/>
    <n v="1.4399999999999999E-3"/>
    <n v="92.275199999999998"/>
    <s v="BJ"/>
    <x v="8"/>
    <x v="16"/>
    <s v="Q3"/>
    <n v="510"/>
    <n v="125.64705882352941"/>
    <s v="B&amp;J Cups"/>
    <n v="0.85"/>
    <n v="54468"/>
    <n v="78.433920000000001"/>
    <n v="106.8"/>
  </r>
  <r>
    <n v="84137701"/>
    <x v="17"/>
    <n v="32040"/>
    <d v="2023-08-02T00:00:00"/>
    <x v="37"/>
    <x v="33"/>
    <n v="1.4399999999999999E-3"/>
    <n v="46.137599999999999"/>
    <s v="BJ"/>
    <x v="8"/>
    <x v="16"/>
    <s v="Q3"/>
    <n v="510"/>
    <n v="62.823529411764703"/>
    <s v="B&amp;J Cups"/>
    <n v="0.85"/>
    <n v="27234"/>
    <n v="39.21696"/>
    <n v="53.4"/>
  </r>
  <r>
    <n v="68409142"/>
    <x v="17"/>
    <n v="32040"/>
    <d v="2023-12-18T00:00:00"/>
    <x v="60"/>
    <x v="35"/>
    <n v="1.419504E-3"/>
    <n v="45.480908159999998"/>
    <s v="BJ"/>
    <x v="11"/>
    <x v="25"/>
    <s v="Q4"/>
    <n v="510"/>
    <n v="62.823529411764703"/>
    <s v="B&amp;J Dog Treat"/>
    <n v="0.85"/>
    <n v="27234"/>
    <n v="38.658771936000001"/>
    <n v="53.4"/>
  </r>
  <r>
    <n v="68409143"/>
    <x v="17"/>
    <n v="32040"/>
    <d v="2023-12-18T00:00:00"/>
    <x v="137"/>
    <x v="35"/>
    <n v="1.419504E-3"/>
    <n v="45.480908159999998"/>
    <s v="BJ"/>
    <x v="11"/>
    <x v="25"/>
    <s v="Q4"/>
    <n v="510"/>
    <n v="62.823529411764703"/>
    <s v="B&amp;J Dog Treat"/>
    <n v="0.85"/>
    <n v="27234"/>
    <n v="38.658771936000001"/>
    <n v="53.4"/>
  </r>
  <r>
    <n v="68188183"/>
    <x v="15"/>
    <n v="13500"/>
    <d v="2023-10-02T00:00:00"/>
    <x v="70"/>
    <x v="9"/>
    <n v="3.8340000000000002E-3"/>
    <n v="51.759"/>
    <s v="PS"/>
    <x v="7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0-09T00:00:00"/>
    <x v="70"/>
    <x v="9"/>
    <n v="3.8340000000000002E-3"/>
    <n v="51.759"/>
    <s v="PS"/>
    <x v="7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0-16T00:00:00"/>
    <x v="70"/>
    <x v="9"/>
    <n v="3.8340000000000002E-3"/>
    <n v="51.759"/>
    <s v="PS"/>
    <x v="7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0-23T00:00:00"/>
    <x v="70"/>
    <x v="9"/>
    <n v="3.8340000000000002E-3"/>
    <n v="51.759"/>
    <s v="PS"/>
    <x v="7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0-30T00:00:00"/>
    <x v="70"/>
    <x v="9"/>
    <n v="3.8340000000000002E-3"/>
    <n v="51.759"/>
    <s v="PS"/>
    <x v="7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1-06T00:00:00"/>
    <x v="70"/>
    <x v="9"/>
    <n v="3.8340000000000002E-3"/>
    <n v="51.759"/>
    <s v="PS"/>
    <x v="10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1-13T00:00:00"/>
    <x v="70"/>
    <x v="9"/>
    <n v="3.8340000000000002E-3"/>
    <n v="51.759"/>
    <s v="PS"/>
    <x v="10"/>
    <x v="3"/>
    <s v="Q4"/>
    <n v="130"/>
    <n v="103.84615384615384"/>
    <s v="PG"/>
    <n v="0.9"/>
    <n v="12150"/>
    <n v="46.583100000000002"/>
    <n v="93.461538461538453"/>
  </r>
  <r>
    <n v="68188183"/>
    <x v="15"/>
    <n v="7500"/>
    <d v="2023-11-20T00:00:00"/>
    <x v="70"/>
    <x v="9"/>
    <n v="3.8340000000000002E-3"/>
    <n v="28.755000000000003"/>
    <s v="PS"/>
    <x v="10"/>
    <x v="3"/>
    <s v="Q4"/>
    <n v="130"/>
    <n v="57.692307692307693"/>
    <s v="PG"/>
    <n v="0.9"/>
    <n v="6750"/>
    <n v="25.879500000000004"/>
    <n v="51.923076923076927"/>
  </r>
  <r>
    <n v="68188183"/>
    <x v="15"/>
    <n v="13500"/>
    <d v="2023-11-27T00:00:00"/>
    <x v="70"/>
    <x v="9"/>
    <n v="3.8340000000000002E-3"/>
    <n v="51.759"/>
    <s v="PS"/>
    <x v="10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2-04T00:00:00"/>
    <x v="70"/>
    <x v="9"/>
    <n v="3.8340000000000002E-3"/>
    <n v="51.759"/>
    <s v="PS"/>
    <x v="11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2-11T00:00:00"/>
    <x v="70"/>
    <x v="9"/>
    <n v="3.8340000000000002E-3"/>
    <n v="51.759"/>
    <s v="PS"/>
    <x v="11"/>
    <x v="3"/>
    <s v="Q4"/>
    <n v="130"/>
    <n v="103.84615384615384"/>
    <s v="PG"/>
    <n v="0.9"/>
    <n v="12150"/>
    <n v="46.583100000000002"/>
    <n v="93.461538461538453"/>
  </r>
  <r>
    <n v="68188183"/>
    <x v="15"/>
    <n v="13500"/>
    <d v="2023-12-18T00:00:00"/>
    <x v="70"/>
    <x v="9"/>
    <n v="3.8340000000000002E-3"/>
    <n v="51.759"/>
    <s v="PS"/>
    <x v="11"/>
    <x v="3"/>
    <s v="Q4"/>
    <n v="130"/>
    <n v="103.84615384615384"/>
    <s v="PG"/>
    <n v="0.9"/>
    <n v="12150"/>
    <n v="46.583100000000002"/>
    <n v="93.461538461538453"/>
  </r>
  <r>
    <n v="67466492"/>
    <x v="3"/>
    <s v="PS O/C/G 6-18PK"/>
    <d v="2023-07-03T00:00:00"/>
    <x v="435"/>
    <x v="1"/>
    <m/>
    <m/>
    <m/>
    <x v="12"/>
    <x v="53"/>
    <m/>
    <m/>
    <m/>
    <m/>
    <m/>
    <m/>
    <m/>
    <m/>
  </r>
  <r>
    <n v="67466492"/>
    <x v="3"/>
    <s v="PS O/C/G 6-18PK"/>
    <m/>
    <x v="435"/>
    <x v="1"/>
    <m/>
    <m/>
    <m/>
    <x v="12"/>
    <x v="53"/>
    <m/>
    <m/>
    <m/>
    <m/>
    <m/>
    <m/>
    <m/>
    <m/>
  </r>
  <r>
    <n v="67466492"/>
    <x v="3"/>
    <s v="PS O/C/G 6-18PK"/>
    <m/>
    <x v="435"/>
    <x v="1"/>
    <m/>
    <m/>
    <m/>
    <x v="12"/>
    <x v="53"/>
    <m/>
    <m/>
    <m/>
    <m/>
    <m/>
    <m/>
    <m/>
    <m/>
  </r>
  <r>
    <n v="69629468"/>
    <x v="15"/>
    <n v="24000"/>
    <d v="2023-12-04T00:00:00"/>
    <x v="30"/>
    <x v="29"/>
    <n v="5.2680000000000001E-3"/>
    <n v="126.432"/>
    <s v="PS"/>
    <x v="11"/>
    <x v="3"/>
    <s v="Q4"/>
    <n v="130"/>
    <n v="184.61538461538461"/>
    <s v="PG"/>
    <n v="0.9"/>
    <n v="21600"/>
    <n v="113.78880000000001"/>
    <n v="166.15384615384616"/>
  </r>
  <r>
    <n v="69629468"/>
    <x v="15"/>
    <n v="24000"/>
    <d v="2023-12-11T00:00:00"/>
    <x v="30"/>
    <x v="29"/>
    <n v="5.2680000000000001E-3"/>
    <n v="126.432"/>
    <s v="PS"/>
    <x v="11"/>
    <x v="3"/>
    <s v="Q4"/>
    <n v="130"/>
    <n v="184.61538461538461"/>
    <s v="PG"/>
    <n v="0.9"/>
    <n v="21600"/>
    <n v="113.78880000000001"/>
    <n v="166.15384615384616"/>
  </r>
  <r>
    <n v="69629468"/>
    <x v="15"/>
    <n v="24000"/>
    <d v="2023-12-12T00:00:00"/>
    <x v="30"/>
    <x v="29"/>
    <n v="5.2680000000000001E-3"/>
    <n v="126.432"/>
    <s v="PS"/>
    <x v="11"/>
    <x v="3"/>
    <s v="Q4"/>
    <n v="130"/>
    <n v="184.61538461538461"/>
    <s v="PG"/>
    <n v="0.9"/>
    <n v="21600"/>
    <n v="113.78880000000001"/>
    <n v="166.15384615384616"/>
  </r>
  <r>
    <n v="69572659"/>
    <x v="16"/>
    <n v="35000"/>
    <d v="2023-07-31T00:00:00"/>
    <x v="5"/>
    <x v="5"/>
    <n v="2.1520000000000003E-3"/>
    <n v="75.320000000000007"/>
    <s v="MG"/>
    <x v="6"/>
    <x v="5"/>
    <s v="Q3"/>
    <n v="210"/>
    <n v="166.66666666666666"/>
    <s v="MG Sticks"/>
    <n v="0.93"/>
    <n v="32550"/>
    <n v="70.047600000000017"/>
    <n v="155"/>
  </r>
  <r>
    <n v="69572657"/>
    <x v="16"/>
    <n v="71000"/>
    <d v="2023-11-12T00:00:00"/>
    <x v="306"/>
    <x v="5"/>
    <n v="2.1520000000000003E-3"/>
    <n v="152.79200000000003"/>
    <s v="MG"/>
    <x v="10"/>
    <x v="5"/>
    <s v="Q4"/>
    <n v="210"/>
    <n v="338.09523809523807"/>
    <s v="MG Sticks"/>
    <n v="0.93"/>
    <n v="66030"/>
    <n v="142.09656000000004"/>
    <n v="314.42857142857144"/>
  </r>
  <r>
    <n v="68649101"/>
    <x v="16"/>
    <n v="36000"/>
    <d v="2023-11-20T00:00:00"/>
    <x v="436"/>
    <x v="5"/>
    <n v="2.0400000000000001E-3"/>
    <n v="73.440000000000012"/>
    <s v="MG"/>
    <x v="10"/>
    <x v="5"/>
    <s v="Q4"/>
    <n v="210"/>
    <n v="171.42857142857142"/>
    <s v="MG Sticks"/>
    <n v="0.93"/>
    <n v="33480"/>
    <n v="68.299200000000013"/>
    <n v="159.42857142857142"/>
  </r>
  <r>
    <n v="68410353"/>
    <x v="16"/>
    <m/>
    <d v="2023-11-20T00:00:00"/>
    <x v="364"/>
    <x v="5"/>
    <n v="1.98E-3"/>
    <n v="0"/>
    <s v="MG"/>
    <x v="10"/>
    <x v="5"/>
    <s v="Q4"/>
    <n v="176"/>
    <n v="0"/>
    <s v="MG Sticks"/>
    <n v="0.93"/>
    <n v="0"/>
    <n v="0"/>
    <n v="0"/>
  </r>
  <r>
    <n v="69577493"/>
    <x v="16"/>
    <n v="35000"/>
    <d v="2023-11-27T00:00:00"/>
    <x v="252"/>
    <x v="5"/>
    <n v="2.0400000000000001E-3"/>
    <n v="71.400000000000006"/>
    <s v="MG"/>
    <x v="10"/>
    <x v="5"/>
    <s v="Q4"/>
    <n v="210"/>
    <n v="166.66666666666666"/>
    <s v="MG Sticks"/>
    <n v="0.93"/>
    <n v="32550"/>
    <n v="66.402000000000015"/>
    <n v="155"/>
  </r>
  <r>
    <n v="69572544"/>
    <x v="16"/>
    <n v="44000"/>
    <d v="2023-10-16T00:00:00"/>
    <x v="171"/>
    <x v="14"/>
    <n v="1.9740000000000001E-3"/>
    <n v="86.856000000000009"/>
    <s v="MG"/>
    <x v="7"/>
    <x v="5"/>
    <s v="Q4"/>
    <n v="176"/>
    <n v="250"/>
    <s v="MG Sticks"/>
    <n v="0.93"/>
    <n v="40920"/>
    <n v="80.776080000000007"/>
    <n v="232.5"/>
  </r>
  <r>
    <n v="69572544"/>
    <x v="16"/>
    <n v="44000"/>
    <d v="2023-10-30T00:00:00"/>
    <x v="171"/>
    <x v="14"/>
    <n v="1.9740000000000001E-3"/>
    <n v="86.856000000000009"/>
    <s v="MG"/>
    <x v="7"/>
    <x v="5"/>
    <s v="Q4"/>
    <n v="176"/>
    <n v="250"/>
    <s v="MG Sticks"/>
    <n v="0.93"/>
    <n v="40920"/>
    <n v="80.776080000000007"/>
    <n v="232.5"/>
  </r>
  <r>
    <n v="69591665"/>
    <x v="16"/>
    <n v="24480"/>
    <d v="2023-11-27T00:00:00"/>
    <x v="31"/>
    <x v="14"/>
    <n v="4.2560000000000002E-3"/>
    <n v="104.18688"/>
    <s v="BR"/>
    <x v="10"/>
    <x v="5"/>
    <s v="Q4"/>
    <n v="143"/>
    <n v="171.1888111888112"/>
    <s v="MG Sticks"/>
    <n v="0.93"/>
    <n v="22766.400000000001"/>
    <n v="96.893798400000009"/>
    <n v="159.20559440559441"/>
  </r>
  <r>
    <n v="69591653"/>
    <x v="16"/>
    <n v="43350"/>
    <d v="2023-12-12T00:00:00"/>
    <x v="365"/>
    <x v="14"/>
    <n v="1.98E-3"/>
    <n v="85.832999999999998"/>
    <s v="MG"/>
    <x v="11"/>
    <x v="5"/>
    <s v="Q4"/>
    <n v="176"/>
    <n v="246.30681818181819"/>
    <s v="MG Sticks"/>
    <n v="0.93"/>
    <n v="40315.5"/>
    <n v="79.824690000000004"/>
    <n v="229.06534090909093"/>
  </r>
  <r>
    <n v="69591653"/>
    <x v="16"/>
    <n v="43350"/>
    <d v="2023-12-25T00:00:00"/>
    <x v="365"/>
    <x v="14"/>
    <n v="1.98E-3"/>
    <n v="85.832999999999998"/>
    <s v="MG"/>
    <x v="11"/>
    <x v="5"/>
    <s v="Q4"/>
    <n v="176"/>
    <n v="246.30681818181819"/>
    <s v="MG Sticks"/>
    <n v="0.93"/>
    <n v="40315.5"/>
    <n v="79.824690000000004"/>
    <n v="229.06534090909093"/>
  </r>
  <r>
    <n v="69673010"/>
    <x v="16"/>
    <n v="32550"/>
    <d v="2023-11-06T00:00:00"/>
    <x v="360"/>
    <x v="14"/>
    <n v="1.98E-3"/>
    <n v="64.448999999999998"/>
    <s v="MG"/>
    <x v="10"/>
    <x v="5"/>
    <s v="Q4"/>
    <n v="143"/>
    <n v="227.62237762237763"/>
    <s v="MG Sticks"/>
    <n v="0.93"/>
    <n v="30271.5"/>
    <n v="59.937570000000001"/>
    <n v="211.6888111888112"/>
  </r>
  <r>
    <n v="68689251"/>
    <x v="15"/>
    <n v="3513"/>
    <d v="2023-05-01T00:00:00"/>
    <x v="17"/>
    <x v="19"/>
    <n v="9.5760000000000012E-3"/>
    <n v="33.640488000000005"/>
    <s v="KL"/>
    <x v="4"/>
    <x v="8"/>
    <s v="Q2"/>
    <n v="132"/>
    <n v="26.613636363636363"/>
    <s v="EDF"/>
    <n v="0.93"/>
    <n v="3267.09"/>
    <n v="31.285653840000005"/>
    <n v="24.750681818181818"/>
  </r>
  <r>
    <n v="68710277"/>
    <x v="15"/>
    <n v="3555"/>
    <d v="2023-05-01T00:00:00"/>
    <x v="20"/>
    <x v="20"/>
    <n v="8.5199999999999998E-3"/>
    <n v="30.288599999999999"/>
    <s v="KL"/>
    <x v="4"/>
    <x v="8"/>
    <s v="Q2"/>
    <n v="132"/>
    <n v="26.931818181818183"/>
    <s v="EDF"/>
    <n v="0.93"/>
    <n v="3306.15"/>
    <n v="28.168398"/>
    <n v="25.046590909090913"/>
  </r>
  <r>
    <n v="68852591"/>
    <x v="15"/>
    <n v="4125"/>
    <d v="2023-05-01T00:00:00"/>
    <x v="26"/>
    <x v="17"/>
    <n v="8.5199999999999998E-3"/>
    <n v="35.144999999999996"/>
    <s v="KL"/>
    <x v="4"/>
    <x v="8"/>
    <s v="Q2"/>
    <n v="132"/>
    <n v="31.25"/>
    <s v="EDF"/>
    <n v="0.93"/>
    <n v="3836.25"/>
    <n v="32.684849999999997"/>
    <n v="29.0625"/>
  </r>
  <r>
    <n v="68746232"/>
    <x v="16"/>
    <n v="0"/>
    <d v="2023-05-01T00:00:00"/>
    <x v="154"/>
    <x v="26"/>
    <n v="9.5879999999999993E-3"/>
    <n v="0"/>
    <s v="KL"/>
    <x v="4"/>
    <x v="12"/>
    <s v="Q2"/>
    <n v="132"/>
    <n v="0"/>
    <s v="EDF"/>
    <n v="0.93"/>
    <n v="0"/>
    <n v="0"/>
    <n v="0"/>
  </r>
  <r>
    <n v="68852591"/>
    <x v="16"/>
    <n v="3300"/>
    <d v="2023-05-01T00:00:00"/>
    <x v="26"/>
    <x v="26"/>
    <n v="8.5199999999999998E-3"/>
    <n v="28.116"/>
    <s v="KL"/>
    <x v="4"/>
    <x v="12"/>
    <s v="Q2"/>
    <n v="132"/>
    <n v="25"/>
    <s v="EDF"/>
    <n v="0.93"/>
    <n v="3069"/>
    <n v="26.147880000000001"/>
    <n v="23.25"/>
  </r>
  <r>
    <n v="68917388"/>
    <x v="15"/>
    <n v="9774"/>
    <d v="2023-05-01T00:00:00"/>
    <x v="287"/>
    <x v="36"/>
    <n v="3.9119999999999997E-3"/>
    <n v="38.235887999999996"/>
    <s v="KL"/>
    <x v="4"/>
    <x v="28"/>
    <s v="Q2"/>
    <n v="322"/>
    <n v="30.354037267080745"/>
    <s v="EFW"/>
    <n v="0.95"/>
    <n v="9285.2999999999993"/>
    <n v="36.324093599999998"/>
    <n v="28.836335403726707"/>
  </r>
  <r>
    <n v="68689253"/>
    <x v="16"/>
    <n v="3080"/>
    <d v="2023-05-01T00:00:00"/>
    <x v="125"/>
    <x v="18"/>
    <n v="6.0035555555555554E-3"/>
    <n v="18.490951111111112"/>
    <s v="KL"/>
    <x v="4"/>
    <x v="9"/>
    <s v="Q2"/>
    <n v="120"/>
    <n v="25.666666666666668"/>
    <s v="ESS"/>
    <n v="0.95"/>
    <n v="2926"/>
    <n v="17.566403555555556"/>
    <n v="24.383333333333333"/>
  </r>
  <r>
    <n v="68889812"/>
    <x v="16"/>
    <n v="4879"/>
    <d v="2023-05-01T00:00:00"/>
    <x v="27"/>
    <x v="27"/>
    <n v="3.192E-3"/>
    <n v="15.573767999999999"/>
    <s v="KL"/>
    <x v="4"/>
    <x v="9"/>
    <s v="Q2"/>
    <n v="300"/>
    <n v="16.263333333333332"/>
    <s v="ESS"/>
    <n v="0.95"/>
    <n v="4635.05"/>
    <n v="14.795079599999999"/>
    <n v="15.450166666666664"/>
  </r>
  <r>
    <n v="68689251"/>
    <x v="15"/>
    <n v="4612"/>
    <d v="2023-05-02T00:00:00"/>
    <x v="17"/>
    <x v="19"/>
    <n v="9.5760000000000012E-3"/>
    <n v="44.164512000000002"/>
    <s v="KL"/>
    <x v="4"/>
    <x v="8"/>
    <s v="Q2"/>
    <n v="132"/>
    <n v="34.939393939393938"/>
    <s v="EDF"/>
    <n v="0.93"/>
    <n v="4289.16"/>
    <n v="41.072996160000002"/>
    <n v="32.493636363636362"/>
  </r>
  <r>
    <n v="68710277"/>
    <x v="15"/>
    <n v="5475"/>
    <d v="2023-05-02T00:00:00"/>
    <x v="20"/>
    <x v="20"/>
    <n v="8.5199999999999998E-3"/>
    <n v="46.646999999999998"/>
    <s v="KL"/>
    <x v="4"/>
    <x v="8"/>
    <s v="Q2"/>
    <n v="132"/>
    <n v="41.477272727272727"/>
    <s v="EDF"/>
    <n v="0.93"/>
    <n v="5091.75"/>
    <n v="43.381709999999998"/>
    <n v="38.57386363636364"/>
  </r>
  <r>
    <n v="68852591"/>
    <x v="15"/>
    <n v="5566"/>
    <d v="2023-05-02T00:00:00"/>
    <x v="26"/>
    <x v="17"/>
    <n v="8.5199999999999998E-3"/>
    <n v="47.422319999999999"/>
    <s v="KL"/>
    <x v="4"/>
    <x v="8"/>
    <s v="Q2"/>
    <n v="132"/>
    <n v="42.166666666666664"/>
    <s v="EDF"/>
    <n v="0.93"/>
    <n v="5176.38"/>
    <n v="44.102757600000004"/>
    <n v="39.215000000000003"/>
  </r>
  <r>
    <n v="68852591"/>
    <x v="16"/>
    <n v="5940"/>
    <d v="2023-05-02T00:00:00"/>
    <x v="26"/>
    <x v="26"/>
    <n v="8.5199999999999998E-3"/>
    <n v="50.608800000000002"/>
    <s v="KL"/>
    <x v="4"/>
    <x v="12"/>
    <s v="Q2"/>
    <n v="132"/>
    <n v="45"/>
    <s v="EDF"/>
    <n v="0.93"/>
    <n v="5524.2000000000007"/>
    <n v="47.066184000000007"/>
    <n v="41.85"/>
  </r>
  <r>
    <n v="68917388"/>
    <x v="15"/>
    <n v="8632"/>
    <d v="2023-05-02T00:00:00"/>
    <x v="287"/>
    <x v="36"/>
    <n v="3.9119999999999997E-3"/>
    <n v="33.768383999999998"/>
    <s v="KL"/>
    <x v="4"/>
    <x v="28"/>
    <s v="Q2"/>
    <n v="322"/>
    <n v="26.80745341614907"/>
    <s v="EFW"/>
    <n v="0.95"/>
    <n v="8200.4"/>
    <n v="32.079964799999999"/>
    <n v="25.467080745341615"/>
  </r>
  <r>
    <n v="68689253"/>
    <x v="16"/>
    <n v="3875"/>
    <d v="2023-05-02T00:00:00"/>
    <x v="125"/>
    <x v="18"/>
    <n v="6.0035555555555554E-3"/>
    <n v="23.263777777777776"/>
    <s v="KL"/>
    <x v="4"/>
    <x v="9"/>
    <s v="Q2"/>
    <n v="120"/>
    <n v="32.291666666666664"/>
    <s v="ESS"/>
    <n v="0.95"/>
    <n v="3681.25"/>
    <n v="22.100588888888886"/>
    <n v="30.677083333333329"/>
  </r>
  <r>
    <n v="68889812"/>
    <x v="16"/>
    <n v="6579"/>
    <d v="2023-05-02T00:00:00"/>
    <x v="27"/>
    <x v="27"/>
    <n v="3.192E-3"/>
    <n v="21.000167999999999"/>
    <s v="KL"/>
    <x v="4"/>
    <x v="9"/>
    <s v="Q2"/>
    <n v="300"/>
    <n v="21.93"/>
    <s v="ESS"/>
    <n v="0.95"/>
    <n v="6250.0499999999993"/>
    <n v="19.950159599999999"/>
    <n v="20.833499999999997"/>
  </r>
  <r>
    <n v="68689251"/>
    <x v="15"/>
    <n v="4824"/>
    <d v="2023-05-03T00:00:00"/>
    <x v="17"/>
    <x v="19"/>
    <n v="9.5760000000000012E-3"/>
    <n v="46.194624000000005"/>
    <s v="KL"/>
    <x v="4"/>
    <x v="8"/>
    <s v="Q2"/>
    <n v="132"/>
    <n v="36.545454545454547"/>
    <s v="EDF"/>
    <n v="0.93"/>
    <n v="4486.3200000000006"/>
    <n v="42.961000320000004"/>
    <n v="33.987272727272732"/>
  </r>
  <r>
    <n v="68709233"/>
    <x v="15"/>
    <n v="1041"/>
    <d v="2023-05-03T00:00:00"/>
    <x v="19"/>
    <x v="20"/>
    <n v="8.4960000000000001E-3"/>
    <n v="8.8443360000000002"/>
    <s v="KL"/>
    <x v="4"/>
    <x v="8"/>
    <s v="Q2"/>
    <n v="132"/>
    <n v="7.8863636363636367"/>
    <s v="EDF"/>
    <n v="0.93"/>
    <n v="968.13"/>
    <n v="8.2252324800000007"/>
    <n v="7.3343181818181824"/>
  </r>
  <r>
    <n v="68710277"/>
    <x v="15"/>
    <n v="3030"/>
    <d v="2023-05-03T00:00:00"/>
    <x v="20"/>
    <x v="20"/>
    <n v="8.5199999999999998E-3"/>
    <n v="25.8156"/>
    <s v="KL"/>
    <x v="4"/>
    <x v="8"/>
    <s v="Q2"/>
    <n v="132"/>
    <n v="22.954545454545453"/>
    <s v="EDF"/>
    <n v="0.93"/>
    <n v="2817.9"/>
    <n v="24.008508000000003"/>
    <n v="21.347727272727273"/>
  </r>
  <r>
    <n v="68852591"/>
    <x v="15"/>
    <n v="4076"/>
    <d v="2023-05-03T00:00:00"/>
    <x v="26"/>
    <x v="17"/>
    <n v="8.5199999999999998E-3"/>
    <n v="34.727519999999998"/>
    <s v="KL"/>
    <x v="4"/>
    <x v="8"/>
    <s v="Q2"/>
    <n v="132"/>
    <n v="30.878787878787879"/>
    <s v="EDF"/>
    <n v="0.93"/>
    <n v="3790.6800000000003"/>
    <n v="32.296593600000001"/>
    <n v="28.717272727272729"/>
  </r>
  <r>
    <n v="68852591"/>
    <x v="16"/>
    <n v="5069"/>
    <d v="2023-05-03T00:00:00"/>
    <x v="26"/>
    <x v="26"/>
    <n v="8.5199999999999998E-3"/>
    <n v="43.18788"/>
    <s v="KL"/>
    <x v="4"/>
    <x v="12"/>
    <s v="Q2"/>
    <n v="132"/>
    <n v="38.401515151515149"/>
    <s v="EDF"/>
    <n v="0.93"/>
    <n v="4714.17"/>
    <n v="40.164728400000001"/>
    <n v="35.713409090909089"/>
  </r>
  <r>
    <n v="68917388"/>
    <x v="15"/>
    <n v="8236"/>
    <d v="2023-05-03T00:00:00"/>
    <x v="287"/>
    <x v="36"/>
    <n v="3.9119999999999997E-3"/>
    <n v="32.219231999999998"/>
    <s v="KL"/>
    <x v="4"/>
    <x v="28"/>
    <s v="Q2"/>
    <n v="322"/>
    <n v="25.577639751552795"/>
    <s v="EFW"/>
    <n v="0.95"/>
    <n v="7824.2"/>
    <n v="30.608270399999995"/>
    <n v="24.298757763975154"/>
  </r>
  <r>
    <n v="68689253"/>
    <x v="16"/>
    <n v="3189"/>
    <d v="2023-05-03T00:00:00"/>
    <x v="125"/>
    <x v="18"/>
    <n v="6.0035555555555554E-3"/>
    <n v="19.145338666666667"/>
    <s v="KL"/>
    <x v="4"/>
    <x v="9"/>
    <s v="Q2"/>
    <n v="120"/>
    <n v="26.574999999999999"/>
    <s v="ESS"/>
    <n v="0.95"/>
    <n v="3029.5499999999997"/>
    <n v="18.188071733333334"/>
    <n v="25.24625"/>
  </r>
  <r>
    <n v="68889812"/>
    <x v="16"/>
    <n v="4971"/>
    <d v="2023-05-03T00:00:00"/>
    <x v="27"/>
    <x v="27"/>
    <n v="3.192E-3"/>
    <n v="15.867431999999999"/>
    <s v="KL"/>
    <x v="4"/>
    <x v="9"/>
    <s v="Q2"/>
    <n v="300"/>
    <n v="16.57"/>
    <s v="ESS"/>
    <n v="0.95"/>
    <n v="4722.45"/>
    <n v="15.074060399999999"/>
    <n v="15.7415"/>
  </r>
  <r>
    <n v="68689251"/>
    <x v="15"/>
    <n v="3716"/>
    <d v="2023-05-04T00:00:00"/>
    <x v="17"/>
    <x v="19"/>
    <n v="9.5760000000000012E-3"/>
    <n v="35.584416000000004"/>
    <s v="KL"/>
    <x v="4"/>
    <x v="8"/>
    <s v="Q2"/>
    <n v="132"/>
    <n v="28.151515151515152"/>
    <s v="EDF"/>
    <n v="0.93"/>
    <n v="3455.88"/>
    <n v="33.093506880000007"/>
    <n v="26.180909090909093"/>
  </r>
  <r>
    <n v="68709233"/>
    <x v="15"/>
    <n v="6570"/>
    <d v="2023-05-04T00:00:00"/>
    <x v="19"/>
    <x v="20"/>
    <n v="8.4960000000000001E-3"/>
    <n v="55.818719999999999"/>
    <s v="KL"/>
    <x v="4"/>
    <x v="8"/>
    <s v="Q2"/>
    <n v="132"/>
    <n v="49.772727272727273"/>
    <s v="EDF"/>
    <n v="0.93"/>
    <n v="6110.1"/>
    <n v="51.911409599999999"/>
    <n v="46.288636363636364"/>
  </r>
  <r>
    <n v="68709233"/>
    <x v="15"/>
    <n v="0"/>
    <d v="2023-05-04T00:00:00"/>
    <x v="19"/>
    <x v="19"/>
    <n v="8.4960000000000001E-3"/>
    <n v="0"/>
    <s v="KL"/>
    <x v="4"/>
    <x v="8"/>
    <s v="Q2"/>
    <n v="132"/>
    <n v="0"/>
    <s v="EDF"/>
    <n v="0.93"/>
    <n v="0"/>
    <n v="0"/>
    <n v="0"/>
  </r>
  <r>
    <n v="68710277"/>
    <x v="15"/>
    <n v="0"/>
    <d v="2023-05-04T00:00:00"/>
    <x v="20"/>
    <x v="20"/>
    <n v="8.5199999999999998E-3"/>
    <n v="0"/>
    <s v="KL"/>
    <x v="4"/>
    <x v="8"/>
    <s v="Q2"/>
    <n v="132"/>
    <n v="0"/>
    <s v="EDF"/>
    <n v="0.93"/>
    <n v="0"/>
    <n v="0"/>
    <n v="0"/>
  </r>
  <r>
    <n v="68852591"/>
    <x v="15"/>
    <n v="5072"/>
    <d v="2023-05-04T00:00:00"/>
    <x v="26"/>
    <x v="17"/>
    <n v="8.5199999999999998E-3"/>
    <n v="43.213439999999999"/>
    <s v="KL"/>
    <x v="4"/>
    <x v="8"/>
    <s v="Q2"/>
    <n v="132"/>
    <n v="38.424242424242422"/>
    <s v="EDF"/>
    <n v="0.93"/>
    <n v="4716.96"/>
    <n v="40.188499200000003"/>
    <n v="35.734545454545454"/>
  </r>
  <r>
    <n v="68852591"/>
    <x v="16"/>
    <n v="1975"/>
    <d v="2023-05-04T00:00:00"/>
    <x v="26"/>
    <x v="26"/>
    <n v="8.5199999999999998E-3"/>
    <n v="16.826999999999998"/>
    <s v="KL"/>
    <x v="4"/>
    <x v="12"/>
    <s v="Q2"/>
    <n v="132"/>
    <n v="14.962121212121213"/>
    <s v="EDF"/>
    <n v="0.93"/>
    <n v="1836.75"/>
    <n v="15.649109999999999"/>
    <n v="13.914772727272728"/>
  </r>
  <r>
    <n v="68917388"/>
    <x v="15"/>
    <n v="5621"/>
    <d v="2023-05-04T00:00:00"/>
    <x v="287"/>
    <x v="36"/>
    <n v="3.9119999999999997E-3"/>
    <n v="21.989351999999997"/>
    <s v="KL"/>
    <x v="4"/>
    <x v="28"/>
    <s v="Q2"/>
    <n v="322"/>
    <n v="17.456521739130434"/>
    <s v="EFW"/>
    <n v="0.95"/>
    <n v="5339.95"/>
    <n v="20.889884399999996"/>
    <n v="16.583695652173912"/>
  </r>
  <r>
    <n v="68689253"/>
    <x v="16"/>
    <n v="3716"/>
    <d v="2023-05-04T00:00:00"/>
    <x v="125"/>
    <x v="18"/>
    <n v="6.0035555555555554E-3"/>
    <n v="22.309212444444444"/>
    <s v="KL"/>
    <x v="4"/>
    <x v="9"/>
    <s v="Q2"/>
    <n v="120"/>
    <n v="30.966666666666665"/>
    <s v="ESS"/>
    <n v="0.95"/>
    <n v="3530.2"/>
    <n v="21.193751822222222"/>
    <n v="29.418333333333329"/>
  </r>
  <r>
    <n v="68889812"/>
    <x v="16"/>
    <n v="6000"/>
    <d v="2023-05-04T00:00:00"/>
    <x v="27"/>
    <x v="27"/>
    <n v="3.192E-3"/>
    <n v="19.152000000000001"/>
    <s v="KL"/>
    <x v="4"/>
    <x v="9"/>
    <s v="Q2"/>
    <n v="300"/>
    <n v="20"/>
    <s v="ESS"/>
    <n v="0.95"/>
    <n v="5700"/>
    <n v="18.194400000000002"/>
    <n v="19"/>
  </r>
  <r>
    <n v="68689251"/>
    <x v="15"/>
    <n v="4558"/>
    <d v="2023-05-05T00:00:00"/>
    <x v="17"/>
    <x v="19"/>
    <n v="9.5760000000000012E-3"/>
    <n v="43.647408000000006"/>
    <s v="KL"/>
    <x v="4"/>
    <x v="8"/>
    <s v="Q2"/>
    <n v="132"/>
    <n v="34.530303030303031"/>
    <s v="EDF"/>
    <n v="0.93"/>
    <n v="4238.9400000000005"/>
    <n v="40.592089440000009"/>
    <n v="32.113181818181822"/>
  </r>
  <r>
    <n v="68709233"/>
    <x v="15"/>
    <n v="0"/>
    <d v="2023-05-05T00:00:00"/>
    <x v="19"/>
    <x v="20"/>
    <n v="8.4960000000000001E-3"/>
    <n v="0"/>
    <s v="KL"/>
    <x v="4"/>
    <x v="8"/>
    <s v="Q2"/>
    <n v="132"/>
    <n v="0"/>
    <s v="EDF"/>
    <n v="0.93"/>
    <n v="0"/>
    <n v="0"/>
    <n v="0"/>
  </r>
  <r>
    <n v="68709233"/>
    <x v="15"/>
    <n v="5686"/>
    <d v="2023-05-05T00:00:00"/>
    <x v="19"/>
    <x v="20"/>
    <n v="8.4960000000000001E-3"/>
    <n v="48.308256"/>
    <s v="KL"/>
    <x v="4"/>
    <x v="8"/>
    <s v="Q2"/>
    <n v="132"/>
    <n v="43.075757575757578"/>
    <s v="EDF"/>
    <n v="0.93"/>
    <n v="5287.9800000000005"/>
    <n v="44.926678080000002"/>
    <n v="40.060454545454547"/>
  </r>
  <r>
    <n v="68710277"/>
    <x v="15"/>
    <n v="0"/>
    <d v="2023-05-05T00:00:00"/>
    <x v="20"/>
    <x v="20"/>
    <n v="8.5199999999999998E-3"/>
    <n v="0"/>
    <s v="KL"/>
    <x v="4"/>
    <x v="8"/>
    <s v="Q2"/>
    <n v="132"/>
    <n v="0"/>
    <s v="EDF"/>
    <n v="0.93"/>
    <n v="0"/>
    <n v="0"/>
    <n v="0"/>
  </r>
  <r>
    <n v="68852591"/>
    <x v="15"/>
    <n v="1891"/>
    <d v="2023-05-05T00:00:00"/>
    <x v="26"/>
    <x v="17"/>
    <n v="8.5199999999999998E-3"/>
    <n v="16.111319999999999"/>
    <s v="KL"/>
    <x v="4"/>
    <x v="8"/>
    <s v="Q2"/>
    <n v="132"/>
    <n v="14.325757575757576"/>
    <s v="EDF"/>
    <n v="0.93"/>
    <n v="1758.63"/>
    <n v="14.9835276"/>
    <n v="13.322954545454547"/>
  </r>
  <r>
    <n v="68852591"/>
    <x v="15"/>
    <n v="1121"/>
    <d v="2023-05-05T00:00:00"/>
    <x v="26"/>
    <x v="17"/>
    <n v="8.5199999999999998E-3"/>
    <n v="9.5509199999999996"/>
    <s v="KL"/>
    <x v="4"/>
    <x v="8"/>
    <s v="Q2"/>
    <n v="132"/>
    <n v="8.4924242424242422"/>
    <s v="EDF"/>
    <n v="0.93"/>
    <n v="1042.53"/>
    <n v="8.8823556000000004"/>
    <n v="7.8979545454545459"/>
  </r>
  <r>
    <n v="68852591"/>
    <x v="16"/>
    <n v="1054"/>
    <d v="2023-05-05T00:00:00"/>
    <x v="26"/>
    <x v="26"/>
    <n v="8.5199999999999998E-3"/>
    <n v="8.9800799999999992"/>
    <s v="KL"/>
    <x v="4"/>
    <x v="12"/>
    <s v="Q2"/>
    <n v="132"/>
    <n v="7.9848484848484844"/>
    <s v="EDF"/>
    <n v="0.93"/>
    <n v="980.22"/>
    <n v="8.351474399999999"/>
    <n v="7.4259090909090908"/>
  </r>
  <r>
    <n v="68917388"/>
    <x v="15"/>
    <n v="0"/>
    <d v="2023-05-05T00:00:00"/>
    <x v="287"/>
    <x v="36"/>
    <n v="3.9119999999999997E-3"/>
    <n v="0"/>
    <s v="KL"/>
    <x v="4"/>
    <x v="28"/>
    <s v="Q2"/>
    <n v="322"/>
    <n v="0"/>
    <s v="EFW"/>
    <n v="0.95"/>
    <n v="0"/>
    <n v="0"/>
    <n v="0"/>
  </r>
  <r>
    <n v="68689253"/>
    <x v="16"/>
    <n v="2639"/>
    <d v="2023-05-05T00:00:00"/>
    <x v="125"/>
    <x v="18"/>
    <n v="6.0035555555555554E-3"/>
    <n v="15.843383111111111"/>
    <s v="KL"/>
    <x v="4"/>
    <x v="9"/>
    <s v="Q2"/>
    <n v="120"/>
    <n v="21.991666666666667"/>
    <s v="ESS"/>
    <n v="0.95"/>
    <n v="2507.0499999999997"/>
    <n v="15.051213955555555"/>
    <n v="20.892083333333332"/>
  </r>
  <r>
    <n v="68889812"/>
    <x v="16"/>
    <n v="3483"/>
    <d v="2023-05-05T00:00:00"/>
    <x v="27"/>
    <x v="27"/>
    <n v="3.192E-3"/>
    <n v="11.117736000000001"/>
    <s v="KL"/>
    <x v="4"/>
    <x v="9"/>
    <s v="Q2"/>
    <n v="300"/>
    <n v="11.61"/>
    <s v="ESS"/>
    <n v="0.95"/>
    <n v="3308.85"/>
    <n v="10.561849200000001"/>
    <n v="11.029499999999999"/>
  </r>
  <r>
    <n v="68709233"/>
    <x v="15"/>
    <n v="3960"/>
    <d v="2023-05-06T00:00:00"/>
    <x v="19"/>
    <x v="20"/>
    <n v="8.4960000000000001E-3"/>
    <n v="33.644159999999999"/>
    <s v="KL"/>
    <x v="4"/>
    <x v="8"/>
    <s v="Q2"/>
    <n v="132"/>
    <n v="30"/>
    <s v="EDF"/>
    <n v="0.93"/>
    <n v="3682.8"/>
    <n v="31.289068800000003"/>
    <n v="27.900000000000002"/>
  </r>
  <r>
    <n v="68710277"/>
    <x v="15"/>
    <n v="0"/>
    <d v="2023-05-06T00:00:00"/>
    <x v="20"/>
    <x v="20"/>
    <n v="8.5199999999999998E-3"/>
    <n v="0"/>
    <s v="KL"/>
    <x v="4"/>
    <x v="8"/>
    <s v="Q2"/>
    <n v="132"/>
    <n v="0"/>
    <s v="EDF"/>
    <n v="0.93"/>
    <n v="0"/>
    <n v="0"/>
    <n v="0"/>
  </r>
  <r>
    <n v="68710285"/>
    <x v="15"/>
    <n v="0"/>
    <d v="2023-05-06T00:00:00"/>
    <x v="74"/>
    <x v="20"/>
    <n v="8.5199999999999998E-3"/>
    <n v="0"/>
    <s v="KL"/>
    <x v="4"/>
    <x v="8"/>
    <s v="Q2"/>
    <n v="132"/>
    <n v="0"/>
    <s v="EDF"/>
    <n v="0.93"/>
    <n v="0"/>
    <n v="0"/>
    <n v="0"/>
  </r>
  <r>
    <n v="68852591"/>
    <x v="15"/>
    <n v="5848"/>
    <d v="2023-05-06T00:00:00"/>
    <x v="26"/>
    <x v="17"/>
    <n v="8.5199999999999998E-3"/>
    <n v="49.824959999999997"/>
    <s v="KL"/>
    <x v="4"/>
    <x v="8"/>
    <s v="Q2"/>
    <n v="132"/>
    <n v="44.303030303030305"/>
    <s v="EDF"/>
    <n v="0.93"/>
    <n v="5438.64"/>
    <n v="46.337212800000003"/>
    <n v="41.201818181818183"/>
  </r>
  <r>
    <n v="68852591"/>
    <x v="16"/>
    <n v="1314"/>
    <d v="2023-05-06T00:00:00"/>
    <x v="26"/>
    <x v="26"/>
    <n v="8.5199999999999998E-3"/>
    <n v="11.19528"/>
    <s v="KL"/>
    <x v="4"/>
    <x v="12"/>
    <s v="Q2"/>
    <n v="132"/>
    <n v="9.954545454545455"/>
    <s v="EDF"/>
    <n v="0.93"/>
    <n v="1222.02"/>
    <n v="10.411610400000001"/>
    <n v="9.2577272727272728"/>
  </r>
  <r>
    <n v="68709233"/>
    <x v="15"/>
    <n v="0"/>
    <d v="2023-05-07T00:00:00"/>
    <x v="19"/>
    <x v="20"/>
    <n v="8.4960000000000001E-3"/>
    <n v="0"/>
    <s v="KL"/>
    <x v="4"/>
    <x v="8"/>
    <s v="Q2"/>
    <n v="132"/>
    <n v="0"/>
    <s v="EDF"/>
    <n v="0.93"/>
    <n v="0"/>
    <n v="0"/>
    <n v="0"/>
  </r>
  <r>
    <n v="68710277"/>
    <x v="15"/>
    <n v="0"/>
    <d v="2023-05-07T00:00:00"/>
    <x v="20"/>
    <x v="20"/>
    <n v="8.5199999999999998E-3"/>
    <n v="0"/>
    <s v="KL"/>
    <x v="4"/>
    <x v="8"/>
    <s v="Q2"/>
    <n v="132"/>
    <n v="0"/>
    <s v="EDF"/>
    <n v="0.93"/>
    <n v="0"/>
    <n v="0"/>
    <n v="0"/>
  </r>
  <r>
    <n v="68710285"/>
    <x v="15"/>
    <n v="6618"/>
    <d v="2023-05-07T00:00:00"/>
    <x v="74"/>
    <x v="20"/>
    <n v="8.5199999999999998E-3"/>
    <n v="56.385359999999999"/>
    <s v="KL"/>
    <x v="4"/>
    <x v="8"/>
    <s v="Q2"/>
    <n v="132"/>
    <n v="50.136363636363633"/>
    <s v="EDF"/>
    <n v="0.93"/>
    <n v="6154.7400000000007"/>
    <n v="52.438384800000001"/>
    <n v="46.62681818181818"/>
  </r>
  <r>
    <n v="68852591"/>
    <x v="15"/>
    <n v="6200"/>
    <d v="2023-05-07T00:00:00"/>
    <x v="26"/>
    <x v="17"/>
    <n v="8.5199999999999998E-3"/>
    <n v="52.823999999999998"/>
    <s v="KL"/>
    <x v="4"/>
    <x v="8"/>
    <s v="Q2"/>
    <n v="132"/>
    <n v="46.969696969696969"/>
    <s v="EDF"/>
    <n v="0.93"/>
    <n v="5766"/>
    <n v="49.12632"/>
    <n v="43.68181818181818"/>
  </r>
  <r>
    <n v="68852591"/>
    <x v="16"/>
    <n v="5816"/>
    <d v="2023-05-07T00:00:00"/>
    <x v="26"/>
    <x v="26"/>
    <n v="8.5199999999999998E-3"/>
    <n v="49.552320000000002"/>
    <s v="KL"/>
    <x v="4"/>
    <x v="12"/>
    <s v="Q2"/>
    <n v="132"/>
    <n v="44.060606060606062"/>
    <s v="EDF"/>
    <n v="0.93"/>
    <n v="5408.88"/>
    <n v="46.083657600000002"/>
    <n v="40.976363636363644"/>
  </r>
  <r>
    <n v="68689251"/>
    <x v="15"/>
    <n v="5720"/>
    <d v="2023-05-08T00:00:00"/>
    <x v="17"/>
    <x v="19"/>
    <n v="9.5760000000000012E-3"/>
    <n v="54.774720000000009"/>
    <s v="KL"/>
    <x v="4"/>
    <x v="8"/>
    <s v="Q2"/>
    <n v="132"/>
    <n v="43.333333333333336"/>
    <s v="EDF"/>
    <n v="0.93"/>
    <n v="5319.6"/>
    <n v="50.940489600000014"/>
    <n v="40.300000000000004"/>
  </r>
  <r>
    <n v="68710285"/>
    <x v="15"/>
    <n v="7486"/>
    <d v="2023-05-08T00:00:00"/>
    <x v="74"/>
    <x v="20"/>
    <n v="8.5199999999999998E-3"/>
    <n v="63.780719999999995"/>
    <s v="KL"/>
    <x v="4"/>
    <x v="8"/>
    <s v="Q2"/>
    <n v="132"/>
    <n v="56.712121212121211"/>
    <s v="EDF"/>
    <n v="0.93"/>
    <n v="6961.9800000000005"/>
    <n v="59.316069599999999"/>
    <n v="52.742272727272727"/>
  </r>
  <r>
    <n v="68852591"/>
    <x v="15"/>
    <n v="3480"/>
    <d v="2023-05-08T00:00:00"/>
    <x v="26"/>
    <x v="17"/>
    <n v="8.5199999999999998E-3"/>
    <n v="29.6496"/>
    <s v="KL"/>
    <x v="4"/>
    <x v="8"/>
    <s v="Q2"/>
    <n v="132"/>
    <n v="26.363636363636363"/>
    <s v="EDF"/>
    <n v="0.93"/>
    <n v="3236.4"/>
    <n v="27.574128000000002"/>
    <n v="24.518181818181819"/>
  </r>
  <r>
    <n v="68852591"/>
    <x v="15"/>
    <n v="1644"/>
    <d v="2023-05-08T00:00:00"/>
    <x v="26"/>
    <x v="17"/>
    <n v="8.5199999999999998E-3"/>
    <n v="14.006879999999999"/>
    <s v="KL"/>
    <x v="4"/>
    <x v="8"/>
    <s v="Q2"/>
    <n v="132"/>
    <n v="12.454545454545455"/>
    <s v="EDF"/>
    <n v="0.93"/>
    <n v="1528.92"/>
    <n v="13.0263984"/>
    <n v="11.582727272727274"/>
  </r>
  <r>
    <n v="68852591"/>
    <x v="16"/>
    <n v="1427"/>
    <d v="2023-05-08T00:00:00"/>
    <x v="26"/>
    <x v="26"/>
    <n v="8.5199999999999998E-3"/>
    <n v="12.15804"/>
    <s v="KL"/>
    <x v="4"/>
    <x v="12"/>
    <s v="Q2"/>
    <n v="132"/>
    <n v="10.810606060606061"/>
    <s v="EDF"/>
    <n v="0.93"/>
    <n v="1327.1100000000001"/>
    <n v="11.3069772"/>
    <n v="10.053863636363637"/>
  </r>
  <r>
    <n v="68697460"/>
    <x v="16"/>
    <n v="2656"/>
    <d v="2023-05-08T00:00:00"/>
    <x v="18"/>
    <x v="18"/>
    <n v="2.8380000000000002E-3"/>
    <n v="7.5377280000000004"/>
    <s v="KL"/>
    <x v="4"/>
    <x v="9"/>
    <s v="Q2"/>
    <n v="264"/>
    <n v="10.060606060606061"/>
    <s v="ESS"/>
    <n v="0.95"/>
    <n v="2523.1999999999998"/>
    <n v="7.1608416000000004"/>
    <n v="9.5575757575757567"/>
  </r>
  <r>
    <n v="68914406"/>
    <x v="16"/>
    <n v="4689"/>
    <d v="2023-05-08T00:00:00"/>
    <x v="78"/>
    <x v="27"/>
    <n v="2.124E-3"/>
    <n v="9.9594360000000002"/>
    <s v="KL"/>
    <x v="4"/>
    <x v="9"/>
    <s v="Q2"/>
    <n v="352"/>
    <n v="13.321022727272727"/>
    <s v="ESS"/>
    <n v="0.95"/>
    <n v="4454.55"/>
    <n v="9.4614642"/>
    <n v="12.65497159090909"/>
  </r>
  <r>
    <n v="68689251"/>
    <x v="15"/>
    <n v="5286"/>
    <d v="2023-05-09T00:00:00"/>
    <x v="17"/>
    <x v="19"/>
    <n v="9.5760000000000012E-3"/>
    <n v="50.618736000000006"/>
    <s v="KL"/>
    <x v="4"/>
    <x v="8"/>
    <s v="Q2"/>
    <n v="132"/>
    <n v="40.045454545454547"/>
    <s v="EDF"/>
    <n v="0.93"/>
    <n v="4915.9800000000005"/>
    <n v="47.075424480000009"/>
    <n v="37.242272727272727"/>
  </r>
  <r>
    <n v="68710285"/>
    <x v="15"/>
    <n v="6944"/>
    <d v="2023-05-09T00:00:00"/>
    <x v="74"/>
    <x v="20"/>
    <n v="8.5199999999999998E-3"/>
    <n v="59.162880000000001"/>
    <s v="KL"/>
    <x v="4"/>
    <x v="8"/>
    <s v="Q2"/>
    <n v="132"/>
    <n v="52.606060606060609"/>
    <s v="EDF"/>
    <n v="0.93"/>
    <n v="6457.92"/>
    <n v="55.021478400000007"/>
    <n v="48.923636363636369"/>
  </r>
  <r>
    <n v="68852591"/>
    <x v="15"/>
    <n v="5004"/>
    <d v="2023-05-09T00:00:00"/>
    <x v="26"/>
    <x v="17"/>
    <n v="8.5199999999999998E-3"/>
    <n v="42.634079999999997"/>
    <s v="KL"/>
    <x v="4"/>
    <x v="8"/>
    <s v="Q2"/>
    <n v="132"/>
    <n v="37.909090909090907"/>
    <s v="EDF"/>
    <n v="0.93"/>
    <n v="4653.72"/>
    <n v="39.649694400000001"/>
    <n v="35.255454545454548"/>
  </r>
  <r>
    <n v="68852591"/>
    <x v="16"/>
    <n v="4075"/>
    <d v="2023-05-09T00:00:00"/>
    <x v="26"/>
    <x v="26"/>
    <n v="8.5199999999999998E-3"/>
    <n v="34.719000000000001"/>
    <s v="KL"/>
    <x v="4"/>
    <x v="12"/>
    <s v="Q2"/>
    <n v="132"/>
    <n v="30.871212121212121"/>
    <s v="EDF"/>
    <n v="0.93"/>
    <n v="3789.75"/>
    <n v="32.288670000000003"/>
    <n v="28.710227272727273"/>
  </r>
  <r>
    <n v="68917388"/>
    <x v="15"/>
    <n v="0"/>
    <d v="2023-05-09T00:00:00"/>
    <x v="287"/>
    <x v="36"/>
    <n v="3.9119999999999997E-3"/>
    <n v="0"/>
    <s v="KL"/>
    <x v="4"/>
    <x v="28"/>
    <s v="Q2"/>
    <n v="322"/>
    <n v="0"/>
    <s v="EFW"/>
    <n v="0.95"/>
    <n v="0"/>
    <n v="0"/>
    <n v="0"/>
  </r>
  <r>
    <n v="68697460"/>
    <x v="16"/>
    <n v="5349"/>
    <d v="2023-05-09T00:00:00"/>
    <x v="18"/>
    <x v="18"/>
    <n v="2.8380000000000002E-3"/>
    <n v="15.180462000000002"/>
    <s v="KL"/>
    <x v="4"/>
    <x v="9"/>
    <s v="Q2"/>
    <n v="264"/>
    <n v="20.261363636363637"/>
    <s v="ESS"/>
    <n v="0.95"/>
    <n v="5081.55"/>
    <n v="14.421438900000002"/>
    <n v="19.248295454545453"/>
  </r>
  <r>
    <n v="68914406"/>
    <x v="16"/>
    <n v="8629"/>
    <d v="2023-05-09T00:00:00"/>
    <x v="78"/>
    <x v="27"/>
    <n v="2.124E-3"/>
    <n v="18.327995999999999"/>
    <s v="KL"/>
    <x v="4"/>
    <x v="9"/>
    <s v="Q2"/>
    <n v="352"/>
    <n v="24.514204545454547"/>
    <s v="ESS"/>
    <n v="0.95"/>
    <n v="8197.5499999999993"/>
    <n v="17.411596199999998"/>
    <n v="23.288494318181819"/>
  </r>
  <r>
    <n v="68689251"/>
    <x v="15"/>
    <n v="6207"/>
    <d v="2023-05-10T00:00:00"/>
    <x v="17"/>
    <x v="19"/>
    <n v="9.5760000000000012E-3"/>
    <n v="59.438232000000006"/>
    <s v="KL"/>
    <x v="4"/>
    <x v="8"/>
    <s v="Q2"/>
    <n v="132"/>
    <n v="47.022727272727273"/>
    <s v="EDF"/>
    <n v="0.93"/>
    <n v="5772.51"/>
    <n v="55.277555760000006"/>
    <n v="43.731136363636367"/>
  </r>
  <r>
    <n v="68710285"/>
    <x v="15"/>
    <n v="5097"/>
    <d v="2023-05-10T00:00:00"/>
    <x v="74"/>
    <x v="20"/>
    <n v="8.5199999999999998E-3"/>
    <n v="43.426439999999999"/>
    <s v="KL"/>
    <x v="4"/>
    <x v="8"/>
    <s v="Q2"/>
    <n v="132"/>
    <n v="38.613636363636367"/>
    <s v="EDF"/>
    <n v="0.93"/>
    <n v="4740.21"/>
    <n v="40.386589200000003"/>
    <n v="35.910681818181821"/>
  </r>
  <r>
    <n v="68852591"/>
    <x v="15"/>
    <n v="7591"/>
    <d v="2023-05-10T00:00:00"/>
    <x v="26"/>
    <x v="17"/>
    <n v="8.5199999999999998E-3"/>
    <n v="64.675319999999999"/>
    <s v="KL"/>
    <x v="4"/>
    <x v="8"/>
    <s v="Q2"/>
    <n v="132"/>
    <n v="57.507575757575758"/>
    <s v="EDF"/>
    <n v="0.93"/>
    <n v="7059.63"/>
    <n v="60.148047600000005"/>
    <n v="53.482045454545457"/>
  </r>
  <r>
    <n v="68852591"/>
    <x v="16"/>
    <n v="3095"/>
    <d v="2023-05-10T00:00:00"/>
    <x v="26"/>
    <x v="26"/>
    <n v="8.5199999999999998E-3"/>
    <n v="26.369399999999999"/>
    <s v="KL"/>
    <x v="4"/>
    <x v="12"/>
    <s v="Q2"/>
    <n v="132"/>
    <n v="23.446969696969695"/>
    <s v="EDF"/>
    <n v="0.93"/>
    <n v="2878.3500000000004"/>
    <n v="24.523541999999999"/>
    <n v="21.805681818181817"/>
  </r>
  <r>
    <n v="68917388"/>
    <x v="15"/>
    <n v="0"/>
    <d v="2023-05-10T00:00:00"/>
    <x v="287"/>
    <x v="36"/>
    <n v="3.9119999999999997E-3"/>
    <n v="0"/>
    <s v="KL"/>
    <x v="4"/>
    <x v="28"/>
    <s v="Q2"/>
    <n v="322"/>
    <n v="0"/>
    <s v="EFW"/>
    <n v="0.95"/>
    <n v="0"/>
    <n v="0"/>
    <n v="0"/>
  </r>
  <r>
    <n v="69549032"/>
    <x v="15"/>
    <n v="3802"/>
    <d v="2023-05-10T00:00:00"/>
    <x v="79"/>
    <x v="36"/>
    <n v="2.3469132803553457E-3"/>
    <n v="8.9229642919110237"/>
    <s v="GH"/>
    <x v="4"/>
    <x v="28"/>
    <s v="Q2"/>
    <n v="350"/>
    <n v="10.862857142857143"/>
    <s v="EFW"/>
    <n v="0.95"/>
    <n v="3611.8999999999996"/>
    <n v="8.4768160773154726"/>
    <n v="10.319714285714285"/>
  </r>
  <r>
    <n v="68697460"/>
    <x v="16"/>
    <n v="4827"/>
    <d v="2023-05-10T00:00:00"/>
    <x v="18"/>
    <x v="18"/>
    <n v="2.8380000000000002E-3"/>
    <n v="13.699026000000002"/>
    <s v="KL"/>
    <x v="4"/>
    <x v="9"/>
    <s v="Q2"/>
    <n v="264"/>
    <n v="18.28409090909091"/>
    <s v="ESS"/>
    <n v="0.95"/>
    <n v="4585.6499999999996"/>
    <n v="13.014074700000002"/>
    <n v="17.369886363636365"/>
  </r>
  <r>
    <n v="68914406"/>
    <x v="16"/>
    <n v="6637"/>
    <d v="2023-05-10T00:00:00"/>
    <x v="78"/>
    <x v="27"/>
    <n v="2.124E-3"/>
    <n v="14.096988"/>
    <s v="KL"/>
    <x v="4"/>
    <x v="9"/>
    <s v="Q2"/>
    <n v="352"/>
    <n v="18.855113636363637"/>
    <s v="ESS"/>
    <n v="0.95"/>
    <n v="6305.15"/>
    <n v="13.392138599999999"/>
    <n v="17.912357954545453"/>
  </r>
  <r>
    <n v="68689251"/>
    <x v="15"/>
    <n v="1479"/>
    <d v="2023-05-11T00:00:00"/>
    <x v="17"/>
    <x v="19"/>
    <n v="9.5760000000000012E-3"/>
    <n v="14.162904000000001"/>
    <s v="KL"/>
    <x v="4"/>
    <x v="8"/>
    <s v="Q2"/>
    <n v="132"/>
    <n v="11.204545454545455"/>
    <s v="EDF"/>
    <n v="0.93"/>
    <n v="1375.47"/>
    <n v="13.171500720000001"/>
    <n v="10.420227272727274"/>
  </r>
  <r>
    <n v="68710285"/>
    <x v="15"/>
    <n v="7880"/>
    <d v="2023-05-11T00:00:00"/>
    <x v="74"/>
    <x v="20"/>
    <n v="8.5199999999999998E-3"/>
    <n v="67.137599999999992"/>
    <s v="KL"/>
    <x v="4"/>
    <x v="8"/>
    <s v="Q2"/>
    <n v="132"/>
    <n v="59.696969696969695"/>
    <s v="EDF"/>
    <n v="0.93"/>
    <n v="7328.4000000000005"/>
    <n v="62.437967999999998"/>
    <n v="55.518181818181823"/>
  </r>
  <r>
    <n v="68852591"/>
    <x v="15"/>
    <n v="4971"/>
    <d v="2023-05-11T00:00:00"/>
    <x v="26"/>
    <x v="17"/>
    <n v="8.5199999999999998E-3"/>
    <n v="42.352919999999997"/>
    <s v="KL"/>
    <x v="4"/>
    <x v="8"/>
    <s v="Q2"/>
    <n v="132"/>
    <n v="37.659090909090907"/>
    <s v="EDF"/>
    <n v="0.93"/>
    <n v="4623.0300000000007"/>
    <n v="39.388215600000002"/>
    <n v="35.022954545454546"/>
  </r>
  <r>
    <n v="68852591"/>
    <x v="16"/>
    <n v="3828"/>
    <d v="2023-05-11T00:00:00"/>
    <x v="26"/>
    <x v="26"/>
    <n v="8.5199999999999998E-3"/>
    <n v="32.614559999999997"/>
    <s v="KL"/>
    <x v="4"/>
    <x v="12"/>
    <s v="Q2"/>
    <n v="132"/>
    <n v="29"/>
    <s v="EDF"/>
    <n v="0.93"/>
    <n v="3560.04"/>
    <n v="30.331540799999999"/>
    <n v="26.970000000000002"/>
  </r>
  <r>
    <n v="68917388"/>
    <x v="15"/>
    <n v="0"/>
    <d v="2023-05-11T00:00:00"/>
    <x v="287"/>
    <x v="36"/>
    <n v="3.9119999999999997E-3"/>
    <n v="0"/>
    <s v="KL"/>
    <x v="4"/>
    <x v="28"/>
    <s v="Q2"/>
    <n v="322"/>
    <n v="0"/>
    <s v="EFW"/>
    <n v="0.95"/>
    <n v="0"/>
    <n v="0"/>
    <n v="0"/>
  </r>
  <r>
    <n v="69549032"/>
    <x v="15"/>
    <n v="14863"/>
    <d v="2023-05-11T00:00:00"/>
    <x v="79"/>
    <x v="36"/>
    <n v="2.3469132803553457E-3"/>
    <n v="34.882172085921503"/>
    <s v="GH"/>
    <x v="4"/>
    <x v="28"/>
    <s v="Q2"/>
    <n v="350"/>
    <n v="42.465714285714284"/>
    <s v="EFW"/>
    <n v="0.95"/>
    <n v="14119.849999999999"/>
    <n v="33.13806348162543"/>
    <n v="40.34242857142857"/>
  </r>
  <r>
    <n v="68697460"/>
    <x v="16"/>
    <n v="4029"/>
    <d v="2023-05-11T00:00:00"/>
    <x v="18"/>
    <x v="18"/>
    <n v="2.8380000000000002E-3"/>
    <n v="11.434302000000001"/>
    <s v="KL"/>
    <x v="4"/>
    <x v="9"/>
    <s v="Q2"/>
    <n v="264"/>
    <n v="15.261363636363637"/>
    <s v="ESS"/>
    <n v="0.95"/>
    <n v="3827.5499999999997"/>
    <n v="10.8625869"/>
    <n v="14.498295454545454"/>
  </r>
  <r>
    <n v="68914406"/>
    <x v="16"/>
    <n v="8955"/>
    <d v="2023-05-11T00:00:00"/>
    <x v="78"/>
    <x v="27"/>
    <n v="2.124E-3"/>
    <n v="19.020420000000001"/>
    <s v="KL"/>
    <x v="4"/>
    <x v="9"/>
    <s v="Q2"/>
    <n v="352"/>
    <n v="25.44034090909091"/>
    <s v="ESS"/>
    <n v="0.95"/>
    <n v="8507.25"/>
    <n v="18.069399000000001"/>
    <n v="24.168323863636363"/>
  </r>
  <r>
    <n v="68300738"/>
    <x v="15"/>
    <n v="6782"/>
    <d v="2023-05-12T00:00:00"/>
    <x v="120"/>
    <x v="19"/>
    <n v="8.4960000000000001E-3"/>
    <n v="57.619872000000001"/>
    <s v="KL"/>
    <x v="4"/>
    <x v="8"/>
    <s v="Q2"/>
    <n v="132"/>
    <n v="51.378787878787875"/>
    <s v="EDF"/>
    <n v="0.93"/>
    <n v="6307.26"/>
    <n v="53.586480960000003"/>
    <n v="47.782272727272726"/>
  </r>
  <r>
    <n v="68300738"/>
    <x v="15"/>
    <n v="1080"/>
    <d v="2023-05-12T00:00:00"/>
    <x v="120"/>
    <x v="19"/>
    <n v="8.4960000000000001E-3"/>
    <n v="9.1756799999999998"/>
    <s v="KL"/>
    <x v="4"/>
    <x v="8"/>
    <s v="Q2"/>
    <n v="132"/>
    <n v="8.1818181818181817"/>
    <s v="EDF"/>
    <n v="0.93"/>
    <n v="1004.4000000000001"/>
    <n v="8.5333824000000007"/>
    <n v="7.6090909090909093"/>
  </r>
  <r>
    <n v="68709233"/>
    <x v="15"/>
    <n v="3968"/>
    <d v="2023-05-12T00:00:00"/>
    <x v="19"/>
    <x v="20"/>
    <n v="8.4960000000000001E-3"/>
    <n v="33.712128"/>
    <s v="KL"/>
    <x v="4"/>
    <x v="8"/>
    <s v="Q2"/>
    <n v="132"/>
    <n v="30.060606060606062"/>
    <s v="EDF"/>
    <n v="0.93"/>
    <n v="3690.2400000000002"/>
    <n v="31.352279040000003"/>
    <n v="27.956363636363641"/>
  </r>
  <r>
    <n v="68710285"/>
    <x v="15"/>
    <n v="0"/>
    <d v="2023-05-12T00:00:00"/>
    <x v="74"/>
    <x v="20"/>
    <n v="8.5199999999999998E-3"/>
    <n v="0"/>
    <s v="KL"/>
    <x v="4"/>
    <x v="8"/>
    <s v="Q2"/>
    <n v="132"/>
    <n v="0"/>
    <s v="EDF"/>
    <n v="0.93"/>
    <n v="0"/>
    <n v="0"/>
    <n v="0"/>
  </r>
  <r>
    <n v="68852591"/>
    <x v="15"/>
    <n v="0"/>
    <d v="2023-05-12T00:00:00"/>
    <x v="26"/>
    <x v="17"/>
    <n v="8.5199999999999998E-3"/>
    <n v="0"/>
    <s v="KL"/>
    <x v="4"/>
    <x v="8"/>
    <s v="Q2"/>
    <n v="132"/>
    <n v="0"/>
    <s v="EDF"/>
    <n v="0.93"/>
    <n v="0"/>
    <n v="0"/>
    <n v="0"/>
  </r>
  <r>
    <n v="68852591"/>
    <x v="16"/>
    <n v="4126"/>
    <d v="2023-05-12T00:00:00"/>
    <x v="26"/>
    <x v="26"/>
    <n v="8.5199999999999998E-3"/>
    <n v="35.15352"/>
    <s v="KL"/>
    <x v="4"/>
    <x v="12"/>
    <s v="Q2"/>
    <n v="132"/>
    <n v="31.257575757575758"/>
    <s v="EDF"/>
    <n v="0.93"/>
    <n v="3837.1800000000003"/>
    <n v="32.692773600000002"/>
    <n v="29.069545454545455"/>
  </r>
  <r>
    <n v="68917388"/>
    <x v="15"/>
    <n v="0"/>
    <d v="2023-05-12T00:00:00"/>
    <x v="287"/>
    <x v="36"/>
    <n v="3.9119999999999997E-3"/>
    <n v="0"/>
    <s v="KL"/>
    <x v="4"/>
    <x v="28"/>
    <s v="Q2"/>
    <n v="322"/>
    <n v="0"/>
    <s v="EFW"/>
    <n v="0.95"/>
    <n v="0"/>
    <n v="0"/>
    <n v="0"/>
  </r>
  <r>
    <n v="69549032"/>
    <x v="15"/>
    <n v="0"/>
    <d v="2023-05-12T00:00:00"/>
    <x v="79"/>
    <x v="36"/>
    <n v="2.3469132803553457E-3"/>
    <n v="0"/>
    <s v="GH"/>
    <x v="4"/>
    <x v="28"/>
    <s v="Q2"/>
    <n v="350"/>
    <n v="0"/>
    <s v="EFW"/>
    <n v="0.95"/>
    <n v="0"/>
    <n v="0"/>
    <n v="0"/>
  </r>
  <r>
    <n v="68697460"/>
    <x v="16"/>
    <n v="0"/>
    <d v="2023-05-12T00:00:00"/>
    <x v="18"/>
    <x v="18"/>
    <n v="2.8380000000000002E-3"/>
    <n v="0"/>
    <s v="KL"/>
    <x v="4"/>
    <x v="9"/>
    <s v="Q2"/>
    <n v="264"/>
    <n v="0"/>
    <s v="ESS"/>
    <n v="0.95"/>
    <n v="0"/>
    <n v="0"/>
    <n v="0"/>
  </r>
  <r>
    <n v="68889813"/>
    <x v="16"/>
    <n v="5110"/>
    <d v="2023-05-12T00:00:00"/>
    <x v="297"/>
    <x v="18"/>
    <n v="2.8380000000000002E-3"/>
    <n v="14.502180000000001"/>
    <s v="KL"/>
    <x v="4"/>
    <x v="9"/>
    <s v="Q2"/>
    <n v="264"/>
    <n v="19.356060606060606"/>
    <s v="ESS"/>
    <n v="0.95"/>
    <n v="4854.5"/>
    <n v="13.777070999999999"/>
    <n v="18.388257575757574"/>
  </r>
  <r>
    <n v="68914406"/>
    <x v="16"/>
    <n v="8019"/>
    <d v="2023-05-12T00:00:00"/>
    <x v="78"/>
    <x v="27"/>
    <n v="2.124E-3"/>
    <n v="17.032356"/>
    <s v="KL"/>
    <x v="4"/>
    <x v="9"/>
    <s v="Q2"/>
    <n v="352"/>
    <n v="22.78125"/>
    <s v="ESS"/>
    <n v="0.95"/>
    <n v="7618.0499999999993"/>
    <n v="16.1807382"/>
    <n v="21.642187499999999"/>
  </r>
  <r>
    <n v="68300738"/>
    <x v="15"/>
    <n v="5749"/>
    <d v="2023-05-13T00:00:00"/>
    <x v="120"/>
    <x v="19"/>
    <n v="8.4960000000000001E-3"/>
    <n v="48.843504000000003"/>
    <s v="KL"/>
    <x v="4"/>
    <x v="8"/>
    <s v="Q2"/>
    <n v="132"/>
    <n v="43.553030303030305"/>
    <s v="EDF"/>
    <n v="0.93"/>
    <n v="5346.5700000000006"/>
    <n v="45.424458720000004"/>
    <n v="40.504318181818185"/>
  </r>
  <r>
    <n v="68709233"/>
    <x v="15"/>
    <n v="6074"/>
    <d v="2023-05-13T00:00:00"/>
    <x v="19"/>
    <x v="20"/>
    <n v="8.4960000000000001E-3"/>
    <n v="51.604703999999998"/>
    <s v="KL"/>
    <x v="4"/>
    <x v="8"/>
    <s v="Q2"/>
    <n v="132"/>
    <n v="46.015151515151516"/>
    <s v="EDF"/>
    <n v="0.93"/>
    <n v="5648.8200000000006"/>
    <n v="47.992374720000001"/>
    <n v="42.794090909090912"/>
  </r>
  <r>
    <n v="68710285"/>
    <x v="15"/>
    <n v="0"/>
    <d v="2023-05-13T00:00:00"/>
    <x v="74"/>
    <x v="20"/>
    <n v="8.5199999999999998E-3"/>
    <n v="0"/>
    <s v="KL"/>
    <x v="4"/>
    <x v="8"/>
    <s v="Q2"/>
    <n v="132"/>
    <n v="0"/>
    <s v="EDF"/>
    <n v="0.93"/>
    <n v="0"/>
    <n v="0"/>
    <n v="0"/>
  </r>
  <r>
    <n v="68852591"/>
    <x v="16"/>
    <n v="2890"/>
    <d v="2023-05-13T00:00:00"/>
    <x v="26"/>
    <x v="26"/>
    <n v="8.5199999999999998E-3"/>
    <n v="24.622799999999998"/>
    <s v="KL"/>
    <x v="4"/>
    <x v="12"/>
    <s v="Q2"/>
    <n v="132"/>
    <n v="21.893939393939394"/>
    <s v="EDF"/>
    <n v="0.93"/>
    <n v="2687.7000000000003"/>
    <n v="22.899204000000001"/>
    <n v="20.361363636363638"/>
  </r>
  <r>
    <n v="68889813"/>
    <x v="16"/>
    <n v="0"/>
    <d v="2023-05-13T00:00:00"/>
    <x v="297"/>
    <x v="18"/>
    <n v="2.8380000000000002E-3"/>
    <n v="0"/>
    <s v="KL"/>
    <x v="4"/>
    <x v="9"/>
    <s v="Q2"/>
    <n v="264"/>
    <n v="0"/>
    <s v="ESS"/>
    <n v="0.95"/>
    <n v="0"/>
    <n v="0"/>
    <n v="0"/>
  </r>
  <r>
    <n v="68914406"/>
    <x v="16"/>
    <n v="0"/>
    <d v="2023-05-13T00:00:00"/>
    <x v="78"/>
    <x v="27"/>
    <n v="2.124E-3"/>
    <n v="0"/>
    <s v="KL"/>
    <x v="4"/>
    <x v="9"/>
    <s v="Q2"/>
    <n v="352"/>
    <n v="0"/>
    <s v="ESS"/>
    <n v="0.95"/>
    <n v="0"/>
    <n v="0"/>
    <n v="0"/>
  </r>
  <r>
    <n v="68300738"/>
    <x v="15"/>
    <n v="3802"/>
    <d v="2023-05-14T00:00:00"/>
    <x v="120"/>
    <x v="19"/>
    <n v="8.4960000000000001E-3"/>
    <n v="32.301791999999999"/>
    <s v="KL"/>
    <x v="4"/>
    <x v="8"/>
    <s v="Q2"/>
    <n v="132"/>
    <n v="28.803030303030305"/>
    <s v="EDF"/>
    <n v="0.93"/>
    <n v="3535.86"/>
    <n v="30.040666560000002"/>
    <n v="26.786818181818184"/>
  </r>
  <r>
    <n v="68709233"/>
    <x v="15"/>
    <n v="0"/>
    <d v="2023-05-14T00:00:00"/>
    <x v="19"/>
    <x v="20"/>
    <n v="8.4960000000000001E-3"/>
    <n v="0"/>
    <s v="KL"/>
    <x v="4"/>
    <x v="8"/>
    <s v="Q2"/>
    <n v="132"/>
    <n v="0"/>
    <s v="EDF"/>
    <n v="0.93"/>
    <n v="0"/>
    <n v="0"/>
    <n v="0"/>
  </r>
  <r>
    <n v="68710285"/>
    <x v="15"/>
    <n v="0"/>
    <d v="2023-05-14T00:00:00"/>
    <x v="74"/>
    <x v="20"/>
    <n v="8.5199999999999998E-3"/>
    <n v="0"/>
    <s v="KL"/>
    <x v="4"/>
    <x v="8"/>
    <s v="Q2"/>
    <n v="132"/>
    <n v="0"/>
    <s v="EDF"/>
    <n v="0.93"/>
    <n v="0"/>
    <n v="0"/>
    <n v="0"/>
  </r>
  <r>
    <n v="68852591"/>
    <x v="16"/>
    <n v="3288"/>
    <d v="2023-05-14T00:00:00"/>
    <x v="26"/>
    <x v="26"/>
    <n v="8.5199999999999998E-3"/>
    <n v="28.013759999999998"/>
    <s v="KL"/>
    <x v="4"/>
    <x v="12"/>
    <s v="Q2"/>
    <n v="132"/>
    <n v="24.90909090909091"/>
    <s v="EDF"/>
    <n v="0.93"/>
    <n v="3057.84"/>
    <n v="26.052796799999999"/>
    <n v="23.165454545454548"/>
  </r>
  <r>
    <n v="68300738"/>
    <x v="15"/>
    <n v="4522"/>
    <d v="2023-05-15T00:00:00"/>
    <x v="120"/>
    <x v="19"/>
    <n v="8.4960000000000001E-3"/>
    <n v="38.418911999999999"/>
    <s v="KL"/>
    <x v="4"/>
    <x v="8"/>
    <s v="Q2"/>
    <n v="132"/>
    <n v="34.257575757575758"/>
    <s v="EDF"/>
    <n v="0.93"/>
    <n v="4205.46"/>
    <n v="35.729588159999999"/>
    <n v="31.859545454545458"/>
  </r>
  <r>
    <n v="68689251"/>
    <x v="15"/>
    <n v="1401"/>
    <d v="2023-05-15T00:00:00"/>
    <x v="17"/>
    <x v="17"/>
    <n v="9.5760000000000012E-3"/>
    <n v="13.415976000000002"/>
    <s v="KL"/>
    <x v="4"/>
    <x v="8"/>
    <s v="Q2"/>
    <n v="132"/>
    <n v="10.613636363636363"/>
    <s v="EDF"/>
    <n v="0.93"/>
    <n v="1302.93"/>
    <n v="12.476857680000002"/>
    <n v="9.8706818181818186"/>
  </r>
  <r>
    <n v="68689251"/>
    <x v="15"/>
    <n v="2107"/>
    <d v="2023-05-15T00:00:00"/>
    <x v="17"/>
    <x v="17"/>
    <n v="9.5760000000000012E-3"/>
    <n v="20.176632000000001"/>
    <s v="KL"/>
    <x v="4"/>
    <x v="8"/>
    <s v="Q2"/>
    <n v="132"/>
    <n v="15.962121212121213"/>
    <s v="EDF"/>
    <n v="0.93"/>
    <n v="1959.51"/>
    <n v="18.764267760000003"/>
    <n v="14.844772727272728"/>
  </r>
  <r>
    <n v="68709233"/>
    <x v="15"/>
    <n v="5425"/>
    <d v="2023-05-15T00:00:00"/>
    <x v="19"/>
    <x v="20"/>
    <n v="8.4960000000000001E-3"/>
    <n v="46.090800000000002"/>
    <s v="KL"/>
    <x v="4"/>
    <x v="8"/>
    <s v="Q2"/>
    <n v="132"/>
    <n v="41.098484848484851"/>
    <s v="EDF"/>
    <n v="0.93"/>
    <n v="5045.25"/>
    <n v="42.864444000000006"/>
    <n v="38.221590909090914"/>
  </r>
  <r>
    <n v="68852583"/>
    <x v="16"/>
    <n v="122"/>
    <d v="2023-05-15T00:00:00"/>
    <x v="227"/>
    <x v="26"/>
    <n v="8.5199999999999998E-3"/>
    <n v="1.0394399999999999"/>
    <s v="KL"/>
    <x v="4"/>
    <x v="12"/>
    <s v="Q2"/>
    <n v="132"/>
    <n v="0.9242424242424242"/>
    <s v="EDF"/>
    <n v="0.93"/>
    <n v="113.46000000000001"/>
    <n v="0.96667919999999996"/>
    <n v="0.8595454545454545"/>
  </r>
  <r>
    <n v="68852591"/>
    <x v="16"/>
    <n v="0"/>
    <d v="2023-05-15T00:00:00"/>
    <x v="26"/>
    <x v="26"/>
    <n v="8.5199999999999998E-3"/>
    <n v="0"/>
    <s v="KL"/>
    <x v="4"/>
    <x v="12"/>
    <s v="Q2"/>
    <n v="132"/>
    <n v="0"/>
    <s v="EDF"/>
    <n v="0.93"/>
    <n v="0"/>
    <n v="0"/>
    <n v="0"/>
  </r>
  <r>
    <n v="68889813"/>
    <x v="16"/>
    <n v="5221"/>
    <d v="2023-05-15T00:00:00"/>
    <x v="297"/>
    <x v="18"/>
    <n v="2.8380000000000002E-3"/>
    <n v="14.817198000000001"/>
    <s v="KL"/>
    <x v="4"/>
    <x v="9"/>
    <s v="Q2"/>
    <n v="264"/>
    <n v="19.776515151515152"/>
    <s v="ESS"/>
    <n v="0.95"/>
    <n v="4959.95"/>
    <n v="14.076338100000001"/>
    <n v="18.787689393939395"/>
  </r>
  <r>
    <n v="68914406"/>
    <x v="16"/>
    <n v="7954"/>
    <d v="2023-05-15T00:00:00"/>
    <x v="78"/>
    <x v="27"/>
    <n v="2.124E-3"/>
    <n v="16.894296000000001"/>
    <s v="KL"/>
    <x v="4"/>
    <x v="9"/>
    <s v="Q2"/>
    <n v="352"/>
    <n v="22.59659090909091"/>
    <s v="ESS"/>
    <n v="0.95"/>
    <n v="7556.2999999999993"/>
    <n v="16.049581199999999"/>
    <n v="21.466761363636362"/>
  </r>
  <r>
    <n v="68300738"/>
    <x v="15"/>
    <n v="6512"/>
    <d v="2023-05-16T00:00:00"/>
    <x v="120"/>
    <x v="19"/>
    <n v="8.4960000000000001E-3"/>
    <n v="55.325952000000001"/>
    <s v="KL"/>
    <x v="4"/>
    <x v="8"/>
    <s v="Q2"/>
    <n v="132"/>
    <n v="49.333333333333336"/>
    <s v="EDF"/>
    <n v="0.93"/>
    <n v="6056.1600000000008"/>
    <n v="51.453135360000005"/>
    <n v="45.88"/>
  </r>
  <r>
    <n v="68689251"/>
    <x v="15"/>
    <n v="8173"/>
    <d v="2023-05-16T00:00:00"/>
    <x v="17"/>
    <x v="17"/>
    <n v="9.5760000000000012E-3"/>
    <n v="78.264648000000008"/>
    <s v="KL"/>
    <x v="4"/>
    <x v="8"/>
    <s v="Q2"/>
    <n v="132"/>
    <n v="61.916666666666664"/>
    <s v="EDF"/>
    <n v="0.93"/>
    <n v="7600.89"/>
    <n v="72.786122640000016"/>
    <n v="57.582500000000003"/>
  </r>
  <r>
    <n v="68709233"/>
    <x v="15"/>
    <n v="0"/>
    <d v="2023-05-16T00:00:00"/>
    <x v="19"/>
    <x v="20"/>
    <n v="8.4960000000000001E-3"/>
    <n v="0"/>
    <s v="KL"/>
    <x v="4"/>
    <x v="8"/>
    <s v="Q2"/>
    <n v="132"/>
    <n v="0"/>
    <s v="EDF"/>
    <n v="0.93"/>
    <n v="0"/>
    <n v="0"/>
    <n v="0"/>
  </r>
  <r>
    <n v="68710285"/>
    <x v="15"/>
    <n v="0"/>
    <d v="2023-05-16T00:00:00"/>
    <x v="74"/>
    <x v="20"/>
    <n v="8.5199999999999998E-3"/>
    <n v="0"/>
    <s v="KL"/>
    <x v="4"/>
    <x v="8"/>
    <s v="Q2"/>
    <n v="132"/>
    <n v="0"/>
    <s v="EDF"/>
    <n v="0.93"/>
    <n v="0"/>
    <n v="0"/>
    <n v="0"/>
  </r>
  <r>
    <n v="68852583"/>
    <x v="16"/>
    <n v="2950"/>
    <d v="2023-05-16T00:00:00"/>
    <x v="227"/>
    <x v="26"/>
    <n v="8.5199999999999998E-3"/>
    <n v="25.134"/>
    <s v="KL"/>
    <x v="4"/>
    <x v="12"/>
    <s v="Q2"/>
    <n v="132"/>
    <n v="22.348484848484848"/>
    <s v="EDF"/>
    <n v="0.93"/>
    <n v="2743.5"/>
    <n v="23.37462"/>
    <n v="20.78409090909091"/>
  </r>
  <r>
    <n v="68889813"/>
    <x v="16"/>
    <n v="5804"/>
    <d v="2023-05-16T00:00:00"/>
    <x v="297"/>
    <x v="18"/>
    <n v="2.8380000000000002E-3"/>
    <n v="16.471752000000002"/>
    <s v="KL"/>
    <x v="4"/>
    <x v="9"/>
    <s v="Q2"/>
    <n v="264"/>
    <n v="21.984848484848484"/>
    <s v="ESS"/>
    <n v="0.95"/>
    <n v="5513.8"/>
    <n v="15.648164400000001"/>
    <n v="20.885606060606058"/>
  </r>
  <r>
    <n v="68914406"/>
    <x v="16"/>
    <n v="7744"/>
    <d v="2023-05-16T00:00:00"/>
    <x v="78"/>
    <x v="27"/>
    <n v="2.124E-3"/>
    <n v="16.448256000000001"/>
    <s v="KL"/>
    <x v="4"/>
    <x v="9"/>
    <s v="Q2"/>
    <n v="352"/>
    <n v="22"/>
    <s v="ESS"/>
    <n v="0.95"/>
    <n v="7356.7999999999993"/>
    <n v="15.6258432"/>
    <n v="20.9"/>
  </r>
  <r>
    <n v="68300738"/>
    <x v="15"/>
    <n v="6248"/>
    <d v="2023-05-17T00:00:00"/>
    <x v="120"/>
    <x v="19"/>
    <n v="8.4960000000000001E-3"/>
    <n v="53.083008"/>
    <s v="KL"/>
    <x v="4"/>
    <x v="8"/>
    <s v="Q2"/>
    <n v="132"/>
    <n v="47.333333333333336"/>
    <s v="EDF"/>
    <n v="0.93"/>
    <n v="5810.64"/>
    <n v="49.367197440000005"/>
    <n v="44.02"/>
  </r>
  <r>
    <n v="68689251"/>
    <x v="15"/>
    <n v="8101"/>
    <d v="2023-05-17T00:00:00"/>
    <x v="17"/>
    <x v="17"/>
    <n v="9.5760000000000012E-3"/>
    <n v="77.575176000000013"/>
    <s v="KL"/>
    <x v="4"/>
    <x v="8"/>
    <s v="Q2"/>
    <n v="132"/>
    <n v="61.371212121212125"/>
    <s v="EDF"/>
    <n v="0.93"/>
    <n v="7533.93"/>
    <n v="72.144913680000016"/>
    <n v="57.075227272727282"/>
  </r>
  <r>
    <n v="68709233"/>
    <x v="15"/>
    <n v="2321"/>
    <d v="2023-05-17T00:00:00"/>
    <x v="19"/>
    <x v="20"/>
    <n v="8.4960000000000001E-3"/>
    <n v="19.719215999999999"/>
    <s v="KL"/>
    <x v="4"/>
    <x v="8"/>
    <s v="Q2"/>
    <n v="132"/>
    <n v="17.583333333333332"/>
    <s v="EDF"/>
    <n v="0.93"/>
    <n v="2158.5300000000002"/>
    <n v="18.338870880000002"/>
    <n v="16.352499999999999"/>
  </r>
  <r>
    <n v="68710285"/>
    <x v="15"/>
    <n v="0"/>
    <d v="2023-05-17T00:00:00"/>
    <x v="74"/>
    <x v="20"/>
    <n v="8.5199999999999998E-3"/>
    <n v="0"/>
    <s v="KL"/>
    <x v="4"/>
    <x v="8"/>
    <s v="Q2"/>
    <n v="132"/>
    <n v="0"/>
    <s v="EDF"/>
    <n v="0.93"/>
    <n v="0"/>
    <n v="0"/>
    <n v="0"/>
  </r>
  <r>
    <n v="68852583"/>
    <x v="16"/>
    <n v="3983"/>
    <d v="2023-05-17T00:00:00"/>
    <x v="227"/>
    <x v="26"/>
    <n v="8.5199999999999998E-3"/>
    <n v="33.935159999999996"/>
    <s v="KL"/>
    <x v="4"/>
    <x v="12"/>
    <s v="Q2"/>
    <n v="132"/>
    <n v="30.174242424242426"/>
    <s v="EDF"/>
    <n v="0.93"/>
    <n v="3704.19"/>
    <n v="31.5596988"/>
    <n v="28.062045454545459"/>
  </r>
  <r>
    <n v="68889813"/>
    <x v="16"/>
    <n v="4846"/>
    <d v="2023-05-17T00:00:00"/>
    <x v="297"/>
    <x v="18"/>
    <n v="2.8380000000000002E-3"/>
    <n v="13.752948000000002"/>
    <s v="KL"/>
    <x v="4"/>
    <x v="9"/>
    <s v="Q2"/>
    <n v="264"/>
    <n v="18.356060606060606"/>
    <s v="ESS"/>
    <n v="0.95"/>
    <n v="4603.7"/>
    <n v="13.0653006"/>
    <n v="17.438257575757575"/>
  </r>
  <r>
    <n v="68889813"/>
    <x v="16"/>
    <n v="299"/>
    <d v="2023-05-17T00:00:00"/>
    <x v="297"/>
    <x v="18"/>
    <n v="2.8380000000000002E-3"/>
    <n v="0.84856200000000004"/>
    <s v="KL"/>
    <x v="4"/>
    <x v="9"/>
    <s v="Q2"/>
    <n v="264"/>
    <n v="1.1325757575757576"/>
    <s v="ESS"/>
    <n v="0.95"/>
    <n v="284.05"/>
    <n v="0.80613389999999996"/>
    <n v="1.0759469696969697"/>
  </r>
  <r>
    <n v="68914406"/>
    <x v="16"/>
    <n v="7829"/>
    <d v="2023-05-17T00:00:00"/>
    <x v="78"/>
    <x v="27"/>
    <n v="2.124E-3"/>
    <n v="16.628796000000001"/>
    <s v="KL"/>
    <x v="4"/>
    <x v="9"/>
    <s v="Q2"/>
    <n v="352"/>
    <n v="22.241477272727273"/>
    <s v="ESS"/>
    <n v="0.95"/>
    <n v="7437.5499999999993"/>
    <n v="15.797356200000001"/>
    <n v="21.129403409090909"/>
  </r>
  <r>
    <n v="68300738"/>
    <x v="15"/>
    <n v="0"/>
    <d v="2023-05-18T00:00:00"/>
    <x v="120"/>
    <x v="19"/>
    <n v="8.4960000000000001E-3"/>
    <n v="0"/>
    <s v="KL"/>
    <x v="4"/>
    <x v="8"/>
    <s v="Q2"/>
    <n v="132"/>
    <n v="0"/>
    <s v="EDF"/>
    <n v="0.93"/>
    <n v="0"/>
    <n v="0"/>
    <n v="0"/>
  </r>
  <r>
    <n v="68689251"/>
    <x v="15"/>
    <n v="8004"/>
    <d v="2023-05-18T00:00:00"/>
    <x v="17"/>
    <x v="17"/>
    <n v="9.5760000000000012E-3"/>
    <n v="76.646304000000015"/>
    <s v="KL"/>
    <x v="4"/>
    <x v="8"/>
    <s v="Q2"/>
    <n v="132"/>
    <n v="60.636363636363633"/>
    <s v="EDF"/>
    <n v="0.93"/>
    <n v="7443.72"/>
    <n v="71.281062720000023"/>
    <n v="56.391818181818181"/>
  </r>
  <r>
    <n v="68710285"/>
    <x v="15"/>
    <n v="3203"/>
    <d v="2023-05-18T00:00:00"/>
    <x v="74"/>
    <x v="20"/>
    <n v="8.5199999999999998E-3"/>
    <n v="27.289559999999998"/>
    <s v="KL"/>
    <x v="4"/>
    <x v="8"/>
    <s v="Q2"/>
    <n v="132"/>
    <n v="24.265151515151516"/>
    <s v="EDF"/>
    <n v="0.93"/>
    <n v="2978.79"/>
    <n v="25.3792908"/>
    <n v="22.566590909090909"/>
  </r>
  <r>
    <n v="68852583"/>
    <x v="16"/>
    <n v="3308"/>
    <d v="2023-05-18T00:00:00"/>
    <x v="227"/>
    <x v="26"/>
    <n v="8.5199999999999998E-3"/>
    <n v="28.184159999999999"/>
    <s v="KL"/>
    <x v="4"/>
    <x v="12"/>
    <s v="Q2"/>
    <n v="132"/>
    <n v="25.060606060606062"/>
    <s v="EDF"/>
    <n v="0.93"/>
    <n v="3076.44"/>
    <n v="26.211268799999999"/>
    <n v="23.306363636363638"/>
  </r>
  <r>
    <n v="68889813"/>
    <x v="16"/>
    <n v="0"/>
    <d v="2023-05-18T00:00:00"/>
    <x v="297"/>
    <x v="18"/>
    <n v="2.8380000000000002E-3"/>
    <n v="0"/>
    <s v="KL"/>
    <x v="4"/>
    <x v="9"/>
    <s v="Q2"/>
    <n v="264"/>
    <n v="0"/>
    <s v="ESS"/>
    <n v="0.95"/>
    <n v="0"/>
    <n v="0"/>
    <n v="0"/>
  </r>
  <r>
    <n v="68914406"/>
    <x v="16"/>
    <n v="8911"/>
    <d v="2023-05-18T00:00:00"/>
    <x v="78"/>
    <x v="27"/>
    <n v="2.124E-3"/>
    <n v="18.926964000000002"/>
    <s v="KL"/>
    <x v="4"/>
    <x v="9"/>
    <s v="Q2"/>
    <n v="352"/>
    <n v="25.31534090909091"/>
    <s v="ESS"/>
    <n v="0.95"/>
    <n v="8465.4499999999989"/>
    <n v="17.980615800000002"/>
    <n v="24.049573863636365"/>
  </r>
  <r>
    <n v="68300738"/>
    <x v="15"/>
    <n v="0"/>
    <d v="2023-05-19T00:00:00"/>
    <x v="120"/>
    <x v="19"/>
    <n v="8.4960000000000001E-3"/>
    <n v="0"/>
    <s v="KL"/>
    <x v="4"/>
    <x v="8"/>
    <s v="Q2"/>
    <n v="132"/>
    <n v="0"/>
    <s v="EDF"/>
    <n v="0.93"/>
    <n v="0"/>
    <n v="0"/>
    <n v="0"/>
  </r>
  <r>
    <n v="68689251"/>
    <x v="15"/>
    <n v="1361"/>
    <d v="2023-05-19T00:00:00"/>
    <x v="17"/>
    <x v="17"/>
    <n v="9.5760000000000012E-3"/>
    <n v="13.032936000000001"/>
    <s v="KL"/>
    <x v="4"/>
    <x v="8"/>
    <s v="Q2"/>
    <n v="132"/>
    <n v="10.310606060606061"/>
    <s v="EDF"/>
    <n v="0.93"/>
    <n v="1265.73"/>
    <n v="12.120630480000001"/>
    <n v="9.5888636363636373"/>
  </r>
  <r>
    <n v="68689251"/>
    <x v="15"/>
    <n v="4908"/>
    <d v="2023-05-19T00:00:00"/>
    <x v="17"/>
    <x v="17"/>
    <n v="9.5760000000000012E-3"/>
    <n v="46.999008000000003"/>
    <s v="KL"/>
    <x v="4"/>
    <x v="8"/>
    <s v="Q2"/>
    <n v="132"/>
    <n v="37.18181818181818"/>
    <s v="EDF"/>
    <n v="0.93"/>
    <n v="4564.4400000000005"/>
    <n v="43.709077440000009"/>
    <n v="34.579090909090908"/>
  </r>
  <r>
    <n v="68710285"/>
    <x v="15"/>
    <n v="6720"/>
    <d v="2023-05-19T00:00:00"/>
    <x v="74"/>
    <x v="20"/>
    <n v="8.5199999999999998E-3"/>
    <n v="57.254399999999997"/>
    <s v="KL"/>
    <x v="4"/>
    <x v="8"/>
    <s v="Q2"/>
    <n v="132"/>
    <n v="50.909090909090907"/>
    <s v="EDF"/>
    <n v="0.93"/>
    <n v="6249.6"/>
    <n v="53.246592"/>
    <n v="47.345454545454544"/>
  </r>
  <r>
    <n v="68852583"/>
    <x v="16"/>
    <n v="3815"/>
    <d v="2023-05-19T00:00:00"/>
    <x v="227"/>
    <x v="26"/>
    <n v="8.5199999999999998E-3"/>
    <n v="32.503799999999998"/>
    <s v="KL"/>
    <x v="4"/>
    <x v="12"/>
    <s v="Q2"/>
    <n v="132"/>
    <n v="28.901515151515152"/>
    <s v="EDF"/>
    <n v="0.93"/>
    <n v="3547.9500000000003"/>
    <n v="30.228534"/>
    <n v="26.878409090909091"/>
  </r>
  <r>
    <n v="68889813"/>
    <x v="16"/>
    <n v="0"/>
    <d v="2023-05-19T00:00:00"/>
    <x v="297"/>
    <x v="18"/>
    <n v="2.8380000000000002E-3"/>
    <n v="0"/>
    <s v="KL"/>
    <x v="4"/>
    <x v="9"/>
    <s v="Q2"/>
    <n v="264"/>
    <n v="0"/>
    <s v="ESS"/>
    <n v="0.95"/>
    <n v="0"/>
    <n v="0"/>
    <n v="0"/>
  </r>
  <r>
    <n v="68914406"/>
    <x v="16"/>
    <n v="0"/>
    <d v="2023-05-19T00:00:00"/>
    <x v="78"/>
    <x v="27"/>
    <n v="2.124E-3"/>
    <n v="0"/>
    <s v="KL"/>
    <x v="4"/>
    <x v="9"/>
    <s v="Q2"/>
    <n v="352"/>
    <n v="0"/>
    <s v="ESS"/>
    <n v="0.95"/>
    <n v="0"/>
    <n v="0"/>
    <n v="0"/>
  </r>
  <r>
    <n v="68689251"/>
    <x v="15"/>
    <n v="8716"/>
    <d v="2023-05-20T00:00:00"/>
    <x v="17"/>
    <x v="17"/>
    <n v="9.5760000000000012E-3"/>
    <n v="83.464416000000014"/>
    <s v="KL"/>
    <x v="4"/>
    <x v="8"/>
    <s v="Q2"/>
    <n v="132"/>
    <n v="66.030303030303031"/>
    <s v="EDF"/>
    <n v="0.93"/>
    <n v="8105.88"/>
    <n v="77.621906880000012"/>
    <n v="61.408181818181824"/>
  </r>
  <r>
    <n v="68709237"/>
    <x v="15"/>
    <n v="0"/>
    <d v="2023-05-20T00:00:00"/>
    <x v="126"/>
    <x v="20"/>
    <n v="9.5760000000000012E-3"/>
    <n v="0"/>
    <s v="KL"/>
    <x v="4"/>
    <x v="8"/>
    <s v="Q2"/>
    <n v="132"/>
    <n v="0"/>
    <s v="EDF"/>
    <n v="0.93"/>
    <n v="0"/>
    <n v="0"/>
    <n v="0"/>
  </r>
  <r>
    <n v="68710285"/>
    <x v="15"/>
    <n v="3603"/>
    <d v="2023-05-20T00:00:00"/>
    <x v="74"/>
    <x v="20"/>
    <n v="8.5199999999999998E-3"/>
    <n v="30.697559999999999"/>
    <s v="KL"/>
    <x v="4"/>
    <x v="8"/>
    <s v="Q2"/>
    <n v="132"/>
    <n v="27.295454545454547"/>
    <s v="EDF"/>
    <n v="0.93"/>
    <n v="3350.79"/>
    <n v="28.548730800000001"/>
    <n v="25.384772727272729"/>
  </r>
  <r>
    <n v="68852583"/>
    <x v="16"/>
    <n v="4596"/>
    <d v="2023-05-20T00:00:00"/>
    <x v="227"/>
    <x v="26"/>
    <n v="8.5199999999999998E-3"/>
    <n v="39.157919999999997"/>
    <s v="KL"/>
    <x v="4"/>
    <x v="12"/>
    <s v="Q2"/>
    <n v="132"/>
    <n v="34.81818181818182"/>
    <s v="EDF"/>
    <n v="0.93"/>
    <n v="4274.2800000000007"/>
    <n v="36.416865600000001"/>
    <n v="32.380909090909093"/>
  </r>
  <r>
    <n v="68689251"/>
    <x v="15"/>
    <n v="6658"/>
    <d v="2023-05-21T00:00:00"/>
    <x v="17"/>
    <x v="17"/>
    <n v="9.5760000000000012E-3"/>
    <n v="63.757008000000006"/>
    <s v="KL"/>
    <x v="4"/>
    <x v="8"/>
    <s v="Q2"/>
    <n v="132"/>
    <n v="50.439393939393938"/>
    <s v="EDF"/>
    <n v="0.93"/>
    <n v="6191.9400000000005"/>
    <n v="59.294017440000012"/>
    <n v="46.908636363636361"/>
  </r>
  <r>
    <n v="68709237"/>
    <x v="15"/>
    <n v="0"/>
    <d v="2023-05-21T00:00:00"/>
    <x v="126"/>
    <x v="20"/>
    <n v="9.5760000000000012E-3"/>
    <n v="0"/>
    <s v="KL"/>
    <x v="4"/>
    <x v="8"/>
    <s v="Q2"/>
    <n v="132"/>
    <n v="0"/>
    <s v="EDF"/>
    <n v="0.93"/>
    <n v="0"/>
    <n v="0"/>
    <n v="0"/>
  </r>
  <r>
    <n v="68710285"/>
    <x v="15"/>
    <n v="1500"/>
    <d v="2023-05-21T00:00:00"/>
    <x v="74"/>
    <x v="20"/>
    <n v="8.5199999999999998E-3"/>
    <n v="12.78"/>
    <s v="KL"/>
    <x v="4"/>
    <x v="8"/>
    <s v="Q2"/>
    <n v="132"/>
    <n v="11.363636363636363"/>
    <s v="EDF"/>
    <n v="0.93"/>
    <n v="1395"/>
    <n v="11.885400000000001"/>
    <n v="10.568181818181818"/>
  </r>
  <r>
    <n v="68710285"/>
    <x v="15"/>
    <n v="4743"/>
    <d v="2023-05-21T00:00:00"/>
    <x v="74"/>
    <x v="20"/>
    <n v="8.5199999999999998E-3"/>
    <n v="40.410359999999997"/>
    <s v="KL"/>
    <x v="4"/>
    <x v="8"/>
    <s v="Q2"/>
    <n v="132"/>
    <n v="35.93181818181818"/>
    <s v="EDF"/>
    <n v="0.93"/>
    <n v="4410.99"/>
    <n v="37.581634799999996"/>
    <n v="33.416590909090907"/>
  </r>
  <r>
    <n v="68852583"/>
    <x v="16"/>
    <n v="4751"/>
    <d v="2023-05-21T00:00:00"/>
    <x v="227"/>
    <x v="26"/>
    <n v="8.5199999999999998E-3"/>
    <n v="40.478519999999996"/>
    <s v="KL"/>
    <x v="4"/>
    <x v="12"/>
    <s v="Q2"/>
    <n v="132"/>
    <n v="35.992424242424242"/>
    <s v="EDF"/>
    <n v="0.93"/>
    <n v="4418.43"/>
    <n v="37.645023600000002"/>
    <n v="33.472954545454549"/>
  </r>
  <r>
    <n v="68300738"/>
    <x v="15"/>
    <n v="3661"/>
    <d v="2023-05-22T00:00:00"/>
    <x v="120"/>
    <x v="19"/>
    <n v="8.4960000000000001E-3"/>
    <n v="31.103856"/>
    <s v="KL"/>
    <x v="4"/>
    <x v="8"/>
    <s v="Q2"/>
    <n v="132"/>
    <n v="27.734848484848484"/>
    <s v="EDF"/>
    <n v="0.93"/>
    <n v="3404.73"/>
    <n v="28.926586080000003"/>
    <n v="25.793409090909091"/>
  </r>
  <r>
    <n v="68689251"/>
    <x v="15"/>
    <n v="7738"/>
    <d v="2023-05-22T00:00:00"/>
    <x v="17"/>
    <x v="17"/>
    <n v="9.5760000000000012E-3"/>
    <n v="74.099088000000009"/>
    <s v="KL"/>
    <x v="4"/>
    <x v="8"/>
    <s v="Q2"/>
    <n v="132"/>
    <n v="58.621212121212125"/>
    <s v="EDF"/>
    <n v="0.93"/>
    <n v="7196.34"/>
    <n v="68.912151840000007"/>
    <n v="54.517727272727278"/>
  </r>
  <r>
    <n v="68709237"/>
    <x v="15"/>
    <n v="5345"/>
    <d v="2023-05-22T00:00:00"/>
    <x v="126"/>
    <x v="20"/>
    <n v="9.5760000000000012E-3"/>
    <n v="51.183720000000008"/>
    <s v="KL"/>
    <x v="4"/>
    <x v="8"/>
    <s v="Q2"/>
    <n v="132"/>
    <n v="40.492424242424242"/>
    <s v="EDF"/>
    <n v="0.93"/>
    <n v="4970.8500000000004"/>
    <n v="47.600859600000007"/>
    <n v="37.657954545454544"/>
  </r>
  <r>
    <n v="68709237"/>
    <x v="15"/>
    <n v="0"/>
    <d v="2023-05-22T00:00:00"/>
    <x v="126"/>
    <x v="20"/>
    <n v="9.5760000000000012E-3"/>
    <n v="0"/>
    <s v="KL"/>
    <x v="4"/>
    <x v="8"/>
    <s v="Q2"/>
    <n v="132"/>
    <n v="0"/>
    <s v="EDF"/>
    <n v="0.93"/>
    <n v="0"/>
    <n v="0"/>
    <n v="0"/>
  </r>
  <r>
    <n v="68746232"/>
    <x v="16"/>
    <n v="1646"/>
    <d v="2023-05-22T00:00:00"/>
    <x v="154"/>
    <x v="26"/>
    <n v="9.5879999999999993E-3"/>
    <n v="15.781847999999998"/>
    <s v="KL"/>
    <x v="4"/>
    <x v="12"/>
    <s v="Q2"/>
    <n v="132"/>
    <n v="12.469696969696969"/>
    <s v="EDF"/>
    <n v="0.93"/>
    <n v="1530.78"/>
    <n v="14.67711864"/>
    <n v="11.596818181818181"/>
  </r>
  <r>
    <n v="68852583"/>
    <x v="16"/>
    <n v="76"/>
    <d v="2023-05-22T00:00:00"/>
    <x v="227"/>
    <x v="26"/>
    <n v="8.5199999999999998E-3"/>
    <n v="0.64751999999999998"/>
    <s v="KL"/>
    <x v="4"/>
    <x v="12"/>
    <s v="Q2"/>
    <n v="132"/>
    <n v="0.5757575757575758"/>
    <s v="EDF"/>
    <n v="0.93"/>
    <n v="70.680000000000007"/>
    <n v="0.6021936"/>
    <n v="0.53545454545454552"/>
  </r>
  <r>
    <n v="68300738"/>
    <x v="15"/>
    <n v="6812"/>
    <d v="2023-05-23T00:00:00"/>
    <x v="120"/>
    <x v="19"/>
    <n v="8.4960000000000001E-3"/>
    <n v="57.874752000000001"/>
    <s v="KL"/>
    <x v="4"/>
    <x v="8"/>
    <s v="Q2"/>
    <n v="132"/>
    <n v="51.606060606060609"/>
    <s v="EDF"/>
    <n v="0.93"/>
    <n v="6335.1600000000008"/>
    <n v="53.823519360000006"/>
    <n v="47.993636363636369"/>
  </r>
  <r>
    <n v="68689251"/>
    <x v="15"/>
    <n v="4131"/>
    <d v="2023-05-23T00:00:00"/>
    <x v="17"/>
    <x v="17"/>
    <n v="9.5760000000000012E-3"/>
    <n v="39.558456000000007"/>
    <s v="KL"/>
    <x v="4"/>
    <x v="8"/>
    <s v="Q2"/>
    <n v="132"/>
    <n v="31.295454545454547"/>
    <s v="EDF"/>
    <n v="0.93"/>
    <n v="3841.8300000000004"/>
    <n v="36.789364080000006"/>
    <n v="29.104772727272731"/>
  </r>
  <r>
    <n v="68709237"/>
    <x v="15"/>
    <n v="7398"/>
    <d v="2023-05-23T00:00:00"/>
    <x v="126"/>
    <x v="20"/>
    <n v="9.5760000000000012E-3"/>
    <n v="70.843248000000003"/>
    <s v="KL"/>
    <x v="4"/>
    <x v="8"/>
    <s v="Q2"/>
    <n v="132"/>
    <n v="56.045454545454547"/>
    <s v="EDF"/>
    <n v="0.93"/>
    <n v="6880.14"/>
    <n v="65.884220640000009"/>
    <n v="52.12227272727273"/>
  </r>
  <r>
    <n v="68746232"/>
    <x v="16"/>
    <n v="4912"/>
    <d v="2023-05-23T00:00:00"/>
    <x v="154"/>
    <x v="26"/>
    <n v="9.5879999999999993E-3"/>
    <n v="47.096255999999997"/>
    <s v="KL"/>
    <x v="4"/>
    <x v="12"/>
    <s v="Q2"/>
    <n v="132"/>
    <n v="37.212121212121211"/>
    <s v="EDF"/>
    <n v="0.93"/>
    <n v="4568.16"/>
    <n v="43.799518079999999"/>
    <n v="34.607272727272729"/>
  </r>
  <r>
    <n v="68300738"/>
    <x v="15"/>
    <n v="7331"/>
    <d v="2023-05-24T00:00:00"/>
    <x v="120"/>
    <x v="19"/>
    <n v="8.4960000000000001E-3"/>
    <n v="62.284176000000002"/>
    <s v="KL"/>
    <x v="4"/>
    <x v="8"/>
    <s v="Q2"/>
    <n v="132"/>
    <n v="55.537878787878789"/>
    <s v="EDF"/>
    <n v="0.93"/>
    <n v="6817.83"/>
    <n v="57.924283680000002"/>
    <n v="51.650227272727278"/>
  </r>
  <r>
    <n v="68689251"/>
    <x v="15"/>
    <n v="7496"/>
    <d v="2023-05-24T00:00:00"/>
    <x v="17"/>
    <x v="17"/>
    <n v="9.5760000000000012E-3"/>
    <n v="71.781696000000011"/>
    <s v="KL"/>
    <x v="4"/>
    <x v="8"/>
    <s v="Q2"/>
    <n v="132"/>
    <n v="56.787878787878789"/>
    <s v="EDF"/>
    <n v="0.93"/>
    <n v="6971.2800000000007"/>
    <n v="66.756977280000015"/>
    <n v="52.81272727272728"/>
  </r>
  <r>
    <n v="68709237"/>
    <x v="15"/>
    <n v="5707"/>
    <d v="2023-05-24T00:00:00"/>
    <x v="126"/>
    <x v="20"/>
    <n v="9.5760000000000012E-3"/>
    <n v="54.65023200000001"/>
    <s v="KL"/>
    <x v="4"/>
    <x v="8"/>
    <s v="Q2"/>
    <n v="132"/>
    <n v="43.234848484848484"/>
    <s v="EDF"/>
    <n v="0.93"/>
    <n v="5307.51"/>
    <n v="50.824715760000011"/>
    <n v="40.208409090909093"/>
  </r>
  <r>
    <n v="68746232"/>
    <x v="16"/>
    <n v="4324"/>
    <d v="2023-05-24T00:00:00"/>
    <x v="154"/>
    <x v="26"/>
    <n v="9.5879999999999993E-3"/>
    <n v="41.458511999999999"/>
    <s v="KL"/>
    <x v="4"/>
    <x v="12"/>
    <s v="Q2"/>
    <n v="132"/>
    <n v="32.757575757575758"/>
    <s v="EDF"/>
    <n v="0.93"/>
    <n v="4021.32"/>
    <n v="38.556416159999998"/>
    <n v="30.464545454545455"/>
  </r>
  <r>
    <n v="68300738"/>
    <x v="15"/>
    <n v="3522"/>
    <d v="2023-05-25T00:00:00"/>
    <x v="120"/>
    <x v="19"/>
    <n v="8.4960000000000001E-3"/>
    <n v="29.922912"/>
    <s v="KL"/>
    <x v="4"/>
    <x v="8"/>
    <s v="Q2"/>
    <n v="132"/>
    <n v="26.681818181818183"/>
    <s v="EDF"/>
    <n v="0.93"/>
    <n v="3275.46"/>
    <n v="27.828308160000002"/>
    <n v="24.814090909090911"/>
  </r>
  <r>
    <n v="68689251"/>
    <x v="15"/>
    <n v="3011"/>
    <d v="2023-05-25T00:00:00"/>
    <x v="17"/>
    <x v="17"/>
    <n v="9.5760000000000012E-3"/>
    <n v="28.833336000000003"/>
    <s v="KL"/>
    <x v="4"/>
    <x v="8"/>
    <s v="Q2"/>
    <n v="132"/>
    <n v="22.810606060606062"/>
    <s v="EDF"/>
    <n v="0.93"/>
    <n v="2800.23"/>
    <n v="26.815002480000004"/>
    <n v="21.213863636363641"/>
  </r>
  <r>
    <n v="68709237"/>
    <x v="15"/>
    <n v="7919"/>
    <d v="2023-05-25T00:00:00"/>
    <x v="126"/>
    <x v="20"/>
    <n v="9.5760000000000012E-3"/>
    <n v="75.832344000000006"/>
    <s v="KL"/>
    <x v="4"/>
    <x v="8"/>
    <s v="Q2"/>
    <n v="132"/>
    <n v="59.992424242424242"/>
    <s v="EDF"/>
    <n v="0.93"/>
    <n v="7364.67"/>
    <n v="70.524079920000005"/>
    <n v="55.792954545454549"/>
  </r>
  <r>
    <n v="68746232"/>
    <x v="16"/>
    <n v="2821"/>
    <d v="2023-05-25T00:00:00"/>
    <x v="154"/>
    <x v="26"/>
    <n v="9.5879999999999993E-3"/>
    <n v="27.047747999999999"/>
    <s v="KL"/>
    <x v="4"/>
    <x v="12"/>
    <s v="Q2"/>
    <n v="132"/>
    <n v="21.371212121212121"/>
    <s v="EDF"/>
    <n v="0.93"/>
    <n v="2623.53"/>
    <n v="25.15440564"/>
    <n v="19.875227272727273"/>
  </r>
  <r>
    <n v="68689251"/>
    <x v="15"/>
    <n v="0"/>
    <d v="2023-05-26T00:00:00"/>
    <x v="17"/>
    <x v="17"/>
    <n v="9.5760000000000012E-3"/>
    <n v="0"/>
    <s v="KL"/>
    <x v="4"/>
    <x v="8"/>
    <s v="Q2"/>
    <n v="132"/>
    <n v="0"/>
    <s v="EDF"/>
    <n v="0.93"/>
    <n v="0"/>
    <n v="0"/>
    <n v="0"/>
  </r>
  <r>
    <n v="68709237"/>
    <x v="15"/>
    <n v="6409"/>
    <d v="2023-05-26T00:00:00"/>
    <x v="126"/>
    <x v="20"/>
    <n v="9.5760000000000012E-3"/>
    <n v="61.37258400000001"/>
    <s v="KL"/>
    <x v="4"/>
    <x v="8"/>
    <s v="Q2"/>
    <n v="132"/>
    <n v="48.553030303030305"/>
    <s v="EDF"/>
    <n v="0.93"/>
    <n v="5960.37"/>
    <n v="57.076503120000012"/>
    <n v="45.154318181818184"/>
  </r>
  <r>
    <n v="68746232"/>
    <x v="16"/>
    <n v="5626"/>
    <d v="2023-05-26T00:00:00"/>
    <x v="154"/>
    <x v="26"/>
    <n v="9.5879999999999993E-3"/>
    <n v="53.942087999999998"/>
    <s v="KL"/>
    <x v="4"/>
    <x v="12"/>
    <s v="Q2"/>
    <n v="132"/>
    <n v="42.621212121212125"/>
    <s v="EDF"/>
    <n v="0.93"/>
    <n v="5232.18"/>
    <n v="50.166141840000002"/>
    <n v="39.637727272727275"/>
  </r>
  <r>
    <n v="68689251"/>
    <x v="15"/>
    <n v="0"/>
    <d v="2023-05-27T00:00:00"/>
    <x v="17"/>
    <x v="17"/>
    <n v="9.5760000000000012E-3"/>
    <n v="0"/>
    <s v="KL"/>
    <x v="4"/>
    <x v="8"/>
    <s v="Q2"/>
    <n v="132"/>
    <n v="0"/>
    <s v="EDF"/>
    <n v="0.93"/>
    <n v="0"/>
    <n v="0"/>
    <n v="0"/>
  </r>
  <r>
    <n v="68709237"/>
    <x v="15"/>
    <n v="4967"/>
    <d v="2023-05-27T00:00:00"/>
    <x v="126"/>
    <x v="20"/>
    <n v="9.5760000000000012E-3"/>
    <n v="47.563992000000006"/>
    <s v="KL"/>
    <x v="4"/>
    <x v="8"/>
    <s v="Q2"/>
    <n v="132"/>
    <n v="37.628787878787875"/>
    <s v="EDF"/>
    <n v="0.93"/>
    <n v="4619.3100000000004"/>
    <n v="44.234512560000006"/>
    <n v="34.994772727272725"/>
  </r>
  <r>
    <n v="68746232"/>
    <x v="16"/>
    <n v="5004"/>
    <d v="2023-05-27T00:00:00"/>
    <x v="154"/>
    <x v="26"/>
    <n v="9.5879999999999993E-3"/>
    <n v="47.978351999999994"/>
    <s v="KL"/>
    <x v="4"/>
    <x v="12"/>
    <s v="Q2"/>
    <n v="132"/>
    <n v="37.909090909090907"/>
    <s v="EDF"/>
    <n v="0.93"/>
    <n v="4653.72"/>
    <n v="44.619867359999994"/>
    <n v="35.255454545454548"/>
  </r>
  <r>
    <n v="68689251"/>
    <x v="15"/>
    <n v="0"/>
    <d v="2023-05-28T00:00:00"/>
    <x v="17"/>
    <x v="17"/>
    <n v="9.5760000000000012E-3"/>
    <n v="0"/>
    <s v="KL"/>
    <x v="4"/>
    <x v="8"/>
    <s v="Q2"/>
    <n v="132"/>
    <n v="0"/>
    <s v="EDF"/>
    <n v="0.93"/>
    <n v="0"/>
    <n v="0"/>
    <n v="0"/>
  </r>
  <r>
    <n v="68709237"/>
    <x v="15"/>
    <n v="1911"/>
    <d v="2023-05-28T00:00:00"/>
    <x v="126"/>
    <x v="20"/>
    <n v="9.5760000000000012E-3"/>
    <n v="18.299736000000003"/>
    <s v="KL"/>
    <x v="4"/>
    <x v="8"/>
    <s v="Q2"/>
    <n v="132"/>
    <n v="14.477272727272727"/>
    <s v="EDF"/>
    <n v="0.93"/>
    <n v="1777.23"/>
    <n v="17.018754480000002"/>
    <n v="13.463863636363637"/>
  </r>
  <r>
    <n v="68746232"/>
    <x v="16"/>
    <n v="2517"/>
    <d v="2023-05-28T00:00:00"/>
    <x v="154"/>
    <x v="26"/>
    <n v="9.5879999999999993E-3"/>
    <n v="24.132995999999999"/>
    <s v="KL"/>
    <x v="4"/>
    <x v="12"/>
    <s v="Q2"/>
    <n v="132"/>
    <n v="19.068181818181817"/>
    <s v="EDF"/>
    <n v="0.93"/>
    <n v="2340.81"/>
    <n v="22.443686280000001"/>
    <n v="17.733409090909092"/>
  </r>
  <r>
    <n v="68689251"/>
    <x v="15"/>
    <n v="1221"/>
    <d v="2023-05-30T00:00:00"/>
    <x v="17"/>
    <x v="17"/>
    <n v="9.5760000000000012E-3"/>
    <n v="11.692296000000001"/>
    <s v="KL"/>
    <x v="4"/>
    <x v="8"/>
    <s v="Q2"/>
    <n v="132"/>
    <n v="9.25"/>
    <s v="EDF"/>
    <n v="0.93"/>
    <n v="1135.53"/>
    <n v="10.873835280000002"/>
    <n v="8.6025000000000009"/>
  </r>
  <r>
    <n v="68709233"/>
    <x v="15"/>
    <n v="2394"/>
    <d v="2023-05-30T00:00:00"/>
    <x v="19"/>
    <x v="19"/>
    <n v="8.4960000000000001E-3"/>
    <n v="20.339424000000001"/>
    <s v="KL"/>
    <x v="4"/>
    <x v="8"/>
    <s v="Q2"/>
    <n v="132"/>
    <n v="18.136363636363637"/>
    <s v="EDF"/>
    <n v="0.93"/>
    <n v="2226.42"/>
    <n v="18.915664320000001"/>
    <n v="16.866818181818182"/>
  </r>
  <r>
    <n v="68709237"/>
    <x v="15"/>
    <n v="3851"/>
    <d v="2023-05-30T00:00:00"/>
    <x v="126"/>
    <x v="20"/>
    <n v="9.5760000000000012E-3"/>
    <n v="36.877176000000006"/>
    <s v="KL"/>
    <x v="4"/>
    <x v="8"/>
    <s v="Q2"/>
    <n v="132"/>
    <n v="29.174242424242426"/>
    <s v="EDF"/>
    <n v="0.93"/>
    <n v="3581.4300000000003"/>
    <n v="34.295773680000011"/>
    <n v="27.132045454545459"/>
  </r>
  <r>
    <n v="68746232"/>
    <x v="16"/>
    <n v="1980"/>
    <d v="2023-05-30T00:00:00"/>
    <x v="154"/>
    <x v="26"/>
    <n v="9.5879999999999993E-3"/>
    <n v="18.98424"/>
    <s v="KL"/>
    <x v="4"/>
    <x v="12"/>
    <s v="Q2"/>
    <n v="132"/>
    <n v="15"/>
    <s v="EDF"/>
    <n v="0.93"/>
    <n v="1841.4"/>
    <n v="17.655343200000001"/>
    <n v="13.950000000000001"/>
  </r>
  <r>
    <n v="68689251"/>
    <x v="15"/>
    <n v="5324"/>
    <d v="2023-05-31T00:00:00"/>
    <x v="17"/>
    <x v="17"/>
    <n v="9.5760000000000012E-3"/>
    <n v="50.982624000000008"/>
    <s v="KL"/>
    <x v="4"/>
    <x v="8"/>
    <s v="Q2"/>
    <n v="132"/>
    <n v="40.333333333333336"/>
    <s v="EDF"/>
    <n v="0.93"/>
    <n v="4951.3200000000006"/>
    <n v="47.413840320000013"/>
    <n v="37.510000000000005"/>
  </r>
  <r>
    <n v="68709233"/>
    <x v="15"/>
    <n v="6603"/>
    <d v="2023-05-31T00:00:00"/>
    <x v="19"/>
    <x v="19"/>
    <n v="8.4960000000000001E-3"/>
    <n v="56.099088000000002"/>
    <s v="KL"/>
    <x v="4"/>
    <x v="8"/>
    <s v="Q2"/>
    <n v="132"/>
    <n v="50.022727272727273"/>
    <s v="EDF"/>
    <n v="0.93"/>
    <n v="6140.79"/>
    <n v="52.172151840000005"/>
    <n v="46.521136363636366"/>
  </r>
  <r>
    <n v="68709237"/>
    <x v="15"/>
    <n v="6359"/>
    <d v="2023-05-31T00:00:00"/>
    <x v="126"/>
    <x v="20"/>
    <n v="9.5760000000000012E-3"/>
    <n v="60.893784000000011"/>
    <s v="KL"/>
    <x v="4"/>
    <x v="8"/>
    <s v="Q2"/>
    <n v="132"/>
    <n v="48.174242424242422"/>
    <s v="EDF"/>
    <n v="0.93"/>
    <n v="5913.87"/>
    <n v="56.631219120000011"/>
    <n v="44.802045454545457"/>
  </r>
  <r>
    <n v="68746232"/>
    <x v="16"/>
    <n v="4374"/>
    <d v="2023-05-31T00:00:00"/>
    <x v="154"/>
    <x v="26"/>
    <n v="9.5879999999999993E-3"/>
    <n v="41.937911999999997"/>
    <s v="KL"/>
    <x v="4"/>
    <x v="12"/>
    <s v="Q2"/>
    <n v="132"/>
    <n v="33.136363636363633"/>
    <s v="EDF"/>
    <n v="0.93"/>
    <n v="4067.82"/>
    <n v="39.002258159999997"/>
    <n v="30.816818181818181"/>
  </r>
  <r>
    <n v="68689251"/>
    <x v="15"/>
    <n v="5647"/>
    <d v="2023-06-01T00:00:00"/>
    <x v="17"/>
    <x v="17"/>
    <n v="9.5760000000000012E-3"/>
    <n v="54.075672000000004"/>
    <s v="KL"/>
    <x v="5"/>
    <x v="8"/>
    <s v="Q2"/>
    <n v="132"/>
    <n v="42.780303030303031"/>
    <s v="EDF"/>
    <n v="0.93"/>
    <n v="5251.71"/>
    <n v="50.290374960000008"/>
    <n v="39.785681818181821"/>
  </r>
  <r>
    <n v="68709233"/>
    <x v="15"/>
    <n v="6314"/>
    <d v="2023-06-01T00:00:00"/>
    <x v="19"/>
    <x v="19"/>
    <n v="8.4960000000000001E-3"/>
    <n v="53.643743999999998"/>
    <s v="KL"/>
    <x v="5"/>
    <x v="8"/>
    <s v="Q2"/>
    <n v="132"/>
    <n v="47.833333333333336"/>
    <s v="EDF"/>
    <n v="0.93"/>
    <n v="5872.02"/>
    <n v="49.888681920000003"/>
    <n v="44.485000000000007"/>
  </r>
  <r>
    <n v="68709237"/>
    <x v="15"/>
    <n v="1316"/>
    <d v="2023-06-01T00:00:00"/>
    <x v="126"/>
    <x v="20"/>
    <n v="9.5760000000000012E-3"/>
    <n v="12.602016000000001"/>
    <s v="KL"/>
    <x v="5"/>
    <x v="8"/>
    <s v="Q2"/>
    <n v="132"/>
    <n v="9.9696969696969688"/>
    <s v="EDF"/>
    <n v="0.93"/>
    <n v="1223.8800000000001"/>
    <n v="11.719874880000001"/>
    <n v="9.2718181818181815"/>
  </r>
  <r>
    <n v="68746232"/>
    <x v="16"/>
    <n v="4620"/>
    <d v="2023-06-01T00:00:00"/>
    <x v="154"/>
    <x v="26"/>
    <n v="9.5879999999999993E-3"/>
    <n v="44.296559999999999"/>
    <s v="KL"/>
    <x v="5"/>
    <x v="12"/>
    <s v="Q2"/>
    <n v="132"/>
    <n v="35"/>
    <s v="EDF"/>
    <n v="0.93"/>
    <n v="4296.6000000000004"/>
    <n v="41.195800800000001"/>
    <n v="32.550000000000004"/>
  </r>
  <r>
    <n v="68689251"/>
    <x v="15"/>
    <n v="6196"/>
    <d v="2023-06-02T00:00:00"/>
    <x v="17"/>
    <x v="17"/>
    <n v="9.5760000000000012E-3"/>
    <n v="59.332896000000005"/>
    <s v="KL"/>
    <x v="5"/>
    <x v="8"/>
    <s v="Q2"/>
    <n v="132"/>
    <n v="46.939393939393938"/>
    <s v="EDF"/>
    <n v="0.93"/>
    <n v="5762.2800000000007"/>
    <n v="55.179593280000006"/>
    <n v="43.653636363636366"/>
  </r>
  <r>
    <n v="68709233"/>
    <x v="15"/>
    <n v="6420"/>
    <d v="2023-06-02T00:00:00"/>
    <x v="19"/>
    <x v="19"/>
    <n v="8.4960000000000001E-3"/>
    <n v="54.544319999999999"/>
    <s v="KL"/>
    <x v="5"/>
    <x v="8"/>
    <s v="Q2"/>
    <n v="132"/>
    <n v="48.636363636363633"/>
    <s v="EDF"/>
    <n v="0.93"/>
    <n v="5970.6"/>
    <n v="50.726217599999998"/>
    <n v="45.231818181818184"/>
  </r>
  <r>
    <n v="68709233"/>
    <x v="15"/>
    <n v="1749"/>
    <d v="2023-06-02T00:00:00"/>
    <x v="19"/>
    <x v="20"/>
    <n v="8.4960000000000001E-3"/>
    <n v="14.859503999999999"/>
    <s v="KL"/>
    <x v="5"/>
    <x v="8"/>
    <s v="Q2"/>
    <n v="132"/>
    <n v="13.25"/>
    <s v="EDF"/>
    <n v="0.93"/>
    <n v="1626.5700000000002"/>
    <n v="13.819338719999999"/>
    <n v="12.3225"/>
  </r>
  <r>
    <n v="68709233"/>
    <x v="15"/>
    <n v="6022"/>
    <d v="2023-06-02T00:00:00"/>
    <x v="19"/>
    <x v="20"/>
    <n v="8.4960000000000001E-3"/>
    <n v="51.162911999999999"/>
    <s v="KL"/>
    <x v="5"/>
    <x v="8"/>
    <s v="Q2"/>
    <n v="132"/>
    <n v="45.621212121212125"/>
    <s v="EDF"/>
    <n v="0.93"/>
    <n v="5600.46"/>
    <n v="47.581508159999998"/>
    <n v="42.427727272727282"/>
  </r>
  <r>
    <n v="68746232"/>
    <x v="16"/>
    <n v="3591"/>
    <d v="2023-06-02T00:00:00"/>
    <x v="154"/>
    <x v="26"/>
    <n v="9.5879999999999993E-3"/>
    <n v="34.430507999999996"/>
    <s v="KL"/>
    <x v="5"/>
    <x v="12"/>
    <s v="Q2"/>
    <n v="132"/>
    <n v="27.204545454545453"/>
    <s v="EDF"/>
    <n v="0.93"/>
    <n v="3339.63"/>
    <n v="32.020372439999996"/>
    <n v="25.300227272727273"/>
  </r>
  <r>
    <n v="68689251"/>
    <x v="15"/>
    <n v="3452"/>
    <d v="2023-06-03T00:00:00"/>
    <x v="17"/>
    <x v="17"/>
    <n v="9.5760000000000012E-3"/>
    <n v="33.056352000000004"/>
    <s v="KL"/>
    <x v="5"/>
    <x v="8"/>
    <s v="Q2"/>
    <n v="132"/>
    <n v="26.151515151515152"/>
    <s v="EDF"/>
    <n v="0.93"/>
    <n v="3210.36"/>
    <n v="30.742407360000005"/>
    <n v="24.320909090909094"/>
  </r>
  <r>
    <n v="68709233"/>
    <x v="15"/>
    <n v="0"/>
    <d v="2023-06-03T00:00:00"/>
    <x v="19"/>
    <x v="19"/>
    <n v="8.4960000000000001E-3"/>
    <n v="0"/>
    <s v="KL"/>
    <x v="5"/>
    <x v="8"/>
    <s v="Q2"/>
    <n v="132"/>
    <n v="0"/>
    <s v="EDF"/>
    <n v="0.93"/>
    <n v="0"/>
    <n v="0"/>
    <n v="0"/>
  </r>
  <r>
    <n v="68709233"/>
    <x v="15"/>
    <n v="5099"/>
    <d v="2023-06-03T00:00:00"/>
    <x v="19"/>
    <x v="20"/>
    <n v="8.4960000000000001E-3"/>
    <n v="43.321103999999998"/>
    <s v="KL"/>
    <x v="5"/>
    <x v="8"/>
    <s v="Q2"/>
    <n v="132"/>
    <n v="38.628787878787875"/>
    <s v="EDF"/>
    <n v="0.93"/>
    <n v="4742.0700000000006"/>
    <n v="40.288626720000003"/>
    <n v="35.924772727272725"/>
  </r>
  <r>
    <n v="68746232"/>
    <x v="16"/>
    <n v="3930"/>
    <d v="2023-06-03T00:00:00"/>
    <x v="154"/>
    <x v="26"/>
    <n v="9.5879999999999993E-3"/>
    <n v="37.680839999999996"/>
    <s v="KL"/>
    <x v="5"/>
    <x v="12"/>
    <s v="Q2"/>
    <n v="132"/>
    <n v="29.772727272727273"/>
    <s v="EDF"/>
    <n v="0.93"/>
    <n v="3654.9"/>
    <n v="35.043181199999999"/>
    <n v="27.688636363636366"/>
  </r>
  <r>
    <n v="68689251"/>
    <x v="15"/>
    <n v="7149"/>
    <d v="2023-06-04T00:00:00"/>
    <x v="17"/>
    <x v="17"/>
    <n v="9.5760000000000012E-3"/>
    <n v="68.458824000000007"/>
    <s v="KL"/>
    <x v="5"/>
    <x v="8"/>
    <s v="Q2"/>
    <n v="132"/>
    <n v="54.159090909090907"/>
    <s v="EDF"/>
    <n v="0.93"/>
    <n v="6648.5700000000006"/>
    <n v="63.66670632000001"/>
    <n v="50.367954545454545"/>
  </r>
  <r>
    <n v="68709233"/>
    <x v="15"/>
    <n v="5229"/>
    <d v="2023-06-04T00:00:00"/>
    <x v="19"/>
    <x v="20"/>
    <n v="8.4960000000000001E-3"/>
    <n v="44.425584000000001"/>
    <s v="KL"/>
    <x v="5"/>
    <x v="8"/>
    <s v="Q2"/>
    <n v="132"/>
    <n v="39.613636363636367"/>
    <s v="EDF"/>
    <n v="0.93"/>
    <n v="4862.97"/>
    <n v="41.315793120000002"/>
    <n v="36.840681818181821"/>
  </r>
  <r>
    <n v="68746232"/>
    <x v="16"/>
    <n v="4680"/>
    <d v="2023-06-04T00:00:00"/>
    <x v="154"/>
    <x v="26"/>
    <n v="9.5879999999999993E-3"/>
    <n v="44.871839999999999"/>
    <s v="KL"/>
    <x v="5"/>
    <x v="12"/>
    <s v="Q2"/>
    <n v="132"/>
    <n v="35.454545454545453"/>
    <s v="EDF"/>
    <n v="0.93"/>
    <n v="4352.4000000000005"/>
    <n v="41.730811199999998"/>
    <n v="32.972727272727276"/>
  </r>
  <r>
    <n v="68689251"/>
    <x v="15"/>
    <n v="7087"/>
    <d v="2023-06-05T00:00:00"/>
    <x v="17"/>
    <x v="17"/>
    <n v="9.5760000000000012E-3"/>
    <n v="67.865112000000011"/>
    <s v="KL"/>
    <x v="5"/>
    <x v="8"/>
    <s v="Q2"/>
    <n v="132"/>
    <n v="53.689393939393938"/>
    <s v="EDF"/>
    <n v="0.93"/>
    <n v="6590.9100000000008"/>
    <n v="63.114554160000012"/>
    <n v="49.931136363636362"/>
  </r>
  <r>
    <n v="68689251"/>
    <x v="15"/>
    <n v="3848"/>
    <d v="2023-06-05T00:00:00"/>
    <x v="17"/>
    <x v="19"/>
    <n v="9.5760000000000012E-3"/>
    <n v="36.848448000000005"/>
    <s v="KL"/>
    <x v="5"/>
    <x v="8"/>
    <s v="Q2"/>
    <n v="132"/>
    <n v="29.151515151515152"/>
    <s v="EDF"/>
    <n v="0.93"/>
    <n v="3578.6400000000003"/>
    <n v="34.269056640000009"/>
    <n v="27.110909090909093"/>
  </r>
  <r>
    <n v="68709233"/>
    <x v="15"/>
    <n v="2747"/>
    <d v="2023-06-05T00:00:00"/>
    <x v="19"/>
    <x v="20"/>
    <n v="8.4960000000000001E-3"/>
    <n v="23.338512000000001"/>
    <s v="KL"/>
    <x v="5"/>
    <x v="8"/>
    <s v="Q2"/>
    <n v="132"/>
    <n v="20.810606060606062"/>
    <s v="EDF"/>
    <n v="0.93"/>
    <n v="2554.71"/>
    <n v="21.704816160000004"/>
    <n v="19.353863636363638"/>
  </r>
  <r>
    <n v="68746232"/>
    <x v="16"/>
    <n v="925"/>
    <d v="2023-06-05T00:00:00"/>
    <x v="154"/>
    <x v="26"/>
    <n v="9.5879999999999993E-3"/>
    <n v="8.8689"/>
    <s v="KL"/>
    <x v="5"/>
    <x v="12"/>
    <s v="Q2"/>
    <n v="132"/>
    <n v="7.0075757575757578"/>
    <s v="EDF"/>
    <n v="0.93"/>
    <n v="860.25"/>
    <n v="8.2480770000000003"/>
    <n v="6.517045454545455"/>
  </r>
  <r>
    <n v="68852583"/>
    <x v="16"/>
    <n v="924"/>
    <d v="2023-06-05T00:00:00"/>
    <x v="227"/>
    <x v="26"/>
    <n v="8.5199999999999998E-3"/>
    <n v="7.8724799999999995"/>
    <s v="KL"/>
    <x v="5"/>
    <x v="12"/>
    <s v="Q2"/>
    <n v="132"/>
    <n v="7"/>
    <s v="EDF"/>
    <n v="0.93"/>
    <n v="859.32"/>
    <n v="7.3214063999999999"/>
    <n v="6.5100000000000007"/>
  </r>
  <r>
    <n v="68852583"/>
    <x v="16"/>
    <n v="4155"/>
    <d v="2023-06-05T00:00:00"/>
    <x v="227"/>
    <x v="26"/>
    <n v="8.5199999999999998E-3"/>
    <n v="35.400599999999997"/>
    <s v="KL"/>
    <x v="5"/>
    <x v="12"/>
    <s v="Q2"/>
    <n v="132"/>
    <n v="31.477272727272727"/>
    <s v="EDF"/>
    <n v="0.93"/>
    <n v="3864.15"/>
    <n v="32.922558000000002"/>
    <n v="29.273863636363636"/>
  </r>
  <r>
    <n v="68689251"/>
    <x v="15"/>
    <n v="7335"/>
    <d v="2023-06-06T00:00:00"/>
    <x v="17"/>
    <x v="17"/>
    <n v="9.5760000000000012E-3"/>
    <n v="70.239960000000011"/>
    <s v="KL"/>
    <x v="5"/>
    <x v="8"/>
    <s v="Q2"/>
    <n v="132"/>
    <n v="55.56818181818182"/>
    <s v="EDF"/>
    <n v="0.93"/>
    <n v="6821.55"/>
    <n v="65.32316280000002"/>
    <n v="51.678409090909092"/>
  </r>
  <r>
    <n v="68689251"/>
    <x v="15"/>
    <n v="4866"/>
    <d v="2023-06-06T00:00:00"/>
    <x v="17"/>
    <x v="19"/>
    <n v="9.5760000000000012E-3"/>
    <n v="46.596816000000004"/>
    <s v="KL"/>
    <x v="5"/>
    <x v="8"/>
    <s v="Q2"/>
    <n v="132"/>
    <n v="36.863636363636367"/>
    <s v="EDF"/>
    <n v="0.93"/>
    <n v="4525.38"/>
    <n v="43.335038880000006"/>
    <n v="34.283181818181824"/>
  </r>
  <r>
    <n v="68709233"/>
    <x v="15"/>
    <n v="3637"/>
    <d v="2023-06-06T00:00:00"/>
    <x v="19"/>
    <x v="20"/>
    <n v="8.4960000000000001E-3"/>
    <n v="30.899951999999999"/>
    <s v="KL"/>
    <x v="5"/>
    <x v="8"/>
    <s v="Q2"/>
    <n v="132"/>
    <n v="27.553030303030305"/>
    <s v="EDF"/>
    <n v="0.93"/>
    <n v="3382.4100000000003"/>
    <n v="28.73695536"/>
    <n v="25.624318181818186"/>
  </r>
  <r>
    <n v="68709233"/>
    <x v="15"/>
    <n v="0"/>
    <d v="2023-06-06T00:00:00"/>
    <x v="19"/>
    <x v="20"/>
    <n v="8.4960000000000001E-3"/>
    <n v="0"/>
    <s v="KL"/>
    <x v="5"/>
    <x v="8"/>
    <s v="Q2"/>
    <n v="132"/>
    <n v="0"/>
    <s v="EDF"/>
    <n v="0.93"/>
    <n v="0"/>
    <n v="0"/>
    <n v="0"/>
  </r>
  <r>
    <n v="68709233"/>
    <x v="15"/>
    <n v="0"/>
    <d v="2023-06-06T00:00:00"/>
    <x v="19"/>
    <x v="20"/>
    <n v="8.4960000000000001E-3"/>
    <n v="0"/>
    <s v="KL"/>
    <x v="5"/>
    <x v="8"/>
    <s v="Q2"/>
    <n v="132"/>
    <n v="0"/>
    <s v="EDF"/>
    <n v="0.93"/>
    <n v="0"/>
    <n v="0"/>
    <n v="0"/>
  </r>
  <r>
    <n v="68689251"/>
    <x v="15"/>
    <n v="4871"/>
    <d v="2023-06-07T00:00:00"/>
    <x v="17"/>
    <x v="17"/>
    <n v="9.5760000000000012E-3"/>
    <n v="46.644696000000003"/>
    <s v="KL"/>
    <x v="5"/>
    <x v="8"/>
    <s v="Q2"/>
    <n v="132"/>
    <n v="36.901515151515149"/>
    <s v="EDF"/>
    <n v="0.93"/>
    <n v="4530.0300000000007"/>
    <n v="43.379567280000003"/>
    <n v="34.318409090909093"/>
  </r>
  <r>
    <n v="68689251"/>
    <x v="15"/>
    <n v="4648"/>
    <d v="2023-06-07T00:00:00"/>
    <x v="17"/>
    <x v="19"/>
    <n v="9.5760000000000012E-3"/>
    <n v="44.509248000000007"/>
    <s v="KL"/>
    <x v="5"/>
    <x v="8"/>
    <s v="Q2"/>
    <n v="132"/>
    <n v="35.212121212121211"/>
    <s v="EDF"/>
    <n v="0.93"/>
    <n v="4322.6400000000003"/>
    <n v="41.39360064000001"/>
    <n v="32.74727272727273"/>
  </r>
  <r>
    <n v="68709233"/>
    <x v="15"/>
    <n v="7421"/>
    <d v="2023-06-07T00:00:00"/>
    <x v="19"/>
    <x v="20"/>
    <n v="8.4960000000000001E-3"/>
    <n v="63.048816000000002"/>
    <s v="KL"/>
    <x v="5"/>
    <x v="8"/>
    <s v="Q2"/>
    <n v="132"/>
    <n v="56.219696969696969"/>
    <s v="EDF"/>
    <n v="0.93"/>
    <n v="6901.5300000000007"/>
    <n v="58.635398880000004"/>
    <n v="52.284318181818186"/>
  </r>
  <r>
    <n v="68852583"/>
    <x v="16"/>
    <n v="5662"/>
    <d v="2023-06-07T00:00:00"/>
    <x v="227"/>
    <x v="26"/>
    <n v="8.5199999999999998E-3"/>
    <n v="48.24024"/>
    <s v="KL"/>
    <x v="5"/>
    <x v="12"/>
    <s v="Q2"/>
    <n v="132"/>
    <n v="42.893939393939391"/>
    <s v="EDF"/>
    <n v="0.93"/>
    <n v="5265.66"/>
    <n v="44.8634232"/>
    <n v="39.891363636363636"/>
  </r>
  <r>
    <n v="68689251"/>
    <x v="15"/>
    <n v="7498"/>
    <d v="2023-06-08T00:00:00"/>
    <x v="17"/>
    <x v="17"/>
    <n v="9.5760000000000012E-3"/>
    <n v="71.800848000000002"/>
    <s v="KL"/>
    <x v="5"/>
    <x v="8"/>
    <s v="Q2"/>
    <n v="132"/>
    <n v="56.803030303030305"/>
    <s v="EDF"/>
    <n v="0.93"/>
    <n v="6973.14"/>
    <n v="66.774788640000011"/>
    <n v="52.826818181818183"/>
  </r>
  <r>
    <n v="68689251"/>
    <x v="15"/>
    <n v="5407"/>
    <d v="2023-06-08T00:00:00"/>
    <x v="17"/>
    <x v="19"/>
    <n v="9.5760000000000012E-3"/>
    <n v="51.777432000000005"/>
    <s v="KL"/>
    <x v="5"/>
    <x v="8"/>
    <s v="Q2"/>
    <n v="132"/>
    <n v="40.962121212121211"/>
    <s v="EDF"/>
    <n v="0.93"/>
    <n v="5028.51"/>
    <n v="48.153011760000005"/>
    <n v="38.094772727272726"/>
  </r>
  <r>
    <n v="68709233"/>
    <x v="15"/>
    <n v="7672"/>
    <d v="2023-06-08T00:00:00"/>
    <x v="19"/>
    <x v="20"/>
    <n v="8.4960000000000001E-3"/>
    <n v="65.181312000000005"/>
    <s v="KL"/>
    <x v="5"/>
    <x v="8"/>
    <s v="Q2"/>
    <n v="132"/>
    <n v="58.121212121212125"/>
    <s v="EDF"/>
    <n v="0.93"/>
    <n v="7134.96"/>
    <n v="60.618620160000006"/>
    <n v="54.052727272727282"/>
  </r>
  <r>
    <n v="68852583"/>
    <x v="16"/>
    <n v="3689"/>
    <d v="2023-06-08T00:00:00"/>
    <x v="227"/>
    <x v="26"/>
    <n v="8.5199999999999998E-3"/>
    <n v="31.43028"/>
    <s v="KL"/>
    <x v="5"/>
    <x v="12"/>
    <s v="Q2"/>
    <n v="132"/>
    <n v="27.946969696969695"/>
    <s v="EDF"/>
    <n v="0.93"/>
    <n v="3430.77"/>
    <n v="29.230160400000003"/>
    <n v="25.99068181818182"/>
  </r>
  <r>
    <n v="68689251"/>
    <x v="15"/>
    <n v="6446"/>
    <d v="2023-06-09T00:00:00"/>
    <x v="17"/>
    <x v="17"/>
    <n v="9.5760000000000012E-3"/>
    <n v="61.726896000000011"/>
    <s v="KL"/>
    <x v="5"/>
    <x v="8"/>
    <s v="Q2"/>
    <n v="132"/>
    <n v="48.833333333333336"/>
    <s v="EDF"/>
    <n v="0.93"/>
    <n v="5994.7800000000007"/>
    <n v="57.40601328000001"/>
    <n v="45.415000000000006"/>
  </r>
  <r>
    <n v="68689251"/>
    <x v="15"/>
    <n v="5581"/>
    <d v="2023-06-09T00:00:00"/>
    <x v="17"/>
    <x v="19"/>
    <n v="9.5760000000000012E-3"/>
    <n v="53.443656000000004"/>
    <s v="KL"/>
    <x v="5"/>
    <x v="8"/>
    <s v="Q2"/>
    <n v="132"/>
    <n v="42.280303030303031"/>
    <s v="EDF"/>
    <n v="0.93"/>
    <n v="5190.33"/>
    <n v="49.702600080000003"/>
    <n v="39.320681818181818"/>
  </r>
  <r>
    <n v="68709233"/>
    <x v="15"/>
    <n v="1001"/>
    <d v="2023-06-09T00:00:00"/>
    <x v="19"/>
    <x v="20"/>
    <n v="8.4960000000000001E-3"/>
    <n v="8.5044959999999996"/>
    <s v="KL"/>
    <x v="5"/>
    <x v="8"/>
    <s v="Q2"/>
    <n v="132"/>
    <n v="7.583333333333333"/>
    <s v="EDF"/>
    <n v="0.93"/>
    <n v="930.93000000000006"/>
    <n v="7.9091812800000003"/>
    <n v="7.0525000000000002"/>
  </r>
  <r>
    <n v="68709233"/>
    <x v="15"/>
    <n v="0"/>
    <d v="2023-06-09T00:00:00"/>
    <x v="19"/>
    <x v="20"/>
    <n v="8.4960000000000001E-3"/>
    <n v="0"/>
    <s v="KL"/>
    <x v="5"/>
    <x v="8"/>
    <s v="Q2"/>
    <n v="132"/>
    <n v="0"/>
    <s v="EDF"/>
    <n v="0.93"/>
    <n v="0"/>
    <n v="0"/>
    <n v="0"/>
  </r>
  <r>
    <n v="68709233"/>
    <x v="15"/>
    <n v="0"/>
    <d v="2023-06-09T00:00:00"/>
    <x v="19"/>
    <x v="20"/>
    <n v="8.4960000000000001E-3"/>
    <n v="0"/>
    <s v="KL"/>
    <x v="5"/>
    <x v="8"/>
    <s v="Q2"/>
    <n v="132"/>
    <n v="0"/>
    <s v="EDF"/>
    <n v="0.93"/>
    <n v="0"/>
    <n v="0"/>
    <n v="0"/>
  </r>
  <r>
    <n v="68709233"/>
    <x v="15"/>
    <n v="1718"/>
    <d v="2023-06-09T00:00:00"/>
    <x v="19"/>
    <x v="20"/>
    <n v="8.4960000000000001E-3"/>
    <n v="14.596128"/>
    <s v="KL"/>
    <x v="5"/>
    <x v="8"/>
    <s v="Q2"/>
    <n v="132"/>
    <n v="13.015151515151516"/>
    <s v="EDF"/>
    <n v="0.93"/>
    <n v="1597.74"/>
    <n v="13.574399040000001"/>
    <n v="12.10409090909091"/>
  </r>
  <r>
    <n v="68852583"/>
    <x v="16"/>
    <n v="2588"/>
    <d v="2023-06-09T00:00:00"/>
    <x v="227"/>
    <x v="26"/>
    <n v="8.5199999999999998E-3"/>
    <n v="22.049759999999999"/>
    <s v="KL"/>
    <x v="5"/>
    <x v="12"/>
    <s v="Q2"/>
    <n v="132"/>
    <n v="19.606060606060606"/>
    <s v="EDF"/>
    <n v="0.93"/>
    <n v="2406.84"/>
    <n v="20.506276800000002"/>
    <n v="18.233636363636364"/>
  </r>
  <r>
    <n v="68689251"/>
    <x v="15"/>
    <n v="5159"/>
    <d v="2023-06-10T00:00:00"/>
    <x v="17"/>
    <x v="17"/>
    <n v="9.5760000000000012E-3"/>
    <n v="49.402584000000004"/>
    <s v="KL"/>
    <x v="5"/>
    <x v="8"/>
    <s v="Q2"/>
    <n v="132"/>
    <n v="39.083333333333336"/>
    <s v="EDF"/>
    <n v="0.93"/>
    <n v="4797.87"/>
    <n v="45.944403120000004"/>
    <n v="36.347500000000004"/>
  </r>
  <r>
    <n v="68709233"/>
    <x v="15"/>
    <n v="5616"/>
    <d v="2023-06-10T00:00:00"/>
    <x v="19"/>
    <x v="20"/>
    <n v="8.4960000000000001E-3"/>
    <n v="47.713535999999998"/>
    <s v="KL"/>
    <x v="5"/>
    <x v="8"/>
    <s v="Q2"/>
    <n v="132"/>
    <n v="42.545454545454547"/>
    <s v="EDF"/>
    <n v="0.93"/>
    <n v="5222.88"/>
    <n v="44.373588480000002"/>
    <n v="39.56727272727273"/>
  </r>
  <r>
    <n v="68852583"/>
    <x v="16"/>
    <n v="4000"/>
    <d v="2023-06-10T00:00:00"/>
    <x v="227"/>
    <x v="26"/>
    <n v="8.5199999999999998E-3"/>
    <n v="34.08"/>
    <s v="KL"/>
    <x v="5"/>
    <x v="12"/>
    <s v="Q2"/>
    <n v="132"/>
    <n v="30.303030303030305"/>
    <s v="EDF"/>
    <n v="0.93"/>
    <n v="3720"/>
    <n v="31.694400000000002"/>
    <n v="28.181818181818183"/>
  </r>
  <r>
    <n v="68689251"/>
    <x v="15"/>
    <n v="1479"/>
    <d v="2023-06-11T00:00:00"/>
    <x v="17"/>
    <x v="17"/>
    <n v="9.5760000000000012E-3"/>
    <n v="14.162904000000001"/>
    <s v="KL"/>
    <x v="5"/>
    <x v="8"/>
    <s v="Q2"/>
    <n v="132"/>
    <n v="11.204545454545455"/>
    <s v="EDF"/>
    <n v="0.93"/>
    <n v="1375.47"/>
    <n v="13.171500720000001"/>
    <n v="10.420227272727274"/>
  </r>
  <r>
    <n v="68709233"/>
    <x v="15"/>
    <n v="6022"/>
    <d v="2023-06-11T00:00:00"/>
    <x v="19"/>
    <x v="20"/>
    <n v="8.4960000000000001E-3"/>
    <n v="51.162911999999999"/>
    <s v="KL"/>
    <x v="5"/>
    <x v="8"/>
    <s v="Q2"/>
    <n v="132"/>
    <n v="45.621212121212125"/>
    <s v="EDF"/>
    <n v="0.93"/>
    <n v="5600.46"/>
    <n v="47.581508159999998"/>
    <n v="42.427727272727282"/>
  </r>
  <r>
    <n v="68852583"/>
    <x v="16"/>
    <n v="3453"/>
    <d v="2023-06-11T00:00:00"/>
    <x v="227"/>
    <x v="26"/>
    <n v="8.5199999999999998E-3"/>
    <n v="29.419560000000001"/>
    <s v="KL"/>
    <x v="5"/>
    <x v="12"/>
    <s v="Q2"/>
    <n v="132"/>
    <n v="26.15909090909091"/>
    <s v="EDF"/>
    <n v="0.93"/>
    <n v="3211.29"/>
    <n v="27.360190800000002"/>
    <n v="24.327954545454549"/>
  </r>
  <r>
    <n v="68300738"/>
    <x v="15"/>
    <n v="6305"/>
    <d v="2023-06-12T00:00:00"/>
    <x v="120"/>
    <x v="19"/>
    <n v="8.4960000000000001E-3"/>
    <n v="53.567280000000004"/>
    <s v="KL"/>
    <x v="5"/>
    <x v="8"/>
    <s v="Q2"/>
    <n v="132"/>
    <n v="47.765151515151516"/>
    <s v="EDF"/>
    <n v="0.93"/>
    <n v="5863.6500000000005"/>
    <n v="49.817570400000008"/>
    <n v="44.421590909090909"/>
  </r>
  <r>
    <n v="68709233"/>
    <x v="15"/>
    <n v="1806"/>
    <d v="2023-06-12T00:00:00"/>
    <x v="19"/>
    <x v="20"/>
    <n v="8.4960000000000001E-3"/>
    <n v="15.343776"/>
    <s v="KL"/>
    <x v="5"/>
    <x v="8"/>
    <s v="Q2"/>
    <n v="132"/>
    <n v="13.681818181818182"/>
    <s v="EDF"/>
    <n v="0.93"/>
    <n v="1679.5800000000002"/>
    <n v="14.26971168"/>
    <n v="12.72409090909091"/>
  </r>
  <r>
    <n v="68710277"/>
    <x v="15"/>
    <n v="2865"/>
    <d v="2023-06-12T00:00:00"/>
    <x v="20"/>
    <x v="20"/>
    <n v="8.5199999999999998E-3"/>
    <n v="24.409800000000001"/>
    <s v="KL"/>
    <x v="5"/>
    <x v="8"/>
    <s v="Q2"/>
    <n v="132"/>
    <n v="21.704545454545453"/>
    <s v="EDF"/>
    <n v="0.93"/>
    <n v="2664.4500000000003"/>
    <n v="22.701114"/>
    <n v="20.185227272727271"/>
  </r>
  <r>
    <n v="68746232"/>
    <x v="16"/>
    <n v="1544"/>
    <d v="2023-06-12T00:00:00"/>
    <x v="154"/>
    <x v="26"/>
    <n v="9.5879999999999993E-3"/>
    <n v="14.803871999999998"/>
    <s v="KL"/>
    <x v="5"/>
    <x v="12"/>
    <s v="Q2"/>
    <n v="132"/>
    <n v="11.696969696969697"/>
    <s v="EDF"/>
    <n v="0.93"/>
    <n v="1435.92"/>
    <n v="13.767600959999999"/>
    <n v="10.878181818181819"/>
  </r>
  <r>
    <n v="69549032"/>
    <x v="15"/>
    <n v="0"/>
    <d v="2023-06-12T00:00:00"/>
    <x v="79"/>
    <x v="36"/>
    <n v="2.3469132803553457E-3"/>
    <n v="0"/>
    <s v="GH"/>
    <x v="5"/>
    <x v="28"/>
    <s v="Q2"/>
    <n v="350"/>
    <n v="0"/>
    <s v="EFW"/>
    <n v="0.95"/>
    <n v="0"/>
    <n v="0"/>
    <n v="0"/>
  </r>
  <r>
    <n v="69549032"/>
    <x v="15"/>
    <n v="4334"/>
    <d v="2023-06-12T00:00:00"/>
    <x v="79"/>
    <x v="36"/>
    <n v="2.3469132803553457E-3"/>
    <n v="10.171522157060068"/>
    <s v="GH"/>
    <x v="5"/>
    <x v="28"/>
    <s v="Q2"/>
    <n v="350"/>
    <n v="12.382857142857143"/>
    <s v="EFW"/>
    <n v="0.95"/>
    <n v="4117.3"/>
    <n v="9.6629460492070631"/>
    <n v="11.763714285714284"/>
  </r>
  <r>
    <n v="68300738"/>
    <x v="15"/>
    <n v="5815"/>
    <d v="2023-06-13T00:00:00"/>
    <x v="120"/>
    <x v="19"/>
    <n v="8.4960000000000001E-3"/>
    <n v="49.404240000000001"/>
    <s v="KL"/>
    <x v="5"/>
    <x v="8"/>
    <s v="Q2"/>
    <n v="132"/>
    <n v="44.053030303030305"/>
    <s v="EDF"/>
    <n v="0.93"/>
    <n v="5407.9500000000007"/>
    <n v="45.945943200000002"/>
    <n v="40.969318181818188"/>
  </r>
  <r>
    <n v="68710277"/>
    <x v="15"/>
    <n v="5348"/>
    <d v="2023-06-13T00:00:00"/>
    <x v="20"/>
    <x v="20"/>
    <n v="8.5199999999999998E-3"/>
    <n v="45.564959999999999"/>
    <s v="KL"/>
    <x v="5"/>
    <x v="8"/>
    <s v="Q2"/>
    <n v="132"/>
    <n v="40.515151515151516"/>
    <s v="EDF"/>
    <n v="0.93"/>
    <n v="4973.6400000000003"/>
    <n v="42.375412799999999"/>
    <n v="37.67909090909091"/>
  </r>
  <r>
    <n v="68746232"/>
    <x v="16"/>
    <n v="4681"/>
    <d v="2023-06-13T00:00:00"/>
    <x v="154"/>
    <x v="26"/>
    <n v="9.5879999999999993E-3"/>
    <n v="44.881428"/>
    <s v="KL"/>
    <x v="5"/>
    <x v="12"/>
    <s v="Q2"/>
    <n v="132"/>
    <n v="35.462121212121211"/>
    <s v="EDF"/>
    <n v="0.93"/>
    <n v="4353.33"/>
    <n v="41.739728040000003"/>
    <n v="32.979772727272731"/>
  </r>
  <r>
    <n v="69549032"/>
    <x v="15"/>
    <n v="3227"/>
    <d v="2023-06-13T00:00:00"/>
    <x v="79"/>
    <x v="36"/>
    <n v="2.3469132803553457E-3"/>
    <n v="7.5734891557067003"/>
    <s v="GH"/>
    <x v="5"/>
    <x v="28"/>
    <s v="Q2"/>
    <n v="350"/>
    <n v="9.2200000000000006"/>
    <s v="EFW"/>
    <n v="0.95"/>
    <n v="3065.6499999999996"/>
    <n v="7.1948146979213652"/>
    <n v="8.7590000000000003"/>
  </r>
  <r>
    <n v="68300738"/>
    <x v="15"/>
    <n v="6000"/>
    <d v="2023-06-14T00:00:00"/>
    <x v="120"/>
    <x v="19"/>
    <n v="8.4960000000000001E-3"/>
    <n v="50.975999999999999"/>
    <s v="KL"/>
    <x v="5"/>
    <x v="8"/>
    <s v="Q2"/>
    <n v="132"/>
    <n v="45.454545454545453"/>
    <s v="EDF"/>
    <n v="0.93"/>
    <n v="5580"/>
    <n v="47.407679999999999"/>
    <n v="42.272727272727273"/>
  </r>
  <r>
    <n v="68710277"/>
    <x v="15"/>
    <n v="5800"/>
    <d v="2023-06-14T00:00:00"/>
    <x v="20"/>
    <x v="20"/>
    <n v="8.5199999999999998E-3"/>
    <n v="49.415999999999997"/>
    <s v="KL"/>
    <x v="5"/>
    <x v="8"/>
    <s v="Q2"/>
    <n v="132"/>
    <n v="43.939393939393938"/>
    <s v="EDF"/>
    <n v="0.93"/>
    <n v="5394"/>
    <n v="45.956879999999998"/>
    <n v="40.863636363636367"/>
  </r>
  <r>
    <n v="68746232"/>
    <x v="16"/>
    <n v="4800"/>
    <d v="2023-06-14T00:00:00"/>
    <x v="154"/>
    <x v="26"/>
    <n v="9.5879999999999993E-3"/>
    <n v="46.022399999999998"/>
    <s v="KL"/>
    <x v="5"/>
    <x v="12"/>
    <s v="Q2"/>
    <n v="132"/>
    <n v="36.363636363636367"/>
    <s v="EDF"/>
    <n v="0.93"/>
    <n v="4464"/>
    <n v="42.800832"/>
    <n v="33.81818181818182"/>
  </r>
  <r>
    <n v="69549032"/>
    <x v="15"/>
    <n v="8250"/>
    <d v="2023-06-14T00:00:00"/>
    <x v="79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710277"/>
    <x v="15"/>
    <n v="3866"/>
    <d v="2023-06-15T00:00:00"/>
    <x v="20"/>
    <x v="20"/>
    <n v="8.5199999999999998E-3"/>
    <n v="32.938319999999997"/>
    <s v="KL"/>
    <x v="5"/>
    <x v="8"/>
    <s v="Q2"/>
    <n v="132"/>
    <n v="29.287878787878789"/>
    <s v="EDF"/>
    <n v="0.93"/>
    <n v="3595.38"/>
    <n v="30.632637599999999"/>
    <n v="27.237727272727277"/>
  </r>
  <r>
    <n v="68852591"/>
    <x v="15"/>
    <n v="4066"/>
    <d v="2023-06-15T00:00:00"/>
    <x v="26"/>
    <x v="17"/>
    <n v="8.5199999999999998E-3"/>
    <n v="34.642319999999998"/>
    <s v="KL"/>
    <x v="5"/>
    <x v="8"/>
    <s v="Q2"/>
    <n v="132"/>
    <n v="30.803030303030305"/>
    <s v="EDF"/>
    <n v="0.93"/>
    <n v="3781.38"/>
    <n v="32.2173576"/>
    <n v="28.646818181818183"/>
  </r>
  <r>
    <n v="68746232"/>
    <x v="16"/>
    <n v="3200"/>
    <d v="2023-06-15T00:00:00"/>
    <x v="154"/>
    <x v="26"/>
    <n v="9.5879999999999993E-3"/>
    <n v="30.681599999999996"/>
    <s v="KL"/>
    <x v="5"/>
    <x v="12"/>
    <s v="Q2"/>
    <n v="132"/>
    <n v="24.242424242424242"/>
    <s v="EDF"/>
    <n v="0.93"/>
    <n v="2976"/>
    <n v="28.533887999999997"/>
    <n v="22.545454545454547"/>
  </r>
  <r>
    <n v="69549032"/>
    <x v="15"/>
    <n v="6187"/>
    <d v="2023-06-15T00:00:00"/>
    <x v="79"/>
    <x v="36"/>
    <n v="2.3469132803553457E-3"/>
    <n v="14.520352465558524"/>
    <s v="GH"/>
    <x v="5"/>
    <x v="28"/>
    <s v="Q2"/>
    <n v="350"/>
    <n v="17.677142857142858"/>
    <s v="EFW"/>
    <n v="0.95"/>
    <n v="5877.65"/>
    <n v="13.794334842280596"/>
    <n v="16.793285714285716"/>
  </r>
  <r>
    <n v="68710277"/>
    <x v="15"/>
    <n v="5800"/>
    <d v="2023-06-16T00:00:00"/>
    <x v="20"/>
    <x v="20"/>
    <n v="8.5199999999999998E-3"/>
    <n v="49.415999999999997"/>
    <s v="KL"/>
    <x v="5"/>
    <x v="8"/>
    <s v="Q2"/>
    <n v="132"/>
    <n v="43.939393939393938"/>
    <s v="EDF"/>
    <n v="0.93"/>
    <n v="5394"/>
    <n v="45.956879999999998"/>
    <n v="40.863636363636367"/>
  </r>
  <r>
    <n v="68852591"/>
    <x v="15"/>
    <n v="6100"/>
    <d v="2023-06-16T00:00:00"/>
    <x v="26"/>
    <x v="17"/>
    <n v="8.5199999999999998E-3"/>
    <n v="51.972000000000001"/>
    <s v="KL"/>
    <x v="5"/>
    <x v="8"/>
    <s v="Q2"/>
    <n v="132"/>
    <n v="46.212121212121211"/>
    <s v="EDF"/>
    <n v="0.93"/>
    <n v="5673"/>
    <n v="48.333960000000005"/>
    <n v="42.977272727272727"/>
  </r>
  <r>
    <n v="68746232"/>
    <x v="16"/>
    <n v="4800"/>
    <d v="2023-06-16T00:00:00"/>
    <x v="154"/>
    <x v="26"/>
    <n v="9.5879999999999993E-3"/>
    <n v="46.022399999999998"/>
    <s v="KL"/>
    <x v="5"/>
    <x v="12"/>
    <s v="Q2"/>
    <n v="132"/>
    <n v="36.363636363636367"/>
    <s v="EDF"/>
    <n v="0.93"/>
    <n v="4464"/>
    <n v="42.800832"/>
    <n v="33.81818181818182"/>
  </r>
  <r>
    <n v="69549032"/>
    <x v="15"/>
    <n v="8250"/>
    <d v="2023-06-16T00:00:00"/>
    <x v="79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710277"/>
    <x v="15"/>
    <n v="5800"/>
    <d v="2023-06-17T00:00:00"/>
    <x v="20"/>
    <x v="20"/>
    <n v="8.5199999999999998E-3"/>
    <n v="49.415999999999997"/>
    <s v="KL"/>
    <x v="5"/>
    <x v="8"/>
    <s v="Q2"/>
    <n v="132"/>
    <n v="43.939393939393938"/>
    <s v="EDF"/>
    <n v="0.93"/>
    <n v="5394"/>
    <n v="45.956879999999998"/>
    <n v="40.863636363636367"/>
  </r>
  <r>
    <n v="68852591"/>
    <x v="15"/>
    <n v="6100"/>
    <d v="2023-06-17T00:00:00"/>
    <x v="26"/>
    <x v="17"/>
    <n v="8.5199999999999998E-3"/>
    <n v="51.972000000000001"/>
    <s v="KL"/>
    <x v="5"/>
    <x v="8"/>
    <s v="Q2"/>
    <n v="132"/>
    <n v="46.212121212121211"/>
    <s v="EDF"/>
    <n v="0.93"/>
    <n v="5673"/>
    <n v="48.333960000000005"/>
    <n v="42.977272727272727"/>
  </r>
  <r>
    <n v="68746232"/>
    <x v="16"/>
    <n v="4800"/>
    <d v="2023-06-17T00:00:00"/>
    <x v="154"/>
    <x v="26"/>
    <n v="9.5879999999999993E-3"/>
    <n v="46.022399999999998"/>
    <s v="KL"/>
    <x v="5"/>
    <x v="12"/>
    <s v="Q2"/>
    <n v="132"/>
    <n v="36.363636363636367"/>
    <s v="EDF"/>
    <n v="0.93"/>
    <n v="4464"/>
    <n v="42.800832"/>
    <n v="33.81818181818182"/>
  </r>
  <r>
    <n v="68710277"/>
    <x v="15"/>
    <n v="3050"/>
    <d v="2023-06-18T00:00:00"/>
    <x v="20"/>
    <x v="20"/>
    <n v="8.5199999999999998E-3"/>
    <n v="25.986000000000001"/>
    <s v="KL"/>
    <x v="5"/>
    <x v="8"/>
    <s v="Q2"/>
    <n v="132"/>
    <n v="23.106060606060606"/>
    <s v="EDF"/>
    <n v="0.93"/>
    <n v="2836.5"/>
    <n v="24.166980000000002"/>
    <n v="21.488636363636363"/>
  </r>
  <r>
    <n v="68852591"/>
    <x v="15"/>
    <n v="3050"/>
    <d v="2023-06-18T00:00:00"/>
    <x v="26"/>
    <x v="17"/>
    <n v="8.5199999999999998E-3"/>
    <n v="25.986000000000001"/>
    <s v="KL"/>
    <x v="5"/>
    <x v="8"/>
    <s v="Q2"/>
    <n v="132"/>
    <n v="23.106060606060606"/>
    <s v="EDF"/>
    <n v="0.93"/>
    <n v="2836.5"/>
    <n v="24.166980000000002"/>
    <n v="21.488636363636363"/>
  </r>
  <r>
    <n v="68746232"/>
    <x v="16"/>
    <n v="2400"/>
    <d v="2023-06-18T00:00:00"/>
    <x v="154"/>
    <x v="26"/>
    <n v="9.5879999999999993E-3"/>
    <n v="23.011199999999999"/>
    <s v="KL"/>
    <x v="5"/>
    <x v="12"/>
    <s v="Q2"/>
    <n v="132"/>
    <n v="18.181818181818183"/>
    <s v="EDF"/>
    <n v="0.93"/>
    <n v="2232"/>
    <n v="21.400416"/>
    <n v="16.90909090909091"/>
  </r>
  <r>
    <n v="68300738"/>
    <x v="15"/>
    <n v="3000"/>
    <d v="2023-06-20T00:00:00"/>
    <x v="120"/>
    <x v="19"/>
    <n v="8.4960000000000001E-3"/>
    <n v="25.488"/>
    <s v="KL"/>
    <x v="5"/>
    <x v="8"/>
    <s v="Q2"/>
    <n v="132"/>
    <n v="22.727272727272727"/>
    <s v="EDF"/>
    <n v="0.93"/>
    <n v="2790"/>
    <n v="23.70384"/>
    <n v="21.136363636363637"/>
  </r>
  <r>
    <n v="68852591"/>
    <x v="15"/>
    <n v="3050"/>
    <d v="2023-06-20T00:00:00"/>
    <x v="26"/>
    <x v="17"/>
    <n v="8.5199999999999998E-3"/>
    <n v="25.986000000000001"/>
    <s v="KL"/>
    <x v="5"/>
    <x v="8"/>
    <s v="Q2"/>
    <n v="132"/>
    <n v="23.106060606060606"/>
    <s v="EDF"/>
    <n v="0.93"/>
    <n v="2836.5"/>
    <n v="24.166980000000002"/>
    <n v="21.488636363636363"/>
  </r>
  <r>
    <n v="68852591"/>
    <x v="16"/>
    <n v="800"/>
    <d v="2023-06-20T00:00:00"/>
    <x v="26"/>
    <x v="26"/>
    <n v="8.5199999999999998E-3"/>
    <n v="6.8159999999999998"/>
    <s v="KL"/>
    <x v="5"/>
    <x v="12"/>
    <s v="Q2"/>
    <n v="132"/>
    <n v="6.0606060606060606"/>
    <s v="EDF"/>
    <n v="0.93"/>
    <n v="744"/>
    <n v="6.3388800000000005"/>
    <n v="5.6363636363636367"/>
  </r>
  <r>
    <n v="69779478"/>
    <x v="15"/>
    <n v="4125"/>
    <d v="2023-06-20T00:00:00"/>
    <x v="437"/>
    <x v="36"/>
    <n v="2.3469132803553457E-3"/>
    <n v="9.6810172814658007"/>
    <s v="GH"/>
    <x v="5"/>
    <x v="28"/>
    <s v="Q2"/>
    <n v="350"/>
    <n v="11.785714285714286"/>
    <s v="EFW"/>
    <n v="0.95"/>
    <n v="3918.75"/>
    <n v="9.1969664173925096"/>
    <n v="11.196428571428571"/>
  </r>
  <r>
    <n v="69779478"/>
    <x v="15"/>
    <n v="10"/>
    <d v="2023-06-20T00:00:00"/>
    <x v="437"/>
    <x v="36"/>
    <n v="2.3469132803553457E-3"/>
    <n v="2.3469132803553457E-2"/>
    <s v="GH"/>
    <x v="5"/>
    <x v="28"/>
    <s v="Q2"/>
    <n v="350"/>
    <n v="2.8571428571428571E-2"/>
    <s v="EFW"/>
    <n v="0.95"/>
    <n v="9.5"/>
    <n v="2.2295676163375782E-2"/>
    <n v="2.7142857142857142E-2"/>
  </r>
  <r>
    <n v="68300738"/>
    <x v="15"/>
    <n v="6000"/>
    <d v="2023-06-21T00:00:00"/>
    <x v="120"/>
    <x v="19"/>
    <n v="8.4960000000000001E-3"/>
    <n v="50.975999999999999"/>
    <s v="KL"/>
    <x v="5"/>
    <x v="8"/>
    <s v="Q2"/>
    <n v="132"/>
    <n v="45.454545454545453"/>
    <s v="EDF"/>
    <n v="0.93"/>
    <n v="5580"/>
    <n v="47.407679999999999"/>
    <n v="42.272727272727273"/>
  </r>
  <r>
    <n v="68852591"/>
    <x v="15"/>
    <n v="6100"/>
    <d v="2023-06-21T00:00:00"/>
    <x v="26"/>
    <x v="17"/>
    <n v="8.5199999999999998E-3"/>
    <n v="51.972000000000001"/>
    <s v="KL"/>
    <x v="5"/>
    <x v="8"/>
    <s v="Q2"/>
    <n v="132"/>
    <n v="46.212121212121211"/>
    <s v="EDF"/>
    <n v="0.93"/>
    <n v="5673"/>
    <n v="48.333960000000005"/>
    <n v="42.977272727272727"/>
  </r>
  <r>
    <n v="68852591"/>
    <x v="16"/>
    <n v="4800"/>
    <d v="2023-06-21T00:00:00"/>
    <x v="26"/>
    <x v="26"/>
    <n v="8.5199999999999998E-3"/>
    <n v="40.896000000000001"/>
    <s v="KL"/>
    <x v="5"/>
    <x v="12"/>
    <s v="Q2"/>
    <n v="132"/>
    <n v="36.363636363636367"/>
    <s v="EDF"/>
    <n v="0.93"/>
    <n v="4464"/>
    <n v="38.033280000000005"/>
    <n v="33.81818181818182"/>
  </r>
  <r>
    <n v="69779478"/>
    <x v="15"/>
    <n v="8250"/>
    <d v="2023-06-21T00:00:00"/>
    <x v="437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300738"/>
    <x v="15"/>
    <n v="4000"/>
    <d v="2023-06-22T00:00:00"/>
    <x v="120"/>
    <x v="19"/>
    <n v="8.4960000000000001E-3"/>
    <n v="33.984000000000002"/>
    <s v="KL"/>
    <x v="5"/>
    <x v="8"/>
    <s v="Q2"/>
    <n v="132"/>
    <n v="30.303030303030305"/>
    <s v="EDF"/>
    <n v="0.93"/>
    <n v="3720"/>
    <n v="31.605120000000003"/>
    <n v="28.181818181818183"/>
  </r>
  <r>
    <n v="68852591"/>
    <x v="15"/>
    <n v="6100"/>
    <d v="2023-06-22T00:00:00"/>
    <x v="26"/>
    <x v="17"/>
    <n v="8.5199999999999998E-3"/>
    <n v="51.972000000000001"/>
    <s v="KL"/>
    <x v="5"/>
    <x v="8"/>
    <s v="Q2"/>
    <n v="132"/>
    <n v="46.212121212121211"/>
    <s v="EDF"/>
    <n v="0.93"/>
    <n v="5673"/>
    <n v="48.333960000000005"/>
    <n v="42.977272727272727"/>
  </r>
  <r>
    <n v="68852591"/>
    <x v="16"/>
    <n v="4800"/>
    <d v="2023-06-22T00:00:00"/>
    <x v="26"/>
    <x v="26"/>
    <n v="8.5199999999999998E-3"/>
    <n v="40.896000000000001"/>
    <s v="KL"/>
    <x v="5"/>
    <x v="12"/>
    <s v="Q2"/>
    <n v="132"/>
    <n v="36.363636363636367"/>
    <s v="EDF"/>
    <n v="0.93"/>
    <n v="4464"/>
    <n v="38.033280000000005"/>
    <n v="33.81818181818182"/>
  </r>
  <r>
    <n v="69779478"/>
    <x v="15"/>
    <n v="8250"/>
    <d v="2023-06-22T00:00:00"/>
    <x v="437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852591"/>
    <x v="15"/>
    <n v="4066"/>
    <d v="2023-06-23T00:00:00"/>
    <x v="26"/>
    <x v="17"/>
    <n v="8.5199999999999998E-3"/>
    <n v="34.642319999999998"/>
    <s v="KL"/>
    <x v="5"/>
    <x v="8"/>
    <s v="Q2"/>
    <n v="132"/>
    <n v="30.803030303030305"/>
    <s v="EDF"/>
    <n v="0.93"/>
    <n v="3781.38"/>
    <n v="32.2173576"/>
    <n v="28.646818181818183"/>
  </r>
  <r>
    <n v="68921994"/>
    <x v="15"/>
    <n v="6200"/>
    <d v="2023-06-23T00:00:00"/>
    <x v="258"/>
    <x v="20"/>
    <n v="9.5879999999999993E-3"/>
    <n v="59.445599999999999"/>
    <s v="KL"/>
    <x v="5"/>
    <x v="8"/>
    <s v="Q2"/>
    <n v="132"/>
    <n v="46.969696969696969"/>
    <s v="EDF"/>
    <n v="0.93"/>
    <n v="5766"/>
    <n v="55.284407999999999"/>
    <n v="43.68181818181818"/>
  </r>
  <r>
    <n v="68852591"/>
    <x v="16"/>
    <n v="3200"/>
    <d v="2023-06-23T00:00:00"/>
    <x v="26"/>
    <x v="26"/>
    <n v="8.5199999999999998E-3"/>
    <n v="27.263999999999999"/>
    <s v="KL"/>
    <x v="5"/>
    <x v="12"/>
    <s v="Q2"/>
    <n v="132"/>
    <n v="24.242424242424242"/>
    <s v="EDF"/>
    <n v="0.93"/>
    <n v="2976"/>
    <n v="25.355520000000002"/>
    <n v="22.545454545454547"/>
  </r>
  <r>
    <n v="69779478"/>
    <x v="15"/>
    <n v="8250"/>
    <d v="2023-06-23T00:00:00"/>
    <x v="437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852591"/>
    <x v="15"/>
    <n v="6100"/>
    <d v="2023-06-24T00:00:00"/>
    <x v="26"/>
    <x v="17"/>
    <n v="8.5199999999999998E-3"/>
    <n v="51.972000000000001"/>
    <s v="KL"/>
    <x v="5"/>
    <x v="8"/>
    <s v="Q2"/>
    <n v="132"/>
    <n v="46.212121212121211"/>
    <s v="EDF"/>
    <n v="0.93"/>
    <n v="5673"/>
    <n v="48.333960000000005"/>
    <n v="42.977272727272727"/>
  </r>
  <r>
    <n v="68921994"/>
    <x v="15"/>
    <n v="6200"/>
    <d v="2023-06-24T00:00:00"/>
    <x v="258"/>
    <x v="20"/>
    <n v="9.5879999999999993E-3"/>
    <n v="59.445599999999999"/>
    <s v="KL"/>
    <x v="5"/>
    <x v="8"/>
    <s v="Q2"/>
    <n v="132"/>
    <n v="46.969696969696969"/>
    <s v="EDF"/>
    <n v="0.93"/>
    <n v="5766"/>
    <n v="55.284407999999999"/>
    <n v="43.68181818181818"/>
  </r>
  <r>
    <n v="68852591"/>
    <x v="16"/>
    <n v="4800"/>
    <d v="2023-06-24T00:00:00"/>
    <x v="26"/>
    <x v="26"/>
    <n v="8.5199999999999998E-3"/>
    <n v="40.896000000000001"/>
    <s v="KL"/>
    <x v="5"/>
    <x v="12"/>
    <s v="Q2"/>
    <n v="132"/>
    <n v="36.363636363636367"/>
    <s v="EDF"/>
    <n v="0.93"/>
    <n v="4464"/>
    <n v="38.033280000000005"/>
    <n v="33.81818181818182"/>
  </r>
  <r>
    <n v="68852591"/>
    <x v="15"/>
    <n v="6100"/>
    <d v="2023-06-25T00:00:00"/>
    <x v="26"/>
    <x v="17"/>
    <n v="8.5199999999999998E-3"/>
    <n v="51.972000000000001"/>
    <s v="KL"/>
    <x v="5"/>
    <x v="8"/>
    <s v="Q2"/>
    <n v="132"/>
    <n v="46.212121212121211"/>
    <s v="EDF"/>
    <n v="0.93"/>
    <n v="5673"/>
    <n v="48.333960000000005"/>
    <n v="42.977272727272727"/>
  </r>
  <r>
    <n v="68921994"/>
    <x v="15"/>
    <n v="4908"/>
    <d v="2023-06-25T00:00:00"/>
    <x v="258"/>
    <x v="20"/>
    <n v="9.5879999999999993E-3"/>
    <n v="47.057903999999994"/>
    <s v="KL"/>
    <x v="5"/>
    <x v="8"/>
    <s v="Q2"/>
    <n v="132"/>
    <n v="37.18181818181818"/>
    <s v="EDF"/>
    <n v="0.93"/>
    <n v="4564.4400000000005"/>
    <n v="43.763850719999994"/>
    <n v="34.579090909090908"/>
  </r>
  <r>
    <n v="68852591"/>
    <x v="16"/>
    <n v="4800"/>
    <d v="2023-06-25T00:00:00"/>
    <x v="26"/>
    <x v="26"/>
    <n v="8.5199999999999998E-3"/>
    <n v="40.896000000000001"/>
    <s v="KL"/>
    <x v="5"/>
    <x v="12"/>
    <s v="Q2"/>
    <n v="132"/>
    <n v="36.363636363636367"/>
    <s v="EDF"/>
    <n v="0.93"/>
    <n v="4464"/>
    <n v="38.033280000000005"/>
    <n v="33.81818181818182"/>
  </r>
  <r>
    <n v="68300738"/>
    <x v="15"/>
    <n v="4750"/>
    <d v="2023-06-26T00:00:00"/>
    <x v="120"/>
    <x v="19"/>
    <n v="8.4960000000000001E-3"/>
    <n v="40.356000000000002"/>
    <s v="KL"/>
    <x v="5"/>
    <x v="8"/>
    <s v="Q2"/>
    <n v="132"/>
    <n v="35.984848484848484"/>
    <s v="EDF"/>
    <n v="0.93"/>
    <n v="4417.5"/>
    <n v="37.531080000000003"/>
    <n v="33.465909090909093"/>
  </r>
  <r>
    <n v="68689251"/>
    <x v="15"/>
    <n v="4266"/>
    <d v="2023-06-26T00:00:00"/>
    <x v="17"/>
    <x v="17"/>
    <n v="9.5760000000000012E-3"/>
    <n v="40.851216000000008"/>
    <s v="KL"/>
    <x v="5"/>
    <x v="8"/>
    <s v="Q2"/>
    <n v="132"/>
    <n v="32.31818181818182"/>
    <s v="EDF"/>
    <n v="0.93"/>
    <n v="3967.38"/>
    <n v="37.99163088000001"/>
    <n v="30.055909090909093"/>
  </r>
  <r>
    <n v="68852591"/>
    <x v="16"/>
    <n v="800"/>
    <d v="2023-06-26T00:00:00"/>
    <x v="26"/>
    <x v="26"/>
    <n v="8.5199999999999998E-3"/>
    <n v="6.8159999999999998"/>
    <s v="KL"/>
    <x v="5"/>
    <x v="12"/>
    <s v="Q2"/>
    <n v="132"/>
    <n v="6.0606060606060606"/>
    <s v="EDF"/>
    <n v="0.93"/>
    <n v="744"/>
    <n v="6.3388800000000005"/>
    <n v="5.6363636363636367"/>
  </r>
  <r>
    <n v="69779478"/>
    <x v="15"/>
    <n v="6187"/>
    <d v="2023-06-26T00:00:00"/>
    <x v="437"/>
    <x v="36"/>
    <n v="2.3469132803553457E-3"/>
    <n v="14.520352465558524"/>
    <s v="GH"/>
    <x v="5"/>
    <x v="28"/>
    <s v="Q2"/>
    <n v="350"/>
    <n v="17.677142857142858"/>
    <s v="EFW"/>
    <n v="0.95"/>
    <n v="5877.65"/>
    <n v="13.794334842280596"/>
    <n v="16.793285714285716"/>
  </r>
  <r>
    <n v="68689253"/>
    <x v="16"/>
    <n v="5000"/>
    <d v="2023-06-26T00:00:00"/>
    <x v="125"/>
    <x v="18"/>
    <n v="6.0035555555555554E-3"/>
    <n v="30.017777777777777"/>
    <s v="KL"/>
    <x v="5"/>
    <x v="9"/>
    <s v="Q2"/>
    <n v="120"/>
    <n v="41.666666666666664"/>
    <s v="ESS"/>
    <n v="0.95"/>
    <n v="4750"/>
    <n v="28.516888888888886"/>
    <n v="39.583333333333329"/>
  </r>
  <r>
    <n v="68300738"/>
    <x v="15"/>
    <n v="6000"/>
    <d v="2023-06-27T00:00:00"/>
    <x v="120"/>
    <x v="19"/>
    <n v="8.4960000000000001E-3"/>
    <n v="50.975999999999999"/>
    <s v="KL"/>
    <x v="5"/>
    <x v="8"/>
    <s v="Q2"/>
    <n v="132"/>
    <n v="45.454545454545453"/>
    <s v="EDF"/>
    <n v="0.93"/>
    <n v="5580"/>
    <n v="47.407679999999999"/>
    <n v="42.272727272727273"/>
  </r>
  <r>
    <n v="68689251"/>
    <x v="15"/>
    <n v="6400"/>
    <d v="2023-06-27T00:00:00"/>
    <x v="17"/>
    <x v="17"/>
    <n v="9.5760000000000012E-3"/>
    <n v="61.286400000000008"/>
    <s v="KL"/>
    <x v="5"/>
    <x v="8"/>
    <s v="Q2"/>
    <n v="132"/>
    <n v="48.484848484848484"/>
    <s v="EDF"/>
    <n v="0.93"/>
    <n v="5952"/>
    <n v="56.996352000000009"/>
    <n v="45.090909090909093"/>
  </r>
  <r>
    <n v="68852591"/>
    <x v="16"/>
    <n v="4800"/>
    <d v="2023-06-27T00:00:00"/>
    <x v="26"/>
    <x v="26"/>
    <n v="8.5199999999999998E-3"/>
    <n v="40.896000000000001"/>
    <s v="KL"/>
    <x v="5"/>
    <x v="12"/>
    <s v="Q2"/>
    <n v="132"/>
    <n v="36.363636363636367"/>
    <s v="EDF"/>
    <n v="0.93"/>
    <n v="4464"/>
    <n v="38.033280000000005"/>
    <n v="33.81818181818182"/>
  </r>
  <r>
    <n v="69779478"/>
    <x v="15"/>
    <n v="8250"/>
    <d v="2023-06-27T00:00:00"/>
    <x v="437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689253"/>
    <x v="16"/>
    <n v="6000"/>
    <d v="2023-06-27T00:00:00"/>
    <x v="125"/>
    <x v="18"/>
    <n v="6.0035555555555554E-3"/>
    <n v="36.021333333333331"/>
    <s v="KL"/>
    <x v="5"/>
    <x v="9"/>
    <s v="Q2"/>
    <n v="120"/>
    <n v="50"/>
    <s v="ESS"/>
    <n v="0.95"/>
    <n v="5700"/>
    <n v="34.22026666666666"/>
    <n v="47.5"/>
  </r>
  <r>
    <n v="68300738"/>
    <x v="15"/>
    <n v="6000"/>
    <d v="2023-06-28T00:00:00"/>
    <x v="120"/>
    <x v="19"/>
    <n v="8.4960000000000001E-3"/>
    <n v="50.975999999999999"/>
    <s v="KL"/>
    <x v="5"/>
    <x v="8"/>
    <s v="Q2"/>
    <n v="132"/>
    <n v="45.454545454545453"/>
    <s v="EDF"/>
    <n v="0.93"/>
    <n v="5580"/>
    <n v="47.407679999999999"/>
    <n v="42.272727272727273"/>
  </r>
  <r>
    <n v="68689251"/>
    <x v="15"/>
    <n v="6400"/>
    <d v="2023-06-28T00:00:00"/>
    <x v="17"/>
    <x v="17"/>
    <n v="9.5760000000000012E-3"/>
    <n v="61.286400000000008"/>
    <s v="KL"/>
    <x v="5"/>
    <x v="8"/>
    <s v="Q2"/>
    <n v="132"/>
    <n v="48.484848484848484"/>
    <s v="EDF"/>
    <n v="0.93"/>
    <n v="5952"/>
    <n v="56.996352000000009"/>
    <n v="45.090909090909093"/>
  </r>
  <r>
    <n v="68852591"/>
    <x v="16"/>
    <n v="4800"/>
    <d v="2023-06-28T00:00:00"/>
    <x v="26"/>
    <x v="26"/>
    <n v="8.5199999999999998E-3"/>
    <n v="40.896000000000001"/>
    <s v="KL"/>
    <x v="5"/>
    <x v="12"/>
    <s v="Q2"/>
    <n v="132"/>
    <n v="36.363636363636367"/>
    <s v="EDF"/>
    <n v="0.93"/>
    <n v="4464"/>
    <n v="38.033280000000005"/>
    <n v="33.81818181818182"/>
  </r>
  <r>
    <n v="69779478"/>
    <x v="15"/>
    <n v="8250"/>
    <d v="2023-06-28T00:00:00"/>
    <x v="437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689253"/>
    <x v="16"/>
    <n v="4500"/>
    <d v="2023-06-28T00:00:00"/>
    <x v="125"/>
    <x v="18"/>
    <n v="6.0035555555555554E-3"/>
    <n v="27.015999999999998"/>
    <s v="KL"/>
    <x v="5"/>
    <x v="9"/>
    <s v="Q2"/>
    <n v="120"/>
    <n v="37.5"/>
    <s v="ESS"/>
    <n v="0.95"/>
    <n v="4275"/>
    <n v="25.665199999999999"/>
    <n v="35.625"/>
  </r>
  <r>
    <n v="68689251"/>
    <x v="15"/>
    <n v="4266"/>
    <d v="2023-06-29T00:00:00"/>
    <x v="17"/>
    <x v="17"/>
    <n v="9.5760000000000012E-3"/>
    <n v="40.851216000000008"/>
    <s v="KL"/>
    <x v="5"/>
    <x v="8"/>
    <s v="Q2"/>
    <n v="132"/>
    <n v="32.31818181818182"/>
    <s v="EDF"/>
    <n v="0.93"/>
    <n v="3967.38"/>
    <n v="37.99163088000001"/>
    <n v="30.055909090909093"/>
  </r>
  <r>
    <n v="68689251"/>
    <x v="15"/>
    <n v="4128"/>
    <d v="2023-06-29T00:00:00"/>
    <x v="17"/>
    <x v="20"/>
    <n v="9.5760000000000012E-3"/>
    <n v="39.529728000000006"/>
    <s v="KL"/>
    <x v="5"/>
    <x v="8"/>
    <s v="Q2"/>
    <n v="132"/>
    <n v="31.272727272727273"/>
    <s v="EDF"/>
    <n v="0.93"/>
    <n v="3839.0400000000004"/>
    <n v="36.762647040000004"/>
    <n v="29.083636363636366"/>
  </r>
  <r>
    <n v="68852591"/>
    <x v="16"/>
    <n v="3200"/>
    <d v="2023-06-29T00:00:00"/>
    <x v="26"/>
    <x v="26"/>
    <n v="8.5199999999999998E-3"/>
    <n v="27.263999999999999"/>
    <s v="KL"/>
    <x v="5"/>
    <x v="12"/>
    <s v="Q2"/>
    <n v="132"/>
    <n v="24.242424242424242"/>
    <s v="EDF"/>
    <n v="0.93"/>
    <n v="2976"/>
    <n v="25.355520000000002"/>
    <n v="22.545454545454547"/>
  </r>
  <r>
    <n v="69779478"/>
    <x v="15"/>
    <n v="6187"/>
    <d v="2023-06-29T00:00:00"/>
    <x v="437"/>
    <x v="36"/>
    <n v="2.3469132803553457E-3"/>
    <n v="14.520352465558524"/>
    <s v="GH"/>
    <x v="5"/>
    <x v="28"/>
    <s v="Q2"/>
    <n v="350"/>
    <n v="17.677142857142858"/>
    <s v="EFW"/>
    <n v="0.95"/>
    <n v="5877.65"/>
    <n v="13.794334842280596"/>
    <n v="16.793285714285716"/>
  </r>
  <r>
    <n v="68689253"/>
    <x v="16"/>
    <n v="6000"/>
    <d v="2023-06-29T00:00:00"/>
    <x v="125"/>
    <x v="18"/>
    <n v="6.0035555555555554E-3"/>
    <n v="36.021333333333331"/>
    <s v="KL"/>
    <x v="5"/>
    <x v="9"/>
    <s v="Q2"/>
    <n v="120"/>
    <n v="50"/>
    <s v="ESS"/>
    <n v="0.95"/>
    <n v="5700"/>
    <n v="34.22026666666666"/>
    <n v="47.5"/>
  </r>
  <r>
    <n v="68689251"/>
    <x v="15"/>
    <n v="6400"/>
    <d v="2023-06-30T00:00:00"/>
    <x v="17"/>
    <x v="17"/>
    <n v="9.5760000000000012E-3"/>
    <n v="61.286400000000008"/>
    <s v="KL"/>
    <x v="5"/>
    <x v="8"/>
    <s v="Q2"/>
    <n v="132"/>
    <n v="48.484848484848484"/>
    <s v="EDF"/>
    <n v="0.93"/>
    <n v="5952"/>
    <n v="56.996352000000009"/>
    <n v="45.090909090909093"/>
  </r>
  <r>
    <n v="68689251"/>
    <x v="15"/>
    <n v="6200"/>
    <d v="2023-06-30T00:00:00"/>
    <x v="17"/>
    <x v="20"/>
    <n v="9.5760000000000012E-3"/>
    <n v="59.371200000000009"/>
    <s v="KL"/>
    <x v="5"/>
    <x v="8"/>
    <s v="Q2"/>
    <n v="132"/>
    <n v="46.969696969696969"/>
    <s v="EDF"/>
    <n v="0.93"/>
    <n v="5766"/>
    <n v="55.215216000000012"/>
    <n v="43.68181818181818"/>
  </r>
  <r>
    <n v="68852591"/>
    <x v="16"/>
    <n v="4800"/>
    <d v="2023-06-30T00:00:00"/>
    <x v="26"/>
    <x v="26"/>
    <n v="8.5199999999999998E-3"/>
    <n v="40.896000000000001"/>
    <s v="KL"/>
    <x v="5"/>
    <x v="12"/>
    <s v="Q2"/>
    <n v="132"/>
    <n v="36.363636363636367"/>
    <s v="EDF"/>
    <n v="0.93"/>
    <n v="4464"/>
    <n v="38.033280000000005"/>
    <n v="33.81818181818182"/>
  </r>
  <r>
    <n v="69779478"/>
    <x v="15"/>
    <n v="8250"/>
    <d v="2023-06-30T00:00:00"/>
    <x v="437"/>
    <x v="36"/>
    <n v="2.3469132803553457E-3"/>
    <n v="19.362034562931601"/>
    <s v="GH"/>
    <x v="5"/>
    <x v="28"/>
    <s v="Q2"/>
    <n v="350"/>
    <n v="23.571428571428573"/>
    <s v="EFW"/>
    <n v="0.95"/>
    <n v="7837.5"/>
    <n v="18.393932834785019"/>
    <n v="22.392857142857142"/>
  </r>
  <r>
    <n v="68689253"/>
    <x v="16"/>
    <n v="4500"/>
    <d v="2023-06-30T00:00:00"/>
    <x v="125"/>
    <x v="18"/>
    <n v="6.0035555555555554E-3"/>
    <n v="27.015999999999998"/>
    <s v="KL"/>
    <x v="5"/>
    <x v="9"/>
    <s v="Q2"/>
    <n v="120"/>
    <n v="37.5"/>
    <s v="ESS"/>
    <n v="0.95"/>
    <n v="4275"/>
    <n v="25.665199999999999"/>
    <n v="35.625"/>
  </r>
  <r>
    <n v="68689251"/>
    <x v="15"/>
    <n v="6400"/>
    <d v="2023-07-01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689251"/>
    <x v="15"/>
    <n v="6200"/>
    <d v="2023-07-01T00:00:00"/>
    <x v="17"/>
    <x v="20"/>
    <n v="9.5760000000000012E-3"/>
    <n v="59.371200000000009"/>
    <s v="KL"/>
    <x v="6"/>
    <x v="8"/>
    <s v="Q3"/>
    <n v="132"/>
    <n v="46.969696969696969"/>
    <s v="EDF"/>
    <n v="0.93"/>
    <n v="5766"/>
    <n v="55.215216000000012"/>
    <n v="43.68181818181818"/>
  </r>
  <r>
    <n v="68852591"/>
    <x v="16"/>
    <n v="4800"/>
    <d v="2023-07-01T00:00:00"/>
    <x v="26"/>
    <x v="26"/>
    <n v="8.5199999999999998E-3"/>
    <n v="40.896000000000001"/>
    <s v="KL"/>
    <x v="6"/>
    <x v="12"/>
    <s v="Q3"/>
    <n v="132"/>
    <n v="36.363636363636367"/>
    <s v="EDF"/>
    <n v="0.93"/>
    <n v="4464"/>
    <n v="38.033280000000005"/>
    <n v="33.81818181818182"/>
  </r>
  <r>
    <n v="68689251"/>
    <x v="15"/>
    <n v="3100"/>
    <d v="2023-07-02T00:00:00"/>
    <x v="17"/>
    <x v="20"/>
    <n v="9.5760000000000012E-3"/>
    <n v="29.685600000000004"/>
    <s v="KL"/>
    <x v="6"/>
    <x v="8"/>
    <s v="Q3"/>
    <n v="132"/>
    <n v="23.484848484848484"/>
    <s v="EDF"/>
    <n v="0.93"/>
    <n v="2883"/>
    <n v="27.607608000000006"/>
    <n v="21.84090909090909"/>
  </r>
  <r>
    <n v="68689251"/>
    <x v="15"/>
    <n v="3200"/>
    <d v="2023-07-02T00:00:00"/>
    <x v="17"/>
    <x v="17"/>
    <n v="9.5760000000000012E-3"/>
    <n v="30.643200000000004"/>
    <s v="KL"/>
    <x v="6"/>
    <x v="8"/>
    <s v="Q3"/>
    <n v="132"/>
    <n v="24.242424242424242"/>
    <s v="EDF"/>
    <n v="0.93"/>
    <n v="2976"/>
    <n v="28.498176000000004"/>
    <n v="22.545454545454547"/>
  </r>
  <r>
    <n v="68852591"/>
    <x v="16"/>
    <n v="2400"/>
    <d v="2023-07-02T00:00:00"/>
    <x v="26"/>
    <x v="26"/>
    <n v="8.5199999999999998E-3"/>
    <n v="20.448"/>
    <s v="KL"/>
    <x v="6"/>
    <x v="12"/>
    <s v="Q3"/>
    <n v="132"/>
    <n v="18.181818181818183"/>
    <s v="EDF"/>
    <n v="0.93"/>
    <n v="2232"/>
    <n v="19.016640000000002"/>
    <n v="16.90909090909091"/>
  </r>
  <r>
    <n v="68709233"/>
    <x v="15"/>
    <n v="3000"/>
    <d v="2023-07-05T00:00:00"/>
    <x v="19"/>
    <x v="19"/>
    <n v="8.4960000000000001E-3"/>
    <n v="25.488"/>
    <s v="KL"/>
    <x v="6"/>
    <x v="8"/>
    <s v="Q3"/>
    <n v="132"/>
    <n v="22.727272727272727"/>
    <s v="EDF"/>
    <n v="0.93"/>
    <n v="2790"/>
    <n v="23.70384"/>
    <n v="21.136363636363637"/>
  </r>
  <r>
    <n v="68709237"/>
    <x v="15"/>
    <n v="3100"/>
    <d v="2023-07-05T00:00:00"/>
    <x v="126"/>
    <x v="20"/>
    <n v="9.5760000000000012E-3"/>
    <n v="29.685600000000004"/>
    <s v="KL"/>
    <x v="6"/>
    <x v="8"/>
    <s v="Q3"/>
    <n v="132"/>
    <n v="23.484848484848484"/>
    <s v="EDF"/>
    <n v="0.93"/>
    <n v="2883"/>
    <n v="27.607608000000006"/>
    <n v="21.84090909090909"/>
  </r>
  <r>
    <n v="68852591"/>
    <x v="16"/>
    <n v="800"/>
    <d v="2023-07-05T00:00:00"/>
    <x v="26"/>
    <x v="26"/>
    <n v="8.5199999999999998E-3"/>
    <n v="6.8159999999999998"/>
    <s v="KL"/>
    <x v="6"/>
    <x v="12"/>
    <s v="Q3"/>
    <n v="132"/>
    <n v="6.0606060606060606"/>
    <s v="EDF"/>
    <n v="0.93"/>
    <n v="744"/>
    <n v="6.3388800000000005"/>
    <n v="5.6363636363636367"/>
  </r>
  <r>
    <n v="68917388"/>
    <x v="15"/>
    <n v="4625"/>
    <d v="2023-07-05T00:00:00"/>
    <x v="287"/>
    <x v="36"/>
    <n v="3.9119999999999997E-3"/>
    <n v="18.093"/>
    <s v="KL"/>
    <x v="6"/>
    <x v="28"/>
    <s v="Q3"/>
    <n v="322"/>
    <n v="14.363354037267081"/>
    <s v="EFW"/>
    <n v="0.95"/>
    <n v="4393.75"/>
    <n v="17.18835"/>
    <n v="13.645186335403727"/>
  </r>
  <r>
    <n v="68689253"/>
    <x v="16"/>
    <n v="1800"/>
    <d v="2023-07-05T00:00:00"/>
    <x v="125"/>
    <x v="18"/>
    <n v="6.0035555555555554E-3"/>
    <n v="10.8064"/>
    <s v="KL"/>
    <x v="6"/>
    <x v="9"/>
    <s v="Q3"/>
    <n v="120"/>
    <n v="15"/>
    <s v="ESS"/>
    <n v="0.95"/>
    <n v="1710"/>
    <n v="10.266079999999999"/>
    <n v="14.25"/>
  </r>
  <r>
    <n v="68889812"/>
    <x v="16"/>
    <n v="2700"/>
    <d v="2023-07-05T00:00:00"/>
    <x v="27"/>
    <x v="27"/>
    <n v="3.192E-3"/>
    <n v="8.6183999999999994"/>
    <s v="KL"/>
    <x v="6"/>
    <x v="9"/>
    <s v="Q3"/>
    <n v="300"/>
    <n v="9"/>
    <s v="ESS"/>
    <n v="0.95"/>
    <n v="2565"/>
    <n v="8.187479999999999"/>
    <n v="8.5499999999999989"/>
  </r>
  <r>
    <n v="68889812"/>
    <x v="16"/>
    <n v="5400"/>
    <d v="2023-07-05T00:00:00"/>
    <x v="27"/>
    <x v="27"/>
    <n v="3.192E-3"/>
    <n v="17.236799999999999"/>
    <s v="KL"/>
    <x v="6"/>
    <x v="9"/>
    <s v="Q3"/>
    <n v="300"/>
    <n v="18"/>
    <s v="ESS"/>
    <n v="0.95"/>
    <n v="5130"/>
    <n v="16.374959999999998"/>
    <n v="17.099999999999998"/>
  </r>
  <r>
    <n v="68709233"/>
    <x v="15"/>
    <n v="6000"/>
    <d v="2023-07-06T00:00:00"/>
    <x v="19"/>
    <x v="19"/>
    <n v="8.4960000000000001E-3"/>
    <n v="50.975999999999999"/>
    <s v="KL"/>
    <x v="6"/>
    <x v="8"/>
    <s v="Q3"/>
    <n v="132"/>
    <n v="45.454545454545453"/>
    <s v="EDF"/>
    <n v="0.93"/>
    <n v="5580"/>
    <n v="47.407679999999999"/>
    <n v="42.272727272727273"/>
  </r>
  <r>
    <n v="68709237"/>
    <x v="15"/>
    <n v="6200"/>
    <d v="2023-07-06T00:00:00"/>
    <x v="126"/>
    <x v="20"/>
    <n v="9.5760000000000012E-3"/>
    <n v="59.371200000000009"/>
    <s v="KL"/>
    <x v="6"/>
    <x v="8"/>
    <s v="Q3"/>
    <n v="132"/>
    <n v="46.969696969696969"/>
    <s v="EDF"/>
    <n v="0.93"/>
    <n v="5766"/>
    <n v="55.215216000000012"/>
    <n v="43.68181818181818"/>
  </r>
  <r>
    <n v="68852591"/>
    <x v="16"/>
    <n v="4800"/>
    <d v="2023-07-06T00:00:00"/>
    <x v="26"/>
    <x v="26"/>
    <n v="8.5199999999999998E-3"/>
    <n v="40.896000000000001"/>
    <s v="KL"/>
    <x v="6"/>
    <x v="12"/>
    <s v="Q3"/>
    <n v="132"/>
    <n v="36.363636363636367"/>
    <s v="EDF"/>
    <n v="0.93"/>
    <n v="4464"/>
    <n v="38.033280000000005"/>
    <n v="33.81818181818182"/>
  </r>
  <r>
    <n v="68917388"/>
    <x v="15"/>
    <n v="9250"/>
    <d v="2023-07-06T00:00:00"/>
    <x v="287"/>
    <x v="36"/>
    <n v="3.9119999999999997E-3"/>
    <n v="36.186"/>
    <s v="KL"/>
    <x v="6"/>
    <x v="28"/>
    <s v="Q3"/>
    <n v="322"/>
    <n v="28.726708074534162"/>
    <s v="EFW"/>
    <n v="0.95"/>
    <n v="8787.5"/>
    <n v="34.3767"/>
    <n v="27.290372670807454"/>
  </r>
  <r>
    <n v="68689253"/>
    <x v="16"/>
    <n v="3600"/>
    <d v="2023-07-06T00:00:00"/>
    <x v="125"/>
    <x v="18"/>
    <n v="6.0035555555555554E-3"/>
    <n v="21.6128"/>
    <s v="KL"/>
    <x v="6"/>
    <x v="9"/>
    <s v="Q3"/>
    <n v="120"/>
    <n v="30"/>
    <s v="ESS"/>
    <n v="0.95"/>
    <n v="3420"/>
    <n v="20.532159999999998"/>
    <n v="28.5"/>
  </r>
  <r>
    <n v="68709233"/>
    <x v="15"/>
    <n v="6000"/>
    <d v="2023-07-07T00:00:00"/>
    <x v="19"/>
    <x v="19"/>
    <n v="8.4960000000000001E-3"/>
    <n v="50.975999999999999"/>
    <s v="KL"/>
    <x v="6"/>
    <x v="8"/>
    <s v="Q3"/>
    <n v="132"/>
    <n v="45.454545454545453"/>
    <s v="EDF"/>
    <n v="0.93"/>
    <n v="5580"/>
    <n v="47.407679999999999"/>
    <n v="42.272727272727273"/>
  </r>
  <r>
    <n v="68709237"/>
    <x v="15"/>
    <n v="6200"/>
    <d v="2023-07-07T00:00:00"/>
    <x v="126"/>
    <x v="20"/>
    <n v="9.5760000000000012E-3"/>
    <n v="59.371200000000009"/>
    <s v="KL"/>
    <x v="6"/>
    <x v="8"/>
    <s v="Q3"/>
    <n v="132"/>
    <n v="46.969696969696969"/>
    <s v="EDF"/>
    <n v="0.93"/>
    <n v="5766"/>
    <n v="55.215216000000012"/>
    <n v="43.68181818181818"/>
  </r>
  <r>
    <n v="68852591"/>
    <x v="16"/>
    <n v="4800"/>
    <d v="2023-07-07T00:00:00"/>
    <x v="26"/>
    <x v="26"/>
    <n v="8.5199999999999998E-3"/>
    <n v="40.896000000000001"/>
    <s v="KL"/>
    <x v="6"/>
    <x v="12"/>
    <s v="Q3"/>
    <n v="132"/>
    <n v="36.363636363636367"/>
    <s v="EDF"/>
    <n v="0.93"/>
    <n v="4464"/>
    <n v="38.033280000000005"/>
    <n v="33.81818181818182"/>
  </r>
  <r>
    <n v="68917388"/>
    <x v="15"/>
    <n v="9250"/>
    <d v="2023-07-07T00:00:00"/>
    <x v="287"/>
    <x v="36"/>
    <n v="3.9119999999999997E-3"/>
    <n v="36.186"/>
    <s v="KL"/>
    <x v="6"/>
    <x v="28"/>
    <s v="Q3"/>
    <n v="322"/>
    <n v="28.726708074534162"/>
    <s v="EFW"/>
    <n v="0.95"/>
    <n v="8787.5"/>
    <n v="34.3767"/>
    <n v="27.290372670807454"/>
  </r>
  <r>
    <n v="68689253"/>
    <x v="16"/>
    <n v="2700"/>
    <d v="2023-07-07T00:00:00"/>
    <x v="125"/>
    <x v="18"/>
    <n v="6.0035555555555554E-3"/>
    <n v="16.209599999999998"/>
    <s v="KL"/>
    <x v="6"/>
    <x v="9"/>
    <s v="Q3"/>
    <n v="120"/>
    <n v="22.5"/>
    <s v="ESS"/>
    <n v="0.95"/>
    <n v="2565"/>
    <n v="15.399119999999998"/>
    <n v="21.375"/>
  </r>
  <r>
    <n v="68889812"/>
    <x v="16"/>
    <n v="4050"/>
    <d v="2023-07-07T00:00:00"/>
    <x v="27"/>
    <x v="27"/>
    <n v="3.192E-3"/>
    <n v="12.9276"/>
    <s v="KL"/>
    <x v="6"/>
    <x v="9"/>
    <s v="Q3"/>
    <n v="300"/>
    <n v="13.5"/>
    <s v="ESS"/>
    <n v="0.95"/>
    <n v="3847.5"/>
    <n v="12.281219999999999"/>
    <n v="12.824999999999999"/>
  </r>
  <r>
    <n v="68709237"/>
    <x v="15"/>
    <n v="4133"/>
    <d v="2023-07-08T00:00:00"/>
    <x v="126"/>
    <x v="20"/>
    <n v="9.5760000000000012E-3"/>
    <n v="39.577608000000005"/>
    <s v="KL"/>
    <x v="6"/>
    <x v="8"/>
    <s v="Q3"/>
    <n v="132"/>
    <n v="31.310606060606062"/>
    <s v="EDF"/>
    <n v="0.93"/>
    <n v="3843.69"/>
    <n v="36.807175440000009"/>
    <n v="29.118863636363638"/>
  </r>
  <r>
    <n v="68852591"/>
    <x v="16"/>
    <n v="3200"/>
    <d v="2023-07-08T00:00:00"/>
    <x v="26"/>
    <x v="26"/>
    <n v="8.5199999999999998E-3"/>
    <n v="27.263999999999999"/>
    <s v="KL"/>
    <x v="6"/>
    <x v="12"/>
    <s v="Q3"/>
    <n v="132"/>
    <n v="24.242424242424242"/>
    <s v="EDF"/>
    <n v="0.93"/>
    <n v="2976"/>
    <n v="25.355520000000002"/>
    <n v="22.545454545454547"/>
  </r>
  <r>
    <n v="68852591"/>
    <x v="16"/>
    <n v="4800"/>
    <d v="2023-07-08T00:00:00"/>
    <x v="26"/>
    <x v="26"/>
    <n v="8.5199999999999998E-3"/>
    <n v="40.896000000000001"/>
    <s v="KL"/>
    <x v="6"/>
    <x v="12"/>
    <s v="Q3"/>
    <n v="132"/>
    <n v="36.363636363636367"/>
    <s v="EDF"/>
    <n v="0.93"/>
    <n v="4464"/>
    <n v="38.033280000000005"/>
    <n v="33.81818181818182"/>
  </r>
  <r>
    <n v="68709237"/>
    <x v="15"/>
    <n v="6200"/>
    <d v="2023-07-09T00:00:00"/>
    <x v="126"/>
    <x v="20"/>
    <n v="9.5760000000000012E-3"/>
    <n v="59.371200000000009"/>
    <s v="KL"/>
    <x v="6"/>
    <x v="8"/>
    <s v="Q3"/>
    <n v="132"/>
    <n v="46.969696969696969"/>
    <s v="EDF"/>
    <n v="0.93"/>
    <n v="5766"/>
    <n v="55.215216000000012"/>
    <n v="43.68181818181818"/>
  </r>
  <r>
    <n v="68689251"/>
    <x v="15"/>
    <n v="4266"/>
    <d v="2023-07-10T00:00:00"/>
    <x v="17"/>
    <x v="17"/>
    <n v="9.5760000000000012E-3"/>
    <n v="40.851216000000008"/>
    <s v="KL"/>
    <x v="6"/>
    <x v="8"/>
    <s v="Q3"/>
    <n v="132"/>
    <n v="32.31818181818182"/>
    <s v="EDF"/>
    <n v="0.93"/>
    <n v="3967.38"/>
    <n v="37.99163088000001"/>
    <n v="30.055909090909093"/>
  </r>
  <r>
    <n v="68709233"/>
    <x v="15"/>
    <n v="4750"/>
    <d v="2023-07-10T00:00:00"/>
    <x v="19"/>
    <x v="19"/>
    <n v="8.4960000000000001E-3"/>
    <n v="40.356000000000002"/>
    <s v="KL"/>
    <x v="6"/>
    <x v="8"/>
    <s v="Q3"/>
    <n v="132"/>
    <n v="35.984848484848484"/>
    <s v="EDF"/>
    <n v="0.93"/>
    <n v="4417.5"/>
    <n v="37.531080000000003"/>
    <n v="33.465909090909093"/>
  </r>
  <r>
    <n v="68852591"/>
    <x v="16"/>
    <n v="4800"/>
    <d v="2023-07-10T00:00:00"/>
    <x v="26"/>
    <x v="26"/>
    <n v="8.5199999999999998E-3"/>
    <n v="40.896000000000001"/>
    <s v="KL"/>
    <x v="6"/>
    <x v="12"/>
    <s v="Q3"/>
    <n v="132"/>
    <n v="36.363636363636367"/>
    <s v="EDF"/>
    <n v="0.93"/>
    <n v="4464"/>
    <n v="38.033280000000005"/>
    <n v="33.81818181818182"/>
  </r>
  <r>
    <n v="69548143"/>
    <x v="15"/>
    <n v="6937"/>
    <d v="2023-07-10T00:00:00"/>
    <x v="159"/>
    <x v="36"/>
    <n v="3.192E-3"/>
    <n v="22.142904000000001"/>
    <s v="KL"/>
    <x v="6"/>
    <x v="28"/>
    <s v="Q3"/>
    <n v="345"/>
    <n v="20.107246376811595"/>
    <s v="EFW"/>
    <n v="0.95"/>
    <n v="6590.15"/>
    <n v="21.0357588"/>
    <n v="19.101884057971013"/>
  </r>
  <r>
    <n v="68689253"/>
    <x v="16"/>
    <n v="3000"/>
    <d v="2023-07-10T00:00:00"/>
    <x v="125"/>
    <x v="18"/>
    <n v="6.0035555555555554E-3"/>
    <n v="18.010666666666665"/>
    <s v="KL"/>
    <x v="6"/>
    <x v="9"/>
    <s v="Q3"/>
    <n v="120"/>
    <n v="25"/>
    <s v="ESS"/>
    <n v="0.95"/>
    <n v="2850"/>
    <n v="17.11013333333333"/>
    <n v="23.75"/>
  </r>
  <r>
    <n v="68889812"/>
    <x v="16"/>
    <n v="4500"/>
    <d v="2023-07-10T00:00:00"/>
    <x v="27"/>
    <x v="27"/>
    <n v="3.192E-3"/>
    <n v="14.363999999999999"/>
    <s v="KL"/>
    <x v="6"/>
    <x v="9"/>
    <s v="Q3"/>
    <n v="300"/>
    <n v="15"/>
    <s v="ESS"/>
    <n v="0.95"/>
    <n v="4275"/>
    <n v="13.645799999999998"/>
    <n v="14.25"/>
  </r>
  <r>
    <n v="68689251"/>
    <x v="15"/>
    <n v="6400"/>
    <d v="2023-07-11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709233"/>
    <x v="15"/>
    <n v="6000"/>
    <d v="2023-07-11T00:00:00"/>
    <x v="19"/>
    <x v="19"/>
    <n v="8.4960000000000001E-3"/>
    <n v="50.975999999999999"/>
    <s v="KL"/>
    <x v="6"/>
    <x v="8"/>
    <s v="Q3"/>
    <n v="132"/>
    <n v="45.454545454545453"/>
    <s v="EDF"/>
    <n v="0.93"/>
    <n v="5580"/>
    <n v="47.407679999999999"/>
    <n v="42.272727272727273"/>
  </r>
  <r>
    <n v="68746232"/>
    <x v="16"/>
    <n v="800"/>
    <d v="2023-07-11T00:00:00"/>
    <x v="154"/>
    <x v="26"/>
    <n v="9.5879999999999993E-3"/>
    <n v="7.670399999999999"/>
    <s v="KL"/>
    <x v="6"/>
    <x v="12"/>
    <s v="Q3"/>
    <n v="132"/>
    <n v="6.0606060606060606"/>
    <s v="EDF"/>
    <n v="0.93"/>
    <n v="744"/>
    <n v="7.1334719999999994"/>
    <n v="5.6363636363636367"/>
  </r>
  <r>
    <n v="69548143"/>
    <x v="15"/>
    <n v="9250"/>
    <d v="2023-07-11T00:00:00"/>
    <x v="159"/>
    <x v="36"/>
    <n v="3.192E-3"/>
    <n v="29.526"/>
    <s v="KL"/>
    <x v="6"/>
    <x v="28"/>
    <s v="Q3"/>
    <n v="345"/>
    <n v="26.811594202898551"/>
    <s v="EFW"/>
    <n v="0.95"/>
    <n v="8787.5"/>
    <n v="28.049699999999998"/>
    <n v="25.471014492753621"/>
  </r>
  <r>
    <n v="68689253"/>
    <x v="16"/>
    <n v="3600"/>
    <d v="2023-07-11T00:00:00"/>
    <x v="125"/>
    <x v="18"/>
    <n v="6.0035555555555554E-3"/>
    <n v="21.6128"/>
    <s v="KL"/>
    <x v="6"/>
    <x v="9"/>
    <s v="Q3"/>
    <n v="120"/>
    <n v="30"/>
    <s v="ESS"/>
    <n v="0.95"/>
    <n v="3420"/>
    <n v="20.532159999999998"/>
    <n v="28.5"/>
  </r>
  <r>
    <n v="68889812"/>
    <x v="16"/>
    <n v="5400"/>
    <d v="2023-07-11T00:00:00"/>
    <x v="27"/>
    <x v="27"/>
    <n v="3.192E-3"/>
    <n v="17.236799999999999"/>
    <s v="KL"/>
    <x v="6"/>
    <x v="9"/>
    <s v="Q3"/>
    <n v="300"/>
    <n v="18"/>
    <s v="ESS"/>
    <n v="0.95"/>
    <n v="5130"/>
    <n v="16.374959999999998"/>
    <n v="17.099999999999998"/>
  </r>
  <r>
    <n v="68689251"/>
    <x v="15"/>
    <n v="6400"/>
    <d v="2023-07-12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709233"/>
    <x v="15"/>
    <n v="6000"/>
    <d v="2023-07-12T00:00:00"/>
    <x v="19"/>
    <x v="19"/>
    <n v="8.4960000000000001E-3"/>
    <n v="50.975999999999999"/>
    <s v="KL"/>
    <x v="6"/>
    <x v="8"/>
    <s v="Q3"/>
    <n v="132"/>
    <n v="45.454545454545453"/>
    <s v="EDF"/>
    <n v="0.93"/>
    <n v="5580"/>
    <n v="47.407679999999999"/>
    <n v="42.272727272727273"/>
  </r>
  <r>
    <n v="68746232"/>
    <x v="16"/>
    <n v="4800"/>
    <d v="2023-07-12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9548143"/>
    <x v="15"/>
    <n v="9250"/>
    <d v="2023-07-12T00:00:00"/>
    <x v="159"/>
    <x v="36"/>
    <n v="3.192E-3"/>
    <n v="29.526"/>
    <s v="KL"/>
    <x v="6"/>
    <x v="28"/>
    <s v="Q3"/>
    <n v="345"/>
    <n v="26.811594202898551"/>
    <s v="EFW"/>
    <n v="0.95"/>
    <n v="8787.5"/>
    <n v="28.049699999999998"/>
    <n v="25.471014492753621"/>
  </r>
  <r>
    <n v="68689253"/>
    <x v="16"/>
    <n v="2700"/>
    <d v="2023-07-12T00:00:00"/>
    <x v="125"/>
    <x v="18"/>
    <n v="6.0035555555555554E-3"/>
    <n v="16.209599999999998"/>
    <s v="KL"/>
    <x v="6"/>
    <x v="9"/>
    <s v="Q3"/>
    <n v="120"/>
    <n v="22.5"/>
    <s v="ESS"/>
    <n v="0.95"/>
    <n v="2565"/>
    <n v="15.399119999999998"/>
    <n v="21.375"/>
  </r>
  <r>
    <n v="68889812"/>
    <x v="16"/>
    <n v="4050"/>
    <d v="2023-07-12T00:00:00"/>
    <x v="27"/>
    <x v="27"/>
    <n v="3.192E-3"/>
    <n v="12.9276"/>
    <s v="KL"/>
    <x v="6"/>
    <x v="9"/>
    <s v="Q3"/>
    <n v="300"/>
    <n v="13.5"/>
    <s v="ESS"/>
    <n v="0.95"/>
    <n v="3847.5"/>
    <n v="12.281219999999999"/>
    <n v="12.824999999999999"/>
  </r>
  <r>
    <n v="68689251"/>
    <x v="15"/>
    <n v="4266"/>
    <d v="2023-07-13T00:00:00"/>
    <x v="17"/>
    <x v="17"/>
    <n v="9.5760000000000012E-3"/>
    <n v="40.851216000000008"/>
    <s v="KL"/>
    <x v="6"/>
    <x v="8"/>
    <s v="Q3"/>
    <n v="132"/>
    <n v="32.31818181818182"/>
    <s v="EDF"/>
    <n v="0.93"/>
    <n v="3967.38"/>
    <n v="37.99163088000001"/>
    <n v="30.055909090909093"/>
  </r>
  <r>
    <n v="68710285"/>
    <x v="15"/>
    <n v="4128"/>
    <d v="2023-07-13T00:00:00"/>
    <x v="74"/>
    <x v="20"/>
    <n v="8.5199999999999998E-3"/>
    <n v="35.170560000000002"/>
    <s v="KL"/>
    <x v="6"/>
    <x v="8"/>
    <s v="Q3"/>
    <n v="132"/>
    <n v="31.272727272727273"/>
    <s v="EDF"/>
    <n v="0.93"/>
    <n v="3839.0400000000004"/>
    <n v="32.708620800000006"/>
    <n v="29.083636363636366"/>
  </r>
  <r>
    <n v="68746232"/>
    <x v="16"/>
    <n v="4800"/>
    <d v="2023-07-13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9548143"/>
    <x v="15"/>
    <n v="6937"/>
    <d v="2023-07-13T00:00:00"/>
    <x v="159"/>
    <x v="36"/>
    <n v="3.192E-3"/>
    <n v="22.142904000000001"/>
    <s v="KL"/>
    <x v="6"/>
    <x v="28"/>
    <s v="Q3"/>
    <n v="345"/>
    <n v="20.107246376811595"/>
    <s v="EFW"/>
    <n v="0.95"/>
    <n v="6590.15"/>
    <n v="21.0357588"/>
    <n v="19.101884057971013"/>
  </r>
  <r>
    <n v="68689253"/>
    <x v="16"/>
    <n v="3600"/>
    <d v="2023-07-13T00:00:00"/>
    <x v="125"/>
    <x v="18"/>
    <n v="6.0035555555555554E-3"/>
    <n v="21.6128"/>
    <s v="KL"/>
    <x v="6"/>
    <x v="9"/>
    <s v="Q3"/>
    <n v="120"/>
    <n v="30"/>
    <s v="ESS"/>
    <n v="0.95"/>
    <n v="3420"/>
    <n v="20.532159999999998"/>
    <n v="28.5"/>
  </r>
  <r>
    <n v="68889812"/>
    <x v="16"/>
    <n v="5400"/>
    <d v="2023-07-13T00:00:00"/>
    <x v="27"/>
    <x v="27"/>
    <n v="3.192E-3"/>
    <n v="17.236799999999999"/>
    <s v="KL"/>
    <x v="6"/>
    <x v="9"/>
    <s v="Q3"/>
    <n v="300"/>
    <n v="18"/>
    <s v="ESS"/>
    <n v="0.95"/>
    <n v="5130"/>
    <n v="16.374959999999998"/>
    <n v="17.099999999999998"/>
  </r>
  <r>
    <n v="68689251"/>
    <x v="15"/>
    <n v="6400"/>
    <d v="2023-07-14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710285"/>
    <x v="15"/>
    <n v="6200"/>
    <d v="2023-07-14T00:00:00"/>
    <x v="74"/>
    <x v="20"/>
    <n v="8.5199999999999998E-3"/>
    <n v="52.823999999999998"/>
    <s v="KL"/>
    <x v="6"/>
    <x v="8"/>
    <s v="Q3"/>
    <n v="132"/>
    <n v="46.969696969696969"/>
    <s v="EDF"/>
    <n v="0.93"/>
    <n v="5766"/>
    <n v="49.12632"/>
    <n v="43.68181818181818"/>
  </r>
  <r>
    <n v="68746232"/>
    <x v="16"/>
    <n v="3200"/>
    <d v="2023-07-14T00:00:00"/>
    <x v="154"/>
    <x v="26"/>
    <n v="9.5879999999999993E-3"/>
    <n v="30.681599999999996"/>
    <s v="KL"/>
    <x v="6"/>
    <x v="12"/>
    <s v="Q3"/>
    <n v="132"/>
    <n v="24.242424242424242"/>
    <s v="EDF"/>
    <n v="0.93"/>
    <n v="2976"/>
    <n v="28.533887999999997"/>
    <n v="22.545454545454547"/>
  </r>
  <r>
    <n v="69548143"/>
    <x v="15"/>
    <n v="9250"/>
    <d v="2023-07-14T00:00:00"/>
    <x v="159"/>
    <x v="36"/>
    <n v="3.192E-3"/>
    <n v="29.526"/>
    <s v="KL"/>
    <x v="6"/>
    <x v="28"/>
    <s v="Q3"/>
    <n v="345"/>
    <n v="26.811594202898551"/>
    <s v="EFW"/>
    <n v="0.95"/>
    <n v="8787.5"/>
    <n v="28.049699999999998"/>
    <n v="25.471014492753621"/>
  </r>
  <r>
    <n v="68689253"/>
    <x v="16"/>
    <n v="2700"/>
    <d v="2023-07-14T00:00:00"/>
    <x v="125"/>
    <x v="18"/>
    <n v="6.0035555555555554E-3"/>
    <n v="16.209599999999998"/>
    <s v="KL"/>
    <x v="6"/>
    <x v="9"/>
    <s v="Q3"/>
    <n v="120"/>
    <n v="22.5"/>
    <s v="ESS"/>
    <n v="0.95"/>
    <n v="2565"/>
    <n v="15.399119999999998"/>
    <n v="21.375"/>
  </r>
  <r>
    <n v="68889812"/>
    <x v="16"/>
    <n v="4050"/>
    <d v="2023-07-14T00:00:00"/>
    <x v="27"/>
    <x v="27"/>
    <n v="3.192E-3"/>
    <n v="12.9276"/>
    <s v="KL"/>
    <x v="6"/>
    <x v="9"/>
    <s v="Q3"/>
    <n v="300"/>
    <n v="13.5"/>
    <s v="ESS"/>
    <n v="0.95"/>
    <n v="3847.5"/>
    <n v="12.281219999999999"/>
    <n v="12.824999999999999"/>
  </r>
  <r>
    <n v="68689251"/>
    <x v="15"/>
    <n v="6400"/>
    <d v="2023-07-15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710285"/>
    <x v="15"/>
    <n v="6200"/>
    <d v="2023-07-15T00:00:00"/>
    <x v="74"/>
    <x v="20"/>
    <n v="8.5199999999999998E-3"/>
    <n v="52.823999999999998"/>
    <s v="KL"/>
    <x v="6"/>
    <x v="8"/>
    <s v="Q3"/>
    <n v="132"/>
    <n v="46.969696969696969"/>
    <s v="EDF"/>
    <n v="0.93"/>
    <n v="5766"/>
    <n v="49.12632"/>
    <n v="43.68181818181818"/>
  </r>
  <r>
    <n v="68746232"/>
    <x v="16"/>
    <n v="4800"/>
    <d v="2023-07-15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8689251"/>
    <x v="15"/>
    <n v="6400"/>
    <d v="2023-07-16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710285"/>
    <x v="15"/>
    <n v="4902"/>
    <d v="2023-07-16T00:00:00"/>
    <x v="74"/>
    <x v="20"/>
    <n v="8.5199999999999998E-3"/>
    <n v="41.765039999999999"/>
    <s v="KL"/>
    <x v="6"/>
    <x v="8"/>
    <s v="Q3"/>
    <n v="132"/>
    <n v="37.136363636363633"/>
    <s v="EDF"/>
    <n v="0.93"/>
    <n v="4558.8600000000006"/>
    <n v="38.841487200000003"/>
    <n v="34.536818181818184"/>
  </r>
  <r>
    <n v="68746232"/>
    <x v="16"/>
    <n v="4800"/>
    <d v="2023-07-16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8689251"/>
    <x v="15"/>
    <n v="5066"/>
    <d v="2023-07-17T00:00:00"/>
    <x v="17"/>
    <x v="17"/>
    <n v="9.5760000000000012E-3"/>
    <n v="48.512016000000003"/>
    <s v="KL"/>
    <x v="6"/>
    <x v="8"/>
    <s v="Q3"/>
    <n v="132"/>
    <n v="38.378787878787875"/>
    <s v="EDF"/>
    <n v="0.93"/>
    <n v="4711.38"/>
    <n v="45.116174880000003"/>
    <n v="35.692272727272723"/>
  </r>
  <r>
    <n v="68921994"/>
    <x v="15"/>
    <n v="4133"/>
    <d v="2023-07-17T00:00:00"/>
    <x v="258"/>
    <x v="20"/>
    <n v="9.5879999999999993E-3"/>
    <n v="39.627203999999999"/>
    <s v="KL"/>
    <x v="6"/>
    <x v="8"/>
    <s v="Q3"/>
    <n v="132"/>
    <n v="31.310606060606062"/>
    <s v="EDF"/>
    <n v="0.93"/>
    <n v="3843.69"/>
    <n v="36.853299720000003"/>
    <n v="29.118863636363638"/>
  </r>
  <r>
    <n v="68746232"/>
    <x v="16"/>
    <n v="4800"/>
    <d v="2023-07-17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9549032"/>
    <x v="15"/>
    <n v="6187"/>
    <d v="2023-07-17T00:00:00"/>
    <x v="79"/>
    <x v="36"/>
    <n v="2.3469132803553457E-3"/>
    <n v="14.520352465558524"/>
    <s v="GH"/>
    <x v="6"/>
    <x v="28"/>
    <s v="Q3"/>
    <n v="350"/>
    <n v="17.677142857142858"/>
    <s v="EFW"/>
    <n v="0.95"/>
    <n v="5877.65"/>
    <n v="13.794334842280596"/>
    <n v="16.793285714285716"/>
  </r>
  <r>
    <n v="68889813"/>
    <x v="16"/>
    <n v="4000"/>
    <d v="2023-07-17T00:00:00"/>
    <x v="297"/>
    <x v="18"/>
    <n v="2.8380000000000002E-3"/>
    <n v="11.352"/>
    <s v="KL"/>
    <x v="6"/>
    <x v="9"/>
    <s v="Q3"/>
    <n v="264"/>
    <n v="15.151515151515152"/>
    <s v="ESS"/>
    <n v="0.95"/>
    <n v="3800"/>
    <n v="10.7844"/>
    <n v="14.393939393939394"/>
  </r>
  <r>
    <n v="68689251"/>
    <x v="15"/>
    <n v="6400"/>
    <d v="2023-07-18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921994"/>
    <x v="15"/>
    <n v="6200"/>
    <d v="2023-07-18T00:00:00"/>
    <x v="258"/>
    <x v="20"/>
    <n v="9.5879999999999993E-3"/>
    <n v="59.445599999999999"/>
    <s v="KL"/>
    <x v="6"/>
    <x v="8"/>
    <s v="Q3"/>
    <n v="132"/>
    <n v="46.969696969696969"/>
    <s v="EDF"/>
    <n v="0.93"/>
    <n v="5766"/>
    <n v="55.284407999999999"/>
    <n v="43.68181818181818"/>
  </r>
  <r>
    <n v="68746232"/>
    <x v="16"/>
    <n v="800"/>
    <d v="2023-07-18T00:00:00"/>
    <x v="154"/>
    <x v="26"/>
    <n v="9.5879999999999993E-3"/>
    <n v="7.670399999999999"/>
    <s v="KL"/>
    <x v="6"/>
    <x v="12"/>
    <s v="Q3"/>
    <n v="132"/>
    <n v="6.0606060606060606"/>
    <s v="EDF"/>
    <n v="0.93"/>
    <n v="744"/>
    <n v="7.1334719999999994"/>
    <n v="5.6363636363636367"/>
  </r>
  <r>
    <n v="69549032"/>
    <x v="15"/>
    <n v="8250"/>
    <d v="2023-07-18T00:00:00"/>
    <x v="79"/>
    <x v="36"/>
    <n v="2.3469132803553457E-3"/>
    <n v="19.362034562931601"/>
    <s v="GH"/>
    <x v="6"/>
    <x v="28"/>
    <s v="Q3"/>
    <n v="350"/>
    <n v="23.571428571428573"/>
    <s v="EFW"/>
    <n v="0.95"/>
    <n v="7837.5"/>
    <n v="18.393932834785019"/>
    <n v="22.392857142857142"/>
  </r>
  <r>
    <n v="68889813"/>
    <x v="16"/>
    <n v="4800"/>
    <d v="2023-07-18T00:00:00"/>
    <x v="297"/>
    <x v="18"/>
    <n v="2.8380000000000002E-3"/>
    <n v="13.622400000000001"/>
    <s v="KL"/>
    <x v="6"/>
    <x v="9"/>
    <s v="Q3"/>
    <n v="264"/>
    <n v="18.181818181818183"/>
    <s v="ESS"/>
    <n v="0.95"/>
    <n v="4560"/>
    <n v="12.941280000000001"/>
    <n v="17.272727272727273"/>
  </r>
  <r>
    <n v="68689251"/>
    <x v="15"/>
    <n v="6400"/>
    <d v="2023-07-19T00:00:00"/>
    <x v="17"/>
    <x v="17"/>
    <n v="9.5760000000000012E-3"/>
    <n v="61.286400000000008"/>
    <s v="KL"/>
    <x v="6"/>
    <x v="8"/>
    <s v="Q3"/>
    <n v="132"/>
    <n v="48.484848484848484"/>
    <s v="EDF"/>
    <n v="0.93"/>
    <n v="5952"/>
    <n v="56.996352000000009"/>
    <n v="45.090909090909093"/>
  </r>
  <r>
    <n v="68921994"/>
    <x v="15"/>
    <n v="6200"/>
    <d v="2023-07-19T00:00:00"/>
    <x v="258"/>
    <x v="20"/>
    <n v="9.5879999999999993E-3"/>
    <n v="59.445599999999999"/>
    <s v="KL"/>
    <x v="6"/>
    <x v="8"/>
    <s v="Q3"/>
    <n v="132"/>
    <n v="46.969696969696969"/>
    <s v="EDF"/>
    <n v="0.93"/>
    <n v="5766"/>
    <n v="55.284407999999999"/>
    <n v="43.68181818181818"/>
  </r>
  <r>
    <n v="68746232"/>
    <x v="16"/>
    <n v="4800"/>
    <d v="2023-07-19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9549032"/>
    <x v="15"/>
    <n v="6187"/>
    <d v="2023-07-19T00:00:00"/>
    <x v="79"/>
    <x v="36"/>
    <n v="2.3469132803553457E-3"/>
    <n v="14.520352465558524"/>
    <s v="GH"/>
    <x v="6"/>
    <x v="28"/>
    <s v="Q3"/>
    <n v="350"/>
    <n v="17.677142857142858"/>
    <s v="EFW"/>
    <n v="0.95"/>
    <n v="5877.65"/>
    <n v="13.794334842280596"/>
    <n v="16.793285714285716"/>
  </r>
  <r>
    <n v="68889813"/>
    <x v="16"/>
    <n v="3600"/>
    <d v="2023-07-19T00:00:00"/>
    <x v="297"/>
    <x v="18"/>
    <n v="2.8380000000000002E-3"/>
    <n v="10.216800000000001"/>
    <s v="KL"/>
    <x v="6"/>
    <x v="9"/>
    <s v="Q3"/>
    <n v="264"/>
    <n v="13.636363636363637"/>
    <s v="ESS"/>
    <n v="0.95"/>
    <n v="3420"/>
    <n v="9.705960000000001"/>
    <n v="12.954545454545455"/>
  </r>
  <r>
    <n v="68300738"/>
    <x v="15"/>
    <n v="4000"/>
    <d v="2023-07-20T00:00:00"/>
    <x v="120"/>
    <x v="19"/>
    <n v="8.4960000000000001E-3"/>
    <n v="33.984000000000002"/>
    <s v="KL"/>
    <x v="6"/>
    <x v="8"/>
    <s v="Q3"/>
    <n v="132"/>
    <n v="30.303030303030305"/>
    <s v="EDF"/>
    <n v="0.93"/>
    <n v="3720"/>
    <n v="31.605120000000003"/>
    <n v="28.181818181818183"/>
  </r>
  <r>
    <n v="68921994"/>
    <x v="15"/>
    <n v="4133"/>
    <d v="2023-07-20T00:00:00"/>
    <x v="258"/>
    <x v="20"/>
    <n v="9.5879999999999993E-3"/>
    <n v="39.627203999999999"/>
    <s v="KL"/>
    <x v="6"/>
    <x v="8"/>
    <s v="Q3"/>
    <n v="132"/>
    <n v="31.310606060606062"/>
    <s v="EDF"/>
    <n v="0.93"/>
    <n v="3843.69"/>
    <n v="36.853299720000003"/>
    <n v="29.118863636363638"/>
  </r>
  <r>
    <n v="68746232"/>
    <x v="16"/>
    <n v="4800"/>
    <d v="2023-07-20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8889813"/>
    <x v="16"/>
    <n v="4800"/>
    <d v="2023-07-20T00:00:00"/>
    <x v="297"/>
    <x v="18"/>
    <n v="2.8380000000000002E-3"/>
    <n v="13.622400000000001"/>
    <s v="KL"/>
    <x v="6"/>
    <x v="9"/>
    <s v="Q3"/>
    <n v="264"/>
    <n v="18.181818181818183"/>
    <s v="ESS"/>
    <n v="0.95"/>
    <n v="4560"/>
    <n v="12.941280000000001"/>
    <n v="17.272727272727273"/>
  </r>
  <r>
    <n v="68300738"/>
    <x v="15"/>
    <n v="6000"/>
    <d v="2023-07-21T00:00:00"/>
    <x v="120"/>
    <x v="19"/>
    <n v="8.4960000000000001E-3"/>
    <n v="50.975999999999999"/>
    <s v="KL"/>
    <x v="6"/>
    <x v="8"/>
    <s v="Q3"/>
    <n v="132"/>
    <n v="45.454545454545453"/>
    <s v="EDF"/>
    <n v="0.93"/>
    <n v="5580"/>
    <n v="47.407679999999999"/>
    <n v="42.272727272727273"/>
  </r>
  <r>
    <n v="68921994"/>
    <x v="15"/>
    <n v="6200"/>
    <d v="2023-07-21T00:00:00"/>
    <x v="258"/>
    <x v="20"/>
    <n v="9.5879999999999993E-3"/>
    <n v="59.445599999999999"/>
    <s v="KL"/>
    <x v="6"/>
    <x v="8"/>
    <s v="Q3"/>
    <n v="132"/>
    <n v="46.969696969696969"/>
    <s v="EDF"/>
    <n v="0.93"/>
    <n v="5766"/>
    <n v="55.284407999999999"/>
    <n v="43.68181818181818"/>
  </r>
  <r>
    <n v="68746232"/>
    <x v="16"/>
    <n v="3200"/>
    <d v="2023-07-21T00:00:00"/>
    <x v="154"/>
    <x v="26"/>
    <n v="9.5879999999999993E-3"/>
    <n v="30.681599999999996"/>
    <s v="KL"/>
    <x v="6"/>
    <x v="12"/>
    <s v="Q3"/>
    <n v="132"/>
    <n v="24.242424242424242"/>
    <s v="EDF"/>
    <n v="0.93"/>
    <n v="2976"/>
    <n v="28.533887999999997"/>
    <n v="22.545454545454547"/>
  </r>
  <r>
    <n v="69779478"/>
    <x v="15"/>
    <n v="8250"/>
    <d v="2023-07-21T00:00:00"/>
    <x v="437"/>
    <x v="36"/>
    <n v="2.3469132803553457E-3"/>
    <n v="19.362034562931601"/>
    <s v="GH"/>
    <x v="6"/>
    <x v="28"/>
    <s v="Q3"/>
    <n v="350"/>
    <n v="23.571428571428573"/>
    <s v="EFW"/>
    <n v="0.95"/>
    <n v="7837.5"/>
    <n v="18.393932834785019"/>
    <n v="22.392857142857142"/>
  </r>
  <r>
    <n v="68889813"/>
    <x v="16"/>
    <n v="3600"/>
    <d v="2023-07-21T00:00:00"/>
    <x v="297"/>
    <x v="18"/>
    <n v="2.8380000000000002E-3"/>
    <n v="10.216800000000001"/>
    <s v="KL"/>
    <x v="6"/>
    <x v="9"/>
    <s v="Q3"/>
    <n v="264"/>
    <n v="13.636363636363637"/>
    <s v="ESS"/>
    <n v="0.95"/>
    <n v="3420"/>
    <n v="9.705960000000001"/>
    <n v="12.954545454545455"/>
  </r>
  <r>
    <n v="68300738"/>
    <x v="15"/>
    <n v="6000"/>
    <d v="2023-07-22T00:00:00"/>
    <x v="120"/>
    <x v="19"/>
    <n v="8.4960000000000001E-3"/>
    <n v="50.975999999999999"/>
    <s v="KL"/>
    <x v="6"/>
    <x v="8"/>
    <s v="Q3"/>
    <n v="132"/>
    <n v="45.454545454545453"/>
    <s v="EDF"/>
    <n v="0.93"/>
    <n v="5580"/>
    <n v="47.407679999999999"/>
    <n v="42.272727272727273"/>
  </r>
  <r>
    <n v="68921994"/>
    <x v="15"/>
    <n v="6200"/>
    <d v="2023-07-22T00:00:00"/>
    <x v="258"/>
    <x v="20"/>
    <n v="9.5879999999999993E-3"/>
    <n v="59.445599999999999"/>
    <s v="KL"/>
    <x v="6"/>
    <x v="8"/>
    <s v="Q3"/>
    <n v="132"/>
    <n v="46.969696969696969"/>
    <s v="EDF"/>
    <n v="0.93"/>
    <n v="5766"/>
    <n v="55.284407999999999"/>
    <n v="43.68181818181818"/>
  </r>
  <r>
    <n v="68746232"/>
    <x v="16"/>
    <n v="4800"/>
    <d v="2023-07-22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9779478"/>
    <x v="15"/>
    <n v="8250"/>
    <d v="2023-07-22T00:00:00"/>
    <x v="437"/>
    <x v="36"/>
    <n v="2.3469132803553457E-3"/>
    <n v="19.362034562931601"/>
    <s v="GH"/>
    <x v="6"/>
    <x v="28"/>
    <s v="Q3"/>
    <n v="350"/>
    <n v="23.571428571428573"/>
    <s v="EFW"/>
    <n v="0.95"/>
    <n v="7837.5"/>
    <n v="18.393932834785019"/>
    <n v="22.392857142857142"/>
  </r>
  <r>
    <n v="68300738"/>
    <x v="15"/>
    <n v="4750"/>
    <d v="2023-07-23T00:00:00"/>
    <x v="120"/>
    <x v="19"/>
    <n v="8.4960000000000001E-3"/>
    <n v="40.356000000000002"/>
    <s v="KL"/>
    <x v="6"/>
    <x v="8"/>
    <s v="Q3"/>
    <n v="132"/>
    <n v="35.984848484848484"/>
    <s v="EDF"/>
    <n v="0.93"/>
    <n v="4417.5"/>
    <n v="37.531080000000003"/>
    <n v="33.465909090909093"/>
  </r>
  <r>
    <n v="68921994"/>
    <x v="15"/>
    <n v="6200"/>
    <d v="2023-07-23T00:00:00"/>
    <x v="258"/>
    <x v="20"/>
    <n v="9.5879999999999993E-3"/>
    <n v="59.445599999999999"/>
    <s v="KL"/>
    <x v="6"/>
    <x v="8"/>
    <s v="Q3"/>
    <n v="132"/>
    <n v="46.969696969696969"/>
    <s v="EDF"/>
    <n v="0.93"/>
    <n v="5766"/>
    <n v="55.284407999999999"/>
    <n v="43.68181818181818"/>
  </r>
  <r>
    <n v="68746232"/>
    <x v="16"/>
    <n v="4800"/>
    <d v="2023-07-23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8709237"/>
    <x v="15"/>
    <n v="17308"/>
    <d v="2023-07-24T00:00:00"/>
    <x v="126"/>
    <x v="20"/>
    <n v="9.5760000000000012E-3"/>
    <n v="165.74140800000001"/>
    <s v="KL"/>
    <x v="6"/>
    <x v="8"/>
    <s v="Q3"/>
    <n v="132"/>
    <n v="131.12121212121212"/>
    <s v="EDF"/>
    <n v="0.93"/>
    <n v="16096.44"/>
    <n v="154.13950944000001"/>
    <n v="121.94272727272728"/>
  </r>
  <r>
    <n v="68746232"/>
    <x v="16"/>
    <n v="4800"/>
    <d v="2023-07-24T00:00:00"/>
    <x v="154"/>
    <x v="26"/>
    <n v="9.5879999999999993E-3"/>
    <n v="46.022399999999998"/>
    <s v="KL"/>
    <x v="6"/>
    <x v="12"/>
    <s v="Q3"/>
    <n v="132"/>
    <n v="36.363636363636367"/>
    <s v="EDF"/>
    <n v="0.93"/>
    <n v="4464"/>
    <n v="42.800832"/>
    <n v="33.81818181818182"/>
  </r>
  <r>
    <n v="68852591"/>
    <x v="16"/>
    <n v="23200"/>
    <d v="2023-07-24T00:00:00"/>
    <x v="26"/>
    <x v="26"/>
    <n v="8.5199999999999998E-3"/>
    <n v="197.66399999999999"/>
    <s v="KL"/>
    <x v="6"/>
    <x v="12"/>
    <s v="Q3"/>
    <n v="132"/>
    <n v="175.75757575757575"/>
    <s v="EDF"/>
    <n v="0.93"/>
    <n v="21576"/>
    <n v="183.82751999999999"/>
    <n v="163.45454545454547"/>
  </r>
  <r>
    <n v="68689251"/>
    <x v="15"/>
    <n v="22133"/>
    <d v="2023-07-25T00:00:00"/>
    <x v="17"/>
    <x v="17"/>
    <n v="9.5760000000000012E-3"/>
    <n v="211.94560800000002"/>
    <s v="KL"/>
    <x v="6"/>
    <x v="8"/>
    <s v="Q3"/>
    <n v="132"/>
    <n v="167.67424242424244"/>
    <s v="EDF"/>
    <n v="0.93"/>
    <n v="20583.690000000002"/>
    <n v="197.10941544000002"/>
    <n v="155.93704545454548"/>
  </r>
  <r>
    <n v="69779478"/>
    <x v="15"/>
    <n v="37125"/>
    <d v="2023-07-25T00:00:00"/>
    <x v="437"/>
    <x v="36"/>
    <n v="2.3469132803553457E-3"/>
    <n v="87.129155533192204"/>
    <s v="GH"/>
    <x v="6"/>
    <x v="28"/>
    <s v="Q3"/>
    <n v="350"/>
    <n v="106.07142857142857"/>
    <s v="EFW"/>
    <n v="0.95"/>
    <n v="35268.75"/>
    <n v="82.772697756532594"/>
    <n v="100.76785714285714"/>
  </r>
  <r>
    <n v="68889813"/>
    <x v="16"/>
    <n v="20800"/>
    <d v="2023-07-25T00:00:00"/>
    <x v="297"/>
    <x v="18"/>
    <n v="2.8380000000000002E-3"/>
    <n v="59.030400000000007"/>
    <s v="KL"/>
    <x v="6"/>
    <x v="9"/>
    <s v="Q3"/>
    <n v="264"/>
    <n v="78.787878787878782"/>
    <s v="ESS"/>
    <n v="0.95"/>
    <n v="19760"/>
    <n v="56.078880000000005"/>
    <n v="74.848484848484844"/>
  </r>
  <r>
    <n v="68300738"/>
    <x v="15"/>
    <n v="27000"/>
    <d v="2023-07-30T00:00:00"/>
    <x v="120"/>
    <x v="19"/>
    <n v="8.4960000000000001E-3"/>
    <n v="229.392"/>
    <s v="KL"/>
    <x v="6"/>
    <x v="8"/>
    <s v="Q3"/>
    <n v="132"/>
    <n v="204.54545454545453"/>
    <s v="EDF"/>
    <n v="0.93"/>
    <n v="25110"/>
    <n v="213.33456000000001"/>
    <n v="190.22727272727272"/>
  </r>
  <r>
    <n v="68852591"/>
    <x v="16"/>
    <n v="28000"/>
    <d v="2023-07-31T00:00:00"/>
    <x v="26"/>
    <x v="26"/>
    <n v="8.5199999999999998E-3"/>
    <n v="238.56"/>
    <s v="KL"/>
    <x v="6"/>
    <x v="12"/>
    <s v="Q3"/>
    <n v="132"/>
    <n v="212.12121212121212"/>
    <s v="EDF"/>
    <n v="0.93"/>
    <n v="26040"/>
    <n v="221.86080000000001"/>
    <n v="197.27272727272728"/>
  </r>
  <r>
    <n v="68689251"/>
    <x v="15"/>
    <n v="40533"/>
    <d v="2023-08-01T00:00:00"/>
    <x v="17"/>
    <x v="17"/>
    <n v="9.5760000000000012E-3"/>
    <n v="388.14400800000004"/>
    <s v="KL"/>
    <x v="8"/>
    <x v="8"/>
    <s v="Q3"/>
    <n v="132"/>
    <n v="307.06818181818181"/>
    <s v="EDF"/>
    <n v="0.93"/>
    <n v="37695.69"/>
    <n v="360.97392744000007"/>
    <n v="285.57340909090908"/>
  </r>
  <r>
    <n v="68710277"/>
    <x v="15"/>
    <n v="20058"/>
    <d v="2023-08-01T00:00:00"/>
    <x v="20"/>
    <x v="20"/>
    <n v="8.5199999999999998E-3"/>
    <n v="170.89416"/>
    <s v="KL"/>
    <x v="8"/>
    <x v="8"/>
    <s v="Q3"/>
    <n v="132"/>
    <n v="151.95454545454547"/>
    <s v="EDF"/>
    <n v="0.93"/>
    <n v="18653.940000000002"/>
    <n v="158.93156880000001"/>
    <n v="141.3177272727273"/>
  </r>
  <r>
    <n v="69779478"/>
    <x v="15"/>
    <n v="37125"/>
    <d v="2023-08-01T00:00:00"/>
    <x v="437"/>
    <x v="36"/>
    <n v="2.3469132803553457E-3"/>
    <n v="87.129155533192204"/>
    <s v="GH"/>
    <x v="8"/>
    <x v="28"/>
    <s v="Q3"/>
    <n v="350"/>
    <n v="106.07142857142857"/>
    <s v="EFW"/>
    <n v="0.95"/>
    <n v="35268.75"/>
    <n v="82.772697756532594"/>
    <n v="100.76785714285714"/>
  </r>
  <r>
    <n v="68689253"/>
    <x v="16"/>
    <n v="26000"/>
    <d v="2023-08-01T00:00:00"/>
    <x v="125"/>
    <x v="18"/>
    <n v="6.0035555555555554E-3"/>
    <n v="156.09244444444445"/>
    <s v="KL"/>
    <x v="8"/>
    <x v="9"/>
    <s v="Q3"/>
    <n v="120"/>
    <n v="216.66666666666666"/>
    <s v="ESS"/>
    <n v="0.95"/>
    <n v="24700"/>
    <n v="148.28782222222222"/>
    <n v="205.83333333333331"/>
  </r>
  <r>
    <n v="68300738"/>
    <x v="15"/>
    <n v="16750"/>
    <d v="2023-08-06T00:00:00"/>
    <x v="120"/>
    <x v="19"/>
    <n v="8.4960000000000001E-3"/>
    <n v="142.30799999999999"/>
    <s v="KL"/>
    <x v="8"/>
    <x v="8"/>
    <s v="Q3"/>
    <n v="132"/>
    <n v="126.89393939393939"/>
    <s v="EDF"/>
    <n v="0.93"/>
    <n v="15577.5"/>
    <n v="132.34644"/>
    <n v="118.01136363636364"/>
  </r>
  <r>
    <n v="68746232"/>
    <x v="16"/>
    <n v="23200"/>
    <d v="2023-08-07T00:00:00"/>
    <x v="154"/>
    <x v="26"/>
    <n v="9.5879999999999993E-3"/>
    <n v="222.44159999999999"/>
    <s v="KL"/>
    <x v="8"/>
    <x v="12"/>
    <s v="Q3"/>
    <n v="132"/>
    <n v="175.75757575757575"/>
    <s v="EDF"/>
    <n v="0.93"/>
    <n v="21576"/>
    <n v="206.870688"/>
    <n v="163.45454545454547"/>
  </r>
  <r>
    <n v="68852591"/>
    <x v="16"/>
    <n v="4800"/>
    <d v="2023-08-07T00:00:00"/>
    <x v="26"/>
    <x v="26"/>
    <n v="8.5199999999999998E-3"/>
    <n v="40.896000000000001"/>
    <s v="KL"/>
    <x v="8"/>
    <x v="12"/>
    <s v="Q3"/>
    <n v="132"/>
    <n v="36.363636363636367"/>
    <s v="EDF"/>
    <n v="0.93"/>
    <n v="4464"/>
    <n v="38.033280000000005"/>
    <n v="33.81818181818182"/>
  </r>
  <r>
    <n v="68689251"/>
    <x v="15"/>
    <n v="40533"/>
    <d v="2023-08-08T00:00:00"/>
    <x v="17"/>
    <x v="17"/>
    <n v="9.5760000000000012E-3"/>
    <n v="388.14400800000004"/>
    <s v="KL"/>
    <x v="8"/>
    <x v="8"/>
    <s v="Q3"/>
    <n v="132"/>
    <n v="307.06818181818181"/>
    <s v="EDF"/>
    <n v="0.93"/>
    <n v="37695.69"/>
    <n v="360.97392744000007"/>
    <n v="285.57340909090908"/>
  </r>
  <r>
    <n v="68710285"/>
    <x v="15"/>
    <n v="17308"/>
    <d v="2023-08-08T00:00:00"/>
    <x v="74"/>
    <x v="20"/>
    <n v="8.5199999999999998E-3"/>
    <n v="147.46415999999999"/>
    <s v="KL"/>
    <x v="8"/>
    <x v="8"/>
    <s v="Q3"/>
    <n v="132"/>
    <n v="131.12121212121212"/>
    <s v="EDF"/>
    <n v="0.93"/>
    <n v="16096.44"/>
    <n v="137.14166879999999"/>
    <n v="121.94272727272728"/>
  </r>
  <r>
    <n v="69779478"/>
    <x v="15"/>
    <n v="37125"/>
    <d v="2023-08-08T00:00:00"/>
    <x v="437"/>
    <x v="36"/>
    <n v="2.3469132803553457E-3"/>
    <n v="87.129155533192204"/>
    <s v="GH"/>
    <x v="8"/>
    <x v="28"/>
    <s v="Q3"/>
    <n v="350"/>
    <n v="106.07142857142857"/>
    <s v="EFW"/>
    <n v="0.95"/>
    <n v="35268.75"/>
    <n v="82.772697756532594"/>
    <n v="100.76785714285714"/>
  </r>
  <r>
    <n v="68689253"/>
    <x v="16"/>
    <n v="26000"/>
    <d v="2023-08-08T00:00:00"/>
    <x v="125"/>
    <x v="18"/>
    <n v="6.0035555555555554E-3"/>
    <n v="156.09244444444445"/>
    <s v="KL"/>
    <x v="8"/>
    <x v="9"/>
    <s v="Q3"/>
    <n v="120"/>
    <n v="216.66666666666666"/>
    <s v="ESS"/>
    <n v="0.95"/>
    <n v="24700"/>
    <n v="148.28782222222222"/>
    <n v="205.83333333333331"/>
  </r>
  <r>
    <n v="68709233"/>
    <x v="15"/>
    <n v="20750"/>
    <d v="2023-08-14T00:00:00"/>
    <x v="19"/>
    <x v="19"/>
    <n v="8.4960000000000001E-3"/>
    <n v="176.292"/>
    <s v="KL"/>
    <x v="8"/>
    <x v="8"/>
    <s v="Q3"/>
    <n v="132"/>
    <n v="157.19696969696969"/>
    <s v="EDF"/>
    <n v="0.93"/>
    <n v="19297.5"/>
    <n v="163.95156"/>
    <n v="146.19318181818181"/>
  </r>
  <r>
    <n v="68746232"/>
    <x v="16"/>
    <n v="28000"/>
    <d v="2023-08-14T00:00:00"/>
    <x v="154"/>
    <x v="26"/>
    <n v="9.5879999999999993E-3"/>
    <n v="268.464"/>
    <s v="KL"/>
    <x v="8"/>
    <x v="12"/>
    <s v="Q3"/>
    <n v="132"/>
    <n v="212.12121212121212"/>
    <s v="EDF"/>
    <n v="0.93"/>
    <n v="26040"/>
    <n v="249.67152000000002"/>
    <n v="197.27272727272728"/>
  </r>
  <r>
    <n v="68689251"/>
    <x v="15"/>
    <n v="39267"/>
    <d v="2023-08-15T00:00:00"/>
    <x v="17"/>
    <x v="20"/>
    <n v="9.5760000000000012E-3"/>
    <n v="376.02079200000003"/>
    <s v="KL"/>
    <x v="8"/>
    <x v="8"/>
    <s v="Q3"/>
    <n v="132"/>
    <n v="297.47727272727275"/>
    <s v="EDF"/>
    <n v="0.93"/>
    <n v="36518.310000000005"/>
    <n v="349.69933656000006"/>
    <n v="276.65386363636367"/>
  </r>
  <r>
    <n v="68852591"/>
    <x v="15"/>
    <n v="21096"/>
    <d v="2023-08-15T00:00:00"/>
    <x v="26"/>
    <x v="17"/>
    <n v="8.5199999999999998E-3"/>
    <n v="179.73792"/>
    <s v="KL"/>
    <x v="8"/>
    <x v="8"/>
    <s v="Q3"/>
    <n v="132"/>
    <n v="159.81818181818181"/>
    <s v="EDF"/>
    <n v="0.93"/>
    <n v="19619.280000000002"/>
    <n v="167.15626560000001"/>
    <n v="148.63090909090909"/>
  </r>
  <r>
    <n v="69779478"/>
    <x v="15"/>
    <n v="37125"/>
    <d v="2023-08-15T00:00:00"/>
    <x v="437"/>
    <x v="36"/>
    <n v="2.3469132803553457E-3"/>
    <n v="87.129155533192204"/>
    <s v="GH"/>
    <x v="8"/>
    <x v="28"/>
    <s v="Q3"/>
    <n v="350"/>
    <n v="106.07142857142857"/>
    <s v="EFW"/>
    <n v="0.95"/>
    <n v="35268.75"/>
    <n v="82.772697756532594"/>
    <n v="100.76785714285714"/>
  </r>
  <r>
    <n v="68689253"/>
    <x v="16"/>
    <n v="26000"/>
    <d v="2023-08-15T00:00:00"/>
    <x v="125"/>
    <x v="18"/>
    <n v="6.0035555555555554E-3"/>
    <n v="156.09244444444445"/>
    <s v="KL"/>
    <x v="8"/>
    <x v="9"/>
    <s v="Q3"/>
    <n v="120"/>
    <n v="216.66666666666666"/>
    <s v="ESS"/>
    <n v="0.95"/>
    <n v="24700"/>
    <n v="148.28782222222222"/>
    <n v="205.83333333333331"/>
  </r>
  <r>
    <n v="68709233"/>
    <x v="15"/>
    <n v="16750"/>
    <d v="2023-08-21T00:00:00"/>
    <x v="19"/>
    <x v="19"/>
    <n v="8.4960000000000001E-3"/>
    <n v="142.30799999999999"/>
    <s v="KL"/>
    <x v="8"/>
    <x v="8"/>
    <s v="Q3"/>
    <n v="132"/>
    <n v="126.89393939393939"/>
    <s v="EDF"/>
    <n v="0.93"/>
    <n v="15577.5"/>
    <n v="132.34644"/>
    <n v="118.01136363636364"/>
  </r>
  <r>
    <n v="68746232"/>
    <x v="16"/>
    <n v="4800"/>
    <d v="2023-08-21T00:00:00"/>
    <x v="154"/>
    <x v="26"/>
    <n v="9.5879999999999993E-3"/>
    <n v="46.022399999999998"/>
    <s v="KL"/>
    <x v="8"/>
    <x v="12"/>
    <s v="Q3"/>
    <n v="132"/>
    <n v="36.363636363636367"/>
    <s v="EDF"/>
    <n v="0.93"/>
    <n v="4464"/>
    <n v="42.800832"/>
    <n v="33.81818181818182"/>
  </r>
  <r>
    <n v="68852583"/>
    <x v="16"/>
    <n v="5600"/>
    <d v="2023-08-21T00:00:00"/>
    <x v="227"/>
    <x v="26"/>
    <n v="8.5199999999999998E-3"/>
    <n v="47.711999999999996"/>
    <s v="KL"/>
    <x v="8"/>
    <x v="12"/>
    <s v="Q3"/>
    <n v="132"/>
    <n v="42.424242424242422"/>
    <s v="EDF"/>
    <n v="0.93"/>
    <n v="5208"/>
    <n v="44.372160000000001"/>
    <n v="39.454545454545453"/>
  </r>
  <r>
    <n v="68852591"/>
    <x v="15"/>
    <n v="17029"/>
    <d v="2023-08-22T00:00:00"/>
    <x v="26"/>
    <x v="17"/>
    <n v="8.5199999999999998E-3"/>
    <n v="145.08707999999999"/>
    <s v="KL"/>
    <x v="8"/>
    <x v="8"/>
    <s v="Q3"/>
    <n v="132"/>
    <n v="129.00757575757575"/>
    <s v="EDF"/>
    <n v="0.93"/>
    <n v="15836.970000000001"/>
    <n v="134.9309844"/>
    <n v="119.97704545454546"/>
  </r>
  <r>
    <n v="68921994"/>
    <x v="15"/>
    <n v="39267"/>
    <d v="2023-08-22T00:00:00"/>
    <x v="258"/>
    <x v="20"/>
    <n v="9.5879999999999993E-3"/>
    <n v="376.49199599999997"/>
    <s v="KL"/>
    <x v="8"/>
    <x v="8"/>
    <s v="Q3"/>
    <n v="132"/>
    <n v="297.47727272727275"/>
    <s v="EDF"/>
    <n v="0.93"/>
    <n v="36518.310000000005"/>
    <n v="350.13755628000001"/>
    <n v="276.65386363636367"/>
  </r>
  <r>
    <n v="68917388"/>
    <x v="15"/>
    <n v="41625"/>
    <d v="2023-08-22T00:00:00"/>
    <x v="287"/>
    <x v="36"/>
    <n v="3.9119999999999997E-3"/>
    <n v="162.83699999999999"/>
    <s v="KL"/>
    <x v="8"/>
    <x v="28"/>
    <s v="Q3"/>
    <n v="322"/>
    <n v="129.27018633540374"/>
    <s v="EFW"/>
    <n v="0.95"/>
    <n v="39543.75"/>
    <n v="154.69514999999998"/>
    <n v="122.80667701863354"/>
  </r>
  <r>
    <n v="68689253"/>
    <x v="16"/>
    <n v="15600"/>
    <d v="2023-08-22T00:00:00"/>
    <x v="125"/>
    <x v="18"/>
    <n v="6.0035555555555554E-3"/>
    <n v="93.655466666666669"/>
    <s v="KL"/>
    <x v="8"/>
    <x v="9"/>
    <s v="Q3"/>
    <n v="120"/>
    <n v="130"/>
    <s v="ESS"/>
    <n v="0.95"/>
    <n v="14820"/>
    <n v="88.972693333333325"/>
    <n v="123.5"/>
  </r>
  <r>
    <n v="68889812"/>
    <x v="16"/>
    <n v="23400"/>
    <d v="2023-08-22T00:00:00"/>
    <x v="27"/>
    <x v="27"/>
    <n v="3.192E-3"/>
    <n v="74.692800000000005"/>
    <s v="KL"/>
    <x v="8"/>
    <x v="9"/>
    <s v="Q3"/>
    <n v="300"/>
    <n v="78"/>
    <s v="ESS"/>
    <n v="0.95"/>
    <n v="22230"/>
    <n v="70.958160000000007"/>
    <n v="74.099999999999994"/>
  </r>
  <r>
    <n v="68300738"/>
    <x v="15"/>
    <n v="20750"/>
    <d v="2023-08-27T00:00:00"/>
    <x v="120"/>
    <x v="19"/>
    <n v="8.4960000000000001E-3"/>
    <n v="176.292"/>
    <s v="KL"/>
    <x v="8"/>
    <x v="8"/>
    <s v="Q3"/>
    <n v="132"/>
    <n v="157.19696969696969"/>
    <s v="EDF"/>
    <n v="0.93"/>
    <n v="19297.5"/>
    <n v="163.95156"/>
    <n v="146.19318181818181"/>
  </r>
  <r>
    <n v="68852583"/>
    <x v="16"/>
    <n v="15200"/>
    <d v="2023-08-28T00:00:00"/>
    <x v="227"/>
    <x v="26"/>
    <n v="8.5199999999999998E-3"/>
    <n v="129.50399999999999"/>
    <s v="KL"/>
    <x v="8"/>
    <x v="12"/>
    <s v="Q3"/>
    <n v="132"/>
    <n v="115.15151515151516"/>
    <s v="EDF"/>
    <n v="0.93"/>
    <n v="14136"/>
    <n v="120.43872"/>
    <n v="107.09090909090909"/>
  </r>
  <r>
    <n v="68852591"/>
    <x v="16"/>
    <n v="10400"/>
    <d v="2023-08-28T00:00:00"/>
    <x v="26"/>
    <x v="26"/>
    <n v="8.5199999999999998E-3"/>
    <n v="88.608000000000004"/>
    <s v="KL"/>
    <x v="8"/>
    <x v="12"/>
    <s v="Q3"/>
    <n v="132"/>
    <n v="78.787878787878782"/>
    <s v="EDF"/>
    <n v="0.93"/>
    <n v="9672"/>
    <n v="82.405440000000013"/>
    <n v="73.272727272727266"/>
  </r>
  <r>
    <n v="68689251"/>
    <x v="15"/>
    <n v="37333"/>
    <d v="2023-08-29T00:00:00"/>
    <x v="17"/>
    <x v="17"/>
    <n v="9.5760000000000012E-3"/>
    <n v="357.50080800000006"/>
    <s v="KL"/>
    <x v="8"/>
    <x v="8"/>
    <s v="Q3"/>
    <n v="132"/>
    <n v="282.82575757575756"/>
    <s v="EDF"/>
    <n v="0.93"/>
    <n v="34719.69"/>
    <n v="332.47575144000007"/>
    <n v="263.02795454545452"/>
  </r>
  <r>
    <n v="68709233"/>
    <x v="15"/>
    <n v="39267"/>
    <d v="2023-08-29T00:00:00"/>
    <x v="19"/>
    <x v="20"/>
    <n v="8.4960000000000001E-3"/>
    <n v="333.61243200000001"/>
    <s v="KL"/>
    <x v="8"/>
    <x v="8"/>
    <s v="Q3"/>
    <n v="132"/>
    <n v="297.47727272727275"/>
    <s v="EDF"/>
    <n v="0.93"/>
    <n v="36518.310000000005"/>
    <n v="310.25956176000005"/>
    <n v="276.65386363636367"/>
  </r>
  <r>
    <n v="69548143"/>
    <x v="15"/>
    <n v="29292"/>
    <d v="2023-08-29T00:00:00"/>
    <x v="159"/>
    <x v="36"/>
    <n v="3.192E-3"/>
    <n v="93.500063999999995"/>
    <s v="KL"/>
    <x v="8"/>
    <x v="28"/>
    <s v="Q3"/>
    <n v="345"/>
    <n v="84.904347826086962"/>
    <s v="EFW"/>
    <n v="0.95"/>
    <n v="27827.399999999998"/>
    <n v="88.825060799999989"/>
    <n v="80.659130434782611"/>
  </r>
  <r>
    <n v="68689253"/>
    <x v="16"/>
    <n v="15600"/>
    <d v="2023-08-29T00:00:00"/>
    <x v="125"/>
    <x v="18"/>
    <n v="6.0035555555555554E-3"/>
    <n v="93.655466666666669"/>
    <s v="KL"/>
    <x v="8"/>
    <x v="9"/>
    <s v="Q3"/>
    <n v="120"/>
    <n v="130"/>
    <s v="ESS"/>
    <n v="0.95"/>
    <n v="14820"/>
    <n v="88.972693333333325"/>
    <n v="123.5"/>
  </r>
  <r>
    <n v="68914406"/>
    <x v="16"/>
    <n v="31200"/>
    <d v="2023-08-29T00:00:00"/>
    <x v="78"/>
    <x v="27"/>
    <n v="2.124E-3"/>
    <n v="66.268799999999999"/>
    <s v="KL"/>
    <x v="8"/>
    <x v="9"/>
    <s v="Q3"/>
    <n v="352"/>
    <n v="88.63636363636364"/>
    <s v="ESS"/>
    <n v="0.95"/>
    <n v="29640"/>
    <n v="62.955359999999999"/>
    <n v="84.204545454545453"/>
  </r>
  <r>
    <n v="68300738"/>
    <x v="15"/>
    <n v="16750"/>
    <d v="2023-09-02T00:00:00"/>
    <x v="120"/>
    <x v="19"/>
    <n v="8.4960000000000001E-3"/>
    <n v="142.30799999999999"/>
    <s v="KL"/>
    <x v="9"/>
    <x v="8"/>
    <s v="Q3"/>
    <n v="132"/>
    <n v="126.89393939393939"/>
    <s v="EDF"/>
    <n v="0.93"/>
    <n v="15577.5"/>
    <n v="132.34644"/>
    <n v="118.01136363636364"/>
  </r>
  <r>
    <n v="68709237"/>
    <x v="15"/>
    <n v="13433"/>
    <d v="2023-09-03T00:00:00"/>
    <x v="126"/>
    <x v="20"/>
    <n v="9.5760000000000012E-3"/>
    <n v="128.63440800000001"/>
    <s v="KL"/>
    <x v="9"/>
    <x v="8"/>
    <s v="Q3"/>
    <n v="132"/>
    <n v="101.76515151515152"/>
    <s v="EDF"/>
    <n v="0.93"/>
    <n v="12492.69"/>
    <n v="119.62999944000002"/>
    <n v="94.641590909090908"/>
  </r>
  <r>
    <n v="68852591"/>
    <x v="16"/>
    <n v="24800"/>
    <d v="2023-09-04T00:00:00"/>
    <x v="26"/>
    <x v="26"/>
    <n v="8.5199999999999998E-3"/>
    <n v="211.29599999999999"/>
    <s v="KL"/>
    <x v="9"/>
    <x v="12"/>
    <s v="Q3"/>
    <n v="132"/>
    <n v="187.87878787878788"/>
    <s v="EDF"/>
    <n v="0.93"/>
    <n v="23064"/>
    <n v="196.50528"/>
    <n v="174.72727272727272"/>
  </r>
  <r>
    <n v="68689251"/>
    <x v="15"/>
    <n v="33067"/>
    <d v="2023-09-05T00:00:00"/>
    <x v="17"/>
    <x v="17"/>
    <n v="9.5760000000000012E-3"/>
    <n v="316.64959200000004"/>
    <s v="KL"/>
    <x v="9"/>
    <x v="8"/>
    <s v="Q3"/>
    <n v="132"/>
    <n v="250.50757575757575"/>
    <s v="EDF"/>
    <n v="0.93"/>
    <n v="30752.31"/>
    <n v="294.48412056000006"/>
    <n v="232.97204545454545"/>
  </r>
  <r>
    <n v="69779478"/>
    <x v="15"/>
    <n v="23031"/>
    <d v="2023-09-05T00:00:00"/>
    <x v="437"/>
    <x v="36"/>
    <n v="2.3469132803553457E-3"/>
    <n v="54.051759759863963"/>
    <s v="GH"/>
    <x v="9"/>
    <x v="28"/>
    <s v="Q3"/>
    <n v="350"/>
    <n v="65.80285714285715"/>
    <s v="EFW"/>
    <n v="0.95"/>
    <n v="21879.45"/>
    <n v="51.349171771870765"/>
    <n v="62.512714285714289"/>
  </r>
  <r>
    <n v="68689253"/>
    <x v="16"/>
    <n v="13500"/>
    <d v="2023-09-05T00:00:00"/>
    <x v="125"/>
    <x v="18"/>
    <n v="6.0035555555555554E-3"/>
    <n v="81.048000000000002"/>
    <s v="KL"/>
    <x v="9"/>
    <x v="9"/>
    <s v="Q3"/>
    <n v="120"/>
    <n v="112.5"/>
    <s v="ESS"/>
    <n v="0.95"/>
    <n v="12825"/>
    <n v="76.995599999999996"/>
    <n v="106.875"/>
  </r>
  <r>
    <n v="68709233"/>
    <x v="15"/>
    <n v="19500"/>
    <d v="2023-09-11T00:00:00"/>
    <x v="19"/>
    <x v="19"/>
    <n v="8.4960000000000001E-3"/>
    <n v="165.672"/>
    <s v="KL"/>
    <x v="9"/>
    <x v="8"/>
    <s v="Q3"/>
    <n v="132"/>
    <n v="147.72727272727272"/>
    <s v="EDF"/>
    <n v="0.93"/>
    <n v="18135"/>
    <n v="154.07496"/>
    <n v="137.38636363636363"/>
  </r>
  <r>
    <n v="68852591"/>
    <x v="16"/>
    <n v="28000"/>
    <d v="2023-09-11T00:00:00"/>
    <x v="26"/>
    <x v="26"/>
    <n v="8.5199999999999998E-3"/>
    <n v="238.56"/>
    <s v="KL"/>
    <x v="9"/>
    <x v="12"/>
    <s v="Q3"/>
    <n v="132"/>
    <n v="212.12121212121212"/>
    <s v="EDF"/>
    <n v="0.93"/>
    <n v="26040"/>
    <n v="221.86080000000001"/>
    <n v="197.27272727272728"/>
  </r>
  <r>
    <n v="68689251"/>
    <x v="15"/>
    <n v="40533"/>
    <d v="2023-09-12T00:00:00"/>
    <x v="17"/>
    <x v="17"/>
    <n v="9.5760000000000012E-3"/>
    <n v="388.14400800000004"/>
    <s v="KL"/>
    <x v="9"/>
    <x v="8"/>
    <s v="Q3"/>
    <n v="132"/>
    <n v="307.06818181818181"/>
    <s v="EDF"/>
    <n v="0.93"/>
    <n v="37695.69"/>
    <n v="360.97392744000007"/>
    <n v="285.57340909090908"/>
  </r>
  <r>
    <n v="68710285"/>
    <x v="15"/>
    <n v="39267"/>
    <d v="2023-09-12T00:00:00"/>
    <x v="74"/>
    <x v="20"/>
    <n v="8.5199999999999998E-3"/>
    <n v="334.55484000000001"/>
    <s v="KL"/>
    <x v="9"/>
    <x v="8"/>
    <s v="Q3"/>
    <n v="132"/>
    <n v="297.47727272727275"/>
    <s v="EDF"/>
    <n v="0.93"/>
    <n v="36518.310000000005"/>
    <n v="311.13600120000001"/>
    <n v="276.65386363636367"/>
  </r>
  <r>
    <n v="69779478"/>
    <x v="15"/>
    <n v="23031"/>
    <d v="2023-09-12T00:00:00"/>
    <x v="437"/>
    <x v="36"/>
    <n v="2.3469132803553457E-3"/>
    <n v="54.051759759863963"/>
    <s v="GH"/>
    <x v="9"/>
    <x v="28"/>
    <s v="Q3"/>
    <n v="350"/>
    <n v="65.80285714285715"/>
    <s v="EFW"/>
    <n v="0.95"/>
    <n v="21879.45"/>
    <n v="51.349171771870765"/>
    <n v="62.512714285714289"/>
  </r>
  <r>
    <n v="68689253"/>
    <x v="16"/>
    <n v="15500"/>
    <d v="2023-09-12T00:00:00"/>
    <x v="125"/>
    <x v="18"/>
    <n v="6.0035555555555554E-3"/>
    <n v="93.055111111111103"/>
    <s v="KL"/>
    <x v="9"/>
    <x v="9"/>
    <s v="Q3"/>
    <n v="120"/>
    <n v="129.16666666666666"/>
    <s v="ESS"/>
    <n v="0.95"/>
    <n v="14725"/>
    <n v="88.402355555555545"/>
    <n v="122.70833333333331"/>
  </r>
  <r>
    <n v="68300738"/>
    <x v="15"/>
    <n v="20750"/>
    <d v="2023-09-17T00:00:00"/>
    <x v="120"/>
    <x v="19"/>
    <n v="8.4960000000000001E-3"/>
    <n v="176.292"/>
    <s v="KL"/>
    <x v="9"/>
    <x v="8"/>
    <s v="Q3"/>
    <n v="132"/>
    <n v="157.19696969696969"/>
    <s v="EDF"/>
    <n v="0.93"/>
    <n v="19297.5"/>
    <n v="163.95156"/>
    <n v="146.19318181818181"/>
  </r>
  <r>
    <n v="68852591"/>
    <x v="16"/>
    <n v="28000"/>
    <d v="2023-09-18T00:00:00"/>
    <x v="26"/>
    <x v="26"/>
    <n v="8.5199999999999998E-3"/>
    <n v="238.56"/>
    <s v="KL"/>
    <x v="9"/>
    <x v="12"/>
    <s v="Q3"/>
    <n v="132"/>
    <n v="212.12121212121212"/>
    <s v="EDF"/>
    <n v="0.93"/>
    <n v="26040"/>
    <n v="221.86080000000001"/>
    <n v="197.27272727272728"/>
  </r>
  <r>
    <n v="68689251"/>
    <x v="15"/>
    <n v="40533"/>
    <d v="2023-09-19T00:00:00"/>
    <x v="17"/>
    <x v="17"/>
    <n v="9.5760000000000012E-3"/>
    <n v="388.14400800000004"/>
    <s v="KL"/>
    <x v="9"/>
    <x v="8"/>
    <s v="Q3"/>
    <n v="132"/>
    <n v="307.06818181818181"/>
    <s v="EDF"/>
    <n v="0.93"/>
    <n v="37695.69"/>
    <n v="360.97392744000007"/>
    <n v="285.57340909090908"/>
  </r>
  <r>
    <n v="68710277"/>
    <x v="15"/>
    <n v="20058"/>
    <d v="2023-09-19T00:00:00"/>
    <x v="20"/>
    <x v="20"/>
    <n v="8.5199999999999998E-3"/>
    <n v="170.89416"/>
    <s v="KL"/>
    <x v="9"/>
    <x v="8"/>
    <s v="Q3"/>
    <n v="132"/>
    <n v="151.95454545454547"/>
    <s v="EDF"/>
    <n v="0.93"/>
    <n v="18653.940000000002"/>
    <n v="158.93156880000001"/>
    <n v="141.3177272727273"/>
  </r>
  <r>
    <n v="69779478"/>
    <x v="15"/>
    <n v="37125"/>
    <d v="2023-09-19T00:00:00"/>
    <x v="437"/>
    <x v="36"/>
    <n v="2.3469132803553457E-3"/>
    <n v="87.129155533192204"/>
    <s v="GH"/>
    <x v="9"/>
    <x v="28"/>
    <s v="Q3"/>
    <n v="350"/>
    <n v="106.07142857142857"/>
    <s v="EFW"/>
    <n v="0.95"/>
    <n v="35268.75"/>
    <n v="82.772697756532594"/>
    <n v="100.76785714285714"/>
  </r>
  <r>
    <n v="68689253"/>
    <x v="16"/>
    <n v="21500"/>
    <d v="2023-09-19T00:00:00"/>
    <x v="125"/>
    <x v="18"/>
    <n v="6.0035555555555554E-3"/>
    <n v="129.07644444444443"/>
    <s v="KL"/>
    <x v="9"/>
    <x v="9"/>
    <s v="Q3"/>
    <n v="120"/>
    <n v="179.16666666666666"/>
    <s v="ESS"/>
    <n v="0.95"/>
    <n v="20425"/>
    <n v="122.6226222222222"/>
    <n v="170.20833333333331"/>
  </r>
  <r>
    <n v="68300738"/>
    <x v="15"/>
    <n v="16750"/>
    <d v="2023-09-24T00:00:00"/>
    <x v="120"/>
    <x v="19"/>
    <n v="8.4960000000000001E-3"/>
    <n v="142.30799999999999"/>
    <s v="KL"/>
    <x v="9"/>
    <x v="8"/>
    <s v="Q3"/>
    <n v="132"/>
    <n v="126.89393939393939"/>
    <s v="EDF"/>
    <n v="0.93"/>
    <n v="15577.5"/>
    <n v="132.34644"/>
    <n v="118.01136363636364"/>
  </r>
  <r>
    <n v="68746232"/>
    <x v="16"/>
    <n v="23200"/>
    <d v="2023-09-25T00:00:00"/>
    <x v="154"/>
    <x v="26"/>
    <n v="9.5879999999999993E-3"/>
    <n v="222.44159999999999"/>
    <s v="KL"/>
    <x v="9"/>
    <x v="12"/>
    <s v="Q3"/>
    <n v="132"/>
    <n v="175.75757575757575"/>
    <s v="EDF"/>
    <n v="0.93"/>
    <n v="21576"/>
    <n v="206.870688"/>
    <n v="163.45454545454547"/>
  </r>
  <r>
    <n v="68852591"/>
    <x v="16"/>
    <n v="4800"/>
    <d v="2023-09-25T00:00:00"/>
    <x v="26"/>
    <x v="26"/>
    <n v="8.5199999999999998E-3"/>
    <n v="40.896000000000001"/>
    <s v="KL"/>
    <x v="9"/>
    <x v="12"/>
    <s v="Q3"/>
    <n v="132"/>
    <n v="36.363636363636367"/>
    <s v="EDF"/>
    <n v="0.93"/>
    <n v="4464"/>
    <n v="38.033280000000005"/>
    <n v="33.81818181818182"/>
  </r>
  <r>
    <n v="68689251"/>
    <x v="15"/>
    <n v="22133"/>
    <d v="2023-09-26T00:00:00"/>
    <x v="17"/>
    <x v="17"/>
    <n v="9.5760000000000012E-3"/>
    <n v="211.94560800000002"/>
    <s v="KL"/>
    <x v="9"/>
    <x v="8"/>
    <s v="Q3"/>
    <n v="132"/>
    <n v="167.67424242424244"/>
    <s v="EDF"/>
    <n v="0.93"/>
    <n v="20583.690000000002"/>
    <n v="197.10941544000002"/>
    <n v="155.93704545454548"/>
  </r>
  <r>
    <n v="68921994"/>
    <x v="15"/>
    <n v="39267"/>
    <d v="2023-09-26T00:00:00"/>
    <x v="258"/>
    <x v="20"/>
    <n v="9.5879999999999993E-3"/>
    <n v="376.49199599999997"/>
    <s v="KL"/>
    <x v="9"/>
    <x v="8"/>
    <s v="Q3"/>
    <n v="132"/>
    <n v="297.47727272727275"/>
    <s v="EDF"/>
    <n v="0.93"/>
    <n v="36518.310000000005"/>
    <n v="350.13755628000001"/>
    <n v="276.65386363636367"/>
  </r>
  <r>
    <n v="69549032"/>
    <x v="15"/>
    <n v="25823"/>
    <d v="2023-09-26T00:00:00"/>
    <x v="79"/>
    <x v="36"/>
    <n v="2.3469132803553457E-3"/>
    <n v="60.604341638616091"/>
    <s v="GH"/>
    <x v="9"/>
    <x v="28"/>
    <s v="Q3"/>
    <n v="350"/>
    <n v="73.78"/>
    <s v="EFW"/>
    <n v="0.95"/>
    <n v="24531.85"/>
    <n v="57.574124556685284"/>
    <n v="70.090999999999994"/>
  </r>
  <r>
    <n v="68689253"/>
    <x v="16"/>
    <n v="26000"/>
    <d v="2023-09-26T00:00:00"/>
    <x v="125"/>
    <x v="18"/>
    <n v="6.0035555555555554E-3"/>
    <n v="156.09244444444445"/>
    <s v="KL"/>
    <x v="9"/>
    <x v="9"/>
    <s v="Q3"/>
    <n v="120"/>
    <n v="216.66666666666666"/>
    <s v="ESS"/>
    <n v="0.95"/>
    <n v="24700"/>
    <n v="148.28782222222222"/>
    <n v="205.83333333333331"/>
  </r>
  <r>
    <n v="68709233"/>
    <x v="15"/>
    <n v="27000"/>
    <d v="2023-10-02T00:00:00"/>
    <x v="19"/>
    <x v="19"/>
    <n v="8.4960000000000001E-3"/>
    <n v="229.392"/>
    <s v="KL"/>
    <x v="7"/>
    <x v="8"/>
    <s v="Q4"/>
    <n v="132"/>
    <n v="204.54545454545453"/>
    <s v="EDF"/>
    <n v="0.93"/>
    <n v="25110"/>
    <n v="213.33456000000001"/>
    <n v="190.22727272727272"/>
  </r>
  <r>
    <n v="68746232"/>
    <x v="16"/>
    <n v="4800"/>
    <d v="2023-10-02T00:00:00"/>
    <x v="154"/>
    <x v="26"/>
    <n v="9.5879999999999993E-3"/>
    <n v="46.022399999999998"/>
    <s v="KL"/>
    <x v="7"/>
    <x v="12"/>
    <s v="Q4"/>
    <n v="132"/>
    <n v="36.363636363636367"/>
    <s v="EDF"/>
    <n v="0.93"/>
    <n v="4464"/>
    <n v="42.800832"/>
    <n v="33.81818181818182"/>
  </r>
  <r>
    <n v="68852583"/>
    <x v="16"/>
    <n v="23200"/>
    <d v="2023-10-02T00:00:00"/>
    <x v="227"/>
    <x v="26"/>
    <n v="8.5199999999999998E-3"/>
    <n v="197.66399999999999"/>
    <s v="KL"/>
    <x v="7"/>
    <x v="12"/>
    <s v="Q4"/>
    <n v="132"/>
    <n v="175.75757575757575"/>
    <s v="EDF"/>
    <n v="0.93"/>
    <n v="21576"/>
    <n v="183.82751999999999"/>
    <n v="163.45454545454547"/>
  </r>
  <r>
    <n v="68689251"/>
    <x v="15"/>
    <n v="39267"/>
    <d v="2023-10-03T00:00:00"/>
    <x v="17"/>
    <x v="20"/>
    <n v="9.5760000000000012E-3"/>
    <n v="376.02079200000003"/>
    <s v="KL"/>
    <x v="7"/>
    <x v="8"/>
    <s v="Q4"/>
    <n v="132"/>
    <n v="297.47727272727275"/>
    <s v="EDF"/>
    <n v="0.93"/>
    <n v="36518.310000000005"/>
    <n v="349.69933656000006"/>
    <n v="276.65386363636367"/>
  </r>
  <r>
    <n v="68852591"/>
    <x v="15"/>
    <n v="38633"/>
    <d v="2023-10-03T00:00:00"/>
    <x v="26"/>
    <x v="17"/>
    <n v="8.5199999999999998E-3"/>
    <n v="329.15316000000001"/>
    <s v="KL"/>
    <x v="7"/>
    <x v="8"/>
    <s v="Q4"/>
    <n v="132"/>
    <n v="292.67424242424244"/>
    <s v="EDF"/>
    <n v="0.93"/>
    <n v="35928.69"/>
    <n v="306.11243880000001"/>
    <n v="272.18704545454545"/>
  </r>
  <r>
    <n v="69779478"/>
    <x v="15"/>
    <n v="28531"/>
    <d v="2023-10-03T00:00:00"/>
    <x v="437"/>
    <x v="36"/>
    <n v="2.3469132803553457E-3"/>
    <n v="66.959782801818363"/>
    <s v="GH"/>
    <x v="7"/>
    <x v="28"/>
    <s v="Q4"/>
    <n v="350"/>
    <n v="81.517142857142858"/>
    <s v="EFW"/>
    <n v="0.95"/>
    <n v="27104.449999999997"/>
    <n v="63.61179366172744"/>
    <n v="77.441285714285712"/>
  </r>
  <r>
    <n v="68889813"/>
    <x v="16"/>
    <n v="20800"/>
    <d v="2023-10-03T00:00:00"/>
    <x v="297"/>
    <x v="18"/>
    <n v="2.8380000000000002E-3"/>
    <n v="59.030400000000007"/>
    <s v="KL"/>
    <x v="7"/>
    <x v="9"/>
    <s v="Q4"/>
    <n v="264"/>
    <n v="78.787878787878782"/>
    <s v="ESS"/>
    <n v="0.95"/>
    <n v="19760"/>
    <n v="56.078880000000005"/>
    <n v="74.848484848484844"/>
  </r>
  <r>
    <n v="68709233"/>
    <x v="15"/>
    <n v="16750"/>
    <d v="2023-10-09T00:00:00"/>
    <x v="19"/>
    <x v="19"/>
    <n v="8.4960000000000001E-3"/>
    <n v="142.30799999999999"/>
    <s v="KL"/>
    <x v="7"/>
    <x v="8"/>
    <s v="Q4"/>
    <n v="132"/>
    <n v="126.89393939393939"/>
    <s v="EDF"/>
    <n v="0.93"/>
    <n v="15577.5"/>
    <n v="132.34644"/>
    <n v="118.01136363636364"/>
  </r>
  <r>
    <n v="68746232"/>
    <x v="16"/>
    <n v="23200"/>
    <d v="2023-10-09T00:00:00"/>
    <x v="154"/>
    <x v="26"/>
    <n v="9.5879999999999993E-3"/>
    <n v="222.44159999999999"/>
    <s v="KL"/>
    <x v="7"/>
    <x v="12"/>
    <s v="Q4"/>
    <n v="132"/>
    <n v="175.75757575757575"/>
    <s v="EDF"/>
    <n v="0.93"/>
    <n v="21576"/>
    <n v="206.870688"/>
    <n v="163.45454545454547"/>
  </r>
  <r>
    <n v="68852583"/>
    <x v="16"/>
    <n v="4800"/>
    <d v="2023-10-09T00:00:00"/>
    <x v="227"/>
    <x v="26"/>
    <n v="8.5199999999999998E-3"/>
    <n v="40.896000000000001"/>
    <s v="KL"/>
    <x v="7"/>
    <x v="12"/>
    <s v="Q4"/>
    <n v="132"/>
    <n v="36.363636363636367"/>
    <s v="EDF"/>
    <n v="0.93"/>
    <n v="4464"/>
    <n v="38.033280000000005"/>
    <n v="33.81818181818182"/>
  </r>
  <r>
    <n v="68689251"/>
    <x v="15"/>
    <n v="17867"/>
    <d v="2023-10-10T00:00:00"/>
    <x v="17"/>
    <x v="17"/>
    <n v="9.5760000000000012E-3"/>
    <n v="171.09439200000003"/>
    <s v="KL"/>
    <x v="7"/>
    <x v="8"/>
    <s v="Q4"/>
    <n v="132"/>
    <n v="135.35606060606059"/>
    <s v="EDF"/>
    <n v="0.93"/>
    <n v="16616.310000000001"/>
    <n v="159.11778456000005"/>
    <n v="125.88113636363636"/>
  </r>
  <r>
    <n v="68689251"/>
    <x v="15"/>
    <n v="39267"/>
    <d v="2023-10-10T00:00:00"/>
    <x v="17"/>
    <x v="20"/>
    <n v="9.5760000000000012E-3"/>
    <n v="376.02079200000003"/>
    <s v="KL"/>
    <x v="7"/>
    <x v="8"/>
    <s v="Q4"/>
    <n v="132"/>
    <n v="297.47727272727275"/>
    <s v="EDF"/>
    <n v="0.93"/>
    <n v="36518.310000000005"/>
    <n v="349.69933656000006"/>
    <n v="276.65386363636367"/>
  </r>
  <r>
    <n v="69779478"/>
    <x v="15"/>
    <n v="37125"/>
    <d v="2023-10-10T00:00:00"/>
    <x v="437"/>
    <x v="36"/>
    <n v="2.3469132803553457E-3"/>
    <n v="87.129155533192204"/>
    <s v="GH"/>
    <x v="7"/>
    <x v="28"/>
    <s v="Q4"/>
    <n v="350"/>
    <n v="106.07142857142857"/>
    <s v="EFW"/>
    <n v="0.95"/>
    <n v="35268.75"/>
    <n v="82.772697756532594"/>
    <n v="100.76785714285714"/>
  </r>
  <r>
    <n v="68689253"/>
    <x v="16"/>
    <n v="15600"/>
    <d v="2023-10-10T00:00:00"/>
    <x v="125"/>
    <x v="18"/>
    <n v="6.0035555555555554E-3"/>
    <n v="93.655466666666669"/>
    <s v="KL"/>
    <x v="7"/>
    <x v="9"/>
    <s v="Q4"/>
    <n v="120"/>
    <n v="130"/>
    <s v="ESS"/>
    <n v="0.95"/>
    <n v="14820"/>
    <n v="88.972693333333325"/>
    <n v="123.5"/>
  </r>
  <r>
    <n v="68889812"/>
    <x v="16"/>
    <n v="23400"/>
    <d v="2023-10-10T00:00:00"/>
    <x v="27"/>
    <x v="27"/>
    <n v="3.192E-3"/>
    <n v="74.692800000000005"/>
    <s v="KL"/>
    <x v="7"/>
    <x v="9"/>
    <s v="Q4"/>
    <n v="300"/>
    <n v="78"/>
    <s v="ESS"/>
    <n v="0.95"/>
    <n v="22230"/>
    <n v="70.958160000000007"/>
    <n v="74.099999999999994"/>
  </r>
  <r>
    <n v="68300738"/>
    <x v="15"/>
    <n v="20750"/>
    <d v="2023-10-15T00:00:00"/>
    <x v="120"/>
    <x v="19"/>
    <n v="8.4960000000000001E-3"/>
    <n v="176.292"/>
    <s v="KL"/>
    <x v="7"/>
    <x v="8"/>
    <s v="Q4"/>
    <n v="132"/>
    <n v="157.19696969696969"/>
    <s v="EDF"/>
    <n v="0.93"/>
    <n v="19297.5"/>
    <n v="163.95156"/>
    <n v="146.19318181818181"/>
  </r>
  <r>
    <n v="68709237"/>
    <x v="15"/>
    <n v="17308"/>
    <d v="2023-10-16T00:00:00"/>
    <x v="126"/>
    <x v="20"/>
    <n v="9.5760000000000012E-3"/>
    <n v="165.74140800000001"/>
    <s v="KL"/>
    <x v="7"/>
    <x v="8"/>
    <s v="Q4"/>
    <n v="132"/>
    <n v="131.12121212121212"/>
    <s v="EDF"/>
    <n v="0.93"/>
    <n v="16096.44"/>
    <n v="154.13950944000001"/>
    <n v="121.94272727272728"/>
  </r>
  <r>
    <n v="68746232"/>
    <x v="16"/>
    <n v="4800"/>
    <d v="2023-10-16T00:00:00"/>
    <x v="154"/>
    <x v="26"/>
    <n v="9.5879999999999993E-3"/>
    <n v="46.022399999999998"/>
    <s v="KL"/>
    <x v="7"/>
    <x v="12"/>
    <s v="Q4"/>
    <n v="132"/>
    <n v="36.363636363636367"/>
    <s v="EDF"/>
    <n v="0.93"/>
    <n v="4464"/>
    <n v="42.800832"/>
    <n v="33.81818181818182"/>
  </r>
  <r>
    <n v="68852591"/>
    <x v="16"/>
    <n v="23200"/>
    <d v="2023-10-16T00:00:00"/>
    <x v="26"/>
    <x v="26"/>
    <n v="8.5199999999999998E-3"/>
    <n v="197.66399999999999"/>
    <s v="KL"/>
    <x v="7"/>
    <x v="12"/>
    <s v="Q4"/>
    <n v="132"/>
    <n v="175.75757575757575"/>
    <s v="EDF"/>
    <n v="0.93"/>
    <n v="21576"/>
    <n v="183.82751999999999"/>
    <n v="163.45454545454547"/>
  </r>
  <r>
    <n v="68689251"/>
    <x v="15"/>
    <n v="40533"/>
    <d v="2023-10-17T00:00:00"/>
    <x v="17"/>
    <x v="17"/>
    <n v="9.5760000000000012E-3"/>
    <n v="388.14400800000004"/>
    <s v="KL"/>
    <x v="7"/>
    <x v="8"/>
    <s v="Q4"/>
    <n v="132"/>
    <n v="307.06818181818181"/>
    <s v="EDF"/>
    <n v="0.93"/>
    <n v="37695.69"/>
    <n v="360.97392744000007"/>
    <n v="285.57340909090908"/>
  </r>
  <r>
    <n v="69779478"/>
    <x v="15"/>
    <n v="28531"/>
    <d v="2023-10-17T00:00:00"/>
    <x v="437"/>
    <x v="36"/>
    <n v="2.3469132803553457E-3"/>
    <n v="66.959782801818363"/>
    <s v="GH"/>
    <x v="7"/>
    <x v="28"/>
    <s v="Q4"/>
    <n v="350"/>
    <n v="81.517142857142858"/>
    <s v="EFW"/>
    <n v="0.95"/>
    <n v="27104.449999999997"/>
    <n v="63.61179366172744"/>
    <n v="77.441285714285712"/>
  </r>
  <r>
    <n v="68689253"/>
    <x v="16"/>
    <n v="15600"/>
    <d v="2023-10-17T00:00:00"/>
    <x v="125"/>
    <x v="18"/>
    <n v="6.0035555555555554E-3"/>
    <n v="93.655466666666669"/>
    <s v="KL"/>
    <x v="7"/>
    <x v="9"/>
    <s v="Q4"/>
    <n v="120"/>
    <n v="130"/>
    <s v="ESS"/>
    <n v="0.95"/>
    <n v="14820"/>
    <n v="88.972693333333325"/>
    <n v="123.5"/>
  </r>
  <r>
    <n v="68914406"/>
    <x v="16"/>
    <n v="31200"/>
    <d v="2023-10-17T00:00:00"/>
    <x v="78"/>
    <x v="27"/>
    <n v="2.124E-3"/>
    <n v="66.268799999999999"/>
    <s v="KL"/>
    <x v="7"/>
    <x v="9"/>
    <s v="Q4"/>
    <n v="352"/>
    <n v="88.63636363636364"/>
    <s v="ESS"/>
    <n v="0.95"/>
    <n v="29640"/>
    <n v="62.955359999999999"/>
    <n v="84.204545454545453"/>
  </r>
  <r>
    <n v="68300738"/>
    <x v="15"/>
    <n v="27000"/>
    <d v="2023-10-22T00:00:00"/>
    <x v="120"/>
    <x v="19"/>
    <n v="8.4960000000000001E-3"/>
    <n v="229.392"/>
    <s v="KL"/>
    <x v="7"/>
    <x v="8"/>
    <s v="Q4"/>
    <n v="132"/>
    <n v="204.54545454545453"/>
    <s v="EDF"/>
    <n v="0.93"/>
    <n v="25110"/>
    <n v="213.33456000000001"/>
    <n v="190.22727272727272"/>
  </r>
  <r>
    <n v="68852591"/>
    <x v="16"/>
    <n v="28000"/>
    <d v="2023-10-23T00:00:00"/>
    <x v="26"/>
    <x v="26"/>
    <n v="8.5199999999999998E-3"/>
    <n v="238.56"/>
    <s v="KL"/>
    <x v="7"/>
    <x v="12"/>
    <s v="Q4"/>
    <n v="132"/>
    <n v="212.12121212121212"/>
    <s v="EDF"/>
    <n v="0.93"/>
    <n v="26040"/>
    <n v="221.86080000000001"/>
    <n v="197.27272727272728"/>
  </r>
  <r>
    <n v="68689251"/>
    <x v="15"/>
    <n v="40533"/>
    <d v="2023-10-24T00:00:00"/>
    <x v="17"/>
    <x v="17"/>
    <n v="9.5760000000000012E-3"/>
    <n v="388.14400800000004"/>
    <s v="KL"/>
    <x v="7"/>
    <x v="8"/>
    <s v="Q4"/>
    <n v="132"/>
    <n v="307.06818181818181"/>
    <s v="EDF"/>
    <n v="0.93"/>
    <n v="37695.69"/>
    <n v="360.97392744000007"/>
    <n v="285.57340909090908"/>
  </r>
  <r>
    <n v="68709233"/>
    <x v="15"/>
    <n v="21442"/>
    <d v="2023-10-24T00:00:00"/>
    <x v="19"/>
    <x v="20"/>
    <n v="8.4960000000000001E-3"/>
    <n v="182.171232"/>
    <s v="KL"/>
    <x v="7"/>
    <x v="8"/>
    <s v="Q4"/>
    <n v="132"/>
    <n v="162.43939393939394"/>
    <s v="EDF"/>
    <n v="0.93"/>
    <n v="19941.060000000001"/>
    <n v="169.41924576000002"/>
    <n v="151.06863636363636"/>
  </r>
  <r>
    <n v="69779478"/>
    <x v="15"/>
    <n v="23031"/>
    <d v="2023-10-24T00:00:00"/>
    <x v="437"/>
    <x v="36"/>
    <n v="2.3469132803553457E-3"/>
    <n v="54.051759759863963"/>
    <s v="GH"/>
    <x v="7"/>
    <x v="28"/>
    <s v="Q4"/>
    <n v="350"/>
    <n v="65.80285714285715"/>
    <s v="EFW"/>
    <n v="0.95"/>
    <n v="21879.45"/>
    <n v="51.349171771870765"/>
    <n v="62.512714285714289"/>
  </r>
  <r>
    <n v="68689253"/>
    <x v="16"/>
    <n v="26000"/>
    <d v="2023-10-24T00:00:00"/>
    <x v="125"/>
    <x v="18"/>
    <n v="6.0035555555555554E-3"/>
    <n v="156.09244444444445"/>
    <s v="KL"/>
    <x v="7"/>
    <x v="9"/>
    <s v="Q4"/>
    <n v="120"/>
    <n v="216.66666666666666"/>
    <s v="ESS"/>
    <n v="0.95"/>
    <n v="24700"/>
    <n v="148.28782222222222"/>
    <n v="205.83333333333331"/>
  </r>
  <r>
    <n v="68300738"/>
    <x v="15"/>
    <n v="27000"/>
    <d v="2023-10-29T00:00:00"/>
    <x v="120"/>
    <x v="19"/>
    <n v="8.4960000000000001E-3"/>
    <n v="229.392"/>
    <s v="KL"/>
    <x v="7"/>
    <x v="8"/>
    <s v="Q4"/>
    <n v="132"/>
    <n v="204.54545454545453"/>
    <s v="EDF"/>
    <n v="0.93"/>
    <n v="25110"/>
    <n v="213.33456000000001"/>
    <n v="190.22727272727272"/>
  </r>
  <r>
    <n v="68709237"/>
    <x v="15"/>
    <n v="21442"/>
    <d v="2023-10-30T00:00:00"/>
    <x v="126"/>
    <x v="20"/>
    <n v="9.5760000000000012E-3"/>
    <n v="205.32859200000001"/>
    <s v="KL"/>
    <x v="7"/>
    <x v="8"/>
    <s v="Q4"/>
    <n v="132"/>
    <n v="162.43939393939394"/>
    <s v="EDF"/>
    <n v="0.93"/>
    <n v="19941.060000000001"/>
    <n v="190.95559056000002"/>
    <n v="151.06863636363636"/>
  </r>
  <r>
    <n v="68852591"/>
    <x v="16"/>
    <n v="28000"/>
    <d v="2023-10-30T00:00:00"/>
    <x v="26"/>
    <x v="26"/>
    <n v="8.5199999999999998E-3"/>
    <n v="238.56"/>
    <s v="KL"/>
    <x v="7"/>
    <x v="12"/>
    <s v="Q4"/>
    <n v="132"/>
    <n v="212.12121212121212"/>
    <s v="EDF"/>
    <n v="0.93"/>
    <n v="26040"/>
    <n v="221.86080000000001"/>
    <n v="197.27272727272728"/>
  </r>
  <r>
    <n v="68689251"/>
    <x v="15"/>
    <n v="40533"/>
    <d v="2023-10-31T00:00:00"/>
    <x v="17"/>
    <x v="17"/>
    <n v="9.5760000000000012E-3"/>
    <n v="388.14400800000004"/>
    <s v="KL"/>
    <x v="7"/>
    <x v="8"/>
    <s v="Q4"/>
    <n v="132"/>
    <n v="307.06818181818181"/>
    <s v="EDF"/>
    <n v="0.93"/>
    <n v="37695.69"/>
    <n v="360.97392744000007"/>
    <n v="285.57340909090908"/>
  </r>
  <r>
    <n v="68917388"/>
    <x v="15"/>
    <n v="41625"/>
    <d v="2023-10-31T00:00:00"/>
    <x v="287"/>
    <x v="36"/>
    <n v="3.9119999999999997E-3"/>
    <n v="162.83699999999999"/>
    <s v="KL"/>
    <x v="7"/>
    <x v="28"/>
    <s v="Q4"/>
    <n v="322"/>
    <n v="129.27018633540374"/>
    <s v="EFW"/>
    <n v="0.95"/>
    <n v="39543.75"/>
    <n v="154.69514999999998"/>
    <n v="122.80667701863354"/>
  </r>
  <r>
    <n v="68689253"/>
    <x v="16"/>
    <n v="26000"/>
    <d v="2023-10-31T00:00:00"/>
    <x v="125"/>
    <x v="18"/>
    <n v="6.0035555555555554E-3"/>
    <n v="156.09244444444445"/>
    <s v="KL"/>
    <x v="7"/>
    <x v="9"/>
    <s v="Q4"/>
    <n v="120"/>
    <n v="216.66666666666666"/>
    <s v="ESS"/>
    <n v="0.95"/>
    <n v="24700"/>
    <n v="148.28782222222222"/>
    <n v="205.83333333333331"/>
  </r>
  <r>
    <n v="68300738"/>
    <x v="15"/>
    <n v="16750"/>
    <d v="2023-11-05T00:00:00"/>
    <x v="120"/>
    <x v="19"/>
    <n v="8.4960000000000001E-3"/>
    <n v="142.30799999999999"/>
    <s v="KL"/>
    <x v="10"/>
    <x v="8"/>
    <s v="Q4"/>
    <n v="132"/>
    <n v="126.89393939393939"/>
    <s v="EDF"/>
    <n v="0.93"/>
    <n v="15577.5"/>
    <n v="132.34644"/>
    <n v="118.01136363636364"/>
  </r>
  <r>
    <n v="68746232"/>
    <x v="16"/>
    <n v="23200"/>
    <d v="2023-11-06T00:00:00"/>
    <x v="154"/>
    <x v="26"/>
    <n v="9.5879999999999993E-3"/>
    <n v="222.44159999999999"/>
    <s v="KL"/>
    <x v="10"/>
    <x v="12"/>
    <s v="Q4"/>
    <n v="132"/>
    <n v="175.75757575757575"/>
    <s v="EDF"/>
    <n v="0.93"/>
    <n v="21576"/>
    <n v="206.870688"/>
    <n v="163.45454545454547"/>
  </r>
  <r>
    <n v="68852591"/>
    <x v="16"/>
    <n v="4800"/>
    <d v="2023-11-06T00:00:00"/>
    <x v="26"/>
    <x v="26"/>
    <n v="8.5199999999999998E-3"/>
    <n v="40.896000000000001"/>
    <s v="KL"/>
    <x v="10"/>
    <x v="12"/>
    <s v="Q4"/>
    <n v="132"/>
    <n v="36.363636363636367"/>
    <s v="EDF"/>
    <n v="0.93"/>
    <n v="4464"/>
    <n v="38.033280000000005"/>
    <n v="33.81818181818182"/>
  </r>
  <r>
    <n v="68689251"/>
    <x v="15"/>
    <n v="40533"/>
    <d v="2023-11-07T00:00:00"/>
    <x v="17"/>
    <x v="17"/>
    <n v="9.5760000000000012E-3"/>
    <n v="388.14400800000004"/>
    <s v="KL"/>
    <x v="10"/>
    <x v="8"/>
    <s v="Q4"/>
    <n v="132"/>
    <n v="307.06818181818181"/>
    <s v="EDF"/>
    <n v="0.93"/>
    <n v="37695.69"/>
    <n v="360.97392744000007"/>
    <n v="285.57340909090908"/>
  </r>
  <r>
    <n v="68710277"/>
    <x v="15"/>
    <n v="36733"/>
    <d v="2023-11-07T00:00:00"/>
    <x v="20"/>
    <x v="20"/>
    <n v="8.5199999999999998E-3"/>
    <n v="312.96515999999997"/>
    <s v="KL"/>
    <x v="10"/>
    <x v="8"/>
    <s v="Q4"/>
    <n v="132"/>
    <n v="278.280303030303"/>
    <s v="EDF"/>
    <n v="0.93"/>
    <n v="34161.69"/>
    <n v="291.05759879999999"/>
    <n v="258.80068181818183"/>
  </r>
  <r>
    <n v="69548143"/>
    <x v="15"/>
    <n v="37125"/>
    <d v="2023-11-07T00:00:00"/>
    <x v="159"/>
    <x v="36"/>
    <n v="3.192E-3"/>
    <n v="118.503"/>
    <s v="KL"/>
    <x v="10"/>
    <x v="28"/>
    <s v="Q4"/>
    <n v="345"/>
    <n v="107.60869565217391"/>
    <s v="EFW"/>
    <n v="0.95"/>
    <n v="35268.75"/>
    <n v="112.57785"/>
    <n v="102.2282608695652"/>
  </r>
  <r>
    <n v="68689253"/>
    <x v="16"/>
    <n v="26000"/>
    <d v="2023-11-07T00:00:00"/>
    <x v="125"/>
    <x v="18"/>
    <n v="6.0035555555555554E-3"/>
    <n v="156.09244444444445"/>
    <s v="KL"/>
    <x v="10"/>
    <x v="9"/>
    <s v="Q4"/>
    <n v="120"/>
    <n v="216.66666666666666"/>
    <s v="ESS"/>
    <n v="0.95"/>
    <n v="24700"/>
    <n v="148.28782222222222"/>
    <n v="205.83333333333331"/>
  </r>
  <r>
    <n v="68709233"/>
    <x v="15"/>
    <n v="27000"/>
    <d v="2023-11-13T00:00:00"/>
    <x v="19"/>
    <x v="19"/>
    <n v="8.4960000000000001E-3"/>
    <n v="229.392"/>
    <s v="KL"/>
    <x v="10"/>
    <x v="8"/>
    <s v="Q4"/>
    <n v="132"/>
    <n v="204.54545454545453"/>
    <s v="EDF"/>
    <n v="0.93"/>
    <n v="25110"/>
    <n v="213.33456000000001"/>
    <n v="190.22727272727272"/>
  </r>
  <r>
    <n v="68746232"/>
    <x v="16"/>
    <n v="28000"/>
    <d v="2023-11-13T00:00:00"/>
    <x v="154"/>
    <x v="26"/>
    <n v="9.5879999999999993E-3"/>
    <n v="268.464"/>
    <s v="KL"/>
    <x v="10"/>
    <x v="12"/>
    <s v="Q4"/>
    <n v="132"/>
    <n v="212.12121212121212"/>
    <s v="EDF"/>
    <n v="0.93"/>
    <n v="26040"/>
    <n v="249.67152000000002"/>
    <n v="197.27272727272728"/>
  </r>
  <r>
    <n v="68689251"/>
    <x v="15"/>
    <n v="40533"/>
    <d v="2023-11-14T00:00:00"/>
    <x v="17"/>
    <x v="17"/>
    <n v="9.5760000000000012E-3"/>
    <n v="388.14400800000004"/>
    <s v="KL"/>
    <x v="10"/>
    <x v="8"/>
    <s v="Q4"/>
    <n v="132"/>
    <n v="307.06818181818181"/>
    <s v="EDF"/>
    <n v="0.93"/>
    <n v="37695.69"/>
    <n v="360.97392744000007"/>
    <n v="285.57340909090908"/>
  </r>
  <r>
    <n v="68710285"/>
    <x v="15"/>
    <n v="39267"/>
    <d v="2023-11-14T00:00:00"/>
    <x v="74"/>
    <x v="20"/>
    <n v="8.5199999999999998E-3"/>
    <n v="334.55484000000001"/>
    <s v="KL"/>
    <x v="10"/>
    <x v="8"/>
    <s v="Q4"/>
    <n v="132"/>
    <n v="297.47727272727275"/>
    <s v="EDF"/>
    <n v="0.93"/>
    <n v="36518.310000000005"/>
    <n v="311.13600120000001"/>
    <n v="276.65386363636367"/>
  </r>
  <r>
    <n v="69779478"/>
    <x v="15"/>
    <n v="37125"/>
    <d v="2023-11-14T00:00:00"/>
    <x v="437"/>
    <x v="36"/>
    <n v="2.3469132803553457E-3"/>
    <n v="87.129155533192204"/>
    <s v="GH"/>
    <x v="10"/>
    <x v="28"/>
    <s v="Q4"/>
    <n v="350"/>
    <n v="106.07142857142857"/>
    <s v="EFW"/>
    <n v="0.95"/>
    <n v="35268.75"/>
    <n v="82.772697756532594"/>
    <n v="100.76785714285714"/>
  </r>
  <r>
    <n v="68689253"/>
    <x v="16"/>
    <n v="26000"/>
    <d v="2023-11-14T00:00:00"/>
    <x v="125"/>
    <x v="18"/>
    <n v="6.0035555555555554E-3"/>
    <n v="156.09244444444445"/>
    <s v="KL"/>
    <x v="10"/>
    <x v="9"/>
    <s v="Q4"/>
    <n v="120"/>
    <n v="216.66666666666666"/>
    <s v="ESS"/>
    <n v="0.95"/>
    <n v="24700"/>
    <n v="148.28782222222222"/>
    <n v="205.83333333333331"/>
  </r>
  <r>
    <n v="68709233"/>
    <x v="15"/>
    <n v="27000"/>
    <d v="2023-11-20T00:00:00"/>
    <x v="19"/>
    <x v="19"/>
    <n v="8.4960000000000001E-3"/>
    <n v="229.392"/>
    <s v="KL"/>
    <x v="10"/>
    <x v="8"/>
    <s v="Q4"/>
    <n v="132"/>
    <n v="204.54545454545453"/>
    <s v="EDF"/>
    <n v="0.93"/>
    <n v="25110"/>
    <n v="213.33456000000001"/>
    <n v="190.22727272727272"/>
  </r>
  <r>
    <n v="68852583"/>
    <x v="16"/>
    <n v="15200"/>
    <d v="2023-11-20T00:00:00"/>
    <x v="227"/>
    <x v="26"/>
    <n v="8.5199999999999998E-3"/>
    <n v="129.50399999999999"/>
    <s v="KL"/>
    <x v="10"/>
    <x v="12"/>
    <s v="Q4"/>
    <n v="132"/>
    <n v="115.15151515151516"/>
    <s v="EDF"/>
    <n v="0.93"/>
    <n v="14136"/>
    <n v="120.43872"/>
    <n v="107.09090909090909"/>
  </r>
  <r>
    <n v="68689251"/>
    <x v="15"/>
    <n v="23467"/>
    <d v="2023-11-21T00:00:00"/>
    <x v="17"/>
    <x v="17"/>
    <n v="9.5760000000000012E-3"/>
    <n v="224.71999200000002"/>
    <s v="KL"/>
    <x v="10"/>
    <x v="8"/>
    <s v="Q4"/>
    <n v="132"/>
    <n v="177.78030303030303"/>
    <s v="EDF"/>
    <n v="0.93"/>
    <n v="21824.31"/>
    <n v="208.98959256000003"/>
    <n v="165.33568181818183"/>
  </r>
  <r>
    <n v="68689251"/>
    <x v="15"/>
    <n v="22733"/>
    <d v="2023-11-21T00:00:00"/>
    <x v="17"/>
    <x v="20"/>
    <n v="9.5760000000000012E-3"/>
    <n v="217.69120800000002"/>
    <s v="KL"/>
    <x v="10"/>
    <x v="8"/>
    <s v="Q4"/>
    <n v="132"/>
    <n v="172.21969696969697"/>
    <s v="EDF"/>
    <n v="0.93"/>
    <n v="21141.690000000002"/>
    <n v="202.45282344000003"/>
    <n v="160.1643181818182"/>
  </r>
  <r>
    <n v="69549032"/>
    <x v="15"/>
    <n v="20625"/>
    <d v="2023-11-21T00:00:00"/>
    <x v="79"/>
    <x v="36"/>
    <n v="2.3469132803553457E-3"/>
    <n v="48.405086407329001"/>
    <s v="GH"/>
    <x v="10"/>
    <x v="28"/>
    <s v="Q4"/>
    <n v="350"/>
    <n v="58.928571428571431"/>
    <s v="EFW"/>
    <n v="0.95"/>
    <n v="19593.75"/>
    <n v="45.984832086962548"/>
    <n v="55.982142857142854"/>
  </r>
  <r>
    <n v="68688168"/>
    <x v="16"/>
    <n v="7000"/>
    <d v="2023-11-21T00:00:00"/>
    <x v="73"/>
    <x v="18"/>
    <n v="2.8380000000000002E-3"/>
    <n v="19.866000000000003"/>
    <s v="GH"/>
    <x v="10"/>
    <x v="9"/>
    <s v="Q4"/>
    <n v="264"/>
    <n v="26.515151515151516"/>
    <s v="ESS"/>
    <n v="0.95"/>
    <n v="6650"/>
    <n v="18.872700000000002"/>
    <n v="25.189393939393938"/>
  </r>
  <r>
    <n v="68889812"/>
    <x v="16"/>
    <n v="12600"/>
    <d v="2023-11-21T00:00:00"/>
    <x v="27"/>
    <x v="27"/>
    <n v="3.192E-3"/>
    <n v="40.219200000000001"/>
    <s v="KL"/>
    <x v="10"/>
    <x v="9"/>
    <s v="Q4"/>
    <n v="300"/>
    <n v="42"/>
    <s v="ESS"/>
    <n v="0.95"/>
    <n v="11970"/>
    <n v="38.208239999999996"/>
    <n v="39.9"/>
  </r>
  <r>
    <n v="68709233"/>
    <x v="15"/>
    <n v="13500"/>
    <d v="2023-11-27T00:00:00"/>
    <x v="19"/>
    <x v="19"/>
    <n v="8.4960000000000001E-3"/>
    <n v="114.696"/>
    <s v="KL"/>
    <x v="10"/>
    <x v="8"/>
    <s v="Q4"/>
    <n v="132"/>
    <n v="102.27272727272727"/>
    <s v="EDF"/>
    <n v="0.93"/>
    <n v="12555"/>
    <n v="106.66728000000001"/>
    <n v="95.11363636363636"/>
  </r>
  <r>
    <n v="68852583"/>
    <x v="16"/>
    <n v="4800"/>
    <d v="2023-11-27T00:00:00"/>
    <x v="227"/>
    <x v="26"/>
    <n v="8.5199999999999998E-3"/>
    <n v="40.896000000000001"/>
    <s v="KL"/>
    <x v="10"/>
    <x v="12"/>
    <s v="Q4"/>
    <n v="132"/>
    <n v="36.363636363636367"/>
    <s v="EDF"/>
    <n v="0.93"/>
    <n v="4464"/>
    <n v="38.033280000000005"/>
    <n v="33.81818181818182"/>
  </r>
  <r>
    <n v="68852591"/>
    <x v="16"/>
    <n v="23200"/>
    <d v="2023-11-27T00:00:00"/>
    <x v="26"/>
    <x v="26"/>
    <n v="8.5199999999999998E-3"/>
    <n v="197.66399999999999"/>
    <s v="KL"/>
    <x v="10"/>
    <x v="12"/>
    <s v="Q4"/>
    <n v="132"/>
    <n v="175.75757575757575"/>
    <s v="EDF"/>
    <n v="0.93"/>
    <n v="21576"/>
    <n v="183.82751999999999"/>
    <n v="163.45454545454547"/>
  </r>
  <r>
    <n v="68689251"/>
    <x v="15"/>
    <n v="39267"/>
    <d v="2023-11-28T00:00:00"/>
    <x v="17"/>
    <x v="20"/>
    <n v="9.5760000000000012E-3"/>
    <n v="376.02079200000003"/>
    <s v="KL"/>
    <x v="10"/>
    <x v="8"/>
    <s v="Q4"/>
    <n v="132"/>
    <n v="297.47727272727275"/>
    <s v="EDF"/>
    <n v="0.93"/>
    <n v="36518.310000000005"/>
    <n v="349.69933656000006"/>
    <n v="276.65386363636367"/>
  </r>
  <r>
    <n v="68852591"/>
    <x v="15"/>
    <n v="38633"/>
    <d v="2023-11-28T00:00:00"/>
    <x v="26"/>
    <x v="17"/>
    <n v="8.5199999999999998E-3"/>
    <n v="329.15316000000001"/>
    <s v="KL"/>
    <x v="10"/>
    <x v="8"/>
    <s v="Q4"/>
    <n v="132"/>
    <n v="292.67424242424244"/>
    <s v="EDF"/>
    <n v="0.93"/>
    <n v="35928.69"/>
    <n v="306.11243880000001"/>
    <n v="272.18704545454545"/>
  </r>
  <r>
    <n v="68889813"/>
    <x v="16"/>
    <n v="20800"/>
    <d v="2023-11-28T00:00:00"/>
    <x v="297"/>
    <x v="18"/>
    <n v="2.8380000000000002E-3"/>
    <n v="59.030400000000007"/>
    <s v="KL"/>
    <x v="10"/>
    <x v="9"/>
    <s v="Q4"/>
    <n v="264"/>
    <n v="78.787878787878782"/>
    <s v="ESS"/>
    <n v="0.95"/>
    <n v="19760"/>
    <n v="56.078880000000005"/>
    <n v="74.848484848484844"/>
  </r>
  <r>
    <n v="68914406"/>
    <x v="16"/>
    <n v="31200"/>
    <d v="2023-11-28T00:00:00"/>
    <x v="78"/>
    <x v="27"/>
    <n v="2.124E-3"/>
    <n v="66.268799999999999"/>
    <s v="KL"/>
    <x v="10"/>
    <x v="9"/>
    <s v="Q4"/>
    <n v="352"/>
    <n v="88.63636363636364"/>
    <s v="ESS"/>
    <n v="0.95"/>
    <n v="29640"/>
    <n v="62.955359999999999"/>
    <n v="84.204545454545453"/>
  </r>
  <r>
    <n v="68300738"/>
    <x v="15"/>
    <n v="27000"/>
    <d v="2023-12-03T00:00:00"/>
    <x v="120"/>
    <x v="19"/>
    <n v="8.4960000000000001E-3"/>
    <n v="229.392"/>
    <s v="KL"/>
    <x v="11"/>
    <x v="8"/>
    <s v="Q4"/>
    <n v="132"/>
    <n v="204.54545454545453"/>
    <s v="EDF"/>
    <n v="0.93"/>
    <n v="25110"/>
    <n v="213.33456000000001"/>
    <n v="190.22727272727272"/>
  </r>
  <r>
    <n v="68852591"/>
    <x v="16"/>
    <n v="28000"/>
    <d v="2023-12-04T00:00:00"/>
    <x v="26"/>
    <x v="26"/>
    <n v="8.5199999999999998E-3"/>
    <n v="238.56"/>
    <s v="KL"/>
    <x v="11"/>
    <x v="12"/>
    <s v="Q4"/>
    <n v="132"/>
    <n v="212.12121212121212"/>
    <s v="EDF"/>
    <n v="0.93"/>
    <n v="26040"/>
    <n v="221.86080000000001"/>
    <n v="197.27272727272728"/>
  </r>
  <r>
    <n v="68852591"/>
    <x v="15"/>
    <n v="38633"/>
    <d v="2023-12-05T00:00:00"/>
    <x v="26"/>
    <x v="17"/>
    <n v="8.5199999999999998E-3"/>
    <n v="329.15316000000001"/>
    <s v="KL"/>
    <x v="11"/>
    <x v="8"/>
    <s v="Q4"/>
    <n v="132"/>
    <n v="292.67424242424244"/>
    <s v="EDF"/>
    <n v="0.93"/>
    <n v="35928.69"/>
    <n v="306.11243880000001"/>
    <n v="272.18704545454545"/>
  </r>
  <r>
    <n v="68921994"/>
    <x v="15"/>
    <n v="39267"/>
    <d v="2023-12-05T00:00:00"/>
    <x v="258"/>
    <x v="20"/>
    <n v="9.5879999999999993E-3"/>
    <n v="376.49199599999997"/>
    <s v="KL"/>
    <x v="11"/>
    <x v="8"/>
    <s v="Q4"/>
    <n v="132"/>
    <n v="297.47727272727275"/>
    <s v="EDF"/>
    <n v="0.93"/>
    <n v="36518.310000000005"/>
    <n v="350.13755628000001"/>
    <n v="276.65386363636367"/>
  </r>
  <r>
    <n v="68689253"/>
    <x v="16"/>
    <n v="26000"/>
    <d v="2023-12-05T00:00:00"/>
    <x v="125"/>
    <x v="18"/>
    <n v="6.0035555555555554E-3"/>
    <n v="156.09244444444445"/>
    <s v="KL"/>
    <x v="11"/>
    <x v="9"/>
    <s v="Q4"/>
    <n v="120"/>
    <n v="216.66666666666666"/>
    <s v="ESS"/>
    <n v="0.95"/>
    <n v="24700"/>
    <n v="148.28782222222222"/>
    <n v="205.83333333333331"/>
  </r>
  <r>
    <n v="68300738"/>
    <x v="15"/>
    <n v="27000"/>
    <d v="2023-12-10T00:00:00"/>
    <x v="120"/>
    <x v="19"/>
    <n v="8.4960000000000001E-3"/>
    <n v="229.392"/>
    <s v="KL"/>
    <x v="11"/>
    <x v="8"/>
    <s v="Q4"/>
    <n v="132"/>
    <n v="204.54545454545453"/>
    <s v="EDF"/>
    <n v="0.93"/>
    <n v="25110"/>
    <n v="213.33456000000001"/>
    <n v="190.22727272727272"/>
  </r>
  <r>
    <n v="68709237"/>
    <x v="15"/>
    <n v="39267"/>
    <d v="2023-12-11T00:00:00"/>
    <x v="126"/>
    <x v="20"/>
    <n v="9.5760000000000012E-3"/>
    <n v="376.02079200000003"/>
    <s v="KL"/>
    <x v="11"/>
    <x v="8"/>
    <s v="Q4"/>
    <n v="132"/>
    <n v="297.47727272727275"/>
    <s v="EDF"/>
    <n v="0.93"/>
    <n v="36518.310000000005"/>
    <n v="349.69933656000006"/>
    <n v="276.65386363636367"/>
  </r>
  <r>
    <n v="68746232"/>
    <x v="16"/>
    <n v="23200"/>
    <d v="2023-12-11T00:00:00"/>
    <x v="154"/>
    <x v="26"/>
    <n v="9.5879999999999993E-3"/>
    <n v="222.44159999999999"/>
    <s v="KL"/>
    <x v="11"/>
    <x v="12"/>
    <s v="Q4"/>
    <n v="132"/>
    <n v="175.75757575757575"/>
    <s v="EDF"/>
    <n v="0.93"/>
    <n v="21576"/>
    <n v="206.870688"/>
    <n v="163.45454545454547"/>
  </r>
  <r>
    <n v="68852591"/>
    <x v="16"/>
    <n v="4800"/>
    <d v="2023-12-11T00:00:00"/>
    <x v="26"/>
    <x v="26"/>
    <n v="8.5199999999999998E-3"/>
    <n v="40.896000000000001"/>
    <s v="KL"/>
    <x v="11"/>
    <x v="12"/>
    <s v="Q4"/>
    <n v="132"/>
    <n v="36.363636363636367"/>
    <s v="EDF"/>
    <n v="0.93"/>
    <n v="4464"/>
    <n v="38.033280000000005"/>
    <n v="33.81818181818182"/>
  </r>
  <r>
    <n v="68689251"/>
    <x v="15"/>
    <n v="40533"/>
    <d v="2023-12-12T00:00:00"/>
    <x v="17"/>
    <x v="17"/>
    <n v="9.5760000000000012E-3"/>
    <n v="388.14400800000004"/>
    <s v="KL"/>
    <x v="11"/>
    <x v="8"/>
    <s v="Q4"/>
    <n v="132"/>
    <n v="307.06818181818181"/>
    <s v="EDF"/>
    <n v="0.93"/>
    <n v="37695.69"/>
    <n v="360.97392744000007"/>
    <n v="285.57340909090908"/>
  </r>
  <r>
    <n v="68689253"/>
    <x v="16"/>
    <n v="26000"/>
    <d v="2023-12-12T00:00:00"/>
    <x v="125"/>
    <x v="18"/>
    <n v="6.0035555555555554E-3"/>
    <n v="156.09244444444445"/>
    <s v="KL"/>
    <x v="11"/>
    <x v="9"/>
    <s v="Q4"/>
    <n v="120"/>
    <n v="216.66666666666666"/>
    <s v="ESS"/>
    <n v="0.95"/>
    <n v="24700"/>
    <n v="148.28782222222222"/>
    <n v="205.83333333333331"/>
  </r>
  <r>
    <n v="68300738"/>
    <x v="15"/>
    <n v="27000"/>
    <d v="2023-12-17T00:00:00"/>
    <x v="120"/>
    <x v="19"/>
    <n v="8.4960000000000001E-3"/>
    <n v="229.392"/>
    <s v="KL"/>
    <x v="11"/>
    <x v="8"/>
    <s v="Q4"/>
    <n v="132"/>
    <n v="204.54545454545453"/>
    <s v="EDF"/>
    <n v="0.93"/>
    <n v="25110"/>
    <n v="213.33456000000001"/>
    <n v="190.22727272727272"/>
  </r>
  <r>
    <n v="68689251"/>
    <x v="15"/>
    <n v="27000"/>
    <d v="2023-12-18T00:00:00"/>
    <x v="17"/>
    <x v="19"/>
    <n v="9.5760000000000012E-3"/>
    <n v="258.55200000000002"/>
    <s v="KL"/>
    <x v="11"/>
    <x v="8"/>
    <s v="Q4"/>
    <n v="132"/>
    <n v="204.54545454545453"/>
    <s v="EDF"/>
    <n v="0.93"/>
    <n v="25110"/>
    <n v="240.45336000000003"/>
    <n v="190.22727272727272"/>
  </r>
  <r>
    <n v="68746232"/>
    <x v="16"/>
    <n v="10400"/>
    <d v="2023-12-18T00:00:00"/>
    <x v="154"/>
    <x v="26"/>
    <n v="9.5879999999999993E-3"/>
    <n v="99.715199999999996"/>
    <s v="KL"/>
    <x v="11"/>
    <x v="12"/>
    <s v="Q4"/>
    <n v="132"/>
    <n v="78.787878787878782"/>
    <s v="EDF"/>
    <n v="0.93"/>
    <n v="9672"/>
    <n v="92.735135999999997"/>
    <n v="73.272727272727266"/>
  </r>
  <r>
    <n v="68689251"/>
    <x v="15"/>
    <n v="37333"/>
    <d v="2023-12-19T00:00:00"/>
    <x v="17"/>
    <x v="17"/>
    <n v="9.5760000000000012E-3"/>
    <n v="357.50080800000006"/>
    <s v="KL"/>
    <x v="11"/>
    <x v="8"/>
    <s v="Q4"/>
    <n v="132"/>
    <n v="282.82575757575756"/>
    <s v="EDF"/>
    <n v="0.93"/>
    <n v="34719.69"/>
    <n v="332.47575144000007"/>
    <n v="263.02795454545452"/>
  </r>
  <r>
    <n v="68689251"/>
    <x v="15"/>
    <n v="36167"/>
    <d v="2023-12-19T00:00:00"/>
    <x v="17"/>
    <x v="20"/>
    <n v="9.5760000000000012E-3"/>
    <n v="346.33519200000006"/>
    <s v="KL"/>
    <x v="11"/>
    <x v="8"/>
    <s v="Q4"/>
    <n v="132"/>
    <n v="273.99242424242425"/>
    <s v="EDF"/>
    <n v="0.93"/>
    <n v="33635.310000000005"/>
    <n v="322.09172856000009"/>
    <n v="254.81295454545457"/>
  </r>
  <r>
    <n v="68689253"/>
    <x v="16"/>
    <n v="26000"/>
    <d v="2023-12-19T00:00:00"/>
    <x v="125"/>
    <x v="18"/>
    <n v="6.0035555555555554E-3"/>
    <n v="156.09244444444445"/>
    <s v="KL"/>
    <x v="11"/>
    <x v="9"/>
    <s v="Q4"/>
    <n v="120"/>
    <n v="216.66666666666666"/>
    <s v="ESS"/>
    <n v="0.95"/>
    <n v="24700"/>
    <n v="148.28782222222222"/>
    <n v="205.83333333333331"/>
  </r>
  <r>
    <n v="69552658"/>
    <x v="24"/>
    <n v="4158"/>
    <d v="2023-05-01T00:00:00"/>
    <x v="81"/>
    <x v="37"/>
    <n v="2.8390080000000001E-3"/>
    <n v="11.804595264"/>
    <s v="KL"/>
    <x v="4"/>
    <x v="29"/>
    <s v="Q2"/>
    <n v="189"/>
    <n v="22"/>
    <s v="ESS"/>
    <n v="0.95"/>
    <n v="3950.1"/>
    <n v="11.2143655008"/>
    <n v="20.9"/>
  </r>
  <r>
    <n v="69552658"/>
    <x v="24"/>
    <n v="6048"/>
    <d v="2023-05-02T00:00:00"/>
    <x v="81"/>
    <x v="37"/>
    <n v="2.8390080000000001E-3"/>
    <n v="17.170320384"/>
    <s v="KL"/>
    <x v="4"/>
    <x v="29"/>
    <s v="Q2"/>
    <n v="189"/>
    <n v="32"/>
    <s v="ESS"/>
    <n v="0.95"/>
    <n v="5745.5999999999995"/>
    <n v="16.3118043648"/>
    <n v="30.4"/>
  </r>
  <r>
    <n v="69552658"/>
    <x v="24"/>
    <n v="6993"/>
    <d v="2023-05-03T00:00:00"/>
    <x v="81"/>
    <x v="37"/>
    <n v="2.8390080000000001E-3"/>
    <n v="19.853182944"/>
    <s v="KL"/>
    <x v="4"/>
    <x v="29"/>
    <s v="Q2"/>
    <n v="189"/>
    <n v="37"/>
    <s v="ESS"/>
    <n v="0.95"/>
    <n v="6643.3499999999995"/>
    <n v="18.860523796799999"/>
    <n v="35.15"/>
  </r>
  <r>
    <n v="69552658"/>
    <x v="24"/>
    <n v="3837"/>
    <d v="2023-05-05T00:00:00"/>
    <x v="81"/>
    <x v="37"/>
    <n v="2.8390080000000001E-3"/>
    <n v="10.893273696"/>
    <s v="KL"/>
    <x v="4"/>
    <x v="29"/>
    <s v="Q2"/>
    <n v="189"/>
    <n v="20.301587301587301"/>
    <s v="ESS"/>
    <n v="0.95"/>
    <n v="3645.1499999999996"/>
    <n v="10.3486100112"/>
    <n v="19.286507936507935"/>
  </r>
  <r>
    <n v="69552658"/>
    <x v="24"/>
    <n v="3036"/>
    <d v="2023-05-05T00:00:00"/>
    <x v="81"/>
    <x v="37"/>
    <n v="2.8390080000000001E-3"/>
    <n v="8.6192282880000004"/>
    <s v="KL"/>
    <x v="4"/>
    <x v="29"/>
    <s v="Q2"/>
    <n v="189"/>
    <n v="16.063492063492063"/>
    <s v="ESS"/>
    <n v="0.95"/>
    <n v="2884.2"/>
    <n v="8.1882668735999999"/>
    <n v="15.260317460317459"/>
  </r>
  <r>
    <n v="69552658"/>
    <x v="24"/>
    <n v="2268"/>
    <d v="2023-06-12T00:00:00"/>
    <x v="81"/>
    <x v="37"/>
    <n v="2.8390080000000001E-3"/>
    <n v="6.438870144"/>
    <s v="KL"/>
    <x v="5"/>
    <x v="29"/>
    <s v="Q2"/>
    <n v="189"/>
    <n v="12"/>
    <s v="ESS"/>
    <n v="0.95"/>
    <n v="2154.6"/>
    <n v="6.1169266367999997"/>
    <n v="11.399999999999999"/>
  </r>
  <r>
    <n v="69552658"/>
    <x v="24"/>
    <n v="6804"/>
    <d v="2023-06-13T00:00:00"/>
    <x v="81"/>
    <x v="37"/>
    <n v="2.8390080000000001E-3"/>
    <n v="19.316610432000001"/>
    <s v="KL"/>
    <x v="5"/>
    <x v="29"/>
    <s v="Q2"/>
    <n v="189"/>
    <n v="36"/>
    <s v="ESS"/>
    <n v="0.95"/>
    <n v="6463.7999999999993"/>
    <n v="18.3507799104"/>
    <n v="34.199999999999996"/>
  </r>
  <r>
    <n v="69552658"/>
    <x v="24"/>
    <n v="3600"/>
    <d v="2023-06-14T00:00:00"/>
    <x v="81"/>
    <x v="37"/>
    <n v="2.8390080000000001E-3"/>
    <n v="10.220428800000001"/>
    <s v="KL"/>
    <x v="5"/>
    <x v="29"/>
    <s v="Q2"/>
    <n v="189"/>
    <n v="19.047619047619047"/>
    <s v="ESS"/>
    <n v="0.95"/>
    <n v="3420"/>
    <n v="9.7094073600000002"/>
    <n v="18.095238095238095"/>
  </r>
  <r>
    <n v="69552658"/>
    <x v="24"/>
    <n v="5400"/>
    <d v="2023-06-15T00:00:00"/>
    <x v="81"/>
    <x v="37"/>
    <n v="2.8390080000000001E-3"/>
    <n v="15.330643200000001"/>
    <s v="KL"/>
    <x v="5"/>
    <x v="29"/>
    <s v="Q2"/>
    <n v="189"/>
    <n v="28.571428571428573"/>
    <s v="ESS"/>
    <n v="0.95"/>
    <n v="5130"/>
    <n v="14.56411104"/>
    <n v="27.142857142857142"/>
  </r>
  <r>
    <n v="69552658"/>
    <x v="24"/>
    <n v="4050"/>
    <d v="2023-06-16T00:00:00"/>
    <x v="81"/>
    <x v="37"/>
    <n v="2.8390080000000001E-3"/>
    <n v="11.4979824"/>
    <s v="KL"/>
    <x v="5"/>
    <x v="29"/>
    <s v="Q2"/>
    <n v="189"/>
    <n v="21.428571428571427"/>
    <s v="ESS"/>
    <n v="0.95"/>
    <n v="3847.5"/>
    <n v="10.923083279999998"/>
    <n v="20.357142857142854"/>
  </r>
  <r>
    <n v="69552658"/>
    <x v="24"/>
    <n v="4050"/>
    <d v="2023-06-18T00:00:00"/>
    <x v="81"/>
    <x v="37"/>
    <n v="2.8390080000000001E-3"/>
    <n v="11.4979824"/>
    <s v="KL"/>
    <x v="5"/>
    <x v="29"/>
    <s v="Q2"/>
    <n v="189"/>
    <n v="21.428571428571427"/>
    <s v="ESS"/>
    <n v="0.95"/>
    <n v="3847.5"/>
    <n v="10.923083279999998"/>
    <n v="20.357142857142854"/>
  </r>
  <r>
    <n v="69552658"/>
    <x v="24"/>
    <n v="3600"/>
    <d v="2023-06-19T00:00:00"/>
    <x v="81"/>
    <x v="37"/>
    <n v="2.8390080000000001E-3"/>
    <n v="10.220428800000001"/>
    <s v="KL"/>
    <x v="5"/>
    <x v="29"/>
    <s v="Q2"/>
    <n v="189"/>
    <n v="19.047619047619047"/>
    <s v="ESS"/>
    <n v="0.95"/>
    <n v="3420"/>
    <n v="9.7094073600000002"/>
    <n v="18.095238095238095"/>
  </r>
  <r>
    <n v="69552658"/>
    <x v="24"/>
    <n v="5400"/>
    <d v="2023-06-20T00:00:00"/>
    <x v="81"/>
    <x v="37"/>
    <n v="2.8390080000000001E-3"/>
    <n v="15.330643200000001"/>
    <s v="KL"/>
    <x v="5"/>
    <x v="29"/>
    <s v="Q2"/>
    <n v="189"/>
    <n v="28.571428571428573"/>
    <s v="ESS"/>
    <n v="0.95"/>
    <n v="5130"/>
    <n v="14.56411104"/>
    <n v="27.142857142857142"/>
  </r>
  <r>
    <n v="69552658"/>
    <x v="24"/>
    <n v="5400"/>
    <d v="2023-06-21T00:00:00"/>
    <x v="81"/>
    <x v="37"/>
    <n v="2.8390080000000001E-3"/>
    <n v="15.330643200000001"/>
    <s v="KL"/>
    <x v="5"/>
    <x v="29"/>
    <s v="Q2"/>
    <n v="189"/>
    <n v="28.571428571428573"/>
    <s v="ESS"/>
    <n v="0.95"/>
    <n v="5130"/>
    <n v="14.56411104"/>
    <n v="27.142857142857142"/>
  </r>
  <r>
    <n v="69552658"/>
    <x v="24"/>
    <n v="3600"/>
    <d v="2023-06-22T00:00:00"/>
    <x v="81"/>
    <x v="37"/>
    <n v="2.8390080000000001E-3"/>
    <n v="10.220428800000001"/>
    <s v="KL"/>
    <x v="5"/>
    <x v="29"/>
    <s v="Q2"/>
    <n v="189"/>
    <n v="19.047619047619047"/>
    <s v="ESS"/>
    <n v="0.95"/>
    <n v="3420"/>
    <n v="9.7094073600000002"/>
    <n v="18.095238095238095"/>
  </r>
  <r>
    <n v="69552658"/>
    <x v="24"/>
    <n v="4050"/>
    <d v="2023-06-23T00:00:00"/>
    <x v="81"/>
    <x v="37"/>
    <n v="2.8390080000000001E-3"/>
    <n v="11.4979824"/>
    <s v="KL"/>
    <x v="5"/>
    <x v="29"/>
    <s v="Q2"/>
    <n v="189"/>
    <n v="21.428571428571427"/>
    <s v="ESS"/>
    <n v="0.95"/>
    <n v="3847.5"/>
    <n v="10.923083279999998"/>
    <n v="20.357142857142854"/>
  </r>
  <r>
    <n v="69552658"/>
    <x v="24"/>
    <n v="2250"/>
    <d v="2023-06-25T00:00:00"/>
    <x v="81"/>
    <x v="37"/>
    <n v="2.8390080000000001E-3"/>
    <n v="6.3877680000000003"/>
    <s v="KL"/>
    <x v="5"/>
    <x v="29"/>
    <s v="Q2"/>
    <n v="189"/>
    <n v="11.904761904761905"/>
    <s v="ESS"/>
    <n v="0.95"/>
    <n v="2137.5"/>
    <n v="6.0683796000000001"/>
    <n v="11.30952380952381"/>
  </r>
  <r>
    <n v="69552658"/>
    <x v="24"/>
    <n v="3600"/>
    <d v="2023-07-10T00:00:00"/>
    <x v="81"/>
    <x v="37"/>
    <n v="2.8390080000000001E-3"/>
    <n v="10.220428800000001"/>
    <s v="KL"/>
    <x v="6"/>
    <x v="29"/>
    <s v="Q3"/>
    <n v="189"/>
    <n v="19.047619047619047"/>
    <s v="ESS"/>
    <n v="0.95"/>
    <n v="3420"/>
    <n v="9.7094073600000002"/>
    <n v="18.095238095238095"/>
  </r>
  <r>
    <n v="69552658"/>
    <x v="24"/>
    <n v="5400"/>
    <d v="2023-07-11T00:00:00"/>
    <x v="81"/>
    <x v="37"/>
    <n v="2.8390080000000001E-3"/>
    <n v="15.330643200000001"/>
    <s v="KL"/>
    <x v="6"/>
    <x v="29"/>
    <s v="Q3"/>
    <n v="189"/>
    <n v="28.571428571428573"/>
    <s v="ESS"/>
    <n v="0.95"/>
    <n v="5130"/>
    <n v="14.56411104"/>
    <n v="27.142857142857142"/>
  </r>
  <r>
    <n v="69552658"/>
    <x v="24"/>
    <n v="3600"/>
    <d v="2023-07-12T00:00:00"/>
    <x v="81"/>
    <x v="37"/>
    <n v="2.8390080000000001E-3"/>
    <n v="10.220428800000001"/>
    <s v="KL"/>
    <x v="6"/>
    <x v="29"/>
    <s v="Q3"/>
    <n v="189"/>
    <n v="19.047619047619047"/>
    <s v="ESS"/>
    <n v="0.95"/>
    <n v="3420"/>
    <n v="9.7094073600000002"/>
    <n v="18.095238095238095"/>
  </r>
  <r>
    <n v="69552658"/>
    <x v="24"/>
    <n v="5400"/>
    <d v="2023-07-13T00:00:00"/>
    <x v="81"/>
    <x v="37"/>
    <n v="2.8390080000000001E-3"/>
    <n v="15.330643200000001"/>
    <s v="KL"/>
    <x v="6"/>
    <x v="29"/>
    <s v="Q3"/>
    <n v="189"/>
    <n v="28.571428571428573"/>
    <s v="ESS"/>
    <n v="0.95"/>
    <n v="5130"/>
    <n v="14.56411104"/>
    <n v="27.142857142857142"/>
  </r>
  <r>
    <n v="69552658"/>
    <x v="24"/>
    <n v="5400"/>
    <d v="2023-07-14T00:00:00"/>
    <x v="81"/>
    <x v="37"/>
    <n v="2.8390080000000001E-3"/>
    <n v="15.330643200000001"/>
    <s v="KL"/>
    <x v="6"/>
    <x v="29"/>
    <s v="Q3"/>
    <n v="189"/>
    <n v="28.571428571428573"/>
    <s v="ESS"/>
    <n v="0.95"/>
    <n v="5130"/>
    <n v="14.56411104"/>
    <n v="27.142857142857142"/>
  </r>
  <r>
    <n v="69552658"/>
    <x v="24"/>
    <n v="900"/>
    <d v="2023-07-15T00:00:00"/>
    <x v="81"/>
    <x v="37"/>
    <n v="2.8390080000000001E-3"/>
    <n v="2.5551072000000001"/>
    <s v="KL"/>
    <x v="6"/>
    <x v="29"/>
    <s v="Q3"/>
    <n v="189"/>
    <n v="4.7619047619047619"/>
    <s v="ESS"/>
    <n v="0.95"/>
    <n v="855"/>
    <n v="2.42735184"/>
    <n v="4.5238095238095237"/>
  </r>
  <r>
    <n v="69552658"/>
    <x v="24"/>
    <n v="3600"/>
    <d v="2023-07-17T00:00:00"/>
    <x v="81"/>
    <x v="37"/>
    <n v="2.8390080000000001E-3"/>
    <n v="10.220428800000001"/>
    <s v="KL"/>
    <x v="6"/>
    <x v="29"/>
    <s v="Q3"/>
    <n v="189"/>
    <n v="19.047619047619047"/>
    <s v="ESS"/>
    <n v="0.95"/>
    <n v="3420"/>
    <n v="9.7094073600000002"/>
    <n v="18.095238095238095"/>
  </r>
  <r>
    <n v="69552658"/>
    <x v="24"/>
    <n v="5400"/>
    <d v="2023-07-18T00:00:00"/>
    <x v="81"/>
    <x v="37"/>
    <n v="2.8390080000000001E-3"/>
    <n v="15.330643200000001"/>
    <s v="KL"/>
    <x v="6"/>
    <x v="29"/>
    <s v="Q3"/>
    <n v="189"/>
    <n v="28.571428571428573"/>
    <s v="ESS"/>
    <n v="0.95"/>
    <n v="5130"/>
    <n v="14.56411104"/>
    <n v="27.142857142857142"/>
  </r>
  <r>
    <n v="69552658"/>
    <x v="24"/>
    <n v="5400"/>
    <d v="2023-07-19T00:00:00"/>
    <x v="81"/>
    <x v="37"/>
    <n v="2.8390080000000001E-3"/>
    <n v="15.330643200000001"/>
    <s v="KL"/>
    <x v="6"/>
    <x v="29"/>
    <s v="Q3"/>
    <n v="189"/>
    <n v="28.571428571428573"/>
    <s v="ESS"/>
    <n v="0.95"/>
    <n v="5130"/>
    <n v="14.56411104"/>
    <n v="27.142857142857142"/>
  </r>
  <r>
    <n v="69552658"/>
    <x v="24"/>
    <n v="3600"/>
    <d v="2023-07-20T00:00:00"/>
    <x v="81"/>
    <x v="37"/>
    <n v="2.8390080000000001E-3"/>
    <n v="10.220428800000001"/>
    <s v="KL"/>
    <x v="6"/>
    <x v="29"/>
    <s v="Q3"/>
    <n v="189"/>
    <n v="19.047619047619047"/>
    <s v="ESS"/>
    <n v="0.95"/>
    <n v="3420"/>
    <n v="9.7094073600000002"/>
    <n v="18.095238095238095"/>
  </r>
  <r>
    <n v="69552658"/>
    <x v="24"/>
    <n v="5400"/>
    <d v="2023-07-21T00:00:00"/>
    <x v="81"/>
    <x v="37"/>
    <n v="2.8390080000000001E-3"/>
    <n v="15.330643200000001"/>
    <s v="KL"/>
    <x v="6"/>
    <x v="29"/>
    <s v="Q3"/>
    <n v="189"/>
    <n v="28.571428571428573"/>
    <s v="ESS"/>
    <n v="0.95"/>
    <n v="5130"/>
    <n v="14.56411104"/>
    <n v="27.142857142857142"/>
  </r>
  <r>
    <n v="69552658"/>
    <x v="24"/>
    <n v="900"/>
    <d v="2023-07-22T00:00:00"/>
    <x v="81"/>
    <x v="37"/>
    <n v="2.8390080000000001E-3"/>
    <n v="2.5551072000000001"/>
    <s v="KL"/>
    <x v="6"/>
    <x v="29"/>
    <s v="Q3"/>
    <n v="189"/>
    <n v="4.7619047619047619"/>
    <s v="ESS"/>
    <n v="0.95"/>
    <n v="855"/>
    <n v="2.42735184"/>
    <n v="4.5238095238095237"/>
  </r>
  <r>
    <n v="69552658"/>
    <x v="24"/>
    <n v="23400"/>
    <d v="2023-08-14T00:00:00"/>
    <x v="81"/>
    <x v="37"/>
    <n v="2.8390080000000001E-3"/>
    <n v="66.432787200000007"/>
    <s v="KL"/>
    <x v="8"/>
    <x v="29"/>
    <s v="Q3"/>
    <n v="189"/>
    <n v="123.80952380952381"/>
    <s v="ESS"/>
    <n v="0.95"/>
    <n v="22230"/>
    <n v="63.111147840000001"/>
    <n v="117.61904761904762"/>
  </r>
  <r>
    <n v="69552658"/>
    <x v="24"/>
    <n v="7056"/>
    <d v="2023-08-21T00:00:00"/>
    <x v="81"/>
    <x v="37"/>
    <n v="2.8390080000000001E-3"/>
    <n v="20.032040448"/>
    <s v="KL"/>
    <x v="8"/>
    <x v="29"/>
    <s v="Q3"/>
    <n v="189"/>
    <n v="37.333333333333336"/>
    <s v="ESS"/>
    <n v="0.95"/>
    <n v="6703.2"/>
    <n v="19.0304384256"/>
    <n v="35.466666666666669"/>
  </r>
  <r>
    <n v="69552658"/>
    <x v="24"/>
    <n v="16200"/>
    <d v="2023-09-03T00:00:00"/>
    <x v="81"/>
    <x v="37"/>
    <n v="2.8390080000000001E-3"/>
    <n v="45.991929599999999"/>
    <s v="KL"/>
    <x v="9"/>
    <x v="29"/>
    <s v="Q3"/>
    <n v="189"/>
    <n v="85.714285714285708"/>
    <s v="ESS"/>
    <n v="0.95"/>
    <n v="15390"/>
    <n v="43.692333119999994"/>
    <n v="81.428571428571416"/>
  </r>
  <r>
    <n v="69552658"/>
    <x v="24"/>
    <n v="17100"/>
    <d v="2023-09-25T00:00:00"/>
    <x v="81"/>
    <x v="37"/>
    <n v="2.8390080000000001E-3"/>
    <n v="48.547036800000001"/>
    <s v="KL"/>
    <x v="9"/>
    <x v="29"/>
    <s v="Q3"/>
    <n v="189"/>
    <n v="90.476190476190482"/>
    <s v="ESS"/>
    <n v="0.95"/>
    <n v="16245"/>
    <n v="46.119684960000001"/>
    <n v="85.952380952380949"/>
  </r>
  <r>
    <n v="69552658"/>
    <x v="24"/>
    <n v="23400"/>
    <d v="2023-10-02T00:00:00"/>
    <x v="81"/>
    <x v="37"/>
    <n v="2.8390080000000001E-3"/>
    <n v="66.432787200000007"/>
    <s v="KL"/>
    <x v="7"/>
    <x v="29"/>
    <s v="Q4"/>
    <n v="189"/>
    <n v="123.80952380952381"/>
    <s v="ESS"/>
    <n v="0.95"/>
    <n v="22230"/>
    <n v="63.111147840000001"/>
    <n v="117.61904761904762"/>
  </r>
  <r>
    <n v="69552658"/>
    <x v="24"/>
    <n v="23400"/>
    <d v="2023-10-23T00:00:00"/>
    <x v="81"/>
    <x v="37"/>
    <n v="2.8390080000000001E-3"/>
    <n v="66.432787200000007"/>
    <s v="KL"/>
    <x v="7"/>
    <x v="29"/>
    <s v="Q4"/>
    <n v="189"/>
    <n v="123.80952380952381"/>
    <s v="ESS"/>
    <n v="0.95"/>
    <n v="22230"/>
    <n v="63.111147840000001"/>
    <n v="117.61904761904762"/>
  </r>
  <r>
    <n v="69552658"/>
    <x v="24"/>
    <n v="23400"/>
    <d v="2023-10-30T00:00:00"/>
    <x v="81"/>
    <x v="37"/>
    <n v="2.8390080000000001E-3"/>
    <n v="66.432787200000007"/>
    <s v="KL"/>
    <x v="7"/>
    <x v="29"/>
    <s v="Q4"/>
    <n v="189"/>
    <n v="123.80952380952381"/>
    <s v="ESS"/>
    <n v="0.95"/>
    <n v="22230"/>
    <n v="63.111147840000001"/>
    <n v="117.61904761904762"/>
  </r>
  <r>
    <n v="69552658"/>
    <x v="24"/>
    <n v="23400"/>
    <d v="2023-11-13T00:00:00"/>
    <x v="81"/>
    <x v="37"/>
    <n v="2.8390080000000001E-3"/>
    <n v="66.432787200000007"/>
    <s v="KL"/>
    <x v="10"/>
    <x v="29"/>
    <s v="Q4"/>
    <n v="189"/>
    <n v="123.80952380952381"/>
    <s v="ESS"/>
    <n v="0.95"/>
    <n v="22230"/>
    <n v="63.111147840000001"/>
    <n v="117.61904761904762"/>
  </r>
  <r>
    <n v="69552658"/>
    <x v="24"/>
    <n v="23400"/>
    <d v="2023-11-20T00:00:00"/>
    <x v="81"/>
    <x v="37"/>
    <n v="2.8390080000000001E-3"/>
    <n v="66.432787200000007"/>
    <s v="KL"/>
    <x v="10"/>
    <x v="29"/>
    <s v="Q4"/>
    <n v="189"/>
    <n v="123.80952380952381"/>
    <s v="ESS"/>
    <n v="0.95"/>
    <n v="22230"/>
    <n v="63.111147840000001"/>
    <n v="117.61904761904762"/>
  </r>
  <r>
    <n v="69552658"/>
    <x v="24"/>
    <n v="23400"/>
    <d v="2023-11-27T00:00:00"/>
    <x v="81"/>
    <x v="37"/>
    <n v="2.8390080000000001E-3"/>
    <n v="66.432787200000007"/>
    <s v="KL"/>
    <x v="10"/>
    <x v="29"/>
    <s v="Q4"/>
    <n v="189"/>
    <n v="123.80952380952381"/>
    <s v="ESS"/>
    <n v="0.95"/>
    <n v="22230"/>
    <n v="63.111147840000001"/>
    <n v="117.61904761904762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628686"/>
    <x v="25"/>
    <n v="4200"/>
    <s v="06/01/2023"/>
    <x v="438"/>
    <x v="46"/>
    <n v="5.3220000000000003E-3"/>
    <n v="22.352400000000003"/>
    <s v="KL"/>
    <x v="5"/>
    <x v="55"/>
    <s v="Q2"/>
    <n v="120"/>
    <n v="35"/>
    <s v="KL Mini Cones"/>
    <n v="0.95"/>
    <n v="3990"/>
    <n v="21.234780000000001"/>
    <n v="33.25"/>
  </r>
  <r>
    <n v="69628686"/>
    <x v="25"/>
    <n v="4200"/>
    <s v="06/01/2023"/>
    <x v="438"/>
    <x v="46"/>
    <n v="5.3220000000000003E-3"/>
    <n v="22.352400000000003"/>
    <s v="KL"/>
    <x v="5"/>
    <x v="55"/>
    <s v="Q2"/>
    <n v="120"/>
    <n v="35"/>
    <s v="KL Mini Cones"/>
    <n v="0.95"/>
    <n v="3990"/>
    <n v="21.234780000000001"/>
    <n v="33.25"/>
  </r>
  <r>
    <n v="69628686"/>
    <x v="25"/>
    <n v="4200"/>
    <s v="06/01/2023"/>
    <x v="438"/>
    <x v="46"/>
    <n v="5.3220000000000003E-3"/>
    <n v="22.352400000000003"/>
    <s v="KL"/>
    <x v="5"/>
    <x v="55"/>
    <s v="Q2"/>
    <n v="120"/>
    <n v="35"/>
    <s v="KL Mini Cones"/>
    <n v="0.95"/>
    <n v="3990"/>
    <n v="21.234780000000001"/>
    <n v="33.25"/>
  </r>
  <r>
    <n v="69617285"/>
    <x v="25"/>
    <n v="4200"/>
    <s v="06/02/2023"/>
    <x v="438"/>
    <x v="46"/>
    <n v="2.6610000000000002E-3"/>
    <n v="11.176200000000001"/>
    <s v="PS"/>
    <x v="5"/>
    <x v="55"/>
    <s v="Q2"/>
    <n v="180"/>
    <n v="23.333333333333332"/>
    <s v="KL Mini Cones"/>
    <n v="0.95"/>
    <n v="3990"/>
    <n v="10.61739"/>
    <n v="22.166666666666664"/>
  </r>
  <r>
    <n v="69629469"/>
    <x v="25"/>
    <n v="4200"/>
    <s v="06/02/2023"/>
    <x v="439"/>
    <x v="46"/>
    <n v="5.3220000000000003E-3"/>
    <n v="22.352400000000003"/>
    <s v="KL"/>
    <x v="5"/>
    <x v="55"/>
    <s v="Q2"/>
    <n v="120"/>
    <n v="35"/>
    <s v="KL Mini Cones"/>
    <n v="0.95"/>
    <n v="3990"/>
    <n v="21.234780000000001"/>
    <n v="33.25"/>
  </r>
  <r>
    <n v="68842352"/>
    <x v="25"/>
    <n v="4200"/>
    <s v="06/02/2023"/>
    <x v="439"/>
    <x v="46"/>
    <n v="2.6610000000000002E-3"/>
    <n v="11.176200000000001"/>
    <s v="KL"/>
    <x v="5"/>
    <x v="55"/>
    <s v="Q2"/>
    <n v="220"/>
    <n v="19.09090909090909"/>
    <s v="KL Mini Cones"/>
    <n v="0.95"/>
    <n v="3990"/>
    <n v="10.61739"/>
    <n v="18.136363636363633"/>
  </r>
  <r>
    <n v="69704150"/>
    <x v="25"/>
    <n v="4200"/>
    <s v="06/02/2023"/>
    <x v="439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6/02/2023"/>
    <x v="438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6/02/2023"/>
    <x v="439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6/02/2023"/>
    <x v="438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6/02/2023"/>
    <x v="438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6/02/2023"/>
    <x v="438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553325"/>
    <x v="25"/>
    <n v="4200"/>
    <s v="06/02/2023"/>
    <x v="438"/>
    <x v="46"/>
    <n v="1E-3"/>
    <n v="4.2"/>
    <s v="KL"/>
    <x v="5"/>
    <x v="56"/>
    <s v="Q2"/>
    <n v="108"/>
    <n v="38.888888888888886"/>
    <s v="ESS"/>
    <n v="0.95"/>
    <n v="3990"/>
    <n v="3.9899999999999998"/>
    <n v="36.944444444444443"/>
  </r>
  <r>
    <n v="69629477"/>
    <x v="25"/>
    <n v="4200"/>
    <s v="06/02/2023"/>
    <x v="438"/>
    <x v="46"/>
    <n v="5.3280000000000003E-3"/>
    <n v="22.377600000000001"/>
    <s v="KL"/>
    <x v="5"/>
    <x v="55"/>
    <s v="Q2"/>
    <n v="108"/>
    <n v="38.888888888888886"/>
    <s v="KL Mini Cones"/>
    <n v="0.95"/>
    <n v="3990"/>
    <n v="21.25872"/>
    <n v="36.944444444444443"/>
  </r>
  <r>
    <n v="67382713"/>
    <x v="25"/>
    <n v="0"/>
    <s v="06/02/2023"/>
    <x v="438"/>
    <x v="46"/>
    <n v="5.6879999999999995E-3"/>
    <n v="0"/>
    <s v="GH"/>
    <x v="5"/>
    <x v="57"/>
    <s v="Q2"/>
    <n v="207"/>
    <n v="0"/>
    <s v="King Cone (PT)"/>
    <n v="1"/>
    <n v="0"/>
    <n v="0"/>
    <n v="0"/>
  </r>
  <r>
    <n v="67382713"/>
    <x v="25"/>
    <n v="0"/>
    <s v="06/02/2023"/>
    <x v="438"/>
    <x v="46"/>
    <n v="5.6879999999999995E-3"/>
    <n v="0"/>
    <s v="GH"/>
    <x v="5"/>
    <x v="57"/>
    <s v="Q2"/>
    <n v="207"/>
    <n v="0"/>
    <s v="King Cone (PT)"/>
    <n v="1"/>
    <n v="0"/>
    <n v="0"/>
    <n v="0"/>
  </r>
  <r>
    <n v="67382713"/>
    <x v="25"/>
    <n v="0"/>
    <s v="06/02/2023"/>
    <x v="439"/>
    <x v="46"/>
    <n v="5.6879999999999995E-3"/>
    <n v="0"/>
    <s v="GH"/>
    <x v="5"/>
    <x v="57"/>
    <s v="Q2"/>
    <n v="207"/>
    <n v="0"/>
    <s v="King Cone (PT)"/>
    <n v="1"/>
    <n v="0"/>
    <n v="0"/>
    <n v="0"/>
  </r>
  <r>
    <n v="69704150"/>
    <x v="25"/>
    <n v="2100"/>
    <s v="06/02/2023"/>
    <x v="438"/>
    <x v="46"/>
    <n v="2.16E-3"/>
    <n v="4.5360000000000005"/>
    <s v="PS"/>
    <x v="5"/>
    <x v="54"/>
    <s v="Q2"/>
    <n v="275"/>
    <n v="7.6363636363636367"/>
    <s v="Facepieces"/>
    <n v="0.95"/>
    <n v="1995"/>
    <n v="4.3092000000000006"/>
    <n v="7.2545454545454549"/>
  </r>
  <r>
    <n v="69704150"/>
    <x v="25"/>
    <n v="4177"/>
    <s v="06/02/2023"/>
    <x v="439"/>
    <x v="46"/>
    <n v="2.16E-3"/>
    <n v="9.0223200000000006"/>
    <s v="PS"/>
    <x v="5"/>
    <x v="54"/>
    <s v="Q2"/>
    <n v="275"/>
    <n v="15.189090909090909"/>
    <s v="Facepieces"/>
    <n v="0.95"/>
    <n v="3968.1499999999996"/>
    <n v="8.5712039999999998"/>
    <n v="14.429636363636364"/>
  </r>
  <r>
    <n v="69704150"/>
    <x v="25"/>
    <n v="4200"/>
    <s v="06/05/2023"/>
    <x v="439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6/05/2023"/>
    <x v="439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629469"/>
    <x v="25"/>
    <n v="4200"/>
    <s v="06/05/2023"/>
    <x v="439"/>
    <x v="46"/>
    <n v="5.3220000000000003E-3"/>
    <n v="22.352400000000003"/>
    <s v="KL"/>
    <x v="5"/>
    <x v="55"/>
    <s v="Q2"/>
    <n v="120"/>
    <n v="35"/>
    <s v="KL Mini Cones"/>
    <n v="0.95"/>
    <n v="3990"/>
    <n v="21.234780000000001"/>
    <n v="33.25"/>
  </r>
  <r>
    <n v="69628686"/>
    <x v="25"/>
    <n v="4200"/>
    <s v="06/05/2023"/>
    <x v="438"/>
    <x v="46"/>
    <n v="5.3220000000000003E-3"/>
    <n v="22.352400000000003"/>
    <s v="KL"/>
    <x v="5"/>
    <x v="55"/>
    <s v="Q2"/>
    <n v="120"/>
    <n v="35"/>
    <s v="KL Mini Cones"/>
    <n v="0.95"/>
    <n v="3990"/>
    <n v="21.234780000000001"/>
    <n v="33.25"/>
  </r>
  <r>
    <n v="69617285"/>
    <x v="25"/>
    <n v="4200"/>
    <s v="06/05/2023"/>
    <x v="438"/>
    <x v="46"/>
    <n v="2.6610000000000002E-3"/>
    <n v="11.176200000000001"/>
    <s v="PS"/>
    <x v="5"/>
    <x v="55"/>
    <s v="Q2"/>
    <n v="180"/>
    <n v="23.333333333333332"/>
    <s v="KL Mini Cones"/>
    <n v="0.95"/>
    <n v="3990"/>
    <n v="10.61739"/>
    <n v="22.166666666666664"/>
  </r>
  <r>
    <n v="69704150"/>
    <x v="25"/>
    <n v="4200"/>
    <s v="06/05/2023"/>
    <x v="439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6/05/2023"/>
    <x v="438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7382713"/>
    <x v="25"/>
    <n v="0"/>
    <s v="06/05/2023"/>
    <x v="439"/>
    <x v="46"/>
    <n v="5.6879999999999995E-3"/>
    <n v="0"/>
    <s v="GH"/>
    <x v="5"/>
    <x v="57"/>
    <s v="Q2"/>
    <n v="207"/>
    <n v="0"/>
    <s v="King Cone (PT)"/>
    <n v="1"/>
    <n v="0"/>
    <n v="0"/>
    <n v="0"/>
  </r>
  <r>
    <n v="69704150"/>
    <x v="25"/>
    <n v="2100"/>
    <s v="06/05/2023"/>
    <x v="438"/>
    <x v="46"/>
    <n v="2.16E-3"/>
    <n v="4.5360000000000005"/>
    <s v="PS"/>
    <x v="5"/>
    <x v="54"/>
    <s v="Q2"/>
    <n v="275"/>
    <n v="7.6363636363636367"/>
    <s v="Facepieces"/>
    <n v="0.95"/>
    <n v="1995"/>
    <n v="4.3092000000000006"/>
    <n v="7.2545454545454549"/>
  </r>
  <r>
    <n v="69704150"/>
    <x v="25"/>
    <n v="2100"/>
    <s v="06/05/2023"/>
    <x v="439"/>
    <x v="46"/>
    <n v="2.16E-3"/>
    <n v="4.5360000000000005"/>
    <s v="PS"/>
    <x v="5"/>
    <x v="54"/>
    <s v="Q2"/>
    <n v="275"/>
    <n v="7.6363636363636367"/>
    <s v="Facepieces"/>
    <n v="0.95"/>
    <n v="1995"/>
    <n v="4.3092000000000006"/>
    <n v="7.2545454545454549"/>
  </r>
  <r>
    <n v="69704150"/>
    <x v="25"/>
    <n v="2100"/>
    <s v="06/05/2023"/>
    <x v="438"/>
    <x v="46"/>
    <n v="2.16E-3"/>
    <n v="4.5360000000000005"/>
    <s v="PS"/>
    <x v="5"/>
    <x v="54"/>
    <s v="Q2"/>
    <n v="275"/>
    <n v="7.6363636363636367"/>
    <s v="Facepieces"/>
    <n v="0.95"/>
    <n v="1995"/>
    <n v="4.3092000000000006"/>
    <n v="7.2545454545454549"/>
  </r>
  <r>
    <n v="69704150"/>
    <x v="25"/>
    <n v="2100"/>
    <s v="06/06/2023"/>
    <x v="439"/>
    <x v="46"/>
    <n v="2.16E-3"/>
    <n v="4.5360000000000005"/>
    <s v="PS"/>
    <x v="5"/>
    <x v="54"/>
    <s v="Q2"/>
    <n v="275"/>
    <n v="7.6363636363636367"/>
    <s v="Facepieces"/>
    <n v="0.95"/>
    <n v="1995"/>
    <n v="4.3092000000000006"/>
    <n v="7.2545454545454549"/>
  </r>
  <r>
    <n v="69629469"/>
    <x v="25"/>
    <n v="2100"/>
    <s v="06/06/2023"/>
    <x v="438"/>
    <x v="46"/>
    <n v="5.3220000000000003E-3"/>
    <n v="11.176200000000001"/>
    <s v="KL"/>
    <x v="5"/>
    <x v="55"/>
    <s v="Q2"/>
    <n v="120"/>
    <n v="17.5"/>
    <s v="KL Mini Cones"/>
    <n v="0.95"/>
    <n v="1995"/>
    <n v="10.61739"/>
    <n v="16.625"/>
  </r>
  <r>
    <n v="69629477"/>
    <x v="25"/>
    <n v="2100"/>
    <s v="06/06/2023"/>
    <x v="438"/>
    <x v="46"/>
    <n v="5.3280000000000003E-3"/>
    <n v="11.188800000000001"/>
    <s v="KL"/>
    <x v="5"/>
    <x v="55"/>
    <s v="Q2"/>
    <n v="108"/>
    <n v="19.444444444444443"/>
    <s v="KL Mini Cones"/>
    <n v="0.95"/>
    <n v="1995"/>
    <n v="10.62936"/>
    <n v="18.472222222222221"/>
  </r>
  <r>
    <n v="69629477"/>
    <x v="25"/>
    <n v="2100"/>
    <s v="06/06/2023"/>
    <x v="439"/>
    <x v="46"/>
    <n v="5.3280000000000003E-3"/>
    <n v="11.188800000000001"/>
    <s v="KL"/>
    <x v="5"/>
    <x v="55"/>
    <s v="Q2"/>
    <n v="108"/>
    <n v="19.444444444444443"/>
    <s v="KL Mini Cones"/>
    <n v="0.95"/>
    <n v="1995"/>
    <n v="10.62936"/>
    <n v="18.472222222222221"/>
  </r>
  <r>
    <n v="69629477"/>
    <x v="25"/>
    <n v="2100"/>
    <s v="06/06/2023"/>
    <x v="439"/>
    <x v="46"/>
    <n v="5.3280000000000003E-3"/>
    <n v="11.188800000000001"/>
    <s v="KL"/>
    <x v="5"/>
    <x v="55"/>
    <s v="Q2"/>
    <n v="108"/>
    <n v="19.444444444444443"/>
    <s v="KL Mini Cones"/>
    <n v="0.95"/>
    <n v="1995"/>
    <n v="10.62936"/>
    <n v="18.472222222222221"/>
  </r>
  <r>
    <n v="69553325"/>
    <x v="25"/>
    <n v="2100"/>
    <s v="06/06/2023"/>
    <x v="438"/>
    <x v="46"/>
    <n v="1E-3"/>
    <n v="2.1"/>
    <s v="KL"/>
    <x v="5"/>
    <x v="56"/>
    <s v="Q2"/>
    <n v="108"/>
    <n v="19.444444444444443"/>
    <s v="ESS"/>
    <n v="0.95"/>
    <n v="1995"/>
    <n v="1.9949999999999999"/>
    <n v="18.472222222222221"/>
  </r>
  <r>
    <n v="69704150"/>
    <x v="25"/>
    <n v="4119"/>
    <s v="06/06/2023"/>
    <x v="439"/>
    <x v="46"/>
    <n v="2.16E-3"/>
    <n v="8.8970400000000005"/>
    <s v="PS"/>
    <x v="5"/>
    <x v="54"/>
    <s v="Q2"/>
    <n v="275"/>
    <n v="14.978181818181818"/>
    <s v="Facepieces"/>
    <n v="0.95"/>
    <n v="3913.0499999999997"/>
    <n v="8.4521879999999996"/>
    <n v="14.229272727272727"/>
  </r>
  <r>
    <n v="69704150"/>
    <x v="25"/>
    <n v="4028"/>
    <s v="06/06/2023"/>
    <x v="439"/>
    <x v="46"/>
    <n v="2.16E-3"/>
    <n v="8.7004800000000007"/>
    <s v="PS"/>
    <x v="5"/>
    <x v="54"/>
    <s v="Q2"/>
    <n v="275"/>
    <n v="14.647272727272727"/>
    <s v="Facepieces"/>
    <n v="0.95"/>
    <n v="3826.6"/>
    <n v="8.2654560000000004"/>
    <n v="13.91490909090909"/>
  </r>
  <r>
    <n v="69553325"/>
    <x v="25"/>
    <n v="4200"/>
    <s v="06/07/2023"/>
    <x v="438"/>
    <x v="46"/>
    <n v="1E-3"/>
    <n v="4.2"/>
    <s v="KL"/>
    <x v="5"/>
    <x v="56"/>
    <s v="Q2"/>
    <n v="108"/>
    <n v="38.888888888888886"/>
    <s v="ESS"/>
    <n v="0.95"/>
    <n v="3990"/>
    <n v="3.9899999999999998"/>
    <n v="36.944444444444443"/>
  </r>
  <r>
    <n v="69553325"/>
    <x v="25"/>
    <n v="4200"/>
    <s v="06/07/2023"/>
    <x v="438"/>
    <x v="46"/>
    <n v="1E-3"/>
    <n v="4.2"/>
    <s v="KL"/>
    <x v="5"/>
    <x v="56"/>
    <s v="Q2"/>
    <n v="108"/>
    <n v="38.888888888888886"/>
    <s v="ESS"/>
    <n v="0.95"/>
    <n v="3990"/>
    <n v="3.9899999999999998"/>
    <n v="36.944444444444443"/>
  </r>
  <r>
    <n v="69553325"/>
    <x v="25"/>
    <n v="3915"/>
    <s v="06/07/2023"/>
    <x v="439"/>
    <x v="46"/>
    <n v="1E-3"/>
    <n v="3.915"/>
    <s v="KL"/>
    <x v="5"/>
    <x v="56"/>
    <s v="Q2"/>
    <n v="108"/>
    <n v="36.25"/>
    <s v="ESS"/>
    <n v="0.95"/>
    <n v="3719.25"/>
    <n v="3.7192499999999997"/>
    <n v="34.4375"/>
  </r>
  <r>
    <n v="69629477"/>
    <x v="25"/>
    <n v="4200"/>
    <s v="06/07/2023"/>
    <x v="439"/>
    <x v="46"/>
    <n v="5.3280000000000003E-3"/>
    <n v="22.377600000000001"/>
    <s v="KL"/>
    <x v="5"/>
    <x v="55"/>
    <s v="Q2"/>
    <n v="108"/>
    <n v="38.888888888888886"/>
    <s v="KL Mini Cones"/>
    <n v="0.95"/>
    <n v="3990"/>
    <n v="21.25872"/>
    <n v="36.944444444444443"/>
  </r>
  <r>
    <n v="69553325"/>
    <x v="25"/>
    <n v="4200"/>
    <s v="06/07/2023"/>
    <x v="439"/>
    <x v="46"/>
    <n v="1E-3"/>
    <n v="4.2"/>
    <s v="KL"/>
    <x v="5"/>
    <x v="56"/>
    <s v="Q2"/>
    <n v="108"/>
    <n v="38.888888888888886"/>
    <s v="ESS"/>
    <n v="0.95"/>
    <n v="3990"/>
    <n v="3.9899999999999998"/>
    <n v="36.944444444444443"/>
  </r>
  <r>
    <n v="69629477"/>
    <x v="25"/>
    <n v="3993"/>
    <s v="06/07/2023"/>
    <x v="438"/>
    <x v="46"/>
    <n v="5.3280000000000003E-3"/>
    <n v="21.274704"/>
    <s v="KL"/>
    <x v="5"/>
    <x v="55"/>
    <s v="Q2"/>
    <n v="108"/>
    <n v="36.972222222222221"/>
    <s v="KL Mini Cones"/>
    <n v="0.95"/>
    <n v="3793.35"/>
    <n v="20.2109688"/>
    <n v="35.12361111111111"/>
  </r>
  <r>
    <n v="69553325"/>
    <x v="25"/>
    <n v="4200"/>
    <s v="06/07/2023"/>
    <x v="438"/>
    <x v="46"/>
    <n v="1E-3"/>
    <n v="4.2"/>
    <s v="KL"/>
    <x v="5"/>
    <x v="56"/>
    <s v="Q2"/>
    <n v="108"/>
    <n v="38.888888888888886"/>
    <s v="ESS"/>
    <n v="0.95"/>
    <n v="3990"/>
    <n v="3.9899999999999998"/>
    <n v="36.944444444444443"/>
  </r>
  <r>
    <n v="69629477"/>
    <x v="25"/>
    <n v="4153"/>
    <s v="06/08/2023"/>
    <x v="438"/>
    <x v="46"/>
    <n v="5.3280000000000003E-3"/>
    <n v="22.127184"/>
    <s v="KL"/>
    <x v="5"/>
    <x v="55"/>
    <s v="Q2"/>
    <n v="108"/>
    <n v="38.453703703703702"/>
    <s v="KL Mini Cones"/>
    <n v="0.95"/>
    <n v="3945.35"/>
    <n v="21.0208248"/>
    <n v="36.531018518518515"/>
  </r>
  <r>
    <n v="69629477"/>
    <x v="25"/>
    <n v="4098"/>
    <s v="06/08/2023"/>
    <x v="438"/>
    <x v="46"/>
    <n v="5.3280000000000003E-3"/>
    <n v="21.834144000000002"/>
    <s v="KL"/>
    <x v="5"/>
    <x v="55"/>
    <s v="Q2"/>
    <n v="108"/>
    <n v="37.944444444444443"/>
    <s v="KL Mini Cones"/>
    <n v="0.95"/>
    <n v="3893.1"/>
    <n v="20.7424368"/>
    <n v="36.047222222222217"/>
  </r>
  <r>
    <n v="69553325"/>
    <x v="25"/>
    <n v="4032"/>
    <s v="06/08/2023"/>
    <x v="438"/>
    <x v="46"/>
    <n v="1E-3"/>
    <n v="4.032"/>
    <s v="KL"/>
    <x v="5"/>
    <x v="56"/>
    <s v="Q2"/>
    <n v="108"/>
    <n v="37.333333333333336"/>
    <s v="ESS"/>
    <n v="0.95"/>
    <n v="3830.3999999999996"/>
    <n v="3.8304"/>
    <n v="35.466666666666669"/>
  </r>
  <r>
    <n v="69553325"/>
    <x v="25"/>
    <n v="3817"/>
    <s v="06/08/2023"/>
    <x v="438"/>
    <x v="46"/>
    <n v="1E-3"/>
    <n v="3.8170000000000002"/>
    <s v="KL"/>
    <x v="5"/>
    <x v="56"/>
    <s v="Q2"/>
    <n v="108"/>
    <n v="35.342592592592595"/>
    <s v="ESS"/>
    <n v="0.95"/>
    <n v="3626.1499999999996"/>
    <n v="3.62615"/>
    <n v="33.575462962962966"/>
  </r>
  <r>
    <n v="69553325"/>
    <x v="25"/>
    <n v="4200"/>
    <s v="06/08/2023"/>
    <x v="439"/>
    <x v="46"/>
    <n v="1E-3"/>
    <n v="4.2"/>
    <s v="KL"/>
    <x v="5"/>
    <x v="56"/>
    <s v="Q2"/>
    <n v="108"/>
    <n v="38.888888888888886"/>
    <s v="ESS"/>
    <n v="0.95"/>
    <n v="3990"/>
    <n v="3.9899999999999998"/>
    <n v="36.944444444444443"/>
  </r>
  <r>
    <n v="69629477"/>
    <x v="25"/>
    <n v="4200"/>
    <s v="06/10/2023"/>
    <x v="439"/>
    <x v="46"/>
    <n v="5.3280000000000003E-3"/>
    <n v="22.377600000000001"/>
    <s v="KL"/>
    <x v="5"/>
    <x v="55"/>
    <s v="Q2"/>
    <n v="108"/>
    <n v="38.888888888888886"/>
    <s v="KL Mini Cones"/>
    <n v="0.95"/>
    <n v="3990"/>
    <n v="21.25872"/>
    <n v="36.944444444444443"/>
  </r>
  <r>
    <n v="69553325"/>
    <x v="25"/>
    <n v="4200"/>
    <s v="06/10/2023"/>
    <x v="439"/>
    <x v="46"/>
    <n v="1E-3"/>
    <n v="4.2"/>
    <s v="KL"/>
    <x v="5"/>
    <x v="56"/>
    <s v="Q2"/>
    <n v="108"/>
    <n v="38.888888888888886"/>
    <s v="ESS"/>
    <n v="0.95"/>
    <n v="3990"/>
    <n v="3.9899999999999998"/>
    <n v="36.944444444444443"/>
  </r>
  <r>
    <n v="69629477"/>
    <x v="25"/>
    <n v="4200"/>
    <s v="06/12/2023"/>
    <x v="439"/>
    <x v="46"/>
    <n v="5.3280000000000003E-3"/>
    <n v="22.377600000000001"/>
    <s v="KL"/>
    <x v="5"/>
    <x v="55"/>
    <s v="Q2"/>
    <n v="108"/>
    <n v="38.888888888888886"/>
    <s v="KL Mini Cones"/>
    <n v="0.95"/>
    <n v="3990"/>
    <n v="21.25872"/>
    <n v="36.944444444444443"/>
  </r>
  <r>
    <n v="69704150"/>
    <x v="25"/>
    <n v="3965"/>
    <s v="06/12/2023"/>
    <x v="439"/>
    <x v="46"/>
    <n v="2.16E-3"/>
    <n v="8.5644000000000009"/>
    <s v="PS"/>
    <x v="5"/>
    <x v="54"/>
    <s v="Q2"/>
    <n v="275"/>
    <n v="14.418181818181818"/>
    <s v="Facepieces"/>
    <n v="0.95"/>
    <n v="3766.75"/>
    <n v="8.1361800000000013"/>
    <n v="13.697272727272727"/>
  </r>
  <r>
    <n v="69704150"/>
    <x v="25"/>
    <n v="4084"/>
    <s v="06/12/2023"/>
    <x v="438"/>
    <x v="46"/>
    <n v="2.16E-3"/>
    <n v="8.8214400000000008"/>
    <s v="PS"/>
    <x v="5"/>
    <x v="54"/>
    <s v="Q2"/>
    <n v="275"/>
    <n v="14.850909090909092"/>
    <s v="Facepieces"/>
    <n v="0.95"/>
    <n v="3879.7999999999997"/>
    <n v="8.3803680000000007"/>
    <n v="14.108363636363636"/>
  </r>
  <r>
    <n v="69704150"/>
    <x v="25"/>
    <n v="4060"/>
    <s v="06/13/2023"/>
    <x v="439"/>
    <x v="46"/>
    <n v="2.16E-3"/>
    <n v="8.7696000000000005"/>
    <s v="PS"/>
    <x v="5"/>
    <x v="54"/>
    <s v="Q2"/>
    <n v="275"/>
    <n v="14.763636363636364"/>
    <s v="Facepieces"/>
    <n v="0.95"/>
    <n v="3857"/>
    <n v="8.3311200000000003"/>
    <n v="14.025454545454545"/>
  </r>
  <r>
    <n v="69629469"/>
    <x v="25"/>
    <n v="4029"/>
    <s v="06/14/2023"/>
    <x v="439"/>
    <x v="46"/>
    <n v="5.3220000000000003E-3"/>
    <n v="21.442338000000003"/>
    <s v="KL"/>
    <x v="5"/>
    <x v="55"/>
    <s v="Q2"/>
    <n v="120"/>
    <n v="33.575000000000003"/>
    <s v="KL Mini Cones"/>
    <n v="0.95"/>
    <n v="3827.5499999999997"/>
    <n v="20.370221100000002"/>
    <n v="31.896250000000002"/>
  </r>
  <r>
    <n v="69553325"/>
    <x v="25"/>
    <n v="4130"/>
    <s v="06/14/2023"/>
    <x v="439"/>
    <x v="46"/>
    <n v="1E-3"/>
    <n v="4.13"/>
    <s v="KL"/>
    <x v="5"/>
    <x v="56"/>
    <s v="Q2"/>
    <n v="108"/>
    <n v="38.24074074074074"/>
    <s v="ESS"/>
    <n v="0.95"/>
    <n v="3923.5"/>
    <n v="3.9234999999999998"/>
    <n v="36.328703703703702"/>
  </r>
  <r>
    <n v="69629477"/>
    <x v="25"/>
    <n v="4056"/>
    <s v="06/14/2023"/>
    <x v="439"/>
    <x v="46"/>
    <n v="5.3280000000000003E-3"/>
    <n v="21.610368000000001"/>
    <s v="KL"/>
    <x v="5"/>
    <x v="55"/>
    <s v="Q2"/>
    <n v="108"/>
    <n v="37.555555555555557"/>
    <s v="KL Mini Cones"/>
    <n v="0.95"/>
    <n v="3853.2"/>
    <n v="20.529849599999999"/>
    <n v="35.677777777777777"/>
  </r>
  <r>
    <n v="69553325"/>
    <x v="25"/>
    <n v="4166"/>
    <s v="06/14/2023"/>
    <x v="439"/>
    <x v="46"/>
    <n v="1E-3"/>
    <n v="4.1660000000000004"/>
    <s v="KL"/>
    <x v="5"/>
    <x v="56"/>
    <s v="Q2"/>
    <n v="108"/>
    <n v="38.574074074074076"/>
    <s v="ESS"/>
    <n v="0.95"/>
    <n v="3957.7"/>
    <n v="3.9577"/>
    <n v="36.645370370370372"/>
  </r>
  <r>
    <n v="69629477"/>
    <x v="25"/>
    <n v="4100"/>
    <s v="06/14/2023"/>
    <x v="438"/>
    <x v="46"/>
    <n v="5.3280000000000003E-3"/>
    <n v="21.844800000000003"/>
    <s v="KL"/>
    <x v="5"/>
    <x v="55"/>
    <s v="Q2"/>
    <n v="108"/>
    <n v="37.962962962962962"/>
    <s v="KL Mini Cones"/>
    <n v="0.95"/>
    <n v="3895"/>
    <n v="20.752560000000003"/>
    <n v="36.06481481481481"/>
  </r>
  <r>
    <n v="69704150"/>
    <x v="25"/>
    <n v="4018"/>
    <s v="06/14/2023"/>
    <x v="438"/>
    <x v="46"/>
    <n v="2.16E-3"/>
    <n v="8.6788799999999995"/>
    <s v="PS"/>
    <x v="5"/>
    <x v="54"/>
    <s v="Q2"/>
    <n v="275"/>
    <n v="14.610909090909091"/>
    <s v="Facepieces"/>
    <n v="0.95"/>
    <n v="3817.1"/>
    <n v="8.2449359999999992"/>
    <n v="13.880363636363636"/>
  </r>
  <r>
    <n v="69704150"/>
    <x v="25"/>
    <n v="3990"/>
    <s v="06/15/2023"/>
    <x v="438"/>
    <x v="46"/>
    <n v="2.16E-3"/>
    <n v="8.6183999999999994"/>
    <s v="PS"/>
    <x v="5"/>
    <x v="54"/>
    <s v="Q2"/>
    <n v="275"/>
    <n v="14.50909090909091"/>
    <s v="Facepieces"/>
    <n v="0.95"/>
    <n v="3790.5"/>
    <n v="8.187479999999999"/>
    <n v="13.783636363636363"/>
  </r>
  <r>
    <n v="69704150"/>
    <x v="25"/>
    <n v="3943"/>
    <s v="06/15/2023"/>
    <x v="438"/>
    <x v="46"/>
    <n v="2.16E-3"/>
    <n v="8.5168800000000005"/>
    <s v="PS"/>
    <x v="5"/>
    <x v="54"/>
    <s v="Q2"/>
    <n v="275"/>
    <n v="14.338181818181818"/>
    <s v="Facepieces"/>
    <n v="0.95"/>
    <n v="3745.85"/>
    <n v="8.0910360000000008"/>
    <n v="13.621272727272727"/>
  </r>
  <r>
    <n v="69704150"/>
    <x v="25"/>
    <n v="3934"/>
    <s v="06/15/2023"/>
    <x v="438"/>
    <x v="46"/>
    <n v="2.16E-3"/>
    <n v="8.497440000000001"/>
    <s v="PS"/>
    <x v="5"/>
    <x v="54"/>
    <s v="Q2"/>
    <n v="275"/>
    <n v="14.305454545454545"/>
    <s v="Facepieces"/>
    <n v="0.95"/>
    <n v="3737.2999999999997"/>
    <n v="8.0725680000000004"/>
    <n v="13.590181818181817"/>
  </r>
  <r>
    <n v="69629477"/>
    <x v="25"/>
    <n v="3925"/>
    <s v="06/15/2023"/>
    <x v="438"/>
    <x v="46"/>
    <n v="5.3280000000000003E-3"/>
    <n v="20.912400000000002"/>
    <s v="KL"/>
    <x v="5"/>
    <x v="55"/>
    <s v="Q2"/>
    <n v="108"/>
    <n v="36.342592592592595"/>
    <s v="KL Mini Cones"/>
    <n v="0.95"/>
    <n v="3728.75"/>
    <n v="19.866780000000002"/>
    <n v="34.525462962962962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629477"/>
    <x v="8"/>
    <m/>
    <s v="06/01/2023"/>
    <x v="236"/>
    <x v="47"/>
    <n v="5.3280000000000003E-3"/>
    <n v="0"/>
    <s v="KL"/>
    <x v="5"/>
    <x v="58"/>
    <s v="Q2"/>
    <n v="108"/>
    <n v="0"/>
    <s v="KL Mini Cones"/>
    <n v="0.95"/>
    <n v="0"/>
    <n v="0"/>
    <n v="0"/>
  </r>
  <r>
    <n v="69629477"/>
    <x v="8"/>
    <m/>
    <s v="06/06/2023"/>
    <x v="236"/>
    <x v="47"/>
    <n v="5.3280000000000003E-3"/>
    <n v="0"/>
    <s v="KL"/>
    <x v="5"/>
    <x v="58"/>
    <s v="Q2"/>
    <n v="108"/>
    <n v="0"/>
    <s v="KL Mini Cones"/>
    <n v="0.95"/>
    <n v="0"/>
    <n v="0"/>
    <n v="0"/>
  </r>
  <r>
    <n v="69553325"/>
    <x v="8"/>
    <m/>
    <s v="06/07/2023"/>
    <x v="236"/>
    <x v="47"/>
    <n v="1E-3"/>
    <n v="0"/>
    <s v="KL"/>
    <x v="5"/>
    <x v="59"/>
    <s v="Q2"/>
    <n v="108"/>
    <n v="0"/>
    <s v="ESS"/>
    <n v="0.95"/>
    <n v="0"/>
    <n v="0"/>
    <n v="0"/>
  </r>
  <r>
    <n v="69629477"/>
    <x v="8"/>
    <m/>
    <s v="06/10/2023"/>
    <x v="236"/>
    <x v="47"/>
    <n v="5.3280000000000003E-3"/>
    <n v="0"/>
    <s v="KL"/>
    <x v="5"/>
    <x v="58"/>
    <s v="Q2"/>
    <n v="108"/>
    <n v="0"/>
    <s v="KL Mini Cones"/>
    <n v="0.95"/>
    <n v="0"/>
    <n v="0"/>
    <n v="0"/>
  </r>
  <r>
    <n v="69553325"/>
    <x v="8"/>
    <m/>
    <s v="06/10/2023"/>
    <x v="236"/>
    <x v="47"/>
    <n v="1E-3"/>
    <n v="0"/>
    <s v="KL"/>
    <x v="5"/>
    <x v="59"/>
    <s v="Q2"/>
    <n v="108"/>
    <n v="0"/>
    <s v="ESS"/>
    <n v="0.95"/>
    <n v="0"/>
    <n v="0"/>
    <n v="0"/>
  </r>
  <r>
    <n v="69629477"/>
    <x v="8"/>
    <m/>
    <s v="06/12/2023"/>
    <x v="236"/>
    <x v="47"/>
    <n v="5.3280000000000003E-3"/>
    <n v="0"/>
    <s v="KL"/>
    <x v="5"/>
    <x v="58"/>
    <s v="Q2"/>
    <n v="108"/>
    <n v="0"/>
    <s v="KL Mini Con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49"/>
    <x v="4"/>
    <n v="3600"/>
    <s v="06/06/2023"/>
    <x v="82"/>
    <x v="48"/>
    <n v="1.8E-3"/>
    <n v="6.4799999999999995"/>
    <s v="PS"/>
    <x v="5"/>
    <x v="60"/>
    <s v="Q2"/>
    <n v="275"/>
    <n v="13.090909090909092"/>
    <s v="Facepieces"/>
    <n v="0.95"/>
    <n v="3420"/>
    <n v="6.1559999999999997"/>
    <n v="12.436363636363637"/>
  </r>
  <r>
    <n v="69553325"/>
    <x v="4"/>
    <n v="3394"/>
    <s v="06/13/2023"/>
    <x v="82"/>
    <x v="48"/>
    <n v="1E-3"/>
    <n v="3.3940000000000001"/>
    <s v="KL"/>
    <x v="5"/>
    <x v="61"/>
    <s v="Q2"/>
    <n v="108"/>
    <n v="31.425925925925927"/>
    <s v="ESS"/>
    <n v="0.95"/>
    <n v="3224.2999999999997"/>
    <n v="3.2242999999999999"/>
    <n v="29.854629629629631"/>
  </r>
  <r>
    <n v="69629477"/>
    <x v="4"/>
    <n v="2400"/>
    <s v="06/13/2023"/>
    <x v="263"/>
    <x v="48"/>
    <n v="5.3280000000000003E-3"/>
    <n v="12.7872"/>
    <s v="KL"/>
    <x v="5"/>
    <x v="13"/>
    <s v="Q2"/>
    <n v="108"/>
    <n v="22.222222222222221"/>
    <s v="KL Mini Cones"/>
    <n v="0.95"/>
    <n v="2280"/>
    <n v="12.14784"/>
    <n v="21.111111111111111"/>
  </r>
  <r>
    <n v="69704149"/>
    <x v="4"/>
    <n v="2400"/>
    <s v="06/13/2023"/>
    <x v="263"/>
    <x v="48"/>
    <n v="1.8E-3"/>
    <n v="4.32"/>
    <s v="PS"/>
    <x v="5"/>
    <x v="60"/>
    <s v="Q2"/>
    <n v="275"/>
    <n v="8.7272727272727266"/>
    <s v="Facepieces"/>
    <n v="0.95"/>
    <n v="2280"/>
    <n v="4.1040000000000001"/>
    <n v="8.2909090909090892"/>
  </r>
  <r>
    <n v="69704149"/>
    <x v="4"/>
    <n v="3595"/>
    <s v="06/14/2023"/>
    <x v="82"/>
    <x v="48"/>
    <n v="1.8E-3"/>
    <n v="6.4710000000000001"/>
    <s v="PS"/>
    <x v="5"/>
    <x v="60"/>
    <s v="Q2"/>
    <n v="275"/>
    <n v="13.072727272727272"/>
    <s v="Facepieces"/>
    <n v="0.95"/>
    <n v="3415.25"/>
    <n v="6.1474500000000001"/>
    <n v="12.419090909090908"/>
  </r>
  <r>
    <n v="69704149"/>
    <x v="4"/>
    <n v="2400"/>
    <s v="06/14/2023"/>
    <x v="263"/>
    <x v="48"/>
    <n v="1.8E-3"/>
    <n v="4.32"/>
    <s v="PS"/>
    <x v="5"/>
    <x v="60"/>
    <s v="Q2"/>
    <n v="275"/>
    <n v="8.7272727272727266"/>
    <s v="Facepieces"/>
    <n v="0.95"/>
    <n v="2280"/>
    <n v="4.1040000000000001"/>
    <n v="8.2909090909090892"/>
  </r>
  <r>
    <n v="69704150"/>
    <x v="4"/>
    <n v="2327"/>
    <s v="06/14/2023"/>
    <x v="263"/>
    <x v="48"/>
    <n v="2.16E-3"/>
    <n v="5.0263200000000001"/>
    <s v="PS"/>
    <x v="5"/>
    <x v="60"/>
    <s v="Q2"/>
    <n v="275"/>
    <n v="8.461818181818181"/>
    <s v="Facepieces"/>
    <n v="0.95"/>
    <n v="2210.65"/>
    <n v="4.775004"/>
    <n v="8.0387272727272716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8729137"/>
    <x v="4"/>
    <n v="2605"/>
    <s v="06/08/2023"/>
    <x v="256"/>
    <x v="49"/>
    <n v="2.7000000000000001E-3"/>
    <n v="7.0335000000000001"/>
    <s v="MG"/>
    <x v="5"/>
    <x v="62"/>
    <s v="Q2"/>
    <n v="170"/>
    <n v="15.323529411764707"/>
    <s v="MG Sticks ND"/>
    <n v="1"/>
    <n v="2605"/>
    <n v="7.0335000000000001"/>
    <n v="15.323529411764707"/>
  </r>
  <r>
    <n v="69704149"/>
    <x v="4"/>
    <n v="1540"/>
    <s v="06/08/2023"/>
    <x v="440"/>
    <x v="49"/>
    <n v="1.8E-3"/>
    <n v="2.7719999999999998"/>
    <s v="PS"/>
    <x v="5"/>
    <x v="60"/>
    <s v="Q2"/>
    <n v="275"/>
    <n v="5.6"/>
    <s v="Facepieces"/>
    <n v="0.95"/>
    <n v="1463"/>
    <n v="2.6333999999999995"/>
    <n v="5.3199999999999994"/>
  </r>
  <r>
    <n v="69704150"/>
    <x v="4"/>
    <n v="4400"/>
    <s v="06/12/2023"/>
    <x v="440"/>
    <x v="49"/>
    <n v="2.16E-3"/>
    <n v="9.5039999999999996"/>
    <s v="PS"/>
    <x v="5"/>
    <x v="60"/>
    <s v="Q2"/>
    <n v="275"/>
    <n v="16"/>
    <s v="Facepieces"/>
    <n v="0.95"/>
    <n v="4180"/>
    <n v="9.0287999999999986"/>
    <n v="15.2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704150"/>
    <x v="25"/>
    <m/>
    <d v="2023-05-05T00:00:00"/>
    <x v="438"/>
    <x v="46"/>
    <n v="2.16E-3"/>
    <n v="0"/>
    <s v="PS"/>
    <x v="4"/>
    <x v="54"/>
    <s v="Q2"/>
    <n v="275"/>
    <n v="0"/>
    <s v="Facepieces"/>
    <n v="0.95"/>
    <n v="0"/>
    <n v="0"/>
    <n v="0"/>
  </r>
  <r>
    <n v="69617285"/>
    <x v="1"/>
    <n v="2914"/>
    <s v="06/05/2023"/>
    <x v="57"/>
    <x v="50"/>
    <n v="2.6610000000000002E-3"/>
    <n v="7.7541540000000007"/>
    <s v="PS"/>
    <x v="5"/>
    <x v="26"/>
    <s v="Q2"/>
    <n v="180"/>
    <n v="16.18888888888889"/>
    <s v="KL Mini Cones"/>
    <n v="0.95"/>
    <n v="2768.2999999999997"/>
    <n v="7.3664463000000007"/>
    <n v="15.379444444444445"/>
  </r>
  <r>
    <n v="69628686"/>
    <x v="1"/>
    <n v="2988"/>
    <s v="06/05/2023"/>
    <x v="61"/>
    <x v="50"/>
    <n v="5.3220000000000003E-3"/>
    <n v="15.902136"/>
    <s v="KL"/>
    <x v="5"/>
    <x v="26"/>
    <s v="Q2"/>
    <n v="120"/>
    <n v="24.9"/>
    <s v="KL Mini Cones"/>
    <n v="0.95"/>
    <n v="2838.6"/>
    <n v="15.107029199999999"/>
    <n v="23.654999999999998"/>
  </r>
  <r>
    <n v="69628686"/>
    <x v="1"/>
    <n v="3024"/>
    <s v="06/12/2023"/>
    <x v="61"/>
    <x v="50"/>
    <n v="5.3220000000000003E-3"/>
    <n v="16.093728000000002"/>
    <s v="KL"/>
    <x v="5"/>
    <x v="26"/>
    <s v="Q2"/>
    <n v="120"/>
    <n v="25.2"/>
    <s v="KL Mini Cones"/>
    <n v="0.95"/>
    <n v="2872.7999999999997"/>
    <n v="15.289041600000001"/>
    <n v="23.939999999999998"/>
  </r>
  <r>
    <n v="69704150"/>
    <x v="1"/>
    <n v="2950"/>
    <s v="06/12/2023"/>
    <x v="57"/>
    <x v="50"/>
    <n v="2.16E-3"/>
    <n v="6.3719999999999999"/>
    <s v="PS"/>
    <x v="5"/>
    <x v="63"/>
    <s v="Q2"/>
    <n v="275"/>
    <n v="10.727272727272727"/>
    <s v="Facepieces"/>
    <n v="0.95"/>
    <n v="2802.5"/>
    <n v="6.0533999999999999"/>
    <n v="10.19090909090909"/>
  </r>
  <r>
    <n v="69704150"/>
    <x v="1"/>
    <n v="2873"/>
    <s v="06/13/2023"/>
    <x v="61"/>
    <x v="50"/>
    <n v="2.16E-3"/>
    <n v="6.2056800000000001"/>
    <s v="PS"/>
    <x v="5"/>
    <x v="63"/>
    <s v="Q2"/>
    <n v="275"/>
    <n v="10.447272727272727"/>
    <s v="Facepieces"/>
    <n v="0.95"/>
    <n v="2729.35"/>
    <n v="5.8953959999999999"/>
    <n v="9.9249090909090896"/>
  </r>
  <r>
    <n v="69704150"/>
    <x v="1"/>
    <n v="306"/>
    <s v="06/14/2023"/>
    <x v="57"/>
    <x v="50"/>
    <n v="2.16E-3"/>
    <n v="0.66095999999999999"/>
    <s v="PS"/>
    <x v="5"/>
    <x v="63"/>
    <s v="Q2"/>
    <n v="275"/>
    <n v="1.1127272727272728"/>
    <s v="Facepieces"/>
    <n v="0.95"/>
    <n v="290.7"/>
    <n v="0.62791199999999991"/>
    <n v="1.0570909090909091"/>
  </r>
  <r>
    <n v="69704150"/>
    <x v="1"/>
    <n v="2592"/>
    <s v="06/14/2023"/>
    <x v="61"/>
    <x v="50"/>
    <n v="2.16E-3"/>
    <n v="5.5987200000000001"/>
    <s v="PS"/>
    <x v="5"/>
    <x v="63"/>
    <s v="Q2"/>
    <n v="275"/>
    <n v="9.4254545454545458"/>
    <s v="Facepieces"/>
    <n v="0.95"/>
    <n v="2462.4"/>
    <n v="5.318784"/>
    <n v="8.9541818181818176"/>
  </r>
  <r>
    <n v="69556602"/>
    <x v="4"/>
    <n v="1080"/>
    <d v="2023-06-01T00:00:00"/>
    <x v="165"/>
    <x v="0"/>
    <n v="5.3220000000000003E-3"/>
    <n v="5.7477600000000004"/>
    <s v="KL"/>
    <x v="5"/>
    <x v="13"/>
    <s v="Q2"/>
    <n v="120"/>
    <n v="9"/>
    <s v="KL Mini Cones"/>
    <n v="1"/>
    <n v="1080"/>
    <n v="5.7477600000000004"/>
    <n v="9"/>
  </r>
  <r>
    <n v="69556602"/>
    <x v="4"/>
    <n v="3654"/>
    <d v="2023-09-04T00:00:00"/>
    <x v="165"/>
    <x v="1"/>
    <n v="5.3220000000000003E-3"/>
    <n v="19.446588000000002"/>
    <s v="KL"/>
    <x v="9"/>
    <x v="13"/>
    <s v="Q3"/>
    <n v="120"/>
    <n v="30.45"/>
    <s v="KL Mini Cones"/>
    <n v="0.95"/>
    <n v="3471.2999999999997"/>
    <n v="18.474258600000002"/>
    <n v="28.927499999999998"/>
  </r>
  <r>
    <n v="69556602"/>
    <x v="4"/>
    <n v="26040"/>
    <d v="2023-10-16T00:00:00"/>
    <x v="165"/>
    <x v="1"/>
    <n v="5.3220000000000003E-3"/>
    <n v="138.58488"/>
    <s v="KL"/>
    <x v="7"/>
    <x v="13"/>
    <s v="Q4"/>
    <n v="120"/>
    <n v="217"/>
    <s v="KL Mini Cones"/>
    <n v="0.95"/>
    <n v="24738"/>
    <n v="131.65563599999999"/>
    <n v="206.14999999999998"/>
  </r>
  <r>
    <n v="69556602"/>
    <x v="4"/>
    <n v="21256"/>
    <d v="2023-10-23T00:00:00"/>
    <x v="165"/>
    <x v="1"/>
    <n v="5.3220000000000003E-3"/>
    <n v="113.12443200000001"/>
    <s v="KL"/>
    <x v="7"/>
    <x v="13"/>
    <s v="Q4"/>
    <n v="120"/>
    <n v="177.13333333333333"/>
    <s v="KL Mini Cones"/>
    <n v="0.95"/>
    <n v="20193.2"/>
    <n v="107.4682104"/>
    <n v="168.27666666666664"/>
  </r>
  <r>
    <n v="69557443"/>
    <x v="4"/>
    <n v="5520"/>
    <d v="2023-06-05T00:00:00"/>
    <x v="28"/>
    <x v="1"/>
    <n v="5.3220000000000003E-3"/>
    <n v="29.377440000000004"/>
    <s v="KL"/>
    <x v="5"/>
    <x v="13"/>
    <s v="Q2"/>
    <n v="120"/>
    <n v="46"/>
    <s v="KL Mini Cones"/>
    <n v="0.95"/>
    <n v="5244"/>
    <n v="27.908568000000002"/>
    <n v="43.699999999999996"/>
  </r>
  <r>
    <n v="69586720"/>
    <x v="4"/>
    <n v="12980"/>
    <d v="2023-06-12T00:00:00"/>
    <x v="302"/>
    <x v="1"/>
    <n v="2.6610000000000002E-3"/>
    <n v="34.53978"/>
    <s v="KL"/>
    <x v="5"/>
    <x v="13"/>
    <s v="Q2"/>
    <n v="220"/>
    <n v="59"/>
    <s v="KL Mini Cones"/>
    <n v="0.95"/>
    <n v="12331"/>
    <n v="32.812790999999997"/>
    <n v="56.05"/>
  </r>
  <r>
    <n v="69628686"/>
    <x v="4"/>
    <n v="0"/>
    <d v="2023-06-05T00:00:00"/>
    <x v="263"/>
    <x v="1"/>
    <n v="5.3220000000000003E-3"/>
    <n v="0"/>
    <s v="KL"/>
    <x v="5"/>
    <x v="13"/>
    <s v="Q2"/>
    <n v="120"/>
    <n v="0"/>
    <s v="KL Mini Cones"/>
    <n v="0.95"/>
    <n v="0"/>
    <n v="0"/>
    <n v="0"/>
  </r>
  <r>
    <n v="69628686"/>
    <x v="4"/>
    <n v="13727"/>
    <d v="2023-06-12T00:00:00"/>
    <x v="263"/>
    <x v="1"/>
    <n v="5.3220000000000003E-3"/>
    <n v="73.055094000000011"/>
    <s v="KL"/>
    <x v="5"/>
    <x v="13"/>
    <s v="Q2"/>
    <n v="120"/>
    <n v="114.39166666666667"/>
    <s v="KL Mini Cones"/>
    <n v="0.95"/>
    <n v="13040.65"/>
    <n v="69.402339300000008"/>
    <n v="108.67208333333333"/>
  </r>
  <r>
    <n v="69628686"/>
    <x v="4"/>
    <n v="7393"/>
    <d v="2023-06-19T00:00:00"/>
    <x v="263"/>
    <x v="1"/>
    <n v="5.3220000000000003E-3"/>
    <n v="39.345546000000006"/>
    <s v="KL"/>
    <x v="5"/>
    <x v="13"/>
    <s v="Q2"/>
    <n v="120"/>
    <n v="61.608333333333334"/>
    <s v="KL Mini Cones"/>
    <n v="0.95"/>
    <n v="7023.3499999999995"/>
    <n v="37.378268700000007"/>
    <n v="58.527916666666663"/>
  </r>
  <r>
    <n v="69628686"/>
    <x v="4"/>
    <n v="0"/>
    <d v="2023-07-24T00:00:00"/>
    <x v="263"/>
    <x v="1"/>
    <n v="5.3220000000000003E-3"/>
    <n v="0"/>
    <s v="KL"/>
    <x v="6"/>
    <x v="13"/>
    <s v="Q3"/>
    <n v="120"/>
    <n v="0"/>
    <s v="KL Mini Cones"/>
    <n v="0.95"/>
    <n v="0"/>
    <n v="0"/>
    <n v="0"/>
  </r>
  <r>
    <n v="69628686"/>
    <x v="4"/>
    <n v="16320"/>
    <d v="2023-09-01T00:00:00"/>
    <x v="263"/>
    <x v="1"/>
    <n v="5.3220000000000003E-3"/>
    <n v="86.855040000000002"/>
    <s v="KL"/>
    <x v="9"/>
    <x v="13"/>
    <s v="Q3"/>
    <n v="120"/>
    <n v="136"/>
    <s v="KL Mini Cones"/>
    <n v="0.95"/>
    <n v="15504"/>
    <n v="82.512287999999998"/>
    <n v="129.19999999999999"/>
  </r>
  <r>
    <n v="69628686"/>
    <x v="4"/>
    <n v="2160"/>
    <d v="2023-08-07T00:00:00"/>
    <x v="263"/>
    <x v="1"/>
    <n v="5.3220000000000003E-3"/>
    <n v="11.495520000000001"/>
    <s v="KL"/>
    <x v="8"/>
    <x v="13"/>
    <s v="Q3"/>
    <n v="120"/>
    <n v="18"/>
    <s v="KL Mini Cones"/>
    <n v="0.95"/>
    <n v="2052"/>
    <n v="10.920744000000001"/>
    <n v="17.099999999999998"/>
  </r>
  <r>
    <n v="69629469"/>
    <x v="4"/>
    <n v="720"/>
    <d v="2023-06-12T00:00:00"/>
    <x v="83"/>
    <x v="1"/>
    <n v="5.3220000000000003E-3"/>
    <n v="3.8318400000000001"/>
    <s v="KL"/>
    <x v="5"/>
    <x v="13"/>
    <s v="Q2"/>
    <n v="120"/>
    <n v="6"/>
    <s v="KL Mini Cones"/>
    <n v="0.95"/>
    <n v="684"/>
    <n v="3.6402480000000002"/>
    <n v="5.6999999999999993"/>
  </r>
  <r>
    <n v="69629469"/>
    <x v="4"/>
    <n v="47142"/>
    <d v="2023-07-10T00:00:00"/>
    <x v="83"/>
    <x v="1"/>
    <n v="5.3220000000000003E-3"/>
    <n v="250.88972400000003"/>
    <s v="KL"/>
    <x v="6"/>
    <x v="13"/>
    <s v="Q3"/>
    <n v="120"/>
    <n v="392.85"/>
    <s v="KL Mini Cones"/>
    <n v="0.95"/>
    <n v="44784.9"/>
    <n v="238.34523780000001"/>
    <n v="373.20749999999998"/>
  </r>
  <r>
    <n v="69629469"/>
    <x v="4"/>
    <n v="33360"/>
    <d v="2023-08-14T00:00:00"/>
    <x v="83"/>
    <x v="1"/>
    <n v="5.3220000000000003E-3"/>
    <n v="177.54192"/>
    <s v="KL"/>
    <x v="8"/>
    <x v="13"/>
    <s v="Q3"/>
    <n v="120"/>
    <n v="278"/>
    <s v="KL Mini Cones"/>
    <n v="0.95"/>
    <n v="31692"/>
    <n v="168.66482400000001"/>
    <n v="264.09999999999997"/>
  </r>
  <r>
    <n v="69629469"/>
    <x v="4"/>
    <n v="0"/>
    <d v="2023-08-28T00:00:00"/>
    <x v="83"/>
    <x v="1"/>
    <n v="5.3220000000000003E-3"/>
    <n v="0"/>
    <s v="KL"/>
    <x v="8"/>
    <x v="13"/>
    <s v="Q3"/>
    <n v="120"/>
    <n v="0"/>
    <s v="KL Mini Cones"/>
    <n v="0.95"/>
    <n v="0"/>
    <n v="0"/>
    <n v="0"/>
  </r>
  <r>
    <n v="69629469"/>
    <x v="4"/>
    <n v="93360"/>
    <d v="2023-09-18T00:00:00"/>
    <x v="83"/>
    <x v="1"/>
    <n v="5.3220000000000003E-3"/>
    <n v="496.86192000000005"/>
    <s v="KL"/>
    <x v="9"/>
    <x v="13"/>
    <s v="Q3"/>
    <n v="120"/>
    <n v="778"/>
    <s v="KL Mini Cones"/>
    <n v="0.95"/>
    <n v="88692"/>
    <n v="472.01882400000005"/>
    <n v="739.09999999999991"/>
  </r>
  <r>
    <n v="69629469"/>
    <x v="4"/>
    <n v="0"/>
    <d v="2023-09-25T00:00:00"/>
    <x v="83"/>
    <x v="1"/>
    <n v="5.3220000000000003E-3"/>
    <n v="0"/>
    <s v="KL"/>
    <x v="9"/>
    <x v="13"/>
    <s v="Q3"/>
    <n v="120"/>
    <n v="0"/>
    <s v="KL Mini Cones"/>
    <n v="0.95"/>
    <n v="0"/>
    <n v="0"/>
    <n v="0"/>
  </r>
  <r>
    <n v="69629469"/>
    <x v="4"/>
    <n v="59312"/>
    <d v="2023-10-02T00:00:00"/>
    <x v="83"/>
    <x v="1"/>
    <n v="5.3220000000000003E-3"/>
    <n v="315.65846400000004"/>
    <s v="KL"/>
    <x v="7"/>
    <x v="13"/>
    <s v="Q4"/>
    <n v="120"/>
    <n v="494.26666666666665"/>
    <s v="KL Mini Cones"/>
    <n v="0.95"/>
    <n v="56346.399999999994"/>
    <n v="299.87554080000001"/>
    <n v="469.55333333333328"/>
  </r>
  <r>
    <n v="69629469"/>
    <x v="4"/>
    <n v="0"/>
    <d v="2023-10-09T00:00:00"/>
    <x v="83"/>
    <x v="1"/>
    <n v="5.3220000000000003E-3"/>
    <n v="0"/>
    <s v="KL"/>
    <x v="7"/>
    <x v="13"/>
    <s v="Q4"/>
    <n v="120"/>
    <n v="0"/>
    <s v="KL Mini Cones"/>
    <n v="0.95"/>
    <n v="0"/>
    <n v="0"/>
    <n v="0"/>
  </r>
  <r>
    <n v="69629469"/>
    <x v="4"/>
    <n v="0"/>
    <d v="2023-10-23T00:00:00"/>
    <x v="83"/>
    <x v="1"/>
    <n v="5.3220000000000003E-3"/>
    <n v="0"/>
    <s v="KL"/>
    <x v="7"/>
    <x v="13"/>
    <s v="Q4"/>
    <n v="120"/>
    <n v="0"/>
    <s v="KL Mini Cones"/>
    <n v="0.95"/>
    <n v="0"/>
    <n v="0"/>
    <n v="0"/>
  </r>
  <r>
    <n v="69629470"/>
    <x v="4"/>
    <n v="7440"/>
    <d v="2023-08-07T00:00:00"/>
    <x v="98"/>
    <x v="1"/>
    <n v="5.3220000000000003E-3"/>
    <n v="39.595680000000002"/>
    <s v="KL"/>
    <x v="8"/>
    <x v="13"/>
    <s v="Q3"/>
    <n v="120"/>
    <n v="62"/>
    <s v="KL Mini Cones"/>
    <n v="0.95"/>
    <n v="7068"/>
    <n v="37.615895999999999"/>
    <n v="58.9"/>
  </r>
  <r>
    <n v="69629470"/>
    <x v="4"/>
    <n v="2020"/>
    <d v="2023-08-14T00:00:00"/>
    <x v="98"/>
    <x v="1"/>
    <n v="5.3220000000000003E-3"/>
    <n v="10.750440000000001"/>
    <s v="KL"/>
    <x v="8"/>
    <x v="13"/>
    <s v="Q3"/>
    <n v="120"/>
    <n v="16.833333333333332"/>
    <s v="KL Mini Cones"/>
    <n v="0.95"/>
    <n v="1919"/>
    <n v="10.212918"/>
    <n v="15.991666666666665"/>
  </r>
  <r>
    <n v="69629470"/>
    <x v="4"/>
    <n v="600"/>
    <d v="2023-06-01T00:00:00"/>
    <x v="98"/>
    <x v="1"/>
    <n v="5.3220000000000003E-3"/>
    <n v="3.1932"/>
    <s v="KL"/>
    <x v="5"/>
    <x v="13"/>
    <s v="Q2"/>
    <n v="120"/>
    <n v="5"/>
    <s v="KL Mini Cones"/>
    <n v="0.95"/>
    <n v="570"/>
    <n v="3.0335399999999999"/>
    <n v="4.75"/>
  </r>
  <r>
    <n v="69629470"/>
    <x v="4"/>
    <n v="25152"/>
    <d v="2023-10-09T00:00:00"/>
    <x v="98"/>
    <x v="1"/>
    <n v="5.3220000000000003E-3"/>
    <n v="133.85894400000001"/>
    <s v="KL"/>
    <x v="7"/>
    <x v="13"/>
    <s v="Q4"/>
    <n v="120"/>
    <n v="209.6"/>
    <s v="KL Mini Cones"/>
    <n v="0.95"/>
    <n v="23894.399999999998"/>
    <n v="127.1659968"/>
    <n v="199.11999999999998"/>
  </r>
  <r>
    <n v="68933337"/>
    <x v="7"/>
    <n v="480"/>
    <d v="2023-07-01T00:00:00"/>
    <x v="397"/>
    <x v="1"/>
    <n v="3.7200000000000002E-3"/>
    <n v="1.7856000000000001"/>
    <s v="BJ"/>
    <x v="6"/>
    <x v="18"/>
    <s v="Q3"/>
    <n v="240"/>
    <n v="2"/>
    <s v="BJ PTS"/>
    <n v="1"/>
    <n v="480"/>
    <n v="1.7856000000000001"/>
    <n v="2"/>
  </r>
  <r>
    <n v="68860008"/>
    <x v="7"/>
    <n v="1435"/>
    <d v="2023-07-01T00:00:00"/>
    <x v="45"/>
    <x v="1"/>
    <n v="3.7853439999999999E-3"/>
    <n v="5.43196864"/>
    <s v="BJ"/>
    <x v="6"/>
    <x v="18"/>
    <s v="Q3"/>
    <n v="240"/>
    <n v="5.979166666666667"/>
    <s v="BJ PTS"/>
    <n v="0.9"/>
    <n v="1291.5"/>
    <n v="4.8887717760000005"/>
    <n v="5.3812500000000005"/>
  </r>
  <r>
    <n v="68860010"/>
    <x v="7"/>
    <n v="153"/>
    <d v="2023-07-01T00:00:00"/>
    <x v="441"/>
    <x v="1"/>
    <n v="3.7853439999999999E-3"/>
    <n v="0.57915763200000003"/>
    <s v="BJ"/>
    <x v="6"/>
    <x v="18"/>
    <s v="Q3"/>
    <n v="240"/>
    <n v="0.63749999999999996"/>
    <s v="BJ PTS"/>
    <n v="0.9"/>
    <n v="137.70000000000002"/>
    <n v="0.52124186880000001"/>
    <n v="0.57374999999999998"/>
  </r>
  <r>
    <n v="67382713"/>
    <x v="14"/>
    <n v="3640"/>
    <d v="2023-06-01T00:00:00"/>
    <x v="256"/>
    <x v="0"/>
    <n v="5.6879999999999995E-3"/>
    <n v="20.704319999999999"/>
    <s v="GH"/>
    <x v="5"/>
    <x v="43"/>
    <s v="Q2"/>
    <n v="207"/>
    <n v="17.584541062801932"/>
    <s v="King Cone (PT)"/>
    <n v="1"/>
    <n v="3640"/>
    <n v="20.704319999999999"/>
    <n v="17.584541062801932"/>
  </r>
  <r>
    <n v="67382713"/>
    <x v="14"/>
    <n v="29508"/>
    <d v="2023-07-10T00:00:00"/>
    <x v="256"/>
    <x v="1"/>
    <n v="5.6879999999999995E-3"/>
    <n v="167.84150399999999"/>
    <s v="GH"/>
    <x v="6"/>
    <x v="43"/>
    <s v="Q3"/>
    <n v="207"/>
    <n v="142.55072463768116"/>
    <s v="King Cone (PT)"/>
    <n v="1"/>
    <n v="29508"/>
    <n v="167.84150399999999"/>
    <n v="142.55072463768116"/>
  </r>
  <r>
    <n v="68445811"/>
    <x v="14"/>
    <n v="5940"/>
    <d v="2023-06-19T00:00:00"/>
    <x v="440"/>
    <x v="1"/>
    <n v="3.8999999999999998E-3"/>
    <n v="23.166"/>
    <s v="GH"/>
    <x v="5"/>
    <x v="64"/>
    <s v="Q2"/>
    <n v="220"/>
    <n v="27"/>
    <s v="Viennetta"/>
    <n v="1"/>
    <n v="5940"/>
    <n v="23.166"/>
    <n v="27"/>
  </r>
  <r>
    <n v="68445811"/>
    <x v="14"/>
    <n v="1318"/>
    <d v="2023-07-10T00:00:00"/>
    <x v="440"/>
    <x v="1"/>
    <n v="3.8999999999999998E-3"/>
    <n v="5.1402000000000001"/>
    <s v="GH"/>
    <x v="6"/>
    <x v="64"/>
    <s v="Q3"/>
    <n v="220"/>
    <n v="5.9909090909090912"/>
    <s v="Viennetta"/>
    <n v="1"/>
    <n v="1318"/>
    <n v="5.1402000000000001"/>
    <n v="5.9909090909090912"/>
  </r>
  <r>
    <n v="69552657"/>
    <x v="1"/>
    <n v="13840"/>
    <d v="2023-06-19T00:00:00"/>
    <x v="442"/>
    <x v="1"/>
    <n v="5.3220000000000003E-3"/>
    <n v="73.656480000000002"/>
    <s v="KL"/>
    <x v="5"/>
    <x v="26"/>
    <s v="Q2"/>
    <n v="108"/>
    <n v="128.14814814814815"/>
    <s v="KL Mini Cones"/>
    <n v="0.95"/>
    <n v="13148"/>
    <n v="69.973656000000005"/>
    <n v="121.74074074074073"/>
  </r>
  <r>
    <n v="69552657"/>
    <x v="1"/>
    <n v="5345"/>
    <d v="2023-06-26T00:00:00"/>
    <x v="442"/>
    <x v="1"/>
    <n v="5.3220000000000003E-3"/>
    <n v="28.446090000000002"/>
    <s v="KL"/>
    <x v="5"/>
    <x v="26"/>
    <s v="Q2"/>
    <n v="108"/>
    <n v="49.49074074074074"/>
    <s v="KL Mini Cones"/>
    <n v="0.95"/>
    <n v="5077.75"/>
    <n v="27.023785499999999"/>
    <n v="47.016203703703702"/>
  </r>
  <r>
    <n v="69552657"/>
    <x v="1"/>
    <n v="7695"/>
    <d v="2023-07-24T00:00:00"/>
    <x v="442"/>
    <x v="1"/>
    <n v="5.3220000000000003E-3"/>
    <n v="40.95279"/>
    <s v="KL"/>
    <x v="6"/>
    <x v="26"/>
    <s v="Q3"/>
    <n v="108"/>
    <n v="71.25"/>
    <s v="KL Mini Cones"/>
    <n v="0.95"/>
    <n v="7310.25"/>
    <n v="38.905150499999998"/>
    <n v="67.6875"/>
  </r>
  <r>
    <n v="69552657"/>
    <x v="1"/>
    <n v="11543"/>
    <d v="2023-07-31T00:00:00"/>
    <x v="442"/>
    <x v="1"/>
    <n v="5.3220000000000003E-3"/>
    <n v="61.431846000000007"/>
    <s v="KL"/>
    <x v="6"/>
    <x v="26"/>
    <s v="Q3"/>
    <n v="108"/>
    <n v="106.87962962962963"/>
    <s v="KL Mini Cones"/>
    <n v="0.95"/>
    <n v="10965.85"/>
    <n v="58.360253700000001"/>
    <n v="101.53564814814814"/>
  </r>
  <r>
    <n v="69552657"/>
    <x v="1"/>
    <n v="5400"/>
    <d v="2023-08-07T00:00:00"/>
    <x v="442"/>
    <x v="1"/>
    <n v="5.3220000000000003E-3"/>
    <n v="28.738800000000001"/>
    <s v="KL"/>
    <x v="8"/>
    <x v="26"/>
    <s v="Q3"/>
    <n v="108"/>
    <n v="50"/>
    <s v="KL Mini Cones"/>
    <n v="0.95"/>
    <n v="5130"/>
    <n v="27.301860000000001"/>
    <n v="47.5"/>
  </r>
  <r>
    <n v="69552657"/>
    <x v="1"/>
    <n v="5400"/>
    <d v="2023-08-14T00:00:00"/>
    <x v="442"/>
    <x v="1"/>
    <n v="5.3220000000000003E-3"/>
    <n v="28.738800000000001"/>
    <s v="KL"/>
    <x v="8"/>
    <x v="26"/>
    <s v="Q3"/>
    <n v="108"/>
    <n v="50"/>
    <s v="KL Mini Cones"/>
    <n v="0.95"/>
    <n v="5130"/>
    <n v="27.301860000000001"/>
    <n v="47.5"/>
  </r>
  <r>
    <n v="69552657"/>
    <x v="1"/>
    <n v="15390"/>
    <d v="2023-08-21T00:00:00"/>
    <x v="442"/>
    <x v="1"/>
    <n v="5.3220000000000003E-3"/>
    <n v="81.90558"/>
    <s v="KL"/>
    <x v="8"/>
    <x v="26"/>
    <s v="Q3"/>
    <n v="108"/>
    <n v="142.5"/>
    <s v="KL Mini Cones"/>
    <n v="0.95"/>
    <n v="14620.5"/>
    <n v="77.810300999999995"/>
    <n v="135.375"/>
  </r>
  <r>
    <n v="69552657"/>
    <x v="1"/>
    <n v="15390"/>
    <d v="2023-08-28T00:00:00"/>
    <x v="442"/>
    <x v="1"/>
    <n v="5.3220000000000003E-3"/>
    <n v="81.90558"/>
    <s v="KL"/>
    <x v="8"/>
    <x v="26"/>
    <s v="Q3"/>
    <n v="108"/>
    <n v="142.5"/>
    <s v="KL Mini Cones"/>
    <n v="0.95"/>
    <n v="14620.5"/>
    <n v="77.810300999999995"/>
    <n v="135.375"/>
  </r>
  <r>
    <n v="69552657"/>
    <x v="1"/>
    <n v="7695"/>
    <d v="2023-09-04T00:00:00"/>
    <x v="442"/>
    <x v="1"/>
    <n v="5.3220000000000003E-3"/>
    <n v="40.95279"/>
    <s v="KL"/>
    <x v="9"/>
    <x v="26"/>
    <s v="Q3"/>
    <n v="108"/>
    <n v="71.25"/>
    <s v="KL Mini Cones"/>
    <n v="0.95"/>
    <n v="7310.25"/>
    <n v="38.905150499999998"/>
    <n v="67.6875"/>
  </r>
  <r>
    <n v="69552657"/>
    <x v="1"/>
    <n v="11543"/>
    <d v="2023-09-18T00:00:00"/>
    <x v="442"/>
    <x v="1"/>
    <n v="5.3220000000000003E-3"/>
    <n v="61.431846000000007"/>
    <s v="KL"/>
    <x v="9"/>
    <x v="26"/>
    <s v="Q3"/>
    <n v="108"/>
    <n v="106.87962962962963"/>
    <s v="KL Mini Cones"/>
    <n v="0.95"/>
    <n v="10965.85"/>
    <n v="58.360253700000001"/>
    <n v="101.53564814814814"/>
  </r>
  <r>
    <n v="69552657"/>
    <x v="1"/>
    <n v="11543"/>
    <d v="2023-10-02T00:00:00"/>
    <x v="442"/>
    <x v="1"/>
    <n v="5.3220000000000003E-3"/>
    <n v="61.431846000000007"/>
    <s v="KL"/>
    <x v="7"/>
    <x v="26"/>
    <s v="Q4"/>
    <n v="108"/>
    <n v="106.87962962962963"/>
    <s v="KL Mini Cones"/>
    <n v="0.95"/>
    <n v="10965.85"/>
    <n v="58.360253700000001"/>
    <n v="101.53564814814814"/>
  </r>
  <r>
    <n v="69552657"/>
    <x v="1"/>
    <n v="9000"/>
    <d v="2023-10-09T00:00:00"/>
    <x v="442"/>
    <x v="1"/>
    <n v="5.3220000000000003E-3"/>
    <n v="47.898000000000003"/>
    <s v="KL"/>
    <x v="7"/>
    <x v="26"/>
    <s v="Q4"/>
    <n v="108"/>
    <n v="83.333333333333329"/>
    <s v="KL Mini Cones"/>
    <n v="0.95"/>
    <n v="8550"/>
    <n v="45.503100000000003"/>
    <n v="79.166666666666657"/>
  </r>
  <r>
    <n v="69552657"/>
    <x v="1"/>
    <n v="7200"/>
    <d v="2023-10-30T00:00:00"/>
    <x v="442"/>
    <x v="1"/>
    <n v="5.3220000000000003E-3"/>
    <n v="38.318400000000004"/>
    <s v="KL"/>
    <x v="7"/>
    <x v="26"/>
    <s v="Q4"/>
    <n v="108"/>
    <n v="66.666666666666671"/>
    <s v="KL Mini Cones"/>
    <n v="0.95"/>
    <n v="6840"/>
    <n v="36.402480000000004"/>
    <n v="63.333333333333336"/>
  </r>
  <r>
    <n v="69552657"/>
    <x v="1"/>
    <n v="1800"/>
    <d v="2023-11-06T00:00:00"/>
    <x v="442"/>
    <x v="1"/>
    <n v="5.3220000000000003E-3"/>
    <n v="9.579600000000001"/>
    <s v="KL"/>
    <x v="10"/>
    <x v="26"/>
    <s v="Q4"/>
    <n v="108"/>
    <n v="16.666666666666668"/>
    <s v="KL Mini Cones"/>
    <n v="0.95"/>
    <n v="1710"/>
    <n v="9.100620000000001"/>
    <n v="15.833333333333334"/>
  </r>
  <r>
    <n v="69552657"/>
    <x v="1"/>
    <n v="5400"/>
    <d v="2023-11-13T00:00:00"/>
    <x v="442"/>
    <x v="1"/>
    <n v="5.3220000000000003E-3"/>
    <n v="28.738800000000001"/>
    <s v="KL"/>
    <x v="10"/>
    <x v="26"/>
    <s v="Q4"/>
    <n v="108"/>
    <n v="50"/>
    <s v="KL Mini Cones"/>
    <n v="0.95"/>
    <n v="5130"/>
    <n v="27.301860000000001"/>
    <n v="47.5"/>
  </r>
  <r>
    <n v="68871168"/>
    <x v="1"/>
    <n v="3550"/>
    <d v="2023-06-19T00:00:00"/>
    <x v="125"/>
    <x v="1"/>
    <n v="6.0035555555555554E-3"/>
    <n v="21.31262222222222"/>
    <s v="KL"/>
    <x v="5"/>
    <x v="1"/>
    <s v="Q2"/>
    <n v="108"/>
    <n v="32.870370370370374"/>
    <s v="KL Sandwiches"/>
    <n v="0.99"/>
    <n v="3514.5"/>
    <n v="21.099495999999998"/>
    <n v="32.541666666666671"/>
  </r>
  <r>
    <n v="68871168"/>
    <x v="1"/>
    <n v="1344"/>
    <d v="2023-06-26T00:00:00"/>
    <x v="125"/>
    <x v="1"/>
    <n v="6.0035555555555554E-3"/>
    <n v="8.0687786666666668"/>
    <s v="KL"/>
    <x v="5"/>
    <x v="1"/>
    <s v="Q2"/>
    <n v="108"/>
    <n v="12.444444444444445"/>
    <s v="KL Sandwiches"/>
    <n v="0.99"/>
    <n v="1330.56"/>
    <n v="7.9880908799999997"/>
    <n v="12.32"/>
  </r>
  <r>
    <n v="68871168"/>
    <x v="1"/>
    <n v="5000"/>
    <d v="2023-07-10T00:00:00"/>
    <x v="125"/>
    <x v="1"/>
    <n v="6.0035555555555554E-3"/>
    <n v="30.017777777777777"/>
    <s v="KL"/>
    <x v="6"/>
    <x v="1"/>
    <s v="Q3"/>
    <n v="108"/>
    <n v="46.296296296296298"/>
    <s v="KL Sandwiches"/>
    <n v="0.99"/>
    <n v="4950"/>
    <n v="29.717599999999997"/>
    <n v="45.833333333333336"/>
  </r>
  <r>
    <n v="68871168"/>
    <x v="1"/>
    <n v="5000"/>
    <d v="2023-07-17T00:00:00"/>
    <x v="125"/>
    <x v="1"/>
    <n v="6.0035555555555554E-3"/>
    <n v="30.017777777777777"/>
    <s v="KL"/>
    <x v="6"/>
    <x v="1"/>
    <s v="Q3"/>
    <n v="108"/>
    <n v="46.296296296296298"/>
    <s v="KL Sandwiches"/>
    <n v="0.99"/>
    <n v="4950"/>
    <n v="29.717599999999997"/>
    <n v="45.833333333333336"/>
  </r>
  <r>
    <n v="68871168"/>
    <x v="1"/>
    <n v="6231"/>
    <d v="2023-07-24T00:00:00"/>
    <x v="125"/>
    <x v="1"/>
    <n v="6.0035555555555554E-3"/>
    <n v="37.408154666666668"/>
    <s v="KL"/>
    <x v="6"/>
    <x v="1"/>
    <s v="Q3"/>
    <n v="108"/>
    <n v="57.694444444444443"/>
    <s v="KL Sandwiches"/>
    <n v="0.99"/>
    <n v="6168.69"/>
    <n v="37.034073120000002"/>
    <n v="57.1175"/>
  </r>
  <r>
    <n v="68871168"/>
    <x v="1"/>
    <n v="2951"/>
    <d v="2023-07-31T00:00:00"/>
    <x v="125"/>
    <x v="1"/>
    <n v="6.0035555555555554E-3"/>
    <n v="17.716492444444444"/>
    <s v="KL"/>
    <x v="6"/>
    <x v="1"/>
    <s v="Q3"/>
    <n v="108"/>
    <n v="27.324074074074073"/>
    <s v="KL Sandwiches"/>
    <n v="0.99"/>
    <n v="2921.49"/>
    <n v="17.539327520000001"/>
    <n v="27.050833333333333"/>
  </r>
  <r>
    <n v="68871168"/>
    <x v="1"/>
    <n v="4427"/>
    <d v="2023-08-07T00:00:00"/>
    <x v="125"/>
    <x v="1"/>
    <n v="6.0035555555555554E-3"/>
    <n v="26.577740444444444"/>
    <s v="KL"/>
    <x v="8"/>
    <x v="1"/>
    <s v="Q3"/>
    <n v="108"/>
    <n v="40.99074074074074"/>
    <s v="KL Sandwiches"/>
    <n v="0.99"/>
    <n v="4382.7299999999996"/>
    <n v="26.311963039999998"/>
    <n v="40.580833333333331"/>
  </r>
  <r>
    <n v="68871168"/>
    <x v="1"/>
    <n v="5902"/>
    <d v="2023-08-14T00:00:00"/>
    <x v="125"/>
    <x v="1"/>
    <n v="6.0035555555555554E-3"/>
    <n v="35.432984888888889"/>
    <s v="KL"/>
    <x v="8"/>
    <x v="1"/>
    <s v="Q3"/>
    <n v="108"/>
    <n v="54.648148148148145"/>
    <s v="KL Sandwiches"/>
    <n v="0.99"/>
    <n v="5842.98"/>
    <n v="35.078655040000001"/>
    <n v="54.101666666666667"/>
  </r>
  <r>
    <n v="68871168"/>
    <x v="1"/>
    <n v="4427"/>
    <d v="2023-08-21T00:00:00"/>
    <x v="125"/>
    <x v="1"/>
    <n v="6.0035555555555554E-3"/>
    <n v="26.577740444444444"/>
    <s v="KL"/>
    <x v="8"/>
    <x v="1"/>
    <s v="Q3"/>
    <n v="108"/>
    <n v="40.99074074074074"/>
    <s v="KL Sandwiches"/>
    <n v="0.99"/>
    <n v="4382.7299999999996"/>
    <n v="26.311963039999998"/>
    <n v="40.580833333333331"/>
  </r>
  <r>
    <n v="68871168"/>
    <x v="1"/>
    <n v="4427"/>
    <d v="2023-08-28T00:00:00"/>
    <x v="125"/>
    <x v="1"/>
    <n v="6.0035555555555554E-3"/>
    <n v="26.577740444444444"/>
    <s v="KL"/>
    <x v="8"/>
    <x v="1"/>
    <s v="Q3"/>
    <n v="108"/>
    <n v="40.99074074074074"/>
    <s v="KL Sandwiches"/>
    <n v="0.99"/>
    <n v="4382.7299999999996"/>
    <n v="26.311963039999998"/>
    <n v="40.580833333333331"/>
  </r>
  <r>
    <n v="68871168"/>
    <x v="1"/>
    <n v="11804"/>
    <d v="2023-09-11T00:00:00"/>
    <x v="125"/>
    <x v="1"/>
    <n v="6.0035555555555554E-3"/>
    <n v="70.865969777777778"/>
    <s v="KL"/>
    <x v="9"/>
    <x v="1"/>
    <s v="Q3"/>
    <n v="108"/>
    <n v="109.29629629629629"/>
    <s v="KL Sandwiches"/>
    <n v="0.99"/>
    <n v="11685.96"/>
    <n v="70.157310080000002"/>
    <n v="108.20333333333333"/>
  </r>
  <r>
    <n v="68871168"/>
    <x v="1"/>
    <n v="4427"/>
    <d v="2023-09-18T00:00:00"/>
    <x v="125"/>
    <x v="1"/>
    <n v="6.0035555555555554E-3"/>
    <n v="26.577740444444444"/>
    <s v="KL"/>
    <x v="9"/>
    <x v="1"/>
    <s v="Q3"/>
    <n v="108"/>
    <n v="40.99074074074074"/>
    <s v="KL Sandwiches"/>
    <n v="0.99"/>
    <n v="4382.7299999999996"/>
    <n v="26.311963039999998"/>
    <n v="40.580833333333331"/>
  </r>
  <r>
    <n v="68871168"/>
    <x v="1"/>
    <n v="4427"/>
    <d v="2023-09-25T00:00:00"/>
    <x v="125"/>
    <x v="1"/>
    <n v="6.0035555555555554E-3"/>
    <n v="26.577740444444444"/>
    <s v="KL"/>
    <x v="9"/>
    <x v="1"/>
    <s v="Q3"/>
    <n v="108"/>
    <n v="40.99074074074074"/>
    <s v="KL Sandwiches"/>
    <n v="0.99"/>
    <n v="4382.7299999999996"/>
    <n v="26.311963039999998"/>
    <n v="40.580833333333331"/>
  </r>
  <r>
    <n v="68871168"/>
    <x v="1"/>
    <n v="4427"/>
    <d v="2023-10-02T00:00:00"/>
    <x v="125"/>
    <x v="1"/>
    <n v="6.0035555555555554E-3"/>
    <n v="26.577740444444444"/>
    <s v="KL"/>
    <x v="7"/>
    <x v="1"/>
    <s v="Q4"/>
    <n v="108"/>
    <n v="40.99074074074074"/>
    <s v="KL Sandwiches"/>
    <n v="0.99"/>
    <n v="4382.7299999999996"/>
    <n v="26.311963039999998"/>
    <n v="40.580833333333331"/>
  </r>
  <r>
    <n v="68871168"/>
    <x v="1"/>
    <n v="2951"/>
    <d v="2023-10-09T00:00:00"/>
    <x v="125"/>
    <x v="1"/>
    <n v="6.0035555555555554E-3"/>
    <n v="17.716492444444444"/>
    <s v="KL"/>
    <x v="7"/>
    <x v="1"/>
    <s v="Q4"/>
    <n v="108"/>
    <n v="27.324074074074073"/>
    <s v="KL Sandwiches"/>
    <n v="0.99"/>
    <n v="2921.49"/>
    <n v="17.539327520000001"/>
    <n v="27.050833333333333"/>
  </r>
  <r>
    <n v="68871168"/>
    <x v="1"/>
    <n v="5902"/>
    <d v="2023-10-16T00:00:00"/>
    <x v="125"/>
    <x v="1"/>
    <n v="6.0035555555555554E-3"/>
    <n v="35.432984888888889"/>
    <s v="KL"/>
    <x v="7"/>
    <x v="1"/>
    <s v="Q4"/>
    <n v="108"/>
    <n v="54.648148148148145"/>
    <s v="KL Sandwiches"/>
    <n v="0.99"/>
    <n v="5842.98"/>
    <n v="35.078655040000001"/>
    <n v="54.101666666666667"/>
  </r>
  <r>
    <n v="68871168"/>
    <x v="1"/>
    <n v="2214"/>
    <d v="2023-10-23T00:00:00"/>
    <x v="125"/>
    <x v="1"/>
    <n v="6.0035555555555554E-3"/>
    <n v="13.291872"/>
    <s v="KL"/>
    <x v="7"/>
    <x v="1"/>
    <s v="Q4"/>
    <n v="108"/>
    <n v="20.5"/>
    <s v="KL Sandwiches"/>
    <n v="0.99"/>
    <n v="2191.86"/>
    <n v="13.15895328"/>
    <n v="20.294999999999998"/>
  </r>
  <r>
    <n v="68829292"/>
    <x v="1"/>
    <n v="493"/>
    <d v="2023-06-01T00:00:00"/>
    <x v="308"/>
    <x v="0"/>
    <n v="1.08E-3"/>
    <n v="0.53244000000000002"/>
    <s v="MG"/>
    <x v="5"/>
    <x v="22"/>
    <s v="Q2"/>
    <n v="493"/>
    <n v="1"/>
    <s v="MG Sticks"/>
    <n v="1"/>
    <n v="493"/>
    <n v="0.53244000000000002"/>
    <n v="1"/>
  </r>
  <r>
    <n v="68776425"/>
    <x v="1"/>
    <n v="15920"/>
    <d v="2023-07-10T00:00:00"/>
    <x v="443"/>
    <x v="1"/>
    <n v="1.1999999999999999E-3"/>
    <n v="19.103999999999999"/>
    <s v="MG"/>
    <x v="6"/>
    <x v="22"/>
    <s v="Q3"/>
    <n v="493"/>
    <n v="32.292089249492903"/>
    <s v="MG Sticks"/>
    <n v="0.93"/>
    <n v="14805.6"/>
    <n v="17.766719999999999"/>
    <n v="30.031643002028403"/>
  </r>
  <r>
    <n v="68776425"/>
    <x v="1"/>
    <n v="15920"/>
    <d v="2023-07-24T00:00:00"/>
    <x v="443"/>
    <x v="1"/>
    <n v="1.1999999999999999E-3"/>
    <n v="19.103999999999999"/>
    <s v="MG"/>
    <x v="6"/>
    <x v="22"/>
    <s v="Q3"/>
    <n v="493"/>
    <n v="32.292089249492903"/>
    <s v="MG Sticks"/>
    <n v="0.93"/>
    <n v="14805.6"/>
    <n v="17.766719999999999"/>
    <n v="30.031643002028403"/>
  </r>
  <r>
    <n v="68776425"/>
    <x v="1"/>
    <n v="15920"/>
    <d v="2023-10-16T00:00:00"/>
    <x v="443"/>
    <x v="1"/>
    <n v="1.1999999999999999E-3"/>
    <n v="19.103999999999999"/>
    <s v="MG"/>
    <x v="7"/>
    <x v="22"/>
    <s v="Q4"/>
    <n v="493"/>
    <n v="32.292089249492903"/>
    <s v="MG Sticks"/>
    <n v="0.93"/>
    <n v="14805.6"/>
    <n v="17.766719999999999"/>
    <n v="30.031643002028403"/>
  </r>
  <r>
    <n v="68776425"/>
    <x v="1"/>
    <n v="15920"/>
    <d v="2023-10-23T00:00:00"/>
    <x v="443"/>
    <x v="1"/>
    <n v="1.1999999999999999E-3"/>
    <n v="19.103999999999999"/>
    <s v="MG"/>
    <x v="7"/>
    <x v="22"/>
    <s v="Q4"/>
    <n v="493"/>
    <n v="32.292089249492903"/>
    <s v="MG Sticks"/>
    <n v="0.93"/>
    <n v="14805.6"/>
    <n v="17.766719999999999"/>
    <n v="30.031643002028403"/>
  </r>
  <r>
    <n v="68776425"/>
    <x v="1"/>
    <n v="7960"/>
    <d v="2023-11-01T00:00:00"/>
    <x v="443"/>
    <x v="1"/>
    <n v="1.1999999999999999E-3"/>
    <n v="9.5519999999999996"/>
    <s v="MG"/>
    <x v="10"/>
    <x v="22"/>
    <s v="Q4"/>
    <n v="493"/>
    <n v="16.146044624746452"/>
    <s v="MG Sticks"/>
    <n v="0.93"/>
    <n v="7402.8"/>
    <n v="8.8833599999999997"/>
    <n v="15.015821501014202"/>
  </r>
  <r>
    <n v="68893271"/>
    <x v="1"/>
    <n v="6147"/>
    <d v="2023-06-19T00:00:00"/>
    <x v="387"/>
    <x v="1"/>
    <n v="2.4150494713151304E-3"/>
    <n v="14.845309100174108"/>
    <s v="MG"/>
    <x v="5"/>
    <x v="22"/>
    <s v="Q2"/>
    <n v="210"/>
    <n v="29.271428571428572"/>
    <s v="MG Sticks"/>
    <n v="0.93"/>
    <n v="5716.71"/>
    <n v="13.806137463161921"/>
    <n v="27.222428571428573"/>
  </r>
  <r>
    <n v="68893271"/>
    <x v="1"/>
    <n v="7754"/>
    <d v="2023-07-03T00:00:00"/>
    <x v="387"/>
    <x v="1"/>
    <n v="2.4150494713151304E-3"/>
    <n v="18.72629360057752"/>
    <s v="MG"/>
    <x v="6"/>
    <x v="22"/>
    <s v="Q3"/>
    <n v="210"/>
    <n v="36.923809523809524"/>
    <s v="MG Sticks"/>
    <n v="0.93"/>
    <n v="7211.22"/>
    <n v="17.415453048537096"/>
    <n v="34.339142857142861"/>
  </r>
  <r>
    <n v="68893271"/>
    <x v="1"/>
    <n v="7754"/>
    <d v="2023-07-17T00:00:00"/>
    <x v="387"/>
    <x v="1"/>
    <n v="2.4150494713151304E-3"/>
    <n v="18.72629360057752"/>
    <s v="MG"/>
    <x v="6"/>
    <x v="22"/>
    <s v="Q3"/>
    <n v="210"/>
    <n v="36.923809523809524"/>
    <s v="MG Sticks"/>
    <n v="0.93"/>
    <n v="7211.22"/>
    <n v="17.415453048537096"/>
    <n v="34.339142857142861"/>
  </r>
  <r>
    <n v="68893271"/>
    <x v="1"/>
    <n v="15509"/>
    <d v="2023-07-31T00:00:00"/>
    <x v="387"/>
    <x v="1"/>
    <n v="2.4150494713151304E-3"/>
    <n v="37.455002250626357"/>
    <s v="MG"/>
    <x v="6"/>
    <x v="22"/>
    <s v="Q3"/>
    <n v="210"/>
    <n v="73.852380952380955"/>
    <s v="MG Sticks"/>
    <n v="0.93"/>
    <n v="14423.37"/>
    <n v="34.833152093082511"/>
    <n v="68.682714285714297"/>
  </r>
  <r>
    <n v="68659823"/>
    <x v="1"/>
    <n v="1760"/>
    <d v="2023-06-19T00:00:00"/>
    <x v="444"/>
    <x v="1"/>
    <n v="2.16E-3"/>
    <n v="3.8016000000000001"/>
    <s v="MG"/>
    <x v="5"/>
    <x v="22"/>
    <s v="Q2"/>
    <n v="160"/>
    <n v="11"/>
    <s v="MG Sticks"/>
    <n v="0.93"/>
    <n v="1636.8000000000002"/>
    <n v="3.5354880000000004"/>
    <n v="10.23"/>
  </r>
  <r>
    <n v="68659823"/>
    <x v="1"/>
    <n v="9238"/>
    <d v="2023-09-04T00:00:00"/>
    <x v="444"/>
    <x v="1"/>
    <n v="2.16E-3"/>
    <n v="19.954080000000001"/>
    <s v="MG"/>
    <x v="9"/>
    <x v="22"/>
    <s v="Q3"/>
    <n v="160"/>
    <n v="57.737499999999997"/>
    <s v="MG Sticks"/>
    <n v="0.93"/>
    <n v="8591.34"/>
    <n v="18.557294400000004"/>
    <n v="53.695875000000001"/>
  </r>
  <r>
    <n v="68659823"/>
    <x v="1"/>
    <n v="9238"/>
    <d v="2023-09-18T00:00:00"/>
    <x v="444"/>
    <x v="1"/>
    <n v="2.16E-3"/>
    <n v="19.954080000000001"/>
    <s v="MG"/>
    <x v="9"/>
    <x v="22"/>
    <s v="Q3"/>
    <n v="160"/>
    <n v="57.737499999999997"/>
    <s v="MG Sticks"/>
    <n v="0.93"/>
    <n v="8591.34"/>
    <n v="18.557294400000004"/>
    <n v="53.695875000000001"/>
  </r>
  <r>
    <n v="68659823"/>
    <x v="1"/>
    <n v="9238"/>
    <d v="2023-09-25T00:00:00"/>
    <x v="444"/>
    <x v="1"/>
    <n v="2.16E-3"/>
    <n v="19.954080000000001"/>
    <s v="MG"/>
    <x v="9"/>
    <x v="22"/>
    <s v="Q3"/>
    <n v="160"/>
    <n v="57.737499999999997"/>
    <s v="MG Sticks"/>
    <n v="0.93"/>
    <n v="8591.34"/>
    <n v="18.557294400000004"/>
    <n v="53.695875000000001"/>
  </r>
  <r>
    <n v="68659824"/>
    <x v="1"/>
    <n v="10700"/>
    <d v="2023-08-21T00:00:00"/>
    <x v="364"/>
    <x v="1"/>
    <n v="3.3E-4"/>
    <n v="3.5310000000000001"/>
    <s v="MG"/>
    <x v="8"/>
    <x v="22"/>
    <s v="Q3"/>
    <n v="160"/>
    <n v="66.875"/>
    <s v="MG Sticks"/>
    <n v="0.93"/>
    <n v="9951"/>
    <n v="3.2838300000000005"/>
    <n v="62.193750000000001"/>
  </r>
  <r>
    <n v="68659824"/>
    <x v="1"/>
    <n v="8560"/>
    <d v="2023-09-25T00:00:00"/>
    <x v="364"/>
    <x v="1"/>
    <n v="3.3E-4"/>
    <n v="2.8248000000000002"/>
    <s v="MG"/>
    <x v="9"/>
    <x v="22"/>
    <s v="Q3"/>
    <n v="160"/>
    <n v="53.5"/>
    <s v="MG Sticks"/>
    <n v="0.93"/>
    <n v="7960.8"/>
    <n v="2.6270640000000003"/>
    <n v="49.755000000000003"/>
  </r>
  <r>
    <n v="68829236"/>
    <x v="1"/>
    <n v="3981"/>
    <d v="2023-06-26T00:00:00"/>
    <x v="365"/>
    <x v="1"/>
    <n v="1.98E-3"/>
    <n v="7.8823800000000004"/>
    <s v="MG"/>
    <x v="5"/>
    <x v="22"/>
    <s v="Q2"/>
    <n v="160"/>
    <n v="24.881250000000001"/>
    <s v="MG Sticks"/>
    <n v="0.93"/>
    <n v="3702.3300000000004"/>
    <n v="7.3306134000000007"/>
    <n v="23.139562500000004"/>
  </r>
  <r>
    <n v="68829236"/>
    <x v="1"/>
    <n v="16000"/>
    <d v="2023-07-03T00:00:00"/>
    <x v="365"/>
    <x v="1"/>
    <n v="1.98E-3"/>
    <n v="31.68"/>
    <s v="MG"/>
    <x v="6"/>
    <x v="22"/>
    <s v="Q3"/>
    <n v="160"/>
    <n v="100"/>
    <s v="MG Sticks"/>
    <n v="0.93"/>
    <n v="14880"/>
    <n v="29.462400000000002"/>
    <n v="93"/>
  </r>
  <r>
    <n v="68829236"/>
    <x v="1"/>
    <n v="12000"/>
    <d v="2023-07-10T00:00:00"/>
    <x v="365"/>
    <x v="1"/>
    <n v="1.98E-3"/>
    <n v="23.76"/>
    <s v="MG"/>
    <x v="6"/>
    <x v="22"/>
    <s v="Q3"/>
    <n v="160"/>
    <n v="75"/>
    <s v="MG Sticks"/>
    <n v="0.93"/>
    <n v="11160"/>
    <n v="22.096800000000002"/>
    <n v="69.75"/>
  </r>
  <r>
    <n v="68829236"/>
    <x v="1"/>
    <n v="10752"/>
    <d v="2023-07-17T00:00:00"/>
    <x v="365"/>
    <x v="1"/>
    <n v="1.98E-3"/>
    <n v="21.288959999999999"/>
    <s v="MG"/>
    <x v="6"/>
    <x v="22"/>
    <s v="Q3"/>
    <n v="160"/>
    <n v="67.2"/>
    <s v="MG Sticks"/>
    <n v="0.93"/>
    <n v="9999.36"/>
    <n v="19.7987328"/>
    <n v="62.496000000000009"/>
  </r>
  <r>
    <n v="68829236"/>
    <x v="1"/>
    <n v="10005"/>
    <d v="2023-07-31T00:00:00"/>
    <x v="365"/>
    <x v="1"/>
    <n v="1.98E-3"/>
    <n v="19.809899999999999"/>
    <s v="MG"/>
    <x v="6"/>
    <x v="22"/>
    <s v="Q3"/>
    <n v="160"/>
    <n v="62.53125"/>
    <s v="MG Sticks"/>
    <n v="0.93"/>
    <n v="9304.65"/>
    <n v="18.423207000000001"/>
    <n v="58.154062500000002"/>
  </r>
  <r>
    <n v="68829236"/>
    <x v="1"/>
    <n v="10005"/>
    <d v="2023-08-07T00:00:00"/>
    <x v="365"/>
    <x v="1"/>
    <n v="1.98E-3"/>
    <n v="19.809899999999999"/>
    <s v="MG"/>
    <x v="8"/>
    <x v="22"/>
    <s v="Q3"/>
    <n v="160"/>
    <n v="62.53125"/>
    <s v="MG Sticks"/>
    <n v="0.93"/>
    <n v="9304.65"/>
    <n v="18.423207000000001"/>
    <n v="58.154062500000002"/>
  </r>
  <r>
    <n v="68829236"/>
    <x v="1"/>
    <n v="10005"/>
    <d v="2023-08-14T00:00:00"/>
    <x v="365"/>
    <x v="1"/>
    <n v="1.98E-3"/>
    <n v="19.809899999999999"/>
    <s v="MG"/>
    <x v="8"/>
    <x v="22"/>
    <s v="Q3"/>
    <n v="160"/>
    <n v="62.53125"/>
    <s v="MG Sticks"/>
    <n v="0.93"/>
    <n v="9304.65"/>
    <n v="18.423207000000001"/>
    <n v="58.154062500000002"/>
  </r>
  <r>
    <n v="68829236"/>
    <x v="1"/>
    <n v="10005"/>
    <d v="2023-08-21T00:00:00"/>
    <x v="365"/>
    <x v="1"/>
    <n v="1.98E-3"/>
    <n v="19.809899999999999"/>
    <s v="MG"/>
    <x v="8"/>
    <x v="22"/>
    <s v="Q3"/>
    <n v="160"/>
    <n v="62.53125"/>
    <s v="MG Sticks"/>
    <n v="0.93"/>
    <n v="9304.65"/>
    <n v="18.423207000000001"/>
    <n v="58.154062500000002"/>
  </r>
  <r>
    <n v="68829236"/>
    <x v="1"/>
    <n v="10000"/>
    <d v="2023-12-18T00:00:00"/>
    <x v="365"/>
    <x v="1"/>
    <n v="1.98E-3"/>
    <n v="19.8"/>
    <s v="MG"/>
    <x v="11"/>
    <x v="22"/>
    <s v="Q4"/>
    <n v="160"/>
    <n v="62.5"/>
    <s v="MG Sticks"/>
    <n v="0.93"/>
    <n v="9300"/>
    <n v="18.414000000000001"/>
    <n v="58.125"/>
  </r>
  <r>
    <n v="68829236"/>
    <x v="1"/>
    <n v="15000"/>
    <d v="2023-12-25T00:00:00"/>
    <x v="365"/>
    <x v="1"/>
    <n v="1.98E-3"/>
    <n v="29.7"/>
    <s v="MG"/>
    <x v="11"/>
    <x v="22"/>
    <s v="Q4"/>
    <n v="160"/>
    <n v="93.75"/>
    <s v="MG Sticks"/>
    <n v="0.93"/>
    <n v="13950"/>
    <n v="27.621000000000002"/>
    <n v="87.1875"/>
  </r>
  <r>
    <n v="67896936"/>
    <x v="21"/>
    <n v="12960"/>
    <d v="2023-06-05T00:00:00"/>
    <x v="394"/>
    <x v="1"/>
    <n v="1.9797349107240664E-3"/>
    <n v="25.657364442983901"/>
    <s v="MG"/>
    <x v="5"/>
    <x v="51"/>
    <s v="Q2"/>
    <n v="162"/>
    <n v="80"/>
    <s v="MG Sticks ND"/>
    <n v="1"/>
    <n v="12960"/>
    <n v="25.657364442983901"/>
    <n v="80"/>
  </r>
  <r>
    <n v="67896936"/>
    <x v="21"/>
    <n v="2106"/>
    <d v="2023-06-26T00:00:00"/>
    <x v="394"/>
    <x v="1"/>
    <n v="1.9797349107240664E-3"/>
    <n v="4.1693217219848835"/>
    <s v="MG"/>
    <x v="5"/>
    <x v="51"/>
    <s v="Q2"/>
    <n v="162"/>
    <n v="13"/>
    <s v="MG Sticks ND"/>
    <n v="1"/>
    <n v="2106"/>
    <n v="4.1693217219848835"/>
    <n v="13"/>
  </r>
  <r>
    <n v="67896936"/>
    <x v="21"/>
    <n v="15000"/>
    <d v="2023-11-27T00:00:00"/>
    <x v="394"/>
    <x v="1"/>
    <n v="1.9797349107240664E-3"/>
    <n v="29.696023660860995"/>
    <s v="MG"/>
    <x v="10"/>
    <x v="51"/>
    <s v="Q4"/>
    <n v="162"/>
    <n v="92.592592592592595"/>
    <s v="MG Sticks ND"/>
    <n v="1"/>
    <n v="15000"/>
    <n v="29.696023660860995"/>
    <n v="92.592592592592595"/>
  </r>
  <r>
    <n v="68729137"/>
    <x v="8"/>
    <n v="37300"/>
    <d v="2023-06-12T00:00:00"/>
    <x v="236"/>
    <x v="1"/>
    <n v="2.7000000000000001E-3"/>
    <n v="100.71000000000001"/>
    <s v="MG"/>
    <x v="5"/>
    <x v="21"/>
    <s v="Q2"/>
    <n v="170"/>
    <n v="219.41176470588235"/>
    <s v="MG Sticks ND"/>
    <n v="1"/>
    <n v="37300"/>
    <n v="100.71000000000001"/>
    <n v="219.41176470588235"/>
  </r>
  <r>
    <n v="68729137"/>
    <x v="8"/>
    <n v="1020"/>
    <d v="2023-07-10T00:00:00"/>
    <x v="236"/>
    <x v="1"/>
    <n v="2.7000000000000001E-3"/>
    <n v="2.754"/>
    <s v="MG"/>
    <x v="6"/>
    <x v="21"/>
    <s v="Q3"/>
    <n v="170"/>
    <n v="6"/>
    <s v="MG Sticks ND"/>
    <n v="1"/>
    <n v="1020"/>
    <n v="2.754"/>
    <n v="6"/>
  </r>
  <r>
    <n v="68652582"/>
    <x v="8"/>
    <n v="0"/>
    <d v="2023-06-05T00:00:00"/>
    <x v="445"/>
    <x v="1"/>
    <n v="2.7000000000000001E-3"/>
    <n v="0"/>
    <s v="MG"/>
    <x v="5"/>
    <x v="21"/>
    <s v="Q2"/>
    <n v="170"/>
    <n v="0"/>
    <s v="MG Sticks ND"/>
    <n v="1"/>
    <n v="0"/>
    <n v="0"/>
    <n v="0"/>
  </r>
  <r>
    <n v="68652582"/>
    <x v="8"/>
    <n v="110"/>
    <d v="2023-07-10T00:00:00"/>
    <x v="445"/>
    <x v="1"/>
    <n v="2.7000000000000001E-3"/>
    <n v="0.29700000000000004"/>
    <s v="MG"/>
    <x v="6"/>
    <x v="21"/>
    <s v="Q3"/>
    <n v="170"/>
    <n v="0.6470588235294118"/>
    <s v="MG Sticks ND"/>
    <n v="1"/>
    <n v="110"/>
    <n v="0.29700000000000004"/>
    <n v="0.6470588235294118"/>
  </r>
  <r>
    <n v="68729136"/>
    <x v="8"/>
    <n v="826"/>
    <d v="2023-07-10T00:00:00"/>
    <x v="55"/>
    <x v="1"/>
    <n v="2.7000000000000001E-3"/>
    <n v="2.2302"/>
    <s v="MG"/>
    <x v="6"/>
    <x v="21"/>
    <s v="Q3"/>
    <n v="170"/>
    <n v="4.8588235294117643"/>
    <s v="MG Sticks ND"/>
    <n v="1"/>
    <n v="826"/>
    <n v="2.2302"/>
    <n v="4.8588235294117643"/>
  </r>
  <r>
    <n v="69617285"/>
    <x v="4"/>
    <n v="17415"/>
    <d v="2023-06-12T00:00:00"/>
    <x v="82"/>
    <x v="1"/>
    <n v="2.6610000000000002E-3"/>
    <n v="46.341315000000002"/>
    <s v="PS"/>
    <x v="5"/>
    <x v="13"/>
    <s v="Q2"/>
    <n v="180"/>
    <n v="96.75"/>
    <s v="KL Mini Cones"/>
    <n v="0.95"/>
    <n v="16544.25"/>
    <n v="44.024249249999997"/>
    <n v="91.912499999999994"/>
  </r>
  <r>
    <n v="69617285"/>
    <x v="4"/>
    <n v="13180"/>
    <d v="2023-06-01T00:00:00"/>
    <x v="82"/>
    <x v="1"/>
    <n v="2.6610000000000002E-3"/>
    <n v="35.071980000000003"/>
    <s v="PS"/>
    <x v="5"/>
    <x v="13"/>
    <s v="Q2"/>
    <n v="180"/>
    <n v="73.222222222222229"/>
    <s v="KL Mini Cones"/>
    <n v="0.95"/>
    <n v="12521"/>
    <n v="33.318381000000002"/>
    <n v="69.561111111111117"/>
  </r>
  <r>
    <n v="69617285"/>
    <x v="4"/>
    <n v="0"/>
    <d v="2023-07-03T00:00:00"/>
    <x v="82"/>
    <x v="1"/>
    <n v="2.6610000000000002E-3"/>
    <n v="0"/>
    <s v="PS"/>
    <x v="6"/>
    <x v="13"/>
    <s v="Q3"/>
    <n v="180"/>
    <n v="0"/>
    <s v="KL Mini Cones"/>
    <n v="0.95"/>
    <n v="0"/>
    <n v="0"/>
    <n v="0"/>
  </r>
  <r>
    <n v="69617285"/>
    <x v="4"/>
    <n v="0"/>
    <d v="2023-07-10T00:00:00"/>
    <x v="82"/>
    <x v="1"/>
    <n v="2.6610000000000002E-3"/>
    <n v="0"/>
    <s v="PS"/>
    <x v="6"/>
    <x v="13"/>
    <s v="Q3"/>
    <n v="180"/>
    <n v="0"/>
    <s v="KL Mini Cones"/>
    <n v="0.95"/>
    <n v="0"/>
    <n v="0"/>
    <n v="0"/>
  </r>
  <r>
    <n v="69617285"/>
    <x v="4"/>
    <n v="15660"/>
    <d v="2023-07-01T00:00:00"/>
    <x v="82"/>
    <x v="1"/>
    <n v="2.6610000000000002E-3"/>
    <n v="41.671260000000004"/>
    <s v="PS"/>
    <x v="6"/>
    <x v="13"/>
    <s v="Q3"/>
    <n v="180"/>
    <n v="87"/>
    <s v="KL Mini Cones"/>
    <n v="0.95"/>
    <n v="14877"/>
    <n v="39.587696999999999"/>
    <n v="82.649999999999991"/>
  </r>
  <r>
    <n v="69617285"/>
    <x v="4"/>
    <n v="0"/>
    <d v="2023-08-07T00:00:00"/>
    <x v="82"/>
    <x v="1"/>
    <n v="2.6610000000000002E-3"/>
    <n v="0"/>
    <s v="PS"/>
    <x v="8"/>
    <x v="13"/>
    <s v="Q3"/>
    <n v="180"/>
    <n v="0"/>
    <s v="KL Mini Cones"/>
    <n v="0.95"/>
    <n v="0"/>
    <n v="0"/>
    <n v="0"/>
  </r>
  <r>
    <n v="69617285"/>
    <x v="4"/>
    <n v="4426"/>
    <d v="2023-08-01T00:00:00"/>
    <x v="82"/>
    <x v="1"/>
    <n v="2.6610000000000002E-3"/>
    <n v="11.777586000000001"/>
    <s v="PS"/>
    <x v="8"/>
    <x v="13"/>
    <s v="Q3"/>
    <n v="180"/>
    <n v="24.588888888888889"/>
    <s v="KL Mini Cones"/>
    <n v="0.95"/>
    <n v="4204.7"/>
    <n v="11.188706700000001"/>
    <n v="23.359444444444442"/>
  </r>
  <r>
    <n v="69617285"/>
    <x v="4"/>
    <n v="0"/>
    <d v="2023-09-04T00:00:00"/>
    <x v="82"/>
    <x v="1"/>
    <n v="2.6610000000000002E-3"/>
    <n v="0"/>
    <s v="PS"/>
    <x v="9"/>
    <x v="13"/>
    <s v="Q3"/>
    <n v="180"/>
    <n v="0"/>
    <s v="KL Mini Cones"/>
    <n v="0.95"/>
    <n v="0"/>
    <n v="0"/>
    <n v="0"/>
  </r>
  <r>
    <n v="69617285"/>
    <x v="4"/>
    <n v="27822"/>
    <d v="2023-09-01T00:00:00"/>
    <x v="82"/>
    <x v="1"/>
    <n v="2.6610000000000002E-3"/>
    <n v="74.034342000000009"/>
    <s v="PS"/>
    <x v="9"/>
    <x v="13"/>
    <s v="Q3"/>
    <n v="180"/>
    <n v="154.56666666666666"/>
    <s v="KL Mini Cones"/>
    <n v="0.95"/>
    <n v="26430.899999999998"/>
    <n v="70.332624899999999"/>
    <n v="146.83833333333331"/>
  </r>
  <r>
    <n v="69704149"/>
    <x v="25"/>
    <n v="90"/>
    <d v="2023-06-05T00:00:00"/>
    <x v="439"/>
    <x v="1"/>
    <n v="1.8E-3"/>
    <n v="0.16200000000000001"/>
    <s v="PS"/>
    <x v="5"/>
    <x v="54"/>
    <s v="Q2"/>
    <n v="275"/>
    <n v="0.32727272727272727"/>
    <s v="Facepieces"/>
    <n v="0.95"/>
    <n v="85.5"/>
    <n v="0.15390000000000001"/>
    <n v="0.31090909090909091"/>
  </r>
  <r>
    <n v="69704149"/>
    <x v="25"/>
    <n v="33600"/>
    <d v="2023-06-12T00:00:00"/>
    <x v="439"/>
    <x v="1"/>
    <n v="1.8E-3"/>
    <n v="60.48"/>
    <s v="PS"/>
    <x v="5"/>
    <x v="54"/>
    <s v="Q2"/>
    <n v="275"/>
    <n v="122.18181818181819"/>
    <s v="Facepieces"/>
    <n v="0.95"/>
    <n v="31920"/>
    <n v="57.455999999999996"/>
    <n v="116.07272727272728"/>
  </r>
  <r>
    <n v="69704149"/>
    <x v="25"/>
    <n v="40110"/>
    <d v="2023-06-19T00:00:00"/>
    <x v="439"/>
    <x v="1"/>
    <n v="1.8E-3"/>
    <n v="72.197999999999993"/>
    <s v="PS"/>
    <x v="5"/>
    <x v="54"/>
    <s v="Q2"/>
    <n v="275"/>
    <n v="145.85454545454544"/>
    <s v="Facepieces"/>
    <n v="0.95"/>
    <n v="38104.5"/>
    <n v="68.588099999999997"/>
    <n v="138.56181818181815"/>
  </r>
  <r>
    <n v="69704149"/>
    <x v="25"/>
    <n v="29610"/>
    <d v="2023-06-26T00:00:00"/>
    <x v="439"/>
    <x v="1"/>
    <n v="1.8E-3"/>
    <n v="53.298000000000002"/>
    <s v="PS"/>
    <x v="5"/>
    <x v="54"/>
    <s v="Q2"/>
    <n v="275"/>
    <n v="107.67272727272727"/>
    <s v="Facepieces"/>
    <n v="0.95"/>
    <n v="28129.5"/>
    <n v="50.633099999999999"/>
    <n v="102.2890909090909"/>
  </r>
  <r>
    <n v="69704149"/>
    <x v="25"/>
    <n v="52080"/>
    <d v="2023-07-03T00:00:00"/>
    <x v="439"/>
    <x v="1"/>
    <n v="1.8E-3"/>
    <n v="93.744"/>
    <s v="PS"/>
    <x v="6"/>
    <x v="54"/>
    <s v="Q3"/>
    <n v="275"/>
    <n v="189.38181818181818"/>
    <s v="Facepieces"/>
    <n v="0.95"/>
    <n v="49476"/>
    <n v="89.056799999999996"/>
    <n v="179.91272727272727"/>
  </r>
  <r>
    <n v="69704149"/>
    <x v="25"/>
    <n v="58800"/>
    <d v="2023-07-10T00:00:00"/>
    <x v="439"/>
    <x v="1"/>
    <n v="1.8E-3"/>
    <n v="105.84"/>
    <s v="PS"/>
    <x v="6"/>
    <x v="54"/>
    <s v="Q3"/>
    <n v="275"/>
    <n v="213.81818181818181"/>
    <s v="Facepieces"/>
    <n v="0.95"/>
    <n v="55860"/>
    <n v="100.548"/>
    <n v="203.12727272727273"/>
  </r>
  <r>
    <n v="69704149"/>
    <x v="25"/>
    <n v="54600"/>
    <d v="2023-07-17T00:00:00"/>
    <x v="439"/>
    <x v="1"/>
    <n v="1.8E-3"/>
    <n v="98.28"/>
    <s v="PS"/>
    <x v="6"/>
    <x v="54"/>
    <s v="Q3"/>
    <n v="275"/>
    <n v="198.54545454545453"/>
    <s v="Facepieces"/>
    <n v="0.95"/>
    <n v="51870"/>
    <n v="93.366"/>
    <n v="188.6181818181818"/>
  </r>
  <r>
    <n v="69704149"/>
    <x v="25"/>
    <n v="46680"/>
    <d v="2023-07-24T00:00:00"/>
    <x v="439"/>
    <x v="1"/>
    <n v="1.8E-3"/>
    <n v="84.024000000000001"/>
    <s v="PS"/>
    <x v="6"/>
    <x v="54"/>
    <s v="Q3"/>
    <n v="275"/>
    <n v="169.74545454545455"/>
    <s v="Facepieces"/>
    <n v="0.95"/>
    <n v="44346"/>
    <n v="79.822800000000001"/>
    <n v="161.25818181818181"/>
  </r>
  <r>
    <n v="69704149"/>
    <x v="25"/>
    <m/>
    <d v="2023-08-07T00:00:00"/>
    <x v="439"/>
    <x v="1"/>
    <n v="1.8E-3"/>
    <n v="0"/>
    <s v="PS"/>
    <x v="8"/>
    <x v="54"/>
    <s v="Q3"/>
    <n v="275"/>
    <n v="0"/>
    <s v="Facepieces"/>
    <n v="0.95"/>
    <n v="0"/>
    <n v="0"/>
    <n v="0"/>
  </r>
  <r>
    <n v="69704149"/>
    <x v="25"/>
    <n v="85000"/>
    <d v="2023-10-02T00:00:00"/>
    <x v="439"/>
    <x v="1"/>
    <n v="1.8E-3"/>
    <n v="153"/>
    <s v="PS"/>
    <x v="7"/>
    <x v="54"/>
    <s v="Q4"/>
    <n v="275"/>
    <n v="309.09090909090907"/>
    <s v="Facepieces"/>
    <n v="0.95"/>
    <n v="80750"/>
    <n v="145.35"/>
    <n v="293.63636363636363"/>
  </r>
  <r>
    <n v="69704149"/>
    <x v="25"/>
    <m/>
    <d v="2023-10-09T00:00:00"/>
    <x v="439"/>
    <x v="1"/>
    <n v="1.8E-3"/>
    <n v="0"/>
    <s v="PS"/>
    <x v="7"/>
    <x v="54"/>
    <s v="Q4"/>
    <n v="275"/>
    <n v="0"/>
    <s v="Facepieces"/>
    <n v="0.95"/>
    <n v="0"/>
    <n v="0"/>
    <n v="0"/>
  </r>
  <r>
    <n v="69704149"/>
    <x v="25"/>
    <m/>
    <d v="2023-10-16T00:00:00"/>
    <x v="439"/>
    <x v="1"/>
    <n v="1.8E-3"/>
    <n v="0"/>
    <s v="PS"/>
    <x v="7"/>
    <x v="54"/>
    <s v="Q4"/>
    <n v="275"/>
    <n v="0"/>
    <s v="Facepieces"/>
    <n v="0.95"/>
    <n v="0"/>
    <n v="0"/>
    <n v="0"/>
  </r>
  <r>
    <n v="69704149"/>
    <x v="25"/>
    <m/>
    <d v="2023-10-23T00:00:00"/>
    <x v="439"/>
    <x v="1"/>
    <n v="1.8E-3"/>
    <n v="0"/>
    <s v="PS"/>
    <x v="7"/>
    <x v="54"/>
    <s v="Q4"/>
    <n v="275"/>
    <n v="0"/>
    <s v="Facepieces"/>
    <n v="0.95"/>
    <n v="0"/>
    <n v="0"/>
    <n v="0"/>
  </r>
  <r>
    <n v="69704149"/>
    <x v="25"/>
    <m/>
    <d v="2023-11-06T00:00:00"/>
    <x v="439"/>
    <x v="1"/>
    <n v="1.8E-3"/>
    <n v="0"/>
    <s v="PS"/>
    <x v="10"/>
    <x v="54"/>
    <s v="Q4"/>
    <n v="275"/>
    <n v="0"/>
    <s v="Facepieces"/>
    <n v="0.95"/>
    <n v="0"/>
    <n v="0"/>
    <n v="0"/>
  </r>
  <r>
    <n v="69704149"/>
    <x v="25"/>
    <m/>
    <d v="2023-11-13T00:00:00"/>
    <x v="439"/>
    <x v="1"/>
    <n v="1.8E-3"/>
    <n v="0"/>
    <s v="PS"/>
    <x v="10"/>
    <x v="54"/>
    <s v="Q4"/>
    <n v="275"/>
    <n v="0"/>
    <s v="Facepieces"/>
    <n v="0.95"/>
    <n v="0"/>
    <n v="0"/>
    <n v="0"/>
  </r>
  <r>
    <n v="69704149"/>
    <x v="25"/>
    <m/>
    <d v="2023-11-20T00:00:00"/>
    <x v="439"/>
    <x v="1"/>
    <n v="1.8E-3"/>
    <n v="0"/>
    <s v="PS"/>
    <x v="10"/>
    <x v="54"/>
    <s v="Q4"/>
    <n v="275"/>
    <n v="0"/>
    <s v="Facepieces"/>
    <n v="0.95"/>
    <n v="0"/>
    <n v="0"/>
    <n v="0"/>
  </r>
  <r>
    <n v="69704149"/>
    <x v="25"/>
    <m/>
    <d v="2023-11-27T00:00:00"/>
    <x v="439"/>
    <x v="1"/>
    <n v="1.8E-3"/>
    <n v="0"/>
    <s v="PS"/>
    <x v="10"/>
    <x v="54"/>
    <s v="Q4"/>
    <n v="275"/>
    <n v="0"/>
    <s v="Facepieces"/>
    <n v="0.95"/>
    <n v="0"/>
    <n v="0"/>
    <n v="0"/>
  </r>
  <r>
    <n v="69704149"/>
    <x v="25"/>
    <m/>
    <d v="2023-12-04T00:00:00"/>
    <x v="439"/>
    <x v="1"/>
    <n v="1.8E-3"/>
    <n v="0"/>
    <s v="PS"/>
    <x v="11"/>
    <x v="54"/>
    <s v="Q4"/>
    <n v="275"/>
    <n v="0"/>
    <s v="Facepieces"/>
    <n v="0.95"/>
    <n v="0"/>
    <n v="0"/>
    <n v="0"/>
  </r>
  <r>
    <n v="69704149"/>
    <x v="25"/>
    <m/>
    <d v="2023-12-11T00:00:00"/>
    <x v="439"/>
    <x v="1"/>
    <n v="1.8E-3"/>
    <n v="0"/>
    <s v="PS"/>
    <x v="11"/>
    <x v="54"/>
    <s v="Q4"/>
    <n v="275"/>
    <n v="0"/>
    <s v="Facepieces"/>
    <n v="0.95"/>
    <n v="0"/>
    <n v="0"/>
    <n v="0"/>
  </r>
  <r>
    <n v="69704149"/>
    <x v="25"/>
    <n v="100000"/>
    <d v="2023-12-18T00:00:00"/>
    <x v="439"/>
    <x v="1"/>
    <n v="1.8E-3"/>
    <n v="180"/>
    <s v="PS"/>
    <x v="11"/>
    <x v="54"/>
    <s v="Q4"/>
    <n v="275"/>
    <n v="363.63636363636363"/>
    <s v="Facepieces"/>
    <n v="0.95"/>
    <n v="95000"/>
    <n v="171"/>
    <n v="345.45454545454544"/>
  </r>
  <r>
    <n v="69704150"/>
    <x v="25"/>
    <n v="76500"/>
    <d v="2023-12-25T00:00:00"/>
    <x v="438"/>
    <x v="1"/>
    <n v="2.16E-3"/>
    <n v="165.24"/>
    <s v="PS"/>
    <x v="11"/>
    <x v="54"/>
    <s v="Q4"/>
    <n v="275"/>
    <n v="278.18181818181819"/>
    <s v="Facepieces"/>
    <n v="0.95"/>
    <n v="72675"/>
    <n v="156.97800000000001"/>
    <n v="264.27272727272725"/>
  </r>
  <r>
    <n v="69704150"/>
    <x v="25"/>
    <n v="15"/>
    <d v="2023-06-05T00:00:00"/>
    <x v="438"/>
    <x v="1"/>
    <n v="2.16E-3"/>
    <n v="3.2399999999999998E-2"/>
    <s v="PS"/>
    <x v="5"/>
    <x v="54"/>
    <s v="Q2"/>
    <n v="275"/>
    <n v="5.4545454545454543E-2"/>
    <s v="Facepieces"/>
    <n v="0.95"/>
    <n v="14.25"/>
    <n v="3.0779999999999998E-2"/>
    <n v="5.1818181818181812E-2"/>
  </r>
  <r>
    <n v="69704150"/>
    <x v="25"/>
    <n v="54600"/>
    <d v="2023-06-12T00:00:00"/>
    <x v="438"/>
    <x v="1"/>
    <n v="2.16E-3"/>
    <n v="117.93600000000001"/>
    <s v="PS"/>
    <x v="5"/>
    <x v="54"/>
    <s v="Q2"/>
    <n v="275"/>
    <n v="198.54545454545453"/>
    <s v="Facepieces"/>
    <n v="0.95"/>
    <n v="51870"/>
    <n v="112.03920000000001"/>
    <n v="188.6181818181818"/>
  </r>
  <r>
    <n v="69704150"/>
    <x v="25"/>
    <n v="35490"/>
    <d v="2023-06-19T00:00:00"/>
    <x v="438"/>
    <x v="1"/>
    <n v="2.16E-3"/>
    <n v="76.6584"/>
    <s v="PS"/>
    <x v="5"/>
    <x v="54"/>
    <s v="Q2"/>
    <n v="275"/>
    <n v="129.05454545454546"/>
    <s v="Facepieces"/>
    <n v="0.95"/>
    <n v="33715.5"/>
    <n v="72.825479999999999"/>
    <n v="122.60181818181819"/>
  </r>
  <r>
    <n v="69704150"/>
    <x v="25"/>
    <n v="41790"/>
    <d v="2023-06-26T00:00:00"/>
    <x v="438"/>
    <x v="1"/>
    <n v="2.16E-3"/>
    <n v="90.266400000000004"/>
    <s v="PS"/>
    <x v="5"/>
    <x v="54"/>
    <s v="Q2"/>
    <n v="275"/>
    <n v="151.96363636363637"/>
    <s v="Facepieces"/>
    <n v="0.95"/>
    <n v="39700.5"/>
    <n v="85.753079999999997"/>
    <n v="144.36545454545455"/>
  </r>
  <r>
    <n v="69704150"/>
    <x v="25"/>
    <n v="73920"/>
    <d v="2023-07-03T00:00:00"/>
    <x v="438"/>
    <x v="1"/>
    <n v="2.16E-3"/>
    <n v="159.66720000000001"/>
    <s v="PS"/>
    <x v="6"/>
    <x v="54"/>
    <s v="Q3"/>
    <n v="275"/>
    <n v="268.8"/>
    <s v="Facepieces"/>
    <n v="0.95"/>
    <n v="70224"/>
    <n v="151.68384"/>
    <n v="255.35999999999999"/>
  </r>
  <r>
    <n v="69704150"/>
    <x v="25"/>
    <n v="75600"/>
    <d v="2023-07-10T00:00:00"/>
    <x v="438"/>
    <x v="1"/>
    <n v="2.16E-3"/>
    <n v="163.29599999999999"/>
    <s v="PS"/>
    <x v="6"/>
    <x v="54"/>
    <s v="Q3"/>
    <n v="275"/>
    <n v="274.90909090909093"/>
    <s v="Facepieces"/>
    <n v="0.95"/>
    <n v="71820"/>
    <n v="155.13119999999998"/>
    <n v="261.16363636363639"/>
  </r>
  <r>
    <n v="69704150"/>
    <x v="25"/>
    <n v="31406"/>
    <d v="2023-07-17T00:00:00"/>
    <x v="438"/>
    <x v="1"/>
    <n v="2.16E-3"/>
    <n v="67.836960000000005"/>
    <s v="PS"/>
    <x v="6"/>
    <x v="54"/>
    <s v="Q3"/>
    <n v="275"/>
    <n v="114.20363636363636"/>
    <s v="Facepieces"/>
    <n v="0.95"/>
    <n v="29835.699999999997"/>
    <n v="64.445111999999995"/>
    <n v="108.49345454545454"/>
  </r>
  <r>
    <n v="69704150"/>
    <x v="25"/>
    <n v="68149"/>
    <d v="2023-07-24T00:00:00"/>
    <x v="438"/>
    <x v="1"/>
    <n v="2.16E-3"/>
    <n v="147.20184"/>
    <s v="PS"/>
    <x v="6"/>
    <x v="54"/>
    <s v="Q3"/>
    <n v="275"/>
    <n v="247.81454545454545"/>
    <s v="Facepieces"/>
    <n v="0.95"/>
    <n v="64741.549999999996"/>
    <n v="139.841748"/>
    <n v="235.42381818181818"/>
  </r>
  <r>
    <n v="69704150"/>
    <x v="25"/>
    <n v="193876"/>
    <d v="2023-08-07T00:00:00"/>
    <x v="438"/>
    <x v="1"/>
    <n v="2.16E-3"/>
    <n v="418.77215999999999"/>
    <s v="PS"/>
    <x v="8"/>
    <x v="54"/>
    <s v="Q3"/>
    <n v="275"/>
    <n v="705.00363636363636"/>
    <s v="Facepieces"/>
    <n v="0.95"/>
    <n v="184182.19999999998"/>
    <n v="397.83355199999994"/>
    <n v="669.75345454545447"/>
  </r>
  <r>
    <n v="69704150"/>
    <x v="25"/>
    <m/>
    <d v="2023-08-14T00:00:00"/>
    <x v="438"/>
    <x v="1"/>
    <n v="2.16E-3"/>
    <n v="0"/>
    <s v="PS"/>
    <x v="8"/>
    <x v="54"/>
    <s v="Q3"/>
    <n v="275"/>
    <n v="0"/>
    <s v="Facepieces"/>
    <n v="0.95"/>
    <n v="0"/>
    <n v="0"/>
    <n v="0"/>
  </r>
  <r>
    <n v="69704150"/>
    <x v="25"/>
    <m/>
    <d v="2023-08-21T00:00:00"/>
    <x v="438"/>
    <x v="1"/>
    <n v="2.16E-3"/>
    <n v="0"/>
    <s v="PS"/>
    <x v="8"/>
    <x v="54"/>
    <s v="Q3"/>
    <n v="275"/>
    <n v="0"/>
    <s v="Facepieces"/>
    <n v="0.95"/>
    <n v="0"/>
    <n v="0"/>
    <n v="0"/>
  </r>
  <r>
    <n v="69704150"/>
    <x v="25"/>
    <m/>
    <d v="2023-08-28T00:00:00"/>
    <x v="438"/>
    <x v="1"/>
    <n v="2.16E-3"/>
    <n v="0"/>
    <s v="PS"/>
    <x v="8"/>
    <x v="54"/>
    <s v="Q3"/>
    <n v="275"/>
    <n v="0"/>
    <s v="Facepieces"/>
    <n v="0.95"/>
    <n v="0"/>
    <n v="0"/>
    <n v="0"/>
  </r>
  <r>
    <n v="69704150"/>
    <x v="25"/>
    <n v="57124"/>
    <d v="2023-09-11T00:00:00"/>
    <x v="438"/>
    <x v="1"/>
    <n v="2.16E-3"/>
    <n v="123.38784"/>
    <s v="PS"/>
    <x v="9"/>
    <x v="54"/>
    <s v="Q3"/>
    <n v="275"/>
    <n v="207.72363636363636"/>
    <s v="Facepieces"/>
    <n v="0.95"/>
    <n v="54267.799999999996"/>
    <n v="117.218448"/>
    <n v="197.33745454545453"/>
  </r>
  <r>
    <n v="69704150"/>
    <x v="25"/>
    <m/>
    <d v="2023-09-04T00:00:00"/>
    <x v="438"/>
    <x v="1"/>
    <n v="2.16E-3"/>
    <n v="0"/>
    <s v="PS"/>
    <x v="9"/>
    <x v="54"/>
    <s v="Q3"/>
    <n v="275"/>
    <n v="0"/>
    <s v="Facepieces"/>
    <n v="0.95"/>
    <n v="0"/>
    <n v="0"/>
    <n v="0"/>
  </r>
  <r>
    <n v="69704150"/>
    <x v="25"/>
    <m/>
    <d v="2023-09-18T00:00:00"/>
    <x v="438"/>
    <x v="1"/>
    <n v="2.16E-3"/>
    <n v="0"/>
    <s v="PS"/>
    <x v="9"/>
    <x v="54"/>
    <s v="Q3"/>
    <n v="275"/>
    <n v="0"/>
    <s v="Facepieces"/>
    <n v="0.95"/>
    <n v="0"/>
    <n v="0"/>
    <n v="0"/>
  </r>
  <r>
    <n v="69704150"/>
    <x v="25"/>
    <n v="133803"/>
    <d v="2023-10-09T00:00:00"/>
    <x v="438"/>
    <x v="1"/>
    <n v="2.16E-3"/>
    <n v="289.01447999999999"/>
    <s v="PS"/>
    <x v="7"/>
    <x v="54"/>
    <s v="Q4"/>
    <n v="275"/>
    <n v="486.55636363636364"/>
    <s v="Facepieces"/>
    <n v="0.95"/>
    <n v="127112.84999999999"/>
    <n v="274.56375599999996"/>
    <n v="462.22854545454544"/>
  </r>
  <r>
    <n v="69704150"/>
    <x v="25"/>
    <m/>
    <d v="2023-10-16T00:00:00"/>
    <x v="438"/>
    <x v="1"/>
    <n v="2.16E-3"/>
    <n v="0"/>
    <s v="PS"/>
    <x v="7"/>
    <x v="54"/>
    <s v="Q4"/>
    <n v="275"/>
    <n v="0"/>
    <s v="Facepieces"/>
    <n v="0.95"/>
    <n v="0"/>
    <n v="0"/>
    <n v="0"/>
  </r>
  <r>
    <n v="69704150"/>
    <x v="25"/>
    <m/>
    <d v="2023-10-23T00:00:00"/>
    <x v="438"/>
    <x v="1"/>
    <n v="2.16E-3"/>
    <n v="0"/>
    <s v="PS"/>
    <x v="7"/>
    <x v="54"/>
    <s v="Q4"/>
    <n v="275"/>
    <n v="0"/>
    <s v="Facepieces"/>
    <n v="0.95"/>
    <n v="0"/>
    <n v="0"/>
    <n v="0"/>
  </r>
  <r>
    <n v="69704150"/>
    <x v="25"/>
    <m/>
    <d v="2023-10-30T00:00:00"/>
    <x v="438"/>
    <x v="1"/>
    <n v="2.16E-3"/>
    <n v="0"/>
    <s v="PS"/>
    <x v="7"/>
    <x v="54"/>
    <s v="Q4"/>
    <n v="275"/>
    <n v="0"/>
    <s v="Facepieces"/>
    <n v="0.95"/>
    <n v="0"/>
    <n v="0"/>
    <n v="0"/>
  </r>
  <r>
    <n v="69704150"/>
    <x v="25"/>
    <n v="58125"/>
    <d v="2023-11-06T00:00:00"/>
    <x v="438"/>
    <x v="1"/>
    <n v="2.16E-3"/>
    <n v="125.55"/>
    <s v="PS"/>
    <x v="10"/>
    <x v="54"/>
    <s v="Q4"/>
    <n v="275"/>
    <n v="211.36363636363637"/>
    <s v="Facepieces"/>
    <n v="0.95"/>
    <n v="55218.75"/>
    <n v="119.27249999999999"/>
    <n v="200.79545454545453"/>
  </r>
  <r>
    <n v="69704150"/>
    <x v="25"/>
    <n v="2100"/>
    <s v="05/10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2100"/>
    <s v="05/10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1470"/>
    <s v="05/10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0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1470"/>
    <s v="05/10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0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49"/>
    <x v="25"/>
    <n v="2730"/>
    <s v="05/10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1470"/>
    <s v="05/10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50"/>
    <x v="25"/>
    <n v="2100"/>
    <s v="05/10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2100"/>
    <s v="05/10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100"/>
    <s v="05/10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2100"/>
    <s v="05/10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730"/>
    <s v="05/10/2023"/>
    <x v="438"/>
    <x v="46"/>
    <n v="2.16E-3"/>
    <n v="5.8967999999999998"/>
    <s v="PS"/>
    <x v="4"/>
    <x v="54"/>
    <s v="Q2"/>
    <n v="275"/>
    <n v="9.9272727272727277"/>
    <s v="Facepieces"/>
    <n v="0.95"/>
    <n v="2593.5"/>
    <n v="5.6019599999999992"/>
    <n v="9.4309090909090916"/>
  </r>
  <r>
    <n v="69704149"/>
    <x v="25"/>
    <n v="1470"/>
    <s v="05/10/2023"/>
    <x v="439"/>
    <x v="46"/>
    <n v="1.8E-3"/>
    <n v="2.6459999999999999"/>
    <s v="PS"/>
    <x v="4"/>
    <x v="54"/>
    <s v="Q2"/>
    <n v="275"/>
    <n v="5.3454545454545457"/>
    <s v="Facepieces"/>
    <n v="0.95"/>
    <n v="1396.5"/>
    <n v="2.5136999999999996"/>
    <n v="5.0781818181818181"/>
  </r>
  <r>
    <n v="69704150"/>
    <x v="25"/>
    <n v="1470"/>
    <s v="05/10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0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49"/>
    <x v="25"/>
    <n v="4200"/>
    <s v="05/15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5/15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5/15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5/15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5/15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5/15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5/15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1470"/>
    <s v="05/15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5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1470"/>
    <s v="05/15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5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1050"/>
    <s v="05/15/2023"/>
    <x v="438"/>
    <x v="46"/>
    <n v="2.16E-3"/>
    <n v="2.2680000000000002"/>
    <s v="PS"/>
    <x v="4"/>
    <x v="54"/>
    <s v="Q2"/>
    <n v="275"/>
    <n v="3.8181818181818183"/>
    <s v="Facepieces"/>
    <n v="0.95"/>
    <n v="997.5"/>
    <n v="2.1546000000000003"/>
    <n v="3.6272727272727274"/>
  </r>
  <r>
    <n v="69704149"/>
    <x v="25"/>
    <n v="3150"/>
    <s v="05/15/2023"/>
    <x v="439"/>
    <x v="46"/>
    <n v="1.8E-3"/>
    <n v="5.67"/>
    <s v="PS"/>
    <x v="4"/>
    <x v="54"/>
    <s v="Q2"/>
    <n v="275"/>
    <n v="11.454545454545455"/>
    <s v="Facepieces"/>
    <n v="0.95"/>
    <n v="2992.5"/>
    <n v="5.3864999999999998"/>
    <n v="10.881818181818181"/>
  </r>
  <r>
    <n v="69704150"/>
    <x v="25"/>
    <n v="4200"/>
    <s v="05/15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1470"/>
    <s v="05/15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5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1470"/>
    <s v="05/15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5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1470"/>
    <s v="05/10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0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4200"/>
    <s v="05/1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15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15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15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1470"/>
    <s v="05/15/2023"/>
    <x v="438"/>
    <x v="46"/>
    <n v="2.16E-3"/>
    <n v="3.1752000000000002"/>
    <s v="PS"/>
    <x v="4"/>
    <x v="54"/>
    <s v="Q2"/>
    <n v="275"/>
    <n v="5.3454545454545457"/>
    <s v="Facepieces"/>
    <n v="0.95"/>
    <n v="1396.5"/>
    <n v="3.0164400000000002"/>
    <n v="5.0781818181818181"/>
  </r>
  <r>
    <n v="69704149"/>
    <x v="25"/>
    <n v="2730"/>
    <s v="05/15/2023"/>
    <x v="439"/>
    <x v="46"/>
    <n v="1.8E-3"/>
    <n v="4.9139999999999997"/>
    <s v="PS"/>
    <x v="4"/>
    <x v="54"/>
    <s v="Q2"/>
    <n v="275"/>
    <n v="9.9272727272727277"/>
    <s v="Facepieces"/>
    <n v="0.95"/>
    <n v="2593.5"/>
    <n v="4.6682999999999995"/>
    <n v="9.4309090909090916"/>
  </r>
  <r>
    <n v="69704150"/>
    <x v="25"/>
    <n v="4200"/>
    <s v="05/1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1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1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1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0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0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0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0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0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31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31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31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31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31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49"/>
    <x v="25"/>
    <n v="2100"/>
    <s v="05/28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100"/>
    <s v="05/28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31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49"/>
    <x v="25"/>
    <n v="2100"/>
    <s v="05/29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100"/>
    <s v="05/29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4177"/>
    <s v="05/30/2023"/>
    <x v="439"/>
    <x v="46"/>
    <n v="1.8E-3"/>
    <n v="7.5186000000000002"/>
    <s v="PS"/>
    <x v="4"/>
    <x v="54"/>
    <s v="Q2"/>
    <n v="275"/>
    <n v="15.189090909090909"/>
    <s v="Facepieces"/>
    <n v="0.95"/>
    <n v="3968.1499999999996"/>
    <n v="7.1426699999999999"/>
    <n v="14.429636363636364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5/27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49"/>
    <x v="25"/>
    <n v="4200"/>
    <s v="05/28/2023"/>
    <x v="439"/>
    <x v="46"/>
    <n v="1.8E-3"/>
    <n v="7.56"/>
    <s v="PS"/>
    <x v="4"/>
    <x v="54"/>
    <s v="Q2"/>
    <n v="275"/>
    <n v="15.272727272727273"/>
    <s v="Facepieces"/>
    <n v="0.95"/>
    <n v="3990"/>
    <n v="7.1819999999999995"/>
    <n v="14.50909090909091"/>
  </r>
  <r>
    <n v="69704150"/>
    <x v="25"/>
    <n v="4200"/>
    <s v="05/28/2023"/>
    <x v="438"/>
    <x v="46"/>
    <n v="2.16E-3"/>
    <n v="9.072000000000001"/>
    <s v="PS"/>
    <x v="4"/>
    <x v="54"/>
    <s v="Q2"/>
    <n v="275"/>
    <n v="15.272727272727273"/>
    <s v="Facepieces"/>
    <n v="0.95"/>
    <n v="3990"/>
    <n v="8.6184000000000012"/>
    <n v="14.50909090909091"/>
  </r>
  <r>
    <n v="69704149"/>
    <x v="25"/>
    <n v="2100"/>
    <s v="05/28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100"/>
    <s v="05/28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2100"/>
    <s v="05/28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100"/>
    <s v="05/28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2100"/>
    <s v="05/29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100"/>
    <s v="05/29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50"/>
    <x v="25"/>
    <n v="2100"/>
    <s v="05/29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2100"/>
    <s v="05/29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49"/>
    <x v="25"/>
    <n v="2100"/>
    <s v="05/29/2023"/>
    <x v="439"/>
    <x v="46"/>
    <n v="1.8E-3"/>
    <n v="3.78"/>
    <s v="PS"/>
    <x v="4"/>
    <x v="54"/>
    <s v="Q2"/>
    <n v="275"/>
    <n v="7.6363636363636367"/>
    <s v="Facepieces"/>
    <n v="0.95"/>
    <n v="1995"/>
    <n v="3.5909999999999997"/>
    <n v="7.2545454545454549"/>
  </r>
  <r>
    <n v="69704150"/>
    <x v="25"/>
    <n v="2100"/>
    <s v="05/29/2023"/>
    <x v="438"/>
    <x v="46"/>
    <n v="2.16E-3"/>
    <n v="4.5360000000000005"/>
    <s v="PS"/>
    <x v="4"/>
    <x v="54"/>
    <s v="Q2"/>
    <n v="275"/>
    <n v="7.6363636363636367"/>
    <s v="Facepieces"/>
    <n v="0.95"/>
    <n v="1995"/>
    <n v="4.3092000000000006"/>
    <n v="7.2545454545454549"/>
  </r>
  <r>
    <n v="69704149"/>
    <x v="25"/>
    <n v="4119"/>
    <s v="06/07/2023"/>
    <x v="439"/>
    <x v="46"/>
    <n v="1.8E-3"/>
    <n v="7.4142000000000001"/>
    <s v="PS"/>
    <x v="5"/>
    <x v="54"/>
    <s v="Q2"/>
    <n v="275"/>
    <n v="14.978181818181818"/>
    <s v="Facepieces"/>
    <n v="0.95"/>
    <n v="3913.0499999999997"/>
    <n v="7.0434899999999994"/>
    <n v="14.229272727272727"/>
  </r>
  <r>
    <n v="69704149"/>
    <x v="25"/>
    <n v="4028"/>
    <s v="06/07/2023"/>
    <x v="439"/>
    <x v="46"/>
    <n v="1.8E-3"/>
    <n v="7.2504"/>
    <s v="PS"/>
    <x v="5"/>
    <x v="54"/>
    <s v="Q2"/>
    <n v="275"/>
    <n v="14.647272727272727"/>
    <s v="Facepieces"/>
    <n v="0.95"/>
    <n v="3826.6"/>
    <n v="6.88788"/>
    <n v="13.91490909090909"/>
  </r>
  <r>
    <n v="69704150"/>
    <x v="25"/>
    <n v="4200"/>
    <s v="06/07/2023"/>
    <x v="438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50"/>
    <x v="25"/>
    <n v="4200"/>
    <s v="06/07/2023"/>
    <x v="438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49"/>
    <x v="25"/>
    <n v="3915"/>
    <s v="06/07/2023"/>
    <x v="439"/>
    <x v="46"/>
    <n v="1.8E-3"/>
    <n v="7.0469999999999997"/>
    <s v="PS"/>
    <x v="5"/>
    <x v="54"/>
    <s v="Q2"/>
    <n v="275"/>
    <n v="14.236363636363636"/>
    <s v="Facepieces"/>
    <n v="0.95"/>
    <n v="3719.25"/>
    <n v="6.6946499999999993"/>
    <n v="13.524545454545454"/>
  </r>
  <r>
    <n v="69704149"/>
    <x v="25"/>
    <n v="4200"/>
    <s v="06/07/2023"/>
    <x v="439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6/07/2023"/>
    <x v="439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50"/>
    <x v="25"/>
    <n v="3993"/>
    <s v="06/07/2023"/>
    <x v="438"/>
    <x v="46"/>
    <n v="2.16E-3"/>
    <n v="8.624880000000001"/>
    <s v="PS"/>
    <x v="5"/>
    <x v="54"/>
    <s v="Q2"/>
    <n v="275"/>
    <n v="14.52"/>
    <s v="Facepieces"/>
    <n v="0.95"/>
    <n v="3793.35"/>
    <n v="8.1936359999999997"/>
    <n v="13.793999999999999"/>
  </r>
  <r>
    <n v="69704150"/>
    <x v="25"/>
    <n v="4200"/>
    <s v="06/07/2023"/>
    <x v="438"/>
    <x v="46"/>
    <n v="2.16E-3"/>
    <n v="9.072000000000001"/>
    <s v="PS"/>
    <x v="5"/>
    <x v="54"/>
    <s v="Q2"/>
    <n v="275"/>
    <n v="15.272727272727273"/>
    <s v="Facepieces"/>
    <n v="0.95"/>
    <n v="3990"/>
    <n v="8.6184000000000012"/>
    <n v="14.50909090909091"/>
  </r>
  <r>
    <n v="69704150"/>
    <x v="25"/>
    <n v="4153"/>
    <s v="06/07/2023"/>
    <x v="438"/>
    <x v="46"/>
    <n v="2.16E-3"/>
    <n v="8.9704800000000002"/>
    <s v="PS"/>
    <x v="5"/>
    <x v="54"/>
    <s v="Q2"/>
    <n v="275"/>
    <n v="15.101818181818182"/>
    <s v="Facepieces"/>
    <n v="0.95"/>
    <n v="3945.35"/>
    <n v="8.5219559999999994"/>
    <n v="14.346727272727271"/>
  </r>
  <r>
    <n v="69704150"/>
    <x v="25"/>
    <n v="4098"/>
    <s v="06/07/2023"/>
    <x v="438"/>
    <x v="46"/>
    <n v="2.16E-3"/>
    <n v="8.85168"/>
    <s v="PS"/>
    <x v="5"/>
    <x v="54"/>
    <s v="Q2"/>
    <n v="275"/>
    <n v="14.901818181818182"/>
    <s v="Facepieces"/>
    <n v="0.95"/>
    <n v="3893.1"/>
    <n v="8.4090959999999999"/>
    <n v="14.156727272727272"/>
  </r>
  <r>
    <n v="69704150"/>
    <x v="25"/>
    <n v="4032"/>
    <s v="06/07/2023"/>
    <x v="438"/>
    <x v="46"/>
    <n v="2.16E-3"/>
    <n v="8.7091200000000004"/>
    <s v="PS"/>
    <x v="5"/>
    <x v="54"/>
    <s v="Q2"/>
    <n v="275"/>
    <n v="14.661818181818182"/>
    <s v="Facepieces"/>
    <n v="0.95"/>
    <n v="3830.3999999999996"/>
    <n v="8.2736640000000001"/>
    <n v="13.928727272727272"/>
  </r>
  <r>
    <n v="69704150"/>
    <x v="25"/>
    <n v="3817"/>
    <s v="06/07/2023"/>
    <x v="438"/>
    <x v="46"/>
    <n v="2.16E-3"/>
    <n v="8.2447200000000009"/>
    <s v="PS"/>
    <x v="5"/>
    <x v="54"/>
    <s v="Q2"/>
    <n v="275"/>
    <n v="13.88"/>
    <s v="Facepieces"/>
    <n v="0.95"/>
    <n v="3626.1499999999996"/>
    <n v="7.8324840000000009"/>
    <n v="13.186"/>
  </r>
  <r>
    <n v="69704149"/>
    <x v="25"/>
    <n v="4200"/>
    <s v="06/07/2023"/>
    <x v="439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6/07/2023"/>
    <x v="439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6/07/2023"/>
    <x v="439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49"/>
    <x v="25"/>
    <n v="4200"/>
    <s v="06/07/2023"/>
    <x v="439"/>
    <x v="46"/>
    <n v="1.8E-3"/>
    <n v="7.56"/>
    <s v="PS"/>
    <x v="5"/>
    <x v="54"/>
    <s v="Q2"/>
    <n v="275"/>
    <n v="15.272727272727273"/>
    <s v="Facepieces"/>
    <n v="0.95"/>
    <n v="3990"/>
    <n v="7.1819999999999995"/>
    <n v="14.50909090909091"/>
  </r>
  <r>
    <n v="69704149"/>
    <x v="25"/>
    <n v="3965"/>
    <s v="06/07/2023"/>
    <x v="439"/>
    <x v="46"/>
    <n v="1.8E-3"/>
    <n v="7.1369999999999996"/>
    <s v="PS"/>
    <x v="5"/>
    <x v="54"/>
    <s v="Q2"/>
    <n v="275"/>
    <n v="14.418181818181818"/>
    <s v="Facepieces"/>
    <n v="0.95"/>
    <n v="3766.75"/>
    <n v="6.780149999999999"/>
    <n v="13.697272727272727"/>
  </r>
  <r>
    <n v="69704150"/>
    <x v="25"/>
    <n v="4084"/>
    <s v="06/07/2023"/>
    <x v="438"/>
    <x v="46"/>
    <n v="2.16E-3"/>
    <n v="8.8214400000000008"/>
    <s v="PS"/>
    <x v="5"/>
    <x v="54"/>
    <s v="Q2"/>
    <n v="275"/>
    <n v="14.850909090909092"/>
    <s v="Facepieces"/>
    <n v="0.95"/>
    <n v="3879.7999999999997"/>
    <n v="8.3803680000000007"/>
    <n v="14.108363636363636"/>
  </r>
  <r>
    <n v="69704149"/>
    <x v="25"/>
    <n v="4060"/>
    <s v="06/14/2023"/>
    <x v="439"/>
    <x v="46"/>
    <n v="1.8E-3"/>
    <n v="7.3079999999999998"/>
    <s v="PS"/>
    <x v="5"/>
    <x v="54"/>
    <s v="Q2"/>
    <n v="275"/>
    <n v="14.763636363636364"/>
    <s v="Facepieces"/>
    <n v="0.95"/>
    <n v="3857"/>
    <n v="6.9425999999999997"/>
    <n v="14.025454545454545"/>
  </r>
  <r>
    <n v="69704149"/>
    <x v="25"/>
    <n v="4029"/>
    <s v="06/14/2023"/>
    <x v="439"/>
    <x v="46"/>
    <n v="1.8E-3"/>
    <n v="7.2522000000000002"/>
    <s v="PS"/>
    <x v="5"/>
    <x v="54"/>
    <s v="Q2"/>
    <n v="275"/>
    <n v="14.65090909090909"/>
    <s v="Facepieces"/>
    <n v="0.95"/>
    <n v="3827.5499999999997"/>
    <n v="6.8895900000000001"/>
    <n v="13.918363636363635"/>
  </r>
  <r>
    <n v="69704149"/>
    <x v="25"/>
    <n v="4130"/>
    <s v="06/14/2023"/>
    <x v="439"/>
    <x v="46"/>
    <n v="1.8E-3"/>
    <n v="7.4340000000000002"/>
    <s v="PS"/>
    <x v="5"/>
    <x v="54"/>
    <s v="Q2"/>
    <n v="275"/>
    <n v="15.018181818181818"/>
    <s v="Facepieces"/>
    <n v="0.95"/>
    <n v="3923.5"/>
    <n v="7.0622999999999996"/>
    <n v="14.267272727272726"/>
  </r>
  <r>
    <n v="69704149"/>
    <x v="25"/>
    <n v="4056"/>
    <s v="06/14/2023"/>
    <x v="439"/>
    <x v="46"/>
    <n v="1.8E-3"/>
    <n v="7.3007999999999997"/>
    <s v="PS"/>
    <x v="5"/>
    <x v="54"/>
    <s v="Q2"/>
    <n v="275"/>
    <n v="14.74909090909091"/>
    <s v="Facepieces"/>
    <n v="0.95"/>
    <n v="3853.2"/>
    <n v="6.9357599999999993"/>
    <n v="14.011636363636363"/>
  </r>
  <r>
    <n v="69704149"/>
    <x v="25"/>
    <n v="4166"/>
    <s v="06/14/2023"/>
    <x v="439"/>
    <x v="46"/>
    <n v="1.8E-3"/>
    <n v="7.4988000000000001"/>
    <s v="PS"/>
    <x v="5"/>
    <x v="54"/>
    <s v="Q2"/>
    <n v="275"/>
    <n v="15.149090909090908"/>
    <s v="Facepieces"/>
    <n v="0.95"/>
    <n v="3957.7"/>
    <n v="7.1238599999999996"/>
    <n v="14.391636363636362"/>
  </r>
  <r>
    <n v="69704150"/>
    <x v="25"/>
    <n v="4100"/>
    <s v="06/14/2023"/>
    <x v="438"/>
    <x v="46"/>
    <n v="2.16E-3"/>
    <n v="8.8559999999999999"/>
    <s v="PS"/>
    <x v="5"/>
    <x v="54"/>
    <s v="Q2"/>
    <n v="275"/>
    <n v="14.909090909090908"/>
    <s v="Facepieces"/>
    <n v="0.95"/>
    <n v="3895"/>
    <n v="8.4131999999999998"/>
    <n v="14.163636363636362"/>
  </r>
  <r>
    <n v="69704150"/>
    <x v="25"/>
    <n v="4018"/>
    <s v="06/14/2023"/>
    <x v="438"/>
    <x v="46"/>
    <n v="2.16E-3"/>
    <n v="8.6788799999999995"/>
    <s v="PS"/>
    <x v="5"/>
    <x v="54"/>
    <s v="Q2"/>
    <n v="275"/>
    <n v="14.610909090909091"/>
    <s v="Facepieces"/>
    <n v="0.95"/>
    <n v="3817.1"/>
    <n v="8.2449359999999992"/>
    <n v="13.880363636363636"/>
  </r>
  <r>
    <n v="69704150"/>
    <x v="25"/>
    <n v="3990"/>
    <s v="06/14/2023"/>
    <x v="438"/>
    <x v="46"/>
    <n v="2.16E-3"/>
    <n v="8.6183999999999994"/>
    <s v="PS"/>
    <x v="5"/>
    <x v="54"/>
    <s v="Q2"/>
    <n v="275"/>
    <n v="14.50909090909091"/>
    <s v="Facepieces"/>
    <n v="0.95"/>
    <n v="3790.5"/>
    <n v="8.187479999999999"/>
    <n v="13.783636363636363"/>
  </r>
  <r>
    <n v="69704150"/>
    <x v="25"/>
    <n v="3943"/>
    <s v="06/14/2023"/>
    <x v="438"/>
    <x v="46"/>
    <n v="2.16E-3"/>
    <n v="8.5168800000000005"/>
    <s v="PS"/>
    <x v="5"/>
    <x v="54"/>
    <s v="Q2"/>
    <n v="275"/>
    <n v="14.338181818181818"/>
    <s v="Facepieces"/>
    <n v="0.95"/>
    <n v="3745.85"/>
    <n v="8.0910360000000008"/>
    <n v="13.621272727272727"/>
  </r>
  <r>
    <n v="69704150"/>
    <x v="25"/>
    <n v="3934"/>
    <s v="06/14/2023"/>
    <x v="438"/>
    <x v="46"/>
    <n v="2.16E-3"/>
    <n v="8.497440000000001"/>
    <s v="PS"/>
    <x v="5"/>
    <x v="54"/>
    <s v="Q2"/>
    <n v="275"/>
    <n v="14.305454545454545"/>
    <s v="Facepieces"/>
    <n v="0.95"/>
    <n v="3737.2999999999997"/>
    <n v="8.0725680000000004"/>
    <n v="13.590181818181817"/>
  </r>
  <r>
    <n v="69704150"/>
    <x v="25"/>
    <n v="3925"/>
    <s v="06/14/2023"/>
    <x v="438"/>
    <x v="46"/>
    <n v="2.16E-3"/>
    <n v="8.4779999999999998"/>
    <s v="PS"/>
    <x v="5"/>
    <x v="54"/>
    <s v="Q2"/>
    <n v="275"/>
    <n v="14.272727272727273"/>
    <s v="Facepieces"/>
    <n v="0.95"/>
    <n v="3728.75"/>
    <n v="8.0541"/>
    <n v="13.559090909090909"/>
  </r>
  <r>
    <n v="68729137"/>
    <x v="8"/>
    <n v="3400"/>
    <s v="05/15/2023"/>
    <x v="236"/>
    <x v="47"/>
    <n v="2.7000000000000001E-3"/>
    <n v="9.18"/>
    <s v="MG"/>
    <x v="4"/>
    <x v="21"/>
    <s v="Q2"/>
    <n v="170"/>
    <n v="20"/>
    <s v="MG Sticks ND"/>
    <n v="1"/>
    <n v="3400"/>
    <n v="9.18"/>
    <n v="20"/>
  </r>
  <r>
    <n v="68729137"/>
    <x v="26"/>
    <n v="3400"/>
    <s v="05/15/2023"/>
    <x v="236"/>
    <x v="47"/>
    <n v="2.7000000000000001E-3"/>
    <n v="9.18"/>
    <s v="MG"/>
    <x v="4"/>
    <x v="65"/>
    <s v="Q2"/>
    <n v="170"/>
    <n v="20"/>
    <s v="MG Sticks ND"/>
    <n v="1"/>
    <n v="3400"/>
    <n v="9.18"/>
    <n v="20"/>
  </r>
  <r>
    <n v="68729137"/>
    <x v="8"/>
    <n v="3570"/>
    <s v="05/29/2023"/>
    <x v="236"/>
    <x v="47"/>
    <n v="2.7000000000000001E-3"/>
    <n v="9.6390000000000011"/>
    <s v="MG"/>
    <x v="4"/>
    <x v="21"/>
    <s v="Q2"/>
    <n v="170"/>
    <n v="21"/>
    <s v="MG Sticks ND"/>
    <n v="1"/>
    <n v="3570"/>
    <n v="9.6390000000000011"/>
    <n v="21"/>
  </r>
  <r>
    <n v="68729137"/>
    <x v="8"/>
    <n v="3400"/>
    <s v="06/04/2023"/>
    <x v="236"/>
    <x v="47"/>
    <n v="2.7000000000000001E-3"/>
    <n v="9.18"/>
    <s v="MG"/>
    <x v="5"/>
    <x v="21"/>
    <s v="Q2"/>
    <n v="170"/>
    <n v="20"/>
    <s v="MG Sticks ND"/>
    <n v="1"/>
    <n v="3400"/>
    <n v="9.18"/>
    <n v="20"/>
  </r>
  <r>
    <n v="68729137"/>
    <x v="8"/>
    <n v="3332"/>
    <s v="06/07/2023"/>
    <x v="236"/>
    <x v="47"/>
    <n v="2.7000000000000001E-3"/>
    <n v="8.9964000000000013"/>
    <s v="MG"/>
    <x v="5"/>
    <x v="21"/>
    <s v="Q2"/>
    <n v="170"/>
    <n v="19.600000000000001"/>
    <s v="MG Sticks ND"/>
    <n v="1"/>
    <n v="3332"/>
    <n v="8.9964000000000013"/>
    <n v="19.600000000000001"/>
  </r>
  <r>
    <n v="68729137"/>
    <x v="8"/>
    <n v="3400"/>
    <s v="06/07/2023"/>
    <x v="236"/>
    <x v="47"/>
    <n v="2.7000000000000001E-3"/>
    <n v="9.18"/>
    <s v="MG"/>
    <x v="5"/>
    <x v="21"/>
    <s v="Q2"/>
    <n v="170"/>
    <n v="20"/>
    <s v="MG Sticks ND"/>
    <n v="1"/>
    <n v="3400"/>
    <n v="9.18"/>
    <n v="20"/>
  </r>
  <r>
    <n v="68729137"/>
    <x v="8"/>
    <n v="3400"/>
    <s v="06/07/2023"/>
    <x v="236"/>
    <x v="47"/>
    <n v="2.7000000000000001E-3"/>
    <n v="9.18"/>
    <s v="MG"/>
    <x v="5"/>
    <x v="21"/>
    <s v="Q2"/>
    <n v="170"/>
    <n v="20"/>
    <s v="MG Sticks ND"/>
    <n v="1"/>
    <n v="3400"/>
    <n v="9.18"/>
    <n v="20"/>
  </r>
  <r>
    <n v="68729137"/>
    <x v="8"/>
    <n v="3400"/>
    <s v="06/07/2023"/>
    <x v="236"/>
    <x v="47"/>
    <n v="2.7000000000000001E-3"/>
    <n v="9.18"/>
    <s v="MG"/>
    <x v="5"/>
    <x v="21"/>
    <s v="Q2"/>
    <n v="170"/>
    <n v="20"/>
    <s v="MG Sticks ND"/>
    <n v="1"/>
    <n v="3400"/>
    <n v="9.18"/>
    <n v="20"/>
  </r>
  <r>
    <n v="69628686"/>
    <x v="4"/>
    <n v="2394"/>
    <s v="04/05/2023"/>
    <x v="263"/>
    <x v="48"/>
    <n v="5.3220000000000003E-3"/>
    <n v="12.740868000000001"/>
    <s v="KL"/>
    <x v="1"/>
    <x v="13"/>
    <s v="Q2"/>
    <n v="120"/>
    <n v="19.95"/>
    <s v="KL Mini Cones"/>
    <n v="0.95"/>
    <n v="2274.2999999999997"/>
    <n v="12.103824599999999"/>
    <n v="18.952499999999997"/>
  </r>
  <r>
    <n v="69628686"/>
    <x v="4"/>
    <n v="2400"/>
    <s v="04/05/2023"/>
    <x v="263"/>
    <x v="48"/>
    <n v="5.3220000000000003E-3"/>
    <n v="12.7728"/>
    <s v="KL"/>
    <x v="1"/>
    <x v="13"/>
    <s v="Q2"/>
    <n v="120"/>
    <n v="20"/>
    <s v="KL Mini Cones"/>
    <n v="0.95"/>
    <n v="2280"/>
    <n v="12.13416"/>
    <n v="19"/>
  </r>
  <r>
    <n v="69628686"/>
    <x v="4"/>
    <n v="2400"/>
    <s v="04/05/2023"/>
    <x v="263"/>
    <x v="48"/>
    <n v="5.3220000000000003E-3"/>
    <n v="12.7728"/>
    <s v="KL"/>
    <x v="1"/>
    <x v="13"/>
    <s v="Q2"/>
    <n v="120"/>
    <n v="20"/>
    <s v="KL Mini Cones"/>
    <n v="0.95"/>
    <n v="2280"/>
    <n v="12.13416"/>
    <n v="19"/>
  </r>
  <r>
    <n v="69586720"/>
    <x v="4"/>
    <n v="1540"/>
    <s v="04/05/2023"/>
    <x v="302"/>
    <x v="48"/>
    <n v="2.6610000000000002E-3"/>
    <n v="4.0979400000000004"/>
    <s v="KL"/>
    <x v="1"/>
    <x v="13"/>
    <s v="Q2"/>
    <n v="220"/>
    <n v="7"/>
    <s v="KL Mini Cones"/>
    <n v="0.95"/>
    <n v="1463"/>
    <n v="3.893043"/>
    <n v="6.6499999999999995"/>
  </r>
  <r>
    <n v="69629469"/>
    <x v="4"/>
    <n v="2400"/>
    <s v="05/12/2023"/>
    <x v="8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8686"/>
    <x v="4"/>
    <n v="2400"/>
    <s v="05/03/2023"/>
    <x v="26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8686"/>
    <x v="4"/>
    <n v="2400"/>
    <s v="05/12/2023"/>
    <x v="26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17285"/>
    <x v="4"/>
    <n v="3578"/>
    <s v="05/12/2023"/>
    <x v="82"/>
    <x v="48"/>
    <n v="2.6610000000000002E-3"/>
    <n v="9.521058"/>
    <s v="PS"/>
    <x v="4"/>
    <x v="13"/>
    <s v="Q2"/>
    <n v="180"/>
    <n v="19.877777777777776"/>
    <s v="KL Mini Cones"/>
    <n v="0.95"/>
    <n v="3399.1"/>
    <n v="9.0450050999999991"/>
    <n v="18.883888888888887"/>
  </r>
  <r>
    <n v="69628686"/>
    <x v="4"/>
    <n v="2400"/>
    <s v="05/12/2023"/>
    <x v="26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586720"/>
    <x v="4"/>
    <n v="2865"/>
    <s v="05/12/2023"/>
    <x v="302"/>
    <x v="48"/>
    <n v="2.6610000000000002E-3"/>
    <n v="7.6237650000000006"/>
    <s v="KL"/>
    <x v="4"/>
    <x v="13"/>
    <s v="Q2"/>
    <n v="220"/>
    <n v="13.022727272727273"/>
    <s v="KL Mini Cones"/>
    <n v="0.95"/>
    <n v="2721.75"/>
    <n v="7.2425767500000005"/>
    <n v="12.371590909090909"/>
  </r>
  <r>
    <n v="69628686"/>
    <x v="4"/>
    <n v="720"/>
    <s v="05/12/2023"/>
    <x v="263"/>
    <x v="48"/>
    <n v="5.3220000000000003E-3"/>
    <n v="3.8318400000000001"/>
    <s v="KL"/>
    <x v="4"/>
    <x v="13"/>
    <s v="Q2"/>
    <n v="120"/>
    <n v="6"/>
    <s v="KL Mini Cones"/>
    <n v="0.95"/>
    <n v="684"/>
    <n v="3.6402480000000002"/>
    <n v="5.6999999999999993"/>
  </r>
  <r>
    <n v="69629469"/>
    <x v="4"/>
    <n v="2400"/>
    <s v="05/15/2023"/>
    <x v="8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9469"/>
    <x v="4"/>
    <n v="2400"/>
    <s v="05/15/2023"/>
    <x v="8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8686"/>
    <x v="4"/>
    <n v="2400"/>
    <s v="05/15/2023"/>
    <x v="26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8686"/>
    <x v="4"/>
    <n v="2400"/>
    <s v="05/15/2023"/>
    <x v="26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8686"/>
    <x v="4"/>
    <n v="2400"/>
    <s v="05/15/2023"/>
    <x v="26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17285"/>
    <x v="4"/>
    <n v="3600"/>
    <s v="05/15/2023"/>
    <x v="82"/>
    <x v="48"/>
    <n v="2.6610000000000002E-3"/>
    <n v="9.579600000000001"/>
    <s v="PS"/>
    <x v="4"/>
    <x v="13"/>
    <s v="Q2"/>
    <n v="180"/>
    <n v="20"/>
    <s v="KL Mini Cones"/>
    <n v="0.95"/>
    <n v="3420"/>
    <n v="9.100620000000001"/>
    <n v="19"/>
  </r>
  <r>
    <n v="69629469"/>
    <x v="4"/>
    <n v="2246"/>
    <s v="05/15/2023"/>
    <x v="83"/>
    <x v="48"/>
    <n v="5.3220000000000003E-3"/>
    <n v="11.953212000000001"/>
    <s v="KL"/>
    <x v="4"/>
    <x v="13"/>
    <s v="Q2"/>
    <n v="120"/>
    <n v="18.716666666666665"/>
    <s v="KL Mini Cones"/>
    <n v="0.95"/>
    <n v="2133.6999999999998"/>
    <n v="11.3555514"/>
    <n v="17.78083333333333"/>
  </r>
  <r>
    <n v="68842352"/>
    <x v="4"/>
    <n v="210"/>
    <s v="05/15/2023"/>
    <x v="76"/>
    <x v="48"/>
    <n v="2.6610000000000002E-3"/>
    <n v="0.55881000000000003"/>
    <s v="KL"/>
    <x v="4"/>
    <x v="13"/>
    <s v="Q2"/>
    <n v="220"/>
    <n v="0.95454545454545459"/>
    <s v="KL Mini Cones"/>
    <n v="0.95"/>
    <n v="199.5"/>
    <n v="0.53086949999999999"/>
    <n v="0.90681818181818186"/>
  </r>
  <r>
    <n v="69629469"/>
    <x v="4"/>
    <n v="2400"/>
    <s v="05/15/2023"/>
    <x v="8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8686"/>
    <x v="4"/>
    <n v="2400"/>
    <s v="05/15/2023"/>
    <x v="26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17285"/>
    <x v="4"/>
    <n v="3587"/>
    <s v="05/15/2023"/>
    <x v="82"/>
    <x v="48"/>
    <n v="2.6610000000000002E-3"/>
    <n v="9.545007"/>
    <s v="PS"/>
    <x v="4"/>
    <x v="13"/>
    <s v="Q2"/>
    <n v="180"/>
    <n v="19.927777777777777"/>
    <s v="KL Mini Cones"/>
    <n v="0.95"/>
    <n v="3407.6499999999996"/>
    <n v="9.0677566499999998"/>
    <n v="18.931388888888886"/>
  </r>
  <r>
    <n v="69629469"/>
    <x v="4"/>
    <n v="2400"/>
    <s v="05/18/2023"/>
    <x v="8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29469"/>
    <x v="4"/>
    <n v="2400"/>
    <s v="05/23/2023"/>
    <x v="83"/>
    <x v="48"/>
    <n v="5.3220000000000003E-3"/>
    <n v="12.7728"/>
    <s v="KL"/>
    <x v="4"/>
    <x v="13"/>
    <s v="Q2"/>
    <n v="120"/>
    <n v="20"/>
    <s v="KL Mini Cones"/>
    <n v="0.95"/>
    <n v="2280"/>
    <n v="12.13416"/>
    <n v="19"/>
  </r>
  <r>
    <n v="69617285"/>
    <x v="4"/>
    <n v="3600"/>
    <s v="05/30/2023"/>
    <x v="82"/>
    <x v="48"/>
    <n v="2.6610000000000002E-3"/>
    <n v="9.579600000000001"/>
    <s v="PS"/>
    <x v="4"/>
    <x v="13"/>
    <s v="Q2"/>
    <n v="180"/>
    <n v="20"/>
    <s v="KL Mini Cones"/>
    <n v="0.95"/>
    <n v="3420"/>
    <n v="9.100620000000001"/>
    <n v="19"/>
  </r>
  <r>
    <n v="69617285"/>
    <x v="4"/>
    <n v="3394"/>
    <s v="06/10/2023"/>
    <x v="82"/>
    <x v="48"/>
    <n v="2.6610000000000002E-3"/>
    <n v="9.0314340000000009"/>
    <s v="PS"/>
    <x v="5"/>
    <x v="13"/>
    <s v="Q2"/>
    <n v="180"/>
    <n v="18.855555555555554"/>
    <s v="KL Mini Cones"/>
    <n v="0.95"/>
    <n v="3224.2999999999997"/>
    <n v="8.5798623000000003"/>
    <n v="17.912777777777777"/>
  </r>
  <r>
    <n v="69628686"/>
    <x v="4"/>
    <n v="2400"/>
    <s v="06/10/2023"/>
    <x v="263"/>
    <x v="48"/>
    <n v="5.3220000000000003E-3"/>
    <n v="12.7728"/>
    <s v="KL"/>
    <x v="5"/>
    <x v="13"/>
    <s v="Q2"/>
    <n v="120"/>
    <n v="20"/>
    <s v="KL Mini Cones"/>
    <n v="0.95"/>
    <n v="2280"/>
    <n v="12.13416"/>
    <n v="19"/>
  </r>
  <r>
    <n v="69628686"/>
    <x v="4"/>
    <n v="2400"/>
    <s v="06/10/2023"/>
    <x v="263"/>
    <x v="48"/>
    <n v="5.3220000000000003E-3"/>
    <n v="12.7728"/>
    <s v="KL"/>
    <x v="5"/>
    <x v="13"/>
    <s v="Q2"/>
    <n v="120"/>
    <n v="20"/>
    <s v="KL Mini Cones"/>
    <n v="0.95"/>
    <n v="2280"/>
    <n v="12.13416"/>
    <n v="19"/>
  </r>
  <r>
    <n v="69617285"/>
    <x v="4"/>
    <n v="3595"/>
    <s v="06/14/2023"/>
    <x v="82"/>
    <x v="48"/>
    <n v="2.6610000000000002E-3"/>
    <n v="9.5662950000000002"/>
    <s v="PS"/>
    <x v="5"/>
    <x v="13"/>
    <s v="Q2"/>
    <n v="180"/>
    <n v="19.972222222222221"/>
    <s v="KL Mini Cones"/>
    <n v="0.95"/>
    <n v="3415.25"/>
    <n v="9.0879802499999993"/>
    <n v="18.973611111111108"/>
  </r>
  <r>
    <n v="69628686"/>
    <x v="4"/>
    <n v="2400"/>
    <s v="06/10/2023"/>
    <x v="263"/>
    <x v="48"/>
    <n v="5.3220000000000003E-3"/>
    <n v="12.7728"/>
    <s v="KL"/>
    <x v="5"/>
    <x v="13"/>
    <s v="Q2"/>
    <n v="120"/>
    <n v="20"/>
    <s v="KL Mini Cones"/>
    <n v="0.95"/>
    <n v="2280"/>
    <n v="12.13416"/>
    <n v="19"/>
  </r>
  <r>
    <n v="69628686"/>
    <x v="4"/>
    <n v="2327"/>
    <s v="06/10/2023"/>
    <x v="263"/>
    <x v="48"/>
    <n v="5.3220000000000003E-3"/>
    <n v="12.384294000000001"/>
    <s v="KL"/>
    <x v="5"/>
    <x v="13"/>
    <s v="Q2"/>
    <n v="120"/>
    <n v="19.391666666666666"/>
    <s v="KL Mini Cones"/>
    <n v="0.95"/>
    <n v="2210.65"/>
    <n v="11.7650793"/>
    <n v="18.422083333333333"/>
  </r>
  <r>
    <n v="67382713"/>
    <x v="14"/>
    <n v="4140"/>
    <s v="05/15/2023"/>
    <x v="256"/>
    <x v="49"/>
    <n v="5.6879999999999995E-3"/>
    <n v="23.548319999999997"/>
    <s v="GH"/>
    <x v="4"/>
    <x v="43"/>
    <s v="Q2"/>
    <n v="207"/>
    <n v="20"/>
    <s v="King Cone (PT)"/>
    <n v="1"/>
    <n v="4140"/>
    <n v="23.548319999999997"/>
    <n v="20"/>
  </r>
  <r>
    <n v="67382713"/>
    <x v="14"/>
    <n v="4140"/>
    <s v="05/15/2023"/>
    <x v="256"/>
    <x v="49"/>
    <n v="5.6879999999999995E-3"/>
    <n v="23.548319999999997"/>
    <s v="GH"/>
    <x v="4"/>
    <x v="43"/>
    <s v="Q2"/>
    <n v="207"/>
    <n v="20"/>
    <s v="King Cone (PT)"/>
    <n v="1"/>
    <n v="4140"/>
    <n v="23.548319999999997"/>
    <n v="20"/>
  </r>
  <r>
    <n v="67382713"/>
    <x v="14"/>
    <n v="4140"/>
    <s v="05/15/2023"/>
    <x v="256"/>
    <x v="49"/>
    <n v="5.6879999999999995E-3"/>
    <n v="23.548319999999997"/>
    <s v="GH"/>
    <x v="4"/>
    <x v="43"/>
    <s v="Q2"/>
    <n v="207"/>
    <n v="20"/>
    <s v="King Cone (PT)"/>
    <n v="1"/>
    <n v="4140"/>
    <n v="23.548319999999997"/>
    <n v="20"/>
  </r>
  <r>
    <n v="67382713"/>
    <x v="14"/>
    <n v="4140"/>
    <s v="05/15/2023"/>
    <x v="256"/>
    <x v="49"/>
    <n v="5.6879999999999995E-3"/>
    <n v="23.548319999999997"/>
    <s v="GH"/>
    <x v="4"/>
    <x v="43"/>
    <s v="Q2"/>
    <n v="207"/>
    <n v="20"/>
    <s v="King Cone (PT)"/>
    <n v="1"/>
    <n v="4140"/>
    <n v="23.548319999999997"/>
    <n v="20"/>
  </r>
  <r>
    <n v="67382713"/>
    <x v="14"/>
    <n v="4140"/>
    <s v="05/15/2023"/>
    <x v="256"/>
    <x v="49"/>
    <n v="5.6879999999999995E-3"/>
    <n v="23.548319999999997"/>
    <s v="GH"/>
    <x v="4"/>
    <x v="43"/>
    <s v="Q2"/>
    <n v="207"/>
    <n v="20"/>
    <s v="King Cone (PT)"/>
    <n v="1"/>
    <n v="4140"/>
    <n v="23.548319999999997"/>
    <n v="20"/>
  </r>
  <r>
    <n v="67382713"/>
    <x v="14"/>
    <n v="4140"/>
    <s v="05/15/2023"/>
    <x v="256"/>
    <x v="49"/>
    <n v="5.6879999999999995E-3"/>
    <n v="23.548319999999997"/>
    <s v="GH"/>
    <x v="4"/>
    <x v="43"/>
    <s v="Q2"/>
    <n v="207"/>
    <n v="20"/>
    <s v="King Cone (PT)"/>
    <n v="1"/>
    <n v="4140"/>
    <n v="23.548319999999997"/>
    <n v="20"/>
  </r>
  <r>
    <n v="67382713"/>
    <x v="14"/>
    <n v="4141"/>
    <s v="05/15/2023"/>
    <x v="256"/>
    <x v="49"/>
    <n v="5.6879999999999995E-3"/>
    <n v="23.554008"/>
    <s v="GH"/>
    <x v="4"/>
    <x v="43"/>
    <s v="Q2"/>
    <n v="207"/>
    <n v="20.004830917874397"/>
    <s v="King Cone (PT)"/>
    <n v="1"/>
    <n v="4141"/>
    <n v="23.554008"/>
    <n v="20.004830917874397"/>
  </r>
  <r>
    <n v="67382713"/>
    <x v="14"/>
    <n v="2605"/>
    <s v="06/09/2023"/>
    <x v="256"/>
    <x v="49"/>
    <n v="5.6879999999999995E-3"/>
    <n v="14.817239999999998"/>
    <s v="GH"/>
    <x v="5"/>
    <x v="43"/>
    <s v="Q2"/>
    <n v="207"/>
    <n v="12.584541062801932"/>
    <s v="King Cone (PT)"/>
    <n v="1"/>
    <n v="2605"/>
    <n v="14.817239999999998"/>
    <n v="12.584541062801932"/>
  </r>
  <r>
    <n v="68445811"/>
    <x v="14"/>
    <n v="1540"/>
    <s v="06/09/2023"/>
    <x v="440"/>
    <x v="49"/>
    <n v="3.8999999999999998E-3"/>
    <n v="6.0059999999999993"/>
    <s v="GH"/>
    <x v="5"/>
    <x v="64"/>
    <s v="Q2"/>
    <n v="220"/>
    <n v="7"/>
    <s v="Viennetta"/>
    <n v="1"/>
    <n v="1540"/>
    <n v="6.0059999999999993"/>
    <n v="7"/>
  </r>
  <r>
    <n v="68445811"/>
    <x v="14"/>
    <n v="4400"/>
    <s v="06/09/2023"/>
    <x v="440"/>
    <x v="49"/>
    <n v="3.8999999999999998E-3"/>
    <n v="17.16"/>
    <s v="GH"/>
    <x v="5"/>
    <x v="64"/>
    <s v="Q2"/>
    <n v="220"/>
    <n v="20"/>
    <s v="Viennetta"/>
    <n v="1"/>
    <n v="4400"/>
    <n v="17.16"/>
    <n v="20"/>
  </r>
  <r>
    <n v="69629477"/>
    <x v="1"/>
    <n v="2980"/>
    <s v="05/10/2023"/>
    <x v="61"/>
    <x v="50"/>
    <n v="5.3280000000000003E-3"/>
    <n v="15.87744"/>
    <s v="KL"/>
    <x v="4"/>
    <x v="26"/>
    <s v="Q2"/>
    <n v="108"/>
    <n v="27.592592592592592"/>
    <s v="KL Mini Cones"/>
    <n v="0.95"/>
    <n v="2831"/>
    <n v="15.083568"/>
    <n v="26.212962962962962"/>
  </r>
  <r>
    <n v="69629477"/>
    <x v="1"/>
    <n v="2888"/>
    <s v="05/17/2023"/>
    <x v="61"/>
    <x v="50"/>
    <n v="5.3280000000000003E-3"/>
    <n v="15.387264"/>
    <s v="KL"/>
    <x v="4"/>
    <x v="26"/>
    <s v="Q2"/>
    <n v="108"/>
    <n v="26.74074074074074"/>
    <s v="KL Mini Cones"/>
    <n v="0.95"/>
    <n v="2743.6"/>
    <n v="14.617900799999999"/>
    <n v="25.403703703703702"/>
  </r>
  <r>
    <n v="69553325"/>
    <x v="1"/>
    <n v="1728"/>
    <s v="05/17/2023"/>
    <x v="57"/>
    <x v="50"/>
    <n v="1E-3"/>
    <n v="1.728"/>
    <s v="KL"/>
    <x v="4"/>
    <x v="66"/>
    <s v="Q2"/>
    <n v="108"/>
    <n v="16"/>
    <s v="ESS"/>
    <n v="0.95"/>
    <n v="1641.6"/>
    <n v="1.6415999999999999"/>
    <n v="15.2"/>
  </r>
  <r>
    <n v="69629477"/>
    <x v="1"/>
    <n v="1245"/>
    <s v="05/17/2023"/>
    <x v="61"/>
    <x v="50"/>
    <n v="5.3280000000000003E-3"/>
    <n v="6.6333600000000006"/>
    <s v="KL"/>
    <x v="4"/>
    <x v="26"/>
    <s v="Q2"/>
    <n v="108"/>
    <n v="11.527777777777779"/>
    <s v="KL Mini Cones"/>
    <n v="0.95"/>
    <n v="1182.75"/>
    <n v="6.3016920000000001"/>
    <n v="10.951388888888889"/>
  </r>
  <r>
    <n v="69629477"/>
    <x v="1"/>
    <n v="1250"/>
    <s v="05/17/2023"/>
    <x v="61"/>
    <x v="50"/>
    <n v="5.3280000000000003E-3"/>
    <n v="6.66"/>
    <s v="KL"/>
    <x v="4"/>
    <x v="26"/>
    <s v="Q2"/>
    <n v="108"/>
    <n v="11.574074074074074"/>
    <s v="KL Mini Cones"/>
    <n v="0.95"/>
    <n v="1187.5"/>
    <n v="6.327"/>
    <n v="10.99537037037037"/>
  </r>
  <r>
    <n v="69553325"/>
    <x v="1"/>
    <n v="1728"/>
    <s v="05/17/2023"/>
    <x v="57"/>
    <x v="50"/>
    <n v="1E-3"/>
    <n v="1.728"/>
    <s v="KL"/>
    <x v="4"/>
    <x v="66"/>
    <s v="Q2"/>
    <n v="108"/>
    <n v="16"/>
    <s v="ESS"/>
    <n v="0.95"/>
    <n v="1641.6"/>
    <n v="1.6415999999999999"/>
    <n v="15.2"/>
  </r>
  <r>
    <n v="69553325"/>
    <x v="1"/>
    <n v="2919"/>
    <s v="05/17/2023"/>
    <x v="57"/>
    <x v="50"/>
    <n v="1E-3"/>
    <n v="2.919"/>
    <s v="KL"/>
    <x v="4"/>
    <x v="66"/>
    <s v="Q2"/>
    <n v="108"/>
    <n v="27.027777777777779"/>
    <s v="ESS"/>
    <n v="0.95"/>
    <n v="2773.0499999999997"/>
    <n v="2.77305"/>
    <n v="25.676388888888887"/>
  </r>
  <r>
    <n v="69553325"/>
    <x v="1"/>
    <n v="2864"/>
    <s v="05/18/2023"/>
    <x v="57"/>
    <x v="50"/>
    <n v="1E-3"/>
    <n v="2.8639999999999999"/>
    <s v="KL"/>
    <x v="4"/>
    <x v="66"/>
    <s v="Q2"/>
    <n v="108"/>
    <n v="26.518518518518519"/>
    <s v="ESS"/>
    <n v="0.95"/>
    <n v="2720.7999999999997"/>
    <n v="2.7207999999999997"/>
    <n v="25.192592592592593"/>
  </r>
  <r>
    <n v="69629477"/>
    <x v="1"/>
    <n v="41"/>
    <s v="05/18/2023"/>
    <x v="61"/>
    <x v="50"/>
    <n v="5.3280000000000003E-3"/>
    <n v="0.218448"/>
    <s v="KL"/>
    <x v="4"/>
    <x v="26"/>
    <s v="Q2"/>
    <n v="108"/>
    <n v="0.37962962962962965"/>
    <s v="KL Mini Cones"/>
    <n v="0.95"/>
    <n v="38.949999999999996"/>
    <n v="0.2075256"/>
    <n v="0.36064814814814816"/>
  </r>
  <r>
    <n v="69553325"/>
    <x v="1"/>
    <n v="2808"/>
    <s v="05/18/2023"/>
    <x v="57"/>
    <x v="50"/>
    <n v="1E-3"/>
    <n v="2.8080000000000003"/>
    <s v="KL"/>
    <x v="4"/>
    <x v="66"/>
    <s v="Q2"/>
    <n v="108"/>
    <n v="26"/>
    <s v="ESS"/>
    <n v="0.95"/>
    <n v="2667.6"/>
    <n v="2.6676000000000002"/>
    <n v="24.7"/>
  </r>
  <r>
    <n v="69629477"/>
    <x v="1"/>
    <n v="63"/>
    <s v="05/18/2023"/>
    <x v="61"/>
    <x v="50"/>
    <n v="5.3280000000000003E-3"/>
    <n v="0.33566400000000002"/>
    <s v="KL"/>
    <x v="4"/>
    <x v="26"/>
    <s v="Q2"/>
    <n v="108"/>
    <n v="0.58333333333333337"/>
    <s v="KL Mini Cones"/>
    <n v="0.95"/>
    <n v="59.849999999999994"/>
    <n v="0.31888080000000002"/>
    <n v="0.5541666666666667"/>
  </r>
  <r>
    <n v="69553325"/>
    <x v="1"/>
    <n v="2160"/>
    <s v="05/19/2023"/>
    <x v="57"/>
    <x v="50"/>
    <n v="1E-3"/>
    <n v="2.16"/>
    <s v="KL"/>
    <x v="4"/>
    <x v="66"/>
    <s v="Q2"/>
    <n v="108"/>
    <n v="20"/>
    <s v="ESS"/>
    <n v="0.95"/>
    <n v="2052"/>
    <n v="2.052"/>
    <n v="19"/>
  </r>
  <r>
    <n v="69629477"/>
    <x v="1"/>
    <n v="703"/>
    <s v="05/19/2023"/>
    <x v="61"/>
    <x v="50"/>
    <n v="5.3280000000000003E-3"/>
    <n v="3.745584"/>
    <s v="KL"/>
    <x v="4"/>
    <x v="26"/>
    <s v="Q2"/>
    <n v="108"/>
    <n v="6.5092592592592595"/>
    <s v="KL Mini Cones"/>
    <n v="0.95"/>
    <n v="667.85"/>
    <n v="3.5583047999999997"/>
    <n v="6.183796296296296"/>
  </r>
  <r>
    <n v="69629477"/>
    <x v="1"/>
    <n v="2968"/>
    <s v="05/23/2023"/>
    <x v="61"/>
    <x v="50"/>
    <n v="5.3280000000000003E-3"/>
    <n v="15.813504"/>
    <s v="KL"/>
    <x v="4"/>
    <x v="26"/>
    <s v="Q2"/>
    <n v="108"/>
    <n v="27.481481481481481"/>
    <s v="KL Mini Cones"/>
    <n v="0.95"/>
    <n v="2819.6"/>
    <n v="15.022828799999999"/>
    <n v="26.107407407407404"/>
  </r>
  <r>
    <n v="69629477"/>
    <x v="1"/>
    <n v="2963"/>
    <s v="05/23/2023"/>
    <x v="61"/>
    <x v="50"/>
    <n v="5.3280000000000003E-3"/>
    <n v="15.786864000000001"/>
    <s v="KL"/>
    <x v="4"/>
    <x v="26"/>
    <s v="Q2"/>
    <n v="108"/>
    <n v="27.435185185185187"/>
    <s v="KL Mini Cones"/>
    <n v="0.95"/>
    <n v="2814.85"/>
    <n v="14.9975208"/>
    <n v="26.063425925925927"/>
  </r>
  <r>
    <n v="69629477"/>
    <x v="1"/>
    <n v="2885"/>
    <s v="05/23/2023"/>
    <x v="61"/>
    <x v="50"/>
    <n v="5.3280000000000003E-3"/>
    <n v="15.37128"/>
    <s v="KL"/>
    <x v="4"/>
    <x v="26"/>
    <s v="Q2"/>
    <n v="108"/>
    <n v="26.712962962962962"/>
    <s v="KL Mini Cones"/>
    <n v="0.95"/>
    <n v="2740.75"/>
    <n v="14.602715999999999"/>
    <n v="25.377314814814813"/>
  </r>
  <r>
    <n v="69553325"/>
    <x v="1"/>
    <n v="2838"/>
    <s v="05/23/2023"/>
    <x v="57"/>
    <x v="50"/>
    <n v="1E-3"/>
    <n v="2.8380000000000001"/>
    <s v="KL"/>
    <x v="4"/>
    <x v="66"/>
    <s v="Q2"/>
    <n v="108"/>
    <n v="26.277777777777779"/>
    <s v="ESS"/>
    <n v="0.95"/>
    <n v="2696.1"/>
    <n v="2.6960999999999999"/>
    <n v="24.963888888888889"/>
  </r>
  <r>
    <n v="69553325"/>
    <x v="1"/>
    <n v="2918"/>
    <s v="05/25/2023"/>
    <x v="57"/>
    <x v="50"/>
    <n v="1E-3"/>
    <n v="2.9180000000000001"/>
    <s v="KL"/>
    <x v="4"/>
    <x v="66"/>
    <s v="Q2"/>
    <n v="108"/>
    <n v="27.018518518518519"/>
    <s v="ESS"/>
    <n v="0.95"/>
    <n v="2772.1"/>
    <n v="2.7721"/>
    <n v="25.667592592592591"/>
  </r>
  <r>
    <n v="69553325"/>
    <x v="1"/>
    <n v="2936"/>
    <s v="05/25/2023"/>
    <x v="57"/>
    <x v="50"/>
    <n v="1E-3"/>
    <n v="2.9359999999999999"/>
    <s v="KL"/>
    <x v="4"/>
    <x v="66"/>
    <s v="Q2"/>
    <n v="108"/>
    <n v="27.185185185185187"/>
    <s v="ESS"/>
    <n v="0.95"/>
    <n v="2789.2"/>
    <n v="2.7891999999999997"/>
    <n v="25.825925925925926"/>
  </r>
  <r>
    <n v="69553325"/>
    <x v="1"/>
    <n v="2267"/>
    <s v="05/25/2023"/>
    <x v="57"/>
    <x v="50"/>
    <n v="1E-3"/>
    <n v="2.2669999999999999"/>
    <s v="KL"/>
    <x v="4"/>
    <x v="66"/>
    <s v="Q2"/>
    <n v="108"/>
    <n v="20.99074074074074"/>
    <s v="ESS"/>
    <n v="0.95"/>
    <n v="2153.65"/>
    <n v="2.1536499999999998"/>
    <n v="19.941203703703703"/>
  </r>
  <r>
    <n v="69629477"/>
    <x v="1"/>
    <n v="648"/>
    <s v="05/25/2023"/>
    <x v="61"/>
    <x v="50"/>
    <n v="5.3280000000000003E-3"/>
    <n v="3.4525440000000001"/>
    <s v="KL"/>
    <x v="4"/>
    <x v="26"/>
    <s v="Q2"/>
    <n v="108"/>
    <n v="6"/>
    <s v="KL Mini Cones"/>
    <n v="0.95"/>
    <n v="615.6"/>
    <n v="3.2799168000000001"/>
    <n v="5.6999999999999993"/>
  </r>
  <r>
    <n v="69553325"/>
    <x v="1"/>
    <n v="1020"/>
    <s v="05/25/2023"/>
    <x v="57"/>
    <x v="50"/>
    <n v="1E-3"/>
    <n v="1.02"/>
    <s v="KL"/>
    <x v="4"/>
    <x v="66"/>
    <s v="Q2"/>
    <n v="108"/>
    <n v="9.4444444444444446"/>
    <s v="ESS"/>
    <n v="0.95"/>
    <n v="969"/>
    <n v="0.96899999999999997"/>
    <n v="8.9722222222222214"/>
  </r>
  <r>
    <n v="69629477"/>
    <x v="1"/>
    <n v="1944"/>
    <s v="05/25/2023"/>
    <x v="61"/>
    <x v="50"/>
    <n v="5.3280000000000003E-3"/>
    <n v="10.357632000000001"/>
    <s v="KL"/>
    <x v="4"/>
    <x v="26"/>
    <s v="Q2"/>
    <n v="108"/>
    <n v="18"/>
    <s v="KL Mini Cones"/>
    <n v="0.95"/>
    <n v="1846.8"/>
    <n v="9.8397503999999998"/>
    <n v="17.099999999999998"/>
  </r>
  <r>
    <n v="69553325"/>
    <x v="1"/>
    <n v="1691"/>
    <s v="05/25/2023"/>
    <x v="57"/>
    <x v="50"/>
    <n v="1E-3"/>
    <n v="1.6910000000000001"/>
    <s v="KL"/>
    <x v="4"/>
    <x v="66"/>
    <s v="Q2"/>
    <n v="108"/>
    <n v="15.657407407407407"/>
    <s v="ESS"/>
    <n v="0.95"/>
    <n v="1606.4499999999998"/>
    <n v="1.6064499999999999"/>
    <n v="14.874537037037035"/>
  </r>
  <r>
    <n v="69629477"/>
    <x v="1"/>
    <n v="1215"/>
    <s v="05/25/2023"/>
    <x v="61"/>
    <x v="50"/>
    <n v="5.3280000000000003E-3"/>
    <n v="6.4735200000000006"/>
    <s v="KL"/>
    <x v="4"/>
    <x v="26"/>
    <s v="Q2"/>
    <n v="108"/>
    <n v="11.25"/>
    <s v="KL Mini Cones"/>
    <n v="0.95"/>
    <n v="1154.25"/>
    <n v="6.1498439999999999"/>
    <n v="10.6875"/>
  </r>
  <r>
    <n v="69629477"/>
    <x v="1"/>
    <n v="16"/>
    <s v="05/25/2023"/>
    <x v="61"/>
    <x v="50"/>
    <n v="5.3280000000000003E-3"/>
    <n v="8.5248000000000004E-2"/>
    <s v="KL"/>
    <x v="4"/>
    <x v="26"/>
    <s v="Q2"/>
    <n v="108"/>
    <n v="0.14814814814814814"/>
    <s v="KL Mini Cones"/>
    <n v="0.95"/>
    <n v="15.2"/>
    <n v="8.0985600000000005E-2"/>
    <n v="0.14074074074074072"/>
  </r>
  <r>
    <n v="69553325"/>
    <x v="1"/>
    <n v="2871"/>
    <s v="05/25/2023"/>
    <x v="57"/>
    <x v="50"/>
    <n v="1E-3"/>
    <n v="2.871"/>
    <s v="KL"/>
    <x v="4"/>
    <x v="66"/>
    <s v="Q2"/>
    <n v="108"/>
    <n v="26.583333333333332"/>
    <s v="ESS"/>
    <n v="0.95"/>
    <n v="2727.45"/>
    <n v="2.7274499999999997"/>
    <n v="25.254166666666663"/>
  </r>
  <r>
    <n v="69553325"/>
    <x v="1"/>
    <n v="2895"/>
    <s v="05/25/2023"/>
    <x v="57"/>
    <x v="50"/>
    <n v="1E-3"/>
    <n v="2.895"/>
    <s v="KL"/>
    <x v="4"/>
    <x v="66"/>
    <s v="Q2"/>
    <n v="108"/>
    <n v="26.805555555555557"/>
    <s v="ESS"/>
    <n v="0.95"/>
    <n v="2750.25"/>
    <n v="2.7502499999999999"/>
    <n v="25.465277777777779"/>
  </r>
  <r>
    <n v="69553325"/>
    <x v="1"/>
    <n v="1369"/>
    <s v="05/25/2023"/>
    <x v="57"/>
    <x v="50"/>
    <n v="1E-3"/>
    <n v="1.369"/>
    <s v="KL"/>
    <x v="4"/>
    <x v="66"/>
    <s v="Q2"/>
    <n v="108"/>
    <n v="12.675925925925926"/>
    <s v="ESS"/>
    <n v="0.95"/>
    <n v="1300.55"/>
    <n v="1.3005499999999999"/>
    <n v="12.042129629629629"/>
  </r>
  <r>
    <n v="69629477"/>
    <x v="1"/>
    <n v="1434"/>
    <s v="05/25/2023"/>
    <x v="61"/>
    <x v="50"/>
    <n v="5.3280000000000003E-3"/>
    <n v="7.640352"/>
    <s v="KL"/>
    <x v="4"/>
    <x v="26"/>
    <s v="Q2"/>
    <n v="108"/>
    <n v="13.277777777777779"/>
    <s v="KL Mini Cones"/>
    <n v="0.95"/>
    <n v="1362.3"/>
    <n v="7.2583343999999999"/>
    <n v="12.613888888888889"/>
  </r>
  <r>
    <n v="69553325"/>
    <x v="1"/>
    <n v="2544"/>
    <s v="05/25/2023"/>
    <x v="57"/>
    <x v="50"/>
    <n v="1E-3"/>
    <n v="2.544"/>
    <s v="KL"/>
    <x v="4"/>
    <x v="66"/>
    <s v="Q2"/>
    <n v="108"/>
    <n v="23.555555555555557"/>
    <s v="ESS"/>
    <n v="0.95"/>
    <n v="2416.7999999999997"/>
    <n v="2.4167999999999998"/>
    <n v="22.37777777777778"/>
  </r>
  <r>
    <n v="69629477"/>
    <x v="1"/>
    <n v="354"/>
    <s v="05/25/2023"/>
    <x v="61"/>
    <x v="50"/>
    <n v="5.3280000000000003E-3"/>
    <n v="1.886112"/>
    <s v="KL"/>
    <x v="4"/>
    <x v="26"/>
    <s v="Q2"/>
    <n v="108"/>
    <n v="3.2777777777777777"/>
    <s v="KL Mini Cones"/>
    <n v="0.95"/>
    <n v="336.3"/>
    <n v="1.7918064"/>
    <n v="3.1138888888888885"/>
  </r>
  <r>
    <n v="69553325"/>
    <x v="1"/>
    <n v="122"/>
    <s v="05/30/2023"/>
    <x v="57"/>
    <x v="50"/>
    <n v="1E-3"/>
    <n v="0.122"/>
    <s v="KL"/>
    <x v="4"/>
    <x v="66"/>
    <s v="Q2"/>
    <n v="108"/>
    <n v="1.1296296296296295"/>
    <s v="ESS"/>
    <n v="0.95"/>
    <n v="115.89999999999999"/>
    <n v="0.11589999999999999"/>
    <n v="1.073148148148148"/>
  </r>
  <r>
    <n v="69629477"/>
    <x v="1"/>
    <n v="2808"/>
    <s v="05/30/2023"/>
    <x v="61"/>
    <x v="50"/>
    <n v="5.3280000000000003E-3"/>
    <n v="14.961024"/>
    <s v="KL"/>
    <x v="4"/>
    <x v="26"/>
    <s v="Q2"/>
    <n v="108"/>
    <n v="26"/>
    <s v="KL Mini Cones"/>
    <n v="0.95"/>
    <n v="2667.6"/>
    <n v="14.212972799999999"/>
    <n v="24.7"/>
  </r>
  <r>
    <n v="69553325"/>
    <x v="1"/>
    <n v="1728"/>
    <s v="05/30/2023"/>
    <x v="57"/>
    <x v="50"/>
    <n v="1E-3"/>
    <n v="1.728"/>
    <s v="KL"/>
    <x v="4"/>
    <x v="66"/>
    <s v="Q2"/>
    <n v="108"/>
    <n v="16"/>
    <s v="ESS"/>
    <n v="0.95"/>
    <n v="1641.6"/>
    <n v="1.6415999999999999"/>
    <n v="15.2"/>
  </r>
  <r>
    <n v="69629477"/>
    <x v="1"/>
    <n v="1216"/>
    <s v="05/30/2023"/>
    <x v="61"/>
    <x v="50"/>
    <n v="5.3280000000000003E-3"/>
    <n v="6.4788480000000002"/>
    <s v="KL"/>
    <x v="4"/>
    <x v="26"/>
    <s v="Q2"/>
    <n v="108"/>
    <n v="11.25925925925926"/>
    <s v="KL Mini Cones"/>
    <n v="0.95"/>
    <n v="1155.2"/>
    <n v="6.1549056000000002"/>
    <n v="10.696296296296296"/>
  </r>
  <r>
    <n v="69629477"/>
    <x v="1"/>
    <n v="2957"/>
    <s v="05/31/2023"/>
    <x v="61"/>
    <x v="50"/>
    <n v="5.3280000000000003E-3"/>
    <n v="15.754896"/>
    <s v="KL"/>
    <x v="4"/>
    <x v="26"/>
    <s v="Q2"/>
    <n v="108"/>
    <n v="27.37962962962963"/>
    <s v="KL Mini Cones"/>
    <n v="0.95"/>
    <n v="2809.15"/>
    <n v="14.9671512"/>
    <n v="26.010648148148146"/>
  </r>
  <r>
    <n v="69629477"/>
    <x v="1"/>
    <n v="2857"/>
    <s v="05/31/2023"/>
    <x v="61"/>
    <x v="50"/>
    <n v="5.3280000000000003E-3"/>
    <n v="15.222096000000001"/>
    <s v="KL"/>
    <x v="4"/>
    <x v="26"/>
    <s v="Q2"/>
    <n v="108"/>
    <n v="26.453703703703702"/>
    <s v="KL Mini Cones"/>
    <n v="0.95"/>
    <n v="2714.15"/>
    <n v="14.4609912"/>
    <n v="25.131018518518516"/>
  </r>
  <r>
    <n v="69629477"/>
    <x v="1"/>
    <n v="2942"/>
    <s v="05/31/2023"/>
    <x v="61"/>
    <x v="50"/>
    <n v="5.3280000000000003E-3"/>
    <n v="15.674976000000001"/>
    <s v="KL"/>
    <x v="4"/>
    <x v="26"/>
    <s v="Q2"/>
    <n v="108"/>
    <n v="27.24074074074074"/>
    <s v="KL Mini Cones"/>
    <n v="0.95"/>
    <n v="2794.9"/>
    <n v="14.891227199999999"/>
    <n v="25.878703703703703"/>
  </r>
  <r>
    <n v="69629477"/>
    <x v="1"/>
    <n v="2875"/>
    <s v="05/31/2023"/>
    <x v="61"/>
    <x v="50"/>
    <n v="5.3280000000000003E-3"/>
    <n v="15.318000000000001"/>
    <s v="KL"/>
    <x v="4"/>
    <x v="26"/>
    <s v="Q2"/>
    <n v="108"/>
    <n v="26.62037037037037"/>
    <s v="KL Mini Cones"/>
    <n v="0.95"/>
    <n v="2731.25"/>
    <n v="14.552100000000001"/>
    <n v="25.289351851851851"/>
  </r>
  <r>
    <n v="69629477"/>
    <x v="1"/>
    <n v="2874"/>
    <s v="05/31/2023"/>
    <x v="61"/>
    <x v="50"/>
    <n v="5.3280000000000003E-3"/>
    <n v="15.312672000000001"/>
    <s v="KL"/>
    <x v="4"/>
    <x v="26"/>
    <s v="Q2"/>
    <n v="108"/>
    <n v="26.611111111111111"/>
    <s v="KL Mini Cones"/>
    <n v="0.95"/>
    <n v="2730.2999999999997"/>
    <n v="14.5470384"/>
    <n v="25.280555555555555"/>
  </r>
  <r>
    <n v="69553325"/>
    <x v="1"/>
    <n v="2698"/>
    <s v="05/31/2023"/>
    <x v="57"/>
    <x v="50"/>
    <n v="1E-3"/>
    <n v="2.698"/>
    <s v="KL"/>
    <x v="4"/>
    <x v="66"/>
    <s v="Q2"/>
    <n v="108"/>
    <n v="24.981481481481481"/>
    <s v="ESS"/>
    <n v="0.95"/>
    <n v="2563.1"/>
    <n v="2.5630999999999999"/>
    <n v="23.732407407407404"/>
  </r>
  <r>
    <n v="69629477"/>
    <x v="1"/>
    <n v="216"/>
    <s v="05/31/2023"/>
    <x v="61"/>
    <x v="50"/>
    <n v="5.3280000000000003E-3"/>
    <n v="1.1508480000000001"/>
    <s v="KL"/>
    <x v="4"/>
    <x v="26"/>
    <s v="Q2"/>
    <n v="108"/>
    <n v="2"/>
    <s v="KL Mini Cones"/>
    <n v="0.95"/>
    <n v="205.2"/>
    <n v="1.0933056000000001"/>
    <n v="1.9"/>
  </r>
  <r>
    <n v="69553325"/>
    <x v="1"/>
    <n v="957"/>
    <s v="05/31/2023"/>
    <x v="57"/>
    <x v="50"/>
    <n v="1E-3"/>
    <n v="0.95700000000000007"/>
    <s v="KL"/>
    <x v="4"/>
    <x v="66"/>
    <s v="Q2"/>
    <n v="108"/>
    <n v="8.8611111111111107"/>
    <s v="ESS"/>
    <n v="0.95"/>
    <n v="909.15"/>
    <n v="0.90915000000000001"/>
    <n v="8.4180555555555543"/>
  </r>
  <r>
    <n v="69629477"/>
    <x v="1"/>
    <n v="2042"/>
    <s v="05/31/2023"/>
    <x v="61"/>
    <x v="50"/>
    <n v="5.3280000000000003E-3"/>
    <n v="10.879776"/>
    <s v="KL"/>
    <x v="4"/>
    <x v="26"/>
    <s v="Q2"/>
    <n v="108"/>
    <n v="18.907407407407408"/>
    <s v="KL Mini Cones"/>
    <n v="0.95"/>
    <n v="1939.8999999999999"/>
    <n v="10.335787199999999"/>
    <n v="17.962037037037039"/>
  </r>
  <r>
    <n v="69553325"/>
    <x v="1"/>
    <n v="2840"/>
    <s v="05/31/2023"/>
    <x v="57"/>
    <x v="50"/>
    <n v="1E-3"/>
    <n v="2.84"/>
    <s v="KL"/>
    <x v="4"/>
    <x v="66"/>
    <s v="Q2"/>
    <n v="108"/>
    <n v="26.296296296296298"/>
    <s v="ESS"/>
    <n v="0.95"/>
    <n v="2698"/>
    <n v="2.698"/>
    <n v="24.981481481481481"/>
  </r>
  <r>
    <n v="69553325"/>
    <x v="1"/>
    <n v="2914"/>
    <s v="06/05/2023"/>
    <x v="57"/>
    <x v="50"/>
    <n v="1E-3"/>
    <n v="2.9140000000000001"/>
    <s v="KL"/>
    <x v="5"/>
    <x v="66"/>
    <s v="Q2"/>
    <n v="108"/>
    <n v="26.981481481481481"/>
    <s v="ESS"/>
    <n v="0.95"/>
    <n v="2768.2999999999997"/>
    <n v="2.7683"/>
    <n v="25.632407407407406"/>
  </r>
  <r>
    <n v="69629477"/>
    <x v="1"/>
    <n v="2988"/>
    <s v="06/05/2023"/>
    <x v="61"/>
    <x v="50"/>
    <n v="5.3280000000000003E-3"/>
    <n v="15.920064"/>
    <s v="KL"/>
    <x v="5"/>
    <x v="26"/>
    <s v="Q2"/>
    <n v="108"/>
    <n v="27.666666666666668"/>
    <s v="KL Mini Cones"/>
    <n v="0.95"/>
    <n v="2838.6"/>
    <n v="15.124060799999999"/>
    <n v="26.283333333333335"/>
  </r>
  <r>
    <n v="69629477"/>
    <x v="1"/>
    <n v="3024"/>
    <s v="06/12/2023"/>
    <x v="61"/>
    <x v="50"/>
    <n v="5.3280000000000003E-3"/>
    <n v="16.111872000000002"/>
    <s v="KL"/>
    <x v="5"/>
    <x v="26"/>
    <s v="Q2"/>
    <n v="108"/>
    <n v="28"/>
    <s v="KL Mini Cones"/>
    <n v="0.95"/>
    <n v="2872.7999999999997"/>
    <n v="15.3062784"/>
    <n v="26.599999999999998"/>
  </r>
  <r>
    <n v="69553325"/>
    <x v="1"/>
    <n v="2950"/>
    <s v="06/12/2023"/>
    <x v="57"/>
    <x v="50"/>
    <n v="1E-3"/>
    <n v="2.95"/>
    <s v="KL"/>
    <x v="5"/>
    <x v="66"/>
    <s v="Q2"/>
    <n v="108"/>
    <n v="27.314814814814813"/>
    <s v="ESS"/>
    <n v="0.95"/>
    <n v="2802.5"/>
    <n v="2.8025000000000002"/>
    <n v="25.949074074074073"/>
  </r>
  <r>
    <n v="69629477"/>
    <x v="1"/>
    <n v="2873"/>
    <s v="06/13/2023"/>
    <x v="61"/>
    <x v="50"/>
    <n v="5.3280000000000003E-3"/>
    <n v="15.307344000000001"/>
    <s v="KL"/>
    <x v="5"/>
    <x v="26"/>
    <s v="Q2"/>
    <n v="108"/>
    <n v="26.601851851851851"/>
    <s v="KL Mini Cones"/>
    <n v="0.95"/>
    <n v="2729.35"/>
    <n v="14.5419768"/>
    <n v="25.271759259259259"/>
  </r>
  <r>
    <n v="69553325"/>
    <x v="1"/>
    <n v="306"/>
    <s v="06/14/2023"/>
    <x v="57"/>
    <x v="50"/>
    <n v="1E-3"/>
    <n v="0.30599999999999999"/>
    <s v="KL"/>
    <x v="5"/>
    <x v="66"/>
    <s v="Q2"/>
    <n v="108"/>
    <n v="2.8333333333333335"/>
    <s v="ESS"/>
    <n v="0.95"/>
    <n v="290.7"/>
    <n v="0.29069999999999996"/>
    <n v="2.6916666666666669"/>
  </r>
  <r>
    <n v="69629477"/>
    <x v="1"/>
    <n v="2592"/>
    <s v="06/14/2023"/>
    <x v="61"/>
    <x v="50"/>
    <n v="5.3280000000000003E-3"/>
    <n v="13.810176"/>
    <s v="KL"/>
    <x v="5"/>
    <x v="26"/>
    <s v="Q2"/>
    <n v="108"/>
    <n v="24"/>
    <s v="KL Mini Cones"/>
    <n v="0.95"/>
    <n v="2462.4"/>
    <n v="13.1196672"/>
    <n v="22.799999999999997"/>
  </r>
  <r>
    <m/>
    <x v="26"/>
    <m/>
    <m/>
    <x v="435"/>
    <x v="1"/>
    <m/>
    <m/>
    <m/>
    <x v="12"/>
    <x v="5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n v="5914"/>
    <s v="2.4 Gal"/>
    <n v="12480"/>
    <n v="50960"/>
    <n v="60480"/>
    <n v="73440"/>
    <n v="72920"/>
    <n v="60840"/>
    <n v="53160"/>
    <n v="36400"/>
    <n v="18720"/>
    <n v="19760"/>
    <n v="36920"/>
    <n v="30160"/>
    <n v="526240"/>
    <n v="483586"/>
    <n v="42654"/>
    <n v="8.8203546008362527E-2"/>
    <m/>
    <n v="483586"/>
    <n v="520103"/>
    <n v="496558"/>
    <x v="0"/>
  </r>
  <r>
    <x v="1"/>
    <n v="5914"/>
    <s v="Quarts"/>
    <n v="42940"/>
    <n v="56500"/>
    <n v="27120"/>
    <n v="58760"/>
    <n v="58760"/>
    <n v="58760"/>
    <n v="56500"/>
    <n v="0"/>
    <n v="70060"/>
    <n v="42940"/>
    <n v="0"/>
    <n v="0"/>
    <n v="472340"/>
    <n v="358927"/>
    <n v="113413"/>
    <n v="0.31597790079876964"/>
    <m/>
    <n v="358927"/>
    <n v="465147"/>
    <n v="168964"/>
    <x v="0"/>
  </r>
  <r>
    <x v="2"/>
    <n v="5914"/>
    <s v="PTS Exports"/>
    <n v="0"/>
    <n v="0"/>
    <n v="0"/>
    <n v="0"/>
    <n v="0"/>
    <n v="0"/>
    <n v="0"/>
    <n v="0"/>
    <n v="0"/>
    <n v="0"/>
    <n v="0"/>
    <n v="0"/>
    <n v="0"/>
    <n v="502182"/>
    <n v="-502182"/>
    <n v="-1"/>
    <m/>
    <n v="502182"/>
    <n v="387146"/>
    <n v="354874"/>
    <x v="0"/>
  </r>
  <r>
    <x v="3"/>
    <n v="5914"/>
    <s v="Cup Expor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46131"/>
    <x v="0"/>
  </r>
  <r>
    <x v="0"/>
    <n v="5914"/>
    <s v="Bulk Expor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3"/>
    <n v="5914"/>
    <s v="B&amp;J Cup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841647"/>
    <x v="0"/>
  </r>
  <r>
    <x v="3"/>
    <n v="5914"/>
    <s v="B&amp;J Dog Treat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63808"/>
    <x v="0"/>
  </r>
  <r>
    <x v="4"/>
    <n v="5914"/>
    <s v="PTS - BR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2"/>
    <n v="5914"/>
    <s v="BJ PTS"/>
    <n v="1166400"/>
    <n v="1451520"/>
    <n v="1451520"/>
    <n v="1520640"/>
    <n v="1382400"/>
    <n v="898560"/>
    <n v="1382400"/>
    <n v="1520640"/>
    <n v="1175040"/>
    <n v="1589760"/>
    <n v="967680"/>
    <n v="422400"/>
    <n v="14928960"/>
    <n v="14892274.200000001"/>
    <n v="36685.799999998882"/>
    <n v="2.4634115318665621E-3"/>
    <s v="No Improvement"/>
    <n v="14892274.200000001"/>
    <n v="14973556.199999999"/>
    <n v="16925680"/>
    <x v="0"/>
  </r>
  <r>
    <x v="5"/>
    <m/>
    <s v="Total St. Albans"/>
    <n v="1221820"/>
    <n v="1558980"/>
    <n v="1539120"/>
    <n v="1652840"/>
    <n v="1514080"/>
    <n v="1018160"/>
    <n v="1492060"/>
    <n v="1557040"/>
    <n v="1263820"/>
    <n v="1652460"/>
    <n v="1004600"/>
    <n v="452560"/>
    <n v="15927540"/>
    <n v="16236969.200000001"/>
    <n v="-309429.20000000112"/>
    <n v="-1.9057078706536015E-2"/>
    <m/>
    <n v="16236969.200000001"/>
    <n v="16345952.199999999"/>
    <n v="18897662"/>
    <x v="1"/>
  </r>
  <r>
    <x v="5"/>
    <m/>
    <m/>
    <n v="1166400"/>
    <n v="1451520"/>
    <n v="1451520"/>
    <n v="1520640"/>
    <n v="1382400"/>
    <n v="898560"/>
    <n v="1382400"/>
    <n v="1520640"/>
    <n v="1175040"/>
    <n v="1589760"/>
    <n v="967680"/>
    <n v="422400"/>
    <m/>
    <m/>
    <m/>
    <m/>
    <m/>
    <m/>
    <m/>
    <m/>
    <x v="1"/>
  </r>
  <r>
    <x v="5"/>
    <m/>
    <s v="WATERBURY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1"/>
    <n v="5911"/>
    <s v="1 Gal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1"/>
    <n v="5911"/>
    <s v="Q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2"/>
    <n v="5911"/>
    <s v="PTS Exports"/>
    <n v="0"/>
    <n v="0"/>
    <n v="0"/>
    <n v="0"/>
    <n v="0"/>
    <n v="0"/>
    <n v="0"/>
    <n v="0"/>
    <n v="0"/>
    <n v="0"/>
    <n v="0"/>
    <n v="0"/>
    <n v="0"/>
    <n v="525471"/>
    <n v="-525471"/>
    <n v="-1"/>
    <m/>
    <n v="525471"/>
    <n v="454697"/>
    <n v="289199"/>
    <x v="0"/>
  </r>
  <r>
    <x v="2"/>
    <n v="5911"/>
    <s v="BJ PTS"/>
    <n v="668571.42857142852"/>
    <n v="768000"/>
    <n v="822857.14285714284"/>
    <n v="795428.57142857148"/>
    <n v="768000"/>
    <n v="713142.85714285704"/>
    <n v="768000"/>
    <n v="822857.14285714284"/>
    <n v="740571.42857142864"/>
    <n v="274285.71428571432"/>
    <n v="192000"/>
    <n v="768000"/>
    <n v="8101714.2857142854"/>
    <n v="8312245.96"/>
    <n v="-210531.67428571451"/>
    <n v="-2.5327892761935849E-2"/>
    <s v="6 weeks Spiral Work Split Oct &amp; November"/>
    <n v="8312245.96"/>
    <n v="8186570"/>
    <n v="8350841"/>
    <x v="0"/>
  </r>
  <r>
    <x v="5"/>
    <m/>
    <s v="Total Waterbury"/>
    <n v="668571.42857142852"/>
    <n v="768000"/>
    <n v="822857.14285714284"/>
    <n v="795428.57142857148"/>
    <n v="768000"/>
    <n v="713142.85714285704"/>
    <n v="768000"/>
    <n v="822857.14285714284"/>
    <n v="740571.42857142864"/>
    <n v="274285.71428571432"/>
    <n v="192000"/>
    <n v="768000"/>
    <n v="8101714.2857142854"/>
    <n v="8837716.9600000009"/>
    <n v="-736002.67428571451"/>
    <n v="-8.3279729099370758E-2"/>
    <m/>
    <n v="8837716.9600000009"/>
    <n v="8641267"/>
    <n v="8640040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SIKESTON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6"/>
    <n v="2904"/>
    <s v="48oz"/>
    <n v="1021100"/>
    <n v="1125680"/>
    <n v="1245200"/>
    <n v="1205360"/>
    <n v="1125680"/>
    <n v="1125680"/>
    <n v="1125680"/>
    <n v="1245200"/>
    <n v="1006160"/>
    <n v="1125680"/>
    <n v="926480"/>
    <n v="797760"/>
    <n v="13075660"/>
    <n v="12772918"/>
    <n v="302742"/>
    <n v="2.3701866715185989E-2"/>
    <m/>
    <n v="12772918"/>
    <n v="12554975"/>
    <n v="13375256"/>
    <x v="0"/>
  </r>
  <r>
    <x v="7"/>
    <n v="2904"/>
    <s v="EDF"/>
    <n v="93100"/>
    <n v="93100"/>
    <n v="103075"/>
    <n v="93100"/>
    <n v="103075"/>
    <n v="0"/>
    <n v="0"/>
    <n v="0"/>
    <n v="0"/>
    <n v="0"/>
    <n v="0"/>
    <n v="0"/>
    <n v="485450"/>
    <n v="842430"/>
    <n v="-356980"/>
    <n v="-0.42375034127464595"/>
    <m/>
    <n v="842430"/>
    <n v="942277"/>
    <n v="829353"/>
    <x v="0"/>
  </r>
  <r>
    <x v="8"/>
    <n v="2904"/>
    <s v="BJ Bar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9"/>
    <n v="2904"/>
    <s v="ES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1566148"/>
    <x v="0"/>
  </r>
  <r>
    <x v="10"/>
    <n v="2904"/>
    <s v="MBG"/>
    <n v="85000"/>
    <n v="80750"/>
    <n v="89250"/>
    <n v="72250"/>
    <n v="76500"/>
    <n v="75000"/>
    <n v="66500"/>
    <n v="62250"/>
    <n v="48000"/>
    <n v="65000"/>
    <n v="48000"/>
    <n v="31000"/>
    <n v="799500"/>
    <n v="812329"/>
    <n v="-12829"/>
    <n v="-1.5792862251624649E-2"/>
    <m/>
    <n v="812329"/>
    <n v="864947"/>
    <n v="976339"/>
    <x v="0"/>
  </r>
  <r>
    <x v="11"/>
    <n v="2904"/>
    <s v="MG Sticks"/>
    <n v="703237.5"/>
    <n v="696986.5"/>
    <n v="646532"/>
    <n v="593845"/>
    <n v="696540"/>
    <n v="590578.5"/>
    <n v="552626"/>
    <n v="467344.5"/>
    <n v="387421"/>
    <n v="281154"/>
    <n v="324018"/>
    <n v="107912"/>
    <n v="6048195"/>
    <n v="6867684.5"/>
    <n v="-819489.5"/>
    <n v="-0.11932544367755973"/>
    <m/>
    <n v="6867684.5"/>
    <n v="7072444.3399999999"/>
    <n v="5766175"/>
    <x v="0"/>
  </r>
  <r>
    <x v="11"/>
    <n v="2904"/>
    <s v="TAL NV"/>
    <n v="0"/>
    <n v="0"/>
    <n v="0"/>
    <n v="0"/>
    <n v="0"/>
    <n v="0"/>
    <n v="0"/>
    <n v="0"/>
    <n v="0"/>
    <n v="0"/>
    <n v="0"/>
    <n v="0"/>
    <n v="0"/>
    <n v="120379"/>
    <n v="-120379"/>
    <n v="-1"/>
    <m/>
    <n v="120379"/>
    <n v="120379"/>
    <n v="503498"/>
    <x v="0"/>
  </r>
  <r>
    <x v="12"/>
    <n v="2904"/>
    <s v="Yasso Sticks"/>
    <n v="266000"/>
    <n v="266000"/>
    <n v="423700"/>
    <n v="319200"/>
    <n v="370500"/>
    <n v="319200"/>
    <n v="336300"/>
    <n v="423700"/>
    <n v="319200"/>
    <n v="336300"/>
    <n v="256500"/>
    <n v="218500"/>
    <n v="3855100"/>
    <n v="1474098"/>
    <n v="2381002"/>
    <n v="1.6152263960740738"/>
    <m/>
    <n v="1474098"/>
    <n v="1970112"/>
    <n v="441482"/>
    <x v="0"/>
  </r>
  <r>
    <x v="4"/>
    <n v="2904"/>
    <s v="PTS"/>
    <n v="34827.942107748619"/>
    <n v="33191.685199338892"/>
    <n v="42101.289231921794"/>
    <n v="44921.956360063246"/>
    <n v="43481.160483470987"/>
    <n v="54230.689083977661"/>
    <n v="38913.204249921073"/>
    <n v="39616.102168337718"/>
    <n v="40822.262280574403"/>
    <n v="33775.315620060559"/>
    <n v="37198.09659997854"/>
    <n v="33299.332103154811"/>
    <n v="476379.03548854828"/>
    <n v="364057"/>
    <n v="112322.03548854828"/>
    <n v="0.30852870701167201"/>
    <m/>
    <n v="364057"/>
    <n v="280857"/>
    <n v="1003776"/>
    <x v="0"/>
  </r>
  <r>
    <x v="2"/>
    <n v="2904"/>
    <s v="BJ PTS"/>
    <n v="170000"/>
    <n v="100000"/>
    <n v="65000"/>
    <n v="65000"/>
    <n v="65000"/>
    <n v="65000"/>
    <n v="65000"/>
    <n v="65000"/>
    <n v="135000"/>
    <n v="65000"/>
    <n v="170000"/>
    <n v="65000"/>
    <n v="1095000"/>
    <n v="1378699"/>
    <n v="-283699"/>
    <n v="-0.20577297872849692"/>
    <s v="Around 60% OEE on SP2"/>
    <n v="1378699"/>
    <n v="1813209.3599999999"/>
    <n v="163697"/>
    <x v="0"/>
  </r>
  <r>
    <x v="4"/>
    <n v="2904"/>
    <s v="Sundaes"/>
    <n v="100000"/>
    <n v="200575"/>
    <n v="24000"/>
    <n v="245925"/>
    <n v="199575"/>
    <n v="123850"/>
    <n v="208000"/>
    <n v="48000"/>
    <n v="85925"/>
    <n v="60900"/>
    <n v="48000"/>
    <n v="0"/>
    <n v="1344750"/>
    <n v="1136639"/>
    <n v="208111"/>
    <n v="0.18309331282843541"/>
    <m/>
    <n v="1136639"/>
    <n v="828400"/>
    <n v="0"/>
    <x v="0"/>
  </r>
  <r>
    <x v="13"/>
    <n v="2904"/>
    <s v="YS PTS"/>
    <n v="70000"/>
    <n v="140000"/>
    <n v="175000"/>
    <n v="175000"/>
    <n v="175000"/>
    <n v="175000"/>
    <n v="175000"/>
    <n v="175000"/>
    <n v="105000"/>
    <n v="175000"/>
    <n v="70000"/>
    <n v="70000"/>
    <n v="1680000"/>
    <n v="75000"/>
    <n v="1605000"/>
    <n v="21.4"/>
    <m/>
    <n v="75000"/>
    <n v="100000"/>
    <n v="0"/>
    <x v="0"/>
  </r>
  <r>
    <x v="4"/>
    <n v="2904"/>
    <s v="Topped"/>
    <n v="167075"/>
    <n v="140425"/>
    <n v="334150"/>
    <n v="102500"/>
    <n v="102500"/>
    <n v="296225"/>
    <n v="102500"/>
    <n v="305000"/>
    <n v="227500"/>
    <n v="64575"/>
    <n v="102500"/>
    <n v="307500"/>
    <n v="2252450"/>
    <n v="2406640"/>
    <n v="-154190"/>
    <n v="-6.4068576937140576E-2"/>
    <m/>
    <n v="2406640"/>
    <n v="2479665"/>
    <n v="2343329.5714285714"/>
    <x v="0"/>
  </r>
  <r>
    <x v="14"/>
    <n v="2904"/>
    <s v="TALENTI"/>
    <n v="881280"/>
    <n v="1059840"/>
    <n v="1204704"/>
    <n v="937440"/>
    <n v="1021248"/>
    <n v="1077504"/>
    <n v="931104"/>
    <n v="965568"/>
    <n v="678624"/>
    <n v="876096"/>
    <n v="683904"/>
    <n v="686496"/>
    <n v="11003808"/>
    <n v="10546374"/>
    <n v="457434"/>
    <n v="4.3373580341451952E-2"/>
    <m/>
    <n v="10546374"/>
    <n v="11032429"/>
    <n v="11399510.539999999"/>
    <x v="0"/>
  </r>
  <r>
    <x v="15"/>
    <n v="2904"/>
    <s v="PG"/>
    <n v="164825"/>
    <n v="172425"/>
    <n v="183825"/>
    <n v="175750"/>
    <n v="190475"/>
    <n v="169100"/>
    <n v="172900"/>
    <n v="187150"/>
    <n v="133000"/>
    <n v="143450"/>
    <n v="129200"/>
    <n v="117325"/>
    <n v="1939425"/>
    <n v="2060365.5"/>
    <n v="-120940.5"/>
    <n v="-5.8698565861251314E-2"/>
    <m/>
    <n v="2060365.5"/>
    <n v="2041372.5"/>
    <n v="218773"/>
    <x v="0"/>
  </r>
  <r>
    <x v="5"/>
    <m/>
    <s v="Total Sikeston"/>
    <n v="3756445.4421077487"/>
    <n v="4108973.1851993389"/>
    <n v="4536537.2892319225"/>
    <n v="4030291.956360063"/>
    <n v="4169574.1604834711"/>
    <n v="4071368.1890839776"/>
    <n v="3774523.2042499213"/>
    <n v="3983828.6021683379"/>
    <n v="3166652.2622805741"/>
    <n v="3226930.3156200605"/>
    <n v="2795800.0965999784"/>
    <n v="2434792.3321031546"/>
    <n v="44055717.035488546"/>
    <n v="40857613"/>
    <n v="3198104.0354885482"/>
    <n v="7.8274372893212055E-2"/>
    <m/>
    <n v="40857613"/>
    <n v="42101067.200000003"/>
    <n v="38587337.111428574"/>
    <x v="1"/>
  </r>
  <r>
    <x v="5"/>
    <m/>
    <m/>
    <n v="301902.94210774859"/>
    <n v="374191.68519933888"/>
    <n v="400251.28923192178"/>
    <n v="393346.95636006322"/>
    <n v="345556.160483471"/>
    <n v="474305.68908397766"/>
    <n v="349413.20424992108"/>
    <n v="392616.10216833773"/>
    <n v="354247.26228057442"/>
    <n v="159250.31562006054"/>
    <n v="187698.09659997854"/>
    <n v="340799.3321031548"/>
    <m/>
    <m/>
    <m/>
    <m/>
    <m/>
    <m/>
    <m/>
    <m/>
    <x v="1"/>
  </r>
  <r>
    <x v="5"/>
    <m/>
    <s v="COVINGTON 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6"/>
    <n v="1352"/>
    <s v="48oz"/>
    <n v="998320"/>
    <n v="1111216"/>
    <n v="1240240"/>
    <n v="1197232"/>
    <n v="1111216"/>
    <n v="1111216"/>
    <n v="1111216"/>
    <n v="1240240"/>
    <n v="982192"/>
    <n v="1111216"/>
    <n v="896176"/>
    <n v="410000"/>
    <n v="12520480"/>
    <n v="12401320"/>
    <n v="119160"/>
    <n v="9.6086545625788215E-3"/>
    <m/>
    <n v="12401320"/>
    <n v="12101206"/>
    <n v="12564859"/>
    <x v="0"/>
  </r>
  <r>
    <x v="1"/>
    <n v="1352"/>
    <s v="56oz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0"/>
  </r>
  <r>
    <x v="1"/>
    <n v="1352"/>
    <s v="64oz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0"/>
  </r>
  <r>
    <x v="7"/>
    <n v="1352"/>
    <s v="EDF"/>
    <n v="383040"/>
    <n v="383040"/>
    <n v="424080"/>
    <n v="383040"/>
    <n v="424080"/>
    <n v="383040"/>
    <n v="528960"/>
    <n v="494760"/>
    <n v="446880"/>
    <n v="462840"/>
    <n v="0"/>
    <n v="0"/>
    <n v="4313760"/>
    <n v="4044473"/>
    <n v="269287"/>
    <n v="6.6581480454931952E-2"/>
    <m/>
    <n v="4044473"/>
    <n v="4264834"/>
    <n v="3900978"/>
    <x v="0"/>
  </r>
  <r>
    <x v="16"/>
    <n v="1352"/>
    <s v="EFW"/>
    <n v="0"/>
    <n v="0"/>
    <n v="0"/>
    <n v="0"/>
    <n v="0"/>
    <n v="0"/>
    <n v="0"/>
    <n v="0"/>
    <n v="0"/>
    <n v="0"/>
    <n v="0"/>
    <n v="0"/>
    <n v="0"/>
    <n v="429288"/>
    <n v="-429288"/>
    <n v="-1"/>
    <m/>
    <n v="429288"/>
    <n v="429915"/>
    <n v="1279479"/>
    <x v="0"/>
  </r>
  <r>
    <x v="10"/>
    <n v="1352"/>
    <s v="MBG"/>
    <n v="214000"/>
    <n v="203300"/>
    <n v="224700"/>
    <n v="181900"/>
    <n v="167600"/>
    <n v="189000"/>
    <n v="167600"/>
    <n v="156900"/>
    <n v="121200"/>
    <n v="164000"/>
    <n v="121200"/>
    <n v="78400"/>
    <n v="1989800"/>
    <n v="3050965"/>
    <n v="-1061165"/>
    <n v="-0.34781290509723972"/>
    <m/>
    <n v="3050965"/>
    <n v="2915302"/>
    <n v="2679749"/>
    <x v="0"/>
  </r>
  <r>
    <x v="15"/>
    <n v="1352"/>
    <s v="PG"/>
    <n v="303240"/>
    <n v="303240"/>
    <n v="303240"/>
    <n v="317680"/>
    <n v="332120"/>
    <n v="288800"/>
    <n v="288800"/>
    <n v="317680"/>
    <n v="231040"/>
    <n v="259920"/>
    <n v="231040"/>
    <n v="245480"/>
    <n v="3422280"/>
    <n v="2992953"/>
    <n v="429327"/>
    <n v="0.14344595454723144"/>
    <s v="Assuming"/>
    <n v="2992953"/>
    <n v="3292500"/>
    <n v="2195481"/>
    <x v="0"/>
  </r>
  <r>
    <x v="14"/>
    <n v="1352"/>
    <s v="Talenti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0"/>
  </r>
  <r>
    <x v="5"/>
    <m/>
    <s v="Total Covington"/>
    <n v="1898600"/>
    <n v="2000796"/>
    <n v="2192260"/>
    <n v="2079852"/>
    <n v="2035016"/>
    <n v="1972056"/>
    <n v="2096576"/>
    <n v="2209580"/>
    <n v="1781312"/>
    <n v="1997976"/>
    <n v="1248416"/>
    <n v="733880"/>
    <n v="22246320"/>
    <n v="22918999"/>
    <n v="-672679"/>
    <n v="-2.9350278343308101E-2"/>
    <m/>
    <n v="22918999"/>
    <n v="23003757"/>
    <n v="22620546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 3PM 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3"/>
    <n v="1712"/>
    <s v="B&amp;J Cups"/>
    <n v="74035"/>
    <n v="139059"/>
    <n v="100786"/>
    <n v="78643"/>
    <n v="114174"/>
    <n v="101380"/>
    <n v="60283"/>
    <n v="95814"/>
    <n v="90842"/>
    <n v="73671"/>
    <n v="77454"/>
    <n v="54122"/>
    <n v="1060263"/>
    <n v="1197580"/>
    <n v="-137317"/>
    <n v="-0.11466206850481805"/>
    <m/>
    <n v="1197580"/>
    <n v="1261792"/>
    <n v="428282.4"/>
    <x v="2"/>
  </r>
  <r>
    <x v="9"/>
    <n v="1712"/>
    <s v="ESS"/>
    <n v="136123.20000000001"/>
    <n v="163108.79999999999"/>
    <n v="146116.79999999999"/>
    <n v="139622.39999999999"/>
    <n v="199915.2"/>
    <n v="100987.2"/>
    <n v="184636.79999999999"/>
    <n v="87379.199999999997"/>
    <n v="205176"/>
    <n v="231240"/>
    <n v="204009.60000000001"/>
    <n v="207897.60000000001"/>
    <n v="2006212.8"/>
    <n v="1129373.3999999999"/>
    <n v="876839.40000000014"/>
    <n v="0.7763945919037939"/>
    <m/>
    <n v="1129373.3999999999"/>
    <n v="1193967"/>
    <n v="300825"/>
    <x v="2"/>
  </r>
  <r>
    <x v="9"/>
    <n v="1712"/>
    <s v="KL Sandwich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2"/>
  </r>
  <r>
    <x v="5"/>
    <m/>
    <s v="Total Schwann's"/>
    <n v="210158.2"/>
    <n v="302167.8"/>
    <n v="246902.8"/>
    <n v="218265.4"/>
    <n v="314089.2"/>
    <n v="202367.2"/>
    <n v="244919.8"/>
    <n v="183193.2"/>
    <n v="296018"/>
    <n v="304911"/>
    <n v="281463.59999999998"/>
    <n v="262019.6"/>
    <n v="3066475.8"/>
    <n v="2326953.4"/>
    <n v="739522.40000000014"/>
    <n v="0.31780713786533077"/>
    <m/>
    <n v="2326953.4"/>
    <n v="2455759"/>
    <n v="729107.4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1"/>
    <n v="6765"/>
    <s v="BR Minicups"/>
    <n v="26400"/>
    <n v="8800"/>
    <n v="26400"/>
    <n v="8800"/>
    <n v="26400"/>
    <n v="17600"/>
    <n v="10800"/>
    <n v="17600"/>
    <n v="8800"/>
    <n v="26400"/>
    <n v="8800"/>
    <n v="8800"/>
    <n v="195600"/>
    <n v="105840"/>
    <n v="89760"/>
    <n v="0.84807256235827666"/>
    <m/>
    <n v="105840"/>
    <n v="0"/>
    <n v="375319"/>
    <x v="2"/>
  </r>
  <r>
    <x v="1"/>
    <n v="6764"/>
    <s v="Other"/>
    <n v="25000"/>
    <n v="25000"/>
    <n v="25000"/>
    <n v="75000"/>
    <n v="75000"/>
    <n v="100000"/>
    <n v="75000"/>
    <n v="50000"/>
    <n v="50000"/>
    <n v="25000"/>
    <n v="50000"/>
    <n v="25000"/>
    <n v="600000"/>
    <n v="139902"/>
    <m/>
    <m/>
    <m/>
    <n v="139902"/>
    <m/>
    <m/>
    <x v="1"/>
  </r>
  <r>
    <x v="4"/>
    <n v="6706"/>
    <s v="PTS"/>
    <n v="0"/>
    <n v="0"/>
    <n v="0"/>
    <n v="0"/>
    <n v="0"/>
    <n v="0"/>
    <n v="0"/>
    <n v="0"/>
    <n v="0"/>
    <n v="0"/>
    <n v="0"/>
    <n v="0"/>
    <n v="0"/>
    <n v="8521"/>
    <n v="-8521"/>
    <n v="-1"/>
    <m/>
    <n v="8521"/>
    <n v="8521"/>
    <n v="229128"/>
    <x v="2"/>
  </r>
  <r>
    <x v="9"/>
    <n v="6706"/>
    <s v="Giant SW"/>
    <n v="0"/>
    <n v="0"/>
    <n v="0"/>
    <n v="0"/>
    <n v="0"/>
    <n v="0"/>
    <n v="0"/>
    <n v="0"/>
    <n v="0"/>
    <n v="0"/>
    <n v="0"/>
    <n v="0"/>
    <n v="0"/>
    <n v="507304"/>
    <n v="-507304"/>
    <n v="-1"/>
    <m/>
    <n v="507304"/>
    <n v="507011"/>
    <n v="851869"/>
    <x v="2"/>
  </r>
  <r>
    <x v="1"/>
    <n v="6706"/>
    <s v="FB Cones"/>
    <n v="0"/>
    <n v="0"/>
    <n v="0"/>
    <n v="0"/>
    <n v="0"/>
    <n v="0"/>
    <n v="0"/>
    <n v="0"/>
    <n v="0"/>
    <n v="0"/>
    <n v="0"/>
    <n v="0"/>
    <n v="0"/>
    <n v="455976"/>
    <m/>
    <n v="0"/>
    <m/>
    <n v="455976"/>
    <n v="580461"/>
    <n v="914893"/>
    <x v="2"/>
  </r>
  <r>
    <x v="1"/>
    <n v="6706"/>
    <s v="BR Minicups"/>
    <n v="0"/>
    <n v="0"/>
    <n v="0"/>
    <n v="0"/>
    <n v="0"/>
    <n v="0"/>
    <n v="0"/>
    <n v="0"/>
    <n v="0"/>
    <n v="0"/>
    <n v="0"/>
    <n v="0"/>
    <n v="0"/>
    <n v="125427"/>
    <m/>
    <n v="0"/>
    <m/>
    <n v="125427"/>
    <n v="125427"/>
    <n v="355935"/>
    <x v="2"/>
  </r>
  <r>
    <x v="5"/>
    <m/>
    <s v="Total Brothers 3PM"/>
    <n v="51400"/>
    <n v="33800"/>
    <n v="51400"/>
    <n v="83800"/>
    <n v="101400"/>
    <n v="117600"/>
    <n v="85800"/>
    <n v="67600"/>
    <n v="58800"/>
    <n v="51400"/>
    <n v="58800"/>
    <n v="33800"/>
    <n v="795600"/>
    <n v="1342970"/>
    <n v="-426065"/>
    <n v="-0.31725578382242342"/>
    <m/>
    <n v="1342970"/>
    <n v="1221420"/>
    <n v="2727144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12"/>
    <n v="1715"/>
    <s v="Yasso Sticks"/>
    <n v="250000"/>
    <n v="250000"/>
    <n v="250000"/>
    <n v="250000"/>
    <n v="275000"/>
    <n v="250000"/>
    <n v="256249.99999999997"/>
    <n v="275000"/>
    <n v="250000"/>
    <n v="156249.99999999997"/>
    <n v="0"/>
    <n v="0"/>
    <n v="2462500"/>
    <n v="3028760.75"/>
    <n v="-566260.75"/>
    <n v="-0.1869612018710953"/>
    <m/>
    <n v="3028760.75"/>
    <n v="3257496"/>
    <n v="2339921.3333333335"/>
    <x v="2"/>
  </r>
  <r>
    <x v="12"/>
    <n v="1716"/>
    <s v="Yasso Sticks"/>
    <n v="168750"/>
    <n v="168750"/>
    <n v="168750"/>
    <n v="325000"/>
    <n v="387500"/>
    <n v="481250"/>
    <n v="512499.99999999994"/>
    <n v="543750"/>
    <n v="575000"/>
    <n v="506250"/>
    <n v="0"/>
    <n v="0"/>
    <n v="3837500"/>
    <n v="2926048"/>
    <n v="911452"/>
    <n v="0.31149591530965998"/>
    <m/>
    <n v="2926048"/>
    <n v="2967879"/>
    <n v="2339921.3333333335"/>
    <x v="2"/>
  </r>
  <r>
    <x v="12"/>
    <n v="1717"/>
    <s v="Yasso Sticks"/>
    <n v="78125"/>
    <n v="78125"/>
    <n v="84375"/>
    <n v="78125"/>
    <n v="84375"/>
    <n v="78125"/>
    <n v="81250"/>
    <n v="84375"/>
    <n v="78125"/>
    <n v="-18750"/>
    <n v="0"/>
    <n v="0"/>
    <n v="706250"/>
    <n v="1950574"/>
    <n v="-1244324"/>
    <n v="-0.6379270922302871"/>
    <m/>
    <n v="1950574"/>
    <n v="890435"/>
    <n v="2339921.3333333335"/>
    <x v="2"/>
  </r>
  <r>
    <x v="17"/>
    <n v="1712"/>
    <s v="Yasso Club"/>
    <n v="196559.86"/>
    <n v="588718.71"/>
    <n v="614868.99"/>
    <n v="116879.57"/>
    <n v="148559.85999999999"/>
    <n v="166080.44"/>
    <n v="29673.57"/>
    <n v="172105.01"/>
    <n v="24620.44"/>
    <n v="28791.14"/>
    <n v="30860.29"/>
    <n v="24566.28"/>
    <n v="2142284.1599999997"/>
    <n v="2821581"/>
    <n v="-679296.84000000032"/>
    <n v="-0.24075043034383925"/>
    <m/>
    <n v="2821581"/>
    <n v="3351288.13"/>
    <n v="1931563"/>
    <x v="2"/>
  </r>
  <r>
    <x v="18"/>
    <n v="1713"/>
    <s v="Yasso Poppables"/>
    <n v="28800"/>
    <n v="46800"/>
    <n v="43200"/>
    <n v="28800"/>
    <n v="43200"/>
    <n v="32400"/>
    <n v="39600"/>
    <n v="28800"/>
    <n v="36000"/>
    <n v="36000"/>
    <n v="32400"/>
    <n v="21600"/>
    <n v="417600"/>
    <n v="489248"/>
    <n v="-71648"/>
    <n v="-0.14644515664857086"/>
    <m/>
    <n v="489248"/>
    <n v="559185"/>
    <n v="335233"/>
    <x v="2"/>
  </r>
  <r>
    <x v="19"/>
    <n v="1714"/>
    <s v="Yasso Sandwich"/>
    <n v="0"/>
    <n v="0"/>
    <n v="0"/>
    <n v="0"/>
    <n v="0"/>
    <n v="0"/>
    <n v="0"/>
    <n v="0"/>
    <n v="0"/>
    <n v="0"/>
    <n v="0"/>
    <n v="0"/>
    <n v="0"/>
    <n v="5670"/>
    <n v="-5670"/>
    <m/>
    <m/>
    <n v="5670"/>
    <n v="5670"/>
    <n v="168614"/>
    <x v="2"/>
  </r>
  <r>
    <x v="5"/>
    <m/>
    <s v="Total Yasso"/>
    <n v="722234.86"/>
    <n v="1132393.71"/>
    <n v="1161193.99"/>
    <n v="798804.57000000007"/>
    <n v="938634.86"/>
    <n v="1007855.44"/>
    <n v="919273.56999999983"/>
    <n v="1104030.01"/>
    <n v="963745.44"/>
    <n v="708541.14"/>
    <n v="63260.29"/>
    <n v="46166.28"/>
    <n v="9566134.1600000001"/>
    <n v="11221881.75"/>
    <n v="-566260.75"/>
    <n v="-5.0460409636734947E-2"/>
    <m/>
    <n v="11221881.75"/>
    <n v="11031953.129999999"/>
    <n v="9455174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m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20"/>
    <s v="Rhino"/>
    <s v="Dough Bites"/>
    <n v="45000"/>
    <n v="26500"/>
    <n v="45000"/>
    <n v="26000"/>
    <n v="21000"/>
    <n v="40000"/>
    <n v="26000"/>
    <n v="40000"/>
    <n v="7000"/>
    <n v="14000"/>
    <n v="28000"/>
    <n v="19500"/>
    <n v="338000"/>
    <n v="472047"/>
    <n v="-134047"/>
    <n v="-0.28396960472156374"/>
    <m/>
    <n v="472047"/>
    <n v="500055"/>
    <n v="414132"/>
    <x v="2"/>
  </r>
  <r>
    <x v="9"/>
    <n v="6757"/>
    <s v="ESS"/>
    <n v="42105.599999999999"/>
    <n v="56140.799999999996"/>
    <n v="70176"/>
    <n v="56140.799999999996"/>
    <n v="56140.799999999996"/>
    <n v="70176"/>
    <n v="56140.799999999996"/>
    <n v="28070.399999999998"/>
    <n v="0"/>
    <n v="0"/>
    <n v="0"/>
    <n v="0"/>
    <n v="435091.20000000001"/>
    <n v="502720.60000000003"/>
    <n v="-67629.400000000023"/>
    <n v="-0.13452681270670033"/>
    <s v="Ramp up rate/assumptions updated"/>
    <n v="502720.60000000003"/>
    <n v="517249"/>
    <m/>
    <x v="2"/>
  </r>
  <r>
    <x v="19"/>
    <n v="6757"/>
    <s v="Yasso Sandwich"/>
    <n v="9950.5"/>
    <n v="17481.5"/>
    <n v="17069.499999999989"/>
    <n v="22358"/>
    <n v="11500.499999999989"/>
    <n v="11643.499999999989"/>
    <n v="17920.999999999989"/>
    <n v="15522.999999999989"/>
    <n v="9940.5"/>
    <n v="10178.499999999989"/>
    <n v="9108.5"/>
    <n v="16578.5"/>
    <n v="169253.49999999994"/>
    <n v="151154"/>
    <n v="18099.499999999942"/>
    <n v="0.1197421173108217"/>
    <m/>
    <n v="151154"/>
    <n v="146154"/>
    <m/>
    <x v="2"/>
  </r>
  <r>
    <x v="1"/>
    <n v="6757"/>
    <s v="BR Minicups"/>
    <n v="18242.389999999901"/>
    <n v="18449.949999999932"/>
    <n v="13964.609999999961"/>
    <n v="19163.159999999931"/>
    <n v="19525.1699999999"/>
    <n v="20373.869999999981"/>
    <n v="16122.18999999999"/>
    <n v="16963.499999999949"/>
    <n v="12199.46999999999"/>
    <n v="12703.63999999999"/>
    <n v="17425.159999999971"/>
    <n v="12569.029999999939"/>
    <n v="197702.13999999943"/>
    <n v="0"/>
    <m/>
    <m/>
    <m/>
    <n v="0"/>
    <n v="85840"/>
    <m/>
    <x v="2"/>
  </r>
  <r>
    <x v="1"/>
    <n v="1717"/>
    <s v="FB Cones"/>
    <n v="30000"/>
    <n v="30000"/>
    <n v="60000"/>
    <n v="30000"/>
    <n v="60000"/>
    <n v="60000"/>
    <n v="60000"/>
    <n v="30000"/>
    <n v="30000"/>
    <n v="30000"/>
    <n v="30000"/>
    <n v="30000"/>
    <n v="480000"/>
    <n v="0"/>
    <m/>
    <m/>
    <m/>
    <n v="0"/>
    <n v="0"/>
    <m/>
    <x v="2"/>
  </r>
  <r>
    <x v="13"/>
    <n v="1716"/>
    <s v="YS PTS"/>
    <n v="0"/>
    <n v="0"/>
    <n v="0"/>
    <n v="0"/>
    <n v="0"/>
    <n v="0"/>
    <n v="0"/>
    <n v="0"/>
    <n v="0"/>
    <n v="0"/>
    <n v="0"/>
    <n v="0"/>
    <n v="0"/>
    <n v="238415"/>
    <n v="-238415"/>
    <n v="-1"/>
    <m/>
    <n v="238415"/>
    <n v="317700"/>
    <m/>
    <x v="2"/>
  </r>
  <r>
    <x v="4"/>
    <n v="1716"/>
    <s v="PT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2"/>
  </r>
  <r>
    <x v="2"/>
    <n v="1716"/>
    <s v="BJ PTS"/>
    <n v="0"/>
    <n v="0"/>
    <n v="0"/>
    <n v="0"/>
    <n v="0"/>
    <n v="0"/>
    <n v="0"/>
    <n v="0"/>
    <n v="0"/>
    <n v="0"/>
    <n v="0"/>
    <n v="0"/>
    <n v="0"/>
    <n v="607165"/>
    <n v="-607165"/>
    <n v="-1"/>
    <s v="PB Cup &amp; Attainment"/>
    <n v="607165"/>
    <n v="607165"/>
    <m/>
    <x v="2"/>
  </r>
  <r>
    <x v="8"/>
    <n v="1716"/>
    <s v="BJ Bars"/>
    <n v="118750"/>
    <n v="168750"/>
    <n v="118750"/>
    <n v="50000"/>
    <n v="337500"/>
    <n v="150000"/>
    <n v="100000"/>
    <n v="493750"/>
    <n v="150000"/>
    <n v="150000"/>
    <n v="150000"/>
    <n v="0"/>
    <n v="1987500"/>
    <n v="190000"/>
    <n v="1797500"/>
    <n v="9.4605263157894743"/>
    <m/>
    <n v="190000"/>
    <n v="140000"/>
    <m/>
    <x v="2"/>
  </r>
  <r>
    <x v="1"/>
    <n v="6757"/>
    <s v="YS Cup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2"/>
  </r>
  <r>
    <x v="1"/>
    <s v="Glacier Point"/>
    <s v="Other"/>
    <n v="0"/>
    <n v="0"/>
    <n v="0"/>
    <n v="0"/>
    <n v="0"/>
    <n v="0"/>
    <n v="0"/>
    <n v="0"/>
    <n v="0"/>
    <n v="0"/>
    <n v="0"/>
    <n v="0"/>
    <n v="0"/>
    <n v="73993"/>
    <n v="-73993"/>
    <n v="-1"/>
    <m/>
    <n v="73993"/>
    <n v="73993"/>
    <m/>
    <x v="2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Imports/Others"/>
    <m/>
    <m/>
    <m/>
    <m/>
    <m/>
    <m/>
    <m/>
    <m/>
    <m/>
    <m/>
    <m/>
    <m/>
    <s v="2026 MRF8"/>
    <s v="2025 MRF8"/>
    <s v="Difference"/>
    <s v="% change"/>
    <s v="Commentary"/>
    <s v="2025 MRF8"/>
    <s v="2025 MRF7"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L Projection"/>
    <s v="L Projection"/>
    <s v="Difference"/>
    <s v="% change"/>
    <m/>
    <s v="L Projection"/>
    <s v="L Projection"/>
    <s v="2024 MRF12"/>
    <x v="1"/>
  </r>
  <r>
    <x v="1"/>
    <s v="St Iria"/>
    <s v="King Cone (PT)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m/>
    <x v="3"/>
  </r>
  <r>
    <x v="11"/>
    <s v="St Iria"/>
    <s v="MG Stick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3"/>
  </r>
  <r>
    <x v="15"/>
    <s v="Tultitlan"/>
    <s v="PG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3"/>
  </r>
  <r>
    <x v="1"/>
    <s v="Tultitlan"/>
    <s v="Other"/>
    <n v="15976"/>
    <n v="17354"/>
    <n v="23786"/>
    <n v="26768"/>
    <n v="33308"/>
    <n v="31343.999999999898"/>
    <n v="32926.999999999898"/>
    <n v="26641"/>
    <n v="23605"/>
    <n v="14627"/>
    <n v="15478"/>
    <n v="14841"/>
    <n v="276654.99999999977"/>
    <n v="153723"/>
    <m/>
    <n v="0"/>
    <m/>
    <n v="153723"/>
    <n v="280897"/>
    <m/>
    <x v="3"/>
  </r>
  <r>
    <x v="9"/>
    <s v="Tultitlan"/>
    <s v="KL Sandwiche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3"/>
  </r>
  <r>
    <x v="21"/>
    <s v="Tultitlan"/>
    <s v="KL Mini Cones"/>
    <n v="0"/>
    <n v="0"/>
    <n v="0"/>
    <n v="0"/>
    <n v="0"/>
    <n v="0"/>
    <n v="0"/>
    <n v="0"/>
    <n v="0"/>
    <n v="0"/>
    <n v="0"/>
    <n v="0"/>
    <n v="0"/>
    <n v="30899"/>
    <m/>
    <m/>
    <m/>
    <n v="30899"/>
    <n v="98064"/>
    <n v="142936"/>
    <x v="3"/>
  </r>
  <r>
    <x v="11"/>
    <s v="Tultitlan"/>
    <s v="MG Sticks"/>
    <n v="0"/>
    <n v="0"/>
    <n v="0"/>
    <n v="0"/>
    <n v="0"/>
    <n v="0"/>
    <n v="0"/>
    <n v="0"/>
    <n v="0"/>
    <n v="0"/>
    <n v="0"/>
    <n v="0"/>
    <n v="0"/>
    <n v="1986"/>
    <n v="-1986"/>
    <n v="-1"/>
    <m/>
    <n v="1986"/>
    <n v="1986"/>
    <n v="215076"/>
    <x v="3"/>
  </r>
  <r>
    <x v="6"/>
    <n v="3910"/>
    <s v="48oz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4"/>
  </r>
  <r>
    <x v="9"/>
    <n v="3910"/>
    <s v="ESS"/>
    <n v="0"/>
    <n v="0"/>
    <n v="0"/>
    <n v="5712"/>
    <n v="48120"/>
    <n v="58622.399999999994"/>
    <n v="101294.39999999999"/>
    <n v="95352"/>
    <n v="19876.8"/>
    <n v="19204.8"/>
    <n v="24580.799999999999"/>
    <n v="44510.399999999994"/>
    <n v="417273.59999999998"/>
    <n v="366132.4"/>
    <n v="51141.199999999953"/>
    <n v="0.13967952576718135"/>
    <s v="Includes Van SW, C&amp;C IH &amp; OOH"/>
    <n v="366132.4"/>
    <n v="414664.8"/>
    <n v="153328"/>
    <x v="4"/>
  </r>
  <r>
    <x v="11"/>
    <n v="3910"/>
    <s v="MG Sticks"/>
    <n v="0"/>
    <n v="0"/>
    <n v="0"/>
    <n v="0"/>
    <n v="0"/>
    <n v="0"/>
    <n v="0"/>
    <n v="0"/>
    <n v="0"/>
    <n v="0"/>
    <n v="0"/>
    <n v="0"/>
    <n v="0"/>
    <n v="8403"/>
    <n v="-8403"/>
    <n v="-1"/>
    <m/>
    <n v="8403"/>
    <n v="8403"/>
    <n v="75496"/>
    <x v="4"/>
  </r>
  <r>
    <x v="15"/>
    <n v="3910"/>
    <s v="PG"/>
    <n v="0"/>
    <n v="0"/>
    <n v="0"/>
    <n v="0"/>
    <n v="0"/>
    <n v="0"/>
    <n v="0"/>
    <n v="0"/>
    <n v="0"/>
    <n v="0"/>
    <n v="0"/>
    <n v="0"/>
    <n v="0"/>
    <n v="17358"/>
    <n v="-17358"/>
    <n v="-1"/>
    <m/>
    <n v="17358"/>
    <n v="17358"/>
    <n v="11427"/>
    <x v="4"/>
  </r>
  <r>
    <x v="16"/>
    <n v="3910"/>
    <s v="EFW"/>
    <n v="0"/>
    <n v="0"/>
    <n v="0"/>
    <n v="0"/>
    <n v="0"/>
    <n v="0"/>
    <n v="61058.559999999998"/>
    <n v="61003.629999999896"/>
    <n v="49151.119999999901"/>
    <n v="39595.009999999893"/>
    <n v="0"/>
    <n v="0"/>
    <n v="210808.31999999969"/>
    <n v="0"/>
    <n v="210808.31999999969"/>
    <s v=""/>
    <m/>
    <n v="0"/>
    <n v="0"/>
    <n v="277747"/>
    <x v="4"/>
  </r>
  <r>
    <x v="11"/>
    <s v="Veszprem"/>
    <s v="MG Sticks"/>
    <n v="0"/>
    <n v="0"/>
    <n v="0"/>
    <n v="0"/>
    <n v="0"/>
    <n v="0"/>
    <n v="0"/>
    <n v="0"/>
    <n v="0"/>
    <n v="0"/>
    <n v="0"/>
    <n v="0"/>
    <n v="0"/>
    <n v="106596"/>
    <n v="-106596"/>
    <n v="-1"/>
    <m/>
    <n v="106596"/>
    <n v="106596"/>
    <m/>
    <x v="3"/>
  </r>
  <r>
    <x v="2"/>
    <n v="3910"/>
    <s v="BJ PTS"/>
    <n v="0"/>
    <n v="0"/>
    <n v="0"/>
    <n v="0"/>
    <n v="0"/>
    <n v="0"/>
    <n v="0"/>
    <n v="0"/>
    <n v="0"/>
    <n v="0"/>
    <n v="0"/>
    <n v="0"/>
    <n v="0"/>
    <n v="115851"/>
    <n v="-115851"/>
    <n v="-1"/>
    <m/>
    <n v="115851"/>
    <n v="115851"/>
    <n v="306662"/>
    <x v="4"/>
  </r>
  <r>
    <x v="15"/>
    <s v="GDI"/>
    <s v="PG"/>
    <n v="217366.75700090337"/>
    <n v="201840.56007226737"/>
    <n v="217366.75700090337"/>
    <n v="209603.65853658537"/>
    <n v="217366.75700090337"/>
    <n v="209603.65853658537"/>
    <n v="217366.75700090337"/>
    <n v="3.2014213502407074E-10"/>
    <n v="3.7834979593753815E-10"/>
    <n v="1"/>
    <n v="1"/>
    <n v="1"/>
    <n v="1490517.9051490522"/>
    <n v="3133646.85"/>
    <n v="-1643128.9448509479"/>
    <n v="-0.5243503890206862"/>
    <m/>
    <n v="3133646.85"/>
    <n v="3152170.2"/>
    <n v="1676859"/>
    <x v="3"/>
  </r>
  <r>
    <x v="22"/>
    <s v="GDI"/>
    <s v="Facepieces"/>
    <n v="0"/>
    <n v="0"/>
    <n v="0"/>
    <n v="0"/>
    <n v="0"/>
    <n v="0"/>
    <n v="0"/>
    <n v="0"/>
    <n v="0"/>
    <n v="0"/>
    <n v="0"/>
    <n v="0"/>
    <n v="0"/>
    <n v="273308"/>
    <n v="-273308"/>
    <n v="-1"/>
    <m/>
    <n v="273308"/>
    <n v="247128"/>
    <m/>
    <x v="3"/>
  </r>
  <r>
    <x v="21"/>
    <s v="Tula"/>
    <s v="KL Mini Cone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3"/>
  </r>
  <r>
    <x v="1"/>
    <s v="Gloucester"/>
    <s v="MG Sticks ND"/>
    <n v="0"/>
    <n v="20001"/>
    <n v="0"/>
    <n v="0"/>
    <n v="0"/>
    <n v="0"/>
    <n v="0"/>
    <n v="0"/>
    <n v="0"/>
    <n v="0"/>
    <n v="0"/>
    <n v="0"/>
    <n v="20001"/>
    <n v="0"/>
    <n v="20001"/>
    <s v=""/>
    <m/>
    <n v="0"/>
    <n v="0"/>
    <n v="22646"/>
    <x v="3"/>
  </r>
  <r>
    <x v="1"/>
    <s v="Caivano"/>
    <s v="MG Sticks ND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29655"/>
    <x v="3"/>
  </r>
  <r>
    <x v="21"/>
    <s v="Turkey"/>
    <s v="KL Mini Cones"/>
    <n v="178690"/>
    <n v="51052"/>
    <n v="25526"/>
    <n v="51052"/>
    <n v="25526"/>
    <n v="102104"/>
    <n v="76578"/>
    <n v="25526"/>
    <n v="0"/>
    <n v="76578"/>
    <n v="25526"/>
    <n v="0"/>
    <n v="638158"/>
    <n v="711062"/>
    <n v="-72904"/>
    <n v="-0.10252833086285021"/>
    <s v="Added production to protect before EOY shut down"/>
    <n v="711062"/>
    <n v="591174"/>
    <n v="846019"/>
    <x v="3"/>
  </r>
  <r>
    <x v="1"/>
    <s v="Turkey"/>
    <s v="Other"/>
    <n v="0"/>
    <n v="0"/>
    <n v="0"/>
    <n v="0"/>
    <n v="21430"/>
    <n v="3740"/>
    <n v="1760"/>
    <n v="2420"/>
    <n v="1100"/>
    <n v="1100"/>
    <n v="1650"/>
    <n v="0"/>
    <n v="33200"/>
    <n v="64539"/>
    <n v="-31339"/>
    <n v="-0.48558236105300673"/>
    <m/>
    <n v="64539"/>
    <n v="61502"/>
    <n v="40122"/>
    <x v="3"/>
  </r>
  <r>
    <x v="22"/>
    <s v="Incom"/>
    <s v="Facepieces"/>
    <n v="648392"/>
    <n v="243521"/>
    <n v="416666.66000000003"/>
    <n v="416666.66000000003"/>
    <n v="416666.66000000003"/>
    <n v="208333.34000000003"/>
    <n v="208333.34000000003"/>
    <n v="208333.34000000003"/>
    <n v="208333.34000000003"/>
    <n v="208333.34000000003"/>
    <n v="208333.34000000003"/>
    <n v="468750"/>
    <n v="3860663.0199999996"/>
    <n v="4464019"/>
    <n v="-603355.98000000045"/>
    <n v="-0.13515981450795805"/>
    <m/>
    <n v="4464019"/>
    <n v="4366142"/>
    <n v="3277504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n v="5914"/>
    <s v="2.4 Gal"/>
    <n v="12480"/>
    <n v="50960"/>
    <n v="60480"/>
    <n v="73440"/>
    <n v="72920"/>
    <n v="60840"/>
    <n v="53160"/>
    <n v="36400"/>
    <n v="18720"/>
    <n v="19760"/>
    <n v="36920"/>
    <n v="30160"/>
    <n v="526240"/>
    <n v="483586"/>
    <n v="42654"/>
    <n v="8.8203546008362527E-2"/>
    <m/>
    <n v="483586"/>
    <n v="520103"/>
    <n v="496558"/>
    <x v="0"/>
  </r>
  <r>
    <x v="1"/>
    <n v="5914"/>
    <s v="Quarts"/>
    <n v="42940"/>
    <n v="56500"/>
    <n v="27120"/>
    <n v="58760"/>
    <n v="58760"/>
    <n v="58760"/>
    <n v="56500"/>
    <n v="0"/>
    <n v="70060"/>
    <n v="42940"/>
    <n v="0"/>
    <n v="0"/>
    <n v="472340"/>
    <n v="358927"/>
    <n v="113413"/>
    <n v="0.31597790079876964"/>
    <m/>
    <n v="358927"/>
    <n v="465147"/>
    <n v="168964"/>
    <x v="0"/>
  </r>
  <r>
    <x v="2"/>
    <n v="5914"/>
    <s v="PTS Exports"/>
    <n v="0"/>
    <n v="0"/>
    <n v="0"/>
    <n v="0"/>
    <n v="0"/>
    <n v="0"/>
    <n v="0"/>
    <n v="0"/>
    <n v="0"/>
    <n v="0"/>
    <n v="0"/>
    <n v="0"/>
    <n v="0"/>
    <n v="502182"/>
    <n v="-502182"/>
    <n v="-1"/>
    <m/>
    <n v="502182"/>
    <n v="387146"/>
    <n v="354874"/>
    <x v="0"/>
  </r>
  <r>
    <x v="3"/>
    <n v="5914"/>
    <s v="Cup Expor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46131"/>
    <x v="0"/>
  </r>
  <r>
    <x v="0"/>
    <n v="5914"/>
    <s v="Bulk Expor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3"/>
    <n v="5914"/>
    <s v="B&amp;J Cup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841647"/>
    <x v="0"/>
  </r>
  <r>
    <x v="3"/>
    <n v="5914"/>
    <s v="B&amp;J Dog Treat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63808"/>
    <x v="0"/>
  </r>
  <r>
    <x v="4"/>
    <n v="5914"/>
    <s v="PTS - BR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2"/>
    <n v="5914"/>
    <s v="BJ PTS"/>
    <n v="1166400"/>
    <n v="1451520"/>
    <n v="1451520"/>
    <n v="1520640"/>
    <n v="1382400"/>
    <n v="898560"/>
    <n v="1382400"/>
    <n v="1520640"/>
    <n v="1175040"/>
    <n v="1589760"/>
    <n v="967680"/>
    <n v="422400"/>
    <n v="14928960"/>
    <n v="14892274.200000001"/>
    <n v="36685.799999998882"/>
    <n v="2.4634115318665621E-3"/>
    <s v="No Improvement"/>
    <n v="14892274.200000001"/>
    <n v="14973556.199999999"/>
    <n v="16925680"/>
    <x v="0"/>
  </r>
  <r>
    <x v="5"/>
    <m/>
    <s v="Total St. Albans"/>
    <n v="1221820"/>
    <n v="1558980"/>
    <n v="1539120"/>
    <n v="1652840"/>
    <n v="1514080"/>
    <n v="1018160"/>
    <n v="1492060"/>
    <n v="1557040"/>
    <n v="1263820"/>
    <n v="1652460"/>
    <n v="1004600"/>
    <n v="452560"/>
    <n v="15927540"/>
    <n v="16236969.200000001"/>
    <n v="-309429.20000000112"/>
    <n v="-1.9057078706536015E-2"/>
    <m/>
    <n v="16236969.200000001"/>
    <n v="16345952.199999999"/>
    <n v="18897662"/>
    <x v="1"/>
  </r>
  <r>
    <x v="5"/>
    <m/>
    <m/>
    <n v="1166400"/>
    <n v="1451520"/>
    <n v="1451520"/>
    <n v="1520640"/>
    <n v="1382400"/>
    <n v="898560"/>
    <n v="1382400"/>
    <n v="1520640"/>
    <n v="1175040"/>
    <n v="1589760"/>
    <n v="967680"/>
    <n v="422400"/>
    <m/>
    <m/>
    <m/>
    <m/>
    <m/>
    <m/>
    <m/>
    <m/>
    <x v="1"/>
  </r>
  <r>
    <x v="5"/>
    <m/>
    <s v="WATERBURY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1"/>
    <n v="5911"/>
    <s v="1 Gal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1"/>
    <n v="5911"/>
    <s v="Q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2"/>
    <n v="5911"/>
    <s v="PTS Exports"/>
    <n v="0"/>
    <n v="0"/>
    <n v="0"/>
    <n v="0"/>
    <n v="0"/>
    <n v="0"/>
    <n v="0"/>
    <n v="0"/>
    <n v="0"/>
    <n v="0"/>
    <n v="0"/>
    <n v="0"/>
    <n v="0"/>
    <n v="525471"/>
    <n v="-525471"/>
    <n v="-1"/>
    <m/>
    <n v="525471"/>
    <n v="454697"/>
    <n v="289199"/>
    <x v="0"/>
  </r>
  <r>
    <x v="2"/>
    <n v="5911"/>
    <s v="BJ PTS"/>
    <n v="668571.42857142852"/>
    <n v="768000"/>
    <n v="822857.14285714284"/>
    <n v="795428.57142857148"/>
    <n v="768000"/>
    <n v="713142.85714285704"/>
    <n v="768000"/>
    <n v="822857.14285714284"/>
    <n v="740571.42857142864"/>
    <n v="274285.71428571432"/>
    <n v="192000"/>
    <n v="768000"/>
    <n v="8101714.2857142854"/>
    <n v="8312245.96"/>
    <n v="-210531.67428571451"/>
    <n v="-2.5327892761935849E-2"/>
    <s v="6 weeks Spiral Work Split Oct &amp; November"/>
    <n v="8312245.96"/>
    <n v="8186570"/>
    <n v="8350841"/>
    <x v="0"/>
  </r>
  <r>
    <x v="5"/>
    <m/>
    <s v="Total Waterbury"/>
    <n v="668571.42857142852"/>
    <n v="768000"/>
    <n v="822857.14285714284"/>
    <n v="795428.57142857148"/>
    <n v="768000"/>
    <n v="713142.85714285704"/>
    <n v="768000"/>
    <n v="822857.14285714284"/>
    <n v="740571.42857142864"/>
    <n v="274285.71428571432"/>
    <n v="192000"/>
    <n v="768000"/>
    <n v="8101714.2857142854"/>
    <n v="8837716.9600000009"/>
    <n v="-736002.67428571451"/>
    <n v="-8.3279729099370758E-2"/>
    <m/>
    <n v="8837716.9600000009"/>
    <n v="8641267"/>
    <n v="8640040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SIKESTON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6"/>
    <n v="2904"/>
    <s v="48oz"/>
    <n v="1021100"/>
    <n v="1125680"/>
    <n v="1245200"/>
    <n v="1205360"/>
    <n v="1125680"/>
    <n v="1125680"/>
    <n v="1125680"/>
    <n v="1245200"/>
    <n v="1006160"/>
    <n v="1125680"/>
    <n v="926480"/>
    <n v="797760"/>
    <n v="13075660"/>
    <n v="12772918"/>
    <n v="302742"/>
    <n v="2.3701866715185989E-2"/>
    <m/>
    <n v="12772918"/>
    <n v="12554975"/>
    <n v="13375256"/>
    <x v="0"/>
  </r>
  <r>
    <x v="7"/>
    <n v="2904"/>
    <s v="EDF"/>
    <n v="93100"/>
    <n v="93100"/>
    <n v="103075"/>
    <n v="93100"/>
    <n v="103075"/>
    <n v="0"/>
    <n v="0"/>
    <n v="0"/>
    <n v="0"/>
    <n v="0"/>
    <n v="0"/>
    <n v="0"/>
    <n v="485450"/>
    <n v="842430"/>
    <n v="-356980"/>
    <n v="-0.42375034127464595"/>
    <m/>
    <n v="842430"/>
    <n v="942277"/>
    <n v="829353"/>
    <x v="0"/>
  </r>
  <r>
    <x v="8"/>
    <n v="2904"/>
    <s v="BJ Bar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0"/>
  </r>
  <r>
    <x v="9"/>
    <n v="2904"/>
    <s v="ES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1566148"/>
    <x v="0"/>
  </r>
  <r>
    <x v="10"/>
    <n v="2904"/>
    <s v="MBG"/>
    <n v="85000"/>
    <n v="80750"/>
    <n v="89250"/>
    <n v="72250"/>
    <n v="76500"/>
    <n v="75000"/>
    <n v="66500"/>
    <n v="62250"/>
    <n v="48000"/>
    <n v="65000"/>
    <n v="48000"/>
    <n v="31000"/>
    <n v="799500"/>
    <n v="812329"/>
    <n v="-12829"/>
    <n v="-1.5792862251624649E-2"/>
    <m/>
    <n v="812329"/>
    <n v="864947"/>
    <n v="976339"/>
    <x v="0"/>
  </r>
  <r>
    <x v="11"/>
    <n v="2904"/>
    <s v="MG Sticks"/>
    <n v="703237.5"/>
    <n v="696986.5"/>
    <n v="646532"/>
    <n v="593845"/>
    <n v="696540"/>
    <n v="590578.5"/>
    <n v="552626"/>
    <n v="467344.5"/>
    <n v="387421"/>
    <n v="281154"/>
    <n v="324018"/>
    <n v="107912"/>
    <n v="6048195"/>
    <n v="6867684.5"/>
    <n v="-819489.5"/>
    <n v="-0.11932544367755973"/>
    <m/>
    <n v="6867684.5"/>
    <n v="7072444.3399999999"/>
    <n v="5766175"/>
    <x v="0"/>
  </r>
  <r>
    <x v="11"/>
    <n v="2904"/>
    <s v="TAL NV"/>
    <n v="0"/>
    <n v="0"/>
    <n v="0"/>
    <n v="0"/>
    <n v="0"/>
    <n v="0"/>
    <n v="0"/>
    <n v="0"/>
    <n v="0"/>
    <n v="0"/>
    <n v="0"/>
    <n v="0"/>
    <n v="0"/>
    <n v="120379"/>
    <n v="-120379"/>
    <n v="-1"/>
    <m/>
    <n v="120379"/>
    <n v="120379"/>
    <n v="503498"/>
    <x v="0"/>
  </r>
  <r>
    <x v="12"/>
    <n v="2904"/>
    <s v="Yasso Sticks"/>
    <n v="266000"/>
    <n v="266000"/>
    <n v="423700"/>
    <n v="319200"/>
    <n v="370500"/>
    <n v="319200"/>
    <n v="336300"/>
    <n v="423700"/>
    <n v="319200"/>
    <n v="336300"/>
    <n v="256500"/>
    <n v="218500"/>
    <n v="3855100"/>
    <n v="1474098"/>
    <n v="2381002"/>
    <n v="1.6152263960740738"/>
    <m/>
    <n v="1474098"/>
    <n v="1970112"/>
    <n v="441482"/>
    <x v="0"/>
  </r>
  <r>
    <x v="4"/>
    <n v="2904"/>
    <s v="PTS"/>
    <n v="34827.942107748619"/>
    <n v="33191.685199338892"/>
    <n v="42101.289231921794"/>
    <n v="44921.956360063246"/>
    <n v="43481.160483470987"/>
    <n v="54230.689083977661"/>
    <n v="38913.204249921073"/>
    <n v="39616.102168337718"/>
    <n v="40822.262280574403"/>
    <n v="33775.315620060559"/>
    <n v="37198.09659997854"/>
    <n v="33299.332103154811"/>
    <n v="476379.03548854828"/>
    <n v="364057"/>
    <n v="112322.03548854828"/>
    <n v="0.30852870701167201"/>
    <m/>
    <n v="364057"/>
    <n v="280857"/>
    <n v="1003776"/>
    <x v="0"/>
  </r>
  <r>
    <x v="2"/>
    <n v="2904"/>
    <s v="BJ PTS"/>
    <n v="170000"/>
    <n v="100000"/>
    <n v="65000"/>
    <n v="65000"/>
    <n v="65000"/>
    <n v="65000"/>
    <n v="65000"/>
    <n v="65000"/>
    <n v="135000"/>
    <n v="65000"/>
    <n v="170000"/>
    <n v="65000"/>
    <n v="1095000"/>
    <n v="1378699"/>
    <n v="-283699"/>
    <n v="-0.20577297872849692"/>
    <s v="Around 60% OEE on SP2"/>
    <n v="1378699"/>
    <n v="1813209.3599999999"/>
    <n v="163697"/>
    <x v="0"/>
  </r>
  <r>
    <x v="4"/>
    <n v="2904"/>
    <s v="Sundaes"/>
    <n v="100000"/>
    <n v="200575"/>
    <n v="24000"/>
    <n v="245925"/>
    <n v="199575"/>
    <n v="123850"/>
    <n v="208000"/>
    <n v="48000"/>
    <n v="85925"/>
    <n v="60900"/>
    <n v="48000"/>
    <n v="0"/>
    <n v="1344750"/>
    <n v="1136639"/>
    <n v="208111"/>
    <n v="0.18309331282843541"/>
    <m/>
    <n v="1136639"/>
    <n v="828400"/>
    <n v="0"/>
    <x v="0"/>
  </r>
  <r>
    <x v="13"/>
    <n v="2904"/>
    <s v="YS PTS"/>
    <n v="70000"/>
    <n v="140000"/>
    <n v="175000"/>
    <n v="175000"/>
    <n v="175000"/>
    <n v="175000"/>
    <n v="175000"/>
    <n v="175000"/>
    <n v="105000"/>
    <n v="175000"/>
    <n v="70000"/>
    <n v="70000"/>
    <n v="1680000"/>
    <n v="75000"/>
    <n v="1605000"/>
    <n v="21.4"/>
    <m/>
    <n v="75000"/>
    <n v="100000"/>
    <n v="0"/>
    <x v="0"/>
  </r>
  <r>
    <x v="4"/>
    <n v="2904"/>
    <s v="Topped"/>
    <n v="167075"/>
    <n v="140425"/>
    <n v="334150"/>
    <n v="102500"/>
    <n v="102500"/>
    <n v="296225"/>
    <n v="102500"/>
    <n v="305000"/>
    <n v="227500"/>
    <n v="64575"/>
    <n v="102500"/>
    <n v="307500"/>
    <n v="2252450"/>
    <n v="2406640"/>
    <n v="-154190"/>
    <n v="-6.4068576937140576E-2"/>
    <m/>
    <n v="2406640"/>
    <n v="2479665"/>
    <n v="2343329.5714285714"/>
    <x v="0"/>
  </r>
  <r>
    <x v="14"/>
    <n v="2904"/>
    <s v="TALENTI"/>
    <n v="881280"/>
    <n v="1059840"/>
    <n v="1204704"/>
    <n v="937440"/>
    <n v="1021248"/>
    <n v="1077504"/>
    <n v="931104"/>
    <n v="965568"/>
    <n v="678624"/>
    <n v="876096"/>
    <n v="683904"/>
    <n v="686496"/>
    <n v="11003808"/>
    <n v="10546374"/>
    <n v="457434"/>
    <n v="4.3373580341451952E-2"/>
    <m/>
    <n v="10546374"/>
    <n v="11032429"/>
    <n v="11399510.539999999"/>
    <x v="0"/>
  </r>
  <r>
    <x v="15"/>
    <n v="2904"/>
    <s v="PG"/>
    <n v="164825"/>
    <n v="172425"/>
    <n v="183825"/>
    <n v="175750"/>
    <n v="190475"/>
    <n v="169100"/>
    <n v="172900"/>
    <n v="187150"/>
    <n v="133000"/>
    <n v="143450"/>
    <n v="129200"/>
    <n v="117325"/>
    <n v="1939425"/>
    <n v="2060365.5"/>
    <n v="-120940.5"/>
    <n v="-5.8698565861251314E-2"/>
    <m/>
    <n v="2060365.5"/>
    <n v="2041372.5"/>
    <n v="218773"/>
    <x v="0"/>
  </r>
  <r>
    <x v="5"/>
    <m/>
    <s v="Total Sikeston"/>
    <n v="3756445.4421077487"/>
    <n v="4108973.1851993389"/>
    <n v="4536537.2892319225"/>
    <n v="4030291.956360063"/>
    <n v="4169574.1604834711"/>
    <n v="4071368.1890839776"/>
    <n v="3774523.2042499213"/>
    <n v="3983828.6021683379"/>
    <n v="3166652.2622805741"/>
    <n v="3226930.3156200605"/>
    <n v="2795800.0965999784"/>
    <n v="2434792.3321031546"/>
    <n v="44055717.035488546"/>
    <n v="40857613"/>
    <n v="3198104.0354885482"/>
    <n v="7.8274372893212055E-2"/>
    <m/>
    <n v="40857613"/>
    <n v="42101067.200000003"/>
    <n v="38587337.111428574"/>
    <x v="1"/>
  </r>
  <r>
    <x v="5"/>
    <m/>
    <m/>
    <n v="301902.94210774859"/>
    <n v="374191.68519933888"/>
    <n v="400251.28923192178"/>
    <n v="393346.95636006322"/>
    <n v="345556.160483471"/>
    <n v="474305.68908397766"/>
    <n v="349413.20424992108"/>
    <n v="392616.10216833773"/>
    <n v="354247.26228057442"/>
    <n v="159250.31562006054"/>
    <n v="187698.09659997854"/>
    <n v="340799.3321031548"/>
    <m/>
    <m/>
    <m/>
    <m/>
    <m/>
    <m/>
    <m/>
    <m/>
    <x v="1"/>
  </r>
  <r>
    <x v="5"/>
    <m/>
    <s v="COVINGTON 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6"/>
    <n v="1352"/>
    <s v="48oz"/>
    <n v="998320"/>
    <n v="1111216"/>
    <n v="1240240"/>
    <n v="1197232"/>
    <n v="1111216"/>
    <n v="1111216"/>
    <n v="1111216"/>
    <n v="1240240"/>
    <n v="982192"/>
    <n v="1111216"/>
    <n v="896176"/>
    <n v="410000"/>
    <n v="12520480"/>
    <n v="12401320"/>
    <n v="119160"/>
    <n v="9.6086545625788215E-3"/>
    <m/>
    <n v="12401320"/>
    <n v="12101206"/>
    <n v="12564859"/>
    <x v="0"/>
  </r>
  <r>
    <x v="1"/>
    <n v="1352"/>
    <s v="56oz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0"/>
  </r>
  <r>
    <x v="1"/>
    <n v="1352"/>
    <s v="64oz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0"/>
  </r>
  <r>
    <x v="7"/>
    <n v="1352"/>
    <s v="EDF"/>
    <n v="383040"/>
    <n v="383040"/>
    <n v="424080"/>
    <n v="383040"/>
    <n v="424080"/>
    <n v="383040"/>
    <n v="528960"/>
    <n v="494760"/>
    <n v="446880"/>
    <n v="462840"/>
    <n v="0"/>
    <n v="0"/>
    <n v="4313760"/>
    <n v="4044473"/>
    <n v="269287"/>
    <n v="6.6581480454931952E-2"/>
    <m/>
    <n v="4044473"/>
    <n v="4264834"/>
    <n v="3900978"/>
    <x v="0"/>
  </r>
  <r>
    <x v="16"/>
    <n v="1352"/>
    <s v="EFW"/>
    <n v="0"/>
    <n v="0"/>
    <n v="0"/>
    <n v="0"/>
    <n v="0"/>
    <n v="0"/>
    <n v="0"/>
    <n v="0"/>
    <n v="0"/>
    <n v="0"/>
    <n v="0"/>
    <n v="0"/>
    <n v="0"/>
    <n v="429288"/>
    <n v="-429288"/>
    <n v="-1"/>
    <m/>
    <n v="429288"/>
    <n v="429915"/>
    <n v="1279479"/>
    <x v="0"/>
  </r>
  <r>
    <x v="10"/>
    <n v="1352"/>
    <s v="MBG"/>
    <n v="214000"/>
    <n v="203300"/>
    <n v="224700"/>
    <n v="181900"/>
    <n v="167600"/>
    <n v="189000"/>
    <n v="167600"/>
    <n v="156900"/>
    <n v="121200"/>
    <n v="164000"/>
    <n v="121200"/>
    <n v="78400"/>
    <n v="1989800"/>
    <n v="3050965"/>
    <n v="-1061165"/>
    <n v="-0.34781290509723972"/>
    <m/>
    <n v="3050965"/>
    <n v="2915302"/>
    <n v="2679749"/>
    <x v="0"/>
  </r>
  <r>
    <x v="15"/>
    <n v="1352"/>
    <s v="PG"/>
    <n v="303240"/>
    <n v="303240"/>
    <n v="303240"/>
    <n v="317680"/>
    <n v="332120"/>
    <n v="288800"/>
    <n v="288800"/>
    <n v="317680"/>
    <n v="231040"/>
    <n v="259920"/>
    <n v="231040"/>
    <n v="245480"/>
    <n v="3422280"/>
    <n v="2992953"/>
    <n v="429327"/>
    <n v="0.14344595454723144"/>
    <s v="Assuming"/>
    <n v="2992953"/>
    <n v="3292500"/>
    <n v="2195481"/>
    <x v="0"/>
  </r>
  <r>
    <x v="14"/>
    <n v="1352"/>
    <s v="Talenti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0"/>
  </r>
  <r>
    <x v="5"/>
    <m/>
    <s v="Total Covington"/>
    <n v="1898600"/>
    <n v="2000796"/>
    <n v="2192260"/>
    <n v="2079852"/>
    <n v="2035016"/>
    <n v="1972056"/>
    <n v="2096576"/>
    <n v="2209580"/>
    <n v="1781312"/>
    <n v="1997976"/>
    <n v="1248416"/>
    <n v="733880"/>
    <n v="22246320"/>
    <n v="22918999"/>
    <n v="-672679"/>
    <n v="-2.9350278343308101E-2"/>
    <m/>
    <n v="22918999"/>
    <n v="23003757"/>
    <n v="22620546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 3PM 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3"/>
    <n v="1712"/>
    <s v="B&amp;J Cups"/>
    <n v="74035"/>
    <n v="139059"/>
    <n v="100786"/>
    <n v="78643"/>
    <n v="114174"/>
    <n v="101380"/>
    <n v="60283"/>
    <n v="95814"/>
    <n v="90842"/>
    <n v="73671"/>
    <n v="77454"/>
    <n v="54122"/>
    <n v="1060263"/>
    <n v="1197580"/>
    <n v="-137317"/>
    <n v="-0.11466206850481805"/>
    <m/>
    <n v="1197580"/>
    <n v="1261792"/>
    <n v="428282.4"/>
    <x v="2"/>
  </r>
  <r>
    <x v="9"/>
    <n v="1712"/>
    <s v="ESS"/>
    <n v="136123.20000000001"/>
    <n v="163108.79999999999"/>
    <n v="146116.79999999999"/>
    <n v="139622.39999999999"/>
    <n v="199915.2"/>
    <n v="100987.2"/>
    <n v="184636.79999999999"/>
    <n v="87379.199999999997"/>
    <n v="205176"/>
    <n v="231240"/>
    <n v="204009.60000000001"/>
    <n v="207897.60000000001"/>
    <n v="2006212.8"/>
    <n v="1129373.3999999999"/>
    <n v="876839.40000000014"/>
    <n v="0.7763945919037939"/>
    <m/>
    <n v="1129373.3999999999"/>
    <n v="1193967"/>
    <n v="300825"/>
    <x v="2"/>
  </r>
  <r>
    <x v="9"/>
    <n v="1712"/>
    <s v="KL Sandwich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x v="2"/>
  </r>
  <r>
    <x v="5"/>
    <m/>
    <s v="Total Schwann's"/>
    <n v="210158.2"/>
    <n v="302167.8"/>
    <n v="246902.8"/>
    <n v="218265.4"/>
    <n v="314089.2"/>
    <n v="202367.2"/>
    <n v="244919.8"/>
    <n v="183193.2"/>
    <n v="296018"/>
    <n v="304911"/>
    <n v="281463.59999999998"/>
    <n v="262019.6"/>
    <n v="3066475.8"/>
    <n v="2326953.4"/>
    <n v="739522.40000000014"/>
    <n v="0.31780713786533077"/>
    <m/>
    <n v="2326953.4"/>
    <n v="2455759"/>
    <n v="729107.4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1"/>
    <n v="6765"/>
    <s v="BR Minicups"/>
    <n v="26400"/>
    <n v="8800"/>
    <n v="26400"/>
    <n v="8800"/>
    <n v="26400"/>
    <n v="17600"/>
    <n v="10800"/>
    <n v="17600"/>
    <n v="8800"/>
    <n v="26400"/>
    <n v="8800"/>
    <n v="8800"/>
    <n v="195600"/>
    <n v="105840"/>
    <n v="89760"/>
    <n v="0.84807256235827666"/>
    <m/>
    <n v="105840"/>
    <n v="0"/>
    <n v="375319"/>
    <x v="2"/>
  </r>
  <r>
    <x v="1"/>
    <n v="6764"/>
    <s v="Other"/>
    <n v="25000"/>
    <n v="25000"/>
    <n v="25000"/>
    <n v="75000"/>
    <n v="75000"/>
    <n v="100000"/>
    <n v="75000"/>
    <n v="50000"/>
    <n v="50000"/>
    <n v="25000"/>
    <n v="50000"/>
    <n v="25000"/>
    <n v="600000"/>
    <n v="139902"/>
    <m/>
    <m/>
    <m/>
    <n v="139902"/>
    <m/>
    <m/>
    <x v="1"/>
  </r>
  <r>
    <x v="4"/>
    <n v="6706"/>
    <s v="PTS"/>
    <n v="0"/>
    <n v="0"/>
    <n v="0"/>
    <n v="0"/>
    <n v="0"/>
    <n v="0"/>
    <n v="0"/>
    <n v="0"/>
    <n v="0"/>
    <n v="0"/>
    <n v="0"/>
    <n v="0"/>
    <n v="0"/>
    <n v="8521"/>
    <n v="-8521"/>
    <n v="-1"/>
    <m/>
    <n v="8521"/>
    <n v="8521"/>
    <n v="229128"/>
    <x v="2"/>
  </r>
  <r>
    <x v="9"/>
    <n v="6706"/>
    <s v="Giant SW"/>
    <n v="0"/>
    <n v="0"/>
    <n v="0"/>
    <n v="0"/>
    <n v="0"/>
    <n v="0"/>
    <n v="0"/>
    <n v="0"/>
    <n v="0"/>
    <n v="0"/>
    <n v="0"/>
    <n v="0"/>
    <n v="0"/>
    <n v="507304"/>
    <n v="-507304"/>
    <n v="-1"/>
    <m/>
    <n v="507304"/>
    <n v="507011"/>
    <n v="851869"/>
    <x v="2"/>
  </r>
  <r>
    <x v="1"/>
    <n v="6706"/>
    <s v="FB Cones"/>
    <n v="0"/>
    <n v="0"/>
    <n v="0"/>
    <n v="0"/>
    <n v="0"/>
    <n v="0"/>
    <n v="0"/>
    <n v="0"/>
    <n v="0"/>
    <n v="0"/>
    <n v="0"/>
    <n v="0"/>
    <n v="0"/>
    <n v="455976"/>
    <m/>
    <n v="0"/>
    <m/>
    <n v="455976"/>
    <n v="580461"/>
    <n v="914893"/>
    <x v="2"/>
  </r>
  <r>
    <x v="1"/>
    <n v="6706"/>
    <s v="BR Minicups"/>
    <n v="0"/>
    <n v="0"/>
    <n v="0"/>
    <n v="0"/>
    <n v="0"/>
    <n v="0"/>
    <n v="0"/>
    <n v="0"/>
    <n v="0"/>
    <n v="0"/>
    <n v="0"/>
    <n v="0"/>
    <n v="0"/>
    <n v="125427"/>
    <m/>
    <n v="0"/>
    <m/>
    <n v="125427"/>
    <n v="125427"/>
    <n v="355935"/>
    <x v="2"/>
  </r>
  <r>
    <x v="5"/>
    <m/>
    <s v="Total Brothers 3PM"/>
    <n v="51400"/>
    <n v="33800"/>
    <n v="51400"/>
    <n v="83800"/>
    <n v="101400"/>
    <n v="117600"/>
    <n v="85800"/>
    <n v="67600"/>
    <n v="58800"/>
    <n v="51400"/>
    <n v="58800"/>
    <n v="33800"/>
    <n v="795600"/>
    <n v="1342970"/>
    <n v="-426065"/>
    <n v="-0.31725578382242342"/>
    <m/>
    <n v="1342970"/>
    <n v="1221420"/>
    <n v="2727144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12"/>
    <n v="1715"/>
    <s v="Yasso Sticks"/>
    <n v="250000"/>
    <n v="250000"/>
    <n v="250000"/>
    <n v="250000"/>
    <n v="275000"/>
    <n v="250000"/>
    <n v="256249.99999999997"/>
    <n v="275000"/>
    <n v="250000"/>
    <n v="156249.99999999997"/>
    <n v="0"/>
    <n v="0"/>
    <n v="2462500"/>
    <n v="3028760.75"/>
    <n v="-566260.75"/>
    <n v="-0.1869612018710953"/>
    <m/>
    <n v="3028760.75"/>
    <n v="3257496"/>
    <n v="2339921.3333333335"/>
    <x v="2"/>
  </r>
  <r>
    <x v="12"/>
    <n v="1716"/>
    <s v="Yasso Sticks"/>
    <n v="168750"/>
    <n v="168750"/>
    <n v="168750"/>
    <n v="325000"/>
    <n v="387500"/>
    <n v="481250"/>
    <n v="512499.99999999994"/>
    <n v="543750"/>
    <n v="575000"/>
    <n v="506250"/>
    <n v="0"/>
    <n v="0"/>
    <n v="3837500"/>
    <n v="2926048"/>
    <n v="911452"/>
    <n v="0.31149591530965998"/>
    <m/>
    <n v="2926048"/>
    <n v="2967879"/>
    <n v="2339921.3333333335"/>
    <x v="2"/>
  </r>
  <r>
    <x v="12"/>
    <n v="1717"/>
    <s v="Yasso Sticks"/>
    <n v="78125"/>
    <n v="78125"/>
    <n v="84375"/>
    <n v="78125"/>
    <n v="84375"/>
    <n v="78125"/>
    <n v="81250"/>
    <n v="84375"/>
    <n v="78125"/>
    <n v="-18750"/>
    <n v="0"/>
    <n v="0"/>
    <n v="706250"/>
    <n v="1950574"/>
    <n v="-1244324"/>
    <n v="-0.6379270922302871"/>
    <m/>
    <n v="1950574"/>
    <n v="890435"/>
    <n v="2339921.3333333335"/>
    <x v="2"/>
  </r>
  <r>
    <x v="17"/>
    <n v="1712"/>
    <s v="Yasso Club"/>
    <n v="196559.86"/>
    <n v="588718.71"/>
    <n v="614868.99"/>
    <n v="116879.57"/>
    <n v="148559.85999999999"/>
    <n v="166080.44"/>
    <n v="29673.57"/>
    <n v="172105.01"/>
    <n v="24620.44"/>
    <n v="28791.14"/>
    <n v="30860.29"/>
    <n v="24566.28"/>
    <n v="2142284.1599999997"/>
    <n v="2821581"/>
    <n v="-679296.84000000032"/>
    <n v="-0.24075043034383925"/>
    <m/>
    <n v="2821581"/>
    <n v="3351288.13"/>
    <n v="1931563"/>
    <x v="2"/>
  </r>
  <r>
    <x v="18"/>
    <n v="1713"/>
    <s v="Yasso Poppables"/>
    <n v="28800"/>
    <n v="46800"/>
    <n v="43200"/>
    <n v="28800"/>
    <n v="43200"/>
    <n v="32400"/>
    <n v="39600"/>
    <n v="28800"/>
    <n v="36000"/>
    <n v="36000"/>
    <n v="32400"/>
    <n v="21600"/>
    <n v="417600"/>
    <n v="489248"/>
    <n v="-71648"/>
    <n v="-0.14644515664857086"/>
    <m/>
    <n v="489248"/>
    <n v="559185"/>
    <n v="335233"/>
    <x v="2"/>
  </r>
  <r>
    <x v="19"/>
    <n v="1714"/>
    <s v="Yasso Sandwich"/>
    <n v="0"/>
    <n v="0"/>
    <n v="0"/>
    <n v="0"/>
    <n v="0"/>
    <n v="0"/>
    <n v="0"/>
    <n v="0"/>
    <n v="0"/>
    <n v="0"/>
    <n v="0"/>
    <n v="0"/>
    <n v="0"/>
    <n v="5670"/>
    <n v="-5670"/>
    <m/>
    <m/>
    <n v="5670"/>
    <n v="5670"/>
    <n v="168614"/>
    <x v="2"/>
  </r>
  <r>
    <x v="5"/>
    <m/>
    <s v="Total Yasso"/>
    <n v="722234.86"/>
    <n v="1132393.71"/>
    <n v="1161193.99"/>
    <n v="798804.57000000007"/>
    <n v="938634.86"/>
    <n v="1007855.44"/>
    <n v="919273.56999999983"/>
    <n v="1104030.01"/>
    <n v="963745.44"/>
    <n v="708541.14"/>
    <n v="63260.29"/>
    <n v="46166.28"/>
    <n v="9566134.1600000001"/>
    <n v="11221881.75"/>
    <n v="-566260.75"/>
    <n v="-5.0460409636734947E-2"/>
    <m/>
    <n v="11221881.75"/>
    <n v="11031953.129999999"/>
    <n v="9455174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m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20"/>
    <s v="Rhino"/>
    <s v="Dough Bites"/>
    <n v="45000"/>
    <n v="26500"/>
    <n v="45000"/>
    <n v="26000"/>
    <n v="21000"/>
    <n v="40000"/>
    <n v="26000"/>
    <n v="40000"/>
    <n v="7000"/>
    <n v="14000"/>
    <n v="28000"/>
    <n v="19500"/>
    <n v="338000"/>
    <n v="472047"/>
    <n v="-134047"/>
    <n v="-0.28396960472156374"/>
    <m/>
    <n v="472047"/>
    <n v="500055"/>
    <n v="414132"/>
    <x v="2"/>
  </r>
  <r>
    <x v="9"/>
    <n v="6757"/>
    <s v="ESS"/>
    <n v="42105.599999999999"/>
    <n v="56140.799999999996"/>
    <n v="70176"/>
    <n v="56140.799999999996"/>
    <n v="56140.799999999996"/>
    <n v="70176"/>
    <n v="56140.799999999996"/>
    <n v="28070.399999999998"/>
    <n v="0"/>
    <n v="0"/>
    <n v="0"/>
    <n v="0"/>
    <n v="435091.20000000001"/>
    <n v="502720.60000000003"/>
    <n v="-67629.400000000023"/>
    <n v="-0.13452681270670033"/>
    <s v="Ramp up rate/assumptions updated"/>
    <n v="502720.60000000003"/>
    <n v="517249"/>
    <m/>
    <x v="2"/>
  </r>
  <r>
    <x v="19"/>
    <n v="6757"/>
    <s v="Yasso Sandwich"/>
    <n v="9950.5"/>
    <n v="17481.5"/>
    <n v="17069.499999999989"/>
    <n v="22358"/>
    <n v="11500.499999999989"/>
    <n v="11643.499999999989"/>
    <n v="17920.999999999989"/>
    <n v="15522.999999999989"/>
    <n v="9940.5"/>
    <n v="10178.499999999989"/>
    <n v="9108.5"/>
    <n v="16578.5"/>
    <n v="169253.49999999994"/>
    <n v="151154"/>
    <n v="18099.499999999942"/>
    <n v="0.1197421173108217"/>
    <m/>
    <n v="151154"/>
    <n v="146154"/>
    <m/>
    <x v="2"/>
  </r>
  <r>
    <x v="1"/>
    <n v="6757"/>
    <s v="BR Minicups"/>
    <n v="18242.389999999901"/>
    <n v="18449.949999999932"/>
    <n v="13964.609999999961"/>
    <n v="19163.159999999931"/>
    <n v="19525.1699999999"/>
    <n v="20373.869999999981"/>
    <n v="16122.18999999999"/>
    <n v="16963.499999999949"/>
    <n v="12199.46999999999"/>
    <n v="12703.63999999999"/>
    <n v="17425.159999999971"/>
    <n v="12569.029999999939"/>
    <n v="197702.13999999943"/>
    <n v="0"/>
    <m/>
    <m/>
    <m/>
    <n v="0"/>
    <n v="85840"/>
    <m/>
    <x v="2"/>
  </r>
  <r>
    <x v="1"/>
    <n v="1717"/>
    <s v="FB Cones"/>
    <n v="30000"/>
    <n v="30000"/>
    <n v="60000"/>
    <n v="30000"/>
    <n v="60000"/>
    <n v="60000"/>
    <n v="60000"/>
    <n v="30000"/>
    <n v="30000"/>
    <n v="30000"/>
    <n v="30000"/>
    <n v="30000"/>
    <n v="480000"/>
    <n v="0"/>
    <m/>
    <m/>
    <m/>
    <n v="0"/>
    <n v="0"/>
    <m/>
    <x v="2"/>
  </r>
  <r>
    <x v="13"/>
    <n v="1716"/>
    <s v="YS PTS"/>
    <n v="0"/>
    <n v="0"/>
    <n v="0"/>
    <n v="0"/>
    <n v="0"/>
    <n v="0"/>
    <n v="0"/>
    <n v="0"/>
    <n v="0"/>
    <n v="0"/>
    <n v="0"/>
    <n v="0"/>
    <n v="0"/>
    <n v="238415"/>
    <n v="-238415"/>
    <n v="-1"/>
    <m/>
    <n v="238415"/>
    <n v="317700"/>
    <m/>
    <x v="2"/>
  </r>
  <r>
    <x v="4"/>
    <n v="1716"/>
    <s v="PT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2"/>
  </r>
  <r>
    <x v="2"/>
    <n v="1716"/>
    <s v="BJ PTS"/>
    <n v="0"/>
    <n v="0"/>
    <n v="0"/>
    <n v="0"/>
    <n v="0"/>
    <n v="0"/>
    <n v="0"/>
    <n v="0"/>
    <n v="0"/>
    <n v="0"/>
    <n v="0"/>
    <n v="0"/>
    <n v="0"/>
    <n v="607165"/>
    <n v="-607165"/>
    <n v="-1"/>
    <s v="PB Cup &amp; Attainment"/>
    <n v="607165"/>
    <n v="607165"/>
    <m/>
    <x v="2"/>
  </r>
  <r>
    <x v="8"/>
    <n v="1716"/>
    <s v="BJ Bars"/>
    <n v="118750"/>
    <n v="168750"/>
    <n v="118750"/>
    <n v="50000"/>
    <n v="337500"/>
    <n v="150000"/>
    <n v="100000"/>
    <n v="493750"/>
    <n v="150000"/>
    <n v="150000"/>
    <n v="150000"/>
    <n v="0"/>
    <n v="1987500"/>
    <n v="190000"/>
    <n v="1797500"/>
    <n v="9.4605263157894743"/>
    <m/>
    <n v="190000"/>
    <n v="140000"/>
    <m/>
    <x v="2"/>
  </r>
  <r>
    <x v="1"/>
    <n v="6757"/>
    <s v="YS Cup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2"/>
  </r>
  <r>
    <x v="1"/>
    <s v="Glacier Point"/>
    <s v="Other"/>
    <n v="0"/>
    <n v="0"/>
    <n v="0"/>
    <n v="0"/>
    <n v="0"/>
    <n v="0"/>
    <n v="0"/>
    <n v="0"/>
    <n v="0"/>
    <n v="0"/>
    <n v="0"/>
    <n v="0"/>
    <n v="0"/>
    <n v="73993"/>
    <n v="-73993"/>
    <n v="-1"/>
    <m/>
    <n v="73993"/>
    <n v="73993"/>
    <m/>
    <x v="2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Imports/Others"/>
    <m/>
    <m/>
    <m/>
    <m/>
    <m/>
    <m/>
    <m/>
    <m/>
    <m/>
    <m/>
    <m/>
    <m/>
    <s v="2026 MRF8"/>
    <s v="2025 MRF8"/>
    <s v="Difference"/>
    <s v="% change"/>
    <s v="Commentary"/>
    <s v="2025 MRF8"/>
    <s v="2025 MRF7"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L Projection"/>
    <s v="L Projection"/>
    <s v="Difference"/>
    <s v="% change"/>
    <m/>
    <s v="L Projection"/>
    <s v="L Projection"/>
    <s v="2024 MRF12"/>
    <x v="1"/>
  </r>
  <r>
    <x v="1"/>
    <s v="St Iria"/>
    <s v="King Cone (PT)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m/>
    <x v="3"/>
  </r>
  <r>
    <x v="11"/>
    <s v="St Iria"/>
    <s v="MG Stick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3"/>
  </r>
  <r>
    <x v="15"/>
    <s v="Tultitlan"/>
    <s v="PG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3"/>
  </r>
  <r>
    <x v="1"/>
    <s v="Tultitlan"/>
    <s v="Other"/>
    <n v="15976"/>
    <n v="17354"/>
    <n v="23786"/>
    <n v="26768"/>
    <n v="33308"/>
    <n v="31343.999999999898"/>
    <n v="32926.999999999898"/>
    <n v="26641"/>
    <n v="23605"/>
    <n v="14627"/>
    <n v="15478"/>
    <n v="14841"/>
    <n v="276654.99999999977"/>
    <n v="153723"/>
    <m/>
    <n v="0"/>
    <m/>
    <n v="153723"/>
    <n v="280897"/>
    <m/>
    <x v="3"/>
  </r>
  <r>
    <x v="9"/>
    <s v="Tultitlan"/>
    <s v="KL Sandwiche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3"/>
  </r>
  <r>
    <x v="21"/>
    <s v="Tultitlan"/>
    <s v="KL Mini Cones"/>
    <n v="0"/>
    <n v="0"/>
    <n v="0"/>
    <n v="0"/>
    <n v="0"/>
    <n v="0"/>
    <n v="0"/>
    <n v="0"/>
    <n v="0"/>
    <n v="0"/>
    <n v="0"/>
    <n v="0"/>
    <n v="0"/>
    <n v="30899"/>
    <m/>
    <m/>
    <m/>
    <n v="30899"/>
    <n v="98064"/>
    <n v="142936"/>
    <x v="3"/>
  </r>
  <r>
    <x v="11"/>
    <s v="Tultitlan"/>
    <s v="MG Sticks"/>
    <n v="0"/>
    <n v="0"/>
    <n v="0"/>
    <n v="0"/>
    <n v="0"/>
    <n v="0"/>
    <n v="0"/>
    <n v="0"/>
    <n v="0"/>
    <n v="0"/>
    <n v="0"/>
    <n v="0"/>
    <n v="0"/>
    <n v="1986"/>
    <n v="-1986"/>
    <n v="-1"/>
    <m/>
    <n v="1986"/>
    <n v="1986"/>
    <n v="215076"/>
    <x v="3"/>
  </r>
  <r>
    <x v="6"/>
    <n v="3910"/>
    <s v="48oz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4"/>
  </r>
  <r>
    <x v="9"/>
    <n v="3910"/>
    <s v="ESS"/>
    <n v="0"/>
    <n v="0"/>
    <n v="0"/>
    <n v="5712"/>
    <n v="48120"/>
    <n v="58622.399999999994"/>
    <n v="101294.39999999999"/>
    <n v="95352"/>
    <n v="19876.8"/>
    <n v="19204.8"/>
    <n v="24580.799999999999"/>
    <n v="44510.399999999994"/>
    <n v="417273.59999999998"/>
    <n v="366132.4"/>
    <n v="51141.199999999953"/>
    <n v="0.13967952576718135"/>
    <s v="Includes Van SW, C&amp;C IH &amp; OOH"/>
    <n v="366132.4"/>
    <n v="414664.8"/>
    <n v="153328"/>
    <x v="4"/>
  </r>
  <r>
    <x v="11"/>
    <n v="3910"/>
    <s v="MG Sticks"/>
    <n v="0"/>
    <n v="0"/>
    <n v="0"/>
    <n v="0"/>
    <n v="0"/>
    <n v="0"/>
    <n v="0"/>
    <n v="0"/>
    <n v="0"/>
    <n v="0"/>
    <n v="0"/>
    <n v="0"/>
    <n v="0"/>
    <n v="8403"/>
    <n v="-8403"/>
    <n v="-1"/>
    <m/>
    <n v="8403"/>
    <n v="8403"/>
    <n v="75496"/>
    <x v="4"/>
  </r>
  <r>
    <x v="15"/>
    <n v="3910"/>
    <s v="PG"/>
    <n v="0"/>
    <n v="0"/>
    <n v="0"/>
    <n v="0"/>
    <n v="0"/>
    <n v="0"/>
    <n v="0"/>
    <n v="0"/>
    <n v="0"/>
    <n v="0"/>
    <n v="0"/>
    <n v="0"/>
    <n v="0"/>
    <n v="17358"/>
    <n v="-17358"/>
    <n v="-1"/>
    <m/>
    <n v="17358"/>
    <n v="17358"/>
    <n v="11427"/>
    <x v="4"/>
  </r>
  <r>
    <x v="16"/>
    <n v="3910"/>
    <s v="EFW"/>
    <n v="0"/>
    <n v="0"/>
    <n v="0"/>
    <n v="0"/>
    <n v="0"/>
    <n v="0"/>
    <n v="61058.559999999998"/>
    <n v="61003.629999999896"/>
    <n v="49151.119999999901"/>
    <n v="39595.009999999893"/>
    <n v="0"/>
    <n v="0"/>
    <n v="210808.31999999969"/>
    <n v="0"/>
    <n v="210808.31999999969"/>
    <s v=""/>
    <m/>
    <n v="0"/>
    <n v="0"/>
    <n v="277747"/>
    <x v="4"/>
  </r>
  <r>
    <x v="11"/>
    <s v="Veszprem"/>
    <s v="MG Sticks"/>
    <n v="0"/>
    <n v="0"/>
    <n v="0"/>
    <n v="0"/>
    <n v="0"/>
    <n v="0"/>
    <n v="0"/>
    <n v="0"/>
    <n v="0"/>
    <n v="0"/>
    <n v="0"/>
    <n v="0"/>
    <n v="0"/>
    <n v="106596"/>
    <n v="-106596"/>
    <n v="-1"/>
    <m/>
    <n v="106596"/>
    <n v="106596"/>
    <m/>
    <x v="3"/>
  </r>
  <r>
    <x v="2"/>
    <n v="3910"/>
    <s v="BJ PTS"/>
    <n v="0"/>
    <n v="0"/>
    <n v="0"/>
    <n v="0"/>
    <n v="0"/>
    <n v="0"/>
    <n v="0"/>
    <n v="0"/>
    <n v="0"/>
    <n v="0"/>
    <n v="0"/>
    <n v="0"/>
    <n v="0"/>
    <n v="115851"/>
    <n v="-115851"/>
    <n v="-1"/>
    <m/>
    <n v="115851"/>
    <n v="115851"/>
    <n v="306662"/>
    <x v="4"/>
  </r>
  <r>
    <x v="15"/>
    <s v="GDI"/>
    <s v="PG"/>
    <n v="217366.75700090337"/>
    <n v="201840.56007226737"/>
    <n v="217366.75700090337"/>
    <n v="209603.65853658537"/>
    <n v="217366.75700090337"/>
    <n v="209603.65853658537"/>
    <n v="217366.75700090337"/>
    <n v="3.2014213502407074E-10"/>
    <n v="3.7834979593753815E-10"/>
    <n v="1"/>
    <n v="1"/>
    <n v="1"/>
    <n v="1490517.9051490522"/>
    <n v="3133646.85"/>
    <n v="-1643128.9448509479"/>
    <n v="-0.5243503890206862"/>
    <m/>
    <n v="3133646.85"/>
    <n v="3152170.2"/>
    <n v="1676859"/>
    <x v="3"/>
  </r>
  <r>
    <x v="22"/>
    <s v="GDI"/>
    <s v="Facepieces"/>
    <n v="0"/>
    <n v="0"/>
    <n v="0"/>
    <n v="0"/>
    <n v="0"/>
    <n v="0"/>
    <n v="0"/>
    <n v="0"/>
    <n v="0"/>
    <n v="0"/>
    <n v="0"/>
    <n v="0"/>
    <n v="0"/>
    <n v="273308"/>
    <n v="-273308"/>
    <n v="-1"/>
    <m/>
    <n v="273308"/>
    <n v="247128"/>
    <m/>
    <x v="3"/>
  </r>
  <r>
    <x v="21"/>
    <s v="Tula"/>
    <s v="KL Mini Cone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x v="3"/>
  </r>
  <r>
    <x v="1"/>
    <s v="Gloucester"/>
    <s v="MG Sticks ND"/>
    <n v="0"/>
    <n v="20001"/>
    <n v="0"/>
    <n v="0"/>
    <n v="0"/>
    <n v="0"/>
    <n v="0"/>
    <n v="0"/>
    <n v="0"/>
    <n v="0"/>
    <n v="0"/>
    <n v="0"/>
    <n v="20001"/>
    <n v="0"/>
    <n v="20001"/>
    <s v=""/>
    <m/>
    <n v="0"/>
    <n v="0"/>
    <n v="22646"/>
    <x v="3"/>
  </r>
  <r>
    <x v="1"/>
    <s v="Caivano"/>
    <s v="MG Sticks ND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29655"/>
    <x v="3"/>
  </r>
  <r>
    <x v="21"/>
    <s v="Turkey"/>
    <s v="KL Mini Cones"/>
    <n v="178690"/>
    <n v="51052"/>
    <n v="25526"/>
    <n v="51052"/>
    <n v="25526"/>
    <n v="102104"/>
    <n v="76578"/>
    <n v="25526"/>
    <n v="0"/>
    <n v="76578"/>
    <n v="25526"/>
    <n v="0"/>
    <n v="638158"/>
    <n v="711062"/>
    <n v="-72904"/>
    <n v="-0.10252833086285021"/>
    <s v="Added production to protect before EOY shut down"/>
    <n v="711062"/>
    <n v="591174"/>
    <n v="846019"/>
    <x v="3"/>
  </r>
  <r>
    <x v="1"/>
    <s v="Turkey"/>
    <s v="Other"/>
    <n v="0"/>
    <n v="0"/>
    <n v="0"/>
    <n v="0"/>
    <n v="21430"/>
    <n v="3740"/>
    <n v="1760"/>
    <n v="2420"/>
    <n v="1100"/>
    <n v="1100"/>
    <n v="1650"/>
    <n v="0"/>
    <n v="33200"/>
    <n v="64539"/>
    <n v="-31339"/>
    <n v="-0.48558236105300673"/>
    <m/>
    <n v="64539"/>
    <n v="61502"/>
    <n v="40122"/>
    <x v="3"/>
  </r>
  <r>
    <x v="22"/>
    <s v="Incom"/>
    <s v="Facepieces"/>
    <n v="648392"/>
    <n v="243521"/>
    <n v="416666.66000000003"/>
    <n v="416666.66000000003"/>
    <n v="416666.66000000003"/>
    <n v="208333.34000000003"/>
    <n v="208333.34000000003"/>
    <n v="208333.34000000003"/>
    <n v="208333.34000000003"/>
    <n v="208333.34000000003"/>
    <n v="208333.34000000003"/>
    <n v="468750"/>
    <n v="3860663.0199999996"/>
    <n v="4464019"/>
    <n v="-603355.98000000045"/>
    <n v="-0.13515981450795805"/>
    <m/>
    <n v="4464019"/>
    <n v="4366142"/>
    <n v="3277504"/>
    <x v="3"/>
  </r>
  <r>
    <x v="5"/>
    <m/>
    <s v="Total Imports"/>
    <n v="1060424.7570009034"/>
    <n v="533768.56007226743"/>
    <n v="683345.4170009034"/>
    <n v="709802.31853658543"/>
    <n v="762417.4170009034"/>
    <n v="613747.39853658527"/>
    <n v="699318.0570009033"/>
    <n v="419275.9700000002"/>
    <n v="302066.2600000003"/>
    <n v="359439.14999999991"/>
    <n v="275569.14"/>
    <n v="528102.40000000002"/>
    <n v="6947276.8451490514"/>
    <n v="9447523.25"/>
    <n v="-2592279.4048509486"/>
    <n v="-0.27438719506204429"/>
    <m/>
    <n v="9447523.25"/>
    <n v="9461936"/>
    <n v="7075477"/>
    <x v="1"/>
  </r>
  <r>
    <x v="5"/>
    <m/>
    <m/>
    <m/>
    <m/>
    <m/>
    <m/>
    <m/>
    <m/>
    <m/>
    <m/>
    <m/>
    <m/>
    <m/>
    <m/>
    <s v="2026 MRF8"/>
    <s v="2025 MRF8"/>
    <s v="Difference"/>
    <s v="% change"/>
    <m/>
    <s v="2025 MRF8"/>
    <s v="2025 MRF7"/>
    <m/>
    <x v="1"/>
  </r>
  <r>
    <x v="5"/>
    <m/>
    <s v="IC TOTAL"/>
    <n v="9997203.1776800808"/>
    <n v="10880201.505271606"/>
    <n v="11624076.749089967"/>
    <n v="10714746.776325222"/>
    <n v="11114878.107484374"/>
    <n v="10081490.45476342"/>
    <n v="10385654.621250825"/>
    <n v="10975711.82502548"/>
    <n v="8783125.360852005"/>
    <n v="8826825.4599057753"/>
    <n v="6157942.7865999779"/>
    <n v="5338468.1421031551"/>
    <n v="114880324.96635188"/>
    <n v="115925281.16"/>
    <n v="-1044956.1936481148"/>
    <n v="-9.0140492495840233E-3"/>
    <m/>
    <n v="115925281.16"/>
    <n v="117255872.53"/>
    <n v="109801974.51142858"/>
    <x v="1"/>
  </r>
  <r>
    <x v="5"/>
    <m/>
    <s v="IC TOTAL UL US Plants"/>
    <n v="7545436.8706791773"/>
    <n v="8436749.1851993389"/>
    <n v="9090774.4320890643"/>
    <n v="8558412.5277886353"/>
    <n v="8486670.160483472"/>
    <n v="7774727.0462268349"/>
    <n v="8131159.2042499213"/>
    <n v="8573305.7450254802"/>
    <n v="6952355.6908520032"/>
    <n v="7151652.0299057746"/>
    <n v="5240816.0965999784"/>
    <n v="4389232.3321031546"/>
    <n v="90331291.321202829"/>
    <n v="88851298.159999996"/>
    <n v="1479993.1612028331"/>
    <n v="1.6656967223345667E-2"/>
    <m/>
    <n v="88851298.159999996"/>
    <n v="90092043.400000006"/>
    <n v="88739187.111428574"/>
    <x v="1"/>
  </r>
  <r>
    <x v="5"/>
    <m/>
    <m/>
    <m/>
    <m/>
    <m/>
    <m/>
    <m/>
    <m/>
    <m/>
    <m/>
    <m/>
    <m/>
    <m/>
    <m/>
    <m/>
    <m/>
    <m/>
    <m/>
    <m/>
    <m/>
    <m/>
    <m/>
    <x v="1"/>
  </r>
  <r>
    <x v="5"/>
    <m/>
    <s v="Repack "/>
    <m/>
    <m/>
    <m/>
    <m/>
    <m/>
    <m/>
    <m/>
    <m/>
    <m/>
    <m/>
    <m/>
    <m/>
    <m/>
    <m/>
    <s v="Vs Last Cycle"/>
    <m/>
    <s v="Commentary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x v="1"/>
  </r>
  <r>
    <x v="1"/>
    <n v="3985"/>
    <s v="Repack BJ Pints"/>
    <n v="0"/>
    <n v="0"/>
    <n v="0"/>
    <n v="0"/>
    <n v="0"/>
    <n v="0"/>
    <n v="0"/>
    <n v="0"/>
    <n v="0"/>
    <n v="0"/>
    <n v="0"/>
    <n v="0"/>
    <n v="0"/>
    <n v="3000"/>
    <m/>
    <n v="0"/>
    <m/>
    <n v="3000"/>
    <n v="72928"/>
    <n v="51998"/>
    <x v="2"/>
  </r>
  <r>
    <x v="1"/>
    <n v="3985"/>
    <s v="Repack BR P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Other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Repack EDF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Repack EFW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Repack GH Variety Pack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Repack MG P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Repack MG Sticks"/>
    <n v="143500"/>
    <n v="124000"/>
    <n v="65500"/>
    <n v="142000"/>
    <n v="6000"/>
    <n v="13000"/>
    <n v="29000"/>
    <n v="4000"/>
    <n v="1000"/>
    <n v="34000"/>
    <n v="3500"/>
    <n v="500"/>
    <n v="566000"/>
    <n v="496160"/>
    <n v="69840"/>
    <n v="0.14076104482425025"/>
    <m/>
    <n v="496160"/>
    <n v="531677"/>
    <n v="505971"/>
    <x v="2"/>
  </r>
  <r>
    <x v="1"/>
    <n v="3985"/>
    <s v="Repack MBG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Repack Talenti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3985"/>
    <s v="B&amp;J Dog Treat - Repack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132289"/>
    <x v="2"/>
  </r>
  <r>
    <x v="1"/>
    <n v="3985"/>
    <s v="Repack KL Pouche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1"/>
    <n v="1421"/>
    <s v="Repack KL Pouche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x v="2"/>
  </r>
  <r>
    <x v="5"/>
    <m/>
    <s v="Total Repack"/>
    <n v="143500"/>
    <n v="124000"/>
    <n v="65500"/>
    <n v="142000"/>
    <n v="6000"/>
    <n v="13000"/>
    <n v="29000"/>
    <n v="4000"/>
    <n v="1000"/>
    <n v="34000"/>
    <n v="3500"/>
    <n v="500"/>
    <n v="566000"/>
    <n v="499160"/>
    <n v="69840"/>
    <n v="0.13991505729625772"/>
    <m/>
    <n v="499160"/>
    <n v="604605"/>
    <n v="655355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n v="5914"/>
    <s v="2.4 Gal"/>
    <n v="113.37971196983978"/>
    <n v="462.9650718190386"/>
    <n v="549.45025447690853"/>
    <n v="667.18959472196025"/>
    <n v="662.46865881244105"/>
    <n v="552.72269575871815"/>
    <n v="482.95014684260127"/>
    <n v="330.68765315739864"/>
    <n v="170.06902393967954"/>
    <n v="179.51851196983978"/>
    <n v="335.41275984919884"/>
    <n v="273.99924787935907"/>
    <n v="4780.8133311969832"/>
    <n v="4393.313321743638"/>
    <n v="387.50000945334523"/>
    <n v="8.8202224852825306E-2"/>
    <m/>
    <n v="4393.313321743638"/>
    <n v="4725.0633403157399"/>
    <n v="4511.1539999745519"/>
    <n v="8.8202224852825362E-2"/>
    <n v="387.50000945334523"/>
    <x v="0"/>
  </r>
  <r>
    <x v="1"/>
    <n v="5914"/>
    <s v="Quarts"/>
    <n v="213.32592"/>
    <n v="280.69200000000001"/>
    <n v="134.73215999999999"/>
    <n v="291.91968000000003"/>
    <n v="291.91968000000003"/>
    <n v="291.91968000000003"/>
    <n v="280.69200000000001"/>
    <n v="0"/>
    <n v="348.05808000000002"/>
    <n v="213.32592"/>
    <n v="0"/>
    <n v="0"/>
    <n v="2346.5851199999997"/>
    <n v="1783.1493360000002"/>
    <n v="563.43578399999956"/>
    <n v="0.31597790079876936"/>
    <m/>
    <n v="1783.1493360000002"/>
    <n v="2310.8502959999996"/>
    <n v="839.41315200000008"/>
    <n v="0.31597790079876931"/>
    <n v="563.43578399999956"/>
    <x v="0"/>
  </r>
  <r>
    <x v="2"/>
    <n v="5914"/>
    <s v="PTS Exports"/>
    <n v="0"/>
    <n v="0"/>
    <n v="0"/>
    <n v="0"/>
    <n v="0"/>
    <n v="0"/>
    <n v="0"/>
    <n v="0"/>
    <n v="0"/>
    <n v="0"/>
    <n v="0"/>
    <n v="0"/>
    <n v="0"/>
    <n v="1861.049266944"/>
    <n v="-1861.049266944"/>
    <n v="-1"/>
    <m/>
    <n v="1861.049266944"/>
    <n v="1431.472212416"/>
    <n v="1311.5091606400001"/>
    <n v="-1"/>
    <n v="-1861.049266944"/>
    <x v="0"/>
  </r>
  <r>
    <x v="3"/>
    <n v="5914"/>
    <s v="Cup Export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66.428640000000001"/>
    <e v="#DIV/0!"/>
    <n v="0"/>
    <x v="0"/>
  </r>
  <r>
    <x v="0"/>
    <n v="5914"/>
    <s v="Bulk Export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0"/>
  </r>
  <r>
    <x v="3"/>
    <n v="5914"/>
    <s v="B&amp;J Cup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1215.7807454879999"/>
    <e v="#DIV/0!"/>
    <n v="0"/>
    <x v="0"/>
  </r>
  <r>
    <x v="3"/>
    <n v="5914"/>
    <s v="B&amp;J Dog Treat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90.575711232000003"/>
    <e v="#DIV/0!"/>
    <n v="0"/>
    <x v="0"/>
  </r>
  <r>
    <x v="4"/>
    <n v="5914"/>
    <s v="PTS - BR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0"/>
  </r>
  <r>
    <x v="2"/>
    <n v="5914"/>
    <s v="BJ PTS"/>
    <n v="4415.2252416000001"/>
    <n v="5494.5025228799996"/>
    <n v="5494.5025228799996"/>
    <n v="5756.1455001599998"/>
    <n v="5232.8595456000003"/>
    <n v="3401.3587046399998"/>
    <n v="5232.8595456000003"/>
    <n v="5756.1455001599998"/>
    <n v="4447.9306137599997"/>
    <n v="6017.78847744"/>
    <n v="3663.00168192"/>
    <n v="1598.9293055999999"/>
    <n v="56511.249162239998"/>
    <n v="56361.536970815992"/>
    <n v="149.71219142400514"/>
    <n v="2.6562829807413898E-3"/>
    <m/>
    <n v="56361.536970815992"/>
    <n v="56669.025709670394"/>
    <n v="64060.535033727996"/>
    <n v="2.6562829807414978E-3"/>
    <n v="149.71219142400514"/>
    <x v="0"/>
  </r>
  <r>
    <x v="5"/>
    <m/>
    <s v="Total St. Albans"/>
    <n v="4741.9308735698396"/>
    <n v="6238.1595946990383"/>
    <n v="6178.6849373569084"/>
    <n v="6715.2547748819597"/>
    <n v="6187.2478844124416"/>
    <n v="4246.0010803987179"/>
    <n v="5996.5016924426018"/>
    <n v="6086.8331533173987"/>
    <n v="4966.0577176996794"/>
    <n v="6410.6329094098401"/>
    <n v="3998.4144417691987"/>
    <n v="1872.9285534793589"/>
    <n v="63638.64761343698"/>
    <n v="64399.048895503627"/>
    <n v="-760.40128206665008"/>
    <n v="-1.1807647707662678E-2"/>
    <s v="3 lines 24.7%"/>
    <n v="64399.048895503627"/>
    <n v="65136.411558402135"/>
    <n v="72095.396443062549"/>
    <n v="-1.1807647707662627E-2"/>
    <n v="-760.40128206664667"/>
    <x v="1"/>
  </r>
  <r>
    <x v="5"/>
    <m/>
    <m/>
    <m/>
    <m/>
    <m/>
    <m/>
    <m/>
    <m/>
    <m/>
    <m/>
    <m/>
    <m/>
    <m/>
    <m/>
    <m/>
    <m/>
    <m/>
    <m/>
    <m/>
    <m/>
    <m/>
    <m/>
    <m/>
    <m/>
    <x v="1"/>
  </r>
  <r>
    <x v="5"/>
    <m/>
    <s v="WATERBURY"/>
    <m/>
    <m/>
    <m/>
    <m/>
    <m/>
    <m/>
    <m/>
    <m/>
    <m/>
    <m/>
    <m/>
    <m/>
    <m/>
    <m/>
    <s v="Vs Last Cycle"/>
    <m/>
    <s v="Commentary"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m/>
    <m/>
    <x v="1"/>
  </r>
  <r>
    <x v="1"/>
    <n v="5911"/>
    <s v="1 Gal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0"/>
  </r>
  <r>
    <x v="1"/>
    <n v="5911"/>
    <s v="QT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0"/>
  </r>
  <r>
    <x v="2"/>
    <n v="5911"/>
    <s v="PTS Exports"/>
    <n v="0"/>
    <n v="0"/>
    <n v="0"/>
    <n v="0"/>
    <n v="0"/>
    <n v="0"/>
    <n v="0"/>
    <n v="0"/>
    <n v="0"/>
    <n v="0"/>
    <n v="0"/>
    <n v="0"/>
    <n v="0"/>
    <n v="1978.4505839999997"/>
    <n v="-1978.4505839999997"/>
    <m/>
    <m/>
    <n v="1978.4505839999997"/>
    <n v="1709.5617679999996"/>
    <n v="1079.6825359999998"/>
    <n v="-1"/>
    <n v="-1978.4505839999997"/>
    <x v="0"/>
  </r>
  <r>
    <x v="2"/>
    <n v="5911"/>
    <s v="BJ PTS"/>
    <n v="2530.7728457142853"/>
    <n v="2907.1441919999997"/>
    <n v="3114.7973485714283"/>
    <n v="3010.9707702857145"/>
    <n v="2907.1441919999997"/>
    <n v="2699.4910354285712"/>
    <n v="2907.1441919999997"/>
    <n v="3114.7973485714283"/>
    <n v="2803.3176137142859"/>
    <n v="1038.265782857143"/>
    <n v="726.78604799999994"/>
    <n v="2907.1441919999997"/>
    <n v="30667.775561142858"/>
    <n v="31464.710371210236"/>
    <n v="-796.93481006737784"/>
    <n v="-2.5327892761935665E-2"/>
    <s v="Adjust 24.5 Start in Jul"/>
    <n v="31464.710371210236"/>
    <n v="30988.983630079998"/>
    <n v="31610.790453247999"/>
    <n v="-2.53278927619357E-2"/>
    <n v="-796.93481006737784"/>
    <x v="0"/>
  </r>
  <r>
    <x v="5"/>
    <m/>
    <s v="Total Waterbury"/>
    <n v="2530.7728457142853"/>
    <n v="2907.1441919999997"/>
    <n v="3114.7973485714283"/>
    <n v="3010.9707702857145"/>
    <n v="2907.1441919999997"/>
    <n v="2699.4910354285712"/>
    <n v="2907.1441919999997"/>
    <n v="3114.7973485714283"/>
    <n v="2803.3176137142859"/>
    <n v="1038.265782857143"/>
    <n v="726.78604799999994"/>
    <n v="2907.1441919999997"/>
    <n v="30667.775561142858"/>
    <n v="33443.160955210238"/>
    <n v="-2775.3853940673775"/>
    <n v="-8.2988130152660988E-2"/>
    <m/>
    <n v="33443.160955210238"/>
    <n v="32698.545398079998"/>
    <n v="32690.472989247999"/>
    <n v="-8.2988130152661044E-2"/>
    <n v="-2775.3853940673798"/>
    <x v="1"/>
  </r>
  <r>
    <x v="5"/>
    <m/>
    <m/>
    <m/>
    <m/>
    <m/>
    <m/>
    <m/>
    <m/>
    <m/>
    <m/>
    <m/>
    <m/>
    <m/>
    <m/>
    <n v="94306.423174579832"/>
    <n v="97842.209850713873"/>
    <m/>
    <m/>
    <m/>
    <n v="97842.209850713873"/>
    <n v="97834.956956482129"/>
    <n v="104785.86943231054"/>
    <n v="-3.6137641223853101E-2"/>
    <n v="-3535.786676134041"/>
    <x v="1"/>
  </r>
  <r>
    <x v="5"/>
    <m/>
    <s v="SIKESTON NORTH"/>
    <m/>
    <m/>
    <m/>
    <m/>
    <m/>
    <m/>
    <m/>
    <m/>
    <m/>
    <m/>
    <m/>
    <m/>
    <m/>
    <m/>
    <s v="Vs PY"/>
    <m/>
    <s v="Commentary"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s v="VS YAG"/>
    <m/>
    <x v="1"/>
  </r>
  <r>
    <x v="6"/>
    <n v="2904"/>
    <s v="48oz"/>
    <n v="8699.7720000000008"/>
    <n v="9590.7936000000009"/>
    <n v="10609.104000000001"/>
    <n v="10269.6672"/>
    <n v="9590.7936000000009"/>
    <n v="9590.7936000000009"/>
    <n v="9590.7936000000009"/>
    <n v="10609.104000000001"/>
    <n v="8572.4831999999988"/>
    <n v="9590.7936000000009"/>
    <n v="7893.6095999999998"/>
    <n v="6796.9152000000004"/>
    <n v="111404.62320000003"/>
    <n v="110052.08021423205"/>
    <n v="1352.5429857679846"/>
    <n v="1.2290026532302408E-2"/>
    <s v="Factors Improvement"/>
    <n v="110052.08021423205"/>
    <n v="106954.047096232"/>
    <n v="113929.03514779823"/>
    <n v="1.2290026532302489E-2"/>
    <n v="1352.5429857679846"/>
    <x v="0"/>
  </r>
  <r>
    <x v="7"/>
    <n v="2904"/>
    <s v="EDF"/>
    <n v="841.58790902197154"/>
    <n v="841.58790902197154"/>
    <n v="931.75804213146853"/>
    <n v="841.58790902197154"/>
    <n v="931.75804213146853"/>
    <n v="0"/>
    <n v="0"/>
    <n v="0"/>
    <n v="0"/>
    <n v="0"/>
    <n v="0"/>
    <n v="0"/>
    <n v="4388.2798113288518"/>
    <n v="7455.3213599999999"/>
    <n v="-3067.0415486711481"/>
    <n v="-0.41138958343589743"/>
    <s v="ST1 Shift"/>
    <n v="7455.3213599999999"/>
    <n v="8270.5362000000005"/>
    <n v="7219.6764240000011"/>
    <n v="-0.41138958343589738"/>
    <n v="-3067.0415486711481"/>
    <x v="0"/>
  </r>
  <r>
    <x v="8"/>
    <n v="2904"/>
    <s v="BJ Bars"/>
    <n v="0"/>
    <n v="0"/>
    <n v="0"/>
    <n v="0"/>
    <n v="0"/>
    <n v="0"/>
    <n v="0"/>
    <n v="0"/>
    <n v="0"/>
    <n v="0"/>
    <n v="0"/>
    <n v="0"/>
    <n v="0"/>
    <n v="0"/>
    <m/>
    <s v=""/>
    <s v="Not insourcing as of yet"/>
    <n v="0"/>
    <n v="0"/>
    <n v="0"/>
    <e v="#DIV/0!"/>
    <n v="0"/>
    <x v="0"/>
  </r>
  <r>
    <x v="9"/>
    <n v="2904"/>
    <s v="ES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6672.1278773759996"/>
    <e v="#DIV/0!"/>
    <n v="0"/>
    <x v="0"/>
  </r>
  <r>
    <x v="10"/>
    <n v="2904"/>
    <s v="MBG"/>
    <n v="361.76000000000005"/>
    <n v="343.87484237074403"/>
    <n v="380.07219419924337"/>
    <n v="307.67749054224464"/>
    <n v="325.77616645649437"/>
    <n v="319.38839848675917"/>
    <n v="283.19104665825984"/>
    <n v="265.09237074401011"/>
    <n v="204.40857503152586"/>
    <n v="276.80327868852459"/>
    <n v="204.40857503152586"/>
    <n v="132.01387137452713"/>
    <n v="3404.4668095838588"/>
    <n v="3249.8886079999993"/>
    <n v="154.57820158385948"/>
    <n v="4.7564153800024496E-2"/>
    <m/>
    <n v="3249.8886079999993"/>
    <n v="3455.3092799999999"/>
    <n v="4006.9251520000003"/>
    <n v="4.7564153800024433E-2"/>
    <n v="154.57820158385948"/>
    <x v="0"/>
  </r>
  <r>
    <x v="11"/>
    <n v="2904"/>
    <s v="MG Sticks"/>
    <n v="1890.0273560000001"/>
    <n v="1877.8754120000003"/>
    <n v="1554.1271920000002"/>
    <n v="1561.7498399999999"/>
    <n v="1766.9612400000001"/>
    <n v="1507.3469640000003"/>
    <n v="1435.2743440000004"/>
    <n v="1157.5834920000002"/>
    <n v="1090.8049520000002"/>
    <n v="884.22190400000011"/>
    <n v="1066.6510880000001"/>
    <n v="541.46707200000003"/>
    <n v="16334.090856000003"/>
    <n v="16217.467690000001"/>
    <n v="116.62316600000122"/>
    <n v="7.1912069275718851E-3"/>
    <m/>
    <n v="16217.467690000001"/>
    <n v="16493.611934639997"/>
    <n v="14708.682883999998"/>
    <n v="7.1912069275719137E-3"/>
    <n v="116.62316600000122"/>
    <x v="0"/>
  </r>
  <r>
    <x v="11"/>
    <n v="2904"/>
    <s v="TAL NV"/>
    <n v="0"/>
    <n v="0"/>
    <n v="0"/>
    <n v="0"/>
    <n v="0"/>
    <n v="0"/>
    <n v="0"/>
    <n v="0"/>
    <n v="0"/>
    <n v="0"/>
    <n v="0"/>
    <n v="0"/>
    <n v="0"/>
    <n v="238.35042000000001"/>
    <n v="-238.35042000000001"/>
    <n v="-1"/>
    <m/>
    <n v="238.35042000000001"/>
    <n v="238.35042000000001"/>
    <n v="996.92603999999994"/>
    <n v="-1"/>
    <n v="-238.35042000000001"/>
    <x v="0"/>
  </r>
  <r>
    <x v="12"/>
    <n v="2904"/>
    <s v="Yasso Sticks"/>
    <n v="880.99199999999996"/>
    <n v="880.99199999999996"/>
    <n v="1403.2943999999998"/>
    <n v="1057.1904"/>
    <n v="1227.096"/>
    <n v="1057.1904"/>
    <n v="1113.8255999999999"/>
    <n v="1403.2943999999998"/>
    <n v="1057.1904"/>
    <n v="1113.8255999999999"/>
    <n v="849.52799999999991"/>
    <n v="723.67199999999991"/>
    <n v="12768.091199999999"/>
    <n v="4882.212575999999"/>
    <n v="7885.8786239999999"/>
    <n v="1.615226396074074"/>
    <s v="Insourcing"/>
    <n v="4882.212575999999"/>
    <n v="5596.4890240000004"/>
    <n v="1670.567888"/>
    <n v="1.6152263960740743"/>
    <n v="7885.8786239999999"/>
    <x v="0"/>
  </r>
  <r>
    <x v="4"/>
    <n v="2904"/>
    <s v="PTS"/>
    <n v="131.78893293572077"/>
    <n v="125.59733679429836"/>
    <n v="159.31127845359205"/>
    <n v="169.98468286647932"/>
    <n v="164.53271126945421"/>
    <n v="205.20892749377145"/>
    <n v="147.24756488170132"/>
    <n v="149.90733060498991"/>
    <n v="154.47144046969353"/>
    <n v="127.80579430630914"/>
    <n v="140.75759753431879"/>
    <n v="126.0046726783378"/>
    <n v="1802.6182702886665"/>
    <n v="1332.1836879999998"/>
    <n v="470.43458228866666"/>
    <n v="0.35313041776913479"/>
    <s v="To support Yasso Pints &amp; also share litons with VT_x000a_SP1 4.0m Cs (Top,Sun,BR)_x000a_SP2:  2.7m cs (30-40wks)"/>
    <n v="1332.1836879999998"/>
    <n v="1062.7628879999997"/>
    <n v="3799.6374589440002"/>
    <n v="0.35313041776913479"/>
    <n v="470.43458228866666"/>
    <x v="0"/>
  </r>
  <r>
    <x v="2"/>
    <n v="2904"/>
    <s v="BJ PTS"/>
    <n v="643.50847999999996"/>
    <n v="378.53440000000001"/>
    <n v="246.04736"/>
    <n v="246.04736"/>
    <n v="246.04736"/>
    <n v="246.04736"/>
    <n v="246.04736"/>
    <n v="246.04736"/>
    <n v="511.02143999999998"/>
    <n v="246.04736"/>
    <n v="643.50847999999996"/>
    <n v="246.04736"/>
    <n v="4144.9516800000001"/>
    <n v="5218.5582453759998"/>
    <n v="-1073.6065653759997"/>
    <n v="-0.20572857768278982"/>
    <m/>
    <n v="5218.5582453759998"/>
    <n v="6863.2057224038399"/>
    <n v="559.18895199999997"/>
    <n v="-0.20572857768278985"/>
    <n v="-1073.6065653759997"/>
    <x v="0"/>
  </r>
  <r>
    <x v="4"/>
    <n v="2904"/>
    <s v="Sundaes"/>
    <n v="341.59999999999997"/>
    <n v="685.16419999999994"/>
    <n v="81.983999999999995"/>
    <n v="840.07979999999998"/>
    <n v="681.7482"/>
    <n v="423.07159999999993"/>
    <n v="710.52800000000002"/>
    <n v="163.96799999999999"/>
    <n v="293.51979999999998"/>
    <n v="208.03440000000001"/>
    <n v="163.96799999999999"/>
    <n v="0"/>
    <n v="4593.6659999999983"/>
    <n v="3349.8628239999994"/>
    <n v="1243.803175999999"/>
    <n v="0.37129973415293477"/>
    <m/>
    <n v="3349.8628239999994"/>
    <n v="2829.8144000000002"/>
    <n v="0"/>
    <n v="0.37129973415293471"/>
    <n v="1243.803175999999"/>
    <x v="0"/>
  </r>
  <r>
    <x v="13"/>
    <n v="2904"/>
    <s v="YS PTS"/>
    <n v="231.83999999999997"/>
    <n v="463.67999999999995"/>
    <n v="579.6"/>
    <n v="579.6"/>
    <n v="579.6"/>
    <n v="579.6"/>
    <n v="579.6"/>
    <n v="579.6"/>
    <n v="347.76"/>
    <n v="579.6"/>
    <n v="231.83999999999997"/>
    <n v="231.83999999999997"/>
    <n v="5564.1600000000008"/>
    <n v="248.39999999999998"/>
    <n v="5315.7600000000011"/>
    <n v="21.400000000000006"/>
    <m/>
    <n v="248.39999999999998"/>
    <n v="331.2"/>
    <s v="-"/>
    <n v="21.400000000000006"/>
    <n v="5315.7600000000011"/>
    <x v="0"/>
  </r>
  <r>
    <x v="4"/>
    <n v="2904"/>
    <s v="Topped"/>
    <n v="601.47"/>
    <n v="505.53"/>
    <n v="1202.9399999999998"/>
    <n v="369"/>
    <n v="369"/>
    <n v="1066.4100000000001"/>
    <n v="369"/>
    <n v="1098"/>
    <n v="819"/>
    <n v="232.47"/>
    <n v="369"/>
    <n v="1107"/>
    <n v="8108.82"/>
    <n v="8411.9040000000005"/>
    <n v="-303.08400000000074"/>
    <n v="-3.6030368392221394E-2"/>
    <m/>
    <n v="8411.9040000000005"/>
    <n v="8926.7939999999981"/>
    <n v="8435.986457142857"/>
    <n v="-3.6030368392221401E-2"/>
    <n v="-303.08400000000074"/>
    <x v="0"/>
  </r>
  <r>
    <x v="14"/>
    <n v="2904"/>
    <s v="TALENTI"/>
    <n v="3300.4646400000001"/>
    <n v="3951.9928320000004"/>
    <n v="4504.2972241919997"/>
    <n v="3500.8135680000005"/>
    <n v="3837.6983039999996"/>
    <n v="4004.7129599999998"/>
    <n v="3489.3327359999998"/>
    <n v="3611.7711359999998"/>
    <n v="2505.5293439999996"/>
    <n v="3301.5390719999996"/>
    <n v="2547.0236159999995"/>
    <n v="2582.1327359999996"/>
    <n v="41137.308168191994"/>
    <n v="39342.717344703997"/>
    <n v="1794.5908234879971"/>
    <n v="4.5614307922977534E-2"/>
    <s v="Making Less than demand in 25'"/>
    <n v="39342.717344703997"/>
    <n v="41144.271504704004"/>
    <n v="42779.711747359994"/>
    <n v="4.5614307922977604E-2"/>
    <n v="1794.5908234879971"/>
    <x v="0"/>
  </r>
  <r>
    <x v="15"/>
    <n v="2904"/>
    <s v="PG"/>
    <n v="840.53040214488158"/>
    <n v="879.28684720055332"/>
    <n v="937.42151478406095"/>
    <n v="896.24279191240976"/>
    <n v="971.33340420777381"/>
    <n v="862.33090248869689"/>
    <n v="881.70912501653288"/>
    <n v="954.37745949591738"/>
    <n v="678.23778847425604"/>
    <n v="731.52790042580477"/>
    <n v="658.85956594642016"/>
    <n v="598.30262054693299"/>
    <n v="9890.1603226442421"/>
    <n v="10854.005454"/>
    <n v="-963.84513135575799"/>
    <n v="-8.8800870373669696E-2"/>
    <s v="Demand Driven"/>
    <n v="10854.005454"/>
    <n v="10753.95033"/>
    <n v="1152.4961640000001"/>
    <n v="-8.8800870373669683E-2"/>
    <n v="-963.84513135575799"/>
    <x v="0"/>
  </r>
  <r>
    <x v="5"/>
    <m/>
    <s v="Total Sikeston North"/>
    <n v="18765.341720102577"/>
    <n v="20524.909379387573"/>
    <n v="22589.957205760369"/>
    <n v="20639.641042343104"/>
    <n v="20692.345028065192"/>
    <n v="19862.10111246923"/>
    <n v="18846.549376556497"/>
    <n v="20238.745548844923"/>
    <n v="16234.426939975474"/>
    <n v="17292.668909420638"/>
    <n v="14769.154522512266"/>
    <n v="13085.395532599799"/>
    <n v="223541.23631803764"/>
    <n v="210852.95242431201"/>
    <n v="12688.283893725631"/>
    <n v="6.0175984010848671E-2"/>
    <m/>
    <n v="210852.95242431201"/>
    <n v="212920.34279997984"/>
    <n v="205930.96219262108"/>
    <n v="6.0175984010848671E-2"/>
    <n v="12688.283893725631"/>
    <x v="1"/>
  </r>
  <r>
    <x v="5"/>
    <m/>
    <m/>
    <m/>
    <m/>
    <m/>
    <m/>
    <m/>
    <m/>
    <m/>
    <m/>
    <m/>
    <m/>
    <m/>
    <m/>
    <m/>
    <m/>
    <m/>
    <m/>
    <m/>
    <m/>
    <m/>
    <m/>
    <m/>
    <m/>
    <x v="1"/>
  </r>
  <r>
    <x v="5"/>
    <m/>
    <s v="COVINGTON"/>
    <m/>
    <m/>
    <m/>
    <m/>
    <m/>
    <m/>
    <m/>
    <m/>
    <m/>
    <m/>
    <m/>
    <m/>
    <m/>
    <m/>
    <m/>
    <m/>
    <s v="Commentary"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m/>
    <m/>
    <x v="1"/>
  </r>
  <r>
    <x v="6"/>
    <n v="1352"/>
    <s v="48oz"/>
    <n v="8505.6864000000005"/>
    <n v="9467.5603200000005"/>
    <n v="10566.844799999999"/>
    <n v="10200.416639999999"/>
    <n v="9467.5603200000005"/>
    <n v="9467.5603200000005"/>
    <n v="9467.5603200000005"/>
    <n v="10566.844799999999"/>
    <n v="8368.2758400000002"/>
    <n v="9467.5603200000005"/>
    <n v="7635.4195199999995"/>
    <n v="3493.2"/>
    <n v="106674.48960000002"/>
    <n v="106321.83956400001"/>
    <n v="352.65003600000637"/>
    <n v="3.3168165397263472E-3"/>
    <s v="Rates"/>
    <n v="106321.83956400001"/>
    <n v="103087.08268799998"/>
    <n v="107043.579006"/>
    <n v="3.3168165397263749E-3"/>
    <n v="352.65003600000637"/>
    <x v="0"/>
  </r>
  <r>
    <x v="1"/>
    <n v="1352"/>
    <s v="56oz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0"/>
  </r>
  <r>
    <x v="1"/>
    <n v="1352"/>
    <s v="64oz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0"/>
  </r>
  <r>
    <x v="7"/>
    <n v="1352"/>
    <s v="EDF"/>
    <n v="3462.533111404683"/>
    <n v="3462.533111404683"/>
    <n v="3833.5188019123279"/>
    <n v="3462.533111404683"/>
    <n v="3833.5188019123279"/>
    <n v="3462.533111404683"/>
    <n v="4781.5933443207523"/>
    <n v="4472.4386022310491"/>
    <n v="4039.6219633054634"/>
    <n v="4183.894176280658"/>
    <n v="0"/>
    <n v="0"/>
    <n v="38994.718135581308"/>
    <n v="36720.387311999999"/>
    <n v="2274.3308235813092"/>
    <n v="6.1936460643977786E-2"/>
    <s v="New Line Aboard"/>
    <n v="36720.387311999999"/>
    <n v="38520.095159999997"/>
    <n v="35425.172424000004"/>
    <n v="6.1936460643977842E-2"/>
    <n v="2274.3308235813092"/>
    <x v="0"/>
  </r>
  <r>
    <x v="16"/>
    <n v="1352"/>
    <s v="EFW"/>
    <n v="0"/>
    <n v="0"/>
    <n v="0"/>
    <n v="0"/>
    <n v="0"/>
    <n v="0"/>
    <n v="0"/>
    <n v="0"/>
    <n v="0"/>
    <n v="0"/>
    <n v="0"/>
    <n v="0"/>
    <n v="0"/>
    <n v="1368.0072"/>
    <n v="-1368.0072"/>
    <n v="-1"/>
    <s v="No Longer making"/>
    <n v="1368.0072"/>
    <n v="1335.95964"/>
    <n v="3481.0499519999998"/>
    <n v="-1"/>
    <n v="-1368.0072"/>
    <x v="0"/>
  </r>
  <r>
    <x v="10"/>
    <n v="1352"/>
    <s v="MBG"/>
    <n v="635.39500630517034"/>
    <n v="603.62525598991181"/>
    <n v="667.16475662042876"/>
    <n v="540.08575535939474"/>
    <n v="501.05550567465326"/>
    <n v="564.59500630517039"/>
    <n v="501.05550567465326"/>
    <n v="469.28575535939473"/>
    <n v="366.71600504413618"/>
    <n v="493.79500630517032"/>
    <n v="366.71600504413618"/>
    <n v="239.63700378310219"/>
    <n v="5949.1265674653223"/>
    <n v="10276.947063999998"/>
    <n v="-4327.8204965346758"/>
    <n v="-0.42111927497369045"/>
    <s v="Demand Driven &amp; 25 Build"/>
    <n v="10276.947063999998"/>
    <n v="9716.3970639999989"/>
    <n v="8750.6407319999998"/>
    <n v="-0.42111927497369039"/>
    <n v="-4327.8204965346758"/>
    <x v="0"/>
  </r>
  <r>
    <x v="15"/>
    <n v="1352"/>
    <s v="PG"/>
    <n v="1546.3821577213039"/>
    <n v="1546.3821577213039"/>
    <n v="1546.3821577213039"/>
    <n v="1620.01940332708"/>
    <n v="1693.6566489328566"/>
    <n v="1472.7449121155275"/>
    <n v="1472.7449121155275"/>
    <n v="1620.01940332708"/>
    <n v="1178.1959296924219"/>
    <n v="1325.4704209039746"/>
    <n v="1178.1959296924219"/>
    <n v="1251.8331752981985"/>
    <n v="17452.027208568998"/>
    <n v="14906.472240000001"/>
    <n v="2545.5549685689966"/>
    <n v="0.17076843719859211"/>
    <s v="Rate Improvement, How do we flex next year and bring In-House Sept-Dec"/>
    <n v="14906.472240000001"/>
    <n v="16355.432094"/>
    <n v="10881.699822"/>
    <n v="0.17076843719859203"/>
    <n v="2545.5549685689966"/>
    <x v="0"/>
  </r>
  <r>
    <x v="14"/>
    <n v="1352"/>
    <s v="Talenti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0"/>
  </r>
  <r>
    <x v="5"/>
    <m/>
    <s v="Total Covington"/>
    <n v="14149.996675431159"/>
    <n v="15080.100845115898"/>
    <n v="16613.910516254058"/>
    <n v="15823.054910091156"/>
    <n v="15495.791276519836"/>
    <n v="14967.43334982538"/>
    <n v="16222.954082110933"/>
    <n v="17128.588560917524"/>
    <n v="13952.80973804202"/>
    <n v="15470.719923489803"/>
    <n v="9180.3314547365571"/>
    <n v="4984.6701790813004"/>
    <n v="169070.36151161563"/>
    <n v="169593.65338"/>
    <n v="-523.29186838436362"/>
    <n v="-3.0855628023523365E-3"/>
    <m/>
    <n v="169593.65338"/>
    <n v="169014.96664599993"/>
    <n v="165582.141936"/>
    <n v="-3.0855628023523929E-3"/>
    <n v="-523.29186838437454"/>
    <x v="1"/>
  </r>
  <r>
    <x v="5"/>
    <m/>
    <m/>
    <m/>
    <m/>
    <m/>
    <m/>
    <m/>
    <m/>
    <m/>
    <m/>
    <m/>
    <m/>
    <m/>
    <m/>
    <m/>
    <m/>
    <m/>
    <m/>
    <m/>
    <m/>
    <m/>
    <m/>
    <m/>
    <m/>
    <x v="1"/>
  </r>
  <r>
    <x v="5"/>
    <m/>
    <s v="Schwann's"/>
    <m/>
    <m/>
    <m/>
    <m/>
    <m/>
    <m/>
    <m/>
    <m/>
    <m/>
    <m/>
    <m/>
    <m/>
    <n v="0"/>
    <n v="0"/>
    <m/>
    <m/>
    <s v="Commentary"/>
    <n v="0"/>
    <n v="0"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L Projection"/>
    <s v="L Projection"/>
    <s v="Difference"/>
    <s v="% change"/>
    <m/>
    <s v="L Projection"/>
    <s v="L Projection"/>
    <s v="2024 MRF12"/>
    <m/>
    <m/>
    <x v="1"/>
  </r>
  <r>
    <x v="3"/>
    <n v="1712"/>
    <s v="B&amp;J Cups"/>
    <n v="189.4752"/>
    <n v="290.04314399999998"/>
    <n v="154.09891199999998"/>
    <n v="298.25443200000001"/>
    <n v="176.02394399999997"/>
    <n v="245.4846"/>
    <n v="286.02842400000003"/>
    <n v="148.59235200000001"/>
    <n v="130.85978399999999"/>
    <n v="293.74106399999994"/>
    <n v="127.55354399999999"/>
    <n v="86.795783999999983"/>
    <n v="2426.951184"/>
    <n v="3013.4835083520002"/>
    <n v="-586.53232435200016"/>
    <n v="-0.19463598281736083"/>
    <m/>
    <n v="3013.4835083520002"/>
    <n v="3221.9392523519991"/>
    <n v="944.80660905599996"/>
    <n v="-0.19463598281736083"/>
    <n v="-586.53232435200016"/>
    <x v="2"/>
  </r>
  <r>
    <x v="9"/>
    <n v="1712"/>
    <s v="ESS"/>
    <n v="630.96537599999999"/>
    <n v="666.56217600000002"/>
    <n v="626.53478400000006"/>
    <n v="651.96057599999995"/>
    <n v="889.86815999999999"/>
    <n v="482.073984"/>
    <n v="733.80556799999999"/>
    <n v="400.42598400000003"/>
    <n v="1107.206784"/>
    <n v="1201.666176"/>
    <n v="1100.208384"/>
    <n v="1123.536384"/>
    <n v="9614.8143359999995"/>
    <n v="4475.1087156000003"/>
    <n v="5139.7056203999991"/>
    <n v="1.1485096669234534"/>
    <m/>
    <n v="4475.1087156000003"/>
    <n v="4821.0957072000001"/>
    <n v="845.43807600000014"/>
    <n v="1.1485096669234531"/>
    <n v="5139.7056203999991"/>
    <x v="2"/>
  </r>
  <r>
    <x v="9"/>
    <n v="1712"/>
    <s v="KL Sandwich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2"/>
  </r>
  <r>
    <x v="5"/>
    <m/>
    <s v="Total Schwann's"/>
    <n v="820.44057599999996"/>
    <n v="956.60532000000001"/>
    <n v="780.6336960000001"/>
    <n v="950.2150079999999"/>
    <n v="1065.892104"/>
    <n v="727.558584"/>
    <n v="1019.8339920000001"/>
    <n v="549.01833600000009"/>
    <n v="1238.066568"/>
    <n v="1495.40724"/>
    <n v="1227.7619279999999"/>
    <n v="1210.3321679999999"/>
    <n v="12041.765519999999"/>
    <n v="7488.5922239520005"/>
    <n v="4553.1732960479985"/>
    <n v="0.60801458536957487"/>
    <m/>
    <n v="7488.5922239520005"/>
    <n v="8043.0349595519992"/>
    <n v="1790.244685056"/>
    <n v="0.60801458536957487"/>
    <n v="4553.1732960479985"/>
    <x v="1"/>
  </r>
  <r>
    <x v="5"/>
    <m/>
    <m/>
    <m/>
    <m/>
    <m/>
    <m/>
    <m/>
    <m/>
    <m/>
    <m/>
    <m/>
    <m/>
    <m/>
    <m/>
    <m/>
    <m/>
    <s v="Vs Last Cycle"/>
    <m/>
    <s v="Commentary"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m/>
    <e v="#VALUE!"/>
    <x v="1"/>
  </r>
  <r>
    <x v="1"/>
    <n v="6765"/>
    <s v="BR Minicups"/>
    <n v="224.928"/>
    <n v="74.975999999999999"/>
    <n v="224.928"/>
    <n v="74.975999999999999"/>
    <n v="224.928"/>
    <n v="93.667200000000008"/>
    <n v="92.015999999999991"/>
    <n v="149.952"/>
    <n v="74.975999999999999"/>
    <n v="224.928"/>
    <n v="74.975999999999999"/>
    <n v="74.975999999999999"/>
    <n v="1610.2272000000003"/>
    <n v="901.7568"/>
    <n v="708.47040000000027"/>
    <n v="0.78565573334185035"/>
    <m/>
    <n v="901.7568"/>
    <n v="0"/>
    <n v="3197.7178799999997"/>
    <n v="0.78565573334185035"/>
    <n v="708.47040000000027"/>
    <x v="2"/>
  </r>
  <r>
    <x v="1"/>
    <n v="6764"/>
    <s v="Other"/>
    <n v="213"/>
    <n v="213"/>
    <n v="213"/>
    <n v="639"/>
    <n v="639"/>
    <n v="424.8"/>
    <n v="639"/>
    <n v="426"/>
    <n v="426"/>
    <n v="213"/>
    <n v="426"/>
    <n v="213"/>
    <n v="4684.8"/>
    <n v="1191.96504"/>
    <m/>
    <m/>
    <m/>
    <n v="1191.96504"/>
    <m/>
    <m/>
    <n v="2.9303166139839134"/>
    <n v="3492.8349600000001"/>
    <x v="1"/>
  </r>
  <r>
    <x v="4"/>
    <n v="6706"/>
    <s v="PTS"/>
    <n v="0"/>
    <n v="0"/>
    <n v="0"/>
    <n v="0"/>
    <n v="0"/>
    <n v="0"/>
    <n v="0"/>
    <n v="0"/>
    <n v="0"/>
    <n v="0"/>
    <n v="0"/>
    <n v="0"/>
    <n v="0"/>
    <n v="72.598919999999993"/>
    <n v="-72.598919999999993"/>
    <n v="-1"/>
    <m/>
    <n v="72.598919999999993"/>
    <n v="72.598919999999993"/>
    <n v="1726.6090879999999"/>
    <n v="-1"/>
    <n v="-72.598919999999993"/>
    <x v="2"/>
  </r>
  <r>
    <x v="9"/>
    <n v="6706"/>
    <s v="Giant SW"/>
    <n v="0"/>
    <n v="0"/>
    <n v="0"/>
    <n v="0"/>
    <n v="0"/>
    <n v="0"/>
    <n v="0"/>
    <n v="0"/>
    <n v="0"/>
    <n v="0"/>
    <n v="0"/>
    <n v="0"/>
    <n v="0"/>
    <n v="2155.0273920000004"/>
    <n v="-2155.0273920000004"/>
    <n v="-1"/>
    <m/>
    <n v="2155.0273920000004"/>
    <n v="2153.7827280000001"/>
    <n v="3618.7395119999996"/>
    <n v="-1"/>
    <n v="-2155.0273920000004"/>
    <x v="2"/>
  </r>
  <r>
    <x v="1"/>
    <n v="6706"/>
    <s v="FB Cones"/>
    <n v="0"/>
    <n v="0"/>
    <n v="0"/>
    <n v="0"/>
    <n v="0"/>
    <n v="0"/>
    <n v="0"/>
    <n v="0"/>
    <n v="0"/>
    <n v="0"/>
    <n v="0"/>
    <n v="0"/>
    <n v="0"/>
    <n v="1291.3240319999998"/>
    <n v="-1291.3240319999998"/>
    <n v="-1"/>
    <m/>
    <n v="1291.3240319999998"/>
    <n v="1643.8655519999998"/>
    <n v="2590.9769759999999"/>
    <n v="-1"/>
    <n v="-1291.3240319999998"/>
    <x v="2"/>
  </r>
  <r>
    <x v="1"/>
    <n v="6706"/>
    <s v="BR Minicups"/>
    <n v="0"/>
    <n v="0"/>
    <n v="0"/>
    <n v="0"/>
    <n v="0"/>
    <n v="0"/>
    <n v="0"/>
    <n v="0"/>
    <n v="0"/>
    <n v="0"/>
    <n v="0"/>
    <n v="0"/>
    <n v="0"/>
    <n v="66.978018000000006"/>
    <n v="-66.978018000000006"/>
    <n v="-1"/>
    <m/>
    <n v="66.978018000000006"/>
    <n v="66.978018000000006"/>
    <n v="190.06929000000002"/>
    <n v="-1"/>
    <n v="-66.978018000000006"/>
    <x v="2"/>
  </r>
  <r>
    <x v="5"/>
    <m/>
    <s v="Total Brothers 3PM"/>
    <n v="437.928"/>
    <n v="287.976"/>
    <n v="437.928"/>
    <n v="713.976"/>
    <n v="863.928"/>
    <n v="518.46720000000005"/>
    <n v="731.01599999999996"/>
    <n v="575.952"/>
    <n v="500.976"/>
    <n v="437.928"/>
    <n v="500.976"/>
    <n v="287.976"/>
    <n v="6295.0272000000004"/>
    <n v="5679.6502019999998"/>
    <n v="615.37699800000064"/>
    <n v="0.10834769327577697"/>
    <m/>
    <n v="5679.6502019999998"/>
    <n v="3937.2252179999996"/>
    <n v="11324.112745999999"/>
    <n v="0.10834769327577698"/>
    <n v="615.37699800000064"/>
    <x v="1"/>
  </r>
  <r>
    <x v="5"/>
    <m/>
    <m/>
    <m/>
    <m/>
    <m/>
    <m/>
    <m/>
    <m/>
    <m/>
    <m/>
    <m/>
    <m/>
    <m/>
    <m/>
    <m/>
    <m/>
    <m/>
    <m/>
    <m/>
    <m/>
    <m/>
    <m/>
    <m/>
    <m/>
    <x v="1"/>
  </r>
  <r>
    <x v="12"/>
    <n v="1715"/>
    <s v="Yasso Sticks"/>
    <n v="628"/>
    <n v="628"/>
    <n v="628"/>
    <n v="628"/>
    <n v="690.8"/>
    <n v="628"/>
    <n v="643.69999999999993"/>
    <n v="690.8"/>
    <n v="628"/>
    <n v="312.49999999999994"/>
    <n v="-192.5"/>
    <n v="0"/>
    <n v="5913.3"/>
    <n v="9488.0396039999996"/>
    <n v="-3574.7396039999994"/>
    <n v="-0.37676271950772094"/>
    <m/>
    <n v="9488.0396039999996"/>
    <n v="10404.38608"/>
    <n v="7749.8194560000002"/>
    <n v="-0.37676271950772089"/>
    <n v="-3574.7396039999994"/>
    <x v="2"/>
  </r>
  <r>
    <x v="12"/>
    <n v="1716"/>
    <s v="Yasso Sticks"/>
    <n v="558.9"/>
    <n v="558.9"/>
    <n v="558.9"/>
    <n v="1076.3999999999999"/>
    <n v="1283.3999999999999"/>
    <n v="1593.8999999999999"/>
    <n v="1697.3999999999996"/>
    <n v="1800.8999999999999"/>
    <n v="1904.3999999999999"/>
    <n v="1676.6999999999998"/>
    <n v="0"/>
    <n v="0"/>
    <n v="12709.8"/>
    <n v="9297.3645760000018"/>
    <n v="3412.4354239999975"/>
    <n v="0.36703254950427328"/>
    <m/>
    <n v="9297.3645760000018"/>
    <n v="9465.1163599999982"/>
    <n v="7749.8194560000002"/>
    <n v="0.36703254950427322"/>
    <n v="3412.4354239999975"/>
    <x v="2"/>
  </r>
  <r>
    <x v="12"/>
    <n v="1717"/>
    <s v="Yasso Sticks"/>
    <n v="258.75"/>
    <n v="258.75"/>
    <n v="279.45"/>
    <n v="258.75"/>
    <n v="279.45"/>
    <n v="258.75"/>
    <n v="269.09999999999997"/>
    <n v="279.45"/>
    <n v="258.75"/>
    <n v="-62.100000000000023"/>
    <n v="0"/>
    <n v="0"/>
    <n v="2339.1"/>
    <n v="5966.8930879999998"/>
    <n v="-3627.7930879999999"/>
    <n v="-0.60798694303671086"/>
    <m/>
    <n v="5966.8930879999998"/>
    <n v="3161.1767199999995"/>
    <n v="7749.8194560000002"/>
    <n v="-0.60798694303671086"/>
    <n v="-3627.7930879999999"/>
    <x v="2"/>
  </r>
  <r>
    <x v="17"/>
    <n v="1712"/>
    <s v="Yasso Club"/>
    <n v="304.66778299999999"/>
    <n v="912.51400049999995"/>
    <n v="953.04693449999991"/>
    <n v="181.16333349999999"/>
    <n v="230.26778299999998"/>
    <n v="257.42468200000002"/>
    <n v="45.9940335"/>
    <n v="266.7627655"/>
    <n v="38.161681999999999"/>
    <n v="44.626266999999999"/>
    <n v="47.8334495"/>
    <n v="38.077734"/>
    <n v="3320.5404479999997"/>
    <n v="4273.9514579999995"/>
    <n v="-953.41100999999981"/>
    <n v="-0.22307483352797591"/>
    <m/>
    <n v="4273.9514579999995"/>
    <n v="5066.9956894999996"/>
    <n v="2399.0012460000003"/>
    <n v="-0.22307483352797586"/>
    <n v="-953.41100999999981"/>
    <x v="2"/>
  </r>
  <r>
    <x v="18"/>
    <n v="1713"/>
    <s v="Yasso Poppables"/>
    <n v="58.176000000000002"/>
    <n v="94.536000000000001"/>
    <n v="87.26400000000001"/>
    <n v="58.176000000000002"/>
    <n v="87.26400000000001"/>
    <n v="65.448000000000008"/>
    <n v="79.992000000000004"/>
    <n v="58.176000000000002"/>
    <n v="72.72"/>
    <n v="72.72"/>
    <n v="65.448000000000008"/>
    <n v="43.632000000000005"/>
    <n v="843.55200000000013"/>
    <n v="988.28096000000005"/>
    <n v="-144.72895999999992"/>
    <n v="-0.14644515664857077"/>
    <m/>
    <n v="988.28096000000005"/>
    <n v="1129.5537000000002"/>
    <n v="677.17066"/>
    <n v="-0.14644515664857083"/>
    <n v="-144.72895999999992"/>
    <x v="2"/>
  </r>
  <r>
    <x v="19"/>
    <n v="1714"/>
    <s v="Yasso Sandwich"/>
    <n v="0"/>
    <n v="0"/>
    <n v="0"/>
    <n v="0"/>
    <n v="0"/>
    <n v="0"/>
    <n v="0"/>
    <n v="0"/>
    <n v="0"/>
    <n v="0"/>
    <n v="0"/>
    <n v="0"/>
    <n v="0"/>
    <n v="12.303900000000001"/>
    <n v="-12.303900000000001"/>
    <n v="-1"/>
    <m/>
    <n v="12.303900000000001"/>
    <n v="4.1277600000000003"/>
    <n v="122.75099200000001"/>
    <n v="-1"/>
    <n v="-12.303900000000001"/>
    <x v="2"/>
  </r>
  <r>
    <x v="5"/>
    <m/>
    <s v="Total Yasso"/>
    <n v="1808.4937829999999"/>
    <n v="2452.7000005"/>
    <n v="2506.6609345000002"/>
    <n v="2202.4893334999997"/>
    <n v="2571.1817829999995"/>
    <n v="2803.5226819999993"/>
    <n v="2736.1860334999997"/>
    <n v="3096.0887654999997"/>
    <n v="2902.0316819999994"/>
    <n v="2044.446267"/>
    <n v="-79.218550499999992"/>
    <n v="81.709733999999997"/>
    <n v="25126.292447999997"/>
    <n v="30026.833586000001"/>
    <n v="-4900.5411380000041"/>
    <n v="-0.16320539173617293"/>
    <m/>
    <n v="30026.833586000001"/>
    <n v="29231.356309499995"/>
    <n v="26448.381266"/>
    <n v="-0.16320539173617288"/>
    <n v="-4900.5411380000041"/>
    <x v="1"/>
  </r>
  <r>
    <x v="5"/>
    <m/>
    <m/>
    <m/>
    <m/>
    <m/>
    <m/>
    <m/>
    <m/>
    <m/>
    <m/>
    <m/>
    <m/>
    <m/>
    <m/>
    <m/>
    <m/>
    <s v="Vs Last Cycle"/>
    <m/>
    <s v="Commentary"/>
    <m/>
    <m/>
    <m/>
    <m/>
    <m/>
    <x v="1"/>
  </r>
  <r>
    <x v="5"/>
    <m/>
    <m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s v="2024 MRF12"/>
    <m/>
    <m/>
    <x v="1"/>
  </r>
  <r>
    <x v="20"/>
    <s v="Rhino"/>
    <s v="Dough Bites"/>
    <n v="78.376912000000004"/>
    <n v="45.943272000000007"/>
    <n v="77.878544000000005"/>
    <n v="45.533640000000005"/>
    <n v="38.136000000000003"/>
    <n v="70.979272000000009"/>
    <n v="45.035272000000006"/>
    <n v="70.957640000000012"/>
    <n v="12.712000000000002"/>
    <n v="25.424000000000003"/>
    <n v="50.848000000000006"/>
    <n v="33.231272000000004"/>
    <n v="595.05582400000003"/>
    <n v="827.8283285120001"/>
    <n v="-232.77250451200007"/>
    <n v="-0.28118451192701099"/>
    <m/>
    <n v="827.8283285120001"/>
    <n v="878.69085651200021"/>
    <n v="724.06356950400004"/>
    <n v="-0.28118451192701099"/>
    <n v="-232.77250451200007"/>
    <x v="2"/>
  </r>
  <r>
    <x v="9"/>
    <n v="6757"/>
    <s v="ESS"/>
    <n v="252.63359999999997"/>
    <n v="336.84479999999996"/>
    <n v="421.05599999999993"/>
    <n v="336.84479999999996"/>
    <n v="336.84479999999996"/>
    <n v="421.05599999999993"/>
    <n v="336.84479999999996"/>
    <n v="168.42239999999998"/>
    <n v="0"/>
    <n v="0"/>
    <n v="0"/>
    <n v="0"/>
    <n v="2610.5471999999995"/>
    <n v="3141.7139999999999"/>
    <n v="-531.16680000000042"/>
    <n v="-0.16906911322927562"/>
    <m/>
    <n v="3141.7139999999999"/>
    <n v="3228.8843999999999"/>
    <n v="0"/>
    <n v="-0.16906911322927565"/>
    <n v="-531.16680000000042"/>
    <x v="2"/>
  </r>
  <r>
    <x v="19"/>
    <n v="6757"/>
    <s v="Yasso Sandwich"/>
    <n v="24.677240000000005"/>
    <n v="43.354120000000009"/>
    <n v="42.332359999999987"/>
    <n v="53.897840000000009"/>
    <n v="28.521239999999981"/>
    <n v="28.875879999999981"/>
    <n v="44.444079999999985"/>
    <n v="36.94703999999998"/>
    <n v="24.652440000000006"/>
    <n v="25.242679999999979"/>
    <n v="22.589080000000003"/>
    <n v="41.114680000000007"/>
    <n v="416.64867999999996"/>
    <n v="353.50788000000006"/>
    <n v="63.140799999999899"/>
    <n v="0.17861214295986808"/>
    <m/>
    <n v="353.50788000000006"/>
    <n v="1678.7443520000002"/>
    <n v="0"/>
    <n v="0.17861214295986816"/>
    <n v="63.140799999999899"/>
    <x v="2"/>
  </r>
  <r>
    <x v="1"/>
    <n v="6757"/>
    <s v="BR Minicups"/>
    <n v="9.7414362599999489"/>
    <n v="9.8522732999999647"/>
    <n v="7.4571017399999793"/>
    <n v="10.233127439999963"/>
    <n v="10.426440779999947"/>
    <n v="10.87964657999999"/>
    <n v="8.6092494599999956"/>
    <n v="9.0585089999999742"/>
    <n v="6.5145169799999962"/>
    <n v="6.7837437599999948"/>
    <n v="9.3050354399999851"/>
    <n v="6.7118620199999688"/>
    <n v="105.57294275999971"/>
    <n v="0"/>
    <m/>
    <m/>
    <m/>
    <n v="0"/>
    <n v="299.79408000000001"/>
    <m/>
    <e v="#DIV/0!"/>
    <n v="105.57294275999971"/>
    <x v="2"/>
  </r>
  <r>
    <x v="1"/>
    <n v="1717"/>
    <s v="FB Cones"/>
    <n v="84.96"/>
    <n v="84.96"/>
    <n v="169.92"/>
    <n v="84.96"/>
    <n v="169.92"/>
    <n v="169.92"/>
    <n v="169.92"/>
    <n v="84.96"/>
    <n v="84.96"/>
    <n v="84.96"/>
    <n v="84.96"/>
    <n v="84.96"/>
    <n v="1359.36"/>
    <n v="0"/>
    <n v="1359.36"/>
    <s v=""/>
    <m/>
    <n v="0"/>
    <n v="0"/>
    <m/>
    <e v="#DIV/0!"/>
    <n v="1359.36"/>
    <x v="2"/>
  </r>
  <r>
    <x v="13"/>
    <n v="1716"/>
    <s v="YS PTS"/>
    <n v="0"/>
    <n v="0"/>
    <n v="0"/>
    <n v="0"/>
    <n v="0"/>
    <n v="0"/>
    <n v="0"/>
    <n v="0"/>
    <n v="0"/>
    <n v="0"/>
    <n v="0"/>
    <n v="0"/>
    <n v="0"/>
    <n v="789.63048000000003"/>
    <n v="-789.63048000000003"/>
    <n v="-1"/>
    <m/>
    <n v="789.63048000000003"/>
    <n v="1052.2223999999999"/>
    <m/>
    <n v="-1"/>
    <n v="-789.63048000000003"/>
    <x v="2"/>
  </r>
  <r>
    <x v="4"/>
    <n v="1716"/>
    <s v="PT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2"/>
  </r>
  <r>
    <x v="2"/>
    <n v="1716"/>
    <s v="BJ PTS"/>
    <n v="0"/>
    <n v="0"/>
    <n v="0"/>
    <n v="0"/>
    <n v="0"/>
    <n v="0"/>
    <n v="0"/>
    <n v="0"/>
    <n v="0"/>
    <n v="0"/>
    <n v="0"/>
    <n v="0"/>
    <n v="0"/>
    <n v="2298.3197854719997"/>
    <n v="-2298.3197854719997"/>
    <n v="-1"/>
    <m/>
    <n v="2298.3197854719997"/>
    <n v="2298.3197854719997"/>
    <n v="0"/>
    <n v="-1"/>
    <n v="-2298.3197854719997"/>
    <x v="2"/>
  </r>
  <r>
    <x v="8"/>
    <n v="1716"/>
    <s v="BJ Bars"/>
    <n v="570"/>
    <n v="809.99999999999989"/>
    <n v="570"/>
    <n v="239.99999999999997"/>
    <n v="1619.9999999999998"/>
    <n v="719.99999999999989"/>
    <n v="479.99999999999994"/>
    <n v="2370"/>
    <n v="719.99999999999989"/>
    <n v="719.99999999999989"/>
    <n v="719.99999999999989"/>
    <n v="0"/>
    <n v="9540"/>
    <n v="911.99999999999989"/>
    <n v="8628"/>
    <n v="9.4605263157894743"/>
    <m/>
    <n v="911.99999999999989"/>
    <n v="1125.5999999999997"/>
    <m/>
    <n v="9.4605263157894743"/>
    <n v="8628"/>
    <x v="2"/>
  </r>
  <r>
    <x v="1"/>
    <n v="6757"/>
    <s v="YS Cup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m/>
    <e v="#DIV/0!"/>
    <n v="0"/>
    <x v="2"/>
  </r>
  <r>
    <x v="1"/>
    <s v="Glacier Point"/>
    <s v="Other"/>
    <n v="0"/>
    <n v="0"/>
    <n v="0"/>
    <n v="0"/>
    <n v="0"/>
    <n v="0"/>
    <n v="0"/>
    <n v="0"/>
    <n v="0"/>
    <n v="0"/>
    <n v="0"/>
    <n v="0"/>
    <n v="0"/>
    <n v="836.12090000000012"/>
    <n v="-836.12090000000012"/>
    <n v="-1"/>
    <m/>
    <n v="836.12090000000012"/>
    <n v="836.12090000000012"/>
    <n v="0"/>
    <n v="-1"/>
    <n v="-836.12090000000012"/>
    <x v="2"/>
  </r>
  <r>
    <x v="5"/>
    <m/>
    <m/>
    <m/>
    <m/>
    <m/>
    <m/>
    <m/>
    <m/>
    <m/>
    <m/>
    <m/>
    <m/>
    <m/>
    <m/>
    <m/>
    <m/>
    <m/>
    <m/>
    <m/>
    <m/>
    <m/>
    <m/>
    <m/>
    <m/>
    <x v="1"/>
  </r>
  <r>
    <x v="5"/>
    <m/>
    <s v="Imports/Others"/>
    <m/>
    <m/>
    <m/>
    <m/>
    <m/>
    <m/>
    <m/>
    <m/>
    <m/>
    <m/>
    <m/>
    <m/>
    <m/>
    <m/>
    <s v="Vs Last Cycle"/>
    <m/>
    <s v="Commentary"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n v="2024"/>
    <m/>
    <m/>
    <x v="1"/>
  </r>
  <r>
    <x v="1"/>
    <s v="St Iria"/>
    <s v="King Cone (PT)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3"/>
  </r>
  <r>
    <x v="11"/>
    <s v="St Iria"/>
    <s v="MG Stick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3"/>
  </r>
  <r>
    <x v="15"/>
    <s v="Tultitlan"/>
    <s v="PG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3"/>
  </r>
  <r>
    <x v="1"/>
    <s v="Tultitlan"/>
    <s v="Other"/>
    <n v="8.4353280000000002"/>
    <n v="9.1629120000000004"/>
    <n v="12.559008"/>
    <n v="14.133504"/>
    <n v="17.586624"/>
    <n v="16.549631999999946"/>
    <n v="17.385455999999948"/>
    <n v="14.066448000000001"/>
    <n v="12.46344"/>
    <n v="7.7230560000000006"/>
    <n v="8.172384000000001"/>
    <n v="7.8360480000000008"/>
    <n v="146.0738399999999"/>
    <n v="275.29872000000006"/>
    <n v="-129.22488000000016"/>
    <n v="-0.46939876800008418"/>
    <m/>
    <n v="275.29872000000006"/>
    <n v="341.91484000000008"/>
    <m/>
    <n v="-0.46939876800008418"/>
    <n v="-129.22488000000016"/>
    <x v="3"/>
  </r>
  <r>
    <x v="9"/>
    <s v="Tultitlan"/>
    <s v="KL Sandwiche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141.49199999999999"/>
    <e v="#DIV/0!"/>
    <n v="0"/>
    <x v="3"/>
  </r>
  <r>
    <x v="21"/>
    <s v="Tultitlan"/>
    <s v="KL Mini Cones"/>
    <n v="0"/>
    <n v="0"/>
    <n v="0"/>
    <n v="0"/>
    <n v="0"/>
    <n v="0"/>
    <n v="0"/>
    <n v="0"/>
    <n v="0"/>
    <n v="0"/>
    <n v="0"/>
    <n v="0"/>
    <n v="0"/>
    <n v="164.62987200000001"/>
    <n v="-164.62987200000001"/>
    <n v="-1"/>
    <m/>
    <n v="164.62987200000001"/>
    <n v="522.08200199999999"/>
    <n v="761.56300799999997"/>
    <n v="-1"/>
    <n v="-164.62987200000001"/>
    <x v="3"/>
  </r>
  <r>
    <x v="11"/>
    <s v="Tultitlan"/>
    <s v="MG Sticks"/>
    <n v="0"/>
    <n v="0"/>
    <n v="0"/>
    <n v="0"/>
    <n v="0"/>
    <n v="0"/>
    <n v="0"/>
    <n v="0"/>
    <n v="0"/>
    <n v="0"/>
    <n v="0"/>
    <n v="0"/>
    <n v="0"/>
    <n v="3.04488"/>
    <n v="-3.04488"/>
    <n v="-1"/>
    <m/>
    <n v="3.04488"/>
    <n v="3.04488"/>
    <n v="390.48677999999995"/>
    <n v="-1"/>
    <n v="-3.04488"/>
    <x v="3"/>
  </r>
  <r>
    <x v="6"/>
    <n v="3910"/>
    <s v="48oz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4"/>
  </r>
  <r>
    <x v="9"/>
    <n v="3910"/>
    <s v="ESS"/>
    <n v="0"/>
    <n v="0"/>
    <n v="0"/>
    <n v="18.232703999999998"/>
    <n v="186.76938240000001"/>
    <n v="211.95339540479998"/>
    <n v="348.1624194048"/>
    <n v="320.8546308096"/>
    <n v="96.617087999999995"/>
    <n v="94.472064000000017"/>
    <n v="111.632256"/>
    <n v="166.90789140479998"/>
    <n v="1555.601831424"/>
    <n v="1537.9289657087998"/>
    <n v="17.67286571520026"/>
    <n v="1.1491340698596701E-2"/>
    <m/>
    <n v="1537.9289657087998"/>
    <n v="1897.9767605376001"/>
    <n v="434.22489599999994"/>
    <n v="1.1491340698596808E-2"/>
    <n v="17.67286571520026"/>
    <x v="4"/>
  </r>
  <r>
    <x v="11"/>
    <n v="3910"/>
    <s v="MG Sticks"/>
    <n v="0"/>
    <n v="0"/>
    <n v="0"/>
    <n v="0"/>
    <n v="0"/>
    <n v="0"/>
    <n v="0"/>
    <n v="0"/>
    <n v="0"/>
    <n v="0"/>
    <n v="0"/>
    <n v="0"/>
    <n v="0"/>
    <n v="16.335432000000001"/>
    <n v="-16.335432000000001"/>
    <n v="-1"/>
    <m/>
    <n v="16.335432000000001"/>
    <n v="16.335432000000001"/>
    <n v="118.88748000000001"/>
    <n v="-1"/>
    <n v="-16.335432000000001"/>
    <x v="4"/>
  </r>
  <r>
    <x v="15"/>
    <n v="3910"/>
    <s v="PG"/>
    <n v="0"/>
    <n v="0"/>
    <n v="0"/>
    <n v="0"/>
    <n v="0"/>
    <n v="0"/>
    <n v="0"/>
    <n v="0"/>
    <n v="0"/>
    <n v="0"/>
    <n v="0"/>
    <n v="0"/>
    <n v="0"/>
    <n v="91.441944000000007"/>
    <n v="-91.441944000000007"/>
    <n v="-1"/>
    <m/>
    <n v="91.441944000000007"/>
    <n v="91.441944000000007"/>
    <n v="60.197435999999996"/>
    <n v="-1"/>
    <n v="-91.441944000000007"/>
    <x v="4"/>
  </r>
  <r>
    <x v="16"/>
    <n v="3910"/>
    <s v="EFW"/>
    <n v="0"/>
    <n v="0"/>
    <n v="194.89892351999998"/>
    <n v="194.89892351999998"/>
    <n v="194.89892351999998"/>
    <n v="194.89892351999998"/>
    <n v="194.89892351999998"/>
    <n v="194.72358695999966"/>
    <n v="156.89037503999967"/>
    <n v="126.38727191999966"/>
    <n v="0"/>
    <n v="0"/>
    <n v="1452.495851519999"/>
    <n v="0"/>
    <n v="1452.495851519999"/>
    <s v=""/>
    <m/>
    <n v="0"/>
    <n v="0"/>
    <n v="918.63106407433099"/>
    <e v="#DIV/0!"/>
    <n v="1452.495851519999"/>
    <x v="4"/>
  </r>
  <r>
    <x v="11"/>
    <s v="Heppenheim"/>
    <s v="MG Stick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3"/>
  </r>
  <r>
    <x v="2"/>
    <n v="3910"/>
    <s v="BJ PTS"/>
    <n v="0"/>
    <n v="0"/>
    <n v="0"/>
    <n v="0"/>
    <n v="0"/>
    <n v="0"/>
    <n v="0"/>
    <n v="0"/>
    <n v="0"/>
    <n v="0"/>
    <n v="0"/>
    <n v="0"/>
    <n v="0"/>
    <n v="438.38018399999999"/>
    <n v="-438.38018399999999"/>
    <n v="-1"/>
    <m/>
    <n v="438.38018399999999"/>
    <n v="438.38018399999999"/>
    <n v="1160.4090079999999"/>
    <n v="-1"/>
    <n v="-438.38018399999999"/>
    <x v="4"/>
  </r>
  <r>
    <x v="15"/>
    <s v="GDI"/>
    <s v="PG"/>
    <n v="1108.4687861361933"/>
    <n v="1029.2924442693222"/>
    <n v="1108.4687861361933"/>
    <n v="1068.8806152027578"/>
    <n v="1108.4687861361933"/>
    <n v="1068.8806152027578"/>
    <n v="1108.4687861361933"/>
    <n v="1.5916157281026244E-12"/>
    <n v="2.0463630789890885E-12"/>
    <n v="5.0995322441673386E-3"/>
    <n v="5.0995322441673386E-3"/>
    <n v="5.0995322441673386E-3"/>
    <n v="7600.9441178163488"/>
    <n v="15986.291826899991"/>
    <n v="-8385.3477090836423"/>
    <n v="-0.52453363168146927"/>
    <m/>
    <n v="15986.291826899991"/>
    <n v="16111.312525199994"/>
    <n v="8561.9090519999918"/>
    <n v="-0.52453363168146927"/>
    <n v="-8385.3477090836423"/>
    <x v="3"/>
  </r>
  <r>
    <x v="1"/>
    <s v="Tula"/>
    <s v="Cyclone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3"/>
  </r>
  <r>
    <x v="21"/>
    <s v="Tula"/>
    <s v="KL Mini Cone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3"/>
  </r>
  <r>
    <x v="1"/>
    <s v="Gloucester"/>
    <s v="MG Sticks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0"/>
    <e v="#DIV/0!"/>
    <n v="0"/>
    <x v="3"/>
  </r>
  <r>
    <x v="1"/>
    <s v="Caivano"/>
    <s v="MG Sticks ND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51.747300000000003"/>
    <e v="#DIV/0!"/>
    <n v="0"/>
    <x v="3"/>
  </r>
  <r>
    <x v="21"/>
    <s v="Turkey"/>
    <s v="KL Mini Cones"/>
    <n v="613.56980399999998"/>
    <n v="139.67827199999999"/>
    <n v="67.388639999999995"/>
    <n v="84.235799999999998"/>
    <n v="72.289631999999997"/>
    <n v="406.47602400000005"/>
    <n v="275.52764400000001"/>
    <n v="67.388639999999995"/>
    <n v="0"/>
    <n v="275.52764400000001"/>
    <n v="67.388639999999995"/>
    <n v="0"/>
    <n v="2069.4707399999998"/>
    <n v="2270.4480239999998"/>
    <n v="-200.97728400000005"/>
    <n v="-8.8518777737058685E-2"/>
    <m/>
    <n v="2270.4480239999998"/>
    <n v="1903.0294319999998"/>
    <n v="3611.2656239999997"/>
    <n v="-8.8518777737058629E-2"/>
    <n v="-200.97728400000005"/>
    <x v="3"/>
  </r>
  <r>
    <x v="1"/>
    <s v="Turkey"/>
    <s v="Other"/>
    <n v="0"/>
    <n v="0"/>
    <n v="0"/>
    <n v="0"/>
    <n v="82.291200000000003"/>
    <n v="14.361599999999999"/>
    <n v="6.7583999999999982"/>
    <n v="9.2927999999999997"/>
    <n v="4.2239999999999993"/>
    <n v="4.2239999999999993"/>
    <n v="6.3359999999999985"/>
    <n v="0"/>
    <n v="127.488"/>
    <n v="247.82975999999996"/>
    <n v="-120.34175999999997"/>
    <n v="-0.48558236105300662"/>
    <m/>
    <n v="247.82975999999996"/>
    <n v="236.16767999999996"/>
    <n v="154.06847999999994"/>
    <n v="-0.48558236105300667"/>
    <n v="-120.34175999999997"/>
    <x v="3"/>
  </r>
  <r>
    <x v="22"/>
    <s v="Incom"/>
    <s v="Facepieces"/>
    <n v="1414.2217920000001"/>
    <n v="520.20399599999996"/>
    <n v="888.66665188000002"/>
    <n v="888.66665188000002"/>
    <n v="888.66665188000002"/>
    <n v="444.33334811999998"/>
    <n v="444.33334811999998"/>
    <n v="444.33334811999998"/>
    <n v="444.33334811999998"/>
    <n v="444.33334811999998"/>
    <n v="444.33334811999998"/>
    <n v="999.75000000000011"/>
    <n v="8266.1758323599988"/>
    <n v="10422.617143777778"/>
    <n v="-2156.4413114177787"/>
    <n v="-0.20690017503954442"/>
    <m/>
    <n v="10422.617143777778"/>
    <n v="9878.3231179999984"/>
    <n v="11553.296100000009"/>
    <n v="-0.20690017503954439"/>
    <n v="-2156.4413114177787"/>
    <x v="3"/>
  </r>
  <r>
    <x v="5"/>
    <m/>
    <s v="Total Others"/>
    <n v="3144.6957101361932"/>
    <n v="1698.3376242693223"/>
    <n v="2271.9820095361933"/>
    <n v="2269.048198602758"/>
    <n v="2550.9711999361934"/>
    <n v="2357.4535382475578"/>
    <n v="2395.5349771809933"/>
    <n v="1050.6594538896013"/>
    <n v="714.52825116000167"/>
    <n v="952.67248357224389"/>
    <n v="637.86772765224418"/>
    <n v="1174.4990389370444"/>
    <n v="21218.250213120347"/>
    <n v="31454.246752386571"/>
    <n v="-10235.996539266223"/>
    <n v="-0.3254249456312151"/>
    <m/>
    <n v="31454.246752386571"/>
    <n v="31440.008797737588"/>
    <n v="27776.68622807433"/>
    <n v="-0.32542494563121505"/>
    <n v="-10235.996539266223"/>
    <x v="1"/>
  </r>
  <r>
    <x v="5"/>
    <m/>
    <m/>
    <m/>
    <m/>
    <m/>
    <m/>
    <m/>
    <m/>
    <m/>
    <m/>
    <m/>
    <m/>
    <m/>
    <m/>
    <m/>
    <m/>
    <m/>
    <m/>
    <m/>
    <m/>
    <m/>
    <m/>
    <m/>
    <m/>
    <x v="1"/>
  </r>
  <r>
    <x v="5"/>
    <m/>
    <s v="IC TOTAL"/>
    <n v="47443.944372214057"/>
    <n v="51496.557421271827"/>
    <n v="55809.288653718948"/>
    <n v="53116.77944514469"/>
    <n v="54551.529948713665"/>
    <n v="49610.879380949445"/>
    <n v="51961.443747251033"/>
    <n v="54594.098756040876"/>
    <n v="44167.533467571469"/>
    <n v="46019.87193950967"/>
    <n v="31872.455687610265"/>
    <n v="25773.913212117503"/>
    <n v="566418.29603211349"/>
    <n v="562097.25979334861"/>
    <n v="4321.0362387648784"/>
    <n v="7.6873462082940576E-3"/>
    <m/>
    <n v="562097.25979334861"/>
    <n v="564117.66707023547"/>
    <n v="544362.46205556591"/>
    <n v="7.6873462082940325E-3"/>
    <n v="3745.5517357650001"/>
    <x v="1"/>
  </r>
  <r>
    <x v="5"/>
    <m/>
    <s v="IC TOTAL UL US Plants"/>
    <n v="40188.042114817865"/>
    <n v="44750.314011202507"/>
    <n v="48497.350007942761"/>
    <n v="46188.921497601928"/>
    <n v="45282.528380997472"/>
    <n v="41775.026578121899"/>
    <n v="43973.149343110032"/>
    <n v="46568.964611651274"/>
    <n v="37956.612009431461"/>
    <n v="40212.287525177424"/>
    <n v="28674.686467018022"/>
    <n v="22850.138457160458"/>
    <n v="486918.0210042331"/>
    <n v="478288.81565502589"/>
    <n v="8629.2053492072155"/>
    <n v="1.8041829678558028E-2"/>
    <m/>
    <n v="478288.81565502589"/>
    <n v="479770.26640246192"/>
    <n v="476274.76352893165"/>
    <n v="1.8041829678558052E-2"/>
    <n v="8629.2053492072155"/>
    <x v="1"/>
  </r>
  <r>
    <x v="5"/>
    <m/>
    <m/>
    <m/>
    <m/>
    <m/>
    <m/>
    <m/>
    <m/>
    <m/>
    <m/>
    <m/>
    <m/>
    <m/>
    <m/>
    <m/>
    <m/>
    <m/>
    <m/>
    <m/>
    <m/>
    <m/>
    <m/>
    <m/>
    <m/>
    <x v="1"/>
  </r>
  <r>
    <x v="5"/>
    <m/>
    <s v="Repack "/>
    <m/>
    <m/>
    <m/>
    <m/>
    <m/>
    <m/>
    <m/>
    <m/>
    <m/>
    <m/>
    <m/>
    <m/>
    <m/>
    <m/>
    <s v="Vs Last Cycle"/>
    <m/>
    <s v="Commentary"/>
    <m/>
    <m/>
    <m/>
    <m/>
    <m/>
    <x v="1"/>
  </r>
  <r>
    <x v="5"/>
    <m/>
    <s v="Row Labels"/>
    <s v="Jan"/>
    <s v="Feb"/>
    <s v="Mar"/>
    <s v="Apr"/>
    <s v="May"/>
    <s v="Jun"/>
    <s v="Jul"/>
    <s v="Aug"/>
    <s v="Sep"/>
    <s v="Oct"/>
    <s v="Nov"/>
    <s v="Dec"/>
    <s v="2026 MRF8"/>
    <s v="2025 MRF8"/>
    <s v="Difference"/>
    <s v="% change"/>
    <m/>
    <s v="2025 MRF8"/>
    <s v="2025 MRF7"/>
    <n v="2024"/>
    <m/>
    <m/>
    <x v="1"/>
  </r>
  <r>
    <x v="1"/>
    <n v="3985"/>
    <s v="Repack BJ Pints"/>
    <n v="0"/>
    <n v="0"/>
    <n v="0"/>
    <n v="0"/>
    <n v="0"/>
    <n v="0"/>
    <n v="0"/>
    <n v="0"/>
    <n v="0"/>
    <n v="0"/>
    <n v="0"/>
    <n v="0"/>
    <n v="0"/>
    <n v="25.541999999999998"/>
    <m/>
    <n v="0"/>
    <m/>
    <n v="25.541999999999998"/>
    <n v="58.617943999999994"/>
    <n v="0"/>
    <n v="-1"/>
    <n v="-25.541999999999998"/>
    <x v="2"/>
  </r>
  <r>
    <x v="1"/>
    <n v="3985"/>
    <s v="Repack BR P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3985"/>
    <s v="Other"/>
    <n v="0"/>
    <n v="0"/>
    <n v="0"/>
    <n v="0"/>
    <n v="0"/>
    <n v="0"/>
    <n v="0"/>
    <n v="0"/>
    <n v="0"/>
    <n v="0"/>
    <n v="0"/>
    <n v="0"/>
    <n v="0"/>
    <n v="303.54844799999995"/>
    <m/>
    <n v="0"/>
    <m/>
    <n v="303.54844799999995"/>
    <n v="0"/>
    <n v="0"/>
    <n v="-1"/>
    <n v="-303.54844799999995"/>
    <x v="2"/>
  </r>
  <r>
    <x v="1"/>
    <n v="3985"/>
    <s v="Repack EDF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3985"/>
    <s v="Repack EFW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3985"/>
    <s v="Repack GH Variety Pack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3985"/>
    <s v="Repack MG PT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3985"/>
    <s v="Repack MG Sticks"/>
    <n v="23.955000000000002"/>
    <n v="19.670000000000002"/>
    <n v="26.09"/>
    <n v="20.660000000000004"/>
    <n v="13.18"/>
    <n v="7.1400000000000006"/>
    <n v="20.87"/>
    <n v="13.07"/>
    <n v="6.48"/>
    <n v="14.72"/>
    <n v="22.68"/>
    <n v="3.24"/>
    <n v="191.755"/>
    <n v="246.39405500000001"/>
    <n v="-54.639055000000013"/>
    <n v="-0.22175476189959215"/>
    <m/>
    <n v="246.39405500000001"/>
    <n v="238.78066500000006"/>
    <n v="278"/>
    <n v="-0.22175476189959209"/>
    <n v="-54.639055000000013"/>
    <x v="2"/>
  </r>
  <r>
    <x v="1"/>
    <n v="3985"/>
    <s v="Repack MBG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3985"/>
    <s v="Repack Talenti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3985"/>
    <s v="B&amp;J Dog Treat - Repack"/>
    <n v="0"/>
    <n v="0"/>
    <n v="0"/>
    <n v="0"/>
    <n v="0"/>
    <n v="0"/>
    <n v="0"/>
    <n v="0"/>
    <n v="0"/>
    <n v="0"/>
    <n v="0"/>
    <n v="0"/>
    <n v="0"/>
    <n v="0"/>
    <n v="0"/>
    <s v=""/>
    <m/>
    <n v="0"/>
    <n v="0"/>
    <n v="376"/>
    <e v="#DIV/0!"/>
    <n v="0"/>
    <x v="2"/>
  </r>
  <r>
    <x v="1"/>
    <n v="3985"/>
    <s v="Repack KL Pouche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1"/>
    <n v="1421"/>
    <s v="Repack KL Pouches"/>
    <n v="0"/>
    <n v="0"/>
    <n v="0"/>
    <n v="0"/>
    <n v="0"/>
    <n v="0"/>
    <n v="0"/>
    <n v="0"/>
    <n v="0"/>
    <n v="0"/>
    <n v="0"/>
    <n v="0"/>
    <n v="0"/>
    <n v="0"/>
    <m/>
    <s v=""/>
    <m/>
    <n v="0"/>
    <n v="0"/>
    <n v="0"/>
    <e v="#DIV/0!"/>
    <n v="0"/>
    <x v="2"/>
  </r>
  <r>
    <x v="5"/>
    <m/>
    <s v="Total Repack"/>
    <n v="23.955000000000002"/>
    <n v="19.670000000000002"/>
    <n v="26.09"/>
    <n v="20.660000000000004"/>
    <n v="13.18"/>
    <n v="7.1400000000000006"/>
    <n v="20.87"/>
    <n v="13.07"/>
    <n v="6.48"/>
    <n v="14.72"/>
    <n v="22.68"/>
    <n v="3.24"/>
    <n v="191.755"/>
    <n v="575.4845029999999"/>
    <n v="-54.639055000000013"/>
    <n v="-9.4944441970490429E-2"/>
    <m/>
    <n v="575.4845029999999"/>
    <n v="297.39860900000008"/>
    <n v="689.22648931200001"/>
    <n v="-0.66679380765184559"/>
    <n v="-383.72950299999991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60">
  <r>
    <n v="68817796"/>
    <x v="0"/>
    <n v="46"/>
    <d v="2026-01-03T00:00:00"/>
    <s v="BR XCRMY Vanilla 6 1.5QT"/>
    <x v="0"/>
    <n v="8.513999999999999E-3"/>
    <n v="176"/>
    <x v="0"/>
    <x v="0"/>
    <n v="1"/>
    <n v="46"/>
    <n v="0.39164399999999994"/>
    <n v="0.26136363636363635"/>
    <s v="Jan"/>
    <x v="0"/>
    <m/>
    <m/>
  </r>
  <r>
    <n v="68851107"/>
    <x v="1"/>
    <n v="1056"/>
    <d v="2026-01-03T00:00:00"/>
    <s v="BR NAT Vanilla 6-1.5QT"/>
    <x v="1"/>
    <n v="8.5199999999999998E-3"/>
    <n v="176"/>
    <x v="0"/>
    <x v="1"/>
    <n v="1"/>
    <n v="1056"/>
    <n v="8.9971199999999989"/>
    <n v="6"/>
    <s v="Jan"/>
    <x v="0"/>
    <m/>
    <m/>
  </r>
  <r>
    <n v="68689251"/>
    <x v="0"/>
    <n v="1276"/>
    <d v="2026-01-03T00:00:00"/>
    <s v="KL Original Vanilla Bar 12-6PK"/>
    <x v="2"/>
    <n v="9.5760000000000012E-3"/>
    <n v="132"/>
    <x v="1"/>
    <x v="2"/>
    <n v="1"/>
    <n v="1276"/>
    <n v="12.218976000000001"/>
    <n v="9.6666666666666661"/>
    <s v="Jan"/>
    <x v="0"/>
    <m/>
    <m/>
  </r>
  <r>
    <n v="68851104"/>
    <x v="1"/>
    <n v="1408"/>
    <d v="2026-01-03T00:00:00"/>
    <s v="BR Chocolate 6-1.5QT"/>
    <x v="3"/>
    <n v="8.5199999999999998E-3"/>
    <n v="176"/>
    <x v="0"/>
    <x v="1"/>
    <n v="1"/>
    <n v="1408"/>
    <n v="11.99616"/>
    <n v="8"/>
    <s v="Jan"/>
    <x v="0"/>
    <m/>
    <m/>
  </r>
  <r>
    <n v="68921994"/>
    <x v="0"/>
    <n v="1452"/>
    <d v="2026-01-03T00:00:00"/>
    <s v="KL Dark Chocolate Bar 12-6PK"/>
    <x v="4"/>
    <n v="9.5760000000000012E-3"/>
    <n v="132"/>
    <x v="1"/>
    <x v="2"/>
    <n v="1"/>
    <n v="1452"/>
    <n v="13.904352000000001"/>
    <n v="11"/>
    <s v="Jan"/>
    <x v="0"/>
    <m/>
    <m/>
  </r>
  <r>
    <n v="64988056"/>
    <x v="1"/>
    <n v="1661"/>
    <d v="2026-01-03T00:00:00"/>
    <s v="BR Butter Pecan 6 1.5QT"/>
    <x v="5"/>
    <n v="8.513999999999999E-3"/>
    <n v="176"/>
    <x v="0"/>
    <x v="1"/>
    <n v="1"/>
    <n v="1661"/>
    <n v="14.141753999999999"/>
    <n v="9.4375"/>
    <s v="Jan"/>
    <x v="0"/>
    <m/>
    <m/>
  </r>
  <r>
    <n v="68851109"/>
    <x v="0"/>
    <n v="1848"/>
    <d v="2026-01-03T00:00:00"/>
    <s v="BR HA Chocolate 6-1.5QT"/>
    <x v="6"/>
    <n v="8.5199999999999998E-3"/>
    <n v="154"/>
    <x v="0"/>
    <x v="0"/>
    <n v="1"/>
    <n v="1848"/>
    <n v="15.744959999999999"/>
    <n v="12"/>
    <s v="Jan"/>
    <x v="0"/>
    <m/>
    <m/>
  </r>
  <r>
    <n v="68896054"/>
    <x v="0"/>
    <n v="1936"/>
    <d v="2026-01-03T00:00:00"/>
    <s v="BR Chocolate Chip Cookie Dough 6 1.5QT"/>
    <x v="7"/>
    <n v="8.5199999999999998E-3"/>
    <n v="176"/>
    <x v="0"/>
    <x v="0"/>
    <n v="1"/>
    <n v="1936"/>
    <n v="16.494720000000001"/>
    <n v="11"/>
    <s v="Jan"/>
    <x v="0"/>
    <m/>
    <m/>
  </r>
  <r>
    <n v="68922108"/>
    <x v="1"/>
    <n v="2295"/>
    <d v="2026-01-03T00:00:00"/>
    <s v="Talenti Caramel Cookie Crunch 8 1PT"/>
    <x v="8"/>
    <n v="3.7839999999999996E-3"/>
    <n v="255"/>
    <x v="2"/>
    <x v="3"/>
    <n v="1"/>
    <n v="2295"/>
    <n v="8.6842799999999993"/>
    <n v="9"/>
    <s v="Jan"/>
    <x v="0"/>
    <m/>
    <m/>
  </r>
  <r>
    <n v="68867755"/>
    <x v="1"/>
    <n v="2550"/>
    <d v="2026-01-03T00:00:00"/>
    <s v="Talenti LY Salted CAR Truffle 8 323.1g"/>
    <x v="9"/>
    <n v="3.552E-3"/>
    <n v="255"/>
    <x v="2"/>
    <x v="3"/>
    <n v="1"/>
    <n v="2550"/>
    <n v="9.0576000000000008"/>
    <n v="10"/>
    <s v="Jan"/>
    <x v="0"/>
    <m/>
    <m/>
  </r>
  <r>
    <n v="68851107"/>
    <x v="1"/>
    <n v="3603"/>
    <d v="2026-01-03T00:00:00"/>
    <s v="BR NAT Vanilla 6-1.5QT"/>
    <x v="1"/>
    <n v="8.5199999999999998E-3"/>
    <n v="176"/>
    <x v="0"/>
    <x v="1"/>
    <n v="1"/>
    <n v="3603"/>
    <n v="30.697559999999999"/>
    <n v="20.47159090909091"/>
    <s v="Jan"/>
    <x v="0"/>
    <m/>
    <m/>
  </r>
  <r>
    <n v="84137725"/>
    <x v="2"/>
    <n v="4800"/>
    <d v="2026-01-03T00:00:00"/>
    <s v="BJ US-IC-CherryGarcia-FTNG-8 1PT"/>
    <x v="10"/>
    <n v="3.7853439999999999E-3"/>
    <n v="240"/>
    <x v="3"/>
    <x v="4"/>
    <n v="1"/>
    <n v="4800"/>
    <n v="18.169651200000001"/>
    <n v="20"/>
    <s v="Jan"/>
    <x v="0"/>
    <m/>
    <m/>
  </r>
  <r>
    <n v="64958125"/>
    <x v="1"/>
    <n v="4950"/>
    <d v="2026-01-03T00:00:00"/>
    <s v="Yasso Chocolate Fudge 8-4pk"/>
    <x v="11"/>
    <n v="3.3119999999999998E-3"/>
    <n v="165"/>
    <x v="4"/>
    <x v="5"/>
    <n v="1"/>
    <n v="4950"/>
    <n v="16.394400000000001"/>
    <n v="30"/>
    <s v="Jan"/>
    <x v="0"/>
    <m/>
    <m/>
  </r>
  <r>
    <n v="68737750"/>
    <x v="0"/>
    <n v="984"/>
    <d v="2026-01-04T00:00:00"/>
    <s v="BR CO-B Reeses 6 1.5QT"/>
    <x v="12"/>
    <n v="8.5199999999999998E-3"/>
    <n v="176"/>
    <x v="0"/>
    <x v="0"/>
    <n v="1"/>
    <n v="984"/>
    <n v="8.38368"/>
    <n v="5.5909090909090908"/>
    <s v="Jan"/>
    <x v="1"/>
    <m/>
    <m/>
  </r>
  <r>
    <n v="64979407"/>
    <x v="1"/>
    <n v="1001"/>
    <d v="2026-01-04T00:00:00"/>
    <s v="BR Reeses PB Carbsmart Bar 8-6PK"/>
    <x v="13"/>
    <n v="4.2560000000000002E-3"/>
    <n v="143"/>
    <x v="5"/>
    <x v="6"/>
    <n v="1"/>
    <n v="1001"/>
    <n v="4.260256"/>
    <n v="7"/>
    <s v="Jan"/>
    <x v="1"/>
    <m/>
    <m/>
  </r>
  <r>
    <n v="64988056"/>
    <x v="1"/>
    <n v="1051"/>
    <d v="2026-01-04T00:00:00"/>
    <s v="BR Butter Pecan 6 1.5QT"/>
    <x v="5"/>
    <n v="8.513999999999999E-3"/>
    <n v="176"/>
    <x v="0"/>
    <x v="1"/>
    <n v="1"/>
    <n v="1051"/>
    <n v="8.9482139999999983"/>
    <n v="5.9715909090909092"/>
    <s v="Jan"/>
    <x v="1"/>
    <m/>
    <m/>
  </r>
  <r>
    <n v="68851109"/>
    <x v="0"/>
    <n v="1903"/>
    <d v="2026-01-04T00:00:00"/>
    <s v="BR HA Chocolate 6-1.5QT"/>
    <x v="6"/>
    <n v="8.5199999999999998E-3"/>
    <n v="154"/>
    <x v="0"/>
    <x v="0"/>
    <n v="1"/>
    <n v="1903"/>
    <n v="16.213560000000001"/>
    <n v="12.357142857142858"/>
    <s v="Jan"/>
    <x v="1"/>
    <m/>
    <m/>
  </r>
  <r>
    <n v="68689251"/>
    <x v="0"/>
    <n v="2376"/>
    <d v="2026-01-04T00:00:00"/>
    <s v="KL Original Vanilla Bar 12-6PK"/>
    <x v="2"/>
    <n v="9.5760000000000012E-3"/>
    <n v="132"/>
    <x v="1"/>
    <x v="2"/>
    <n v="1"/>
    <n v="2376"/>
    <n v="22.752576000000001"/>
    <n v="18"/>
    <s v="Jan"/>
    <x v="1"/>
    <m/>
    <m/>
  </r>
  <r>
    <n v="68737750"/>
    <x v="0"/>
    <n v="2464"/>
    <d v="2026-01-04T00:00:00"/>
    <s v="BR CO-B Reeses 6 1.5QT"/>
    <x v="12"/>
    <n v="8.5199999999999998E-3"/>
    <n v="176"/>
    <x v="0"/>
    <x v="0"/>
    <n v="1"/>
    <n v="2464"/>
    <n v="20.993279999999999"/>
    <n v="14"/>
    <s v="Jan"/>
    <x v="1"/>
    <m/>
    <m/>
  </r>
  <r>
    <n v="68921994"/>
    <x v="0"/>
    <n v="2508"/>
    <d v="2026-01-04T00:00:00"/>
    <s v="KL Dark Chocolate Bar 12-6PK"/>
    <x v="4"/>
    <n v="9.5760000000000012E-3"/>
    <n v="132"/>
    <x v="1"/>
    <x v="2"/>
    <n v="1"/>
    <n v="2508"/>
    <n v="24.016608000000002"/>
    <n v="19"/>
    <s v="Jan"/>
    <x v="1"/>
    <m/>
    <m/>
  </r>
  <r>
    <n v="64988056"/>
    <x v="1"/>
    <n v="2640"/>
    <d v="2026-01-04T00:00:00"/>
    <s v="BR Butter Pecan 6 1.5QT"/>
    <x v="5"/>
    <n v="8.513999999999999E-3"/>
    <n v="176"/>
    <x v="0"/>
    <x v="1"/>
    <n v="1"/>
    <n v="2640"/>
    <n v="22.476959999999998"/>
    <n v="15"/>
    <s v="Jan"/>
    <x v="1"/>
    <m/>
    <m/>
  </r>
  <r>
    <n v="64958125"/>
    <x v="1"/>
    <n v="2818"/>
    <d v="2026-01-04T00:00:00"/>
    <s v="Yasso Chocolate Fudge 8-4pk"/>
    <x v="11"/>
    <n v="3.3119999999999998E-3"/>
    <n v="165"/>
    <x v="4"/>
    <x v="5"/>
    <n v="1"/>
    <n v="2818"/>
    <n v="9.3332160000000002"/>
    <n v="17.078787878787878"/>
    <s v="Jan"/>
    <x v="1"/>
    <m/>
    <m/>
  </r>
  <r>
    <n v="84137725"/>
    <x v="2"/>
    <n v="2838"/>
    <d v="2026-01-04T00:00:00"/>
    <s v="BJ US-IC-CherryGarcia-FTNG-8 1PT"/>
    <x v="10"/>
    <n v="3.7853439999999999E-3"/>
    <n v="240"/>
    <x v="3"/>
    <x v="4"/>
    <n v="1"/>
    <n v="2838"/>
    <n v="10.742806271999999"/>
    <n v="11.824999999999999"/>
    <s v="Jan"/>
    <x v="1"/>
    <m/>
    <m/>
  </r>
  <r>
    <n v="68851104"/>
    <x v="0"/>
    <n v="2901"/>
    <d v="2026-01-04T00:00:00"/>
    <s v="BR Chocolate 6-1.5QT"/>
    <x v="6"/>
    <n v="8.5199999999999998E-3"/>
    <n v="176"/>
    <x v="0"/>
    <x v="0"/>
    <n v="1"/>
    <n v="2901"/>
    <n v="24.716519999999999"/>
    <n v="16.482954545454547"/>
    <s v="Jan"/>
    <x v="1"/>
    <m/>
    <m/>
  </r>
  <r>
    <n v="68817796"/>
    <x v="0"/>
    <n v="3300"/>
    <d v="2026-01-04T00:00:00"/>
    <s v="BR XCRMY Vanilla 6 1.5QT"/>
    <x v="0"/>
    <n v="8.513999999999999E-3"/>
    <n v="176"/>
    <x v="0"/>
    <x v="0"/>
    <n v="1"/>
    <n v="3300"/>
    <n v="28.096199999999996"/>
    <n v="18.75"/>
    <s v="Jan"/>
    <x v="1"/>
    <m/>
    <m/>
  </r>
  <r>
    <n v="68851104"/>
    <x v="0"/>
    <n v="3344"/>
    <d v="2026-01-04T00:00:00"/>
    <s v="BR Chocolate 6-1.5QT"/>
    <x v="6"/>
    <n v="8.5199999999999998E-3"/>
    <n v="176"/>
    <x v="0"/>
    <x v="0"/>
    <n v="1"/>
    <n v="3344"/>
    <n v="28.490880000000001"/>
    <n v="19"/>
    <s v="Jan"/>
    <x v="1"/>
    <m/>
    <m/>
  </r>
  <r>
    <n v="68896054"/>
    <x v="0"/>
    <n v="3344"/>
    <d v="2026-01-04T00:00:00"/>
    <s v="BR Chocolate Chip Cookie Dough 6 1.5QT"/>
    <x v="7"/>
    <n v="8.5199999999999998E-3"/>
    <n v="176"/>
    <x v="0"/>
    <x v="0"/>
    <n v="1"/>
    <n v="3344"/>
    <n v="28.490880000000001"/>
    <n v="19"/>
    <s v="Jan"/>
    <x v="1"/>
    <m/>
    <m/>
  </r>
  <r>
    <n v="68689251"/>
    <x v="0"/>
    <n v="3982"/>
    <d v="2026-01-04T00:00:00"/>
    <s v="KL Original Vanilla Bar 12-6PK"/>
    <x v="2"/>
    <n v="9.5760000000000012E-3"/>
    <n v="132"/>
    <x v="1"/>
    <x v="2"/>
    <n v="1"/>
    <n v="3982"/>
    <n v="38.131632000000003"/>
    <n v="30.166666666666668"/>
    <s v="Jan"/>
    <x v="1"/>
    <m/>
    <m/>
  </r>
  <r>
    <n v="68921994"/>
    <x v="0"/>
    <n v="4025"/>
    <d v="2026-01-04T00:00:00"/>
    <s v="KL Dark Chocolate Bar 12-6PK"/>
    <x v="4"/>
    <n v="9.5760000000000012E-3"/>
    <n v="132"/>
    <x v="1"/>
    <x v="2"/>
    <n v="1"/>
    <n v="4025"/>
    <n v="38.543400000000005"/>
    <n v="30.492424242424242"/>
    <s v="Jan"/>
    <x v="1"/>
    <m/>
    <m/>
  </r>
  <r>
    <n v="64958125"/>
    <x v="1"/>
    <n v="4767"/>
    <d v="2026-01-04T00:00:00"/>
    <s v="Yasso Chocolate Fudge 8-4pk"/>
    <x v="11"/>
    <n v="3.3119999999999998E-3"/>
    <n v="165"/>
    <x v="4"/>
    <x v="5"/>
    <n v="1"/>
    <n v="4767"/>
    <n v="15.788304"/>
    <n v="28.890909090909091"/>
    <s v="Jan"/>
    <x v="1"/>
    <m/>
    <m/>
  </r>
  <r>
    <n v="68851104"/>
    <x v="1"/>
    <n v="4928"/>
    <d v="2026-01-04T00:00:00"/>
    <s v="BR Chocolate 6-1.5QT"/>
    <x v="3"/>
    <n v="8.5199999999999998E-3"/>
    <n v="176"/>
    <x v="0"/>
    <x v="1"/>
    <n v="1"/>
    <n v="4928"/>
    <n v="41.986559999999997"/>
    <n v="28"/>
    <s v="Jan"/>
    <x v="1"/>
    <m/>
    <m/>
  </r>
  <r>
    <n v="68867755"/>
    <x v="1"/>
    <n v="5355"/>
    <d v="2026-01-04T00:00:00"/>
    <s v="Talenti LY Salted CAR Truffle 8 323.1g"/>
    <x v="9"/>
    <n v="3.552E-3"/>
    <n v="255"/>
    <x v="2"/>
    <x v="3"/>
    <n v="1"/>
    <n v="5355"/>
    <n v="19.020959999999999"/>
    <n v="21"/>
    <s v="Jan"/>
    <x v="1"/>
    <m/>
    <m/>
  </r>
  <r>
    <n v="68896054"/>
    <x v="0"/>
    <n v="5503"/>
    <d v="2026-01-04T00:00:00"/>
    <s v="BR Chocolate Chip Cookie Dough 6 1.5QT"/>
    <x v="7"/>
    <n v="8.5199999999999998E-3"/>
    <n v="176"/>
    <x v="0"/>
    <x v="0"/>
    <n v="1"/>
    <n v="5503"/>
    <n v="46.885559999999998"/>
    <n v="31.267045454545453"/>
    <s v="Jan"/>
    <x v="1"/>
    <m/>
    <m/>
  </r>
  <r>
    <n v="68867755"/>
    <x v="1"/>
    <n v="5993"/>
    <d v="2026-01-04T00:00:00"/>
    <s v="Talenti LY Salted CAR Truffle 8 323.1g"/>
    <x v="9"/>
    <n v="3.552E-3"/>
    <n v="255"/>
    <x v="2"/>
    <x v="3"/>
    <n v="1"/>
    <n v="5993"/>
    <n v="21.287136"/>
    <n v="23.501960784313727"/>
    <s v="Jan"/>
    <x v="1"/>
    <m/>
    <m/>
  </r>
  <r>
    <n v="68851104"/>
    <x v="1"/>
    <n v="6416"/>
    <d v="2026-01-04T00:00:00"/>
    <s v="BR Chocolate 6-1.5QT"/>
    <x v="3"/>
    <n v="8.5199999999999998E-3"/>
    <n v="176"/>
    <x v="0"/>
    <x v="1"/>
    <n v="1"/>
    <n v="6416"/>
    <n v="54.664319999999996"/>
    <n v="36.454545454545453"/>
    <s v="Jan"/>
    <x v="1"/>
    <m/>
    <m/>
  </r>
  <r>
    <n v="68851107"/>
    <x v="1"/>
    <n v="8272"/>
    <d v="2026-01-04T00:00:00"/>
    <s v="BR NAT Vanilla 6-1.5QT"/>
    <x v="1"/>
    <n v="8.5199999999999998E-3"/>
    <n v="176"/>
    <x v="0"/>
    <x v="1"/>
    <n v="1"/>
    <n v="8272"/>
    <n v="70.477440000000001"/>
    <n v="47"/>
    <s v="Jan"/>
    <x v="1"/>
    <m/>
    <m/>
  </r>
  <r>
    <n v="68851107"/>
    <x v="1"/>
    <n v="8272"/>
    <d v="2026-01-04T00:00:00"/>
    <s v="BR NAT Vanilla 6-1.5QT"/>
    <x v="1"/>
    <n v="8.5199999999999998E-3"/>
    <n v="176"/>
    <x v="0"/>
    <x v="1"/>
    <n v="1"/>
    <n v="8272"/>
    <n v="70.477440000000001"/>
    <n v="47"/>
    <s v="Jan"/>
    <x v="1"/>
    <m/>
    <m/>
  </r>
  <r>
    <n v="68922108"/>
    <x v="1"/>
    <n v="8760"/>
    <d v="2026-01-04T00:00:00"/>
    <s v="Talenti Caramel Cookie Crunch 8 1PT"/>
    <x v="8"/>
    <n v="3.7839999999999996E-3"/>
    <n v="255"/>
    <x v="2"/>
    <x v="3"/>
    <n v="1"/>
    <n v="8760"/>
    <n v="33.147839999999995"/>
    <n v="34.352941176470587"/>
    <s v="Jan"/>
    <x v="1"/>
    <m/>
    <m/>
  </r>
  <r>
    <n v="68817796"/>
    <x v="0"/>
    <n v="8886"/>
    <d v="2026-01-04T00:00:00"/>
    <s v="BR XCRMY Vanilla 6 1.5QT"/>
    <x v="0"/>
    <n v="8.513999999999999E-3"/>
    <n v="176"/>
    <x v="0"/>
    <x v="0"/>
    <n v="1"/>
    <n v="8886"/>
    <n v="75.65540399999999"/>
    <n v="50.488636363636367"/>
    <s v="Jan"/>
    <x v="1"/>
    <m/>
    <m/>
  </r>
  <r>
    <n v="68922108"/>
    <x v="1"/>
    <n v="11985"/>
    <d v="2026-01-04T00:00:00"/>
    <s v="Talenti Caramel Cookie Crunch 8 1PT"/>
    <x v="8"/>
    <n v="3.7839999999999996E-3"/>
    <n v="255"/>
    <x v="2"/>
    <x v="3"/>
    <n v="1"/>
    <n v="11985"/>
    <n v="45.351239999999997"/>
    <n v="47"/>
    <s v="Jan"/>
    <x v="1"/>
    <m/>
    <m/>
  </r>
  <r>
    <n v="69629468"/>
    <x v="1"/>
    <n v="21"/>
    <d v="2026-01-05T00:00:00"/>
    <s v="PS Fudgesicle NSA 6-18PK"/>
    <x v="14"/>
    <n v="5.2680000000000001E-3"/>
    <n v="130"/>
    <x v="6"/>
    <x v="7"/>
    <n v="1"/>
    <n v="21"/>
    <n v="0.110628"/>
    <n v="0.16153846153846155"/>
    <s v="Jan"/>
    <x v="1"/>
    <m/>
    <m/>
  </r>
  <r>
    <n v="68741742"/>
    <x v="0"/>
    <n v="154"/>
    <d v="2026-01-05T00:00:00"/>
    <s v="GH Strawberry Shortcake Bar 8-6PK"/>
    <x v="15"/>
    <n v="4.2560000000000002E-3"/>
    <n v="154"/>
    <x v="7"/>
    <x v="8"/>
    <n v="1"/>
    <n v="154"/>
    <n v="0.65542400000000001"/>
    <n v="1"/>
    <s v="Jan"/>
    <x v="1"/>
    <m/>
    <m/>
  </r>
  <r>
    <n v="64341106"/>
    <x v="1"/>
    <n v="169"/>
    <d v="2026-01-05T00:00:00"/>
    <s v="PS Jolly Rancher Pop 6-18PK"/>
    <x v="16"/>
    <n v="5.2680000000000001E-3"/>
    <n v="130"/>
    <x v="6"/>
    <x v="7"/>
    <n v="1"/>
    <n v="169"/>
    <n v="0.89029199999999997"/>
    <n v="1.3"/>
    <s v="Jan"/>
    <x v="1"/>
    <m/>
    <m/>
  </r>
  <r>
    <n v="69568962"/>
    <x v="1"/>
    <n v="176"/>
    <d v="2026-01-05T00:00:00"/>
    <s v="BR NSA VCS 6 1.5QT"/>
    <x v="1"/>
    <n v="8.5199999999999998E-3"/>
    <n v="176"/>
    <x v="0"/>
    <x v="1"/>
    <n v="1"/>
    <n v="176"/>
    <n v="1.49952"/>
    <n v="1"/>
    <s v="Jan"/>
    <x v="1"/>
    <m/>
    <m/>
  </r>
  <r>
    <n v="68649095"/>
    <x v="1"/>
    <n v="180"/>
    <d v="2026-01-05T00:00:00"/>
    <s v="BJ US-TOP-DirtCake-8 450ML"/>
    <x v="17"/>
    <n v="3.5999999999999999E-3"/>
    <n v="240"/>
    <x v="8"/>
    <x v="9"/>
    <n v="1"/>
    <n v="180"/>
    <n v="0.64800000000000002"/>
    <n v="0.75"/>
    <s v="Jan"/>
    <x v="1"/>
    <m/>
    <m/>
  </r>
  <r>
    <n v="68741714"/>
    <x v="0"/>
    <n v="225"/>
    <d v="2026-01-05T00:00:00"/>
    <s v="GH Strawberry Shortcake 1-24BK"/>
    <x v="18"/>
    <n v="2.8319999999999999E-3"/>
    <n v="225"/>
    <x v="7"/>
    <x v="8"/>
    <n v="1"/>
    <n v="225"/>
    <n v="0.63719999999999999"/>
    <n v="1"/>
    <s v="Jan"/>
    <x v="1"/>
    <m/>
    <m/>
  </r>
  <r>
    <n v="68741742"/>
    <x v="1"/>
    <n v="278"/>
    <d v="2026-01-05T00:00:00"/>
    <s v="GH Strawberry Shortcake Bar 8-6PK"/>
    <x v="19"/>
    <n v="4.2560000000000002E-3"/>
    <n v="154"/>
    <x v="7"/>
    <x v="10"/>
    <n v="1"/>
    <n v="278"/>
    <n v="1.183168"/>
    <n v="1.8051948051948052"/>
    <s v="Jan"/>
    <x v="1"/>
    <m/>
    <m/>
  </r>
  <r>
    <n v="68689251"/>
    <x v="0"/>
    <n v="924"/>
    <d v="2026-01-05T00:00:00"/>
    <s v="KL Original Vanilla Bar 12-6PK"/>
    <x v="20"/>
    <n v="9.5760000000000012E-3"/>
    <n v="132"/>
    <x v="1"/>
    <x v="2"/>
    <n v="1"/>
    <n v="924"/>
    <n v="8.8482240000000019"/>
    <n v="7"/>
    <s v="Jan"/>
    <x v="1"/>
    <m/>
    <m/>
  </r>
  <r>
    <n v="68867755"/>
    <x v="1"/>
    <n v="1073"/>
    <d v="2026-01-05T00:00:00"/>
    <s v="Talenti LY Salted CAR Truffle 8 323.1g"/>
    <x v="9"/>
    <n v="3.552E-3"/>
    <n v="255"/>
    <x v="2"/>
    <x v="3"/>
    <n v="1"/>
    <n v="1073"/>
    <n v="3.811296"/>
    <n v="4.2078431372549021"/>
    <s v="Jan"/>
    <x v="1"/>
    <m/>
    <m/>
  </r>
  <r>
    <n v="68746232"/>
    <x v="1"/>
    <n v="1124"/>
    <d v="2026-01-05T00:00:00"/>
    <s v="KL Mint CHOC Chip 12-6PK"/>
    <x v="21"/>
    <n v="8.5199999999999998E-3"/>
    <n v="132"/>
    <x v="1"/>
    <x v="11"/>
    <n v="1"/>
    <n v="1124"/>
    <n v="9.5764800000000001"/>
    <n v="8.5151515151515156"/>
    <s v="Jan"/>
    <x v="1"/>
    <m/>
    <m/>
  </r>
  <r>
    <n v="68746232"/>
    <x v="1"/>
    <n v="1337"/>
    <d v="2026-01-05T00:00:00"/>
    <s v="KL Mint CHOC Chip 12-6PK"/>
    <x v="21"/>
    <n v="8.5199999999999998E-3"/>
    <n v="132"/>
    <x v="1"/>
    <x v="11"/>
    <n v="1"/>
    <n v="1337"/>
    <n v="11.39124"/>
    <n v="10.128787878787879"/>
    <s v="Jan"/>
    <x v="1"/>
    <m/>
    <m/>
  </r>
  <r>
    <n v="84144598"/>
    <x v="1"/>
    <n v="1377"/>
    <d v="2026-01-05T00:00:00"/>
    <s v="BJ US-IC-VanillaCaramelFdg-FTNG-8 1PT"/>
    <x v="22"/>
    <n v="3.7853439999999999E-3"/>
    <n v="240"/>
    <x v="3"/>
    <x v="12"/>
    <n v="1"/>
    <n v="1377"/>
    <n v="5.2124186879999996"/>
    <n v="5.7374999999999998"/>
    <s v="Jan"/>
    <x v="1"/>
    <m/>
    <m/>
  </r>
  <r>
    <n v="68737750"/>
    <x v="0"/>
    <n v="1668"/>
    <d v="2026-01-05T00:00:00"/>
    <s v="BR CO-B Reeses 6 1.5QT"/>
    <x v="12"/>
    <n v="8.5199999999999998E-3"/>
    <n v="176"/>
    <x v="0"/>
    <x v="0"/>
    <n v="1"/>
    <n v="1668"/>
    <n v="14.211359999999999"/>
    <n v="9.4772727272727266"/>
    <s v="Jan"/>
    <x v="1"/>
    <m/>
    <m/>
  </r>
  <r>
    <n v="64330596"/>
    <x v="1"/>
    <n v="1706"/>
    <d v="2026-01-05T00:00:00"/>
    <s v="MG Mini Double Caramel Bar 6-6PK"/>
    <x v="23"/>
    <n v="1.98E-3"/>
    <n v="176"/>
    <x v="5"/>
    <x v="6"/>
    <n v="1"/>
    <n v="1706"/>
    <n v="3.3778799999999998"/>
    <n v="9.6931818181818183"/>
    <s v="Jan"/>
    <x v="1"/>
    <m/>
    <m/>
  </r>
  <r>
    <n v="68921994"/>
    <x v="0"/>
    <n v="1848"/>
    <d v="2026-01-05T00:00:00"/>
    <s v="KL Dark Chocolate Bar 12-6PK"/>
    <x v="4"/>
    <n v="9.5760000000000012E-3"/>
    <n v="132"/>
    <x v="1"/>
    <x v="2"/>
    <n v="1"/>
    <n v="1848"/>
    <n v="17.696448000000004"/>
    <n v="14"/>
    <s v="Jan"/>
    <x v="1"/>
    <m/>
    <m/>
  </r>
  <r>
    <n v="68689251"/>
    <x v="0"/>
    <n v="1980"/>
    <d v="2026-01-05T00:00:00"/>
    <s v="KL Original Vanilla Bar 12-6PK"/>
    <x v="2"/>
    <n v="9.5760000000000012E-3"/>
    <n v="132"/>
    <x v="1"/>
    <x v="2"/>
    <n v="1"/>
    <n v="1980"/>
    <n v="18.960480000000004"/>
    <n v="15"/>
    <s v="Jan"/>
    <x v="1"/>
    <m/>
    <m/>
  </r>
  <r>
    <n v="68896054"/>
    <x v="0"/>
    <n v="2439"/>
    <d v="2026-01-05T00:00:00"/>
    <s v="BR Chocolate Chip Cookie Dough 6 1.5QT"/>
    <x v="7"/>
    <n v="8.5199999999999998E-3"/>
    <n v="176"/>
    <x v="0"/>
    <x v="0"/>
    <n v="1"/>
    <n v="2439"/>
    <n v="20.780280000000001"/>
    <n v="13.857954545454545"/>
    <s v="Jan"/>
    <x v="1"/>
    <m/>
    <m/>
  </r>
  <r>
    <n v="68817796"/>
    <x v="0"/>
    <n v="2639"/>
    <d v="2026-01-05T00:00:00"/>
    <s v="BR XCRMY Vanilla 6 1.5QT"/>
    <x v="0"/>
    <n v="8.513999999999999E-3"/>
    <n v="176"/>
    <x v="0"/>
    <x v="0"/>
    <n v="1"/>
    <n v="2639"/>
    <n v="22.468445999999997"/>
    <n v="14.994318181818182"/>
    <s v="Jan"/>
    <x v="1"/>
    <m/>
    <m/>
  </r>
  <r>
    <n v="68851104"/>
    <x v="0"/>
    <n v="2640"/>
    <d v="2026-01-05T00:00:00"/>
    <s v="BR Chocolate 6-1.5QT"/>
    <x v="6"/>
    <n v="8.5199999999999998E-3"/>
    <n v="176"/>
    <x v="0"/>
    <x v="0"/>
    <n v="1"/>
    <n v="2640"/>
    <n v="22.492799999999999"/>
    <n v="15"/>
    <s v="Jan"/>
    <x v="1"/>
    <m/>
    <m/>
  </r>
  <r>
    <n v="64979407"/>
    <x v="1"/>
    <n v="2939"/>
    <d v="2026-01-05T00:00:00"/>
    <s v="BR Reeses PB Carbsmart Bar 8-6PK"/>
    <x v="13"/>
    <n v="4.2560000000000002E-3"/>
    <n v="143"/>
    <x v="5"/>
    <x v="6"/>
    <n v="1"/>
    <n v="2939"/>
    <n v="12.508384000000001"/>
    <n v="20.552447552447553"/>
    <s v="Jan"/>
    <x v="1"/>
    <m/>
    <m/>
  </r>
  <r>
    <n v="68851104"/>
    <x v="0"/>
    <n v="3168"/>
    <d v="2026-01-05T00:00:00"/>
    <s v="BR Chocolate 6-1.5QT"/>
    <x v="0"/>
    <n v="8.5199999999999998E-3"/>
    <n v="176"/>
    <x v="0"/>
    <x v="0"/>
    <n v="1"/>
    <n v="3168"/>
    <n v="26.99136"/>
    <n v="18"/>
    <s v="Jan"/>
    <x v="1"/>
    <m/>
    <m/>
  </r>
  <r>
    <n v="84137725"/>
    <x v="2"/>
    <n v="3360"/>
    <d v="2026-01-05T00:00:00"/>
    <s v="BJ US-IC-CherryGarcia-FTNG-8 1PT"/>
    <x v="10"/>
    <n v="3.7853439999999999E-3"/>
    <n v="240"/>
    <x v="3"/>
    <x v="4"/>
    <n v="1"/>
    <n v="3360"/>
    <n v="12.71875584"/>
    <n v="14"/>
    <s v="Jan"/>
    <x v="1"/>
    <m/>
    <m/>
  </r>
  <r>
    <n v="64958125"/>
    <x v="1"/>
    <n v="3630"/>
    <d v="2026-01-05T00:00:00"/>
    <s v="Yasso Chocolate Fudge 8-4pk"/>
    <x v="11"/>
    <n v="3.3119999999999998E-3"/>
    <n v="165"/>
    <x v="4"/>
    <x v="5"/>
    <n v="1"/>
    <n v="3630"/>
    <n v="12.022559999999999"/>
    <n v="22"/>
    <s v="Jan"/>
    <x v="1"/>
    <m/>
    <m/>
  </r>
  <r>
    <n v="68851104"/>
    <x v="0"/>
    <n v="3739"/>
    <d v="2026-01-05T00:00:00"/>
    <s v="BR Chocolate 6-1.5QT"/>
    <x v="0"/>
    <n v="8.5199999999999998E-3"/>
    <n v="176"/>
    <x v="0"/>
    <x v="0"/>
    <n v="1"/>
    <n v="3739"/>
    <n v="31.856279999999998"/>
    <n v="21.244318181818183"/>
    <s v="Jan"/>
    <x v="1"/>
    <m/>
    <m/>
  </r>
  <r>
    <n v="64988056"/>
    <x v="1"/>
    <n v="4036"/>
    <d v="2026-01-05T00:00:00"/>
    <s v="BR Butter Pecan 6 1.5QT"/>
    <x v="5"/>
    <n v="8.513999999999999E-3"/>
    <n v="176"/>
    <x v="0"/>
    <x v="1"/>
    <n v="1"/>
    <n v="4036"/>
    <n v="34.362503999999994"/>
    <n v="22.931818181818183"/>
    <s v="Jan"/>
    <x v="1"/>
    <m/>
    <m/>
  </r>
  <r>
    <n v="84135781"/>
    <x v="3"/>
    <n v="4080"/>
    <d v="2026-01-05T00:00:00"/>
    <s v="BJ US-IC-Vanilla-FTNG-8 1PT"/>
    <x v="24"/>
    <n v="3.7853439999999999E-3"/>
    <n v="240"/>
    <x v="3"/>
    <x v="13"/>
    <n v="1"/>
    <n v="4080"/>
    <n v="15.44420352"/>
    <n v="17"/>
    <s v="Jan"/>
    <x v="1"/>
    <m/>
    <m/>
  </r>
  <r>
    <n v="68689251"/>
    <x v="0"/>
    <n v="4195"/>
    <d v="2026-01-05T00:00:00"/>
    <s v="KL Original Vanilla Bar 12-6PK"/>
    <x v="2"/>
    <n v="9.5760000000000012E-3"/>
    <n v="132"/>
    <x v="1"/>
    <x v="2"/>
    <n v="1"/>
    <n v="4195"/>
    <n v="40.171320000000001"/>
    <n v="31.780303030303031"/>
    <s v="Jan"/>
    <x v="1"/>
    <m/>
    <m/>
  </r>
  <r>
    <n v="64979407"/>
    <x v="1"/>
    <n v="4433"/>
    <d v="2026-01-05T00:00:00"/>
    <s v="BR Reeses PB Carbsmart Bar 8-6PK"/>
    <x v="13"/>
    <n v="4.2560000000000002E-3"/>
    <n v="143"/>
    <x v="5"/>
    <x v="6"/>
    <n v="1"/>
    <n v="4433"/>
    <n v="18.866848000000001"/>
    <n v="31"/>
    <s v="Jan"/>
    <x v="1"/>
    <m/>
    <m/>
  </r>
  <r>
    <n v="68921994"/>
    <x v="0"/>
    <n v="4753"/>
    <d v="2026-01-05T00:00:00"/>
    <s v="KL Dark Chocolate Bar 12-6PK"/>
    <x v="4"/>
    <n v="9.5760000000000012E-3"/>
    <n v="132"/>
    <x v="1"/>
    <x v="2"/>
    <n v="1"/>
    <n v="4753"/>
    <n v="45.514728000000005"/>
    <n v="36.007575757575758"/>
    <s v="Jan"/>
    <x v="1"/>
    <m/>
    <m/>
  </r>
  <r>
    <n v="64988056"/>
    <x v="1"/>
    <n v="5591"/>
    <d v="2026-01-05T00:00:00"/>
    <s v="BR Butter Pecan 6 1.5QT"/>
    <x v="5"/>
    <n v="8.513999999999999E-3"/>
    <n v="176"/>
    <x v="0"/>
    <x v="1"/>
    <n v="1"/>
    <n v="5591"/>
    <n v="47.601773999999992"/>
    <n v="31.767045454545453"/>
    <s v="Jan"/>
    <x v="1"/>
    <m/>
    <m/>
  </r>
  <r>
    <n v="68867755"/>
    <x v="1"/>
    <n v="5670"/>
    <d v="2026-01-05T00:00:00"/>
    <s v="Talenti LY Salted CAR Truffle 8 323.1g"/>
    <x v="9"/>
    <n v="3.552E-3"/>
    <n v="255"/>
    <x v="2"/>
    <x v="3"/>
    <n v="1"/>
    <n v="5670"/>
    <n v="20.13984"/>
    <n v="22.235294117647058"/>
    <s v="Jan"/>
    <x v="1"/>
    <m/>
    <m/>
  </r>
  <r>
    <n v="64958125"/>
    <x v="1"/>
    <n v="5743"/>
    <d v="2026-01-05T00:00:00"/>
    <s v="Yasso Chocolate Fudge 8-4pk"/>
    <x v="11"/>
    <n v="3.3119999999999998E-3"/>
    <n v="165"/>
    <x v="4"/>
    <x v="5"/>
    <n v="1"/>
    <n v="5743"/>
    <n v="19.020816"/>
    <n v="34.806060606060605"/>
    <s v="Jan"/>
    <x v="1"/>
    <m/>
    <m/>
  </r>
  <r>
    <n v="64330596"/>
    <x v="1"/>
    <n v="6133"/>
    <d v="2026-01-05T00:00:00"/>
    <s v="MG Mini Double Caramel Bar 6-6PK"/>
    <x v="23"/>
    <n v="1.98E-3"/>
    <n v="176"/>
    <x v="5"/>
    <x v="6"/>
    <n v="1"/>
    <n v="6133"/>
    <n v="12.14334"/>
    <n v="34.846590909090907"/>
    <s v="Jan"/>
    <x v="1"/>
    <m/>
    <m/>
  </r>
  <r>
    <n v="68851104"/>
    <x v="1"/>
    <n v="6336"/>
    <d v="2026-01-05T00:00:00"/>
    <s v="BR Chocolate 6-1.5QT"/>
    <x v="3"/>
    <n v="8.5199999999999998E-3"/>
    <n v="176"/>
    <x v="0"/>
    <x v="1"/>
    <n v="1"/>
    <n v="6336"/>
    <n v="53.98272"/>
    <n v="36"/>
    <s v="Jan"/>
    <x v="1"/>
    <m/>
    <m/>
  </r>
  <r>
    <n v="84135781"/>
    <x v="3"/>
    <n v="6392"/>
    <d v="2026-01-05T00:00:00"/>
    <s v="BJ US-IC-Vanilla-FTNG-8 1PT"/>
    <x v="25"/>
    <n v="3.7853439999999999E-3"/>
    <n v="240"/>
    <x v="3"/>
    <x v="13"/>
    <n v="1"/>
    <n v="6392"/>
    <n v="24.195918847999998"/>
    <n v="26.633333333333333"/>
    <s v="Jan"/>
    <x v="1"/>
    <m/>
    <m/>
  </r>
  <r>
    <n v="64393722"/>
    <x v="1"/>
    <n v="6510"/>
    <d v="2026-01-05T00:00:00"/>
    <s v="MG Double Raspberry Bar 8-3PK"/>
    <x v="26"/>
    <n v="2.16E-3"/>
    <n v="210"/>
    <x v="5"/>
    <x v="6"/>
    <n v="1"/>
    <n v="6510"/>
    <n v="14.0616"/>
    <n v="31"/>
    <s v="Jan"/>
    <x v="1"/>
    <m/>
    <m/>
  </r>
  <r>
    <n v="68851104"/>
    <x v="1"/>
    <n v="6512"/>
    <d v="2026-01-05T00:00:00"/>
    <s v="BR Chocolate 6-1.5QT"/>
    <x v="3"/>
    <n v="8.5199999999999998E-3"/>
    <n v="176"/>
    <x v="0"/>
    <x v="1"/>
    <n v="1"/>
    <n v="6512"/>
    <n v="55.482239999999997"/>
    <n v="37"/>
    <s v="Jan"/>
    <x v="1"/>
    <m/>
    <m/>
  </r>
  <r>
    <n v="64393722"/>
    <x v="1"/>
    <n v="6576"/>
    <d v="2026-01-05T00:00:00"/>
    <s v="MG Double Raspberry Bar 8-3PK"/>
    <x v="26"/>
    <n v="2.16E-3"/>
    <n v="210"/>
    <x v="5"/>
    <x v="6"/>
    <n v="1"/>
    <n v="6576"/>
    <n v="14.20416"/>
    <n v="31.314285714285713"/>
    <s v="Jan"/>
    <x v="1"/>
    <m/>
    <m/>
  </r>
  <r>
    <n v="68851107"/>
    <x v="1"/>
    <n v="7205"/>
    <d v="2026-01-05T00:00:00"/>
    <s v="BR NAT Vanilla 6-1.5QT"/>
    <x v="1"/>
    <n v="8.5199999999999998E-3"/>
    <n v="176"/>
    <x v="0"/>
    <x v="1"/>
    <n v="1"/>
    <n v="7205"/>
    <n v="61.386600000000001"/>
    <n v="40.9375"/>
    <s v="Jan"/>
    <x v="1"/>
    <m/>
    <m/>
  </r>
  <r>
    <n v="68851107"/>
    <x v="1"/>
    <n v="7920"/>
    <d v="2026-01-05T00:00:00"/>
    <s v="BR NAT Vanilla 6-1.5QT"/>
    <x v="1"/>
    <n v="8.5199999999999998E-3"/>
    <n v="176"/>
    <x v="0"/>
    <x v="1"/>
    <n v="1"/>
    <n v="7920"/>
    <n v="67.478399999999993"/>
    <n v="45"/>
    <s v="Jan"/>
    <x v="1"/>
    <m/>
    <m/>
  </r>
  <r>
    <n v="68851104"/>
    <x v="0"/>
    <n v="9494"/>
    <d v="2026-01-05T00:00:00"/>
    <s v="BR Chocolate 6-1.5QT"/>
    <x v="6"/>
    <n v="8.5199999999999998E-3"/>
    <n v="176"/>
    <x v="0"/>
    <x v="0"/>
    <n v="1"/>
    <n v="9494"/>
    <n v="80.88888"/>
    <n v="53.94318181818182"/>
    <s v="Jan"/>
    <x v="1"/>
    <m/>
    <m/>
  </r>
  <r>
    <n v="68922108"/>
    <x v="1"/>
    <n v="9689"/>
    <d v="2026-01-05T00:00:00"/>
    <s v="Talenti Caramel Cookie Crunch 8 1PT"/>
    <x v="8"/>
    <n v="3.7839999999999996E-3"/>
    <n v="255"/>
    <x v="2"/>
    <x v="3"/>
    <n v="1"/>
    <n v="9689"/>
    <n v="36.663175999999993"/>
    <n v="37.996078431372545"/>
    <s v="Jan"/>
    <x v="1"/>
    <m/>
    <m/>
  </r>
  <r>
    <n v="68922108"/>
    <x v="1"/>
    <n v="9811"/>
    <d v="2026-01-05T00:00:00"/>
    <s v="Talenti Caramel Cookie Crunch 8 1PT"/>
    <x v="8"/>
    <n v="3.7839999999999996E-3"/>
    <n v="255"/>
    <x v="2"/>
    <x v="3"/>
    <n v="1"/>
    <n v="9811"/>
    <n v="37.124823999999997"/>
    <n v="38.47450980392157"/>
    <s v="Jan"/>
    <x v="1"/>
    <m/>
    <m/>
  </r>
  <r>
    <n v="84137725"/>
    <x v="2"/>
    <n v="11520"/>
    <d v="2026-01-05T00:00:00"/>
    <s v="BJ US-IC-CherryGarcia-FTNG-8 1PT"/>
    <x v="10"/>
    <n v="3.7853439999999999E-3"/>
    <n v="240"/>
    <x v="3"/>
    <x v="4"/>
    <n v="1"/>
    <n v="11520"/>
    <n v="43.607162879999997"/>
    <n v="48"/>
    <s v="Jan"/>
    <x v="1"/>
    <m/>
    <m/>
  </r>
  <r>
    <n v="68851104"/>
    <x v="1"/>
    <n v="-860"/>
    <d v="2026-01-06T00:00:00"/>
    <s v="BR Chocolate 6-1.5QT"/>
    <x v="3"/>
    <n v="8.5199999999999998E-3"/>
    <n v="176"/>
    <x v="0"/>
    <x v="1"/>
    <n v="1"/>
    <n v="-860"/>
    <n v="-7.3271999999999995"/>
    <n v="-4.8863636363636367"/>
    <s v="Jan"/>
    <x v="1"/>
    <m/>
    <m/>
  </r>
  <r>
    <n v="69717801"/>
    <x v="1"/>
    <n v="-572"/>
    <d v="2026-01-06T00:00:00"/>
    <s v="BR Carbsmart Fudge Bar 8-6PK"/>
    <x v="13"/>
    <n v="4.2560000000000002E-3"/>
    <n v="143"/>
    <x v="5"/>
    <x v="6"/>
    <n v="1"/>
    <n v="-572"/>
    <n v="-2.4344320000000002"/>
    <n v="-4"/>
    <s v="Jan"/>
    <x v="1"/>
    <m/>
    <m/>
  </r>
  <r>
    <n v="64775327"/>
    <x v="1"/>
    <n v="-528"/>
    <d v="2026-01-06T00:00:00"/>
    <s v="BR CS Brownie A La Mode 6 1.5QT"/>
    <x v="3"/>
    <n v="8.5199999999999998E-3"/>
    <n v="176"/>
    <x v="0"/>
    <x v="1"/>
    <n v="1"/>
    <n v="-528"/>
    <n v="-4.4985599999999994"/>
    <n v="-3"/>
    <s v="Jan"/>
    <x v="1"/>
    <m/>
    <m/>
  </r>
  <r>
    <n v="64958128"/>
    <x v="1"/>
    <n v="-493"/>
    <d v="2026-01-06T00:00:00"/>
    <s v="Yasso Mint Chocolate Chip 8-4pk"/>
    <x v="11"/>
    <n v="3.3119999999999998E-3"/>
    <n v="165"/>
    <x v="4"/>
    <x v="5"/>
    <n v="1"/>
    <n v="-493"/>
    <n v="-1.6328159999999998"/>
    <n v="-2.9878787878787878"/>
    <s v="Jan"/>
    <x v="1"/>
    <m/>
    <m/>
  </r>
  <r>
    <n v="69554197"/>
    <x v="1"/>
    <n v="-480"/>
    <d v="2026-01-06T00:00:00"/>
    <s v="BR Reese PB Cup 8 1PT"/>
    <x v="17"/>
    <n v="3.7839999999999996E-3"/>
    <n v="240"/>
    <x v="9"/>
    <x v="14"/>
    <n v="1"/>
    <n v="-480"/>
    <n v="-1.8163199999999997"/>
    <n v="-2"/>
    <s v="Jan"/>
    <x v="1"/>
    <m/>
    <m/>
  </r>
  <r>
    <n v="69717802"/>
    <x v="1"/>
    <n v="-429"/>
    <d v="2026-01-06T00:00:00"/>
    <s v="BR Carbsmart IC Bars 8-6PK"/>
    <x v="23"/>
    <n v="4.2560000000000002E-3"/>
    <n v="143"/>
    <x v="5"/>
    <x v="6"/>
    <n v="1"/>
    <n v="-429"/>
    <n v="-1.8258240000000001"/>
    <n v="-3"/>
    <s v="Jan"/>
    <x v="1"/>
    <m/>
    <m/>
  </r>
  <r>
    <n v="68851107"/>
    <x v="1"/>
    <n v="-352"/>
    <d v="2026-01-06T00:00:00"/>
    <s v="BR NAT Vanilla 6-1.5QT"/>
    <x v="1"/>
    <n v="8.5199999999999998E-3"/>
    <n v="176"/>
    <x v="0"/>
    <x v="1"/>
    <n v="1"/>
    <n v="-352"/>
    <n v="-2.9990399999999999"/>
    <n v="-2"/>
    <s v="Jan"/>
    <x v="1"/>
    <m/>
    <m/>
  </r>
  <r>
    <n v="69717802"/>
    <x v="1"/>
    <n v="-286"/>
    <d v="2026-01-06T00:00:00"/>
    <s v="BR Carbsmart IC Bars 8-6PK"/>
    <x v="23"/>
    <n v="4.2560000000000002E-3"/>
    <n v="143"/>
    <x v="5"/>
    <x v="6"/>
    <n v="1"/>
    <n v="-286"/>
    <n v="-1.2172160000000001"/>
    <n v="-2"/>
    <s v="Jan"/>
    <x v="1"/>
    <m/>
    <m/>
  </r>
  <r>
    <n v="64396550"/>
    <x v="1"/>
    <n v="-277"/>
    <d v="2026-01-06T00:00:00"/>
    <s v="MG Double Raspberry Bar OOH 1-12PK"/>
    <x v="26"/>
    <n v="1.08E-3"/>
    <n v="493"/>
    <x v="5"/>
    <x v="6"/>
    <n v="1"/>
    <n v="-277"/>
    <n v="-0.29915999999999998"/>
    <n v="-0.56186612576064909"/>
    <s v="Jan"/>
    <x v="1"/>
    <m/>
    <m/>
  </r>
  <r>
    <n v="69554197"/>
    <x v="1"/>
    <n v="-240"/>
    <d v="2026-01-06T00:00:00"/>
    <s v="BR Reese PB Cup 8 1PT"/>
    <x v="17"/>
    <n v="3.7839999999999996E-3"/>
    <n v="240"/>
    <x v="9"/>
    <x v="14"/>
    <n v="1"/>
    <n v="-240"/>
    <n v="-0.90815999999999986"/>
    <n v="-1"/>
    <s v="Jan"/>
    <x v="1"/>
    <m/>
    <m/>
  </r>
  <r>
    <n v="68851107"/>
    <x v="1"/>
    <n v="-222"/>
    <d v="2026-01-06T00:00:00"/>
    <s v="BR NAT Vanilla 6-1.5QT"/>
    <x v="1"/>
    <n v="8.5199999999999998E-3"/>
    <n v="176"/>
    <x v="0"/>
    <x v="1"/>
    <n v="1"/>
    <n v="-222"/>
    <n v="-1.89144"/>
    <n v="-1.2613636363636365"/>
    <s v="Jan"/>
    <x v="1"/>
    <m/>
    <m/>
  </r>
  <r>
    <n v="68852591"/>
    <x v="1"/>
    <n v="-216"/>
    <d v="2026-01-06T00:00:00"/>
    <s v="KL Heath Bar 12-6PK"/>
    <x v="21"/>
    <n v="8.5199999999999998E-3"/>
    <n v="132"/>
    <x v="1"/>
    <x v="11"/>
    <n v="1"/>
    <n v="-216"/>
    <n v="-1.84032"/>
    <n v="-1.6363636363636365"/>
    <s v="Jan"/>
    <x v="1"/>
    <m/>
    <m/>
  </r>
  <r>
    <n v="64341962"/>
    <x v="1"/>
    <n v="-176"/>
    <d v="2026-01-06T00:00:00"/>
    <s v="BR Chocolate Truffle 6 1.5QT"/>
    <x v="5"/>
    <n v="8.513999999999999E-3"/>
    <n v="176"/>
    <x v="0"/>
    <x v="1"/>
    <n v="1"/>
    <n v="-176"/>
    <n v="-1.4984639999999998"/>
    <n v="-1"/>
    <s v="Jan"/>
    <x v="1"/>
    <m/>
    <m/>
  </r>
  <r>
    <n v="64775327"/>
    <x v="1"/>
    <n v="-176"/>
    <d v="2026-01-06T00:00:00"/>
    <s v="BR CS Brownie A La Mode 6 1.5QT"/>
    <x v="3"/>
    <n v="8.5199999999999998E-3"/>
    <n v="176"/>
    <x v="0"/>
    <x v="1"/>
    <n v="1"/>
    <n v="-176"/>
    <n v="-1.49952"/>
    <n v="-1"/>
    <s v="Jan"/>
    <x v="1"/>
    <m/>
    <m/>
  </r>
  <r>
    <n v="69568962"/>
    <x v="1"/>
    <n v="-176"/>
    <d v="2026-01-06T00:00:00"/>
    <s v="BR NSA VCS 6 1.5QT"/>
    <x v="1"/>
    <n v="8.5199999999999998E-3"/>
    <n v="176"/>
    <x v="0"/>
    <x v="1"/>
    <n v="1"/>
    <n v="-176"/>
    <n v="-1.49952"/>
    <n v="-1"/>
    <s v="Jan"/>
    <x v="1"/>
    <m/>
    <m/>
  </r>
  <r>
    <n v="68852591"/>
    <x v="1"/>
    <n v="-174"/>
    <d v="2026-01-06T00:00:00"/>
    <s v="KL Heath Bar 12-6PK"/>
    <x v="21"/>
    <n v="8.5199999999999998E-3"/>
    <n v="132"/>
    <x v="1"/>
    <x v="11"/>
    <n v="1"/>
    <n v="-174"/>
    <n v="-1.48248"/>
    <n v="-1.3181818181818181"/>
    <s v="Jan"/>
    <x v="1"/>
    <m/>
    <m/>
  </r>
  <r>
    <n v="64958128"/>
    <x v="1"/>
    <n v="-165"/>
    <d v="2026-01-06T00:00:00"/>
    <s v="Yasso Mint Chocolate Chip 8-4pk"/>
    <x v="11"/>
    <n v="3.3119999999999998E-3"/>
    <n v="165"/>
    <x v="4"/>
    <x v="5"/>
    <n v="1"/>
    <n v="-165"/>
    <n v="-0.54647999999999997"/>
    <n v="-1"/>
    <s v="Jan"/>
    <x v="1"/>
    <m/>
    <m/>
  </r>
  <r>
    <n v="69554197"/>
    <x v="1"/>
    <n v="-133"/>
    <d v="2026-01-06T00:00:00"/>
    <s v="BR Reese PB Cup 8 1PT"/>
    <x v="17"/>
    <n v="3.7839999999999996E-3"/>
    <n v="240"/>
    <x v="9"/>
    <x v="14"/>
    <n v="1"/>
    <n v="-133"/>
    <n v="-0.50327199999999994"/>
    <n v="-0.5541666666666667"/>
    <s v="Jan"/>
    <x v="1"/>
    <m/>
    <m/>
  </r>
  <r>
    <n v="64389651"/>
    <x v="1"/>
    <n v="-117"/>
    <d v="2026-01-06T00:00:00"/>
    <s v="BR Strawberry Shortcake 6 1.5QT"/>
    <x v="5"/>
    <n v="8.5199999999999998E-3"/>
    <n v="176"/>
    <x v="0"/>
    <x v="1"/>
    <n v="1"/>
    <n v="-117"/>
    <n v="-0.99683999999999995"/>
    <n v="-0.66477272727272729"/>
    <s v="Jan"/>
    <x v="1"/>
    <m/>
    <m/>
  </r>
  <r>
    <n v="69568962"/>
    <x v="1"/>
    <n v="-108"/>
    <d v="2026-01-06T00:00:00"/>
    <s v="BR NSA VCS 6 1.5QT"/>
    <x v="1"/>
    <n v="8.5199999999999998E-3"/>
    <n v="176"/>
    <x v="0"/>
    <x v="1"/>
    <n v="1"/>
    <n v="-108"/>
    <n v="-0.92015999999999998"/>
    <n v="-0.61363636363636365"/>
    <s v="Jan"/>
    <x v="1"/>
    <m/>
    <m/>
  </r>
  <r>
    <n v="68851107"/>
    <x v="1"/>
    <n v="-58"/>
    <d v="2026-01-06T00:00:00"/>
    <s v="BR NAT Vanilla 6-1.5QT"/>
    <x v="1"/>
    <n v="8.5199999999999998E-3"/>
    <n v="176"/>
    <x v="0"/>
    <x v="1"/>
    <n v="1"/>
    <n v="-58"/>
    <n v="-0.49415999999999999"/>
    <n v="-0.32954545454545453"/>
    <s v="Jan"/>
    <x v="1"/>
    <m/>
    <m/>
  </r>
  <r>
    <n v="69717802"/>
    <x v="1"/>
    <n v="-39"/>
    <d v="2026-01-06T00:00:00"/>
    <s v="BR Carbsmart IC Bars 8-6PK"/>
    <x v="23"/>
    <n v="4.2560000000000002E-3"/>
    <n v="143"/>
    <x v="5"/>
    <x v="6"/>
    <n v="1"/>
    <n v="-39"/>
    <n v="-0.16598400000000002"/>
    <n v="-0.27272727272727271"/>
    <s v="Jan"/>
    <x v="1"/>
    <m/>
    <m/>
  </r>
  <r>
    <n v="69629468"/>
    <x v="1"/>
    <n v="123"/>
    <d v="2026-01-06T00:00:00"/>
    <s v="PS Fudgesicle NSA 6-18PK"/>
    <x v="14"/>
    <n v="5.2680000000000001E-3"/>
    <n v="130"/>
    <x v="6"/>
    <x v="7"/>
    <n v="1"/>
    <n v="123"/>
    <n v="0.64796399999999998"/>
    <n v="0.94615384615384612"/>
    <s v="Jan"/>
    <x v="1"/>
    <m/>
    <m/>
  </r>
  <r>
    <n v="69629468"/>
    <x v="1"/>
    <n v="306"/>
    <d v="2026-01-06T00:00:00"/>
    <s v="PS Fudgesicle NSA 6-18PK"/>
    <x v="14"/>
    <n v="5.2680000000000001E-3"/>
    <n v="130"/>
    <x v="6"/>
    <x v="7"/>
    <n v="1"/>
    <n v="306"/>
    <n v="1.6120080000000001"/>
    <n v="2.3538461538461539"/>
    <s v="Jan"/>
    <x v="1"/>
    <m/>
    <m/>
  </r>
  <r>
    <n v="68689251"/>
    <x v="0"/>
    <n v="396"/>
    <d v="2026-01-06T00:00:00"/>
    <s v="KL Original Vanilla Bar 12-6PK"/>
    <x v="2"/>
    <n v="9.5760000000000012E-3"/>
    <n v="132"/>
    <x v="1"/>
    <x v="2"/>
    <n v="1"/>
    <n v="396"/>
    <n v="3.7920960000000004"/>
    <n v="3"/>
    <s v="Jan"/>
    <x v="1"/>
    <m/>
    <m/>
  </r>
  <r>
    <n v="69725082"/>
    <x v="0"/>
    <n v="408"/>
    <d v="2026-01-06T00:00:00"/>
    <s v="PS OCG 6-18PK"/>
    <x v="27"/>
    <n v="5.2680000000000001E-3"/>
    <n v="130"/>
    <x v="6"/>
    <x v="15"/>
    <n v="1"/>
    <n v="408"/>
    <n v="2.1493440000000001"/>
    <n v="3.1384615384615384"/>
    <s v="Jan"/>
    <x v="1"/>
    <m/>
    <m/>
  </r>
  <r>
    <n v="69629468"/>
    <x v="0"/>
    <n v="508"/>
    <d v="2026-01-06T00:00:00"/>
    <s v="PS Fudgesicle NSA 6-18PK"/>
    <x v="28"/>
    <n v="5.2680000000000001E-3"/>
    <n v="130"/>
    <x v="6"/>
    <x v="15"/>
    <n v="1"/>
    <n v="508"/>
    <n v="2.6761439999999999"/>
    <n v="3.9076923076923076"/>
    <s v="Jan"/>
    <x v="1"/>
    <m/>
    <m/>
  </r>
  <r>
    <n v="68867755"/>
    <x v="1"/>
    <n v="510"/>
    <d v="2026-01-06T00:00:00"/>
    <s v="Talenti LY Salted CAR Truffle 8 323.1g"/>
    <x v="9"/>
    <n v="3.552E-3"/>
    <n v="255"/>
    <x v="2"/>
    <x v="3"/>
    <n v="1"/>
    <n v="510"/>
    <n v="1.81152"/>
    <n v="2"/>
    <s v="Jan"/>
    <x v="1"/>
    <m/>
    <m/>
  </r>
  <r>
    <n v="68851108"/>
    <x v="1"/>
    <n v="640"/>
    <d v="2026-01-06T00:00:00"/>
    <s v="BR VAN CHOC STRAW 6-1.5QT"/>
    <x v="1"/>
    <n v="8.5199999999999998E-3"/>
    <n v="176"/>
    <x v="0"/>
    <x v="1"/>
    <n v="1"/>
    <n v="640"/>
    <n v="5.4527999999999999"/>
    <n v="3.6363636363636362"/>
    <s v="Jan"/>
    <x v="1"/>
    <m/>
    <m/>
  </r>
  <r>
    <n v="64776954"/>
    <x v="0"/>
    <n v="790"/>
    <d v="2026-01-06T00:00:00"/>
    <s v="PS Scribblers Natural 6-18PK"/>
    <x v="29"/>
    <n v="3.8340000000000002E-3"/>
    <n v="130"/>
    <x v="6"/>
    <x v="15"/>
    <n v="1"/>
    <n v="790"/>
    <n v="3.0288600000000003"/>
    <n v="6.0769230769230766"/>
    <s v="Jan"/>
    <x v="1"/>
    <m/>
    <m/>
  </r>
  <r>
    <n v="64341106"/>
    <x v="1"/>
    <n v="842"/>
    <d v="2026-01-06T00:00:00"/>
    <s v="PS Jolly Rancher Pop 6-18PK"/>
    <x v="16"/>
    <n v="5.2680000000000001E-3"/>
    <n v="130"/>
    <x v="6"/>
    <x v="7"/>
    <n v="1"/>
    <n v="842"/>
    <n v="4.4356559999999998"/>
    <n v="6.476923076923077"/>
    <s v="Jan"/>
    <x v="1"/>
    <m/>
    <m/>
  </r>
  <r>
    <n v="64341106"/>
    <x v="1"/>
    <n v="877"/>
    <d v="2026-01-06T00:00:00"/>
    <s v="PS Jolly Rancher Pop 6-18PK"/>
    <x v="16"/>
    <n v="5.2680000000000001E-3"/>
    <n v="130"/>
    <x v="6"/>
    <x v="7"/>
    <n v="1"/>
    <n v="877"/>
    <n v="4.6200359999999998"/>
    <n v="6.7461538461538462"/>
    <s v="Jan"/>
    <x v="1"/>
    <m/>
    <m/>
  </r>
  <r>
    <n v="64776954"/>
    <x v="0"/>
    <n v="910"/>
    <d v="2026-01-06T00:00:00"/>
    <s v="PS Scribblers Natural 6-18PK"/>
    <x v="29"/>
    <n v="3.8340000000000002E-3"/>
    <n v="130"/>
    <x v="6"/>
    <x v="15"/>
    <n v="1"/>
    <n v="910"/>
    <n v="3.4889400000000004"/>
    <n v="7"/>
    <s v="Jan"/>
    <x v="1"/>
    <m/>
    <m/>
  </r>
  <r>
    <n v="68741742"/>
    <x v="0"/>
    <n v="922"/>
    <d v="2026-01-06T00:00:00"/>
    <s v="GH Strawberry Shortcake Bar 8-6PK"/>
    <x v="15"/>
    <n v="4.2560000000000002E-3"/>
    <n v="154"/>
    <x v="7"/>
    <x v="8"/>
    <n v="1"/>
    <n v="922"/>
    <n v="3.9240320000000004"/>
    <n v="5.9870129870129869"/>
    <s v="Jan"/>
    <x v="1"/>
    <m/>
    <m/>
  </r>
  <r>
    <n v="68746232"/>
    <x v="1"/>
    <n v="929"/>
    <d v="2026-01-06T00:00:00"/>
    <s v="KL Mint CHOC Chip 12-6PK"/>
    <x v="21"/>
    <n v="8.5199999999999998E-3"/>
    <n v="132"/>
    <x v="1"/>
    <x v="11"/>
    <n v="1"/>
    <n v="929"/>
    <n v="7.9150799999999997"/>
    <n v="7.0378787878787881"/>
    <s v="Jan"/>
    <x v="1"/>
    <m/>
    <m/>
  </r>
  <r>
    <n v="68741742"/>
    <x v="1"/>
    <n v="943"/>
    <d v="2026-01-06T00:00:00"/>
    <s v="GH Strawberry Shortcake Bar 8-6PK"/>
    <x v="19"/>
    <n v="4.2560000000000002E-3"/>
    <n v="154"/>
    <x v="7"/>
    <x v="10"/>
    <n v="1"/>
    <n v="943"/>
    <n v="4.0134080000000001"/>
    <n v="6.1233766233766236"/>
    <s v="Jan"/>
    <x v="1"/>
    <m/>
    <m/>
  </r>
  <r>
    <n v="68741714"/>
    <x v="0"/>
    <n v="999"/>
    <d v="2026-01-06T00:00:00"/>
    <s v="GH Strawberry Shortcake 1-24BK"/>
    <x v="18"/>
    <n v="2.8319999999999999E-3"/>
    <n v="225"/>
    <x v="7"/>
    <x v="8"/>
    <n v="1"/>
    <n v="999"/>
    <n v="2.8291679999999997"/>
    <n v="4.4400000000000004"/>
    <s v="Jan"/>
    <x v="1"/>
    <m/>
    <m/>
  </r>
  <r>
    <n v="69725082"/>
    <x v="0"/>
    <n v="1300"/>
    <d v="2026-01-06T00:00:00"/>
    <s v="PS OCG 6-18PK"/>
    <x v="27"/>
    <n v="5.2680000000000001E-3"/>
    <n v="130"/>
    <x v="6"/>
    <x v="15"/>
    <n v="1"/>
    <n v="1300"/>
    <n v="6.8483999999999998"/>
    <n v="10"/>
    <s v="Jan"/>
    <x v="1"/>
    <m/>
    <m/>
  </r>
  <r>
    <n v="68746232"/>
    <x v="1"/>
    <n v="1530"/>
    <d v="2026-01-06T00:00:00"/>
    <s v="KL Mint CHOC Chip 12-6PK"/>
    <x v="21"/>
    <n v="8.5199999999999998E-3"/>
    <n v="132"/>
    <x v="1"/>
    <x v="11"/>
    <n v="1"/>
    <n v="1530"/>
    <n v="13.035600000000001"/>
    <n v="11.590909090909092"/>
    <s v="Jan"/>
    <x v="1"/>
    <m/>
    <m/>
  </r>
  <r>
    <n v="69629468"/>
    <x v="0"/>
    <n v="1560"/>
    <d v="2026-01-06T00:00:00"/>
    <s v="PS Fudgesicle NSA 6-18PK"/>
    <x v="28"/>
    <n v="5.2680000000000001E-3"/>
    <n v="130"/>
    <x v="6"/>
    <x v="15"/>
    <n v="1"/>
    <n v="1560"/>
    <n v="8.2180800000000005"/>
    <n v="12"/>
    <s v="Jan"/>
    <x v="1"/>
    <m/>
    <m/>
  </r>
  <r>
    <n v="68741714"/>
    <x v="0"/>
    <n v="1575"/>
    <d v="2026-01-06T00:00:00"/>
    <s v="GH Strawberry Shortcake 1-24BK"/>
    <x v="18"/>
    <n v="2.8319999999999999E-3"/>
    <n v="225"/>
    <x v="7"/>
    <x v="8"/>
    <n v="1"/>
    <n v="1575"/>
    <n v="4.4603999999999999"/>
    <n v="7"/>
    <s v="Jan"/>
    <x v="1"/>
    <m/>
    <m/>
  </r>
  <r>
    <n v="68741742"/>
    <x v="1"/>
    <n v="1616"/>
    <d v="2026-01-06T00:00:00"/>
    <s v="GH Strawberry Shortcake Bar 8-6PK"/>
    <x v="19"/>
    <n v="4.2560000000000002E-3"/>
    <n v="154"/>
    <x v="7"/>
    <x v="10"/>
    <n v="1"/>
    <n v="1616"/>
    <n v="6.8776960000000003"/>
    <n v="10.493506493506494"/>
    <s v="Jan"/>
    <x v="1"/>
    <m/>
    <m/>
  </r>
  <r>
    <n v="68741742"/>
    <x v="0"/>
    <n v="1858"/>
    <d v="2026-01-06T00:00:00"/>
    <s v="GH Strawberry Shortcake Bar 8-6PK"/>
    <x v="15"/>
    <n v="4.2560000000000002E-3"/>
    <n v="154"/>
    <x v="7"/>
    <x v="8"/>
    <n v="1"/>
    <n v="1858"/>
    <n v="7.907648"/>
    <n v="12.064935064935066"/>
    <s v="Jan"/>
    <x v="1"/>
    <m/>
    <m/>
  </r>
  <r>
    <n v="84135781"/>
    <x v="3"/>
    <n v="1945"/>
    <d v="2026-01-06T00:00:00"/>
    <s v="BJ US-IC-Vanilla-FTNG-8 1PT"/>
    <x v="24"/>
    <n v="3.7853439999999999E-3"/>
    <n v="240"/>
    <x v="3"/>
    <x v="13"/>
    <n v="1"/>
    <n v="1945"/>
    <n v="7.3624940800000003"/>
    <n v="8.1041666666666661"/>
    <s v="Jan"/>
    <x v="1"/>
    <m/>
    <m/>
  </r>
  <r>
    <n v="68689251"/>
    <x v="0"/>
    <n v="1980"/>
    <d v="2026-01-06T00:00:00"/>
    <s v="KL Original Vanilla Bar 12-6PK"/>
    <x v="20"/>
    <n v="9.5760000000000012E-3"/>
    <n v="132"/>
    <x v="1"/>
    <x v="2"/>
    <n v="1"/>
    <n v="1980"/>
    <n v="18.960480000000004"/>
    <n v="15"/>
    <s v="Jan"/>
    <x v="1"/>
    <m/>
    <m/>
  </r>
  <r>
    <n v="68689251"/>
    <x v="0"/>
    <n v="1982"/>
    <d v="2026-01-06T00:00:00"/>
    <s v="KL Original Vanilla Bar 12-6PK"/>
    <x v="20"/>
    <n v="9.5760000000000012E-3"/>
    <n v="132"/>
    <x v="1"/>
    <x v="2"/>
    <n v="1"/>
    <n v="1982"/>
    <n v="18.979632000000002"/>
    <n v="15.015151515151516"/>
    <s v="Jan"/>
    <x v="1"/>
    <m/>
    <m/>
  </r>
  <r>
    <n v="68862392"/>
    <x v="1"/>
    <n v="2290"/>
    <d v="2026-01-06T00:00:00"/>
    <s v="Talenti Coffee CHOC Chip 8 1PT"/>
    <x v="8"/>
    <n v="3.7839999999999996E-3"/>
    <n v="255"/>
    <x v="2"/>
    <x v="3"/>
    <n v="1"/>
    <n v="2290"/>
    <n v="8.6653599999999997"/>
    <n v="8.9803921568627452"/>
    <s v="Jan"/>
    <x v="1"/>
    <m/>
    <m/>
  </r>
  <r>
    <n v="68921994"/>
    <x v="0"/>
    <n v="2364"/>
    <d v="2026-01-06T00:00:00"/>
    <s v="KL Dark Chocolate Bar 12-6PK"/>
    <x v="4"/>
    <n v="9.5760000000000012E-3"/>
    <n v="132"/>
    <x v="1"/>
    <x v="2"/>
    <n v="1"/>
    <n v="2364"/>
    <n v="22.637664000000004"/>
    <n v="17.90909090909091"/>
    <s v="Jan"/>
    <x v="1"/>
    <m/>
    <m/>
  </r>
  <r>
    <n v="68649095"/>
    <x v="1"/>
    <n v="2776"/>
    <d v="2026-01-06T00:00:00"/>
    <s v="BJ US-TOP-DirtCake-8 450ML"/>
    <x v="17"/>
    <n v="3.5999999999999999E-3"/>
    <n v="240"/>
    <x v="8"/>
    <x v="9"/>
    <n v="1"/>
    <n v="2776"/>
    <n v="9.9935999999999989"/>
    <n v="11.566666666666666"/>
    <s v="Jan"/>
    <x v="1"/>
    <m/>
    <m/>
  </r>
  <r>
    <n v="68689251"/>
    <x v="0"/>
    <n v="2783"/>
    <d v="2026-01-06T00:00:00"/>
    <s v="KL Original Vanilla Bar 12-6PK"/>
    <x v="2"/>
    <n v="9.5760000000000012E-3"/>
    <n v="132"/>
    <x v="1"/>
    <x v="2"/>
    <n v="1"/>
    <n v="2783"/>
    <n v="26.650008000000003"/>
    <n v="21.083333333333332"/>
    <s v="Jan"/>
    <x v="1"/>
    <m/>
    <m/>
  </r>
  <r>
    <n v="68921994"/>
    <x v="0"/>
    <n v="3034"/>
    <d v="2026-01-06T00:00:00"/>
    <s v="KL Dark Chocolate Bar 12-6PK"/>
    <x v="4"/>
    <n v="9.5760000000000012E-3"/>
    <n v="132"/>
    <x v="1"/>
    <x v="2"/>
    <n v="1"/>
    <n v="3034"/>
    <n v="29.053584000000004"/>
    <n v="22.984848484848484"/>
    <s v="Jan"/>
    <x v="1"/>
    <m/>
    <m/>
  </r>
  <r>
    <n v="68737750"/>
    <x v="0"/>
    <n v="3069"/>
    <d v="2026-01-06T00:00:00"/>
    <s v="BR CO-B Reeses 6 1.5QT"/>
    <x v="12"/>
    <n v="8.5199999999999998E-3"/>
    <n v="176"/>
    <x v="0"/>
    <x v="0"/>
    <n v="1"/>
    <n v="3069"/>
    <n v="26.147880000000001"/>
    <n v="17.4375"/>
    <s v="Jan"/>
    <x v="1"/>
    <m/>
    <m/>
  </r>
  <r>
    <n v="68737750"/>
    <x v="0"/>
    <n v="3069"/>
    <d v="2026-01-06T00:00:00"/>
    <s v="BR CO-B Reeses 6 1.5QT"/>
    <x v="12"/>
    <n v="8.5199999999999998E-3"/>
    <n v="176"/>
    <x v="0"/>
    <x v="0"/>
    <n v="1"/>
    <n v="3069"/>
    <n v="26.147880000000001"/>
    <n v="17.4375"/>
    <s v="Jan"/>
    <x v="1"/>
    <m/>
    <m/>
  </r>
  <r>
    <n v="64979407"/>
    <x v="1"/>
    <n v="3114"/>
    <d v="2026-01-06T00:00:00"/>
    <s v="BR Reeses PB Carbsmart Bar 8-6PK"/>
    <x v="13"/>
    <n v="4.2560000000000002E-3"/>
    <n v="143"/>
    <x v="5"/>
    <x v="6"/>
    <n v="1"/>
    <n v="3114"/>
    <n v="13.253184000000001"/>
    <n v="21.776223776223777"/>
    <s v="Jan"/>
    <x v="1"/>
    <m/>
    <m/>
  </r>
  <r>
    <n v="68896054"/>
    <x v="0"/>
    <n v="3344"/>
    <d v="2026-01-06T00:00:00"/>
    <s v="BR Chocolate Chip Cookie Dough 6 1.5QT"/>
    <x v="7"/>
    <n v="8.5199999999999998E-3"/>
    <n v="176"/>
    <x v="0"/>
    <x v="0"/>
    <n v="1"/>
    <n v="3344"/>
    <n v="28.490880000000001"/>
    <n v="19"/>
    <s v="Jan"/>
    <x v="1"/>
    <m/>
    <m/>
  </r>
  <r>
    <n v="68896054"/>
    <x v="0"/>
    <n v="3356"/>
    <d v="2026-01-06T00:00:00"/>
    <s v="BR Chocolate Chip Cookie Dough 6 1.5QT"/>
    <x v="7"/>
    <n v="8.5199999999999998E-3"/>
    <n v="176"/>
    <x v="0"/>
    <x v="0"/>
    <n v="1"/>
    <n v="3356"/>
    <n v="28.593119999999999"/>
    <n v="19.068181818181817"/>
    <s v="Jan"/>
    <x v="1"/>
    <m/>
    <m/>
  </r>
  <r>
    <n v="68737750"/>
    <x v="0"/>
    <n v="3466"/>
    <d v="2026-01-06T00:00:00"/>
    <s v="BR CO-B Reeses 6 1.5QT"/>
    <x v="12"/>
    <n v="8.5199999999999998E-3"/>
    <n v="176"/>
    <x v="0"/>
    <x v="0"/>
    <n v="1"/>
    <n v="3466"/>
    <n v="29.53032"/>
    <n v="19.693181818181817"/>
    <s v="Jan"/>
    <x v="1"/>
    <m/>
    <m/>
  </r>
  <r>
    <n v="64330596"/>
    <x v="1"/>
    <n v="3487"/>
    <d v="2026-01-06T00:00:00"/>
    <s v="MG Mini Double Caramel Bar 6-6PK"/>
    <x v="23"/>
    <n v="1.98E-3"/>
    <n v="176"/>
    <x v="5"/>
    <x v="6"/>
    <n v="1"/>
    <n v="3487"/>
    <n v="6.9042599999999998"/>
    <n v="19.8125"/>
    <s v="Jan"/>
    <x v="1"/>
    <m/>
    <m/>
  </r>
  <r>
    <n v="68851107"/>
    <x v="1"/>
    <n v="3527"/>
    <d v="2026-01-06T00:00:00"/>
    <s v="BR NAT Vanilla 6-1.5QT"/>
    <x v="1"/>
    <n v="8.5199999999999998E-3"/>
    <n v="176"/>
    <x v="0"/>
    <x v="1"/>
    <n v="1"/>
    <n v="3527"/>
    <n v="30.050039999999999"/>
    <n v="20.039772727272727"/>
    <s v="Jan"/>
    <x v="1"/>
    <m/>
    <m/>
  </r>
  <r>
    <n v="64330596"/>
    <x v="1"/>
    <n v="4557"/>
    <d v="2026-01-06T00:00:00"/>
    <s v="MG Mini Double Caramel Bar 6-6PK"/>
    <x v="23"/>
    <n v="1.98E-3"/>
    <n v="176"/>
    <x v="5"/>
    <x v="6"/>
    <n v="1"/>
    <n v="4557"/>
    <n v="9.0228599999999997"/>
    <n v="25.892045454545453"/>
    <s v="Jan"/>
    <x v="1"/>
    <m/>
    <m/>
  </r>
  <r>
    <n v="84144598"/>
    <x v="1"/>
    <n v="4643"/>
    <d v="2026-01-06T00:00:00"/>
    <s v="BJ US-IC-VanillaCaramelFdg-FTNG-8 1PT"/>
    <x v="22"/>
    <n v="3.7853439999999999E-3"/>
    <n v="240"/>
    <x v="3"/>
    <x v="12"/>
    <n v="1"/>
    <n v="4643"/>
    <n v="17.575352192"/>
    <n v="19.345833333333335"/>
    <s v="Jan"/>
    <x v="1"/>
    <m/>
    <m/>
  </r>
  <r>
    <n v="64979407"/>
    <x v="1"/>
    <n v="4806"/>
    <d v="2026-01-06T00:00:00"/>
    <s v="BR Reeses PB Carbsmart Bar 8-6PK"/>
    <x v="13"/>
    <n v="4.2560000000000002E-3"/>
    <n v="143"/>
    <x v="5"/>
    <x v="6"/>
    <n v="1"/>
    <n v="4806"/>
    <n v="20.454336000000001"/>
    <n v="33.608391608391607"/>
    <s v="Jan"/>
    <x v="1"/>
    <m/>
    <m/>
  </r>
  <r>
    <n v="68851104"/>
    <x v="0"/>
    <n v="4839"/>
    <d v="2026-01-06T00:00:00"/>
    <s v="BR Chocolate 6-1.5QT"/>
    <x v="6"/>
    <n v="8.5199999999999998E-3"/>
    <n v="176"/>
    <x v="0"/>
    <x v="0"/>
    <n v="1"/>
    <n v="4839"/>
    <n v="41.228279999999998"/>
    <n v="27.494318181818183"/>
    <s v="Jan"/>
    <x v="1"/>
    <m/>
    <m/>
  </r>
  <r>
    <n v="68851104"/>
    <x v="0"/>
    <n v="5060"/>
    <d v="2026-01-06T00:00:00"/>
    <s v="BR Chocolate 6-1.5QT"/>
    <x v="6"/>
    <n v="8.5199999999999998E-3"/>
    <n v="176"/>
    <x v="0"/>
    <x v="0"/>
    <n v="1"/>
    <n v="5060"/>
    <n v="43.111199999999997"/>
    <n v="28.75"/>
    <s v="Jan"/>
    <x v="1"/>
    <m/>
    <m/>
  </r>
  <r>
    <n v="68851104"/>
    <x v="0"/>
    <n v="5101"/>
    <d v="2026-01-06T00:00:00"/>
    <s v="BR Chocolate 6-1.5QT"/>
    <x v="0"/>
    <n v="8.5199999999999998E-3"/>
    <n v="176"/>
    <x v="0"/>
    <x v="0"/>
    <n v="1"/>
    <n v="5101"/>
    <n v="43.460520000000002"/>
    <n v="28.982954545454547"/>
    <s v="Jan"/>
    <x v="1"/>
    <m/>
    <m/>
  </r>
  <r>
    <n v="64958125"/>
    <x v="1"/>
    <n v="5166"/>
    <d v="2026-01-06T00:00:00"/>
    <s v="Yasso Chocolate Fudge 8-4pk"/>
    <x v="11"/>
    <n v="3.3119999999999998E-3"/>
    <n v="165"/>
    <x v="4"/>
    <x v="5"/>
    <n v="1"/>
    <n v="5166"/>
    <n v="17.109791999999999"/>
    <n v="31.309090909090909"/>
    <s v="Jan"/>
    <x v="1"/>
    <m/>
    <m/>
  </r>
  <r>
    <n v="68649095"/>
    <x v="1"/>
    <n v="5182"/>
    <d v="2026-01-06T00:00:00"/>
    <s v="BJ US-TOP-DirtCake-8 450ML"/>
    <x v="17"/>
    <n v="3.5999999999999999E-3"/>
    <n v="240"/>
    <x v="8"/>
    <x v="9"/>
    <n v="1"/>
    <n v="5182"/>
    <n v="18.655200000000001"/>
    <n v="21.591666666666665"/>
    <s v="Jan"/>
    <x v="1"/>
    <m/>
    <m/>
  </r>
  <r>
    <n v="84144598"/>
    <x v="1"/>
    <n v="5820"/>
    <d v="2026-01-06T00:00:00"/>
    <s v="BJ US-IC-VanillaCaramelFdg-FTNG-8 1PT"/>
    <x v="22"/>
    <n v="3.7853439999999999E-3"/>
    <n v="240"/>
    <x v="3"/>
    <x v="12"/>
    <n v="1"/>
    <n v="5820"/>
    <n v="22.030702080000001"/>
    <n v="24.25"/>
    <s v="Jan"/>
    <x v="1"/>
    <m/>
    <m/>
  </r>
  <r>
    <n v="64988056"/>
    <x v="1"/>
    <n v="6132"/>
    <d v="2026-01-06T00:00:00"/>
    <s v="BR Butter Pecan 6 1.5QT"/>
    <x v="5"/>
    <n v="8.513999999999999E-3"/>
    <n v="176"/>
    <x v="0"/>
    <x v="1"/>
    <n v="1"/>
    <n v="6132"/>
    <n v="52.207847999999991"/>
    <n v="34.840909090909093"/>
    <s v="Jan"/>
    <x v="1"/>
    <m/>
    <m/>
  </r>
  <r>
    <n v="64393722"/>
    <x v="1"/>
    <n v="6426"/>
    <d v="2026-01-06T00:00:00"/>
    <s v="MG Double Raspberry Bar 8-3PK"/>
    <x v="26"/>
    <n v="2.16E-3"/>
    <n v="210"/>
    <x v="5"/>
    <x v="6"/>
    <n v="1"/>
    <n v="6426"/>
    <n v="13.88016"/>
    <n v="30.6"/>
    <s v="Jan"/>
    <x v="1"/>
    <m/>
    <m/>
  </r>
  <r>
    <n v="68851104"/>
    <x v="1"/>
    <n v="6512"/>
    <d v="2026-01-06T00:00:00"/>
    <s v="BR Chocolate 6-1.5QT"/>
    <x v="3"/>
    <n v="8.5199999999999998E-3"/>
    <n v="176"/>
    <x v="0"/>
    <x v="1"/>
    <n v="1"/>
    <n v="6512"/>
    <n v="55.482239999999997"/>
    <n v="37"/>
    <s v="Jan"/>
    <x v="1"/>
    <m/>
    <m/>
  </r>
  <r>
    <n v="84161610"/>
    <x v="3"/>
    <n v="6609"/>
    <d v="2026-01-06T00:00:00"/>
    <s v="BJ US-COR-SaltedCaramelCore-FTNG-8 1PT"/>
    <x v="30"/>
    <n v="3.7853439999999999E-3"/>
    <n v="240"/>
    <x v="3"/>
    <x v="13"/>
    <n v="1"/>
    <n v="6609"/>
    <n v="25.017338496000001"/>
    <n v="27.537500000000001"/>
    <s v="Jan"/>
    <x v="1"/>
    <m/>
    <m/>
  </r>
  <r>
    <n v="68867744"/>
    <x v="1"/>
    <n v="6966"/>
    <d v="2026-01-06T00:00:00"/>
    <s v="Talenti LY Vanilla Fudge Cookie 8 303.3g"/>
    <x v="9"/>
    <n v="3.552E-3"/>
    <n v="255"/>
    <x v="2"/>
    <x v="3"/>
    <n v="1"/>
    <n v="6966"/>
    <n v="24.743231999999999"/>
    <n v="27.317647058823528"/>
    <s v="Jan"/>
    <x v="1"/>
    <m/>
    <m/>
  </r>
  <r>
    <n v="64393722"/>
    <x v="1"/>
    <n v="7140"/>
    <d v="2026-01-06T00:00:00"/>
    <s v="MG Double Raspberry Bar 8-3PK"/>
    <x v="26"/>
    <n v="2.16E-3"/>
    <n v="210"/>
    <x v="5"/>
    <x v="6"/>
    <n v="1"/>
    <n v="7140"/>
    <n v="15.4224"/>
    <n v="34"/>
    <s v="Jan"/>
    <x v="1"/>
    <m/>
    <m/>
  </r>
  <r>
    <n v="64958125"/>
    <x v="1"/>
    <n v="7260"/>
    <d v="2026-01-06T00:00:00"/>
    <s v="Yasso Chocolate Fudge 8-4pk"/>
    <x v="11"/>
    <n v="3.3119999999999998E-3"/>
    <n v="165"/>
    <x v="4"/>
    <x v="5"/>
    <n v="1"/>
    <n v="7260"/>
    <n v="24.045119999999997"/>
    <n v="44"/>
    <s v="Jan"/>
    <x v="1"/>
    <m/>
    <m/>
  </r>
  <r>
    <n v="68851104"/>
    <x v="1"/>
    <n v="7392"/>
    <d v="2026-01-06T00:00:00"/>
    <s v="BR Chocolate 6-1.5QT"/>
    <x v="3"/>
    <n v="8.5199999999999998E-3"/>
    <n v="176"/>
    <x v="0"/>
    <x v="1"/>
    <n v="1"/>
    <n v="7392"/>
    <n v="62.979839999999996"/>
    <n v="42"/>
    <s v="Jan"/>
    <x v="1"/>
    <m/>
    <m/>
  </r>
  <r>
    <n v="67430513"/>
    <x v="3"/>
    <n v="7440"/>
    <d v="2026-01-06T00:00:00"/>
    <s v="BJ US-IC-PeanutButterCup-8 1PT"/>
    <x v="24"/>
    <n v="3.7839999999999996E-3"/>
    <n v="240"/>
    <x v="3"/>
    <x v="13"/>
    <n v="1"/>
    <n v="7440"/>
    <n v="28.152959999999997"/>
    <n v="31"/>
    <s v="Jan"/>
    <x v="1"/>
    <m/>
    <m/>
  </r>
  <r>
    <n v="68851108"/>
    <x v="1"/>
    <n v="7507"/>
    <d v="2026-01-06T00:00:00"/>
    <s v="BR VAN CHOC STRAW 6-1.5QT"/>
    <x v="1"/>
    <n v="8.5199999999999998E-3"/>
    <n v="176"/>
    <x v="0"/>
    <x v="1"/>
    <n v="1"/>
    <n v="7507"/>
    <n v="63.95964"/>
    <n v="42.653409090909093"/>
    <s v="Jan"/>
    <x v="1"/>
    <m/>
    <m/>
  </r>
  <r>
    <n v="68867744"/>
    <x v="1"/>
    <n v="7815"/>
    <d v="2026-01-06T00:00:00"/>
    <s v="Talenti LY Vanilla Fudge Cookie 8 303.3g"/>
    <x v="9"/>
    <n v="3.552E-3"/>
    <n v="255"/>
    <x v="2"/>
    <x v="3"/>
    <n v="1"/>
    <n v="7815"/>
    <n v="27.758880000000001"/>
    <n v="30.647058823529413"/>
    <s v="Jan"/>
    <x v="1"/>
    <m/>
    <m/>
  </r>
  <r>
    <n v="64988056"/>
    <x v="1"/>
    <n v="7962"/>
    <d v="2026-01-06T00:00:00"/>
    <s v="BR Butter Pecan 6 1.5QT"/>
    <x v="5"/>
    <n v="8.513999999999999E-3"/>
    <n v="176"/>
    <x v="0"/>
    <x v="1"/>
    <n v="1"/>
    <n v="7962"/>
    <n v="67.788467999999995"/>
    <n v="45.238636363636367"/>
    <s v="Jan"/>
    <x v="1"/>
    <m/>
    <m/>
  </r>
  <r>
    <n v="68851104"/>
    <x v="0"/>
    <n v="8720"/>
    <d v="2026-01-06T00:00:00"/>
    <s v="BR Chocolate 6-1.5QT"/>
    <x v="0"/>
    <n v="8.5199999999999998E-3"/>
    <n v="176"/>
    <x v="0"/>
    <x v="0"/>
    <n v="1"/>
    <n v="8720"/>
    <n v="74.294399999999996"/>
    <n v="49.545454545454547"/>
    <s v="Jan"/>
    <x v="1"/>
    <m/>
    <m/>
  </r>
  <r>
    <n v="68922108"/>
    <x v="1"/>
    <n v="8744"/>
    <d v="2026-01-06T00:00:00"/>
    <s v="Talenti Caramel Cookie Crunch 8 1PT"/>
    <x v="8"/>
    <n v="3.7839999999999996E-3"/>
    <n v="255"/>
    <x v="2"/>
    <x v="3"/>
    <n v="1"/>
    <n v="8744"/>
    <n v="33.087295999999995"/>
    <n v="34.290196078431372"/>
    <s v="Jan"/>
    <x v="1"/>
    <m/>
    <m/>
  </r>
  <r>
    <n v="84137725"/>
    <x v="2"/>
    <n v="28080"/>
    <d v="2026-01-06T00:00:00"/>
    <s v="BJ US-IC-CherryGarcia-FTNG-8 1PT"/>
    <x v="10"/>
    <n v="3.7853439999999999E-3"/>
    <n v="240"/>
    <x v="3"/>
    <x v="4"/>
    <n v="1"/>
    <n v="28080"/>
    <n v="106.29245951999999"/>
    <n v="117"/>
    <s v="Jan"/>
    <x v="1"/>
    <m/>
    <m/>
  </r>
  <r>
    <n v="69999269"/>
    <x v="3"/>
    <n v="33840"/>
    <d v="2026-01-06T00:00:00"/>
    <s v="BJ US-IC-StrawberryChscke-FTNG-8 1PT"/>
    <x v="30"/>
    <n v="3.7839999999999996E-3"/>
    <n v="240"/>
    <x v="3"/>
    <x v="13"/>
    <n v="1"/>
    <n v="33840"/>
    <n v="128.05055999999999"/>
    <n v="141"/>
    <s v="Jan"/>
    <x v="1"/>
    <m/>
    <m/>
  </r>
  <r>
    <n v="68867744"/>
    <x v="1"/>
    <n v="92"/>
    <d v="2026-01-07T00:00:00"/>
    <s v="Talenti LY Vanilla Fudge Cookie 8 303.3g"/>
    <x v="9"/>
    <n v="3.552E-3"/>
    <n v="255"/>
    <x v="2"/>
    <x v="3"/>
    <n v="1"/>
    <n v="92"/>
    <n v="0.32678400000000002"/>
    <n v="0.36078431372549019"/>
    <s v="Jan"/>
    <x v="1"/>
    <m/>
    <m/>
  </r>
  <r>
    <n v="69629468"/>
    <x v="1"/>
    <n v="186"/>
    <d v="2026-01-07T00:00:00"/>
    <s v="PS Fudgesicle NSA 6-18PK"/>
    <x v="14"/>
    <n v="5.2680000000000001E-3"/>
    <n v="130"/>
    <x v="6"/>
    <x v="7"/>
    <n v="1"/>
    <n v="186"/>
    <n v="0.97984800000000005"/>
    <n v="1.4307692307692308"/>
    <s v="Jan"/>
    <x v="1"/>
    <m/>
    <m/>
  </r>
  <r>
    <n v="69629468"/>
    <x v="1"/>
    <n v="451"/>
    <d v="2026-01-07T00:00:00"/>
    <s v="PS Fudgesicle NSA 6-18PK"/>
    <x v="14"/>
    <n v="5.2680000000000001E-3"/>
    <n v="130"/>
    <x v="6"/>
    <x v="7"/>
    <n v="1"/>
    <n v="451"/>
    <n v="2.3758680000000001"/>
    <n v="3.4692307692307693"/>
    <s v="Jan"/>
    <x v="1"/>
    <m/>
    <m/>
  </r>
  <r>
    <n v="68746232"/>
    <x v="1"/>
    <n v="463"/>
    <d v="2026-01-07T00:00:00"/>
    <s v="KL Mint CHOC Chip 12-6PK"/>
    <x v="21"/>
    <n v="8.5199999999999998E-3"/>
    <n v="132"/>
    <x v="1"/>
    <x v="11"/>
    <n v="1"/>
    <n v="463"/>
    <n v="3.94476"/>
    <n v="3.5075757575757578"/>
    <s v="Jan"/>
    <x v="1"/>
    <m/>
    <m/>
  </r>
  <r>
    <n v="68741742"/>
    <x v="1"/>
    <n v="558"/>
    <d v="2026-01-07T00:00:00"/>
    <s v="GH Strawberry Shortcake Bar 8-6PK"/>
    <x v="19"/>
    <n v="4.2560000000000002E-3"/>
    <n v="154"/>
    <x v="7"/>
    <x v="10"/>
    <n v="1"/>
    <n v="558"/>
    <n v="2.3748480000000001"/>
    <n v="3.6233766233766236"/>
    <s v="Jan"/>
    <x v="1"/>
    <m/>
    <m/>
  </r>
  <r>
    <n v="64341106"/>
    <x v="1"/>
    <n v="910"/>
    <d v="2026-01-07T00:00:00"/>
    <s v="PS Jolly Rancher Pop 6-18PK"/>
    <x v="16"/>
    <n v="5.2680000000000001E-3"/>
    <n v="130"/>
    <x v="6"/>
    <x v="7"/>
    <n v="1"/>
    <n v="910"/>
    <n v="4.7938799999999997"/>
    <n v="7"/>
    <s v="Jan"/>
    <x v="1"/>
    <m/>
    <m/>
  </r>
  <r>
    <n v="64341106"/>
    <x v="1"/>
    <n v="944"/>
    <d v="2026-01-07T00:00:00"/>
    <s v="PS Jolly Rancher Pop 6-18PK"/>
    <x v="16"/>
    <n v="5.2680000000000001E-3"/>
    <n v="130"/>
    <x v="6"/>
    <x v="7"/>
    <n v="1"/>
    <n v="944"/>
    <n v="4.9729920000000005"/>
    <n v="7.2615384615384615"/>
    <s v="Jan"/>
    <x v="1"/>
    <m/>
    <m/>
  </r>
  <r>
    <n v="68741742"/>
    <x v="1"/>
    <n v="950"/>
    <d v="2026-01-07T00:00:00"/>
    <s v="GH Strawberry Shortcake Bar 8-6PK"/>
    <x v="19"/>
    <n v="4.2560000000000002E-3"/>
    <n v="154"/>
    <x v="7"/>
    <x v="10"/>
    <n v="1"/>
    <n v="950"/>
    <n v="4.0432000000000006"/>
    <n v="6.1688311688311686"/>
    <s v="Jan"/>
    <x v="1"/>
    <m/>
    <m/>
  </r>
  <r>
    <n v="67826412"/>
    <x v="1"/>
    <n v="960"/>
    <d v="2026-01-07T00:00:00"/>
    <s v="BJ US-IC-ChunkyMonkey-FTNG-8 1PT"/>
    <x v="22"/>
    <n v="3.7853439999999999E-3"/>
    <n v="240"/>
    <x v="3"/>
    <x v="12"/>
    <n v="1"/>
    <n v="960"/>
    <n v="3.6339302399999998"/>
    <n v="4"/>
    <s v="Jan"/>
    <x v="1"/>
    <m/>
    <m/>
  </r>
  <r>
    <n v="68921994"/>
    <x v="0"/>
    <n v="1056"/>
    <d v="2026-01-07T00:00:00"/>
    <s v="KL Dark Chocolate Bar 12-6PK"/>
    <x v="4"/>
    <n v="9.5760000000000012E-3"/>
    <n v="132"/>
    <x v="1"/>
    <x v="2"/>
    <n v="1"/>
    <n v="1056"/>
    <n v="10.112256000000002"/>
    <n v="8"/>
    <s v="Jan"/>
    <x v="1"/>
    <m/>
    <m/>
  </r>
  <r>
    <n v="68741742"/>
    <x v="0"/>
    <n v="1078"/>
    <d v="2026-01-07T00:00:00"/>
    <s v="GH Strawberry Shortcake Bar 8-6PK"/>
    <x v="15"/>
    <n v="4.2560000000000002E-3"/>
    <n v="154"/>
    <x v="7"/>
    <x v="8"/>
    <n v="1"/>
    <n v="1078"/>
    <n v="4.587968"/>
    <n v="7"/>
    <s v="Jan"/>
    <x v="1"/>
    <m/>
    <m/>
  </r>
  <r>
    <n v="69629468"/>
    <x v="1"/>
    <n v="1094"/>
    <d v="2026-01-07T00:00:00"/>
    <s v="PS Fudgesicle NSA 6-18PK"/>
    <x v="14"/>
    <n v="5.2680000000000001E-3"/>
    <n v="130"/>
    <x v="6"/>
    <x v="7"/>
    <n v="1"/>
    <n v="1094"/>
    <n v="5.7631920000000001"/>
    <n v="8.4153846153846157"/>
    <s v="Jan"/>
    <x v="1"/>
    <m/>
    <m/>
  </r>
  <r>
    <n v="68746232"/>
    <x v="1"/>
    <n v="1188"/>
    <d v="2026-01-07T00:00:00"/>
    <s v="KL Mint CHOC Chip 12-6PK"/>
    <x v="21"/>
    <n v="8.5199999999999998E-3"/>
    <n v="132"/>
    <x v="1"/>
    <x v="11"/>
    <n v="1"/>
    <n v="1188"/>
    <n v="10.12176"/>
    <n v="9"/>
    <s v="Jan"/>
    <x v="1"/>
    <m/>
    <m/>
  </r>
  <r>
    <n v="68921994"/>
    <x v="0"/>
    <n v="1209"/>
    <d v="2026-01-07T00:00:00"/>
    <s v="KL Dark Chocolate Bar 12-6PK"/>
    <x v="4"/>
    <n v="9.5760000000000012E-3"/>
    <n v="132"/>
    <x v="1"/>
    <x v="2"/>
    <n v="1"/>
    <n v="1209"/>
    <n v="11.577384000000002"/>
    <n v="9.1590909090909083"/>
    <s v="Jan"/>
    <x v="1"/>
    <m/>
    <m/>
  </r>
  <r>
    <n v="68821735"/>
    <x v="1"/>
    <n v="1408"/>
    <d v="2026-01-07T00:00:00"/>
    <s v="BR Lactose Free Vanilla 6 1.5QT"/>
    <x v="3"/>
    <n v="8.5199999999999998E-3"/>
    <n v="176"/>
    <x v="0"/>
    <x v="1"/>
    <n v="1"/>
    <n v="1408"/>
    <n v="11.99616"/>
    <n v="8"/>
    <s v="Jan"/>
    <x v="1"/>
    <m/>
    <m/>
  </r>
  <r>
    <n v="64979407"/>
    <x v="1"/>
    <n v="1528"/>
    <d v="2026-01-07T00:00:00"/>
    <s v="BR Reeses PB Carbsmart Bar 8-6PK"/>
    <x v="13"/>
    <n v="4.2560000000000002E-3"/>
    <n v="143"/>
    <x v="5"/>
    <x v="6"/>
    <n v="1"/>
    <n v="1528"/>
    <n v="6.5031680000000005"/>
    <n v="10.685314685314685"/>
    <s v="Jan"/>
    <x v="1"/>
    <m/>
    <m/>
  </r>
  <r>
    <n v="69629468"/>
    <x v="0"/>
    <n v="1747"/>
    <d v="2026-01-07T00:00:00"/>
    <s v="PS Fudgesicle NSA 6-18PK"/>
    <x v="28"/>
    <n v="5.2680000000000001E-3"/>
    <n v="130"/>
    <x v="6"/>
    <x v="15"/>
    <n v="1"/>
    <n v="1747"/>
    <n v="9.2031960000000002"/>
    <n v="13.438461538461539"/>
    <s v="Jan"/>
    <x v="1"/>
    <m/>
    <m/>
  </r>
  <r>
    <n v="68649095"/>
    <x v="1"/>
    <n v="1815"/>
    <d v="2026-01-07T00:00:00"/>
    <s v="BJ US-TOP-DirtCake-8 450ML"/>
    <x v="17"/>
    <n v="3.5999999999999999E-3"/>
    <n v="240"/>
    <x v="8"/>
    <x v="9"/>
    <n v="1"/>
    <n v="1815"/>
    <n v="6.5339999999999998"/>
    <n v="7.5625"/>
    <s v="Jan"/>
    <x v="1"/>
    <m/>
    <m/>
  </r>
  <r>
    <n v="64776954"/>
    <x v="0"/>
    <n v="1820"/>
    <d v="2026-01-07T00:00:00"/>
    <s v="PS Scribblers Natural 6-18PK"/>
    <x v="29"/>
    <n v="3.8340000000000002E-3"/>
    <n v="130"/>
    <x v="6"/>
    <x v="15"/>
    <n v="1"/>
    <n v="1820"/>
    <n v="6.9778800000000007"/>
    <n v="14"/>
    <s v="Jan"/>
    <x v="1"/>
    <m/>
    <m/>
  </r>
  <r>
    <n v="69629468"/>
    <x v="0"/>
    <n v="1820"/>
    <d v="2026-01-07T00:00:00"/>
    <s v="PS Fudgesicle NSA 6-18PK"/>
    <x v="28"/>
    <n v="5.2680000000000001E-3"/>
    <n v="130"/>
    <x v="6"/>
    <x v="15"/>
    <n v="1"/>
    <n v="1820"/>
    <n v="9.5877599999999994"/>
    <n v="14"/>
    <s v="Jan"/>
    <x v="1"/>
    <m/>
    <m/>
  </r>
  <r>
    <n v="69725082"/>
    <x v="0"/>
    <n v="1820"/>
    <d v="2026-01-07T00:00:00"/>
    <s v="PS OCG 6-18PK"/>
    <x v="27"/>
    <n v="5.2680000000000001E-3"/>
    <n v="130"/>
    <x v="6"/>
    <x v="15"/>
    <n v="1"/>
    <n v="1820"/>
    <n v="9.5877599999999994"/>
    <n v="14"/>
    <s v="Jan"/>
    <x v="1"/>
    <m/>
    <m/>
  </r>
  <r>
    <n v="68741714"/>
    <x v="0"/>
    <n v="2010"/>
    <d v="2026-01-07T00:00:00"/>
    <s v="GH Strawberry Shortcake 1-24BK"/>
    <x v="18"/>
    <n v="2.8319999999999999E-3"/>
    <n v="225"/>
    <x v="7"/>
    <x v="8"/>
    <n v="1"/>
    <n v="2010"/>
    <n v="5.6923199999999996"/>
    <n v="8.9333333333333336"/>
    <s v="Jan"/>
    <x v="1"/>
    <m/>
    <m/>
  </r>
  <r>
    <n v="64393722"/>
    <x v="1"/>
    <n v="2165"/>
    <d v="2026-01-07T00:00:00"/>
    <s v="MG Double Raspberry Bar 8-3PK"/>
    <x v="26"/>
    <n v="2.16E-3"/>
    <n v="210"/>
    <x v="5"/>
    <x v="6"/>
    <n v="1"/>
    <n v="2165"/>
    <n v="4.6764000000000001"/>
    <n v="10.30952380952381"/>
    <s v="Jan"/>
    <x v="1"/>
    <m/>
    <m/>
  </r>
  <r>
    <n v="68689251"/>
    <x v="0"/>
    <n v="2376"/>
    <d v="2026-01-07T00:00:00"/>
    <s v="KL Original Vanilla Bar 12-6PK"/>
    <x v="20"/>
    <n v="9.5760000000000012E-3"/>
    <n v="132"/>
    <x v="1"/>
    <x v="2"/>
    <n v="1"/>
    <n v="2376"/>
    <n v="22.752576000000001"/>
    <n v="18"/>
    <s v="Jan"/>
    <x v="1"/>
    <m/>
    <m/>
  </r>
  <r>
    <n v="69725082"/>
    <x v="0"/>
    <n v="2502"/>
    <d v="2026-01-07T00:00:00"/>
    <s v="PS OCG 6-18PK"/>
    <x v="27"/>
    <n v="5.2680000000000001E-3"/>
    <n v="130"/>
    <x v="6"/>
    <x v="15"/>
    <n v="1"/>
    <n v="2502"/>
    <n v="13.180536"/>
    <n v="19.246153846153845"/>
    <s v="Jan"/>
    <x v="1"/>
    <m/>
    <m/>
  </r>
  <r>
    <n v="68689251"/>
    <x v="0"/>
    <n v="2508"/>
    <d v="2026-01-07T00:00:00"/>
    <s v="KL Original Vanilla Bar 12-6PK"/>
    <x v="2"/>
    <n v="9.5760000000000012E-3"/>
    <n v="132"/>
    <x v="1"/>
    <x v="2"/>
    <n v="1"/>
    <n v="2508"/>
    <n v="24.016608000000002"/>
    <n v="19"/>
    <s v="Jan"/>
    <x v="1"/>
    <m/>
    <m/>
  </r>
  <r>
    <n v="68851104"/>
    <x v="1"/>
    <n v="2547"/>
    <d v="2026-01-07T00:00:00"/>
    <s v="BR Chocolate 6-1.5QT"/>
    <x v="3"/>
    <n v="8.5199999999999998E-3"/>
    <n v="176"/>
    <x v="0"/>
    <x v="1"/>
    <n v="1"/>
    <n v="2547"/>
    <n v="21.70044"/>
    <n v="14.471590909090908"/>
    <s v="Jan"/>
    <x v="1"/>
    <m/>
    <m/>
  </r>
  <r>
    <n v="68649095"/>
    <x v="1"/>
    <n v="2553"/>
    <d v="2026-01-07T00:00:00"/>
    <s v="BJ US-TOP-DirtCake-8 450ML"/>
    <x v="17"/>
    <n v="3.5999999999999999E-3"/>
    <n v="240"/>
    <x v="8"/>
    <x v="9"/>
    <n v="1"/>
    <n v="2553"/>
    <n v="9.1907999999999994"/>
    <n v="10.637499999999999"/>
    <s v="Jan"/>
    <x v="1"/>
    <m/>
    <m/>
  </r>
  <r>
    <n v="64776954"/>
    <x v="0"/>
    <n v="2628"/>
    <d v="2026-01-07T00:00:00"/>
    <s v="PS Scribblers Natural 6-18PK"/>
    <x v="29"/>
    <n v="3.8340000000000002E-3"/>
    <n v="130"/>
    <x v="6"/>
    <x v="15"/>
    <n v="1"/>
    <n v="2628"/>
    <n v="10.075752"/>
    <n v="20.215384615384615"/>
    <s v="Jan"/>
    <x v="1"/>
    <m/>
    <m/>
  </r>
  <r>
    <n v="68741742"/>
    <x v="0"/>
    <n v="3251"/>
    <d v="2026-01-07T00:00:00"/>
    <s v="GH Strawberry Shortcake Bar 8-6PK"/>
    <x v="15"/>
    <n v="4.2560000000000002E-3"/>
    <n v="154"/>
    <x v="7"/>
    <x v="8"/>
    <n v="1"/>
    <n v="3251"/>
    <n v="13.836256000000001"/>
    <n v="21.11038961038961"/>
    <s v="Jan"/>
    <x v="1"/>
    <m/>
    <m/>
  </r>
  <r>
    <n v="68689251"/>
    <x v="0"/>
    <n v="3393"/>
    <d v="2026-01-07T00:00:00"/>
    <s v="KL Original Vanilla Bar 12-6PK"/>
    <x v="20"/>
    <n v="9.5760000000000012E-3"/>
    <n v="132"/>
    <x v="1"/>
    <x v="2"/>
    <n v="1"/>
    <n v="3393"/>
    <n v="32.491368000000001"/>
    <n v="25.704545454545453"/>
    <s v="Jan"/>
    <x v="1"/>
    <m/>
    <m/>
  </r>
  <r>
    <n v="68741714"/>
    <x v="0"/>
    <n v="3495"/>
    <d v="2026-01-07T00:00:00"/>
    <s v="GH Strawberry Shortcake 1-24BK"/>
    <x v="18"/>
    <n v="2.8319999999999999E-3"/>
    <n v="225"/>
    <x v="7"/>
    <x v="8"/>
    <n v="1"/>
    <n v="3495"/>
    <n v="9.8978400000000004"/>
    <n v="15.533333333333333"/>
    <s v="Jan"/>
    <x v="1"/>
    <m/>
    <m/>
  </r>
  <r>
    <n v="64958125"/>
    <x v="1"/>
    <n v="3739"/>
    <d v="2026-01-07T00:00:00"/>
    <s v="Yasso Chocolate Fudge 8-4pk"/>
    <x v="11"/>
    <n v="3.3119999999999998E-3"/>
    <n v="165"/>
    <x v="4"/>
    <x v="5"/>
    <n v="1"/>
    <n v="3739"/>
    <n v="12.383567999999999"/>
    <n v="22.66060606060606"/>
    <s v="Jan"/>
    <x v="1"/>
    <m/>
    <m/>
  </r>
  <r>
    <n v="68896054"/>
    <x v="0"/>
    <n v="3811"/>
    <d v="2026-01-07T00:00:00"/>
    <s v="BR Chocolate Chip Cookie Dough 6 1.5QT"/>
    <x v="7"/>
    <n v="8.5199999999999998E-3"/>
    <n v="176"/>
    <x v="0"/>
    <x v="0"/>
    <n v="1"/>
    <n v="3811"/>
    <n v="32.469720000000002"/>
    <n v="21.65340909090909"/>
    <s v="Jan"/>
    <x v="1"/>
    <m/>
    <m/>
  </r>
  <r>
    <n v="64979407"/>
    <x v="1"/>
    <n v="3960"/>
    <d v="2026-01-07T00:00:00"/>
    <s v="BR Reeses PB Carbsmart Bar 8-6PK"/>
    <x v="13"/>
    <n v="4.2560000000000002E-3"/>
    <n v="143"/>
    <x v="5"/>
    <x v="6"/>
    <n v="1"/>
    <n v="3960"/>
    <n v="16.853760000000001"/>
    <n v="27.692307692307693"/>
    <s v="Jan"/>
    <x v="1"/>
    <m/>
    <m/>
  </r>
  <r>
    <n v="68862392"/>
    <x v="1"/>
    <n v="4037"/>
    <d v="2026-01-07T00:00:00"/>
    <s v="Talenti Coffee CHOC Chip 8 1PT"/>
    <x v="8"/>
    <n v="3.7839999999999996E-3"/>
    <n v="255"/>
    <x v="2"/>
    <x v="3"/>
    <n v="1"/>
    <n v="4037"/>
    <n v="15.276007999999999"/>
    <n v="15.831372549019608"/>
    <s v="Jan"/>
    <x v="1"/>
    <m/>
    <m/>
  </r>
  <r>
    <n v="68689251"/>
    <x v="0"/>
    <n v="4098"/>
    <d v="2026-01-07T00:00:00"/>
    <s v="KL Original Vanilla Bar 12-6PK"/>
    <x v="2"/>
    <n v="9.5760000000000012E-3"/>
    <n v="132"/>
    <x v="1"/>
    <x v="2"/>
    <n v="1"/>
    <n v="4098"/>
    <n v="39.242448000000003"/>
    <n v="31.045454545454547"/>
    <s v="Jan"/>
    <x v="1"/>
    <m/>
    <m/>
  </r>
  <r>
    <n v="68737750"/>
    <x v="0"/>
    <n v="4122"/>
    <d v="2026-01-07T00:00:00"/>
    <s v="BR CO-B Reeses 6 1.5QT"/>
    <x v="12"/>
    <n v="8.5199999999999998E-3"/>
    <n v="176"/>
    <x v="0"/>
    <x v="0"/>
    <n v="1"/>
    <n v="4122"/>
    <n v="35.119439999999997"/>
    <n v="23.420454545454547"/>
    <s v="Jan"/>
    <x v="1"/>
    <m/>
    <m/>
  </r>
  <r>
    <n v="64330596"/>
    <x v="1"/>
    <n v="4129"/>
    <d v="2026-01-07T00:00:00"/>
    <s v="MG Mini Double Caramel Bar 6-6PK"/>
    <x v="23"/>
    <n v="1.98E-3"/>
    <n v="176"/>
    <x v="5"/>
    <x v="6"/>
    <n v="1"/>
    <n v="4129"/>
    <n v="8.1754200000000008"/>
    <n v="23.460227272727273"/>
    <s v="Jan"/>
    <x v="1"/>
    <m/>
    <m/>
  </r>
  <r>
    <n v="68851104"/>
    <x v="0"/>
    <n v="4522"/>
    <d v="2026-01-07T00:00:00"/>
    <s v="BR Chocolate 6-1.5QT"/>
    <x v="6"/>
    <n v="8.5199999999999998E-3"/>
    <n v="176"/>
    <x v="0"/>
    <x v="0"/>
    <n v="1"/>
    <n v="4522"/>
    <n v="38.527439999999999"/>
    <n v="25.693181818181817"/>
    <s v="Jan"/>
    <x v="1"/>
    <m/>
    <m/>
  </r>
  <r>
    <n v="64330596"/>
    <x v="1"/>
    <n v="4576"/>
    <d v="2026-01-07T00:00:00"/>
    <s v="MG Mini Double Caramel Bar 6-6PK"/>
    <x v="23"/>
    <n v="1.98E-3"/>
    <n v="176"/>
    <x v="5"/>
    <x v="6"/>
    <n v="1"/>
    <n v="4576"/>
    <n v="9.0604800000000001"/>
    <n v="26"/>
    <s v="Jan"/>
    <x v="1"/>
    <m/>
    <m/>
  </r>
  <r>
    <n v="64330611"/>
    <x v="1"/>
    <n v="4830"/>
    <d v="2026-01-07T00:00:00"/>
    <s v="MG Double Caramel Bar 8-3PK"/>
    <x v="26"/>
    <n v="2.16E-3"/>
    <n v="210"/>
    <x v="5"/>
    <x v="6"/>
    <n v="1"/>
    <n v="4830"/>
    <n v="10.4328"/>
    <n v="23"/>
    <s v="Jan"/>
    <x v="1"/>
    <m/>
    <m/>
  </r>
  <r>
    <n v="68867744"/>
    <x v="1"/>
    <n v="5175"/>
    <d v="2026-01-07T00:00:00"/>
    <s v="Talenti LY Vanilla Fudge Cookie 8 303.3g"/>
    <x v="9"/>
    <n v="3.552E-3"/>
    <n v="255"/>
    <x v="2"/>
    <x v="3"/>
    <n v="1"/>
    <n v="5175"/>
    <n v="18.381599999999999"/>
    <n v="20.294117647058822"/>
    <s v="Jan"/>
    <x v="1"/>
    <m/>
    <m/>
  </r>
  <r>
    <n v="68851108"/>
    <x v="1"/>
    <n v="5757"/>
    <d v="2026-01-07T00:00:00"/>
    <s v="BR VAN CHOC STRAW 6-1.5QT"/>
    <x v="1"/>
    <n v="8.5199999999999998E-3"/>
    <n v="176"/>
    <x v="0"/>
    <x v="1"/>
    <n v="1"/>
    <n v="5757"/>
    <n v="49.049639999999997"/>
    <n v="32.710227272727273"/>
    <s v="Jan"/>
    <x v="1"/>
    <m/>
    <m/>
  </r>
  <r>
    <n v="68851104"/>
    <x v="1"/>
    <n v="6082"/>
    <d v="2026-01-07T00:00:00"/>
    <s v="BR Chocolate 6-1.5QT"/>
    <x v="3"/>
    <n v="8.5199999999999998E-3"/>
    <n v="176"/>
    <x v="0"/>
    <x v="1"/>
    <n v="1"/>
    <n v="6082"/>
    <n v="51.818640000000002"/>
    <n v="34.55681818181818"/>
    <s v="Jan"/>
    <x v="1"/>
    <m/>
    <m/>
  </r>
  <r>
    <n v="64988056"/>
    <x v="1"/>
    <n v="6422"/>
    <d v="2026-01-07T00:00:00"/>
    <s v="BR Butter Pecan 6 1.5QT"/>
    <x v="5"/>
    <n v="8.513999999999999E-3"/>
    <n v="176"/>
    <x v="0"/>
    <x v="1"/>
    <n v="1"/>
    <n v="6422"/>
    <n v="54.67690799999999"/>
    <n v="36.488636363636367"/>
    <s v="Jan"/>
    <x v="1"/>
    <m/>
    <m/>
  </r>
  <r>
    <n v="64988056"/>
    <x v="1"/>
    <n v="6512"/>
    <d v="2026-01-07T00:00:00"/>
    <s v="BR Butter Pecan 6 1.5QT"/>
    <x v="5"/>
    <n v="8.513999999999999E-3"/>
    <n v="176"/>
    <x v="0"/>
    <x v="1"/>
    <n v="1"/>
    <n v="6512"/>
    <n v="55.443167999999993"/>
    <n v="37"/>
    <s v="Jan"/>
    <x v="1"/>
    <m/>
    <m/>
  </r>
  <r>
    <n v="68896054"/>
    <x v="0"/>
    <n v="6527"/>
    <d v="2026-01-07T00:00:00"/>
    <s v="BR Chocolate Chip Cookie Dough 6 1.5QT"/>
    <x v="7"/>
    <n v="8.5199999999999998E-3"/>
    <n v="176"/>
    <x v="0"/>
    <x v="0"/>
    <n v="1"/>
    <n v="6527"/>
    <n v="55.610039999999998"/>
    <n v="37.085227272727273"/>
    <s v="Jan"/>
    <x v="1"/>
    <m/>
    <m/>
  </r>
  <r>
    <n v="68737750"/>
    <x v="0"/>
    <n v="7139"/>
    <d v="2026-01-07T00:00:00"/>
    <s v="BR CO-B Reeses 6 1.5QT"/>
    <x v="12"/>
    <n v="8.5199999999999998E-3"/>
    <n v="176"/>
    <x v="0"/>
    <x v="0"/>
    <n v="1"/>
    <n v="7139"/>
    <n v="60.824280000000002"/>
    <n v="40.5625"/>
    <s v="Jan"/>
    <x v="1"/>
    <m/>
    <m/>
  </r>
  <r>
    <n v="67826412"/>
    <x v="1"/>
    <n v="7679"/>
    <d v="2026-01-07T00:00:00"/>
    <s v="BJ US-IC-ChunkyMonkey-FTNG-8 1PT"/>
    <x v="22"/>
    <n v="3.7853439999999999E-3"/>
    <n v="240"/>
    <x v="3"/>
    <x v="12"/>
    <n v="1"/>
    <n v="7679"/>
    <n v="29.067656576000001"/>
    <n v="31.995833333333334"/>
    <s v="Jan"/>
    <x v="1"/>
    <m/>
    <m/>
  </r>
  <r>
    <n v="64958125"/>
    <x v="1"/>
    <n v="7920"/>
    <d v="2026-01-07T00:00:00"/>
    <s v="Yasso Chocolate Fudge 8-4pk"/>
    <x v="11"/>
    <n v="3.3119999999999998E-3"/>
    <n v="165"/>
    <x v="4"/>
    <x v="5"/>
    <n v="1"/>
    <n v="7920"/>
    <n v="26.23104"/>
    <n v="48"/>
    <s v="Jan"/>
    <x v="1"/>
    <m/>
    <m/>
  </r>
  <r>
    <n v="68851108"/>
    <x v="1"/>
    <n v="7920"/>
    <d v="2026-01-07T00:00:00"/>
    <s v="BR VAN CHOC STRAW 6-1.5QT"/>
    <x v="1"/>
    <n v="8.5199999999999998E-3"/>
    <n v="176"/>
    <x v="0"/>
    <x v="1"/>
    <n v="1"/>
    <n v="7920"/>
    <n v="67.478399999999993"/>
    <n v="45"/>
    <s v="Jan"/>
    <x v="1"/>
    <m/>
    <m/>
  </r>
  <r>
    <n v="68851104"/>
    <x v="0"/>
    <n v="10328"/>
    <d v="2026-01-07T00:00:00"/>
    <s v="BR Chocolate 6-1.5QT"/>
    <x v="6"/>
    <n v="8.5199999999999998E-3"/>
    <n v="176"/>
    <x v="0"/>
    <x v="0"/>
    <n v="1"/>
    <n v="10328"/>
    <n v="87.994559999999993"/>
    <n v="58.68181818181818"/>
    <s v="Jan"/>
    <x v="1"/>
    <m/>
    <m/>
  </r>
  <r>
    <n v="68851104"/>
    <x v="0"/>
    <n v="10654"/>
    <d v="2026-01-07T00:00:00"/>
    <s v="BR Chocolate 6-1.5QT"/>
    <x v="0"/>
    <n v="8.5199999999999998E-3"/>
    <n v="176"/>
    <x v="0"/>
    <x v="0"/>
    <n v="1"/>
    <n v="10654"/>
    <n v="90.772080000000003"/>
    <n v="60.534090909090907"/>
    <s v="Jan"/>
    <x v="1"/>
    <m/>
    <m/>
  </r>
  <r>
    <n v="84161610"/>
    <x v="3"/>
    <n v="11155"/>
    <d v="2026-01-07T00:00:00"/>
    <s v="BJ US-COR-SaltedCaramelCore-FTNG-8 1PT"/>
    <x v="30"/>
    <n v="3.7853439999999999E-3"/>
    <n v="240"/>
    <x v="3"/>
    <x v="13"/>
    <n v="1"/>
    <n v="11155"/>
    <n v="42.22551232"/>
    <n v="46.479166666666664"/>
    <s v="Jan"/>
    <x v="1"/>
    <m/>
    <m/>
  </r>
  <r>
    <n v="68862392"/>
    <x v="1"/>
    <n v="11475"/>
    <d v="2026-01-07T00:00:00"/>
    <s v="Talenti Coffee CHOC Chip 8 1PT"/>
    <x v="8"/>
    <n v="3.7839999999999996E-3"/>
    <n v="255"/>
    <x v="2"/>
    <x v="3"/>
    <n v="1"/>
    <n v="11475"/>
    <n v="43.421399999999998"/>
    <n v="45"/>
    <s v="Jan"/>
    <x v="1"/>
    <m/>
    <m/>
  </r>
  <r>
    <n v="67430513"/>
    <x v="3"/>
    <n v="18720"/>
    <d v="2026-01-07T00:00:00"/>
    <s v="BJ US-IC-PeanutButterCup-8 1PT"/>
    <x v="24"/>
    <n v="3.7839999999999996E-3"/>
    <n v="240"/>
    <x v="3"/>
    <x v="13"/>
    <n v="1"/>
    <n v="18720"/>
    <n v="70.836479999999995"/>
    <n v="78"/>
    <s v="Jan"/>
    <x v="1"/>
    <m/>
    <m/>
  </r>
  <r>
    <n v="84137725"/>
    <x v="2"/>
    <n v="22875"/>
    <d v="2026-01-07T00:00:00"/>
    <s v="BJ US-IC-CherryGarcia-FTNG-8 1PT"/>
    <x v="10"/>
    <n v="3.7853439999999999E-3"/>
    <n v="240"/>
    <x v="3"/>
    <x v="4"/>
    <n v="1"/>
    <n v="22875"/>
    <n v="86.589743999999996"/>
    <n v="95.3125"/>
    <s v="Jan"/>
    <x v="1"/>
    <m/>
    <m/>
  </r>
  <r>
    <n v="69999269"/>
    <x v="3"/>
    <n v="36720"/>
    <d v="2026-01-07T00:00:00"/>
    <s v="BJ US-IC-StrawberryChscke-FTNG-8 1PT"/>
    <x v="30"/>
    <n v="3.7839999999999996E-3"/>
    <n v="240"/>
    <x v="3"/>
    <x v="13"/>
    <n v="1"/>
    <n v="36720"/>
    <n v="138.94847999999999"/>
    <n v="153"/>
    <s v="Jan"/>
    <x v="1"/>
    <m/>
    <m/>
  </r>
  <r>
    <n v="68867755"/>
    <x v="1"/>
    <n v="-135"/>
    <d v="2026-01-08T00:00:00"/>
    <s v="Talenti LY Salted CAR Truffle 8 323.1g"/>
    <x v="9"/>
    <n v="3.552E-3"/>
    <n v="255"/>
    <x v="2"/>
    <x v="3"/>
    <n v="1"/>
    <n v="-135"/>
    <n v="-0.47952"/>
    <n v="-0.52941176470588236"/>
    <s v="Jan"/>
    <x v="1"/>
    <m/>
    <m/>
  </r>
  <r>
    <n v="68921994"/>
    <x v="0"/>
    <n v="4"/>
    <d v="2026-01-08T00:00:00"/>
    <s v="KL Dark Chocolate Bar 12-6PK"/>
    <x v="4"/>
    <n v="9.5760000000000012E-3"/>
    <n v="132"/>
    <x v="1"/>
    <x v="2"/>
    <n v="1"/>
    <n v="4"/>
    <n v="3.8304000000000005E-2"/>
    <n v="3.0303030303030304E-2"/>
    <s v="Jan"/>
    <x v="1"/>
    <m/>
    <m/>
  </r>
  <r>
    <n v="68851108"/>
    <x v="1"/>
    <n v="129"/>
    <d v="2026-01-08T00:00:00"/>
    <s v="BR VAN CHOC STRAW 6-1.5QT"/>
    <x v="1"/>
    <n v="8.5199999999999998E-3"/>
    <n v="176"/>
    <x v="0"/>
    <x v="1"/>
    <n v="1"/>
    <n v="129"/>
    <n v="1.0990800000000001"/>
    <n v="0.73295454545454541"/>
    <s v="Jan"/>
    <x v="1"/>
    <m/>
    <m/>
  </r>
  <r>
    <n v="64958128"/>
    <x v="1"/>
    <n v="165"/>
    <d v="2026-01-08T00:00:00"/>
    <s v="Yasso Mint Chocolate Chip 8-4pk"/>
    <x v="11"/>
    <n v="3.3119999999999998E-3"/>
    <n v="165"/>
    <x v="4"/>
    <x v="5"/>
    <n v="1"/>
    <n v="165"/>
    <n v="0.54647999999999997"/>
    <n v="1"/>
    <s v="Jan"/>
    <x v="1"/>
    <m/>
    <m/>
  </r>
  <r>
    <n v="68817796"/>
    <x v="0"/>
    <n v="176"/>
    <d v="2026-01-08T00:00:00"/>
    <s v="BR XCRMY Vanilla 6 1.5QT"/>
    <x v="0"/>
    <n v="8.513999999999999E-3"/>
    <n v="176"/>
    <x v="0"/>
    <x v="0"/>
    <n v="1"/>
    <n v="176"/>
    <n v="1.4984639999999998"/>
    <n v="1"/>
    <s v="Jan"/>
    <x v="1"/>
    <m/>
    <m/>
  </r>
  <r>
    <n v="68851104"/>
    <x v="1"/>
    <n v="176"/>
    <d v="2026-01-08T00:00:00"/>
    <s v="BR Chocolate 6-1.5QT"/>
    <x v="3"/>
    <n v="8.5199999999999998E-3"/>
    <n v="176"/>
    <x v="0"/>
    <x v="1"/>
    <n v="1"/>
    <n v="176"/>
    <n v="1.49952"/>
    <n v="1"/>
    <s v="Jan"/>
    <x v="1"/>
    <m/>
    <m/>
  </r>
  <r>
    <n v="69629468"/>
    <x v="1"/>
    <n v="247"/>
    <d v="2026-01-08T00:00:00"/>
    <s v="PS Fudgesicle NSA 6-18PK"/>
    <x v="14"/>
    <n v="5.2680000000000001E-3"/>
    <n v="130"/>
    <x v="6"/>
    <x v="7"/>
    <n v="1"/>
    <n v="247"/>
    <n v="1.301196"/>
    <n v="1.9"/>
    <s v="Jan"/>
    <x v="1"/>
    <m/>
    <m/>
  </r>
  <r>
    <n v="68741742"/>
    <x v="1"/>
    <n v="308"/>
    <d v="2026-01-08T00:00:00"/>
    <s v="GH Strawberry Shortcake Bar 8-6PK"/>
    <x v="19"/>
    <n v="4.2560000000000002E-3"/>
    <n v="154"/>
    <x v="7"/>
    <x v="10"/>
    <n v="1"/>
    <n v="308"/>
    <n v="1.310848"/>
    <n v="2"/>
    <s v="Jan"/>
    <x v="1"/>
    <m/>
    <m/>
  </r>
  <r>
    <n v="68746232"/>
    <x v="1"/>
    <n v="637"/>
    <d v="2026-01-08T00:00:00"/>
    <s v="KL Mint CHOC Chip 12-6PK"/>
    <x v="21"/>
    <n v="8.5199999999999998E-3"/>
    <n v="132"/>
    <x v="1"/>
    <x v="11"/>
    <n v="1"/>
    <n v="637"/>
    <n v="5.4272400000000003"/>
    <n v="4.8257575757575761"/>
    <s v="Jan"/>
    <x v="1"/>
    <m/>
    <m/>
  </r>
  <r>
    <n v="64341106"/>
    <x v="1"/>
    <n v="859"/>
    <d v="2026-01-08T00:00:00"/>
    <s v="PS Jolly Rancher Pop 6-18PK"/>
    <x v="16"/>
    <n v="5.2680000000000001E-3"/>
    <n v="130"/>
    <x v="6"/>
    <x v="7"/>
    <n v="1"/>
    <n v="859"/>
    <n v="4.5252119999999998"/>
    <n v="6.6076923076923073"/>
    <s v="Jan"/>
    <x v="1"/>
    <m/>
    <m/>
  </r>
  <r>
    <n v="69725082"/>
    <x v="0"/>
    <n v="910"/>
    <d v="2026-01-08T00:00:00"/>
    <s v="PS OCG 6-18PK"/>
    <x v="27"/>
    <n v="5.2680000000000001E-3"/>
    <n v="130"/>
    <x v="6"/>
    <x v="15"/>
    <n v="1"/>
    <n v="910"/>
    <n v="4.7938799999999997"/>
    <n v="7"/>
    <s v="Jan"/>
    <x v="1"/>
    <m/>
    <m/>
  </r>
  <r>
    <n v="68741742"/>
    <x v="1"/>
    <n v="1348"/>
    <d v="2026-01-08T00:00:00"/>
    <s v="GH Strawberry Shortcake Bar 8-6PK"/>
    <x v="19"/>
    <n v="4.2560000000000002E-3"/>
    <n v="154"/>
    <x v="7"/>
    <x v="10"/>
    <n v="1"/>
    <n v="1348"/>
    <n v="5.737088"/>
    <n v="8.7532467532467528"/>
    <s v="Jan"/>
    <x v="1"/>
    <m/>
    <m/>
  </r>
  <r>
    <n v="84141103"/>
    <x v="2"/>
    <n v="1440"/>
    <d v="2026-01-08T00:00:00"/>
    <s v="BJ US-IC-HalfBaked-FTNG-8 1PT"/>
    <x v="30"/>
    <n v="3.7853439999999999E-3"/>
    <n v="240"/>
    <x v="3"/>
    <x v="4"/>
    <n v="1"/>
    <n v="1440"/>
    <n v="5.4508953599999996"/>
    <n v="6"/>
    <s v="Jan"/>
    <x v="1"/>
    <m/>
    <m/>
  </r>
  <r>
    <n v="68746232"/>
    <x v="1"/>
    <n v="1515"/>
    <d v="2026-01-08T00:00:00"/>
    <s v="KL Mint CHOC Chip 12-6PK"/>
    <x v="21"/>
    <n v="8.5199999999999998E-3"/>
    <n v="132"/>
    <x v="1"/>
    <x v="11"/>
    <n v="1"/>
    <n v="1515"/>
    <n v="12.9078"/>
    <n v="11.477272727272727"/>
    <s v="Jan"/>
    <x v="1"/>
    <m/>
    <m/>
  </r>
  <r>
    <n v="68741742"/>
    <x v="0"/>
    <n v="1540"/>
    <d v="2026-01-08T00:00:00"/>
    <s v="GH Strawberry Shortcake Bar 8-6PK"/>
    <x v="15"/>
    <n v="4.2560000000000002E-3"/>
    <n v="154"/>
    <x v="7"/>
    <x v="8"/>
    <n v="1"/>
    <n v="1540"/>
    <n v="6.5542400000000001"/>
    <n v="10"/>
    <s v="Jan"/>
    <x v="1"/>
    <m/>
    <m/>
  </r>
  <r>
    <n v="64341106"/>
    <x v="1"/>
    <n v="1690"/>
    <d v="2026-01-08T00:00:00"/>
    <s v="PS Jolly Rancher Pop 6-18PK"/>
    <x v="16"/>
    <n v="5.2680000000000001E-3"/>
    <n v="130"/>
    <x v="6"/>
    <x v="7"/>
    <n v="1"/>
    <n v="1690"/>
    <n v="8.9029199999999999"/>
    <n v="13"/>
    <s v="Jan"/>
    <x v="1"/>
    <m/>
    <m/>
  </r>
  <r>
    <n v="64330596"/>
    <x v="1"/>
    <n v="1817"/>
    <d v="2026-01-08T00:00:00"/>
    <s v="MG Mini Double Caramel Bar 6-6PK"/>
    <x v="23"/>
    <n v="1.98E-3"/>
    <n v="176"/>
    <x v="5"/>
    <x v="6"/>
    <n v="1"/>
    <n v="1817"/>
    <n v="3.5976599999999999"/>
    <n v="10.323863636363637"/>
    <s v="Jan"/>
    <x v="1"/>
    <m/>
    <m/>
  </r>
  <r>
    <n v="69629468"/>
    <x v="0"/>
    <n v="1950"/>
    <d v="2026-01-08T00:00:00"/>
    <s v="PS Fudgesicle NSA 6-18PK"/>
    <x v="28"/>
    <n v="5.2680000000000001E-3"/>
    <n v="130"/>
    <x v="6"/>
    <x v="15"/>
    <n v="1"/>
    <n v="1950"/>
    <n v="10.272600000000001"/>
    <n v="15"/>
    <s v="Jan"/>
    <x v="1"/>
    <m/>
    <m/>
  </r>
  <r>
    <n v="64776954"/>
    <x v="0"/>
    <n v="2079"/>
    <d v="2026-01-08T00:00:00"/>
    <s v="PS Scribblers Natural 6-18PK"/>
    <x v="29"/>
    <n v="3.8340000000000002E-3"/>
    <n v="130"/>
    <x v="6"/>
    <x v="15"/>
    <n v="1"/>
    <n v="2079"/>
    <n v="7.9708860000000001"/>
    <n v="15.992307692307692"/>
    <s v="Jan"/>
    <x v="1"/>
    <m/>
    <m/>
  </r>
  <r>
    <n v="68741714"/>
    <x v="0"/>
    <n v="2250"/>
    <d v="2026-01-08T00:00:00"/>
    <s v="GH Strawberry Shortcake 1-24BK"/>
    <x v="18"/>
    <n v="2.8319999999999999E-3"/>
    <n v="225"/>
    <x v="7"/>
    <x v="8"/>
    <n v="1"/>
    <n v="2250"/>
    <n v="6.3719999999999999"/>
    <n v="10"/>
    <s v="Jan"/>
    <x v="1"/>
    <m/>
    <m/>
  </r>
  <r>
    <n v="69629468"/>
    <x v="0"/>
    <n v="2351"/>
    <d v="2026-01-08T00:00:00"/>
    <s v="PS Fudgesicle NSA 6-18PK"/>
    <x v="28"/>
    <n v="5.2680000000000001E-3"/>
    <n v="130"/>
    <x v="6"/>
    <x v="15"/>
    <n v="1"/>
    <n v="2351"/>
    <n v="12.385068"/>
    <n v="18.084615384615386"/>
    <s v="Jan"/>
    <x v="1"/>
    <m/>
    <m/>
  </r>
  <r>
    <n v="67826412"/>
    <x v="1"/>
    <n v="2400"/>
    <d v="2026-01-08T00:00:00"/>
    <s v="BJ US-IC-ChunkyMonkey-FTNG-8 1PT"/>
    <x v="22"/>
    <n v="3.7853439999999999E-3"/>
    <n v="240"/>
    <x v="3"/>
    <x v="12"/>
    <n v="1"/>
    <n v="2400"/>
    <n v="9.0848256000000003"/>
    <n v="10"/>
    <s v="Jan"/>
    <x v="1"/>
    <m/>
    <m/>
  </r>
  <r>
    <n v="64776954"/>
    <x v="0"/>
    <n v="2631"/>
    <d v="2026-01-08T00:00:00"/>
    <s v="PS Scribblers Natural 6-18PK"/>
    <x v="29"/>
    <n v="3.8340000000000002E-3"/>
    <n v="130"/>
    <x v="6"/>
    <x v="15"/>
    <n v="1"/>
    <n v="2631"/>
    <n v="10.087254"/>
    <n v="20.238461538461539"/>
    <s v="Jan"/>
    <x v="1"/>
    <m/>
    <m/>
  </r>
  <r>
    <n v="68689251"/>
    <x v="0"/>
    <n v="2772"/>
    <d v="2026-01-08T00:00:00"/>
    <s v="KL Original Vanilla Bar 12-6PK"/>
    <x v="2"/>
    <n v="9.5760000000000012E-3"/>
    <n v="132"/>
    <x v="1"/>
    <x v="2"/>
    <n v="1"/>
    <n v="2772"/>
    <n v="26.544672000000002"/>
    <n v="21"/>
    <s v="Jan"/>
    <x v="1"/>
    <m/>
    <m/>
  </r>
  <r>
    <n v="68921994"/>
    <x v="0"/>
    <n v="2772"/>
    <d v="2026-01-08T00:00:00"/>
    <s v="KL Dark Chocolate Bar 12-6PK"/>
    <x v="4"/>
    <n v="9.5760000000000012E-3"/>
    <n v="132"/>
    <x v="1"/>
    <x v="2"/>
    <n v="1"/>
    <n v="2772"/>
    <n v="26.544672000000002"/>
    <n v="21"/>
    <s v="Jan"/>
    <x v="1"/>
    <m/>
    <m/>
  </r>
  <r>
    <n v="68867744"/>
    <x v="1"/>
    <n v="2971"/>
    <d v="2026-01-08T00:00:00"/>
    <s v="Talenti LY Vanilla Fudge Cookie 8 303.3g"/>
    <x v="9"/>
    <n v="3.552E-3"/>
    <n v="255"/>
    <x v="2"/>
    <x v="3"/>
    <n v="1"/>
    <n v="2971"/>
    <n v="10.552992"/>
    <n v="11.650980392156862"/>
    <s v="Jan"/>
    <x v="1"/>
    <m/>
    <m/>
  </r>
  <r>
    <n v="68741742"/>
    <x v="0"/>
    <n v="3118"/>
    <d v="2026-01-08T00:00:00"/>
    <s v="GH Strawberry Shortcake Bar 8-6PK"/>
    <x v="15"/>
    <n v="4.2560000000000002E-3"/>
    <n v="154"/>
    <x v="7"/>
    <x v="8"/>
    <n v="1"/>
    <n v="3118"/>
    <n v="13.270208"/>
    <n v="20.246753246753247"/>
    <s v="Jan"/>
    <x v="1"/>
    <m/>
    <m/>
  </r>
  <r>
    <n v="69725082"/>
    <x v="0"/>
    <n v="3250"/>
    <d v="2026-01-08T00:00:00"/>
    <s v="PS OCG 6-18PK"/>
    <x v="27"/>
    <n v="5.2680000000000001E-3"/>
    <n v="130"/>
    <x v="6"/>
    <x v="15"/>
    <n v="1"/>
    <n v="3250"/>
    <n v="17.120999999999999"/>
    <n v="25"/>
    <s v="Jan"/>
    <x v="1"/>
    <m/>
    <m/>
  </r>
  <r>
    <n v="68689251"/>
    <x v="0"/>
    <n v="3602"/>
    <d v="2026-01-08T00:00:00"/>
    <s v="KL Original Vanilla Bar 12-6PK"/>
    <x v="20"/>
    <n v="9.5760000000000012E-3"/>
    <n v="132"/>
    <x v="1"/>
    <x v="2"/>
    <n v="1"/>
    <n v="3602"/>
    <n v="34.492752000000003"/>
    <n v="27.287878787878789"/>
    <s v="Jan"/>
    <x v="1"/>
    <m/>
    <m/>
  </r>
  <r>
    <n v="68689251"/>
    <x v="0"/>
    <n v="3974"/>
    <d v="2026-01-08T00:00:00"/>
    <s v="KL Original Vanilla Bar 12-6PK"/>
    <x v="2"/>
    <n v="9.5760000000000012E-3"/>
    <n v="132"/>
    <x v="1"/>
    <x v="2"/>
    <n v="1"/>
    <n v="3974"/>
    <n v="38.055024000000003"/>
    <n v="30.106060606060606"/>
    <s v="Jan"/>
    <x v="1"/>
    <m/>
    <m/>
  </r>
  <r>
    <n v="64979407"/>
    <x v="1"/>
    <n v="4127"/>
    <d v="2026-01-08T00:00:00"/>
    <s v="BR Reeses PB Carbsmart Bar 8-6PK"/>
    <x v="13"/>
    <n v="4.2560000000000002E-3"/>
    <n v="143"/>
    <x v="5"/>
    <x v="6"/>
    <n v="1"/>
    <n v="4127"/>
    <n v="17.564512000000001"/>
    <n v="28.86013986013986"/>
    <s v="Jan"/>
    <x v="1"/>
    <m/>
    <m/>
  </r>
  <r>
    <n v="64979407"/>
    <x v="1"/>
    <n v="4134"/>
    <d v="2026-01-08T00:00:00"/>
    <s v="BR Reeses PB Carbsmart Bar 8-6PK"/>
    <x v="13"/>
    <n v="4.2560000000000002E-3"/>
    <n v="143"/>
    <x v="5"/>
    <x v="6"/>
    <n v="1"/>
    <n v="4134"/>
    <n v="17.594304000000001"/>
    <n v="28.90909090909091"/>
    <s v="Jan"/>
    <x v="1"/>
    <m/>
    <m/>
  </r>
  <r>
    <n v="64958125"/>
    <x v="1"/>
    <n v="4213"/>
    <d v="2026-01-08T00:00:00"/>
    <s v="Yasso Chocolate Fudge 8-4pk"/>
    <x v="11"/>
    <n v="3.3119999999999998E-3"/>
    <n v="165"/>
    <x v="4"/>
    <x v="5"/>
    <n v="1"/>
    <n v="4213"/>
    <n v="13.953455999999999"/>
    <n v="25.533333333333335"/>
    <s v="Jan"/>
    <x v="1"/>
    <m/>
    <m/>
  </r>
  <r>
    <n v="68850683"/>
    <x v="0"/>
    <n v="4334"/>
    <d v="2026-01-08T00:00:00"/>
    <s v="BR Homemade Vanilla 6-1.5QT"/>
    <x v="0"/>
    <n v="8.5199999999999998E-3"/>
    <n v="176"/>
    <x v="0"/>
    <x v="0"/>
    <n v="1"/>
    <n v="4334"/>
    <n v="36.92568"/>
    <n v="24.625"/>
    <s v="Jan"/>
    <x v="1"/>
    <m/>
    <m/>
  </r>
  <r>
    <n v="68741714"/>
    <x v="0"/>
    <n v="4344"/>
    <d v="2026-01-08T00:00:00"/>
    <s v="GH Strawberry Shortcake 1-24BK"/>
    <x v="18"/>
    <n v="2.8319999999999999E-3"/>
    <n v="225"/>
    <x v="7"/>
    <x v="8"/>
    <n v="1"/>
    <n v="4344"/>
    <n v="12.302208"/>
    <n v="19.306666666666668"/>
    <s v="Jan"/>
    <x v="1"/>
    <m/>
    <m/>
  </r>
  <r>
    <n v="64988056"/>
    <x v="1"/>
    <n v="4426"/>
    <d v="2026-01-08T00:00:00"/>
    <s v="BR Butter Pecan 6 1.5QT"/>
    <x v="5"/>
    <n v="8.513999999999999E-3"/>
    <n v="176"/>
    <x v="0"/>
    <x v="1"/>
    <n v="1"/>
    <n v="4426"/>
    <n v="37.682963999999998"/>
    <n v="25.147727272727273"/>
    <s v="Jan"/>
    <x v="1"/>
    <m/>
    <m/>
  </r>
  <r>
    <n v="68921994"/>
    <x v="0"/>
    <n v="4526"/>
    <d v="2026-01-08T00:00:00"/>
    <s v="KL Dark Chocolate Bar 12-6PK"/>
    <x v="4"/>
    <n v="9.5760000000000012E-3"/>
    <n v="132"/>
    <x v="1"/>
    <x v="2"/>
    <n v="1"/>
    <n v="4526"/>
    <n v="43.340976000000005"/>
    <n v="34.287878787878789"/>
    <s v="Jan"/>
    <x v="1"/>
    <m/>
    <m/>
  </r>
  <r>
    <n v="64369046"/>
    <x v="1"/>
    <n v="4590"/>
    <d v="2026-01-08T00:00:00"/>
    <s v="TAL LYR Snickerdoodle 8p 326.7g"/>
    <x v="9"/>
    <n v="3.552E-3"/>
    <n v="255"/>
    <x v="2"/>
    <x v="3"/>
    <n v="1"/>
    <n v="4590"/>
    <n v="16.30368"/>
    <n v="18"/>
    <s v="Jan"/>
    <x v="1"/>
    <m/>
    <m/>
  </r>
  <r>
    <n v="68737750"/>
    <x v="0"/>
    <n v="5266"/>
    <d v="2026-01-08T00:00:00"/>
    <s v="BR CO-B Reeses 6 1.5QT"/>
    <x v="12"/>
    <n v="8.5199999999999998E-3"/>
    <n v="176"/>
    <x v="0"/>
    <x v="0"/>
    <n v="1"/>
    <n v="5266"/>
    <n v="44.866320000000002"/>
    <n v="29.920454545454547"/>
    <s v="Jan"/>
    <x v="1"/>
    <m/>
    <m/>
  </r>
  <r>
    <n v="68649095"/>
    <x v="1"/>
    <n v="5280"/>
    <d v="2026-01-08T00:00:00"/>
    <s v="BJ US-TOP-DirtCake-8 450ML"/>
    <x v="17"/>
    <n v="3.5999999999999999E-3"/>
    <n v="240"/>
    <x v="8"/>
    <x v="9"/>
    <n v="1"/>
    <n v="5280"/>
    <n v="19.007999999999999"/>
    <n v="22"/>
    <s v="Jan"/>
    <x v="1"/>
    <m/>
    <m/>
  </r>
  <r>
    <n v="68732322"/>
    <x v="2"/>
    <n v="5479"/>
    <d v="2026-01-08T00:00:00"/>
    <s v="BJ SORV-IC-HalfBaked-8 458ML"/>
    <x v="24"/>
    <n v="3.6640000000000002E-3"/>
    <n v="240"/>
    <x v="10"/>
    <x v="16"/>
    <n v="1"/>
    <n v="5479"/>
    <n v="20.075056"/>
    <n v="22.829166666666666"/>
    <s v="Jan"/>
    <x v="1"/>
    <m/>
    <m/>
  </r>
  <r>
    <n v="68896054"/>
    <x v="0"/>
    <n v="6097"/>
    <d v="2026-01-08T00:00:00"/>
    <s v="BR Chocolate Chip Cookie Dough 6 1.5QT"/>
    <x v="7"/>
    <n v="8.5199999999999998E-3"/>
    <n v="176"/>
    <x v="0"/>
    <x v="0"/>
    <n v="1"/>
    <n v="6097"/>
    <n v="51.946439999999996"/>
    <n v="34.642045454545453"/>
    <s v="Jan"/>
    <x v="1"/>
    <m/>
    <m/>
  </r>
  <r>
    <n v="64330611"/>
    <x v="1"/>
    <n v="6426"/>
    <d v="2026-01-08T00:00:00"/>
    <s v="MG Double Caramel Bar 8-3PK"/>
    <x v="26"/>
    <n v="2.16E-3"/>
    <n v="210"/>
    <x v="5"/>
    <x v="6"/>
    <n v="1"/>
    <n v="6426"/>
    <n v="13.88016"/>
    <n v="30.6"/>
    <s v="Jan"/>
    <x v="1"/>
    <m/>
    <m/>
  </r>
  <r>
    <n v="68821735"/>
    <x v="1"/>
    <n v="6512"/>
    <d v="2026-01-08T00:00:00"/>
    <s v="BR Lactose Free Vanilla 6 1.5QT"/>
    <x v="3"/>
    <n v="8.5199999999999998E-3"/>
    <n v="176"/>
    <x v="0"/>
    <x v="1"/>
    <n v="1"/>
    <n v="6512"/>
    <n v="55.482239999999997"/>
    <n v="37"/>
    <s v="Jan"/>
    <x v="1"/>
    <m/>
    <m/>
  </r>
  <r>
    <n v="68821735"/>
    <x v="1"/>
    <n v="6688"/>
    <d v="2026-01-08T00:00:00"/>
    <s v="BR Lactose Free Vanilla 6 1.5QT"/>
    <x v="3"/>
    <n v="8.5199999999999998E-3"/>
    <n v="176"/>
    <x v="0"/>
    <x v="1"/>
    <n v="1"/>
    <n v="6688"/>
    <n v="56.981760000000001"/>
    <n v="38"/>
    <s v="Jan"/>
    <x v="1"/>
    <m/>
    <m/>
  </r>
  <r>
    <n v="64330611"/>
    <x v="1"/>
    <n v="6720"/>
    <d v="2026-01-08T00:00:00"/>
    <s v="MG Double Caramel Bar 8-3PK"/>
    <x v="26"/>
    <n v="2.16E-3"/>
    <n v="210"/>
    <x v="5"/>
    <x v="6"/>
    <n v="1"/>
    <n v="6720"/>
    <n v="14.5152"/>
    <n v="32"/>
    <s v="Jan"/>
    <x v="1"/>
    <m/>
    <m/>
  </r>
  <r>
    <n v="64330596"/>
    <x v="1"/>
    <n v="6912"/>
    <d v="2026-01-08T00:00:00"/>
    <s v="MG Mini Double Caramel Bar 6-6PK"/>
    <x v="23"/>
    <n v="1.98E-3"/>
    <n v="176"/>
    <x v="5"/>
    <x v="6"/>
    <n v="1"/>
    <n v="6912"/>
    <n v="13.68576"/>
    <n v="39.272727272727273"/>
    <s v="Jan"/>
    <x v="1"/>
    <m/>
    <m/>
  </r>
  <r>
    <n v="64958125"/>
    <x v="1"/>
    <n v="7260"/>
    <d v="2026-01-08T00:00:00"/>
    <s v="Yasso Chocolate Fudge 8-4pk"/>
    <x v="11"/>
    <n v="3.3119999999999998E-3"/>
    <n v="165"/>
    <x v="4"/>
    <x v="5"/>
    <n v="1"/>
    <n v="7260"/>
    <n v="24.045119999999997"/>
    <n v="44"/>
    <s v="Jan"/>
    <x v="1"/>
    <m/>
    <m/>
  </r>
  <r>
    <n v="67826412"/>
    <x v="1"/>
    <n v="7920"/>
    <d v="2026-01-08T00:00:00"/>
    <s v="BJ US-IC-ChunkyMonkey-FTNG-8 1PT"/>
    <x v="22"/>
    <n v="3.7853439999999999E-3"/>
    <n v="240"/>
    <x v="3"/>
    <x v="12"/>
    <n v="1"/>
    <n v="7920"/>
    <n v="29.979924480000001"/>
    <n v="33"/>
    <s v="Jan"/>
    <x v="1"/>
    <m/>
    <m/>
  </r>
  <r>
    <n v="68851104"/>
    <x v="0"/>
    <n v="8135"/>
    <d v="2026-01-08T00:00:00"/>
    <s v="BR Chocolate 6-1.5QT"/>
    <x v="6"/>
    <n v="8.5199999999999998E-3"/>
    <n v="176"/>
    <x v="0"/>
    <x v="0"/>
    <n v="1"/>
    <n v="8135"/>
    <n v="69.310199999999995"/>
    <n v="46.221590909090907"/>
    <s v="Jan"/>
    <x v="1"/>
    <m/>
    <m/>
  </r>
  <r>
    <n v="68851108"/>
    <x v="1"/>
    <n v="8987"/>
    <d v="2026-01-08T00:00:00"/>
    <s v="BR VAN CHOC STRAW 6-1.5QT"/>
    <x v="1"/>
    <n v="8.5199999999999998E-3"/>
    <n v="176"/>
    <x v="0"/>
    <x v="1"/>
    <n v="1"/>
    <n v="8987"/>
    <n v="76.569239999999994"/>
    <n v="51.0625"/>
    <s v="Jan"/>
    <x v="1"/>
    <m/>
    <m/>
  </r>
  <r>
    <n v="68851108"/>
    <x v="1"/>
    <n v="9152"/>
    <d v="2026-01-08T00:00:00"/>
    <s v="BR VAN CHOC STRAW 6-1.5QT"/>
    <x v="1"/>
    <n v="8.5199999999999998E-3"/>
    <n v="176"/>
    <x v="0"/>
    <x v="1"/>
    <n v="1"/>
    <n v="9152"/>
    <n v="77.975039999999993"/>
    <n v="52"/>
    <s v="Jan"/>
    <x v="1"/>
    <m/>
    <m/>
  </r>
  <r>
    <n v="68862392"/>
    <x v="1"/>
    <n v="9790"/>
    <d v="2026-01-08T00:00:00"/>
    <s v="Talenti Coffee CHOC Chip 8 1PT"/>
    <x v="8"/>
    <n v="3.7839999999999996E-3"/>
    <n v="255"/>
    <x v="2"/>
    <x v="3"/>
    <n v="1"/>
    <n v="9790"/>
    <n v="37.045359999999995"/>
    <n v="38.392156862745097"/>
    <s v="Jan"/>
    <x v="1"/>
    <m/>
    <m/>
  </r>
  <r>
    <n v="69999269"/>
    <x v="3"/>
    <n v="11520"/>
    <d v="2026-01-08T00:00:00"/>
    <s v="BJ US-IC-StrawberryChscke-FTNG-8 1PT"/>
    <x v="30"/>
    <n v="3.7839999999999996E-3"/>
    <n v="240"/>
    <x v="3"/>
    <x v="13"/>
    <n v="1"/>
    <n v="11520"/>
    <n v="43.591679999999997"/>
    <n v="48"/>
    <s v="Jan"/>
    <x v="1"/>
    <m/>
    <m/>
  </r>
  <r>
    <n v="67430513"/>
    <x v="3"/>
    <n v="12720"/>
    <d v="2026-01-08T00:00:00"/>
    <s v="BJ US-IC-PeanutButterCup-8 1PT"/>
    <x v="24"/>
    <n v="3.7839999999999996E-3"/>
    <n v="240"/>
    <x v="3"/>
    <x v="13"/>
    <n v="1"/>
    <n v="12720"/>
    <n v="48.132479999999994"/>
    <n v="53"/>
    <s v="Jan"/>
    <x v="1"/>
    <m/>
    <m/>
  </r>
  <r>
    <n v="68862392"/>
    <x v="1"/>
    <n v="13515"/>
    <d v="2026-01-08T00:00:00"/>
    <s v="Talenti Coffee CHOC Chip 8 1PT"/>
    <x v="8"/>
    <n v="3.7839999999999996E-3"/>
    <n v="255"/>
    <x v="2"/>
    <x v="3"/>
    <n v="1"/>
    <n v="13515"/>
    <n v="51.140759999999993"/>
    <n v="53"/>
    <s v="Jan"/>
    <x v="1"/>
    <m/>
    <m/>
  </r>
  <r>
    <n v="69999269"/>
    <x v="3"/>
    <n v="18161"/>
    <d v="2026-01-08T00:00:00"/>
    <s v="BJ US-IC-StrawberryChscke-FTNG-8 1PT"/>
    <x v="30"/>
    <n v="3.7839999999999996E-3"/>
    <n v="240"/>
    <x v="3"/>
    <x v="13"/>
    <n v="1"/>
    <n v="18161"/>
    <n v="68.721223999999992"/>
    <n v="75.670833333333334"/>
    <s v="Jan"/>
    <x v="1"/>
    <m/>
    <m/>
  </r>
  <r>
    <n v="84161610"/>
    <x v="3"/>
    <n v="21054"/>
    <d v="2026-01-08T00:00:00"/>
    <s v="BJ US-COR-SaltedCaramelCore-FTNG-8 1PT"/>
    <x v="30"/>
    <n v="3.7853439999999999E-3"/>
    <n v="240"/>
    <x v="3"/>
    <x v="13"/>
    <n v="1"/>
    <n v="21054"/>
    <n v="79.696632575999999"/>
    <n v="87.724999999999994"/>
    <s v="Jan"/>
    <x v="1"/>
    <m/>
    <m/>
  </r>
  <r>
    <n v="62694914"/>
    <x v="1"/>
    <n v="-1477"/>
    <d v="2026-01-09T00:00:00"/>
    <s v="MG Almond Bar 1-12PK"/>
    <x v="26"/>
    <n v="1.08E-3"/>
    <n v="493"/>
    <x v="5"/>
    <x v="6"/>
    <n v="1"/>
    <n v="-1477"/>
    <n v="-1.5951599999999999"/>
    <n v="-2.995943204868154"/>
    <s v="Jan"/>
    <x v="1"/>
    <m/>
    <m/>
  </r>
  <r>
    <n v="68649095"/>
    <x v="1"/>
    <n v="-402"/>
    <d v="2026-01-09T00:00:00"/>
    <s v="BJ US-TOP-DirtCake-8 450ML"/>
    <x v="17"/>
    <n v="3.5999999999999999E-3"/>
    <n v="240"/>
    <x v="8"/>
    <x v="9"/>
    <n v="1"/>
    <n v="-402"/>
    <n v="-1.4472"/>
    <n v="-1.675"/>
    <s v="Jan"/>
    <x v="1"/>
    <m/>
    <m/>
  </r>
  <r>
    <n v="64330596"/>
    <x v="1"/>
    <n v="-262"/>
    <d v="2026-01-09T00:00:00"/>
    <s v="MG Mini Double Caramel Bar 6-6PK"/>
    <x v="23"/>
    <n v="1.98E-3"/>
    <n v="176"/>
    <x v="5"/>
    <x v="6"/>
    <n v="1"/>
    <n v="-262"/>
    <n v="-0.51876"/>
    <n v="-1.4886363636363635"/>
    <s v="Jan"/>
    <x v="1"/>
    <m/>
    <m/>
  </r>
  <r>
    <n v="64958125"/>
    <x v="1"/>
    <n v="-223"/>
    <d v="2026-01-09T00:00:00"/>
    <s v="Yasso Chocolate Fudge 8-4pk"/>
    <x v="11"/>
    <n v="3.3119999999999998E-3"/>
    <n v="165"/>
    <x v="4"/>
    <x v="5"/>
    <n v="1"/>
    <n v="-223"/>
    <n v="-0.73857600000000001"/>
    <n v="-1.3515151515151516"/>
    <s v="Jan"/>
    <x v="1"/>
    <m/>
    <m/>
  </r>
  <r>
    <n v="64975616"/>
    <x v="1"/>
    <n v="-210"/>
    <d v="2026-01-09T00:00:00"/>
    <s v="Yasso Mint Chocolate Chip 8-14z"/>
    <x v="22"/>
    <n v="3.3119999999999998E-3"/>
    <n v="240"/>
    <x v="11"/>
    <x v="17"/>
    <n v="1"/>
    <n v="-210"/>
    <n v="-0.69551999999999992"/>
    <n v="-0.875"/>
    <s v="Jan"/>
    <x v="1"/>
    <m/>
    <m/>
  </r>
  <r>
    <n v="64988056"/>
    <x v="1"/>
    <n v="-176"/>
    <d v="2026-01-09T00:00:00"/>
    <s v="BR Butter Pecan 6 1.5QT"/>
    <x v="5"/>
    <n v="8.513999999999999E-3"/>
    <n v="176"/>
    <x v="0"/>
    <x v="1"/>
    <n v="1"/>
    <n v="-176"/>
    <n v="-1.4984639999999998"/>
    <n v="-1"/>
    <s v="Jan"/>
    <x v="1"/>
    <m/>
    <m/>
  </r>
  <r>
    <n v="64979407"/>
    <x v="1"/>
    <n v="-143"/>
    <d v="2026-01-09T00:00:00"/>
    <s v="BR Reeses PB Carbsmart Bar 8-6PK"/>
    <x v="13"/>
    <n v="4.2560000000000002E-3"/>
    <n v="143"/>
    <x v="5"/>
    <x v="6"/>
    <n v="1"/>
    <n v="-143"/>
    <n v="-0.60860800000000004"/>
    <n v="-1"/>
    <s v="Jan"/>
    <x v="1"/>
    <m/>
    <m/>
  </r>
  <r>
    <n v="68922108"/>
    <x v="1"/>
    <n v="-113"/>
    <d v="2026-01-09T00:00:00"/>
    <s v="Talenti Caramel Cookie Crunch 8 1PT"/>
    <x v="8"/>
    <n v="3.7839999999999996E-3"/>
    <n v="255"/>
    <x v="2"/>
    <x v="3"/>
    <n v="1"/>
    <n v="-113"/>
    <n v="-0.42759199999999997"/>
    <n v="-0.44313725490196076"/>
    <s v="Jan"/>
    <x v="1"/>
    <m/>
    <m/>
  </r>
  <r>
    <n v="62694914"/>
    <x v="1"/>
    <n v="-58"/>
    <d v="2026-01-09T00:00:00"/>
    <s v="MG Almond Bar 1-12PK"/>
    <x v="26"/>
    <n v="1.08E-3"/>
    <n v="493"/>
    <x v="5"/>
    <x v="6"/>
    <n v="1"/>
    <n v="-58"/>
    <n v="-6.2640000000000001E-2"/>
    <n v="-0.11764705882352941"/>
    <s v="Jan"/>
    <x v="1"/>
    <m/>
    <m/>
  </r>
  <r>
    <n v="68746232"/>
    <x v="1"/>
    <n v="116"/>
    <d v="2026-01-09T00:00:00"/>
    <s v="KL Mint CHOC Chip 12-6PK"/>
    <x v="21"/>
    <n v="8.5199999999999998E-3"/>
    <n v="132"/>
    <x v="1"/>
    <x v="11"/>
    <n v="1"/>
    <n v="116"/>
    <n v="0.98831999999999998"/>
    <n v="0.87878787878787878"/>
    <s v="Jan"/>
    <x v="1"/>
    <m/>
    <m/>
  </r>
  <r>
    <n v="69629468"/>
    <x v="1"/>
    <n v="260"/>
    <d v="2026-01-09T00:00:00"/>
    <s v="PS Fudgesicle NSA 6-18PK"/>
    <x v="14"/>
    <n v="5.2680000000000001E-3"/>
    <n v="130"/>
    <x v="6"/>
    <x v="7"/>
    <n v="1"/>
    <n v="260"/>
    <n v="1.36968"/>
    <n v="2"/>
    <s v="Jan"/>
    <x v="1"/>
    <m/>
    <m/>
  </r>
  <r>
    <n v="69629468"/>
    <x v="0"/>
    <n v="520"/>
    <d v="2026-01-09T00:00:00"/>
    <s v="PS Fudgesicle NSA 6-18PK"/>
    <x v="28"/>
    <n v="5.2680000000000001E-3"/>
    <n v="130"/>
    <x v="6"/>
    <x v="15"/>
    <n v="1"/>
    <n v="520"/>
    <n v="2.73936"/>
    <n v="4"/>
    <s v="Jan"/>
    <x v="1"/>
    <m/>
    <m/>
  </r>
  <r>
    <n v="69629468"/>
    <x v="1"/>
    <n v="799"/>
    <d v="2026-01-09T00:00:00"/>
    <s v="PS Fudgesicle NSA 6-18PK"/>
    <x v="14"/>
    <n v="5.2680000000000001E-3"/>
    <n v="130"/>
    <x v="6"/>
    <x v="7"/>
    <n v="1"/>
    <n v="799"/>
    <n v="4.2091320000000003"/>
    <n v="6.1461538461538465"/>
    <s v="Jan"/>
    <x v="1"/>
    <m/>
    <m/>
  </r>
  <r>
    <n v="64341106"/>
    <x v="1"/>
    <n v="1051"/>
    <d v="2026-01-09T00:00:00"/>
    <s v="PS Jolly Rancher Pop 6-18PK"/>
    <x v="16"/>
    <n v="5.2680000000000001E-3"/>
    <n v="130"/>
    <x v="6"/>
    <x v="7"/>
    <n v="1"/>
    <n v="1051"/>
    <n v="5.5366679999999997"/>
    <n v="8.0846153846153843"/>
    <s v="Jan"/>
    <x v="1"/>
    <m/>
    <m/>
  </r>
  <r>
    <n v="68741742"/>
    <x v="0"/>
    <n v="1078"/>
    <d v="2026-01-09T00:00:00"/>
    <s v="GH Strawberry Shortcake Bar 8-6PK"/>
    <x v="15"/>
    <n v="4.2560000000000002E-3"/>
    <n v="154"/>
    <x v="7"/>
    <x v="8"/>
    <n v="1"/>
    <n v="1078"/>
    <n v="4.587968"/>
    <n v="7"/>
    <s v="Jan"/>
    <x v="1"/>
    <m/>
    <m/>
  </r>
  <r>
    <n v="64979407"/>
    <x v="1"/>
    <n v="1144"/>
    <d v="2026-01-09T00:00:00"/>
    <s v="BR Reeses PB Carbsmart Bar 8-6PK"/>
    <x v="13"/>
    <n v="4.2560000000000002E-3"/>
    <n v="143"/>
    <x v="5"/>
    <x v="6"/>
    <n v="1"/>
    <n v="1144"/>
    <n v="4.8688640000000003"/>
    <n v="8"/>
    <s v="Jan"/>
    <x v="1"/>
    <m/>
    <m/>
  </r>
  <r>
    <n v="68746232"/>
    <x v="1"/>
    <n v="1229"/>
    <d v="2026-01-09T00:00:00"/>
    <s v="KL Mint CHOC Chip 12-6PK"/>
    <x v="21"/>
    <n v="8.5199999999999998E-3"/>
    <n v="132"/>
    <x v="1"/>
    <x v="11"/>
    <n v="1"/>
    <n v="1229"/>
    <n v="10.471080000000001"/>
    <n v="9.3106060606060606"/>
    <s v="Jan"/>
    <x v="1"/>
    <m/>
    <m/>
  </r>
  <r>
    <n v="64341106"/>
    <x v="1"/>
    <n v="1248"/>
    <d v="2026-01-09T00:00:00"/>
    <s v="PS Jolly Rancher Pop 6-18PK"/>
    <x v="16"/>
    <n v="5.2680000000000001E-3"/>
    <n v="130"/>
    <x v="6"/>
    <x v="7"/>
    <n v="1"/>
    <n v="1248"/>
    <n v="6.5744639999999999"/>
    <n v="9.6"/>
    <s v="Jan"/>
    <x v="1"/>
    <m/>
    <m/>
  </r>
  <r>
    <n v="69690941"/>
    <x v="1"/>
    <n v="1324"/>
    <d v="2026-01-09T00:00:00"/>
    <s v="MG Mini Classic 6-6PK"/>
    <x v="23"/>
    <n v="1.98E-3"/>
    <n v="176"/>
    <x v="5"/>
    <x v="6"/>
    <n v="1"/>
    <n v="1324"/>
    <n v="2.6215199999999999"/>
    <n v="7.5227272727272725"/>
    <s v="Jan"/>
    <x v="1"/>
    <m/>
    <m/>
  </r>
  <r>
    <n v="68741742"/>
    <x v="1"/>
    <n v="1366"/>
    <d v="2026-01-09T00:00:00"/>
    <s v="GH Strawberry Shortcake Bar 8-6PK"/>
    <x v="19"/>
    <n v="4.2560000000000002E-3"/>
    <n v="154"/>
    <x v="7"/>
    <x v="10"/>
    <n v="1"/>
    <n v="1366"/>
    <n v="5.8136960000000002"/>
    <n v="8.8701298701298708"/>
    <s v="Jan"/>
    <x v="1"/>
    <m/>
    <m/>
  </r>
  <r>
    <n v="68741742"/>
    <x v="1"/>
    <n v="1409"/>
    <d v="2026-01-09T00:00:00"/>
    <s v="GH Strawberry Shortcake Bar 8-6PK"/>
    <x v="19"/>
    <n v="4.2560000000000002E-3"/>
    <n v="154"/>
    <x v="7"/>
    <x v="10"/>
    <n v="1"/>
    <n v="1409"/>
    <n v="5.9967040000000003"/>
    <n v="9.1493506493506498"/>
    <s v="Jan"/>
    <x v="1"/>
    <m/>
    <m/>
  </r>
  <r>
    <n v="64958125"/>
    <x v="1"/>
    <n v="1660"/>
    <d v="2026-01-09T00:00:00"/>
    <s v="Yasso Chocolate Fudge 8-4pk"/>
    <x v="11"/>
    <n v="3.3119999999999998E-3"/>
    <n v="165"/>
    <x v="4"/>
    <x v="5"/>
    <n v="1"/>
    <n v="1660"/>
    <n v="5.4979199999999997"/>
    <n v="10.060606060606061"/>
    <s v="Jan"/>
    <x v="1"/>
    <m/>
    <m/>
  </r>
  <r>
    <n v="64776954"/>
    <x v="0"/>
    <n v="1690"/>
    <d v="2026-01-09T00:00:00"/>
    <s v="PS Scribblers Natural 6-18PK"/>
    <x v="29"/>
    <n v="3.8340000000000002E-3"/>
    <n v="130"/>
    <x v="6"/>
    <x v="15"/>
    <n v="1"/>
    <n v="1690"/>
    <n v="6.4794600000000004"/>
    <n v="13"/>
    <s v="Jan"/>
    <x v="1"/>
    <m/>
    <m/>
  </r>
  <r>
    <n v="69725082"/>
    <x v="0"/>
    <n v="2210"/>
    <d v="2026-01-09T00:00:00"/>
    <s v="PS OCG 6-18PK"/>
    <x v="27"/>
    <n v="5.2680000000000001E-3"/>
    <n v="130"/>
    <x v="6"/>
    <x v="15"/>
    <n v="1"/>
    <n v="2210"/>
    <n v="11.64228"/>
    <n v="17"/>
    <s v="Jan"/>
    <x v="1"/>
    <m/>
    <m/>
  </r>
  <r>
    <n v="84161610"/>
    <x v="3"/>
    <n v="2276"/>
    <d v="2026-01-09T00:00:00"/>
    <s v="BJ US-COR-SaltedCaramelCore-FTNG-8 1PT"/>
    <x v="30"/>
    <n v="3.7853439999999999E-3"/>
    <n v="240"/>
    <x v="3"/>
    <x v="13"/>
    <n v="1"/>
    <n v="2276"/>
    <n v="8.6154429439999998"/>
    <n v="9.4833333333333325"/>
    <s v="Jan"/>
    <x v="1"/>
    <m/>
    <m/>
  </r>
  <r>
    <n v="64330611"/>
    <x v="1"/>
    <n v="2309"/>
    <d v="2026-01-09T00:00:00"/>
    <s v="MG Double Caramel Bar 8-3PK"/>
    <x v="26"/>
    <n v="2.16E-3"/>
    <n v="210"/>
    <x v="5"/>
    <x v="6"/>
    <n v="1"/>
    <n v="2309"/>
    <n v="4.9874400000000003"/>
    <n v="10.995238095238095"/>
    <s v="Jan"/>
    <x v="1"/>
    <m/>
    <m/>
  </r>
  <r>
    <n v="69629468"/>
    <x v="0"/>
    <n v="2393"/>
    <d v="2026-01-09T00:00:00"/>
    <s v="PS Fudgesicle NSA 6-18PK"/>
    <x v="28"/>
    <n v="5.2680000000000001E-3"/>
    <n v="130"/>
    <x v="6"/>
    <x v="15"/>
    <n v="1"/>
    <n v="2393"/>
    <n v="12.606324000000001"/>
    <n v="18.407692307692308"/>
    <s v="Jan"/>
    <x v="1"/>
    <m/>
    <m/>
  </r>
  <r>
    <n v="67430513"/>
    <x v="3"/>
    <n v="2411"/>
    <d v="2026-01-09T00:00:00"/>
    <s v="BJ US-IC-PeanutButterCup-8 1PT"/>
    <x v="24"/>
    <n v="3.7839999999999996E-3"/>
    <n v="240"/>
    <x v="3"/>
    <x v="13"/>
    <n v="1"/>
    <n v="2411"/>
    <n v="9.1232239999999987"/>
    <n v="10.045833333333333"/>
    <s v="Jan"/>
    <x v="1"/>
    <m/>
    <m/>
  </r>
  <r>
    <n v="68741714"/>
    <x v="0"/>
    <n v="2474"/>
    <d v="2026-01-09T00:00:00"/>
    <s v="GH Strawberry Shortcake 1-24BK"/>
    <x v="18"/>
    <n v="2.8319999999999999E-3"/>
    <n v="225"/>
    <x v="7"/>
    <x v="8"/>
    <n v="1"/>
    <n v="2474"/>
    <n v="7.0063680000000002"/>
    <n v="10.995555555555555"/>
    <s v="Jan"/>
    <x v="1"/>
    <m/>
    <m/>
  </r>
  <r>
    <n v="68689251"/>
    <x v="0"/>
    <n v="2508"/>
    <d v="2026-01-09T00:00:00"/>
    <s v="KL Original Vanilla Bar 12-6PK"/>
    <x v="2"/>
    <n v="9.5760000000000012E-3"/>
    <n v="132"/>
    <x v="1"/>
    <x v="2"/>
    <n v="1"/>
    <n v="2508"/>
    <n v="24.016608000000002"/>
    <n v="19"/>
    <s v="Jan"/>
    <x v="1"/>
    <m/>
    <m/>
  </r>
  <r>
    <n v="68921994"/>
    <x v="0"/>
    <n v="2636"/>
    <d v="2026-01-09T00:00:00"/>
    <s v="KL Dark Chocolate Bar 12-6PK"/>
    <x v="4"/>
    <n v="9.5760000000000012E-3"/>
    <n v="132"/>
    <x v="1"/>
    <x v="2"/>
    <n v="1"/>
    <n v="2636"/>
    <n v="25.242336000000002"/>
    <n v="19.969696969696969"/>
    <s v="Jan"/>
    <x v="1"/>
    <m/>
    <m/>
  </r>
  <r>
    <n v="64977530"/>
    <x v="0"/>
    <n v="2722"/>
    <d v="2026-01-09T00:00:00"/>
    <s v="BR Hot Fudge Brownie Sundae 6p 1.5QT"/>
    <x v="7"/>
    <n v="8.513999999999999E-3"/>
    <n v="176"/>
    <x v="0"/>
    <x v="0"/>
    <n v="1"/>
    <n v="2722"/>
    <n v="23.175107999999998"/>
    <n v="15.465909090909092"/>
    <s v="Jan"/>
    <x v="1"/>
    <m/>
    <m/>
  </r>
  <r>
    <n v="64776954"/>
    <x v="0"/>
    <n v="2745"/>
    <d v="2026-01-09T00:00:00"/>
    <s v="PS Scribblers Natural 6-18PK"/>
    <x v="29"/>
    <n v="3.8340000000000002E-3"/>
    <n v="130"/>
    <x v="6"/>
    <x v="15"/>
    <n v="1"/>
    <n v="2745"/>
    <n v="10.524330000000001"/>
    <n v="21.115384615384617"/>
    <s v="Jan"/>
    <x v="1"/>
    <m/>
    <m/>
  </r>
  <r>
    <n v="68689251"/>
    <x v="0"/>
    <n v="2772"/>
    <d v="2026-01-09T00:00:00"/>
    <s v="KL Original Vanilla Bar 12-6PK"/>
    <x v="20"/>
    <n v="9.5760000000000012E-3"/>
    <n v="132"/>
    <x v="1"/>
    <x v="2"/>
    <n v="1"/>
    <n v="2772"/>
    <n v="26.544672000000002"/>
    <n v="21"/>
    <s v="Jan"/>
    <x v="1"/>
    <m/>
    <m/>
  </r>
  <r>
    <n v="68851108"/>
    <x v="1"/>
    <n v="2992"/>
    <d v="2026-01-09T00:00:00"/>
    <s v="BR VAN CHOC STRAW 6-1.5QT"/>
    <x v="1"/>
    <n v="8.5199999999999998E-3"/>
    <n v="176"/>
    <x v="0"/>
    <x v="1"/>
    <n v="1"/>
    <n v="2992"/>
    <n v="25.49184"/>
    <n v="17"/>
    <s v="Jan"/>
    <x v="1"/>
    <m/>
    <m/>
  </r>
  <r>
    <n v="68851107"/>
    <x v="0"/>
    <n v="3014"/>
    <d v="2026-01-09T00:00:00"/>
    <s v="BR NAT Vanilla 6-1.5QT"/>
    <x v="6"/>
    <n v="8.5199999999999998E-3"/>
    <n v="176"/>
    <x v="0"/>
    <x v="0"/>
    <n v="1"/>
    <n v="3014"/>
    <n v="25.679279999999999"/>
    <n v="17.125"/>
    <s v="Jan"/>
    <x v="1"/>
    <m/>
    <m/>
  </r>
  <r>
    <n v="68741742"/>
    <x v="0"/>
    <n v="3193"/>
    <d v="2026-01-09T00:00:00"/>
    <s v="GH Strawberry Shortcake Bar 8-6PK"/>
    <x v="15"/>
    <n v="4.2560000000000002E-3"/>
    <n v="154"/>
    <x v="7"/>
    <x v="8"/>
    <n v="1"/>
    <n v="3193"/>
    <n v="13.589408000000001"/>
    <n v="20.733766233766232"/>
    <s v="Jan"/>
    <x v="1"/>
    <m/>
    <m/>
  </r>
  <r>
    <n v="68689251"/>
    <x v="0"/>
    <n v="3235"/>
    <d v="2026-01-09T00:00:00"/>
    <s v="KL Original Vanilla Bar 12-6PK"/>
    <x v="20"/>
    <n v="9.5760000000000012E-3"/>
    <n v="132"/>
    <x v="1"/>
    <x v="2"/>
    <n v="1"/>
    <n v="3235"/>
    <n v="30.978360000000002"/>
    <n v="24.507575757575758"/>
    <s v="Jan"/>
    <x v="1"/>
    <m/>
    <m/>
  </r>
  <r>
    <n v="69725082"/>
    <x v="0"/>
    <n v="3478"/>
    <d v="2026-01-09T00:00:00"/>
    <s v="PS OCG 6-18PK"/>
    <x v="27"/>
    <n v="5.2680000000000001E-3"/>
    <n v="130"/>
    <x v="6"/>
    <x v="15"/>
    <n v="1"/>
    <n v="3478"/>
    <n v="18.322104"/>
    <n v="26.753846153846155"/>
    <s v="Jan"/>
    <x v="1"/>
    <m/>
    <m/>
  </r>
  <r>
    <n v="64977530"/>
    <x v="0"/>
    <n v="3522"/>
    <d v="2026-01-09T00:00:00"/>
    <s v="BR Hot Fudge Brownie Sundae 6p 1.5QT"/>
    <x v="7"/>
    <n v="8.513999999999999E-3"/>
    <n v="176"/>
    <x v="0"/>
    <x v="0"/>
    <n v="1"/>
    <n v="3522"/>
    <n v="29.986307999999998"/>
    <n v="20.011363636363637"/>
    <s v="Jan"/>
    <x v="1"/>
    <m/>
    <m/>
  </r>
  <r>
    <n v="64958122"/>
    <x v="1"/>
    <n v="3795"/>
    <d v="2026-01-09T00:00:00"/>
    <s v="Yasso Sea Salt Caramel 8-4pk"/>
    <x v="11"/>
    <n v="3.3119999999999998E-3"/>
    <n v="165"/>
    <x v="4"/>
    <x v="5"/>
    <n v="1"/>
    <n v="3795"/>
    <n v="12.569039999999999"/>
    <n v="23"/>
    <s v="Jan"/>
    <x v="1"/>
    <m/>
    <m/>
  </r>
  <r>
    <n v="67826412"/>
    <x v="1"/>
    <n v="3840"/>
    <d v="2026-01-09T00:00:00"/>
    <s v="BJ US-IC-ChunkyMonkey-FTNG-8 1PT"/>
    <x v="22"/>
    <n v="3.7853439999999999E-3"/>
    <n v="240"/>
    <x v="3"/>
    <x v="12"/>
    <n v="1"/>
    <n v="3840"/>
    <n v="14.535720959999999"/>
    <n v="16"/>
    <s v="Jan"/>
    <x v="1"/>
    <m/>
    <m/>
  </r>
  <r>
    <n v="68689251"/>
    <x v="0"/>
    <n v="3993"/>
    <d v="2026-01-09T00:00:00"/>
    <s v="KL Original Vanilla Bar 12-6PK"/>
    <x v="2"/>
    <n v="9.5760000000000012E-3"/>
    <n v="132"/>
    <x v="1"/>
    <x v="2"/>
    <n v="1"/>
    <n v="3993"/>
    <n v="38.236968000000005"/>
    <n v="30.25"/>
    <s v="Jan"/>
    <x v="1"/>
    <m/>
    <m/>
  </r>
  <r>
    <n v="68921994"/>
    <x v="0"/>
    <n v="4084"/>
    <d v="2026-01-09T00:00:00"/>
    <s v="KL Dark Chocolate Bar 12-6PK"/>
    <x v="4"/>
    <n v="9.5760000000000012E-3"/>
    <n v="132"/>
    <x v="1"/>
    <x v="2"/>
    <n v="1"/>
    <n v="4084"/>
    <n v="39.108384000000008"/>
    <n v="30.939393939393938"/>
    <s v="Jan"/>
    <x v="1"/>
    <m/>
    <m/>
  </r>
  <r>
    <n v="69690941"/>
    <x v="1"/>
    <n v="4192"/>
    <d v="2026-01-09T00:00:00"/>
    <s v="MG Mini Classic 6-6PK"/>
    <x v="23"/>
    <n v="1.98E-3"/>
    <n v="176"/>
    <x v="5"/>
    <x v="6"/>
    <n v="1"/>
    <n v="4192"/>
    <n v="8.30016"/>
    <n v="23.818181818181817"/>
    <s v="Jan"/>
    <x v="1"/>
    <m/>
    <m/>
  </r>
  <r>
    <n v="68851107"/>
    <x v="0"/>
    <n v="4339"/>
    <d v="2026-01-09T00:00:00"/>
    <s v="BR NAT Vanilla 6-1.5QT"/>
    <x v="6"/>
    <n v="8.5199999999999998E-3"/>
    <n v="176"/>
    <x v="0"/>
    <x v="0"/>
    <n v="1"/>
    <n v="4339"/>
    <n v="36.96828"/>
    <n v="24.65340909090909"/>
    <s v="Jan"/>
    <x v="1"/>
    <m/>
    <m/>
  </r>
  <r>
    <n v="68741714"/>
    <x v="0"/>
    <n v="4463"/>
    <d v="2026-01-09T00:00:00"/>
    <s v="GH Strawberry Shortcake 1-24BK"/>
    <x v="18"/>
    <n v="2.8319999999999999E-3"/>
    <n v="225"/>
    <x v="7"/>
    <x v="8"/>
    <n v="1"/>
    <n v="4463"/>
    <n v="12.639215999999999"/>
    <n v="19.835555555555555"/>
    <s v="Jan"/>
    <x v="1"/>
    <m/>
    <m/>
  </r>
  <r>
    <n v="64373718"/>
    <x v="1"/>
    <n v="4512"/>
    <d v="2026-01-09T00:00:00"/>
    <s v="BR Smores 6 1.5QT"/>
    <x v="5"/>
    <n v="8.5199999999999998E-3"/>
    <n v="176"/>
    <x v="0"/>
    <x v="1"/>
    <n v="1"/>
    <n v="4512"/>
    <n v="38.442239999999998"/>
    <n v="25.636363636363637"/>
    <s v="Jan"/>
    <x v="1"/>
    <m/>
    <m/>
  </r>
  <r>
    <n v="64369046"/>
    <x v="1"/>
    <n v="4845"/>
    <d v="2026-01-09T00:00:00"/>
    <s v="TAL LYR Snickerdoodle 8p 326.7g"/>
    <x v="9"/>
    <n v="3.552E-3"/>
    <n v="255"/>
    <x v="2"/>
    <x v="3"/>
    <n v="1"/>
    <n v="4845"/>
    <n v="17.209440000000001"/>
    <n v="19"/>
    <s v="Jan"/>
    <x v="1"/>
    <m/>
    <m/>
  </r>
  <r>
    <n v="64979407"/>
    <x v="1"/>
    <n v="4940"/>
    <d v="2026-01-09T00:00:00"/>
    <s v="BR Reeses PB Carbsmart Bar 8-6PK"/>
    <x v="13"/>
    <n v="4.2560000000000002E-3"/>
    <n v="143"/>
    <x v="5"/>
    <x v="6"/>
    <n v="1"/>
    <n v="4940"/>
    <n v="21.024640000000002"/>
    <n v="34.545454545454547"/>
    <s v="Jan"/>
    <x v="1"/>
    <m/>
    <m/>
  </r>
  <r>
    <n v="64330611"/>
    <x v="1"/>
    <n v="4977"/>
    <d v="2026-01-09T00:00:00"/>
    <s v="MG Double Caramel Bar 8-3PK"/>
    <x v="26"/>
    <n v="2.16E-3"/>
    <n v="210"/>
    <x v="5"/>
    <x v="6"/>
    <n v="1"/>
    <n v="4977"/>
    <n v="10.75032"/>
    <n v="23.7"/>
    <s v="Jan"/>
    <x v="1"/>
    <m/>
    <m/>
  </r>
  <r>
    <n v="68821735"/>
    <x v="1"/>
    <n v="4982"/>
    <d v="2026-01-09T00:00:00"/>
    <s v="BR Lactose Free Vanilla 6 1.5QT"/>
    <x v="3"/>
    <n v="8.5199999999999998E-3"/>
    <n v="176"/>
    <x v="0"/>
    <x v="1"/>
    <n v="1"/>
    <n v="4982"/>
    <n v="42.446640000000002"/>
    <n v="28.306818181818183"/>
    <s v="Jan"/>
    <x v="1"/>
    <m/>
    <m/>
  </r>
  <r>
    <n v="64369046"/>
    <x v="1"/>
    <n v="4998"/>
    <d v="2026-01-09T00:00:00"/>
    <s v="TAL LYR Snickerdoodle 8p 326.7g"/>
    <x v="9"/>
    <n v="3.552E-3"/>
    <n v="255"/>
    <x v="2"/>
    <x v="3"/>
    <n v="1"/>
    <n v="4998"/>
    <n v="17.752896"/>
    <n v="19.600000000000001"/>
    <s v="Jan"/>
    <x v="1"/>
    <m/>
    <m/>
  </r>
  <r>
    <n v="67826412"/>
    <x v="1"/>
    <n v="5986"/>
    <d v="2026-01-09T00:00:00"/>
    <s v="BJ US-IC-ChunkyMonkey-FTNG-8 1PT"/>
    <x v="22"/>
    <n v="3.7853439999999999E-3"/>
    <n v="240"/>
    <x v="3"/>
    <x v="12"/>
    <n v="1"/>
    <n v="5986"/>
    <n v="22.659069184"/>
    <n v="24.941666666666666"/>
    <s v="Jan"/>
    <x v="1"/>
    <m/>
    <m/>
  </r>
  <r>
    <n v="68851108"/>
    <x v="1"/>
    <n v="6290"/>
    <d v="2026-01-09T00:00:00"/>
    <s v="BR VAN CHOC STRAW 6-1.5QT"/>
    <x v="1"/>
    <n v="8.5199999999999998E-3"/>
    <n v="176"/>
    <x v="0"/>
    <x v="1"/>
    <n v="1"/>
    <n v="6290"/>
    <n v="53.590800000000002"/>
    <n v="35.738636363636367"/>
    <s v="Jan"/>
    <x v="1"/>
    <m/>
    <m/>
  </r>
  <r>
    <n v="68821735"/>
    <x v="1"/>
    <n v="6743"/>
    <d v="2026-01-09T00:00:00"/>
    <s v="BR Lactose Free Vanilla 6 1.5QT"/>
    <x v="3"/>
    <n v="8.5199999999999998E-3"/>
    <n v="176"/>
    <x v="0"/>
    <x v="1"/>
    <n v="1"/>
    <n v="6743"/>
    <n v="57.450359999999996"/>
    <n v="38.3125"/>
    <s v="Jan"/>
    <x v="1"/>
    <m/>
    <m/>
  </r>
  <r>
    <n v="68649095"/>
    <x v="1"/>
    <n v="6861"/>
    <d v="2026-01-09T00:00:00"/>
    <s v="BJ US-TOP-DirtCake-8 450ML"/>
    <x v="17"/>
    <n v="3.5999999999999999E-3"/>
    <n v="240"/>
    <x v="8"/>
    <x v="9"/>
    <n v="1"/>
    <n v="6861"/>
    <n v="24.6996"/>
    <n v="28.587499999999999"/>
    <s v="Jan"/>
    <x v="1"/>
    <m/>
    <m/>
  </r>
  <r>
    <n v="64373718"/>
    <x v="1"/>
    <n v="6864"/>
    <d v="2026-01-09T00:00:00"/>
    <s v="BR Smores 6 1.5QT"/>
    <x v="5"/>
    <n v="8.5199999999999998E-3"/>
    <n v="176"/>
    <x v="0"/>
    <x v="1"/>
    <n v="1"/>
    <n v="6864"/>
    <n v="58.481279999999998"/>
    <n v="39"/>
    <s v="Jan"/>
    <x v="1"/>
    <m/>
    <m/>
  </r>
  <r>
    <n v="68649095"/>
    <x v="1"/>
    <n v="7658"/>
    <d v="2026-01-09T00:00:00"/>
    <s v="BJ US-TOP-DirtCake-8 450ML"/>
    <x v="17"/>
    <n v="3.5999999999999999E-3"/>
    <n v="240"/>
    <x v="8"/>
    <x v="9"/>
    <n v="1"/>
    <n v="7658"/>
    <n v="27.5688"/>
    <n v="31.908333333333335"/>
    <s v="Jan"/>
    <x v="1"/>
    <m/>
    <m/>
  </r>
  <r>
    <n v="68862392"/>
    <x v="1"/>
    <n v="8192"/>
    <d v="2026-01-09T00:00:00"/>
    <s v="Talenti Coffee CHOC Chip 8 1PT"/>
    <x v="8"/>
    <n v="3.7839999999999996E-3"/>
    <n v="255"/>
    <x v="2"/>
    <x v="3"/>
    <n v="1"/>
    <n v="8192"/>
    <n v="30.998527999999997"/>
    <n v="32.125490196078431"/>
    <s v="Jan"/>
    <x v="1"/>
    <m/>
    <m/>
  </r>
  <r>
    <n v="84149990"/>
    <x v="3"/>
    <n v="9753"/>
    <d v="2026-01-09T00:00:00"/>
    <s v="BJ AMET-IC-ChocChpCkDgh-FTNG-8 458ML"/>
    <x v="30"/>
    <n v="3.6640000000000002E-3"/>
    <n v="240"/>
    <x v="10"/>
    <x v="18"/>
    <n v="1"/>
    <n v="9753"/>
    <n v="35.734991999999998"/>
    <n v="40.637500000000003"/>
    <s v="Jan"/>
    <x v="1"/>
    <m/>
    <m/>
  </r>
  <r>
    <n v="68850683"/>
    <x v="0"/>
    <n v="9931"/>
    <d v="2026-01-09T00:00:00"/>
    <s v="BR Homemade Vanilla 6-1.5QT"/>
    <x v="0"/>
    <n v="8.5199999999999998E-3"/>
    <n v="176"/>
    <x v="0"/>
    <x v="0"/>
    <n v="1"/>
    <n v="9931"/>
    <n v="84.612120000000004"/>
    <n v="56.426136363636367"/>
    <s v="Jan"/>
    <x v="1"/>
    <m/>
    <m/>
  </r>
  <r>
    <n v="68862392"/>
    <x v="1"/>
    <n v="10200"/>
    <d v="2026-01-09T00:00:00"/>
    <s v="Talenti Coffee CHOC Chip 8 1PT"/>
    <x v="8"/>
    <n v="3.7839999999999996E-3"/>
    <n v="255"/>
    <x v="2"/>
    <x v="3"/>
    <n v="1"/>
    <n v="10200"/>
    <n v="38.596799999999995"/>
    <n v="40"/>
    <s v="Jan"/>
    <x v="1"/>
    <m/>
    <m/>
  </r>
  <r>
    <n v="84141103"/>
    <x v="2"/>
    <n v="31200"/>
    <d v="2026-01-09T00:00:00"/>
    <s v="BJ US-IC-HalfBaked-FTNG-8 1PT"/>
    <x v="30"/>
    <n v="3.7853439999999999E-3"/>
    <n v="240"/>
    <x v="3"/>
    <x v="4"/>
    <n v="1"/>
    <n v="31200"/>
    <n v="118.1027328"/>
    <n v="130"/>
    <s v="Jan"/>
    <x v="1"/>
    <m/>
    <m/>
  </r>
  <r>
    <n v="68649095"/>
    <x v="1"/>
    <n v="7"/>
    <d v="2026-01-10T00:00:00"/>
    <s v="BJ US-TOP-DirtCake-8 450ML"/>
    <x v="17"/>
    <n v="3.5999999999999999E-3"/>
    <n v="240"/>
    <x v="8"/>
    <x v="9"/>
    <n v="1"/>
    <n v="7"/>
    <n v="2.52E-2"/>
    <n v="2.9166666666666667E-2"/>
    <s v="Jan"/>
    <x v="1"/>
    <m/>
    <m/>
  </r>
  <r>
    <n v="68851108"/>
    <x v="1"/>
    <n v="17"/>
    <d v="2026-01-10T00:00:00"/>
    <s v="BR VAN CHOC STRAW 6-1.5QT"/>
    <x v="1"/>
    <n v="8.5199999999999998E-3"/>
    <n v="176"/>
    <x v="0"/>
    <x v="1"/>
    <n v="1"/>
    <n v="17"/>
    <n v="0.14484"/>
    <n v="9.6590909090909088E-2"/>
    <s v="Jan"/>
    <x v="1"/>
    <m/>
    <m/>
  </r>
  <r>
    <n v="64369046"/>
    <x v="1"/>
    <n v="193"/>
    <d v="2026-01-10T00:00:00"/>
    <s v="TAL LYR Snickerdoodle 8p 326.7g"/>
    <x v="9"/>
    <n v="3.552E-3"/>
    <n v="255"/>
    <x v="2"/>
    <x v="3"/>
    <n v="1"/>
    <n v="193"/>
    <n v="0.68553600000000003"/>
    <n v="0.75686274509803919"/>
    <s v="Jan"/>
    <x v="1"/>
    <m/>
    <m/>
  </r>
  <r>
    <n v="69629468"/>
    <x v="1"/>
    <n v="344"/>
    <d v="2026-01-10T00:00:00"/>
    <s v="PS Fudgesicle NSA 6-18PK"/>
    <x v="14"/>
    <n v="5.2680000000000001E-3"/>
    <n v="130"/>
    <x v="6"/>
    <x v="7"/>
    <n v="1"/>
    <n v="344"/>
    <n v="1.812192"/>
    <n v="2.6461538461538461"/>
    <s v="Jan"/>
    <x v="1"/>
    <m/>
    <m/>
  </r>
  <r>
    <n v="68746232"/>
    <x v="1"/>
    <n v="449"/>
    <d v="2026-01-10T00:00:00"/>
    <s v="KL Mint CHOC Chip 12-6PK"/>
    <x v="21"/>
    <n v="8.5199999999999998E-3"/>
    <n v="132"/>
    <x v="1"/>
    <x v="11"/>
    <n v="1"/>
    <n v="449"/>
    <n v="3.8254799999999998"/>
    <n v="3.4015151515151514"/>
    <s v="Jan"/>
    <x v="1"/>
    <m/>
    <m/>
  </r>
  <r>
    <n v="68741742"/>
    <x v="1"/>
    <n v="703"/>
    <d v="2026-01-10T00:00:00"/>
    <s v="GH Strawberry Shortcake Bar 8-6PK"/>
    <x v="19"/>
    <n v="4.2560000000000002E-3"/>
    <n v="154"/>
    <x v="7"/>
    <x v="10"/>
    <n v="1"/>
    <n v="703"/>
    <n v="2.991968"/>
    <n v="4.5649350649350646"/>
    <s v="Jan"/>
    <x v="1"/>
    <m/>
    <m/>
  </r>
  <r>
    <n v="64341106"/>
    <x v="1"/>
    <n v="733"/>
    <d v="2026-01-10T00:00:00"/>
    <s v="PS Jolly Rancher Pop 6-18PK"/>
    <x v="16"/>
    <n v="5.2680000000000001E-3"/>
    <n v="130"/>
    <x v="6"/>
    <x v="7"/>
    <n v="1"/>
    <n v="733"/>
    <n v="3.8614440000000001"/>
    <n v="5.6384615384615389"/>
    <s v="Jan"/>
    <x v="1"/>
    <m/>
    <m/>
  </r>
  <r>
    <n v="68746232"/>
    <x v="1"/>
    <n v="1289"/>
    <d v="2026-01-10T00:00:00"/>
    <s v="KL Mint CHOC Chip 12-6PK"/>
    <x v="21"/>
    <n v="8.5199999999999998E-3"/>
    <n v="132"/>
    <x v="1"/>
    <x v="11"/>
    <n v="1"/>
    <n v="1289"/>
    <n v="10.982279999999999"/>
    <n v="9.7651515151515156"/>
    <s v="Jan"/>
    <x v="1"/>
    <m/>
    <m/>
  </r>
  <r>
    <n v="64341106"/>
    <x v="1"/>
    <n v="1352"/>
    <d v="2026-01-10T00:00:00"/>
    <s v="PS Jolly Rancher Pop 6-18PK"/>
    <x v="16"/>
    <n v="5.2680000000000001E-3"/>
    <n v="130"/>
    <x v="6"/>
    <x v="7"/>
    <n v="1"/>
    <n v="1352"/>
    <n v="7.1223359999999998"/>
    <n v="10.4"/>
    <s v="Jan"/>
    <x v="1"/>
    <m/>
    <m/>
  </r>
  <r>
    <n v="68689251"/>
    <x v="0"/>
    <n v="1848"/>
    <d v="2026-01-10T00:00:00"/>
    <s v="KL Original Vanilla Bar 12-6PK"/>
    <x v="20"/>
    <n v="9.5760000000000012E-3"/>
    <n v="132"/>
    <x v="1"/>
    <x v="2"/>
    <n v="1"/>
    <n v="1848"/>
    <n v="17.696448000000004"/>
    <n v="14"/>
    <s v="Jan"/>
    <x v="1"/>
    <m/>
    <m/>
  </r>
  <r>
    <n v="68689251"/>
    <x v="0"/>
    <n v="2244"/>
    <d v="2026-01-10T00:00:00"/>
    <s v="KL Original Vanilla Bar 12-6PK"/>
    <x v="2"/>
    <n v="9.5760000000000012E-3"/>
    <n v="132"/>
    <x v="1"/>
    <x v="2"/>
    <n v="1"/>
    <n v="2244"/>
    <n v="21.488544000000001"/>
    <n v="17"/>
    <s v="Jan"/>
    <x v="1"/>
    <m/>
    <m/>
  </r>
  <r>
    <n v="68921994"/>
    <x v="0"/>
    <n v="2244"/>
    <d v="2026-01-10T00:00:00"/>
    <s v="KL Dark Chocolate Bar 12-6PK"/>
    <x v="4"/>
    <n v="9.5760000000000012E-3"/>
    <n v="132"/>
    <x v="1"/>
    <x v="2"/>
    <n v="1"/>
    <n v="2244"/>
    <n v="21.488544000000001"/>
    <n v="17"/>
    <s v="Jan"/>
    <x v="1"/>
    <m/>
    <m/>
  </r>
  <r>
    <n v="64776954"/>
    <x v="0"/>
    <n v="2246"/>
    <d v="2026-01-10T00:00:00"/>
    <s v="PS Scribblers Natural 6-18PK"/>
    <x v="29"/>
    <n v="3.8340000000000002E-3"/>
    <n v="130"/>
    <x v="6"/>
    <x v="15"/>
    <n v="1"/>
    <n v="2246"/>
    <n v="8.6111640000000005"/>
    <n v="17.276923076923076"/>
    <s v="Jan"/>
    <x v="1"/>
    <m/>
    <m/>
  </r>
  <r>
    <n v="69629468"/>
    <x v="0"/>
    <n v="2633"/>
    <d v="2026-01-10T00:00:00"/>
    <s v="PS Fudgesicle NSA 6-18PK"/>
    <x v="28"/>
    <n v="5.2680000000000001E-3"/>
    <n v="130"/>
    <x v="6"/>
    <x v="15"/>
    <n v="1"/>
    <n v="2633"/>
    <n v="13.870644"/>
    <n v="20.253846153846155"/>
    <s v="Jan"/>
    <x v="1"/>
    <m/>
    <m/>
  </r>
  <r>
    <n v="64977530"/>
    <x v="0"/>
    <n v="2794"/>
    <d v="2026-01-10T00:00:00"/>
    <s v="BR Hot Fudge Brownie Sundae 6p 1.5QT"/>
    <x v="7"/>
    <n v="8.513999999999999E-3"/>
    <n v="176"/>
    <x v="0"/>
    <x v="0"/>
    <n v="1"/>
    <n v="2794"/>
    <n v="23.788115999999999"/>
    <n v="15.875"/>
    <s v="Jan"/>
    <x v="1"/>
    <m/>
    <m/>
  </r>
  <r>
    <n v="68741742"/>
    <x v="0"/>
    <n v="2838"/>
    <d v="2026-01-10T00:00:00"/>
    <s v="GH Strawberry Shortcake Bar 8-6PK"/>
    <x v="15"/>
    <n v="4.2560000000000002E-3"/>
    <n v="154"/>
    <x v="7"/>
    <x v="8"/>
    <n v="1"/>
    <n v="2838"/>
    <n v="12.078528"/>
    <n v="18.428571428571427"/>
    <s v="Jan"/>
    <x v="1"/>
    <m/>
    <m/>
  </r>
  <r>
    <n v="68741714"/>
    <x v="0"/>
    <n v="2948"/>
    <d v="2026-01-10T00:00:00"/>
    <s v="GH Strawberry Shortcake 1-24BK"/>
    <x v="18"/>
    <n v="2.8319999999999999E-3"/>
    <n v="225"/>
    <x v="7"/>
    <x v="8"/>
    <n v="1"/>
    <n v="2948"/>
    <n v="8.3487359999999988"/>
    <n v="13.102222222222222"/>
    <s v="Jan"/>
    <x v="1"/>
    <m/>
    <m/>
  </r>
  <r>
    <n v="64393723"/>
    <x v="1"/>
    <n v="2963"/>
    <d v="2026-01-10T00:00:00"/>
    <s v="MG Double Chocolate Bar 8-3PK"/>
    <x v="26"/>
    <n v="2.16E-3"/>
    <n v="210"/>
    <x v="5"/>
    <x v="6"/>
    <n v="1"/>
    <n v="2963"/>
    <n v="6.40008"/>
    <n v="14.109523809523809"/>
    <s v="Jan"/>
    <x v="1"/>
    <m/>
    <m/>
  </r>
  <r>
    <n v="69725082"/>
    <x v="0"/>
    <n v="3016"/>
    <d v="2026-01-10T00:00:00"/>
    <s v="PS OCG 6-18PK"/>
    <x v="27"/>
    <n v="5.2680000000000001E-3"/>
    <n v="130"/>
    <x v="6"/>
    <x v="15"/>
    <n v="1"/>
    <n v="3016"/>
    <n v="15.888288000000001"/>
    <n v="23.2"/>
    <s v="Jan"/>
    <x v="1"/>
    <m/>
    <m/>
  </r>
  <r>
    <n v="68921994"/>
    <x v="0"/>
    <n v="3613"/>
    <d v="2026-01-10T00:00:00"/>
    <s v="KL Dark Chocolate Bar 12-6PK"/>
    <x v="4"/>
    <n v="9.5760000000000012E-3"/>
    <n v="132"/>
    <x v="1"/>
    <x v="2"/>
    <n v="1"/>
    <n v="3613"/>
    <n v="34.598088000000004"/>
    <n v="27.371212121212121"/>
    <s v="Jan"/>
    <x v="1"/>
    <m/>
    <m/>
  </r>
  <r>
    <n v="68689251"/>
    <x v="0"/>
    <n v="3825"/>
    <d v="2026-01-10T00:00:00"/>
    <s v="KL Original Vanilla Bar 12-6PK"/>
    <x v="20"/>
    <n v="9.5760000000000012E-3"/>
    <n v="132"/>
    <x v="1"/>
    <x v="2"/>
    <n v="1"/>
    <n v="3825"/>
    <n v="36.628200000000007"/>
    <n v="28.977272727272727"/>
    <s v="Jan"/>
    <x v="1"/>
    <m/>
    <m/>
  </r>
  <r>
    <n v="64373718"/>
    <x v="1"/>
    <n v="4176"/>
    <d v="2026-01-10T00:00:00"/>
    <s v="BR Smores 6 1.5QT"/>
    <x v="5"/>
    <n v="8.5199999999999998E-3"/>
    <n v="176"/>
    <x v="0"/>
    <x v="1"/>
    <n v="1"/>
    <n v="4176"/>
    <n v="35.579520000000002"/>
    <n v="23.727272727272727"/>
    <s v="Jan"/>
    <x v="1"/>
    <m/>
    <m/>
  </r>
  <r>
    <n v="68689251"/>
    <x v="0"/>
    <n v="4184"/>
    <d v="2026-01-10T00:00:00"/>
    <s v="KL Original Vanilla Bar 12-6PK"/>
    <x v="2"/>
    <n v="9.5760000000000012E-3"/>
    <n v="132"/>
    <x v="1"/>
    <x v="2"/>
    <n v="1"/>
    <n v="4184"/>
    <n v="40.065984000000007"/>
    <n v="31.696969696969695"/>
    <s v="Jan"/>
    <x v="1"/>
    <m/>
    <m/>
  </r>
  <r>
    <n v="69568828"/>
    <x v="1"/>
    <n v="4224"/>
    <d v="2026-01-10T00:00:00"/>
    <s v="BR CS Vanilla 6 1.5QT"/>
    <x v="1"/>
    <n v="8.5199999999999998E-3"/>
    <n v="176"/>
    <x v="0"/>
    <x v="1"/>
    <n v="1"/>
    <n v="4224"/>
    <n v="35.988479999999996"/>
    <n v="24"/>
    <s v="Jan"/>
    <x v="1"/>
    <m/>
    <m/>
  </r>
  <r>
    <n v="69690941"/>
    <x v="1"/>
    <n v="4550"/>
    <d v="2026-01-10T00:00:00"/>
    <s v="MG Mini Classic 6-6PK"/>
    <x v="23"/>
    <n v="1.98E-3"/>
    <n v="176"/>
    <x v="5"/>
    <x v="6"/>
    <n v="1"/>
    <n v="4550"/>
    <n v="9.0090000000000003"/>
    <n v="25.852272727272727"/>
    <s v="Jan"/>
    <x v="1"/>
    <m/>
    <m/>
  </r>
  <r>
    <n v="64958122"/>
    <x v="1"/>
    <n v="5106"/>
    <d v="2026-01-10T00:00:00"/>
    <s v="Yasso Sea Salt Caramel 8-4pk"/>
    <x v="11"/>
    <n v="3.3119999999999998E-3"/>
    <n v="165"/>
    <x v="4"/>
    <x v="5"/>
    <n v="1"/>
    <n v="5106"/>
    <n v="16.911072000000001"/>
    <n v="30.945454545454545"/>
    <s v="Jan"/>
    <x v="1"/>
    <m/>
    <m/>
  </r>
  <r>
    <n v="68860059"/>
    <x v="1"/>
    <n v="5298"/>
    <d v="2026-01-10T00:00:00"/>
    <s v="Talenti Pacific Coast Pistachio 8 1PT"/>
    <x v="8"/>
    <n v="3.7839999999999996E-3"/>
    <n v="255"/>
    <x v="2"/>
    <x v="3"/>
    <n v="1"/>
    <n v="5298"/>
    <n v="20.047631999999997"/>
    <n v="20.776470588235295"/>
    <s v="Jan"/>
    <x v="1"/>
    <m/>
    <m/>
  </r>
  <r>
    <n v="68851107"/>
    <x v="0"/>
    <n v="5365"/>
    <d v="2026-01-10T00:00:00"/>
    <s v="BR NAT Vanilla 6-1.5QT"/>
    <x v="6"/>
    <n v="8.5199999999999998E-3"/>
    <n v="176"/>
    <x v="0"/>
    <x v="0"/>
    <n v="1"/>
    <n v="5365"/>
    <n v="45.709800000000001"/>
    <n v="30.482954545454547"/>
    <s v="Jan"/>
    <x v="1"/>
    <m/>
    <m/>
  </r>
  <r>
    <n v="69690941"/>
    <x v="1"/>
    <n v="5744"/>
    <d v="2026-01-10T00:00:00"/>
    <s v="MG Mini Classic 6-6PK"/>
    <x v="23"/>
    <n v="1.98E-3"/>
    <n v="176"/>
    <x v="5"/>
    <x v="6"/>
    <n v="1"/>
    <n v="5744"/>
    <n v="11.37312"/>
    <n v="32.636363636363633"/>
    <s v="Jan"/>
    <x v="1"/>
    <m/>
    <m/>
  </r>
  <r>
    <n v="69568828"/>
    <x v="1"/>
    <n v="6732"/>
    <d v="2026-01-10T00:00:00"/>
    <s v="BR CS Vanilla 6 1.5QT"/>
    <x v="3"/>
    <n v="8.5199999999999998E-3"/>
    <n v="176"/>
    <x v="0"/>
    <x v="1"/>
    <n v="1"/>
    <n v="6732"/>
    <n v="57.356639999999999"/>
    <n v="38.25"/>
    <s v="Jan"/>
    <x v="1"/>
    <m/>
    <m/>
  </r>
  <r>
    <n v="69568828"/>
    <x v="1"/>
    <n v="6846"/>
    <d v="2026-01-10T00:00:00"/>
    <s v="BR CS Vanilla 6 1.5QT"/>
    <x v="3"/>
    <n v="8.5199999999999998E-3"/>
    <n v="176"/>
    <x v="0"/>
    <x v="1"/>
    <n v="1"/>
    <n v="6846"/>
    <n v="58.327919999999999"/>
    <n v="38.897727272727273"/>
    <s v="Jan"/>
    <x v="1"/>
    <m/>
    <m/>
  </r>
  <r>
    <n v="64393723"/>
    <x v="1"/>
    <n v="7087"/>
    <d v="2026-01-10T00:00:00"/>
    <s v="MG Double Chocolate Bar 8-3PK"/>
    <x v="26"/>
    <n v="2.16E-3"/>
    <n v="210"/>
    <x v="5"/>
    <x v="6"/>
    <n v="1"/>
    <n v="7087"/>
    <n v="15.307920000000001"/>
    <n v="33.747619047619047"/>
    <s v="Jan"/>
    <x v="1"/>
    <m/>
    <m/>
  </r>
  <r>
    <n v="64373718"/>
    <x v="1"/>
    <n v="7237"/>
    <d v="2026-01-10T00:00:00"/>
    <s v="BR Smores 6 1.5QT"/>
    <x v="5"/>
    <n v="8.5199999999999998E-3"/>
    <n v="176"/>
    <x v="0"/>
    <x v="1"/>
    <n v="1"/>
    <n v="7237"/>
    <n v="61.659239999999997"/>
    <n v="41.11931818181818"/>
    <s v="Jan"/>
    <x v="1"/>
    <m/>
    <m/>
  </r>
  <r>
    <n v="64369046"/>
    <x v="1"/>
    <n v="7541"/>
    <d v="2026-01-10T00:00:00"/>
    <s v="TAL LYR Snickerdoodle 8p 326.7g"/>
    <x v="9"/>
    <n v="3.552E-3"/>
    <n v="255"/>
    <x v="2"/>
    <x v="3"/>
    <n v="1"/>
    <n v="7541"/>
    <n v="26.785632"/>
    <n v="29.572549019607845"/>
    <s v="Jan"/>
    <x v="1"/>
    <m/>
    <m/>
  </r>
  <r>
    <n v="68851107"/>
    <x v="0"/>
    <n v="8223"/>
    <d v="2026-01-10T00:00:00"/>
    <s v="BR NAT Vanilla 6-1.5QT"/>
    <x v="6"/>
    <n v="8.5199999999999998E-3"/>
    <n v="176"/>
    <x v="0"/>
    <x v="0"/>
    <n v="1"/>
    <n v="8223"/>
    <n v="70.059960000000004"/>
    <n v="46.721590909090907"/>
    <s v="Jan"/>
    <x v="1"/>
    <m/>
    <m/>
  </r>
  <r>
    <n v="64977530"/>
    <x v="0"/>
    <n v="8404"/>
    <d v="2026-01-10T00:00:00"/>
    <s v="BR Hot Fudge Brownie Sundae 6p 1.5QT"/>
    <x v="7"/>
    <n v="8.513999999999999E-3"/>
    <n v="176"/>
    <x v="0"/>
    <x v="0"/>
    <n v="1"/>
    <n v="8404"/>
    <n v="71.551655999999994"/>
    <n v="47.75"/>
    <s v="Jan"/>
    <x v="1"/>
    <m/>
    <m/>
  </r>
  <r>
    <n v="69568828"/>
    <x v="1"/>
    <n v="8800"/>
    <d v="2026-01-10T00:00:00"/>
    <s v="BR CS Vanilla 6 1.5QT"/>
    <x v="1"/>
    <n v="8.5199999999999998E-3"/>
    <n v="176"/>
    <x v="0"/>
    <x v="1"/>
    <n v="1"/>
    <n v="8800"/>
    <n v="74.975999999999999"/>
    <n v="50"/>
    <s v="Jan"/>
    <x v="1"/>
    <m/>
    <m/>
  </r>
  <r>
    <n v="64958122"/>
    <x v="1"/>
    <n v="8910"/>
    <d v="2026-01-10T00:00:00"/>
    <s v="Yasso Sea Salt Caramel 8-4pk"/>
    <x v="11"/>
    <n v="3.3119999999999998E-3"/>
    <n v="165"/>
    <x v="4"/>
    <x v="5"/>
    <n v="1"/>
    <n v="8910"/>
    <n v="29.509919999999997"/>
    <n v="54"/>
    <s v="Jan"/>
    <x v="1"/>
    <m/>
    <m/>
  </r>
  <r>
    <n v="68860059"/>
    <x v="1"/>
    <n v="13606"/>
    <d v="2026-01-10T00:00:00"/>
    <s v="Talenti Pacific Coast Pistachio 8 1PT"/>
    <x v="8"/>
    <n v="3.7839999999999996E-3"/>
    <n v="255"/>
    <x v="2"/>
    <x v="3"/>
    <n v="1"/>
    <n v="13606"/>
    <n v="51.485103999999993"/>
    <n v="53.356862745098042"/>
    <s v="Jan"/>
    <x v="1"/>
    <m/>
    <m/>
  </r>
  <r>
    <n v="84141103"/>
    <x v="2"/>
    <n v="36480"/>
    <d v="2026-01-10T00:00:00"/>
    <s v="BJ US-IC-HalfBaked-FTNG-8 1PT"/>
    <x v="30"/>
    <n v="3.7853439999999999E-3"/>
    <n v="240"/>
    <x v="3"/>
    <x v="4"/>
    <n v="1"/>
    <n v="36480"/>
    <n v="138.08934912000001"/>
    <n v="152"/>
    <s v="Jan"/>
    <x v="1"/>
    <m/>
    <m/>
  </r>
  <r>
    <n v="64369046"/>
    <x v="1"/>
    <n v="13"/>
    <d v="2026-01-11T00:00:00"/>
    <s v="TAL LYR Snickerdoodle 8p 326.7g"/>
    <x v="9"/>
    <n v="3.552E-3"/>
    <n v="255"/>
    <x v="2"/>
    <x v="3"/>
    <n v="1"/>
    <n v="13"/>
    <n v="4.6176000000000002E-2"/>
    <n v="5.0980392156862744E-2"/>
    <s v="Jan"/>
    <x v="2"/>
    <m/>
    <m/>
  </r>
  <r>
    <n v="68746232"/>
    <x v="1"/>
    <n v="178"/>
    <d v="2026-01-11T00:00:00"/>
    <s v="KL Mint CHOC Chip 12-6PK"/>
    <x v="21"/>
    <n v="8.5199999999999998E-3"/>
    <n v="132"/>
    <x v="1"/>
    <x v="11"/>
    <n v="1"/>
    <n v="178"/>
    <n v="1.5165599999999999"/>
    <n v="1.3484848484848484"/>
    <s v="Jan"/>
    <x v="2"/>
    <m/>
    <m/>
  </r>
  <r>
    <n v="64341106"/>
    <x v="1"/>
    <n v="260"/>
    <d v="2026-01-11T00:00:00"/>
    <s v="PS Jolly Rancher Pop 6-18PK"/>
    <x v="16"/>
    <n v="5.2680000000000001E-3"/>
    <n v="130"/>
    <x v="6"/>
    <x v="7"/>
    <n v="1"/>
    <n v="260"/>
    <n v="1.36968"/>
    <n v="2"/>
    <s v="Jan"/>
    <x v="2"/>
    <m/>
    <m/>
  </r>
  <r>
    <n v="68746232"/>
    <x v="1"/>
    <n v="384"/>
    <d v="2026-01-11T00:00:00"/>
    <s v="KL Mint CHOC Chip 12-6PK"/>
    <x v="21"/>
    <n v="8.5199999999999998E-3"/>
    <n v="132"/>
    <x v="1"/>
    <x v="11"/>
    <n v="1"/>
    <n v="384"/>
    <n v="3.2716799999999999"/>
    <n v="2.9090909090909092"/>
    <s v="Jan"/>
    <x v="2"/>
    <m/>
    <m/>
  </r>
  <r>
    <n v="64393719"/>
    <x v="1"/>
    <n v="703"/>
    <d v="2026-01-11T00:00:00"/>
    <s v="BR Carbsmart Strawberry Bar 8-6PK"/>
    <x v="13"/>
    <n v="4.2560000000000002E-3"/>
    <n v="143"/>
    <x v="5"/>
    <x v="6"/>
    <n v="1"/>
    <n v="703"/>
    <n v="2.991968"/>
    <n v="4.9160839160839158"/>
    <s v="Jan"/>
    <x v="2"/>
    <m/>
    <m/>
  </r>
  <r>
    <n v="69690941"/>
    <x v="1"/>
    <n v="704"/>
    <d v="2026-01-11T00:00:00"/>
    <s v="MG Mini Classic 6-6PK"/>
    <x v="23"/>
    <n v="1.98E-3"/>
    <n v="176"/>
    <x v="5"/>
    <x v="6"/>
    <n v="1"/>
    <n v="704"/>
    <n v="1.39392"/>
    <n v="4"/>
    <s v="Jan"/>
    <x v="2"/>
    <m/>
    <m/>
  </r>
  <r>
    <n v="64369043"/>
    <x v="1"/>
    <n v="823"/>
    <d v="2026-01-11T00:00:00"/>
    <s v="TAL ND LYR CHOC Fudge Brownie 8 323.1g"/>
    <x v="9"/>
    <n v="3.552E-3"/>
    <n v="255"/>
    <x v="2"/>
    <x v="3"/>
    <n v="1"/>
    <n v="823"/>
    <n v="2.9232960000000001"/>
    <n v="3.2274509803921569"/>
    <s v="Jan"/>
    <x v="2"/>
    <m/>
    <m/>
  </r>
  <r>
    <n v="68817801"/>
    <x v="1"/>
    <n v="1056"/>
    <d v="2026-01-11T00:00:00"/>
    <s v="BR XCRMY Chocolate 6 1.5QT"/>
    <x v="5"/>
    <n v="8.5199999999999998E-3"/>
    <n v="176"/>
    <x v="0"/>
    <x v="1"/>
    <n v="1"/>
    <n v="1056"/>
    <n v="8.9971199999999989"/>
    <n v="6"/>
    <s v="Jan"/>
    <x v="2"/>
    <m/>
    <m/>
  </r>
  <r>
    <n v="64958122"/>
    <x v="1"/>
    <n v="1313"/>
    <d v="2026-01-11T00:00:00"/>
    <s v="Yasso Sea Salt Caramel 8-4pk"/>
    <x v="11"/>
    <n v="3.3119999999999998E-3"/>
    <n v="165"/>
    <x v="4"/>
    <x v="5"/>
    <n v="1"/>
    <n v="1313"/>
    <n v="4.3486560000000001"/>
    <n v="7.957575757575758"/>
    <s v="Jan"/>
    <x v="2"/>
    <m/>
    <m/>
  </r>
  <r>
    <n v="68860059"/>
    <x v="1"/>
    <n v="1314"/>
    <d v="2026-01-11T00:00:00"/>
    <s v="Talenti Pacific Coast Pistachio 8 1PT"/>
    <x v="8"/>
    <n v="3.7839999999999996E-3"/>
    <n v="255"/>
    <x v="2"/>
    <x v="3"/>
    <n v="1"/>
    <n v="1314"/>
    <n v="4.9721759999999993"/>
    <n v="5.1529411764705886"/>
    <s v="Jan"/>
    <x v="2"/>
    <m/>
    <m/>
  </r>
  <r>
    <n v="68300738"/>
    <x v="0"/>
    <n v="1320"/>
    <d v="2026-01-11T00:00:00"/>
    <s v="KL REESES BAR 12-6 PK"/>
    <x v="2"/>
    <n v="8.4960000000000001E-3"/>
    <n v="132"/>
    <x v="1"/>
    <x v="2"/>
    <n v="1"/>
    <n v="1320"/>
    <n v="11.21472"/>
    <n v="10"/>
    <s v="Jan"/>
    <x v="2"/>
    <m/>
    <m/>
  </r>
  <r>
    <n v="68921994"/>
    <x v="0"/>
    <n v="1321"/>
    <d v="2026-01-11T00:00:00"/>
    <s v="KL Dark Chocolate Bar 12-6PK"/>
    <x v="4"/>
    <n v="9.5760000000000012E-3"/>
    <n v="132"/>
    <x v="1"/>
    <x v="2"/>
    <n v="1"/>
    <n v="1321"/>
    <n v="12.649896000000002"/>
    <n v="10.007575757575758"/>
    <s v="Jan"/>
    <x v="2"/>
    <m/>
    <m/>
  </r>
  <r>
    <n v="68689251"/>
    <x v="0"/>
    <n v="1328"/>
    <d v="2026-01-11T00:00:00"/>
    <s v="KL Original Vanilla Bar 12-6PK"/>
    <x v="2"/>
    <n v="9.5760000000000012E-3"/>
    <n v="132"/>
    <x v="1"/>
    <x v="2"/>
    <n v="1"/>
    <n v="1328"/>
    <n v="12.716928000000001"/>
    <n v="10.060606060606061"/>
    <s v="Jan"/>
    <x v="2"/>
    <m/>
    <m/>
  </r>
  <r>
    <n v="69568828"/>
    <x v="1"/>
    <n v="1584"/>
    <d v="2026-01-11T00:00:00"/>
    <s v="BR CS Vanilla 6 1.5QT"/>
    <x v="1"/>
    <n v="8.5199999999999998E-3"/>
    <n v="176"/>
    <x v="0"/>
    <x v="1"/>
    <n v="1"/>
    <n v="1584"/>
    <n v="13.49568"/>
    <n v="9"/>
    <s v="Jan"/>
    <x v="2"/>
    <m/>
    <m/>
  </r>
  <r>
    <n v="64341106"/>
    <x v="1"/>
    <n v="1798"/>
    <d v="2026-01-11T00:00:00"/>
    <s v="PS Jolly Rancher Pop 6-18PK"/>
    <x v="16"/>
    <n v="5.2680000000000001E-3"/>
    <n v="130"/>
    <x v="6"/>
    <x v="7"/>
    <n v="1"/>
    <n v="1798"/>
    <n v="9.4718640000000001"/>
    <n v="13.830769230769231"/>
    <s v="Jan"/>
    <x v="2"/>
    <m/>
    <m/>
  </r>
  <r>
    <n v="68852591"/>
    <x v="0"/>
    <n v="2772"/>
    <d v="2026-01-11T00:00:00"/>
    <s v="KL Heath Bar 12-6PK"/>
    <x v="4"/>
    <n v="8.5199999999999998E-3"/>
    <n v="132"/>
    <x v="1"/>
    <x v="2"/>
    <n v="1"/>
    <n v="2772"/>
    <n v="23.617439999999998"/>
    <n v="21"/>
    <s v="Jan"/>
    <x v="2"/>
    <m/>
    <m/>
  </r>
  <r>
    <n v="64977530"/>
    <x v="0"/>
    <n v="3168"/>
    <d v="2026-01-11T00:00:00"/>
    <s v="BR Hot Fudge Brownie Sundae 6p 1.5QT"/>
    <x v="7"/>
    <n v="8.513999999999999E-3"/>
    <n v="176"/>
    <x v="0"/>
    <x v="0"/>
    <n v="1"/>
    <n v="3168"/>
    <n v="26.972351999999997"/>
    <n v="18"/>
    <s v="Jan"/>
    <x v="2"/>
    <m/>
    <m/>
  </r>
  <r>
    <n v="64393723"/>
    <x v="1"/>
    <n v="3294"/>
    <d v="2026-01-11T00:00:00"/>
    <s v="MG Double Chocolate Bar 8-3PK"/>
    <x v="26"/>
    <n v="2.16E-3"/>
    <n v="210"/>
    <x v="5"/>
    <x v="6"/>
    <n v="1"/>
    <n v="3294"/>
    <n v="7.1150400000000005"/>
    <n v="15.685714285714285"/>
    <s v="Jan"/>
    <x v="2"/>
    <m/>
    <m/>
  </r>
  <r>
    <n v="68851107"/>
    <x v="0"/>
    <n v="3500"/>
    <d v="2026-01-11T00:00:00"/>
    <s v="BR NAT Vanilla 6-1.5QT"/>
    <x v="6"/>
    <n v="8.5199999999999998E-3"/>
    <n v="176"/>
    <x v="0"/>
    <x v="0"/>
    <n v="1"/>
    <n v="3500"/>
    <n v="29.82"/>
    <n v="19.886363636363637"/>
    <s v="Jan"/>
    <x v="2"/>
    <m/>
    <m/>
  </r>
  <r>
    <n v="64393719"/>
    <x v="1"/>
    <n v="3708"/>
    <d v="2026-01-11T00:00:00"/>
    <s v="BR Carbsmart Strawberry Bar 8-6PK"/>
    <x v="13"/>
    <n v="4.2560000000000002E-3"/>
    <n v="143"/>
    <x v="5"/>
    <x v="6"/>
    <n v="1"/>
    <n v="3708"/>
    <n v="15.781248000000001"/>
    <n v="25.93006993006993"/>
    <s v="Jan"/>
    <x v="2"/>
    <m/>
    <m/>
  </r>
  <r>
    <n v="64369043"/>
    <x v="1"/>
    <n v="4132"/>
    <d v="2026-01-11T00:00:00"/>
    <s v="TAL ND LYR CHOC Fudge Brownie 8 323.1g"/>
    <x v="9"/>
    <n v="3.552E-3"/>
    <n v="255"/>
    <x v="2"/>
    <x v="3"/>
    <n v="1"/>
    <n v="4132"/>
    <n v="14.676864"/>
    <n v="16.20392156862745"/>
    <s v="Jan"/>
    <x v="2"/>
    <m/>
    <m/>
  </r>
  <r>
    <n v="68689251"/>
    <x v="0"/>
    <n v="4173"/>
    <d v="2026-01-11T00:00:00"/>
    <s v="KL Original Vanilla Bar 12-6PK"/>
    <x v="20"/>
    <n v="9.5760000000000012E-3"/>
    <n v="132"/>
    <x v="1"/>
    <x v="2"/>
    <n v="1"/>
    <n v="4173"/>
    <n v="39.960648000000006"/>
    <n v="31.613636363636363"/>
    <s v="Jan"/>
    <x v="2"/>
    <m/>
    <m/>
  </r>
  <r>
    <n v="69690941"/>
    <x v="1"/>
    <n v="4448"/>
    <d v="2026-01-11T00:00:00"/>
    <s v="MG Mini Classic 6-6PK"/>
    <x v="23"/>
    <n v="1.98E-3"/>
    <n v="176"/>
    <x v="5"/>
    <x v="6"/>
    <n v="1"/>
    <n v="4448"/>
    <n v="8.8070400000000006"/>
    <n v="25.272727272727273"/>
    <s v="Jan"/>
    <x v="2"/>
    <m/>
    <m/>
  </r>
  <r>
    <n v="64958122"/>
    <x v="1"/>
    <n v="6435"/>
    <d v="2026-01-11T00:00:00"/>
    <s v="Yasso Sea Salt Caramel 8-4pk"/>
    <x v="11"/>
    <n v="3.3119999999999998E-3"/>
    <n v="165"/>
    <x v="4"/>
    <x v="5"/>
    <n v="1"/>
    <n v="6435"/>
    <n v="21.312719999999999"/>
    <n v="39"/>
    <s v="Jan"/>
    <x v="2"/>
    <m/>
    <m/>
  </r>
  <r>
    <n v="64977530"/>
    <x v="0"/>
    <n v="7045"/>
    <d v="2026-01-11T00:00:00"/>
    <s v="BR Hot Fudge Brownie Sundae 6p 1.5QT"/>
    <x v="7"/>
    <n v="8.513999999999999E-3"/>
    <n v="176"/>
    <x v="0"/>
    <x v="0"/>
    <n v="1"/>
    <n v="7045"/>
    <n v="59.981129999999993"/>
    <n v="40.028409090909093"/>
    <s v="Jan"/>
    <x v="2"/>
    <m/>
    <m/>
  </r>
  <r>
    <n v="69568828"/>
    <x v="1"/>
    <n v="7419"/>
    <d v="2026-01-11T00:00:00"/>
    <s v="BR CS Vanilla 6 1.5QT"/>
    <x v="3"/>
    <n v="8.5199999999999998E-3"/>
    <n v="176"/>
    <x v="0"/>
    <x v="1"/>
    <n v="1"/>
    <n v="7419"/>
    <n v="63.209879999999998"/>
    <n v="42.153409090909093"/>
    <s v="Jan"/>
    <x v="2"/>
    <m/>
    <m/>
  </r>
  <r>
    <n v="68817801"/>
    <x v="1"/>
    <n v="7568"/>
    <d v="2026-01-11T00:00:00"/>
    <s v="BR XCRMY Chocolate 6 1.5QT"/>
    <x v="5"/>
    <n v="8.5199999999999998E-3"/>
    <n v="176"/>
    <x v="0"/>
    <x v="1"/>
    <n v="1"/>
    <n v="7568"/>
    <n v="64.47936"/>
    <n v="43"/>
    <s v="Jan"/>
    <x v="2"/>
    <m/>
    <m/>
  </r>
  <r>
    <n v="68851107"/>
    <x v="0"/>
    <n v="7918"/>
    <d v="2026-01-11T00:00:00"/>
    <s v="BR NAT Vanilla 6-1.5QT"/>
    <x v="6"/>
    <n v="8.5199999999999998E-3"/>
    <n v="176"/>
    <x v="0"/>
    <x v="0"/>
    <n v="1"/>
    <n v="7918"/>
    <n v="67.461359999999999"/>
    <n v="44.988636363636367"/>
    <s v="Jan"/>
    <x v="2"/>
    <m/>
    <m/>
  </r>
  <r>
    <n v="84141103"/>
    <x v="2"/>
    <n v="8297"/>
    <d v="2026-01-11T00:00:00"/>
    <s v="BJ US-IC-HalfBaked-FTNG-8 1PT"/>
    <x v="30"/>
    <n v="3.7853439999999999E-3"/>
    <n v="240"/>
    <x v="3"/>
    <x v="4"/>
    <n v="1"/>
    <n v="8297"/>
    <n v="31.406999167999999"/>
    <n v="34.570833333333333"/>
    <s v="Jan"/>
    <x v="2"/>
    <m/>
    <m/>
  </r>
  <r>
    <n v="68860059"/>
    <x v="1"/>
    <n v="12709"/>
    <d v="2026-01-11T00:00:00"/>
    <s v="Talenti Pacific Coast Pistachio 8 1PT"/>
    <x v="8"/>
    <n v="3.7839999999999996E-3"/>
    <n v="255"/>
    <x v="2"/>
    <x v="3"/>
    <n v="1"/>
    <n v="12709"/>
    <n v="48.090855999999995"/>
    <n v="49.839215686274507"/>
    <s v="Jan"/>
    <x v="2"/>
    <m/>
    <m/>
  </r>
  <r>
    <n v="69568828"/>
    <x v="1"/>
    <n v="12892"/>
    <d v="2026-01-11T00:00:00"/>
    <s v="BR CS Vanilla 6 1.5QT"/>
    <x v="1"/>
    <n v="8.5199999999999998E-3"/>
    <n v="176"/>
    <x v="0"/>
    <x v="1"/>
    <n v="1"/>
    <n v="12892"/>
    <n v="109.83984"/>
    <n v="73.25"/>
    <s v="Jan"/>
    <x v="2"/>
    <m/>
    <m/>
  </r>
  <r>
    <n v="67826412"/>
    <x v="2"/>
    <n v="17750"/>
    <d v="2026-01-11T00:00:00"/>
    <s v="BJ US-IC-ChunkyMonkey-FTNG-8 1PT"/>
    <x v="24"/>
    <n v="3.7853439999999999E-3"/>
    <n v="240"/>
    <x v="3"/>
    <x v="4"/>
    <n v="1"/>
    <n v="17750"/>
    <n v="67.189856000000006"/>
    <n v="73.958333333333329"/>
    <s v="Jan"/>
    <x v="2"/>
    <m/>
    <m/>
  </r>
  <r>
    <n v="67430513"/>
    <x v="3"/>
    <n v="-240"/>
    <d v="2026-01-12T00:00:00"/>
    <s v="BJ US-IC-PeanutButterCup-8 1PT"/>
    <x v="24"/>
    <n v="3.7839999999999996E-3"/>
    <n v="240"/>
    <x v="3"/>
    <x v="13"/>
    <n v="1"/>
    <n v="-240"/>
    <n v="-0.90815999999999986"/>
    <n v="-1"/>
    <s v="Jan"/>
    <x v="2"/>
    <m/>
    <m/>
  </r>
  <r>
    <n v="67826412"/>
    <x v="2"/>
    <n v="-230"/>
    <d v="2026-01-12T00:00:00"/>
    <s v="BJ US-IC-ChunkyMonkey-FTNG-8 1PT"/>
    <x v="24"/>
    <n v="3.7853439999999999E-3"/>
    <n v="240"/>
    <x v="3"/>
    <x v="4"/>
    <n v="1"/>
    <n v="-230"/>
    <n v="-0.87062912000000003"/>
    <n v="-0.95833333333333337"/>
    <s v="Jan"/>
    <x v="2"/>
    <m/>
    <m/>
  </r>
  <r>
    <n v="84161610"/>
    <x v="3"/>
    <n v="-204"/>
    <d v="2026-01-12T00:00:00"/>
    <s v="BJ US-COR-SaltedCaramelCore-FTNG-8 1PT"/>
    <x v="30"/>
    <n v="3.7853439999999999E-3"/>
    <n v="240"/>
    <x v="3"/>
    <x v="13"/>
    <n v="1"/>
    <n v="-204"/>
    <n v="-0.77221017599999997"/>
    <n v="-0.85"/>
    <s v="Jan"/>
    <x v="2"/>
    <m/>
    <m/>
  </r>
  <r>
    <n v="68746232"/>
    <x v="1"/>
    <n v="31"/>
    <d v="2026-01-12T00:00:00"/>
    <s v="KL Mint CHOC Chip 12-6PK"/>
    <x v="21"/>
    <n v="8.5199999999999998E-3"/>
    <n v="132"/>
    <x v="1"/>
    <x v="11"/>
    <n v="1"/>
    <n v="31"/>
    <n v="0.26412000000000002"/>
    <n v="0.23484848484848486"/>
    <s v="Jan"/>
    <x v="2"/>
    <m/>
    <m/>
  </r>
  <r>
    <n v="68741742"/>
    <x v="1"/>
    <n v="44"/>
    <d v="2026-01-12T00:00:00"/>
    <s v="GH Strawberry Shortcake Bar 8-6PK"/>
    <x v="19"/>
    <n v="4.2560000000000002E-3"/>
    <n v="154"/>
    <x v="7"/>
    <x v="10"/>
    <n v="1"/>
    <n v="44"/>
    <n v="0.18726400000000001"/>
    <n v="0.2857142857142857"/>
    <s v="Jan"/>
    <x v="2"/>
    <m/>
    <m/>
  </r>
  <r>
    <n v="68851108"/>
    <x v="1"/>
    <n v="73"/>
    <d v="2026-01-12T00:00:00"/>
    <s v="BR VAN CHOC STRAW 6-1.5QT"/>
    <x v="1"/>
    <n v="8.5199999999999998E-3"/>
    <n v="176"/>
    <x v="0"/>
    <x v="1"/>
    <n v="1"/>
    <n v="73"/>
    <n v="0.62195999999999996"/>
    <n v="0.41477272727272729"/>
    <s v="Jan"/>
    <x v="2"/>
    <m/>
    <m/>
  </r>
  <r>
    <n v="64341106"/>
    <x v="1"/>
    <n v="76"/>
    <d v="2026-01-12T00:00:00"/>
    <s v="PS Jolly Rancher Pop 6-18PK"/>
    <x v="16"/>
    <n v="5.2680000000000001E-3"/>
    <n v="130"/>
    <x v="6"/>
    <x v="7"/>
    <n v="1"/>
    <n v="76"/>
    <n v="0.400368"/>
    <n v="0.58461538461538465"/>
    <s v="Jan"/>
    <x v="2"/>
    <m/>
    <m/>
  </r>
  <r>
    <n v="68860059"/>
    <x v="1"/>
    <n v="90"/>
    <d v="2026-01-12T00:00:00"/>
    <s v="Talenti Pacific Coast Pistachio 8 1PT"/>
    <x v="8"/>
    <n v="3.7839999999999996E-3"/>
    <n v="255"/>
    <x v="2"/>
    <x v="3"/>
    <n v="1"/>
    <n v="90"/>
    <n v="0.34055999999999997"/>
    <n v="0.35294117647058826"/>
    <s v="Jan"/>
    <x v="2"/>
    <m/>
    <m/>
  </r>
  <r>
    <n v="69568828"/>
    <x v="1"/>
    <n v="99"/>
    <d v="2026-01-12T00:00:00"/>
    <s v="BR CS Vanilla 6 1.5QT"/>
    <x v="1"/>
    <n v="8.5199999999999998E-3"/>
    <n v="176"/>
    <x v="0"/>
    <x v="1"/>
    <n v="1"/>
    <n v="99"/>
    <n v="0.84348000000000001"/>
    <n v="0.5625"/>
    <s v="Jan"/>
    <x v="2"/>
    <m/>
    <m/>
  </r>
  <r>
    <n v="68817801"/>
    <x v="1"/>
    <n v="110"/>
    <d v="2026-01-12T00:00:00"/>
    <s v="BR XCRMY Chocolate 6 1.5QT"/>
    <x v="5"/>
    <n v="8.5199999999999998E-3"/>
    <n v="176"/>
    <x v="0"/>
    <x v="1"/>
    <n v="1"/>
    <n v="110"/>
    <n v="0.93720000000000003"/>
    <n v="0.625"/>
    <s v="Jan"/>
    <x v="2"/>
    <m/>
    <m/>
  </r>
  <r>
    <n v="68746232"/>
    <x v="1"/>
    <n v="132"/>
    <d v="2026-01-12T00:00:00"/>
    <s v="KL Mint CHOC Chip 12-6PK"/>
    <x v="21"/>
    <n v="8.5199999999999998E-3"/>
    <n v="132"/>
    <x v="1"/>
    <x v="11"/>
    <n v="1"/>
    <n v="132"/>
    <n v="1.1246399999999999"/>
    <n v="1"/>
    <s v="Jan"/>
    <x v="2"/>
    <m/>
    <m/>
  </r>
  <r>
    <n v="64979407"/>
    <x v="1"/>
    <n v="143"/>
    <d v="2026-01-12T00:00:00"/>
    <s v="BR Reeses PB Carbsmart Bar 8-6PK"/>
    <x v="13"/>
    <n v="4.2560000000000002E-3"/>
    <n v="143"/>
    <x v="5"/>
    <x v="6"/>
    <n v="1"/>
    <n v="143"/>
    <n v="0.60860800000000004"/>
    <n v="1"/>
    <s v="Jan"/>
    <x v="2"/>
    <m/>
    <m/>
  </r>
  <r>
    <n v="64958122"/>
    <x v="1"/>
    <n v="165"/>
    <d v="2026-01-12T00:00:00"/>
    <s v="Yasso Sea Salt Caramel 8-4pk"/>
    <x v="11"/>
    <n v="3.3119999999999998E-3"/>
    <n v="165"/>
    <x v="4"/>
    <x v="5"/>
    <n v="1"/>
    <n v="165"/>
    <n v="0.54647999999999997"/>
    <n v="1"/>
    <s v="Jan"/>
    <x v="2"/>
    <m/>
    <m/>
  </r>
  <r>
    <n v="64958125"/>
    <x v="1"/>
    <n v="165"/>
    <d v="2026-01-12T00:00:00"/>
    <s v="Yasso Chocolate Fudge 8-4pk"/>
    <x v="11"/>
    <n v="3.3119999999999998E-3"/>
    <n v="165"/>
    <x v="4"/>
    <x v="5"/>
    <n v="1"/>
    <n v="165"/>
    <n v="0.54647999999999997"/>
    <n v="1"/>
    <s v="Jan"/>
    <x v="2"/>
    <m/>
    <m/>
  </r>
  <r>
    <n v="68649095"/>
    <x v="1"/>
    <n v="175"/>
    <d v="2026-01-12T00:00:00"/>
    <s v="BJ US-TOP-DirtCake-8 450ML"/>
    <x v="17"/>
    <n v="3.5999999999999999E-3"/>
    <n v="240"/>
    <x v="8"/>
    <x v="9"/>
    <n v="1"/>
    <n v="175"/>
    <n v="0.63"/>
    <n v="0.72916666666666663"/>
    <s v="Jan"/>
    <x v="2"/>
    <m/>
    <m/>
  </r>
  <r>
    <n v="64373718"/>
    <x v="1"/>
    <n v="176"/>
    <d v="2026-01-12T00:00:00"/>
    <s v="BR Smores 6 1.5QT"/>
    <x v="5"/>
    <n v="8.5199999999999998E-3"/>
    <n v="176"/>
    <x v="0"/>
    <x v="1"/>
    <n v="1"/>
    <n v="176"/>
    <n v="1.49952"/>
    <n v="1"/>
    <s v="Jan"/>
    <x v="2"/>
    <m/>
    <m/>
  </r>
  <r>
    <n v="64341106"/>
    <x v="1"/>
    <n v="177"/>
    <d v="2026-01-12T00:00:00"/>
    <s v="PS Jolly Rancher Pop 6-18PK"/>
    <x v="16"/>
    <n v="5.2680000000000001E-3"/>
    <n v="130"/>
    <x v="6"/>
    <x v="7"/>
    <n v="1"/>
    <n v="177"/>
    <n v="0.93243600000000004"/>
    <n v="1.3615384615384616"/>
    <s v="Jan"/>
    <x v="2"/>
    <m/>
    <m/>
  </r>
  <r>
    <n v="69690941"/>
    <x v="1"/>
    <n v="214"/>
    <d v="2026-01-12T00:00:00"/>
    <s v="MG Mini Classic 6-6PK"/>
    <x v="23"/>
    <n v="1.98E-3"/>
    <n v="176"/>
    <x v="5"/>
    <x v="6"/>
    <n v="1"/>
    <n v="214"/>
    <n v="0.42371999999999999"/>
    <n v="1.2159090909090908"/>
    <s v="Jan"/>
    <x v="2"/>
    <m/>
    <m/>
  </r>
  <r>
    <n v="68860059"/>
    <x v="1"/>
    <n v="242"/>
    <d v="2026-01-12T00:00:00"/>
    <s v="Talenti Pacific Coast Pistachio 8 1PT"/>
    <x v="8"/>
    <n v="3.7839999999999996E-3"/>
    <n v="255"/>
    <x v="2"/>
    <x v="3"/>
    <n v="1"/>
    <n v="242"/>
    <n v="0.91572799999999988"/>
    <n v="0.94901960784313721"/>
    <s v="Jan"/>
    <x v="2"/>
    <m/>
    <m/>
  </r>
  <r>
    <n v="69568828"/>
    <x v="1"/>
    <n v="246"/>
    <d v="2026-01-12T00:00:00"/>
    <s v="BR CS Vanilla 6 1.5QT"/>
    <x v="3"/>
    <n v="8.5199999999999998E-3"/>
    <n v="176"/>
    <x v="0"/>
    <x v="1"/>
    <n v="1"/>
    <n v="246"/>
    <n v="2.09592"/>
    <n v="1.3977272727272727"/>
    <s v="Jan"/>
    <x v="2"/>
    <m/>
    <m/>
  </r>
  <r>
    <n v="68689251"/>
    <x v="0"/>
    <n v="264"/>
    <d v="2026-01-12T00:00:00"/>
    <s v="KL Original Vanilla Bar 12-6PK"/>
    <x v="20"/>
    <n v="9.5760000000000012E-3"/>
    <n v="132"/>
    <x v="1"/>
    <x v="2"/>
    <n v="1"/>
    <n v="264"/>
    <n v="2.5280640000000005"/>
    <n v="2"/>
    <s v="Jan"/>
    <x v="2"/>
    <m/>
    <m/>
  </r>
  <r>
    <n v="68817801"/>
    <x v="1"/>
    <n v="271"/>
    <d v="2026-01-12T00:00:00"/>
    <s v="BR XCRMY Chocolate 6 1.5QT"/>
    <x v="5"/>
    <n v="8.5199999999999998E-3"/>
    <n v="176"/>
    <x v="0"/>
    <x v="1"/>
    <n v="1"/>
    <n v="271"/>
    <n v="2.3089200000000001"/>
    <n v="1.5397727272727273"/>
    <s v="Jan"/>
    <x v="2"/>
    <m/>
    <m/>
  </r>
  <r>
    <n v="64341106"/>
    <x v="1"/>
    <n v="303"/>
    <d v="2026-01-12T00:00:00"/>
    <s v="PS Jolly Rancher Pop 6-18PK"/>
    <x v="16"/>
    <n v="5.2680000000000001E-3"/>
    <n v="130"/>
    <x v="6"/>
    <x v="7"/>
    <n v="1"/>
    <n v="303"/>
    <n v="1.596204"/>
    <n v="2.3307692307692309"/>
    <s v="Jan"/>
    <x v="2"/>
    <m/>
    <m/>
  </r>
  <r>
    <n v="64369043"/>
    <x v="1"/>
    <n v="389"/>
    <d v="2026-01-12T00:00:00"/>
    <s v="TAL ND LYR CHOC Fudge Brownie 8 323.1g"/>
    <x v="9"/>
    <n v="3.552E-3"/>
    <n v="255"/>
    <x v="2"/>
    <x v="3"/>
    <n v="1"/>
    <n v="389"/>
    <n v="1.3817280000000001"/>
    <n v="1.5254901960784313"/>
    <s v="Jan"/>
    <x v="2"/>
    <m/>
    <m/>
  </r>
  <r>
    <n v="69629468"/>
    <x v="1"/>
    <n v="390"/>
    <d v="2026-01-12T00:00:00"/>
    <s v="PS Fudgesicle NSA 6-18PK"/>
    <x v="14"/>
    <n v="5.2680000000000001E-3"/>
    <n v="130"/>
    <x v="6"/>
    <x v="7"/>
    <n v="1"/>
    <n v="390"/>
    <n v="2.0545200000000001"/>
    <n v="3"/>
    <s v="Jan"/>
    <x v="2"/>
    <m/>
    <m/>
  </r>
  <r>
    <n v="69700048"/>
    <x v="0"/>
    <n v="450"/>
    <d v="2026-01-12T00:00:00"/>
    <s v="GH Reeses Bar 1-24BK"/>
    <x v="18"/>
    <n v="2.7360000000000002E-3"/>
    <n v="225"/>
    <x v="7"/>
    <x v="8"/>
    <n v="1"/>
    <n v="450"/>
    <n v="1.2312000000000001"/>
    <n v="2"/>
    <s v="Jan"/>
    <x v="2"/>
    <m/>
    <m/>
  </r>
  <r>
    <n v="64341106"/>
    <x v="1"/>
    <n v="520"/>
    <d v="2026-01-12T00:00:00"/>
    <s v="PS Jolly Rancher Pop 6-18PK"/>
    <x v="16"/>
    <n v="5.2680000000000001E-3"/>
    <n v="130"/>
    <x v="6"/>
    <x v="7"/>
    <n v="1"/>
    <n v="520"/>
    <n v="2.73936"/>
    <n v="4"/>
    <s v="Jan"/>
    <x v="2"/>
    <m/>
    <m/>
  </r>
  <r>
    <n v="64874633"/>
    <x v="4"/>
    <n v="560"/>
    <d v="2026-01-12T00:00:00"/>
    <s v="KL Cookies and Creme SW 1-24PK"/>
    <x v="31"/>
    <n v="3.192E-3"/>
    <n v="280"/>
    <x v="12"/>
    <x v="19"/>
    <n v="1"/>
    <n v="560"/>
    <n v="1.78752"/>
    <n v="2"/>
    <s v="Jan"/>
    <x v="2"/>
    <m/>
    <m/>
  </r>
  <r>
    <n v="68741742"/>
    <x v="1"/>
    <n v="663"/>
    <d v="2026-01-12T00:00:00"/>
    <s v="GH Strawberry Shortcake Bar 8-6PK"/>
    <x v="19"/>
    <n v="4.2560000000000002E-3"/>
    <n v="154"/>
    <x v="7"/>
    <x v="10"/>
    <n v="1"/>
    <n v="663"/>
    <n v="2.8217280000000002"/>
    <n v="4.3051948051948052"/>
    <s v="Jan"/>
    <x v="2"/>
    <m/>
    <m/>
  </r>
  <r>
    <n v="67826412"/>
    <x v="1"/>
    <n v="720"/>
    <d v="2026-01-12T00:00:00"/>
    <s v="BJ US-IC-ChunkyMonkey-FTNG-8 1PT"/>
    <x v="22"/>
    <n v="3.7853439999999999E-3"/>
    <n v="240"/>
    <x v="3"/>
    <x v="12"/>
    <n v="1"/>
    <n v="720"/>
    <n v="2.7254476799999998"/>
    <n v="3"/>
    <s v="Jan"/>
    <x v="2"/>
    <m/>
    <m/>
  </r>
  <r>
    <n v="64369046"/>
    <x v="1"/>
    <n v="750"/>
    <d v="2026-01-12T00:00:00"/>
    <s v="TAL LYR Snickerdoodle 8p 326.7g"/>
    <x v="9"/>
    <n v="3.552E-3"/>
    <n v="255"/>
    <x v="2"/>
    <x v="3"/>
    <n v="1"/>
    <n v="750"/>
    <n v="2.6640000000000001"/>
    <n v="2.9411764705882355"/>
    <s v="Jan"/>
    <x v="2"/>
    <m/>
    <m/>
  </r>
  <r>
    <n v="64369043"/>
    <x v="1"/>
    <n v="770"/>
    <d v="2026-01-12T00:00:00"/>
    <s v="TAL ND LYR CHOC Fudge Brownie 8 323.1g"/>
    <x v="9"/>
    <n v="3.552E-3"/>
    <n v="255"/>
    <x v="2"/>
    <x v="3"/>
    <n v="1"/>
    <n v="770"/>
    <n v="2.7350400000000001"/>
    <n v="3.0196078431372548"/>
    <s v="Jan"/>
    <x v="2"/>
    <m/>
    <m/>
  </r>
  <r>
    <n v="64958122"/>
    <x v="1"/>
    <n v="825"/>
    <d v="2026-01-12T00:00:00"/>
    <s v="Yasso Sea Salt Caramel 8-4pk"/>
    <x v="11"/>
    <n v="3.3119999999999998E-3"/>
    <n v="165"/>
    <x v="4"/>
    <x v="5"/>
    <n v="1"/>
    <n v="825"/>
    <n v="2.7323999999999997"/>
    <n v="5"/>
    <s v="Jan"/>
    <x v="2"/>
    <m/>
    <m/>
  </r>
  <r>
    <n v="69568828"/>
    <x v="1"/>
    <n v="1048"/>
    <d v="2026-01-12T00:00:00"/>
    <s v="BR CS Vanilla 6 1.5QT"/>
    <x v="1"/>
    <n v="8.5199999999999998E-3"/>
    <n v="176"/>
    <x v="0"/>
    <x v="1"/>
    <n v="1"/>
    <n v="1048"/>
    <n v="8.92896"/>
    <n v="5.9545454545454541"/>
    <s v="Jan"/>
    <x v="2"/>
    <m/>
    <m/>
  </r>
  <r>
    <n v="64977526"/>
    <x v="0"/>
    <n v="1055"/>
    <d v="2026-01-12T00:00:00"/>
    <s v="BR Salted Caramel Truffle 6p 1.5QT"/>
    <x v="7"/>
    <n v="8.513999999999999E-3"/>
    <n v="176"/>
    <x v="0"/>
    <x v="0"/>
    <n v="1"/>
    <n v="1055"/>
    <n v="8.9822699999999998"/>
    <n v="5.9943181818181817"/>
    <s v="Jan"/>
    <x v="2"/>
    <m/>
    <m/>
  </r>
  <r>
    <n v="68860059"/>
    <x v="1"/>
    <n v="1174"/>
    <d v="2026-01-12T00:00:00"/>
    <s v="Talenti Pacific Coast Pistachio 8 1PT"/>
    <x v="8"/>
    <n v="3.7839999999999996E-3"/>
    <n v="255"/>
    <x v="2"/>
    <x v="3"/>
    <n v="1"/>
    <n v="1174"/>
    <n v="4.4424159999999997"/>
    <n v="4.6039215686274506"/>
    <s v="Jan"/>
    <x v="2"/>
    <m/>
    <m/>
  </r>
  <r>
    <n v="69629468"/>
    <x v="0"/>
    <n v="1300"/>
    <d v="2026-01-12T00:00:00"/>
    <s v="PS Fudgesicle NSA 6-18PK"/>
    <x v="28"/>
    <n v="5.2680000000000001E-3"/>
    <n v="130"/>
    <x v="6"/>
    <x v="15"/>
    <n v="1"/>
    <n v="1300"/>
    <n v="6.8483999999999998"/>
    <n v="10"/>
    <s v="Jan"/>
    <x v="2"/>
    <m/>
    <m/>
  </r>
  <r>
    <n v="84138391"/>
    <x v="3"/>
    <n v="1680"/>
    <d v="2026-01-12T00:00:00"/>
    <s v="BJ US-IC-PhishFood-FTNG-8 1PT"/>
    <x v="10"/>
    <n v="3.7853439999999999E-3"/>
    <n v="240"/>
    <x v="3"/>
    <x v="13"/>
    <n v="1"/>
    <n v="1680"/>
    <n v="6.35937792"/>
    <n v="7"/>
    <s v="Jan"/>
    <x v="2"/>
    <m/>
    <m/>
  </r>
  <r>
    <n v="64776954"/>
    <x v="0"/>
    <n v="1690"/>
    <d v="2026-01-12T00:00:00"/>
    <s v="PS Scribblers Natural 6-18PK"/>
    <x v="29"/>
    <n v="3.8340000000000002E-3"/>
    <n v="130"/>
    <x v="6"/>
    <x v="15"/>
    <n v="1"/>
    <n v="1690"/>
    <n v="6.4794600000000004"/>
    <n v="13"/>
    <s v="Jan"/>
    <x v="2"/>
    <m/>
    <m/>
  </r>
  <r>
    <n v="68851108"/>
    <x v="1"/>
    <n v="1936"/>
    <d v="2026-01-12T00:00:00"/>
    <s v="BR VAN CHOC STRAW 6-1.5QT"/>
    <x v="1"/>
    <n v="8.5199999999999998E-3"/>
    <n v="176"/>
    <x v="0"/>
    <x v="1"/>
    <n v="1"/>
    <n v="1936"/>
    <n v="16.494720000000001"/>
    <n v="11"/>
    <s v="Jan"/>
    <x v="2"/>
    <m/>
    <m/>
  </r>
  <r>
    <n v="69991979"/>
    <x v="1"/>
    <n v="2171"/>
    <d v="2026-01-12T00:00:00"/>
    <s v="MG Cookie Duet 8-3PK"/>
    <x v="26"/>
    <n v="2.0400000000000001E-3"/>
    <n v="210"/>
    <x v="5"/>
    <x v="6"/>
    <n v="1"/>
    <n v="2171"/>
    <n v="4.4288400000000001"/>
    <n v="10.338095238095239"/>
    <s v="Jan"/>
    <x v="2"/>
    <m/>
    <m/>
  </r>
  <r>
    <n v="68689251"/>
    <x v="0"/>
    <n v="2376"/>
    <d v="2026-01-12T00:00:00"/>
    <s v="KL Original Vanilla Bar 12-6PK"/>
    <x v="20"/>
    <n v="9.5760000000000012E-3"/>
    <n v="132"/>
    <x v="1"/>
    <x v="2"/>
    <n v="1"/>
    <n v="2376"/>
    <n v="22.752576000000001"/>
    <n v="18"/>
    <s v="Jan"/>
    <x v="2"/>
    <m/>
    <m/>
  </r>
  <r>
    <n v="69690941"/>
    <x v="1"/>
    <n v="2464"/>
    <d v="2026-01-12T00:00:00"/>
    <s v="MG Mini Classic 6-6PK"/>
    <x v="23"/>
    <n v="1.98E-3"/>
    <n v="176"/>
    <x v="5"/>
    <x v="6"/>
    <n v="1"/>
    <n v="2464"/>
    <n v="4.8787200000000004"/>
    <n v="14"/>
    <s v="Jan"/>
    <x v="2"/>
    <m/>
    <m/>
  </r>
  <r>
    <n v="68300738"/>
    <x v="0"/>
    <n v="2508"/>
    <d v="2026-01-12T00:00:00"/>
    <s v="KL REESES BAR 12-6 PK"/>
    <x v="2"/>
    <n v="8.4960000000000001E-3"/>
    <n v="132"/>
    <x v="1"/>
    <x v="2"/>
    <n v="1"/>
    <n v="2508"/>
    <n v="21.307967999999999"/>
    <n v="19"/>
    <s v="Jan"/>
    <x v="2"/>
    <m/>
    <m/>
  </r>
  <r>
    <n v="68852591"/>
    <x v="0"/>
    <n v="2508"/>
    <d v="2026-01-12T00:00:00"/>
    <s v="KL Heath Bar 12-6PK"/>
    <x v="4"/>
    <n v="8.5199999999999998E-3"/>
    <n v="132"/>
    <x v="1"/>
    <x v="2"/>
    <n v="1"/>
    <n v="2508"/>
    <n v="21.36816"/>
    <n v="19"/>
    <s v="Jan"/>
    <x v="2"/>
    <m/>
    <m/>
  </r>
  <r>
    <n v="68300738"/>
    <x v="0"/>
    <n v="2788"/>
    <d v="2026-01-12T00:00:00"/>
    <s v="KL REESES BAR 12-6 PK"/>
    <x v="2"/>
    <n v="8.4960000000000001E-3"/>
    <n v="132"/>
    <x v="1"/>
    <x v="2"/>
    <n v="1"/>
    <n v="2788"/>
    <n v="23.686848000000001"/>
    <n v="21.121212121212121"/>
    <s v="Jan"/>
    <x v="2"/>
    <m/>
    <m/>
  </r>
  <r>
    <n v="68852591"/>
    <x v="0"/>
    <n v="3708"/>
    <d v="2026-01-12T00:00:00"/>
    <s v="KL Heath Bar 12-6PK"/>
    <x v="4"/>
    <n v="8.5199999999999998E-3"/>
    <n v="132"/>
    <x v="1"/>
    <x v="2"/>
    <n v="1"/>
    <n v="3708"/>
    <n v="31.59216"/>
    <n v="28.09090909090909"/>
    <s v="Jan"/>
    <x v="2"/>
    <m/>
    <m/>
  </r>
  <r>
    <n v="68626039"/>
    <x v="1"/>
    <n v="3837"/>
    <d v="2026-01-12T00:00:00"/>
    <s v="BR Cookies and Cream 8 1PT"/>
    <x v="17"/>
    <n v="3.7839999999999996E-3"/>
    <n v="240"/>
    <x v="9"/>
    <x v="14"/>
    <n v="1"/>
    <n v="3837"/>
    <n v="14.519207999999999"/>
    <n v="15.987500000000001"/>
    <s v="Jan"/>
    <x v="2"/>
    <m/>
    <m/>
  </r>
  <r>
    <n v="69568828"/>
    <x v="1"/>
    <n v="4224"/>
    <d v="2026-01-12T00:00:00"/>
    <s v="BR CS Vanilla 6 1.5QT"/>
    <x v="1"/>
    <n v="8.5199999999999998E-3"/>
    <n v="176"/>
    <x v="0"/>
    <x v="1"/>
    <n v="1"/>
    <n v="4224"/>
    <n v="35.988479999999996"/>
    <n v="24"/>
    <s v="Jan"/>
    <x v="2"/>
    <m/>
    <m/>
  </r>
  <r>
    <n v="64389650"/>
    <x v="1"/>
    <n v="4752"/>
    <d v="2026-01-12T00:00:00"/>
    <s v="BR CS Rocky Road 6p 1.5QT"/>
    <x v="3"/>
    <n v="8.5199999999999998E-3"/>
    <n v="176"/>
    <x v="0"/>
    <x v="1"/>
    <n v="1"/>
    <n v="4752"/>
    <n v="40.48704"/>
    <n v="27"/>
    <s v="Jan"/>
    <x v="2"/>
    <m/>
    <m/>
  </r>
  <r>
    <n v="68817801"/>
    <x v="1"/>
    <n v="4752"/>
    <d v="2026-01-12T00:00:00"/>
    <s v="BR XCRMY Chocolate 6 1.5QT"/>
    <x v="5"/>
    <n v="8.5199999999999998E-3"/>
    <n v="176"/>
    <x v="0"/>
    <x v="1"/>
    <n v="1"/>
    <n v="4752"/>
    <n v="40.48704"/>
    <n v="27"/>
    <s v="Jan"/>
    <x v="2"/>
    <m/>
    <m/>
  </r>
  <r>
    <n v="64977530"/>
    <x v="0"/>
    <n v="4756"/>
    <d v="2026-01-12T00:00:00"/>
    <s v="BR Hot Fudge Brownie Sundae 6p 1.5QT"/>
    <x v="7"/>
    <n v="8.513999999999999E-3"/>
    <n v="176"/>
    <x v="0"/>
    <x v="0"/>
    <n v="1"/>
    <n v="4756"/>
    <n v="40.492583999999994"/>
    <n v="27.022727272727273"/>
    <s v="Jan"/>
    <x v="2"/>
    <m/>
    <m/>
  </r>
  <r>
    <n v="67473913"/>
    <x v="3"/>
    <n v="4800"/>
    <d v="2026-01-12T00:00:00"/>
    <s v="BJ SORV-IC-PhishFood-8 458ML"/>
    <x v="10"/>
    <n v="3.7853439999999999E-3"/>
    <n v="240"/>
    <x v="10"/>
    <x v="18"/>
    <n v="1"/>
    <n v="4800"/>
    <n v="18.169651200000001"/>
    <n v="20"/>
    <s v="Jan"/>
    <x v="2"/>
    <m/>
    <m/>
  </r>
  <r>
    <n v="68851107"/>
    <x v="0"/>
    <n v="5102"/>
    <d v="2026-01-12T00:00:00"/>
    <s v="BR NAT Vanilla 6-1.5QT"/>
    <x v="6"/>
    <n v="8.5199999999999998E-3"/>
    <n v="176"/>
    <x v="0"/>
    <x v="0"/>
    <n v="1"/>
    <n v="5102"/>
    <n v="43.46904"/>
    <n v="28.988636363636363"/>
    <s v="Jan"/>
    <x v="2"/>
    <m/>
    <m/>
  </r>
  <r>
    <n v="68851107"/>
    <x v="0"/>
    <n v="6421"/>
    <d v="2026-01-12T00:00:00"/>
    <s v="BR NAT Vanilla 6-1.5QT"/>
    <x v="6"/>
    <n v="8.5199999999999998E-3"/>
    <n v="176"/>
    <x v="0"/>
    <x v="0"/>
    <n v="1"/>
    <n v="6421"/>
    <n v="54.706919999999997"/>
    <n v="36.482954545454547"/>
    <s v="Jan"/>
    <x v="2"/>
    <m/>
    <m/>
  </r>
  <r>
    <n v="64369043"/>
    <x v="1"/>
    <n v="6630"/>
    <d v="2026-01-12T00:00:00"/>
    <s v="TAL ND LYR CHOC Fudge Brownie 8 323.1g"/>
    <x v="9"/>
    <n v="3.552E-3"/>
    <n v="255"/>
    <x v="2"/>
    <x v="3"/>
    <n v="1"/>
    <n v="6630"/>
    <n v="23.549759999999999"/>
    <n v="26"/>
    <s v="Jan"/>
    <x v="2"/>
    <m/>
    <m/>
  </r>
  <r>
    <n v="67881629"/>
    <x v="3"/>
    <n v="11426"/>
    <d v="2026-01-12T00:00:00"/>
    <s v="BJ US-COR-BrownieBatter-8 1PT"/>
    <x v="10"/>
    <n v="3.7853439999999999E-3"/>
    <n v="240"/>
    <x v="3"/>
    <x v="13"/>
    <n v="1"/>
    <n v="11426"/>
    <n v="43.251340544000001"/>
    <n v="47.608333333333334"/>
    <s v="Jan"/>
    <x v="2"/>
    <m/>
    <m/>
  </r>
  <r>
    <n v="67826412"/>
    <x v="2"/>
    <n v="13920"/>
    <d v="2026-01-12T00:00:00"/>
    <s v="BJ US-IC-ChunkyMonkey-FTNG-8 1PT"/>
    <x v="24"/>
    <n v="3.7853439999999999E-3"/>
    <n v="240"/>
    <x v="3"/>
    <x v="4"/>
    <n v="1"/>
    <n v="13920"/>
    <n v="52.691988479999999"/>
    <n v="58"/>
    <s v="Jan"/>
    <x v="2"/>
    <m/>
    <m/>
  </r>
  <r>
    <n v="68860059"/>
    <x v="1"/>
    <n v="15045"/>
    <d v="2026-01-12T00:00:00"/>
    <s v="Talenti Pacific Coast Pistachio 8 1PT"/>
    <x v="8"/>
    <n v="3.7839999999999996E-3"/>
    <n v="255"/>
    <x v="2"/>
    <x v="3"/>
    <n v="1"/>
    <n v="15045"/>
    <n v="56.930279999999996"/>
    <n v="59"/>
    <s v="Jan"/>
    <x v="2"/>
    <m/>
    <m/>
  </r>
  <r>
    <n v="84135718"/>
    <x v="3"/>
    <n v="18480"/>
    <d v="2026-01-12T00:00:00"/>
    <s v="BJ US-IC-ChocChpCookDgh-FTNG-8 1PT"/>
    <x v="30"/>
    <n v="3.7853439999999999E-3"/>
    <n v="240"/>
    <x v="3"/>
    <x v="13"/>
    <n v="1"/>
    <n v="18480"/>
    <n v="69.95315712"/>
    <n v="77"/>
    <s v="Jan"/>
    <x v="2"/>
    <m/>
    <m/>
  </r>
  <r>
    <n v="68741714"/>
    <x v="0"/>
    <n v="21"/>
    <d v="2026-01-13T00:00:00"/>
    <s v="GH Strawberry Shortcake 1-24BK"/>
    <x v="18"/>
    <n v="2.8319999999999999E-3"/>
    <n v="225"/>
    <x v="7"/>
    <x v="8"/>
    <n v="1"/>
    <n v="21"/>
    <n v="5.9471999999999997E-2"/>
    <n v="9.3333333333333338E-2"/>
    <s v="Jan"/>
    <x v="2"/>
    <m/>
    <m/>
  </r>
  <r>
    <n v="64341967"/>
    <x v="0"/>
    <n v="47"/>
    <d v="2026-01-13T00:00:00"/>
    <s v="BR CHOC Peanut Butter 6 1.5QT"/>
    <x v="12"/>
    <n v="8.513999999999999E-3"/>
    <n v="176"/>
    <x v="0"/>
    <x v="0"/>
    <n v="1"/>
    <n v="47"/>
    <n v="0.40015799999999996"/>
    <n v="0.26704545454545453"/>
    <s v="Jan"/>
    <x v="2"/>
    <m/>
    <m/>
  </r>
  <r>
    <n v="68851104"/>
    <x v="0"/>
    <n v="80"/>
    <d v="2026-01-13T00:00:00"/>
    <s v="BR Chocolate 6-1.5QT"/>
    <x v="6"/>
    <n v="8.5199999999999998E-3"/>
    <n v="176"/>
    <x v="0"/>
    <x v="0"/>
    <n v="1"/>
    <n v="80"/>
    <n v="0.68159999999999998"/>
    <n v="0.45454545454545453"/>
    <s v="Jan"/>
    <x v="2"/>
    <m/>
    <m/>
  </r>
  <r>
    <n v="64958128"/>
    <x v="1"/>
    <n v="165"/>
    <d v="2026-01-13T00:00:00"/>
    <s v="Yasso Mint Chocolate Chip 8-4pk"/>
    <x v="11"/>
    <n v="3.3119999999999998E-3"/>
    <n v="165"/>
    <x v="4"/>
    <x v="5"/>
    <n v="1"/>
    <n v="165"/>
    <n v="0.54647999999999997"/>
    <n v="1"/>
    <s v="Jan"/>
    <x v="2"/>
    <m/>
    <m/>
  </r>
  <r>
    <n v="68741742"/>
    <x v="1"/>
    <n v="308"/>
    <d v="2026-01-13T00:00:00"/>
    <s v="GH Strawberry Shortcake Bar 8-6PK"/>
    <x v="19"/>
    <n v="4.2560000000000002E-3"/>
    <n v="154"/>
    <x v="7"/>
    <x v="10"/>
    <n v="1"/>
    <n v="308"/>
    <n v="1.310848"/>
    <n v="2"/>
    <s v="Jan"/>
    <x v="2"/>
    <m/>
    <m/>
  </r>
  <r>
    <n v="64874633"/>
    <x v="4"/>
    <n v="560"/>
    <d v="2026-01-13T00:00:00"/>
    <s v="KL Cookies and Creme SW 1-24PK"/>
    <x v="31"/>
    <n v="3.192E-3"/>
    <n v="280"/>
    <x v="12"/>
    <x v="19"/>
    <n v="1"/>
    <n v="560"/>
    <n v="1.78752"/>
    <n v="2"/>
    <s v="Jan"/>
    <x v="2"/>
    <m/>
    <m/>
  </r>
  <r>
    <n v="69629468"/>
    <x v="1"/>
    <n v="1040"/>
    <d v="2026-01-13T00:00:00"/>
    <s v="PS Fudgesicle NSA 6-18PK"/>
    <x v="14"/>
    <n v="5.2680000000000001E-3"/>
    <n v="130"/>
    <x v="6"/>
    <x v="7"/>
    <n v="1"/>
    <n v="1040"/>
    <n v="5.47872"/>
    <n v="8"/>
    <s v="Jan"/>
    <x v="2"/>
    <m/>
    <m/>
  </r>
  <r>
    <n v="68741742"/>
    <x v="0"/>
    <n v="1076"/>
    <d v="2026-01-13T00:00:00"/>
    <s v="GH Strawberry Shortcake Bar 8-6PK"/>
    <x v="15"/>
    <n v="4.2560000000000002E-3"/>
    <n v="154"/>
    <x v="7"/>
    <x v="8"/>
    <n v="1"/>
    <n v="1076"/>
    <n v="4.5794560000000004"/>
    <n v="6.9870129870129869"/>
    <s v="Jan"/>
    <x v="2"/>
    <m/>
    <m/>
  </r>
  <r>
    <n v="68741742"/>
    <x v="1"/>
    <n v="1078"/>
    <d v="2026-01-13T00:00:00"/>
    <s v="GH Strawberry Shortcake Bar 8-6PK"/>
    <x v="19"/>
    <n v="4.2560000000000002E-3"/>
    <n v="154"/>
    <x v="7"/>
    <x v="10"/>
    <n v="1"/>
    <n v="1078"/>
    <n v="4.587968"/>
    <n v="7"/>
    <s v="Jan"/>
    <x v="2"/>
    <m/>
    <m/>
  </r>
  <r>
    <n v="68746232"/>
    <x v="1"/>
    <n v="1140"/>
    <d v="2026-01-13T00:00:00"/>
    <s v="KL Mint CHOC Chip 12-6PK"/>
    <x v="21"/>
    <n v="8.5199999999999998E-3"/>
    <n v="132"/>
    <x v="1"/>
    <x v="11"/>
    <n v="1"/>
    <n v="1140"/>
    <n v="9.7127999999999997"/>
    <n v="8.6363636363636367"/>
    <s v="Jan"/>
    <x v="2"/>
    <m/>
    <m/>
  </r>
  <r>
    <n v="69629468"/>
    <x v="1"/>
    <n v="1170"/>
    <d v="2026-01-13T00:00:00"/>
    <s v="PS Fudgesicle NSA 6-18PK"/>
    <x v="14"/>
    <n v="5.2680000000000001E-3"/>
    <n v="130"/>
    <x v="6"/>
    <x v="7"/>
    <n v="1"/>
    <n v="1170"/>
    <n v="6.1635600000000004"/>
    <n v="9"/>
    <s v="Jan"/>
    <x v="2"/>
    <m/>
    <m/>
  </r>
  <r>
    <n v="68689251"/>
    <x v="0"/>
    <n v="1188"/>
    <d v="2026-01-13T00:00:00"/>
    <s v="KL Original Vanilla Bar 12-6PK"/>
    <x v="20"/>
    <n v="9.5760000000000012E-3"/>
    <n v="132"/>
    <x v="1"/>
    <x v="2"/>
    <n v="1"/>
    <n v="1188"/>
    <n v="11.376288000000001"/>
    <n v="9"/>
    <s v="Jan"/>
    <x v="2"/>
    <m/>
    <m/>
  </r>
  <r>
    <n v="68746232"/>
    <x v="1"/>
    <n v="1188"/>
    <d v="2026-01-13T00:00:00"/>
    <s v="KL Mint CHOC Chip 12-6PK"/>
    <x v="21"/>
    <n v="8.5199999999999998E-3"/>
    <n v="132"/>
    <x v="1"/>
    <x v="11"/>
    <n v="1"/>
    <n v="1188"/>
    <n v="10.12176"/>
    <n v="9"/>
    <s v="Jan"/>
    <x v="2"/>
    <m/>
    <m/>
  </r>
  <r>
    <n v="64341106"/>
    <x v="1"/>
    <n v="1300"/>
    <d v="2026-01-13T00:00:00"/>
    <s v="PS Jolly Rancher Pop 6-18PK"/>
    <x v="16"/>
    <n v="5.2680000000000001E-3"/>
    <n v="130"/>
    <x v="6"/>
    <x v="7"/>
    <n v="1"/>
    <n v="1300"/>
    <n v="6.8483999999999998"/>
    <n v="10"/>
    <s v="Jan"/>
    <x v="2"/>
    <m/>
    <m/>
  </r>
  <r>
    <n v="64341106"/>
    <x v="1"/>
    <n v="1430"/>
    <d v="2026-01-13T00:00:00"/>
    <s v="PS Jolly Rancher Pop 6-18PK"/>
    <x v="16"/>
    <n v="5.2680000000000001E-3"/>
    <n v="130"/>
    <x v="6"/>
    <x v="7"/>
    <n v="1"/>
    <n v="1430"/>
    <n v="7.5332400000000002"/>
    <n v="11"/>
    <s v="Jan"/>
    <x v="2"/>
    <m/>
    <m/>
  </r>
  <r>
    <n v="69725082"/>
    <x v="0"/>
    <n v="1566"/>
    <d v="2026-01-13T00:00:00"/>
    <s v="PS OCG 6-18PK"/>
    <x v="32"/>
    <n v="5.2680000000000001E-3"/>
    <n v="130"/>
    <x v="6"/>
    <x v="15"/>
    <n v="1"/>
    <n v="1566"/>
    <n v="8.2496880000000008"/>
    <n v="12.046153846153846"/>
    <s v="Jan"/>
    <x v="2"/>
    <m/>
    <m/>
  </r>
  <r>
    <n v="69700048"/>
    <x v="0"/>
    <n v="1575"/>
    <d v="2026-01-13T00:00:00"/>
    <s v="GH Reeses Bar 1-24BK"/>
    <x v="18"/>
    <n v="2.7360000000000002E-3"/>
    <n v="225"/>
    <x v="7"/>
    <x v="8"/>
    <n v="1"/>
    <n v="1575"/>
    <n v="4.3092000000000006"/>
    <n v="7"/>
    <s v="Jan"/>
    <x v="2"/>
    <m/>
    <m/>
  </r>
  <r>
    <n v="69629468"/>
    <x v="0"/>
    <n v="1690"/>
    <d v="2026-01-13T00:00:00"/>
    <s v="PS Fudgesicle NSA 6-18PK"/>
    <x v="28"/>
    <n v="5.2680000000000001E-3"/>
    <n v="130"/>
    <x v="6"/>
    <x v="15"/>
    <n v="1"/>
    <n v="1690"/>
    <n v="8.9029199999999999"/>
    <n v="13"/>
    <s v="Jan"/>
    <x v="2"/>
    <m/>
    <m/>
  </r>
  <r>
    <n v="69725082"/>
    <x v="0"/>
    <n v="1999"/>
    <d v="2026-01-13T00:00:00"/>
    <s v="PS OCG 6-18PK"/>
    <x v="32"/>
    <n v="5.2680000000000001E-3"/>
    <n v="130"/>
    <x v="6"/>
    <x v="15"/>
    <n v="1"/>
    <n v="1999"/>
    <n v="10.530732"/>
    <n v="15.376923076923077"/>
    <s v="Jan"/>
    <x v="2"/>
    <m/>
    <m/>
  </r>
  <r>
    <n v="64776954"/>
    <x v="0"/>
    <n v="2080"/>
    <d v="2026-01-13T00:00:00"/>
    <s v="PS Scribblers Natural 6-18PK"/>
    <x v="29"/>
    <n v="3.8340000000000002E-3"/>
    <n v="130"/>
    <x v="6"/>
    <x v="15"/>
    <n v="1"/>
    <n v="2080"/>
    <n v="7.9747200000000005"/>
    <n v="16"/>
    <s v="Jan"/>
    <x v="2"/>
    <m/>
    <m/>
  </r>
  <r>
    <n v="69999267"/>
    <x v="1"/>
    <n v="2089"/>
    <d v="2026-01-13T00:00:00"/>
    <s v="BJ US-IC-GimmeSmore-8 1PT"/>
    <x v="22"/>
    <n v="3.7839999999999996E-3"/>
    <n v="240"/>
    <x v="3"/>
    <x v="12"/>
    <n v="1"/>
    <n v="2089"/>
    <n v="7.9047759999999991"/>
    <n v="8.7041666666666675"/>
    <s v="Jan"/>
    <x v="2"/>
    <m/>
    <m/>
  </r>
  <r>
    <n v="68860059"/>
    <x v="1"/>
    <n v="2206"/>
    <d v="2026-01-13T00:00:00"/>
    <s v="Talenti Pacific Coast Pistachio 8 1PT"/>
    <x v="8"/>
    <n v="3.7839999999999996E-3"/>
    <n v="255"/>
    <x v="2"/>
    <x v="3"/>
    <n v="1"/>
    <n v="2206"/>
    <n v="8.3475039999999989"/>
    <n v="8.6509803921568622"/>
    <s v="Jan"/>
    <x v="2"/>
    <m/>
    <m/>
  </r>
  <r>
    <n v="69629468"/>
    <x v="0"/>
    <n v="2288"/>
    <d v="2026-01-13T00:00:00"/>
    <s v="PS Fudgesicle NSA 6-18PK"/>
    <x v="28"/>
    <n v="5.2680000000000001E-3"/>
    <n v="130"/>
    <x v="6"/>
    <x v="15"/>
    <n v="1"/>
    <n v="2288"/>
    <n v="12.053184"/>
    <n v="17.600000000000001"/>
    <s v="Jan"/>
    <x v="2"/>
    <m/>
    <m/>
  </r>
  <r>
    <n v="64776954"/>
    <x v="0"/>
    <n v="2318"/>
    <d v="2026-01-13T00:00:00"/>
    <s v="PS Scribblers Natural 6-18PK"/>
    <x v="29"/>
    <n v="3.8340000000000002E-3"/>
    <n v="130"/>
    <x v="6"/>
    <x v="15"/>
    <n v="1"/>
    <n v="2318"/>
    <n v="8.8872119999999999"/>
    <n v="17.830769230769231"/>
    <s v="Jan"/>
    <x v="2"/>
    <m/>
    <m/>
  </r>
  <r>
    <n v="68300738"/>
    <x v="0"/>
    <n v="2376"/>
    <d v="2026-01-13T00:00:00"/>
    <s v="KL REESES BAR 12-6 PK"/>
    <x v="2"/>
    <n v="8.4960000000000001E-3"/>
    <n v="132"/>
    <x v="1"/>
    <x v="2"/>
    <n v="1"/>
    <n v="2376"/>
    <n v="20.186496000000002"/>
    <n v="18"/>
    <s v="Jan"/>
    <x v="2"/>
    <m/>
    <m/>
  </r>
  <r>
    <n v="64393719"/>
    <x v="1"/>
    <n v="2430"/>
    <d v="2026-01-13T00:00:00"/>
    <s v="BR Carbsmart Strawberry Bar 8-6PK"/>
    <x v="13"/>
    <n v="4.2560000000000002E-3"/>
    <n v="143"/>
    <x v="5"/>
    <x v="6"/>
    <n v="1"/>
    <n v="2430"/>
    <n v="10.342080000000001"/>
    <n v="16.993006993006993"/>
    <s v="Jan"/>
    <x v="2"/>
    <m/>
    <m/>
  </r>
  <r>
    <n v="69991979"/>
    <x v="1"/>
    <n v="2604"/>
    <d v="2026-01-13T00:00:00"/>
    <s v="MG Cookie Duet 8-3PK"/>
    <x v="26"/>
    <n v="2.0400000000000001E-3"/>
    <n v="210"/>
    <x v="5"/>
    <x v="6"/>
    <n v="1"/>
    <n v="2604"/>
    <n v="5.3121600000000004"/>
    <n v="12.4"/>
    <s v="Jan"/>
    <x v="2"/>
    <m/>
    <m/>
  </r>
  <r>
    <n v="68852591"/>
    <x v="0"/>
    <n v="2772"/>
    <d v="2026-01-13T00:00:00"/>
    <s v="KL Heath Bar 12-6PK"/>
    <x v="4"/>
    <n v="8.5199999999999998E-3"/>
    <n v="132"/>
    <x v="1"/>
    <x v="2"/>
    <n v="1"/>
    <n v="2772"/>
    <n v="23.617439999999998"/>
    <n v="21"/>
    <s v="Jan"/>
    <x v="2"/>
    <m/>
    <m/>
  </r>
  <r>
    <n v="69700048"/>
    <x v="0"/>
    <n v="2839"/>
    <d v="2026-01-13T00:00:00"/>
    <s v="GH Reeses Bar 1-24BK"/>
    <x v="18"/>
    <n v="2.7360000000000002E-3"/>
    <n v="225"/>
    <x v="7"/>
    <x v="8"/>
    <n v="1"/>
    <n v="2839"/>
    <n v="7.7675040000000006"/>
    <n v="12.617777777777778"/>
    <s v="Jan"/>
    <x v="2"/>
    <m/>
    <m/>
  </r>
  <r>
    <n v="64393719"/>
    <x v="1"/>
    <n v="2860"/>
    <d v="2026-01-13T00:00:00"/>
    <s v="BR Carbsmart Strawberry Bar 8-6PK"/>
    <x v="13"/>
    <n v="4.2560000000000002E-3"/>
    <n v="143"/>
    <x v="5"/>
    <x v="6"/>
    <n v="1"/>
    <n v="2860"/>
    <n v="12.17216"/>
    <n v="20"/>
    <s v="Jan"/>
    <x v="2"/>
    <m/>
    <m/>
  </r>
  <r>
    <n v="68741742"/>
    <x v="0"/>
    <n v="2873"/>
    <d v="2026-01-13T00:00:00"/>
    <s v="GH Strawberry Shortcake Bar 8-6PK"/>
    <x v="15"/>
    <n v="4.2560000000000002E-3"/>
    <n v="154"/>
    <x v="7"/>
    <x v="8"/>
    <n v="1"/>
    <n v="2873"/>
    <n v="12.227488000000001"/>
    <n v="18.655844155844157"/>
    <s v="Jan"/>
    <x v="2"/>
    <m/>
    <m/>
  </r>
  <r>
    <n v="69690941"/>
    <x v="1"/>
    <n v="2967"/>
    <d v="2026-01-13T00:00:00"/>
    <s v="MG Mini Classic 6-6PK"/>
    <x v="23"/>
    <n v="1.98E-3"/>
    <n v="176"/>
    <x v="5"/>
    <x v="6"/>
    <n v="1"/>
    <n v="2967"/>
    <n v="5.8746599999999995"/>
    <n v="16.857954545454547"/>
    <s v="Jan"/>
    <x v="2"/>
    <m/>
    <m/>
  </r>
  <r>
    <n v="64977526"/>
    <x v="0"/>
    <n v="3319"/>
    <d v="2026-01-13T00:00:00"/>
    <s v="BR Salted Caramel Truffle 6p 1.5QT"/>
    <x v="7"/>
    <n v="8.513999999999999E-3"/>
    <n v="176"/>
    <x v="0"/>
    <x v="0"/>
    <n v="1"/>
    <n v="3319"/>
    <n v="28.257965999999996"/>
    <n v="18.857954545454547"/>
    <s v="Jan"/>
    <x v="2"/>
    <m/>
    <m/>
  </r>
  <r>
    <n v="64874633"/>
    <x v="4"/>
    <n v="3920"/>
    <d v="2026-01-13T00:00:00"/>
    <s v="KL Cookies and Creme SW 1-24PK"/>
    <x v="31"/>
    <n v="3.192E-3"/>
    <n v="280"/>
    <x v="12"/>
    <x v="19"/>
    <n v="1"/>
    <n v="3920"/>
    <n v="12.512639999999999"/>
    <n v="14"/>
    <s v="Jan"/>
    <x v="2"/>
    <m/>
    <m/>
  </r>
  <r>
    <n v="68300738"/>
    <x v="0"/>
    <n v="4088"/>
    <d v="2026-01-13T00:00:00"/>
    <s v="KL REESES BAR 12-6 PK"/>
    <x v="2"/>
    <n v="8.4960000000000001E-3"/>
    <n v="132"/>
    <x v="1"/>
    <x v="2"/>
    <n v="1"/>
    <n v="4088"/>
    <n v="34.731648"/>
    <n v="30.969696969696969"/>
    <s v="Jan"/>
    <x v="2"/>
    <m/>
    <m/>
  </r>
  <r>
    <n v="68817801"/>
    <x v="1"/>
    <n v="4400"/>
    <d v="2026-01-13T00:00:00"/>
    <s v="BR XCRMY Chocolate 6 1.5QT"/>
    <x v="5"/>
    <n v="8.5199999999999998E-3"/>
    <n v="176"/>
    <x v="0"/>
    <x v="1"/>
    <n v="1"/>
    <n v="4400"/>
    <n v="37.488"/>
    <n v="25"/>
    <s v="Jan"/>
    <x v="2"/>
    <m/>
    <m/>
  </r>
  <r>
    <n v="68852591"/>
    <x v="0"/>
    <n v="4529"/>
    <d v="2026-01-13T00:00:00"/>
    <s v="KL Heath Bar 12-6PK"/>
    <x v="4"/>
    <n v="8.5199999999999998E-3"/>
    <n v="132"/>
    <x v="1"/>
    <x v="2"/>
    <n v="1"/>
    <n v="4529"/>
    <n v="38.58708"/>
    <n v="34.310606060606062"/>
    <s v="Jan"/>
    <x v="2"/>
    <m/>
    <m/>
  </r>
  <r>
    <n v="64330596"/>
    <x v="1"/>
    <n v="5104"/>
    <d v="2026-01-13T00:00:00"/>
    <s v="MG Mini Double Caramel Bar 6-6PK"/>
    <x v="23"/>
    <n v="1.98E-3"/>
    <n v="176"/>
    <x v="5"/>
    <x v="6"/>
    <n v="1"/>
    <n v="5104"/>
    <n v="10.105919999999999"/>
    <n v="29"/>
    <s v="Jan"/>
    <x v="2"/>
    <m/>
    <m/>
  </r>
  <r>
    <n v="64389650"/>
    <x v="1"/>
    <n v="5104"/>
    <d v="2026-01-13T00:00:00"/>
    <s v="BR CS Rocky Road 6p 1.5QT"/>
    <x v="3"/>
    <n v="8.5199999999999998E-3"/>
    <n v="176"/>
    <x v="0"/>
    <x v="1"/>
    <n v="1"/>
    <n v="5104"/>
    <n v="43.486080000000001"/>
    <n v="29"/>
    <s v="Jan"/>
    <x v="2"/>
    <m/>
    <m/>
  </r>
  <r>
    <n v="64389650"/>
    <x v="1"/>
    <n v="5632"/>
    <d v="2026-01-13T00:00:00"/>
    <s v="BR CS Rocky Road 6p 1.5QT"/>
    <x v="3"/>
    <n v="8.5199999999999998E-3"/>
    <n v="176"/>
    <x v="0"/>
    <x v="1"/>
    <n v="1"/>
    <n v="5632"/>
    <n v="47.984639999999999"/>
    <n v="32"/>
    <s v="Jan"/>
    <x v="2"/>
    <m/>
    <m/>
  </r>
  <r>
    <n v="69999267"/>
    <x v="1"/>
    <n v="5760"/>
    <d v="2026-01-13T00:00:00"/>
    <s v="BJ US-IC-GimmeSmore-8 1PT"/>
    <x v="22"/>
    <n v="3.7839999999999996E-3"/>
    <n v="240"/>
    <x v="3"/>
    <x v="12"/>
    <n v="1"/>
    <n v="5760"/>
    <n v="21.795839999999998"/>
    <n v="24"/>
    <s v="Jan"/>
    <x v="2"/>
    <m/>
    <m/>
  </r>
  <r>
    <n v="68817801"/>
    <x v="1"/>
    <n v="5984"/>
    <d v="2026-01-13T00:00:00"/>
    <s v="BR XCRMY Chocolate 6 1.5QT"/>
    <x v="5"/>
    <n v="8.5199999999999998E-3"/>
    <n v="176"/>
    <x v="0"/>
    <x v="1"/>
    <n v="1"/>
    <n v="5984"/>
    <n v="50.98368"/>
    <n v="34"/>
    <s v="Jan"/>
    <x v="2"/>
    <m/>
    <m/>
  </r>
  <r>
    <n v="64958122"/>
    <x v="1"/>
    <n v="6069"/>
    <d v="2026-01-13T00:00:00"/>
    <s v="Yasso Sea Salt Caramel 8-4pk"/>
    <x v="11"/>
    <n v="3.3119999999999998E-3"/>
    <n v="165"/>
    <x v="4"/>
    <x v="5"/>
    <n v="1"/>
    <n v="6069"/>
    <n v="20.100528000000001"/>
    <n v="36.781818181818181"/>
    <s v="Jan"/>
    <x v="2"/>
    <m/>
    <m/>
  </r>
  <r>
    <n v="68626039"/>
    <x v="1"/>
    <n v="6314"/>
    <d v="2026-01-13T00:00:00"/>
    <s v="BR Cookies and Cream 8 1PT"/>
    <x v="17"/>
    <n v="3.7839999999999996E-3"/>
    <n v="240"/>
    <x v="9"/>
    <x v="14"/>
    <n v="1"/>
    <n v="6314"/>
    <n v="23.892175999999999"/>
    <n v="26.308333333333334"/>
    <s v="Jan"/>
    <x v="2"/>
    <m/>
    <m/>
  </r>
  <r>
    <n v="68851108"/>
    <x v="1"/>
    <n v="6688"/>
    <d v="2026-01-13T00:00:00"/>
    <s v="BR VAN CHOC STRAW 6-1.5QT"/>
    <x v="1"/>
    <n v="8.5199999999999998E-3"/>
    <n v="176"/>
    <x v="0"/>
    <x v="1"/>
    <n v="1"/>
    <n v="6688"/>
    <n v="56.981760000000001"/>
    <n v="38"/>
    <s v="Jan"/>
    <x v="2"/>
    <m/>
    <m/>
  </r>
  <r>
    <n v="64369043"/>
    <x v="1"/>
    <n v="6697"/>
    <d v="2026-01-13T00:00:00"/>
    <s v="TAL ND LYR CHOC Fudge Brownie 8 323.1g"/>
    <x v="9"/>
    <n v="3.552E-3"/>
    <n v="255"/>
    <x v="2"/>
    <x v="3"/>
    <n v="1"/>
    <n v="6697"/>
    <n v="23.787744"/>
    <n v="26.262745098039215"/>
    <s v="Jan"/>
    <x v="2"/>
    <m/>
    <m/>
  </r>
  <r>
    <n v="64977526"/>
    <x v="0"/>
    <n v="7053"/>
    <d v="2026-01-13T00:00:00"/>
    <s v="BR Salted Caramel Truffle 6p 1.5QT"/>
    <x v="7"/>
    <n v="8.513999999999999E-3"/>
    <n v="176"/>
    <x v="0"/>
    <x v="0"/>
    <n v="1"/>
    <n v="7053"/>
    <n v="60.049241999999992"/>
    <n v="40.073863636363633"/>
    <s v="Jan"/>
    <x v="2"/>
    <m/>
    <m/>
  </r>
  <r>
    <n v="64958122"/>
    <x v="1"/>
    <n v="7260"/>
    <d v="2026-01-13T00:00:00"/>
    <s v="Yasso Sea Salt Caramel 8-4pk"/>
    <x v="11"/>
    <n v="3.3119999999999998E-3"/>
    <n v="165"/>
    <x v="4"/>
    <x v="5"/>
    <n v="1"/>
    <n v="7260"/>
    <n v="24.045119999999997"/>
    <n v="44"/>
    <s v="Jan"/>
    <x v="2"/>
    <m/>
    <m/>
  </r>
  <r>
    <n v="64369043"/>
    <x v="1"/>
    <n v="7813"/>
    <d v="2026-01-13T00:00:00"/>
    <s v="TAL ND LYR CHOC Fudge Brownie 8 323.1g"/>
    <x v="9"/>
    <n v="3.552E-3"/>
    <n v="255"/>
    <x v="2"/>
    <x v="3"/>
    <n v="1"/>
    <n v="7813"/>
    <n v="27.751776"/>
    <n v="30.639215686274511"/>
    <s v="Jan"/>
    <x v="2"/>
    <m/>
    <m/>
  </r>
  <r>
    <n v="68626039"/>
    <x v="1"/>
    <n v="8398"/>
    <d v="2026-01-13T00:00:00"/>
    <s v="BR Cookies and Cream 8 1PT"/>
    <x v="17"/>
    <n v="3.7839999999999996E-3"/>
    <n v="240"/>
    <x v="9"/>
    <x v="14"/>
    <n v="1"/>
    <n v="8398"/>
    <n v="31.778031999999996"/>
    <n v="34.991666666666667"/>
    <s v="Jan"/>
    <x v="2"/>
    <m/>
    <m/>
  </r>
  <r>
    <n v="68851108"/>
    <x v="1"/>
    <n v="8448"/>
    <d v="2026-01-13T00:00:00"/>
    <s v="BR VAN CHOC STRAW 6-1.5QT"/>
    <x v="1"/>
    <n v="8.5199999999999998E-3"/>
    <n v="176"/>
    <x v="0"/>
    <x v="1"/>
    <n v="1"/>
    <n v="8448"/>
    <n v="71.976959999999991"/>
    <n v="48"/>
    <s v="Jan"/>
    <x v="2"/>
    <m/>
    <m/>
  </r>
  <r>
    <n v="68851107"/>
    <x v="0"/>
    <n v="8743"/>
    <d v="2026-01-13T00:00:00"/>
    <s v="BR NAT Vanilla 6-1.5QT"/>
    <x v="6"/>
    <n v="8.5199999999999998E-3"/>
    <n v="176"/>
    <x v="0"/>
    <x v="0"/>
    <n v="1"/>
    <n v="8743"/>
    <n v="74.490359999999995"/>
    <n v="49.676136363636367"/>
    <s v="Jan"/>
    <x v="2"/>
    <m/>
    <m/>
  </r>
  <r>
    <n v="69991979"/>
    <x v="1"/>
    <n v="9240"/>
    <d v="2026-01-13T00:00:00"/>
    <s v="MG Cookie Duet 8-3PK"/>
    <x v="26"/>
    <n v="2.0400000000000001E-3"/>
    <n v="210"/>
    <x v="5"/>
    <x v="6"/>
    <n v="1"/>
    <n v="9240"/>
    <n v="18.849600000000002"/>
    <n v="44"/>
    <s v="Jan"/>
    <x v="2"/>
    <m/>
    <m/>
  </r>
  <r>
    <n v="68860059"/>
    <x v="1"/>
    <n v="14025"/>
    <d v="2026-01-13T00:00:00"/>
    <s v="Talenti Pacific Coast Pistachio 8 1PT"/>
    <x v="8"/>
    <n v="3.7839999999999996E-3"/>
    <n v="255"/>
    <x v="2"/>
    <x v="3"/>
    <n v="1"/>
    <n v="14025"/>
    <n v="53.070599999999992"/>
    <n v="55"/>
    <s v="Jan"/>
    <x v="2"/>
    <m/>
    <m/>
  </r>
  <r>
    <n v="67881629"/>
    <x v="3"/>
    <n v="19920"/>
    <d v="2026-01-13T00:00:00"/>
    <s v="BJ US-COR-BrownieBatter-8 1PT"/>
    <x v="10"/>
    <n v="3.7853439999999999E-3"/>
    <n v="240"/>
    <x v="3"/>
    <x v="13"/>
    <n v="1"/>
    <n v="19920"/>
    <n v="75.404052480000004"/>
    <n v="83"/>
    <s v="Jan"/>
    <x v="2"/>
    <m/>
    <m/>
  </r>
  <r>
    <n v="84138391"/>
    <x v="3"/>
    <n v="24520"/>
    <d v="2026-01-13T00:00:00"/>
    <s v="BJ US-IC-PhishFood-FTNG-8 1PT"/>
    <x v="10"/>
    <n v="3.7853439999999999E-3"/>
    <n v="240"/>
    <x v="3"/>
    <x v="13"/>
    <n v="1"/>
    <n v="24520"/>
    <n v="92.816634879999995"/>
    <n v="102.16666666666667"/>
    <s v="Jan"/>
    <x v="2"/>
    <m/>
    <m/>
  </r>
  <r>
    <n v="67826412"/>
    <x v="2"/>
    <n v="28560"/>
    <d v="2026-01-13T00:00:00"/>
    <s v="BJ US-IC-ChunkyMonkey-FTNG-8 1PT"/>
    <x v="24"/>
    <n v="3.7853439999999999E-3"/>
    <n v="240"/>
    <x v="3"/>
    <x v="4"/>
    <n v="1"/>
    <n v="28560"/>
    <n v="108.10942464"/>
    <n v="119"/>
    <s v="Jan"/>
    <x v="2"/>
    <m/>
    <m/>
  </r>
  <r>
    <n v="84135718"/>
    <x v="3"/>
    <n v="32640"/>
    <d v="2026-01-13T00:00:00"/>
    <s v="BJ US-IC-ChocChpCookDgh-FTNG-8 1PT"/>
    <x v="30"/>
    <n v="3.7853439999999999E-3"/>
    <n v="240"/>
    <x v="3"/>
    <x v="13"/>
    <n v="1"/>
    <n v="32640"/>
    <n v="123.55362816"/>
    <n v="136"/>
    <s v="Jan"/>
    <x v="2"/>
    <m/>
    <m/>
  </r>
  <r>
    <n v="69568828"/>
    <x v="0"/>
    <n v="-154"/>
    <d v="2026-01-14T00:00:00"/>
    <s v="BR CS Vanilla 6 1.5QT"/>
    <x v="0"/>
    <n v="8.5199999999999998E-3"/>
    <n v="176"/>
    <x v="0"/>
    <x v="0"/>
    <n v="1"/>
    <n v="-154"/>
    <n v="-1.3120799999999999"/>
    <n v="-0.875"/>
    <s v="Jan"/>
    <x v="2"/>
    <m/>
    <m/>
  </r>
  <r>
    <n v="64975616"/>
    <x v="1"/>
    <n v="-134"/>
    <d v="2026-01-14T00:00:00"/>
    <s v="Yasso Mint Chocolate Chip 8-14z"/>
    <x v="22"/>
    <n v="3.3119999999999998E-3"/>
    <n v="240"/>
    <x v="11"/>
    <x v="17"/>
    <n v="1"/>
    <n v="-134"/>
    <n v="-0.44380799999999998"/>
    <n v="-0.55833333333333335"/>
    <s v="Jan"/>
    <x v="2"/>
    <m/>
    <m/>
  </r>
  <r>
    <n v="68741742"/>
    <x v="0"/>
    <n v="-114"/>
    <d v="2026-01-14T00:00:00"/>
    <s v="GH Strawberry Shortcake Bar 8-6PK"/>
    <x v="15"/>
    <n v="4.2560000000000002E-3"/>
    <n v="154"/>
    <x v="7"/>
    <x v="8"/>
    <n v="1"/>
    <n v="-114"/>
    <n v="-0.485184"/>
    <n v="-0.74025974025974028"/>
    <s v="Jan"/>
    <x v="2"/>
    <m/>
    <m/>
  </r>
  <r>
    <n v="69690941"/>
    <x v="1"/>
    <n v="-24"/>
    <d v="2026-01-14T00:00:00"/>
    <s v="MG Mini Classic 6-6PK"/>
    <x v="23"/>
    <n v="1.98E-3"/>
    <n v="176"/>
    <x v="5"/>
    <x v="6"/>
    <n v="1"/>
    <n v="-24"/>
    <n v="-4.752E-2"/>
    <n v="-0.13636363636363635"/>
    <s v="Jan"/>
    <x v="2"/>
    <m/>
    <m/>
  </r>
  <r>
    <n v="69717802"/>
    <x v="1"/>
    <n v="-6"/>
    <d v="2026-01-14T00:00:00"/>
    <s v="BR Carbsmart IC Bars 8-6PK"/>
    <x v="23"/>
    <n v="4.2560000000000002E-3"/>
    <n v="143"/>
    <x v="5"/>
    <x v="6"/>
    <n v="1"/>
    <n v="-6"/>
    <n v="-2.5536000000000003E-2"/>
    <n v="-4.195804195804196E-2"/>
    <s v="Jan"/>
    <x v="2"/>
    <m/>
    <m/>
  </r>
  <r>
    <n v="68922108"/>
    <x v="1"/>
    <n v="-3"/>
    <d v="2026-01-14T00:00:00"/>
    <s v="Talenti Caramel Cookie Crunch 8 1PT"/>
    <x v="8"/>
    <n v="3.7839999999999996E-3"/>
    <n v="255"/>
    <x v="2"/>
    <x v="3"/>
    <n v="1"/>
    <n v="-3"/>
    <n v="-1.1351999999999999E-2"/>
    <n v="-1.1764705882352941E-2"/>
    <s v="Jan"/>
    <x v="2"/>
    <m/>
    <m/>
  </r>
  <r>
    <n v="69629468"/>
    <x v="1"/>
    <n v="59"/>
    <d v="2026-01-14T00:00:00"/>
    <s v="PS Fudgesicle NSA 6-18PK"/>
    <x v="14"/>
    <n v="5.2680000000000001E-3"/>
    <n v="130"/>
    <x v="6"/>
    <x v="7"/>
    <n v="1"/>
    <n v="59"/>
    <n v="0.31081200000000003"/>
    <n v="0.45384615384615384"/>
    <s v="Jan"/>
    <x v="2"/>
    <m/>
    <m/>
  </r>
  <r>
    <n v="68689251"/>
    <x v="0"/>
    <n v="67"/>
    <d v="2026-01-14T00:00:00"/>
    <s v="KL Original Vanilla Bar 12-6PK"/>
    <x v="2"/>
    <n v="9.5760000000000012E-3"/>
    <n v="132"/>
    <x v="1"/>
    <x v="2"/>
    <n v="1"/>
    <n v="67"/>
    <n v="0.64159200000000005"/>
    <n v="0.50757575757575757"/>
    <s v="Jan"/>
    <x v="2"/>
    <m/>
    <m/>
  </r>
  <r>
    <n v="64341106"/>
    <x v="1"/>
    <n v="78"/>
    <d v="2026-01-14T00:00:00"/>
    <s v="PS Jolly Rancher Pop 6-18PK"/>
    <x v="16"/>
    <n v="5.2680000000000001E-3"/>
    <n v="130"/>
    <x v="6"/>
    <x v="7"/>
    <n v="1"/>
    <n v="78"/>
    <n v="0.41090399999999999"/>
    <n v="0.6"/>
    <s v="Jan"/>
    <x v="2"/>
    <m/>
    <m/>
  </r>
  <r>
    <n v="68851107"/>
    <x v="0"/>
    <n v="100"/>
    <d v="2026-01-14T00:00:00"/>
    <s v="BR NAT Vanilla 6-1.5QT"/>
    <x v="6"/>
    <n v="8.5199999999999998E-3"/>
    <n v="176"/>
    <x v="0"/>
    <x v="0"/>
    <n v="1"/>
    <n v="100"/>
    <n v="0.85199999999999998"/>
    <n v="0.56818181818181823"/>
    <s v="Jan"/>
    <x v="2"/>
    <m/>
    <m/>
  </r>
  <r>
    <n v="64776954"/>
    <x v="0"/>
    <n v="130"/>
    <d v="2026-01-14T00:00:00"/>
    <s v="PS Scribblers Natural 6-18PK"/>
    <x v="29"/>
    <n v="3.8340000000000002E-3"/>
    <n v="130"/>
    <x v="6"/>
    <x v="15"/>
    <n v="1"/>
    <n v="130"/>
    <n v="0.49842000000000003"/>
    <n v="1"/>
    <s v="Jan"/>
    <x v="2"/>
    <m/>
    <m/>
  </r>
  <r>
    <n v="68689251"/>
    <x v="0"/>
    <n v="132"/>
    <d v="2026-01-14T00:00:00"/>
    <s v="KL Original Vanilla Bar 12-6PK"/>
    <x v="2"/>
    <n v="9.5760000000000012E-3"/>
    <n v="132"/>
    <x v="1"/>
    <x v="2"/>
    <n v="1"/>
    <n v="132"/>
    <n v="1.2640320000000003"/>
    <n v="1"/>
    <s v="Jan"/>
    <x v="2"/>
    <m/>
    <m/>
  </r>
  <r>
    <n v="68689251"/>
    <x v="0"/>
    <n v="132"/>
    <d v="2026-01-14T00:00:00"/>
    <s v="KL Original Vanilla Bar 12-6PK"/>
    <x v="20"/>
    <n v="9.5760000000000012E-3"/>
    <n v="132"/>
    <x v="1"/>
    <x v="2"/>
    <n v="1"/>
    <n v="132"/>
    <n v="1.2640320000000003"/>
    <n v="1"/>
    <s v="Jan"/>
    <x v="2"/>
    <m/>
    <m/>
  </r>
  <r>
    <n v="64776954"/>
    <x v="0"/>
    <n v="136"/>
    <d v="2026-01-14T00:00:00"/>
    <s v="PS Scribblers Natural 6-18PK"/>
    <x v="29"/>
    <n v="3.8340000000000002E-3"/>
    <n v="130"/>
    <x v="6"/>
    <x v="15"/>
    <n v="1"/>
    <n v="136"/>
    <n v="0.521424"/>
    <n v="1.0461538461538462"/>
    <s v="Jan"/>
    <x v="2"/>
    <m/>
    <m/>
  </r>
  <r>
    <n v="68741742"/>
    <x v="0"/>
    <n v="154"/>
    <d v="2026-01-14T00:00:00"/>
    <s v="GH Strawberry Shortcake Bar 8-6PK"/>
    <x v="15"/>
    <n v="4.2560000000000002E-3"/>
    <n v="154"/>
    <x v="7"/>
    <x v="8"/>
    <n v="1"/>
    <n v="154"/>
    <n v="0.65542400000000001"/>
    <n v="1"/>
    <s v="Jan"/>
    <x v="2"/>
    <m/>
    <m/>
  </r>
  <r>
    <n v="68851107"/>
    <x v="0"/>
    <n v="176"/>
    <d v="2026-01-14T00:00:00"/>
    <s v="BR NAT Vanilla 6-1.5QT"/>
    <x v="6"/>
    <n v="8.5199999999999998E-3"/>
    <n v="176"/>
    <x v="0"/>
    <x v="0"/>
    <n v="1"/>
    <n v="176"/>
    <n v="1.49952"/>
    <n v="1"/>
    <s v="Jan"/>
    <x v="2"/>
    <m/>
    <m/>
  </r>
  <r>
    <n v="68860059"/>
    <x v="1"/>
    <n v="186"/>
    <d v="2026-01-14T00:00:00"/>
    <s v="Talenti Pacific Coast Pistachio 8 1PT"/>
    <x v="8"/>
    <n v="3.7839999999999996E-3"/>
    <n v="255"/>
    <x v="2"/>
    <x v="3"/>
    <n v="1"/>
    <n v="186"/>
    <n v="0.70382399999999989"/>
    <n v="0.72941176470588232"/>
    <s v="Jan"/>
    <x v="2"/>
    <m/>
    <m/>
  </r>
  <r>
    <n v="69629468"/>
    <x v="1"/>
    <n v="203"/>
    <d v="2026-01-14T00:00:00"/>
    <s v="PS Fudgesicle NSA 6-18PK"/>
    <x v="14"/>
    <n v="5.2680000000000001E-3"/>
    <n v="130"/>
    <x v="6"/>
    <x v="7"/>
    <n v="1"/>
    <n v="203"/>
    <n v="1.069404"/>
    <n v="1.5615384615384615"/>
    <s v="Jan"/>
    <x v="2"/>
    <m/>
    <m/>
  </r>
  <r>
    <n v="67789314"/>
    <x v="3"/>
    <n v="240"/>
    <d v="2026-01-14T00:00:00"/>
    <s v="BJ US-IC-PBHalfBaked-8 1 PT"/>
    <x v="24"/>
    <n v="3.7853439999999999E-3"/>
    <n v="240"/>
    <x v="3"/>
    <x v="13"/>
    <n v="1"/>
    <n v="240"/>
    <n v="0.90848255999999994"/>
    <n v="1"/>
    <s v="Jan"/>
    <x v="2"/>
    <m/>
    <m/>
  </r>
  <r>
    <n v="65279190"/>
    <x v="0"/>
    <n v="262"/>
    <d v="2026-01-14T00:00:00"/>
    <s v="KL Reeses PB Bar 1-24BK"/>
    <x v="18"/>
    <n v="2.712E-3"/>
    <n v="210"/>
    <x v="7"/>
    <x v="8"/>
    <n v="1"/>
    <n v="262"/>
    <n v="0.71054399999999995"/>
    <n v="1.2476190476190476"/>
    <s v="Jan"/>
    <x v="2"/>
    <m/>
    <m/>
  </r>
  <r>
    <n v="64874633"/>
    <x v="4"/>
    <n v="272"/>
    <d v="2026-01-14T00:00:00"/>
    <s v="KL Cookies and Creme SW 1-24PK"/>
    <x v="31"/>
    <n v="3.192E-3"/>
    <n v="280"/>
    <x v="12"/>
    <x v="19"/>
    <n v="1"/>
    <n v="272"/>
    <n v="0.868224"/>
    <n v="0.97142857142857142"/>
    <s v="Jan"/>
    <x v="2"/>
    <m/>
    <m/>
  </r>
  <r>
    <n v="68689251"/>
    <x v="0"/>
    <n v="392"/>
    <d v="2026-01-14T00:00:00"/>
    <s v="KL Original Vanilla Bar 12-6PK"/>
    <x v="20"/>
    <n v="9.5760000000000012E-3"/>
    <n v="132"/>
    <x v="1"/>
    <x v="2"/>
    <n v="1"/>
    <n v="392"/>
    <n v="3.7537920000000007"/>
    <n v="2.9696969696969697"/>
    <s v="Jan"/>
    <x v="2"/>
    <m/>
    <m/>
  </r>
  <r>
    <n v="68867755"/>
    <x v="1"/>
    <n v="479"/>
    <d v="2026-01-14T00:00:00"/>
    <s v="Talenti LY Salted CAR Truffle 8 323.1g"/>
    <x v="9"/>
    <n v="3.552E-3"/>
    <n v="255"/>
    <x v="2"/>
    <x v="3"/>
    <n v="1"/>
    <n v="479"/>
    <n v="1.701408"/>
    <n v="1.8784313725490196"/>
    <s v="Jan"/>
    <x v="2"/>
    <m/>
    <m/>
  </r>
  <r>
    <n v="68741742"/>
    <x v="1"/>
    <n v="681"/>
    <d v="2026-01-14T00:00:00"/>
    <s v="GH Strawberry Shortcake Bar 8-6PK"/>
    <x v="19"/>
    <n v="4.2560000000000002E-3"/>
    <n v="154"/>
    <x v="7"/>
    <x v="10"/>
    <n v="1"/>
    <n v="681"/>
    <n v="2.898336"/>
    <n v="4.4220779220779223"/>
    <s v="Jan"/>
    <x v="2"/>
    <m/>
    <m/>
  </r>
  <r>
    <n v="69629468"/>
    <x v="1"/>
    <n v="858"/>
    <d v="2026-01-14T00:00:00"/>
    <s v="PS Fudgesicle NSA 6-18PK"/>
    <x v="14"/>
    <n v="5.2680000000000001E-3"/>
    <n v="130"/>
    <x v="6"/>
    <x v="7"/>
    <n v="1"/>
    <n v="858"/>
    <n v="4.5199439999999997"/>
    <n v="6.6"/>
    <s v="Jan"/>
    <x v="2"/>
    <m/>
    <m/>
  </r>
  <r>
    <n v="64341106"/>
    <x v="1"/>
    <n v="1021"/>
    <d v="2026-01-14T00:00:00"/>
    <s v="PS Jolly Rancher Pop 6-18PK"/>
    <x v="16"/>
    <n v="5.2680000000000001E-3"/>
    <n v="130"/>
    <x v="6"/>
    <x v="7"/>
    <n v="1"/>
    <n v="1021"/>
    <n v="5.378628"/>
    <n v="7.8538461538461535"/>
    <s v="Jan"/>
    <x v="2"/>
    <m/>
    <m/>
  </r>
  <r>
    <n v="68300738"/>
    <x v="0"/>
    <n v="1165"/>
    <d v="2026-01-14T00:00:00"/>
    <s v="KL REESES BAR 12-6 PK"/>
    <x v="2"/>
    <n v="8.4960000000000001E-3"/>
    <n v="132"/>
    <x v="1"/>
    <x v="2"/>
    <n v="1"/>
    <n v="1165"/>
    <n v="9.8978400000000004"/>
    <n v="8.8257575757575761"/>
    <s v="Jan"/>
    <x v="2"/>
    <m/>
    <m/>
  </r>
  <r>
    <n v="68741742"/>
    <x v="0"/>
    <n v="1694"/>
    <d v="2026-01-14T00:00:00"/>
    <s v="GH Strawberry Shortcake Bar 8-6PK"/>
    <x v="15"/>
    <n v="4.2560000000000002E-3"/>
    <n v="154"/>
    <x v="7"/>
    <x v="8"/>
    <n v="1"/>
    <n v="1694"/>
    <n v="7.2096640000000001"/>
    <n v="11"/>
    <s v="Jan"/>
    <x v="2"/>
    <m/>
    <m/>
  </r>
  <r>
    <n v="68741742"/>
    <x v="1"/>
    <n v="1694"/>
    <d v="2026-01-14T00:00:00"/>
    <s v="GH Strawberry Shortcake Bar 8-6PK"/>
    <x v="19"/>
    <n v="4.2560000000000002E-3"/>
    <n v="154"/>
    <x v="7"/>
    <x v="10"/>
    <n v="1"/>
    <n v="1694"/>
    <n v="7.2096640000000001"/>
    <n v="11"/>
    <s v="Jan"/>
    <x v="2"/>
    <m/>
    <m/>
  </r>
  <r>
    <n v="67803006"/>
    <x v="3"/>
    <n v="1920"/>
    <d v="2026-01-14T00:00:00"/>
    <s v="BJ R01-IC-TonightDough-8 458ML"/>
    <x v="10"/>
    <n v="3.7839999999999996E-3"/>
    <n v="240"/>
    <x v="10"/>
    <x v="18"/>
    <n v="1"/>
    <n v="1920"/>
    <n v="7.2652799999999989"/>
    <n v="8"/>
    <s v="Jan"/>
    <x v="2"/>
    <m/>
    <m/>
  </r>
  <r>
    <n v="68746232"/>
    <x v="1"/>
    <n v="1956"/>
    <d v="2026-01-14T00:00:00"/>
    <s v="KL Mint CHOC Chip 12-6PK"/>
    <x v="21"/>
    <n v="8.5199999999999998E-3"/>
    <n v="132"/>
    <x v="1"/>
    <x v="11"/>
    <n v="1"/>
    <n v="1956"/>
    <n v="16.665119999999998"/>
    <n v="14.818181818181818"/>
    <s v="Jan"/>
    <x v="2"/>
    <m/>
    <m/>
  </r>
  <r>
    <n v="68746232"/>
    <x v="1"/>
    <n v="1980"/>
    <d v="2026-01-14T00:00:00"/>
    <s v="KL Mint CHOC Chip 12-6PK"/>
    <x v="21"/>
    <n v="8.5199999999999998E-3"/>
    <n v="132"/>
    <x v="1"/>
    <x v="11"/>
    <n v="1"/>
    <n v="1980"/>
    <n v="16.869599999999998"/>
    <n v="15"/>
    <s v="Jan"/>
    <x v="2"/>
    <m/>
    <m/>
  </r>
  <r>
    <n v="69629468"/>
    <x v="0"/>
    <n v="2080"/>
    <d v="2026-01-14T00:00:00"/>
    <s v="PS Fudgesicle NSA 6-18PK"/>
    <x v="28"/>
    <n v="5.2680000000000001E-3"/>
    <n v="130"/>
    <x v="6"/>
    <x v="15"/>
    <n v="1"/>
    <n v="2080"/>
    <n v="10.95744"/>
    <n v="16"/>
    <s v="Jan"/>
    <x v="2"/>
    <m/>
    <m/>
  </r>
  <r>
    <n v="69725082"/>
    <x v="0"/>
    <n v="2210"/>
    <d v="2026-01-14T00:00:00"/>
    <s v="PS OCG 6-18PK"/>
    <x v="32"/>
    <n v="5.2680000000000001E-3"/>
    <n v="130"/>
    <x v="6"/>
    <x v="15"/>
    <n v="1"/>
    <n v="2210"/>
    <n v="11.64228"/>
    <n v="17"/>
    <s v="Jan"/>
    <x v="2"/>
    <m/>
    <m/>
  </r>
  <r>
    <n v="68689251"/>
    <x v="0"/>
    <n v="2376"/>
    <d v="2026-01-14T00:00:00"/>
    <s v="KL Original Vanilla Bar 12-6PK"/>
    <x v="20"/>
    <n v="9.5760000000000012E-3"/>
    <n v="132"/>
    <x v="1"/>
    <x v="2"/>
    <n v="1"/>
    <n v="2376"/>
    <n v="22.752576000000001"/>
    <n v="18"/>
    <s v="Jan"/>
    <x v="2"/>
    <m/>
    <m/>
  </r>
  <r>
    <n v="67881629"/>
    <x v="3"/>
    <n v="2440"/>
    <d v="2026-01-14T00:00:00"/>
    <s v="BJ US-COR-BrownieBatter-8 1PT"/>
    <x v="10"/>
    <n v="3.7853439999999999E-3"/>
    <n v="240"/>
    <x v="3"/>
    <x v="13"/>
    <n v="1"/>
    <n v="2440"/>
    <n v="9.236239359999999"/>
    <n v="10.166666666666666"/>
    <s v="Jan"/>
    <x v="2"/>
    <m/>
    <m/>
  </r>
  <r>
    <n v="68741742"/>
    <x v="0"/>
    <n v="2592"/>
    <d v="2026-01-14T00:00:00"/>
    <s v="GH Strawberry Shortcake Bar 8-6PK"/>
    <x v="15"/>
    <n v="4.2560000000000002E-3"/>
    <n v="154"/>
    <x v="7"/>
    <x v="8"/>
    <n v="1"/>
    <n v="2592"/>
    <n v="11.031552000000001"/>
    <n v="16.831168831168831"/>
    <s v="Jan"/>
    <x v="2"/>
    <m/>
    <m/>
  </r>
  <r>
    <n v="69700048"/>
    <x v="0"/>
    <n v="2700"/>
    <d v="2026-01-14T00:00:00"/>
    <s v="GH Reeses Bar 1-24BK"/>
    <x v="18"/>
    <n v="2.7360000000000002E-3"/>
    <n v="225"/>
    <x v="7"/>
    <x v="8"/>
    <n v="1"/>
    <n v="2700"/>
    <n v="7.3872"/>
    <n v="12"/>
    <s v="Jan"/>
    <x v="2"/>
    <m/>
    <m/>
  </r>
  <r>
    <n v="69725082"/>
    <x v="0"/>
    <n v="2718"/>
    <d v="2026-01-14T00:00:00"/>
    <s v="PS OCG 6-18PK"/>
    <x v="32"/>
    <n v="5.2680000000000001E-3"/>
    <n v="130"/>
    <x v="6"/>
    <x v="15"/>
    <n v="1"/>
    <n v="2718"/>
    <n v="14.318424"/>
    <n v="20.907692307692308"/>
    <s v="Jan"/>
    <x v="2"/>
    <m/>
    <m/>
  </r>
  <r>
    <n v="68852591"/>
    <x v="0"/>
    <n v="2904"/>
    <d v="2026-01-14T00:00:00"/>
    <s v="KL Heath Bar 12-6PK"/>
    <x v="4"/>
    <n v="8.5199999999999998E-3"/>
    <n v="132"/>
    <x v="1"/>
    <x v="2"/>
    <n v="1"/>
    <n v="2904"/>
    <n v="24.742079999999998"/>
    <n v="22"/>
    <s v="Jan"/>
    <x v="2"/>
    <m/>
    <m/>
  </r>
  <r>
    <n v="69629468"/>
    <x v="0"/>
    <n v="3025"/>
    <d v="2026-01-14T00:00:00"/>
    <s v="PS Fudgesicle NSA 6-18PK"/>
    <x v="28"/>
    <n v="5.2680000000000001E-3"/>
    <n v="130"/>
    <x v="6"/>
    <x v="15"/>
    <n v="1"/>
    <n v="3025"/>
    <n v="15.935700000000001"/>
    <n v="23.26923076923077"/>
    <s v="Jan"/>
    <x v="2"/>
    <m/>
    <m/>
  </r>
  <r>
    <n v="84135718"/>
    <x v="3"/>
    <n v="3360"/>
    <d v="2026-01-14T00:00:00"/>
    <s v="BJ US-IC-ChocChpCookDgh-FTNG-8 1PT"/>
    <x v="30"/>
    <n v="3.7853439999999999E-3"/>
    <n v="240"/>
    <x v="3"/>
    <x v="13"/>
    <n v="1"/>
    <n v="3360"/>
    <n v="12.71875584"/>
    <n v="14"/>
    <s v="Jan"/>
    <x v="2"/>
    <m/>
    <m/>
  </r>
  <r>
    <n v="68852591"/>
    <x v="0"/>
    <n v="3563"/>
    <d v="2026-01-14T00:00:00"/>
    <s v="KL Heath Bar 12-6PK"/>
    <x v="4"/>
    <n v="8.5199999999999998E-3"/>
    <n v="132"/>
    <x v="1"/>
    <x v="2"/>
    <n v="1"/>
    <n v="3563"/>
    <n v="30.356759999999998"/>
    <n v="26.992424242424242"/>
    <s v="Jan"/>
    <x v="2"/>
    <m/>
    <m/>
  </r>
  <r>
    <n v="64393719"/>
    <x v="1"/>
    <n v="3574"/>
    <d v="2026-01-14T00:00:00"/>
    <s v="BR Carbsmart Strawberry Bar 8-6PK"/>
    <x v="13"/>
    <n v="4.2560000000000002E-3"/>
    <n v="143"/>
    <x v="5"/>
    <x v="6"/>
    <n v="1"/>
    <n v="3574"/>
    <n v="15.210944000000001"/>
    <n v="24.993006993006993"/>
    <s v="Jan"/>
    <x v="2"/>
    <m/>
    <m/>
  </r>
  <r>
    <n v="64977526"/>
    <x v="0"/>
    <n v="3653"/>
    <d v="2026-01-14T00:00:00"/>
    <s v="BR Salted Caramel Truffle 6p 1.5QT"/>
    <x v="7"/>
    <n v="8.513999999999999E-3"/>
    <n v="176"/>
    <x v="0"/>
    <x v="0"/>
    <n v="1"/>
    <n v="3653"/>
    <n v="31.101641999999995"/>
    <n v="20.755681818181817"/>
    <s v="Jan"/>
    <x v="2"/>
    <m/>
    <m/>
  </r>
  <r>
    <n v="68689251"/>
    <x v="0"/>
    <n v="3749"/>
    <d v="2026-01-14T00:00:00"/>
    <s v="KL Original Vanilla Bar 12-6PK"/>
    <x v="20"/>
    <n v="9.5760000000000012E-3"/>
    <n v="132"/>
    <x v="1"/>
    <x v="2"/>
    <n v="1"/>
    <n v="3749"/>
    <n v="35.900424000000001"/>
    <n v="28.401515151515152"/>
    <s v="Jan"/>
    <x v="2"/>
    <m/>
    <m/>
  </r>
  <r>
    <n v="69700048"/>
    <x v="0"/>
    <n v="3944"/>
    <d v="2026-01-14T00:00:00"/>
    <s v="GH Reeses Bar 1-24BK"/>
    <x v="18"/>
    <n v="2.7360000000000002E-3"/>
    <n v="225"/>
    <x v="7"/>
    <x v="8"/>
    <n v="1"/>
    <n v="3944"/>
    <n v="10.790784"/>
    <n v="17.52888888888889"/>
    <s v="Jan"/>
    <x v="2"/>
    <m/>
    <m/>
  </r>
  <r>
    <n v="64369043"/>
    <x v="1"/>
    <n v="4187"/>
    <d v="2026-01-14T00:00:00"/>
    <s v="TAL ND LYR CHOC Fudge Brownie 8 323.1g"/>
    <x v="9"/>
    <n v="3.552E-3"/>
    <n v="255"/>
    <x v="2"/>
    <x v="3"/>
    <n v="1"/>
    <n v="4187"/>
    <n v="14.872224000000001"/>
    <n v="16.419607843137253"/>
    <s v="Jan"/>
    <x v="2"/>
    <m/>
    <m/>
  </r>
  <r>
    <n v="64393719"/>
    <x v="1"/>
    <n v="4199"/>
    <d v="2026-01-14T00:00:00"/>
    <s v="BR Carbsmart Strawberry Bar 8-6PK"/>
    <x v="13"/>
    <n v="4.2560000000000002E-3"/>
    <n v="143"/>
    <x v="5"/>
    <x v="6"/>
    <n v="1"/>
    <n v="4199"/>
    <n v="17.870944000000001"/>
    <n v="29.363636363636363"/>
    <s v="Jan"/>
    <x v="2"/>
    <m/>
    <m/>
  </r>
  <r>
    <n v="69999267"/>
    <x v="1"/>
    <n v="4389"/>
    <d v="2026-01-14T00:00:00"/>
    <s v="BJ US-IC-GimmeSmore-8 1PT"/>
    <x v="22"/>
    <n v="3.7839999999999996E-3"/>
    <n v="240"/>
    <x v="3"/>
    <x v="12"/>
    <n v="1"/>
    <n v="4389"/>
    <n v="16.607975999999997"/>
    <n v="18.287500000000001"/>
    <s v="Jan"/>
    <x v="2"/>
    <m/>
    <m/>
  </r>
  <r>
    <n v="68300738"/>
    <x v="0"/>
    <n v="4703"/>
    <d v="2026-01-14T00:00:00"/>
    <s v="KL REESES BAR 12-6 PK"/>
    <x v="2"/>
    <n v="8.4960000000000001E-3"/>
    <n v="132"/>
    <x v="1"/>
    <x v="2"/>
    <n v="1"/>
    <n v="4703"/>
    <n v="39.956688"/>
    <n v="35.628787878787875"/>
    <s v="Jan"/>
    <x v="2"/>
    <m/>
    <m/>
  </r>
  <r>
    <n v="64874633"/>
    <x v="4"/>
    <n v="4760"/>
    <d v="2026-01-14T00:00:00"/>
    <s v="KL Cookies and Creme SW 1-24PK"/>
    <x v="31"/>
    <n v="3.192E-3"/>
    <n v="280"/>
    <x v="12"/>
    <x v="19"/>
    <n v="1"/>
    <n v="4760"/>
    <n v="15.19392"/>
    <n v="17"/>
    <s v="Jan"/>
    <x v="2"/>
    <m/>
    <m/>
  </r>
  <r>
    <n v="64958122"/>
    <x v="1"/>
    <n v="4765"/>
    <d v="2026-01-14T00:00:00"/>
    <s v="Yasso Sea Salt Caramel 8-4pk"/>
    <x v="11"/>
    <n v="3.3119999999999998E-3"/>
    <n v="165"/>
    <x v="4"/>
    <x v="5"/>
    <n v="1"/>
    <n v="4765"/>
    <n v="15.78168"/>
    <n v="28.878787878787879"/>
    <s v="Jan"/>
    <x v="2"/>
    <m/>
    <m/>
  </r>
  <r>
    <n v="64389650"/>
    <x v="1"/>
    <n v="4829"/>
    <d v="2026-01-14T00:00:00"/>
    <s v="BR CS Rocky Road 6p 1.5QT"/>
    <x v="3"/>
    <n v="8.5199999999999998E-3"/>
    <n v="176"/>
    <x v="0"/>
    <x v="1"/>
    <n v="1"/>
    <n v="4829"/>
    <n v="41.143079999999998"/>
    <n v="27.4375"/>
    <s v="Jan"/>
    <x v="2"/>
    <m/>
    <m/>
  </r>
  <r>
    <n v="68626039"/>
    <x v="1"/>
    <n v="5005"/>
    <d v="2026-01-14T00:00:00"/>
    <s v="BR Cookies and Cream 8 1PT"/>
    <x v="17"/>
    <n v="3.7839999999999996E-3"/>
    <n v="240"/>
    <x v="9"/>
    <x v="14"/>
    <n v="1"/>
    <n v="5005"/>
    <n v="18.93892"/>
    <n v="20.854166666666668"/>
    <s v="Jan"/>
    <x v="2"/>
    <m/>
    <m/>
  </r>
  <r>
    <n v="64330596"/>
    <x v="1"/>
    <n v="5104"/>
    <d v="2026-01-14T00:00:00"/>
    <s v="MG Mini Double Caramel Bar 6-6PK"/>
    <x v="23"/>
    <n v="1.98E-3"/>
    <n v="176"/>
    <x v="5"/>
    <x v="6"/>
    <n v="1"/>
    <n v="5104"/>
    <n v="10.105919999999999"/>
    <n v="29"/>
    <s v="Jan"/>
    <x v="2"/>
    <m/>
    <m/>
  </r>
  <r>
    <n v="68817801"/>
    <x v="1"/>
    <n v="5225"/>
    <d v="2026-01-14T00:00:00"/>
    <s v="BR XCRMY Chocolate 6 1.5QT"/>
    <x v="5"/>
    <n v="8.5199999999999998E-3"/>
    <n v="176"/>
    <x v="0"/>
    <x v="1"/>
    <n v="1"/>
    <n v="5225"/>
    <n v="44.516999999999996"/>
    <n v="29.6875"/>
    <s v="Jan"/>
    <x v="2"/>
    <m/>
    <m/>
  </r>
  <r>
    <n v="68851107"/>
    <x v="0"/>
    <n v="5280"/>
    <d v="2026-01-14T00:00:00"/>
    <s v="BR NAT Vanilla 6-1.5QT"/>
    <x v="6"/>
    <n v="8.5199999999999998E-3"/>
    <n v="176"/>
    <x v="0"/>
    <x v="0"/>
    <n v="1"/>
    <n v="5280"/>
    <n v="44.985599999999998"/>
    <n v="30"/>
    <s v="Jan"/>
    <x v="2"/>
    <m/>
    <m/>
  </r>
  <r>
    <n v="64330596"/>
    <x v="1"/>
    <n v="5338"/>
    <d v="2026-01-14T00:00:00"/>
    <s v="MG Mini Double Caramel Bar 6-6PK"/>
    <x v="23"/>
    <n v="1.98E-3"/>
    <n v="176"/>
    <x v="5"/>
    <x v="6"/>
    <n v="1"/>
    <n v="5338"/>
    <n v="10.569240000000001"/>
    <n v="30.329545454545453"/>
    <s v="Jan"/>
    <x v="2"/>
    <m/>
    <m/>
  </r>
  <r>
    <n v="68817801"/>
    <x v="1"/>
    <n v="5377"/>
    <d v="2026-01-14T00:00:00"/>
    <s v="BR XCRMY Chocolate 6 1.5QT"/>
    <x v="5"/>
    <n v="8.5199999999999998E-3"/>
    <n v="176"/>
    <x v="0"/>
    <x v="1"/>
    <n v="1"/>
    <n v="5377"/>
    <n v="45.812039999999996"/>
    <n v="30.551136363636363"/>
    <s v="Jan"/>
    <x v="2"/>
    <m/>
    <m/>
  </r>
  <r>
    <n v="68922108"/>
    <x v="1"/>
    <n v="5640"/>
    <d v="2026-01-14T00:00:00"/>
    <s v="Talenti Caramel Cookie Crunch 8 1PT"/>
    <x v="8"/>
    <n v="3.7839999999999996E-3"/>
    <n v="255"/>
    <x v="2"/>
    <x v="3"/>
    <n v="1"/>
    <n v="5640"/>
    <n v="21.341759999999997"/>
    <n v="22.117647058823529"/>
    <s v="Jan"/>
    <x v="2"/>
    <m/>
    <m/>
  </r>
  <r>
    <n v="64389650"/>
    <x v="1"/>
    <n v="5973"/>
    <d v="2026-01-14T00:00:00"/>
    <s v="BR CS Rocky Road 6p 1.5QT"/>
    <x v="3"/>
    <n v="8.5199999999999998E-3"/>
    <n v="176"/>
    <x v="0"/>
    <x v="1"/>
    <n v="1"/>
    <n v="5973"/>
    <n v="50.889960000000002"/>
    <n v="33.9375"/>
    <s v="Jan"/>
    <x v="2"/>
    <m/>
    <m/>
  </r>
  <r>
    <n v="64958122"/>
    <x v="1"/>
    <n v="6735"/>
    <d v="2026-01-14T00:00:00"/>
    <s v="Yasso Sea Salt Caramel 8-4pk"/>
    <x v="11"/>
    <n v="3.3119999999999998E-3"/>
    <n v="165"/>
    <x v="4"/>
    <x v="5"/>
    <n v="1"/>
    <n v="6735"/>
    <n v="22.306319999999999"/>
    <n v="40.81818181818182"/>
    <s v="Jan"/>
    <x v="2"/>
    <m/>
    <m/>
  </r>
  <r>
    <n v="69991979"/>
    <x v="1"/>
    <n v="7440"/>
    <d v="2026-01-14T00:00:00"/>
    <s v="MG Cookie Duet 8-3PK"/>
    <x v="26"/>
    <n v="2.0400000000000001E-3"/>
    <n v="210"/>
    <x v="5"/>
    <x v="6"/>
    <n v="1"/>
    <n v="7440"/>
    <n v="15.177600000000002"/>
    <n v="35.428571428571431"/>
    <s v="Jan"/>
    <x v="2"/>
    <m/>
    <m/>
  </r>
  <r>
    <n v="69991979"/>
    <x v="1"/>
    <n v="7476"/>
    <d v="2026-01-14T00:00:00"/>
    <s v="MG Cookie Duet 8-3PK"/>
    <x v="26"/>
    <n v="2.0400000000000001E-3"/>
    <n v="210"/>
    <x v="5"/>
    <x v="6"/>
    <n v="1"/>
    <n v="7476"/>
    <n v="15.251040000000001"/>
    <n v="35.6"/>
    <s v="Jan"/>
    <x v="2"/>
    <m/>
    <m/>
  </r>
  <r>
    <n v="68851107"/>
    <x v="0"/>
    <n v="7533"/>
    <d v="2026-01-14T00:00:00"/>
    <s v="BR NAT Vanilla 6-1.5QT"/>
    <x v="6"/>
    <n v="8.5199999999999998E-3"/>
    <n v="176"/>
    <x v="0"/>
    <x v="0"/>
    <n v="1"/>
    <n v="7533"/>
    <n v="64.181160000000006"/>
    <n v="42.801136363636367"/>
    <s v="Jan"/>
    <x v="2"/>
    <m/>
    <m/>
  </r>
  <r>
    <n v="64977526"/>
    <x v="0"/>
    <n v="7900"/>
    <d v="2026-01-14T00:00:00"/>
    <s v="BR Salted Caramel Truffle 6p 1.5QT"/>
    <x v="7"/>
    <n v="8.513999999999999E-3"/>
    <n v="176"/>
    <x v="0"/>
    <x v="0"/>
    <n v="1"/>
    <n v="7900"/>
    <n v="67.260599999999997"/>
    <n v="44.886363636363633"/>
    <s v="Jan"/>
    <x v="2"/>
    <m/>
    <m/>
  </r>
  <r>
    <n v="69999267"/>
    <x v="1"/>
    <n v="8218"/>
    <d v="2026-01-14T00:00:00"/>
    <s v="BJ US-IC-GimmeSmore-8 1PT"/>
    <x v="22"/>
    <n v="3.7839999999999996E-3"/>
    <n v="240"/>
    <x v="3"/>
    <x v="12"/>
    <n v="1"/>
    <n v="8218"/>
    <n v="31.096911999999996"/>
    <n v="34.241666666666667"/>
    <s v="Jan"/>
    <x v="2"/>
    <m/>
    <m/>
  </r>
  <r>
    <n v="68851108"/>
    <x v="1"/>
    <n v="8624"/>
    <d v="2026-01-14T00:00:00"/>
    <s v="BR VAN CHOC STRAW 6-1.5QT"/>
    <x v="1"/>
    <n v="8.5199999999999998E-3"/>
    <n v="176"/>
    <x v="0"/>
    <x v="1"/>
    <n v="1"/>
    <n v="8624"/>
    <n v="73.476479999999995"/>
    <n v="49"/>
    <s v="Jan"/>
    <x v="2"/>
    <m/>
    <m/>
  </r>
  <r>
    <n v="68851108"/>
    <x v="1"/>
    <n v="8725"/>
    <d v="2026-01-14T00:00:00"/>
    <s v="BR VAN CHOC STRAW 6-1.5QT"/>
    <x v="1"/>
    <n v="8.5199999999999998E-3"/>
    <n v="176"/>
    <x v="0"/>
    <x v="1"/>
    <n v="1"/>
    <n v="8725"/>
    <n v="74.337000000000003"/>
    <n v="49.573863636363633"/>
    <s v="Jan"/>
    <x v="2"/>
    <m/>
    <m/>
  </r>
  <r>
    <n v="84138391"/>
    <x v="3"/>
    <n v="13295"/>
    <d v="2026-01-14T00:00:00"/>
    <s v="BJ US-IC-PhishFood-FTNG-8 1PT"/>
    <x v="10"/>
    <n v="3.7853439999999999E-3"/>
    <n v="240"/>
    <x v="3"/>
    <x v="13"/>
    <n v="1"/>
    <n v="13295"/>
    <n v="50.326148480000001"/>
    <n v="55.395833333333336"/>
    <s v="Jan"/>
    <x v="2"/>
    <m/>
    <m/>
  </r>
  <r>
    <n v="68922108"/>
    <x v="1"/>
    <n v="15045"/>
    <d v="2026-01-14T00:00:00"/>
    <s v="Talenti Caramel Cookie Crunch 8 1PT"/>
    <x v="8"/>
    <n v="3.7839999999999996E-3"/>
    <n v="255"/>
    <x v="2"/>
    <x v="3"/>
    <n v="1"/>
    <n v="15045"/>
    <n v="56.930279999999996"/>
    <n v="59"/>
    <s v="Jan"/>
    <x v="2"/>
    <m/>
    <m/>
  </r>
  <r>
    <n v="67826412"/>
    <x v="2"/>
    <n v="28560"/>
    <d v="2026-01-14T00:00:00"/>
    <s v="BJ US-IC-ChunkyMonkey-FTNG-8 1PT"/>
    <x v="24"/>
    <n v="3.7853439999999999E-3"/>
    <n v="240"/>
    <x v="3"/>
    <x v="4"/>
    <n v="1"/>
    <n v="28560"/>
    <n v="108.10942464"/>
    <n v="119"/>
    <s v="Jan"/>
    <x v="2"/>
    <m/>
    <m/>
  </r>
  <r>
    <n v="84138391"/>
    <x v="3"/>
    <n v="-40"/>
    <d v="2026-01-15T00:00:00"/>
    <s v="BJ US-IC-PhishFood-FTNG-8 1PT"/>
    <x v="10"/>
    <n v="3.7853439999999999E-3"/>
    <n v="240"/>
    <x v="3"/>
    <x v="13"/>
    <n v="1"/>
    <n v="-40"/>
    <n v="-0.15141376000000001"/>
    <n v="-0.16666666666666666"/>
    <s v="Jan"/>
    <x v="2"/>
    <m/>
    <m/>
  </r>
  <r>
    <n v="64341106"/>
    <x v="1"/>
    <n v="12"/>
    <d v="2026-01-15T00:00:00"/>
    <s v="PS Jolly Rancher Pop 6-18PK"/>
    <x v="16"/>
    <n v="5.2680000000000001E-3"/>
    <n v="130"/>
    <x v="6"/>
    <x v="7"/>
    <n v="1"/>
    <n v="12"/>
    <n v="6.3215999999999994E-2"/>
    <n v="9.2307692307692313E-2"/>
    <s v="Jan"/>
    <x v="2"/>
    <m/>
    <m/>
  </r>
  <r>
    <n v="64341106"/>
    <x v="1"/>
    <n v="13"/>
    <d v="2026-01-15T00:00:00"/>
    <s v="PS Jolly Rancher Pop 6-18PK"/>
    <x v="16"/>
    <n v="5.2680000000000001E-3"/>
    <n v="130"/>
    <x v="6"/>
    <x v="7"/>
    <n v="1"/>
    <n v="13"/>
    <n v="6.8484000000000003E-2"/>
    <n v="0.1"/>
    <s v="Jan"/>
    <x v="2"/>
    <m/>
    <m/>
  </r>
  <r>
    <n v="69568828"/>
    <x v="1"/>
    <n v="13"/>
    <d v="2026-01-15T00:00:00"/>
    <s v="BR CS Vanilla 6 1.5QT"/>
    <x v="1"/>
    <n v="8.5199999999999998E-3"/>
    <n v="176"/>
    <x v="0"/>
    <x v="1"/>
    <n v="1"/>
    <n v="13"/>
    <n v="0.11076"/>
    <n v="7.3863636363636367E-2"/>
    <s v="Jan"/>
    <x v="2"/>
    <m/>
    <m/>
  </r>
  <r>
    <n v="64341106"/>
    <x v="1"/>
    <n v="39"/>
    <d v="2026-01-15T00:00:00"/>
    <s v="PS Jolly Rancher Pop 6-18PK"/>
    <x v="16"/>
    <n v="5.2680000000000001E-3"/>
    <n v="130"/>
    <x v="6"/>
    <x v="7"/>
    <n v="1"/>
    <n v="39"/>
    <n v="0.205452"/>
    <n v="0.3"/>
    <s v="Jan"/>
    <x v="2"/>
    <m/>
    <m/>
  </r>
  <r>
    <n v="69629468"/>
    <x v="1"/>
    <n v="85"/>
    <d v="2026-01-15T00:00:00"/>
    <s v="PS Fudgesicle NSA 6-18PK"/>
    <x v="14"/>
    <n v="5.2680000000000001E-3"/>
    <n v="130"/>
    <x v="6"/>
    <x v="7"/>
    <n v="1"/>
    <n v="85"/>
    <n v="0.44778000000000001"/>
    <n v="0.65384615384615385"/>
    <s v="Jan"/>
    <x v="2"/>
    <m/>
    <m/>
  </r>
  <r>
    <n v="68746232"/>
    <x v="1"/>
    <n v="132"/>
    <d v="2026-01-15T00:00:00"/>
    <s v="KL Mint CHOC Chip 12-6PK"/>
    <x v="21"/>
    <n v="8.5199999999999998E-3"/>
    <n v="132"/>
    <x v="1"/>
    <x v="11"/>
    <n v="1"/>
    <n v="132"/>
    <n v="1.1246399999999999"/>
    <n v="1"/>
    <s v="Jan"/>
    <x v="2"/>
    <m/>
    <m/>
  </r>
  <r>
    <n v="64874633"/>
    <x v="4"/>
    <n v="280"/>
    <d v="2026-01-15T00:00:00"/>
    <s v="KL Cookies and Creme SW 1-24PK"/>
    <x v="31"/>
    <n v="3.192E-3"/>
    <n v="280"/>
    <x v="12"/>
    <x v="19"/>
    <n v="1"/>
    <n v="280"/>
    <n v="0.89376"/>
    <n v="1"/>
    <s v="Jan"/>
    <x v="2"/>
    <m/>
    <m/>
  </r>
  <r>
    <n v="64389651"/>
    <x v="1"/>
    <n v="352"/>
    <d v="2026-01-15T00:00:00"/>
    <s v="BR Strawberry Shortcake 6 1.5QT"/>
    <x v="5"/>
    <n v="8.5199999999999998E-3"/>
    <n v="176"/>
    <x v="0"/>
    <x v="1"/>
    <n v="1"/>
    <n v="352"/>
    <n v="2.9990399999999999"/>
    <n v="2"/>
    <s v="Jan"/>
    <x v="2"/>
    <m/>
    <m/>
  </r>
  <r>
    <n v="68741742"/>
    <x v="1"/>
    <n v="370"/>
    <d v="2026-01-15T00:00:00"/>
    <s v="GH Strawberry Shortcake Bar 8-6PK"/>
    <x v="19"/>
    <n v="4.2560000000000002E-3"/>
    <n v="154"/>
    <x v="7"/>
    <x v="10"/>
    <n v="1"/>
    <n v="370"/>
    <n v="1.5747200000000001"/>
    <n v="2.4025974025974026"/>
    <s v="Jan"/>
    <x v="2"/>
    <m/>
    <m/>
  </r>
  <r>
    <n v="69629468"/>
    <x v="1"/>
    <n v="409"/>
    <d v="2026-01-15T00:00:00"/>
    <s v="PS Fudgesicle NSA 6-18PK"/>
    <x v="14"/>
    <n v="5.2680000000000001E-3"/>
    <n v="130"/>
    <x v="6"/>
    <x v="7"/>
    <n v="1"/>
    <n v="409"/>
    <n v="2.1546120000000002"/>
    <n v="3.1461538461538461"/>
    <s v="Jan"/>
    <x v="2"/>
    <m/>
    <m/>
  </r>
  <r>
    <n v="62694914"/>
    <x v="1"/>
    <n v="493"/>
    <d v="2026-01-15T00:00:00"/>
    <s v="MG Almond Bar 1-12PK"/>
    <x v="26"/>
    <n v="1.08E-3"/>
    <n v="493"/>
    <x v="5"/>
    <x v="6"/>
    <n v="1"/>
    <n v="493"/>
    <n v="0.53244000000000002"/>
    <n v="1"/>
    <s v="Jan"/>
    <x v="2"/>
    <m/>
    <m/>
  </r>
  <r>
    <n v="64341106"/>
    <x v="1"/>
    <n v="524"/>
    <d v="2026-01-15T00:00:00"/>
    <s v="PS Jolly Rancher Pop 6-18PK"/>
    <x v="16"/>
    <n v="5.2680000000000001E-3"/>
    <n v="130"/>
    <x v="6"/>
    <x v="7"/>
    <n v="1"/>
    <n v="524"/>
    <n v="2.7604320000000002"/>
    <n v="4.0307692307692307"/>
    <s v="Jan"/>
    <x v="2"/>
    <m/>
    <m/>
  </r>
  <r>
    <n v="68741742"/>
    <x v="1"/>
    <n v="885"/>
    <d v="2026-01-15T00:00:00"/>
    <s v="GH Strawberry Shortcake Bar 8-6PK"/>
    <x v="19"/>
    <n v="4.2560000000000002E-3"/>
    <n v="154"/>
    <x v="7"/>
    <x v="10"/>
    <n v="1"/>
    <n v="885"/>
    <n v="3.7665600000000001"/>
    <n v="5.7467532467532472"/>
    <s v="Jan"/>
    <x v="2"/>
    <m/>
    <m/>
  </r>
  <r>
    <n v="68300738"/>
    <x v="0"/>
    <n v="1056"/>
    <d v="2026-01-15T00:00:00"/>
    <s v="KL REESES BAR 12-6 PK"/>
    <x v="2"/>
    <n v="8.4960000000000001E-3"/>
    <n v="132"/>
    <x v="1"/>
    <x v="2"/>
    <n v="1"/>
    <n v="1056"/>
    <n v="8.9717760000000002"/>
    <n v="8"/>
    <s v="Jan"/>
    <x v="2"/>
    <m/>
    <m/>
  </r>
  <r>
    <n v="69629468"/>
    <x v="1"/>
    <n v="1075"/>
    <d v="2026-01-15T00:00:00"/>
    <s v="PS Fudgesicle NSA 6-18PK"/>
    <x v="14"/>
    <n v="5.2680000000000001E-3"/>
    <n v="130"/>
    <x v="6"/>
    <x v="7"/>
    <n v="1"/>
    <n v="1075"/>
    <n v="5.6631"/>
    <n v="8.2692307692307701"/>
    <s v="Jan"/>
    <x v="2"/>
    <m/>
    <m/>
  </r>
  <r>
    <n v="68817801"/>
    <x v="1"/>
    <n v="1128"/>
    <d v="2026-01-15T00:00:00"/>
    <s v="BR XCRMY Chocolate 6 1.5QT"/>
    <x v="5"/>
    <n v="8.5199999999999998E-3"/>
    <n v="176"/>
    <x v="0"/>
    <x v="1"/>
    <n v="1"/>
    <n v="1128"/>
    <n v="9.6105599999999995"/>
    <n v="6.4090909090909092"/>
    <s v="Jan"/>
    <x v="2"/>
    <m/>
    <m/>
  </r>
  <r>
    <n v="69991979"/>
    <x v="1"/>
    <n v="1208"/>
    <d v="2026-01-15T00:00:00"/>
    <s v="MG Cookie Duet 8-3PK"/>
    <x v="26"/>
    <n v="2.0400000000000001E-3"/>
    <n v="210"/>
    <x v="5"/>
    <x v="6"/>
    <n v="1"/>
    <n v="1208"/>
    <n v="2.4643200000000003"/>
    <n v="5.7523809523809524"/>
    <s v="Jan"/>
    <x v="2"/>
    <m/>
    <m/>
  </r>
  <r>
    <n v="69725082"/>
    <x v="0"/>
    <n v="1300"/>
    <d v="2026-01-15T00:00:00"/>
    <s v="PS OCG 6-18PK"/>
    <x v="32"/>
    <n v="5.2680000000000001E-3"/>
    <n v="130"/>
    <x v="6"/>
    <x v="15"/>
    <n v="1"/>
    <n v="1300"/>
    <n v="6.8483999999999998"/>
    <n v="10"/>
    <s v="Jan"/>
    <x v="2"/>
    <m/>
    <m/>
  </r>
  <r>
    <n v="68746232"/>
    <x v="1"/>
    <n v="1574"/>
    <d v="2026-01-15T00:00:00"/>
    <s v="KL Mint CHOC Chip 12-6PK"/>
    <x v="21"/>
    <n v="8.5199999999999998E-3"/>
    <n v="132"/>
    <x v="1"/>
    <x v="11"/>
    <n v="1"/>
    <n v="1574"/>
    <n v="13.41048"/>
    <n v="11.924242424242424"/>
    <s v="Jan"/>
    <x v="2"/>
    <m/>
    <m/>
  </r>
  <r>
    <n v="68300738"/>
    <x v="0"/>
    <n v="1696"/>
    <d v="2026-01-15T00:00:00"/>
    <s v="KL REESES BAR 12-6 PK"/>
    <x v="2"/>
    <n v="8.4960000000000001E-3"/>
    <n v="132"/>
    <x v="1"/>
    <x v="2"/>
    <n v="1"/>
    <n v="1696"/>
    <n v="14.409216000000001"/>
    <n v="12.848484848484848"/>
    <s v="Jan"/>
    <x v="2"/>
    <m/>
    <m/>
  </r>
  <r>
    <n v="69700048"/>
    <x v="0"/>
    <n v="1800"/>
    <d v="2026-01-15T00:00:00"/>
    <s v="GH Reeses Bar 1-24BK"/>
    <x v="18"/>
    <n v="2.7360000000000002E-3"/>
    <n v="225"/>
    <x v="7"/>
    <x v="8"/>
    <n v="1"/>
    <n v="1800"/>
    <n v="4.9248000000000003"/>
    <n v="8"/>
    <s v="Jan"/>
    <x v="2"/>
    <m/>
    <m/>
  </r>
  <r>
    <n v="69629468"/>
    <x v="0"/>
    <n v="1950"/>
    <d v="2026-01-15T00:00:00"/>
    <s v="PS Fudgesicle NSA 6-18PK"/>
    <x v="28"/>
    <n v="5.2680000000000001E-3"/>
    <n v="130"/>
    <x v="6"/>
    <x v="15"/>
    <n v="1"/>
    <n v="1950"/>
    <n v="10.272600000000001"/>
    <n v="15"/>
    <s v="Jan"/>
    <x v="2"/>
    <m/>
    <m/>
  </r>
  <r>
    <n v="69725082"/>
    <x v="0"/>
    <n v="2229"/>
    <d v="2026-01-15T00:00:00"/>
    <s v="PS OCG 6-18PK"/>
    <x v="32"/>
    <n v="5.2680000000000001E-3"/>
    <n v="130"/>
    <x v="6"/>
    <x v="15"/>
    <n v="1"/>
    <n v="2229"/>
    <n v="11.742372"/>
    <n v="17.146153846153847"/>
    <s v="Jan"/>
    <x v="2"/>
    <m/>
    <m/>
  </r>
  <r>
    <n v="68741742"/>
    <x v="0"/>
    <n v="2310"/>
    <d v="2026-01-15T00:00:00"/>
    <s v="GH Strawberry Shortcake Bar 8-6PK"/>
    <x v="15"/>
    <n v="4.2560000000000002E-3"/>
    <n v="154"/>
    <x v="7"/>
    <x v="8"/>
    <n v="1"/>
    <n v="2310"/>
    <n v="9.8313600000000001"/>
    <n v="15"/>
    <s v="Jan"/>
    <x v="2"/>
    <m/>
    <m/>
  </r>
  <r>
    <n v="67794167"/>
    <x v="2"/>
    <n v="2400"/>
    <d v="2026-01-15T00:00:00"/>
    <s v="BJ US-IC-Milk+Cookies-8 1PT"/>
    <x v="24"/>
    <n v="3.7853439999999999E-3"/>
    <n v="240"/>
    <x v="3"/>
    <x v="4"/>
    <n v="1"/>
    <n v="2400"/>
    <n v="9.0848256000000003"/>
    <n v="10"/>
    <s v="Jan"/>
    <x v="2"/>
    <m/>
    <m/>
  </r>
  <r>
    <n v="64874633"/>
    <x v="4"/>
    <n v="2732"/>
    <d v="2026-01-15T00:00:00"/>
    <s v="KL Cookies and Creme SW 1-24PK"/>
    <x v="31"/>
    <n v="3.192E-3"/>
    <n v="280"/>
    <x v="12"/>
    <x v="19"/>
    <n v="1"/>
    <n v="2732"/>
    <n v="8.7205440000000003"/>
    <n v="9.757142857142858"/>
    <s v="Jan"/>
    <x v="2"/>
    <m/>
    <m/>
  </r>
  <r>
    <n v="68689251"/>
    <x v="0"/>
    <n v="2772"/>
    <d v="2026-01-15T00:00:00"/>
    <s v="KL Original Vanilla Bar 12-6PK"/>
    <x v="20"/>
    <n v="9.5760000000000012E-3"/>
    <n v="132"/>
    <x v="1"/>
    <x v="2"/>
    <n v="1"/>
    <n v="2772"/>
    <n v="26.544672000000002"/>
    <n v="21"/>
    <s v="Jan"/>
    <x v="2"/>
    <m/>
    <m/>
  </r>
  <r>
    <n v="68867755"/>
    <x v="1"/>
    <n v="2972"/>
    <d v="2026-01-15T00:00:00"/>
    <s v="Talenti LY Salted CAR Truffle 8 323.1g"/>
    <x v="9"/>
    <n v="3.552E-3"/>
    <n v="255"/>
    <x v="2"/>
    <x v="3"/>
    <n v="1"/>
    <n v="2972"/>
    <n v="10.556544000000001"/>
    <n v="11.654901960784313"/>
    <s v="Jan"/>
    <x v="2"/>
    <m/>
    <m/>
  </r>
  <r>
    <n v="68851107"/>
    <x v="0"/>
    <n v="2990"/>
    <d v="2026-01-15T00:00:00"/>
    <s v="BR NAT Vanilla 6-1.5QT"/>
    <x v="6"/>
    <n v="8.5199999999999998E-3"/>
    <n v="176"/>
    <x v="0"/>
    <x v="0"/>
    <n v="1"/>
    <n v="2990"/>
    <n v="25.474799999999998"/>
    <n v="16.988636363636363"/>
    <s v="Jan"/>
    <x v="2"/>
    <m/>
    <m/>
  </r>
  <r>
    <n v="68741742"/>
    <x v="0"/>
    <n v="3247"/>
    <d v="2026-01-15T00:00:00"/>
    <s v="GH Strawberry Shortcake Bar 8-6PK"/>
    <x v="15"/>
    <n v="4.2560000000000002E-3"/>
    <n v="154"/>
    <x v="7"/>
    <x v="8"/>
    <n v="1"/>
    <n v="3247"/>
    <n v="13.819232000000001"/>
    <n v="21.084415584415584"/>
    <s v="Jan"/>
    <x v="2"/>
    <m/>
    <m/>
  </r>
  <r>
    <n v="64977526"/>
    <x v="0"/>
    <n v="3287"/>
    <d v="2026-01-15T00:00:00"/>
    <s v="BR Salted Caramel Truffle 6p 1.5QT"/>
    <x v="7"/>
    <n v="8.513999999999999E-3"/>
    <n v="176"/>
    <x v="0"/>
    <x v="0"/>
    <n v="1"/>
    <n v="3287"/>
    <n v="27.985517999999995"/>
    <n v="18.676136363636363"/>
    <s v="Jan"/>
    <x v="2"/>
    <m/>
    <m/>
  </r>
  <r>
    <n v="69700048"/>
    <x v="0"/>
    <n v="3318"/>
    <d v="2026-01-15T00:00:00"/>
    <s v="GH Reeses Bar 1-24BK"/>
    <x v="18"/>
    <n v="2.7360000000000002E-3"/>
    <n v="225"/>
    <x v="7"/>
    <x v="8"/>
    <n v="1"/>
    <n v="3318"/>
    <n v="9.0780480000000008"/>
    <n v="14.746666666666666"/>
    <s v="Jan"/>
    <x v="2"/>
    <m/>
    <m/>
  </r>
  <r>
    <n v="69629468"/>
    <x v="0"/>
    <n v="3411"/>
    <d v="2026-01-15T00:00:00"/>
    <s v="PS Fudgesicle NSA 6-18PK"/>
    <x v="28"/>
    <n v="5.2680000000000001E-3"/>
    <n v="130"/>
    <x v="6"/>
    <x v="15"/>
    <n v="1"/>
    <n v="3411"/>
    <n v="17.969148000000001"/>
    <n v="26.238461538461539"/>
    <s v="Jan"/>
    <x v="2"/>
    <m/>
    <m/>
  </r>
  <r>
    <n v="64393719"/>
    <x v="1"/>
    <n v="3432"/>
    <d v="2026-01-15T00:00:00"/>
    <s v="BR Carbsmart Strawberry Bar 8-6PK"/>
    <x v="13"/>
    <n v="4.2560000000000002E-3"/>
    <n v="143"/>
    <x v="5"/>
    <x v="6"/>
    <n v="1"/>
    <n v="3432"/>
    <n v="14.606592000000001"/>
    <n v="24"/>
    <s v="Jan"/>
    <x v="2"/>
    <m/>
    <m/>
  </r>
  <r>
    <n v="68850683"/>
    <x v="0"/>
    <n v="3492"/>
    <d v="2026-01-15T00:00:00"/>
    <s v="BR Homemade Vanilla 6-1.5QT"/>
    <x v="0"/>
    <n v="8.5199999999999998E-3"/>
    <n v="176"/>
    <x v="0"/>
    <x v="0"/>
    <n v="1"/>
    <n v="3492"/>
    <n v="29.751839999999998"/>
    <n v="19.84090909090909"/>
    <s v="Jan"/>
    <x v="2"/>
    <m/>
    <m/>
  </r>
  <r>
    <n v="64389650"/>
    <x v="1"/>
    <n v="3527"/>
    <d v="2026-01-15T00:00:00"/>
    <s v="BR CS Rocky Road 6p 1.5QT"/>
    <x v="3"/>
    <n v="8.5199999999999998E-3"/>
    <n v="176"/>
    <x v="0"/>
    <x v="1"/>
    <n v="1"/>
    <n v="3527"/>
    <n v="30.050039999999999"/>
    <n v="20.039772727272727"/>
    <s v="Jan"/>
    <x v="2"/>
    <m/>
    <m/>
  </r>
  <r>
    <n v="68354588"/>
    <x v="1"/>
    <n v="3762"/>
    <d v="2026-01-15T00:00:00"/>
    <s v="BJ US-TOP-SLTDCRMLBRWNIE-8 450ml"/>
    <x v="17"/>
    <n v="3.5999999999999999E-3"/>
    <n v="240"/>
    <x v="8"/>
    <x v="9"/>
    <n v="1"/>
    <n v="3762"/>
    <n v="13.543199999999999"/>
    <n v="15.675000000000001"/>
    <s v="Jan"/>
    <x v="2"/>
    <m/>
    <m/>
  </r>
  <r>
    <n v="68852591"/>
    <x v="0"/>
    <n v="3861"/>
    <d v="2026-01-15T00:00:00"/>
    <s v="KL Heath Bar 12-6PK"/>
    <x v="4"/>
    <n v="8.5199999999999998E-3"/>
    <n v="132"/>
    <x v="1"/>
    <x v="2"/>
    <n v="1"/>
    <n v="3861"/>
    <n v="32.895719999999997"/>
    <n v="29.25"/>
    <s v="Jan"/>
    <x v="2"/>
    <m/>
    <m/>
  </r>
  <r>
    <n v="68689251"/>
    <x v="0"/>
    <n v="3924"/>
    <d v="2026-01-15T00:00:00"/>
    <s v="KL Original Vanilla Bar 12-6PK"/>
    <x v="20"/>
    <n v="9.5760000000000012E-3"/>
    <n v="132"/>
    <x v="1"/>
    <x v="2"/>
    <n v="1"/>
    <n v="3924"/>
    <n v="37.576224000000003"/>
    <n v="29.727272727272727"/>
    <s v="Jan"/>
    <x v="2"/>
    <m/>
    <m/>
  </r>
  <r>
    <n v="68354588"/>
    <x v="1"/>
    <n v="5176"/>
    <d v="2026-01-15T00:00:00"/>
    <s v="BJ US-TOP-SLTDCRMLBRWNIE-8 450ml"/>
    <x v="17"/>
    <n v="3.5999999999999999E-3"/>
    <n v="240"/>
    <x v="8"/>
    <x v="9"/>
    <n v="1"/>
    <n v="5176"/>
    <n v="18.633599999999998"/>
    <n v="21.566666666666666"/>
    <s v="Jan"/>
    <x v="2"/>
    <m/>
    <m/>
  </r>
  <r>
    <n v="64393719"/>
    <x v="1"/>
    <n v="5272"/>
    <d v="2026-01-15T00:00:00"/>
    <s v="BR Carbsmart Strawberry Bar 8-6PK"/>
    <x v="13"/>
    <n v="4.2560000000000002E-3"/>
    <n v="143"/>
    <x v="5"/>
    <x v="6"/>
    <n v="1"/>
    <n v="5272"/>
    <n v="22.437632000000001"/>
    <n v="36.867132867132867"/>
    <s v="Jan"/>
    <x v="2"/>
    <m/>
    <m/>
  </r>
  <r>
    <n v="67794169"/>
    <x v="3"/>
    <n v="5520"/>
    <d v="2026-01-15T00:00:00"/>
    <s v="BJ US-IC-TonightDough-8 1PT"/>
    <x v="10"/>
    <n v="3.7853439999999999E-3"/>
    <n v="240"/>
    <x v="3"/>
    <x v="13"/>
    <n v="1"/>
    <n v="5520"/>
    <n v="20.895098879999999"/>
    <n v="23"/>
    <s v="Jan"/>
    <x v="2"/>
    <m/>
    <m/>
  </r>
  <r>
    <n v="64330596"/>
    <x v="1"/>
    <n v="5632"/>
    <d v="2026-01-15T00:00:00"/>
    <s v="MG Mini Double Caramel Bar 6-6PK"/>
    <x v="23"/>
    <n v="1.98E-3"/>
    <n v="176"/>
    <x v="5"/>
    <x v="6"/>
    <n v="1"/>
    <n v="5632"/>
    <n v="11.15136"/>
    <n v="32"/>
    <s v="Jan"/>
    <x v="2"/>
    <m/>
    <m/>
  </r>
  <r>
    <n v="69999267"/>
    <x v="1"/>
    <n v="5809"/>
    <d v="2026-01-15T00:00:00"/>
    <s v="BJ US-IC-GimmeSmore-8 1PT"/>
    <x v="22"/>
    <n v="3.7839999999999996E-3"/>
    <n v="240"/>
    <x v="3"/>
    <x v="12"/>
    <n v="1"/>
    <n v="5809"/>
    <n v="21.981255999999998"/>
    <n v="24.204166666666666"/>
    <s v="Jan"/>
    <x v="2"/>
    <m/>
    <m/>
  </r>
  <r>
    <n v="68867755"/>
    <x v="1"/>
    <n v="6032"/>
    <d v="2026-01-15T00:00:00"/>
    <s v="Talenti LY Salted CAR Truffle 8 323.1g"/>
    <x v="9"/>
    <n v="3.552E-3"/>
    <n v="255"/>
    <x v="2"/>
    <x v="3"/>
    <n v="1"/>
    <n v="6032"/>
    <n v="21.425664000000001"/>
    <n v="23.654901960784315"/>
    <s v="Jan"/>
    <x v="2"/>
    <m/>
    <m/>
  </r>
  <r>
    <n v="64977526"/>
    <x v="0"/>
    <n v="6164"/>
    <d v="2026-01-15T00:00:00"/>
    <s v="BR Salted Caramel Truffle 6p 1.5QT"/>
    <x v="7"/>
    <n v="8.513999999999999E-3"/>
    <n v="176"/>
    <x v="0"/>
    <x v="0"/>
    <n v="1"/>
    <n v="6164"/>
    <n v="52.480295999999996"/>
    <n v="35.022727272727273"/>
    <s v="Jan"/>
    <x v="2"/>
    <m/>
    <m/>
  </r>
  <r>
    <n v="64330596"/>
    <x v="1"/>
    <n v="6239"/>
    <d v="2026-01-15T00:00:00"/>
    <s v="MG Mini Double Caramel Bar 6-6PK"/>
    <x v="23"/>
    <n v="1.98E-3"/>
    <n v="176"/>
    <x v="5"/>
    <x v="6"/>
    <n v="1"/>
    <n v="6239"/>
    <n v="12.35322"/>
    <n v="35.448863636363633"/>
    <s v="Jan"/>
    <x v="2"/>
    <m/>
    <m/>
  </r>
  <r>
    <n v="64958122"/>
    <x v="1"/>
    <n v="6435"/>
    <d v="2026-01-15T00:00:00"/>
    <s v="Yasso Sea Salt Caramel 8-4pk"/>
    <x v="11"/>
    <n v="3.3119999999999998E-3"/>
    <n v="165"/>
    <x v="4"/>
    <x v="5"/>
    <n v="1"/>
    <n v="6435"/>
    <n v="21.312719999999999"/>
    <n v="39"/>
    <s v="Jan"/>
    <x v="2"/>
    <m/>
    <m/>
  </r>
  <r>
    <n v="68817801"/>
    <x v="1"/>
    <n v="6930"/>
    <d v="2026-01-15T00:00:00"/>
    <s v="BR XCRMY Chocolate 6 1.5QT"/>
    <x v="5"/>
    <n v="8.5199999999999998E-3"/>
    <n v="176"/>
    <x v="0"/>
    <x v="1"/>
    <n v="1"/>
    <n v="6930"/>
    <n v="59.043599999999998"/>
    <n v="39.375"/>
    <s v="Jan"/>
    <x v="2"/>
    <m/>
    <m/>
  </r>
  <r>
    <n v="64389650"/>
    <x v="1"/>
    <n v="7392"/>
    <d v="2026-01-15T00:00:00"/>
    <s v="BR CS Rocky Road 6p 1.5QT"/>
    <x v="3"/>
    <n v="8.5199999999999998E-3"/>
    <n v="176"/>
    <x v="0"/>
    <x v="1"/>
    <n v="1"/>
    <n v="7392"/>
    <n v="62.979839999999996"/>
    <n v="42"/>
    <s v="Jan"/>
    <x v="2"/>
    <m/>
    <m/>
  </r>
  <r>
    <n v="69991979"/>
    <x v="1"/>
    <n v="7733"/>
    <d v="2026-01-15T00:00:00"/>
    <s v="MG Cookie Duet 8-3PK"/>
    <x v="26"/>
    <n v="2.0400000000000001E-3"/>
    <n v="210"/>
    <x v="5"/>
    <x v="6"/>
    <n v="1"/>
    <n v="7733"/>
    <n v="15.775320000000001"/>
    <n v="36.823809523809523"/>
    <s v="Jan"/>
    <x v="2"/>
    <m/>
    <m/>
  </r>
  <r>
    <n v="68851107"/>
    <x v="0"/>
    <n v="8366"/>
    <d v="2026-01-15T00:00:00"/>
    <s v="BR NAT Vanilla 6-1.5QT"/>
    <x v="6"/>
    <n v="8.5199999999999998E-3"/>
    <n v="176"/>
    <x v="0"/>
    <x v="0"/>
    <n v="1"/>
    <n v="8366"/>
    <n v="71.278319999999994"/>
    <n v="47.534090909090907"/>
    <s v="Jan"/>
    <x v="2"/>
    <m/>
    <m/>
  </r>
  <r>
    <n v="68851108"/>
    <x v="1"/>
    <n v="8448"/>
    <d v="2026-01-15T00:00:00"/>
    <s v="BR VAN CHOC STRAW 6-1.5QT"/>
    <x v="1"/>
    <n v="8.5199999999999998E-3"/>
    <n v="176"/>
    <x v="0"/>
    <x v="1"/>
    <n v="1"/>
    <n v="8448"/>
    <n v="71.976959999999991"/>
    <n v="48"/>
    <s v="Jan"/>
    <x v="2"/>
    <m/>
    <m/>
  </r>
  <r>
    <n v="64958122"/>
    <x v="1"/>
    <n v="9900"/>
    <d v="2026-01-15T00:00:00"/>
    <s v="Yasso Sea Salt Caramel 8-4pk"/>
    <x v="11"/>
    <n v="3.3119999999999998E-3"/>
    <n v="165"/>
    <x v="4"/>
    <x v="5"/>
    <n v="1"/>
    <n v="9900"/>
    <n v="32.788800000000002"/>
    <n v="60"/>
    <s v="Jan"/>
    <x v="2"/>
    <m/>
    <m/>
  </r>
  <r>
    <n v="68851108"/>
    <x v="1"/>
    <n v="11611"/>
    <d v="2026-01-15T00:00:00"/>
    <s v="BR VAN CHOC STRAW 6-1.5QT"/>
    <x v="1"/>
    <n v="8.5199999999999998E-3"/>
    <n v="176"/>
    <x v="0"/>
    <x v="1"/>
    <n v="1"/>
    <n v="11611"/>
    <n v="98.925719999999998"/>
    <n v="65.971590909090907"/>
    <s v="Jan"/>
    <x v="2"/>
    <m/>
    <m/>
  </r>
  <r>
    <n v="68922108"/>
    <x v="1"/>
    <n v="14781"/>
    <d v="2026-01-15T00:00:00"/>
    <s v="Talenti Caramel Cookie Crunch 8 1PT"/>
    <x v="8"/>
    <n v="3.7839999999999996E-3"/>
    <n v="255"/>
    <x v="2"/>
    <x v="3"/>
    <n v="1"/>
    <n v="14781"/>
    <n v="55.931303999999997"/>
    <n v="57.964705882352938"/>
    <s v="Jan"/>
    <x v="2"/>
    <m/>
    <m/>
  </r>
  <r>
    <n v="67881628"/>
    <x v="3"/>
    <n v="15120"/>
    <d v="2026-01-15T00:00:00"/>
    <s v="BJ US-IC- CrmlChcChsck- 8 1PT"/>
    <x v="24"/>
    <n v="3.7853439999999999E-3"/>
    <n v="240"/>
    <x v="3"/>
    <x v="13"/>
    <n v="1"/>
    <n v="15120"/>
    <n v="57.23440128"/>
    <n v="63"/>
    <s v="Jan"/>
    <x v="2"/>
    <m/>
    <m/>
  </r>
  <r>
    <n v="67789314"/>
    <x v="3"/>
    <n v="15600"/>
    <d v="2026-01-15T00:00:00"/>
    <s v="BJ US-IC-PBHalfBaked-8 1 PT"/>
    <x v="24"/>
    <n v="3.7853439999999999E-3"/>
    <n v="240"/>
    <x v="3"/>
    <x v="13"/>
    <n v="1"/>
    <n v="15600"/>
    <n v="59.051366399999999"/>
    <n v="65"/>
    <s v="Jan"/>
    <x v="2"/>
    <m/>
    <m/>
  </r>
  <r>
    <n v="68922108"/>
    <x v="1"/>
    <n v="16501"/>
    <d v="2026-01-15T00:00:00"/>
    <s v="Talenti Caramel Cookie Crunch 8 1PT"/>
    <x v="8"/>
    <n v="3.7839999999999996E-3"/>
    <n v="255"/>
    <x v="2"/>
    <x v="3"/>
    <n v="1"/>
    <n v="16501"/>
    <n v="62.439783999999996"/>
    <n v="64.709803921568621"/>
    <s v="Jan"/>
    <x v="2"/>
    <m/>
    <m/>
  </r>
  <r>
    <n v="67803006"/>
    <x v="3"/>
    <n v="20489"/>
    <d v="2026-01-15T00:00:00"/>
    <s v="BJ R01-IC-TonightDough-8 458ML"/>
    <x v="10"/>
    <n v="3.7839999999999996E-3"/>
    <n v="240"/>
    <x v="10"/>
    <x v="18"/>
    <n v="1"/>
    <n v="20489"/>
    <n v="77.53037599999999"/>
    <n v="85.370833333333337"/>
    <s v="Jan"/>
    <x v="2"/>
    <m/>
    <m/>
  </r>
  <r>
    <n v="67803006"/>
    <x v="3"/>
    <n v="-796"/>
    <d v="2026-01-16T00:00:00"/>
    <s v="BJ R01-IC-TonightDough-8 458ML"/>
    <x v="10"/>
    <n v="3.7839999999999996E-3"/>
    <n v="240"/>
    <x v="10"/>
    <x v="18"/>
    <n v="1"/>
    <n v="-796"/>
    <n v="-3.0120639999999996"/>
    <n v="-3.3166666666666669"/>
    <s v="Jan"/>
    <x v="2"/>
    <m/>
    <m/>
  </r>
  <r>
    <n v="68817801"/>
    <x v="1"/>
    <n v="8"/>
    <d v="2026-01-16T00:00:00"/>
    <s v="BR XCRMY Chocolate 6 1.5QT"/>
    <x v="5"/>
    <n v="8.5199999999999998E-3"/>
    <n v="176"/>
    <x v="0"/>
    <x v="1"/>
    <n v="1"/>
    <n v="8"/>
    <n v="6.8159999999999998E-2"/>
    <n v="4.5454545454545456E-2"/>
    <s v="Jan"/>
    <x v="2"/>
    <m/>
    <m/>
  </r>
  <r>
    <n v="64341106"/>
    <x v="1"/>
    <n v="39"/>
    <d v="2026-01-16T00:00:00"/>
    <s v="PS Jolly Rancher Pop 6-18PK"/>
    <x v="16"/>
    <n v="5.2680000000000001E-3"/>
    <n v="130"/>
    <x v="6"/>
    <x v="7"/>
    <n v="1"/>
    <n v="39"/>
    <n v="0.205452"/>
    <n v="0.3"/>
    <s v="Jan"/>
    <x v="2"/>
    <m/>
    <m/>
  </r>
  <r>
    <n v="68851108"/>
    <x v="1"/>
    <n v="68"/>
    <d v="2026-01-16T00:00:00"/>
    <s v="BR VAN CHOC STRAW 6-1.5QT"/>
    <x v="1"/>
    <n v="8.5199999999999998E-3"/>
    <n v="176"/>
    <x v="0"/>
    <x v="1"/>
    <n v="1"/>
    <n v="68"/>
    <n v="0.57935999999999999"/>
    <n v="0.38636363636363635"/>
    <s v="Jan"/>
    <x v="2"/>
    <m/>
    <m/>
  </r>
  <r>
    <n v="68741742"/>
    <x v="0"/>
    <n v="83"/>
    <d v="2026-01-16T00:00:00"/>
    <s v="GH Strawberry Shortcake Bar 8-6PK"/>
    <x v="15"/>
    <n v="4.2560000000000002E-3"/>
    <n v="154"/>
    <x v="7"/>
    <x v="8"/>
    <n v="1"/>
    <n v="83"/>
    <n v="0.35324800000000001"/>
    <n v="0.53896103896103897"/>
    <s v="Jan"/>
    <x v="2"/>
    <m/>
    <m/>
  </r>
  <r>
    <n v="68741742"/>
    <x v="0"/>
    <n v="100"/>
    <d v="2026-01-16T00:00:00"/>
    <s v="GH Strawberry Shortcake Bar 8-6PK"/>
    <x v="15"/>
    <n v="4.2560000000000002E-3"/>
    <n v="154"/>
    <x v="7"/>
    <x v="8"/>
    <n v="1"/>
    <n v="100"/>
    <n v="0.42560000000000003"/>
    <n v="0.64935064935064934"/>
    <s v="Jan"/>
    <x v="2"/>
    <m/>
    <m/>
  </r>
  <r>
    <n v="64330596"/>
    <x v="1"/>
    <n v="176"/>
    <d v="2026-01-16T00:00:00"/>
    <s v="MG Mini Double Caramel Bar 6-6PK"/>
    <x v="23"/>
    <n v="1.98E-3"/>
    <n v="176"/>
    <x v="5"/>
    <x v="6"/>
    <n v="1"/>
    <n v="176"/>
    <n v="0.34848000000000001"/>
    <n v="1"/>
    <s v="Jan"/>
    <x v="2"/>
    <m/>
    <m/>
  </r>
  <r>
    <n v="68851107"/>
    <x v="1"/>
    <n v="176"/>
    <d v="2026-01-16T00:00:00"/>
    <s v="BR NAT Vanilla 6-1.5QT"/>
    <x v="1"/>
    <n v="8.5199999999999998E-3"/>
    <n v="176"/>
    <x v="0"/>
    <x v="1"/>
    <n v="1"/>
    <n v="176"/>
    <n v="1.49952"/>
    <n v="1"/>
    <s v="Jan"/>
    <x v="2"/>
    <m/>
    <m/>
  </r>
  <r>
    <n v="69700048"/>
    <x v="0"/>
    <n v="225"/>
    <d v="2026-01-16T00:00:00"/>
    <s v="GH Reeses Bar 1-24BK"/>
    <x v="18"/>
    <n v="2.7360000000000002E-3"/>
    <n v="225"/>
    <x v="7"/>
    <x v="8"/>
    <n v="1"/>
    <n v="225"/>
    <n v="0.61560000000000004"/>
    <n v="1"/>
    <s v="Jan"/>
    <x v="2"/>
    <m/>
    <m/>
  </r>
  <r>
    <n v="68746232"/>
    <x v="1"/>
    <n v="232"/>
    <d v="2026-01-16T00:00:00"/>
    <s v="KL Mint CHOC Chip 12-6PK"/>
    <x v="21"/>
    <n v="8.5199999999999998E-3"/>
    <n v="132"/>
    <x v="1"/>
    <x v="11"/>
    <n v="1"/>
    <n v="232"/>
    <n v="1.97664"/>
    <n v="1.7575757575757576"/>
    <s v="Jan"/>
    <x v="2"/>
    <m/>
    <m/>
  </r>
  <r>
    <n v="69999267"/>
    <x v="1"/>
    <n v="240"/>
    <d v="2026-01-16T00:00:00"/>
    <s v="BJ US-IC-GimmeSmore-8 1PT"/>
    <x v="22"/>
    <n v="3.7839999999999996E-3"/>
    <n v="240"/>
    <x v="3"/>
    <x v="12"/>
    <n v="1"/>
    <n v="240"/>
    <n v="0.90815999999999986"/>
    <n v="1"/>
    <s v="Jan"/>
    <x v="2"/>
    <m/>
    <m/>
  </r>
  <r>
    <n v="64874633"/>
    <x v="4"/>
    <n v="280"/>
    <d v="2026-01-16T00:00:00"/>
    <s v="KL Cookies and Creme SW 1-24PK"/>
    <x v="31"/>
    <n v="3.192E-3"/>
    <n v="280"/>
    <x v="12"/>
    <x v="19"/>
    <n v="1"/>
    <n v="280"/>
    <n v="0.89376"/>
    <n v="1"/>
    <s v="Jan"/>
    <x v="2"/>
    <m/>
    <m/>
  </r>
  <r>
    <n v="68746232"/>
    <x v="1"/>
    <n v="504"/>
    <d v="2026-01-16T00:00:00"/>
    <s v="KL Mint CHOC Chip 12-6PK"/>
    <x v="21"/>
    <n v="8.5199999999999998E-3"/>
    <n v="132"/>
    <x v="1"/>
    <x v="11"/>
    <n v="1"/>
    <n v="504"/>
    <n v="4.2940800000000001"/>
    <n v="3.8181818181818183"/>
    <s v="Jan"/>
    <x v="2"/>
    <m/>
    <m/>
  </r>
  <r>
    <n v="68689251"/>
    <x v="0"/>
    <n v="528"/>
    <d v="2026-01-16T00:00:00"/>
    <s v="KL Original Vanilla Bar 12-6PK"/>
    <x v="20"/>
    <n v="9.5760000000000012E-3"/>
    <n v="132"/>
    <x v="1"/>
    <x v="2"/>
    <n v="1"/>
    <n v="528"/>
    <n v="5.0561280000000011"/>
    <n v="4"/>
    <s v="Jan"/>
    <x v="2"/>
    <m/>
    <m/>
  </r>
  <r>
    <n v="64330596"/>
    <x v="1"/>
    <n v="630"/>
    <d v="2026-01-16T00:00:00"/>
    <s v="MG Mini Double Caramel Bar 6-6PK"/>
    <x v="23"/>
    <n v="1.98E-3"/>
    <n v="176"/>
    <x v="5"/>
    <x v="6"/>
    <n v="1"/>
    <n v="630"/>
    <n v="1.2474000000000001"/>
    <n v="3.5795454545454546"/>
    <s v="Jan"/>
    <x v="2"/>
    <m/>
    <m/>
  </r>
  <r>
    <n v="69629468"/>
    <x v="1"/>
    <n v="882"/>
    <d v="2026-01-16T00:00:00"/>
    <s v="PS Fudgesicle NSA 6-18PK"/>
    <x v="14"/>
    <n v="5.2680000000000001E-3"/>
    <n v="130"/>
    <x v="6"/>
    <x v="7"/>
    <n v="1"/>
    <n v="882"/>
    <n v="4.6463760000000001"/>
    <n v="6.7846153846153845"/>
    <s v="Jan"/>
    <x v="2"/>
    <m/>
    <m/>
  </r>
  <r>
    <n v="68737750"/>
    <x v="0"/>
    <n v="1009"/>
    <d v="2026-01-16T00:00:00"/>
    <s v="BR CO-B Reeses 6 1.5QT"/>
    <x v="12"/>
    <n v="8.5199999999999998E-3"/>
    <n v="176"/>
    <x v="0"/>
    <x v="0"/>
    <n v="1"/>
    <n v="1009"/>
    <n v="8.5966799999999992"/>
    <n v="5.7329545454545459"/>
    <s v="Jan"/>
    <x v="2"/>
    <m/>
    <m/>
  </r>
  <r>
    <n v="69629468"/>
    <x v="0"/>
    <n v="1040"/>
    <d v="2026-01-16T00:00:00"/>
    <s v="PS Fudgesicle NSA 6-18PK"/>
    <x v="28"/>
    <n v="5.2680000000000001E-3"/>
    <n v="130"/>
    <x v="6"/>
    <x v="15"/>
    <n v="1"/>
    <n v="1040"/>
    <n v="5.47872"/>
    <n v="8"/>
    <s v="Jan"/>
    <x v="2"/>
    <m/>
    <m/>
  </r>
  <r>
    <n v="69629468"/>
    <x v="1"/>
    <n v="1430"/>
    <d v="2026-01-16T00:00:00"/>
    <s v="PS Fudgesicle NSA 6-18PK"/>
    <x v="14"/>
    <n v="5.2680000000000001E-3"/>
    <n v="130"/>
    <x v="6"/>
    <x v="7"/>
    <n v="1"/>
    <n v="1430"/>
    <n v="7.5332400000000002"/>
    <n v="11"/>
    <s v="Jan"/>
    <x v="2"/>
    <m/>
    <m/>
  </r>
  <r>
    <n v="69725082"/>
    <x v="0"/>
    <n v="1560"/>
    <d v="2026-01-16T00:00:00"/>
    <s v="PS OCG 6-18PK"/>
    <x v="32"/>
    <n v="5.2680000000000001E-3"/>
    <n v="130"/>
    <x v="6"/>
    <x v="15"/>
    <n v="1"/>
    <n v="1560"/>
    <n v="8.2180800000000005"/>
    <n v="12"/>
    <s v="Jan"/>
    <x v="2"/>
    <m/>
    <m/>
  </r>
  <r>
    <n v="68741742"/>
    <x v="1"/>
    <n v="1569"/>
    <d v="2026-01-16T00:00:00"/>
    <s v="GH Strawberry Shortcake Bar 8-6PK"/>
    <x v="19"/>
    <n v="4.2560000000000002E-3"/>
    <n v="154"/>
    <x v="7"/>
    <x v="10"/>
    <n v="1"/>
    <n v="1569"/>
    <n v="6.677664"/>
    <n v="10.188311688311689"/>
    <s v="Jan"/>
    <x v="2"/>
    <m/>
    <m/>
  </r>
  <r>
    <n v="64874633"/>
    <x v="4"/>
    <n v="1680"/>
    <d v="2026-01-16T00:00:00"/>
    <s v="KL Cookies and Creme SW 1-24PK"/>
    <x v="31"/>
    <n v="3.192E-3"/>
    <n v="280"/>
    <x v="12"/>
    <x v="19"/>
    <n v="1"/>
    <n v="1680"/>
    <n v="5.3625600000000002"/>
    <n v="6"/>
    <s v="Jan"/>
    <x v="2"/>
    <m/>
    <m/>
  </r>
  <r>
    <n v="68741742"/>
    <x v="1"/>
    <n v="1727"/>
    <d v="2026-01-16T00:00:00"/>
    <s v="GH Strawberry Shortcake Bar 8-6PK"/>
    <x v="19"/>
    <n v="4.2560000000000002E-3"/>
    <n v="154"/>
    <x v="7"/>
    <x v="10"/>
    <n v="1"/>
    <n v="1727"/>
    <n v="7.3501120000000002"/>
    <n v="11.214285714285714"/>
    <s v="Jan"/>
    <x v="2"/>
    <m/>
    <m/>
  </r>
  <r>
    <n v="64341106"/>
    <x v="1"/>
    <n v="1769"/>
    <d v="2026-01-16T00:00:00"/>
    <s v="PS Jolly Rancher Pop 6-18PK"/>
    <x v="16"/>
    <n v="5.2680000000000001E-3"/>
    <n v="130"/>
    <x v="6"/>
    <x v="7"/>
    <n v="1"/>
    <n v="1769"/>
    <n v="9.3190919999999995"/>
    <n v="13.607692307692307"/>
    <s v="Jan"/>
    <x v="2"/>
    <m/>
    <m/>
  </r>
  <r>
    <n v="64977526"/>
    <x v="0"/>
    <n v="2193"/>
    <d v="2026-01-16T00:00:00"/>
    <s v="BR Salted Caramel Truffle 6p 1.5QT"/>
    <x v="7"/>
    <n v="8.513999999999999E-3"/>
    <n v="176"/>
    <x v="0"/>
    <x v="0"/>
    <n v="1"/>
    <n v="2193"/>
    <n v="18.671201999999997"/>
    <n v="12.460227272727273"/>
    <s v="Jan"/>
    <x v="2"/>
    <m/>
    <m/>
  </r>
  <r>
    <n v="68741742"/>
    <x v="0"/>
    <n v="2310"/>
    <d v="2026-01-16T00:00:00"/>
    <s v="GH Strawberry Shortcake Bar 8-6PK"/>
    <x v="15"/>
    <n v="4.2560000000000002E-3"/>
    <n v="154"/>
    <x v="7"/>
    <x v="8"/>
    <n v="1"/>
    <n v="2310"/>
    <n v="9.8313600000000001"/>
    <n v="15"/>
    <s v="Jan"/>
    <x v="2"/>
    <m/>
    <m/>
  </r>
  <r>
    <n v="68817795"/>
    <x v="0"/>
    <n v="2618"/>
    <d v="2026-01-16T00:00:00"/>
    <s v="BR HA Mint CHOC Chip 6 1.5QT"/>
    <x v="7"/>
    <n v="8.5199999999999998E-3"/>
    <n v="154"/>
    <x v="0"/>
    <x v="0"/>
    <n v="1"/>
    <n v="2618"/>
    <n v="22.30536"/>
    <n v="17"/>
    <s v="Jan"/>
    <x v="2"/>
    <m/>
    <m/>
  </r>
  <r>
    <n v="68852591"/>
    <x v="0"/>
    <n v="2678"/>
    <d v="2026-01-16T00:00:00"/>
    <s v="KL Heath Bar 12-6PK"/>
    <x v="4"/>
    <n v="8.5199999999999998E-3"/>
    <n v="132"/>
    <x v="1"/>
    <x v="2"/>
    <n v="1"/>
    <n v="2678"/>
    <n v="22.816559999999999"/>
    <n v="20.287878787878789"/>
    <s v="Jan"/>
    <x v="2"/>
    <m/>
    <m/>
  </r>
  <r>
    <n v="69629468"/>
    <x v="0"/>
    <n v="2698"/>
    <d v="2026-01-16T00:00:00"/>
    <s v="PS Fudgesicle NSA 6-18PK"/>
    <x v="28"/>
    <n v="5.2680000000000001E-3"/>
    <n v="130"/>
    <x v="6"/>
    <x v="15"/>
    <n v="1"/>
    <n v="2698"/>
    <n v="14.213064000000001"/>
    <n v="20.753846153846155"/>
    <s v="Jan"/>
    <x v="2"/>
    <m/>
    <m/>
  </r>
  <r>
    <n v="69725082"/>
    <x v="0"/>
    <n v="2748"/>
    <d v="2026-01-16T00:00:00"/>
    <s v="PS OCG 6-18PK"/>
    <x v="32"/>
    <n v="5.2680000000000001E-3"/>
    <n v="130"/>
    <x v="6"/>
    <x v="15"/>
    <n v="1"/>
    <n v="2748"/>
    <n v="14.476464"/>
    <n v="21.138461538461538"/>
    <s v="Jan"/>
    <x v="2"/>
    <m/>
    <m/>
  </r>
  <r>
    <n v="69999268"/>
    <x v="1"/>
    <n v="2791"/>
    <d v="2026-01-16T00:00:00"/>
    <s v="BJ US-IC-ChurrayForChurros-8 1PT"/>
    <x v="22"/>
    <n v="3.7839999999999996E-3"/>
    <n v="240"/>
    <x v="3"/>
    <x v="12"/>
    <n v="1"/>
    <n v="2791"/>
    <n v="10.561143999999999"/>
    <n v="11.629166666666666"/>
    <s v="Jan"/>
    <x v="2"/>
    <m/>
    <m/>
  </r>
  <r>
    <n v="68852591"/>
    <x v="0"/>
    <n v="3020"/>
    <d v="2026-01-16T00:00:00"/>
    <s v="KL Heath Bar 12-6PK"/>
    <x v="4"/>
    <n v="8.5199999999999998E-3"/>
    <n v="132"/>
    <x v="1"/>
    <x v="2"/>
    <n v="1"/>
    <n v="3020"/>
    <n v="25.730399999999999"/>
    <n v="22.878787878787879"/>
    <s v="Jan"/>
    <x v="2"/>
    <m/>
    <m/>
  </r>
  <r>
    <n v="68300738"/>
    <x v="0"/>
    <n v="3036"/>
    <d v="2026-01-16T00:00:00"/>
    <s v="KL REESES BAR 12-6 PK"/>
    <x v="2"/>
    <n v="8.4960000000000001E-3"/>
    <n v="132"/>
    <x v="1"/>
    <x v="2"/>
    <n v="1"/>
    <n v="3036"/>
    <n v="25.793856000000002"/>
    <n v="23"/>
    <s v="Jan"/>
    <x v="2"/>
    <m/>
    <m/>
  </r>
  <r>
    <n v="68922108"/>
    <x v="1"/>
    <n v="3641"/>
    <d v="2026-01-16T00:00:00"/>
    <s v="Talenti Caramel Cookie Crunch 8 1PT"/>
    <x v="8"/>
    <n v="3.7839999999999996E-3"/>
    <n v="255"/>
    <x v="2"/>
    <x v="3"/>
    <n v="1"/>
    <n v="3641"/>
    <n v="13.777543999999999"/>
    <n v="14.27843137254902"/>
    <s v="Jan"/>
    <x v="2"/>
    <m/>
    <m/>
  </r>
  <r>
    <n v="68862496"/>
    <x v="1"/>
    <n v="3663"/>
    <d v="2026-01-16T00:00:00"/>
    <s v="Talenti Alphonso Mango SORB (DF) 8 1PT"/>
    <x v="8"/>
    <n v="3.7839999999999996E-3"/>
    <n v="255"/>
    <x v="2"/>
    <x v="3"/>
    <n v="1"/>
    <n v="3663"/>
    <n v="13.860791999999998"/>
    <n v="14.364705882352942"/>
    <s v="Jan"/>
    <x v="2"/>
    <m/>
    <m/>
  </r>
  <r>
    <n v="68741742"/>
    <x v="0"/>
    <n v="3693"/>
    <d v="2026-01-16T00:00:00"/>
    <s v="GH Strawberry Shortcake Bar 8-6PK"/>
    <x v="15"/>
    <n v="4.2560000000000002E-3"/>
    <n v="154"/>
    <x v="7"/>
    <x v="8"/>
    <n v="1"/>
    <n v="3693"/>
    <n v="15.717408000000001"/>
    <n v="23.980519480519479"/>
    <s v="Jan"/>
    <x v="2"/>
    <m/>
    <m/>
  </r>
  <r>
    <n v="64393719"/>
    <x v="1"/>
    <n v="4004"/>
    <d v="2026-01-16T00:00:00"/>
    <s v="BR Carbsmart Strawberry Bar 8-6PK"/>
    <x v="13"/>
    <n v="4.2560000000000002E-3"/>
    <n v="143"/>
    <x v="5"/>
    <x v="6"/>
    <n v="1"/>
    <n v="4004"/>
    <n v="17.041024"/>
    <n v="28"/>
    <s v="Jan"/>
    <x v="2"/>
    <m/>
    <m/>
  </r>
  <r>
    <n v="64389651"/>
    <x v="1"/>
    <n v="4048"/>
    <d v="2026-01-16T00:00:00"/>
    <s v="BR Strawberry Shortcake 6 1.5QT"/>
    <x v="5"/>
    <n v="8.5199999999999998E-3"/>
    <n v="176"/>
    <x v="0"/>
    <x v="1"/>
    <n v="1"/>
    <n v="4048"/>
    <n v="34.488959999999999"/>
    <n v="23"/>
    <s v="Jan"/>
    <x v="2"/>
    <m/>
    <m/>
  </r>
  <r>
    <n v="64389651"/>
    <x v="1"/>
    <n v="4048"/>
    <d v="2026-01-16T00:00:00"/>
    <s v="BR Strawberry Shortcake 6 1.5QT"/>
    <x v="5"/>
    <n v="8.5199999999999998E-3"/>
    <n v="176"/>
    <x v="0"/>
    <x v="1"/>
    <n v="1"/>
    <n v="4048"/>
    <n v="34.488959999999999"/>
    <n v="23"/>
    <s v="Jan"/>
    <x v="2"/>
    <m/>
    <m/>
  </r>
  <r>
    <n v="69700048"/>
    <x v="0"/>
    <n v="4241"/>
    <d v="2026-01-16T00:00:00"/>
    <s v="GH Reeses Bar 1-24BK"/>
    <x v="18"/>
    <n v="2.7360000000000002E-3"/>
    <n v="225"/>
    <x v="7"/>
    <x v="8"/>
    <n v="1"/>
    <n v="4241"/>
    <n v="11.603376000000001"/>
    <n v="18.84888888888889"/>
    <s v="Jan"/>
    <x v="2"/>
    <m/>
    <m/>
  </r>
  <r>
    <n v="68300738"/>
    <x v="0"/>
    <n v="4596"/>
    <d v="2026-01-16T00:00:00"/>
    <s v="KL REESES BAR 12-6 PK"/>
    <x v="2"/>
    <n v="8.4960000000000001E-3"/>
    <n v="132"/>
    <x v="1"/>
    <x v="2"/>
    <n v="1"/>
    <n v="4596"/>
    <n v="39.047615999999998"/>
    <n v="34.81818181818182"/>
    <s v="Jan"/>
    <x v="2"/>
    <m/>
    <m/>
  </r>
  <r>
    <n v="64330596"/>
    <x v="1"/>
    <n v="4751"/>
    <d v="2026-01-16T00:00:00"/>
    <s v="MG Mini Double Caramel Bar 6-6PK"/>
    <x v="23"/>
    <n v="1.98E-3"/>
    <n v="176"/>
    <x v="5"/>
    <x v="6"/>
    <n v="1"/>
    <n v="4751"/>
    <n v="9.4069800000000008"/>
    <n v="26.994318181818183"/>
    <s v="Jan"/>
    <x v="2"/>
    <m/>
    <m/>
  </r>
  <r>
    <n v="68851107"/>
    <x v="0"/>
    <n v="4752"/>
    <d v="2026-01-16T00:00:00"/>
    <s v="BR NAT Vanilla 6-1.5QT"/>
    <x v="6"/>
    <n v="8.5199999999999998E-3"/>
    <n v="176"/>
    <x v="0"/>
    <x v="0"/>
    <n v="1"/>
    <n v="4752"/>
    <n v="40.48704"/>
    <n v="27"/>
    <s v="Jan"/>
    <x v="2"/>
    <m/>
    <m/>
  </r>
  <r>
    <n v="68851108"/>
    <x v="1"/>
    <n v="4880"/>
    <d v="2026-01-16T00:00:00"/>
    <s v="BR VAN CHOC STRAW 6-1.5QT"/>
    <x v="1"/>
    <n v="8.5199999999999998E-3"/>
    <n v="176"/>
    <x v="0"/>
    <x v="1"/>
    <n v="1"/>
    <n v="4880"/>
    <n v="41.577599999999997"/>
    <n v="27.727272727272727"/>
    <s v="Jan"/>
    <x v="2"/>
    <m/>
    <m/>
  </r>
  <r>
    <n v="68354588"/>
    <x v="1"/>
    <n v="5052"/>
    <d v="2026-01-16T00:00:00"/>
    <s v="BJ US-TOP-SLTDCRMLBRWNIE-8 450ml"/>
    <x v="17"/>
    <n v="3.5999999999999999E-3"/>
    <n v="240"/>
    <x v="8"/>
    <x v="9"/>
    <n v="1"/>
    <n v="5052"/>
    <n v="18.187200000000001"/>
    <n v="21.05"/>
    <s v="Jan"/>
    <x v="2"/>
    <m/>
    <m/>
  </r>
  <r>
    <n v="64393719"/>
    <x v="1"/>
    <n v="5148"/>
    <d v="2026-01-16T00:00:00"/>
    <s v="BR Carbsmart Strawberry Bar 8-6PK"/>
    <x v="13"/>
    <n v="4.2560000000000002E-3"/>
    <n v="143"/>
    <x v="5"/>
    <x v="6"/>
    <n v="1"/>
    <n v="5148"/>
    <n v="21.909888000000002"/>
    <n v="36"/>
    <s v="Jan"/>
    <x v="2"/>
    <m/>
    <m/>
  </r>
  <r>
    <n v="69999268"/>
    <x v="1"/>
    <n v="5219"/>
    <d v="2026-01-16T00:00:00"/>
    <s v="BJ US-IC-ChurrayForChurros-8 1PT"/>
    <x v="22"/>
    <n v="3.7839999999999996E-3"/>
    <n v="240"/>
    <x v="3"/>
    <x v="12"/>
    <n v="1"/>
    <n v="5219"/>
    <n v="19.748695999999999"/>
    <n v="21.745833333333334"/>
    <s v="Jan"/>
    <x v="2"/>
    <m/>
    <m/>
  </r>
  <r>
    <n v="68867755"/>
    <x v="1"/>
    <n v="5282"/>
    <d v="2026-01-16T00:00:00"/>
    <s v="Talenti LY Salted CAR Truffle 8 323.1g"/>
    <x v="9"/>
    <n v="3.552E-3"/>
    <n v="255"/>
    <x v="2"/>
    <x v="3"/>
    <n v="1"/>
    <n v="5282"/>
    <n v="18.761664"/>
    <n v="20.713725490196079"/>
    <s v="Jan"/>
    <x v="2"/>
    <m/>
    <m/>
  </r>
  <r>
    <n v="68689251"/>
    <x v="0"/>
    <n v="5436"/>
    <d v="2026-01-16T00:00:00"/>
    <s v="KL Original Vanilla Bar 12-6PK"/>
    <x v="20"/>
    <n v="9.5760000000000012E-3"/>
    <n v="132"/>
    <x v="1"/>
    <x v="2"/>
    <n v="1"/>
    <n v="5436"/>
    <n v="52.055136000000005"/>
    <n v="41.18181818181818"/>
    <s v="Jan"/>
    <x v="2"/>
    <m/>
    <m/>
  </r>
  <r>
    <n v="68851104"/>
    <x v="0"/>
    <n v="5632"/>
    <d v="2026-01-16T00:00:00"/>
    <s v="BR Chocolate 6-1.5QT"/>
    <x v="0"/>
    <n v="8.5199999999999998E-3"/>
    <n v="176"/>
    <x v="0"/>
    <x v="0"/>
    <n v="1"/>
    <n v="5632"/>
    <n v="47.984639999999999"/>
    <n v="32"/>
    <s v="Jan"/>
    <x v="2"/>
    <m/>
    <m/>
  </r>
  <r>
    <n v="68851104"/>
    <x v="0"/>
    <n v="5753"/>
    <d v="2026-01-16T00:00:00"/>
    <s v="BR Chocolate 6-1.5QT"/>
    <x v="0"/>
    <n v="8.5199999999999998E-3"/>
    <n v="176"/>
    <x v="0"/>
    <x v="0"/>
    <n v="1"/>
    <n v="5753"/>
    <n v="49.015560000000001"/>
    <n v="32.6875"/>
    <s v="Jan"/>
    <x v="2"/>
    <m/>
    <m/>
  </r>
  <r>
    <n v="64958122"/>
    <x v="1"/>
    <n v="6060"/>
    <d v="2026-01-16T00:00:00"/>
    <s v="Yasso Sea Salt Caramel 8-4pk"/>
    <x v="11"/>
    <n v="3.3119999999999998E-3"/>
    <n v="165"/>
    <x v="4"/>
    <x v="5"/>
    <n v="1"/>
    <n v="6060"/>
    <n v="20.070719999999998"/>
    <n v="36.727272727272727"/>
    <s v="Jan"/>
    <x v="2"/>
    <m/>
    <m/>
  </r>
  <r>
    <n v="68867755"/>
    <x v="1"/>
    <n v="6340"/>
    <d v="2026-01-16T00:00:00"/>
    <s v="Talenti LY Salted CAR Truffle 8 323.1g"/>
    <x v="9"/>
    <n v="3.552E-3"/>
    <n v="255"/>
    <x v="2"/>
    <x v="3"/>
    <n v="1"/>
    <n v="6340"/>
    <n v="22.519680000000001"/>
    <n v="24.862745098039216"/>
    <s v="Jan"/>
    <x v="2"/>
    <m/>
    <m/>
  </r>
  <r>
    <n v="69568828"/>
    <x v="1"/>
    <n v="6864"/>
    <d v="2026-01-16T00:00:00"/>
    <s v="BR CS Vanilla 6 1.5QT"/>
    <x v="3"/>
    <n v="8.5199999999999998E-3"/>
    <n v="176"/>
    <x v="0"/>
    <x v="1"/>
    <n v="1"/>
    <n v="6864"/>
    <n v="58.481279999999998"/>
    <n v="39"/>
    <s v="Jan"/>
    <x v="2"/>
    <m/>
    <m/>
  </r>
  <r>
    <n v="69568828"/>
    <x v="1"/>
    <n v="6864"/>
    <d v="2026-01-16T00:00:00"/>
    <s v="BR CS Vanilla 6 1.5QT"/>
    <x v="3"/>
    <n v="8.5199999999999998E-3"/>
    <n v="176"/>
    <x v="0"/>
    <x v="1"/>
    <n v="1"/>
    <n v="6864"/>
    <n v="58.481279999999998"/>
    <n v="39"/>
    <s v="Jan"/>
    <x v="2"/>
    <m/>
    <m/>
  </r>
  <r>
    <n v="64330611"/>
    <x v="1"/>
    <n v="7340"/>
    <d v="2026-01-16T00:00:00"/>
    <s v="MG Double Caramel Bar 8-3PK"/>
    <x v="26"/>
    <n v="2.16E-3"/>
    <n v="210"/>
    <x v="5"/>
    <x v="6"/>
    <n v="1"/>
    <n v="7340"/>
    <n v="15.8544"/>
    <n v="34.952380952380949"/>
    <s v="Jan"/>
    <x v="2"/>
    <m/>
    <m/>
  </r>
  <r>
    <n v="64958122"/>
    <x v="1"/>
    <n v="7755"/>
    <d v="2026-01-16T00:00:00"/>
    <s v="Yasso Sea Salt Caramel 8-4pk"/>
    <x v="11"/>
    <n v="3.3119999999999998E-3"/>
    <n v="165"/>
    <x v="4"/>
    <x v="5"/>
    <n v="1"/>
    <n v="7755"/>
    <n v="25.684559999999998"/>
    <n v="47"/>
    <s v="Jan"/>
    <x v="2"/>
    <m/>
    <m/>
  </r>
  <r>
    <n v="68354588"/>
    <x v="1"/>
    <n v="8483"/>
    <d v="2026-01-16T00:00:00"/>
    <s v="BJ US-TOP-SLTDCRMLBRWNIE-8 450ml"/>
    <x v="17"/>
    <n v="3.5999999999999999E-3"/>
    <n v="240"/>
    <x v="8"/>
    <x v="9"/>
    <n v="1"/>
    <n v="8483"/>
    <n v="30.538799999999998"/>
    <n v="35.345833333333331"/>
    <s v="Jan"/>
    <x v="2"/>
    <m/>
    <m/>
  </r>
  <r>
    <n v="68851107"/>
    <x v="0"/>
    <n v="9165"/>
    <d v="2026-01-16T00:00:00"/>
    <s v="BR NAT Vanilla 6-1.5QT"/>
    <x v="6"/>
    <n v="8.5199999999999998E-3"/>
    <n v="176"/>
    <x v="0"/>
    <x v="0"/>
    <n v="1"/>
    <n v="9165"/>
    <n v="78.085799999999992"/>
    <n v="52.073863636363633"/>
    <s v="Jan"/>
    <x v="2"/>
    <m/>
    <m/>
  </r>
  <r>
    <n v="68851108"/>
    <x v="1"/>
    <n v="10560"/>
    <d v="2026-01-16T00:00:00"/>
    <s v="BR VAN CHOC STRAW 6-1.5QT"/>
    <x v="1"/>
    <n v="8.5199999999999998E-3"/>
    <n v="176"/>
    <x v="0"/>
    <x v="1"/>
    <n v="1"/>
    <n v="10560"/>
    <n v="89.971199999999996"/>
    <n v="60"/>
    <s v="Jan"/>
    <x v="2"/>
    <m/>
    <m/>
  </r>
  <r>
    <n v="67881628"/>
    <x v="3"/>
    <n v="14848"/>
    <d v="2026-01-16T00:00:00"/>
    <s v="BJ US-IC- CrmlChcChsck- 8 1PT"/>
    <x v="24"/>
    <n v="3.7853439999999999E-3"/>
    <n v="240"/>
    <x v="3"/>
    <x v="13"/>
    <n v="1"/>
    <n v="14848"/>
    <n v="56.204787711999998"/>
    <n v="61.866666666666667"/>
    <s v="Jan"/>
    <x v="2"/>
    <m/>
    <m/>
  </r>
  <r>
    <n v="67789314"/>
    <x v="3"/>
    <n v="18036"/>
    <d v="2026-01-16T00:00:00"/>
    <s v="BJ US-IC-PBHalfBaked-8 1 PT"/>
    <x v="24"/>
    <n v="3.7853439999999999E-3"/>
    <n v="240"/>
    <x v="3"/>
    <x v="13"/>
    <n v="1"/>
    <n v="18036"/>
    <n v="68.272464384000003"/>
    <n v="75.150000000000006"/>
    <s v="Jan"/>
    <x v="2"/>
    <m/>
    <m/>
  </r>
  <r>
    <n v="67794169"/>
    <x v="3"/>
    <n v="28762"/>
    <d v="2026-01-16T00:00:00"/>
    <s v="BJ US-IC-TonightDough-8 1PT"/>
    <x v="10"/>
    <n v="3.7853439999999999E-3"/>
    <n v="240"/>
    <x v="3"/>
    <x v="13"/>
    <n v="1"/>
    <n v="28762"/>
    <n v="108.874064128"/>
    <n v="119.84166666666667"/>
    <s v="Jan"/>
    <x v="2"/>
    <m/>
    <m/>
  </r>
  <r>
    <n v="67794167"/>
    <x v="2"/>
    <n v="37920"/>
    <d v="2026-01-16T00:00:00"/>
    <s v="BJ US-IC-Milk+Cookies-8 1PT"/>
    <x v="24"/>
    <n v="3.7853439999999999E-3"/>
    <n v="240"/>
    <x v="3"/>
    <x v="4"/>
    <n v="1"/>
    <n v="37920"/>
    <n v="143.54024447999998"/>
    <n v="158"/>
    <s v="Jan"/>
    <x v="2"/>
    <m/>
    <m/>
  </r>
  <r>
    <n v="69629468"/>
    <x v="0"/>
    <n v="33"/>
    <d v="2026-01-17T00:00:00"/>
    <s v="PS Fudgesicle NSA 6-18PK"/>
    <x v="28"/>
    <n v="5.2680000000000001E-3"/>
    <n v="130"/>
    <x v="6"/>
    <x v="15"/>
    <n v="1"/>
    <n v="33"/>
    <n v="0.173844"/>
    <n v="0.25384615384615383"/>
    <s v="Jan"/>
    <x v="2"/>
    <m/>
    <m/>
  </r>
  <r>
    <n v="68746232"/>
    <x v="1"/>
    <n v="42"/>
    <d v="2026-01-17T00:00:00"/>
    <s v="KL Mint CHOC Chip 12-6PK"/>
    <x v="21"/>
    <n v="8.5199999999999998E-3"/>
    <n v="132"/>
    <x v="1"/>
    <x v="11"/>
    <n v="1"/>
    <n v="42"/>
    <n v="0.35783999999999999"/>
    <n v="0.31818181818181818"/>
    <s v="Jan"/>
    <x v="2"/>
    <m/>
    <m/>
  </r>
  <r>
    <n v="64958122"/>
    <x v="1"/>
    <n v="76"/>
    <d v="2026-01-17T00:00:00"/>
    <s v="Yasso Sea Salt Caramel 8-4pk"/>
    <x v="11"/>
    <n v="3.3119999999999998E-3"/>
    <n v="165"/>
    <x v="4"/>
    <x v="5"/>
    <n v="1"/>
    <n v="76"/>
    <n v="0.25171199999999999"/>
    <n v="0.46060606060606063"/>
    <s v="Jan"/>
    <x v="2"/>
    <m/>
    <m/>
  </r>
  <r>
    <n v="69700048"/>
    <x v="0"/>
    <n v="465"/>
    <d v="2026-01-17T00:00:00"/>
    <s v="GH Reeses Bar 1-24BK"/>
    <x v="18"/>
    <n v="2.7360000000000002E-3"/>
    <n v="225"/>
    <x v="7"/>
    <x v="8"/>
    <n v="1"/>
    <n v="465"/>
    <n v="1.27224"/>
    <n v="2.0666666666666669"/>
    <s v="Jan"/>
    <x v="2"/>
    <m/>
    <m/>
  </r>
  <r>
    <n v="64958128"/>
    <x v="1"/>
    <n v="495"/>
    <d v="2026-01-17T00:00:00"/>
    <s v="Yasso Mint Chocolate Chip 8-4pk"/>
    <x v="11"/>
    <n v="3.3119999999999998E-3"/>
    <n v="165"/>
    <x v="4"/>
    <x v="5"/>
    <n v="1"/>
    <n v="495"/>
    <n v="1.63944"/>
    <n v="3"/>
    <s v="Jan"/>
    <x v="2"/>
    <m/>
    <m/>
  </r>
  <r>
    <n v="69717803"/>
    <x v="1"/>
    <n v="572"/>
    <d v="2026-01-17T00:00:00"/>
    <s v="BR Carbsmart Almond Bar 8-6PK"/>
    <x v="13"/>
    <n v="4.2560000000000002E-3"/>
    <n v="143"/>
    <x v="5"/>
    <x v="6"/>
    <n v="1"/>
    <n v="572"/>
    <n v="2.4344320000000002"/>
    <n v="4"/>
    <s v="Jan"/>
    <x v="2"/>
    <m/>
    <m/>
  </r>
  <r>
    <n v="69629468"/>
    <x v="1"/>
    <n v="819"/>
    <d v="2026-01-17T00:00:00"/>
    <s v="PS Fudgesicle NSA 6-18PK"/>
    <x v="14"/>
    <n v="5.2680000000000001E-3"/>
    <n v="130"/>
    <x v="6"/>
    <x v="7"/>
    <n v="1"/>
    <n v="819"/>
    <n v="4.3144920000000004"/>
    <n v="6.3"/>
    <s v="Jan"/>
    <x v="2"/>
    <m/>
    <m/>
  </r>
  <r>
    <n v="68741742"/>
    <x v="0"/>
    <n v="1051"/>
    <d v="2026-01-17T00:00:00"/>
    <s v="GH Strawberry Shortcake Bar 8-6PK"/>
    <x v="15"/>
    <n v="4.2560000000000002E-3"/>
    <n v="154"/>
    <x v="7"/>
    <x v="8"/>
    <n v="1"/>
    <n v="1051"/>
    <n v="4.4730560000000006"/>
    <n v="6.8246753246753249"/>
    <s v="Jan"/>
    <x v="2"/>
    <m/>
    <m/>
  </r>
  <r>
    <n v="68741742"/>
    <x v="1"/>
    <n v="1694"/>
    <d v="2026-01-17T00:00:00"/>
    <s v="GH Strawberry Shortcake Bar 8-6PK"/>
    <x v="19"/>
    <n v="4.2560000000000002E-3"/>
    <n v="154"/>
    <x v="7"/>
    <x v="10"/>
    <n v="1"/>
    <n v="1694"/>
    <n v="7.2096640000000001"/>
    <n v="11"/>
    <s v="Jan"/>
    <x v="2"/>
    <m/>
    <m/>
  </r>
  <r>
    <n v="64341106"/>
    <x v="1"/>
    <n v="1989"/>
    <d v="2026-01-17T00:00:00"/>
    <s v="PS Jolly Rancher Pop 6-18PK"/>
    <x v="16"/>
    <n v="5.2680000000000001E-3"/>
    <n v="130"/>
    <x v="6"/>
    <x v="7"/>
    <n v="1"/>
    <n v="1989"/>
    <n v="10.478052"/>
    <n v="15.3"/>
    <s v="Jan"/>
    <x v="2"/>
    <m/>
    <m/>
  </r>
  <r>
    <n v="64341106"/>
    <x v="1"/>
    <n v="2078"/>
    <d v="2026-01-17T00:00:00"/>
    <s v="PS Jolly Rancher Pop 6-18PK"/>
    <x v="16"/>
    <n v="5.2680000000000001E-3"/>
    <n v="130"/>
    <x v="6"/>
    <x v="7"/>
    <n v="1"/>
    <n v="2078"/>
    <n v="10.946904"/>
    <n v="15.984615384615385"/>
    <s v="Jan"/>
    <x v="2"/>
    <m/>
    <m/>
  </r>
  <r>
    <n v="68851106"/>
    <x v="1"/>
    <n v="2310"/>
    <d v="2026-01-17T00:00:00"/>
    <s v="BR HA NAT Vanilla 6-1.5QT"/>
    <x v="1"/>
    <n v="8.5199999999999998E-3"/>
    <n v="154"/>
    <x v="0"/>
    <x v="1"/>
    <n v="1"/>
    <n v="2310"/>
    <n v="19.6812"/>
    <n v="15"/>
    <s v="Jan"/>
    <x v="2"/>
    <m/>
    <m/>
  </r>
  <r>
    <n v="68737750"/>
    <x v="0"/>
    <n v="2490"/>
    <d v="2026-01-17T00:00:00"/>
    <s v="BR CO-B Reeses 6 1.5QT"/>
    <x v="12"/>
    <n v="8.5199999999999998E-3"/>
    <n v="176"/>
    <x v="0"/>
    <x v="0"/>
    <n v="1"/>
    <n v="2490"/>
    <n v="21.2148"/>
    <n v="14.147727272727273"/>
    <s v="Jan"/>
    <x v="2"/>
    <m/>
    <m/>
  </r>
  <r>
    <n v="68300738"/>
    <x v="0"/>
    <n v="2640"/>
    <d v="2026-01-17T00:00:00"/>
    <s v="KL REESES BAR 12-6 PK"/>
    <x v="2"/>
    <n v="8.4960000000000001E-3"/>
    <n v="132"/>
    <x v="1"/>
    <x v="2"/>
    <n v="1"/>
    <n v="2640"/>
    <n v="22.42944"/>
    <n v="20"/>
    <s v="Jan"/>
    <x v="2"/>
    <m/>
    <m/>
  </r>
  <r>
    <n v="68851107"/>
    <x v="0"/>
    <n v="2773"/>
    <d v="2026-01-17T00:00:00"/>
    <s v="BR NAT Vanilla 6-1.5QT"/>
    <x v="6"/>
    <n v="8.5199999999999998E-3"/>
    <n v="176"/>
    <x v="0"/>
    <x v="0"/>
    <n v="1"/>
    <n v="2773"/>
    <n v="23.625959999999999"/>
    <n v="15.755681818181818"/>
    <s v="Jan"/>
    <x v="2"/>
    <m/>
    <m/>
  </r>
  <r>
    <n v="69725082"/>
    <x v="0"/>
    <n v="2780"/>
    <d v="2026-01-17T00:00:00"/>
    <s v="PS OCG 6-18PK"/>
    <x v="32"/>
    <n v="5.2680000000000001E-3"/>
    <n v="130"/>
    <x v="6"/>
    <x v="15"/>
    <n v="1"/>
    <n v="2780"/>
    <n v="14.64504"/>
    <n v="21.384615384615383"/>
    <s v="Jan"/>
    <x v="2"/>
    <m/>
    <m/>
  </r>
  <r>
    <n v="68689251"/>
    <x v="0"/>
    <n v="3036"/>
    <d v="2026-01-17T00:00:00"/>
    <s v="KL Original Vanilla Bar 12-6PK"/>
    <x v="20"/>
    <n v="9.5760000000000012E-3"/>
    <n v="132"/>
    <x v="1"/>
    <x v="2"/>
    <n v="1"/>
    <n v="3036"/>
    <n v="29.072736000000003"/>
    <n v="23"/>
    <s v="Jan"/>
    <x v="2"/>
    <m/>
    <m/>
  </r>
  <r>
    <n v="68852591"/>
    <x v="0"/>
    <n v="3106"/>
    <d v="2026-01-17T00:00:00"/>
    <s v="KL Heath Bar 12-6PK"/>
    <x v="4"/>
    <n v="8.5199999999999998E-3"/>
    <n v="132"/>
    <x v="1"/>
    <x v="2"/>
    <n v="1"/>
    <n v="3106"/>
    <n v="26.46312"/>
    <n v="23.530303030303031"/>
    <s v="Jan"/>
    <x v="2"/>
    <m/>
    <m/>
  </r>
  <r>
    <n v="69989759"/>
    <x v="1"/>
    <n v="3168"/>
    <d v="2026-01-17T00:00:00"/>
    <s v="MG Mini Almond 6-6PK"/>
    <x v="23"/>
    <n v="1.98E-3"/>
    <n v="176"/>
    <x v="5"/>
    <x v="6"/>
    <n v="1"/>
    <n v="3168"/>
    <n v="6.27264"/>
    <n v="18"/>
    <s v="Jan"/>
    <x v="2"/>
    <m/>
    <m/>
  </r>
  <r>
    <n v="68689251"/>
    <x v="0"/>
    <n v="3518"/>
    <d v="2026-01-17T00:00:00"/>
    <s v="KL Original Vanilla Bar 12-6PK"/>
    <x v="20"/>
    <n v="9.5760000000000012E-3"/>
    <n v="132"/>
    <x v="1"/>
    <x v="2"/>
    <n v="1"/>
    <n v="3518"/>
    <n v="33.688368000000004"/>
    <n v="26.651515151515152"/>
    <s v="Jan"/>
    <x v="2"/>
    <m/>
    <m/>
  </r>
  <r>
    <n v="68817795"/>
    <x v="0"/>
    <n v="3616"/>
    <d v="2026-01-17T00:00:00"/>
    <s v="BR HA Mint CHOC Chip 6 1.5QT"/>
    <x v="7"/>
    <n v="8.5199999999999998E-3"/>
    <n v="154"/>
    <x v="0"/>
    <x v="0"/>
    <n v="1"/>
    <n v="3616"/>
    <n v="30.808319999999998"/>
    <n v="23.480519480519479"/>
    <s v="Jan"/>
    <x v="2"/>
    <m/>
    <m/>
  </r>
  <r>
    <n v="64393719"/>
    <x v="1"/>
    <n v="3724"/>
    <d v="2026-01-17T00:00:00"/>
    <s v="BR Carbsmart Strawberry Bar 8-6PK"/>
    <x v="13"/>
    <n v="4.2560000000000002E-3"/>
    <n v="143"/>
    <x v="5"/>
    <x v="6"/>
    <n v="1"/>
    <n v="3724"/>
    <n v="15.849344"/>
    <n v="26.041958041958043"/>
    <s v="Jan"/>
    <x v="2"/>
    <m/>
    <m/>
  </r>
  <r>
    <n v="69568828"/>
    <x v="1"/>
    <n v="4400"/>
    <d v="2026-01-17T00:00:00"/>
    <s v="BR CS Vanilla 6 1.5QT"/>
    <x v="3"/>
    <n v="8.5199999999999998E-3"/>
    <n v="176"/>
    <x v="0"/>
    <x v="1"/>
    <n v="1"/>
    <n v="4400"/>
    <n v="37.488"/>
    <n v="25"/>
    <s v="Jan"/>
    <x v="2"/>
    <m/>
    <m/>
  </r>
  <r>
    <n v="68851104"/>
    <x v="0"/>
    <n v="4576"/>
    <d v="2026-01-17T00:00:00"/>
    <s v="BR Chocolate 6-1.5QT"/>
    <x v="0"/>
    <n v="8.5199999999999998E-3"/>
    <n v="176"/>
    <x v="0"/>
    <x v="0"/>
    <n v="1"/>
    <n v="4576"/>
    <n v="38.987519999999996"/>
    <n v="26"/>
    <s v="Jan"/>
    <x v="2"/>
    <m/>
    <m/>
  </r>
  <r>
    <n v="68867755"/>
    <x v="1"/>
    <n v="4748"/>
    <d v="2026-01-17T00:00:00"/>
    <s v="Talenti LY Salted CAR Truffle 8 323.1g"/>
    <x v="9"/>
    <n v="3.552E-3"/>
    <n v="255"/>
    <x v="2"/>
    <x v="3"/>
    <n v="1"/>
    <n v="4748"/>
    <n v="16.864896000000002"/>
    <n v="18.619607843137256"/>
    <s v="Jan"/>
    <x v="2"/>
    <m/>
    <m/>
  </r>
  <r>
    <n v="68300738"/>
    <x v="0"/>
    <n v="4884"/>
    <d v="2026-01-17T00:00:00"/>
    <s v="KL REESES BAR 12-6 PK"/>
    <x v="2"/>
    <n v="8.4960000000000001E-3"/>
    <n v="132"/>
    <x v="1"/>
    <x v="2"/>
    <n v="1"/>
    <n v="4884"/>
    <n v="41.494464000000001"/>
    <n v="37"/>
    <s v="Jan"/>
    <x v="2"/>
    <m/>
    <m/>
  </r>
  <r>
    <n v="69989759"/>
    <x v="1"/>
    <n v="5200"/>
    <d v="2026-01-17T00:00:00"/>
    <s v="MG Mini Almond 6-6PK"/>
    <x v="23"/>
    <n v="1.98E-3"/>
    <n v="176"/>
    <x v="5"/>
    <x v="6"/>
    <n v="1"/>
    <n v="5200"/>
    <n v="10.295999999999999"/>
    <n v="29.545454545454547"/>
    <s v="Jan"/>
    <x v="2"/>
    <m/>
    <m/>
  </r>
  <r>
    <n v="64389651"/>
    <x v="1"/>
    <n v="5280"/>
    <d v="2026-01-17T00:00:00"/>
    <s v="BR Strawberry Shortcake 6 1.5QT"/>
    <x v="5"/>
    <n v="8.5199999999999998E-3"/>
    <n v="176"/>
    <x v="0"/>
    <x v="1"/>
    <n v="1"/>
    <n v="5280"/>
    <n v="44.985599999999998"/>
    <n v="30"/>
    <s v="Jan"/>
    <x v="2"/>
    <m/>
    <m/>
  </r>
  <r>
    <n v="69999268"/>
    <x v="1"/>
    <n v="5280"/>
    <d v="2026-01-17T00:00:00"/>
    <s v="BJ US-IC-ChurrayForChurros-8 1PT"/>
    <x v="22"/>
    <n v="3.7839999999999996E-3"/>
    <n v="240"/>
    <x v="3"/>
    <x v="12"/>
    <n v="1"/>
    <n v="5280"/>
    <n v="19.979519999999997"/>
    <n v="22"/>
    <s v="Jan"/>
    <x v="2"/>
    <m/>
    <m/>
  </r>
  <r>
    <n v="69568828"/>
    <x v="1"/>
    <n v="5632"/>
    <d v="2026-01-17T00:00:00"/>
    <s v="BR CS Vanilla 6 1.5QT"/>
    <x v="3"/>
    <n v="8.5199999999999998E-3"/>
    <n v="176"/>
    <x v="0"/>
    <x v="1"/>
    <n v="1"/>
    <n v="5632"/>
    <n v="47.984639999999999"/>
    <n v="32"/>
    <s v="Jan"/>
    <x v="2"/>
    <m/>
    <m/>
  </r>
  <r>
    <n v="68817793"/>
    <x v="0"/>
    <n v="6093"/>
    <d v="2026-01-17T00:00:00"/>
    <s v="BR Mint CHOC Chip 6 1.5QT"/>
    <x v="7"/>
    <n v="8.5199999999999998E-3"/>
    <n v="176"/>
    <x v="0"/>
    <x v="0"/>
    <n v="1"/>
    <n v="6093"/>
    <n v="51.91236"/>
    <n v="34.61931818181818"/>
    <s v="Jan"/>
    <x v="2"/>
    <m/>
    <m/>
  </r>
  <r>
    <n v="64389651"/>
    <x v="1"/>
    <n v="6160"/>
    <d v="2026-01-17T00:00:00"/>
    <s v="BR Strawberry Shortcake 6 1.5QT"/>
    <x v="5"/>
    <n v="8.5199999999999998E-3"/>
    <n v="176"/>
    <x v="0"/>
    <x v="1"/>
    <n v="1"/>
    <n v="6160"/>
    <n v="52.483199999999997"/>
    <n v="35"/>
    <s v="Jan"/>
    <x v="2"/>
    <m/>
    <m/>
  </r>
  <r>
    <n v="68851107"/>
    <x v="0"/>
    <n v="6229"/>
    <d v="2026-01-17T00:00:00"/>
    <s v="BR NAT Vanilla 6-1.5QT"/>
    <x v="6"/>
    <n v="8.5199999999999998E-3"/>
    <n v="176"/>
    <x v="0"/>
    <x v="0"/>
    <n v="1"/>
    <n v="6229"/>
    <n v="53.071080000000002"/>
    <n v="35.392045454545453"/>
    <s v="Jan"/>
    <x v="2"/>
    <m/>
    <m/>
  </r>
  <r>
    <n v="64330611"/>
    <x v="1"/>
    <n v="6271"/>
    <d v="2026-01-17T00:00:00"/>
    <s v="MG Double Caramel Bar 8-3PK"/>
    <x v="26"/>
    <n v="2.16E-3"/>
    <n v="210"/>
    <x v="5"/>
    <x v="6"/>
    <n v="1"/>
    <n v="6271"/>
    <n v="13.545360000000001"/>
    <n v="29.861904761904761"/>
    <s v="Jan"/>
    <x v="2"/>
    <m/>
    <m/>
  </r>
  <r>
    <n v="68851106"/>
    <x v="1"/>
    <n v="6930"/>
    <d v="2026-01-17T00:00:00"/>
    <s v="BR HA NAT Vanilla 6-1.5QT"/>
    <x v="1"/>
    <n v="8.5199999999999998E-3"/>
    <n v="154"/>
    <x v="0"/>
    <x v="1"/>
    <n v="1"/>
    <n v="6930"/>
    <n v="59.043599999999998"/>
    <n v="45"/>
    <s v="Jan"/>
    <x v="2"/>
    <m/>
    <m/>
  </r>
  <r>
    <n v="64330611"/>
    <x v="1"/>
    <n v="7140"/>
    <d v="2026-01-17T00:00:00"/>
    <s v="MG Double Caramel Bar 8-3PK"/>
    <x v="26"/>
    <n v="2.16E-3"/>
    <n v="210"/>
    <x v="5"/>
    <x v="6"/>
    <n v="1"/>
    <n v="7140"/>
    <n v="15.4224"/>
    <n v="34"/>
    <s v="Jan"/>
    <x v="2"/>
    <m/>
    <m/>
  </r>
  <r>
    <n v="68867755"/>
    <x v="1"/>
    <n v="7192"/>
    <d v="2026-01-17T00:00:00"/>
    <s v="Talenti LY Salted CAR Truffle 8 323.1g"/>
    <x v="9"/>
    <n v="3.552E-3"/>
    <n v="255"/>
    <x v="2"/>
    <x v="3"/>
    <n v="1"/>
    <n v="7192"/>
    <n v="25.545984000000001"/>
    <n v="28.20392156862745"/>
    <s v="Jan"/>
    <x v="2"/>
    <m/>
    <m/>
  </r>
  <r>
    <n v="68354588"/>
    <x v="1"/>
    <n v="7558"/>
    <d v="2026-01-17T00:00:00"/>
    <s v="BJ US-TOP-SLTDCRMLBRWNIE-8 450ml"/>
    <x v="17"/>
    <n v="3.5999999999999999E-3"/>
    <n v="240"/>
    <x v="8"/>
    <x v="9"/>
    <n v="1"/>
    <n v="7558"/>
    <n v="27.2088"/>
    <n v="31.491666666666667"/>
    <s v="Jan"/>
    <x v="2"/>
    <m/>
    <m/>
  </r>
  <r>
    <n v="68737750"/>
    <x v="0"/>
    <n v="8598"/>
    <d v="2026-01-17T00:00:00"/>
    <s v="BR CO-B Reeses 6 1.5QT"/>
    <x v="12"/>
    <n v="8.5199999999999998E-3"/>
    <n v="176"/>
    <x v="0"/>
    <x v="0"/>
    <n v="1"/>
    <n v="8598"/>
    <n v="73.254959999999997"/>
    <n v="48.852272727272727"/>
    <s v="Jan"/>
    <x v="2"/>
    <m/>
    <m/>
  </r>
  <r>
    <n v="68851104"/>
    <x v="0"/>
    <n v="9463"/>
    <d v="2026-01-17T00:00:00"/>
    <s v="BR Chocolate 6-1.5QT"/>
    <x v="0"/>
    <n v="8.5199999999999998E-3"/>
    <n v="176"/>
    <x v="0"/>
    <x v="0"/>
    <n v="1"/>
    <n v="9463"/>
    <n v="80.624759999999995"/>
    <n v="53.767045454545453"/>
    <s v="Jan"/>
    <x v="2"/>
    <m/>
    <m/>
  </r>
  <r>
    <n v="68862496"/>
    <x v="1"/>
    <n v="15516"/>
    <d v="2026-01-17T00:00:00"/>
    <s v="Talenti Alphonso Mango SORB (DF) 8 1PT"/>
    <x v="8"/>
    <n v="3.7839999999999996E-3"/>
    <n v="255"/>
    <x v="2"/>
    <x v="3"/>
    <n v="1"/>
    <n v="15516"/>
    <n v="58.712543999999994"/>
    <n v="60.847058823529409"/>
    <s v="Jan"/>
    <x v="2"/>
    <m/>
    <m/>
  </r>
  <r>
    <n v="68862496"/>
    <x v="1"/>
    <n v="17775"/>
    <d v="2026-01-17T00:00:00"/>
    <s v="Talenti Alphonso Mango SORB (DF) 8 1PT"/>
    <x v="8"/>
    <n v="3.7839999999999996E-3"/>
    <n v="255"/>
    <x v="2"/>
    <x v="3"/>
    <n v="1"/>
    <n v="17775"/>
    <n v="67.260599999999997"/>
    <n v="69.705882352941174"/>
    <s v="Jan"/>
    <x v="2"/>
    <m/>
    <m/>
  </r>
  <r>
    <n v="67794167"/>
    <x v="2"/>
    <n v="30634"/>
    <d v="2026-01-17T00:00:00"/>
    <s v="BJ US-IC-Milk+Cookies-8 1PT"/>
    <x v="24"/>
    <n v="3.7853439999999999E-3"/>
    <n v="240"/>
    <x v="3"/>
    <x v="4"/>
    <n v="1"/>
    <n v="30634"/>
    <n v="115.96022809599999"/>
    <n v="127.64166666666667"/>
    <s v="Jan"/>
    <x v="2"/>
    <m/>
    <m/>
  </r>
  <r>
    <n v="68689251"/>
    <x v="0"/>
    <n v="43"/>
    <d v="2026-01-18T00:00:00"/>
    <s v="KL Original Vanilla Bar 12-6PK"/>
    <x v="20"/>
    <n v="9.5760000000000012E-3"/>
    <n v="132"/>
    <x v="1"/>
    <x v="2"/>
    <n v="1"/>
    <n v="43"/>
    <n v="0.41176800000000002"/>
    <n v="0.32575757575757575"/>
    <s v="Jan"/>
    <x v="3"/>
    <m/>
    <m/>
  </r>
  <r>
    <n v="64341106"/>
    <x v="1"/>
    <n v="630"/>
    <d v="2026-01-18T00:00:00"/>
    <s v="PS Jolly Rancher Pop 6-18PK"/>
    <x v="16"/>
    <n v="5.2680000000000001E-3"/>
    <n v="130"/>
    <x v="6"/>
    <x v="7"/>
    <n v="1"/>
    <n v="630"/>
    <n v="3.3188400000000002"/>
    <n v="4.8461538461538458"/>
    <s v="Jan"/>
    <x v="3"/>
    <m/>
    <m/>
  </r>
  <r>
    <n v="68851106"/>
    <x v="1"/>
    <n v="643"/>
    <d v="2026-01-18T00:00:00"/>
    <s v="BR HA NAT Vanilla 6-1.5QT"/>
    <x v="1"/>
    <n v="8.5199999999999998E-3"/>
    <n v="154"/>
    <x v="0"/>
    <x v="1"/>
    <n v="1"/>
    <n v="643"/>
    <n v="5.4783599999999995"/>
    <n v="4.1753246753246751"/>
    <s v="Jan"/>
    <x v="3"/>
    <m/>
    <m/>
  </r>
  <r>
    <n v="68746232"/>
    <x v="1"/>
    <n v="1073"/>
    <d v="2026-01-18T00:00:00"/>
    <s v="KL Mint CHOC Chip 12-6PK"/>
    <x v="21"/>
    <n v="8.5199999999999998E-3"/>
    <n v="132"/>
    <x v="1"/>
    <x v="11"/>
    <n v="1"/>
    <n v="1073"/>
    <n v="9.1419599999999992"/>
    <n v="8.1287878787878789"/>
    <s v="Jan"/>
    <x v="3"/>
    <m/>
    <m/>
  </r>
  <r>
    <n v="69717803"/>
    <x v="1"/>
    <n v="1402"/>
    <d v="2026-01-18T00:00:00"/>
    <s v="BR Carbsmart Almond Bar 8-6PK"/>
    <x v="13"/>
    <n v="4.2560000000000002E-3"/>
    <n v="143"/>
    <x v="5"/>
    <x v="6"/>
    <n v="1"/>
    <n v="1402"/>
    <n v="5.9669120000000007"/>
    <n v="9.8041958041958051"/>
    <s v="Jan"/>
    <x v="3"/>
    <m/>
    <m/>
  </r>
  <r>
    <n v="69717803"/>
    <x v="1"/>
    <n v="1573"/>
    <d v="2026-01-18T00:00:00"/>
    <s v="BR Carbsmart Almond Bar 8-6PK"/>
    <x v="13"/>
    <n v="4.2560000000000002E-3"/>
    <n v="143"/>
    <x v="5"/>
    <x v="6"/>
    <n v="1"/>
    <n v="1573"/>
    <n v="6.6946880000000002"/>
    <n v="11"/>
    <s v="Jan"/>
    <x v="3"/>
    <m/>
    <m/>
  </r>
  <r>
    <n v="64341106"/>
    <x v="1"/>
    <n v="2079"/>
    <d v="2026-01-18T00:00:00"/>
    <s v="PS Jolly Rancher Pop 6-18PK"/>
    <x v="16"/>
    <n v="5.2680000000000001E-3"/>
    <n v="130"/>
    <x v="6"/>
    <x v="7"/>
    <n v="1"/>
    <n v="2079"/>
    <n v="10.952172000000001"/>
    <n v="15.992307692307692"/>
    <s v="Jan"/>
    <x v="3"/>
    <m/>
    <m/>
  </r>
  <r>
    <n v="68300738"/>
    <x v="0"/>
    <n v="2508"/>
    <d v="2026-01-18T00:00:00"/>
    <s v="KL REESES BAR 12-6 PK"/>
    <x v="2"/>
    <n v="8.4960000000000001E-3"/>
    <n v="132"/>
    <x v="1"/>
    <x v="2"/>
    <n v="1"/>
    <n v="2508"/>
    <n v="21.307967999999999"/>
    <n v="19"/>
    <s v="Jan"/>
    <x v="3"/>
    <m/>
    <m/>
  </r>
  <r>
    <n v="64341968"/>
    <x v="0"/>
    <n v="2764"/>
    <d v="2026-01-18T00:00:00"/>
    <s v="BR CO-B SNICKERS 6 1.5QT"/>
    <x v="12"/>
    <n v="8.5199999999999998E-3"/>
    <n v="176"/>
    <x v="0"/>
    <x v="0"/>
    <n v="1"/>
    <n v="2764"/>
    <n v="23.54928"/>
    <n v="15.704545454545455"/>
    <s v="Jan"/>
    <x v="3"/>
    <m/>
    <m/>
  </r>
  <r>
    <n v="64341968"/>
    <x v="0"/>
    <n v="3054"/>
    <d v="2026-01-18T00:00:00"/>
    <s v="BR CO-B SNICKERS 6 1.5QT"/>
    <x v="12"/>
    <n v="8.5199999999999998E-3"/>
    <n v="176"/>
    <x v="0"/>
    <x v="0"/>
    <n v="1"/>
    <n v="3054"/>
    <n v="26.02008"/>
    <n v="17.352272727272727"/>
    <s v="Jan"/>
    <x v="3"/>
    <m/>
    <m/>
  </r>
  <r>
    <n v="68689251"/>
    <x v="0"/>
    <n v="3300"/>
    <d v="2026-01-18T00:00:00"/>
    <s v="KL Original Vanilla Bar 12-6PK"/>
    <x v="4"/>
    <n v="9.5760000000000012E-3"/>
    <n v="132"/>
    <x v="1"/>
    <x v="2"/>
    <n v="1"/>
    <n v="3300"/>
    <n v="31.600800000000003"/>
    <n v="25"/>
    <s v="Jan"/>
    <x v="3"/>
    <m/>
    <m/>
  </r>
  <r>
    <n v="68737750"/>
    <x v="0"/>
    <n v="3414"/>
    <d v="2026-01-18T00:00:00"/>
    <s v="BR CO-B Reeses 6 1.5QT"/>
    <x v="12"/>
    <n v="8.5199999999999998E-3"/>
    <n v="176"/>
    <x v="0"/>
    <x v="0"/>
    <n v="1"/>
    <n v="3414"/>
    <n v="29.08728"/>
    <n v="19.397727272727273"/>
    <s v="Jan"/>
    <x v="3"/>
    <m/>
    <m/>
  </r>
  <r>
    <n v="68851107"/>
    <x v="0"/>
    <n v="3696"/>
    <d v="2026-01-18T00:00:00"/>
    <s v="BR NAT Vanilla 6-1.5QT"/>
    <x v="6"/>
    <n v="8.5199999999999998E-3"/>
    <n v="176"/>
    <x v="0"/>
    <x v="0"/>
    <n v="1"/>
    <n v="3696"/>
    <n v="31.489919999999998"/>
    <n v="21"/>
    <s v="Jan"/>
    <x v="3"/>
    <m/>
    <m/>
  </r>
  <r>
    <n v="68689251"/>
    <x v="0"/>
    <n v="4015"/>
    <d v="2026-01-18T00:00:00"/>
    <s v="KL Original Vanilla Bar 12-6PK"/>
    <x v="4"/>
    <n v="9.5760000000000012E-3"/>
    <n v="132"/>
    <x v="1"/>
    <x v="2"/>
    <n v="1"/>
    <n v="4015"/>
    <n v="38.447640000000007"/>
    <n v="30.416666666666668"/>
    <s v="Jan"/>
    <x v="3"/>
    <m/>
    <m/>
  </r>
  <r>
    <n v="68817793"/>
    <x v="0"/>
    <n v="4026"/>
    <d v="2026-01-18T00:00:00"/>
    <s v="BR Mint CHOC Chip 6 1.5QT"/>
    <x v="7"/>
    <n v="8.5199999999999998E-3"/>
    <n v="176"/>
    <x v="0"/>
    <x v="0"/>
    <n v="1"/>
    <n v="4026"/>
    <n v="34.301519999999996"/>
    <n v="22.875"/>
    <s v="Jan"/>
    <x v="3"/>
    <m/>
    <m/>
  </r>
  <r>
    <n v="64389651"/>
    <x v="1"/>
    <n v="4177"/>
    <d v="2026-01-18T00:00:00"/>
    <s v="BR Strawberry Shortcake 6 1.5QT"/>
    <x v="5"/>
    <n v="8.5199999999999998E-3"/>
    <n v="176"/>
    <x v="0"/>
    <x v="1"/>
    <n v="1"/>
    <n v="4177"/>
    <n v="35.588039999999999"/>
    <n v="23.732954545454547"/>
    <s v="Jan"/>
    <x v="3"/>
    <m/>
    <m/>
  </r>
  <r>
    <n v="68300738"/>
    <x v="0"/>
    <n v="4896"/>
    <d v="2026-01-18T00:00:00"/>
    <s v="KL REESES BAR 12-6 PK"/>
    <x v="2"/>
    <n v="8.4960000000000001E-3"/>
    <n v="132"/>
    <x v="1"/>
    <x v="2"/>
    <n v="1"/>
    <n v="4896"/>
    <n v="41.596415999999998"/>
    <n v="37.090909090909093"/>
    <s v="Jan"/>
    <x v="3"/>
    <m/>
    <m/>
  </r>
  <r>
    <n v="64389651"/>
    <x v="1"/>
    <n v="4988"/>
    <d v="2026-01-18T00:00:00"/>
    <s v="BR Strawberry Shortcake 6 1.5QT"/>
    <x v="5"/>
    <n v="8.5199999999999998E-3"/>
    <n v="176"/>
    <x v="0"/>
    <x v="1"/>
    <n v="1"/>
    <n v="4988"/>
    <n v="42.49776"/>
    <n v="28.34090909090909"/>
    <s v="Jan"/>
    <x v="3"/>
    <m/>
    <m/>
  </r>
  <r>
    <n v="68851104"/>
    <x v="0"/>
    <n v="5390"/>
    <d v="2026-01-18T00:00:00"/>
    <s v="BR Chocolate 6-1.5QT"/>
    <x v="0"/>
    <n v="8.5199999999999998E-3"/>
    <n v="176"/>
    <x v="0"/>
    <x v="0"/>
    <n v="1"/>
    <n v="5390"/>
    <n v="45.922800000000002"/>
    <n v="30.625"/>
    <s v="Jan"/>
    <x v="3"/>
    <m/>
    <m/>
  </r>
  <r>
    <n v="67794167"/>
    <x v="2"/>
    <n v="5760"/>
    <d v="2026-01-18T00:00:00"/>
    <s v="BJ US-IC-Milk+Cookies-8 1PT"/>
    <x v="24"/>
    <n v="3.7853439999999999E-3"/>
    <n v="240"/>
    <x v="3"/>
    <x v="4"/>
    <n v="1"/>
    <n v="5760"/>
    <n v="21.803581439999999"/>
    <n v="24"/>
    <s v="Jan"/>
    <x v="3"/>
    <m/>
    <m/>
  </r>
  <r>
    <n v="69989759"/>
    <x v="1"/>
    <n v="5780"/>
    <d v="2026-01-18T00:00:00"/>
    <s v="MG Mini Almond 6-6PK"/>
    <x v="23"/>
    <n v="1.98E-3"/>
    <n v="176"/>
    <x v="5"/>
    <x v="6"/>
    <n v="1"/>
    <n v="5780"/>
    <n v="11.4444"/>
    <n v="32.840909090909093"/>
    <s v="Jan"/>
    <x v="3"/>
    <m/>
    <m/>
  </r>
  <r>
    <n v="64958128"/>
    <x v="1"/>
    <n v="5940"/>
    <d v="2026-01-18T00:00:00"/>
    <s v="Yasso Mint Chocolate Chip 8-4pk"/>
    <x v="11"/>
    <n v="3.3119999999999998E-3"/>
    <n v="165"/>
    <x v="4"/>
    <x v="5"/>
    <n v="1"/>
    <n v="5940"/>
    <n v="19.673279999999998"/>
    <n v="36"/>
    <s v="Jan"/>
    <x v="3"/>
    <m/>
    <m/>
  </r>
  <r>
    <n v="64958128"/>
    <x v="1"/>
    <n v="6270"/>
    <d v="2026-01-18T00:00:00"/>
    <s v="Yasso Mint Chocolate Chip 8-4pk"/>
    <x v="11"/>
    <n v="3.3119999999999998E-3"/>
    <n v="165"/>
    <x v="4"/>
    <x v="5"/>
    <n v="1"/>
    <n v="6270"/>
    <n v="20.76624"/>
    <n v="38"/>
    <s v="Jan"/>
    <x v="3"/>
    <m/>
    <m/>
  </r>
  <r>
    <n v="68867744"/>
    <x v="1"/>
    <n v="6375"/>
    <d v="2026-01-18T00:00:00"/>
    <s v="Talenti LY Vanilla Fudge Cookie 8 303.3g"/>
    <x v="9"/>
    <n v="3.552E-3"/>
    <n v="255"/>
    <x v="2"/>
    <x v="3"/>
    <n v="1"/>
    <n v="6375"/>
    <n v="22.644000000000002"/>
    <n v="25"/>
    <s v="Jan"/>
    <x v="3"/>
    <m/>
    <m/>
  </r>
  <r>
    <n v="64330611"/>
    <x v="1"/>
    <n v="6508"/>
    <d v="2026-01-18T00:00:00"/>
    <s v="MG Double Caramel Bar 8-3PK"/>
    <x v="26"/>
    <n v="2.16E-3"/>
    <n v="210"/>
    <x v="5"/>
    <x v="6"/>
    <n v="1"/>
    <n v="6508"/>
    <n v="14.05728"/>
    <n v="30.990476190476191"/>
    <s v="Jan"/>
    <x v="3"/>
    <m/>
    <m/>
  </r>
  <r>
    <n v="69568828"/>
    <x v="1"/>
    <n v="6512"/>
    <d v="2026-01-18T00:00:00"/>
    <s v="BR CS Vanilla 6 1.5QT"/>
    <x v="3"/>
    <n v="8.5199999999999998E-3"/>
    <n v="176"/>
    <x v="0"/>
    <x v="1"/>
    <n v="1"/>
    <n v="6512"/>
    <n v="55.482239999999997"/>
    <n v="37"/>
    <s v="Jan"/>
    <x v="3"/>
    <m/>
    <m/>
  </r>
  <r>
    <n v="68851107"/>
    <x v="0"/>
    <n v="6836"/>
    <d v="2026-01-18T00:00:00"/>
    <s v="BR NAT Vanilla 6-1.5QT"/>
    <x v="6"/>
    <n v="8.5199999999999998E-3"/>
    <n v="176"/>
    <x v="0"/>
    <x v="0"/>
    <n v="1"/>
    <n v="6836"/>
    <n v="58.242719999999998"/>
    <n v="38.840909090909093"/>
    <s v="Jan"/>
    <x v="3"/>
    <m/>
    <m/>
  </r>
  <r>
    <n v="69989759"/>
    <x v="1"/>
    <n v="6864"/>
    <d v="2026-01-18T00:00:00"/>
    <s v="MG Mini Almond 6-6PK"/>
    <x v="23"/>
    <n v="1.98E-3"/>
    <n v="176"/>
    <x v="5"/>
    <x v="6"/>
    <n v="1"/>
    <n v="6864"/>
    <n v="13.590719999999999"/>
    <n v="39"/>
    <s v="Jan"/>
    <x v="3"/>
    <m/>
    <m/>
  </r>
  <r>
    <n v="69568828"/>
    <x v="1"/>
    <n v="7040"/>
    <d v="2026-01-18T00:00:00"/>
    <s v="BR CS Vanilla 6 1.5QT"/>
    <x v="3"/>
    <n v="8.5199999999999998E-3"/>
    <n v="176"/>
    <x v="0"/>
    <x v="1"/>
    <n v="1"/>
    <n v="7040"/>
    <n v="59.980800000000002"/>
    <n v="40"/>
    <s v="Jan"/>
    <x v="3"/>
    <m/>
    <m/>
  </r>
  <r>
    <n v="68851107"/>
    <x v="1"/>
    <n v="7132"/>
    <d v="2026-01-18T00:00:00"/>
    <s v="BR NAT Vanilla 6-1.5QT"/>
    <x v="1"/>
    <n v="8.5199999999999998E-3"/>
    <n v="176"/>
    <x v="0"/>
    <x v="1"/>
    <n v="1"/>
    <n v="7132"/>
    <n v="60.76464"/>
    <n v="40.522727272727273"/>
    <s v="Jan"/>
    <x v="3"/>
    <m/>
    <m/>
  </r>
  <r>
    <n v="68851107"/>
    <x v="1"/>
    <n v="7449"/>
    <d v="2026-01-18T00:00:00"/>
    <s v="BR NAT Vanilla 6-1.5QT"/>
    <x v="1"/>
    <n v="8.5199999999999998E-3"/>
    <n v="176"/>
    <x v="0"/>
    <x v="1"/>
    <n v="1"/>
    <n v="7449"/>
    <n v="63.465479999999999"/>
    <n v="42.323863636363633"/>
    <s v="Jan"/>
    <x v="3"/>
    <m/>
    <m/>
  </r>
  <r>
    <n v="64330611"/>
    <x v="1"/>
    <n v="7980"/>
    <d v="2026-01-18T00:00:00"/>
    <s v="MG Double Caramel Bar 8-3PK"/>
    <x v="26"/>
    <n v="2.16E-3"/>
    <n v="210"/>
    <x v="5"/>
    <x v="6"/>
    <n v="1"/>
    <n v="7980"/>
    <n v="17.236799999999999"/>
    <n v="38"/>
    <s v="Jan"/>
    <x v="3"/>
    <m/>
    <m/>
  </r>
  <r>
    <n v="68817793"/>
    <x v="0"/>
    <n v="7994"/>
    <d v="2026-01-18T00:00:00"/>
    <s v="BR Mint CHOC Chip 6 1.5QT"/>
    <x v="7"/>
    <n v="8.5199999999999998E-3"/>
    <n v="176"/>
    <x v="0"/>
    <x v="0"/>
    <n v="1"/>
    <n v="7994"/>
    <n v="68.108879999999999"/>
    <n v="45.420454545454547"/>
    <s v="Jan"/>
    <x v="3"/>
    <m/>
    <m/>
  </r>
  <r>
    <n v="68851104"/>
    <x v="0"/>
    <n v="10227"/>
    <d v="2026-01-18T00:00:00"/>
    <s v="BR Chocolate 6-1.5QT"/>
    <x v="0"/>
    <n v="8.5199999999999998E-3"/>
    <n v="176"/>
    <x v="0"/>
    <x v="0"/>
    <n v="1"/>
    <n v="10227"/>
    <n v="87.134039999999999"/>
    <n v="58.107954545454547"/>
    <s v="Jan"/>
    <x v="3"/>
    <m/>
    <m/>
  </r>
  <r>
    <n v="68862496"/>
    <x v="1"/>
    <n v="17034"/>
    <d v="2026-01-18T00:00:00"/>
    <s v="Talenti Alphonso Mango SORB (DF) 8 1PT"/>
    <x v="8"/>
    <n v="3.7839999999999996E-3"/>
    <n v="255"/>
    <x v="2"/>
    <x v="3"/>
    <n v="1"/>
    <n v="17034"/>
    <n v="64.456655999999995"/>
    <n v="66.8"/>
    <s v="Jan"/>
    <x v="3"/>
    <m/>
    <m/>
  </r>
  <r>
    <n v="68862496"/>
    <x v="1"/>
    <n v="17339"/>
    <d v="2026-01-18T00:00:00"/>
    <s v="Talenti Alphonso Mango SORB (DF) 8 1PT"/>
    <x v="8"/>
    <n v="3.7839999999999996E-3"/>
    <n v="255"/>
    <x v="2"/>
    <x v="3"/>
    <n v="1"/>
    <n v="17339"/>
    <n v="65.610775999999987"/>
    <n v="67.996078431372553"/>
    <s v="Jan"/>
    <x v="3"/>
    <m/>
    <m/>
  </r>
  <r>
    <n v="67794167"/>
    <x v="2"/>
    <n v="19440"/>
    <d v="2026-01-18T00:00:00"/>
    <s v="BJ US-IC-Milk+Cookies-8 1PT"/>
    <x v="24"/>
    <n v="3.7853439999999999E-3"/>
    <n v="240"/>
    <x v="3"/>
    <x v="4"/>
    <n v="1"/>
    <n v="19440"/>
    <n v="73.587087359999998"/>
    <n v="81"/>
    <s v="Jan"/>
    <x v="3"/>
    <m/>
    <m/>
  </r>
  <r>
    <n v="68626039"/>
    <x v="1"/>
    <n v="-30"/>
    <d v="2026-01-19T00:00:00"/>
    <s v="BR Cookies and Cream 8 1PT"/>
    <x v="17"/>
    <n v="3.7839999999999996E-3"/>
    <n v="240"/>
    <x v="9"/>
    <x v="14"/>
    <n v="1"/>
    <n v="-30"/>
    <n v="-0.11351999999999998"/>
    <n v="-0.125"/>
    <s v="Jan"/>
    <x v="3"/>
    <m/>
    <m/>
  </r>
  <r>
    <n v="64341106"/>
    <x v="1"/>
    <n v="65"/>
    <d v="2026-01-19T00:00:00"/>
    <s v="PS Jolly Rancher Pop 6-18PK"/>
    <x v="16"/>
    <n v="5.2680000000000001E-3"/>
    <n v="130"/>
    <x v="6"/>
    <x v="7"/>
    <n v="1"/>
    <n v="65"/>
    <n v="0.34242"/>
    <n v="0.5"/>
    <s v="Jan"/>
    <x v="3"/>
    <m/>
    <m/>
  </r>
  <r>
    <n v="69568828"/>
    <x v="1"/>
    <n v="105"/>
    <d v="2026-01-19T00:00:00"/>
    <s v="BR CS Vanilla 6 1.5QT"/>
    <x v="3"/>
    <n v="8.5199999999999998E-3"/>
    <n v="176"/>
    <x v="0"/>
    <x v="1"/>
    <n v="1"/>
    <n v="105"/>
    <n v="0.89459999999999995"/>
    <n v="0.59659090909090906"/>
    <s v="Jan"/>
    <x v="3"/>
    <m/>
    <m/>
  </r>
  <r>
    <n v="68746232"/>
    <x v="1"/>
    <n v="117"/>
    <d v="2026-01-19T00:00:00"/>
    <s v="KL Mint CHOC Chip 12-6PK"/>
    <x v="21"/>
    <n v="8.5199999999999998E-3"/>
    <n v="132"/>
    <x v="1"/>
    <x v="11"/>
    <n v="1"/>
    <n v="117"/>
    <n v="0.99683999999999995"/>
    <n v="0.88636363636363635"/>
    <s v="Jan"/>
    <x v="3"/>
    <m/>
    <m/>
  </r>
  <r>
    <n v="69717803"/>
    <x v="1"/>
    <n v="130"/>
    <d v="2026-01-19T00:00:00"/>
    <s v="BR Carbsmart Almond Bar 8-6PK"/>
    <x v="13"/>
    <n v="4.2560000000000002E-3"/>
    <n v="143"/>
    <x v="5"/>
    <x v="6"/>
    <n v="1"/>
    <n v="130"/>
    <n v="0.55327999999999999"/>
    <n v="0.90909090909090906"/>
    <s v="Jan"/>
    <x v="3"/>
    <m/>
    <m/>
  </r>
  <r>
    <n v="64958128"/>
    <x v="1"/>
    <n v="165"/>
    <d v="2026-01-19T00:00:00"/>
    <s v="Yasso Mint Chocolate Chip 8-4pk"/>
    <x v="11"/>
    <n v="3.3119999999999998E-3"/>
    <n v="165"/>
    <x v="4"/>
    <x v="5"/>
    <n v="1"/>
    <n v="165"/>
    <n v="0.54647999999999997"/>
    <n v="1"/>
    <s v="Jan"/>
    <x v="3"/>
    <m/>
    <m/>
  </r>
  <r>
    <n v="64330596"/>
    <x v="1"/>
    <n v="176"/>
    <d v="2026-01-19T00:00:00"/>
    <s v="MG Mini Double Caramel Bar 6-6PK"/>
    <x v="23"/>
    <n v="1.98E-3"/>
    <n v="176"/>
    <x v="5"/>
    <x v="6"/>
    <n v="1"/>
    <n v="176"/>
    <n v="0.34848000000000001"/>
    <n v="1"/>
    <s v="Jan"/>
    <x v="3"/>
    <m/>
    <m/>
  </r>
  <r>
    <n v="69989759"/>
    <x v="1"/>
    <n v="176"/>
    <d v="2026-01-19T00:00:00"/>
    <s v="MG Mini Almond 6-6PK"/>
    <x v="23"/>
    <n v="1.98E-3"/>
    <n v="176"/>
    <x v="5"/>
    <x v="6"/>
    <n v="1"/>
    <n v="176"/>
    <n v="0.34848000000000001"/>
    <n v="1"/>
    <s v="Jan"/>
    <x v="3"/>
    <m/>
    <m/>
  </r>
  <r>
    <n v="69629468"/>
    <x v="1"/>
    <n v="307"/>
    <d v="2026-01-19T00:00:00"/>
    <s v="PS Fudgesicle NSA 6-18PK"/>
    <x v="14"/>
    <n v="5.2680000000000001E-3"/>
    <n v="130"/>
    <x v="6"/>
    <x v="7"/>
    <n v="1"/>
    <n v="307"/>
    <n v="1.6172759999999999"/>
    <n v="2.3615384615384616"/>
    <s v="Jan"/>
    <x v="3"/>
    <m/>
    <m/>
  </r>
  <r>
    <n v="64341106"/>
    <x v="1"/>
    <n v="328"/>
    <d v="2026-01-19T00:00:00"/>
    <s v="PS Jolly Rancher Pop 6-18PK"/>
    <x v="16"/>
    <n v="5.2680000000000001E-3"/>
    <n v="130"/>
    <x v="6"/>
    <x v="7"/>
    <n v="1"/>
    <n v="328"/>
    <n v="1.7279040000000001"/>
    <n v="2.523076923076923"/>
    <s v="Jan"/>
    <x v="3"/>
    <m/>
    <m/>
  </r>
  <r>
    <n v="64330611"/>
    <x v="1"/>
    <n v="420"/>
    <d v="2026-01-19T00:00:00"/>
    <s v="MG Double Caramel Bar 8-3PK"/>
    <x v="26"/>
    <n v="2.16E-3"/>
    <n v="210"/>
    <x v="5"/>
    <x v="6"/>
    <n v="1"/>
    <n v="420"/>
    <n v="0.90720000000000001"/>
    <n v="2"/>
    <s v="Jan"/>
    <x v="3"/>
    <m/>
    <m/>
  </r>
  <r>
    <n v="68862496"/>
    <x v="1"/>
    <n v="492"/>
    <d v="2026-01-19T00:00:00"/>
    <s v="Talenti Alphonso Mango SORB (DF) 8 1PT"/>
    <x v="8"/>
    <n v="3.7839999999999996E-3"/>
    <n v="255"/>
    <x v="2"/>
    <x v="3"/>
    <n v="1"/>
    <n v="492"/>
    <n v="1.8617279999999998"/>
    <n v="1.9294117647058824"/>
    <s v="Jan"/>
    <x v="3"/>
    <m/>
    <m/>
  </r>
  <r>
    <n v="68851107"/>
    <x v="1"/>
    <n v="829"/>
    <d v="2026-01-19T00:00:00"/>
    <s v="BR NAT Vanilla 6-1.5QT"/>
    <x v="1"/>
    <n v="8.5199999999999998E-3"/>
    <n v="176"/>
    <x v="0"/>
    <x v="1"/>
    <n v="1"/>
    <n v="829"/>
    <n v="7.0630800000000002"/>
    <n v="4.7102272727272725"/>
    <s v="Jan"/>
    <x v="3"/>
    <m/>
    <m/>
  </r>
  <r>
    <n v="84144598"/>
    <x v="1"/>
    <n v="950"/>
    <d v="2026-01-19T00:00:00"/>
    <s v="BJ US-IC-VanillaCaramelFdg-FTNG-8 1PT"/>
    <x v="22"/>
    <n v="3.7853439999999999E-3"/>
    <n v="240"/>
    <x v="3"/>
    <x v="12"/>
    <n v="1"/>
    <n v="950"/>
    <n v="3.5960768000000001"/>
    <n v="3.9583333333333335"/>
    <s v="Jan"/>
    <x v="3"/>
    <m/>
    <m/>
  </r>
  <r>
    <n v="64341106"/>
    <x v="1"/>
    <n v="1083"/>
    <d v="2026-01-19T00:00:00"/>
    <s v="PS Jolly Rancher Pop 6-18PK"/>
    <x v="16"/>
    <n v="5.2680000000000001E-3"/>
    <n v="130"/>
    <x v="6"/>
    <x v="7"/>
    <n v="1"/>
    <n v="1083"/>
    <n v="5.7052440000000004"/>
    <n v="8.3307692307692314"/>
    <s v="Jan"/>
    <x v="3"/>
    <m/>
    <m/>
  </r>
  <r>
    <n v="68746232"/>
    <x v="1"/>
    <n v="1208"/>
    <d v="2026-01-19T00:00:00"/>
    <s v="KL Mint CHOC Chip 12-6PK"/>
    <x v="21"/>
    <n v="8.5199999999999998E-3"/>
    <n v="132"/>
    <x v="1"/>
    <x v="11"/>
    <n v="1"/>
    <n v="1208"/>
    <n v="10.292159999999999"/>
    <n v="9.1515151515151523"/>
    <s v="Jan"/>
    <x v="3"/>
    <m/>
    <m/>
  </r>
  <r>
    <n v="68821735"/>
    <x v="1"/>
    <n v="1232"/>
    <d v="2026-01-19T00:00:00"/>
    <s v="BR Lactose Free Vanilla 6 1.5QT"/>
    <x v="5"/>
    <n v="8.5199999999999998E-3"/>
    <n v="176"/>
    <x v="0"/>
    <x v="1"/>
    <n v="1"/>
    <n v="1232"/>
    <n v="10.496639999999999"/>
    <n v="7"/>
    <s v="Jan"/>
    <x v="3"/>
    <m/>
    <m/>
  </r>
  <r>
    <n v="68851107"/>
    <x v="0"/>
    <n v="1256"/>
    <d v="2026-01-19T00:00:00"/>
    <s v="BR NAT Vanilla 6-1.5QT"/>
    <x v="6"/>
    <n v="8.5199999999999998E-3"/>
    <n v="176"/>
    <x v="0"/>
    <x v="0"/>
    <n v="1"/>
    <n v="1256"/>
    <n v="10.70112"/>
    <n v="7.1363636363636367"/>
    <s v="Jan"/>
    <x v="3"/>
    <m/>
    <m/>
  </r>
  <r>
    <n v="64389651"/>
    <x v="1"/>
    <n v="1398"/>
    <d v="2026-01-19T00:00:00"/>
    <s v="BR Strawberry Shortcake 6 1.5QT"/>
    <x v="5"/>
    <n v="8.5199999999999998E-3"/>
    <n v="176"/>
    <x v="0"/>
    <x v="1"/>
    <n v="1"/>
    <n v="1398"/>
    <n v="11.910959999999999"/>
    <n v="7.9431818181818183"/>
    <s v="Jan"/>
    <x v="3"/>
    <m/>
    <m/>
  </r>
  <r>
    <n v="68746232"/>
    <x v="1"/>
    <n v="1512"/>
    <d v="2026-01-19T00:00:00"/>
    <s v="KL Mint CHOC Chip 12-6PK"/>
    <x v="21"/>
    <n v="8.5199999999999998E-3"/>
    <n v="132"/>
    <x v="1"/>
    <x v="11"/>
    <n v="1"/>
    <n v="1512"/>
    <n v="12.882239999999999"/>
    <n v="11.454545454545455"/>
    <s v="Jan"/>
    <x v="3"/>
    <m/>
    <m/>
  </r>
  <r>
    <n v="64874633"/>
    <x v="4"/>
    <n v="1680"/>
    <d v="2026-01-19T00:00:00"/>
    <s v="KL Cookies and Creme SW 1-24PK"/>
    <x v="31"/>
    <n v="3.192E-3"/>
    <n v="280"/>
    <x v="12"/>
    <x v="19"/>
    <n v="1"/>
    <n v="1680"/>
    <n v="5.3625600000000002"/>
    <n v="6"/>
    <s v="Jan"/>
    <x v="3"/>
    <m/>
    <m/>
  </r>
  <r>
    <n v="64874633"/>
    <x v="4"/>
    <n v="1797"/>
    <d v="2026-01-19T00:00:00"/>
    <s v="KL Cookies and Creme SW 1-24PK"/>
    <x v="31"/>
    <n v="3.192E-3"/>
    <n v="280"/>
    <x v="12"/>
    <x v="19"/>
    <n v="1"/>
    <n v="1797"/>
    <n v="5.7360239999999996"/>
    <n v="6.4178571428571427"/>
    <s v="Jan"/>
    <x v="3"/>
    <m/>
    <m/>
  </r>
  <r>
    <n v="64341106"/>
    <x v="1"/>
    <n v="1800"/>
    <d v="2026-01-19T00:00:00"/>
    <s v="PS Jolly Rancher Pop 6-18PK"/>
    <x v="16"/>
    <n v="5.2680000000000001E-3"/>
    <n v="130"/>
    <x v="6"/>
    <x v="7"/>
    <n v="1"/>
    <n v="1800"/>
    <n v="9.4824000000000002"/>
    <n v="13.846153846153847"/>
    <s v="Jan"/>
    <x v="3"/>
    <m/>
    <m/>
  </r>
  <r>
    <n v="68741742"/>
    <x v="1"/>
    <n v="1805"/>
    <d v="2026-01-19T00:00:00"/>
    <s v="GH Strawberry Shortcake Bar 8-6PK"/>
    <x v="19"/>
    <n v="4.2560000000000002E-3"/>
    <n v="154"/>
    <x v="7"/>
    <x v="10"/>
    <n v="1"/>
    <n v="1805"/>
    <n v="7.68208"/>
    <n v="11.720779220779221"/>
    <s v="Jan"/>
    <x v="3"/>
    <m/>
    <m/>
  </r>
  <r>
    <n v="68689251"/>
    <x v="0"/>
    <n v="2104"/>
    <d v="2026-01-19T00:00:00"/>
    <s v="KL Original Vanilla Bar 12-6PK"/>
    <x v="4"/>
    <n v="9.5760000000000012E-3"/>
    <n v="132"/>
    <x v="1"/>
    <x v="2"/>
    <n v="1"/>
    <n v="2104"/>
    <n v="20.147904000000004"/>
    <n v="15.939393939393939"/>
    <s v="Jan"/>
    <x v="3"/>
    <m/>
    <m/>
  </r>
  <r>
    <n v="69717803"/>
    <x v="1"/>
    <n v="2509"/>
    <d v="2026-01-19T00:00:00"/>
    <s v="BR Carbsmart Almond Bar 8-6PK"/>
    <x v="13"/>
    <n v="4.2560000000000002E-3"/>
    <n v="143"/>
    <x v="5"/>
    <x v="6"/>
    <n v="1"/>
    <n v="2509"/>
    <n v="10.678304000000001"/>
    <n v="17.545454545454547"/>
    <s v="Jan"/>
    <x v="3"/>
    <m/>
    <m/>
  </r>
  <r>
    <n v="64330611"/>
    <x v="1"/>
    <n v="2573"/>
    <d v="2026-01-19T00:00:00"/>
    <s v="MG Double Caramel Bar 8-3PK"/>
    <x v="26"/>
    <n v="2.16E-3"/>
    <n v="210"/>
    <x v="5"/>
    <x v="6"/>
    <n v="1"/>
    <n v="2573"/>
    <n v="5.5576800000000004"/>
    <n v="12.252380952380953"/>
    <s v="Jan"/>
    <x v="3"/>
    <m/>
    <m/>
  </r>
  <r>
    <n v="68354586"/>
    <x v="1"/>
    <n v="2640"/>
    <d v="2026-01-19T00:00:00"/>
    <s v="BJ US-TOP-CHOCCARAMELCD-8 450ml"/>
    <x v="17"/>
    <n v="3.5999999999999999E-3"/>
    <n v="240"/>
    <x v="8"/>
    <x v="9"/>
    <n v="1"/>
    <n v="2640"/>
    <n v="9.5039999999999996"/>
    <n v="11"/>
    <s v="Jan"/>
    <x v="3"/>
    <m/>
    <m/>
  </r>
  <r>
    <n v="68817793"/>
    <x v="0"/>
    <n v="3122"/>
    <d v="2026-01-19T00:00:00"/>
    <s v="BR Mint CHOC Chip 6 1.5QT"/>
    <x v="7"/>
    <n v="8.5199999999999998E-3"/>
    <n v="176"/>
    <x v="0"/>
    <x v="0"/>
    <n v="1"/>
    <n v="3122"/>
    <n v="26.599439999999998"/>
    <n v="17.738636363636363"/>
    <s v="Jan"/>
    <x v="3"/>
    <m/>
    <m/>
  </r>
  <r>
    <n v="68930545"/>
    <x v="0"/>
    <n v="3166"/>
    <d v="2026-01-19T00:00:00"/>
    <s v="BR CS VAN CHOC Straw 6 1.5QT"/>
    <x v="6"/>
    <n v="8.5199999999999998E-3"/>
    <n v="176"/>
    <x v="0"/>
    <x v="0"/>
    <n v="1"/>
    <n v="3166"/>
    <n v="26.974319999999999"/>
    <n v="17.988636363636363"/>
    <s v="Jan"/>
    <x v="3"/>
    <m/>
    <m/>
  </r>
  <r>
    <n v="69717803"/>
    <x v="1"/>
    <n v="3289"/>
    <d v="2026-01-19T00:00:00"/>
    <s v="BR Carbsmart Almond Bar 8-6PK"/>
    <x v="13"/>
    <n v="4.2560000000000002E-3"/>
    <n v="143"/>
    <x v="5"/>
    <x v="6"/>
    <n v="1"/>
    <n v="3289"/>
    <n v="13.997984000000001"/>
    <n v="23"/>
    <s v="Jan"/>
    <x v="3"/>
    <m/>
    <m/>
  </r>
  <r>
    <n v="68300738"/>
    <x v="0"/>
    <n v="5082"/>
    <d v="2026-01-19T00:00:00"/>
    <s v="KL REESES BAR 12-6 PK"/>
    <x v="2"/>
    <n v="8.4960000000000001E-3"/>
    <n v="132"/>
    <x v="1"/>
    <x v="2"/>
    <n v="1"/>
    <n v="5082"/>
    <n v="43.176672000000003"/>
    <n v="38.5"/>
    <s v="Jan"/>
    <x v="3"/>
    <m/>
    <m/>
  </r>
  <r>
    <n v="68689251"/>
    <x v="0"/>
    <n v="5284"/>
    <d v="2026-01-19T00:00:00"/>
    <s v="KL Original Vanilla Bar 12-6PK"/>
    <x v="4"/>
    <n v="9.5760000000000012E-3"/>
    <n v="132"/>
    <x v="1"/>
    <x v="2"/>
    <n v="1"/>
    <n v="5284"/>
    <n v="50.599584000000007"/>
    <n v="40.030303030303031"/>
    <s v="Jan"/>
    <x v="3"/>
    <m/>
    <m/>
  </r>
  <r>
    <n v="69989759"/>
    <x v="1"/>
    <n v="5984"/>
    <d v="2026-01-19T00:00:00"/>
    <s v="MG Mini Almond 6-6PK"/>
    <x v="23"/>
    <n v="1.98E-3"/>
    <n v="176"/>
    <x v="5"/>
    <x v="6"/>
    <n v="1"/>
    <n v="5984"/>
    <n v="11.848319999999999"/>
    <n v="34"/>
    <s v="Jan"/>
    <x v="3"/>
    <m/>
    <m/>
  </r>
  <r>
    <n v="69989759"/>
    <x v="1"/>
    <n v="6160"/>
    <d v="2026-01-19T00:00:00"/>
    <s v="MG Mini Almond 6-6PK"/>
    <x v="23"/>
    <n v="1.98E-3"/>
    <n v="176"/>
    <x v="5"/>
    <x v="6"/>
    <n v="1"/>
    <n v="6160"/>
    <n v="12.1968"/>
    <n v="35"/>
    <s v="Jan"/>
    <x v="3"/>
    <m/>
    <m/>
  </r>
  <r>
    <n v="64958128"/>
    <x v="1"/>
    <n v="6648"/>
    <d v="2026-01-19T00:00:00"/>
    <s v="Yasso Mint Chocolate Chip 8-4pk"/>
    <x v="11"/>
    <n v="3.3119999999999998E-3"/>
    <n v="165"/>
    <x v="4"/>
    <x v="5"/>
    <n v="1"/>
    <n v="6648"/>
    <n v="22.018176"/>
    <n v="40.290909090909089"/>
    <s v="Jan"/>
    <x v="3"/>
    <m/>
    <m/>
  </r>
  <r>
    <n v="69568828"/>
    <x v="1"/>
    <n v="7172"/>
    <d v="2026-01-19T00:00:00"/>
    <s v="BR CS Vanilla 6 1.5QT"/>
    <x v="3"/>
    <n v="8.5199999999999998E-3"/>
    <n v="176"/>
    <x v="0"/>
    <x v="1"/>
    <n v="1"/>
    <n v="7172"/>
    <n v="61.105440000000002"/>
    <n v="40.75"/>
    <s v="Jan"/>
    <x v="3"/>
    <m/>
    <m/>
  </r>
  <r>
    <n v="68867744"/>
    <x v="1"/>
    <n v="7320"/>
    <d v="2026-01-19T00:00:00"/>
    <s v="Talenti LY Vanilla Fudge Cookie 8 303.3g"/>
    <x v="9"/>
    <n v="3.552E-3"/>
    <n v="255"/>
    <x v="2"/>
    <x v="3"/>
    <n v="1"/>
    <n v="7320"/>
    <n v="26.000640000000001"/>
    <n v="28.705882352941178"/>
    <s v="Jan"/>
    <x v="3"/>
    <m/>
    <m/>
  </r>
  <r>
    <n v="68817793"/>
    <x v="0"/>
    <n v="7449"/>
    <d v="2026-01-19T00:00:00"/>
    <s v="BR Mint CHOC Chip 6 1.5QT"/>
    <x v="7"/>
    <n v="8.5199999999999998E-3"/>
    <n v="176"/>
    <x v="0"/>
    <x v="0"/>
    <n v="1"/>
    <n v="7449"/>
    <n v="63.465479999999999"/>
    <n v="42.323863636363633"/>
    <s v="Jan"/>
    <x v="3"/>
    <m/>
    <m/>
  </r>
  <r>
    <n v="64958128"/>
    <x v="1"/>
    <n v="8024"/>
    <d v="2026-01-19T00:00:00"/>
    <s v="Yasso Mint Chocolate Chip 8-4pk"/>
    <x v="11"/>
    <n v="3.3119999999999998E-3"/>
    <n v="165"/>
    <x v="4"/>
    <x v="5"/>
    <n v="1"/>
    <n v="8024"/>
    <n v="26.575488"/>
    <n v="48.630303030303033"/>
    <s v="Jan"/>
    <x v="3"/>
    <m/>
    <m/>
  </r>
  <r>
    <n v="64330611"/>
    <x v="1"/>
    <n v="8536"/>
    <d v="2026-01-19T00:00:00"/>
    <s v="MG Double Caramel Bar 8-3PK"/>
    <x v="26"/>
    <n v="2.16E-3"/>
    <n v="210"/>
    <x v="5"/>
    <x v="6"/>
    <n v="1"/>
    <n v="8536"/>
    <n v="18.437760000000001"/>
    <n v="40.647619047619045"/>
    <s v="Jan"/>
    <x v="3"/>
    <m/>
    <m/>
  </r>
  <r>
    <n v="68867744"/>
    <x v="1"/>
    <n v="8992"/>
    <d v="2026-01-19T00:00:00"/>
    <s v="Talenti LY Vanilla Fudge Cookie 8 303.3g"/>
    <x v="9"/>
    <n v="3.552E-3"/>
    <n v="255"/>
    <x v="2"/>
    <x v="3"/>
    <n v="1"/>
    <n v="8992"/>
    <n v="31.939584"/>
    <n v="35.262745098039218"/>
    <s v="Jan"/>
    <x v="3"/>
    <m/>
    <m/>
  </r>
  <r>
    <n v="68851104"/>
    <x v="0"/>
    <n v="9006"/>
    <d v="2026-01-19T00:00:00"/>
    <s v="BR Chocolate 6-1.5QT"/>
    <x v="0"/>
    <n v="8.5199999999999998E-3"/>
    <n v="176"/>
    <x v="0"/>
    <x v="0"/>
    <n v="1"/>
    <n v="9006"/>
    <n v="76.731120000000004"/>
    <n v="51.170454545454547"/>
    <s v="Jan"/>
    <x v="3"/>
    <m/>
    <m/>
  </r>
  <r>
    <n v="68851107"/>
    <x v="1"/>
    <n v="9223"/>
    <d v="2026-01-19T00:00:00"/>
    <s v="BR NAT Vanilla 6-1.5QT"/>
    <x v="1"/>
    <n v="8.5199999999999998E-3"/>
    <n v="176"/>
    <x v="0"/>
    <x v="1"/>
    <n v="1"/>
    <n v="9223"/>
    <n v="78.57996"/>
    <n v="52.403409090909093"/>
    <s v="Jan"/>
    <x v="3"/>
    <m/>
    <m/>
  </r>
  <r>
    <n v="84137725"/>
    <x v="3"/>
    <n v="10080"/>
    <d v="2026-01-19T00:00:00"/>
    <s v="BJ US-IC-CherryGarcia-FTNG-8 1PT"/>
    <x v="25"/>
    <n v="3.7853439999999999E-3"/>
    <n v="240"/>
    <x v="3"/>
    <x v="13"/>
    <n v="1"/>
    <n v="10080"/>
    <n v="38.15626752"/>
    <n v="42"/>
    <s v="Jan"/>
    <x v="3"/>
    <m/>
    <m/>
  </r>
  <r>
    <n v="68862496"/>
    <x v="1"/>
    <n v="14286"/>
    <d v="2026-01-19T00:00:00"/>
    <s v="Talenti Alphonso Mango SORB (DF) 8 1PT"/>
    <x v="8"/>
    <n v="3.7839999999999996E-3"/>
    <n v="255"/>
    <x v="2"/>
    <x v="3"/>
    <n v="1"/>
    <n v="14286"/>
    <n v="54.058223999999996"/>
    <n v="56.023529411764706"/>
    <s v="Jan"/>
    <x v="3"/>
    <m/>
    <m/>
  </r>
  <r>
    <n v="84144598"/>
    <x v="3"/>
    <n v="16080"/>
    <d v="2026-01-19T00:00:00"/>
    <s v="BJ US-IC-VanillaCaramelFdg-FTNG-8 1PT"/>
    <x v="24"/>
    <n v="3.7853439999999999E-3"/>
    <n v="240"/>
    <x v="3"/>
    <x v="13"/>
    <n v="1"/>
    <n v="16080"/>
    <n v="60.868331519999998"/>
    <n v="67"/>
    <s v="Jan"/>
    <x v="3"/>
    <m/>
    <m/>
  </r>
  <r>
    <n v="68862496"/>
    <x v="1"/>
    <n v="18270"/>
    <d v="2026-01-19T00:00:00"/>
    <s v="Talenti Alphonso Mango SORB (DF) 8 1PT"/>
    <x v="8"/>
    <n v="3.7839999999999996E-3"/>
    <n v="255"/>
    <x v="2"/>
    <x v="3"/>
    <n v="1"/>
    <n v="18270"/>
    <n v="69.133679999999998"/>
    <n v="71.647058823529406"/>
    <s v="Jan"/>
    <x v="3"/>
    <m/>
    <m/>
  </r>
  <r>
    <n v="67881628"/>
    <x v="3"/>
    <n v="-720"/>
    <d v="2026-01-20T00:00:00"/>
    <s v="BJ US-IC- CrmlChcChsck- 8 1PT"/>
    <x v="24"/>
    <n v="3.7853439999999999E-3"/>
    <n v="240"/>
    <x v="3"/>
    <x v="13"/>
    <n v="1"/>
    <n v="-720"/>
    <n v="-2.7254476799999998"/>
    <n v="-3"/>
    <s v="Jan"/>
    <x v="3"/>
    <m/>
    <m/>
  </r>
  <r>
    <n v="67789314"/>
    <x v="3"/>
    <n v="-345"/>
    <d v="2026-01-20T00:00:00"/>
    <s v="BJ US-IC-PBHalfBaked-8 1 PT"/>
    <x v="24"/>
    <n v="3.7853439999999999E-3"/>
    <n v="240"/>
    <x v="3"/>
    <x v="13"/>
    <n v="1"/>
    <n v="-345"/>
    <n v="-1.3059436799999999"/>
    <n v="-1.4375"/>
    <s v="Jan"/>
    <x v="3"/>
    <m/>
    <m/>
  </r>
  <r>
    <n v="67794169"/>
    <x v="3"/>
    <n v="-259"/>
    <d v="2026-01-20T00:00:00"/>
    <s v="BJ US-IC-TonightDough-8 1PT"/>
    <x v="10"/>
    <n v="3.7853439999999999E-3"/>
    <n v="240"/>
    <x v="3"/>
    <x v="13"/>
    <n v="1"/>
    <n v="-259"/>
    <n v="-0.980404096"/>
    <n v="-1.0791666666666666"/>
    <s v="Jan"/>
    <x v="3"/>
    <m/>
    <m/>
  </r>
  <r>
    <n v="64341968"/>
    <x v="0"/>
    <n v="176"/>
    <d v="2026-01-20T00:00:00"/>
    <s v="BR CO-B SNICKERS 6 1.5QT"/>
    <x v="12"/>
    <n v="8.5199999999999998E-3"/>
    <n v="176"/>
    <x v="0"/>
    <x v="0"/>
    <n v="1"/>
    <n v="176"/>
    <n v="1.49952"/>
    <n v="1"/>
    <s v="Jan"/>
    <x v="3"/>
    <m/>
    <m/>
  </r>
  <r>
    <n v="64341106"/>
    <x v="1"/>
    <n v="260"/>
    <d v="2026-01-20T00:00:00"/>
    <s v="PS Jolly Rancher Pop 6-18PK"/>
    <x v="16"/>
    <n v="5.2680000000000001E-3"/>
    <n v="130"/>
    <x v="6"/>
    <x v="7"/>
    <n v="1"/>
    <n v="260"/>
    <n v="1.36968"/>
    <n v="2"/>
    <s v="Jan"/>
    <x v="3"/>
    <m/>
    <m/>
  </r>
  <r>
    <n v="68746232"/>
    <x v="1"/>
    <n v="278"/>
    <d v="2026-01-20T00:00:00"/>
    <s v="KL Mint CHOC Chip 12-6PK"/>
    <x v="21"/>
    <n v="8.5199999999999998E-3"/>
    <n v="132"/>
    <x v="1"/>
    <x v="11"/>
    <n v="1"/>
    <n v="278"/>
    <n v="2.36856"/>
    <n v="2.106060606060606"/>
    <s v="Jan"/>
    <x v="3"/>
    <m/>
    <m/>
  </r>
  <r>
    <n v="84135795"/>
    <x v="3"/>
    <n v="375"/>
    <d v="2026-01-20T00:00:00"/>
    <s v="BJ US-IC-Vanilla-FTNG-1 2.4G"/>
    <x v="24"/>
    <n v="9.0848256361922702E-3"/>
    <n v="125"/>
    <x v="13"/>
    <x v="20"/>
    <n v="1"/>
    <n v="375"/>
    <n v="3.4068096135721015"/>
    <n v="3"/>
    <s v="Jan"/>
    <x v="3"/>
    <m/>
    <m/>
  </r>
  <r>
    <n v="69629468"/>
    <x v="1"/>
    <n v="455"/>
    <d v="2026-01-20T00:00:00"/>
    <s v="PS Fudgesicle NSA 6-18PK"/>
    <x v="14"/>
    <n v="5.2680000000000001E-3"/>
    <n v="130"/>
    <x v="6"/>
    <x v="7"/>
    <n v="1"/>
    <n v="455"/>
    <n v="2.3969399999999998"/>
    <n v="3.5"/>
    <s v="Jan"/>
    <x v="3"/>
    <m/>
    <m/>
  </r>
  <r>
    <n v="64341106"/>
    <x v="1"/>
    <n v="566"/>
    <d v="2026-01-20T00:00:00"/>
    <s v="PS Jolly Rancher Pop 6-18PK"/>
    <x v="16"/>
    <n v="5.2680000000000001E-3"/>
    <n v="130"/>
    <x v="6"/>
    <x v="7"/>
    <n v="1"/>
    <n v="566"/>
    <n v="2.9816880000000001"/>
    <n v="4.3538461538461535"/>
    <s v="Jan"/>
    <x v="3"/>
    <m/>
    <m/>
  </r>
  <r>
    <n v="68741742"/>
    <x v="1"/>
    <n v="756"/>
    <d v="2026-01-20T00:00:00"/>
    <s v="GH Strawberry Shortcake Bar 8-6PK"/>
    <x v="19"/>
    <n v="4.2560000000000002E-3"/>
    <n v="154"/>
    <x v="7"/>
    <x v="10"/>
    <n v="1"/>
    <n v="756"/>
    <n v="3.2175360000000004"/>
    <n v="4.9090909090909092"/>
    <s v="Jan"/>
    <x v="3"/>
    <m/>
    <m/>
  </r>
  <r>
    <n v="68710285"/>
    <x v="0"/>
    <n v="964"/>
    <d v="2026-01-20T00:00:00"/>
    <s v="KL Krunch Bar 12-6PK"/>
    <x v="20"/>
    <n v="9.5760000000000012E-3"/>
    <n v="132"/>
    <x v="1"/>
    <x v="2"/>
    <n v="1"/>
    <n v="964"/>
    <n v="9.2312640000000012"/>
    <n v="7.3030303030303028"/>
    <s v="Jan"/>
    <x v="3"/>
    <m/>
    <m/>
  </r>
  <r>
    <n v="68746232"/>
    <x v="1"/>
    <n v="988"/>
    <d v="2026-01-20T00:00:00"/>
    <s v="KL Mint CHOC Chip 12-6PK"/>
    <x v="21"/>
    <n v="8.5199999999999998E-3"/>
    <n v="132"/>
    <x v="1"/>
    <x v="11"/>
    <n v="1"/>
    <n v="988"/>
    <n v="8.4177599999999995"/>
    <n v="7.4848484848484844"/>
    <s v="Jan"/>
    <x v="3"/>
    <m/>
    <m/>
  </r>
  <r>
    <n v="68741742"/>
    <x v="0"/>
    <n v="1078"/>
    <d v="2026-01-20T00:00:00"/>
    <s v="GH Strawberry Shortcake Bar 8-6PK"/>
    <x v="15"/>
    <n v="4.2560000000000002E-3"/>
    <n v="154"/>
    <x v="7"/>
    <x v="8"/>
    <n v="1"/>
    <n v="1078"/>
    <n v="4.587968"/>
    <n v="7"/>
    <s v="Jan"/>
    <x v="3"/>
    <m/>
    <m/>
  </r>
  <r>
    <n v="64874633"/>
    <x v="4"/>
    <n v="1120"/>
    <d v="2026-01-20T00:00:00"/>
    <s v="KL Cookies and Creme SW 1-24PK"/>
    <x v="31"/>
    <n v="3.192E-3"/>
    <n v="280"/>
    <x v="12"/>
    <x v="19"/>
    <n v="1"/>
    <n v="1120"/>
    <n v="3.57504"/>
    <n v="4"/>
    <s v="Jan"/>
    <x v="3"/>
    <m/>
    <m/>
  </r>
  <r>
    <n v="64789261"/>
    <x v="0"/>
    <n v="1125"/>
    <d v="2026-01-20T00:00:00"/>
    <s v="GH CHOC Eclair 1-24PK OOH"/>
    <x v="18"/>
    <n v="2.8319999999999999E-3"/>
    <n v="225"/>
    <x v="7"/>
    <x v="8"/>
    <n v="1"/>
    <n v="1125"/>
    <n v="3.1859999999999999"/>
    <n v="5"/>
    <s v="Jan"/>
    <x v="3"/>
    <m/>
    <m/>
  </r>
  <r>
    <n v="68689251"/>
    <x v="0"/>
    <n v="1320"/>
    <d v="2026-01-20T00:00:00"/>
    <s v="KL Original Vanilla Bar 12-6PK"/>
    <x v="4"/>
    <n v="9.5760000000000012E-3"/>
    <n v="132"/>
    <x v="1"/>
    <x v="2"/>
    <n v="1"/>
    <n v="1320"/>
    <n v="12.640320000000001"/>
    <n v="10"/>
    <s v="Jan"/>
    <x v="3"/>
    <m/>
    <m/>
  </r>
  <r>
    <n v="69629468"/>
    <x v="1"/>
    <n v="1466"/>
    <d v="2026-01-20T00:00:00"/>
    <s v="PS Fudgesicle NSA 6-18PK"/>
    <x v="14"/>
    <n v="5.2680000000000001E-3"/>
    <n v="130"/>
    <x v="6"/>
    <x v="7"/>
    <n v="1"/>
    <n v="1466"/>
    <n v="7.7228880000000002"/>
    <n v="11.276923076923078"/>
    <s v="Jan"/>
    <x v="3"/>
    <m/>
    <m/>
  </r>
  <r>
    <n v="69629468"/>
    <x v="0"/>
    <n v="1560"/>
    <d v="2026-01-20T00:00:00"/>
    <s v="PS Fudgesicle NSA 6-18PK"/>
    <x v="28"/>
    <n v="5.2680000000000001E-3"/>
    <n v="130"/>
    <x v="6"/>
    <x v="15"/>
    <n v="1"/>
    <n v="1560"/>
    <n v="8.2180800000000005"/>
    <n v="12"/>
    <s v="Jan"/>
    <x v="3"/>
    <m/>
    <m/>
  </r>
  <r>
    <n v="69725082"/>
    <x v="0"/>
    <n v="1560"/>
    <d v="2026-01-20T00:00:00"/>
    <s v="PS OCG 6-18PK"/>
    <x v="32"/>
    <n v="5.2680000000000001E-3"/>
    <n v="130"/>
    <x v="6"/>
    <x v="15"/>
    <n v="1"/>
    <n v="1560"/>
    <n v="8.2180800000000005"/>
    <n v="12"/>
    <s v="Jan"/>
    <x v="3"/>
    <m/>
    <m/>
  </r>
  <r>
    <n v="68300738"/>
    <x v="0"/>
    <n v="1716"/>
    <d v="2026-01-20T00:00:00"/>
    <s v="KL REESES BAR 12-6 PK"/>
    <x v="2"/>
    <n v="8.4960000000000001E-3"/>
    <n v="132"/>
    <x v="1"/>
    <x v="2"/>
    <n v="1"/>
    <n v="1716"/>
    <n v="14.579136"/>
    <n v="13"/>
    <s v="Jan"/>
    <x v="3"/>
    <m/>
    <m/>
  </r>
  <r>
    <n v="68821735"/>
    <x v="1"/>
    <n v="1811"/>
    <d v="2026-01-20T00:00:00"/>
    <s v="BR Lactose Free Vanilla 6 1.5QT"/>
    <x v="5"/>
    <n v="8.5199999999999998E-3"/>
    <n v="176"/>
    <x v="0"/>
    <x v="1"/>
    <n v="1"/>
    <n v="1811"/>
    <n v="15.42972"/>
    <n v="10.289772727272727"/>
    <s v="Jan"/>
    <x v="3"/>
    <m/>
    <m/>
  </r>
  <r>
    <n v="64988055"/>
    <x v="1"/>
    <n v="2112"/>
    <d v="2026-01-20T00:00:00"/>
    <s v="BR CO-B NY Style Cheesecake 6 1.5QT"/>
    <x v="3"/>
    <n v="8.513999999999999E-3"/>
    <n v="176"/>
    <x v="0"/>
    <x v="1"/>
    <n v="1"/>
    <n v="2112"/>
    <n v="17.981567999999999"/>
    <n v="12"/>
    <s v="Jan"/>
    <x v="3"/>
    <m/>
    <m/>
  </r>
  <r>
    <n v="69717803"/>
    <x v="1"/>
    <n v="2145"/>
    <d v="2026-01-20T00:00:00"/>
    <s v="BR Carbsmart Almond Bar 8-6PK"/>
    <x v="13"/>
    <n v="4.2560000000000002E-3"/>
    <n v="143"/>
    <x v="5"/>
    <x v="6"/>
    <n v="1"/>
    <n v="2145"/>
    <n v="9.1291200000000003"/>
    <n v="15"/>
    <s v="Jan"/>
    <x v="3"/>
    <m/>
    <m/>
  </r>
  <r>
    <n v="84135718"/>
    <x v="3"/>
    <n v="2400"/>
    <d v="2026-01-20T00:00:00"/>
    <s v="BJ US-IC-ChocChpCookDgh-FTNG-8 1PT"/>
    <x v="25"/>
    <n v="3.7853439999999999E-3"/>
    <n v="240"/>
    <x v="3"/>
    <x v="13"/>
    <n v="1"/>
    <n v="2400"/>
    <n v="9.0848256000000003"/>
    <n v="10"/>
    <s v="Jan"/>
    <x v="3"/>
    <m/>
    <m/>
  </r>
  <r>
    <n v="68710285"/>
    <x v="0"/>
    <n v="2508"/>
    <d v="2026-01-20T00:00:00"/>
    <s v="KL Krunch Bar 12-6PK"/>
    <x v="20"/>
    <n v="9.5760000000000012E-3"/>
    <n v="132"/>
    <x v="1"/>
    <x v="2"/>
    <n v="1"/>
    <n v="2508"/>
    <n v="24.016608000000002"/>
    <n v="19"/>
    <s v="Jan"/>
    <x v="3"/>
    <m/>
    <m/>
  </r>
  <r>
    <n v="68741742"/>
    <x v="1"/>
    <n v="2552"/>
    <d v="2026-01-20T00:00:00"/>
    <s v="GH Strawberry Shortcake Bar 8-6PK"/>
    <x v="19"/>
    <n v="4.2560000000000002E-3"/>
    <n v="154"/>
    <x v="7"/>
    <x v="10"/>
    <n v="1"/>
    <n v="2552"/>
    <n v="10.861312"/>
    <n v="16.571428571428573"/>
    <s v="Jan"/>
    <x v="3"/>
    <m/>
    <m/>
  </r>
  <r>
    <n v="68930545"/>
    <x v="0"/>
    <n v="2807"/>
    <d v="2026-01-20T00:00:00"/>
    <s v="BR CS VAN CHOC Straw 6 1.5QT"/>
    <x v="6"/>
    <n v="8.5199999999999998E-3"/>
    <n v="176"/>
    <x v="0"/>
    <x v="0"/>
    <n v="1"/>
    <n v="2807"/>
    <n v="23.91564"/>
    <n v="15.948863636363637"/>
    <s v="Jan"/>
    <x v="3"/>
    <m/>
    <m/>
  </r>
  <r>
    <n v="65431089"/>
    <x v="1"/>
    <n v="2866"/>
    <d v="2026-01-20T00:00:00"/>
    <s v="Talenti Passionfruit Sorbetto 8-1PT"/>
    <x v="8"/>
    <n v="3.7839999999999996E-3"/>
    <n v="255"/>
    <x v="2"/>
    <x v="3"/>
    <n v="1"/>
    <n v="2866"/>
    <n v="10.844943999999998"/>
    <n v="11.239215686274509"/>
    <s v="Jan"/>
    <x v="3"/>
    <m/>
    <m/>
  </r>
  <r>
    <n v="68862496"/>
    <x v="1"/>
    <n v="3256"/>
    <d v="2026-01-20T00:00:00"/>
    <s v="Talenti Alphonso Mango SORB (DF) 8 1PT"/>
    <x v="8"/>
    <n v="3.7839999999999996E-3"/>
    <n v="255"/>
    <x v="2"/>
    <x v="3"/>
    <n v="1"/>
    <n v="3256"/>
    <n v="12.320703999999999"/>
    <n v="12.768627450980393"/>
    <s v="Jan"/>
    <x v="3"/>
    <m/>
    <m/>
  </r>
  <r>
    <n v="69989759"/>
    <x v="1"/>
    <n v="3352"/>
    <d v="2026-01-20T00:00:00"/>
    <s v="MG Mini Almond 6-6PK"/>
    <x v="23"/>
    <n v="1.98E-3"/>
    <n v="176"/>
    <x v="5"/>
    <x v="6"/>
    <n v="1"/>
    <n v="3352"/>
    <n v="6.6369600000000002"/>
    <n v="19.045454545454547"/>
    <s v="Jan"/>
    <x v="3"/>
    <m/>
    <m/>
  </r>
  <r>
    <n v="68851107"/>
    <x v="0"/>
    <n v="3528"/>
    <d v="2026-01-20T00:00:00"/>
    <s v="BR NAT Vanilla 6-1.5QT"/>
    <x v="0"/>
    <n v="8.5199999999999998E-3"/>
    <n v="176"/>
    <x v="0"/>
    <x v="0"/>
    <n v="1"/>
    <n v="3528"/>
    <n v="30.05856"/>
    <n v="20.045454545454547"/>
    <s v="Jan"/>
    <x v="3"/>
    <m/>
    <m/>
  </r>
  <r>
    <n v="84144598"/>
    <x v="1"/>
    <n v="3712"/>
    <d v="2026-01-20T00:00:00"/>
    <s v="BJ US-IC-VanillaCaramelFdg-FTNG-8 1PT"/>
    <x v="22"/>
    <n v="3.7853439999999999E-3"/>
    <n v="240"/>
    <x v="3"/>
    <x v="12"/>
    <n v="1"/>
    <n v="3712"/>
    <n v="14.051196928"/>
    <n v="15.466666666666667"/>
    <s v="Jan"/>
    <x v="3"/>
    <m/>
    <m/>
  </r>
  <r>
    <n v="84144598"/>
    <x v="3"/>
    <n v="3840"/>
    <d v="2026-01-20T00:00:00"/>
    <s v="BJ US-IC-VanillaCaramelFdg-FTNG-8 1PT"/>
    <x v="24"/>
    <n v="3.7853439999999999E-3"/>
    <n v="240"/>
    <x v="3"/>
    <x v="13"/>
    <n v="1"/>
    <n v="3840"/>
    <n v="14.535720959999999"/>
    <n v="16"/>
    <s v="Jan"/>
    <x v="3"/>
    <m/>
    <m/>
  </r>
  <r>
    <n v="69988931"/>
    <x v="1"/>
    <n v="4005"/>
    <d v="2026-01-20T00:00:00"/>
    <s v="MG Mini Classic/Almond/White VP 6-6PK"/>
    <x v="23"/>
    <n v="1.98E-3"/>
    <n v="176"/>
    <x v="5"/>
    <x v="6"/>
    <n v="1"/>
    <n v="4005"/>
    <n v="7.9298999999999999"/>
    <n v="22.755681818181817"/>
    <s v="Jan"/>
    <x v="3"/>
    <m/>
    <m/>
  </r>
  <r>
    <n v="68817796"/>
    <x v="0"/>
    <n v="4013"/>
    <d v="2026-01-20T00:00:00"/>
    <s v="BR XCRMY Vanilla 6 1.5QT"/>
    <x v="0"/>
    <n v="8.513999999999999E-3"/>
    <n v="176"/>
    <x v="0"/>
    <x v="0"/>
    <n v="1"/>
    <n v="4013"/>
    <n v="34.166681999999994"/>
    <n v="22.801136363636363"/>
    <s v="Jan"/>
    <x v="3"/>
    <m/>
    <m/>
  </r>
  <r>
    <n v="68300738"/>
    <x v="0"/>
    <n v="4044"/>
    <d v="2026-01-20T00:00:00"/>
    <s v="KL REESES BAR 12-6 PK"/>
    <x v="2"/>
    <n v="8.4960000000000001E-3"/>
    <n v="132"/>
    <x v="1"/>
    <x v="2"/>
    <n v="1"/>
    <n v="4044"/>
    <n v="34.357824000000001"/>
    <n v="30.636363636363637"/>
    <s v="Jan"/>
    <x v="3"/>
    <m/>
    <m/>
  </r>
  <r>
    <n v="69717803"/>
    <x v="1"/>
    <n v="4409"/>
    <d v="2026-01-20T00:00:00"/>
    <s v="BR Carbsmart Almond Bar 8-6PK"/>
    <x v="13"/>
    <n v="4.2560000000000002E-3"/>
    <n v="143"/>
    <x v="5"/>
    <x v="6"/>
    <n v="1"/>
    <n v="4409"/>
    <n v="18.764704000000002"/>
    <n v="30.832167832167833"/>
    <s v="Jan"/>
    <x v="3"/>
    <m/>
    <m/>
  </r>
  <r>
    <n v="68817793"/>
    <x v="0"/>
    <n v="4500"/>
    <d v="2026-01-20T00:00:00"/>
    <s v="BR Mint CHOC Chip 6 1.5QT"/>
    <x v="7"/>
    <n v="8.5199999999999998E-3"/>
    <n v="176"/>
    <x v="0"/>
    <x v="0"/>
    <n v="1"/>
    <n v="4500"/>
    <n v="38.339999999999996"/>
    <n v="25.568181818181817"/>
    <s v="Jan"/>
    <x v="3"/>
    <m/>
    <m/>
  </r>
  <r>
    <n v="64341968"/>
    <x v="0"/>
    <n v="4576"/>
    <d v="2026-01-20T00:00:00"/>
    <s v="BR CO-B SNICKERS 6 1.5QT"/>
    <x v="12"/>
    <n v="8.5199999999999998E-3"/>
    <n v="176"/>
    <x v="0"/>
    <x v="0"/>
    <n v="1"/>
    <n v="4576"/>
    <n v="38.987519999999996"/>
    <n v="26"/>
    <s v="Jan"/>
    <x v="3"/>
    <m/>
    <m/>
  </r>
  <r>
    <n v="84144598"/>
    <x v="1"/>
    <n v="4725"/>
    <d v="2026-01-20T00:00:00"/>
    <s v="BJ US-IC-VanillaCaramelFdg-FTNG-8 1PT"/>
    <x v="22"/>
    <n v="3.7853439999999999E-3"/>
    <n v="240"/>
    <x v="3"/>
    <x v="12"/>
    <n v="1"/>
    <n v="4725"/>
    <n v="17.885750399999999"/>
    <n v="19.6875"/>
    <s v="Jan"/>
    <x v="3"/>
    <m/>
    <m/>
  </r>
  <r>
    <n v="68821735"/>
    <x v="1"/>
    <n v="4854"/>
    <d v="2026-01-20T00:00:00"/>
    <s v="BR Lactose Free Vanilla 6 1.5QT"/>
    <x v="5"/>
    <n v="8.5199999999999998E-3"/>
    <n v="176"/>
    <x v="0"/>
    <x v="1"/>
    <n v="1"/>
    <n v="4854"/>
    <n v="41.356079999999999"/>
    <n v="27.579545454545453"/>
    <s v="Jan"/>
    <x v="3"/>
    <m/>
    <m/>
  </r>
  <r>
    <n v="68689251"/>
    <x v="0"/>
    <n v="5014"/>
    <d v="2026-01-20T00:00:00"/>
    <s v="KL Original Vanilla Bar 12-6PK"/>
    <x v="4"/>
    <n v="9.5760000000000012E-3"/>
    <n v="132"/>
    <x v="1"/>
    <x v="2"/>
    <n v="1"/>
    <n v="5014"/>
    <n v="48.014064000000005"/>
    <n v="37.984848484848484"/>
    <s v="Jan"/>
    <x v="3"/>
    <m/>
    <m/>
  </r>
  <r>
    <n v="64988055"/>
    <x v="1"/>
    <n v="5074"/>
    <d v="2026-01-20T00:00:00"/>
    <s v="BR CO-B NY Style Cheesecake 6 1.5QT"/>
    <x v="3"/>
    <n v="8.513999999999999E-3"/>
    <n v="176"/>
    <x v="0"/>
    <x v="1"/>
    <n v="1"/>
    <n v="5074"/>
    <n v="43.200035999999997"/>
    <n v="28.829545454545453"/>
    <s v="Jan"/>
    <x v="3"/>
    <m/>
    <m/>
  </r>
  <r>
    <n v="68817796"/>
    <x v="0"/>
    <n v="5456"/>
    <d v="2026-01-20T00:00:00"/>
    <s v="BR XCRMY Vanilla 6 1.5QT"/>
    <x v="0"/>
    <n v="8.513999999999999E-3"/>
    <n v="176"/>
    <x v="0"/>
    <x v="0"/>
    <n v="1"/>
    <n v="5456"/>
    <n v="46.452383999999995"/>
    <n v="31"/>
    <s v="Jan"/>
    <x v="3"/>
    <m/>
    <m/>
  </r>
  <r>
    <n v="64874633"/>
    <x v="4"/>
    <n v="5880"/>
    <d v="2026-01-20T00:00:00"/>
    <s v="KL Cookies and Creme SW 1-24PK"/>
    <x v="31"/>
    <n v="3.192E-3"/>
    <n v="280"/>
    <x v="12"/>
    <x v="19"/>
    <n v="1"/>
    <n v="5880"/>
    <n v="18.76896"/>
    <n v="21"/>
    <s v="Jan"/>
    <x v="3"/>
    <m/>
    <m/>
  </r>
  <r>
    <n v="68867744"/>
    <x v="1"/>
    <n v="6120"/>
    <d v="2026-01-20T00:00:00"/>
    <s v="Talenti LY Vanilla Fudge Cookie 8 303.3g"/>
    <x v="9"/>
    <n v="3.552E-3"/>
    <n v="255"/>
    <x v="2"/>
    <x v="3"/>
    <n v="1"/>
    <n v="6120"/>
    <n v="21.738240000000001"/>
    <n v="24"/>
    <s v="Jan"/>
    <x v="3"/>
    <m/>
    <m/>
  </r>
  <r>
    <n v="64958128"/>
    <x v="1"/>
    <n v="6439"/>
    <d v="2026-01-20T00:00:00"/>
    <s v="Yasso Mint Chocolate Chip 8-4pk"/>
    <x v="11"/>
    <n v="3.3119999999999998E-3"/>
    <n v="165"/>
    <x v="4"/>
    <x v="5"/>
    <n v="1"/>
    <n v="6439"/>
    <n v="21.325968"/>
    <n v="39.024242424242424"/>
    <s v="Jan"/>
    <x v="3"/>
    <m/>
    <m/>
  </r>
  <r>
    <n v="68851107"/>
    <x v="1"/>
    <n v="6575"/>
    <d v="2026-01-20T00:00:00"/>
    <s v="BR NAT Vanilla 6-1.5QT"/>
    <x v="1"/>
    <n v="8.5199999999999998E-3"/>
    <n v="176"/>
    <x v="0"/>
    <x v="1"/>
    <n v="1"/>
    <n v="6575"/>
    <n v="56.018999999999998"/>
    <n v="37.357954545454547"/>
    <s v="Jan"/>
    <x v="3"/>
    <m/>
    <m/>
  </r>
  <r>
    <n v="68867744"/>
    <x v="1"/>
    <n v="7191"/>
    <d v="2026-01-20T00:00:00"/>
    <s v="Talenti LY Vanilla Fudge Cookie 8 303.3g"/>
    <x v="9"/>
    <n v="3.552E-3"/>
    <n v="255"/>
    <x v="2"/>
    <x v="3"/>
    <n v="1"/>
    <n v="7191"/>
    <n v="25.542432000000002"/>
    <n v="28.2"/>
    <s v="Jan"/>
    <x v="3"/>
    <m/>
    <m/>
  </r>
  <r>
    <n v="68930545"/>
    <x v="0"/>
    <n v="7345"/>
    <d v="2026-01-20T00:00:00"/>
    <s v="BR CS VAN CHOC Straw 6 1.5QT"/>
    <x v="6"/>
    <n v="8.5199999999999998E-3"/>
    <n v="176"/>
    <x v="0"/>
    <x v="0"/>
    <n v="1"/>
    <n v="7345"/>
    <n v="62.5794"/>
    <n v="41.732954545454547"/>
    <s v="Jan"/>
    <x v="3"/>
    <m/>
    <m/>
  </r>
  <r>
    <n v="68851107"/>
    <x v="1"/>
    <n v="7398"/>
    <d v="2026-01-20T00:00:00"/>
    <s v="BR NAT Vanilla 6-1.5QT"/>
    <x v="1"/>
    <n v="8.5199999999999998E-3"/>
    <n v="176"/>
    <x v="0"/>
    <x v="1"/>
    <n v="1"/>
    <n v="7398"/>
    <n v="63.03096"/>
    <n v="42.034090909090907"/>
    <s v="Jan"/>
    <x v="3"/>
    <m/>
    <m/>
  </r>
  <r>
    <n v="64958128"/>
    <x v="1"/>
    <n v="7590"/>
    <d v="2026-01-20T00:00:00"/>
    <s v="Yasso Mint Chocolate Chip 8-4pk"/>
    <x v="11"/>
    <n v="3.3119999999999998E-3"/>
    <n v="165"/>
    <x v="4"/>
    <x v="5"/>
    <n v="1"/>
    <n v="7590"/>
    <n v="25.138079999999999"/>
    <n v="46"/>
    <s v="Jan"/>
    <x v="3"/>
    <m/>
    <m/>
  </r>
  <r>
    <n v="68354586"/>
    <x v="1"/>
    <n v="7678"/>
    <d v="2026-01-20T00:00:00"/>
    <s v="BJ US-TOP-CHOCCARAMELCD-8 450ml"/>
    <x v="17"/>
    <n v="3.5999999999999999E-3"/>
    <n v="240"/>
    <x v="8"/>
    <x v="9"/>
    <n v="1"/>
    <n v="7678"/>
    <n v="27.640799999999999"/>
    <n v="31.991666666666667"/>
    <s v="Jan"/>
    <x v="3"/>
    <m/>
    <m/>
  </r>
  <r>
    <n v="68354586"/>
    <x v="1"/>
    <n v="8800"/>
    <d v="2026-01-20T00:00:00"/>
    <s v="BJ US-TOP-CHOCCARAMELCD-8 450ml"/>
    <x v="17"/>
    <n v="3.5999999999999999E-3"/>
    <n v="240"/>
    <x v="8"/>
    <x v="9"/>
    <n v="1"/>
    <n v="8800"/>
    <n v="31.68"/>
    <n v="36.666666666666664"/>
    <s v="Jan"/>
    <x v="3"/>
    <m/>
    <m/>
  </r>
  <r>
    <n v="64330611"/>
    <x v="1"/>
    <n v="9138"/>
    <d v="2026-01-20T00:00:00"/>
    <s v="MG Double Caramel Bar 8-3PK"/>
    <x v="26"/>
    <n v="2.16E-3"/>
    <n v="210"/>
    <x v="5"/>
    <x v="6"/>
    <n v="1"/>
    <n v="9138"/>
    <n v="19.73808"/>
    <n v="43.514285714285712"/>
    <s v="Jan"/>
    <x v="3"/>
    <m/>
    <m/>
  </r>
  <r>
    <n v="64330611"/>
    <x v="1"/>
    <n v="9658"/>
    <d v="2026-01-20T00:00:00"/>
    <s v="MG Double Caramel Bar 8-3PK"/>
    <x v="26"/>
    <n v="2.16E-3"/>
    <n v="210"/>
    <x v="5"/>
    <x v="6"/>
    <n v="1"/>
    <n v="9658"/>
    <n v="20.861280000000001"/>
    <n v="45.990476190476187"/>
    <s v="Jan"/>
    <x v="3"/>
    <m/>
    <m/>
  </r>
  <r>
    <n v="65431089"/>
    <x v="1"/>
    <n v="16744"/>
    <d v="2026-01-20T00:00:00"/>
    <s v="Talenti Passionfruit Sorbetto 8-1PT"/>
    <x v="8"/>
    <n v="3.7839999999999996E-3"/>
    <n v="255"/>
    <x v="2"/>
    <x v="3"/>
    <n v="1"/>
    <n v="16744"/>
    <n v="63.359295999999993"/>
    <n v="65.66274509803921"/>
    <s v="Jan"/>
    <x v="3"/>
    <m/>
    <m/>
  </r>
  <r>
    <n v="84137725"/>
    <x v="3"/>
    <n v="17671"/>
    <d v="2026-01-20T00:00:00"/>
    <s v="BJ US-IC-CherryGarcia-FTNG-8 1PT"/>
    <x v="25"/>
    <n v="3.7853439999999999E-3"/>
    <n v="240"/>
    <x v="3"/>
    <x v="13"/>
    <n v="1"/>
    <n v="17671"/>
    <n v="66.890813824000006"/>
    <n v="73.629166666666663"/>
    <s v="Jan"/>
    <x v="3"/>
    <m/>
    <m/>
  </r>
  <r>
    <n v="84141094"/>
    <x v="3"/>
    <n v="22367"/>
    <d v="2026-01-20T00:00:00"/>
    <s v="BJ US-IC AmericoneDream-FTNG-8 1PT"/>
    <x v="10"/>
    <n v="3.7839999999999996E-3"/>
    <n v="240"/>
    <x v="3"/>
    <x v="13"/>
    <n v="1"/>
    <n v="22367"/>
    <n v="84.636727999999991"/>
    <n v="93.19583333333334"/>
    <s v="Jan"/>
    <x v="3"/>
    <m/>
    <m/>
  </r>
  <r>
    <n v="84144598"/>
    <x v="3"/>
    <n v="44114"/>
    <d v="2026-01-20T00:00:00"/>
    <s v="BJ US-IC-VanillaCaramelFdg-FTNG-8 1PT"/>
    <x v="24"/>
    <n v="3.7853439999999999E-3"/>
    <n v="240"/>
    <x v="3"/>
    <x v="13"/>
    <n v="1"/>
    <n v="44114"/>
    <n v="166.98666521600001"/>
    <n v="183.80833333333334"/>
    <s v="Jan"/>
    <x v="3"/>
    <m/>
    <m/>
  </r>
  <r>
    <n v="84144598"/>
    <x v="3"/>
    <n v="-15840"/>
    <d v="2026-01-21T00:00:00"/>
    <s v="BJ US-IC-VanillaCaramelFdg-FTNG-8 1PT"/>
    <x v="24"/>
    <n v="3.7853439999999999E-3"/>
    <n v="240"/>
    <x v="3"/>
    <x v="13"/>
    <n v="1"/>
    <n v="-15840"/>
    <n v="-59.959848960000002"/>
    <n v="-66"/>
    <s v="Jan"/>
    <x v="3"/>
    <m/>
    <m/>
  </r>
  <r>
    <n v="68817801"/>
    <x v="1"/>
    <n v="-528"/>
    <d v="2026-01-21T00:00:00"/>
    <s v="BR XCRMY Chocolate 6 1.5QT"/>
    <x v="5"/>
    <n v="8.5199999999999998E-3"/>
    <n v="176"/>
    <x v="0"/>
    <x v="1"/>
    <n v="1"/>
    <n v="-528"/>
    <n v="-4.4985599999999994"/>
    <n v="-3"/>
    <s v="Jan"/>
    <x v="3"/>
    <m/>
    <m/>
  </r>
  <r>
    <n v="68862496"/>
    <x v="1"/>
    <n v="-300"/>
    <d v="2026-01-21T00:00:00"/>
    <s v="Talenti Alphonso Mango SORB (DF) 8 1PT"/>
    <x v="8"/>
    <n v="3.7839999999999996E-3"/>
    <n v="255"/>
    <x v="2"/>
    <x v="3"/>
    <n v="1"/>
    <n v="-300"/>
    <n v="-1.1352"/>
    <n v="-1.1764705882352942"/>
    <s v="Jan"/>
    <x v="3"/>
    <m/>
    <m/>
  </r>
  <r>
    <n v="69999268"/>
    <x v="1"/>
    <n v="-164"/>
    <d v="2026-01-21T00:00:00"/>
    <s v="BJ US-IC-ChurrayForChurros-8 1PT"/>
    <x v="22"/>
    <n v="3.7839999999999996E-3"/>
    <n v="240"/>
    <x v="3"/>
    <x v="12"/>
    <n v="1"/>
    <n v="-164"/>
    <n v="-0.62057599999999991"/>
    <n v="-0.68333333333333335"/>
    <s v="Jan"/>
    <x v="3"/>
    <m/>
    <m/>
  </r>
  <r>
    <n v="69989759"/>
    <x v="1"/>
    <n v="-128"/>
    <d v="2026-01-21T00:00:00"/>
    <s v="MG Mini Almond 6-6PK"/>
    <x v="23"/>
    <n v="1.98E-3"/>
    <n v="176"/>
    <x v="5"/>
    <x v="6"/>
    <n v="1"/>
    <n v="-128"/>
    <n v="-0.25344"/>
    <n v="-0.72727272727272729"/>
    <s v="Jan"/>
    <x v="3"/>
    <m/>
    <m/>
  </r>
  <r>
    <n v="69568828"/>
    <x v="1"/>
    <n v="-110"/>
    <d v="2026-01-21T00:00:00"/>
    <s v="BR CS Vanilla 6 1.5QT"/>
    <x v="3"/>
    <n v="8.5199999999999998E-3"/>
    <n v="176"/>
    <x v="0"/>
    <x v="1"/>
    <n v="1"/>
    <n v="-110"/>
    <n v="-0.93720000000000003"/>
    <n v="-0.625"/>
    <s v="Jan"/>
    <x v="3"/>
    <m/>
    <m/>
  </r>
  <r>
    <n v="68354588"/>
    <x v="1"/>
    <n v="-26"/>
    <d v="2026-01-21T00:00:00"/>
    <s v="BJ US-TOP-SLTDCRMLBRWNIE-8 450ml"/>
    <x v="17"/>
    <n v="3.5999999999999999E-3"/>
    <n v="240"/>
    <x v="8"/>
    <x v="9"/>
    <n v="1"/>
    <n v="-26"/>
    <n v="-9.3600000000000003E-2"/>
    <n v="-0.10833333333333334"/>
    <s v="Jan"/>
    <x v="3"/>
    <m/>
    <m/>
  </r>
  <r>
    <n v="68860059"/>
    <x v="1"/>
    <n v="-20"/>
    <d v="2026-01-21T00:00:00"/>
    <s v="Talenti Pacific Coast Pistachio 8 1PT"/>
    <x v="8"/>
    <n v="3.7839999999999996E-3"/>
    <n v="255"/>
    <x v="2"/>
    <x v="3"/>
    <n v="1"/>
    <n v="-20"/>
    <n v="-7.5679999999999997E-2"/>
    <n v="-7.8431372549019607E-2"/>
    <s v="Jan"/>
    <x v="3"/>
    <m/>
    <m/>
  </r>
  <r>
    <n v="68741742"/>
    <x v="1"/>
    <n v="-11"/>
    <d v="2026-01-21T00:00:00"/>
    <s v="GH Strawberry Shortcake Bar 8-6PK"/>
    <x v="19"/>
    <n v="4.2560000000000002E-3"/>
    <n v="154"/>
    <x v="7"/>
    <x v="10"/>
    <n v="1"/>
    <n v="-11"/>
    <n v="-4.6816000000000003E-2"/>
    <n v="-7.1428571428571425E-2"/>
    <s v="Jan"/>
    <x v="3"/>
    <m/>
    <m/>
  </r>
  <r>
    <n v="68851107"/>
    <x v="1"/>
    <n v="-4"/>
    <d v="2026-01-21T00:00:00"/>
    <s v="BR NAT Vanilla 6-1.5QT"/>
    <x v="1"/>
    <n v="8.5199999999999998E-3"/>
    <n v="176"/>
    <x v="0"/>
    <x v="1"/>
    <n v="1"/>
    <n v="-4"/>
    <n v="-3.4079999999999999E-2"/>
    <n v="-2.2727272727272728E-2"/>
    <s v="Jan"/>
    <x v="3"/>
    <m/>
    <m/>
  </r>
  <r>
    <n v="68710285"/>
    <x v="0"/>
    <n v="24"/>
    <d v="2026-01-21T00:00:00"/>
    <s v="KL Krunch Bar 12-6PK"/>
    <x v="20"/>
    <n v="9.5760000000000012E-3"/>
    <n v="132"/>
    <x v="1"/>
    <x v="2"/>
    <n v="1"/>
    <n v="24"/>
    <n v="0.22982400000000003"/>
    <n v="0.18181818181818182"/>
    <s v="Jan"/>
    <x v="3"/>
    <m/>
    <m/>
  </r>
  <r>
    <n v="68817793"/>
    <x v="0"/>
    <n v="176"/>
    <d v="2026-01-21T00:00:00"/>
    <s v="BR Mint CHOC Chip 6 1.5QT"/>
    <x v="7"/>
    <n v="8.5199999999999998E-3"/>
    <n v="176"/>
    <x v="0"/>
    <x v="0"/>
    <n v="1"/>
    <n v="176"/>
    <n v="1.49952"/>
    <n v="1"/>
    <s v="Jan"/>
    <x v="3"/>
    <m/>
    <m/>
  </r>
  <r>
    <n v="84144598"/>
    <x v="1"/>
    <n v="202"/>
    <d v="2026-01-21T00:00:00"/>
    <s v="BJ US-IC-VanillaCaramelFdg-FTNG-8 1PT"/>
    <x v="22"/>
    <n v="3.7853439999999999E-3"/>
    <n v="240"/>
    <x v="3"/>
    <x v="12"/>
    <n v="1"/>
    <n v="202"/>
    <n v="0.76463948800000003"/>
    <n v="0.84166666666666667"/>
    <s v="Jan"/>
    <x v="3"/>
    <m/>
    <m/>
  </r>
  <r>
    <n v="69629468"/>
    <x v="1"/>
    <n v="279"/>
    <d v="2026-01-21T00:00:00"/>
    <s v="PS Fudgesicle NSA 6-18PK"/>
    <x v="14"/>
    <n v="5.2680000000000001E-3"/>
    <n v="130"/>
    <x v="6"/>
    <x v="7"/>
    <n v="1"/>
    <n v="279"/>
    <n v="1.4697720000000001"/>
    <n v="2.1461538461538461"/>
    <s v="Jan"/>
    <x v="3"/>
    <m/>
    <m/>
  </r>
  <r>
    <n v="68851107"/>
    <x v="1"/>
    <n v="412"/>
    <d v="2026-01-21T00:00:00"/>
    <s v="BR NAT Vanilla 6-1.5QT"/>
    <x v="1"/>
    <n v="8.5199999999999998E-3"/>
    <n v="176"/>
    <x v="0"/>
    <x v="1"/>
    <n v="1"/>
    <n v="412"/>
    <n v="3.51024"/>
    <n v="2.3409090909090908"/>
    <s v="Jan"/>
    <x v="3"/>
    <m/>
    <m/>
  </r>
  <r>
    <n v="64874633"/>
    <x v="4"/>
    <n v="560"/>
    <d v="2026-01-21T00:00:00"/>
    <s v="KL Cookies and Creme SW 1-24PK"/>
    <x v="31"/>
    <n v="3.192E-3"/>
    <n v="280"/>
    <x v="12"/>
    <x v="19"/>
    <n v="1"/>
    <n v="560"/>
    <n v="1.78752"/>
    <n v="2"/>
    <s v="Jan"/>
    <x v="3"/>
    <m/>
    <m/>
  </r>
  <r>
    <n v="84141418"/>
    <x v="3"/>
    <n v="625"/>
    <d v="2026-01-21T00:00:00"/>
    <s v="BJ US-IC-Strawberry-FTNG-1 2.4G"/>
    <x v="24"/>
    <n v="9.0848256361922702E-3"/>
    <n v="125"/>
    <x v="13"/>
    <x v="20"/>
    <n v="1"/>
    <n v="625"/>
    <n v="5.6780160226201692"/>
    <n v="5"/>
    <s v="Jan"/>
    <x v="3"/>
    <m/>
    <m/>
  </r>
  <r>
    <n v="69629468"/>
    <x v="1"/>
    <n v="743"/>
    <d v="2026-01-21T00:00:00"/>
    <s v="PS Fudgesicle NSA 6-18PK"/>
    <x v="14"/>
    <n v="5.2680000000000001E-3"/>
    <n v="130"/>
    <x v="6"/>
    <x v="7"/>
    <n v="1"/>
    <n v="743"/>
    <n v="3.9141240000000002"/>
    <n v="5.7153846153846155"/>
    <s v="Jan"/>
    <x v="3"/>
    <m/>
    <m/>
  </r>
  <r>
    <n v="68851104"/>
    <x v="0"/>
    <n v="880"/>
    <d v="2026-01-21T00:00:00"/>
    <s v="BR Chocolate 6-1.5QT"/>
    <x v="0"/>
    <n v="8.5199999999999998E-3"/>
    <n v="176"/>
    <x v="0"/>
    <x v="0"/>
    <n v="1"/>
    <n v="880"/>
    <n v="7.4976000000000003"/>
    <n v="5"/>
    <s v="Jan"/>
    <x v="3"/>
    <m/>
    <m/>
  </r>
  <r>
    <n v="69991925"/>
    <x v="1"/>
    <n v="1050"/>
    <d v="2026-01-21T00:00:00"/>
    <s v="MG Almond Duet 8-3PK"/>
    <x v="26"/>
    <n v="2.0400000000000001E-3"/>
    <n v="210"/>
    <x v="5"/>
    <x v="6"/>
    <n v="1"/>
    <n v="1050"/>
    <n v="2.1420000000000003"/>
    <n v="5"/>
    <s v="Jan"/>
    <x v="3"/>
    <m/>
    <m/>
  </r>
  <r>
    <n v="68852591"/>
    <x v="1"/>
    <n v="1204"/>
    <d v="2026-01-21T00:00:00"/>
    <s v="KL Heath Bar 12-6PK"/>
    <x v="21"/>
    <n v="8.5199999999999998E-3"/>
    <n v="132"/>
    <x v="1"/>
    <x v="11"/>
    <n v="1"/>
    <n v="1204"/>
    <n v="10.25808"/>
    <n v="9.1212121212121211"/>
    <s v="Jan"/>
    <x v="3"/>
    <m/>
    <m/>
  </r>
  <r>
    <n v="68741742"/>
    <x v="1"/>
    <n v="1232"/>
    <d v="2026-01-21T00:00:00"/>
    <s v="GH Strawberry Shortcake Bar 8-6PK"/>
    <x v="19"/>
    <n v="4.2560000000000002E-3"/>
    <n v="154"/>
    <x v="7"/>
    <x v="10"/>
    <n v="1"/>
    <n v="1232"/>
    <n v="5.2433920000000001"/>
    <n v="8"/>
    <s v="Jan"/>
    <x v="3"/>
    <m/>
    <m/>
  </r>
  <r>
    <n v="69717803"/>
    <x v="1"/>
    <n v="1295"/>
    <d v="2026-01-21T00:00:00"/>
    <s v="BR Carbsmart Almond Bar 8-6PK"/>
    <x v="13"/>
    <n v="4.2560000000000002E-3"/>
    <n v="143"/>
    <x v="5"/>
    <x v="6"/>
    <n v="1"/>
    <n v="1295"/>
    <n v="5.51152"/>
    <n v="9.0559440559440567"/>
    <s v="Jan"/>
    <x v="3"/>
    <m/>
    <m/>
  </r>
  <r>
    <n v="64341106"/>
    <x v="1"/>
    <n v="1409"/>
    <d v="2026-01-21T00:00:00"/>
    <s v="PS Jolly Rancher Pop 6-18PK"/>
    <x v="16"/>
    <n v="5.2680000000000001E-3"/>
    <n v="130"/>
    <x v="6"/>
    <x v="7"/>
    <n v="1"/>
    <n v="1409"/>
    <n v="7.422612"/>
    <n v="10.838461538461539"/>
    <s v="Jan"/>
    <x v="3"/>
    <m/>
    <m/>
  </r>
  <r>
    <n v="68741742"/>
    <x v="0"/>
    <n v="1537"/>
    <d v="2026-01-21T00:00:00"/>
    <s v="GH Strawberry Shortcake Bar 8-6PK"/>
    <x v="15"/>
    <n v="4.2560000000000002E-3"/>
    <n v="154"/>
    <x v="7"/>
    <x v="8"/>
    <n v="1"/>
    <n v="1537"/>
    <n v="6.5414720000000006"/>
    <n v="9.9805194805194812"/>
    <s v="Jan"/>
    <x v="3"/>
    <m/>
    <m/>
  </r>
  <r>
    <n v="64341106"/>
    <x v="1"/>
    <n v="1574"/>
    <d v="2026-01-21T00:00:00"/>
    <s v="PS Jolly Rancher Pop 6-18PK"/>
    <x v="16"/>
    <n v="5.2680000000000001E-3"/>
    <n v="130"/>
    <x v="6"/>
    <x v="7"/>
    <n v="1"/>
    <n v="1574"/>
    <n v="8.2918319999999994"/>
    <n v="12.107692307692307"/>
    <s v="Jan"/>
    <x v="3"/>
    <m/>
    <m/>
  </r>
  <r>
    <n v="69629468"/>
    <x v="0"/>
    <n v="1690"/>
    <d v="2026-01-21T00:00:00"/>
    <s v="PS Fudgesicle NSA 6-18PK"/>
    <x v="28"/>
    <n v="5.2680000000000001E-3"/>
    <n v="130"/>
    <x v="6"/>
    <x v="15"/>
    <n v="1"/>
    <n v="1690"/>
    <n v="8.9029199999999999"/>
    <n v="13"/>
    <s v="Jan"/>
    <x v="3"/>
    <m/>
    <m/>
  </r>
  <r>
    <n v="68689251"/>
    <x v="0"/>
    <n v="1753"/>
    <d v="2026-01-21T00:00:00"/>
    <s v="KL Original Vanilla Bar 12-6PK"/>
    <x v="4"/>
    <n v="9.5760000000000012E-3"/>
    <n v="132"/>
    <x v="1"/>
    <x v="2"/>
    <n v="1"/>
    <n v="1753"/>
    <n v="16.786728000000004"/>
    <n v="13.280303030303031"/>
    <s v="Jan"/>
    <x v="3"/>
    <m/>
    <m/>
  </r>
  <r>
    <n v="64874633"/>
    <x v="4"/>
    <n v="1949"/>
    <d v="2026-01-21T00:00:00"/>
    <s v="KL Cookies and Creme SW 1-24PK"/>
    <x v="31"/>
    <n v="3.192E-3"/>
    <n v="280"/>
    <x v="12"/>
    <x v="19"/>
    <n v="1"/>
    <n v="1949"/>
    <n v="6.2212079999999998"/>
    <n v="6.9607142857142854"/>
    <s v="Jan"/>
    <x v="3"/>
    <m/>
    <m/>
  </r>
  <r>
    <n v="84144598"/>
    <x v="1"/>
    <n v="2229"/>
    <d v="2026-01-21T00:00:00"/>
    <s v="BJ US-IC-VanillaCaramelFdg-FTNG-8 1PT"/>
    <x v="22"/>
    <n v="3.7853439999999999E-3"/>
    <n v="240"/>
    <x v="3"/>
    <x v="12"/>
    <n v="1"/>
    <n v="2229"/>
    <n v="8.4375317760000001"/>
    <n v="9.2874999999999996"/>
    <s v="Jan"/>
    <x v="3"/>
    <m/>
    <m/>
  </r>
  <r>
    <n v="68300738"/>
    <x v="0"/>
    <n v="2244"/>
    <d v="2026-01-21T00:00:00"/>
    <s v="KL REESES BAR 12-6 PK"/>
    <x v="2"/>
    <n v="8.4960000000000001E-3"/>
    <n v="132"/>
    <x v="1"/>
    <x v="2"/>
    <n v="1"/>
    <n v="2244"/>
    <n v="19.065024000000001"/>
    <n v="17"/>
    <s v="Jan"/>
    <x v="3"/>
    <m/>
    <m/>
  </r>
  <r>
    <n v="69725082"/>
    <x v="0"/>
    <n v="2340"/>
    <d v="2026-01-21T00:00:00"/>
    <s v="PS OCG 6-18PK"/>
    <x v="32"/>
    <n v="5.2680000000000001E-3"/>
    <n v="130"/>
    <x v="6"/>
    <x v="15"/>
    <n v="1"/>
    <n v="2340"/>
    <n v="12.327120000000001"/>
    <n v="18"/>
    <s v="Jan"/>
    <x v="3"/>
    <m/>
    <m/>
  </r>
  <r>
    <n v="64330611"/>
    <x v="1"/>
    <n v="2457"/>
    <d v="2026-01-21T00:00:00"/>
    <s v="MG Double Caramel Bar 8-3PK"/>
    <x v="26"/>
    <n v="2.16E-3"/>
    <n v="210"/>
    <x v="5"/>
    <x v="6"/>
    <n v="1"/>
    <n v="2457"/>
    <n v="5.3071200000000003"/>
    <n v="11.7"/>
    <s v="Jan"/>
    <x v="3"/>
    <m/>
    <m/>
  </r>
  <r>
    <n v="64958128"/>
    <x v="1"/>
    <n v="2640"/>
    <d v="2026-01-21T00:00:00"/>
    <s v="Yasso Mint Chocolate Chip 8-4pk"/>
    <x v="11"/>
    <n v="3.3119999999999998E-3"/>
    <n v="165"/>
    <x v="4"/>
    <x v="5"/>
    <n v="1"/>
    <n v="2640"/>
    <n v="8.7436799999999995"/>
    <n v="16"/>
    <s v="Jan"/>
    <x v="3"/>
    <m/>
    <m/>
  </r>
  <r>
    <n v="64789261"/>
    <x v="0"/>
    <n v="2700"/>
    <d v="2026-01-21T00:00:00"/>
    <s v="GH CHOC Eclair 1-24PK OOH"/>
    <x v="18"/>
    <n v="2.8319999999999999E-3"/>
    <n v="225"/>
    <x v="7"/>
    <x v="8"/>
    <n v="1"/>
    <n v="2700"/>
    <n v="7.6463999999999999"/>
    <n v="12"/>
    <s v="Jan"/>
    <x v="3"/>
    <m/>
    <m/>
  </r>
  <r>
    <n v="68817793"/>
    <x v="0"/>
    <n v="2816"/>
    <d v="2026-01-21T00:00:00"/>
    <s v="BR Mint CHOC Chip 6 1.5QT"/>
    <x v="7"/>
    <n v="8.5199999999999998E-3"/>
    <n v="176"/>
    <x v="0"/>
    <x v="0"/>
    <n v="1"/>
    <n v="2816"/>
    <n v="23.992319999999999"/>
    <n v="16"/>
    <s v="Jan"/>
    <x v="3"/>
    <m/>
    <m/>
  </r>
  <r>
    <n v="68710285"/>
    <x v="0"/>
    <n v="2904"/>
    <d v="2026-01-21T00:00:00"/>
    <s v="KL Krunch Bar 12-6PK"/>
    <x v="20"/>
    <n v="9.5760000000000012E-3"/>
    <n v="132"/>
    <x v="1"/>
    <x v="2"/>
    <n v="1"/>
    <n v="2904"/>
    <n v="27.808704000000002"/>
    <n v="22"/>
    <s v="Jan"/>
    <x v="3"/>
    <m/>
    <m/>
  </r>
  <r>
    <n v="69725082"/>
    <x v="0"/>
    <n v="3064"/>
    <d v="2026-01-21T00:00:00"/>
    <s v="PS OCG 6-18PK"/>
    <x v="32"/>
    <n v="5.2680000000000001E-3"/>
    <n v="130"/>
    <x v="6"/>
    <x v="15"/>
    <n v="1"/>
    <n v="3064"/>
    <n v="16.141152000000002"/>
    <n v="23.569230769230771"/>
    <s v="Jan"/>
    <x v="3"/>
    <m/>
    <m/>
  </r>
  <r>
    <n v="68741742"/>
    <x v="1"/>
    <n v="3129"/>
    <d v="2026-01-21T00:00:00"/>
    <s v="GH Strawberry Shortcake Bar 8-6PK"/>
    <x v="19"/>
    <n v="4.2560000000000002E-3"/>
    <n v="154"/>
    <x v="7"/>
    <x v="10"/>
    <n v="1"/>
    <n v="3129"/>
    <n v="13.317024"/>
    <n v="20.318181818181817"/>
    <s v="Jan"/>
    <x v="3"/>
    <m/>
    <m/>
  </r>
  <r>
    <n v="84135795"/>
    <x v="3"/>
    <n v="3250"/>
    <d v="2026-01-21T00:00:00"/>
    <s v="BJ US-IC-Vanilla-FTNG-1 2.4G"/>
    <x v="24"/>
    <n v="9.0848256361922702E-3"/>
    <n v="125"/>
    <x v="13"/>
    <x v="20"/>
    <n v="1"/>
    <n v="3250"/>
    <n v="29.525683317624878"/>
    <n v="26"/>
    <s v="Jan"/>
    <x v="3"/>
    <m/>
    <m/>
  </r>
  <r>
    <n v="68741742"/>
    <x v="0"/>
    <n v="3369"/>
    <d v="2026-01-21T00:00:00"/>
    <s v="GH Strawberry Shortcake Bar 8-6PK"/>
    <x v="15"/>
    <n v="4.2560000000000002E-3"/>
    <n v="154"/>
    <x v="7"/>
    <x v="8"/>
    <n v="1"/>
    <n v="3369"/>
    <n v="14.338464"/>
    <n v="21.876623376623378"/>
    <s v="Jan"/>
    <x v="3"/>
    <m/>
    <m/>
  </r>
  <r>
    <n v="69988931"/>
    <x v="1"/>
    <n v="3519"/>
    <d v="2026-01-21T00:00:00"/>
    <s v="MG Mini Classic/Almond/White VP 6-6PK"/>
    <x v="23"/>
    <n v="1.98E-3"/>
    <n v="176"/>
    <x v="5"/>
    <x v="6"/>
    <n v="1"/>
    <n v="3519"/>
    <n v="6.9676200000000001"/>
    <n v="19.994318181818183"/>
    <s v="Jan"/>
    <x v="3"/>
    <m/>
    <m/>
  </r>
  <r>
    <n v="68867744"/>
    <x v="1"/>
    <n v="3570"/>
    <d v="2026-01-21T00:00:00"/>
    <s v="Talenti LY Vanilla Fudge Cookie 8 303.3g"/>
    <x v="9"/>
    <n v="3.552E-3"/>
    <n v="255"/>
    <x v="2"/>
    <x v="3"/>
    <n v="1"/>
    <n v="3570"/>
    <n v="12.68064"/>
    <n v="14"/>
    <s v="Jan"/>
    <x v="3"/>
    <m/>
    <m/>
  </r>
  <r>
    <n v="68850683"/>
    <x v="0"/>
    <n v="3608"/>
    <d v="2026-01-21T00:00:00"/>
    <s v="BR Homemade Vanilla 6-1.5QT"/>
    <x v="6"/>
    <n v="8.5199999999999998E-3"/>
    <n v="176"/>
    <x v="0"/>
    <x v="0"/>
    <n v="1"/>
    <n v="3608"/>
    <n v="30.740159999999999"/>
    <n v="20.5"/>
    <s v="Jan"/>
    <x v="3"/>
    <m/>
    <m/>
  </r>
  <r>
    <n v="69629468"/>
    <x v="0"/>
    <n v="3936"/>
    <d v="2026-01-21T00:00:00"/>
    <s v="PS Fudgesicle NSA 6-18PK"/>
    <x v="28"/>
    <n v="5.2680000000000001E-3"/>
    <n v="130"/>
    <x v="6"/>
    <x v="15"/>
    <n v="1"/>
    <n v="3936"/>
    <n v="20.734848"/>
    <n v="30.276923076923076"/>
    <s v="Jan"/>
    <x v="3"/>
    <m/>
    <m/>
  </r>
  <r>
    <n v="68930545"/>
    <x v="0"/>
    <n v="3973"/>
    <d v="2026-01-21T00:00:00"/>
    <s v="BR CS VAN CHOC Straw 6 1.5QT"/>
    <x v="6"/>
    <n v="8.5199999999999998E-3"/>
    <n v="176"/>
    <x v="0"/>
    <x v="0"/>
    <n v="1"/>
    <n v="3973"/>
    <n v="33.849959999999996"/>
    <n v="22.573863636363637"/>
    <s v="Jan"/>
    <x v="3"/>
    <m/>
    <m/>
  </r>
  <r>
    <n v="64341968"/>
    <x v="0"/>
    <n v="4223"/>
    <d v="2026-01-21T00:00:00"/>
    <s v="BR CO-B SNICKERS 6 1.5QT"/>
    <x v="12"/>
    <n v="8.5199999999999998E-3"/>
    <n v="176"/>
    <x v="0"/>
    <x v="0"/>
    <n v="1"/>
    <n v="4223"/>
    <n v="35.979959999999998"/>
    <n v="23.994318181818183"/>
    <s v="Jan"/>
    <x v="3"/>
    <m/>
    <m/>
  </r>
  <r>
    <n v="68817793"/>
    <x v="0"/>
    <n v="4270"/>
    <d v="2026-01-21T00:00:00"/>
    <s v="BR Mint CHOC Chip 6 1.5QT"/>
    <x v="7"/>
    <n v="8.5199999999999998E-3"/>
    <n v="176"/>
    <x v="0"/>
    <x v="0"/>
    <n v="1"/>
    <n v="4270"/>
    <n v="36.380400000000002"/>
    <n v="24.261363636363637"/>
    <s v="Jan"/>
    <x v="3"/>
    <m/>
    <m/>
  </r>
  <r>
    <n v="68300738"/>
    <x v="0"/>
    <n v="4274"/>
    <d v="2026-01-21T00:00:00"/>
    <s v="KL REESES BAR 12-6 PK"/>
    <x v="2"/>
    <n v="8.4960000000000001E-3"/>
    <n v="132"/>
    <x v="1"/>
    <x v="2"/>
    <n v="1"/>
    <n v="4274"/>
    <n v="36.311903999999998"/>
    <n v="32.378787878787875"/>
    <s v="Jan"/>
    <x v="3"/>
    <m/>
    <m/>
  </r>
  <r>
    <n v="68817796"/>
    <x v="0"/>
    <n v="4333"/>
    <d v="2026-01-21T00:00:00"/>
    <s v="BR XCRMY Vanilla 6 1.5QT"/>
    <x v="0"/>
    <n v="8.513999999999999E-3"/>
    <n v="176"/>
    <x v="0"/>
    <x v="0"/>
    <n v="1"/>
    <n v="4333"/>
    <n v="36.891161999999994"/>
    <n v="24.619318181818183"/>
    <s v="Jan"/>
    <x v="3"/>
    <m/>
    <m/>
  </r>
  <r>
    <n v="68689251"/>
    <x v="0"/>
    <n v="4385"/>
    <d v="2026-01-21T00:00:00"/>
    <s v="KL Original Vanilla Bar 12-6PK"/>
    <x v="4"/>
    <n v="9.5760000000000012E-3"/>
    <n v="132"/>
    <x v="1"/>
    <x v="2"/>
    <n v="1"/>
    <n v="4385"/>
    <n v="41.990760000000002"/>
    <n v="33.219696969696969"/>
    <s v="Jan"/>
    <x v="3"/>
    <m/>
    <m/>
  </r>
  <r>
    <n v="68710285"/>
    <x v="0"/>
    <n v="4399"/>
    <d v="2026-01-21T00:00:00"/>
    <s v="KL Krunch Bar 12-6PK"/>
    <x v="20"/>
    <n v="9.5760000000000012E-3"/>
    <n v="132"/>
    <x v="1"/>
    <x v="2"/>
    <n v="1"/>
    <n v="4399"/>
    <n v="42.124824000000004"/>
    <n v="33.325757575757578"/>
    <s v="Jan"/>
    <x v="3"/>
    <m/>
    <m/>
  </r>
  <r>
    <n v="64789261"/>
    <x v="0"/>
    <n v="4466"/>
    <d v="2026-01-21T00:00:00"/>
    <s v="GH CHOC Eclair 1-24PK OOH"/>
    <x v="18"/>
    <n v="2.8319999999999999E-3"/>
    <n v="225"/>
    <x v="7"/>
    <x v="8"/>
    <n v="1"/>
    <n v="4466"/>
    <n v="12.647712"/>
    <n v="19.84888888888889"/>
    <s v="Jan"/>
    <x v="3"/>
    <m/>
    <m/>
  </r>
  <r>
    <n v="69988931"/>
    <x v="1"/>
    <n v="4845"/>
    <d v="2026-01-21T00:00:00"/>
    <s v="MG Mini Classic/Almond/White VP 6-6PK"/>
    <x v="23"/>
    <n v="1.98E-3"/>
    <n v="176"/>
    <x v="5"/>
    <x v="6"/>
    <n v="1"/>
    <n v="4845"/>
    <n v="9.5930999999999997"/>
    <n v="27.52840909090909"/>
    <s v="Jan"/>
    <x v="3"/>
    <m/>
    <m/>
  </r>
  <r>
    <n v="69717803"/>
    <x v="1"/>
    <n v="4862"/>
    <d v="2026-01-21T00:00:00"/>
    <s v="BR Carbsmart Almond Bar 8-6PK"/>
    <x v="13"/>
    <n v="4.2560000000000002E-3"/>
    <n v="143"/>
    <x v="5"/>
    <x v="6"/>
    <n v="1"/>
    <n v="4862"/>
    <n v="20.692672000000002"/>
    <n v="34"/>
    <s v="Jan"/>
    <x v="3"/>
    <m/>
    <m/>
  </r>
  <r>
    <n v="84144598"/>
    <x v="1"/>
    <n v="5921"/>
    <d v="2026-01-21T00:00:00"/>
    <s v="BJ US-IC-VanillaCaramelFdg-FTNG-8 1PT"/>
    <x v="22"/>
    <n v="3.7853439999999999E-3"/>
    <n v="240"/>
    <x v="3"/>
    <x v="12"/>
    <n v="1"/>
    <n v="5921"/>
    <n v="22.413021824000001"/>
    <n v="24.670833333333334"/>
    <s v="Jan"/>
    <x v="3"/>
    <m/>
    <m/>
  </r>
  <r>
    <n v="68821735"/>
    <x v="1"/>
    <n v="5945"/>
    <d v="2026-01-21T00:00:00"/>
    <s v="BR Lactose Free Vanilla 6 1.5QT"/>
    <x v="5"/>
    <n v="8.5199999999999998E-3"/>
    <n v="176"/>
    <x v="0"/>
    <x v="1"/>
    <n v="1"/>
    <n v="5945"/>
    <n v="50.651399999999995"/>
    <n v="33.778409090909093"/>
    <s v="Jan"/>
    <x v="3"/>
    <m/>
    <m/>
  </r>
  <r>
    <n v="68850683"/>
    <x v="0"/>
    <n v="6096"/>
    <d v="2026-01-21T00:00:00"/>
    <s v="BR Homemade Vanilla 6-1.5QT"/>
    <x v="6"/>
    <n v="8.5199999999999998E-3"/>
    <n v="176"/>
    <x v="0"/>
    <x v="0"/>
    <n v="1"/>
    <n v="6096"/>
    <n v="51.937919999999998"/>
    <n v="34.636363636363633"/>
    <s v="Jan"/>
    <x v="3"/>
    <m/>
    <m/>
  </r>
  <r>
    <n v="64988055"/>
    <x v="1"/>
    <n v="6336"/>
    <d v="2026-01-21T00:00:00"/>
    <s v="BR CO-B NY Style Cheesecake 6 1.5QT"/>
    <x v="3"/>
    <n v="8.513999999999999E-3"/>
    <n v="176"/>
    <x v="0"/>
    <x v="1"/>
    <n v="1"/>
    <n v="6336"/>
    <n v="53.944703999999994"/>
    <n v="36"/>
    <s v="Jan"/>
    <x v="3"/>
    <m/>
    <m/>
  </r>
  <r>
    <n v="64988055"/>
    <x v="1"/>
    <n v="6336"/>
    <d v="2026-01-21T00:00:00"/>
    <s v="BR CO-B NY Style Cheesecake 6 1.5QT"/>
    <x v="3"/>
    <n v="8.513999999999999E-3"/>
    <n v="176"/>
    <x v="0"/>
    <x v="1"/>
    <n v="1"/>
    <n v="6336"/>
    <n v="53.944703999999994"/>
    <n v="36"/>
    <s v="Jan"/>
    <x v="3"/>
    <m/>
    <m/>
  </r>
  <r>
    <n v="68821735"/>
    <x v="1"/>
    <n v="6336"/>
    <d v="2026-01-21T00:00:00"/>
    <s v="BR Lactose Free Vanilla 6 1.5QT"/>
    <x v="5"/>
    <n v="8.5199999999999998E-3"/>
    <n v="176"/>
    <x v="0"/>
    <x v="1"/>
    <n v="1"/>
    <n v="6336"/>
    <n v="53.98272"/>
    <n v="36"/>
    <s v="Jan"/>
    <x v="3"/>
    <m/>
    <m/>
  </r>
  <r>
    <n v="64341968"/>
    <x v="0"/>
    <n v="6963"/>
    <d v="2026-01-21T00:00:00"/>
    <s v="BR CO-B SNICKERS 6 1.5QT"/>
    <x v="12"/>
    <n v="8.5199999999999998E-3"/>
    <n v="176"/>
    <x v="0"/>
    <x v="0"/>
    <n v="1"/>
    <n v="6963"/>
    <n v="59.324759999999998"/>
    <n v="39.5625"/>
    <s v="Jan"/>
    <x v="3"/>
    <m/>
    <m/>
  </r>
  <r>
    <n v="68930545"/>
    <x v="0"/>
    <n v="7035"/>
    <d v="2026-01-21T00:00:00"/>
    <s v="BR CS VAN CHOC Straw 6 1.5QT"/>
    <x v="6"/>
    <n v="8.5199999999999998E-3"/>
    <n v="176"/>
    <x v="0"/>
    <x v="0"/>
    <n v="1"/>
    <n v="7035"/>
    <n v="59.938200000000002"/>
    <n v="39.971590909090907"/>
    <s v="Jan"/>
    <x v="3"/>
    <m/>
    <m/>
  </r>
  <r>
    <n v="68867744"/>
    <x v="1"/>
    <n v="7200"/>
    <d v="2026-01-21T00:00:00"/>
    <s v="Talenti LY Vanilla Fudge Cookie 8 303.3g"/>
    <x v="9"/>
    <n v="3.552E-3"/>
    <n v="255"/>
    <x v="2"/>
    <x v="3"/>
    <n v="1"/>
    <n v="7200"/>
    <n v="25.574400000000001"/>
    <n v="28.235294117647058"/>
    <s v="Jan"/>
    <x v="3"/>
    <m/>
    <m/>
  </r>
  <r>
    <n v="68821734"/>
    <x v="1"/>
    <n v="7216"/>
    <d v="2026-01-21T00:00:00"/>
    <s v="BR Vanilla Chocolate 6 1.5QT"/>
    <x v="1"/>
    <n v="8.5199999999999998E-3"/>
    <n v="176"/>
    <x v="0"/>
    <x v="1"/>
    <n v="1"/>
    <n v="7216"/>
    <n v="61.480319999999999"/>
    <n v="41"/>
    <s v="Jan"/>
    <x v="3"/>
    <m/>
    <m/>
  </r>
  <r>
    <n v="69999266"/>
    <x v="3"/>
    <n v="7680"/>
    <d v="2026-01-21T00:00:00"/>
    <s v="BJ US -IC-LightsCaramelAction-8 1PT"/>
    <x v="24"/>
    <n v="3.7839999999999996E-3"/>
    <n v="240"/>
    <x v="3"/>
    <x v="13"/>
    <n v="1"/>
    <n v="7680"/>
    <n v="29.061119999999995"/>
    <n v="32"/>
    <s v="Jan"/>
    <x v="3"/>
    <m/>
    <m/>
  </r>
  <r>
    <n v="68354586"/>
    <x v="1"/>
    <n v="8059"/>
    <d v="2026-01-21T00:00:00"/>
    <s v="BJ US-TOP-CHOCCARAMELCD-8 450ml"/>
    <x v="17"/>
    <n v="3.5999999999999999E-3"/>
    <n v="240"/>
    <x v="8"/>
    <x v="9"/>
    <n v="1"/>
    <n v="8059"/>
    <n v="29.0124"/>
    <n v="33.579166666666666"/>
    <s v="Jan"/>
    <x v="3"/>
    <m/>
    <m/>
  </r>
  <r>
    <n v="64958128"/>
    <x v="1"/>
    <n v="8085"/>
    <d v="2026-01-21T00:00:00"/>
    <s v="Yasso Mint Chocolate Chip 8-4pk"/>
    <x v="11"/>
    <n v="3.3119999999999998E-3"/>
    <n v="165"/>
    <x v="4"/>
    <x v="5"/>
    <n v="1"/>
    <n v="8085"/>
    <n v="26.777519999999999"/>
    <n v="49"/>
    <s v="Jan"/>
    <x v="3"/>
    <m/>
    <m/>
  </r>
  <r>
    <n v="68817796"/>
    <x v="0"/>
    <n v="9147"/>
    <d v="2026-01-21T00:00:00"/>
    <s v="BR XCRMY Vanilla 6 1.5QT"/>
    <x v="0"/>
    <n v="8.513999999999999E-3"/>
    <n v="176"/>
    <x v="0"/>
    <x v="0"/>
    <n v="1"/>
    <n v="9147"/>
    <n v="77.877557999999993"/>
    <n v="51.971590909090907"/>
    <s v="Jan"/>
    <x v="3"/>
    <m/>
    <m/>
  </r>
  <r>
    <n v="68851107"/>
    <x v="1"/>
    <n v="9761"/>
    <d v="2026-01-21T00:00:00"/>
    <s v="BR NAT Vanilla 6-1.5QT"/>
    <x v="1"/>
    <n v="8.5199999999999998E-3"/>
    <n v="176"/>
    <x v="0"/>
    <x v="1"/>
    <n v="1"/>
    <n v="9761"/>
    <n v="83.163719999999998"/>
    <n v="55.460227272727273"/>
    <s v="Jan"/>
    <x v="3"/>
    <m/>
    <m/>
  </r>
  <r>
    <n v="68354586"/>
    <x v="1"/>
    <n v="10183"/>
    <d v="2026-01-21T00:00:00"/>
    <s v="BJ US-TOP-CHOCCARAMELCD-8 450ml"/>
    <x v="17"/>
    <n v="3.5999999999999999E-3"/>
    <n v="240"/>
    <x v="8"/>
    <x v="9"/>
    <n v="1"/>
    <n v="10183"/>
    <n v="36.658799999999999"/>
    <n v="42.429166666666667"/>
    <s v="Jan"/>
    <x v="3"/>
    <m/>
    <m/>
  </r>
  <r>
    <n v="68850683"/>
    <x v="0"/>
    <n v="13234"/>
    <d v="2026-01-21T00:00:00"/>
    <s v="BR Homemade Vanilla 6-1.5QT"/>
    <x v="6"/>
    <n v="8.5199999999999998E-3"/>
    <n v="176"/>
    <x v="0"/>
    <x v="0"/>
    <n v="1"/>
    <n v="13234"/>
    <n v="112.75368"/>
    <n v="75.193181818181813"/>
    <s v="Jan"/>
    <x v="3"/>
    <m/>
    <m/>
  </r>
  <r>
    <n v="68850683"/>
    <x v="0"/>
    <n v="14468"/>
    <d v="2026-01-21T00:00:00"/>
    <s v="BR Homemade Vanilla 6-1.5QT"/>
    <x v="6"/>
    <n v="8.5199999999999998E-3"/>
    <n v="176"/>
    <x v="0"/>
    <x v="0"/>
    <n v="1"/>
    <n v="14468"/>
    <n v="123.26736"/>
    <n v="82.204545454545453"/>
    <s v="Jan"/>
    <x v="3"/>
    <m/>
    <m/>
  </r>
  <r>
    <n v="68850683"/>
    <x v="0"/>
    <n v="14726"/>
    <d v="2026-01-21T00:00:00"/>
    <s v="BR Homemade Vanilla 6-1.5QT"/>
    <x v="6"/>
    <n v="8.5199999999999998E-3"/>
    <n v="176"/>
    <x v="0"/>
    <x v="0"/>
    <n v="1"/>
    <n v="14726"/>
    <n v="125.46552"/>
    <n v="83.670454545454547"/>
    <s v="Jan"/>
    <x v="3"/>
    <m/>
    <m/>
  </r>
  <r>
    <n v="68850683"/>
    <x v="0"/>
    <n v="15051"/>
    <d v="2026-01-21T00:00:00"/>
    <s v="BR Homemade Vanilla 6-1.5QT"/>
    <x v="6"/>
    <n v="8.5199999999999998E-3"/>
    <n v="176"/>
    <x v="0"/>
    <x v="0"/>
    <n v="1"/>
    <n v="15051"/>
    <n v="128.23452"/>
    <n v="85.517045454545453"/>
    <s v="Jan"/>
    <x v="3"/>
    <m/>
    <m/>
  </r>
  <r>
    <n v="68850683"/>
    <x v="0"/>
    <n v="15732"/>
    <d v="2026-01-21T00:00:00"/>
    <s v="BR Homemade Vanilla 6-1.5QT"/>
    <x v="6"/>
    <n v="8.5199999999999998E-3"/>
    <n v="176"/>
    <x v="0"/>
    <x v="0"/>
    <n v="1"/>
    <n v="15732"/>
    <n v="134.03664000000001"/>
    <n v="89.38636363636364"/>
    <s v="Jan"/>
    <x v="3"/>
    <m/>
    <m/>
  </r>
  <r>
    <n v="84135718"/>
    <x v="3"/>
    <n v="15966"/>
    <d v="2026-01-21T00:00:00"/>
    <s v="BJ US-IC-ChocChpCookDgh-FTNG-8 1PT"/>
    <x v="25"/>
    <n v="3.7853439999999999E-3"/>
    <n v="240"/>
    <x v="3"/>
    <x v="13"/>
    <n v="1"/>
    <n v="15966"/>
    <n v="60.436802303999997"/>
    <n v="66.525000000000006"/>
    <s v="Jan"/>
    <x v="3"/>
    <m/>
    <m/>
  </r>
  <r>
    <n v="65431089"/>
    <x v="1"/>
    <n v="16920"/>
    <d v="2026-01-21T00:00:00"/>
    <s v="Talenti Passionfruit Sorbetto 8-1PT"/>
    <x v="8"/>
    <n v="3.7839999999999996E-3"/>
    <n v="255"/>
    <x v="2"/>
    <x v="3"/>
    <n v="1"/>
    <n v="16920"/>
    <n v="64.025279999999995"/>
    <n v="66.352941176470594"/>
    <s v="Jan"/>
    <x v="3"/>
    <m/>
    <m/>
  </r>
  <r>
    <n v="65431089"/>
    <x v="1"/>
    <n v="16957"/>
    <d v="2026-01-21T00:00:00"/>
    <s v="Talenti Passionfruit Sorbetto 8-1PT"/>
    <x v="8"/>
    <n v="3.7839999999999996E-3"/>
    <n v="255"/>
    <x v="2"/>
    <x v="3"/>
    <n v="1"/>
    <n v="16957"/>
    <n v="64.16528799999999"/>
    <n v="66.498039215686276"/>
    <s v="Jan"/>
    <x v="3"/>
    <m/>
    <m/>
  </r>
  <r>
    <n v="84137725"/>
    <x v="2"/>
    <n v="18240"/>
    <d v="2026-01-21T00:00:00"/>
    <s v="BJ US-IC-CherryGarcia-FTNG-8 1PT"/>
    <x v="10"/>
    <n v="3.7853439999999999E-3"/>
    <n v="240"/>
    <x v="3"/>
    <x v="4"/>
    <n v="1"/>
    <n v="18240"/>
    <n v="69.044674560000004"/>
    <n v="76"/>
    <s v="Jan"/>
    <x v="3"/>
    <m/>
    <m/>
  </r>
  <r>
    <n v="84141094"/>
    <x v="3"/>
    <n v="38400"/>
    <d v="2026-01-21T00:00:00"/>
    <s v="BJ US-IC AmericoneDream-FTNG-8 1PT"/>
    <x v="10"/>
    <n v="3.7839999999999996E-3"/>
    <n v="240"/>
    <x v="3"/>
    <x v="13"/>
    <n v="1"/>
    <n v="38400"/>
    <n v="145.3056"/>
    <n v="160"/>
    <s v="Jan"/>
    <x v="3"/>
    <m/>
    <m/>
  </r>
  <r>
    <n v="84144598"/>
    <x v="3"/>
    <n v="-5280"/>
    <d v="2026-01-22T00:00:00"/>
    <s v="BJ US-IC-VanillaCaramelFdg-FTNG-8 1PT"/>
    <x v="24"/>
    <n v="3.7853439999999999E-3"/>
    <n v="240"/>
    <x v="3"/>
    <x v="13"/>
    <n v="1"/>
    <n v="-5280"/>
    <n v="-19.98661632"/>
    <n v="-22"/>
    <s v="Jan"/>
    <x v="3"/>
    <m/>
    <m/>
  </r>
  <r>
    <n v="84144598"/>
    <x v="3"/>
    <n v="-4080"/>
    <d v="2026-01-22T00:00:00"/>
    <s v="BJ US-IC-VanillaCaramelFdg-FTNG-8 1PT"/>
    <x v="24"/>
    <n v="3.7853439999999999E-3"/>
    <n v="240"/>
    <x v="3"/>
    <x v="13"/>
    <n v="1"/>
    <n v="-4080"/>
    <n v="-15.44420352"/>
    <n v="-17"/>
    <s v="Jan"/>
    <x v="3"/>
    <m/>
    <m/>
  </r>
  <r>
    <n v="68821735"/>
    <x v="1"/>
    <n v="66"/>
    <d v="2026-01-22T00:00:00"/>
    <s v="BR Lactose Free Vanilla 6 1.5QT"/>
    <x v="5"/>
    <n v="8.5199999999999998E-3"/>
    <n v="176"/>
    <x v="0"/>
    <x v="1"/>
    <n v="1"/>
    <n v="66"/>
    <n v="0.56231999999999993"/>
    <n v="0.375"/>
    <s v="Jan"/>
    <x v="3"/>
    <m/>
    <m/>
  </r>
  <r>
    <n v="68817796"/>
    <x v="0"/>
    <n v="72"/>
    <d v="2026-01-22T00:00:00"/>
    <s v="BR XCRMY Vanilla 6 1.5QT"/>
    <x v="0"/>
    <n v="8.513999999999999E-3"/>
    <n v="176"/>
    <x v="0"/>
    <x v="0"/>
    <n v="1"/>
    <n v="72"/>
    <n v="0.61300799999999989"/>
    <n v="0.40909090909090912"/>
    <s v="Jan"/>
    <x v="3"/>
    <m/>
    <m/>
  </r>
  <r>
    <n v="69629468"/>
    <x v="1"/>
    <n v="93"/>
    <d v="2026-01-22T00:00:00"/>
    <s v="PS Fudgesicle NSA 6-18PK"/>
    <x v="14"/>
    <n v="5.2680000000000001E-3"/>
    <n v="130"/>
    <x v="6"/>
    <x v="7"/>
    <n v="1"/>
    <n v="93"/>
    <n v="0.48992400000000003"/>
    <n v="0.7153846153846154"/>
    <s v="Jan"/>
    <x v="3"/>
    <m/>
    <m/>
  </r>
  <r>
    <n v="68741742"/>
    <x v="1"/>
    <n v="98"/>
    <d v="2026-01-22T00:00:00"/>
    <s v="GH Strawberry Shortcake Bar 8-6PK"/>
    <x v="19"/>
    <n v="4.2560000000000002E-3"/>
    <n v="154"/>
    <x v="7"/>
    <x v="10"/>
    <n v="1"/>
    <n v="98"/>
    <n v="0.41708800000000001"/>
    <n v="0.63636363636363635"/>
    <s v="Jan"/>
    <x v="3"/>
    <m/>
    <m/>
  </r>
  <r>
    <n v="68354586"/>
    <x v="1"/>
    <n v="164"/>
    <d v="2026-01-22T00:00:00"/>
    <s v="BJ US-TOP-CHOCCARAMELCD-8 450ml"/>
    <x v="17"/>
    <n v="3.5999999999999999E-3"/>
    <n v="240"/>
    <x v="8"/>
    <x v="9"/>
    <n v="1"/>
    <n v="164"/>
    <n v="0.59040000000000004"/>
    <n v="0.68333333333333335"/>
    <s v="Jan"/>
    <x v="3"/>
    <m/>
    <m/>
  </r>
  <r>
    <n v="64330611"/>
    <x v="1"/>
    <n v="210"/>
    <d v="2026-01-22T00:00:00"/>
    <s v="MG Double Caramel Bar 8-3PK"/>
    <x v="26"/>
    <n v="2.16E-3"/>
    <n v="210"/>
    <x v="5"/>
    <x v="6"/>
    <n v="1"/>
    <n v="210"/>
    <n v="0.4536"/>
    <n v="1"/>
    <s v="Jan"/>
    <x v="3"/>
    <m/>
    <m/>
  </r>
  <r>
    <n v="64874633"/>
    <x v="4"/>
    <n v="280"/>
    <d v="2026-01-22T00:00:00"/>
    <s v="KL Cookies and Creme SW 1-24PK"/>
    <x v="31"/>
    <n v="3.192E-3"/>
    <n v="280"/>
    <x v="12"/>
    <x v="19"/>
    <n v="1"/>
    <n v="280"/>
    <n v="0.89376"/>
    <n v="1"/>
    <s v="Jan"/>
    <x v="3"/>
    <m/>
    <m/>
  </r>
  <r>
    <n v="68741742"/>
    <x v="1"/>
    <n v="895"/>
    <d v="2026-01-22T00:00:00"/>
    <s v="GH Strawberry Shortcake Bar 8-6PK"/>
    <x v="19"/>
    <n v="4.2560000000000002E-3"/>
    <n v="154"/>
    <x v="7"/>
    <x v="10"/>
    <n v="1"/>
    <n v="895"/>
    <n v="3.8091200000000001"/>
    <n v="5.8116883116883118"/>
    <s v="Jan"/>
    <x v="3"/>
    <m/>
    <m/>
  </r>
  <r>
    <n v="64341106"/>
    <x v="1"/>
    <n v="1160"/>
    <d v="2026-01-22T00:00:00"/>
    <s v="PS Jolly Rancher Pop 6-18PK"/>
    <x v="16"/>
    <n v="5.2680000000000001E-3"/>
    <n v="130"/>
    <x v="6"/>
    <x v="7"/>
    <n v="1"/>
    <n v="1160"/>
    <n v="6.1108799999999999"/>
    <n v="8.9230769230769234"/>
    <s v="Jan"/>
    <x v="3"/>
    <m/>
    <m/>
  </r>
  <r>
    <n v="69629468"/>
    <x v="1"/>
    <n v="1170"/>
    <d v="2026-01-22T00:00:00"/>
    <s v="PS Fudgesicle NSA 6-18PK"/>
    <x v="14"/>
    <n v="5.2680000000000001E-3"/>
    <n v="130"/>
    <x v="6"/>
    <x v="7"/>
    <n v="1"/>
    <n v="1170"/>
    <n v="6.1635600000000004"/>
    <n v="9"/>
    <s v="Jan"/>
    <x v="3"/>
    <m/>
    <m/>
  </r>
  <r>
    <n v="68741742"/>
    <x v="0"/>
    <n v="1540"/>
    <d v="2026-01-22T00:00:00"/>
    <s v="GH Strawberry Shortcake Bar 8-6PK"/>
    <x v="15"/>
    <n v="4.2560000000000002E-3"/>
    <n v="154"/>
    <x v="7"/>
    <x v="8"/>
    <n v="1"/>
    <n v="1540"/>
    <n v="6.5542400000000001"/>
    <n v="10"/>
    <s v="Jan"/>
    <x v="3"/>
    <m/>
    <m/>
  </r>
  <r>
    <n v="68852591"/>
    <x v="1"/>
    <n v="1572"/>
    <d v="2026-01-22T00:00:00"/>
    <s v="KL Heath Bar 12-6PK"/>
    <x v="21"/>
    <n v="8.5199999999999998E-3"/>
    <n v="132"/>
    <x v="1"/>
    <x v="11"/>
    <n v="1"/>
    <n v="1572"/>
    <n v="13.39344"/>
    <n v="11.909090909090908"/>
    <s v="Jan"/>
    <x v="3"/>
    <m/>
    <m/>
  </r>
  <r>
    <n v="64341106"/>
    <x v="1"/>
    <n v="1721"/>
    <d v="2026-01-22T00:00:00"/>
    <s v="PS Jolly Rancher Pop 6-18PK"/>
    <x v="16"/>
    <n v="5.2680000000000001E-3"/>
    <n v="130"/>
    <x v="6"/>
    <x v="7"/>
    <n v="1"/>
    <n v="1721"/>
    <n v="9.0662280000000006"/>
    <n v="13.238461538461538"/>
    <s v="Jan"/>
    <x v="3"/>
    <m/>
    <m/>
  </r>
  <r>
    <n v="69717803"/>
    <x v="1"/>
    <n v="1775"/>
    <d v="2026-01-22T00:00:00"/>
    <s v="BR Carbsmart Almond Bar 8-6PK"/>
    <x v="13"/>
    <n v="4.2560000000000002E-3"/>
    <n v="143"/>
    <x v="5"/>
    <x v="6"/>
    <n v="1"/>
    <n v="1775"/>
    <n v="7.5544000000000002"/>
    <n v="12.412587412587413"/>
    <s v="Jan"/>
    <x v="3"/>
    <m/>
    <m/>
  </r>
  <r>
    <n v="68852591"/>
    <x v="1"/>
    <n v="1848"/>
    <d v="2026-01-22T00:00:00"/>
    <s v="KL Heath Bar 12-6PK"/>
    <x v="21"/>
    <n v="8.5199999999999998E-3"/>
    <n v="132"/>
    <x v="1"/>
    <x v="11"/>
    <n v="1"/>
    <n v="1848"/>
    <n v="15.744959999999999"/>
    <n v="14"/>
    <s v="Jan"/>
    <x v="3"/>
    <m/>
    <m/>
  </r>
  <r>
    <n v="69629468"/>
    <x v="1"/>
    <n v="1898"/>
    <d v="2026-01-22T00:00:00"/>
    <s v="PS Fudgesicle NSA 6-18PK"/>
    <x v="14"/>
    <n v="5.2680000000000001E-3"/>
    <n v="130"/>
    <x v="6"/>
    <x v="7"/>
    <n v="1"/>
    <n v="1898"/>
    <n v="9.9986639999999998"/>
    <n v="14.6"/>
    <s v="Jan"/>
    <x v="3"/>
    <m/>
    <m/>
  </r>
  <r>
    <n v="65431090"/>
    <x v="1"/>
    <n v="2040"/>
    <d v="2026-01-22T00:00:00"/>
    <s v="Talenti Hazelnut Chocolate 8-1PT"/>
    <x v="9"/>
    <n v="3.7839999999999996E-3"/>
    <n v="255"/>
    <x v="2"/>
    <x v="3"/>
    <n v="1"/>
    <n v="2040"/>
    <n v="7.7193599999999991"/>
    <n v="8"/>
    <s v="Jan"/>
    <x v="3"/>
    <m/>
    <m/>
  </r>
  <r>
    <n v="69725082"/>
    <x v="0"/>
    <n v="2080"/>
    <d v="2026-01-22T00:00:00"/>
    <s v="PS OCG 6-18PK"/>
    <x v="32"/>
    <n v="5.2680000000000001E-3"/>
    <n v="130"/>
    <x v="6"/>
    <x v="15"/>
    <n v="1"/>
    <n v="2080"/>
    <n v="10.95744"/>
    <n v="16"/>
    <s v="Jan"/>
    <x v="3"/>
    <m/>
    <m/>
  </r>
  <r>
    <n v="68710285"/>
    <x v="0"/>
    <n v="2244"/>
    <d v="2026-01-22T00:00:00"/>
    <s v="KL Krunch Bar 12-6PK"/>
    <x v="20"/>
    <n v="9.5760000000000012E-3"/>
    <n v="132"/>
    <x v="1"/>
    <x v="2"/>
    <n v="1"/>
    <n v="2244"/>
    <n v="21.488544000000001"/>
    <n v="17"/>
    <s v="Jan"/>
    <x v="3"/>
    <m/>
    <m/>
  </r>
  <r>
    <n v="69629468"/>
    <x v="0"/>
    <n v="2340"/>
    <d v="2026-01-22T00:00:00"/>
    <s v="PS Fudgesicle NSA 6-18PK"/>
    <x v="28"/>
    <n v="5.2680000000000001E-3"/>
    <n v="130"/>
    <x v="6"/>
    <x v="15"/>
    <n v="1"/>
    <n v="2340"/>
    <n v="12.327120000000001"/>
    <n v="18"/>
    <s v="Jan"/>
    <x v="3"/>
    <m/>
    <m/>
  </r>
  <r>
    <n v="84141094"/>
    <x v="3"/>
    <n v="2400"/>
    <d v="2026-01-22T00:00:00"/>
    <s v="BJ US-IC AmericoneDream-FTNG-8 1PT"/>
    <x v="10"/>
    <n v="3.7839999999999996E-3"/>
    <n v="240"/>
    <x v="3"/>
    <x v="13"/>
    <n v="1"/>
    <n v="2400"/>
    <n v="9.0815999999999999"/>
    <n v="10"/>
    <s v="Jan"/>
    <x v="3"/>
    <m/>
    <m/>
  </r>
  <r>
    <n v="68689251"/>
    <x v="0"/>
    <n v="2686"/>
    <d v="2026-01-22T00:00:00"/>
    <s v="KL Original Vanilla Bar 12-6PK"/>
    <x v="4"/>
    <n v="9.5760000000000012E-3"/>
    <n v="132"/>
    <x v="1"/>
    <x v="2"/>
    <n v="1"/>
    <n v="2686"/>
    <n v="25.721136000000005"/>
    <n v="20.348484848484848"/>
    <s v="Jan"/>
    <x v="3"/>
    <m/>
    <m/>
  </r>
  <r>
    <n v="68741742"/>
    <x v="1"/>
    <n v="2772"/>
    <d v="2026-01-22T00:00:00"/>
    <s v="GH Strawberry Shortcake Bar 8-6PK"/>
    <x v="19"/>
    <n v="4.2560000000000002E-3"/>
    <n v="154"/>
    <x v="7"/>
    <x v="10"/>
    <n v="1"/>
    <n v="2772"/>
    <n v="11.797632"/>
    <n v="18"/>
    <s v="Jan"/>
    <x v="3"/>
    <m/>
    <m/>
  </r>
  <r>
    <n v="64341968"/>
    <x v="0"/>
    <n v="2924"/>
    <d v="2026-01-22T00:00:00"/>
    <s v="BR CO-B SNICKERS 6 1.5QT"/>
    <x v="12"/>
    <n v="8.5199999999999998E-3"/>
    <n v="176"/>
    <x v="0"/>
    <x v="0"/>
    <n v="1"/>
    <n v="2924"/>
    <n v="24.912479999999999"/>
    <n v="16.613636363636363"/>
    <s v="Jan"/>
    <x v="3"/>
    <m/>
    <m/>
  </r>
  <r>
    <n v="64789261"/>
    <x v="0"/>
    <n v="2925"/>
    <d v="2026-01-22T00:00:00"/>
    <s v="GH CHOC Eclair 1-24PK OOH"/>
    <x v="18"/>
    <n v="2.8319999999999999E-3"/>
    <n v="225"/>
    <x v="7"/>
    <x v="8"/>
    <n v="1"/>
    <n v="2925"/>
    <n v="8.2835999999999999"/>
    <n v="13"/>
    <s v="Jan"/>
    <x v="3"/>
    <m/>
    <m/>
  </r>
  <r>
    <n v="68300738"/>
    <x v="0"/>
    <n v="2941"/>
    <d v="2026-01-22T00:00:00"/>
    <s v="KL REESES BAR 12-6 PK"/>
    <x v="2"/>
    <n v="8.4960000000000001E-3"/>
    <n v="132"/>
    <x v="1"/>
    <x v="2"/>
    <n v="1"/>
    <n v="2941"/>
    <n v="24.986736000000001"/>
    <n v="22.280303030303031"/>
    <s v="Jan"/>
    <x v="3"/>
    <m/>
    <m/>
  </r>
  <r>
    <n v="68689251"/>
    <x v="0"/>
    <n v="3036"/>
    <d v="2026-01-22T00:00:00"/>
    <s v="KL Original Vanilla Bar 12-6PK"/>
    <x v="4"/>
    <n v="9.5760000000000012E-3"/>
    <n v="132"/>
    <x v="1"/>
    <x v="2"/>
    <n v="1"/>
    <n v="3036"/>
    <n v="29.072736000000003"/>
    <n v="23"/>
    <s v="Jan"/>
    <x v="3"/>
    <m/>
    <m/>
  </r>
  <r>
    <n v="69629468"/>
    <x v="0"/>
    <n v="3246"/>
    <d v="2026-01-22T00:00:00"/>
    <s v="PS Fudgesicle NSA 6-18PK"/>
    <x v="28"/>
    <n v="5.2680000000000001E-3"/>
    <n v="130"/>
    <x v="6"/>
    <x v="15"/>
    <n v="1"/>
    <n v="3246"/>
    <n v="17.099928000000002"/>
    <n v="24.969230769230769"/>
    <s v="Jan"/>
    <x v="3"/>
    <m/>
    <m/>
  </r>
  <r>
    <n v="84144598"/>
    <x v="1"/>
    <n v="3360"/>
    <d v="2026-01-22T00:00:00"/>
    <s v="BJ US-IC-VanillaCaramelFdg-FTNG-8 1PT"/>
    <x v="22"/>
    <n v="3.7853439999999999E-3"/>
    <n v="240"/>
    <x v="3"/>
    <x v="12"/>
    <n v="1"/>
    <n v="3360"/>
    <n v="12.71875584"/>
    <n v="14"/>
    <s v="Jan"/>
    <x v="3"/>
    <m/>
    <m/>
  </r>
  <r>
    <n v="84141418"/>
    <x v="3"/>
    <n v="3410"/>
    <d v="2026-01-22T00:00:00"/>
    <s v="BJ US-IC-Strawberry-FTNG-1 2.4G"/>
    <x v="24"/>
    <n v="9.0848256361922702E-3"/>
    <n v="125"/>
    <x v="13"/>
    <x v="20"/>
    <n v="1"/>
    <n v="3410"/>
    <n v="30.97925541941564"/>
    <n v="27.28"/>
    <s v="Jan"/>
    <x v="3"/>
    <m/>
    <m/>
  </r>
  <r>
    <n v="68741742"/>
    <x v="0"/>
    <n v="3638"/>
    <d v="2026-01-22T00:00:00"/>
    <s v="GH Strawberry Shortcake Bar 8-6PK"/>
    <x v="15"/>
    <n v="4.2560000000000002E-3"/>
    <n v="154"/>
    <x v="7"/>
    <x v="8"/>
    <n v="1"/>
    <n v="3638"/>
    <n v="15.483328"/>
    <n v="23.623376623376622"/>
    <s v="Jan"/>
    <x v="3"/>
    <m/>
    <m/>
  </r>
  <r>
    <n v="64988055"/>
    <x v="1"/>
    <n v="3696"/>
    <d v="2026-01-22T00:00:00"/>
    <s v="BR CO-B NY Style Cheesecake 6 1.5QT"/>
    <x v="3"/>
    <n v="8.513999999999999E-3"/>
    <n v="176"/>
    <x v="0"/>
    <x v="1"/>
    <n v="1"/>
    <n v="3696"/>
    <n v="31.467743999999996"/>
    <n v="21"/>
    <s v="Jan"/>
    <x v="3"/>
    <m/>
    <m/>
  </r>
  <r>
    <n v="69988931"/>
    <x v="1"/>
    <n v="3808"/>
    <d v="2026-01-22T00:00:00"/>
    <s v="MG Mini Classic/Almond/White VP 6-6PK"/>
    <x v="23"/>
    <n v="1.98E-3"/>
    <n v="176"/>
    <x v="5"/>
    <x v="6"/>
    <n v="1"/>
    <n v="3808"/>
    <n v="7.5398399999999999"/>
    <n v="21.636363636363637"/>
    <s v="Jan"/>
    <x v="3"/>
    <m/>
    <m/>
  </r>
  <r>
    <n v="69725082"/>
    <x v="0"/>
    <n v="3816"/>
    <d v="2026-01-22T00:00:00"/>
    <s v="PS OCG 6-18PK"/>
    <x v="32"/>
    <n v="5.2680000000000001E-3"/>
    <n v="130"/>
    <x v="6"/>
    <x v="15"/>
    <n v="1"/>
    <n v="3816"/>
    <n v="20.102688000000001"/>
    <n v="29.353846153846153"/>
    <s v="Jan"/>
    <x v="3"/>
    <m/>
    <m/>
  </r>
  <r>
    <n v="69717803"/>
    <x v="1"/>
    <n v="3822"/>
    <d v="2026-01-22T00:00:00"/>
    <s v="BR Carbsmart Almond Bar 8-6PK"/>
    <x v="13"/>
    <n v="4.2560000000000002E-3"/>
    <n v="143"/>
    <x v="5"/>
    <x v="6"/>
    <n v="1"/>
    <n v="3822"/>
    <n v="16.266432000000002"/>
    <n v="26.727272727272727"/>
    <s v="Jan"/>
    <x v="3"/>
    <m/>
    <m/>
  </r>
  <r>
    <n v="69997338"/>
    <x v="3"/>
    <n v="3859"/>
    <d v="2026-01-22T00:00:00"/>
    <s v="BJ US-IC-StrawberryChscke-FTNG-1 2.4G"/>
    <x v="24"/>
    <n v="9.0850000000000011E-3"/>
    <n v="125"/>
    <x v="13"/>
    <x v="20"/>
    <n v="1"/>
    <n v="3859"/>
    <n v="35.059015000000002"/>
    <n v="30.872"/>
    <s v="Jan"/>
    <x v="3"/>
    <m/>
    <m/>
  </r>
  <r>
    <n v="68817793"/>
    <x v="0"/>
    <n v="3869"/>
    <d v="2026-01-22T00:00:00"/>
    <s v="BR Mint CHOC Chip 6 1.5QT"/>
    <x v="7"/>
    <n v="8.5199999999999998E-3"/>
    <n v="176"/>
    <x v="0"/>
    <x v="0"/>
    <n v="1"/>
    <n v="3869"/>
    <n v="32.963879999999996"/>
    <n v="21.982954545454547"/>
    <s v="Jan"/>
    <x v="3"/>
    <m/>
    <m/>
  </r>
  <r>
    <n v="68930545"/>
    <x v="0"/>
    <n v="4004"/>
    <d v="2026-01-22T00:00:00"/>
    <s v="BR CS VAN CHOC Straw 6 1.5QT"/>
    <x v="6"/>
    <n v="8.5199999999999998E-3"/>
    <n v="176"/>
    <x v="0"/>
    <x v="0"/>
    <n v="1"/>
    <n v="4004"/>
    <n v="34.114080000000001"/>
    <n v="22.75"/>
    <s v="Jan"/>
    <x v="3"/>
    <m/>
    <m/>
  </r>
  <r>
    <n v="68821735"/>
    <x v="1"/>
    <n v="4004"/>
    <d v="2026-01-22T00:00:00"/>
    <s v="BR Lactose Free Vanilla 6 1.5QT"/>
    <x v="5"/>
    <n v="8.5199999999999998E-3"/>
    <n v="176"/>
    <x v="0"/>
    <x v="1"/>
    <n v="1"/>
    <n v="4004"/>
    <n v="34.114080000000001"/>
    <n v="22.75"/>
    <s v="Jan"/>
    <x v="3"/>
    <m/>
    <m/>
  </r>
  <r>
    <n v="69988931"/>
    <x v="1"/>
    <n v="4035"/>
    <d v="2026-01-22T00:00:00"/>
    <s v="MG Mini Classic/Almond/White VP 6-6PK"/>
    <x v="23"/>
    <n v="1.98E-3"/>
    <n v="176"/>
    <x v="5"/>
    <x v="6"/>
    <n v="1"/>
    <n v="4035"/>
    <n v="7.9893000000000001"/>
    <n v="22.926136363636363"/>
    <s v="Jan"/>
    <x v="3"/>
    <m/>
    <m/>
  </r>
  <r>
    <n v="64988055"/>
    <x v="1"/>
    <n v="4048"/>
    <d v="2026-01-22T00:00:00"/>
    <s v="BR CO-B NY Style Cheesecake 6 1.5QT"/>
    <x v="3"/>
    <n v="8.513999999999999E-3"/>
    <n v="176"/>
    <x v="0"/>
    <x v="1"/>
    <n v="1"/>
    <n v="4048"/>
    <n v="34.464671999999993"/>
    <n v="23"/>
    <s v="Jan"/>
    <x v="3"/>
    <m/>
    <m/>
  </r>
  <r>
    <n v="64341967"/>
    <x v="0"/>
    <n v="4379"/>
    <d v="2026-01-22T00:00:00"/>
    <s v="BR CHOC Peanut Butter 6 1.5QT"/>
    <x v="12"/>
    <n v="8.513999999999999E-3"/>
    <n v="176"/>
    <x v="0"/>
    <x v="0"/>
    <n v="1"/>
    <n v="4379"/>
    <n v="37.282805999999994"/>
    <n v="24.880681818181817"/>
    <s v="Jan"/>
    <x v="3"/>
    <m/>
    <m/>
  </r>
  <r>
    <n v="68817796"/>
    <x v="0"/>
    <n v="4400"/>
    <d v="2026-01-22T00:00:00"/>
    <s v="BR XCRMY Vanilla 6 1.5QT"/>
    <x v="0"/>
    <n v="8.513999999999999E-3"/>
    <n v="176"/>
    <x v="0"/>
    <x v="0"/>
    <n v="1"/>
    <n v="4400"/>
    <n v="37.461599999999997"/>
    <n v="25"/>
    <s v="Jan"/>
    <x v="3"/>
    <m/>
    <m/>
  </r>
  <r>
    <n v="64789261"/>
    <x v="0"/>
    <n v="4636"/>
    <d v="2026-01-22T00:00:00"/>
    <s v="GH CHOC Eclair 1-24PK OOH"/>
    <x v="18"/>
    <n v="2.8319999999999999E-3"/>
    <n v="225"/>
    <x v="7"/>
    <x v="8"/>
    <n v="1"/>
    <n v="4636"/>
    <n v="13.129151999999999"/>
    <n v="20.604444444444443"/>
    <s v="Jan"/>
    <x v="3"/>
    <m/>
    <m/>
  </r>
  <r>
    <n v="64341967"/>
    <x v="0"/>
    <n v="4721"/>
    <d v="2026-01-22T00:00:00"/>
    <s v="BR CHOC Peanut Butter 6 1.5QT"/>
    <x v="12"/>
    <n v="8.513999999999999E-3"/>
    <n v="176"/>
    <x v="0"/>
    <x v="0"/>
    <n v="1"/>
    <n v="4721"/>
    <n v="40.194593999999995"/>
    <n v="26.823863636363637"/>
    <s v="Jan"/>
    <x v="3"/>
    <m/>
    <m/>
  </r>
  <r>
    <n v="69991925"/>
    <x v="1"/>
    <n v="4830"/>
    <d v="2026-01-22T00:00:00"/>
    <s v="MG Almond Duet 8-3PK"/>
    <x v="26"/>
    <n v="2.0400000000000001E-3"/>
    <n v="210"/>
    <x v="5"/>
    <x v="6"/>
    <n v="1"/>
    <n v="4830"/>
    <n v="9.8532000000000011"/>
    <n v="23"/>
    <s v="Jan"/>
    <x v="3"/>
    <m/>
    <m/>
  </r>
  <r>
    <n v="64874633"/>
    <x v="4"/>
    <n v="5040"/>
    <d v="2026-01-22T00:00:00"/>
    <s v="KL Cookies and Creme SW 1-24PK"/>
    <x v="31"/>
    <n v="3.192E-3"/>
    <n v="280"/>
    <x v="12"/>
    <x v="19"/>
    <n v="1"/>
    <n v="5040"/>
    <n v="16.087679999999999"/>
    <n v="18"/>
    <s v="Jan"/>
    <x v="3"/>
    <m/>
    <m/>
  </r>
  <r>
    <n v="68710285"/>
    <x v="0"/>
    <n v="5072"/>
    <d v="2026-01-22T00:00:00"/>
    <s v="KL Krunch Bar 12-6PK"/>
    <x v="20"/>
    <n v="9.5760000000000012E-3"/>
    <n v="132"/>
    <x v="1"/>
    <x v="2"/>
    <n v="1"/>
    <n v="5072"/>
    <n v="48.569472000000005"/>
    <n v="38.424242424242422"/>
    <s v="Jan"/>
    <x v="3"/>
    <m/>
    <m/>
  </r>
  <r>
    <n v="64341967"/>
    <x v="0"/>
    <n v="5231"/>
    <d v="2026-01-22T00:00:00"/>
    <s v="BR CHOC Peanut Butter 6 1.5QT"/>
    <x v="12"/>
    <n v="8.513999999999999E-3"/>
    <n v="176"/>
    <x v="0"/>
    <x v="0"/>
    <n v="1"/>
    <n v="5231"/>
    <n v="44.536733999999996"/>
    <n v="29.72159090909091"/>
    <s v="Jan"/>
    <x v="3"/>
    <m/>
    <m/>
  </r>
  <r>
    <n v="64958128"/>
    <x v="1"/>
    <n v="5235"/>
    <d v="2026-01-22T00:00:00"/>
    <s v="Yasso Mint Chocolate Chip 8-4pk"/>
    <x v="11"/>
    <n v="3.3119999999999998E-3"/>
    <n v="165"/>
    <x v="4"/>
    <x v="5"/>
    <n v="1"/>
    <n v="5235"/>
    <n v="17.33832"/>
    <n v="31.727272727272727"/>
    <s v="Jan"/>
    <x v="3"/>
    <m/>
    <m/>
  </r>
  <r>
    <n v="69991925"/>
    <x v="1"/>
    <n v="5460"/>
    <d v="2026-01-22T00:00:00"/>
    <s v="MG Almond Duet 8-3PK"/>
    <x v="26"/>
    <n v="2.0400000000000001E-3"/>
    <n v="210"/>
    <x v="5"/>
    <x v="6"/>
    <n v="1"/>
    <n v="5460"/>
    <n v="11.138400000000001"/>
    <n v="26"/>
    <s v="Jan"/>
    <x v="3"/>
    <m/>
    <m/>
  </r>
  <r>
    <n v="84135718"/>
    <x v="3"/>
    <n v="5605"/>
    <d v="2026-01-22T00:00:00"/>
    <s v="BJ US-IC-ChocChpCookDgh-FTNG-8 1PT"/>
    <x v="25"/>
    <n v="3.7853439999999999E-3"/>
    <n v="240"/>
    <x v="3"/>
    <x v="13"/>
    <n v="1"/>
    <n v="5605"/>
    <n v="21.21685312"/>
    <n v="23.354166666666668"/>
    <s v="Jan"/>
    <x v="3"/>
    <m/>
    <m/>
  </r>
  <r>
    <n v="84164937"/>
    <x v="3"/>
    <n v="5694"/>
    <d v="2026-01-22T00:00:00"/>
    <s v="BJ US-IC-ChubbyHubby-8 1PT"/>
    <x v="30"/>
    <n v="3.7853439999999999E-3"/>
    <n v="240"/>
    <x v="3"/>
    <x v="13"/>
    <n v="1"/>
    <n v="5694"/>
    <n v="21.553748735999999"/>
    <n v="23.725000000000001"/>
    <s v="Jan"/>
    <x v="3"/>
    <m/>
    <m/>
  </r>
  <r>
    <n v="68354586"/>
    <x v="1"/>
    <n v="5981"/>
    <d v="2026-01-22T00:00:00"/>
    <s v="BJ US-TOP-CHOCCARAMELCD-8 450ml"/>
    <x v="17"/>
    <n v="3.5999999999999999E-3"/>
    <n v="240"/>
    <x v="8"/>
    <x v="9"/>
    <n v="1"/>
    <n v="5981"/>
    <n v="21.531600000000001"/>
    <n v="24.920833333333334"/>
    <s v="Jan"/>
    <x v="3"/>
    <m/>
    <m/>
  </r>
  <r>
    <n v="64958128"/>
    <x v="1"/>
    <n v="6037"/>
    <d v="2026-01-22T00:00:00"/>
    <s v="Yasso Mint Chocolate Chip 8-4pk"/>
    <x v="11"/>
    <n v="3.3119999999999998E-3"/>
    <n v="165"/>
    <x v="4"/>
    <x v="5"/>
    <n v="1"/>
    <n v="6037"/>
    <n v="19.994543999999998"/>
    <n v="36.587878787878786"/>
    <s v="Jan"/>
    <x v="3"/>
    <m/>
    <m/>
  </r>
  <r>
    <n v="84144598"/>
    <x v="1"/>
    <n v="6088"/>
    <d v="2026-01-22T00:00:00"/>
    <s v="BJ US-IC-VanillaCaramelFdg-FTNG-8 1PT"/>
    <x v="22"/>
    <n v="3.7853439999999999E-3"/>
    <n v="240"/>
    <x v="3"/>
    <x v="12"/>
    <n v="1"/>
    <n v="6088"/>
    <n v="23.045174272000001"/>
    <n v="25.366666666666667"/>
    <s v="Jan"/>
    <x v="3"/>
    <m/>
    <m/>
  </r>
  <r>
    <n v="68821735"/>
    <x v="1"/>
    <n v="6336"/>
    <d v="2026-01-22T00:00:00"/>
    <s v="BR Lactose Free Vanilla 6 1.5QT"/>
    <x v="5"/>
    <n v="8.5199999999999998E-3"/>
    <n v="176"/>
    <x v="0"/>
    <x v="1"/>
    <n v="1"/>
    <n v="6336"/>
    <n v="53.98272"/>
    <n v="36"/>
    <s v="Jan"/>
    <x v="3"/>
    <m/>
    <m/>
  </r>
  <r>
    <n v="68354586"/>
    <x v="1"/>
    <n v="6683"/>
    <d v="2026-01-22T00:00:00"/>
    <s v="BJ US-TOP-CHOCCARAMELCD-8 450ml"/>
    <x v="17"/>
    <n v="3.5999999999999999E-3"/>
    <n v="240"/>
    <x v="8"/>
    <x v="9"/>
    <n v="1"/>
    <n v="6683"/>
    <n v="24.058799999999998"/>
    <n v="27.845833333333335"/>
    <s v="Jan"/>
    <x v="3"/>
    <m/>
    <m/>
  </r>
  <r>
    <n v="65431090"/>
    <x v="1"/>
    <n v="6704"/>
    <d v="2026-01-22T00:00:00"/>
    <s v="Talenti Hazelnut Chocolate 8-1PT"/>
    <x v="9"/>
    <n v="3.7839999999999996E-3"/>
    <n v="255"/>
    <x v="2"/>
    <x v="3"/>
    <n v="1"/>
    <n v="6704"/>
    <n v="25.367935999999997"/>
    <n v="26.290196078431372"/>
    <s v="Jan"/>
    <x v="3"/>
    <m/>
    <m/>
  </r>
  <r>
    <n v="84137725"/>
    <x v="2"/>
    <n v="6960"/>
    <d v="2026-01-22T00:00:00"/>
    <s v="BJ US-IC-CherryGarcia-FTNG-8 1PT"/>
    <x v="10"/>
    <n v="3.7853439999999999E-3"/>
    <n v="240"/>
    <x v="3"/>
    <x v="4"/>
    <n v="1"/>
    <n v="6960"/>
    <n v="26.34599424"/>
    <n v="29"/>
    <s v="Jan"/>
    <x v="3"/>
    <m/>
    <m/>
  </r>
  <r>
    <n v="68817793"/>
    <x v="0"/>
    <n v="7703"/>
    <d v="2026-01-22T00:00:00"/>
    <s v="BR Mint CHOC Chip 6 1.5QT"/>
    <x v="7"/>
    <n v="8.5199999999999998E-3"/>
    <n v="176"/>
    <x v="0"/>
    <x v="0"/>
    <n v="1"/>
    <n v="7703"/>
    <n v="65.629559999999998"/>
    <n v="43.767045454545453"/>
    <s v="Jan"/>
    <x v="3"/>
    <m/>
    <m/>
  </r>
  <r>
    <n v="64341968"/>
    <x v="0"/>
    <n v="8475"/>
    <d v="2026-01-22T00:00:00"/>
    <s v="BR CO-B SNICKERS 6 1.5QT"/>
    <x v="12"/>
    <n v="8.5199999999999998E-3"/>
    <n v="176"/>
    <x v="0"/>
    <x v="0"/>
    <n v="1"/>
    <n v="8475"/>
    <n v="72.206999999999994"/>
    <n v="48.153409090909093"/>
    <s v="Jan"/>
    <x v="3"/>
    <m/>
    <m/>
  </r>
  <r>
    <n v="68821734"/>
    <x v="1"/>
    <n v="8800"/>
    <d v="2026-01-22T00:00:00"/>
    <s v="BR Vanilla Chocolate 6 1.5QT"/>
    <x v="1"/>
    <n v="8.5199999999999998E-3"/>
    <n v="176"/>
    <x v="0"/>
    <x v="1"/>
    <n v="1"/>
    <n v="8800"/>
    <n v="74.975999999999999"/>
    <n v="50"/>
    <s v="Jan"/>
    <x v="3"/>
    <m/>
    <m/>
  </r>
  <r>
    <n v="68821734"/>
    <x v="1"/>
    <n v="8972"/>
    <d v="2026-01-22T00:00:00"/>
    <s v="BR Vanilla Chocolate 6 1.5QT"/>
    <x v="1"/>
    <n v="8.5199999999999998E-3"/>
    <n v="176"/>
    <x v="0"/>
    <x v="1"/>
    <n v="1"/>
    <n v="8972"/>
    <n v="76.44144"/>
    <n v="50.977272727272727"/>
    <s v="Jan"/>
    <x v="3"/>
    <m/>
    <m/>
  </r>
  <r>
    <n v="68930545"/>
    <x v="0"/>
    <n v="8994"/>
    <d v="2026-01-22T00:00:00"/>
    <s v="BR CS VAN CHOC Straw 6 1.5QT"/>
    <x v="6"/>
    <n v="8.5199999999999998E-3"/>
    <n v="176"/>
    <x v="0"/>
    <x v="0"/>
    <n v="1"/>
    <n v="8994"/>
    <n v="76.628879999999995"/>
    <n v="51.102272727272727"/>
    <s v="Jan"/>
    <x v="3"/>
    <m/>
    <m/>
  </r>
  <r>
    <n v="68817796"/>
    <x v="0"/>
    <n v="10011"/>
    <d v="2026-01-22T00:00:00"/>
    <s v="BR XCRMY Vanilla 6 1.5QT"/>
    <x v="0"/>
    <n v="8.513999999999999E-3"/>
    <n v="176"/>
    <x v="0"/>
    <x v="0"/>
    <n v="1"/>
    <n v="10011"/>
    <n v="85.233653999999987"/>
    <n v="56.88068181818182"/>
    <s v="Jan"/>
    <x v="3"/>
    <m/>
    <m/>
  </r>
  <r>
    <n v="64341967"/>
    <x v="0"/>
    <n v="10088"/>
    <d v="2026-01-22T00:00:00"/>
    <s v="BR CHOC Peanut Butter 6 1.5QT"/>
    <x v="12"/>
    <n v="8.513999999999999E-3"/>
    <n v="176"/>
    <x v="0"/>
    <x v="0"/>
    <n v="1"/>
    <n v="10088"/>
    <n v="85.889231999999993"/>
    <n v="57.31818181818182"/>
    <s v="Jan"/>
    <x v="3"/>
    <m/>
    <m/>
  </r>
  <r>
    <n v="64341967"/>
    <x v="0"/>
    <n v="11069"/>
    <d v="2026-01-22T00:00:00"/>
    <s v="BR CHOC Peanut Butter 6 1.5QT"/>
    <x v="12"/>
    <n v="8.513999999999999E-3"/>
    <n v="176"/>
    <x v="0"/>
    <x v="0"/>
    <n v="1"/>
    <n v="11069"/>
    <n v="94.241465999999988"/>
    <n v="62.892045454545453"/>
    <s v="Jan"/>
    <x v="3"/>
    <m/>
    <m/>
  </r>
  <r>
    <n v="65431089"/>
    <x v="1"/>
    <n v="11225"/>
    <d v="2026-01-22T00:00:00"/>
    <s v="Talenti Passionfruit Sorbetto 8-1PT"/>
    <x v="8"/>
    <n v="3.7839999999999996E-3"/>
    <n v="255"/>
    <x v="2"/>
    <x v="3"/>
    <n v="1"/>
    <n v="11225"/>
    <n v="42.475399999999993"/>
    <n v="44.019607843137258"/>
    <s v="Jan"/>
    <x v="3"/>
    <m/>
    <m/>
  </r>
  <r>
    <n v="64341967"/>
    <x v="0"/>
    <n v="12082"/>
    <d v="2026-01-22T00:00:00"/>
    <s v="BR CHOC Peanut Butter 6 1.5QT"/>
    <x v="12"/>
    <n v="8.513999999999999E-3"/>
    <n v="176"/>
    <x v="0"/>
    <x v="0"/>
    <n v="1"/>
    <n v="12082"/>
    <n v="102.86614799999998"/>
    <n v="68.647727272727266"/>
    <s v="Jan"/>
    <x v="3"/>
    <m/>
    <m/>
  </r>
  <r>
    <n v="69999266"/>
    <x v="3"/>
    <n v="12861"/>
    <d v="2026-01-22T00:00:00"/>
    <s v="BJ US -IC-LightsCaramelAction-8 1PT"/>
    <x v="24"/>
    <n v="3.7839999999999996E-3"/>
    <n v="240"/>
    <x v="3"/>
    <x v="13"/>
    <n v="1"/>
    <n v="12861"/>
    <n v="48.666023999999993"/>
    <n v="53.587499999999999"/>
    <s v="Jan"/>
    <x v="3"/>
    <m/>
    <m/>
  </r>
  <r>
    <n v="64341967"/>
    <x v="0"/>
    <n v="12976"/>
    <d v="2026-01-22T00:00:00"/>
    <s v="BR CHOC Peanut Butter 6 1.5QT"/>
    <x v="12"/>
    <n v="8.513999999999999E-3"/>
    <n v="176"/>
    <x v="0"/>
    <x v="0"/>
    <n v="1"/>
    <n v="12976"/>
    <n v="110.47766399999999"/>
    <n v="73.727272727272734"/>
    <s v="Jan"/>
    <x v="3"/>
    <m/>
    <m/>
  </r>
  <r>
    <n v="64341967"/>
    <x v="0"/>
    <n v="14382"/>
    <d v="2026-01-22T00:00:00"/>
    <s v="BR CHOC Peanut Butter 6 1.5QT"/>
    <x v="12"/>
    <n v="8.513999999999999E-3"/>
    <n v="176"/>
    <x v="0"/>
    <x v="0"/>
    <n v="1"/>
    <n v="14382"/>
    <n v="122.44834799999998"/>
    <n v="81.715909090909093"/>
    <s v="Jan"/>
    <x v="3"/>
    <m/>
    <m/>
  </r>
  <r>
    <n v="65431089"/>
    <x v="1"/>
    <n v="15555"/>
    <d v="2026-01-22T00:00:00"/>
    <s v="Talenti Passionfruit Sorbetto 8-1PT"/>
    <x v="8"/>
    <n v="3.7839999999999996E-3"/>
    <n v="255"/>
    <x v="2"/>
    <x v="3"/>
    <n v="1"/>
    <n v="15555"/>
    <n v="58.860119999999995"/>
    <n v="61"/>
    <s v="Jan"/>
    <x v="3"/>
    <m/>
    <m/>
  </r>
  <r>
    <n v="84137725"/>
    <x v="2"/>
    <n v="18240"/>
    <d v="2026-01-22T00:00:00"/>
    <s v="BJ US-IC-CherryGarcia-FTNG-8 1PT"/>
    <x v="10"/>
    <n v="3.7853439999999999E-3"/>
    <n v="240"/>
    <x v="3"/>
    <x v="4"/>
    <n v="1"/>
    <n v="18240"/>
    <n v="69.044674560000004"/>
    <n v="76"/>
    <s v="Jan"/>
    <x v="3"/>
    <m/>
    <m/>
  </r>
  <r>
    <n v="84141094"/>
    <x v="3"/>
    <n v="35080"/>
    <d v="2026-01-22T00:00:00"/>
    <s v="BJ US-IC AmericoneDream-FTNG-8 1PT"/>
    <x v="10"/>
    <n v="3.7839999999999996E-3"/>
    <n v="240"/>
    <x v="3"/>
    <x v="13"/>
    <n v="1"/>
    <n v="35080"/>
    <n v="132.74271999999999"/>
    <n v="146.16666666666666"/>
    <s v="Jan"/>
    <x v="3"/>
    <m/>
    <m/>
  </r>
  <r>
    <n v="84141094"/>
    <x v="3"/>
    <n v="-287"/>
    <d v="2026-01-23T00:00:00"/>
    <s v="BJ US-IC AmericoneDream-FTNG-8 1PT"/>
    <x v="10"/>
    <n v="3.7839999999999996E-3"/>
    <n v="240"/>
    <x v="3"/>
    <x v="13"/>
    <n v="1"/>
    <n v="-287"/>
    <n v="-1.0860079999999999"/>
    <n v="-1.1958333333333333"/>
    <s v="Jan"/>
    <x v="3"/>
    <m/>
    <m/>
  </r>
  <r>
    <n v="84144598"/>
    <x v="1"/>
    <n v="-160"/>
    <d v="2026-01-23T00:00:00"/>
    <s v="BJ US-IC-VanillaCaramelFdg-FTNG-8 1PT"/>
    <x v="22"/>
    <n v="3.7853439999999999E-3"/>
    <n v="240"/>
    <x v="3"/>
    <x v="12"/>
    <n v="1"/>
    <n v="-160"/>
    <n v="-0.60565504000000003"/>
    <n v="-0.66666666666666663"/>
    <s v="Jan"/>
    <x v="3"/>
    <m/>
    <m/>
  </r>
  <r>
    <n v="68354586"/>
    <x v="1"/>
    <n v="-135"/>
    <d v="2026-01-23T00:00:00"/>
    <s v="BJ US-TOP-CHOCCARAMELCD-8 450ml"/>
    <x v="17"/>
    <n v="3.5999999999999999E-3"/>
    <n v="240"/>
    <x v="8"/>
    <x v="9"/>
    <n v="1"/>
    <n v="-135"/>
    <n v="-0.48599999999999999"/>
    <n v="-0.5625"/>
    <s v="Jan"/>
    <x v="3"/>
    <m/>
    <m/>
  </r>
  <r>
    <n v="64341106"/>
    <x v="1"/>
    <n v="-110"/>
    <d v="2026-01-23T00:00:00"/>
    <s v="PS Jolly Rancher Pop 6-18PK"/>
    <x v="16"/>
    <n v="5.2680000000000001E-3"/>
    <n v="130"/>
    <x v="6"/>
    <x v="7"/>
    <n v="1"/>
    <n v="-110"/>
    <n v="-0.57948"/>
    <n v="-0.84615384615384615"/>
    <s v="Jan"/>
    <x v="3"/>
    <m/>
    <m/>
  </r>
  <r>
    <n v="68867744"/>
    <x v="1"/>
    <n v="-78"/>
    <d v="2026-01-23T00:00:00"/>
    <s v="Talenti LY Vanilla Fudge Cookie 8 303.3g"/>
    <x v="9"/>
    <n v="3.552E-3"/>
    <n v="255"/>
    <x v="2"/>
    <x v="3"/>
    <n v="1"/>
    <n v="-78"/>
    <n v="-0.27705600000000002"/>
    <n v="-0.30588235294117649"/>
    <s v="Jan"/>
    <x v="3"/>
    <m/>
    <m/>
  </r>
  <r>
    <n v="65431089"/>
    <x v="1"/>
    <n v="-15"/>
    <d v="2026-01-23T00:00:00"/>
    <s v="Talenti Passionfruit Sorbetto 8-1PT"/>
    <x v="8"/>
    <n v="3.7839999999999996E-3"/>
    <n v="255"/>
    <x v="2"/>
    <x v="3"/>
    <n v="1"/>
    <n v="-15"/>
    <n v="-5.6759999999999991E-2"/>
    <n v="-5.8823529411764705E-2"/>
    <s v="Jan"/>
    <x v="3"/>
    <m/>
    <m/>
  </r>
  <r>
    <n v="68741742"/>
    <x v="1"/>
    <n v="-14"/>
    <d v="2026-01-23T00:00:00"/>
    <s v="GH Strawberry Shortcake Bar 8-6PK"/>
    <x v="19"/>
    <n v="4.2560000000000002E-3"/>
    <n v="154"/>
    <x v="7"/>
    <x v="10"/>
    <n v="1"/>
    <n v="-14"/>
    <n v="-5.9584000000000005E-2"/>
    <n v="-9.0909090909090912E-2"/>
    <s v="Jan"/>
    <x v="3"/>
    <m/>
    <m/>
  </r>
  <r>
    <n v="68851107"/>
    <x v="1"/>
    <n v="-2"/>
    <d v="2026-01-23T00:00:00"/>
    <s v="BR NAT Vanilla 6-1.5QT"/>
    <x v="1"/>
    <n v="8.5199999999999998E-3"/>
    <n v="176"/>
    <x v="0"/>
    <x v="1"/>
    <n v="1"/>
    <n v="-2"/>
    <n v="-1.704E-2"/>
    <n v="-1.1363636363636364E-2"/>
    <s v="Jan"/>
    <x v="3"/>
    <m/>
    <m/>
  </r>
  <r>
    <n v="68851107"/>
    <x v="0"/>
    <n v="57"/>
    <d v="2026-01-23T00:00:00"/>
    <s v="BR NAT Vanilla 6-1.5QT"/>
    <x v="6"/>
    <n v="8.5199999999999998E-3"/>
    <n v="176"/>
    <x v="0"/>
    <x v="0"/>
    <n v="1"/>
    <n v="57"/>
    <n v="0.48563999999999996"/>
    <n v="0.32386363636363635"/>
    <s v="Jan"/>
    <x v="3"/>
    <m/>
    <m/>
  </r>
  <r>
    <n v="64776954"/>
    <x v="0"/>
    <n v="105"/>
    <d v="2026-01-23T00:00:00"/>
    <s v="PS Scribblers Natural 6-18PK"/>
    <x v="29"/>
    <n v="3.8340000000000002E-3"/>
    <n v="130"/>
    <x v="6"/>
    <x v="15"/>
    <n v="1"/>
    <n v="105"/>
    <n v="0.40257000000000004"/>
    <n v="0.80769230769230771"/>
    <s v="Jan"/>
    <x v="3"/>
    <m/>
    <m/>
  </r>
  <r>
    <n v="64776954"/>
    <x v="0"/>
    <n v="162"/>
    <d v="2026-01-23T00:00:00"/>
    <s v="PS Scribblers Natural 6-18PK"/>
    <x v="29"/>
    <n v="3.8340000000000002E-3"/>
    <n v="130"/>
    <x v="6"/>
    <x v="15"/>
    <n v="1"/>
    <n v="162"/>
    <n v="0.62110799999999999"/>
    <n v="1.2461538461538462"/>
    <s v="Jan"/>
    <x v="3"/>
    <m/>
    <m/>
  </r>
  <r>
    <n v="64988055"/>
    <x v="1"/>
    <n v="194"/>
    <d v="2026-01-23T00:00:00"/>
    <s v="BR CO-B NY Style Cheesecake 6 1.5QT"/>
    <x v="3"/>
    <n v="8.513999999999999E-3"/>
    <n v="176"/>
    <x v="0"/>
    <x v="1"/>
    <n v="1"/>
    <n v="194"/>
    <n v="1.6517159999999997"/>
    <n v="1.1022727272727273"/>
    <s v="Jan"/>
    <x v="3"/>
    <m/>
    <m/>
  </r>
  <r>
    <n v="68354590"/>
    <x v="1"/>
    <n v="240"/>
    <d v="2026-01-23T00:00:00"/>
    <s v="BJ US-TOP-THICKMINT-8 450ml"/>
    <x v="17"/>
    <n v="3.5999999999999999E-3"/>
    <n v="240"/>
    <x v="8"/>
    <x v="9"/>
    <n v="1"/>
    <n v="240"/>
    <n v="0.86399999999999999"/>
    <n v="1"/>
    <s v="Jan"/>
    <x v="3"/>
    <m/>
    <m/>
  </r>
  <r>
    <n v="65431089"/>
    <x v="1"/>
    <n v="589"/>
    <d v="2026-01-23T00:00:00"/>
    <s v="Talenti Passionfruit Sorbetto 8-1PT"/>
    <x v="8"/>
    <n v="3.7839999999999996E-3"/>
    <n v="255"/>
    <x v="2"/>
    <x v="3"/>
    <n v="1"/>
    <n v="589"/>
    <n v="2.2287759999999999"/>
    <n v="2.3098039215686272"/>
    <s v="Jan"/>
    <x v="3"/>
    <m/>
    <m/>
  </r>
  <r>
    <n v="69629468"/>
    <x v="1"/>
    <n v="727"/>
    <d v="2026-01-23T00:00:00"/>
    <s v="PS Fudgesicle NSA 6-18PK"/>
    <x v="14"/>
    <n v="5.2680000000000001E-3"/>
    <n v="130"/>
    <x v="6"/>
    <x v="7"/>
    <n v="1"/>
    <n v="727"/>
    <n v="3.8298360000000002"/>
    <n v="5.592307692307692"/>
    <s v="Jan"/>
    <x v="3"/>
    <m/>
    <m/>
  </r>
  <r>
    <n v="84144598"/>
    <x v="1"/>
    <n v="890"/>
    <d v="2026-01-23T00:00:00"/>
    <s v="BJ US-IC-VanillaCaramelFdg-FTNG-8 1PT"/>
    <x v="22"/>
    <n v="3.7853439999999999E-3"/>
    <n v="240"/>
    <x v="3"/>
    <x v="12"/>
    <n v="1"/>
    <n v="890"/>
    <n v="3.3689561599999998"/>
    <n v="3.7083333333333335"/>
    <s v="Jan"/>
    <x v="3"/>
    <m/>
    <m/>
  </r>
  <r>
    <n v="68852591"/>
    <x v="1"/>
    <n v="1188"/>
    <d v="2026-01-23T00:00:00"/>
    <s v="KL Heath Bar 12-6PK"/>
    <x v="21"/>
    <n v="8.5199999999999998E-3"/>
    <n v="132"/>
    <x v="1"/>
    <x v="11"/>
    <n v="1"/>
    <n v="1188"/>
    <n v="10.12176"/>
    <n v="9"/>
    <s v="Jan"/>
    <x v="3"/>
    <m/>
    <m/>
  </r>
  <r>
    <n v="69629468"/>
    <x v="1"/>
    <n v="1216"/>
    <d v="2026-01-23T00:00:00"/>
    <s v="PS Fudgesicle NSA 6-18PK"/>
    <x v="14"/>
    <n v="5.2680000000000001E-3"/>
    <n v="130"/>
    <x v="6"/>
    <x v="7"/>
    <n v="1"/>
    <n v="1216"/>
    <n v="6.405888"/>
    <n v="9.3538461538461544"/>
    <s v="Jan"/>
    <x v="3"/>
    <m/>
    <m/>
  </r>
  <r>
    <n v="69564623"/>
    <x v="1"/>
    <n v="1232"/>
    <d v="2026-01-23T00:00:00"/>
    <s v="BR ND Vanilla 6 1.5QT"/>
    <x v="3"/>
    <n v="8.5199999999999998E-3"/>
    <n v="176"/>
    <x v="0"/>
    <x v="1"/>
    <n v="1"/>
    <n v="1232"/>
    <n v="10.496639999999999"/>
    <n v="7"/>
    <s v="Jan"/>
    <x v="3"/>
    <m/>
    <m/>
  </r>
  <r>
    <n v="68741742"/>
    <x v="0"/>
    <n v="1386"/>
    <d v="2026-01-23T00:00:00"/>
    <s v="GH Strawberry Shortcake Bar 8-6PK"/>
    <x v="15"/>
    <n v="4.2560000000000002E-3"/>
    <n v="154"/>
    <x v="7"/>
    <x v="8"/>
    <n v="1"/>
    <n v="1386"/>
    <n v="5.8988160000000001"/>
    <n v="9"/>
    <s v="Jan"/>
    <x v="3"/>
    <m/>
    <m/>
  </r>
  <r>
    <n v="69725082"/>
    <x v="0"/>
    <n v="1430"/>
    <d v="2026-01-23T00:00:00"/>
    <s v="PS OCG 6-18PK"/>
    <x v="32"/>
    <n v="5.2680000000000001E-3"/>
    <n v="130"/>
    <x v="6"/>
    <x v="15"/>
    <n v="1"/>
    <n v="1430"/>
    <n v="7.5332400000000002"/>
    <n v="11"/>
    <s v="Jan"/>
    <x v="3"/>
    <m/>
    <m/>
  </r>
  <r>
    <n v="68710285"/>
    <x v="0"/>
    <n v="1433"/>
    <d v="2026-01-23T00:00:00"/>
    <s v="KL Krunch Bar 12-6PK"/>
    <x v="20"/>
    <n v="9.5760000000000012E-3"/>
    <n v="132"/>
    <x v="1"/>
    <x v="2"/>
    <n v="1"/>
    <n v="1433"/>
    <n v="13.722408000000001"/>
    <n v="10.856060606060606"/>
    <s v="Jan"/>
    <x v="3"/>
    <m/>
    <m/>
  </r>
  <r>
    <n v="68852591"/>
    <x v="1"/>
    <n v="1441"/>
    <d v="2026-01-23T00:00:00"/>
    <s v="KL Heath Bar 12-6PK"/>
    <x v="21"/>
    <n v="8.5199999999999998E-3"/>
    <n v="132"/>
    <x v="1"/>
    <x v="11"/>
    <n v="1"/>
    <n v="1441"/>
    <n v="12.27732"/>
    <n v="10.916666666666666"/>
    <s v="Jan"/>
    <x v="3"/>
    <m/>
    <m/>
  </r>
  <r>
    <n v="69717803"/>
    <x v="1"/>
    <n v="1488"/>
    <d v="2026-01-23T00:00:00"/>
    <s v="BR Carbsmart Almond Bar 8-6PK"/>
    <x v="13"/>
    <n v="4.2560000000000002E-3"/>
    <n v="143"/>
    <x v="5"/>
    <x v="6"/>
    <n v="1"/>
    <n v="1488"/>
    <n v="6.3329280000000008"/>
    <n v="10.405594405594405"/>
    <s v="Jan"/>
    <x v="3"/>
    <m/>
    <m/>
  </r>
  <r>
    <n v="84141094"/>
    <x v="3"/>
    <n v="1583"/>
    <d v="2026-01-23T00:00:00"/>
    <s v="BJ US-IC AmericoneDream-FTNG-8 1PT"/>
    <x v="10"/>
    <n v="3.7839999999999996E-3"/>
    <n v="240"/>
    <x v="3"/>
    <x v="13"/>
    <n v="1"/>
    <n v="1583"/>
    <n v="5.9900719999999996"/>
    <n v="6.5958333333333332"/>
    <s v="Jan"/>
    <x v="3"/>
    <m/>
    <m/>
  </r>
  <r>
    <n v="64341106"/>
    <x v="1"/>
    <n v="1668"/>
    <d v="2026-01-23T00:00:00"/>
    <s v="PS Jolly Rancher Pop 6-18PK"/>
    <x v="16"/>
    <n v="5.2680000000000001E-3"/>
    <n v="130"/>
    <x v="6"/>
    <x v="7"/>
    <n v="1"/>
    <n v="1668"/>
    <n v="8.7870240000000006"/>
    <n v="12.830769230769231"/>
    <s v="Jan"/>
    <x v="3"/>
    <m/>
    <m/>
  </r>
  <r>
    <n v="68851104"/>
    <x v="1"/>
    <n v="1754"/>
    <d v="2026-01-23T00:00:00"/>
    <s v="BR Chocolate 6-1.5QT"/>
    <x v="5"/>
    <n v="8.5199999999999998E-3"/>
    <n v="176"/>
    <x v="0"/>
    <x v="1"/>
    <n v="1"/>
    <n v="1754"/>
    <n v="14.94408"/>
    <n v="9.9659090909090917"/>
    <s v="Jan"/>
    <x v="3"/>
    <m/>
    <m/>
  </r>
  <r>
    <n v="68741742"/>
    <x v="1"/>
    <n v="2173"/>
    <d v="2026-01-23T00:00:00"/>
    <s v="GH Strawberry Shortcake Bar 8-6PK"/>
    <x v="19"/>
    <n v="4.2560000000000002E-3"/>
    <n v="154"/>
    <x v="7"/>
    <x v="10"/>
    <n v="1"/>
    <n v="2173"/>
    <n v="9.2482880000000005"/>
    <n v="14.11038961038961"/>
    <s v="Jan"/>
    <x v="3"/>
    <m/>
    <m/>
  </r>
  <r>
    <n v="69629468"/>
    <x v="0"/>
    <n v="2189"/>
    <d v="2026-01-23T00:00:00"/>
    <s v="PS Fudgesicle NSA 6-18PK"/>
    <x v="28"/>
    <n v="5.2680000000000001E-3"/>
    <n v="130"/>
    <x v="6"/>
    <x v="15"/>
    <n v="1"/>
    <n v="2189"/>
    <n v="11.531652000000001"/>
    <n v="16.838461538461537"/>
    <s v="Jan"/>
    <x v="3"/>
    <m/>
    <m/>
  </r>
  <r>
    <n v="64341106"/>
    <x v="1"/>
    <n v="2291"/>
    <d v="2026-01-23T00:00:00"/>
    <s v="PS Jolly Rancher Pop 6-18PK"/>
    <x v="16"/>
    <n v="5.2680000000000001E-3"/>
    <n v="130"/>
    <x v="6"/>
    <x v="7"/>
    <n v="1"/>
    <n v="2291"/>
    <n v="12.068988000000001"/>
    <n v="17.623076923076923"/>
    <s v="Jan"/>
    <x v="3"/>
    <m/>
    <m/>
  </r>
  <r>
    <n v="68689251"/>
    <x v="0"/>
    <n v="2293"/>
    <d v="2026-01-23T00:00:00"/>
    <s v="KL Original Vanilla Bar 12-6PK"/>
    <x v="4"/>
    <n v="9.5760000000000012E-3"/>
    <n v="132"/>
    <x v="1"/>
    <x v="2"/>
    <n v="1"/>
    <n v="2293"/>
    <n v="21.957768000000002"/>
    <n v="17.371212121212121"/>
    <s v="Jan"/>
    <x v="3"/>
    <m/>
    <m/>
  </r>
  <r>
    <n v="69988931"/>
    <x v="1"/>
    <n v="2368"/>
    <d v="2026-01-23T00:00:00"/>
    <s v="MG Mini Classic/Almond/White VP 6-6PK"/>
    <x v="23"/>
    <n v="1.98E-3"/>
    <n v="176"/>
    <x v="5"/>
    <x v="6"/>
    <n v="1"/>
    <n v="2368"/>
    <n v="4.6886400000000004"/>
    <n v="13.454545454545455"/>
    <s v="Jan"/>
    <x v="3"/>
    <m/>
    <m/>
  </r>
  <r>
    <n v="68689251"/>
    <x v="0"/>
    <n v="2508"/>
    <d v="2026-01-23T00:00:00"/>
    <s v="KL Original Vanilla Bar 12-6PK"/>
    <x v="2"/>
    <n v="9.5760000000000012E-3"/>
    <n v="132"/>
    <x v="1"/>
    <x v="2"/>
    <n v="1"/>
    <n v="2508"/>
    <n v="24.016608000000002"/>
    <n v="19"/>
    <s v="Jan"/>
    <x v="3"/>
    <m/>
    <m/>
  </r>
  <r>
    <n v="69725082"/>
    <x v="0"/>
    <n v="2538"/>
    <d v="2026-01-23T00:00:00"/>
    <s v="PS OCG 6-18PK"/>
    <x v="32"/>
    <n v="5.2680000000000001E-3"/>
    <n v="130"/>
    <x v="6"/>
    <x v="15"/>
    <n v="1"/>
    <n v="2538"/>
    <n v="13.370184"/>
    <n v="19.523076923076925"/>
    <s v="Jan"/>
    <x v="3"/>
    <m/>
    <m/>
  </r>
  <r>
    <n v="68851109"/>
    <x v="1"/>
    <n v="2578"/>
    <d v="2026-01-23T00:00:00"/>
    <s v="BR HA Chocolate 6-1.5QT"/>
    <x v="5"/>
    <n v="8.5199999999999998E-3"/>
    <n v="154"/>
    <x v="0"/>
    <x v="1"/>
    <n v="1"/>
    <n v="2578"/>
    <n v="21.964559999999999"/>
    <n v="16.740259740259742"/>
    <s v="Jan"/>
    <x v="3"/>
    <m/>
    <m/>
  </r>
  <r>
    <n v="64789261"/>
    <x v="0"/>
    <n v="2771"/>
    <d v="2026-01-23T00:00:00"/>
    <s v="GH CHOC Eclair 1-24PK OOH"/>
    <x v="18"/>
    <n v="2.8319999999999999E-3"/>
    <n v="225"/>
    <x v="7"/>
    <x v="8"/>
    <n v="1"/>
    <n v="2771"/>
    <n v="7.8474719999999998"/>
    <n v="12.315555555555555"/>
    <s v="Jan"/>
    <x v="3"/>
    <m/>
    <m/>
  </r>
  <r>
    <n v="68741742"/>
    <x v="1"/>
    <n v="2772"/>
    <d v="2026-01-23T00:00:00"/>
    <s v="GH Strawberry Shortcake Bar 8-6PK"/>
    <x v="19"/>
    <n v="4.2560000000000002E-3"/>
    <n v="154"/>
    <x v="7"/>
    <x v="10"/>
    <n v="1"/>
    <n v="2772"/>
    <n v="11.797632"/>
    <n v="18"/>
    <s v="Jan"/>
    <x v="3"/>
    <m/>
    <m/>
  </r>
  <r>
    <n v="68851109"/>
    <x v="1"/>
    <n v="2842"/>
    <d v="2026-01-23T00:00:00"/>
    <s v="BR HA Chocolate 6-1.5QT"/>
    <x v="5"/>
    <n v="8.5199999999999998E-3"/>
    <n v="154"/>
    <x v="0"/>
    <x v="1"/>
    <n v="1"/>
    <n v="2842"/>
    <n v="24.213840000000001"/>
    <n v="18.454545454545453"/>
    <s v="Jan"/>
    <x v="3"/>
    <m/>
    <m/>
  </r>
  <r>
    <n v="64789261"/>
    <x v="0"/>
    <n v="2925"/>
    <d v="2026-01-23T00:00:00"/>
    <s v="GH CHOC Eclair 1-24PK OOH"/>
    <x v="18"/>
    <n v="2.8319999999999999E-3"/>
    <n v="225"/>
    <x v="7"/>
    <x v="8"/>
    <n v="1"/>
    <n v="2925"/>
    <n v="8.2835999999999999"/>
    <n v="13"/>
    <s v="Jan"/>
    <x v="3"/>
    <m/>
    <m/>
  </r>
  <r>
    <n v="68689251"/>
    <x v="0"/>
    <n v="2947"/>
    <d v="2026-01-23T00:00:00"/>
    <s v="KL Original Vanilla Bar 12-6PK"/>
    <x v="2"/>
    <n v="9.5760000000000012E-3"/>
    <n v="132"/>
    <x v="1"/>
    <x v="2"/>
    <n v="1"/>
    <n v="2947"/>
    <n v="28.220472000000004"/>
    <n v="22.325757575757574"/>
    <s v="Jan"/>
    <x v="3"/>
    <m/>
    <m/>
  </r>
  <r>
    <n v="64874633"/>
    <x v="4"/>
    <n v="2969"/>
    <d v="2026-01-23T00:00:00"/>
    <s v="KL Cookies and Creme SW 1-24PK"/>
    <x v="31"/>
    <n v="3.192E-3"/>
    <n v="280"/>
    <x v="12"/>
    <x v="19"/>
    <n v="1"/>
    <n v="2969"/>
    <n v="9.4770479999999999"/>
    <n v="10.603571428571428"/>
    <s v="Jan"/>
    <x v="3"/>
    <m/>
    <m/>
  </r>
  <r>
    <n v="64341968"/>
    <x v="0"/>
    <n v="2992"/>
    <d v="2026-01-23T00:00:00"/>
    <s v="BR CO-B SNICKERS 6 1.5QT"/>
    <x v="12"/>
    <n v="8.5199999999999998E-3"/>
    <n v="176"/>
    <x v="0"/>
    <x v="0"/>
    <n v="1"/>
    <n v="2992"/>
    <n v="25.49184"/>
    <n v="17"/>
    <s v="Jan"/>
    <x v="3"/>
    <m/>
    <m/>
  </r>
  <r>
    <n v="69717803"/>
    <x v="1"/>
    <n v="3160"/>
    <d v="2026-01-23T00:00:00"/>
    <s v="BR Carbsmart Almond Bar 8-6PK"/>
    <x v="13"/>
    <n v="4.2560000000000002E-3"/>
    <n v="143"/>
    <x v="5"/>
    <x v="6"/>
    <n v="1"/>
    <n v="3160"/>
    <n v="13.448960000000001"/>
    <n v="22.097902097902097"/>
    <s v="Jan"/>
    <x v="3"/>
    <m/>
    <m/>
  </r>
  <r>
    <n v="69564623"/>
    <x v="1"/>
    <n v="3168"/>
    <d v="2026-01-23T00:00:00"/>
    <s v="BR ND Vanilla 6 1.5QT"/>
    <x v="3"/>
    <n v="8.5199999999999998E-3"/>
    <n v="176"/>
    <x v="0"/>
    <x v="1"/>
    <n v="1"/>
    <n v="3168"/>
    <n v="26.99136"/>
    <n v="18"/>
    <s v="Jan"/>
    <x v="3"/>
    <m/>
    <m/>
  </r>
  <r>
    <n v="68710285"/>
    <x v="0"/>
    <n v="3170"/>
    <d v="2026-01-23T00:00:00"/>
    <s v="KL Krunch Bar 12-6PK"/>
    <x v="20"/>
    <n v="9.5760000000000012E-3"/>
    <n v="132"/>
    <x v="1"/>
    <x v="2"/>
    <n v="1"/>
    <n v="3170"/>
    <n v="30.355920000000005"/>
    <n v="24.015151515151516"/>
    <s v="Jan"/>
    <x v="3"/>
    <m/>
    <m/>
  </r>
  <r>
    <n v="68741742"/>
    <x v="0"/>
    <n v="3172"/>
    <d v="2026-01-23T00:00:00"/>
    <s v="GH Strawberry Shortcake Bar 8-6PK"/>
    <x v="15"/>
    <n v="4.2560000000000002E-3"/>
    <n v="154"/>
    <x v="7"/>
    <x v="8"/>
    <n v="1"/>
    <n v="3172"/>
    <n v="13.500032000000001"/>
    <n v="20.597402597402599"/>
    <s v="Jan"/>
    <x v="3"/>
    <m/>
    <m/>
  </r>
  <r>
    <n v="68817793"/>
    <x v="0"/>
    <n v="3298"/>
    <d v="2026-01-23T00:00:00"/>
    <s v="BR Mint CHOC Chip 6 1.5QT"/>
    <x v="7"/>
    <n v="8.5199999999999998E-3"/>
    <n v="176"/>
    <x v="0"/>
    <x v="0"/>
    <n v="1"/>
    <n v="3298"/>
    <n v="28.098959999999998"/>
    <n v="18.738636363636363"/>
    <s v="Jan"/>
    <x v="3"/>
    <m/>
    <m/>
  </r>
  <r>
    <n v="68850684"/>
    <x v="0"/>
    <n v="3432"/>
    <d v="2026-01-23T00:00:00"/>
    <s v="BR French Vanilla 6-1.5QT"/>
    <x v="0"/>
    <n v="8.5199999999999998E-3"/>
    <n v="176"/>
    <x v="0"/>
    <x v="0"/>
    <n v="1"/>
    <n v="3432"/>
    <n v="29.240639999999999"/>
    <n v="19.5"/>
    <s v="Jan"/>
    <x v="3"/>
    <m/>
    <m/>
  </r>
  <r>
    <n v="69991925"/>
    <x v="1"/>
    <n v="3723"/>
    <d v="2026-01-23T00:00:00"/>
    <s v="MG Almond Duet 8-3PK"/>
    <x v="26"/>
    <n v="2.0400000000000001E-3"/>
    <n v="210"/>
    <x v="5"/>
    <x v="6"/>
    <n v="1"/>
    <n v="3723"/>
    <n v="7.5949200000000001"/>
    <n v="17.728571428571428"/>
    <s v="Jan"/>
    <x v="3"/>
    <m/>
    <m/>
  </r>
  <r>
    <n v="84139000"/>
    <x v="3"/>
    <n v="4475"/>
    <d v="2026-01-23T00:00:00"/>
    <s v="BJ US-IC-SaltCaramelBlondie-FTNG-1 2.4G"/>
    <x v="10"/>
    <n v="9.0848256361922702E-3"/>
    <n v="125"/>
    <x v="13"/>
    <x v="20"/>
    <n v="1"/>
    <n v="4475"/>
    <n v="40.654594721960407"/>
    <n v="35.799999999999997"/>
    <s v="Jan"/>
    <x v="3"/>
    <m/>
    <m/>
  </r>
  <r>
    <n v="68689251"/>
    <x v="0"/>
    <n v="4660"/>
    <d v="2026-01-23T00:00:00"/>
    <s v="KL Original Vanilla Bar 12-6PK"/>
    <x v="4"/>
    <n v="9.5760000000000012E-3"/>
    <n v="132"/>
    <x v="1"/>
    <x v="2"/>
    <n v="1"/>
    <n v="4660"/>
    <n v="44.624160000000003"/>
    <n v="35.303030303030305"/>
    <s v="Jan"/>
    <x v="3"/>
    <m/>
    <m/>
  </r>
  <r>
    <n v="69988931"/>
    <x v="1"/>
    <n v="4945"/>
    <d v="2026-01-23T00:00:00"/>
    <s v="MG Mini Classic/Almond/White VP 6-6PK"/>
    <x v="23"/>
    <n v="1.98E-3"/>
    <n v="176"/>
    <x v="5"/>
    <x v="6"/>
    <n v="1"/>
    <n v="4945"/>
    <n v="9.7911000000000001"/>
    <n v="28.09659090909091"/>
    <s v="Jan"/>
    <x v="3"/>
    <m/>
    <m/>
  </r>
  <r>
    <n v="65431090"/>
    <x v="1"/>
    <n v="4996"/>
    <d v="2026-01-23T00:00:00"/>
    <s v="Talenti Hazelnut Chocolate 8-1PT"/>
    <x v="9"/>
    <n v="3.7839999999999996E-3"/>
    <n v="255"/>
    <x v="2"/>
    <x v="3"/>
    <n v="1"/>
    <n v="4996"/>
    <n v="18.904863999999996"/>
    <n v="19.592156862745099"/>
    <s v="Jan"/>
    <x v="3"/>
    <m/>
    <m/>
  </r>
  <r>
    <n v="68354590"/>
    <x v="1"/>
    <n v="4999"/>
    <d v="2026-01-23T00:00:00"/>
    <s v="BJ US-TOP-THICKMINT-8 450ml"/>
    <x v="17"/>
    <n v="3.5999999999999999E-3"/>
    <n v="240"/>
    <x v="8"/>
    <x v="9"/>
    <n v="1"/>
    <n v="4999"/>
    <n v="17.996400000000001"/>
    <n v="20.829166666666666"/>
    <s v="Jan"/>
    <x v="3"/>
    <m/>
    <m/>
  </r>
  <r>
    <n v="84144598"/>
    <x v="1"/>
    <n v="5339"/>
    <d v="2026-01-23T00:00:00"/>
    <s v="BJ US-IC-VanillaCaramelFdg-FTNG-8 1PT"/>
    <x v="22"/>
    <n v="3.7853439999999999E-3"/>
    <n v="240"/>
    <x v="3"/>
    <x v="12"/>
    <n v="1"/>
    <n v="5339"/>
    <n v="20.209951616000001"/>
    <n v="22.245833333333334"/>
    <s v="Jan"/>
    <x v="3"/>
    <m/>
    <m/>
  </r>
  <r>
    <n v="68930545"/>
    <x v="0"/>
    <n v="6014"/>
    <d v="2026-01-23T00:00:00"/>
    <s v="BR CS VAN CHOC Straw 6 1.5QT"/>
    <x v="6"/>
    <n v="8.5199999999999998E-3"/>
    <n v="176"/>
    <x v="0"/>
    <x v="0"/>
    <n v="1"/>
    <n v="6014"/>
    <n v="51.239280000000001"/>
    <n v="34.170454545454547"/>
    <s v="Jan"/>
    <x v="3"/>
    <m/>
    <m/>
  </r>
  <r>
    <n v="68860662"/>
    <x v="1"/>
    <n v="6120"/>
    <d v="2026-01-23T00:00:00"/>
    <s v="Talenti Vanilla Bean 8 1PT"/>
    <x v="8"/>
    <n v="3.7839999999999996E-3"/>
    <n v="255"/>
    <x v="2"/>
    <x v="3"/>
    <n v="1"/>
    <n v="6120"/>
    <n v="23.158079999999998"/>
    <n v="24"/>
    <s v="Jan"/>
    <x v="3"/>
    <m/>
    <m/>
  </r>
  <r>
    <n v="64958128"/>
    <x v="1"/>
    <n v="6600"/>
    <d v="2026-01-23T00:00:00"/>
    <s v="Yasso Mint Chocolate Chip 8-4pk"/>
    <x v="11"/>
    <n v="3.3119999999999998E-3"/>
    <n v="165"/>
    <x v="4"/>
    <x v="5"/>
    <n v="1"/>
    <n v="6600"/>
    <n v="21.859199999999998"/>
    <n v="40"/>
    <s v="Jan"/>
    <x v="3"/>
    <m/>
    <m/>
  </r>
  <r>
    <n v="69991925"/>
    <x v="1"/>
    <n v="7282"/>
    <d v="2026-01-23T00:00:00"/>
    <s v="MG Almond Duet 8-3PK"/>
    <x v="26"/>
    <n v="2.0400000000000001E-3"/>
    <n v="210"/>
    <x v="5"/>
    <x v="6"/>
    <n v="1"/>
    <n v="7282"/>
    <n v="14.85528"/>
    <n v="34.676190476190477"/>
    <s v="Jan"/>
    <x v="3"/>
    <m/>
    <m/>
  </r>
  <r>
    <n v="68817793"/>
    <x v="0"/>
    <n v="8033"/>
    <d v="2026-01-23T00:00:00"/>
    <s v="BR Mint CHOC Chip 6 1.5QT"/>
    <x v="7"/>
    <n v="8.5199999999999998E-3"/>
    <n v="176"/>
    <x v="0"/>
    <x v="0"/>
    <n v="1"/>
    <n v="8033"/>
    <n v="68.441159999999996"/>
    <n v="45.642045454545453"/>
    <s v="Jan"/>
    <x v="3"/>
    <m/>
    <m/>
  </r>
  <r>
    <n v="64341968"/>
    <x v="0"/>
    <n v="8058"/>
    <d v="2026-01-23T00:00:00"/>
    <s v="BR CO-B SNICKERS 6 1.5QT"/>
    <x v="12"/>
    <n v="8.5199999999999998E-3"/>
    <n v="176"/>
    <x v="0"/>
    <x v="0"/>
    <n v="1"/>
    <n v="8058"/>
    <n v="68.654160000000005"/>
    <n v="45.784090909090907"/>
    <s v="Jan"/>
    <x v="3"/>
    <m/>
    <m/>
  </r>
  <r>
    <n v="64958128"/>
    <x v="1"/>
    <n v="8415"/>
    <d v="2026-01-23T00:00:00"/>
    <s v="Yasso Mint Chocolate Chip 8-4pk"/>
    <x v="11"/>
    <n v="3.3119999999999998E-3"/>
    <n v="165"/>
    <x v="4"/>
    <x v="5"/>
    <n v="1"/>
    <n v="8415"/>
    <n v="27.870479999999997"/>
    <n v="51"/>
    <s v="Jan"/>
    <x v="3"/>
    <m/>
    <m/>
  </r>
  <r>
    <n v="68821734"/>
    <x v="1"/>
    <n v="8976"/>
    <d v="2026-01-23T00:00:00"/>
    <s v="BR Vanilla Chocolate 6 1.5QT"/>
    <x v="1"/>
    <n v="8.5199999999999998E-3"/>
    <n v="176"/>
    <x v="0"/>
    <x v="1"/>
    <n v="1"/>
    <n v="8976"/>
    <n v="76.475520000000003"/>
    <n v="51"/>
    <s v="Jan"/>
    <x v="3"/>
    <m/>
    <m/>
  </r>
  <r>
    <n v="68860662"/>
    <x v="1"/>
    <n v="9604"/>
    <d v="2026-01-23T00:00:00"/>
    <s v="Talenti Vanilla Bean 8 1PT"/>
    <x v="8"/>
    <n v="3.7839999999999996E-3"/>
    <n v="255"/>
    <x v="2"/>
    <x v="3"/>
    <n v="1"/>
    <n v="9604"/>
    <n v="36.341535999999998"/>
    <n v="37.662745098039217"/>
    <s v="Jan"/>
    <x v="3"/>
    <m/>
    <m/>
  </r>
  <r>
    <n v="65431090"/>
    <x v="1"/>
    <n v="9686"/>
    <d v="2026-01-23T00:00:00"/>
    <s v="Talenti Hazelnut Chocolate 8-1PT"/>
    <x v="9"/>
    <n v="3.7839999999999996E-3"/>
    <n v="255"/>
    <x v="2"/>
    <x v="3"/>
    <n v="1"/>
    <n v="9686"/>
    <n v="36.651823999999998"/>
    <n v="37.984313725490196"/>
    <s v="Jan"/>
    <x v="3"/>
    <m/>
    <m/>
  </r>
  <r>
    <n v="68821734"/>
    <x v="1"/>
    <n v="9741"/>
    <d v="2026-01-23T00:00:00"/>
    <s v="BR Vanilla Chocolate 6 1.5QT"/>
    <x v="1"/>
    <n v="8.5199999999999998E-3"/>
    <n v="176"/>
    <x v="0"/>
    <x v="1"/>
    <n v="1"/>
    <n v="9741"/>
    <n v="82.993319999999997"/>
    <n v="55.346590909090907"/>
    <s v="Jan"/>
    <x v="3"/>
    <m/>
    <m/>
  </r>
  <r>
    <n v="68817796"/>
    <x v="0"/>
    <n v="10423"/>
    <d v="2026-01-23T00:00:00"/>
    <s v="BR XCRMY Vanilla 6 1.5QT"/>
    <x v="0"/>
    <n v="8.513999999999999E-3"/>
    <n v="176"/>
    <x v="0"/>
    <x v="0"/>
    <n v="1"/>
    <n v="10423"/>
    <n v="88.741421999999986"/>
    <n v="59.221590909090907"/>
    <s v="Jan"/>
    <x v="3"/>
    <m/>
    <m/>
  </r>
  <r>
    <n v="84141102"/>
    <x v="3"/>
    <n v="19461"/>
    <d v="2026-01-23T00:00:00"/>
    <s v="BJ US-IC-ChocFudgBrownie-FTNG-8 1PT"/>
    <x v="25"/>
    <n v="3.7853439999999999E-3"/>
    <n v="240"/>
    <x v="3"/>
    <x v="13"/>
    <n v="1"/>
    <n v="19461"/>
    <n v="73.666579584000004"/>
    <n v="81.087500000000006"/>
    <s v="Jan"/>
    <x v="3"/>
    <m/>
    <m/>
  </r>
  <r>
    <n v="84164937"/>
    <x v="3"/>
    <n v="20906"/>
    <d v="2026-01-23T00:00:00"/>
    <s v="BJ US-IC-ChubbyHubby-8 1PT"/>
    <x v="30"/>
    <n v="3.7853439999999999E-3"/>
    <n v="240"/>
    <x v="3"/>
    <x v="13"/>
    <n v="1"/>
    <n v="20906"/>
    <n v="79.136401664000005"/>
    <n v="87.108333333333334"/>
    <s v="Jan"/>
    <x v="3"/>
    <m/>
    <m/>
  </r>
  <r>
    <n v="84137725"/>
    <x v="2"/>
    <n v="40320"/>
    <d v="2026-01-23T00:00:00"/>
    <s v="BJ US-IC-CherryGarcia-FTNG-8 1PT"/>
    <x v="10"/>
    <n v="3.7853439999999999E-3"/>
    <n v="240"/>
    <x v="3"/>
    <x v="4"/>
    <n v="1"/>
    <n v="40320"/>
    <n v="152.62507008"/>
    <n v="168"/>
    <s v="Jan"/>
    <x v="3"/>
    <m/>
    <m/>
  </r>
  <r>
    <n v="84164937"/>
    <x v="3"/>
    <n v="-27"/>
    <d v="2026-01-24T00:00:00"/>
    <s v="BJ US-IC-ChubbyHubby-8 1PT"/>
    <x v="30"/>
    <n v="3.7853439999999999E-3"/>
    <n v="240"/>
    <x v="3"/>
    <x v="13"/>
    <n v="1"/>
    <n v="-27"/>
    <n v="-0.102204288"/>
    <n v="-0.1125"/>
    <s v="Jan"/>
    <x v="3"/>
    <m/>
    <m/>
  </r>
  <r>
    <n v="68817793"/>
    <x v="0"/>
    <n v="122"/>
    <d v="2026-01-24T00:00:00"/>
    <s v="BR Mint CHOC Chip 6 1.5QT"/>
    <x v="7"/>
    <n v="8.5199999999999998E-3"/>
    <n v="176"/>
    <x v="0"/>
    <x v="0"/>
    <n v="1"/>
    <n v="122"/>
    <n v="1.0394399999999999"/>
    <n v="0.69318181818181823"/>
    <s v="Jan"/>
    <x v="3"/>
    <m/>
    <m/>
  </r>
  <r>
    <n v="68741742"/>
    <x v="0"/>
    <n v="151"/>
    <d v="2026-01-24T00:00:00"/>
    <s v="GH Strawberry Shortcake Bar 8-6PK"/>
    <x v="15"/>
    <n v="4.2560000000000002E-3"/>
    <n v="154"/>
    <x v="7"/>
    <x v="8"/>
    <n v="1"/>
    <n v="151"/>
    <n v="0.64265600000000001"/>
    <n v="0.98051948051948057"/>
    <s v="Jan"/>
    <x v="3"/>
    <m/>
    <m/>
  </r>
  <r>
    <n v="64341106"/>
    <x v="1"/>
    <n v="391"/>
    <d v="2026-01-24T00:00:00"/>
    <s v="PS Jolly Rancher Pop 6-18PK"/>
    <x v="16"/>
    <n v="5.2680000000000001E-3"/>
    <n v="130"/>
    <x v="6"/>
    <x v="7"/>
    <n v="1"/>
    <n v="391"/>
    <n v="2.0597880000000002"/>
    <n v="3.0076923076923077"/>
    <s v="Jan"/>
    <x v="3"/>
    <m/>
    <m/>
  </r>
  <r>
    <n v="69725082"/>
    <x v="0"/>
    <n v="495"/>
    <d v="2026-01-24T00:00:00"/>
    <s v="PS OCG 6-18PK"/>
    <x v="32"/>
    <n v="5.2680000000000001E-3"/>
    <n v="130"/>
    <x v="6"/>
    <x v="15"/>
    <n v="1"/>
    <n v="495"/>
    <n v="2.6076600000000001"/>
    <n v="3.8076923076923075"/>
    <s v="Jan"/>
    <x v="3"/>
    <m/>
    <m/>
  </r>
  <r>
    <n v="64341968"/>
    <x v="0"/>
    <n v="624"/>
    <d v="2026-01-24T00:00:00"/>
    <s v="BR CO-B SNICKERS 6 1.5QT"/>
    <x v="12"/>
    <n v="8.5199999999999998E-3"/>
    <n v="176"/>
    <x v="0"/>
    <x v="0"/>
    <n v="1"/>
    <n v="624"/>
    <n v="5.3164800000000003"/>
    <n v="3.5454545454545454"/>
    <s v="Jan"/>
    <x v="3"/>
    <m/>
    <m/>
  </r>
  <r>
    <n v="69717803"/>
    <x v="1"/>
    <n v="680"/>
    <d v="2026-01-24T00:00:00"/>
    <s v="BR Carbsmart Almond Bar 8-6PK"/>
    <x v="13"/>
    <n v="4.2560000000000002E-3"/>
    <n v="143"/>
    <x v="5"/>
    <x v="6"/>
    <n v="1"/>
    <n v="680"/>
    <n v="2.8940800000000002"/>
    <n v="4.755244755244755"/>
    <s v="Jan"/>
    <x v="3"/>
    <m/>
    <m/>
  </r>
  <r>
    <n v="69629468"/>
    <x v="1"/>
    <n v="780"/>
    <d v="2026-01-24T00:00:00"/>
    <s v="PS Fudgesicle NSA 6-18PK"/>
    <x v="14"/>
    <n v="5.2680000000000001E-3"/>
    <n v="130"/>
    <x v="6"/>
    <x v="7"/>
    <n v="1"/>
    <n v="780"/>
    <n v="4.1090400000000002"/>
    <n v="6"/>
    <s v="Jan"/>
    <x v="3"/>
    <m/>
    <m/>
  </r>
  <r>
    <n v="69988931"/>
    <x v="1"/>
    <n v="799"/>
    <d v="2026-01-24T00:00:00"/>
    <s v="MG Mini Classic/Almond/White VP 6-6PK"/>
    <x v="23"/>
    <n v="1.98E-3"/>
    <n v="176"/>
    <x v="5"/>
    <x v="6"/>
    <n v="1"/>
    <n v="799"/>
    <n v="1.58202"/>
    <n v="4.5397727272727275"/>
    <s v="Jan"/>
    <x v="3"/>
    <m/>
    <m/>
  </r>
  <r>
    <n v="84139000"/>
    <x v="3"/>
    <n v="940"/>
    <d v="2026-01-24T00:00:00"/>
    <s v="BJ US-IC-SaltCaramelBlondie-FTNG-1 2.4G"/>
    <x v="10"/>
    <n v="9.0848256361922702E-3"/>
    <n v="125"/>
    <x v="13"/>
    <x v="20"/>
    <n v="1"/>
    <n v="940"/>
    <n v="8.5397360980207342"/>
    <n v="7.52"/>
    <s v="Jan"/>
    <x v="3"/>
    <m/>
    <m/>
  </r>
  <r>
    <n v="64789261"/>
    <x v="0"/>
    <n v="1086"/>
    <d v="2026-01-24T00:00:00"/>
    <s v="GH CHOC Eclair 1-24PK OOH"/>
    <x v="18"/>
    <n v="2.8319999999999999E-3"/>
    <n v="225"/>
    <x v="7"/>
    <x v="8"/>
    <n v="1"/>
    <n v="1086"/>
    <n v="3.0755520000000001"/>
    <n v="4.8266666666666671"/>
    <s v="Jan"/>
    <x v="3"/>
    <m/>
    <m/>
  </r>
  <r>
    <n v="69991925"/>
    <x v="1"/>
    <n v="1139"/>
    <d v="2026-01-24T00:00:00"/>
    <s v="MG Almond Duet 8-3PK"/>
    <x v="26"/>
    <n v="2.0400000000000001E-3"/>
    <n v="210"/>
    <x v="5"/>
    <x v="6"/>
    <n v="1"/>
    <n v="1139"/>
    <n v="2.3235600000000001"/>
    <n v="5.4238095238095241"/>
    <s v="Jan"/>
    <x v="3"/>
    <m/>
    <m/>
  </r>
  <r>
    <n v="68710285"/>
    <x v="0"/>
    <n v="1189"/>
    <d v="2026-01-24T00:00:00"/>
    <s v="KL Krunch Bar 12-6PK"/>
    <x v="20"/>
    <n v="9.5760000000000012E-3"/>
    <n v="132"/>
    <x v="1"/>
    <x v="2"/>
    <n v="1"/>
    <n v="1189"/>
    <n v="11.385864000000002"/>
    <n v="9.0075757575757578"/>
    <s v="Jan"/>
    <x v="3"/>
    <m/>
    <m/>
  </r>
  <r>
    <n v="68852591"/>
    <x v="1"/>
    <n v="1235"/>
    <d v="2026-01-24T00:00:00"/>
    <s v="KL Heath Bar 12-6PK"/>
    <x v="21"/>
    <n v="8.5199999999999998E-3"/>
    <n v="132"/>
    <x v="1"/>
    <x v="11"/>
    <n v="1"/>
    <n v="1235"/>
    <n v="10.5222"/>
    <n v="9.3560606060606055"/>
    <s v="Jan"/>
    <x v="3"/>
    <m/>
    <m/>
  </r>
  <r>
    <n v="68689251"/>
    <x v="0"/>
    <n v="1360"/>
    <d v="2026-01-24T00:00:00"/>
    <s v="KL Original Vanilla Bar 12-6PK"/>
    <x v="2"/>
    <n v="9.5760000000000012E-3"/>
    <n v="132"/>
    <x v="1"/>
    <x v="2"/>
    <n v="1"/>
    <n v="1360"/>
    <n v="13.023360000000002"/>
    <n v="10.303030303030303"/>
    <s v="Jan"/>
    <x v="3"/>
    <m/>
    <m/>
  </r>
  <r>
    <n v="68850684"/>
    <x v="0"/>
    <n v="1707"/>
    <d v="2026-01-24T00:00:00"/>
    <s v="BR French Vanilla 6-1.5QT"/>
    <x v="0"/>
    <n v="8.5199999999999998E-3"/>
    <n v="176"/>
    <x v="0"/>
    <x v="0"/>
    <n v="1"/>
    <n v="1707"/>
    <n v="14.54364"/>
    <n v="9.6988636363636367"/>
    <s v="Jan"/>
    <x v="3"/>
    <m/>
    <m/>
  </r>
  <r>
    <n v="68741742"/>
    <x v="1"/>
    <n v="2273"/>
    <d v="2026-01-24T00:00:00"/>
    <s v="GH Strawberry Shortcake Bar 8-6PK"/>
    <x v="19"/>
    <n v="4.2560000000000002E-3"/>
    <n v="154"/>
    <x v="7"/>
    <x v="10"/>
    <n v="1"/>
    <n v="2273"/>
    <n v="9.6738879999999998"/>
    <n v="14.75974025974026"/>
    <s v="Jan"/>
    <x v="3"/>
    <m/>
    <m/>
  </r>
  <r>
    <n v="69564623"/>
    <x v="1"/>
    <n v="2816"/>
    <d v="2026-01-24T00:00:00"/>
    <s v="BR ND Vanilla 6 1.5QT"/>
    <x v="5"/>
    <n v="8.5199999999999998E-3"/>
    <n v="176"/>
    <x v="0"/>
    <x v="1"/>
    <n v="1"/>
    <n v="2816"/>
    <n v="23.992319999999999"/>
    <n v="16"/>
    <s v="Jan"/>
    <x v="3"/>
    <m/>
    <m/>
  </r>
  <r>
    <n v="69988931"/>
    <x v="1"/>
    <n v="2816"/>
    <d v="2026-01-24T00:00:00"/>
    <s v="MG Mini Classic/Almond/White VP 6-6PK"/>
    <x v="23"/>
    <n v="1.98E-3"/>
    <n v="176"/>
    <x v="5"/>
    <x v="6"/>
    <n v="1"/>
    <n v="2816"/>
    <n v="5.5756800000000002"/>
    <n v="16"/>
    <s v="Jan"/>
    <x v="3"/>
    <m/>
    <m/>
  </r>
  <r>
    <n v="69717803"/>
    <x v="1"/>
    <n v="4107"/>
    <d v="2026-01-24T00:00:00"/>
    <s v="BR Carbsmart Almond Bar 8-6PK"/>
    <x v="13"/>
    <n v="4.2560000000000002E-3"/>
    <n v="143"/>
    <x v="5"/>
    <x v="6"/>
    <n v="1"/>
    <n v="4107"/>
    <n v="17.479392000000001"/>
    <n v="28.72027972027972"/>
    <s v="Jan"/>
    <x v="3"/>
    <m/>
    <m/>
  </r>
  <r>
    <n v="69564623"/>
    <x v="1"/>
    <n v="4113"/>
    <d v="2026-01-24T00:00:00"/>
    <s v="BR ND Vanilla 6 1.5QT"/>
    <x v="3"/>
    <n v="8.5199999999999998E-3"/>
    <n v="176"/>
    <x v="0"/>
    <x v="1"/>
    <n v="1"/>
    <n v="4113"/>
    <n v="35.042760000000001"/>
    <n v="23.369318181818183"/>
    <s v="Jan"/>
    <x v="3"/>
    <m/>
    <m/>
  </r>
  <r>
    <n v="69564623"/>
    <x v="1"/>
    <n v="4154"/>
    <d v="2026-01-24T00:00:00"/>
    <s v="BR ND Vanilla 6 1.5QT"/>
    <x v="5"/>
    <n v="8.5199999999999998E-3"/>
    <n v="176"/>
    <x v="0"/>
    <x v="1"/>
    <n v="1"/>
    <n v="4154"/>
    <n v="35.39208"/>
    <n v="23.602272727272727"/>
    <s v="Jan"/>
    <x v="3"/>
    <m/>
    <m/>
  </r>
  <r>
    <n v="68354590"/>
    <x v="1"/>
    <n v="4646"/>
    <d v="2026-01-24T00:00:00"/>
    <s v="BJ US-TOP-THICKMINT-8 450ml"/>
    <x v="17"/>
    <n v="3.5999999999999999E-3"/>
    <n v="240"/>
    <x v="8"/>
    <x v="9"/>
    <n v="1"/>
    <n v="4646"/>
    <n v="16.7256"/>
    <n v="19.358333333333334"/>
    <s v="Jan"/>
    <x v="3"/>
    <m/>
    <m/>
  </r>
  <r>
    <n v="68821734"/>
    <x v="1"/>
    <n v="4992"/>
    <d v="2026-01-24T00:00:00"/>
    <s v="BR Vanilla Chocolate 6 1.5QT"/>
    <x v="1"/>
    <n v="8.5199999999999998E-3"/>
    <n v="176"/>
    <x v="0"/>
    <x v="1"/>
    <n v="1"/>
    <n v="4992"/>
    <n v="42.531840000000003"/>
    <n v="28.363636363636363"/>
    <s v="Jan"/>
    <x v="3"/>
    <m/>
    <m/>
  </r>
  <r>
    <n v="68860662"/>
    <x v="1"/>
    <n v="5397"/>
    <d v="2026-01-24T00:00:00"/>
    <s v="Talenti Vanilla Bean 8 1PT"/>
    <x v="8"/>
    <n v="3.7839999999999996E-3"/>
    <n v="255"/>
    <x v="2"/>
    <x v="3"/>
    <n v="1"/>
    <n v="5397"/>
    <n v="20.422247999999996"/>
    <n v="21.164705882352941"/>
    <s v="Jan"/>
    <x v="3"/>
    <m/>
    <m/>
  </r>
  <r>
    <n v="65431090"/>
    <x v="1"/>
    <n v="6133"/>
    <d v="2026-01-24T00:00:00"/>
    <s v="Talenti Hazelnut Chocolate 8-1PT"/>
    <x v="9"/>
    <n v="3.7839999999999996E-3"/>
    <n v="255"/>
    <x v="2"/>
    <x v="3"/>
    <n v="1"/>
    <n v="6133"/>
    <n v="23.207271999999996"/>
    <n v="24.050980392156863"/>
    <s v="Jan"/>
    <x v="3"/>
    <m/>
    <m/>
  </r>
  <r>
    <n v="64958128"/>
    <x v="1"/>
    <n v="6368"/>
    <d v="2026-01-24T00:00:00"/>
    <s v="Yasso Mint Chocolate Chip 8-4pk"/>
    <x v="11"/>
    <n v="3.3119999999999998E-3"/>
    <n v="165"/>
    <x v="4"/>
    <x v="5"/>
    <n v="1"/>
    <n v="6368"/>
    <n v="21.090816"/>
    <n v="38.593939393939394"/>
    <s v="Jan"/>
    <x v="3"/>
    <m/>
    <m/>
  </r>
  <r>
    <n v="69991925"/>
    <x v="1"/>
    <n v="6663"/>
    <d v="2026-01-24T00:00:00"/>
    <s v="MG Almond Duet 8-3PK"/>
    <x v="26"/>
    <n v="2.0400000000000001E-3"/>
    <n v="210"/>
    <x v="5"/>
    <x v="6"/>
    <n v="1"/>
    <n v="6663"/>
    <n v="13.59252"/>
    <n v="31.728571428571428"/>
    <s v="Jan"/>
    <x v="3"/>
    <m/>
    <m/>
  </r>
  <r>
    <n v="69564623"/>
    <x v="1"/>
    <n v="7112"/>
    <d v="2026-01-24T00:00:00"/>
    <s v="BR ND Vanilla 6 1.5QT"/>
    <x v="3"/>
    <n v="8.5199999999999998E-3"/>
    <n v="176"/>
    <x v="0"/>
    <x v="1"/>
    <n v="1"/>
    <n v="7112"/>
    <n v="60.594239999999999"/>
    <n v="40.409090909090907"/>
    <s v="Jan"/>
    <x v="3"/>
    <m/>
    <m/>
  </r>
  <r>
    <n v="84137725"/>
    <x v="2"/>
    <n v="10800"/>
    <d v="2026-01-24T00:00:00"/>
    <s v="BJ US-IC-CherryGarcia-FTNG-8 1PT"/>
    <x v="10"/>
    <n v="3.7853439999999999E-3"/>
    <n v="240"/>
    <x v="3"/>
    <x v="4"/>
    <n v="1"/>
    <n v="10800"/>
    <n v="40.881715200000002"/>
    <n v="45"/>
    <s v="Jan"/>
    <x v="3"/>
    <m/>
    <m/>
  </r>
  <r>
    <n v="68821734"/>
    <x v="1"/>
    <n v="12825"/>
    <d v="2026-01-24T00:00:00"/>
    <s v="BR Vanilla Chocolate 6 1.5QT"/>
    <x v="1"/>
    <n v="8.5199999999999998E-3"/>
    <n v="176"/>
    <x v="0"/>
    <x v="1"/>
    <n v="1"/>
    <n v="12825"/>
    <n v="109.26899999999999"/>
    <n v="72.869318181818187"/>
    <s v="Jan"/>
    <x v="3"/>
    <m/>
    <m/>
  </r>
  <r>
    <n v="84141102"/>
    <x v="3"/>
    <n v="28794"/>
    <d v="2026-01-24T00:00:00"/>
    <s v="BJ US-IC-ChocFudgBrownie-FTNG-8 1PT"/>
    <x v="25"/>
    <n v="3.7853439999999999E-3"/>
    <n v="240"/>
    <x v="3"/>
    <x v="13"/>
    <n v="1"/>
    <n v="28794"/>
    <n v="108.99519513599999"/>
    <n v="119.97499999999999"/>
    <s v="Jan"/>
    <x v="3"/>
    <m/>
    <m/>
  </r>
  <r>
    <n v="84135718"/>
    <x v="3"/>
    <n v="32400"/>
    <d v="2026-01-24T00:00:00"/>
    <s v="BJ US-IC-ChocChpCookDgh-FTNG-8 1PT"/>
    <x v="30"/>
    <n v="3.7853439999999999E-3"/>
    <n v="240"/>
    <x v="3"/>
    <x v="13"/>
    <n v="1"/>
    <n v="32400"/>
    <n v="122.64514559999999"/>
    <n v="135"/>
    <s v="Jan"/>
    <x v="3"/>
    <m/>
    <m/>
  </r>
  <r>
    <n v="84135718"/>
    <x v="3"/>
    <n v="2996"/>
    <d v="2026-01-25T00:00:00"/>
    <s v="BJ US-IC-ChocChpCookDgh-FTNG-8 1PT"/>
    <x v="30"/>
    <n v="3.7853439999999999E-3"/>
    <n v="240"/>
    <x v="3"/>
    <x v="13"/>
    <n v="1"/>
    <n v="2996"/>
    <n v="11.340890624"/>
    <n v="12.483333333333333"/>
    <s v="Jan"/>
    <x v="4"/>
    <m/>
    <m/>
  </r>
  <r>
    <n v="67794169"/>
    <x v="2"/>
    <n v="26400"/>
    <d v="2026-01-25T00:00:00"/>
    <s v="BJ US-IC-TonightDough-8 1PT"/>
    <x v="24"/>
    <n v="3.7853439999999999E-3"/>
    <n v="240"/>
    <x v="3"/>
    <x v="4"/>
    <n v="1"/>
    <n v="26400"/>
    <n v="99.933081599999994"/>
    <n v="110"/>
    <s v="Jan"/>
    <x v="4"/>
    <m/>
    <m/>
  </r>
  <r>
    <n v="84141102"/>
    <x v="3"/>
    <n v="-720"/>
    <d v="2026-01-26T00:00:00"/>
    <s v="BJ US-IC-ChocFudgBrownie-FTNG-8 1PT"/>
    <x v="25"/>
    <n v="3.7853439999999999E-3"/>
    <n v="240"/>
    <x v="3"/>
    <x v="13"/>
    <n v="1"/>
    <n v="-720"/>
    <n v="-2.7254476799999998"/>
    <n v="-3"/>
    <s v="Jan"/>
    <x v="4"/>
    <m/>
    <m/>
  </r>
  <r>
    <n v="64874633"/>
    <x v="4"/>
    <n v="-280"/>
    <d v="2026-01-26T00:00:00"/>
    <s v="KL Cookies and Creme SW 1-24PK"/>
    <x v="31"/>
    <n v="3.192E-3"/>
    <n v="280"/>
    <x v="12"/>
    <x v="19"/>
    <n v="1"/>
    <n v="-280"/>
    <n v="-0.89376"/>
    <n v="-1"/>
    <s v="Jan"/>
    <x v="4"/>
    <m/>
    <m/>
  </r>
  <r>
    <n v="64789261"/>
    <x v="0"/>
    <n v="23"/>
    <d v="2026-01-26T00:00:00"/>
    <s v="GH CHOC Eclair 1-24PK OOH"/>
    <x v="18"/>
    <n v="2.8319999999999999E-3"/>
    <n v="225"/>
    <x v="7"/>
    <x v="8"/>
    <n v="1"/>
    <n v="23"/>
    <n v="6.5135999999999999E-2"/>
    <n v="0.10222222222222223"/>
    <s v="Jan"/>
    <x v="4"/>
    <m/>
    <m/>
  </r>
  <r>
    <n v="68741742"/>
    <x v="0"/>
    <n v="154"/>
    <d v="2026-01-26T00:00:00"/>
    <s v="GH Strawberry Shortcake Bar 8-6PK"/>
    <x v="15"/>
    <n v="4.2560000000000002E-3"/>
    <n v="154"/>
    <x v="7"/>
    <x v="8"/>
    <n v="1"/>
    <n v="154"/>
    <n v="0.65542400000000001"/>
    <n v="1"/>
    <s v="Jan"/>
    <x v="4"/>
    <m/>
    <m/>
  </r>
  <r>
    <n v="67794169"/>
    <x v="2"/>
    <n v="1440"/>
    <d v="2026-01-26T00:00:00"/>
    <s v="BJ US-IC-TonightDough-8 1PT"/>
    <x v="24"/>
    <n v="3.7853439999999999E-3"/>
    <n v="240"/>
    <x v="3"/>
    <x v="4"/>
    <n v="1"/>
    <n v="1440"/>
    <n v="5.4508953599999996"/>
    <n v="6"/>
    <s v="Jan"/>
    <x v="4"/>
    <m/>
    <m/>
  </r>
  <r>
    <n v="64874633"/>
    <x v="4"/>
    <n v="3640"/>
    <d v="2026-01-26T00:00:00"/>
    <s v="KL Cookies and Creme SW 1-24PK"/>
    <x v="31"/>
    <n v="3.192E-3"/>
    <n v="280"/>
    <x v="12"/>
    <x v="19"/>
    <n v="1"/>
    <n v="3640"/>
    <n v="11.618879999999999"/>
    <n v="13"/>
    <s v="Jan"/>
    <x v="4"/>
    <m/>
    <m/>
  </r>
  <r>
    <n v="68851107"/>
    <x v="1"/>
    <n v="4400"/>
    <d v="2026-01-26T00:00:00"/>
    <s v="BR NAT Vanilla 6-1.5QT"/>
    <x v="1"/>
    <n v="8.5199999999999998E-3"/>
    <n v="176"/>
    <x v="0"/>
    <x v="1"/>
    <n v="1"/>
    <n v="4400"/>
    <n v="37.488"/>
    <n v="25"/>
    <s v="Jan"/>
    <x v="4"/>
    <m/>
    <m/>
  </r>
  <r>
    <n v="67546032"/>
    <x v="3"/>
    <n v="5264"/>
    <d v="2026-01-26T00:00:00"/>
    <s v="BJ SORV-IC-TripleCrmlCk-8 458ML"/>
    <x v="24"/>
    <n v="3.6640000000000002E-3"/>
    <n v="240"/>
    <x v="10"/>
    <x v="18"/>
    <n v="1"/>
    <n v="5264"/>
    <n v="19.287296000000001"/>
    <n v="21.933333333333334"/>
    <s v="Jan"/>
    <x v="4"/>
    <m/>
    <m/>
  </r>
  <r>
    <n v="67596354"/>
    <x v="3"/>
    <n v="5760"/>
    <d v="2026-01-26T00:00:00"/>
    <s v="BJ R01-IC-TripleCaramlChnk-8 458ML"/>
    <x v="24"/>
    <n v="3.6640000000000002E-3"/>
    <n v="240"/>
    <x v="10"/>
    <x v="18"/>
    <n v="1"/>
    <n v="5760"/>
    <n v="21.10464"/>
    <n v="24"/>
    <s v="Jan"/>
    <x v="4"/>
    <m/>
    <m/>
  </r>
  <r>
    <n v="69999269"/>
    <x v="3"/>
    <n v="17040"/>
    <d v="2026-01-26T00:00:00"/>
    <s v="BJ US-IC-StrawberryChscke-FTNG-8 1PT"/>
    <x v="30"/>
    <n v="3.7839999999999996E-3"/>
    <n v="240"/>
    <x v="3"/>
    <x v="13"/>
    <n v="1"/>
    <n v="17040"/>
    <n v="64.47936"/>
    <n v="71"/>
    <s v="Jan"/>
    <x v="4"/>
    <m/>
    <m/>
  </r>
  <r>
    <n v="84141103"/>
    <x v="3"/>
    <n v="20877"/>
    <d v="2026-01-26T00:00:00"/>
    <s v="BJ US-IC-HalfBaked-FTNG-8 1PT"/>
    <x v="33"/>
    <n v="3.7853439999999999E-3"/>
    <n v="240"/>
    <x v="3"/>
    <x v="13"/>
    <n v="1"/>
    <n v="20877"/>
    <n v="79.026626687999993"/>
    <n v="86.987499999999997"/>
    <s v="Jan"/>
    <x v="4"/>
    <m/>
    <m/>
  </r>
  <r>
    <n v="67794169"/>
    <x v="2"/>
    <n v="33120"/>
    <d v="2026-01-26T00:00:00"/>
    <s v="BJ US-IC-TonightDough-8 1PT"/>
    <x v="24"/>
    <n v="3.7853439999999999E-3"/>
    <n v="240"/>
    <x v="3"/>
    <x v="4"/>
    <n v="1"/>
    <n v="33120"/>
    <n v="125.37059327999999"/>
    <n v="138"/>
    <s v="Jan"/>
    <x v="4"/>
    <m/>
    <m/>
  </r>
  <r>
    <n v="84164937"/>
    <x v="3"/>
    <n v="-830"/>
    <d v="2026-01-27T00:00:00"/>
    <s v="BJ US-IC-ChubbyHubby-8 1PT"/>
    <x v="30"/>
    <n v="3.7853439999999999E-3"/>
    <n v="240"/>
    <x v="3"/>
    <x v="13"/>
    <n v="1"/>
    <n v="-830"/>
    <n v="-3.1418355199999999"/>
    <n v="-3.4583333333333335"/>
    <s v="Jan"/>
    <x v="4"/>
    <m/>
    <m/>
  </r>
  <r>
    <n v="84141094"/>
    <x v="3"/>
    <n v="-240"/>
    <d v="2026-01-27T00:00:00"/>
    <s v="BJ US-IC AmericoneDream-FTNG-8 1PT"/>
    <x v="10"/>
    <n v="3.7839999999999996E-3"/>
    <n v="240"/>
    <x v="3"/>
    <x v="13"/>
    <n v="1"/>
    <n v="-240"/>
    <n v="-0.90815999999999986"/>
    <n v="-1"/>
    <s v="Jan"/>
    <x v="4"/>
    <m/>
    <m/>
  </r>
  <r>
    <n v="67546032"/>
    <x v="3"/>
    <n v="-112"/>
    <d v="2026-01-27T00:00:00"/>
    <s v="BJ SORV-IC-TripleCrmlCk-8 458ML"/>
    <x v="24"/>
    <n v="3.6640000000000002E-3"/>
    <n v="240"/>
    <x v="10"/>
    <x v="18"/>
    <n v="1"/>
    <n v="-112"/>
    <n v="-0.41036800000000001"/>
    <n v="-0.46666666666666667"/>
    <s v="Jan"/>
    <x v="4"/>
    <m/>
    <m/>
  </r>
  <r>
    <n v="68741714"/>
    <x v="0"/>
    <n v="4"/>
    <d v="2026-01-27T00:00:00"/>
    <s v="GH Strawberry Shortcake 1-24BK"/>
    <x v="18"/>
    <n v="2.8319999999999999E-3"/>
    <n v="225"/>
    <x v="7"/>
    <x v="8"/>
    <n v="1"/>
    <n v="4"/>
    <n v="1.1328E-2"/>
    <n v="1.7777777777777778E-2"/>
    <s v="Jan"/>
    <x v="4"/>
    <m/>
    <m/>
  </r>
  <r>
    <n v="69988931"/>
    <x v="1"/>
    <n v="53"/>
    <d v="2026-01-27T00:00:00"/>
    <s v="MG Mini Classic/Almond/White VP 6-6PK"/>
    <x v="23"/>
    <n v="1.98E-3"/>
    <n v="176"/>
    <x v="5"/>
    <x v="6"/>
    <n v="1"/>
    <n v="53"/>
    <n v="0.10494000000000001"/>
    <n v="0.30113636363636365"/>
    <s v="Jan"/>
    <x v="4"/>
    <m/>
    <m/>
  </r>
  <r>
    <n v="69717802"/>
    <x v="1"/>
    <n v="64"/>
    <d v="2026-01-27T00:00:00"/>
    <s v="BR Carbsmart IC Bars 8-6PK"/>
    <x v="23"/>
    <n v="4.2560000000000002E-3"/>
    <n v="143"/>
    <x v="5"/>
    <x v="6"/>
    <n v="1"/>
    <n v="64"/>
    <n v="0.27238400000000001"/>
    <n v="0.44755244755244755"/>
    <s v="Jan"/>
    <x v="4"/>
    <m/>
    <m/>
  </r>
  <r>
    <n v="68899825"/>
    <x v="1"/>
    <n v="72"/>
    <d v="2026-01-27T00:00:00"/>
    <s v="BR CHOC Chip 6 1.5QT"/>
    <x v="3"/>
    <n v="8.513999999999999E-3"/>
    <n v="176"/>
    <x v="0"/>
    <x v="1"/>
    <n v="1"/>
    <n v="72"/>
    <n v="0.61300799999999989"/>
    <n v="0.40909090909090912"/>
    <s v="Jan"/>
    <x v="4"/>
    <m/>
    <m/>
  </r>
  <r>
    <n v="69988931"/>
    <x v="1"/>
    <n v="80"/>
    <d v="2026-01-27T00:00:00"/>
    <s v="MG Mini Classic/Almond/White VP 6-6PK"/>
    <x v="23"/>
    <n v="1.98E-3"/>
    <n v="176"/>
    <x v="5"/>
    <x v="6"/>
    <n v="1"/>
    <n v="80"/>
    <n v="0.15839999999999999"/>
    <n v="0.45454545454545453"/>
    <s v="Jan"/>
    <x v="4"/>
    <m/>
    <m/>
  </r>
  <r>
    <n v="64988056"/>
    <x v="1"/>
    <n v="81"/>
    <d v="2026-01-27T00:00:00"/>
    <s v="BR Butter Pecan 6 1.5QT"/>
    <x v="5"/>
    <n v="8.513999999999999E-3"/>
    <n v="176"/>
    <x v="0"/>
    <x v="1"/>
    <n v="1"/>
    <n v="81"/>
    <n v="0.68963399999999997"/>
    <n v="0.46022727272727271"/>
    <s v="Jan"/>
    <x v="4"/>
    <m/>
    <m/>
  </r>
  <r>
    <n v="69564623"/>
    <x v="1"/>
    <n v="110"/>
    <d v="2026-01-27T00:00:00"/>
    <s v="BR ND Vanilla 6 1.5QT"/>
    <x v="5"/>
    <n v="8.5199999999999998E-3"/>
    <n v="176"/>
    <x v="0"/>
    <x v="1"/>
    <n v="1"/>
    <n v="110"/>
    <n v="0.93720000000000003"/>
    <n v="0.625"/>
    <s v="Jan"/>
    <x v="4"/>
    <m/>
    <m/>
  </r>
  <r>
    <n v="68710285"/>
    <x v="0"/>
    <n v="132"/>
    <d v="2026-01-27T00:00:00"/>
    <s v="KL Krunch Bar 12-6PK"/>
    <x v="20"/>
    <n v="9.5760000000000012E-3"/>
    <n v="132"/>
    <x v="1"/>
    <x v="2"/>
    <n v="1"/>
    <n v="132"/>
    <n v="1.2640320000000003"/>
    <n v="1"/>
    <s v="Jan"/>
    <x v="4"/>
    <m/>
    <m/>
  </r>
  <r>
    <n v="69564623"/>
    <x v="1"/>
    <n v="157"/>
    <d v="2026-01-27T00:00:00"/>
    <s v="BR ND Vanilla 6 1.5QT"/>
    <x v="3"/>
    <n v="8.5199999999999998E-3"/>
    <n v="176"/>
    <x v="0"/>
    <x v="1"/>
    <n v="1"/>
    <n v="157"/>
    <n v="1.3376399999999999"/>
    <n v="0.89204545454545459"/>
    <s v="Jan"/>
    <x v="4"/>
    <m/>
    <m/>
  </r>
  <r>
    <n v="84144598"/>
    <x v="1"/>
    <n v="158"/>
    <d v="2026-01-27T00:00:00"/>
    <s v="BJ US-IC-VanillaCaramelFdg-FTNG-8 1PT"/>
    <x v="22"/>
    <n v="3.7853439999999999E-3"/>
    <n v="240"/>
    <x v="3"/>
    <x v="12"/>
    <n v="1"/>
    <n v="158"/>
    <n v="0.59808435199999999"/>
    <n v="0.65833333333333333"/>
    <s v="Jan"/>
    <x v="4"/>
    <m/>
    <m/>
  </r>
  <r>
    <n v="68860662"/>
    <x v="1"/>
    <n v="174"/>
    <d v="2026-01-27T00:00:00"/>
    <s v="Talenti Vanilla Bean 8 1PT"/>
    <x v="8"/>
    <n v="3.7839999999999996E-3"/>
    <n v="255"/>
    <x v="2"/>
    <x v="3"/>
    <n v="1"/>
    <n v="174"/>
    <n v="0.65841599999999989"/>
    <n v="0.68235294117647061"/>
    <s v="Jan"/>
    <x v="4"/>
    <m/>
    <m/>
  </r>
  <r>
    <n v="68860659"/>
    <x v="1"/>
    <n v="255"/>
    <d v="2026-01-27T00:00:00"/>
    <s v="Talenti Southern Butter Pecan 8 1PT"/>
    <x v="8"/>
    <n v="3.7839999999999996E-3"/>
    <n v="255"/>
    <x v="2"/>
    <x v="3"/>
    <n v="1"/>
    <n v="255"/>
    <n v="0.96491999999999989"/>
    <n v="1"/>
    <s v="Jan"/>
    <x v="4"/>
    <m/>
    <m/>
  </r>
  <r>
    <n v="64874633"/>
    <x v="4"/>
    <n v="280"/>
    <d v="2026-01-27T00:00:00"/>
    <s v="KL Cookies and Creme SW 1-24PK"/>
    <x v="31"/>
    <n v="3.192E-3"/>
    <n v="280"/>
    <x v="12"/>
    <x v="19"/>
    <n v="1"/>
    <n v="280"/>
    <n v="0.89376"/>
    <n v="1"/>
    <s v="Jan"/>
    <x v="4"/>
    <m/>
    <m/>
  </r>
  <r>
    <n v="68867755"/>
    <x v="1"/>
    <n v="753"/>
    <d v="2026-01-27T00:00:00"/>
    <s v="Talenti LY Salted CAR Truffle 8 323.1g"/>
    <x v="9"/>
    <n v="3.552E-3"/>
    <n v="255"/>
    <x v="2"/>
    <x v="3"/>
    <n v="1"/>
    <n v="753"/>
    <n v="2.6746560000000001"/>
    <n v="2.9529411764705884"/>
    <s v="Jan"/>
    <x v="4"/>
    <m/>
    <m/>
  </r>
  <r>
    <n v="64393722"/>
    <x v="1"/>
    <n v="840"/>
    <d v="2026-01-27T00:00:00"/>
    <s v="MG Double Raspberry Bar 8-3PK"/>
    <x v="26"/>
    <n v="2.16E-3"/>
    <n v="210"/>
    <x v="5"/>
    <x v="6"/>
    <n v="1"/>
    <n v="840"/>
    <n v="1.8144"/>
    <n v="4"/>
    <s v="Jan"/>
    <x v="4"/>
    <m/>
    <m/>
  </r>
  <r>
    <n v="64958127"/>
    <x v="1"/>
    <n v="990"/>
    <d v="2026-01-27T00:00:00"/>
    <s v="Yasso Coffee Chocolate Chip 8-4pk"/>
    <x v="11"/>
    <n v="3.3119999999999998E-3"/>
    <n v="165"/>
    <x v="4"/>
    <x v="5"/>
    <n v="1"/>
    <n v="990"/>
    <n v="3.27888"/>
    <n v="6"/>
    <s v="Jan"/>
    <x v="4"/>
    <m/>
    <m/>
  </r>
  <r>
    <n v="65431090"/>
    <x v="1"/>
    <n v="1785"/>
    <d v="2026-01-27T00:00:00"/>
    <s v="Talenti Hazelnut Chocolate 8-1PT"/>
    <x v="9"/>
    <n v="3.7839999999999996E-3"/>
    <n v="255"/>
    <x v="2"/>
    <x v="3"/>
    <n v="1"/>
    <n v="1785"/>
    <n v="6.7544399999999989"/>
    <n v="7"/>
    <s v="Jan"/>
    <x v="4"/>
    <m/>
    <m/>
  </r>
  <r>
    <n v="67546042"/>
    <x v="3"/>
    <n v="2463"/>
    <d v="2026-01-27T00:00:00"/>
    <s v="BJ US-COR-ChocolateChip-8 1 PT"/>
    <x v="24"/>
    <n v="3.7853439999999999E-3"/>
    <n v="240"/>
    <x v="3"/>
    <x v="13"/>
    <n v="1"/>
    <n v="2463"/>
    <n v="9.3233022719999994"/>
    <n v="10.262499999999999"/>
    <s v="Jan"/>
    <x v="4"/>
    <m/>
    <m/>
  </r>
  <r>
    <n v="64988056"/>
    <x v="1"/>
    <n v="2640"/>
    <d v="2026-01-27T00:00:00"/>
    <s v="BR Butter Pecan 6 1.5QT"/>
    <x v="5"/>
    <n v="8.513999999999999E-3"/>
    <n v="176"/>
    <x v="0"/>
    <x v="1"/>
    <n v="1"/>
    <n v="2640"/>
    <n v="22.476959999999998"/>
    <n v="15"/>
    <s v="Jan"/>
    <x v="4"/>
    <m/>
    <m/>
  </r>
  <r>
    <n v="64984153"/>
    <x v="1"/>
    <n v="2904"/>
    <d v="2026-01-27T00:00:00"/>
    <s v="BJ US-SUN-MochaMoodPie-8 427ml"/>
    <x v="17"/>
    <n v="3.4159999999999998E-3"/>
    <n v="240"/>
    <x v="14"/>
    <x v="21"/>
    <n v="1"/>
    <n v="2904"/>
    <n v="9.920064"/>
    <n v="12.1"/>
    <s v="Jan"/>
    <x v="4"/>
    <m/>
    <m/>
  </r>
  <r>
    <n v="84139971"/>
    <x v="3"/>
    <n v="3125"/>
    <d v="2026-01-27T00:00:00"/>
    <s v="BJ US-IC-MintChocChunk-FTNG-1 2.4G"/>
    <x v="24"/>
    <n v="9.0848256361922702E-3"/>
    <n v="125"/>
    <x v="13"/>
    <x v="20"/>
    <n v="1"/>
    <n v="3125"/>
    <n v="28.390080113100844"/>
    <n v="25"/>
    <s v="Jan"/>
    <x v="4"/>
    <m/>
    <m/>
  </r>
  <r>
    <n v="68817795"/>
    <x v="0"/>
    <n v="4251"/>
    <d v="2026-01-27T00:00:00"/>
    <s v="BR HA Mint CHOC Chip 6 1.5QT"/>
    <x v="6"/>
    <n v="8.5199999999999998E-3"/>
    <n v="154"/>
    <x v="0"/>
    <x v="0"/>
    <n v="1"/>
    <n v="4251"/>
    <n v="36.218519999999998"/>
    <n v="27.603896103896105"/>
    <s v="Jan"/>
    <x v="4"/>
    <m/>
    <m/>
  </r>
  <r>
    <n v="68860662"/>
    <x v="1"/>
    <n v="4950"/>
    <d v="2026-01-27T00:00:00"/>
    <s v="Talenti Vanilla Bean 8 1PT"/>
    <x v="8"/>
    <n v="3.7839999999999996E-3"/>
    <n v="255"/>
    <x v="2"/>
    <x v="3"/>
    <n v="1"/>
    <n v="4950"/>
    <n v="18.730799999999999"/>
    <n v="19.411764705882351"/>
    <s v="Jan"/>
    <x v="4"/>
    <m/>
    <m/>
  </r>
  <r>
    <n v="67596354"/>
    <x v="3"/>
    <n v="5080"/>
    <d v="2026-01-27T00:00:00"/>
    <s v="BJ R01-IC-TripleCaramlChnk-8 458ML"/>
    <x v="24"/>
    <n v="3.6640000000000002E-3"/>
    <n v="240"/>
    <x v="10"/>
    <x v="18"/>
    <n v="1"/>
    <n v="5080"/>
    <n v="18.613120000000002"/>
    <n v="21.166666666666668"/>
    <s v="Jan"/>
    <x v="4"/>
    <m/>
    <m/>
  </r>
  <r>
    <n v="64874633"/>
    <x v="4"/>
    <n v="5320"/>
    <d v="2026-01-27T00:00:00"/>
    <s v="KL Cookies and Creme SW 1-24PK"/>
    <x v="31"/>
    <n v="3.192E-3"/>
    <n v="280"/>
    <x v="12"/>
    <x v="19"/>
    <n v="1"/>
    <n v="5320"/>
    <n v="16.981439999999999"/>
    <n v="19"/>
    <s v="Jan"/>
    <x v="4"/>
    <m/>
    <m/>
  </r>
  <r>
    <n v="68899825"/>
    <x v="1"/>
    <n v="5632"/>
    <d v="2026-01-27T00:00:00"/>
    <s v="BR CHOC Chip 6 1.5QT"/>
    <x v="3"/>
    <n v="8.513999999999999E-3"/>
    <n v="176"/>
    <x v="0"/>
    <x v="1"/>
    <n v="1"/>
    <n v="5632"/>
    <n v="47.950847999999993"/>
    <n v="32"/>
    <s v="Jan"/>
    <x v="4"/>
    <m/>
    <m/>
  </r>
  <r>
    <n v="84135718"/>
    <x v="3"/>
    <n v="5760"/>
    <d v="2026-01-27T00:00:00"/>
    <s v="BJ US-IC-ChocChpCookDgh-FTNG-8 1PT"/>
    <x v="30"/>
    <n v="3.7853439999999999E-3"/>
    <n v="240"/>
    <x v="3"/>
    <x v="13"/>
    <n v="1"/>
    <n v="5760"/>
    <n v="21.803581439999999"/>
    <n v="24"/>
    <s v="Jan"/>
    <x v="4"/>
    <m/>
    <m/>
  </r>
  <r>
    <n v="64984153"/>
    <x v="1"/>
    <n v="6506"/>
    <d v="2026-01-27T00:00:00"/>
    <s v="BJ US-SUN-MochaMoodPie-8 427ml"/>
    <x v="17"/>
    <n v="3.4159999999999998E-3"/>
    <n v="240"/>
    <x v="14"/>
    <x v="21"/>
    <n v="1"/>
    <n v="6506"/>
    <n v="22.224495999999998"/>
    <n v="27.108333333333334"/>
    <s v="Jan"/>
    <x v="4"/>
    <m/>
    <m/>
  </r>
  <r>
    <n v="68851107"/>
    <x v="1"/>
    <n v="8942"/>
    <d v="2026-01-27T00:00:00"/>
    <s v="BR NAT Vanilla 6-1.5QT"/>
    <x v="1"/>
    <n v="8.5199999999999998E-3"/>
    <n v="176"/>
    <x v="0"/>
    <x v="1"/>
    <n v="1"/>
    <n v="8942"/>
    <n v="76.185839999999999"/>
    <n v="50.80681818181818"/>
    <s v="Jan"/>
    <x v="4"/>
    <m/>
    <m/>
  </r>
  <r>
    <n v="68851107"/>
    <x v="1"/>
    <n v="10965"/>
    <d v="2026-01-27T00:00:00"/>
    <s v="BR NAT Vanilla 6-1.5QT"/>
    <x v="1"/>
    <n v="8.5199999999999998E-3"/>
    <n v="176"/>
    <x v="0"/>
    <x v="1"/>
    <n v="1"/>
    <n v="10965"/>
    <n v="93.421800000000005"/>
    <n v="62.301136363636367"/>
    <s v="Jan"/>
    <x v="4"/>
    <m/>
    <m/>
  </r>
  <r>
    <n v="69999269"/>
    <x v="3"/>
    <n v="14632"/>
    <d v="2026-01-27T00:00:00"/>
    <s v="BJ US-IC-StrawberryChscke-FTNG-8 1PT"/>
    <x v="30"/>
    <n v="3.7839999999999996E-3"/>
    <n v="240"/>
    <x v="3"/>
    <x v="13"/>
    <n v="1"/>
    <n v="14632"/>
    <n v="55.367487999999994"/>
    <n v="60.966666666666669"/>
    <s v="Jan"/>
    <x v="4"/>
    <m/>
    <m/>
  </r>
  <r>
    <n v="68860662"/>
    <x v="1"/>
    <n v="14656"/>
    <d v="2026-01-27T00:00:00"/>
    <s v="Talenti Vanilla Bean 8 1PT"/>
    <x v="8"/>
    <n v="3.7839999999999996E-3"/>
    <n v="255"/>
    <x v="2"/>
    <x v="3"/>
    <n v="1"/>
    <n v="14656"/>
    <n v="55.458303999999991"/>
    <n v="57.47450980392157"/>
    <s v="Jan"/>
    <x v="4"/>
    <m/>
    <m/>
  </r>
  <r>
    <n v="84138391"/>
    <x v="3"/>
    <n v="15600"/>
    <d v="2026-01-27T00:00:00"/>
    <s v="BJ US-IC-PhishFood-FTNG-8 1PT"/>
    <x v="10"/>
    <n v="3.7853439999999999E-3"/>
    <n v="240"/>
    <x v="3"/>
    <x v="13"/>
    <n v="1"/>
    <n v="15600"/>
    <n v="59.051366399999999"/>
    <n v="65"/>
    <s v="Jan"/>
    <x v="4"/>
    <m/>
    <m/>
  </r>
  <r>
    <n v="67794169"/>
    <x v="2"/>
    <n v="29490"/>
    <d v="2026-01-27T00:00:00"/>
    <s v="BJ US-IC-TonightDough-8 1PT"/>
    <x v="24"/>
    <n v="3.7853439999999999E-3"/>
    <n v="240"/>
    <x v="3"/>
    <x v="4"/>
    <n v="1"/>
    <n v="29490"/>
    <n v="111.62979455999999"/>
    <n v="122.875"/>
    <s v="Jan"/>
    <x v="4"/>
    <m/>
    <m/>
  </r>
  <r>
    <n v="62714126"/>
    <x v="5"/>
    <n v="2600"/>
    <d v="2026-01-05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9665113"/>
    <x v="6"/>
    <n v="6656"/>
    <d v="2026-01-06T00:00:00"/>
    <s v="BJ US-CD-CCCD-FTNG-8 8z"/>
    <x v="34"/>
    <n v="1.8160000000000001E-3"/>
    <n v="256"/>
    <x v="15"/>
    <x v="23"/>
    <n v="1"/>
    <n v="6656"/>
    <n v="12.087296"/>
    <n v="26"/>
    <s v="Jan"/>
    <x v="1"/>
    <m/>
    <m/>
  </r>
  <r>
    <n v="62714126"/>
    <x v="5"/>
    <n v="2600"/>
    <d v="2026-01-07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4833353"/>
    <x v="5"/>
    <n v="2600"/>
    <d v="2026-01-07T00:00:00"/>
    <s v="PS SF Tropical 6-18PK"/>
    <x v="34"/>
    <n v="5.28E-3"/>
    <n v="130"/>
    <x v="6"/>
    <x v="22"/>
    <n v="1"/>
    <n v="2600"/>
    <n v="13.728"/>
    <n v="20"/>
    <s v="Jan"/>
    <x v="1"/>
    <m/>
    <m/>
  </r>
  <r>
    <n v="64833353"/>
    <x v="5"/>
    <n v="2600"/>
    <d v="2026-01-07T00:00:00"/>
    <s v="PS SF Tropical 6-18PK"/>
    <x v="34"/>
    <n v="5.28E-3"/>
    <n v="130"/>
    <x v="6"/>
    <x v="22"/>
    <n v="1"/>
    <n v="2600"/>
    <n v="13.728"/>
    <n v="20"/>
    <s v="Jan"/>
    <x v="1"/>
    <m/>
    <m/>
  </r>
  <r>
    <n v="64833353"/>
    <x v="5"/>
    <n v="2600"/>
    <d v="2026-01-07T00:00:00"/>
    <s v="PS SF Tropical 6-18PK"/>
    <x v="34"/>
    <n v="5.28E-3"/>
    <n v="130"/>
    <x v="6"/>
    <x v="22"/>
    <n v="1"/>
    <n v="2600"/>
    <n v="13.728"/>
    <n v="20"/>
    <s v="Jan"/>
    <x v="1"/>
    <m/>
    <m/>
  </r>
  <r>
    <n v="64833353"/>
    <x v="5"/>
    <n v="2600"/>
    <d v="2026-01-08T00:00:00"/>
    <s v="PS SF Tropical 6-18PK"/>
    <x v="34"/>
    <n v="5.28E-3"/>
    <n v="130"/>
    <x v="6"/>
    <x v="22"/>
    <n v="1"/>
    <n v="2600"/>
    <n v="13.728"/>
    <n v="20"/>
    <s v="Jan"/>
    <x v="1"/>
    <m/>
    <m/>
  </r>
  <r>
    <n v="64833353"/>
    <x v="5"/>
    <n v="2600"/>
    <d v="2026-01-08T00:00:00"/>
    <s v="PS SF Tropical 6-18PK"/>
    <x v="34"/>
    <n v="5.28E-3"/>
    <n v="130"/>
    <x v="6"/>
    <x v="22"/>
    <n v="1"/>
    <n v="2600"/>
    <n v="13.728"/>
    <n v="20"/>
    <s v="Jan"/>
    <x v="1"/>
    <m/>
    <m/>
  </r>
  <r>
    <n v="62714126"/>
    <x v="5"/>
    <n v="2600"/>
    <d v="2026-01-08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9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9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9T00:00:00"/>
    <s v="PS OCG SF 6-18PK"/>
    <x v="34"/>
    <n v="5.2680000000000001E-3"/>
    <n v="130"/>
    <x v="6"/>
    <x v="22"/>
    <n v="1"/>
    <n v="2600"/>
    <n v="13.6968"/>
    <n v="20"/>
    <s v="Jan"/>
    <x v="1"/>
    <m/>
    <m/>
  </r>
  <r>
    <n v="69665113"/>
    <x v="6"/>
    <n v="5120"/>
    <d v="2026-01-09T00:00:00"/>
    <s v="BJ US-CD-CCCD-FTNG-8 8z"/>
    <x v="34"/>
    <n v="1.8160000000000001E-3"/>
    <n v="256"/>
    <x v="15"/>
    <x v="23"/>
    <n v="1"/>
    <n v="5120"/>
    <n v="9.2979200000000013"/>
    <n v="20"/>
    <s v="Jan"/>
    <x v="1"/>
    <m/>
    <m/>
  </r>
  <r>
    <n v="68264519"/>
    <x v="6"/>
    <n v="6144"/>
    <d v="2026-01-09T00:00:00"/>
    <s v="BJ US-CD-Half Baked Dough-8 6z"/>
    <x v="34"/>
    <n v="1.419504E-3"/>
    <n v="256"/>
    <x v="15"/>
    <x v="23"/>
    <n v="1"/>
    <n v="6144"/>
    <n v="8.7214325759999998"/>
    <n v="24"/>
    <s v="Jan"/>
    <x v="1"/>
    <m/>
    <m/>
  </r>
  <r>
    <n v="62714126"/>
    <x v="5"/>
    <n v="2600"/>
    <d v="2026-01-12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4833353"/>
    <x v="5"/>
    <n v="2600"/>
    <d v="2026-01-12T00:00:00"/>
    <s v="PS SF Tropical 6-18PK"/>
    <x v="34"/>
    <n v="5.28E-3"/>
    <n v="130"/>
    <x v="6"/>
    <x v="22"/>
    <n v="1"/>
    <n v="2600"/>
    <n v="13.728"/>
    <n v="20"/>
    <s v="Jan"/>
    <x v="2"/>
    <m/>
    <m/>
  </r>
  <r>
    <n v="62714126"/>
    <x v="5"/>
    <n v="2600"/>
    <d v="2026-01-13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3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3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4833353"/>
    <x v="5"/>
    <n v="2600"/>
    <d v="2026-01-13T00:00:00"/>
    <s v="PS SF Tropical 6-18PK"/>
    <x v="34"/>
    <n v="5.28E-3"/>
    <n v="130"/>
    <x v="6"/>
    <x v="22"/>
    <n v="1"/>
    <n v="2600"/>
    <n v="13.728"/>
    <n v="20"/>
    <s v="Jan"/>
    <x v="2"/>
    <m/>
    <m/>
  </r>
  <r>
    <n v="64833353"/>
    <x v="5"/>
    <n v="2600"/>
    <d v="2026-01-13T00:00:00"/>
    <s v="PS SF Tropical 6-18PK"/>
    <x v="34"/>
    <n v="5.28E-3"/>
    <n v="130"/>
    <x v="6"/>
    <x v="22"/>
    <n v="1"/>
    <n v="2600"/>
    <n v="13.728"/>
    <n v="20"/>
    <s v="Jan"/>
    <x v="2"/>
    <m/>
    <m/>
  </r>
  <r>
    <n v="64341108"/>
    <x v="7"/>
    <n v="4200"/>
    <d v="2026-01-13T00:00:00"/>
    <s v="PS SpongeBob Facepiece 1-20PK"/>
    <x v="34"/>
    <n v="2.3599999999999997E-3"/>
    <n v="210"/>
    <x v="16"/>
    <x v="24"/>
    <n v="1"/>
    <n v="4200"/>
    <n v="9.911999999999999"/>
    <n v="20"/>
    <s v="Jan"/>
    <x v="2"/>
    <m/>
    <m/>
  </r>
  <r>
    <n v="62714126"/>
    <x v="5"/>
    <n v="2600"/>
    <d v="2026-01-14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4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4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4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4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4833353"/>
    <x v="5"/>
    <n v="2600"/>
    <d v="2026-01-14T00:00:00"/>
    <s v="PS SF Tropical 6-18PK"/>
    <x v="34"/>
    <n v="5.28E-3"/>
    <n v="130"/>
    <x v="6"/>
    <x v="22"/>
    <n v="1"/>
    <n v="2600"/>
    <n v="13.728"/>
    <n v="20"/>
    <s v="Jan"/>
    <x v="2"/>
    <m/>
    <m/>
  </r>
  <r>
    <n v="64833353"/>
    <x v="5"/>
    <n v="2600"/>
    <d v="2026-01-14T00:00:00"/>
    <s v="PS SF Tropical 6-18PK"/>
    <x v="34"/>
    <n v="5.28E-3"/>
    <n v="130"/>
    <x v="6"/>
    <x v="22"/>
    <n v="1"/>
    <n v="2600"/>
    <n v="13.728"/>
    <n v="20"/>
    <s v="Jan"/>
    <x v="2"/>
    <m/>
    <m/>
  </r>
  <r>
    <n v="64341108"/>
    <x v="7"/>
    <n v="4200"/>
    <d v="2026-01-14T00:00:00"/>
    <s v="PS SpongeBob Facepiece 1-20PK"/>
    <x v="34"/>
    <n v="2.3599999999999997E-3"/>
    <n v="210"/>
    <x v="16"/>
    <x v="24"/>
    <n v="1"/>
    <n v="4200"/>
    <n v="9.911999999999999"/>
    <n v="20"/>
    <s v="Jan"/>
    <x v="2"/>
    <m/>
    <m/>
  </r>
  <r>
    <n v="62714126"/>
    <x v="5"/>
    <n v="2600"/>
    <d v="2026-01-15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4341108"/>
    <x v="7"/>
    <n v="4200"/>
    <d v="2026-01-15T00:00:00"/>
    <s v="PS SpongeBob Facepiece 1-20PK"/>
    <x v="34"/>
    <n v="2.3599999999999997E-3"/>
    <n v="210"/>
    <x v="16"/>
    <x v="24"/>
    <n v="1"/>
    <n v="4200"/>
    <n v="9.911999999999999"/>
    <n v="20"/>
    <s v="Jan"/>
    <x v="2"/>
    <m/>
    <m/>
  </r>
  <r>
    <n v="64341108"/>
    <x v="7"/>
    <n v="4200"/>
    <d v="2026-01-15T00:00:00"/>
    <s v="PS SpongeBob Facepiece 1-20PK"/>
    <x v="34"/>
    <n v="2.3599999999999997E-3"/>
    <n v="210"/>
    <x v="16"/>
    <x v="24"/>
    <n v="1"/>
    <n v="4200"/>
    <n v="9.911999999999999"/>
    <n v="20"/>
    <s v="Jan"/>
    <x v="2"/>
    <m/>
    <m/>
  </r>
  <r>
    <n v="64341108"/>
    <x v="7"/>
    <n v="4200"/>
    <d v="2026-01-15T00:00:00"/>
    <s v="PS SpongeBob Facepiece 1-20PK"/>
    <x v="34"/>
    <n v="2.3599999999999997E-3"/>
    <n v="210"/>
    <x v="16"/>
    <x v="24"/>
    <n v="1"/>
    <n v="4200"/>
    <n v="9.911999999999999"/>
    <n v="20"/>
    <s v="Jan"/>
    <x v="2"/>
    <m/>
    <m/>
  </r>
  <r>
    <n v="62714126"/>
    <x v="5"/>
    <n v="2600"/>
    <d v="2026-01-16T00:00:00"/>
    <s v="PS OCG SF 6-18PK"/>
    <x v="34"/>
    <n v="5.2680000000000001E-3"/>
    <n v="130"/>
    <x v="6"/>
    <x v="22"/>
    <n v="1"/>
    <n v="2600"/>
    <n v="13.6968"/>
    <n v="20"/>
    <s v="Jan"/>
    <x v="2"/>
    <m/>
    <m/>
  </r>
  <r>
    <n v="64401837"/>
    <x v="7"/>
    <n v="3000"/>
    <d v="2026-01-16T00:00:00"/>
    <s v="PS Frozen Olaf Facepiece IH 6-6PK"/>
    <x v="34"/>
    <n v="2.16E-3"/>
    <n v="150"/>
    <x v="16"/>
    <x v="24"/>
    <n v="1"/>
    <n v="3000"/>
    <n v="6.48"/>
    <n v="20"/>
    <s v="Jan"/>
    <x v="2"/>
    <m/>
    <m/>
  </r>
  <r>
    <n v="68264519"/>
    <x v="6"/>
    <n v="3072"/>
    <d v="2026-01-16T00:00:00"/>
    <s v="BJ US-CD-Half Baked Dough-8 6z"/>
    <x v="34"/>
    <n v="1.419504E-3"/>
    <n v="256"/>
    <x v="15"/>
    <x v="23"/>
    <n v="1"/>
    <n v="3072"/>
    <n v="4.3607162879999999"/>
    <n v="12"/>
    <s v="Jan"/>
    <x v="2"/>
    <m/>
    <m/>
  </r>
  <r>
    <n v="68654232"/>
    <x v="6"/>
    <n v="5632"/>
    <d v="2026-01-16T00:00:00"/>
    <s v="BJ US-CD-Smores-8 8z"/>
    <x v="34"/>
    <n v="1.8959999999999999E-3"/>
    <n v="256"/>
    <x v="15"/>
    <x v="23"/>
    <n v="1"/>
    <n v="5632"/>
    <n v="10.678272"/>
    <n v="22"/>
    <s v="Jan"/>
    <x v="2"/>
    <m/>
    <m/>
  </r>
  <r>
    <n v="69665114"/>
    <x v="6"/>
    <n v="7151"/>
    <d v="2026-01-16T00:00:00"/>
    <s v="BJ US-CD-SugarCookieDough-8 8z"/>
    <x v="34"/>
    <n v="1.8160000000000001E-3"/>
    <n v="256"/>
    <x v="15"/>
    <x v="23"/>
    <n v="1"/>
    <n v="7151"/>
    <n v="12.986216000000001"/>
    <n v="27.93359375"/>
    <s v="Jan"/>
    <x v="2"/>
    <m/>
    <m/>
  </r>
  <r>
    <n v="69665113"/>
    <x v="6"/>
    <n v="7936"/>
    <d v="2026-01-16T00:00:00"/>
    <s v="BJ US-CD-CCCD-FTNG-8 8z"/>
    <x v="34"/>
    <n v="1.8160000000000001E-3"/>
    <n v="256"/>
    <x v="15"/>
    <x v="23"/>
    <n v="1"/>
    <n v="7936"/>
    <n v="14.411776000000001"/>
    <n v="31"/>
    <s v="Jan"/>
    <x v="2"/>
    <m/>
    <m/>
  </r>
  <r>
    <n v="64833353"/>
    <x v="5"/>
    <n v="2600"/>
    <d v="2026-01-18T00:00:00"/>
    <s v="PS SF Tropical 6-18PK"/>
    <x v="34"/>
    <n v="5.28E-3"/>
    <n v="130"/>
    <x v="6"/>
    <x v="22"/>
    <n v="1"/>
    <n v="2600"/>
    <n v="13.728"/>
    <n v="20"/>
    <s v="Jan"/>
    <x v="3"/>
    <m/>
    <m/>
  </r>
  <r>
    <n v="62714126"/>
    <x v="5"/>
    <n v="2600"/>
    <d v="2026-01-19T00:00:00"/>
    <s v="PS OCG SF 6-18PK"/>
    <x v="34"/>
    <n v="5.2680000000000001E-3"/>
    <n v="130"/>
    <x v="6"/>
    <x v="22"/>
    <n v="1"/>
    <n v="2600"/>
    <n v="13.6968"/>
    <n v="20"/>
    <s v="Jan"/>
    <x v="3"/>
    <m/>
    <m/>
  </r>
  <r>
    <n v="64833353"/>
    <x v="5"/>
    <n v="2600"/>
    <d v="2026-01-19T00:00:00"/>
    <s v="PS SF Tropical 6-18PK"/>
    <x v="34"/>
    <n v="5.28E-3"/>
    <n v="130"/>
    <x v="6"/>
    <x v="22"/>
    <n v="1"/>
    <n v="2600"/>
    <n v="13.728"/>
    <n v="20"/>
    <s v="Jan"/>
    <x v="3"/>
    <m/>
    <m/>
  </r>
  <r>
    <n v="64833353"/>
    <x v="5"/>
    <n v="2600"/>
    <d v="2026-01-19T00:00:00"/>
    <s v="PS SF Tropical 6-18PK"/>
    <x v="34"/>
    <n v="5.28E-3"/>
    <n v="130"/>
    <x v="6"/>
    <x v="22"/>
    <n v="1"/>
    <n v="2600"/>
    <n v="13.728"/>
    <n v="20"/>
    <s v="Jan"/>
    <x v="3"/>
    <m/>
    <m/>
  </r>
  <r>
    <n v="64365613"/>
    <x v="7"/>
    <n v="3900"/>
    <d v="2026-01-19T00:00:00"/>
    <s v="PS Spiderman Facepiece 6-6PK"/>
    <x v="34"/>
    <n v="2.1540000000000001E-3"/>
    <n v="195"/>
    <x v="16"/>
    <x v="24"/>
    <n v="1"/>
    <n v="3900"/>
    <n v="8.4006000000000007"/>
    <n v="20"/>
    <s v="Jan"/>
    <x v="3"/>
    <m/>
    <m/>
  </r>
  <r>
    <n v="64365613"/>
    <x v="7"/>
    <n v="3900"/>
    <d v="2026-01-19T00:00:00"/>
    <s v="PS Spiderman Facepiece 6-6PK"/>
    <x v="34"/>
    <n v="2.1540000000000001E-3"/>
    <n v="195"/>
    <x v="16"/>
    <x v="24"/>
    <n v="1"/>
    <n v="3900"/>
    <n v="8.4006000000000007"/>
    <n v="20"/>
    <s v="Jan"/>
    <x v="3"/>
    <m/>
    <m/>
  </r>
  <r>
    <n v="64365613"/>
    <x v="7"/>
    <n v="3900"/>
    <d v="2026-01-19T00:00:00"/>
    <s v="PS Spiderman Facepiece 6-6PK"/>
    <x v="34"/>
    <n v="2.1540000000000001E-3"/>
    <n v="195"/>
    <x v="16"/>
    <x v="24"/>
    <n v="1"/>
    <n v="3900"/>
    <n v="8.4006000000000007"/>
    <n v="20"/>
    <s v="Jan"/>
    <x v="3"/>
    <m/>
    <m/>
  </r>
  <r>
    <n v="64365613"/>
    <x v="7"/>
    <n v="3900"/>
    <d v="2026-01-19T00:00:00"/>
    <s v="PS Spiderman Facepiece 6-6PK"/>
    <x v="34"/>
    <n v="2.1540000000000001E-3"/>
    <n v="195"/>
    <x v="16"/>
    <x v="24"/>
    <n v="1"/>
    <n v="3900"/>
    <n v="8.4006000000000007"/>
    <n v="20"/>
    <s v="Jan"/>
    <x v="3"/>
    <m/>
    <m/>
  </r>
  <r>
    <n v="64401837"/>
    <x v="7"/>
    <n v="3000"/>
    <d v="2026-01-20T00:00:00"/>
    <s v="PS Frozen Olaf Facepiece IH 6-6PK"/>
    <x v="34"/>
    <n v="2.16E-3"/>
    <n v="150"/>
    <x v="16"/>
    <x v="24"/>
    <n v="1"/>
    <n v="3000"/>
    <n v="6.48"/>
    <n v="20"/>
    <s v="Jan"/>
    <x v="3"/>
    <m/>
    <m/>
  </r>
  <r>
    <n v="64401837"/>
    <x v="7"/>
    <n v="3000"/>
    <d v="2026-01-20T00:00:00"/>
    <s v="PS Frozen Olaf Facepiece IH 6-6PK"/>
    <x v="34"/>
    <n v="2.16E-3"/>
    <n v="150"/>
    <x v="16"/>
    <x v="24"/>
    <n v="1"/>
    <n v="3000"/>
    <n v="6.48"/>
    <n v="20"/>
    <s v="Jan"/>
    <x v="3"/>
    <m/>
    <m/>
  </r>
  <r>
    <n v="64401837"/>
    <x v="7"/>
    <n v="3000"/>
    <d v="2026-01-20T00:00:00"/>
    <s v="PS Frozen Olaf Facepiece IH 6-6PK"/>
    <x v="34"/>
    <n v="2.16E-3"/>
    <n v="150"/>
    <x v="16"/>
    <x v="24"/>
    <n v="1"/>
    <n v="3000"/>
    <n v="6.48"/>
    <n v="20"/>
    <s v="Jan"/>
    <x v="3"/>
    <m/>
    <m/>
  </r>
  <r>
    <n v="64401837"/>
    <x v="7"/>
    <n v="3000"/>
    <d v="2026-01-20T00:00:00"/>
    <s v="PS Frozen Olaf Facepiece IH 6-6PK"/>
    <x v="34"/>
    <n v="2.16E-3"/>
    <n v="150"/>
    <x v="16"/>
    <x v="24"/>
    <n v="1"/>
    <n v="3000"/>
    <n v="6.48"/>
    <n v="20"/>
    <s v="Jan"/>
    <x v="3"/>
    <m/>
    <m/>
  </r>
  <r>
    <n v="64341108"/>
    <x v="7"/>
    <n v="4200"/>
    <d v="2026-01-20T00:00:00"/>
    <s v="PS SpongeBob Facepiece 1-20PK"/>
    <x v="34"/>
    <n v="2.3599999999999997E-3"/>
    <n v="210"/>
    <x v="16"/>
    <x v="24"/>
    <n v="1"/>
    <n v="4200"/>
    <n v="9.911999999999999"/>
    <n v="20"/>
    <s v="Jan"/>
    <x v="3"/>
    <m/>
    <m/>
  </r>
  <r>
    <n v="64341108"/>
    <x v="7"/>
    <n v="4200"/>
    <d v="2026-01-20T00:00:00"/>
    <s v="PS SpongeBob Facepiece 1-20PK"/>
    <x v="34"/>
    <n v="2.3599999999999997E-3"/>
    <n v="210"/>
    <x v="16"/>
    <x v="24"/>
    <n v="1"/>
    <n v="4200"/>
    <n v="9.911999999999999"/>
    <n v="20"/>
    <s v="Jan"/>
    <x v="3"/>
    <m/>
    <m/>
  </r>
  <r>
    <n v="64341108"/>
    <x v="7"/>
    <n v="4200"/>
    <d v="2026-01-20T00:00:00"/>
    <s v="PS SpongeBob Facepiece 1-20PK"/>
    <x v="34"/>
    <n v="2.3599999999999997E-3"/>
    <n v="210"/>
    <x v="16"/>
    <x v="24"/>
    <n v="1"/>
    <n v="4200"/>
    <n v="9.911999999999999"/>
    <n v="20"/>
    <s v="Jan"/>
    <x v="3"/>
    <m/>
    <m/>
  </r>
  <r>
    <n v="62714126"/>
    <x v="5"/>
    <n v="2600"/>
    <d v="2026-01-21T00:00:00"/>
    <s v="PS OCG SF 6-18PK"/>
    <x v="34"/>
    <n v="5.2680000000000001E-3"/>
    <n v="130"/>
    <x v="6"/>
    <x v="22"/>
    <n v="1"/>
    <n v="2600"/>
    <n v="13.6968"/>
    <n v="20"/>
    <s v="Jan"/>
    <x v="3"/>
    <m/>
    <m/>
  </r>
  <r>
    <n v="62714126"/>
    <x v="5"/>
    <n v="2600"/>
    <d v="2026-01-21T00:00:00"/>
    <s v="PS OCG SF 6-18PK"/>
    <x v="34"/>
    <n v="5.2680000000000001E-3"/>
    <n v="130"/>
    <x v="6"/>
    <x v="22"/>
    <n v="1"/>
    <n v="2600"/>
    <n v="13.6968"/>
    <n v="20"/>
    <s v="Jan"/>
    <x v="3"/>
    <m/>
    <m/>
  </r>
  <r>
    <n v="62714126"/>
    <x v="5"/>
    <n v="2600"/>
    <d v="2026-01-21T00:00:00"/>
    <s v="PS OCG SF 6-18PK"/>
    <x v="34"/>
    <n v="5.2680000000000001E-3"/>
    <n v="130"/>
    <x v="6"/>
    <x v="22"/>
    <n v="1"/>
    <n v="2600"/>
    <n v="13.6968"/>
    <n v="20"/>
    <s v="Jan"/>
    <x v="3"/>
    <m/>
    <m/>
  </r>
  <r>
    <n v="64771676"/>
    <x v="7"/>
    <n v="3900"/>
    <d v="2026-01-21T00:00:00"/>
    <s v="PS SpongeBob Facepiece IH 6-6PK"/>
    <x v="34"/>
    <n v="2.16E-3"/>
    <n v="195"/>
    <x v="16"/>
    <x v="24"/>
    <n v="1"/>
    <n v="3900"/>
    <n v="8.4239999999999995"/>
    <n v="20"/>
    <s v="Jan"/>
    <x v="3"/>
    <m/>
    <m/>
  </r>
  <r>
    <n v="64771676"/>
    <x v="7"/>
    <n v="3900"/>
    <d v="2026-01-21T00:00:00"/>
    <s v="PS SpongeBob Facepiece IH 6-6PK"/>
    <x v="34"/>
    <n v="2.16E-3"/>
    <n v="195"/>
    <x v="16"/>
    <x v="24"/>
    <n v="1"/>
    <n v="3900"/>
    <n v="8.4239999999999995"/>
    <n v="20"/>
    <s v="Jan"/>
    <x v="3"/>
    <m/>
    <m/>
  </r>
  <r>
    <n v="64771676"/>
    <x v="7"/>
    <n v="3900"/>
    <d v="2026-01-21T00:00:00"/>
    <s v="PS SpongeBob Facepiece IH 6-6PK"/>
    <x v="34"/>
    <n v="2.16E-3"/>
    <n v="195"/>
    <x v="16"/>
    <x v="24"/>
    <n v="1"/>
    <n v="3900"/>
    <n v="8.4239999999999995"/>
    <n v="20"/>
    <s v="Jan"/>
    <x v="3"/>
    <m/>
    <m/>
  </r>
  <r>
    <n v="64771676"/>
    <x v="7"/>
    <n v="3900"/>
    <d v="2026-01-21T00:00:00"/>
    <s v="PS SpongeBob Facepiece IH 6-6PK"/>
    <x v="34"/>
    <n v="2.16E-3"/>
    <n v="195"/>
    <x v="16"/>
    <x v="24"/>
    <n v="1"/>
    <n v="3900"/>
    <n v="8.4239999999999995"/>
    <n v="20"/>
    <s v="Jan"/>
    <x v="3"/>
    <m/>
    <m/>
  </r>
  <r>
    <n v="62714126"/>
    <x v="5"/>
    <n v="2600"/>
    <d v="2026-01-22T00:00:00"/>
    <s v="PS OCG SF 6-18PK"/>
    <x v="34"/>
    <n v="5.2680000000000001E-3"/>
    <n v="130"/>
    <x v="6"/>
    <x v="22"/>
    <n v="1"/>
    <n v="2600"/>
    <n v="13.6968"/>
    <n v="20"/>
    <s v="Jan"/>
    <x v="3"/>
    <m/>
    <m/>
  </r>
  <r>
    <n v="62714126"/>
    <x v="5"/>
    <n v="2600"/>
    <d v="2026-01-22T00:00:00"/>
    <s v="PS OCG SF 6-18PK"/>
    <x v="34"/>
    <n v="5.2680000000000001E-3"/>
    <n v="130"/>
    <x v="6"/>
    <x v="22"/>
    <n v="1"/>
    <n v="2600"/>
    <n v="13.6968"/>
    <n v="20"/>
    <s v="Jan"/>
    <x v="3"/>
    <m/>
    <m/>
  </r>
  <r>
    <n v="64771676"/>
    <x v="7"/>
    <n v="3900"/>
    <d v="2026-01-22T00:00:00"/>
    <s v="PS SpongeBob Facepiece IH 6-6PK"/>
    <x v="34"/>
    <n v="2.16E-3"/>
    <n v="195"/>
    <x v="16"/>
    <x v="24"/>
    <n v="1"/>
    <n v="3900"/>
    <n v="8.4239999999999995"/>
    <n v="20"/>
    <s v="Jan"/>
    <x v="3"/>
    <m/>
    <m/>
  </r>
  <r>
    <n v="68264519"/>
    <x v="6"/>
    <n v="3328"/>
    <d v="2026-01-23T00:00:00"/>
    <s v="BJ US-CD-Half Baked Dough-8 6z"/>
    <x v="34"/>
    <n v="1.419504E-3"/>
    <n v="256"/>
    <x v="15"/>
    <x v="23"/>
    <n v="1"/>
    <n v="3328"/>
    <n v="4.7241093120000004"/>
    <n v="13"/>
    <s v="Jan"/>
    <x v="3"/>
    <m/>
    <m/>
  </r>
  <r>
    <n v="64365613"/>
    <x v="7"/>
    <n v="3900"/>
    <d v="2026-01-23T00:00:00"/>
    <s v="PS Spiderman Facepiece 6-6PK"/>
    <x v="34"/>
    <n v="2.1540000000000001E-3"/>
    <n v="195"/>
    <x v="16"/>
    <x v="24"/>
    <n v="1"/>
    <n v="3900"/>
    <n v="8.4006000000000007"/>
    <n v="20"/>
    <s v="Jan"/>
    <x v="3"/>
    <m/>
    <m/>
  </r>
  <r>
    <n v="64341108"/>
    <x v="7"/>
    <n v="4200"/>
    <d v="2026-01-23T00:00:00"/>
    <s v="PS SpongeBob Facepiece 1-20PK"/>
    <x v="34"/>
    <n v="2.3599999999999997E-3"/>
    <n v="210"/>
    <x v="16"/>
    <x v="24"/>
    <n v="1"/>
    <n v="4200"/>
    <n v="9.911999999999999"/>
    <n v="20"/>
    <s v="Jan"/>
    <x v="3"/>
    <m/>
    <m/>
  </r>
  <r>
    <n v="64341108"/>
    <x v="7"/>
    <n v="4200"/>
    <d v="2026-01-23T00:00:00"/>
    <s v="PS SpongeBob Facepiece 1-20PK"/>
    <x v="34"/>
    <n v="2.3599999999999997E-3"/>
    <n v="210"/>
    <x v="16"/>
    <x v="24"/>
    <n v="1"/>
    <n v="4200"/>
    <n v="9.911999999999999"/>
    <n v="20"/>
    <s v="Jan"/>
    <x v="3"/>
    <m/>
    <m/>
  </r>
  <r>
    <n v="69665113"/>
    <x v="6"/>
    <n v="8704"/>
    <d v="2026-01-23T00:00:00"/>
    <s v="BJ US-CD-CCCD-FTNG-8 8z"/>
    <x v="34"/>
    <n v="1.8160000000000001E-3"/>
    <n v="256"/>
    <x v="15"/>
    <x v="23"/>
    <n v="1"/>
    <n v="8704"/>
    <n v="15.806464000000002"/>
    <n v="34"/>
    <s v="Jan"/>
    <x v="3"/>
    <m/>
    <m/>
  </r>
  <r>
    <n v="64771676"/>
    <x v="7"/>
    <n v="3900"/>
    <d v="2026-01-26T00:00:00"/>
    <s v="PS SpongeBob Facepiece IH 6-6PK"/>
    <x v="34"/>
    <n v="2.16E-3"/>
    <n v="195"/>
    <x v="16"/>
    <x v="24"/>
    <n v="1"/>
    <n v="3900"/>
    <n v="8.4239999999999995"/>
    <n v="20"/>
    <s v="Jan"/>
    <x v="4"/>
    <m/>
    <m/>
  </r>
  <r>
    <n v="64341108"/>
    <x v="7"/>
    <n v="4200"/>
    <d v="2026-01-26T00:00:00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341109"/>
    <x v="7"/>
    <n v="4200"/>
    <d v="2026-01-26T00:00:00"/>
    <s v="PS Spiderman Facepiece 1-20PK"/>
    <x v="34"/>
    <n v="2E-3"/>
    <n v="210"/>
    <x v="16"/>
    <x v="24"/>
    <n v="1"/>
    <n v="4200"/>
    <n v="8.4"/>
    <n v="20"/>
    <s v="Jan"/>
    <x v="4"/>
    <m/>
    <m/>
  </r>
  <r>
    <n v="64341109"/>
    <x v="7"/>
    <n v="4200"/>
    <d v="2026-01-26T00:00:00"/>
    <s v="PS Spiderman Facepiece 1-20PK"/>
    <x v="34"/>
    <n v="2E-3"/>
    <n v="210"/>
    <x v="16"/>
    <x v="24"/>
    <n v="1"/>
    <n v="4200"/>
    <n v="8.4"/>
    <n v="20"/>
    <s v="Jan"/>
    <x v="4"/>
    <m/>
    <m/>
  </r>
  <r>
    <n v="64341108"/>
    <x v="7"/>
    <n v="4200"/>
    <d v="2026-01-27T00:00:00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341108"/>
    <x v="7"/>
    <n v="4200"/>
    <d v="2026-01-27T00:00:00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978550"/>
    <x v="8"/>
    <n v="11440"/>
    <d v="2026-01-09T00:00:00"/>
    <s v="GH Almond Joy Candy Bar 8-6PK"/>
    <x v="35"/>
    <n v="2.8399999999999996E-3"/>
    <n v="130"/>
    <x v="17"/>
    <x v="25"/>
    <n v="1"/>
    <n v="11440"/>
    <n v="32.489599999999996"/>
    <n v="88"/>
    <s v="Jan"/>
    <x v="1"/>
    <m/>
    <m/>
  </r>
  <r>
    <n v="64413478"/>
    <x v="8"/>
    <n v="19956"/>
    <d v="2026-01-09T00:00:00"/>
    <s v="BJ US-IC-ChocChpCookDgh-FTNG-12 4FOZ"/>
    <x v="35"/>
    <n v="1.4159999999999999E-3"/>
    <n v="468"/>
    <x v="18"/>
    <x v="26"/>
    <n v="1"/>
    <n v="19956"/>
    <n v="28.257695999999999"/>
    <n v="42.641025641025642"/>
    <s v="Jan"/>
    <x v="1"/>
    <m/>
    <m/>
  </r>
  <r>
    <n v="64804361"/>
    <x v="8"/>
    <n v="697"/>
    <d v="2026-01-12T00:00:00"/>
    <s v="BJ US-PUP-Pumpkincoockie 108p 4flz"/>
    <x v="35"/>
    <n v="1.2960000000000001E-2"/>
    <n v="50"/>
    <x v="18"/>
    <x v="26"/>
    <n v="1"/>
    <n v="697"/>
    <n v="9.0331200000000003"/>
    <n v="13.94"/>
    <s v="Jan"/>
    <x v="2"/>
    <m/>
    <m/>
  </r>
  <r>
    <n v="64804365"/>
    <x v="8"/>
    <n v="4981"/>
    <d v="2026-01-16T00:00:00"/>
    <s v="BJ US-PUP-PB Pretzel 6-4PK"/>
    <x v="35"/>
    <n v="2.8799999999999997E-3"/>
    <n v="180"/>
    <x v="18"/>
    <x v="26"/>
    <n v="1"/>
    <n v="4981"/>
    <n v="14.345279999999999"/>
    <n v="27.672222222222221"/>
    <s v="Jan"/>
    <x v="2"/>
    <m/>
    <m/>
  </r>
  <r>
    <n v="64875812"/>
    <x v="8"/>
    <n v="9353"/>
    <d v="2026-01-16T00:00:00"/>
    <s v="KL Vanilla Sandwich 8-6 PK"/>
    <x v="35"/>
    <n v="6.0000000000000001E-3"/>
    <n v="108"/>
    <x v="12"/>
    <x v="27"/>
    <n v="1"/>
    <n v="9353"/>
    <n v="56.118000000000002"/>
    <n v="86.601851851851848"/>
    <s v="Jan"/>
    <x v="2"/>
    <m/>
    <m/>
  </r>
  <r>
    <n v="64874636"/>
    <x v="8"/>
    <n v="14731"/>
    <d v="2026-01-16T00:00:00"/>
    <s v="BR Smores SW 6-4ct"/>
    <x v="35"/>
    <n v="2.8380000000000002E-3"/>
    <n v="189"/>
    <x v="12"/>
    <x v="27"/>
    <n v="1"/>
    <n v="14731"/>
    <n v="41.806578000000002"/>
    <n v="77.941798941798936"/>
    <s v="Jan"/>
    <x v="2"/>
    <m/>
    <m/>
  </r>
  <r>
    <n v="64376316"/>
    <x v="8"/>
    <n v="119771"/>
    <d v="2026-01-16T00:00:00"/>
    <s v="Yasso Cookies n Cream Club 1-15pk"/>
    <x v="35"/>
    <n v="1.5449999999999999E-3"/>
    <n v="240"/>
    <x v="19"/>
    <x v="28"/>
    <n v="1"/>
    <n v="119771"/>
    <n v="185.04619499999998"/>
    <n v="499.04583333333335"/>
    <s v="Jan"/>
    <x v="2"/>
    <m/>
    <m/>
  </r>
  <r>
    <n v="64328806"/>
    <x v="8"/>
    <n v="33867"/>
    <d v="2026-01-19T00:00:00"/>
    <s v="KL Reeses SW 6-4PK"/>
    <x v="35"/>
    <n v="2.8380000000000002E-3"/>
    <n v="189"/>
    <x v="12"/>
    <x v="27"/>
    <n v="1"/>
    <n v="33867"/>
    <n v="96.114546000000004"/>
    <n v="179.1904761904762"/>
    <s v="Jan"/>
    <x v="3"/>
    <m/>
    <m/>
  </r>
  <r>
    <n v="64413476"/>
    <x v="8"/>
    <n v="33517"/>
    <d v="2026-01-22T00:00:00"/>
    <s v="BJ US-IC-ChocFudgBrownie-FTNG-12 4FOZ"/>
    <x v="35"/>
    <n v="1.4399999999999999E-3"/>
    <n v="468"/>
    <x v="18"/>
    <x v="26"/>
    <n v="1"/>
    <n v="33517"/>
    <n v="48.264479999999999"/>
    <n v="71.617521367521363"/>
    <s v="Jan"/>
    <x v="3"/>
    <m/>
    <m/>
  </r>
  <r>
    <n v="64326407"/>
    <x v="9"/>
    <n v="99"/>
    <d v="2026-01-20T00:00:00"/>
    <s v="Yasso Coffee Poppables 10-6.84flz"/>
    <x v="36"/>
    <n v="2.0200000000000001E-3"/>
    <n v="200"/>
    <x v="20"/>
    <x v="29"/>
    <n v="1"/>
    <n v="99"/>
    <n v="0.19998000000000002"/>
    <n v="0.495"/>
    <s v="Jan"/>
    <x v="3"/>
    <m/>
    <m/>
  </r>
  <r>
    <n v="64976848"/>
    <x v="10"/>
    <n v="15119"/>
    <d v="2026-01-02T00:00:00"/>
    <s v="Yasso Fudge Chocolate Crunch 8-4pk"/>
    <x v="37"/>
    <n v="2.5040000000000001E-3"/>
    <n v="165"/>
    <x v="4"/>
    <x v="30"/>
    <n v="1"/>
    <n v="15119"/>
    <n v="37.857976000000001"/>
    <n v="91.630303030303025"/>
    <s v="Jan"/>
    <x v="0"/>
    <m/>
    <m/>
  </r>
  <r>
    <n v="64958122"/>
    <x v="10"/>
    <n v="4950"/>
    <d v="2026-01-07T00:00:00"/>
    <s v="Yasso Sea Salt Caramel 8-4pk"/>
    <x v="37"/>
    <n v="3.3119999999999998E-3"/>
    <n v="165"/>
    <x v="4"/>
    <x v="30"/>
    <n v="1"/>
    <n v="4950"/>
    <n v="16.394400000000001"/>
    <n v="30"/>
    <s v="Jan"/>
    <x v="1"/>
    <m/>
    <m/>
  </r>
  <r>
    <n v="64976837"/>
    <x v="10"/>
    <n v="20968"/>
    <d v="2026-01-12T00:00:00"/>
    <s v="Yasso Cherry Chocolate Crunch 8-4pk"/>
    <x v="37"/>
    <n v="2.5040000000000001E-3"/>
    <n v="165"/>
    <x v="4"/>
    <x v="30"/>
    <n v="1"/>
    <n v="20968"/>
    <n v="52.503872000000001"/>
    <n v="127.07878787878788"/>
    <s v="Jan"/>
    <x v="2"/>
    <m/>
    <m/>
  </r>
  <r>
    <n v="64955559"/>
    <x v="10"/>
    <n v="38030"/>
    <d v="2026-01-12T00:00:00"/>
    <s v="Yasso Strawberries n Cream 8-4pk"/>
    <x v="37"/>
    <n v="3.3119999999999998E-3"/>
    <n v="165"/>
    <x v="4"/>
    <x v="30"/>
    <n v="1"/>
    <n v="38030"/>
    <n v="125.95536"/>
    <n v="230.4848484848485"/>
    <s v="Jan"/>
    <x v="2"/>
    <m/>
    <m/>
  </r>
  <r>
    <n v="64976837"/>
    <x v="10"/>
    <n v="23811"/>
    <d v="2026-01-14T00:00:00"/>
    <s v="Yasso Cherry Chocolate Crunch 8-4pk"/>
    <x v="37"/>
    <n v="2.5040000000000001E-3"/>
    <n v="165"/>
    <x v="4"/>
    <x v="30"/>
    <n v="1"/>
    <n v="23811"/>
    <n v="59.622744000000004"/>
    <n v="144.30909090909091"/>
    <s v="Jan"/>
    <x v="2"/>
    <m/>
    <m/>
  </r>
  <r>
    <n v="64976847"/>
    <x v="10"/>
    <n v="22860"/>
    <d v="2026-01-16T00:00:00"/>
    <s v="Yasso Vanilla Chocolate Crunch 8-4pk"/>
    <x v="37"/>
    <n v="2.5040000000000001E-3"/>
    <n v="165"/>
    <x v="4"/>
    <x v="30"/>
    <n v="1"/>
    <n v="22860"/>
    <n v="57.241440000000004"/>
    <n v="138.54545454545453"/>
    <s v="Jan"/>
    <x v="2"/>
    <m/>
    <m/>
  </r>
  <r>
    <n v="64976848"/>
    <x v="10"/>
    <n v="24714"/>
    <d v="2026-01-20T00:00:00"/>
    <s v="Yasso Fudge Chocolate Crunch 8-4pk"/>
    <x v="37"/>
    <n v="2.5040000000000001E-3"/>
    <n v="165"/>
    <x v="4"/>
    <x v="30"/>
    <n v="1"/>
    <n v="24714"/>
    <n v="61.883856000000002"/>
    <n v="149.78181818181818"/>
    <s v="Jan"/>
    <x v="3"/>
    <m/>
    <m/>
  </r>
  <r>
    <n v="64958129"/>
    <x v="10"/>
    <n v="8856"/>
    <d v="2026-01-26T00:00:00"/>
    <s v="Yasso Chocolate Chip Cookie Dough 8-4pk"/>
    <x v="37"/>
    <n v="3.3119999999999998E-3"/>
    <n v="165"/>
    <x v="4"/>
    <x v="30"/>
    <n v="1"/>
    <n v="8856"/>
    <n v="29.331071999999999"/>
    <n v="53.672727272727272"/>
    <s v="Jan"/>
    <x v="4"/>
    <m/>
    <m/>
  </r>
  <r>
    <n v="64975613"/>
    <x v="11"/>
    <n v="26481"/>
    <d v="2026-01-05T00:00:00"/>
    <s v="Yasso Chocolate Chip Cookie Dough 8-14z"/>
    <x v="38"/>
    <n v="3.3119999999999998E-3"/>
    <n v="240"/>
    <x v="11"/>
    <x v="31"/>
    <n v="1"/>
    <n v="26481"/>
    <n v="87.705072000000001"/>
    <n v="110.33750000000001"/>
    <s v="Jan"/>
    <x v="1"/>
    <m/>
    <m/>
  </r>
  <r>
    <n v="64999073"/>
    <x v="11"/>
    <n v="25814"/>
    <d v="2026-01-07T00:00:00"/>
    <s v="Yasso Cookies n Cream 8-14z"/>
    <x v="38"/>
    <n v="3.3119999999999998E-3"/>
    <n v="240"/>
    <x v="11"/>
    <x v="31"/>
    <n v="1"/>
    <n v="25814"/>
    <n v="85.495967999999991"/>
    <n v="107.55833333333334"/>
    <s v="Jan"/>
    <x v="1"/>
    <m/>
    <m/>
  </r>
  <r>
    <n v="65218505"/>
    <x v="11"/>
    <n v="26119"/>
    <d v="2026-01-07T00:00:00"/>
    <s v="Yasso Chocolate Fudge Brownie 8-4pk"/>
    <x v="38"/>
    <n v="3.3119999999999998E-3"/>
    <n v="165"/>
    <x v="4"/>
    <x v="32"/>
    <n v="1"/>
    <n v="26119"/>
    <n v="86.50612799999999"/>
    <n v="158.29696969696971"/>
    <s v="Jan"/>
    <x v="1"/>
    <m/>
    <m/>
  </r>
  <r>
    <n v="64975613"/>
    <x v="11"/>
    <n v="26749"/>
    <d v="2026-01-07T00:00:00"/>
    <s v="Yasso Chocolate Chip Cookie Dough 8-14z"/>
    <x v="38"/>
    <n v="3.3119999999999998E-3"/>
    <n v="240"/>
    <x v="11"/>
    <x v="31"/>
    <n v="1"/>
    <n v="26749"/>
    <n v="88.592687999999995"/>
    <n v="111.45416666666667"/>
    <s v="Jan"/>
    <x v="1"/>
    <m/>
    <m/>
  </r>
  <r>
    <n v="64975613"/>
    <x v="11"/>
    <n v="12793"/>
    <d v="2026-01-08T00:00:00"/>
    <s v="Yasso Chocolate Chip Cookie Dough 8-14z"/>
    <x v="38"/>
    <n v="3.3119999999999998E-3"/>
    <n v="240"/>
    <x v="11"/>
    <x v="31"/>
    <n v="1"/>
    <n v="12793"/>
    <n v="42.370415999999999"/>
    <n v="53.304166666666667"/>
    <s v="Jan"/>
    <x v="1"/>
    <m/>
    <m/>
  </r>
  <r>
    <n v="64999073"/>
    <x v="11"/>
    <n v="12884"/>
    <d v="2026-01-08T00:00:00"/>
    <s v="Yasso Cookies n Cream 8-14z"/>
    <x v="38"/>
    <n v="3.3119999999999998E-3"/>
    <n v="240"/>
    <x v="11"/>
    <x v="31"/>
    <n v="1"/>
    <n v="12884"/>
    <n v="42.671807999999999"/>
    <n v="53.68333333333333"/>
    <s v="Jan"/>
    <x v="1"/>
    <m/>
    <m/>
  </r>
  <r>
    <n v="64999073"/>
    <x v="11"/>
    <n v="26326"/>
    <d v="2026-01-09T00:00:00"/>
    <s v="Yasso Cookies n Cream 8-14z"/>
    <x v="38"/>
    <n v="3.3119999999999998E-3"/>
    <n v="240"/>
    <x v="11"/>
    <x v="31"/>
    <n v="1"/>
    <n v="26326"/>
    <n v="87.191711999999995"/>
    <n v="109.69166666666666"/>
    <s v="Jan"/>
    <x v="1"/>
    <m/>
    <m/>
  </r>
  <r>
    <n v="64975616"/>
    <x v="11"/>
    <n v="26399"/>
    <d v="2026-01-09T00:00:00"/>
    <s v="Yasso Mint Chocolate Chip 8-14z"/>
    <x v="38"/>
    <n v="3.3119999999999998E-3"/>
    <n v="240"/>
    <x v="11"/>
    <x v="31"/>
    <n v="1"/>
    <n v="26399"/>
    <n v="87.433487999999997"/>
    <n v="109.99583333333334"/>
    <s v="Jan"/>
    <x v="1"/>
    <m/>
    <m/>
  </r>
  <r>
    <n v="64975614"/>
    <x v="11"/>
    <n v="25815"/>
    <d v="2026-01-13T00:00:00"/>
    <s v="Yasso Fudge Brownie 8-14z"/>
    <x v="38"/>
    <n v="3.3119999999999998E-3"/>
    <n v="240"/>
    <x v="11"/>
    <x v="31"/>
    <n v="1"/>
    <n v="25815"/>
    <n v="85.499279999999999"/>
    <n v="107.5625"/>
    <s v="Jan"/>
    <x v="2"/>
    <m/>
    <m/>
  </r>
  <r>
    <n v="64999042"/>
    <x v="11"/>
    <n v="26420"/>
    <d v="2026-01-13T00:00:00"/>
    <s v="Yasso Coffee Chocolate Chip 8-14z"/>
    <x v="38"/>
    <n v="3.3119999999999998E-3"/>
    <n v="240"/>
    <x v="11"/>
    <x v="31"/>
    <n v="1"/>
    <n v="26420"/>
    <n v="87.503039999999999"/>
    <n v="110.08333333333333"/>
    <s v="Jan"/>
    <x v="2"/>
    <m/>
    <m/>
  </r>
  <r>
    <n v="64976851"/>
    <x v="12"/>
    <n v="15804"/>
    <d v="2026-01-02T00:00:00"/>
    <s v="Yasso Caramel Chocolate Crunch 8-4pk"/>
    <x v="39"/>
    <n v="2.5040000000000001E-3"/>
    <n v="165"/>
    <x v="4"/>
    <x v="33"/>
    <n v="1"/>
    <n v="15804"/>
    <n v="39.573216000000002"/>
    <n v="95.781818181818181"/>
    <s v="Jan"/>
    <x v="0"/>
    <m/>
    <m/>
  </r>
  <r>
    <n v="64967299"/>
    <x v="12"/>
    <n v="16500"/>
    <d v="2026-01-02T00:00:00"/>
    <s v="GH Giant Cookies and Cream Cone 1-12PK"/>
    <x v="39"/>
    <n v="2.8439999999999997E-3"/>
    <n v="240"/>
    <x v="17"/>
    <x v="34"/>
    <n v="1"/>
    <n v="16500"/>
    <n v="46.925999999999995"/>
    <n v="68.75"/>
    <s v="Jan"/>
    <x v="0"/>
    <m/>
    <m/>
  </r>
  <r>
    <n v="64976847"/>
    <x v="12"/>
    <n v="40374"/>
    <d v="2026-01-06T00:00:00"/>
    <s v="Yasso Vanilla Chocolate Crunch 8-4pk"/>
    <x v="39"/>
    <n v="2.5040000000000001E-3"/>
    <n v="165"/>
    <x v="4"/>
    <x v="33"/>
    <n v="1"/>
    <n v="40374"/>
    <n v="101.096496"/>
    <n v="244.69090909090909"/>
    <s v="Jan"/>
    <x v="1"/>
    <m/>
    <m/>
  </r>
  <r>
    <n v="64958122"/>
    <x v="12"/>
    <n v="17432"/>
    <d v="2026-01-21T00:00:00"/>
    <s v="Yasso Sea Salt Caramel 8-4pk"/>
    <x v="39"/>
    <n v="3.3119999999999998E-3"/>
    <n v="165"/>
    <x v="4"/>
    <x v="33"/>
    <n v="1"/>
    <n v="17432"/>
    <n v="57.734783999999998"/>
    <n v="105.64848484848486"/>
    <s v="Jan"/>
    <x v="3"/>
    <m/>
    <m/>
  </r>
  <r>
    <n v="64967299"/>
    <x v="12"/>
    <n v="22081"/>
    <d v="2026-01-21T00:00:00"/>
    <s v="GH Giant Cookies and Cream Cone 1-12PK"/>
    <x v="39"/>
    <n v="2.8439999999999997E-3"/>
    <n v="240"/>
    <x v="17"/>
    <x v="34"/>
    <n v="1"/>
    <n v="22081"/>
    <n v="62.798363999999992"/>
    <n v="92.004166666666663"/>
    <s v="Jan"/>
    <x v="3"/>
    <m/>
    <m/>
  </r>
  <r>
    <n v="64967300"/>
    <x v="12"/>
    <n v="240"/>
    <d v="2026-01-22T00:00:00"/>
    <s v="GH Giant King Cone 1-12PK"/>
    <x v="39"/>
    <n v="2.8319999999999999E-3"/>
    <n v="240"/>
    <x v="17"/>
    <x v="34"/>
    <n v="1"/>
    <n v="240"/>
    <n v="0.67967999999999995"/>
    <n v="1"/>
    <s v="Jan"/>
    <x v="3"/>
    <m/>
    <m/>
  </r>
  <r>
    <n v="65489677"/>
    <x v="12"/>
    <n v="7870"/>
    <d v="2026-01-24T00:00:00"/>
    <s v="GH King Cone Giant VAN CHOC 1-12PK"/>
    <x v="39"/>
    <n v="2.8319999999999999E-3"/>
    <n v="221"/>
    <x v="17"/>
    <x v="34"/>
    <n v="1"/>
    <n v="7870"/>
    <n v="22.287839999999999"/>
    <n v="35.610859728506789"/>
    <s v="Jan"/>
    <x v="3"/>
    <m/>
    <m/>
  </r>
  <r>
    <n v="64958127"/>
    <x v="12"/>
    <n v="9959"/>
    <d v="2026-01-26T00:00:00"/>
    <s v="Yasso Coffee Chocolate Chip 8-4pk"/>
    <x v="39"/>
    <n v="3.3119999999999998E-3"/>
    <n v="165"/>
    <x v="4"/>
    <x v="33"/>
    <n v="1"/>
    <n v="9959"/>
    <n v="32.984207999999995"/>
    <n v="60.357575757575759"/>
    <s v="Jan"/>
    <x v="4"/>
    <m/>
    <m/>
  </r>
  <r>
    <n v="65089667"/>
    <x v="13"/>
    <n v="9986"/>
    <d v="2026-01-06T00:00:00"/>
    <s v="BR Carbsmart IC Bars For CS 1(3)6-PK"/>
    <x v="40"/>
    <n v="8.8999999999999995E-5"/>
    <n v="150"/>
    <x v="17"/>
    <x v="35"/>
    <n v="1"/>
    <n v="9986"/>
    <n v="0.88875399999999993"/>
    <n v="66.573333333333338"/>
    <s v="Jan"/>
    <x v="1"/>
    <m/>
    <m/>
  </r>
  <r>
    <n v="64854330"/>
    <x v="13"/>
    <n v="989"/>
    <d v="2026-01-08T00:00:00"/>
    <s v="MG Double Caramel RFA 8(3) 3PK"/>
    <x v="40"/>
    <n v="6.4800000000000005E-3"/>
    <n v="30"/>
    <x v="21"/>
    <x v="36"/>
    <n v="1"/>
    <n v="989"/>
    <n v="6.4087200000000006"/>
    <n v="32.966666666666669"/>
    <s v="Jan"/>
    <x v="1"/>
    <m/>
    <m/>
  </r>
  <r>
    <n v="64854330"/>
    <x v="13"/>
    <n v="999"/>
    <d v="2026-01-08T00:00:00"/>
    <s v="MG Double Caramel RFA 8(3) 3PK"/>
    <x v="40"/>
    <n v="6.4800000000000005E-3"/>
    <n v="30"/>
    <x v="21"/>
    <x v="36"/>
    <n v="1"/>
    <n v="999"/>
    <n v="6.4735200000000006"/>
    <n v="33.299999999999997"/>
    <s v="Jan"/>
    <x v="1"/>
    <m/>
    <m/>
  </r>
  <r>
    <n v="64854330"/>
    <x v="13"/>
    <n v="994"/>
    <d v="2026-01-16T00:00:00"/>
    <s v="MG Double Caramel RFA 8(3) 3PK"/>
    <x v="40"/>
    <n v="6.4800000000000005E-3"/>
    <n v="30"/>
    <x v="21"/>
    <x v="36"/>
    <n v="1"/>
    <n v="994"/>
    <n v="6.4411200000000006"/>
    <n v="33.133333333333333"/>
    <s v="Jan"/>
    <x v="2"/>
    <m/>
    <m/>
  </r>
  <r>
    <n v="64854330"/>
    <x v="13"/>
    <n v="995"/>
    <d v="2026-01-16T00:00:00"/>
    <s v="MG Double Caramel RFA 8(3) 3PK"/>
    <x v="40"/>
    <n v="6.4800000000000005E-3"/>
    <n v="30"/>
    <x v="21"/>
    <x v="36"/>
    <n v="1"/>
    <n v="995"/>
    <n v="6.4476000000000004"/>
    <n v="33.166666666666664"/>
    <s v="Jan"/>
    <x v="2"/>
    <m/>
    <m/>
  </r>
  <r>
    <n v="64854330"/>
    <x v="13"/>
    <n v="3851"/>
    <d v="2026-01-16T00:00:00"/>
    <s v="MG Double Caramel RFA 8(3) 3PK"/>
    <x v="40"/>
    <n v="6.4800000000000005E-3"/>
    <n v="30"/>
    <x v="21"/>
    <x v="36"/>
    <n v="1"/>
    <n v="3851"/>
    <n v="24.95448"/>
    <n v="128.36666666666667"/>
    <s v="Jan"/>
    <x v="2"/>
    <m/>
    <m/>
  </r>
  <r>
    <n v="65089667"/>
    <x v="13"/>
    <n v="9990"/>
    <d v="2026-01-20T00:00:00"/>
    <s v="BR Carbsmart IC Bars For CS 1(3)6-PK"/>
    <x v="40"/>
    <n v="8.8999999999999995E-5"/>
    <n v="150"/>
    <x v="17"/>
    <x v="35"/>
    <n v="1"/>
    <n v="9990"/>
    <n v="0.88910999999999996"/>
    <n v="66.599999999999994"/>
    <s v="Jan"/>
    <x v="3"/>
    <m/>
    <m/>
  </r>
  <r>
    <n v="64327161"/>
    <x v="13"/>
    <n v="17892"/>
    <d v="2026-01-20T00:00:00"/>
    <s v="YSO Mint Chocolate Chip Club 1-15pk"/>
    <x v="40"/>
    <n v="1.56E-3"/>
    <n v="240"/>
    <x v="19"/>
    <x v="37"/>
    <n v="1"/>
    <n v="17892"/>
    <n v="27.911519999999999"/>
    <n v="74.55"/>
    <s v="Jan"/>
    <x v="3"/>
    <m/>
    <m/>
  </r>
  <r>
    <n v="64327161"/>
    <x v="13"/>
    <n v="26937"/>
    <d v="2026-01-20T00:00:00"/>
    <s v="YSO Mint Chocolate Chip Club 1-15pk"/>
    <x v="40"/>
    <n v="1.56E-3"/>
    <n v="240"/>
    <x v="19"/>
    <x v="37"/>
    <n v="1"/>
    <n v="26937"/>
    <n v="42.021720000000002"/>
    <n v="112.2375"/>
    <s v="Jan"/>
    <x v="3"/>
    <m/>
    <m/>
  </r>
  <r>
    <n v="64833353"/>
    <x v="5"/>
    <n v="2600"/>
    <d v="2026-01-02T00:00:00"/>
    <s v="PS SF Tropical 6-18PK"/>
    <x v="41"/>
    <n v="5.28E-3"/>
    <n v="130"/>
    <x v="6"/>
    <x v="22"/>
    <n v="1"/>
    <n v="2600"/>
    <n v="13.728"/>
    <n v="20"/>
    <s v="Jan"/>
    <x v="0"/>
    <m/>
    <m/>
  </r>
  <r>
    <n v="62714126"/>
    <x v="5"/>
    <n v="2600"/>
    <d v="2026-01-05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5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6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4833353"/>
    <x v="5"/>
    <n v="2600"/>
    <d v="2026-01-06T00:00:00"/>
    <s v="PS SF Tropical 6-18PK"/>
    <x v="41"/>
    <n v="5.28E-3"/>
    <n v="130"/>
    <x v="6"/>
    <x v="22"/>
    <n v="1"/>
    <n v="2600"/>
    <n v="13.728"/>
    <n v="20"/>
    <s v="Jan"/>
    <x v="1"/>
    <m/>
    <m/>
  </r>
  <r>
    <n v="62714126"/>
    <x v="5"/>
    <n v="2599"/>
    <d v="2026-01-07T00:00:00"/>
    <s v="PS OCG SF 6-18PK"/>
    <x v="41"/>
    <n v="5.2680000000000001E-3"/>
    <n v="130"/>
    <x v="6"/>
    <x v="22"/>
    <n v="1"/>
    <n v="2599"/>
    <n v="13.691532"/>
    <n v="19.992307692307691"/>
    <s v="Jan"/>
    <x v="1"/>
    <m/>
    <m/>
  </r>
  <r>
    <n v="62714126"/>
    <x v="5"/>
    <n v="2600"/>
    <d v="2026-01-07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8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8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8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2714126"/>
    <x v="5"/>
    <n v="2600"/>
    <d v="2026-01-08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4833353"/>
    <x v="5"/>
    <n v="2600"/>
    <d v="2026-01-08T00:00:00"/>
    <s v="PS SF Tropical 6-18PK"/>
    <x v="41"/>
    <n v="5.28E-3"/>
    <n v="130"/>
    <x v="6"/>
    <x v="22"/>
    <n v="1"/>
    <n v="2600"/>
    <n v="13.728"/>
    <n v="20"/>
    <s v="Jan"/>
    <x v="1"/>
    <m/>
    <m/>
  </r>
  <r>
    <n v="64833353"/>
    <x v="5"/>
    <n v="2600"/>
    <d v="2026-01-08T00:00:00"/>
    <s v="PS SF Tropical 6-18PK"/>
    <x v="41"/>
    <n v="5.28E-3"/>
    <n v="130"/>
    <x v="6"/>
    <x v="22"/>
    <n v="1"/>
    <n v="2600"/>
    <n v="13.728"/>
    <n v="20"/>
    <s v="Jan"/>
    <x v="1"/>
    <m/>
    <m/>
  </r>
  <r>
    <n v="62714126"/>
    <x v="5"/>
    <n v="2600"/>
    <d v="2026-01-09T00:00:00"/>
    <s v="PS OCG SF 6-18PK"/>
    <x v="41"/>
    <n v="5.2680000000000001E-3"/>
    <n v="130"/>
    <x v="6"/>
    <x v="22"/>
    <n v="1"/>
    <n v="2600"/>
    <n v="13.6968"/>
    <n v="20"/>
    <s v="Jan"/>
    <x v="1"/>
    <m/>
    <m/>
  </r>
  <r>
    <n v="64833353"/>
    <x v="5"/>
    <n v="2600"/>
    <d v="2026-01-09T00:00:00"/>
    <s v="PS SF Tropical 6-18PK"/>
    <x v="41"/>
    <n v="5.28E-3"/>
    <n v="130"/>
    <x v="6"/>
    <x v="22"/>
    <n v="1"/>
    <n v="2600"/>
    <n v="13.728"/>
    <n v="20"/>
    <s v="Jan"/>
    <x v="1"/>
    <m/>
    <m/>
  </r>
  <r>
    <n v="62714126"/>
    <x v="5"/>
    <n v="2598"/>
    <d v="2026-01-12T00:00:00"/>
    <s v="PS OCG SF 6-18PK"/>
    <x v="41"/>
    <n v="5.2680000000000001E-3"/>
    <n v="130"/>
    <x v="6"/>
    <x v="22"/>
    <n v="1"/>
    <n v="2598"/>
    <n v="13.686264"/>
    <n v="19.984615384615385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2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4833353"/>
    <x v="5"/>
    <n v="2600"/>
    <d v="2026-01-12T00:00:00"/>
    <s v="PS SF Tropical 6-18PK"/>
    <x v="41"/>
    <n v="5.28E-3"/>
    <n v="130"/>
    <x v="6"/>
    <x v="22"/>
    <n v="1"/>
    <n v="2600"/>
    <n v="13.728"/>
    <n v="20"/>
    <s v="Jan"/>
    <x v="2"/>
    <m/>
    <m/>
  </r>
  <r>
    <n v="62714126"/>
    <x v="5"/>
    <n v="2600"/>
    <d v="2026-01-13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9629477"/>
    <x v="14"/>
    <n v="216"/>
    <d v="2026-01-14T00:00:00"/>
    <s v="KLONDIKE REESES CONE MPK 6X8X111ML"/>
    <x v="41"/>
    <n v="5.3280000000000003E-3"/>
    <n v="108"/>
    <x v="22"/>
    <x v="38"/>
    <n v="1"/>
    <n v="216"/>
    <n v="1.1508480000000001"/>
    <n v="2"/>
    <s v="Jan"/>
    <x v="2"/>
    <m/>
    <m/>
  </r>
  <r>
    <n v="64409244"/>
    <x v="14"/>
    <n v="535"/>
    <d v="2026-01-14T00:00:00"/>
    <s v="Holanda Chem Pineap-Cocon USA 8x4x65ml"/>
    <x v="41"/>
    <n v="2.0800000000000003E-3"/>
    <n v="135"/>
    <x v="17"/>
    <x v="39"/>
    <n v="1"/>
    <n v="535"/>
    <n v="1.1128000000000002"/>
    <n v="3.9629629629629628"/>
    <s v="Jan"/>
    <x v="2"/>
    <m/>
    <m/>
  </r>
  <r>
    <n v="62714126"/>
    <x v="5"/>
    <n v="2600"/>
    <d v="2026-01-14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4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4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4409241"/>
    <x v="14"/>
    <n v="2700"/>
    <d v="2026-01-14T00:00:00"/>
    <s v="Holanda Chem Straw-Cocon USA 8x4x65ml"/>
    <x v="41"/>
    <n v="2.0800000000000003E-3"/>
    <n v="135"/>
    <x v="17"/>
    <x v="39"/>
    <n v="1"/>
    <n v="2700"/>
    <n v="5.6160000000000005"/>
    <n v="20"/>
    <s v="Jan"/>
    <x v="2"/>
    <m/>
    <m/>
  </r>
  <r>
    <n v="62714126"/>
    <x v="5"/>
    <n v="2600"/>
    <d v="2026-01-15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5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5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5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5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6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6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2714126"/>
    <x v="5"/>
    <n v="2600"/>
    <d v="2026-01-16T00:00:00"/>
    <s v="PS OCG SF 6-18PK"/>
    <x v="41"/>
    <n v="5.2680000000000001E-3"/>
    <n v="130"/>
    <x v="6"/>
    <x v="22"/>
    <n v="1"/>
    <n v="2600"/>
    <n v="13.6968"/>
    <n v="20"/>
    <s v="Jan"/>
    <x v="2"/>
    <m/>
    <m/>
  </r>
  <r>
    <n v="64833353"/>
    <x v="5"/>
    <n v="2600"/>
    <d v="2026-01-21T00:00:00"/>
    <s v="PS SF Tropical 6-18PK"/>
    <x v="41"/>
    <n v="5.28E-3"/>
    <n v="130"/>
    <x v="6"/>
    <x v="22"/>
    <n v="1"/>
    <n v="2600"/>
    <n v="13.728"/>
    <n v="20"/>
    <s v="Jan"/>
    <x v="3"/>
    <m/>
    <m/>
  </r>
  <r>
    <n v="64833353"/>
    <x v="5"/>
    <n v="2600"/>
    <d v="2026-01-21T00:00:00"/>
    <s v="PS SF Tropical 6-18PK"/>
    <x v="41"/>
    <n v="5.28E-3"/>
    <n v="130"/>
    <x v="6"/>
    <x v="22"/>
    <n v="1"/>
    <n v="2600"/>
    <n v="13.728"/>
    <n v="20"/>
    <s v="Jan"/>
    <x v="3"/>
    <m/>
    <m/>
  </r>
  <r>
    <n v="64833353"/>
    <x v="5"/>
    <n v="2600"/>
    <d v="2026-01-22T00:00:00"/>
    <s v="PS SF Tropical 6-18PK"/>
    <x v="41"/>
    <n v="5.28E-3"/>
    <n v="130"/>
    <x v="6"/>
    <x v="22"/>
    <n v="1"/>
    <n v="2600"/>
    <n v="13.728"/>
    <n v="20"/>
    <s v="Jan"/>
    <x v="3"/>
    <m/>
    <m/>
  </r>
  <r>
    <n v="64833353"/>
    <x v="5"/>
    <n v="2600"/>
    <d v="2026-01-23T00:00:00"/>
    <s v="PS SF Tropical 6-18PK"/>
    <x v="41"/>
    <n v="5.28E-3"/>
    <n v="130"/>
    <x v="6"/>
    <x v="22"/>
    <n v="1"/>
    <n v="2600"/>
    <n v="13.728"/>
    <n v="20"/>
    <s v="Jan"/>
    <x v="3"/>
    <m/>
    <m/>
  </r>
  <r>
    <n v="64833353"/>
    <x v="5"/>
    <n v="2600"/>
    <d v="2026-01-23T00:00:00"/>
    <s v="PS SF Tropical 6-18PK"/>
    <x v="41"/>
    <n v="5.28E-3"/>
    <n v="130"/>
    <x v="6"/>
    <x v="22"/>
    <n v="1"/>
    <n v="2600"/>
    <n v="13.728"/>
    <n v="20"/>
    <s v="Jan"/>
    <x v="3"/>
    <m/>
    <m/>
  </r>
  <r>
    <n v="64341108"/>
    <x v="7"/>
    <n v="4200"/>
    <d v="2026-01-23T00:00:00"/>
    <s v="PS SpongeBob Facepiece 1-20PK"/>
    <x v="41"/>
    <n v="2.3599999999999997E-3"/>
    <n v="210"/>
    <x v="16"/>
    <x v="24"/>
    <n v="1"/>
    <n v="4200"/>
    <n v="9.911999999999999"/>
    <n v="20"/>
    <s v="Jan"/>
    <x v="3"/>
    <m/>
    <m/>
  </r>
  <r>
    <n v="64341108"/>
    <x v="7"/>
    <n v="4200"/>
    <d v="2026-01-23T00:00:00"/>
    <s v="PS SpongeBob Facepiece 1-20PK"/>
    <x v="41"/>
    <n v="2.3599999999999997E-3"/>
    <n v="210"/>
    <x v="16"/>
    <x v="24"/>
    <n v="1"/>
    <n v="4200"/>
    <n v="9.911999999999999"/>
    <n v="20"/>
    <s v="Jan"/>
    <x v="3"/>
    <m/>
    <m/>
  </r>
  <r>
    <n v="64341108"/>
    <x v="7"/>
    <n v="4200"/>
    <d v="2026-01-23T00:00:00"/>
    <s v="PS SpongeBob Facepiece 1-20PK"/>
    <x v="41"/>
    <n v="2.3599999999999997E-3"/>
    <n v="210"/>
    <x v="16"/>
    <x v="24"/>
    <n v="1"/>
    <n v="4200"/>
    <n v="9.911999999999999"/>
    <n v="20"/>
    <s v="Jan"/>
    <x v="3"/>
    <m/>
    <m/>
  </r>
  <r>
    <n v="64341108"/>
    <x v="7"/>
    <n v="4200"/>
    <d v="2026-01-23T00:00:00"/>
    <s v="PS SpongeBob Facepiece 1-20PK"/>
    <x v="41"/>
    <n v="2.3599999999999997E-3"/>
    <n v="210"/>
    <x v="16"/>
    <x v="24"/>
    <n v="1"/>
    <n v="4200"/>
    <n v="9.911999999999999"/>
    <n v="20"/>
    <s v="Jan"/>
    <x v="3"/>
    <m/>
    <m/>
  </r>
  <r>
    <n v="64341108"/>
    <x v="7"/>
    <n v="4200"/>
    <d v="2026-01-23T00:00:00"/>
    <s v="PS SpongeBob Facepiece 1-20PK"/>
    <x v="41"/>
    <n v="2.3599999999999997E-3"/>
    <n v="210"/>
    <x v="16"/>
    <x v="24"/>
    <n v="1"/>
    <n v="4200"/>
    <n v="9.911999999999999"/>
    <n v="20"/>
    <s v="Jan"/>
    <x v="3"/>
    <m/>
    <m/>
  </r>
  <r>
    <n v="69653125"/>
    <x v="15"/>
    <n v="5493"/>
    <d v="2026-01-14T00:00:00"/>
    <s v="BR Chocolate 6 10CT 3z"/>
    <x v="42"/>
    <n v="5.3220000000000003E-3"/>
    <n v="120"/>
    <x v="23"/>
    <x v="40"/>
    <n v="1"/>
    <n v="5493"/>
    <n v="29.233746000000004"/>
    <n v="45.774999999999999"/>
    <s v="Jan"/>
    <x v="2"/>
    <m/>
    <m/>
  </r>
  <r>
    <n v="69653140"/>
    <x v="15"/>
    <n v="22478"/>
    <d v="2026-01-22T00:00:00"/>
    <s v="BR Natural Vanilla 6 10CT 3z"/>
    <x v="42"/>
    <n v="5.3220000000000003E-3"/>
    <n v="120"/>
    <x v="23"/>
    <x v="40"/>
    <n v="1"/>
    <n v="22478"/>
    <n v="119.62791600000001"/>
    <n v="187.31666666666666"/>
    <s v="Jan"/>
    <x v="3"/>
    <m/>
    <m/>
  </r>
  <r>
    <n v="64875812"/>
    <x v="16"/>
    <n v="12802"/>
    <d v="2026-01-12T00:00:00"/>
    <s v="KL Vanilla Sandwich 8-6 PK"/>
    <x v="43"/>
    <n v="6.0000000000000001E-3"/>
    <n v="108"/>
    <x v="12"/>
    <x v="41"/>
    <n v="1"/>
    <n v="12802"/>
    <n v="76.811999999999998"/>
    <n v="118.53703703703704"/>
    <s v="Jan"/>
    <x v="2"/>
    <m/>
    <m/>
  </r>
  <r>
    <n v="64875812"/>
    <x v="16"/>
    <n v="12210"/>
    <d v="2026-01-22T00:00:00"/>
    <s v="KL Vanilla Sandwich 8-6 PK"/>
    <x v="43"/>
    <n v="6.0000000000000001E-3"/>
    <n v="108"/>
    <x v="12"/>
    <x v="41"/>
    <n v="1"/>
    <n v="12210"/>
    <n v="73.260000000000005"/>
    <n v="113.05555555555556"/>
    <s v="Jan"/>
    <x v="3"/>
    <m/>
    <m/>
  </r>
  <r>
    <n v="64875812"/>
    <x v="16"/>
    <n v="6932"/>
    <d v="2026-01-23T00:00:00"/>
    <s v="KL Vanilla Sandwich 8-6 PK"/>
    <x v="43"/>
    <n v="6.0000000000000001E-3"/>
    <n v="108"/>
    <x v="12"/>
    <x v="41"/>
    <n v="1"/>
    <n v="6932"/>
    <n v="41.591999999999999"/>
    <n v="64.18518518518519"/>
    <s v="Jan"/>
    <x v="3"/>
    <m/>
    <m/>
  </r>
  <r>
    <n v="64979410"/>
    <x v="17"/>
    <n v="26694"/>
    <d v="2026-01-07T00:00:00"/>
    <s v="GH Giant Vanilla Sandwich 1-24BK"/>
    <x v="44"/>
    <n v="4.248E-3"/>
    <n v="324"/>
    <x v="17"/>
    <x v="42"/>
    <n v="1"/>
    <n v="26694"/>
    <n v="113.396112"/>
    <n v="82.388888888888886"/>
    <s v="Jan"/>
    <x v="1"/>
    <m/>
    <m/>
  </r>
  <r>
    <n v="64979410"/>
    <x v="17"/>
    <n v="26135"/>
    <d v="2026-01-08T00:00:00"/>
    <s v="GH Giant Vanilla Sandwich 1-24BK"/>
    <x v="44"/>
    <n v="4.248E-3"/>
    <n v="324"/>
    <x v="17"/>
    <x v="42"/>
    <n v="1"/>
    <n v="26135"/>
    <n v="111.02148"/>
    <n v="80.663580246913583"/>
    <s v="Jan"/>
    <x v="1"/>
    <m/>
    <m/>
  </r>
  <r>
    <n v="64979410"/>
    <x v="17"/>
    <n v="26139"/>
    <d v="2026-01-08T00:00:00"/>
    <s v="GH Giant Vanilla Sandwich 1-24BK"/>
    <x v="44"/>
    <n v="4.248E-3"/>
    <n v="324"/>
    <x v="17"/>
    <x v="42"/>
    <n v="1"/>
    <n v="26139"/>
    <n v="111.038472"/>
    <n v="80.675925925925924"/>
    <s v="Jan"/>
    <x v="1"/>
    <m/>
    <m/>
  </r>
  <r>
    <n v="64989109"/>
    <x v="18"/>
    <n v="7230"/>
    <d v="2026-01-20T00:00:00"/>
    <s v="BR Natural Vanilla 6 10CT 3z"/>
    <x v="45"/>
    <n v="5.3220000000000003E-3"/>
    <n v="120"/>
    <x v="23"/>
    <x v="43"/>
    <n v="1"/>
    <n v="7230"/>
    <n v="38.478059999999999"/>
    <n v="60.25"/>
    <s v="Jan"/>
    <x v="3"/>
    <m/>
    <m/>
  </r>
  <r>
    <n v="64989109"/>
    <x v="18"/>
    <n v="7216"/>
    <d v="2026-01-27T00:00:00"/>
    <s v="BR Natural Vanilla 6 10CT 3z"/>
    <x v="45"/>
    <n v="5.3220000000000003E-3"/>
    <n v="120"/>
    <x v="23"/>
    <x v="43"/>
    <n v="1"/>
    <n v="7216"/>
    <n v="38.403552000000005"/>
    <n v="60.133333333333333"/>
    <s v="Jan"/>
    <x v="4"/>
    <m/>
    <m/>
  </r>
  <r>
    <n v="64315721"/>
    <x v="0"/>
    <n v="2112"/>
    <d v="2026-02-15T00:00:00"/>
    <s v="BR CS Chocolate Peanut Butter 6 1.5QT"/>
    <x v="12"/>
    <n v="8.5199999999999998E-3"/>
    <n v="176"/>
    <x v="0"/>
    <x v="0"/>
    <n v="1"/>
    <n v="2112"/>
    <n v="17.994239999999998"/>
    <n v="12"/>
    <s v="Feb"/>
    <x v="5"/>
    <m/>
    <m/>
  </r>
  <r>
    <n v="64315721"/>
    <x v="0"/>
    <n v="-2112"/>
    <d v="2026-02-20T00:00:00"/>
    <s v="BR CS Chocolate Peanut Butter 6 1.5QT"/>
    <x v="12"/>
    <n v="8.5199999999999998E-3"/>
    <n v="176"/>
    <x v="0"/>
    <x v="0"/>
    <n v="1"/>
    <n v="-2112"/>
    <n v="-17.994239999999998"/>
    <n v="-12"/>
    <s v="Feb"/>
    <x v="5"/>
    <m/>
    <m/>
  </r>
  <r>
    <n v="64315721"/>
    <x v="0"/>
    <n v="3520"/>
    <d v="2026-02-18T00:00:00"/>
    <s v="BR CS Chocolate Peanut Butter 6 1.5QT"/>
    <x v="12"/>
    <n v="8.5199999999999998E-3"/>
    <n v="176"/>
    <x v="0"/>
    <x v="0"/>
    <n v="1"/>
    <n v="3520"/>
    <n v="29.990400000000001"/>
    <n v="20"/>
    <s v="Feb"/>
    <x v="5"/>
    <m/>
    <m/>
  </r>
  <r>
    <n v="64315721"/>
    <x v="0"/>
    <n v="-3520"/>
    <d v="2026-02-20T00:00:00"/>
    <s v="BR CS Chocolate Peanut Butter 6 1.5QT"/>
    <x v="12"/>
    <n v="8.5199999999999998E-3"/>
    <n v="176"/>
    <x v="0"/>
    <x v="0"/>
    <n v="1"/>
    <n v="-3520"/>
    <n v="-29.990400000000001"/>
    <n v="-20"/>
    <s v="Feb"/>
    <x v="5"/>
    <m/>
    <m/>
  </r>
  <r>
    <n v="64315721"/>
    <x v="0"/>
    <n v="5104"/>
    <d v="2026-02-19T00:00:00"/>
    <s v="BR CS Chocolate Peanut Butter 6 1.5QT"/>
    <x v="12"/>
    <n v="8.5199999999999998E-3"/>
    <n v="176"/>
    <x v="0"/>
    <x v="0"/>
    <n v="1"/>
    <n v="5104"/>
    <n v="43.486080000000001"/>
    <n v="29"/>
    <s v="Feb"/>
    <x v="5"/>
    <m/>
    <m/>
  </r>
  <r>
    <n v="64315721"/>
    <x v="0"/>
    <n v="9280"/>
    <d v="2026-02-20T00:00:00"/>
    <s v="BR CS Chocolate Peanut Butter 6 1.5QT"/>
    <x v="12"/>
    <n v="8.5199999999999998E-3"/>
    <n v="176"/>
    <x v="0"/>
    <x v="0"/>
    <n v="1"/>
    <n v="9280"/>
    <n v="79.065600000000003"/>
    <n v="52.727272727272727"/>
    <s v="Feb"/>
    <x v="5"/>
    <m/>
    <m/>
  </r>
  <r>
    <n v="64315721"/>
    <x v="0"/>
    <n v="4202"/>
    <d v="2026-02-20T00:00:00"/>
    <s v="BR CS Chocolate Peanut Butter 6 1.5QT"/>
    <x v="12"/>
    <n v="8.5199999999999998E-3"/>
    <n v="176"/>
    <x v="0"/>
    <x v="0"/>
    <n v="1"/>
    <n v="4202"/>
    <n v="35.80104"/>
    <n v="23.875"/>
    <s v="Feb"/>
    <x v="5"/>
    <m/>
    <m/>
  </r>
  <r>
    <n v="64315721"/>
    <x v="0"/>
    <n v="9114"/>
    <d v="2026-02-21T00:00:00"/>
    <s v="BR CS Chocolate Peanut Butter 6 1.5QT"/>
    <x v="12"/>
    <n v="8.5199999999999998E-3"/>
    <n v="176"/>
    <x v="0"/>
    <x v="0"/>
    <n v="1"/>
    <n v="9114"/>
    <n v="77.65128"/>
    <n v="51.784090909090907"/>
    <s v="Feb"/>
    <x v="5"/>
    <m/>
    <m/>
  </r>
  <r>
    <n v="64315721"/>
    <x v="0"/>
    <n v="3344"/>
    <d v="2026-02-21T00:00:00"/>
    <s v="BR CS Chocolate Peanut Butter 6 1.5QT"/>
    <x v="12"/>
    <n v="8.5199999999999998E-3"/>
    <n v="176"/>
    <x v="0"/>
    <x v="0"/>
    <n v="1"/>
    <n v="3344"/>
    <n v="28.490880000000001"/>
    <n v="19"/>
    <s v="Feb"/>
    <x v="5"/>
    <m/>
    <m/>
  </r>
  <r>
    <n v="64315721"/>
    <x v="0"/>
    <n v="3101"/>
    <d v="2026-02-22T00:00:00"/>
    <s v="BR CS Chocolate Peanut Butter 6 1.5QT"/>
    <x v="12"/>
    <n v="8.5199999999999998E-3"/>
    <n v="176"/>
    <x v="0"/>
    <x v="0"/>
    <n v="1"/>
    <n v="3101"/>
    <n v="26.42052"/>
    <n v="17.619318181818183"/>
    <s v="Feb"/>
    <x v="6"/>
    <m/>
    <m/>
  </r>
  <r>
    <n v="64315721"/>
    <x v="0"/>
    <n v="528"/>
    <d v="2026-02-22T00:00:00"/>
    <s v="BR CS Chocolate Peanut Butter 6 1.5QT"/>
    <x v="12"/>
    <n v="8.5199999999999998E-3"/>
    <n v="176"/>
    <x v="0"/>
    <x v="0"/>
    <n v="1"/>
    <n v="528"/>
    <n v="4.4985599999999994"/>
    <n v="3"/>
    <s v="Feb"/>
    <x v="6"/>
    <m/>
    <m/>
  </r>
  <r>
    <n v="64315721"/>
    <x v="0"/>
    <n v="2978"/>
    <d v="2026-02-14T00:00:00"/>
    <s v="BR CS Chocolate Peanut Butter 6 1.5QT"/>
    <x v="12"/>
    <n v="8.5199999999999998E-3"/>
    <n v="176"/>
    <x v="0"/>
    <x v="0"/>
    <n v="1"/>
    <n v="2978"/>
    <n v="25.37256"/>
    <n v="16.920454545454547"/>
    <s v="Feb"/>
    <x v="7"/>
    <m/>
    <m/>
  </r>
  <r>
    <n v="64315721"/>
    <x v="0"/>
    <n v="11207"/>
    <d v="2026-02-19T00:00:00"/>
    <s v="BR CS Chocolate Peanut Butter 6 1.5QT"/>
    <x v="12"/>
    <n v="8.5199999999999998E-3"/>
    <n v="176"/>
    <x v="0"/>
    <x v="0"/>
    <n v="1"/>
    <n v="11207"/>
    <n v="95.483639999999994"/>
    <n v="63.676136363636367"/>
    <s v="Feb"/>
    <x v="5"/>
    <m/>
    <m/>
  </r>
  <r>
    <n v="64315721"/>
    <x v="0"/>
    <n v="14631"/>
    <d v="2026-02-19T00:00:00"/>
    <s v="BR CS Chocolate Peanut Butter 6 1.5QT"/>
    <x v="12"/>
    <n v="8.5199999999999998E-3"/>
    <n v="176"/>
    <x v="0"/>
    <x v="0"/>
    <n v="1"/>
    <n v="14631"/>
    <n v="124.65612"/>
    <n v="83.130681818181813"/>
    <s v="Feb"/>
    <x v="5"/>
    <m/>
    <m/>
  </r>
  <r>
    <n v="64315721"/>
    <x v="0"/>
    <n v="11461"/>
    <d v="2026-02-19T00:00:00"/>
    <s v="BR CS Chocolate Peanut Butter 6 1.5QT"/>
    <x v="12"/>
    <n v="8.5199999999999998E-3"/>
    <n v="176"/>
    <x v="0"/>
    <x v="0"/>
    <n v="1"/>
    <n v="11461"/>
    <n v="97.647719999999993"/>
    <n v="65.119318181818187"/>
    <s v="Feb"/>
    <x v="5"/>
    <m/>
    <m/>
  </r>
  <r>
    <n v="64315721"/>
    <x v="0"/>
    <n v="3942"/>
    <d v="2026-02-19T00:00:00"/>
    <s v="BR CS Chocolate Peanut Butter 6 1.5QT"/>
    <x v="12"/>
    <n v="8.5199999999999998E-3"/>
    <n v="176"/>
    <x v="0"/>
    <x v="0"/>
    <n v="1"/>
    <n v="3942"/>
    <n v="33.585839999999997"/>
    <n v="22.397727272727273"/>
    <s v="Feb"/>
    <x v="5"/>
    <m/>
    <m/>
  </r>
  <r>
    <n v="64315721"/>
    <x v="0"/>
    <n v="11799"/>
    <d v="2026-02-19T00:00:00"/>
    <s v="BR CS Chocolate Peanut Butter 6 1.5QT"/>
    <x v="12"/>
    <n v="8.5199999999999998E-3"/>
    <n v="176"/>
    <x v="0"/>
    <x v="0"/>
    <n v="1"/>
    <n v="11799"/>
    <n v="100.52748"/>
    <n v="67.039772727272734"/>
    <s v="Feb"/>
    <x v="5"/>
    <m/>
    <m/>
  </r>
  <r>
    <n v="64341967"/>
    <x v="0"/>
    <n v="-47"/>
    <d v="2026-01-28T00:00:00"/>
    <s v="BR CHOC Peanut Butter 6 1.5QT"/>
    <x v="12"/>
    <n v="8.513999999999999E-3"/>
    <n v="176"/>
    <x v="0"/>
    <x v="0"/>
    <n v="1"/>
    <n v="-47"/>
    <n v="-0.40015799999999996"/>
    <n v="-0.26704545454545453"/>
    <s v="Jan"/>
    <x v="4"/>
    <m/>
    <m/>
  </r>
  <r>
    <n v="64341968"/>
    <x v="0"/>
    <n v="-176"/>
    <d v="2026-02-01T00:00:00"/>
    <s v="BR CO-B SNICKERS 6 1.5QT"/>
    <x v="12"/>
    <n v="8.5199999999999998E-3"/>
    <n v="176"/>
    <x v="0"/>
    <x v="0"/>
    <n v="1"/>
    <n v="-176"/>
    <n v="-1.49952"/>
    <n v="-1"/>
    <s v="Feb"/>
    <x v="8"/>
    <m/>
    <m/>
  </r>
  <r>
    <n v="64341968"/>
    <x v="0"/>
    <n v="175"/>
    <d v="2026-02-05T00:00:00"/>
    <s v="BR CO-B SNICKERS 6 1.5QT"/>
    <x v="12"/>
    <n v="8.5199999999999998E-3"/>
    <n v="176"/>
    <x v="0"/>
    <x v="0"/>
    <n v="1"/>
    <n v="175"/>
    <n v="1.4909999999999999"/>
    <n v="0.99431818181818177"/>
    <s v="Feb"/>
    <x v="8"/>
    <m/>
    <m/>
  </r>
  <r>
    <n v="64776954"/>
    <x v="0"/>
    <n v="1541"/>
    <d v="2026-01-30T00:00:00"/>
    <s v="PS Scribblers Natural 6-18PK"/>
    <x v="29"/>
    <n v="3.8340000000000002E-3"/>
    <n v="130"/>
    <x v="6"/>
    <x v="15"/>
    <n v="1"/>
    <n v="1541"/>
    <n v="5.9081939999999999"/>
    <n v="11.853846153846154"/>
    <s v="Jan"/>
    <x v="4"/>
    <m/>
    <m/>
  </r>
  <r>
    <n v="64776954"/>
    <x v="0"/>
    <n v="1820"/>
    <d v="2026-01-30T00:00:00"/>
    <s v="PS Scribblers Natural 6-18PK"/>
    <x v="29"/>
    <n v="3.8340000000000002E-3"/>
    <n v="130"/>
    <x v="6"/>
    <x v="15"/>
    <n v="1"/>
    <n v="1820"/>
    <n v="6.9778800000000007"/>
    <n v="14"/>
    <s v="Jan"/>
    <x v="4"/>
    <m/>
    <m/>
  </r>
  <r>
    <n v="64776954"/>
    <x v="0"/>
    <n v="3405"/>
    <d v="2026-01-31T00:00:00"/>
    <s v="PS Scribblers Natural 6-18PK"/>
    <x v="29"/>
    <n v="3.8340000000000002E-3"/>
    <n v="130"/>
    <x v="6"/>
    <x v="15"/>
    <n v="1"/>
    <n v="3405"/>
    <n v="13.054770000000001"/>
    <n v="26.192307692307693"/>
    <s v="Jan"/>
    <x v="4"/>
    <m/>
    <m/>
  </r>
  <r>
    <n v="64776954"/>
    <x v="0"/>
    <n v="1820"/>
    <d v="2026-02-02T00:00:00"/>
    <s v="PS Scribblers Natural 6-18PK"/>
    <x v="29"/>
    <n v="3.8340000000000002E-3"/>
    <n v="130"/>
    <x v="6"/>
    <x v="15"/>
    <n v="1"/>
    <n v="1820"/>
    <n v="6.9778800000000007"/>
    <n v="14"/>
    <s v="Feb"/>
    <x v="8"/>
    <m/>
    <m/>
  </r>
  <r>
    <n v="64776954"/>
    <x v="0"/>
    <n v="2913"/>
    <d v="2026-02-03T00:00:00"/>
    <s v="PS Scribblers Natural 6-18PK"/>
    <x v="29"/>
    <n v="3.8340000000000002E-3"/>
    <n v="130"/>
    <x v="6"/>
    <x v="15"/>
    <n v="1"/>
    <n v="2913"/>
    <n v="11.168442000000001"/>
    <n v="22.407692307692308"/>
    <s v="Feb"/>
    <x v="8"/>
    <m/>
    <m/>
  </r>
  <r>
    <n v="64776954"/>
    <x v="0"/>
    <n v="2210"/>
    <d v="2026-02-03T00:00:00"/>
    <s v="PS Scribblers Natural 6-18PK"/>
    <x v="29"/>
    <n v="3.8340000000000002E-3"/>
    <n v="130"/>
    <x v="6"/>
    <x v="15"/>
    <n v="1"/>
    <n v="2210"/>
    <n v="8.4731400000000008"/>
    <n v="17"/>
    <s v="Feb"/>
    <x v="8"/>
    <m/>
    <m/>
  </r>
  <r>
    <n v="64776954"/>
    <x v="0"/>
    <n v="2869"/>
    <d v="2026-02-04T00:00:00"/>
    <s v="PS Scribblers Natural 6-18PK"/>
    <x v="29"/>
    <n v="3.8340000000000002E-3"/>
    <n v="130"/>
    <x v="6"/>
    <x v="15"/>
    <n v="1"/>
    <n v="2869"/>
    <n v="10.999746"/>
    <n v="22.069230769230771"/>
    <s v="Feb"/>
    <x v="8"/>
    <m/>
    <m/>
  </r>
  <r>
    <n v="64776954"/>
    <x v="0"/>
    <n v="1820"/>
    <d v="2026-02-04T00:00:00"/>
    <s v="PS Scribblers Natural 6-18PK"/>
    <x v="29"/>
    <n v="3.8340000000000002E-3"/>
    <n v="130"/>
    <x v="6"/>
    <x v="15"/>
    <n v="1"/>
    <n v="1820"/>
    <n v="6.9778800000000007"/>
    <n v="14"/>
    <s v="Feb"/>
    <x v="8"/>
    <m/>
    <m/>
  </r>
  <r>
    <n v="64776954"/>
    <x v="0"/>
    <n v="2673"/>
    <d v="2026-02-05T00:00:00"/>
    <s v="PS Scribblers Natural 6-18PK"/>
    <x v="29"/>
    <n v="3.8340000000000002E-3"/>
    <n v="130"/>
    <x v="6"/>
    <x v="15"/>
    <n v="1"/>
    <n v="2673"/>
    <n v="10.248282"/>
    <n v="20.561538461538461"/>
    <s v="Feb"/>
    <x v="8"/>
    <m/>
    <m/>
  </r>
  <r>
    <n v="64776954"/>
    <x v="0"/>
    <n v="1950"/>
    <d v="2026-02-05T00:00:00"/>
    <s v="PS Scribblers Natural 6-18PK"/>
    <x v="29"/>
    <n v="3.8340000000000002E-3"/>
    <n v="130"/>
    <x v="6"/>
    <x v="15"/>
    <n v="1"/>
    <n v="1950"/>
    <n v="7.4763000000000002"/>
    <n v="15"/>
    <s v="Feb"/>
    <x v="8"/>
    <m/>
    <m/>
  </r>
  <r>
    <n v="64776954"/>
    <x v="0"/>
    <n v="2743"/>
    <d v="2026-02-06T00:00:00"/>
    <s v="PS Scribblers Natural 6-18PK"/>
    <x v="29"/>
    <n v="3.8340000000000002E-3"/>
    <n v="130"/>
    <x v="6"/>
    <x v="15"/>
    <n v="1"/>
    <n v="2743"/>
    <n v="10.516662"/>
    <n v="21.1"/>
    <s v="Feb"/>
    <x v="8"/>
    <m/>
    <m/>
  </r>
  <r>
    <n v="64776954"/>
    <x v="0"/>
    <n v="431"/>
    <d v="2026-02-06T00:00:00"/>
    <s v="PS Scribblers Natural 6-18PK"/>
    <x v="29"/>
    <n v="3.8340000000000002E-3"/>
    <n v="130"/>
    <x v="6"/>
    <x v="15"/>
    <n v="1"/>
    <n v="431"/>
    <n v="1.6524540000000001"/>
    <n v="3.3153846153846156"/>
    <s v="Feb"/>
    <x v="8"/>
    <m/>
    <m/>
  </r>
  <r>
    <n v="64776954"/>
    <x v="0"/>
    <n v="1279"/>
    <d v="2026-01-31T00:00:00"/>
    <s v="PS Scribblers Natural 6-18PK"/>
    <x v="29"/>
    <n v="3.8340000000000002E-3"/>
    <n v="130"/>
    <x v="6"/>
    <x v="15"/>
    <n v="1"/>
    <n v="1279"/>
    <n v="4.9036860000000004"/>
    <n v="9.838461538461539"/>
    <s v="Jan"/>
    <x v="4"/>
    <m/>
    <m/>
  </r>
  <r>
    <n v="64786666"/>
    <x v="0"/>
    <n v="307"/>
    <d v="2026-02-02T00:00:00"/>
    <s v="GH Chocolate Eclair Bar 8-6PK"/>
    <x v="15"/>
    <n v="4.2560000000000002E-3"/>
    <n v="154"/>
    <x v="7"/>
    <x v="8"/>
    <n v="1"/>
    <n v="307"/>
    <n v="1.306592"/>
    <n v="1.9935064935064934"/>
    <s v="Feb"/>
    <x v="8"/>
    <m/>
    <m/>
  </r>
  <r>
    <n v="64786666"/>
    <x v="0"/>
    <n v="2669"/>
    <d v="2026-02-03T00:00:00"/>
    <s v="GH Chocolate Eclair Bar 8-6PK"/>
    <x v="15"/>
    <n v="4.2560000000000002E-3"/>
    <n v="154"/>
    <x v="7"/>
    <x v="8"/>
    <n v="1"/>
    <n v="2669"/>
    <n v="11.359264000000001"/>
    <n v="17.331168831168831"/>
    <s v="Feb"/>
    <x v="8"/>
    <m/>
    <m/>
  </r>
  <r>
    <n v="64786666"/>
    <x v="0"/>
    <n v="1386"/>
    <d v="2026-02-03T00:00:00"/>
    <s v="GH Chocolate Eclair Bar 8-6PK"/>
    <x v="15"/>
    <n v="4.2560000000000002E-3"/>
    <n v="154"/>
    <x v="7"/>
    <x v="8"/>
    <n v="1"/>
    <n v="1386"/>
    <n v="5.8988160000000001"/>
    <n v="9"/>
    <s v="Feb"/>
    <x v="8"/>
    <m/>
    <m/>
  </r>
  <r>
    <n v="64786666"/>
    <x v="0"/>
    <n v="2926"/>
    <d v="2026-02-04T00:00:00"/>
    <s v="GH Chocolate Eclair Bar 8-6PK"/>
    <x v="15"/>
    <n v="4.2560000000000002E-3"/>
    <n v="154"/>
    <x v="7"/>
    <x v="8"/>
    <n v="1"/>
    <n v="2926"/>
    <n v="12.453056"/>
    <n v="19"/>
    <s v="Feb"/>
    <x v="8"/>
    <m/>
    <m/>
  </r>
  <r>
    <n v="64786666"/>
    <x v="0"/>
    <n v="1232"/>
    <d v="2026-02-04T00:00:00"/>
    <s v="GH Chocolate Eclair Bar 8-6PK"/>
    <x v="15"/>
    <n v="4.2560000000000002E-3"/>
    <n v="154"/>
    <x v="7"/>
    <x v="8"/>
    <n v="1"/>
    <n v="1232"/>
    <n v="5.2433920000000001"/>
    <n v="8"/>
    <s v="Feb"/>
    <x v="8"/>
    <m/>
    <m/>
  </r>
  <r>
    <n v="64786666"/>
    <x v="0"/>
    <n v="3074"/>
    <d v="2026-02-05T00:00:00"/>
    <s v="GH Chocolate Eclair Bar 8-6PK"/>
    <x v="15"/>
    <n v="4.2560000000000002E-3"/>
    <n v="154"/>
    <x v="7"/>
    <x v="8"/>
    <n v="1"/>
    <n v="3074"/>
    <n v="13.082944000000001"/>
    <n v="19.961038961038962"/>
    <s v="Feb"/>
    <x v="8"/>
    <m/>
    <m/>
  </r>
  <r>
    <n v="64786666"/>
    <x v="0"/>
    <n v="1540"/>
    <d v="2026-02-05T00:00:00"/>
    <s v="GH Chocolate Eclair Bar 8-6PK"/>
    <x v="15"/>
    <n v="4.2560000000000002E-3"/>
    <n v="154"/>
    <x v="7"/>
    <x v="8"/>
    <n v="1"/>
    <n v="1540"/>
    <n v="6.5542400000000001"/>
    <n v="10"/>
    <s v="Feb"/>
    <x v="8"/>
    <m/>
    <m/>
  </r>
  <r>
    <n v="64786666"/>
    <x v="0"/>
    <n v="3359"/>
    <d v="2026-02-06T00:00:00"/>
    <s v="GH Chocolate Eclair Bar 8-6PK"/>
    <x v="15"/>
    <n v="4.2560000000000002E-3"/>
    <n v="154"/>
    <x v="7"/>
    <x v="8"/>
    <n v="1"/>
    <n v="3359"/>
    <n v="14.295904"/>
    <n v="21.811688311688311"/>
    <s v="Feb"/>
    <x v="8"/>
    <m/>
    <m/>
  </r>
  <r>
    <n v="64786666"/>
    <x v="0"/>
    <n v="1848"/>
    <d v="2026-02-06T00:00:00"/>
    <s v="GH Chocolate Eclair Bar 8-6PK"/>
    <x v="15"/>
    <n v="4.2560000000000002E-3"/>
    <n v="154"/>
    <x v="7"/>
    <x v="8"/>
    <n v="1"/>
    <n v="1848"/>
    <n v="7.8650880000000001"/>
    <n v="12"/>
    <s v="Feb"/>
    <x v="8"/>
    <m/>
    <m/>
  </r>
  <r>
    <n v="64786666"/>
    <x v="0"/>
    <n v="2156"/>
    <d v="2026-02-07T00:00:00"/>
    <s v="GH Chocolate Eclair Bar 8-6PK"/>
    <x v="15"/>
    <n v="4.2560000000000002E-3"/>
    <n v="154"/>
    <x v="7"/>
    <x v="8"/>
    <n v="1"/>
    <n v="2156"/>
    <n v="9.1759360000000001"/>
    <n v="14"/>
    <s v="Feb"/>
    <x v="8"/>
    <m/>
    <m/>
  </r>
  <r>
    <n v="64786666"/>
    <x v="0"/>
    <n v="109"/>
    <d v="2026-02-17T00:00:00"/>
    <s v="GH Chocolate Eclair Bar 8-6PK"/>
    <x v="15"/>
    <n v="4.2560000000000002E-3"/>
    <n v="154"/>
    <x v="7"/>
    <x v="8"/>
    <n v="1"/>
    <n v="109"/>
    <n v="0.46390400000000004"/>
    <n v="0.70779220779220775"/>
    <s v="Feb"/>
    <x v="5"/>
    <m/>
    <m/>
  </r>
  <r>
    <n v="64977526"/>
    <x v="0"/>
    <n v="880"/>
    <d v="2026-02-14T00:00:00"/>
    <s v="BR Salted Caramel Truffle 6p 1.5QT"/>
    <x v="7"/>
    <n v="8.513999999999999E-3"/>
    <n v="176"/>
    <x v="0"/>
    <x v="0"/>
    <n v="1"/>
    <n v="880"/>
    <n v="7.4923199999999994"/>
    <n v="5"/>
    <s v="Feb"/>
    <x v="7"/>
    <m/>
    <m/>
  </r>
  <r>
    <n v="64977526"/>
    <x v="0"/>
    <n v="6815"/>
    <d v="2026-02-15T00:00:00"/>
    <s v="BR Salted Caramel Truffle 6p 1.5QT"/>
    <x v="7"/>
    <n v="8.513999999999999E-3"/>
    <n v="176"/>
    <x v="0"/>
    <x v="0"/>
    <n v="1"/>
    <n v="6815"/>
    <n v="58.022909999999996"/>
    <n v="38.721590909090907"/>
    <s v="Feb"/>
    <x v="5"/>
    <m/>
    <m/>
  </r>
  <r>
    <n v="64977526"/>
    <x v="0"/>
    <n v="352"/>
    <d v="2026-02-16T00:00:00"/>
    <s v="BR Salted Caramel Truffle 6p 1.5QT"/>
    <x v="7"/>
    <n v="8.513999999999999E-3"/>
    <n v="176"/>
    <x v="0"/>
    <x v="0"/>
    <n v="1"/>
    <n v="352"/>
    <n v="2.9969279999999996"/>
    <n v="2"/>
    <s v="Feb"/>
    <x v="5"/>
    <m/>
    <m/>
  </r>
  <r>
    <n v="64977526"/>
    <x v="0"/>
    <n v="165"/>
    <d v="2026-02-17T00:00:00"/>
    <s v="BR Salted Caramel Truffle 6p 1.5QT"/>
    <x v="7"/>
    <n v="8.513999999999999E-3"/>
    <n v="176"/>
    <x v="0"/>
    <x v="0"/>
    <n v="1"/>
    <n v="165"/>
    <n v="1.4048099999999999"/>
    <n v="0.9375"/>
    <s v="Feb"/>
    <x v="5"/>
    <m/>
    <m/>
  </r>
  <r>
    <n v="64977526"/>
    <x v="0"/>
    <n v="3749"/>
    <d v="2026-02-15T00:00:00"/>
    <s v="BR Salted Caramel Truffle 6p 1.5QT"/>
    <x v="7"/>
    <n v="8.513999999999999E-3"/>
    <n v="176"/>
    <x v="0"/>
    <x v="0"/>
    <n v="1"/>
    <n v="3749"/>
    <n v="31.918985999999997"/>
    <n v="21.301136363636363"/>
    <s v="Feb"/>
    <x v="5"/>
    <m/>
    <m/>
  </r>
  <r>
    <n v="64977526"/>
    <x v="0"/>
    <n v="7472"/>
    <d v="2026-02-16T00:00:00"/>
    <s v="BR Salted Caramel Truffle 6p 1.5QT"/>
    <x v="7"/>
    <n v="8.513999999999999E-3"/>
    <n v="176"/>
    <x v="0"/>
    <x v="0"/>
    <n v="1"/>
    <n v="7472"/>
    <n v="63.616607999999992"/>
    <n v="42.454545454545453"/>
    <s v="Feb"/>
    <x v="5"/>
    <m/>
    <m/>
  </r>
  <r>
    <n v="64977526"/>
    <x v="0"/>
    <n v="4751"/>
    <d v="2026-02-16T00:00:00"/>
    <s v="BR Salted Caramel Truffle 6p 1.5QT"/>
    <x v="7"/>
    <n v="8.513999999999999E-3"/>
    <n v="176"/>
    <x v="0"/>
    <x v="0"/>
    <n v="1"/>
    <n v="4751"/>
    <n v="40.450013999999996"/>
    <n v="26.994318181818183"/>
    <s v="Feb"/>
    <x v="5"/>
    <m/>
    <m/>
  </r>
  <r>
    <n v="64977526"/>
    <x v="0"/>
    <n v="7721"/>
    <d v="2026-02-17T00:00:00"/>
    <s v="BR Salted Caramel Truffle 6p 1.5QT"/>
    <x v="7"/>
    <n v="8.513999999999999E-3"/>
    <n v="176"/>
    <x v="0"/>
    <x v="0"/>
    <n v="1"/>
    <n v="7721"/>
    <n v="65.736593999999997"/>
    <n v="43.86931818181818"/>
    <s v="Feb"/>
    <x v="5"/>
    <m/>
    <m/>
  </r>
  <r>
    <n v="64977526"/>
    <x v="0"/>
    <n v="4893"/>
    <d v="2026-02-17T00:00:00"/>
    <s v="BR Salted Caramel Truffle 6p 1.5QT"/>
    <x v="7"/>
    <n v="8.513999999999999E-3"/>
    <n v="176"/>
    <x v="0"/>
    <x v="0"/>
    <n v="1"/>
    <n v="4893"/>
    <n v="41.659001999999994"/>
    <n v="27.801136363636363"/>
    <s v="Feb"/>
    <x v="5"/>
    <m/>
    <m/>
  </r>
  <r>
    <n v="64977526"/>
    <x v="0"/>
    <n v="7487"/>
    <d v="2026-02-18T00:00:00"/>
    <s v="BR Salted Caramel Truffle 6p 1.5QT"/>
    <x v="7"/>
    <n v="8.513999999999999E-3"/>
    <n v="176"/>
    <x v="0"/>
    <x v="0"/>
    <n v="1"/>
    <n v="7487"/>
    <n v="63.744317999999993"/>
    <n v="42.539772727272727"/>
    <s v="Feb"/>
    <x v="5"/>
    <m/>
    <m/>
  </r>
  <r>
    <n v="64977529"/>
    <x v="0"/>
    <n v="5689"/>
    <d v="2026-02-07T00:00:00"/>
    <s v="BR Chocolate Lava Cake 6p 1.5QT"/>
    <x v="7"/>
    <n v="8.513999999999999E-3"/>
    <n v="176"/>
    <x v="0"/>
    <x v="0"/>
    <n v="1"/>
    <n v="5689"/>
    <n v="48.436145999999994"/>
    <n v="32.323863636363633"/>
    <s v="Feb"/>
    <x v="8"/>
    <m/>
    <m/>
  </r>
  <r>
    <n v="64977529"/>
    <x v="0"/>
    <n v="3872"/>
    <d v="2026-02-07T00:00:00"/>
    <s v="BR Chocolate Lava Cake 6p 1.5QT"/>
    <x v="7"/>
    <n v="8.513999999999999E-3"/>
    <n v="176"/>
    <x v="0"/>
    <x v="0"/>
    <n v="1"/>
    <n v="3872"/>
    <n v="32.966207999999995"/>
    <n v="22"/>
    <s v="Feb"/>
    <x v="8"/>
    <m/>
    <m/>
  </r>
  <r>
    <n v="64977529"/>
    <x v="0"/>
    <n v="7236"/>
    <d v="2026-02-08T00:00:00"/>
    <s v="BR Chocolate Lava Cake 6p 1.5QT"/>
    <x v="7"/>
    <n v="8.513999999999999E-3"/>
    <n v="176"/>
    <x v="0"/>
    <x v="0"/>
    <n v="1"/>
    <n v="7236"/>
    <n v="61.607303999999992"/>
    <n v="41.113636363636367"/>
    <s v="Feb"/>
    <x v="7"/>
    <m/>
    <m/>
  </r>
  <r>
    <n v="64977529"/>
    <x v="0"/>
    <n v="4298"/>
    <d v="2026-02-08T00:00:00"/>
    <s v="BR Chocolate Lava Cake 6p 1.5QT"/>
    <x v="7"/>
    <n v="8.513999999999999E-3"/>
    <n v="176"/>
    <x v="0"/>
    <x v="0"/>
    <n v="1"/>
    <n v="4298"/>
    <n v="36.593171999999996"/>
    <n v="24.420454545454547"/>
    <s v="Feb"/>
    <x v="7"/>
    <m/>
    <m/>
  </r>
  <r>
    <n v="64977529"/>
    <x v="0"/>
    <n v="6043"/>
    <d v="2026-02-09T00:00:00"/>
    <s v="BR Chocolate Lava Cake 6p 1.5QT"/>
    <x v="7"/>
    <n v="8.513999999999999E-3"/>
    <n v="176"/>
    <x v="0"/>
    <x v="0"/>
    <n v="1"/>
    <n v="6043"/>
    <n v="51.450101999999994"/>
    <n v="34.335227272727273"/>
    <s v="Feb"/>
    <x v="7"/>
    <m/>
    <m/>
  </r>
  <r>
    <n v="64977529"/>
    <x v="0"/>
    <n v="3696"/>
    <d v="2026-02-09T00:00:00"/>
    <s v="BR Chocolate Lava Cake 6p 1.5QT"/>
    <x v="7"/>
    <n v="8.513999999999999E-3"/>
    <n v="176"/>
    <x v="0"/>
    <x v="0"/>
    <n v="1"/>
    <n v="3696"/>
    <n v="31.467743999999996"/>
    <n v="21"/>
    <s v="Feb"/>
    <x v="7"/>
    <m/>
    <m/>
  </r>
  <r>
    <n v="64977529"/>
    <x v="0"/>
    <n v="4496"/>
    <d v="2026-02-10T00:00:00"/>
    <s v="BR Chocolate Lava Cake 6p 1.5QT"/>
    <x v="7"/>
    <n v="8.513999999999999E-3"/>
    <n v="176"/>
    <x v="0"/>
    <x v="0"/>
    <n v="1"/>
    <n v="4496"/>
    <n v="38.278943999999996"/>
    <n v="25.545454545454547"/>
    <s v="Feb"/>
    <x v="7"/>
    <m/>
    <m/>
  </r>
  <r>
    <n v="64977530"/>
    <x v="0"/>
    <n v="3362"/>
    <d v="2026-02-19T00:00:00"/>
    <s v="BR Hot Fudge Brownie Sundae 6p 1.5QT"/>
    <x v="7"/>
    <n v="8.513999999999999E-3"/>
    <n v="176"/>
    <x v="0"/>
    <x v="0"/>
    <n v="1"/>
    <n v="3362"/>
    <n v="28.624067999999998"/>
    <n v="19.102272727272727"/>
    <s v="Feb"/>
    <x v="5"/>
    <m/>
    <m/>
  </r>
  <r>
    <n v="64977530"/>
    <x v="0"/>
    <n v="7315"/>
    <d v="2026-02-20T00:00:00"/>
    <s v="BR Hot Fudge Brownie Sundae 6p 1.5QT"/>
    <x v="7"/>
    <n v="8.513999999999999E-3"/>
    <n v="176"/>
    <x v="0"/>
    <x v="0"/>
    <n v="1"/>
    <n v="7315"/>
    <n v="62.279909999999994"/>
    <n v="41.5625"/>
    <s v="Feb"/>
    <x v="5"/>
    <m/>
    <m/>
  </r>
  <r>
    <n v="64977530"/>
    <x v="0"/>
    <n v="3132"/>
    <d v="2026-02-20T00:00:00"/>
    <s v="BR Hot Fudge Brownie Sundae 6p 1.5QT"/>
    <x v="7"/>
    <n v="8.513999999999999E-3"/>
    <n v="176"/>
    <x v="0"/>
    <x v="0"/>
    <n v="1"/>
    <n v="3132"/>
    <n v="26.665847999999997"/>
    <n v="17.795454545454547"/>
    <s v="Feb"/>
    <x v="5"/>
    <m/>
    <m/>
  </r>
  <r>
    <n v="64977530"/>
    <x v="0"/>
    <n v="7920"/>
    <d v="2026-02-21T00:00:00"/>
    <s v="BR Hot Fudge Brownie Sundae 6p 1.5QT"/>
    <x v="7"/>
    <n v="8.513999999999999E-3"/>
    <n v="176"/>
    <x v="0"/>
    <x v="0"/>
    <n v="1"/>
    <n v="7920"/>
    <n v="67.430879999999988"/>
    <n v="45"/>
    <s v="Feb"/>
    <x v="5"/>
    <m/>
    <m/>
  </r>
  <r>
    <n v="64977530"/>
    <x v="0"/>
    <n v="3413"/>
    <d v="2026-02-21T00:00:00"/>
    <s v="BR Hot Fudge Brownie Sundae 6p 1.5QT"/>
    <x v="7"/>
    <n v="8.513999999999999E-3"/>
    <n v="176"/>
    <x v="0"/>
    <x v="0"/>
    <n v="1"/>
    <n v="3413"/>
    <n v="29.058281999999995"/>
    <n v="19.392045454545453"/>
    <s v="Feb"/>
    <x v="5"/>
    <m/>
    <m/>
  </r>
  <r>
    <n v="64977530"/>
    <x v="0"/>
    <n v="9131"/>
    <d v="2026-02-22T00:00:00"/>
    <s v="BR Hot Fudge Brownie Sundae 6p 1.5QT"/>
    <x v="7"/>
    <n v="8.513999999999999E-3"/>
    <n v="176"/>
    <x v="0"/>
    <x v="0"/>
    <n v="1"/>
    <n v="9131"/>
    <n v="77.741333999999995"/>
    <n v="51.88068181818182"/>
    <s v="Feb"/>
    <x v="6"/>
    <m/>
    <m/>
  </r>
  <r>
    <n v="64977530"/>
    <x v="0"/>
    <n v="4223"/>
    <d v="2026-02-22T00:00:00"/>
    <s v="BR Hot Fudge Brownie Sundae 6p 1.5QT"/>
    <x v="7"/>
    <n v="8.513999999999999E-3"/>
    <n v="176"/>
    <x v="0"/>
    <x v="0"/>
    <n v="1"/>
    <n v="4223"/>
    <n v="35.954621999999993"/>
    <n v="23.994318181818183"/>
    <s v="Feb"/>
    <x v="6"/>
    <m/>
    <m/>
  </r>
  <r>
    <n v="65490430"/>
    <x v="0"/>
    <n v="3140"/>
    <d v="2026-02-10T00:00:00"/>
    <s v="PS SF OCG 1-32PK"/>
    <x v="27"/>
    <n v="1.5608888888888888E-3"/>
    <n v="200"/>
    <x v="6"/>
    <x v="15"/>
    <n v="1"/>
    <n v="3140"/>
    <n v="4.9011911111111104"/>
    <n v="15.7"/>
    <s v="Feb"/>
    <x v="7"/>
    <m/>
    <m/>
  </r>
  <r>
    <n v="65490430"/>
    <x v="0"/>
    <n v="3598"/>
    <d v="2026-02-10T00:00:00"/>
    <s v="PS SF OCG 1-32PK"/>
    <x v="27"/>
    <n v="1.5608888888888888E-3"/>
    <n v="200"/>
    <x v="6"/>
    <x v="15"/>
    <n v="1"/>
    <n v="3598"/>
    <n v="5.6160782222222219"/>
    <n v="17.989999999999998"/>
    <s v="Feb"/>
    <x v="7"/>
    <m/>
    <m/>
  </r>
  <r>
    <n v="65490430"/>
    <x v="0"/>
    <n v="4881"/>
    <d v="2026-02-11T00:00:00"/>
    <s v="PS SF OCG 1-32PK"/>
    <x v="27"/>
    <n v="1.5608888888888888E-3"/>
    <n v="200"/>
    <x v="6"/>
    <x v="15"/>
    <n v="1"/>
    <n v="4881"/>
    <n v="7.6186986666666661"/>
    <n v="24.405000000000001"/>
    <s v="Feb"/>
    <x v="7"/>
    <m/>
    <m/>
  </r>
  <r>
    <n v="65490430"/>
    <x v="0"/>
    <n v="4599"/>
    <d v="2026-02-11T00:00:00"/>
    <s v="PS SF OCG 1-32PK"/>
    <x v="27"/>
    <n v="1.5608888888888888E-3"/>
    <n v="200"/>
    <x v="6"/>
    <x v="15"/>
    <n v="1"/>
    <n v="4599"/>
    <n v="7.1785279999999991"/>
    <n v="22.995000000000001"/>
    <s v="Feb"/>
    <x v="7"/>
    <m/>
    <m/>
  </r>
  <r>
    <n v="65490430"/>
    <x v="0"/>
    <n v="7410"/>
    <d v="2026-02-12T00:00:00"/>
    <s v="PS SF OCG 1-32PK"/>
    <x v="27"/>
    <n v="1.5608888888888888E-3"/>
    <n v="200"/>
    <x v="6"/>
    <x v="15"/>
    <n v="1"/>
    <n v="7410"/>
    <n v="11.566186666666665"/>
    <n v="37.049999999999997"/>
    <s v="Feb"/>
    <x v="7"/>
    <m/>
    <m/>
  </r>
  <r>
    <n v="65490430"/>
    <x v="0"/>
    <n v="5778"/>
    <d v="2026-02-12T00:00:00"/>
    <s v="PS SF OCG 1-32PK"/>
    <x v="27"/>
    <n v="1.5608888888888888E-3"/>
    <n v="200"/>
    <x v="6"/>
    <x v="15"/>
    <n v="1"/>
    <n v="5778"/>
    <n v="9.0188159999999993"/>
    <n v="28.89"/>
    <s v="Feb"/>
    <x v="7"/>
    <m/>
    <m/>
  </r>
  <r>
    <n v="65490430"/>
    <x v="0"/>
    <n v="3557"/>
    <d v="2026-02-13T00:00:00"/>
    <s v="PS SF OCG 1-32PK"/>
    <x v="27"/>
    <n v="1.5608888888888888E-3"/>
    <n v="200"/>
    <x v="6"/>
    <x v="15"/>
    <n v="1"/>
    <n v="3557"/>
    <n v="5.5520817777777776"/>
    <n v="17.785"/>
    <s v="Feb"/>
    <x v="7"/>
    <m/>
    <m/>
  </r>
  <r>
    <n v="65490430"/>
    <x v="0"/>
    <n v="5160"/>
    <d v="2026-02-16T00:00:00"/>
    <s v="PS SF OCG 1-32PK"/>
    <x v="27"/>
    <n v="1.5608888888888888E-3"/>
    <n v="200"/>
    <x v="6"/>
    <x v="15"/>
    <n v="1"/>
    <n v="5160"/>
    <n v="8.0541866666666664"/>
    <n v="25.8"/>
    <s v="Feb"/>
    <x v="5"/>
    <m/>
    <m/>
  </r>
  <r>
    <n v="65490430"/>
    <x v="0"/>
    <n v="8442"/>
    <d v="2026-02-17T00:00:00"/>
    <s v="PS SF OCG 1-32PK"/>
    <x v="27"/>
    <n v="1.5608888888888888E-3"/>
    <n v="200"/>
    <x v="6"/>
    <x v="15"/>
    <n v="1"/>
    <n v="8442"/>
    <n v="13.177023999999999"/>
    <n v="42.21"/>
    <s v="Feb"/>
    <x v="5"/>
    <m/>
    <m/>
  </r>
  <r>
    <n v="65490430"/>
    <x v="0"/>
    <n v="5999"/>
    <d v="2026-02-17T00:00:00"/>
    <s v="PS SF OCG 1-32PK"/>
    <x v="27"/>
    <n v="1.5608888888888888E-3"/>
    <n v="200"/>
    <x v="6"/>
    <x v="15"/>
    <n v="1"/>
    <n v="5999"/>
    <n v="9.363772444444443"/>
    <n v="29.995000000000001"/>
    <s v="Feb"/>
    <x v="5"/>
    <m/>
    <m/>
  </r>
  <r>
    <n v="65490430"/>
    <x v="0"/>
    <n v="2634"/>
    <d v="2026-02-18T00:00:00"/>
    <s v="PS SF OCG 1-32PK"/>
    <x v="27"/>
    <n v="1.5608888888888888E-3"/>
    <n v="200"/>
    <x v="6"/>
    <x v="15"/>
    <n v="1"/>
    <n v="2634"/>
    <n v="4.1113813333333331"/>
    <n v="13.17"/>
    <s v="Feb"/>
    <x v="5"/>
    <m/>
    <m/>
  </r>
  <r>
    <n v="65490430"/>
    <x v="0"/>
    <n v="5999"/>
    <d v="2026-02-18T00:00:00"/>
    <s v="PS SF OCG 1-32PK"/>
    <x v="27"/>
    <n v="1.5608888888888888E-3"/>
    <n v="200"/>
    <x v="6"/>
    <x v="15"/>
    <n v="1"/>
    <n v="5999"/>
    <n v="9.363772444444443"/>
    <n v="29.995000000000001"/>
    <s v="Feb"/>
    <x v="5"/>
    <m/>
    <m/>
  </r>
  <r>
    <n v="65490430"/>
    <x v="0"/>
    <n v="24"/>
    <d v="2026-02-19T00:00:00"/>
    <s v="PS SF OCG 1-32PK"/>
    <x v="27"/>
    <n v="1.5608888888888888E-3"/>
    <n v="200"/>
    <x v="6"/>
    <x v="15"/>
    <n v="1"/>
    <n v="24"/>
    <n v="3.7461333333333333E-2"/>
    <n v="0.12"/>
    <s v="Feb"/>
    <x v="5"/>
    <m/>
    <m/>
  </r>
  <r>
    <n v="68300738"/>
    <x v="0"/>
    <n v="2376"/>
    <d v="2026-02-16T00:00:00"/>
    <s v="KL REESES BAR 12-6 PK"/>
    <x v="2"/>
    <n v="8.4960000000000001E-3"/>
    <n v="132"/>
    <x v="1"/>
    <x v="2"/>
    <n v="1"/>
    <n v="2376"/>
    <n v="20.186496000000002"/>
    <n v="18"/>
    <s v="Feb"/>
    <x v="5"/>
    <m/>
    <m/>
  </r>
  <r>
    <n v="68300738"/>
    <x v="0"/>
    <n v="4412"/>
    <d v="2026-02-17T00:00:00"/>
    <s v="KL REESES BAR 12-6 PK"/>
    <x v="2"/>
    <n v="8.4960000000000001E-3"/>
    <n v="132"/>
    <x v="1"/>
    <x v="2"/>
    <n v="1"/>
    <n v="4412"/>
    <n v="37.484352000000001"/>
    <n v="33.424242424242422"/>
    <s v="Feb"/>
    <x v="5"/>
    <m/>
    <m/>
  </r>
  <r>
    <n v="68300738"/>
    <x v="0"/>
    <n v="3036"/>
    <d v="2026-02-18T00:00:00"/>
    <s v="KL REESES BAR 12-6 PK"/>
    <x v="2"/>
    <n v="8.4960000000000001E-3"/>
    <n v="132"/>
    <x v="1"/>
    <x v="2"/>
    <n v="1"/>
    <n v="3036"/>
    <n v="25.793856000000002"/>
    <n v="23"/>
    <s v="Feb"/>
    <x v="5"/>
    <m/>
    <m/>
  </r>
  <r>
    <n v="68300738"/>
    <x v="0"/>
    <n v="4275"/>
    <d v="2026-02-19T00:00:00"/>
    <s v="KL REESES BAR 12-6 PK"/>
    <x v="2"/>
    <n v="8.4960000000000001E-3"/>
    <n v="132"/>
    <x v="1"/>
    <x v="2"/>
    <n v="1"/>
    <n v="4275"/>
    <n v="36.320399999999999"/>
    <n v="32.386363636363633"/>
    <s v="Feb"/>
    <x v="5"/>
    <m/>
    <m/>
  </r>
  <r>
    <n v="68300738"/>
    <x v="0"/>
    <n v="2640"/>
    <d v="2026-02-19T00:00:00"/>
    <s v="KL REESES BAR 12-6 PK"/>
    <x v="2"/>
    <n v="8.4960000000000001E-3"/>
    <n v="132"/>
    <x v="1"/>
    <x v="2"/>
    <n v="1"/>
    <n v="2640"/>
    <n v="22.42944"/>
    <n v="20"/>
    <s v="Feb"/>
    <x v="5"/>
    <m/>
    <m/>
  </r>
  <r>
    <n v="68300738"/>
    <x v="0"/>
    <n v="963"/>
    <d v="2026-02-20T00:00:00"/>
    <s v="KL REESES BAR 12-6 PK"/>
    <x v="2"/>
    <n v="8.4960000000000001E-3"/>
    <n v="132"/>
    <x v="1"/>
    <x v="2"/>
    <n v="1"/>
    <n v="963"/>
    <n v="8.1816480000000009"/>
    <n v="7.2954545454545459"/>
    <s v="Feb"/>
    <x v="5"/>
    <m/>
    <m/>
  </r>
  <r>
    <n v="68300738"/>
    <x v="0"/>
    <n v="3432"/>
    <d v="2026-02-20T00:00:00"/>
    <s v="KL REESES BAR 12-6 PK"/>
    <x v="2"/>
    <n v="8.4960000000000001E-3"/>
    <n v="132"/>
    <x v="1"/>
    <x v="2"/>
    <n v="1"/>
    <n v="3432"/>
    <n v="29.158272"/>
    <n v="26"/>
    <s v="Feb"/>
    <x v="5"/>
    <m/>
    <m/>
  </r>
  <r>
    <n v="68300738"/>
    <x v="0"/>
    <n v="5243"/>
    <d v="2026-02-21T00:00:00"/>
    <s v="KL REESES BAR 12-6 PK"/>
    <x v="2"/>
    <n v="8.4960000000000001E-3"/>
    <n v="132"/>
    <x v="1"/>
    <x v="2"/>
    <n v="1"/>
    <n v="5243"/>
    <n v="44.544528"/>
    <n v="39.719696969696969"/>
    <s v="Feb"/>
    <x v="5"/>
    <m/>
    <m/>
  </r>
  <r>
    <n v="68300738"/>
    <x v="0"/>
    <n v="3168"/>
    <d v="2026-02-21T00:00:00"/>
    <s v="KL REESES BAR 12-6 PK"/>
    <x v="2"/>
    <n v="8.4960000000000001E-3"/>
    <n v="132"/>
    <x v="1"/>
    <x v="2"/>
    <n v="1"/>
    <n v="3168"/>
    <n v="26.915327999999999"/>
    <n v="24"/>
    <s v="Feb"/>
    <x v="5"/>
    <m/>
    <m/>
  </r>
  <r>
    <n v="68300738"/>
    <x v="0"/>
    <n v="3691"/>
    <d v="2026-02-22T00:00:00"/>
    <s v="KL REESES BAR 12-6 PK"/>
    <x v="2"/>
    <n v="8.4960000000000001E-3"/>
    <n v="132"/>
    <x v="1"/>
    <x v="2"/>
    <n v="1"/>
    <n v="3691"/>
    <n v="31.358736"/>
    <n v="27.962121212121211"/>
    <s v="Feb"/>
    <x v="6"/>
    <m/>
    <m/>
  </r>
  <r>
    <n v="68300738"/>
    <x v="0"/>
    <n v="2904"/>
    <d v="2026-02-22T00:00:00"/>
    <s v="KL REESES BAR 12-6 PK"/>
    <x v="2"/>
    <n v="8.4960000000000001E-3"/>
    <n v="132"/>
    <x v="1"/>
    <x v="2"/>
    <n v="1"/>
    <n v="2904"/>
    <n v="24.672384000000001"/>
    <n v="22"/>
    <s v="Feb"/>
    <x v="6"/>
    <m/>
    <m/>
  </r>
  <r>
    <n v="68300738"/>
    <x v="0"/>
    <n v="2376"/>
    <d v="2026-02-17T00:00:00"/>
    <s v="KL REESES BAR 12-6 PK"/>
    <x v="2"/>
    <n v="8.4960000000000001E-3"/>
    <n v="132"/>
    <x v="1"/>
    <x v="2"/>
    <n v="1"/>
    <n v="2376"/>
    <n v="20.186496000000002"/>
    <n v="18"/>
    <s v="Feb"/>
    <x v="5"/>
    <m/>
    <m/>
  </r>
  <r>
    <n v="68300738"/>
    <x v="0"/>
    <n v="4696"/>
    <d v="2026-02-18T00:00:00"/>
    <s v="KL REESES BAR 12-6 PK"/>
    <x v="2"/>
    <n v="8.4960000000000001E-3"/>
    <n v="132"/>
    <x v="1"/>
    <x v="2"/>
    <n v="1"/>
    <n v="4696"/>
    <n v="39.897216"/>
    <n v="35.575757575757578"/>
    <s v="Feb"/>
    <x v="5"/>
    <m/>
    <m/>
  </r>
  <r>
    <n v="68689251"/>
    <x v="0"/>
    <n v="1320"/>
    <d v="2026-01-30T00:00:00"/>
    <s v="KL Original Vanilla Bar 12-6PK"/>
    <x v="2"/>
    <n v="9.5760000000000012E-3"/>
    <n v="132"/>
    <x v="1"/>
    <x v="2"/>
    <n v="1"/>
    <n v="1320"/>
    <n v="12.640320000000001"/>
    <n v="10"/>
    <s v="Jan"/>
    <x v="4"/>
    <m/>
    <m/>
  </r>
  <r>
    <n v="68689251"/>
    <x v="0"/>
    <n v="4917"/>
    <d v="2026-01-31T00:00:00"/>
    <s v="KL Original Vanilla Bar 12-6PK"/>
    <x v="2"/>
    <n v="9.5760000000000012E-3"/>
    <n v="132"/>
    <x v="1"/>
    <x v="2"/>
    <n v="1"/>
    <n v="4917"/>
    <n v="47.085192000000006"/>
    <n v="37.25"/>
    <s v="Jan"/>
    <x v="4"/>
    <m/>
    <m/>
  </r>
  <r>
    <n v="68689251"/>
    <x v="0"/>
    <n v="4488"/>
    <d v="2026-01-31T00:00:00"/>
    <s v="KL Original Vanilla Bar 12-6PK"/>
    <x v="2"/>
    <n v="9.5760000000000012E-3"/>
    <n v="132"/>
    <x v="1"/>
    <x v="2"/>
    <n v="1"/>
    <n v="4488"/>
    <n v="42.977088000000002"/>
    <n v="34"/>
    <s v="Jan"/>
    <x v="4"/>
    <m/>
    <m/>
  </r>
  <r>
    <n v="68689251"/>
    <x v="0"/>
    <n v="3254"/>
    <d v="2026-02-01T00:00:00"/>
    <s v="KL Original Vanilla Bar 12-6PK"/>
    <x v="2"/>
    <n v="9.5760000000000012E-3"/>
    <n v="132"/>
    <x v="1"/>
    <x v="2"/>
    <n v="1"/>
    <n v="3254"/>
    <n v="31.160304000000004"/>
    <n v="24.651515151515152"/>
    <s v="Feb"/>
    <x v="8"/>
    <m/>
    <m/>
  </r>
  <r>
    <n v="68689251"/>
    <x v="0"/>
    <n v="2376"/>
    <d v="2026-02-01T00:00:00"/>
    <s v="KL Original Vanilla Bar 12-6PK"/>
    <x v="2"/>
    <n v="9.5760000000000012E-3"/>
    <n v="132"/>
    <x v="1"/>
    <x v="2"/>
    <n v="1"/>
    <n v="2376"/>
    <n v="22.752576000000001"/>
    <n v="18"/>
    <s v="Feb"/>
    <x v="8"/>
    <m/>
    <m/>
  </r>
  <r>
    <n v="68689251"/>
    <x v="0"/>
    <n v="3214"/>
    <d v="2026-02-02T00:00:00"/>
    <s v="KL Original Vanilla Bar 12-6PK"/>
    <x v="2"/>
    <n v="9.5760000000000012E-3"/>
    <n v="132"/>
    <x v="1"/>
    <x v="2"/>
    <n v="1"/>
    <n v="3214"/>
    <n v="30.777264000000002"/>
    <n v="24.348484848484848"/>
    <s v="Feb"/>
    <x v="8"/>
    <m/>
    <m/>
  </r>
  <r>
    <n v="68689251"/>
    <x v="0"/>
    <n v="2640"/>
    <d v="2026-02-02T00:00:00"/>
    <s v="KL Original Vanilla Bar 12-6PK"/>
    <x v="2"/>
    <n v="9.5760000000000012E-3"/>
    <n v="132"/>
    <x v="1"/>
    <x v="2"/>
    <n v="1"/>
    <n v="2640"/>
    <n v="25.280640000000002"/>
    <n v="20"/>
    <s v="Feb"/>
    <x v="8"/>
    <m/>
    <m/>
  </r>
  <r>
    <n v="68689251"/>
    <x v="0"/>
    <n v="4110"/>
    <d v="2026-02-03T00:00:00"/>
    <s v="KL Original Vanilla Bar 12-6PK"/>
    <x v="2"/>
    <n v="9.5760000000000012E-3"/>
    <n v="132"/>
    <x v="1"/>
    <x v="2"/>
    <n v="1"/>
    <n v="4110"/>
    <n v="39.357360000000007"/>
    <n v="31.136363636363637"/>
    <s v="Feb"/>
    <x v="8"/>
    <m/>
    <m/>
  </r>
  <r>
    <n v="68689251"/>
    <x v="0"/>
    <n v="2904"/>
    <d v="2026-02-05T00:00:00"/>
    <s v="KL Original Vanilla Bar 12-6PK"/>
    <x v="4"/>
    <n v="9.5760000000000012E-3"/>
    <n v="132"/>
    <x v="1"/>
    <x v="2"/>
    <n v="1"/>
    <n v="2904"/>
    <n v="27.808704000000002"/>
    <n v="22"/>
    <s v="Feb"/>
    <x v="8"/>
    <m/>
    <m/>
  </r>
  <r>
    <n v="68689251"/>
    <x v="0"/>
    <n v="3577"/>
    <d v="2026-02-06T00:00:00"/>
    <s v="KL Original Vanilla Bar 12-6PK"/>
    <x v="4"/>
    <n v="9.5760000000000012E-3"/>
    <n v="132"/>
    <x v="1"/>
    <x v="2"/>
    <n v="1"/>
    <n v="3577"/>
    <n v="34.253352000000007"/>
    <n v="27.098484848484848"/>
    <s v="Feb"/>
    <x v="8"/>
    <m/>
    <m/>
  </r>
  <r>
    <n v="68689251"/>
    <x v="0"/>
    <n v="396"/>
    <d v="2026-02-06T00:00:00"/>
    <s v="KL Original Vanilla Bar 12-6PK"/>
    <x v="4"/>
    <n v="9.5760000000000012E-3"/>
    <n v="132"/>
    <x v="1"/>
    <x v="2"/>
    <n v="1"/>
    <n v="396"/>
    <n v="3.7920960000000004"/>
    <n v="3"/>
    <s v="Feb"/>
    <x v="8"/>
    <m/>
    <m/>
  </r>
  <r>
    <n v="68689251"/>
    <x v="0"/>
    <n v="4026"/>
    <d v="2026-02-07T00:00:00"/>
    <s v="KL Original Vanilla Bar 12-6PK"/>
    <x v="4"/>
    <n v="9.5760000000000012E-3"/>
    <n v="132"/>
    <x v="1"/>
    <x v="2"/>
    <n v="1"/>
    <n v="4026"/>
    <n v="38.552976000000008"/>
    <n v="30.5"/>
    <s v="Feb"/>
    <x v="8"/>
    <m/>
    <m/>
  </r>
  <r>
    <n v="68689251"/>
    <x v="0"/>
    <n v="1980"/>
    <d v="2026-02-07T00:00:00"/>
    <s v="KL Original Vanilla Bar 12-6PK"/>
    <x v="4"/>
    <n v="9.5760000000000012E-3"/>
    <n v="132"/>
    <x v="1"/>
    <x v="2"/>
    <n v="1"/>
    <n v="1980"/>
    <n v="18.960480000000004"/>
    <n v="15"/>
    <s v="Feb"/>
    <x v="8"/>
    <m/>
    <m/>
  </r>
  <r>
    <n v="68689251"/>
    <x v="0"/>
    <n v="2990"/>
    <d v="2026-02-08T00:00:00"/>
    <s v="KL Original Vanilla Bar 12-6PK"/>
    <x v="4"/>
    <n v="9.5760000000000012E-3"/>
    <n v="132"/>
    <x v="1"/>
    <x v="2"/>
    <n v="1"/>
    <n v="2990"/>
    <n v="28.632240000000003"/>
    <n v="22.651515151515152"/>
    <s v="Feb"/>
    <x v="7"/>
    <m/>
    <m/>
  </r>
  <r>
    <n v="68689251"/>
    <x v="0"/>
    <n v="7"/>
    <d v="2026-02-09T00:00:00"/>
    <s v="KL Original Vanilla Bar 12-6PK"/>
    <x v="4"/>
    <n v="9.5760000000000012E-3"/>
    <n v="132"/>
    <x v="1"/>
    <x v="2"/>
    <n v="1"/>
    <n v="7"/>
    <n v="6.7032000000000008E-2"/>
    <n v="5.3030303030303032E-2"/>
    <s v="Feb"/>
    <x v="7"/>
    <m/>
    <m/>
  </r>
  <r>
    <n v="68689251"/>
    <x v="0"/>
    <n v="396"/>
    <d v="2026-01-28T00:00:00"/>
    <s v="KL Original Vanilla Bar 12-6PK"/>
    <x v="4"/>
    <n v="9.5760000000000012E-3"/>
    <n v="132"/>
    <x v="1"/>
    <x v="2"/>
    <n v="1"/>
    <n v="396"/>
    <n v="3.7920960000000004"/>
    <n v="3"/>
    <s v="Jan"/>
    <x v="4"/>
    <m/>
    <m/>
  </r>
  <r>
    <n v="68689251"/>
    <x v="0"/>
    <n v="3514"/>
    <d v="2026-01-29T00:00:00"/>
    <s v="KL Original Vanilla Bar 12-6PK"/>
    <x v="4"/>
    <n v="9.5760000000000012E-3"/>
    <n v="132"/>
    <x v="1"/>
    <x v="2"/>
    <n v="1"/>
    <n v="3514"/>
    <n v="33.650064000000008"/>
    <n v="26.621212121212121"/>
    <s v="Jan"/>
    <x v="4"/>
    <m/>
    <m/>
  </r>
  <r>
    <n v="68689251"/>
    <x v="0"/>
    <n v="2244"/>
    <d v="2026-02-08T00:00:00"/>
    <s v="KL Original Vanilla Bar 12-6PK"/>
    <x v="4"/>
    <n v="9.5760000000000012E-3"/>
    <n v="132"/>
    <x v="1"/>
    <x v="2"/>
    <n v="1"/>
    <n v="2244"/>
    <n v="21.488544000000001"/>
    <n v="17"/>
    <s v="Feb"/>
    <x v="7"/>
    <m/>
    <m/>
  </r>
  <r>
    <n v="68689251"/>
    <x v="0"/>
    <n v="3076"/>
    <d v="2026-02-09T00:00:00"/>
    <s v="KL Original Vanilla Bar 12-6PK"/>
    <x v="4"/>
    <n v="9.5760000000000012E-3"/>
    <n v="132"/>
    <x v="1"/>
    <x v="2"/>
    <n v="1"/>
    <n v="3076"/>
    <n v="29.455776000000004"/>
    <n v="23.303030303030305"/>
    <s v="Feb"/>
    <x v="7"/>
    <m/>
    <m/>
  </r>
  <r>
    <n v="68689251"/>
    <x v="0"/>
    <n v="2904"/>
    <d v="2026-01-29T00:00:00"/>
    <s v="KL Original Vanilla Bar 12-6PK"/>
    <x v="4"/>
    <n v="9.5760000000000012E-3"/>
    <n v="132"/>
    <x v="1"/>
    <x v="2"/>
    <n v="1"/>
    <n v="2904"/>
    <n v="27.808704000000002"/>
    <n v="22"/>
    <s v="Jan"/>
    <x v="4"/>
    <m/>
    <m/>
  </r>
  <r>
    <n v="68689251"/>
    <x v="0"/>
    <n v="4364"/>
    <d v="2026-01-30T00:00:00"/>
    <s v="KL Original Vanilla Bar 12-6PK"/>
    <x v="4"/>
    <n v="9.5760000000000012E-3"/>
    <n v="132"/>
    <x v="1"/>
    <x v="2"/>
    <n v="1"/>
    <n v="4364"/>
    <n v="41.789664000000002"/>
    <n v="33.060606060606062"/>
    <s v="Jan"/>
    <x v="4"/>
    <m/>
    <m/>
  </r>
  <r>
    <n v="68689251"/>
    <x v="0"/>
    <n v="3036"/>
    <d v="2026-01-30T00:00:00"/>
    <s v="KL Original Vanilla Bar 12-6PK"/>
    <x v="4"/>
    <n v="9.5760000000000012E-3"/>
    <n v="132"/>
    <x v="1"/>
    <x v="2"/>
    <n v="1"/>
    <n v="3036"/>
    <n v="29.072736000000003"/>
    <n v="23"/>
    <s v="Jan"/>
    <x v="4"/>
    <m/>
    <m/>
  </r>
  <r>
    <n v="68689251"/>
    <x v="0"/>
    <n v="4806"/>
    <d v="2026-01-31T00:00:00"/>
    <s v="KL Original Vanilla Bar 12-6PK"/>
    <x v="4"/>
    <n v="9.5760000000000012E-3"/>
    <n v="132"/>
    <x v="1"/>
    <x v="2"/>
    <n v="1"/>
    <n v="4806"/>
    <n v="46.022256000000006"/>
    <n v="36.409090909090907"/>
    <s v="Jan"/>
    <x v="4"/>
    <m/>
    <m/>
  </r>
  <r>
    <n v="68689251"/>
    <x v="0"/>
    <n v="4356"/>
    <d v="2026-01-31T00:00:00"/>
    <s v="KL Original Vanilla Bar 12-6PK"/>
    <x v="4"/>
    <n v="9.5760000000000012E-3"/>
    <n v="132"/>
    <x v="1"/>
    <x v="2"/>
    <n v="1"/>
    <n v="4356"/>
    <n v="41.713056000000002"/>
    <n v="33"/>
    <s v="Jan"/>
    <x v="4"/>
    <m/>
    <m/>
  </r>
  <r>
    <n v="68689251"/>
    <x v="0"/>
    <n v="2188"/>
    <d v="2026-02-01T00:00:00"/>
    <s v="KL Original Vanilla Bar 12-6PK"/>
    <x v="4"/>
    <n v="9.5760000000000012E-3"/>
    <n v="132"/>
    <x v="1"/>
    <x v="2"/>
    <n v="1"/>
    <n v="2188"/>
    <n v="20.952288000000003"/>
    <n v="16.575757575757574"/>
    <s v="Feb"/>
    <x v="8"/>
    <m/>
    <m/>
  </r>
  <r>
    <n v="68689251"/>
    <x v="0"/>
    <n v="264"/>
    <d v="2026-02-01T00:00:00"/>
    <s v="KL Original Vanilla Bar 12-6PK"/>
    <x v="4"/>
    <n v="9.5760000000000012E-3"/>
    <n v="132"/>
    <x v="1"/>
    <x v="2"/>
    <n v="1"/>
    <n v="264"/>
    <n v="2.5280640000000005"/>
    <n v="2"/>
    <s v="Feb"/>
    <x v="8"/>
    <m/>
    <m/>
  </r>
  <r>
    <n v="68689251"/>
    <x v="0"/>
    <n v="1644"/>
    <d v="2026-02-02T00:00:00"/>
    <s v="KL Original Vanilla Bar 12-6PK"/>
    <x v="4"/>
    <n v="9.5760000000000012E-3"/>
    <n v="132"/>
    <x v="1"/>
    <x v="2"/>
    <n v="1"/>
    <n v="1644"/>
    <n v="15.742944000000001"/>
    <n v="12.454545454545455"/>
    <s v="Feb"/>
    <x v="8"/>
    <m/>
    <m/>
  </r>
  <r>
    <n v="68689251"/>
    <x v="0"/>
    <n v="1056"/>
    <d v="2026-02-02T00:00:00"/>
    <s v="KL Original Vanilla Bar 12-6PK"/>
    <x v="4"/>
    <n v="9.5760000000000012E-3"/>
    <n v="132"/>
    <x v="1"/>
    <x v="2"/>
    <n v="1"/>
    <n v="1056"/>
    <n v="10.112256000000002"/>
    <n v="8"/>
    <s v="Feb"/>
    <x v="8"/>
    <m/>
    <m/>
  </r>
  <r>
    <n v="68689251"/>
    <x v="0"/>
    <n v="3286"/>
    <d v="2026-02-03T00:00:00"/>
    <s v="KL Original Vanilla Bar 12-6PK"/>
    <x v="4"/>
    <n v="9.5760000000000012E-3"/>
    <n v="132"/>
    <x v="1"/>
    <x v="2"/>
    <n v="1"/>
    <n v="3286"/>
    <n v="31.466736000000004"/>
    <n v="24.893939393939394"/>
    <s v="Feb"/>
    <x v="8"/>
    <m/>
    <m/>
  </r>
  <r>
    <n v="68689251"/>
    <x v="0"/>
    <n v="2772"/>
    <d v="2026-02-03T00:00:00"/>
    <s v="KL Original Vanilla Bar 12-6PK"/>
    <x v="4"/>
    <n v="9.5760000000000012E-3"/>
    <n v="132"/>
    <x v="1"/>
    <x v="2"/>
    <n v="1"/>
    <n v="2772"/>
    <n v="26.544672000000002"/>
    <n v="21"/>
    <s v="Feb"/>
    <x v="8"/>
    <m/>
    <m/>
  </r>
  <r>
    <n v="68689251"/>
    <x v="0"/>
    <n v="3781"/>
    <d v="2026-02-04T00:00:00"/>
    <s v="KL Original Vanilla Bar 12-6PK"/>
    <x v="4"/>
    <n v="9.5760000000000012E-3"/>
    <n v="132"/>
    <x v="1"/>
    <x v="2"/>
    <n v="1"/>
    <n v="3781"/>
    <n v="36.206856000000002"/>
    <n v="28.643939393939394"/>
    <s v="Feb"/>
    <x v="8"/>
    <m/>
    <m/>
  </r>
  <r>
    <n v="68689251"/>
    <x v="0"/>
    <n v="3036"/>
    <d v="2026-02-04T00:00:00"/>
    <s v="KL Original Vanilla Bar 12-6PK"/>
    <x v="4"/>
    <n v="9.5760000000000012E-3"/>
    <n v="132"/>
    <x v="1"/>
    <x v="2"/>
    <n v="1"/>
    <n v="3036"/>
    <n v="29.072736000000003"/>
    <n v="23"/>
    <s v="Feb"/>
    <x v="8"/>
    <m/>
    <m/>
  </r>
  <r>
    <n v="68689251"/>
    <x v="0"/>
    <n v="4585"/>
    <d v="2026-02-05T00:00:00"/>
    <s v="KL Original Vanilla Bar 12-6PK"/>
    <x v="4"/>
    <n v="9.5760000000000012E-3"/>
    <n v="132"/>
    <x v="1"/>
    <x v="2"/>
    <n v="1"/>
    <n v="4585"/>
    <n v="43.905960000000007"/>
    <n v="34.734848484848484"/>
    <s v="Feb"/>
    <x v="8"/>
    <m/>
    <m/>
  </r>
  <r>
    <n v="68689251"/>
    <x v="0"/>
    <n v="1056"/>
    <d v="2026-02-03T00:00:00"/>
    <s v="KL Original Vanilla Bar 12-6PK"/>
    <x v="2"/>
    <n v="9.5760000000000012E-3"/>
    <n v="132"/>
    <x v="1"/>
    <x v="2"/>
    <n v="1"/>
    <n v="1056"/>
    <n v="10.112256000000002"/>
    <n v="8"/>
    <s v="Feb"/>
    <x v="8"/>
    <m/>
    <m/>
  </r>
  <r>
    <n v="68689251"/>
    <x v="0"/>
    <n v="4399"/>
    <d v="2026-02-04T00:00:00"/>
    <s v="KL Original Vanilla Bar 12-6PK"/>
    <x v="2"/>
    <n v="9.5760000000000012E-3"/>
    <n v="132"/>
    <x v="1"/>
    <x v="2"/>
    <n v="1"/>
    <n v="4399"/>
    <n v="42.124824000000004"/>
    <n v="33.325757575757578"/>
    <s v="Feb"/>
    <x v="8"/>
    <m/>
    <m/>
  </r>
  <r>
    <n v="68689251"/>
    <x v="0"/>
    <n v="2508"/>
    <d v="2026-02-04T00:00:00"/>
    <s v="KL Original Vanilla Bar 12-6PK"/>
    <x v="2"/>
    <n v="9.5760000000000012E-3"/>
    <n v="132"/>
    <x v="1"/>
    <x v="2"/>
    <n v="1"/>
    <n v="2508"/>
    <n v="24.016608000000002"/>
    <n v="19"/>
    <s v="Feb"/>
    <x v="8"/>
    <m/>
    <m/>
  </r>
  <r>
    <n v="68689251"/>
    <x v="0"/>
    <n v="3523"/>
    <d v="2026-02-05T00:00:00"/>
    <s v="KL Original Vanilla Bar 12-6PK"/>
    <x v="2"/>
    <n v="9.5760000000000012E-3"/>
    <n v="132"/>
    <x v="1"/>
    <x v="2"/>
    <n v="1"/>
    <n v="3523"/>
    <n v="33.736248000000003"/>
    <n v="26.689393939393938"/>
    <s v="Feb"/>
    <x v="8"/>
    <m/>
    <m/>
  </r>
  <r>
    <n v="68689251"/>
    <x v="0"/>
    <n v="2772"/>
    <d v="2026-02-05T00:00:00"/>
    <s v="KL Original Vanilla Bar 12-6PK"/>
    <x v="2"/>
    <n v="9.5760000000000012E-3"/>
    <n v="132"/>
    <x v="1"/>
    <x v="2"/>
    <n v="1"/>
    <n v="2772"/>
    <n v="26.544672000000002"/>
    <n v="21"/>
    <s v="Feb"/>
    <x v="8"/>
    <m/>
    <m/>
  </r>
  <r>
    <n v="68689251"/>
    <x v="0"/>
    <n v="4499"/>
    <d v="2026-02-06T00:00:00"/>
    <s v="KL Original Vanilla Bar 12-6PK"/>
    <x v="2"/>
    <n v="9.5760000000000012E-3"/>
    <n v="132"/>
    <x v="1"/>
    <x v="2"/>
    <n v="1"/>
    <n v="4499"/>
    <n v="43.082424000000003"/>
    <n v="34.083333333333336"/>
    <s v="Feb"/>
    <x v="8"/>
    <m/>
    <m/>
  </r>
  <r>
    <n v="68689251"/>
    <x v="0"/>
    <n v="2640"/>
    <d v="2026-02-06T00:00:00"/>
    <s v="KL Original Vanilla Bar 12-6PK"/>
    <x v="2"/>
    <n v="9.5760000000000012E-3"/>
    <n v="132"/>
    <x v="1"/>
    <x v="2"/>
    <n v="1"/>
    <n v="2640"/>
    <n v="25.280640000000002"/>
    <n v="20"/>
    <s v="Feb"/>
    <x v="8"/>
    <m/>
    <m/>
  </r>
  <r>
    <n v="68689251"/>
    <x v="0"/>
    <n v="4600"/>
    <d v="2026-02-07T00:00:00"/>
    <s v="KL Original Vanilla Bar 12-6PK"/>
    <x v="2"/>
    <n v="9.5760000000000012E-3"/>
    <n v="132"/>
    <x v="1"/>
    <x v="2"/>
    <n v="1"/>
    <n v="4600"/>
    <n v="44.049600000000005"/>
    <n v="34.848484848484851"/>
    <s v="Feb"/>
    <x v="8"/>
    <m/>
    <m/>
  </r>
  <r>
    <n v="68689251"/>
    <x v="0"/>
    <n v="959"/>
    <d v="2026-02-07T00:00:00"/>
    <s v="KL Original Vanilla Bar 12-6PK"/>
    <x v="2"/>
    <n v="9.5760000000000012E-3"/>
    <n v="132"/>
    <x v="1"/>
    <x v="2"/>
    <n v="1"/>
    <n v="959"/>
    <n v="9.183384000000002"/>
    <n v="7.2651515151515156"/>
    <s v="Feb"/>
    <x v="8"/>
    <m/>
    <m/>
  </r>
  <r>
    <n v="68689251"/>
    <x v="0"/>
    <n v="3840"/>
    <d v="2026-02-08T00:00:00"/>
    <s v="KL Original Vanilla Bar 12-6PK"/>
    <x v="2"/>
    <n v="9.5760000000000012E-3"/>
    <n v="132"/>
    <x v="1"/>
    <x v="2"/>
    <n v="1"/>
    <n v="3840"/>
    <n v="36.771840000000005"/>
    <n v="29.09090909090909"/>
    <s v="Feb"/>
    <x v="7"/>
    <m/>
    <m/>
  </r>
  <r>
    <n v="68689251"/>
    <x v="0"/>
    <n v="2508"/>
    <d v="2026-02-08T00:00:00"/>
    <s v="KL Original Vanilla Bar 12-6PK"/>
    <x v="2"/>
    <n v="9.5760000000000012E-3"/>
    <n v="132"/>
    <x v="1"/>
    <x v="2"/>
    <n v="1"/>
    <n v="2508"/>
    <n v="24.016608000000002"/>
    <n v="19"/>
    <s v="Feb"/>
    <x v="7"/>
    <m/>
    <m/>
  </r>
  <r>
    <n v="68689251"/>
    <x v="0"/>
    <n v="3493"/>
    <d v="2026-02-09T00:00:00"/>
    <s v="KL Original Vanilla Bar 12-6PK"/>
    <x v="2"/>
    <n v="9.5760000000000012E-3"/>
    <n v="132"/>
    <x v="1"/>
    <x v="2"/>
    <n v="1"/>
    <n v="3493"/>
    <n v="33.448968000000001"/>
    <n v="26.462121212121211"/>
    <s v="Feb"/>
    <x v="7"/>
    <m/>
    <m/>
  </r>
  <r>
    <n v="68689251"/>
    <x v="0"/>
    <n v="3008"/>
    <d v="2026-02-03T00:00:00"/>
    <s v="KL Original Vanilla Bar 12-6PK"/>
    <x v="20"/>
    <n v="9.5760000000000012E-3"/>
    <n v="132"/>
    <x v="1"/>
    <x v="2"/>
    <n v="1"/>
    <n v="3008"/>
    <n v="28.804608000000002"/>
    <n v="22.787878787878789"/>
    <s v="Feb"/>
    <x v="8"/>
    <m/>
    <m/>
  </r>
  <r>
    <n v="68689251"/>
    <x v="0"/>
    <n v="3168"/>
    <d v="2026-02-03T00:00:00"/>
    <s v="KL Original Vanilla Bar 12-6PK"/>
    <x v="20"/>
    <n v="9.5760000000000012E-3"/>
    <n v="132"/>
    <x v="1"/>
    <x v="2"/>
    <n v="1"/>
    <n v="3168"/>
    <n v="30.336768000000003"/>
    <n v="24"/>
    <s v="Feb"/>
    <x v="8"/>
    <m/>
    <m/>
  </r>
  <r>
    <n v="68689251"/>
    <x v="0"/>
    <n v="4805"/>
    <d v="2026-02-04T00:00:00"/>
    <s v="KL Original Vanilla Bar 12-6PK"/>
    <x v="20"/>
    <n v="9.5760000000000012E-3"/>
    <n v="132"/>
    <x v="1"/>
    <x v="2"/>
    <n v="1"/>
    <n v="4805"/>
    <n v="46.012680000000003"/>
    <n v="36.401515151515149"/>
    <s v="Feb"/>
    <x v="8"/>
    <m/>
    <m/>
  </r>
  <r>
    <n v="68689251"/>
    <x v="0"/>
    <n v="2449"/>
    <d v="2026-02-04T00:00:00"/>
    <s v="KL Original Vanilla Bar 12-6PK"/>
    <x v="20"/>
    <n v="9.5760000000000012E-3"/>
    <n v="132"/>
    <x v="1"/>
    <x v="2"/>
    <n v="1"/>
    <n v="2449"/>
    <n v="23.451624000000002"/>
    <n v="18.553030303030305"/>
    <s v="Feb"/>
    <x v="8"/>
    <m/>
    <m/>
  </r>
  <r>
    <n v="68689251"/>
    <x v="0"/>
    <n v="654"/>
    <d v="2026-02-05T00:00:00"/>
    <s v="KL Original Vanilla Bar 12-6PK"/>
    <x v="20"/>
    <n v="9.5760000000000012E-3"/>
    <n v="132"/>
    <x v="1"/>
    <x v="2"/>
    <n v="1"/>
    <n v="654"/>
    <n v="6.2627040000000012"/>
    <n v="4.9545454545454541"/>
    <s v="Feb"/>
    <x v="8"/>
    <m/>
    <m/>
  </r>
  <r>
    <n v="68689251"/>
    <x v="0"/>
    <n v="1604"/>
    <d v="2026-02-05T00:00:00"/>
    <s v="KL Original Vanilla Bar 12-6PK"/>
    <x v="20"/>
    <n v="9.5760000000000012E-3"/>
    <n v="132"/>
    <x v="1"/>
    <x v="2"/>
    <n v="1"/>
    <n v="1604"/>
    <n v="15.359904000000002"/>
    <n v="12.151515151515152"/>
    <s v="Feb"/>
    <x v="8"/>
    <m/>
    <m/>
  </r>
  <r>
    <n v="68689251"/>
    <x v="0"/>
    <n v="3168"/>
    <d v="2026-02-06T00:00:00"/>
    <s v="KL Original Vanilla Bar 12-6PK"/>
    <x v="20"/>
    <n v="9.5760000000000012E-3"/>
    <n v="132"/>
    <x v="1"/>
    <x v="2"/>
    <n v="1"/>
    <n v="3168"/>
    <n v="30.336768000000003"/>
    <n v="24"/>
    <s v="Feb"/>
    <x v="8"/>
    <m/>
    <m/>
  </r>
  <r>
    <n v="68689251"/>
    <x v="0"/>
    <n v="4396"/>
    <d v="2026-02-07T00:00:00"/>
    <s v="KL Original Vanilla Bar 12-6PK"/>
    <x v="20"/>
    <n v="9.5760000000000012E-3"/>
    <n v="132"/>
    <x v="1"/>
    <x v="2"/>
    <n v="1"/>
    <n v="4396"/>
    <n v="42.096096000000003"/>
    <n v="33.303030303030305"/>
    <s v="Feb"/>
    <x v="8"/>
    <m/>
    <m/>
  </r>
  <r>
    <n v="68689251"/>
    <x v="0"/>
    <n v="1980"/>
    <d v="2026-02-07T00:00:00"/>
    <s v="KL Original Vanilla Bar 12-6PK"/>
    <x v="20"/>
    <n v="9.5760000000000012E-3"/>
    <n v="132"/>
    <x v="1"/>
    <x v="2"/>
    <n v="1"/>
    <n v="1980"/>
    <n v="18.960480000000004"/>
    <n v="15"/>
    <s v="Feb"/>
    <x v="8"/>
    <m/>
    <m/>
  </r>
  <r>
    <n v="68689251"/>
    <x v="0"/>
    <n v="3839"/>
    <d v="2026-02-08T00:00:00"/>
    <s v="KL Original Vanilla Bar 12-6PK"/>
    <x v="20"/>
    <n v="9.5760000000000012E-3"/>
    <n v="132"/>
    <x v="1"/>
    <x v="2"/>
    <n v="1"/>
    <n v="3839"/>
    <n v="36.762264000000002"/>
    <n v="29.083333333333332"/>
    <s v="Feb"/>
    <x v="7"/>
    <m/>
    <m/>
  </r>
  <r>
    <n v="68689251"/>
    <x v="0"/>
    <n v="2244"/>
    <d v="2026-02-08T00:00:00"/>
    <s v="KL Original Vanilla Bar 12-6PK"/>
    <x v="20"/>
    <n v="9.5760000000000012E-3"/>
    <n v="132"/>
    <x v="1"/>
    <x v="2"/>
    <n v="1"/>
    <n v="2244"/>
    <n v="21.488544000000001"/>
    <n v="17"/>
    <s v="Feb"/>
    <x v="7"/>
    <m/>
    <m/>
  </r>
  <r>
    <n v="68689251"/>
    <x v="0"/>
    <n v="610"/>
    <d v="2026-02-09T00:00:00"/>
    <s v="KL Original Vanilla Bar 12-6PK"/>
    <x v="20"/>
    <n v="9.5760000000000012E-3"/>
    <n v="132"/>
    <x v="1"/>
    <x v="2"/>
    <n v="1"/>
    <n v="610"/>
    <n v="5.8413600000000008"/>
    <n v="4.6212121212121211"/>
    <s v="Feb"/>
    <x v="7"/>
    <m/>
    <m/>
  </r>
  <r>
    <n v="68689251"/>
    <x v="0"/>
    <n v="2112"/>
    <d v="2026-02-16T00:00:00"/>
    <s v="KL Original Vanilla Bar 12-6PK"/>
    <x v="20"/>
    <n v="9.5760000000000012E-3"/>
    <n v="132"/>
    <x v="1"/>
    <x v="2"/>
    <n v="1"/>
    <n v="2112"/>
    <n v="20.224512000000004"/>
    <n v="16"/>
    <s v="Feb"/>
    <x v="5"/>
    <m/>
    <m/>
  </r>
  <r>
    <n v="68689251"/>
    <x v="0"/>
    <n v="5384"/>
    <d v="2026-02-17T00:00:00"/>
    <s v="KL Original Vanilla Bar 12-6PK"/>
    <x v="20"/>
    <n v="9.5760000000000012E-3"/>
    <n v="132"/>
    <x v="1"/>
    <x v="2"/>
    <n v="1"/>
    <n v="5384"/>
    <n v="51.557184000000007"/>
    <n v="40.787878787878789"/>
    <s v="Feb"/>
    <x v="5"/>
    <m/>
    <m/>
  </r>
  <r>
    <n v="68689251"/>
    <x v="0"/>
    <n v="3432"/>
    <d v="2026-02-17T00:00:00"/>
    <s v="KL Original Vanilla Bar 12-6PK"/>
    <x v="20"/>
    <n v="9.5760000000000012E-3"/>
    <n v="132"/>
    <x v="1"/>
    <x v="2"/>
    <n v="1"/>
    <n v="3432"/>
    <n v="32.864832000000007"/>
    <n v="26"/>
    <s v="Feb"/>
    <x v="5"/>
    <m/>
    <m/>
  </r>
  <r>
    <n v="68689251"/>
    <x v="0"/>
    <n v="4144"/>
    <d v="2026-02-18T00:00:00"/>
    <s v="KL Original Vanilla Bar 12-6PK"/>
    <x v="20"/>
    <n v="9.5760000000000012E-3"/>
    <n v="132"/>
    <x v="1"/>
    <x v="2"/>
    <n v="1"/>
    <n v="4144"/>
    <n v="39.682944000000006"/>
    <n v="31.393939393939394"/>
    <s v="Feb"/>
    <x v="5"/>
    <m/>
    <m/>
  </r>
  <r>
    <n v="68689251"/>
    <x v="0"/>
    <n v="1854"/>
    <d v="2026-02-18T00:00:00"/>
    <s v="KL Original Vanilla Bar 12-6PK"/>
    <x v="20"/>
    <n v="9.5760000000000012E-3"/>
    <n v="132"/>
    <x v="1"/>
    <x v="2"/>
    <n v="1"/>
    <n v="1854"/>
    <n v="17.753904000000002"/>
    <n v="14.045454545454545"/>
    <s v="Feb"/>
    <x v="5"/>
    <m/>
    <m/>
  </r>
  <r>
    <n v="68689251"/>
    <x v="0"/>
    <n v="2112"/>
    <d v="2026-02-19T00:00:00"/>
    <s v="KL Original Vanilla Bar 12-6PK"/>
    <x v="20"/>
    <n v="9.5760000000000012E-3"/>
    <n v="132"/>
    <x v="1"/>
    <x v="2"/>
    <n v="1"/>
    <n v="2112"/>
    <n v="20.224512000000004"/>
    <n v="16"/>
    <s v="Feb"/>
    <x v="5"/>
    <m/>
    <m/>
  </r>
  <r>
    <n v="68689251"/>
    <x v="0"/>
    <n v="4064"/>
    <d v="2026-02-20T00:00:00"/>
    <s v="KL Original Vanilla Bar 12-6PK"/>
    <x v="20"/>
    <n v="9.5760000000000012E-3"/>
    <n v="132"/>
    <x v="1"/>
    <x v="2"/>
    <n v="1"/>
    <n v="4064"/>
    <n v="38.916864000000004"/>
    <n v="30.787878787878789"/>
    <s v="Feb"/>
    <x v="5"/>
    <m/>
    <m/>
  </r>
  <r>
    <n v="68689251"/>
    <x v="0"/>
    <n v="2950"/>
    <d v="2026-02-20T00:00:00"/>
    <s v="KL Original Vanilla Bar 12-6PK"/>
    <x v="20"/>
    <n v="9.5760000000000012E-3"/>
    <n v="132"/>
    <x v="1"/>
    <x v="2"/>
    <n v="1"/>
    <n v="2950"/>
    <n v="28.249200000000002"/>
    <n v="22.348484848484848"/>
    <s v="Feb"/>
    <x v="5"/>
    <m/>
    <m/>
  </r>
  <r>
    <n v="68689251"/>
    <x v="0"/>
    <n v="4301"/>
    <d v="2026-02-21T00:00:00"/>
    <s v="KL Original Vanilla Bar 12-6PK"/>
    <x v="20"/>
    <n v="9.5760000000000012E-3"/>
    <n v="132"/>
    <x v="1"/>
    <x v="2"/>
    <n v="1"/>
    <n v="4301"/>
    <n v="41.186376000000003"/>
    <n v="32.583333333333336"/>
    <s v="Feb"/>
    <x v="5"/>
    <m/>
    <m/>
  </r>
  <r>
    <n v="68689251"/>
    <x v="0"/>
    <n v="3168"/>
    <d v="2026-02-21T00:00:00"/>
    <s v="KL Original Vanilla Bar 12-6PK"/>
    <x v="20"/>
    <n v="9.5760000000000012E-3"/>
    <n v="132"/>
    <x v="1"/>
    <x v="2"/>
    <n v="1"/>
    <n v="3168"/>
    <n v="30.336768000000003"/>
    <n v="24"/>
    <s v="Feb"/>
    <x v="5"/>
    <m/>
    <m/>
  </r>
  <r>
    <n v="68689251"/>
    <x v="0"/>
    <n v="573"/>
    <d v="2026-02-22T00:00:00"/>
    <s v="KL Original Vanilla Bar 12-6PK"/>
    <x v="20"/>
    <n v="9.5760000000000012E-3"/>
    <n v="132"/>
    <x v="1"/>
    <x v="2"/>
    <n v="1"/>
    <n v="573"/>
    <n v="5.4870480000000006"/>
    <n v="4.3409090909090908"/>
    <s v="Feb"/>
    <x v="6"/>
    <m/>
    <m/>
  </r>
  <r>
    <n v="68689251"/>
    <x v="0"/>
    <n v="5016"/>
    <d v="2026-02-22T00:00:00"/>
    <s v="KL Original Vanilla Bar 12-6PK"/>
    <x v="20"/>
    <n v="9.5760000000000012E-3"/>
    <n v="132"/>
    <x v="1"/>
    <x v="2"/>
    <n v="1"/>
    <n v="5016"/>
    <n v="48.033216000000003"/>
    <n v="38"/>
    <s v="Feb"/>
    <x v="6"/>
    <m/>
    <m/>
  </r>
  <r>
    <n v="68689251"/>
    <x v="0"/>
    <n v="132"/>
    <d v="2026-02-05T00:00:00"/>
    <s v="KL Original Vanilla Bar 12-6PK"/>
    <x v="20"/>
    <n v="9.5760000000000012E-3"/>
    <n v="132"/>
    <x v="1"/>
    <x v="2"/>
    <n v="1"/>
    <n v="132"/>
    <n v="1.2640320000000003"/>
    <n v="1"/>
    <s v="Feb"/>
    <x v="8"/>
    <m/>
    <m/>
  </r>
  <r>
    <n v="68689251"/>
    <x v="0"/>
    <n v="4117"/>
    <d v="2026-02-06T00:00:00"/>
    <s v="KL Original Vanilla Bar 12-6PK"/>
    <x v="20"/>
    <n v="9.5760000000000012E-3"/>
    <n v="132"/>
    <x v="1"/>
    <x v="2"/>
    <n v="1"/>
    <n v="4117"/>
    <n v="39.424392000000005"/>
    <n v="31.189393939393938"/>
    <s v="Feb"/>
    <x v="8"/>
    <m/>
    <m/>
  </r>
  <r>
    <n v="68689251"/>
    <x v="0"/>
    <n v="1985"/>
    <d v="2026-02-16T00:00:00"/>
    <s v="KL Original Vanilla Bar 12-6PK"/>
    <x v="20"/>
    <n v="9.5760000000000012E-3"/>
    <n v="132"/>
    <x v="1"/>
    <x v="2"/>
    <n v="1"/>
    <n v="1985"/>
    <n v="19.008360000000003"/>
    <n v="15.037878787878787"/>
    <s v="Feb"/>
    <x v="5"/>
    <m/>
    <m/>
  </r>
  <r>
    <n v="68689251"/>
    <x v="0"/>
    <n v="2230"/>
    <d v="2026-02-19T00:00:00"/>
    <s v="KL Original Vanilla Bar 12-6PK"/>
    <x v="20"/>
    <n v="9.5760000000000012E-3"/>
    <n v="132"/>
    <x v="1"/>
    <x v="2"/>
    <n v="1"/>
    <n v="2230"/>
    <n v="21.354480000000002"/>
    <n v="16.893939393939394"/>
    <s v="Feb"/>
    <x v="5"/>
    <m/>
    <m/>
  </r>
  <r>
    <n v="68709233"/>
    <x v="0"/>
    <n v="2112"/>
    <d v="2026-02-09T00:00:00"/>
    <s v="KL SAB RF NSA Vanilla Bar 12-6PK"/>
    <x v="2"/>
    <n v="8.4960000000000001E-3"/>
    <n v="132"/>
    <x v="1"/>
    <x v="2"/>
    <n v="1"/>
    <n v="2112"/>
    <n v="17.943552"/>
    <n v="16"/>
    <s v="Feb"/>
    <x v="7"/>
    <m/>
    <m/>
  </r>
  <r>
    <n v="68709233"/>
    <x v="0"/>
    <n v="4417"/>
    <d v="2026-02-10T00:00:00"/>
    <s v="KL SAB RF NSA Vanilla Bar 12-6PK"/>
    <x v="2"/>
    <n v="8.4960000000000001E-3"/>
    <n v="132"/>
    <x v="1"/>
    <x v="2"/>
    <n v="1"/>
    <n v="4417"/>
    <n v="37.526831999999999"/>
    <n v="33.462121212121211"/>
    <s v="Feb"/>
    <x v="7"/>
    <m/>
    <m/>
  </r>
  <r>
    <n v="68709233"/>
    <x v="0"/>
    <n v="2112"/>
    <d v="2026-02-10T00:00:00"/>
    <s v="KL SAB RF NSA Vanilla Bar 12-6PK"/>
    <x v="2"/>
    <n v="8.4960000000000001E-3"/>
    <n v="132"/>
    <x v="1"/>
    <x v="2"/>
    <n v="1"/>
    <n v="2112"/>
    <n v="17.943552"/>
    <n v="16"/>
    <s v="Feb"/>
    <x v="7"/>
    <m/>
    <m/>
  </r>
  <r>
    <n v="68709233"/>
    <x v="0"/>
    <n v="3411"/>
    <d v="2026-02-11T00:00:00"/>
    <s v="KL SAB RF NSA Vanilla Bar 12-6PK"/>
    <x v="2"/>
    <n v="8.4960000000000001E-3"/>
    <n v="132"/>
    <x v="1"/>
    <x v="2"/>
    <n v="1"/>
    <n v="3411"/>
    <n v="28.979856000000002"/>
    <n v="25.84090909090909"/>
    <s v="Feb"/>
    <x v="7"/>
    <m/>
    <m/>
  </r>
  <r>
    <n v="68709233"/>
    <x v="0"/>
    <n v="1007"/>
    <d v="2026-02-11T00:00:00"/>
    <s v="KL SAB RF NSA Vanilla Bar 12-6PK"/>
    <x v="2"/>
    <n v="8.4960000000000001E-3"/>
    <n v="132"/>
    <x v="1"/>
    <x v="2"/>
    <n v="1"/>
    <n v="1007"/>
    <n v="8.555472"/>
    <n v="7.6287878787878789"/>
    <s v="Feb"/>
    <x v="7"/>
    <m/>
    <m/>
  </r>
  <r>
    <n v="68709233"/>
    <x v="0"/>
    <n v="3036"/>
    <d v="2026-02-12T00:00:00"/>
    <s v="KL SAB RF NSA Vanilla Bar 12-6PK"/>
    <x v="2"/>
    <n v="8.4960000000000001E-3"/>
    <n v="132"/>
    <x v="1"/>
    <x v="2"/>
    <n v="1"/>
    <n v="3036"/>
    <n v="25.793856000000002"/>
    <n v="23"/>
    <s v="Feb"/>
    <x v="7"/>
    <m/>
    <m/>
  </r>
  <r>
    <n v="68709233"/>
    <x v="0"/>
    <n v="4225"/>
    <d v="2026-02-13T00:00:00"/>
    <s v="KL SAB RF NSA Vanilla Bar 12-6PK"/>
    <x v="2"/>
    <n v="8.4960000000000001E-3"/>
    <n v="132"/>
    <x v="1"/>
    <x v="2"/>
    <n v="1"/>
    <n v="4225"/>
    <n v="35.895600000000002"/>
    <n v="32.007575757575758"/>
    <s v="Feb"/>
    <x v="7"/>
    <m/>
    <m/>
  </r>
  <r>
    <n v="68709233"/>
    <x v="0"/>
    <n v="2244"/>
    <d v="2026-02-13T00:00:00"/>
    <s v="KL SAB RF NSA Vanilla Bar 12-6PK"/>
    <x v="2"/>
    <n v="8.4960000000000001E-3"/>
    <n v="132"/>
    <x v="1"/>
    <x v="2"/>
    <n v="1"/>
    <n v="2244"/>
    <n v="19.065024000000001"/>
    <n v="17"/>
    <s v="Feb"/>
    <x v="7"/>
    <m/>
    <m/>
  </r>
  <r>
    <n v="68709233"/>
    <x v="0"/>
    <n v="3765"/>
    <d v="2026-02-14T00:00:00"/>
    <s v="KL SAB RF NSA Vanilla Bar 12-6PK"/>
    <x v="2"/>
    <n v="8.4960000000000001E-3"/>
    <n v="132"/>
    <x v="1"/>
    <x v="2"/>
    <n v="1"/>
    <n v="3765"/>
    <n v="31.987439999999999"/>
    <n v="28.522727272727273"/>
    <s v="Feb"/>
    <x v="7"/>
    <m/>
    <m/>
  </r>
  <r>
    <n v="68709233"/>
    <x v="0"/>
    <n v="2508"/>
    <d v="2026-02-14T00:00:00"/>
    <s v="KL SAB RF NSA Vanilla Bar 12-6PK"/>
    <x v="2"/>
    <n v="8.4960000000000001E-3"/>
    <n v="132"/>
    <x v="1"/>
    <x v="2"/>
    <n v="1"/>
    <n v="2508"/>
    <n v="21.307967999999999"/>
    <n v="19"/>
    <s v="Feb"/>
    <x v="7"/>
    <m/>
    <m/>
  </r>
  <r>
    <n v="68709233"/>
    <x v="0"/>
    <n v="4311"/>
    <d v="2026-02-15T00:00:00"/>
    <s v="KL SAB RF NSA Vanilla Bar 12-6PK"/>
    <x v="2"/>
    <n v="8.4960000000000001E-3"/>
    <n v="132"/>
    <x v="1"/>
    <x v="2"/>
    <n v="1"/>
    <n v="4311"/>
    <n v="36.626255999999998"/>
    <n v="32.659090909090907"/>
    <s v="Feb"/>
    <x v="5"/>
    <m/>
    <m/>
  </r>
  <r>
    <n v="68709233"/>
    <x v="0"/>
    <n v="132"/>
    <d v="2026-02-16T00:00:00"/>
    <s v="KL SAB RF NSA Vanilla Bar 12-6PK"/>
    <x v="2"/>
    <n v="8.4960000000000001E-3"/>
    <n v="132"/>
    <x v="1"/>
    <x v="2"/>
    <n v="1"/>
    <n v="132"/>
    <n v="1.121472"/>
    <n v="1"/>
    <s v="Feb"/>
    <x v="5"/>
    <m/>
    <m/>
  </r>
  <r>
    <n v="68709233"/>
    <x v="0"/>
    <n v="2640"/>
    <d v="2026-02-15T00:00:00"/>
    <s v="KL SAB RF NSA Vanilla Bar 12-6PK"/>
    <x v="2"/>
    <n v="8.4960000000000001E-3"/>
    <n v="132"/>
    <x v="1"/>
    <x v="2"/>
    <n v="1"/>
    <n v="2640"/>
    <n v="22.42944"/>
    <n v="20"/>
    <s v="Feb"/>
    <x v="5"/>
    <m/>
    <m/>
  </r>
  <r>
    <n v="68709233"/>
    <x v="0"/>
    <n v="600"/>
    <d v="2026-02-16T00:00:00"/>
    <s v="KL SAB RF NSA Vanilla Bar 12-6PK"/>
    <x v="2"/>
    <n v="8.4960000000000001E-3"/>
    <n v="132"/>
    <x v="1"/>
    <x v="2"/>
    <n v="1"/>
    <n v="600"/>
    <n v="5.0975999999999999"/>
    <n v="4.5454545454545459"/>
    <s v="Feb"/>
    <x v="5"/>
    <m/>
    <m/>
  </r>
  <r>
    <n v="68709233"/>
    <x v="0"/>
    <n v="4395"/>
    <d v="2026-02-12T00:00:00"/>
    <s v="KL SAB RF NSA Vanilla Bar 12-6PK"/>
    <x v="2"/>
    <n v="8.4960000000000001E-3"/>
    <n v="132"/>
    <x v="1"/>
    <x v="2"/>
    <n v="1"/>
    <n v="4395"/>
    <n v="37.339919999999999"/>
    <n v="33.295454545454547"/>
    <s v="Feb"/>
    <x v="7"/>
    <m/>
    <m/>
  </r>
  <r>
    <n v="68709237"/>
    <x v="0"/>
    <n v="1848"/>
    <d v="2026-02-17T00:00:00"/>
    <s v="KL Chocolate/Chocolate Bar 12-6PK"/>
    <x v="4"/>
    <n v="9.5760000000000012E-3"/>
    <n v="132"/>
    <x v="1"/>
    <x v="2"/>
    <n v="1"/>
    <n v="1848"/>
    <n v="17.696448000000004"/>
    <n v="14"/>
    <s v="Feb"/>
    <x v="5"/>
    <m/>
    <m/>
  </r>
  <r>
    <n v="68709237"/>
    <x v="0"/>
    <n v="3498"/>
    <d v="2026-02-18T00:00:00"/>
    <s v="KL Chocolate/Chocolate Bar 12-6PK"/>
    <x v="4"/>
    <n v="9.5760000000000012E-3"/>
    <n v="132"/>
    <x v="1"/>
    <x v="2"/>
    <n v="1"/>
    <n v="3498"/>
    <n v="33.496848000000007"/>
    <n v="26.5"/>
    <s v="Feb"/>
    <x v="5"/>
    <m/>
    <m/>
  </r>
  <r>
    <n v="68709237"/>
    <x v="0"/>
    <n v="660"/>
    <d v="2026-02-19T00:00:00"/>
    <s v="KL Chocolate/Chocolate Bar 12-6PK"/>
    <x v="4"/>
    <n v="9.5760000000000012E-3"/>
    <n v="132"/>
    <x v="1"/>
    <x v="2"/>
    <n v="1"/>
    <n v="660"/>
    <n v="6.3201600000000004"/>
    <n v="5"/>
    <s v="Feb"/>
    <x v="5"/>
    <m/>
    <m/>
  </r>
  <r>
    <n v="68709237"/>
    <x v="0"/>
    <n v="3682"/>
    <d v="2026-02-20T00:00:00"/>
    <s v="KL Chocolate/Chocolate Bar 12-6PK"/>
    <x v="4"/>
    <n v="9.5760000000000012E-3"/>
    <n v="132"/>
    <x v="1"/>
    <x v="2"/>
    <n v="1"/>
    <n v="3682"/>
    <n v="35.258832000000005"/>
    <n v="27.893939393939394"/>
    <s v="Feb"/>
    <x v="5"/>
    <m/>
    <m/>
  </r>
  <r>
    <n v="68709237"/>
    <x v="0"/>
    <n v="2251"/>
    <d v="2026-02-20T00:00:00"/>
    <s v="KL Chocolate/Chocolate Bar 12-6PK"/>
    <x v="4"/>
    <n v="9.5760000000000012E-3"/>
    <n v="132"/>
    <x v="1"/>
    <x v="2"/>
    <n v="1"/>
    <n v="2251"/>
    <n v="21.555576000000002"/>
    <n v="17.053030303030305"/>
    <s v="Feb"/>
    <x v="5"/>
    <m/>
    <m/>
  </r>
  <r>
    <n v="68709237"/>
    <x v="0"/>
    <n v="4031"/>
    <d v="2026-02-21T00:00:00"/>
    <s v="KL Chocolate/Chocolate Bar 12-6PK"/>
    <x v="4"/>
    <n v="9.5760000000000012E-3"/>
    <n v="132"/>
    <x v="1"/>
    <x v="2"/>
    <n v="1"/>
    <n v="4031"/>
    <n v="38.600856000000007"/>
    <n v="30.537878787878789"/>
    <s v="Feb"/>
    <x v="5"/>
    <m/>
    <m/>
  </r>
  <r>
    <n v="68709237"/>
    <x v="0"/>
    <n v="1848"/>
    <d v="2026-02-21T00:00:00"/>
    <s v="KL Chocolate/Chocolate Bar 12-6PK"/>
    <x v="4"/>
    <n v="9.5760000000000012E-3"/>
    <n v="132"/>
    <x v="1"/>
    <x v="2"/>
    <n v="1"/>
    <n v="1848"/>
    <n v="17.696448000000004"/>
    <n v="14"/>
    <s v="Feb"/>
    <x v="5"/>
    <m/>
    <m/>
  </r>
  <r>
    <n v="68709237"/>
    <x v="0"/>
    <n v="2497"/>
    <d v="2026-02-22T00:00:00"/>
    <s v="KL Chocolate/Chocolate Bar 12-6PK"/>
    <x v="4"/>
    <n v="9.5760000000000012E-3"/>
    <n v="132"/>
    <x v="1"/>
    <x v="2"/>
    <n v="1"/>
    <n v="2497"/>
    <n v="23.911272000000004"/>
    <n v="18.916666666666668"/>
    <s v="Feb"/>
    <x v="6"/>
    <m/>
    <m/>
  </r>
  <r>
    <n v="68709237"/>
    <x v="0"/>
    <n v="2508"/>
    <d v="2026-02-16T00:00:00"/>
    <s v="KL Chocolate/Chocolate Bar 12-6PK"/>
    <x v="4"/>
    <n v="9.5760000000000012E-3"/>
    <n v="132"/>
    <x v="1"/>
    <x v="2"/>
    <n v="1"/>
    <n v="2508"/>
    <n v="24.016608000000002"/>
    <n v="19"/>
    <s v="Feb"/>
    <x v="5"/>
    <m/>
    <m/>
  </r>
  <r>
    <n v="68709237"/>
    <x v="0"/>
    <n v="3488"/>
    <d v="2026-02-17T00:00:00"/>
    <s v="KL Chocolate/Chocolate Bar 12-6PK"/>
    <x v="4"/>
    <n v="9.5760000000000012E-3"/>
    <n v="132"/>
    <x v="1"/>
    <x v="2"/>
    <n v="1"/>
    <n v="3488"/>
    <n v="33.401088000000001"/>
    <n v="26.424242424242426"/>
    <s v="Feb"/>
    <x v="5"/>
    <m/>
    <m/>
  </r>
  <r>
    <n v="68709237"/>
    <x v="0"/>
    <n v="13"/>
    <d v="2026-02-15T00:00:00"/>
    <s v="KL Chocolate/Chocolate Bar 12-6PK"/>
    <x v="4"/>
    <n v="9.5760000000000012E-3"/>
    <n v="132"/>
    <x v="1"/>
    <x v="2"/>
    <n v="1"/>
    <n v="13"/>
    <n v="0.12448800000000002"/>
    <n v="9.8484848484848481E-2"/>
    <s v="Feb"/>
    <x v="5"/>
    <m/>
    <m/>
  </r>
  <r>
    <n v="68709237"/>
    <x v="0"/>
    <n v="3623"/>
    <d v="2026-02-16T00:00:00"/>
    <s v="KL Chocolate/Chocolate Bar 12-6PK"/>
    <x v="4"/>
    <n v="9.5760000000000012E-3"/>
    <n v="132"/>
    <x v="1"/>
    <x v="2"/>
    <n v="1"/>
    <n v="3623"/>
    <n v="34.693848000000003"/>
    <n v="27.446969696969695"/>
    <s v="Feb"/>
    <x v="5"/>
    <m/>
    <m/>
  </r>
  <r>
    <n v="68710285"/>
    <x v="0"/>
    <n v="3340"/>
    <d v="2026-02-02T00:00:00"/>
    <s v="KL Krunch Bar 12-6PK"/>
    <x v="20"/>
    <n v="9.5760000000000012E-3"/>
    <n v="132"/>
    <x v="1"/>
    <x v="2"/>
    <n v="1"/>
    <n v="3340"/>
    <n v="31.983840000000004"/>
    <n v="25.303030303030305"/>
    <s v="Feb"/>
    <x v="8"/>
    <m/>
    <m/>
  </r>
  <r>
    <n v="68710285"/>
    <x v="0"/>
    <n v="132"/>
    <d v="2026-02-04T00:00:00"/>
    <s v="KL Krunch Bar 12-6PK"/>
    <x v="20"/>
    <n v="9.5760000000000012E-3"/>
    <n v="132"/>
    <x v="1"/>
    <x v="2"/>
    <n v="1"/>
    <n v="132"/>
    <n v="1.2640320000000003"/>
    <n v="1"/>
    <s v="Feb"/>
    <x v="8"/>
    <m/>
    <m/>
  </r>
  <r>
    <n v="68710285"/>
    <x v="0"/>
    <n v="3398"/>
    <d v="2026-01-28T00:00:00"/>
    <s v="KL Krunch Bar 12-6PK"/>
    <x v="20"/>
    <n v="9.5760000000000012E-3"/>
    <n v="132"/>
    <x v="1"/>
    <x v="2"/>
    <n v="1"/>
    <n v="3398"/>
    <n v="32.539248000000001"/>
    <n v="25.742424242424242"/>
    <s v="Jan"/>
    <x v="4"/>
    <m/>
    <m/>
  </r>
  <r>
    <n v="68710285"/>
    <x v="0"/>
    <n v="1980"/>
    <d v="2026-01-28T00:00:00"/>
    <s v="KL Krunch Bar 12-6PK"/>
    <x v="20"/>
    <n v="9.5760000000000012E-3"/>
    <n v="132"/>
    <x v="1"/>
    <x v="2"/>
    <n v="1"/>
    <n v="1980"/>
    <n v="18.960480000000004"/>
    <n v="15"/>
    <s v="Jan"/>
    <x v="4"/>
    <m/>
    <m/>
  </r>
  <r>
    <n v="68710285"/>
    <x v="0"/>
    <n v="1531"/>
    <d v="2026-01-29T00:00:00"/>
    <s v="KL Krunch Bar 12-6PK"/>
    <x v="20"/>
    <n v="9.5760000000000012E-3"/>
    <n v="132"/>
    <x v="1"/>
    <x v="2"/>
    <n v="1"/>
    <n v="1531"/>
    <n v="14.660856000000003"/>
    <n v="11.598484848484848"/>
    <s v="Jan"/>
    <x v="4"/>
    <m/>
    <m/>
  </r>
  <r>
    <n v="68710285"/>
    <x v="0"/>
    <n v="2640"/>
    <d v="2026-01-29T00:00:00"/>
    <s v="KL Krunch Bar 12-6PK"/>
    <x v="20"/>
    <n v="9.5760000000000012E-3"/>
    <n v="132"/>
    <x v="1"/>
    <x v="2"/>
    <n v="1"/>
    <n v="2640"/>
    <n v="25.280640000000002"/>
    <n v="20"/>
    <s v="Jan"/>
    <x v="4"/>
    <m/>
    <m/>
  </r>
  <r>
    <n v="68710285"/>
    <x v="0"/>
    <n v="1225"/>
    <d v="2026-01-30T00:00:00"/>
    <s v="KL Krunch Bar 12-6PK"/>
    <x v="20"/>
    <n v="9.5760000000000012E-3"/>
    <n v="132"/>
    <x v="1"/>
    <x v="2"/>
    <n v="1"/>
    <n v="1225"/>
    <n v="11.730600000000001"/>
    <n v="9.2803030303030312"/>
    <s v="Jan"/>
    <x v="4"/>
    <m/>
    <m/>
  </r>
  <r>
    <n v="68710285"/>
    <x v="0"/>
    <n v="1452"/>
    <d v="2026-01-30T00:00:00"/>
    <s v="KL Krunch Bar 12-6PK"/>
    <x v="20"/>
    <n v="9.5760000000000012E-3"/>
    <n v="132"/>
    <x v="1"/>
    <x v="2"/>
    <n v="1"/>
    <n v="1452"/>
    <n v="13.904352000000001"/>
    <n v="11"/>
    <s v="Jan"/>
    <x v="4"/>
    <m/>
    <m/>
  </r>
  <r>
    <n v="68710285"/>
    <x v="0"/>
    <n v="3824"/>
    <d v="2026-01-31T00:00:00"/>
    <s v="KL Krunch Bar 12-6PK"/>
    <x v="20"/>
    <n v="9.5760000000000012E-3"/>
    <n v="132"/>
    <x v="1"/>
    <x v="2"/>
    <n v="1"/>
    <n v="3824"/>
    <n v="36.618624000000004"/>
    <n v="28.969696969696969"/>
    <s v="Jan"/>
    <x v="4"/>
    <m/>
    <m/>
  </r>
  <r>
    <n v="68710285"/>
    <x v="0"/>
    <n v="4224"/>
    <d v="2026-01-31T00:00:00"/>
    <s v="KL Krunch Bar 12-6PK"/>
    <x v="20"/>
    <n v="9.5760000000000012E-3"/>
    <n v="132"/>
    <x v="1"/>
    <x v="2"/>
    <n v="1"/>
    <n v="4224"/>
    <n v="40.449024000000009"/>
    <n v="32"/>
    <s v="Jan"/>
    <x v="4"/>
    <m/>
    <m/>
  </r>
  <r>
    <n v="68710285"/>
    <x v="0"/>
    <n v="2434"/>
    <d v="2026-02-01T00:00:00"/>
    <s v="KL Krunch Bar 12-6PK"/>
    <x v="20"/>
    <n v="9.5760000000000012E-3"/>
    <n v="132"/>
    <x v="1"/>
    <x v="2"/>
    <n v="1"/>
    <n v="2434"/>
    <n v="23.307984000000001"/>
    <n v="18.439393939393938"/>
    <s v="Feb"/>
    <x v="8"/>
    <m/>
    <m/>
  </r>
  <r>
    <n v="68710285"/>
    <x v="0"/>
    <n v="2376"/>
    <d v="2026-02-02T00:00:00"/>
    <s v="KL Krunch Bar 12-6PK"/>
    <x v="20"/>
    <n v="9.5760000000000012E-3"/>
    <n v="132"/>
    <x v="1"/>
    <x v="2"/>
    <n v="1"/>
    <n v="2376"/>
    <n v="22.752576000000001"/>
    <n v="18"/>
    <s v="Feb"/>
    <x v="8"/>
    <m/>
    <m/>
  </r>
  <r>
    <n v="68710285"/>
    <x v="0"/>
    <n v="185"/>
    <d v="2026-02-03T00:00:00"/>
    <s v="KL Krunch Bar 12-6PK"/>
    <x v="20"/>
    <n v="9.5760000000000012E-3"/>
    <n v="132"/>
    <x v="1"/>
    <x v="2"/>
    <n v="1"/>
    <n v="185"/>
    <n v="1.7715600000000002"/>
    <n v="1.4015151515151516"/>
    <s v="Feb"/>
    <x v="8"/>
    <m/>
    <m/>
  </r>
  <r>
    <n v="68737750"/>
    <x v="0"/>
    <n v="4224"/>
    <d v="2026-02-07T00:00:00"/>
    <s v="BR CO-B Reeses 6 1.5QT"/>
    <x v="12"/>
    <n v="8.5199999999999998E-3"/>
    <n v="176"/>
    <x v="0"/>
    <x v="0"/>
    <n v="1"/>
    <n v="4224"/>
    <n v="35.988479999999996"/>
    <n v="24"/>
    <s v="Feb"/>
    <x v="8"/>
    <m/>
    <m/>
  </r>
  <r>
    <n v="68737750"/>
    <x v="0"/>
    <n v="7504"/>
    <d v="2026-02-08T00:00:00"/>
    <s v="BR CO-B Reeses 6 1.5QT"/>
    <x v="12"/>
    <n v="8.5199999999999998E-3"/>
    <n v="176"/>
    <x v="0"/>
    <x v="0"/>
    <n v="1"/>
    <n v="7504"/>
    <n v="63.934080000000002"/>
    <n v="42.636363636363633"/>
    <s v="Feb"/>
    <x v="7"/>
    <m/>
    <m/>
  </r>
  <r>
    <n v="68737750"/>
    <x v="0"/>
    <n v="4048"/>
    <d v="2026-02-06T00:00:00"/>
    <s v="BR CO-B Reeses 6 1.5QT"/>
    <x v="12"/>
    <n v="8.5199999999999998E-3"/>
    <n v="176"/>
    <x v="0"/>
    <x v="0"/>
    <n v="1"/>
    <n v="4048"/>
    <n v="34.488959999999999"/>
    <n v="23"/>
    <s v="Feb"/>
    <x v="8"/>
    <m/>
    <m/>
  </r>
  <r>
    <n v="68737750"/>
    <x v="0"/>
    <n v="6683"/>
    <d v="2026-02-07T00:00:00"/>
    <s v="BR CO-B Reeses 6 1.5QT"/>
    <x v="12"/>
    <n v="8.5199999999999998E-3"/>
    <n v="176"/>
    <x v="0"/>
    <x v="0"/>
    <n v="1"/>
    <n v="6683"/>
    <n v="56.939160000000001"/>
    <n v="37.971590909090907"/>
    <s v="Feb"/>
    <x v="8"/>
    <m/>
    <m/>
  </r>
  <r>
    <n v="68737750"/>
    <x v="0"/>
    <n v="4827"/>
    <d v="2026-02-05T00:00:00"/>
    <s v="BR CO-B Reeses 6 1.5QT"/>
    <x v="12"/>
    <n v="8.5199999999999998E-3"/>
    <n v="176"/>
    <x v="0"/>
    <x v="0"/>
    <n v="1"/>
    <n v="4827"/>
    <n v="41.126039999999996"/>
    <n v="27.426136363636363"/>
    <s v="Feb"/>
    <x v="8"/>
    <m/>
    <m/>
  </r>
  <r>
    <n v="68737750"/>
    <x v="0"/>
    <n v="4708"/>
    <d v="2026-02-05T00:00:00"/>
    <s v="BR CO-B Reeses 6 1.5QT"/>
    <x v="12"/>
    <n v="8.5199999999999998E-3"/>
    <n v="176"/>
    <x v="0"/>
    <x v="0"/>
    <n v="1"/>
    <n v="4708"/>
    <n v="40.112159999999996"/>
    <n v="26.75"/>
    <s v="Feb"/>
    <x v="8"/>
    <m/>
    <m/>
  </r>
  <r>
    <n v="68737750"/>
    <x v="0"/>
    <n v="6711"/>
    <d v="2026-02-06T00:00:00"/>
    <s v="BR CO-B Reeses 6 1.5QT"/>
    <x v="12"/>
    <n v="8.5199999999999998E-3"/>
    <n v="176"/>
    <x v="0"/>
    <x v="0"/>
    <n v="1"/>
    <n v="6711"/>
    <n v="57.177720000000001"/>
    <n v="38.13068181818182"/>
    <s v="Feb"/>
    <x v="8"/>
    <m/>
    <m/>
  </r>
  <r>
    <n v="68737750"/>
    <x v="0"/>
    <n v="704"/>
    <d v="2026-02-09T00:00:00"/>
    <s v="BR CO-B Reeses 6 1.5QT"/>
    <x v="12"/>
    <n v="8.5199999999999998E-3"/>
    <n v="176"/>
    <x v="0"/>
    <x v="0"/>
    <n v="1"/>
    <n v="704"/>
    <n v="5.9980799999999999"/>
    <n v="4"/>
    <s v="Feb"/>
    <x v="7"/>
    <m/>
    <m/>
  </r>
  <r>
    <n v="68737750"/>
    <x v="0"/>
    <n v="6077"/>
    <d v="2026-02-10T00:00:00"/>
    <s v="BR CO-B Reeses 6 1.5QT"/>
    <x v="12"/>
    <n v="8.5199999999999998E-3"/>
    <n v="176"/>
    <x v="0"/>
    <x v="0"/>
    <n v="1"/>
    <n v="6077"/>
    <n v="51.776040000000002"/>
    <n v="34.528409090909093"/>
    <s v="Feb"/>
    <x v="7"/>
    <m/>
    <m/>
  </r>
  <r>
    <n v="68737750"/>
    <x v="0"/>
    <n v="4324"/>
    <d v="2026-02-10T00:00:00"/>
    <s v="BR CO-B Reeses 6 1.5QT"/>
    <x v="12"/>
    <n v="8.5199999999999998E-3"/>
    <n v="176"/>
    <x v="0"/>
    <x v="0"/>
    <n v="1"/>
    <n v="4324"/>
    <n v="36.840479999999999"/>
    <n v="24.568181818181817"/>
    <s v="Feb"/>
    <x v="7"/>
    <m/>
    <m/>
  </r>
  <r>
    <n v="68737750"/>
    <x v="0"/>
    <n v="9417"/>
    <d v="2026-02-11T00:00:00"/>
    <s v="BR CO-B Reeses 6 1.5QT"/>
    <x v="12"/>
    <n v="8.5199999999999998E-3"/>
    <n v="176"/>
    <x v="0"/>
    <x v="0"/>
    <n v="1"/>
    <n v="9417"/>
    <n v="80.232839999999996"/>
    <n v="53.50568181818182"/>
    <s v="Feb"/>
    <x v="7"/>
    <m/>
    <m/>
  </r>
  <r>
    <n v="68737750"/>
    <x v="0"/>
    <n v="3414"/>
    <d v="2026-02-11T00:00:00"/>
    <s v="BR CO-B Reeses 6 1.5QT"/>
    <x v="12"/>
    <n v="8.5199999999999998E-3"/>
    <n v="176"/>
    <x v="0"/>
    <x v="0"/>
    <n v="1"/>
    <n v="3414"/>
    <n v="29.08728"/>
    <n v="19.397727272727273"/>
    <s v="Feb"/>
    <x v="7"/>
    <m/>
    <m/>
  </r>
  <r>
    <n v="68737750"/>
    <x v="0"/>
    <n v="9673"/>
    <d v="2026-02-12T00:00:00"/>
    <s v="BR CO-B Reeses 6 1.5QT"/>
    <x v="12"/>
    <n v="8.5199999999999998E-3"/>
    <n v="176"/>
    <x v="0"/>
    <x v="0"/>
    <n v="1"/>
    <n v="9673"/>
    <n v="82.413960000000003"/>
    <n v="54.960227272727273"/>
    <s v="Feb"/>
    <x v="7"/>
    <m/>
    <m/>
  </r>
  <r>
    <n v="68737750"/>
    <x v="0"/>
    <n v="4048"/>
    <d v="2026-02-12T00:00:00"/>
    <s v="BR CO-B Reeses 6 1.5QT"/>
    <x v="12"/>
    <n v="8.5199999999999998E-3"/>
    <n v="176"/>
    <x v="0"/>
    <x v="0"/>
    <n v="1"/>
    <n v="4048"/>
    <n v="34.488959999999999"/>
    <n v="23"/>
    <s v="Feb"/>
    <x v="7"/>
    <m/>
    <m/>
  </r>
  <r>
    <n v="68737750"/>
    <x v="0"/>
    <n v="7909"/>
    <d v="2026-02-13T00:00:00"/>
    <s v="BR CO-B Reeses 6 1.5QT"/>
    <x v="12"/>
    <n v="8.5199999999999998E-3"/>
    <n v="176"/>
    <x v="0"/>
    <x v="0"/>
    <n v="1"/>
    <n v="7909"/>
    <n v="67.384680000000003"/>
    <n v="44.9375"/>
    <s v="Feb"/>
    <x v="7"/>
    <m/>
    <m/>
  </r>
  <r>
    <n v="68741714"/>
    <x v="0"/>
    <n v="450"/>
    <d v="2026-02-02T00:00:00"/>
    <s v="GH Strawberry Shortcake 1-24BK"/>
    <x v="18"/>
    <n v="2.8319999999999999E-3"/>
    <n v="225"/>
    <x v="7"/>
    <x v="8"/>
    <n v="1"/>
    <n v="450"/>
    <n v="1.2744"/>
    <n v="2"/>
    <s v="Feb"/>
    <x v="8"/>
    <m/>
    <m/>
  </r>
  <r>
    <n v="68741714"/>
    <x v="0"/>
    <n v="4175"/>
    <d v="2026-02-03T00:00:00"/>
    <s v="GH Strawberry Shortcake 1-24BK"/>
    <x v="18"/>
    <n v="2.8319999999999999E-3"/>
    <n v="225"/>
    <x v="7"/>
    <x v="8"/>
    <n v="1"/>
    <n v="4175"/>
    <n v="11.823599999999999"/>
    <n v="18.555555555555557"/>
    <s v="Feb"/>
    <x v="8"/>
    <m/>
    <m/>
  </r>
  <r>
    <n v="68741714"/>
    <x v="0"/>
    <n v="3150"/>
    <d v="2026-02-03T00:00:00"/>
    <s v="GH Strawberry Shortcake 1-24BK"/>
    <x v="18"/>
    <n v="2.8319999999999999E-3"/>
    <n v="225"/>
    <x v="7"/>
    <x v="8"/>
    <n v="1"/>
    <n v="3150"/>
    <n v="8.9207999999999998"/>
    <n v="14"/>
    <s v="Feb"/>
    <x v="8"/>
    <m/>
    <m/>
  </r>
  <r>
    <n v="68741714"/>
    <x v="0"/>
    <n v="4400"/>
    <d v="2026-02-04T00:00:00"/>
    <s v="GH Strawberry Shortcake 1-24BK"/>
    <x v="18"/>
    <n v="2.8319999999999999E-3"/>
    <n v="225"/>
    <x v="7"/>
    <x v="8"/>
    <n v="1"/>
    <n v="4400"/>
    <n v="12.460799999999999"/>
    <n v="19.555555555555557"/>
    <s v="Feb"/>
    <x v="8"/>
    <m/>
    <m/>
  </r>
  <r>
    <n v="68741714"/>
    <x v="0"/>
    <n v="2700"/>
    <d v="2026-02-04T00:00:00"/>
    <s v="GH Strawberry Shortcake 1-24BK"/>
    <x v="18"/>
    <n v="2.8319999999999999E-3"/>
    <n v="225"/>
    <x v="7"/>
    <x v="8"/>
    <n v="1"/>
    <n v="2700"/>
    <n v="7.6463999999999999"/>
    <n v="12"/>
    <s v="Feb"/>
    <x v="8"/>
    <m/>
    <m/>
  </r>
  <r>
    <n v="68741714"/>
    <x v="0"/>
    <n v="4723"/>
    <d v="2026-02-05T00:00:00"/>
    <s v="GH Strawberry Shortcake 1-24BK"/>
    <x v="18"/>
    <n v="2.8319999999999999E-3"/>
    <n v="225"/>
    <x v="7"/>
    <x v="8"/>
    <n v="1"/>
    <n v="4723"/>
    <n v="13.375536"/>
    <n v="20.99111111111111"/>
    <s v="Feb"/>
    <x v="8"/>
    <m/>
    <m/>
  </r>
  <r>
    <n v="68741714"/>
    <x v="0"/>
    <n v="186"/>
    <d v="2026-02-11T00:00:00"/>
    <s v="GH Strawberry Shortcake 1-24BK"/>
    <x v="18"/>
    <n v="2.8319999999999999E-3"/>
    <n v="225"/>
    <x v="7"/>
    <x v="8"/>
    <n v="1"/>
    <n v="186"/>
    <n v="0.526752"/>
    <n v="0.82666666666666666"/>
    <s v="Feb"/>
    <x v="7"/>
    <m/>
    <m/>
  </r>
  <r>
    <n v="68741714"/>
    <x v="0"/>
    <n v="2700"/>
    <d v="2026-02-05T00:00:00"/>
    <s v="GH Strawberry Shortcake 1-24BK"/>
    <x v="18"/>
    <n v="2.8319999999999999E-3"/>
    <n v="225"/>
    <x v="7"/>
    <x v="8"/>
    <n v="1"/>
    <n v="2700"/>
    <n v="7.6463999999999999"/>
    <n v="12"/>
    <s v="Feb"/>
    <x v="8"/>
    <m/>
    <m/>
  </r>
  <r>
    <n v="68741714"/>
    <x v="0"/>
    <n v="2585"/>
    <d v="2026-02-06T00:00:00"/>
    <s v="GH Strawberry Shortcake 1-24BK"/>
    <x v="18"/>
    <n v="2.8319999999999999E-3"/>
    <n v="225"/>
    <x v="7"/>
    <x v="8"/>
    <n v="1"/>
    <n v="2585"/>
    <n v="7.3207199999999997"/>
    <n v="11.488888888888889"/>
    <s v="Feb"/>
    <x v="8"/>
    <m/>
    <m/>
  </r>
  <r>
    <n v="68741714"/>
    <x v="0"/>
    <n v="1125"/>
    <d v="2026-02-06T00:00:00"/>
    <s v="GH Strawberry Shortcake 1-24BK"/>
    <x v="18"/>
    <n v="2.8319999999999999E-3"/>
    <n v="225"/>
    <x v="7"/>
    <x v="8"/>
    <n v="1"/>
    <n v="1125"/>
    <n v="3.1859999999999999"/>
    <n v="5"/>
    <s v="Feb"/>
    <x v="8"/>
    <m/>
    <m/>
  </r>
  <r>
    <n v="68741714"/>
    <x v="0"/>
    <n v="4311"/>
    <d v="2026-02-07T00:00:00"/>
    <s v="GH Strawberry Shortcake 1-24BK"/>
    <x v="18"/>
    <n v="2.8319999999999999E-3"/>
    <n v="225"/>
    <x v="7"/>
    <x v="8"/>
    <n v="1"/>
    <n v="4311"/>
    <n v="12.208751999999999"/>
    <n v="19.16"/>
    <s v="Feb"/>
    <x v="8"/>
    <m/>
    <m/>
  </r>
  <r>
    <n v="68741714"/>
    <x v="0"/>
    <n v="900"/>
    <d v="2026-02-16T00:00:00"/>
    <s v="GH Strawberry Shortcake 1-24BK"/>
    <x v="18"/>
    <n v="2.8319999999999999E-3"/>
    <n v="225"/>
    <x v="7"/>
    <x v="8"/>
    <n v="1"/>
    <n v="900"/>
    <n v="2.5488"/>
    <n v="4"/>
    <s v="Feb"/>
    <x v="5"/>
    <m/>
    <m/>
  </r>
  <r>
    <n v="68741714"/>
    <x v="0"/>
    <n v="199"/>
    <d v="2026-02-17T00:00:00"/>
    <s v="GH Strawberry Shortcake 1-24BK"/>
    <x v="18"/>
    <n v="2.8319999999999999E-3"/>
    <n v="225"/>
    <x v="7"/>
    <x v="8"/>
    <n v="1"/>
    <n v="199"/>
    <n v="0.56356799999999996"/>
    <n v="0.88444444444444448"/>
    <s v="Feb"/>
    <x v="5"/>
    <m/>
    <m/>
  </r>
  <r>
    <n v="68741714"/>
    <x v="0"/>
    <n v="2700"/>
    <d v="2026-02-17T00:00:00"/>
    <s v="GH Strawberry Shortcake 1-24BK"/>
    <x v="18"/>
    <n v="2.8319999999999999E-3"/>
    <n v="225"/>
    <x v="7"/>
    <x v="8"/>
    <n v="1"/>
    <n v="2700"/>
    <n v="7.6463999999999999"/>
    <n v="12"/>
    <s v="Feb"/>
    <x v="5"/>
    <m/>
    <m/>
  </r>
  <r>
    <n v="68741714"/>
    <x v="0"/>
    <n v="5137"/>
    <d v="2026-02-18T00:00:00"/>
    <s v="GH Strawberry Shortcake 1-24BK"/>
    <x v="18"/>
    <n v="2.8319999999999999E-3"/>
    <n v="225"/>
    <x v="7"/>
    <x v="8"/>
    <n v="1"/>
    <n v="5137"/>
    <n v="14.547984"/>
    <n v="22.83111111111111"/>
    <s v="Feb"/>
    <x v="5"/>
    <m/>
    <m/>
  </r>
  <r>
    <n v="68741714"/>
    <x v="0"/>
    <n v="2699"/>
    <d v="2026-02-18T00:00:00"/>
    <s v="GH Strawberry Shortcake 1-24BK"/>
    <x v="18"/>
    <n v="2.8319999999999999E-3"/>
    <n v="225"/>
    <x v="7"/>
    <x v="8"/>
    <n v="1"/>
    <n v="2699"/>
    <n v="7.6435679999999993"/>
    <n v="11.995555555555555"/>
    <s v="Feb"/>
    <x v="5"/>
    <m/>
    <m/>
  </r>
  <r>
    <n v="68741714"/>
    <x v="0"/>
    <n v="4769"/>
    <d v="2026-02-19T00:00:00"/>
    <s v="GH Strawberry Shortcake 1-24BK"/>
    <x v="18"/>
    <n v="2.8319999999999999E-3"/>
    <n v="225"/>
    <x v="7"/>
    <x v="8"/>
    <n v="1"/>
    <n v="4769"/>
    <n v="13.505808"/>
    <n v="21.195555555555554"/>
    <s v="Feb"/>
    <x v="5"/>
    <m/>
    <m/>
  </r>
  <r>
    <n v="68741714"/>
    <x v="0"/>
    <n v="2693"/>
    <d v="2026-02-19T00:00:00"/>
    <s v="GH Strawberry Shortcake 1-24BK"/>
    <x v="18"/>
    <n v="2.8319999999999999E-3"/>
    <n v="225"/>
    <x v="7"/>
    <x v="8"/>
    <n v="1"/>
    <n v="2693"/>
    <n v="7.626576"/>
    <n v="11.968888888888889"/>
    <s v="Feb"/>
    <x v="5"/>
    <m/>
    <m/>
  </r>
  <r>
    <n v="68741714"/>
    <x v="0"/>
    <n v="4064"/>
    <d v="2026-02-20T00:00:00"/>
    <s v="GH Strawberry Shortcake 1-24BK"/>
    <x v="18"/>
    <n v="2.8319999999999999E-3"/>
    <n v="225"/>
    <x v="7"/>
    <x v="8"/>
    <n v="1"/>
    <n v="4064"/>
    <n v="11.509247999999999"/>
    <n v="18.062222222222221"/>
    <s v="Feb"/>
    <x v="5"/>
    <m/>
    <m/>
  </r>
  <r>
    <n v="68741714"/>
    <x v="0"/>
    <n v="2925"/>
    <d v="2026-02-20T00:00:00"/>
    <s v="GH Strawberry Shortcake 1-24BK"/>
    <x v="18"/>
    <n v="2.8319999999999999E-3"/>
    <n v="225"/>
    <x v="7"/>
    <x v="8"/>
    <n v="1"/>
    <n v="2925"/>
    <n v="8.2835999999999999"/>
    <n v="13"/>
    <s v="Feb"/>
    <x v="5"/>
    <m/>
    <m/>
  </r>
  <r>
    <n v="68741714"/>
    <x v="0"/>
    <n v="3946"/>
    <d v="2026-02-21T00:00:00"/>
    <s v="GH Strawberry Shortcake 1-24BK"/>
    <x v="18"/>
    <n v="2.8319999999999999E-3"/>
    <n v="225"/>
    <x v="7"/>
    <x v="8"/>
    <n v="1"/>
    <n v="3946"/>
    <n v="11.175072"/>
    <n v="17.537777777777777"/>
    <s v="Feb"/>
    <x v="5"/>
    <m/>
    <m/>
  </r>
  <r>
    <n v="68741714"/>
    <x v="0"/>
    <n v="1752"/>
    <d v="2026-02-17T00:00:00"/>
    <s v="GH Strawberry Shortcake 1-24BK"/>
    <x v="18"/>
    <n v="2.8319999999999999E-3"/>
    <n v="225"/>
    <x v="7"/>
    <x v="8"/>
    <n v="1"/>
    <n v="1752"/>
    <n v="4.9616639999999999"/>
    <n v="7.7866666666666671"/>
    <s v="Feb"/>
    <x v="5"/>
    <m/>
    <m/>
  </r>
  <r>
    <n v="68741742"/>
    <x v="0"/>
    <n v="150"/>
    <d v="2026-01-28T00:00:00"/>
    <s v="GH Strawberry Shortcake Bar 8-6PK"/>
    <x v="15"/>
    <n v="4.2560000000000002E-3"/>
    <n v="154"/>
    <x v="7"/>
    <x v="8"/>
    <n v="1"/>
    <n v="150"/>
    <n v="0.63840000000000008"/>
    <n v="0.97402597402597402"/>
    <s v="Jan"/>
    <x v="4"/>
    <m/>
    <m/>
  </r>
  <r>
    <n v="68741742"/>
    <x v="0"/>
    <n v="1386"/>
    <d v="2026-01-28T00:00:00"/>
    <s v="GH Strawberry Shortcake Bar 8-6PK"/>
    <x v="15"/>
    <n v="4.2560000000000002E-3"/>
    <n v="154"/>
    <x v="7"/>
    <x v="8"/>
    <n v="1"/>
    <n v="1386"/>
    <n v="5.8988160000000001"/>
    <n v="9"/>
    <s v="Jan"/>
    <x v="4"/>
    <m/>
    <m/>
  </r>
  <r>
    <n v="68741742"/>
    <x v="0"/>
    <n v="1694"/>
    <d v="2026-01-28T00:00:00"/>
    <s v="GH Strawberry Shortcake Bar 8-6PK"/>
    <x v="15"/>
    <n v="4.2560000000000002E-3"/>
    <n v="154"/>
    <x v="7"/>
    <x v="8"/>
    <n v="1"/>
    <n v="1694"/>
    <n v="7.2096640000000001"/>
    <n v="11"/>
    <s v="Jan"/>
    <x v="4"/>
    <m/>
    <m/>
  </r>
  <r>
    <n v="68741742"/>
    <x v="0"/>
    <n v="3944"/>
    <d v="2026-01-29T00:00:00"/>
    <s v="GH Strawberry Shortcake Bar 8-6PK"/>
    <x v="15"/>
    <n v="4.2560000000000002E-3"/>
    <n v="154"/>
    <x v="7"/>
    <x v="8"/>
    <n v="1"/>
    <n v="3944"/>
    <n v="16.785664000000001"/>
    <n v="25.61038961038961"/>
    <s v="Jan"/>
    <x v="4"/>
    <m/>
    <m/>
  </r>
  <r>
    <n v="68741742"/>
    <x v="0"/>
    <n v="2772"/>
    <d v="2026-01-29T00:00:00"/>
    <s v="GH Strawberry Shortcake Bar 8-6PK"/>
    <x v="15"/>
    <n v="4.2560000000000002E-3"/>
    <n v="154"/>
    <x v="7"/>
    <x v="8"/>
    <n v="1"/>
    <n v="2772"/>
    <n v="11.797632"/>
    <n v="18"/>
    <s v="Jan"/>
    <x v="4"/>
    <m/>
    <m/>
  </r>
  <r>
    <n v="68741742"/>
    <x v="0"/>
    <n v="4032"/>
    <d v="2026-01-30T00:00:00"/>
    <s v="GH Strawberry Shortcake Bar 8-6PK"/>
    <x v="15"/>
    <n v="4.2560000000000002E-3"/>
    <n v="154"/>
    <x v="7"/>
    <x v="8"/>
    <n v="1"/>
    <n v="4032"/>
    <n v="17.160192000000002"/>
    <n v="26.181818181818183"/>
    <s v="Jan"/>
    <x v="4"/>
    <m/>
    <m/>
  </r>
  <r>
    <n v="68741742"/>
    <x v="0"/>
    <n v="2616"/>
    <d v="2026-01-30T00:00:00"/>
    <s v="GH Strawberry Shortcake Bar 8-6PK"/>
    <x v="15"/>
    <n v="4.2560000000000002E-3"/>
    <n v="154"/>
    <x v="7"/>
    <x v="8"/>
    <n v="1"/>
    <n v="2616"/>
    <n v="11.133696"/>
    <n v="16.987012987012989"/>
    <s v="Jan"/>
    <x v="4"/>
    <m/>
    <m/>
  </r>
  <r>
    <n v="68741742"/>
    <x v="0"/>
    <n v="3709"/>
    <d v="2026-01-31T00:00:00"/>
    <s v="GH Strawberry Shortcake Bar 8-6PK"/>
    <x v="15"/>
    <n v="4.2560000000000002E-3"/>
    <n v="154"/>
    <x v="7"/>
    <x v="8"/>
    <n v="1"/>
    <n v="3709"/>
    <n v="15.785504000000001"/>
    <n v="24.084415584415584"/>
    <s v="Jan"/>
    <x v="4"/>
    <m/>
    <m/>
  </r>
  <r>
    <n v="68741742"/>
    <x v="0"/>
    <n v="140"/>
    <d v="2026-01-30T00:00:00"/>
    <s v="GH Strawberry Shortcake Bar 8-6PK"/>
    <x v="15"/>
    <n v="4.2560000000000002E-3"/>
    <n v="154"/>
    <x v="7"/>
    <x v="8"/>
    <n v="1"/>
    <n v="140"/>
    <n v="0.59584000000000004"/>
    <n v="0.90909090909090906"/>
    <s v="Jan"/>
    <x v="4"/>
    <m/>
    <m/>
  </r>
  <r>
    <n v="68741742"/>
    <x v="0"/>
    <n v="1639"/>
    <d v="2026-01-31T00:00:00"/>
    <s v="GH Strawberry Shortcake Bar 8-6PK"/>
    <x v="15"/>
    <n v="4.2560000000000002E-3"/>
    <n v="154"/>
    <x v="7"/>
    <x v="8"/>
    <n v="1"/>
    <n v="1639"/>
    <n v="6.9755840000000005"/>
    <n v="10.642857142857142"/>
    <s v="Jan"/>
    <x v="4"/>
    <m/>
    <m/>
  </r>
  <r>
    <n v="68741742"/>
    <x v="0"/>
    <n v="-6"/>
    <d v="2026-02-10T00:00:00"/>
    <s v="GH Strawberry Shortcake Bar 8-6PK"/>
    <x v="15"/>
    <n v="4.2560000000000002E-3"/>
    <n v="154"/>
    <x v="7"/>
    <x v="8"/>
    <n v="1"/>
    <n v="-6"/>
    <n v="-2.5536000000000003E-2"/>
    <n v="-3.896103896103896E-2"/>
    <s v="Feb"/>
    <x v="7"/>
    <m/>
    <m/>
  </r>
  <r>
    <n v="68769685"/>
    <x v="0"/>
    <n v="528"/>
    <d v="2026-01-30T00:00:00"/>
    <s v="BR CO-B Reeses Chocolate 6 1.5QT"/>
    <x v="12"/>
    <n v="8.513999999999999E-3"/>
    <n v="176"/>
    <x v="0"/>
    <x v="0"/>
    <n v="1"/>
    <n v="528"/>
    <n v="4.4953919999999998"/>
    <n v="3"/>
    <s v="Jan"/>
    <x v="4"/>
    <m/>
    <m/>
  </r>
  <r>
    <n v="68769685"/>
    <x v="0"/>
    <n v="4031"/>
    <d v="2026-01-31T00:00:00"/>
    <s v="BR CO-B Reeses Chocolate 6 1.5QT"/>
    <x v="12"/>
    <n v="8.513999999999999E-3"/>
    <n v="176"/>
    <x v="0"/>
    <x v="0"/>
    <n v="1"/>
    <n v="4031"/>
    <n v="34.319933999999996"/>
    <n v="22.90340909090909"/>
    <s v="Jan"/>
    <x v="4"/>
    <m/>
    <m/>
  </r>
  <r>
    <n v="68769685"/>
    <x v="0"/>
    <n v="2412"/>
    <d v="2026-01-31T00:00:00"/>
    <s v="BR CO-B Reeses Chocolate 6 1.5QT"/>
    <x v="12"/>
    <n v="8.513999999999999E-3"/>
    <n v="176"/>
    <x v="0"/>
    <x v="0"/>
    <n v="1"/>
    <n v="2412"/>
    <n v="20.535767999999997"/>
    <n v="13.704545454545455"/>
    <s v="Jan"/>
    <x v="4"/>
    <m/>
    <m/>
  </r>
  <r>
    <n v="68769685"/>
    <x v="0"/>
    <n v="3567"/>
    <d v="2026-02-01T00:00:00"/>
    <s v="BR CO-B Reeses Chocolate 6 1.5QT"/>
    <x v="12"/>
    <n v="8.513999999999999E-3"/>
    <n v="176"/>
    <x v="0"/>
    <x v="0"/>
    <n v="1"/>
    <n v="3567"/>
    <n v="30.369437999999995"/>
    <n v="20.267045454545453"/>
    <s v="Feb"/>
    <x v="8"/>
    <m/>
    <m/>
  </r>
  <r>
    <n v="68769685"/>
    <x v="0"/>
    <n v="3344"/>
    <d v="2026-02-01T00:00:00"/>
    <s v="BR CO-B Reeses Chocolate 6 1.5QT"/>
    <x v="12"/>
    <n v="8.513999999999999E-3"/>
    <n v="176"/>
    <x v="0"/>
    <x v="0"/>
    <n v="1"/>
    <n v="3344"/>
    <n v="28.470815999999996"/>
    <n v="19"/>
    <s v="Feb"/>
    <x v="8"/>
    <m/>
    <m/>
  </r>
  <r>
    <n v="68769685"/>
    <x v="0"/>
    <n v="7669"/>
    <d v="2026-02-02T00:00:00"/>
    <s v="BR CO-B Reeses Chocolate 6 1.5QT"/>
    <x v="12"/>
    <n v="8.513999999999999E-3"/>
    <n v="176"/>
    <x v="0"/>
    <x v="0"/>
    <n v="1"/>
    <n v="7669"/>
    <n v="65.293865999999994"/>
    <n v="43.573863636363633"/>
    <s v="Feb"/>
    <x v="8"/>
    <m/>
    <m/>
  </r>
  <r>
    <n v="68769685"/>
    <x v="0"/>
    <n v="352"/>
    <d v="2026-02-05T00:00:00"/>
    <s v="BR CO-B Reeses Chocolate 6 1.5QT"/>
    <x v="12"/>
    <n v="8.513999999999999E-3"/>
    <n v="176"/>
    <x v="0"/>
    <x v="0"/>
    <n v="1"/>
    <n v="352"/>
    <n v="2.9969279999999996"/>
    <n v="2"/>
    <s v="Feb"/>
    <x v="8"/>
    <m/>
    <m/>
  </r>
  <r>
    <n v="68769685"/>
    <x v="0"/>
    <n v="4048"/>
    <d v="2026-02-02T00:00:00"/>
    <s v="BR CO-B Reeses Chocolate 6 1.5QT"/>
    <x v="12"/>
    <n v="8.513999999999999E-3"/>
    <n v="176"/>
    <x v="0"/>
    <x v="0"/>
    <n v="1"/>
    <n v="4048"/>
    <n v="34.464671999999993"/>
    <n v="23"/>
    <s v="Feb"/>
    <x v="8"/>
    <m/>
    <m/>
  </r>
  <r>
    <n v="68769685"/>
    <x v="0"/>
    <n v="9144"/>
    <d v="2026-02-03T00:00:00"/>
    <s v="BR CO-B Reeses Chocolate 6 1.5QT"/>
    <x v="12"/>
    <n v="8.513999999999999E-3"/>
    <n v="176"/>
    <x v="0"/>
    <x v="0"/>
    <n v="1"/>
    <n v="9144"/>
    <n v="77.852015999999992"/>
    <n v="51.954545454545453"/>
    <s v="Feb"/>
    <x v="8"/>
    <m/>
    <m/>
  </r>
  <r>
    <n v="68817793"/>
    <x v="0"/>
    <n v="1914"/>
    <d v="2026-01-28T00:00:00"/>
    <s v="BR Mint CHOC Chip 6 1.5QT"/>
    <x v="6"/>
    <n v="8.5199999999999998E-3"/>
    <n v="176"/>
    <x v="0"/>
    <x v="0"/>
    <n v="1"/>
    <n v="1914"/>
    <n v="16.307279999999999"/>
    <n v="10.875"/>
    <s v="Jan"/>
    <x v="4"/>
    <m/>
    <m/>
  </r>
  <r>
    <n v="68817793"/>
    <x v="0"/>
    <n v="3225"/>
    <d v="2026-01-28T00:00:00"/>
    <s v="BR Mint CHOC Chip 6 1.5QT"/>
    <x v="6"/>
    <n v="8.5199999999999998E-3"/>
    <n v="176"/>
    <x v="0"/>
    <x v="0"/>
    <n v="1"/>
    <n v="3225"/>
    <n v="27.477"/>
    <n v="18.323863636363637"/>
    <s v="Jan"/>
    <x v="4"/>
    <m/>
    <m/>
  </r>
  <r>
    <n v="68817793"/>
    <x v="0"/>
    <n v="2893"/>
    <d v="2026-01-29T00:00:00"/>
    <s v="BR Mint CHOC Chip 6 1.5QT"/>
    <x v="6"/>
    <n v="8.5199999999999998E-3"/>
    <n v="176"/>
    <x v="0"/>
    <x v="0"/>
    <n v="1"/>
    <n v="2893"/>
    <n v="24.64836"/>
    <n v="16.4375"/>
    <s v="Jan"/>
    <x v="4"/>
    <m/>
    <m/>
  </r>
  <r>
    <n v="68817793"/>
    <x v="0"/>
    <n v="37"/>
    <d v="2026-01-30T00:00:00"/>
    <s v="BR Mint CHOC Chip 6 1.5QT"/>
    <x v="6"/>
    <n v="8.5199999999999998E-3"/>
    <n v="176"/>
    <x v="0"/>
    <x v="0"/>
    <n v="1"/>
    <n v="37"/>
    <n v="0.31523999999999996"/>
    <n v="0.21022727272727273"/>
    <s v="Jan"/>
    <x v="4"/>
    <m/>
    <m/>
  </r>
  <r>
    <n v="68817793"/>
    <x v="0"/>
    <n v="154"/>
    <d v="2026-01-28T00:00:00"/>
    <s v="BR Mint CHOC Chip 6 1.5QT"/>
    <x v="7"/>
    <n v="8.5199999999999998E-3"/>
    <n v="176"/>
    <x v="0"/>
    <x v="0"/>
    <n v="1"/>
    <n v="154"/>
    <n v="1.3120799999999999"/>
    <n v="0.875"/>
    <s v="Jan"/>
    <x v="4"/>
    <m/>
    <m/>
  </r>
  <r>
    <n v="68817793"/>
    <x v="0"/>
    <n v="9744"/>
    <d v="2026-01-31T00:00:00"/>
    <s v="BR Mint CHOC Chip 6 1.5QT"/>
    <x v="6"/>
    <n v="8.5199999999999998E-3"/>
    <n v="176"/>
    <x v="0"/>
    <x v="0"/>
    <n v="1"/>
    <n v="9744"/>
    <n v="83.018879999999996"/>
    <n v="55.363636363636367"/>
    <s v="Jan"/>
    <x v="4"/>
    <m/>
    <m/>
  </r>
  <r>
    <n v="68817793"/>
    <x v="0"/>
    <n v="5560"/>
    <d v="2026-02-01T00:00:00"/>
    <s v="BR Mint CHOC Chip 6 1.5QT"/>
    <x v="6"/>
    <n v="8.5199999999999998E-3"/>
    <n v="176"/>
    <x v="0"/>
    <x v="0"/>
    <n v="1"/>
    <n v="5560"/>
    <n v="47.371200000000002"/>
    <n v="31.59090909090909"/>
    <s v="Feb"/>
    <x v="8"/>
    <m/>
    <m/>
  </r>
  <r>
    <n v="68817793"/>
    <x v="0"/>
    <n v="3247"/>
    <d v="2026-01-29T00:00:00"/>
    <s v="BR Mint CHOC Chip 6 1.5QT"/>
    <x v="6"/>
    <n v="8.5199999999999998E-3"/>
    <n v="176"/>
    <x v="0"/>
    <x v="0"/>
    <n v="1"/>
    <n v="3247"/>
    <n v="27.664439999999999"/>
    <n v="18.448863636363637"/>
    <s v="Jan"/>
    <x v="4"/>
    <m/>
    <m/>
  </r>
  <r>
    <n v="68817793"/>
    <x v="0"/>
    <n v="5965"/>
    <d v="2026-01-30T00:00:00"/>
    <s v="BR Mint CHOC Chip 6 1.5QT"/>
    <x v="6"/>
    <n v="8.5199999999999998E-3"/>
    <n v="176"/>
    <x v="0"/>
    <x v="0"/>
    <n v="1"/>
    <n v="5965"/>
    <n v="50.821799999999996"/>
    <n v="33.892045454545453"/>
    <s v="Jan"/>
    <x v="4"/>
    <m/>
    <m/>
  </r>
  <r>
    <n v="68817793"/>
    <x v="0"/>
    <n v="3285"/>
    <d v="2026-01-30T00:00:00"/>
    <s v="BR Mint CHOC Chip 6 1.5QT"/>
    <x v="6"/>
    <n v="8.5199999999999998E-3"/>
    <n v="176"/>
    <x v="0"/>
    <x v="0"/>
    <n v="1"/>
    <n v="3285"/>
    <n v="27.988199999999999"/>
    <n v="18.664772727272727"/>
    <s v="Jan"/>
    <x v="4"/>
    <m/>
    <m/>
  </r>
  <r>
    <n v="68817793"/>
    <x v="0"/>
    <n v="9356"/>
    <d v="2026-01-31T00:00:00"/>
    <s v="BR Mint CHOC Chip 6 1.5QT"/>
    <x v="6"/>
    <n v="8.5199999999999998E-3"/>
    <n v="176"/>
    <x v="0"/>
    <x v="0"/>
    <n v="1"/>
    <n v="9356"/>
    <n v="79.713120000000004"/>
    <n v="53.159090909090907"/>
    <s v="Jan"/>
    <x v="4"/>
    <m/>
    <m/>
  </r>
  <r>
    <n v="68817797"/>
    <x v="0"/>
    <n v="977"/>
    <d v="2026-02-17T00:00:00"/>
    <s v="BR HA French Vanilla 6 1.5QT"/>
    <x v="0"/>
    <n v="8.5199999999999998E-3"/>
    <n v="154"/>
    <x v="0"/>
    <x v="0"/>
    <n v="1"/>
    <n v="977"/>
    <n v="8.3240400000000001"/>
    <n v="6.3441558441558445"/>
    <s v="Feb"/>
    <x v="5"/>
    <m/>
    <m/>
  </r>
  <r>
    <n v="68817797"/>
    <x v="0"/>
    <n v="10"/>
    <d v="2026-02-20T00:00:00"/>
    <s v="BR HA French Vanilla 6 1.5QT"/>
    <x v="0"/>
    <n v="8.5199999999999998E-3"/>
    <n v="154"/>
    <x v="0"/>
    <x v="0"/>
    <n v="1"/>
    <n v="10"/>
    <n v="8.5199999999999998E-2"/>
    <n v="6.4935064935064929E-2"/>
    <s v="Feb"/>
    <x v="5"/>
    <m/>
    <m/>
  </r>
  <r>
    <n v="68817799"/>
    <x v="0"/>
    <n v="2736"/>
    <d v="2026-02-12T00:00:00"/>
    <s v="BR Strawberry 6 1.5QT"/>
    <x v="6"/>
    <n v="8.5199999999999998E-3"/>
    <n v="176"/>
    <x v="0"/>
    <x v="0"/>
    <n v="1"/>
    <n v="2736"/>
    <n v="23.31072"/>
    <n v="15.545454545454545"/>
    <s v="Feb"/>
    <x v="7"/>
    <m/>
    <m/>
  </r>
  <r>
    <n v="68817799"/>
    <x v="0"/>
    <n v="9475"/>
    <d v="2026-02-13T00:00:00"/>
    <s v="BR Strawberry 6 1.5QT"/>
    <x v="6"/>
    <n v="8.5199999999999998E-3"/>
    <n v="176"/>
    <x v="0"/>
    <x v="0"/>
    <n v="1"/>
    <n v="9475"/>
    <n v="80.727000000000004"/>
    <n v="53.835227272727273"/>
    <s v="Feb"/>
    <x v="7"/>
    <m/>
    <m/>
  </r>
  <r>
    <n v="68817799"/>
    <x v="0"/>
    <n v="5280"/>
    <d v="2026-02-13T00:00:00"/>
    <s v="BR Strawberry 6 1.5QT"/>
    <x v="6"/>
    <n v="8.5199999999999998E-3"/>
    <n v="176"/>
    <x v="0"/>
    <x v="0"/>
    <n v="1"/>
    <n v="5280"/>
    <n v="44.985599999999998"/>
    <n v="30"/>
    <s v="Feb"/>
    <x v="7"/>
    <m/>
    <m/>
  </r>
  <r>
    <n v="68817799"/>
    <x v="0"/>
    <n v="8387"/>
    <d v="2026-02-14T00:00:00"/>
    <s v="BR Strawberry 6 1.5QT"/>
    <x v="6"/>
    <n v="8.5199999999999998E-3"/>
    <n v="176"/>
    <x v="0"/>
    <x v="0"/>
    <n v="1"/>
    <n v="8387"/>
    <n v="71.457239999999999"/>
    <n v="47.653409090909093"/>
    <s v="Feb"/>
    <x v="7"/>
    <m/>
    <m/>
  </r>
  <r>
    <n v="68817799"/>
    <x v="0"/>
    <n v="4906"/>
    <d v="2026-02-14T00:00:00"/>
    <s v="BR Strawberry 6 1.5QT"/>
    <x v="6"/>
    <n v="8.5199999999999998E-3"/>
    <n v="176"/>
    <x v="0"/>
    <x v="0"/>
    <n v="1"/>
    <n v="4906"/>
    <n v="41.799120000000002"/>
    <n v="27.875"/>
    <s v="Feb"/>
    <x v="7"/>
    <m/>
    <m/>
  </r>
  <r>
    <n v="68817799"/>
    <x v="0"/>
    <n v="6879"/>
    <d v="2026-02-15T00:00:00"/>
    <s v="BR Strawberry 6 1.5QT"/>
    <x v="6"/>
    <n v="8.5199999999999998E-3"/>
    <n v="176"/>
    <x v="0"/>
    <x v="0"/>
    <n v="1"/>
    <n v="6879"/>
    <n v="58.609079999999999"/>
    <n v="39.085227272727273"/>
    <s v="Feb"/>
    <x v="5"/>
    <m/>
    <m/>
  </r>
  <r>
    <n v="68817799"/>
    <x v="0"/>
    <n v="352"/>
    <d v="2026-02-16T00:00:00"/>
    <s v="BR Strawberry 6 1.5QT"/>
    <x v="6"/>
    <n v="8.5199999999999998E-3"/>
    <n v="176"/>
    <x v="0"/>
    <x v="0"/>
    <n v="1"/>
    <n v="352"/>
    <n v="2.9990399999999999"/>
    <n v="2"/>
    <s v="Feb"/>
    <x v="5"/>
    <m/>
    <m/>
  </r>
  <r>
    <n v="68817799"/>
    <x v="0"/>
    <n v="176"/>
    <d v="2026-02-17T00:00:00"/>
    <s v="BR Strawberry 6 1.5QT"/>
    <x v="6"/>
    <n v="8.5199999999999998E-3"/>
    <n v="176"/>
    <x v="0"/>
    <x v="0"/>
    <n v="1"/>
    <n v="176"/>
    <n v="1.49952"/>
    <n v="1"/>
    <s v="Feb"/>
    <x v="5"/>
    <m/>
    <m/>
  </r>
  <r>
    <n v="68817799"/>
    <x v="0"/>
    <n v="5456"/>
    <d v="2026-02-15T00:00:00"/>
    <s v="BR Strawberry 6 1.5QT"/>
    <x v="6"/>
    <n v="8.5199999999999998E-3"/>
    <n v="176"/>
    <x v="0"/>
    <x v="0"/>
    <n v="1"/>
    <n v="5456"/>
    <n v="46.485120000000002"/>
    <n v="31"/>
    <s v="Feb"/>
    <x v="5"/>
    <m/>
    <m/>
  </r>
  <r>
    <n v="68817799"/>
    <x v="0"/>
    <n v="10322"/>
    <d v="2026-02-16T00:00:00"/>
    <s v="BR Strawberry 6 1.5QT"/>
    <x v="6"/>
    <n v="8.5199999999999998E-3"/>
    <n v="176"/>
    <x v="0"/>
    <x v="0"/>
    <n v="1"/>
    <n v="10322"/>
    <n v="87.943439999999995"/>
    <n v="58.647727272727273"/>
    <s v="Feb"/>
    <x v="5"/>
    <m/>
    <m/>
  </r>
  <r>
    <n v="68817799"/>
    <x v="0"/>
    <n v="4121"/>
    <d v="2026-02-16T00:00:00"/>
    <s v="BR Strawberry 6 1.5QT"/>
    <x v="6"/>
    <n v="8.5199999999999998E-3"/>
    <n v="176"/>
    <x v="0"/>
    <x v="0"/>
    <n v="1"/>
    <n v="4121"/>
    <n v="35.11092"/>
    <n v="23.414772727272727"/>
    <s v="Feb"/>
    <x v="5"/>
    <m/>
    <m/>
  </r>
  <r>
    <n v="68850683"/>
    <x v="0"/>
    <n v="4928"/>
    <d v="2026-02-04T00:00:00"/>
    <s v="BR Homemade Vanilla 6-1.5QT"/>
    <x v="0"/>
    <n v="8.5199999999999998E-3"/>
    <n v="176"/>
    <x v="0"/>
    <x v="0"/>
    <n v="1"/>
    <n v="4928"/>
    <n v="41.986559999999997"/>
    <n v="28"/>
    <s v="Feb"/>
    <x v="8"/>
    <m/>
    <m/>
  </r>
  <r>
    <n v="68850683"/>
    <x v="0"/>
    <n v="9976"/>
    <d v="2026-02-05T00:00:00"/>
    <s v="BR Homemade Vanilla 6-1.5QT"/>
    <x v="0"/>
    <n v="8.5199999999999998E-3"/>
    <n v="176"/>
    <x v="0"/>
    <x v="0"/>
    <n v="1"/>
    <n v="9976"/>
    <n v="84.995519999999999"/>
    <n v="56.68181818181818"/>
    <s v="Feb"/>
    <x v="8"/>
    <m/>
    <m/>
  </r>
  <r>
    <n v="68850683"/>
    <x v="0"/>
    <n v="5632"/>
    <d v="2026-02-05T00:00:00"/>
    <s v="BR Homemade Vanilla 6-1.5QT"/>
    <x v="0"/>
    <n v="8.5199999999999998E-3"/>
    <n v="176"/>
    <x v="0"/>
    <x v="0"/>
    <n v="1"/>
    <n v="5632"/>
    <n v="47.984639999999999"/>
    <n v="32"/>
    <s v="Feb"/>
    <x v="8"/>
    <m/>
    <m/>
  </r>
  <r>
    <n v="68850683"/>
    <x v="0"/>
    <n v="9636"/>
    <d v="2026-02-06T00:00:00"/>
    <s v="BR Homemade Vanilla 6-1.5QT"/>
    <x v="0"/>
    <n v="8.5199999999999998E-3"/>
    <n v="176"/>
    <x v="0"/>
    <x v="0"/>
    <n v="1"/>
    <n v="9636"/>
    <n v="82.09872"/>
    <n v="54.75"/>
    <s v="Feb"/>
    <x v="8"/>
    <m/>
    <m/>
  </r>
  <r>
    <n v="68850683"/>
    <x v="0"/>
    <n v="5037"/>
    <d v="2026-02-06T00:00:00"/>
    <s v="BR Homemade Vanilla 6-1.5QT"/>
    <x v="0"/>
    <n v="8.5199999999999998E-3"/>
    <n v="176"/>
    <x v="0"/>
    <x v="0"/>
    <n v="1"/>
    <n v="5037"/>
    <n v="42.915239999999997"/>
    <n v="28.619318181818183"/>
    <s v="Feb"/>
    <x v="8"/>
    <m/>
    <m/>
  </r>
  <r>
    <n v="68850683"/>
    <x v="0"/>
    <n v="4829"/>
    <d v="2026-02-07T00:00:00"/>
    <s v="BR Homemade Vanilla 6-1.5QT"/>
    <x v="0"/>
    <n v="8.5199999999999998E-3"/>
    <n v="176"/>
    <x v="0"/>
    <x v="0"/>
    <n v="1"/>
    <n v="4829"/>
    <n v="41.143079999999998"/>
    <n v="27.4375"/>
    <s v="Feb"/>
    <x v="8"/>
    <m/>
    <m/>
  </r>
  <r>
    <n v="68850683"/>
    <x v="0"/>
    <n v="5621"/>
    <d v="2026-02-08T00:00:00"/>
    <s v="BR Homemade Vanilla 6-1.5QT"/>
    <x v="0"/>
    <n v="8.5199999999999998E-3"/>
    <n v="176"/>
    <x v="0"/>
    <x v="0"/>
    <n v="1"/>
    <n v="5621"/>
    <n v="47.890920000000001"/>
    <n v="31.9375"/>
    <s v="Feb"/>
    <x v="7"/>
    <m/>
    <m/>
  </r>
  <r>
    <n v="68850683"/>
    <x v="0"/>
    <n v="8310"/>
    <d v="2026-02-09T00:00:00"/>
    <s v="BR Homemade Vanilla 6-1.5QT"/>
    <x v="0"/>
    <n v="8.5199999999999998E-3"/>
    <n v="176"/>
    <x v="0"/>
    <x v="0"/>
    <n v="1"/>
    <n v="8310"/>
    <n v="70.801199999999994"/>
    <n v="47.215909090909093"/>
    <s v="Feb"/>
    <x v="7"/>
    <m/>
    <m/>
  </r>
  <r>
    <n v="68850683"/>
    <x v="0"/>
    <n v="3872"/>
    <d v="2026-02-07T00:00:00"/>
    <s v="BR Homemade Vanilla 6-1.5QT"/>
    <x v="0"/>
    <n v="8.5199999999999998E-3"/>
    <n v="176"/>
    <x v="0"/>
    <x v="0"/>
    <n v="1"/>
    <n v="3872"/>
    <n v="32.989440000000002"/>
    <n v="22"/>
    <s v="Feb"/>
    <x v="8"/>
    <m/>
    <m/>
  </r>
  <r>
    <n v="68850683"/>
    <x v="0"/>
    <n v="10452"/>
    <d v="2026-02-08T00:00:00"/>
    <s v="BR Homemade Vanilla 6-1.5QT"/>
    <x v="0"/>
    <n v="8.5199999999999998E-3"/>
    <n v="176"/>
    <x v="0"/>
    <x v="0"/>
    <n v="1"/>
    <n v="10452"/>
    <n v="89.05104"/>
    <n v="59.386363636363633"/>
    <s v="Feb"/>
    <x v="7"/>
    <m/>
    <m/>
  </r>
  <r>
    <n v="68850683"/>
    <x v="0"/>
    <n v="3456"/>
    <d v="2026-02-10T00:00:00"/>
    <s v="BR Homemade Vanilla 6-1.5QT"/>
    <x v="0"/>
    <n v="8.5199999999999998E-3"/>
    <n v="176"/>
    <x v="0"/>
    <x v="0"/>
    <n v="1"/>
    <n v="3456"/>
    <n v="29.445119999999999"/>
    <n v="19.636363636363637"/>
    <s v="Feb"/>
    <x v="7"/>
    <m/>
    <m/>
  </r>
  <r>
    <n v="68850683"/>
    <x v="0"/>
    <n v="5640"/>
    <d v="2026-02-11T00:00:00"/>
    <s v="BR Homemade Vanilla 6-1.5QT"/>
    <x v="0"/>
    <n v="8.5199999999999998E-3"/>
    <n v="176"/>
    <x v="0"/>
    <x v="0"/>
    <n v="1"/>
    <n v="5640"/>
    <n v="48.052799999999998"/>
    <n v="32.045454545454547"/>
    <s v="Feb"/>
    <x v="7"/>
    <m/>
    <m/>
  </r>
  <r>
    <n v="68850683"/>
    <x v="0"/>
    <n v="3604"/>
    <d v="2026-01-28T00:00:00"/>
    <s v="BR Homemade Vanilla 6-1.5QT"/>
    <x v="6"/>
    <n v="8.5199999999999998E-3"/>
    <n v="176"/>
    <x v="0"/>
    <x v="0"/>
    <n v="1"/>
    <n v="3604"/>
    <n v="30.70608"/>
    <n v="20.477272727272727"/>
    <s v="Jan"/>
    <x v="4"/>
    <m/>
    <m/>
  </r>
  <r>
    <n v="68850683"/>
    <x v="0"/>
    <n v="4688"/>
    <d v="2026-02-09T00:00:00"/>
    <s v="BR Homemade Vanilla 6-1.5QT"/>
    <x v="0"/>
    <n v="8.5199999999999998E-3"/>
    <n v="176"/>
    <x v="0"/>
    <x v="0"/>
    <n v="1"/>
    <n v="4688"/>
    <n v="39.941760000000002"/>
    <n v="26.636363636363637"/>
    <s v="Feb"/>
    <x v="7"/>
    <m/>
    <m/>
  </r>
  <r>
    <n v="68850683"/>
    <x v="0"/>
    <n v="8921"/>
    <d v="2026-02-10T00:00:00"/>
    <s v="BR Homemade Vanilla 6-1.5QT"/>
    <x v="0"/>
    <n v="8.5199999999999998E-3"/>
    <n v="176"/>
    <x v="0"/>
    <x v="0"/>
    <n v="1"/>
    <n v="8921"/>
    <n v="76.006919999999994"/>
    <n v="50.6875"/>
    <s v="Feb"/>
    <x v="7"/>
    <m/>
    <m/>
  </r>
  <r>
    <n v="68850683"/>
    <x v="0"/>
    <n v="880"/>
    <d v="2026-01-30T00:00:00"/>
    <s v="BR Homemade Vanilla 6-1.5QT"/>
    <x v="0"/>
    <n v="8.5199999999999998E-3"/>
    <n v="176"/>
    <x v="0"/>
    <x v="0"/>
    <n v="1"/>
    <n v="880"/>
    <n v="7.4976000000000003"/>
    <n v="5"/>
    <s v="Jan"/>
    <x v="4"/>
    <m/>
    <m/>
  </r>
  <r>
    <n v="68850683"/>
    <x v="0"/>
    <n v="8767"/>
    <d v="2026-01-31T00:00:00"/>
    <s v="BR Homemade Vanilla 6-1.5QT"/>
    <x v="0"/>
    <n v="8.5199999999999998E-3"/>
    <n v="176"/>
    <x v="0"/>
    <x v="0"/>
    <n v="1"/>
    <n v="8767"/>
    <n v="74.694839999999999"/>
    <n v="49.8125"/>
    <s v="Jan"/>
    <x v="4"/>
    <m/>
    <m/>
  </r>
  <r>
    <n v="68850683"/>
    <x v="0"/>
    <n v="8448"/>
    <d v="2026-01-31T00:00:00"/>
    <s v="BR Homemade Vanilla 6-1.5QT"/>
    <x v="0"/>
    <n v="8.5199999999999998E-3"/>
    <n v="176"/>
    <x v="0"/>
    <x v="0"/>
    <n v="1"/>
    <n v="8448"/>
    <n v="71.976959999999991"/>
    <n v="48"/>
    <s v="Jan"/>
    <x v="4"/>
    <m/>
    <m/>
  </r>
  <r>
    <n v="68850683"/>
    <x v="0"/>
    <n v="6409"/>
    <d v="2026-02-01T00:00:00"/>
    <s v="BR Homemade Vanilla 6-1.5QT"/>
    <x v="0"/>
    <n v="8.5199999999999998E-3"/>
    <n v="176"/>
    <x v="0"/>
    <x v="0"/>
    <n v="1"/>
    <n v="6409"/>
    <n v="54.604680000000002"/>
    <n v="36.414772727272727"/>
    <s v="Feb"/>
    <x v="8"/>
    <m/>
    <m/>
  </r>
  <r>
    <n v="68850683"/>
    <x v="0"/>
    <n v="176"/>
    <d v="2026-02-05T00:00:00"/>
    <s v="BR Homemade Vanilla 6-1.5QT"/>
    <x v="0"/>
    <n v="8.5199999999999998E-3"/>
    <n v="176"/>
    <x v="0"/>
    <x v="0"/>
    <n v="1"/>
    <n v="176"/>
    <n v="1.49952"/>
    <n v="1"/>
    <s v="Feb"/>
    <x v="8"/>
    <m/>
    <m/>
  </r>
  <r>
    <n v="68850683"/>
    <x v="0"/>
    <n v="4028"/>
    <d v="2026-02-01T00:00:00"/>
    <s v="BR Homemade Vanilla 6-1.5QT"/>
    <x v="0"/>
    <n v="8.5199999999999998E-3"/>
    <n v="176"/>
    <x v="0"/>
    <x v="0"/>
    <n v="1"/>
    <n v="4028"/>
    <n v="34.318559999999998"/>
    <n v="22.886363636363637"/>
    <s v="Feb"/>
    <x v="8"/>
    <m/>
    <m/>
  </r>
  <r>
    <n v="68850683"/>
    <x v="0"/>
    <n v="2813"/>
    <d v="2026-02-02T00:00:00"/>
    <s v="BR Homemade Vanilla 6-1.5QT"/>
    <x v="0"/>
    <n v="8.5199999999999998E-3"/>
    <n v="176"/>
    <x v="0"/>
    <x v="0"/>
    <n v="1"/>
    <n v="2813"/>
    <n v="23.966760000000001"/>
    <n v="15.982954545454545"/>
    <s v="Feb"/>
    <x v="8"/>
    <m/>
    <m/>
  </r>
  <r>
    <n v="68850683"/>
    <x v="0"/>
    <n v="5235"/>
    <d v="2026-02-02T00:00:00"/>
    <s v="BR Homemade Vanilla 6-1.5QT"/>
    <x v="0"/>
    <n v="8.5199999999999998E-3"/>
    <n v="176"/>
    <x v="0"/>
    <x v="0"/>
    <n v="1"/>
    <n v="5235"/>
    <n v="44.602199999999996"/>
    <n v="29.744318181818183"/>
    <s v="Feb"/>
    <x v="8"/>
    <m/>
    <m/>
  </r>
  <r>
    <n v="68850683"/>
    <x v="0"/>
    <n v="10065"/>
    <d v="2026-02-03T00:00:00"/>
    <s v="BR Homemade Vanilla 6-1.5QT"/>
    <x v="0"/>
    <n v="8.5199999999999998E-3"/>
    <n v="176"/>
    <x v="0"/>
    <x v="0"/>
    <n v="1"/>
    <n v="10065"/>
    <n v="85.753799999999998"/>
    <n v="57.1875"/>
    <s v="Feb"/>
    <x v="8"/>
    <m/>
    <m/>
  </r>
  <r>
    <n v="68850683"/>
    <x v="0"/>
    <n v="4554"/>
    <d v="2026-02-03T00:00:00"/>
    <s v="BR Homemade Vanilla 6-1.5QT"/>
    <x v="0"/>
    <n v="8.5199999999999998E-3"/>
    <n v="176"/>
    <x v="0"/>
    <x v="0"/>
    <n v="1"/>
    <n v="4554"/>
    <n v="38.800080000000001"/>
    <n v="25.875"/>
    <s v="Feb"/>
    <x v="8"/>
    <m/>
    <m/>
  </r>
  <r>
    <n v="68850683"/>
    <x v="0"/>
    <n v="10298"/>
    <d v="2026-02-04T00:00:00"/>
    <s v="BR Homemade Vanilla 6-1.5QT"/>
    <x v="0"/>
    <n v="8.5199999999999998E-3"/>
    <n v="176"/>
    <x v="0"/>
    <x v="0"/>
    <n v="1"/>
    <n v="10298"/>
    <n v="87.738959999999992"/>
    <n v="58.511363636363633"/>
    <s v="Feb"/>
    <x v="8"/>
    <m/>
    <m/>
  </r>
  <r>
    <n v="68850684"/>
    <x v="0"/>
    <n v="6181"/>
    <d v="2026-01-28T00:00:00"/>
    <s v="BR French Vanilla 6-1.5QT"/>
    <x v="0"/>
    <n v="8.5199999999999998E-3"/>
    <n v="176"/>
    <x v="0"/>
    <x v="0"/>
    <n v="1"/>
    <n v="6181"/>
    <n v="52.662120000000002"/>
    <n v="35.11931818181818"/>
    <s v="Jan"/>
    <x v="4"/>
    <m/>
    <m/>
  </r>
  <r>
    <n v="68850684"/>
    <x v="0"/>
    <n v="4026"/>
    <d v="2026-01-28T00:00:00"/>
    <s v="BR French Vanilla 6-1.5QT"/>
    <x v="0"/>
    <n v="8.5199999999999998E-3"/>
    <n v="176"/>
    <x v="0"/>
    <x v="0"/>
    <n v="1"/>
    <n v="4026"/>
    <n v="34.301519999999996"/>
    <n v="22.875"/>
    <s v="Jan"/>
    <x v="4"/>
    <m/>
    <m/>
  </r>
  <r>
    <n v="68850684"/>
    <x v="0"/>
    <n v="7589"/>
    <d v="2026-01-29T00:00:00"/>
    <s v="BR French Vanilla 6-1.5QT"/>
    <x v="0"/>
    <n v="8.5199999999999998E-3"/>
    <n v="176"/>
    <x v="0"/>
    <x v="0"/>
    <n v="1"/>
    <n v="7589"/>
    <n v="64.658280000000005"/>
    <n v="43.11931818181818"/>
    <s v="Jan"/>
    <x v="4"/>
    <m/>
    <m/>
  </r>
  <r>
    <n v="68850684"/>
    <x v="0"/>
    <n v="4752"/>
    <d v="2026-01-29T00:00:00"/>
    <s v="BR French Vanilla 6-1.5QT"/>
    <x v="0"/>
    <n v="8.5199999999999998E-3"/>
    <n v="176"/>
    <x v="0"/>
    <x v="0"/>
    <n v="1"/>
    <n v="4752"/>
    <n v="40.48704"/>
    <n v="27"/>
    <s v="Jan"/>
    <x v="4"/>
    <m/>
    <m/>
  </r>
  <r>
    <n v="68850684"/>
    <x v="0"/>
    <n v="10275"/>
    <d v="2026-01-30T00:00:00"/>
    <s v="BR French Vanilla 6-1.5QT"/>
    <x v="0"/>
    <n v="8.5199999999999998E-3"/>
    <n v="176"/>
    <x v="0"/>
    <x v="0"/>
    <n v="1"/>
    <n v="10275"/>
    <n v="87.542999999999992"/>
    <n v="58.38068181818182"/>
    <s v="Jan"/>
    <x v="4"/>
    <m/>
    <m/>
  </r>
  <r>
    <n v="68850684"/>
    <x v="0"/>
    <n v="7590"/>
    <d v="2026-02-18T00:00:00"/>
    <s v="BR French Vanilla 6-1.5QT"/>
    <x v="0"/>
    <n v="8.5199999999999998E-3"/>
    <n v="176"/>
    <x v="0"/>
    <x v="0"/>
    <n v="1"/>
    <n v="7590"/>
    <n v="64.666799999999995"/>
    <n v="43.125"/>
    <s v="Feb"/>
    <x v="5"/>
    <m/>
    <m/>
  </r>
  <r>
    <n v="68850684"/>
    <x v="0"/>
    <n v="2805"/>
    <d v="2026-02-18T00:00:00"/>
    <s v="BR French Vanilla 6-1.5QT"/>
    <x v="0"/>
    <n v="8.5199999999999998E-3"/>
    <n v="176"/>
    <x v="0"/>
    <x v="0"/>
    <n v="1"/>
    <n v="2805"/>
    <n v="23.898599999999998"/>
    <n v="15.9375"/>
    <s v="Feb"/>
    <x v="5"/>
    <m/>
    <m/>
  </r>
  <r>
    <n v="68850684"/>
    <x v="0"/>
    <n v="5847"/>
    <d v="2026-02-19T00:00:00"/>
    <s v="BR French Vanilla 6-1.5QT"/>
    <x v="0"/>
    <n v="8.5199999999999998E-3"/>
    <n v="176"/>
    <x v="0"/>
    <x v="0"/>
    <n v="1"/>
    <n v="5847"/>
    <n v="49.81644"/>
    <n v="33.221590909090907"/>
    <s v="Feb"/>
    <x v="5"/>
    <m/>
    <m/>
  </r>
  <r>
    <n v="68850684"/>
    <x v="0"/>
    <n v="4224"/>
    <d v="2026-02-19T00:00:00"/>
    <s v="BR French Vanilla 6-1.5QT"/>
    <x v="0"/>
    <n v="8.5199999999999998E-3"/>
    <n v="176"/>
    <x v="0"/>
    <x v="0"/>
    <n v="1"/>
    <n v="4224"/>
    <n v="35.988479999999996"/>
    <n v="24"/>
    <s v="Feb"/>
    <x v="5"/>
    <m/>
    <m/>
  </r>
  <r>
    <n v="68850684"/>
    <x v="0"/>
    <n v="8717"/>
    <d v="2026-02-20T00:00:00"/>
    <s v="BR French Vanilla 6-1.5QT"/>
    <x v="0"/>
    <n v="8.5199999999999998E-3"/>
    <n v="176"/>
    <x v="0"/>
    <x v="0"/>
    <n v="1"/>
    <n v="8717"/>
    <n v="74.268839999999997"/>
    <n v="49.528409090909093"/>
    <s v="Feb"/>
    <x v="5"/>
    <m/>
    <m/>
  </r>
  <r>
    <n v="68850684"/>
    <x v="0"/>
    <n v="4212"/>
    <d v="2026-02-20T00:00:00"/>
    <s v="BR French Vanilla 6-1.5QT"/>
    <x v="0"/>
    <n v="8.5199999999999998E-3"/>
    <n v="176"/>
    <x v="0"/>
    <x v="0"/>
    <n v="1"/>
    <n v="4212"/>
    <n v="35.886240000000001"/>
    <n v="23.931818181818183"/>
    <s v="Feb"/>
    <x v="5"/>
    <m/>
    <m/>
  </r>
  <r>
    <n v="68850684"/>
    <x v="0"/>
    <n v="10197"/>
    <d v="2026-02-21T00:00:00"/>
    <s v="BR French Vanilla 6-1.5QT"/>
    <x v="0"/>
    <n v="8.5199999999999998E-3"/>
    <n v="176"/>
    <x v="0"/>
    <x v="0"/>
    <n v="1"/>
    <n v="10197"/>
    <n v="86.878439999999998"/>
    <n v="57.9375"/>
    <s v="Feb"/>
    <x v="5"/>
    <m/>
    <m/>
  </r>
  <r>
    <n v="68850684"/>
    <x v="0"/>
    <n v="6543"/>
    <d v="2026-01-29T00:00:00"/>
    <s v="BR French Vanilla 6-1.5QT"/>
    <x v="6"/>
    <n v="8.5199999999999998E-3"/>
    <n v="176"/>
    <x v="0"/>
    <x v="0"/>
    <n v="1"/>
    <n v="6543"/>
    <n v="55.746359999999996"/>
    <n v="37.176136363636367"/>
    <s v="Jan"/>
    <x v="4"/>
    <m/>
    <m/>
  </r>
  <r>
    <n v="68850684"/>
    <x v="0"/>
    <n v="176"/>
    <d v="2026-01-31T00:00:00"/>
    <s v="BR French Vanilla 6-1.5QT"/>
    <x v="6"/>
    <n v="8.5199999999999998E-3"/>
    <n v="176"/>
    <x v="0"/>
    <x v="0"/>
    <n v="1"/>
    <n v="176"/>
    <n v="1.49952"/>
    <n v="1"/>
    <s v="Jan"/>
    <x v="4"/>
    <m/>
    <m/>
  </r>
  <r>
    <n v="68850684"/>
    <x v="0"/>
    <n v="2982"/>
    <d v="2026-01-30T00:00:00"/>
    <s v="BR French Vanilla 6-1.5QT"/>
    <x v="0"/>
    <n v="8.5199999999999998E-3"/>
    <n v="176"/>
    <x v="0"/>
    <x v="0"/>
    <n v="1"/>
    <n v="2982"/>
    <n v="25.406639999999999"/>
    <n v="16.943181818181817"/>
    <s v="Jan"/>
    <x v="4"/>
    <m/>
    <m/>
  </r>
  <r>
    <n v="68850684"/>
    <x v="0"/>
    <n v="5178"/>
    <d v="2026-02-15T00:00:00"/>
    <s v="BR French Vanilla 6-1.5QT"/>
    <x v="0"/>
    <n v="8.5199999999999998E-3"/>
    <n v="176"/>
    <x v="0"/>
    <x v="0"/>
    <n v="1"/>
    <n v="5178"/>
    <n v="44.11656"/>
    <n v="29.420454545454547"/>
    <s v="Feb"/>
    <x v="5"/>
    <m/>
    <m/>
  </r>
  <r>
    <n v="68850684"/>
    <x v="0"/>
    <n v="12519"/>
    <d v="2026-02-16T00:00:00"/>
    <s v="BR French Vanilla 6-1.5QT"/>
    <x v="0"/>
    <n v="8.5199999999999998E-3"/>
    <n v="176"/>
    <x v="0"/>
    <x v="0"/>
    <n v="1"/>
    <n v="12519"/>
    <n v="106.66188"/>
    <n v="71.130681818181813"/>
    <s v="Feb"/>
    <x v="5"/>
    <m/>
    <m/>
  </r>
  <r>
    <n v="68850684"/>
    <x v="0"/>
    <n v="4224"/>
    <d v="2026-02-14T00:00:00"/>
    <s v="BR French Vanilla 6-1.5QT"/>
    <x v="0"/>
    <n v="8.5199999999999998E-3"/>
    <n v="176"/>
    <x v="0"/>
    <x v="0"/>
    <n v="1"/>
    <n v="4224"/>
    <n v="35.988479999999996"/>
    <n v="24"/>
    <s v="Feb"/>
    <x v="7"/>
    <m/>
    <m/>
  </r>
  <r>
    <n v="68850684"/>
    <x v="0"/>
    <n v="7151"/>
    <d v="2026-02-15T00:00:00"/>
    <s v="BR French Vanilla 6-1.5QT"/>
    <x v="0"/>
    <n v="8.5199999999999998E-3"/>
    <n v="176"/>
    <x v="0"/>
    <x v="0"/>
    <n v="1"/>
    <n v="7151"/>
    <n v="60.926519999999996"/>
    <n v="40.63068181818182"/>
    <s v="Feb"/>
    <x v="5"/>
    <m/>
    <m/>
  </r>
  <r>
    <n v="68850684"/>
    <x v="0"/>
    <n v="352"/>
    <d v="2026-02-17T00:00:00"/>
    <s v="BR French Vanilla 6-1.5QT"/>
    <x v="0"/>
    <n v="8.5199999999999998E-3"/>
    <n v="176"/>
    <x v="0"/>
    <x v="0"/>
    <n v="1"/>
    <n v="352"/>
    <n v="2.9990399999999999"/>
    <n v="2"/>
    <s v="Feb"/>
    <x v="5"/>
    <m/>
    <m/>
  </r>
  <r>
    <n v="68850684"/>
    <x v="0"/>
    <n v="5971"/>
    <d v="2026-02-21T00:00:00"/>
    <s v="BR French Vanilla 6-1.5QT"/>
    <x v="0"/>
    <n v="8.5199999999999998E-3"/>
    <n v="176"/>
    <x v="0"/>
    <x v="0"/>
    <n v="1"/>
    <n v="5971"/>
    <n v="50.872920000000001"/>
    <n v="33.926136363636367"/>
    <s v="Feb"/>
    <x v="5"/>
    <m/>
    <m/>
  </r>
  <r>
    <n v="68850684"/>
    <x v="0"/>
    <n v="2257"/>
    <d v="2026-02-22T00:00:00"/>
    <s v="BR French Vanilla 6-1.5QT"/>
    <x v="0"/>
    <n v="8.5199999999999998E-3"/>
    <n v="176"/>
    <x v="0"/>
    <x v="0"/>
    <n v="1"/>
    <n v="2257"/>
    <n v="19.22964"/>
    <n v="12.823863636363637"/>
    <s v="Feb"/>
    <x v="6"/>
    <m/>
    <m/>
  </r>
  <r>
    <n v="68851104"/>
    <x v="0"/>
    <n v="-880"/>
    <d v="2026-01-30T00:00:00"/>
    <s v="BR Chocolate 6-1.5QT"/>
    <x v="0"/>
    <n v="8.5199999999999998E-3"/>
    <n v="176"/>
    <x v="0"/>
    <x v="0"/>
    <n v="1"/>
    <n v="-880"/>
    <n v="-7.4976000000000003"/>
    <n v="-5"/>
    <s v="Jan"/>
    <x v="4"/>
    <m/>
    <m/>
  </r>
  <r>
    <n v="68851104"/>
    <x v="0"/>
    <n v="24"/>
    <d v="2026-01-30T00:00:00"/>
    <s v="BR Chocolate 6-1.5QT"/>
    <x v="0"/>
    <n v="8.5199999999999998E-3"/>
    <n v="176"/>
    <x v="0"/>
    <x v="0"/>
    <n v="1"/>
    <n v="24"/>
    <n v="0.20448"/>
    <n v="0.13636363636363635"/>
    <s v="Jan"/>
    <x v="4"/>
    <m/>
    <m/>
  </r>
  <r>
    <n v="68851104"/>
    <x v="0"/>
    <n v="3168"/>
    <d v="2026-02-22T00:00:00"/>
    <s v="BR Chocolate 6-1.5QT"/>
    <x v="0"/>
    <n v="8.5199999999999998E-3"/>
    <n v="176"/>
    <x v="0"/>
    <x v="0"/>
    <n v="1"/>
    <n v="3168"/>
    <n v="26.99136"/>
    <n v="18"/>
    <s v="Feb"/>
    <x v="6"/>
    <m/>
    <m/>
  </r>
  <r>
    <n v="68851107"/>
    <x v="0"/>
    <n v="8096"/>
    <d v="2026-02-17T00:00:00"/>
    <s v="BR NAT Vanilla 6-1.5QT"/>
    <x v="6"/>
    <n v="8.5199999999999998E-3"/>
    <n v="176"/>
    <x v="0"/>
    <x v="0"/>
    <n v="1"/>
    <n v="8096"/>
    <n v="68.977919999999997"/>
    <n v="46"/>
    <s v="Feb"/>
    <x v="5"/>
    <m/>
    <m/>
  </r>
  <r>
    <n v="68851107"/>
    <x v="0"/>
    <n v="10007"/>
    <d v="2026-02-18T00:00:00"/>
    <s v="BR NAT Vanilla 6-1.5QT"/>
    <x v="6"/>
    <n v="8.5199999999999998E-3"/>
    <n v="176"/>
    <x v="0"/>
    <x v="0"/>
    <n v="1"/>
    <n v="10007"/>
    <n v="85.259640000000005"/>
    <n v="56.857954545454547"/>
    <s v="Feb"/>
    <x v="5"/>
    <m/>
    <m/>
  </r>
  <r>
    <n v="68851107"/>
    <x v="0"/>
    <n v="155"/>
    <d v="2026-02-19T00:00:00"/>
    <s v="BR NAT Vanilla 6-1.5QT"/>
    <x v="6"/>
    <n v="8.5199999999999998E-3"/>
    <n v="176"/>
    <x v="0"/>
    <x v="0"/>
    <n v="1"/>
    <n v="155"/>
    <n v="1.3206"/>
    <n v="0.88068181818181823"/>
    <s v="Feb"/>
    <x v="5"/>
    <m/>
    <m/>
  </r>
  <r>
    <n v="68851107"/>
    <x v="0"/>
    <n v="5600"/>
    <d v="2026-02-18T00:00:00"/>
    <s v="BR NAT Vanilla 6-1.5QT"/>
    <x v="6"/>
    <n v="8.5199999999999998E-3"/>
    <n v="176"/>
    <x v="0"/>
    <x v="0"/>
    <n v="1"/>
    <n v="5600"/>
    <n v="47.711999999999996"/>
    <n v="31.818181818181817"/>
    <s v="Feb"/>
    <x v="5"/>
    <m/>
    <m/>
  </r>
  <r>
    <n v="68851107"/>
    <x v="0"/>
    <n v="7689"/>
    <d v="2026-02-19T00:00:00"/>
    <s v="BR NAT Vanilla 6-1.5QT"/>
    <x v="6"/>
    <n v="8.5199999999999998E-3"/>
    <n v="176"/>
    <x v="0"/>
    <x v="0"/>
    <n v="1"/>
    <n v="7689"/>
    <n v="65.510279999999995"/>
    <n v="43.6875"/>
    <s v="Feb"/>
    <x v="5"/>
    <m/>
    <m/>
  </r>
  <r>
    <n v="68851107"/>
    <x v="0"/>
    <n v="5340"/>
    <d v="2026-02-19T00:00:00"/>
    <s v="BR NAT Vanilla 6-1.5QT"/>
    <x v="6"/>
    <n v="8.5199999999999998E-3"/>
    <n v="176"/>
    <x v="0"/>
    <x v="0"/>
    <n v="1"/>
    <n v="5340"/>
    <n v="45.4968"/>
    <n v="30.34090909090909"/>
    <s v="Feb"/>
    <x v="5"/>
    <m/>
    <m/>
  </r>
  <r>
    <n v="68851107"/>
    <x v="0"/>
    <n v="10254"/>
    <d v="2026-02-20T00:00:00"/>
    <s v="BR NAT Vanilla 6-1.5QT"/>
    <x v="6"/>
    <n v="8.5199999999999998E-3"/>
    <n v="176"/>
    <x v="0"/>
    <x v="0"/>
    <n v="1"/>
    <n v="10254"/>
    <n v="87.364080000000001"/>
    <n v="58.261363636363633"/>
    <s v="Feb"/>
    <x v="5"/>
    <m/>
    <m/>
  </r>
  <r>
    <n v="68851107"/>
    <x v="0"/>
    <n v="4371"/>
    <d v="2026-02-20T00:00:00"/>
    <s v="BR NAT Vanilla 6-1.5QT"/>
    <x v="6"/>
    <n v="8.5199999999999998E-3"/>
    <n v="176"/>
    <x v="0"/>
    <x v="0"/>
    <n v="1"/>
    <n v="4371"/>
    <n v="37.240919999999996"/>
    <n v="24.835227272727273"/>
    <s v="Feb"/>
    <x v="5"/>
    <m/>
    <m/>
  </r>
  <r>
    <n v="68851107"/>
    <x v="0"/>
    <n v="9654"/>
    <d v="2026-02-21T00:00:00"/>
    <s v="BR NAT Vanilla 6-1.5QT"/>
    <x v="6"/>
    <n v="8.5199999999999998E-3"/>
    <n v="176"/>
    <x v="0"/>
    <x v="0"/>
    <n v="1"/>
    <n v="9654"/>
    <n v="82.252079999999992"/>
    <n v="54.852272727272727"/>
    <s v="Feb"/>
    <x v="5"/>
    <m/>
    <m/>
  </r>
  <r>
    <n v="68851107"/>
    <x v="0"/>
    <n v="528"/>
    <d v="2026-02-11T00:00:00"/>
    <s v="BR NAT Vanilla 6-1.5QT"/>
    <x v="0"/>
    <n v="8.5199999999999998E-3"/>
    <n v="176"/>
    <x v="0"/>
    <x v="0"/>
    <n v="1"/>
    <n v="528"/>
    <n v="4.4985599999999994"/>
    <n v="3"/>
    <s v="Feb"/>
    <x v="7"/>
    <m/>
    <m/>
  </r>
  <r>
    <n v="68851107"/>
    <x v="0"/>
    <n v="7575"/>
    <d v="2026-02-12T00:00:00"/>
    <s v="BR NAT Vanilla 6-1.5QT"/>
    <x v="0"/>
    <n v="8.5199999999999998E-3"/>
    <n v="176"/>
    <x v="0"/>
    <x v="0"/>
    <n v="1"/>
    <n v="7575"/>
    <n v="64.539000000000001"/>
    <n v="43.039772727272727"/>
    <s v="Feb"/>
    <x v="7"/>
    <m/>
    <m/>
  </r>
  <r>
    <n v="68851107"/>
    <x v="0"/>
    <n v="5279"/>
    <d v="2026-02-12T00:00:00"/>
    <s v="BR NAT Vanilla 6-1.5QT"/>
    <x v="0"/>
    <n v="8.5199999999999998E-3"/>
    <n v="176"/>
    <x v="0"/>
    <x v="0"/>
    <n v="1"/>
    <n v="5279"/>
    <n v="44.977080000000001"/>
    <n v="29.994318181818183"/>
    <s v="Feb"/>
    <x v="7"/>
    <m/>
    <m/>
  </r>
  <r>
    <n v="68851107"/>
    <x v="0"/>
    <n v="9650"/>
    <d v="2026-02-13T00:00:00"/>
    <s v="BR NAT Vanilla 6-1.5QT"/>
    <x v="0"/>
    <n v="8.5199999999999998E-3"/>
    <n v="176"/>
    <x v="0"/>
    <x v="0"/>
    <n v="1"/>
    <n v="9650"/>
    <n v="82.218000000000004"/>
    <n v="54.829545454545453"/>
    <s v="Feb"/>
    <x v="7"/>
    <m/>
    <m/>
  </r>
  <r>
    <n v="68851107"/>
    <x v="0"/>
    <n v="5632"/>
    <d v="2026-02-13T00:00:00"/>
    <s v="BR NAT Vanilla 6-1.5QT"/>
    <x v="0"/>
    <n v="8.5199999999999998E-3"/>
    <n v="176"/>
    <x v="0"/>
    <x v="0"/>
    <n v="1"/>
    <n v="5632"/>
    <n v="47.984639999999999"/>
    <n v="32"/>
    <s v="Feb"/>
    <x v="7"/>
    <m/>
    <m/>
  </r>
  <r>
    <n v="68851107"/>
    <x v="0"/>
    <n v="10145"/>
    <d v="2026-02-14T00:00:00"/>
    <s v="BR NAT Vanilla 6-1.5QT"/>
    <x v="0"/>
    <n v="8.5199999999999998E-3"/>
    <n v="176"/>
    <x v="0"/>
    <x v="0"/>
    <n v="1"/>
    <n v="10145"/>
    <n v="86.435400000000001"/>
    <n v="57.642045454545453"/>
    <s v="Feb"/>
    <x v="7"/>
    <m/>
    <m/>
  </r>
  <r>
    <n v="68851107"/>
    <x v="0"/>
    <n v="5456"/>
    <d v="2026-02-21T00:00:00"/>
    <s v="BR NAT Vanilla 6-1.5QT"/>
    <x v="6"/>
    <n v="8.5199999999999998E-3"/>
    <n v="176"/>
    <x v="0"/>
    <x v="0"/>
    <n v="1"/>
    <n v="5456"/>
    <n v="46.485120000000002"/>
    <n v="31"/>
    <s v="Feb"/>
    <x v="5"/>
    <m/>
    <m/>
  </r>
  <r>
    <n v="68851107"/>
    <x v="0"/>
    <n v="5245"/>
    <d v="2026-02-22T00:00:00"/>
    <s v="BR NAT Vanilla 6-1.5QT"/>
    <x v="6"/>
    <n v="8.5199999999999998E-3"/>
    <n v="176"/>
    <x v="0"/>
    <x v="0"/>
    <n v="1"/>
    <n v="5245"/>
    <n v="44.687399999999997"/>
    <n v="29.801136363636363"/>
    <s v="Feb"/>
    <x v="6"/>
    <m/>
    <m/>
  </r>
  <r>
    <n v="68851107"/>
    <x v="0"/>
    <n v="704"/>
    <d v="2026-02-22T00:00:00"/>
    <s v="BR NAT Vanilla 6-1.5QT"/>
    <x v="6"/>
    <n v="8.5199999999999998E-3"/>
    <n v="176"/>
    <x v="0"/>
    <x v="0"/>
    <n v="1"/>
    <n v="704"/>
    <n v="5.9980799999999999"/>
    <n v="4"/>
    <s v="Feb"/>
    <x v="6"/>
    <m/>
    <m/>
  </r>
  <r>
    <n v="68851107"/>
    <x v="0"/>
    <n v="3317"/>
    <d v="2026-02-11T00:00:00"/>
    <s v="BR NAT Vanilla 6-1.5QT"/>
    <x v="6"/>
    <n v="8.5199999999999998E-3"/>
    <n v="176"/>
    <x v="0"/>
    <x v="0"/>
    <n v="1"/>
    <n v="3317"/>
    <n v="28.260839999999998"/>
    <n v="18.84659090909091"/>
    <s v="Feb"/>
    <x v="7"/>
    <m/>
    <m/>
  </r>
  <r>
    <n v="68852583"/>
    <x v="0"/>
    <n v="1584"/>
    <d v="2026-02-11T00:00:00"/>
    <s v="KL Cookies and Creme Bar 12-6PK"/>
    <x v="20"/>
    <n v="8.5199999999999998E-3"/>
    <n v="132"/>
    <x v="1"/>
    <x v="2"/>
    <n v="1"/>
    <n v="1584"/>
    <n v="13.49568"/>
    <n v="12"/>
    <s v="Feb"/>
    <x v="7"/>
    <m/>
    <m/>
  </r>
  <r>
    <n v="68852583"/>
    <x v="0"/>
    <n v="3141"/>
    <d v="2026-02-12T00:00:00"/>
    <s v="KL Cookies and Creme Bar 12-6PK"/>
    <x v="20"/>
    <n v="8.5199999999999998E-3"/>
    <n v="132"/>
    <x v="1"/>
    <x v="2"/>
    <n v="1"/>
    <n v="3141"/>
    <n v="26.761319999999998"/>
    <n v="23.795454545454547"/>
    <s v="Feb"/>
    <x v="7"/>
    <m/>
    <m/>
  </r>
  <r>
    <n v="68852583"/>
    <x v="0"/>
    <n v="1993"/>
    <d v="2026-02-11T00:00:00"/>
    <s v="KL Cookies and Creme Bar 12-6PK"/>
    <x v="20"/>
    <n v="8.5199999999999998E-3"/>
    <n v="132"/>
    <x v="1"/>
    <x v="2"/>
    <n v="1"/>
    <n v="1993"/>
    <n v="16.980360000000001"/>
    <n v="15.098484848484848"/>
    <s v="Feb"/>
    <x v="7"/>
    <m/>
    <m/>
  </r>
  <r>
    <n v="68852583"/>
    <x v="0"/>
    <n v="2555"/>
    <d v="2026-02-14T00:00:00"/>
    <s v="KL Cookies and Creme Bar 12-6PK"/>
    <x v="20"/>
    <n v="8.5199999999999998E-3"/>
    <n v="132"/>
    <x v="1"/>
    <x v="2"/>
    <n v="1"/>
    <n v="2555"/>
    <n v="21.768599999999999"/>
    <n v="19.356060606060606"/>
    <s v="Feb"/>
    <x v="7"/>
    <m/>
    <m/>
  </r>
  <r>
    <n v="68852583"/>
    <x v="0"/>
    <n v="2112"/>
    <d v="2026-02-12T00:00:00"/>
    <s v="KL Cookies and Creme Bar 12-6PK"/>
    <x v="20"/>
    <n v="8.5199999999999998E-3"/>
    <n v="132"/>
    <x v="1"/>
    <x v="2"/>
    <n v="1"/>
    <n v="2112"/>
    <n v="17.994239999999998"/>
    <n v="16"/>
    <s v="Feb"/>
    <x v="7"/>
    <m/>
    <m/>
  </r>
  <r>
    <n v="68852583"/>
    <x v="0"/>
    <n v="3574"/>
    <d v="2026-02-13T00:00:00"/>
    <s v="KL Cookies and Creme Bar 12-6PK"/>
    <x v="20"/>
    <n v="8.5199999999999998E-3"/>
    <n v="132"/>
    <x v="1"/>
    <x v="2"/>
    <n v="1"/>
    <n v="3574"/>
    <n v="30.450479999999999"/>
    <n v="27.075757575757574"/>
    <s v="Feb"/>
    <x v="7"/>
    <m/>
    <m/>
  </r>
  <r>
    <n v="68852583"/>
    <x v="0"/>
    <n v="1320"/>
    <d v="2026-02-14T00:00:00"/>
    <s v="KL Cookies and Creme Bar 12-6PK"/>
    <x v="20"/>
    <n v="8.5199999999999998E-3"/>
    <n v="132"/>
    <x v="1"/>
    <x v="2"/>
    <n v="1"/>
    <n v="1320"/>
    <n v="11.2464"/>
    <n v="10"/>
    <s v="Feb"/>
    <x v="7"/>
    <m/>
    <m/>
  </r>
  <r>
    <n v="68852583"/>
    <x v="0"/>
    <n v="1796"/>
    <d v="2026-02-15T00:00:00"/>
    <s v="KL Cookies and Creme Bar 12-6PK"/>
    <x v="20"/>
    <n v="8.5199999999999998E-3"/>
    <n v="132"/>
    <x v="1"/>
    <x v="2"/>
    <n v="1"/>
    <n v="1796"/>
    <n v="15.301919999999999"/>
    <n v="13.606060606060606"/>
    <s v="Feb"/>
    <x v="5"/>
    <m/>
    <m/>
  </r>
  <r>
    <n v="68852583"/>
    <x v="0"/>
    <n v="396"/>
    <d v="2026-02-16T00:00:00"/>
    <s v="KL Cookies and Creme Bar 12-6PK"/>
    <x v="20"/>
    <n v="8.5199999999999998E-3"/>
    <n v="132"/>
    <x v="1"/>
    <x v="2"/>
    <n v="1"/>
    <n v="396"/>
    <n v="3.37392"/>
    <n v="3"/>
    <s v="Feb"/>
    <x v="5"/>
    <m/>
    <m/>
  </r>
  <r>
    <n v="68852591"/>
    <x v="0"/>
    <n v="1056"/>
    <d v="2026-02-22T00:00:00"/>
    <s v="KL Heath Bar 12-6PK"/>
    <x v="4"/>
    <n v="8.5199999999999998E-3"/>
    <n v="132"/>
    <x v="1"/>
    <x v="2"/>
    <n v="1"/>
    <n v="1056"/>
    <n v="8.9971199999999989"/>
    <n v="8"/>
    <s v="Feb"/>
    <x v="6"/>
    <m/>
    <m/>
  </r>
  <r>
    <n v="68881265"/>
    <x v="0"/>
    <n v="2991"/>
    <d v="2026-02-11T00:00:00"/>
    <s v="BR CS Mint Cookie Fudge 6 1.5QT"/>
    <x v="7"/>
    <n v="8.5199999999999998E-3"/>
    <n v="176"/>
    <x v="0"/>
    <x v="0"/>
    <n v="1"/>
    <n v="2991"/>
    <n v="25.483319999999999"/>
    <n v="16.994318181818183"/>
    <s v="Feb"/>
    <x v="7"/>
    <m/>
    <m/>
  </r>
  <r>
    <n v="68881265"/>
    <x v="0"/>
    <n v="8533"/>
    <d v="2026-02-12T00:00:00"/>
    <s v="BR CS Mint Cookie Fudge 6 1.5QT"/>
    <x v="7"/>
    <n v="8.5199999999999998E-3"/>
    <n v="176"/>
    <x v="0"/>
    <x v="0"/>
    <n v="1"/>
    <n v="8533"/>
    <n v="72.701160000000002"/>
    <n v="48.482954545454547"/>
    <s v="Feb"/>
    <x v="7"/>
    <m/>
    <m/>
  </r>
  <r>
    <n v="68881265"/>
    <x v="0"/>
    <n v="4400"/>
    <d v="2026-02-12T00:00:00"/>
    <s v="BR CS Mint Cookie Fudge 6 1.5QT"/>
    <x v="7"/>
    <n v="8.5199999999999998E-3"/>
    <n v="176"/>
    <x v="0"/>
    <x v="0"/>
    <n v="1"/>
    <n v="4400"/>
    <n v="37.488"/>
    <n v="25"/>
    <s v="Feb"/>
    <x v="7"/>
    <m/>
    <m/>
  </r>
  <r>
    <n v="68881265"/>
    <x v="0"/>
    <n v="7464"/>
    <d v="2026-02-13T00:00:00"/>
    <s v="BR CS Mint Cookie Fudge 6 1.5QT"/>
    <x v="7"/>
    <n v="8.5199999999999998E-3"/>
    <n v="176"/>
    <x v="0"/>
    <x v="0"/>
    <n v="1"/>
    <n v="7464"/>
    <n v="63.59328"/>
    <n v="42.409090909090907"/>
    <s v="Feb"/>
    <x v="7"/>
    <m/>
    <m/>
  </r>
  <r>
    <n v="68881265"/>
    <x v="0"/>
    <n v="3520"/>
    <d v="2026-02-13T00:00:00"/>
    <s v="BR CS Mint Cookie Fudge 6 1.5QT"/>
    <x v="7"/>
    <n v="8.5199999999999998E-3"/>
    <n v="176"/>
    <x v="0"/>
    <x v="0"/>
    <n v="1"/>
    <n v="3520"/>
    <n v="29.990400000000001"/>
    <n v="20"/>
    <s v="Feb"/>
    <x v="7"/>
    <m/>
    <m/>
  </r>
  <r>
    <n v="68881265"/>
    <x v="0"/>
    <n v="3739"/>
    <d v="2026-02-14T00:00:00"/>
    <s v="BR CS Mint Cookie Fudge 6 1.5QT"/>
    <x v="7"/>
    <n v="8.5199999999999998E-3"/>
    <n v="176"/>
    <x v="0"/>
    <x v="0"/>
    <n v="1"/>
    <n v="3739"/>
    <n v="31.856279999999998"/>
    <n v="21.244318181818183"/>
    <s v="Feb"/>
    <x v="7"/>
    <m/>
    <m/>
  </r>
  <r>
    <n v="68881265"/>
    <x v="0"/>
    <n v="2310"/>
    <d v="2026-02-10T00:00:00"/>
    <s v="BR CS Mint Cookie Fudge 6 1.5QT"/>
    <x v="7"/>
    <n v="8.5199999999999998E-3"/>
    <n v="176"/>
    <x v="0"/>
    <x v="0"/>
    <n v="1"/>
    <n v="2310"/>
    <n v="19.6812"/>
    <n v="13.125"/>
    <s v="Feb"/>
    <x v="7"/>
    <m/>
    <m/>
  </r>
  <r>
    <n v="68881265"/>
    <x v="0"/>
    <n v="4"/>
    <d v="2026-02-12T00:00:00"/>
    <s v="BR CS Mint Cookie Fudge 6 1.5QT"/>
    <x v="7"/>
    <n v="8.5199999999999998E-3"/>
    <n v="176"/>
    <x v="0"/>
    <x v="0"/>
    <n v="1"/>
    <n v="4"/>
    <n v="3.4079999999999999E-2"/>
    <n v="2.2727272727272728E-2"/>
    <s v="Feb"/>
    <x v="7"/>
    <m/>
    <m/>
  </r>
  <r>
    <n v="68881265"/>
    <x v="0"/>
    <n v="3891"/>
    <d v="2026-02-11T00:00:00"/>
    <s v="BR CS Mint Cookie Fudge 6 1.5QT"/>
    <x v="7"/>
    <n v="8.5199999999999998E-3"/>
    <n v="176"/>
    <x v="0"/>
    <x v="0"/>
    <n v="1"/>
    <n v="3891"/>
    <n v="33.151319999999998"/>
    <n v="22.107954545454547"/>
    <s v="Feb"/>
    <x v="7"/>
    <m/>
    <m/>
  </r>
  <r>
    <n v="68881265"/>
    <x v="0"/>
    <n v="1"/>
    <d v="2026-02-13T00:00:00"/>
    <s v="BR CS Mint Cookie Fudge 6 1.5QT"/>
    <x v="7"/>
    <n v="8.5199999999999998E-3"/>
    <n v="176"/>
    <x v="0"/>
    <x v="0"/>
    <n v="1"/>
    <n v="1"/>
    <n v="8.5199999999999998E-3"/>
    <n v="5.681818181818182E-3"/>
    <s v="Feb"/>
    <x v="7"/>
    <m/>
    <m/>
  </r>
  <r>
    <n v="68881270"/>
    <x v="0"/>
    <n v="5929"/>
    <d v="2026-02-02T00:00:00"/>
    <s v="BR Cookies and Cream 6 1.5QT"/>
    <x v="6"/>
    <n v="8.5199999999999998E-3"/>
    <n v="176"/>
    <x v="0"/>
    <x v="0"/>
    <n v="1"/>
    <n v="5929"/>
    <n v="50.515079999999998"/>
    <n v="33.6875"/>
    <s v="Feb"/>
    <x v="8"/>
    <m/>
    <m/>
  </r>
  <r>
    <n v="68881270"/>
    <x v="0"/>
    <n v="5444"/>
    <d v="2026-02-02T00:00:00"/>
    <s v="BR Cookies and Cream 6 1.5QT"/>
    <x v="6"/>
    <n v="8.5199999999999998E-3"/>
    <n v="176"/>
    <x v="0"/>
    <x v="0"/>
    <n v="1"/>
    <n v="5444"/>
    <n v="46.38288"/>
    <n v="30.931818181818183"/>
    <s v="Feb"/>
    <x v="8"/>
    <m/>
    <m/>
  </r>
  <r>
    <n v="68881270"/>
    <x v="0"/>
    <n v="8184"/>
    <d v="2026-02-03T00:00:00"/>
    <s v="BR Cookies and Cream 6 1.5QT"/>
    <x v="6"/>
    <n v="8.5199999999999998E-3"/>
    <n v="176"/>
    <x v="0"/>
    <x v="0"/>
    <n v="1"/>
    <n v="8184"/>
    <n v="69.727679999999992"/>
    <n v="46.5"/>
    <s v="Feb"/>
    <x v="8"/>
    <m/>
    <m/>
  </r>
  <r>
    <n v="68881270"/>
    <x v="0"/>
    <n v="133"/>
    <d v="2026-02-11T00:00:00"/>
    <s v="BR Cookies and Cream 6 1.5QT"/>
    <x v="6"/>
    <n v="8.5199999999999998E-3"/>
    <n v="176"/>
    <x v="0"/>
    <x v="0"/>
    <n v="1"/>
    <n v="133"/>
    <n v="1.1331599999999999"/>
    <n v="0.75568181818181823"/>
    <s v="Feb"/>
    <x v="7"/>
    <m/>
    <m/>
  </r>
  <r>
    <n v="68881270"/>
    <x v="0"/>
    <n v="3069"/>
    <d v="2026-02-03T00:00:00"/>
    <s v="BR Cookies and Cream 6 1.5QT"/>
    <x v="6"/>
    <n v="8.5199999999999998E-3"/>
    <n v="176"/>
    <x v="0"/>
    <x v="0"/>
    <n v="1"/>
    <n v="3069"/>
    <n v="26.147880000000001"/>
    <n v="17.4375"/>
    <s v="Feb"/>
    <x v="8"/>
    <m/>
    <m/>
  </r>
  <r>
    <n v="68881270"/>
    <x v="0"/>
    <n v="7672"/>
    <d v="2026-02-04T00:00:00"/>
    <s v="BR Cookies and Cream 6 1.5QT"/>
    <x v="6"/>
    <n v="8.5199999999999998E-3"/>
    <n v="176"/>
    <x v="0"/>
    <x v="0"/>
    <n v="1"/>
    <n v="7672"/>
    <n v="65.365439999999992"/>
    <n v="43.590909090909093"/>
    <s v="Feb"/>
    <x v="8"/>
    <m/>
    <m/>
  </r>
  <r>
    <n v="68881270"/>
    <x v="0"/>
    <n v="154"/>
    <d v="2026-02-05T00:00:00"/>
    <s v="BR Cookies and Cream 6 1.5QT"/>
    <x v="6"/>
    <n v="8.5199999999999998E-3"/>
    <n v="176"/>
    <x v="0"/>
    <x v="0"/>
    <n v="1"/>
    <n v="154"/>
    <n v="1.3120799999999999"/>
    <n v="0.875"/>
    <s v="Feb"/>
    <x v="8"/>
    <m/>
    <m/>
  </r>
  <r>
    <n v="68881270"/>
    <x v="0"/>
    <n v="5280"/>
    <d v="2026-02-04T00:00:00"/>
    <s v="BR Cookies and Cream 6 1.5QT"/>
    <x v="6"/>
    <n v="8.5199999999999998E-3"/>
    <n v="176"/>
    <x v="0"/>
    <x v="0"/>
    <n v="1"/>
    <n v="5280"/>
    <n v="44.985599999999998"/>
    <n v="30"/>
    <s v="Feb"/>
    <x v="8"/>
    <m/>
    <m/>
  </r>
  <r>
    <n v="68881270"/>
    <x v="0"/>
    <n v="7201"/>
    <d v="2026-02-05T00:00:00"/>
    <s v="BR Cookies and Cream 6 1.5QT"/>
    <x v="6"/>
    <n v="8.5199999999999998E-3"/>
    <n v="176"/>
    <x v="0"/>
    <x v="0"/>
    <n v="1"/>
    <n v="7201"/>
    <n v="61.352519999999998"/>
    <n v="40.914772727272727"/>
    <s v="Feb"/>
    <x v="8"/>
    <m/>
    <m/>
  </r>
  <r>
    <n v="68881270"/>
    <x v="0"/>
    <n v="5280"/>
    <d v="2026-02-05T00:00:00"/>
    <s v="BR Cookies and Cream 6 1.5QT"/>
    <x v="6"/>
    <n v="8.5199999999999998E-3"/>
    <n v="176"/>
    <x v="0"/>
    <x v="0"/>
    <n v="1"/>
    <n v="5280"/>
    <n v="44.985599999999998"/>
    <n v="30"/>
    <s v="Feb"/>
    <x v="8"/>
    <m/>
    <m/>
  </r>
  <r>
    <n v="68881270"/>
    <x v="0"/>
    <n v="3282"/>
    <d v="2026-02-06T00:00:00"/>
    <s v="BR Cookies and Cream 6 1.5QT"/>
    <x v="6"/>
    <n v="8.5199999999999998E-3"/>
    <n v="176"/>
    <x v="0"/>
    <x v="0"/>
    <n v="1"/>
    <n v="3282"/>
    <n v="27.96264"/>
    <n v="18.647727272727273"/>
    <s v="Feb"/>
    <x v="8"/>
    <m/>
    <m/>
  </r>
  <r>
    <n v="68881270"/>
    <x v="0"/>
    <n v="3225"/>
    <d v="2026-02-03T00:00:00"/>
    <s v="BR Cookies and Cream 6 1.5QT"/>
    <x v="7"/>
    <n v="8.5199999999999998E-3"/>
    <n v="176"/>
    <x v="0"/>
    <x v="0"/>
    <n v="1"/>
    <n v="3225"/>
    <n v="27.477"/>
    <n v="18.323863636363637"/>
    <s v="Feb"/>
    <x v="8"/>
    <m/>
    <m/>
  </r>
  <r>
    <n v="68881270"/>
    <x v="0"/>
    <n v="4048"/>
    <d v="2026-02-03T00:00:00"/>
    <s v="BR Cookies and Cream 6 1.5QT"/>
    <x v="7"/>
    <n v="8.5199999999999998E-3"/>
    <n v="176"/>
    <x v="0"/>
    <x v="0"/>
    <n v="1"/>
    <n v="4048"/>
    <n v="34.488959999999999"/>
    <n v="23"/>
    <s v="Feb"/>
    <x v="8"/>
    <m/>
    <m/>
  </r>
  <r>
    <n v="68881270"/>
    <x v="0"/>
    <n v="7369"/>
    <d v="2026-02-04T00:00:00"/>
    <s v="BR Cookies and Cream 6 1.5QT"/>
    <x v="7"/>
    <n v="8.5199999999999998E-3"/>
    <n v="176"/>
    <x v="0"/>
    <x v="0"/>
    <n v="1"/>
    <n v="7369"/>
    <n v="62.783879999999996"/>
    <n v="41.86931818181818"/>
    <s v="Feb"/>
    <x v="8"/>
    <m/>
    <m/>
  </r>
  <r>
    <n v="68881270"/>
    <x v="0"/>
    <n v="72"/>
    <d v="2026-02-05T00:00:00"/>
    <s v="BR Cookies and Cream 6 1.5QT"/>
    <x v="7"/>
    <n v="8.5199999999999998E-3"/>
    <n v="176"/>
    <x v="0"/>
    <x v="0"/>
    <n v="1"/>
    <n v="72"/>
    <n v="0.61343999999999999"/>
    <n v="0.40909090909090912"/>
    <s v="Feb"/>
    <x v="8"/>
    <m/>
    <m/>
  </r>
  <r>
    <n v="68881270"/>
    <x v="0"/>
    <n v="916"/>
    <d v="2026-02-04T00:00:00"/>
    <s v="BR Cookies and Cream 6 1.5QT"/>
    <x v="7"/>
    <n v="8.5199999999999998E-3"/>
    <n v="176"/>
    <x v="0"/>
    <x v="0"/>
    <n v="1"/>
    <n v="916"/>
    <n v="7.8043199999999997"/>
    <n v="5.2045454545454541"/>
    <s v="Feb"/>
    <x v="8"/>
    <m/>
    <m/>
  </r>
  <r>
    <n v="68881270"/>
    <x v="0"/>
    <n v="8440"/>
    <d v="2026-02-05T00:00:00"/>
    <s v="BR Cookies and Cream 6 1.5QT"/>
    <x v="7"/>
    <n v="8.5199999999999998E-3"/>
    <n v="176"/>
    <x v="0"/>
    <x v="0"/>
    <n v="1"/>
    <n v="8440"/>
    <n v="71.908799999999999"/>
    <n v="47.954545454545453"/>
    <s v="Feb"/>
    <x v="8"/>
    <m/>
    <m/>
  </r>
  <r>
    <n v="68881270"/>
    <x v="0"/>
    <n v="2288"/>
    <d v="2026-02-05T00:00:00"/>
    <s v="BR Cookies and Cream 6 1.5QT"/>
    <x v="7"/>
    <n v="8.5199999999999998E-3"/>
    <n v="176"/>
    <x v="0"/>
    <x v="0"/>
    <n v="1"/>
    <n v="2288"/>
    <n v="19.493759999999998"/>
    <n v="13"/>
    <s v="Feb"/>
    <x v="8"/>
    <m/>
    <m/>
  </r>
  <r>
    <n v="68881270"/>
    <x v="0"/>
    <n v="6807"/>
    <d v="2026-02-06T00:00:00"/>
    <s v="BR Cookies and Cream 6 1.5QT"/>
    <x v="7"/>
    <n v="8.5199999999999998E-3"/>
    <n v="176"/>
    <x v="0"/>
    <x v="0"/>
    <n v="1"/>
    <n v="6807"/>
    <n v="57.995640000000002"/>
    <n v="38.676136363636367"/>
    <s v="Feb"/>
    <x v="8"/>
    <m/>
    <m/>
  </r>
  <r>
    <n v="68881270"/>
    <x v="0"/>
    <n v="176"/>
    <d v="2026-02-01T00:00:00"/>
    <s v="BR Cookies and Cream 6 1.5QT"/>
    <x v="7"/>
    <n v="8.5199999999999998E-3"/>
    <n v="176"/>
    <x v="0"/>
    <x v="0"/>
    <n v="1"/>
    <n v="176"/>
    <n v="1.49952"/>
    <n v="1"/>
    <s v="Feb"/>
    <x v="8"/>
    <m/>
    <m/>
  </r>
  <r>
    <n v="68881270"/>
    <x v="0"/>
    <n v="7986"/>
    <d v="2026-02-02T00:00:00"/>
    <s v="BR Cookies and Cream 6 1.5QT"/>
    <x v="7"/>
    <n v="8.5199999999999998E-3"/>
    <n v="176"/>
    <x v="0"/>
    <x v="0"/>
    <n v="1"/>
    <n v="7986"/>
    <n v="68.040719999999993"/>
    <n v="45.375"/>
    <s v="Feb"/>
    <x v="8"/>
    <m/>
    <m/>
  </r>
  <r>
    <n v="68899825"/>
    <x v="0"/>
    <n v="4356"/>
    <d v="2026-01-29T00:00:00"/>
    <s v="BR CHOC Chip 6 1.5QT"/>
    <x v="7"/>
    <n v="8.513999999999999E-3"/>
    <n v="176"/>
    <x v="0"/>
    <x v="0"/>
    <n v="1"/>
    <n v="4356"/>
    <n v="37.086983999999994"/>
    <n v="24.75"/>
    <s v="Jan"/>
    <x v="4"/>
    <m/>
    <m/>
  </r>
  <r>
    <n v="68899825"/>
    <x v="0"/>
    <n v="7646"/>
    <d v="2026-01-30T00:00:00"/>
    <s v="BR CHOC Chip 6 1.5QT"/>
    <x v="7"/>
    <n v="8.513999999999999E-3"/>
    <n v="176"/>
    <x v="0"/>
    <x v="0"/>
    <n v="1"/>
    <n v="7646"/>
    <n v="65.098043999999987"/>
    <n v="43.44318181818182"/>
    <s v="Jan"/>
    <x v="4"/>
    <m/>
    <m/>
  </r>
  <r>
    <n v="68899825"/>
    <x v="0"/>
    <n v="3571"/>
    <d v="2026-01-30T00:00:00"/>
    <s v="BR CHOC Chip 6 1.5QT"/>
    <x v="7"/>
    <n v="8.513999999999999E-3"/>
    <n v="176"/>
    <x v="0"/>
    <x v="0"/>
    <n v="1"/>
    <n v="3571"/>
    <n v="30.403493999999995"/>
    <n v="20.289772727272727"/>
    <s v="Jan"/>
    <x v="4"/>
    <m/>
    <m/>
  </r>
  <r>
    <n v="68899825"/>
    <x v="0"/>
    <n v="8389"/>
    <d v="2026-01-31T00:00:00"/>
    <s v="BR CHOC Chip 6 1.5QT"/>
    <x v="7"/>
    <n v="8.513999999999999E-3"/>
    <n v="176"/>
    <x v="0"/>
    <x v="0"/>
    <n v="1"/>
    <n v="8389"/>
    <n v="71.423945999999987"/>
    <n v="47.664772727272727"/>
    <s v="Jan"/>
    <x v="4"/>
    <m/>
    <m/>
  </r>
  <r>
    <n v="68899825"/>
    <x v="0"/>
    <n v="6292"/>
    <d v="2026-01-31T00:00:00"/>
    <s v="BR CHOC Chip 6 1.5QT"/>
    <x v="7"/>
    <n v="8.513999999999999E-3"/>
    <n v="176"/>
    <x v="0"/>
    <x v="0"/>
    <n v="1"/>
    <n v="6292"/>
    <n v="53.570087999999991"/>
    <n v="35.75"/>
    <s v="Jan"/>
    <x v="4"/>
    <m/>
    <m/>
  </r>
  <r>
    <n v="68899825"/>
    <x v="0"/>
    <n v="6591"/>
    <d v="2026-02-01T00:00:00"/>
    <s v="BR CHOC Chip 6 1.5QT"/>
    <x v="7"/>
    <n v="8.513999999999999E-3"/>
    <n v="176"/>
    <x v="0"/>
    <x v="0"/>
    <n v="1"/>
    <n v="6591"/>
    <n v="56.115773999999995"/>
    <n v="37.448863636363633"/>
    <s v="Feb"/>
    <x v="8"/>
    <m/>
    <m/>
  </r>
  <r>
    <n v="68899825"/>
    <x v="0"/>
    <n v="2124"/>
    <d v="2026-02-01T00:00:00"/>
    <s v="BR CHOC Chip 6 1.5QT"/>
    <x v="7"/>
    <n v="8.513999999999999E-3"/>
    <n v="176"/>
    <x v="0"/>
    <x v="0"/>
    <n v="1"/>
    <n v="2124"/>
    <n v="18.083735999999998"/>
    <n v="12.068181818181818"/>
    <s v="Feb"/>
    <x v="8"/>
    <m/>
    <m/>
  </r>
  <r>
    <n v="68921994"/>
    <x v="0"/>
    <n v="1848"/>
    <d v="2026-02-09T00:00:00"/>
    <s v="KL Dark Chocolate Bar 12-6PK"/>
    <x v="4"/>
    <n v="9.5760000000000012E-3"/>
    <n v="132"/>
    <x v="1"/>
    <x v="2"/>
    <n v="1"/>
    <n v="1848"/>
    <n v="17.696448000000004"/>
    <n v="14"/>
    <s v="Feb"/>
    <x v="7"/>
    <m/>
    <m/>
  </r>
  <r>
    <n v="68921994"/>
    <x v="0"/>
    <n v="4117"/>
    <d v="2026-02-10T00:00:00"/>
    <s v="KL Dark Chocolate Bar 12-6PK"/>
    <x v="4"/>
    <n v="9.5760000000000012E-3"/>
    <n v="132"/>
    <x v="1"/>
    <x v="2"/>
    <n v="1"/>
    <n v="4117"/>
    <n v="39.424392000000005"/>
    <n v="31.189393939393938"/>
    <s v="Feb"/>
    <x v="7"/>
    <m/>
    <m/>
  </r>
  <r>
    <n v="68921994"/>
    <x v="0"/>
    <n v="636"/>
    <d v="2026-02-10T00:00:00"/>
    <s v="KL Dark Chocolate Bar 12-6PK"/>
    <x v="4"/>
    <n v="9.5760000000000012E-3"/>
    <n v="132"/>
    <x v="1"/>
    <x v="2"/>
    <n v="1"/>
    <n v="636"/>
    <n v="6.0903360000000006"/>
    <n v="4.8181818181818183"/>
    <s v="Feb"/>
    <x v="7"/>
    <m/>
    <m/>
  </r>
  <r>
    <n v="68921994"/>
    <x v="0"/>
    <n v="2696"/>
    <d v="2026-02-11T00:00:00"/>
    <s v="KL Dark Chocolate Bar 12-6PK"/>
    <x v="4"/>
    <n v="9.5760000000000012E-3"/>
    <n v="132"/>
    <x v="1"/>
    <x v="2"/>
    <n v="1"/>
    <n v="2696"/>
    <n v="25.816896000000003"/>
    <n v="20.424242424242426"/>
    <s v="Feb"/>
    <x v="7"/>
    <m/>
    <m/>
  </r>
  <r>
    <n v="68921994"/>
    <x v="0"/>
    <n v="1980"/>
    <d v="2026-02-11T00:00:00"/>
    <s v="KL Dark Chocolate Bar 12-6PK"/>
    <x v="4"/>
    <n v="9.5760000000000012E-3"/>
    <n v="132"/>
    <x v="1"/>
    <x v="2"/>
    <n v="1"/>
    <n v="1980"/>
    <n v="18.960480000000004"/>
    <n v="15"/>
    <s v="Feb"/>
    <x v="7"/>
    <m/>
    <m/>
  </r>
  <r>
    <n v="68921994"/>
    <x v="0"/>
    <n v="3914"/>
    <d v="2026-02-12T00:00:00"/>
    <s v="KL Dark Chocolate Bar 12-6PK"/>
    <x v="4"/>
    <n v="9.5760000000000012E-3"/>
    <n v="132"/>
    <x v="1"/>
    <x v="2"/>
    <n v="1"/>
    <n v="3914"/>
    <n v="37.480464000000005"/>
    <n v="29.651515151515152"/>
    <s v="Feb"/>
    <x v="7"/>
    <m/>
    <m/>
  </r>
  <r>
    <n v="68921994"/>
    <x v="0"/>
    <n v="2376"/>
    <d v="2026-02-12T00:00:00"/>
    <s v="KL Dark Chocolate Bar 12-6PK"/>
    <x v="4"/>
    <n v="9.5760000000000012E-3"/>
    <n v="132"/>
    <x v="1"/>
    <x v="2"/>
    <n v="1"/>
    <n v="2376"/>
    <n v="22.752576000000001"/>
    <n v="18"/>
    <s v="Feb"/>
    <x v="7"/>
    <m/>
    <m/>
  </r>
  <r>
    <n v="68921994"/>
    <x v="0"/>
    <n v="3099"/>
    <d v="2026-02-13T00:00:00"/>
    <s v="KL Dark Chocolate Bar 12-6PK"/>
    <x v="4"/>
    <n v="9.5760000000000012E-3"/>
    <n v="132"/>
    <x v="1"/>
    <x v="2"/>
    <n v="1"/>
    <n v="3099"/>
    <n v="29.676024000000005"/>
    <n v="23.477272727272727"/>
    <s v="Feb"/>
    <x v="7"/>
    <m/>
    <m/>
  </r>
  <r>
    <n v="68921994"/>
    <x v="0"/>
    <n v="1848"/>
    <d v="2026-02-13T00:00:00"/>
    <s v="KL Dark Chocolate Bar 12-6PK"/>
    <x v="4"/>
    <n v="9.5760000000000012E-3"/>
    <n v="132"/>
    <x v="1"/>
    <x v="2"/>
    <n v="1"/>
    <n v="1848"/>
    <n v="17.696448000000004"/>
    <n v="14"/>
    <s v="Feb"/>
    <x v="7"/>
    <m/>
    <m/>
  </r>
  <r>
    <n v="68921994"/>
    <x v="0"/>
    <n v="4086"/>
    <d v="2026-02-14T00:00:00"/>
    <s v="KL Dark Chocolate Bar 12-6PK"/>
    <x v="4"/>
    <n v="9.5760000000000012E-3"/>
    <n v="132"/>
    <x v="1"/>
    <x v="2"/>
    <n v="1"/>
    <n v="4086"/>
    <n v="39.127536000000006"/>
    <n v="30.954545454545453"/>
    <s v="Feb"/>
    <x v="7"/>
    <m/>
    <m/>
  </r>
  <r>
    <n v="68921994"/>
    <x v="0"/>
    <n v="1937"/>
    <d v="2026-02-14T00:00:00"/>
    <s v="KL Dark Chocolate Bar 12-6PK"/>
    <x v="4"/>
    <n v="9.5760000000000012E-3"/>
    <n v="132"/>
    <x v="1"/>
    <x v="2"/>
    <n v="1"/>
    <n v="1937"/>
    <n v="18.548712000000002"/>
    <n v="14.674242424242424"/>
    <s v="Feb"/>
    <x v="7"/>
    <m/>
    <m/>
  </r>
  <r>
    <n v="68921994"/>
    <x v="0"/>
    <n v="35"/>
    <d v="2026-02-17T00:00:00"/>
    <s v="KL Dark Chocolate Bar 12-6PK"/>
    <x v="4"/>
    <n v="9.5760000000000012E-3"/>
    <n v="132"/>
    <x v="1"/>
    <x v="2"/>
    <n v="1"/>
    <n v="35"/>
    <n v="0.33516000000000001"/>
    <n v="0.26515151515151514"/>
    <s v="Feb"/>
    <x v="5"/>
    <m/>
    <m/>
  </r>
  <r>
    <n v="68921994"/>
    <x v="0"/>
    <n v="1930"/>
    <d v="2026-02-15T00:00:00"/>
    <s v="KL Dark Chocolate Bar 12-6PK"/>
    <x v="4"/>
    <n v="9.5760000000000012E-3"/>
    <n v="132"/>
    <x v="1"/>
    <x v="2"/>
    <n v="1"/>
    <n v="1930"/>
    <n v="18.481680000000001"/>
    <n v="14.621212121212121"/>
    <s v="Feb"/>
    <x v="5"/>
    <m/>
    <m/>
  </r>
  <r>
    <n v="68921994"/>
    <x v="0"/>
    <n v="1437"/>
    <d v="2026-02-15T00:00:00"/>
    <s v="KL Dark Chocolate Bar 12-6PK"/>
    <x v="4"/>
    <n v="9.5760000000000012E-3"/>
    <n v="132"/>
    <x v="1"/>
    <x v="2"/>
    <n v="1"/>
    <n v="1437"/>
    <n v="13.760712000000002"/>
    <n v="10.886363636363637"/>
    <s v="Feb"/>
    <x v="5"/>
    <m/>
    <m/>
  </r>
  <r>
    <n v="69551489"/>
    <x v="0"/>
    <n v="1078"/>
    <d v="2026-02-09T00:00:00"/>
    <s v="GOOD HUMOR REESE BAR 6CT"/>
    <x v="15"/>
    <n v="3.8959999999999997E-3"/>
    <n v="154"/>
    <x v="7"/>
    <x v="8"/>
    <n v="1"/>
    <n v="1078"/>
    <n v="4.1998879999999996"/>
    <n v="7"/>
    <s v="Feb"/>
    <x v="7"/>
    <m/>
    <m/>
  </r>
  <r>
    <n v="69551489"/>
    <x v="0"/>
    <n v="3076"/>
    <d v="2026-02-10T00:00:00"/>
    <s v="GOOD HUMOR REESE BAR 6CT"/>
    <x v="15"/>
    <n v="3.8959999999999997E-3"/>
    <n v="154"/>
    <x v="7"/>
    <x v="8"/>
    <n v="1"/>
    <n v="3076"/>
    <n v="11.984095999999999"/>
    <n v="19.974025974025974"/>
    <s v="Feb"/>
    <x v="7"/>
    <m/>
    <m/>
  </r>
  <r>
    <n v="69551489"/>
    <x v="0"/>
    <n v="1691"/>
    <d v="2026-02-10T00:00:00"/>
    <s v="GOOD HUMOR REESE BAR 6CT"/>
    <x v="15"/>
    <n v="3.8959999999999997E-3"/>
    <n v="154"/>
    <x v="7"/>
    <x v="8"/>
    <n v="1"/>
    <n v="1691"/>
    <n v="6.5881359999999995"/>
    <n v="10.980519480519481"/>
    <s v="Feb"/>
    <x v="7"/>
    <m/>
    <m/>
  </r>
  <r>
    <n v="69551489"/>
    <x v="0"/>
    <n v="2743"/>
    <d v="2026-02-11T00:00:00"/>
    <s v="GOOD HUMOR REESE BAR 6CT"/>
    <x v="15"/>
    <n v="3.8959999999999997E-3"/>
    <n v="154"/>
    <x v="7"/>
    <x v="8"/>
    <n v="1"/>
    <n v="2743"/>
    <n v="10.686727999999999"/>
    <n v="17.811688311688311"/>
    <s v="Feb"/>
    <x v="7"/>
    <m/>
    <m/>
  </r>
  <r>
    <n v="69551489"/>
    <x v="0"/>
    <n v="1848"/>
    <d v="2026-02-11T00:00:00"/>
    <s v="GOOD HUMOR REESE BAR 6CT"/>
    <x v="15"/>
    <n v="3.8959999999999997E-3"/>
    <n v="154"/>
    <x v="7"/>
    <x v="8"/>
    <n v="1"/>
    <n v="1848"/>
    <n v="7.1998079999999991"/>
    <n v="12"/>
    <s v="Feb"/>
    <x v="7"/>
    <m/>
    <m/>
  </r>
  <r>
    <n v="69551489"/>
    <x v="0"/>
    <n v="2687"/>
    <d v="2026-02-12T00:00:00"/>
    <s v="GOOD HUMOR REESE BAR 6CT"/>
    <x v="15"/>
    <n v="3.8959999999999997E-3"/>
    <n v="154"/>
    <x v="7"/>
    <x v="8"/>
    <n v="1"/>
    <n v="2687"/>
    <n v="10.468551999999999"/>
    <n v="17.448051948051948"/>
    <s v="Feb"/>
    <x v="7"/>
    <m/>
    <m/>
  </r>
  <r>
    <n v="69551489"/>
    <x v="0"/>
    <n v="1385"/>
    <d v="2026-02-12T00:00:00"/>
    <s v="GOOD HUMOR REESE BAR 6CT"/>
    <x v="15"/>
    <n v="3.8959999999999997E-3"/>
    <n v="154"/>
    <x v="7"/>
    <x v="8"/>
    <n v="1"/>
    <n v="1385"/>
    <n v="5.3959599999999996"/>
    <n v="8.9935064935064943"/>
    <s v="Feb"/>
    <x v="7"/>
    <m/>
    <m/>
  </r>
  <r>
    <n v="69551489"/>
    <x v="0"/>
    <n v="3077"/>
    <d v="2026-02-13T00:00:00"/>
    <s v="GOOD HUMOR REESE BAR 6CT"/>
    <x v="15"/>
    <n v="3.8959999999999997E-3"/>
    <n v="154"/>
    <x v="7"/>
    <x v="8"/>
    <n v="1"/>
    <n v="3077"/>
    <n v="11.987991999999998"/>
    <n v="19.980519480519479"/>
    <s v="Feb"/>
    <x v="7"/>
    <m/>
    <m/>
  </r>
  <r>
    <n v="69551489"/>
    <x v="0"/>
    <n v="2464"/>
    <d v="2026-02-13T00:00:00"/>
    <s v="GOOD HUMOR REESE BAR 6CT"/>
    <x v="15"/>
    <n v="3.8959999999999997E-3"/>
    <n v="154"/>
    <x v="7"/>
    <x v="8"/>
    <n v="1"/>
    <n v="2464"/>
    <n v="9.5997439999999994"/>
    <n v="16"/>
    <s v="Feb"/>
    <x v="7"/>
    <m/>
    <m/>
  </r>
  <r>
    <n v="69551489"/>
    <x v="0"/>
    <n v="1798"/>
    <d v="2026-02-14T00:00:00"/>
    <s v="GOOD HUMOR REESE BAR 6CT"/>
    <x v="15"/>
    <n v="3.8959999999999997E-3"/>
    <n v="154"/>
    <x v="7"/>
    <x v="8"/>
    <n v="1"/>
    <n v="1798"/>
    <n v="7.0050079999999992"/>
    <n v="11.675324675324676"/>
    <s v="Feb"/>
    <x v="7"/>
    <m/>
    <m/>
  </r>
  <r>
    <n v="69551489"/>
    <x v="0"/>
    <n v="1386"/>
    <d v="2026-02-16T00:00:00"/>
    <s v="GOOD HUMOR REESE BAR 6CT"/>
    <x v="15"/>
    <n v="3.8959999999999997E-3"/>
    <n v="154"/>
    <x v="7"/>
    <x v="8"/>
    <n v="1"/>
    <n v="1386"/>
    <n v="5.3998559999999998"/>
    <n v="9"/>
    <s v="Feb"/>
    <x v="5"/>
    <m/>
    <m/>
  </r>
  <r>
    <n v="69551489"/>
    <x v="0"/>
    <n v="3068"/>
    <d v="2026-02-17T00:00:00"/>
    <s v="GOOD HUMOR REESE BAR 6CT"/>
    <x v="15"/>
    <n v="3.8959999999999997E-3"/>
    <n v="154"/>
    <x v="7"/>
    <x v="8"/>
    <n v="1"/>
    <n v="3068"/>
    <n v="11.952928"/>
    <n v="19.922077922077921"/>
    <s v="Feb"/>
    <x v="5"/>
    <m/>
    <m/>
  </r>
  <r>
    <n v="69551489"/>
    <x v="0"/>
    <n v="1540"/>
    <d v="2026-02-17T00:00:00"/>
    <s v="GOOD HUMOR REESE BAR 6CT"/>
    <x v="15"/>
    <n v="3.8959999999999997E-3"/>
    <n v="154"/>
    <x v="7"/>
    <x v="8"/>
    <n v="1"/>
    <n v="1540"/>
    <n v="5.9998399999999998"/>
    <n v="10"/>
    <s v="Feb"/>
    <x v="5"/>
    <m/>
    <m/>
  </r>
  <r>
    <n v="69551489"/>
    <x v="0"/>
    <n v="3297"/>
    <d v="2026-02-18T00:00:00"/>
    <s v="GOOD HUMOR REESE BAR 6CT"/>
    <x v="15"/>
    <n v="3.8959999999999997E-3"/>
    <n v="154"/>
    <x v="7"/>
    <x v="8"/>
    <n v="1"/>
    <n v="3297"/>
    <n v="12.845111999999999"/>
    <n v="21.40909090909091"/>
    <s v="Feb"/>
    <x v="5"/>
    <m/>
    <m/>
  </r>
  <r>
    <n v="69551489"/>
    <x v="0"/>
    <n v="1386"/>
    <d v="2026-02-18T00:00:00"/>
    <s v="GOOD HUMOR REESE BAR 6CT"/>
    <x v="15"/>
    <n v="3.8959999999999997E-3"/>
    <n v="154"/>
    <x v="7"/>
    <x v="8"/>
    <n v="1"/>
    <n v="1386"/>
    <n v="5.3998559999999998"/>
    <n v="9"/>
    <s v="Feb"/>
    <x v="5"/>
    <m/>
    <m/>
  </r>
  <r>
    <n v="69551489"/>
    <x v="0"/>
    <n v="2792"/>
    <d v="2026-02-19T00:00:00"/>
    <s v="GOOD HUMOR REESE BAR 6CT"/>
    <x v="15"/>
    <n v="3.8959999999999997E-3"/>
    <n v="154"/>
    <x v="7"/>
    <x v="8"/>
    <n v="1"/>
    <n v="2792"/>
    <n v="10.877631999999998"/>
    <n v="18.129870129870131"/>
    <s v="Feb"/>
    <x v="5"/>
    <m/>
    <m/>
  </r>
  <r>
    <n v="69551489"/>
    <x v="0"/>
    <n v="112"/>
    <d v="2026-02-20T00:00:00"/>
    <s v="GOOD HUMOR REESE BAR 6CT"/>
    <x v="15"/>
    <n v="3.8959999999999997E-3"/>
    <n v="154"/>
    <x v="7"/>
    <x v="8"/>
    <n v="1"/>
    <n v="112"/>
    <n v="0.43635199999999996"/>
    <n v="0.72727272727272729"/>
    <s v="Feb"/>
    <x v="5"/>
    <m/>
    <m/>
  </r>
  <r>
    <n v="69551489"/>
    <x v="0"/>
    <n v="1385"/>
    <d v="2026-02-20T00:00:00"/>
    <s v="GOOD HUMOR REESE BAR 6CT"/>
    <x v="15"/>
    <n v="3.8959999999999997E-3"/>
    <n v="154"/>
    <x v="7"/>
    <x v="8"/>
    <n v="1"/>
    <n v="1385"/>
    <n v="5.3959599999999996"/>
    <n v="8.9935064935064943"/>
    <s v="Feb"/>
    <x v="5"/>
    <m/>
    <m/>
  </r>
  <r>
    <n v="69551489"/>
    <x v="0"/>
    <n v="2552"/>
    <d v="2026-02-21T00:00:00"/>
    <s v="GOOD HUMOR REESE BAR 6CT"/>
    <x v="15"/>
    <n v="3.8959999999999997E-3"/>
    <n v="154"/>
    <x v="7"/>
    <x v="8"/>
    <n v="1"/>
    <n v="2552"/>
    <n v="9.9425919999999994"/>
    <n v="16.571428571428573"/>
    <s v="Feb"/>
    <x v="5"/>
    <m/>
    <m/>
  </r>
  <r>
    <n v="69568828"/>
    <x v="0"/>
    <n v="5280"/>
    <d v="2026-02-06T00:00:00"/>
    <s v="BR CS Vanilla 6 1.5QT"/>
    <x v="6"/>
    <n v="8.5199999999999998E-3"/>
    <n v="176"/>
    <x v="0"/>
    <x v="0"/>
    <n v="1"/>
    <n v="5280"/>
    <n v="44.985599999999998"/>
    <n v="30"/>
    <s v="Feb"/>
    <x v="8"/>
    <m/>
    <m/>
  </r>
  <r>
    <n v="69568828"/>
    <x v="0"/>
    <n v="8545"/>
    <d v="2026-02-07T00:00:00"/>
    <s v="BR CS Vanilla 6 1.5QT"/>
    <x v="6"/>
    <n v="8.5199999999999998E-3"/>
    <n v="176"/>
    <x v="0"/>
    <x v="0"/>
    <n v="1"/>
    <n v="8545"/>
    <n v="72.803399999999996"/>
    <n v="48.551136363636367"/>
    <s v="Feb"/>
    <x v="8"/>
    <m/>
    <m/>
  </r>
  <r>
    <n v="69568828"/>
    <x v="0"/>
    <n v="5058"/>
    <d v="2026-02-07T00:00:00"/>
    <s v="BR CS Vanilla 6 1.5QT"/>
    <x v="6"/>
    <n v="8.5199999999999998E-3"/>
    <n v="176"/>
    <x v="0"/>
    <x v="0"/>
    <n v="1"/>
    <n v="5058"/>
    <n v="43.094160000000002"/>
    <n v="28.738636363636363"/>
    <s v="Feb"/>
    <x v="8"/>
    <m/>
    <m/>
  </r>
  <r>
    <n v="69568828"/>
    <x v="0"/>
    <n v="9353"/>
    <d v="2026-02-08T00:00:00"/>
    <s v="BR CS Vanilla 6 1.5QT"/>
    <x v="6"/>
    <n v="8.5199999999999998E-3"/>
    <n v="176"/>
    <x v="0"/>
    <x v="0"/>
    <n v="1"/>
    <n v="9353"/>
    <n v="79.687560000000005"/>
    <n v="53.142045454545453"/>
    <s v="Feb"/>
    <x v="7"/>
    <m/>
    <m/>
  </r>
  <r>
    <n v="69568828"/>
    <x v="0"/>
    <n v="4613"/>
    <d v="2026-02-08T00:00:00"/>
    <s v="BR CS Vanilla 6 1.5QT"/>
    <x v="6"/>
    <n v="8.5199999999999998E-3"/>
    <n v="176"/>
    <x v="0"/>
    <x v="0"/>
    <n v="1"/>
    <n v="4613"/>
    <n v="39.302759999999999"/>
    <n v="26.210227272727273"/>
    <s v="Feb"/>
    <x v="7"/>
    <m/>
    <m/>
  </r>
  <r>
    <n v="69568828"/>
    <x v="0"/>
    <n v="8972"/>
    <d v="2026-02-09T00:00:00"/>
    <s v="BR CS Vanilla 6 1.5QT"/>
    <x v="6"/>
    <n v="8.5199999999999998E-3"/>
    <n v="176"/>
    <x v="0"/>
    <x v="0"/>
    <n v="1"/>
    <n v="8972"/>
    <n v="76.44144"/>
    <n v="50.977272727272727"/>
    <s v="Feb"/>
    <x v="7"/>
    <m/>
    <m/>
  </r>
  <r>
    <n v="69568828"/>
    <x v="0"/>
    <n v="4224"/>
    <d v="2026-02-09T00:00:00"/>
    <s v="BR CS Vanilla 6 1.5QT"/>
    <x v="6"/>
    <n v="8.5199999999999998E-3"/>
    <n v="176"/>
    <x v="0"/>
    <x v="0"/>
    <n v="1"/>
    <n v="4224"/>
    <n v="35.988479999999996"/>
    <n v="24"/>
    <s v="Feb"/>
    <x v="7"/>
    <m/>
    <m/>
  </r>
  <r>
    <n v="69568828"/>
    <x v="0"/>
    <n v="8533"/>
    <d v="2026-02-10T00:00:00"/>
    <s v="BR CS Vanilla 6 1.5QT"/>
    <x v="6"/>
    <n v="8.5199999999999998E-3"/>
    <n v="176"/>
    <x v="0"/>
    <x v="0"/>
    <n v="1"/>
    <n v="8533"/>
    <n v="72.701160000000002"/>
    <n v="48.482954545454547"/>
    <s v="Feb"/>
    <x v="7"/>
    <m/>
    <m/>
  </r>
  <r>
    <n v="69568828"/>
    <x v="0"/>
    <n v="4665"/>
    <d v="2026-02-10T00:00:00"/>
    <s v="BR CS Vanilla 6 1.5QT"/>
    <x v="6"/>
    <n v="8.5199999999999998E-3"/>
    <n v="176"/>
    <x v="0"/>
    <x v="0"/>
    <n v="1"/>
    <n v="4665"/>
    <n v="39.745799999999996"/>
    <n v="26.505681818181817"/>
    <s v="Feb"/>
    <x v="7"/>
    <m/>
    <m/>
  </r>
  <r>
    <n v="69568828"/>
    <x v="0"/>
    <n v="1756"/>
    <d v="2026-02-11T00:00:00"/>
    <s v="BR CS Vanilla 6 1.5QT"/>
    <x v="6"/>
    <n v="8.5199999999999998E-3"/>
    <n v="176"/>
    <x v="0"/>
    <x v="0"/>
    <n v="1"/>
    <n v="1756"/>
    <n v="14.961119999999999"/>
    <n v="9.9772727272727266"/>
    <s v="Feb"/>
    <x v="7"/>
    <m/>
    <m/>
  </r>
  <r>
    <n v="69600846"/>
    <x v="0"/>
    <n v="1449"/>
    <d v="2026-02-04T00:00:00"/>
    <s v="BR CO-B HA Reeses 6 1.5QT"/>
    <x v="12"/>
    <n v="8.5199999999999998E-3"/>
    <n v="154"/>
    <x v="0"/>
    <x v="0"/>
    <n v="1"/>
    <n v="1449"/>
    <n v="12.34548"/>
    <n v="9.4090909090909083"/>
    <s v="Feb"/>
    <x v="8"/>
    <m/>
    <m/>
  </r>
  <r>
    <n v="69600846"/>
    <x v="0"/>
    <n v="2127"/>
    <d v="2026-02-04T00:00:00"/>
    <s v="BR CO-B HA Reeses 6 1.5QT"/>
    <x v="12"/>
    <n v="8.5199999999999998E-3"/>
    <n v="154"/>
    <x v="0"/>
    <x v="0"/>
    <n v="1"/>
    <n v="2127"/>
    <n v="18.122039999999998"/>
    <n v="13.811688311688311"/>
    <s v="Feb"/>
    <x v="8"/>
    <m/>
    <m/>
  </r>
  <r>
    <n v="69600846"/>
    <x v="0"/>
    <n v="2225"/>
    <d v="2026-02-05T00:00:00"/>
    <s v="BR CO-B HA Reeses 6 1.5QT"/>
    <x v="12"/>
    <n v="8.5199999999999998E-3"/>
    <n v="154"/>
    <x v="0"/>
    <x v="0"/>
    <n v="1"/>
    <n v="2225"/>
    <n v="18.957000000000001"/>
    <n v="14.448051948051948"/>
    <s v="Feb"/>
    <x v="8"/>
    <m/>
    <m/>
  </r>
  <r>
    <n v="69600846"/>
    <x v="0"/>
    <n v="154"/>
    <d v="2026-02-09T00:00:00"/>
    <s v="BR CO-B HA Reeses 6 1.5QT"/>
    <x v="12"/>
    <n v="8.5199999999999998E-3"/>
    <n v="154"/>
    <x v="0"/>
    <x v="0"/>
    <n v="1"/>
    <n v="154"/>
    <n v="1.3120799999999999"/>
    <n v="1"/>
    <s v="Feb"/>
    <x v="7"/>
    <m/>
    <m/>
  </r>
  <r>
    <n v="69629468"/>
    <x v="0"/>
    <n v="2461"/>
    <d v="2026-01-30T00:00:00"/>
    <s v="PS Fudgesicle NSA 6-18PK"/>
    <x v="28"/>
    <n v="5.2680000000000001E-3"/>
    <n v="130"/>
    <x v="6"/>
    <x v="15"/>
    <n v="1"/>
    <n v="2461"/>
    <n v="12.964548000000001"/>
    <n v="18.930769230769229"/>
    <s v="Jan"/>
    <x v="4"/>
    <m/>
    <m/>
  </r>
  <r>
    <n v="69629468"/>
    <x v="0"/>
    <n v="2340"/>
    <d v="2026-01-30T00:00:00"/>
    <s v="PS Fudgesicle NSA 6-18PK"/>
    <x v="28"/>
    <n v="5.2680000000000001E-3"/>
    <n v="130"/>
    <x v="6"/>
    <x v="15"/>
    <n v="1"/>
    <n v="2340"/>
    <n v="12.327120000000001"/>
    <n v="18"/>
    <s v="Jan"/>
    <x v="4"/>
    <m/>
    <m/>
  </r>
  <r>
    <n v="69629468"/>
    <x v="0"/>
    <n v="796"/>
    <d v="2026-01-31T00:00:00"/>
    <s v="PS Fudgesicle NSA 6-18PK"/>
    <x v="28"/>
    <n v="5.2680000000000001E-3"/>
    <n v="130"/>
    <x v="6"/>
    <x v="15"/>
    <n v="1"/>
    <n v="796"/>
    <n v="4.1933280000000002"/>
    <n v="6.1230769230769226"/>
    <s v="Jan"/>
    <x v="4"/>
    <m/>
    <m/>
  </r>
  <r>
    <n v="69629468"/>
    <x v="0"/>
    <n v="1300"/>
    <d v="2026-02-03T00:00:00"/>
    <s v="PS Fudgesicle NSA 6-18PK"/>
    <x v="28"/>
    <n v="5.2680000000000001E-3"/>
    <n v="130"/>
    <x v="6"/>
    <x v="15"/>
    <n v="1"/>
    <n v="1300"/>
    <n v="6.8483999999999998"/>
    <n v="10"/>
    <s v="Feb"/>
    <x v="8"/>
    <m/>
    <m/>
  </r>
  <r>
    <n v="69629468"/>
    <x v="0"/>
    <n v="390"/>
    <d v="2026-02-04T00:00:00"/>
    <s v="PS Fudgesicle NSA 6-18PK"/>
    <x v="28"/>
    <n v="5.2680000000000001E-3"/>
    <n v="130"/>
    <x v="6"/>
    <x v="15"/>
    <n v="1"/>
    <n v="390"/>
    <n v="2.0545200000000001"/>
    <n v="3"/>
    <s v="Feb"/>
    <x v="8"/>
    <m/>
    <m/>
  </r>
  <r>
    <n v="69629468"/>
    <x v="0"/>
    <n v="1950"/>
    <d v="2026-02-03T00:00:00"/>
    <s v="PS Fudgesicle NSA 6-18PK"/>
    <x v="28"/>
    <n v="5.2680000000000001E-3"/>
    <n v="130"/>
    <x v="6"/>
    <x v="15"/>
    <n v="1"/>
    <n v="1950"/>
    <n v="10.272600000000001"/>
    <n v="15"/>
    <s v="Feb"/>
    <x v="8"/>
    <m/>
    <m/>
  </r>
  <r>
    <n v="69629468"/>
    <x v="0"/>
    <n v="3543"/>
    <d v="2026-02-04T00:00:00"/>
    <s v="PS Fudgesicle NSA 6-18PK"/>
    <x v="28"/>
    <n v="5.2680000000000001E-3"/>
    <n v="130"/>
    <x v="6"/>
    <x v="15"/>
    <n v="1"/>
    <n v="3543"/>
    <n v="18.664524"/>
    <n v="27.253846153846155"/>
    <s v="Feb"/>
    <x v="8"/>
    <m/>
    <m/>
  </r>
  <r>
    <n v="69629468"/>
    <x v="0"/>
    <n v="1170"/>
    <d v="2026-02-04T00:00:00"/>
    <s v="PS Fudgesicle NSA 6-18PK"/>
    <x v="28"/>
    <n v="5.2680000000000001E-3"/>
    <n v="130"/>
    <x v="6"/>
    <x v="15"/>
    <n v="1"/>
    <n v="1170"/>
    <n v="6.1635600000000004"/>
    <n v="9"/>
    <s v="Feb"/>
    <x v="8"/>
    <m/>
    <m/>
  </r>
  <r>
    <n v="69629468"/>
    <x v="0"/>
    <n v="3710"/>
    <d v="2026-02-05T00:00:00"/>
    <s v="PS Fudgesicle NSA 6-18PK"/>
    <x v="28"/>
    <n v="5.2680000000000001E-3"/>
    <n v="130"/>
    <x v="6"/>
    <x v="15"/>
    <n v="1"/>
    <n v="3710"/>
    <n v="19.544280000000001"/>
    <n v="28.53846153846154"/>
    <s v="Feb"/>
    <x v="8"/>
    <m/>
    <m/>
  </r>
  <r>
    <n v="69629468"/>
    <x v="0"/>
    <n v="2210"/>
    <d v="2026-02-05T00:00:00"/>
    <s v="PS Fudgesicle NSA 6-18PK"/>
    <x v="28"/>
    <n v="5.2680000000000001E-3"/>
    <n v="130"/>
    <x v="6"/>
    <x v="15"/>
    <n v="1"/>
    <n v="2210"/>
    <n v="11.64228"/>
    <n v="17"/>
    <s v="Feb"/>
    <x v="8"/>
    <m/>
    <m/>
  </r>
  <r>
    <n v="69629468"/>
    <x v="0"/>
    <n v="2739"/>
    <d v="2026-02-06T00:00:00"/>
    <s v="PS Fudgesicle NSA 6-18PK"/>
    <x v="28"/>
    <n v="5.2680000000000001E-3"/>
    <n v="130"/>
    <x v="6"/>
    <x v="15"/>
    <n v="1"/>
    <n v="2739"/>
    <n v="14.429052"/>
    <n v="21.069230769230771"/>
    <s v="Feb"/>
    <x v="8"/>
    <m/>
    <m/>
  </r>
  <r>
    <n v="69629468"/>
    <x v="0"/>
    <n v="1040"/>
    <d v="2026-02-09T00:00:00"/>
    <s v="PS Fudgesicle NSA 6-18PK"/>
    <x v="28"/>
    <n v="5.2680000000000001E-3"/>
    <n v="130"/>
    <x v="6"/>
    <x v="15"/>
    <n v="1"/>
    <n v="1040"/>
    <n v="5.47872"/>
    <n v="8"/>
    <s v="Feb"/>
    <x v="7"/>
    <m/>
    <m/>
  </r>
  <r>
    <n v="69629468"/>
    <x v="0"/>
    <n v="3390"/>
    <d v="2026-02-10T00:00:00"/>
    <s v="PS Fudgesicle NSA 6-18PK"/>
    <x v="28"/>
    <n v="5.2680000000000001E-3"/>
    <n v="130"/>
    <x v="6"/>
    <x v="15"/>
    <n v="1"/>
    <n v="3390"/>
    <n v="17.858519999999999"/>
    <n v="26.076923076923077"/>
    <s v="Feb"/>
    <x v="7"/>
    <m/>
    <m/>
  </r>
  <r>
    <n v="69629468"/>
    <x v="0"/>
    <n v="1950"/>
    <d v="2026-02-10T00:00:00"/>
    <s v="PS Fudgesicle NSA 6-18PK"/>
    <x v="28"/>
    <n v="5.2680000000000001E-3"/>
    <n v="130"/>
    <x v="6"/>
    <x v="15"/>
    <n v="1"/>
    <n v="1950"/>
    <n v="10.272600000000001"/>
    <n v="15"/>
    <s v="Feb"/>
    <x v="7"/>
    <m/>
    <m/>
  </r>
  <r>
    <n v="69629468"/>
    <x v="0"/>
    <n v="3621"/>
    <d v="2026-02-11T00:00:00"/>
    <s v="PS Fudgesicle NSA 6-18PK"/>
    <x v="28"/>
    <n v="5.2680000000000001E-3"/>
    <n v="130"/>
    <x v="6"/>
    <x v="15"/>
    <n v="1"/>
    <n v="3621"/>
    <n v="19.075427999999999"/>
    <n v="27.853846153846153"/>
    <s v="Feb"/>
    <x v="7"/>
    <m/>
    <m/>
  </r>
  <r>
    <n v="69629468"/>
    <x v="0"/>
    <n v="2080"/>
    <d v="2026-02-11T00:00:00"/>
    <s v="PS Fudgesicle NSA 6-18PK"/>
    <x v="28"/>
    <n v="5.2680000000000001E-3"/>
    <n v="130"/>
    <x v="6"/>
    <x v="15"/>
    <n v="1"/>
    <n v="2080"/>
    <n v="10.95744"/>
    <n v="16"/>
    <s v="Feb"/>
    <x v="7"/>
    <m/>
    <m/>
  </r>
  <r>
    <n v="69629468"/>
    <x v="0"/>
    <n v="2469"/>
    <d v="2026-02-12T00:00:00"/>
    <s v="PS Fudgesicle NSA 6-18PK"/>
    <x v="28"/>
    <n v="5.2680000000000001E-3"/>
    <n v="130"/>
    <x v="6"/>
    <x v="15"/>
    <n v="1"/>
    <n v="2469"/>
    <n v="13.006692000000001"/>
    <n v="18.992307692307691"/>
    <s v="Feb"/>
    <x v="7"/>
    <m/>
    <m/>
  </r>
  <r>
    <n v="69629468"/>
    <x v="0"/>
    <n v="1300"/>
    <d v="2026-02-12T00:00:00"/>
    <s v="PS Fudgesicle NSA 6-18PK"/>
    <x v="28"/>
    <n v="5.2680000000000001E-3"/>
    <n v="130"/>
    <x v="6"/>
    <x v="15"/>
    <n v="1"/>
    <n v="1300"/>
    <n v="6.8483999999999998"/>
    <n v="10"/>
    <s v="Feb"/>
    <x v="7"/>
    <m/>
    <m/>
  </r>
  <r>
    <n v="69629468"/>
    <x v="0"/>
    <n v="3268"/>
    <d v="2026-02-13T00:00:00"/>
    <s v="PS Fudgesicle NSA 6-18PK"/>
    <x v="28"/>
    <n v="5.2680000000000001E-3"/>
    <n v="130"/>
    <x v="6"/>
    <x v="15"/>
    <n v="1"/>
    <n v="3268"/>
    <n v="17.215824000000001"/>
    <n v="25.138461538461538"/>
    <s v="Feb"/>
    <x v="7"/>
    <m/>
    <m/>
  </r>
  <r>
    <n v="69629468"/>
    <x v="0"/>
    <n v="390"/>
    <d v="2026-02-16T00:00:00"/>
    <s v="PS Fudgesicle NSA 6-18PK"/>
    <x v="28"/>
    <n v="5.2680000000000001E-3"/>
    <n v="130"/>
    <x v="6"/>
    <x v="15"/>
    <n v="1"/>
    <n v="390"/>
    <n v="2.0545200000000001"/>
    <n v="3"/>
    <s v="Feb"/>
    <x v="5"/>
    <m/>
    <m/>
  </r>
  <r>
    <n v="69629468"/>
    <x v="0"/>
    <n v="2628"/>
    <d v="2026-02-17T00:00:00"/>
    <s v="PS Fudgesicle NSA 6-18PK"/>
    <x v="28"/>
    <n v="5.2680000000000001E-3"/>
    <n v="130"/>
    <x v="6"/>
    <x v="15"/>
    <n v="1"/>
    <n v="2628"/>
    <n v="13.844304000000001"/>
    <n v="20.215384615384615"/>
    <s v="Feb"/>
    <x v="5"/>
    <m/>
    <m/>
  </r>
  <r>
    <n v="69629468"/>
    <x v="0"/>
    <n v="1820"/>
    <d v="2026-02-17T00:00:00"/>
    <s v="PS Fudgesicle NSA 6-18PK"/>
    <x v="28"/>
    <n v="5.2680000000000001E-3"/>
    <n v="130"/>
    <x v="6"/>
    <x v="15"/>
    <n v="1"/>
    <n v="1820"/>
    <n v="9.5877599999999994"/>
    <n v="14"/>
    <s v="Feb"/>
    <x v="5"/>
    <m/>
    <m/>
  </r>
  <r>
    <n v="69629468"/>
    <x v="0"/>
    <n v="3182"/>
    <d v="2026-02-18T00:00:00"/>
    <s v="PS Fudgesicle NSA 6-18PK"/>
    <x v="28"/>
    <n v="5.2680000000000001E-3"/>
    <n v="130"/>
    <x v="6"/>
    <x v="15"/>
    <n v="1"/>
    <n v="3182"/>
    <n v="16.762775999999999"/>
    <n v="24.476923076923075"/>
    <s v="Feb"/>
    <x v="5"/>
    <m/>
    <m/>
  </r>
  <r>
    <n v="69629468"/>
    <x v="0"/>
    <n v="2080"/>
    <d v="2026-02-18T00:00:00"/>
    <s v="PS Fudgesicle NSA 6-18PK"/>
    <x v="28"/>
    <n v="5.2680000000000001E-3"/>
    <n v="130"/>
    <x v="6"/>
    <x v="15"/>
    <n v="1"/>
    <n v="2080"/>
    <n v="10.95744"/>
    <n v="16"/>
    <s v="Feb"/>
    <x v="5"/>
    <m/>
    <m/>
  </r>
  <r>
    <n v="69629468"/>
    <x v="0"/>
    <n v="3101"/>
    <d v="2026-02-19T00:00:00"/>
    <s v="PS Fudgesicle NSA 6-18PK"/>
    <x v="28"/>
    <n v="5.2680000000000001E-3"/>
    <n v="130"/>
    <x v="6"/>
    <x v="15"/>
    <n v="1"/>
    <n v="3101"/>
    <n v="16.336068000000001"/>
    <n v="23.853846153846153"/>
    <s v="Feb"/>
    <x v="5"/>
    <m/>
    <m/>
  </r>
  <r>
    <n v="69629468"/>
    <x v="0"/>
    <n v="2210"/>
    <d v="2026-02-19T00:00:00"/>
    <s v="PS Fudgesicle NSA 6-18PK"/>
    <x v="28"/>
    <n v="5.2680000000000001E-3"/>
    <n v="130"/>
    <x v="6"/>
    <x v="15"/>
    <n v="1"/>
    <n v="2210"/>
    <n v="11.64228"/>
    <n v="17"/>
    <s v="Feb"/>
    <x v="5"/>
    <m/>
    <m/>
  </r>
  <r>
    <n v="69629468"/>
    <x v="0"/>
    <n v="3485"/>
    <d v="2026-02-20T00:00:00"/>
    <s v="PS Fudgesicle NSA 6-18PK"/>
    <x v="28"/>
    <n v="5.2680000000000001E-3"/>
    <n v="130"/>
    <x v="6"/>
    <x v="15"/>
    <n v="1"/>
    <n v="3485"/>
    <n v="18.358979999999999"/>
    <n v="26.807692307692307"/>
    <s v="Feb"/>
    <x v="5"/>
    <m/>
    <m/>
  </r>
  <r>
    <n v="69629468"/>
    <x v="0"/>
    <n v="390"/>
    <d v="2026-02-20T00:00:00"/>
    <s v="PS Fudgesicle NSA 6-18PK"/>
    <x v="28"/>
    <n v="5.2680000000000001E-3"/>
    <n v="130"/>
    <x v="6"/>
    <x v="15"/>
    <n v="1"/>
    <n v="390"/>
    <n v="2.0545200000000001"/>
    <n v="3"/>
    <s v="Feb"/>
    <x v="5"/>
    <m/>
    <m/>
  </r>
  <r>
    <n v="69629468"/>
    <x v="0"/>
    <n v="18"/>
    <d v="2026-02-21T00:00:00"/>
    <s v="PS Fudgesicle NSA 6-18PK"/>
    <x v="28"/>
    <n v="5.2680000000000001E-3"/>
    <n v="130"/>
    <x v="6"/>
    <x v="15"/>
    <n v="1"/>
    <n v="18"/>
    <n v="9.4824000000000006E-2"/>
    <n v="0.13846153846153847"/>
    <s v="Feb"/>
    <x v="5"/>
    <m/>
    <m/>
  </r>
  <r>
    <n v="69629468"/>
    <x v="0"/>
    <n v="1170"/>
    <d v="2026-02-02T00:00:00"/>
    <s v="PS Fudgesicle NSA 6-18PK"/>
    <x v="28"/>
    <n v="5.2680000000000001E-3"/>
    <n v="130"/>
    <x v="6"/>
    <x v="15"/>
    <n v="1"/>
    <n v="1170"/>
    <n v="6.1635600000000004"/>
    <n v="9"/>
    <s v="Feb"/>
    <x v="8"/>
    <m/>
    <m/>
  </r>
  <r>
    <n v="69629468"/>
    <x v="0"/>
    <n v="7"/>
    <d v="2026-02-03T00:00:00"/>
    <s v="PS Fudgesicle NSA 6-18PK"/>
    <x v="28"/>
    <n v="5.2680000000000001E-3"/>
    <n v="130"/>
    <x v="6"/>
    <x v="15"/>
    <n v="1"/>
    <n v="7"/>
    <n v="3.6875999999999999E-2"/>
    <n v="5.3846153846153849E-2"/>
    <s v="Feb"/>
    <x v="8"/>
    <m/>
    <m/>
  </r>
  <r>
    <n v="69629468"/>
    <x v="0"/>
    <n v="2080"/>
    <d v="2026-01-31T00:00:00"/>
    <s v="PS Fudgesicle NSA 6-18PK"/>
    <x v="28"/>
    <n v="5.2680000000000001E-3"/>
    <n v="130"/>
    <x v="6"/>
    <x v="15"/>
    <n v="1"/>
    <n v="2080"/>
    <n v="10.95744"/>
    <n v="16"/>
    <s v="Jan"/>
    <x v="4"/>
    <m/>
    <m/>
  </r>
  <r>
    <n v="69629468"/>
    <x v="0"/>
    <n v="77"/>
    <d v="2026-02-01T00:00:00"/>
    <s v="PS Fudgesicle NSA 6-18PK"/>
    <x v="28"/>
    <n v="5.2680000000000001E-3"/>
    <n v="130"/>
    <x v="6"/>
    <x v="15"/>
    <n v="1"/>
    <n v="77"/>
    <n v="0.405636"/>
    <n v="0.59230769230769231"/>
    <s v="Feb"/>
    <x v="8"/>
    <m/>
    <m/>
  </r>
  <r>
    <n v="69725082"/>
    <x v="0"/>
    <n v="231"/>
    <d v="2026-01-28T00:00:00"/>
    <s v="PS OCG 6-18PK"/>
    <x v="32"/>
    <n v="5.2680000000000001E-3"/>
    <n v="130"/>
    <x v="6"/>
    <x v="15"/>
    <n v="1"/>
    <n v="231"/>
    <n v="1.2169080000000001"/>
    <n v="1.7769230769230768"/>
    <s v="Jan"/>
    <x v="4"/>
    <m/>
    <m/>
  </r>
  <r>
    <n v="69725082"/>
    <x v="0"/>
    <n v="1040"/>
    <d v="2026-01-28T00:00:00"/>
    <s v="PS OCG 6-18PK"/>
    <x v="32"/>
    <n v="5.2680000000000001E-3"/>
    <n v="130"/>
    <x v="6"/>
    <x v="15"/>
    <n v="1"/>
    <n v="1040"/>
    <n v="5.47872"/>
    <n v="8"/>
    <s v="Jan"/>
    <x v="4"/>
    <m/>
    <m/>
  </r>
  <r>
    <n v="69725082"/>
    <x v="0"/>
    <n v="3227"/>
    <d v="2026-01-29T00:00:00"/>
    <s v="PS OCG 6-18PK"/>
    <x v="32"/>
    <n v="5.2680000000000001E-3"/>
    <n v="130"/>
    <x v="6"/>
    <x v="15"/>
    <n v="1"/>
    <n v="3227"/>
    <n v="16.999836000000002"/>
    <n v="24.823076923076922"/>
    <s v="Jan"/>
    <x v="4"/>
    <m/>
    <m/>
  </r>
  <r>
    <n v="69725082"/>
    <x v="0"/>
    <n v="1950"/>
    <d v="2026-01-29T00:00:00"/>
    <s v="PS OCG 6-18PK"/>
    <x v="32"/>
    <n v="5.2680000000000001E-3"/>
    <n v="130"/>
    <x v="6"/>
    <x v="15"/>
    <n v="1"/>
    <n v="1950"/>
    <n v="10.272600000000001"/>
    <n v="15"/>
    <s v="Jan"/>
    <x v="4"/>
    <m/>
    <m/>
  </r>
  <r>
    <n v="69725082"/>
    <x v="0"/>
    <n v="2489"/>
    <d v="2026-01-30T00:00:00"/>
    <s v="PS OCG 6-18PK"/>
    <x v="32"/>
    <n v="5.2680000000000001E-3"/>
    <n v="130"/>
    <x v="6"/>
    <x v="15"/>
    <n v="1"/>
    <n v="2489"/>
    <n v="13.112052"/>
    <n v="19.146153846153847"/>
    <s v="Jan"/>
    <x v="4"/>
    <m/>
    <m/>
  </r>
  <r>
    <n v="69725082"/>
    <x v="0"/>
    <n v="1560"/>
    <d v="2026-01-30T00:00:00"/>
    <s v="PS OCG 6-18PK"/>
    <x v="32"/>
    <n v="5.2680000000000001E-3"/>
    <n v="130"/>
    <x v="6"/>
    <x v="15"/>
    <n v="1"/>
    <n v="1560"/>
    <n v="8.2180800000000005"/>
    <n v="12"/>
    <s v="Jan"/>
    <x v="4"/>
    <m/>
    <m/>
  </r>
  <r>
    <n v="69725082"/>
    <x v="0"/>
    <n v="2967"/>
    <d v="2026-01-31T00:00:00"/>
    <s v="PS OCG 6-18PK"/>
    <x v="32"/>
    <n v="5.2680000000000001E-3"/>
    <n v="130"/>
    <x v="6"/>
    <x v="15"/>
    <n v="1"/>
    <n v="2967"/>
    <n v="15.630155999999999"/>
    <n v="22.823076923076922"/>
    <s v="Jan"/>
    <x v="4"/>
    <m/>
    <m/>
  </r>
  <r>
    <n v="69725082"/>
    <x v="0"/>
    <n v="1040"/>
    <d v="2026-02-02T00:00:00"/>
    <s v="PS OCG 6-18PK"/>
    <x v="32"/>
    <n v="5.2680000000000001E-3"/>
    <n v="130"/>
    <x v="6"/>
    <x v="15"/>
    <n v="1"/>
    <n v="1040"/>
    <n v="5.47872"/>
    <n v="8"/>
    <s v="Feb"/>
    <x v="8"/>
    <m/>
    <m/>
  </r>
  <r>
    <n v="69725082"/>
    <x v="0"/>
    <n v="3312"/>
    <d v="2026-02-03T00:00:00"/>
    <s v="PS OCG 6-18PK"/>
    <x v="32"/>
    <n v="5.2680000000000001E-3"/>
    <n v="130"/>
    <x v="6"/>
    <x v="15"/>
    <n v="1"/>
    <n v="3312"/>
    <n v="17.447616"/>
    <n v="25.476923076923075"/>
    <s v="Feb"/>
    <x v="8"/>
    <m/>
    <m/>
  </r>
  <r>
    <n v="69725082"/>
    <x v="0"/>
    <n v="1430"/>
    <d v="2026-02-03T00:00:00"/>
    <s v="PS OCG 6-18PK"/>
    <x v="32"/>
    <n v="5.2680000000000001E-3"/>
    <n v="130"/>
    <x v="6"/>
    <x v="15"/>
    <n v="1"/>
    <n v="1430"/>
    <n v="7.5332400000000002"/>
    <n v="11"/>
    <s v="Feb"/>
    <x v="8"/>
    <m/>
    <m/>
  </r>
  <r>
    <n v="69725082"/>
    <x v="0"/>
    <n v="1267"/>
    <d v="2026-02-04T00:00:00"/>
    <s v="PS OCG 6-18PK"/>
    <x v="32"/>
    <n v="5.2680000000000001E-3"/>
    <n v="130"/>
    <x v="6"/>
    <x v="15"/>
    <n v="1"/>
    <n v="1267"/>
    <n v="6.6745559999999999"/>
    <n v="9.7461538461538453"/>
    <s v="Feb"/>
    <x v="8"/>
    <m/>
    <m/>
  </r>
  <r>
    <n v="69725082"/>
    <x v="0"/>
    <n v="1690"/>
    <d v="2026-02-04T00:00:00"/>
    <s v="PS OCG 6-18PK"/>
    <x v="32"/>
    <n v="5.2680000000000001E-3"/>
    <n v="130"/>
    <x v="6"/>
    <x v="15"/>
    <n v="1"/>
    <n v="1690"/>
    <n v="8.9029199999999999"/>
    <n v="13"/>
    <s v="Feb"/>
    <x v="8"/>
    <m/>
    <m/>
  </r>
  <r>
    <n v="69725082"/>
    <x v="0"/>
    <n v="3367"/>
    <d v="2026-02-05T00:00:00"/>
    <s v="PS OCG 6-18PK"/>
    <x v="32"/>
    <n v="5.2680000000000001E-3"/>
    <n v="130"/>
    <x v="6"/>
    <x v="15"/>
    <n v="1"/>
    <n v="3367"/>
    <n v="17.737356000000002"/>
    <n v="25.9"/>
    <s v="Feb"/>
    <x v="8"/>
    <m/>
    <m/>
  </r>
  <r>
    <n v="69725082"/>
    <x v="0"/>
    <n v="1820"/>
    <d v="2026-02-05T00:00:00"/>
    <s v="PS OCG 6-18PK"/>
    <x v="32"/>
    <n v="5.2680000000000001E-3"/>
    <n v="130"/>
    <x v="6"/>
    <x v="15"/>
    <n v="1"/>
    <n v="1820"/>
    <n v="9.5877599999999994"/>
    <n v="14"/>
    <s v="Feb"/>
    <x v="8"/>
    <m/>
    <m/>
  </r>
  <r>
    <n v="69725082"/>
    <x v="0"/>
    <n v="3510"/>
    <d v="2026-02-06T00:00:00"/>
    <s v="PS OCG 6-18PK"/>
    <x v="32"/>
    <n v="5.2680000000000001E-3"/>
    <n v="130"/>
    <x v="6"/>
    <x v="15"/>
    <n v="1"/>
    <n v="3510"/>
    <n v="18.490680000000001"/>
    <n v="27"/>
    <s v="Feb"/>
    <x v="8"/>
    <m/>
    <m/>
  </r>
  <r>
    <n v="69725082"/>
    <x v="0"/>
    <n v="1690"/>
    <d v="2026-02-06T00:00:00"/>
    <s v="PS OCG 6-18PK"/>
    <x v="32"/>
    <n v="5.2680000000000001E-3"/>
    <n v="130"/>
    <x v="6"/>
    <x v="15"/>
    <n v="1"/>
    <n v="1690"/>
    <n v="8.9029199999999999"/>
    <n v="13"/>
    <s v="Feb"/>
    <x v="8"/>
    <m/>
    <m/>
  </r>
  <r>
    <n v="69725082"/>
    <x v="0"/>
    <n v="3094"/>
    <d v="2026-02-07T00:00:00"/>
    <s v="PS OCG 6-18PK"/>
    <x v="32"/>
    <n v="5.2680000000000001E-3"/>
    <n v="130"/>
    <x v="6"/>
    <x v="15"/>
    <n v="1"/>
    <n v="3094"/>
    <n v="16.299192000000001"/>
    <n v="23.8"/>
    <s v="Feb"/>
    <x v="8"/>
    <m/>
    <m/>
  </r>
  <r>
    <n v="69725082"/>
    <x v="0"/>
    <n v="390"/>
    <d v="2026-02-09T00:00:00"/>
    <s v="PS OCG 6-18PK"/>
    <x v="29"/>
    <n v="5.2680000000000001E-3"/>
    <n v="130"/>
    <x v="6"/>
    <x v="15"/>
    <n v="1"/>
    <n v="390"/>
    <n v="2.0545200000000001"/>
    <n v="3"/>
    <s v="Feb"/>
    <x v="7"/>
    <m/>
    <m/>
  </r>
  <r>
    <n v="69725082"/>
    <x v="0"/>
    <n v="1297"/>
    <d v="2026-02-10T00:00:00"/>
    <s v="PS OCG 6-18PK"/>
    <x v="29"/>
    <n v="5.2680000000000001E-3"/>
    <n v="130"/>
    <x v="6"/>
    <x v="15"/>
    <n v="1"/>
    <n v="1297"/>
    <n v="6.8325960000000006"/>
    <n v="9.976923076923077"/>
    <s v="Feb"/>
    <x v="7"/>
    <m/>
    <m/>
  </r>
  <r>
    <n v="69725082"/>
    <x v="0"/>
    <n v="780"/>
    <d v="2026-02-10T00:00:00"/>
    <s v="PS OCG 6-18PK"/>
    <x v="29"/>
    <n v="5.2680000000000001E-3"/>
    <n v="130"/>
    <x v="6"/>
    <x v="15"/>
    <n v="1"/>
    <n v="780"/>
    <n v="4.1090400000000002"/>
    <n v="6"/>
    <s v="Feb"/>
    <x v="7"/>
    <m/>
    <m/>
  </r>
  <r>
    <n v="69725082"/>
    <x v="0"/>
    <n v="1977"/>
    <d v="2026-02-11T00:00:00"/>
    <s v="PS OCG 6-18PK"/>
    <x v="29"/>
    <n v="5.2680000000000001E-3"/>
    <n v="130"/>
    <x v="6"/>
    <x v="15"/>
    <n v="1"/>
    <n v="1977"/>
    <n v="10.414836000000001"/>
    <n v="15.207692307692307"/>
    <s v="Feb"/>
    <x v="7"/>
    <m/>
    <m/>
  </r>
  <r>
    <n v="69725082"/>
    <x v="0"/>
    <n v="780"/>
    <d v="2026-02-11T00:00:00"/>
    <s v="PS OCG 6-18PK"/>
    <x v="29"/>
    <n v="5.2680000000000001E-3"/>
    <n v="130"/>
    <x v="6"/>
    <x v="15"/>
    <n v="1"/>
    <n v="780"/>
    <n v="4.1090400000000002"/>
    <n v="6"/>
    <s v="Feb"/>
    <x v="7"/>
    <m/>
    <m/>
  </r>
  <r>
    <n v="69725082"/>
    <x v="0"/>
    <n v="1901"/>
    <d v="2026-02-12T00:00:00"/>
    <s v="PS OCG 6-18PK"/>
    <x v="29"/>
    <n v="5.2680000000000001E-3"/>
    <n v="130"/>
    <x v="6"/>
    <x v="15"/>
    <n v="1"/>
    <n v="1901"/>
    <n v="10.014468000000001"/>
    <n v="14.623076923076923"/>
    <s v="Feb"/>
    <x v="7"/>
    <m/>
    <m/>
  </r>
  <r>
    <n v="69725082"/>
    <x v="0"/>
    <n v="1820"/>
    <d v="2026-02-12T00:00:00"/>
    <s v="PS OCG 6-18PK"/>
    <x v="29"/>
    <n v="5.2680000000000001E-3"/>
    <n v="130"/>
    <x v="6"/>
    <x v="15"/>
    <n v="1"/>
    <n v="1820"/>
    <n v="9.5877599999999994"/>
    <n v="14"/>
    <s v="Feb"/>
    <x v="7"/>
    <m/>
    <m/>
  </r>
  <r>
    <n v="69725082"/>
    <x v="0"/>
    <n v="2315"/>
    <d v="2026-02-13T00:00:00"/>
    <s v="PS OCG 6-18PK"/>
    <x v="29"/>
    <n v="5.2680000000000001E-3"/>
    <n v="130"/>
    <x v="6"/>
    <x v="15"/>
    <n v="1"/>
    <n v="2315"/>
    <n v="12.19542"/>
    <n v="17.807692307692307"/>
    <s v="Feb"/>
    <x v="7"/>
    <m/>
    <m/>
  </r>
  <r>
    <n v="69725082"/>
    <x v="0"/>
    <n v="1690"/>
    <d v="2026-02-13T00:00:00"/>
    <s v="PS OCG 6-18PK"/>
    <x v="29"/>
    <n v="5.2680000000000001E-3"/>
    <n v="130"/>
    <x v="6"/>
    <x v="15"/>
    <n v="1"/>
    <n v="1690"/>
    <n v="8.9029199999999999"/>
    <n v="13"/>
    <s v="Feb"/>
    <x v="7"/>
    <m/>
    <m/>
  </r>
  <r>
    <n v="69725082"/>
    <x v="0"/>
    <n v="2580"/>
    <d v="2026-02-14T00:00:00"/>
    <s v="PS OCG 6-18PK"/>
    <x v="29"/>
    <n v="5.2680000000000001E-3"/>
    <n v="130"/>
    <x v="6"/>
    <x v="15"/>
    <n v="1"/>
    <n v="2580"/>
    <n v="13.59144"/>
    <n v="19.846153846153847"/>
    <s v="Feb"/>
    <x v="7"/>
    <m/>
    <m/>
  </r>
  <r>
    <n v="69725082"/>
    <x v="0"/>
    <n v="1690"/>
    <d v="2026-02-09T00:00:00"/>
    <s v="PS OCG 6-18PK"/>
    <x v="32"/>
    <n v="5.2680000000000001E-3"/>
    <n v="130"/>
    <x v="6"/>
    <x v="15"/>
    <n v="1"/>
    <n v="1690"/>
    <n v="8.9029199999999999"/>
    <n v="13"/>
    <s v="Feb"/>
    <x v="7"/>
    <m/>
    <m/>
  </r>
  <r>
    <n v="69725082"/>
    <x v="0"/>
    <n v="4011"/>
    <d v="2026-02-10T00:00:00"/>
    <s v="PS OCG 6-18PK"/>
    <x v="32"/>
    <n v="5.2680000000000001E-3"/>
    <n v="130"/>
    <x v="6"/>
    <x v="15"/>
    <n v="1"/>
    <n v="4011"/>
    <n v="21.129947999999999"/>
    <n v="30.853846153846153"/>
    <s v="Feb"/>
    <x v="7"/>
    <m/>
    <m/>
  </r>
  <r>
    <n v="69725082"/>
    <x v="0"/>
    <n v="2210"/>
    <d v="2026-02-10T00:00:00"/>
    <s v="PS OCG 6-18PK"/>
    <x v="32"/>
    <n v="5.2680000000000001E-3"/>
    <n v="130"/>
    <x v="6"/>
    <x v="15"/>
    <n v="1"/>
    <n v="2210"/>
    <n v="11.64228"/>
    <n v="17"/>
    <s v="Feb"/>
    <x v="7"/>
    <m/>
    <m/>
  </r>
  <r>
    <n v="69725082"/>
    <x v="0"/>
    <n v="3190"/>
    <d v="2026-02-11T00:00:00"/>
    <s v="PS OCG 6-18PK"/>
    <x v="32"/>
    <n v="5.2680000000000001E-3"/>
    <n v="130"/>
    <x v="6"/>
    <x v="15"/>
    <n v="1"/>
    <n v="3190"/>
    <n v="16.804919999999999"/>
    <n v="24.53846153846154"/>
    <s v="Feb"/>
    <x v="7"/>
    <m/>
    <m/>
  </r>
  <r>
    <n v="69725082"/>
    <x v="0"/>
    <n v="1820"/>
    <d v="2026-02-11T00:00:00"/>
    <s v="PS OCG 6-18PK"/>
    <x v="32"/>
    <n v="5.2680000000000001E-3"/>
    <n v="130"/>
    <x v="6"/>
    <x v="15"/>
    <n v="1"/>
    <n v="1820"/>
    <n v="9.5877599999999994"/>
    <n v="14"/>
    <s v="Feb"/>
    <x v="7"/>
    <m/>
    <m/>
  </r>
  <r>
    <n v="69725082"/>
    <x v="0"/>
    <n v="3363"/>
    <d v="2026-02-12T00:00:00"/>
    <s v="PS OCG 6-18PK"/>
    <x v="32"/>
    <n v="5.2680000000000001E-3"/>
    <n v="130"/>
    <x v="6"/>
    <x v="15"/>
    <n v="1"/>
    <n v="3363"/>
    <n v="17.716284000000002"/>
    <n v="25.869230769230768"/>
    <s v="Feb"/>
    <x v="7"/>
    <m/>
    <m/>
  </r>
  <r>
    <n v="69725082"/>
    <x v="0"/>
    <n v="2080"/>
    <d v="2026-02-12T00:00:00"/>
    <s v="PS OCG 6-18PK"/>
    <x v="32"/>
    <n v="5.2680000000000001E-3"/>
    <n v="130"/>
    <x v="6"/>
    <x v="15"/>
    <n v="1"/>
    <n v="2080"/>
    <n v="10.95744"/>
    <n v="16"/>
    <s v="Feb"/>
    <x v="7"/>
    <m/>
    <m/>
  </r>
  <r>
    <n v="69725082"/>
    <x v="0"/>
    <n v="3270"/>
    <d v="2026-02-13T00:00:00"/>
    <s v="PS OCG 6-18PK"/>
    <x v="32"/>
    <n v="5.2680000000000001E-3"/>
    <n v="130"/>
    <x v="6"/>
    <x v="15"/>
    <n v="1"/>
    <n v="3270"/>
    <n v="17.22636"/>
    <n v="25.153846153846153"/>
    <s v="Feb"/>
    <x v="7"/>
    <m/>
    <m/>
  </r>
  <r>
    <n v="69725082"/>
    <x v="0"/>
    <n v="2080"/>
    <d v="2026-02-16T00:00:00"/>
    <s v="PS OCG 6-18PK"/>
    <x v="32"/>
    <n v="5.2680000000000001E-3"/>
    <n v="130"/>
    <x v="6"/>
    <x v="15"/>
    <n v="1"/>
    <n v="2080"/>
    <n v="10.95744"/>
    <n v="16"/>
    <s v="Feb"/>
    <x v="5"/>
    <m/>
    <m/>
  </r>
  <r>
    <n v="69725082"/>
    <x v="0"/>
    <n v="3795"/>
    <d v="2026-02-17T00:00:00"/>
    <s v="PS OCG 6-18PK"/>
    <x v="32"/>
    <n v="5.2680000000000001E-3"/>
    <n v="130"/>
    <x v="6"/>
    <x v="15"/>
    <n v="1"/>
    <n v="3795"/>
    <n v="19.992060000000002"/>
    <n v="29.192307692307693"/>
    <s v="Feb"/>
    <x v="5"/>
    <m/>
    <m/>
  </r>
  <r>
    <n v="69725082"/>
    <x v="0"/>
    <n v="2210"/>
    <d v="2026-02-17T00:00:00"/>
    <s v="PS OCG 6-18PK"/>
    <x v="32"/>
    <n v="5.2680000000000001E-3"/>
    <n v="130"/>
    <x v="6"/>
    <x v="15"/>
    <n v="1"/>
    <n v="2210"/>
    <n v="11.64228"/>
    <n v="17"/>
    <s v="Feb"/>
    <x v="5"/>
    <m/>
    <m/>
  </r>
  <r>
    <n v="69725082"/>
    <x v="0"/>
    <n v="3715"/>
    <d v="2026-02-18T00:00:00"/>
    <s v="PS OCG 6-18PK"/>
    <x v="32"/>
    <n v="5.2680000000000001E-3"/>
    <n v="130"/>
    <x v="6"/>
    <x v="15"/>
    <n v="1"/>
    <n v="3715"/>
    <n v="19.570620000000002"/>
    <n v="28.576923076923077"/>
    <s v="Feb"/>
    <x v="5"/>
    <m/>
    <m/>
  </r>
  <r>
    <n v="69725082"/>
    <x v="0"/>
    <n v="2340"/>
    <d v="2026-02-18T00:00:00"/>
    <s v="PS OCG 6-18PK"/>
    <x v="32"/>
    <n v="5.2680000000000001E-3"/>
    <n v="130"/>
    <x v="6"/>
    <x v="15"/>
    <n v="1"/>
    <n v="2340"/>
    <n v="12.327120000000001"/>
    <n v="18"/>
    <s v="Feb"/>
    <x v="5"/>
    <m/>
    <m/>
  </r>
  <r>
    <n v="69725082"/>
    <x v="0"/>
    <n v="4074"/>
    <d v="2026-02-19T00:00:00"/>
    <s v="PS OCG 6-18PK"/>
    <x v="32"/>
    <n v="5.2680000000000001E-3"/>
    <n v="130"/>
    <x v="6"/>
    <x v="15"/>
    <n v="1"/>
    <n v="4074"/>
    <n v="21.461832000000001"/>
    <n v="31.338461538461537"/>
    <s v="Feb"/>
    <x v="5"/>
    <m/>
    <m/>
  </r>
  <r>
    <n v="69725082"/>
    <x v="0"/>
    <n v="2340"/>
    <d v="2026-02-19T00:00:00"/>
    <s v="PS OCG 6-18PK"/>
    <x v="32"/>
    <n v="5.2680000000000001E-3"/>
    <n v="130"/>
    <x v="6"/>
    <x v="15"/>
    <n v="1"/>
    <n v="2340"/>
    <n v="12.327120000000001"/>
    <n v="18"/>
    <s v="Feb"/>
    <x v="5"/>
    <m/>
    <m/>
  </r>
  <r>
    <n v="69725082"/>
    <x v="0"/>
    <n v="2792"/>
    <d v="2026-02-20T00:00:00"/>
    <s v="PS OCG 6-18PK"/>
    <x v="32"/>
    <n v="5.2680000000000001E-3"/>
    <n v="130"/>
    <x v="6"/>
    <x v="15"/>
    <n v="1"/>
    <n v="2792"/>
    <n v="14.708256"/>
    <n v="21.476923076923075"/>
    <s v="Feb"/>
    <x v="5"/>
    <m/>
    <m/>
  </r>
  <r>
    <n v="69725082"/>
    <x v="0"/>
    <n v="1300"/>
    <d v="2026-02-20T00:00:00"/>
    <s v="PS OCG 6-18PK"/>
    <x v="32"/>
    <n v="5.2680000000000001E-3"/>
    <n v="130"/>
    <x v="6"/>
    <x v="15"/>
    <n v="1"/>
    <n v="1300"/>
    <n v="6.8483999999999998"/>
    <n v="10"/>
    <s v="Feb"/>
    <x v="5"/>
    <m/>
    <m/>
  </r>
  <r>
    <n v="69725082"/>
    <x v="0"/>
    <n v="1122"/>
    <d v="2026-02-21T00:00:00"/>
    <s v="PS OCG 6-18PK"/>
    <x v="32"/>
    <n v="5.2680000000000001E-3"/>
    <n v="130"/>
    <x v="6"/>
    <x v="15"/>
    <n v="1"/>
    <n v="1122"/>
    <n v="5.9106959999999997"/>
    <n v="8.6307692307692303"/>
    <s v="Feb"/>
    <x v="5"/>
    <m/>
    <m/>
  </r>
  <r>
    <n v="69725082"/>
    <x v="0"/>
    <n v="650"/>
    <d v="2026-02-16T00:00:00"/>
    <s v="PS OCG 6-18PK"/>
    <x v="29"/>
    <n v="5.2680000000000001E-3"/>
    <n v="130"/>
    <x v="6"/>
    <x v="15"/>
    <n v="1"/>
    <n v="650"/>
    <n v="3.4241999999999999"/>
    <n v="5"/>
    <s v="Feb"/>
    <x v="5"/>
    <m/>
    <m/>
  </r>
  <r>
    <n v="69725082"/>
    <x v="0"/>
    <n v="2782"/>
    <d v="2026-02-17T00:00:00"/>
    <s v="PS OCG 6-18PK"/>
    <x v="29"/>
    <n v="5.2680000000000001E-3"/>
    <n v="130"/>
    <x v="6"/>
    <x v="15"/>
    <n v="1"/>
    <n v="2782"/>
    <n v="14.655576"/>
    <n v="21.4"/>
    <s v="Feb"/>
    <x v="5"/>
    <m/>
    <m/>
  </r>
  <r>
    <n v="69725082"/>
    <x v="0"/>
    <n v="1040"/>
    <d v="2026-02-17T00:00:00"/>
    <s v="PS OCG 6-18PK"/>
    <x v="29"/>
    <n v="5.2680000000000001E-3"/>
    <n v="130"/>
    <x v="6"/>
    <x v="15"/>
    <n v="1"/>
    <n v="1040"/>
    <n v="5.47872"/>
    <n v="8"/>
    <s v="Feb"/>
    <x v="5"/>
    <m/>
    <m/>
  </r>
  <r>
    <n v="69725082"/>
    <x v="0"/>
    <n v="1040"/>
    <d v="2026-02-18T00:00:00"/>
    <s v="PS OCG 6-18PK"/>
    <x v="29"/>
    <n v="5.2680000000000001E-3"/>
    <n v="130"/>
    <x v="6"/>
    <x v="15"/>
    <n v="1"/>
    <n v="1040"/>
    <n v="5.47872"/>
    <n v="8"/>
    <s v="Feb"/>
    <x v="5"/>
    <m/>
    <m/>
  </r>
  <r>
    <n v="69725082"/>
    <x v="0"/>
    <n v="1430"/>
    <d v="2026-02-18T00:00:00"/>
    <s v="PS OCG 6-18PK"/>
    <x v="29"/>
    <n v="5.2680000000000001E-3"/>
    <n v="130"/>
    <x v="6"/>
    <x v="15"/>
    <n v="1"/>
    <n v="1430"/>
    <n v="7.5332400000000002"/>
    <n v="11"/>
    <s v="Feb"/>
    <x v="5"/>
    <m/>
    <m/>
  </r>
  <r>
    <n v="69725082"/>
    <x v="0"/>
    <n v="2288"/>
    <d v="2026-02-19T00:00:00"/>
    <s v="PS OCG 6-18PK"/>
    <x v="29"/>
    <n v="5.2680000000000001E-3"/>
    <n v="130"/>
    <x v="6"/>
    <x v="15"/>
    <n v="1"/>
    <n v="2288"/>
    <n v="12.053184"/>
    <n v="17.600000000000001"/>
    <s v="Feb"/>
    <x v="5"/>
    <m/>
    <m/>
  </r>
  <r>
    <n v="69725082"/>
    <x v="0"/>
    <n v="1170"/>
    <d v="2026-02-19T00:00:00"/>
    <s v="PS OCG 6-18PK"/>
    <x v="29"/>
    <n v="5.2680000000000001E-3"/>
    <n v="130"/>
    <x v="6"/>
    <x v="15"/>
    <n v="1"/>
    <n v="1170"/>
    <n v="6.1635600000000004"/>
    <n v="9"/>
    <s v="Feb"/>
    <x v="5"/>
    <m/>
    <m/>
  </r>
  <r>
    <n v="69725082"/>
    <x v="0"/>
    <n v="2708"/>
    <d v="2026-02-20T00:00:00"/>
    <s v="PS OCG 6-18PK"/>
    <x v="29"/>
    <n v="5.2680000000000001E-3"/>
    <n v="130"/>
    <x v="6"/>
    <x v="15"/>
    <n v="1"/>
    <n v="2708"/>
    <n v="14.265744"/>
    <n v="20.830769230769231"/>
    <s v="Feb"/>
    <x v="5"/>
    <m/>
    <m/>
  </r>
  <r>
    <n v="69725082"/>
    <x v="0"/>
    <n v="1430"/>
    <d v="2026-02-20T00:00:00"/>
    <s v="PS OCG 6-18PK"/>
    <x v="29"/>
    <n v="5.2680000000000001E-3"/>
    <n v="130"/>
    <x v="6"/>
    <x v="15"/>
    <n v="1"/>
    <n v="1430"/>
    <n v="7.5332400000000002"/>
    <n v="11"/>
    <s v="Feb"/>
    <x v="5"/>
    <m/>
    <m/>
  </r>
  <r>
    <n v="69725082"/>
    <x v="0"/>
    <n v="121"/>
    <d v="2026-02-21T00:00:00"/>
    <s v="PS OCG 6-18PK"/>
    <x v="29"/>
    <n v="5.2680000000000001E-3"/>
    <n v="130"/>
    <x v="6"/>
    <x v="15"/>
    <n v="1"/>
    <n v="121"/>
    <n v="0.63742799999999999"/>
    <n v="0.93076923076923079"/>
    <s v="Feb"/>
    <x v="5"/>
    <m/>
    <m/>
  </r>
  <r>
    <n v="69725082"/>
    <x v="0"/>
    <n v="249"/>
    <d v="2026-01-31T00:00:00"/>
    <s v="PS OCG 6-18PK"/>
    <x v="32"/>
    <n v="5.2680000000000001E-3"/>
    <n v="130"/>
    <x v="6"/>
    <x v="15"/>
    <n v="1"/>
    <n v="249"/>
    <n v="1.3117320000000001"/>
    <n v="1.9153846153846155"/>
    <s v="Jan"/>
    <x v="4"/>
    <m/>
    <m/>
  </r>
  <r>
    <n v="69983248"/>
    <x v="0"/>
    <n v="2313"/>
    <d v="2026-02-10T00:00:00"/>
    <s v="GH Cremsicle 1-24PK"/>
    <x v="18"/>
    <n v="2.8319999999999999E-3"/>
    <n v="225"/>
    <x v="7"/>
    <x v="8"/>
    <n v="1"/>
    <n v="2313"/>
    <n v="6.5504159999999994"/>
    <n v="10.28"/>
    <s v="Feb"/>
    <x v="7"/>
    <m/>
    <m/>
  </r>
  <r>
    <n v="69983248"/>
    <x v="0"/>
    <n v="1124"/>
    <d v="2026-02-10T00:00:00"/>
    <s v="GH Cremsicle 1-24PK"/>
    <x v="18"/>
    <n v="2.8319999999999999E-3"/>
    <n v="225"/>
    <x v="7"/>
    <x v="8"/>
    <n v="1"/>
    <n v="1124"/>
    <n v="3.1831679999999998"/>
    <n v="4.9955555555555557"/>
    <s v="Feb"/>
    <x v="7"/>
    <m/>
    <m/>
  </r>
  <r>
    <n v="69983248"/>
    <x v="0"/>
    <n v="4208"/>
    <d v="2026-02-11T00:00:00"/>
    <s v="GH Cremsicle 1-24PK"/>
    <x v="18"/>
    <n v="2.8319999999999999E-3"/>
    <n v="225"/>
    <x v="7"/>
    <x v="8"/>
    <n v="1"/>
    <n v="4208"/>
    <n v="11.917055999999999"/>
    <n v="18.702222222222222"/>
    <s v="Feb"/>
    <x v="7"/>
    <m/>
    <m/>
  </r>
  <r>
    <n v="69983248"/>
    <x v="0"/>
    <n v="1800"/>
    <d v="2026-02-11T00:00:00"/>
    <s v="GH Cremsicle 1-24PK"/>
    <x v="18"/>
    <n v="2.8319999999999999E-3"/>
    <n v="225"/>
    <x v="7"/>
    <x v="8"/>
    <n v="1"/>
    <n v="1800"/>
    <n v="5.0975999999999999"/>
    <n v="8"/>
    <s v="Feb"/>
    <x v="7"/>
    <m/>
    <m/>
  </r>
  <r>
    <n v="69983248"/>
    <x v="0"/>
    <n v="3715"/>
    <d v="2026-02-12T00:00:00"/>
    <s v="GH Cremsicle 1-24PK"/>
    <x v="18"/>
    <n v="2.8319999999999999E-3"/>
    <n v="225"/>
    <x v="7"/>
    <x v="8"/>
    <n v="1"/>
    <n v="3715"/>
    <n v="10.52088"/>
    <n v="16.511111111111113"/>
    <s v="Feb"/>
    <x v="7"/>
    <m/>
    <m/>
  </r>
  <r>
    <n v="69983248"/>
    <x v="0"/>
    <n v="450"/>
    <d v="2026-02-12T00:00:00"/>
    <s v="GH Cremsicle 1-24PK"/>
    <x v="18"/>
    <n v="2.8319999999999999E-3"/>
    <n v="225"/>
    <x v="7"/>
    <x v="8"/>
    <n v="1"/>
    <n v="450"/>
    <n v="1.2744"/>
    <n v="2"/>
    <s v="Feb"/>
    <x v="7"/>
    <m/>
    <m/>
  </r>
  <r>
    <n v="69983248"/>
    <x v="0"/>
    <n v="900"/>
    <d v="2026-02-13T00:00:00"/>
    <s v="GH Cremsicle 1-24PK"/>
    <x v="18"/>
    <n v="2.8319999999999999E-3"/>
    <n v="225"/>
    <x v="7"/>
    <x v="8"/>
    <n v="1"/>
    <n v="900"/>
    <n v="2.5488"/>
    <n v="4"/>
    <s v="Feb"/>
    <x v="7"/>
    <m/>
    <m/>
  </r>
  <r>
    <n v="69983248"/>
    <x v="0"/>
    <n v="2025"/>
    <d v="2026-02-13T00:00:00"/>
    <s v="GH Cremsicle 1-24PK"/>
    <x v="18"/>
    <n v="2.8319999999999999E-3"/>
    <n v="225"/>
    <x v="7"/>
    <x v="8"/>
    <n v="1"/>
    <n v="2025"/>
    <n v="5.7347999999999999"/>
    <n v="9"/>
    <s v="Feb"/>
    <x v="7"/>
    <m/>
    <m/>
  </r>
  <r>
    <n v="69983248"/>
    <x v="0"/>
    <n v="4173"/>
    <d v="2026-02-14T00:00:00"/>
    <s v="GH Cremsicle 1-24PK"/>
    <x v="18"/>
    <n v="2.8319999999999999E-3"/>
    <n v="225"/>
    <x v="7"/>
    <x v="8"/>
    <n v="1"/>
    <n v="4173"/>
    <n v="11.817936"/>
    <n v="18.546666666666667"/>
    <s v="Feb"/>
    <x v="7"/>
    <m/>
    <m/>
  </r>
  <r>
    <n v="69983248"/>
    <x v="0"/>
    <n v="2951"/>
    <d v="2026-02-13T00:00:00"/>
    <s v="GH Cremsicle 1-24PK"/>
    <x v="18"/>
    <n v="2.8319999999999999E-3"/>
    <n v="225"/>
    <x v="7"/>
    <x v="8"/>
    <n v="1"/>
    <n v="2951"/>
    <n v="8.3572319999999998"/>
    <n v="13.115555555555556"/>
    <s v="Feb"/>
    <x v="7"/>
    <m/>
    <m/>
  </r>
  <r>
    <n v="64315722"/>
    <x v="1"/>
    <n v="4752"/>
    <d v="2026-02-10T00:00:00"/>
    <s v="BR Pistachio Almond 6 1.5QT"/>
    <x v="3"/>
    <n v="8.5199999999999998E-3"/>
    <n v="176"/>
    <x v="0"/>
    <x v="1"/>
    <n v="1"/>
    <n v="4752"/>
    <n v="40.48704"/>
    <n v="27"/>
    <s v="Feb"/>
    <x v="7"/>
    <m/>
    <m/>
  </r>
  <r>
    <n v="64315722"/>
    <x v="1"/>
    <n v="5456"/>
    <d v="2026-02-11T00:00:00"/>
    <s v="BR Pistachio Almond 6 1.5QT"/>
    <x v="3"/>
    <n v="8.5199999999999998E-3"/>
    <n v="176"/>
    <x v="0"/>
    <x v="1"/>
    <n v="1"/>
    <n v="5456"/>
    <n v="46.485120000000002"/>
    <n v="31"/>
    <s v="Feb"/>
    <x v="7"/>
    <m/>
    <m/>
  </r>
  <r>
    <n v="64315722"/>
    <x v="1"/>
    <n v="5955"/>
    <d v="2026-02-11T00:00:00"/>
    <s v="BR Pistachio Almond 6 1.5QT"/>
    <x v="3"/>
    <n v="8.5199999999999998E-3"/>
    <n v="176"/>
    <x v="0"/>
    <x v="1"/>
    <n v="1"/>
    <n v="5955"/>
    <n v="50.736599999999996"/>
    <n v="33.835227272727273"/>
    <s v="Feb"/>
    <x v="7"/>
    <m/>
    <m/>
  </r>
  <r>
    <n v="64315722"/>
    <x v="1"/>
    <n v="8214"/>
    <d v="2026-02-12T00:00:00"/>
    <s v="BR Pistachio Almond 6 1.5QT"/>
    <x v="3"/>
    <n v="8.5199999999999998E-3"/>
    <n v="176"/>
    <x v="0"/>
    <x v="1"/>
    <n v="1"/>
    <n v="8214"/>
    <n v="69.983279999999993"/>
    <n v="46.670454545454547"/>
    <s v="Feb"/>
    <x v="7"/>
    <m/>
    <m/>
  </r>
  <r>
    <n v="64315722"/>
    <x v="1"/>
    <n v="5804"/>
    <d v="2026-02-12T00:00:00"/>
    <s v="BR Pistachio Almond 6 1.5QT"/>
    <x v="3"/>
    <n v="8.5199999999999998E-3"/>
    <n v="176"/>
    <x v="0"/>
    <x v="1"/>
    <n v="1"/>
    <n v="5804"/>
    <n v="49.45008"/>
    <n v="32.977272727272727"/>
    <s v="Feb"/>
    <x v="7"/>
    <m/>
    <m/>
  </r>
  <r>
    <n v="64315722"/>
    <x v="1"/>
    <n v="22"/>
    <d v="2026-02-13T00:00:00"/>
    <s v="BR Pistachio Almond 6 1.5QT"/>
    <x v="3"/>
    <n v="8.5199999999999998E-3"/>
    <n v="176"/>
    <x v="0"/>
    <x v="1"/>
    <n v="1"/>
    <n v="22"/>
    <n v="0.18744"/>
    <n v="0.125"/>
    <s v="Feb"/>
    <x v="7"/>
    <m/>
    <m/>
  </r>
  <r>
    <n v="64315722"/>
    <x v="1"/>
    <n v="704"/>
    <d v="2026-02-10T00:00:00"/>
    <s v="BR Pistachio Almond 6 1.5QT"/>
    <x v="3"/>
    <n v="8.5199999999999998E-3"/>
    <n v="176"/>
    <x v="0"/>
    <x v="1"/>
    <n v="1"/>
    <n v="704"/>
    <n v="5.9980799999999999"/>
    <n v="4"/>
    <s v="Feb"/>
    <x v="7"/>
    <m/>
    <m/>
  </r>
  <r>
    <n v="64330596"/>
    <x v="1"/>
    <n v="4111"/>
    <d v="2026-02-02T00:00:00"/>
    <s v="MG Mini Double Caramel Bar 6-6PK"/>
    <x v="23"/>
    <n v="1.98E-3"/>
    <n v="176"/>
    <x v="5"/>
    <x v="6"/>
    <n v="1"/>
    <n v="4111"/>
    <n v="8.13978"/>
    <n v="23.357954545454547"/>
    <s v="Feb"/>
    <x v="8"/>
    <m/>
    <m/>
  </r>
  <r>
    <n v="64330596"/>
    <x v="1"/>
    <n v="6451"/>
    <d v="2026-02-03T00:00:00"/>
    <s v="MG Mini Double Caramel Bar 6-6PK"/>
    <x v="23"/>
    <n v="1.98E-3"/>
    <n v="176"/>
    <x v="5"/>
    <x v="6"/>
    <n v="1"/>
    <n v="6451"/>
    <n v="12.77298"/>
    <n v="36.653409090909093"/>
    <s v="Feb"/>
    <x v="8"/>
    <m/>
    <m/>
  </r>
  <r>
    <n v="64330596"/>
    <x v="1"/>
    <n v="-55"/>
    <d v="2026-02-06T00:00:00"/>
    <s v="MG Mini Double Caramel Bar 6-6PK"/>
    <x v="23"/>
    <n v="1.98E-3"/>
    <n v="176"/>
    <x v="5"/>
    <x v="6"/>
    <n v="1"/>
    <n v="-55"/>
    <n v="-0.1089"/>
    <n v="-0.3125"/>
    <s v="Feb"/>
    <x v="8"/>
    <m/>
    <m/>
  </r>
  <r>
    <n v="64330596"/>
    <x v="1"/>
    <n v="6144"/>
    <d v="2026-02-03T00:00:00"/>
    <s v="MG Mini Double Caramel Bar 6-6PK"/>
    <x v="23"/>
    <n v="1.98E-3"/>
    <n v="176"/>
    <x v="5"/>
    <x v="6"/>
    <n v="1"/>
    <n v="6144"/>
    <n v="12.16512"/>
    <n v="34.909090909090907"/>
    <s v="Feb"/>
    <x v="8"/>
    <m/>
    <m/>
  </r>
  <r>
    <n v="64330596"/>
    <x v="1"/>
    <n v="6160"/>
    <d v="2026-02-04T00:00:00"/>
    <s v="MG Mini Double Caramel Bar 6-6PK"/>
    <x v="23"/>
    <n v="1.98E-3"/>
    <n v="176"/>
    <x v="5"/>
    <x v="6"/>
    <n v="1"/>
    <n v="6160"/>
    <n v="12.1968"/>
    <n v="35"/>
    <s v="Feb"/>
    <x v="8"/>
    <m/>
    <m/>
  </r>
  <r>
    <n v="64330596"/>
    <x v="1"/>
    <n v="3646"/>
    <d v="2026-02-04T00:00:00"/>
    <s v="MG Mini Double Caramel Bar 6-6PK"/>
    <x v="23"/>
    <n v="1.98E-3"/>
    <n v="176"/>
    <x v="5"/>
    <x v="6"/>
    <n v="1"/>
    <n v="3646"/>
    <n v="7.2190799999999999"/>
    <n v="20.71590909090909"/>
    <s v="Feb"/>
    <x v="8"/>
    <m/>
    <m/>
  </r>
  <r>
    <n v="64330596"/>
    <x v="1"/>
    <n v="6816"/>
    <d v="2026-02-05T00:00:00"/>
    <s v="MG Mini Double Caramel Bar 6-6PK"/>
    <x v="23"/>
    <n v="1.98E-3"/>
    <n v="176"/>
    <x v="5"/>
    <x v="6"/>
    <n v="1"/>
    <n v="6816"/>
    <n v="13.49568"/>
    <n v="38.727272727272727"/>
    <s v="Feb"/>
    <x v="8"/>
    <m/>
    <m/>
  </r>
  <r>
    <n v="64330596"/>
    <x v="1"/>
    <n v="176"/>
    <d v="2026-02-11T00:00:00"/>
    <s v="MG Mini Double Caramel Bar 6-6PK"/>
    <x v="23"/>
    <n v="1.98E-3"/>
    <n v="176"/>
    <x v="5"/>
    <x v="6"/>
    <n v="1"/>
    <n v="176"/>
    <n v="0.34848000000000001"/>
    <n v="1"/>
    <s v="Feb"/>
    <x v="7"/>
    <m/>
    <m/>
  </r>
  <r>
    <n v="64330596"/>
    <x v="1"/>
    <n v="4752"/>
    <d v="2026-02-05T00:00:00"/>
    <s v="MG Mini Double Caramel Bar 6-6PK"/>
    <x v="23"/>
    <n v="1.98E-3"/>
    <n v="176"/>
    <x v="5"/>
    <x v="6"/>
    <n v="1"/>
    <n v="4752"/>
    <n v="9.4089600000000004"/>
    <n v="27"/>
    <s v="Feb"/>
    <x v="8"/>
    <m/>
    <m/>
  </r>
  <r>
    <n v="64330596"/>
    <x v="1"/>
    <n v="5200"/>
    <d v="2026-02-06T00:00:00"/>
    <s v="MG Mini Double Caramel Bar 6-6PK"/>
    <x v="23"/>
    <n v="1.98E-3"/>
    <n v="176"/>
    <x v="5"/>
    <x v="6"/>
    <n v="1"/>
    <n v="5200"/>
    <n v="10.295999999999999"/>
    <n v="29.545454545454547"/>
    <s v="Feb"/>
    <x v="8"/>
    <m/>
    <m/>
  </r>
  <r>
    <n v="64330596"/>
    <x v="1"/>
    <n v="3957"/>
    <d v="2026-02-06T00:00:00"/>
    <s v="MG Mini Double Caramel Bar 6-6PK"/>
    <x v="23"/>
    <n v="1.98E-3"/>
    <n v="176"/>
    <x v="5"/>
    <x v="6"/>
    <n v="1"/>
    <n v="3957"/>
    <n v="7.8348599999999999"/>
    <n v="22.482954545454547"/>
    <s v="Feb"/>
    <x v="8"/>
    <m/>
    <m/>
  </r>
  <r>
    <n v="64330596"/>
    <x v="1"/>
    <n v="5104"/>
    <d v="2026-02-07T00:00:00"/>
    <s v="MG Mini Double Caramel Bar 6-6PK"/>
    <x v="23"/>
    <n v="1.98E-3"/>
    <n v="176"/>
    <x v="5"/>
    <x v="6"/>
    <n v="1"/>
    <n v="5104"/>
    <n v="10.105919999999999"/>
    <n v="29"/>
    <s v="Feb"/>
    <x v="8"/>
    <m/>
    <m/>
  </r>
  <r>
    <n v="64330596"/>
    <x v="1"/>
    <n v="176"/>
    <d v="2026-02-09T00:00:00"/>
    <s v="MG Mini Double Caramel Bar 6-6PK"/>
    <x v="23"/>
    <n v="1.98E-3"/>
    <n v="176"/>
    <x v="5"/>
    <x v="6"/>
    <n v="1"/>
    <n v="176"/>
    <n v="0.34848000000000001"/>
    <n v="1"/>
    <s v="Feb"/>
    <x v="7"/>
    <m/>
    <m/>
  </r>
  <r>
    <n v="64330596"/>
    <x v="1"/>
    <n v="3168"/>
    <d v="2026-02-07T00:00:00"/>
    <s v="MG Mini Double Caramel Bar 6-6PK"/>
    <x v="23"/>
    <n v="1.98E-3"/>
    <n v="176"/>
    <x v="5"/>
    <x v="6"/>
    <n v="1"/>
    <n v="3168"/>
    <n v="6.27264"/>
    <n v="18"/>
    <s v="Feb"/>
    <x v="8"/>
    <m/>
    <m/>
  </r>
  <r>
    <n v="64330596"/>
    <x v="1"/>
    <n v="4864"/>
    <d v="2026-02-08T00:00:00"/>
    <s v="MG Mini Double Caramel Bar 6-6PK"/>
    <x v="23"/>
    <n v="1.98E-3"/>
    <n v="176"/>
    <x v="5"/>
    <x v="6"/>
    <n v="1"/>
    <n v="4864"/>
    <n v="9.6307200000000002"/>
    <n v="27.636363636363637"/>
    <s v="Feb"/>
    <x v="7"/>
    <m/>
    <m/>
  </r>
  <r>
    <n v="64330596"/>
    <x v="1"/>
    <n v="528"/>
    <d v="2026-02-09T00:00:00"/>
    <s v="MG Mini Double Caramel Bar 6-6PK"/>
    <x v="23"/>
    <n v="1.98E-3"/>
    <n v="176"/>
    <x v="5"/>
    <x v="6"/>
    <n v="1"/>
    <n v="528"/>
    <n v="1.0454399999999999"/>
    <n v="3"/>
    <s v="Feb"/>
    <x v="7"/>
    <m/>
    <m/>
  </r>
  <r>
    <n v="64330596"/>
    <x v="1"/>
    <n v="6064"/>
    <d v="2026-02-08T00:00:00"/>
    <s v="MG Mini Double Caramel Bar 6-6PK"/>
    <x v="23"/>
    <n v="1.98E-3"/>
    <n v="176"/>
    <x v="5"/>
    <x v="6"/>
    <n v="1"/>
    <n v="6064"/>
    <n v="12.00672"/>
    <n v="34.454545454545453"/>
    <s v="Feb"/>
    <x v="7"/>
    <m/>
    <m/>
  </r>
  <r>
    <n v="64330596"/>
    <x v="1"/>
    <n v="4781"/>
    <d v="2026-02-09T00:00:00"/>
    <s v="MG Mini Double Caramel Bar 6-6PK"/>
    <x v="23"/>
    <n v="1.98E-3"/>
    <n v="176"/>
    <x v="5"/>
    <x v="6"/>
    <n v="1"/>
    <n v="4781"/>
    <n v="9.4663799999999991"/>
    <n v="27.164772727272727"/>
    <s v="Feb"/>
    <x v="7"/>
    <m/>
    <m/>
  </r>
  <r>
    <n v="64330596"/>
    <x v="1"/>
    <n v="6159"/>
    <d v="2026-02-09T00:00:00"/>
    <s v="MG Mini Double Caramel Bar 6-6PK"/>
    <x v="23"/>
    <n v="1.98E-3"/>
    <n v="176"/>
    <x v="5"/>
    <x v="6"/>
    <n v="1"/>
    <n v="6159"/>
    <n v="12.19482"/>
    <n v="34.99431818181818"/>
    <s v="Feb"/>
    <x v="7"/>
    <m/>
    <m/>
  </r>
  <r>
    <n v="64330596"/>
    <x v="1"/>
    <n v="5632"/>
    <d v="2026-02-10T00:00:00"/>
    <s v="MG Mini Double Caramel Bar 6-6PK"/>
    <x v="23"/>
    <n v="1.98E-3"/>
    <n v="176"/>
    <x v="5"/>
    <x v="6"/>
    <n v="1"/>
    <n v="5632"/>
    <n v="11.15136"/>
    <n v="32"/>
    <s v="Feb"/>
    <x v="7"/>
    <m/>
    <m/>
  </r>
  <r>
    <n v="64330596"/>
    <x v="1"/>
    <n v="2327"/>
    <d v="2026-02-10T00:00:00"/>
    <s v="MG Mini Double Caramel Bar 6-6PK"/>
    <x v="23"/>
    <n v="1.98E-3"/>
    <n v="176"/>
    <x v="5"/>
    <x v="6"/>
    <n v="1"/>
    <n v="2327"/>
    <n v="4.6074599999999997"/>
    <n v="13.221590909090908"/>
    <s v="Feb"/>
    <x v="7"/>
    <m/>
    <m/>
  </r>
  <r>
    <n v="64330596"/>
    <x v="1"/>
    <n v="5456"/>
    <d v="2026-02-11T00:00:00"/>
    <s v="MG Mini Double Caramel Bar 6-6PK"/>
    <x v="23"/>
    <n v="1.98E-3"/>
    <n v="176"/>
    <x v="5"/>
    <x v="6"/>
    <n v="1"/>
    <n v="5456"/>
    <n v="10.80288"/>
    <n v="31"/>
    <s v="Feb"/>
    <x v="7"/>
    <m/>
    <m/>
  </r>
  <r>
    <n v="64330596"/>
    <x v="1"/>
    <n v="7919"/>
    <d v="2026-02-11T00:00:00"/>
    <s v="MG Mini Double Caramel Bar 6-6PK"/>
    <x v="23"/>
    <n v="1.98E-3"/>
    <n v="176"/>
    <x v="5"/>
    <x v="6"/>
    <n v="1"/>
    <n v="7919"/>
    <n v="15.67962"/>
    <n v="44.99431818181818"/>
    <s v="Feb"/>
    <x v="7"/>
    <m/>
    <m/>
  </r>
  <r>
    <n v="64330596"/>
    <x v="1"/>
    <n v="7084"/>
    <d v="2026-02-12T00:00:00"/>
    <s v="MG Mini Double Caramel Bar 6-6PK"/>
    <x v="23"/>
    <n v="1.98E-3"/>
    <n v="176"/>
    <x v="5"/>
    <x v="6"/>
    <n v="1"/>
    <n v="7084"/>
    <n v="14.02632"/>
    <n v="40.25"/>
    <s v="Feb"/>
    <x v="7"/>
    <m/>
    <m/>
  </r>
  <r>
    <n v="64330596"/>
    <x v="1"/>
    <n v="7216"/>
    <d v="2026-02-12T00:00:00"/>
    <s v="MG Mini Double Caramel Bar 6-6PK"/>
    <x v="23"/>
    <n v="1.98E-3"/>
    <n v="176"/>
    <x v="5"/>
    <x v="6"/>
    <n v="1"/>
    <n v="7216"/>
    <n v="14.28768"/>
    <n v="41"/>
    <s v="Feb"/>
    <x v="7"/>
    <m/>
    <m/>
  </r>
  <r>
    <n v="64330596"/>
    <x v="1"/>
    <n v="7040"/>
    <d v="2026-02-13T00:00:00"/>
    <s v="MG Mini Double Caramel Bar 6-6PK"/>
    <x v="23"/>
    <n v="1.98E-3"/>
    <n v="176"/>
    <x v="5"/>
    <x v="6"/>
    <n v="1"/>
    <n v="7040"/>
    <n v="13.9392"/>
    <n v="40"/>
    <s v="Feb"/>
    <x v="7"/>
    <m/>
    <m/>
  </r>
  <r>
    <n v="64330596"/>
    <x v="1"/>
    <n v="3015"/>
    <d v="2026-02-13T00:00:00"/>
    <s v="MG Mini Double Caramel Bar 6-6PK"/>
    <x v="23"/>
    <n v="1.98E-3"/>
    <n v="176"/>
    <x v="5"/>
    <x v="6"/>
    <n v="1"/>
    <n v="3015"/>
    <n v="5.9696999999999996"/>
    <n v="17.130681818181817"/>
    <s v="Feb"/>
    <x v="7"/>
    <m/>
    <m/>
  </r>
  <r>
    <n v="64330596"/>
    <x v="1"/>
    <n v="2633"/>
    <d v="2026-02-14T00:00:00"/>
    <s v="MG Mini Double Caramel Bar 6-6PK"/>
    <x v="23"/>
    <n v="1.98E-3"/>
    <n v="176"/>
    <x v="5"/>
    <x v="6"/>
    <n v="1"/>
    <n v="2633"/>
    <n v="5.2133399999999996"/>
    <n v="14.960227272727273"/>
    <s v="Feb"/>
    <x v="7"/>
    <m/>
    <m/>
  </r>
  <r>
    <n v="64330596"/>
    <x v="1"/>
    <n v="176"/>
    <d v="2026-02-16T00:00:00"/>
    <s v="MG Mini Double Caramel Bar 6-6PK"/>
    <x v="23"/>
    <n v="1.98E-3"/>
    <n v="176"/>
    <x v="5"/>
    <x v="6"/>
    <n v="1"/>
    <n v="176"/>
    <n v="0.34848000000000001"/>
    <n v="1"/>
    <s v="Feb"/>
    <x v="5"/>
    <m/>
    <m/>
  </r>
  <r>
    <n v="64330596"/>
    <x v="1"/>
    <n v="2592"/>
    <d v="2026-02-14T00:00:00"/>
    <s v="MG Mini Double Caramel Bar 6-6PK"/>
    <x v="23"/>
    <n v="1.98E-3"/>
    <n v="176"/>
    <x v="5"/>
    <x v="6"/>
    <n v="1"/>
    <n v="2592"/>
    <n v="5.1321599999999998"/>
    <n v="14.727272727272727"/>
    <s v="Feb"/>
    <x v="7"/>
    <m/>
    <m/>
  </r>
  <r>
    <n v="64330596"/>
    <x v="1"/>
    <n v="3792"/>
    <d v="2026-02-15T00:00:00"/>
    <s v="MG Mini Double Caramel Bar 6-6PK"/>
    <x v="23"/>
    <n v="1.98E-3"/>
    <n v="176"/>
    <x v="5"/>
    <x v="6"/>
    <n v="1"/>
    <n v="3792"/>
    <n v="7.5081600000000002"/>
    <n v="21.545454545454547"/>
    <s v="Feb"/>
    <x v="5"/>
    <m/>
    <m/>
  </r>
  <r>
    <n v="64330596"/>
    <x v="1"/>
    <n v="6688"/>
    <d v="2026-02-15T00:00:00"/>
    <s v="MG Mini Double Caramel Bar 6-6PK"/>
    <x v="23"/>
    <n v="1.98E-3"/>
    <n v="176"/>
    <x v="5"/>
    <x v="6"/>
    <n v="1"/>
    <n v="6688"/>
    <n v="13.242240000000001"/>
    <n v="38"/>
    <s v="Feb"/>
    <x v="5"/>
    <m/>
    <m/>
  </r>
  <r>
    <n v="64330596"/>
    <x v="1"/>
    <n v="4829"/>
    <d v="2026-02-16T00:00:00"/>
    <s v="MG Mini Double Caramel Bar 6-6PK"/>
    <x v="23"/>
    <n v="1.98E-3"/>
    <n v="176"/>
    <x v="5"/>
    <x v="6"/>
    <n v="1"/>
    <n v="4829"/>
    <n v="9.56142"/>
    <n v="27.4375"/>
    <s v="Feb"/>
    <x v="5"/>
    <m/>
    <m/>
  </r>
  <r>
    <n v="64330596"/>
    <x v="1"/>
    <n v="1258"/>
    <d v="2026-02-02T00:00:00"/>
    <s v="MG Mini Double Caramel Bar 6-6PK"/>
    <x v="23"/>
    <n v="1.98E-3"/>
    <n v="176"/>
    <x v="5"/>
    <x v="6"/>
    <n v="1"/>
    <n v="1258"/>
    <n v="2.4908399999999999"/>
    <n v="7.1477272727272725"/>
    <s v="Feb"/>
    <x v="8"/>
    <m/>
    <m/>
  </r>
  <r>
    <n v="64330611"/>
    <x v="1"/>
    <n v="245"/>
    <d v="2026-02-17T00:00:00"/>
    <s v="MG Double Caramel Bar 8-3PK"/>
    <x v="23"/>
    <n v="2.16E-3"/>
    <n v="210"/>
    <x v="5"/>
    <x v="6"/>
    <n v="1"/>
    <n v="245"/>
    <n v="0.5292"/>
    <n v="1.1666666666666667"/>
    <s v="Feb"/>
    <x v="5"/>
    <m/>
    <m/>
  </r>
  <r>
    <n v="64330611"/>
    <x v="1"/>
    <n v="2872"/>
    <d v="2026-02-17T00:00:00"/>
    <s v="MG Double Caramel Bar 8-3PK"/>
    <x v="23"/>
    <n v="2.16E-3"/>
    <n v="210"/>
    <x v="5"/>
    <x v="6"/>
    <n v="1"/>
    <n v="2872"/>
    <n v="6.2035200000000001"/>
    <n v="13.676190476190476"/>
    <s v="Feb"/>
    <x v="5"/>
    <m/>
    <m/>
  </r>
  <r>
    <n v="64330611"/>
    <x v="1"/>
    <n v="3986"/>
    <d v="2026-02-18T00:00:00"/>
    <s v="MG Double Caramel Bar 8-3PK"/>
    <x v="23"/>
    <n v="2.16E-3"/>
    <n v="210"/>
    <x v="5"/>
    <x v="6"/>
    <n v="1"/>
    <n v="3986"/>
    <n v="8.6097599999999996"/>
    <n v="18.980952380952381"/>
    <s v="Feb"/>
    <x v="5"/>
    <m/>
    <m/>
  </r>
  <r>
    <n v="64330611"/>
    <x v="1"/>
    <n v="4449"/>
    <d v="2026-02-18T00:00:00"/>
    <s v="MG Double Caramel Bar 8-3PK"/>
    <x v="23"/>
    <n v="2.16E-3"/>
    <n v="210"/>
    <x v="5"/>
    <x v="6"/>
    <n v="1"/>
    <n v="4449"/>
    <n v="9.6098400000000002"/>
    <n v="21.185714285714287"/>
    <s v="Feb"/>
    <x v="5"/>
    <m/>
    <m/>
  </r>
  <r>
    <n v="64330611"/>
    <x v="1"/>
    <n v="7350"/>
    <d v="2026-02-19T00:00:00"/>
    <s v="MG Double Caramel Bar 8-3PK"/>
    <x v="23"/>
    <n v="2.16E-3"/>
    <n v="210"/>
    <x v="5"/>
    <x v="6"/>
    <n v="1"/>
    <n v="7350"/>
    <n v="15.875999999999999"/>
    <n v="35"/>
    <s v="Feb"/>
    <x v="5"/>
    <m/>
    <m/>
  </r>
  <r>
    <n v="64330611"/>
    <x v="1"/>
    <n v="7593"/>
    <d v="2026-02-19T00:00:00"/>
    <s v="MG Double Caramel Bar 8-3PK"/>
    <x v="23"/>
    <n v="2.16E-3"/>
    <n v="210"/>
    <x v="5"/>
    <x v="6"/>
    <n v="1"/>
    <n v="7593"/>
    <n v="16.400880000000001"/>
    <n v="36.157142857142858"/>
    <s v="Feb"/>
    <x v="5"/>
    <m/>
    <m/>
  </r>
  <r>
    <n v="64330611"/>
    <x v="1"/>
    <n v="4712"/>
    <d v="2026-02-20T00:00:00"/>
    <s v="MG Double Caramel Bar 8-3PK"/>
    <x v="23"/>
    <n v="2.16E-3"/>
    <n v="210"/>
    <x v="5"/>
    <x v="6"/>
    <n v="1"/>
    <n v="4712"/>
    <n v="10.17792"/>
    <n v="22.438095238095237"/>
    <s v="Feb"/>
    <x v="5"/>
    <m/>
    <m/>
  </r>
  <r>
    <n v="64330611"/>
    <x v="1"/>
    <n v="2310"/>
    <d v="2026-02-20T00:00:00"/>
    <s v="MG Double Caramel Bar 8-3PK"/>
    <x v="23"/>
    <n v="2.16E-3"/>
    <n v="210"/>
    <x v="5"/>
    <x v="6"/>
    <n v="1"/>
    <n v="2310"/>
    <n v="4.9896000000000003"/>
    <n v="11"/>
    <s v="Feb"/>
    <x v="5"/>
    <m/>
    <m/>
  </r>
  <r>
    <n v="64330611"/>
    <x v="1"/>
    <n v="6510"/>
    <d v="2026-02-21T00:00:00"/>
    <s v="MG Double Caramel Bar 8-3PK"/>
    <x v="23"/>
    <n v="2.16E-3"/>
    <n v="210"/>
    <x v="5"/>
    <x v="6"/>
    <n v="1"/>
    <n v="6510"/>
    <n v="14.0616"/>
    <n v="31"/>
    <s v="Feb"/>
    <x v="5"/>
    <m/>
    <m/>
  </r>
  <r>
    <n v="64330611"/>
    <x v="1"/>
    <n v="4100"/>
    <d v="2026-02-21T00:00:00"/>
    <s v="MG Double Caramel Bar 8-3PK"/>
    <x v="23"/>
    <n v="2.16E-3"/>
    <n v="210"/>
    <x v="5"/>
    <x v="6"/>
    <n v="1"/>
    <n v="4100"/>
    <n v="8.8559999999999999"/>
    <n v="19.523809523809526"/>
    <s v="Feb"/>
    <x v="5"/>
    <m/>
    <m/>
  </r>
  <r>
    <n v="64330611"/>
    <x v="1"/>
    <n v="4540"/>
    <d v="2026-02-22T00:00:00"/>
    <s v="MG Double Caramel Bar 8-3PK"/>
    <x v="23"/>
    <n v="2.16E-3"/>
    <n v="210"/>
    <x v="5"/>
    <x v="6"/>
    <n v="1"/>
    <n v="4540"/>
    <n v="9.8064"/>
    <n v="21.61904761904762"/>
    <s v="Feb"/>
    <x v="6"/>
    <m/>
    <m/>
  </r>
  <r>
    <n v="64330611"/>
    <x v="1"/>
    <n v="6459"/>
    <d v="2026-02-22T00:00:00"/>
    <s v="MG Double Caramel Bar 8-3PK"/>
    <x v="23"/>
    <n v="2.16E-3"/>
    <n v="210"/>
    <x v="5"/>
    <x v="6"/>
    <n v="1"/>
    <n v="6459"/>
    <n v="13.95144"/>
    <n v="30.757142857142856"/>
    <s v="Feb"/>
    <x v="6"/>
    <m/>
    <m/>
  </r>
  <r>
    <n v="64330611"/>
    <x v="1"/>
    <n v="3066"/>
    <d v="2026-02-17T00:00:00"/>
    <s v="MG Double Caramel Bar 8-3PK"/>
    <x v="26"/>
    <n v="2.16E-3"/>
    <n v="210"/>
    <x v="5"/>
    <x v="6"/>
    <n v="1"/>
    <n v="3066"/>
    <n v="6.62256"/>
    <n v="14.6"/>
    <s v="Feb"/>
    <x v="5"/>
    <m/>
    <m/>
  </r>
  <r>
    <n v="64330611"/>
    <x v="1"/>
    <n v="8549"/>
    <d v="2026-02-17T00:00:00"/>
    <s v="MG Double Caramel Bar 8-3PK"/>
    <x v="26"/>
    <n v="2.16E-3"/>
    <n v="210"/>
    <x v="5"/>
    <x v="6"/>
    <n v="1"/>
    <n v="8549"/>
    <n v="18.46584"/>
    <n v="40.709523809523809"/>
    <s v="Feb"/>
    <x v="5"/>
    <m/>
    <m/>
  </r>
  <r>
    <n v="64330611"/>
    <x v="1"/>
    <n v="5985"/>
    <d v="2026-02-18T00:00:00"/>
    <s v="MG Double Caramel Bar 8-3PK"/>
    <x v="26"/>
    <n v="2.16E-3"/>
    <n v="210"/>
    <x v="5"/>
    <x v="6"/>
    <n v="1"/>
    <n v="5985"/>
    <n v="12.9276"/>
    <n v="28.5"/>
    <s v="Feb"/>
    <x v="5"/>
    <m/>
    <m/>
  </r>
  <r>
    <n v="64330611"/>
    <x v="1"/>
    <n v="7139"/>
    <d v="2026-02-18T00:00:00"/>
    <s v="MG Double Caramel Bar 8-3PK"/>
    <x v="26"/>
    <n v="2.16E-3"/>
    <n v="210"/>
    <x v="5"/>
    <x v="6"/>
    <n v="1"/>
    <n v="7139"/>
    <n v="15.42024"/>
    <n v="33.995238095238093"/>
    <s v="Feb"/>
    <x v="5"/>
    <m/>
    <m/>
  </r>
  <r>
    <n v="64330611"/>
    <x v="1"/>
    <n v="8381"/>
    <d v="2026-02-19T00:00:00"/>
    <s v="MG Double Caramel Bar 8-3PK"/>
    <x v="26"/>
    <n v="2.16E-3"/>
    <n v="210"/>
    <x v="5"/>
    <x v="6"/>
    <n v="1"/>
    <n v="8381"/>
    <n v="18.102959999999999"/>
    <n v="39.909523809523812"/>
    <s v="Feb"/>
    <x v="5"/>
    <m/>
    <m/>
  </r>
  <r>
    <n v="64330611"/>
    <x v="1"/>
    <n v="84"/>
    <d v="2026-02-19T00:00:00"/>
    <s v="MG Double Caramel Bar 8-3PK"/>
    <x v="26"/>
    <n v="2.16E-3"/>
    <n v="210"/>
    <x v="5"/>
    <x v="6"/>
    <n v="1"/>
    <n v="84"/>
    <n v="0.18143999999999999"/>
    <n v="0.4"/>
    <s v="Feb"/>
    <x v="5"/>
    <m/>
    <m/>
  </r>
  <r>
    <n v="64331550"/>
    <x v="1"/>
    <n v="11745"/>
    <d v="2026-02-10T00:00:00"/>
    <s v="MG Double Caramel Bar 1-12PK OOH"/>
    <x v="26"/>
    <n v="1.08E-3"/>
    <n v="493"/>
    <x v="5"/>
    <x v="6"/>
    <n v="1"/>
    <n v="11745"/>
    <n v="12.6846"/>
    <n v="23.823529411764707"/>
    <s v="Feb"/>
    <x v="7"/>
    <m/>
    <m/>
  </r>
  <r>
    <n v="64331550"/>
    <x v="1"/>
    <n v="5167"/>
    <d v="2026-02-11T00:00:00"/>
    <s v="MG Double Caramel Bar 1-12PK OOH"/>
    <x v="26"/>
    <n v="1.08E-3"/>
    <n v="493"/>
    <x v="5"/>
    <x v="6"/>
    <n v="1"/>
    <n v="5167"/>
    <n v="5.5803599999999998"/>
    <n v="10.480730223123732"/>
    <s v="Feb"/>
    <x v="7"/>
    <m/>
    <m/>
  </r>
  <r>
    <n v="64331550"/>
    <x v="1"/>
    <n v="11557"/>
    <d v="2026-02-11T00:00:00"/>
    <s v="MG Double Caramel Bar 1-12PK OOH"/>
    <x v="26"/>
    <n v="1.08E-3"/>
    <n v="493"/>
    <x v="5"/>
    <x v="6"/>
    <n v="1"/>
    <n v="11557"/>
    <n v="12.48156"/>
    <n v="23.442190669371197"/>
    <s v="Feb"/>
    <x v="7"/>
    <m/>
    <m/>
  </r>
  <r>
    <n v="64331550"/>
    <x v="1"/>
    <n v="10091"/>
    <d v="2026-02-12T00:00:00"/>
    <s v="MG Double Caramel Bar 1-12PK OOH"/>
    <x v="26"/>
    <n v="1.08E-3"/>
    <n v="493"/>
    <x v="5"/>
    <x v="6"/>
    <n v="1"/>
    <n v="10091"/>
    <n v="10.89828"/>
    <n v="20.468559837728193"/>
    <s v="Feb"/>
    <x v="7"/>
    <m/>
    <m/>
  </r>
  <r>
    <n v="64331550"/>
    <x v="1"/>
    <n v="2704"/>
    <d v="2026-02-12T00:00:00"/>
    <s v="MG Double Caramel Bar 1-12PK OOH"/>
    <x v="26"/>
    <n v="1.08E-3"/>
    <n v="493"/>
    <x v="5"/>
    <x v="6"/>
    <n v="1"/>
    <n v="2704"/>
    <n v="2.9203200000000002"/>
    <n v="5.4847870182555782"/>
    <s v="Feb"/>
    <x v="7"/>
    <m/>
    <m/>
  </r>
  <r>
    <n v="64331550"/>
    <x v="1"/>
    <n v="8596"/>
    <d v="2026-02-13T00:00:00"/>
    <s v="MG Double Caramel Bar 1-12PK OOH"/>
    <x v="26"/>
    <n v="1.08E-3"/>
    <n v="493"/>
    <x v="5"/>
    <x v="6"/>
    <n v="1"/>
    <n v="8596"/>
    <n v="9.2836800000000004"/>
    <n v="17.436105476673429"/>
    <s v="Feb"/>
    <x v="7"/>
    <m/>
    <m/>
  </r>
  <r>
    <n v="64331550"/>
    <x v="1"/>
    <n v="3025"/>
    <d v="2026-02-09T00:00:00"/>
    <s v="MG Double Caramel Bar 1-12PK OOH"/>
    <x v="26"/>
    <n v="1.08E-3"/>
    <n v="493"/>
    <x v="5"/>
    <x v="6"/>
    <n v="1"/>
    <n v="3025"/>
    <n v="3.2669999999999999"/>
    <n v="6.1359026369168355"/>
    <s v="Feb"/>
    <x v="7"/>
    <m/>
    <m/>
  </r>
  <r>
    <n v="64331550"/>
    <x v="1"/>
    <n v="5880"/>
    <d v="2026-02-10T00:00:00"/>
    <s v="MG Double Caramel Bar 1-12PK OOH"/>
    <x v="26"/>
    <n v="1.08E-3"/>
    <n v="493"/>
    <x v="5"/>
    <x v="6"/>
    <n v="1"/>
    <n v="5880"/>
    <n v="6.3504000000000005"/>
    <n v="11.926977687626774"/>
    <s v="Feb"/>
    <x v="7"/>
    <m/>
    <m/>
  </r>
  <r>
    <n v="64331550"/>
    <x v="1"/>
    <n v="14297"/>
    <d v="2026-02-13T00:00:00"/>
    <s v="MG Double Caramel Bar 1-12PK OOH"/>
    <x v="26"/>
    <n v="1.08E-3"/>
    <n v="493"/>
    <x v="5"/>
    <x v="6"/>
    <n v="1"/>
    <n v="14297"/>
    <n v="15.440760000000001"/>
    <n v="29"/>
    <s v="Feb"/>
    <x v="7"/>
    <m/>
    <m/>
  </r>
  <r>
    <n v="64331550"/>
    <x v="1"/>
    <n v="6075"/>
    <d v="2026-02-14T00:00:00"/>
    <s v="MG Double Caramel Bar 1-12PK OOH"/>
    <x v="26"/>
    <n v="1.08E-3"/>
    <n v="493"/>
    <x v="5"/>
    <x v="6"/>
    <n v="1"/>
    <n v="6075"/>
    <n v="6.5609999999999999"/>
    <n v="12.322515212981745"/>
    <s v="Feb"/>
    <x v="7"/>
    <m/>
    <m/>
  </r>
  <r>
    <n v="64331550"/>
    <x v="1"/>
    <n v="1207"/>
    <d v="2026-02-08T00:00:00"/>
    <s v="MG Double Caramel Bar 1-12PK OOH"/>
    <x v="26"/>
    <n v="1.08E-3"/>
    <n v="493"/>
    <x v="5"/>
    <x v="6"/>
    <n v="1"/>
    <n v="1207"/>
    <n v="1.3035600000000001"/>
    <n v="2.4482758620689653"/>
    <s v="Feb"/>
    <x v="7"/>
    <m/>
    <m/>
  </r>
  <r>
    <n v="64331550"/>
    <x v="1"/>
    <n v="3306"/>
    <d v="2026-02-08T00:00:00"/>
    <s v="MG Double Caramel Bar 1-12PK OOH"/>
    <x v="26"/>
    <n v="1.08E-3"/>
    <n v="493"/>
    <x v="5"/>
    <x v="6"/>
    <n v="1"/>
    <n v="3306"/>
    <n v="3.5704799999999999"/>
    <n v="6.7058823529411766"/>
    <s v="Feb"/>
    <x v="7"/>
    <m/>
    <m/>
  </r>
  <r>
    <n v="64331550"/>
    <x v="1"/>
    <n v="4723"/>
    <d v="2026-02-09T00:00:00"/>
    <s v="MG Double Caramel Bar 1-12PK OOH"/>
    <x v="26"/>
    <n v="1.08E-3"/>
    <n v="493"/>
    <x v="5"/>
    <x v="6"/>
    <n v="1"/>
    <n v="4723"/>
    <n v="5.1008399999999998"/>
    <n v="9.5801217038539548"/>
    <s v="Feb"/>
    <x v="7"/>
    <m/>
    <m/>
  </r>
  <r>
    <n v="64341106"/>
    <x v="1"/>
    <n v="1374"/>
    <d v="2026-01-28T00:00:00"/>
    <s v="PS Jolly Rancher Pop 6-18PK"/>
    <x v="16"/>
    <n v="5.2680000000000001E-3"/>
    <n v="130"/>
    <x v="6"/>
    <x v="7"/>
    <n v="1"/>
    <n v="1374"/>
    <n v="7.238232"/>
    <n v="10.569230769230769"/>
    <s v="Jan"/>
    <x v="4"/>
    <m/>
    <m/>
  </r>
  <r>
    <n v="64341106"/>
    <x v="1"/>
    <n v="2486"/>
    <d v="2026-01-29T00:00:00"/>
    <s v="PS Jolly Rancher Pop 6-18PK"/>
    <x v="16"/>
    <n v="5.2680000000000001E-3"/>
    <n v="130"/>
    <x v="6"/>
    <x v="7"/>
    <n v="1"/>
    <n v="2486"/>
    <n v="13.096248000000001"/>
    <n v="19.123076923076923"/>
    <s v="Jan"/>
    <x v="4"/>
    <m/>
    <m/>
  </r>
  <r>
    <n v="64341106"/>
    <x v="1"/>
    <n v="677"/>
    <d v="2026-01-29T00:00:00"/>
    <s v="PS Jolly Rancher Pop 6-18PK"/>
    <x v="16"/>
    <n v="5.2680000000000001E-3"/>
    <n v="130"/>
    <x v="6"/>
    <x v="7"/>
    <n v="1"/>
    <n v="677"/>
    <n v="3.5664359999999999"/>
    <n v="5.2076923076923078"/>
    <s v="Jan"/>
    <x v="4"/>
    <m/>
    <m/>
  </r>
  <r>
    <n v="64341106"/>
    <x v="1"/>
    <n v="1287"/>
    <d v="2026-01-30T00:00:00"/>
    <s v="PS Jolly Rancher Pop 6-18PK"/>
    <x v="16"/>
    <n v="5.2680000000000001E-3"/>
    <n v="130"/>
    <x v="6"/>
    <x v="7"/>
    <n v="1"/>
    <n v="1287"/>
    <n v="6.7799160000000001"/>
    <n v="9.9"/>
    <s v="Jan"/>
    <x v="4"/>
    <m/>
    <m/>
  </r>
  <r>
    <n v="64341106"/>
    <x v="1"/>
    <n v="2080"/>
    <d v="2026-01-30T00:00:00"/>
    <s v="PS Jolly Rancher Pop 6-18PK"/>
    <x v="16"/>
    <n v="5.2680000000000001E-3"/>
    <n v="130"/>
    <x v="6"/>
    <x v="7"/>
    <n v="1"/>
    <n v="2080"/>
    <n v="10.95744"/>
    <n v="16"/>
    <s v="Jan"/>
    <x v="4"/>
    <m/>
    <m/>
  </r>
  <r>
    <n v="64341106"/>
    <x v="1"/>
    <n v="1690"/>
    <d v="2026-01-31T00:00:00"/>
    <s v="PS Jolly Rancher Pop 6-18PK"/>
    <x v="16"/>
    <n v="5.2680000000000001E-3"/>
    <n v="130"/>
    <x v="6"/>
    <x v="7"/>
    <n v="1"/>
    <n v="1690"/>
    <n v="8.9029199999999999"/>
    <n v="13"/>
    <s v="Jan"/>
    <x v="4"/>
    <m/>
    <m/>
  </r>
  <r>
    <n v="64341106"/>
    <x v="1"/>
    <n v="1019"/>
    <d v="2026-02-02T00:00:00"/>
    <s v="PS Jolly Rancher Pop 6-18PK"/>
    <x v="16"/>
    <n v="5.2680000000000001E-3"/>
    <n v="130"/>
    <x v="6"/>
    <x v="7"/>
    <n v="1"/>
    <n v="1019"/>
    <n v="5.3680919999999999"/>
    <n v="7.8384615384615381"/>
    <s v="Feb"/>
    <x v="8"/>
    <m/>
    <m/>
  </r>
  <r>
    <n v="64341106"/>
    <x v="1"/>
    <n v="2860"/>
    <d v="2026-01-31T00:00:00"/>
    <s v="PS Jolly Rancher Pop 6-18PK"/>
    <x v="16"/>
    <n v="5.2680000000000001E-3"/>
    <n v="130"/>
    <x v="6"/>
    <x v="7"/>
    <n v="1"/>
    <n v="2860"/>
    <n v="15.06648"/>
    <n v="22"/>
    <s v="Jan"/>
    <x v="4"/>
    <m/>
    <m/>
  </r>
  <r>
    <n v="64341106"/>
    <x v="1"/>
    <n v="1507"/>
    <d v="2026-02-01T00:00:00"/>
    <s v="PS Jolly Rancher Pop 6-18PK"/>
    <x v="16"/>
    <n v="5.2680000000000001E-3"/>
    <n v="130"/>
    <x v="6"/>
    <x v="7"/>
    <n v="1"/>
    <n v="1507"/>
    <n v="7.9388760000000005"/>
    <n v="11.592307692307692"/>
    <s v="Feb"/>
    <x v="8"/>
    <m/>
    <m/>
  </r>
  <r>
    <n v="64341106"/>
    <x v="1"/>
    <n v="130"/>
    <d v="2026-02-02T00:00:00"/>
    <s v="PS Jolly Rancher Pop 6-18PK"/>
    <x v="16"/>
    <n v="5.2680000000000001E-3"/>
    <n v="130"/>
    <x v="6"/>
    <x v="7"/>
    <n v="1"/>
    <n v="130"/>
    <n v="0.68484"/>
    <n v="1"/>
    <s v="Feb"/>
    <x v="8"/>
    <m/>
    <m/>
  </r>
  <r>
    <n v="64341106"/>
    <x v="1"/>
    <n v="1528"/>
    <d v="2026-02-01T00:00:00"/>
    <s v="PS Jolly Rancher Pop 6-18PK"/>
    <x v="16"/>
    <n v="5.2680000000000001E-3"/>
    <n v="130"/>
    <x v="6"/>
    <x v="7"/>
    <n v="1"/>
    <n v="1528"/>
    <n v="8.0495040000000007"/>
    <n v="11.753846153846155"/>
    <s v="Feb"/>
    <x v="8"/>
    <m/>
    <m/>
  </r>
  <r>
    <n v="64341106"/>
    <x v="1"/>
    <n v="605"/>
    <d v="2026-02-02T00:00:00"/>
    <s v="PS Jolly Rancher Pop 6-18PK"/>
    <x v="16"/>
    <n v="5.2680000000000001E-3"/>
    <n v="130"/>
    <x v="6"/>
    <x v="7"/>
    <n v="1"/>
    <n v="605"/>
    <n v="3.1871399999999999"/>
    <n v="4.6538461538461542"/>
    <s v="Feb"/>
    <x v="8"/>
    <m/>
    <m/>
  </r>
  <r>
    <n v="64341106"/>
    <x v="1"/>
    <n v="1008"/>
    <d v="2026-02-02T00:00:00"/>
    <s v="PS Jolly Rancher Pop 6-18PK"/>
    <x v="16"/>
    <n v="5.2680000000000001E-3"/>
    <n v="130"/>
    <x v="6"/>
    <x v="7"/>
    <n v="1"/>
    <n v="1008"/>
    <n v="5.3101440000000002"/>
    <n v="7.7538461538461538"/>
    <s v="Feb"/>
    <x v="8"/>
    <m/>
    <m/>
  </r>
  <r>
    <n v="64341106"/>
    <x v="1"/>
    <n v="1923"/>
    <d v="2026-02-03T00:00:00"/>
    <s v="PS Jolly Rancher Pop 6-18PK"/>
    <x v="16"/>
    <n v="5.2680000000000001E-3"/>
    <n v="130"/>
    <x v="6"/>
    <x v="7"/>
    <n v="1"/>
    <n v="1923"/>
    <n v="10.130364"/>
    <n v="14.792307692307693"/>
    <s v="Feb"/>
    <x v="8"/>
    <m/>
    <m/>
  </r>
  <r>
    <n v="64341106"/>
    <x v="1"/>
    <n v="1454"/>
    <d v="2026-02-04T00:00:00"/>
    <s v="PS Jolly Rancher Pop 6-18PK"/>
    <x v="16"/>
    <n v="5.2680000000000001E-3"/>
    <n v="130"/>
    <x v="6"/>
    <x v="7"/>
    <n v="1"/>
    <n v="1454"/>
    <n v="7.6596720000000005"/>
    <n v="11.184615384615384"/>
    <s v="Feb"/>
    <x v="8"/>
    <m/>
    <m/>
  </r>
  <r>
    <n v="64341106"/>
    <x v="1"/>
    <n v="781"/>
    <d v="2026-02-04T00:00:00"/>
    <s v="PS Jolly Rancher Pop 6-18PK"/>
    <x v="16"/>
    <n v="5.2680000000000001E-3"/>
    <n v="130"/>
    <x v="6"/>
    <x v="7"/>
    <n v="1"/>
    <n v="781"/>
    <n v="4.1143080000000003"/>
    <n v="6.0076923076923077"/>
    <s v="Feb"/>
    <x v="8"/>
    <m/>
    <m/>
  </r>
  <r>
    <n v="64341106"/>
    <x v="1"/>
    <n v="1406"/>
    <d v="2026-02-05T00:00:00"/>
    <s v="PS Jolly Rancher Pop 6-18PK"/>
    <x v="16"/>
    <n v="5.2680000000000001E-3"/>
    <n v="130"/>
    <x v="6"/>
    <x v="7"/>
    <n v="1"/>
    <n v="1406"/>
    <n v="7.4068079999999998"/>
    <n v="10.815384615384616"/>
    <s v="Feb"/>
    <x v="8"/>
    <m/>
    <m/>
  </r>
  <r>
    <n v="64341106"/>
    <x v="1"/>
    <n v="2340"/>
    <d v="2026-02-05T00:00:00"/>
    <s v="PS Jolly Rancher Pop 6-18PK"/>
    <x v="16"/>
    <n v="5.2680000000000001E-3"/>
    <n v="130"/>
    <x v="6"/>
    <x v="7"/>
    <n v="1"/>
    <n v="2340"/>
    <n v="12.327120000000001"/>
    <n v="18"/>
    <s v="Feb"/>
    <x v="8"/>
    <m/>
    <m/>
  </r>
  <r>
    <n v="64341106"/>
    <x v="1"/>
    <n v="2340"/>
    <d v="2026-02-06T00:00:00"/>
    <s v="PS Jolly Rancher Pop 6-18PK"/>
    <x v="16"/>
    <n v="5.2680000000000001E-3"/>
    <n v="130"/>
    <x v="6"/>
    <x v="7"/>
    <n v="1"/>
    <n v="2340"/>
    <n v="12.327120000000001"/>
    <n v="18"/>
    <s v="Feb"/>
    <x v="8"/>
    <m/>
    <m/>
  </r>
  <r>
    <n v="64341106"/>
    <x v="1"/>
    <n v="1735"/>
    <d v="2026-02-06T00:00:00"/>
    <s v="PS Jolly Rancher Pop 6-18PK"/>
    <x v="16"/>
    <n v="5.2680000000000001E-3"/>
    <n v="130"/>
    <x v="6"/>
    <x v="7"/>
    <n v="1"/>
    <n v="1735"/>
    <n v="9.1399799999999995"/>
    <n v="13.346153846153847"/>
    <s v="Feb"/>
    <x v="8"/>
    <m/>
    <m/>
  </r>
  <r>
    <n v="64341106"/>
    <x v="1"/>
    <n v="2301"/>
    <d v="2026-02-07T00:00:00"/>
    <s v="PS Jolly Rancher Pop 6-18PK"/>
    <x v="16"/>
    <n v="5.2680000000000001E-3"/>
    <n v="130"/>
    <x v="6"/>
    <x v="7"/>
    <n v="1"/>
    <n v="2301"/>
    <n v="12.121668"/>
    <n v="17.7"/>
    <s v="Feb"/>
    <x v="8"/>
    <m/>
    <m/>
  </r>
  <r>
    <n v="64341106"/>
    <x v="1"/>
    <n v="520"/>
    <d v="2026-02-09T00:00:00"/>
    <s v="PS Jolly Rancher Pop 6-18PK"/>
    <x v="16"/>
    <n v="5.2680000000000001E-3"/>
    <n v="130"/>
    <x v="6"/>
    <x v="7"/>
    <n v="1"/>
    <n v="520"/>
    <n v="2.73936"/>
    <n v="4"/>
    <s v="Feb"/>
    <x v="7"/>
    <m/>
    <m/>
  </r>
  <r>
    <n v="64341106"/>
    <x v="1"/>
    <n v="2161"/>
    <d v="2026-02-07T00:00:00"/>
    <s v="PS Jolly Rancher Pop 6-18PK"/>
    <x v="16"/>
    <n v="5.2680000000000001E-3"/>
    <n v="130"/>
    <x v="6"/>
    <x v="7"/>
    <n v="1"/>
    <n v="2161"/>
    <n v="11.384148"/>
    <n v="16.623076923076923"/>
    <s v="Feb"/>
    <x v="8"/>
    <m/>
    <m/>
  </r>
  <r>
    <n v="64341106"/>
    <x v="1"/>
    <n v="1399"/>
    <d v="2026-02-08T00:00:00"/>
    <s v="PS Jolly Rancher Pop 6-18PK"/>
    <x v="16"/>
    <n v="5.2680000000000001E-3"/>
    <n v="130"/>
    <x v="6"/>
    <x v="7"/>
    <n v="1"/>
    <n v="1399"/>
    <n v="7.3699320000000004"/>
    <n v="10.761538461538462"/>
    <s v="Feb"/>
    <x v="7"/>
    <m/>
    <m/>
  </r>
  <r>
    <n v="64341106"/>
    <x v="1"/>
    <n v="89"/>
    <d v="2026-02-09T00:00:00"/>
    <s v="PS Jolly Rancher Pop 6-18PK"/>
    <x v="16"/>
    <n v="5.2680000000000001E-3"/>
    <n v="130"/>
    <x v="6"/>
    <x v="7"/>
    <n v="1"/>
    <n v="89"/>
    <n v="0.46885199999999999"/>
    <n v="0.68461538461538463"/>
    <s v="Feb"/>
    <x v="7"/>
    <m/>
    <m/>
  </r>
  <r>
    <n v="64341106"/>
    <x v="1"/>
    <n v="2108"/>
    <d v="2026-02-08T00:00:00"/>
    <s v="PS Jolly Rancher Pop 6-18PK"/>
    <x v="16"/>
    <n v="5.2680000000000001E-3"/>
    <n v="130"/>
    <x v="6"/>
    <x v="7"/>
    <n v="1"/>
    <n v="2108"/>
    <n v="11.104944"/>
    <n v="16.215384615384615"/>
    <s v="Feb"/>
    <x v="7"/>
    <m/>
    <m/>
  </r>
  <r>
    <n v="64341106"/>
    <x v="1"/>
    <n v="1950"/>
    <d v="2026-02-09T00:00:00"/>
    <s v="PS Jolly Rancher Pop 6-18PK"/>
    <x v="16"/>
    <n v="5.2680000000000001E-3"/>
    <n v="130"/>
    <x v="6"/>
    <x v="7"/>
    <n v="1"/>
    <n v="1950"/>
    <n v="10.272600000000001"/>
    <n v="15"/>
    <s v="Feb"/>
    <x v="7"/>
    <m/>
    <m/>
  </r>
  <r>
    <n v="64341106"/>
    <x v="1"/>
    <n v="1820"/>
    <d v="2026-02-09T00:00:00"/>
    <s v="PS Jolly Rancher Pop 6-18PK"/>
    <x v="16"/>
    <n v="5.2680000000000001E-3"/>
    <n v="130"/>
    <x v="6"/>
    <x v="7"/>
    <n v="1"/>
    <n v="1820"/>
    <n v="9.5877599999999994"/>
    <n v="14"/>
    <s v="Feb"/>
    <x v="7"/>
    <m/>
    <m/>
  </r>
  <r>
    <n v="64341106"/>
    <x v="1"/>
    <n v="1560"/>
    <d v="2026-02-10T00:00:00"/>
    <s v="PS Jolly Rancher Pop 6-18PK"/>
    <x v="16"/>
    <n v="5.2680000000000001E-3"/>
    <n v="130"/>
    <x v="6"/>
    <x v="7"/>
    <n v="1"/>
    <n v="1560"/>
    <n v="8.2180800000000005"/>
    <n v="12"/>
    <s v="Feb"/>
    <x v="7"/>
    <m/>
    <m/>
  </r>
  <r>
    <n v="64341106"/>
    <x v="1"/>
    <n v="71"/>
    <d v="2026-02-10T00:00:00"/>
    <s v="PS Jolly Rancher Pop 6-18PK"/>
    <x v="16"/>
    <n v="5.2680000000000001E-3"/>
    <n v="130"/>
    <x v="6"/>
    <x v="7"/>
    <n v="1"/>
    <n v="71"/>
    <n v="0.37402800000000003"/>
    <n v="0.5461538461538461"/>
    <s v="Feb"/>
    <x v="7"/>
    <m/>
    <m/>
  </r>
  <r>
    <n v="64341106"/>
    <x v="1"/>
    <n v="1300"/>
    <d v="2026-02-11T00:00:00"/>
    <s v="PS Jolly Rancher Pop 6-18PK"/>
    <x v="16"/>
    <n v="5.2680000000000001E-3"/>
    <n v="130"/>
    <x v="6"/>
    <x v="7"/>
    <n v="1"/>
    <n v="1300"/>
    <n v="6.8483999999999998"/>
    <n v="10"/>
    <s v="Feb"/>
    <x v="7"/>
    <m/>
    <m/>
  </r>
  <r>
    <n v="64341106"/>
    <x v="1"/>
    <n v="1820"/>
    <d v="2026-02-11T00:00:00"/>
    <s v="PS Jolly Rancher Pop 6-18PK"/>
    <x v="16"/>
    <n v="5.2680000000000001E-3"/>
    <n v="130"/>
    <x v="6"/>
    <x v="7"/>
    <n v="1"/>
    <n v="1820"/>
    <n v="9.5877599999999994"/>
    <n v="14"/>
    <s v="Feb"/>
    <x v="7"/>
    <m/>
    <m/>
  </r>
  <r>
    <n v="64341106"/>
    <x v="1"/>
    <n v="2197"/>
    <d v="2026-02-12T00:00:00"/>
    <s v="PS Jolly Rancher Pop 6-18PK"/>
    <x v="16"/>
    <n v="5.2680000000000001E-3"/>
    <n v="130"/>
    <x v="6"/>
    <x v="7"/>
    <n v="1"/>
    <n v="2197"/>
    <n v="11.573796"/>
    <n v="16.899999999999999"/>
    <s v="Feb"/>
    <x v="7"/>
    <m/>
    <m/>
  </r>
  <r>
    <n v="64341106"/>
    <x v="1"/>
    <n v="2537"/>
    <d v="2026-02-12T00:00:00"/>
    <s v="PS Jolly Rancher Pop 6-18PK"/>
    <x v="16"/>
    <n v="5.2680000000000001E-3"/>
    <n v="130"/>
    <x v="6"/>
    <x v="7"/>
    <n v="1"/>
    <n v="2537"/>
    <n v="13.364916000000001"/>
    <n v="19.515384615384615"/>
    <s v="Feb"/>
    <x v="7"/>
    <m/>
    <m/>
  </r>
  <r>
    <n v="64341106"/>
    <x v="1"/>
    <n v="1404"/>
    <d v="2026-02-13T00:00:00"/>
    <s v="PS Jolly Rancher Pop 6-18PK"/>
    <x v="16"/>
    <n v="5.2680000000000001E-3"/>
    <n v="130"/>
    <x v="6"/>
    <x v="7"/>
    <n v="1"/>
    <n v="1404"/>
    <n v="7.3962719999999997"/>
    <n v="10.8"/>
    <s v="Feb"/>
    <x v="7"/>
    <m/>
    <m/>
  </r>
  <r>
    <n v="64341106"/>
    <x v="1"/>
    <n v="520"/>
    <d v="2026-02-13T00:00:00"/>
    <s v="PS Jolly Rancher Pop 6-18PK"/>
    <x v="16"/>
    <n v="5.2680000000000001E-3"/>
    <n v="130"/>
    <x v="6"/>
    <x v="7"/>
    <n v="1"/>
    <n v="520"/>
    <n v="2.73936"/>
    <n v="4"/>
    <s v="Feb"/>
    <x v="7"/>
    <m/>
    <m/>
  </r>
  <r>
    <n v="64341106"/>
    <x v="1"/>
    <n v="2219"/>
    <d v="2026-02-14T00:00:00"/>
    <s v="PS Jolly Rancher Pop 6-18PK"/>
    <x v="16"/>
    <n v="5.2680000000000001E-3"/>
    <n v="130"/>
    <x v="6"/>
    <x v="7"/>
    <n v="1"/>
    <n v="2219"/>
    <n v="11.689692000000001"/>
    <n v="17.069230769230771"/>
    <s v="Feb"/>
    <x v="7"/>
    <m/>
    <m/>
  </r>
  <r>
    <n v="64341106"/>
    <x v="1"/>
    <n v="2080"/>
    <d v="2026-02-14T00:00:00"/>
    <s v="PS Jolly Rancher Pop 6-18PK"/>
    <x v="16"/>
    <n v="5.2680000000000001E-3"/>
    <n v="130"/>
    <x v="6"/>
    <x v="7"/>
    <n v="1"/>
    <n v="2080"/>
    <n v="10.95744"/>
    <n v="16"/>
    <s v="Feb"/>
    <x v="7"/>
    <m/>
    <m/>
  </r>
  <r>
    <n v="64341106"/>
    <x v="1"/>
    <n v="2255"/>
    <d v="2026-02-15T00:00:00"/>
    <s v="PS Jolly Rancher Pop 6-18PK"/>
    <x v="16"/>
    <n v="5.2680000000000001E-3"/>
    <n v="130"/>
    <x v="6"/>
    <x v="7"/>
    <n v="1"/>
    <n v="2255"/>
    <n v="11.879340000000001"/>
    <n v="17.346153846153847"/>
    <s v="Feb"/>
    <x v="5"/>
    <m/>
    <m/>
  </r>
  <r>
    <n v="64341106"/>
    <x v="1"/>
    <n v="2340"/>
    <d v="2026-02-15T00:00:00"/>
    <s v="PS Jolly Rancher Pop 6-18PK"/>
    <x v="16"/>
    <n v="5.2680000000000001E-3"/>
    <n v="130"/>
    <x v="6"/>
    <x v="7"/>
    <n v="1"/>
    <n v="2340"/>
    <n v="12.327120000000001"/>
    <n v="18"/>
    <s v="Feb"/>
    <x v="5"/>
    <m/>
    <m/>
  </r>
  <r>
    <n v="64341106"/>
    <x v="1"/>
    <n v="2067"/>
    <d v="2026-02-16T00:00:00"/>
    <s v="PS Jolly Rancher Pop 6-18PK"/>
    <x v="16"/>
    <n v="5.2680000000000001E-3"/>
    <n v="130"/>
    <x v="6"/>
    <x v="7"/>
    <n v="1"/>
    <n v="2067"/>
    <n v="10.888956"/>
    <n v="15.9"/>
    <s v="Feb"/>
    <x v="5"/>
    <m/>
    <m/>
  </r>
  <r>
    <n v="64341106"/>
    <x v="1"/>
    <n v="331"/>
    <d v="2026-02-16T00:00:00"/>
    <s v="PS Jolly Rancher Pop 6-18PK"/>
    <x v="16"/>
    <n v="5.2680000000000001E-3"/>
    <n v="130"/>
    <x v="6"/>
    <x v="7"/>
    <n v="1"/>
    <n v="331"/>
    <n v="1.743708"/>
    <n v="2.546153846153846"/>
    <s v="Feb"/>
    <x v="5"/>
    <m/>
    <m/>
  </r>
  <r>
    <n v="64341106"/>
    <x v="1"/>
    <n v="1207"/>
    <d v="2026-02-17T00:00:00"/>
    <s v="PS Jolly Rancher Pop 6-18PK"/>
    <x v="16"/>
    <n v="5.2680000000000001E-3"/>
    <n v="130"/>
    <x v="6"/>
    <x v="7"/>
    <n v="1"/>
    <n v="1207"/>
    <n v="6.3584760000000005"/>
    <n v="9.2846153846153854"/>
    <s v="Feb"/>
    <x v="5"/>
    <m/>
    <m/>
  </r>
  <r>
    <n v="64341106"/>
    <x v="1"/>
    <n v="1195"/>
    <d v="2026-02-17T00:00:00"/>
    <s v="PS Jolly Rancher Pop 6-18PK"/>
    <x v="16"/>
    <n v="5.2680000000000001E-3"/>
    <n v="130"/>
    <x v="6"/>
    <x v="7"/>
    <n v="1"/>
    <n v="1195"/>
    <n v="6.2952599999999999"/>
    <n v="9.1923076923076916"/>
    <s v="Feb"/>
    <x v="5"/>
    <m/>
    <m/>
  </r>
  <r>
    <n v="64341106"/>
    <x v="1"/>
    <n v="2470"/>
    <d v="2026-02-18T00:00:00"/>
    <s v="PS Jolly Rancher Pop 6-18PK"/>
    <x v="16"/>
    <n v="5.2680000000000001E-3"/>
    <n v="130"/>
    <x v="6"/>
    <x v="7"/>
    <n v="1"/>
    <n v="2470"/>
    <n v="13.01196"/>
    <n v="19"/>
    <s v="Feb"/>
    <x v="5"/>
    <m/>
    <m/>
  </r>
  <r>
    <n v="64341106"/>
    <x v="1"/>
    <n v="922"/>
    <d v="2026-02-18T00:00:00"/>
    <s v="PS Jolly Rancher Pop 6-18PK"/>
    <x v="16"/>
    <n v="5.2680000000000001E-3"/>
    <n v="130"/>
    <x v="6"/>
    <x v="7"/>
    <n v="1"/>
    <n v="922"/>
    <n v="4.8570960000000003"/>
    <n v="7.092307692307692"/>
    <s v="Feb"/>
    <x v="5"/>
    <m/>
    <m/>
  </r>
  <r>
    <n v="64341106"/>
    <x v="1"/>
    <n v="1053"/>
    <d v="2026-02-19T00:00:00"/>
    <s v="PS Jolly Rancher Pop 6-18PK"/>
    <x v="16"/>
    <n v="5.2680000000000001E-3"/>
    <n v="130"/>
    <x v="6"/>
    <x v="7"/>
    <n v="1"/>
    <n v="1053"/>
    <n v="5.5472039999999998"/>
    <n v="8.1"/>
    <s v="Feb"/>
    <x v="5"/>
    <m/>
    <m/>
  </r>
  <r>
    <n v="64341106"/>
    <x v="1"/>
    <n v="1411"/>
    <d v="2026-02-19T00:00:00"/>
    <s v="PS Jolly Rancher Pop 6-18PK"/>
    <x v="16"/>
    <n v="5.2680000000000001E-3"/>
    <n v="130"/>
    <x v="6"/>
    <x v="7"/>
    <n v="1"/>
    <n v="1411"/>
    <n v="7.4331480000000001"/>
    <n v="10.853846153846154"/>
    <s v="Feb"/>
    <x v="5"/>
    <m/>
    <m/>
  </r>
  <r>
    <n v="64341106"/>
    <x v="1"/>
    <n v="247"/>
    <d v="2026-02-20T00:00:00"/>
    <s v="PS Jolly Rancher Pop 6-18PK"/>
    <x v="16"/>
    <n v="5.2680000000000001E-3"/>
    <n v="130"/>
    <x v="6"/>
    <x v="7"/>
    <n v="1"/>
    <n v="247"/>
    <n v="1.301196"/>
    <n v="1.9"/>
    <s v="Feb"/>
    <x v="5"/>
    <m/>
    <m/>
  </r>
  <r>
    <n v="64341106"/>
    <x v="1"/>
    <n v="392"/>
    <d v="2026-02-22T00:00:00"/>
    <s v="PS Jolly Rancher Pop 6-18PK"/>
    <x v="16"/>
    <n v="5.2680000000000001E-3"/>
    <n v="130"/>
    <x v="6"/>
    <x v="7"/>
    <n v="1"/>
    <n v="392"/>
    <n v="2.0650560000000002"/>
    <n v="3.0153846153846153"/>
    <s v="Feb"/>
    <x v="6"/>
    <m/>
    <m/>
  </r>
  <r>
    <n v="64367657"/>
    <x v="1"/>
    <n v="3825"/>
    <d v="2026-01-31T00:00:00"/>
    <s v="TAL LYR CHOC Chip CKE Batter 8p 311.3g"/>
    <x v="9"/>
    <n v="3.552E-3"/>
    <n v="255"/>
    <x v="2"/>
    <x v="3"/>
    <n v="1"/>
    <n v="3825"/>
    <n v="13.586399999999999"/>
    <n v="15"/>
    <s v="Jan"/>
    <x v="4"/>
    <m/>
    <m/>
  </r>
  <r>
    <n v="64367657"/>
    <x v="1"/>
    <n v="2819"/>
    <d v="2026-02-01T00:00:00"/>
    <s v="TAL LYR CHOC Chip CKE Batter 8p 311.3g"/>
    <x v="9"/>
    <n v="3.552E-3"/>
    <n v="255"/>
    <x v="2"/>
    <x v="3"/>
    <n v="1"/>
    <n v="2819"/>
    <n v="10.013088"/>
    <n v="11.054901960784314"/>
    <s v="Feb"/>
    <x v="8"/>
    <m/>
    <m/>
  </r>
  <r>
    <n v="64367657"/>
    <x v="1"/>
    <n v="6373"/>
    <d v="2026-02-01T00:00:00"/>
    <s v="TAL LYR CHOC Chip CKE Batter 8p 311.3g"/>
    <x v="9"/>
    <n v="3.552E-3"/>
    <n v="255"/>
    <x v="2"/>
    <x v="3"/>
    <n v="1"/>
    <n v="6373"/>
    <n v="22.636896"/>
    <n v="24.992156862745098"/>
    <s v="Feb"/>
    <x v="8"/>
    <m/>
    <m/>
  </r>
  <r>
    <n v="64367657"/>
    <x v="1"/>
    <n v="7106"/>
    <d v="2026-02-02T00:00:00"/>
    <s v="TAL LYR CHOC Chip CKE Batter 8p 311.3g"/>
    <x v="9"/>
    <n v="3.552E-3"/>
    <n v="255"/>
    <x v="2"/>
    <x v="3"/>
    <n v="1"/>
    <n v="7106"/>
    <n v="25.240511999999999"/>
    <n v="27.866666666666667"/>
    <s v="Feb"/>
    <x v="8"/>
    <m/>
    <m/>
  </r>
  <r>
    <n v="64367657"/>
    <x v="1"/>
    <n v="4008"/>
    <d v="2026-02-02T00:00:00"/>
    <s v="TAL LYR CHOC Chip CKE Batter 8p 311.3g"/>
    <x v="9"/>
    <n v="3.552E-3"/>
    <n v="255"/>
    <x v="2"/>
    <x v="3"/>
    <n v="1"/>
    <n v="4008"/>
    <n v="14.236416"/>
    <n v="15.717647058823529"/>
    <s v="Feb"/>
    <x v="8"/>
    <m/>
    <m/>
  </r>
  <r>
    <n v="64367657"/>
    <x v="1"/>
    <n v="7794"/>
    <d v="2026-02-03T00:00:00"/>
    <s v="TAL LYR CHOC Chip CKE Batter 8p 311.3g"/>
    <x v="9"/>
    <n v="3.552E-3"/>
    <n v="255"/>
    <x v="2"/>
    <x v="3"/>
    <n v="1"/>
    <n v="7794"/>
    <n v="27.684287999999999"/>
    <n v="30.564705882352943"/>
    <s v="Feb"/>
    <x v="8"/>
    <m/>
    <m/>
  </r>
  <r>
    <n v="64367657"/>
    <x v="1"/>
    <n v="255"/>
    <d v="2026-02-03T00:00:00"/>
    <s v="TAL LYR CHOC Chip CKE Batter 8p 311.3g"/>
    <x v="9"/>
    <n v="3.552E-3"/>
    <n v="255"/>
    <x v="2"/>
    <x v="3"/>
    <n v="1"/>
    <n v="255"/>
    <n v="0.90576000000000001"/>
    <n v="1"/>
    <s v="Feb"/>
    <x v="8"/>
    <m/>
    <m/>
  </r>
  <r>
    <n v="64367657"/>
    <x v="1"/>
    <n v="76"/>
    <d v="2026-02-04T00:00:00"/>
    <s v="TAL LYR CHOC Chip CKE Batter 8p 311.3g"/>
    <x v="9"/>
    <n v="3.552E-3"/>
    <n v="255"/>
    <x v="2"/>
    <x v="3"/>
    <n v="1"/>
    <n v="76"/>
    <n v="0.26995200000000003"/>
    <n v="0.29803921568627451"/>
    <s v="Feb"/>
    <x v="8"/>
    <m/>
    <m/>
  </r>
  <r>
    <n v="64369026"/>
    <x v="1"/>
    <n v="6453"/>
    <d v="2026-02-17T00:00:00"/>
    <s v="TAL Strawberry Sorbetto 8 1PT"/>
    <x v="8"/>
    <n v="3.7839999999999996E-3"/>
    <n v="255"/>
    <x v="2"/>
    <x v="3"/>
    <n v="1"/>
    <n v="6453"/>
    <n v="24.418151999999999"/>
    <n v="25.305882352941175"/>
    <s v="Feb"/>
    <x v="5"/>
    <m/>
    <m/>
  </r>
  <r>
    <n v="64369026"/>
    <x v="1"/>
    <n v="17238"/>
    <d v="2026-02-18T00:00:00"/>
    <s v="TAL Strawberry Sorbetto 8 1PT"/>
    <x v="8"/>
    <n v="3.7839999999999996E-3"/>
    <n v="255"/>
    <x v="2"/>
    <x v="3"/>
    <n v="1"/>
    <n v="17238"/>
    <n v="65.228591999999992"/>
    <n v="67.599999999999994"/>
    <s v="Feb"/>
    <x v="5"/>
    <m/>
    <m/>
  </r>
  <r>
    <n v="64369026"/>
    <x v="1"/>
    <n v="17394"/>
    <d v="2026-02-18T00:00:00"/>
    <s v="TAL Strawberry Sorbetto 8 1PT"/>
    <x v="8"/>
    <n v="3.7839999999999996E-3"/>
    <n v="255"/>
    <x v="2"/>
    <x v="3"/>
    <n v="1"/>
    <n v="17394"/>
    <n v="65.818895999999995"/>
    <n v="68.211764705882359"/>
    <s v="Feb"/>
    <x v="5"/>
    <m/>
    <m/>
  </r>
  <r>
    <n v="64369026"/>
    <x v="1"/>
    <n v="19244"/>
    <d v="2026-02-19T00:00:00"/>
    <s v="TAL Strawberry Sorbetto 8 1PT"/>
    <x v="8"/>
    <n v="3.7839999999999996E-3"/>
    <n v="255"/>
    <x v="2"/>
    <x v="3"/>
    <n v="1"/>
    <n v="19244"/>
    <n v="72.819295999999994"/>
    <n v="75.466666666666669"/>
    <s v="Feb"/>
    <x v="5"/>
    <m/>
    <m/>
  </r>
  <r>
    <n v="64369026"/>
    <x v="1"/>
    <n v="16995"/>
    <d v="2026-02-19T00:00:00"/>
    <s v="TAL Strawberry Sorbetto 8 1PT"/>
    <x v="8"/>
    <n v="3.7839999999999996E-3"/>
    <n v="255"/>
    <x v="2"/>
    <x v="3"/>
    <n v="1"/>
    <n v="16995"/>
    <n v="64.309079999999994"/>
    <n v="66.647058823529406"/>
    <s v="Feb"/>
    <x v="5"/>
    <m/>
    <m/>
  </r>
  <r>
    <n v="64369026"/>
    <x v="1"/>
    <n v="17595"/>
    <d v="2026-02-20T00:00:00"/>
    <s v="TAL Strawberry Sorbetto 8 1PT"/>
    <x v="8"/>
    <n v="3.7839999999999996E-3"/>
    <n v="255"/>
    <x v="2"/>
    <x v="3"/>
    <n v="1"/>
    <n v="17595"/>
    <n v="66.57947999999999"/>
    <n v="69"/>
    <s v="Feb"/>
    <x v="5"/>
    <m/>
    <m/>
  </r>
  <r>
    <n v="64369026"/>
    <x v="1"/>
    <n v="1421"/>
    <d v="2026-02-20T00:00:00"/>
    <s v="TAL Strawberry Sorbetto 8 1PT"/>
    <x v="8"/>
    <n v="3.7839999999999996E-3"/>
    <n v="255"/>
    <x v="2"/>
    <x v="3"/>
    <n v="1"/>
    <n v="1421"/>
    <n v="5.3770639999999998"/>
    <n v="5.5725490196078429"/>
    <s v="Feb"/>
    <x v="5"/>
    <m/>
    <m/>
  </r>
  <r>
    <n v="64369035"/>
    <x v="1"/>
    <n v="6423"/>
    <d v="2026-02-12T00:00:00"/>
    <s v="TAL ND Caramel Toffee Crunch 8 1PT"/>
    <x v="9"/>
    <n v="3.7839999999999996E-3"/>
    <n v="255"/>
    <x v="2"/>
    <x v="3"/>
    <n v="1"/>
    <n v="6423"/>
    <n v="24.304631999999998"/>
    <n v="25.188235294117646"/>
    <s v="Feb"/>
    <x v="7"/>
    <m/>
    <m/>
  </r>
  <r>
    <n v="64369035"/>
    <x v="1"/>
    <n v="5085"/>
    <d v="2026-02-13T00:00:00"/>
    <s v="TAL ND Caramel Toffee Crunch 8 1PT"/>
    <x v="9"/>
    <n v="3.7839999999999996E-3"/>
    <n v="255"/>
    <x v="2"/>
    <x v="3"/>
    <n v="1"/>
    <n v="5085"/>
    <n v="19.241639999999997"/>
    <n v="19.941176470588236"/>
    <s v="Feb"/>
    <x v="7"/>
    <m/>
    <m/>
  </r>
  <r>
    <n v="64369035"/>
    <x v="1"/>
    <n v="1275"/>
    <d v="2026-02-11T00:00:00"/>
    <s v="TAL ND Caramel Toffee Crunch 8 1PT"/>
    <x v="9"/>
    <n v="3.7839999999999996E-3"/>
    <n v="255"/>
    <x v="2"/>
    <x v="3"/>
    <n v="1"/>
    <n v="1275"/>
    <n v="4.8245999999999993"/>
    <n v="5"/>
    <s v="Feb"/>
    <x v="7"/>
    <m/>
    <m/>
  </r>
  <r>
    <n v="64369035"/>
    <x v="1"/>
    <n v="6085"/>
    <d v="2026-02-12T00:00:00"/>
    <s v="TAL ND Caramel Toffee Crunch 8 1PT"/>
    <x v="9"/>
    <n v="3.7839999999999996E-3"/>
    <n v="255"/>
    <x v="2"/>
    <x v="3"/>
    <n v="1"/>
    <n v="6085"/>
    <n v="23.025639999999999"/>
    <n v="23.862745098039216"/>
    <s v="Feb"/>
    <x v="7"/>
    <m/>
    <m/>
  </r>
  <r>
    <n v="64373718"/>
    <x v="1"/>
    <n v="1408"/>
    <d v="2026-01-30T00:00:00"/>
    <s v="BR Smores 6 1.5QT"/>
    <x v="5"/>
    <n v="8.5199999999999998E-3"/>
    <n v="176"/>
    <x v="0"/>
    <x v="1"/>
    <n v="1"/>
    <n v="1408"/>
    <n v="11.99616"/>
    <n v="8"/>
    <s v="Jan"/>
    <x v="4"/>
    <m/>
    <m/>
  </r>
  <r>
    <n v="64373718"/>
    <x v="1"/>
    <n v="3089"/>
    <d v="2026-01-31T00:00:00"/>
    <s v="BR Smores 6 1.5QT"/>
    <x v="5"/>
    <n v="8.5199999999999998E-3"/>
    <n v="176"/>
    <x v="0"/>
    <x v="1"/>
    <n v="1"/>
    <n v="3089"/>
    <n v="26.318279999999998"/>
    <n v="17.551136363636363"/>
    <s v="Jan"/>
    <x v="4"/>
    <m/>
    <m/>
  </r>
  <r>
    <n v="64373718"/>
    <x v="1"/>
    <n v="7920"/>
    <d v="2026-01-31T00:00:00"/>
    <s v="BR Smores 6 1.5QT"/>
    <x v="5"/>
    <n v="8.5199999999999998E-3"/>
    <n v="176"/>
    <x v="0"/>
    <x v="1"/>
    <n v="1"/>
    <n v="7920"/>
    <n v="67.478399999999993"/>
    <n v="45"/>
    <s v="Jan"/>
    <x v="4"/>
    <m/>
    <m/>
  </r>
  <r>
    <n v="64373718"/>
    <x v="1"/>
    <n v="5280"/>
    <d v="2026-02-01T00:00:00"/>
    <s v="BR Smores 6 1.5QT"/>
    <x v="5"/>
    <n v="8.5199999999999998E-3"/>
    <n v="176"/>
    <x v="0"/>
    <x v="1"/>
    <n v="1"/>
    <n v="5280"/>
    <n v="44.985599999999998"/>
    <n v="30"/>
    <s v="Feb"/>
    <x v="8"/>
    <m/>
    <m/>
  </r>
  <r>
    <n v="64373718"/>
    <x v="1"/>
    <n v="-176"/>
    <d v="2026-02-06T00:00:00"/>
    <s v="BR Smores 6 1.5QT"/>
    <x v="5"/>
    <n v="8.5199999999999998E-3"/>
    <n v="176"/>
    <x v="0"/>
    <x v="1"/>
    <n v="1"/>
    <n v="-176"/>
    <n v="-1.49952"/>
    <n v="-1"/>
    <s v="Feb"/>
    <x v="8"/>
    <m/>
    <m/>
  </r>
  <r>
    <n v="64373718"/>
    <x v="1"/>
    <n v="4281"/>
    <d v="2026-02-01T00:00:00"/>
    <s v="BR Smores 6 1.5QT"/>
    <x v="5"/>
    <n v="8.5199999999999998E-3"/>
    <n v="176"/>
    <x v="0"/>
    <x v="1"/>
    <n v="1"/>
    <n v="4281"/>
    <n v="36.474119999999999"/>
    <n v="24.323863636363637"/>
    <s v="Feb"/>
    <x v="8"/>
    <m/>
    <m/>
  </r>
  <r>
    <n v="64373718"/>
    <x v="1"/>
    <n v="5632"/>
    <d v="2026-02-02T00:00:00"/>
    <s v="BR Smores 6 1.5QT"/>
    <x v="5"/>
    <n v="8.5199999999999998E-3"/>
    <n v="176"/>
    <x v="0"/>
    <x v="1"/>
    <n v="1"/>
    <n v="5632"/>
    <n v="47.984639999999999"/>
    <n v="32"/>
    <s v="Feb"/>
    <x v="8"/>
    <m/>
    <m/>
  </r>
  <r>
    <n v="64373718"/>
    <x v="1"/>
    <n v="5021"/>
    <d v="2026-02-03T00:00:00"/>
    <s v="BR Smores 6 1.5QT"/>
    <x v="5"/>
    <n v="8.5199999999999998E-3"/>
    <n v="176"/>
    <x v="0"/>
    <x v="1"/>
    <n v="1"/>
    <n v="5021"/>
    <n v="42.778919999999999"/>
    <n v="28.52840909090909"/>
    <s v="Feb"/>
    <x v="8"/>
    <m/>
    <m/>
  </r>
  <r>
    <n v="64373718"/>
    <x v="1"/>
    <n v="7689"/>
    <d v="2026-02-04T00:00:00"/>
    <s v="BR Smores 6 1.5QT"/>
    <x v="5"/>
    <n v="8.5199999999999998E-3"/>
    <n v="176"/>
    <x v="0"/>
    <x v="1"/>
    <n v="1"/>
    <n v="7689"/>
    <n v="65.510279999999995"/>
    <n v="43.6875"/>
    <s v="Feb"/>
    <x v="8"/>
    <m/>
    <m/>
  </r>
  <r>
    <n v="64373718"/>
    <x v="1"/>
    <n v="4515"/>
    <d v="2026-02-04T00:00:00"/>
    <s v="BR Smores 6 1.5QT"/>
    <x v="5"/>
    <n v="8.5199999999999998E-3"/>
    <n v="176"/>
    <x v="0"/>
    <x v="1"/>
    <n v="1"/>
    <n v="4515"/>
    <n v="38.467799999999997"/>
    <n v="25.65340909090909"/>
    <s v="Feb"/>
    <x v="8"/>
    <m/>
    <m/>
  </r>
  <r>
    <n v="64373718"/>
    <x v="1"/>
    <n v="5746"/>
    <d v="2026-02-05T00:00:00"/>
    <s v="BR Smores 6 1.5QT"/>
    <x v="5"/>
    <n v="8.5199999999999998E-3"/>
    <n v="176"/>
    <x v="0"/>
    <x v="1"/>
    <n v="1"/>
    <n v="5746"/>
    <n v="48.955919999999999"/>
    <n v="32.647727272727273"/>
    <s v="Feb"/>
    <x v="8"/>
    <m/>
    <m/>
  </r>
  <r>
    <n v="64373718"/>
    <x v="1"/>
    <n v="3872"/>
    <d v="2026-02-05T00:00:00"/>
    <s v="BR Smores 6 1.5QT"/>
    <x v="5"/>
    <n v="8.5199999999999998E-3"/>
    <n v="176"/>
    <x v="0"/>
    <x v="1"/>
    <n v="1"/>
    <n v="3872"/>
    <n v="32.989440000000002"/>
    <n v="22"/>
    <s v="Feb"/>
    <x v="8"/>
    <m/>
    <m/>
  </r>
  <r>
    <n v="64373718"/>
    <x v="1"/>
    <n v="381"/>
    <d v="2026-02-06T00:00:00"/>
    <s v="BR Smores 6 1.5QT"/>
    <x v="5"/>
    <n v="8.5199999999999998E-3"/>
    <n v="176"/>
    <x v="0"/>
    <x v="1"/>
    <n v="1"/>
    <n v="381"/>
    <n v="3.2461199999999999"/>
    <n v="2.1647727272727271"/>
    <s v="Feb"/>
    <x v="8"/>
    <m/>
    <m/>
  </r>
  <r>
    <n v="64373718"/>
    <x v="1"/>
    <n v="6103"/>
    <d v="2026-02-02T00:00:00"/>
    <s v="BR Smores 6 1.5QT"/>
    <x v="5"/>
    <n v="8.5199999999999998E-3"/>
    <n v="176"/>
    <x v="0"/>
    <x v="1"/>
    <n v="1"/>
    <n v="6103"/>
    <n v="51.99756"/>
    <n v="34.676136363636367"/>
    <s v="Feb"/>
    <x v="8"/>
    <m/>
    <m/>
  </r>
  <r>
    <n v="64373718"/>
    <x v="1"/>
    <n v="5764"/>
    <d v="2026-02-03T00:00:00"/>
    <s v="BR Smores 6 1.5QT"/>
    <x v="5"/>
    <n v="8.5199999999999998E-3"/>
    <n v="176"/>
    <x v="0"/>
    <x v="1"/>
    <n v="1"/>
    <n v="5764"/>
    <n v="49.109279999999998"/>
    <n v="32.75"/>
    <s v="Feb"/>
    <x v="8"/>
    <m/>
    <m/>
  </r>
  <r>
    <n v="64393722"/>
    <x v="1"/>
    <n v="5148"/>
    <d v="2026-01-28T00:00:00"/>
    <s v="MG Double Raspberry Bar 8-3PK"/>
    <x v="26"/>
    <n v="2.16E-3"/>
    <n v="210"/>
    <x v="5"/>
    <x v="6"/>
    <n v="1"/>
    <n v="5148"/>
    <n v="11.119680000000001"/>
    <n v="24.514285714285716"/>
    <s v="Jan"/>
    <x v="4"/>
    <m/>
    <m/>
  </r>
  <r>
    <n v="64393722"/>
    <x v="1"/>
    <n v="4657"/>
    <d v="2026-01-28T00:00:00"/>
    <s v="MG Double Raspberry Bar 8-3PK"/>
    <x v="26"/>
    <n v="2.16E-3"/>
    <n v="210"/>
    <x v="5"/>
    <x v="6"/>
    <n v="1"/>
    <n v="4657"/>
    <n v="10.05912"/>
    <n v="22.176190476190477"/>
    <s v="Jan"/>
    <x v="4"/>
    <m/>
    <m/>
  </r>
  <r>
    <n v="64393722"/>
    <x v="1"/>
    <n v="5412"/>
    <d v="2026-01-29T00:00:00"/>
    <s v="MG Double Raspberry Bar 8-3PK"/>
    <x v="26"/>
    <n v="2.16E-3"/>
    <n v="210"/>
    <x v="5"/>
    <x v="6"/>
    <n v="1"/>
    <n v="5412"/>
    <n v="11.689920000000001"/>
    <n v="25.771428571428572"/>
    <s v="Jan"/>
    <x v="4"/>
    <m/>
    <m/>
  </r>
  <r>
    <n v="64393722"/>
    <x v="1"/>
    <n v="3466"/>
    <d v="2026-01-29T00:00:00"/>
    <s v="MG Double Raspberry Bar 8-3PK"/>
    <x v="26"/>
    <n v="2.16E-3"/>
    <n v="210"/>
    <x v="5"/>
    <x v="6"/>
    <n v="1"/>
    <n v="3466"/>
    <n v="7.4865599999999999"/>
    <n v="16.504761904761907"/>
    <s v="Jan"/>
    <x v="4"/>
    <m/>
    <m/>
  </r>
  <r>
    <n v="64393722"/>
    <x v="1"/>
    <n v="7226"/>
    <d v="2026-01-30T00:00:00"/>
    <s v="MG Double Raspberry Bar 8-3PK"/>
    <x v="26"/>
    <n v="2.16E-3"/>
    <n v="210"/>
    <x v="5"/>
    <x v="6"/>
    <n v="1"/>
    <n v="7226"/>
    <n v="15.60816"/>
    <n v="34.409523809523812"/>
    <s v="Jan"/>
    <x v="4"/>
    <m/>
    <m/>
  </r>
  <r>
    <n v="64393722"/>
    <x v="1"/>
    <n v="4578"/>
    <d v="2026-01-30T00:00:00"/>
    <s v="MG Double Raspberry Bar 8-3PK"/>
    <x v="26"/>
    <n v="2.16E-3"/>
    <n v="210"/>
    <x v="5"/>
    <x v="6"/>
    <n v="1"/>
    <n v="4578"/>
    <n v="9.8884799999999995"/>
    <n v="21.8"/>
    <s v="Jan"/>
    <x v="4"/>
    <m/>
    <m/>
  </r>
  <r>
    <n v="64393722"/>
    <x v="1"/>
    <n v="5628"/>
    <d v="2026-01-31T00:00:00"/>
    <s v="MG Double Raspberry Bar 8-3PK"/>
    <x v="26"/>
    <n v="2.16E-3"/>
    <n v="210"/>
    <x v="5"/>
    <x v="6"/>
    <n v="1"/>
    <n v="5628"/>
    <n v="12.15648"/>
    <n v="26.8"/>
    <s v="Jan"/>
    <x v="4"/>
    <m/>
    <m/>
  </r>
  <r>
    <n v="64393722"/>
    <x v="1"/>
    <n v="2150"/>
    <d v="2026-02-02T00:00:00"/>
    <s v="MG Double Raspberry Bar 8-3PK"/>
    <x v="26"/>
    <n v="2.16E-3"/>
    <n v="210"/>
    <x v="5"/>
    <x v="6"/>
    <n v="1"/>
    <n v="2150"/>
    <n v="4.6440000000000001"/>
    <n v="10.238095238095237"/>
    <s v="Feb"/>
    <x v="8"/>
    <m/>
    <m/>
  </r>
  <r>
    <n v="64393722"/>
    <x v="1"/>
    <n v="7514"/>
    <d v="2026-01-31T00:00:00"/>
    <s v="MG Double Raspberry Bar 8-3PK"/>
    <x v="26"/>
    <n v="2.16E-3"/>
    <n v="210"/>
    <x v="5"/>
    <x v="6"/>
    <n v="1"/>
    <n v="7514"/>
    <n v="16.230239999999998"/>
    <n v="35.780952380952378"/>
    <s v="Jan"/>
    <x v="4"/>
    <m/>
    <m/>
  </r>
  <r>
    <n v="64393722"/>
    <x v="1"/>
    <n v="5670"/>
    <d v="2026-02-01T00:00:00"/>
    <s v="MG Double Raspberry Bar 8-3PK"/>
    <x v="26"/>
    <n v="2.16E-3"/>
    <n v="210"/>
    <x v="5"/>
    <x v="6"/>
    <n v="1"/>
    <n v="5670"/>
    <n v="12.247199999999999"/>
    <n v="27"/>
    <s v="Feb"/>
    <x v="8"/>
    <m/>
    <m/>
  </r>
  <r>
    <n v="64393722"/>
    <x v="1"/>
    <n v="5250"/>
    <d v="2026-02-01T00:00:00"/>
    <s v="MG Double Raspberry Bar 8-3PK"/>
    <x v="26"/>
    <n v="2.16E-3"/>
    <n v="210"/>
    <x v="5"/>
    <x v="6"/>
    <n v="1"/>
    <n v="5250"/>
    <n v="11.34"/>
    <n v="25"/>
    <s v="Feb"/>
    <x v="8"/>
    <m/>
    <m/>
  </r>
  <r>
    <n v="64393722"/>
    <x v="1"/>
    <n v="6300"/>
    <d v="2026-02-02T00:00:00"/>
    <s v="MG Double Raspberry Bar 8-3PK"/>
    <x v="26"/>
    <n v="2.16E-3"/>
    <n v="210"/>
    <x v="5"/>
    <x v="6"/>
    <n v="1"/>
    <n v="6300"/>
    <n v="13.608000000000001"/>
    <n v="30"/>
    <s v="Feb"/>
    <x v="8"/>
    <m/>
    <m/>
  </r>
  <r>
    <n v="64393722"/>
    <x v="1"/>
    <n v="4172"/>
    <d v="2026-02-02T00:00:00"/>
    <s v="MG Double Raspberry Bar 8-3PK"/>
    <x v="26"/>
    <n v="2.16E-3"/>
    <n v="210"/>
    <x v="5"/>
    <x v="6"/>
    <n v="1"/>
    <n v="4172"/>
    <n v="9.0115200000000009"/>
    <n v="19.866666666666667"/>
    <s v="Feb"/>
    <x v="8"/>
    <m/>
    <m/>
  </r>
  <r>
    <n v="64393722"/>
    <x v="1"/>
    <n v="5460"/>
    <d v="2026-02-03T00:00:00"/>
    <s v="MG Double Raspberry Bar 8-3PK"/>
    <x v="26"/>
    <n v="2.16E-3"/>
    <n v="210"/>
    <x v="5"/>
    <x v="6"/>
    <n v="1"/>
    <n v="5460"/>
    <n v="11.7936"/>
    <n v="26"/>
    <s v="Feb"/>
    <x v="8"/>
    <m/>
    <m/>
  </r>
  <r>
    <n v="64393722"/>
    <x v="1"/>
    <n v="3985"/>
    <d v="2026-02-03T00:00:00"/>
    <s v="MG Double Raspberry Bar 8-3PK"/>
    <x v="26"/>
    <n v="2.16E-3"/>
    <n v="210"/>
    <x v="5"/>
    <x v="6"/>
    <n v="1"/>
    <n v="3985"/>
    <n v="8.6075999999999997"/>
    <n v="18.976190476190474"/>
    <s v="Feb"/>
    <x v="8"/>
    <m/>
    <m/>
  </r>
  <r>
    <n v="64393722"/>
    <x v="1"/>
    <n v="4417"/>
    <d v="2026-02-04T00:00:00"/>
    <s v="MG Double Raspberry Bar 8-3PK"/>
    <x v="26"/>
    <n v="2.16E-3"/>
    <n v="210"/>
    <x v="5"/>
    <x v="6"/>
    <n v="1"/>
    <n v="4417"/>
    <n v="9.5407200000000003"/>
    <n v="21.033333333333335"/>
    <s v="Feb"/>
    <x v="8"/>
    <m/>
    <m/>
  </r>
  <r>
    <n v="64393722"/>
    <x v="1"/>
    <n v="5040"/>
    <d v="2026-02-16T00:00:00"/>
    <s v="MG Double Raspberry Bar 8-3PK"/>
    <x v="26"/>
    <n v="2.16E-3"/>
    <n v="210"/>
    <x v="5"/>
    <x v="6"/>
    <n v="1"/>
    <n v="5040"/>
    <n v="10.8864"/>
    <n v="24"/>
    <s v="Feb"/>
    <x v="5"/>
    <m/>
    <m/>
  </r>
  <r>
    <n v="64393722"/>
    <x v="1"/>
    <n v="303"/>
    <d v="2026-02-17T00:00:00"/>
    <s v="MG Double Raspberry Bar 8-3PK"/>
    <x v="26"/>
    <n v="2.16E-3"/>
    <n v="210"/>
    <x v="5"/>
    <x v="6"/>
    <n v="1"/>
    <n v="303"/>
    <n v="0.65448000000000006"/>
    <n v="1.4428571428571428"/>
    <s v="Feb"/>
    <x v="5"/>
    <m/>
    <m/>
  </r>
  <r>
    <n v="64393722"/>
    <x v="1"/>
    <n v="420"/>
    <d v="2026-02-14T00:00:00"/>
    <s v="MG Double Raspberry Bar 8-3PK"/>
    <x v="26"/>
    <n v="2.16E-3"/>
    <n v="210"/>
    <x v="5"/>
    <x v="6"/>
    <n v="1"/>
    <n v="420"/>
    <n v="0.90720000000000001"/>
    <n v="2"/>
    <s v="Feb"/>
    <x v="7"/>
    <m/>
    <m/>
  </r>
  <r>
    <n v="64393722"/>
    <x v="1"/>
    <n v="5854"/>
    <d v="2026-02-15T00:00:00"/>
    <s v="MG Double Raspberry Bar 8-3PK"/>
    <x v="26"/>
    <n v="2.16E-3"/>
    <n v="210"/>
    <x v="5"/>
    <x v="6"/>
    <n v="1"/>
    <n v="5854"/>
    <n v="12.644640000000001"/>
    <n v="27.876190476190477"/>
    <s v="Feb"/>
    <x v="5"/>
    <m/>
    <m/>
  </r>
  <r>
    <n v="64393722"/>
    <x v="1"/>
    <n v="7559"/>
    <d v="2026-02-15T00:00:00"/>
    <s v="MG Double Raspberry Bar 8-3PK"/>
    <x v="26"/>
    <n v="2.16E-3"/>
    <n v="210"/>
    <x v="5"/>
    <x v="6"/>
    <n v="1"/>
    <n v="7559"/>
    <n v="16.327439999999999"/>
    <n v="35.995238095238093"/>
    <s v="Feb"/>
    <x v="5"/>
    <m/>
    <m/>
  </r>
  <r>
    <n v="64393722"/>
    <x v="1"/>
    <n v="6042"/>
    <d v="2026-02-16T00:00:00"/>
    <s v="MG Double Raspberry Bar 8-3PK"/>
    <x v="26"/>
    <n v="2.16E-3"/>
    <n v="210"/>
    <x v="5"/>
    <x v="6"/>
    <n v="1"/>
    <n v="6042"/>
    <n v="13.05072"/>
    <n v="28.771428571428572"/>
    <s v="Feb"/>
    <x v="5"/>
    <m/>
    <m/>
  </r>
  <r>
    <n v="64393722"/>
    <x v="1"/>
    <n v="210"/>
    <d v="2026-02-17T00:00:00"/>
    <s v="MG Double Raspberry Bar 8-3PK"/>
    <x v="26"/>
    <n v="2.16E-3"/>
    <n v="210"/>
    <x v="5"/>
    <x v="6"/>
    <n v="1"/>
    <n v="210"/>
    <n v="0.4536"/>
    <n v="1"/>
    <s v="Feb"/>
    <x v="5"/>
    <m/>
    <m/>
  </r>
  <r>
    <n v="64393723"/>
    <x v="1"/>
    <n v="5773"/>
    <d v="2026-02-06T00:00:00"/>
    <s v="MG Double Chocolate Bar 8-3PK"/>
    <x v="26"/>
    <n v="2.16E-3"/>
    <n v="210"/>
    <x v="5"/>
    <x v="6"/>
    <n v="1"/>
    <n v="5773"/>
    <n v="12.46968"/>
    <n v="27.490476190476191"/>
    <s v="Feb"/>
    <x v="8"/>
    <m/>
    <m/>
  </r>
  <r>
    <n v="64393723"/>
    <x v="1"/>
    <n v="6440"/>
    <d v="2026-02-07T00:00:00"/>
    <s v="MG Double Chocolate Bar 8-3PK"/>
    <x v="26"/>
    <n v="2.16E-3"/>
    <n v="210"/>
    <x v="5"/>
    <x v="6"/>
    <n v="1"/>
    <n v="6440"/>
    <n v="13.910400000000001"/>
    <n v="30.666666666666668"/>
    <s v="Feb"/>
    <x v="8"/>
    <m/>
    <m/>
  </r>
  <r>
    <n v="64393723"/>
    <x v="1"/>
    <n v="1260"/>
    <d v="2026-02-09T00:00:00"/>
    <s v="MG Double Chocolate Bar 8-3PK"/>
    <x v="26"/>
    <n v="2.16E-3"/>
    <n v="210"/>
    <x v="5"/>
    <x v="6"/>
    <n v="1"/>
    <n v="1260"/>
    <n v="2.7216"/>
    <n v="6"/>
    <s v="Feb"/>
    <x v="7"/>
    <m/>
    <m/>
  </r>
  <r>
    <n v="64393723"/>
    <x v="1"/>
    <n v="968"/>
    <d v="2026-02-07T00:00:00"/>
    <s v="MG Double Chocolate Bar 8-3PK"/>
    <x v="26"/>
    <n v="2.16E-3"/>
    <n v="210"/>
    <x v="5"/>
    <x v="6"/>
    <n v="1"/>
    <n v="968"/>
    <n v="2.0908799999999998"/>
    <n v="4.6095238095238091"/>
    <s v="Feb"/>
    <x v="8"/>
    <m/>
    <m/>
  </r>
  <r>
    <n v="64393723"/>
    <x v="1"/>
    <n v="1050"/>
    <d v="2026-02-04T00:00:00"/>
    <s v="MG Double Chocolate Bar 8-3PK"/>
    <x v="26"/>
    <n v="2.16E-3"/>
    <n v="210"/>
    <x v="5"/>
    <x v="6"/>
    <n v="1"/>
    <n v="1050"/>
    <n v="2.2680000000000002"/>
    <n v="5"/>
    <s v="Feb"/>
    <x v="8"/>
    <m/>
    <m/>
  </r>
  <r>
    <n v="64393723"/>
    <x v="1"/>
    <n v="8526"/>
    <d v="2026-02-05T00:00:00"/>
    <s v="MG Double Chocolate Bar 8-3PK"/>
    <x v="26"/>
    <n v="2.16E-3"/>
    <n v="210"/>
    <x v="5"/>
    <x v="6"/>
    <n v="1"/>
    <n v="8526"/>
    <n v="18.416160000000001"/>
    <n v="40.6"/>
    <s v="Feb"/>
    <x v="8"/>
    <m/>
    <m/>
  </r>
  <r>
    <n v="64393723"/>
    <x v="1"/>
    <n v="3917"/>
    <d v="2026-02-05T00:00:00"/>
    <s v="MG Double Chocolate Bar 8-3PK"/>
    <x v="26"/>
    <n v="2.16E-3"/>
    <n v="210"/>
    <x v="5"/>
    <x v="6"/>
    <n v="1"/>
    <n v="3917"/>
    <n v="8.4607200000000002"/>
    <n v="18.652380952380952"/>
    <s v="Feb"/>
    <x v="8"/>
    <m/>
    <m/>
  </r>
  <r>
    <n v="64393723"/>
    <x v="1"/>
    <n v="8820"/>
    <d v="2026-02-06T00:00:00"/>
    <s v="MG Double Chocolate Bar 8-3PK"/>
    <x v="26"/>
    <n v="2.16E-3"/>
    <n v="210"/>
    <x v="5"/>
    <x v="6"/>
    <n v="1"/>
    <n v="8820"/>
    <n v="19.051200000000001"/>
    <n v="42"/>
    <s v="Feb"/>
    <x v="8"/>
    <m/>
    <m/>
  </r>
  <r>
    <n v="64394583"/>
    <x v="1"/>
    <n v="1200"/>
    <d v="2026-02-16T00:00:00"/>
    <s v="BJ US-SUN-CookieVermontster-8 427ML"/>
    <x v="17"/>
    <n v="3.4159999999999998E-3"/>
    <n v="240"/>
    <x v="14"/>
    <x v="21"/>
    <n v="1"/>
    <n v="1200"/>
    <n v="4.0991999999999997"/>
    <n v="5"/>
    <s v="Feb"/>
    <x v="5"/>
    <m/>
    <m/>
  </r>
  <r>
    <n v="64394583"/>
    <x v="1"/>
    <n v="2082"/>
    <d v="2026-02-17T00:00:00"/>
    <s v="BJ US-SUN-CookieVermontster-8 427ML"/>
    <x v="17"/>
    <n v="3.4159999999999998E-3"/>
    <n v="240"/>
    <x v="14"/>
    <x v="21"/>
    <n v="1"/>
    <n v="2082"/>
    <n v="7.1121119999999998"/>
    <n v="8.6750000000000007"/>
    <s v="Feb"/>
    <x v="5"/>
    <m/>
    <m/>
  </r>
  <r>
    <n v="64394583"/>
    <x v="1"/>
    <n v="6144"/>
    <d v="2026-02-17T00:00:00"/>
    <s v="BJ US-SUN-CookieVermontster-8 427ML"/>
    <x v="17"/>
    <n v="3.4159999999999998E-3"/>
    <n v="240"/>
    <x v="14"/>
    <x v="21"/>
    <n v="1"/>
    <n v="6144"/>
    <n v="20.987904"/>
    <n v="25.6"/>
    <s v="Feb"/>
    <x v="5"/>
    <m/>
    <m/>
  </r>
  <r>
    <n v="64394583"/>
    <x v="1"/>
    <n v="6775"/>
    <d v="2026-02-18T00:00:00"/>
    <s v="BJ US-SUN-CookieVermontster-8 427ML"/>
    <x v="17"/>
    <n v="3.4159999999999998E-3"/>
    <n v="240"/>
    <x v="14"/>
    <x v="21"/>
    <n v="1"/>
    <n v="6775"/>
    <n v="23.1434"/>
    <n v="28.229166666666668"/>
    <s v="Feb"/>
    <x v="5"/>
    <m/>
    <m/>
  </r>
  <r>
    <n v="64394583"/>
    <x v="1"/>
    <n v="8036"/>
    <d v="2026-02-18T00:00:00"/>
    <s v="BJ US-SUN-CookieVermontster-8 427ML"/>
    <x v="17"/>
    <n v="3.4159999999999998E-3"/>
    <n v="240"/>
    <x v="14"/>
    <x v="21"/>
    <n v="1"/>
    <n v="8036"/>
    <n v="27.450975999999997"/>
    <n v="33.483333333333334"/>
    <s v="Feb"/>
    <x v="5"/>
    <m/>
    <m/>
  </r>
  <r>
    <n v="64394583"/>
    <x v="1"/>
    <n v="6804"/>
    <d v="2026-02-19T00:00:00"/>
    <s v="BJ US-SUN-CookieVermontster-8 427ML"/>
    <x v="17"/>
    <n v="3.4159999999999998E-3"/>
    <n v="240"/>
    <x v="14"/>
    <x v="21"/>
    <n v="1"/>
    <n v="6804"/>
    <n v="23.242463999999998"/>
    <n v="28.35"/>
    <s v="Feb"/>
    <x v="5"/>
    <m/>
    <m/>
  </r>
  <r>
    <n v="64394583"/>
    <x v="1"/>
    <n v="7899"/>
    <d v="2026-02-19T00:00:00"/>
    <s v="BJ US-SUN-CookieVermontster-8 427ML"/>
    <x v="17"/>
    <n v="3.4159999999999998E-3"/>
    <n v="240"/>
    <x v="14"/>
    <x v="21"/>
    <n v="1"/>
    <n v="7899"/>
    <n v="26.982983999999998"/>
    <n v="32.912500000000001"/>
    <s v="Feb"/>
    <x v="5"/>
    <m/>
    <m/>
  </r>
  <r>
    <n v="64394583"/>
    <x v="1"/>
    <n v="4576"/>
    <d v="2026-02-20T00:00:00"/>
    <s v="BJ US-SUN-CookieVermontster-8 427ML"/>
    <x v="17"/>
    <n v="3.4159999999999998E-3"/>
    <n v="240"/>
    <x v="14"/>
    <x v="21"/>
    <n v="1"/>
    <n v="4576"/>
    <n v="15.631615999999999"/>
    <n v="19.066666666666666"/>
    <s v="Feb"/>
    <x v="5"/>
    <m/>
    <m/>
  </r>
  <r>
    <n v="64775327"/>
    <x v="1"/>
    <n v="4752"/>
    <d v="2026-02-06T00:00:00"/>
    <s v="BR CS Brownie A La Mode 6 1.5QT"/>
    <x v="5"/>
    <n v="8.5199999999999998E-3"/>
    <n v="176"/>
    <x v="0"/>
    <x v="1"/>
    <n v="1"/>
    <n v="4752"/>
    <n v="40.48704"/>
    <n v="27"/>
    <s v="Feb"/>
    <x v="8"/>
    <m/>
    <m/>
  </r>
  <r>
    <n v="64775327"/>
    <x v="1"/>
    <n v="7524"/>
    <d v="2026-02-07T00:00:00"/>
    <s v="BR CS Brownie A La Mode 6 1.5QT"/>
    <x v="5"/>
    <n v="8.5199999999999998E-3"/>
    <n v="176"/>
    <x v="0"/>
    <x v="1"/>
    <n v="1"/>
    <n v="7524"/>
    <n v="64.104479999999995"/>
    <n v="42.75"/>
    <s v="Feb"/>
    <x v="8"/>
    <m/>
    <m/>
  </r>
  <r>
    <n v="64775327"/>
    <x v="1"/>
    <n v="176"/>
    <d v="2026-02-09T00:00:00"/>
    <s v="BR CS Brownie A La Mode 6 1.5QT"/>
    <x v="5"/>
    <n v="8.5199999999999998E-3"/>
    <n v="176"/>
    <x v="0"/>
    <x v="1"/>
    <n v="1"/>
    <n v="176"/>
    <n v="1.49952"/>
    <n v="1"/>
    <s v="Feb"/>
    <x v="7"/>
    <m/>
    <m/>
  </r>
  <r>
    <n v="64775327"/>
    <x v="1"/>
    <n v="6688"/>
    <d v="2026-02-07T00:00:00"/>
    <s v="BR CS Brownie A La Mode 6 1.5QT"/>
    <x v="5"/>
    <n v="8.5199999999999998E-3"/>
    <n v="176"/>
    <x v="0"/>
    <x v="1"/>
    <n v="1"/>
    <n v="6688"/>
    <n v="56.981760000000001"/>
    <n v="38"/>
    <s v="Feb"/>
    <x v="8"/>
    <m/>
    <m/>
  </r>
  <r>
    <n v="64775327"/>
    <x v="1"/>
    <n v="3915"/>
    <d v="2026-02-08T00:00:00"/>
    <s v="BR CS Brownie A La Mode 6 1.5QT"/>
    <x v="5"/>
    <n v="8.5199999999999998E-3"/>
    <n v="176"/>
    <x v="0"/>
    <x v="1"/>
    <n v="1"/>
    <n v="3915"/>
    <n v="33.355800000000002"/>
    <n v="22.244318181818183"/>
    <s v="Feb"/>
    <x v="7"/>
    <m/>
    <m/>
  </r>
  <r>
    <n v="64775327"/>
    <x v="1"/>
    <n v="352"/>
    <d v="2026-02-09T00:00:00"/>
    <s v="BR CS Brownie A La Mode 6 1.5QT"/>
    <x v="5"/>
    <n v="8.5199999999999998E-3"/>
    <n v="176"/>
    <x v="0"/>
    <x v="1"/>
    <n v="1"/>
    <n v="352"/>
    <n v="2.9990399999999999"/>
    <n v="2"/>
    <s v="Feb"/>
    <x v="7"/>
    <m/>
    <m/>
  </r>
  <r>
    <n v="64775327"/>
    <x v="1"/>
    <n v="3696"/>
    <d v="2026-02-05T00:00:00"/>
    <s v="BR CS Brownie A La Mode 6 1.5QT"/>
    <x v="3"/>
    <n v="8.5199999999999998E-3"/>
    <n v="176"/>
    <x v="0"/>
    <x v="1"/>
    <n v="1"/>
    <n v="3696"/>
    <n v="31.489919999999998"/>
    <n v="21"/>
    <s v="Feb"/>
    <x v="8"/>
    <m/>
    <m/>
  </r>
  <r>
    <n v="64775327"/>
    <x v="1"/>
    <n v="3487"/>
    <d v="2026-02-06T00:00:00"/>
    <s v="BR CS Brownie A La Mode 6 1.5QT"/>
    <x v="3"/>
    <n v="8.5199999999999998E-3"/>
    <n v="176"/>
    <x v="0"/>
    <x v="1"/>
    <n v="1"/>
    <n v="3487"/>
    <n v="29.709239999999998"/>
    <n v="19.8125"/>
    <s v="Feb"/>
    <x v="8"/>
    <m/>
    <m/>
  </r>
  <r>
    <n v="64782365"/>
    <x v="1"/>
    <n v="2645"/>
    <d v="2026-02-20T00:00:00"/>
    <s v="MG Milk Chocolate 8-3PK"/>
    <x v="26"/>
    <n v="1.9199999999999998E-3"/>
    <n v="210"/>
    <x v="5"/>
    <x v="6"/>
    <n v="1"/>
    <n v="2645"/>
    <n v="5.0783999999999994"/>
    <n v="12.595238095238095"/>
    <s v="Feb"/>
    <x v="5"/>
    <m/>
    <m/>
  </r>
  <r>
    <n v="64782365"/>
    <x v="1"/>
    <n v="5631"/>
    <d v="2026-02-21T00:00:00"/>
    <s v="MG Milk Chocolate 8-3PK"/>
    <x v="26"/>
    <n v="1.9199999999999998E-3"/>
    <n v="210"/>
    <x v="5"/>
    <x v="6"/>
    <n v="1"/>
    <n v="5631"/>
    <n v="10.81152"/>
    <n v="26.814285714285713"/>
    <s v="Feb"/>
    <x v="5"/>
    <m/>
    <m/>
  </r>
  <r>
    <n v="64782365"/>
    <x v="1"/>
    <n v="6891"/>
    <d v="2026-02-21T00:00:00"/>
    <s v="MG Milk Chocolate 8-3PK"/>
    <x v="26"/>
    <n v="1.9199999999999998E-3"/>
    <n v="210"/>
    <x v="5"/>
    <x v="6"/>
    <n v="1"/>
    <n v="6891"/>
    <n v="13.230719999999998"/>
    <n v="32.814285714285717"/>
    <s v="Feb"/>
    <x v="5"/>
    <m/>
    <m/>
  </r>
  <r>
    <n v="64782365"/>
    <x v="1"/>
    <n v="4057"/>
    <d v="2026-02-22T00:00:00"/>
    <s v="MG Milk Chocolate 8-3PK"/>
    <x v="26"/>
    <n v="1.9199999999999998E-3"/>
    <n v="210"/>
    <x v="5"/>
    <x v="6"/>
    <n v="1"/>
    <n v="4057"/>
    <n v="7.789439999999999"/>
    <n v="19.31904761904762"/>
    <s v="Feb"/>
    <x v="6"/>
    <m/>
    <m/>
  </r>
  <r>
    <n v="64782365"/>
    <x v="1"/>
    <n v="6300"/>
    <d v="2026-02-22T00:00:00"/>
    <s v="MG Milk Chocolate 8-3PK"/>
    <x v="26"/>
    <n v="1.9199999999999998E-3"/>
    <n v="210"/>
    <x v="5"/>
    <x v="6"/>
    <n v="1"/>
    <n v="6300"/>
    <n v="12.095999999999998"/>
    <n v="30"/>
    <s v="Feb"/>
    <x v="6"/>
    <m/>
    <m/>
  </r>
  <r>
    <n v="64782365"/>
    <x v="1"/>
    <n v="191"/>
    <d v="2026-02-19T00:00:00"/>
    <s v="MG Milk Chocolate 8-3PK"/>
    <x v="26"/>
    <n v="1.9199999999999998E-3"/>
    <n v="210"/>
    <x v="5"/>
    <x v="6"/>
    <n v="1"/>
    <n v="191"/>
    <n v="0.36671999999999999"/>
    <n v="0.90952380952380951"/>
    <s v="Feb"/>
    <x v="5"/>
    <m/>
    <m/>
  </r>
  <r>
    <n v="64782365"/>
    <x v="1"/>
    <n v="210"/>
    <d v="2026-02-20T00:00:00"/>
    <s v="MG Milk Chocolate 8-3PK"/>
    <x v="26"/>
    <n v="1.9199999999999998E-3"/>
    <n v="210"/>
    <x v="5"/>
    <x v="6"/>
    <n v="1"/>
    <n v="210"/>
    <n v="0.40319999999999995"/>
    <n v="1"/>
    <s v="Feb"/>
    <x v="5"/>
    <m/>
    <m/>
  </r>
  <r>
    <n v="64958122"/>
    <x v="1"/>
    <n v="4502"/>
    <d v="2026-02-06T00:00:00"/>
    <s v="Yasso Sea Salt Caramel 8-4pk"/>
    <x v="11"/>
    <n v="3.3119999999999998E-3"/>
    <n v="165"/>
    <x v="4"/>
    <x v="5"/>
    <n v="1"/>
    <n v="4502"/>
    <n v="14.910623999999999"/>
    <n v="27.284848484848485"/>
    <s v="Feb"/>
    <x v="8"/>
    <m/>
    <m/>
  </r>
  <r>
    <n v="64958122"/>
    <x v="1"/>
    <n v="3822"/>
    <d v="2026-02-07T00:00:00"/>
    <s v="Yasso Sea Salt Caramel 8-4pk"/>
    <x v="11"/>
    <n v="3.3119999999999998E-3"/>
    <n v="165"/>
    <x v="4"/>
    <x v="5"/>
    <n v="1"/>
    <n v="3822"/>
    <n v="12.658463999999999"/>
    <n v="23.163636363636364"/>
    <s v="Feb"/>
    <x v="8"/>
    <m/>
    <m/>
  </r>
  <r>
    <n v="64958122"/>
    <x v="1"/>
    <n v="903"/>
    <d v="2026-02-09T00:00:00"/>
    <s v="Yasso Sea Salt Caramel 8-4pk"/>
    <x v="11"/>
    <n v="3.3119999999999998E-3"/>
    <n v="165"/>
    <x v="4"/>
    <x v="5"/>
    <n v="1"/>
    <n v="903"/>
    <n v="2.9907360000000001"/>
    <n v="5.4727272727272727"/>
    <s v="Feb"/>
    <x v="7"/>
    <m/>
    <m/>
  </r>
  <r>
    <n v="64958122"/>
    <x v="1"/>
    <n v="5445"/>
    <d v="2026-02-05T00:00:00"/>
    <s v="Yasso Sea Salt Caramel 8-4pk"/>
    <x v="11"/>
    <n v="3.3119999999999998E-3"/>
    <n v="165"/>
    <x v="4"/>
    <x v="5"/>
    <n v="1"/>
    <n v="5445"/>
    <n v="18.033839999999998"/>
    <n v="33"/>
    <s v="Feb"/>
    <x v="8"/>
    <m/>
    <m/>
  </r>
  <r>
    <n v="64958122"/>
    <x v="1"/>
    <n v="4620"/>
    <d v="2026-02-06T00:00:00"/>
    <s v="Yasso Sea Salt Caramel 8-4pk"/>
    <x v="11"/>
    <n v="3.3119999999999998E-3"/>
    <n v="165"/>
    <x v="4"/>
    <x v="5"/>
    <n v="1"/>
    <n v="4620"/>
    <n v="15.301439999999999"/>
    <n v="28"/>
    <s v="Feb"/>
    <x v="8"/>
    <m/>
    <m/>
  </r>
  <r>
    <n v="64958125"/>
    <x v="1"/>
    <n v="6930"/>
    <d v="2026-02-02T00:00:00"/>
    <s v="Yasso Chocolate Fudge 8-4pk"/>
    <x v="11"/>
    <n v="3.3119999999999998E-3"/>
    <n v="165"/>
    <x v="4"/>
    <x v="5"/>
    <n v="1"/>
    <n v="6930"/>
    <n v="22.952159999999999"/>
    <n v="42"/>
    <s v="Feb"/>
    <x v="8"/>
    <m/>
    <m/>
  </r>
  <r>
    <n v="64958125"/>
    <x v="1"/>
    <n v="9405"/>
    <d v="2026-02-03T00:00:00"/>
    <s v="Yasso Chocolate Fudge 8-4pk"/>
    <x v="11"/>
    <n v="3.3119999999999998E-3"/>
    <n v="165"/>
    <x v="4"/>
    <x v="5"/>
    <n v="1"/>
    <n v="9405"/>
    <n v="31.149359999999998"/>
    <n v="57"/>
    <s v="Feb"/>
    <x v="8"/>
    <m/>
    <m/>
  </r>
  <r>
    <n v="64958125"/>
    <x v="1"/>
    <n v="5225"/>
    <d v="2026-02-03T00:00:00"/>
    <s v="Yasso Chocolate Fudge 8-4pk"/>
    <x v="11"/>
    <n v="3.3119999999999998E-3"/>
    <n v="165"/>
    <x v="4"/>
    <x v="5"/>
    <n v="1"/>
    <n v="5225"/>
    <n v="17.305199999999999"/>
    <n v="31.666666666666668"/>
    <s v="Feb"/>
    <x v="8"/>
    <m/>
    <m/>
  </r>
  <r>
    <n v="64958125"/>
    <x v="1"/>
    <n v="8535"/>
    <d v="2026-02-04T00:00:00"/>
    <s v="Yasso Chocolate Fudge 8-4pk"/>
    <x v="11"/>
    <n v="3.3119999999999998E-3"/>
    <n v="165"/>
    <x v="4"/>
    <x v="5"/>
    <n v="1"/>
    <n v="8535"/>
    <n v="28.26792"/>
    <n v="51.727272727272727"/>
    <s v="Feb"/>
    <x v="8"/>
    <m/>
    <m/>
  </r>
  <r>
    <n v="64958125"/>
    <x v="1"/>
    <n v="6270"/>
    <d v="2026-02-04T00:00:00"/>
    <s v="Yasso Chocolate Fudge 8-4pk"/>
    <x v="11"/>
    <n v="3.3119999999999998E-3"/>
    <n v="165"/>
    <x v="4"/>
    <x v="5"/>
    <n v="1"/>
    <n v="6270"/>
    <n v="20.76624"/>
    <n v="38"/>
    <s v="Feb"/>
    <x v="8"/>
    <m/>
    <m/>
  </r>
  <r>
    <n v="64958125"/>
    <x v="1"/>
    <n v="1459"/>
    <d v="2026-02-05T00:00:00"/>
    <s v="Yasso Chocolate Fudge 8-4pk"/>
    <x v="11"/>
    <n v="3.3119999999999998E-3"/>
    <n v="165"/>
    <x v="4"/>
    <x v="5"/>
    <n v="1"/>
    <n v="1459"/>
    <n v="4.8322079999999996"/>
    <n v="8.8424242424242419"/>
    <s v="Feb"/>
    <x v="8"/>
    <m/>
    <m/>
  </r>
  <r>
    <n v="64958125"/>
    <x v="1"/>
    <n v="6435"/>
    <d v="2026-02-16T00:00:00"/>
    <s v="Yasso Chocolate Fudge 8-4pk"/>
    <x v="11"/>
    <n v="3.3119999999999998E-3"/>
    <n v="165"/>
    <x v="4"/>
    <x v="5"/>
    <n v="1"/>
    <n v="6435"/>
    <n v="21.312719999999999"/>
    <n v="39"/>
    <s v="Feb"/>
    <x v="5"/>
    <m/>
    <m/>
  </r>
  <r>
    <n v="64958125"/>
    <x v="1"/>
    <n v="11100"/>
    <d v="2026-02-17T00:00:00"/>
    <s v="Yasso Chocolate Fudge 8-4pk"/>
    <x v="11"/>
    <n v="3.3119999999999998E-3"/>
    <n v="165"/>
    <x v="4"/>
    <x v="5"/>
    <n v="1"/>
    <n v="11100"/>
    <n v="36.763199999999998"/>
    <n v="67.272727272727266"/>
    <s v="Feb"/>
    <x v="5"/>
    <m/>
    <m/>
  </r>
  <r>
    <n v="64958125"/>
    <x v="1"/>
    <n v="8414"/>
    <d v="2026-02-17T00:00:00"/>
    <s v="Yasso Chocolate Fudge 8-4pk"/>
    <x v="11"/>
    <n v="3.3119999999999998E-3"/>
    <n v="165"/>
    <x v="4"/>
    <x v="5"/>
    <n v="1"/>
    <n v="8414"/>
    <n v="27.867167999999999"/>
    <n v="50.993939393939392"/>
    <s v="Feb"/>
    <x v="5"/>
    <m/>
    <m/>
  </r>
  <r>
    <n v="64958125"/>
    <x v="1"/>
    <n v="7410"/>
    <d v="2026-02-18T00:00:00"/>
    <s v="Yasso Chocolate Fudge 8-4pk"/>
    <x v="11"/>
    <n v="3.3119999999999998E-3"/>
    <n v="165"/>
    <x v="4"/>
    <x v="5"/>
    <n v="1"/>
    <n v="7410"/>
    <n v="24.541919999999998"/>
    <n v="44.909090909090907"/>
    <s v="Feb"/>
    <x v="5"/>
    <m/>
    <m/>
  </r>
  <r>
    <n v="64958125"/>
    <x v="1"/>
    <n v="4629"/>
    <d v="2026-02-18T00:00:00"/>
    <s v="Yasso Chocolate Fudge 8-4pk"/>
    <x v="11"/>
    <n v="3.3119999999999998E-3"/>
    <n v="165"/>
    <x v="4"/>
    <x v="5"/>
    <n v="1"/>
    <n v="4629"/>
    <n v="15.331247999999999"/>
    <n v="28.054545454545455"/>
    <s v="Feb"/>
    <x v="5"/>
    <m/>
    <m/>
  </r>
  <r>
    <n v="64958125"/>
    <x v="1"/>
    <n v="6066"/>
    <d v="2026-02-19T00:00:00"/>
    <s v="Yasso Chocolate Fudge 8-4pk"/>
    <x v="11"/>
    <n v="3.3119999999999998E-3"/>
    <n v="165"/>
    <x v="4"/>
    <x v="5"/>
    <n v="1"/>
    <n v="6066"/>
    <n v="20.090591999999997"/>
    <n v="36.763636363636365"/>
    <s v="Feb"/>
    <x v="5"/>
    <m/>
    <m/>
  </r>
  <r>
    <n v="64958125"/>
    <x v="1"/>
    <n v="9003"/>
    <d v="2026-02-19T00:00:00"/>
    <s v="Yasso Chocolate Fudge 8-4pk"/>
    <x v="11"/>
    <n v="3.3119999999999998E-3"/>
    <n v="165"/>
    <x v="4"/>
    <x v="5"/>
    <n v="1"/>
    <n v="9003"/>
    <n v="29.817936"/>
    <n v="54.563636363636363"/>
    <s v="Feb"/>
    <x v="5"/>
    <m/>
    <m/>
  </r>
  <r>
    <n v="64958125"/>
    <x v="1"/>
    <n v="7352"/>
    <d v="2026-02-20T00:00:00"/>
    <s v="Yasso Chocolate Fudge 8-4pk"/>
    <x v="11"/>
    <n v="3.3119999999999998E-3"/>
    <n v="165"/>
    <x v="4"/>
    <x v="5"/>
    <n v="1"/>
    <n v="7352"/>
    <n v="24.349823999999998"/>
    <n v="44.557575757575755"/>
    <s v="Feb"/>
    <x v="5"/>
    <m/>
    <m/>
  </r>
  <r>
    <n v="64958125"/>
    <x v="1"/>
    <n v="8828"/>
    <d v="2026-02-20T00:00:00"/>
    <s v="Yasso Chocolate Fudge 8-4pk"/>
    <x v="11"/>
    <n v="3.3119999999999998E-3"/>
    <n v="165"/>
    <x v="4"/>
    <x v="5"/>
    <n v="1"/>
    <n v="8828"/>
    <n v="29.238336"/>
    <n v="53.5030303030303"/>
    <s v="Feb"/>
    <x v="5"/>
    <m/>
    <m/>
  </r>
  <r>
    <n v="64958125"/>
    <x v="1"/>
    <n v="5610"/>
    <d v="2026-02-21T00:00:00"/>
    <s v="Yasso Chocolate Fudge 8-4pk"/>
    <x v="11"/>
    <n v="3.3119999999999998E-3"/>
    <n v="165"/>
    <x v="4"/>
    <x v="5"/>
    <n v="1"/>
    <n v="5610"/>
    <n v="18.58032"/>
    <n v="34"/>
    <s v="Feb"/>
    <x v="5"/>
    <m/>
    <m/>
  </r>
  <r>
    <n v="64958125"/>
    <x v="1"/>
    <n v="7218"/>
    <d v="2026-02-21T00:00:00"/>
    <s v="Yasso Chocolate Fudge 8-4pk"/>
    <x v="11"/>
    <n v="3.3119999999999998E-3"/>
    <n v="165"/>
    <x v="4"/>
    <x v="5"/>
    <n v="1"/>
    <n v="7218"/>
    <n v="23.906015999999997"/>
    <n v="43.745454545454542"/>
    <s v="Feb"/>
    <x v="5"/>
    <m/>
    <m/>
  </r>
  <r>
    <n v="64958125"/>
    <x v="1"/>
    <n v="3407"/>
    <d v="2026-02-22T00:00:00"/>
    <s v="Yasso Chocolate Fudge 8-4pk"/>
    <x v="11"/>
    <n v="3.3119999999999998E-3"/>
    <n v="165"/>
    <x v="4"/>
    <x v="5"/>
    <n v="1"/>
    <n v="3407"/>
    <n v="11.283984"/>
    <n v="20.648484848484848"/>
    <s v="Feb"/>
    <x v="6"/>
    <m/>
    <m/>
  </r>
  <r>
    <n v="64958127"/>
    <x v="1"/>
    <n v="8250"/>
    <d v="2026-01-28T00:00:00"/>
    <s v="Yasso Coffee Chocolate Chip 8-4pk"/>
    <x v="11"/>
    <n v="3.3119999999999998E-3"/>
    <n v="165"/>
    <x v="4"/>
    <x v="5"/>
    <n v="1"/>
    <n v="8250"/>
    <n v="27.323999999999998"/>
    <n v="50"/>
    <s v="Jan"/>
    <x v="4"/>
    <m/>
    <m/>
  </r>
  <r>
    <n v="64958127"/>
    <x v="1"/>
    <n v="7920"/>
    <d v="2026-01-28T00:00:00"/>
    <s v="Yasso Coffee Chocolate Chip 8-4pk"/>
    <x v="11"/>
    <n v="3.3119999999999998E-3"/>
    <n v="165"/>
    <x v="4"/>
    <x v="5"/>
    <n v="1"/>
    <n v="7920"/>
    <n v="26.23104"/>
    <n v="48"/>
    <s v="Jan"/>
    <x v="4"/>
    <m/>
    <m/>
  </r>
  <r>
    <n v="64958127"/>
    <x v="1"/>
    <n v="7838"/>
    <d v="2026-01-29T00:00:00"/>
    <s v="Yasso Coffee Chocolate Chip 8-4pk"/>
    <x v="11"/>
    <n v="3.3119999999999998E-3"/>
    <n v="165"/>
    <x v="4"/>
    <x v="5"/>
    <n v="1"/>
    <n v="7838"/>
    <n v="25.959455999999999"/>
    <n v="47.5030303030303"/>
    <s v="Jan"/>
    <x v="4"/>
    <m/>
    <m/>
  </r>
  <r>
    <n v="64958127"/>
    <x v="1"/>
    <n v="8167"/>
    <d v="2026-01-29T00:00:00"/>
    <s v="Yasso Coffee Chocolate Chip 8-4pk"/>
    <x v="11"/>
    <n v="3.3119999999999998E-3"/>
    <n v="165"/>
    <x v="4"/>
    <x v="5"/>
    <n v="1"/>
    <n v="8167"/>
    <n v="27.049104"/>
    <n v="49.4969696969697"/>
    <s v="Jan"/>
    <x v="4"/>
    <m/>
    <m/>
  </r>
  <r>
    <n v="64958127"/>
    <x v="1"/>
    <n v="8479"/>
    <d v="2026-01-30T00:00:00"/>
    <s v="Yasso Coffee Chocolate Chip 8-4pk"/>
    <x v="11"/>
    <n v="3.3119999999999998E-3"/>
    <n v="165"/>
    <x v="4"/>
    <x v="5"/>
    <n v="1"/>
    <n v="8479"/>
    <n v="28.082447999999999"/>
    <n v="51.38787878787879"/>
    <s v="Jan"/>
    <x v="4"/>
    <m/>
    <m/>
  </r>
  <r>
    <n v="64958127"/>
    <x v="1"/>
    <n v="-150"/>
    <d v="2026-02-06T00:00:00"/>
    <s v="Yasso Coffee Chocolate Chip 8-4pk"/>
    <x v="11"/>
    <n v="3.3119999999999998E-3"/>
    <n v="165"/>
    <x v="4"/>
    <x v="5"/>
    <n v="1"/>
    <n v="-150"/>
    <n v="-0.49679999999999996"/>
    <n v="-0.90909090909090906"/>
    <s v="Feb"/>
    <x v="8"/>
    <m/>
    <m/>
  </r>
  <r>
    <n v="64958127"/>
    <x v="1"/>
    <n v="9405"/>
    <d v="2026-01-30T00:00:00"/>
    <s v="Yasso Coffee Chocolate Chip 8-4pk"/>
    <x v="11"/>
    <n v="3.3119999999999998E-3"/>
    <n v="165"/>
    <x v="4"/>
    <x v="5"/>
    <n v="1"/>
    <n v="9405"/>
    <n v="31.149359999999998"/>
    <n v="57"/>
    <s v="Jan"/>
    <x v="4"/>
    <m/>
    <m/>
  </r>
  <r>
    <n v="64958127"/>
    <x v="1"/>
    <n v="1458"/>
    <d v="2026-01-31T00:00:00"/>
    <s v="Yasso Coffee Chocolate Chip 8-4pk"/>
    <x v="11"/>
    <n v="3.3119999999999998E-3"/>
    <n v="165"/>
    <x v="4"/>
    <x v="5"/>
    <n v="1"/>
    <n v="1458"/>
    <n v="4.8288959999999994"/>
    <n v="8.836363636363636"/>
    <s v="Jan"/>
    <x v="4"/>
    <m/>
    <m/>
  </r>
  <r>
    <n v="64958127"/>
    <x v="1"/>
    <n v="1155"/>
    <d v="2026-02-02T00:00:00"/>
    <s v="Yasso Coffee Chocolate Chip 8-4pk"/>
    <x v="11"/>
    <n v="3.3119999999999998E-3"/>
    <n v="165"/>
    <x v="4"/>
    <x v="5"/>
    <n v="1"/>
    <n v="1155"/>
    <n v="3.8253599999999999"/>
    <n v="7"/>
    <s v="Feb"/>
    <x v="8"/>
    <m/>
    <m/>
  </r>
  <r>
    <n v="64958127"/>
    <x v="1"/>
    <n v="11055"/>
    <d v="2026-01-31T00:00:00"/>
    <s v="Yasso Coffee Chocolate Chip 8-4pk"/>
    <x v="11"/>
    <n v="3.3119999999999998E-3"/>
    <n v="165"/>
    <x v="4"/>
    <x v="5"/>
    <n v="1"/>
    <n v="11055"/>
    <n v="36.614159999999998"/>
    <n v="67"/>
    <s v="Jan"/>
    <x v="4"/>
    <m/>
    <m/>
  </r>
  <r>
    <n v="64958127"/>
    <x v="1"/>
    <n v="7652"/>
    <d v="2026-02-01T00:00:00"/>
    <s v="Yasso Coffee Chocolate Chip 8-4pk"/>
    <x v="11"/>
    <n v="3.3119999999999998E-3"/>
    <n v="165"/>
    <x v="4"/>
    <x v="5"/>
    <n v="1"/>
    <n v="7652"/>
    <n v="25.343423999999999"/>
    <n v="46.375757575757575"/>
    <s v="Feb"/>
    <x v="8"/>
    <m/>
    <m/>
  </r>
  <r>
    <n v="64958127"/>
    <x v="1"/>
    <n v="8415"/>
    <d v="2026-02-01T00:00:00"/>
    <s v="Yasso Coffee Chocolate Chip 8-4pk"/>
    <x v="11"/>
    <n v="3.3119999999999998E-3"/>
    <n v="165"/>
    <x v="4"/>
    <x v="5"/>
    <n v="1"/>
    <n v="8415"/>
    <n v="27.870479999999997"/>
    <n v="51"/>
    <s v="Feb"/>
    <x v="8"/>
    <m/>
    <m/>
  </r>
  <r>
    <n v="64958127"/>
    <x v="1"/>
    <n v="32"/>
    <d v="2026-02-02T00:00:00"/>
    <s v="Yasso Coffee Chocolate Chip 8-4pk"/>
    <x v="11"/>
    <n v="3.3119999999999998E-3"/>
    <n v="165"/>
    <x v="4"/>
    <x v="5"/>
    <n v="1"/>
    <n v="32"/>
    <n v="0.10598399999999999"/>
    <n v="0.19393939393939394"/>
    <s v="Feb"/>
    <x v="8"/>
    <m/>
    <m/>
  </r>
  <r>
    <n v="64958128"/>
    <x v="1"/>
    <n v="825"/>
    <d v="2026-02-09T00:00:00"/>
    <s v="Yasso Mint Chocolate Chip 8-4pk"/>
    <x v="11"/>
    <n v="3.3119999999999998E-3"/>
    <n v="165"/>
    <x v="4"/>
    <x v="5"/>
    <n v="1"/>
    <n v="825"/>
    <n v="2.7323999999999997"/>
    <n v="5"/>
    <s v="Feb"/>
    <x v="7"/>
    <m/>
    <m/>
  </r>
  <r>
    <n v="64958128"/>
    <x v="1"/>
    <n v="7920"/>
    <d v="2026-02-10T00:00:00"/>
    <s v="Yasso Mint Chocolate Chip 8-4pk"/>
    <x v="11"/>
    <n v="3.3119999999999998E-3"/>
    <n v="165"/>
    <x v="4"/>
    <x v="5"/>
    <n v="1"/>
    <n v="7920"/>
    <n v="26.23104"/>
    <n v="48"/>
    <s v="Feb"/>
    <x v="7"/>
    <m/>
    <m/>
  </r>
  <r>
    <n v="64958128"/>
    <x v="1"/>
    <n v="2522"/>
    <d v="2026-02-10T00:00:00"/>
    <s v="Yasso Mint Chocolate Chip 8-4pk"/>
    <x v="11"/>
    <n v="3.3119999999999998E-3"/>
    <n v="165"/>
    <x v="4"/>
    <x v="5"/>
    <n v="1"/>
    <n v="2522"/>
    <n v="8.3528640000000003"/>
    <n v="15.284848484848485"/>
    <s v="Feb"/>
    <x v="7"/>
    <m/>
    <m/>
  </r>
  <r>
    <n v="64958128"/>
    <x v="1"/>
    <n v="4695"/>
    <d v="2026-02-11T00:00:00"/>
    <s v="Yasso Mint Chocolate Chip 8-4pk"/>
    <x v="11"/>
    <n v="3.3119999999999998E-3"/>
    <n v="165"/>
    <x v="4"/>
    <x v="5"/>
    <n v="1"/>
    <n v="4695"/>
    <n v="15.54984"/>
    <n v="28.454545454545453"/>
    <s v="Feb"/>
    <x v="7"/>
    <m/>
    <m/>
  </r>
  <r>
    <n v="64958128"/>
    <x v="1"/>
    <n v="7746"/>
    <d v="2026-02-11T00:00:00"/>
    <s v="Yasso Mint Chocolate Chip 8-4pk"/>
    <x v="11"/>
    <n v="3.3119999999999998E-3"/>
    <n v="165"/>
    <x v="4"/>
    <x v="5"/>
    <n v="1"/>
    <n v="7746"/>
    <n v="25.654751999999998"/>
    <n v="46.945454545454545"/>
    <s v="Feb"/>
    <x v="7"/>
    <m/>
    <m/>
  </r>
  <r>
    <n v="64958128"/>
    <x v="1"/>
    <n v="9165"/>
    <d v="2026-02-12T00:00:00"/>
    <s v="Yasso Mint Chocolate Chip 8-4pk"/>
    <x v="11"/>
    <n v="3.3119999999999998E-3"/>
    <n v="165"/>
    <x v="4"/>
    <x v="5"/>
    <n v="1"/>
    <n v="9165"/>
    <n v="30.354479999999999"/>
    <n v="55.545454545454547"/>
    <s v="Feb"/>
    <x v="7"/>
    <m/>
    <m/>
  </r>
  <r>
    <n v="64958128"/>
    <x v="1"/>
    <n v="6493"/>
    <d v="2026-02-12T00:00:00"/>
    <s v="Yasso Mint Chocolate Chip 8-4pk"/>
    <x v="11"/>
    <n v="3.3119999999999998E-3"/>
    <n v="165"/>
    <x v="4"/>
    <x v="5"/>
    <n v="1"/>
    <n v="6493"/>
    <n v="21.504815999999998"/>
    <n v="39.351515151515152"/>
    <s v="Feb"/>
    <x v="7"/>
    <m/>
    <m/>
  </r>
  <r>
    <n v="64958128"/>
    <x v="1"/>
    <n v="5115"/>
    <d v="2026-02-13T00:00:00"/>
    <s v="Yasso Mint Chocolate Chip 8-4pk"/>
    <x v="11"/>
    <n v="3.3119999999999998E-3"/>
    <n v="165"/>
    <x v="4"/>
    <x v="5"/>
    <n v="1"/>
    <n v="5115"/>
    <n v="16.94088"/>
    <n v="31"/>
    <s v="Feb"/>
    <x v="7"/>
    <m/>
    <m/>
  </r>
  <r>
    <n v="64958128"/>
    <x v="1"/>
    <n v="4785"/>
    <d v="2026-02-13T00:00:00"/>
    <s v="Yasso Mint Chocolate Chip 8-4pk"/>
    <x v="11"/>
    <n v="3.3119999999999998E-3"/>
    <n v="165"/>
    <x v="4"/>
    <x v="5"/>
    <n v="1"/>
    <n v="4785"/>
    <n v="15.847919999999998"/>
    <n v="29"/>
    <s v="Feb"/>
    <x v="7"/>
    <m/>
    <m/>
  </r>
  <r>
    <n v="64958128"/>
    <x v="1"/>
    <n v="17985"/>
    <d v="2026-02-14T00:00:00"/>
    <s v="Yasso Mint Chocolate Chip 8-4pk"/>
    <x v="11"/>
    <n v="3.3119999999999998E-3"/>
    <n v="165"/>
    <x v="4"/>
    <x v="5"/>
    <n v="1"/>
    <n v="17985"/>
    <n v="59.566319999999997"/>
    <n v="109"/>
    <s v="Feb"/>
    <x v="7"/>
    <m/>
    <m/>
  </r>
  <r>
    <n v="64958128"/>
    <x v="1"/>
    <n v="1980"/>
    <d v="2026-02-15T00:00:00"/>
    <s v="Yasso Mint Chocolate Chip 8-4pk"/>
    <x v="11"/>
    <n v="3.3119999999999998E-3"/>
    <n v="165"/>
    <x v="4"/>
    <x v="5"/>
    <n v="1"/>
    <n v="1980"/>
    <n v="6.55776"/>
    <n v="12"/>
    <s v="Feb"/>
    <x v="5"/>
    <m/>
    <m/>
  </r>
  <r>
    <n v="64958128"/>
    <x v="1"/>
    <n v="660"/>
    <d v="2026-02-16T00:00:00"/>
    <s v="Yasso Mint Chocolate Chip 8-4pk"/>
    <x v="11"/>
    <n v="3.3119999999999998E-3"/>
    <n v="165"/>
    <x v="4"/>
    <x v="5"/>
    <n v="1"/>
    <n v="660"/>
    <n v="2.1859199999999999"/>
    <n v="4"/>
    <s v="Feb"/>
    <x v="5"/>
    <m/>
    <m/>
  </r>
  <r>
    <n v="64958128"/>
    <x v="1"/>
    <n v="-9240"/>
    <d v="2026-02-18T00:00:00"/>
    <s v="Yasso Mint Chocolate Chip 8-4pk"/>
    <x v="11"/>
    <n v="3.3119999999999998E-3"/>
    <n v="165"/>
    <x v="4"/>
    <x v="5"/>
    <n v="1"/>
    <n v="-9240"/>
    <n v="-30.602879999999999"/>
    <n v="-56"/>
    <s v="Feb"/>
    <x v="5"/>
    <m/>
    <m/>
  </r>
  <r>
    <n v="64958128"/>
    <x v="1"/>
    <n v="165"/>
    <d v="2026-02-14T00:00:00"/>
    <s v="Yasso Mint Chocolate Chip 8-4pk"/>
    <x v="11"/>
    <n v="3.3119999999999998E-3"/>
    <n v="165"/>
    <x v="4"/>
    <x v="5"/>
    <n v="1"/>
    <n v="165"/>
    <n v="0.54647999999999997"/>
    <n v="1"/>
    <s v="Feb"/>
    <x v="7"/>
    <m/>
    <m/>
  </r>
  <r>
    <n v="64958128"/>
    <x v="1"/>
    <n v="4620"/>
    <d v="2026-02-15T00:00:00"/>
    <s v="Yasso Mint Chocolate Chip 8-4pk"/>
    <x v="11"/>
    <n v="3.3119999999999998E-3"/>
    <n v="165"/>
    <x v="4"/>
    <x v="5"/>
    <n v="1"/>
    <n v="4620"/>
    <n v="15.301439999999999"/>
    <n v="28"/>
    <s v="Feb"/>
    <x v="5"/>
    <m/>
    <m/>
  </r>
  <r>
    <n v="64958128"/>
    <x v="1"/>
    <n v="9240"/>
    <d v="2026-02-18T00:00:00"/>
    <s v="Yasso Mint Chocolate Chip 8-4pk"/>
    <x v="11"/>
    <n v="3.3119999999999998E-3"/>
    <n v="165"/>
    <x v="4"/>
    <x v="5"/>
    <n v="1"/>
    <n v="9240"/>
    <n v="30.602879999999999"/>
    <n v="56"/>
    <s v="Feb"/>
    <x v="5"/>
    <m/>
    <m/>
  </r>
  <r>
    <n v="64958128"/>
    <x v="1"/>
    <n v="5931"/>
    <d v="2026-02-15T00:00:00"/>
    <s v="Yasso Mint Chocolate Chip 8-4pk"/>
    <x v="11"/>
    <n v="3.3119999999999998E-3"/>
    <n v="165"/>
    <x v="4"/>
    <x v="5"/>
    <n v="1"/>
    <n v="5931"/>
    <n v="19.643471999999999"/>
    <n v="35.945454545454545"/>
    <s v="Feb"/>
    <x v="5"/>
    <m/>
    <m/>
  </r>
  <r>
    <n v="64958128"/>
    <x v="1"/>
    <n v="165"/>
    <d v="2026-02-07T00:00:00"/>
    <s v="Yasso Mint Chocolate Chip 8-4pk"/>
    <x v="11"/>
    <n v="3.3119999999999998E-3"/>
    <n v="165"/>
    <x v="4"/>
    <x v="5"/>
    <n v="1"/>
    <n v="165"/>
    <n v="0.54647999999999997"/>
    <n v="1"/>
    <s v="Feb"/>
    <x v="8"/>
    <m/>
    <m/>
  </r>
  <r>
    <n v="64958128"/>
    <x v="1"/>
    <n v="3429"/>
    <d v="2026-02-08T00:00:00"/>
    <s v="Yasso Mint Chocolate Chip 8-4pk"/>
    <x v="11"/>
    <n v="3.3119999999999998E-3"/>
    <n v="165"/>
    <x v="4"/>
    <x v="5"/>
    <n v="1"/>
    <n v="3429"/>
    <n v="11.356847999999999"/>
    <n v="20.781818181818181"/>
    <s v="Feb"/>
    <x v="7"/>
    <m/>
    <m/>
  </r>
  <r>
    <n v="64958128"/>
    <x v="1"/>
    <n v="415"/>
    <d v="2026-02-16T00:00:00"/>
    <s v="Yasso Mint Chocolate Chip 8-4pk"/>
    <x v="11"/>
    <n v="3.3119999999999998E-3"/>
    <n v="165"/>
    <x v="4"/>
    <x v="5"/>
    <n v="1"/>
    <n v="415"/>
    <n v="1.3744799999999999"/>
    <n v="2.5151515151515151"/>
    <s v="Feb"/>
    <x v="5"/>
    <m/>
    <m/>
  </r>
  <r>
    <n v="64958128"/>
    <x v="1"/>
    <n v="5343"/>
    <d v="2026-02-08T00:00:00"/>
    <s v="Yasso Mint Chocolate Chip 8-4pk"/>
    <x v="11"/>
    <n v="3.3119999999999998E-3"/>
    <n v="165"/>
    <x v="4"/>
    <x v="5"/>
    <n v="1"/>
    <n v="5343"/>
    <n v="17.696016"/>
    <n v="32.381818181818183"/>
    <s v="Feb"/>
    <x v="7"/>
    <m/>
    <m/>
  </r>
  <r>
    <n v="64958128"/>
    <x v="1"/>
    <n v="6868"/>
    <d v="2026-02-09T00:00:00"/>
    <s v="Yasso Mint Chocolate Chip 8-4pk"/>
    <x v="11"/>
    <n v="3.3119999999999998E-3"/>
    <n v="165"/>
    <x v="4"/>
    <x v="5"/>
    <n v="1"/>
    <n v="6868"/>
    <n v="22.746815999999999"/>
    <n v="41.624242424242425"/>
    <s v="Feb"/>
    <x v="7"/>
    <m/>
    <m/>
  </r>
  <r>
    <n v="64975616"/>
    <x v="1"/>
    <n v="2877"/>
    <d v="2026-02-02T00:00:00"/>
    <s v="Yasso Mint Chocolate Chip 8-14z"/>
    <x v="22"/>
    <n v="3.3119999999999998E-3"/>
    <n v="240"/>
    <x v="11"/>
    <x v="17"/>
    <n v="1"/>
    <n v="2877"/>
    <n v="9.5286239999999989"/>
    <n v="11.987500000000001"/>
    <s v="Feb"/>
    <x v="8"/>
    <m/>
    <m/>
  </r>
  <r>
    <n v="64975616"/>
    <x v="1"/>
    <n v="6605"/>
    <d v="2026-02-03T00:00:00"/>
    <s v="Yasso Mint Chocolate Chip 8-14z"/>
    <x v="22"/>
    <n v="3.3119999999999998E-3"/>
    <n v="240"/>
    <x v="11"/>
    <x v="17"/>
    <n v="1"/>
    <n v="6605"/>
    <n v="21.87576"/>
    <n v="27.520833333333332"/>
    <s v="Feb"/>
    <x v="8"/>
    <m/>
    <m/>
  </r>
  <r>
    <n v="64975616"/>
    <x v="1"/>
    <n v="-31"/>
    <d v="2026-02-06T00:00:00"/>
    <s v="Yasso Mint Chocolate Chip 8-14z"/>
    <x v="22"/>
    <n v="3.3119999999999998E-3"/>
    <n v="240"/>
    <x v="11"/>
    <x v="17"/>
    <n v="1"/>
    <n v="-31"/>
    <n v="-0.102672"/>
    <n v="-0.12916666666666668"/>
    <s v="Feb"/>
    <x v="8"/>
    <m/>
    <m/>
  </r>
  <r>
    <n v="64975616"/>
    <x v="1"/>
    <n v="5924"/>
    <d v="2026-02-03T00:00:00"/>
    <s v="Yasso Mint Chocolate Chip 8-14z"/>
    <x v="22"/>
    <n v="3.3119999999999998E-3"/>
    <n v="240"/>
    <x v="11"/>
    <x v="17"/>
    <n v="1"/>
    <n v="5924"/>
    <n v="19.620287999999999"/>
    <n v="24.683333333333334"/>
    <s v="Feb"/>
    <x v="8"/>
    <m/>
    <m/>
  </r>
  <r>
    <n v="64975616"/>
    <x v="1"/>
    <n v="8160"/>
    <d v="2026-02-04T00:00:00"/>
    <s v="Yasso Mint Chocolate Chip 8-14z"/>
    <x v="22"/>
    <n v="3.3119999999999998E-3"/>
    <n v="240"/>
    <x v="11"/>
    <x v="17"/>
    <n v="1"/>
    <n v="8160"/>
    <n v="27.025919999999999"/>
    <n v="34"/>
    <s v="Feb"/>
    <x v="8"/>
    <m/>
    <m/>
  </r>
  <r>
    <n v="64975616"/>
    <x v="1"/>
    <n v="6195"/>
    <d v="2026-02-04T00:00:00"/>
    <s v="Yasso Mint Chocolate Chip 8-14z"/>
    <x v="22"/>
    <n v="3.3119999999999998E-3"/>
    <n v="240"/>
    <x v="11"/>
    <x v="17"/>
    <n v="1"/>
    <n v="6195"/>
    <n v="20.51784"/>
    <n v="25.8125"/>
    <s v="Feb"/>
    <x v="8"/>
    <m/>
    <m/>
  </r>
  <r>
    <n v="64975616"/>
    <x v="1"/>
    <n v="2743"/>
    <d v="2026-02-05T00:00:00"/>
    <s v="Yasso Mint Chocolate Chip 8-14z"/>
    <x v="22"/>
    <n v="3.3119999999999998E-3"/>
    <n v="240"/>
    <x v="11"/>
    <x v="17"/>
    <n v="1"/>
    <n v="2743"/>
    <n v="9.084816"/>
    <n v="11.429166666666667"/>
    <s v="Feb"/>
    <x v="8"/>
    <m/>
    <m/>
  </r>
  <r>
    <n v="64975616"/>
    <x v="1"/>
    <n v="7500"/>
    <d v="2026-02-05T00:00:00"/>
    <s v="Yasso Mint Chocolate Chip 8-14z"/>
    <x v="22"/>
    <n v="3.3119999999999998E-3"/>
    <n v="240"/>
    <x v="11"/>
    <x v="17"/>
    <n v="1"/>
    <n v="7500"/>
    <n v="24.84"/>
    <n v="31.25"/>
    <s v="Feb"/>
    <x v="8"/>
    <m/>
    <m/>
  </r>
  <r>
    <n v="64975616"/>
    <x v="1"/>
    <n v="8431"/>
    <d v="2026-02-06T00:00:00"/>
    <s v="Yasso Mint Chocolate Chip 8-14z"/>
    <x v="22"/>
    <n v="3.3119999999999998E-3"/>
    <n v="240"/>
    <x v="11"/>
    <x v="17"/>
    <n v="1"/>
    <n v="8431"/>
    <n v="27.923472"/>
    <n v="35.12916666666667"/>
    <s v="Feb"/>
    <x v="8"/>
    <m/>
    <m/>
  </r>
  <r>
    <n v="64975616"/>
    <x v="1"/>
    <n v="6960"/>
    <d v="2026-02-06T00:00:00"/>
    <s v="Yasso Mint Chocolate Chip 8-14z"/>
    <x v="22"/>
    <n v="3.3119999999999998E-3"/>
    <n v="240"/>
    <x v="11"/>
    <x v="17"/>
    <n v="1"/>
    <n v="6960"/>
    <n v="23.05152"/>
    <n v="29"/>
    <s v="Feb"/>
    <x v="8"/>
    <m/>
    <m/>
  </r>
  <r>
    <n v="64975616"/>
    <x v="1"/>
    <n v="974"/>
    <d v="2026-02-07T00:00:00"/>
    <s v="Yasso Mint Chocolate Chip 8-14z"/>
    <x v="22"/>
    <n v="3.3119999999999998E-3"/>
    <n v="240"/>
    <x v="11"/>
    <x v="17"/>
    <n v="1"/>
    <n v="974"/>
    <n v="3.2258879999999999"/>
    <n v="4.0583333333333336"/>
    <s v="Feb"/>
    <x v="8"/>
    <m/>
    <m/>
  </r>
  <r>
    <n v="64975616"/>
    <x v="1"/>
    <n v="4922"/>
    <d v="2026-02-09T00:00:00"/>
    <s v="Yasso Mint Chocolate Chip 8-14z"/>
    <x v="22"/>
    <n v="3.3119999999999998E-3"/>
    <n v="240"/>
    <x v="11"/>
    <x v="17"/>
    <n v="1"/>
    <n v="4922"/>
    <n v="16.301663999999999"/>
    <n v="20.508333333333333"/>
    <s v="Feb"/>
    <x v="7"/>
    <m/>
    <m/>
  </r>
  <r>
    <n v="64976848"/>
    <x v="1"/>
    <n v="3358"/>
    <d v="2026-02-05T00:00:00"/>
    <s v="Yasso Fudge Chocolate Crunch 8-4pk"/>
    <x v="13"/>
    <n v="2.5040000000000001E-3"/>
    <n v="165"/>
    <x v="4"/>
    <x v="5"/>
    <n v="1"/>
    <n v="3358"/>
    <n v="8.4084320000000012"/>
    <n v="20.351515151515152"/>
    <s v="Feb"/>
    <x v="8"/>
    <m/>
    <m/>
  </r>
  <r>
    <n v="64976848"/>
    <x v="1"/>
    <n v="3501"/>
    <d v="2026-02-06T00:00:00"/>
    <s v="Yasso Fudge Chocolate Crunch 8-4pk"/>
    <x v="13"/>
    <n v="2.5040000000000001E-3"/>
    <n v="165"/>
    <x v="4"/>
    <x v="5"/>
    <n v="1"/>
    <n v="3501"/>
    <n v="8.7665040000000012"/>
    <n v="21.218181818181819"/>
    <s v="Feb"/>
    <x v="8"/>
    <m/>
    <m/>
  </r>
  <r>
    <n v="64976848"/>
    <x v="1"/>
    <n v="806"/>
    <d v="2026-01-28T00:00:00"/>
    <s v="Yasso Fudge Chocolate Crunch 8-4pk"/>
    <x v="13"/>
    <n v="2.5040000000000001E-3"/>
    <n v="165"/>
    <x v="4"/>
    <x v="5"/>
    <n v="1"/>
    <n v="806"/>
    <n v="2.018224"/>
    <n v="4.8848484848484848"/>
    <s v="Jan"/>
    <x v="4"/>
    <m/>
    <m/>
  </r>
  <r>
    <n v="64976848"/>
    <x v="1"/>
    <n v="3465"/>
    <d v="2026-02-06T00:00:00"/>
    <s v="Yasso Fudge Chocolate Crunch 8-4pk"/>
    <x v="13"/>
    <n v="2.5040000000000001E-3"/>
    <n v="165"/>
    <x v="4"/>
    <x v="5"/>
    <n v="1"/>
    <n v="3465"/>
    <n v="8.6763600000000007"/>
    <n v="21"/>
    <s v="Feb"/>
    <x v="8"/>
    <m/>
    <m/>
  </r>
  <r>
    <n v="64976848"/>
    <x v="1"/>
    <n v="4009"/>
    <d v="2026-02-07T00:00:00"/>
    <s v="Yasso Fudge Chocolate Crunch 8-4pk"/>
    <x v="13"/>
    <n v="2.5040000000000001E-3"/>
    <n v="165"/>
    <x v="4"/>
    <x v="5"/>
    <n v="1"/>
    <n v="4009"/>
    <n v="10.038536000000001"/>
    <n v="24.296969696969697"/>
    <s v="Feb"/>
    <x v="8"/>
    <m/>
    <m/>
  </r>
  <r>
    <n v="64976848"/>
    <x v="1"/>
    <n v="495"/>
    <d v="2026-02-09T00:00:00"/>
    <s v="Yasso Fudge Chocolate Crunch 8-4pk"/>
    <x v="13"/>
    <n v="2.5040000000000001E-3"/>
    <n v="165"/>
    <x v="4"/>
    <x v="5"/>
    <n v="1"/>
    <n v="495"/>
    <n v="1.2394800000000001"/>
    <n v="3"/>
    <s v="Feb"/>
    <x v="7"/>
    <m/>
    <m/>
  </r>
  <r>
    <n v="64976848"/>
    <x v="1"/>
    <n v="-15"/>
    <d v="2026-02-17T00:00:00"/>
    <s v="Yasso Fudge Chocolate Crunch 8-4pk"/>
    <x v="13"/>
    <n v="2.5040000000000001E-3"/>
    <n v="165"/>
    <x v="4"/>
    <x v="5"/>
    <n v="1"/>
    <n v="-15"/>
    <n v="-3.7560000000000003E-2"/>
    <n v="-9.0909090909090912E-2"/>
    <s v="Feb"/>
    <x v="5"/>
    <m/>
    <m/>
  </r>
  <r>
    <n v="64976848"/>
    <x v="1"/>
    <n v="1718"/>
    <d v="2026-01-28T00:00:00"/>
    <s v="Yasso Fudge Chocolate Crunch 8-4pk"/>
    <x v="13"/>
    <n v="2.5040000000000001E-3"/>
    <n v="165"/>
    <x v="4"/>
    <x v="5"/>
    <n v="1"/>
    <n v="1718"/>
    <n v="4.3018720000000004"/>
    <n v="10.412121212121212"/>
    <s v="Jan"/>
    <x v="4"/>
    <m/>
    <m/>
  </r>
  <r>
    <n v="64976848"/>
    <x v="1"/>
    <n v="2308"/>
    <d v="2026-01-29T00:00:00"/>
    <s v="Yasso Fudge Chocolate Crunch 8-4pk"/>
    <x v="13"/>
    <n v="2.5040000000000001E-3"/>
    <n v="165"/>
    <x v="4"/>
    <x v="5"/>
    <n v="1"/>
    <n v="2308"/>
    <n v="5.7792320000000004"/>
    <n v="13.987878787878788"/>
    <s v="Jan"/>
    <x v="4"/>
    <m/>
    <m/>
  </r>
  <r>
    <n v="64976848"/>
    <x v="1"/>
    <n v="3527"/>
    <d v="2026-02-07T00:00:00"/>
    <s v="Yasso Fudge Chocolate Crunch 8-4pk"/>
    <x v="13"/>
    <n v="2.5040000000000001E-3"/>
    <n v="165"/>
    <x v="4"/>
    <x v="5"/>
    <n v="1"/>
    <n v="3527"/>
    <n v="8.831608000000001"/>
    <n v="21.375757575757575"/>
    <s v="Feb"/>
    <x v="8"/>
    <m/>
    <m/>
  </r>
  <r>
    <n v="64976848"/>
    <x v="1"/>
    <n v="4478"/>
    <d v="2026-02-08T00:00:00"/>
    <s v="Yasso Fudge Chocolate Crunch 8-4pk"/>
    <x v="13"/>
    <n v="2.5040000000000001E-3"/>
    <n v="165"/>
    <x v="4"/>
    <x v="5"/>
    <n v="1"/>
    <n v="4478"/>
    <n v="11.212912000000001"/>
    <n v="27.139393939393941"/>
    <s v="Feb"/>
    <x v="7"/>
    <m/>
    <m/>
  </r>
  <r>
    <n v="64976848"/>
    <x v="1"/>
    <n v="330"/>
    <d v="2026-02-09T00:00:00"/>
    <s v="Yasso Fudge Chocolate Crunch 8-4pk"/>
    <x v="13"/>
    <n v="2.5040000000000001E-3"/>
    <n v="165"/>
    <x v="4"/>
    <x v="5"/>
    <n v="1"/>
    <n v="330"/>
    <n v="0.82632000000000005"/>
    <n v="2"/>
    <s v="Feb"/>
    <x v="7"/>
    <m/>
    <m/>
  </r>
  <r>
    <n v="64976848"/>
    <x v="1"/>
    <n v="2035"/>
    <d v="2026-01-29T00:00:00"/>
    <s v="Yasso Fudge Chocolate Crunch 8-4pk"/>
    <x v="13"/>
    <n v="2.5040000000000001E-3"/>
    <n v="165"/>
    <x v="4"/>
    <x v="5"/>
    <n v="1"/>
    <n v="2035"/>
    <n v="5.0956400000000004"/>
    <n v="12.333333333333334"/>
    <s v="Jan"/>
    <x v="4"/>
    <m/>
    <m/>
  </r>
  <r>
    <n v="64976848"/>
    <x v="1"/>
    <n v="4769"/>
    <d v="2026-01-30T00:00:00"/>
    <s v="Yasso Fudge Chocolate Crunch 8-4pk"/>
    <x v="13"/>
    <n v="2.5040000000000001E-3"/>
    <n v="165"/>
    <x v="4"/>
    <x v="5"/>
    <n v="1"/>
    <n v="4769"/>
    <n v="11.941576000000001"/>
    <n v="28.903030303030302"/>
    <s v="Jan"/>
    <x v="4"/>
    <m/>
    <m/>
  </r>
  <r>
    <n v="64976848"/>
    <x v="1"/>
    <n v="-165"/>
    <d v="2026-02-06T00:00:00"/>
    <s v="Yasso Fudge Chocolate Crunch 8-4pk"/>
    <x v="13"/>
    <n v="2.5040000000000001E-3"/>
    <n v="165"/>
    <x v="4"/>
    <x v="5"/>
    <n v="1"/>
    <n v="-165"/>
    <n v="-0.41316000000000003"/>
    <n v="-1"/>
    <s v="Feb"/>
    <x v="8"/>
    <m/>
    <m/>
  </r>
  <r>
    <n v="64976848"/>
    <x v="1"/>
    <n v="1979"/>
    <d v="2026-02-08T00:00:00"/>
    <s v="Yasso Fudge Chocolate Crunch 8-4pk"/>
    <x v="13"/>
    <n v="2.5040000000000001E-3"/>
    <n v="165"/>
    <x v="4"/>
    <x v="5"/>
    <n v="1"/>
    <n v="1979"/>
    <n v="4.9554160000000005"/>
    <n v="11.993939393939394"/>
    <s v="Feb"/>
    <x v="7"/>
    <m/>
    <m/>
  </r>
  <r>
    <n v="64976848"/>
    <x v="1"/>
    <n v="4365"/>
    <d v="2026-02-09T00:00:00"/>
    <s v="Yasso Fudge Chocolate Crunch 8-4pk"/>
    <x v="13"/>
    <n v="2.5040000000000001E-3"/>
    <n v="165"/>
    <x v="4"/>
    <x v="5"/>
    <n v="1"/>
    <n v="4365"/>
    <n v="10.929960000000001"/>
    <n v="26.454545454545453"/>
    <s v="Feb"/>
    <x v="7"/>
    <m/>
    <m/>
  </r>
  <r>
    <n v="64976848"/>
    <x v="1"/>
    <n v="2992"/>
    <d v="2026-01-30T00:00:00"/>
    <s v="Yasso Fudge Chocolate Crunch 8-4pk"/>
    <x v="13"/>
    <n v="2.5040000000000001E-3"/>
    <n v="165"/>
    <x v="4"/>
    <x v="5"/>
    <n v="1"/>
    <n v="2992"/>
    <n v="7.4919680000000008"/>
    <n v="18.133333333333333"/>
    <s v="Jan"/>
    <x v="4"/>
    <m/>
    <m/>
  </r>
  <r>
    <n v="64976848"/>
    <x v="1"/>
    <n v="4050"/>
    <d v="2026-01-31T00:00:00"/>
    <s v="Yasso Fudge Chocolate Crunch 8-4pk"/>
    <x v="13"/>
    <n v="2.5040000000000001E-3"/>
    <n v="165"/>
    <x v="4"/>
    <x v="5"/>
    <n v="1"/>
    <n v="4050"/>
    <n v="10.141200000000001"/>
    <n v="24.545454545454547"/>
    <s v="Jan"/>
    <x v="4"/>
    <m/>
    <m/>
  </r>
  <r>
    <n v="64976848"/>
    <x v="1"/>
    <n v="610"/>
    <d v="2026-02-02T00:00:00"/>
    <s v="Yasso Fudge Chocolate Crunch 8-4pk"/>
    <x v="13"/>
    <n v="2.5040000000000001E-3"/>
    <n v="165"/>
    <x v="4"/>
    <x v="5"/>
    <n v="1"/>
    <n v="610"/>
    <n v="1.5274400000000001"/>
    <n v="3.6969696969696968"/>
    <s v="Feb"/>
    <x v="8"/>
    <m/>
    <m/>
  </r>
  <r>
    <n v="64976848"/>
    <x v="1"/>
    <n v="5608"/>
    <d v="2026-01-31T00:00:00"/>
    <s v="Yasso Fudge Chocolate Crunch 8-4pk"/>
    <x v="13"/>
    <n v="2.5040000000000001E-3"/>
    <n v="165"/>
    <x v="4"/>
    <x v="5"/>
    <n v="1"/>
    <n v="5608"/>
    <n v="14.042432000000002"/>
    <n v="33.987878787878785"/>
    <s v="Jan"/>
    <x v="4"/>
    <m/>
    <m/>
  </r>
  <r>
    <n v="64976848"/>
    <x v="1"/>
    <n v="3382"/>
    <d v="2026-02-01T00:00:00"/>
    <s v="Yasso Fudge Chocolate Crunch 8-4pk"/>
    <x v="13"/>
    <n v="2.5040000000000001E-3"/>
    <n v="165"/>
    <x v="4"/>
    <x v="5"/>
    <n v="1"/>
    <n v="3382"/>
    <n v="8.4685280000000009"/>
    <n v="20.496969696969696"/>
    <s v="Feb"/>
    <x v="8"/>
    <m/>
    <m/>
  </r>
  <r>
    <n v="64976848"/>
    <x v="1"/>
    <n v="1091"/>
    <d v="2026-02-01T00:00:00"/>
    <s v="Yasso Fudge Chocolate Crunch 8-4pk"/>
    <x v="13"/>
    <n v="2.5040000000000001E-3"/>
    <n v="165"/>
    <x v="4"/>
    <x v="5"/>
    <n v="1"/>
    <n v="1091"/>
    <n v="2.7318640000000003"/>
    <n v="6.6121212121212123"/>
    <s v="Feb"/>
    <x v="8"/>
    <m/>
    <m/>
  </r>
  <r>
    <n v="64976848"/>
    <x v="1"/>
    <n v="2017"/>
    <d v="2026-02-02T00:00:00"/>
    <s v="Yasso Fudge Chocolate Crunch 8-4pk"/>
    <x v="13"/>
    <n v="2.5040000000000001E-3"/>
    <n v="165"/>
    <x v="4"/>
    <x v="5"/>
    <n v="1"/>
    <n v="2017"/>
    <n v="5.0505680000000002"/>
    <n v="12.224242424242425"/>
    <s v="Feb"/>
    <x v="8"/>
    <m/>
    <m/>
  </r>
  <r>
    <n v="64976848"/>
    <x v="1"/>
    <n v="3179"/>
    <d v="2026-02-02T00:00:00"/>
    <s v="Yasso Fudge Chocolate Crunch 8-4pk"/>
    <x v="13"/>
    <n v="2.5040000000000001E-3"/>
    <n v="165"/>
    <x v="4"/>
    <x v="5"/>
    <n v="1"/>
    <n v="3179"/>
    <n v="7.9602160000000008"/>
    <n v="19.266666666666666"/>
    <s v="Feb"/>
    <x v="8"/>
    <m/>
    <m/>
  </r>
  <r>
    <n v="64976848"/>
    <x v="1"/>
    <n v="4658"/>
    <d v="2026-02-03T00:00:00"/>
    <s v="Yasso Fudge Chocolate Crunch 8-4pk"/>
    <x v="13"/>
    <n v="2.5040000000000001E-3"/>
    <n v="165"/>
    <x v="4"/>
    <x v="5"/>
    <n v="1"/>
    <n v="4658"/>
    <n v="11.663632000000002"/>
    <n v="28.23030303030303"/>
    <s v="Feb"/>
    <x v="8"/>
    <m/>
    <m/>
  </r>
  <r>
    <n v="64976848"/>
    <x v="1"/>
    <n v="1980"/>
    <d v="2026-02-03T00:00:00"/>
    <s v="Yasso Fudge Chocolate Crunch 8-4pk"/>
    <x v="13"/>
    <n v="2.5040000000000001E-3"/>
    <n v="165"/>
    <x v="4"/>
    <x v="5"/>
    <n v="1"/>
    <n v="1980"/>
    <n v="4.9579200000000005"/>
    <n v="12"/>
    <s v="Feb"/>
    <x v="8"/>
    <m/>
    <m/>
  </r>
  <r>
    <n v="64976848"/>
    <x v="1"/>
    <n v="2475"/>
    <d v="2026-02-04T00:00:00"/>
    <s v="Yasso Fudge Chocolate Crunch 8-4pk"/>
    <x v="13"/>
    <n v="2.5040000000000001E-3"/>
    <n v="165"/>
    <x v="4"/>
    <x v="5"/>
    <n v="1"/>
    <n v="2475"/>
    <n v="6.1974"/>
    <n v="15"/>
    <s v="Feb"/>
    <x v="8"/>
    <m/>
    <m/>
  </r>
  <r>
    <n v="64976848"/>
    <x v="1"/>
    <n v="1320"/>
    <d v="2026-02-04T00:00:00"/>
    <s v="Yasso Fudge Chocolate Crunch 8-4pk"/>
    <x v="13"/>
    <n v="2.5040000000000001E-3"/>
    <n v="165"/>
    <x v="4"/>
    <x v="5"/>
    <n v="1"/>
    <n v="1320"/>
    <n v="3.3052800000000002"/>
    <n v="8"/>
    <s v="Feb"/>
    <x v="8"/>
    <m/>
    <m/>
  </r>
  <r>
    <n v="64976848"/>
    <x v="1"/>
    <n v="2835"/>
    <d v="2026-02-05T00:00:00"/>
    <s v="Yasso Fudge Chocolate Crunch 8-4pk"/>
    <x v="13"/>
    <n v="2.5040000000000001E-3"/>
    <n v="165"/>
    <x v="4"/>
    <x v="5"/>
    <n v="1"/>
    <n v="2835"/>
    <n v="7.09884"/>
    <n v="17.181818181818183"/>
    <s v="Feb"/>
    <x v="8"/>
    <m/>
    <m/>
  </r>
  <r>
    <n v="64976848"/>
    <x v="1"/>
    <n v="4950"/>
    <d v="2026-02-09T00:00:00"/>
    <s v="Yasso Fudge Chocolate Crunch 8-4pk"/>
    <x v="13"/>
    <n v="2.5040000000000001E-3"/>
    <n v="165"/>
    <x v="4"/>
    <x v="5"/>
    <n v="1"/>
    <n v="4950"/>
    <n v="12.3948"/>
    <n v="30"/>
    <s v="Feb"/>
    <x v="7"/>
    <m/>
    <m/>
  </r>
  <r>
    <n v="64976848"/>
    <x v="1"/>
    <n v="4971"/>
    <d v="2026-02-10T00:00:00"/>
    <s v="Yasso Fudge Chocolate Crunch 8-4pk"/>
    <x v="13"/>
    <n v="2.5040000000000001E-3"/>
    <n v="165"/>
    <x v="4"/>
    <x v="5"/>
    <n v="1"/>
    <n v="4971"/>
    <n v="12.447384000000001"/>
    <n v="30.127272727272729"/>
    <s v="Feb"/>
    <x v="7"/>
    <m/>
    <m/>
  </r>
  <r>
    <n v="64976848"/>
    <x v="1"/>
    <n v="2738"/>
    <d v="2026-02-10T00:00:00"/>
    <s v="Yasso Fudge Chocolate Crunch 8-4pk"/>
    <x v="13"/>
    <n v="2.5040000000000001E-3"/>
    <n v="165"/>
    <x v="4"/>
    <x v="5"/>
    <n v="1"/>
    <n v="2738"/>
    <n v="6.8559520000000003"/>
    <n v="16.593939393939394"/>
    <s v="Feb"/>
    <x v="7"/>
    <m/>
    <m/>
  </r>
  <r>
    <n v="64976848"/>
    <x v="1"/>
    <n v="3780"/>
    <d v="2026-02-11T00:00:00"/>
    <s v="Yasso Fudge Chocolate Crunch 8-4pk"/>
    <x v="13"/>
    <n v="2.5040000000000001E-3"/>
    <n v="165"/>
    <x v="4"/>
    <x v="5"/>
    <n v="1"/>
    <n v="3780"/>
    <n v="9.4651200000000006"/>
    <n v="22.90909090909091"/>
    <s v="Feb"/>
    <x v="7"/>
    <m/>
    <m/>
  </r>
  <r>
    <n v="64976848"/>
    <x v="1"/>
    <n v="3433"/>
    <d v="2026-02-11T00:00:00"/>
    <s v="Yasso Fudge Chocolate Crunch 8-4pk"/>
    <x v="13"/>
    <n v="2.5040000000000001E-3"/>
    <n v="165"/>
    <x v="4"/>
    <x v="5"/>
    <n v="1"/>
    <n v="3433"/>
    <n v="8.5962320000000005"/>
    <n v="20.806060606060605"/>
    <s v="Feb"/>
    <x v="7"/>
    <m/>
    <m/>
  </r>
  <r>
    <n v="64976848"/>
    <x v="1"/>
    <n v="2984"/>
    <d v="2026-02-12T00:00:00"/>
    <s v="Yasso Fudge Chocolate Crunch 8-4pk"/>
    <x v="13"/>
    <n v="2.5040000000000001E-3"/>
    <n v="165"/>
    <x v="4"/>
    <x v="5"/>
    <n v="1"/>
    <n v="2984"/>
    <n v="7.4719360000000004"/>
    <n v="18.084848484848486"/>
    <s v="Feb"/>
    <x v="7"/>
    <m/>
    <m/>
  </r>
  <r>
    <n v="64976848"/>
    <x v="1"/>
    <n v="6195"/>
    <d v="2026-02-12T00:00:00"/>
    <s v="Yasso Fudge Chocolate Crunch 8-4pk"/>
    <x v="13"/>
    <n v="2.5040000000000001E-3"/>
    <n v="165"/>
    <x v="4"/>
    <x v="5"/>
    <n v="1"/>
    <n v="6195"/>
    <n v="15.512280000000001"/>
    <n v="37.545454545454547"/>
    <s v="Feb"/>
    <x v="7"/>
    <m/>
    <m/>
  </r>
  <r>
    <n v="64976848"/>
    <x v="1"/>
    <n v="4950"/>
    <d v="2026-02-13T00:00:00"/>
    <s v="Yasso Fudge Chocolate Crunch 8-4pk"/>
    <x v="13"/>
    <n v="2.5040000000000001E-3"/>
    <n v="165"/>
    <x v="4"/>
    <x v="5"/>
    <n v="1"/>
    <n v="4950"/>
    <n v="12.3948"/>
    <n v="30"/>
    <s v="Feb"/>
    <x v="7"/>
    <m/>
    <m/>
  </r>
  <r>
    <n v="64976848"/>
    <x v="1"/>
    <n v="5385"/>
    <d v="2026-02-13T00:00:00"/>
    <s v="Yasso Fudge Chocolate Crunch 8-4pk"/>
    <x v="13"/>
    <n v="2.5040000000000001E-3"/>
    <n v="165"/>
    <x v="4"/>
    <x v="5"/>
    <n v="1"/>
    <n v="5385"/>
    <n v="13.48404"/>
    <n v="32.636363636363633"/>
    <s v="Feb"/>
    <x v="7"/>
    <m/>
    <m/>
  </r>
  <r>
    <n v="64976848"/>
    <x v="1"/>
    <n v="4647"/>
    <d v="2026-02-14T00:00:00"/>
    <s v="Yasso Fudge Chocolate Crunch 8-4pk"/>
    <x v="13"/>
    <n v="2.5040000000000001E-3"/>
    <n v="165"/>
    <x v="4"/>
    <x v="5"/>
    <n v="1"/>
    <n v="4647"/>
    <n v="11.636088000000001"/>
    <n v="28.163636363636364"/>
    <s v="Feb"/>
    <x v="7"/>
    <m/>
    <m/>
  </r>
  <r>
    <n v="64976848"/>
    <x v="1"/>
    <n v="330"/>
    <d v="2026-02-16T00:00:00"/>
    <s v="Yasso Fudge Chocolate Crunch 8-4pk"/>
    <x v="13"/>
    <n v="2.5040000000000001E-3"/>
    <n v="165"/>
    <x v="4"/>
    <x v="5"/>
    <n v="1"/>
    <n v="330"/>
    <n v="0.82632000000000005"/>
    <n v="2"/>
    <s v="Feb"/>
    <x v="5"/>
    <m/>
    <m/>
  </r>
  <r>
    <n v="64984152"/>
    <x v="1"/>
    <n v="1986"/>
    <d v="2026-01-29T00:00:00"/>
    <s v="BJ US-SUN-PBBlondie-8 427ml"/>
    <x v="17"/>
    <n v="3.4159999999999998E-3"/>
    <n v="240"/>
    <x v="14"/>
    <x v="21"/>
    <n v="1"/>
    <n v="1986"/>
    <n v="6.7841759999999995"/>
    <n v="8.2750000000000004"/>
    <s v="Jan"/>
    <x v="4"/>
    <m/>
    <m/>
  </r>
  <r>
    <n v="64984152"/>
    <x v="1"/>
    <n v="3016"/>
    <d v="2026-01-30T00:00:00"/>
    <s v="BJ US-SUN-PBBlondie-8 427ml"/>
    <x v="17"/>
    <n v="3.4159999999999998E-3"/>
    <n v="240"/>
    <x v="14"/>
    <x v="21"/>
    <n v="1"/>
    <n v="3016"/>
    <n v="10.302655999999999"/>
    <n v="12.566666666666666"/>
    <s v="Jan"/>
    <x v="4"/>
    <m/>
    <m/>
  </r>
  <r>
    <n v="64984152"/>
    <x v="1"/>
    <n v="5892"/>
    <d v="2026-01-30T00:00:00"/>
    <s v="BJ US-SUN-PBBlondie-8 427ml"/>
    <x v="17"/>
    <n v="3.4159999999999998E-3"/>
    <n v="240"/>
    <x v="14"/>
    <x v="21"/>
    <n v="1"/>
    <n v="5892"/>
    <n v="20.127071999999998"/>
    <n v="24.55"/>
    <s v="Jan"/>
    <x v="4"/>
    <m/>
    <m/>
  </r>
  <r>
    <n v="64984152"/>
    <x v="1"/>
    <n v="5357"/>
    <d v="2026-01-31T00:00:00"/>
    <s v="BJ US-SUN-PBBlondie-8 427ml"/>
    <x v="17"/>
    <n v="3.4159999999999998E-3"/>
    <n v="240"/>
    <x v="14"/>
    <x v="21"/>
    <n v="1"/>
    <n v="5357"/>
    <n v="18.299512"/>
    <n v="22.320833333333333"/>
    <s v="Jan"/>
    <x v="4"/>
    <m/>
    <m/>
  </r>
  <r>
    <n v="64984152"/>
    <x v="1"/>
    <n v="54"/>
    <d v="2026-02-02T00:00:00"/>
    <s v="BJ US-SUN-PBBlondie-8 427ml"/>
    <x v="17"/>
    <n v="3.4159999999999998E-3"/>
    <n v="240"/>
    <x v="14"/>
    <x v="21"/>
    <n v="1"/>
    <n v="54"/>
    <n v="0.18446399999999999"/>
    <n v="0.22500000000000001"/>
    <s v="Feb"/>
    <x v="8"/>
    <m/>
    <m/>
  </r>
  <r>
    <n v="64984153"/>
    <x v="1"/>
    <n v="5361"/>
    <d v="2026-01-28T00:00:00"/>
    <s v="BJ US-SUN-MochaMoodPie-8 427ml"/>
    <x v="17"/>
    <n v="3.4159999999999998E-3"/>
    <n v="240"/>
    <x v="14"/>
    <x v="21"/>
    <n v="1"/>
    <n v="5361"/>
    <n v="18.313175999999999"/>
    <n v="22.337499999999999"/>
    <s v="Jan"/>
    <x v="4"/>
    <m/>
    <m/>
  </r>
  <r>
    <n v="64984153"/>
    <x v="1"/>
    <n v="2594"/>
    <d v="2026-01-28T00:00:00"/>
    <s v="BJ US-SUN-MochaMoodPie-8 427ml"/>
    <x v="17"/>
    <n v="3.4159999999999998E-3"/>
    <n v="240"/>
    <x v="14"/>
    <x v="21"/>
    <n v="1"/>
    <n v="2594"/>
    <n v="8.8611039999999992"/>
    <n v="10.808333333333334"/>
    <s v="Jan"/>
    <x v="4"/>
    <m/>
    <m/>
  </r>
  <r>
    <n v="64988055"/>
    <x v="1"/>
    <n v="5456"/>
    <d v="2026-02-02T00:00:00"/>
    <s v="BR CO-B NY Style Cheesecake 6 1.5QT"/>
    <x v="3"/>
    <n v="8.513999999999999E-3"/>
    <n v="176"/>
    <x v="0"/>
    <x v="1"/>
    <n v="1"/>
    <n v="5456"/>
    <n v="46.452383999999995"/>
    <n v="31"/>
    <s v="Feb"/>
    <x v="8"/>
    <m/>
    <m/>
  </r>
  <r>
    <n v="64988055"/>
    <x v="1"/>
    <n v="4737"/>
    <d v="2026-02-03T00:00:00"/>
    <s v="BR CO-B NY Style Cheesecake 6 1.5QT"/>
    <x v="3"/>
    <n v="8.513999999999999E-3"/>
    <n v="176"/>
    <x v="0"/>
    <x v="1"/>
    <n v="1"/>
    <n v="4737"/>
    <n v="40.330817999999994"/>
    <n v="26.914772727272727"/>
    <s v="Feb"/>
    <x v="8"/>
    <m/>
    <m/>
  </r>
  <r>
    <n v="64988055"/>
    <x v="1"/>
    <n v="6155"/>
    <d v="2026-02-03T00:00:00"/>
    <s v="BR CO-B NY Style Cheesecake 6 1.5QT"/>
    <x v="3"/>
    <n v="8.513999999999999E-3"/>
    <n v="176"/>
    <x v="0"/>
    <x v="1"/>
    <n v="1"/>
    <n v="6155"/>
    <n v="52.403669999999991"/>
    <n v="34.971590909090907"/>
    <s v="Feb"/>
    <x v="8"/>
    <m/>
    <m/>
  </r>
  <r>
    <n v="64988055"/>
    <x v="1"/>
    <n v="6688"/>
    <d v="2026-02-04T00:00:00"/>
    <s v="BR CO-B NY Style Cheesecake 6 1.5QT"/>
    <x v="3"/>
    <n v="8.513999999999999E-3"/>
    <n v="176"/>
    <x v="0"/>
    <x v="1"/>
    <n v="1"/>
    <n v="6688"/>
    <n v="56.941631999999991"/>
    <n v="38"/>
    <s v="Feb"/>
    <x v="8"/>
    <m/>
    <m/>
  </r>
  <r>
    <n v="64988055"/>
    <x v="1"/>
    <n v="5984"/>
    <d v="2026-02-04T00:00:00"/>
    <s v="BR CO-B NY Style Cheesecake 6 1.5QT"/>
    <x v="3"/>
    <n v="8.513999999999999E-3"/>
    <n v="176"/>
    <x v="0"/>
    <x v="1"/>
    <n v="1"/>
    <n v="5984"/>
    <n v="50.947775999999998"/>
    <n v="34"/>
    <s v="Feb"/>
    <x v="8"/>
    <m/>
    <m/>
  </r>
  <r>
    <n v="64988055"/>
    <x v="1"/>
    <n v="5045"/>
    <d v="2026-02-05T00:00:00"/>
    <s v="BR CO-B NY Style Cheesecake 6 1.5QT"/>
    <x v="3"/>
    <n v="8.513999999999999E-3"/>
    <n v="176"/>
    <x v="0"/>
    <x v="1"/>
    <n v="1"/>
    <n v="5045"/>
    <n v="42.953129999999994"/>
    <n v="28.664772727272727"/>
    <s v="Feb"/>
    <x v="8"/>
    <m/>
    <m/>
  </r>
  <r>
    <n v="64988055"/>
    <x v="1"/>
    <n v="36"/>
    <d v="2026-02-02T00:00:00"/>
    <s v="BR CO-B NY Style Cheesecake 6 1.5QT"/>
    <x v="3"/>
    <n v="8.513999999999999E-3"/>
    <n v="176"/>
    <x v="0"/>
    <x v="1"/>
    <n v="1"/>
    <n v="36"/>
    <n v="0.30650399999999994"/>
    <n v="0.20454545454545456"/>
    <s v="Feb"/>
    <x v="8"/>
    <m/>
    <m/>
  </r>
  <r>
    <n v="64988056"/>
    <x v="1"/>
    <n v="5950"/>
    <d v="2026-01-28T00:00:00"/>
    <s v="BR Butter Pecan 6 1.5QT"/>
    <x v="5"/>
    <n v="8.513999999999999E-3"/>
    <n v="176"/>
    <x v="0"/>
    <x v="1"/>
    <n v="1"/>
    <n v="5950"/>
    <n v="50.658299999999997"/>
    <n v="33.80681818181818"/>
    <s v="Jan"/>
    <x v="4"/>
    <m/>
    <m/>
  </r>
  <r>
    <n v="64988056"/>
    <x v="1"/>
    <n v="4553"/>
    <d v="2026-01-28T00:00:00"/>
    <s v="BR Butter Pecan 6 1.5QT"/>
    <x v="5"/>
    <n v="8.513999999999999E-3"/>
    <n v="176"/>
    <x v="0"/>
    <x v="1"/>
    <n v="1"/>
    <n v="4553"/>
    <n v="38.764241999999996"/>
    <n v="25.869318181818183"/>
    <s v="Jan"/>
    <x v="4"/>
    <m/>
    <m/>
  </r>
  <r>
    <n v="64988056"/>
    <x v="1"/>
    <n v="7568"/>
    <d v="2026-01-29T00:00:00"/>
    <s v="BR Butter Pecan 6 1.5QT"/>
    <x v="5"/>
    <n v="8.513999999999999E-3"/>
    <n v="176"/>
    <x v="0"/>
    <x v="1"/>
    <n v="1"/>
    <n v="7568"/>
    <n v="64.433951999999991"/>
    <n v="43"/>
    <s v="Jan"/>
    <x v="4"/>
    <m/>
    <m/>
  </r>
  <r>
    <n v="64988056"/>
    <x v="1"/>
    <n v="5532"/>
    <d v="2026-01-29T00:00:00"/>
    <s v="BR Butter Pecan 6 1.5QT"/>
    <x v="5"/>
    <n v="8.513999999999999E-3"/>
    <n v="176"/>
    <x v="0"/>
    <x v="1"/>
    <n v="1"/>
    <n v="5532"/>
    <n v="47.099447999999995"/>
    <n v="31.431818181818183"/>
    <s v="Jan"/>
    <x v="4"/>
    <m/>
    <m/>
  </r>
  <r>
    <n v="64988056"/>
    <x v="1"/>
    <n v="5918"/>
    <d v="2026-01-30T00:00:00"/>
    <s v="BR Butter Pecan 6 1.5QT"/>
    <x v="5"/>
    <n v="8.513999999999999E-3"/>
    <n v="176"/>
    <x v="0"/>
    <x v="1"/>
    <n v="1"/>
    <n v="5918"/>
    <n v="50.385851999999993"/>
    <n v="33.625"/>
    <s v="Jan"/>
    <x v="4"/>
    <m/>
    <m/>
  </r>
  <r>
    <n v="64988056"/>
    <x v="1"/>
    <n v="6512"/>
    <d v="2026-02-13T00:00:00"/>
    <s v="BR Butter Pecan 6 1.5QT"/>
    <x v="5"/>
    <n v="8.513999999999999E-3"/>
    <n v="176"/>
    <x v="0"/>
    <x v="1"/>
    <n v="1"/>
    <n v="6512"/>
    <n v="55.443167999999993"/>
    <n v="37"/>
    <s v="Feb"/>
    <x v="7"/>
    <m/>
    <m/>
  </r>
  <r>
    <n v="64988056"/>
    <x v="1"/>
    <n v="4839"/>
    <d v="2026-02-14T00:00:00"/>
    <s v="BR Butter Pecan 6 1.5QT"/>
    <x v="5"/>
    <n v="8.513999999999999E-3"/>
    <n v="176"/>
    <x v="0"/>
    <x v="1"/>
    <n v="1"/>
    <n v="4839"/>
    <n v="41.199245999999995"/>
    <n v="27.494318181818183"/>
    <s v="Feb"/>
    <x v="7"/>
    <m/>
    <m/>
  </r>
  <r>
    <n v="64988056"/>
    <x v="1"/>
    <n v="176"/>
    <d v="2026-02-16T00:00:00"/>
    <s v="BR Butter Pecan 6 1.5QT"/>
    <x v="5"/>
    <n v="8.513999999999999E-3"/>
    <n v="176"/>
    <x v="0"/>
    <x v="1"/>
    <n v="1"/>
    <n v="176"/>
    <n v="1.4984639999999998"/>
    <n v="1"/>
    <s v="Feb"/>
    <x v="5"/>
    <m/>
    <m/>
  </r>
  <r>
    <n v="64988056"/>
    <x v="1"/>
    <n v="6688"/>
    <d v="2026-02-14T00:00:00"/>
    <s v="BR Butter Pecan 6 1.5QT"/>
    <x v="5"/>
    <n v="8.513999999999999E-3"/>
    <n v="176"/>
    <x v="0"/>
    <x v="1"/>
    <n v="1"/>
    <n v="6688"/>
    <n v="56.941631999999991"/>
    <n v="38"/>
    <s v="Feb"/>
    <x v="7"/>
    <m/>
    <m/>
  </r>
  <r>
    <n v="64988056"/>
    <x v="1"/>
    <n v="3696"/>
    <d v="2026-02-15T00:00:00"/>
    <s v="BR Butter Pecan 6 1.5QT"/>
    <x v="5"/>
    <n v="8.513999999999999E-3"/>
    <n v="176"/>
    <x v="0"/>
    <x v="1"/>
    <n v="1"/>
    <n v="3696"/>
    <n v="31.467743999999996"/>
    <n v="21"/>
    <s v="Feb"/>
    <x v="5"/>
    <m/>
    <m/>
  </r>
  <r>
    <n v="64988056"/>
    <x v="1"/>
    <n v="176"/>
    <d v="2026-02-17T00:00:00"/>
    <s v="BR Butter Pecan 6 1.5QT"/>
    <x v="5"/>
    <n v="8.513999999999999E-3"/>
    <n v="176"/>
    <x v="0"/>
    <x v="1"/>
    <n v="1"/>
    <n v="176"/>
    <n v="1.4984639999999998"/>
    <n v="1"/>
    <s v="Feb"/>
    <x v="5"/>
    <m/>
    <m/>
  </r>
  <r>
    <n v="64988056"/>
    <x v="1"/>
    <n v="-486"/>
    <d v="2026-02-20T00:00:00"/>
    <s v="BR Butter Pecan 6 1.5QT"/>
    <x v="5"/>
    <n v="8.513999999999999E-3"/>
    <n v="176"/>
    <x v="0"/>
    <x v="1"/>
    <n v="1"/>
    <n v="-486"/>
    <n v="-4.1378039999999991"/>
    <n v="-2.7613636363636362"/>
    <s v="Feb"/>
    <x v="5"/>
    <m/>
    <m/>
  </r>
  <r>
    <n v="64988056"/>
    <x v="1"/>
    <n v="4788"/>
    <d v="2026-02-12T00:00:00"/>
    <s v="BR Butter Pecan 6 1.5QT"/>
    <x v="5"/>
    <n v="8.513999999999999E-3"/>
    <n v="176"/>
    <x v="0"/>
    <x v="1"/>
    <n v="1"/>
    <n v="4788"/>
    <n v="40.765031999999998"/>
    <n v="27.204545454545453"/>
    <s v="Feb"/>
    <x v="7"/>
    <m/>
    <m/>
  </r>
  <r>
    <n v="64988056"/>
    <x v="1"/>
    <n v="6411"/>
    <d v="2026-02-13T00:00:00"/>
    <s v="BR Butter Pecan 6 1.5QT"/>
    <x v="5"/>
    <n v="8.513999999999999E-3"/>
    <n v="176"/>
    <x v="0"/>
    <x v="1"/>
    <n v="1"/>
    <n v="6411"/>
    <n v="54.583253999999997"/>
    <n v="36.426136363636367"/>
    <s v="Feb"/>
    <x v="7"/>
    <m/>
    <m/>
  </r>
  <r>
    <n v="64988056"/>
    <x v="1"/>
    <n v="42"/>
    <d v="2026-02-16T00:00:00"/>
    <s v="BR Butter Pecan 6 1.5QT"/>
    <x v="5"/>
    <n v="8.513999999999999E-3"/>
    <n v="176"/>
    <x v="0"/>
    <x v="1"/>
    <n v="1"/>
    <n v="42"/>
    <n v="0.35758799999999996"/>
    <n v="0.23863636363636365"/>
    <s v="Feb"/>
    <x v="5"/>
    <m/>
    <m/>
  </r>
  <r>
    <n v="64988056"/>
    <x v="1"/>
    <n v="-42"/>
    <d v="2026-02-17T00:00:00"/>
    <s v="BR Butter Pecan 6 1.5QT"/>
    <x v="5"/>
    <n v="8.513999999999999E-3"/>
    <n v="176"/>
    <x v="0"/>
    <x v="1"/>
    <n v="1"/>
    <n v="-42"/>
    <n v="-0.35758799999999996"/>
    <n v="-0.23863636363636365"/>
    <s v="Feb"/>
    <x v="5"/>
    <m/>
    <m/>
  </r>
  <r>
    <n v="64988927"/>
    <x v="1"/>
    <n v="145"/>
    <d v="2026-02-20T00:00:00"/>
    <s v="BJ R01-SUN-CookieVermontster-8 427ml"/>
    <x v="17"/>
    <n v="3.4159999999999998E-3"/>
    <n v="240"/>
    <x v="14"/>
    <x v="21"/>
    <n v="1"/>
    <n v="145"/>
    <n v="0.49531999999999998"/>
    <n v="0.60416666666666663"/>
    <s v="Feb"/>
    <x v="5"/>
    <m/>
    <m/>
  </r>
  <r>
    <n v="64988927"/>
    <x v="1"/>
    <n v="2904"/>
    <d v="2026-02-20T00:00:00"/>
    <s v="BJ R01-SUN-CookieVermontster-8 427ml"/>
    <x v="17"/>
    <n v="3.4159999999999998E-3"/>
    <n v="240"/>
    <x v="14"/>
    <x v="21"/>
    <n v="1"/>
    <n v="2904"/>
    <n v="9.920064"/>
    <n v="12.1"/>
    <s v="Feb"/>
    <x v="5"/>
    <m/>
    <m/>
  </r>
  <r>
    <n v="65431089"/>
    <x v="1"/>
    <n v="-90"/>
    <d v="2026-01-30T00:00:00"/>
    <s v="Talenti Passionfruit Sorbetto 8-1PT"/>
    <x v="8"/>
    <n v="3.7839999999999996E-3"/>
    <n v="255"/>
    <x v="2"/>
    <x v="3"/>
    <n v="1"/>
    <n v="-90"/>
    <n v="-0.34055999999999997"/>
    <n v="-0.35294117647058826"/>
    <s v="Jan"/>
    <x v="4"/>
    <m/>
    <m/>
  </r>
  <r>
    <n v="65431089"/>
    <x v="1"/>
    <n v="-15"/>
    <d v="2026-02-17T00:00:00"/>
    <s v="Talenti Passionfruit Sorbetto 8-1PT"/>
    <x v="8"/>
    <n v="3.7839999999999996E-3"/>
    <n v="255"/>
    <x v="2"/>
    <x v="3"/>
    <n v="1"/>
    <n v="-15"/>
    <n v="-5.6759999999999991E-2"/>
    <n v="-5.8823529411764705E-2"/>
    <s v="Feb"/>
    <x v="5"/>
    <m/>
    <m/>
  </r>
  <r>
    <n v="65431090"/>
    <x v="1"/>
    <n v="5563"/>
    <d v="2026-01-28T00:00:00"/>
    <s v="Talenti Hazelnut Chocolate 8-1PT"/>
    <x v="9"/>
    <n v="3.7839999999999996E-3"/>
    <n v="255"/>
    <x v="2"/>
    <x v="3"/>
    <n v="1"/>
    <n v="5563"/>
    <n v="21.050391999999999"/>
    <n v="21.815686274509805"/>
    <s v="Jan"/>
    <x v="4"/>
    <m/>
    <m/>
  </r>
  <r>
    <n v="65459033"/>
    <x v="1"/>
    <n v="3749"/>
    <d v="2026-02-09T00:00:00"/>
    <s v="BR Strawberry Shortcake 8 1PT"/>
    <x v="22"/>
    <n v="3.7839999999999996E-3"/>
    <n v="240"/>
    <x v="17"/>
    <x v="44"/>
    <n v="1"/>
    <n v="3749"/>
    <n v="14.186215999999998"/>
    <n v="15.620833333333334"/>
    <s v="Feb"/>
    <x v="7"/>
    <m/>
    <m/>
  </r>
  <r>
    <n v="65459033"/>
    <x v="1"/>
    <n v="8396"/>
    <d v="2026-02-10T00:00:00"/>
    <s v="BR Strawberry Shortcake 8 1PT"/>
    <x v="22"/>
    <n v="3.7839999999999996E-3"/>
    <n v="240"/>
    <x v="17"/>
    <x v="44"/>
    <n v="1"/>
    <n v="8396"/>
    <n v="31.770463999999997"/>
    <n v="34.983333333333334"/>
    <s v="Feb"/>
    <x v="7"/>
    <m/>
    <m/>
  </r>
  <r>
    <n v="65459033"/>
    <x v="1"/>
    <n v="240"/>
    <d v="2026-02-11T00:00:00"/>
    <s v="BR Strawberry Shortcake 8 1PT"/>
    <x v="22"/>
    <n v="3.7839999999999996E-3"/>
    <n v="240"/>
    <x v="17"/>
    <x v="44"/>
    <n v="1"/>
    <n v="240"/>
    <n v="0.90815999999999986"/>
    <n v="1"/>
    <s v="Feb"/>
    <x v="7"/>
    <m/>
    <m/>
  </r>
  <r>
    <n v="65459033"/>
    <x v="1"/>
    <n v="7848"/>
    <d v="2026-02-10T00:00:00"/>
    <s v="BR Strawberry Shortcake 8 1PT"/>
    <x v="22"/>
    <n v="3.7839999999999996E-3"/>
    <n v="240"/>
    <x v="17"/>
    <x v="44"/>
    <n v="1"/>
    <n v="7848"/>
    <n v="29.696831999999997"/>
    <n v="32.700000000000003"/>
    <s v="Feb"/>
    <x v="7"/>
    <m/>
    <m/>
  </r>
  <r>
    <n v="65459033"/>
    <x v="1"/>
    <n v="9584"/>
    <d v="2026-02-11T00:00:00"/>
    <s v="BR Strawberry Shortcake 8 1PT"/>
    <x v="22"/>
    <n v="3.7839999999999996E-3"/>
    <n v="240"/>
    <x v="17"/>
    <x v="44"/>
    <n v="1"/>
    <n v="9584"/>
    <n v="36.265855999999999"/>
    <n v="39.93333333333333"/>
    <s v="Feb"/>
    <x v="7"/>
    <m/>
    <m/>
  </r>
  <r>
    <n v="65459033"/>
    <x v="1"/>
    <n v="2498"/>
    <d v="2026-02-11T00:00:00"/>
    <s v="BR Strawberry Shortcake 8 1PT"/>
    <x v="22"/>
    <n v="3.7839999999999996E-3"/>
    <n v="240"/>
    <x v="17"/>
    <x v="44"/>
    <n v="1"/>
    <n v="2498"/>
    <n v="9.4524319999999982"/>
    <n v="10.408333333333333"/>
    <s v="Feb"/>
    <x v="7"/>
    <m/>
    <m/>
  </r>
  <r>
    <n v="65459033"/>
    <x v="1"/>
    <n v="239"/>
    <d v="2026-02-12T00:00:00"/>
    <s v="BR Strawberry Shortcake 8 1PT"/>
    <x v="22"/>
    <n v="3.7839999999999996E-3"/>
    <n v="240"/>
    <x v="17"/>
    <x v="44"/>
    <n v="1"/>
    <n v="239"/>
    <n v="0.90437599999999996"/>
    <n v="0.99583333333333335"/>
    <s v="Feb"/>
    <x v="7"/>
    <m/>
    <m/>
  </r>
  <r>
    <n v="65459033"/>
    <x v="1"/>
    <n v="240"/>
    <d v="2026-02-13T00:00:00"/>
    <s v="BR Strawberry Shortcake 8 1PT"/>
    <x v="22"/>
    <n v="3.7839999999999996E-3"/>
    <n v="240"/>
    <x v="17"/>
    <x v="44"/>
    <n v="1"/>
    <n v="240"/>
    <n v="0.90815999999999986"/>
    <n v="1"/>
    <s v="Feb"/>
    <x v="7"/>
    <m/>
    <m/>
  </r>
  <r>
    <n v="65459388"/>
    <x v="1"/>
    <n v="7804"/>
    <d v="2026-02-12T00:00:00"/>
    <s v="BR Almond Joy 8 1PT"/>
    <x v="22"/>
    <n v="3.7839999999999996E-3"/>
    <n v="240"/>
    <x v="17"/>
    <x v="44"/>
    <n v="1"/>
    <n v="7804"/>
    <n v="29.530335999999998"/>
    <n v="32.516666666666666"/>
    <s v="Feb"/>
    <x v="7"/>
    <m/>
    <m/>
  </r>
  <r>
    <n v="65459388"/>
    <x v="1"/>
    <n v="9240"/>
    <d v="2026-02-13T00:00:00"/>
    <s v="BR Almond Joy 8 1PT"/>
    <x v="22"/>
    <n v="3.7839999999999996E-3"/>
    <n v="240"/>
    <x v="17"/>
    <x v="44"/>
    <n v="1"/>
    <n v="9240"/>
    <n v="34.96416"/>
    <n v="38.5"/>
    <s v="Feb"/>
    <x v="7"/>
    <m/>
    <m/>
  </r>
  <r>
    <n v="65459388"/>
    <x v="1"/>
    <n v="-137"/>
    <d v="2026-02-17T00:00:00"/>
    <s v="BR Almond Joy 8 1PT"/>
    <x v="22"/>
    <n v="3.7839999999999996E-3"/>
    <n v="240"/>
    <x v="17"/>
    <x v="44"/>
    <n v="1"/>
    <n v="-137"/>
    <n v="-0.51840799999999998"/>
    <n v="-0.5708333333333333"/>
    <s v="Feb"/>
    <x v="5"/>
    <m/>
    <m/>
  </r>
  <r>
    <n v="65459388"/>
    <x v="1"/>
    <n v="7845"/>
    <d v="2026-02-13T00:00:00"/>
    <s v="BR Almond Joy 8 1PT"/>
    <x v="22"/>
    <n v="3.7839999999999996E-3"/>
    <n v="240"/>
    <x v="17"/>
    <x v="44"/>
    <n v="1"/>
    <n v="7845"/>
    <n v="29.685479999999998"/>
    <n v="32.6875"/>
    <s v="Feb"/>
    <x v="7"/>
    <m/>
    <m/>
  </r>
  <r>
    <n v="65459388"/>
    <x v="1"/>
    <n v="370"/>
    <d v="2026-02-14T00:00:00"/>
    <s v="BR Almond Joy 8 1PT"/>
    <x v="22"/>
    <n v="3.7839999999999996E-3"/>
    <n v="240"/>
    <x v="17"/>
    <x v="44"/>
    <n v="1"/>
    <n v="370"/>
    <n v="1.4000799999999998"/>
    <n v="1.5416666666666667"/>
    <s v="Feb"/>
    <x v="7"/>
    <m/>
    <m/>
  </r>
  <r>
    <n v="65459388"/>
    <x v="1"/>
    <n v="240"/>
    <d v="2026-02-16T00:00:00"/>
    <s v="BR Almond Joy 8 1PT"/>
    <x v="22"/>
    <n v="3.7839999999999996E-3"/>
    <n v="240"/>
    <x v="17"/>
    <x v="44"/>
    <n v="1"/>
    <n v="240"/>
    <n v="0.90815999999999986"/>
    <n v="1"/>
    <s v="Feb"/>
    <x v="5"/>
    <m/>
    <m/>
  </r>
  <r>
    <n v="65459388"/>
    <x v="1"/>
    <n v="5369"/>
    <d v="2026-02-12T00:00:00"/>
    <s v="BR Almond Joy 8 1PT"/>
    <x v="22"/>
    <n v="3.7839999999999996E-3"/>
    <n v="240"/>
    <x v="17"/>
    <x v="44"/>
    <n v="1"/>
    <n v="5369"/>
    <n v="20.316295999999998"/>
    <n v="22.370833333333334"/>
    <s v="Feb"/>
    <x v="7"/>
    <m/>
    <m/>
  </r>
  <r>
    <n v="65471855"/>
    <x v="1"/>
    <n v="720"/>
    <d v="2026-02-16T00:00:00"/>
    <s v="BR Creamsicle 8 1PT"/>
    <x v="22"/>
    <n v="3.7839999999999996E-3"/>
    <n v="240"/>
    <x v="17"/>
    <x v="44"/>
    <n v="1"/>
    <n v="720"/>
    <n v="2.7244799999999998"/>
    <n v="3"/>
    <s v="Feb"/>
    <x v="5"/>
    <m/>
    <m/>
  </r>
  <r>
    <n v="65471855"/>
    <x v="1"/>
    <n v="8847"/>
    <d v="2026-02-17T00:00:00"/>
    <s v="BR Creamsicle 8 1PT"/>
    <x v="22"/>
    <n v="3.7839999999999996E-3"/>
    <n v="240"/>
    <x v="17"/>
    <x v="44"/>
    <n v="1"/>
    <n v="8847"/>
    <n v="33.477047999999996"/>
    <n v="36.862499999999997"/>
    <s v="Feb"/>
    <x v="5"/>
    <m/>
    <m/>
  </r>
  <r>
    <n v="65471855"/>
    <x v="1"/>
    <n v="7127"/>
    <d v="2026-02-17T00:00:00"/>
    <s v="BR Creamsicle 8 1PT"/>
    <x v="22"/>
    <n v="3.7839999999999996E-3"/>
    <n v="240"/>
    <x v="17"/>
    <x v="44"/>
    <n v="1"/>
    <n v="7127"/>
    <n v="26.968567999999998"/>
    <n v="29.695833333333333"/>
    <s v="Feb"/>
    <x v="5"/>
    <m/>
    <m/>
  </r>
  <r>
    <n v="65471855"/>
    <x v="1"/>
    <n v="720"/>
    <d v="2026-02-18T00:00:00"/>
    <s v="BR Creamsicle 8 1PT"/>
    <x v="22"/>
    <n v="3.7839999999999996E-3"/>
    <n v="240"/>
    <x v="17"/>
    <x v="44"/>
    <n v="1"/>
    <n v="720"/>
    <n v="2.7244799999999998"/>
    <n v="3"/>
    <s v="Feb"/>
    <x v="5"/>
    <m/>
    <m/>
  </r>
  <r>
    <n v="65471855"/>
    <x v="1"/>
    <n v="1200"/>
    <d v="2026-02-20T00:00:00"/>
    <s v="BR Creamsicle 8 1PT"/>
    <x v="22"/>
    <n v="3.7839999999999996E-3"/>
    <n v="240"/>
    <x v="17"/>
    <x v="44"/>
    <n v="1"/>
    <n v="1200"/>
    <n v="4.5407999999999999"/>
    <n v="5"/>
    <s v="Feb"/>
    <x v="5"/>
    <m/>
    <m/>
  </r>
  <r>
    <n v="65471855"/>
    <x v="1"/>
    <n v="2125"/>
    <d v="2026-02-21T00:00:00"/>
    <s v="BR Creamsicle 8 1PT"/>
    <x v="22"/>
    <n v="3.7839999999999996E-3"/>
    <n v="240"/>
    <x v="17"/>
    <x v="44"/>
    <n v="1"/>
    <n v="2125"/>
    <n v="8.0409999999999986"/>
    <n v="8.8541666666666661"/>
    <s v="Feb"/>
    <x v="5"/>
    <m/>
    <m/>
  </r>
  <r>
    <n v="67826412"/>
    <x v="1"/>
    <n v="7315"/>
    <d v="2026-01-28T00:00:00"/>
    <s v="BJ US-IC-ChunkyMonkey-FTNG-8 1PT"/>
    <x v="22"/>
    <n v="3.7853439999999999E-3"/>
    <n v="240"/>
    <x v="3"/>
    <x v="12"/>
    <n v="1"/>
    <n v="7315"/>
    <n v="27.689791360000001"/>
    <n v="30.479166666666668"/>
    <s v="Jan"/>
    <x v="4"/>
    <m/>
    <m/>
  </r>
  <r>
    <n v="67826412"/>
    <x v="1"/>
    <n v="7324"/>
    <d v="2026-01-29T00:00:00"/>
    <s v="BJ US-IC-ChunkyMonkey-FTNG-8 1PT"/>
    <x v="22"/>
    <n v="3.7853439999999999E-3"/>
    <n v="240"/>
    <x v="3"/>
    <x v="12"/>
    <n v="1"/>
    <n v="7324"/>
    <n v="27.723859456"/>
    <n v="30.516666666666666"/>
    <s v="Jan"/>
    <x v="4"/>
    <m/>
    <m/>
  </r>
  <r>
    <n v="67826412"/>
    <x v="1"/>
    <n v="3002"/>
    <d v="2026-01-28T00:00:00"/>
    <s v="BJ US-IC-ChunkyMonkey-FTNG-8 1PT"/>
    <x v="22"/>
    <n v="3.7853439999999999E-3"/>
    <n v="240"/>
    <x v="3"/>
    <x v="12"/>
    <n v="1"/>
    <n v="3002"/>
    <n v="11.363602688"/>
    <n v="12.508333333333333"/>
    <s v="Jan"/>
    <x v="4"/>
    <m/>
    <m/>
  </r>
  <r>
    <n v="67826412"/>
    <x v="1"/>
    <n v="7505"/>
    <d v="2026-01-29T00:00:00"/>
    <s v="BJ US-IC-ChunkyMonkey-FTNG-8 1PT"/>
    <x v="22"/>
    <n v="3.7853439999999999E-3"/>
    <n v="240"/>
    <x v="3"/>
    <x v="12"/>
    <n v="1"/>
    <n v="7505"/>
    <n v="28.409006720000001"/>
    <n v="31.270833333333332"/>
    <s v="Jan"/>
    <x v="4"/>
    <m/>
    <m/>
  </r>
  <r>
    <n v="67826412"/>
    <x v="1"/>
    <n v="5671"/>
    <d v="2026-01-30T00:00:00"/>
    <s v="BJ US-IC-ChunkyMonkey-FTNG-8 1PT"/>
    <x v="22"/>
    <n v="3.7853439999999999E-3"/>
    <n v="240"/>
    <x v="3"/>
    <x v="12"/>
    <n v="1"/>
    <n v="5671"/>
    <n v="21.466685823999999"/>
    <n v="23.629166666666666"/>
    <s v="Jan"/>
    <x v="4"/>
    <m/>
    <m/>
  </r>
  <r>
    <n v="68354586"/>
    <x v="1"/>
    <n v="240"/>
    <d v="2026-02-04T00:00:00"/>
    <s v="BJ US-TOP-CHOCCARAMELCD-8 450ml"/>
    <x v="17"/>
    <n v="3.5999999999999999E-3"/>
    <n v="240"/>
    <x v="8"/>
    <x v="9"/>
    <n v="1"/>
    <n v="240"/>
    <n v="0.86399999999999999"/>
    <n v="1"/>
    <s v="Feb"/>
    <x v="8"/>
    <m/>
    <m/>
  </r>
  <r>
    <n v="68354586"/>
    <x v="1"/>
    <n v="15"/>
    <d v="2026-02-04T00:00:00"/>
    <s v="BJ US-TOP-CHOCCARAMELCD-8 450ml"/>
    <x v="17"/>
    <n v="3.5999999999999999E-3"/>
    <n v="240"/>
    <x v="8"/>
    <x v="9"/>
    <n v="1"/>
    <n v="15"/>
    <n v="5.3999999999999999E-2"/>
    <n v="6.25E-2"/>
    <s v="Feb"/>
    <x v="8"/>
    <m/>
    <m/>
  </r>
  <r>
    <n v="68354586"/>
    <x v="1"/>
    <n v="-63"/>
    <d v="2026-01-30T00:00:00"/>
    <s v="BJ US-TOP-CHOCCARAMELCD-8 450ml"/>
    <x v="17"/>
    <n v="3.5999999999999999E-3"/>
    <n v="240"/>
    <x v="8"/>
    <x v="9"/>
    <n v="1"/>
    <n v="-63"/>
    <n v="-0.2268"/>
    <n v="-0.26250000000000001"/>
    <s v="Jan"/>
    <x v="4"/>
    <m/>
    <m/>
  </r>
  <r>
    <n v="68649095"/>
    <x v="1"/>
    <n v="579"/>
    <d v="2026-02-03T00:00:00"/>
    <s v="BJ US-TOP-DirtCake-8 450ML"/>
    <x v="17"/>
    <n v="3.5999999999999999E-3"/>
    <n v="240"/>
    <x v="8"/>
    <x v="9"/>
    <n v="1"/>
    <n v="579"/>
    <n v="2.0844"/>
    <n v="2.4125000000000001"/>
    <s v="Feb"/>
    <x v="8"/>
    <m/>
    <m/>
  </r>
  <r>
    <n v="68649095"/>
    <x v="1"/>
    <n v="4766"/>
    <d v="2026-02-03T00:00:00"/>
    <s v="BJ US-TOP-DirtCake-8 450ML"/>
    <x v="17"/>
    <n v="3.5999999999999999E-3"/>
    <n v="240"/>
    <x v="8"/>
    <x v="9"/>
    <n v="1"/>
    <n v="4766"/>
    <n v="17.157599999999999"/>
    <n v="19.858333333333334"/>
    <s v="Feb"/>
    <x v="8"/>
    <m/>
    <m/>
  </r>
  <r>
    <n v="68649095"/>
    <x v="1"/>
    <n v="4273"/>
    <d v="2026-02-04T00:00:00"/>
    <s v="BJ US-TOP-DirtCake-8 450ML"/>
    <x v="17"/>
    <n v="3.5999999999999999E-3"/>
    <n v="240"/>
    <x v="8"/>
    <x v="9"/>
    <n v="1"/>
    <n v="4273"/>
    <n v="15.3828"/>
    <n v="17.804166666666667"/>
    <s v="Feb"/>
    <x v="8"/>
    <m/>
    <m/>
  </r>
  <r>
    <n v="68649095"/>
    <x v="1"/>
    <n v="5265"/>
    <d v="2026-02-04T00:00:00"/>
    <s v="BJ US-TOP-DirtCake-8 450ML"/>
    <x v="17"/>
    <n v="3.5999999999999999E-3"/>
    <n v="240"/>
    <x v="8"/>
    <x v="9"/>
    <n v="1"/>
    <n v="5265"/>
    <n v="18.954000000000001"/>
    <n v="21.9375"/>
    <s v="Feb"/>
    <x v="8"/>
    <m/>
    <m/>
  </r>
  <r>
    <n v="68649095"/>
    <x v="1"/>
    <n v="7953"/>
    <d v="2026-02-05T00:00:00"/>
    <s v="BJ US-TOP-DirtCake-8 450ML"/>
    <x v="17"/>
    <n v="3.5999999999999999E-3"/>
    <n v="240"/>
    <x v="8"/>
    <x v="9"/>
    <n v="1"/>
    <n v="7953"/>
    <n v="28.630800000000001"/>
    <n v="33.137500000000003"/>
    <s v="Feb"/>
    <x v="8"/>
    <m/>
    <m/>
  </r>
  <r>
    <n v="68649095"/>
    <x v="1"/>
    <n v="5899"/>
    <d v="2026-02-05T00:00:00"/>
    <s v="BJ US-TOP-DirtCake-8 450ML"/>
    <x v="17"/>
    <n v="3.5999999999999999E-3"/>
    <n v="240"/>
    <x v="8"/>
    <x v="9"/>
    <n v="1"/>
    <n v="5899"/>
    <n v="21.2364"/>
    <n v="24.579166666666666"/>
    <s v="Feb"/>
    <x v="8"/>
    <m/>
    <m/>
  </r>
  <r>
    <n v="68649095"/>
    <x v="1"/>
    <n v="8075"/>
    <d v="2026-02-06T00:00:00"/>
    <s v="BJ US-TOP-DirtCake-8 450ML"/>
    <x v="17"/>
    <n v="3.5999999999999999E-3"/>
    <n v="240"/>
    <x v="8"/>
    <x v="9"/>
    <n v="1"/>
    <n v="8075"/>
    <n v="29.07"/>
    <n v="33.645833333333336"/>
    <s v="Feb"/>
    <x v="8"/>
    <m/>
    <m/>
  </r>
  <r>
    <n v="68649095"/>
    <x v="1"/>
    <n v="6656"/>
    <d v="2026-02-06T00:00:00"/>
    <s v="BJ US-TOP-DirtCake-8 450ML"/>
    <x v="17"/>
    <n v="3.5999999999999999E-3"/>
    <n v="240"/>
    <x v="8"/>
    <x v="9"/>
    <n v="1"/>
    <n v="6656"/>
    <n v="23.961600000000001"/>
    <n v="27.733333333333334"/>
    <s v="Feb"/>
    <x v="8"/>
    <m/>
    <m/>
  </r>
  <r>
    <n v="68649095"/>
    <x v="1"/>
    <n v="4245"/>
    <d v="2026-02-07T00:00:00"/>
    <s v="BJ US-TOP-DirtCake-8 450ML"/>
    <x v="17"/>
    <n v="3.5999999999999999E-3"/>
    <n v="240"/>
    <x v="8"/>
    <x v="9"/>
    <n v="1"/>
    <n v="4245"/>
    <n v="15.282"/>
    <n v="17.6875"/>
    <s v="Feb"/>
    <x v="8"/>
    <m/>
    <m/>
  </r>
  <r>
    <n v="68649095"/>
    <x v="1"/>
    <n v="641"/>
    <d v="2026-02-09T00:00:00"/>
    <s v="BJ US-TOP-DirtCake-8 450ML"/>
    <x v="17"/>
    <n v="3.5999999999999999E-3"/>
    <n v="240"/>
    <x v="8"/>
    <x v="9"/>
    <n v="1"/>
    <n v="641"/>
    <n v="2.3075999999999999"/>
    <n v="2.6708333333333334"/>
    <s v="Feb"/>
    <x v="7"/>
    <m/>
    <m/>
  </r>
  <r>
    <n v="68649095"/>
    <x v="1"/>
    <n v="7515"/>
    <d v="2026-02-09T00:00:00"/>
    <s v="BJ US-TOP-DirtCake-8 450ML"/>
    <x v="17"/>
    <n v="3.5999999999999999E-3"/>
    <n v="240"/>
    <x v="8"/>
    <x v="9"/>
    <n v="1"/>
    <n v="7515"/>
    <n v="27.053999999999998"/>
    <n v="31.3125"/>
    <s v="Feb"/>
    <x v="7"/>
    <m/>
    <m/>
  </r>
  <r>
    <n v="68649095"/>
    <x v="1"/>
    <n v="7646"/>
    <d v="2026-02-10T00:00:00"/>
    <s v="BJ US-TOP-DirtCake-8 450ML"/>
    <x v="17"/>
    <n v="3.5999999999999999E-3"/>
    <n v="240"/>
    <x v="8"/>
    <x v="9"/>
    <n v="1"/>
    <n v="7646"/>
    <n v="27.525600000000001"/>
    <n v="31.858333333333334"/>
    <s v="Feb"/>
    <x v="7"/>
    <m/>
    <m/>
  </r>
  <r>
    <n v="68649095"/>
    <x v="1"/>
    <n v="9312"/>
    <d v="2026-02-10T00:00:00"/>
    <s v="BJ US-TOP-DirtCake-8 450ML"/>
    <x v="17"/>
    <n v="3.5999999999999999E-3"/>
    <n v="240"/>
    <x v="8"/>
    <x v="9"/>
    <n v="1"/>
    <n v="9312"/>
    <n v="33.523199999999996"/>
    <n v="38.799999999999997"/>
    <s v="Feb"/>
    <x v="7"/>
    <m/>
    <m/>
  </r>
  <r>
    <n v="68649095"/>
    <x v="1"/>
    <n v="8832"/>
    <d v="2026-02-11T00:00:00"/>
    <s v="BJ US-TOP-DirtCake-8 450ML"/>
    <x v="17"/>
    <n v="3.5999999999999999E-3"/>
    <n v="240"/>
    <x v="8"/>
    <x v="9"/>
    <n v="1"/>
    <n v="8832"/>
    <n v="31.795199999999998"/>
    <n v="36.799999999999997"/>
    <s v="Feb"/>
    <x v="7"/>
    <m/>
    <m/>
  </r>
  <r>
    <n v="68649095"/>
    <x v="1"/>
    <n v="-15"/>
    <d v="2026-02-17T00:00:00"/>
    <s v="BJ US-TOP-DirtCake-8 450ML"/>
    <x v="17"/>
    <n v="3.5999999999999999E-3"/>
    <n v="240"/>
    <x v="8"/>
    <x v="9"/>
    <n v="1"/>
    <n v="-15"/>
    <n v="-5.3999999999999999E-2"/>
    <n v="-6.25E-2"/>
    <s v="Feb"/>
    <x v="5"/>
    <m/>
    <m/>
  </r>
  <r>
    <n v="68649095"/>
    <x v="1"/>
    <n v="8061"/>
    <d v="2026-02-11T00:00:00"/>
    <s v="BJ US-TOP-DirtCake-8 450ML"/>
    <x v="17"/>
    <n v="3.5999999999999999E-3"/>
    <n v="240"/>
    <x v="8"/>
    <x v="9"/>
    <n v="1"/>
    <n v="8061"/>
    <n v="29.019600000000001"/>
    <n v="33.587499999999999"/>
    <s v="Feb"/>
    <x v="7"/>
    <m/>
    <m/>
  </r>
  <r>
    <n v="68649095"/>
    <x v="1"/>
    <n v="471"/>
    <d v="2026-02-12T00:00:00"/>
    <s v="BJ US-TOP-DirtCake-8 450ML"/>
    <x v="17"/>
    <n v="3.5999999999999999E-3"/>
    <n v="240"/>
    <x v="8"/>
    <x v="9"/>
    <n v="1"/>
    <n v="471"/>
    <n v="1.6956"/>
    <n v="1.9624999999999999"/>
    <s v="Feb"/>
    <x v="7"/>
    <m/>
    <m/>
  </r>
  <r>
    <n v="68649095"/>
    <x v="1"/>
    <n v="1680"/>
    <d v="2026-02-12T00:00:00"/>
    <s v="BJ US-TOP-DirtCake-8 450ML"/>
    <x v="17"/>
    <n v="3.5999999999999999E-3"/>
    <n v="240"/>
    <x v="8"/>
    <x v="9"/>
    <n v="1"/>
    <n v="1680"/>
    <n v="6.048"/>
    <n v="7"/>
    <s v="Feb"/>
    <x v="7"/>
    <m/>
    <m/>
  </r>
  <r>
    <n v="68649095"/>
    <x v="1"/>
    <n v="10869"/>
    <d v="2026-02-13T00:00:00"/>
    <s v="BJ US-TOP-DirtCake-8 450ML"/>
    <x v="17"/>
    <n v="3.5999999999999999E-3"/>
    <n v="240"/>
    <x v="8"/>
    <x v="9"/>
    <n v="1"/>
    <n v="10869"/>
    <n v="39.128399999999999"/>
    <n v="45.287500000000001"/>
    <s v="Feb"/>
    <x v="7"/>
    <m/>
    <m/>
  </r>
  <r>
    <n v="68649095"/>
    <x v="1"/>
    <n v="9585"/>
    <d v="2026-02-13T00:00:00"/>
    <s v="BJ US-TOP-DirtCake-8 450ML"/>
    <x v="17"/>
    <n v="3.5999999999999999E-3"/>
    <n v="240"/>
    <x v="8"/>
    <x v="9"/>
    <n v="1"/>
    <n v="9585"/>
    <n v="34.506"/>
    <n v="39.9375"/>
    <s v="Feb"/>
    <x v="7"/>
    <m/>
    <m/>
  </r>
  <r>
    <n v="68649095"/>
    <x v="1"/>
    <n v="93"/>
    <d v="2026-02-14T00:00:00"/>
    <s v="BJ US-TOP-DirtCake-8 450ML"/>
    <x v="17"/>
    <n v="3.5999999999999999E-3"/>
    <n v="240"/>
    <x v="8"/>
    <x v="9"/>
    <n v="1"/>
    <n v="93"/>
    <n v="0.33479999999999999"/>
    <n v="0.38750000000000001"/>
    <s v="Feb"/>
    <x v="7"/>
    <m/>
    <m/>
  </r>
  <r>
    <n v="68654238"/>
    <x v="1"/>
    <n v="945"/>
    <d v="2026-01-31T00:00:00"/>
    <s v="BJ US-IC-DublinMudslide-8 1PT"/>
    <x v="22"/>
    <n v="3.7839999999999996E-3"/>
    <n v="240"/>
    <x v="3"/>
    <x v="12"/>
    <n v="1"/>
    <n v="945"/>
    <n v="3.5758799999999997"/>
    <n v="3.9375"/>
    <s v="Jan"/>
    <x v="4"/>
    <m/>
    <m/>
  </r>
  <r>
    <n v="68741742"/>
    <x v="1"/>
    <n v="-137"/>
    <d v="2026-02-06T00:00:00"/>
    <s v="GH Strawberry Shortcake Bar 8-6PK"/>
    <x v="19"/>
    <n v="4.2560000000000002E-3"/>
    <n v="154"/>
    <x v="7"/>
    <x v="10"/>
    <n v="1"/>
    <n v="-137"/>
    <n v="-0.58307200000000003"/>
    <n v="-0.88961038961038963"/>
    <s v="Feb"/>
    <x v="8"/>
    <m/>
    <m/>
  </r>
  <r>
    <n v="68741742"/>
    <x v="1"/>
    <n v="1540"/>
    <d v="2026-01-28T00:00:00"/>
    <s v="GH Strawberry Shortcake Bar 8-6PK"/>
    <x v="19"/>
    <n v="4.2560000000000002E-3"/>
    <n v="154"/>
    <x v="7"/>
    <x v="10"/>
    <n v="1"/>
    <n v="1540"/>
    <n v="6.5542400000000001"/>
    <n v="10"/>
    <s v="Jan"/>
    <x v="4"/>
    <m/>
    <m/>
  </r>
  <r>
    <n v="68741742"/>
    <x v="1"/>
    <n v="3212"/>
    <d v="2026-01-28T00:00:00"/>
    <s v="GH Strawberry Shortcake Bar 8-6PK"/>
    <x v="19"/>
    <n v="4.2560000000000002E-3"/>
    <n v="154"/>
    <x v="7"/>
    <x v="10"/>
    <n v="1"/>
    <n v="3212"/>
    <n v="13.670272000000001"/>
    <n v="20.857142857142858"/>
    <s v="Jan"/>
    <x v="4"/>
    <m/>
    <m/>
  </r>
  <r>
    <n v="68741742"/>
    <x v="1"/>
    <n v="2926"/>
    <d v="2026-01-29T00:00:00"/>
    <s v="GH Strawberry Shortcake Bar 8-6PK"/>
    <x v="19"/>
    <n v="4.2560000000000002E-3"/>
    <n v="154"/>
    <x v="7"/>
    <x v="10"/>
    <n v="1"/>
    <n v="2926"/>
    <n v="12.453056"/>
    <n v="19"/>
    <s v="Jan"/>
    <x v="4"/>
    <m/>
    <m/>
  </r>
  <r>
    <n v="68741742"/>
    <x v="1"/>
    <n v="2891"/>
    <d v="2026-01-29T00:00:00"/>
    <s v="GH Strawberry Shortcake Bar 8-6PK"/>
    <x v="19"/>
    <n v="4.2560000000000002E-3"/>
    <n v="154"/>
    <x v="7"/>
    <x v="10"/>
    <n v="1"/>
    <n v="2891"/>
    <n v="12.304096000000001"/>
    <n v="18.772727272727273"/>
    <s v="Jan"/>
    <x v="4"/>
    <m/>
    <m/>
  </r>
  <r>
    <n v="68741742"/>
    <x v="1"/>
    <n v="3010"/>
    <d v="2026-01-30T00:00:00"/>
    <s v="GH Strawberry Shortcake Bar 8-6PK"/>
    <x v="19"/>
    <n v="4.2560000000000002E-3"/>
    <n v="154"/>
    <x v="7"/>
    <x v="10"/>
    <n v="1"/>
    <n v="3010"/>
    <n v="12.810560000000001"/>
    <n v="19.545454545454547"/>
    <s v="Jan"/>
    <x v="4"/>
    <m/>
    <m/>
  </r>
  <r>
    <n v="68741742"/>
    <x v="1"/>
    <n v="1675"/>
    <d v="2026-01-30T00:00:00"/>
    <s v="GH Strawberry Shortcake Bar 8-6PK"/>
    <x v="19"/>
    <n v="4.2560000000000002E-3"/>
    <n v="154"/>
    <x v="7"/>
    <x v="10"/>
    <n v="1"/>
    <n v="1675"/>
    <n v="7.1288"/>
    <n v="10.876623376623376"/>
    <s v="Jan"/>
    <x v="4"/>
    <m/>
    <m/>
  </r>
  <r>
    <n v="68741742"/>
    <x v="1"/>
    <n v="308"/>
    <d v="2026-02-02T00:00:00"/>
    <s v="GH Strawberry Shortcake Bar 8-6PK"/>
    <x v="19"/>
    <n v="4.2560000000000002E-3"/>
    <n v="154"/>
    <x v="7"/>
    <x v="10"/>
    <n v="1"/>
    <n v="308"/>
    <n v="1.310848"/>
    <n v="2"/>
    <s v="Feb"/>
    <x v="8"/>
    <m/>
    <m/>
  </r>
  <r>
    <n v="68741742"/>
    <x v="1"/>
    <n v="2926"/>
    <d v="2026-02-12T00:00:00"/>
    <s v="GH Strawberry Shortcake Bar 8-6PK"/>
    <x v="19"/>
    <n v="4.2560000000000002E-3"/>
    <n v="154"/>
    <x v="7"/>
    <x v="10"/>
    <n v="1"/>
    <n v="2926"/>
    <n v="12.453056"/>
    <n v="19"/>
    <s v="Feb"/>
    <x v="7"/>
    <m/>
    <m/>
  </r>
  <r>
    <n v="68741742"/>
    <x v="1"/>
    <n v="2904"/>
    <d v="2026-02-13T00:00:00"/>
    <s v="GH Strawberry Shortcake Bar 8-6PK"/>
    <x v="19"/>
    <n v="4.2560000000000002E-3"/>
    <n v="154"/>
    <x v="7"/>
    <x v="10"/>
    <n v="1"/>
    <n v="2904"/>
    <n v="12.359424000000001"/>
    <n v="18.857142857142858"/>
    <s v="Feb"/>
    <x v="7"/>
    <m/>
    <m/>
  </r>
  <r>
    <n v="68741742"/>
    <x v="1"/>
    <n v="1694"/>
    <d v="2026-02-02T00:00:00"/>
    <s v="GH Strawberry Shortcake Bar 8-6PK"/>
    <x v="19"/>
    <n v="4.2560000000000002E-3"/>
    <n v="154"/>
    <x v="7"/>
    <x v="10"/>
    <n v="1"/>
    <n v="1694"/>
    <n v="7.2096640000000001"/>
    <n v="11"/>
    <s v="Feb"/>
    <x v="8"/>
    <m/>
    <m/>
  </r>
  <r>
    <n v="68741742"/>
    <x v="1"/>
    <n v="2772"/>
    <d v="2026-02-03T00:00:00"/>
    <s v="GH Strawberry Shortcake Bar 8-6PK"/>
    <x v="19"/>
    <n v="4.2560000000000002E-3"/>
    <n v="154"/>
    <x v="7"/>
    <x v="10"/>
    <n v="1"/>
    <n v="2772"/>
    <n v="11.797632"/>
    <n v="18"/>
    <s v="Feb"/>
    <x v="8"/>
    <m/>
    <m/>
  </r>
  <r>
    <n v="68741742"/>
    <x v="1"/>
    <n v="2002"/>
    <d v="2026-02-13T00:00:00"/>
    <s v="GH Strawberry Shortcake Bar 8-6PK"/>
    <x v="19"/>
    <n v="4.2560000000000002E-3"/>
    <n v="154"/>
    <x v="7"/>
    <x v="10"/>
    <n v="1"/>
    <n v="2002"/>
    <n v="8.5205120000000001"/>
    <n v="13"/>
    <s v="Feb"/>
    <x v="7"/>
    <m/>
    <m/>
  </r>
  <r>
    <n v="68741742"/>
    <x v="1"/>
    <n v="1882"/>
    <d v="2026-02-14T00:00:00"/>
    <s v="GH Strawberry Shortcake Bar 8-6PK"/>
    <x v="19"/>
    <n v="4.2560000000000002E-3"/>
    <n v="154"/>
    <x v="7"/>
    <x v="10"/>
    <n v="1"/>
    <n v="1882"/>
    <n v="8.0097920000000009"/>
    <n v="12.220779220779221"/>
    <s v="Feb"/>
    <x v="7"/>
    <m/>
    <m/>
  </r>
  <r>
    <n v="68741742"/>
    <x v="1"/>
    <n v="2361"/>
    <d v="2026-02-03T00:00:00"/>
    <s v="GH Strawberry Shortcake Bar 8-6PK"/>
    <x v="19"/>
    <n v="4.2560000000000002E-3"/>
    <n v="154"/>
    <x v="7"/>
    <x v="10"/>
    <n v="1"/>
    <n v="2361"/>
    <n v="10.048416000000001"/>
    <n v="15.331168831168831"/>
    <s v="Feb"/>
    <x v="8"/>
    <m/>
    <m/>
  </r>
  <r>
    <n v="68741742"/>
    <x v="1"/>
    <n v="1996"/>
    <d v="2026-02-04T00:00:00"/>
    <s v="GH Strawberry Shortcake Bar 8-6PK"/>
    <x v="19"/>
    <n v="4.2560000000000002E-3"/>
    <n v="154"/>
    <x v="7"/>
    <x v="10"/>
    <n v="1"/>
    <n v="1996"/>
    <n v="8.4949760000000012"/>
    <n v="12.961038961038961"/>
    <s v="Feb"/>
    <x v="8"/>
    <m/>
    <m/>
  </r>
  <r>
    <n v="68741742"/>
    <x v="1"/>
    <n v="1492"/>
    <d v="2026-02-05T00:00:00"/>
    <s v="GH Strawberry Shortcake Bar 8-6PK"/>
    <x v="19"/>
    <n v="4.2560000000000002E-3"/>
    <n v="154"/>
    <x v="7"/>
    <x v="10"/>
    <n v="1"/>
    <n v="1492"/>
    <n v="6.349952"/>
    <n v="9.6883116883116891"/>
    <s v="Feb"/>
    <x v="8"/>
    <m/>
    <m/>
  </r>
  <r>
    <n v="68741742"/>
    <x v="1"/>
    <n v="2067"/>
    <d v="2026-02-05T00:00:00"/>
    <s v="GH Strawberry Shortcake Bar 8-6PK"/>
    <x v="19"/>
    <n v="4.2560000000000002E-3"/>
    <n v="154"/>
    <x v="7"/>
    <x v="10"/>
    <n v="1"/>
    <n v="2067"/>
    <n v="8.7971520000000005"/>
    <n v="13.422077922077921"/>
    <s v="Feb"/>
    <x v="8"/>
    <m/>
    <m/>
  </r>
  <r>
    <n v="68741742"/>
    <x v="1"/>
    <n v="2450"/>
    <d v="2026-02-06T00:00:00"/>
    <s v="GH Strawberry Shortcake Bar 8-6PK"/>
    <x v="19"/>
    <n v="4.2560000000000002E-3"/>
    <n v="154"/>
    <x v="7"/>
    <x v="10"/>
    <n v="1"/>
    <n v="2450"/>
    <n v="10.427200000000001"/>
    <n v="15.909090909090908"/>
    <s v="Feb"/>
    <x v="8"/>
    <m/>
    <m/>
  </r>
  <r>
    <n v="68741742"/>
    <x v="1"/>
    <n v="2007"/>
    <d v="2026-02-06T00:00:00"/>
    <s v="GH Strawberry Shortcake Bar 8-6PK"/>
    <x v="19"/>
    <n v="4.2560000000000002E-3"/>
    <n v="154"/>
    <x v="7"/>
    <x v="10"/>
    <n v="1"/>
    <n v="2007"/>
    <n v="8.5417920000000009"/>
    <n v="13.032467532467532"/>
    <s v="Feb"/>
    <x v="8"/>
    <m/>
    <m/>
  </r>
  <r>
    <n v="68741742"/>
    <x v="1"/>
    <n v="1489"/>
    <d v="2026-02-07T00:00:00"/>
    <s v="GH Strawberry Shortcake Bar 8-6PK"/>
    <x v="19"/>
    <n v="4.2560000000000002E-3"/>
    <n v="154"/>
    <x v="7"/>
    <x v="10"/>
    <n v="1"/>
    <n v="1489"/>
    <n v="6.3371840000000006"/>
    <n v="9.6688311688311686"/>
    <s v="Feb"/>
    <x v="8"/>
    <m/>
    <m/>
  </r>
  <r>
    <n v="68741742"/>
    <x v="1"/>
    <n v="154"/>
    <d v="2026-02-09T00:00:00"/>
    <s v="GH Strawberry Shortcake Bar 8-6PK"/>
    <x v="19"/>
    <n v="4.2560000000000002E-3"/>
    <n v="154"/>
    <x v="7"/>
    <x v="10"/>
    <n v="1"/>
    <n v="154"/>
    <n v="0.65542400000000001"/>
    <n v="1"/>
    <s v="Feb"/>
    <x v="7"/>
    <m/>
    <m/>
  </r>
  <r>
    <n v="68741742"/>
    <x v="1"/>
    <n v="2772"/>
    <d v="2026-02-09T00:00:00"/>
    <s v="GH Strawberry Shortcake Bar 8-6PK"/>
    <x v="19"/>
    <n v="4.2560000000000002E-3"/>
    <n v="154"/>
    <x v="7"/>
    <x v="10"/>
    <n v="1"/>
    <n v="2772"/>
    <n v="11.797632"/>
    <n v="18"/>
    <s v="Feb"/>
    <x v="7"/>
    <m/>
    <m/>
  </r>
  <r>
    <n v="68741742"/>
    <x v="1"/>
    <n v="2310"/>
    <d v="2026-02-10T00:00:00"/>
    <s v="GH Strawberry Shortcake Bar 8-6PK"/>
    <x v="19"/>
    <n v="4.2560000000000002E-3"/>
    <n v="154"/>
    <x v="7"/>
    <x v="10"/>
    <n v="1"/>
    <n v="2310"/>
    <n v="9.8313600000000001"/>
    <n v="15"/>
    <s v="Feb"/>
    <x v="7"/>
    <m/>
    <m/>
  </r>
  <r>
    <n v="68741742"/>
    <x v="1"/>
    <n v="2103"/>
    <d v="2026-02-10T00:00:00"/>
    <s v="GH Strawberry Shortcake Bar 8-6PK"/>
    <x v="19"/>
    <n v="4.2560000000000002E-3"/>
    <n v="154"/>
    <x v="7"/>
    <x v="10"/>
    <n v="1"/>
    <n v="2103"/>
    <n v="8.950368000000001"/>
    <n v="13.655844155844155"/>
    <s v="Feb"/>
    <x v="7"/>
    <m/>
    <m/>
  </r>
  <r>
    <n v="68741742"/>
    <x v="1"/>
    <n v="1946"/>
    <d v="2026-02-11T00:00:00"/>
    <s v="GH Strawberry Shortcake Bar 8-6PK"/>
    <x v="19"/>
    <n v="4.2560000000000002E-3"/>
    <n v="154"/>
    <x v="7"/>
    <x v="10"/>
    <n v="1"/>
    <n v="1946"/>
    <n v="8.2821759999999998"/>
    <n v="12.636363636363637"/>
    <s v="Feb"/>
    <x v="7"/>
    <m/>
    <m/>
  </r>
  <r>
    <n v="68741742"/>
    <x v="1"/>
    <n v="670"/>
    <d v="2026-02-11T00:00:00"/>
    <s v="GH Strawberry Shortcake Bar 8-6PK"/>
    <x v="19"/>
    <n v="4.2560000000000002E-3"/>
    <n v="154"/>
    <x v="7"/>
    <x v="10"/>
    <n v="1"/>
    <n v="670"/>
    <n v="2.8515200000000003"/>
    <n v="4.3506493506493502"/>
    <s v="Feb"/>
    <x v="7"/>
    <m/>
    <m/>
  </r>
  <r>
    <n v="68741742"/>
    <x v="1"/>
    <n v="2002"/>
    <d v="2026-02-12T00:00:00"/>
    <s v="GH Strawberry Shortcake Bar 8-6PK"/>
    <x v="19"/>
    <n v="4.2560000000000002E-3"/>
    <n v="154"/>
    <x v="7"/>
    <x v="10"/>
    <n v="1"/>
    <n v="2002"/>
    <n v="8.5205120000000001"/>
    <n v="13"/>
    <s v="Feb"/>
    <x v="7"/>
    <m/>
    <m/>
  </r>
  <r>
    <n v="68746232"/>
    <x v="1"/>
    <n v="857"/>
    <d v="2026-02-17T00:00:00"/>
    <s v="KL Mint CHOC Chip 12-6PK"/>
    <x v="21"/>
    <n v="8.5199999999999998E-3"/>
    <n v="132"/>
    <x v="1"/>
    <x v="11"/>
    <n v="1"/>
    <n v="857"/>
    <n v="7.3016399999999999"/>
    <n v="6.4924242424242422"/>
    <s v="Feb"/>
    <x v="5"/>
    <m/>
    <m/>
  </r>
  <r>
    <n v="68746232"/>
    <x v="1"/>
    <n v="1095"/>
    <d v="2026-02-17T00:00:00"/>
    <s v="KL Mint CHOC Chip 12-6PK"/>
    <x v="21"/>
    <n v="8.5199999999999998E-3"/>
    <n v="132"/>
    <x v="1"/>
    <x v="11"/>
    <n v="1"/>
    <n v="1095"/>
    <n v="9.3293999999999997"/>
    <n v="8.295454545454545"/>
    <s v="Feb"/>
    <x v="5"/>
    <m/>
    <m/>
  </r>
  <r>
    <n v="68746232"/>
    <x v="1"/>
    <n v="1056"/>
    <d v="2026-02-18T00:00:00"/>
    <s v="KL Mint CHOC Chip 12-6PK"/>
    <x v="21"/>
    <n v="8.5199999999999998E-3"/>
    <n v="132"/>
    <x v="1"/>
    <x v="11"/>
    <n v="1"/>
    <n v="1056"/>
    <n v="8.9971199999999989"/>
    <n v="8"/>
    <s v="Feb"/>
    <x v="5"/>
    <m/>
    <m/>
  </r>
  <r>
    <n v="68746232"/>
    <x v="1"/>
    <n v="1188"/>
    <d v="2026-02-18T00:00:00"/>
    <s v="KL Mint CHOC Chip 12-6PK"/>
    <x v="21"/>
    <n v="8.5199999999999998E-3"/>
    <n v="132"/>
    <x v="1"/>
    <x v="11"/>
    <n v="1"/>
    <n v="1188"/>
    <n v="10.12176"/>
    <n v="9"/>
    <s v="Feb"/>
    <x v="5"/>
    <m/>
    <m/>
  </r>
  <r>
    <n v="68746232"/>
    <x v="1"/>
    <n v="1618"/>
    <d v="2026-02-19T00:00:00"/>
    <s v="KL Mint CHOC Chip 12-6PK"/>
    <x v="21"/>
    <n v="8.5199999999999998E-3"/>
    <n v="132"/>
    <x v="1"/>
    <x v="11"/>
    <n v="1"/>
    <n v="1618"/>
    <n v="13.785359999999999"/>
    <n v="12.257575757575758"/>
    <s v="Feb"/>
    <x v="5"/>
    <m/>
    <m/>
  </r>
  <r>
    <n v="68746232"/>
    <x v="1"/>
    <n v="188"/>
    <d v="2026-02-19T00:00:00"/>
    <s v="KL Mint CHOC Chip 12-6PK"/>
    <x v="21"/>
    <n v="8.5199999999999998E-3"/>
    <n v="132"/>
    <x v="1"/>
    <x v="11"/>
    <n v="1"/>
    <n v="188"/>
    <n v="1.6017600000000001"/>
    <n v="1.4242424242424243"/>
    <s v="Feb"/>
    <x v="5"/>
    <m/>
    <m/>
  </r>
  <r>
    <n v="68746232"/>
    <x v="1"/>
    <n v="428"/>
    <d v="2026-02-20T00:00:00"/>
    <s v="KL Mint CHOC Chip 12-6PK"/>
    <x v="21"/>
    <n v="8.5199999999999998E-3"/>
    <n v="132"/>
    <x v="1"/>
    <x v="11"/>
    <n v="1"/>
    <n v="428"/>
    <n v="3.64656"/>
    <n v="3.2424242424242422"/>
    <s v="Feb"/>
    <x v="5"/>
    <m/>
    <m/>
  </r>
  <r>
    <n v="68746232"/>
    <x v="1"/>
    <n v="1056"/>
    <d v="2026-02-20T00:00:00"/>
    <s v="KL Mint CHOC Chip 12-6PK"/>
    <x v="21"/>
    <n v="8.5199999999999998E-3"/>
    <n v="132"/>
    <x v="1"/>
    <x v="11"/>
    <n v="1"/>
    <n v="1056"/>
    <n v="8.9971199999999989"/>
    <n v="8"/>
    <s v="Feb"/>
    <x v="5"/>
    <m/>
    <m/>
  </r>
  <r>
    <n v="68746232"/>
    <x v="1"/>
    <n v="1320"/>
    <d v="2026-02-21T00:00:00"/>
    <s v="KL Mint CHOC Chip 12-6PK"/>
    <x v="21"/>
    <n v="8.5199999999999998E-3"/>
    <n v="132"/>
    <x v="1"/>
    <x v="11"/>
    <n v="1"/>
    <n v="1320"/>
    <n v="11.2464"/>
    <n v="10"/>
    <s v="Feb"/>
    <x v="5"/>
    <m/>
    <m/>
  </r>
  <r>
    <n v="68746232"/>
    <x v="1"/>
    <n v="948"/>
    <d v="2026-02-21T00:00:00"/>
    <s v="KL Mint CHOC Chip 12-6PK"/>
    <x v="21"/>
    <n v="8.5199999999999998E-3"/>
    <n v="132"/>
    <x v="1"/>
    <x v="11"/>
    <n v="1"/>
    <n v="948"/>
    <n v="8.0769599999999997"/>
    <n v="7.1818181818181817"/>
    <s v="Feb"/>
    <x v="5"/>
    <m/>
    <m/>
  </r>
  <r>
    <n v="68746232"/>
    <x v="1"/>
    <n v="930"/>
    <d v="2026-02-22T00:00:00"/>
    <s v="KL Mint CHOC Chip 12-6PK"/>
    <x v="21"/>
    <n v="8.5199999999999998E-3"/>
    <n v="132"/>
    <x v="1"/>
    <x v="11"/>
    <n v="1"/>
    <n v="930"/>
    <n v="7.9235999999999995"/>
    <n v="7.0454545454545459"/>
    <s v="Feb"/>
    <x v="6"/>
    <m/>
    <m/>
  </r>
  <r>
    <n v="68746232"/>
    <x v="1"/>
    <n v="579"/>
    <d v="2026-02-22T00:00:00"/>
    <s v="KL Mint CHOC Chip 12-6PK"/>
    <x v="21"/>
    <n v="8.5199999999999998E-3"/>
    <n v="132"/>
    <x v="1"/>
    <x v="11"/>
    <n v="1"/>
    <n v="579"/>
    <n v="4.9330799999999995"/>
    <n v="4.3863636363636367"/>
    <s v="Feb"/>
    <x v="6"/>
    <m/>
    <m/>
  </r>
  <r>
    <n v="68817796"/>
    <x v="1"/>
    <n v="1422"/>
    <d v="2026-02-17T00:00:00"/>
    <s v="BR XCRMY Vanilla 6 1.5QT"/>
    <x v="5"/>
    <n v="8.513999999999999E-3"/>
    <n v="176"/>
    <x v="0"/>
    <x v="1"/>
    <n v="1"/>
    <n v="1422"/>
    <n v="12.106907999999999"/>
    <n v="8.079545454545455"/>
    <s v="Feb"/>
    <x v="5"/>
    <m/>
    <m/>
  </r>
  <r>
    <n v="68817796"/>
    <x v="1"/>
    <n v="6012"/>
    <d v="2026-02-18T00:00:00"/>
    <s v="BR XCRMY Vanilla 6 1.5QT"/>
    <x v="5"/>
    <n v="8.513999999999999E-3"/>
    <n v="176"/>
    <x v="0"/>
    <x v="1"/>
    <n v="1"/>
    <n v="6012"/>
    <n v="51.186167999999995"/>
    <n v="34.159090909090907"/>
    <s v="Feb"/>
    <x v="5"/>
    <m/>
    <m/>
  </r>
  <r>
    <n v="68817796"/>
    <x v="1"/>
    <n v="6777"/>
    <d v="2026-02-18T00:00:00"/>
    <s v="BR XCRMY Vanilla 6 1.5QT"/>
    <x v="5"/>
    <n v="8.513999999999999E-3"/>
    <n v="176"/>
    <x v="0"/>
    <x v="1"/>
    <n v="1"/>
    <n v="6777"/>
    <n v="57.699377999999996"/>
    <n v="38.50568181818182"/>
    <s v="Feb"/>
    <x v="5"/>
    <m/>
    <m/>
  </r>
  <r>
    <n v="68817796"/>
    <x v="1"/>
    <n v="7392"/>
    <d v="2026-02-19T00:00:00"/>
    <s v="BR XCRMY Vanilla 6 1.5QT"/>
    <x v="5"/>
    <n v="8.513999999999999E-3"/>
    <n v="176"/>
    <x v="0"/>
    <x v="1"/>
    <n v="1"/>
    <n v="7392"/>
    <n v="62.935487999999992"/>
    <n v="42"/>
    <s v="Feb"/>
    <x v="5"/>
    <m/>
    <m/>
  </r>
  <r>
    <n v="68817796"/>
    <x v="1"/>
    <n v="7392"/>
    <d v="2026-02-19T00:00:00"/>
    <s v="BR XCRMY Vanilla 6 1.5QT"/>
    <x v="5"/>
    <n v="8.513999999999999E-3"/>
    <n v="176"/>
    <x v="0"/>
    <x v="1"/>
    <n v="1"/>
    <n v="7392"/>
    <n v="62.935487999999992"/>
    <n v="42"/>
    <s v="Feb"/>
    <x v="5"/>
    <m/>
    <m/>
  </r>
  <r>
    <n v="68817796"/>
    <x v="1"/>
    <n v="1384"/>
    <d v="2026-02-20T00:00:00"/>
    <s v="BR XCRMY Vanilla 6 1.5QT"/>
    <x v="5"/>
    <n v="8.513999999999999E-3"/>
    <n v="176"/>
    <x v="0"/>
    <x v="1"/>
    <n v="1"/>
    <n v="1384"/>
    <n v="11.783375999999999"/>
    <n v="7.8636363636363633"/>
    <s v="Feb"/>
    <x v="5"/>
    <m/>
    <m/>
  </r>
  <r>
    <n v="68817800"/>
    <x v="1"/>
    <n v="5350"/>
    <d v="2026-02-20T00:00:00"/>
    <s v="BR Coffee 6 1.5QT"/>
    <x v="3"/>
    <n v="8.513999999999999E-3"/>
    <n v="176"/>
    <x v="0"/>
    <x v="1"/>
    <n v="1"/>
    <n v="5350"/>
    <n v="45.549899999999994"/>
    <n v="30.397727272727273"/>
    <s v="Feb"/>
    <x v="5"/>
    <m/>
    <m/>
  </r>
  <r>
    <n v="68817800"/>
    <x v="1"/>
    <n v="7351"/>
    <d v="2026-02-21T00:00:00"/>
    <s v="BR Coffee 6 1.5QT"/>
    <x v="3"/>
    <n v="8.513999999999999E-3"/>
    <n v="176"/>
    <x v="0"/>
    <x v="1"/>
    <n v="1"/>
    <n v="7351"/>
    <n v="62.586413999999991"/>
    <n v="41.767045454545453"/>
    <s v="Feb"/>
    <x v="5"/>
    <m/>
    <m/>
  </r>
  <r>
    <n v="68817800"/>
    <x v="1"/>
    <n v="5632"/>
    <d v="2026-02-21T00:00:00"/>
    <s v="BR Coffee 6 1.5QT"/>
    <x v="3"/>
    <n v="8.513999999999999E-3"/>
    <n v="176"/>
    <x v="0"/>
    <x v="1"/>
    <n v="1"/>
    <n v="5632"/>
    <n v="47.950847999999993"/>
    <n v="32"/>
    <s v="Feb"/>
    <x v="5"/>
    <m/>
    <m/>
  </r>
  <r>
    <n v="68817800"/>
    <x v="1"/>
    <n v="3722"/>
    <d v="2026-02-22T00:00:00"/>
    <s v="BR Coffee 6 1.5QT"/>
    <x v="3"/>
    <n v="8.513999999999999E-3"/>
    <n v="176"/>
    <x v="0"/>
    <x v="1"/>
    <n v="1"/>
    <n v="3722"/>
    <n v="31.689107999999997"/>
    <n v="21.147727272727273"/>
    <s v="Feb"/>
    <x v="6"/>
    <m/>
    <m/>
  </r>
  <r>
    <n v="68817800"/>
    <x v="1"/>
    <n v="6116"/>
    <d v="2026-02-20T00:00:00"/>
    <s v="BR Coffee 6 1.5QT"/>
    <x v="3"/>
    <n v="8.513999999999999E-3"/>
    <n v="176"/>
    <x v="0"/>
    <x v="1"/>
    <n v="1"/>
    <n v="6116"/>
    <n v="52.071623999999993"/>
    <n v="34.75"/>
    <s v="Feb"/>
    <x v="5"/>
    <m/>
    <m/>
  </r>
  <r>
    <n v="68817800"/>
    <x v="1"/>
    <n v="1166"/>
    <d v="2026-02-22T00:00:00"/>
    <s v="BR Coffee 6 1.5QT"/>
    <x v="3"/>
    <n v="8.513999999999999E-3"/>
    <n v="176"/>
    <x v="0"/>
    <x v="1"/>
    <n v="1"/>
    <n v="1166"/>
    <n v="9.9273239999999987"/>
    <n v="6.625"/>
    <s v="Feb"/>
    <x v="6"/>
    <m/>
    <m/>
  </r>
  <r>
    <n v="68821728"/>
    <x v="1"/>
    <n v="3520"/>
    <d v="2026-01-30T00:00:00"/>
    <s v="BR Rocky Road 6 1.5QT"/>
    <x v="3"/>
    <n v="8.5199999999999998E-3"/>
    <n v="176"/>
    <x v="0"/>
    <x v="1"/>
    <n v="1"/>
    <n v="3520"/>
    <n v="29.990400000000001"/>
    <n v="20"/>
    <s v="Jan"/>
    <x v="4"/>
    <m/>
    <m/>
  </r>
  <r>
    <n v="68821728"/>
    <x v="1"/>
    <n v="5456"/>
    <d v="2026-01-31T00:00:00"/>
    <s v="BR Rocky Road 6 1.5QT"/>
    <x v="3"/>
    <n v="8.5199999999999998E-3"/>
    <n v="176"/>
    <x v="0"/>
    <x v="1"/>
    <n v="1"/>
    <n v="5456"/>
    <n v="46.485120000000002"/>
    <n v="31"/>
    <s v="Jan"/>
    <x v="4"/>
    <m/>
    <m/>
  </r>
  <r>
    <n v="68821728"/>
    <x v="1"/>
    <n v="1408"/>
    <d v="2026-02-02T00:00:00"/>
    <s v="BR Rocky Road 6 1.5QT"/>
    <x v="3"/>
    <n v="8.5199999999999998E-3"/>
    <n v="176"/>
    <x v="0"/>
    <x v="1"/>
    <n v="1"/>
    <n v="1408"/>
    <n v="11.99616"/>
    <n v="8"/>
    <s v="Feb"/>
    <x v="8"/>
    <m/>
    <m/>
  </r>
  <r>
    <n v="68821728"/>
    <x v="1"/>
    <n v="7477"/>
    <d v="2026-01-31T00:00:00"/>
    <s v="BR Rocky Road 6 1.5QT"/>
    <x v="3"/>
    <n v="8.5199999999999998E-3"/>
    <n v="176"/>
    <x v="0"/>
    <x v="1"/>
    <n v="1"/>
    <n v="7477"/>
    <n v="63.704039999999999"/>
    <n v="42.482954545454547"/>
    <s v="Jan"/>
    <x v="4"/>
    <m/>
    <m/>
  </r>
  <r>
    <n v="68821728"/>
    <x v="1"/>
    <n v="4354"/>
    <d v="2026-02-01T00:00:00"/>
    <s v="BR Rocky Road 6 1.5QT"/>
    <x v="3"/>
    <n v="8.5199999999999998E-3"/>
    <n v="176"/>
    <x v="0"/>
    <x v="1"/>
    <n v="1"/>
    <n v="4354"/>
    <n v="37.096080000000001"/>
    <n v="24.738636363636363"/>
    <s v="Feb"/>
    <x v="8"/>
    <m/>
    <m/>
  </r>
  <r>
    <n v="68821728"/>
    <x v="1"/>
    <n v="3744"/>
    <d v="2026-02-01T00:00:00"/>
    <s v="BR Rocky Road 6 1.5QT"/>
    <x v="3"/>
    <n v="8.5199999999999998E-3"/>
    <n v="176"/>
    <x v="0"/>
    <x v="1"/>
    <n v="1"/>
    <n v="3744"/>
    <n v="31.898879999999998"/>
    <n v="21.272727272727273"/>
    <s v="Feb"/>
    <x v="8"/>
    <m/>
    <m/>
  </r>
  <r>
    <n v="68821728"/>
    <x v="1"/>
    <n v="622"/>
    <d v="2026-02-02T00:00:00"/>
    <s v="BR Rocky Road 6 1.5QT"/>
    <x v="3"/>
    <n v="8.5199999999999998E-3"/>
    <n v="176"/>
    <x v="0"/>
    <x v="1"/>
    <n v="1"/>
    <n v="622"/>
    <n v="5.2994399999999997"/>
    <n v="3.5340909090909092"/>
    <s v="Feb"/>
    <x v="8"/>
    <m/>
    <m/>
  </r>
  <r>
    <n v="68821734"/>
    <x v="1"/>
    <n v="-11"/>
    <d v="2026-01-30T00:00:00"/>
    <s v="BR Vanilla Chocolate 6 1.5QT"/>
    <x v="1"/>
    <n v="8.5199999999999998E-3"/>
    <n v="176"/>
    <x v="0"/>
    <x v="1"/>
    <n v="1"/>
    <n v="-11"/>
    <n v="-9.3719999999999998E-2"/>
    <n v="-6.25E-2"/>
    <s v="Jan"/>
    <x v="4"/>
    <m/>
    <m/>
  </r>
  <r>
    <n v="68821735"/>
    <x v="1"/>
    <n v="10032"/>
    <d v="2026-02-06T00:00:00"/>
    <s v="BR Lactose Free Vanilla 6 1.5QT"/>
    <x v="1"/>
    <n v="8.5199999999999998E-3"/>
    <n v="176"/>
    <x v="0"/>
    <x v="1"/>
    <n v="1"/>
    <n v="10032"/>
    <n v="85.472639999999998"/>
    <n v="57"/>
    <s v="Feb"/>
    <x v="8"/>
    <m/>
    <m/>
  </r>
  <r>
    <n v="68821735"/>
    <x v="1"/>
    <n v="11264"/>
    <d v="2026-02-07T00:00:00"/>
    <s v="BR Lactose Free Vanilla 6 1.5QT"/>
    <x v="1"/>
    <n v="8.5199999999999998E-3"/>
    <n v="176"/>
    <x v="0"/>
    <x v="1"/>
    <n v="1"/>
    <n v="11264"/>
    <n v="95.969279999999998"/>
    <n v="64"/>
    <s v="Feb"/>
    <x v="8"/>
    <m/>
    <m/>
  </r>
  <r>
    <n v="68821735"/>
    <x v="1"/>
    <n v="176"/>
    <d v="2026-02-09T00:00:00"/>
    <s v="BR Lactose Free Vanilla 6 1.5QT"/>
    <x v="1"/>
    <n v="8.5199999999999998E-3"/>
    <n v="176"/>
    <x v="0"/>
    <x v="1"/>
    <n v="1"/>
    <n v="176"/>
    <n v="1.49952"/>
    <n v="1"/>
    <s v="Feb"/>
    <x v="7"/>
    <m/>
    <m/>
  </r>
  <r>
    <n v="68821735"/>
    <x v="1"/>
    <n v="8827"/>
    <d v="2026-02-07T00:00:00"/>
    <s v="BR Lactose Free Vanilla 6 1.5QT"/>
    <x v="1"/>
    <n v="8.5199999999999998E-3"/>
    <n v="176"/>
    <x v="0"/>
    <x v="1"/>
    <n v="1"/>
    <n v="8827"/>
    <n v="75.206040000000002"/>
    <n v="50.153409090909093"/>
    <s v="Feb"/>
    <x v="8"/>
    <m/>
    <m/>
  </r>
  <r>
    <n v="68821735"/>
    <x v="1"/>
    <n v="8309"/>
    <d v="2026-02-08T00:00:00"/>
    <s v="BR Lactose Free Vanilla 6 1.5QT"/>
    <x v="1"/>
    <n v="8.5199999999999998E-3"/>
    <n v="176"/>
    <x v="0"/>
    <x v="1"/>
    <n v="1"/>
    <n v="8309"/>
    <n v="70.792680000000004"/>
    <n v="47.210227272727273"/>
    <s v="Feb"/>
    <x v="7"/>
    <m/>
    <m/>
  </r>
  <r>
    <n v="68821735"/>
    <x v="1"/>
    <n v="528"/>
    <d v="2026-02-09T00:00:00"/>
    <s v="BR Lactose Free Vanilla 6 1.5QT"/>
    <x v="1"/>
    <n v="8.5199999999999998E-3"/>
    <n v="176"/>
    <x v="0"/>
    <x v="1"/>
    <n v="1"/>
    <n v="528"/>
    <n v="4.4985599999999994"/>
    <n v="3"/>
    <s v="Feb"/>
    <x v="7"/>
    <m/>
    <m/>
  </r>
  <r>
    <n v="68821735"/>
    <x v="1"/>
    <n v="7392"/>
    <d v="2026-02-05T00:00:00"/>
    <s v="BR Lactose Free Vanilla 6 1.5QT"/>
    <x v="1"/>
    <n v="8.5199999999999998E-3"/>
    <n v="176"/>
    <x v="0"/>
    <x v="1"/>
    <n v="1"/>
    <n v="7392"/>
    <n v="62.979839999999996"/>
    <n v="42"/>
    <s v="Feb"/>
    <x v="8"/>
    <m/>
    <m/>
  </r>
  <r>
    <n v="68821735"/>
    <x v="1"/>
    <n v="9215"/>
    <d v="2026-02-06T00:00:00"/>
    <s v="BR Lactose Free Vanilla 6 1.5QT"/>
    <x v="1"/>
    <n v="8.5199999999999998E-3"/>
    <n v="176"/>
    <x v="0"/>
    <x v="1"/>
    <n v="1"/>
    <n v="9215"/>
    <n v="78.511799999999994"/>
    <n v="52.357954545454547"/>
    <s v="Feb"/>
    <x v="8"/>
    <m/>
    <m/>
  </r>
  <r>
    <n v="68821735"/>
    <x v="1"/>
    <n v="2407"/>
    <d v="2026-02-05T00:00:00"/>
    <s v="BR Lactose Free Vanilla 6 1.5QT"/>
    <x v="1"/>
    <n v="8.5199999999999998E-3"/>
    <n v="176"/>
    <x v="0"/>
    <x v="1"/>
    <n v="1"/>
    <n v="2407"/>
    <n v="20.507639999999999"/>
    <n v="13.676136363636363"/>
    <s v="Feb"/>
    <x v="8"/>
    <m/>
    <m/>
  </r>
  <r>
    <n v="68851104"/>
    <x v="1"/>
    <n v="4697"/>
    <d v="2026-02-07T00:00:00"/>
    <s v="BR Chocolate 6-1.5QT"/>
    <x v="3"/>
    <n v="8.5199999999999998E-3"/>
    <n v="176"/>
    <x v="0"/>
    <x v="1"/>
    <n v="1"/>
    <n v="4697"/>
    <n v="40.018439999999998"/>
    <n v="26.6875"/>
    <s v="Feb"/>
    <x v="8"/>
    <m/>
    <m/>
  </r>
  <r>
    <n v="68851104"/>
    <x v="1"/>
    <n v="7216"/>
    <d v="2026-02-07T00:00:00"/>
    <s v="BR Chocolate 6-1.5QT"/>
    <x v="3"/>
    <n v="8.5199999999999998E-3"/>
    <n v="176"/>
    <x v="0"/>
    <x v="1"/>
    <n v="1"/>
    <n v="7216"/>
    <n v="61.480319999999999"/>
    <n v="41"/>
    <s v="Feb"/>
    <x v="8"/>
    <m/>
    <m/>
  </r>
  <r>
    <n v="68851104"/>
    <x v="1"/>
    <n v="7568"/>
    <d v="2026-02-08T00:00:00"/>
    <s v="BR Chocolate 6-1.5QT"/>
    <x v="3"/>
    <n v="8.5199999999999998E-3"/>
    <n v="176"/>
    <x v="0"/>
    <x v="1"/>
    <n v="1"/>
    <n v="7568"/>
    <n v="64.47936"/>
    <n v="43"/>
    <s v="Feb"/>
    <x v="7"/>
    <m/>
    <m/>
  </r>
  <r>
    <n v="68851104"/>
    <x v="1"/>
    <n v="176"/>
    <d v="2026-02-09T00:00:00"/>
    <s v="BR Chocolate 6-1.5QT"/>
    <x v="3"/>
    <n v="8.5199999999999998E-3"/>
    <n v="176"/>
    <x v="0"/>
    <x v="1"/>
    <n v="1"/>
    <n v="176"/>
    <n v="1.49952"/>
    <n v="1"/>
    <s v="Feb"/>
    <x v="7"/>
    <m/>
    <m/>
  </r>
  <r>
    <n v="68851104"/>
    <x v="1"/>
    <n v="5598"/>
    <d v="2026-02-08T00:00:00"/>
    <s v="BR Chocolate 6-1.5QT"/>
    <x v="3"/>
    <n v="8.5199999999999998E-3"/>
    <n v="176"/>
    <x v="0"/>
    <x v="1"/>
    <n v="1"/>
    <n v="5598"/>
    <n v="47.694960000000002"/>
    <n v="31.806818181818183"/>
    <s v="Feb"/>
    <x v="7"/>
    <m/>
    <m/>
  </r>
  <r>
    <n v="68851104"/>
    <x v="1"/>
    <n v="1535"/>
    <d v="2026-02-09T00:00:00"/>
    <s v="BR Chocolate 6-1.5QT"/>
    <x v="3"/>
    <n v="8.5199999999999998E-3"/>
    <n v="176"/>
    <x v="0"/>
    <x v="1"/>
    <n v="1"/>
    <n v="1535"/>
    <n v="13.078199999999999"/>
    <n v="8.7215909090909083"/>
    <s v="Feb"/>
    <x v="7"/>
    <m/>
    <m/>
  </r>
  <r>
    <n v="68851104"/>
    <x v="1"/>
    <n v="6395"/>
    <d v="2026-02-20T00:00:00"/>
    <s v="BR Chocolate 6-1.5QT"/>
    <x v="5"/>
    <n v="8.5199999999999998E-3"/>
    <n v="176"/>
    <x v="0"/>
    <x v="1"/>
    <n v="1"/>
    <n v="6395"/>
    <n v="54.485399999999998"/>
    <n v="36.335227272727273"/>
    <s v="Feb"/>
    <x v="5"/>
    <m/>
    <m/>
  </r>
  <r>
    <n v="68851104"/>
    <x v="1"/>
    <n v="7854"/>
    <d v="2026-02-21T00:00:00"/>
    <s v="BR Chocolate 6-1.5QT"/>
    <x v="5"/>
    <n v="8.5199999999999998E-3"/>
    <n v="176"/>
    <x v="0"/>
    <x v="1"/>
    <n v="1"/>
    <n v="7854"/>
    <n v="66.916079999999994"/>
    <n v="44.625"/>
    <s v="Feb"/>
    <x v="5"/>
    <m/>
    <m/>
  </r>
  <r>
    <n v="68851104"/>
    <x v="1"/>
    <n v="6160"/>
    <d v="2026-02-21T00:00:00"/>
    <s v="BR Chocolate 6-1.5QT"/>
    <x v="5"/>
    <n v="8.5199999999999998E-3"/>
    <n v="176"/>
    <x v="0"/>
    <x v="1"/>
    <n v="1"/>
    <n v="6160"/>
    <n v="52.483199999999997"/>
    <n v="35"/>
    <s v="Feb"/>
    <x v="5"/>
    <m/>
    <m/>
  </r>
  <r>
    <n v="68851104"/>
    <x v="1"/>
    <n v="6336"/>
    <d v="2026-02-22T00:00:00"/>
    <s v="BR Chocolate 6-1.5QT"/>
    <x v="5"/>
    <n v="8.5199999999999998E-3"/>
    <n v="176"/>
    <x v="0"/>
    <x v="1"/>
    <n v="1"/>
    <n v="6336"/>
    <n v="53.98272"/>
    <n v="36"/>
    <s v="Feb"/>
    <x v="6"/>
    <m/>
    <m/>
  </r>
  <r>
    <n v="68851104"/>
    <x v="1"/>
    <n v="3696"/>
    <d v="2026-02-22T00:00:00"/>
    <s v="BR Chocolate 6-1.5QT"/>
    <x v="5"/>
    <n v="8.5199999999999998E-3"/>
    <n v="176"/>
    <x v="0"/>
    <x v="1"/>
    <n v="1"/>
    <n v="3696"/>
    <n v="31.489919999999998"/>
    <n v="21"/>
    <s v="Feb"/>
    <x v="6"/>
    <m/>
    <m/>
  </r>
  <r>
    <n v="68851104"/>
    <x v="1"/>
    <n v="2464"/>
    <d v="2026-02-20T00:00:00"/>
    <s v="BR Chocolate 6-1.5QT"/>
    <x v="5"/>
    <n v="8.5199999999999998E-3"/>
    <n v="176"/>
    <x v="0"/>
    <x v="1"/>
    <n v="1"/>
    <n v="2464"/>
    <n v="20.993279999999999"/>
    <n v="14"/>
    <s v="Feb"/>
    <x v="5"/>
    <m/>
    <m/>
  </r>
  <r>
    <n v="68851105"/>
    <x v="1"/>
    <n v="1509"/>
    <d v="2026-01-28T00:00:00"/>
    <s v="BR HA VAN CHOC STRAW 6-1.5QT"/>
    <x v="1"/>
    <n v="8.5199999999999998E-3"/>
    <n v="154"/>
    <x v="0"/>
    <x v="1"/>
    <n v="1"/>
    <n v="1509"/>
    <n v="12.856679999999999"/>
    <n v="9.7987012987012996"/>
    <s v="Jan"/>
    <x v="4"/>
    <m/>
    <m/>
  </r>
  <r>
    <n v="68851105"/>
    <x v="1"/>
    <n v="7336"/>
    <d v="2026-01-29T00:00:00"/>
    <s v="BR HA VAN CHOC STRAW 6-1.5QT"/>
    <x v="1"/>
    <n v="8.5199999999999998E-3"/>
    <n v="154"/>
    <x v="0"/>
    <x v="1"/>
    <n v="1"/>
    <n v="7336"/>
    <n v="62.502719999999997"/>
    <n v="47.636363636363633"/>
    <s v="Jan"/>
    <x v="4"/>
    <m/>
    <m/>
  </r>
  <r>
    <n v="68851105"/>
    <x v="1"/>
    <n v="232"/>
    <d v="2026-01-29T00:00:00"/>
    <s v="BR HA VAN CHOC STRAW 6-1.5QT"/>
    <x v="1"/>
    <n v="8.5199999999999998E-3"/>
    <n v="154"/>
    <x v="0"/>
    <x v="1"/>
    <n v="1"/>
    <n v="232"/>
    <n v="1.97664"/>
    <n v="1.5064935064935066"/>
    <s v="Jan"/>
    <x v="4"/>
    <m/>
    <m/>
  </r>
  <r>
    <n v="68851105"/>
    <x v="1"/>
    <n v="3386"/>
    <d v="2026-02-08T00:00:00"/>
    <s v="BR HA VAN CHOC STRAW 6-1.5QT"/>
    <x v="1"/>
    <n v="8.5199999999999998E-3"/>
    <n v="154"/>
    <x v="0"/>
    <x v="1"/>
    <n v="1"/>
    <n v="3386"/>
    <n v="28.84872"/>
    <n v="21.987012987012989"/>
    <s v="Feb"/>
    <x v="7"/>
    <m/>
    <m/>
  </r>
  <r>
    <n v="68851105"/>
    <x v="1"/>
    <n v="4297"/>
    <d v="2026-02-09T00:00:00"/>
    <s v="BR HA VAN CHOC STRAW 6-1.5QT"/>
    <x v="1"/>
    <n v="8.5199999999999998E-3"/>
    <n v="154"/>
    <x v="0"/>
    <x v="1"/>
    <n v="1"/>
    <n v="4297"/>
    <n v="36.610439999999997"/>
    <n v="27.902597402597401"/>
    <s v="Feb"/>
    <x v="7"/>
    <m/>
    <m/>
  </r>
  <r>
    <n v="68851105"/>
    <x v="1"/>
    <n v="-50"/>
    <d v="2026-02-17T00:00:00"/>
    <s v="BR HA VAN CHOC STRAW 6-1.5QT"/>
    <x v="1"/>
    <n v="8.5199999999999998E-3"/>
    <n v="154"/>
    <x v="0"/>
    <x v="1"/>
    <n v="1"/>
    <n v="-50"/>
    <n v="-0.42599999999999999"/>
    <n v="-0.32467532467532467"/>
    <s v="Feb"/>
    <x v="5"/>
    <m/>
    <m/>
  </r>
  <r>
    <n v="68851105"/>
    <x v="1"/>
    <n v="1003"/>
    <d v="2026-02-09T00:00:00"/>
    <s v="BR HA VAN CHOC STRAW 6-1.5QT"/>
    <x v="1"/>
    <n v="8.5199999999999998E-3"/>
    <n v="154"/>
    <x v="0"/>
    <x v="1"/>
    <n v="1"/>
    <n v="1003"/>
    <n v="8.54556"/>
    <n v="6.5129870129870131"/>
    <s v="Feb"/>
    <x v="7"/>
    <m/>
    <m/>
  </r>
  <r>
    <n v="68851106"/>
    <x v="1"/>
    <n v="1386"/>
    <d v="2026-02-01T00:00:00"/>
    <s v="BR HA NAT Vanilla 6-1.5QT"/>
    <x v="1"/>
    <n v="8.5199999999999998E-3"/>
    <n v="154"/>
    <x v="0"/>
    <x v="1"/>
    <n v="1"/>
    <n v="1386"/>
    <n v="11.808719999999999"/>
    <n v="9"/>
    <s v="Feb"/>
    <x v="8"/>
    <m/>
    <m/>
  </r>
  <r>
    <n v="68851106"/>
    <x v="1"/>
    <n v="4829"/>
    <d v="2026-02-01T00:00:00"/>
    <s v="BR HA NAT Vanilla 6-1.5QT"/>
    <x v="1"/>
    <n v="8.5199999999999998E-3"/>
    <n v="154"/>
    <x v="0"/>
    <x v="1"/>
    <n v="1"/>
    <n v="4829"/>
    <n v="41.143079999999998"/>
    <n v="31.357142857142858"/>
    <s v="Feb"/>
    <x v="8"/>
    <m/>
    <m/>
  </r>
  <r>
    <n v="68851106"/>
    <x v="1"/>
    <n v="2486"/>
    <d v="2026-02-02T00:00:00"/>
    <s v="BR HA NAT Vanilla 6-1.5QT"/>
    <x v="1"/>
    <n v="8.5199999999999998E-3"/>
    <n v="154"/>
    <x v="0"/>
    <x v="1"/>
    <n v="1"/>
    <n v="2486"/>
    <n v="21.180720000000001"/>
    <n v="16.142857142857142"/>
    <s v="Feb"/>
    <x v="8"/>
    <m/>
    <m/>
  </r>
  <r>
    <n v="68851106"/>
    <x v="1"/>
    <n v="451"/>
    <d v="2026-02-10T00:00:00"/>
    <s v="BR HA NAT Vanilla 6-1.5QT"/>
    <x v="1"/>
    <n v="8.5199999999999998E-3"/>
    <n v="154"/>
    <x v="0"/>
    <x v="1"/>
    <n v="1"/>
    <n v="451"/>
    <n v="3.8425199999999999"/>
    <n v="2.9285714285714284"/>
    <s v="Feb"/>
    <x v="7"/>
    <m/>
    <m/>
  </r>
  <r>
    <n v="68851107"/>
    <x v="1"/>
    <n v="10020"/>
    <d v="2026-01-28T00:00:00"/>
    <s v="BR NAT Vanilla 6-1.5QT"/>
    <x v="1"/>
    <n v="8.5199999999999998E-3"/>
    <n v="176"/>
    <x v="0"/>
    <x v="1"/>
    <n v="1"/>
    <n v="10020"/>
    <n v="85.370400000000004"/>
    <n v="56.93181818181818"/>
    <s v="Jan"/>
    <x v="4"/>
    <m/>
    <m/>
  </r>
  <r>
    <n v="68851107"/>
    <x v="1"/>
    <n v="14"/>
    <d v="2026-01-29T00:00:00"/>
    <s v="BR NAT Vanilla 6-1.5QT"/>
    <x v="1"/>
    <n v="8.5199999999999998E-3"/>
    <n v="176"/>
    <x v="0"/>
    <x v="1"/>
    <n v="1"/>
    <n v="14"/>
    <n v="0.11928"/>
    <n v="7.9545454545454544E-2"/>
    <s v="Jan"/>
    <x v="4"/>
    <m/>
    <m/>
  </r>
  <r>
    <n v="68851107"/>
    <x v="1"/>
    <n v="13376"/>
    <d v="2026-02-02T00:00:00"/>
    <s v="BR NAT Vanilla 6-1.5QT"/>
    <x v="1"/>
    <n v="8.5199999999999998E-3"/>
    <n v="176"/>
    <x v="0"/>
    <x v="1"/>
    <n v="1"/>
    <n v="13376"/>
    <n v="113.96352"/>
    <n v="76"/>
    <s v="Feb"/>
    <x v="8"/>
    <m/>
    <m/>
  </r>
  <r>
    <n v="68851107"/>
    <x v="1"/>
    <n v="10729"/>
    <d v="2026-02-03T00:00:00"/>
    <s v="BR NAT Vanilla 6-1.5QT"/>
    <x v="1"/>
    <n v="8.5199999999999998E-3"/>
    <n v="176"/>
    <x v="0"/>
    <x v="1"/>
    <n v="1"/>
    <n v="10729"/>
    <n v="91.411079999999998"/>
    <n v="60.960227272727273"/>
    <s v="Feb"/>
    <x v="8"/>
    <m/>
    <m/>
  </r>
  <r>
    <n v="68851107"/>
    <x v="1"/>
    <n v="12969"/>
    <d v="2026-02-03T00:00:00"/>
    <s v="BR NAT Vanilla 6-1.5QT"/>
    <x v="1"/>
    <n v="8.5199999999999998E-3"/>
    <n v="176"/>
    <x v="0"/>
    <x v="1"/>
    <n v="1"/>
    <n v="12969"/>
    <n v="110.49588"/>
    <n v="73.6875"/>
    <s v="Feb"/>
    <x v="8"/>
    <m/>
    <m/>
  </r>
  <r>
    <n v="68851107"/>
    <x v="1"/>
    <n v="10560"/>
    <d v="2026-02-04T00:00:00"/>
    <s v="BR NAT Vanilla 6-1.5QT"/>
    <x v="1"/>
    <n v="8.5199999999999998E-3"/>
    <n v="176"/>
    <x v="0"/>
    <x v="1"/>
    <n v="1"/>
    <n v="10560"/>
    <n v="89.971199999999996"/>
    <n v="60"/>
    <s v="Feb"/>
    <x v="8"/>
    <m/>
    <m/>
  </r>
  <r>
    <n v="68851107"/>
    <x v="1"/>
    <n v="10032"/>
    <d v="2026-02-04T00:00:00"/>
    <s v="BR NAT Vanilla 6-1.5QT"/>
    <x v="1"/>
    <n v="8.5199999999999998E-3"/>
    <n v="176"/>
    <x v="0"/>
    <x v="1"/>
    <n v="1"/>
    <n v="10032"/>
    <n v="85.472639999999998"/>
    <n v="57"/>
    <s v="Feb"/>
    <x v="8"/>
    <m/>
    <m/>
  </r>
  <r>
    <n v="68851107"/>
    <x v="1"/>
    <n v="2552"/>
    <d v="2026-02-05T00:00:00"/>
    <s v="BR NAT Vanilla 6-1.5QT"/>
    <x v="1"/>
    <n v="8.5199999999999998E-3"/>
    <n v="176"/>
    <x v="0"/>
    <x v="1"/>
    <n v="1"/>
    <n v="2552"/>
    <n v="21.743040000000001"/>
    <n v="14.5"/>
    <s v="Feb"/>
    <x v="8"/>
    <m/>
    <m/>
  </r>
  <r>
    <n v="68851107"/>
    <x v="1"/>
    <n v="9328"/>
    <d v="2026-02-14T00:00:00"/>
    <s v="BR NAT Vanilla 6-1.5QT"/>
    <x v="1"/>
    <n v="8.5199999999999998E-3"/>
    <n v="176"/>
    <x v="0"/>
    <x v="1"/>
    <n v="1"/>
    <n v="9328"/>
    <n v="79.474559999999997"/>
    <n v="53"/>
    <s v="Feb"/>
    <x v="7"/>
    <m/>
    <m/>
  </r>
  <r>
    <n v="68851107"/>
    <x v="1"/>
    <n v="10641"/>
    <d v="2026-02-15T00:00:00"/>
    <s v="BR NAT Vanilla 6-1.5QT"/>
    <x v="1"/>
    <n v="8.5199999999999998E-3"/>
    <n v="176"/>
    <x v="0"/>
    <x v="1"/>
    <n v="1"/>
    <n v="10641"/>
    <n v="90.661320000000003"/>
    <n v="60.460227272727273"/>
    <s v="Feb"/>
    <x v="5"/>
    <m/>
    <m/>
  </r>
  <r>
    <n v="68851107"/>
    <x v="1"/>
    <n v="176"/>
    <d v="2026-02-17T00:00:00"/>
    <s v="BR NAT Vanilla 6-1.5QT"/>
    <x v="1"/>
    <n v="8.5199999999999998E-3"/>
    <n v="176"/>
    <x v="0"/>
    <x v="1"/>
    <n v="1"/>
    <n v="176"/>
    <n v="1.49952"/>
    <n v="1"/>
    <s v="Feb"/>
    <x v="5"/>
    <m/>
    <m/>
  </r>
  <r>
    <n v="68851107"/>
    <x v="1"/>
    <n v="10384"/>
    <d v="2026-02-15T00:00:00"/>
    <s v="BR NAT Vanilla 6-1.5QT"/>
    <x v="1"/>
    <n v="8.5199999999999998E-3"/>
    <n v="176"/>
    <x v="0"/>
    <x v="1"/>
    <n v="1"/>
    <n v="10384"/>
    <n v="88.471679999999992"/>
    <n v="59"/>
    <s v="Feb"/>
    <x v="5"/>
    <m/>
    <m/>
  </r>
  <r>
    <n v="68851107"/>
    <x v="1"/>
    <n v="11229"/>
    <d v="2026-02-16T00:00:00"/>
    <s v="BR NAT Vanilla 6-1.5QT"/>
    <x v="1"/>
    <n v="8.5199999999999998E-3"/>
    <n v="176"/>
    <x v="0"/>
    <x v="1"/>
    <n v="1"/>
    <n v="11229"/>
    <n v="95.671080000000003"/>
    <n v="63.801136363636367"/>
    <s v="Feb"/>
    <x v="5"/>
    <m/>
    <m/>
  </r>
  <r>
    <n v="68851107"/>
    <x v="1"/>
    <n v="6336"/>
    <d v="2026-02-16T00:00:00"/>
    <s v="BR NAT Vanilla 6-1.5QT"/>
    <x v="1"/>
    <n v="8.5199999999999998E-3"/>
    <n v="176"/>
    <x v="0"/>
    <x v="1"/>
    <n v="1"/>
    <n v="6336"/>
    <n v="53.98272"/>
    <n v="36"/>
    <s v="Feb"/>
    <x v="5"/>
    <m/>
    <m/>
  </r>
  <r>
    <n v="68851107"/>
    <x v="1"/>
    <n v="12138"/>
    <d v="2026-02-17T00:00:00"/>
    <s v="BR NAT Vanilla 6-1.5QT"/>
    <x v="1"/>
    <n v="8.5199999999999998E-3"/>
    <n v="176"/>
    <x v="0"/>
    <x v="1"/>
    <n v="1"/>
    <n v="12138"/>
    <n v="103.41575999999999"/>
    <n v="68.965909090909093"/>
    <s v="Feb"/>
    <x v="5"/>
    <m/>
    <m/>
  </r>
  <r>
    <n v="68851107"/>
    <x v="1"/>
    <n v="11616"/>
    <d v="2026-02-17T00:00:00"/>
    <s v="BR NAT Vanilla 6-1.5QT"/>
    <x v="1"/>
    <n v="8.5199999999999998E-3"/>
    <n v="176"/>
    <x v="0"/>
    <x v="1"/>
    <n v="1"/>
    <n v="11616"/>
    <n v="98.968319999999991"/>
    <n v="66"/>
    <s v="Feb"/>
    <x v="5"/>
    <m/>
    <m/>
  </r>
  <r>
    <n v="68851107"/>
    <x v="1"/>
    <n v="3905"/>
    <d v="2026-02-18T00:00:00"/>
    <s v="BR NAT Vanilla 6-1.5QT"/>
    <x v="1"/>
    <n v="8.5199999999999998E-3"/>
    <n v="176"/>
    <x v="0"/>
    <x v="1"/>
    <n v="1"/>
    <n v="3905"/>
    <n v="33.270600000000002"/>
    <n v="22.1875"/>
    <s v="Feb"/>
    <x v="5"/>
    <m/>
    <m/>
  </r>
  <r>
    <n v="68851107"/>
    <x v="1"/>
    <n v="6960"/>
    <d v="2026-02-21T00:00:00"/>
    <s v="BR NAT Vanilla 6-1.5QT"/>
    <x v="1"/>
    <n v="8.5199999999999998E-3"/>
    <n v="176"/>
    <x v="0"/>
    <x v="1"/>
    <n v="1"/>
    <n v="6960"/>
    <n v="59.299199999999999"/>
    <n v="39.545454545454547"/>
    <s v="Feb"/>
    <x v="5"/>
    <m/>
    <m/>
  </r>
  <r>
    <n v="68851107"/>
    <x v="1"/>
    <n v="10824"/>
    <d v="2026-02-22T00:00:00"/>
    <s v="BR NAT Vanilla 6-1.5QT"/>
    <x v="1"/>
    <n v="8.5199999999999998E-3"/>
    <n v="176"/>
    <x v="0"/>
    <x v="1"/>
    <n v="1"/>
    <n v="10824"/>
    <n v="92.220479999999995"/>
    <n v="61.5"/>
    <s v="Feb"/>
    <x v="6"/>
    <m/>
    <m/>
  </r>
  <r>
    <n v="68851107"/>
    <x v="1"/>
    <n v="9743"/>
    <d v="2026-02-22T00:00:00"/>
    <s v="BR NAT Vanilla 6-1.5QT"/>
    <x v="1"/>
    <n v="8.5199999999999998E-3"/>
    <n v="176"/>
    <x v="0"/>
    <x v="1"/>
    <n v="1"/>
    <n v="9743"/>
    <n v="83.010359999999991"/>
    <n v="55.357954545454547"/>
    <s v="Feb"/>
    <x v="6"/>
    <m/>
    <m/>
  </r>
  <r>
    <n v="68851107"/>
    <x v="1"/>
    <n v="4971"/>
    <d v="2026-02-02T00:00:00"/>
    <s v="BR NAT Vanilla 6-1.5QT"/>
    <x v="1"/>
    <n v="8.5199999999999998E-3"/>
    <n v="176"/>
    <x v="0"/>
    <x v="1"/>
    <n v="1"/>
    <n v="4971"/>
    <n v="42.352919999999997"/>
    <n v="28.244318181818183"/>
    <s v="Feb"/>
    <x v="8"/>
    <m/>
    <m/>
  </r>
  <r>
    <n v="68851107"/>
    <x v="1"/>
    <n v="4499"/>
    <d v="2026-02-08T00:00:00"/>
    <s v="BR NAT Vanilla 6-1.5QT"/>
    <x v="5"/>
    <n v="8.5199999999999998E-3"/>
    <n v="176"/>
    <x v="0"/>
    <x v="1"/>
    <n v="1"/>
    <n v="4499"/>
    <n v="38.331479999999999"/>
    <n v="25.5625"/>
    <s v="Feb"/>
    <x v="7"/>
    <m/>
    <m/>
  </r>
  <r>
    <n v="68851107"/>
    <x v="1"/>
    <n v="6512"/>
    <d v="2026-02-09T00:00:00"/>
    <s v="BR NAT Vanilla 6-1.5QT"/>
    <x v="5"/>
    <n v="8.5199999999999998E-3"/>
    <n v="176"/>
    <x v="0"/>
    <x v="1"/>
    <n v="1"/>
    <n v="6512"/>
    <n v="55.482239999999997"/>
    <n v="37"/>
    <s v="Feb"/>
    <x v="7"/>
    <m/>
    <m/>
  </r>
  <r>
    <n v="68851107"/>
    <x v="1"/>
    <n v="938"/>
    <d v="2026-02-09T00:00:00"/>
    <s v="BR NAT Vanilla 6-1.5QT"/>
    <x v="5"/>
    <n v="8.5199999999999998E-3"/>
    <n v="176"/>
    <x v="0"/>
    <x v="1"/>
    <n v="1"/>
    <n v="938"/>
    <n v="7.9917600000000002"/>
    <n v="5.3295454545454541"/>
    <s v="Feb"/>
    <x v="7"/>
    <m/>
    <m/>
  </r>
  <r>
    <n v="68851107"/>
    <x v="1"/>
    <n v="528"/>
    <d v="2026-02-09T00:00:00"/>
    <s v="BR NAT Vanilla 6-1.5QT"/>
    <x v="3"/>
    <n v="8.5199999999999998E-3"/>
    <n v="176"/>
    <x v="0"/>
    <x v="1"/>
    <n v="1"/>
    <n v="528"/>
    <n v="4.4985599999999994"/>
    <n v="3"/>
    <s v="Feb"/>
    <x v="7"/>
    <m/>
    <m/>
  </r>
  <r>
    <n v="68851107"/>
    <x v="1"/>
    <n v="352"/>
    <d v="2026-02-09T00:00:00"/>
    <s v="BR NAT Vanilla 6-1.5QT"/>
    <x v="3"/>
    <n v="8.5199999999999998E-3"/>
    <n v="176"/>
    <x v="0"/>
    <x v="1"/>
    <n v="1"/>
    <n v="352"/>
    <n v="2.9990399999999999"/>
    <n v="2"/>
    <s v="Feb"/>
    <x v="7"/>
    <m/>
    <m/>
  </r>
  <r>
    <n v="68851107"/>
    <x v="1"/>
    <n v="8096"/>
    <d v="2026-02-13T00:00:00"/>
    <s v="BR NAT Vanilla 6-1.5QT"/>
    <x v="1"/>
    <n v="8.5199999999999998E-3"/>
    <n v="176"/>
    <x v="0"/>
    <x v="1"/>
    <n v="1"/>
    <n v="8096"/>
    <n v="68.977919999999997"/>
    <n v="46"/>
    <s v="Feb"/>
    <x v="7"/>
    <m/>
    <m/>
  </r>
  <r>
    <n v="68851107"/>
    <x v="1"/>
    <n v="9504"/>
    <d v="2026-02-14T00:00:00"/>
    <s v="BR NAT Vanilla 6-1.5QT"/>
    <x v="1"/>
    <n v="8.5199999999999998E-3"/>
    <n v="176"/>
    <x v="0"/>
    <x v="1"/>
    <n v="1"/>
    <n v="9504"/>
    <n v="80.974080000000001"/>
    <n v="54"/>
    <s v="Feb"/>
    <x v="7"/>
    <m/>
    <m/>
  </r>
  <r>
    <n v="68851107"/>
    <x v="1"/>
    <n v="-528"/>
    <d v="2026-02-20T00:00:00"/>
    <s v="BR NAT Vanilla 6-1.5QT"/>
    <x v="1"/>
    <n v="8.5199999999999998E-3"/>
    <n v="176"/>
    <x v="0"/>
    <x v="1"/>
    <n v="1"/>
    <n v="-528"/>
    <n v="-4.4985599999999994"/>
    <n v="-3"/>
    <s v="Feb"/>
    <x v="5"/>
    <m/>
    <m/>
  </r>
  <r>
    <n v="68851107"/>
    <x v="1"/>
    <n v="176"/>
    <d v="2026-02-16T00:00:00"/>
    <s v="BR NAT Vanilla 6-1.5QT"/>
    <x v="5"/>
    <n v="8.5199999999999998E-3"/>
    <n v="176"/>
    <x v="0"/>
    <x v="1"/>
    <n v="1"/>
    <n v="176"/>
    <n v="1.49952"/>
    <n v="1"/>
    <s v="Feb"/>
    <x v="5"/>
    <m/>
    <m/>
  </r>
  <r>
    <n v="68851107"/>
    <x v="1"/>
    <n v="7568"/>
    <d v="2026-02-17T00:00:00"/>
    <s v="BR NAT Vanilla 6-1.5QT"/>
    <x v="5"/>
    <n v="8.5199999999999998E-3"/>
    <n v="176"/>
    <x v="0"/>
    <x v="1"/>
    <n v="1"/>
    <n v="7568"/>
    <n v="64.47936"/>
    <n v="43"/>
    <s v="Feb"/>
    <x v="5"/>
    <m/>
    <m/>
  </r>
  <r>
    <n v="68851107"/>
    <x v="1"/>
    <n v="1770"/>
    <d v="2026-02-17T00:00:00"/>
    <s v="BR NAT Vanilla 6-1.5QT"/>
    <x v="5"/>
    <n v="8.5199999999999998E-3"/>
    <n v="176"/>
    <x v="0"/>
    <x v="1"/>
    <n v="1"/>
    <n v="1770"/>
    <n v="15.080399999999999"/>
    <n v="10.056818181818182"/>
    <s v="Feb"/>
    <x v="5"/>
    <m/>
    <m/>
  </r>
  <r>
    <n v="68851107"/>
    <x v="1"/>
    <n v="4674"/>
    <d v="2026-02-21T00:00:00"/>
    <s v="BR NAT Vanilla 6-1.5QT"/>
    <x v="1"/>
    <n v="8.5199999999999998E-3"/>
    <n v="176"/>
    <x v="0"/>
    <x v="1"/>
    <n v="1"/>
    <n v="4674"/>
    <n v="39.822479999999999"/>
    <n v="26.556818181818183"/>
    <s v="Feb"/>
    <x v="5"/>
    <m/>
    <m/>
  </r>
  <r>
    <n v="68851108"/>
    <x v="1"/>
    <n v="6248"/>
    <d v="2026-01-29T00:00:00"/>
    <s v="BR VAN CHOC STRAW 6-1.5QT"/>
    <x v="1"/>
    <n v="8.5199999999999998E-3"/>
    <n v="176"/>
    <x v="0"/>
    <x v="1"/>
    <n v="1"/>
    <n v="6248"/>
    <n v="53.232959999999999"/>
    <n v="35.5"/>
    <s v="Jan"/>
    <x v="4"/>
    <m/>
    <m/>
  </r>
  <r>
    <n v="68851108"/>
    <x v="1"/>
    <n v="11088"/>
    <d v="2026-01-30T00:00:00"/>
    <s v="BR VAN CHOC STRAW 6-1.5QT"/>
    <x v="1"/>
    <n v="8.5199999999999998E-3"/>
    <n v="176"/>
    <x v="0"/>
    <x v="1"/>
    <n v="1"/>
    <n v="11088"/>
    <n v="94.469759999999994"/>
    <n v="63"/>
    <s v="Jan"/>
    <x v="4"/>
    <m/>
    <m/>
  </r>
  <r>
    <n v="68851108"/>
    <x v="1"/>
    <n v="8712"/>
    <d v="2026-01-30T00:00:00"/>
    <s v="BR VAN CHOC STRAW 6-1.5QT"/>
    <x v="1"/>
    <n v="8.5199999999999998E-3"/>
    <n v="176"/>
    <x v="0"/>
    <x v="1"/>
    <n v="1"/>
    <n v="8712"/>
    <n v="74.226240000000004"/>
    <n v="49.5"/>
    <s v="Jan"/>
    <x v="4"/>
    <m/>
    <m/>
  </r>
  <r>
    <n v="68851108"/>
    <x v="1"/>
    <n v="10559"/>
    <d v="2026-01-31T00:00:00"/>
    <s v="BR VAN CHOC STRAW 6-1.5QT"/>
    <x v="1"/>
    <n v="8.5199999999999998E-3"/>
    <n v="176"/>
    <x v="0"/>
    <x v="1"/>
    <n v="1"/>
    <n v="10559"/>
    <n v="89.962679999999992"/>
    <n v="59.99431818181818"/>
    <s v="Jan"/>
    <x v="4"/>
    <m/>
    <m/>
  </r>
  <r>
    <n v="68851108"/>
    <x v="1"/>
    <n v="528"/>
    <d v="2026-02-02T00:00:00"/>
    <s v="BR VAN CHOC STRAW 6-1.5QT"/>
    <x v="1"/>
    <n v="8.5199999999999998E-3"/>
    <n v="176"/>
    <x v="0"/>
    <x v="1"/>
    <n v="1"/>
    <n v="528"/>
    <n v="4.4985599999999994"/>
    <n v="3"/>
    <s v="Feb"/>
    <x v="8"/>
    <m/>
    <m/>
  </r>
  <r>
    <n v="68851108"/>
    <x v="1"/>
    <n v="15664"/>
    <d v="2026-01-31T00:00:00"/>
    <s v="BR VAN CHOC STRAW 6-1.5QT"/>
    <x v="1"/>
    <n v="8.5199999999999998E-3"/>
    <n v="176"/>
    <x v="0"/>
    <x v="1"/>
    <n v="1"/>
    <n v="15664"/>
    <n v="133.45728"/>
    <n v="89"/>
    <s v="Jan"/>
    <x v="4"/>
    <m/>
    <m/>
  </r>
  <r>
    <n v="68851108"/>
    <x v="1"/>
    <n v="2238"/>
    <d v="2026-02-01T00:00:00"/>
    <s v="BR VAN CHOC STRAW 6-1.5QT"/>
    <x v="1"/>
    <n v="8.5199999999999998E-3"/>
    <n v="176"/>
    <x v="0"/>
    <x v="1"/>
    <n v="1"/>
    <n v="2238"/>
    <n v="19.06776"/>
    <n v="12.715909090909092"/>
    <s v="Feb"/>
    <x v="8"/>
    <m/>
    <m/>
  </r>
  <r>
    <n v="68851108"/>
    <x v="1"/>
    <n v="-11"/>
    <d v="2026-02-05T00:00:00"/>
    <s v="BR VAN CHOC STRAW 6-1.5QT"/>
    <x v="1"/>
    <n v="8.5199999999999998E-3"/>
    <n v="176"/>
    <x v="0"/>
    <x v="1"/>
    <n v="1"/>
    <n v="-11"/>
    <n v="-9.3719999999999998E-2"/>
    <n v="-6.25E-2"/>
    <s v="Feb"/>
    <x v="8"/>
    <m/>
    <m/>
  </r>
  <r>
    <n v="68851108"/>
    <x v="1"/>
    <n v="11440"/>
    <d v="2026-02-10T00:00:00"/>
    <s v="BR VAN CHOC STRAW 6-1.5QT"/>
    <x v="1"/>
    <n v="8.5199999999999998E-3"/>
    <n v="176"/>
    <x v="0"/>
    <x v="1"/>
    <n v="1"/>
    <n v="11440"/>
    <n v="97.468800000000002"/>
    <n v="65"/>
    <s v="Feb"/>
    <x v="7"/>
    <m/>
    <m/>
  </r>
  <r>
    <n v="68851108"/>
    <x v="1"/>
    <n v="10365"/>
    <d v="2026-02-11T00:00:00"/>
    <s v="BR VAN CHOC STRAW 6-1.5QT"/>
    <x v="1"/>
    <n v="8.5199999999999998E-3"/>
    <n v="176"/>
    <x v="0"/>
    <x v="1"/>
    <n v="1"/>
    <n v="10365"/>
    <n v="88.309799999999996"/>
    <n v="58.892045454545453"/>
    <s v="Feb"/>
    <x v="7"/>
    <m/>
    <m/>
  </r>
  <r>
    <n v="68851108"/>
    <x v="1"/>
    <n v="9911"/>
    <d v="2026-02-11T00:00:00"/>
    <s v="BR VAN CHOC STRAW 6-1.5QT"/>
    <x v="1"/>
    <n v="8.5199999999999998E-3"/>
    <n v="176"/>
    <x v="0"/>
    <x v="1"/>
    <n v="1"/>
    <n v="9911"/>
    <n v="84.441720000000004"/>
    <n v="56.3125"/>
    <s v="Feb"/>
    <x v="7"/>
    <m/>
    <m/>
  </r>
  <r>
    <n v="68851108"/>
    <x v="1"/>
    <n v="8968"/>
    <d v="2026-02-12T00:00:00"/>
    <s v="BR VAN CHOC STRAW 6-1.5QT"/>
    <x v="1"/>
    <n v="8.5199999999999998E-3"/>
    <n v="176"/>
    <x v="0"/>
    <x v="1"/>
    <n v="1"/>
    <n v="8968"/>
    <n v="76.407359999999997"/>
    <n v="50.954545454545453"/>
    <s v="Feb"/>
    <x v="7"/>
    <m/>
    <m/>
  </r>
  <r>
    <n v="68851108"/>
    <x v="1"/>
    <n v="8556"/>
    <d v="2026-02-12T00:00:00"/>
    <s v="BR VAN CHOC STRAW 6-1.5QT"/>
    <x v="1"/>
    <n v="8.5199999999999998E-3"/>
    <n v="176"/>
    <x v="0"/>
    <x v="1"/>
    <n v="1"/>
    <n v="8556"/>
    <n v="72.897120000000001"/>
    <n v="48.613636363636367"/>
    <s v="Feb"/>
    <x v="7"/>
    <m/>
    <m/>
  </r>
  <r>
    <n v="68851108"/>
    <x v="1"/>
    <n v="9466"/>
    <d v="2026-02-13T00:00:00"/>
    <s v="BR VAN CHOC STRAW 6-1.5QT"/>
    <x v="1"/>
    <n v="8.5199999999999998E-3"/>
    <n v="176"/>
    <x v="0"/>
    <x v="1"/>
    <n v="1"/>
    <n v="9466"/>
    <n v="80.650319999999994"/>
    <n v="53.784090909090907"/>
    <s v="Feb"/>
    <x v="7"/>
    <m/>
    <m/>
  </r>
  <r>
    <n v="68851108"/>
    <x v="1"/>
    <n v="10020"/>
    <d v="2026-02-18T00:00:00"/>
    <s v="BR VAN CHOC STRAW 6-1.5QT"/>
    <x v="1"/>
    <n v="8.5199999999999998E-3"/>
    <n v="176"/>
    <x v="0"/>
    <x v="1"/>
    <n v="1"/>
    <n v="10020"/>
    <n v="85.370400000000004"/>
    <n v="56.93181818181818"/>
    <s v="Feb"/>
    <x v="5"/>
    <m/>
    <m/>
  </r>
  <r>
    <n v="68851108"/>
    <x v="1"/>
    <n v="11440"/>
    <d v="2026-02-19T00:00:00"/>
    <s v="BR VAN CHOC STRAW 6-1.5QT"/>
    <x v="1"/>
    <n v="8.5199999999999998E-3"/>
    <n v="176"/>
    <x v="0"/>
    <x v="1"/>
    <n v="1"/>
    <n v="11440"/>
    <n v="97.468800000000002"/>
    <n v="65"/>
    <s v="Feb"/>
    <x v="5"/>
    <m/>
    <m/>
  </r>
  <r>
    <n v="68851108"/>
    <x v="1"/>
    <n v="12320"/>
    <d v="2026-02-19T00:00:00"/>
    <s v="BR VAN CHOC STRAW 6-1.5QT"/>
    <x v="1"/>
    <n v="8.5199999999999998E-3"/>
    <n v="176"/>
    <x v="0"/>
    <x v="1"/>
    <n v="1"/>
    <n v="12320"/>
    <n v="104.96639999999999"/>
    <n v="70"/>
    <s v="Feb"/>
    <x v="5"/>
    <m/>
    <m/>
  </r>
  <r>
    <n v="68851108"/>
    <x v="1"/>
    <n v="11791"/>
    <d v="2026-02-20T00:00:00"/>
    <s v="BR VAN CHOC STRAW 6-1.5QT"/>
    <x v="1"/>
    <n v="8.5199999999999998E-3"/>
    <n v="176"/>
    <x v="0"/>
    <x v="1"/>
    <n v="1"/>
    <n v="11791"/>
    <n v="100.45931999999999"/>
    <n v="66.994318181818187"/>
    <s v="Feb"/>
    <x v="5"/>
    <m/>
    <m/>
  </r>
  <r>
    <n v="68851108"/>
    <x v="1"/>
    <n v="6389"/>
    <d v="2026-02-20T00:00:00"/>
    <s v="BR VAN CHOC STRAW 6-1.5QT"/>
    <x v="1"/>
    <n v="8.5199999999999998E-3"/>
    <n v="176"/>
    <x v="0"/>
    <x v="1"/>
    <n v="1"/>
    <n v="6389"/>
    <n v="54.434280000000001"/>
    <n v="36.301136363636367"/>
    <s v="Feb"/>
    <x v="5"/>
    <m/>
    <m/>
  </r>
  <r>
    <n v="68851108"/>
    <x v="1"/>
    <n v="3696"/>
    <d v="2026-02-10T00:00:00"/>
    <s v="BR VAN CHOC STRAW 6-1.5QT"/>
    <x v="1"/>
    <n v="8.5199999999999998E-3"/>
    <n v="176"/>
    <x v="0"/>
    <x v="1"/>
    <n v="1"/>
    <n v="3696"/>
    <n v="31.489919999999998"/>
    <n v="21"/>
    <s v="Feb"/>
    <x v="7"/>
    <m/>
    <m/>
  </r>
  <r>
    <n v="68851108"/>
    <x v="1"/>
    <n v="1584"/>
    <d v="2026-02-18T00:00:00"/>
    <s v="BR VAN CHOC STRAW 6-1.5QT"/>
    <x v="1"/>
    <n v="8.5199999999999998E-3"/>
    <n v="176"/>
    <x v="0"/>
    <x v="1"/>
    <n v="1"/>
    <n v="1584"/>
    <n v="13.49568"/>
    <n v="9"/>
    <s v="Feb"/>
    <x v="5"/>
    <m/>
    <m/>
  </r>
  <r>
    <n v="68851109"/>
    <x v="1"/>
    <n v="4158"/>
    <d v="2026-02-06T00:00:00"/>
    <s v="BR HA Chocolate 6-1.5QT"/>
    <x v="3"/>
    <n v="8.5199999999999998E-3"/>
    <n v="154"/>
    <x v="0"/>
    <x v="1"/>
    <n v="1"/>
    <n v="4158"/>
    <n v="35.426159999999996"/>
    <n v="27"/>
    <s v="Feb"/>
    <x v="8"/>
    <m/>
    <m/>
  </r>
  <r>
    <n v="68851109"/>
    <x v="1"/>
    <n v="1848"/>
    <d v="2026-02-07T00:00:00"/>
    <s v="BR HA Chocolate 6-1.5QT"/>
    <x v="3"/>
    <n v="8.5199999999999998E-3"/>
    <n v="154"/>
    <x v="0"/>
    <x v="1"/>
    <n v="1"/>
    <n v="1848"/>
    <n v="15.744959999999999"/>
    <n v="12"/>
    <s v="Feb"/>
    <x v="8"/>
    <m/>
    <m/>
  </r>
  <r>
    <n v="68851109"/>
    <x v="1"/>
    <n v="462"/>
    <d v="2026-02-09T00:00:00"/>
    <s v="BR HA Chocolate 6-1.5QT"/>
    <x v="3"/>
    <n v="8.5199999999999998E-3"/>
    <n v="154"/>
    <x v="0"/>
    <x v="1"/>
    <n v="1"/>
    <n v="462"/>
    <n v="3.9362399999999997"/>
    <n v="3"/>
    <s v="Feb"/>
    <x v="7"/>
    <m/>
    <m/>
  </r>
  <r>
    <n v="68852591"/>
    <x v="1"/>
    <n v="245"/>
    <d v="2026-02-08T00:00:00"/>
    <s v="KL Heath Bar 12-6PK"/>
    <x v="21"/>
    <n v="8.5199999999999998E-3"/>
    <n v="132"/>
    <x v="1"/>
    <x v="11"/>
    <n v="1"/>
    <n v="245"/>
    <n v="2.0874000000000001"/>
    <n v="1.856060606060606"/>
    <s v="Feb"/>
    <x v="7"/>
    <m/>
    <m/>
  </r>
  <r>
    <n v="68852591"/>
    <x v="1"/>
    <n v="204"/>
    <d v="2026-02-09T00:00:00"/>
    <s v="KL Heath Bar 12-6PK"/>
    <x v="21"/>
    <n v="8.5199999999999998E-3"/>
    <n v="132"/>
    <x v="1"/>
    <x v="11"/>
    <n v="1"/>
    <n v="204"/>
    <n v="1.7380800000000001"/>
    <n v="1.5454545454545454"/>
    <s v="Feb"/>
    <x v="7"/>
    <m/>
    <m/>
  </r>
  <r>
    <n v="68852591"/>
    <x v="1"/>
    <n v="1288"/>
    <d v="2026-02-01T00:00:00"/>
    <s v="KL Heath Bar 12-6PK"/>
    <x v="21"/>
    <n v="8.5199999999999998E-3"/>
    <n v="132"/>
    <x v="1"/>
    <x v="11"/>
    <n v="1"/>
    <n v="1288"/>
    <n v="10.97376"/>
    <n v="9.7575757575757578"/>
    <s v="Feb"/>
    <x v="8"/>
    <m/>
    <m/>
  </r>
  <r>
    <n v="68852591"/>
    <x v="1"/>
    <n v="1920"/>
    <d v="2026-02-02T00:00:00"/>
    <s v="KL Heath Bar 12-6PK"/>
    <x v="21"/>
    <n v="8.5199999999999998E-3"/>
    <n v="132"/>
    <x v="1"/>
    <x v="11"/>
    <n v="1"/>
    <n v="1920"/>
    <n v="16.3584"/>
    <n v="14.545454545454545"/>
    <s v="Feb"/>
    <x v="8"/>
    <m/>
    <m/>
  </r>
  <r>
    <n v="68852591"/>
    <x v="1"/>
    <n v="1524"/>
    <d v="2026-02-02T00:00:00"/>
    <s v="KL Heath Bar 12-6PK"/>
    <x v="21"/>
    <n v="8.5199999999999998E-3"/>
    <n v="132"/>
    <x v="1"/>
    <x v="11"/>
    <n v="1"/>
    <n v="1524"/>
    <n v="12.98448"/>
    <n v="11.545454545454545"/>
    <s v="Feb"/>
    <x v="8"/>
    <m/>
    <m/>
  </r>
  <r>
    <n v="68852591"/>
    <x v="1"/>
    <n v="1260"/>
    <d v="2026-02-03T00:00:00"/>
    <s v="KL Heath Bar 12-6PK"/>
    <x v="21"/>
    <n v="8.5199999999999998E-3"/>
    <n v="132"/>
    <x v="1"/>
    <x v="11"/>
    <n v="1"/>
    <n v="1260"/>
    <n v="10.735199999999999"/>
    <n v="9.545454545454545"/>
    <s v="Feb"/>
    <x v="8"/>
    <m/>
    <m/>
  </r>
  <r>
    <n v="68852591"/>
    <x v="1"/>
    <n v="1763"/>
    <d v="2026-02-03T00:00:00"/>
    <s v="KL Heath Bar 12-6PK"/>
    <x v="21"/>
    <n v="8.5199999999999998E-3"/>
    <n v="132"/>
    <x v="1"/>
    <x v="11"/>
    <n v="1"/>
    <n v="1763"/>
    <n v="15.020759999999999"/>
    <n v="13.356060606060606"/>
    <s v="Feb"/>
    <x v="8"/>
    <m/>
    <m/>
  </r>
  <r>
    <n v="68852591"/>
    <x v="1"/>
    <n v="976"/>
    <d v="2026-02-04T00:00:00"/>
    <s v="KL Heath Bar 12-6PK"/>
    <x v="21"/>
    <n v="8.5199999999999998E-3"/>
    <n v="132"/>
    <x v="1"/>
    <x v="11"/>
    <n v="1"/>
    <n v="976"/>
    <n v="8.3155199999999994"/>
    <n v="7.3939393939393936"/>
    <s v="Feb"/>
    <x v="8"/>
    <m/>
    <m/>
  </r>
  <r>
    <n v="68852591"/>
    <x v="1"/>
    <n v="132"/>
    <d v="2026-02-04T00:00:00"/>
    <s v="KL Heath Bar 12-6PK"/>
    <x v="21"/>
    <n v="8.5199999999999998E-3"/>
    <n v="132"/>
    <x v="1"/>
    <x v="11"/>
    <n v="1"/>
    <n v="132"/>
    <n v="1.1246399999999999"/>
    <n v="1"/>
    <s v="Feb"/>
    <x v="8"/>
    <m/>
    <m/>
  </r>
  <r>
    <n v="68852591"/>
    <x v="1"/>
    <n v="1463"/>
    <d v="2026-02-05T00:00:00"/>
    <s v="KL Heath Bar 12-6PK"/>
    <x v="21"/>
    <n v="8.5199999999999998E-3"/>
    <n v="132"/>
    <x v="1"/>
    <x v="11"/>
    <n v="1"/>
    <n v="1463"/>
    <n v="12.46476"/>
    <n v="11.083333333333334"/>
    <s v="Feb"/>
    <x v="8"/>
    <m/>
    <m/>
  </r>
  <r>
    <n v="68852591"/>
    <x v="1"/>
    <n v="660"/>
    <d v="2026-02-05T00:00:00"/>
    <s v="KL Heath Bar 12-6PK"/>
    <x v="21"/>
    <n v="8.5199999999999998E-3"/>
    <n v="132"/>
    <x v="1"/>
    <x v="11"/>
    <n v="1"/>
    <n v="660"/>
    <n v="5.6231999999999998"/>
    <n v="5"/>
    <s v="Feb"/>
    <x v="8"/>
    <m/>
    <m/>
  </r>
  <r>
    <n v="68852591"/>
    <x v="1"/>
    <n v="1572"/>
    <d v="2026-02-06T00:00:00"/>
    <s v="KL Heath Bar 12-6PK"/>
    <x v="21"/>
    <n v="8.5199999999999998E-3"/>
    <n v="132"/>
    <x v="1"/>
    <x v="11"/>
    <n v="1"/>
    <n v="1572"/>
    <n v="13.39344"/>
    <n v="11.909090909090908"/>
    <s v="Feb"/>
    <x v="8"/>
    <m/>
    <m/>
  </r>
  <r>
    <n v="68852591"/>
    <x v="1"/>
    <n v="1975"/>
    <d v="2026-02-06T00:00:00"/>
    <s v="KL Heath Bar 12-6PK"/>
    <x v="21"/>
    <n v="8.5199999999999998E-3"/>
    <n v="132"/>
    <x v="1"/>
    <x v="11"/>
    <n v="1"/>
    <n v="1975"/>
    <n v="16.826999999999998"/>
    <n v="14.962121212121213"/>
    <s v="Feb"/>
    <x v="8"/>
    <m/>
    <m/>
  </r>
  <r>
    <n v="68852591"/>
    <x v="1"/>
    <n v="1188"/>
    <d v="2026-02-07T00:00:00"/>
    <s v="KL Heath Bar 12-6PK"/>
    <x v="21"/>
    <n v="8.5199999999999998E-3"/>
    <n v="132"/>
    <x v="1"/>
    <x v="11"/>
    <n v="1"/>
    <n v="1188"/>
    <n v="10.12176"/>
    <n v="9"/>
    <s v="Feb"/>
    <x v="8"/>
    <m/>
    <m/>
  </r>
  <r>
    <n v="68852591"/>
    <x v="1"/>
    <n v="132"/>
    <d v="2026-02-09T00:00:00"/>
    <s v="KL Heath Bar 12-6PK"/>
    <x v="21"/>
    <n v="8.5199999999999998E-3"/>
    <n v="132"/>
    <x v="1"/>
    <x v="11"/>
    <n v="1"/>
    <n v="132"/>
    <n v="1.1246399999999999"/>
    <n v="1"/>
    <s v="Feb"/>
    <x v="7"/>
    <m/>
    <m/>
  </r>
  <r>
    <n v="68852591"/>
    <x v="1"/>
    <n v="1280"/>
    <d v="2026-02-07T00:00:00"/>
    <s v="KL Heath Bar 12-6PK"/>
    <x v="21"/>
    <n v="8.5199999999999998E-3"/>
    <n v="132"/>
    <x v="1"/>
    <x v="11"/>
    <n v="1"/>
    <n v="1280"/>
    <n v="10.9056"/>
    <n v="9.6969696969696972"/>
    <s v="Feb"/>
    <x v="8"/>
    <m/>
    <m/>
  </r>
  <r>
    <n v="68852591"/>
    <x v="1"/>
    <n v="1016"/>
    <d v="2026-02-08T00:00:00"/>
    <s v="KL Heath Bar 12-6PK"/>
    <x v="21"/>
    <n v="8.5199999999999998E-3"/>
    <n v="132"/>
    <x v="1"/>
    <x v="11"/>
    <n v="1"/>
    <n v="1016"/>
    <n v="8.6563199999999991"/>
    <n v="7.6969696969696972"/>
    <s v="Feb"/>
    <x v="7"/>
    <m/>
    <m/>
  </r>
  <r>
    <n v="68852591"/>
    <x v="1"/>
    <n v="396"/>
    <d v="2026-02-09T00:00:00"/>
    <s v="KL Heath Bar 12-6PK"/>
    <x v="21"/>
    <n v="8.5199999999999998E-3"/>
    <n v="132"/>
    <x v="1"/>
    <x v="11"/>
    <n v="1"/>
    <n v="396"/>
    <n v="3.37392"/>
    <n v="3"/>
    <s v="Feb"/>
    <x v="7"/>
    <m/>
    <m/>
  </r>
  <r>
    <n v="68852591"/>
    <x v="1"/>
    <n v="1949"/>
    <d v="2026-01-29T00:00:00"/>
    <s v="KL Heath Bar 12-6PK"/>
    <x v="21"/>
    <n v="8.5199999999999998E-3"/>
    <n v="132"/>
    <x v="1"/>
    <x v="11"/>
    <n v="1"/>
    <n v="1949"/>
    <n v="16.60548"/>
    <n v="14.765151515151516"/>
    <s v="Jan"/>
    <x v="4"/>
    <m/>
    <m/>
  </r>
  <r>
    <n v="68852591"/>
    <x v="1"/>
    <n v="1260"/>
    <d v="2026-01-30T00:00:00"/>
    <s v="KL Heath Bar 12-6PK"/>
    <x v="21"/>
    <n v="8.5199999999999998E-3"/>
    <n v="132"/>
    <x v="1"/>
    <x v="11"/>
    <n v="1"/>
    <n v="1260"/>
    <n v="10.735199999999999"/>
    <n v="9.545454545454545"/>
    <s v="Jan"/>
    <x v="4"/>
    <m/>
    <m/>
  </r>
  <r>
    <n v="68852591"/>
    <x v="1"/>
    <n v="528"/>
    <d v="2026-01-28T00:00:00"/>
    <s v="KL Heath Bar 12-6PK"/>
    <x v="21"/>
    <n v="8.5199999999999998E-3"/>
    <n v="132"/>
    <x v="1"/>
    <x v="11"/>
    <n v="1"/>
    <n v="528"/>
    <n v="4.4985599999999994"/>
    <n v="4"/>
    <s v="Jan"/>
    <x v="4"/>
    <m/>
    <m/>
  </r>
  <r>
    <n v="68852591"/>
    <x v="1"/>
    <n v="877"/>
    <d v="2026-01-30T00:00:00"/>
    <s v="KL Heath Bar 12-6PK"/>
    <x v="21"/>
    <n v="8.5199999999999998E-3"/>
    <n v="132"/>
    <x v="1"/>
    <x v="11"/>
    <n v="1"/>
    <n v="877"/>
    <n v="7.4720399999999998"/>
    <n v="6.6439393939393936"/>
    <s v="Jan"/>
    <x v="4"/>
    <m/>
    <m/>
  </r>
  <r>
    <n v="68852591"/>
    <x v="1"/>
    <n v="1652"/>
    <d v="2026-01-31T00:00:00"/>
    <s v="KL Heath Bar 12-6PK"/>
    <x v="21"/>
    <n v="8.5199999999999998E-3"/>
    <n v="132"/>
    <x v="1"/>
    <x v="11"/>
    <n v="1"/>
    <n v="1652"/>
    <n v="14.07504"/>
    <n v="12.515151515151516"/>
    <s v="Jan"/>
    <x v="4"/>
    <m/>
    <m/>
  </r>
  <r>
    <n v="68852591"/>
    <x v="1"/>
    <n v="1640"/>
    <d v="2026-01-28T00:00:00"/>
    <s v="KL Heath Bar 12-6PK"/>
    <x v="21"/>
    <n v="8.5199999999999998E-3"/>
    <n v="132"/>
    <x v="1"/>
    <x v="11"/>
    <n v="1"/>
    <n v="1640"/>
    <n v="13.972799999999999"/>
    <n v="12.424242424242424"/>
    <s v="Jan"/>
    <x v="4"/>
    <m/>
    <m/>
  </r>
  <r>
    <n v="68852591"/>
    <x v="1"/>
    <n v="1692"/>
    <d v="2026-01-29T00:00:00"/>
    <s v="KL Heath Bar 12-6PK"/>
    <x v="21"/>
    <n v="8.5199999999999998E-3"/>
    <n v="132"/>
    <x v="1"/>
    <x v="11"/>
    <n v="1"/>
    <n v="1692"/>
    <n v="14.415839999999999"/>
    <n v="12.818181818181818"/>
    <s v="Jan"/>
    <x v="4"/>
    <m/>
    <m/>
  </r>
  <r>
    <n v="68852591"/>
    <x v="1"/>
    <n v="659"/>
    <d v="2026-01-31T00:00:00"/>
    <s v="KL Heath Bar 12-6PK"/>
    <x v="21"/>
    <n v="8.5199999999999998E-3"/>
    <n v="132"/>
    <x v="1"/>
    <x v="11"/>
    <n v="1"/>
    <n v="659"/>
    <n v="5.6146799999999999"/>
    <n v="4.9924242424242422"/>
    <s v="Jan"/>
    <x v="4"/>
    <m/>
    <m/>
  </r>
  <r>
    <n v="68852591"/>
    <x v="1"/>
    <n v="1238"/>
    <d v="2026-02-01T00:00:00"/>
    <s v="KL Heath Bar 12-6PK"/>
    <x v="21"/>
    <n v="8.5199999999999998E-3"/>
    <n v="132"/>
    <x v="1"/>
    <x v="11"/>
    <n v="1"/>
    <n v="1238"/>
    <n v="10.54776"/>
    <n v="9.3787878787878789"/>
    <s v="Feb"/>
    <x v="8"/>
    <m/>
    <m/>
  </r>
  <r>
    <n v="68852591"/>
    <x v="1"/>
    <n v="2244"/>
    <d v="2026-02-09T00:00:00"/>
    <s v="KL Heath Bar 12-6PK"/>
    <x v="21"/>
    <n v="8.5199999999999998E-3"/>
    <n v="132"/>
    <x v="1"/>
    <x v="11"/>
    <n v="1"/>
    <n v="2244"/>
    <n v="19.118880000000001"/>
    <n v="17"/>
    <s v="Feb"/>
    <x v="7"/>
    <m/>
    <m/>
  </r>
  <r>
    <n v="68852591"/>
    <x v="1"/>
    <n v="2712"/>
    <d v="2026-02-10T00:00:00"/>
    <s v="KL Heath Bar 12-6PK"/>
    <x v="21"/>
    <n v="8.5199999999999998E-3"/>
    <n v="132"/>
    <x v="1"/>
    <x v="11"/>
    <n v="1"/>
    <n v="2712"/>
    <n v="23.10624"/>
    <n v="20.545454545454547"/>
    <s v="Feb"/>
    <x v="7"/>
    <m/>
    <m/>
  </r>
  <r>
    <n v="68852591"/>
    <x v="1"/>
    <n v="2310"/>
    <d v="2026-02-10T00:00:00"/>
    <s v="KL Heath Bar 12-6PK"/>
    <x v="21"/>
    <n v="8.5199999999999998E-3"/>
    <n v="132"/>
    <x v="1"/>
    <x v="11"/>
    <n v="1"/>
    <n v="2310"/>
    <n v="19.6812"/>
    <n v="17.5"/>
    <s v="Feb"/>
    <x v="7"/>
    <m/>
    <m/>
  </r>
  <r>
    <n v="68852591"/>
    <x v="1"/>
    <n v="2163"/>
    <d v="2026-02-11T00:00:00"/>
    <s v="KL Heath Bar 12-6PK"/>
    <x v="21"/>
    <n v="8.5199999999999998E-3"/>
    <n v="132"/>
    <x v="1"/>
    <x v="11"/>
    <n v="1"/>
    <n v="2163"/>
    <n v="18.42876"/>
    <n v="16.386363636363637"/>
    <s v="Feb"/>
    <x v="7"/>
    <m/>
    <m/>
  </r>
  <r>
    <n v="68852591"/>
    <x v="1"/>
    <n v="1191"/>
    <d v="2026-02-11T00:00:00"/>
    <s v="KL Heath Bar 12-6PK"/>
    <x v="21"/>
    <n v="8.5199999999999998E-3"/>
    <n v="132"/>
    <x v="1"/>
    <x v="11"/>
    <n v="1"/>
    <n v="1191"/>
    <n v="10.147320000000001"/>
    <n v="9.0227272727272734"/>
    <s v="Feb"/>
    <x v="7"/>
    <m/>
    <m/>
  </r>
  <r>
    <n v="68852591"/>
    <x v="1"/>
    <n v="614"/>
    <d v="2026-02-12T00:00:00"/>
    <s v="KL Heath Bar 12-6PK"/>
    <x v="21"/>
    <n v="8.5199999999999998E-3"/>
    <n v="132"/>
    <x v="1"/>
    <x v="11"/>
    <n v="1"/>
    <n v="614"/>
    <n v="5.2312799999999999"/>
    <n v="4.6515151515151514"/>
    <s v="Feb"/>
    <x v="7"/>
    <m/>
    <m/>
  </r>
  <r>
    <n v="68860061"/>
    <x v="1"/>
    <n v="5100"/>
    <d v="2026-02-14T00:00:00"/>
    <s v="Talenti LYR Cookies and Cream 8 303.3g"/>
    <x v="9"/>
    <n v="3.552E-3"/>
    <n v="255"/>
    <x v="2"/>
    <x v="3"/>
    <n v="1"/>
    <n v="5100"/>
    <n v="18.115200000000002"/>
    <n v="20"/>
    <s v="Feb"/>
    <x v="7"/>
    <m/>
    <m/>
  </r>
  <r>
    <n v="68860061"/>
    <x v="1"/>
    <n v="5489"/>
    <d v="2026-02-15T00:00:00"/>
    <s v="Talenti LYR Cookies and Cream 8 303.3g"/>
    <x v="9"/>
    <n v="3.552E-3"/>
    <n v="255"/>
    <x v="2"/>
    <x v="3"/>
    <n v="1"/>
    <n v="5489"/>
    <n v="19.496928"/>
    <n v="21.525490196078433"/>
    <s v="Feb"/>
    <x v="5"/>
    <m/>
    <m/>
  </r>
  <r>
    <n v="68860061"/>
    <x v="1"/>
    <n v="4515"/>
    <d v="2026-02-15T00:00:00"/>
    <s v="Talenti LYR Cookies and Cream 8 303.3g"/>
    <x v="9"/>
    <n v="3.552E-3"/>
    <n v="255"/>
    <x v="2"/>
    <x v="3"/>
    <n v="1"/>
    <n v="4515"/>
    <n v="16.037279999999999"/>
    <n v="17.705882352941178"/>
    <s v="Feb"/>
    <x v="5"/>
    <m/>
    <m/>
  </r>
  <r>
    <n v="68860061"/>
    <x v="1"/>
    <n v="5672"/>
    <d v="2026-02-16T00:00:00"/>
    <s v="Talenti LYR Cookies and Cream 8 303.3g"/>
    <x v="9"/>
    <n v="3.552E-3"/>
    <n v="255"/>
    <x v="2"/>
    <x v="3"/>
    <n v="1"/>
    <n v="5672"/>
    <n v="20.146944000000001"/>
    <n v="22.24313725490196"/>
    <s v="Feb"/>
    <x v="5"/>
    <m/>
    <m/>
  </r>
  <r>
    <n v="68860061"/>
    <x v="1"/>
    <n v="4127"/>
    <d v="2026-02-16T00:00:00"/>
    <s v="Talenti LYR Cookies and Cream 8 303.3g"/>
    <x v="9"/>
    <n v="3.552E-3"/>
    <n v="255"/>
    <x v="2"/>
    <x v="3"/>
    <n v="1"/>
    <n v="4127"/>
    <n v="14.659104000000001"/>
    <n v="16.184313725490195"/>
    <s v="Feb"/>
    <x v="5"/>
    <m/>
    <m/>
  </r>
  <r>
    <n v="68860061"/>
    <x v="1"/>
    <n v="3292"/>
    <d v="2026-02-17T00:00:00"/>
    <s v="Talenti LYR Cookies and Cream 8 303.3g"/>
    <x v="9"/>
    <n v="3.552E-3"/>
    <n v="255"/>
    <x v="2"/>
    <x v="3"/>
    <n v="1"/>
    <n v="3292"/>
    <n v="11.693184"/>
    <n v="12.909803921568628"/>
    <s v="Feb"/>
    <x v="5"/>
    <m/>
    <m/>
  </r>
  <r>
    <n v="68860061"/>
    <x v="1"/>
    <n v="2659"/>
    <d v="2026-02-20T00:00:00"/>
    <s v="Talenti LYR Cookies and Cream 8 303.3g"/>
    <x v="9"/>
    <n v="3.552E-3"/>
    <n v="255"/>
    <x v="2"/>
    <x v="3"/>
    <n v="1"/>
    <n v="2659"/>
    <n v="9.4447679999999998"/>
    <n v="10.427450980392157"/>
    <s v="Feb"/>
    <x v="5"/>
    <m/>
    <m/>
  </r>
  <r>
    <n v="68860061"/>
    <x v="1"/>
    <n v="2166"/>
    <d v="2026-02-21T00:00:00"/>
    <s v="Talenti LYR Cookies and Cream 8 303.3g"/>
    <x v="9"/>
    <n v="3.552E-3"/>
    <n v="255"/>
    <x v="2"/>
    <x v="3"/>
    <n v="1"/>
    <n v="2166"/>
    <n v="7.693632"/>
    <n v="8.4941176470588236"/>
    <s v="Feb"/>
    <x v="5"/>
    <m/>
    <m/>
  </r>
  <r>
    <n v="68860061"/>
    <x v="1"/>
    <n v="3694"/>
    <d v="2026-02-21T00:00:00"/>
    <s v="Talenti LYR Cookies and Cream 8 303.3g"/>
    <x v="9"/>
    <n v="3.552E-3"/>
    <n v="255"/>
    <x v="2"/>
    <x v="3"/>
    <n v="1"/>
    <n v="3694"/>
    <n v="13.121088"/>
    <n v="14.486274509803922"/>
    <s v="Feb"/>
    <x v="5"/>
    <m/>
    <m/>
  </r>
  <r>
    <n v="68860061"/>
    <x v="1"/>
    <n v="4161"/>
    <d v="2026-02-22T00:00:00"/>
    <s v="Talenti LYR Cookies and Cream 8 303.3g"/>
    <x v="9"/>
    <n v="3.552E-3"/>
    <n v="255"/>
    <x v="2"/>
    <x v="3"/>
    <n v="1"/>
    <n v="4161"/>
    <n v="14.779872000000001"/>
    <n v="16.317647058823528"/>
    <s v="Feb"/>
    <x v="6"/>
    <m/>
    <m/>
  </r>
  <r>
    <n v="68860061"/>
    <x v="1"/>
    <n v="5411"/>
    <d v="2026-02-22T00:00:00"/>
    <s v="Talenti LYR Cookies and Cream 8 303.3g"/>
    <x v="9"/>
    <n v="3.552E-3"/>
    <n v="255"/>
    <x v="2"/>
    <x v="3"/>
    <n v="1"/>
    <n v="5411"/>
    <n v="19.219871999999999"/>
    <n v="21.219607843137254"/>
    <s v="Feb"/>
    <x v="6"/>
    <m/>
    <m/>
  </r>
  <r>
    <n v="68860061"/>
    <x v="1"/>
    <n v="1468"/>
    <d v="2026-02-14T00:00:00"/>
    <s v="Talenti LYR Cookies and Cream 8 303.3g"/>
    <x v="9"/>
    <n v="3.552E-3"/>
    <n v="255"/>
    <x v="2"/>
    <x v="3"/>
    <n v="1"/>
    <n v="1468"/>
    <n v="5.2143360000000003"/>
    <n v="5.7568627450980392"/>
    <s v="Feb"/>
    <x v="7"/>
    <m/>
    <m/>
  </r>
  <r>
    <n v="68860061"/>
    <x v="1"/>
    <n v="255"/>
    <d v="2026-02-16T00:00:00"/>
    <s v="Talenti LYR Cookies and Cream 8 303.3g"/>
    <x v="9"/>
    <n v="3.552E-3"/>
    <n v="255"/>
    <x v="2"/>
    <x v="3"/>
    <n v="1"/>
    <n v="255"/>
    <n v="0.90576000000000001"/>
    <n v="1"/>
    <s v="Feb"/>
    <x v="5"/>
    <m/>
    <m/>
  </r>
  <r>
    <n v="68860585"/>
    <x v="1"/>
    <n v="10185"/>
    <d v="2026-02-16T00:00:00"/>
    <s v="Talenti Raspberry Cheesecake 8 1PT"/>
    <x v="8"/>
    <n v="3.7839999999999996E-3"/>
    <n v="255"/>
    <x v="2"/>
    <x v="3"/>
    <n v="1"/>
    <n v="10185"/>
    <n v="38.540039999999998"/>
    <n v="39.941176470588232"/>
    <s v="Feb"/>
    <x v="5"/>
    <m/>
    <m/>
  </r>
  <r>
    <n v="68860585"/>
    <x v="1"/>
    <n v="5703"/>
    <d v="2026-02-17T00:00:00"/>
    <s v="Talenti Raspberry Cheesecake 8 1PT"/>
    <x v="8"/>
    <n v="3.7839999999999996E-3"/>
    <n v="255"/>
    <x v="2"/>
    <x v="3"/>
    <n v="1"/>
    <n v="5703"/>
    <n v="21.580151999999998"/>
    <n v="22.36470588235294"/>
    <s v="Feb"/>
    <x v="5"/>
    <m/>
    <m/>
  </r>
  <r>
    <n v="68860585"/>
    <x v="1"/>
    <n v="14790"/>
    <d v="2026-02-15T00:00:00"/>
    <s v="Talenti Raspberry Cheesecake 8 1PT"/>
    <x v="8"/>
    <n v="3.7839999999999996E-3"/>
    <n v="255"/>
    <x v="2"/>
    <x v="3"/>
    <n v="1"/>
    <n v="14790"/>
    <n v="55.965359999999997"/>
    <n v="58"/>
    <s v="Feb"/>
    <x v="5"/>
    <m/>
    <m/>
  </r>
  <r>
    <n v="68860585"/>
    <x v="1"/>
    <n v="12103"/>
    <d v="2026-02-16T00:00:00"/>
    <s v="Talenti Raspberry Cheesecake 8 1PT"/>
    <x v="8"/>
    <n v="3.7839999999999996E-3"/>
    <n v="255"/>
    <x v="2"/>
    <x v="3"/>
    <n v="1"/>
    <n v="12103"/>
    <n v="45.797751999999996"/>
    <n v="47.462745098039214"/>
    <s v="Feb"/>
    <x v="5"/>
    <m/>
    <m/>
  </r>
  <r>
    <n v="68860585"/>
    <x v="1"/>
    <n v="4035"/>
    <d v="2026-02-15T00:00:00"/>
    <s v="Talenti Raspberry Cheesecake 8 1PT"/>
    <x v="8"/>
    <n v="3.7839999999999996E-3"/>
    <n v="255"/>
    <x v="2"/>
    <x v="3"/>
    <n v="1"/>
    <n v="4035"/>
    <n v="15.268439999999998"/>
    <n v="15.823529411764707"/>
    <s v="Feb"/>
    <x v="5"/>
    <m/>
    <m/>
  </r>
  <r>
    <n v="68860657"/>
    <x v="1"/>
    <n v="17758"/>
    <d v="2026-02-10T00:00:00"/>
    <s v="Talenti Sea Salt Caramel 8 1PT"/>
    <x v="8"/>
    <n v="3.7839999999999996E-3"/>
    <n v="255"/>
    <x v="2"/>
    <x v="3"/>
    <n v="1"/>
    <n v="17758"/>
    <n v="67.196271999999993"/>
    <n v="69.639215686274511"/>
    <s v="Feb"/>
    <x v="7"/>
    <m/>
    <m/>
  </r>
  <r>
    <n v="68860657"/>
    <x v="1"/>
    <n v="17567"/>
    <d v="2026-02-11T00:00:00"/>
    <s v="Talenti Sea Salt Caramel 8 1PT"/>
    <x v="8"/>
    <n v="3.7839999999999996E-3"/>
    <n v="255"/>
    <x v="2"/>
    <x v="3"/>
    <n v="1"/>
    <n v="17567"/>
    <n v="66.473527999999988"/>
    <n v="68.890196078431373"/>
    <s v="Feb"/>
    <x v="7"/>
    <m/>
    <m/>
  </r>
  <r>
    <n v="68860657"/>
    <x v="1"/>
    <n v="5387"/>
    <d v="2026-02-11T00:00:00"/>
    <s v="Talenti Sea Salt Caramel 8 1PT"/>
    <x v="8"/>
    <n v="3.7839999999999996E-3"/>
    <n v="255"/>
    <x v="2"/>
    <x v="3"/>
    <n v="1"/>
    <n v="5387"/>
    <n v="20.384407999999997"/>
    <n v="21.125490196078431"/>
    <s v="Feb"/>
    <x v="7"/>
    <m/>
    <m/>
  </r>
  <r>
    <n v="68860657"/>
    <x v="1"/>
    <n v="8382"/>
    <d v="2026-02-10T00:00:00"/>
    <s v="Talenti Sea Salt Caramel 8 1PT"/>
    <x v="8"/>
    <n v="3.7839999999999996E-3"/>
    <n v="255"/>
    <x v="2"/>
    <x v="3"/>
    <n v="1"/>
    <n v="8382"/>
    <n v="31.717487999999996"/>
    <n v="32.870588235294115"/>
    <s v="Feb"/>
    <x v="7"/>
    <m/>
    <m/>
  </r>
  <r>
    <n v="68860659"/>
    <x v="1"/>
    <n v="7420"/>
    <d v="2026-01-28T00:00:00"/>
    <s v="Talenti Southern Butter Pecan 8 1PT"/>
    <x v="8"/>
    <n v="3.7839999999999996E-3"/>
    <n v="255"/>
    <x v="2"/>
    <x v="3"/>
    <n v="1"/>
    <n v="7420"/>
    <n v="28.077279999999998"/>
    <n v="29.098039215686274"/>
    <s v="Jan"/>
    <x v="4"/>
    <m/>
    <m/>
  </r>
  <r>
    <n v="68860659"/>
    <x v="1"/>
    <n v="16034"/>
    <d v="2026-01-29T00:00:00"/>
    <s v="Talenti Southern Butter Pecan 8 1PT"/>
    <x v="8"/>
    <n v="3.7839999999999996E-3"/>
    <n v="255"/>
    <x v="2"/>
    <x v="3"/>
    <n v="1"/>
    <n v="16034"/>
    <n v="60.672655999999996"/>
    <n v="62.878431372549016"/>
    <s v="Jan"/>
    <x v="4"/>
    <m/>
    <m/>
  </r>
  <r>
    <n v="68860659"/>
    <x v="1"/>
    <n v="13537"/>
    <d v="2026-01-29T00:00:00"/>
    <s v="Talenti Southern Butter Pecan 8 1PT"/>
    <x v="8"/>
    <n v="3.7839999999999996E-3"/>
    <n v="255"/>
    <x v="2"/>
    <x v="3"/>
    <n v="1"/>
    <n v="13537"/>
    <n v="51.224007999999998"/>
    <n v="53.086274509803921"/>
    <s v="Jan"/>
    <x v="4"/>
    <m/>
    <m/>
  </r>
  <r>
    <n v="68860659"/>
    <x v="1"/>
    <n v="10401"/>
    <d v="2026-01-30T00:00:00"/>
    <s v="Talenti Southern Butter Pecan 8 1PT"/>
    <x v="8"/>
    <n v="3.7839999999999996E-3"/>
    <n v="255"/>
    <x v="2"/>
    <x v="3"/>
    <n v="1"/>
    <n v="10401"/>
    <n v="39.357383999999996"/>
    <n v="40.788235294117648"/>
    <s v="Jan"/>
    <x v="4"/>
    <m/>
    <m/>
  </r>
  <r>
    <n v="68860662"/>
    <x v="1"/>
    <n v="10601"/>
    <d v="2026-02-21T00:00:00"/>
    <s v="Talenti Vanilla Bean 8 1PT"/>
    <x v="8"/>
    <n v="3.7839999999999996E-3"/>
    <n v="255"/>
    <x v="2"/>
    <x v="3"/>
    <n v="1"/>
    <n v="10601"/>
    <n v="40.114183999999995"/>
    <n v="41.572549019607841"/>
    <s v="Feb"/>
    <x v="5"/>
    <m/>
    <m/>
  </r>
  <r>
    <n v="68860662"/>
    <x v="1"/>
    <n v="10065"/>
    <d v="2026-02-22T00:00:00"/>
    <s v="Talenti Vanilla Bean 8 1PT"/>
    <x v="8"/>
    <n v="3.7839999999999996E-3"/>
    <n v="255"/>
    <x v="2"/>
    <x v="3"/>
    <n v="1"/>
    <n v="10065"/>
    <n v="38.085959999999993"/>
    <n v="39.470588235294116"/>
    <s v="Feb"/>
    <x v="6"/>
    <m/>
    <m/>
  </r>
  <r>
    <n v="68860662"/>
    <x v="1"/>
    <n v="15292"/>
    <d v="2026-02-22T00:00:00"/>
    <s v="Talenti Vanilla Bean 8 1PT"/>
    <x v="8"/>
    <n v="3.7839999999999996E-3"/>
    <n v="255"/>
    <x v="2"/>
    <x v="3"/>
    <n v="1"/>
    <n v="15292"/>
    <n v="57.864927999999992"/>
    <n v="59.968627450980392"/>
    <s v="Feb"/>
    <x v="6"/>
    <m/>
    <m/>
  </r>
  <r>
    <n v="68860662"/>
    <x v="1"/>
    <n v="8551"/>
    <d v="2026-01-28T00:00:00"/>
    <s v="Talenti Vanilla Bean 8 1PT"/>
    <x v="8"/>
    <n v="3.7839999999999996E-3"/>
    <n v="255"/>
    <x v="2"/>
    <x v="3"/>
    <n v="1"/>
    <n v="8551"/>
    <n v="32.356983999999997"/>
    <n v="33.533333333333331"/>
    <s v="Jan"/>
    <x v="4"/>
    <m/>
    <m/>
  </r>
  <r>
    <n v="68860662"/>
    <x v="1"/>
    <n v="6090"/>
    <d v="2026-02-20T00:00:00"/>
    <s v="Talenti Vanilla Bean 8 1PT"/>
    <x v="8"/>
    <n v="3.7839999999999996E-3"/>
    <n v="255"/>
    <x v="2"/>
    <x v="3"/>
    <n v="1"/>
    <n v="6090"/>
    <n v="23.044559999999997"/>
    <n v="23.882352941176471"/>
    <s v="Feb"/>
    <x v="5"/>
    <m/>
    <m/>
  </r>
  <r>
    <n v="68860662"/>
    <x v="1"/>
    <n v="4776"/>
    <d v="2026-02-21T00:00:00"/>
    <s v="Talenti Vanilla Bean 8 1PT"/>
    <x v="8"/>
    <n v="3.7839999999999996E-3"/>
    <n v="255"/>
    <x v="2"/>
    <x v="3"/>
    <n v="1"/>
    <n v="4776"/>
    <n v="18.072384"/>
    <n v="18.729411764705883"/>
    <s v="Feb"/>
    <x v="5"/>
    <m/>
    <m/>
  </r>
  <r>
    <n v="68860663"/>
    <x v="1"/>
    <n v="9180"/>
    <d v="2026-02-10T00:00:00"/>
    <s v="Talenti Vanilla Caramel Swirl 8 1PT"/>
    <x v="9"/>
    <n v="3.7839999999999996E-3"/>
    <n v="255"/>
    <x v="2"/>
    <x v="3"/>
    <n v="1"/>
    <n v="9180"/>
    <n v="34.737119999999997"/>
    <n v="36"/>
    <s v="Feb"/>
    <x v="7"/>
    <m/>
    <m/>
  </r>
  <r>
    <n v="68860663"/>
    <x v="1"/>
    <n v="7139"/>
    <d v="2026-02-11T00:00:00"/>
    <s v="Talenti Vanilla Caramel Swirl 8 1PT"/>
    <x v="9"/>
    <n v="3.7839999999999996E-3"/>
    <n v="255"/>
    <x v="2"/>
    <x v="3"/>
    <n v="1"/>
    <n v="7139"/>
    <n v="27.013975999999996"/>
    <n v="27.996078431372549"/>
    <s v="Feb"/>
    <x v="7"/>
    <m/>
    <m/>
  </r>
  <r>
    <n v="68860663"/>
    <x v="1"/>
    <n v="5100"/>
    <d v="2026-02-10T00:00:00"/>
    <s v="Talenti Vanilla Caramel Swirl 8 1PT"/>
    <x v="9"/>
    <n v="3.7839999999999996E-3"/>
    <n v="255"/>
    <x v="2"/>
    <x v="3"/>
    <n v="1"/>
    <n v="5100"/>
    <n v="19.298399999999997"/>
    <n v="20"/>
    <s v="Feb"/>
    <x v="7"/>
    <m/>
    <m/>
  </r>
  <r>
    <n v="68860671"/>
    <x v="1"/>
    <n v="680"/>
    <d v="2026-02-03T00:00:00"/>
    <s v="Talenti CHOC Chip Cookie Dough 8 1PT"/>
    <x v="9"/>
    <n v="3.7839999999999996E-3"/>
    <n v="255"/>
    <x v="2"/>
    <x v="3"/>
    <n v="1"/>
    <n v="680"/>
    <n v="2.5731199999999999"/>
    <n v="2.6666666666666665"/>
    <s v="Feb"/>
    <x v="8"/>
    <m/>
    <m/>
  </r>
  <r>
    <n v="68860671"/>
    <x v="1"/>
    <n v="5707"/>
    <d v="2026-02-04T00:00:00"/>
    <s v="Talenti CHOC Chip Cookie Dough 8 1PT"/>
    <x v="9"/>
    <n v="3.7839999999999996E-3"/>
    <n v="255"/>
    <x v="2"/>
    <x v="3"/>
    <n v="1"/>
    <n v="5707"/>
    <n v="21.595287999999996"/>
    <n v="22.380392156862744"/>
    <s v="Feb"/>
    <x v="8"/>
    <m/>
    <m/>
  </r>
  <r>
    <n v="68860671"/>
    <x v="1"/>
    <n v="2521"/>
    <d v="2026-02-04T00:00:00"/>
    <s v="Talenti CHOC Chip Cookie Dough 8 1PT"/>
    <x v="9"/>
    <n v="3.7839999999999996E-3"/>
    <n v="255"/>
    <x v="2"/>
    <x v="3"/>
    <n v="1"/>
    <n v="2521"/>
    <n v="9.5394639999999988"/>
    <n v="9.886274509803922"/>
    <s v="Feb"/>
    <x v="8"/>
    <m/>
    <m/>
  </r>
  <r>
    <n v="68860671"/>
    <x v="1"/>
    <n v="7634"/>
    <d v="2026-02-05T00:00:00"/>
    <s v="Talenti CHOC Chip Cookie Dough 8 1PT"/>
    <x v="9"/>
    <n v="3.7839999999999996E-3"/>
    <n v="255"/>
    <x v="2"/>
    <x v="3"/>
    <n v="1"/>
    <n v="7634"/>
    <n v="28.887055999999998"/>
    <n v="29.937254901960785"/>
    <s v="Feb"/>
    <x v="8"/>
    <m/>
    <m/>
  </r>
  <r>
    <n v="68860671"/>
    <x v="1"/>
    <n v="4043"/>
    <d v="2026-02-05T00:00:00"/>
    <s v="Talenti CHOC Chip Cookie Dough 8 1PT"/>
    <x v="9"/>
    <n v="3.7839999999999996E-3"/>
    <n v="255"/>
    <x v="2"/>
    <x v="3"/>
    <n v="1"/>
    <n v="4043"/>
    <n v="15.298711999999998"/>
    <n v="15.854901960784314"/>
    <s v="Feb"/>
    <x v="8"/>
    <m/>
    <m/>
  </r>
  <r>
    <n v="68860671"/>
    <x v="1"/>
    <n v="8925"/>
    <d v="2026-02-06T00:00:00"/>
    <s v="Talenti CHOC Chip Cookie Dough 8 1PT"/>
    <x v="9"/>
    <n v="3.7839999999999996E-3"/>
    <n v="255"/>
    <x v="2"/>
    <x v="3"/>
    <n v="1"/>
    <n v="8925"/>
    <n v="33.772199999999998"/>
    <n v="35"/>
    <s v="Feb"/>
    <x v="8"/>
    <m/>
    <m/>
  </r>
  <r>
    <n v="68860671"/>
    <x v="1"/>
    <n v="-255"/>
    <d v="2026-02-20T00:00:00"/>
    <s v="Talenti CHOC Chip Cookie Dough 8 1PT"/>
    <x v="9"/>
    <n v="3.7839999999999996E-3"/>
    <n v="255"/>
    <x v="2"/>
    <x v="3"/>
    <n v="1"/>
    <n v="-255"/>
    <n v="-0.96491999999999989"/>
    <n v="-1"/>
    <s v="Feb"/>
    <x v="5"/>
    <m/>
    <m/>
  </r>
  <r>
    <n v="68860671"/>
    <x v="1"/>
    <n v="3217"/>
    <d v="2026-02-06T00:00:00"/>
    <s v="Talenti CHOC Chip Cookie Dough 8 1PT"/>
    <x v="9"/>
    <n v="3.7839999999999996E-3"/>
    <n v="255"/>
    <x v="2"/>
    <x v="3"/>
    <n v="1"/>
    <n v="3217"/>
    <n v="12.173127999999998"/>
    <n v="12.615686274509804"/>
    <s v="Feb"/>
    <x v="8"/>
    <m/>
    <m/>
  </r>
  <r>
    <n v="68860671"/>
    <x v="1"/>
    <n v="49"/>
    <d v="2026-02-07T00:00:00"/>
    <s v="Talenti CHOC Chip Cookie Dough 8 1PT"/>
    <x v="9"/>
    <n v="3.7839999999999996E-3"/>
    <n v="255"/>
    <x v="2"/>
    <x v="3"/>
    <n v="1"/>
    <n v="49"/>
    <n v="0.18541599999999997"/>
    <n v="0.19215686274509805"/>
    <s v="Feb"/>
    <x v="8"/>
    <m/>
    <m/>
  </r>
  <r>
    <n v="68860671"/>
    <x v="1"/>
    <n v="510"/>
    <d v="2026-02-09T00:00:00"/>
    <s v="Talenti CHOC Chip Cookie Dough 8 1PT"/>
    <x v="9"/>
    <n v="3.7839999999999996E-3"/>
    <n v="255"/>
    <x v="2"/>
    <x v="3"/>
    <n v="1"/>
    <n v="510"/>
    <n v="1.9298399999999998"/>
    <n v="2"/>
    <s v="Feb"/>
    <x v="7"/>
    <m/>
    <m/>
  </r>
  <r>
    <n v="68862399"/>
    <x v="1"/>
    <n v="15530"/>
    <d v="2026-02-13T00:00:00"/>
    <s v="Talenti Cold Brew Coffee Sorbetto 8 1PT"/>
    <x v="8"/>
    <n v="3.7839999999999996E-3"/>
    <n v="255"/>
    <x v="2"/>
    <x v="3"/>
    <n v="1"/>
    <n v="15530"/>
    <n v="58.765519999999995"/>
    <n v="60.901960784313722"/>
    <s v="Feb"/>
    <x v="7"/>
    <m/>
    <m/>
  </r>
  <r>
    <n v="68862399"/>
    <x v="1"/>
    <n v="14445"/>
    <d v="2026-02-12T00:00:00"/>
    <s v="Talenti Cold Brew Coffee Sorbetto 8 1PT"/>
    <x v="8"/>
    <n v="3.7839999999999996E-3"/>
    <n v="255"/>
    <x v="2"/>
    <x v="3"/>
    <n v="1"/>
    <n v="14445"/>
    <n v="54.659879999999994"/>
    <n v="56.647058823529413"/>
    <s v="Feb"/>
    <x v="7"/>
    <m/>
    <m/>
  </r>
  <r>
    <n v="68862399"/>
    <x v="1"/>
    <n v="17403"/>
    <d v="2026-02-13T00:00:00"/>
    <s v="Talenti Cold Brew Coffee Sorbetto 8 1PT"/>
    <x v="8"/>
    <n v="3.7839999999999996E-3"/>
    <n v="255"/>
    <x v="2"/>
    <x v="3"/>
    <n v="1"/>
    <n v="17403"/>
    <n v="65.852951999999988"/>
    <n v="68.247058823529414"/>
    <s v="Feb"/>
    <x v="7"/>
    <m/>
    <m/>
  </r>
  <r>
    <n v="68862399"/>
    <x v="1"/>
    <n v="1020"/>
    <d v="2026-02-11T00:00:00"/>
    <s v="Talenti Cold Brew Coffee Sorbetto 8 1PT"/>
    <x v="8"/>
    <n v="3.7839999999999996E-3"/>
    <n v="255"/>
    <x v="2"/>
    <x v="3"/>
    <n v="1"/>
    <n v="1020"/>
    <n v="3.8596799999999996"/>
    <n v="4"/>
    <s v="Feb"/>
    <x v="7"/>
    <m/>
    <m/>
  </r>
  <r>
    <n v="68862399"/>
    <x v="1"/>
    <n v="17769"/>
    <d v="2026-02-12T00:00:00"/>
    <s v="Talenti Cold Brew Coffee Sorbetto 8 1PT"/>
    <x v="8"/>
    <n v="3.7839999999999996E-3"/>
    <n v="255"/>
    <x v="2"/>
    <x v="3"/>
    <n v="1"/>
    <n v="17769"/>
    <n v="67.237895999999992"/>
    <n v="69.682352941176475"/>
    <s v="Feb"/>
    <x v="7"/>
    <m/>
    <m/>
  </r>
  <r>
    <n v="68862402"/>
    <x v="1"/>
    <n v="3757"/>
    <d v="2026-01-31T00:00:00"/>
    <s v="Talenti Double Dark Chocolate 8 1PT"/>
    <x v="8"/>
    <n v="3.7839999999999996E-3"/>
    <n v="255"/>
    <x v="2"/>
    <x v="3"/>
    <n v="1"/>
    <n v="3757"/>
    <n v="14.216487999999998"/>
    <n v="14.733333333333333"/>
    <s v="Jan"/>
    <x v="4"/>
    <m/>
    <m/>
  </r>
  <r>
    <n v="68862402"/>
    <x v="1"/>
    <n v="13863"/>
    <d v="2026-01-31T00:00:00"/>
    <s v="Talenti Double Dark Chocolate 8 1PT"/>
    <x v="8"/>
    <n v="3.7839999999999996E-3"/>
    <n v="255"/>
    <x v="2"/>
    <x v="3"/>
    <n v="1"/>
    <n v="13863"/>
    <n v="52.457591999999991"/>
    <n v="54.364705882352943"/>
    <s v="Jan"/>
    <x v="4"/>
    <m/>
    <m/>
  </r>
  <r>
    <n v="68862402"/>
    <x v="1"/>
    <n v="4553"/>
    <d v="2026-02-01T00:00:00"/>
    <s v="Talenti Double Dark Chocolate 8 1PT"/>
    <x v="8"/>
    <n v="3.7839999999999996E-3"/>
    <n v="255"/>
    <x v="2"/>
    <x v="3"/>
    <n v="1"/>
    <n v="4553"/>
    <n v="17.228551999999997"/>
    <n v="17.854901960784314"/>
    <s v="Feb"/>
    <x v="8"/>
    <m/>
    <m/>
  </r>
  <r>
    <n v="68862402"/>
    <x v="1"/>
    <n v="-255"/>
    <d v="2026-02-06T00:00:00"/>
    <s v="Talenti Double Dark Chocolate 8 1PT"/>
    <x v="8"/>
    <n v="3.7839999999999996E-3"/>
    <n v="255"/>
    <x v="2"/>
    <x v="3"/>
    <n v="1"/>
    <n v="-255"/>
    <n v="-0.96491999999999989"/>
    <n v="-1"/>
    <s v="Feb"/>
    <x v="8"/>
    <m/>
    <m/>
  </r>
  <r>
    <n v="68862402"/>
    <x v="1"/>
    <n v="16938"/>
    <d v="2026-02-01T00:00:00"/>
    <s v="Talenti Double Dark Chocolate 8 1PT"/>
    <x v="8"/>
    <n v="3.7839999999999996E-3"/>
    <n v="255"/>
    <x v="2"/>
    <x v="3"/>
    <n v="1"/>
    <n v="16938"/>
    <n v="64.093391999999994"/>
    <n v="66.423529411764704"/>
    <s v="Feb"/>
    <x v="8"/>
    <m/>
    <m/>
  </r>
  <r>
    <n v="68862402"/>
    <x v="1"/>
    <n v="7782"/>
    <d v="2026-02-02T00:00:00"/>
    <s v="Talenti Double Dark Chocolate 8 1PT"/>
    <x v="8"/>
    <n v="3.7839999999999996E-3"/>
    <n v="255"/>
    <x v="2"/>
    <x v="3"/>
    <n v="1"/>
    <n v="7782"/>
    <n v="29.447087999999997"/>
    <n v="30.517647058823531"/>
    <s v="Feb"/>
    <x v="8"/>
    <m/>
    <m/>
  </r>
  <r>
    <n v="68862402"/>
    <x v="1"/>
    <n v="8680"/>
    <d v="2026-02-02T00:00:00"/>
    <s v="Talenti Double Dark Chocolate 8 1PT"/>
    <x v="8"/>
    <n v="3.7839999999999996E-3"/>
    <n v="255"/>
    <x v="2"/>
    <x v="3"/>
    <n v="1"/>
    <n v="8680"/>
    <n v="32.845119999999994"/>
    <n v="34.03921568627451"/>
    <s v="Feb"/>
    <x v="8"/>
    <m/>
    <m/>
  </r>
  <r>
    <n v="68862402"/>
    <x v="1"/>
    <n v="4132"/>
    <d v="2026-02-03T00:00:00"/>
    <s v="Talenti Double Dark Chocolate 8 1PT"/>
    <x v="8"/>
    <n v="3.7839999999999996E-3"/>
    <n v="255"/>
    <x v="2"/>
    <x v="3"/>
    <n v="1"/>
    <n v="4132"/>
    <n v="15.635487999999999"/>
    <n v="16.20392156862745"/>
    <s v="Feb"/>
    <x v="8"/>
    <m/>
    <m/>
  </r>
  <r>
    <n v="68862402"/>
    <x v="1"/>
    <n v="10145"/>
    <d v="2026-02-03T00:00:00"/>
    <s v="Talenti Double Dark Chocolate 8 1PT"/>
    <x v="8"/>
    <n v="3.7839999999999996E-3"/>
    <n v="255"/>
    <x v="2"/>
    <x v="3"/>
    <n v="1"/>
    <n v="10145"/>
    <n v="38.388679999999994"/>
    <n v="39.784313725490193"/>
    <s v="Feb"/>
    <x v="8"/>
    <m/>
    <m/>
  </r>
  <r>
    <n v="68862402"/>
    <x v="1"/>
    <n v="4436"/>
    <d v="2026-02-04T00:00:00"/>
    <s v="Talenti Double Dark Chocolate 8 1PT"/>
    <x v="8"/>
    <n v="3.7839999999999996E-3"/>
    <n v="255"/>
    <x v="2"/>
    <x v="3"/>
    <n v="1"/>
    <n v="4436"/>
    <n v="16.785823999999998"/>
    <n v="17.396078431372548"/>
    <s v="Feb"/>
    <x v="8"/>
    <m/>
    <m/>
  </r>
  <r>
    <n v="68862402"/>
    <x v="1"/>
    <n v="10388"/>
    <d v="2026-02-04T00:00:00"/>
    <s v="Talenti Double Dark Chocolate 8 1PT"/>
    <x v="8"/>
    <n v="3.7839999999999996E-3"/>
    <n v="255"/>
    <x v="2"/>
    <x v="3"/>
    <n v="1"/>
    <n v="10388"/>
    <n v="39.308191999999998"/>
    <n v="40.737254901960782"/>
    <s v="Feb"/>
    <x v="8"/>
    <m/>
    <m/>
  </r>
  <r>
    <n v="68862402"/>
    <x v="1"/>
    <n v="7306"/>
    <d v="2026-02-05T00:00:00"/>
    <s v="Talenti Double Dark Chocolate 8 1PT"/>
    <x v="8"/>
    <n v="3.7839999999999996E-3"/>
    <n v="255"/>
    <x v="2"/>
    <x v="3"/>
    <n v="1"/>
    <n v="7306"/>
    <n v="27.645903999999998"/>
    <n v="28.650980392156864"/>
    <s v="Feb"/>
    <x v="8"/>
    <m/>
    <m/>
  </r>
  <r>
    <n v="68862511"/>
    <x v="1"/>
    <n v="12388"/>
    <d v="2026-02-14T00:00:00"/>
    <s v="Talenti Belgian Chocolate 8 1PT"/>
    <x v="8"/>
    <n v="3.7839999999999996E-3"/>
    <n v="255"/>
    <x v="2"/>
    <x v="3"/>
    <n v="1"/>
    <n v="12388"/>
    <n v="46.876191999999996"/>
    <n v="48.580392156862743"/>
    <s v="Feb"/>
    <x v="7"/>
    <m/>
    <m/>
  </r>
  <r>
    <n v="68862511"/>
    <x v="1"/>
    <n v="1100"/>
    <d v="2026-02-15T00:00:00"/>
    <s v="Talenti Belgian Chocolate 8 1PT"/>
    <x v="8"/>
    <n v="3.7839999999999996E-3"/>
    <n v="255"/>
    <x v="2"/>
    <x v="3"/>
    <n v="1"/>
    <n v="1100"/>
    <n v="4.1623999999999999"/>
    <n v="4.3137254901960782"/>
    <s v="Feb"/>
    <x v="5"/>
    <m/>
    <m/>
  </r>
  <r>
    <n v="68862511"/>
    <x v="1"/>
    <n v="510"/>
    <d v="2026-02-16T00:00:00"/>
    <s v="Talenti Belgian Chocolate 8 1PT"/>
    <x v="8"/>
    <n v="3.7839999999999996E-3"/>
    <n v="255"/>
    <x v="2"/>
    <x v="3"/>
    <n v="1"/>
    <n v="510"/>
    <n v="1.9298399999999998"/>
    <n v="2"/>
    <s v="Feb"/>
    <x v="5"/>
    <m/>
    <m/>
  </r>
  <r>
    <n v="68862511"/>
    <x v="1"/>
    <n v="510"/>
    <d v="2026-02-17T00:00:00"/>
    <s v="Talenti Belgian Chocolate 8 1PT"/>
    <x v="8"/>
    <n v="3.7839999999999996E-3"/>
    <n v="255"/>
    <x v="2"/>
    <x v="3"/>
    <n v="1"/>
    <n v="510"/>
    <n v="1.9298399999999998"/>
    <n v="2"/>
    <s v="Feb"/>
    <x v="5"/>
    <m/>
    <m/>
  </r>
  <r>
    <n v="68862511"/>
    <x v="1"/>
    <n v="15967"/>
    <d v="2026-02-14T00:00:00"/>
    <s v="Talenti Belgian Chocolate 8 1PT"/>
    <x v="8"/>
    <n v="3.7839999999999996E-3"/>
    <n v="255"/>
    <x v="2"/>
    <x v="3"/>
    <n v="1"/>
    <n v="15967"/>
    <n v="60.419127999999994"/>
    <n v="62.615686274509805"/>
    <s v="Feb"/>
    <x v="7"/>
    <m/>
    <m/>
  </r>
  <r>
    <n v="68867744"/>
    <x v="1"/>
    <n v="4005"/>
    <d v="2026-02-07T00:00:00"/>
    <s v="Talenti LY Vanilla Fudge Cookie 8 303.3g"/>
    <x v="9"/>
    <n v="3.552E-3"/>
    <n v="255"/>
    <x v="2"/>
    <x v="3"/>
    <n v="1"/>
    <n v="4005"/>
    <n v="14.225759999999999"/>
    <n v="15.705882352941176"/>
    <s v="Feb"/>
    <x v="8"/>
    <m/>
    <m/>
  </r>
  <r>
    <n v="68867744"/>
    <x v="1"/>
    <n v="255"/>
    <d v="2026-02-09T00:00:00"/>
    <s v="Talenti LY Vanilla Fudge Cookie 8 303.3g"/>
    <x v="9"/>
    <n v="3.552E-3"/>
    <n v="255"/>
    <x v="2"/>
    <x v="3"/>
    <n v="1"/>
    <n v="255"/>
    <n v="0.90576000000000001"/>
    <n v="1"/>
    <s v="Feb"/>
    <x v="7"/>
    <m/>
    <m/>
  </r>
  <r>
    <n v="68867744"/>
    <x v="1"/>
    <n v="7992"/>
    <d v="2026-02-07T00:00:00"/>
    <s v="Talenti LY Vanilla Fudge Cookie 8 303.3g"/>
    <x v="9"/>
    <n v="3.552E-3"/>
    <n v="255"/>
    <x v="2"/>
    <x v="3"/>
    <n v="1"/>
    <n v="7992"/>
    <n v="28.387584"/>
    <n v="31.341176470588234"/>
    <s v="Feb"/>
    <x v="8"/>
    <m/>
    <m/>
  </r>
  <r>
    <n v="68867744"/>
    <x v="1"/>
    <n v="7938"/>
    <d v="2026-02-08T00:00:00"/>
    <s v="Talenti LY Vanilla Fudge Cookie 8 303.3g"/>
    <x v="9"/>
    <n v="3.552E-3"/>
    <n v="255"/>
    <x v="2"/>
    <x v="3"/>
    <n v="1"/>
    <n v="7938"/>
    <n v="28.195775999999999"/>
    <n v="31.129411764705882"/>
    <s v="Feb"/>
    <x v="7"/>
    <m/>
    <m/>
  </r>
  <r>
    <n v="68867744"/>
    <x v="1"/>
    <n v="256"/>
    <d v="2026-02-09T00:00:00"/>
    <s v="Talenti LY Vanilla Fudge Cookie 8 303.3g"/>
    <x v="9"/>
    <n v="3.552E-3"/>
    <n v="255"/>
    <x v="2"/>
    <x v="3"/>
    <n v="1"/>
    <n v="256"/>
    <n v="0.90931200000000001"/>
    <n v="1.003921568627451"/>
    <s v="Feb"/>
    <x v="7"/>
    <m/>
    <m/>
  </r>
  <r>
    <n v="68867744"/>
    <x v="1"/>
    <n v="8512"/>
    <d v="2026-02-08T00:00:00"/>
    <s v="Talenti LY Vanilla Fudge Cookie 8 303.3g"/>
    <x v="9"/>
    <n v="3.552E-3"/>
    <n v="255"/>
    <x v="2"/>
    <x v="3"/>
    <n v="1"/>
    <n v="8512"/>
    <n v="30.234624"/>
    <n v="33.380392156862747"/>
    <s v="Feb"/>
    <x v="7"/>
    <m/>
    <m/>
  </r>
  <r>
    <n v="68867744"/>
    <x v="1"/>
    <n v="4173"/>
    <d v="2026-02-09T00:00:00"/>
    <s v="Talenti LY Vanilla Fudge Cookie 8 303.3g"/>
    <x v="9"/>
    <n v="3.552E-3"/>
    <n v="255"/>
    <x v="2"/>
    <x v="3"/>
    <n v="1"/>
    <n v="4173"/>
    <n v="14.822496000000001"/>
    <n v="16.36470588235294"/>
    <s v="Feb"/>
    <x v="7"/>
    <m/>
    <m/>
  </r>
  <r>
    <n v="68867755"/>
    <x v="1"/>
    <n v="4592"/>
    <d v="2026-01-29T00:00:00"/>
    <s v="Talenti LY Salted CAR Truffle 8 323.1g"/>
    <x v="9"/>
    <n v="3.552E-3"/>
    <n v="255"/>
    <x v="2"/>
    <x v="3"/>
    <n v="1"/>
    <n v="4592"/>
    <n v="16.310784000000002"/>
    <n v="18.007843137254902"/>
    <s v="Jan"/>
    <x v="4"/>
    <m/>
    <m/>
  </r>
  <r>
    <n v="68867755"/>
    <x v="1"/>
    <n v="8174"/>
    <d v="2026-01-30T00:00:00"/>
    <s v="Talenti LY Salted CAR Truffle 8 323.1g"/>
    <x v="9"/>
    <n v="3.552E-3"/>
    <n v="255"/>
    <x v="2"/>
    <x v="3"/>
    <n v="1"/>
    <n v="8174"/>
    <n v="29.034047999999999"/>
    <n v="32.054901960784314"/>
    <s v="Jan"/>
    <x v="4"/>
    <m/>
    <m/>
  </r>
  <r>
    <n v="68867755"/>
    <x v="1"/>
    <n v="8415"/>
    <d v="2026-01-30T00:00:00"/>
    <s v="Talenti LY Salted CAR Truffle 8 323.1g"/>
    <x v="9"/>
    <n v="3.552E-3"/>
    <n v="255"/>
    <x v="2"/>
    <x v="3"/>
    <n v="1"/>
    <n v="8415"/>
    <n v="29.890080000000001"/>
    <n v="33"/>
    <s v="Jan"/>
    <x v="4"/>
    <m/>
    <m/>
  </r>
  <r>
    <n v="68867755"/>
    <x v="1"/>
    <n v="3661"/>
    <d v="2026-01-31T00:00:00"/>
    <s v="Talenti LY Salted CAR Truffle 8 323.1g"/>
    <x v="9"/>
    <n v="3.552E-3"/>
    <n v="255"/>
    <x v="2"/>
    <x v="3"/>
    <n v="1"/>
    <n v="3661"/>
    <n v="13.003871999999999"/>
    <n v="14.35686274509804"/>
    <s v="Jan"/>
    <x v="4"/>
    <m/>
    <m/>
  </r>
  <r>
    <n v="68867755"/>
    <x v="1"/>
    <n v="2040"/>
    <d v="2026-02-02T00:00:00"/>
    <s v="Talenti LY Salted CAR Truffle 8 323.1g"/>
    <x v="9"/>
    <n v="3.552E-3"/>
    <n v="255"/>
    <x v="2"/>
    <x v="3"/>
    <n v="1"/>
    <n v="2040"/>
    <n v="7.2460800000000001"/>
    <n v="8"/>
    <s v="Feb"/>
    <x v="8"/>
    <m/>
    <m/>
  </r>
  <r>
    <n v="68867755"/>
    <x v="1"/>
    <n v="2008"/>
    <d v="2026-02-17T00:00:00"/>
    <s v="Talenti LY Salted CAR Truffle 8 323.1g"/>
    <x v="9"/>
    <n v="3.552E-3"/>
    <n v="255"/>
    <x v="2"/>
    <x v="3"/>
    <n v="1"/>
    <n v="2008"/>
    <n v="7.1324160000000001"/>
    <n v="7.8745098039215682"/>
    <s v="Feb"/>
    <x v="5"/>
    <m/>
    <m/>
  </r>
  <r>
    <n v="68867755"/>
    <x v="1"/>
    <n v="3532"/>
    <d v="2026-02-18T00:00:00"/>
    <s v="Talenti LY Salted CAR Truffle 8 323.1g"/>
    <x v="9"/>
    <n v="3.552E-3"/>
    <n v="255"/>
    <x v="2"/>
    <x v="3"/>
    <n v="1"/>
    <n v="3532"/>
    <n v="12.545664"/>
    <n v="13.850980392156863"/>
    <s v="Feb"/>
    <x v="5"/>
    <m/>
    <m/>
  </r>
  <r>
    <n v="68867755"/>
    <x v="1"/>
    <n v="6885"/>
    <d v="2026-02-18T00:00:00"/>
    <s v="Talenti LY Salted CAR Truffle 8 323.1g"/>
    <x v="9"/>
    <n v="3.552E-3"/>
    <n v="255"/>
    <x v="2"/>
    <x v="3"/>
    <n v="1"/>
    <n v="6885"/>
    <n v="24.45552"/>
    <n v="27"/>
    <s v="Feb"/>
    <x v="5"/>
    <m/>
    <m/>
  </r>
  <r>
    <n v="68867755"/>
    <x v="1"/>
    <n v="9690"/>
    <d v="2026-02-19T00:00:00"/>
    <s v="Talenti LY Salted CAR Truffle 8 323.1g"/>
    <x v="9"/>
    <n v="3.552E-3"/>
    <n v="255"/>
    <x v="2"/>
    <x v="3"/>
    <n v="1"/>
    <n v="9690"/>
    <n v="34.418880000000001"/>
    <n v="38"/>
    <s v="Feb"/>
    <x v="5"/>
    <m/>
    <m/>
  </r>
  <r>
    <n v="68867755"/>
    <x v="1"/>
    <n v="7886"/>
    <d v="2026-02-19T00:00:00"/>
    <s v="Talenti LY Salted CAR Truffle 8 323.1g"/>
    <x v="9"/>
    <n v="3.552E-3"/>
    <n v="255"/>
    <x v="2"/>
    <x v="3"/>
    <n v="1"/>
    <n v="7886"/>
    <n v="28.011071999999999"/>
    <n v="30.925490196078432"/>
    <s v="Feb"/>
    <x v="5"/>
    <m/>
    <m/>
  </r>
  <r>
    <n v="68867755"/>
    <x v="1"/>
    <n v="841"/>
    <d v="2026-02-20T00:00:00"/>
    <s v="Talenti LY Salted CAR Truffle 8 323.1g"/>
    <x v="9"/>
    <n v="3.552E-3"/>
    <n v="255"/>
    <x v="2"/>
    <x v="3"/>
    <n v="1"/>
    <n v="841"/>
    <n v="2.9872320000000001"/>
    <n v="3.2980392156862743"/>
    <s v="Feb"/>
    <x v="5"/>
    <m/>
    <m/>
  </r>
  <r>
    <n v="68867755"/>
    <x v="1"/>
    <n v="1275"/>
    <d v="2026-01-28T00:00:00"/>
    <s v="Talenti LY Salted CAR Truffle 8 323.1g"/>
    <x v="9"/>
    <n v="3.552E-3"/>
    <n v="255"/>
    <x v="2"/>
    <x v="3"/>
    <n v="1"/>
    <n v="1275"/>
    <n v="4.5288000000000004"/>
    <n v="5"/>
    <s v="Jan"/>
    <x v="4"/>
    <m/>
    <m/>
  </r>
  <r>
    <n v="68867755"/>
    <x v="1"/>
    <n v="6798"/>
    <d v="2026-01-29T00:00:00"/>
    <s v="Talenti LY Salted CAR Truffle 8 323.1g"/>
    <x v="9"/>
    <n v="3.552E-3"/>
    <n v="255"/>
    <x v="2"/>
    <x v="3"/>
    <n v="1"/>
    <n v="6798"/>
    <n v="24.146495999999999"/>
    <n v="26.658823529411766"/>
    <s v="Jan"/>
    <x v="4"/>
    <m/>
    <m/>
  </r>
  <r>
    <n v="68867755"/>
    <x v="1"/>
    <n v="-88"/>
    <d v="2026-01-30T00:00:00"/>
    <s v="Talenti LY Salted CAR Truffle 8 323.1g"/>
    <x v="9"/>
    <n v="3.552E-3"/>
    <n v="255"/>
    <x v="2"/>
    <x v="3"/>
    <n v="1"/>
    <n v="-88"/>
    <n v="-0.31257600000000002"/>
    <n v="-0.34509803921568627"/>
    <s v="Jan"/>
    <x v="4"/>
    <m/>
    <m/>
  </r>
  <r>
    <n v="68899825"/>
    <x v="1"/>
    <n v="4112"/>
    <d v="2026-01-28T00:00:00"/>
    <s v="BR CHOC Chip 6 1.5QT"/>
    <x v="3"/>
    <n v="8.513999999999999E-3"/>
    <n v="176"/>
    <x v="0"/>
    <x v="1"/>
    <n v="1"/>
    <n v="4112"/>
    <n v="35.009567999999994"/>
    <n v="23.363636363636363"/>
    <s v="Jan"/>
    <x v="4"/>
    <m/>
    <m/>
  </r>
  <r>
    <n v="68899825"/>
    <x v="1"/>
    <n v="4734"/>
    <d v="2026-01-28T00:00:00"/>
    <s v="BR CHOC Chip 6 1.5QT"/>
    <x v="3"/>
    <n v="8.513999999999999E-3"/>
    <n v="176"/>
    <x v="0"/>
    <x v="1"/>
    <n v="1"/>
    <n v="4734"/>
    <n v="40.305275999999992"/>
    <n v="26.897727272727273"/>
    <s v="Jan"/>
    <x v="4"/>
    <m/>
    <m/>
  </r>
  <r>
    <n v="68899825"/>
    <x v="1"/>
    <n v="7392"/>
    <d v="2026-01-29T00:00:00"/>
    <s v="BR CHOC Chip 6 1.5QT"/>
    <x v="3"/>
    <n v="8.513999999999999E-3"/>
    <n v="176"/>
    <x v="0"/>
    <x v="1"/>
    <n v="1"/>
    <n v="7392"/>
    <n v="62.935487999999992"/>
    <n v="42"/>
    <s v="Jan"/>
    <x v="4"/>
    <m/>
    <m/>
  </r>
  <r>
    <n v="68899825"/>
    <x v="1"/>
    <n v="5628"/>
    <d v="2026-01-29T00:00:00"/>
    <s v="BR CHOC Chip 6 1.5QT"/>
    <x v="3"/>
    <n v="8.513999999999999E-3"/>
    <n v="176"/>
    <x v="0"/>
    <x v="1"/>
    <n v="1"/>
    <n v="5628"/>
    <n v="47.916791999999994"/>
    <n v="31.977272727272727"/>
    <s v="Jan"/>
    <x v="4"/>
    <m/>
    <m/>
  </r>
  <r>
    <n v="68899825"/>
    <x v="1"/>
    <n v="5562"/>
    <d v="2026-01-30T00:00:00"/>
    <s v="BR CHOC Chip 6 1.5QT"/>
    <x v="3"/>
    <n v="8.513999999999999E-3"/>
    <n v="176"/>
    <x v="0"/>
    <x v="1"/>
    <n v="1"/>
    <n v="5562"/>
    <n v="47.354867999999996"/>
    <n v="31.602272727272727"/>
    <s v="Jan"/>
    <x v="4"/>
    <m/>
    <m/>
  </r>
  <r>
    <n v="68922108"/>
    <x v="1"/>
    <n v="1530"/>
    <d v="2026-02-05T00:00:00"/>
    <s v="Talenti Caramel Cookie Crunch 8 1PT"/>
    <x v="8"/>
    <n v="3.7839999999999996E-3"/>
    <n v="255"/>
    <x v="2"/>
    <x v="3"/>
    <n v="1"/>
    <n v="1530"/>
    <n v="5.7895199999999996"/>
    <n v="6"/>
    <s v="Feb"/>
    <x v="8"/>
    <m/>
    <m/>
  </r>
  <r>
    <n v="68922108"/>
    <x v="1"/>
    <n v="12666"/>
    <d v="2026-02-06T00:00:00"/>
    <s v="Talenti Caramel Cookie Crunch 8 1PT"/>
    <x v="8"/>
    <n v="3.7839999999999996E-3"/>
    <n v="255"/>
    <x v="2"/>
    <x v="3"/>
    <n v="1"/>
    <n v="12666"/>
    <n v="47.928143999999996"/>
    <n v="49.670588235294119"/>
    <s v="Feb"/>
    <x v="8"/>
    <m/>
    <m/>
  </r>
  <r>
    <n v="68922108"/>
    <x v="1"/>
    <n v="12361"/>
    <d v="2026-02-06T00:00:00"/>
    <s v="Talenti Caramel Cookie Crunch 8 1PT"/>
    <x v="8"/>
    <n v="3.7839999999999996E-3"/>
    <n v="255"/>
    <x v="2"/>
    <x v="3"/>
    <n v="1"/>
    <n v="12361"/>
    <n v="46.774023999999997"/>
    <n v="48.47450980392157"/>
    <s v="Feb"/>
    <x v="8"/>
    <m/>
    <m/>
  </r>
  <r>
    <n v="68922108"/>
    <x v="1"/>
    <n v="13682"/>
    <d v="2026-02-07T00:00:00"/>
    <s v="Talenti Caramel Cookie Crunch 8 1PT"/>
    <x v="8"/>
    <n v="3.7839999999999996E-3"/>
    <n v="255"/>
    <x v="2"/>
    <x v="3"/>
    <n v="1"/>
    <n v="13682"/>
    <n v="51.772687999999995"/>
    <n v="53.654901960784315"/>
    <s v="Feb"/>
    <x v="8"/>
    <m/>
    <m/>
  </r>
  <r>
    <n v="68922108"/>
    <x v="1"/>
    <n v="1110"/>
    <d v="2026-02-09T00:00:00"/>
    <s v="Talenti Caramel Cookie Crunch 8 1PT"/>
    <x v="8"/>
    <n v="3.7839999999999996E-3"/>
    <n v="255"/>
    <x v="2"/>
    <x v="3"/>
    <n v="1"/>
    <n v="1110"/>
    <n v="4.20024"/>
    <n v="4.3529411764705879"/>
    <s v="Feb"/>
    <x v="7"/>
    <m/>
    <m/>
  </r>
  <r>
    <n v="68922108"/>
    <x v="1"/>
    <n v="15479"/>
    <d v="2026-02-08T00:00:00"/>
    <s v="Talenti Caramel Cookie Crunch 8 1PT"/>
    <x v="8"/>
    <n v="3.7839999999999996E-3"/>
    <n v="255"/>
    <x v="2"/>
    <x v="3"/>
    <n v="1"/>
    <n v="15479"/>
    <n v="58.572535999999992"/>
    <n v="60.701960784313727"/>
    <s v="Feb"/>
    <x v="7"/>
    <m/>
    <m/>
  </r>
  <r>
    <n v="68922108"/>
    <x v="1"/>
    <n v="3598"/>
    <d v="2026-02-09T00:00:00"/>
    <s v="Talenti Caramel Cookie Crunch 8 1PT"/>
    <x v="8"/>
    <n v="3.7839999999999996E-3"/>
    <n v="255"/>
    <x v="2"/>
    <x v="3"/>
    <n v="1"/>
    <n v="3598"/>
    <n v="13.614831999999998"/>
    <n v="14.109803921568627"/>
    <s v="Feb"/>
    <x v="7"/>
    <m/>
    <m/>
  </r>
  <r>
    <n v="68922108"/>
    <x v="1"/>
    <n v="11633"/>
    <d v="2026-02-07T00:00:00"/>
    <s v="Talenti Caramel Cookie Crunch 8 1PT"/>
    <x v="8"/>
    <n v="3.7839999999999996E-3"/>
    <n v="255"/>
    <x v="2"/>
    <x v="3"/>
    <n v="1"/>
    <n v="11633"/>
    <n v="44.019271999999994"/>
    <n v="45.619607843137253"/>
    <s v="Feb"/>
    <x v="8"/>
    <m/>
    <m/>
  </r>
  <r>
    <n v="68922108"/>
    <x v="1"/>
    <n v="12325"/>
    <d v="2026-02-08T00:00:00"/>
    <s v="Talenti Caramel Cookie Crunch 8 1PT"/>
    <x v="8"/>
    <n v="3.7839999999999996E-3"/>
    <n v="255"/>
    <x v="2"/>
    <x v="3"/>
    <n v="1"/>
    <n v="12325"/>
    <n v="46.637799999999999"/>
    <n v="48.333333333333336"/>
    <s v="Feb"/>
    <x v="7"/>
    <m/>
    <m/>
  </r>
  <r>
    <n v="68922108"/>
    <x v="1"/>
    <n v="690"/>
    <d v="2026-02-09T00:00:00"/>
    <s v="Talenti Caramel Cookie Crunch 8 1PT"/>
    <x v="8"/>
    <n v="3.7839999999999996E-3"/>
    <n v="255"/>
    <x v="2"/>
    <x v="3"/>
    <n v="1"/>
    <n v="690"/>
    <n v="2.6109599999999999"/>
    <n v="2.7058823529411766"/>
    <s v="Feb"/>
    <x v="7"/>
    <m/>
    <m/>
  </r>
  <r>
    <n v="69564623"/>
    <x v="1"/>
    <n v="5632"/>
    <d v="2026-02-10T00:00:00"/>
    <s v="BR ND Vanilla 6 1.5QT"/>
    <x v="5"/>
    <n v="8.5199999999999998E-3"/>
    <n v="176"/>
    <x v="0"/>
    <x v="1"/>
    <n v="1"/>
    <n v="5632"/>
    <n v="47.984639999999999"/>
    <n v="32"/>
    <s v="Feb"/>
    <x v="7"/>
    <m/>
    <m/>
  </r>
  <r>
    <n v="69564623"/>
    <x v="1"/>
    <n v="5104"/>
    <d v="2026-02-11T00:00:00"/>
    <s v="BR ND Vanilla 6 1.5QT"/>
    <x v="5"/>
    <n v="8.5199999999999998E-3"/>
    <n v="176"/>
    <x v="0"/>
    <x v="1"/>
    <n v="1"/>
    <n v="5104"/>
    <n v="43.486080000000001"/>
    <n v="29"/>
    <s v="Feb"/>
    <x v="7"/>
    <m/>
    <m/>
  </r>
  <r>
    <n v="69564623"/>
    <x v="1"/>
    <n v="176"/>
    <d v="2026-02-12T00:00:00"/>
    <s v="BR ND Vanilla 6 1.5QT"/>
    <x v="5"/>
    <n v="8.5199999999999998E-3"/>
    <n v="176"/>
    <x v="0"/>
    <x v="1"/>
    <n v="1"/>
    <n v="176"/>
    <n v="1.49952"/>
    <n v="1"/>
    <s v="Feb"/>
    <x v="7"/>
    <m/>
    <m/>
  </r>
  <r>
    <n v="69564623"/>
    <x v="1"/>
    <n v="6160"/>
    <d v="2026-02-11T00:00:00"/>
    <s v="BR ND Vanilla 6 1.5QT"/>
    <x v="5"/>
    <n v="8.5199999999999998E-3"/>
    <n v="176"/>
    <x v="0"/>
    <x v="1"/>
    <n v="1"/>
    <n v="6160"/>
    <n v="52.483199999999997"/>
    <n v="35"/>
    <s v="Feb"/>
    <x v="7"/>
    <m/>
    <m/>
  </r>
  <r>
    <n v="69564623"/>
    <x v="1"/>
    <n v="5543"/>
    <d v="2026-02-12T00:00:00"/>
    <s v="BR ND Vanilla 6 1.5QT"/>
    <x v="5"/>
    <n v="8.5199999999999998E-3"/>
    <n v="176"/>
    <x v="0"/>
    <x v="1"/>
    <n v="1"/>
    <n v="5543"/>
    <n v="47.22636"/>
    <n v="31.494318181818183"/>
    <s v="Feb"/>
    <x v="7"/>
    <m/>
    <m/>
  </r>
  <r>
    <n v="69564623"/>
    <x v="1"/>
    <n v="2112"/>
    <d v="2026-02-10T00:00:00"/>
    <s v="BR ND Vanilla 6 1.5QT"/>
    <x v="5"/>
    <n v="8.5199999999999998E-3"/>
    <n v="176"/>
    <x v="0"/>
    <x v="1"/>
    <n v="1"/>
    <n v="2112"/>
    <n v="17.994239999999998"/>
    <n v="12"/>
    <s v="Feb"/>
    <x v="7"/>
    <m/>
    <m/>
  </r>
  <r>
    <n v="69568964"/>
    <x v="1"/>
    <n v="352"/>
    <d v="2026-02-04T00:00:00"/>
    <s v="BR NSA Vanilla 6 1.5QT"/>
    <x v="5"/>
    <n v="8.5199999999999998E-3"/>
    <n v="176"/>
    <x v="0"/>
    <x v="1"/>
    <n v="1"/>
    <n v="352"/>
    <n v="2.9990399999999999"/>
    <n v="2"/>
    <s v="Feb"/>
    <x v="8"/>
    <m/>
    <m/>
  </r>
  <r>
    <n v="69568964"/>
    <x v="1"/>
    <n v="5632"/>
    <d v="2026-02-13T00:00:00"/>
    <s v="BR NSA Vanilla 6 1.5QT"/>
    <x v="3"/>
    <n v="8.5199999999999998E-3"/>
    <n v="176"/>
    <x v="0"/>
    <x v="1"/>
    <n v="1"/>
    <n v="5632"/>
    <n v="47.984639999999999"/>
    <n v="32"/>
    <s v="Feb"/>
    <x v="7"/>
    <m/>
    <m/>
  </r>
  <r>
    <n v="69568964"/>
    <x v="1"/>
    <n v="5609"/>
    <d v="2026-02-14T00:00:00"/>
    <s v="BR NSA Vanilla 6 1.5QT"/>
    <x v="3"/>
    <n v="8.5199999999999998E-3"/>
    <n v="176"/>
    <x v="0"/>
    <x v="1"/>
    <n v="1"/>
    <n v="5609"/>
    <n v="47.788679999999999"/>
    <n v="31.869318181818183"/>
    <s v="Feb"/>
    <x v="7"/>
    <m/>
    <m/>
  </r>
  <r>
    <n v="69568964"/>
    <x v="1"/>
    <n v="23"/>
    <d v="2026-02-16T00:00:00"/>
    <s v="BR NSA Vanilla 6 1.5QT"/>
    <x v="3"/>
    <n v="8.5199999999999998E-3"/>
    <n v="176"/>
    <x v="0"/>
    <x v="1"/>
    <n v="1"/>
    <n v="23"/>
    <n v="0.19596"/>
    <n v="0.13068181818181818"/>
    <s v="Feb"/>
    <x v="5"/>
    <m/>
    <m/>
  </r>
  <r>
    <n v="69568964"/>
    <x v="1"/>
    <n v="5433"/>
    <d v="2026-02-14T00:00:00"/>
    <s v="BR NSA Vanilla 6 1.5QT"/>
    <x v="3"/>
    <n v="8.5199999999999998E-3"/>
    <n v="176"/>
    <x v="0"/>
    <x v="1"/>
    <n v="1"/>
    <n v="5433"/>
    <n v="46.289159999999995"/>
    <n v="30.869318181818183"/>
    <s v="Feb"/>
    <x v="7"/>
    <m/>
    <m/>
  </r>
  <r>
    <n v="69568964"/>
    <x v="1"/>
    <n v="5632"/>
    <d v="2026-02-15T00:00:00"/>
    <s v="BR NSA Vanilla 6 1.5QT"/>
    <x v="3"/>
    <n v="8.5199999999999998E-3"/>
    <n v="176"/>
    <x v="0"/>
    <x v="1"/>
    <n v="1"/>
    <n v="5632"/>
    <n v="47.984639999999999"/>
    <n v="32"/>
    <s v="Feb"/>
    <x v="5"/>
    <m/>
    <m/>
  </r>
  <r>
    <n v="69568964"/>
    <x v="1"/>
    <n v="5280"/>
    <d v="2026-02-15T00:00:00"/>
    <s v="BR NSA Vanilla 6 1.5QT"/>
    <x v="3"/>
    <n v="8.5199999999999998E-3"/>
    <n v="176"/>
    <x v="0"/>
    <x v="1"/>
    <n v="1"/>
    <n v="5280"/>
    <n v="44.985599999999998"/>
    <n v="30"/>
    <s v="Feb"/>
    <x v="5"/>
    <m/>
    <m/>
  </r>
  <r>
    <n v="69568964"/>
    <x v="1"/>
    <n v="5808"/>
    <d v="2026-02-16T00:00:00"/>
    <s v="BR NSA Vanilla 6 1.5QT"/>
    <x v="3"/>
    <n v="8.5199999999999998E-3"/>
    <n v="176"/>
    <x v="0"/>
    <x v="1"/>
    <n v="1"/>
    <n v="5808"/>
    <n v="49.484159999999996"/>
    <n v="33"/>
    <s v="Feb"/>
    <x v="5"/>
    <m/>
    <m/>
  </r>
  <r>
    <n v="69568964"/>
    <x v="1"/>
    <n v="2364"/>
    <d v="2026-02-16T00:00:00"/>
    <s v="BR NSA Vanilla 6 1.5QT"/>
    <x v="3"/>
    <n v="8.5199999999999998E-3"/>
    <n v="176"/>
    <x v="0"/>
    <x v="1"/>
    <n v="1"/>
    <n v="2364"/>
    <n v="20.141279999999998"/>
    <n v="13.431818181818182"/>
    <s v="Feb"/>
    <x v="5"/>
    <m/>
    <m/>
  </r>
  <r>
    <n v="69568964"/>
    <x v="1"/>
    <n v="7570"/>
    <d v="2026-02-17T00:00:00"/>
    <s v="BR NSA Vanilla 6 1.5QT"/>
    <x v="3"/>
    <n v="8.5199999999999998E-3"/>
    <n v="176"/>
    <x v="0"/>
    <x v="1"/>
    <n v="1"/>
    <n v="7570"/>
    <n v="64.496399999999994"/>
    <n v="43.011363636363633"/>
    <s v="Feb"/>
    <x v="5"/>
    <m/>
    <m/>
  </r>
  <r>
    <n v="69568964"/>
    <x v="1"/>
    <n v="6336"/>
    <d v="2026-02-17T00:00:00"/>
    <s v="BR NSA Vanilla 6 1.5QT"/>
    <x v="3"/>
    <n v="8.5199999999999998E-3"/>
    <n v="176"/>
    <x v="0"/>
    <x v="1"/>
    <n v="1"/>
    <n v="6336"/>
    <n v="53.98272"/>
    <n v="36"/>
    <s v="Feb"/>
    <x v="5"/>
    <m/>
    <m/>
  </r>
  <r>
    <n v="69568964"/>
    <x v="1"/>
    <n v="4937"/>
    <d v="2026-02-18T00:00:00"/>
    <s v="BR NSA Vanilla 6 1.5QT"/>
    <x v="3"/>
    <n v="8.5199999999999998E-3"/>
    <n v="176"/>
    <x v="0"/>
    <x v="1"/>
    <n v="1"/>
    <n v="4937"/>
    <n v="42.06324"/>
    <n v="28.051136363636363"/>
    <s v="Feb"/>
    <x v="5"/>
    <m/>
    <m/>
  </r>
  <r>
    <n v="69568964"/>
    <x v="1"/>
    <n v="6274"/>
    <d v="2026-02-18T00:00:00"/>
    <s v="BR NSA Vanilla 6 1.5QT"/>
    <x v="3"/>
    <n v="8.5199999999999998E-3"/>
    <n v="176"/>
    <x v="0"/>
    <x v="1"/>
    <n v="1"/>
    <n v="6274"/>
    <n v="53.454479999999997"/>
    <n v="35.647727272727273"/>
    <s v="Feb"/>
    <x v="5"/>
    <m/>
    <m/>
  </r>
  <r>
    <n v="69568964"/>
    <x v="1"/>
    <n v="5709"/>
    <d v="2026-02-19T00:00:00"/>
    <s v="BR NSA Vanilla 6 1.5QT"/>
    <x v="3"/>
    <n v="8.5199999999999998E-3"/>
    <n v="176"/>
    <x v="0"/>
    <x v="1"/>
    <n v="1"/>
    <n v="5709"/>
    <n v="48.640679999999996"/>
    <n v="32.4375"/>
    <s v="Feb"/>
    <x v="5"/>
    <m/>
    <m/>
  </r>
  <r>
    <n v="69568964"/>
    <x v="1"/>
    <n v="6587"/>
    <d v="2026-02-19T00:00:00"/>
    <s v="BR NSA Vanilla 6 1.5QT"/>
    <x v="3"/>
    <n v="8.5199999999999998E-3"/>
    <n v="176"/>
    <x v="0"/>
    <x v="1"/>
    <n v="1"/>
    <n v="6587"/>
    <n v="56.12124"/>
    <n v="37.426136363636367"/>
    <s v="Feb"/>
    <x v="5"/>
    <m/>
    <m/>
  </r>
  <r>
    <n v="69568964"/>
    <x v="1"/>
    <n v="748"/>
    <d v="2026-02-20T00:00:00"/>
    <s v="BR NSA Vanilla 6 1.5QT"/>
    <x v="3"/>
    <n v="8.5199999999999998E-3"/>
    <n v="176"/>
    <x v="0"/>
    <x v="1"/>
    <n v="1"/>
    <n v="748"/>
    <n v="6.37296"/>
    <n v="4.25"/>
    <s v="Feb"/>
    <x v="5"/>
    <m/>
    <m/>
  </r>
  <r>
    <n v="69568964"/>
    <x v="1"/>
    <n v="2464"/>
    <d v="2026-02-13T00:00:00"/>
    <s v="BR NSA Vanilla 6 1.5QT"/>
    <x v="3"/>
    <n v="8.5199999999999998E-3"/>
    <n v="176"/>
    <x v="0"/>
    <x v="1"/>
    <n v="1"/>
    <n v="2464"/>
    <n v="20.993279999999999"/>
    <n v="14"/>
    <s v="Feb"/>
    <x v="7"/>
    <m/>
    <m/>
  </r>
  <r>
    <n v="69629468"/>
    <x v="1"/>
    <n v="427"/>
    <d v="2026-01-28T00:00:00"/>
    <s v="PS Fudgesicle NSA 6-18PK"/>
    <x v="14"/>
    <n v="5.2680000000000001E-3"/>
    <n v="130"/>
    <x v="6"/>
    <x v="7"/>
    <n v="1"/>
    <n v="427"/>
    <n v="2.2494360000000002"/>
    <n v="3.2846153846153845"/>
    <s v="Jan"/>
    <x v="4"/>
    <m/>
    <m/>
  </r>
  <r>
    <n v="69629468"/>
    <x v="1"/>
    <n v="124"/>
    <d v="2026-02-05T00:00:00"/>
    <s v="PS Fudgesicle NSA 6-18PK"/>
    <x v="14"/>
    <n v="5.2680000000000001E-3"/>
    <n v="130"/>
    <x v="6"/>
    <x v="7"/>
    <n v="1"/>
    <n v="124"/>
    <n v="0.65323200000000003"/>
    <n v="0.9538461538461539"/>
    <s v="Feb"/>
    <x v="8"/>
    <m/>
    <m/>
  </r>
  <r>
    <n v="69629468"/>
    <x v="1"/>
    <n v="1417"/>
    <d v="2026-01-28T00:00:00"/>
    <s v="PS Fudgesicle NSA 6-18PK"/>
    <x v="14"/>
    <n v="5.2680000000000001E-3"/>
    <n v="130"/>
    <x v="6"/>
    <x v="7"/>
    <n v="1"/>
    <n v="1417"/>
    <n v="7.4647560000000004"/>
    <n v="10.9"/>
    <s v="Jan"/>
    <x v="4"/>
    <m/>
    <m/>
  </r>
  <r>
    <n v="69629468"/>
    <x v="1"/>
    <n v="1260"/>
    <d v="2026-01-29T00:00:00"/>
    <s v="PS Fudgesicle NSA 6-18PK"/>
    <x v="14"/>
    <n v="5.2680000000000001E-3"/>
    <n v="130"/>
    <x v="6"/>
    <x v="7"/>
    <n v="1"/>
    <n v="1260"/>
    <n v="6.6376800000000005"/>
    <n v="9.6923076923076916"/>
    <s v="Jan"/>
    <x v="4"/>
    <m/>
    <m/>
  </r>
  <r>
    <n v="69629468"/>
    <x v="1"/>
    <n v="1127"/>
    <d v="2026-01-29T00:00:00"/>
    <s v="PS Fudgesicle NSA 6-18PK"/>
    <x v="14"/>
    <n v="5.2680000000000001E-3"/>
    <n v="130"/>
    <x v="6"/>
    <x v="7"/>
    <n v="1"/>
    <n v="1127"/>
    <n v="5.937036"/>
    <n v="8.6692307692307686"/>
    <s v="Jan"/>
    <x v="4"/>
    <m/>
    <m/>
  </r>
  <r>
    <n v="69629468"/>
    <x v="1"/>
    <n v="1100"/>
    <d v="2026-01-30T00:00:00"/>
    <s v="PS Fudgesicle NSA 6-18PK"/>
    <x v="14"/>
    <n v="5.2680000000000001E-3"/>
    <n v="130"/>
    <x v="6"/>
    <x v="7"/>
    <n v="1"/>
    <n v="1100"/>
    <n v="5.7948000000000004"/>
    <n v="8.4615384615384617"/>
    <s v="Jan"/>
    <x v="4"/>
    <m/>
    <m/>
  </r>
  <r>
    <n v="69629468"/>
    <x v="1"/>
    <n v="1416"/>
    <d v="2026-01-30T00:00:00"/>
    <s v="PS Fudgesicle NSA 6-18PK"/>
    <x v="14"/>
    <n v="5.2680000000000001E-3"/>
    <n v="130"/>
    <x v="6"/>
    <x v="7"/>
    <n v="1"/>
    <n v="1416"/>
    <n v="7.4594880000000003"/>
    <n v="10.892307692307693"/>
    <s v="Jan"/>
    <x v="4"/>
    <m/>
    <m/>
  </r>
  <r>
    <n v="69629468"/>
    <x v="1"/>
    <n v="978"/>
    <d v="2026-01-31T00:00:00"/>
    <s v="PS Fudgesicle NSA 6-18PK"/>
    <x v="14"/>
    <n v="5.2680000000000001E-3"/>
    <n v="130"/>
    <x v="6"/>
    <x v="7"/>
    <n v="1"/>
    <n v="978"/>
    <n v="5.1521040000000005"/>
    <n v="7.523076923076923"/>
    <s v="Jan"/>
    <x v="4"/>
    <m/>
    <m/>
  </r>
  <r>
    <n v="69629468"/>
    <x v="1"/>
    <n v="260"/>
    <d v="2026-02-02T00:00:00"/>
    <s v="PS Fudgesicle NSA 6-18PK"/>
    <x v="14"/>
    <n v="5.2680000000000001E-3"/>
    <n v="130"/>
    <x v="6"/>
    <x v="7"/>
    <n v="1"/>
    <n v="260"/>
    <n v="1.36968"/>
    <n v="2"/>
    <s v="Feb"/>
    <x v="8"/>
    <m/>
    <m/>
  </r>
  <r>
    <n v="69629468"/>
    <x v="1"/>
    <n v="910"/>
    <d v="2026-02-02T00:00:00"/>
    <s v="PS Fudgesicle NSA 6-18PK"/>
    <x v="14"/>
    <n v="5.2680000000000001E-3"/>
    <n v="130"/>
    <x v="6"/>
    <x v="7"/>
    <n v="1"/>
    <n v="910"/>
    <n v="4.7938799999999997"/>
    <n v="7"/>
    <s v="Feb"/>
    <x v="8"/>
    <m/>
    <m/>
  </r>
  <r>
    <n v="69629468"/>
    <x v="1"/>
    <n v="2507"/>
    <d v="2026-02-03T00:00:00"/>
    <s v="PS Fudgesicle NSA 6-18PK"/>
    <x v="14"/>
    <n v="5.2680000000000001E-3"/>
    <n v="130"/>
    <x v="6"/>
    <x v="7"/>
    <n v="1"/>
    <n v="2507"/>
    <n v="13.206876000000001"/>
    <n v="19.284615384615385"/>
    <s v="Feb"/>
    <x v="8"/>
    <m/>
    <m/>
  </r>
  <r>
    <n v="69629468"/>
    <x v="1"/>
    <n v="1004"/>
    <d v="2026-02-03T00:00:00"/>
    <s v="PS Fudgesicle NSA 6-18PK"/>
    <x v="14"/>
    <n v="5.2680000000000001E-3"/>
    <n v="130"/>
    <x v="6"/>
    <x v="7"/>
    <n v="1"/>
    <n v="1004"/>
    <n v="5.289072"/>
    <n v="7.7230769230769232"/>
    <s v="Feb"/>
    <x v="8"/>
    <m/>
    <m/>
  </r>
  <r>
    <n v="69629468"/>
    <x v="1"/>
    <n v="1017"/>
    <d v="2026-02-04T00:00:00"/>
    <s v="PS Fudgesicle NSA 6-18PK"/>
    <x v="14"/>
    <n v="5.2680000000000001E-3"/>
    <n v="130"/>
    <x v="6"/>
    <x v="7"/>
    <n v="1"/>
    <n v="1017"/>
    <n v="5.3575559999999998"/>
    <n v="7.8230769230769228"/>
    <s v="Feb"/>
    <x v="8"/>
    <m/>
    <m/>
  </r>
  <r>
    <n v="69629468"/>
    <x v="1"/>
    <n v="136"/>
    <d v="2026-02-04T00:00:00"/>
    <s v="PS Fudgesicle NSA 6-18PK"/>
    <x v="14"/>
    <n v="5.2680000000000001E-3"/>
    <n v="130"/>
    <x v="6"/>
    <x v="7"/>
    <n v="1"/>
    <n v="136"/>
    <n v="0.71644799999999997"/>
    <n v="1.0461538461538462"/>
    <s v="Feb"/>
    <x v="8"/>
    <m/>
    <m/>
  </r>
  <r>
    <n v="69629468"/>
    <x v="1"/>
    <n v="702"/>
    <d v="2026-02-05T00:00:00"/>
    <s v="PS Fudgesicle NSA 6-18PK"/>
    <x v="14"/>
    <n v="5.2680000000000001E-3"/>
    <n v="130"/>
    <x v="6"/>
    <x v="7"/>
    <n v="1"/>
    <n v="702"/>
    <n v="3.6981359999999999"/>
    <n v="5.4"/>
    <s v="Feb"/>
    <x v="8"/>
    <m/>
    <m/>
  </r>
  <r>
    <n v="69629468"/>
    <x v="1"/>
    <n v="1690"/>
    <d v="2026-02-05T00:00:00"/>
    <s v="PS Fudgesicle NSA 6-18PK"/>
    <x v="14"/>
    <n v="5.2680000000000001E-3"/>
    <n v="130"/>
    <x v="6"/>
    <x v="7"/>
    <n v="1"/>
    <n v="1690"/>
    <n v="8.9029199999999999"/>
    <n v="13"/>
    <s v="Feb"/>
    <x v="8"/>
    <m/>
    <m/>
  </r>
  <r>
    <n v="69629468"/>
    <x v="1"/>
    <n v="1755"/>
    <d v="2026-02-06T00:00:00"/>
    <s v="PS Fudgesicle NSA 6-18PK"/>
    <x v="14"/>
    <n v="5.2680000000000001E-3"/>
    <n v="130"/>
    <x v="6"/>
    <x v="7"/>
    <n v="1"/>
    <n v="1755"/>
    <n v="9.2453400000000006"/>
    <n v="13.5"/>
    <s v="Feb"/>
    <x v="8"/>
    <m/>
    <m/>
  </r>
  <r>
    <n v="69629468"/>
    <x v="1"/>
    <n v="1677"/>
    <d v="2026-02-06T00:00:00"/>
    <s v="PS Fudgesicle NSA 6-18PK"/>
    <x v="14"/>
    <n v="5.2680000000000001E-3"/>
    <n v="130"/>
    <x v="6"/>
    <x v="7"/>
    <n v="1"/>
    <n v="1677"/>
    <n v="8.8344360000000002"/>
    <n v="12.9"/>
    <s v="Feb"/>
    <x v="8"/>
    <m/>
    <m/>
  </r>
  <r>
    <n v="69629468"/>
    <x v="1"/>
    <n v="1292"/>
    <d v="2026-02-07T00:00:00"/>
    <s v="PS Fudgesicle NSA 6-18PK"/>
    <x v="14"/>
    <n v="5.2680000000000001E-3"/>
    <n v="130"/>
    <x v="6"/>
    <x v="7"/>
    <n v="1"/>
    <n v="1292"/>
    <n v="6.8062560000000003"/>
    <n v="9.9384615384615387"/>
    <s v="Feb"/>
    <x v="8"/>
    <m/>
    <m/>
  </r>
  <r>
    <n v="69629468"/>
    <x v="1"/>
    <n v="323"/>
    <d v="2026-02-09T00:00:00"/>
    <s v="PS Fudgesicle NSA 6-18PK"/>
    <x v="14"/>
    <n v="5.2680000000000001E-3"/>
    <n v="130"/>
    <x v="6"/>
    <x v="7"/>
    <n v="1"/>
    <n v="323"/>
    <n v="1.7015640000000001"/>
    <n v="2.4846153846153847"/>
    <s v="Feb"/>
    <x v="7"/>
    <m/>
    <m/>
  </r>
  <r>
    <n v="69629468"/>
    <x v="1"/>
    <n v="2054"/>
    <d v="2026-02-10T00:00:00"/>
    <s v="PS Fudgesicle NSA 6-18PK"/>
    <x v="14"/>
    <n v="5.2680000000000001E-3"/>
    <n v="130"/>
    <x v="6"/>
    <x v="7"/>
    <n v="1"/>
    <n v="2054"/>
    <n v="10.820472000000001"/>
    <n v="15.8"/>
    <s v="Feb"/>
    <x v="7"/>
    <m/>
    <m/>
  </r>
  <r>
    <n v="69629468"/>
    <x v="1"/>
    <n v="2401"/>
    <d v="2026-02-10T00:00:00"/>
    <s v="PS Fudgesicle NSA 6-18PK"/>
    <x v="14"/>
    <n v="5.2680000000000001E-3"/>
    <n v="130"/>
    <x v="6"/>
    <x v="7"/>
    <n v="1"/>
    <n v="2401"/>
    <n v="12.648468000000001"/>
    <n v="18.469230769230769"/>
    <s v="Feb"/>
    <x v="7"/>
    <m/>
    <m/>
  </r>
  <r>
    <n v="69629468"/>
    <x v="1"/>
    <n v="1082"/>
    <d v="2026-02-11T00:00:00"/>
    <s v="PS Fudgesicle NSA 6-18PK"/>
    <x v="14"/>
    <n v="5.2680000000000001E-3"/>
    <n v="130"/>
    <x v="6"/>
    <x v="7"/>
    <n v="1"/>
    <n v="1082"/>
    <n v="5.6999760000000004"/>
    <n v="8.3230769230769237"/>
    <s v="Feb"/>
    <x v="7"/>
    <m/>
    <m/>
  </r>
  <r>
    <n v="69629468"/>
    <x v="1"/>
    <n v="284"/>
    <d v="2026-02-11T00:00:00"/>
    <s v="PS Fudgesicle NSA 6-18PK"/>
    <x v="14"/>
    <n v="5.2680000000000001E-3"/>
    <n v="130"/>
    <x v="6"/>
    <x v="7"/>
    <n v="1"/>
    <n v="284"/>
    <n v="1.4961120000000001"/>
    <n v="2.1846153846153844"/>
    <s v="Feb"/>
    <x v="7"/>
    <m/>
    <m/>
  </r>
  <r>
    <n v="69629468"/>
    <x v="1"/>
    <n v="841"/>
    <d v="2026-02-12T00:00:00"/>
    <s v="PS Fudgesicle NSA 6-18PK"/>
    <x v="14"/>
    <n v="5.2680000000000001E-3"/>
    <n v="130"/>
    <x v="6"/>
    <x v="7"/>
    <n v="1"/>
    <n v="841"/>
    <n v="4.4303879999999998"/>
    <n v="6.4692307692307693"/>
    <s v="Feb"/>
    <x v="7"/>
    <m/>
    <m/>
  </r>
  <r>
    <n v="69629468"/>
    <x v="1"/>
    <n v="1400"/>
    <d v="2026-02-12T00:00:00"/>
    <s v="PS Fudgesicle NSA 6-18PK"/>
    <x v="14"/>
    <n v="5.2680000000000001E-3"/>
    <n v="130"/>
    <x v="6"/>
    <x v="7"/>
    <n v="1"/>
    <n v="1400"/>
    <n v="7.3752000000000004"/>
    <n v="10.76923076923077"/>
    <s v="Feb"/>
    <x v="7"/>
    <m/>
    <m/>
  </r>
  <r>
    <n v="69629468"/>
    <x v="1"/>
    <n v="1235"/>
    <d v="2026-02-13T00:00:00"/>
    <s v="PS Fudgesicle NSA 6-18PK"/>
    <x v="14"/>
    <n v="5.2680000000000001E-3"/>
    <n v="130"/>
    <x v="6"/>
    <x v="7"/>
    <n v="1"/>
    <n v="1235"/>
    <n v="6.5059800000000001"/>
    <n v="9.5"/>
    <s v="Feb"/>
    <x v="7"/>
    <m/>
    <m/>
  </r>
  <r>
    <n v="69629468"/>
    <x v="1"/>
    <n v="1362"/>
    <d v="2026-02-13T00:00:00"/>
    <s v="PS Fudgesicle NSA 6-18PK"/>
    <x v="14"/>
    <n v="5.2680000000000001E-3"/>
    <n v="130"/>
    <x v="6"/>
    <x v="7"/>
    <n v="1"/>
    <n v="1362"/>
    <n v="7.1750160000000003"/>
    <n v="10.476923076923077"/>
    <s v="Feb"/>
    <x v="7"/>
    <m/>
    <m/>
  </r>
  <r>
    <n v="69629468"/>
    <x v="1"/>
    <n v="864"/>
    <d v="2026-02-14T00:00:00"/>
    <s v="PS Fudgesicle NSA 6-18PK"/>
    <x v="14"/>
    <n v="5.2680000000000001E-3"/>
    <n v="130"/>
    <x v="6"/>
    <x v="7"/>
    <n v="1"/>
    <n v="864"/>
    <n v="4.551552"/>
    <n v="6.6461538461538465"/>
    <s v="Feb"/>
    <x v="7"/>
    <m/>
    <m/>
  </r>
  <r>
    <n v="69629468"/>
    <x v="1"/>
    <n v="483"/>
    <d v="2026-02-16T00:00:00"/>
    <s v="PS Fudgesicle NSA 6-18PK"/>
    <x v="14"/>
    <n v="5.2680000000000001E-3"/>
    <n v="130"/>
    <x v="6"/>
    <x v="7"/>
    <n v="1"/>
    <n v="483"/>
    <n v="2.5444439999999999"/>
    <n v="3.7153846153846155"/>
    <s v="Feb"/>
    <x v="5"/>
    <m/>
    <m/>
  </r>
  <r>
    <n v="69629468"/>
    <x v="1"/>
    <n v="170"/>
    <d v="2026-02-17T00:00:00"/>
    <s v="PS Fudgesicle NSA 6-18PK"/>
    <x v="14"/>
    <n v="5.2680000000000001E-3"/>
    <n v="130"/>
    <x v="6"/>
    <x v="7"/>
    <n v="1"/>
    <n v="170"/>
    <n v="0.89556000000000002"/>
    <n v="1.3076923076923077"/>
    <s v="Feb"/>
    <x v="5"/>
    <m/>
    <m/>
  </r>
  <r>
    <n v="69629468"/>
    <x v="1"/>
    <n v="211"/>
    <d v="2026-02-17T00:00:00"/>
    <s v="PS Fudgesicle NSA 6-18PK"/>
    <x v="14"/>
    <n v="5.2680000000000001E-3"/>
    <n v="130"/>
    <x v="6"/>
    <x v="7"/>
    <n v="1"/>
    <n v="211"/>
    <n v="1.111548"/>
    <n v="1.6230769230769231"/>
    <s v="Feb"/>
    <x v="5"/>
    <m/>
    <m/>
  </r>
  <r>
    <n v="69629468"/>
    <x v="1"/>
    <n v="910"/>
    <d v="2026-02-18T00:00:00"/>
    <s v="PS Fudgesicle NSA 6-18PK"/>
    <x v="14"/>
    <n v="5.2680000000000001E-3"/>
    <n v="130"/>
    <x v="6"/>
    <x v="7"/>
    <n v="1"/>
    <n v="910"/>
    <n v="4.7938799999999997"/>
    <n v="7"/>
    <s v="Feb"/>
    <x v="5"/>
    <m/>
    <m/>
  </r>
  <r>
    <n v="69629468"/>
    <x v="1"/>
    <n v="1298"/>
    <d v="2026-02-18T00:00:00"/>
    <s v="PS Fudgesicle NSA 6-18PK"/>
    <x v="14"/>
    <n v="5.2680000000000001E-3"/>
    <n v="130"/>
    <x v="6"/>
    <x v="7"/>
    <n v="1"/>
    <n v="1298"/>
    <n v="6.8378639999999997"/>
    <n v="9.9846153846153847"/>
    <s v="Feb"/>
    <x v="5"/>
    <m/>
    <m/>
  </r>
  <r>
    <n v="69629468"/>
    <x v="1"/>
    <n v="1819"/>
    <d v="2026-02-19T00:00:00"/>
    <s v="PS Fudgesicle NSA 6-18PK"/>
    <x v="14"/>
    <n v="5.2680000000000001E-3"/>
    <n v="130"/>
    <x v="6"/>
    <x v="7"/>
    <n v="1"/>
    <n v="1819"/>
    <n v="9.5824920000000002"/>
    <n v="13.992307692307692"/>
    <s v="Feb"/>
    <x v="5"/>
    <m/>
    <m/>
  </r>
  <r>
    <n v="69629468"/>
    <x v="1"/>
    <n v="1497"/>
    <d v="2026-02-19T00:00:00"/>
    <s v="PS Fudgesicle NSA 6-18PK"/>
    <x v="14"/>
    <n v="5.2680000000000001E-3"/>
    <n v="130"/>
    <x v="6"/>
    <x v="7"/>
    <n v="1"/>
    <n v="1497"/>
    <n v="7.886196"/>
    <n v="11.515384615384615"/>
    <s v="Feb"/>
    <x v="5"/>
    <m/>
    <m/>
  </r>
  <r>
    <n v="69629468"/>
    <x v="1"/>
    <n v="1169"/>
    <d v="2026-02-20T00:00:00"/>
    <s v="PS Fudgesicle NSA 6-18PK"/>
    <x v="14"/>
    <n v="5.2680000000000001E-3"/>
    <n v="130"/>
    <x v="6"/>
    <x v="7"/>
    <n v="1"/>
    <n v="1169"/>
    <n v="6.1582920000000003"/>
    <n v="8.9923076923076923"/>
    <s v="Feb"/>
    <x v="5"/>
    <m/>
    <m/>
  </r>
  <r>
    <n v="69629468"/>
    <x v="1"/>
    <n v="1216"/>
    <d v="2026-02-20T00:00:00"/>
    <s v="PS Fudgesicle NSA 6-18PK"/>
    <x v="14"/>
    <n v="5.2680000000000001E-3"/>
    <n v="130"/>
    <x v="6"/>
    <x v="7"/>
    <n v="1"/>
    <n v="1216"/>
    <n v="6.405888"/>
    <n v="9.3538461538461544"/>
    <s v="Feb"/>
    <x v="5"/>
    <m/>
    <m/>
  </r>
  <r>
    <n v="69629468"/>
    <x v="1"/>
    <n v="945"/>
    <d v="2026-02-21T00:00:00"/>
    <s v="PS Fudgesicle NSA 6-18PK"/>
    <x v="14"/>
    <n v="5.2680000000000001E-3"/>
    <n v="130"/>
    <x v="6"/>
    <x v="7"/>
    <n v="1"/>
    <n v="945"/>
    <n v="4.9782599999999997"/>
    <n v="7.2692307692307692"/>
    <s v="Feb"/>
    <x v="5"/>
    <m/>
    <m/>
  </r>
  <r>
    <n v="69717801"/>
    <x v="1"/>
    <n v="1111"/>
    <d v="2026-02-15T00:00:00"/>
    <s v="BR Carbsmart Fudge Bar 8-6PK"/>
    <x v="13"/>
    <n v="4.2560000000000002E-3"/>
    <n v="143"/>
    <x v="5"/>
    <x v="6"/>
    <n v="1"/>
    <n v="1111"/>
    <n v="4.7284160000000002"/>
    <n v="7.7692307692307692"/>
    <s v="Feb"/>
    <x v="5"/>
    <m/>
    <m/>
  </r>
  <r>
    <n v="69717801"/>
    <x v="1"/>
    <n v="2574"/>
    <d v="2026-02-15T00:00:00"/>
    <s v="BR Carbsmart Fudge Bar 8-6PK"/>
    <x v="13"/>
    <n v="4.2560000000000002E-3"/>
    <n v="143"/>
    <x v="5"/>
    <x v="6"/>
    <n v="1"/>
    <n v="2574"/>
    <n v="10.954944000000001"/>
    <n v="18"/>
    <s v="Feb"/>
    <x v="5"/>
    <m/>
    <m/>
  </r>
  <r>
    <n v="69717801"/>
    <x v="1"/>
    <n v="4719"/>
    <d v="2026-02-16T00:00:00"/>
    <s v="BR Carbsmart Fudge Bar 8-6PK"/>
    <x v="13"/>
    <n v="4.2560000000000002E-3"/>
    <n v="143"/>
    <x v="5"/>
    <x v="6"/>
    <n v="1"/>
    <n v="4719"/>
    <n v="20.084064000000001"/>
    <n v="33"/>
    <s v="Feb"/>
    <x v="5"/>
    <m/>
    <m/>
  </r>
  <r>
    <n v="69717801"/>
    <x v="1"/>
    <n v="1001"/>
    <d v="2026-02-16T00:00:00"/>
    <s v="BR Carbsmart Fudge Bar 8-6PK"/>
    <x v="13"/>
    <n v="4.2560000000000002E-3"/>
    <n v="143"/>
    <x v="5"/>
    <x v="6"/>
    <n v="1"/>
    <n v="1001"/>
    <n v="4.260256"/>
    <n v="7"/>
    <s v="Feb"/>
    <x v="5"/>
    <m/>
    <m/>
  </r>
  <r>
    <n v="69717801"/>
    <x v="1"/>
    <n v="3823"/>
    <d v="2026-02-17T00:00:00"/>
    <s v="BR Carbsmart Fudge Bar 8-6PK"/>
    <x v="13"/>
    <n v="4.2560000000000002E-3"/>
    <n v="143"/>
    <x v="5"/>
    <x v="6"/>
    <n v="1"/>
    <n v="3823"/>
    <n v="16.270688"/>
    <n v="26.734265734265733"/>
    <s v="Feb"/>
    <x v="5"/>
    <m/>
    <m/>
  </r>
  <r>
    <n v="69717801"/>
    <x v="1"/>
    <n v="878"/>
    <d v="2026-02-17T00:00:00"/>
    <s v="BR Carbsmart Fudge Bar 8-6PK"/>
    <x v="13"/>
    <n v="4.2560000000000002E-3"/>
    <n v="143"/>
    <x v="5"/>
    <x v="6"/>
    <n v="1"/>
    <n v="878"/>
    <n v="3.7367680000000001"/>
    <n v="6.13986013986014"/>
    <s v="Feb"/>
    <x v="5"/>
    <m/>
    <m/>
  </r>
  <r>
    <n v="69717802"/>
    <x v="1"/>
    <n v="2"/>
    <d v="2026-02-04T00:00:00"/>
    <s v="BR Carbsmart IC Bars 8-6PK"/>
    <x v="23"/>
    <n v="4.2560000000000002E-3"/>
    <n v="143"/>
    <x v="5"/>
    <x v="6"/>
    <n v="1"/>
    <n v="2"/>
    <n v="8.5120000000000005E-3"/>
    <n v="1.3986013986013986E-2"/>
    <s v="Feb"/>
    <x v="8"/>
    <m/>
    <m/>
  </r>
  <r>
    <n v="69717802"/>
    <x v="1"/>
    <n v="2717"/>
    <d v="2026-01-28T00:00:00"/>
    <s v="BR Carbsmart IC Bars 8-6PK"/>
    <x v="23"/>
    <n v="4.2560000000000002E-3"/>
    <n v="143"/>
    <x v="5"/>
    <x v="6"/>
    <n v="1"/>
    <n v="2717"/>
    <n v="11.563552000000001"/>
    <n v="19"/>
    <s v="Jan"/>
    <x v="4"/>
    <m/>
    <m/>
  </r>
  <r>
    <n v="69717802"/>
    <x v="1"/>
    <n v="2904"/>
    <d v="2026-01-28T00:00:00"/>
    <s v="BR Carbsmart IC Bars 8-6PK"/>
    <x v="23"/>
    <n v="4.2560000000000002E-3"/>
    <n v="143"/>
    <x v="5"/>
    <x v="6"/>
    <n v="1"/>
    <n v="2904"/>
    <n v="12.359424000000001"/>
    <n v="20.307692307692307"/>
    <s v="Jan"/>
    <x v="4"/>
    <m/>
    <m/>
  </r>
  <r>
    <n v="69717802"/>
    <x v="1"/>
    <n v="2691"/>
    <d v="2026-01-29T00:00:00"/>
    <s v="BR Carbsmart IC Bars 8-6PK"/>
    <x v="23"/>
    <n v="4.2560000000000002E-3"/>
    <n v="143"/>
    <x v="5"/>
    <x v="6"/>
    <n v="1"/>
    <n v="2691"/>
    <n v="11.452896000000001"/>
    <n v="18.818181818181817"/>
    <s v="Jan"/>
    <x v="4"/>
    <m/>
    <m/>
  </r>
  <r>
    <n v="69717802"/>
    <x v="1"/>
    <n v="1997"/>
    <d v="2026-01-29T00:00:00"/>
    <s v="BR Carbsmart IC Bars 8-6PK"/>
    <x v="23"/>
    <n v="4.2560000000000002E-3"/>
    <n v="143"/>
    <x v="5"/>
    <x v="6"/>
    <n v="1"/>
    <n v="1997"/>
    <n v="8.499232000000001"/>
    <n v="13.965034965034965"/>
    <s v="Jan"/>
    <x v="4"/>
    <m/>
    <m/>
  </r>
  <r>
    <n v="69717802"/>
    <x v="1"/>
    <n v="2938"/>
    <d v="2026-01-30T00:00:00"/>
    <s v="BR Carbsmart IC Bars 8-6PK"/>
    <x v="23"/>
    <n v="4.2560000000000002E-3"/>
    <n v="143"/>
    <x v="5"/>
    <x v="6"/>
    <n v="1"/>
    <n v="2938"/>
    <n v="12.504128000000001"/>
    <n v="20.545454545454547"/>
    <s v="Jan"/>
    <x v="4"/>
    <m/>
    <m/>
  </r>
  <r>
    <n v="69717802"/>
    <x v="1"/>
    <n v="143"/>
    <d v="2026-02-02T00:00:00"/>
    <s v="BR Carbsmart IC Bars 8-6PK"/>
    <x v="23"/>
    <n v="4.2560000000000002E-3"/>
    <n v="143"/>
    <x v="5"/>
    <x v="6"/>
    <n v="1"/>
    <n v="143"/>
    <n v="0.60860800000000004"/>
    <n v="1"/>
    <s v="Feb"/>
    <x v="8"/>
    <m/>
    <m/>
  </r>
  <r>
    <n v="69717802"/>
    <x v="1"/>
    <n v="691"/>
    <d v="2026-01-30T00:00:00"/>
    <s v="BR Carbsmart IC Bars 8-6PK"/>
    <x v="23"/>
    <n v="4.2560000000000002E-3"/>
    <n v="143"/>
    <x v="5"/>
    <x v="6"/>
    <n v="1"/>
    <n v="691"/>
    <n v="2.940896"/>
    <n v="4.8321678321678325"/>
    <s v="Jan"/>
    <x v="4"/>
    <m/>
    <m/>
  </r>
  <r>
    <n v="69717802"/>
    <x v="1"/>
    <n v="5147"/>
    <d v="2026-01-31T00:00:00"/>
    <s v="BR Carbsmart IC Bars 8-6PK"/>
    <x v="23"/>
    <n v="4.2560000000000002E-3"/>
    <n v="143"/>
    <x v="5"/>
    <x v="6"/>
    <n v="1"/>
    <n v="5147"/>
    <n v="21.905632000000001"/>
    <n v="35.993006993006993"/>
    <s v="Jan"/>
    <x v="4"/>
    <m/>
    <m/>
  </r>
  <r>
    <n v="69717802"/>
    <x v="1"/>
    <n v="-143"/>
    <d v="2026-02-06T00:00:00"/>
    <s v="BR Carbsmart IC Bars 8-6PK"/>
    <x v="23"/>
    <n v="4.2560000000000002E-3"/>
    <n v="143"/>
    <x v="5"/>
    <x v="6"/>
    <n v="1"/>
    <n v="-143"/>
    <n v="-0.60860800000000004"/>
    <n v="-1"/>
    <s v="Feb"/>
    <x v="8"/>
    <m/>
    <m/>
  </r>
  <r>
    <n v="69717802"/>
    <x v="1"/>
    <n v="6006"/>
    <d v="2026-01-31T00:00:00"/>
    <s v="BR Carbsmart IC Bars 8-6PK"/>
    <x v="23"/>
    <n v="4.2560000000000002E-3"/>
    <n v="143"/>
    <x v="5"/>
    <x v="6"/>
    <n v="1"/>
    <n v="6006"/>
    <n v="25.561536"/>
    <n v="42"/>
    <s v="Jan"/>
    <x v="4"/>
    <m/>
    <m/>
  </r>
  <r>
    <n v="69717802"/>
    <x v="1"/>
    <n v="1892"/>
    <d v="2026-02-01T00:00:00"/>
    <s v="BR Carbsmart IC Bars 8-6PK"/>
    <x v="23"/>
    <n v="4.2560000000000002E-3"/>
    <n v="143"/>
    <x v="5"/>
    <x v="6"/>
    <n v="1"/>
    <n v="1892"/>
    <n v="8.0523520000000008"/>
    <n v="13.23076923076923"/>
    <s v="Feb"/>
    <x v="8"/>
    <m/>
    <m/>
  </r>
  <r>
    <n v="69717802"/>
    <x v="1"/>
    <n v="2574"/>
    <d v="2026-02-18T00:00:00"/>
    <s v="BR Carbsmart IC Bars 8-6PK"/>
    <x v="13"/>
    <n v="4.2560000000000002E-3"/>
    <n v="143"/>
    <x v="5"/>
    <x v="6"/>
    <n v="1"/>
    <n v="2574"/>
    <n v="10.954944000000001"/>
    <n v="18"/>
    <s v="Feb"/>
    <x v="5"/>
    <m/>
    <m/>
  </r>
  <r>
    <n v="69717802"/>
    <x v="1"/>
    <n v="3150"/>
    <d v="2026-02-18T00:00:00"/>
    <s v="BR Carbsmart IC Bars 8-6PK"/>
    <x v="13"/>
    <n v="4.2560000000000002E-3"/>
    <n v="143"/>
    <x v="5"/>
    <x v="6"/>
    <n v="1"/>
    <n v="3150"/>
    <n v="13.406400000000001"/>
    <n v="22.027972027972027"/>
    <s v="Feb"/>
    <x v="5"/>
    <m/>
    <m/>
  </r>
  <r>
    <n v="69717802"/>
    <x v="1"/>
    <n v="4147"/>
    <d v="2026-02-19T00:00:00"/>
    <s v="BR Carbsmart IC Bars 8-6PK"/>
    <x v="13"/>
    <n v="4.2560000000000002E-3"/>
    <n v="143"/>
    <x v="5"/>
    <x v="6"/>
    <n v="1"/>
    <n v="4147"/>
    <n v="17.649632"/>
    <n v="29"/>
    <s v="Feb"/>
    <x v="5"/>
    <m/>
    <m/>
  </r>
  <r>
    <n v="69717802"/>
    <x v="1"/>
    <n v="4719"/>
    <d v="2026-02-19T00:00:00"/>
    <s v="BR Carbsmart IC Bars 8-6PK"/>
    <x v="13"/>
    <n v="4.2560000000000002E-3"/>
    <n v="143"/>
    <x v="5"/>
    <x v="6"/>
    <n v="1"/>
    <n v="4719"/>
    <n v="20.084064000000001"/>
    <n v="33"/>
    <s v="Feb"/>
    <x v="5"/>
    <m/>
    <m/>
  </r>
  <r>
    <n v="69717802"/>
    <x v="1"/>
    <n v="4862"/>
    <d v="2026-02-20T00:00:00"/>
    <s v="BR Carbsmart IC Bars 8-6PK"/>
    <x v="13"/>
    <n v="4.2560000000000002E-3"/>
    <n v="143"/>
    <x v="5"/>
    <x v="6"/>
    <n v="1"/>
    <n v="4862"/>
    <n v="20.692672000000002"/>
    <n v="34"/>
    <s v="Feb"/>
    <x v="5"/>
    <m/>
    <m/>
  </r>
  <r>
    <n v="69717802"/>
    <x v="1"/>
    <n v="5005"/>
    <d v="2026-02-20T00:00:00"/>
    <s v="BR Carbsmart IC Bars 8-6PK"/>
    <x v="13"/>
    <n v="4.2560000000000002E-3"/>
    <n v="143"/>
    <x v="5"/>
    <x v="6"/>
    <n v="1"/>
    <n v="5005"/>
    <n v="21.301280000000002"/>
    <n v="35"/>
    <s v="Feb"/>
    <x v="5"/>
    <m/>
    <m/>
  </r>
  <r>
    <n v="69717802"/>
    <x v="1"/>
    <n v="2027"/>
    <d v="2026-02-21T00:00:00"/>
    <s v="BR Carbsmart IC Bars 8-6PK"/>
    <x v="13"/>
    <n v="4.2560000000000002E-3"/>
    <n v="143"/>
    <x v="5"/>
    <x v="6"/>
    <n v="1"/>
    <n v="2027"/>
    <n v="8.6269120000000008"/>
    <n v="14.174825174825175"/>
    <s v="Feb"/>
    <x v="5"/>
    <m/>
    <m/>
  </r>
  <r>
    <n v="69717802"/>
    <x v="1"/>
    <n v="4862"/>
    <d v="2026-02-21T00:00:00"/>
    <s v="BR Carbsmart IC Bars 8-6PK"/>
    <x v="13"/>
    <n v="4.2560000000000002E-3"/>
    <n v="143"/>
    <x v="5"/>
    <x v="6"/>
    <n v="1"/>
    <n v="4862"/>
    <n v="20.692672000000002"/>
    <n v="34"/>
    <s v="Feb"/>
    <x v="5"/>
    <m/>
    <m/>
  </r>
  <r>
    <n v="69717802"/>
    <x v="1"/>
    <n v="3409"/>
    <d v="2026-02-22T00:00:00"/>
    <s v="BR Carbsmart IC Bars 8-6PK"/>
    <x v="13"/>
    <n v="4.2560000000000002E-3"/>
    <n v="143"/>
    <x v="5"/>
    <x v="6"/>
    <n v="1"/>
    <n v="3409"/>
    <n v="14.508704000000002"/>
    <n v="23.83916083916084"/>
    <s v="Feb"/>
    <x v="6"/>
    <m/>
    <m/>
  </r>
  <r>
    <n v="69717802"/>
    <x v="1"/>
    <n v="4576"/>
    <d v="2026-02-22T00:00:00"/>
    <s v="BR Carbsmart IC Bars 8-6PK"/>
    <x v="13"/>
    <n v="4.2560000000000002E-3"/>
    <n v="143"/>
    <x v="5"/>
    <x v="6"/>
    <n v="1"/>
    <n v="4576"/>
    <n v="19.475456000000001"/>
    <n v="32"/>
    <s v="Feb"/>
    <x v="6"/>
    <m/>
    <m/>
  </r>
  <r>
    <n v="69983234"/>
    <x v="1"/>
    <n v="308"/>
    <d v="2026-02-16T00:00:00"/>
    <s v="GH Creamsicle Bar 100 CAL 8-6PK"/>
    <x v="19"/>
    <n v="3.9039999999999999E-3"/>
    <n v="154"/>
    <x v="7"/>
    <x v="10"/>
    <n v="1"/>
    <n v="308"/>
    <n v="1.2024319999999999"/>
    <n v="2"/>
    <s v="Feb"/>
    <x v="5"/>
    <m/>
    <m/>
  </r>
  <r>
    <n v="69983234"/>
    <x v="1"/>
    <n v="265"/>
    <d v="2026-02-17T00:00:00"/>
    <s v="GH Creamsicle Bar 100 CAL 8-6PK"/>
    <x v="19"/>
    <n v="3.9039999999999999E-3"/>
    <n v="154"/>
    <x v="7"/>
    <x v="10"/>
    <n v="1"/>
    <n v="265"/>
    <n v="1.0345599999999999"/>
    <n v="1.7207792207792207"/>
    <s v="Feb"/>
    <x v="5"/>
    <m/>
    <m/>
  </r>
  <r>
    <n v="69983234"/>
    <x v="1"/>
    <n v="354"/>
    <d v="2026-02-17T00:00:00"/>
    <s v="GH Creamsicle Bar 100 CAL 8-6PK"/>
    <x v="19"/>
    <n v="3.9039999999999999E-3"/>
    <n v="154"/>
    <x v="7"/>
    <x v="10"/>
    <n v="1"/>
    <n v="354"/>
    <n v="1.3820159999999999"/>
    <n v="2.2987012987012987"/>
    <s v="Feb"/>
    <x v="5"/>
    <m/>
    <m/>
  </r>
  <r>
    <n v="69983234"/>
    <x v="1"/>
    <n v="1522"/>
    <d v="2026-02-18T00:00:00"/>
    <s v="GH Creamsicle Bar 100 CAL 8-6PK"/>
    <x v="19"/>
    <n v="3.9039999999999999E-3"/>
    <n v="154"/>
    <x v="7"/>
    <x v="10"/>
    <n v="1"/>
    <n v="1522"/>
    <n v="5.9418879999999996"/>
    <n v="9.8831168831168839"/>
    <s v="Feb"/>
    <x v="5"/>
    <m/>
    <m/>
  </r>
  <r>
    <n v="69983234"/>
    <x v="1"/>
    <n v="2031"/>
    <d v="2026-02-18T00:00:00"/>
    <s v="GH Creamsicle Bar 100 CAL 8-6PK"/>
    <x v="19"/>
    <n v="3.9039999999999999E-3"/>
    <n v="154"/>
    <x v="7"/>
    <x v="10"/>
    <n v="1"/>
    <n v="2031"/>
    <n v="7.9290240000000001"/>
    <n v="13.188311688311689"/>
    <s v="Feb"/>
    <x v="5"/>
    <m/>
    <m/>
  </r>
  <r>
    <n v="69983234"/>
    <x v="1"/>
    <n v="1987"/>
    <d v="2026-02-19T00:00:00"/>
    <s v="GH Creamsicle Bar 100 CAL 8-6PK"/>
    <x v="19"/>
    <n v="3.9039999999999999E-3"/>
    <n v="154"/>
    <x v="7"/>
    <x v="10"/>
    <n v="1"/>
    <n v="1987"/>
    <n v="7.7572479999999997"/>
    <n v="12.902597402597403"/>
    <s v="Feb"/>
    <x v="5"/>
    <m/>
    <m/>
  </r>
  <r>
    <n v="69983234"/>
    <x v="1"/>
    <n v="2092"/>
    <d v="2026-02-19T00:00:00"/>
    <s v="GH Creamsicle Bar 100 CAL 8-6PK"/>
    <x v="19"/>
    <n v="3.9039999999999999E-3"/>
    <n v="154"/>
    <x v="7"/>
    <x v="10"/>
    <n v="1"/>
    <n v="2092"/>
    <n v="8.1671680000000002"/>
    <n v="13.584415584415584"/>
    <s v="Feb"/>
    <x v="5"/>
    <m/>
    <m/>
  </r>
  <r>
    <n v="69983234"/>
    <x v="1"/>
    <n v="2057"/>
    <d v="2026-02-20T00:00:00"/>
    <s v="GH Creamsicle Bar 100 CAL 8-6PK"/>
    <x v="19"/>
    <n v="3.9039999999999999E-3"/>
    <n v="154"/>
    <x v="7"/>
    <x v="10"/>
    <n v="1"/>
    <n v="2057"/>
    <n v="8.0305280000000003"/>
    <n v="13.357142857142858"/>
    <s v="Feb"/>
    <x v="5"/>
    <m/>
    <m/>
  </r>
  <r>
    <n v="69983234"/>
    <x v="1"/>
    <n v="2410"/>
    <d v="2026-02-20T00:00:00"/>
    <s v="GH Creamsicle Bar 100 CAL 8-6PK"/>
    <x v="19"/>
    <n v="3.9039999999999999E-3"/>
    <n v="154"/>
    <x v="7"/>
    <x v="10"/>
    <n v="1"/>
    <n v="2410"/>
    <n v="9.4086400000000001"/>
    <n v="15.64935064935065"/>
    <s v="Feb"/>
    <x v="5"/>
    <m/>
    <m/>
  </r>
  <r>
    <n v="69983234"/>
    <x v="1"/>
    <n v="1337"/>
    <d v="2026-02-21T00:00:00"/>
    <s v="GH Creamsicle Bar 100 CAL 8-6PK"/>
    <x v="19"/>
    <n v="3.9039999999999999E-3"/>
    <n v="154"/>
    <x v="7"/>
    <x v="10"/>
    <n v="1"/>
    <n v="1337"/>
    <n v="5.2196480000000003"/>
    <n v="8.6818181818181817"/>
    <s v="Feb"/>
    <x v="5"/>
    <m/>
    <m/>
  </r>
  <r>
    <n v="69999267"/>
    <x v="1"/>
    <n v="9164"/>
    <d v="2026-02-18T00:00:00"/>
    <s v="BJ US-IC-GimmeSmore-8 1PT"/>
    <x v="22"/>
    <n v="3.7839999999999996E-3"/>
    <n v="240"/>
    <x v="3"/>
    <x v="12"/>
    <n v="1"/>
    <n v="9164"/>
    <n v="34.676575999999997"/>
    <n v="38.18333333333333"/>
    <s v="Feb"/>
    <x v="5"/>
    <m/>
    <m/>
  </r>
  <r>
    <n v="69999267"/>
    <x v="1"/>
    <n v="10670"/>
    <d v="2026-02-19T00:00:00"/>
    <s v="BJ US-IC-GimmeSmore-8 1PT"/>
    <x v="22"/>
    <n v="3.7839999999999996E-3"/>
    <n v="240"/>
    <x v="3"/>
    <x v="12"/>
    <n v="1"/>
    <n v="10670"/>
    <n v="40.375279999999997"/>
    <n v="44.458333333333336"/>
    <s v="Feb"/>
    <x v="5"/>
    <m/>
    <m/>
  </r>
  <r>
    <n v="69999267"/>
    <x v="1"/>
    <n v="6899"/>
    <d v="2026-02-19T00:00:00"/>
    <s v="BJ US-IC-GimmeSmore-8 1PT"/>
    <x v="22"/>
    <n v="3.7839999999999996E-3"/>
    <n v="240"/>
    <x v="3"/>
    <x v="12"/>
    <n v="1"/>
    <n v="6899"/>
    <n v="26.105815999999997"/>
    <n v="28.745833333333334"/>
    <s v="Feb"/>
    <x v="5"/>
    <m/>
    <m/>
  </r>
  <r>
    <n v="69999267"/>
    <x v="1"/>
    <n v="7282"/>
    <d v="2026-02-20T00:00:00"/>
    <s v="BJ US-IC-GimmeSmore-8 1PT"/>
    <x v="22"/>
    <n v="3.7839999999999996E-3"/>
    <n v="240"/>
    <x v="3"/>
    <x v="12"/>
    <n v="1"/>
    <n v="7282"/>
    <n v="27.555087999999998"/>
    <n v="30.341666666666665"/>
    <s v="Feb"/>
    <x v="5"/>
    <m/>
    <m/>
  </r>
  <r>
    <n v="69999267"/>
    <x v="1"/>
    <n v="1440"/>
    <d v="2026-02-18T00:00:00"/>
    <s v="BJ US-IC-GimmeSmore-8 1PT"/>
    <x v="22"/>
    <n v="3.7839999999999996E-3"/>
    <n v="240"/>
    <x v="3"/>
    <x v="12"/>
    <n v="1"/>
    <n v="1440"/>
    <n v="5.4489599999999996"/>
    <n v="6"/>
    <s v="Feb"/>
    <x v="5"/>
    <m/>
    <m/>
  </r>
  <r>
    <n v="84144598"/>
    <x v="1"/>
    <n v="62"/>
    <d v="2026-02-04T00:00:00"/>
    <s v="BJ US-IC-VanillaCaramelFdg-FTNG-8 1PT"/>
    <x v="22"/>
    <n v="3.7853439999999999E-3"/>
    <n v="240"/>
    <x v="3"/>
    <x v="12"/>
    <n v="1"/>
    <n v="62"/>
    <n v="0.234691328"/>
    <n v="0.25833333333333336"/>
    <s v="Feb"/>
    <x v="8"/>
    <m/>
    <m/>
  </r>
  <r>
    <n v="64874631"/>
    <x v="4"/>
    <n v="1890"/>
    <d v="2026-02-09T00:00:00"/>
    <s v="KL Cookies and Creme IC SW 6-4PK"/>
    <x v="46"/>
    <n v="2.8380000000000002E-3"/>
    <n v="189"/>
    <x v="12"/>
    <x v="19"/>
    <n v="1"/>
    <n v="1890"/>
    <n v="5.3638200000000005"/>
    <n v="10"/>
    <s v="Feb"/>
    <x v="7"/>
    <m/>
    <m/>
  </r>
  <r>
    <n v="64874631"/>
    <x v="4"/>
    <n v="378"/>
    <d v="2026-02-10T00:00:00"/>
    <s v="KL Cookies and Creme IC SW 6-4PK"/>
    <x v="46"/>
    <n v="2.8380000000000002E-3"/>
    <n v="189"/>
    <x v="12"/>
    <x v="19"/>
    <n v="1"/>
    <n v="378"/>
    <n v="1.0727640000000001"/>
    <n v="2"/>
    <s v="Feb"/>
    <x v="7"/>
    <m/>
    <m/>
  </r>
  <r>
    <n v="64874631"/>
    <x v="4"/>
    <n v="3969"/>
    <d v="2026-02-10T00:00:00"/>
    <s v="KL Cookies and Creme IC SW 6-4PK"/>
    <x v="46"/>
    <n v="2.8380000000000002E-3"/>
    <n v="189"/>
    <x v="12"/>
    <x v="19"/>
    <n v="1"/>
    <n v="3969"/>
    <n v="11.264022000000001"/>
    <n v="21"/>
    <s v="Feb"/>
    <x v="7"/>
    <m/>
    <m/>
  </r>
  <r>
    <n v="64874631"/>
    <x v="4"/>
    <n v="567"/>
    <d v="2026-02-11T00:00:00"/>
    <s v="KL Cookies and Creme IC SW 6-4PK"/>
    <x v="46"/>
    <n v="2.8380000000000002E-3"/>
    <n v="189"/>
    <x v="12"/>
    <x v="19"/>
    <n v="1"/>
    <n v="567"/>
    <n v="1.6091460000000002"/>
    <n v="3"/>
    <s v="Feb"/>
    <x v="7"/>
    <m/>
    <m/>
  </r>
  <r>
    <n v="64874631"/>
    <x v="4"/>
    <n v="4725"/>
    <d v="2026-02-11T00:00:00"/>
    <s v="KL Cookies and Creme IC SW 6-4PK"/>
    <x v="46"/>
    <n v="2.8380000000000002E-3"/>
    <n v="189"/>
    <x v="12"/>
    <x v="19"/>
    <n v="1"/>
    <n v="4725"/>
    <n v="13.409550000000001"/>
    <n v="25"/>
    <s v="Feb"/>
    <x v="7"/>
    <m/>
    <m/>
  </r>
  <r>
    <n v="64874631"/>
    <x v="4"/>
    <n v="1323"/>
    <d v="2026-02-12T00:00:00"/>
    <s v="KL Cookies and Creme IC SW 6-4PK"/>
    <x v="46"/>
    <n v="2.8380000000000002E-3"/>
    <n v="189"/>
    <x v="12"/>
    <x v="19"/>
    <n v="1"/>
    <n v="1323"/>
    <n v="3.7546740000000005"/>
    <n v="7"/>
    <s v="Feb"/>
    <x v="7"/>
    <m/>
    <m/>
  </r>
  <r>
    <n v="64874631"/>
    <x v="4"/>
    <n v="2592"/>
    <d v="2026-02-12T00:00:00"/>
    <s v="KL Cookies and Creme IC SW 6-4PK"/>
    <x v="46"/>
    <n v="2.8380000000000002E-3"/>
    <n v="189"/>
    <x v="12"/>
    <x v="19"/>
    <n v="1"/>
    <n v="2592"/>
    <n v="7.3560960000000009"/>
    <n v="13.714285714285714"/>
    <s v="Feb"/>
    <x v="7"/>
    <m/>
    <m/>
  </r>
  <r>
    <n v="64874633"/>
    <x v="4"/>
    <n v="280"/>
    <d v="2026-01-28T00:00:00"/>
    <s v="KL Cookies and Creme SW 1-24PK"/>
    <x v="31"/>
    <n v="3.192E-3"/>
    <n v="280"/>
    <x v="12"/>
    <x v="19"/>
    <n v="1"/>
    <n v="280"/>
    <n v="0.89376"/>
    <n v="1"/>
    <s v="Jan"/>
    <x v="4"/>
    <m/>
    <m/>
  </r>
  <r>
    <n v="64874633"/>
    <x v="4"/>
    <n v="4760"/>
    <d v="2026-01-28T00:00:00"/>
    <s v="KL Cookies and Creme SW 1-24PK"/>
    <x v="31"/>
    <n v="3.192E-3"/>
    <n v="280"/>
    <x v="12"/>
    <x v="19"/>
    <n v="1"/>
    <n v="4760"/>
    <n v="15.19392"/>
    <n v="17"/>
    <s v="Jan"/>
    <x v="4"/>
    <m/>
    <m/>
  </r>
  <r>
    <n v="64874633"/>
    <x v="4"/>
    <n v="839"/>
    <d v="2026-01-29T00:00:00"/>
    <s v="KL Cookies and Creme SW 1-24PK"/>
    <x v="31"/>
    <n v="3.192E-3"/>
    <n v="280"/>
    <x v="12"/>
    <x v="19"/>
    <n v="1"/>
    <n v="839"/>
    <n v="2.6780879999999998"/>
    <n v="2.9964285714285714"/>
    <s v="Jan"/>
    <x v="4"/>
    <m/>
    <m/>
  </r>
  <r>
    <n v="64874633"/>
    <x v="4"/>
    <n v="2505"/>
    <d v="2026-01-29T00:00:00"/>
    <s v="KL Cookies and Creme SW 1-24PK"/>
    <x v="31"/>
    <n v="3.192E-3"/>
    <n v="280"/>
    <x v="12"/>
    <x v="19"/>
    <n v="1"/>
    <n v="2505"/>
    <n v="7.9959600000000002"/>
    <n v="8.9464285714285712"/>
    <s v="Jan"/>
    <x v="4"/>
    <m/>
    <m/>
  </r>
  <r>
    <n v="64874633"/>
    <x v="4"/>
    <n v="560"/>
    <d v="2026-01-30T00:00:00"/>
    <s v="KL Cookies and Creme SW 1-24PK"/>
    <x v="31"/>
    <n v="3.192E-3"/>
    <n v="280"/>
    <x v="12"/>
    <x v="19"/>
    <n v="1"/>
    <n v="560"/>
    <n v="1.78752"/>
    <n v="2"/>
    <s v="Jan"/>
    <x v="4"/>
    <m/>
    <m/>
  </r>
  <r>
    <n v="64874633"/>
    <x v="4"/>
    <n v="416"/>
    <d v="2026-01-30T00:00:00"/>
    <s v="KL Cookies and Creme SW 1-24PK"/>
    <x v="31"/>
    <n v="3.192E-3"/>
    <n v="280"/>
    <x v="12"/>
    <x v="19"/>
    <n v="1"/>
    <n v="416"/>
    <n v="1.3278719999999999"/>
    <n v="1.4857142857142858"/>
    <s v="Jan"/>
    <x v="4"/>
    <m/>
    <m/>
  </r>
  <r>
    <n v="67826412"/>
    <x v="2"/>
    <n v="31680"/>
    <d v="2026-02-05T00:00:00"/>
    <s v="BJ US-IC-ChunkyMonkey-FTNG-8 1PT"/>
    <x v="24"/>
    <n v="3.7853439999999999E-3"/>
    <n v="240"/>
    <x v="3"/>
    <x v="4"/>
    <n v="1"/>
    <n v="31680"/>
    <n v="119.91969792"/>
    <n v="132"/>
    <s v="Feb"/>
    <x v="8"/>
    <m/>
    <m/>
  </r>
  <r>
    <n v="67826412"/>
    <x v="2"/>
    <n v="9840"/>
    <d v="2026-02-06T00:00:00"/>
    <s v="BJ US-IC-ChunkyMonkey-FTNG-8 1PT"/>
    <x v="24"/>
    <n v="3.7853439999999999E-3"/>
    <n v="240"/>
    <x v="3"/>
    <x v="4"/>
    <n v="1"/>
    <n v="9840"/>
    <n v="37.247784959999997"/>
    <n v="41"/>
    <s v="Feb"/>
    <x v="8"/>
    <m/>
    <m/>
  </r>
  <r>
    <n v="67826412"/>
    <x v="2"/>
    <n v="18534"/>
    <d v="2026-02-06T00:00:00"/>
    <s v="BJ US-IC-ChunkyMonkey-FTNG-8 1PT"/>
    <x v="24"/>
    <n v="3.7853439999999999E-3"/>
    <n v="240"/>
    <x v="3"/>
    <x v="4"/>
    <n v="1"/>
    <n v="18534"/>
    <n v="70.157565696000006"/>
    <n v="77.224999999999994"/>
    <s v="Feb"/>
    <x v="8"/>
    <m/>
    <m/>
  </r>
  <r>
    <n v="67826412"/>
    <x v="2"/>
    <n v="33774"/>
    <d v="2026-02-07T00:00:00"/>
    <s v="BJ US-IC-ChunkyMonkey-FTNG-8 1PT"/>
    <x v="24"/>
    <n v="3.7853439999999999E-3"/>
    <n v="240"/>
    <x v="3"/>
    <x v="4"/>
    <n v="1"/>
    <n v="33774"/>
    <n v="127.846208256"/>
    <n v="140.72499999999999"/>
    <s v="Feb"/>
    <x v="8"/>
    <m/>
    <m/>
  </r>
  <r>
    <n v="84135770"/>
    <x v="2"/>
    <n v="21120"/>
    <d v="2026-02-09T00:00:00"/>
    <s v="BJ US-IC-PistachioPistachio-FTNG-8 1PT"/>
    <x v="30"/>
    <n v="3.7853439999999999E-3"/>
    <n v="240"/>
    <x v="3"/>
    <x v="4"/>
    <n v="1"/>
    <n v="21120"/>
    <n v="79.946465279999998"/>
    <n v="88"/>
    <s v="Feb"/>
    <x v="7"/>
    <m/>
    <m/>
  </r>
  <r>
    <n v="84135770"/>
    <x v="2"/>
    <n v="2880"/>
    <d v="2026-02-10T00:00:00"/>
    <s v="BJ US-IC-PistachioPistachio-FTNG-8 1PT"/>
    <x v="30"/>
    <n v="3.7853439999999999E-3"/>
    <n v="240"/>
    <x v="3"/>
    <x v="4"/>
    <n v="1"/>
    <n v="2880"/>
    <n v="10.901790719999999"/>
    <n v="12"/>
    <s v="Feb"/>
    <x v="7"/>
    <m/>
    <m/>
  </r>
  <r>
    <n v="84135770"/>
    <x v="2"/>
    <n v="38640"/>
    <d v="2026-02-10T00:00:00"/>
    <s v="BJ US-IC-PistachioPistachio-FTNG-8 1PT"/>
    <x v="30"/>
    <n v="3.7853439999999999E-3"/>
    <n v="240"/>
    <x v="3"/>
    <x v="4"/>
    <n v="1"/>
    <n v="38640"/>
    <n v="146.26569215999999"/>
    <n v="161"/>
    <s v="Feb"/>
    <x v="7"/>
    <m/>
    <m/>
  </r>
  <r>
    <n v="84135770"/>
    <x v="2"/>
    <n v="34270"/>
    <d v="2026-02-11T00:00:00"/>
    <s v="BJ US-IC-PistachioPistachio-FTNG-8 1PT"/>
    <x v="30"/>
    <n v="3.7853439999999999E-3"/>
    <n v="240"/>
    <x v="3"/>
    <x v="4"/>
    <n v="1"/>
    <n v="34270"/>
    <n v="129.72373887999998"/>
    <n v="142.79166666666666"/>
    <s v="Feb"/>
    <x v="7"/>
    <m/>
    <m/>
  </r>
  <r>
    <n v="84137725"/>
    <x v="2"/>
    <n v="7680"/>
    <d v="2026-02-19T00:00:00"/>
    <s v="BJ US-IC-CherryGarcia-FTNG-8 1PT"/>
    <x v="10"/>
    <n v="3.7853439999999999E-3"/>
    <n v="240"/>
    <x v="3"/>
    <x v="4"/>
    <n v="1"/>
    <n v="7680"/>
    <n v="29.071441919999998"/>
    <n v="32"/>
    <s v="Feb"/>
    <x v="5"/>
    <m/>
    <m/>
  </r>
  <r>
    <n v="84137725"/>
    <x v="2"/>
    <n v="29520"/>
    <d v="2026-02-20T00:00:00"/>
    <s v="BJ US-IC-CherryGarcia-FTNG-8 1PT"/>
    <x v="10"/>
    <n v="3.7853439999999999E-3"/>
    <n v="240"/>
    <x v="3"/>
    <x v="4"/>
    <n v="1"/>
    <n v="29520"/>
    <n v="111.74335488"/>
    <n v="123"/>
    <s v="Feb"/>
    <x v="5"/>
    <m/>
    <m/>
  </r>
  <r>
    <n v="84137725"/>
    <x v="2"/>
    <n v="24240"/>
    <d v="2026-02-21T00:00:00"/>
    <s v="BJ US-IC-CherryGarcia-FTNG-8 1PT"/>
    <x v="10"/>
    <n v="3.7853439999999999E-3"/>
    <n v="240"/>
    <x v="3"/>
    <x v="4"/>
    <n v="1"/>
    <n v="24240"/>
    <n v="91.756738560000002"/>
    <n v="101"/>
    <s v="Feb"/>
    <x v="5"/>
    <m/>
    <m/>
  </r>
  <r>
    <n v="84137725"/>
    <x v="2"/>
    <n v="17520"/>
    <d v="2026-02-21T00:00:00"/>
    <s v="BJ US-IC-CherryGarcia-FTNG-8 1PT"/>
    <x v="10"/>
    <n v="3.7853439999999999E-3"/>
    <n v="240"/>
    <x v="3"/>
    <x v="4"/>
    <n v="1"/>
    <n v="17520"/>
    <n v="66.319226880000002"/>
    <n v="73"/>
    <s v="Feb"/>
    <x v="5"/>
    <m/>
    <m/>
  </r>
  <r>
    <n v="84137725"/>
    <x v="2"/>
    <n v="17381"/>
    <d v="2026-02-22T00:00:00"/>
    <s v="BJ US-IC-CherryGarcia-FTNG-8 1PT"/>
    <x v="10"/>
    <n v="3.7853439999999999E-3"/>
    <n v="240"/>
    <x v="3"/>
    <x v="4"/>
    <n v="1"/>
    <n v="17381"/>
    <n v="65.793064063999992"/>
    <n v="72.420833333333334"/>
    <s v="Feb"/>
    <x v="6"/>
    <m/>
    <m/>
  </r>
  <r>
    <n v="84141102"/>
    <x v="2"/>
    <n v="19680"/>
    <d v="2026-02-01T00:00:00"/>
    <s v="BJ US-IC-ChocFudgBrownie-FTNG-8 1PT"/>
    <x v="30"/>
    <n v="3.7853439999999999E-3"/>
    <n v="240"/>
    <x v="3"/>
    <x v="4"/>
    <n v="1"/>
    <n v="19680"/>
    <n v="74.495569919999994"/>
    <n v="82"/>
    <s v="Feb"/>
    <x v="8"/>
    <m/>
    <m/>
  </r>
  <r>
    <n v="84141102"/>
    <x v="2"/>
    <n v="10080"/>
    <d v="2026-02-01T00:00:00"/>
    <s v="BJ US-IC-ChocFudgBrownie-FTNG-8 1PT"/>
    <x v="30"/>
    <n v="3.7853439999999999E-3"/>
    <n v="240"/>
    <x v="3"/>
    <x v="4"/>
    <n v="1"/>
    <n v="10080"/>
    <n v="38.15626752"/>
    <n v="42"/>
    <s v="Feb"/>
    <x v="8"/>
    <m/>
    <m/>
  </r>
  <r>
    <n v="84141102"/>
    <x v="2"/>
    <n v="19919"/>
    <d v="2026-02-02T00:00:00"/>
    <s v="BJ US-IC-ChocFudgBrownie-FTNG-8 1PT"/>
    <x v="30"/>
    <n v="3.7853439999999999E-3"/>
    <n v="240"/>
    <x v="3"/>
    <x v="4"/>
    <n v="1"/>
    <n v="19919"/>
    <n v="75.400267135999997"/>
    <n v="82.995833333333337"/>
    <s v="Feb"/>
    <x v="8"/>
    <m/>
    <m/>
  </r>
  <r>
    <n v="84141102"/>
    <x v="2"/>
    <n v="23456"/>
    <d v="2026-02-03T00:00:00"/>
    <s v="BJ US-IC-ChocFudgBrownie-FTNG-8 1PT"/>
    <x v="30"/>
    <n v="3.7853439999999999E-3"/>
    <n v="240"/>
    <x v="3"/>
    <x v="4"/>
    <n v="1"/>
    <n v="23456"/>
    <n v="88.789028864000002"/>
    <n v="97.733333333333334"/>
    <s v="Feb"/>
    <x v="8"/>
    <m/>
    <m/>
  </r>
  <r>
    <n v="84141102"/>
    <x v="2"/>
    <n v="11040"/>
    <d v="2026-02-15T00:00:00"/>
    <s v="BJ US-IC-ChocFudgBrownie-FTNG-8 1PT"/>
    <x v="30"/>
    <n v="3.7853439999999999E-3"/>
    <n v="240"/>
    <x v="3"/>
    <x v="4"/>
    <n v="1"/>
    <n v="11040"/>
    <n v="41.790197759999998"/>
    <n v="46"/>
    <s v="Feb"/>
    <x v="5"/>
    <m/>
    <m/>
  </r>
  <r>
    <n v="84141102"/>
    <x v="2"/>
    <n v="26400"/>
    <d v="2026-02-16T00:00:00"/>
    <s v="BJ US-IC-ChocFudgBrownie-FTNG-8 1PT"/>
    <x v="30"/>
    <n v="3.7853439999999999E-3"/>
    <n v="240"/>
    <x v="3"/>
    <x v="4"/>
    <n v="1"/>
    <n v="26400"/>
    <n v="99.933081599999994"/>
    <n v="110"/>
    <s v="Feb"/>
    <x v="5"/>
    <m/>
    <m/>
  </r>
  <r>
    <n v="84141102"/>
    <x v="2"/>
    <n v="2640"/>
    <d v="2026-02-16T00:00:00"/>
    <s v="BJ US-IC-ChocFudgBrownie-FTNG-8 1PT"/>
    <x v="30"/>
    <n v="3.7853439999999999E-3"/>
    <n v="240"/>
    <x v="3"/>
    <x v="4"/>
    <n v="1"/>
    <n v="2640"/>
    <n v="9.9933081599999998"/>
    <n v="11"/>
    <s v="Feb"/>
    <x v="5"/>
    <m/>
    <m/>
  </r>
  <r>
    <n v="84141102"/>
    <x v="2"/>
    <n v="19440"/>
    <d v="2026-02-17T00:00:00"/>
    <s v="BJ US-IC-ChocFudgBrownie-FTNG-8 1PT"/>
    <x v="30"/>
    <n v="3.7853439999999999E-3"/>
    <n v="240"/>
    <x v="3"/>
    <x v="4"/>
    <n v="1"/>
    <n v="19440"/>
    <n v="73.587087359999998"/>
    <n v="81"/>
    <s v="Feb"/>
    <x v="5"/>
    <m/>
    <m/>
  </r>
  <r>
    <n v="84141102"/>
    <x v="2"/>
    <n v="21109"/>
    <d v="2026-02-18T00:00:00"/>
    <s v="BJ US-IC-ChocFudgBrownie-FTNG-8 1PT"/>
    <x v="30"/>
    <n v="3.7853439999999999E-3"/>
    <n v="240"/>
    <x v="3"/>
    <x v="4"/>
    <n v="1"/>
    <n v="21109"/>
    <n v="79.904826495999998"/>
    <n v="87.954166666666666"/>
    <s v="Feb"/>
    <x v="5"/>
    <m/>
    <m/>
  </r>
  <r>
    <n v="84141103"/>
    <x v="2"/>
    <n v="13680"/>
    <d v="2026-01-28T00:00:00"/>
    <s v="BJ US-IC-HalfBaked-FTNG-8 1PT"/>
    <x v="30"/>
    <n v="3.7853439999999999E-3"/>
    <n v="240"/>
    <x v="3"/>
    <x v="4"/>
    <n v="1"/>
    <n v="13680"/>
    <n v="51.783505919999996"/>
    <n v="57"/>
    <s v="Jan"/>
    <x v="4"/>
    <m/>
    <m/>
  </r>
  <r>
    <n v="84141103"/>
    <x v="2"/>
    <n v="39600"/>
    <d v="2026-01-29T00:00:00"/>
    <s v="BJ US-IC-HalfBaked-FTNG-8 1PT"/>
    <x v="30"/>
    <n v="3.7853439999999999E-3"/>
    <n v="240"/>
    <x v="3"/>
    <x v="4"/>
    <n v="1"/>
    <n v="39600"/>
    <n v="149.8996224"/>
    <n v="165"/>
    <s v="Jan"/>
    <x v="4"/>
    <m/>
    <m/>
  </r>
  <r>
    <n v="84141103"/>
    <x v="2"/>
    <n v="24960"/>
    <d v="2026-01-30T00:00:00"/>
    <s v="BJ US-IC-HalfBaked-FTNG-8 1PT"/>
    <x v="30"/>
    <n v="3.7853439999999999E-3"/>
    <n v="240"/>
    <x v="3"/>
    <x v="4"/>
    <n v="1"/>
    <n v="24960"/>
    <n v="94.482186240000004"/>
    <n v="104"/>
    <s v="Jan"/>
    <x v="4"/>
    <m/>
    <m/>
  </r>
  <r>
    <n v="84141103"/>
    <x v="2"/>
    <n v="18240"/>
    <d v="2026-01-30T00:00:00"/>
    <s v="BJ US-IC-HalfBaked-FTNG-8 1PT"/>
    <x v="30"/>
    <n v="3.7853439999999999E-3"/>
    <n v="240"/>
    <x v="3"/>
    <x v="4"/>
    <n v="1"/>
    <n v="18240"/>
    <n v="69.044674560000004"/>
    <n v="76"/>
    <s v="Jan"/>
    <x v="4"/>
    <m/>
    <m/>
  </r>
  <r>
    <n v="84141103"/>
    <x v="2"/>
    <n v="9050"/>
    <d v="2026-01-31T00:00:00"/>
    <s v="BJ US-IC-HalfBaked-FTNG-8 1PT"/>
    <x v="30"/>
    <n v="3.7853439999999999E-3"/>
    <n v="240"/>
    <x v="3"/>
    <x v="4"/>
    <n v="1"/>
    <n v="9050"/>
    <n v="34.2573632"/>
    <n v="37.708333333333336"/>
    <s v="Jan"/>
    <x v="4"/>
    <m/>
    <m/>
  </r>
  <r>
    <n v="84141103"/>
    <x v="2"/>
    <n v="10080"/>
    <d v="2026-02-12T00:00:00"/>
    <s v="BJ US-IC-HalfBaked-FTNG-8 1PT"/>
    <x v="30"/>
    <n v="3.7853439999999999E-3"/>
    <n v="240"/>
    <x v="3"/>
    <x v="4"/>
    <n v="1"/>
    <n v="10080"/>
    <n v="38.15626752"/>
    <n v="42"/>
    <s v="Feb"/>
    <x v="7"/>
    <m/>
    <m/>
  </r>
  <r>
    <n v="84141103"/>
    <x v="2"/>
    <n v="39120"/>
    <d v="2026-02-13T00:00:00"/>
    <s v="BJ US-IC-HalfBaked-FTNG-8 1PT"/>
    <x v="30"/>
    <n v="3.7853439999999999E-3"/>
    <n v="240"/>
    <x v="3"/>
    <x v="4"/>
    <n v="1"/>
    <n v="39120"/>
    <n v="148.08265728000001"/>
    <n v="163"/>
    <s v="Feb"/>
    <x v="7"/>
    <m/>
    <m/>
  </r>
  <r>
    <n v="84141103"/>
    <x v="2"/>
    <n v="3840"/>
    <d v="2026-02-13T00:00:00"/>
    <s v="BJ US-IC-HalfBaked-FTNG-8 1PT"/>
    <x v="30"/>
    <n v="3.7853439999999999E-3"/>
    <n v="240"/>
    <x v="3"/>
    <x v="4"/>
    <n v="1"/>
    <n v="3840"/>
    <n v="14.535720959999999"/>
    <n v="16"/>
    <s v="Feb"/>
    <x v="7"/>
    <m/>
    <m/>
  </r>
  <r>
    <n v="84141103"/>
    <x v="2"/>
    <n v="42720"/>
    <d v="2026-02-14T00:00:00"/>
    <s v="BJ US-IC-HalfBaked-FTNG-8 1PT"/>
    <x v="30"/>
    <n v="3.7853439999999999E-3"/>
    <n v="240"/>
    <x v="3"/>
    <x v="4"/>
    <n v="1"/>
    <n v="42720"/>
    <n v="161.70989567999999"/>
    <n v="178"/>
    <s v="Feb"/>
    <x v="7"/>
    <m/>
    <m/>
  </r>
  <r>
    <n v="84141103"/>
    <x v="2"/>
    <n v="8160"/>
    <d v="2026-02-15T00:00:00"/>
    <s v="BJ US-IC-HalfBaked-FTNG-8 1PT"/>
    <x v="30"/>
    <n v="3.7853439999999999E-3"/>
    <n v="240"/>
    <x v="3"/>
    <x v="4"/>
    <n v="1"/>
    <n v="8160"/>
    <n v="30.888407040000001"/>
    <n v="34"/>
    <s v="Feb"/>
    <x v="5"/>
    <m/>
    <m/>
  </r>
  <r>
    <n v="84150062"/>
    <x v="2"/>
    <n v="8824"/>
    <d v="2026-02-01T00:00:00"/>
    <s v="BJ AMET-IC-ChocFudgeBrwn-FTNG-8 458ML"/>
    <x v="10"/>
    <n v="3.7839999999999996E-3"/>
    <n v="240"/>
    <x v="10"/>
    <x v="16"/>
    <n v="1"/>
    <n v="8824"/>
    <n v="33.390015999999996"/>
    <n v="36.766666666666666"/>
    <s v="Feb"/>
    <x v="8"/>
    <m/>
    <m/>
  </r>
  <r>
    <n v="84162829"/>
    <x v="2"/>
    <n v="6031"/>
    <d v="2026-01-31T00:00:00"/>
    <s v="BJ SORV-IC-ChocFdgBrownie-8 458ML"/>
    <x v="10"/>
    <n v="3.3839999999999999E-3"/>
    <n v="240"/>
    <x v="10"/>
    <x v="16"/>
    <n v="1"/>
    <n v="6031"/>
    <n v="20.408904"/>
    <n v="25.129166666666666"/>
    <s v="Jan"/>
    <x v="4"/>
    <m/>
    <m/>
  </r>
  <r>
    <n v="62678148"/>
    <x v="3"/>
    <n v="14400"/>
    <d v="2026-02-11T00:00:00"/>
    <s v="BJ US-NDO-LightsCaramelAction-8 1PT"/>
    <x v="24"/>
    <n v="3.7839999999999996E-3"/>
    <n v="240"/>
    <x v="3"/>
    <x v="13"/>
    <n v="1"/>
    <n v="14400"/>
    <n v="54.489599999999996"/>
    <n v="60"/>
    <s v="Feb"/>
    <x v="7"/>
    <m/>
    <m/>
  </r>
  <r>
    <n v="62678148"/>
    <x v="3"/>
    <n v="215"/>
    <d v="2026-02-12T00:00:00"/>
    <s v="BJ US-NDO-LightsCaramelAction-8 1PT"/>
    <x v="24"/>
    <n v="3.7839999999999996E-3"/>
    <n v="240"/>
    <x v="3"/>
    <x v="13"/>
    <n v="1"/>
    <n v="215"/>
    <n v="0.81355999999999995"/>
    <n v="0.89583333333333337"/>
    <s v="Feb"/>
    <x v="7"/>
    <m/>
    <m/>
  </r>
  <r>
    <n v="62678153"/>
    <x v="3"/>
    <n v="23040"/>
    <d v="2026-02-11T00:00:00"/>
    <s v="BJ US-NDO-TonightDough-8 1PT"/>
    <x v="10"/>
    <n v="3.7839999999999996E-3"/>
    <n v="240"/>
    <x v="3"/>
    <x v="13"/>
    <n v="1"/>
    <n v="23040"/>
    <n v="87.183359999999993"/>
    <n v="96"/>
    <s v="Feb"/>
    <x v="7"/>
    <m/>
    <m/>
  </r>
  <r>
    <n v="62678153"/>
    <x v="3"/>
    <n v="8793"/>
    <d v="2026-02-12T00:00:00"/>
    <s v="BJ US-NDO-TonightDough-8 1PT"/>
    <x v="10"/>
    <n v="3.7839999999999996E-3"/>
    <n v="240"/>
    <x v="3"/>
    <x v="13"/>
    <n v="1"/>
    <n v="8793"/>
    <n v="33.272711999999999"/>
    <n v="36.637500000000003"/>
    <s v="Feb"/>
    <x v="7"/>
    <m/>
    <m/>
  </r>
  <r>
    <n v="62678153"/>
    <x v="3"/>
    <n v="-72"/>
    <d v="2026-02-17T00:00:00"/>
    <s v="BJ US-NDO-TonightDough-8 1PT"/>
    <x v="10"/>
    <n v="3.7839999999999996E-3"/>
    <n v="240"/>
    <x v="3"/>
    <x v="13"/>
    <n v="1"/>
    <n v="-72"/>
    <n v="-0.27244799999999997"/>
    <n v="-0.3"/>
    <s v="Feb"/>
    <x v="5"/>
    <m/>
    <m/>
  </r>
  <r>
    <n v="62697528"/>
    <x v="3"/>
    <n v="7680"/>
    <d v="2026-02-09T00:00:00"/>
    <s v="BJ US-NDO-Milk+Cookies-8 1PT"/>
    <x v="10"/>
    <n v="3.7839999999999996E-3"/>
    <n v="240"/>
    <x v="3"/>
    <x v="13"/>
    <n v="1"/>
    <n v="7680"/>
    <n v="29.061119999999995"/>
    <n v="32"/>
    <s v="Feb"/>
    <x v="7"/>
    <m/>
    <m/>
  </r>
  <r>
    <n v="62697528"/>
    <x v="3"/>
    <n v="13401"/>
    <d v="2026-02-10T00:00:00"/>
    <s v="BJ US-NDO-Milk+Cookies-8 1PT"/>
    <x v="10"/>
    <n v="3.7839999999999996E-3"/>
    <n v="240"/>
    <x v="3"/>
    <x v="13"/>
    <n v="1"/>
    <n v="13401"/>
    <n v="50.709383999999993"/>
    <n v="55.837499999999999"/>
    <s v="Feb"/>
    <x v="7"/>
    <m/>
    <m/>
  </r>
  <r>
    <n v="62697529"/>
    <x v="3"/>
    <n v="12938"/>
    <d v="2026-02-13T00:00:00"/>
    <s v="BJ US-NDO-COR-KaramelSutra-8 1PT"/>
    <x v="24"/>
    <n v="3.7839999999999996E-3"/>
    <n v="240"/>
    <x v="3"/>
    <x v="13"/>
    <n v="1"/>
    <n v="12938"/>
    <n v="48.957391999999992"/>
    <n v="53.908333333333331"/>
    <s v="Feb"/>
    <x v="7"/>
    <m/>
    <m/>
  </r>
  <r>
    <n v="62697531"/>
    <x v="3"/>
    <n v="12240"/>
    <d v="2026-02-16T00:00:00"/>
    <s v="BJ US-NDO-MintChocCookie-8 1PT"/>
    <x v="10"/>
    <n v="3.7839999999999996E-3"/>
    <n v="240"/>
    <x v="3"/>
    <x v="13"/>
    <n v="1"/>
    <n v="12240"/>
    <n v="46.316159999999996"/>
    <n v="51"/>
    <s v="Feb"/>
    <x v="5"/>
    <m/>
    <m/>
  </r>
  <r>
    <n v="62697531"/>
    <x v="3"/>
    <n v="675"/>
    <d v="2026-02-17T00:00:00"/>
    <s v="BJ US-NDO-MintChocCookie-8 1PT"/>
    <x v="10"/>
    <n v="3.7839999999999996E-3"/>
    <n v="240"/>
    <x v="3"/>
    <x v="13"/>
    <n v="1"/>
    <n v="675"/>
    <n v="2.5541999999999998"/>
    <n v="2.8125"/>
    <s v="Feb"/>
    <x v="5"/>
    <m/>
    <m/>
  </r>
  <r>
    <n v="62715600"/>
    <x v="3"/>
    <n v="17520"/>
    <d v="2026-02-09T00:00:00"/>
    <s v="BJ R01-NDO-CHOCCHPCOOKDGH-8 458ML WIP"/>
    <x v="30"/>
    <n v="3.7839999999999996E-3"/>
    <n v="240"/>
    <x v="3"/>
    <x v="13"/>
    <n v="1"/>
    <n v="17520"/>
    <n v="66.29567999999999"/>
    <n v="73"/>
    <s v="Feb"/>
    <x v="7"/>
    <m/>
    <m/>
  </r>
  <r>
    <n v="62715600"/>
    <x v="3"/>
    <n v="3338"/>
    <d v="2026-02-10T00:00:00"/>
    <s v="BJ R01-NDO-CHOCCHPCOOKDGH-8 458ML WIP"/>
    <x v="30"/>
    <n v="3.7839999999999996E-3"/>
    <n v="240"/>
    <x v="3"/>
    <x v="13"/>
    <n v="1"/>
    <n v="3338"/>
    <n v="12.630991999999999"/>
    <n v="13.908333333333333"/>
    <s v="Feb"/>
    <x v="7"/>
    <m/>
    <m/>
  </r>
  <r>
    <n v="62735647"/>
    <x v="3"/>
    <n v="3750"/>
    <d v="2026-02-17T00:00:00"/>
    <s v="BJ US-NDO-ChocChpCookDgh-1 2.4g"/>
    <x v="24"/>
    <n v="9.0850000000000011E-3"/>
    <n v="125"/>
    <x v="13"/>
    <x v="20"/>
    <n v="1"/>
    <n v="3750"/>
    <n v="34.068750000000001"/>
    <n v="30"/>
    <s v="Feb"/>
    <x v="5"/>
    <m/>
    <m/>
  </r>
  <r>
    <n v="62735647"/>
    <x v="3"/>
    <n v="1260"/>
    <d v="2026-02-18T00:00:00"/>
    <s v="BJ US-NDO-ChocChpCookDgh-1 2.4g"/>
    <x v="24"/>
    <n v="9.0850000000000011E-3"/>
    <n v="125"/>
    <x v="13"/>
    <x v="20"/>
    <n v="1"/>
    <n v="1260"/>
    <n v="11.447100000000001"/>
    <n v="10.08"/>
    <s v="Feb"/>
    <x v="5"/>
    <m/>
    <m/>
  </r>
  <r>
    <n v="64361163"/>
    <x v="3"/>
    <n v="10331"/>
    <d v="2026-02-10T00:00:00"/>
    <s v="BJ CA-NDO-CHOCCHPCOOKDGH-8 473ml"/>
    <x v="30"/>
    <n v="3.7839999999999996E-3"/>
    <n v="240"/>
    <x v="3"/>
    <x v="13"/>
    <n v="1"/>
    <n v="10331"/>
    <n v="39.092503999999998"/>
    <n v="43.045833333333334"/>
    <s v="Feb"/>
    <x v="7"/>
    <m/>
    <m/>
  </r>
  <r>
    <n v="64799252"/>
    <x v="3"/>
    <n v="3667"/>
    <d v="2026-02-13T00:00:00"/>
    <s v="BJ US-NDO MochaccinoChip-1 2.4Gal"/>
    <x v="24"/>
    <n v="9.0850000000000011E-3"/>
    <n v="125"/>
    <x v="13"/>
    <x v="20"/>
    <n v="1"/>
    <n v="3667"/>
    <n v="33.314695"/>
    <n v="29.335999999999999"/>
    <s v="Feb"/>
    <x v="7"/>
    <m/>
    <m/>
  </r>
  <r>
    <n v="64799253"/>
    <x v="3"/>
    <n v="4041"/>
    <d v="2026-02-14T00:00:00"/>
    <s v="BJ US-NDOStrawbSwirl-1 2.4Gal"/>
    <x v="24"/>
    <n v="9.0840000000000001E-3"/>
    <n v="125"/>
    <x v="13"/>
    <x v="20"/>
    <n v="1"/>
    <n v="4041"/>
    <n v="36.708444"/>
    <n v="32.328000000000003"/>
    <s v="Feb"/>
    <x v="7"/>
    <m/>
    <m/>
  </r>
  <r>
    <n v="64799253"/>
    <x v="3"/>
    <n v="-250"/>
    <d v="2026-02-16T00:00:00"/>
    <s v="BJ US-NDOStrawbSwirl-1 2.4Gal"/>
    <x v="24"/>
    <n v="9.0840000000000001E-3"/>
    <n v="125"/>
    <x v="13"/>
    <x v="20"/>
    <n v="1"/>
    <n v="-250"/>
    <n v="-2.2709999999999999"/>
    <n v="-2"/>
    <s v="Feb"/>
    <x v="5"/>
    <m/>
    <m/>
  </r>
  <r>
    <n v="65451821"/>
    <x v="3"/>
    <n v="4250"/>
    <d v="2026-02-16T00:00:00"/>
    <s v="BJ US-NDO Key Lime Pie-1 2.4Gal"/>
    <x v="24"/>
    <n v="9.0850000000000011E-3"/>
    <n v="125"/>
    <x v="13"/>
    <x v="20"/>
    <n v="1"/>
    <n v="4250"/>
    <n v="38.611250000000005"/>
    <n v="34"/>
    <s v="Feb"/>
    <x v="5"/>
    <m/>
    <m/>
  </r>
  <r>
    <n v="65451821"/>
    <x v="3"/>
    <n v="2189"/>
    <d v="2026-02-17T00:00:00"/>
    <s v="BJ US-NDO Key Lime Pie-1 2.4Gal"/>
    <x v="24"/>
    <n v="9.0850000000000011E-3"/>
    <n v="125"/>
    <x v="13"/>
    <x v="20"/>
    <n v="1"/>
    <n v="2189"/>
    <n v="19.887065000000003"/>
    <n v="17.512"/>
    <s v="Feb"/>
    <x v="5"/>
    <m/>
    <m/>
  </r>
  <r>
    <n v="65498063"/>
    <x v="3"/>
    <n v="625"/>
    <d v="2026-02-02T00:00:00"/>
    <s v="BJ US-IC Black RASP Fudge Chunk-1 2.4gal"/>
    <x v="24"/>
    <n v="9.0850000000000011E-3"/>
    <n v="125"/>
    <x v="13"/>
    <x v="20"/>
    <n v="1"/>
    <n v="625"/>
    <n v="5.6781250000000005"/>
    <n v="5"/>
    <s v="Feb"/>
    <x v="8"/>
    <m/>
    <m/>
  </r>
  <r>
    <n v="65498063"/>
    <x v="3"/>
    <n v="5175"/>
    <d v="2026-02-03T00:00:00"/>
    <s v="BJ US-IC Black RASP Fudge Chunk-1 2.4gal"/>
    <x v="24"/>
    <n v="9.0850000000000011E-3"/>
    <n v="125"/>
    <x v="13"/>
    <x v="20"/>
    <n v="1"/>
    <n v="5175"/>
    <n v="47.014875000000004"/>
    <n v="41.4"/>
    <s v="Feb"/>
    <x v="8"/>
    <m/>
    <m/>
  </r>
  <r>
    <n v="67789314"/>
    <x v="3"/>
    <n v="19081"/>
    <d v="2026-02-20T00:00:00"/>
    <s v="BJ US-IC-PBHalfBaked-8 1 PT"/>
    <x v="24"/>
    <n v="3.7853439999999999E-3"/>
    <n v="240"/>
    <x v="3"/>
    <x v="13"/>
    <n v="1"/>
    <n v="19081"/>
    <n v="72.228148864000005"/>
    <n v="79.504166666666663"/>
    <s v="Feb"/>
    <x v="5"/>
    <m/>
    <m/>
  </r>
  <r>
    <n v="67794169"/>
    <x v="3"/>
    <n v="1200"/>
    <d v="2026-02-20T00:00:00"/>
    <s v="BJ US-IC-TonightDough-8 1PT"/>
    <x v="24"/>
    <n v="3.7853439999999999E-3"/>
    <n v="240"/>
    <x v="3"/>
    <x v="13"/>
    <n v="1"/>
    <n v="1200"/>
    <n v="4.5424128000000001"/>
    <n v="5"/>
    <s v="Feb"/>
    <x v="5"/>
    <m/>
    <m/>
  </r>
  <r>
    <n v="67794169"/>
    <x v="3"/>
    <n v="25932"/>
    <d v="2026-02-21T00:00:00"/>
    <s v="BJ US-IC-TonightDough-8 1PT"/>
    <x v="24"/>
    <n v="3.7853439999999999E-3"/>
    <n v="240"/>
    <x v="3"/>
    <x v="13"/>
    <n v="1"/>
    <n v="25932"/>
    <n v="98.161540607999996"/>
    <n v="108.05"/>
    <s v="Feb"/>
    <x v="5"/>
    <m/>
    <m/>
  </r>
  <r>
    <n v="67825198"/>
    <x v="3"/>
    <n v="3000"/>
    <d v="2026-02-18T00:00:00"/>
    <s v="BJ US-IC-Milk+Cookies-FTNG-1 2.4G"/>
    <x v="24"/>
    <n v="9.0848256361922702E-3"/>
    <n v="125"/>
    <x v="13"/>
    <x v="20"/>
    <n v="1"/>
    <n v="3000"/>
    <n v="27.254476908576812"/>
    <n v="24"/>
    <s v="Feb"/>
    <x v="5"/>
    <m/>
    <m/>
  </r>
  <r>
    <n v="67825198"/>
    <x v="3"/>
    <n v="2784"/>
    <d v="2026-02-19T00:00:00"/>
    <s v="BJ US-IC-Milk+Cookies-FTNG-1 2.4G"/>
    <x v="24"/>
    <n v="9.0848256361922702E-3"/>
    <n v="125"/>
    <x v="13"/>
    <x v="20"/>
    <n v="1"/>
    <n v="2784"/>
    <n v="25.29215457115928"/>
    <n v="22.271999999999998"/>
    <s v="Feb"/>
    <x v="5"/>
    <m/>
    <m/>
  </r>
  <r>
    <n v="67881629"/>
    <x v="3"/>
    <n v="16320"/>
    <d v="2026-01-29T00:00:00"/>
    <s v="BJ US-COR-BrownieBatter-8 1PT"/>
    <x v="10"/>
    <n v="3.7853439999999999E-3"/>
    <n v="240"/>
    <x v="3"/>
    <x v="13"/>
    <n v="1"/>
    <n v="16320"/>
    <n v="61.776814080000001"/>
    <n v="68"/>
    <s v="Jan"/>
    <x v="4"/>
    <m/>
    <m/>
  </r>
  <r>
    <n v="67881629"/>
    <x v="3"/>
    <n v="22176"/>
    <d v="2026-01-30T00:00:00"/>
    <s v="BJ US-COR-BrownieBatter-8 1PT"/>
    <x v="10"/>
    <n v="3.7853439999999999E-3"/>
    <n v="240"/>
    <x v="3"/>
    <x v="13"/>
    <n v="1"/>
    <n v="22176"/>
    <n v="83.943788544"/>
    <n v="92.4"/>
    <s v="Jan"/>
    <x v="4"/>
    <m/>
    <m/>
  </r>
  <r>
    <n v="67881629"/>
    <x v="3"/>
    <n v="10197"/>
    <d v="2026-01-31T00:00:00"/>
    <s v="BJ US-COR-BrownieBatter-8 1PT"/>
    <x v="10"/>
    <n v="3.7853439999999999E-3"/>
    <n v="240"/>
    <x v="3"/>
    <x v="13"/>
    <n v="1"/>
    <n v="10197"/>
    <n v="38.599152767999996"/>
    <n v="42.487499999999997"/>
    <s v="Jan"/>
    <x v="4"/>
    <m/>
    <m/>
  </r>
  <r>
    <n v="67881629"/>
    <x v="3"/>
    <n v="-96"/>
    <d v="2026-02-01T00:00:00"/>
    <s v="BJ US-COR-BrownieBatter-8 1PT"/>
    <x v="10"/>
    <n v="3.7853439999999999E-3"/>
    <n v="240"/>
    <x v="3"/>
    <x v="13"/>
    <n v="1"/>
    <n v="-96"/>
    <n v="-0.36339302400000001"/>
    <n v="-0.4"/>
    <s v="Feb"/>
    <x v="8"/>
    <m/>
    <m/>
  </r>
  <r>
    <n v="67881629"/>
    <x v="3"/>
    <n v="17520"/>
    <d v="2026-02-17T00:00:00"/>
    <s v="BJ US-COR-BrownieBatter-8 1PT"/>
    <x v="10"/>
    <n v="3.7853439999999999E-3"/>
    <n v="240"/>
    <x v="3"/>
    <x v="13"/>
    <n v="1"/>
    <n v="17520"/>
    <n v="66.319226880000002"/>
    <n v="73"/>
    <s v="Feb"/>
    <x v="5"/>
    <m/>
    <m/>
  </r>
  <r>
    <n v="67881629"/>
    <x v="3"/>
    <n v="19252"/>
    <d v="2026-02-18T00:00:00"/>
    <s v="BJ US-COR-BrownieBatter-8 1PT"/>
    <x v="10"/>
    <n v="3.7853439999999999E-3"/>
    <n v="240"/>
    <x v="3"/>
    <x v="13"/>
    <n v="1"/>
    <n v="19252"/>
    <n v="72.875442687999993"/>
    <n v="80.216666666666669"/>
    <s v="Feb"/>
    <x v="5"/>
    <m/>
    <m/>
  </r>
  <r>
    <n v="67881629"/>
    <x v="3"/>
    <n v="15674"/>
    <d v="2026-02-19T00:00:00"/>
    <s v="BJ US-COR-BrownieBatter-8 1PT"/>
    <x v="10"/>
    <n v="3.7853439999999999E-3"/>
    <n v="240"/>
    <x v="3"/>
    <x v="13"/>
    <n v="1"/>
    <n v="15674"/>
    <n v="59.331481855999996"/>
    <n v="65.308333333333337"/>
    <s v="Feb"/>
    <x v="5"/>
    <m/>
    <m/>
  </r>
  <r>
    <n v="67881629"/>
    <x v="3"/>
    <n v="-19"/>
    <d v="2026-02-20T00:00:00"/>
    <s v="BJ US-COR-BrownieBatter-8 1PT"/>
    <x v="10"/>
    <n v="3.7853439999999999E-3"/>
    <n v="240"/>
    <x v="3"/>
    <x v="13"/>
    <n v="1"/>
    <n v="-19"/>
    <n v="-7.1921535999999994E-2"/>
    <n v="-7.9166666666666663E-2"/>
    <s v="Feb"/>
    <x v="5"/>
    <m/>
    <m/>
  </r>
  <r>
    <n v="67916890"/>
    <x v="3"/>
    <n v="4264"/>
    <d v="2026-01-28T00:00:00"/>
    <s v="BJ SORV-COR-DoceDeleite-8 458ML"/>
    <x v="24"/>
    <n v="3.6640000000000002E-3"/>
    <n v="240"/>
    <x v="10"/>
    <x v="18"/>
    <n v="1"/>
    <n v="4264"/>
    <n v="15.623296"/>
    <n v="17.766666666666666"/>
    <s v="Jan"/>
    <x v="4"/>
    <m/>
    <m/>
  </r>
  <r>
    <n v="68354578"/>
    <x v="3"/>
    <n v="2250"/>
    <d v="2026-01-30T00:00:00"/>
    <s v="BJ US-IC-HalfBaked-1 2.4G"/>
    <x v="24"/>
    <n v="9.0848256361922702E-3"/>
    <n v="125"/>
    <x v="13"/>
    <x v="20"/>
    <n v="1"/>
    <n v="2250"/>
    <n v="20.440857681432608"/>
    <n v="18"/>
    <s v="Jan"/>
    <x v="4"/>
    <m/>
    <m/>
  </r>
  <r>
    <n v="68354578"/>
    <x v="3"/>
    <n v="4208"/>
    <d v="2026-01-31T00:00:00"/>
    <s v="BJ US-IC-HalfBaked-1 2.4G"/>
    <x v="24"/>
    <n v="9.0848256361922702E-3"/>
    <n v="125"/>
    <x v="13"/>
    <x v="20"/>
    <n v="1"/>
    <n v="4208"/>
    <n v="38.228946277097073"/>
    <n v="33.664000000000001"/>
    <s v="Jan"/>
    <x v="4"/>
    <m/>
    <m/>
  </r>
  <r>
    <n v="68354578"/>
    <x v="3"/>
    <n v="2750"/>
    <d v="2026-02-11T00:00:00"/>
    <s v="BJ US-IC-HalfBaked-1 2.4G"/>
    <x v="24"/>
    <n v="9.0848256361922702E-3"/>
    <n v="125"/>
    <x v="13"/>
    <x v="20"/>
    <n v="1"/>
    <n v="2750"/>
    <n v="24.983270499528743"/>
    <n v="22"/>
    <s v="Feb"/>
    <x v="7"/>
    <m/>
    <m/>
  </r>
  <r>
    <n v="68354578"/>
    <x v="3"/>
    <n v="2198"/>
    <d v="2026-02-12T00:00:00"/>
    <s v="BJ US-IC-HalfBaked-1 2.4G"/>
    <x v="24"/>
    <n v="9.0848256361922702E-3"/>
    <n v="125"/>
    <x v="13"/>
    <x v="20"/>
    <n v="1"/>
    <n v="2198"/>
    <n v="19.968446748350608"/>
    <n v="17.584"/>
    <s v="Feb"/>
    <x v="7"/>
    <m/>
    <m/>
  </r>
  <r>
    <n v="68499787"/>
    <x v="3"/>
    <n v="3375"/>
    <d v="2026-01-28T00:00:00"/>
    <s v="BJ US-IC-MarshmallowSky-1 2.4gal"/>
    <x v="24"/>
    <n v="9.0850000000000011E-3"/>
    <n v="125"/>
    <x v="13"/>
    <x v="20"/>
    <n v="1"/>
    <n v="3375"/>
    <n v="30.661875000000002"/>
    <n v="27"/>
    <s v="Jan"/>
    <x v="4"/>
    <m/>
    <m/>
  </r>
  <r>
    <n v="68499787"/>
    <x v="3"/>
    <n v="2511"/>
    <d v="2026-01-29T00:00:00"/>
    <s v="BJ US-IC-MarshmallowSky-1 2.4gal"/>
    <x v="24"/>
    <n v="9.0850000000000011E-3"/>
    <n v="125"/>
    <x v="13"/>
    <x v="20"/>
    <n v="1"/>
    <n v="2511"/>
    <n v="22.812435000000004"/>
    <n v="20.088000000000001"/>
    <s v="Jan"/>
    <x v="4"/>
    <m/>
    <m/>
  </r>
  <r>
    <n v="69600859"/>
    <x v="3"/>
    <n v="3125"/>
    <d v="2026-02-04T00:00:00"/>
    <s v="BJ US-IC-ChocolatePBChunk-1 2.4G"/>
    <x v="24"/>
    <n v="9.0850000000000011E-3"/>
    <n v="125"/>
    <x v="13"/>
    <x v="20"/>
    <n v="1"/>
    <n v="3125"/>
    <n v="28.390625000000004"/>
    <n v="25"/>
    <s v="Feb"/>
    <x v="8"/>
    <m/>
    <m/>
  </r>
  <r>
    <n v="69600859"/>
    <x v="3"/>
    <n v="1608"/>
    <d v="2026-02-05T00:00:00"/>
    <s v="BJ US-IC-ChocolatePBChunk-1 2.4G"/>
    <x v="24"/>
    <n v="9.0850000000000011E-3"/>
    <n v="125"/>
    <x v="13"/>
    <x v="20"/>
    <n v="1"/>
    <n v="1608"/>
    <n v="14.608680000000001"/>
    <n v="12.864000000000001"/>
    <s v="Feb"/>
    <x v="8"/>
    <m/>
    <m/>
  </r>
  <r>
    <n v="69797288"/>
    <x v="3"/>
    <n v="10320"/>
    <d v="2026-02-13T00:00:00"/>
    <s v="BJ US-NDO-Strawberry Chscake-8 1PT"/>
    <x v="24"/>
    <n v="3.7839999999999996E-3"/>
    <n v="240"/>
    <x v="3"/>
    <x v="13"/>
    <n v="1"/>
    <n v="10320"/>
    <n v="39.050879999999999"/>
    <n v="43"/>
    <s v="Feb"/>
    <x v="7"/>
    <m/>
    <m/>
  </r>
  <r>
    <n v="69797288"/>
    <x v="3"/>
    <n v="24508"/>
    <d v="2026-02-14T00:00:00"/>
    <s v="BJ US-NDO-Strawberry Chscake-8 1PT"/>
    <x v="24"/>
    <n v="3.7839999999999996E-3"/>
    <n v="240"/>
    <x v="3"/>
    <x v="13"/>
    <n v="1"/>
    <n v="24508"/>
    <n v="92.738271999999995"/>
    <n v="102.11666666666666"/>
    <s v="Feb"/>
    <x v="7"/>
    <m/>
    <m/>
  </r>
  <r>
    <n v="69986506"/>
    <x v="3"/>
    <n v="22519"/>
    <d v="2026-02-14T00:00:00"/>
    <s v="BJ US-NDO-CherryGarcia-8 1PT"/>
    <x v="10"/>
    <n v="3.7839999999999996E-3"/>
    <n v="240"/>
    <x v="3"/>
    <x v="13"/>
    <n v="1"/>
    <n v="22519"/>
    <n v="85.211895999999996"/>
    <n v="93.829166666666666"/>
    <s v="Feb"/>
    <x v="7"/>
    <m/>
    <m/>
  </r>
  <r>
    <n v="69986507"/>
    <x v="3"/>
    <n v="15360"/>
    <d v="2026-02-10T00:00:00"/>
    <s v="BJ US-NDO-CHOC CHP COOK DGH-8 1PT"/>
    <x v="30"/>
    <n v="3.7839999999999996E-3"/>
    <n v="240"/>
    <x v="3"/>
    <x v="13"/>
    <n v="1"/>
    <n v="15360"/>
    <n v="58.122239999999991"/>
    <n v="64"/>
    <s v="Feb"/>
    <x v="7"/>
    <m/>
    <m/>
  </r>
  <r>
    <n v="69986507"/>
    <x v="3"/>
    <n v="33722"/>
    <d v="2026-02-11T00:00:00"/>
    <s v="BJ US-NDO-CHOC CHP COOK DGH-8 1PT"/>
    <x v="30"/>
    <n v="3.7839999999999996E-3"/>
    <n v="240"/>
    <x v="3"/>
    <x v="13"/>
    <n v="1"/>
    <n v="33722"/>
    <n v="127.60404799999999"/>
    <n v="140.50833333333333"/>
    <s v="Feb"/>
    <x v="7"/>
    <m/>
    <m/>
  </r>
  <r>
    <n v="69986507"/>
    <x v="3"/>
    <n v="16503"/>
    <d v="2026-02-12T00:00:00"/>
    <s v="BJ US-NDO-CHOC CHP COOK DGH-8 1PT"/>
    <x v="30"/>
    <n v="3.7839999999999996E-3"/>
    <n v="240"/>
    <x v="3"/>
    <x v="13"/>
    <n v="1"/>
    <n v="16503"/>
    <n v="62.447351999999995"/>
    <n v="68.762500000000003"/>
    <s v="Feb"/>
    <x v="7"/>
    <m/>
    <m/>
  </r>
  <r>
    <n v="69986508"/>
    <x v="3"/>
    <n v="25680"/>
    <d v="2026-02-13T00:00:00"/>
    <s v="BJ US-NDO-CHC FG BRWN-8 1PT"/>
    <x v="30"/>
    <n v="3.7839999999999996E-3"/>
    <n v="240"/>
    <x v="3"/>
    <x v="13"/>
    <n v="1"/>
    <n v="25680"/>
    <n v="97.173119999999983"/>
    <n v="107"/>
    <s v="Feb"/>
    <x v="7"/>
    <m/>
    <m/>
  </r>
  <r>
    <n v="69986508"/>
    <x v="3"/>
    <n v="11887"/>
    <d v="2026-02-14T00:00:00"/>
    <s v="BJ US-NDO-CHC FG BRWN-8 1PT"/>
    <x v="30"/>
    <n v="3.7839999999999996E-3"/>
    <n v="240"/>
    <x v="3"/>
    <x v="13"/>
    <n v="1"/>
    <n v="11887"/>
    <n v="44.980407999999997"/>
    <n v="49.529166666666669"/>
    <s v="Feb"/>
    <x v="7"/>
    <m/>
    <m/>
  </r>
  <r>
    <n v="69986511"/>
    <x v="3"/>
    <n v="10560"/>
    <d v="2026-02-09T00:00:00"/>
    <s v="BJ US-NDO-PhishFood-8 1PT"/>
    <x v="24"/>
    <n v="3.7839999999999996E-3"/>
    <n v="240"/>
    <x v="3"/>
    <x v="13"/>
    <n v="1"/>
    <n v="10560"/>
    <n v="39.959039999999995"/>
    <n v="44"/>
    <s v="Feb"/>
    <x v="7"/>
    <m/>
    <m/>
  </r>
  <r>
    <n v="69986511"/>
    <x v="3"/>
    <n v="6897"/>
    <d v="2026-02-10T00:00:00"/>
    <s v="BJ US-NDO-PhishFood-8 1PT"/>
    <x v="24"/>
    <n v="3.7839999999999996E-3"/>
    <n v="240"/>
    <x v="3"/>
    <x v="13"/>
    <n v="1"/>
    <n v="6897"/>
    <n v="26.098247999999998"/>
    <n v="28.737500000000001"/>
    <s v="Feb"/>
    <x v="7"/>
    <m/>
    <m/>
  </r>
  <r>
    <n v="69986511"/>
    <x v="3"/>
    <n v="8880"/>
    <d v="2026-02-12T00:00:00"/>
    <s v="BJ US-NDO-PhishFood-8 1PT"/>
    <x v="24"/>
    <n v="3.7839999999999996E-3"/>
    <n v="240"/>
    <x v="3"/>
    <x v="13"/>
    <n v="1"/>
    <n v="8880"/>
    <n v="33.60192"/>
    <n v="37"/>
    <s v="Feb"/>
    <x v="7"/>
    <m/>
    <m/>
  </r>
  <r>
    <n v="69986511"/>
    <x v="3"/>
    <n v="9558"/>
    <d v="2026-02-13T00:00:00"/>
    <s v="BJ US-NDO-PhishFood-8 1PT"/>
    <x v="24"/>
    <n v="3.7839999999999996E-3"/>
    <n v="240"/>
    <x v="3"/>
    <x v="13"/>
    <n v="1"/>
    <n v="9558"/>
    <n v="36.167471999999997"/>
    <n v="39.825000000000003"/>
    <s v="Feb"/>
    <x v="7"/>
    <m/>
    <m/>
  </r>
  <r>
    <n v="69986511"/>
    <x v="3"/>
    <n v="-41"/>
    <d v="2026-02-17T00:00:00"/>
    <s v="BJ US-NDO-PhishFood-8 1PT"/>
    <x v="24"/>
    <n v="3.7839999999999996E-3"/>
    <n v="240"/>
    <x v="3"/>
    <x v="13"/>
    <n v="1"/>
    <n v="-41"/>
    <n v="-0.15514399999999998"/>
    <n v="-0.17083333333333334"/>
    <s v="Feb"/>
    <x v="5"/>
    <m/>
    <m/>
  </r>
  <r>
    <n v="69999267"/>
    <x v="3"/>
    <n v="4320"/>
    <d v="2026-01-29T00:00:00"/>
    <s v="BJ US-IC-GimmeSmore-8 1PT"/>
    <x v="24"/>
    <n v="3.7839999999999996E-3"/>
    <n v="240"/>
    <x v="3"/>
    <x v="13"/>
    <n v="1"/>
    <n v="4320"/>
    <n v="16.346879999999999"/>
    <n v="18"/>
    <s v="Jan"/>
    <x v="4"/>
    <m/>
    <m/>
  </r>
  <r>
    <n v="69999267"/>
    <x v="3"/>
    <n v="27360"/>
    <d v="2026-01-30T00:00:00"/>
    <s v="BJ US-IC-GimmeSmore-8 1PT"/>
    <x v="24"/>
    <n v="3.7839999999999996E-3"/>
    <n v="240"/>
    <x v="3"/>
    <x v="13"/>
    <n v="1"/>
    <n v="27360"/>
    <n v="103.53023999999999"/>
    <n v="114"/>
    <s v="Jan"/>
    <x v="4"/>
    <m/>
    <m/>
  </r>
  <r>
    <n v="69999267"/>
    <x v="3"/>
    <n v="26839"/>
    <d v="2026-01-31T00:00:00"/>
    <s v="BJ US-IC-GimmeSmore-8 1PT"/>
    <x v="24"/>
    <n v="3.7839999999999996E-3"/>
    <n v="240"/>
    <x v="3"/>
    <x v="13"/>
    <n v="1"/>
    <n v="26839"/>
    <n v="101.55877599999999"/>
    <n v="111.82916666666667"/>
    <s v="Jan"/>
    <x v="4"/>
    <m/>
    <m/>
  </r>
  <r>
    <n v="69999269"/>
    <x v="3"/>
    <n v="4080"/>
    <d v="2026-01-29T00:00:00"/>
    <s v="BJ US-IC-StrawberryChscke-FTNG-8 1PT"/>
    <x v="30"/>
    <n v="3.7839999999999996E-3"/>
    <n v="240"/>
    <x v="3"/>
    <x v="13"/>
    <n v="1"/>
    <n v="4080"/>
    <n v="15.438719999999998"/>
    <n v="17"/>
    <s v="Jan"/>
    <x v="4"/>
    <m/>
    <m/>
  </r>
  <r>
    <n v="69999269"/>
    <x v="3"/>
    <n v="24720"/>
    <d v="2026-01-30T00:00:00"/>
    <s v="BJ US-IC-StrawberryChscke-FTNG-8 1PT"/>
    <x v="30"/>
    <n v="3.7839999999999996E-3"/>
    <n v="240"/>
    <x v="3"/>
    <x v="13"/>
    <n v="1"/>
    <n v="24720"/>
    <n v="93.540479999999988"/>
    <n v="103"/>
    <s v="Jan"/>
    <x v="4"/>
    <m/>
    <m/>
  </r>
  <r>
    <n v="69999269"/>
    <x v="3"/>
    <n v="30740"/>
    <d v="2026-01-31T00:00:00"/>
    <s v="BJ US-IC-StrawberryChscke-FTNG-8 1PT"/>
    <x v="30"/>
    <n v="3.7839999999999996E-3"/>
    <n v="240"/>
    <x v="3"/>
    <x v="13"/>
    <n v="1"/>
    <n v="30740"/>
    <n v="116.32015999999999"/>
    <n v="128.08333333333334"/>
    <s v="Jan"/>
    <x v="4"/>
    <m/>
    <m/>
  </r>
  <r>
    <n v="69999269"/>
    <x v="3"/>
    <n v="27600"/>
    <d v="2026-02-19T00:00:00"/>
    <s v="BJ US-IC-StrawberryChscke-FTNG-8 1PT"/>
    <x v="30"/>
    <n v="3.7839999999999996E-3"/>
    <n v="240"/>
    <x v="3"/>
    <x v="13"/>
    <n v="1"/>
    <n v="27600"/>
    <n v="104.43839999999999"/>
    <n v="115"/>
    <s v="Feb"/>
    <x v="5"/>
    <m/>
    <m/>
  </r>
  <r>
    <n v="69999269"/>
    <x v="3"/>
    <n v="35760"/>
    <d v="2026-02-20T00:00:00"/>
    <s v="BJ US-IC-StrawberryChscke-FTNG-8 1PT"/>
    <x v="30"/>
    <n v="3.7839999999999996E-3"/>
    <n v="240"/>
    <x v="3"/>
    <x v="13"/>
    <n v="1"/>
    <n v="35760"/>
    <n v="135.31583999999998"/>
    <n v="149"/>
    <s v="Feb"/>
    <x v="5"/>
    <m/>
    <m/>
  </r>
  <r>
    <n v="69999269"/>
    <x v="3"/>
    <n v="1964"/>
    <d v="2026-02-21T00:00:00"/>
    <s v="BJ US-IC-StrawberryChscke-FTNG-8 1PT"/>
    <x v="30"/>
    <n v="3.7839999999999996E-3"/>
    <n v="240"/>
    <x v="3"/>
    <x v="13"/>
    <n v="1"/>
    <n v="1964"/>
    <n v="7.4317759999999993"/>
    <n v="8.1833333333333336"/>
    <s v="Feb"/>
    <x v="5"/>
    <m/>
    <m/>
  </r>
  <r>
    <n v="84135718"/>
    <x v="3"/>
    <n v="39031"/>
    <d v="2026-01-28T00:00:00"/>
    <s v="BJ US-IC-ChocChpCookDgh-FTNG-8 1PT"/>
    <x v="30"/>
    <n v="3.7853439999999999E-3"/>
    <n v="240"/>
    <x v="3"/>
    <x v="13"/>
    <n v="1"/>
    <n v="39031"/>
    <n v="147.74576166399999"/>
    <n v="162.62916666666666"/>
    <s v="Jan"/>
    <x v="4"/>
    <m/>
    <m/>
  </r>
  <r>
    <n v="84135718"/>
    <x v="3"/>
    <n v="167"/>
    <d v="2026-01-29T00:00:00"/>
    <s v="BJ US-IC-ChocChpCookDgh-FTNG-8 1PT"/>
    <x v="30"/>
    <n v="3.7853439999999999E-3"/>
    <n v="240"/>
    <x v="3"/>
    <x v="13"/>
    <n v="1"/>
    <n v="167"/>
    <n v="0.63215244800000003"/>
    <n v="0.6958333333333333"/>
    <s v="Jan"/>
    <x v="4"/>
    <m/>
    <m/>
  </r>
  <r>
    <n v="84135718"/>
    <x v="3"/>
    <n v="28800"/>
    <d v="2026-02-17T00:00:00"/>
    <s v="BJ US-IC-ChocChpCookDgh-FTNG-8 1PT"/>
    <x v="30"/>
    <n v="3.7853439999999999E-3"/>
    <n v="240"/>
    <x v="3"/>
    <x v="13"/>
    <n v="1"/>
    <n v="28800"/>
    <n v="109.0179072"/>
    <n v="120"/>
    <s v="Feb"/>
    <x v="5"/>
    <m/>
    <m/>
  </r>
  <r>
    <n v="84135718"/>
    <x v="3"/>
    <n v="42240"/>
    <d v="2026-02-18T00:00:00"/>
    <s v="BJ US-IC-ChocChpCookDgh-FTNG-8 1PT"/>
    <x v="30"/>
    <n v="3.7853439999999999E-3"/>
    <n v="240"/>
    <x v="3"/>
    <x v="13"/>
    <n v="1"/>
    <n v="42240"/>
    <n v="159.89293056"/>
    <n v="176"/>
    <s v="Feb"/>
    <x v="5"/>
    <m/>
    <m/>
  </r>
  <r>
    <n v="84135718"/>
    <x v="3"/>
    <n v="1560"/>
    <d v="2026-02-19T00:00:00"/>
    <s v="BJ US-IC-ChocChpCookDgh-FTNG-8 1PT"/>
    <x v="30"/>
    <n v="3.7853439999999999E-3"/>
    <n v="240"/>
    <x v="3"/>
    <x v="13"/>
    <n v="1"/>
    <n v="1560"/>
    <n v="5.9051366400000003"/>
    <n v="6.5"/>
    <s v="Feb"/>
    <x v="5"/>
    <m/>
    <m/>
  </r>
  <r>
    <n v="84135781"/>
    <x v="3"/>
    <n v="25440"/>
    <d v="2026-02-16T00:00:00"/>
    <s v="BJ US-IC-Vanilla-FTNG-8 1PT"/>
    <x v="30"/>
    <n v="3.7853439999999999E-3"/>
    <n v="240"/>
    <x v="3"/>
    <x v="13"/>
    <n v="1"/>
    <n v="25440"/>
    <n v="96.299151359999996"/>
    <n v="106"/>
    <s v="Feb"/>
    <x v="5"/>
    <m/>
    <m/>
  </r>
  <r>
    <n v="84135781"/>
    <x v="3"/>
    <n v="2588"/>
    <d v="2026-02-17T00:00:00"/>
    <s v="BJ US-IC-Vanilla-FTNG-8 1PT"/>
    <x v="30"/>
    <n v="3.7853439999999999E-3"/>
    <n v="240"/>
    <x v="3"/>
    <x v="13"/>
    <n v="1"/>
    <n v="2588"/>
    <n v="9.7964702720000005"/>
    <n v="10.783333333333333"/>
    <s v="Feb"/>
    <x v="5"/>
    <m/>
    <m/>
  </r>
  <r>
    <n v="84135794"/>
    <x v="3"/>
    <n v="3500"/>
    <d v="2026-02-03T00:00:00"/>
    <s v="BJ US-IC-Chocolate-FTNG-1 2.4G"/>
    <x v="24"/>
    <n v="9.0848256361922702E-3"/>
    <n v="125"/>
    <x v="13"/>
    <x v="20"/>
    <n v="1"/>
    <n v="3500"/>
    <n v="31.796889726672944"/>
    <n v="28"/>
    <s v="Feb"/>
    <x v="8"/>
    <m/>
    <m/>
  </r>
  <r>
    <n v="84135794"/>
    <x v="3"/>
    <n v="2611"/>
    <d v="2026-02-04T00:00:00"/>
    <s v="BJ US-IC-Chocolate-FTNG-1 2.4G"/>
    <x v="24"/>
    <n v="9.0848256361922702E-3"/>
    <n v="125"/>
    <x v="13"/>
    <x v="20"/>
    <n v="1"/>
    <n v="2611"/>
    <n v="23.720479736098017"/>
    <n v="20.888000000000002"/>
    <s v="Feb"/>
    <x v="8"/>
    <m/>
    <m/>
  </r>
  <r>
    <n v="84135799"/>
    <x v="3"/>
    <n v="3250"/>
    <d v="2026-02-06T00:00:00"/>
    <s v="BJ US-IC-ChocChpCookDgh-FTNG-1 2.4G"/>
    <x v="24"/>
    <n v="9.0848256361922702E-3"/>
    <n v="125"/>
    <x v="13"/>
    <x v="20"/>
    <n v="1"/>
    <n v="3250"/>
    <n v="29.525683317624878"/>
    <n v="26"/>
    <s v="Feb"/>
    <x v="8"/>
    <m/>
    <m/>
  </r>
  <r>
    <n v="84135799"/>
    <x v="3"/>
    <n v="3375"/>
    <d v="2026-02-07T00:00:00"/>
    <s v="BJ US-IC-ChocChpCookDgh-FTNG-1 2.4G"/>
    <x v="24"/>
    <n v="9.0848256361922702E-3"/>
    <n v="125"/>
    <x v="13"/>
    <x v="20"/>
    <n v="1"/>
    <n v="3375"/>
    <n v="30.661286522148913"/>
    <n v="27"/>
    <s v="Feb"/>
    <x v="8"/>
    <m/>
    <m/>
  </r>
  <r>
    <n v="84135799"/>
    <x v="3"/>
    <n v="3208"/>
    <d v="2026-02-09T00:00:00"/>
    <s v="BJ US-IC-ChocChpCookDgh-FTNG-1 2.4G"/>
    <x v="24"/>
    <n v="9.0848256361922702E-3"/>
    <n v="125"/>
    <x v="13"/>
    <x v="20"/>
    <n v="1"/>
    <n v="3208"/>
    <n v="29.144120640904802"/>
    <n v="25.664000000000001"/>
    <s v="Feb"/>
    <x v="7"/>
    <m/>
    <m/>
  </r>
  <r>
    <n v="84135799"/>
    <x v="3"/>
    <n v="4250"/>
    <d v="2026-02-10T00:00:00"/>
    <s v="BJ US-IC-ChocChpCookDgh-FTNG-1 2.4G"/>
    <x v="24"/>
    <n v="9.0848256361922702E-3"/>
    <n v="125"/>
    <x v="13"/>
    <x v="20"/>
    <n v="1"/>
    <n v="4250"/>
    <n v="38.610508953817146"/>
    <n v="34"/>
    <s v="Feb"/>
    <x v="7"/>
    <m/>
    <m/>
  </r>
  <r>
    <n v="84135799"/>
    <x v="3"/>
    <n v="5410"/>
    <d v="2026-02-11T00:00:00"/>
    <s v="BJ US-IC-ChocChpCookDgh-FTNG-1 2.4G"/>
    <x v="24"/>
    <n v="9.0848256361922702E-3"/>
    <n v="125"/>
    <x v="13"/>
    <x v="20"/>
    <n v="1"/>
    <n v="5410"/>
    <n v="49.148906691800185"/>
    <n v="43.28"/>
    <s v="Feb"/>
    <x v="7"/>
    <m/>
    <m/>
  </r>
  <r>
    <n v="84136043"/>
    <x v="3"/>
    <n v="7440"/>
    <d v="2026-01-28T00:00:00"/>
    <s v="BJ US-COR-KaramelSutra-FTNG-8 1PT"/>
    <x v="30"/>
    <n v="3.7853439999999999E-3"/>
    <n v="240"/>
    <x v="3"/>
    <x v="13"/>
    <n v="1"/>
    <n v="7440"/>
    <n v="28.162959359999999"/>
    <n v="31"/>
    <s v="Jan"/>
    <x v="4"/>
    <m/>
    <m/>
  </r>
  <r>
    <n v="84136043"/>
    <x v="3"/>
    <n v="7049"/>
    <d v="2026-01-29T00:00:00"/>
    <s v="BJ US-COR-KaramelSutra-FTNG-8 1PT"/>
    <x v="30"/>
    <n v="3.7853439999999999E-3"/>
    <n v="240"/>
    <x v="3"/>
    <x v="13"/>
    <n v="1"/>
    <n v="7049"/>
    <n v="26.682889855999999"/>
    <n v="29.370833333333334"/>
    <s v="Jan"/>
    <x v="4"/>
    <m/>
    <m/>
  </r>
  <r>
    <n v="84136704"/>
    <x v="3"/>
    <n v="14400"/>
    <d v="2026-02-02T00:00:00"/>
    <s v="BJ US-IC-NewYrkSprFdgChnk-FTNG-8 1PT"/>
    <x v="24"/>
    <n v="3.7853439999999999E-3"/>
    <n v="240"/>
    <x v="3"/>
    <x v="13"/>
    <n v="1"/>
    <n v="14400"/>
    <n v="54.508953599999998"/>
    <n v="60"/>
    <s v="Feb"/>
    <x v="8"/>
    <m/>
    <m/>
  </r>
  <r>
    <n v="84136704"/>
    <x v="3"/>
    <n v="25920"/>
    <d v="2026-02-03T00:00:00"/>
    <s v="BJ US-IC-NewYrkSprFdgChnk-FTNG-8 1PT"/>
    <x v="24"/>
    <n v="3.7853439999999999E-3"/>
    <n v="240"/>
    <x v="3"/>
    <x v="13"/>
    <n v="1"/>
    <n v="25920"/>
    <n v="98.116116480000002"/>
    <n v="108"/>
    <s v="Feb"/>
    <x v="8"/>
    <m/>
    <m/>
  </r>
  <r>
    <n v="84136704"/>
    <x v="3"/>
    <n v="4230"/>
    <d v="2026-02-04T00:00:00"/>
    <s v="BJ US-IC-NewYrkSprFdgChnk-FTNG-8 1PT"/>
    <x v="24"/>
    <n v="3.7853439999999999E-3"/>
    <n v="240"/>
    <x v="3"/>
    <x v="13"/>
    <n v="1"/>
    <n v="4230"/>
    <n v="16.012005120000001"/>
    <n v="17.625"/>
    <s v="Feb"/>
    <x v="8"/>
    <m/>
    <m/>
  </r>
  <r>
    <n v="84137694"/>
    <x v="3"/>
    <n v="21840"/>
    <d v="2026-02-06T00:00:00"/>
    <s v="BJ US-IC-EverythingButThe-FTNG-8 1PT"/>
    <x v="30"/>
    <n v="3.7853439999999999E-3"/>
    <n v="240"/>
    <x v="3"/>
    <x v="13"/>
    <n v="1"/>
    <n v="21840"/>
    <n v="82.67191296"/>
    <n v="91"/>
    <s v="Feb"/>
    <x v="8"/>
    <m/>
    <m/>
  </r>
  <r>
    <n v="84137694"/>
    <x v="3"/>
    <n v="16800"/>
    <d v="2026-02-07T00:00:00"/>
    <s v="BJ US-IC-EverythingButThe-FTNG-8 1PT"/>
    <x v="30"/>
    <n v="3.7853439999999999E-3"/>
    <n v="240"/>
    <x v="3"/>
    <x v="13"/>
    <n v="1"/>
    <n v="16800"/>
    <n v="63.5937792"/>
    <n v="70"/>
    <s v="Feb"/>
    <x v="8"/>
    <m/>
    <m/>
  </r>
  <r>
    <n v="84137694"/>
    <x v="3"/>
    <n v="1283"/>
    <d v="2026-02-09T00:00:00"/>
    <s v="BJ US-IC-EverythingButThe-FTNG-8 1PT"/>
    <x v="30"/>
    <n v="3.7853439999999999E-3"/>
    <n v="240"/>
    <x v="3"/>
    <x v="13"/>
    <n v="1"/>
    <n v="1283"/>
    <n v="4.8565963519999995"/>
    <n v="5.3458333333333332"/>
    <s v="Feb"/>
    <x v="7"/>
    <m/>
    <m/>
  </r>
  <r>
    <n v="84138391"/>
    <x v="3"/>
    <n v="32160"/>
    <d v="2026-01-28T00:00:00"/>
    <s v="BJ US-IC-PhishFood-FTNG-8 1PT"/>
    <x v="10"/>
    <n v="3.7853439999999999E-3"/>
    <n v="240"/>
    <x v="3"/>
    <x v="13"/>
    <n v="1"/>
    <n v="32160"/>
    <n v="121.73666304"/>
    <n v="134"/>
    <s v="Jan"/>
    <x v="4"/>
    <m/>
    <m/>
  </r>
  <r>
    <n v="84138391"/>
    <x v="3"/>
    <n v="2216"/>
    <d v="2026-01-29T00:00:00"/>
    <s v="BJ US-IC-PhishFood-FTNG-8 1PT"/>
    <x v="10"/>
    <n v="3.7853439999999999E-3"/>
    <n v="240"/>
    <x v="3"/>
    <x v="13"/>
    <n v="1"/>
    <n v="2216"/>
    <n v="8.388322303999999"/>
    <n v="9.2333333333333325"/>
    <s v="Jan"/>
    <x v="4"/>
    <m/>
    <m/>
  </r>
  <r>
    <n v="84138391"/>
    <x v="3"/>
    <n v="3840"/>
    <d v="2026-02-04T00:00:00"/>
    <s v="BJ US-IC-PhishFood-FTNG-8 1PT"/>
    <x v="10"/>
    <n v="3.7853439999999999E-3"/>
    <n v="240"/>
    <x v="3"/>
    <x v="13"/>
    <n v="1"/>
    <n v="3840"/>
    <n v="14.535720959999999"/>
    <n v="16"/>
    <s v="Feb"/>
    <x v="8"/>
    <m/>
    <m/>
  </r>
  <r>
    <n v="84138391"/>
    <x v="3"/>
    <n v="21360"/>
    <d v="2026-02-05T00:00:00"/>
    <s v="BJ US-IC-PhishFood-FTNG-8 1PT"/>
    <x v="10"/>
    <n v="3.7853439999999999E-3"/>
    <n v="240"/>
    <x v="3"/>
    <x v="13"/>
    <n v="1"/>
    <n v="21360"/>
    <n v="80.854947839999994"/>
    <n v="89"/>
    <s v="Feb"/>
    <x v="8"/>
    <m/>
    <m/>
  </r>
  <r>
    <n v="84138391"/>
    <x v="3"/>
    <n v="24557"/>
    <d v="2026-02-06T00:00:00"/>
    <s v="BJ US-IC-PhishFood-FTNG-8 1PT"/>
    <x v="10"/>
    <n v="3.7853439999999999E-3"/>
    <n v="240"/>
    <x v="3"/>
    <x v="13"/>
    <n v="1"/>
    <n v="24557"/>
    <n v="92.956692607999997"/>
    <n v="102.32083333333334"/>
    <s v="Feb"/>
    <x v="8"/>
    <m/>
    <m/>
  </r>
  <r>
    <n v="84138391"/>
    <x v="3"/>
    <n v="14880"/>
    <d v="2026-02-07T00:00:00"/>
    <s v="BJ US-IC-PhishFood-FTNG-8 1PT"/>
    <x v="10"/>
    <n v="3.7853439999999999E-3"/>
    <n v="240"/>
    <x v="3"/>
    <x v="13"/>
    <n v="1"/>
    <n v="14880"/>
    <n v="56.325918719999997"/>
    <n v="62"/>
    <s v="Feb"/>
    <x v="8"/>
    <m/>
    <m/>
  </r>
  <r>
    <n v="84138391"/>
    <x v="3"/>
    <n v="1936"/>
    <d v="2026-02-09T00:00:00"/>
    <s v="BJ US-IC-PhishFood-FTNG-8 1PT"/>
    <x v="10"/>
    <n v="3.7853439999999999E-3"/>
    <n v="240"/>
    <x v="3"/>
    <x v="13"/>
    <n v="1"/>
    <n v="1936"/>
    <n v="7.3284259839999999"/>
    <n v="8.0666666666666664"/>
    <s v="Feb"/>
    <x v="7"/>
    <m/>
    <m/>
  </r>
  <r>
    <n v="84138391"/>
    <x v="3"/>
    <n v="-240"/>
    <d v="2026-02-10T00:00:00"/>
    <s v="BJ US-IC-PhishFood-FTNG-8 1PT"/>
    <x v="10"/>
    <n v="3.7853439999999999E-3"/>
    <n v="240"/>
    <x v="3"/>
    <x v="13"/>
    <n v="1"/>
    <n v="-240"/>
    <n v="-0.90848255999999994"/>
    <n v="-1"/>
    <s v="Feb"/>
    <x v="7"/>
    <m/>
    <m/>
  </r>
  <r>
    <n v="84138391"/>
    <x v="3"/>
    <n v="8880"/>
    <d v="2026-02-16T00:00:00"/>
    <s v="BJ US-IC-PhishFood-FTNG-8 1PT"/>
    <x v="10"/>
    <n v="3.7853439999999999E-3"/>
    <n v="240"/>
    <x v="3"/>
    <x v="13"/>
    <n v="1"/>
    <n v="8880"/>
    <n v="33.613854719999999"/>
    <n v="37"/>
    <s v="Feb"/>
    <x v="5"/>
    <m/>
    <m/>
  </r>
  <r>
    <n v="84138391"/>
    <x v="3"/>
    <n v="30240"/>
    <d v="2026-02-17T00:00:00"/>
    <s v="BJ US-IC-PhishFood-FTNG-8 1PT"/>
    <x v="10"/>
    <n v="3.7853439999999999E-3"/>
    <n v="240"/>
    <x v="3"/>
    <x v="13"/>
    <n v="1"/>
    <n v="30240"/>
    <n v="114.46880256"/>
    <n v="126"/>
    <s v="Feb"/>
    <x v="5"/>
    <m/>
    <m/>
  </r>
  <r>
    <n v="84138391"/>
    <x v="3"/>
    <n v="8690"/>
    <d v="2026-02-18T00:00:00"/>
    <s v="BJ US-IC-PhishFood-FTNG-8 1PT"/>
    <x v="10"/>
    <n v="3.7853439999999999E-3"/>
    <n v="240"/>
    <x v="3"/>
    <x v="13"/>
    <n v="1"/>
    <n v="8690"/>
    <n v="32.894639359999999"/>
    <n v="36.208333333333336"/>
    <s v="Feb"/>
    <x v="5"/>
    <m/>
    <m/>
  </r>
  <r>
    <n v="84139000"/>
    <x v="3"/>
    <n v="1500"/>
    <d v="2026-02-09T00:00:00"/>
    <s v="BJ US-IC-SaltCaramelBlondie-FTNG-1 2.4G"/>
    <x v="10"/>
    <n v="9.0848256361922702E-3"/>
    <n v="125"/>
    <x v="13"/>
    <x v="20"/>
    <n v="1"/>
    <n v="1500"/>
    <n v="13.627238454288406"/>
    <n v="12"/>
    <s v="Feb"/>
    <x v="7"/>
    <m/>
    <m/>
  </r>
  <r>
    <n v="84139000"/>
    <x v="3"/>
    <n v="1543"/>
    <d v="2026-02-10T00:00:00"/>
    <s v="BJ US-IC-SaltCaramelBlondie-FTNG-1 2.4G"/>
    <x v="10"/>
    <n v="9.0848256361922702E-3"/>
    <n v="125"/>
    <x v="13"/>
    <x v="20"/>
    <n v="1"/>
    <n v="1543"/>
    <n v="14.017885956644673"/>
    <n v="12.343999999999999"/>
    <s v="Feb"/>
    <x v="7"/>
    <m/>
    <m/>
  </r>
  <r>
    <n v="84139090"/>
    <x v="3"/>
    <n v="720"/>
    <d v="2026-02-19T00:00:00"/>
    <s v="BJ US-IC-CoffeeToffeeCrunch-FTNG-8 1PT"/>
    <x v="24"/>
    <n v="3.7853439999999999E-3"/>
    <n v="240"/>
    <x v="3"/>
    <x v="13"/>
    <n v="1"/>
    <n v="720"/>
    <n v="2.7254476799999998"/>
    <n v="3"/>
    <s v="Feb"/>
    <x v="5"/>
    <m/>
    <m/>
  </r>
  <r>
    <n v="84139090"/>
    <x v="3"/>
    <n v="30720"/>
    <d v="2026-02-20T00:00:00"/>
    <s v="BJ US-IC-CoffeeToffeeCrunch-FTNG-8 1PT"/>
    <x v="24"/>
    <n v="3.7853439999999999E-3"/>
    <n v="240"/>
    <x v="3"/>
    <x v="13"/>
    <n v="1"/>
    <n v="30720"/>
    <n v="116.28576767999999"/>
    <n v="128"/>
    <s v="Feb"/>
    <x v="5"/>
    <m/>
    <m/>
  </r>
  <r>
    <n v="84139090"/>
    <x v="3"/>
    <n v="1530"/>
    <d v="2026-02-21T00:00:00"/>
    <s v="BJ US-IC-CoffeeToffeeCrunch-FTNG-8 1PT"/>
    <x v="24"/>
    <n v="3.7853439999999999E-3"/>
    <n v="240"/>
    <x v="3"/>
    <x v="13"/>
    <n v="1"/>
    <n v="1530"/>
    <n v="5.7915763199999999"/>
    <n v="6.375"/>
    <s v="Feb"/>
    <x v="5"/>
    <m/>
    <m/>
  </r>
  <r>
    <n v="84139971"/>
    <x v="3"/>
    <n v="2664"/>
    <d v="2026-01-28T00:00:00"/>
    <s v="BJ US-IC-MintChocChunk-FTNG-1 2.4G"/>
    <x v="24"/>
    <n v="9.0848256361922702E-3"/>
    <n v="125"/>
    <x v="13"/>
    <x v="20"/>
    <n v="1"/>
    <n v="2664"/>
    <n v="24.201975494816207"/>
    <n v="21.312000000000001"/>
    <s v="Jan"/>
    <x v="4"/>
    <m/>
    <m/>
  </r>
  <r>
    <n v="84141037"/>
    <x v="3"/>
    <n v="5125"/>
    <d v="2026-02-19T00:00:00"/>
    <s v="BJ US-IC-ChocFudgBrownie-FTNG-1 2.4G"/>
    <x v="24"/>
    <n v="9.0848256361922702E-3"/>
    <n v="125"/>
    <x v="13"/>
    <x v="20"/>
    <n v="1"/>
    <n v="5125"/>
    <n v="46.559731385485385"/>
    <n v="41"/>
    <s v="Feb"/>
    <x v="5"/>
    <m/>
    <m/>
  </r>
  <r>
    <n v="84141037"/>
    <x v="3"/>
    <n v="4620"/>
    <d v="2026-02-20T00:00:00"/>
    <s v="BJ US-IC-ChocFudgBrownie-FTNG-1 2.4G"/>
    <x v="24"/>
    <n v="9.0848256361922702E-3"/>
    <n v="125"/>
    <x v="13"/>
    <x v="20"/>
    <n v="1"/>
    <n v="4620"/>
    <n v="41.971894439208292"/>
    <n v="36.96"/>
    <s v="Feb"/>
    <x v="5"/>
    <m/>
    <m/>
  </r>
  <r>
    <n v="84141102"/>
    <x v="3"/>
    <n v="-21"/>
    <d v="2026-01-28T00:00:00"/>
    <s v="BJ US-IC-ChocFudgBrownie-FTNG-8 1PT"/>
    <x v="25"/>
    <n v="3.7853439999999999E-3"/>
    <n v="240"/>
    <x v="3"/>
    <x v="13"/>
    <n v="1"/>
    <n v="-21"/>
    <n v="-7.9492224E-2"/>
    <n v="-8.7499999999999994E-2"/>
    <s v="Jan"/>
    <x v="4"/>
    <m/>
    <m/>
  </r>
  <r>
    <n v="84141102"/>
    <x v="3"/>
    <n v="24380"/>
    <d v="2026-02-14T00:00:00"/>
    <s v="BJ US-IC-ChocFudgBrownie-FTNG-8 1PT"/>
    <x v="30"/>
    <n v="3.7853439999999999E-3"/>
    <n v="240"/>
    <x v="3"/>
    <x v="13"/>
    <n v="1"/>
    <n v="24380"/>
    <n v="92.286686720000006"/>
    <n v="101.58333333333333"/>
    <s v="Feb"/>
    <x v="7"/>
    <m/>
    <m/>
  </r>
  <r>
    <n v="84141103"/>
    <x v="3"/>
    <n v="28560"/>
    <d v="2026-02-04T00:00:00"/>
    <s v="BJ US-IC-HalfBaked-FTNG-8 1PT"/>
    <x v="47"/>
    <n v="3.7853439999999999E-3"/>
    <n v="240"/>
    <x v="3"/>
    <x v="13"/>
    <n v="1"/>
    <n v="28560"/>
    <n v="108.10942464"/>
    <n v="119"/>
    <s v="Feb"/>
    <x v="8"/>
    <m/>
    <m/>
  </r>
  <r>
    <n v="84141103"/>
    <x v="3"/>
    <n v="9600"/>
    <d v="2026-02-05T00:00:00"/>
    <s v="BJ US-IC-HalfBaked-FTNG-8 1PT"/>
    <x v="47"/>
    <n v="3.7853439999999999E-3"/>
    <n v="240"/>
    <x v="3"/>
    <x v="13"/>
    <n v="1"/>
    <n v="9600"/>
    <n v="36.339302400000001"/>
    <n v="40"/>
    <s v="Feb"/>
    <x v="8"/>
    <m/>
    <m/>
  </r>
  <r>
    <n v="84141103"/>
    <x v="3"/>
    <n v="60"/>
    <d v="2026-02-06T00:00:00"/>
    <s v="BJ US-IC-HalfBaked-FTNG-8 1PT"/>
    <x v="47"/>
    <n v="3.7853439999999999E-3"/>
    <n v="240"/>
    <x v="3"/>
    <x v="13"/>
    <n v="1"/>
    <n v="60"/>
    <n v="0.22712063999999998"/>
    <n v="0.25"/>
    <s v="Feb"/>
    <x v="8"/>
    <m/>
    <m/>
  </r>
  <r>
    <n v="84141103"/>
    <x v="3"/>
    <n v="33480"/>
    <d v="2026-02-05T00:00:00"/>
    <s v="BJ US-IC-HalfBaked-FTNG-8 1PT"/>
    <x v="47"/>
    <n v="3.7853439999999999E-3"/>
    <n v="240"/>
    <x v="3"/>
    <x v="13"/>
    <n v="1"/>
    <n v="33480"/>
    <n v="126.73331712"/>
    <n v="139.5"/>
    <s v="Feb"/>
    <x v="8"/>
    <m/>
    <m/>
  </r>
  <r>
    <n v="84141103"/>
    <x v="3"/>
    <n v="32367"/>
    <d v="2026-02-06T00:00:00"/>
    <s v="BJ US-IC-HalfBaked-FTNG-8 1PT"/>
    <x v="47"/>
    <n v="3.7853439999999999E-3"/>
    <n v="240"/>
    <x v="3"/>
    <x v="13"/>
    <n v="1"/>
    <n v="32367"/>
    <n v="122.52022924799999"/>
    <n v="134.86250000000001"/>
    <s v="Feb"/>
    <x v="8"/>
    <m/>
    <m/>
  </r>
  <r>
    <n v="84141103"/>
    <x v="3"/>
    <n v="-120"/>
    <d v="2026-02-10T00:00:00"/>
    <s v="BJ US-IC-HalfBaked-FTNG-8 1PT"/>
    <x v="47"/>
    <n v="3.7853439999999999E-3"/>
    <n v="240"/>
    <x v="3"/>
    <x v="13"/>
    <n v="1"/>
    <n v="-120"/>
    <n v="-0.45424127999999997"/>
    <n v="-0.5"/>
    <s v="Feb"/>
    <x v="7"/>
    <m/>
    <m/>
  </r>
  <r>
    <n v="84144598"/>
    <x v="3"/>
    <n v="14880"/>
    <d v="2026-02-18T00:00:00"/>
    <s v="BJ US-IC-VanillaCaramelFdg-FTNG-8 1PT"/>
    <x v="24"/>
    <n v="3.7853439999999999E-3"/>
    <n v="240"/>
    <x v="3"/>
    <x v="13"/>
    <n v="1"/>
    <n v="14880"/>
    <n v="56.325918719999997"/>
    <n v="62"/>
    <s v="Feb"/>
    <x v="5"/>
    <m/>
    <m/>
  </r>
  <r>
    <n v="84144598"/>
    <x v="3"/>
    <n v="5002"/>
    <d v="2026-02-19T00:00:00"/>
    <s v="BJ US-IC-VanillaCaramelFdg-FTNG-8 1PT"/>
    <x v="24"/>
    <n v="3.7853439999999999E-3"/>
    <n v="240"/>
    <x v="3"/>
    <x v="13"/>
    <n v="1"/>
    <n v="5002"/>
    <n v="18.934290688000001"/>
    <n v="20.841666666666665"/>
    <s v="Feb"/>
    <x v="5"/>
    <m/>
    <m/>
  </r>
  <r>
    <n v="84161610"/>
    <x v="3"/>
    <n v="12960"/>
    <d v="2026-02-04T00:00:00"/>
    <s v="BJ US-COR-SaltedCaramelCore-FTNG-8 1PT"/>
    <x v="30"/>
    <n v="3.7853439999999999E-3"/>
    <n v="240"/>
    <x v="3"/>
    <x v="13"/>
    <n v="1"/>
    <n v="12960"/>
    <n v="49.058058240000001"/>
    <n v="54"/>
    <s v="Feb"/>
    <x v="8"/>
    <m/>
    <m/>
  </r>
  <r>
    <n v="84161610"/>
    <x v="3"/>
    <n v="17241"/>
    <d v="2026-02-05T00:00:00"/>
    <s v="BJ US-COR-SaltedCaramelCore-FTNG-8 1PT"/>
    <x v="30"/>
    <n v="3.7853439999999999E-3"/>
    <n v="240"/>
    <x v="3"/>
    <x v="13"/>
    <n v="1"/>
    <n v="17241"/>
    <n v="65.263115904000003"/>
    <n v="71.837500000000006"/>
    <s v="Feb"/>
    <x v="8"/>
    <m/>
    <m/>
  </r>
  <r>
    <n v="84163605"/>
    <x v="3"/>
    <n v="10320"/>
    <d v="2026-02-02T00:00:00"/>
    <s v="BJ US-IC-ChocTherapy-FTNG-8 1PT"/>
    <x v="25"/>
    <n v="3.7853439999999999E-3"/>
    <n v="240"/>
    <x v="3"/>
    <x v="13"/>
    <n v="1"/>
    <n v="10320"/>
    <n v="39.064750079999996"/>
    <n v="43"/>
    <s v="Feb"/>
    <x v="8"/>
    <m/>
    <m/>
  </r>
  <r>
    <n v="84163605"/>
    <x v="3"/>
    <n v="17520"/>
    <d v="2026-02-03T00:00:00"/>
    <s v="BJ US-IC-ChocTherapy-FTNG-8 1PT"/>
    <x v="25"/>
    <n v="3.7853439999999999E-3"/>
    <n v="240"/>
    <x v="3"/>
    <x v="13"/>
    <n v="1"/>
    <n v="17520"/>
    <n v="66.319226880000002"/>
    <n v="73"/>
    <s v="Feb"/>
    <x v="8"/>
    <m/>
    <m/>
  </r>
  <r>
    <n v="84163605"/>
    <x v="3"/>
    <n v="5306"/>
    <d v="2026-02-04T00:00:00"/>
    <s v="BJ US-IC-ChocTherapy-FTNG-8 1PT"/>
    <x v="25"/>
    <n v="3.7853439999999999E-3"/>
    <n v="240"/>
    <x v="3"/>
    <x v="13"/>
    <n v="1"/>
    <n v="5306"/>
    <n v="20.085035263999998"/>
    <n v="22.108333333333334"/>
    <s v="Feb"/>
    <x v="8"/>
    <m/>
    <m/>
  </r>
  <r>
    <n v="84163605"/>
    <x v="3"/>
    <n v="-240"/>
    <d v="2026-02-05T00:00:00"/>
    <s v="BJ US-IC-ChocTherapy-FTNG-8 1PT"/>
    <x v="25"/>
    <n v="3.7853439999999999E-3"/>
    <n v="240"/>
    <x v="3"/>
    <x v="13"/>
    <n v="1"/>
    <n v="-240"/>
    <n v="-0.90848255999999994"/>
    <n v="-1"/>
    <s v="Feb"/>
    <x v="8"/>
    <m/>
    <m/>
  </r>
  <r>
    <n v="84164936"/>
    <x v="3"/>
    <n v="27360"/>
    <d v="2026-02-02T00:00:00"/>
    <s v="BJ US-IC-MintChocCookie-8 1PT"/>
    <x v="30"/>
    <n v="3.7853439999999999E-3"/>
    <n v="240"/>
    <x v="3"/>
    <x v="13"/>
    <n v="1"/>
    <n v="27360"/>
    <n v="103.56701183999999"/>
    <n v="114"/>
    <s v="Feb"/>
    <x v="8"/>
    <m/>
    <m/>
  </r>
  <r>
    <n v="84164936"/>
    <x v="3"/>
    <n v="40080"/>
    <d v="2026-02-03T00:00:00"/>
    <s v="BJ US-IC-MintChocCookie-8 1PT"/>
    <x v="30"/>
    <n v="3.7853439999999999E-3"/>
    <n v="240"/>
    <x v="3"/>
    <x v="13"/>
    <n v="1"/>
    <n v="40080"/>
    <n v="151.71658751999999"/>
    <n v="167"/>
    <s v="Feb"/>
    <x v="8"/>
    <m/>
    <m/>
  </r>
  <r>
    <n v="84164936"/>
    <x v="3"/>
    <n v="1021"/>
    <d v="2026-02-04T00:00:00"/>
    <s v="BJ US-IC-MintChocCookie-8 1PT"/>
    <x v="30"/>
    <n v="3.7853439999999999E-3"/>
    <n v="240"/>
    <x v="3"/>
    <x v="13"/>
    <n v="1"/>
    <n v="1021"/>
    <n v="3.8648362239999998"/>
    <n v="4.2541666666666664"/>
    <s v="Feb"/>
    <x v="8"/>
    <m/>
    <m/>
  </r>
  <r>
    <n v="84164936"/>
    <x v="3"/>
    <n v="-1200"/>
    <d v="2026-02-05T00:00:00"/>
    <s v="BJ US-IC-MintChocCookie-8 1PT"/>
    <x v="30"/>
    <n v="3.7853439999999999E-3"/>
    <n v="240"/>
    <x v="3"/>
    <x v="13"/>
    <n v="1"/>
    <n v="-1200"/>
    <n v="-4.5424128000000001"/>
    <n v="-5"/>
    <s v="Feb"/>
    <x v="8"/>
    <m/>
    <m/>
  </r>
  <r>
    <n v="84164939"/>
    <x v="3"/>
    <n v="1250"/>
    <d v="2026-01-29T00:00:00"/>
    <s v="BJ US-IC-SweetCrm+Cookies-FTNG-1 2.4G"/>
    <x v="24"/>
    <n v="9.0848256361922702E-3"/>
    <n v="125"/>
    <x v="13"/>
    <x v="20"/>
    <n v="1"/>
    <n v="1250"/>
    <n v="11.356032045240338"/>
    <n v="10"/>
    <s v="Jan"/>
    <x v="4"/>
    <m/>
    <m/>
  </r>
  <r>
    <n v="84164939"/>
    <x v="3"/>
    <n v="4553"/>
    <d v="2026-01-30T00:00:00"/>
    <s v="BJ US-IC-SweetCrm+Cookies-FTNG-1 2.4G"/>
    <x v="24"/>
    <n v="9.0848256361922702E-3"/>
    <n v="125"/>
    <x v="13"/>
    <x v="20"/>
    <n v="1"/>
    <n v="4553"/>
    <n v="41.363211121583404"/>
    <n v="36.423999999999999"/>
    <s v="Jan"/>
    <x v="4"/>
    <m/>
    <m/>
  </r>
  <r>
    <n v="65489677"/>
    <x v="12"/>
    <n v="22394"/>
    <s v="01/28/2026"/>
    <s v="GH King Cone Giant VAN CHOC 1-12PK"/>
    <x v="39"/>
    <n v="2.8319999999999999E-3"/>
    <n v="221"/>
    <x v="17"/>
    <x v="34"/>
    <n v="1"/>
    <n v="22394"/>
    <n v="63.419807999999996"/>
    <n v="101.33031674208145"/>
    <s v="Jan"/>
    <x v="4"/>
    <m/>
    <m/>
  </r>
  <r>
    <n v="64976847"/>
    <x v="12"/>
    <n v="156923"/>
    <s v="01/30/2026"/>
    <s v="Yasso Vanilla Chocolate Crunch 8-4pk"/>
    <x v="39"/>
    <n v="2.5040000000000001E-3"/>
    <n v="165"/>
    <x v="4"/>
    <x v="33"/>
    <n v="1"/>
    <n v="156923"/>
    <n v="392.93519200000003"/>
    <n v="951.0484848484848"/>
    <s v="Jan"/>
    <x v="4"/>
    <m/>
    <m/>
  </r>
  <r>
    <n v="65489677"/>
    <x v="12"/>
    <n v="24193"/>
    <s v="02/03/2026"/>
    <s v="GH King Cone Giant VAN CHOC 1-12PK"/>
    <x v="39"/>
    <n v="2.8319999999999999E-3"/>
    <n v="221"/>
    <x v="17"/>
    <x v="34"/>
    <n v="1"/>
    <n v="24193"/>
    <n v="68.514575999999991"/>
    <n v="109.47058823529412"/>
    <s v="Feb"/>
    <x v="8"/>
    <m/>
    <m/>
  </r>
  <r>
    <n v="64976847"/>
    <x v="12"/>
    <n v="66847"/>
    <s v="02/06/2026"/>
    <s v="Yasso Vanilla Chocolate Crunch 8-4pk"/>
    <x v="39"/>
    <n v="2.5040000000000001E-3"/>
    <n v="165"/>
    <x v="4"/>
    <x v="33"/>
    <n v="1"/>
    <n v="66847"/>
    <n v="167.38488800000002"/>
    <n v="405.13333333333333"/>
    <s v="Feb"/>
    <x v="8"/>
    <m/>
    <m/>
  </r>
  <r>
    <n v="65489676"/>
    <x v="12"/>
    <n v="13851"/>
    <s v="02/10/2026"/>
    <s v="GH King Cone GINT Cookies and CRM 1-12PK"/>
    <x v="39"/>
    <n v="2.8319999999999999E-3"/>
    <n v="221"/>
    <x v="17"/>
    <x v="34"/>
    <n v="1"/>
    <n v="13851"/>
    <n v="39.226031999999996"/>
    <n v="62.674208144796381"/>
    <s v="Feb"/>
    <x v="7"/>
    <m/>
    <m/>
  </r>
  <r>
    <n v="64976851"/>
    <x v="12"/>
    <n v="46867"/>
    <s v="02/10/2026"/>
    <s v="Yasso Caramel Chocolate Crunch 8-4pk"/>
    <x v="39"/>
    <n v="2.5040000000000001E-3"/>
    <n v="165"/>
    <x v="4"/>
    <x v="33"/>
    <n v="1"/>
    <n v="46867"/>
    <n v="117.35496800000001"/>
    <n v="284.04242424242426"/>
    <s v="Feb"/>
    <x v="7"/>
    <m/>
    <m/>
  </r>
  <r>
    <n v="64976850"/>
    <x v="12"/>
    <n v="42956"/>
    <s v="02/13/2026"/>
    <s v="Yasso PB Chocolate Crunch 8-4pk"/>
    <x v="39"/>
    <n v="2.5040000000000001E-3"/>
    <n v="165"/>
    <x v="4"/>
    <x v="33"/>
    <n v="1"/>
    <n v="42956"/>
    <n v="107.561824"/>
    <n v="260.33939393939391"/>
    <s v="Feb"/>
    <x v="7"/>
    <m/>
    <m/>
  </r>
  <r>
    <n v="64325625"/>
    <x v="9"/>
    <n v="17600"/>
    <s v="02/10/2026"/>
    <s v="Yasso Vanilla Bean Poppables 10-6.84flz"/>
    <x v="36"/>
    <n v="2.0200000000000001E-3"/>
    <n v="200"/>
    <x v="20"/>
    <x v="29"/>
    <n v="1"/>
    <n v="17600"/>
    <n v="35.552"/>
    <n v="88"/>
    <s v="Feb"/>
    <x v="7"/>
    <m/>
    <m/>
  </r>
  <r>
    <n v="64325625"/>
    <x v="9"/>
    <n v="3179"/>
    <s v="02/18/2026"/>
    <s v="Yasso Vanilla Bean Poppables 10-6.84flz"/>
    <x v="36"/>
    <n v="2.0200000000000001E-3"/>
    <n v="200"/>
    <x v="20"/>
    <x v="29"/>
    <n v="1"/>
    <n v="3179"/>
    <n v="6.4215800000000005"/>
    <n v="15.895"/>
    <s v="Feb"/>
    <x v="5"/>
    <m/>
    <m/>
  </r>
  <r>
    <n v="64955558"/>
    <x v="10"/>
    <n v="12854"/>
    <s v="02/05/2026"/>
    <s v="Yasso Creamy Mango 8-4pk"/>
    <x v="37"/>
    <n v="3.3119999999999998E-3"/>
    <n v="165"/>
    <x v="4"/>
    <x v="30"/>
    <n v="1"/>
    <n v="12854"/>
    <n v="42.572448000000001"/>
    <n v="77.903030303030306"/>
    <s v="Feb"/>
    <x v="8"/>
    <m/>
    <m/>
  </r>
  <r>
    <n v="64955559"/>
    <x v="10"/>
    <n v="11020"/>
    <s v="02/09/2026"/>
    <s v="Yasso Strawberries n Cream 8-4pk"/>
    <x v="37"/>
    <n v="3.3119999999999998E-3"/>
    <n v="165"/>
    <x v="4"/>
    <x v="30"/>
    <n v="1"/>
    <n v="11020"/>
    <n v="36.498239999999996"/>
    <n v="66.787878787878782"/>
    <s v="Feb"/>
    <x v="7"/>
    <m/>
    <m/>
  </r>
  <r>
    <n v="64976848"/>
    <x v="10"/>
    <n v="38055"/>
    <s v="02/09/2026"/>
    <s v="Yasso Fudge Chocolate Crunch 8-4pk"/>
    <x v="37"/>
    <n v="2.5040000000000001E-3"/>
    <n v="165"/>
    <x v="4"/>
    <x v="30"/>
    <n v="1"/>
    <n v="38055"/>
    <n v="95.289720000000003"/>
    <n v="230.63636363636363"/>
    <s v="Feb"/>
    <x v="7"/>
    <m/>
    <m/>
  </r>
  <r>
    <n v="64833353"/>
    <x v="5"/>
    <n v="2600"/>
    <s v="01/28/2026"/>
    <s v="PS SF Tropical 6-18PK"/>
    <x v="34"/>
    <n v="5.28E-3"/>
    <n v="130"/>
    <x v="6"/>
    <x v="22"/>
    <n v="1"/>
    <n v="2600"/>
    <n v="13.728"/>
    <n v="20"/>
    <s v="Jan"/>
    <x v="4"/>
    <m/>
    <m/>
  </r>
  <r>
    <n v="64833353"/>
    <x v="5"/>
    <n v="2599"/>
    <s v="01/29/2026"/>
    <s v="PS SF Tropical 6-18PK"/>
    <x v="41"/>
    <n v="5.28E-3"/>
    <n v="130"/>
    <x v="6"/>
    <x v="22"/>
    <n v="1"/>
    <n v="2599"/>
    <n v="13.722720000000001"/>
    <n v="19.992307692307691"/>
    <s v="Jan"/>
    <x v="4"/>
    <m/>
    <m/>
  </r>
  <r>
    <n v="64833353"/>
    <x v="5"/>
    <n v="2600"/>
    <s v="01/29/2026"/>
    <s v="PS SF Tropical 6-18PK"/>
    <x v="34"/>
    <n v="5.28E-3"/>
    <n v="130"/>
    <x v="6"/>
    <x v="22"/>
    <n v="1"/>
    <n v="2600"/>
    <n v="13.728"/>
    <n v="20"/>
    <s v="Jan"/>
    <x v="4"/>
    <m/>
    <m/>
  </r>
  <r>
    <n v="64833353"/>
    <x v="5"/>
    <n v="2600"/>
    <s v="01/30/2026"/>
    <s v="PS SF Tropical 6-18PK"/>
    <x v="34"/>
    <n v="5.28E-3"/>
    <n v="130"/>
    <x v="6"/>
    <x v="22"/>
    <n v="1"/>
    <n v="2600"/>
    <n v="13.728"/>
    <n v="20"/>
    <s v="Jan"/>
    <x v="4"/>
    <m/>
    <m/>
  </r>
  <r>
    <n v="64833353"/>
    <x v="5"/>
    <n v="2600"/>
    <s v="01/31/2026"/>
    <s v="PS SF Tropical 6-18PK"/>
    <x v="34"/>
    <n v="5.28E-3"/>
    <n v="130"/>
    <x v="6"/>
    <x v="22"/>
    <n v="1"/>
    <n v="2600"/>
    <n v="13.728"/>
    <n v="20"/>
    <s v="Jan"/>
    <x v="4"/>
    <m/>
    <m/>
  </r>
  <r>
    <n v="62714126"/>
    <x v="5"/>
    <n v="2600"/>
    <s v="02/03/2026"/>
    <s v="PS OCG SF 6-18PK"/>
    <x v="41"/>
    <n v="5.2680000000000001E-3"/>
    <n v="130"/>
    <x v="6"/>
    <x v="22"/>
    <n v="1"/>
    <n v="2600"/>
    <n v="13.6968"/>
    <n v="20"/>
    <s v="Feb"/>
    <x v="8"/>
    <m/>
    <m/>
  </r>
  <r>
    <n v="64833353"/>
    <x v="5"/>
    <n v="2600"/>
    <s v="02/03/2026"/>
    <s v="PS SF Tropical 6-18PK"/>
    <x v="41"/>
    <n v="5.28E-3"/>
    <n v="130"/>
    <x v="6"/>
    <x v="22"/>
    <n v="1"/>
    <n v="2600"/>
    <n v="13.728"/>
    <n v="20"/>
    <s v="Feb"/>
    <x v="8"/>
    <m/>
    <m/>
  </r>
  <r>
    <n v="62714126"/>
    <x v="5"/>
    <n v="2600"/>
    <s v="02/04/2026"/>
    <s v="PS OCG SF 6-18PK"/>
    <x v="41"/>
    <n v="5.2680000000000001E-3"/>
    <n v="130"/>
    <x v="6"/>
    <x v="22"/>
    <n v="1"/>
    <n v="2600"/>
    <n v="13.6968"/>
    <n v="20"/>
    <s v="Feb"/>
    <x v="8"/>
    <m/>
    <m/>
  </r>
  <r>
    <n v="62714126"/>
    <x v="5"/>
    <n v="2600"/>
    <s v="02/04/2026"/>
    <s v="PS OCG SF 6-18PK"/>
    <x v="41"/>
    <n v="5.2680000000000001E-3"/>
    <n v="130"/>
    <x v="6"/>
    <x v="22"/>
    <n v="1"/>
    <n v="2600"/>
    <n v="13.6968"/>
    <n v="20"/>
    <s v="Feb"/>
    <x v="8"/>
    <m/>
    <m/>
  </r>
  <r>
    <n v="62714126"/>
    <x v="5"/>
    <n v="2600"/>
    <s v="02/04/2026"/>
    <s v="PS OCG SF 6-18PK"/>
    <x v="41"/>
    <n v="5.2680000000000001E-3"/>
    <n v="130"/>
    <x v="6"/>
    <x v="22"/>
    <n v="1"/>
    <n v="2600"/>
    <n v="13.6968"/>
    <n v="20"/>
    <s v="Feb"/>
    <x v="8"/>
    <m/>
    <m/>
  </r>
  <r>
    <n v="64833353"/>
    <x v="5"/>
    <n v="2600"/>
    <s v="02/04/2026"/>
    <s v="PS SF Tropical 6-18PK"/>
    <x v="41"/>
    <n v="5.28E-3"/>
    <n v="130"/>
    <x v="6"/>
    <x v="22"/>
    <n v="1"/>
    <n v="2600"/>
    <n v="13.728"/>
    <n v="20"/>
    <s v="Feb"/>
    <x v="8"/>
    <m/>
    <m/>
  </r>
  <r>
    <n v="64833353"/>
    <x v="5"/>
    <n v="2600"/>
    <s v="02/04/2026"/>
    <s v="PS SF Tropical 6-18PK"/>
    <x v="41"/>
    <n v="5.28E-3"/>
    <n v="130"/>
    <x v="6"/>
    <x v="22"/>
    <n v="1"/>
    <n v="2600"/>
    <n v="13.728"/>
    <n v="20"/>
    <s v="Feb"/>
    <x v="8"/>
    <m/>
    <m/>
  </r>
  <r>
    <n v="64833353"/>
    <x v="5"/>
    <n v="2600"/>
    <s v="02/04/2026"/>
    <s v="PS SF Tropical 6-18PK"/>
    <x v="41"/>
    <n v="5.28E-3"/>
    <n v="130"/>
    <x v="6"/>
    <x v="22"/>
    <n v="1"/>
    <n v="2600"/>
    <n v="13.728"/>
    <n v="20"/>
    <s v="Feb"/>
    <x v="8"/>
    <m/>
    <m/>
  </r>
  <r>
    <n v="64833353"/>
    <x v="5"/>
    <n v="2600"/>
    <s v="02/12/2026"/>
    <s v="PS SF Tropical 6-18PK"/>
    <x v="34"/>
    <n v="5.28E-3"/>
    <n v="130"/>
    <x v="6"/>
    <x v="22"/>
    <n v="1"/>
    <n v="2600"/>
    <n v="13.728"/>
    <n v="20"/>
    <s v="Feb"/>
    <x v="7"/>
    <m/>
    <m/>
  </r>
  <r>
    <n v="62714126"/>
    <x v="5"/>
    <n v="2600"/>
    <s v="02/12/2026"/>
    <s v="PS OCG SF 6-18PK"/>
    <x v="34"/>
    <n v="5.2680000000000001E-3"/>
    <n v="130"/>
    <x v="6"/>
    <x v="22"/>
    <n v="1"/>
    <n v="2600"/>
    <n v="13.6968"/>
    <n v="20"/>
    <s v="Feb"/>
    <x v="7"/>
    <m/>
    <m/>
  </r>
  <r>
    <n v="62714126"/>
    <x v="5"/>
    <n v="2600"/>
    <s v="02/12/2026"/>
    <s v="PS OCG SF 6-18PK"/>
    <x v="34"/>
    <n v="5.2680000000000001E-3"/>
    <n v="130"/>
    <x v="6"/>
    <x v="22"/>
    <n v="1"/>
    <n v="2600"/>
    <n v="13.6968"/>
    <n v="20"/>
    <s v="Feb"/>
    <x v="7"/>
    <m/>
    <m/>
  </r>
  <r>
    <n v="62714126"/>
    <x v="5"/>
    <n v="2600"/>
    <s v="02/12/2026"/>
    <s v="PS OCG SF 6-18PK"/>
    <x v="34"/>
    <n v="5.2680000000000001E-3"/>
    <n v="130"/>
    <x v="6"/>
    <x v="22"/>
    <n v="1"/>
    <n v="2600"/>
    <n v="13.6968"/>
    <n v="20"/>
    <s v="Feb"/>
    <x v="7"/>
    <m/>
    <m/>
  </r>
  <r>
    <n v="62714126"/>
    <x v="5"/>
    <n v="2600"/>
    <s v="02/12/2026"/>
    <s v="PS OCG SF 6-18PK"/>
    <x v="34"/>
    <n v="5.2680000000000001E-3"/>
    <n v="130"/>
    <x v="6"/>
    <x v="22"/>
    <n v="1"/>
    <n v="2600"/>
    <n v="13.6968"/>
    <n v="20"/>
    <s v="Feb"/>
    <x v="7"/>
    <m/>
    <m/>
  </r>
  <r>
    <n v="62714126"/>
    <x v="5"/>
    <n v="2600"/>
    <s v="02/12/2026"/>
    <s v="PS OCG SF 6-18PK"/>
    <x v="34"/>
    <n v="5.2680000000000001E-3"/>
    <n v="130"/>
    <x v="6"/>
    <x v="22"/>
    <n v="1"/>
    <n v="2600"/>
    <n v="13.6968"/>
    <n v="20"/>
    <s v="Feb"/>
    <x v="7"/>
    <m/>
    <m/>
  </r>
  <r>
    <n v="64833353"/>
    <x v="5"/>
    <n v="2600"/>
    <s v="02/12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2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2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2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2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2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3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3/2026"/>
    <s v="PS SF Tropical 6-18PK"/>
    <x v="34"/>
    <n v="5.28E-3"/>
    <n v="130"/>
    <x v="6"/>
    <x v="22"/>
    <n v="1"/>
    <n v="2600"/>
    <n v="13.728"/>
    <n v="20"/>
    <s v="Feb"/>
    <x v="7"/>
    <m/>
    <m/>
  </r>
  <r>
    <n v="64833353"/>
    <x v="5"/>
    <n v="2600"/>
    <s v="02/13/2026"/>
    <s v="PS SF Tropical 6-18PK"/>
    <x v="34"/>
    <n v="5.28E-3"/>
    <n v="130"/>
    <x v="6"/>
    <x v="22"/>
    <n v="1"/>
    <n v="2600"/>
    <n v="13.728"/>
    <n v="20"/>
    <s v="Feb"/>
    <x v="7"/>
    <m/>
    <m/>
  </r>
  <r>
    <n v="62714126"/>
    <x v="5"/>
    <n v="2600"/>
    <s v="02/16/2026"/>
    <s v="PS OCG SF 6-18PK"/>
    <x v="41"/>
    <n v="5.2680000000000001E-3"/>
    <n v="130"/>
    <x v="6"/>
    <x v="22"/>
    <n v="1"/>
    <n v="2600"/>
    <n v="13.6968"/>
    <n v="20"/>
    <s v="Feb"/>
    <x v="5"/>
    <m/>
    <m/>
  </r>
  <r>
    <n v="62714126"/>
    <x v="5"/>
    <n v="2600"/>
    <s v="02/16/2026"/>
    <s v="PS OCG SF 6-18PK"/>
    <x v="41"/>
    <n v="5.2680000000000001E-3"/>
    <n v="130"/>
    <x v="6"/>
    <x v="22"/>
    <n v="1"/>
    <n v="2600"/>
    <n v="13.6968"/>
    <n v="20"/>
    <s v="Feb"/>
    <x v="5"/>
    <m/>
    <m/>
  </r>
  <r>
    <n v="62714126"/>
    <x v="5"/>
    <n v="2600"/>
    <s v="02/16/2026"/>
    <s v="PS OCG SF 6-18PK"/>
    <x v="41"/>
    <n v="5.2680000000000001E-3"/>
    <n v="130"/>
    <x v="6"/>
    <x v="22"/>
    <n v="1"/>
    <n v="2600"/>
    <n v="13.6968"/>
    <n v="20"/>
    <s v="Feb"/>
    <x v="5"/>
    <m/>
    <m/>
  </r>
  <r>
    <n v="62714126"/>
    <x v="5"/>
    <n v="2600"/>
    <s v="02/16/2026"/>
    <s v="PS OCG SF 6-18PK"/>
    <x v="41"/>
    <n v="5.2680000000000001E-3"/>
    <n v="130"/>
    <x v="6"/>
    <x v="22"/>
    <n v="1"/>
    <n v="2600"/>
    <n v="13.6968"/>
    <n v="20"/>
    <s v="Feb"/>
    <x v="5"/>
    <m/>
    <m/>
  </r>
  <r>
    <n v="62714126"/>
    <x v="5"/>
    <n v="2600"/>
    <s v="02/16/2026"/>
    <s v="PS OCG SF 6-18PK"/>
    <x v="41"/>
    <n v="5.2680000000000001E-3"/>
    <n v="130"/>
    <x v="6"/>
    <x v="22"/>
    <n v="1"/>
    <n v="2600"/>
    <n v="13.6968"/>
    <n v="20"/>
    <s v="Feb"/>
    <x v="5"/>
    <m/>
    <m/>
  </r>
  <r>
    <n v="64833353"/>
    <x v="5"/>
    <n v="2600"/>
    <s v="02/16/2026"/>
    <s v="PS SF Tropical 6-18PK"/>
    <x v="41"/>
    <n v="5.28E-3"/>
    <n v="130"/>
    <x v="6"/>
    <x v="22"/>
    <n v="1"/>
    <n v="2600"/>
    <n v="13.728"/>
    <n v="20"/>
    <s v="Feb"/>
    <x v="5"/>
    <m/>
    <m/>
  </r>
  <r>
    <n v="64833353"/>
    <x v="5"/>
    <n v="2600"/>
    <s v="02/16/2026"/>
    <s v="PS SF Tropical 6-18PK"/>
    <x v="34"/>
    <n v="5.28E-3"/>
    <n v="130"/>
    <x v="6"/>
    <x v="22"/>
    <n v="1"/>
    <n v="2600"/>
    <n v="13.728"/>
    <n v="20"/>
    <s v="Feb"/>
    <x v="5"/>
    <m/>
    <m/>
  </r>
  <r>
    <n v="64833353"/>
    <x v="5"/>
    <n v="2600"/>
    <s v="02/16/2026"/>
    <s v="PS SF Tropical 6-18PK"/>
    <x v="34"/>
    <n v="5.28E-3"/>
    <n v="130"/>
    <x v="6"/>
    <x v="22"/>
    <n v="1"/>
    <n v="2600"/>
    <n v="13.728"/>
    <n v="20"/>
    <s v="Feb"/>
    <x v="5"/>
    <m/>
    <m/>
  </r>
  <r>
    <n v="64833353"/>
    <x v="5"/>
    <n v="2600"/>
    <s v="02/16/2026"/>
    <s v="PS SF Tropical 6-18PK"/>
    <x v="34"/>
    <n v="5.28E-3"/>
    <n v="130"/>
    <x v="6"/>
    <x v="22"/>
    <n v="1"/>
    <n v="2600"/>
    <n v="13.728"/>
    <n v="20"/>
    <s v="Feb"/>
    <x v="5"/>
    <m/>
    <m/>
  </r>
  <r>
    <n v="64833353"/>
    <x v="5"/>
    <n v="1820"/>
    <s v="02/17/2026"/>
    <s v="PS SF Tropical 6-18PK"/>
    <x v="34"/>
    <n v="5.28E-3"/>
    <n v="130"/>
    <x v="6"/>
    <x v="22"/>
    <n v="1"/>
    <n v="1820"/>
    <n v="9.6096000000000004"/>
    <n v="14"/>
    <s v="Feb"/>
    <x v="5"/>
    <m/>
    <m/>
  </r>
  <r>
    <n v="62714126"/>
    <x v="5"/>
    <n v="2600"/>
    <s v="02/17/2026"/>
    <s v="PS OCG SF 6-18PK"/>
    <x v="41"/>
    <n v="5.2680000000000001E-3"/>
    <n v="130"/>
    <x v="6"/>
    <x v="22"/>
    <n v="1"/>
    <n v="2600"/>
    <n v="13.6968"/>
    <n v="20"/>
    <s v="Feb"/>
    <x v="5"/>
    <m/>
    <m/>
  </r>
  <r>
    <n v="62714126"/>
    <x v="5"/>
    <n v="2600"/>
    <s v="02/17/2026"/>
    <s v="PS OCG SF 6-18PK"/>
    <x v="41"/>
    <n v="5.2680000000000001E-3"/>
    <n v="130"/>
    <x v="6"/>
    <x v="22"/>
    <n v="1"/>
    <n v="2600"/>
    <n v="13.6968"/>
    <n v="20"/>
    <s v="Feb"/>
    <x v="5"/>
    <m/>
    <m/>
  </r>
  <r>
    <n v="64833353"/>
    <x v="5"/>
    <n v="2600"/>
    <s v="02/17/2026"/>
    <s v="PS SF Tropical 6-18PK"/>
    <x v="41"/>
    <n v="5.28E-3"/>
    <n v="130"/>
    <x v="6"/>
    <x v="22"/>
    <n v="1"/>
    <n v="2600"/>
    <n v="13.728"/>
    <n v="20"/>
    <s v="Feb"/>
    <x v="5"/>
    <m/>
    <m/>
  </r>
  <r>
    <n v="64833353"/>
    <x v="5"/>
    <n v="2600"/>
    <s v="02/17/2026"/>
    <s v="PS SF Tropical 6-18PK"/>
    <x v="41"/>
    <n v="5.28E-3"/>
    <n v="130"/>
    <x v="6"/>
    <x v="22"/>
    <n v="1"/>
    <n v="2600"/>
    <n v="13.728"/>
    <n v="20"/>
    <s v="Feb"/>
    <x v="5"/>
    <m/>
    <m/>
  </r>
  <r>
    <n v="64833353"/>
    <x v="5"/>
    <n v="2600"/>
    <s v="02/17/2026"/>
    <s v="PS SF Tropical 6-18PK"/>
    <x v="34"/>
    <n v="5.28E-3"/>
    <n v="130"/>
    <x v="6"/>
    <x v="22"/>
    <n v="1"/>
    <n v="2600"/>
    <n v="13.728"/>
    <n v="20"/>
    <s v="Feb"/>
    <x v="5"/>
    <m/>
    <m/>
  </r>
  <r>
    <n v="64833353"/>
    <x v="5"/>
    <n v="2600"/>
    <s v="02/17/2026"/>
    <s v="PS SF Tropical 6-18PK"/>
    <x v="34"/>
    <n v="5.28E-3"/>
    <n v="130"/>
    <x v="6"/>
    <x v="22"/>
    <n v="1"/>
    <n v="2600"/>
    <n v="13.728"/>
    <n v="20"/>
    <s v="Feb"/>
    <x v="5"/>
    <m/>
    <m/>
  </r>
  <r>
    <n v="64833353"/>
    <x v="5"/>
    <n v="2600"/>
    <s v="02/17/2026"/>
    <s v="PS SF Tropical 6-18PK"/>
    <x v="34"/>
    <n v="5.28E-3"/>
    <n v="130"/>
    <x v="6"/>
    <x v="22"/>
    <n v="1"/>
    <n v="2600"/>
    <n v="13.728"/>
    <n v="20"/>
    <s v="Feb"/>
    <x v="5"/>
    <m/>
    <m/>
  </r>
  <r>
    <n v="64833353"/>
    <x v="5"/>
    <n v="2600"/>
    <s v="02/18/2026"/>
    <s v="PS SF Tropical 6-18PK"/>
    <x v="34"/>
    <n v="5.28E-3"/>
    <n v="130"/>
    <x v="6"/>
    <x v="22"/>
    <n v="1"/>
    <n v="2600"/>
    <n v="13.728"/>
    <n v="20"/>
    <s v="Feb"/>
    <x v="5"/>
    <m/>
    <m/>
  </r>
  <r>
    <n v="64833353"/>
    <x v="5"/>
    <n v="2600"/>
    <s v="02/18/2026"/>
    <s v="PS SF Tropical 6-18PK"/>
    <x v="34"/>
    <n v="5.28E-3"/>
    <n v="130"/>
    <x v="6"/>
    <x v="22"/>
    <n v="1"/>
    <n v="2600"/>
    <n v="13.728"/>
    <n v="20"/>
    <s v="Feb"/>
    <x v="5"/>
    <m/>
    <m/>
  </r>
  <r>
    <n v="62714126"/>
    <x v="5"/>
    <n v="2600"/>
    <s v="02/19/2026"/>
    <s v="PS OCG SF 6-18PK"/>
    <x v="34"/>
    <n v="5.2680000000000001E-3"/>
    <n v="130"/>
    <x v="6"/>
    <x v="22"/>
    <n v="1"/>
    <n v="2600"/>
    <n v="13.6968"/>
    <n v="20"/>
    <s v="Feb"/>
    <x v="5"/>
    <m/>
    <m/>
  </r>
  <r>
    <n v="64833353"/>
    <x v="5"/>
    <n v="2470"/>
    <s v="02/20/2026"/>
    <s v="PS SF Tropical 6-18PK"/>
    <x v="34"/>
    <n v="5.28E-3"/>
    <n v="130"/>
    <x v="6"/>
    <x v="22"/>
    <n v="1"/>
    <n v="2470"/>
    <n v="13.041600000000001"/>
    <n v="19"/>
    <s v="Feb"/>
    <x v="5"/>
    <m/>
    <m/>
  </r>
  <r>
    <n v="62714126"/>
    <x v="5"/>
    <n v="2600"/>
    <s v="02/20/2026"/>
    <s v="PS OCG SF 6-18PK"/>
    <x v="34"/>
    <n v="5.2680000000000001E-3"/>
    <n v="130"/>
    <x v="6"/>
    <x v="22"/>
    <n v="1"/>
    <n v="2600"/>
    <n v="13.6968"/>
    <n v="20"/>
    <s v="Feb"/>
    <x v="5"/>
    <m/>
    <m/>
  </r>
  <r>
    <n v="64988054"/>
    <x v="11"/>
    <n v="18063"/>
    <s v="01/29/2026"/>
    <s v="BJ US-Bar-Caramel Blondie 8-4pk"/>
    <x v="38"/>
    <n v="2.3999999999999998E-3"/>
    <n v="165"/>
    <x v="24"/>
    <x v="45"/>
    <n v="1"/>
    <n v="18063"/>
    <n v="43.351199999999999"/>
    <n v="109.47272727272727"/>
    <s v="Jan"/>
    <x v="4"/>
    <m/>
    <m/>
  </r>
  <r>
    <n v="64988053"/>
    <x v="11"/>
    <n v="20117"/>
    <s v="01/29/2026"/>
    <s v="BJ US-Bar-PB Pretzel 8-4pk"/>
    <x v="38"/>
    <n v="2.3999999999999998E-3"/>
    <n v="165"/>
    <x v="24"/>
    <x v="45"/>
    <n v="1"/>
    <n v="20117"/>
    <n v="48.280799999999999"/>
    <n v="121.92121212121212"/>
    <s v="Jan"/>
    <x v="4"/>
    <m/>
    <m/>
  </r>
  <r>
    <n v="64987234"/>
    <x v="11"/>
    <n v="21585"/>
    <s v="01/29/2026"/>
    <s v="BJ US-Bar-Cookie Dough 8-4pk"/>
    <x v="38"/>
    <n v="2.3999999999999998E-3"/>
    <n v="165"/>
    <x v="24"/>
    <x v="45"/>
    <n v="1"/>
    <n v="21585"/>
    <n v="51.803999999999995"/>
    <n v="130.81818181818181"/>
    <s v="Jan"/>
    <x v="4"/>
    <m/>
    <m/>
  </r>
  <r>
    <n v="64987232"/>
    <x v="11"/>
    <n v="30307"/>
    <s v="01/29/2026"/>
    <s v="BJ US-Bar-CHOCFUDGBrownie 8-4pk"/>
    <x v="38"/>
    <n v="2.3999999999999998E-3"/>
    <n v="165"/>
    <x v="24"/>
    <x v="45"/>
    <n v="1"/>
    <n v="30307"/>
    <n v="72.736799999999988"/>
    <n v="183.67878787878789"/>
    <s v="Jan"/>
    <x v="4"/>
    <m/>
    <m/>
  </r>
  <r>
    <n v="65218505"/>
    <x v="11"/>
    <n v="51423"/>
    <s v="01/29/2026"/>
    <s v="Yasso Chocolate Fudge Brownie 8-4pk"/>
    <x v="38"/>
    <n v="3.3119999999999998E-3"/>
    <n v="165"/>
    <x v="4"/>
    <x v="32"/>
    <n v="1"/>
    <n v="51423"/>
    <n v="170.31297599999999"/>
    <n v="311.65454545454543"/>
    <s v="Jan"/>
    <x v="4"/>
    <m/>
    <m/>
  </r>
  <r>
    <n v="64976848"/>
    <x v="11"/>
    <n v="33595"/>
    <s v="02/04/2026"/>
    <s v="Yasso Fudge Chocolate Crunch 8-4pk"/>
    <x v="38"/>
    <n v="2.5040000000000001E-3"/>
    <n v="165"/>
    <x v="4"/>
    <x v="32"/>
    <n v="1"/>
    <n v="33595"/>
    <n v="84.121880000000004"/>
    <n v="203.60606060606059"/>
    <s v="Feb"/>
    <x v="8"/>
    <m/>
    <m/>
  </r>
  <r>
    <n v="65218505"/>
    <x v="11"/>
    <n v="35326"/>
    <s v="02/04/2026"/>
    <s v="Yasso Chocolate Fudge Brownie 8-4pk"/>
    <x v="38"/>
    <n v="3.3119999999999998E-3"/>
    <n v="165"/>
    <x v="4"/>
    <x v="32"/>
    <n v="1"/>
    <n v="35326"/>
    <n v="116.99971199999999"/>
    <n v="214.09696969696969"/>
    <s v="Feb"/>
    <x v="8"/>
    <m/>
    <m/>
  </r>
  <r>
    <n v="65540451"/>
    <x v="11"/>
    <n v="14930"/>
    <s v="02/16/2026"/>
    <s v="BJ US-BAR-Cookie Dough OOH 8-4pk"/>
    <x v="38"/>
    <n v="1.9199999999999998E-2"/>
    <n v="165"/>
    <x v="24"/>
    <x v="45"/>
    <n v="1"/>
    <n v="14930"/>
    <n v="286.65599999999995"/>
    <n v="90.484848484848484"/>
    <s v="Feb"/>
    <x v="5"/>
    <m/>
    <m/>
  </r>
  <r>
    <n v="65218505"/>
    <x v="11"/>
    <n v="24033"/>
    <s v="02/16/2026"/>
    <s v="Yasso Chocolate Fudge Brownie 8-4pk"/>
    <x v="38"/>
    <n v="3.3119999999999998E-3"/>
    <n v="165"/>
    <x v="4"/>
    <x v="32"/>
    <n v="1"/>
    <n v="24033"/>
    <n v="79.597296"/>
    <n v="145.65454545454546"/>
    <s v="Feb"/>
    <x v="5"/>
    <m/>
    <m/>
  </r>
  <r>
    <n v="64987234"/>
    <x v="11"/>
    <n v="24173"/>
    <s v="02/16/2026"/>
    <s v="BJ US-Bar-Cookie Dough 8-4pk"/>
    <x v="38"/>
    <n v="2.3999999999999998E-3"/>
    <n v="165"/>
    <x v="24"/>
    <x v="45"/>
    <n v="1"/>
    <n v="24173"/>
    <n v="58.015199999999993"/>
    <n v="146.5030303030303"/>
    <s v="Feb"/>
    <x v="5"/>
    <m/>
    <m/>
  </r>
  <r>
    <n v="65254774"/>
    <x v="18"/>
    <n v="2377"/>
    <s v="02/03/2026"/>
    <s v="Yasso Choc Chip VAN CRML Cups 1-12ct"/>
    <x v="45"/>
    <n v="1E-3"/>
    <n v="420"/>
    <x v="17"/>
    <x v="46"/>
    <n v="1"/>
    <n v="2377"/>
    <n v="2.3770000000000002"/>
    <n v="5.6595238095238098"/>
    <s v="Feb"/>
    <x v="8"/>
    <m/>
    <m/>
  </r>
  <r>
    <n v="65254774"/>
    <x v="18"/>
    <n v="16161"/>
    <s v="02/03/2026"/>
    <s v="Yasso Choc Chip VAN CRML Cups 1-12ct"/>
    <x v="45"/>
    <n v="1E-3"/>
    <n v="420"/>
    <x v="17"/>
    <x v="46"/>
    <n v="1"/>
    <n v="16161"/>
    <n v="16.161000000000001"/>
    <n v="38.478571428571428"/>
    <s v="Feb"/>
    <x v="8"/>
    <m/>
    <m/>
  </r>
  <r>
    <n v="65254774"/>
    <x v="18"/>
    <n v="13218"/>
    <s v="02/05/2026"/>
    <s v="Yasso Choc Chip VAN CRML Cups 1-12ct"/>
    <x v="45"/>
    <n v="1E-3"/>
    <n v="420"/>
    <x v="17"/>
    <x v="46"/>
    <n v="1"/>
    <n v="13218"/>
    <n v="13.218"/>
    <n v="31.471428571428572"/>
    <s v="Feb"/>
    <x v="8"/>
    <m/>
    <m/>
  </r>
  <r>
    <n v="65254774"/>
    <x v="18"/>
    <n v="22627"/>
    <s v="02/10/2026"/>
    <s v="Yasso Choc Chip VAN CRML Cups 1-12ct"/>
    <x v="45"/>
    <n v="1E-3"/>
    <n v="420"/>
    <x v="17"/>
    <x v="46"/>
    <n v="1"/>
    <n v="22627"/>
    <n v="22.626999999999999"/>
    <n v="53.873809523809527"/>
    <s v="Feb"/>
    <x v="7"/>
    <m/>
    <m/>
  </r>
  <r>
    <n v="64979410"/>
    <x v="17"/>
    <n v="19944"/>
    <s v="02/11/2026"/>
    <s v="GH Giant Vanilla Sandwich 1-24BK"/>
    <x v="44"/>
    <n v="4.248E-3"/>
    <n v="324"/>
    <x v="17"/>
    <x v="42"/>
    <n v="1"/>
    <n v="19944"/>
    <n v="84.722111999999996"/>
    <n v="61.555555555555557"/>
    <s v="Feb"/>
    <x v="7"/>
    <m/>
    <m/>
  </r>
  <r>
    <n v="64979410"/>
    <x v="17"/>
    <n v="56432"/>
    <s v="02/17/2026"/>
    <s v="GH Giant Vanilla Sandwich 1-24BK"/>
    <x v="44"/>
    <n v="4.248E-3"/>
    <n v="324"/>
    <x v="17"/>
    <x v="42"/>
    <n v="1"/>
    <n v="56432"/>
    <n v="239.72313600000001"/>
    <n v="174.17283950617283"/>
    <s v="Feb"/>
    <x v="5"/>
    <m/>
    <m/>
  </r>
  <r>
    <n v="64365613"/>
    <x v="7"/>
    <n v="3900"/>
    <s v="01/28/2026"/>
    <s v="PS Spiderman Facepiece 6-6PK"/>
    <x v="34"/>
    <n v="2.1540000000000001E-3"/>
    <n v="195"/>
    <x v="16"/>
    <x v="24"/>
    <n v="1"/>
    <n v="3900"/>
    <n v="8.4006000000000007"/>
    <n v="20"/>
    <s v="Jan"/>
    <x v="4"/>
    <m/>
    <m/>
  </r>
  <r>
    <n v="64365613"/>
    <x v="7"/>
    <n v="3900"/>
    <s v="01/28/2026"/>
    <s v="PS Spiderman Facepiece 6-6PK"/>
    <x v="34"/>
    <n v="2.1540000000000001E-3"/>
    <n v="195"/>
    <x v="16"/>
    <x v="24"/>
    <n v="1"/>
    <n v="3900"/>
    <n v="8.4006000000000007"/>
    <n v="20"/>
    <s v="Jan"/>
    <x v="4"/>
    <m/>
    <m/>
  </r>
  <r>
    <n v="64771676"/>
    <x v="7"/>
    <n v="3900"/>
    <s v="01/28/2026"/>
    <s v="PS SpongeBob Facepiece IH 6-6PK"/>
    <x v="34"/>
    <n v="2.16E-3"/>
    <n v="195"/>
    <x v="16"/>
    <x v="24"/>
    <n v="1"/>
    <n v="3900"/>
    <n v="8.4239999999999995"/>
    <n v="20"/>
    <s v="Jan"/>
    <x v="4"/>
    <m/>
    <m/>
  </r>
  <r>
    <n v="64341108"/>
    <x v="7"/>
    <n v="4200"/>
    <s v="01/28/2026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341108"/>
    <x v="7"/>
    <n v="4200"/>
    <s v="01/28/2026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341108"/>
    <x v="7"/>
    <n v="4200"/>
    <s v="01/28/2026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365613"/>
    <x v="7"/>
    <n v="3900"/>
    <s v="01/29/2026"/>
    <s v="PS Spiderman Facepiece 6-6PK"/>
    <x v="34"/>
    <n v="2.1540000000000001E-3"/>
    <n v="195"/>
    <x v="16"/>
    <x v="24"/>
    <n v="1"/>
    <n v="3900"/>
    <n v="8.4006000000000007"/>
    <n v="20"/>
    <s v="Jan"/>
    <x v="4"/>
    <m/>
    <m/>
  </r>
  <r>
    <n v="64341108"/>
    <x v="7"/>
    <n v="4200"/>
    <s v="01/29/2026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401837"/>
    <x v="7"/>
    <n v="3000"/>
    <s v="01/30/2026"/>
    <s v="PS Frozen Olaf Facepiece IH 6-6PK"/>
    <x v="34"/>
    <n v="2.16E-3"/>
    <n v="150"/>
    <x v="16"/>
    <x v="24"/>
    <n v="1"/>
    <n v="3000"/>
    <n v="6.48"/>
    <n v="20"/>
    <s v="Jan"/>
    <x v="4"/>
    <m/>
    <m/>
  </r>
  <r>
    <n v="64401837"/>
    <x v="7"/>
    <n v="3000"/>
    <s v="01/30/2026"/>
    <s v="PS Frozen Olaf Facepiece IH 6-6PK"/>
    <x v="34"/>
    <n v="2.16E-3"/>
    <n v="150"/>
    <x v="16"/>
    <x v="24"/>
    <n v="1"/>
    <n v="3000"/>
    <n v="6.48"/>
    <n v="20"/>
    <s v="Jan"/>
    <x v="4"/>
    <m/>
    <m/>
  </r>
  <r>
    <n v="64365613"/>
    <x v="7"/>
    <n v="3900"/>
    <s v="01/30/2026"/>
    <s v="PS Spiderman Facepiece 6-6PK"/>
    <x v="34"/>
    <n v="2.1540000000000001E-3"/>
    <n v="195"/>
    <x v="16"/>
    <x v="24"/>
    <n v="1"/>
    <n v="3900"/>
    <n v="8.4006000000000007"/>
    <n v="20"/>
    <s v="Jan"/>
    <x v="4"/>
    <m/>
    <m/>
  </r>
  <r>
    <n v="64365613"/>
    <x v="7"/>
    <n v="3900"/>
    <s v="01/30/2026"/>
    <s v="PS Spiderman Facepiece 6-6PK"/>
    <x v="34"/>
    <n v="2.1540000000000001E-3"/>
    <n v="195"/>
    <x v="16"/>
    <x v="24"/>
    <n v="1"/>
    <n v="3900"/>
    <n v="8.4006000000000007"/>
    <n v="20"/>
    <s v="Jan"/>
    <x v="4"/>
    <m/>
    <m/>
  </r>
  <r>
    <n v="64401837"/>
    <x v="7"/>
    <n v="3000"/>
    <s v="01/31/2026"/>
    <s v="PS Frozen Olaf Facepiece IH 6-6PK"/>
    <x v="41"/>
    <n v="2.16E-3"/>
    <n v="150"/>
    <x v="16"/>
    <x v="24"/>
    <n v="1"/>
    <n v="3000"/>
    <n v="6.48"/>
    <n v="20"/>
    <s v="Jan"/>
    <x v="4"/>
    <m/>
    <m/>
  </r>
  <r>
    <n v="64341108"/>
    <x v="7"/>
    <n v="4200"/>
    <s v="01/31/2026"/>
    <s v="PS SpongeBob Facepiece 1-20PK"/>
    <x v="34"/>
    <n v="2.3599999999999997E-3"/>
    <n v="210"/>
    <x v="16"/>
    <x v="24"/>
    <n v="1"/>
    <n v="4200"/>
    <n v="9.911999999999999"/>
    <n v="20"/>
    <s v="Jan"/>
    <x v="4"/>
    <m/>
    <m/>
  </r>
  <r>
    <n v="64341108"/>
    <x v="7"/>
    <n v="4200"/>
    <s v="02/02/2026"/>
    <s v="PS SpongeBob Facepiece 1-20PK"/>
    <x v="34"/>
    <n v="2.3599999999999997E-3"/>
    <n v="210"/>
    <x v="16"/>
    <x v="24"/>
    <n v="1"/>
    <n v="4200"/>
    <n v="9.911999999999999"/>
    <n v="20"/>
    <s v="Feb"/>
    <x v="8"/>
    <m/>
    <m/>
  </r>
  <r>
    <n v="64341108"/>
    <x v="7"/>
    <n v="4200"/>
    <s v="02/03/2026"/>
    <s v="PS SpongeBob Facepiece 1-20PK"/>
    <x v="34"/>
    <n v="2.3599999999999997E-3"/>
    <n v="210"/>
    <x v="16"/>
    <x v="24"/>
    <n v="1"/>
    <n v="4200"/>
    <n v="9.911999999999999"/>
    <n v="20"/>
    <s v="Feb"/>
    <x v="8"/>
    <m/>
    <m/>
  </r>
  <r>
    <n v="64956417"/>
    <x v="7"/>
    <n v="2860"/>
    <s v="02/04/2026"/>
    <s v="PS Hello Kitty Facepiece IH 6-6PK"/>
    <x v="34"/>
    <n v="2.16E-3"/>
    <n v="143"/>
    <x v="16"/>
    <x v="24"/>
    <n v="1"/>
    <n v="2860"/>
    <n v="6.1776"/>
    <n v="20"/>
    <s v="Feb"/>
    <x v="8"/>
    <m/>
    <m/>
  </r>
  <r>
    <n v="64956417"/>
    <x v="7"/>
    <n v="2860"/>
    <s v="02/04/2026"/>
    <s v="PS Hello Kitty Facepiece IH 6-6PK"/>
    <x v="34"/>
    <n v="2.16E-3"/>
    <n v="143"/>
    <x v="16"/>
    <x v="24"/>
    <n v="1"/>
    <n v="2860"/>
    <n v="6.1776"/>
    <n v="20"/>
    <s v="Feb"/>
    <x v="8"/>
    <m/>
    <m/>
  </r>
  <r>
    <n v="64956417"/>
    <x v="7"/>
    <n v="2860"/>
    <s v="02/04/2026"/>
    <s v="PS Hello Kitty Facepiece IH 6-6PK"/>
    <x v="34"/>
    <n v="2.16E-3"/>
    <n v="143"/>
    <x v="16"/>
    <x v="24"/>
    <n v="1"/>
    <n v="2860"/>
    <n v="6.1776"/>
    <n v="20"/>
    <s v="Feb"/>
    <x v="8"/>
    <m/>
    <m/>
  </r>
  <r>
    <n v="64365613"/>
    <x v="7"/>
    <n v="3900"/>
    <s v="02/04/2026"/>
    <s v="PS Spiderman Facepiece 6-6PK"/>
    <x v="34"/>
    <n v="2.1540000000000001E-3"/>
    <n v="195"/>
    <x v="16"/>
    <x v="24"/>
    <n v="1"/>
    <n v="3900"/>
    <n v="8.4006000000000007"/>
    <n v="20"/>
    <s v="Feb"/>
    <x v="8"/>
    <m/>
    <m/>
  </r>
  <r>
    <n v="64979444"/>
    <x v="7"/>
    <n v="3900"/>
    <s v="02/04/2026"/>
    <s v="PS Bluey Facepiece IH 6-6PK"/>
    <x v="34"/>
    <n v="2.16E-3"/>
    <n v="195"/>
    <x v="16"/>
    <x v="24"/>
    <n v="1"/>
    <n v="3900"/>
    <n v="8.4239999999999995"/>
    <n v="20"/>
    <s v="Feb"/>
    <x v="8"/>
    <m/>
    <m/>
  </r>
  <r>
    <n v="64401837"/>
    <x v="7"/>
    <n v="3000"/>
    <s v="02/06/2026"/>
    <s v="PS Frozen Olaf Facepiece IH 6-6PK"/>
    <x v="34"/>
    <n v="2.16E-3"/>
    <n v="150"/>
    <x v="16"/>
    <x v="24"/>
    <n v="1"/>
    <n v="3000"/>
    <n v="6.48"/>
    <n v="20"/>
    <s v="Feb"/>
    <x v="8"/>
    <m/>
    <m/>
  </r>
  <r>
    <n v="64365613"/>
    <x v="7"/>
    <n v="3900"/>
    <s v="02/06/2026"/>
    <s v="PS Spiderman Facepiece 6-6PK"/>
    <x v="34"/>
    <n v="2.1540000000000001E-3"/>
    <n v="195"/>
    <x v="16"/>
    <x v="24"/>
    <n v="1"/>
    <n v="3900"/>
    <n v="8.4006000000000007"/>
    <n v="20"/>
    <s v="Feb"/>
    <x v="8"/>
    <m/>
    <m/>
  </r>
  <r>
    <n v="64365613"/>
    <x v="7"/>
    <n v="3900"/>
    <s v="02/06/2026"/>
    <s v="PS Spiderman Facepiece 6-6PK"/>
    <x v="34"/>
    <n v="2.1540000000000001E-3"/>
    <n v="195"/>
    <x v="16"/>
    <x v="24"/>
    <n v="1"/>
    <n v="3900"/>
    <n v="8.4006000000000007"/>
    <n v="20"/>
    <s v="Feb"/>
    <x v="8"/>
    <m/>
    <m/>
  </r>
  <r>
    <n v="64771676"/>
    <x v="7"/>
    <n v="3900"/>
    <s v="02/06/2026"/>
    <s v="PS SpongeBob Facepiece IH 6-6PK"/>
    <x v="34"/>
    <n v="2.16E-3"/>
    <n v="195"/>
    <x v="16"/>
    <x v="24"/>
    <n v="1"/>
    <n v="3900"/>
    <n v="8.4239999999999995"/>
    <n v="20"/>
    <s v="Feb"/>
    <x v="8"/>
    <m/>
    <m/>
  </r>
  <r>
    <n v="64341108"/>
    <x v="7"/>
    <n v="4200"/>
    <s v="02/06/2026"/>
    <s v="PS SpongeBob Facepiece 1-20PK"/>
    <x v="34"/>
    <n v="2.3599999999999997E-3"/>
    <n v="210"/>
    <x v="16"/>
    <x v="24"/>
    <n v="1"/>
    <n v="4200"/>
    <n v="9.911999999999999"/>
    <n v="20"/>
    <s v="Feb"/>
    <x v="8"/>
    <m/>
    <m/>
  </r>
  <r>
    <n v="64341108"/>
    <x v="7"/>
    <n v="4200"/>
    <s v="02/06/2026"/>
    <s v="PS SpongeBob Facepiece 1-20PK"/>
    <x v="34"/>
    <n v="2.3599999999999997E-3"/>
    <n v="210"/>
    <x v="16"/>
    <x v="24"/>
    <n v="1"/>
    <n v="4200"/>
    <n v="9.911999999999999"/>
    <n v="20"/>
    <s v="Feb"/>
    <x v="8"/>
    <m/>
    <m/>
  </r>
  <r>
    <n v="64341109"/>
    <x v="7"/>
    <n v="4200"/>
    <s v="02/06/2026"/>
    <s v="PS Spiderman Facepiece 1-20PK"/>
    <x v="34"/>
    <n v="2E-3"/>
    <n v="210"/>
    <x v="16"/>
    <x v="24"/>
    <n v="1"/>
    <n v="4200"/>
    <n v="8.4"/>
    <n v="20"/>
    <s v="Feb"/>
    <x v="8"/>
    <m/>
    <m/>
  </r>
  <r>
    <n v="64341108"/>
    <x v="7"/>
    <n v="4200"/>
    <s v="02/06/2026"/>
    <s v="PS SpongeBob Facepiece 1-20PK"/>
    <x v="34"/>
    <n v="2.3599999999999997E-3"/>
    <n v="210"/>
    <x v="16"/>
    <x v="24"/>
    <n v="1"/>
    <n v="4200"/>
    <n v="9.911999999999999"/>
    <n v="20"/>
    <s v="Feb"/>
    <x v="8"/>
    <m/>
    <m/>
  </r>
  <r>
    <n v="64403162"/>
    <x v="7"/>
    <n v="3900"/>
    <s v="02/09/2026"/>
    <s v="PS Grogu Facepiece IH 6-6PK"/>
    <x v="34"/>
    <n v="2.16E-3"/>
    <n v="195"/>
    <x v="16"/>
    <x v="24"/>
    <n v="1"/>
    <n v="3900"/>
    <n v="8.4239999999999995"/>
    <n v="20"/>
    <s v="Feb"/>
    <x v="7"/>
    <m/>
    <m/>
  </r>
  <r>
    <n v="64403162"/>
    <x v="7"/>
    <n v="3900"/>
    <s v="02/09/2026"/>
    <s v="PS Grogu Facepiece IH 6-6PK"/>
    <x v="34"/>
    <n v="2.16E-3"/>
    <n v="195"/>
    <x v="16"/>
    <x v="24"/>
    <n v="1"/>
    <n v="3900"/>
    <n v="8.4239999999999995"/>
    <n v="20"/>
    <s v="Feb"/>
    <x v="7"/>
    <m/>
    <m/>
  </r>
  <r>
    <n v="64403162"/>
    <x v="7"/>
    <n v="3900"/>
    <s v="02/09/2026"/>
    <s v="PS Grogu Facepiece IH 6-6PK"/>
    <x v="34"/>
    <n v="2.16E-3"/>
    <n v="195"/>
    <x v="16"/>
    <x v="24"/>
    <n v="1"/>
    <n v="3900"/>
    <n v="8.4239999999999995"/>
    <n v="20"/>
    <s v="Feb"/>
    <x v="7"/>
    <m/>
    <m/>
  </r>
  <r>
    <n v="64979444"/>
    <x v="7"/>
    <n v="3900"/>
    <s v="02/09/2026"/>
    <s v="PS Bluey Facepiece IH 6-6PK"/>
    <x v="34"/>
    <n v="2.16E-3"/>
    <n v="195"/>
    <x v="16"/>
    <x v="24"/>
    <n v="1"/>
    <n v="3900"/>
    <n v="8.4239999999999995"/>
    <n v="20"/>
    <s v="Feb"/>
    <x v="7"/>
    <m/>
    <m/>
  </r>
  <r>
    <n v="64365613"/>
    <x v="7"/>
    <n v="3900"/>
    <s v="02/10/2026"/>
    <s v="PS Spiderman Facepiece 6-6PK"/>
    <x v="34"/>
    <n v="2.1540000000000001E-3"/>
    <n v="195"/>
    <x v="16"/>
    <x v="24"/>
    <n v="1"/>
    <n v="3900"/>
    <n v="8.4006000000000007"/>
    <n v="20"/>
    <s v="Feb"/>
    <x v="7"/>
    <m/>
    <m/>
  </r>
  <r>
    <n v="64979444"/>
    <x v="7"/>
    <n v="3900"/>
    <s v="02/10/2026"/>
    <s v="PS Bluey Facepiece IH 6-6PK"/>
    <x v="34"/>
    <n v="2.16E-3"/>
    <n v="195"/>
    <x v="16"/>
    <x v="24"/>
    <n v="1"/>
    <n v="3900"/>
    <n v="8.4239999999999995"/>
    <n v="20"/>
    <s v="Feb"/>
    <x v="7"/>
    <m/>
    <m/>
  </r>
  <r>
    <n v="64771676"/>
    <x v="7"/>
    <n v="3900"/>
    <s v="02/11/2026"/>
    <s v="PS SpongeBob Facepiece IH 6-6PK"/>
    <x v="41"/>
    <n v="2.16E-3"/>
    <n v="195"/>
    <x v="16"/>
    <x v="24"/>
    <n v="1"/>
    <n v="3900"/>
    <n v="8.4239999999999995"/>
    <n v="20"/>
    <s v="Feb"/>
    <x v="7"/>
    <m/>
    <m/>
  </r>
  <r>
    <n v="64771676"/>
    <x v="7"/>
    <n v="3900"/>
    <s v="02/11/2026"/>
    <s v="PS SpongeBob Facepiece IH 6-6PK"/>
    <x v="41"/>
    <n v="2.16E-3"/>
    <n v="195"/>
    <x v="16"/>
    <x v="24"/>
    <n v="1"/>
    <n v="3900"/>
    <n v="8.4239999999999995"/>
    <n v="20"/>
    <s v="Feb"/>
    <x v="7"/>
    <m/>
    <m/>
  </r>
  <r>
    <n v="64341109"/>
    <x v="7"/>
    <n v="4290"/>
    <s v="02/11/2026"/>
    <s v="PS Spiderman Facepiece 1-20PK"/>
    <x v="41"/>
    <n v="2E-3"/>
    <n v="210"/>
    <x v="16"/>
    <x v="24"/>
    <n v="1"/>
    <n v="4290"/>
    <n v="8.58"/>
    <n v="20.428571428571427"/>
    <s v="Feb"/>
    <x v="7"/>
    <m/>
    <m/>
  </r>
  <r>
    <n v="64956417"/>
    <x v="7"/>
    <n v="2860"/>
    <s v="02/12/2026"/>
    <s v="PS Hello Kitty Facepiece IH 6-6PK"/>
    <x v="34"/>
    <n v="2.16E-3"/>
    <n v="143"/>
    <x v="16"/>
    <x v="24"/>
    <n v="1"/>
    <n v="2860"/>
    <n v="6.1776"/>
    <n v="20"/>
    <s v="Feb"/>
    <x v="7"/>
    <m/>
    <m/>
  </r>
  <r>
    <n v="64956417"/>
    <x v="7"/>
    <n v="2860"/>
    <s v="02/12/2026"/>
    <s v="PS Hello Kitty Facepiece IH 6-6PK"/>
    <x v="41"/>
    <n v="2.16E-3"/>
    <n v="143"/>
    <x v="16"/>
    <x v="24"/>
    <n v="1"/>
    <n v="2860"/>
    <n v="6.1776"/>
    <n v="20"/>
    <s v="Feb"/>
    <x v="7"/>
    <m/>
    <m/>
  </r>
  <r>
    <n v="64956417"/>
    <x v="7"/>
    <n v="2860"/>
    <s v="02/12/2026"/>
    <s v="PS Hello Kitty Facepiece IH 6-6PK"/>
    <x v="41"/>
    <n v="2.16E-3"/>
    <n v="143"/>
    <x v="16"/>
    <x v="24"/>
    <n v="1"/>
    <n v="2860"/>
    <n v="6.1776"/>
    <n v="20"/>
    <s v="Feb"/>
    <x v="7"/>
    <m/>
    <m/>
  </r>
  <r>
    <n v="64401837"/>
    <x v="7"/>
    <n v="3000"/>
    <s v="02/12/2026"/>
    <s v="PS Frozen Olaf Facepiece IH 6-6PK"/>
    <x v="41"/>
    <n v="2.16E-3"/>
    <n v="150"/>
    <x v="16"/>
    <x v="24"/>
    <n v="1"/>
    <n v="3000"/>
    <n v="6.48"/>
    <n v="20"/>
    <s v="Feb"/>
    <x v="7"/>
    <m/>
    <m/>
  </r>
  <r>
    <n v="64403162"/>
    <x v="7"/>
    <n v="3822"/>
    <s v="02/12/2026"/>
    <s v="PS Grogu Facepiece IH 6-6PK"/>
    <x v="34"/>
    <n v="2.16E-3"/>
    <n v="195"/>
    <x v="16"/>
    <x v="24"/>
    <n v="1"/>
    <n v="3822"/>
    <n v="8.2555200000000006"/>
    <n v="19.600000000000001"/>
    <s v="Feb"/>
    <x v="7"/>
    <m/>
    <m/>
  </r>
  <r>
    <n v="64365613"/>
    <x v="7"/>
    <n v="3900"/>
    <s v="02/12/2026"/>
    <s v="PS Spiderman Facepiece 6-6PK"/>
    <x v="34"/>
    <n v="2.1540000000000001E-3"/>
    <n v="195"/>
    <x v="16"/>
    <x v="24"/>
    <n v="1"/>
    <n v="3900"/>
    <n v="8.4006000000000007"/>
    <n v="20"/>
    <s v="Feb"/>
    <x v="7"/>
    <m/>
    <m/>
  </r>
  <r>
    <n v="64365613"/>
    <x v="7"/>
    <n v="3900"/>
    <s v="02/12/2026"/>
    <s v="PS Spiderman Facepiece 6-6PK"/>
    <x v="34"/>
    <n v="2.1540000000000001E-3"/>
    <n v="195"/>
    <x v="16"/>
    <x v="24"/>
    <n v="1"/>
    <n v="3900"/>
    <n v="8.4006000000000007"/>
    <n v="20"/>
    <s v="Feb"/>
    <x v="7"/>
    <m/>
    <m/>
  </r>
  <r>
    <n v="64771676"/>
    <x v="7"/>
    <n v="3900"/>
    <s v="02/12/2026"/>
    <s v="PS SpongeBob Facepiece IH 6-6PK"/>
    <x v="34"/>
    <n v="2.16E-3"/>
    <n v="195"/>
    <x v="16"/>
    <x v="24"/>
    <n v="1"/>
    <n v="3900"/>
    <n v="8.4239999999999995"/>
    <n v="20"/>
    <s v="Feb"/>
    <x v="7"/>
    <m/>
    <m/>
  </r>
  <r>
    <n v="64771676"/>
    <x v="7"/>
    <n v="3900"/>
    <s v="02/12/2026"/>
    <s v="PS SpongeBob Facepiece IH 6-6PK"/>
    <x v="34"/>
    <n v="2.16E-3"/>
    <n v="195"/>
    <x v="16"/>
    <x v="24"/>
    <n v="1"/>
    <n v="3900"/>
    <n v="8.4239999999999995"/>
    <n v="20"/>
    <s v="Feb"/>
    <x v="7"/>
    <m/>
    <m/>
  </r>
  <r>
    <n v="64401837"/>
    <x v="7"/>
    <n v="3900"/>
    <s v="02/12/2026"/>
    <s v="PS Frozen Olaf Facepiece IH 6-6PK"/>
    <x v="34"/>
    <n v="2.16E-3"/>
    <n v="150"/>
    <x v="16"/>
    <x v="24"/>
    <n v="1"/>
    <n v="3900"/>
    <n v="8.4239999999999995"/>
    <n v="26"/>
    <s v="Feb"/>
    <x v="7"/>
    <m/>
    <m/>
  </r>
  <r>
    <n v="64365613"/>
    <x v="7"/>
    <n v="3900"/>
    <s v="02/12/2026"/>
    <s v="PS Spiderman Facepiece 6-6PK"/>
    <x v="34"/>
    <n v="2.1540000000000001E-3"/>
    <n v="195"/>
    <x v="16"/>
    <x v="24"/>
    <n v="1"/>
    <n v="3900"/>
    <n v="8.4006000000000007"/>
    <n v="20"/>
    <s v="Feb"/>
    <x v="7"/>
    <m/>
    <m/>
  </r>
  <r>
    <n v="64403162"/>
    <x v="7"/>
    <n v="3900"/>
    <s v="02/12/2026"/>
    <s v="PS Grogu Facepiece IH 6-6PK"/>
    <x v="34"/>
    <n v="2.16E-3"/>
    <n v="195"/>
    <x v="16"/>
    <x v="24"/>
    <n v="1"/>
    <n v="3900"/>
    <n v="8.4239999999999995"/>
    <n v="20"/>
    <s v="Feb"/>
    <x v="7"/>
    <m/>
    <m/>
  </r>
  <r>
    <n v="64403162"/>
    <x v="7"/>
    <n v="3900"/>
    <s v="02/12/2026"/>
    <s v="PS Grogu Facepiece IH 6-6PK"/>
    <x v="34"/>
    <n v="2.16E-3"/>
    <n v="195"/>
    <x v="16"/>
    <x v="24"/>
    <n v="1"/>
    <n v="3900"/>
    <n v="8.4239999999999995"/>
    <n v="20"/>
    <s v="Feb"/>
    <x v="7"/>
    <m/>
    <m/>
  </r>
  <r>
    <n v="64341108"/>
    <x v="7"/>
    <n v="4200"/>
    <s v="02/12/2026"/>
    <s v="PS SpongeBob Facepiece 1-20PK"/>
    <x v="34"/>
    <n v="2.3599999999999997E-3"/>
    <n v="210"/>
    <x v="16"/>
    <x v="24"/>
    <n v="1"/>
    <n v="4200"/>
    <n v="9.911999999999999"/>
    <n v="20"/>
    <s v="Feb"/>
    <x v="7"/>
    <m/>
    <m/>
  </r>
  <r>
    <n v="64341108"/>
    <x v="7"/>
    <n v="4200"/>
    <s v="02/12/2026"/>
    <s v="PS SpongeBob Facepiece 1-20PK"/>
    <x v="41"/>
    <n v="2.3599999999999997E-3"/>
    <n v="210"/>
    <x v="16"/>
    <x v="24"/>
    <n v="1"/>
    <n v="4200"/>
    <n v="9.911999999999999"/>
    <n v="20"/>
    <s v="Feb"/>
    <x v="7"/>
    <m/>
    <m/>
  </r>
  <r>
    <n v="64341108"/>
    <x v="7"/>
    <n v="4200"/>
    <s v="02/12/2026"/>
    <s v="PS SpongeBob Facepiece 1-20PK"/>
    <x v="41"/>
    <n v="2.3599999999999997E-3"/>
    <n v="210"/>
    <x v="16"/>
    <x v="24"/>
    <n v="1"/>
    <n v="4200"/>
    <n v="9.911999999999999"/>
    <n v="20"/>
    <s v="Feb"/>
    <x v="7"/>
    <m/>
    <m/>
  </r>
  <r>
    <n v="64341108"/>
    <x v="7"/>
    <n v="4200"/>
    <s v="02/12/2026"/>
    <s v="PS SpongeBob Facepiece 1-20PK"/>
    <x v="41"/>
    <n v="2.3599999999999997E-3"/>
    <n v="210"/>
    <x v="16"/>
    <x v="24"/>
    <n v="1"/>
    <n v="4200"/>
    <n v="9.911999999999999"/>
    <n v="20"/>
    <s v="Feb"/>
    <x v="7"/>
    <m/>
    <m/>
  </r>
  <r>
    <n v="64341109"/>
    <x v="7"/>
    <n v="4200"/>
    <s v="02/12/2026"/>
    <s v="PS Spiderman Facepiece 1-20PK"/>
    <x v="41"/>
    <n v="2E-3"/>
    <n v="210"/>
    <x v="16"/>
    <x v="24"/>
    <n v="1"/>
    <n v="4200"/>
    <n v="8.4"/>
    <n v="20"/>
    <s v="Feb"/>
    <x v="7"/>
    <m/>
    <m/>
  </r>
  <r>
    <n v="64401837"/>
    <x v="7"/>
    <n v="3000"/>
    <s v="02/13/2026"/>
    <s v="PS Frozen Olaf Facepiece IH 6-6PK"/>
    <x v="41"/>
    <n v="2.16E-3"/>
    <n v="150"/>
    <x v="16"/>
    <x v="24"/>
    <n v="1"/>
    <n v="3000"/>
    <n v="6.48"/>
    <n v="20"/>
    <s v="Feb"/>
    <x v="7"/>
    <m/>
    <m/>
  </r>
  <r>
    <n v="64365613"/>
    <x v="7"/>
    <n v="3900"/>
    <s v="02/16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365613"/>
    <x v="7"/>
    <n v="3900"/>
    <s v="02/16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979444"/>
    <x v="7"/>
    <n v="3900"/>
    <s v="02/16/2026"/>
    <s v="PS Bluey Facepiece IH 6-6PK"/>
    <x v="41"/>
    <n v="2.16E-3"/>
    <n v="195"/>
    <x v="16"/>
    <x v="24"/>
    <n v="1"/>
    <n v="3900"/>
    <n v="8.4239999999999995"/>
    <n v="20"/>
    <s v="Feb"/>
    <x v="5"/>
    <m/>
    <m/>
  </r>
  <r>
    <n v="64979444"/>
    <x v="7"/>
    <n v="3900"/>
    <s v="02/16/2026"/>
    <s v="PS Bluey Facepiece IH 6-6PK"/>
    <x v="41"/>
    <n v="2.16E-3"/>
    <n v="195"/>
    <x v="16"/>
    <x v="24"/>
    <n v="1"/>
    <n v="3900"/>
    <n v="8.4239999999999995"/>
    <n v="20"/>
    <s v="Feb"/>
    <x v="5"/>
    <m/>
    <m/>
  </r>
  <r>
    <n v="64771676"/>
    <x v="7"/>
    <n v="3900"/>
    <s v="02/16/2026"/>
    <s v="PS SpongeBob Facepiece IH 6-6PK"/>
    <x v="41"/>
    <n v="2.16E-3"/>
    <n v="195"/>
    <x v="16"/>
    <x v="24"/>
    <n v="1"/>
    <n v="3900"/>
    <n v="8.4239999999999995"/>
    <n v="20"/>
    <s v="Feb"/>
    <x v="5"/>
    <m/>
    <m/>
  </r>
  <r>
    <n v="64341108"/>
    <x v="7"/>
    <n v="4200"/>
    <s v="02/16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41108"/>
    <x v="7"/>
    <n v="4200"/>
    <s v="02/16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41108"/>
    <x v="7"/>
    <n v="4200"/>
    <s v="02/16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41108"/>
    <x v="7"/>
    <n v="4200"/>
    <s v="02/16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41108"/>
    <x v="7"/>
    <n v="4200"/>
    <s v="02/16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41108"/>
    <x v="7"/>
    <n v="4200"/>
    <s v="02/16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65613"/>
    <x v="7"/>
    <n v="3900"/>
    <s v="02/17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979444"/>
    <x v="7"/>
    <n v="3900"/>
    <s v="02/17/2026"/>
    <s v="PS Bluey Facepiece IH 6-6PK"/>
    <x v="41"/>
    <n v="2.16E-3"/>
    <n v="195"/>
    <x v="16"/>
    <x v="24"/>
    <n v="1"/>
    <n v="3900"/>
    <n v="8.4239999999999995"/>
    <n v="20"/>
    <s v="Feb"/>
    <x v="5"/>
    <m/>
    <m/>
  </r>
  <r>
    <n v="64365613"/>
    <x v="7"/>
    <n v="3900"/>
    <s v="02/17/2026"/>
    <s v="PS Spiderman Facepiece 6-6PK"/>
    <x v="34"/>
    <n v="2.1540000000000001E-3"/>
    <n v="195"/>
    <x v="16"/>
    <x v="24"/>
    <n v="1"/>
    <n v="3900"/>
    <n v="8.4006000000000007"/>
    <n v="20"/>
    <s v="Feb"/>
    <x v="5"/>
    <m/>
    <m/>
  </r>
  <r>
    <n v="64365613"/>
    <x v="7"/>
    <n v="3900"/>
    <s v="02/17/2026"/>
    <s v="PS Spiderman Facepiece 6-6PK"/>
    <x v="34"/>
    <n v="2.1540000000000001E-3"/>
    <n v="195"/>
    <x v="16"/>
    <x v="24"/>
    <n v="1"/>
    <n v="3900"/>
    <n v="8.4006000000000007"/>
    <n v="20"/>
    <s v="Feb"/>
    <x v="5"/>
    <m/>
    <m/>
  </r>
  <r>
    <n v="64365613"/>
    <x v="7"/>
    <n v="3900"/>
    <s v="02/17/2026"/>
    <s v="PS Spiderman Facepiece 6-6PK"/>
    <x v="34"/>
    <n v="2.1540000000000001E-3"/>
    <n v="195"/>
    <x v="16"/>
    <x v="24"/>
    <n v="1"/>
    <n v="3900"/>
    <n v="8.4006000000000007"/>
    <n v="20"/>
    <s v="Feb"/>
    <x v="5"/>
    <m/>
    <m/>
  </r>
  <r>
    <n v="64771676"/>
    <x v="7"/>
    <n v="3900"/>
    <s v="02/17/2026"/>
    <s v="PS SpongeBob Facepiece IH 6-6PK"/>
    <x v="34"/>
    <n v="2.16E-3"/>
    <n v="195"/>
    <x v="16"/>
    <x v="24"/>
    <n v="1"/>
    <n v="3900"/>
    <n v="8.4239999999999995"/>
    <n v="20"/>
    <s v="Feb"/>
    <x v="5"/>
    <m/>
    <m/>
  </r>
  <r>
    <n v="64771676"/>
    <x v="7"/>
    <n v="3900"/>
    <s v="02/17/2026"/>
    <s v="PS SpongeBob Facepiece IH 6-6PK"/>
    <x v="34"/>
    <n v="2.16E-3"/>
    <n v="195"/>
    <x v="16"/>
    <x v="24"/>
    <n v="1"/>
    <n v="3900"/>
    <n v="8.4239999999999995"/>
    <n v="20"/>
    <s v="Feb"/>
    <x v="5"/>
    <m/>
    <m/>
  </r>
  <r>
    <n v="64341108"/>
    <x v="7"/>
    <n v="4200"/>
    <s v="02/17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65613"/>
    <x v="7"/>
    <n v="3900"/>
    <s v="02/18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365613"/>
    <x v="7"/>
    <n v="3900"/>
    <s v="02/18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365613"/>
    <x v="7"/>
    <n v="3900"/>
    <s v="02/18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365613"/>
    <x v="7"/>
    <n v="3900"/>
    <s v="02/18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771676"/>
    <x v="7"/>
    <n v="3900"/>
    <s v="02/18/2026"/>
    <s v="PS SpongeBob Facepiece IH 6-6PK"/>
    <x v="41"/>
    <n v="2.16E-3"/>
    <n v="195"/>
    <x v="16"/>
    <x v="24"/>
    <n v="1"/>
    <n v="3900"/>
    <n v="8.4239999999999995"/>
    <n v="20"/>
    <s v="Feb"/>
    <x v="5"/>
    <m/>
    <m/>
  </r>
  <r>
    <n v="64365613"/>
    <x v="7"/>
    <n v="3900"/>
    <s v="02/18/2026"/>
    <s v="PS Spiderman Facepiece 6-6PK"/>
    <x v="34"/>
    <n v="2.1540000000000001E-3"/>
    <n v="195"/>
    <x v="16"/>
    <x v="24"/>
    <n v="1"/>
    <n v="3900"/>
    <n v="8.4006000000000007"/>
    <n v="20"/>
    <s v="Feb"/>
    <x v="5"/>
    <m/>
    <m/>
  </r>
  <r>
    <n v="64365613"/>
    <x v="7"/>
    <n v="3900"/>
    <s v="02/18/2026"/>
    <s v="PS Spiderman Facepiece 6-6PK"/>
    <x v="34"/>
    <n v="2.1540000000000001E-3"/>
    <n v="195"/>
    <x v="16"/>
    <x v="24"/>
    <n v="1"/>
    <n v="3900"/>
    <n v="8.4006000000000007"/>
    <n v="20"/>
    <s v="Feb"/>
    <x v="5"/>
    <m/>
    <m/>
  </r>
  <r>
    <n v="64341108"/>
    <x v="7"/>
    <n v="4200"/>
    <s v="02/18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41108"/>
    <x v="7"/>
    <n v="4200"/>
    <s v="02/18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771676"/>
    <x v="7"/>
    <n v="3900"/>
    <s v="02/19/2026"/>
    <s v="PS SpongeBob Facepiece IH 6-6PK"/>
    <x v="41"/>
    <n v="2.16E-3"/>
    <n v="195"/>
    <x v="16"/>
    <x v="24"/>
    <n v="1"/>
    <n v="3900"/>
    <n v="8.4239999999999995"/>
    <n v="20"/>
    <s v="Feb"/>
    <x v="5"/>
    <m/>
    <m/>
  </r>
  <r>
    <n v="64771676"/>
    <x v="7"/>
    <n v="3900"/>
    <s v="02/19/2026"/>
    <s v="PS SpongeBob Facepiece IH 6-6PK"/>
    <x v="41"/>
    <n v="2.16E-3"/>
    <n v="195"/>
    <x v="16"/>
    <x v="24"/>
    <n v="1"/>
    <n v="3900"/>
    <n v="8.4239999999999995"/>
    <n v="20"/>
    <s v="Feb"/>
    <x v="5"/>
    <m/>
    <m/>
  </r>
  <r>
    <n v="64771676"/>
    <x v="7"/>
    <n v="3900"/>
    <s v="02/19/2026"/>
    <s v="PS SpongeBob Facepiece IH 6-6PK"/>
    <x v="41"/>
    <n v="2.16E-3"/>
    <n v="195"/>
    <x v="16"/>
    <x v="24"/>
    <n v="1"/>
    <n v="3900"/>
    <n v="8.4239999999999995"/>
    <n v="20"/>
    <s v="Feb"/>
    <x v="5"/>
    <m/>
    <m/>
  </r>
  <r>
    <n v="64771676"/>
    <x v="7"/>
    <n v="3900"/>
    <s v="02/19/2026"/>
    <s v="PS SpongeBob Facepiece IH 6-6PK"/>
    <x v="34"/>
    <n v="2.16E-3"/>
    <n v="195"/>
    <x v="16"/>
    <x v="24"/>
    <n v="1"/>
    <n v="3900"/>
    <n v="8.4239999999999995"/>
    <n v="20"/>
    <s v="Feb"/>
    <x v="5"/>
    <m/>
    <m/>
  </r>
  <r>
    <n v="64771676"/>
    <x v="7"/>
    <n v="3900"/>
    <s v="02/19/2026"/>
    <s v="PS SpongeBob Facepiece IH 6-6PK"/>
    <x v="34"/>
    <n v="2.16E-3"/>
    <n v="195"/>
    <x v="16"/>
    <x v="24"/>
    <n v="1"/>
    <n v="3900"/>
    <n v="8.4239999999999995"/>
    <n v="20"/>
    <s v="Feb"/>
    <x v="5"/>
    <m/>
    <m/>
  </r>
  <r>
    <n v="64341108"/>
    <x v="7"/>
    <n v="4200"/>
    <s v="02/19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341108"/>
    <x v="7"/>
    <n v="4200"/>
    <s v="02/19/2026"/>
    <s v="PS SpongeBob Facepiece 1-20PK"/>
    <x v="41"/>
    <n v="2.3599999999999997E-3"/>
    <n v="210"/>
    <x v="16"/>
    <x v="24"/>
    <n v="1"/>
    <n v="4200"/>
    <n v="9.911999999999999"/>
    <n v="20"/>
    <s v="Feb"/>
    <x v="5"/>
    <m/>
    <m/>
  </r>
  <r>
    <n v="64401837"/>
    <x v="7"/>
    <n v="3000"/>
    <s v="02/20/2026"/>
    <s v="PS Frozen Olaf Facepiece IH 6-6PK"/>
    <x v="41"/>
    <n v="2.16E-3"/>
    <n v="150"/>
    <x v="16"/>
    <x v="24"/>
    <n v="1"/>
    <n v="3000"/>
    <n v="6.48"/>
    <n v="20"/>
    <s v="Feb"/>
    <x v="5"/>
    <m/>
    <m/>
  </r>
  <r>
    <n v="64401837"/>
    <x v="7"/>
    <n v="3000"/>
    <s v="02/20/2026"/>
    <s v="PS Frozen Olaf Facepiece IH 6-6PK"/>
    <x v="41"/>
    <n v="2.16E-3"/>
    <n v="150"/>
    <x v="16"/>
    <x v="24"/>
    <n v="1"/>
    <n v="3000"/>
    <n v="6.48"/>
    <n v="20"/>
    <s v="Feb"/>
    <x v="5"/>
    <m/>
    <m/>
  </r>
  <r>
    <n v="64365613"/>
    <x v="7"/>
    <n v="3900"/>
    <s v="02/20/2026"/>
    <s v="PS Spiderman Facepiece 6-6PK"/>
    <x v="41"/>
    <n v="2.1540000000000001E-3"/>
    <n v="195"/>
    <x v="16"/>
    <x v="24"/>
    <n v="1"/>
    <n v="3900"/>
    <n v="8.4006000000000007"/>
    <n v="20"/>
    <s v="Feb"/>
    <x v="5"/>
    <m/>
    <m/>
  </r>
  <r>
    <n v="64875812"/>
    <x v="16"/>
    <n v="10691"/>
    <d v="2026-02-11T00:00:00"/>
    <s v="KL Vanilla Sandwich 8-6 PK"/>
    <x v="43"/>
    <n v="6.0000000000000001E-3"/>
    <n v="108"/>
    <x v="12"/>
    <x v="41"/>
    <n v="1"/>
    <n v="10691"/>
    <n v="64.146000000000001"/>
    <n v="98.990740740740748"/>
    <s v="Feb"/>
    <x v="7"/>
    <m/>
    <m/>
  </r>
  <r>
    <n v="64875812"/>
    <x v="16"/>
    <n v="13287"/>
    <d v="2026-02-11T00:00:00"/>
    <s v="KL Vanilla Sandwich 8-6 PK"/>
    <x v="43"/>
    <n v="6.0000000000000001E-3"/>
    <n v="108"/>
    <x v="12"/>
    <x v="41"/>
    <n v="1"/>
    <n v="13287"/>
    <n v="79.722000000000008"/>
    <n v="123.02777777777777"/>
    <s v="Feb"/>
    <x v="7"/>
    <m/>
    <m/>
  </r>
  <r>
    <n v="64875812"/>
    <x v="16"/>
    <n v="12756"/>
    <d v="2026-02-13T00:00:00"/>
    <s v="KL Vanilla Sandwich 8-6 PK"/>
    <x v="43"/>
    <n v="6.0000000000000001E-3"/>
    <n v="108"/>
    <x v="12"/>
    <x v="41"/>
    <n v="1"/>
    <n v="12756"/>
    <n v="76.536000000000001"/>
    <n v="118.11111111111111"/>
    <s v="Feb"/>
    <x v="7"/>
    <m/>
    <m/>
  </r>
  <r>
    <n v="64957257"/>
    <x v="16"/>
    <n v="33793"/>
    <d v="2026-02-19T00:00:00"/>
    <s v="Yasso Vanilla Bean Sandwich 8-3pk"/>
    <x v="43"/>
    <n v="2.4880000000000002E-3"/>
    <n v="180"/>
    <x v="25"/>
    <x v="47"/>
    <n v="1"/>
    <n v="33793"/>
    <n v="84.07698400000001"/>
    <n v="187.73888888888888"/>
    <s v="Feb"/>
    <x v="5"/>
    <m/>
    <m/>
  </r>
  <r>
    <n v="69665113"/>
    <x v="6"/>
    <n v="15360"/>
    <s v="01/30/2026"/>
    <s v="BJ US-CD-CCCD-FTNG-8 8z"/>
    <x v="34"/>
    <n v="1.8160000000000001E-3"/>
    <n v="256"/>
    <x v="15"/>
    <x v="23"/>
    <n v="1"/>
    <n v="15360"/>
    <n v="27.89376"/>
    <n v="60"/>
    <s v="Jan"/>
    <x v="4"/>
    <m/>
    <m/>
  </r>
  <r>
    <n v="69665113"/>
    <x v="6"/>
    <n v="13568"/>
    <s v="02/06/2026"/>
    <s v="BJ US-CD-CCCD-FTNG-8 8z"/>
    <x v="34"/>
    <n v="1.8160000000000001E-3"/>
    <n v="256"/>
    <x v="15"/>
    <x v="23"/>
    <n v="1"/>
    <n v="13568"/>
    <n v="24.639488"/>
    <n v="53"/>
    <s v="Feb"/>
    <x v="8"/>
    <m/>
    <m/>
  </r>
  <r>
    <n v="69665113"/>
    <x v="6"/>
    <n v="14336"/>
    <s v="02/18/2026"/>
    <s v="BJ US-CD-CCCD-FTNG-8 8z"/>
    <x v="34"/>
    <n v="1.8160000000000001E-3"/>
    <n v="256"/>
    <x v="15"/>
    <x v="23"/>
    <n v="1"/>
    <n v="14336"/>
    <n v="26.034176000000002"/>
    <n v="56"/>
    <s v="Feb"/>
    <x v="5"/>
    <m/>
    <m/>
  </r>
  <r>
    <n v="68654218"/>
    <x v="6"/>
    <n v="4352"/>
    <s v="02/20/2026"/>
    <s v="BJ US-CD-PBMix-8 8z"/>
    <x v="34"/>
    <n v="1.892672E-3"/>
    <n v="256"/>
    <x v="15"/>
    <x v="23"/>
    <n v="1"/>
    <n v="4352"/>
    <n v="8.2369085440000003"/>
    <n v="17"/>
    <s v="Feb"/>
    <x v="5"/>
    <m/>
    <m/>
  </r>
  <r>
    <n v="68264519"/>
    <x v="6"/>
    <n v="5632"/>
    <s v="02/20/2026"/>
    <s v="BJ US-CD-Half Baked Dough-8 6z"/>
    <x v="34"/>
    <n v="1.419504E-3"/>
    <n v="256"/>
    <x v="15"/>
    <x v="23"/>
    <n v="1"/>
    <n v="5632"/>
    <n v="7.9946465280000005"/>
    <n v="22"/>
    <s v="Feb"/>
    <x v="5"/>
    <m/>
    <m/>
  </r>
  <r>
    <n v="69665113"/>
    <x v="6"/>
    <n v="6144"/>
    <s v="02/20/2026"/>
    <s v="BJ US-CD-CCCD-FTNG-8 8z"/>
    <x v="34"/>
    <n v="1.8160000000000001E-3"/>
    <n v="256"/>
    <x v="15"/>
    <x v="23"/>
    <n v="1"/>
    <n v="6144"/>
    <n v="11.157504000000001"/>
    <n v="24"/>
    <s v="Feb"/>
    <x v="5"/>
    <m/>
    <m/>
  </r>
  <r>
    <n v="64804365"/>
    <x v="8"/>
    <n v="8073"/>
    <s v="01/28/2026"/>
    <s v="BJ US-PUP-PB Pretzel 6-4PK"/>
    <x v="35"/>
    <n v="2.8799999999999997E-3"/>
    <n v="180"/>
    <x v="18"/>
    <x v="26"/>
    <n v="1"/>
    <n v="8073"/>
    <n v="23.250239999999998"/>
    <n v="44.85"/>
    <s v="Jan"/>
    <x v="4"/>
    <m/>
    <m/>
  </r>
  <r>
    <n v="64413478"/>
    <x v="8"/>
    <n v="31913"/>
    <s v="01/28/2026"/>
    <s v="BJ US-IC-ChocChpCookDgh-FTNG-12 4FOZ"/>
    <x v="35"/>
    <n v="1.4159999999999999E-3"/>
    <n v="468"/>
    <x v="18"/>
    <x v="26"/>
    <n v="1"/>
    <n v="31913"/>
    <n v="45.188808000000002"/>
    <n v="68.190170940170944"/>
    <s v="Jan"/>
    <x v="4"/>
    <m/>
    <m/>
  </r>
  <r>
    <n v="64977494"/>
    <x v="8"/>
    <n v="23724"/>
    <s v="01/29/2026"/>
    <s v="GH Reeses Candy Bar 8-6PK"/>
    <x v="35"/>
    <n v="2.8399999999999996E-3"/>
    <n v="130"/>
    <x v="17"/>
    <x v="25"/>
    <n v="1"/>
    <n v="23724"/>
    <n v="67.376159999999985"/>
    <n v="182.49230769230769"/>
    <s v="Jan"/>
    <x v="4"/>
    <m/>
    <m/>
  </r>
  <r>
    <n v="64806251"/>
    <x v="8"/>
    <n v="8018"/>
    <s v="02/02/2026"/>
    <s v="BJ US-PUP-PumpkinCookie 6-4PK"/>
    <x v="35"/>
    <n v="2.8799999999999997E-3"/>
    <n v="180"/>
    <x v="18"/>
    <x v="26"/>
    <n v="1"/>
    <n v="8018"/>
    <n v="23.091839999999998"/>
    <n v="44.544444444444444"/>
    <s v="Feb"/>
    <x v="8"/>
    <m/>
    <m/>
  </r>
  <r>
    <n v="64327161"/>
    <x v="8"/>
    <n v="114286"/>
    <s v="02/02/2026"/>
    <s v="YSO Mint Chocolate Chip Club 1-15pk"/>
    <x v="35"/>
    <n v="1.56E-3"/>
    <n v="240"/>
    <x v="19"/>
    <x v="28"/>
    <n v="1"/>
    <n v="114286"/>
    <n v="178.28616"/>
    <n v="476.19166666666666"/>
    <s v="Feb"/>
    <x v="8"/>
    <m/>
    <m/>
  </r>
  <r>
    <n v="64376316"/>
    <x v="8"/>
    <n v="118992"/>
    <s v="02/02/2026"/>
    <s v="Yasso Cookies n Cream Club 1-15pk"/>
    <x v="35"/>
    <n v="1.5449999999999999E-3"/>
    <n v="240"/>
    <x v="19"/>
    <x v="28"/>
    <n v="1"/>
    <n v="118992"/>
    <n v="183.84263999999999"/>
    <n v="495.8"/>
    <s v="Feb"/>
    <x v="8"/>
    <m/>
    <m/>
  </r>
  <r>
    <n v="64875812"/>
    <x v="8"/>
    <n v="18221"/>
    <s v="02/06/2026"/>
    <s v="KL Vanilla Sandwich 8-6 PK"/>
    <x v="35"/>
    <n v="6.0000000000000001E-3"/>
    <n v="108"/>
    <x v="12"/>
    <x v="27"/>
    <n v="1"/>
    <n v="18221"/>
    <n v="109.32600000000001"/>
    <n v="168.71296296296296"/>
    <s v="Feb"/>
    <x v="8"/>
    <m/>
    <m/>
  </r>
  <r>
    <n v="64413475"/>
    <x v="8"/>
    <n v="10275"/>
    <s v="02/09/2026"/>
    <s v="BJ US-IC-CherryGarcia-FTNG-12 4FOZ"/>
    <x v="35"/>
    <n v="1.4159999999999999E-3"/>
    <n v="468"/>
    <x v="18"/>
    <x v="26"/>
    <n v="1"/>
    <n v="10275"/>
    <n v="14.549399999999999"/>
    <n v="21.955128205128204"/>
    <s v="Feb"/>
    <x v="7"/>
    <m/>
    <m/>
  </r>
  <r>
    <n v="64328806"/>
    <x v="8"/>
    <n v="14982"/>
    <s v="02/09/2026"/>
    <s v="KL Reeses SW 6-4PK"/>
    <x v="35"/>
    <n v="2.8380000000000002E-3"/>
    <n v="189"/>
    <x v="12"/>
    <x v="27"/>
    <n v="1"/>
    <n v="14982"/>
    <n v="42.518916000000004"/>
    <n v="79.269841269841265"/>
    <s v="Feb"/>
    <x v="7"/>
    <m/>
    <m/>
  </r>
  <r>
    <n v="64413476"/>
    <x v="8"/>
    <n v="20676"/>
    <s v="02/09/2026"/>
    <s v="BJ US-IC-ChocFudgBrownie-FTNG-12 4FOZ"/>
    <x v="35"/>
    <n v="1.4399999999999999E-3"/>
    <n v="468"/>
    <x v="18"/>
    <x v="26"/>
    <n v="1"/>
    <n v="20676"/>
    <n v="29.773439999999997"/>
    <n v="44.179487179487182"/>
    <s v="Feb"/>
    <x v="7"/>
    <m/>
    <m/>
  </r>
  <r>
    <n v="64804365"/>
    <x v="8"/>
    <n v="7898"/>
    <s v="02/17/2026"/>
    <s v="BJ US-PUP-PB Pretzel 6-4PK"/>
    <x v="35"/>
    <n v="2.8799999999999997E-3"/>
    <n v="180"/>
    <x v="18"/>
    <x v="26"/>
    <n v="1"/>
    <n v="7898"/>
    <n v="22.746239999999997"/>
    <n v="43.87777777777778"/>
    <s v="Feb"/>
    <x v="5"/>
    <m/>
    <m/>
  </r>
  <r>
    <n v="64977494"/>
    <x v="8"/>
    <n v="12302"/>
    <s v="02/17/2026"/>
    <s v="GH Reeses Candy Bar 8-6PK"/>
    <x v="35"/>
    <n v="2.8399999999999996E-3"/>
    <n v="130"/>
    <x v="17"/>
    <x v="25"/>
    <n v="1"/>
    <n v="12302"/>
    <n v="34.937679999999993"/>
    <n v="94.630769230769232"/>
    <s v="Feb"/>
    <x v="5"/>
    <m/>
    <m/>
  </r>
  <r>
    <n v="64327161"/>
    <x v="8"/>
    <n v="59177"/>
    <s v="02/17/2026"/>
    <s v="YSO Mint Chocolate Chip Club 1-15pk"/>
    <x v="35"/>
    <n v="1.56E-3"/>
    <n v="240"/>
    <x v="19"/>
    <x v="28"/>
    <n v="1"/>
    <n v="59177"/>
    <n v="92.316119999999998"/>
    <n v="246.57083333333333"/>
    <s v="Feb"/>
    <x v="5"/>
    <m/>
    <m/>
  </r>
  <r>
    <n v="64979101"/>
    <x v="8"/>
    <n v="30495"/>
    <s v="02/20/2026"/>
    <s v="GH Reeses Candy Bar 18-1PK"/>
    <x v="35"/>
    <n v="1.9199999999999998E-3"/>
    <n v="360"/>
    <x v="17"/>
    <x v="25"/>
    <n v="1"/>
    <n v="30495"/>
    <n v="58.550399999999996"/>
    <n v="84.708333333333329"/>
    <s v="Feb"/>
    <x v="5"/>
    <m/>
    <m/>
  </r>
  <r>
    <n v="69629477"/>
    <x v="14"/>
    <n v="2700"/>
    <s v="01/29/2026"/>
    <s v="KLONDIKE REESES CONE MPK 6X8X111ML"/>
    <x v="41"/>
    <n v="5.3280000000000003E-3"/>
    <n v="108"/>
    <x v="22"/>
    <x v="38"/>
    <n v="1"/>
    <n v="2700"/>
    <n v="14.3856"/>
    <n v="25"/>
    <s v="Jan"/>
    <x v="4"/>
    <m/>
    <m/>
  </r>
  <r>
    <n v="64409244"/>
    <x v="14"/>
    <n v="3749"/>
    <s v="01/29/2026"/>
    <s v="Holanda Chem Pineap-Cocon USA 8x4x65ml"/>
    <x v="41"/>
    <n v="2.0800000000000003E-3"/>
    <n v="135"/>
    <x v="17"/>
    <x v="39"/>
    <n v="1"/>
    <n v="3749"/>
    <n v="7.7979200000000013"/>
    <n v="27.770370370370369"/>
    <s v="Jan"/>
    <x v="4"/>
    <m/>
    <m/>
  </r>
  <r>
    <n v="69629477"/>
    <x v="14"/>
    <n v="972"/>
    <s v="01/30/2026"/>
    <s v="KLONDIKE REESES CONE MPK 6X8X111ML"/>
    <x v="41"/>
    <n v="5.3280000000000003E-3"/>
    <n v="108"/>
    <x v="22"/>
    <x v="38"/>
    <n v="1"/>
    <n v="972"/>
    <n v="5.1788160000000003"/>
    <n v="9"/>
    <s v="Jan"/>
    <x v="4"/>
    <m/>
    <m/>
  </r>
  <r>
    <n v="64409241"/>
    <x v="14"/>
    <n v="1205"/>
    <s v="01/30/2026"/>
    <s v="Holanda Chem Straw-Cocon USA 8x4x65ml"/>
    <x v="41"/>
    <n v="2.0800000000000003E-3"/>
    <n v="135"/>
    <x v="17"/>
    <x v="39"/>
    <n v="1"/>
    <n v="1205"/>
    <n v="2.5064000000000002"/>
    <n v="8.9259259259259256"/>
    <s v="Jan"/>
    <x v="4"/>
    <m/>
    <m/>
  </r>
  <r>
    <n v="64409244"/>
    <x v="14"/>
    <n v="1349"/>
    <s v="01/30/2026"/>
    <s v="Holanda Chem Pineap-Cocon USA 8x4x65ml"/>
    <x v="41"/>
    <n v="2.0800000000000003E-3"/>
    <n v="135"/>
    <x v="17"/>
    <x v="39"/>
    <n v="1"/>
    <n v="1349"/>
    <n v="2.8059200000000004"/>
    <n v="9.992592592592592"/>
    <s v="Jan"/>
    <x v="4"/>
    <m/>
    <m/>
  </r>
  <r>
    <n v="69629477"/>
    <x v="14"/>
    <n v="858"/>
    <s v="02/04/2026"/>
    <s v="KLONDIKE REESES CONE MPK 6X8X111ML"/>
    <x v="41"/>
    <n v="5.3280000000000003E-3"/>
    <n v="108"/>
    <x v="22"/>
    <x v="38"/>
    <n v="1"/>
    <n v="858"/>
    <n v="4.5714240000000004"/>
    <n v="7.9444444444444446"/>
    <s v="Feb"/>
    <x v="8"/>
    <m/>
    <m/>
  </r>
  <r>
    <n v="64409241"/>
    <x v="14"/>
    <n v="1350"/>
    <s v="02/04/2026"/>
    <s v="Holanda Chem Straw-Cocon USA 8x4x65ml"/>
    <x v="41"/>
    <n v="2.0800000000000003E-3"/>
    <n v="135"/>
    <x v="17"/>
    <x v="39"/>
    <n v="1"/>
    <n v="1350"/>
    <n v="2.8080000000000003"/>
    <n v="10"/>
    <s v="Feb"/>
    <x v="8"/>
    <m/>
    <m/>
  </r>
  <r>
    <n v="64409244"/>
    <x v="14"/>
    <n v="1350"/>
    <s v="02/04/2026"/>
    <s v="Holanda Chem Pineap-Cocon USA 8x4x65ml"/>
    <x v="41"/>
    <n v="2.0800000000000003E-3"/>
    <n v="135"/>
    <x v="17"/>
    <x v="39"/>
    <n v="1"/>
    <n v="1350"/>
    <n v="2.8080000000000003"/>
    <n v="10"/>
    <s v="Feb"/>
    <x v="8"/>
    <m/>
    <m/>
  </r>
  <r>
    <n v="69629477"/>
    <x v="14"/>
    <n v="1188"/>
    <s v="02/05/2026"/>
    <s v="KLONDIKE REESES CONE MPK 6X8X111ML"/>
    <x v="41"/>
    <n v="5.3280000000000003E-3"/>
    <n v="108"/>
    <x v="22"/>
    <x v="38"/>
    <n v="1"/>
    <n v="1188"/>
    <n v="6.3296640000000002"/>
    <n v="11"/>
    <s v="Feb"/>
    <x v="8"/>
    <m/>
    <m/>
  </r>
  <r>
    <n v="64409241"/>
    <x v="14"/>
    <n v="2295"/>
    <s v="02/05/2026"/>
    <s v="Holanda Chem Straw-Cocon USA 8x4x65ml"/>
    <x v="41"/>
    <n v="2.0800000000000003E-3"/>
    <n v="135"/>
    <x v="17"/>
    <x v="39"/>
    <n v="1"/>
    <n v="2295"/>
    <n v="4.773600000000001"/>
    <n v="17"/>
    <s v="Feb"/>
    <x v="8"/>
    <m/>
    <m/>
  </r>
  <r>
    <n v="64409241"/>
    <x v="14"/>
    <n v="538"/>
    <s v="02/06/2026"/>
    <s v="Holanda Chem Straw-Cocon USA 8x4x65ml"/>
    <x v="41"/>
    <n v="2.0800000000000003E-3"/>
    <n v="135"/>
    <x v="17"/>
    <x v="39"/>
    <n v="1"/>
    <n v="538"/>
    <n v="1.11904"/>
    <n v="3.9851851851851854"/>
    <s v="Feb"/>
    <x v="8"/>
    <m/>
    <m/>
  </r>
  <r>
    <n v="69629477"/>
    <x v="14"/>
    <n v="639"/>
    <s v="02/06/2026"/>
    <s v="KLONDIKE REESES CONE MPK 6X8X111ML"/>
    <x v="41"/>
    <n v="5.3280000000000003E-3"/>
    <n v="108"/>
    <x v="22"/>
    <x v="38"/>
    <n v="1"/>
    <n v="639"/>
    <n v="3.4045920000000001"/>
    <n v="5.916666666666667"/>
    <s v="Feb"/>
    <x v="8"/>
    <m/>
    <m/>
  </r>
  <r>
    <n v="64409244"/>
    <x v="14"/>
    <n v="799"/>
    <s v="02/06/2026"/>
    <s v="Holanda Chem Pineap-Cocon USA 8x4x65ml"/>
    <x v="41"/>
    <n v="2.0800000000000003E-3"/>
    <n v="135"/>
    <x v="17"/>
    <x v="39"/>
    <n v="1"/>
    <n v="799"/>
    <n v="1.6619200000000003"/>
    <n v="5.9185185185185185"/>
    <s v="Feb"/>
    <x v="8"/>
    <m/>
    <m/>
  </r>
  <r>
    <n v="69629477"/>
    <x v="14"/>
    <n v="3024"/>
    <s v="02/11/2026"/>
    <s v="KLONDIKE REESES CONE MPK 6X8X111ML"/>
    <x v="41"/>
    <n v="5.3280000000000003E-3"/>
    <n v="108"/>
    <x v="22"/>
    <x v="38"/>
    <n v="1"/>
    <n v="3024"/>
    <n v="16.111872000000002"/>
    <n v="28"/>
    <s v="Feb"/>
    <x v="7"/>
    <m/>
    <m/>
  </r>
  <r>
    <n v="69629477"/>
    <x v="14"/>
    <n v="2916"/>
    <s v="02/12/2026"/>
    <s v="KLONDIKE REESES CONE MPK 6X8X111ML"/>
    <x v="41"/>
    <n v="5.3280000000000003E-3"/>
    <n v="108"/>
    <x v="22"/>
    <x v="38"/>
    <n v="1"/>
    <n v="2916"/>
    <n v="15.536448"/>
    <n v="27"/>
    <s v="Feb"/>
    <x v="7"/>
    <m/>
    <m/>
  </r>
  <r>
    <n v="69629469"/>
    <x v="19"/>
    <n v="2400"/>
    <s v="02/12/2026"/>
    <s v="KL Cone Classic Vanilla Chocolate 6-8CT"/>
    <x v="34"/>
    <n v="5.3220000000000003E-3"/>
    <n v="120"/>
    <x v="22"/>
    <x v="48"/>
    <n v="1"/>
    <n v="2400"/>
    <n v="12.7728"/>
    <n v="20"/>
    <s v="Feb"/>
    <x v="7"/>
    <m/>
    <m/>
  </r>
  <r>
    <n v="69629469"/>
    <x v="19"/>
    <n v="2400"/>
    <s v="02/12/2026"/>
    <s v="KL Cone Classic Vanilla Chocolate 6-8CT"/>
    <x v="34"/>
    <n v="5.3220000000000003E-3"/>
    <n v="120"/>
    <x v="22"/>
    <x v="48"/>
    <n v="1"/>
    <n v="2400"/>
    <n v="12.7728"/>
    <n v="20"/>
    <s v="Feb"/>
    <x v="7"/>
    <m/>
    <m/>
  </r>
  <r>
    <n v="64327161"/>
    <x v="13"/>
    <n v="9996"/>
    <s v="02/06/2026"/>
    <s v="YSO Mint Chocolate Chip Club 1-15pk"/>
    <x v="40"/>
    <n v="1.56E-3"/>
    <n v="240"/>
    <x v="19"/>
    <x v="37"/>
    <n v="1"/>
    <n v="9996"/>
    <n v="15.59376"/>
    <n v="41.65"/>
    <s v="Feb"/>
    <x v="8"/>
    <m/>
    <m/>
  </r>
  <r>
    <n v="64327161"/>
    <x v="13"/>
    <n v="29949"/>
    <s v="02/06/2026"/>
    <s v="YSO Mint Chocolate Chip Club 1-15pk"/>
    <x v="40"/>
    <n v="1.56E-3"/>
    <n v="240"/>
    <x v="19"/>
    <x v="37"/>
    <n v="1"/>
    <n v="29949"/>
    <n v="46.720439999999996"/>
    <n v="124.78749999999999"/>
    <s v="Feb"/>
    <x v="8"/>
    <m/>
    <m/>
  </r>
  <r>
    <n v="64327161"/>
    <x v="13"/>
    <n v="29965"/>
    <s v="02/06/2026"/>
    <s v="YSO Mint Chocolate Chip Club 1-15pk"/>
    <x v="40"/>
    <n v="1.56E-3"/>
    <n v="240"/>
    <x v="19"/>
    <x v="37"/>
    <n v="1"/>
    <n v="29965"/>
    <n v="46.745399999999997"/>
    <n v="124.85416666666667"/>
    <s v="Feb"/>
    <x v="8"/>
    <m/>
    <m/>
  </r>
  <r>
    <n v="65089667"/>
    <x v="13"/>
    <n v="9982"/>
    <s v="02/11/2026"/>
    <s v="BR Carbsmart IC Bars For CS 1(3)6-PK"/>
    <x v="40"/>
    <n v="8.8999999999999995E-5"/>
    <n v="150"/>
    <x v="17"/>
    <x v="35"/>
    <n v="1"/>
    <n v="9982"/>
    <n v="0.88839799999999991"/>
    <n v="66.546666666666667"/>
    <s v="Feb"/>
    <x v="7"/>
    <m/>
    <m/>
  </r>
  <r>
    <n v="64327161"/>
    <x v="13"/>
    <n v="19950"/>
    <s v="02/17/2026"/>
    <s v="YSO Mint Chocolate Chip Club 1-15pk"/>
    <x v="40"/>
    <n v="1.56E-3"/>
    <n v="240"/>
    <x v="19"/>
    <x v="37"/>
    <n v="1"/>
    <n v="19950"/>
    <n v="31.122"/>
    <n v="83.125"/>
    <s v="Feb"/>
    <x v="5"/>
    <m/>
    <m/>
  </r>
  <r>
    <n v="64854330"/>
    <x v="13"/>
    <n v="4992"/>
    <s v="02/19/2026"/>
    <s v="MG Double Caramel RFA 8(3) 3PK"/>
    <x v="40"/>
    <n v="6.4800000000000005E-3"/>
    <n v="30"/>
    <x v="21"/>
    <x v="36"/>
    <n v="1"/>
    <n v="4992"/>
    <n v="32.34816"/>
    <n v="166.4"/>
    <s v="Feb"/>
    <x v="5"/>
    <m/>
    <m/>
  </r>
  <r>
    <n v="64997059"/>
    <x v="13"/>
    <n v="8064"/>
    <s v="02/19/2026"/>
    <s v="BJ US-IC-Mixed 12PK"/>
    <x v="40"/>
    <n v="5.6760000000000005E-3"/>
    <n v="96"/>
    <x v="17"/>
    <x v="35"/>
    <n v="1"/>
    <n v="8064"/>
    <n v="45.771264000000002"/>
    <n v="84"/>
    <s v="Feb"/>
    <x v="5"/>
    <m/>
    <m/>
  </r>
  <r>
    <n v="65089667"/>
    <x v="13"/>
    <n v="24965"/>
    <s v="02/19/2026"/>
    <s v="BR Carbsmart IC Bars For CS 1(3)6-PK"/>
    <x v="40"/>
    <n v="8.8999999999999995E-5"/>
    <n v="150"/>
    <x v="17"/>
    <x v="35"/>
    <n v="1"/>
    <n v="24965"/>
    <n v="2.2218849999999999"/>
    <n v="166.43333333333334"/>
    <s v="Feb"/>
    <x v="5"/>
    <m/>
    <m/>
  </r>
  <r>
    <n v="64315721"/>
    <x v="0"/>
    <n v="22"/>
    <d v="2026-02-23T00:00:00"/>
    <s v="BR CS Chocolate Peanut Butter 6 1.5QT"/>
    <x v="12"/>
    <n v="8.5199999999999998E-3"/>
    <n v="176"/>
    <x v="0"/>
    <x v="0"/>
    <n v="1"/>
    <n v="22"/>
    <n v="0.18744"/>
    <n v="0.125"/>
    <s v="Feb"/>
    <x v="6"/>
    <m/>
    <m/>
  </r>
  <r>
    <n v="64315721"/>
    <x v="0"/>
    <n v="3344"/>
    <d v="2026-02-24T00:00:00"/>
    <s v="BR CS Chocolate Peanut Butter 6 1.5QT"/>
    <x v="12"/>
    <n v="8.5199999999999998E-3"/>
    <n v="176"/>
    <x v="0"/>
    <x v="0"/>
    <n v="1"/>
    <n v="3344"/>
    <n v="28.490880000000001"/>
    <n v="19"/>
    <s v="Feb"/>
    <x v="6"/>
    <m/>
    <m/>
  </r>
  <r>
    <n v="64315721"/>
    <x v="0"/>
    <n v="7920"/>
    <d v="2026-02-25T00:00:00"/>
    <s v="BR CS Chocolate Peanut Butter 6 1.5QT"/>
    <x v="12"/>
    <n v="8.5199999999999998E-3"/>
    <n v="176"/>
    <x v="0"/>
    <x v="0"/>
    <n v="1"/>
    <n v="7920"/>
    <n v="67.478399999999993"/>
    <n v="45"/>
    <s v="Feb"/>
    <x v="6"/>
    <m/>
    <m/>
  </r>
  <r>
    <n v="64315721"/>
    <x v="0"/>
    <n v="3001"/>
    <d v="2026-02-24T00:00:00"/>
    <s v="BR CS Chocolate Peanut Butter 6 1.5QT"/>
    <x v="12"/>
    <n v="8.5199999999999998E-3"/>
    <n v="176"/>
    <x v="0"/>
    <x v="0"/>
    <n v="1"/>
    <n v="3001"/>
    <n v="25.568519999999999"/>
    <n v="17.051136363636363"/>
    <s v="Feb"/>
    <x v="6"/>
    <m/>
    <m/>
  </r>
  <r>
    <n v="64315721"/>
    <x v="0"/>
    <n v="3872"/>
    <d v="2026-02-23T00:00:00"/>
    <s v="BR CS Chocolate Peanut Butter 6 1.5QT"/>
    <x v="12"/>
    <n v="8.5199999999999998E-3"/>
    <n v="176"/>
    <x v="0"/>
    <x v="0"/>
    <n v="1"/>
    <n v="3872"/>
    <n v="32.989440000000002"/>
    <n v="22"/>
    <s v="Feb"/>
    <x v="6"/>
    <m/>
    <m/>
  </r>
  <r>
    <n v="64315721"/>
    <x v="0"/>
    <n v="11"/>
    <d v="2026-02-25T00:00:00"/>
    <s v="BR CS Chocolate Peanut Butter 6 1.5QT"/>
    <x v="12"/>
    <n v="8.5199999999999998E-3"/>
    <n v="176"/>
    <x v="0"/>
    <x v="0"/>
    <n v="1"/>
    <n v="11"/>
    <n v="9.3719999999999998E-2"/>
    <n v="6.25E-2"/>
    <s v="Feb"/>
    <x v="6"/>
    <m/>
    <m/>
  </r>
  <r>
    <n v="64315721"/>
    <x v="0"/>
    <n v="0"/>
    <d v="2026-02-26T00:00:00"/>
    <s v="BR CS Chocolate Peanut Butter 6 1.5QT"/>
    <x v="12"/>
    <n v="8.5199999999999998E-3"/>
    <n v="176"/>
    <x v="0"/>
    <x v="0"/>
    <n v="1"/>
    <n v="0"/>
    <n v="0"/>
    <n v="0"/>
    <s v="Feb"/>
    <x v="6"/>
    <m/>
    <m/>
  </r>
  <r>
    <n v="64315721"/>
    <x v="0"/>
    <n v="176"/>
    <d v="2026-02-26T00:00:00"/>
    <s v="BR CS Chocolate Peanut Butter 6 1.5QT"/>
    <x v="12"/>
    <n v="8.5199999999999998E-3"/>
    <n v="176"/>
    <x v="0"/>
    <x v="0"/>
    <n v="1"/>
    <n v="176"/>
    <n v="1.49952"/>
    <n v="1"/>
    <s v="Feb"/>
    <x v="6"/>
    <m/>
    <m/>
  </r>
  <r>
    <n v="64315721"/>
    <x v="0"/>
    <n v="478"/>
    <d v="2026-02-25T00:00:00"/>
    <s v="BR CS Chocolate Peanut Butter 6 1.5QT"/>
    <x v="12"/>
    <n v="8.5199999999999998E-3"/>
    <n v="176"/>
    <x v="0"/>
    <x v="0"/>
    <n v="1"/>
    <n v="478"/>
    <n v="4.0725600000000002"/>
    <n v="2.7159090909090908"/>
    <s v="Feb"/>
    <x v="6"/>
    <m/>
    <m/>
  </r>
  <r>
    <n v="64315721"/>
    <x v="0"/>
    <n v="4414"/>
    <d v="2026-02-26T00:00:00"/>
    <s v="BR CS Chocolate Peanut Butter 6 1.5QT"/>
    <x v="12"/>
    <n v="8.5199999999999998E-3"/>
    <n v="176"/>
    <x v="0"/>
    <x v="0"/>
    <n v="1"/>
    <n v="4414"/>
    <n v="37.607279999999996"/>
    <n v="25.079545454545453"/>
    <s v="Feb"/>
    <x v="6"/>
    <m/>
    <m/>
  </r>
  <r>
    <n v="64341967"/>
    <x v="0"/>
    <n v="4045"/>
    <d v="2026-03-21T00:00:00"/>
    <s v="BR CHOC Peanut Butter 6 1.5QT"/>
    <x v="12"/>
    <n v="8.513999999999999E-3"/>
    <n v="176"/>
    <x v="0"/>
    <x v="0"/>
    <n v="1"/>
    <n v="4045"/>
    <n v="34.439129999999999"/>
    <n v="22.982954545454547"/>
    <s v="Mar"/>
    <x v="9"/>
    <m/>
    <m/>
  </r>
  <r>
    <n v="64341967"/>
    <x v="0"/>
    <n v="4909"/>
    <d v="2026-03-22T00:00:00"/>
    <s v="BR CHOC Peanut Butter 6 1.5QT"/>
    <x v="12"/>
    <n v="8.513999999999999E-3"/>
    <n v="176"/>
    <x v="0"/>
    <x v="0"/>
    <n v="1"/>
    <n v="4909"/>
    <n v="41.795225999999992"/>
    <n v="27.892045454545453"/>
    <s v="Mar"/>
    <x v="10"/>
    <m/>
    <m/>
  </r>
  <r>
    <n v="64341967"/>
    <x v="0"/>
    <n v="4576"/>
    <d v="2026-03-22T00:00:00"/>
    <s v="BR CHOC Peanut Butter 6 1.5QT"/>
    <x v="12"/>
    <n v="8.513999999999999E-3"/>
    <n v="176"/>
    <x v="0"/>
    <x v="0"/>
    <n v="1"/>
    <n v="4576"/>
    <n v="38.960063999999996"/>
    <n v="26"/>
    <s v="Mar"/>
    <x v="10"/>
    <m/>
    <m/>
  </r>
  <r>
    <n v="64341967"/>
    <x v="0"/>
    <n v="4723"/>
    <d v="2026-03-23T00:00:00"/>
    <s v="BR CHOC Peanut Butter 6 1.5QT"/>
    <x v="12"/>
    <n v="8.513999999999999E-3"/>
    <n v="176"/>
    <x v="0"/>
    <x v="0"/>
    <n v="1"/>
    <n v="4723"/>
    <n v="40.211621999999998"/>
    <n v="26.835227272727273"/>
    <s v="Mar"/>
    <x v="10"/>
    <m/>
    <m/>
  </r>
  <r>
    <n v="64341967"/>
    <x v="0"/>
    <n v="4576"/>
    <d v="2026-03-23T00:00:00"/>
    <s v="BR CHOC Peanut Butter 6 1.5QT"/>
    <x v="12"/>
    <n v="8.513999999999999E-3"/>
    <n v="176"/>
    <x v="0"/>
    <x v="0"/>
    <n v="1"/>
    <n v="4576"/>
    <n v="38.960063999999996"/>
    <n v="26"/>
    <s v="Mar"/>
    <x v="10"/>
    <m/>
    <m/>
  </r>
  <r>
    <n v="64341967"/>
    <x v="0"/>
    <n v="7633"/>
    <d v="2026-03-24T00:00:00"/>
    <s v="BR CHOC Peanut Butter 6 1.5QT"/>
    <x v="12"/>
    <n v="8.513999999999999E-3"/>
    <n v="176"/>
    <x v="0"/>
    <x v="0"/>
    <n v="1"/>
    <n v="7633"/>
    <n v="64.98736199999999"/>
    <n v="43.36931818181818"/>
    <s v="Mar"/>
    <x v="10"/>
    <m/>
    <m/>
  </r>
  <r>
    <n v="64341967"/>
    <x v="0"/>
    <n v="5244"/>
    <d v="2026-03-24T00:00:00"/>
    <s v="BR CHOC Peanut Butter 6 1.5QT"/>
    <x v="12"/>
    <n v="8.513999999999999E-3"/>
    <n v="176"/>
    <x v="0"/>
    <x v="0"/>
    <n v="1"/>
    <n v="5244"/>
    <n v="44.647415999999993"/>
    <n v="29.795454545454547"/>
    <s v="Mar"/>
    <x v="10"/>
    <m/>
    <m/>
  </r>
  <r>
    <n v="64341968"/>
    <x v="0"/>
    <n v="3983"/>
    <d v="2026-02-27T00:00:00"/>
    <s v="BR CO-B SNICKERS 6 1.5QT"/>
    <x v="12"/>
    <n v="8.5199999999999998E-3"/>
    <n v="176"/>
    <x v="0"/>
    <x v="0"/>
    <n v="1"/>
    <n v="3983"/>
    <n v="33.935159999999996"/>
    <n v="22.630681818181817"/>
    <s v="Feb"/>
    <x v="6"/>
    <m/>
    <m/>
  </r>
  <r>
    <n v="64341968"/>
    <x v="0"/>
    <n v="3928"/>
    <d v="2026-02-27T00:00:00"/>
    <s v="BR CO-B SNICKERS 6 1.5QT"/>
    <x v="12"/>
    <n v="8.5199999999999998E-3"/>
    <n v="176"/>
    <x v="0"/>
    <x v="0"/>
    <n v="1"/>
    <n v="3928"/>
    <n v="33.466560000000001"/>
    <n v="22.318181818181817"/>
    <s v="Feb"/>
    <x v="6"/>
    <m/>
    <m/>
  </r>
  <r>
    <n v="64341968"/>
    <x v="0"/>
    <n v="6018"/>
    <d v="2026-02-28T00:00:00"/>
    <s v="BR CO-B SNICKERS 6 1.5QT"/>
    <x v="12"/>
    <n v="8.5199999999999998E-3"/>
    <n v="176"/>
    <x v="0"/>
    <x v="0"/>
    <n v="1"/>
    <n v="6018"/>
    <n v="51.273359999999997"/>
    <n v="34.19318181818182"/>
    <s v="Feb"/>
    <x v="6"/>
    <m/>
    <m/>
  </r>
  <r>
    <n v="64341968"/>
    <x v="0"/>
    <n v="176"/>
    <d v="2026-03-05T00:00:00"/>
    <s v="BR CO-B SNICKERS 6 1.5QT"/>
    <x v="12"/>
    <n v="8.5199999999999998E-3"/>
    <n v="176"/>
    <x v="0"/>
    <x v="0"/>
    <n v="1"/>
    <n v="176"/>
    <n v="1.49952"/>
    <n v="1"/>
    <s v="Mar"/>
    <x v="11"/>
    <m/>
    <m/>
  </r>
  <r>
    <n v="64341968"/>
    <x v="0"/>
    <n v="5632"/>
    <d v="2026-02-28T00:00:00"/>
    <s v="BR CO-B SNICKERS 6 1.5QT"/>
    <x v="12"/>
    <n v="8.5199999999999998E-3"/>
    <n v="176"/>
    <x v="0"/>
    <x v="0"/>
    <n v="1"/>
    <n v="5632"/>
    <n v="47.984639999999999"/>
    <n v="32"/>
    <s v="Feb"/>
    <x v="6"/>
    <m/>
    <m/>
  </r>
  <r>
    <n v="64341968"/>
    <x v="0"/>
    <n v="6158"/>
    <d v="2026-03-01T00:00:00"/>
    <s v="BR CO-B SNICKERS 6 1.5QT"/>
    <x v="12"/>
    <n v="8.5199999999999998E-3"/>
    <n v="176"/>
    <x v="0"/>
    <x v="0"/>
    <n v="1"/>
    <n v="6158"/>
    <n v="52.466160000000002"/>
    <n v="34.988636363636367"/>
    <s v="Mar"/>
    <x v="11"/>
    <m/>
    <m/>
  </r>
  <r>
    <n v="64341968"/>
    <x v="0"/>
    <n v="176"/>
    <d v="2026-03-12T00:00:00"/>
    <s v="BR CO-B SNICKERS 6 1.5QT"/>
    <x v="12"/>
    <n v="8.5199999999999998E-3"/>
    <n v="176"/>
    <x v="0"/>
    <x v="0"/>
    <n v="1"/>
    <n v="176"/>
    <n v="1.49952"/>
    <n v="1"/>
    <s v="Mar"/>
    <x v="12"/>
    <m/>
    <m/>
  </r>
  <r>
    <n v="64341968"/>
    <x v="0"/>
    <n v="4928"/>
    <d v="2026-03-01T00:00:00"/>
    <s v="BR CO-B SNICKERS 6 1.5QT"/>
    <x v="12"/>
    <n v="8.5199999999999998E-3"/>
    <n v="176"/>
    <x v="0"/>
    <x v="0"/>
    <n v="1"/>
    <n v="4928"/>
    <n v="41.986559999999997"/>
    <n v="28"/>
    <s v="Mar"/>
    <x v="11"/>
    <m/>
    <m/>
  </r>
  <r>
    <n v="64341968"/>
    <x v="0"/>
    <n v="9046"/>
    <d v="2026-03-02T00:00:00"/>
    <s v="BR CO-B SNICKERS 6 1.5QT"/>
    <x v="12"/>
    <n v="8.5199999999999998E-3"/>
    <n v="176"/>
    <x v="0"/>
    <x v="0"/>
    <n v="1"/>
    <n v="9046"/>
    <n v="77.071919999999992"/>
    <n v="51.397727272727273"/>
    <s v="Mar"/>
    <x v="11"/>
    <m/>
    <m/>
  </r>
  <r>
    <n v="64341968"/>
    <x v="0"/>
    <n v="154"/>
    <d v="2026-03-03T00:00:00"/>
    <s v="BR CO-B SNICKERS 6 1.5QT"/>
    <x v="12"/>
    <n v="8.5199999999999998E-3"/>
    <n v="176"/>
    <x v="0"/>
    <x v="0"/>
    <n v="1"/>
    <n v="154"/>
    <n v="1.3120799999999999"/>
    <n v="0.875"/>
    <s v="Mar"/>
    <x v="11"/>
    <m/>
    <m/>
  </r>
  <r>
    <n v="64341968"/>
    <x v="0"/>
    <n v="3696"/>
    <d v="2026-03-02T00:00:00"/>
    <s v="BR CO-B SNICKERS 6 1.5QT"/>
    <x v="12"/>
    <n v="8.5199999999999998E-3"/>
    <n v="176"/>
    <x v="0"/>
    <x v="0"/>
    <n v="1"/>
    <n v="3696"/>
    <n v="31.489919999999998"/>
    <n v="21"/>
    <s v="Mar"/>
    <x v="11"/>
    <m/>
    <m/>
  </r>
  <r>
    <n v="64341968"/>
    <x v="0"/>
    <n v="1701"/>
    <d v="2026-03-03T00:00:00"/>
    <s v="BR CO-B SNICKERS 6 1.5QT"/>
    <x v="12"/>
    <n v="8.5199999999999998E-3"/>
    <n v="176"/>
    <x v="0"/>
    <x v="0"/>
    <n v="1"/>
    <n v="1701"/>
    <n v="14.492519999999999"/>
    <n v="9.6647727272727266"/>
    <s v="Mar"/>
    <x v="11"/>
    <m/>
    <m/>
  </r>
  <r>
    <n v="64341968"/>
    <x v="0"/>
    <n v="4928"/>
    <d v="2026-03-03T00:00:00"/>
    <s v="BR CO-B SNICKERS 6 1.5QT"/>
    <x v="12"/>
    <n v="8.5199999999999998E-3"/>
    <n v="176"/>
    <x v="0"/>
    <x v="0"/>
    <n v="1"/>
    <n v="4928"/>
    <n v="41.986559999999997"/>
    <n v="28"/>
    <s v="Mar"/>
    <x v="11"/>
    <m/>
    <m/>
  </r>
  <r>
    <n v="64341968"/>
    <x v="0"/>
    <n v="7860"/>
    <d v="2026-03-04T00:00:00"/>
    <s v="BR CO-B SNICKERS 6 1.5QT"/>
    <x v="12"/>
    <n v="8.5199999999999998E-3"/>
    <n v="176"/>
    <x v="0"/>
    <x v="0"/>
    <n v="1"/>
    <n v="7860"/>
    <n v="66.967200000000005"/>
    <n v="44.659090909090907"/>
    <s v="Mar"/>
    <x v="11"/>
    <m/>
    <m/>
  </r>
  <r>
    <n v="64341968"/>
    <x v="0"/>
    <n v="4224"/>
    <d v="2026-03-04T00:00:00"/>
    <s v="BR CO-B SNICKERS 6 1.5QT"/>
    <x v="12"/>
    <n v="8.5199999999999998E-3"/>
    <n v="176"/>
    <x v="0"/>
    <x v="0"/>
    <n v="1"/>
    <n v="4224"/>
    <n v="35.988479999999996"/>
    <n v="24"/>
    <s v="Mar"/>
    <x v="11"/>
    <m/>
    <m/>
  </r>
  <r>
    <n v="64341968"/>
    <x v="0"/>
    <n v="9338"/>
    <d v="2026-03-05T00:00:00"/>
    <s v="BR CO-B SNICKERS 6 1.5QT"/>
    <x v="12"/>
    <n v="8.5199999999999998E-3"/>
    <n v="176"/>
    <x v="0"/>
    <x v="0"/>
    <n v="1"/>
    <n v="9338"/>
    <n v="79.559759999999997"/>
    <n v="53.05681818181818"/>
    <s v="Mar"/>
    <x v="11"/>
    <m/>
    <m/>
  </r>
  <r>
    <n v="64341968"/>
    <x v="0"/>
    <n v="1523"/>
    <d v="2026-03-05T00:00:00"/>
    <s v="BR CO-B SNICKERS 6 1.5QT"/>
    <x v="12"/>
    <n v="8.5199999999999998E-3"/>
    <n v="176"/>
    <x v="0"/>
    <x v="0"/>
    <n v="1"/>
    <n v="1523"/>
    <n v="12.975959999999999"/>
    <n v="8.6534090909090917"/>
    <s v="Mar"/>
    <x v="11"/>
    <m/>
    <m/>
  </r>
  <r>
    <n v="64341968"/>
    <x v="0"/>
    <n v="8487"/>
    <d v="2026-03-06T00:00:00"/>
    <s v="BR CO-B SNICKERS 6 1.5QT"/>
    <x v="12"/>
    <n v="8.5199999999999998E-3"/>
    <n v="176"/>
    <x v="0"/>
    <x v="0"/>
    <n v="1"/>
    <n v="8487"/>
    <n v="72.309240000000003"/>
    <n v="48.221590909090907"/>
    <s v="Mar"/>
    <x v="11"/>
    <m/>
    <m/>
  </r>
  <r>
    <n v="64341968"/>
    <x v="0"/>
    <n v="0"/>
    <d v="2026-02-26T00:00:00"/>
    <s v="BR CO-B SNICKERS 6 1.5QT"/>
    <x v="12"/>
    <n v="8.5199999999999998E-3"/>
    <n v="176"/>
    <x v="0"/>
    <x v="0"/>
    <n v="1"/>
    <n v="0"/>
    <n v="0"/>
    <n v="0"/>
    <s v="Feb"/>
    <x v="6"/>
    <m/>
    <m/>
  </r>
  <r>
    <n v="64341968"/>
    <x v="0"/>
    <n v="1185"/>
    <d v="2026-03-15T00:00:00"/>
    <s v="BR CO-B SNICKERS 6 1.5QT"/>
    <x v="12"/>
    <n v="8.5199999999999998E-3"/>
    <n v="176"/>
    <x v="0"/>
    <x v="0"/>
    <n v="1"/>
    <n v="1185"/>
    <n v="10.0962"/>
    <n v="6.7329545454545459"/>
    <s v="Mar"/>
    <x v="9"/>
    <m/>
    <m/>
  </r>
  <r>
    <n v="64341968"/>
    <x v="0"/>
    <n v="4375"/>
    <d v="2026-03-15T00:00:00"/>
    <s v="BR CO-B SNICKERS 6 1.5QT"/>
    <x v="12"/>
    <n v="8.5199999999999998E-3"/>
    <n v="176"/>
    <x v="0"/>
    <x v="0"/>
    <n v="1"/>
    <n v="4375"/>
    <n v="37.274999999999999"/>
    <n v="24.857954545454547"/>
    <s v="Mar"/>
    <x v="9"/>
    <m/>
    <m/>
  </r>
  <r>
    <n v="64341968"/>
    <x v="0"/>
    <n v="4160"/>
    <d v="2026-03-16T00:00:00"/>
    <s v="BR CO-B SNICKERS 6 1.5QT"/>
    <x v="12"/>
    <n v="8.5199999999999998E-3"/>
    <n v="176"/>
    <x v="0"/>
    <x v="0"/>
    <n v="1"/>
    <n v="4160"/>
    <n v="35.443199999999997"/>
    <n v="23.636363636363637"/>
    <s v="Mar"/>
    <x v="9"/>
    <m/>
    <m/>
  </r>
  <r>
    <n v="64341968"/>
    <x v="0"/>
    <n v="3872"/>
    <d v="2026-03-16T00:00:00"/>
    <s v="BR CO-B SNICKERS 6 1.5QT"/>
    <x v="12"/>
    <n v="8.5199999999999998E-3"/>
    <n v="176"/>
    <x v="0"/>
    <x v="0"/>
    <n v="1"/>
    <n v="3872"/>
    <n v="32.989440000000002"/>
    <n v="22"/>
    <s v="Mar"/>
    <x v="9"/>
    <m/>
    <m/>
  </r>
  <r>
    <n v="64341968"/>
    <x v="0"/>
    <n v="8294"/>
    <d v="2026-03-17T00:00:00"/>
    <s v="BR CO-B SNICKERS 6 1.5QT"/>
    <x v="12"/>
    <n v="8.5199999999999998E-3"/>
    <n v="176"/>
    <x v="0"/>
    <x v="0"/>
    <n v="1"/>
    <n v="8294"/>
    <n v="70.664879999999997"/>
    <n v="47.125"/>
    <s v="Mar"/>
    <x v="9"/>
    <m/>
    <m/>
  </r>
  <r>
    <n v="64341968"/>
    <x v="0"/>
    <n v="5280"/>
    <d v="2026-03-17T00:00:00"/>
    <s v="BR CO-B SNICKERS 6 1.5QT"/>
    <x v="12"/>
    <n v="8.5199999999999998E-3"/>
    <n v="176"/>
    <x v="0"/>
    <x v="0"/>
    <n v="1"/>
    <n v="5280"/>
    <n v="44.985599999999998"/>
    <n v="30"/>
    <s v="Mar"/>
    <x v="9"/>
    <m/>
    <m/>
  </r>
  <r>
    <n v="64341968"/>
    <x v="0"/>
    <n v="6211"/>
    <d v="2026-03-18T00:00:00"/>
    <s v="BR CO-B SNICKERS 6 1.5QT"/>
    <x v="12"/>
    <n v="8.5199999999999998E-3"/>
    <n v="176"/>
    <x v="0"/>
    <x v="0"/>
    <n v="1"/>
    <n v="6211"/>
    <n v="52.917719999999996"/>
    <n v="35.289772727272727"/>
    <s v="Mar"/>
    <x v="9"/>
    <m/>
    <m/>
  </r>
  <r>
    <n v="64341968"/>
    <x v="0"/>
    <n v="4707"/>
    <d v="2026-03-18T00:00:00"/>
    <s v="BR CO-B SNICKERS 6 1.5QT"/>
    <x v="12"/>
    <n v="8.5199999999999998E-3"/>
    <n v="176"/>
    <x v="0"/>
    <x v="0"/>
    <n v="1"/>
    <n v="4707"/>
    <n v="40.103639999999999"/>
    <n v="26.744318181818183"/>
    <s v="Mar"/>
    <x v="9"/>
    <m/>
    <m/>
  </r>
  <r>
    <n v="64341968"/>
    <x v="0"/>
    <n v="6151"/>
    <d v="2026-03-19T00:00:00"/>
    <s v="BR CO-B SNICKERS 6 1.5QT"/>
    <x v="12"/>
    <n v="8.5199999999999998E-3"/>
    <n v="176"/>
    <x v="0"/>
    <x v="0"/>
    <n v="1"/>
    <n v="6151"/>
    <n v="52.40652"/>
    <n v="34.948863636363633"/>
    <s v="Mar"/>
    <x v="9"/>
    <m/>
    <m/>
  </r>
  <r>
    <n v="64341968"/>
    <x v="0"/>
    <n v="4072"/>
    <d v="2026-03-20T00:00:00"/>
    <s v="BR CO-B SNICKERS 6 1.5QT"/>
    <x v="12"/>
    <n v="8.5199999999999998E-3"/>
    <n v="176"/>
    <x v="0"/>
    <x v="0"/>
    <n v="1"/>
    <n v="4072"/>
    <n v="34.693440000000002"/>
    <n v="23.136363636363637"/>
    <s v="Mar"/>
    <x v="9"/>
    <m/>
    <m/>
  </r>
  <r>
    <n v="64341968"/>
    <x v="0"/>
    <n v="1149"/>
    <d v="2026-03-20T00:00:00"/>
    <s v="BR CO-B SNICKERS 6 1.5QT"/>
    <x v="12"/>
    <n v="8.5199999999999998E-3"/>
    <n v="176"/>
    <x v="0"/>
    <x v="0"/>
    <n v="1"/>
    <n v="1149"/>
    <n v="9.7894799999999993"/>
    <n v="6.5284090909090908"/>
    <s v="Mar"/>
    <x v="9"/>
    <m/>
    <m/>
  </r>
  <r>
    <n v="64399865"/>
    <x v="0"/>
    <n v="1690"/>
    <d v="2026-03-16T00:00:00"/>
    <s v="BR Smores Bar 8-6PK"/>
    <x v="15"/>
    <n v="4.2560000000000002E-3"/>
    <n v="154"/>
    <x v="7"/>
    <x v="8"/>
    <n v="1"/>
    <n v="1690"/>
    <n v="7.1926400000000008"/>
    <n v="10.974025974025974"/>
    <s v="Mar"/>
    <x v="9"/>
    <m/>
    <m/>
  </r>
  <r>
    <n v="64399865"/>
    <x v="0"/>
    <n v="2091"/>
    <d v="2026-03-17T00:00:00"/>
    <s v="BR Smores Bar 8-6PK"/>
    <x v="15"/>
    <n v="4.2560000000000002E-3"/>
    <n v="154"/>
    <x v="7"/>
    <x v="8"/>
    <n v="1"/>
    <n v="2091"/>
    <n v="8.8992959999999997"/>
    <n v="13.577922077922079"/>
    <s v="Mar"/>
    <x v="9"/>
    <m/>
    <m/>
  </r>
  <r>
    <n v="64399865"/>
    <x v="0"/>
    <n v="1848"/>
    <d v="2026-03-17T00:00:00"/>
    <s v="BR Smores Bar 8-6PK"/>
    <x v="15"/>
    <n v="4.2560000000000002E-3"/>
    <n v="154"/>
    <x v="7"/>
    <x v="8"/>
    <n v="1"/>
    <n v="1848"/>
    <n v="7.8650880000000001"/>
    <n v="12"/>
    <s v="Mar"/>
    <x v="9"/>
    <m/>
    <m/>
  </r>
  <r>
    <n v="64399865"/>
    <x v="0"/>
    <n v="1687"/>
    <d v="2026-03-18T00:00:00"/>
    <s v="BR Smores Bar 8-6PK"/>
    <x v="15"/>
    <n v="4.2560000000000002E-3"/>
    <n v="154"/>
    <x v="7"/>
    <x v="8"/>
    <n v="1"/>
    <n v="1687"/>
    <n v="7.1798720000000005"/>
    <n v="10.954545454545455"/>
    <s v="Mar"/>
    <x v="9"/>
    <m/>
    <m/>
  </r>
  <r>
    <n v="64399865"/>
    <x v="0"/>
    <n v="1692"/>
    <d v="2026-03-18T00:00:00"/>
    <s v="BR Smores Bar 8-6PK"/>
    <x v="15"/>
    <n v="4.2560000000000002E-3"/>
    <n v="154"/>
    <x v="7"/>
    <x v="8"/>
    <n v="1"/>
    <n v="1692"/>
    <n v="7.2011520000000004"/>
    <n v="10.987012987012987"/>
    <s v="Mar"/>
    <x v="9"/>
    <m/>
    <m/>
  </r>
  <r>
    <n v="64399865"/>
    <x v="0"/>
    <n v="2464"/>
    <d v="2026-03-19T00:00:00"/>
    <s v="BR Smores Bar 8-6PK"/>
    <x v="15"/>
    <n v="4.2560000000000002E-3"/>
    <n v="154"/>
    <x v="7"/>
    <x v="8"/>
    <n v="1"/>
    <n v="2464"/>
    <n v="10.486784"/>
    <n v="16"/>
    <s v="Mar"/>
    <x v="9"/>
    <m/>
    <m/>
  </r>
  <r>
    <n v="64399865"/>
    <x v="0"/>
    <n v="2152"/>
    <d v="2026-03-19T00:00:00"/>
    <s v="BR Smores Bar 8-6PK"/>
    <x v="15"/>
    <n v="4.2560000000000002E-3"/>
    <n v="154"/>
    <x v="7"/>
    <x v="8"/>
    <n v="1"/>
    <n v="2152"/>
    <n v="9.1589120000000008"/>
    <n v="13.974025974025974"/>
    <s v="Mar"/>
    <x v="9"/>
    <m/>
    <m/>
  </r>
  <r>
    <n v="64399865"/>
    <x v="0"/>
    <n v="99"/>
    <d v="2026-03-20T00:00:00"/>
    <s v="BR Smores Bar 8-6PK"/>
    <x v="15"/>
    <n v="4.2560000000000002E-3"/>
    <n v="154"/>
    <x v="7"/>
    <x v="8"/>
    <n v="1"/>
    <n v="99"/>
    <n v="0.421344"/>
    <n v="0.6428571428571429"/>
    <s v="Mar"/>
    <x v="9"/>
    <m/>
    <m/>
  </r>
  <r>
    <n v="64399865"/>
    <x v="0"/>
    <n v="1"/>
    <d v="2026-03-24T00:00:00"/>
    <s v="BR Smores Bar 8-6PK"/>
    <x v="15"/>
    <n v="4.2560000000000002E-3"/>
    <n v="154"/>
    <x v="7"/>
    <x v="8"/>
    <n v="1"/>
    <n v="1"/>
    <n v="4.2560000000000002E-3"/>
    <n v="6.4935064935064939E-3"/>
    <s v="Mar"/>
    <x v="10"/>
    <m/>
    <m/>
  </r>
  <r>
    <n v="64776952"/>
    <x v="0"/>
    <n v="1560"/>
    <d v="2026-02-27T00:00:00"/>
    <s v="PS Firecracker 6-18PK"/>
    <x v="27"/>
    <n v="5.0940000000000004E-3"/>
    <n v="130"/>
    <x v="6"/>
    <x v="15"/>
    <n v="1"/>
    <n v="1560"/>
    <n v="7.9466400000000004"/>
    <n v="12"/>
    <s v="Feb"/>
    <x v="6"/>
    <m/>
    <m/>
  </r>
  <r>
    <n v="64776952"/>
    <x v="0"/>
    <n v="2669"/>
    <d v="2026-02-28T00:00:00"/>
    <s v="PS Firecracker 6-18PK"/>
    <x v="27"/>
    <n v="5.0940000000000004E-3"/>
    <n v="130"/>
    <x v="6"/>
    <x v="15"/>
    <n v="1"/>
    <n v="2669"/>
    <n v="13.595886000000002"/>
    <n v="20.530769230769231"/>
    <s v="Feb"/>
    <x v="6"/>
    <m/>
    <m/>
  </r>
  <r>
    <n v="64776952"/>
    <x v="0"/>
    <n v="1300"/>
    <d v="2026-02-24T00:00:00"/>
    <s v="PS Firecracker 6-18PK"/>
    <x v="27"/>
    <n v="5.0940000000000004E-3"/>
    <n v="130"/>
    <x v="6"/>
    <x v="15"/>
    <n v="1"/>
    <n v="1300"/>
    <n v="6.6222000000000003"/>
    <n v="10"/>
    <s v="Feb"/>
    <x v="6"/>
    <m/>
    <m/>
  </r>
  <r>
    <n v="64776952"/>
    <x v="0"/>
    <n v="910"/>
    <d v="2026-02-25T00:00:00"/>
    <s v="PS Firecracker 6-18PK"/>
    <x v="27"/>
    <n v="5.0940000000000004E-3"/>
    <n v="130"/>
    <x v="6"/>
    <x v="15"/>
    <n v="1"/>
    <n v="910"/>
    <n v="4.6355400000000007"/>
    <n v="7"/>
    <s v="Feb"/>
    <x v="6"/>
    <m/>
    <m/>
  </r>
  <r>
    <n v="64776952"/>
    <x v="0"/>
    <n v="520"/>
    <d v="2026-02-25T00:00:00"/>
    <s v="PS Firecracker 6-18PK"/>
    <x v="27"/>
    <n v="5.0940000000000004E-3"/>
    <n v="130"/>
    <x v="6"/>
    <x v="15"/>
    <n v="1"/>
    <n v="520"/>
    <n v="2.6488800000000001"/>
    <n v="4"/>
    <s v="Feb"/>
    <x v="6"/>
    <m/>
    <m/>
  </r>
  <r>
    <n v="64776952"/>
    <x v="0"/>
    <n v="1872"/>
    <d v="2026-02-26T00:00:00"/>
    <s v="PS Firecracker 6-18PK"/>
    <x v="27"/>
    <n v="5.0940000000000004E-3"/>
    <n v="130"/>
    <x v="6"/>
    <x v="15"/>
    <n v="1"/>
    <n v="1872"/>
    <n v="9.5359680000000004"/>
    <n v="14.4"/>
    <s v="Feb"/>
    <x v="6"/>
    <m/>
    <m/>
  </r>
  <r>
    <n v="64776952"/>
    <x v="0"/>
    <n v="910"/>
    <d v="2026-02-26T00:00:00"/>
    <s v="PS Firecracker 6-18PK"/>
    <x v="27"/>
    <n v="5.0940000000000004E-3"/>
    <n v="130"/>
    <x v="6"/>
    <x v="15"/>
    <n v="1"/>
    <n v="910"/>
    <n v="4.6355400000000007"/>
    <n v="7"/>
    <s v="Feb"/>
    <x v="6"/>
    <m/>
    <m/>
  </r>
  <r>
    <n v="64776952"/>
    <x v="0"/>
    <n v="2274"/>
    <d v="2026-02-27T00:00:00"/>
    <s v="PS Firecracker 6-18PK"/>
    <x v="27"/>
    <n v="5.0940000000000004E-3"/>
    <n v="130"/>
    <x v="6"/>
    <x v="15"/>
    <n v="1"/>
    <n v="2274"/>
    <n v="11.583756000000001"/>
    <n v="17.492307692307691"/>
    <s v="Feb"/>
    <x v="6"/>
    <m/>
    <m/>
  </r>
  <r>
    <n v="64776952"/>
    <x v="0"/>
    <n v="997"/>
    <d v="2026-02-24T00:00:00"/>
    <s v="PS Firecracker 6-18PK"/>
    <x v="27"/>
    <n v="5.0940000000000004E-3"/>
    <n v="130"/>
    <x v="6"/>
    <x v="15"/>
    <n v="1"/>
    <n v="997"/>
    <n v="5.0787180000000003"/>
    <n v="7.6692307692307695"/>
    <s v="Feb"/>
    <x v="6"/>
    <m/>
    <m/>
  </r>
  <r>
    <n v="64776952"/>
    <x v="0"/>
    <n v="780"/>
    <d v="2026-03-02T00:00:00"/>
    <s v="PS Firecracker 6-18PK"/>
    <x v="27"/>
    <n v="5.0940000000000004E-3"/>
    <n v="130"/>
    <x v="6"/>
    <x v="15"/>
    <n v="1"/>
    <n v="780"/>
    <n v="3.9733200000000002"/>
    <n v="6"/>
    <s v="Mar"/>
    <x v="11"/>
    <m/>
    <m/>
  </r>
  <r>
    <n v="64776952"/>
    <x v="0"/>
    <n v="2587"/>
    <d v="2026-03-03T00:00:00"/>
    <s v="PS Firecracker 6-18PK"/>
    <x v="27"/>
    <n v="5.0940000000000004E-3"/>
    <n v="130"/>
    <x v="6"/>
    <x v="15"/>
    <n v="1"/>
    <n v="2587"/>
    <n v="13.178178000000001"/>
    <n v="19.899999999999999"/>
    <s v="Mar"/>
    <x v="11"/>
    <m/>
    <m/>
  </r>
  <r>
    <n v="64776952"/>
    <x v="0"/>
    <n v="130"/>
    <d v="2026-03-24T00:00:00"/>
    <s v="PS Firecracker 6-18PK"/>
    <x v="27"/>
    <n v="5.0940000000000004E-3"/>
    <n v="130"/>
    <x v="6"/>
    <x v="15"/>
    <n v="1"/>
    <n v="130"/>
    <n v="0.66222000000000003"/>
    <n v="1"/>
    <s v="Mar"/>
    <x v="10"/>
    <m/>
    <m/>
  </r>
  <r>
    <n v="64776952"/>
    <x v="0"/>
    <n v="1430"/>
    <d v="2026-03-03T00:00:00"/>
    <s v="PS Firecracker 6-18PK"/>
    <x v="27"/>
    <n v="5.0940000000000004E-3"/>
    <n v="130"/>
    <x v="6"/>
    <x v="15"/>
    <n v="1"/>
    <n v="1430"/>
    <n v="7.2844200000000008"/>
    <n v="11"/>
    <s v="Mar"/>
    <x v="11"/>
    <m/>
    <m/>
  </r>
  <r>
    <n v="64776952"/>
    <x v="0"/>
    <n v="1814"/>
    <d v="2026-03-04T00:00:00"/>
    <s v="PS Firecracker 6-18PK"/>
    <x v="27"/>
    <n v="5.0940000000000004E-3"/>
    <n v="130"/>
    <x v="6"/>
    <x v="15"/>
    <n v="1"/>
    <n v="1814"/>
    <n v="9.2405160000000013"/>
    <n v="13.953846153846154"/>
    <s v="Mar"/>
    <x v="11"/>
    <m/>
    <m/>
  </r>
  <r>
    <n v="64776952"/>
    <x v="0"/>
    <n v="1300"/>
    <d v="2026-03-04T00:00:00"/>
    <s v="PS Firecracker 6-18PK"/>
    <x v="27"/>
    <n v="5.0940000000000004E-3"/>
    <n v="130"/>
    <x v="6"/>
    <x v="15"/>
    <n v="1"/>
    <n v="1300"/>
    <n v="6.6222000000000003"/>
    <n v="10"/>
    <s v="Mar"/>
    <x v="11"/>
    <m/>
    <m/>
  </r>
  <r>
    <n v="64776952"/>
    <x v="0"/>
    <n v="2704"/>
    <d v="2026-03-05T00:00:00"/>
    <s v="PS Firecracker 6-18PK"/>
    <x v="27"/>
    <n v="5.0940000000000004E-3"/>
    <n v="130"/>
    <x v="6"/>
    <x v="15"/>
    <n v="1"/>
    <n v="2704"/>
    <n v="13.774176000000001"/>
    <n v="20.8"/>
    <s v="Mar"/>
    <x v="11"/>
    <m/>
    <m/>
  </r>
  <r>
    <n v="64776952"/>
    <x v="0"/>
    <n v="1560"/>
    <d v="2026-03-05T00:00:00"/>
    <s v="PS Firecracker 6-18PK"/>
    <x v="27"/>
    <n v="5.0940000000000004E-3"/>
    <n v="130"/>
    <x v="6"/>
    <x v="15"/>
    <n v="1"/>
    <n v="1560"/>
    <n v="7.9466400000000004"/>
    <n v="12"/>
    <s v="Mar"/>
    <x v="11"/>
    <m/>
    <m/>
  </r>
  <r>
    <n v="64776952"/>
    <x v="0"/>
    <n v="2210"/>
    <d v="2026-03-06T00:00:00"/>
    <s v="PS Firecracker 6-18PK"/>
    <x v="27"/>
    <n v="5.0940000000000004E-3"/>
    <n v="130"/>
    <x v="6"/>
    <x v="15"/>
    <n v="1"/>
    <n v="2210"/>
    <n v="11.25774"/>
    <n v="17"/>
    <s v="Mar"/>
    <x v="11"/>
    <m/>
    <m/>
  </r>
  <r>
    <n v="64776952"/>
    <x v="0"/>
    <n v="1560"/>
    <d v="2026-03-06T00:00:00"/>
    <s v="PS Firecracker 6-18PK"/>
    <x v="27"/>
    <n v="5.0940000000000004E-3"/>
    <n v="130"/>
    <x v="6"/>
    <x v="15"/>
    <n v="1"/>
    <n v="1560"/>
    <n v="7.9466400000000004"/>
    <n v="12"/>
    <s v="Mar"/>
    <x v="11"/>
    <m/>
    <m/>
  </r>
  <r>
    <n v="64776952"/>
    <x v="0"/>
    <n v="2571"/>
    <d v="2026-03-07T00:00:00"/>
    <s v="PS Firecracker 6-18PK"/>
    <x v="27"/>
    <n v="5.0940000000000004E-3"/>
    <n v="130"/>
    <x v="6"/>
    <x v="15"/>
    <n v="1"/>
    <n v="2571"/>
    <n v="13.096674000000002"/>
    <n v="19.776923076923076"/>
    <s v="Mar"/>
    <x v="11"/>
    <m/>
    <m/>
  </r>
  <r>
    <n v="64776952"/>
    <x v="0"/>
    <n v="1170"/>
    <d v="2026-03-23T00:00:00"/>
    <s v="PS Firecracker 6-18PK"/>
    <x v="27"/>
    <n v="5.0940000000000004E-3"/>
    <n v="130"/>
    <x v="6"/>
    <x v="15"/>
    <n v="1"/>
    <n v="1170"/>
    <n v="5.9599800000000007"/>
    <n v="9"/>
    <s v="Mar"/>
    <x v="10"/>
    <m/>
    <m/>
  </r>
  <r>
    <n v="64776952"/>
    <x v="0"/>
    <n v="427"/>
    <d v="2026-03-24T00:00:00"/>
    <s v="PS Firecracker 6-18PK"/>
    <x v="27"/>
    <n v="5.0940000000000004E-3"/>
    <n v="130"/>
    <x v="6"/>
    <x v="15"/>
    <n v="1"/>
    <n v="427"/>
    <n v="2.175138"/>
    <n v="3.2846153846153845"/>
    <s v="Mar"/>
    <x v="10"/>
    <m/>
    <m/>
  </r>
  <r>
    <n v="64776952"/>
    <x v="0"/>
    <n v="1170"/>
    <d v="2026-03-24T00:00:00"/>
    <s v="PS Firecracker 6-18PK"/>
    <x v="27"/>
    <n v="5.0940000000000004E-3"/>
    <n v="130"/>
    <x v="6"/>
    <x v="15"/>
    <n v="1"/>
    <n v="1170"/>
    <n v="5.9599800000000007"/>
    <n v="9"/>
    <s v="Mar"/>
    <x v="10"/>
    <m/>
    <m/>
  </r>
  <r>
    <n v="64776954"/>
    <x v="0"/>
    <n v="390"/>
    <d v="2026-03-02T00:00:00"/>
    <s v="PS Scribblers Natural 6-18PK"/>
    <x v="29"/>
    <n v="3.8340000000000002E-3"/>
    <n v="130"/>
    <x v="6"/>
    <x v="15"/>
    <n v="1"/>
    <n v="390"/>
    <n v="1.49526"/>
    <n v="3"/>
    <s v="Mar"/>
    <x v="11"/>
    <m/>
    <m/>
  </r>
  <r>
    <n v="64776954"/>
    <x v="0"/>
    <n v="3314"/>
    <d v="2026-03-03T00:00:00"/>
    <s v="PS Scribblers Natural 6-18PK"/>
    <x v="29"/>
    <n v="3.8340000000000002E-3"/>
    <n v="130"/>
    <x v="6"/>
    <x v="15"/>
    <n v="1"/>
    <n v="3314"/>
    <n v="12.705876"/>
    <n v="25.492307692307691"/>
    <s v="Mar"/>
    <x v="11"/>
    <m/>
    <m/>
  </r>
  <r>
    <n v="64776954"/>
    <x v="0"/>
    <n v="1560"/>
    <d v="2026-03-03T00:00:00"/>
    <s v="PS Scribblers Natural 6-18PK"/>
    <x v="29"/>
    <n v="3.8340000000000002E-3"/>
    <n v="130"/>
    <x v="6"/>
    <x v="15"/>
    <n v="1"/>
    <n v="1560"/>
    <n v="5.9810400000000001"/>
    <n v="12"/>
    <s v="Mar"/>
    <x v="11"/>
    <m/>
    <m/>
  </r>
  <r>
    <n v="64776954"/>
    <x v="0"/>
    <n v="1683"/>
    <d v="2026-03-04T00:00:00"/>
    <s v="PS Scribblers Natural 6-18PK"/>
    <x v="29"/>
    <n v="3.8340000000000002E-3"/>
    <n v="130"/>
    <x v="6"/>
    <x v="15"/>
    <n v="1"/>
    <n v="1683"/>
    <n v="6.4526219999999999"/>
    <n v="12.946153846153846"/>
    <s v="Mar"/>
    <x v="11"/>
    <m/>
    <m/>
  </r>
  <r>
    <n v="64776954"/>
    <x v="0"/>
    <n v="1040"/>
    <d v="2026-03-04T00:00:00"/>
    <s v="PS Scribblers Natural 6-18PK"/>
    <x v="29"/>
    <n v="3.8340000000000002E-3"/>
    <n v="130"/>
    <x v="6"/>
    <x v="15"/>
    <n v="1"/>
    <n v="1040"/>
    <n v="3.9873600000000002"/>
    <n v="8"/>
    <s v="Mar"/>
    <x v="11"/>
    <m/>
    <m/>
  </r>
  <r>
    <n v="64776954"/>
    <x v="0"/>
    <n v="3141"/>
    <d v="2026-03-05T00:00:00"/>
    <s v="PS Scribblers Natural 6-18PK"/>
    <x v="29"/>
    <n v="3.8340000000000002E-3"/>
    <n v="130"/>
    <x v="6"/>
    <x v="15"/>
    <n v="1"/>
    <n v="3141"/>
    <n v="12.042594000000001"/>
    <n v="24.161538461538463"/>
    <s v="Mar"/>
    <x v="11"/>
    <m/>
    <m/>
  </r>
  <r>
    <n v="64776954"/>
    <x v="0"/>
    <n v="1430"/>
    <d v="2026-03-05T00:00:00"/>
    <s v="PS Scribblers Natural 6-18PK"/>
    <x v="29"/>
    <n v="3.8340000000000002E-3"/>
    <n v="130"/>
    <x v="6"/>
    <x v="15"/>
    <n v="1"/>
    <n v="1430"/>
    <n v="5.4826199999999998"/>
    <n v="11"/>
    <s v="Mar"/>
    <x v="11"/>
    <m/>
    <m/>
  </r>
  <r>
    <n v="64776954"/>
    <x v="0"/>
    <n v="2728"/>
    <d v="2026-03-06T00:00:00"/>
    <s v="PS Scribblers Natural 6-18PK"/>
    <x v="29"/>
    <n v="3.8340000000000002E-3"/>
    <n v="130"/>
    <x v="6"/>
    <x v="15"/>
    <n v="1"/>
    <n v="2728"/>
    <n v="10.459152000000001"/>
    <n v="20.984615384615385"/>
    <s v="Mar"/>
    <x v="11"/>
    <m/>
    <m/>
  </r>
  <r>
    <n v="64776954"/>
    <x v="0"/>
    <n v="1430"/>
    <d v="2026-03-06T00:00:00"/>
    <s v="PS Scribblers Natural 6-18PK"/>
    <x v="29"/>
    <n v="3.8340000000000002E-3"/>
    <n v="130"/>
    <x v="6"/>
    <x v="15"/>
    <n v="1"/>
    <n v="1430"/>
    <n v="5.4826199999999998"/>
    <n v="11"/>
    <s v="Mar"/>
    <x v="11"/>
    <m/>
    <m/>
  </r>
  <r>
    <n v="64776954"/>
    <x v="0"/>
    <n v="2178"/>
    <d v="2026-03-07T00:00:00"/>
    <s v="PS Scribblers Natural 6-18PK"/>
    <x v="29"/>
    <n v="3.8340000000000002E-3"/>
    <n v="130"/>
    <x v="6"/>
    <x v="15"/>
    <n v="1"/>
    <n v="2178"/>
    <n v="8.3504520000000007"/>
    <n v="16.753846153846155"/>
    <s v="Mar"/>
    <x v="11"/>
    <m/>
    <m/>
  </r>
  <r>
    <n v="64776954"/>
    <x v="0"/>
    <n v="1690"/>
    <d v="2026-03-09T00:00:00"/>
    <s v="PS Scribblers Natural 6-18PK"/>
    <x v="29"/>
    <n v="3.8340000000000002E-3"/>
    <n v="130"/>
    <x v="6"/>
    <x v="15"/>
    <n v="1"/>
    <n v="1690"/>
    <n v="6.4794600000000004"/>
    <n v="13"/>
    <s v="Mar"/>
    <x v="12"/>
    <m/>
    <m/>
  </r>
  <r>
    <n v="64776954"/>
    <x v="0"/>
    <n v="1766"/>
    <d v="2026-03-10T00:00:00"/>
    <s v="PS Scribblers Natural 6-18PK"/>
    <x v="29"/>
    <n v="3.8340000000000002E-3"/>
    <n v="130"/>
    <x v="6"/>
    <x v="15"/>
    <n v="1"/>
    <n v="1766"/>
    <n v="6.7708440000000003"/>
    <n v="13.584615384615384"/>
    <s v="Mar"/>
    <x v="12"/>
    <m/>
    <m/>
  </r>
  <r>
    <n v="64776954"/>
    <x v="0"/>
    <n v="2080"/>
    <d v="2026-03-10T00:00:00"/>
    <s v="PS Scribblers Natural 6-18PK"/>
    <x v="29"/>
    <n v="3.8340000000000002E-3"/>
    <n v="130"/>
    <x v="6"/>
    <x v="15"/>
    <n v="1"/>
    <n v="2080"/>
    <n v="7.9747200000000005"/>
    <n v="16"/>
    <s v="Mar"/>
    <x v="12"/>
    <m/>
    <m/>
  </r>
  <r>
    <n v="64776954"/>
    <x v="0"/>
    <n v="2436"/>
    <d v="2026-03-11T00:00:00"/>
    <s v="PS Scribblers Natural 6-18PK"/>
    <x v="29"/>
    <n v="3.8340000000000002E-3"/>
    <n v="130"/>
    <x v="6"/>
    <x v="15"/>
    <n v="1"/>
    <n v="2436"/>
    <n v="9.3396240000000006"/>
    <n v="18.738461538461539"/>
    <s v="Mar"/>
    <x v="12"/>
    <m/>
    <m/>
  </r>
  <r>
    <n v="64776954"/>
    <x v="0"/>
    <n v="1560"/>
    <d v="2026-03-11T00:00:00"/>
    <s v="PS Scribblers Natural 6-18PK"/>
    <x v="29"/>
    <n v="3.8340000000000002E-3"/>
    <n v="130"/>
    <x v="6"/>
    <x v="15"/>
    <n v="1"/>
    <n v="1560"/>
    <n v="5.9810400000000001"/>
    <n v="12"/>
    <s v="Mar"/>
    <x v="12"/>
    <m/>
    <m/>
  </r>
  <r>
    <n v="64776954"/>
    <x v="0"/>
    <n v="2696"/>
    <d v="2026-03-12T00:00:00"/>
    <s v="PS Scribblers Natural 6-18PK"/>
    <x v="29"/>
    <n v="3.8340000000000002E-3"/>
    <n v="130"/>
    <x v="6"/>
    <x v="15"/>
    <n v="1"/>
    <n v="2696"/>
    <n v="10.336464000000001"/>
    <n v="20.738461538461539"/>
    <s v="Mar"/>
    <x v="12"/>
    <m/>
    <m/>
  </r>
  <r>
    <n v="64776954"/>
    <x v="0"/>
    <n v="1560"/>
    <d v="2026-03-12T00:00:00"/>
    <s v="PS Scribblers Natural 6-18PK"/>
    <x v="29"/>
    <n v="3.8340000000000002E-3"/>
    <n v="130"/>
    <x v="6"/>
    <x v="15"/>
    <n v="1"/>
    <n v="1560"/>
    <n v="5.9810400000000001"/>
    <n v="12"/>
    <s v="Mar"/>
    <x v="12"/>
    <m/>
    <m/>
  </r>
  <r>
    <n v="64776954"/>
    <x v="0"/>
    <n v="2360"/>
    <d v="2026-03-13T00:00:00"/>
    <s v="PS Scribblers Natural 6-18PK"/>
    <x v="29"/>
    <n v="3.8340000000000002E-3"/>
    <n v="130"/>
    <x v="6"/>
    <x v="15"/>
    <n v="1"/>
    <n v="2360"/>
    <n v="9.0482399999999998"/>
    <n v="18.153846153846153"/>
    <s v="Mar"/>
    <x v="12"/>
    <m/>
    <m/>
  </r>
  <r>
    <n v="64776954"/>
    <x v="0"/>
    <n v="130"/>
    <d v="2026-03-15T00:00:00"/>
    <s v="PS Scribblers Natural 6-18PK"/>
    <x v="29"/>
    <n v="3.8340000000000002E-3"/>
    <n v="130"/>
    <x v="6"/>
    <x v="15"/>
    <n v="1"/>
    <n v="130"/>
    <n v="0.49842000000000003"/>
    <n v="1"/>
    <s v="Mar"/>
    <x v="9"/>
    <m/>
    <m/>
  </r>
  <r>
    <n v="64776954"/>
    <x v="0"/>
    <n v="1040"/>
    <d v="2026-03-13T00:00:00"/>
    <s v="PS Scribblers Natural 6-18PK"/>
    <x v="29"/>
    <n v="3.8340000000000002E-3"/>
    <n v="130"/>
    <x v="6"/>
    <x v="15"/>
    <n v="1"/>
    <n v="1040"/>
    <n v="3.9873600000000002"/>
    <n v="8"/>
    <s v="Mar"/>
    <x v="12"/>
    <m/>
    <m/>
  </r>
  <r>
    <n v="64776954"/>
    <x v="0"/>
    <n v="1395"/>
    <d v="2026-03-14T00:00:00"/>
    <s v="PS Scribblers Natural 6-18PK"/>
    <x v="29"/>
    <n v="3.8340000000000002E-3"/>
    <n v="130"/>
    <x v="6"/>
    <x v="15"/>
    <n v="1"/>
    <n v="1395"/>
    <n v="5.3484300000000005"/>
    <n v="10.73076923076923"/>
    <s v="Mar"/>
    <x v="12"/>
    <m/>
    <m/>
  </r>
  <r>
    <n v="64776954"/>
    <x v="0"/>
    <n v="650"/>
    <d v="2026-03-16T00:00:00"/>
    <s v="PS Scribblers Natural 6-18PK"/>
    <x v="29"/>
    <n v="3.8340000000000002E-3"/>
    <n v="130"/>
    <x v="6"/>
    <x v="15"/>
    <n v="1"/>
    <n v="650"/>
    <n v="2.4921000000000002"/>
    <n v="5"/>
    <s v="Mar"/>
    <x v="9"/>
    <m/>
    <m/>
  </r>
  <r>
    <n v="64776954"/>
    <x v="0"/>
    <n v="2384"/>
    <d v="2026-03-17T00:00:00"/>
    <s v="PS Scribblers Natural 6-18PK"/>
    <x v="29"/>
    <n v="3.8340000000000002E-3"/>
    <n v="130"/>
    <x v="6"/>
    <x v="15"/>
    <n v="1"/>
    <n v="2384"/>
    <n v="9.1402560000000008"/>
    <n v="18.338461538461537"/>
    <s v="Mar"/>
    <x v="9"/>
    <m/>
    <m/>
  </r>
  <r>
    <n v="64776954"/>
    <x v="0"/>
    <n v="2457"/>
    <d v="2026-03-17T00:00:00"/>
    <s v="PS Scribblers Natural 6-18PK"/>
    <x v="29"/>
    <n v="3.8340000000000002E-3"/>
    <n v="130"/>
    <x v="6"/>
    <x v="15"/>
    <n v="1"/>
    <n v="2457"/>
    <n v="9.4201379999999997"/>
    <n v="18.899999999999999"/>
    <s v="Mar"/>
    <x v="9"/>
    <m/>
    <m/>
  </r>
  <r>
    <n v="64776954"/>
    <x v="0"/>
    <n v="3022"/>
    <d v="2026-03-18T00:00:00"/>
    <s v="PS Scribblers Natural 6-18PK"/>
    <x v="29"/>
    <n v="3.8340000000000002E-3"/>
    <n v="130"/>
    <x v="6"/>
    <x v="15"/>
    <n v="1"/>
    <n v="3022"/>
    <n v="11.586348000000001"/>
    <n v="23.246153846153845"/>
    <s v="Mar"/>
    <x v="9"/>
    <m/>
    <m/>
  </r>
  <r>
    <n v="64776954"/>
    <x v="0"/>
    <n v="1690"/>
    <d v="2026-03-18T00:00:00"/>
    <s v="PS Scribblers Natural 6-18PK"/>
    <x v="29"/>
    <n v="3.8340000000000002E-3"/>
    <n v="130"/>
    <x v="6"/>
    <x v="15"/>
    <n v="1"/>
    <n v="1690"/>
    <n v="6.4794600000000004"/>
    <n v="13"/>
    <s v="Mar"/>
    <x v="9"/>
    <m/>
    <m/>
  </r>
  <r>
    <n v="64776954"/>
    <x v="0"/>
    <n v="2637"/>
    <d v="2026-03-19T00:00:00"/>
    <s v="PS Scribblers Natural 6-18PK"/>
    <x v="29"/>
    <n v="3.8340000000000002E-3"/>
    <n v="130"/>
    <x v="6"/>
    <x v="15"/>
    <n v="1"/>
    <n v="2637"/>
    <n v="10.110258"/>
    <n v="20.284615384615385"/>
    <s v="Mar"/>
    <x v="9"/>
    <m/>
    <m/>
  </r>
  <r>
    <n v="64776954"/>
    <x v="0"/>
    <n v="1820"/>
    <d v="2026-03-19T00:00:00"/>
    <s v="PS Scribblers Natural 6-18PK"/>
    <x v="29"/>
    <n v="3.8340000000000002E-3"/>
    <n v="130"/>
    <x v="6"/>
    <x v="15"/>
    <n v="1"/>
    <n v="1820"/>
    <n v="6.9778800000000007"/>
    <n v="14"/>
    <s v="Mar"/>
    <x v="9"/>
    <m/>
    <m/>
  </r>
  <r>
    <n v="64776954"/>
    <x v="0"/>
    <n v="3404"/>
    <d v="2026-03-20T00:00:00"/>
    <s v="PS Scribblers Natural 6-18PK"/>
    <x v="29"/>
    <n v="3.8340000000000002E-3"/>
    <n v="130"/>
    <x v="6"/>
    <x v="15"/>
    <n v="1"/>
    <n v="3404"/>
    <n v="13.050936"/>
    <n v="26.184615384615384"/>
    <s v="Mar"/>
    <x v="9"/>
    <m/>
    <m/>
  </r>
  <r>
    <n v="64776954"/>
    <x v="0"/>
    <n v="2470"/>
    <d v="2026-03-20T00:00:00"/>
    <s v="PS Scribblers Natural 6-18PK"/>
    <x v="29"/>
    <n v="3.8340000000000002E-3"/>
    <n v="130"/>
    <x v="6"/>
    <x v="15"/>
    <n v="1"/>
    <n v="2470"/>
    <n v="9.4699799999999996"/>
    <n v="19"/>
    <s v="Mar"/>
    <x v="9"/>
    <m/>
    <m/>
  </r>
  <r>
    <n v="64776954"/>
    <x v="0"/>
    <n v="355"/>
    <d v="2026-03-21T00:00:00"/>
    <s v="PS Scribblers Natural 6-18PK"/>
    <x v="29"/>
    <n v="3.8340000000000002E-3"/>
    <n v="130"/>
    <x v="6"/>
    <x v="15"/>
    <n v="1"/>
    <n v="355"/>
    <n v="1.36107"/>
    <n v="2.7307692307692308"/>
    <s v="Mar"/>
    <x v="9"/>
    <m/>
    <m/>
  </r>
  <r>
    <n v="64776954"/>
    <x v="0"/>
    <n v="1430"/>
    <d v="2026-03-23T00:00:00"/>
    <s v="PS Scribblers Natural 6-18PK"/>
    <x v="29"/>
    <n v="3.8340000000000002E-3"/>
    <n v="130"/>
    <x v="6"/>
    <x v="15"/>
    <n v="1"/>
    <n v="1430"/>
    <n v="5.4826199999999998"/>
    <n v="11"/>
    <s v="Mar"/>
    <x v="10"/>
    <m/>
    <m/>
  </r>
  <r>
    <n v="64776954"/>
    <x v="0"/>
    <n v="3007"/>
    <d v="2026-03-24T00:00:00"/>
    <s v="PS Scribblers Natural 6-18PK"/>
    <x v="29"/>
    <n v="3.8340000000000002E-3"/>
    <n v="130"/>
    <x v="6"/>
    <x v="15"/>
    <n v="1"/>
    <n v="3007"/>
    <n v="11.528838"/>
    <n v="23.130769230769232"/>
    <s v="Mar"/>
    <x v="10"/>
    <m/>
    <m/>
  </r>
  <r>
    <n v="64776954"/>
    <x v="0"/>
    <n v="2080"/>
    <d v="2026-03-24T00:00:00"/>
    <s v="PS Scribblers Natural 6-18PK"/>
    <x v="29"/>
    <n v="3.8340000000000002E-3"/>
    <n v="130"/>
    <x v="6"/>
    <x v="15"/>
    <n v="1"/>
    <n v="2080"/>
    <n v="7.9747200000000005"/>
    <n v="16"/>
    <s v="Mar"/>
    <x v="10"/>
    <m/>
    <m/>
  </r>
  <r>
    <n v="64786654"/>
    <x v="0"/>
    <n v="154"/>
    <d v="2026-02-23T00:00:00"/>
    <s v="GH Cookies and Creme Bar 8-6PK"/>
    <x v="15"/>
    <n v="3.8959999999999997E-3"/>
    <n v="154"/>
    <x v="7"/>
    <x v="8"/>
    <n v="1"/>
    <n v="154"/>
    <n v="0.59998399999999996"/>
    <n v="1"/>
    <s v="Feb"/>
    <x v="6"/>
    <m/>
    <m/>
  </r>
  <r>
    <n v="64786654"/>
    <x v="0"/>
    <n v="3201"/>
    <d v="2026-02-24T00:00:00"/>
    <s v="GH Cookies and Creme Bar 8-6PK"/>
    <x v="15"/>
    <n v="3.8959999999999997E-3"/>
    <n v="154"/>
    <x v="7"/>
    <x v="8"/>
    <n v="1"/>
    <n v="3201"/>
    <n v="12.471095999999999"/>
    <n v="20.785714285714285"/>
    <s v="Feb"/>
    <x v="6"/>
    <m/>
    <m/>
  </r>
  <r>
    <n v="64786654"/>
    <x v="0"/>
    <n v="1078"/>
    <d v="2026-02-24T00:00:00"/>
    <s v="GH Cookies and Creme Bar 8-6PK"/>
    <x v="15"/>
    <n v="3.8959999999999997E-3"/>
    <n v="154"/>
    <x v="7"/>
    <x v="8"/>
    <n v="1"/>
    <n v="1078"/>
    <n v="4.1998879999999996"/>
    <n v="7"/>
    <s v="Feb"/>
    <x v="6"/>
    <m/>
    <m/>
  </r>
  <r>
    <n v="64786654"/>
    <x v="0"/>
    <n v="2480"/>
    <d v="2026-02-25T00:00:00"/>
    <s v="GH Cookies and Creme Bar 8-6PK"/>
    <x v="15"/>
    <n v="3.8959999999999997E-3"/>
    <n v="154"/>
    <x v="7"/>
    <x v="8"/>
    <n v="1"/>
    <n v="2480"/>
    <n v="9.6620799999999996"/>
    <n v="16.103896103896105"/>
    <s v="Feb"/>
    <x v="6"/>
    <m/>
    <m/>
  </r>
  <r>
    <n v="64786654"/>
    <x v="0"/>
    <n v="1232"/>
    <d v="2026-02-25T00:00:00"/>
    <s v="GH Cookies and Creme Bar 8-6PK"/>
    <x v="15"/>
    <n v="3.8959999999999997E-3"/>
    <n v="154"/>
    <x v="7"/>
    <x v="8"/>
    <n v="1"/>
    <n v="1232"/>
    <n v="4.7998719999999997"/>
    <n v="8"/>
    <s v="Feb"/>
    <x v="6"/>
    <m/>
    <m/>
  </r>
  <r>
    <n v="64786654"/>
    <x v="0"/>
    <n v="2413"/>
    <d v="2026-02-26T00:00:00"/>
    <s v="GH Cookies and Creme Bar 8-6PK"/>
    <x v="15"/>
    <n v="3.8959999999999997E-3"/>
    <n v="154"/>
    <x v="7"/>
    <x v="8"/>
    <n v="1"/>
    <n v="2413"/>
    <n v="9.4010479999999994"/>
    <n v="15.668831168831169"/>
    <s v="Feb"/>
    <x v="6"/>
    <m/>
    <m/>
  </r>
  <r>
    <n v="64786654"/>
    <x v="0"/>
    <n v="1694"/>
    <d v="2026-02-26T00:00:00"/>
    <s v="GH Cookies and Creme Bar 8-6PK"/>
    <x v="15"/>
    <n v="3.8959999999999997E-3"/>
    <n v="154"/>
    <x v="7"/>
    <x v="8"/>
    <n v="1"/>
    <n v="1694"/>
    <n v="6.5998239999999999"/>
    <n v="11"/>
    <s v="Feb"/>
    <x v="6"/>
    <m/>
    <m/>
  </r>
  <r>
    <n v="64786654"/>
    <x v="0"/>
    <n v="2417"/>
    <d v="2026-02-27T00:00:00"/>
    <s v="GH Cookies and Creme Bar 8-6PK"/>
    <x v="15"/>
    <n v="3.8959999999999997E-3"/>
    <n v="154"/>
    <x v="7"/>
    <x v="8"/>
    <n v="1"/>
    <n v="2417"/>
    <n v="9.4166319999999999"/>
    <n v="15.694805194805195"/>
    <s v="Feb"/>
    <x v="6"/>
    <m/>
    <m/>
  </r>
  <r>
    <n v="64786654"/>
    <x v="0"/>
    <n v="1540"/>
    <d v="2026-02-27T00:00:00"/>
    <s v="GH Cookies and Creme Bar 8-6PK"/>
    <x v="15"/>
    <n v="3.8959999999999997E-3"/>
    <n v="154"/>
    <x v="7"/>
    <x v="8"/>
    <n v="1"/>
    <n v="1540"/>
    <n v="5.9998399999999998"/>
    <n v="10"/>
    <s v="Feb"/>
    <x v="6"/>
    <m/>
    <m/>
  </r>
  <r>
    <n v="64786654"/>
    <x v="0"/>
    <n v="1891"/>
    <d v="2026-02-28T00:00:00"/>
    <s v="GH Cookies and Creme Bar 8-6PK"/>
    <x v="15"/>
    <n v="3.8959999999999997E-3"/>
    <n v="154"/>
    <x v="7"/>
    <x v="8"/>
    <n v="1"/>
    <n v="1891"/>
    <n v="7.3673359999999999"/>
    <n v="12.279220779220779"/>
    <s v="Feb"/>
    <x v="6"/>
    <m/>
    <m/>
  </r>
  <r>
    <n v="64786654"/>
    <x v="0"/>
    <n v="1540"/>
    <d v="2026-03-23T00:00:00"/>
    <s v="GH Cookies and Creme Bar 8-6PK"/>
    <x v="15"/>
    <n v="3.8959999999999997E-3"/>
    <n v="154"/>
    <x v="7"/>
    <x v="8"/>
    <n v="1"/>
    <n v="1540"/>
    <n v="5.9998399999999998"/>
    <n v="10"/>
    <s v="Mar"/>
    <x v="10"/>
    <m/>
    <m/>
  </r>
  <r>
    <n v="64786654"/>
    <x v="0"/>
    <n v="2980"/>
    <d v="2026-03-24T00:00:00"/>
    <s v="GH Cookies and Creme Bar 8-6PK"/>
    <x v="15"/>
    <n v="3.8959999999999997E-3"/>
    <n v="154"/>
    <x v="7"/>
    <x v="8"/>
    <n v="1"/>
    <n v="2980"/>
    <n v="11.61008"/>
    <n v="19.350649350649352"/>
    <s v="Mar"/>
    <x v="10"/>
    <m/>
    <m/>
  </r>
  <r>
    <n v="64786654"/>
    <x v="0"/>
    <n v="2618"/>
    <d v="2026-03-24T00:00:00"/>
    <s v="GH Cookies and Creme Bar 8-6PK"/>
    <x v="15"/>
    <n v="3.8959999999999997E-3"/>
    <n v="154"/>
    <x v="7"/>
    <x v="8"/>
    <n v="1"/>
    <n v="2618"/>
    <n v="10.199727999999999"/>
    <n v="17"/>
    <s v="Mar"/>
    <x v="10"/>
    <m/>
    <m/>
  </r>
  <r>
    <n v="64789262"/>
    <x v="0"/>
    <n v="1350"/>
    <d v="2026-02-23T00:00:00"/>
    <s v="GH Cookies+Cream 1-24BK OOH"/>
    <x v="18"/>
    <n v="2.8319999999999999E-3"/>
    <n v="225"/>
    <x v="7"/>
    <x v="8"/>
    <n v="1"/>
    <n v="1350"/>
    <n v="3.8231999999999999"/>
    <n v="6"/>
    <s v="Feb"/>
    <x v="6"/>
    <m/>
    <m/>
  </r>
  <r>
    <n v="64789262"/>
    <x v="0"/>
    <n v="3641"/>
    <d v="2026-02-24T00:00:00"/>
    <s v="GH Cookies+Cream 1-24BK OOH"/>
    <x v="18"/>
    <n v="2.8319999999999999E-3"/>
    <n v="225"/>
    <x v="7"/>
    <x v="8"/>
    <n v="1"/>
    <n v="3641"/>
    <n v="10.311311999999999"/>
    <n v="16.182222222222222"/>
    <s v="Feb"/>
    <x v="6"/>
    <m/>
    <m/>
  </r>
  <r>
    <n v="64789262"/>
    <x v="0"/>
    <n v="2700"/>
    <d v="2026-02-24T00:00:00"/>
    <s v="GH Cookies+Cream 1-24BK OOH"/>
    <x v="18"/>
    <n v="2.8319999999999999E-3"/>
    <n v="225"/>
    <x v="7"/>
    <x v="8"/>
    <n v="1"/>
    <n v="2700"/>
    <n v="7.6463999999999999"/>
    <n v="12"/>
    <s v="Feb"/>
    <x v="6"/>
    <m/>
    <m/>
  </r>
  <r>
    <n v="64789262"/>
    <x v="0"/>
    <n v="3885"/>
    <d v="2026-02-25T00:00:00"/>
    <s v="GH Cookies+Cream 1-24BK OOH"/>
    <x v="18"/>
    <n v="2.8319999999999999E-3"/>
    <n v="225"/>
    <x v="7"/>
    <x v="8"/>
    <n v="1"/>
    <n v="3885"/>
    <n v="11.002319999999999"/>
    <n v="17.266666666666666"/>
    <s v="Feb"/>
    <x v="6"/>
    <m/>
    <m/>
  </r>
  <r>
    <n v="64789262"/>
    <x v="0"/>
    <n v="1575"/>
    <d v="2026-02-25T00:00:00"/>
    <s v="GH Cookies+Cream 1-24BK OOH"/>
    <x v="18"/>
    <n v="2.8319999999999999E-3"/>
    <n v="225"/>
    <x v="7"/>
    <x v="8"/>
    <n v="1"/>
    <n v="1575"/>
    <n v="4.4603999999999999"/>
    <n v="7"/>
    <s v="Feb"/>
    <x v="6"/>
    <m/>
    <m/>
  </r>
  <r>
    <n v="64789262"/>
    <x v="0"/>
    <n v="4746"/>
    <d v="2026-02-26T00:00:00"/>
    <s v="GH Cookies+Cream 1-24BK OOH"/>
    <x v="18"/>
    <n v="2.8319999999999999E-3"/>
    <n v="225"/>
    <x v="7"/>
    <x v="8"/>
    <n v="1"/>
    <n v="4746"/>
    <n v="13.440671999999999"/>
    <n v="21.093333333333334"/>
    <s v="Feb"/>
    <x v="6"/>
    <m/>
    <m/>
  </r>
  <r>
    <n v="64789262"/>
    <x v="0"/>
    <n v="225"/>
    <d v="2026-02-26T00:00:00"/>
    <s v="GH Cookies+Cream 1-24BK OOH"/>
    <x v="18"/>
    <n v="2.8319999999999999E-3"/>
    <n v="225"/>
    <x v="7"/>
    <x v="8"/>
    <n v="1"/>
    <n v="225"/>
    <n v="0.63719999999999999"/>
    <n v="1"/>
    <s v="Feb"/>
    <x v="6"/>
    <m/>
    <m/>
  </r>
  <r>
    <n v="64789262"/>
    <x v="0"/>
    <n v="4050"/>
    <d v="2026-02-27T00:00:00"/>
    <s v="GH Cookies+Cream 1-24BK OOH"/>
    <x v="18"/>
    <n v="2.8319999999999999E-3"/>
    <n v="225"/>
    <x v="7"/>
    <x v="8"/>
    <n v="1"/>
    <n v="4050"/>
    <n v="11.4696"/>
    <n v="18"/>
    <s v="Feb"/>
    <x v="6"/>
    <m/>
    <m/>
  </r>
  <r>
    <n v="64789262"/>
    <x v="0"/>
    <n v="2250"/>
    <d v="2026-02-27T00:00:00"/>
    <s v="GH Cookies+Cream 1-24BK OOH"/>
    <x v="18"/>
    <n v="2.8319999999999999E-3"/>
    <n v="225"/>
    <x v="7"/>
    <x v="8"/>
    <n v="1"/>
    <n v="2250"/>
    <n v="6.3719999999999999"/>
    <n v="10"/>
    <s v="Feb"/>
    <x v="6"/>
    <m/>
    <m/>
  </r>
  <r>
    <n v="64789262"/>
    <x v="0"/>
    <n v="4800"/>
    <d v="2026-02-28T00:00:00"/>
    <s v="GH Cookies+Cream 1-24BK OOH"/>
    <x v="18"/>
    <n v="2.8319999999999999E-3"/>
    <n v="225"/>
    <x v="7"/>
    <x v="8"/>
    <n v="1"/>
    <n v="4800"/>
    <n v="13.593599999999999"/>
    <n v="21.333333333333332"/>
    <s v="Feb"/>
    <x v="6"/>
    <m/>
    <m/>
  </r>
  <r>
    <n v="64789262"/>
    <x v="0"/>
    <n v="2700"/>
    <d v="2026-03-23T00:00:00"/>
    <s v="GH Cookies+Cream 1-24BK OOH"/>
    <x v="18"/>
    <n v="2.8319999999999999E-3"/>
    <n v="225"/>
    <x v="7"/>
    <x v="8"/>
    <n v="1"/>
    <n v="2700"/>
    <n v="7.6463999999999999"/>
    <n v="12"/>
    <s v="Mar"/>
    <x v="10"/>
    <m/>
    <m/>
  </r>
  <r>
    <n v="64789262"/>
    <x v="0"/>
    <n v="4600"/>
    <d v="2026-03-24T00:00:00"/>
    <s v="GH Cookies+Cream 1-24BK OOH"/>
    <x v="18"/>
    <n v="2.8319999999999999E-3"/>
    <n v="225"/>
    <x v="7"/>
    <x v="8"/>
    <n v="1"/>
    <n v="4600"/>
    <n v="13.027199999999999"/>
    <n v="20.444444444444443"/>
    <s v="Mar"/>
    <x v="10"/>
    <m/>
    <m/>
  </r>
  <r>
    <n v="64789262"/>
    <x v="0"/>
    <n v="3823"/>
    <d v="2026-03-24T00:00:00"/>
    <s v="GH Cookies+Cream 1-24BK OOH"/>
    <x v="18"/>
    <n v="2.8319999999999999E-3"/>
    <n v="225"/>
    <x v="7"/>
    <x v="8"/>
    <n v="1"/>
    <n v="3823"/>
    <n v="10.826736"/>
    <n v="16.99111111111111"/>
    <s v="Mar"/>
    <x v="10"/>
    <m/>
    <m/>
  </r>
  <r>
    <n v="64977528"/>
    <x v="0"/>
    <n v="6509"/>
    <d v="2026-02-27T00:00:00"/>
    <s v="BR Strawberry Pound Cake 6p 1.5QT"/>
    <x v="7"/>
    <n v="8.513999999999999E-3"/>
    <n v="176"/>
    <x v="0"/>
    <x v="0"/>
    <n v="1"/>
    <n v="6509"/>
    <n v="55.417625999999991"/>
    <n v="36.982954545454547"/>
    <s v="Feb"/>
    <x v="6"/>
    <m/>
    <m/>
  </r>
  <r>
    <n v="64977528"/>
    <x v="0"/>
    <n v="6866"/>
    <d v="2026-02-24T00:00:00"/>
    <s v="BR Strawberry Pound Cake 6p 1.5QT"/>
    <x v="7"/>
    <n v="8.513999999999999E-3"/>
    <n v="176"/>
    <x v="0"/>
    <x v="0"/>
    <n v="1"/>
    <n v="6866"/>
    <n v="58.457123999999993"/>
    <n v="39.011363636363633"/>
    <s v="Feb"/>
    <x v="6"/>
    <m/>
    <m/>
  </r>
  <r>
    <n v="64977528"/>
    <x v="0"/>
    <n v="5060"/>
    <d v="2026-02-24T00:00:00"/>
    <s v="BR Strawberry Pound Cake 6p 1.5QT"/>
    <x v="7"/>
    <n v="8.513999999999999E-3"/>
    <n v="176"/>
    <x v="0"/>
    <x v="0"/>
    <n v="1"/>
    <n v="5060"/>
    <n v="43.080839999999995"/>
    <n v="28.75"/>
    <s v="Feb"/>
    <x v="6"/>
    <m/>
    <m/>
  </r>
  <r>
    <n v="64977528"/>
    <x v="0"/>
    <n v="9114"/>
    <d v="2026-02-25T00:00:00"/>
    <s v="BR Strawberry Pound Cake 6p 1.5QT"/>
    <x v="7"/>
    <n v="8.513999999999999E-3"/>
    <n v="176"/>
    <x v="0"/>
    <x v="0"/>
    <n v="1"/>
    <n v="9114"/>
    <n v="77.596595999999991"/>
    <n v="51.784090909090907"/>
    <s v="Feb"/>
    <x v="6"/>
    <m/>
    <m/>
  </r>
  <r>
    <n v="64977528"/>
    <x v="0"/>
    <n v="1853"/>
    <d v="2026-02-25T00:00:00"/>
    <s v="BR Strawberry Pound Cake 6p 1.5QT"/>
    <x v="7"/>
    <n v="8.513999999999999E-3"/>
    <n v="176"/>
    <x v="0"/>
    <x v="0"/>
    <n v="1"/>
    <n v="1853"/>
    <n v="15.776441999999998"/>
    <n v="10.528409090909092"/>
    <s v="Feb"/>
    <x v="6"/>
    <m/>
    <m/>
  </r>
  <r>
    <n v="64977528"/>
    <x v="0"/>
    <n v="7473"/>
    <d v="2026-02-26T00:00:00"/>
    <s v="BR Strawberry Pound Cake 6p 1.5QT"/>
    <x v="7"/>
    <n v="8.513999999999999E-3"/>
    <n v="176"/>
    <x v="0"/>
    <x v="0"/>
    <n v="1"/>
    <n v="7473"/>
    <n v="63.62512199999999"/>
    <n v="42.460227272727273"/>
    <s v="Feb"/>
    <x v="6"/>
    <m/>
    <m/>
  </r>
  <r>
    <n v="64977530"/>
    <x v="0"/>
    <n v="125"/>
    <d v="2026-02-25T00:00:00"/>
    <s v="BR Hot Fudge Brownie Sundae 6p 1.5QT"/>
    <x v="7"/>
    <n v="8.513999999999999E-3"/>
    <n v="176"/>
    <x v="0"/>
    <x v="0"/>
    <n v="1"/>
    <n v="125"/>
    <n v="1.0642499999999999"/>
    <n v="0.71022727272727271"/>
    <s v="Feb"/>
    <x v="6"/>
    <m/>
    <m/>
  </r>
  <r>
    <n v="64977530"/>
    <x v="0"/>
    <n v="579"/>
    <d v="2026-02-25T00:00:00"/>
    <s v="BR Hot Fudge Brownie Sundae 6p 1.5QT"/>
    <x v="7"/>
    <n v="8.513999999999999E-3"/>
    <n v="176"/>
    <x v="0"/>
    <x v="0"/>
    <n v="1"/>
    <n v="579"/>
    <n v="4.9296059999999997"/>
    <n v="3.2897727272727271"/>
    <s v="Feb"/>
    <x v="6"/>
    <m/>
    <m/>
  </r>
  <r>
    <n v="64977530"/>
    <x v="0"/>
    <n v="431"/>
    <d v="2026-02-23T00:00:00"/>
    <s v="BR Hot Fudge Brownie Sundae 6p 1.5QT"/>
    <x v="7"/>
    <n v="8.513999999999999E-3"/>
    <n v="176"/>
    <x v="0"/>
    <x v="0"/>
    <n v="1"/>
    <n v="431"/>
    <n v="3.6695339999999996"/>
    <n v="2.4488636363636362"/>
    <s v="Feb"/>
    <x v="6"/>
    <m/>
    <m/>
  </r>
  <r>
    <n v="68300738"/>
    <x v="0"/>
    <n v="4545"/>
    <d v="2026-02-23T00:00:00"/>
    <s v="KL REESES BAR 12-6 PK"/>
    <x v="2"/>
    <n v="8.4960000000000001E-3"/>
    <n v="132"/>
    <x v="1"/>
    <x v="2"/>
    <n v="1"/>
    <n v="4545"/>
    <n v="38.614319999999999"/>
    <n v="34.43181818181818"/>
    <s v="Feb"/>
    <x v="6"/>
    <m/>
    <m/>
  </r>
  <r>
    <n v="68300738"/>
    <x v="0"/>
    <n v="16"/>
    <d v="2026-02-26T00:00:00"/>
    <s v="KL REESES BAR 12-6 PK"/>
    <x v="2"/>
    <n v="8.4960000000000001E-3"/>
    <n v="132"/>
    <x v="1"/>
    <x v="2"/>
    <n v="1"/>
    <n v="16"/>
    <n v="0.135936"/>
    <n v="0.12121212121212122"/>
    <s v="Feb"/>
    <x v="6"/>
    <m/>
    <m/>
  </r>
  <r>
    <n v="68300738"/>
    <x v="0"/>
    <n v="264"/>
    <d v="2026-03-13T00:00:00"/>
    <s v="KL REESES BAR 12-6 PK"/>
    <x v="2"/>
    <n v="8.4960000000000001E-3"/>
    <n v="132"/>
    <x v="1"/>
    <x v="2"/>
    <n v="1"/>
    <n v="264"/>
    <n v="2.242944"/>
    <n v="2"/>
    <s v="Mar"/>
    <x v="12"/>
    <m/>
    <m/>
  </r>
  <r>
    <n v="68300738"/>
    <x v="0"/>
    <n v="2904"/>
    <d v="2026-02-23T00:00:00"/>
    <s v="KL REESES BAR 12-6 PK"/>
    <x v="2"/>
    <n v="8.4960000000000001E-3"/>
    <n v="132"/>
    <x v="1"/>
    <x v="2"/>
    <n v="1"/>
    <n v="2904"/>
    <n v="24.672384000000001"/>
    <n v="22"/>
    <s v="Feb"/>
    <x v="6"/>
    <m/>
    <m/>
  </r>
  <r>
    <n v="68300738"/>
    <x v="0"/>
    <n v="1980"/>
    <d v="2026-02-24T00:00:00"/>
    <s v="KL REESES BAR 12-6 PK"/>
    <x v="2"/>
    <n v="8.4960000000000001E-3"/>
    <n v="132"/>
    <x v="1"/>
    <x v="2"/>
    <n v="1"/>
    <n v="1980"/>
    <n v="16.82208"/>
    <n v="15"/>
    <s v="Feb"/>
    <x v="6"/>
    <m/>
    <m/>
  </r>
  <r>
    <n v="68300738"/>
    <x v="0"/>
    <n v="1584"/>
    <d v="2026-02-24T00:00:00"/>
    <s v="KL REESES BAR 12-6 PK"/>
    <x v="2"/>
    <n v="8.4960000000000001E-3"/>
    <n v="132"/>
    <x v="1"/>
    <x v="2"/>
    <n v="1"/>
    <n v="1584"/>
    <n v="13.457663999999999"/>
    <n v="12"/>
    <s v="Feb"/>
    <x v="6"/>
    <m/>
    <m/>
  </r>
  <r>
    <n v="68300738"/>
    <x v="0"/>
    <n v="3438"/>
    <d v="2026-02-25T00:00:00"/>
    <s v="KL REESES BAR 12-6 PK"/>
    <x v="2"/>
    <n v="8.4960000000000001E-3"/>
    <n v="132"/>
    <x v="1"/>
    <x v="2"/>
    <n v="1"/>
    <n v="3438"/>
    <n v="29.209247999999999"/>
    <n v="26.045454545454547"/>
    <s v="Feb"/>
    <x v="6"/>
    <m/>
    <m/>
  </r>
  <r>
    <n v="68300738"/>
    <x v="0"/>
    <n v="3300"/>
    <d v="2026-02-25T00:00:00"/>
    <s v="KL REESES BAR 12-6 PK"/>
    <x v="2"/>
    <n v="8.4960000000000001E-3"/>
    <n v="132"/>
    <x v="1"/>
    <x v="2"/>
    <n v="1"/>
    <n v="3300"/>
    <n v="28.036799999999999"/>
    <n v="25"/>
    <s v="Feb"/>
    <x v="6"/>
    <m/>
    <m/>
  </r>
  <r>
    <n v="68300738"/>
    <x v="0"/>
    <n v="4811"/>
    <d v="2026-02-26T00:00:00"/>
    <s v="KL REESES BAR 12-6 PK"/>
    <x v="2"/>
    <n v="8.4960000000000001E-3"/>
    <n v="132"/>
    <x v="1"/>
    <x v="2"/>
    <n v="1"/>
    <n v="4811"/>
    <n v="40.874256000000003"/>
    <n v="36.446969696969695"/>
    <s v="Feb"/>
    <x v="6"/>
    <m/>
    <m/>
  </r>
  <r>
    <n v="68300738"/>
    <x v="0"/>
    <n v="3432"/>
    <d v="2026-02-26T00:00:00"/>
    <s v="KL REESES BAR 12-6 PK"/>
    <x v="2"/>
    <n v="8.4960000000000001E-3"/>
    <n v="132"/>
    <x v="1"/>
    <x v="2"/>
    <n v="1"/>
    <n v="3432"/>
    <n v="29.158272"/>
    <n v="26"/>
    <s v="Feb"/>
    <x v="6"/>
    <m/>
    <m/>
  </r>
  <r>
    <n v="68300738"/>
    <x v="0"/>
    <n v="3920"/>
    <d v="2026-02-27T00:00:00"/>
    <s v="KL REESES BAR 12-6 PK"/>
    <x v="2"/>
    <n v="8.4960000000000001E-3"/>
    <n v="132"/>
    <x v="1"/>
    <x v="2"/>
    <n v="1"/>
    <n v="3920"/>
    <n v="33.304319999999997"/>
    <n v="29.696969696969695"/>
    <s v="Feb"/>
    <x v="6"/>
    <m/>
    <m/>
  </r>
  <r>
    <n v="68300738"/>
    <x v="0"/>
    <n v="1320"/>
    <d v="2026-02-28T00:00:00"/>
    <s v="KL REESES BAR 12-6 PK"/>
    <x v="2"/>
    <n v="8.4960000000000001E-3"/>
    <n v="132"/>
    <x v="1"/>
    <x v="2"/>
    <n v="1"/>
    <n v="1320"/>
    <n v="11.21472"/>
    <n v="10"/>
    <s v="Feb"/>
    <x v="6"/>
    <m/>
    <m/>
  </r>
  <r>
    <n v="68300738"/>
    <x v="0"/>
    <n v="2001"/>
    <d v="2026-03-01T00:00:00"/>
    <s v="KL REESES BAR 12-6 PK"/>
    <x v="2"/>
    <n v="8.4960000000000001E-3"/>
    <n v="132"/>
    <x v="1"/>
    <x v="2"/>
    <n v="1"/>
    <n v="2001"/>
    <n v="17.000496000000002"/>
    <n v="15.159090909090908"/>
    <s v="Mar"/>
    <x v="11"/>
    <m/>
    <m/>
  </r>
  <r>
    <n v="68300738"/>
    <x v="0"/>
    <n v="264"/>
    <d v="2026-03-12T00:00:00"/>
    <s v="KL REESES BAR 12-6 PK"/>
    <x v="2"/>
    <n v="8.4960000000000001E-3"/>
    <n v="132"/>
    <x v="1"/>
    <x v="2"/>
    <n v="1"/>
    <n v="264"/>
    <n v="2.242944"/>
    <n v="2"/>
    <s v="Mar"/>
    <x v="12"/>
    <m/>
    <m/>
  </r>
  <r>
    <n v="68300738"/>
    <x v="0"/>
    <n v="2508"/>
    <d v="2026-02-27T00:00:00"/>
    <s v="KL REESES BAR 12-6 PK"/>
    <x v="2"/>
    <n v="8.4960000000000001E-3"/>
    <n v="132"/>
    <x v="1"/>
    <x v="2"/>
    <n v="1"/>
    <n v="2508"/>
    <n v="21.307967999999999"/>
    <n v="19"/>
    <s v="Feb"/>
    <x v="6"/>
    <m/>
    <m/>
  </r>
  <r>
    <n v="68300738"/>
    <x v="0"/>
    <n v="4877"/>
    <d v="2026-02-28T00:00:00"/>
    <s v="KL REESES BAR 12-6 PK"/>
    <x v="2"/>
    <n v="8.4960000000000001E-3"/>
    <n v="132"/>
    <x v="1"/>
    <x v="2"/>
    <n v="1"/>
    <n v="4877"/>
    <n v="41.434992000000001"/>
    <n v="36.946969696969695"/>
    <s v="Feb"/>
    <x v="6"/>
    <m/>
    <m/>
  </r>
  <r>
    <n v="68300738"/>
    <x v="0"/>
    <n v="2244"/>
    <d v="2026-03-01T00:00:00"/>
    <s v="KL REESES BAR 12-6 PK"/>
    <x v="2"/>
    <n v="8.4960000000000001E-3"/>
    <n v="132"/>
    <x v="1"/>
    <x v="2"/>
    <n v="1"/>
    <n v="2244"/>
    <n v="19.065024000000001"/>
    <n v="17"/>
    <s v="Mar"/>
    <x v="11"/>
    <m/>
    <m/>
  </r>
  <r>
    <n v="68300738"/>
    <x v="0"/>
    <n v="3285"/>
    <d v="2026-03-02T00:00:00"/>
    <s v="KL REESES BAR 12-6 PK"/>
    <x v="2"/>
    <n v="8.4960000000000001E-3"/>
    <n v="132"/>
    <x v="1"/>
    <x v="2"/>
    <n v="1"/>
    <n v="3285"/>
    <n v="27.90936"/>
    <n v="24.886363636363637"/>
    <s v="Mar"/>
    <x v="11"/>
    <m/>
    <m/>
  </r>
  <r>
    <n v="68300738"/>
    <x v="0"/>
    <n v="2244"/>
    <d v="2026-03-02T00:00:00"/>
    <s v="KL REESES BAR 12-6 PK"/>
    <x v="2"/>
    <n v="8.4960000000000001E-3"/>
    <n v="132"/>
    <x v="1"/>
    <x v="2"/>
    <n v="1"/>
    <n v="2244"/>
    <n v="19.065024000000001"/>
    <n v="17"/>
    <s v="Mar"/>
    <x v="11"/>
    <m/>
    <m/>
  </r>
  <r>
    <n v="68300738"/>
    <x v="0"/>
    <n v="3629"/>
    <d v="2026-03-03T00:00:00"/>
    <s v="KL REESES BAR 12-6 PK"/>
    <x v="2"/>
    <n v="8.4960000000000001E-3"/>
    <n v="132"/>
    <x v="1"/>
    <x v="2"/>
    <n v="1"/>
    <n v="3629"/>
    <n v="30.831984000000002"/>
    <n v="27.492424242424242"/>
    <s v="Mar"/>
    <x v="11"/>
    <m/>
    <m/>
  </r>
  <r>
    <n v="68300738"/>
    <x v="0"/>
    <n v="2508"/>
    <d v="2026-03-03T00:00:00"/>
    <s v="KL REESES BAR 12-6 PK"/>
    <x v="2"/>
    <n v="8.4960000000000001E-3"/>
    <n v="132"/>
    <x v="1"/>
    <x v="2"/>
    <n v="1"/>
    <n v="2508"/>
    <n v="21.307967999999999"/>
    <n v="19"/>
    <s v="Mar"/>
    <x v="11"/>
    <m/>
    <m/>
  </r>
  <r>
    <n v="68300738"/>
    <x v="0"/>
    <n v="3529"/>
    <d v="2026-03-04T00:00:00"/>
    <s v="KL REESES BAR 12-6 PK"/>
    <x v="2"/>
    <n v="8.4960000000000001E-3"/>
    <n v="132"/>
    <x v="1"/>
    <x v="2"/>
    <n v="1"/>
    <n v="3529"/>
    <n v="29.982384"/>
    <n v="26.734848484848484"/>
    <s v="Mar"/>
    <x v="11"/>
    <m/>
    <m/>
  </r>
  <r>
    <n v="68689251"/>
    <x v="0"/>
    <n v="0"/>
    <d v="2026-02-26T00:00:00"/>
    <s v="KL Original Vanilla Bar 12-6PK"/>
    <x v="2"/>
    <n v="9.5760000000000012E-3"/>
    <n v="132"/>
    <x v="1"/>
    <x v="2"/>
    <n v="1"/>
    <n v="0"/>
    <n v="0"/>
    <n v="0"/>
    <s v="Feb"/>
    <x v="6"/>
    <m/>
    <m/>
  </r>
  <r>
    <n v="68689251"/>
    <x v="0"/>
    <n v="0"/>
    <d v="2026-02-26T00:00:00"/>
    <s v="KL Original Vanilla Bar 12-6PK"/>
    <x v="20"/>
    <n v="9.5760000000000012E-3"/>
    <n v="132"/>
    <x v="1"/>
    <x v="2"/>
    <n v="1"/>
    <n v="0"/>
    <n v="0"/>
    <n v="0"/>
    <s v="Feb"/>
    <x v="6"/>
    <m/>
    <m/>
  </r>
  <r>
    <n v="68689251"/>
    <x v="0"/>
    <n v="0"/>
    <d v="2026-02-23T00:00:00"/>
    <s v="KL Original Vanilla Bar 12-6PK"/>
    <x v="20"/>
    <n v="9.5760000000000012E-3"/>
    <n v="132"/>
    <x v="1"/>
    <x v="2"/>
    <n v="1"/>
    <n v="0"/>
    <n v="0"/>
    <n v="0"/>
    <s v="Feb"/>
    <x v="6"/>
    <m/>
    <m/>
  </r>
  <r>
    <n v="68689251"/>
    <x v="0"/>
    <n v="2244"/>
    <d v="2026-03-09T00:00:00"/>
    <s v="KL Original Vanilla Bar 12-6PK"/>
    <x v="4"/>
    <n v="9.5760000000000012E-3"/>
    <n v="132"/>
    <x v="1"/>
    <x v="2"/>
    <n v="1"/>
    <n v="2244"/>
    <n v="21.488544000000001"/>
    <n v="17"/>
    <s v="Mar"/>
    <x v="12"/>
    <m/>
    <m/>
  </r>
  <r>
    <n v="68689251"/>
    <x v="0"/>
    <n v="3714"/>
    <d v="2026-03-10T00:00:00"/>
    <s v="KL Original Vanilla Bar 12-6PK"/>
    <x v="4"/>
    <n v="9.5760000000000012E-3"/>
    <n v="132"/>
    <x v="1"/>
    <x v="2"/>
    <n v="1"/>
    <n v="3714"/>
    <n v="35.565264000000006"/>
    <n v="28.136363636363637"/>
    <s v="Mar"/>
    <x v="12"/>
    <m/>
    <m/>
  </r>
  <r>
    <n v="68689251"/>
    <x v="0"/>
    <n v="2508"/>
    <d v="2026-03-10T00:00:00"/>
    <s v="KL Original Vanilla Bar 12-6PK"/>
    <x v="4"/>
    <n v="9.5760000000000012E-3"/>
    <n v="132"/>
    <x v="1"/>
    <x v="2"/>
    <n v="1"/>
    <n v="2508"/>
    <n v="24.016608000000002"/>
    <n v="19"/>
    <s v="Mar"/>
    <x v="12"/>
    <m/>
    <m/>
  </r>
  <r>
    <n v="68689251"/>
    <x v="0"/>
    <n v="3729"/>
    <d v="2026-03-11T00:00:00"/>
    <s v="KL Original Vanilla Bar 12-6PK"/>
    <x v="4"/>
    <n v="9.5760000000000012E-3"/>
    <n v="132"/>
    <x v="1"/>
    <x v="2"/>
    <n v="1"/>
    <n v="3729"/>
    <n v="35.708904000000004"/>
    <n v="28.25"/>
    <s v="Mar"/>
    <x v="12"/>
    <m/>
    <m/>
  </r>
  <r>
    <n v="68689251"/>
    <x v="0"/>
    <n v="3108"/>
    <d v="2026-03-11T00:00:00"/>
    <s v="KL Original Vanilla Bar 12-6PK"/>
    <x v="4"/>
    <n v="9.5760000000000012E-3"/>
    <n v="132"/>
    <x v="1"/>
    <x v="2"/>
    <n v="1"/>
    <n v="3108"/>
    <n v="29.762208000000005"/>
    <n v="23.545454545454547"/>
    <s v="Mar"/>
    <x v="12"/>
    <m/>
    <m/>
  </r>
  <r>
    <n v="68689251"/>
    <x v="0"/>
    <n v="2726"/>
    <d v="2026-03-12T00:00:00"/>
    <s v="KL Original Vanilla Bar 12-6PK"/>
    <x v="4"/>
    <n v="9.5760000000000012E-3"/>
    <n v="132"/>
    <x v="1"/>
    <x v="2"/>
    <n v="1"/>
    <n v="2726"/>
    <n v="26.104176000000002"/>
    <n v="20.651515151515152"/>
    <s v="Mar"/>
    <x v="12"/>
    <m/>
    <m/>
  </r>
  <r>
    <n v="68689251"/>
    <x v="0"/>
    <n v="2376"/>
    <d v="2026-03-13T00:00:00"/>
    <s v="KL Original Vanilla Bar 12-6PK"/>
    <x v="4"/>
    <n v="9.5760000000000012E-3"/>
    <n v="132"/>
    <x v="1"/>
    <x v="2"/>
    <n v="1"/>
    <n v="2376"/>
    <n v="22.752576000000001"/>
    <n v="18"/>
    <s v="Mar"/>
    <x v="12"/>
    <m/>
    <m/>
  </r>
  <r>
    <n v="68689251"/>
    <x v="0"/>
    <n v="3810"/>
    <d v="2026-03-14T00:00:00"/>
    <s v="KL Original Vanilla Bar 12-6PK"/>
    <x v="4"/>
    <n v="9.5760000000000012E-3"/>
    <n v="132"/>
    <x v="1"/>
    <x v="2"/>
    <n v="1"/>
    <n v="3810"/>
    <n v="36.484560000000002"/>
    <n v="28.863636363636363"/>
    <s v="Mar"/>
    <x v="12"/>
    <m/>
    <m/>
  </r>
  <r>
    <n v="68689251"/>
    <x v="0"/>
    <n v="1320"/>
    <d v="2026-03-14T00:00:00"/>
    <s v="KL Original Vanilla Bar 12-6PK"/>
    <x v="4"/>
    <n v="9.5760000000000012E-3"/>
    <n v="132"/>
    <x v="1"/>
    <x v="2"/>
    <n v="1"/>
    <n v="1320"/>
    <n v="12.640320000000001"/>
    <n v="10"/>
    <s v="Mar"/>
    <x v="12"/>
    <m/>
    <m/>
  </r>
  <r>
    <n v="68689251"/>
    <x v="0"/>
    <n v="3738"/>
    <d v="2026-03-15T00:00:00"/>
    <s v="KL Original Vanilla Bar 12-6PK"/>
    <x v="4"/>
    <n v="9.5760000000000012E-3"/>
    <n v="132"/>
    <x v="1"/>
    <x v="2"/>
    <n v="1"/>
    <n v="3738"/>
    <n v="35.795088000000007"/>
    <n v="28.318181818181817"/>
    <s v="Mar"/>
    <x v="9"/>
    <m/>
    <m/>
  </r>
  <r>
    <n v="68689251"/>
    <x v="0"/>
    <n v="3300"/>
    <d v="2026-03-15T00:00:00"/>
    <s v="KL Original Vanilla Bar 12-6PK"/>
    <x v="4"/>
    <n v="9.5760000000000012E-3"/>
    <n v="132"/>
    <x v="1"/>
    <x v="2"/>
    <n v="1"/>
    <n v="3300"/>
    <n v="31.600800000000003"/>
    <n v="25"/>
    <s v="Mar"/>
    <x v="9"/>
    <m/>
    <m/>
  </r>
  <r>
    <n v="68689251"/>
    <x v="0"/>
    <n v="1034"/>
    <d v="2026-03-16T00:00:00"/>
    <s v="KL Original Vanilla Bar 12-6PK"/>
    <x v="4"/>
    <n v="9.5760000000000012E-3"/>
    <n v="132"/>
    <x v="1"/>
    <x v="2"/>
    <n v="1"/>
    <n v="1034"/>
    <n v="9.9015840000000015"/>
    <n v="7.833333333333333"/>
    <s v="Mar"/>
    <x v="9"/>
    <m/>
    <m/>
  </r>
  <r>
    <n v="68689251"/>
    <x v="0"/>
    <n v="2508"/>
    <d v="2026-03-16T00:00:00"/>
    <s v="KL Original Vanilla Bar 12-6PK"/>
    <x v="4"/>
    <n v="9.5760000000000012E-3"/>
    <n v="132"/>
    <x v="1"/>
    <x v="2"/>
    <n v="1"/>
    <n v="2508"/>
    <n v="24.016608000000002"/>
    <n v="19"/>
    <s v="Mar"/>
    <x v="9"/>
    <m/>
    <m/>
  </r>
  <r>
    <n v="68689251"/>
    <x v="0"/>
    <n v="431"/>
    <d v="2026-03-17T00:00:00"/>
    <s v="KL Original Vanilla Bar 12-6PK"/>
    <x v="4"/>
    <n v="9.5760000000000012E-3"/>
    <n v="132"/>
    <x v="1"/>
    <x v="2"/>
    <n v="1"/>
    <n v="431"/>
    <n v="4.1272560000000009"/>
    <n v="3.2651515151515151"/>
    <s v="Mar"/>
    <x v="9"/>
    <m/>
    <m/>
  </r>
  <r>
    <n v="68689251"/>
    <x v="0"/>
    <n v="4092"/>
    <d v="2026-03-17T00:00:00"/>
    <s v="KL Original Vanilla Bar 12-6PK"/>
    <x v="4"/>
    <n v="9.5760000000000012E-3"/>
    <n v="132"/>
    <x v="1"/>
    <x v="2"/>
    <n v="1"/>
    <n v="4092"/>
    <n v="39.184992000000008"/>
    <n v="31"/>
    <s v="Mar"/>
    <x v="9"/>
    <m/>
    <m/>
  </r>
  <r>
    <n v="68689251"/>
    <x v="0"/>
    <n v="3940"/>
    <d v="2026-03-18T00:00:00"/>
    <s v="KL Original Vanilla Bar 12-6PK"/>
    <x v="4"/>
    <n v="9.5760000000000012E-3"/>
    <n v="132"/>
    <x v="1"/>
    <x v="2"/>
    <n v="1"/>
    <n v="3940"/>
    <n v="37.729440000000004"/>
    <n v="29.848484848484848"/>
    <s v="Mar"/>
    <x v="9"/>
    <m/>
    <m/>
  </r>
  <r>
    <n v="68689251"/>
    <x v="0"/>
    <n v="1716"/>
    <d v="2026-03-18T00:00:00"/>
    <s v="KL Original Vanilla Bar 12-6PK"/>
    <x v="4"/>
    <n v="9.5760000000000012E-3"/>
    <n v="132"/>
    <x v="1"/>
    <x v="2"/>
    <n v="1"/>
    <n v="1716"/>
    <n v="16.432416000000003"/>
    <n v="13"/>
    <s v="Mar"/>
    <x v="9"/>
    <m/>
    <m/>
  </r>
  <r>
    <n v="68689251"/>
    <x v="0"/>
    <n v="4031"/>
    <d v="2026-03-19T00:00:00"/>
    <s v="KL Original Vanilla Bar 12-6PK"/>
    <x v="4"/>
    <n v="9.5760000000000012E-3"/>
    <n v="132"/>
    <x v="1"/>
    <x v="2"/>
    <n v="1"/>
    <n v="4031"/>
    <n v="38.600856000000007"/>
    <n v="30.537878787878789"/>
    <s v="Mar"/>
    <x v="9"/>
    <m/>
    <m/>
  </r>
  <r>
    <n v="68689251"/>
    <x v="0"/>
    <n v="924"/>
    <d v="2026-03-20T00:00:00"/>
    <s v="KL Original Vanilla Bar 12-6PK"/>
    <x v="4"/>
    <n v="9.5760000000000012E-3"/>
    <n v="132"/>
    <x v="1"/>
    <x v="2"/>
    <n v="1"/>
    <n v="924"/>
    <n v="8.8482240000000019"/>
    <n v="7"/>
    <s v="Mar"/>
    <x v="9"/>
    <m/>
    <m/>
  </r>
  <r>
    <n v="68689251"/>
    <x v="0"/>
    <n v="4231"/>
    <d v="2026-03-21T00:00:00"/>
    <s v="KL Original Vanilla Bar 12-6PK"/>
    <x v="4"/>
    <n v="9.5760000000000012E-3"/>
    <n v="132"/>
    <x v="1"/>
    <x v="2"/>
    <n v="1"/>
    <n v="4231"/>
    <n v="40.516056000000006"/>
    <n v="32.053030303030305"/>
    <s v="Mar"/>
    <x v="9"/>
    <m/>
    <m/>
  </r>
  <r>
    <n v="68689251"/>
    <x v="0"/>
    <n v="2904"/>
    <d v="2026-03-21T00:00:00"/>
    <s v="KL Original Vanilla Bar 12-6PK"/>
    <x v="4"/>
    <n v="9.5760000000000012E-3"/>
    <n v="132"/>
    <x v="1"/>
    <x v="2"/>
    <n v="1"/>
    <n v="2904"/>
    <n v="27.808704000000002"/>
    <n v="22"/>
    <s v="Mar"/>
    <x v="9"/>
    <m/>
    <m/>
  </r>
  <r>
    <n v="68689251"/>
    <x v="0"/>
    <n v="2810"/>
    <d v="2026-03-22T00:00:00"/>
    <s v="KL Original Vanilla Bar 12-6PK"/>
    <x v="4"/>
    <n v="9.5760000000000012E-3"/>
    <n v="132"/>
    <x v="1"/>
    <x v="2"/>
    <n v="1"/>
    <n v="2810"/>
    <n v="26.908560000000005"/>
    <n v="21.287878787878789"/>
    <s v="Mar"/>
    <x v="10"/>
    <m/>
    <m/>
  </r>
  <r>
    <n v="68689251"/>
    <x v="0"/>
    <n v="3036"/>
    <d v="2026-03-22T00:00:00"/>
    <s v="KL Original Vanilla Bar 12-6PK"/>
    <x v="4"/>
    <n v="9.5760000000000012E-3"/>
    <n v="132"/>
    <x v="1"/>
    <x v="2"/>
    <n v="1"/>
    <n v="3036"/>
    <n v="29.072736000000003"/>
    <n v="23"/>
    <s v="Mar"/>
    <x v="10"/>
    <m/>
    <m/>
  </r>
  <r>
    <n v="68689251"/>
    <x v="0"/>
    <n v="3964"/>
    <d v="2026-03-23T00:00:00"/>
    <s v="KL Original Vanilla Bar 12-6PK"/>
    <x v="4"/>
    <n v="9.5760000000000012E-3"/>
    <n v="132"/>
    <x v="1"/>
    <x v="2"/>
    <n v="1"/>
    <n v="3964"/>
    <n v="37.959264000000005"/>
    <n v="30.030303030303031"/>
    <s v="Mar"/>
    <x v="10"/>
    <m/>
    <m/>
  </r>
  <r>
    <n v="68689251"/>
    <x v="0"/>
    <n v="3564"/>
    <d v="2026-03-23T00:00:00"/>
    <s v="KL Original Vanilla Bar 12-6PK"/>
    <x v="4"/>
    <n v="9.5760000000000012E-3"/>
    <n v="132"/>
    <x v="1"/>
    <x v="2"/>
    <n v="1"/>
    <n v="3564"/>
    <n v="34.128864000000007"/>
    <n v="27"/>
    <s v="Mar"/>
    <x v="10"/>
    <m/>
    <m/>
  </r>
  <r>
    <n v="68689251"/>
    <x v="0"/>
    <n v="3353"/>
    <d v="2026-03-24T00:00:00"/>
    <s v="KL Original Vanilla Bar 12-6PK"/>
    <x v="4"/>
    <n v="9.5760000000000012E-3"/>
    <n v="132"/>
    <x v="1"/>
    <x v="2"/>
    <n v="1"/>
    <n v="3353"/>
    <n v="32.108328000000007"/>
    <n v="25.401515151515152"/>
    <s v="Mar"/>
    <x v="10"/>
    <m/>
    <m/>
  </r>
  <r>
    <n v="68689251"/>
    <x v="0"/>
    <n v="4092"/>
    <d v="2026-02-23T00:00:00"/>
    <s v="KL Original Vanilla Bar 12-6PK"/>
    <x v="20"/>
    <n v="9.5760000000000012E-3"/>
    <n v="132"/>
    <x v="1"/>
    <x v="2"/>
    <n v="1"/>
    <n v="4092"/>
    <n v="39.184992000000008"/>
    <n v="31"/>
    <s v="Feb"/>
    <x v="6"/>
    <m/>
    <m/>
  </r>
  <r>
    <n v="68689251"/>
    <x v="0"/>
    <n v="3549"/>
    <d v="2026-02-23T00:00:00"/>
    <s v="KL Original Vanilla Bar 12-6PK"/>
    <x v="20"/>
    <n v="9.5760000000000012E-3"/>
    <n v="132"/>
    <x v="1"/>
    <x v="2"/>
    <n v="1"/>
    <n v="3549"/>
    <n v="33.985224000000002"/>
    <n v="26.886363636363637"/>
    <s v="Feb"/>
    <x v="6"/>
    <m/>
    <m/>
  </r>
  <r>
    <n v="68689251"/>
    <x v="0"/>
    <n v="4125"/>
    <d v="2026-02-24T00:00:00"/>
    <s v="KL Original Vanilla Bar 12-6PK"/>
    <x v="20"/>
    <n v="9.5760000000000012E-3"/>
    <n v="132"/>
    <x v="1"/>
    <x v="2"/>
    <n v="1"/>
    <n v="4125"/>
    <n v="39.501000000000005"/>
    <n v="31.25"/>
    <s v="Feb"/>
    <x v="6"/>
    <m/>
    <m/>
  </r>
  <r>
    <n v="68689251"/>
    <x v="0"/>
    <n v="992"/>
    <d v="2026-02-25T00:00:00"/>
    <s v="KL Original Vanilla Bar 12-6PK"/>
    <x v="20"/>
    <n v="9.5760000000000012E-3"/>
    <n v="132"/>
    <x v="1"/>
    <x v="2"/>
    <n v="1"/>
    <n v="992"/>
    <n v="9.4993920000000003"/>
    <n v="7.5151515151515156"/>
    <s v="Feb"/>
    <x v="6"/>
    <m/>
    <m/>
  </r>
  <r>
    <n v="68689251"/>
    <x v="0"/>
    <n v="2904"/>
    <d v="2026-02-25T00:00:00"/>
    <s v="KL Original Vanilla Bar 12-6PK"/>
    <x v="20"/>
    <n v="9.5760000000000012E-3"/>
    <n v="132"/>
    <x v="1"/>
    <x v="2"/>
    <n v="1"/>
    <n v="2904"/>
    <n v="27.808704000000002"/>
    <n v="22"/>
    <s v="Feb"/>
    <x v="6"/>
    <m/>
    <m/>
  </r>
  <r>
    <n v="68689251"/>
    <x v="0"/>
    <n v="4892"/>
    <d v="2026-02-26T00:00:00"/>
    <s v="KL Original Vanilla Bar 12-6PK"/>
    <x v="20"/>
    <n v="9.5760000000000012E-3"/>
    <n v="132"/>
    <x v="1"/>
    <x v="2"/>
    <n v="1"/>
    <n v="4892"/>
    <n v="46.845792000000003"/>
    <n v="37.060606060606062"/>
    <s v="Feb"/>
    <x v="6"/>
    <m/>
    <m/>
  </r>
  <r>
    <n v="68689251"/>
    <x v="0"/>
    <n v="3564"/>
    <d v="2026-02-27T00:00:00"/>
    <s v="KL Original Vanilla Bar 12-6PK"/>
    <x v="20"/>
    <n v="9.5760000000000012E-3"/>
    <n v="132"/>
    <x v="1"/>
    <x v="2"/>
    <n v="1"/>
    <n v="3564"/>
    <n v="34.128864000000007"/>
    <n v="27"/>
    <s v="Feb"/>
    <x v="6"/>
    <m/>
    <m/>
  </r>
  <r>
    <n v="68689251"/>
    <x v="0"/>
    <n v="2644"/>
    <d v="2026-02-28T00:00:00"/>
    <s v="KL Original Vanilla Bar 12-6PK"/>
    <x v="20"/>
    <n v="9.5760000000000012E-3"/>
    <n v="132"/>
    <x v="1"/>
    <x v="2"/>
    <n v="1"/>
    <n v="2644"/>
    <n v="25.318944000000002"/>
    <n v="20.030303030303031"/>
    <s v="Feb"/>
    <x v="6"/>
    <m/>
    <m/>
  </r>
  <r>
    <n v="68689251"/>
    <x v="0"/>
    <n v="132"/>
    <d v="2026-03-05T00:00:00"/>
    <s v="KL Original Vanilla Bar 12-6PK"/>
    <x v="20"/>
    <n v="9.5760000000000012E-3"/>
    <n v="132"/>
    <x v="1"/>
    <x v="2"/>
    <n v="1"/>
    <n v="132"/>
    <n v="1.2640320000000003"/>
    <n v="1"/>
    <s v="Mar"/>
    <x v="11"/>
    <m/>
    <m/>
  </r>
  <r>
    <n v="68689251"/>
    <x v="0"/>
    <n v="2112"/>
    <d v="2026-02-28T00:00:00"/>
    <s v="KL Original Vanilla Bar 12-6PK"/>
    <x v="20"/>
    <n v="9.5760000000000012E-3"/>
    <n v="132"/>
    <x v="1"/>
    <x v="2"/>
    <n v="1"/>
    <n v="2112"/>
    <n v="20.224512000000004"/>
    <n v="16"/>
    <s v="Feb"/>
    <x v="6"/>
    <m/>
    <m/>
  </r>
  <r>
    <n v="68689251"/>
    <x v="0"/>
    <n v="2314"/>
    <d v="2026-03-01T00:00:00"/>
    <s v="KL Original Vanilla Bar 12-6PK"/>
    <x v="20"/>
    <n v="9.5760000000000012E-3"/>
    <n v="132"/>
    <x v="1"/>
    <x v="2"/>
    <n v="1"/>
    <n v="2314"/>
    <n v="22.158864000000001"/>
    <n v="17.530303030303031"/>
    <s v="Mar"/>
    <x v="11"/>
    <m/>
    <m/>
  </r>
  <r>
    <n v="68689251"/>
    <x v="0"/>
    <n v="90"/>
    <d v="2026-02-27T00:00:00"/>
    <s v="KL Original Vanilla Bar 12-6PK"/>
    <x v="20"/>
    <n v="9.5760000000000012E-3"/>
    <n v="132"/>
    <x v="1"/>
    <x v="2"/>
    <n v="1"/>
    <n v="90"/>
    <n v="0.86184000000000016"/>
    <n v="0.68181818181818177"/>
    <s v="Feb"/>
    <x v="6"/>
    <m/>
    <m/>
  </r>
  <r>
    <n v="68689251"/>
    <x v="0"/>
    <n v="3168"/>
    <d v="2026-03-01T00:00:00"/>
    <s v="KL Original Vanilla Bar 12-6PK"/>
    <x v="20"/>
    <n v="9.5760000000000012E-3"/>
    <n v="132"/>
    <x v="1"/>
    <x v="2"/>
    <n v="1"/>
    <n v="3168"/>
    <n v="30.336768000000003"/>
    <n v="24"/>
    <s v="Mar"/>
    <x v="11"/>
    <m/>
    <m/>
  </r>
  <r>
    <n v="68689251"/>
    <x v="0"/>
    <n v="4846"/>
    <d v="2026-03-02T00:00:00"/>
    <s v="KL Original Vanilla Bar 12-6PK"/>
    <x v="20"/>
    <n v="9.5760000000000012E-3"/>
    <n v="132"/>
    <x v="1"/>
    <x v="2"/>
    <n v="1"/>
    <n v="4846"/>
    <n v="46.405296000000007"/>
    <n v="36.712121212121211"/>
    <s v="Mar"/>
    <x v="11"/>
    <m/>
    <m/>
  </r>
  <r>
    <n v="68689251"/>
    <x v="0"/>
    <n v="3564"/>
    <d v="2026-02-26T00:00:00"/>
    <s v="KL Original Vanilla Bar 12-6PK"/>
    <x v="20"/>
    <n v="9.5760000000000012E-3"/>
    <n v="132"/>
    <x v="1"/>
    <x v="2"/>
    <n v="1"/>
    <n v="3564"/>
    <n v="34.128864000000007"/>
    <n v="27"/>
    <s v="Feb"/>
    <x v="6"/>
    <m/>
    <m/>
  </r>
  <r>
    <n v="68689251"/>
    <x v="0"/>
    <n v="4858"/>
    <d v="2026-02-27T00:00:00"/>
    <s v="KL Original Vanilla Bar 12-6PK"/>
    <x v="20"/>
    <n v="9.5760000000000012E-3"/>
    <n v="132"/>
    <x v="1"/>
    <x v="2"/>
    <n v="1"/>
    <n v="4858"/>
    <n v="46.520208000000004"/>
    <n v="36.803030303030305"/>
    <s v="Feb"/>
    <x v="6"/>
    <m/>
    <m/>
  </r>
  <r>
    <n v="68689251"/>
    <x v="0"/>
    <n v="3564"/>
    <d v="2026-03-02T00:00:00"/>
    <s v="KL Original Vanilla Bar 12-6PK"/>
    <x v="20"/>
    <n v="9.5760000000000012E-3"/>
    <n v="132"/>
    <x v="1"/>
    <x v="2"/>
    <n v="1"/>
    <n v="3564"/>
    <n v="34.128864000000007"/>
    <n v="27"/>
    <s v="Mar"/>
    <x v="11"/>
    <m/>
    <m/>
  </r>
  <r>
    <n v="68689251"/>
    <x v="0"/>
    <n v="5358"/>
    <d v="2026-03-03T00:00:00"/>
    <s v="KL Original Vanilla Bar 12-6PK"/>
    <x v="20"/>
    <n v="9.5760000000000012E-3"/>
    <n v="132"/>
    <x v="1"/>
    <x v="2"/>
    <n v="1"/>
    <n v="5358"/>
    <n v="51.308208000000008"/>
    <n v="40.590909090909093"/>
    <s v="Mar"/>
    <x v="11"/>
    <m/>
    <m/>
  </r>
  <r>
    <n v="68689251"/>
    <x v="0"/>
    <n v="1769"/>
    <d v="2026-03-06T00:00:00"/>
    <s v="KL Original Vanilla Bar 12-6PK"/>
    <x v="2"/>
    <n v="9.5760000000000012E-3"/>
    <n v="132"/>
    <x v="1"/>
    <x v="2"/>
    <n v="1"/>
    <n v="1769"/>
    <n v="16.939944000000001"/>
    <n v="13.401515151515152"/>
    <s v="Mar"/>
    <x v="11"/>
    <m/>
    <m/>
  </r>
  <r>
    <n v="68689251"/>
    <x v="0"/>
    <n v="2904"/>
    <d v="2026-03-06T00:00:00"/>
    <s v="KL Original Vanilla Bar 12-6PK"/>
    <x v="2"/>
    <n v="9.5760000000000012E-3"/>
    <n v="132"/>
    <x v="1"/>
    <x v="2"/>
    <n v="1"/>
    <n v="2904"/>
    <n v="27.808704000000002"/>
    <n v="22"/>
    <s v="Mar"/>
    <x v="11"/>
    <m/>
    <m/>
  </r>
  <r>
    <n v="68689251"/>
    <x v="0"/>
    <n v="3940"/>
    <d v="2026-03-07T00:00:00"/>
    <s v="KL Original Vanilla Bar 12-6PK"/>
    <x v="2"/>
    <n v="9.5760000000000012E-3"/>
    <n v="132"/>
    <x v="1"/>
    <x v="2"/>
    <n v="1"/>
    <n v="3940"/>
    <n v="37.729440000000004"/>
    <n v="29.848484848484848"/>
    <s v="Mar"/>
    <x v="11"/>
    <m/>
    <m/>
  </r>
  <r>
    <n v="68689251"/>
    <x v="0"/>
    <n v="1980"/>
    <d v="2026-03-07T00:00:00"/>
    <s v="KL Original Vanilla Bar 12-6PK"/>
    <x v="2"/>
    <n v="9.5760000000000012E-3"/>
    <n v="132"/>
    <x v="1"/>
    <x v="2"/>
    <n v="1"/>
    <n v="1980"/>
    <n v="18.960480000000004"/>
    <n v="15"/>
    <s v="Mar"/>
    <x v="11"/>
    <m/>
    <m/>
  </r>
  <r>
    <n v="68689251"/>
    <x v="0"/>
    <n v="2921"/>
    <d v="2026-03-08T00:00:00"/>
    <s v="KL Original Vanilla Bar 12-6PK"/>
    <x v="2"/>
    <n v="9.5760000000000012E-3"/>
    <n v="132"/>
    <x v="1"/>
    <x v="2"/>
    <n v="1"/>
    <n v="2921"/>
    <n v="27.971496000000002"/>
    <n v="22.128787878787879"/>
    <s v="Mar"/>
    <x v="12"/>
    <m/>
    <m/>
  </r>
  <r>
    <n v="68689251"/>
    <x v="0"/>
    <n v="3432"/>
    <d v="2026-03-08T00:00:00"/>
    <s v="KL Original Vanilla Bar 12-6PK"/>
    <x v="2"/>
    <n v="9.5760000000000012E-3"/>
    <n v="132"/>
    <x v="1"/>
    <x v="2"/>
    <n v="1"/>
    <n v="3432"/>
    <n v="32.864832000000007"/>
    <n v="26"/>
    <s v="Mar"/>
    <x v="12"/>
    <m/>
    <m/>
  </r>
  <r>
    <n v="68689251"/>
    <x v="0"/>
    <n v="4237"/>
    <d v="2026-03-09T00:00:00"/>
    <s v="KL Original Vanilla Bar 12-6PK"/>
    <x v="2"/>
    <n v="9.5760000000000012E-3"/>
    <n v="132"/>
    <x v="1"/>
    <x v="2"/>
    <n v="1"/>
    <n v="4237"/>
    <n v="40.573512000000008"/>
    <n v="32.098484848484851"/>
    <s v="Mar"/>
    <x v="12"/>
    <m/>
    <m/>
  </r>
  <r>
    <n v="68689251"/>
    <x v="0"/>
    <n v="1130"/>
    <d v="2026-03-12T00:00:00"/>
    <s v="KL Original Vanilla Bar 12-6PK"/>
    <x v="4"/>
    <n v="9.5760000000000012E-3"/>
    <n v="132"/>
    <x v="1"/>
    <x v="2"/>
    <n v="1"/>
    <n v="1130"/>
    <n v="10.820880000000001"/>
    <n v="8.5606060606060606"/>
    <s v="Mar"/>
    <x v="12"/>
    <m/>
    <m/>
  </r>
  <r>
    <n v="68689251"/>
    <x v="0"/>
    <n v="1056"/>
    <d v="2026-03-08T00:00:00"/>
    <s v="KL Original Vanilla Bar 12-6PK"/>
    <x v="4"/>
    <n v="9.5760000000000012E-3"/>
    <n v="132"/>
    <x v="1"/>
    <x v="2"/>
    <n v="1"/>
    <n v="1056"/>
    <n v="10.112256000000002"/>
    <n v="8"/>
    <s v="Mar"/>
    <x v="12"/>
    <m/>
    <m/>
  </r>
  <r>
    <n v="68689251"/>
    <x v="0"/>
    <n v="1999"/>
    <d v="2026-03-09T00:00:00"/>
    <s v="KL Original Vanilla Bar 12-6PK"/>
    <x v="4"/>
    <n v="9.5760000000000012E-3"/>
    <n v="132"/>
    <x v="1"/>
    <x v="2"/>
    <n v="1"/>
    <n v="1999"/>
    <n v="19.142424000000002"/>
    <n v="15.143939393939394"/>
    <s v="Mar"/>
    <x v="12"/>
    <m/>
    <m/>
  </r>
  <r>
    <n v="68689251"/>
    <x v="0"/>
    <n v="264"/>
    <d v="2026-03-09T00:00:00"/>
    <s v="KL Original Vanilla Bar 12-6PK"/>
    <x v="2"/>
    <n v="9.5760000000000012E-3"/>
    <n v="132"/>
    <x v="1"/>
    <x v="2"/>
    <n v="1"/>
    <n v="264"/>
    <n v="2.5280640000000005"/>
    <n v="2"/>
    <s v="Mar"/>
    <x v="12"/>
    <m/>
    <m/>
  </r>
  <r>
    <n v="68689251"/>
    <x v="0"/>
    <n v="2273"/>
    <d v="2026-03-10T00:00:00"/>
    <s v="KL Original Vanilla Bar 12-6PK"/>
    <x v="2"/>
    <n v="9.5760000000000012E-3"/>
    <n v="132"/>
    <x v="1"/>
    <x v="2"/>
    <n v="1"/>
    <n v="2273"/>
    <n v="21.766248000000001"/>
    <n v="17.219696969696969"/>
    <s v="Mar"/>
    <x v="12"/>
    <m/>
    <m/>
  </r>
  <r>
    <n v="68689251"/>
    <x v="0"/>
    <n v="2282"/>
    <d v="2026-03-13T00:00:00"/>
    <s v="KL Original Vanilla Bar 12-6PK"/>
    <x v="4"/>
    <n v="9.5760000000000012E-3"/>
    <n v="132"/>
    <x v="1"/>
    <x v="2"/>
    <n v="1"/>
    <n v="2282"/>
    <n v="21.852432000000004"/>
    <n v="17.287878787878789"/>
    <s v="Mar"/>
    <x v="12"/>
    <m/>
    <m/>
  </r>
  <r>
    <n v="68689251"/>
    <x v="0"/>
    <n v="1848"/>
    <d v="2026-03-19T00:00:00"/>
    <s v="KL Original Vanilla Bar 12-6PK"/>
    <x v="4"/>
    <n v="9.5760000000000012E-3"/>
    <n v="132"/>
    <x v="1"/>
    <x v="2"/>
    <n v="1"/>
    <n v="1848"/>
    <n v="17.696448000000004"/>
    <n v="14"/>
    <s v="Mar"/>
    <x v="9"/>
    <m/>
    <m/>
  </r>
  <r>
    <n v="68689251"/>
    <x v="0"/>
    <n v="3514"/>
    <d v="2026-03-20T00:00:00"/>
    <s v="KL Original Vanilla Bar 12-6PK"/>
    <x v="4"/>
    <n v="9.5760000000000012E-3"/>
    <n v="132"/>
    <x v="1"/>
    <x v="2"/>
    <n v="1"/>
    <n v="3514"/>
    <n v="33.650064000000008"/>
    <n v="26.621212121212121"/>
    <s v="Mar"/>
    <x v="9"/>
    <m/>
    <m/>
  </r>
  <r>
    <n v="68689251"/>
    <x v="0"/>
    <n v="14"/>
    <d v="2026-03-22T00:00:00"/>
    <s v="KL Original Vanilla Bar 12-6PK"/>
    <x v="4"/>
    <n v="9.5760000000000012E-3"/>
    <n v="132"/>
    <x v="1"/>
    <x v="2"/>
    <n v="1"/>
    <n v="14"/>
    <n v="0.13406400000000002"/>
    <n v="0.10606060606060606"/>
    <s v="Mar"/>
    <x v="10"/>
    <m/>
    <m/>
  </r>
  <r>
    <n v="68709233"/>
    <x v="0"/>
    <n v="4110"/>
    <d v="2026-03-21T00:00:00"/>
    <s v="KL SAB RF NSA Vanilla Bar 12-6PK"/>
    <x v="20"/>
    <n v="8.4960000000000001E-3"/>
    <n v="132"/>
    <x v="1"/>
    <x v="2"/>
    <n v="1"/>
    <n v="4110"/>
    <n v="34.918559999999999"/>
    <n v="31.136363636363637"/>
    <s v="Mar"/>
    <x v="9"/>
    <m/>
    <m/>
  </r>
  <r>
    <n v="68709233"/>
    <x v="0"/>
    <n v="3394"/>
    <d v="2026-03-22T00:00:00"/>
    <s v="KL SAB RF NSA Vanilla Bar 12-6PK"/>
    <x v="20"/>
    <n v="8.4960000000000001E-3"/>
    <n v="132"/>
    <x v="1"/>
    <x v="2"/>
    <n v="1"/>
    <n v="3394"/>
    <n v="28.835424"/>
    <n v="25.712121212121211"/>
    <s v="Mar"/>
    <x v="10"/>
    <m/>
    <m/>
  </r>
  <r>
    <n v="68709233"/>
    <x v="0"/>
    <n v="2904"/>
    <d v="2026-03-22T00:00:00"/>
    <s v="KL SAB RF NSA Vanilla Bar 12-6PK"/>
    <x v="20"/>
    <n v="8.4960000000000001E-3"/>
    <n v="132"/>
    <x v="1"/>
    <x v="2"/>
    <n v="1"/>
    <n v="2904"/>
    <n v="24.672384000000001"/>
    <n v="22"/>
    <s v="Mar"/>
    <x v="10"/>
    <m/>
    <m/>
  </r>
  <r>
    <n v="68709233"/>
    <x v="0"/>
    <n v="4089"/>
    <d v="2026-03-23T00:00:00"/>
    <s v="KL SAB RF NSA Vanilla Bar 12-6PK"/>
    <x v="20"/>
    <n v="8.4960000000000001E-3"/>
    <n v="132"/>
    <x v="1"/>
    <x v="2"/>
    <n v="1"/>
    <n v="4089"/>
    <n v="34.740144000000001"/>
    <n v="30.977272727272727"/>
    <s v="Mar"/>
    <x v="10"/>
    <m/>
    <m/>
  </r>
  <r>
    <n v="68709233"/>
    <x v="0"/>
    <n v="3300"/>
    <d v="2026-03-23T00:00:00"/>
    <s v="KL SAB RF NSA Vanilla Bar 12-6PK"/>
    <x v="2"/>
    <n v="8.4960000000000001E-3"/>
    <n v="132"/>
    <x v="1"/>
    <x v="2"/>
    <n v="1"/>
    <n v="3300"/>
    <n v="28.036799999999999"/>
    <n v="25"/>
    <s v="Mar"/>
    <x v="10"/>
    <m/>
    <m/>
  </r>
  <r>
    <n v="68709233"/>
    <x v="0"/>
    <n v="3887"/>
    <d v="2026-03-24T00:00:00"/>
    <s v="KL SAB RF NSA Vanilla Bar 12-6PK"/>
    <x v="2"/>
    <n v="8.4960000000000001E-3"/>
    <n v="132"/>
    <x v="1"/>
    <x v="2"/>
    <n v="1"/>
    <n v="3887"/>
    <n v="33.023952000000001"/>
    <n v="29.446969696969695"/>
    <s v="Mar"/>
    <x v="10"/>
    <m/>
    <m/>
  </r>
  <r>
    <n v="68709233"/>
    <x v="0"/>
    <n v="1955"/>
    <d v="2026-03-24T00:00:00"/>
    <s v="KL SAB RF NSA Vanilla Bar 12-6PK"/>
    <x v="2"/>
    <n v="8.4960000000000001E-3"/>
    <n v="132"/>
    <x v="1"/>
    <x v="2"/>
    <n v="1"/>
    <n v="1955"/>
    <n v="16.609680000000001"/>
    <n v="14.810606060606061"/>
    <s v="Mar"/>
    <x v="10"/>
    <m/>
    <m/>
  </r>
  <r>
    <n v="68709233"/>
    <x v="0"/>
    <n v="1946"/>
    <d v="2026-03-18T00:00:00"/>
    <s v="KL SAB RF NSA Vanilla Bar 12-6PK"/>
    <x v="20"/>
    <n v="8.4960000000000001E-3"/>
    <n v="132"/>
    <x v="1"/>
    <x v="2"/>
    <n v="1"/>
    <n v="1946"/>
    <n v="16.533215999999999"/>
    <n v="14.742424242424242"/>
    <s v="Mar"/>
    <x v="9"/>
    <m/>
    <m/>
  </r>
  <r>
    <n v="68709233"/>
    <x v="0"/>
    <n v="3036"/>
    <d v="2026-03-18T00:00:00"/>
    <s v="KL SAB RF NSA Vanilla Bar 12-6PK"/>
    <x v="20"/>
    <n v="8.4960000000000001E-3"/>
    <n v="132"/>
    <x v="1"/>
    <x v="2"/>
    <n v="1"/>
    <n v="3036"/>
    <n v="25.793856000000002"/>
    <n v="23"/>
    <s v="Mar"/>
    <x v="9"/>
    <m/>
    <m/>
  </r>
  <r>
    <n v="68709233"/>
    <x v="0"/>
    <n v="3854"/>
    <d v="2026-03-19T00:00:00"/>
    <s v="KL SAB RF NSA Vanilla Bar 12-6PK"/>
    <x v="20"/>
    <n v="8.4960000000000001E-3"/>
    <n v="132"/>
    <x v="1"/>
    <x v="2"/>
    <n v="1"/>
    <n v="3854"/>
    <n v="32.743583999999998"/>
    <n v="29.196969696969695"/>
    <s v="Mar"/>
    <x v="9"/>
    <m/>
    <m/>
  </r>
  <r>
    <n v="68709233"/>
    <x v="0"/>
    <n v="3168"/>
    <d v="2026-03-23T00:00:00"/>
    <s v="KL SAB RF NSA Vanilla Bar 12-6PK"/>
    <x v="20"/>
    <n v="8.4960000000000001E-3"/>
    <n v="132"/>
    <x v="1"/>
    <x v="2"/>
    <n v="1"/>
    <n v="3168"/>
    <n v="26.915327999999999"/>
    <n v="24"/>
    <s v="Mar"/>
    <x v="10"/>
    <m/>
    <m/>
  </r>
  <r>
    <n v="68709233"/>
    <x v="0"/>
    <n v="252"/>
    <d v="2026-03-24T00:00:00"/>
    <s v="KL SAB RF NSA Vanilla Bar 12-6PK"/>
    <x v="20"/>
    <n v="8.4960000000000001E-3"/>
    <n v="132"/>
    <x v="1"/>
    <x v="2"/>
    <n v="1"/>
    <n v="252"/>
    <n v="2.1409920000000002"/>
    <n v="1.9090909090909092"/>
    <s v="Mar"/>
    <x v="10"/>
    <m/>
    <m/>
  </r>
  <r>
    <n v="68709233"/>
    <x v="0"/>
    <n v="1716"/>
    <d v="2026-03-24T00:00:00"/>
    <s v="KL SAB RF NSA Vanilla Bar 12-6PK"/>
    <x v="20"/>
    <n v="8.4960000000000001E-3"/>
    <n v="132"/>
    <x v="1"/>
    <x v="2"/>
    <n v="1"/>
    <n v="1716"/>
    <n v="14.579136"/>
    <n v="13"/>
    <s v="Mar"/>
    <x v="10"/>
    <m/>
    <m/>
  </r>
  <r>
    <n v="68709233"/>
    <x v="0"/>
    <n v="2640"/>
    <d v="2026-03-20T00:00:00"/>
    <s v="KL SAB RF NSA Vanilla Bar 12-6PK"/>
    <x v="20"/>
    <n v="8.4960000000000001E-3"/>
    <n v="132"/>
    <x v="1"/>
    <x v="2"/>
    <n v="1"/>
    <n v="2640"/>
    <n v="22.42944"/>
    <n v="20"/>
    <s v="Mar"/>
    <x v="9"/>
    <m/>
    <m/>
  </r>
  <r>
    <n v="68709233"/>
    <x v="0"/>
    <n v="855"/>
    <d v="2026-03-21T00:00:00"/>
    <s v="KL SAB RF NSA Vanilla Bar 12-6PK"/>
    <x v="20"/>
    <n v="8.4960000000000001E-3"/>
    <n v="132"/>
    <x v="1"/>
    <x v="2"/>
    <n v="1"/>
    <n v="855"/>
    <n v="7.2640799999999999"/>
    <n v="6.4772727272727275"/>
    <s v="Mar"/>
    <x v="9"/>
    <m/>
    <m/>
  </r>
  <r>
    <n v="68709233"/>
    <x v="0"/>
    <n v="528"/>
    <d v="2026-03-16T00:00:00"/>
    <s v="KL SAB RF NSA Vanilla Bar 12-6PK"/>
    <x v="2"/>
    <n v="8.4960000000000001E-3"/>
    <n v="132"/>
    <x v="1"/>
    <x v="2"/>
    <n v="1"/>
    <n v="528"/>
    <n v="4.4858880000000001"/>
    <n v="4"/>
    <s v="Mar"/>
    <x v="9"/>
    <m/>
    <m/>
  </r>
  <r>
    <n v="68709233"/>
    <x v="0"/>
    <n v="3620"/>
    <d v="2026-03-17T00:00:00"/>
    <s v="KL SAB RF NSA Vanilla Bar 12-6PK"/>
    <x v="2"/>
    <n v="8.4960000000000001E-3"/>
    <n v="132"/>
    <x v="1"/>
    <x v="2"/>
    <n v="1"/>
    <n v="3620"/>
    <n v="30.755520000000001"/>
    <n v="27.424242424242426"/>
    <s v="Mar"/>
    <x v="9"/>
    <m/>
    <m/>
  </r>
  <r>
    <n v="68709233"/>
    <x v="0"/>
    <n v="3696"/>
    <d v="2026-03-17T00:00:00"/>
    <s v="KL SAB RF NSA Vanilla Bar 12-6PK"/>
    <x v="2"/>
    <n v="8.4960000000000001E-3"/>
    <n v="132"/>
    <x v="1"/>
    <x v="2"/>
    <n v="1"/>
    <n v="3696"/>
    <n v="31.401216000000002"/>
    <n v="28"/>
    <s v="Mar"/>
    <x v="9"/>
    <m/>
    <m/>
  </r>
  <r>
    <n v="68709233"/>
    <x v="0"/>
    <n v="2772"/>
    <d v="2026-03-18T00:00:00"/>
    <s v="KL SAB RF NSA Vanilla Bar 12-6PK"/>
    <x v="2"/>
    <n v="8.4960000000000001E-3"/>
    <n v="132"/>
    <x v="1"/>
    <x v="2"/>
    <n v="1"/>
    <n v="2772"/>
    <n v="23.550912"/>
    <n v="21"/>
    <s v="Mar"/>
    <x v="9"/>
    <m/>
    <m/>
  </r>
  <r>
    <n v="68709233"/>
    <x v="0"/>
    <n v="2376"/>
    <d v="2026-03-18T00:00:00"/>
    <s v="KL SAB RF NSA Vanilla Bar 12-6PK"/>
    <x v="2"/>
    <n v="8.4960000000000001E-3"/>
    <n v="132"/>
    <x v="1"/>
    <x v="2"/>
    <n v="1"/>
    <n v="2376"/>
    <n v="20.186496000000002"/>
    <n v="18"/>
    <s v="Mar"/>
    <x v="9"/>
    <m/>
    <m/>
  </r>
  <r>
    <n v="68709233"/>
    <x v="0"/>
    <n v="4234"/>
    <d v="2026-03-19T00:00:00"/>
    <s v="KL SAB RF NSA Vanilla Bar 12-6PK"/>
    <x v="2"/>
    <n v="8.4960000000000001E-3"/>
    <n v="132"/>
    <x v="1"/>
    <x v="2"/>
    <n v="1"/>
    <n v="4234"/>
    <n v="35.972064000000003"/>
    <n v="32.075757575757578"/>
    <s v="Mar"/>
    <x v="9"/>
    <m/>
    <m/>
  </r>
  <r>
    <n v="68709233"/>
    <x v="0"/>
    <n v="2376"/>
    <d v="2026-03-19T00:00:00"/>
    <s v="KL SAB RF NSA Vanilla Bar 12-6PK"/>
    <x v="2"/>
    <n v="8.4960000000000001E-3"/>
    <n v="132"/>
    <x v="1"/>
    <x v="2"/>
    <n v="1"/>
    <n v="2376"/>
    <n v="20.186496000000002"/>
    <n v="18"/>
    <s v="Mar"/>
    <x v="9"/>
    <m/>
    <m/>
  </r>
  <r>
    <n v="68709233"/>
    <x v="0"/>
    <n v="1959"/>
    <d v="2026-03-20T00:00:00"/>
    <s v="KL SAB RF NSA Vanilla Bar 12-6PK"/>
    <x v="2"/>
    <n v="8.4960000000000001E-3"/>
    <n v="132"/>
    <x v="1"/>
    <x v="2"/>
    <n v="1"/>
    <n v="1959"/>
    <n v="16.643664000000001"/>
    <n v="14.840909090909092"/>
    <s v="Mar"/>
    <x v="9"/>
    <m/>
    <m/>
  </r>
  <r>
    <n v="68709233"/>
    <x v="0"/>
    <n v="597"/>
    <d v="2026-03-20T00:00:00"/>
    <s v="KL SAB RF NSA Vanilla Bar 12-6PK"/>
    <x v="2"/>
    <n v="8.4960000000000001E-3"/>
    <n v="132"/>
    <x v="1"/>
    <x v="2"/>
    <n v="1"/>
    <n v="597"/>
    <n v="5.0721119999999997"/>
    <n v="4.5227272727272725"/>
    <s v="Mar"/>
    <x v="9"/>
    <m/>
    <m/>
  </r>
  <r>
    <n v="68709233"/>
    <x v="0"/>
    <n v="3036"/>
    <d v="2026-03-21T00:00:00"/>
    <s v="KL SAB RF NSA Vanilla Bar 12-6PK"/>
    <x v="2"/>
    <n v="8.4960000000000001E-3"/>
    <n v="132"/>
    <x v="1"/>
    <x v="2"/>
    <n v="1"/>
    <n v="3036"/>
    <n v="25.793856000000002"/>
    <n v="23"/>
    <s v="Mar"/>
    <x v="9"/>
    <m/>
    <m/>
  </r>
  <r>
    <n v="68709233"/>
    <x v="0"/>
    <n v="4241"/>
    <d v="2026-03-22T00:00:00"/>
    <s v="KL SAB RF NSA Vanilla Bar 12-6PK"/>
    <x v="2"/>
    <n v="8.4960000000000001E-3"/>
    <n v="132"/>
    <x v="1"/>
    <x v="2"/>
    <n v="1"/>
    <n v="4241"/>
    <n v="36.031536000000003"/>
    <n v="32.128787878787875"/>
    <s v="Mar"/>
    <x v="10"/>
    <m/>
    <m/>
  </r>
  <r>
    <n v="68709233"/>
    <x v="0"/>
    <n v="3432"/>
    <d v="2026-03-22T00:00:00"/>
    <s v="KL SAB RF NSA Vanilla Bar 12-6PK"/>
    <x v="2"/>
    <n v="8.4960000000000001E-3"/>
    <n v="132"/>
    <x v="1"/>
    <x v="2"/>
    <n v="1"/>
    <n v="3432"/>
    <n v="29.158272"/>
    <n v="26"/>
    <s v="Mar"/>
    <x v="10"/>
    <m/>
    <m/>
  </r>
  <r>
    <n v="68709233"/>
    <x v="0"/>
    <n v="4863"/>
    <d v="2026-03-23T00:00:00"/>
    <s v="KL SAB RF NSA Vanilla Bar 12-6PK"/>
    <x v="2"/>
    <n v="8.4960000000000001E-3"/>
    <n v="132"/>
    <x v="1"/>
    <x v="2"/>
    <n v="1"/>
    <n v="4863"/>
    <n v="41.316048000000002"/>
    <n v="36.840909090909093"/>
    <s v="Mar"/>
    <x v="10"/>
    <m/>
    <m/>
  </r>
  <r>
    <n v="68709233"/>
    <x v="0"/>
    <n v="3168"/>
    <d v="2026-03-19T00:00:00"/>
    <s v="KL SAB RF NSA Vanilla Bar 12-6PK"/>
    <x v="20"/>
    <n v="8.4960000000000001E-3"/>
    <n v="132"/>
    <x v="1"/>
    <x v="2"/>
    <n v="1"/>
    <n v="3168"/>
    <n v="26.915327999999999"/>
    <n v="24"/>
    <s v="Mar"/>
    <x v="9"/>
    <m/>
    <m/>
  </r>
  <r>
    <n v="68709233"/>
    <x v="0"/>
    <n v="4181"/>
    <d v="2026-03-20T00:00:00"/>
    <s v="KL SAB RF NSA Vanilla Bar 12-6PK"/>
    <x v="20"/>
    <n v="8.4960000000000001E-3"/>
    <n v="132"/>
    <x v="1"/>
    <x v="2"/>
    <n v="1"/>
    <n v="4181"/>
    <n v="35.521776000000003"/>
    <n v="31.674242424242426"/>
    <s v="Mar"/>
    <x v="9"/>
    <m/>
    <m/>
  </r>
  <r>
    <n v="68709233"/>
    <x v="0"/>
    <n v="264"/>
    <d v="2026-03-20T00:00:00"/>
    <s v="KL SAB RF NSA Vanilla Bar 12-6PK"/>
    <x v="2"/>
    <n v="8.4960000000000001E-3"/>
    <n v="132"/>
    <x v="1"/>
    <x v="2"/>
    <n v="1"/>
    <n v="264"/>
    <n v="2.242944"/>
    <n v="2"/>
    <s v="Mar"/>
    <x v="9"/>
    <m/>
    <m/>
  </r>
  <r>
    <n v="68709233"/>
    <x v="0"/>
    <n v="3918"/>
    <d v="2026-03-21T00:00:00"/>
    <s v="KL SAB RF NSA Vanilla Bar 12-6PK"/>
    <x v="2"/>
    <n v="8.4960000000000001E-3"/>
    <n v="132"/>
    <x v="1"/>
    <x v="2"/>
    <n v="1"/>
    <n v="3918"/>
    <n v="33.287328000000002"/>
    <n v="29.681818181818183"/>
    <s v="Mar"/>
    <x v="9"/>
    <m/>
    <m/>
  </r>
  <r>
    <n v="68709237"/>
    <x v="0"/>
    <n v="155"/>
    <d v="2026-02-26T00:00:00"/>
    <s v="KL Chocolate/Chocolate Bar 12-6PK"/>
    <x v="4"/>
    <n v="9.5760000000000012E-3"/>
    <n v="132"/>
    <x v="1"/>
    <x v="2"/>
    <n v="1"/>
    <n v="155"/>
    <n v="1.4842800000000003"/>
    <n v="1.1742424242424243"/>
    <s v="Feb"/>
    <x v="6"/>
    <m/>
    <m/>
  </r>
  <r>
    <n v="68710277"/>
    <x v="0"/>
    <n v="2267"/>
    <d v="2026-03-04T00:00:00"/>
    <s v="KL SAB RF NSA Krunch Bar 12-6PK"/>
    <x v="20"/>
    <n v="8.5199999999999998E-3"/>
    <n v="132"/>
    <x v="1"/>
    <x v="2"/>
    <n v="1"/>
    <n v="2267"/>
    <n v="19.31484"/>
    <n v="17.174242424242426"/>
    <s v="Mar"/>
    <x v="11"/>
    <m/>
    <m/>
  </r>
  <r>
    <n v="68710277"/>
    <x v="0"/>
    <n v="2508"/>
    <d v="2026-03-04T00:00:00"/>
    <s v="KL SAB RF NSA Krunch Bar 12-6PK"/>
    <x v="20"/>
    <n v="8.5199999999999998E-3"/>
    <n v="132"/>
    <x v="1"/>
    <x v="2"/>
    <n v="1"/>
    <n v="2508"/>
    <n v="21.36816"/>
    <n v="19"/>
    <s v="Mar"/>
    <x v="11"/>
    <m/>
    <m/>
  </r>
  <r>
    <n v="68710277"/>
    <x v="0"/>
    <n v="4612"/>
    <d v="2026-03-05T00:00:00"/>
    <s v="KL SAB RF NSA Krunch Bar 12-6PK"/>
    <x v="20"/>
    <n v="8.5199999999999998E-3"/>
    <n v="132"/>
    <x v="1"/>
    <x v="2"/>
    <n v="1"/>
    <n v="4612"/>
    <n v="39.294240000000002"/>
    <n v="34.939393939393938"/>
    <s v="Mar"/>
    <x v="11"/>
    <m/>
    <m/>
  </r>
  <r>
    <n v="68710277"/>
    <x v="0"/>
    <n v="2244"/>
    <d v="2026-03-05T00:00:00"/>
    <s v="KL SAB RF NSA Krunch Bar 12-6PK"/>
    <x v="20"/>
    <n v="8.5199999999999998E-3"/>
    <n v="132"/>
    <x v="1"/>
    <x v="2"/>
    <n v="1"/>
    <n v="2244"/>
    <n v="19.118880000000001"/>
    <n v="17"/>
    <s v="Mar"/>
    <x v="11"/>
    <m/>
    <m/>
  </r>
  <r>
    <n v="68710277"/>
    <x v="0"/>
    <n v="2315"/>
    <d v="2026-03-06T00:00:00"/>
    <s v="KL SAB RF NSA Krunch Bar 12-6PK"/>
    <x v="20"/>
    <n v="8.5199999999999998E-3"/>
    <n v="132"/>
    <x v="1"/>
    <x v="2"/>
    <n v="1"/>
    <n v="2315"/>
    <n v="19.723800000000001"/>
    <n v="17.537878787878789"/>
    <s v="Mar"/>
    <x v="11"/>
    <m/>
    <m/>
  </r>
  <r>
    <n v="68710277"/>
    <x v="0"/>
    <n v="1848"/>
    <d v="2026-03-06T00:00:00"/>
    <s v="KL SAB RF NSA Krunch Bar 12-6PK"/>
    <x v="20"/>
    <n v="8.5199999999999998E-3"/>
    <n v="132"/>
    <x v="1"/>
    <x v="2"/>
    <n v="1"/>
    <n v="1848"/>
    <n v="15.744959999999999"/>
    <n v="14"/>
    <s v="Mar"/>
    <x v="11"/>
    <m/>
    <m/>
  </r>
  <r>
    <n v="68710277"/>
    <x v="0"/>
    <n v="1247"/>
    <d v="2026-03-07T00:00:00"/>
    <s v="KL SAB RF NSA Krunch Bar 12-6PK"/>
    <x v="20"/>
    <n v="8.5199999999999998E-3"/>
    <n v="132"/>
    <x v="1"/>
    <x v="2"/>
    <n v="1"/>
    <n v="1247"/>
    <n v="10.62444"/>
    <n v="9.4469696969696972"/>
    <s v="Mar"/>
    <x v="11"/>
    <m/>
    <m/>
  </r>
  <r>
    <n v="68710277"/>
    <x v="0"/>
    <n v="2508"/>
    <d v="2026-03-07T00:00:00"/>
    <s v="KL SAB RF NSA Krunch Bar 12-6PK"/>
    <x v="20"/>
    <n v="8.5199999999999998E-3"/>
    <n v="132"/>
    <x v="1"/>
    <x v="2"/>
    <n v="1"/>
    <n v="2508"/>
    <n v="21.36816"/>
    <n v="19"/>
    <s v="Mar"/>
    <x v="11"/>
    <m/>
    <m/>
  </r>
  <r>
    <n v="68710277"/>
    <x v="0"/>
    <n v="3205"/>
    <d v="2026-03-08T00:00:00"/>
    <s v="KL SAB RF NSA Krunch Bar 12-6PK"/>
    <x v="20"/>
    <n v="8.5199999999999998E-3"/>
    <n v="132"/>
    <x v="1"/>
    <x v="2"/>
    <n v="1"/>
    <n v="3205"/>
    <n v="27.3066"/>
    <n v="24.280303030303031"/>
    <s v="Mar"/>
    <x v="12"/>
    <m/>
    <m/>
  </r>
  <r>
    <n v="68710277"/>
    <x v="0"/>
    <n v="2640"/>
    <d v="2026-03-08T00:00:00"/>
    <s v="KL SAB RF NSA Krunch Bar 12-6PK"/>
    <x v="20"/>
    <n v="8.5199999999999998E-3"/>
    <n v="132"/>
    <x v="1"/>
    <x v="2"/>
    <n v="1"/>
    <n v="2640"/>
    <n v="22.492799999999999"/>
    <n v="20"/>
    <s v="Mar"/>
    <x v="12"/>
    <m/>
    <m/>
  </r>
  <r>
    <n v="68710277"/>
    <x v="0"/>
    <n v="3118"/>
    <d v="2026-03-09T00:00:00"/>
    <s v="KL SAB RF NSA Krunch Bar 12-6PK"/>
    <x v="20"/>
    <n v="8.5199999999999998E-3"/>
    <n v="132"/>
    <x v="1"/>
    <x v="2"/>
    <n v="1"/>
    <n v="3118"/>
    <n v="26.565359999999998"/>
    <n v="23.621212121212121"/>
    <s v="Mar"/>
    <x v="12"/>
    <m/>
    <m/>
  </r>
  <r>
    <n v="68710277"/>
    <x v="0"/>
    <n v="2904"/>
    <d v="2026-03-09T00:00:00"/>
    <s v="KL SAB RF NSA Krunch Bar 12-6PK"/>
    <x v="20"/>
    <n v="8.5199999999999998E-3"/>
    <n v="132"/>
    <x v="1"/>
    <x v="2"/>
    <n v="1"/>
    <n v="2904"/>
    <n v="24.742079999999998"/>
    <n v="22"/>
    <s v="Mar"/>
    <x v="12"/>
    <m/>
    <m/>
  </r>
  <r>
    <n v="68710277"/>
    <x v="0"/>
    <n v="1503"/>
    <d v="2026-03-10T00:00:00"/>
    <s v="KL SAB RF NSA Krunch Bar 12-6PK"/>
    <x v="20"/>
    <n v="8.5199999999999998E-3"/>
    <n v="132"/>
    <x v="1"/>
    <x v="2"/>
    <n v="1"/>
    <n v="1503"/>
    <n v="12.80556"/>
    <n v="11.386363636363637"/>
    <s v="Mar"/>
    <x v="12"/>
    <m/>
    <m/>
  </r>
  <r>
    <n v="68710277"/>
    <x v="0"/>
    <n v="2640"/>
    <d v="2026-03-10T00:00:00"/>
    <s v="KL SAB RF NSA Krunch Bar 12-6PK"/>
    <x v="20"/>
    <n v="8.5199999999999998E-3"/>
    <n v="132"/>
    <x v="1"/>
    <x v="2"/>
    <n v="1"/>
    <n v="2640"/>
    <n v="22.492799999999999"/>
    <n v="20"/>
    <s v="Mar"/>
    <x v="12"/>
    <m/>
    <m/>
  </r>
  <r>
    <n v="68710277"/>
    <x v="0"/>
    <n v="3622"/>
    <d v="2026-03-11T00:00:00"/>
    <s v="KL SAB RF NSA Krunch Bar 12-6PK"/>
    <x v="20"/>
    <n v="8.5199999999999998E-3"/>
    <n v="132"/>
    <x v="1"/>
    <x v="2"/>
    <n v="1"/>
    <n v="3622"/>
    <n v="30.859439999999999"/>
    <n v="27.439393939393938"/>
    <s v="Mar"/>
    <x v="12"/>
    <m/>
    <m/>
  </r>
  <r>
    <n v="68710277"/>
    <x v="0"/>
    <n v="2772"/>
    <d v="2026-03-11T00:00:00"/>
    <s v="KL SAB RF NSA Krunch Bar 12-6PK"/>
    <x v="20"/>
    <n v="8.5199999999999998E-3"/>
    <n v="132"/>
    <x v="1"/>
    <x v="2"/>
    <n v="1"/>
    <n v="2772"/>
    <n v="23.617439999999998"/>
    <n v="21"/>
    <s v="Mar"/>
    <x v="12"/>
    <m/>
    <m/>
  </r>
  <r>
    <n v="68710277"/>
    <x v="0"/>
    <n v="3755"/>
    <d v="2026-03-12T00:00:00"/>
    <s v="KL SAB RF NSA Krunch Bar 12-6PK"/>
    <x v="20"/>
    <n v="8.5199999999999998E-3"/>
    <n v="132"/>
    <x v="1"/>
    <x v="2"/>
    <n v="1"/>
    <n v="3755"/>
    <n v="31.992599999999999"/>
    <n v="28.446969696969695"/>
    <s v="Mar"/>
    <x v="12"/>
    <m/>
    <m/>
  </r>
  <r>
    <n v="68710277"/>
    <x v="0"/>
    <n v="2772"/>
    <d v="2026-03-12T00:00:00"/>
    <s v="KL SAB RF NSA Krunch Bar 12-6PK"/>
    <x v="20"/>
    <n v="8.5199999999999998E-3"/>
    <n v="132"/>
    <x v="1"/>
    <x v="2"/>
    <n v="1"/>
    <n v="2772"/>
    <n v="23.617439999999998"/>
    <n v="21"/>
    <s v="Mar"/>
    <x v="12"/>
    <m/>
    <m/>
  </r>
  <r>
    <n v="68710277"/>
    <x v="0"/>
    <n v="2611"/>
    <d v="2026-03-13T00:00:00"/>
    <s v="KL SAB RF NSA Krunch Bar 12-6PK"/>
    <x v="20"/>
    <n v="8.5199999999999998E-3"/>
    <n v="132"/>
    <x v="1"/>
    <x v="2"/>
    <n v="1"/>
    <n v="2611"/>
    <n v="22.245719999999999"/>
    <n v="19.780303030303031"/>
    <s v="Mar"/>
    <x v="12"/>
    <m/>
    <m/>
  </r>
  <r>
    <n v="68710277"/>
    <x v="0"/>
    <n v="1716"/>
    <d v="2026-03-13T00:00:00"/>
    <s v="KL SAB RF NSA Krunch Bar 12-6PK"/>
    <x v="20"/>
    <n v="8.5199999999999998E-3"/>
    <n v="132"/>
    <x v="1"/>
    <x v="2"/>
    <n v="1"/>
    <n v="1716"/>
    <n v="14.62032"/>
    <n v="13"/>
    <s v="Mar"/>
    <x v="12"/>
    <m/>
    <m/>
  </r>
  <r>
    <n v="68710277"/>
    <x v="0"/>
    <n v="2957"/>
    <d v="2026-03-14T00:00:00"/>
    <s v="KL SAB RF NSA Krunch Bar 12-6PK"/>
    <x v="20"/>
    <n v="8.5199999999999998E-3"/>
    <n v="132"/>
    <x v="1"/>
    <x v="2"/>
    <n v="1"/>
    <n v="2957"/>
    <n v="25.193639999999998"/>
    <n v="22.401515151515152"/>
    <s v="Mar"/>
    <x v="12"/>
    <m/>
    <m/>
  </r>
  <r>
    <n v="68710277"/>
    <x v="0"/>
    <n v="2269"/>
    <d v="2026-03-14T00:00:00"/>
    <s v="KL SAB RF NSA Krunch Bar 12-6PK"/>
    <x v="20"/>
    <n v="8.5199999999999998E-3"/>
    <n v="132"/>
    <x v="1"/>
    <x v="2"/>
    <n v="1"/>
    <n v="2269"/>
    <n v="19.331879999999998"/>
    <n v="17.189393939393938"/>
    <s v="Mar"/>
    <x v="12"/>
    <m/>
    <m/>
  </r>
  <r>
    <n v="68710277"/>
    <x v="0"/>
    <n v="3506"/>
    <d v="2026-03-15T00:00:00"/>
    <s v="KL SAB RF NSA Krunch Bar 12-6PK"/>
    <x v="20"/>
    <n v="8.5199999999999998E-3"/>
    <n v="132"/>
    <x v="1"/>
    <x v="2"/>
    <n v="1"/>
    <n v="3506"/>
    <n v="29.871119999999998"/>
    <n v="26.560606060606062"/>
    <s v="Mar"/>
    <x v="9"/>
    <m/>
    <m/>
  </r>
  <r>
    <n v="68710277"/>
    <x v="0"/>
    <n v="2244"/>
    <d v="2026-03-15T00:00:00"/>
    <s v="KL SAB RF NSA Krunch Bar 12-6PK"/>
    <x v="20"/>
    <n v="8.5199999999999998E-3"/>
    <n v="132"/>
    <x v="1"/>
    <x v="2"/>
    <n v="1"/>
    <n v="2244"/>
    <n v="19.118880000000001"/>
    <n v="17"/>
    <s v="Mar"/>
    <x v="9"/>
    <m/>
    <m/>
  </r>
  <r>
    <n v="68710277"/>
    <x v="0"/>
    <n v="2537"/>
    <d v="2026-03-16T00:00:00"/>
    <s v="KL SAB RF NSA Krunch Bar 12-6PK"/>
    <x v="20"/>
    <n v="8.5199999999999998E-3"/>
    <n v="132"/>
    <x v="1"/>
    <x v="2"/>
    <n v="1"/>
    <n v="2537"/>
    <n v="21.61524"/>
    <n v="19.219696969696969"/>
    <s v="Mar"/>
    <x v="9"/>
    <m/>
    <m/>
  </r>
  <r>
    <n v="68710277"/>
    <x v="0"/>
    <n v="1917"/>
    <d v="2026-03-16T00:00:00"/>
    <s v="KL SAB RF NSA Krunch Bar 12-6PK"/>
    <x v="20"/>
    <n v="8.5199999999999998E-3"/>
    <n v="132"/>
    <x v="1"/>
    <x v="2"/>
    <n v="1"/>
    <n v="1917"/>
    <n v="16.332840000000001"/>
    <n v="14.522727272727273"/>
    <s v="Mar"/>
    <x v="9"/>
    <m/>
    <m/>
  </r>
  <r>
    <n v="68710277"/>
    <x v="0"/>
    <n v="7"/>
    <d v="2026-03-17T00:00:00"/>
    <s v="KL SAB RF NSA Krunch Bar 12-6PK"/>
    <x v="20"/>
    <n v="8.5199999999999998E-3"/>
    <n v="132"/>
    <x v="1"/>
    <x v="2"/>
    <n v="1"/>
    <n v="7"/>
    <n v="5.9639999999999999E-2"/>
    <n v="5.3030303030303032E-2"/>
    <s v="Mar"/>
    <x v="9"/>
    <m/>
    <m/>
  </r>
  <r>
    <n v="68710285"/>
    <x v="0"/>
    <n v="1584"/>
    <d v="2026-03-10T00:00:00"/>
    <s v="KL Krunch Bar 12-6PK"/>
    <x v="2"/>
    <n v="9.5760000000000012E-3"/>
    <n v="132"/>
    <x v="1"/>
    <x v="2"/>
    <n v="1"/>
    <n v="1584"/>
    <n v="15.168384000000001"/>
    <n v="12"/>
    <s v="Mar"/>
    <x v="12"/>
    <m/>
    <m/>
  </r>
  <r>
    <n v="68710285"/>
    <x v="0"/>
    <n v="3307"/>
    <d v="2026-03-11T00:00:00"/>
    <s v="KL Krunch Bar 12-6PK"/>
    <x v="2"/>
    <n v="9.5760000000000012E-3"/>
    <n v="132"/>
    <x v="1"/>
    <x v="2"/>
    <n v="1"/>
    <n v="3307"/>
    <n v="31.667832000000004"/>
    <n v="25.053030303030305"/>
    <s v="Mar"/>
    <x v="12"/>
    <m/>
    <m/>
  </r>
  <r>
    <n v="68710285"/>
    <x v="0"/>
    <n v="2376"/>
    <d v="2026-03-11T00:00:00"/>
    <s v="KL Krunch Bar 12-6PK"/>
    <x v="2"/>
    <n v="9.5760000000000012E-3"/>
    <n v="132"/>
    <x v="1"/>
    <x v="2"/>
    <n v="1"/>
    <n v="2376"/>
    <n v="22.752576000000001"/>
    <n v="18"/>
    <s v="Mar"/>
    <x v="12"/>
    <m/>
    <m/>
  </r>
  <r>
    <n v="68710285"/>
    <x v="0"/>
    <n v="4124"/>
    <d v="2026-03-12T00:00:00"/>
    <s v="KL Krunch Bar 12-6PK"/>
    <x v="2"/>
    <n v="9.5760000000000012E-3"/>
    <n v="132"/>
    <x v="1"/>
    <x v="2"/>
    <n v="1"/>
    <n v="4124"/>
    <n v="39.491424000000002"/>
    <n v="31.242424242424242"/>
    <s v="Mar"/>
    <x v="12"/>
    <m/>
    <m/>
  </r>
  <r>
    <n v="68710285"/>
    <x v="0"/>
    <n v="2376"/>
    <d v="2026-03-12T00:00:00"/>
    <s v="KL Krunch Bar 12-6PK"/>
    <x v="2"/>
    <n v="9.5760000000000012E-3"/>
    <n v="132"/>
    <x v="1"/>
    <x v="2"/>
    <n v="1"/>
    <n v="2376"/>
    <n v="22.752576000000001"/>
    <n v="18"/>
    <s v="Mar"/>
    <x v="12"/>
    <m/>
    <m/>
  </r>
  <r>
    <n v="68710285"/>
    <x v="0"/>
    <n v="3270"/>
    <d v="2026-03-13T00:00:00"/>
    <s v="KL Krunch Bar 12-6PK"/>
    <x v="2"/>
    <n v="9.5760000000000012E-3"/>
    <n v="132"/>
    <x v="1"/>
    <x v="2"/>
    <n v="1"/>
    <n v="3270"/>
    <n v="31.313520000000004"/>
    <n v="24.772727272727273"/>
    <s v="Mar"/>
    <x v="12"/>
    <m/>
    <m/>
  </r>
  <r>
    <n v="68710285"/>
    <x v="0"/>
    <n v="1716"/>
    <d v="2026-03-13T00:00:00"/>
    <s v="KL Krunch Bar 12-6PK"/>
    <x v="2"/>
    <n v="9.5760000000000012E-3"/>
    <n v="132"/>
    <x v="1"/>
    <x v="2"/>
    <n v="1"/>
    <n v="1716"/>
    <n v="16.432416000000003"/>
    <n v="13"/>
    <s v="Mar"/>
    <x v="12"/>
    <m/>
    <m/>
  </r>
  <r>
    <n v="68710285"/>
    <x v="0"/>
    <n v="2772"/>
    <d v="2026-03-14T00:00:00"/>
    <s v="KL Krunch Bar 12-6PK"/>
    <x v="2"/>
    <n v="9.5760000000000012E-3"/>
    <n v="132"/>
    <x v="1"/>
    <x v="2"/>
    <n v="1"/>
    <n v="2772"/>
    <n v="26.544672000000002"/>
    <n v="21"/>
    <s v="Mar"/>
    <x v="12"/>
    <m/>
    <m/>
  </r>
  <r>
    <n v="68710285"/>
    <x v="0"/>
    <n v="3878"/>
    <d v="2026-03-15T00:00:00"/>
    <s v="KL Krunch Bar 12-6PK"/>
    <x v="2"/>
    <n v="9.5760000000000012E-3"/>
    <n v="132"/>
    <x v="1"/>
    <x v="2"/>
    <n v="1"/>
    <n v="3878"/>
    <n v="37.135728000000007"/>
    <n v="29.378787878787879"/>
    <s v="Mar"/>
    <x v="9"/>
    <m/>
    <m/>
  </r>
  <r>
    <n v="68710285"/>
    <x v="0"/>
    <n v="3036"/>
    <d v="2026-03-15T00:00:00"/>
    <s v="KL Krunch Bar 12-6PK"/>
    <x v="2"/>
    <n v="9.5760000000000012E-3"/>
    <n v="132"/>
    <x v="1"/>
    <x v="2"/>
    <n v="1"/>
    <n v="3036"/>
    <n v="29.072736000000003"/>
    <n v="23"/>
    <s v="Mar"/>
    <x v="9"/>
    <m/>
    <m/>
  </r>
  <r>
    <n v="68710285"/>
    <x v="0"/>
    <n v="4653"/>
    <d v="2026-03-16T00:00:00"/>
    <s v="KL Krunch Bar 12-6PK"/>
    <x v="2"/>
    <n v="9.5760000000000012E-3"/>
    <n v="132"/>
    <x v="1"/>
    <x v="2"/>
    <n v="1"/>
    <n v="4653"/>
    <n v="44.557128000000006"/>
    <n v="35.25"/>
    <s v="Mar"/>
    <x v="9"/>
    <m/>
    <m/>
  </r>
  <r>
    <n v="68710285"/>
    <x v="0"/>
    <n v="132"/>
    <d v="2026-03-17T00:00:00"/>
    <s v="KL Krunch Bar 12-6PK"/>
    <x v="2"/>
    <n v="9.5760000000000012E-3"/>
    <n v="132"/>
    <x v="1"/>
    <x v="2"/>
    <n v="1"/>
    <n v="132"/>
    <n v="1.2640320000000003"/>
    <n v="1"/>
    <s v="Mar"/>
    <x v="9"/>
    <m/>
    <m/>
  </r>
  <r>
    <n v="68710285"/>
    <x v="0"/>
    <n v="74"/>
    <d v="2026-03-13T00:00:00"/>
    <s v="KL Krunch Bar 12-6PK"/>
    <x v="2"/>
    <n v="9.5760000000000012E-3"/>
    <n v="132"/>
    <x v="1"/>
    <x v="2"/>
    <n v="1"/>
    <n v="74"/>
    <n v="0.70862400000000014"/>
    <n v="0.56060606060606055"/>
    <s v="Mar"/>
    <x v="12"/>
    <m/>
    <m/>
  </r>
  <r>
    <n v="68710285"/>
    <x v="0"/>
    <n v="3093"/>
    <d v="2026-03-14T00:00:00"/>
    <s v="KL Krunch Bar 12-6PK"/>
    <x v="2"/>
    <n v="9.5760000000000012E-3"/>
    <n v="132"/>
    <x v="1"/>
    <x v="2"/>
    <n v="1"/>
    <n v="3093"/>
    <n v="29.618568000000003"/>
    <n v="23.431818181818183"/>
    <s v="Mar"/>
    <x v="12"/>
    <m/>
    <m/>
  </r>
  <r>
    <n v="68737750"/>
    <x v="0"/>
    <n v="8463"/>
    <d v="2026-03-08T00:00:00"/>
    <s v="BR CO-B Reeses 6 1.5QT"/>
    <x v="12"/>
    <n v="8.5199999999999998E-3"/>
    <n v="176"/>
    <x v="0"/>
    <x v="0"/>
    <n v="1"/>
    <n v="8463"/>
    <n v="72.104759999999999"/>
    <n v="48.085227272727273"/>
    <s v="Mar"/>
    <x v="12"/>
    <m/>
    <m/>
  </r>
  <r>
    <n v="68737750"/>
    <x v="0"/>
    <n v="5104"/>
    <d v="2026-03-08T00:00:00"/>
    <s v="BR CO-B Reeses 6 1.5QT"/>
    <x v="12"/>
    <n v="8.5199999999999998E-3"/>
    <n v="176"/>
    <x v="0"/>
    <x v="0"/>
    <n v="1"/>
    <n v="5104"/>
    <n v="43.486080000000001"/>
    <n v="29"/>
    <s v="Mar"/>
    <x v="12"/>
    <m/>
    <m/>
  </r>
  <r>
    <n v="68737750"/>
    <x v="0"/>
    <n v="9413"/>
    <d v="2026-03-09T00:00:00"/>
    <s v="BR CO-B Reeses 6 1.5QT"/>
    <x v="12"/>
    <n v="8.5199999999999998E-3"/>
    <n v="176"/>
    <x v="0"/>
    <x v="0"/>
    <n v="1"/>
    <n v="9413"/>
    <n v="80.198759999999993"/>
    <n v="53.482954545454547"/>
    <s v="Mar"/>
    <x v="12"/>
    <m/>
    <m/>
  </r>
  <r>
    <n v="68737750"/>
    <x v="0"/>
    <n v="5702"/>
    <d v="2026-03-09T00:00:00"/>
    <s v="BR CO-B Reeses 6 1.5QT"/>
    <x v="12"/>
    <n v="8.5199999999999998E-3"/>
    <n v="176"/>
    <x v="0"/>
    <x v="0"/>
    <n v="1"/>
    <n v="5702"/>
    <n v="48.581040000000002"/>
    <n v="32.397727272727273"/>
    <s v="Mar"/>
    <x v="12"/>
    <m/>
    <m/>
  </r>
  <r>
    <n v="68737750"/>
    <x v="0"/>
    <n v="8569"/>
    <d v="2026-03-10T00:00:00"/>
    <s v="BR CO-B Reeses 6 1.5QT"/>
    <x v="12"/>
    <n v="8.5199999999999998E-3"/>
    <n v="176"/>
    <x v="0"/>
    <x v="0"/>
    <n v="1"/>
    <n v="8569"/>
    <n v="73.00788"/>
    <n v="48.6875"/>
    <s v="Mar"/>
    <x v="12"/>
    <m/>
    <m/>
  </r>
  <r>
    <n v="68737750"/>
    <x v="0"/>
    <n v="176"/>
    <d v="2026-03-11T00:00:00"/>
    <s v="BR CO-B Reeses 6 1.5QT"/>
    <x v="12"/>
    <n v="8.5199999999999998E-3"/>
    <n v="176"/>
    <x v="0"/>
    <x v="0"/>
    <n v="1"/>
    <n v="176"/>
    <n v="1.49952"/>
    <n v="1"/>
    <s v="Mar"/>
    <x v="12"/>
    <m/>
    <m/>
  </r>
  <r>
    <n v="68737750"/>
    <x v="0"/>
    <n v="6225"/>
    <d v="2026-03-10T00:00:00"/>
    <s v="BR CO-B Reeses 6 1.5QT"/>
    <x v="12"/>
    <n v="8.5199999999999998E-3"/>
    <n v="176"/>
    <x v="0"/>
    <x v="0"/>
    <n v="1"/>
    <n v="6225"/>
    <n v="53.036999999999999"/>
    <n v="35.36931818181818"/>
    <s v="Mar"/>
    <x v="12"/>
    <m/>
    <m/>
  </r>
  <r>
    <n v="68737750"/>
    <x v="0"/>
    <n v="9622"/>
    <d v="2026-03-11T00:00:00"/>
    <s v="BR CO-B Reeses 6 1.5QT"/>
    <x v="12"/>
    <n v="8.5199999999999998E-3"/>
    <n v="176"/>
    <x v="0"/>
    <x v="0"/>
    <n v="1"/>
    <n v="9622"/>
    <n v="81.979439999999997"/>
    <n v="54.670454545454547"/>
    <s v="Mar"/>
    <x v="12"/>
    <m/>
    <m/>
  </r>
  <r>
    <n v="68737750"/>
    <x v="0"/>
    <n v="1417"/>
    <d v="2026-03-11T00:00:00"/>
    <s v="BR CO-B Reeses 6 1.5QT"/>
    <x v="12"/>
    <n v="8.5199999999999998E-3"/>
    <n v="176"/>
    <x v="0"/>
    <x v="0"/>
    <n v="1"/>
    <n v="1417"/>
    <n v="12.072839999999999"/>
    <n v="8.0511363636363633"/>
    <s v="Mar"/>
    <x v="12"/>
    <m/>
    <m/>
  </r>
  <r>
    <n v="68737750"/>
    <x v="0"/>
    <n v="6160"/>
    <d v="2026-03-12T00:00:00"/>
    <s v="BR CO-B Reeses 6 1.5QT"/>
    <x v="12"/>
    <n v="8.5199999999999998E-3"/>
    <n v="176"/>
    <x v="0"/>
    <x v="0"/>
    <n v="1"/>
    <n v="6160"/>
    <n v="52.483199999999997"/>
    <n v="35"/>
    <s v="Mar"/>
    <x v="12"/>
    <m/>
    <m/>
  </r>
  <r>
    <n v="68737750"/>
    <x v="0"/>
    <n v="9906"/>
    <d v="2026-03-13T00:00:00"/>
    <s v="BR CO-B Reeses 6 1.5QT"/>
    <x v="12"/>
    <n v="8.5199999999999998E-3"/>
    <n v="176"/>
    <x v="0"/>
    <x v="0"/>
    <n v="1"/>
    <n v="9906"/>
    <n v="84.399119999999996"/>
    <n v="56.284090909090907"/>
    <s v="Mar"/>
    <x v="12"/>
    <m/>
    <m/>
  </r>
  <r>
    <n v="68737750"/>
    <x v="0"/>
    <n v="5335"/>
    <d v="2026-03-13T00:00:00"/>
    <s v="BR CO-B Reeses 6 1.5QT"/>
    <x v="12"/>
    <n v="8.5199999999999998E-3"/>
    <n v="176"/>
    <x v="0"/>
    <x v="0"/>
    <n v="1"/>
    <n v="5335"/>
    <n v="45.4542"/>
    <n v="30.3125"/>
    <s v="Mar"/>
    <x v="12"/>
    <m/>
    <m/>
  </r>
  <r>
    <n v="68737750"/>
    <x v="0"/>
    <n v="9593"/>
    <d v="2026-03-14T00:00:00"/>
    <s v="BR CO-B Reeses 6 1.5QT"/>
    <x v="12"/>
    <n v="8.5199999999999998E-3"/>
    <n v="176"/>
    <x v="0"/>
    <x v="0"/>
    <n v="1"/>
    <n v="9593"/>
    <n v="81.73236"/>
    <n v="54.50568181818182"/>
    <s v="Mar"/>
    <x v="12"/>
    <m/>
    <m/>
  </r>
  <r>
    <n v="68737750"/>
    <x v="0"/>
    <n v="5175"/>
    <d v="2026-03-14T00:00:00"/>
    <s v="BR CO-B Reeses 6 1.5QT"/>
    <x v="12"/>
    <n v="8.5199999999999998E-3"/>
    <n v="176"/>
    <x v="0"/>
    <x v="0"/>
    <n v="1"/>
    <n v="5175"/>
    <n v="44.091000000000001"/>
    <n v="29.40340909090909"/>
    <s v="Mar"/>
    <x v="12"/>
    <m/>
    <m/>
  </r>
  <r>
    <n v="68737750"/>
    <x v="0"/>
    <n v="3696"/>
    <d v="2026-03-12T00:00:00"/>
    <s v="BR CO-B Reeses 6 1.5QT"/>
    <x v="12"/>
    <n v="8.5199999999999998E-3"/>
    <n v="176"/>
    <x v="0"/>
    <x v="0"/>
    <n v="1"/>
    <n v="3696"/>
    <n v="31.489919999999998"/>
    <n v="21"/>
    <s v="Mar"/>
    <x v="12"/>
    <m/>
    <m/>
  </r>
  <r>
    <n v="68741714"/>
    <x v="0"/>
    <n v="1575"/>
    <d v="2026-03-16T00:00:00"/>
    <s v="GH Strawberry Shortcake 1-24BK"/>
    <x v="18"/>
    <n v="2.8319999999999999E-3"/>
    <n v="225"/>
    <x v="7"/>
    <x v="8"/>
    <n v="1"/>
    <n v="1575"/>
    <n v="4.4603999999999999"/>
    <n v="7"/>
    <s v="Mar"/>
    <x v="9"/>
    <m/>
    <m/>
  </r>
  <r>
    <n v="68741714"/>
    <x v="0"/>
    <n v="3307"/>
    <d v="2026-03-17T00:00:00"/>
    <s v="GH Strawberry Shortcake 1-24BK"/>
    <x v="18"/>
    <n v="2.8319999999999999E-3"/>
    <n v="225"/>
    <x v="7"/>
    <x v="8"/>
    <n v="1"/>
    <n v="3307"/>
    <n v="9.3654239999999991"/>
    <n v="14.697777777777778"/>
    <s v="Mar"/>
    <x v="9"/>
    <m/>
    <m/>
  </r>
  <r>
    <n v="68741714"/>
    <x v="0"/>
    <n v="2949"/>
    <d v="2026-03-17T00:00:00"/>
    <s v="GH Strawberry Shortcake 1-24BK"/>
    <x v="18"/>
    <n v="2.8319999999999999E-3"/>
    <n v="225"/>
    <x v="7"/>
    <x v="8"/>
    <n v="1"/>
    <n v="2949"/>
    <n v="8.3515680000000003"/>
    <n v="13.106666666666667"/>
    <s v="Mar"/>
    <x v="9"/>
    <m/>
    <m/>
  </r>
  <r>
    <n v="68741714"/>
    <x v="0"/>
    <n v="4949"/>
    <d v="2026-03-18T00:00:00"/>
    <s v="GH Strawberry Shortcake 1-24BK"/>
    <x v="18"/>
    <n v="2.8319999999999999E-3"/>
    <n v="225"/>
    <x v="7"/>
    <x v="8"/>
    <n v="1"/>
    <n v="4949"/>
    <n v="14.015568"/>
    <n v="21.995555555555555"/>
    <s v="Mar"/>
    <x v="9"/>
    <m/>
    <m/>
  </r>
  <r>
    <n v="68741714"/>
    <x v="0"/>
    <n v="3375"/>
    <d v="2026-03-18T00:00:00"/>
    <s v="GH Strawberry Shortcake 1-24BK"/>
    <x v="18"/>
    <n v="2.8319999999999999E-3"/>
    <n v="225"/>
    <x v="7"/>
    <x v="8"/>
    <n v="1"/>
    <n v="3375"/>
    <n v="9.5579999999999998"/>
    <n v="15"/>
    <s v="Mar"/>
    <x v="9"/>
    <m/>
    <m/>
  </r>
  <r>
    <n v="68741714"/>
    <x v="0"/>
    <n v="4097"/>
    <d v="2026-03-19T00:00:00"/>
    <s v="GH Strawberry Shortcake 1-24BK"/>
    <x v="18"/>
    <n v="2.8319999999999999E-3"/>
    <n v="225"/>
    <x v="7"/>
    <x v="8"/>
    <n v="1"/>
    <n v="4097"/>
    <n v="11.602703999999999"/>
    <n v="18.20888888888889"/>
    <s v="Mar"/>
    <x v="9"/>
    <m/>
    <m/>
  </r>
  <r>
    <n v="68741714"/>
    <x v="0"/>
    <n v="3375"/>
    <d v="2026-03-19T00:00:00"/>
    <s v="GH Strawberry Shortcake 1-24BK"/>
    <x v="18"/>
    <n v="2.8319999999999999E-3"/>
    <n v="225"/>
    <x v="7"/>
    <x v="8"/>
    <n v="1"/>
    <n v="3375"/>
    <n v="9.5579999999999998"/>
    <n v="15"/>
    <s v="Mar"/>
    <x v="9"/>
    <m/>
    <m/>
  </r>
  <r>
    <n v="68741714"/>
    <x v="0"/>
    <n v="4488"/>
    <d v="2026-03-20T00:00:00"/>
    <s v="GH Strawberry Shortcake 1-24BK"/>
    <x v="18"/>
    <n v="2.8319999999999999E-3"/>
    <n v="225"/>
    <x v="7"/>
    <x v="8"/>
    <n v="1"/>
    <n v="4488"/>
    <n v="12.710016"/>
    <n v="19.946666666666665"/>
    <s v="Mar"/>
    <x v="9"/>
    <m/>
    <m/>
  </r>
  <r>
    <n v="68741714"/>
    <x v="0"/>
    <n v="3600"/>
    <d v="2026-03-20T00:00:00"/>
    <s v="GH Strawberry Shortcake 1-24BK"/>
    <x v="18"/>
    <n v="2.8319999999999999E-3"/>
    <n v="225"/>
    <x v="7"/>
    <x v="8"/>
    <n v="1"/>
    <n v="3600"/>
    <n v="10.1952"/>
    <n v="16"/>
    <s v="Mar"/>
    <x v="9"/>
    <m/>
    <m/>
  </r>
  <r>
    <n v="68741714"/>
    <x v="0"/>
    <n v="223"/>
    <d v="2026-03-21T00:00:00"/>
    <s v="GH Strawberry Shortcake 1-24BK"/>
    <x v="18"/>
    <n v="2.8319999999999999E-3"/>
    <n v="225"/>
    <x v="7"/>
    <x v="8"/>
    <n v="1"/>
    <n v="223"/>
    <n v="0.63153599999999999"/>
    <n v="0.99111111111111116"/>
    <s v="Mar"/>
    <x v="9"/>
    <m/>
    <m/>
  </r>
  <r>
    <n v="68741714"/>
    <x v="0"/>
    <n v="1349"/>
    <d v="2026-03-09T00:00:00"/>
    <s v="GH Strawberry Shortcake 1-24BK"/>
    <x v="18"/>
    <n v="2.8319999999999999E-3"/>
    <n v="225"/>
    <x v="7"/>
    <x v="8"/>
    <n v="1"/>
    <n v="1349"/>
    <n v="3.8203679999999998"/>
    <n v="5.9955555555555557"/>
    <s v="Mar"/>
    <x v="12"/>
    <m/>
    <m/>
  </r>
  <r>
    <n v="68741714"/>
    <x v="0"/>
    <n v="4419"/>
    <d v="2026-03-10T00:00:00"/>
    <s v="GH Strawberry Shortcake 1-24BK"/>
    <x v="18"/>
    <n v="2.8319999999999999E-3"/>
    <n v="225"/>
    <x v="7"/>
    <x v="8"/>
    <n v="1"/>
    <n v="4419"/>
    <n v="12.514607999999999"/>
    <n v="19.64"/>
    <s v="Mar"/>
    <x v="12"/>
    <m/>
    <m/>
  </r>
  <r>
    <n v="68741714"/>
    <x v="0"/>
    <n v="2250"/>
    <d v="2026-03-10T00:00:00"/>
    <s v="GH Strawberry Shortcake 1-24BK"/>
    <x v="18"/>
    <n v="2.8319999999999999E-3"/>
    <n v="225"/>
    <x v="7"/>
    <x v="8"/>
    <n v="1"/>
    <n v="2250"/>
    <n v="6.3719999999999999"/>
    <n v="10"/>
    <s v="Mar"/>
    <x v="12"/>
    <m/>
    <m/>
  </r>
  <r>
    <n v="68741714"/>
    <x v="0"/>
    <n v="4449"/>
    <d v="2026-03-11T00:00:00"/>
    <s v="GH Strawberry Shortcake 1-24BK"/>
    <x v="18"/>
    <n v="2.8319999999999999E-3"/>
    <n v="225"/>
    <x v="7"/>
    <x v="8"/>
    <n v="1"/>
    <n v="4449"/>
    <n v="12.599568"/>
    <n v="19.773333333333333"/>
    <s v="Mar"/>
    <x v="12"/>
    <m/>
    <m/>
  </r>
  <r>
    <n v="68741714"/>
    <x v="0"/>
    <n v="2475"/>
    <d v="2026-03-11T00:00:00"/>
    <s v="GH Strawberry Shortcake 1-24BK"/>
    <x v="18"/>
    <n v="2.8319999999999999E-3"/>
    <n v="225"/>
    <x v="7"/>
    <x v="8"/>
    <n v="1"/>
    <n v="2475"/>
    <n v="7.0091999999999999"/>
    <n v="11"/>
    <s v="Mar"/>
    <x v="12"/>
    <m/>
    <m/>
  </r>
  <r>
    <n v="68741714"/>
    <x v="0"/>
    <n v="4786"/>
    <d v="2026-03-12T00:00:00"/>
    <s v="GH Strawberry Shortcake 1-24BK"/>
    <x v="18"/>
    <n v="2.8319999999999999E-3"/>
    <n v="225"/>
    <x v="7"/>
    <x v="8"/>
    <n v="1"/>
    <n v="4786"/>
    <n v="13.553951999999999"/>
    <n v="21.271111111111111"/>
    <s v="Mar"/>
    <x v="12"/>
    <m/>
    <m/>
  </r>
  <r>
    <n v="68741714"/>
    <x v="0"/>
    <n v="3600"/>
    <d v="2026-03-12T00:00:00"/>
    <s v="GH Strawberry Shortcake 1-24BK"/>
    <x v="18"/>
    <n v="2.8319999999999999E-3"/>
    <n v="225"/>
    <x v="7"/>
    <x v="8"/>
    <n v="1"/>
    <n v="3600"/>
    <n v="10.1952"/>
    <n v="16"/>
    <s v="Mar"/>
    <x v="12"/>
    <m/>
    <m/>
  </r>
  <r>
    <n v="68741714"/>
    <x v="0"/>
    <n v="4681"/>
    <d v="2026-03-13T00:00:00"/>
    <s v="GH Strawberry Shortcake 1-24BK"/>
    <x v="18"/>
    <n v="2.8319999999999999E-3"/>
    <n v="225"/>
    <x v="7"/>
    <x v="8"/>
    <n v="1"/>
    <n v="4681"/>
    <n v="13.256591999999999"/>
    <n v="20.804444444444446"/>
    <s v="Mar"/>
    <x v="12"/>
    <m/>
    <m/>
  </r>
  <r>
    <n v="68741714"/>
    <x v="0"/>
    <n v="3825"/>
    <d v="2026-03-13T00:00:00"/>
    <s v="GH Strawberry Shortcake 1-24BK"/>
    <x v="18"/>
    <n v="2.8319999999999999E-3"/>
    <n v="225"/>
    <x v="7"/>
    <x v="8"/>
    <n v="1"/>
    <n v="3825"/>
    <n v="10.8324"/>
    <n v="17"/>
    <s v="Mar"/>
    <x v="12"/>
    <m/>
    <m/>
  </r>
  <r>
    <n v="68741714"/>
    <x v="0"/>
    <n v="1994"/>
    <d v="2026-03-14T00:00:00"/>
    <s v="GH Strawberry Shortcake 1-24BK"/>
    <x v="18"/>
    <n v="2.8319999999999999E-3"/>
    <n v="225"/>
    <x v="7"/>
    <x v="8"/>
    <n v="1"/>
    <n v="1994"/>
    <n v="5.6470079999999996"/>
    <n v="8.862222222222222"/>
    <s v="Mar"/>
    <x v="12"/>
    <m/>
    <m/>
  </r>
  <r>
    <n v="68741742"/>
    <x v="0"/>
    <n v="0"/>
    <d v="2026-02-26T00:00:00"/>
    <s v="GH Strawberry Shortcake Bar 8-6PK"/>
    <x v="15"/>
    <n v="4.2560000000000002E-3"/>
    <n v="154"/>
    <x v="7"/>
    <x v="8"/>
    <n v="1"/>
    <n v="0"/>
    <n v="0"/>
    <n v="0"/>
    <s v="Feb"/>
    <x v="6"/>
    <m/>
    <m/>
  </r>
  <r>
    <n v="68741742"/>
    <x v="0"/>
    <n v="1386"/>
    <d v="2026-03-03T00:00:00"/>
    <s v="GH Strawberry Shortcake Bar 8-6PK"/>
    <x v="15"/>
    <n v="4.2560000000000002E-3"/>
    <n v="154"/>
    <x v="7"/>
    <x v="8"/>
    <n v="1"/>
    <n v="1386"/>
    <n v="5.8988160000000001"/>
    <n v="9"/>
    <s v="Mar"/>
    <x v="11"/>
    <m/>
    <m/>
  </r>
  <r>
    <n v="68741742"/>
    <x v="0"/>
    <n v="3348"/>
    <d v="2026-03-04T00:00:00"/>
    <s v="GH Strawberry Shortcake Bar 8-6PK"/>
    <x v="15"/>
    <n v="4.2560000000000002E-3"/>
    <n v="154"/>
    <x v="7"/>
    <x v="8"/>
    <n v="1"/>
    <n v="3348"/>
    <n v="14.249088"/>
    <n v="21.740259740259742"/>
    <s v="Mar"/>
    <x v="11"/>
    <m/>
    <m/>
  </r>
  <r>
    <n v="68741742"/>
    <x v="0"/>
    <n v="1540"/>
    <d v="2026-03-04T00:00:00"/>
    <s v="GH Strawberry Shortcake Bar 8-6PK"/>
    <x v="15"/>
    <n v="4.2560000000000002E-3"/>
    <n v="154"/>
    <x v="7"/>
    <x v="8"/>
    <n v="1"/>
    <n v="1540"/>
    <n v="6.5542400000000001"/>
    <n v="10"/>
    <s v="Mar"/>
    <x v="11"/>
    <m/>
    <m/>
  </r>
  <r>
    <n v="68741742"/>
    <x v="0"/>
    <n v="4107"/>
    <d v="2026-03-05T00:00:00"/>
    <s v="GH Strawberry Shortcake Bar 8-6PK"/>
    <x v="15"/>
    <n v="4.2560000000000002E-3"/>
    <n v="154"/>
    <x v="7"/>
    <x v="8"/>
    <n v="1"/>
    <n v="4107"/>
    <n v="17.479392000000001"/>
    <n v="26.668831168831169"/>
    <s v="Mar"/>
    <x v="11"/>
    <m/>
    <m/>
  </r>
  <r>
    <n v="68741742"/>
    <x v="0"/>
    <n v="154"/>
    <d v="2026-03-12T00:00:00"/>
    <s v="GH Strawberry Shortcake Bar 8-6PK"/>
    <x v="15"/>
    <n v="4.2560000000000002E-3"/>
    <n v="154"/>
    <x v="7"/>
    <x v="8"/>
    <n v="1"/>
    <n v="154"/>
    <n v="0.65542400000000001"/>
    <n v="1"/>
    <s v="Mar"/>
    <x v="12"/>
    <m/>
    <m/>
  </r>
  <r>
    <n v="68741742"/>
    <x v="0"/>
    <n v="2772"/>
    <d v="2026-03-05T00:00:00"/>
    <s v="GH Strawberry Shortcake Bar 8-6PK"/>
    <x v="15"/>
    <n v="4.2560000000000002E-3"/>
    <n v="154"/>
    <x v="7"/>
    <x v="8"/>
    <n v="1"/>
    <n v="2772"/>
    <n v="11.797632"/>
    <n v="18"/>
    <s v="Mar"/>
    <x v="11"/>
    <m/>
    <m/>
  </r>
  <r>
    <n v="68741742"/>
    <x v="0"/>
    <n v="3233"/>
    <d v="2026-03-06T00:00:00"/>
    <s v="GH Strawberry Shortcake Bar 8-6PK"/>
    <x v="15"/>
    <n v="4.2560000000000002E-3"/>
    <n v="154"/>
    <x v="7"/>
    <x v="8"/>
    <n v="1"/>
    <n v="3233"/>
    <n v="13.759648"/>
    <n v="20.993506493506494"/>
    <s v="Mar"/>
    <x v="11"/>
    <m/>
    <m/>
  </r>
  <r>
    <n v="68741742"/>
    <x v="0"/>
    <n v="2090"/>
    <d v="2026-03-06T00:00:00"/>
    <s v="GH Strawberry Shortcake Bar 8-6PK"/>
    <x v="15"/>
    <n v="4.2560000000000002E-3"/>
    <n v="154"/>
    <x v="7"/>
    <x v="8"/>
    <n v="1"/>
    <n v="2090"/>
    <n v="8.8950399999999998"/>
    <n v="13.571428571428571"/>
    <s v="Mar"/>
    <x v="11"/>
    <m/>
    <m/>
  </r>
  <r>
    <n v="68741742"/>
    <x v="0"/>
    <n v="28"/>
    <d v="2026-03-07T00:00:00"/>
    <s v="GH Strawberry Shortcake Bar 8-6PK"/>
    <x v="15"/>
    <n v="4.2560000000000002E-3"/>
    <n v="154"/>
    <x v="7"/>
    <x v="8"/>
    <n v="1"/>
    <n v="28"/>
    <n v="0.11916800000000001"/>
    <n v="0.18181818181818182"/>
    <s v="Mar"/>
    <x v="11"/>
    <m/>
    <m/>
  </r>
  <r>
    <n v="68741742"/>
    <x v="0"/>
    <n v="770"/>
    <d v="2026-03-02T00:00:00"/>
    <s v="GH Strawberry Shortcake Bar 8-6PK"/>
    <x v="15"/>
    <n v="4.2560000000000002E-3"/>
    <n v="154"/>
    <x v="7"/>
    <x v="8"/>
    <n v="1"/>
    <n v="770"/>
    <n v="3.27712"/>
    <n v="5"/>
    <s v="Mar"/>
    <x v="11"/>
    <m/>
    <m/>
  </r>
  <r>
    <n v="68741742"/>
    <x v="0"/>
    <n v="1130"/>
    <d v="2026-03-03T00:00:00"/>
    <s v="GH Strawberry Shortcake Bar 8-6PK"/>
    <x v="15"/>
    <n v="4.2560000000000002E-3"/>
    <n v="154"/>
    <x v="7"/>
    <x v="8"/>
    <n v="1"/>
    <n v="1130"/>
    <n v="4.8092800000000002"/>
    <n v="7.337662337662338"/>
    <s v="Mar"/>
    <x v="11"/>
    <m/>
    <m/>
  </r>
  <r>
    <n v="68741742"/>
    <x v="0"/>
    <n v="1232"/>
    <d v="2026-03-09T00:00:00"/>
    <s v="GH Strawberry Shortcake Bar 8-6PK"/>
    <x v="15"/>
    <n v="4.2560000000000002E-3"/>
    <n v="154"/>
    <x v="7"/>
    <x v="8"/>
    <n v="1"/>
    <n v="1232"/>
    <n v="5.2433920000000001"/>
    <n v="8"/>
    <s v="Mar"/>
    <x v="12"/>
    <m/>
    <m/>
  </r>
  <r>
    <n v="68741742"/>
    <x v="0"/>
    <n v="2665"/>
    <d v="2026-03-10T00:00:00"/>
    <s v="GH Strawberry Shortcake Bar 8-6PK"/>
    <x v="15"/>
    <n v="4.2560000000000002E-3"/>
    <n v="154"/>
    <x v="7"/>
    <x v="8"/>
    <n v="1"/>
    <n v="2665"/>
    <n v="11.34224"/>
    <n v="17.305194805194805"/>
    <s v="Mar"/>
    <x v="12"/>
    <m/>
    <m/>
  </r>
  <r>
    <n v="68741742"/>
    <x v="0"/>
    <n v="2926"/>
    <d v="2026-03-10T00:00:00"/>
    <s v="GH Strawberry Shortcake Bar 8-6PK"/>
    <x v="15"/>
    <n v="4.2560000000000002E-3"/>
    <n v="154"/>
    <x v="7"/>
    <x v="8"/>
    <n v="1"/>
    <n v="2926"/>
    <n v="12.453056"/>
    <n v="19"/>
    <s v="Mar"/>
    <x v="12"/>
    <m/>
    <m/>
  </r>
  <r>
    <n v="68741742"/>
    <x v="0"/>
    <n v="3155"/>
    <d v="2026-03-11T00:00:00"/>
    <s v="GH Strawberry Shortcake Bar 8-6PK"/>
    <x v="15"/>
    <n v="4.2560000000000002E-3"/>
    <n v="154"/>
    <x v="7"/>
    <x v="8"/>
    <n v="1"/>
    <n v="3155"/>
    <n v="13.427680000000001"/>
    <n v="20.487012987012989"/>
    <s v="Mar"/>
    <x v="12"/>
    <m/>
    <m/>
  </r>
  <r>
    <n v="68741742"/>
    <x v="0"/>
    <n v="2310"/>
    <d v="2026-03-11T00:00:00"/>
    <s v="GH Strawberry Shortcake Bar 8-6PK"/>
    <x v="15"/>
    <n v="4.2560000000000002E-3"/>
    <n v="154"/>
    <x v="7"/>
    <x v="8"/>
    <n v="1"/>
    <n v="2310"/>
    <n v="9.8313600000000001"/>
    <n v="15"/>
    <s v="Mar"/>
    <x v="12"/>
    <m/>
    <m/>
  </r>
  <r>
    <n v="68741742"/>
    <x v="0"/>
    <n v="3052"/>
    <d v="2026-03-12T00:00:00"/>
    <s v="GH Strawberry Shortcake Bar 8-6PK"/>
    <x v="15"/>
    <n v="4.2560000000000002E-3"/>
    <n v="154"/>
    <x v="7"/>
    <x v="8"/>
    <n v="1"/>
    <n v="3052"/>
    <n v="12.989312"/>
    <n v="19.818181818181817"/>
    <s v="Mar"/>
    <x v="12"/>
    <m/>
    <m/>
  </r>
  <r>
    <n v="68741742"/>
    <x v="0"/>
    <n v="2464"/>
    <d v="2026-03-13T00:00:00"/>
    <s v="GH Strawberry Shortcake Bar 8-6PK"/>
    <x v="15"/>
    <n v="4.2560000000000002E-3"/>
    <n v="154"/>
    <x v="7"/>
    <x v="8"/>
    <n v="1"/>
    <n v="2464"/>
    <n v="10.486784"/>
    <n v="16"/>
    <s v="Mar"/>
    <x v="12"/>
    <m/>
    <m/>
  </r>
  <r>
    <n v="68741742"/>
    <x v="0"/>
    <n v="565"/>
    <d v="2026-03-14T00:00:00"/>
    <s v="GH Strawberry Shortcake Bar 8-6PK"/>
    <x v="15"/>
    <n v="4.2560000000000002E-3"/>
    <n v="154"/>
    <x v="7"/>
    <x v="8"/>
    <n v="1"/>
    <n v="565"/>
    <n v="2.4046400000000001"/>
    <n v="3.668831168831169"/>
    <s v="Mar"/>
    <x v="12"/>
    <m/>
    <m/>
  </r>
  <r>
    <n v="68741742"/>
    <x v="0"/>
    <n v="2002"/>
    <d v="2026-03-12T00:00:00"/>
    <s v="GH Strawberry Shortcake Bar 8-6PK"/>
    <x v="15"/>
    <n v="4.2560000000000002E-3"/>
    <n v="154"/>
    <x v="7"/>
    <x v="8"/>
    <n v="1"/>
    <n v="2002"/>
    <n v="8.5205120000000001"/>
    <n v="13"/>
    <s v="Mar"/>
    <x v="12"/>
    <m/>
    <m/>
  </r>
  <r>
    <n v="68741742"/>
    <x v="0"/>
    <n v="2921"/>
    <d v="2026-03-13T00:00:00"/>
    <s v="GH Strawberry Shortcake Bar 8-6PK"/>
    <x v="15"/>
    <n v="4.2560000000000002E-3"/>
    <n v="154"/>
    <x v="7"/>
    <x v="8"/>
    <n v="1"/>
    <n v="2921"/>
    <n v="12.431776000000001"/>
    <n v="18.967532467532468"/>
    <s v="Mar"/>
    <x v="12"/>
    <m/>
    <m/>
  </r>
  <r>
    <n v="68817792"/>
    <x v="0"/>
    <n v="3674"/>
    <d v="2026-03-04T00:00:00"/>
    <s v="BR HA Strawberry 6 1.5QT"/>
    <x v="6"/>
    <n v="8.5199999999999998E-3"/>
    <n v="154"/>
    <x v="0"/>
    <x v="0"/>
    <n v="1"/>
    <n v="3674"/>
    <n v="31.302479999999999"/>
    <n v="23.857142857142858"/>
    <s v="Mar"/>
    <x v="11"/>
    <m/>
    <m/>
  </r>
  <r>
    <n v="68817792"/>
    <x v="0"/>
    <n v="5140"/>
    <d v="2026-03-05T00:00:00"/>
    <s v="BR HA Strawberry 6 1.5QT"/>
    <x v="6"/>
    <n v="8.5199999999999998E-3"/>
    <n v="154"/>
    <x v="0"/>
    <x v="0"/>
    <n v="1"/>
    <n v="5140"/>
    <n v="43.7928"/>
    <n v="33.376623376623378"/>
    <s v="Mar"/>
    <x v="11"/>
    <m/>
    <m/>
  </r>
  <r>
    <n v="68817792"/>
    <x v="0"/>
    <n v="1057"/>
    <d v="2026-03-04T00:00:00"/>
    <s v="BR HA Strawberry 6 1.5QT"/>
    <x v="6"/>
    <n v="8.5199999999999998E-3"/>
    <n v="154"/>
    <x v="0"/>
    <x v="0"/>
    <n v="1"/>
    <n v="1057"/>
    <n v="9.0056399999999996"/>
    <n v="6.8636363636363633"/>
    <s v="Mar"/>
    <x v="11"/>
    <m/>
    <m/>
  </r>
  <r>
    <n v="68817793"/>
    <x v="0"/>
    <n v="1309"/>
    <d v="2026-02-27T00:00:00"/>
    <s v="BR Mint CHOC Chip 6 1.5QT"/>
    <x v="7"/>
    <n v="8.5199999999999998E-3"/>
    <n v="176"/>
    <x v="0"/>
    <x v="0"/>
    <n v="1"/>
    <n v="1309"/>
    <n v="11.15268"/>
    <n v="7.4375"/>
    <s v="Feb"/>
    <x v="6"/>
    <m/>
    <m/>
  </r>
  <r>
    <n v="68817793"/>
    <x v="0"/>
    <n v="10232"/>
    <d v="2026-02-28T00:00:00"/>
    <s v="BR Mint CHOC Chip 6 1.5QT"/>
    <x v="7"/>
    <n v="8.5199999999999998E-3"/>
    <n v="176"/>
    <x v="0"/>
    <x v="0"/>
    <n v="1"/>
    <n v="10232"/>
    <n v="87.176639999999992"/>
    <n v="58.136363636363633"/>
    <s v="Feb"/>
    <x v="6"/>
    <m/>
    <m/>
  </r>
  <r>
    <n v="68817793"/>
    <x v="0"/>
    <n v="8272"/>
    <d v="2026-02-28T00:00:00"/>
    <s v="BR Mint CHOC Chip 6 1.5QT"/>
    <x v="7"/>
    <n v="8.5199999999999998E-3"/>
    <n v="176"/>
    <x v="0"/>
    <x v="0"/>
    <n v="1"/>
    <n v="8272"/>
    <n v="70.477440000000001"/>
    <n v="47"/>
    <s v="Feb"/>
    <x v="6"/>
    <m/>
    <m/>
  </r>
  <r>
    <n v="68817793"/>
    <x v="0"/>
    <n v="4918"/>
    <d v="2026-03-01T00:00:00"/>
    <s v="BR Mint CHOC Chip 6 1.5QT"/>
    <x v="7"/>
    <n v="8.5199999999999998E-3"/>
    <n v="176"/>
    <x v="0"/>
    <x v="0"/>
    <n v="1"/>
    <n v="4918"/>
    <n v="41.901359999999997"/>
    <n v="27.943181818181817"/>
    <s v="Mar"/>
    <x v="11"/>
    <m/>
    <m/>
  </r>
  <r>
    <n v="68817793"/>
    <x v="0"/>
    <n v="176"/>
    <d v="2026-03-02T00:00:00"/>
    <s v="BR Mint CHOC Chip 6 1.5QT"/>
    <x v="7"/>
    <n v="8.5199999999999998E-3"/>
    <n v="176"/>
    <x v="0"/>
    <x v="0"/>
    <n v="1"/>
    <n v="176"/>
    <n v="1.49952"/>
    <n v="1"/>
    <s v="Mar"/>
    <x v="11"/>
    <m/>
    <m/>
  </r>
  <r>
    <n v="68817793"/>
    <x v="0"/>
    <n v="2992"/>
    <d v="2026-03-01T00:00:00"/>
    <s v="BR Mint CHOC Chip 6 1.5QT"/>
    <x v="7"/>
    <n v="8.5199999999999998E-3"/>
    <n v="176"/>
    <x v="0"/>
    <x v="0"/>
    <n v="1"/>
    <n v="2992"/>
    <n v="25.49184"/>
    <n v="17"/>
    <s v="Mar"/>
    <x v="11"/>
    <m/>
    <m/>
  </r>
  <r>
    <n v="68817793"/>
    <x v="0"/>
    <n v="7533"/>
    <d v="2026-03-02T00:00:00"/>
    <s v="BR Mint CHOC Chip 6 1.5QT"/>
    <x v="7"/>
    <n v="8.5199999999999998E-3"/>
    <n v="176"/>
    <x v="0"/>
    <x v="0"/>
    <n v="1"/>
    <n v="7533"/>
    <n v="64.181160000000006"/>
    <n v="42.801136363636367"/>
    <s v="Mar"/>
    <x v="11"/>
    <m/>
    <m/>
  </r>
  <r>
    <n v="68817793"/>
    <x v="0"/>
    <n v="4048"/>
    <d v="2026-03-02T00:00:00"/>
    <s v="BR Mint CHOC Chip 6 1.5QT"/>
    <x v="7"/>
    <n v="8.5199999999999998E-3"/>
    <n v="176"/>
    <x v="0"/>
    <x v="0"/>
    <n v="1"/>
    <n v="4048"/>
    <n v="34.488959999999999"/>
    <n v="23"/>
    <s v="Mar"/>
    <x v="11"/>
    <m/>
    <m/>
  </r>
  <r>
    <n v="68817793"/>
    <x v="0"/>
    <n v="3369"/>
    <d v="2026-03-03T00:00:00"/>
    <s v="BR Mint CHOC Chip 6 1.5QT"/>
    <x v="7"/>
    <n v="8.5199999999999998E-3"/>
    <n v="176"/>
    <x v="0"/>
    <x v="0"/>
    <n v="1"/>
    <n v="3369"/>
    <n v="28.703879999999998"/>
    <n v="19.142045454545453"/>
    <s v="Mar"/>
    <x v="11"/>
    <m/>
    <m/>
  </r>
  <r>
    <n v="68817793"/>
    <x v="0"/>
    <n v="4981"/>
    <d v="2026-03-19T00:00:00"/>
    <s v="BR Mint CHOC Chip 6 1.5QT"/>
    <x v="6"/>
    <n v="8.5199999999999998E-3"/>
    <n v="176"/>
    <x v="0"/>
    <x v="0"/>
    <n v="1"/>
    <n v="4981"/>
    <n v="42.438119999999998"/>
    <n v="28.301136363636363"/>
    <s v="Mar"/>
    <x v="9"/>
    <m/>
    <m/>
  </r>
  <r>
    <n v="68817793"/>
    <x v="0"/>
    <n v="8770"/>
    <d v="2026-03-20T00:00:00"/>
    <s v="BR Mint CHOC Chip 6 1.5QT"/>
    <x v="6"/>
    <n v="8.5199999999999998E-3"/>
    <n v="176"/>
    <x v="0"/>
    <x v="0"/>
    <n v="1"/>
    <n v="8770"/>
    <n v="74.720399999999998"/>
    <n v="49.829545454545453"/>
    <s v="Mar"/>
    <x v="9"/>
    <m/>
    <m/>
  </r>
  <r>
    <n v="68817793"/>
    <x v="0"/>
    <n v="5796"/>
    <d v="2026-03-20T00:00:00"/>
    <s v="BR Mint CHOC Chip 6 1.5QT"/>
    <x v="6"/>
    <n v="8.5199999999999998E-3"/>
    <n v="176"/>
    <x v="0"/>
    <x v="0"/>
    <n v="1"/>
    <n v="5796"/>
    <n v="49.381920000000001"/>
    <n v="32.93181818181818"/>
    <s v="Mar"/>
    <x v="9"/>
    <m/>
    <m/>
  </r>
  <r>
    <n v="68817793"/>
    <x v="0"/>
    <n v="9126"/>
    <d v="2026-03-21T00:00:00"/>
    <s v="BR Mint CHOC Chip 6 1.5QT"/>
    <x v="6"/>
    <n v="8.5199999999999998E-3"/>
    <n v="176"/>
    <x v="0"/>
    <x v="0"/>
    <n v="1"/>
    <n v="9126"/>
    <n v="77.753519999999995"/>
    <n v="51.852272727272727"/>
    <s v="Mar"/>
    <x v="9"/>
    <m/>
    <m/>
  </r>
  <r>
    <n v="68817793"/>
    <x v="0"/>
    <n v="6149"/>
    <d v="2026-03-21T00:00:00"/>
    <s v="BR Mint CHOC Chip 6 1.5QT"/>
    <x v="6"/>
    <n v="8.5199999999999998E-3"/>
    <n v="176"/>
    <x v="0"/>
    <x v="0"/>
    <n v="1"/>
    <n v="6149"/>
    <n v="52.389479999999999"/>
    <n v="34.9375"/>
    <s v="Mar"/>
    <x v="9"/>
    <m/>
    <m/>
  </r>
  <r>
    <n v="68817793"/>
    <x v="0"/>
    <n v="6899"/>
    <d v="2026-03-22T00:00:00"/>
    <s v="BR Mint CHOC Chip 6 1.5QT"/>
    <x v="6"/>
    <n v="8.5199999999999998E-3"/>
    <n v="176"/>
    <x v="0"/>
    <x v="0"/>
    <n v="1"/>
    <n v="6899"/>
    <n v="58.77948"/>
    <n v="39.198863636363633"/>
    <s v="Mar"/>
    <x v="10"/>
    <m/>
    <m/>
  </r>
  <r>
    <n v="68817793"/>
    <x v="0"/>
    <n v="4928"/>
    <d v="2026-03-22T00:00:00"/>
    <s v="BR Mint CHOC Chip 6 1.5QT"/>
    <x v="6"/>
    <n v="8.5199999999999998E-3"/>
    <n v="176"/>
    <x v="0"/>
    <x v="0"/>
    <n v="1"/>
    <n v="4928"/>
    <n v="41.986559999999997"/>
    <n v="28"/>
    <s v="Mar"/>
    <x v="10"/>
    <m/>
    <m/>
  </r>
  <r>
    <n v="68817793"/>
    <x v="0"/>
    <n v="8783"/>
    <d v="2026-03-23T00:00:00"/>
    <s v="BR Mint CHOC Chip 6 1.5QT"/>
    <x v="6"/>
    <n v="8.5199999999999998E-3"/>
    <n v="176"/>
    <x v="0"/>
    <x v="0"/>
    <n v="1"/>
    <n v="8783"/>
    <n v="74.831159999999997"/>
    <n v="49.903409090909093"/>
    <s v="Mar"/>
    <x v="10"/>
    <m/>
    <m/>
  </r>
  <r>
    <n v="68817793"/>
    <x v="0"/>
    <n v="5217"/>
    <d v="2026-03-23T00:00:00"/>
    <s v="BR Mint CHOC Chip 6 1.5QT"/>
    <x v="6"/>
    <n v="8.5199999999999998E-3"/>
    <n v="176"/>
    <x v="0"/>
    <x v="0"/>
    <n v="1"/>
    <n v="5217"/>
    <n v="44.448839999999997"/>
    <n v="29.642045454545453"/>
    <s v="Mar"/>
    <x v="10"/>
    <m/>
    <m/>
  </r>
  <r>
    <n v="68817793"/>
    <x v="0"/>
    <n v="2303"/>
    <d v="2026-03-24T00:00:00"/>
    <s v="BR Mint CHOC Chip 6 1.5QT"/>
    <x v="6"/>
    <n v="8.5199999999999998E-3"/>
    <n v="176"/>
    <x v="0"/>
    <x v="0"/>
    <n v="1"/>
    <n v="2303"/>
    <n v="19.621559999999999"/>
    <n v="13.085227272727273"/>
    <s v="Mar"/>
    <x v="10"/>
    <m/>
    <m/>
  </r>
  <r>
    <n v="68817796"/>
    <x v="0"/>
    <n v="5238"/>
    <d v="2026-03-13T00:00:00"/>
    <s v="BR XCRMY Vanilla 6 1.5QT"/>
    <x v="0"/>
    <n v="8.513999999999999E-3"/>
    <n v="176"/>
    <x v="0"/>
    <x v="0"/>
    <n v="1"/>
    <n v="5238"/>
    <n v="44.596331999999997"/>
    <n v="29.761363636363637"/>
    <s v="Mar"/>
    <x v="12"/>
    <m/>
    <m/>
  </r>
  <r>
    <n v="68817796"/>
    <x v="0"/>
    <n v="11352"/>
    <d v="2026-03-14T00:00:00"/>
    <s v="BR XCRMY Vanilla 6 1.5QT"/>
    <x v="0"/>
    <n v="8.513999999999999E-3"/>
    <n v="176"/>
    <x v="0"/>
    <x v="0"/>
    <n v="1"/>
    <n v="11352"/>
    <n v="96.650927999999993"/>
    <n v="64.5"/>
    <s v="Mar"/>
    <x v="12"/>
    <m/>
    <m/>
  </r>
  <r>
    <n v="68817796"/>
    <x v="0"/>
    <n v="6686"/>
    <d v="2026-03-12T00:00:00"/>
    <s v="BR XCRMY Vanilla 6 1.5QT"/>
    <x v="0"/>
    <n v="8.513999999999999E-3"/>
    <n v="176"/>
    <x v="0"/>
    <x v="0"/>
    <n v="1"/>
    <n v="6686"/>
    <n v="56.924603999999995"/>
    <n v="37.988636363636367"/>
    <s v="Mar"/>
    <x v="12"/>
    <m/>
    <m/>
  </r>
  <r>
    <n v="68817796"/>
    <x v="0"/>
    <n v="10110"/>
    <d v="2026-03-13T00:00:00"/>
    <s v="BR XCRMY Vanilla 6 1.5QT"/>
    <x v="0"/>
    <n v="8.513999999999999E-3"/>
    <n v="176"/>
    <x v="0"/>
    <x v="0"/>
    <n v="1"/>
    <n v="10110"/>
    <n v="86.076539999999994"/>
    <n v="57.44318181818182"/>
    <s v="Mar"/>
    <x v="12"/>
    <m/>
    <m/>
  </r>
  <r>
    <n v="68817796"/>
    <x v="0"/>
    <n v="8308"/>
    <d v="2026-03-16T00:00:00"/>
    <s v="BR XCRMY Vanilla 6 1.5QT"/>
    <x v="0"/>
    <n v="8.513999999999999E-3"/>
    <n v="176"/>
    <x v="0"/>
    <x v="0"/>
    <n v="1"/>
    <n v="8308"/>
    <n v="70.734311999999989"/>
    <n v="47.204545454545453"/>
    <s v="Mar"/>
    <x v="9"/>
    <m/>
    <m/>
  </r>
  <r>
    <n v="68817796"/>
    <x v="0"/>
    <n v="9315"/>
    <d v="2026-03-11T00:00:00"/>
    <s v="BR XCRMY Vanilla 6 1.5QT"/>
    <x v="0"/>
    <n v="8.513999999999999E-3"/>
    <n v="176"/>
    <x v="0"/>
    <x v="0"/>
    <n v="1"/>
    <n v="9315"/>
    <n v="79.307909999999993"/>
    <n v="52.926136363636367"/>
    <s v="Mar"/>
    <x v="12"/>
    <m/>
    <m/>
  </r>
  <r>
    <n v="68817796"/>
    <x v="0"/>
    <n v="8258"/>
    <d v="2026-03-12T00:00:00"/>
    <s v="BR XCRMY Vanilla 6 1.5QT"/>
    <x v="0"/>
    <n v="8.513999999999999E-3"/>
    <n v="176"/>
    <x v="0"/>
    <x v="0"/>
    <n v="1"/>
    <n v="8258"/>
    <n v="70.308611999999997"/>
    <n v="46.920454545454547"/>
    <s v="Mar"/>
    <x v="12"/>
    <m/>
    <m/>
  </r>
  <r>
    <n v="68817796"/>
    <x v="0"/>
    <n v="154"/>
    <d v="2026-03-24T00:00:00"/>
    <s v="BR XCRMY Vanilla 6 1.5QT"/>
    <x v="0"/>
    <n v="8.513999999999999E-3"/>
    <n v="176"/>
    <x v="0"/>
    <x v="0"/>
    <n v="1"/>
    <n v="154"/>
    <n v="1.3111559999999998"/>
    <n v="0.875"/>
    <s v="Mar"/>
    <x v="10"/>
    <m/>
    <m/>
  </r>
  <r>
    <n v="68817796"/>
    <x v="0"/>
    <n v="352"/>
    <d v="2026-03-14T00:00:00"/>
    <s v="BR XCRMY Vanilla 6 1.5QT"/>
    <x v="0"/>
    <n v="8.513999999999999E-3"/>
    <n v="176"/>
    <x v="0"/>
    <x v="0"/>
    <n v="1"/>
    <n v="352"/>
    <n v="2.9969279999999996"/>
    <n v="2"/>
    <s v="Mar"/>
    <x v="12"/>
    <m/>
    <m/>
  </r>
  <r>
    <n v="68817796"/>
    <x v="0"/>
    <n v="7415"/>
    <d v="2026-03-15T00:00:00"/>
    <s v="BR XCRMY Vanilla 6 1.5QT"/>
    <x v="0"/>
    <n v="8.513999999999999E-3"/>
    <n v="176"/>
    <x v="0"/>
    <x v="0"/>
    <n v="1"/>
    <n v="7415"/>
    <n v="63.131309999999992"/>
    <n v="42.13068181818182"/>
    <s v="Mar"/>
    <x v="9"/>
    <m/>
    <m/>
  </r>
  <r>
    <n v="68817796"/>
    <x v="0"/>
    <n v="5632"/>
    <d v="2026-03-16T00:00:00"/>
    <s v="BR XCRMY Vanilla 6 1.5QT"/>
    <x v="0"/>
    <n v="8.513999999999999E-3"/>
    <n v="176"/>
    <x v="0"/>
    <x v="0"/>
    <n v="1"/>
    <n v="5632"/>
    <n v="47.950847999999993"/>
    <n v="32"/>
    <s v="Mar"/>
    <x v="9"/>
    <m/>
    <m/>
  </r>
  <r>
    <n v="68817796"/>
    <x v="0"/>
    <n v="3629"/>
    <d v="2026-03-17T00:00:00"/>
    <s v="BR XCRMY Vanilla 6 1.5QT"/>
    <x v="0"/>
    <n v="8.513999999999999E-3"/>
    <n v="176"/>
    <x v="0"/>
    <x v="0"/>
    <n v="1"/>
    <n v="3629"/>
    <n v="30.897305999999997"/>
    <n v="20.619318181818183"/>
    <s v="Mar"/>
    <x v="9"/>
    <m/>
    <m/>
  </r>
  <r>
    <n v="68817799"/>
    <x v="0"/>
    <n v="11"/>
    <d v="2026-02-26T00:00:00"/>
    <s v="BR Strawberry 6 1.5QT"/>
    <x v="6"/>
    <n v="8.5199999999999998E-3"/>
    <n v="176"/>
    <x v="0"/>
    <x v="0"/>
    <n v="1"/>
    <n v="11"/>
    <n v="9.3719999999999998E-2"/>
    <n v="6.25E-2"/>
    <s v="Feb"/>
    <x v="6"/>
    <m/>
    <m/>
  </r>
  <r>
    <n v="68817799"/>
    <x v="0"/>
    <n v="9126"/>
    <d v="2026-03-10T00:00:00"/>
    <s v="BR Strawberry 6 1.5QT"/>
    <x v="6"/>
    <n v="8.5199999999999998E-3"/>
    <n v="176"/>
    <x v="0"/>
    <x v="0"/>
    <n v="1"/>
    <n v="9126"/>
    <n v="77.753519999999995"/>
    <n v="51.852272727272727"/>
    <s v="Mar"/>
    <x v="12"/>
    <m/>
    <m/>
  </r>
  <r>
    <n v="68817799"/>
    <x v="0"/>
    <n v="8847"/>
    <d v="2026-03-11T00:00:00"/>
    <s v="BR Strawberry 6 1.5QT"/>
    <x v="6"/>
    <n v="8.5199999999999998E-3"/>
    <n v="176"/>
    <x v="0"/>
    <x v="0"/>
    <n v="1"/>
    <n v="8847"/>
    <n v="75.376440000000002"/>
    <n v="50.267045454545453"/>
    <s v="Mar"/>
    <x v="12"/>
    <m/>
    <m/>
  </r>
  <r>
    <n v="68817799"/>
    <x v="0"/>
    <n v="5280"/>
    <d v="2026-03-11T00:00:00"/>
    <s v="BR Strawberry 6 1.5QT"/>
    <x v="6"/>
    <n v="8.5199999999999998E-3"/>
    <n v="176"/>
    <x v="0"/>
    <x v="0"/>
    <n v="1"/>
    <n v="5280"/>
    <n v="44.985599999999998"/>
    <n v="30"/>
    <s v="Mar"/>
    <x v="12"/>
    <m/>
    <m/>
  </r>
  <r>
    <n v="68817799"/>
    <x v="0"/>
    <n v="7870"/>
    <d v="2026-03-12T00:00:00"/>
    <s v="BR Strawberry 6 1.5QT"/>
    <x v="6"/>
    <n v="8.5199999999999998E-3"/>
    <n v="176"/>
    <x v="0"/>
    <x v="0"/>
    <n v="1"/>
    <n v="7870"/>
    <n v="67.052399999999992"/>
    <n v="44.715909090909093"/>
    <s v="Mar"/>
    <x v="12"/>
    <m/>
    <m/>
  </r>
  <r>
    <n v="68817799"/>
    <x v="0"/>
    <n v="5104"/>
    <d v="2026-03-12T00:00:00"/>
    <s v="BR Strawberry 6 1.5QT"/>
    <x v="6"/>
    <n v="8.5199999999999998E-3"/>
    <n v="176"/>
    <x v="0"/>
    <x v="0"/>
    <n v="1"/>
    <n v="5104"/>
    <n v="43.486080000000001"/>
    <n v="29"/>
    <s v="Mar"/>
    <x v="12"/>
    <m/>
    <m/>
  </r>
  <r>
    <n v="68817799"/>
    <x v="0"/>
    <n v="9675"/>
    <d v="2026-03-13T00:00:00"/>
    <s v="BR Strawberry 6 1.5QT"/>
    <x v="6"/>
    <n v="8.5199999999999998E-3"/>
    <n v="176"/>
    <x v="0"/>
    <x v="0"/>
    <n v="1"/>
    <n v="9675"/>
    <n v="82.430999999999997"/>
    <n v="54.971590909090907"/>
    <s v="Mar"/>
    <x v="12"/>
    <m/>
    <m/>
  </r>
  <r>
    <n v="68817799"/>
    <x v="0"/>
    <n v="5335"/>
    <d v="2026-03-13T00:00:00"/>
    <s v="BR Strawberry 6 1.5QT"/>
    <x v="6"/>
    <n v="8.5199999999999998E-3"/>
    <n v="176"/>
    <x v="0"/>
    <x v="0"/>
    <n v="1"/>
    <n v="5335"/>
    <n v="45.4542"/>
    <n v="30.3125"/>
    <s v="Mar"/>
    <x v="12"/>
    <m/>
    <m/>
  </r>
  <r>
    <n v="68817799"/>
    <x v="0"/>
    <n v="3208"/>
    <d v="2026-03-14T00:00:00"/>
    <s v="BR Strawberry 6 1.5QT"/>
    <x v="6"/>
    <n v="8.5199999999999998E-3"/>
    <n v="176"/>
    <x v="0"/>
    <x v="0"/>
    <n v="1"/>
    <n v="3208"/>
    <n v="27.332159999999998"/>
    <n v="18.227272727272727"/>
    <s v="Mar"/>
    <x v="12"/>
    <m/>
    <m/>
  </r>
  <r>
    <n v="68817799"/>
    <x v="0"/>
    <n v="3979"/>
    <d v="2026-03-14T00:00:00"/>
    <s v="BR Strawberry 6 1.5QT"/>
    <x v="6"/>
    <n v="8.5199999999999998E-3"/>
    <n v="176"/>
    <x v="0"/>
    <x v="0"/>
    <n v="1"/>
    <n v="3979"/>
    <n v="33.90108"/>
    <n v="22.607954545454547"/>
    <s v="Mar"/>
    <x v="12"/>
    <m/>
    <m/>
  </r>
  <r>
    <n v="68817799"/>
    <x v="0"/>
    <n v="4850"/>
    <d v="2026-03-05T00:00:00"/>
    <s v="BR Strawberry 6 1.5QT"/>
    <x v="6"/>
    <n v="8.5199999999999998E-3"/>
    <n v="176"/>
    <x v="0"/>
    <x v="0"/>
    <n v="1"/>
    <n v="4850"/>
    <n v="41.321999999999996"/>
    <n v="27.556818181818183"/>
    <s v="Mar"/>
    <x v="11"/>
    <m/>
    <m/>
  </r>
  <r>
    <n v="68817799"/>
    <x v="0"/>
    <n v="8500"/>
    <d v="2026-03-06T00:00:00"/>
    <s v="BR Strawberry 6 1.5QT"/>
    <x v="6"/>
    <n v="8.5199999999999998E-3"/>
    <n v="176"/>
    <x v="0"/>
    <x v="0"/>
    <n v="1"/>
    <n v="8500"/>
    <n v="72.42"/>
    <n v="48.295454545454547"/>
    <s v="Mar"/>
    <x v="11"/>
    <m/>
    <m/>
  </r>
  <r>
    <n v="68817799"/>
    <x v="0"/>
    <n v="5555"/>
    <d v="2026-03-06T00:00:00"/>
    <s v="BR Strawberry 6 1.5QT"/>
    <x v="6"/>
    <n v="8.5199999999999998E-3"/>
    <n v="176"/>
    <x v="0"/>
    <x v="0"/>
    <n v="1"/>
    <n v="5555"/>
    <n v="47.328600000000002"/>
    <n v="31.5625"/>
    <s v="Mar"/>
    <x v="11"/>
    <m/>
    <m/>
  </r>
  <r>
    <n v="68817799"/>
    <x v="0"/>
    <n v="7349"/>
    <d v="2026-03-07T00:00:00"/>
    <s v="BR Strawberry 6 1.5QT"/>
    <x v="6"/>
    <n v="8.5199999999999998E-3"/>
    <n v="176"/>
    <x v="0"/>
    <x v="0"/>
    <n v="1"/>
    <n v="7349"/>
    <n v="62.613479999999996"/>
    <n v="41.75568181818182"/>
    <s v="Mar"/>
    <x v="11"/>
    <m/>
    <m/>
  </r>
  <r>
    <n v="68817799"/>
    <x v="0"/>
    <n v="4199"/>
    <d v="2026-03-07T00:00:00"/>
    <s v="BR Strawberry 6 1.5QT"/>
    <x v="6"/>
    <n v="8.5199999999999998E-3"/>
    <n v="176"/>
    <x v="0"/>
    <x v="0"/>
    <n v="1"/>
    <n v="4199"/>
    <n v="35.775480000000002"/>
    <n v="23.857954545454547"/>
    <s v="Mar"/>
    <x v="11"/>
    <m/>
    <m/>
  </r>
  <r>
    <n v="68817799"/>
    <x v="0"/>
    <n v="9750"/>
    <d v="2026-03-08T00:00:00"/>
    <s v="BR Strawberry 6 1.5QT"/>
    <x v="6"/>
    <n v="8.5199999999999998E-3"/>
    <n v="176"/>
    <x v="0"/>
    <x v="0"/>
    <n v="1"/>
    <n v="9750"/>
    <n v="83.07"/>
    <n v="55.397727272727273"/>
    <s v="Mar"/>
    <x v="12"/>
    <m/>
    <m/>
  </r>
  <r>
    <n v="68817799"/>
    <x v="0"/>
    <n v="176"/>
    <d v="2026-03-09T00:00:00"/>
    <s v="BR Strawberry 6 1.5QT"/>
    <x v="6"/>
    <n v="8.5199999999999998E-3"/>
    <n v="176"/>
    <x v="0"/>
    <x v="0"/>
    <n v="1"/>
    <n v="176"/>
    <n v="1.49952"/>
    <n v="1"/>
    <s v="Mar"/>
    <x v="12"/>
    <m/>
    <m/>
  </r>
  <r>
    <n v="68817799"/>
    <x v="0"/>
    <n v="4400"/>
    <d v="2026-03-08T00:00:00"/>
    <s v="BR Strawberry 6 1.5QT"/>
    <x v="6"/>
    <n v="8.5199999999999998E-3"/>
    <n v="176"/>
    <x v="0"/>
    <x v="0"/>
    <n v="1"/>
    <n v="4400"/>
    <n v="37.488"/>
    <n v="25"/>
    <s v="Mar"/>
    <x v="12"/>
    <m/>
    <m/>
  </r>
  <r>
    <n v="68817799"/>
    <x v="0"/>
    <n v="4222"/>
    <d v="2026-03-09T00:00:00"/>
    <s v="BR Strawberry 6 1.5QT"/>
    <x v="6"/>
    <n v="8.5199999999999998E-3"/>
    <n v="176"/>
    <x v="0"/>
    <x v="0"/>
    <n v="1"/>
    <n v="4222"/>
    <n v="35.971440000000001"/>
    <n v="23.988636363636363"/>
    <s v="Mar"/>
    <x v="12"/>
    <m/>
    <m/>
  </r>
  <r>
    <n v="68817800"/>
    <x v="0"/>
    <n v="4165"/>
    <d v="2026-02-26T00:00:00"/>
    <s v="BR Coffee 6 1.5QT"/>
    <x v="0"/>
    <n v="8.513999999999999E-3"/>
    <n v="176"/>
    <x v="0"/>
    <x v="0"/>
    <n v="1"/>
    <n v="4165"/>
    <n v="35.460809999999995"/>
    <n v="23.664772727272727"/>
    <s v="Feb"/>
    <x v="6"/>
    <m/>
    <m/>
  </r>
  <r>
    <n v="68817800"/>
    <x v="0"/>
    <n v="6057"/>
    <d v="2026-02-27T00:00:00"/>
    <s v="BR Coffee 6 1.5QT"/>
    <x v="0"/>
    <n v="8.513999999999999E-3"/>
    <n v="176"/>
    <x v="0"/>
    <x v="0"/>
    <n v="1"/>
    <n v="6057"/>
    <n v="51.569297999999996"/>
    <n v="34.414772727272727"/>
    <s v="Feb"/>
    <x v="6"/>
    <m/>
    <m/>
  </r>
  <r>
    <n v="68817800"/>
    <x v="0"/>
    <n v="6665"/>
    <d v="2026-02-25T00:00:00"/>
    <s v="BR Coffee 6 1.5QT"/>
    <x v="0"/>
    <n v="8.513999999999999E-3"/>
    <n v="176"/>
    <x v="0"/>
    <x v="0"/>
    <n v="1"/>
    <n v="6665"/>
    <n v="56.745809999999992"/>
    <n v="37.86931818181818"/>
    <s v="Feb"/>
    <x v="6"/>
    <m/>
    <m/>
  </r>
  <r>
    <n v="68817800"/>
    <x v="0"/>
    <n v="6"/>
    <d v="2026-02-26T00:00:00"/>
    <s v="BR Coffee 6 1.5QT"/>
    <x v="0"/>
    <n v="8.513999999999999E-3"/>
    <n v="176"/>
    <x v="0"/>
    <x v="0"/>
    <n v="1"/>
    <n v="6"/>
    <n v="5.1083999999999991E-2"/>
    <n v="3.4090909090909088E-2"/>
    <s v="Feb"/>
    <x v="6"/>
    <m/>
    <m/>
  </r>
  <r>
    <n v="68817800"/>
    <x v="0"/>
    <n v="5010"/>
    <d v="2026-02-25T00:00:00"/>
    <s v="BR Coffee 6 1.5QT"/>
    <x v="0"/>
    <n v="8.513999999999999E-3"/>
    <n v="176"/>
    <x v="0"/>
    <x v="0"/>
    <n v="1"/>
    <n v="5010"/>
    <n v="42.655139999999996"/>
    <n v="28.46590909090909"/>
    <s v="Feb"/>
    <x v="6"/>
    <m/>
    <m/>
  </r>
  <r>
    <n v="68817800"/>
    <x v="0"/>
    <n v="9025"/>
    <d v="2026-02-26T00:00:00"/>
    <s v="BR Coffee 6 1.5QT"/>
    <x v="0"/>
    <n v="8.513999999999999E-3"/>
    <n v="176"/>
    <x v="0"/>
    <x v="0"/>
    <n v="1"/>
    <n v="9025"/>
    <n v="76.838849999999994"/>
    <n v="51.278409090909093"/>
    <s v="Feb"/>
    <x v="6"/>
    <m/>
    <m/>
  </r>
  <r>
    <n v="68817801"/>
    <x v="0"/>
    <n v="7561"/>
    <d v="2026-03-07T00:00:00"/>
    <s v="BR XCRMY Chocolate 6 1.5QT"/>
    <x v="0"/>
    <n v="8.5199999999999998E-3"/>
    <n v="176"/>
    <x v="0"/>
    <x v="0"/>
    <n v="1"/>
    <n v="7561"/>
    <n v="64.419719999999998"/>
    <n v="42.960227272727273"/>
    <s v="Mar"/>
    <x v="11"/>
    <m/>
    <m/>
  </r>
  <r>
    <n v="68817801"/>
    <x v="0"/>
    <n v="7534"/>
    <d v="2026-03-08T00:00:00"/>
    <s v="BR XCRMY Chocolate 6 1.5QT"/>
    <x v="0"/>
    <n v="8.5199999999999998E-3"/>
    <n v="176"/>
    <x v="0"/>
    <x v="0"/>
    <n v="1"/>
    <n v="7534"/>
    <n v="64.189679999999996"/>
    <n v="42.80681818181818"/>
    <s v="Mar"/>
    <x v="12"/>
    <m/>
    <m/>
  </r>
  <r>
    <n v="68817801"/>
    <x v="0"/>
    <n v="4752"/>
    <d v="2026-03-08T00:00:00"/>
    <s v="BR XCRMY Chocolate 6 1.5QT"/>
    <x v="0"/>
    <n v="8.5199999999999998E-3"/>
    <n v="176"/>
    <x v="0"/>
    <x v="0"/>
    <n v="1"/>
    <n v="4752"/>
    <n v="40.48704"/>
    <n v="27"/>
    <s v="Mar"/>
    <x v="12"/>
    <m/>
    <m/>
  </r>
  <r>
    <n v="68817801"/>
    <x v="0"/>
    <n v="5928"/>
    <d v="2026-03-09T00:00:00"/>
    <s v="BR XCRMY Chocolate 6 1.5QT"/>
    <x v="0"/>
    <n v="8.5199999999999998E-3"/>
    <n v="176"/>
    <x v="0"/>
    <x v="0"/>
    <n v="1"/>
    <n v="5928"/>
    <n v="50.50656"/>
    <n v="33.68181818181818"/>
    <s v="Mar"/>
    <x v="12"/>
    <m/>
    <m/>
  </r>
  <r>
    <n v="68850683"/>
    <x v="0"/>
    <n v="3435"/>
    <d v="2026-03-24T00:00:00"/>
    <s v="BR Homemade Vanilla 6-1.5QT"/>
    <x v="0"/>
    <n v="8.5199999999999998E-3"/>
    <n v="176"/>
    <x v="0"/>
    <x v="0"/>
    <n v="1"/>
    <n v="3435"/>
    <n v="29.266199999999998"/>
    <n v="19.517045454545453"/>
    <s v="Mar"/>
    <x v="10"/>
    <m/>
    <m/>
  </r>
  <r>
    <n v="68850683"/>
    <x v="0"/>
    <n v="704"/>
    <d v="2026-03-23T00:00:00"/>
    <s v="BR Homemade Vanilla 6-1.5QT"/>
    <x v="0"/>
    <n v="8.5199999999999998E-3"/>
    <n v="176"/>
    <x v="0"/>
    <x v="0"/>
    <n v="1"/>
    <n v="704"/>
    <n v="5.9980799999999999"/>
    <n v="4"/>
    <s v="Mar"/>
    <x v="10"/>
    <m/>
    <m/>
  </r>
  <r>
    <n v="68850683"/>
    <x v="0"/>
    <n v="9449"/>
    <d v="2026-03-24T00:00:00"/>
    <s v="BR Homemade Vanilla 6-1.5QT"/>
    <x v="0"/>
    <n v="8.5199999999999998E-3"/>
    <n v="176"/>
    <x v="0"/>
    <x v="0"/>
    <n v="1"/>
    <n v="9449"/>
    <n v="80.505479999999991"/>
    <n v="53.6875"/>
    <s v="Mar"/>
    <x v="10"/>
    <m/>
    <m/>
  </r>
  <r>
    <n v="68850684"/>
    <x v="0"/>
    <n v="7382"/>
    <d v="2026-02-25T00:00:00"/>
    <s v="BR French Vanilla 6-1.5QT"/>
    <x v="6"/>
    <n v="8.5199999999999998E-3"/>
    <n v="176"/>
    <x v="0"/>
    <x v="0"/>
    <n v="1"/>
    <n v="7382"/>
    <n v="62.894639999999995"/>
    <n v="41.94318181818182"/>
    <s v="Feb"/>
    <x v="6"/>
    <m/>
    <m/>
  </r>
  <r>
    <n v="68850684"/>
    <x v="0"/>
    <n v="8049"/>
    <d v="2026-02-26T00:00:00"/>
    <s v="BR French Vanilla 6-1.5QT"/>
    <x v="6"/>
    <n v="8.5199999999999998E-3"/>
    <n v="176"/>
    <x v="0"/>
    <x v="0"/>
    <n v="1"/>
    <n v="8049"/>
    <n v="68.577479999999994"/>
    <n v="45.732954545454547"/>
    <s v="Feb"/>
    <x v="6"/>
    <m/>
    <m/>
  </r>
  <r>
    <n v="68850684"/>
    <x v="0"/>
    <n v="166"/>
    <d v="2026-03-03T00:00:00"/>
    <s v="BR French Vanilla 6-1.5QT"/>
    <x v="6"/>
    <n v="8.5199999999999998E-3"/>
    <n v="176"/>
    <x v="0"/>
    <x v="0"/>
    <n v="1"/>
    <n v="166"/>
    <n v="1.41432"/>
    <n v="0.94318181818181823"/>
    <s v="Mar"/>
    <x v="11"/>
    <m/>
    <m/>
  </r>
  <r>
    <n v="68850684"/>
    <x v="0"/>
    <n v="0"/>
    <d v="2026-03-04T00:00:00"/>
    <s v="BR French Vanilla 6-1.5QT"/>
    <x v="6"/>
    <n v="8.5199999999999998E-3"/>
    <n v="176"/>
    <x v="0"/>
    <x v="0"/>
    <n v="1"/>
    <n v="0"/>
    <n v="0"/>
    <n v="0"/>
    <s v="Mar"/>
    <x v="11"/>
    <m/>
    <m/>
  </r>
  <r>
    <n v="68850684"/>
    <x v="0"/>
    <n v="3872"/>
    <d v="2026-02-26T00:00:00"/>
    <s v="BR French Vanilla 6-1.5QT"/>
    <x v="6"/>
    <n v="8.5199999999999998E-3"/>
    <n v="176"/>
    <x v="0"/>
    <x v="0"/>
    <n v="1"/>
    <n v="3872"/>
    <n v="32.989440000000002"/>
    <n v="22"/>
    <s v="Feb"/>
    <x v="6"/>
    <m/>
    <m/>
  </r>
  <r>
    <n v="68850684"/>
    <x v="0"/>
    <n v="586"/>
    <d v="2026-02-27T00:00:00"/>
    <s v="BR French Vanilla 6-1.5QT"/>
    <x v="6"/>
    <n v="8.5199999999999998E-3"/>
    <n v="176"/>
    <x v="0"/>
    <x v="0"/>
    <n v="1"/>
    <n v="586"/>
    <n v="4.9927200000000003"/>
    <n v="3.3295454545454546"/>
    <s v="Feb"/>
    <x v="6"/>
    <m/>
    <m/>
  </r>
  <r>
    <n v="68851104"/>
    <x v="0"/>
    <n v="6442"/>
    <d v="2026-02-28T00:00:00"/>
    <s v="BR Chocolate 6-1.5QT"/>
    <x v="0"/>
    <n v="8.5199999999999998E-3"/>
    <n v="176"/>
    <x v="0"/>
    <x v="0"/>
    <n v="1"/>
    <n v="6442"/>
    <n v="54.885840000000002"/>
    <n v="36.602272727272727"/>
    <s v="Feb"/>
    <x v="6"/>
    <m/>
    <m/>
  </r>
  <r>
    <n v="68851104"/>
    <x v="0"/>
    <n v="4785"/>
    <d v="2026-03-01T00:00:00"/>
    <s v="BR Chocolate 6-1.5QT"/>
    <x v="0"/>
    <n v="8.5199999999999998E-3"/>
    <n v="176"/>
    <x v="0"/>
    <x v="0"/>
    <n v="1"/>
    <n v="4785"/>
    <n v="40.7682"/>
    <n v="27.1875"/>
    <s v="Mar"/>
    <x v="11"/>
    <m/>
    <m/>
  </r>
  <r>
    <n v="68851104"/>
    <x v="0"/>
    <n v="2390"/>
    <d v="2026-03-01T00:00:00"/>
    <s v="BR Chocolate 6-1.5QT"/>
    <x v="0"/>
    <n v="8.5199999999999998E-3"/>
    <n v="176"/>
    <x v="0"/>
    <x v="0"/>
    <n v="1"/>
    <n v="2390"/>
    <n v="20.3628"/>
    <n v="13.579545454545455"/>
    <s v="Mar"/>
    <x v="11"/>
    <m/>
    <m/>
  </r>
  <r>
    <n v="68851104"/>
    <x v="0"/>
    <n v="8624"/>
    <d v="2026-03-02T00:00:00"/>
    <s v="BR Chocolate 6-1.5QT"/>
    <x v="0"/>
    <n v="8.5199999999999998E-3"/>
    <n v="176"/>
    <x v="0"/>
    <x v="0"/>
    <n v="1"/>
    <n v="8624"/>
    <n v="73.476479999999995"/>
    <n v="49"/>
    <s v="Mar"/>
    <x v="11"/>
    <m/>
    <m/>
  </r>
  <r>
    <n v="68851104"/>
    <x v="0"/>
    <n v="5214"/>
    <d v="2026-03-02T00:00:00"/>
    <s v="BR Chocolate 6-1.5QT"/>
    <x v="0"/>
    <n v="8.5199999999999998E-3"/>
    <n v="176"/>
    <x v="0"/>
    <x v="0"/>
    <n v="1"/>
    <n v="5214"/>
    <n v="44.423279999999998"/>
    <n v="29.625"/>
    <s v="Mar"/>
    <x v="11"/>
    <m/>
    <m/>
  </r>
  <r>
    <n v="68851104"/>
    <x v="0"/>
    <n v="9695"/>
    <d v="2026-03-03T00:00:00"/>
    <s v="BR Chocolate 6-1.5QT"/>
    <x v="0"/>
    <n v="8.5199999999999998E-3"/>
    <n v="176"/>
    <x v="0"/>
    <x v="0"/>
    <n v="1"/>
    <n v="9695"/>
    <n v="82.601399999999998"/>
    <n v="55.085227272727273"/>
    <s v="Mar"/>
    <x v="11"/>
    <m/>
    <m/>
  </r>
  <r>
    <n v="68851104"/>
    <x v="0"/>
    <n v="176"/>
    <d v="2026-03-24T00:00:00"/>
    <s v="BR Chocolate 6-1.5QT"/>
    <x v="0"/>
    <n v="8.5199999999999998E-3"/>
    <n v="176"/>
    <x v="0"/>
    <x v="0"/>
    <n v="1"/>
    <n v="176"/>
    <n v="1.49952"/>
    <n v="1"/>
    <s v="Mar"/>
    <x v="10"/>
    <m/>
    <m/>
  </r>
  <r>
    <n v="68851104"/>
    <x v="0"/>
    <n v="3200"/>
    <d v="2026-03-03T00:00:00"/>
    <s v="BR Chocolate 6-1.5QT"/>
    <x v="0"/>
    <n v="8.5199999999999998E-3"/>
    <n v="176"/>
    <x v="0"/>
    <x v="0"/>
    <n v="1"/>
    <n v="3200"/>
    <n v="27.263999999999999"/>
    <n v="18.181818181818183"/>
    <s v="Mar"/>
    <x v="11"/>
    <m/>
    <m/>
  </r>
  <r>
    <n v="68851104"/>
    <x v="0"/>
    <n v="6793"/>
    <d v="2026-03-04T00:00:00"/>
    <s v="BR Chocolate 6-1.5QT"/>
    <x v="0"/>
    <n v="8.5199999999999998E-3"/>
    <n v="176"/>
    <x v="0"/>
    <x v="0"/>
    <n v="1"/>
    <n v="6793"/>
    <n v="57.876359999999998"/>
    <n v="38.596590909090907"/>
    <s v="Mar"/>
    <x v="11"/>
    <m/>
    <m/>
  </r>
  <r>
    <n v="68851104"/>
    <x v="0"/>
    <n v="0"/>
    <d v="2026-03-12T00:00:00"/>
    <s v="BR Chocolate 6-1.5QT"/>
    <x v="0"/>
    <n v="8.5199999999999998E-3"/>
    <n v="176"/>
    <x v="0"/>
    <x v="0"/>
    <n v="1"/>
    <n v="0"/>
    <n v="0"/>
    <n v="0"/>
    <s v="Mar"/>
    <x v="12"/>
    <m/>
    <m/>
  </r>
  <r>
    <n v="68851104"/>
    <x v="0"/>
    <n v="5177"/>
    <d v="2026-03-22T00:00:00"/>
    <s v="BR Chocolate 6-1.5QT"/>
    <x v="0"/>
    <n v="8.5199999999999998E-3"/>
    <n v="176"/>
    <x v="0"/>
    <x v="0"/>
    <n v="1"/>
    <n v="5177"/>
    <n v="44.108039999999995"/>
    <n v="29.414772727272727"/>
    <s v="Mar"/>
    <x v="10"/>
    <m/>
    <m/>
  </r>
  <r>
    <n v="68851104"/>
    <x v="0"/>
    <n v="4543"/>
    <d v="2026-03-23T00:00:00"/>
    <s v="BR Chocolate 6-1.5QT"/>
    <x v="0"/>
    <n v="8.5199999999999998E-3"/>
    <n v="176"/>
    <x v="0"/>
    <x v="0"/>
    <n v="1"/>
    <n v="4543"/>
    <n v="38.706359999999997"/>
    <n v="25.8125"/>
    <s v="Mar"/>
    <x v="10"/>
    <m/>
    <m/>
  </r>
  <r>
    <n v="68851104"/>
    <x v="0"/>
    <n v="11379"/>
    <d v="2026-03-18T00:00:00"/>
    <s v="BR Chocolate 6-1.5QT"/>
    <x v="0"/>
    <n v="8.5199999999999998E-3"/>
    <n v="176"/>
    <x v="0"/>
    <x v="0"/>
    <n v="1"/>
    <n v="11379"/>
    <n v="96.949079999999995"/>
    <n v="64.653409090909093"/>
    <s v="Mar"/>
    <x v="9"/>
    <m/>
    <m/>
  </r>
  <r>
    <n v="68851104"/>
    <x v="0"/>
    <n v="12486"/>
    <d v="2026-03-21T00:00:00"/>
    <s v="BR Chocolate 6-1.5QT"/>
    <x v="0"/>
    <n v="8.5199999999999998E-3"/>
    <n v="176"/>
    <x v="0"/>
    <x v="0"/>
    <n v="1"/>
    <n v="12486"/>
    <n v="106.38072"/>
    <n v="70.943181818181813"/>
    <s v="Mar"/>
    <x v="9"/>
    <m/>
    <m/>
  </r>
  <r>
    <n v="68851104"/>
    <x v="0"/>
    <n v="9061"/>
    <d v="2026-03-22T00:00:00"/>
    <s v="BR Chocolate 6-1.5QT"/>
    <x v="0"/>
    <n v="8.5199999999999998E-3"/>
    <n v="176"/>
    <x v="0"/>
    <x v="0"/>
    <n v="1"/>
    <n v="9061"/>
    <n v="77.199719999999999"/>
    <n v="51.482954545454547"/>
    <s v="Mar"/>
    <x v="10"/>
    <m/>
    <m/>
  </r>
  <r>
    <n v="68851104"/>
    <x v="0"/>
    <n v="4663"/>
    <d v="2026-03-05T00:00:00"/>
    <s v="BR Chocolate 6-1.5QT"/>
    <x v="0"/>
    <n v="8.5199999999999998E-3"/>
    <n v="176"/>
    <x v="0"/>
    <x v="0"/>
    <n v="1"/>
    <n v="4663"/>
    <n v="39.728760000000001"/>
    <n v="26.494318181818183"/>
    <s v="Mar"/>
    <x v="11"/>
    <m/>
    <m/>
  </r>
  <r>
    <n v="68851104"/>
    <x v="0"/>
    <n v="8442"/>
    <d v="2026-03-06T00:00:00"/>
    <s v="BR Chocolate 6-1.5QT"/>
    <x v="0"/>
    <n v="8.5199999999999998E-3"/>
    <n v="176"/>
    <x v="0"/>
    <x v="0"/>
    <n v="1"/>
    <n v="8442"/>
    <n v="71.925839999999994"/>
    <n v="47.965909090909093"/>
    <s v="Mar"/>
    <x v="11"/>
    <m/>
    <m/>
  </r>
  <r>
    <n v="68851104"/>
    <x v="0"/>
    <n v="4752"/>
    <d v="2026-03-06T00:00:00"/>
    <s v="BR Chocolate 6-1.5QT"/>
    <x v="0"/>
    <n v="8.5199999999999998E-3"/>
    <n v="176"/>
    <x v="0"/>
    <x v="0"/>
    <n v="1"/>
    <n v="4752"/>
    <n v="40.48704"/>
    <n v="27"/>
    <s v="Mar"/>
    <x v="11"/>
    <m/>
    <m/>
  </r>
  <r>
    <n v="68851104"/>
    <x v="0"/>
    <n v="4324"/>
    <d v="2026-03-07T00:00:00"/>
    <s v="BR Chocolate 6-1.5QT"/>
    <x v="0"/>
    <n v="8.5199999999999998E-3"/>
    <n v="176"/>
    <x v="0"/>
    <x v="0"/>
    <n v="1"/>
    <n v="4324"/>
    <n v="36.840479999999999"/>
    <n v="24.568181818181817"/>
    <s v="Mar"/>
    <x v="11"/>
    <m/>
    <m/>
  </r>
  <r>
    <n v="68851104"/>
    <x v="0"/>
    <n v="3831"/>
    <d v="2026-03-04T00:00:00"/>
    <s v="BR Chocolate 6-1.5QT"/>
    <x v="0"/>
    <n v="8.5199999999999998E-3"/>
    <n v="176"/>
    <x v="0"/>
    <x v="0"/>
    <n v="1"/>
    <n v="3831"/>
    <n v="32.640119999999996"/>
    <n v="21.767045454545453"/>
    <s v="Mar"/>
    <x v="11"/>
    <m/>
    <m/>
  </r>
  <r>
    <n v="68851104"/>
    <x v="0"/>
    <n v="3838"/>
    <d v="2026-03-05T00:00:00"/>
    <s v="BR Chocolate 6-1.5QT"/>
    <x v="0"/>
    <n v="8.5199999999999998E-3"/>
    <n v="176"/>
    <x v="0"/>
    <x v="0"/>
    <n v="1"/>
    <n v="3838"/>
    <n v="32.699759999999998"/>
    <n v="21.806818181818183"/>
    <s v="Mar"/>
    <x v="11"/>
    <m/>
    <m/>
  </r>
  <r>
    <n v="68851104"/>
    <x v="0"/>
    <n v="33"/>
    <d v="2026-03-12T00:00:00"/>
    <s v="BR Chocolate 6-1.5QT"/>
    <x v="0"/>
    <n v="8.5199999999999998E-3"/>
    <n v="176"/>
    <x v="0"/>
    <x v="0"/>
    <n v="1"/>
    <n v="33"/>
    <n v="0.28115999999999997"/>
    <n v="0.1875"/>
    <s v="Mar"/>
    <x v="12"/>
    <m/>
    <m/>
  </r>
  <r>
    <n v="68851104"/>
    <x v="0"/>
    <n v="165"/>
    <d v="2026-03-24T00:00:00"/>
    <s v="BR Chocolate 6-1.5QT"/>
    <x v="0"/>
    <n v="8.5199999999999998E-3"/>
    <n v="176"/>
    <x v="0"/>
    <x v="0"/>
    <n v="1"/>
    <n v="165"/>
    <n v="1.4057999999999999"/>
    <n v="0.9375"/>
    <s v="Mar"/>
    <x v="10"/>
    <m/>
    <m/>
  </r>
  <r>
    <n v="68851104"/>
    <x v="0"/>
    <n v="6378"/>
    <d v="2026-02-23T00:00:00"/>
    <s v="BR Chocolate 6-1.5QT"/>
    <x v="0"/>
    <n v="8.5199999999999998E-3"/>
    <n v="176"/>
    <x v="0"/>
    <x v="0"/>
    <n v="1"/>
    <n v="6378"/>
    <n v="54.340559999999996"/>
    <n v="36.238636363636367"/>
    <s v="Feb"/>
    <x v="6"/>
    <m/>
    <m/>
  </r>
  <r>
    <n v="68851104"/>
    <x v="0"/>
    <n v="148"/>
    <d v="2026-02-23T00:00:00"/>
    <s v="BR Chocolate 6-1.5QT"/>
    <x v="0"/>
    <n v="8.5199999999999998E-3"/>
    <n v="176"/>
    <x v="0"/>
    <x v="0"/>
    <n v="1"/>
    <n v="148"/>
    <n v="1.2609599999999999"/>
    <n v="0.84090909090909094"/>
    <s v="Feb"/>
    <x v="6"/>
    <m/>
    <m/>
  </r>
  <r>
    <n v="68851104"/>
    <x v="0"/>
    <n v="9284"/>
    <d v="2026-02-24T00:00:00"/>
    <s v="BR Chocolate 6-1.5QT"/>
    <x v="0"/>
    <n v="8.5199999999999998E-3"/>
    <n v="176"/>
    <x v="0"/>
    <x v="0"/>
    <n v="1"/>
    <n v="9284"/>
    <n v="79.099679999999992"/>
    <n v="52.75"/>
    <s v="Feb"/>
    <x v="6"/>
    <m/>
    <m/>
  </r>
  <r>
    <n v="68851104"/>
    <x v="0"/>
    <n v="0"/>
    <d v="2026-02-26T00:00:00"/>
    <s v="BR Chocolate 6-1.5QT"/>
    <x v="0"/>
    <n v="8.5199999999999998E-3"/>
    <n v="176"/>
    <x v="0"/>
    <x v="0"/>
    <n v="1"/>
    <n v="0"/>
    <n v="0"/>
    <n v="0"/>
    <s v="Feb"/>
    <x v="6"/>
    <m/>
    <m/>
  </r>
  <r>
    <n v="68851104"/>
    <x v="0"/>
    <n v="-148"/>
    <d v="2026-03-01T00:00:00"/>
    <s v="BR Chocolate 6-1.5QT"/>
    <x v="0"/>
    <n v="8.5199999999999998E-3"/>
    <n v="176"/>
    <x v="0"/>
    <x v="0"/>
    <n v="1"/>
    <n v="-148"/>
    <n v="-1.2609599999999999"/>
    <n v="-0.84090909090909094"/>
    <s v="Mar"/>
    <x v="11"/>
    <m/>
    <m/>
  </r>
  <r>
    <n v="68851104"/>
    <x v="0"/>
    <n v="126"/>
    <d v="2026-03-09T00:00:00"/>
    <s v="BR Chocolate 6-1.5QT"/>
    <x v="0"/>
    <n v="8.5199999999999998E-3"/>
    <n v="176"/>
    <x v="0"/>
    <x v="0"/>
    <n v="1"/>
    <n v="126"/>
    <n v="1.07352"/>
    <n v="0.71590909090909094"/>
    <s v="Mar"/>
    <x v="12"/>
    <m/>
    <m/>
  </r>
  <r>
    <n v="68851104"/>
    <x v="0"/>
    <n v="5104"/>
    <d v="2026-02-24T00:00:00"/>
    <s v="BR Chocolate 6-1.5QT"/>
    <x v="0"/>
    <n v="8.5199999999999998E-3"/>
    <n v="176"/>
    <x v="0"/>
    <x v="0"/>
    <n v="1"/>
    <n v="5104"/>
    <n v="43.486080000000001"/>
    <n v="29"/>
    <s v="Feb"/>
    <x v="6"/>
    <m/>
    <m/>
  </r>
  <r>
    <n v="68851104"/>
    <x v="0"/>
    <n v="2402"/>
    <d v="2026-02-25T00:00:00"/>
    <s v="BR Chocolate 6-1.5QT"/>
    <x v="0"/>
    <n v="8.5199999999999998E-3"/>
    <n v="176"/>
    <x v="0"/>
    <x v="0"/>
    <n v="1"/>
    <n v="2402"/>
    <n v="20.465039999999998"/>
    <n v="13.647727272727273"/>
    <s v="Feb"/>
    <x v="6"/>
    <m/>
    <m/>
  </r>
  <r>
    <n v="68851104"/>
    <x v="0"/>
    <n v="5913"/>
    <d v="2026-03-18T00:00:00"/>
    <s v="BR Chocolate 6-1.5QT"/>
    <x v="0"/>
    <n v="8.5199999999999998E-3"/>
    <n v="176"/>
    <x v="0"/>
    <x v="0"/>
    <n v="1"/>
    <n v="5913"/>
    <n v="50.37876"/>
    <n v="33.596590909090907"/>
    <s v="Mar"/>
    <x v="9"/>
    <m/>
    <m/>
  </r>
  <r>
    <n v="68851104"/>
    <x v="0"/>
    <n v="9877"/>
    <d v="2026-03-19T00:00:00"/>
    <s v="BR Chocolate 6-1.5QT"/>
    <x v="0"/>
    <n v="8.5199999999999998E-3"/>
    <n v="176"/>
    <x v="0"/>
    <x v="0"/>
    <n v="1"/>
    <n v="9877"/>
    <n v="84.15204"/>
    <n v="56.11931818181818"/>
    <s v="Mar"/>
    <x v="9"/>
    <m/>
    <m/>
  </r>
  <r>
    <n v="68851104"/>
    <x v="0"/>
    <n v="6512"/>
    <d v="2026-03-19T00:00:00"/>
    <s v="BR Chocolate 6-1.5QT"/>
    <x v="0"/>
    <n v="8.5199999999999998E-3"/>
    <n v="176"/>
    <x v="0"/>
    <x v="0"/>
    <n v="1"/>
    <n v="6512"/>
    <n v="55.482239999999997"/>
    <n v="37"/>
    <s v="Mar"/>
    <x v="9"/>
    <m/>
    <m/>
  </r>
  <r>
    <n v="68851104"/>
    <x v="0"/>
    <n v="9204"/>
    <d v="2026-03-20T00:00:00"/>
    <s v="BR Chocolate 6-1.5QT"/>
    <x v="0"/>
    <n v="8.5199999999999998E-3"/>
    <n v="176"/>
    <x v="0"/>
    <x v="0"/>
    <n v="1"/>
    <n v="9204"/>
    <n v="78.418080000000003"/>
    <n v="52.295454545454547"/>
    <s v="Mar"/>
    <x v="9"/>
    <m/>
    <m/>
  </r>
  <r>
    <n v="68851107"/>
    <x v="0"/>
    <n v="0"/>
    <d v="2026-02-25T00:00:00"/>
    <s v="BR NAT Vanilla 6-1.5QT"/>
    <x v="6"/>
    <n v="8.5199999999999998E-3"/>
    <n v="176"/>
    <x v="0"/>
    <x v="0"/>
    <n v="1"/>
    <n v="0"/>
    <n v="0"/>
    <n v="0"/>
    <s v="Feb"/>
    <x v="6"/>
    <m/>
    <m/>
  </r>
  <r>
    <n v="68851107"/>
    <x v="0"/>
    <n v="0"/>
    <d v="2026-02-26T00:00:00"/>
    <s v="BR NAT Vanilla 6-1.5QT"/>
    <x v="6"/>
    <n v="8.5199999999999998E-3"/>
    <n v="176"/>
    <x v="0"/>
    <x v="0"/>
    <n v="1"/>
    <n v="0"/>
    <n v="0"/>
    <n v="0"/>
    <s v="Feb"/>
    <x v="6"/>
    <m/>
    <m/>
  </r>
  <r>
    <n v="68851107"/>
    <x v="0"/>
    <n v="0"/>
    <d v="2026-02-23T00:00:00"/>
    <s v="BR NAT Vanilla 6-1.5QT"/>
    <x v="6"/>
    <n v="8.5199999999999998E-3"/>
    <n v="176"/>
    <x v="0"/>
    <x v="0"/>
    <n v="1"/>
    <n v="0"/>
    <n v="0"/>
    <n v="0"/>
    <s v="Feb"/>
    <x v="6"/>
    <m/>
    <m/>
  </r>
  <r>
    <n v="68851107"/>
    <x v="0"/>
    <n v="0"/>
    <d v="2026-02-26T00:00:00"/>
    <s v="BR NAT Vanilla 6-1.5QT"/>
    <x v="6"/>
    <n v="8.5199999999999998E-3"/>
    <n v="176"/>
    <x v="0"/>
    <x v="0"/>
    <n v="1"/>
    <n v="0"/>
    <n v="0"/>
    <n v="0"/>
    <s v="Feb"/>
    <x v="6"/>
    <m/>
    <m/>
  </r>
  <r>
    <n v="68851107"/>
    <x v="0"/>
    <n v="5651"/>
    <d v="2026-02-23T00:00:00"/>
    <s v="BR NAT Vanilla 6-1.5QT"/>
    <x v="6"/>
    <n v="8.5199999999999998E-3"/>
    <n v="176"/>
    <x v="0"/>
    <x v="0"/>
    <n v="1"/>
    <n v="5651"/>
    <n v="48.146519999999995"/>
    <n v="32.107954545454547"/>
    <s v="Feb"/>
    <x v="6"/>
    <m/>
    <m/>
  </r>
  <r>
    <n v="68851107"/>
    <x v="0"/>
    <n v="139"/>
    <d v="2026-02-23T00:00:00"/>
    <s v="BR NAT Vanilla 6-1.5QT"/>
    <x v="6"/>
    <n v="8.5199999999999998E-3"/>
    <n v="176"/>
    <x v="0"/>
    <x v="0"/>
    <n v="1"/>
    <n v="139"/>
    <n v="1.18428"/>
    <n v="0.78977272727272729"/>
    <s v="Feb"/>
    <x v="6"/>
    <m/>
    <m/>
  </r>
  <r>
    <n v="68851107"/>
    <x v="0"/>
    <n v="9296"/>
    <d v="2026-02-24T00:00:00"/>
    <s v="BR NAT Vanilla 6-1.5QT"/>
    <x v="6"/>
    <n v="8.5199999999999998E-3"/>
    <n v="176"/>
    <x v="0"/>
    <x v="0"/>
    <n v="1"/>
    <n v="9296"/>
    <n v="79.201920000000001"/>
    <n v="52.81818181818182"/>
    <s v="Feb"/>
    <x v="6"/>
    <m/>
    <m/>
  </r>
  <r>
    <n v="68851107"/>
    <x v="0"/>
    <n v="4326"/>
    <d v="2026-02-24T00:00:00"/>
    <s v="BR NAT Vanilla 6-1.5QT"/>
    <x v="6"/>
    <n v="8.5199999999999998E-3"/>
    <n v="176"/>
    <x v="0"/>
    <x v="0"/>
    <n v="1"/>
    <n v="4326"/>
    <n v="36.857520000000001"/>
    <n v="24.579545454545453"/>
    <s v="Feb"/>
    <x v="6"/>
    <m/>
    <m/>
  </r>
  <r>
    <n v="68851107"/>
    <x v="0"/>
    <n v="6191"/>
    <d v="2026-02-25T00:00:00"/>
    <s v="BR NAT Vanilla 6-1.5QT"/>
    <x v="6"/>
    <n v="8.5199999999999998E-3"/>
    <n v="176"/>
    <x v="0"/>
    <x v="0"/>
    <n v="1"/>
    <n v="6191"/>
    <n v="52.747320000000002"/>
    <n v="35.176136363636367"/>
    <s v="Feb"/>
    <x v="6"/>
    <m/>
    <m/>
  </r>
  <r>
    <n v="68851109"/>
    <x v="0"/>
    <n v="3690"/>
    <d v="2026-03-17T00:00:00"/>
    <s v="BR HA Chocolate 6-1.5QT"/>
    <x v="0"/>
    <n v="8.5199999999999998E-3"/>
    <n v="154"/>
    <x v="0"/>
    <x v="0"/>
    <n v="1"/>
    <n v="3690"/>
    <n v="31.438800000000001"/>
    <n v="23.961038961038962"/>
    <s v="Mar"/>
    <x v="9"/>
    <m/>
    <m/>
  </r>
  <r>
    <n v="68852591"/>
    <x v="0"/>
    <n v="2376"/>
    <d v="2026-03-02T00:00:00"/>
    <s v="KL Heath Bar 12-6PK"/>
    <x v="4"/>
    <n v="8.5199999999999998E-3"/>
    <n v="132"/>
    <x v="1"/>
    <x v="2"/>
    <n v="1"/>
    <n v="2376"/>
    <n v="20.24352"/>
    <n v="18"/>
    <s v="Mar"/>
    <x v="11"/>
    <m/>
    <m/>
  </r>
  <r>
    <n v="68852591"/>
    <x v="0"/>
    <n v="1050"/>
    <d v="2026-03-03T00:00:00"/>
    <s v="KL Heath Bar 12-6PK"/>
    <x v="4"/>
    <n v="8.5199999999999998E-3"/>
    <n v="132"/>
    <x v="1"/>
    <x v="2"/>
    <n v="1"/>
    <n v="1050"/>
    <n v="8.9459999999999997"/>
    <n v="7.9545454545454541"/>
    <s v="Mar"/>
    <x v="11"/>
    <m/>
    <m/>
  </r>
  <r>
    <n v="68852591"/>
    <x v="0"/>
    <n v="1980"/>
    <d v="2026-03-03T00:00:00"/>
    <s v="KL Heath Bar 12-6PK"/>
    <x v="4"/>
    <n v="8.5199999999999998E-3"/>
    <n v="132"/>
    <x v="1"/>
    <x v="2"/>
    <n v="1"/>
    <n v="1980"/>
    <n v="16.869599999999998"/>
    <n v="15"/>
    <s v="Mar"/>
    <x v="11"/>
    <m/>
    <m/>
  </r>
  <r>
    <n v="68852591"/>
    <x v="0"/>
    <n v="1042"/>
    <d v="2026-03-04T00:00:00"/>
    <s v="KL Heath Bar 12-6PK"/>
    <x v="4"/>
    <n v="8.5199999999999998E-3"/>
    <n v="132"/>
    <x v="1"/>
    <x v="2"/>
    <n v="1"/>
    <n v="1042"/>
    <n v="8.8778399999999991"/>
    <n v="7.8939393939393936"/>
    <s v="Mar"/>
    <x v="11"/>
    <m/>
    <m/>
  </r>
  <r>
    <n v="68852591"/>
    <x v="0"/>
    <n v="3036"/>
    <d v="2026-03-04T00:00:00"/>
    <s v="KL Heath Bar 12-6PK"/>
    <x v="4"/>
    <n v="8.5199999999999998E-3"/>
    <n v="132"/>
    <x v="1"/>
    <x v="2"/>
    <n v="1"/>
    <n v="3036"/>
    <n v="25.866720000000001"/>
    <n v="23"/>
    <s v="Mar"/>
    <x v="11"/>
    <m/>
    <m/>
  </r>
  <r>
    <n v="68852591"/>
    <x v="0"/>
    <n v="3686"/>
    <d v="2026-03-05T00:00:00"/>
    <s v="KL Heath Bar 12-6PK"/>
    <x v="4"/>
    <n v="8.5199999999999998E-3"/>
    <n v="132"/>
    <x v="1"/>
    <x v="2"/>
    <n v="1"/>
    <n v="3686"/>
    <n v="31.404719999999998"/>
    <n v="27.924242424242426"/>
    <s v="Mar"/>
    <x v="11"/>
    <m/>
    <m/>
  </r>
  <r>
    <n v="68852591"/>
    <x v="0"/>
    <n v="2376"/>
    <d v="2026-03-06T00:00:00"/>
    <s v="KL Heath Bar 12-6PK"/>
    <x v="4"/>
    <n v="8.5199999999999998E-3"/>
    <n v="132"/>
    <x v="1"/>
    <x v="2"/>
    <n v="1"/>
    <n v="2376"/>
    <n v="20.24352"/>
    <n v="18"/>
    <s v="Mar"/>
    <x v="11"/>
    <m/>
    <m/>
  </r>
  <r>
    <n v="68852591"/>
    <x v="0"/>
    <n v="3523"/>
    <d v="2026-03-07T00:00:00"/>
    <s v="KL Heath Bar 12-6PK"/>
    <x v="4"/>
    <n v="8.5199999999999998E-3"/>
    <n v="132"/>
    <x v="1"/>
    <x v="2"/>
    <n v="1"/>
    <n v="3523"/>
    <n v="30.01596"/>
    <n v="26.689393939393938"/>
    <s v="Mar"/>
    <x v="11"/>
    <m/>
    <m/>
  </r>
  <r>
    <n v="68852591"/>
    <x v="0"/>
    <n v="2244"/>
    <d v="2026-03-07T00:00:00"/>
    <s v="KL Heath Bar 12-6PK"/>
    <x v="4"/>
    <n v="8.5199999999999998E-3"/>
    <n v="132"/>
    <x v="1"/>
    <x v="2"/>
    <n v="1"/>
    <n v="2244"/>
    <n v="19.118880000000001"/>
    <n v="17"/>
    <s v="Mar"/>
    <x v="11"/>
    <m/>
    <m/>
  </r>
  <r>
    <n v="68852591"/>
    <x v="0"/>
    <n v="2053"/>
    <d v="2026-03-08T00:00:00"/>
    <s v="KL Heath Bar 12-6PK"/>
    <x v="4"/>
    <n v="8.5199999999999998E-3"/>
    <n v="132"/>
    <x v="1"/>
    <x v="2"/>
    <n v="1"/>
    <n v="2053"/>
    <n v="17.49156"/>
    <n v="15.553030303030303"/>
    <s v="Mar"/>
    <x v="12"/>
    <m/>
    <m/>
  </r>
  <r>
    <n v="68852591"/>
    <x v="0"/>
    <n v="699"/>
    <d v="2026-02-23T00:00:00"/>
    <s v="KL Heath Bar 12-6PK"/>
    <x v="4"/>
    <n v="8.5199999999999998E-3"/>
    <n v="132"/>
    <x v="1"/>
    <x v="2"/>
    <n v="1"/>
    <n v="699"/>
    <n v="5.9554799999999997"/>
    <n v="5.2954545454545459"/>
    <s v="Feb"/>
    <x v="6"/>
    <m/>
    <m/>
  </r>
  <r>
    <n v="68852591"/>
    <x v="0"/>
    <n v="231"/>
    <d v="2026-02-24T00:00:00"/>
    <s v="KL Heath Bar 12-6PK"/>
    <x v="4"/>
    <n v="8.5199999999999998E-3"/>
    <n v="132"/>
    <x v="1"/>
    <x v="2"/>
    <n v="1"/>
    <n v="231"/>
    <n v="1.9681199999999999"/>
    <n v="1.75"/>
    <s v="Feb"/>
    <x v="6"/>
    <m/>
    <m/>
  </r>
  <r>
    <n v="68852591"/>
    <x v="0"/>
    <n v="2376"/>
    <d v="2026-02-24T00:00:00"/>
    <s v="KL Heath Bar 12-6PK"/>
    <x v="4"/>
    <n v="8.5199999999999998E-3"/>
    <n v="132"/>
    <x v="1"/>
    <x v="2"/>
    <n v="1"/>
    <n v="2376"/>
    <n v="20.24352"/>
    <n v="18"/>
    <s v="Feb"/>
    <x v="6"/>
    <m/>
    <m/>
  </r>
  <r>
    <n v="68852591"/>
    <x v="0"/>
    <n v="4195"/>
    <d v="2026-02-25T00:00:00"/>
    <s v="KL Heath Bar 12-6PK"/>
    <x v="4"/>
    <n v="8.5199999999999998E-3"/>
    <n v="132"/>
    <x v="1"/>
    <x v="2"/>
    <n v="1"/>
    <n v="4195"/>
    <n v="35.741399999999999"/>
    <n v="31.780303030303031"/>
    <s v="Feb"/>
    <x v="6"/>
    <m/>
    <m/>
  </r>
  <r>
    <n v="68852591"/>
    <x v="0"/>
    <n v="2376"/>
    <d v="2026-02-25T00:00:00"/>
    <s v="KL Heath Bar 12-6PK"/>
    <x v="4"/>
    <n v="8.5199999999999998E-3"/>
    <n v="132"/>
    <x v="1"/>
    <x v="2"/>
    <n v="1"/>
    <n v="2376"/>
    <n v="20.24352"/>
    <n v="18"/>
    <s v="Feb"/>
    <x v="6"/>
    <m/>
    <m/>
  </r>
  <r>
    <n v="68852591"/>
    <x v="0"/>
    <n v="3526"/>
    <d v="2026-02-26T00:00:00"/>
    <s v="KL Heath Bar 12-6PK"/>
    <x v="4"/>
    <n v="8.5199999999999998E-3"/>
    <n v="132"/>
    <x v="1"/>
    <x v="2"/>
    <n v="1"/>
    <n v="3526"/>
    <n v="30.041519999999998"/>
    <n v="26.712121212121211"/>
    <s v="Feb"/>
    <x v="6"/>
    <m/>
    <m/>
  </r>
  <r>
    <n v="68852591"/>
    <x v="0"/>
    <n v="3036"/>
    <d v="2026-02-26T00:00:00"/>
    <s v="KL Heath Bar 12-6PK"/>
    <x v="4"/>
    <n v="8.5199999999999998E-3"/>
    <n v="132"/>
    <x v="1"/>
    <x v="2"/>
    <n v="1"/>
    <n v="3036"/>
    <n v="25.866720000000001"/>
    <n v="23"/>
    <s v="Feb"/>
    <x v="6"/>
    <m/>
    <m/>
  </r>
  <r>
    <n v="68852591"/>
    <x v="0"/>
    <n v="3468"/>
    <d v="2026-02-27T00:00:00"/>
    <s v="KL Heath Bar 12-6PK"/>
    <x v="4"/>
    <n v="8.5199999999999998E-3"/>
    <n v="132"/>
    <x v="1"/>
    <x v="2"/>
    <n v="1"/>
    <n v="3468"/>
    <n v="29.547359999999998"/>
    <n v="26.272727272727273"/>
    <s v="Feb"/>
    <x v="6"/>
    <m/>
    <m/>
  </r>
  <r>
    <n v="68852591"/>
    <x v="0"/>
    <n v="2386"/>
    <d v="2026-02-27T00:00:00"/>
    <s v="KL Heath Bar 12-6PK"/>
    <x v="4"/>
    <n v="8.5199999999999998E-3"/>
    <n v="132"/>
    <x v="1"/>
    <x v="2"/>
    <n v="1"/>
    <n v="2386"/>
    <n v="20.328720000000001"/>
    <n v="18.075757575757574"/>
    <s v="Feb"/>
    <x v="6"/>
    <m/>
    <m/>
  </r>
  <r>
    <n v="68852591"/>
    <x v="0"/>
    <n v="2508"/>
    <d v="2026-02-28T00:00:00"/>
    <s v="KL Heath Bar 12-6PK"/>
    <x v="4"/>
    <n v="8.5199999999999998E-3"/>
    <n v="132"/>
    <x v="1"/>
    <x v="2"/>
    <n v="1"/>
    <n v="2508"/>
    <n v="21.36816"/>
    <n v="19"/>
    <s v="Feb"/>
    <x v="6"/>
    <m/>
    <m/>
  </r>
  <r>
    <n v="68852591"/>
    <x v="0"/>
    <n v="2334"/>
    <d v="2026-03-01T00:00:00"/>
    <s v="KL Heath Bar 12-6PK"/>
    <x v="4"/>
    <n v="8.5199999999999998E-3"/>
    <n v="132"/>
    <x v="1"/>
    <x v="2"/>
    <n v="1"/>
    <n v="2334"/>
    <n v="19.885680000000001"/>
    <n v="17.681818181818183"/>
    <s v="Mar"/>
    <x v="11"/>
    <m/>
    <m/>
  </r>
  <r>
    <n v="68852591"/>
    <x v="0"/>
    <n v="262"/>
    <d v="2026-03-12T00:00:00"/>
    <s v="KL Heath Bar 12-6PK"/>
    <x v="4"/>
    <n v="8.5199999999999998E-3"/>
    <n v="132"/>
    <x v="1"/>
    <x v="2"/>
    <n v="1"/>
    <n v="262"/>
    <n v="2.23224"/>
    <n v="1.9848484848484849"/>
    <s v="Mar"/>
    <x v="12"/>
    <m/>
    <m/>
  </r>
  <r>
    <n v="68852591"/>
    <x v="0"/>
    <n v="2244"/>
    <d v="2026-03-01T00:00:00"/>
    <s v="KL Heath Bar 12-6PK"/>
    <x v="4"/>
    <n v="8.5199999999999998E-3"/>
    <n v="132"/>
    <x v="1"/>
    <x v="2"/>
    <n v="1"/>
    <n v="2244"/>
    <n v="19.118880000000001"/>
    <n v="17"/>
    <s v="Mar"/>
    <x v="11"/>
    <m/>
    <m/>
  </r>
  <r>
    <n v="68852591"/>
    <x v="0"/>
    <n v="2153"/>
    <d v="2026-03-02T00:00:00"/>
    <s v="KL Heath Bar 12-6PK"/>
    <x v="4"/>
    <n v="8.5199999999999998E-3"/>
    <n v="132"/>
    <x v="1"/>
    <x v="2"/>
    <n v="1"/>
    <n v="2153"/>
    <n v="18.34356"/>
    <n v="16.310606060606062"/>
    <s v="Mar"/>
    <x v="11"/>
    <m/>
    <m/>
  </r>
  <r>
    <n v="68852591"/>
    <x v="0"/>
    <n v="2772"/>
    <d v="2026-03-05T00:00:00"/>
    <s v="KL Heath Bar 12-6PK"/>
    <x v="4"/>
    <n v="8.5199999999999998E-3"/>
    <n v="132"/>
    <x v="1"/>
    <x v="2"/>
    <n v="1"/>
    <n v="2772"/>
    <n v="23.617439999999998"/>
    <n v="21"/>
    <s v="Mar"/>
    <x v="11"/>
    <m/>
    <m/>
  </r>
  <r>
    <n v="68852591"/>
    <x v="0"/>
    <n v="3703"/>
    <d v="2026-03-06T00:00:00"/>
    <s v="KL Heath Bar 12-6PK"/>
    <x v="4"/>
    <n v="8.5199999999999998E-3"/>
    <n v="132"/>
    <x v="1"/>
    <x v="2"/>
    <n v="1"/>
    <n v="3703"/>
    <n v="31.54956"/>
    <n v="28.053030303030305"/>
    <s v="Mar"/>
    <x v="11"/>
    <m/>
    <m/>
  </r>
  <r>
    <n v="68852591"/>
    <x v="0"/>
    <n v="2430"/>
    <d v="2026-02-23T00:00:00"/>
    <s v="KL Heath Bar 12-6PK"/>
    <x v="4"/>
    <n v="8.5199999999999998E-3"/>
    <n v="132"/>
    <x v="1"/>
    <x v="2"/>
    <n v="1"/>
    <n v="2430"/>
    <n v="20.703599999999998"/>
    <n v="18.40909090909091"/>
    <s v="Feb"/>
    <x v="6"/>
    <m/>
    <m/>
  </r>
  <r>
    <n v="68852591"/>
    <x v="0"/>
    <n v="3960"/>
    <d v="2026-02-24T00:00:00"/>
    <s v="KL Heath Bar 12-6PK"/>
    <x v="4"/>
    <n v="8.5199999999999998E-3"/>
    <n v="132"/>
    <x v="1"/>
    <x v="2"/>
    <n v="1"/>
    <n v="3960"/>
    <n v="33.739199999999997"/>
    <n v="30"/>
    <s v="Feb"/>
    <x v="6"/>
    <m/>
    <m/>
  </r>
  <r>
    <n v="68852591"/>
    <x v="0"/>
    <n v="2037"/>
    <d v="2026-02-28T00:00:00"/>
    <s v="KL Heath Bar 12-6PK"/>
    <x v="4"/>
    <n v="8.5199999999999998E-3"/>
    <n v="132"/>
    <x v="1"/>
    <x v="2"/>
    <n v="1"/>
    <n v="2037"/>
    <n v="17.355239999999998"/>
    <n v="15.431818181818182"/>
    <s v="Feb"/>
    <x v="6"/>
    <m/>
    <m/>
  </r>
  <r>
    <n v="68881268"/>
    <x v="0"/>
    <n v="5591"/>
    <d v="2026-02-27T00:00:00"/>
    <s v="BR HA Cookies and Cream 6 1.5QT"/>
    <x v="6"/>
    <n v="8.5199999999999998E-3"/>
    <n v="154"/>
    <x v="0"/>
    <x v="0"/>
    <n v="1"/>
    <n v="5591"/>
    <n v="47.63532"/>
    <n v="36.305194805194802"/>
    <s v="Feb"/>
    <x v="6"/>
    <m/>
    <m/>
  </r>
  <r>
    <n v="68881268"/>
    <x v="0"/>
    <n v="573"/>
    <d v="2026-02-28T00:00:00"/>
    <s v="BR HA Cookies and Cream 6 1.5QT"/>
    <x v="6"/>
    <n v="8.5199999999999998E-3"/>
    <n v="154"/>
    <x v="0"/>
    <x v="0"/>
    <n v="1"/>
    <n v="573"/>
    <n v="4.8819600000000003"/>
    <n v="3.720779220779221"/>
    <s v="Feb"/>
    <x v="6"/>
    <m/>
    <m/>
  </r>
  <r>
    <n v="68881268"/>
    <x v="0"/>
    <n v="2475"/>
    <d v="2026-03-14T00:00:00"/>
    <s v="BR HA Cookies and Cream 6 1.5QT"/>
    <x v="7"/>
    <n v="8.5199999999999998E-3"/>
    <n v="154"/>
    <x v="0"/>
    <x v="0"/>
    <n v="1"/>
    <n v="2475"/>
    <n v="21.087"/>
    <n v="16.071428571428573"/>
    <s v="Mar"/>
    <x v="12"/>
    <m/>
    <m/>
  </r>
  <r>
    <n v="68881268"/>
    <x v="0"/>
    <n v="1796"/>
    <d v="2026-03-15T00:00:00"/>
    <s v="BR HA Cookies and Cream 6 1.5QT"/>
    <x v="7"/>
    <n v="8.5199999999999998E-3"/>
    <n v="154"/>
    <x v="0"/>
    <x v="0"/>
    <n v="1"/>
    <n v="1796"/>
    <n v="15.301919999999999"/>
    <n v="11.662337662337663"/>
    <s v="Mar"/>
    <x v="9"/>
    <m/>
    <m/>
  </r>
  <r>
    <n v="68881268"/>
    <x v="0"/>
    <n v="5646"/>
    <d v="2026-03-04T00:00:00"/>
    <s v="BR HA Cookies and Cream 6 1.5QT"/>
    <x v="7"/>
    <n v="8.5199999999999998E-3"/>
    <n v="154"/>
    <x v="0"/>
    <x v="0"/>
    <n v="1"/>
    <n v="5646"/>
    <n v="48.103920000000002"/>
    <n v="36.662337662337663"/>
    <s v="Mar"/>
    <x v="11"/>
    <m/>
    <m/>
  </r>
  <r>
    <n v="68881268"/>
    <x v="0"/>
    <n v="308"/>
    <d v="2026-03-05T00:00:00"/>
    <s v="BR HA Cookies and Cream 6 1.5QT"/>
    <x v="7"/>
    <n v="8.5199999999999998E-3"/>
    <n v="154"/>
    <x v="0"/>
    <x v="0"/>
    <n v="1"/>
    <n v="308"/>
    <n v="2.6241599999999998"/>
    <n v="2"/>
    <s v="Mar"/>
    <x v="11"/>
    <m/>
    <m/>
  </r>
  <r>
    <n v="68881270"/>
    <x v="0"/>
    <n v="4"/>
    <d v="2026-03-17T00:00:00"/>
    <s v="BR Cookies and Cream 6 1.5QT"/>
    <x v="6"/>
    <n v="8.5199999999999998E-3"/>
    <n v="176"/>
    <x v="0"/>
    <x v="0"/>
    <n v="1"/>
    <n v="4"/>
    <n v="3.4079999999999999E-2"/>
    <n v="2.2727272727272728E-2"/>
    <s v="Mar"/>
    <x v="9"/>
    <m/>
    <m/>
  </r>
  <r>
    <n v="68881270"/>
    <x v="0"/>
    <n v="11"/>
    <d v="2026-03-05T00:00:00"/>
    <s v="BR Cookies and Cream 6 1.5QT"/>
    <x v="6"/>
    <n v="8.5199999999999998E-3"/>
    <n v="176"/>
    <x v="0"/>
    <x v="0"/>
    <n v="1"/>
    <n v="11"/>
    <n v="9.3719999999999998E-2"/>
    <n v="6.25E-2"/>
    <s v="Mar"/>
    <x v="11"/>
    <m/>
    <m/>
  </r>
  <r>
    <n v="68881270"/>
    <x v="0"/>
    <n v="0"/>
    <d v="2026-03-05T00:00:00"/>
    <s v="BR Cookies and Cream 6 1.5QT"/>
    <x v="6"/>
    <n v="8.5199999999999998E-3"/>
    <n v="176"/>
    <x v="0"/>
    <x v="0"/>
    <n v="1"/>
    <n v="0"/>
    <n v="0"/>
    <n v="0"/>
    <s v="Mar"/>
    <x v="11"/>
    <m/>
    <m/>
  </r>
  <r>
    <n v="68881270"/>
    <x v="0"/>
    <n v="7200"/>
    <d v="2026-02-28T00:00:00"/>
    <s v="BR Cookies and Cream 6 1.5QT"/>
    <x v="6"/>
    <n v="8.5199999999999998E-3"/>
    <n v="176"/>
    <x v="0"/>
    <x v="0"/>
    <n v="1"/>
    <n v="7200"/>
    <n v="61.344000000000001"/>
    <n v="40.909090909090907"/>
    <s v="Feb"/>
    <x v="6"/>
    <m/>
    <m/>
  </r>
  <r>
    <n v="68881270"/>
    <x v="0"/>
    <n v="5232"/>
    <d v="2026-03-01T00:00:00"/>
    <s v="BR Cookies and Cream 6 1.5QT"/>
    <x v="6"/>
    <n v="8.5199999999999998E-3"/>
    <n v="176"/>
    <x v="0"/>
    <x v="0"/>
    <n v="1"/>
    <n v="5232"/>
    <n v="44.576639999999998"/>
    <n v="29.727272727272727"/>
    <s v="Mar"/>
    <x v="11"/>
    <m/>
    <m/>
  </r>
  <r>
    <n v="68881270"/>
    <x v="0"/>
    <n v="176"/>
    <d v="2026-03-12T00:00:00"/>
    <s v="BR Cookies and Cream 6 1.5QT"/>
    <x v="6"/>
    <n v="8.5199999999999998E-3"/>
    <n v="176"/>
    <x v="0"/>
    <x v="0"/>
    <n v="1"/>
    <n v="176"/>
    <n v="1.49952"/>
    <n v="1"/>
    <s v="Mar"/>
    <x v="12"/>
    <m/>
    <m/>
  </r>
  <r>
    <n v="68881270"/>
    <x v="0"/>
    <n v="2622"/>
    <d v="2026-03-01T00:00:00"/>
    <s v="BR Cookies and Cream 6 1.5QT"/>
    <x v="6"/>
    <n v="8.5199999999999998E-3"/>
    <n v="176"/>
    <x v="0"/>
    <x v="0"/>
    <n v="1"/>
    <n v="2622"/>
    <n v="22.33944"/>
    <n v="14.897727272727273"/>
    <s v="Mar"/>
    <x v="11"/>
    <m/>
    <m/>
  </r>
  <r>
    <n v="68881270"/>
    <x v="0"/>
    <n v="7082"/>
    <d v="2026-03-02T00:00:00"/>
    <s v="BR Cookies and Cream 6 1.5QT"/>
    <x v="6"/>
    <n v="8.5199999999999998E-3"/>
    <n v="176"/>
    <x v="0"/>
    <x v="0"/>
    <n v="1"/>
    <n v="7082"/>
    <n v="60.338639999999998"/>
    <n v="40.238636363636367"/>
    <s v="Mar"/>
    <x v="11"/>
    <m/>
    <m/>
  </r>
  <r>
    <n v="68881270"/>
    <x v="0"/>
    <n v="4917"/>
    <d v="2026-03-02T00:00:00"/>
    <s v="BR Cookies and Cream 6 1.5QT"/>
    <x v="6"/>
    <n v="8.5199999999999998E-3"/>
    <n v="176"/>
    <x v="0"/>
    <x v="0"/>
    <n v="1"/>
    <n v="4917"/>
    <n v="41.89284"/>
    <n v="27.9375"/>
    <s v="Mar"/>
    <x v="11"/>
    <m/>
    <m/>
  </r>
  <r>
    <n v="68881270"/>
    <x v="0"/>
    <n v="9113"/>
    <d v="2026-03-03T00:00:00"/>
    <s v="BR Cookies and Cream 6 1.5QT"/>
    <x v="6"/>
    <n v="8.5199999999999998E-3"/>
    <n v="176"/>
    <x v="0"/>
    <x v="0"/>
    <n v="1"/>
    <n v="9113"/>
    <n v="77.642759999999996"/>
    <n v="51.778409090909093"/>
    <s v="Mar"/>
    <x v="11"/>
    <m/>
    <m/>
  </r>
  <r>
    <n v="68881270"/>
    <x v="0"/>
    <n v="11"/>
    <d v="2026-03-12T00:00:00"/>
    <s v="BR Cookies and Cream 6 1.5QT"/>
    <x v="6"/>
    <n v="8.5199999999999998E-3"/>
    <n v="176"/>
    <x v="0"/>
    <x v="0"/>
    <n v="1"/>
    <n v="11"/>
    <n v="9.3719999999999998E-2"/>
    <n v="6.25E-2"/>
    <s v="Mar"/>
    <x v="12"/>
    <m/>
    <m/>
  </r>
  <r>
    <n v="68881270"/>
    <x v="0"/>
    <n v="5218"/>
    <d v="2026-03-03T00:00:00"/>
    <s v="BR Cookies and Cream 6 1.5QT"/>
    <x v="6"/>
    <n v="8.5199999999999998E-3"/>
    <n v="176"/>
    <x v="0"/>
    <x v="0"/>
    <n v="1"/>
    <n v="5218"/>
    <n v="44.457360000000001"/>
    <n v="29.647727272727273"/>
    <s v="Mar"/>
    <x v="11"/>
    <m/>
    <m/>
  </r>
  <r>
    <n v="68881270"/>
    <x v="0"/>
    <n v="714"/>
    <d v="2026-03-04T00:00:00"/>
    <s v="BR Cookies and Cream 6 1.5QT"/>
    <x v="6"/>
    <n v="8.5199999999999998E-3"/>
    <n v="176"/>
    <x v="0"/>
    <x v="0"/>
    <n v="1"/>
    <n v="714"/>
    <n v="6.0832800000000002"/>
    <n v="4.0568181818181817"/>
    <s v="Mar"/>
    <x v="11"/>
    <m/>
    <m/>
  </r>
  <r>
    <n v="68881270"/>
    <x v="0"/>
    <n v="7649"/>
    <d v="2026-02-28T00:00:00"/>
    <s v="BR Cookies and Cream 6 1.5QT"/>
    <x v="6"/>
    <n v="8.5199999999999998E-3"/>
    <n v="176"/>
    <x v="0"/>
    <x v="0"/>
    <n v="1"/>
    <n v="7649"/>
    <n v="65.169479999999993"/>
    <n v="43.460227272727273"/>
    <s v="Feb"/>
    <x v="6"/>
    <m/>
    <m/>
  </r>
  <r>
    <n v="68881270"/>
    <x v="0"/>
    <n v="176"/>
    <d v="2026-03-05T00:00:00"/>
    <s v="BR Cookies and Cream 6 1.5QT"/>
    <x v="6"/>
    <n v="8.5199999999999998E-3"/>
    <n v="176"/>
    <x v="0"/>
    <x v="0"/>
    <n v="1"/>
    <n v="176"/>
    <n v="1.49952"/>
    <n v="1"/>
    <s v="Mar"/>
    <x v="11"/>
    <m/>
    <m/>
  </r>
  <r>
    <n v="68881270"/>
    <x v="0"/>
    <n v="8997"/>
    <d v="2026-03-15T00:00:00"/>
    <s v="BR Cookies and Cream 6 1.5QT"/>
    <x v="7"/>
    <n v="8.5199999999999998E-3"/>
    <n v="176"/>
    <x v="0"/>
    <x v="0"/>
    <n v="1"/>
    <n v="8997"/>
    <n v="76.654439999999994"/>
    <n v="51.11931818181818"/>
    <s v="Mar"/>
    <x v="9"/>
    <m/>
    <m/>
  </r>
  <r>
    <n v="68881270"/>
    <x v="0"/>
    <n v="5280"/>
    <d v="2026-03-16T00:00:00"/>
    <s v="BR Cookies and Cream 6 1.5QT"/>
    <x v="7"/>
    <n v="8.5199999999999998E-3"/>
    <n v="176"/>
    <x v="0"/>
    <x v="0"/>
    <n v="1"/>
    <n v="5280"/>
    <n v="44.985599999999998"/>
    <n v="30"/>
    <s v="Mar"/>
    <x v="9"/>
    <m/>
    <m/>
  </r>
  <r>
    <n v="68881270"/>
    <x v="0"/>
    <n v="5577"/>
    <d v="2026-03-17T00:00:00"/>
    <s v="BR Cookies and Cream 6 1.5QT"/>
    <x v="7"/>
    <n v="8.5199999999999998E-3"/>
    <n v="176"/>
    <x v="0"/>
    <x v="0"/>
    <n v="1"/>
    <n v="5577"/>
    <n v="47.516039999999997"/>
    <n v="31.6875"/>
    <s v="Mar"/>
    <x v="9"/>
    <m/>
    <m/>
  </r>
  <r>
    <n v="68881270"/>
    <x v="0"/>
    <n v="4928"/>
    <d v="2026-03-18T00:00:00"/>
    <s v="BR Cookies and Cream 6 1.5QT"/>
    <x v="7"/>
    <n v="8.5199999999999998E-3"/>
    <n v="176"/>
    <x v="0"/>
    <x v="0"/>
    <n v="1"/>
    <n v="4928"/>
    <n v="41.986559999999997"/>
    <n v="28"/>
    <s v="Mar"/>
    <x v="9"/>
    <m/>
    <m/>
  </r>
  <r>
    <n v="68881270"/>
    <x v="0"/>
    <n v="7637"/>
    <d v="2026-03-19T00:00:00"/>
    <s v="BR Cookies and Cream 6 1.5QT"/>
    <x v="7"/>
    <n v="8.5199999999999998E-3"/>
    <n v="176"/>
    <x v="0"/>
    <x v="0"/>
    <n v="1"/>
    <n v="7637"/>
    <n v="65.067239999999998"/>
    <n v="43.392045454545453"/>
    <s v="Mar"/>
    <x v="9"/>
    <m/>
    <m/>
  </r>
  <r>
    <n v="68881270"/>
    <x v="0"/>
    <n v="176"/>
    <d v="2026-03-20T00:00:00"/>
    <s v="BR Cookies and Cream 6 1.5QT"/>
    <x v="7"/>
    <n v="8.5199999999999998E-3"/>
    <n v="176"/>
    <x v="0"/>
    <x v="0"/>
    <n v="1"/>
    <n v="176"/>
    <n v="1.49952"/>
    <n v="1"/>
    <s v="Mar"/>
    <x v="9"/>
    <m/>
    <m/>
  </r>
  <r>
    <n v="68881270"/>
    <x v="0"/>
    <n v="4917"/>
    <d v="2026-03-17T00:00:00"/>
    <s v="BR Cookies and Cream 6 1.5QT"/>
    <x v="7"/>
    <n v="8.5199999999999998E-3"/>
    <n v="176"/>
    <x v="0"/>
    <x v="0"/>
    <n v="1"/>
    <n v="4917"/>
    <n v="41.89284"/>
    <n v="27.9375"/>
    <s v="Mar"/>
    <x v="9"/>
    <m/>
    <m/>
  </r>
  <r>
    <n v="68881270"/>
    <x v="0"/>
    <n v="5962"/>
    <d v="2026-03-18T00:00:00"/>
    <s v="BR Cookies and Cream 6 1.5QT"/>
    <x v="7"/>
    <n v="8.5199999999999998E-3"/>
    <n v="176"/>
    <x v="0"/>
    <x v="0"/>
    <n v="1"/>
    <n v="5962"/>
    <n v="50.796239999999997"/>
    <n v="33.875"/>
    <s v="Mar"/>
    <x v="9"/>
    <m/>
    <m/>
  </r>
  <r>
    <n v="68881270"/>
    <x v="0"/>
    <n v="3377"/>
    <d v="2026-03-19T00:00:00"/>
    <s v="BR Cookies and Cream 6 1.5QT"/>
    <x v="7"/>
    <n v="8.5199999999999998E-3"/>
    <n v="176"/>
    <x v="0"/>
    <x v="0"/>
    <n v="1"/>
    <n v="3377"/>
    <n v="28.772040000000001"/>
    <n v="19.1875"/>
    <s v="Mar"/>
    <x v="9"/>
    <m/>
    <m/>
  </r>
  <r>
    <n v="68881270"/>
    <x v="0"/>
    <n v="1416"/>
    <d v="2026-03-20T00:00:00"/>
    <s v="BR Cookies and Cream 6 1.5QT"/>
    <x v="7"/>
    <n v="8.5199999999999998E-3"/>
    <n v="176"/>
    <x v="0"/>
    <x v="0"/>
    <n v="1"/>
    <n v="1416"/>
    <n v="12.06432"/>
    <n v="8.045454545454545"/>
    <s v="Mar"/>
    <x v="9"/>
    <m/>
    <m/>
  </r>
  <r>
    <n v="68881270"/>
    <x v="0"/>
    <n v="5984"/>
    <d v="2026-03-20T00:00:00"/>
    <s v="BR Cookies and Cream 6 1.5QT"/>
    <x v="7"/>
    <n v="8.5199999999999998E-3"/>
    <n v="176"/>
    <x v="0"/>
    <x v="0"/>
    <n v="1"/>
    <n v="5984"/>
    <n v="50.98368"/>
    <n v="34"/>
    <s v="Mar"/>
    <x v="9"/>
    <m/>
    <m/>
  </r>
  <r>
    <n v="68881270"/>
    <x v="0"/>
    <n v="8817"/>
    <d v="2026-03-21T00:00:00"/>
    <s v="BR Cookies and Cream 6 1.5QT"/>
    <x v="7"/>
    <n v="8.5199999999999998E-3"/>
    <n v="176"/>
    <x v="0"/>
    <x v="0"/>
    <n v="1"/>
    <n v="8817"/>
    <n v="75.120840000000001"/>
    <n v="50.096590909090907"/>
    <s v="Mar"/>
    <x v="9"/>
    <m/>
    <m/>
  </r>
  <r>
    <n v="68881270"/>
    <x v="0"/>
    <n v="1056"/>
    <d v="2026-03-04T00:00:00"/>
    <s v="BR Cookies and Cream 6 1.5QT"/>
    <x v="7"/>
    <n v="8.5199999999999998E-3"/>
    <n v="176"/>
    <x v="0"/>
    <x v="0"/>
    <n v="1"/>
    <n v="1056"/>
    <n v="8.9971199999999989"/>
    <n v="6"/>
    <s v="Mar"/>
    <x v="11"/>
    <m/>
    <m/>
  </r>
  <r>
    <n v="68881270"/>
    <x v="0"/>
    <n v="6842"/>
    <d v="2026-03-05T00:00:00"/>
    <s v="BR Cookies and Cream 6 1.5QT"/>
    <x v="7"/>
    <n v="8.5199999999999998E-3"/>
    <n v="176"/>
    <x v="0"/>
    <x v="0"/>
    <n v="1"/>
    <n v="6842"/>
    <n v="58.293839999999996"/>
    <n v="38.875"/>
    <s v="Mar"/>
    <x v="11"/>
    <m/>
    <m/>
  </r>
  <r>
    <n v="68881270"/>
    <x v="0"/>
    <n v="434"/>
    <d v="2026-03-06T00:00:00"/>
    <s v="BR Cookies and Cream 6 1.5QT"/>
    <x v="7"/>
    <n v="8.5199999999999998E-3"/>
    <n v="176"/>
    <x v="0"/>
    <x v="0"/>
    <n v="1"/>
    <n v="434"/>
    <n v="3.6976800000000001"/>
    <n v="2.4659090909090908"/>
    <s v="Mar"/>
    <x v="11"/>
    <m/>
    <m/>
  </r>
  <r>
    <n v="68881270"/>
    <x v="0"/>
    <n v="4114"/>
    <d v="2026-03-05T00:00:00"/>
    <s v="BR Cookies and Cream 6 1.5QT"/>
    <x v="7"/>
    <n v="8.5199999999999998E-3"/>
    <n v="176"/>
    <x v="0"/>
    <x v="0"/>
    <n v="1"/>
    <n v="4114"/>
    <n v="35.051279999999998"/>
    <n v="23.375"/>
    <s v="Mar"/>
    <x v="11"/>
    <m/>
    <m/>
  </r>
  <r>
    <n v="68881270"/>
    <x v="0"/>
    <n v="9149"/>
    <d v="2026-03-06T00:00:00"/>
    <s v="BR Cookies and Cream 6 1.5QT"/>
    <x v="7"/>
    <n v="8.5199999999999998E-3"/>
    <n v="176"/>
    <x v="0"/>
    <x v="0"/>
    <n v="1"/>
    <n v="9149"/>
    <n v="77.949479999999994"/>
    <n v="51.982954545454547"/>
    <s v="Mar"/>
    <x v="11"/>
    <m/>
    <m/>
  </r>
  <r>
    <n v="68881270"/>
    <x v="0"/>
    <n v="434"/>
    <d v="2026-03-09T00:00:00"/>
    <s v="BR Cookies and Cream 6 1.5QT"/>
    <x v="7"/>
    <n v="8.5199999999999998E-3"/>
    <n v="176"/>
    <x v="0"/>
    <x v="0"/>
    <n v="1"/>
    <n v="434"/>
    <n v="3.6976800000000001"/>
    <n v="2.4659090909090908"/>
    <s v="Mar"/>
    <x v="12"/>
    <m/>
    <m/>
  </r>
  <r>
    <n v="68881270"/>
    <x v="0"/>
    <n v="77"/>
    <d v="2026-03-24T00:00:00"/>
    <s v="BR Cookies and Cream 6 1.5QT"/>
    <x v="7"/>
    <n v="8.5199999999999998E-3"/>
    <n v="176"/>
    <x v="0"/>
    <x v="0"/>
    <n v="1"/>
    <n v="77"/>
    <n v="0.65603999999999996"/>
    <n v="0.4375"/>
    <s v="Mar"/>
    <x v="10"/>
    <m/>
    <m/>
  </r>
  <r>
    <n v="68881270"/>
    <x v="0"/>
    <n v="4928"/>
    <d v="2026-03-06T00:00:00"/>
    <s v="BR Cookies and Cream 6 1.5QT"/>
    <x v="7"/>
    <n v="8.5199999999999998E-3"/>
    <n v="176"/>
    <x v="0"/>
    <x v="0"/>
    <n v="1"/>
    <n v="4928"/>
    <n v="41.986559999999997"/>
    <n v="28"/>
    <s v="Mar"/>
    <x v="11"/>
    <m/>
    <m/>
  </r>
  <r>
    <n v="68881270"/>
    <x v="0"/>
    <n v="9724"/>
    <d v="2026-03-07T00:00:00"/>
    <s v="BR Cookies and Cream 6 1.5QT"/>
    <x v="7"/>
    <n v="8.5199999999999998E-3"/>
    <n v="176"/>
    <x v="0"/>
    <x v="0"/>
    <n v="1"/>
    <n v="9724"/>
    <n v="82.848479999999995"/>
    <n v="55.25"/>
    <s v="Mar"/>
    <x v="11"/>
    <m/>
    <m/>
  </r>
  <r>
    <n v="68881270"/>
    <x v="0"/>
    <n v="6791"/>
    <d v="2026-03-08T00:00:00"/>
    <s v="BR Cookies and Cream 6 1.5QT"/>
    <x v="7"/>
    <n v="8.5199999999999998E-3"/>
    <n v="176"/>
    <x v="0"/>
    <x v="0"/>
    <n v="1"/>
    <n v="6791"/>
    <n v="57.859319999999997"/>
    <n v="38.585227272727273"/>
    <s v="Mar"/>
    <x v="12"/>
    <m/>
    <m/>
  </r>
  <r>
    <n v="68881270"/>
    <x v="0"/>
    <n v="5250"/>
    <d v="2026-03-08T00:00:00"/>
    <s v="BR Cookies and Cream 6 1.5QT"/>
    <x v="7"/>
    <n v="8.5199999999999998E-3"/>
    <n v="176"/>
    <x v="0"/>
    <x v="0"/>
    <n v="1"/>
    <n v="5250"/>
    <n v="44.73"/>
    <n v="29.829545454545453"/>
    <s v="Mar"/>
    <x v="12"/>
    <m/>
    <m/>
  </r>
  <r>
    <n v="68881270"/>
    <x v="0"/>
    <n v="9993"/>
    <d v="2026-03-09T00:00:00"/>
    <s v="BR Cookies and Cream 6 1.5QT"/>
    <x v="7"/>
    <n v="8.5199999999999998E-3"/>
    <n v="176"/>
    <x v="0"/>
    <x v="0"/>
    <n v="1"/>
    <n v="9993"/>
    <n v="85.140360000000001"/>
    <n v="56.778409090909093"/>
    <s v="Mar"/>
    <x v="12"/>
    <m/>
    <m/>
  </r>
  <r>
    <n v="68881270"/>
    <x v="0"/>
    <n v="165"/>
    <d v="2026-03-10T00:00:00"/>
    <s v="BR Cookies and Cream 6 1.5QT"/>
    <x v="7"/>
    <n v="8.5199999999999998E-3"/>
    <n v="176"/>
    <x v="0"/>
    <x v="0"/>
    <n v="1"/>
    <n v="165"/>
    <n v="1.4057999999999999"/>
    <n v="0.9375"/>
    <s v="Mar"/>
    <x v="12"/>
    <m/>
    <m/>
  </r>
  <r>
    <n v="68881270"/>
    <x v="0"/>
    <n v="4048"/>
    <d v="2026-03-09T00:00:00"/>
    <s v="BR Cookies and Cream 6 1.5QT"/>
    <x v="7"/>
    <n v="8.5199999999999998E-3"/>
    <n v="176"/>
    <x v="0"/>
    <x v="0"/>
    <n v="1"/>
    <n v="4048"/>
    <n v="34.488959999999999"/>
    <n v="23"/>
    <s v="Mar"/>
    <x v="12"/>
    <m/>
    <m/>
  </r>
  <r>
    <n v="68881270"/>
    <x v="0"/>
    <n v="7151"/>
    <d v="2026-03-10T00:00:00"/>
    <s v="BR Cookies and Cream 6 1.5QT"/>
    <x v="7"/>
    <n v="8.5199999999999998E-3"/>
    <n v="176"/>
    <x v="0"/>
    <x v="0"/>
    <n v="1"/>
    <n v="7151"/>
    <n v="60.926519999999996"/>
    <n v="40.63068181818182"/>
    <s v="Mar"/>
    <x v="12"/>
    <m/>
    <m/>
  </r>
  <r>
    <n v="68881270"/>
    <x v="0"/>
    <n v="4818"/>
    <d v="2026-03-10T00:00:00"/>
    <s v="BR Cookies and Cream 6 1.5QT"/>
    <x v="7"/>
    <n v="8.5199999999999998E-3"/>
    <n v="176"/>
    <x v="0"/>
    <x v="0"/>
    <n v="1"/>
    <n v="4818"/>
    <n v="41.04936"/>
    <n v="27.375"/>
    <s v="Mar"/>
    <x v="12"/>
    <m/>
    <m/>
  </r>
  <r>
    <n v="68881270"/>
    <x v="0"/>
    <n v="7442"/>
    <d v="2026-03-11T00:00:00"/>
    <s v="BR Cookies and Cream 6 1.5QT"/>
    <x v="7"/>
    <n v="8.5199999999999998E-3"/>
    <n v="176"/>
    <x v="0"/>
    <x v="0"/>
    <n v="1"/>
    <n v="7442"/>
    <n v="63.405839999999998"/>
    <n v="42.284090909090907"/>
    <s v="Mar"/>
    <x v="12"/>
    <m/>
    <m/>
  </r>
  <r>
    <n v="68881270"/>
    <x v="0"/>
    <n v="5407"/>
    <d v="2026-03-16T00:00:00"/>
    <s v="BR Cookies and Cream 6 1.5QT"/>
    <x v="7"/>
    <n v="8.5199999999999998E-3"/>
    <n v="176"/>
    <x v="0"/>
    <x v="0"/>
    <n v="1"/>
    <n v="5407"/>
    <n v="46.067639999999997"/>
    <n v="30.72159090909091"/>
    <s v="Mar"/>
    <x v="9"/>
    <m/>
    <m/>
  </r>
  <r>
    <n v="68881270"/>
    <x v="0"/>
    <n v="11"/>
    <d v="2026-03-17T00:00:00"/>
    <s v="BR Cookies and Cream 6 1.5QT"/>
    <x v="7"/>
    <n v="8.5199999999999998E-3"/>
    <n v="176"/>
    <x v="0"/>
    <x v="0"/>
    <n v="1"/>
    <n v="11"/>
    <n v="9.3719999999999998E-2"/>
    <n v="6.25E-2"/>
    <s v="Mar"/>
    <x v="9"/>
    <m/>
    <m/>
  </r>
  <r>
    <n v="68899821"/>
    <x v="0"/>
    <n v="5982"/>
    <d v="2026-03-23T00:00:00"/>
    <s v="BR Double Cookie Crumble 6 1.5QT"/>
    <x v="7"/>
    <n v="8.5199999999999998E-3"/>
    <n v="176"/>
    <x v="0"/>
    <x v="0"/>
    <n v="1"/>
    <n v="5982"/>
    <n v="50.966639999999998"/>
    <n v="33.988636363636367"/>
    <s v="Mar"/>
    <x v="10"/>
    <m/>
    <m/>
  </r>
  <r>
    <n v="68899821"/>
    <x v="0"/>
    <n v="8507"/>
    <d v="2026-03-24T00:00:00"/>
    <s v="BR Double Cookie Crumble 6 1.5QT"/>
    <x v="7"/>
    <n v="8.5199999999999998E-3"/>
    <n v="176"/>
    <x v="0"/>
    <x v="0"/>
    <n v="1"/>
    <n v="8507"/>
    <n v="72.479640000000003"/>
    <n v="48.335227272727273"/>
    <s v="Mar"/>
    <x v="10"/>
    <m/>
    <m/>
  </r>
  <r>
    <n v="68899821"/>
    <x v="0"/>
    <n v="7082"/>
    <d v="2026-03-12T00:00:00"/>
    <s v="BR Double Cookie Crumble 6 1.5QT"/>
    <x v="7"/>
    <n v="8.5199999999999998E-3"/>
    <n v="176"/>
    <x v="0"/>
    <x v="0"/>
    <n v="1"/>
    <n v="7082"/>
    <n v="60.338639999999998"/>
    <n v="40.238636363636367"/>
    <s v="Mar"/>
    <x v="12"/>
    <m/>
    <m/>
  </r>
  <r>
    <n v="68899821"/>
    <x v="0"/>
    <n v="5808"/>
    <d v="2026-03-12T00:00:00"/>
    <s v="BR Double Cookie Crumble 6 1.5QT"/>
    <x v="7"/>
    <n v="8.5199999999999998E-3"/>
    <n v="176"/>
    <x v="0"/>
    <x v="0"/>
    <n v="1"/>
    <n v="5808"/>
    <n v="49.484159999999996"/>
    <n v="33"/>
    <s v="Mar"/>
    <x v="12"/>
    <m/>
    <m/>
  </r>
  <r>
    <n v="68899821"/>
    <x v="0"/>
    <n v="9150"/>
    <d v="2026-03-13T00:00:00"/>
    <s v="BR Double Cookie Crumble 6 1.5QT"/>
    <x v="7"/>
    <n v="8.5199999999999998E-3"/>
    <n v="176"/>
    <x v="0"/>
    <x v="0"/>
    <n v="1"/>
    <n v="9150"/>
    <n v="77.957999999999998"/>
    <n v="51.988636363636367"/>
    <s v="Mar"/>
    <x v="12"/>
    <m/>
    <m/>
  </r>
  <r>
    <n v="68899821"/>
    <x v="0"/>
    <n v="5908"/>
    <d v="2026-03-13T00:00:00"/>
    <s v="BR Double Cookie Crumble 6 1.5QT"/>
    <x v="7"/>
    <n v="8.5199999999999998E-3"/>
    <n v="176"/>
    <x v="0"/>
    <x v="0"/>
    <n v="1"/>
    <n v="5908"/>
    <n v="50.33616"/>
    <n v="33.56818181818182"/>
    <s v="Mar"/>
    <x v="12"/>
    <m/>
    <m/>
  </r>
  <r>
    <n v="68899821"/>
    <x v="0"/>
    <n v="8431"/>
    <d v="2026-03-14T00:00:00"/>
    <s v="BR Double Cookie Crumble 6 1.5QT"/>
    <x v="7"/>
    <n v="8.5199999999999998E-3"/>
    <n v="176"/>
    <x v="0"/>
    <x v="0"/>
    <n v="1"/>
    <n v="8431"/>
    <n v="71.832120000000003"/>
    <n v="47.903409090909093"/>
    <s v="Mar"/>
    <x v="12"/>
    <m/>
    <m/>
  </r>
  <r>
    <n v="68899821"/>
    <x v="0"/>
    <n v="1872"/>
    <d v="2026-03-14T00:00:00"/>
    <s v="BR Double Cookie Crumble 6 1.5QT"/>
    <x v="7"/>
    <n v="8.5199999999999998E-3"/>
    <n v="176"/>
    <x v="0"/>
    <x v="0"/>
    <n v="1"/>
    <n v="1872"/>
    <n v="15.949439999999999"/>
    <n v="10.636363636363637"/>
    <s v="Mar"/>
    <x v="12"/>
    <m/>
    <m/>
  </r>
  <r>
    <n v="68899821"/>
    <x v="0"/>
    <n v="1922"/>
    <d v="2026-03-21T00:00:00"/>
    <s v="BR Double Cookie Crumble 6 1.5QT"/>
    <x v="7"/>
    <n v="8.5199999999999998E-3"/>
    <n v="176"/>
    <x v="0"/>
    <x v="0"/>
    <n v="1"/>
    <n v="1922"/>
    <n v="16.375440000000001"/>
    <n v="10.920454545454545"/>
    <s v="Mar"/>
    <x v="9"/>
    <m/>
    <m/>
  </r>
  <r>
    <n v="68899821"/>
    <x v="0"/>
    <n v="7522"/>
    <d v="2026-03-22T00:00:00"/>
    <s v="BR Double Cookie Crumble 6 1.5QT"/>
    <x v="7"/>
    <n v="8.5199999999999998E-3"/>
    <n v="176"/>
    <x v="0"/>
    <x v="0"/>
    <n v="1"/>
    <n v="7522"/>
    <n v="64.087440000000001"/>
    <n v="42.738636363636367"/>
    <s v="Mar"/>
    <x v="10"/>
    <m/>
    <m/>
  </r>
  <r>
    <n v="68899821"/>
    <x v="0"/>
    <n v="5091"/>
    <d v="2026-03-22T00:00:00"/>
    <s v="BR Double Cookie Crumble 6 1.5QT"/>
    <x v="7"/>
    <n v="8.5199999999999998E-3"/>
    <n v="176"/>
    <x v="0"/>
    <x v="0"/>
    <n v="1"/>
    <n v="5091"/>
    <n v="43.375320000000002"/>
    <n v="28.926136363636363"/>
    <s v="Mar"/>
    <x v="10"/>
    <m/>
    <m/>
  </r>
  <r>
    <n v="68899821"/>
    <x v="0"/>
    <n v="9314"/>
    <d v="2026-03-23T00:00:00"/>
    <s v="BR Double Cookie Crumble 6 1.5QT"/>
    <x v="7"/>
    <n v="8.5199999999999998E-3"/>
    <n v="176"/>
    <x v="0"/>
    <x v="0"/>
    <n v="1"/>
    <n v="9314"/>
    <n v="79.355279999999993"/>
    <n v="52.920454545454547"/>
    <s v="Mar"/>
    <x v="10"/>
    <m/>
    <m/>
  </r>
  <r>
    <n v="68899826"/>
    <x v="0"/>
    <n v="7134"/>
    <d v="2026-03-24T00:00:00"/>
    <s v="BR Cherry Vanilla 6 1.5QT"/>
    <x v="6"/>
    <n v="8.5199999999999998E-3"/>
    <n v="176"/>
    <x v="0"/>
    <x v="0"/>
    <n v="1"/>
    <n v="7134"/>
    <n v="60.781680000000001"/>
    <n v="40.534090909090907"/>
    <s v="Mar"/>
    <x v="10"/>
    <m/>
    <m/>
  </r>
  <r>
    <n v="68930545"/>
    <x v="0"/>
    <n v="6391"/>
    <d v="2026-03-15T00:00:00"/>
    <s v="BR CS VAN CHOC Straw 6 1.5QT"/>
    <x v="6"/>
    <n v="8.5199999999999998E-3"/>
    <n v="176"/>
    <x v="0"/>
    <x v="0"/>
    <n v="1"/>
    <n v="6391"/>
    <n v="54.451319999999996"/>
    <n v="36.3125"/>
    <s v="Mar"/>
    <x v="9"/>
    <m/>
    <m/>
  </r>
  <r>
    <n v="68930545"/>
    <x v="0"/>
    <n v="7407"/>
    <d v="2026-03-16T00:00:00"/>
    <s v="BR CS VAN CHOC Straw 6 1.5QT"/>
    <x v="6"/>
    <n v="8.5199999999999998E-3"/>
    <n v="176"/>
    <x v="0"/>
    <x v="0"/>
    <n v="1"/>
    <n v="7407"/>
    <n v="63.107639999999996"/>
    <n v="42.085227272727273"/>
    <s v="Mar"/>
    <x v="9"/>
    <m/>
    <m/>
  </r>
  <r>
    <n v="68930545"/>
    <x v="0"/>
    <n v="5456"/>
    <d v="2026-03-16T00:00:00"/>
    <s v="BR CS VAN CHOC Straw 6 1.5QT"/>
    <x v="6"/>
    <n v="8.5199999999999998E-3"/>
    <n v="176"/>
    <x v="0"/>
    <x v="0"/>
    <n v="1"/>
    <n v="5456"/>
    <n v="46.485120000000002"/>
    <n v="31"/>
    <s v="Mar"/>
    <x v="9"/>
    <m/>
    <m/>
  </r>
  <r>
    <n v="68930545"/>
    <x v="0"/>
    <n v="4273"/>
    <d v="2026-03-17T00:00:00"/>
    <s v="BR CS VAN CHOC Straw 6 1.5QT"/>
    <x v="6"/>
    <n v="8.5199999999999998E-3"/>
    <n v="176"/>
    <x v="0"/>
    <x v="0"/>
    <n v="1"/>
    <n v="4273"/>
    <n v="36.40596"/>
    <n v="24.27840909090909"/>
    <s v="Mar"/>
    <x v="9"/>
    <m/>
    <m/>
  </r>
  <r>
    <n v="68930545"/>
    <x v="0"/>
    <n v="5600"/>
    <d v="2026-03-17T00:00:00"/>
    <s v="BR CS VAN CHOC Straw 6 1.5QT"/>
    <x v="6"/>
    <n v="8.5199999999999998E-3"/>
    <n v="176"/>
    <x v="0"/>
    <x v="0"/>
    <n v="1"/>
    <n v="5600"/>
    <n v="47.711999999999996"/>
    <n v="31.818181818181817"/>
    <s v="Mar"/>
    <x v="9"/>
    <m/>
    <m/>
  </r>
  <r>
    <n v="68930545"/>
    <x v="0"/>
    <n v="7402"/>
    <d v="2026-03-18T00:00:00"/>
    <s v="BR CS VAN CHOC Straw 6 1.5QT"/>
    <x v="6"/>
    <n v="8.5199999999999998E-3"/>
    <n v="176"/>
    <x v="0"/>
    <x v="0"/>
    <n v="1"/>
    <n v="7402"/>
    <n v="63.065039999999996"/>
    <n v="42.05681818181818"/>
    <s v="Mar"/>
    <x v="9"/>
    <m/>
    <m/>
  </r>
  <r>
    <n v="68930545"/>
    <x v="0"/>
    <n v="6339"/>
    <d v="2026-03-15T00:00:00"/>
    <s v="BR CS VAN CHOC Straw 6 1.5QT"/>
    <x v="6"/>
    <n v="8.5199999999999998E-3"/>
    <n v="176"/>
    <x v="0"/>
    <x v="0"/>
    <n v="1"/>
    <n v="6339"/>
    <n v="54.008279999999999"/>
    <n v="36.017045454545453"/>
    <s v="Mar"/>
    <x v="9"/>
    <m/>
    <m/>
  </r>
  <r>
    <n v="68930545"/>
    <x v="0"/>
    <n v="27"/>
    <d v="2026-03-17T00:00:00"/>
    <s v="BR CS VAN CHOC Straw 6 1.5QT"/>
    <x v="6"/>
    <n v="8.5199999999999998E-3"/>
    <n v="176"/>
    <x v="0"/>
    <x v="0"/>
    <n v="1"/>
    <n v="27"/>
    <n v="0.23003999999999999"/>
    <n v="0.15340909090909091"/>
    <s v="Mar"/>
    <x v="9"/>
    <m/>
    <m/>
  </r>
  <r>
    <n v="68930545"/>
    <x v="0"/>
    <n v="20"/>
    <d v="2026-03-23T00:00:00"/>
    <s v="BR CS VAN CHOC Straw 6 1.5QT"/>
    <x v="6"/>
    <n v="8.5199999999999998E-3"/>
    <n v="176"/>
    <x v="0"/>
    <x v="0"/>
    <n v="1"/>
    <n v="20"/>
    <n v="0.1704"/>
    <n v="0.11363636363636363"/>
    <s v="Mar"/>
    <x v="10"/>
    <m/>
    <m/>
  </r>
  <r>
    <n v="68930545"/>
    <x v="0"/>
    <n v="5903"/>
    <d v="2026-03-18T00:00:00"/>
    <s v="BR CS VAN CHOC Straw 6 1.5QT"/>
    <x v="6"/>
    <n v="8.5199999999999998E-3"/>
    <n v="176"/>
    <x v="0"/>
    <x v="0"/>
    <n v="1"/>
    <n v="5903"/>
    <n v="50.293559999999999"/>
    <n v="33.539772727272727"/>
    <s v="Mar"/>
    <x v="9"/>
    <m/>
    <m/>
  </r>
  <r>
    <n v="68930545"/>
    <x v="0"/>
    <n v="2743"/>
    <d v="2026-03-19T00:00:00"/>
    <s v="BR CS VAN CHOC Straw 6 1.5QT"/>
    <x v="6"/>
    <n v="8.5199999999999998E-3"/>
    <n v="176"/>
    <x v="0"/>
    <x v="0"/>
    <n v="1"/>
    <n v="2743"/>
    <n v="23.370359999999998"/>
    <n v="15.585227272727273"/>
    <s v="Mar"/>
    <x v="9"/>
    <m/>
    <m/>
  </r>
  <r>
    <n v="69568828"/>
    <x v="0"/>
    <n v="11"/>
    <d v="2026-03-05T00:00:00"/>
    <s v="BR CS Vanilla 6 1.5QT"/>
    <x v="6"/>
    <n v="8.5199999999999998E-3"/>
    <n v="176"/>
    <x v="0"/>
    <x v="0"/>
    <n v="1"/>
    <n v="11"/>
    <n v="9.3719999999999998E-2"/>
    <n v="6.25E-2"/>
    <s v="Mar"/>
    <x v="11"/>
    <m/>
    <m/>
  </r>
  <r>
    <n v="69568828"/>
    <x v="0"/>
    <n v="6160"/>
    <d v="2026-03-10T00:00:00"/>
    <s v="BR CS Vanilla 6 1.5QT"/>
    <x v="0"/>
    <n v="8.5199999999999998E-3"/>
    <n v="176"/>
    <x v="0"/>
    <x v="0"/>
    <n v="1"/>
    <n v="6160"/>
    <n v="52.483199999999997"/>
    <n v="35"/>
    <s v="Mar"/>
    <x v="12"/>
    <m/>
    <m/>
  </r>
  <r>
    <n v="69568828"/>
    <x v="0"/>
    <n v="6316"/>
    <d v="2026-03-11T00:00:00"/>
    <s v="BR CS Vanilla 6 1.5QT"/>
    <x v="0"/>
    <n v="8.5199999999999998E-3"/>
    <n v="176"/>
    <x v="0"/>
    <x v="0"/>
    <n v="1"/>
    <n v="6316"/>
    <n v="53.81232"/>
    <n v="35.886363636363633"/>
    <s v="Mar"/>
    <x v="12"/>
    <m/>
    <m/>
  </r>
  <r>
    <n v="69568828"/>
    <x v="0"/>
    <n v="2816"/>
    <d v="2026-03-09T00:00:00"/>
    <s v="BR CS Vanilla 6 1.5QT"/>
    <x v="0"/>
    <n v="8.5199999999999998E-3"/>
    <n v="176"/>
    <x v="0"/>
    <x v="0"/>
    <n v="1"/>
    <n v="2816"/>
    <n v="23.992319999999999"/>
    <n v="16"/>
    <s v="Mar"/>
    <x v="12"/>
    <m/>
    <m/>
  </r>
  <r>
    <n v="69568828"/>
    <x v="0"/>
    <n v="8213"/>
    <d v="2026-03-10T00:00:00"/>
    <s v="BR CS Vanilla 6 1.5QT"/>
    <x v="0"/>
    <n v="8.5199999999999998E-3"/>
    <n v="176"/>
    <x v="0"/>
    <x v="0"/>
    <n v="1"/>
    <n v="8213"/>
    <n v="69.974760000000003"/>
    <n v="46.664772727272727"/>
    <s v="Mar"/>
    <x v="12"/>
    <m/>
    <m/>
  </r>
  <r>
    <n v="69568828"/>
    <x v="0"/>
    <n v="4464"/>
    <d v="2026-03-23T00:00:00"/>
    <s v="BR CS Vanilla 6 1.5QT"/>
    <x v="0"/>
    <n v="8.5199999999999998E-3"/>
    <n v="176"/>
    <x v="0"/>
    <x v="0"/>
    <n v="1"/>
    <n v="4464"/>
    <n v="38.033279999999998"/>
    <n v="25.363636363636363"/>
    <s v="Mar"/>
    <x v="10"/>
    <m/>
    <m/>
  </r>
  <r>
    <n v="69568829"/>
    <x v="0"/>
    <n v="2365"/>
    <d v="2026-02-28T00:00:00"/>
    <s v="BR CS CHOC 6 1.5QT"/>
    <x v="0"/>
    <n v="8.5199999999999998E-3"/>
    <n v="176"/>
    <x v="0"/>
    <x v="0"/>
    <n v="1"/>
    <n v="2365"/>
    <n v="20.149799999999999"/>
    <n v="13.4375"/>
    <s v="Feb"/>
    <x v="6"/>
    <m/>
    <m/>
  </r>
  <r>
    <n v="69600846"/>
    <x v="0"/>
    <n v="5833"/>
    <d v="2026-03-07T00:00:00"/>
    <s v="BR CO-B HA Reeses 6 1.5QT"/>
    <x v="12"/>
    <n v="8.5199999999999998E-3"/>
    <n v="154"/>
    <x v="0"/>
    <x v="0"/>
    <n v="1"/>
    <n v="5833"/>
    <n v="49.697159999999997"/>
    <n v="37.876623376623378"/>
    <s v="Mar"/>
    <x v="11"/>
    <m/>
    <m/>
  </r>
  <r>
    <n v="69629468"/>
    <x v="0"/>
    <n v="1"/>
    <d v="2026-02-26T00:00:00"/>
    <s v="PS Fudgesicle NSA 6-18PK"/>
    <x v="28"/>
    <n v="5.2680000000000001E-3"/>
    <n v="130"/>
    <x v="6"/>
    <x v="15"/>
    <n v="1"/>
    <n v="1"/>
    <n v="5.2680000000000001E-3"/>
    <n v="7.6923076923076927E-3"/>
    <s v="Feb"/>
    <x v="6"/>
    <m/>
    <m/>
  </r>
  <r>
    <n v="69629468"/>
    <x v="0"/>
    <n v="1820"/>
    <d v="2026-02-23T00:00:00"/>
    <s v="PS Fudgesicle NSA 6-18PK"/>
    <x v="28"/>
    <n v="5.2680000000000001E-3"/>
    <n v="130"/>
    <x v="6"/>
    <x v="15"/>
    <n v="1"/>
    <n v="1820"/>
    <n v="9.5877599999999994"/>
    <n v="14"/>
    <s v="Feb"/>
    <x v="6"/>
    <m/>
    <m/>
  </r>
  <r>
    <n v="69629468"/>
    <x v="0"/>
    <n v="3560"/>
    <d v="2026-02-24T00:00:00"/>
    <s v="PS Fudgesicle NSA 6-18PK"/>
    <x v="28"/>
    <n v="5.2680000000000001E-3"/>
    <n v="130"/>
    <x v="6"/>
    <x v="15"/>
    <n v="1"/>
    <n v="3560"/>
    <n v="18.754080000000002"/>
    <n v="27.384615384615383"/>
    <s v="Feb"/>
    <x v="6"/>
    <m/>
    <m/>
  </r>
  <r>
    <n v="69629468"/>
    <x v="0"/>
    <n v="1560"/>
    <d v="2026-02-24T00:00:00"/>
    <s v="PS Fudgesicle NSA 6-18PK"/>
    <x v="28"/>
    <n v="5.2680000000000001E-3"/>
    <n v="130"/>
    <x v="6"/>
    <x v="15"/>
    <n v="1"/>
    <n v="1560"/>
    <n v="8.2180800000000005"/>
    <n v="12"/>
    <s v="Feb"/>
    <x v="6"/>
    <m/>
    <m/>
  </r>
  <r>
    <n v="69629468"/>
    <x v="0"/>
    <n v="2407"/>
    <d v="2026-02-25T00:00:00"/>
    <s v="PS Fudgesicle NSA 6-18PK"/>
    <x v="28"/>
    <n v="5.2680000000000001E-3"/>
    <n v="130"/>
    <x v="6"/>
    <x v="15"/>
    <n v="1"/>
    <n v="2407"/>
    <n v="12.680076"/>
    <n v="18.515384615384615"/>
    <s v="Feb"/>
    <x v="6"/>
    <m/>
    <m/>
  </r>
  <r>
    <n v="69629468"/>
    <x v="0"/>
    <n v="1820"/>
    <d v="2026-02-25T00:00:00"/>
    <s v="PS Fudgesicle NSA 6-18PK"/>
    <x v="28"/>
    <n v="5.2680000000000001E-3"/>
    <n v="130"/>
    <x v="6"/>
    <x v="15"/>
    <n v="1"/>
    <n v="1820"/>
    <n v="9.5877599999999994"/>
    <n v="14"/>
    <s v="Feb"/>
    <x v="6"/>
    <m/>
    <m/>
  </r>
  <r>
    <n v="69629468"/>
    <x v="0"/>
    <n v="3180"/>
    <d v="2026-02-26T00:00:00"/>
    <s v="PS Fudgesicle NSA 6-18PK"/>
    <x v="28"/>
    <n v="5.2680000000000001E-3"/>
    <n v="130"/>
    <x v="6"/>
    <x v="15"/>
    <n v="1"/>
    <n v="3180"/>
    <n v="16.75224"/>
    <n v="24.46153846153846"/>
    <s v="Feb"/>
    <x v="6"/>
    <m/>
    <m/>
  </r>
  <r>
    <n v="69629468"/>
    <x v="0"/>
    <n v="1820"/>
    <d v="2026-02-26T00:00:00"/>
    <s v="PS Fudgesicle NSA 6-18PK"/>
    <x v="28"/>
    <n v="5.2680000000000001E-3"/>
    <n v="130"/>
    <x v="6"/>
    <x v="15"/>
    <n v="1"/>
    <n v="1820"/>
    <n v="9.5877599999999994"/>
    <n v="14"/>
    <s v="Feb"/>
    <x v="6"/>
    <m/>
    <m/>
  </r>
  <r>
    <n v="69629468"/>
    <x v="0"/>
    <n v="2205"/>
    <d v="2026-02-27T00:00:00"/>
    <s v="PS Fudgesicle NSA 6-18PK"/>
    <x v="28"/>
    <n v="5.2680000000000001E-3"/>
    <n v="130"/>
    <x v="6"/>
    <x v="15"/>
    <n v="1"/>
    <n v="2205"/>
    <n v="11.61594"/>
    <n v="16.96153846153846"/>
    <s v="Feb"/>
    <x v="6"/>
    <m/>
    <m/>
  </r>
  <r>
    <n v="69629468"/>
    <x v="0"/>
    <n v="910"/>
    <d v="2026-03-09T00:00:00"/>
    <s v="PS Fudgesicle NSA 6-18PK"/>
    <x v="28"/>
    <n v="5.2680000000000001E-3"/>
    <n v="130"/>
    <x v="6"/>
    <x v="15"/>
    <n v="1"/>
    <n v="910"/>
    <n v="4.7938799999999997"/>
    <n v="7"/>
    <s v="Mar"/>
    <x v="12"/>
    <m/>
    <m/>
  </r>
  <r>
    <n v="69629468"/>
    <x v="0"/>
    <n v="2965"/>
    <d v="2026-03-10T00:00:00"/>
    <s v="PS Fudgesicle NSA 6-18PK"/>
    <x v="28"/>
    <n v="5.2680000000000001E-3"/>
    <n v="130"/>
    <x v="6"/>
    <x v="15"/>
    <n v="1"/>
    <n v="2965"/>
    <n v="15.619620000000001"/>
    <n v="22.807692307692307"/>
    <s v="Mar"/>
    <x v="12"/>
    <m/>
    <m/>
  </r>
  <r>
    <n v="69629468"/>
    <x v="0"/>
    <n v="2730"/>
    <d v="2026-03-10T00:00:00"/>
    <s v="PS Fudgesicle NSA 6-18PK"/>
    <x v="28"/>
    <n v="5.2680000000000001E-3"/>
    <n v="130"/>
    <x v="6"/>
    <x v="15"/>
    <n v="1"/>
    <n v="2730"/>
    <n v="14.381640000000001"/>
    <n v="21"/>
    <s v="Mar"/>
    <x v="12"/>
    <m/>
    <m/>
  </r>
  <r>
    <n v="69629468"/>
    <x v="0"/>
    <n v="3074"/>
    <d v="2026-03-11T00:00:00"/>
    <s v="PS Fudgesicle NSA 6-18PK"/>
    <x v="28"/>
    <n v="5.2680000000000001E-3"/>
    <n v="130"/>
    <x v="6"/>
    <x v="15"/>
    <n v="1"/>
    <n v="3074"/>
    <n v="16.193832"/>
    <n v="23.646153846153847"/>
    <s v="Mar"/>
    <x v="12"/>
    <m/>
    <m/>
  </r>
  <r>
    <n v="69629468"/>
    <x v="0"/>
    <n v="650"/>
    <d v="2026-03-02T00:00:00"/>
    <s v="PS Fudgesicle NSA 6-18PK"/>
    <x v="28"/>
    <n v="5.2680000000000001E-3"/>
    <n v="130"/>
    <x v="6"/>
    <x v="15"/>
    <n v="1"/>
    <n v="650"/>
    <n v="3.4241999999999999"/>
    <n v="5"/>
    <s v="Mar"/>
    <x v="11"/>
    <m/>
    <m/>
  </r>
  <r>
    <n v="69629468"/>
    <x v="0"/>
    <n v="2886"/>
    <d v="2026-03-03T00:00:00"/>
    <s v="PS Fudgesicle NSA 6-18PK"/>
    <x v="28"/>
    <n v="5.2680000000000001E-3"/>
    <n v="130"/>
    <x v="6"/>
    <x v="15"/>
    <n v="1"/>
    <n v="2886"/>
    <n v="15.203448"/>
    <n v="22.2"/>
    <s v="Mar"/>
    <x v="11"/>
    <m/>
    <m/>
  </r>
  <r>
    <n v="69629468"/>
    <x v="0"/>
    <n v="1430"/>
    <d v="2026-03-03T00:00:00"/>
    <s v="PS Fudgesicle NSA 6-18PK"/>
    <x v="28"/>
    <n v="5.2680000000000001E-3"/>
    <n v="130"/>
    <x v="6"/>
    <x v="15"/>
    <n v="1"/>
    <n v="1430"/>
    <n v="7.5332400000000002"/>
    <n v="11"/>
    <s v="Mar"/>
    <x v="11"/>
    <m/>
    <m/>
  </r>
  <r>
    <n v="69629468"/>
    <x v="0"/>
    <n v="2515"/>
    <d v="2026-03-04T00:00:00"/>
    <s v="PS Fudgesicle NSA 6-18PK"/>
    <x v="28"/>
    <n v="5.2680000000000001E-3"/>
    <n v="130"/>
    <x v="6"/>
    <x v="15"/>
    <n v="1"/>
    <n v="2515"/>
    <n v="13.24902"/>
    <n v="19.346153846153847"/>
    <s v="Mar"/>
    <x v="11"/>
    <m/>
    <m/>
  </r>
  <r>
    <n v="69629468"/>
    <x v="0"/>
    <n v="130"/>
    <d v="2026-03-05T00:00:00"/>
    <s v="PS Fudgesicle NSA 6-18PK"/>
    <x v="28"/>
    <n v="5.2680000000000001E-3"/>
    <n v="130"/>
    <x v="6"/>
    <x v="15"/>
    <n v="1"/>
    <n v="130"/>
    <n v="0.68484"/>
    <n v="1"/>
    <s v="Mar"/>
    <x v="11"/>
    <m/>
    <m/>
  </r>
  <r>
    <n v="69629468"/>
    <x v="0"/>
    <n v="1690"/>
    <d v="2026-03-04T00:00:00"/>
    <s v="PS Fudgesicle NSA 6-18PK"/>
    <x v="28"/>
    <n v="5.2680000000000001E-3"/>
    <n v="130"/>
    <x v="6"/>
    <x v="15"/>
    <n v="1"/>
    <n v="1690"/>
    <n v="8.9029199999999999"/>
    <n v="13"/>
    <s v="Mar"/>
    <x v="11"/>
    <m/>
    <m/>
  </r>
  <r>
    <n v="69629468"/>
    <x v="0"/>
    <n v="3156"/>
    <d v="2026-03-05T00:00:00"/>
    <s v="PS Fudgesicle NSA 6-18PK"/>
    <x v="28"/>
    <n v="5.2680000000000001E-3"/>
    <n v="130"/>
    <x v="6"/>
    <x v="15"/>
    <n v="1"/>
    <n v="3156"/>
    <n v="16.625807999999999"/>
    <n v="24.276923076923076"/>
    <s v="Mar"/>
    <x v="11"/>
    <m/>
    <m/>
  </r>
  <r>
    <n v="69629468"/>
    <x v="0"/>
    <n v="1560"/>
    <d v="2026-03-05T00:00:00"/>
    <s v="PS Fudgesicle NSA 6-18PK"/>
    <x v="28"/>
    <n v="5.2680000000000001E-3"/>
    <n v="130"/>
    <x v="6"/>
    <x v="15"/>
    <n v="1"/>
    <n v="1560"/>
    <n v="8.2180800000000005"/>
    <n v="12"/>
    <s v="Mar"/>
    <x v="11"/>
    <m/>
    <m/>
  </r>
  <r>
    <n v="69629468"/>
    <x v="0"/>
    <n v="3250"/>
    <d v="2026-03-06T00:00:00"/>
    <s v="PS Fudgesicle NSA 6-18PK"/>
    <x v="28"/>
    <n v="5.2680000000000001E-3"/>
    <n v="130"/>
    <x v="6"/>
    <x v="15"/>
    <n v="1"/>
    <n v="3250"/>
    <n v="17.120999999999999"/>
    <n v="25"/>
    <s v="Mar"/>
    <x v="11"/>
    <m/>
    <m/>
  </r>
  <r>
    <n v="69629468"/>
    <x v="0"/>
    <n v="826"/>
    <d v="2026-03-06T00:00:00"/>
    <s v="PS Fudgesicle NSA 6-18PK"/>
    <x v="28"/>
    <n v="5.2680000000000001E-3"/>
    <n v="130"/>
    <x v="6"/>
    <x v="15"/>
    <n v="1"/>
    <n v="826"/>
    <n v="4.3513679999999999"/>
    <n v="6.3538461538461535"/>
    <s v="Mar"/>
    <x v="11"/>
    <m/>
    <m/>
  </r>
  <r>
    <n v="69629468"/>
    <x v="0"/>
    <n v="2080"/>
    <d v="2026-03-11T00:00:00"/>
    <s v="PS Fudgesicle NSA 6-18PK"/>
    <x v="28"/>
    <n v="5.2680000000000001E-3"/>
    <n v="130"/>
    <x v="6"/>
    <x v="15"/>
    <n v="1"/>
    <n v="2080"/>
    <n v="10.95744"/>
    <n v="16"/>
    <s v="Mar"/>
    <x v="12"/>
    <m/>
    <m/>
  </r>
  <r>
    <n v="69629468"/>
    <x v="0"/>
    <n v="3486"/>
    <d v="2026-03-12T00:00:00"/>
    <s v="PS Fudgesicle NSA 6-18PK"/>
    <x v="28"/>
    <n v="5.2680000000000001E-3"/>
    <n v="130"/>
    <x v="6"/>
    <x v="15"/>
    <n v="1"/>
    <n v="3486"/>
    <n v="18.364248"/>
    <n v="26.815384615384616"/>
    <s v="Mar"/>
    <x v="12"/>
    <m/>
    <m/>
  </r>
  <r>
    <n v="69629468"/>
    <x v="0"/>
    <n v="2080"/>
    <d v="2026-03-12T00:00:00"/>
    <s v="PS Fudgesicle NSA 6-18PK"/>
    <x v="28"/>
    <n v="5.2680000000000001E-3"/>
    <n v="130"/>
    <x v="6"/>
    <x v="15"/>
    <n v="1"/>
    <n v="2080"/>
    <n v="10.95744"/>
    <n v="16"/>
    <s v="Mar"/>
    <x v="12"/>
    <m/>
    <m/>
  </r>
  <r>
    <n v="69629468"/>
    <x v="0"/>
    <n v="1188"/>
    <d v="2026-03-13T00:00:00"/>
    <s v="PS Fudgesicle NSA 6-18PK"/>
    <x v="28"/>
    <n v="5.2680000000000001E-3"/>
    <n v="130"/>
    <x v="6"/>
    <x v="15"/>
    <n v="1"/>
    <n v="1188"/>
    <n v="6.2583840000000004"/>
    <n v="9.138461538461538"/>
    <s v="Mar"/>
    <x v="12"/>
    <m/>
    <m/>
  </r>
  <r>
    <n v="69629468"/>
    <x v="0"/>
    <n v="1430"/>
    <d v="2026-03-16T00:00:00"/>
    <s v="PS Fudgesicle NSA 6-18PK"/>
    <x v="28"/>
    <n v="5.2680000000000001E-3"/>
    <n v="130"/>
    <x v="6"/>
    <x v="15"/>
    <n v="1"/>
    <n v="1430"/>
    <n v="7.5332400000000002"/>
    <n v="11"/>
    <s v="Mar"/>
    <x v="9"/>
    <m/>
    <m/>
  </r>
  <r>
    <n v="69629468"/>
    <x v="0"/>
    <n v="1560"/>
    <d v="2026-03-17T00:00:00"/>
    <s v="PS Fudgesicle NSA 6-18PK"/>
    <x v="28"/>
    <n v="5.2680000000000001E-3"/>
    <n v="130"/>
    <x v="6"/>
    <x v="15"/>
    <n v="1"/>
    <n v="1560"/>
    <n v="8.2180800000000005"/>
    <n v="12"/>
    <s v="Mar"/>
    <x v="9"/>
    <m/>
    <m/>
  </r>
  <r>
    <n v="69629468"/>
    <x v="0"/>
    <n v="1950"/>
    <d v="2026-03-17T00:00:00"/>
    <s v="PS Fudgesicle NSA 6-18PK"/>
    <x v="28"/>
    <n v="5.2680000000000001E-3"/>
    <n v="130"/>
    <x v="6"/>
    <x v="15"/>
    <n v="1"/>
    <n v="1950"/>
    <n v="10.272600000000001"/>
    <n v="15"/>
    <s v="Mar"/>
    <x v="9"/>
    <m/>
    <m/>
  </r>
  <r>
    <n v="69629468"/>
    <x v="0"/>
    <n v="2361"/>
    <d v="2026-03-18T00:00:00"/>
    <s v="PS Fudgesicle NSA 6-18PK"/>
    <x v="28"/>
    <n v="5.2680000000000001E-3"/>
    <n v="130"/>
    <x v="6"/>
    <x v="15"/>
    <n v="1"/>
    <n v="2361"/>
    <n v="12.437748000000001"/>
    <n v="18.161538461538463"/>
    <s v="Mar"/>
    <x v="9"/>
    <m/>
    <m/>
  </r>
  <r>
    <n v="69629468"/>
    <x v="0"/>
    <n v="1690"/>
    <d v="2026-03-18T00:00:00"/>
    <s v="PS Fudgesicle NSA 6-18PK"/>
    <x v="28"/>
    <n v="5.2680000000000001E-3"/>
    <n v="130"/>
    <x v="6"/>
    <x v="15"/>
    <n v="1"/>
    <n v="1690"/>
    <n v="8.9029199999999999"/>
    <n v="13"/>
    <s v="Mar"/>
    <x v="9"/>
    <m/>
    <m/>
  </r>
  <r>
    <n v="69629468"/>
    <x v="0"/>
    <n v="3350"/>
    <d v="2026-03-19T00:00:00"/>
    <s v="PS Fudgesicle NSA 6-18PK"/>
    <x v="28"/>
    <n v="5.2680000000000001E-3"/>
    <n v="130"/>
    <x v="6"/>
    <x v="15"/>
    <n v="1"/>
    <n v="3350"/>
    <n v="17.6478"/>
    <n v="25.76923076923077"/>
    <s v="Mar"/>
    <x v="9"/>
    <m/>
    <m/>
  </r>
  <r>
    <n v="69629468"/>
    <x v="0"/>
    <n v="1950"/>
    <d v="2026-03-19T00:00:00"/>
    <s v="PS Fudgesicle NSA 6-18PK"/>
    <x v="28"/>
    <n v="5.2680000000000001E-3"/>
    <n v="130"/>
    <x v="6"/>
    <x v="15"/>
    <n v="1"/>
    <n v="1950"/>
    <n v="10.272600000000001"/>
    <n v="15"/>
    <s v="Mar"/>
    <x v="9"/>
    <m/>
    <m/>
  </r>
  <r>
    <n v="69629468"/>
    <x v="0"/>
    <n v="2438"/>
    <d v="2026-03-20T00:00:00"/>
    <s v="PS Fudgesicle NSA 6-18PK"/>
    <x v="28"/>
    <n v="5.2680000000000001E-3"/>
    <n v="130"/>
    <x v="6"/>
    <x v="15"/>
    <n v="1"/>
    <n v="2438"/>
    <n v="12.843384"/>
    <n v="18.753846153846155"/>
    <s v="Mar"/>
    <x v="9"/>
    <m/>
    <m/>
  </r>
  <r>
    <n v="69629468"/>
    <x v="0"/>
    <n v="390"/>
    <d v="2026-03-21T00:00:00"/>
    <s v="PS Fudgesicle NSA 6-18PK"/>
    <x v="28"/>
    <n v="5.2680000000000001E-3"/>
    <n v="130"/>
    <x v="6"/>
    <x v="15"/>
    <n v="1"/>
    <n v="390"/>
    <n v="2.0545200000000001"/>
    <n v="3"/>
    <s v="Mar"/>
    <x v="9"/>
    <m/>
    <m/>
  </r>
  <r>
    <n v="69629468"/>
    <x v="0"/>
    <n v="1262"/>
    <d v="2026-03-21T00:00:00"/>
    <s v="PS Fudgesicle NSA 6-18PK"/>
    <x v="28"/>
    <n v="5.2680000000000001E-3"/>
    <n v="130"/>
    <x v="6"/>
    <x v="15"/>
    <n v="1"/>
    <n v="1262"/>
    <n v="6.6482160000000006"/>
    <n v="9.707692307692307"/>
    <s v="Mar"/>
    <x v="9"/>
    <m/>
    <m/>
  </r>
  <r>
    <n v="69629468"/>
    <x v="0"/>
    <n v="390"/>
    <d v="2026-03-23T00:00:00"/>
    <s v="PS Fudgesicle NSA 6-18PK"/>
    <x v="28"/>
    <n v="5.2680000000000001E-3"/>
    <n v="130"/>
    <x v="6"/>
    <x v="15"/>
    <n v="1"/>
    <n v="390"/>
    <n v="2.0545200000000001"/>
    <n v="3"/>
    <s v="Mar"/>
    <x v="10"/>
    <m/>
    <m/>
  </r>
  <r>
    <n v="69629468"/>
    <x v="0"/>
    <n v="1683"/>
    <d v="2026-03-24T00:00:00"/>
    <s v="PS Fudgesicle NSA 6-18PK"/>
    <x v="28"/>
    <n v="5.2680000000000001E-3"/>
    <n v="130"/>
    <x v="6"/>
    <x v="15"/>
    <n v="1"/>
    <n v="1683"/>
    <n v="8.8660440000000005"/>
    <n v="12.946153846153846"/>
    <s v="Mar"/>
    <x v="10"/>
    <m/>
    <m/>
  </r>
  <r>
    <n v="69629468"/>
    <x v="0"/>
    <n v="2080"/>
    <d v="2026-03-24T00:00:00"/>
    <s v="PS Fudgesicle NSA 6-18PK"/>
    <x v="28"/>
    <n v="5.2680000000000001E-3"/>
    <n v="130"/>
    <x v="6"/>
    <x v="15"/>
    <n v="1"/>
    <n v="2080"/>
    <n v="10.95744"/>
    <n v="16"/>
    <s v="Mar"/>
    <x v="10"/>
    <m/>
    <m/>
  </r>
  <r>
    <n v="69700048"/>
    <x v="0"/>
    <n v="2475"/>
    <d v="2026-03-02T00:00:00"/>
    <s v="GH Reeses Bar 1-24BK"/>
    <x v="18"/>
    <n v="2.7360000000000002E-3"/>
    <n v="225"/>
    <x v="7"/>
    <x v="8"/>
    <n v="1"/>
    <n v="2475"/>
    <n v="6.7716000000000003"/>
    <n v="11"/>
    <s v="Mar"/>
    <x v="11"/>
    <m/>
    <m/>
  </r>
  <r>
    <n v="69700048"/>
    <x v="0"/>
    <n v="5160"/>
    <d v="2026-03-03T00:00:00"/>
    <s v="GH Reeses Bar 1-24BK"/>
    <x v="18"/>
    <n v="2.7360000000000002E-3"/>
    <n v="225"/>
    <x v="7"/>
    <x v="8"/>
    <n v="1"/>
    <n v="5160"/>
    <n v="14.117760000000001"/>
    <n v="22.933333333333334"/>
    <s v="Mar"/>
    <x v="11"/>
    <m/>
    <m/>
  </r>
  <r>
    <n v="69700048"/>
    <x v="0"/>
    <n v="225"/>
    <d v="2026-03-04T00:00:00"/>
    <s v="GH Reeses Bar 1-24BK"/>
    <x v="18"/>
    <n v="2.7360000000000002E-3"/>
    <n v="225"/>
    <x v="7"/>
    <x v="8"/>
    <n v="1"/>
    <n v="225"/>
    <n v="0.61560000000000004"/>
    <n v="1"/>
    <s v="Mar"/>
    <x v="11"/>
    <m/>
    <m/>
  </r>
  <r>
    <n v="69700048"/>
    <x v="0"/>
    <n v="3375"/>
    <d v="2026-03-03T00:00:00"/>
    <s v="GH Reeses Bar 1-24BK"/>
    <x v="18"/>
    <n v="2.7360000000000002E-3"/>
    <n v="225"/>
    <x v="7"/>
    <x v="8"/>
    <n v="1"/>
    <n v="3375"/>
    <n v="9.234"/>
    <n v="15"/>
    <s v="Mar"/>
    <x v="11"/>
    <m/>
    <m/>
  </r>
  <r>
    <n v="69700048"/>
    <x v="0"/>
    <n v="4326"/>
    <d v="2026-03-04T00:00:00"/>
    <s v="GH Reeses Bar 1-24BK"/>
    <x v="18"/>
    <n v="2.7360000000000002E-3"/>
    <n v="225"/>
    <x v="7"/>
    <x v="8"/>
    <n v="1"/>
    <n v="4326"/>
    <n v="11.835936"/>
    <n v="19.226666666666667"/>
    <s v="Mar"/>
    <x v="11"/>
    <m/>
    <m/>
  </r>
  <r>
    <n v="69700048"/>
    <x v="0"/>
    <n v="2700"/>
    <d v="2026-03-04T00:00:00"/>
    <s v="GH Reeses Bar 1-24BK"/>
    <x v="18"/>
    <n v="2.7360000000000002E-3"/>
    <n v="225"/>
    <x v="7"/>
    <x v="8"/>
    <n v="1"/>
    <n v="2700"/>
    <n v="7.3872"/>
    <n v="12"/>
    <s v="Mar"/>
    <x v="11"/>
    <m/>
    <m/>
  </r>
  <r>
    <n v="69700048"/>
    <x v="0"/>
    <n v="5400"/>
    <d v="2026-03-05T00:00:00"/>
    <s v="GH Reeses Bar 1-24BK"/>
    <x v="18"/>
    <n v="2.7360000000000002E-3"/>
    <n v="225"/>
    <x v="7"/>
    <x v="8"/>
    <n v="1"/>
    <n v="5400"/>
    <n v="14.7744"/>
    <n v="24"/>
    <s v="Mar"/>
    <x v="11"/>
    <m/>
    <m/>
  </r>
  <r>
    <n v="69700048"/>
    <x v="0"/>
    <n v="3150"/>
    <d v="2026-03-05T00:00:00"/>
    <s v="GH Reeses Bar 1-24BK"/>
    <x v="18"/>
    <n v="2.7360000000000002E-3"/>
    <n v="225"/>
    <x v="7"/>
    <x v="8"/>
    <n v="1"/>
    <n v="3150"/>
    <n v="8.6184000000000012"/>
    <n v="14"/>
    <s v="Mar"/>
    <x v="11"/>
    <m/>
    <m/>
  </r>
  <r>
    <n v="69700048"/>
    <x v="0"/>
    <n v="4274"/>
    <d v="2026-03-06T00:00:00"/>
    <s v="GH Reeses Bar 1-24BK"/>
    <x v="18"/>
    <n v="2.7360000000000002E-3"/>
    <n v="225"/>
    <x v="7"/>
    <x v="8"/>
    <n v="1"/>
    <n v="4274"/>
    <n v="11.693664"/>
    <n v="18.995555555555555"/>
    <s v="Mar"/>
    <x v="11"/>
    <m/>
    <m/>
  </r>
  <r>
    <n v="69700048"/>
    <x v="0"/>
    <n v="1637"/>
    <d v="2026-03-06T00:00:00"/>
    <s v="GH Reeses Bar 1-24BK"/>
    <x v="18"/>
    <n v="2.7360000000000002E-3"/>
    <n v="225"/>
    <x v="7"/>
    <x v="8"/>
    <n v="1"/>
    <n v="1637"/>
    <n v="4.4788320000000006"/>
    <n v="7.275555555555556"/>
    <s v="Mar"/>
    <x v="11"/>
    <m/>
    <m/>
  </r>
  <r>
    <n v="69700048"/>
    <x v="0"/>
    <n v="213"/>
    <d v="2026-03-07T00:00:00"/>
    <s v="GH Reeses Bar 1-24BK"/>
    <x v="18"/>
    <n v="2.7360000000000002E-3"/>
    <n v="225"/>
    <x v="7"/>
    <x v="8"/>
    <n v="1"/>
    <n v="213"/>
    <n v="0.58276800000000006"/>
    <n v="0.94666666666666666"/>
    <s v="Mar"/>
    <x v="11"/>
    <m/>
    <m/>
  </r>
  <r>
    <n v="69725082"/>
    <x v="0"/>
    <n v="1689"/>
    <d v="2026-02-23T00:00:00"/>
    <s v="PS OCG 6-18PK"/>
    <x v="32"/>
    <n v="5.2680000000000001E-3"/>
    <n v="130"/>
    <x v="6"/>
    <x v="15"/>
    <n v="1"/>
    <n v="1689"/>
    <n v="8.8976520000000008"/>
    <n v="12.992307692307692"/>
    <s v="Feb"/>
    <x v="6"/>
    <m/>
    <m/>
  </r>
  <r>
    <n v="69725082"/>
    <x v="0"/>
    <n v="1985"/>
    <d v="2026-02-24T00:00:00"/>
    <s v="PS OCG 6-18PK"/>
    <x v="32"/>
    <n v="5.2680000000000001E-3"/>
    <n v="130"/>
    <x v="6"/>
    <x v="15"/>
    <n v="1"/>
    <n v="1985"/>
    <n v="10.45698"/>
    <n v="15.26923076923077"/>
    <s v="Feb"/>
    <x v="6"/>
    <m/>
    <m/>
  </r>
  <r>
    <n v="69725082"/>
    <x v="0"/>
    <n v="1819"/>
    <d v="2026-02-24T00:00:00"/>
    <s v="PS OCG 6-18PK"/>
    <x v="32"/>
    <n v="5.2680000000000001E-3"/>
    <n v="130"/>
    <x v="6"/>
    <x v="15"/>
    <n v="1"/>
    <n v="1819"/>
    <n v="9.5824920000000002"/>
    <n v="13.992307692307692"/>
    <s v="Feb"/>
    <x v="6"/>
    <m/>
    <m/>
  </r>
  <r>
    <n v="69725082"/>
    <x v="0"/>
    <n v="2009"/>
    <d v="2026-02-25T00:00:00"/>
    <s v="PS OCG 6-18PK"/>
    <x v="32"/>
    <n v="5.2680000000000001E-3"/>
    <n v="130"/>
    <x v="6"/>
    <x v="15"/>
    <n v="1"/>
    <n v="2009"/>
    <n v="10.583412000000001"/>
    <n v="15.453846153846154"/>
    <s v="Feb"/>
    <x v="6"/>
    <m/>
    <m/>
  </r>
  <r>
    <n v="69725082"/>
    <x v="0"/>
    <n v="2080"/>
    <d v="2026-02-25T00:00:00"/>
    <s v="PS OCG 6-18PK"/>
    <x v="32"/>
    <n v="5.2680000000000001E-3"/>
    <n v="130"/>
    <x v="6"/>
    <x v="15"/>
    <n v="1"/>
    <n v="2080"/>
    <n v="10.95744"/>
    <n v="16"/>
    <s v="Feb"/>
    <x v="6"/>
    <m/>
    <m/>
  </r>
  <r>
    <n v="69725082"/>
    <x v="0"/>
    <n v="3579"/>
    <d v="2026-02-26T00:00:00"/>
    <s v="PS OCG 6-18PK"/>
    <x v="32"/>
    <n v="5.2680000000000001E-3"/>
    <n v="130"/>
    <x v="6"/>
    <x v="15"/>
    <n v="1"/>
    <n v="3579"/>
    <n v="18.854172000000002"/>
    <n v="27.530769230769231"/>
    <s v="Feb"/>
    <x v="6"/>
    <m/>
    <m/>
  </r>
  <r>
    <n v="69725082"/>
    <x v="0"/>
    <n v="2210"/>
    <d v="2026-02-26T00:00:00"/>
    <s v="PS OCG 6-18PK"/>
    <x v="32"/>
    <n v="5.2680000000000001E-3"/>
    <n v="130"/>
    <x v="6"/>
    <x v="15"/>
    <n v="1"/>
    <n v="2210"/>
    <n v="11.64228"/>
    <n v="17"/>
    <s v="Feb"/>
    <x v="6"/>
    <m/>
    <m/>
  </r>
  <r>
    <n v="69725082"/>
    <x v="0"/>
    <n v="3213"/>
    <d v="2026-02-27T00:00:00"/>
    <s v="PS OCG 6-18PK"/>
    <x v="32"/>
    <n v="5.2680000000000001E-3"/>
    <n v="130"/>
    <x v="6"/>
    <x v="15"/>
    <n v="1"/>
    <n v="3213"/>
    <n v="16.926083999999999"/>
    <n v="24.715384615384615"/>
    <s v="Feb"/>
    <x v="6"/>
    <m/>
    <m/>
  </r>
  <r>
    <n v="69725082"/>
    <x v="0"/>
    <n v="2210"/>
    <d v="2026-02-27T00:00:00"/>
    <s v="PS OCG 6-18PK"/>
    <x v="32"/>
    <n v="5.2680000000000001E-3"/>
    <n v="130"/>
    <x v="6"/>
    <x v="15"/>
    <n v="1"/>
    <n v="2210"/>
    <n v="11.64228"/>
    <n v="17"/>
    <s v="Feb"/>
    <x v="6"/>
    <m/>
    <m/>
  </r>
  <r>
    <n v="69725082"/>
    <x v="0"/>
    <n v="1129"/>
    <d v="2026-02-28T00:00:00"/>
    <s v="PS OCG 6-18PK"/>
    <x v="32"/>
    <n v="5.2680000000000001E-3"/>
    <n v="130"/>
    <x v="6"/>
    <x v="15"/>
    <n v="1"/>
    <n v="1129"/>
    <n v="5.9475720000000001"/>
    <n v="8.684615384615384"/>
    <s v="Feb"/>
    <x v="6"/>
    <m/>
    <m/>
  </r>
  <r>
    <n v="69725082"/>
    <x v="0"/>
    <n v="130"/>
    <d v="2026-02-23T00:00:00"/>
    <s v="PS OCG 6-18PK"/>
    <x v="29"/>
    <n v="5.2680000000000001E-3"/>
    <n v="130"/>
    <x v="6"/>
    <x v="15"/>
    <n v="1"/>
    <n v="130"/>
    <n v="0.68484"/>
    <n v="1"/>
    <s v="Feb"/>
    <x v="6"/>
    <m/>
    <m/>
  </r>
  <r>
    <n v="69725082"/>
    <x v="0"/>
    <n v="2080"/>
    <d v="2026-03-02T00:00:00"/>
    <s v="PS OCG 6-18PK"/>
    <x v="32"/>
    <n v="5.2680000000000001E-3"/>
    <n v="130"/>
    <x v="6"/>
    <x v="15"/>
    <n v="1"/>
    <n v="2080"/>
    <n v="10.95744"/>
    <n v="16"/>
    <s v="Mar"/>
    <x v="11"/>
    <m/>
    <m/>
  </r>
  <r>
    <n v="69725082"/>
    <x v="0"/>
    <n v="3544"/>
    <d v="2026-03-03T00:00:00"/>
    <s v="PS OCG 6-18PK"/>
    <x v="32"/>
    <n v="5.2680000000000001E-3"/>
    <n v="130"/>
    <x v="6"/>
    <x v="15"/>
    <n v="1"/>
    <n v="3544"/>
    <n v="18.669792000000001"/>
    <n v="27.261538461538461"/>
    <s v="Mar"/>
    <x v="11"/>
    <m/>
    <m/>
  </r>
  <r>
    <n v="69725082"/>
    <x v="0"/>
    <n v="2470"/>
    <d v="2026-03-03T00:00:00"/>
    <s v="PS OCG 6-18PK"/>
    <x v="32"/>
    <n v="5.2680000000000001E-3"/>
    <n v="130"/>
    <x v="6"/>
    <x v="15"/>
    <n v="1"/>
    <n v="2470"/>
    <n v="13.01196"/>
    <n v="19"/>
    <s v="Mar"/>
    <x v="11"/>
    <m/>
    <m/>
  </r>
  <r>
    <n v="69725082"/>
    <x v="0"/>
    <n v="3315"/>
    <d v="2026-03-04T00:00:00"/>
    <s v="PS OCG 6-18PK"/>
    <x v="32"/>
    <n v="5.2680000000000001E-3"/>
    <n v="130"/>
    <x v="6"/>
    <x v="15"/>
    <n v="1"/>
    <n v="3315"/>
    <n v="17.463419999999999"/>
    <n v="25.5"/>
    <s v="Mar"/>
    <x v="11"/>
    <m/>
    <m/>
  </r>
  <r>
    <n v="69725082"/>
    <x v="0"/>
    <n v="2080"/>
    <d v="2026-03-04T00:00:00"/>
    <s v="PS OCG 6-18PK"/>
    <x v="32"/>
    <n v="5.2680000000000001E-3"/>
    <n v="130"/>
    <x v="6"/>
    <x v="15"/>
    <n v="1"/>
    <n v="2080"/>
    <n v="10.95744"/>
    <n v="16"/>
    <s v="Mar"/>
    <x v="11"/>
    <m/>
    <m/>
  </r>
  <r>
    <n v="69725082"/>
    <x v="0"/>
    <n v="368"/>
    <d v="2026-03-05T00:00:00"/>
    <s v="PS OCG 6-18PK"/>
    <x v="32"/>
    <n v="5.2680000000000001E-3"/>
    <n v="130"/>
    <x v="6"/>
    <x v="15"/>
    <n v="1"/>
    <n v="368"/>
    <n v="1.9386240000000001"/>
    <n v="2.8307692307692309"/>
    <s v="Mar"/>
    <x v="11"/>
    <m/>
    <m/>
  </r>
  <r>
    <n v="69725082"/>
    <x v="0"/>
    <n v="2080"/>
    <d v="2026-03-05T00:00:00"/>
    <s v="PS OCG 6-18PK"/>
    <x v="32"/>
    <n v="5.2680000000000001E-3"/>
    <n v="130"/>
    <x v="6"/>
    <x v="15"/>
    <n v="1"/>
    <n v="2080"/>
    <n v="10.95744"/>
    <n v="16"/>
    <s v="Mar"/>
    <x v="11"/>
    <m/>
    <m/>
  </r>
  <r>
    <n v="69725082"/>
    <x v="0"/>
    <n v="2990"/>
    <d v="2026-03-06T00:00:00"/>
    <s v="PS OCG 6-18PK"/>
    <x v="32"/>
    <n v="5.2680000000000001E-3"/>
    <n v="130"/>
    <x v="6"/>
    <x v="15"/>
    <n v="1"/>
    <n v="2990"/>
    <n v="15.75132"/>
    <n v="23"/>
    <s v="Mar"/>
    <x v="11"/>
    <m/>
    <m/>
  </r>
  <r>
    <n v="69725082"/>
    <x v="0"/>
    <n v="1950"/>
    <d v="2026-03-06T00:00:00"/>
    <s v="PS OCG 6-18PK"/>
    <x v="32"/>
    <n v="5.2680000000000001E-3"/>
    <n v="130"/>
    <x v="6"/>
    <x v="15"/>
    <n v="1"/>
    <n v="1950"/>
    <n v="10.272600000000001"/>
    <n v="15"/>
    <s v="Mar"/>
    <x v="11"/>
    <m/>
    <m/>
  </r>
  <r>
    <n v="69725082"/>
    <x v="0"/>
    <n v="2841"/>
    <d v="2026-03-07T00:00:00"/>
    <s v="PS OCG 6-18PK"/>
    <x v="32"/>
    <n v="5.2680000000000001E-3"/>
    <n v="130"/>
    <x v="6"/>
    <x v="15"/>
    <n v="1"/>
    <n v="2841"/>
    <n v="14.966388"/>
    <n v="21.853846153846153"/>
    <s v="Mar"/>
    <x v="11"/>
    <m/>
    <m/>
  </r>
  <r>
    <n v="69725082"/>
    <x v="0"/>
    <n v="130"/>
    <d v="2026-03-12T00:00:00"/>
    <s v="PS OCG 6-18PK"/>
    <x v="32"/>
    <n v="5.2680000000000001E-3"/>
    <n v="130"/>
    <x v="6"/>
    <x v="15"/>
    <n v="1"/>
    <n v="130"/>
    <n v="0.68484"/>
    <n v="1"/>
    <s v="Mar"/>
    <x v="12"/>
    <m/>
    <m/>
  </r>
  <r>
    <n v="69725083"/>
    <x v="0"/>
    <n v="2207"/>
    <d v="2026-03-10T00:00:00"/>
    <s v="PS SF Tropical 6-18PK"/>
    <x v="27"/>
    <n v="5.2680000000000001E-3"/>
    <n v="130"/>
    <x v="6"/>
    <x v="15"/>
    <n v="1"/>
    <n v="2207"/>
    <n v="11.626476"/>
    <n v="16.976923076923075"/>
    <s v="Mar"/>
    <x v="12"/>
    <m/>
    <m/>
  </r>
  <r>
    <n v="69725083"/>
    <x v="0"/>
    <n v="3075"/>
    <d v="2026-03-11T00:00:00"/>
    <s v="PS SF Tropical 6-18PK"/>
    <x v="27"/>
    <n v="5.2680000000000001E-3"/>
    <n v="130"/>
    <x v="6"/>
    <x v="15"/>
    <n v="1"/>
    <n v="3075"/>
    <n v="16.199100000000001"/>
    <n v="23.653846153846153"/>
    <s v="Mar"/>
    <x v="12"/>
    <m/>
    <m/>
  </r>
  <r>
    <n v="69725083"/>
    <x v="0"/>
    <n v="1950"/>
    <d v="2026-03-11T00:00:00"/>
    <s v="PS SF Tropical 6-18PK"/>
    <x v="27"/>
    <n v="5.2680000000000001E-3"/>
    <n v="130"/>
    <x v="6"/>
    <x v="15"/>
    <n v="1"/>
    <n v="1950"/>
    <n v="10.272600000000001"/>
    <n v="15"/>
    <s v="Mar"/>
    <x v="12"/>
    <m/>
    <m/>
  </r>
  <r>
    <n v="69725083"/>
    <x v="0"/>
    <n v="1853"/>
    <d v="2026-03-12T00:00:00"/>
    <s v="PS SF Tropical 6-18PK"/>
    <x v="27"/>
    <n v="5.2680000000000001E-3"/>
    <n v="130"/>
    <x v="6"/>
    <x v="15"/>
    <n v="1"/>
    <n v="1853"/>
    <n v="9.7616040000000002"/>
    <n v="14.253846153846155"/>
    <s v="Mar"/>
    <x v="12"/>
    <m/>
    <m/>
  </r>
  <r>
    <n v="69725083"/>
    <x v="0"/>
    <n v="1820"/>
    <d v="2026-03-12T00:00:00"/>
    <s v="PS SF Tropical 6-18PK"/>
    <x v="27"/>
    <n v="5.2680000000000001E-3"/>
    <n v="130"/>
    <x v="6"/>
    <x v="15"/>
    <n v="1"/>
    <n v="1820"/>
    <n v="9.5877599999999994"/>
    <n v="14"/>
    <s v="Mar"/>
    <x v="12"/>
    <m/>
    <m/>
  </r>
  <r>
    <n v="69725083"/>
    <x v="0"/>
    <n v="2990"/>
    <d v="2026-03-13T00:00:00"/>
    <s v="PS SF Tropical 6-18PK"/>
    <x v="27"/>
    <n v="5.2680000000000001E-3"/>
    <n v="130"/>
    <x v="6"/>
    <x v="15"/>
    <n v="1"/>
    <n v="2990"/>
    <n v="15.75132"/>
    <n v="23"/>
    <s v="Mar"/>
    <x v="12"/>
    <m/>
    <m/>
  </r>
  <r>
    <n v="69725083"/>
    <x v="0"/>
    <n v="1430"/>
    <d v="2026-03-13T00:00:00"/>
    <s v="PS SF Tropical 6-18PK"/>
    <x v="27"/>
    <n v="5.2680000000000001E-3"/>
    <n v="130"/>
    <x v="6"/>
    <x v="15"/>
    <n v="1"/>
    <n v="1430"/>
    <n v="7.5332400000000002"/>
    <n v="11"/>
    <s v="Mar"/>
    <x v="12"/>
    <m/>
    <m/>
  </r>
  <r>
    <n v="69725083"/>
    <x v="0"/>
    <n v="1746"/>
    <d v="2026-03-14T00:00:00"/>
    <s v="PS SF Tropical 6-18PK"/>
    <x v="27"/>
    <n v="5.2680000000000001E-3"/>
    <n v="130"/>
    <x v="6"/>
    <x v="15"/>
    <n v="1"/>
    <n v="1746"/>
    <n v="9.197928000000001"/>
    <n v="13.430769230769231"/>
    <s v="Mar"/>
    <x v="12"/>
    <m/>
    <m/>
  </r>
  <r>
    <n v="69725083"/>
    <x v="0"/>
    <n v="390"/>
    <d v="2026-03-09T00:00:00"/>
    <s v="PS SF Tropical 6-18PK"/>
    <x v="27"/>
    <n v="5.2680000000000001E-3"/>
    <n v="130"/>
    <x v="6"/>
    <x v="15"/>
    <n v="1"/>
    <n v="390"/>
    <n v="2.0545200000000001"/>
    <n v="3"/>
    <s v="Mar"/>
    <x v="12"/>
    <m/>
    <m/>
  </r>
  <r>
    <n v="69725083"/>
    <x v="0"/>
    <n v="3143"/>
    <d v="2026-03-10T00:00:00"/>
    <s v="PS SF Tropical 6-18PK"/>
    <x v="27"/>
    <n v="5.2680000000000001E-3"/>
    <n v="130"/>
    <x v="6"/>
    <x v="15"/>
    <n v="1"/>
    <n v="3143"/>
    <n v="16.557324000000001"/>
    <n v="24.176923076923078"/>
    <s v="Mar"/>
    <x v="12"/>
    <m/>
    <m/>
  </r>
  <r>
    <n v="69725083"/>
    <x v="0"/>
    <n v="1560"/>
    <d v="2026-03-16T00:00:00"/>
    <s v="PS SF Tropical 6-18PK"/>
    <x v="27"/>
    <n v="5.2680000000000001E-3"/>
    <n v="130"/>
    <x v="6"/>
    <x v="15"/>
    <n v="1"/>
    <n v="1560"/>
    <n v="8.2180800000000005"/>
    <n v="12"/>
    <s v="Mar"/>
    <x v="9"/>
    <m/>
    <m/>
  </r>
  <r>
    <n v="69725083"/>
    <x v="0"/>
    <n v="1584"/>
    <d v="2026-03-17T00:00:00"/>
    <s v="PS SF Tropical 6-18PK"/>
    <x v="27"/>
    <n v="5.2680000000000001E-3"/>
    <n v="130"/>
    <x v="6"/>
    <x v="15"/>
    <n v="1"/>
    <n v="1584"/>
    <n v="8.3445119999999999"/>
    <n v="12.184615384615384"/>
    <s v="Mar"/>
    <x v="9"/>
    <m/>
    <m/>
  </r>
  <r>
    <n v="69725083"/>
    <x v="0"/>
    <n v="2600"/>
    <d v="2026-03-17T00:00:00"/>
    <s v="PS SF Tropical 6-18PK"/>
    <x v="27"/>
    <n v="5.2680000000000001E-3"/>
    <n v="130"/>
    <x v="6"/>
    <x v="15"/>
    <n v="1"/>
    <n v="2600"/>
    <n v="13.6968"/>
    <n v="20"/>
    <s v="Mar"/>
    <x v="9"/>
    <m/>
    <m/>
  </r>
  <r>
    <n v="69725083"/>
    <x v="0"/>
    <n v="3193"/>
    <d v="2026-03-18T00:00:00"/>
    <s v="PS SF Tropical 6-18PK"/>
    <x v="27"/>
    <n v="5.2680000000000001E-3"/>
    <n v="130"/>
    <x v="6"/>
    <x v="15"/>
    <n v="1"/>
    <n v="3193"/>
    <n v="16.820724000000002"/>
    <n v="24.561538461538461"/>
    <s v="Mar"/>
    <x v="9"/>
    <m/>
    <m/>
  </r>
  <r>
    <n v="69725083"/>
    <x v="0"/>
    <n v="2340"/>
    <d v="2026-03-18T00:00:00"/>
    <s v="PS SF Tropical 6-18PK"/>
    <x v="27"/>
    <n v="5.2680000000000001E-3"/>
    <n v="130"/>
    <x v="6"/>
    <x v="15"/>
    <n v="1"/>
    <n v="2340"/>
    <n v="12.327120000000001"/>
    <n v="18"/>
    <s v="Mar"/>
    <x v="9"/>
    <m/>
    <m/>
  </r>
  <r>
    <n v="69725083"/>
    <x v="0"/>
    <n v="3013"/>
    <d v="2026-03-19T00:00:00"/>
    <s v="PS SF Tropical 6-18PK"/>
    <x v="27"/>
    <n v="5.2680000000000001E-3"/>
    <n v="130"/>
    <x v="6"/>
    <x v="15"/>
    <n v="1"/>
    <n v="3013"/>
    <n v="15.872484"/>
    <n v="23.176923076923078"/>
    <s v="Mar"/>
    <x v="9"/>
    <m/>
    <m/>
  </r>
  <r>
    <n v="69725083"/>
    <x v="0"/>
    <n v="2470"/>
    <d v="2026-03-19T00:00:00"/>
    <s v="PS SF Tropical 6-18PK"/>
    <x v="27"/>
    <n v="5.2680000000000001E-3"/>
    <n v="130"/>
    <x v="6"/>
    <x v="15"/>
    <n v="1"/>
    <n v="2470"/>
    <n v="13.01196"/>
    <n v="19"/>
    <s v="Mar"/>
    <x v="9"/>
    <m/>
    <m/>
  </r>
  <r>
    <n v="69725083"/>
    <x v="0"/>
    <n v="2433"/>
    <d v="2026-03-20T00:00:00"/>
    <s v="PS SF Tropical 6-18PK"/>
    <x v="27"/>
    <n v="5.2680000000000001E-3"/>
    <n v="130"/>
    <x v="6"/>
    <x v="15"/>
    <n v="1"/>
    <n v="2433"/>
    <n v="12.817044000000001"/>
    <n v="18.715384615384615"/>
    <s v="Mar"/>
    <x v="9"/>
    <m/>
    <m/>
  </r>
  <r>
    <n v="69725083"/>
    <x v="0"/>
    <n v="637"/>
    <d v="2026-03-20T00:00:00"/>
    <s v="PS SF Tropical 6-18PK"/>
    <x v="27"/>
    <n v="5.2680000000000001E-3"/>
    <n v="130"/>
    <x v="6"/>
    <x v="15"/>
    <n v="1"/>
    <n v="637"/>
    <n v="3.3557160000000001"/>
    <n v="4.9000000000000004"/>
    <s v="Mar"/>
    <x v="9"/>
    <m/>
    <m/>
  </r>
  <r>
    <n v="69725083"/>
    <x v="0"/>
    <n v="1903"/>
    <d v="2026-03-21T00:00:00"/>
    <s v="PS SF Tropical 6-18PK"/>
    <x v="27"/>
    <n v="5.2680000000000001E-3"/>
    <n v="130"/>
    <x v="6"/>
    <x v="15"/>
    <n v="1"/>
    <n v="1903"/>
    <n v="10.025004000000001"/>
    <n v="14.638461538461538"/>
    <s v="Mar"/>
    <x v="9"/>
    <m/>
    <m/>
  </r>
  <r>
    <n v="69727314"/>
    <x v="0"/>
    <n v="2210"/>
    <d v="2026-03-09T00:00:00"/>
    <s v="PS OCG SF 6-18PK"/>
    <x v="32"/>
    <n v="5.2680000000000001E-3"/>
    <n v="130"/>
    <x v="6"/>
    <x v="15"/>
    <n v="1"/>
    <n v="2210"/>
    <n v="11.64228"/>
    <n v="17"/>
    <s v="Mar"/>
    <x v="12"/>
    <m/>
    <m/>
  </r>
  <r>
    <n v="69727314"/>
    <x v="0"/>
    <n v="3120"/>
    <d v="2026-03-10T00:00:00"/>
    <s v="PS OCG SF 6-18PK"/>
    <x v="32"/>
    <n v="5.2680000000000001E-3"/>
    <n v="130"/>
    <x v="6"/>
    <x v="15"/>
    <n v="1"/>
    <n v="3120"/>
    <n v="16.436160000000001"/>
    <n v="24"/>
    <s v="Mar"/>
    <x v="12"/>
    <m/>
    <m/>
  </r>
  <r>
    <n v="69727314"/>
    <x v="0"/>
    <n v="1950"/>
    <d v="2026-03-10T00:00:00"/>
    <s v="PS OCG SF 6-18PK"/>
    <x v="32"/>
    <n v="5.2680000000000001E-3"/>
    <n v="130"/>
    <x v="6"/>
    <x v="15"/>
    <n v="1"/>
    <n v="1950"/>
    <n v="10.272600000000001"/>
    <n v="15"/>
    <s v="Mar"/>
    <x v="12"/>
    <m/>
    <m/>
  </r>
  <r>
    <n v="69727314"/>
    <x v="0"/>
    <n v="2749"/>
    <d v="2026-03-11T00:00:00"/>
    <s v="PS OCG SF 6-18PK"/>
    <x v="32"/>
    <n v="5.2680000000000001E-3"/>
    <n v="130"/>
    <x v="6"/>
    <x v="15"/>
    <n v="1"/>
    <n v="2749"/>
    <n v="14.481732000000001"/>
    <n v="21.146153846153847"/>
    <s v="Mar"/>
    <x v="12"/>
    <m/>
    <m/>
  </r>
  <r>
    <n v="69727314"/>
    <x v="0"/>
    <n v="2600"/>
    <d v="2026-03-11T00:00:00"/>
    <s v="PS OCG SF 6-18PK"/>
    <x v="32"/>
    <n v="5.2680000000000001E-3"/>
    <n v="130"/>
    <x v="6"/>
    <x v="15"/>
    <n v="1"/>
    <n v="2600"/>
    <n v="13.6968"/>
    <n v="20"/>
    <s v="Mar"/>
    <x v="12"/>
    <m/>
    <m/>
  </r>
  <r>
    <n v="69727314"/>
    <x v="0"/>
    <n v="3396"/>
    <d v="2026-03-12T00:00:00"/>
    <s v="PS OCG SF 6-18PK"/>
    <x v="32"/>
    <n v="5.2680000000000001E-3"/>
    <n v="130"/>
    <x v="6"/>
    <x v="15"/>
    <n v="1"/>
    <n v="3396"/>
    <n v="17.890128000000001"/>
    <n v="26.123076923076923"/>
    <s v="Mar"/>
    <x v="12"/>
    <m/>
    <m/>
  </r>
  <r>
    <n v="69727314"/>
    <x v="0"/>
    <n v="2730"/>
    <d v="2026-03-12T00:00:00"/>
    <s v="PS OCG SF 6-18PK"/>
    <x v="32"/>
    <n v="5.2680000000000001E-3"/>
    <n v="130"/>
    <x v="6"/>
    <x v="15"/>
    <n v="1"/>
    <n v="2730"/>
    <n v="14.381640000000001"/>
    <n v="21"/>
    <s v="Mar"/>
    <x v="12"/>
    <m/>
    <m/>
  </r>
  <r>
    <n v="69727314"/>
    <x v="0"/>
    <n v="3169"/>
    <d v="2026-03-13T00:00:00"/>
    <s v="PS OCG SF 6-18PK"/>
    <x v="32"/>
    <n v="5.2680000000000001E-3"/>
    <n v="130"/>
    <x v="6"/>
    <x v="15"/>
    <n v="1"/>
    <n v="3169"/>
    <n v="16.694292000000001"/>
    <n v="24.376923076923077"/>
    <s v="Mar"/>
    <x v="12"/>
    <m/>
    <m/>
  </r>
  <r>
    <n v="69727314"/>
    <x v="0"/>
    <n v="2080"/>
    <d v="2026-03-16T00:00:00"/>
    <s v="PS OCG SF 6-18PK"/>
    <x v="32"/>
    <n v="5.2680000000000001E-3"/>
    <n v="130"/>
    <x v="6"/>
    <x v="15"/>
    <n v="1"/>
    <n v="2080"/>
    <n v="10.95744"/>
    <n v="16"/>
    <s v="Mar"/>
    <x v="9"/>
    <m/>
    <m/>
  </r>
  <r>
    <n v="69727314"/>
    <x v="0"/>
    <n v="3174"/>
    <d v="2026-03-17T00:00:00"/>
    <s v="PS OCG SF 6-18PK"/>
    <x v="32"/>
    <n v="5.2680000000000001E-3"/>
    <n v="130"/>
    <x v="6"/>
    <x v="15"/>
    <n v="1"/>
    <n v="3174"/>
    <n v="16.720632000000002"/>
    <n v="24.415384615384614"/>
    <s v="Mar"/>
    <x v="9"/>
    <m/>
    <m/>
  </r>
  <r>
    <n v="69727314"/>
    <x v="0"/>
    <n v="2210"/>
    <d v="2026-03-17T00:00:00"/>
    <s v="PS OCG SF 6-18PK"/>
    <x v="32"/>
    <n v="5.2680000000000001E-3"/>
    <n v="130"/>
    <x v="6"/>
    <x v="15"/>
    <n v="1"/>
    <n v="2210"/>
    <n v="11.64228"/>
    <n v="17"/>
    <s v="Mar"/>
    <x v="9"/>
    <m/>
    <m/>
  </r>
  <r>
    <n v="69727314"/>
    <x v="0"/>
    <n v="3364"/>
    <d v="2026-03-18T00:00:00"/>
    <s v="PS OCG SF 6-18PK"/>
    <x v="32"/>
    <n v="5.2680000000000001E-3"/>
    <n v="130"/>
    <x v="6"/>
    <x v="15"/>
    <n v="1"/>
    <n v="3364"/>
    <n v="17.721551999999999"/>
    <n v="25.876923076923077"/>
    <s v="Mar"/>
    <x v="9"/>
    <m/>
    <m/>
  </r>
  <r>
    <n v="69727314"/>
    <x v="0"/>
    <n v="2470"/>
    <d v="2026-03-18T00:00:00"/>
    <s v="PS OCG SF 6-18PK"/>
    <x v="32"/>
    <n v="5.2680000000000001E-3"/>
    <n v="130"/>
    <x v="6"/>
    <x v="15"/>
    <n v="1"/>
    <n v="2470"/>
    <n v="13.01196"/>
    <n v="19"/>
    <s v="Mar"/>
    <x v="9"/>
    <m/>
    <m/>
  </r>
  <r>
    <n v="69727314"/>
    <x v="0"/>
    <n v="2555"/>
    <d v="2026-03-19T00:00:00"/>
    <s v="PS OCG SF 6-18PK"/>
    <x v="32"/>
    <n v="5.2680000000000001E-3"/>
    <n v="130"/>
    <x v="6"/>
    <x v="15"/>
    <n v="1"/>
    <n v="2555"/>
    <n v="13.45974"/>
    <n v="19.653846153846153"/>
    <s v="Mar"/>
    <x v="9"/>
    <m/>
    <m/>
  </r>
  <r>
    <n v="69727314"/>
    <x v="0"/>
    <n v="2080"/>
    <d v="2026-03-19T00:00:00"/>
    <s v="PS OCG SF 6-18PK"/>
    <x v="32"/>
    <n v="5.2680000000000001E-3"/>
    <n v="130"/>
    <x v="6"/>
    <x v="15"/>
    <n v="1"/>
    <n v="2080"/>
    <n v="10.95744"/>
    <n v="16"/>
    <s v="Mar"/>
    <x v="9"/>
    <m/>
    <m/>
  </r>
  <r>
    <n v="69727314"/>
    <x v="0"/>
    <n v="3285"/>
    <d v="2026-03-20T00:00:00"/>
    <s v="PS OCG SF 6-18PK"/>
    <x v="32"/>
    <n v="5.2680000000000001E-3"/>
    <n v="130"/>
    <x v="6"/>
    <x v="15"/>
    <n v="1"/>
    <n v="3285"/>
    <n v="17.30538"/>
    <n v="25.26923076923077"/>
    <s v="Mar"/>
    <x v="9"/>
    <m/>
    <m/>
  </r>
  <r>
    <n v="69727314"/>
    <x v="0"/>
    <n v="447"/>
    <d v="2026-03-20T00:00:00"/>
    <s v="PS OCG SF 6-18PK"/>
    <x v="32"/>
    <n v="5.2680000000000001E-3"/>
    <n v="130"/>
    <x v="6"/>
    <x v="15"/>
    <n v="1"/>
    <n v="447"/>
    <n v="2.3547959999999999"/>
    <n v="3.4384615384615387"/>
    <s v="Mar"/>
    <x v="9"/>
    <m/>
    <m/>
  </r>
  <r>
    <n v="69727314"/>
    <x v="0"/>
    <n v="1690"/>
    <d v="2026-03-23T00:00:00"/>
    <s v="PS OCG SF 6-18PK"/>
    <x v="32"/>
    <n v="5.2680000000000001E-3"/>
    <n v="130"/>
    <x v="6"/>
    <x v="15"/>
    <n v="1"/>
    <n v="1690"/>
    <n v="8.9029199999999999"/>
    <n v="13"/>
    <s v="Mar"/>
    <x v="10"/>
    <m/>
    <m/>
  </r>
  <r>
    <n v="69727314"/>
    <x v="0"/>
    <n v="3168"/>
    <d v="2026-03-24T00:00:00"/>
    <s v="PS OCG SF 6-18PK"/>
    <x v="32"/>
    <n v="5.2680000000000001E-3"/>
    <n v="130"/>
    <x v="6"/>
    <x v="15"/>
    <n v="1"/>
    <n v="3168"/>
    <n v="16.689024"/>
    <n v="24.369230769230768"/>
    <s v="Mar"/>
    <x v="10"/>
    <m/>
    <m/>
  </r>
  <r>
    <n v="69727314"/>
    <x v="0"/>
    <n v="2730"/>
    <d v="2026-03-24T00:00:00"/>
    <s v="PS OCG SF 6-18PK"/>
    <x v="32"/>
    <n v="5.2680000000000001E-3"/>
    <n v="130"/>
    <x v="6"/>
    <x v="15"/>
    <n v="1"/>
    <n v="2730"/>
    <n v="14.381640000000001"/>
    <n v="21"/>
    <s v="Mar"/>
    <x v="10"/>
    <m/>
    <m/>
  </r>
  <r>
    <n v="64330596"/>
    <x v="1"/>
    <n v="350"/>
    <d v="2026-03-03T00:00:00"/>
    <s v="MG Mini Double Caramel Bar 6-6PK"/>
    <x v="23"/>
    <n v="1.98E-3"/>
    <n v="176"/>
    <x v="5"/>
    <x v="6"/>
    <n v="1"/>
    <n v="350"/>
    <n v="0.69299999999999995"/>
    <n v="1.9886363636363635"/>
    <s v="Mar"/>
    <x v="11"/>
    <m/>
    <m/>
  </r>
  <r>
    <n v="64330596"/>
    <x v="1"/>
    <n v="2530"/>
    <d v="2026-03-03T00:00:00"/>
    <s v="MG Mini Double Caramel Bar 6-6PK"/>
    <x v="23"/>
    <n v="1.98E-3"/>
    <n v="176"/>
    <x v="5"/>
    <x v="6"/>
    <n v="1"/>
    <n v="2530"/>
    <n v="5.0094000000000003"/>
    <n v="14.375"/>
    <s v="Mar"/>
    <x v="11"/>
    <m/>
    <m/>
  </r>
  <r>
    <n v="64330596"/>
    <x v="1"/>
    <n v="3819"/>
    <d v="2026-03-04T00:00:00"/>
    <s v="MG Mini Double Caramel Bar 6-6PK"/>
    <x v="23"/>
    <n v="1.98E-3"/>
    <n v="176"/>
    <x v="5"/>
    <x v="6"/>
    <n v="1"/>
    <n v="3819"/>
    <n v="7.5616199999999996"/>
    <n v="21.698863636363637"/>
    <s v="Mar"/>
    <x v="11"/>
    <m/>
    <m/>
  </r>
  <r>
    <n v="64330596"/>
    <x v="1"/>
    <n v="176"/>
    <d v="2026-03-12T00:00:00"/>
    <s v="MG Mini Double Caramel Bar 6-6PK"/>
    <x v="23"/>
    <n v="1.98E-3"/>
    <n v="176"/>
    <x v="5"/>
    <x v="6"/>
    <n v="1"/>
    <n v="176"/>
    <n v="0.34848000000000001"/>
    <n v="1"/>
    <s v="Mar"/>
    <x v="12"/>
    <m/>
    <m/>
  </r>
  <r>
    <n v="64330596"/>
    <x v="1"/>
    <n v="4182"/>
    <d v="2026-03-04T00:00:00"/>
    <s v="MG Mini Double Caramel Bar 6-6PK"/>
    <x v="23"/>
    <n v="1.98E-3"/>
    <n v="176"/>
    <x v="5"/>
    <x v="6"/>
    <n v="1"/>
    <n v="4182"/>
    <n v="8.2803599999999999"/>
    <n v="23.761363636363637"/>
    <s v="Mar"/>
    <x v="11"/>
    <m/>
    <m/>
  </r>
  <r>
    <n v="64330596"/>
    <x v="1"/>
    <n v="5408"/>
    <d v="2026-03-05T00:00:00"/>
    <s v="MG Mini Double Caramel Bar 6-6PK"/>
    <x v="23"/>
    <n v="1.98E-3"/>
    <n v="176"/>
    <x v="5"/>
    <x v="6"/>
    <n v="1"/>
    <n v="5408"/>
    <n v="10.707839999999999"/>
    <n v="30.727272727272727"/>
    <s v="Mar"/>
    <x v="11"/>
    <m/>
    <m/>
  </r>
  <r>
    <n v="64330596"/>
    <x v="1"/>
    <n v="16"/>
    <d v="2026-03-17T00:00:00"/>
    <s v="MG Mini Double Caramel Bar 6-6PK"/>
    <x v="23"/>
    <n v="1.98E-3"/>
    <n v="176"/>
    <x v="5"/>
    <x v="6"/>
    <n v="1"/>
    <n v="16"/>
    <n v="3.168E-2"/>
    <n v="9.0909090909090912E-2"/>
    <s v="Mar"/>
    <x v="9"/>
    <m/>
    <m/>
  </r>
  <r>
    <n v="64330596"/>
    <x v="1"/>
    <n v="6078"/>
    <d v="2026-03-05T00:00:00"/>
    <s v="MG Mini Double Caramel Bar 6-6PK"/>
    <x v="23"/>
    <n v="1.98E-3"/>
    <n v="176"/>
    <x v="5"/>
    <x v="6"/>
    <n v="1"/>
    <n v="6078"/>
    <n v="12.03444"/>
    <n v="34.534090909090907"/>
    <s v="Mar"/>
    <x v="11"/>
    <m/>
    <m/>
  </r>
  <r>
    <n v="64330596"/>
    <x v="1"/>
    <n v="6864"/>
    <d v="2026-03-06T00:00:00"/>
    <s v="MG Mini Double Caramel Bar 6-6PK"/>
    <x v="23"/>
    <n v="1.98E-3"/>
    <n v="176"/>
    <x v="5"/>
    <x v="6"/>
    <n v="1"/>
    <n v="6864"/>
    <n v="13.590719999999999"/>
    <n v="39"/>
    <s v="Mar"/>
    <x v="11"/>
    <m/>
    <m/>
  </r>
  <r>
    <n v="64330596"/>
    <x v="1"/>
    <n v="31"/>
    <d v="2026-03-09T00:00:00"/>
    <s v="MG Mini Double Caramel Bar 6-6PK"/>
    <x v="23"/>
    <n v="1.98E-3"/>
    <n v="176"/>
    <x v="5"/>
    <x v="6"/>
    <n v="1"/>
    <n v="31"/>
    <n v="6.1379999999999997E-2"/>
    <n v="0.17613636363636365"/>
    <s v="Mar"/>
    <x v="12"/>
    <m/>
    <m/>
  </r>
  <r>
    <n v="64330596"/>
    <x v="1"/>
    <n v="-31"/>
    <d v="2026-03-13T00:00:00"/>
    <s v="MG Mini Double Caramel Bar 6-6PK"/>
    <x v="23"/>
    <n v="1.98E-3"/>
    <n v="176"/>
    <x v="5"/>
    <x v="6"/>
    <n v="1"/>
    <n v="-31"/>
    <n v="-6.1379999999999997E-2"/>
    <n v="-0.17613636363636365"/>
    <s v="Mar"/>
    <x v="12"/>
    <m/>
    <m/>
  </r>
  <r>
    <n v="64330596"/>
    <x v="1"/>
    <n v="3934"/>
    <d v="2026-03-06T00:00:00"/>
    <s v="MG Mini Double Caramel Bar 6-6PK"/>
    <x v="23"/>
    <n v="1.98E-3"/>
    <n v="176"/>
    <x v="5"/>
    <x v="6"/>
    <n v="1"/>
    <n v="3934"/>
    <n v="7.78932"/>
    <n v="22.352272727272727"/>
    <s v="Mar"/>
    <x v="11"/>
    <m/>
    <m/>
  </r>
  <r>
    <n v="64330596"/>
    <x v="1"/>
    <n v="5632"/>
    <d v="2026-03-07T00:00:00"/>
    <s v="MG Mini Double Caramel Bar 6-6PK"/>
    <x v="23"/>
    <n v="1.98E-3"/>
    <n v="176"/>
    <x v="5"/>
    <x v="6"/>
    <n v="1"/>
    <n v="5632"/>
    <n v="11.15136"/>
    <n v="32"/>
    <s v="Mar"/>
    <x v="11"/>
    <m/>
    <m/>
  </r>
  <r>
    <n v="64330596"/>
    <x v="1"/>
    <n v="5209"/>
    <d v="2026-03-07T00:00:00"/>
    <s v="MG Mini Double Caramel Bar 6-6PK"/>
    <x v="23"/>
    <n v="1.98E-3"/>
    <n v="176"/>
    <x v="5"/>
    <x v="6"/>
    <n v="1"/>
    <n v="5209"/>
    <n v="10.31382"/>
    <n v="29.59659090909091"/>
    <s v="Mar"/>
    <x v="11"/>
    <m/>
    <m/>
  </r>
  <r>
    <n v="64330596"/>
    <x v="1"/>
    <n v="5200"/>
    <d v="2026-03-08T00:00:00"/>
    <s v="MG Mini Double Caramel Bar 6-6PK"/>
    <x v="23"/>
    <n v="1.98E-3"/>
    <n v="176"/>
    <x v="5"/>
    <x v="6"/>
    <n v="1"/>
    <n v="5200"/>
    <n v="10.295999999999999"/>
    <n v="29.545454545454547"/>
    <s v="Mar"/>
    <x v="12"/>
    <m/>
    <m/>
  </r>
  <r>
    <n v="64330596"/>
    <x v="1"/>
    <n v="5068"/>
    <d v="2026-03-08T00:00:00"/>
    <s v="MG Mini Double Caramel Bar 6-6PK"/>
    <x v="23"/>
    <n v="1.98E-3"/>
    <n v="176"/>
    <x v="5"/>
    <x v="6"/>
    <n v="1"/>
    <n v="5068"/>
    <n v="10.03464"/>
    <n v="28.795454545454547"/>
    <s v="Mar"/>
    <x v="12"/>
    <m/>
    <m/>
  </r>
  <r>
    <n v="64330596"/>
    <x v="1"/>
    <n v="4912"/>
    <d v="2026-03-09T00:00:00"/>
    <s v="MG Mini Double Caramel Bar 6-6PK"/>
    <x v="23"/>
    <n v="1.98E-3"/>
    <n v="176"/>
    <x v="5"/>
    <x v="6"/>
    <n v="1"/>
    <n v="4912"/>
    <n v="9.7257599999999993"/>
    <n v="27.90909090909091"/>
    <s v="Mar"/>
    <x v="12"/>
    <m/>
    <m/>
  </r>
  <r>
    <n v="64330596"/>
    <x v="1"/>
    <n v="4007"/>
    <d v="2026-03-09T00:00:00"/>
    <s v="MG Mini Double Caramel Bar 6-6PK"/>
    <x v="23"/>
    <n v="1.98E-3"/>
    <n v="176"/>
    <x v="5"/>
    <x v="6"/>
    <n v="1"/>
    <n v="4007"/>
    <n v="7.9338600000000001"/>
    <n v="22.767045454545453"/>
    <s v="Mar"/>
    <x v="12"/>
    <m/>
    <m/>
  </r>
  <r>
    <n v="64330596"/>
    <x v="1"/>
    <n v="6224"/>
    <d v="2026-03-10T00:00:00"/>
    <s v="MG Mini Double Caramel Bar 6-6PK"/>
    <x v="23"/>
    <n v="1.98E-3"/>
    <n v="176"/>
    <x v="5"/>
    <x v="6"/>
    <n v="1"/>
    <n v="6224"/>
    <n v="12.32352"/>
    <n v="35.363636363636367"/>
    <s v="Mar"/>
    <x v="12"/>
    <m/>
    <m/>
  </r>
  <r>
    <n v="64330596"/>
    <x v="1"/>
    <n v="4341"/>
    <d v="2026-03-10T00:00:00"/>
    <s v="MG Mini Double Caramel Bar 6-6PK"/>
    <x v="23"/>
    <n v="1.98E-3"/>
    <n v="176"/>
    <x v="5"/>
    <x v="6"/>
    <n v="1"/>
    <n v="4341"/>
    <n v="8.5951799999999992"/>
    <n v="24.664772727272727"/>
    <s v="Mar"/>
    <x v="12"/>
    <m/>
    <m/>
  </r>
  <r>
    <n v="64330596"/>
    <x v="1"/>
    <n v="4656"/>
    <d v="2026-03-11T00:00:00"/>
    <s v="MG Mini Double Caramel Bar 6-6PK"/>
    <x v="23"/>
    <n v="1.98E-3"/>
    <n v="176"/>
    <x v="5"/>
    <x v="6"/>
    <n v="1"/>
    <n v="4656"/>
    <n v="9.2188800000000004"/>
    <n v="26.454545454545453"/>
    <s v="Mar"/>
    <x v="12"/>
    <m/>
    <m/>
  </r>
  <r>
    <n v="64330596"/>
    <x v="1"/>
    <n v="5325"/>
    <d v="2026-03-11T00:00:00"/>
    <s v="MG Mini Double Caramel Bar 6-6PK"/>
    <x v="23"/>
    <n v="1.98E-3"/>
    <n v="176"/>
    <x v="5"/>
    <x v="6"/>
    <n v="1"/>
    <n v="5325"/>
    <n v="10.5435"/>
    <n v="30.255681818181817"/>
    <s v="Mar"/>
    <x v="12"/>
    <m/>
    <m/>
  </r>
  <r>
    <n v="64330596"/>
    <x v="1"/>
    <n v="6336"/>
    <d v="2026-03-12T00:00:00"/>
    <s v="MG Mini Double Caramel Bar 6-6PK"/>
    <x v="23"/>
    <n v="1.98E-3"/>
    <n v="176"/>
    <x v="5"/>
    <x v="6"/>
    <n v="1"/>
    <n v="6336"/>
    <n v="12.54528"/>
    <n v="36"/>
    <s v="Mar"/>
    <x v="12"/>
    <m/>
    <m/>
  </r>
  <r>
    <n v="64330596"/>
    <x v="1"/>
    <n v="372"/>
    <d v="2026-03-12T00:00:00"/>
    <s v="MG Mini Double Caramel Bar 6-6PK"/>
    <x v="23"/>
    <n v="1.98E-3"/>
    <n v="176"/>
    <x v="5"/>
    <x v="6"/>
    <n v="1"/>
    <n v="372"/>
    <n v="0.73655999999999999"/>
    <n v="2.1136363636363638"/>
    <s v="Mar"/>
    <x v="12"/>
    <m/>
    <m/>
  </r>
  <r>
    <n v="64330596"/>
    <x v="1"/>
    <n v="2501"/>
    <d v="2026-03-13T00:00:00"/>
    <s v="MG Mini Double Caramel Bar 6-6PK"/>
    <x v="23"/>
    <n v="1.98E-3"/>
    <n v="176"/>
    <x v="5"/>
    <x v="6"/>
    <n v="1"/>
    <n v="2501"/>
    <n v="4.9519799999999998"/>
    <n v="14.210227272727273"/>
    <s v="Mar"/>
    <x v="12"/>
    <m/>
    <m/>
  </r>
  <r>
    <n v="64330596"/>
    <x v="1"/>
    <n v="4922"/>
    <d v="2026-03-13T00:00:00"/>
    <s v="MG Mini Double Caramel Bar 6-6PK"/>
    <x v="23"/>
    <n v="1.98E-3"/>
    <n v="176"/>
    <x v="5"/>
    <x v="6"/>
    <n v="1"/>
    <n v="4922"/>
    <n v="9.7455599999999993"/>
    <n v="27.96590909090909"/>
    <s v="Mar"/>
    <x v="12"/>
    <m/>
    <m/>
  </r>
  <r>
    <n v="64330596"/>
    <x v="1"/>
    <n v="5616"/>
    <d v="2026-03-14T00:00:00"/>
    <s v="MG Mini Double Caramel Bar 6-6PK"/>
    <x v="23"/>
    <n v="1.98E-3"/>
    <n v="176"/>
    <x v="5"/>
    <x v="6"/>
    <n v="1"/>
    <n v="5616"/>
    <n v="11.119680000000001"/>
    <n v="31.90909090909091"/>
    <s v="Mar"/>
    <x v="12"/>
    <m/>
    <m/>
  </r>
  <r>
    <n v="64330596"/>
    <x v="1"/>
    <n v="176"/>
    <d v="2026-03-16T00:00:00"/>
    <s v="MG Mini Double Caramel Bar 6-6PK"/>
    <x v="23"/>
    <n v="1.98E-3"/>
    <n v="176"/>
    <x v="5"/>
    <x v="6"/>
    <n v="1"/>
    <n v="176"/>
    <n v="0.34848000000000001"/>
    <n v="1"/>
    <s v="Mar"/>
    <x v="9"/>
    <m/>
    <m/>
  </r>
  <r>
    <n v="64330596"/>
    <x v="1"/>
    <n v="11209"/>
    <d v="2026-03-16T00:00:00"/>
    <s v="MG Mini Double Caramel Bar 6-6PK"/>
    <x v="23"/>
    <n v="1.98E-3"/>
    <n v="176"/>
    <x v="5"/>
    <x v="6"/>
    <n v="1"/>
    <n v="11209"/>
    <n v="22.193819999999999"/>
    <n v="63.6875"/>
    <s v="Mar"/>
    <x v="9"/>
    <m/>
    <m/>
  </r>
  <r>
    <n v="64330596"/>
    <x v="1"/>
    <n v="12609"/>
    <d v="2026-03-17T00:00:00"/>
    <s v="MG Mini Double Caramel Bar 6-6PK"/>
    <x v="23"/>
    <n v="1.98E-3"/>
    <n v="176"/>
    <x v="5"/>
    <x v="6"/>
    <n v="1"/>
    <n v="12609"/>
    <n v="24.965820000000001"/>
    <n v="71.642045454545453"/>
    <s v="Mar"/>
    <x v="9"/>
    <m/>
    <m/>
  </r>
  <r>
    <n v="64330596"/>
    <x v="1"/>
    <n v="-12609"/>
    <d v="2026-03-19T00:00:00"/>
    <s v="MG Mini Double Caramel Bar 6-6PK"/>
    <x v="23"/>
    <n v="1.98E-3"/>
    <n v="176"/>
    <x v="5"/>
    <x v="6"/>
    <n v="1"/>
    <n v="-12609"/>
    <n v="-24.965820000000001"/>
    <n v="-71.642045454545453"/>
    <s v="Mar"/>
    <x v="9"/>
    <m/>
    <m/>
  </r>
  <r>
    <n v="64330596"/>
    <x v="1"/>
    <n v="6336"/>
    <d v="2026-03-16T00:00:00"/>
    <s v="MG Mini Double Caramel Bar 6-6PK"/>
    <x v="23"/>
    <n v="1.98E-3"/>
    <n v="176"/>
    <x v="5"/>
    <x v="6"/>
    <n v="1"/>
    <n v="6336"/>
    <n v="12.54528"/>
    <n v="36"/>
    <s v="Mar"/>
    <x v="9"/>
    <m/>
    <m/>
  </r>
  <r>
    <n v="64330596"/>
    <x v="1"/>
    <n v="2694"/>
    <d v="2026-03-17T00:00:00"/>
    <s v="MG Mini Double Caramel Bar 6-6PK"/>
    <x v="23"/>
    <n v="1.98E-3"/>
    <n v="176"/>
    <x v="5"/>
    <x v="6"/>
    <n v="1"/>
    <n v="2694"/>
    <n v="5.3341199999999995"/>
    <n v="15.306818181818182"/>
    <s v="Mar"/>
    <x v="9"/>
    <m/>
    <m/>
  </r>
  <r>
    <n v="64330596"/>
    <x v="1"/>
    <n v="12609"/>
    <d v="2026-03-16T00:00:00"/>
    <s v="MG Mini Double Caramel Bar 6-6PK"/>
    <x v="23"/>
    <n v="1.98E-3"/>
    <n v="176"/>
    <x v="5"/>
    <x v="6"/>
    <n v="1"/>
    <n v="12609"/>
    <n v="24.965820000000001"/>
    <n v="71.642045454545453"/>
    <s v="Mar"/>
    <x v="9"/>
    <m/>
    <m/>
  </r>
  <r>
    <n v="64330596"/>
    <x v="1"/>
    <n v="-12609"/>
    <d v="2026-03-17T00:00:00"/>
    <s v="MG Mini Double Caramel Bar 6-6PK"/>
    <x v="23"/>
    <n v="1.98E-3"/>
    <n v="176"/>
    <x v="5"/>
    <x v="6"/>
    <n v="1"/>
    <n v="-12609"/>
    <n v="-24.965820000000001"/>
    <n v="-71.642045454545453"/>
    <s v="Mar"/>
    <x v="9"/>
    <m/>
    <m/>
  </r>
  <r>
    <n v="64330596"/>
    <x v="1"/>
    <n v="12609"/>
    <d v="2026-03-19T00:00:00"/>
    <s v="MG Mini Double Caramel Bar 6-6PK"/>
    <x v="23"/>
    <n v="1.98E-3"/>
    <n v="176"/>
    <x v="5"/>
    <x v="6"/>
    <n v="1"/>
    <n v="12609"/>
    <n v="24.965820000000001"/>
    <n v="71.642045454545453"/>
    <s v="Mar"/>
    <x v="9"/>
    <m/>
    <m/>
  </r>
  <r>
    <n v="64330596"/>
    <x v="1"/>
    <n v="1859"/>
    <d v="2026-03-17T00:00:00"/>
    <s v="MG Mini Double Caramel Bar 6-6PK"/>
    <x v="23"/>
    <n v="1.98E-3"/>
    <n v="176"/>
    <x v="5"/>
    <x v="6"/>
    <n v="1"/>
    <n v="1859"/>
    <n v="3.6808199999999998"/>
    <n v="10.5625"/>
    <s v="Mar"/>
    <x v="9"/>
    <m/>
    <m/>
  </r>
  <r>
    <n v="64330596"/>
    <x v="1"/>
    <n v="0"/>
    <d v="2026-03-18T00:00:00"/>
    <s v="MG Mini Double Caramel Bar 6-6PK"/>
    <x v="23"/>
    <n v="1.98E-3"/>
    <n v="176"/>
    <x v="5"/>
    <x v="6"/>
    <n v="1"/>
    <n v="0"/>
    <n v="0"/>
    <n v="0"/>
    <s v="Mar"/>
    <x v="9"/>
    <m/>
    <m/>
  </r>
  <r>
    <n v="64330611"/>
    <x v="1"/>
    <n v="6451"/>
    <d v="2026-02-23T00:00:00"/>
    <s v="MG Double Caramel Bar 8-3PK"/>
    <x v="23"/>
    <n v="2.16E-3"/>
    <n v="210"/>
    <x v="5"/>
    <x v="6"/>
    <n v="1"/>
    <n v="6451"/>
    <n v="13.93416"/>
    <n v="30.719047619047618"/>
    <s v="Feb"/>
    <x v="6"/>
    <m/>
    <m/>
  </r>
  <r>
    <n v="64330611"/>
    <x v="1"/>
    <n v="8190"/>
    <d v="2026-02-23T00:00:00"/>
    <s v="MG Double Caramel Bar 8-3PK"/>
    <x v="23"/>
    <n v="2.16E-3"/>
    <n v="210"/>
    <x v="5"/>
    <x v="6"/>
    <n v="1"/>
    <n v="8190"/>
    <n v="17.6904"/>
    <n v="39"/>
    <s v="Feb"/>
    <x v="6"/>
    <m/>
    <m/>
  </r>
  <r>
    <n v="64330611"/>
    <x v="1"/>
    <n v="2159"/>
    <d v="2026-02-24T00:00:00"/>
    <s v="MG Double Caramel Bar 8-3PK"/>
    <x v="23"/>
    <n v="2.16E-3"/>
    <n v="210"/>
    <x v="5"/>
    <x v="6"/>
    <n v="1"/>
    <n v="2159"/>
    <n v="4.6634400000000005"/>
    <n v="10.280952380952382"/>
    <s v="Feb"/>
    <x v="6"/>
    <m/>
    <m/>
  </r>
  <r>
    <n v="64330611"/>
    <x v="1"/>
    <n v="1974"/>
    <d v="2026-02-24T00:00:00"/>
    <s v="MG Double Caramel Bar 8-3PK"/>
    <x v="23"/>
    <n v="2.16E-3"/>
    <n v="210"/>
    <x v="5"/>
    <x v="6"/>
    <n v="1"/>
    <n v="1974"/>
    <n v="4.2638400000000001"/>
    <n v="9.4"/>
    <s v="Feb"/>
    <x v="6"/>
    <m/>
    <m/>
  </r>
  <r>
    <n v="64330611"/>
    <x v="1"/>
    <n v="6509"/>
    <d v="2026-02-25T00:00:00"/>
    <s v="MG Double Caramel Bar 8-3PK"/>
    <x v="23"/>
    <n v="2.16E-3"/>
    <n v="210"/>
    <x v="5"/>
    <x v="6"/>
    <n v="1"/>
    <n v="6509"/>
    <n v="14.05944"/>
    <n v="30.995238095238093"/>
    <s v="Feb"/>
    <x v="6"/>
    <m/>
    <m/>
  </r>
  <r>
    <n v="64330611"/>
    <x v="1"/>
    <n v="7140"/>
    <d v="2026-02-25T00:00:00"/>
    <s v="MG Double Caramel Bar 8-3PK"/>
    <x v="23"/>
    <n v="2.16E-3"/>
    <n v="210"/>
    <x v="5"/>
    <x v="6"/>
    <n v="1"/>
    <n v="7140"/>
    <n v="15.4224"/>
    <n v="34"/>
    <s v="Feb"/>
    <x v="6"/>
    <m/>
    <m/>
  </r>
  <r>
    <n v="64330611"/>
    <x v="1"/>
    <n v="7749"/>
    <d v="2026-02-26T00:00:00"/>
    <s v="MG Double Caramel Bar 8-3PK"/>
    <x v="23"/>
    <n v="2.16E-3"/>
    <n v="210"/>
    <x v="5"/>
    <x v="6"/>
    <n v="1"/>
    <n v="7749"/>
    <n v="16.737839999999998"/>
    <n v="36.9"/>
    <s v="Feb"/>
    <x v="6"/>
    <m/>
    <m/>
  </r>
  <r>
    <n v="64330611"/>
    <x v="1"/>
    <n v="7770"/>
    <d v="2026-02-26T00:00:00"/>
    <s v="MG Double Caramel Bar 8-3PK"/>
    <x v="23"/>
    <n v="2.16E-3"/>
    <n v="210"/>
    <x v="5"/>
    <x v="6"/>
    <n v="1"/>
    <n v="7770"/>
    <n v="16.783200000000001"/>
    <n v="37"/>
    <s v="Feb"/>
    <x v="6"/>
    <m/>
    <m/>
  </r>
  <r>
    <n v="64330611"/>
    <x v="1"/>
    <n v="5819"/>
    <d v="2026-02-27T00:00:00"/>
    <s v="MG Double Caramel Bar 8-3PK"/>
    <x v="23"/>
    <n v="2.16E-3"/>
    <n v="210"/>
    <x v="5"/>
    <x v="6"/>
    <n v="1"/>
    <n v="5819"/>
    <n v="12.569039999999999"/>
    <n v="27.709523809523809"/>
    <s v="Feb"/>
    <x v="6"/>
    <m/>
    <m/>
  </r>
  <r>
    <n v="64330611"/>
    <x v="1"/>
    <n v="2938"/>
    <d v="2026-02-27T00:00:00"/>
    <s v="MG Double Caramel Bar 8-3PK"/>
    <x v="23"/>
    <n v="2.16E-3"/>
    <n v="210"/>
    <x v="5"/>
    <x v="6"/>
    <n v="1"/>
    <n v="2938"/>
    <n v="6.3460799999999997"/>
    <n v="13.990476190476191"/>
    <s v="Feb"/>
    <x v="6"/>
    <m/>
    <m/>
  </r>
  <r>
    <n v="64330611"/>
    <x v="1"/>
    <n v="7512"/>
    <d v="2026-02-28T00:00:00"/>
    <s v="MG Double Caramel Bar 8-3PK"/>
    <x v="23"/>
    <n v="2.16E-3"/>
    <n v="210"/>
    <x v="5"/>
    <x v="6"/>
    <n v="1"/>
    <n v="7512"/>
    <n v="16.225919999999999"/>
    <n v="35.771428571428572"/>
    <s v="Feb"/>
    <x v="6"/>
    <m/>
    <m/>
  </r>
  <r>
    <n v="64330611"/>
    <x v="1"/>
    <n v="8607"/>
    <d v="2026-02-28T00:00:00"/>
    <s v="MG Double Caramel Bar 8-3PK"/>
    <x v="23"/>
    <n v="2.16E-3"/>
    <n v="210"/>
    <x v="5"/>
    <x v="6"/>
    <n v="1"/>
    <n v="8607"/>
    <n v="18.59112"/>
    <n v="40.985714285714288"/>
    <s v="Feb"/>
    <x v="6"/>
    <m/>
    <m/>
  </r>
  <r>
    <n v="64330611"/>
    <x v="1"/>
    <n v="5670"/>
    <d v="2026-03-01T00:00:00"/>
    <s v="MG Double Caramel Bar 8-3PK"/>
    <x v="23"/>
    <n v="2.16E-3"/>
    <n v="210"/>
    <x v="5"/>
    <x v="6"/>
    <n v="1"/>
    <n v="5670"/>
    <n v="12.247199999999999"/>
    <n v="27"/>
    <s v="Mar"/>
    <x v="11"/>
    <m/>
    <m/>
  </r>
  <r>
    <n v="64330611"/>
    <x v="1"/>
    <n v="8400"/>
    <d v="2026-03-01T00:00:00"/>
    <s v="MG Double Caramel Bar 8-3PK"/>
    <x v="23"/>
    <n v="2.16E-3"/>
    <n v="210"/>
    <x v="5"/>
    <x v="6"/>
    <n v="1"/>
    <n v="8400"/>
    <n v="18.144000000000002"/>
    <n v="40"/>
    <s v="Mar"/>
    <x v="11"/>
    <m/>
    <m/>
  </r>
  <r>
    <n v="64330611"/>
    <x v="1"/>
    <n v="6154"/>
    <d v="2026-03-02T00:00:00"/>
    <s v="MG Double Caramel Bar 8-3PK"/>
    <x v="23"/>
    <n v="2.16E-3"/>
    <n v="210"/>
    <x v="5"/>
    <x v="6"/>
    <n v="1"/>
    <n v="6154"/>
    <n v="13.29264"/>
    <n v="29.304761904761904"/>
    <s v="Mar"/>
    <x v="11"/>
    <m/>
    <m/>
  </r>
  <r>
    <n v="64330611"/>
    <x v="1"/>
    <n v="2230"/>
    <d v="2026-03-02T00:00:00"/>
    <s v="MG Double Caramel Bar 8-3PK"/>
    <x v="23"/>
    <n v="2.16E-3"/>
    <n v="210"/>
    <x v="5"/>
    <x v="6"/>
    <n v="1"/>
    <n v="2230"/>
    <n v="4.8167999999999997"/>
    <n v="10.619047619047619"/>
    <s v="Mar"/>
    <x v="11"/>
    <m/>
    <m/>
  </r>
  <r>
    <n v="64330612"/>
    <x v="1"/>
    <n v="2061"/>
    <d v="2026-03-20T00:00:00"/>
    <s v="MG Double Caramel Bar 6-6PK"/>
    <x v="23"/>
    <n v="3.2400000000000003E-3"/>
    <n v="143"/>
    <x v="5"/>
    <x v="6"/>
    <n v="1"/>
    <n v="2061"/>
    <n v="6.6776400000000002"/>
    <n v="14.412587412587413"/>
    <s v="Mar"/>
    <x v="9"/>
    <m/>
    <m/>
  </r>
  <r>
    <n v="64330612"/>
    <x v="1"/>
    <n v="5434"/>
    <d v="2026-03-20T00:00:00"/>
    <s v="MG Double Caramel Bar 6-6PK"/>
    <x v="23"/>
    <n v="3.2400000000000003E-3"/>
    <n v="143"/>
    <x v="5"/>
    <x v="6"/>
    <n v="1"/>
    <n v="5434"/>
    <n v="17.606160000000003"/>
    <n v="38"/>
    <s v="Mar"/>
    <x v="9"/>
    <m/>
    <m/>
  </r>
  <r>
    <n v="64330612"/>
    <x v="1"/>
    <n v="4105"/>
    <d v="2026-03-21T00:00:00"/>
    <s v="MG Double Caramel Bar 6-6PK"/>
    <x v="23"/>
    <n v="3.2400000000000003E-3"/>
    <n v="143"/>
    <x v="5"/>
    <x v="6"/>
    <n v="1"/>
    <n v="4105"/>
    <n v="13.3002"/>
    <n v="28.706293706293707"/>
    <s v="Mar"/>
    <x v="9"/>
    <m/>
    <m/>
  </r>
  <r>
    <n v="64330612"/>
    <x v="1"/>
    <n v="4955"/>
    <d v="2026-03-21T00:00:00"/>
    <s v="MG Double Caramel Bar 6-6PK"/>
    <x v="23"/>
    <n v="3.2400000000000003E-3"/>
    <n v="143"/>
    <x v="5"/>
    <x v="6"/>
    <n v="1"/>
    <n v="4955"/>
    <n v="16.054200000000002"/>
    <n v="34.650349650349654"/>
    <s v="Mar"/>
    <x v="9"/>
    <m/>
    <m/>
  </r>
  <r>
    <n v="64330612"/>
    <x v="1"/>
    <n v="3922"/>
    <d v="2026-03-22T00:00:00"/>
    <s v="MG Double Caramel Bar 6-6PK"/>
    <x v="23"/>
    <n v="3.2400000000000003E-3"/>
    <n v="143"/>
    <x v="5"/>
    <x v="6"/>
    <n v="1"/>
    <n v="3922"/>
    <n v="12.707280000000001"/>
    <n v="27.426573426573427"/>
    <s v="Mar"/>
    <x v="10"/>
    <m/>
    <m/>
  </r>
  <r>
    <n v="64330612"/>
    <x v="1"/>
    <n v="0"/>
    <d v="2026-03-23T00:00:00"/>
    <s v="MG Double Caramel Bar 6-6PK"/>
    <x v="23"/>
    <n v="3.2400000000000003E-3"/>
    <n v="143"/>
    <x v="5"/>
    <x v="6"/>
    <n v="1"/>
    <n v="0"/>
    <n v="0"/>
    <n v="0"/>
    <s v="Mar"/>
    <x v="10"/>
    <m/>
    <m/>
  </r>
  <r>
    <n v="64331550"/>
    <x v="1"/>
    <n v="9083"/>
    <d v="2026-03-01T00:00:00"/>
    <s v="MG Double Caramel Bar 1-12PK OOH"/>
    <x v="26"/>
    <n v="1.08E-3"/>
    <n v="493"/>
    <x v="5"/>
    <x v="6"/>
    <n v="1"/>
    <n v="9083"/>
    <n v="9.8096399999999999"/>
    <n v="18.42393509127789"/>
    <s v="Mar"/>
    <x v="11"/>
    <m/>
    <m/>
  </r>
  <r>
    <n v="64331550"/>
    <x v="1"/>
    <n v="7693"/>
    <d v="2026-03-02T00:00:00"/>
    <s v="MG Double Caramel Bar 1-12PK OOH"/>
    <x v="26"/>
    <n v="1.08E-3"/>
    <n v="493"/>
    <x v="5"/>
    <x v="6"/>
    <n v="1"/>
    <n v="7693"/>
    <n v="8.3084400000000009"/>
    <n v="15.604462474645031"/>
    <s v="Mar"/>
    <x v="11"/>
    <m/>
    <m/>
  </r>
  <r>
    <n v="64331550"/>
    <x v="1"/>
    <n v="11033"/>
    <d v="2026-03-03T00:00:00"/>
    <s v="MG Double Caramel Bar 1-12PK OOH"/>
    <x v="26"/>
    <n v="1.08E-3"/>
    <n v="493"/>
    <x v="5"/>
    <x v="6"/>
    <n v="1"/>
    <n v="11033"/>
    <n v="11.91564"/>
    <n v="22.379310344827587"/>
    <s v="Mar"/>
    <x v="11"/>
    <m/>
    <m/>
  </r>
  <r>
    <n v="64331550"/>
    <x v="1"/>
    <n v="9631"/>
    <d v="2026-03-04T00:00:00"/>
    <s v="MG Double Caramel Bar 1-12PK OOH"/>
    <x v="26"/>
    <n v="1.08E-3"/>
    <n v="493"/>
    <x v="5"/>
    <x v="6"/>
    <n v="1"/>
    <n v="9631"/>
    <n v="10.401479999999999"/>
    <n v="19.535496957403652"/>
    <s v="Mar"/>
    <x v="11"/>
    <m/>
    <m/>
  </r>
  <r>
    <n v="64331550"/>
    <x v="1"/>
    <n v="15277"/>
    <d v="2026-03-04T00:00:00"/>
    <s v="MG Double Caramel Bar 1-12PK OOH"/>
    <x v="26"/>
    <n v="1.08E-3"/>
    <n v="493"/>
    <x v="5"/>
    <x v="6"/>
    <n v="1"/>
    <n v="15277"/>
    <n v="16.49916"/>
    <n v="30.987829614604461"/>
    <s v="Mar"/>
    <x v="11"/>
    <m/>
    <m/>
  </r>
  <r>
    <n v="64331550"/>
    <x v="1"/>
    <n v="10176"/>
    <d v="2026-03-05T00:00:00"/>
    <s v="MG Double Caramel Bar 1-12PK OOH"/>
    <x v="26"/>
    <n v="1.08E-3"/>
    <n v="493"/>
    <x v="5"/>
    <x v="6"/>
    <n v="1"/>
    <n v="10176"/>
    <n v="10.990080000000001"/>
    <n v="20.640973630831642"/>
    <s v="Mar"/>
    <x v="11"/>
    <m/>
    <m/>
  </r>
  <r>
    <n v="64331550"/>
    <x v="1"/>
    <n v="3336"/>
    <d v="2026-03-05T00:00:00"/>
    <s v="MG Double Caramel Bar 1-12PK OOH"/>
    <x v="26"/>
    <n v="1.08E-3"/>
    <n v="493"/>
    <x v="5"/>
    <x v="6"/>
    <n v="1"/>
    <n v="3336"/>
    <n v="3.6028799999999999"/>
    <n v="6.7667342799188637"/>
    <s v="Mar"/>
    <x v="11"/>
    <m/>
    <m/>
  </r>
  <r>
    <n v="64331550"/>
    <x v="1"/>
    <n v="10317"/>
    <d v="2026-03-06T00:00:00"/>
    <s v="MG Double Caramel Bar 1-12PK OOH"/>
    <x v="26"/>
    <n v="1.08E-3"/>
    <n v="493"/>
    <x v="5"/>
    <x v="6"/>
    <n v="1"/>
    <n v="10317"/>
    <n v="11.14236"/>
    <n v="20.926977687626774"/>
    <s v="Mar"/>
    <x v="11"/>
    <m/>
    <m/>
  </r>
  <r>
    <n v="64331550"/>
    <x v="1"/>
    <n v="12685"/>
    <d v="2026-03-06T00:00:00"/>
    <s v="MG Double Caramel Bar 1-12PK OOH"/>
    <x v="26"/>
    <n v="1.08E-3"/>
    <n v="493"/>
    <x v="5"/>
    <x v="6"/>
    <n v="1"/>
    <n v="12685"/>
    <n v="13.6998"/>
    <n v="25.730223123732252"/>
    <s v="Mar"/>
    <x v="11"/>
    <m/>
    <m/>
  </r>
  <r>
    <n v="64331550"/>
    <x v="1"/>
    <n v="14670"/>
    <d v="2026-03-07T00:00:00"/>
    <s v="MG Double Caramel Bar 1-12PK OOH"/>
    <x v="26"/>
    <n v="1.08E-3"/>
    <n v="493"/>
    <x v="5"/>
    <x v="6"/>
    <n v="1"/>
    <n v="14670"/>
    <n v="15.8436"/>
    <n v="29.756592292089248"/>
    <s v="Mar"/>
    <x v="11"/>
    <m/>
    <m/>
  </r>
  <r>
    <n v="64331550"/>
    <x v="1"/>
    <n v="15981"/>
    <d v="2026-03-07T00:00:00"/>
    <s v="MG Double Caramel Bar 1-12PK OOH"/>
    <x v="26"/>
    <n v="1.08E-3"/>
    <n v="493"/>
    <x v="5"/>
    <x v="6"/>
    <n v="1"/>
    <n v="15981"/>
    <n v="17.25948"/>
    <n v="32.4158215010142"/>
    <s v="Mar"/>
    <x v="11"/>
    <m/>
    <m/>
  </r>
  <r>
    <n v="64331550"/>
    <x v="1"/>
    <n v="9926"/>
    <d v="2026-03-08T00:00:00"/>
    <s v="MG Double Caramel Bar 1-12PK OOH"/>
    <x v="26"/>
    <n v="1.08E-3"/>
    <n v="493"/>
    <x v="5"/>
    <x v="6"/>
    <n v="1"/>
    <n v="9926"/>
    <n v="10.720079999999999"/>
    <n v="20.133874239350913"/>
    <s v="Mar"/>
    <x v="12"/>
    <m/>
    <m/>
  </r>
  <r>
    <n v="64331550"/>
    <x v="1"/>
    <n v="17206"/>
    <d v="2026-03-08T00:00:00"/>
    <s v="MG Double Caramel Bar 1-12PK OOH"/>
    <x v="26"/>
    <n v="1.08E-3"/>
    <n v="493"/>
    <x v="5"/>
    <x v="6"/>
    <n v="1"/>
    <n v="17206"/>
    <n v="18.58248"/>
    <n v="34.900608519269774"/>
    <s v="Mar"/>
    <x v="12"/>
    <m/>
    <m/>
  </r>
  <r>
    <n v="64331550"/>
    <x v="1"/>
    <n v="1608"/>
    <d v="2026-03-09T00:00:00"/>
    <s v="MG Double Caramel Bar 1-12PK OOH"/>
    <x v="26"/>
    <n v="1.08E-3"/>
    <n v="493"/>
    <x v="5"/>
    <x v="6"/>
    <n v="1"/>
    <n v="1608"/>
    <n v="1.73664"/>
    <n v="3.2616632860040569"/>
    <s v="Mar"/>
    <x v="12"/>
    <m/>
    <m/>
  </r>
  <r>
    <n v="64331550"/>
    <x v="1"/>
    <n v="7658"/>
    <d v="2026-03-10T00:00:00"/>
    <s v="MG Double Caramel Bar 1-12PK OOH"/>
    <x v="26"/>
    <n v="1.08E-3"/>
    <n v="493"/>
    <x v="5"/>
    <x v="6"/>
    <n v="1"/>
    <n v="7658"/>
    <n v="8.2706400000000002"/>
    <n v="15.533468559837727"/>
    <s v="Mar"/>
    <x v="12"/>
    <m/>
    <m/>
  </r>
  <r>
    <n v="64331550"/>
    <x v="1"/>
    <n v="11679"/>
    <d v="2026-03-11T00:00:00"/>
    <s v="MG Double Caramel Bar 1-12PK OOH"/>
    <x v="26"/>
    <n v="1.08E-3"/>
    <n v="493"/>
    <x v="5"/>
    <x v="6"/>
    <n v="1"/>
    <n v="11679"/>
    <n v="12.61332"/>
    <n v="23.689655172413794"/>
    <s v="Mar"/>
    <x v="12"/>
    <m/>
    <m/>
  </r>
  <r>
    <n v="64331550"/>
    <x v="1"/>
    <n v="11014"/>
    <d v="2026-03-11T00:00:00"/>
    <s v="MG Double Caramel Bar 1-12PK OOH"/>
    <x v="26"/>
    <n v="1.08E-3"/>
    <n v="493"/>
    <x v="5"/>
    <x v="6"/>
    <n v="1"/>
    <n v="11014"/>
    <n v="11.89512"/>
    <n v="22.340770791075052"/>
    <s v="Mar"/>
    <x v="12"/>
    <m/>
    <m/>
  </r>
  <r>
    <n v="64331550"/>
    <x v="1"/>
    <n v="10350"/>
    <d v="2026-03-12T00:00:00"/>
    <s v="MG Double Caramel Bar 1-12PK OOH"/>
    <x v="26"/>
    <n v="1.08E-3"/>
    <n v="493"/>
    <x v="5"/>
    <x v="6"/>
    <n v="1"/>
    <n v="10350"/>
    <n v="11.178000000000001"/>
    <n v="20.993914807302232"/>
    <s v="Mar"/>
    <x v="12"/>
    <m/>
    <m/>
  </r>
  <r>
    <n v="64331550"/>
    <x v="1"/>
    <n v="14971"/>
    <d v="2026-03-12T00:00:00"/>
    <s v="MG Double Caramel Bar 1-12PK OOH"/>
    <x v="26"/>
    <n v="1.08E-3"/>
    <n v="493"/>
    <x v="5"/>
    <x v="6"/>
    <n v="1"/>
    <n v="14971"/>
    <n v="16.168680000000002"/>
    <n v="30.367139959432048"/>
    <s v="Mar"/>
    <x v="12"/>
    <m/>
    <m/>
  </r>
  <r>
    <n v="64331550"/>
    <x v="1"/>
    <n v="2730"/>
    <d v="2026-03-13T00:00:00"/>
    <s v="MG Double Caramel Bar 1-12PK OOH"/>
    <x v="26"/>
    <n v="1.08E-3"/>
    <n v="493"/>
    <x v="5"/>
    <x v="6"/>
    <n v="1"/>
    <n v="2730"/>
    <n v="2.9483999999999999"/>
    <n v="5.5375253549695742"/>
    <s v="Mar"/>
    <x v="12"/>
    <m/>
    <m/>
  </r>
  <r>
    <n v="64331550"/>
    <x v="1"/>
    <n v="11178"/>
    <d v="2026-03-02T00:00:00"/>
    <s v="MG Double Caramel Bar 1-12PK OOH"/>
    <x v="26"/>
    <n v="1.08E-3"/>
    <n v="493"/>
    <x v="5"/>
    <x v="6"/>
    <n v="1"/>
    <n v="11178"/>
    <n v="12.072240000000001"/>
    <n v="22.67342799188641"/>
    <s v="Mar"/>
    <x v="11"/>
    <m/>
    <m/>
  </r>
  <r>
    <n v="64331550"/>
    <x v="1"/>
    <n v="10584"/>
    <d v="2026-03-03T00:00:00"/>
    <s v="MG Double Caramel Bar 1-12PK OOH"/>
    <x v="26"/>
    <n v="1.08E-3"/>
    <n v="493"/>
    <x v="5"/>
    <x v="6"/>
    <n v="1"/>
    <n v="10584"/>
    <n v="11.430720000000001"/>
    <n v="21.468559837728193"/>
    <s v="Mar"/>
    <x v="11"/>
    <m/>
    <m/>
  </r>
  <r>
    <n v="64331550"/>
    <x v="1"/>
    <n v="214"/>
    <d v="2026-03-01T00:00:00"/>
    <s v="MG Double Caramel Bar 1-12PK OOH"/>
    <x v="26"/>
    <n v="1.08E-3"/>
    <n v="493"/>
    <x v="5"/>
    <x v="6"/>
    <n v="1"/>
    <n v="214"/>
    <n v="0.23111999999999999"/>
    <n v="0.43407707910750509"/>
    <s v="Mar"/>
    <x v="11"/>
    <m/>
    <m/>
  </r>
  <r>
    <n v="64331550"/>
    <x v="1"/>
    <n v="6099"/>
    <d v="2026-03-13T00:00:00"/>
    <s v="MG Double Caramel Bar 1-12PK OOH"/>
    <x v="26"/>
    <n v="1.08E-3"/>
    <n v="493"/>
    <x v="5"/>
    <x v="6"/>
    <n v="1"/>
    <n v="6099"/>
    <n v="6.5869200000000001"/>
    <n v="12.371196754563895"/>
    <s v="Mar"/>
    <x v="12"/>
    <m/>
    <m/>
  </r>
  <r>
    <n v="64341106"/>
    <x v="1"/>
    <n v="957"/>
    <d v="2026-02-23T00:00:00"/>
    <s v="PS Jolly Rancher Pop 6-18PK"/>
    <x v="16"/>
    <n v="5.2680000000000001E-3"/>
    <n v="130"/>
    <x v="6"/>
    <x v="7"/>
    <n v="1"/>
    <n v="957"/>
    <n v="5.0414760000000003"/>
    <n v="7.3615384615384611"/>
    <s v="Feb"/>
    <x v="6"/>
    <m/>
    <m/>
  </r>
  <r>
    <n v="64341106"/>
    <x v="1"/>
    <n v="1643"/>
    <d v="2026-02-23T00:00:00"/>
    <s v="PS Jolly Rancher Pop 6-18PK"/>
    <x v="16"/>
    <n v="5.2680000000000001E-3"/>
    <n v="130"/>
    <x v="6"/>
    <x v="7"/>
    <n v="1"/>
    <n v="1643"/>
    <n v="8.6553240000000002"/>
    <n v="12.638461538461538"/>
    <s v="Feb"/>
    <x v="6"/>
    <m/>
    <m/>
  </r>
  <r>
    <n v="64341106"/>
    <x v="1"/>
    <n v="2819"/>
    <d v="2026-02-24T00:00:00"/>
    <s v="PS Jolly Rancher Pop 6-18PK"/>
    <x v="16"/>
    <n v="5.2680000000000001E-3"/>
    <n v="130"/>
    <x v="6"/>
    <x v="7"/>
    <n v="1"/>
    <n v="2819"/>
    <n v="14.850492000000001"/>
    <n v="21.684615384615384"/>
    <s v="Feb"/>
    <x v="6"/>
    <m/>
    <m/>
  </r>
  <r>
    <n v="64341106"/>
    <x v="1"/>
    <n v="438"/>
    <d v="2026-02-24T00:00:00"/>
    <s v="PS Jolly Rancher Pop 6-18PK"/>
    <x v="16"/>
    <n v="5.2680000000000001E-3"/>
    <n v="130"/>
    <x v="6"/>
    <x v="7"/>
    <n v="1"/>
    <n v="438"/>
    <n v="2.3073839999999999"/>
    <n v="3.3692307692307693"/>
    <s v="Feb"/>
    <x v="6"/>
    <m/>
    <m/>
  </r>
  <r>
    <n v="64341106"/>
    <x v="1"/>
    <n v="1040"/>
    <d v="2026-02-25T00:00:00"/>
    <s v="PS Jolly Rancher Pop 6-18PK"/>
    <x v="16"/>
    <n v="5.2680000000000001E-3"/>
    <n v="130"/>
    <x v="6"/>
    <x v="7"/>
    <n v="1"/>
    <n v="1040"/>
    <n v="5.47872"/>
    <n v="8"/>
    <s v="Feb"/>
    <x v="6"/>
    <m/>
    <m/>
  </r>
  <r>
    <n v="64341106"/>
    <x v="1"/>
    <n v="1215"/>
    <d v="2026-02-25T00:00:00"/>
    <s v="PS Jolly Rancher Pop 6-18PK"/>
    <x v="16"/>
    <n v="5.2680000000000001E-3"/>
    <n v="130"/>
    <x v="6"/>
    <x v="7"/>
    <n v="1"/>
    <n v="1215"/>
    <n v="6.40062"/>
    <n v="9.3461538461538467"/>
    <s v="Feb"/>
    <x v="6"/>
    <m/>
    <m/>
  </r>
  <r>
    <n v="64341106"/>
    <x v="1"/>
    <n v="1383"/>
    <d v="2026-03-09T00:00:00"/>
    <s v="PS Jolly Rancher Pop 6-18PK"/>
    <x v="16"/>
    <n v="5.2680000000000001E-3"/>
    <n v="130"/>
    <x v="6"/>
    <x v="7"/>
    <n v="1"/>
    <n v="1383"/>
    <n v="7.2856440000000005"/>
    <n v="10.638461538461538"/>
    <s v="Mar"/>
    <x v="12"/>
    <m/>
    <m/>
  </r>
  <r>
    <n v="64341106"/>
    <x v="1"/>
    <n v="1527"/>
    <d v="2026-03-10T00:00:00"/>
    <s v="PS Jolly Rancher Pop 6-18PK"/>
    <x v="16"/>
    <n v="5.2680000000000001E-3"/>
    <n v="130"/>
    <x v="6"/>
    <x v="7"/>
    <n v="1"/>
    <n v="1527"/>
    <n v="8.0442359999999997"/>
    <n v="11.746153846153845"/>
    <s v="Mar"/>
    <x v="12"/>
    <m/>
    <m/>
  </r>
  <r>
    <n v="64341106"/>
    <x v="1"/>
    <n v="1922"/>
    <d v="2026-03-10T00:00:00"/>
    <s v="PS Jolly Rancher Pop 6-18PK"/>
    <x v="16"/>
    <n v="5.2680000000000001E-3"/>
    <n v="130"/>
    <x v="6"/>
    <x v="7"/>
    <n v="1"/>
    <n v="1922"/>
    <n v="10.125096000000001"/>
    <n v="14.784615384615385"/>
    <s v="Mar"/>
    <x v="12"/>
    <m/>
    <m/>
  </r>
  <r>
    <n v="64341106"/>
    <x v="1"/>
    <n v="1300"/>
    <d v="2026-03-11T00:00:00"/>
    <s v="PS Jolly Rancher Pop 6-18PK"/>
    <x v="16"/>
    <n v="5.2680000000000001E-3"/>
    <n v="130"/>
    <x v="6"/>
    <x v="7"/>
    <n v="1"/>
    <n v="1300"/>
    <n v="6.8483999999999998"/>
    <n v="10"/>
    <s v="Mar"/>
    <x v="12"/>
    <m/>
    <m/>
  </r>
  <r>
    <n v="64341106"/>
    <x v="1"/>
    <n v="1634"/>
    <d v="2026-03-11T00:00:00"/>
    <s v="PS Jolly Rancher Pop 6-18PK"/>
    <x v="16"/>
    <n v="5.2680000000000001E-3"/>
    <n v="130"/>
    <x v="6"/>
    <x v="7"/>
    <n v="1"/>
    <n v="1634"/>
    <n v="8.6079120000000007"/>
    <n v="12.569230769230769"/>
    <s v="Mar"/>
    <x v="12"/>
    <m/>
    <m/>
  </r>
  <r>
    <n v="64341106"/>
    <x v="1"/>
    <n v="1950"/>
    <d v="2026-03-12T00:00:00"/>
    <s v="PS Jolly Rancher Pop 6-18PK"/>
    <x v="16"/>
    <n v="5.2680000000000001E-3"/>
    <n v="130"/>
    <x v="6"/>
    <x v="7"/>
    <n v="1"/>
    <n v="1950"/>
    <n v="10.272600000000001"/>
    <n v="15"/>
    <s v="Mar"/>
    <x v="12"/>
    <m/>
    <m/>
  </r>
  <r>
    <n v="64341106"/>
    <x v="1"/>
    <n v="1869"/>
    <d v="2026-03-12T00:00:00"/>
    <s v="PS Jolly Rancher Pop 6-18PK"/>
    <x v="16"/>
    <n v="5.2680000000000001E-3"/>
    <n v="130"/>
    <x v="6"/>
    <x v="7"/>
    <n v="1"/>
    <n v="1869"/>
    <n v="9.845892000000001"/>
    <n v="14.376923076923077"/>
    <s v="Mar"/>
    <x v="12"/>
    <m/>
    <m/>
  </r>
  <r>
    <n v="64341106"/>
    <x v="1"/>
    <n v="2056"/>
    <d v="2026-03-13T00:00:00"/>
    <s v="PS Jolly Rancher Pop 6-18PK"/>
    <x v="16"/>
    <n v="5.2680000000000001E-3"/>
    <n v="130"/>
    <x v="6"/>
    <x v="7"/>
    <n v="1"/>
    <n v="2056"/>
    <n v="10.831008000000001"/>
    <n v="15.815384615384616"/>
    <s v="Mar"/>
    <x v="12"/>
    <m/>
    <m/>
  </r>
  <r>
    <n v="64341106"/>
    <x v="1"/>
    <n v="1582"/>
    <d v="2026-03-13T00:00:00"/>
    <s v="PS Jolly Rancher Pop 6-18PK"/>
    <x v="16"/>
    <n v="5.2680000000000001E-3"/>
    <n v="130"/>
    <x v="6"/>
    <x v="7"/>
    <n v="1"/>
    <n v="1582"/>
    <n v="8.3339759999999998"/>
    <n v="12.169230769230769"/>
    <s v="Mar"/>
    <x v="12"/>
    <m/>
    <m/>
  </r>
  <r>
    <n v="64341106"/>
    <x v="1"/>
    <n v="1418"/>
    <d v="2026-03-14T00:00:00"/>
    <s v="PS Jolly Rancher Pop 6-18PK"/>
    <x v="16"/>
    <n v="5.2680000000000001E-3"/>
    <n v="130"/>
    <x v="6"/>
    <x v="7"/>
    <n v="1"/>
    <n v="1418"/>
    <n v="7.4700240000000004"/>
    <n v="10.907692307692308"/>
    <s v="Mar"/>
    <x v="12"/>
    <m/>
    <m/>
  </r>
  <r>
    <n v="64341106"/>
    <x v="1"/>
    <n v="3221"/>
    <d v="2026-03-16T00:00:00"/>
    <s v="PS Jolly Rancher Pop 6-18PK"/>
    <x v="16"/>
    <n v="5.2680000000000001E-3"/>
    <n v="130"/>
    <x v="6"/>
    <x v="7"/>
    <n v="1"/>
    <n v="3221"/>
    <n v="16.968228"/>
    <n v="24.776923076923076"/>
    <s v="Mar"/>
    <x v="9"/>
    <m/>
    <m/>
  </r>
  <r>
    <n v="64341106"/>
    <x v="1"/>
    <n v="2210"/>
    <d v="2026-03-16T00:00:00"/>
    <s v="PS Jolly Rancher Pop 6-18PK"/>
    <x v="16"/>
    <n v="5.2680000000000001E-3"/>
    <n v="130"/>
    <x v="6"/>
    <x v="7"/>
    <n v="1"/>
    <n v="2210"/>
    <n v="11.64228"/>
    <n v="17"/>
    <s v="Mar"/>
    <x v="9"/>
    <m/>
    <m/>
  </r>
  <r>
    <n v="64341106"/>
    <x v="1"/>
    <n v="520"/>
    <d v="2026-03-17T00:00:00"/>
    <s v="PS Jolly Rancher Pop 6-18PK"/>
    <x v="16"/>
    <n v="5.2680000000000001E-3"/>
    <n v="130"/>
    <x v="6"/>
    <x v="7"/>
    <n v="1"/>
    <n v="520"/>
    <n v="2.73936"/>
    <n v="4"/>
    <s v="Mar"/>
    <x v="9"/>
    <m/>
    <m/>
  </r>
  <r>
    <n v="64341106"/>
    <x v="1"/>
    <n v="309"/>
    <d v="2026-03-18T00:00:00"/>
    <s v="PS Jolly Rancher Pop 6-18PK"/>
    <x v="16"/>
    <n v="5.2680000000000001E-3"/>
    <n v="130"/>
    <x v="6"/>
    <x v="7"/>
    <n v="1"/>
    <n v="309"/>
    <n v="1.627812"/>
    <n v="2.3769230769230769"/>
    <s v="Mar"/>
    <x v="9"/>
    <m/>
    <m/>
  </r>
  <r>
    <n v="64341106"/>
    <x v="1"/>
    <n v="1170"/>
    <d v="2026-03-03T00:00:00"/>
    <s v="PS Jolly Rancher Pop 6-18PK"/>
    <x v="16"/>
    <n v="5.2680000000000001E-3"/>
    <n v="130"/>
    <x v="6"/>
    <x v="7"/>
    <n v="1"/>
    <n v="1170"/>
    <n v="6.1635600000000004"/>
    <n v="9"/>
    <s v="Mar"/>
    <x v="11"/>
    <m/>
    <m/>
  </r>
  <r>
    <n v="64341106"/>
    <x v="1"/>
    <n v="1146"/>
    <d v="2026-03-03T00:00:00"/>
    <s v="PS Jolly Rancher Pop 6-18PK"/>
    <x v="16"/>
    <n v="5.2680000000000001E-3"/>
    <n v="130"/>
    <x v="6"/>
    <x v="7"/>
    <n v="1"/>
    <n v="1146"/>
    <n v="6.037128"/>
    <n v="8.815384615384616"/>
    <s v="Mar"/>
    <x v="11"/>
    <m/>
    <m/>
  </r>
  <r>
    <n v="64341106"/>
    <x v="1"/>
    <n v="1194"/>
    <d v="2026-03-04T00:00:00"/>
    <s v="PS Jolly Rancher Pop 6-18PK"/>
    <x v="16"/>
    <n v="5.2680000000000001E-3"/>
    <n v="130"/>
    <x v="6"/>
    <x v="7"/>
    <n v="1"/>
    <n v="1194"/>
    <n v="6.2899919999999998"/>
    <n v="9.184615384615384"/>
    <s v="Mar"/>
    <x v="11"/>
    <m/>
    <m/>
  </r>
  <r>
    <n v="64341106"/>
    <x v="1"/>
    <n v="988"/>
    <d v="2026-03-04T00:00:00"/>
    <s v="PS Jolly Rancher Pop 6-18PK"/>
    <x v="16"/>
    <n v="5.2680000000000001E-3"/>
    <n v="130"/>
    <x v="6"/>
    <x v="7"/>
    <n v="1"/>
    <n v="988"/>
    <n v="5.2047840000000001"/>
    <n v="7.6"/>
    <s v="Mar"/>
    <x v="11"/>
    <m/>
    <m/>
  </r>
  <r>
    <n v="64341106"/>
    <x v="1"/>
    <n v="1502"/>
    <d v="2026-03-05T00:00:00"/>
    <s v="PS Jolly Rancher Pop 6-18PK"/>
    <x v="16"/>
    <n v="5.2680000000000001E-3"/>
    <n v="130"/>
    <x v="6"/>
    <x v="7"/>
    <n v="1"/>
    <n v="1502"/>
    <n v="7.9125360000000002"/>
    <n v="11.553846153846154"/>
    <s v="Mar"/>
    <x v="11"/>
    <m/>
    <m/>
  </r>
  <r>
    <n v="64341106"/>
    <x v="1"/>
    <n v="128"/>
    <d v="2026-03-06T00:00:00"/>
    <s v="PS Jolly Rancher Pop 6-18PK"/>
    <x v="16"/>
    <n v="5.2680000000000001E-3"/>
    <n v="130"/>
    <x v="6"/>
    <x v="7"/>
    <n v="1"/>
    <n v="128"/>
    <n v="0.67430400000000001"/>
    <n v="0.98461538461538467"/>
    <s v="Mar"/>
    <x v="11"/>
    <m/>
    <m/>
  </r>
  <r>
    <n v="64341106"/>
    <x v="1"/>
    <n v="-139"/>
    <d v="2026-03-09T00:00:00"/>
    <s v="PS Jolly Rancher Pop 6-18PK"/>
    <x v="16"/>
    <n v="5.2680000000000001E-3"/>
    <n v="130"/>
    <x v="6"/>
    <x v="7"/>
    <n v="1"/>
    <n v="-139"/>
    <n v="-0.73225200000000001"/>
    <n v="-1.0692307692307692"/>
    <s v="Mar"/>
    <x v="12"/>
    <m/>
    <m/>
  </r>
  <r>
    <n v="64341106"/>
    <x v="1"/>
    <n v="124"/>
    <d v="2026-03-05T00:00:00"/>
    <s v="PS Jolly Rancher Pop 6-18PK"/>
    <x v="16"/>
    <n v="5.2680000000000001E-3"/>
    <n v="130"/>
    <x v="6"/>
    <x v="7"/>
    <n v="1"/>
    <n v="124"/>
    <n v="0.65323200000000003"/>
    <n v="0.9538461538461539"/>
    <s v="Mar"/>
    <x v="11"/>
    <m/>
    <m/>
  </r>
  <r>
    <n v="64341106"/>
    <x v="1"/>
    <n v="870"/>
    <d v="2026-03-06T00:00:00"/>
    <s v="PS Jolly Rancher Pop 6-18PK"/>
    <x v="16"/>
    <n v="5.2680000000000001E-3"/>
    <n v="130"/>
    <x v="6"/>
    <x v="7"/>
    <n v="1"/>
    <n v="870"/>
    <n v="4.5831600000000003"/>
    <n v="6.6923076923076925"/>
    <s v="Mar"/>
    <x v="11"/>
    <m/>
    <m/>
  </r>
  <r>
    <n v="64341106"/>
    <x v="1"/>
    <n v="2047"/>
    <d v="2026-03-07T00:00:00"/>
    <s v="PS Jolly Rancher Pop 6-18PK"/>
    <x v="16"/>
    <n v="5.2680000000000001E-3"/>
    <n v="130"/>
    <x v="6"/>
    <x v="7"/>
    <n v="1"/>
    <n v="2047"/>
    <n v="10.783596000000001"/>
    <n v="15.746153846153845"/>
    <s v="Mar"/>
    <x v="11"/>
    <m/>
    <m/>
  </r>
  <r>
    <n v="64341106"/>
    <x v="1"/>
    <n v="39"/>
    <d v="2026-03-07T00:00:00"/>
    <s v="PS Jolly Rancher Pop 6-18PK"/>
    <x v="16"/>
    <n v="5.2680000000000001E-3"/>
    <n v="130"/>
    <x v="6"/>
    <x v="7"/>
    <n v="1"/>
    <n v="39"/>
    <n v="0.205452"/>
    <n v="0.3"/>
    <s v="Mar"/>
    <x v="11"/>
    <m/>
    <m/>
  </r>
  <r>
    <n v="64341106"/>
    <x v="1"/>
    <n v="837"/>
    <d v="2026-03-08T00:00:00"/>
    <s v="PS Jolly Rancher Pop 6-18PK"/>
    <x v="16"/>
    <n v="5.2680000000000001E-3"/>
    <n v="130"/>
    <x v="6"/>
    <x v="7"/>
    <n v="1"/>
    <n v="837"/>
    <n v="4.4093160000000005"/>
    <n v="6.4384615384615387"/>
    <s v="Mar"/>
    <x v="12"/>
    <m/>
    <m/>
  </r>
  <r>
    <n v="64341106"/>
    <x v="1"/>
    <n v="166"/>
    <d v="2026-03-08T00:00:00"/>
    <s v="PS Jolly Rancher Pop 6-18PK"/>
    <x v="16"/>
    <n v="5.2680000000000001E-3"/>
    <n v="130"/>
    <x v="6"/>
    <x v="7"/>
    <n v="1"/>
    <n v="166"/>
    <n v="0.87448800000000004"/>
    <n v="1.2769230769230768"/>
    <s v="Mar"/>
    <x v="12"/>
    <m/>
    <m/>
  </r>
  <r>
    <n v="64341106"/>
    <x v="1"/>
    <n v="1034"/>
    <d v="2026-03-09T00:00:00"/>
    <s v="PS Jolly Rancher Pop 6-18PK"/>
    <x v="16"/>
    <n v="5.2680000000000001E-3"/>
    <n v="130"/>
    <x v="6"/>
    <x v="7"/>
    <n v="1"/>
    <n v="1034"/>
    <n v="5.4471119999999997"/>
    <n v="7.953846153846154"/>
    <s v="Mar"/>
    <x v="12"/>
    <m/>
    <m/>
  </r>
  <r>
    <n v="64341106"/>
    <x v="1"/>
    <n v="1690"/>
    <d v="2026-03-16T00:00:00"/>
    <s v="PS Jolly Rancher Pop 6-18PK"/>
    <x v="16"/>
    <n v="5.2680000000000001E-3"/>
    <n v="130"/>
    <x v="6"/>
    <x v="7"/>
    <n v="1"/>
    <n v="1690"/>
    <n v="8.9029199999999999"/>
    <n v="13"/>
    <s v="Mar"/>
    <x v="9"/>
    <m/>
    <m/>
  </r>
  <r>
    <n v="64341106"/>
    <x v="1"/>
    <n v="3198"/>
    <d v="2026-03-17T00:00:00"/>
    <s v="PS Jolly Rancher Pop 6-18PK"/>
    <x v="16"/>
    <n v="5.2680000000000001E-3"/>
    <n v="130"/>
    <x v="6"/>
    <x v="7"/>
    <n v="1"/>
    <n v="3198"/>
    <n v="16.847064"/>
    <n v="24.6"/>
    <s v="Mar"/>
    <x v="9"/>
    <m/>
    <m/>
  </r>
  <r>
    <n v="64341106"/>
    <x v="1"/>
    <n v="2730"/>
    <d v="2026-03-17T00:00:00"/>
    <s v="PS Jolly Rancher Pop 6-18PK"/>
    <x v="16"/>
    <n v="5.2680000000000001E-3"/>
    <n v="130"/>
    <x v="6"/>
    <x v="7"/>
    <n v="1"/>
    <n v="2730"/>
    <n v="14.381640000000001"/>
    <n v="21"/>
    <s v="Mar"/>
    <x v="9"/>
    <m/>
    <m/>
  </r>
  <r>
    <n v="64341106"/>
    <x v="1"/>
    <n v="1977"/>
    <d v="2026-03-18T00:00:00"/>
    <s v="PS Jolly Rancher Pop 6-18PK"/>
    <x v="16"/>
    <n v="5.2680000000000001E-3"/>
    <n v="130"/>
    <x v="6"/>
    <x v="7"/>
    <n v="1"/>
    <n v="1977"/>
    <n v="10.414836000000001"/>
    <n v="15.207692307692307"/>
    <s v="Mar"/>
    <x v="9"/>
    <m/>
    <m/>
  </r>
  <r>
    <n v="64341106"/>
    <x v="1"/>
    <n v="793"/>
    <d v="2026-03-18T00:00:00"/>
    <s v="PS Jolly Rancher Pop 6-18PK"/>
    <x v="16"/>
    <n v="5.2680000000000001E-3"/>
    <n v="130"/>
    <x v="6"/>
    <x v="7"/>
    <n v="1"/>
    <n v="793"/>
    <n v="4.177524"/>
    <n v="6.1"/>
    <s v="Mar"/>
    <x v="9"/>
    <m/>
    <m/>
  </r>
  <r>
    <n v="64341106"/>
    <x v="1"/>
    <n v="1560"/>
    <d v="2026-03-19T00:00:00"/>
    <s v="PS Jolly Rancher Pop 6-18PK"/>
    <x v="16"/>
    <n v="5.2680000000000001E-3"/>
    <n v="130"/>
    <x v="6"/>
    <x v="7"/>
    <n v="1"/>
    <n v="1560"/>
    <n v="8.2180800000000005"/>
    <n v="12"/>
    <s v="Mar"/>
    <x v="9"/>
    <m/>
    <m/>
  </r>
  <r>
    <n v="64341106"/>
    <x v="1"/>
    <n v="2821"/>
    <d v="2026-03-19T00:00:00"/>
    <s v="PS Jolly Rancher Pop 6-18PK"/>
    <x v="16"/>
    <n v="5.2680000000000001E-3"/>
    <n v="130"/>
    <x v="6"/>
    <x v="7"/>
    <n v="1"/>
    <n v="2821"/>
    <n v="14.861028000000001"/>
    <n v="21.7"/>
    <s v="Mar"/>
    <x v="9"/>
    <m/>
    <m/>
  </r>
  <r>
    <n v="64341106"/>
    <x v="1"/>
    <n v="2028"/>
    <d v="2026-03-20T00:00:00"/>
    <s v="PS Jolly Rancher Pop 6-18PK"/>
    <x v="16"/>
    <n v="5.2680000000000001E-3"/>
    <n v="130"/>
    <x v="6"/>
    <x v="7"/>
    <n v="1"/>
    <n v="2028"/>
    <n v="10.683504000000001"/>
    <n v="15.6"/>
    <s v="Mar"/>
    <x v="9"/>
    <m/>
    <m/>
  </r>
  <r>
    <n v="64341106"/>
    <x v="1"/>
    <n v="225"/>
    <d v="2026-03-20T00:00:00"/>
    <s v="PS Jolly Rancher Pop 6-18PK"/>
    <x v="16"/>
    <n v="5.2680000000000001E-3"/>
    <n v="130"/>
    <x v="6"/>
    <x v="7"/>
    <n v="1"/>
    <n v="225"/>
    <n v="1.1853"/>
    <n v="1.7307692307692308"/>
    <s v="Mar"/>
    <x v="9"/>
    <m/>
    <m/>
  </r>
  <r>
    <n v="64341106"/>
    <x v="1"/>
    <n v="780"/>
    <d v="2026-03-21T00:00:00"/>
    <s v="PS Jolly Rancher Pop 6-18PK"/>
    <x v="16"/>
    <n v="5.2680000000000001E-3"/>
    <n v="130"/>
    <x v="6"/>
    <x v="7"/>
    <n v="1"/>
    <n v="780"/>
    <n v="4.1090400000000002"/>
    <n v="6"/>
    <s v="Mar"/>
    <x v="9"/>
    <m/>
    <m/>
  </r>
  <r>
    <n v="64341106"/>
    <x v="1"/>
    <n v="259"/>
    <d v="2026-03-21T00:00:00"/>
    <s v="PS Jolly Rancher Pop 6-18PK"/>
    <x v="16"/>
    <n v="5.2680000000000001E-3"/>
    <n v="130"/>
    <x v="6"/>
    <x v="7"/>
    <n v="1"/>
    <n v="259"/>
    <n v="1.364412"/>
    <n v="1.9923076923076923"/>
    <s v="Mar"/>
    <x v="9"/>
    <m/>
    <m/>
  </r>
  <r>
    <n v="64341106"/>
    <x v="1"/>
    <n v="9"/>
    <d v="2026-03-22T00:00:00"/>
    <s v="PS Jolly Rancher Pop 6-18PK"/>
    <x v="16"/>
    <n v="5.2680000000000001E-3"/>
    <n v="130"/>
    <x v="6"/>
    <x v="7"/>
    <n v="1"/>
    <n v="9"/>
    <n v="4.7412000000000003E-2"/>
    <n v="6.9230769230769235E-2"/>
    <s v="Mar"/>
    <x v="10"/>
    <m/>
    <m/>
  </r>
  <r>
    <n v="64341106"/>
    <x v="1"/>
    <n v="688"/>
    <d v="2026-03-23T00:00:00"/>
    <s v="PS Jolly Rancher Pop 6-18PK"/>
    <x v="16"/>
    <n v="5.2680000000000001E-3"/>
    <n v="130"/>
    <x v="6"/>
    <x v="7"/>
    <n v="1"/>
    <n v="688"/>
    <n v="3.6243840000000001"/>
    <n v="5.2923076923076922"/>
    <s v="Mar"/>
    <x v="10"/>
    <m/>
    <m/>
  </r>
  <r>
    <n v="64341106"/>
    <x v="1"/>
    <n v="2600"/>
    <d v="2026-03-23T00:00:00"/>
    <s v="PS Jolly Rancher Pop 6-18PK"/>
    <x v="16"/>
    <n v="5.2680000000000001E-3"/>
    <n v="130"/>
    <x v="6"/>
    <x v="7"/>
    <n v="1"/>
    <n v="2600"/>
    <n v="13.6968"/>
    <n v="20"/>
    <s v="Mar"/>
    <x v="10"/>
    <m/>
    <m/>
  </r>
  <r>
    <n v="64341106"/>
    <x v="1"/>
    <n v="2067"/>
    <d v="2026-03-24T00:00:00"/>
    <s v="PS Jolly Rancher Pop 6-18PK"/>
    <x v="16"/>
    <n v="5.2680000000000001E-3"/>
    <n v="130"/>
    <x v="6"/>
    <x v="7"/>
    <n v="1"/>
    <n v="2067"/>
    <n v="10.888956"/>
    <n v="15.9"/>
    <s v="Mar"/>
    <x v="10"/>
    <m/>
    <m/>
  </r>
  <r>
    <n v="64341106"/>
    <x v="1"/>
    <n v="3250"/>
    <d v="2026-03-24T00:00:00"/>
    <s v="PS Jolly Rancher Pop 6-18PK"/>
    <x v="16"/>
    <n v="5.2680000000000001E-3"/>
    <n v="130"/>
    <x v="6"/>
    <x v="7"/>
    <n v="1"/>
    <n v="3250"/>
    <n v="17.120999999999999"/>
    <n v="25"/>
    <s v="Mar"/>
    <x v="10"/>
    <m/>
    <m/>
  </r>
  <r>
    <n v="64369035"/>
    <x v="1"/>
    <n v="8539"/>
    <d v="2026-03-24T00:00:00"/>
    <s v="TAL ND Caramel Toffee Crunch 8 1PT"/>
    <x v="9"/>
    <n v="3.7839999999999996E-3"/>
    <n v="255"/>
    <x v="2"/>
    <x v="3"/>
    <n v="1"/>
    <n v="8539"/>
    <n v="32.311575999999995"/>
    <n v="33.48627450980392"/>
    <s v="Mar"/>
    <x v="10"/>
    <m/>
    <m/>
  </r>
  <r>
    <n v="64369035"/>
    <x v="1"/>
    <n v="2281"/>
    <d v="2026-03-24T00:00:00"/>
    <s v="TAL ND Caramel Toffee Crunch 8 1PT"/>
    <x v="9"/>
    <n v="3.7839999999999996E-3"/>
    <n v="255"/>
    <x v="2"/>
    <x v="3"/>
    <n v="1"/>
    <n v="2281"/>
    <n v="8.6313039999999983"/>
    <n v="8.9450980392156865"/>
    <s v="Mar"/>
    <x v="10"/>
    <m/>
    <m/>
  </r>
  <r>
    <n v="64373718"/>
    <x v="1"/>
    <n v="7039"/>
    <d v="2026-03-21T00:00:00"/>
    <s v="BR Smores 6 1.5QT"/>
    <x v="5"/>
    <n v="8.5199999999999998E-3"/>
    <n v="176"/>
    <x v="0"/>
    <x v="1"/>
    <n v="1"/>
    <n v="7039"/>
    <n v="59.972279999999998"/>
    <n v="39.99431818181818"/>
    <s v="Mar"/>
    <x v="9"/>
    <m/>
    <m/>
  </r>
  <r>
    <n v="64373718"/>
    <x v="1"/>
    <n v="6965"/>
    <d v="2026-03-22T00:00:00"/>
    <s v="BR Smores 6 1.5QT"/>
    <x v="5"/>
    <n v="8.5199999999999998E-3"/>
    <n v="176"/>
    <x v="0"/>
    <x v="1"/>
    <n v="1"/>
    <n v="6965"/>
    <n v="59.341799999999999"/>
    <n v="39.573863636363633"/>
    <s v="Mar"/>
    <x v="10"/>
    <m/>
    <m/>
  </r>
  <r>
    <n v="64373718"/>
    <x v="1"/>
    <n v="4130"/>
    <d v="2026-03-23T00:00:00"/>
    <s v="BR Smores 6 1.5QT"/>
    <x v="5"/>
    <n v="8.5199999999999998E-3"/>
    <n v="176"/>
    <x v="0"/>
    <x v="1"/>
    <n v="1"/>
    <n v="4130"/>
    <n v="35.187599999999996"/>
    <n v="23.46590909090909"/>
    <s v="Mar"/>
    <x v="10"/>
    <m/>
    <m/>
  </r>
  <r>
    <n v="64373718"/>
    <x v="1"/>
    <n v="986"/>
    <d v="2026-03-23T00:00:00"/>
    <s v="BR Smores 6 1.5QT"/>
    <x v="5"/>
    <n v="8.5199999999999998E-3"/>
    <n v="176"/>
    <x v="0"/>
    <x v="1"/>
    <n v="1"/>
    <n v="986"/>
    <n v="8.4007199999999997"/>
    <n v="5.6022727272727275"/>
    <s v="Mar"/>
    <x v="10"/>
    <m/>
    <m/>
  </r>
  <r>
    <n v="64373718"/>
    <x v="1"/>
    <n v="8272"/>
    <d v="2026-03-21T00:00:00"/>
    <s v="BR Smores 6 1.5QT"/>
    <x v="5"/>
    <n v="8.5199999999999998E-3"/>
    <n v="176"/>
    <x v="0"/>
    <x v="1"/>
    <n v="1"/>
    <n v="8272"/>
    <n v="70.477440000000001"/>
    <n v="47"/>
    <s v="Mar"/>
    <x v="9"/>
    <m/>
    <m/>
  </r>
  <r>
    <n v="64373718"/>
    <x v="1"/>
    <n v="6063"/>
    <d v="2026-03-22T00:00:00"/>
    <s v="BR Smores 6 1.5QT"/>
    <x v="5"/>
    <n v="8.5199999999999998E-3"/>
    <n v="176"/>
    <x v="0"/>
    <x v="1"/>
    <n v="1"/>
    <n v="6063"/>
    <n v="51.656759999999998"/>
    <n v="34.448863636363633"/>
    <s v="Mar"/>
    <x v="10"/>
    <m/>
    <m/>
  </r>
  <r>
    <n v="64389651"/>
    <x v="1"/>
    <n v="1408"/>
    <d v="2026-03-09T00:00:00"/>
    <s v="BR Strawberry Shortcake 6 1.5QT"/>
    <x v="3"/>
    <n v="8.5199999999999998E-3"/>
    <n v="176"/>
    <x v="0"/>
    <x v="1"/>
    <n v="1"/>
    <n v="1408"/>
    <n v="11.99616"/>
    <n v="8"/>
    <s v="Mar"/>
    <x v="12"/>
    <m/>
    <m/>
  </r>
  <r>
    <n v="64389651"/>
    <x v="1"/>
    <n v="6864"/>
    <d v="2026-03-10T00:00:00"/>
    <s v="BR Strawberry Shortcake 6 1.5QT"/>
    <x v="3"/>
    <n v="8.5199999999999998E-3"/>
    <n v="176"/>
    <x v="0"/>
    <x v="1"/>
    <n v="1"/>
    <n v="6864"/>
    <n v="58.481279999999998"/>
    <n v="39"/>
    <s v="Mar"/>
    <x v="12"/>
    <m/>
    <m/>
  </r>
  <r>
    <n v="64389651"/>
    <x v="1"/>
    <n v="5808"/>
    <d v="2026-03-10T00:00:00"/>
    <s v="BR Strawberry Shortcake 6 1.5QT"/>
    <x v="3"/>
    <n v="8.5199999999999998E-3"/>
    <n v="176"/>
    <x v="0"/>
    <x v="1"/>
    <n v="1"/>
    <n v="5808"/>
    <n v="49.484159999999996"/>
    <n v="33"/>
    <s v="Mar"/>
    <x v="12"/>
    <m/>
    <m/>
  </r>
  <r>
    <n v="64389651"/>
    <x v="1"/>
    <n v="5808"/>
    <d v="2026-03-11T00:00:00"/>
    <s v="BR Strawberry Shortcake 6 1.5QT"/>
    <x v="3"/>
    <n v="8.5199999999999998E-3"/>
    <n v="176"/>
    <x v="0"/>
    <x v="1"/>
    <n v="1"/>
    <n v="5808"/>
    <n v="49.484159999999996"/>
    <n v="33"/>
    <s v="Mar"/>
    <x v="12"/>
    <m/>
    <m/>
  </r>
  <r>
    <n v="64389651"/>
    <x v="1"/>
    <n v="7216"/>
    <d v="2026-03-11T00:00:00"/>
    <s v="BR Strawberry Shortcake 6 1.5QT"/>
    <x v="3"/>
    <n v="8.5199999999999998E-3"/>
    <n v="176"/>
    <x v="0"/>
    <x v="1"/>
    <n v="1"/>
    <n v="7216"/>
    <n v="61.480319999999999"/>
    <n v="41"/>
    <s v="Mar"/>
    <x v="12"/>
    <m/>
    <m/>
  </r>
  <r>
    <n v="64389651"/>
    <x v="1"/>
    <n v="6864"/>
    <d v="2026-03-12T00:00:00"/>
    <s v="BR Strawberry Shortcake 6 1.5QT"/>
    <x v="3"/>
    <n v="8.5199999999999998E-3"/>
    <n v="176"/>
    <x v="0"/>
    <x v="1"/>
    <n v="1"/>
    <n v="6864"/>
    <n v="58.481279999999998"/>
    <n v="39"/>
    <s v="Mar"/>
    <x v="12"/>
    <m/>
    <m/>
  </r>
  <r>
    <n v="64389651"/>
    <x v="1"/>
    <n v="7216"/>
    <d v="2026-03-12T00:00:00"/>
    <s v="BR Strawberry Shortcake 6 1.5QT"/>
    <x v="3"/>
    <n v="8.5199999999999998E-3"/>
    <n v="176"/>
    <x v="0"/>
    <x v="1"/>
    <n v="1"/>
    <n v="7216"/>
    <n v="61.480319999999999"/>
    <n v="41"/>
    <s v="Mar"/>
    <x v="12"/>
    <m/>
    <m/>
  </r>
  <r>
    <n v="64389651"/>
    <x v="1"/>
    <n v="2176"/>
    <d v="2026-03-13T00:00:00"/>
    <s v="BR Strawberry Shortcake 6 1.5QT"/>
    <x v="3"/>
    <n v="8.5199999999999998E-3"/>
    <n v="176"/>
    <x v="0"/>
    <x v="1"/>
    <n v="1"/>
    <n v="2176"/>
    <n v="18.53952"/>
    <n v="12.363636363636363"/>
    <s v="Mar"/>
    <x v="12"/>
    <m/>
    <m/>
  </r>
  <r>
    <n v="64393723"/>
    <x v="1"/>
    <n v="3778"/>
    <d v="2026-02-24T00:00:00"/>
    <s v="MG Double Chocolate Bar 8-3PK"/>
    <x v="26"/>
    <n v="2.16E-3"/>
    <n v="210"/>
    <x v="5"/>
    <x v="6"/>
    <n v="1"/>
    <n v="3778"/>
    <n v="8.1604799999999997"/>
    <n v="17.990476190476191"/>
    <s v="Feb"/>
    <x v="6"/>
    <m/>
    <m/>
  </r>
  <r>
    <n v="64393723"/>
    <x v="1"/>
    <n v="3683"/>
    <d v="2026-02-25T00:00:00"/>
    <s v="MG Double Chocolate Bar 8-3PK"/>
    <x v="26"/>
    <n v="2.16E-3"/>
    <n v="210"/>
    <x v="5"/>
    <x v="6"/>
    <n v="1"/>
    <n v="3683"/>
    <n v="7.9552800000000001"/>
    <n v="17.538095238095238"/>
    <s v="Feb"/>
    <x v="6"/>
    <m/>
    <m/>
  </r>
  <r>
    <n v="64393723"/>
    <x v="1"/>
    <n v="4215"/>
    <d v="2026-02-25T00:00:00"/>
    <s v="MG Double Chocolate Bar 8-3PK"/>
    <x v="26"/>
    <n v="2.16E-3"/>
    <n v="210"/>
    <x v="5"/>
    <x v="6"/>
    <n v="1"/>
    <n v="4215"/>
    <n v="9.1044"/>
    <n v="20.071428571428573"/>
    <s v="Feb"/>
    <x v="6"/>
    <m/>
    <m/>
  </r>
  <r>
    <n v="64393723"/>
    <x v="1"/>
    <n v="4989"/>
    <d v="2026-02-26T00:00:00"/>
    <s v="MG Double Chocolate Bar 8-3PK"/>
    <x v="26"/>
    <n v="2.16E-3"/>
    <n v="210"/>
    <x v="5"/>
    <x v="6"/>
    <n v="1"/>
    <n v="4989"/>
    <n v="10.77624"/>
    <n v="23.757142857142856"/>
    <s v="Feb"/>
    <x v="6"/>
    <m/>
    <m/>
  </r>
  <r>
    <n v="64393723"/>
    <x v="1"/>
    <n v="7980"/>
    <d v="2026-02-26T00:00:00"/>
    <s v="MG Double Chocolate Bar 8-3PK"/>
    <x v="26"/>
    <n v="2.16E-3"/>
    <n v="210"/>
    <x v="5"/>
    <x v="6"/>
    <n v="1"/>
    <n v="7980"/>
    <n v="17.236799999999999"/>
    <n v="38"/>
    <s v="Feb"/>
    <x v="6"/>
    <m/>
    <m/>
  </r>
  <r>
    <n v="64393723"/>
    <x v="1"/>
    <n v="5151"/>
    <d v="2026-02-27T00:00:00"/>
    <s v="MG Double Chocolate Bar 8-3PK"/>
    <x v="26"/>
    <n v="2.16E-3"/>
    <n v="210"/>
    <x v="5"/>
    <x v="6"/>
    <n v="1"/>
    <n v="5151"/>
    <n v="11.12616"/>
    <n v="24.528571428571428"/>
    <s v="Feb"/>
    <x v="6"/>
    <m/>
    <m/>
  </r>
  <r>
    <n v="64393723"/>
    <x v="1"/>
    <n v="7183"/>
    <d v="2026-02-27T00:00:00"/>
    <s v="MG Double Chocolate Bar 8-3PK"/>
    <x v="26"/>
    <n v="2.16E-3"/>
    <n v="210"/>
    <x v="5"/>
    <x v="6"/>
    <n v="1"/>
    <n v="7183"/>
    <n v="15.515280000000001"/>
    <n v="34.204761904761902"/>
    <s v="Feb"/>
    <x v="6"/>
    <m/>
    <m/>
  </r>
  <r>
    <n v="64393723"/>
    <x v="1"/>
    <n v="3414"/>
    <d v="2026-02-28T00:00:00"/>
    <s v="MG Double Chocolate Bar 8-3PK"/>
    <x v="26"/>
    <n v="2.16E-3"/>
    <n v="210"/>
    <x v="5"/>
    <x v="6"/>
    <n v="1"/>
    <n v="3414"/>
    <n v="7.3742400000000004"/>
    <n v="16.257142857142856"/>
    <s v="Feb"/>
    <x v="6"/>
    <m/>
    <m/>
  </r>
  <r>
    <n v="64394583"/>
    <x v="1"/>
    <n v="239"/>
    <d v="2026-02-25T00:00:00"/>
    <s v="BJ US-SUN-CookieVermontster-8 427ML"/>
    <x v="17"/>
    <n v="3.4159999999999998E-3"/>
    <n v="240"/>
    <x v="14"/>
    <x v="21"/>
    <n v="1"/>
    <n v="239"/>
    <n v="0.81642399999999993"/>
    <n v="0.99583333333333335"/>
    <s v="Feb"/>
    <x v="6"/>
    <m/>
    <m/>
  </r>
  <r>
    <n v="64394583"/>
    <x v="1"/>
    <n v="111"/>
    <d v="2026-02-25T00:00:00"/>
    <s v="BJ US-SUN-CookieVermontster-8 427ML"/>
    <x v="17"/>
    <n v="3.4159999999999998E-3"/>
    <n v="240"/>
    <x v="14"/>
    <x v="21"/>
    <n v="1"/>
    <n v="111"/>
    <n v="0.37917599999999996"/>
    <n v="0.46250000000000002"/>
    <s v="Feb"/>
    <x v="6"/>
    <m/>
    <m/>
  </r>
  <r>
    <n v="64394585"/>
    <x v="1"/>
    <n v="2160"/>
    <d v="2026-02-26T00:00:00"/>
    <s v="BJ US-SUN-DulceDelish-8 427ML"/>
    <x v="17"/>
    <n v="3.4159999999999998E-3"/>
    <n v="240"/>
    <x v="14"/>
    <x v="21"/>
    <n v="1"/>
    <n v="2160"/>
    <n v="7.3785599999999993"/>
    <n v="9"/>
    <s v="Feb"/>
    <x v="6"/>
    <m/>
    <m/>
  </r>
  <r>
    <n v="64394585"/>
    <x v="1"/>
    <n v="6060"/>
    <d v="2026-02-27T00:00:00"/>
    <s v="BJ US-SUN-DulceDelish-8 427ML"/>
    <x v="17"/>
    <n v="3.4159999999999998E-3"/>
    <n v="240"/>
    <x v="14"/>
    <x v="21"/>
    <n v="1"/>
    <n v="6060"/>
    <n v="20.700959999999998"/>
    <n v="25.25"/>
    <s v="Feb"/>
    <x v="6"/>
    <m/>
    <m/>
  </r>
  <r>
    <n v="64394585"/>
    <x v="1"/>
    <n v="9722"/>
    <d v="2026-02-27T00:00:00"/>
    <s v="BJ US-SUN-DulceDelish-8 427ML"/>
    <x v="17"/>
    <n v="3.4159999999999998E-3"/>
    <n v="240"/>
    <x v="14"/>
    <x v="21"/>
    <n v="1"/>
    <n v="9722"/>
    <n v="33.210352"/>
    <n v="40.508333333333333"/>
    <s v="Feb"/>
    <x v="6"/>
    <m/>
    <m/>
  </r>
  <r>
    <n v="64394585"/>
    <x v="1"/>
    <n v="5729"/>
    <d v="2026-02-28T00:00:00"/>
    <s v="BJ US-SUN-DulceDelish-8 427ML"/>
    <x v="17"/>
    <n v="3.4159999999999998E-3"/>
    <n v="240"/>
    <x v="14"/>
    <x v="21"/>
    <n v="1"/>
    <n v="5729"/>
    <n v="19.570263999999998"/>
    <n v="23.870833333333334"/>
    <s v="Feb"/>
    <x v="6"/>
    <m/>
    <m/>
  </r>
  <r>
    <n v="64775327"/>
    <x v="1"/>
    <n v="5104"/>
    <d v="2026-02-23T00:00:00"/>
    <s v="BR CS Brownie A La Mode 6 1.5QT"/>
    <x v="5"/>
    <n v="8.5199999999999998E-3"/>
    <n v="176"/>
    <x v="0"/>
    <x v="1"/>
    <n v="1"/>
    <n v="5104"/>
    <n v="43.486080000000001"/>
    <n v="29"/>
    <s v="Feb"/>
    <x v="6"/>
    <m/>
    <m/>
  </r>
  <r>
    <n v="64775327"/>
    <x v="1"/>
    <n v="7136"/>
    <d v="2026-02-24T00:00:00"/>
    <s v="BR CS Brownie A La Mode 6 1.5QT"/>
    <x v="5"/>
    <n v="8.5199999999999998E-3"/>
    <n v="176"/>
    <x v="0"/>
    <x v="1"/>
    <n v="1"/>
    <n v="7136"/>
    <n v="60.798719999999996"/>
    <n v="40.545454545454547"/>
    <s v="Feb"/>
    <x v="6"/>
    <m/>
    <m/>
  </r>
  <r>
    <n v="64775327"/>
    <x v="1"/>
    <n v="5057"/>
    <d v="2026-02-24T00:00:00"/>
    <s v="BR CS Brownie A La Mode 6 1.5QT"/>
    <x v="5"/>
    <n v="8.5199999999999998E-3"/>
    <n v="176"/>
    <x v="0"/>
    <x v="1"/>
    <n v="1"/>
    <n v="5057"/>
    <n v="43.085639999999998"/>
    <n v="28.732954545454547"/>
    <s v="Feb"/>
    <x v="6"/>
    <m/>
    <m/>
  </r>
  <r>
    <n v="64775327"/>
    <x v="1"/>
    <n v="6686"/>
    <d v="2026-02-25T00:00:00"/>
    <s v="BR CS Brownie A La Mode 6 1.5QT"/>
    <x v="5"/>
    <n v="8.5199999999999998E-3"/>
    <n v="176"/>
    <x v="0"/>
    <x v="1"/>
    <n v="1"/>
    <n v="6686"/>
    <n v="56.96472"/>
    <n v="37.988636363636367"/>
    <s v="Feb"/>
    <x v="6"/>
    <m/>
    <m/>
  </r>
  <r>
    <n v="64775327"/>
    <x v="1"/>
    <n v="5565"/>
    <d v="2026-02-25T00:00:00"/>
    <s v="BR CS Brownie A La Mode 6 1.5QT"/>
    <x v="5"/>
    <n v="8.5199999999999998E-3"/>
    <n v="176"/>
    <x v="0"/>
    <x v="1"/>
    <n v="1"/>
    <n v="5565"/>
    <n v="47.413800000000002"/>
    <n v="31.619318181818183"/>
    <s v="Feb"/>
    <x v="6"/>
    <m/>
    <m/>
  </r>
  <r>
    <n v="64775327"/>
    <x v="1"/>
    <n v="539"/>
    <d v="2026-02-26T00:00:00"/>
    <s v="BR CS Brownie A La Mode 6 1.5QT"/>
    <x v="5"/>
    <n v="8.5199999999999998E-3"/>
    <n v="176"/>
    <x v="0"/>
    <x v="1"/>
    <n v="1"/>
    <n v="539"/>
    <n v="4.5922799999999997"/>
    <n v="3.0625"/>
    <s v="Feb"/>
    <x v="6"/>
    <m/>
    <m/>
  </r>
  <r>
    <n v="64775327"/>
    <x v="1"/>
    <n v="5456"/>
    <d v="2026-02-23T00:00:00"/>
    <s v="BR CS Brownie A La Mode 6 1.5QT"/>
    <x v="5"/>
    <n v="8.5199999999999998E-3"/>
    <n v="176"/>
    <x v="0"/>
    <x v="1"/>
    <n v="1"/>
    <n v="5456"/>
    <n v="46.485120000000002"/>
    <n v="31"/>
    <s v="Feb"/>
    <x v="6"/>
    <m/>
    <m/>
  </r>
  <r>
    <n v="64782365"/>
    <x v="1"/>
    <n v="3647"/>
    <d v="2026-02-23T00:00:00"/>
    <s v="MG Milk Chocolate 8-3PK"/>
    <x v="26"/>
    <n v="1.9199999999999998E-3"/>
    <n v="210"/>
    <x v="5"/>
    <x v="6"/>
    <n v="1"/>
    <n v="3647"/>
    <n v="7.0022399999999996"/>
    <n v="17.366666666666667"/>
    <s v="Feb"/>
    <x v="6"/>
    <m/>
    <m/>
  </r>
  <r>
    <n v="64782365"/>
    <x v="1"/>
    <n v="7743"/>
    <d v="2026-02-23T00:00:00"/>
    <s v="MG Milk Chocolate 8-3PK"/>
    <x v="26"/>
    <n v="1.9199999999999998E-3"/>
    <n v="210"/>
    <x v="5"/>
    <x v="6"/>
    <n v="1"/>
    <n v="7743"/>
    <n v="14.866559999999998"/>
    <n v="36.871428571428574"/>
    <s v="Feb"/>
    <x v="6"/>
    <m/>
    <m/>
  </r>
  <r>
    <n v="64782365"/>
    <x v="1"/>
    <n v="1260"/>
    <d v="2026-02-24T00:00:00"/>
    <s v="MG Milk Chocolate 8-3PK"/>
    <x v="26"/>
    <n v="1.9199999999999998E-3"/>
    <n v="210"/>
    <x v="5"/>
    <x v="6"/>
    <n v="1"/>
    <n v="1260"/>
    <n v="2.4191999999999996"/>
    <n v="6"/>
    <s v="Feb"/>
    <x v="6"/>
    <m/>
    <m/>
  </r>
  <r>
    <n v="64958122"/>
    <x v="1"/>
    <n v="15477"/>
    <d v="2026-03-16T00:00:00"/>
    <s v="Yasso Sea Salt Caramel 8-4pk"/>
    <x v="11"/>
    <n v="3.3119999999999998E-3"/>
    <n v="165"/>
    <x v="4"/>
    <x v="5"/>
    <n v="1"/>
    <n v="15477"/>
    <n v="51.259823999999995"/>
    <n v="93.8"/>
    <s v="Mar"/>
    <x v="9"/>
    <m/>
    <m/>
  </r>
  <r>
    <n v="64958122"/>
    <x v="1"/>
    <n v="2970"/>
    <d v="2026-03-16T00:00:00"/>
    <s v="Yasso Sea Salt Caramel 8-4pk"/>
    <x v="11"/>
    <n v="3.3119999999999998E-3"/>
    <n v="165"/>
    <x v="4"/>
    <x v="5"/>
    <n v="1"/>
    <n v="2970"/>
    <n v="9.8366399999999992"/>
    <n v="18"/>
    <s v="Mar"/>
    <x v="9"/>
    <m/>
    <m/>
  </r>
  <r>
    <n v="64958122"/>
    <x v="1"/>
    <n v="660"/>
    <d v="2026-03-17T00:00:00"/>
    <s v="Yasso Sea Salt Caramel 8-4pk"/>
    <x v="11"/>
    <n v="3.3119999999999998E-3"/>
    <n v="165"/>
    <x v="4"/>
    <x v="5"/>
    <n v="1"/>
    <n v="660"/>
    <n v="2.1859199999999999"/>
    <n v="4"/>
    <s v="Mar"/>
    <x v="9"/>
    <m/>
    <m/>
  </r>
  <r>
    <n v="64958122"/>
    <x v="1"/>
    <n v="330"/>
    <d v="2026-03-18T00:00:00"/>
    <s v="Yasso Sea Salt Caramel 8-4pk"/>
    <x v="11"/>
    <n v="3.3119999999999998E-3"/>
    <n v="165"/>
    <x v="4"/>
    <x v="5"/>
    <n v="1"/>
    <n v="330"/>
    <n v="1.0929599999999999"/>
    <n v="2"/>
    <s v="Mar"/>
    <x v="9"/>
    <m/>
    <m/>
  </r>
  <r>
    <n v="64958122"/>
    <x v="1"/>
    <n v="5610"/>
    <d v="2026-03-09T00:00:00"/>
    <s v="Yasso Sea Salt Caramel 8-4pk"/>
    <x v="11"/>
    <n v="3.3119999999999998E-3"/>
    <n v="165"/>
    <x v="4"/>
    <x v="5"/>
    <n v="1"/>
    <n v="5610"/>
    <n v="18.58032"/>
    <n v="34"/>
    <s v="Mar"/>
    <x v="12"/>
    <m/>
    <m/>
  </r>
  <r>
    <n v="64958122"/>
    <x v="1"/>
    <n v="8085"/>
    <d v="2026-03-10T00:00:00"/>
    <s v="Yasso Sea Salt Caramel 8-4pk"/>
    <x v="11"/>
    <n v="3.3119999999999998E-3"/>
    <n v="165"/>
    <x v="4"/>
    <x v="5"/>
    <n v="1"/>
    <n v="8085"/>
    <n v="26.777519999999999"/>
    <n v="49"/>
    <s v="Mar"/>
    <x v="12"/>
    <m/>
    <m/>
  </r>
  <r>
    <n v="64958122"/>
    <x v="1"/>
    <n v="8580"/>
    <d v="2026-03-10T00:00:00"/>
    <s v="Yasso Sea Salt Caramel 8-4pk"/>
    <x v="11"/>
    <n v="3.3119999999999998E-3"/>
    <n v="165"/>
    <x v="4"/>
    <x v="5"/>
    <n v="1"/>
    <n v="8580"/>
    <n v="28.41696"/>
    <n v="52"/>
    <s v="Mar"/>
    <x v="12"/>
    <m/>
    <m/>
  </r>
  <r>
    <n v="64958122"/>
    <x v="1"/>
    <n v="6509"/>
    <d v="2026-03-11T00:00:00"/>
    <s v="Yasso Sea Salt Caramel 8-4pk"/>
    <x v="11"/>
    <n v="3.3119999999999998E-3"/>
    <n v="165"/>
    <x v="4"/>
    <x v="5"/>
    <n v="1"/>
    <n v="6509"/>
    <n v="21.557807999999998"/>
    <n v="39.448484848484846"/>
    <s v="Mar"/>
    <x v="12"/>
    <m/>
    <m/>
  </r>
  <r>
    <n v="64958122"/>
    <x v="1"/>
    <n v="165"/>
    <d v="2026-03-12T00:00:00"/>
    <s v="Yasso Sea Salt Caramel 8-4pk"/>
    <x v="11"/>
    <n v="3.3119999999999998E-3"/>
    <n v="165"/>
    <x v="4"/>
    <x v="5"/>
    <n v="1"/>
    <n v="165"/>
    <n v="0.54647999999999997"/>
    <n v="1"/>
    <s v="Mar"/>
    <x v="12"/>
    <m/>
    <m/>
  </r>
  <r>
    <n v="64958122"/>
    <x v="1"/>
    <n v="7539"/>
    <d v="2026-03-11T00:00:00"/>
    <s v="Yasso Sea Salt Caramel 8-4pk"/>
    <x v="11"/>
    <n v="3.3119999999999998E-3"/>
    <n v="165"/>
    <x v="4"/>
    <x v="5"/>
    <n v="1"/>
    <n v="7539"/>
    <n v="24.969168"/>
    <n v="45.690909090909088"/>
    <s v="Mar"/>
    <x v="12"/>
    <m/>
    <m/>
  </r>
  <r>
    <n v="64958122"/>
    <x v="1"/>
    <n v="9570"/>
    <d v="2026-03-12T00:00:00"/>
    <s v="Yasso Sea Salt Caramel 8-4pk"/>
    <x v="11"/>
    <n v="3.3119999999999998E-3"/>
    <n v="165"/>
    <x v="4"/>
    <x v="5"/>
    <n v="1"/>
    <n v="9570"/>
    <n v="31.695839999999997"/>
    <n v="58"/>
    <s v="Mar"/>
    <x v="12"/>
    <m/>
    <m/>
  </r>
  <r>
    <n v="64958122"/>
    <x v="1"/>
    <n v="4315"/>
    <d v="2026-03-12T00:00:00"/>
    <s v="Yasso Sea Salt Caramel 8-4pk"/>
    <x v="11"/>
    <n v="3.3119999999999998E-3"/>
    <n v="165"/>
    <x v="4"/>
    <x v="5"/>
    <n v="1"/>
    <n v="4315"/>
    <n v="14.291279999999999"/>
    <n v="26.151515151515152"/>
    <s v="Mar"/>
    <x v="12"/>
    <m/>
    <m/>
  </r>
  <r>
    <n v="64958122"/>
    <x v="1"/>
    <n v="6582"/>
    <d v="2026-03-13T00:00:00"/>
    <s v="Yasso Sea Salt Caramel 8-4pk"/>
    <x v="11"/>
    <n v="3.3119999999999998E-3"/>
    <n v="165"/>
    <x v="4"/>
    <x v="5"/>
    <n v="1"/>
    <n v="6582"/>
    <n v="21.799583999999999"/>
    <n v="39.890909090909091"/>
    <s v="Mar"/>
    <x v="12"/>
    <m/>
    <m/>
  </r>
  <r>
    <n v="64958122"/>
    <x v="1"/>
    <n v="165"/>
    <d v="2026-03-23T00:00:00"/>
    <s v="Yasso Sea Salt Caramel 8-4pk"/>
    <x v="11"/>
    <n v="3.3119999999999998E-3"/>
    <n v="165"/>
    <x v="4"/>
    <x v="5"/>
    <n v="1"/>
    <n v="165"/>
    <n v="0.54647999999999997"/>
    <n v="1"/>
    <s v="Mar"/>
    <x v="10"/>
    <m/>
    <m/>
  </r>
  <r>
    <n v="64958122"/>
    <x v="1"/>
    <n v="2310"/>
    <d v="2026-03-13T00:00:00"/>
    <s v="Yasso Sea Salt Caramel 8-4pk"/>
    <x v="11"/>
    <n v="3.3119999999999998E-3"/>
    <n v="165"/>
    <x v="4"/>
    <x v="5"/>
    <n v="1"/>
    <n v="2310"/>
    <n v="7.6507199999999997"/>
    <n v="14"/>
    <s v="Mar"/>
    <x v="12"/>
    <m/>
    <m/>
  </r>
  <r>
    <n v="64958122"/>
    <x v="1"/>
    <n v="7590"/>
    <d v="2026-03-14T00:00:00"/>
    <s v="Yasso Sea Salt Caramel 8-4pk"/>
    <x v="11"/>
    <n v="3.3119999999999998E-3"/>
    <n v="165"/>
    <x v="4"/>
    <x v="5"/>
    <n v="1"/>
    <n v="7590"/>
    <n v="25.138079999999999"/>
    <n v="46"/>
    <s v="Mar"/>
    <x v="12"/>
    <m/>
    <m/>
  </r>
  <r>
    <n v="64958122"/>
    <x v="1"/>
    <n v="495"/>
    <d v="2026-03-16T00:00:00"/>
    <s v="Yasso Sea Salt Caramel 8-4pk"/>
    <x v="11"/>
    <n v="3.3119999999999998E-3"/>
    <n v="165"/>
    <x v="4"/>
    <x v="5"/>
    <n v="1"/>
    <n v="495"/>
    <n v="1.63944"/>
    <n v="3"/>
    <s v="Mar"/>
    <x v="9"/>
    <m/>
    <m/>
  </r>
  <r>
    <n v="64958122"/>
    <x v="1"/>
    <n v="-88"/>
    <d v="2026-03-19T00:00:00"/>
    <s v="Yasso Sea Salt Caramel 8-4pk"/>
    <x v="11"/>
    <n v="3.3119999999999998E-3"/>
    <n v="165"/>
    <x v="4"/>
    <x v="5"/>
    <n v="1"/>
    <n v="-88"/>
    <n v="-0.29145599999999999"/>
    <n v="-0.53333333333333333"/>
    <s v="Mar"/>
    <x v="9"/>
    <m/>
    <m/>
  </r>
  <r>
    <n v="64958122"/>
    <x v="1"/>
    <n v="1880"/>
    <d v="2026-03-16T00:00:00"/>
    <s v="Yasso Sea Salt Caramel 8-4pk"/>
    <x v="11"/>
    <n v="3.3119999999999998E-3"/>
    <n v="165"/>
    <x v="4"/>
    <x v="5"/>
    <n v="1"/>
    <n v="1880"/>
    <n v="6.2265600000000001"/>
    <n v="11.393939393939394"/>
    <s v="Mar"/>
    <x v="9"/>
    <m/>
    <m/>
  </r>
  <r>
    <n v="64958122"/>
    <x v="1"/>
    <n v="165"/>
    <d v="2026-03-17T00:00:00"/>
    <s v="Yasso Sea Salt Caramel 8-4pk"/>
    <x v="11"/>
    <n v="3.3119999999999998E-3"/>
    <n v="165"/>
    <x v="4"/>
    <x v="5"/>
    <n v="1"/>
    <n v="165"/>
    <n v="0.54647999999999997"/>
    <n v="1"/>
    <s v="Mar"/>
    <x v="9"/>
    <m/>
    <m/>
  </r>
  <r>
    <n v="64958125"/>
    <x v="1"/>
    <n v="165"/>
    <d v="2026-02-23T00:00:00"/>
    <s v="Yasso Chocolate Fudge 8-4pk"/>
    <x v="11"/>
    <n v="3.3119999999999998E-3"/>
    <n v="165"/>
    <x v="4"/>
    <x v="5"/>
    <n v="1"/>
    <n v="165"/>
    <n v="0.54647999999999997"/>
    <n v="1"/>
    <s v="Feb"/>
    <x v="6"/>
    <m/>
    <m/>
  </r>
  <r>
    <n v="64958127"/>
    <x v="1"/>
    <n v="5717"/>
    <d v="2026-03-17T00:00:00"/>
    <s v="Yasso Coffee Chocolate Chip 8-4pk"/>
    <x v="11"/>
    <n v="3.3119999999999998E-3"/>
    <n v="165"/>
    <x v="4"/>
    <x v="5"/>
    <n v="1"/>
    <n v="5717"/>
    <n v="18.934704"/>
    <n v="34.648484848484848"/>
    <s v="Mar"/>
    <x v="9"/>
    <m/>
    <m/>
  </r>
  <r>
    <n v="64958127"/>
    <x v="1"/>
    <n v="-2103"/>
    <d v="2026-03-20T00:00:00"/>
    <s v="Yasso Coffee Chocolate Chip 8-4pk"/>
    <x v="11"/>
    <n v="3.3119999999999998E-3"/>
    <n v="165"/>
    <x v="4"/>
    <x v="5"/>
    <n v="1"/>
    <n v="-2103"/>
    <n v="-6.9651359999999993"/>
    <n v="-12.745454545454546"/>
    <s v="Mar"/>
    <x v="9"/>
    <m/>
    <m/>
  </r>
  <r>
    <n v="64958127"/>
    <x v="1"/>
    <n v="13530"/>
    <d v="2026-03-19T00:00:00"/>
    <s v="Yasso Coffee Chocolate Chip 8-4pk"/>
    <x v="11"/>
    <n v="3.3119999999999998E-3"/>
    <n v="165"/>
    <x v="4"/>
    <x v="5"/>
    <n v="1"/>
    <n v="13530"/>
    <n v="44.811360000000001"/>
    <n v="82"/>
    <s v="Mar"/>
    <x v="9"/>
    <m/>
    <m/>
  </r>
  <r>
    <n v="64958127"/>
    <x v="1"/>
    <n v="8906"/>
    <d v="2026-03-19T00:00:00"/>
    <s v="Yasso Coffee Chocolate Chip 8-4pk"/>
    <x v="11"/>
    <n v="3.3119999999999998E-3"/>
    <n v="165"/>
    <x v="4"/>
    <x v="5"/>
    <n v="1"/>
    <n v="8906"/>
    <n v="29.496672"/>
    <n v="53.975757575757576"/>
    <s v="Mar"/>
    <x v="9"/>
    <m/>
    <m/>
  </r>
  <r>
    <n v="64958127"/>
    <x v="1"/>
    <n v="6765"/>
    <d v="2026-03-20T00:00:00"/>
    <s v="Yasso Coffee Chocolate Chip 8-4pk"/>
    <x v="11"/>
    <n v="3.3119999999999998E-3"/>
    <n v="165"/>
    <x v="4"/>
    <x v="5"/>
    <n v="1"/>
    <n v="6765"/>
    <n v="22.40568"/>
    <n v="41"/>
    <s v="Mar"/>
    <x v="9"/>
    <m/>
    <m/>
  </r>
  <r>
    <n v="64958127"/>
    <x v="1"/>
    <n v="4019"/>
    <d v="2026-03-20T00:00:00"/>
    <s v="Yasso Coffee Chocolate Chip 8-4pk"/>
    <x v="11"/>
    <n v="3.3119999999999998E-3"/>
    <n v="165"/>
    <x v="4"/>
    <x v="5"/>
    <n v="1"/>
    <n v="4019"/>
    <n v="13.310927999999999"/>
    <n v="24.357575757575759"/>
    <s v="Mar"/>
    <x v="9"/>
    <m/>
    <m/>
  </r>
  <r>
    <n v="64958127"/>
    <x v="1"/>
    <n v="6105"/>
    <d v="2026-03-21T00:00:00"/>
    <s v="Yasso Coffee Chocolate Chip 8-4pk"/>
    <x v="11"/>
    <n v="3.3119999999999998E-3"/>
    <n v="165"/>
    <x v="4"/>
    <x v="5"/>
    <n v="1"/>
    <n v="6105"/>
    <n v="20.219759999999997"/>
    <n v="37"/>
    <s v="Mar"/>
    <x v="9"/>
    <m/>
    <m/>
  </r>
  <r>
    <n v="64958127"/>
    <x v="1"/>
    <n v="10725"/>
    <d v="2026-03-21T00:00:00"/>
    <s v="Yasso Coffee Chocolate Chip 8-4pk"/>
    <x v="11"/>
    <n v="3.3119999999999998E-3"/>
    <n v="165"/>
    <x v="4"/>
    <x v="5"/>
    <n v="1"/>
    <n v="10725"/>
    <n v="35.5212"/>
    <n v="65"/>
    <s v="Mar"/>
    <x v="9"/>
    <m/>
    <m/>
  </r>
  <r>
    <n v="64958127"/>
    <x v="1"/>
    <n v="9239"/>
    <d v="2026-03-22T00:00:00"/>
    <s v="Yasso Coffee Chocolate Chip 8-4pk"/>
    <x v="11"/>
    <n v="3.3119999999999998E-3"/>
    <n v="165"/>
    <x v="4"/>
    <x v="5"/>
    <n v="1"/>
    <n v="9239"/>
    <n v="30.599567999999998"/>
    <n v="55.993939393939392"/>
    <s v="Mar"/>
    <x v="10"/>
    <m/>
    <m/>
  </r>
  <r>
    <n v="64958127"/>
    <x v="1"/>
    <n v="9570"/>
    <d v="2026-03-22T00:00:00"/>
    <s v="Yasso Coffee Chocolate Chip 8-4pk"/>
    <x v="11"/>
    <n v="3.3119999999999998E-3"/>
    <n v="165"/>
    <x v="4"/>
    <x v="5"/>
    <n v="1"/>
    <n v="9570"/>
    <n v="31.695839999999997"/>
    <n v="58"/>
    <s v="Mar"/>
    <x v="10"/>
    <m/>
    <m/>
  </r>
  <r>
    <n v="64958127"/>
    <x v="1"/>
    <n v="155"/>
    <d v="2026-03-23T00:00:00"/>
    <s v="Yasso Coffee Chocolate Chip 8-4pk"/>
    <x v="11"/>
    <n v="3.3119999999999998E-3"/>
    <n v="165"/>
    <x v="4"/>
    <x v="5"/>
    <n v="1"/>
    <n v="155"/>
    <n v="0.51335999999999993"/>
    <n v="0.93939393939393945"/>
    <s v="Mar"/>
    <x v="10"/>
    <m/>
    <m/>
  </r>
  <r>
    <n v="64958127"/>
    <x v="1"/>
    <n v="7053"/>
    <d v="2026-03-17T00:00:00"/>
    <s v="Yasso Coffee Chocolate Chip 8-4pk"/>
    <x v="11"/>
    <n v="3.3119999999999998E-3"/>
    <n v="165"/>
    <x v="4"/>
    <x v="5"/>
    <n v="1"/>
    <n v="7053"/>
    <n v="23.359535999999999"/>
    <n v="42.745454545454542"/>
    <s v="Mar"/>
    <x v="9"/>
    <m/>
    <m/>
  </r>
  <r>
    <n v="64958127"/>
    <x v="1"/>
    <n v="8085"/>
    <d v="2026-03-18T00:00:00"/>
    <s v="Yasso Coffee Chocolate Chip 8-4pk"/>
    <x v="11"/>
    <n v="3.3119999999999998E-3"/>
    <n v="165"/>
    <x v="4"/>
    <x v="5"/>
    <n v="1"/>
    <n v="8085"/>
    <n v="26.777519999999999"/>
    <n v="49"/>
    <s v="Mar"/>
    <x v="9"/>
    <m/>
    <m/>
  </r>
  <r>
    <n v="64958128"/>
    <x v="1"/>
    <n v="165"/>
    <d v="2026-02-24T00:00:00"/>
    <s v="Yasso Mint Chocolate Chip 8-4pk"/>
    <x v="11"/>
    <n v="3.3119999999999998E-3"/>
    <n v="165"/>
    <x v="4"/>
    <x v="5"/>
    <n v="1"/>
    <n v="165"/>
    <n v="0.54647999999999997"/>
    <n v="1"/>
    <s v="Feb"/>
    <x v="6"/>
    <m/>
    <m/>
  </r>
  <r>
    <n v="64958128"/>
    <x v="1"/>
    <n v="585"/>
    <d v="2026-03-03T00:00:00"/>
    <s v="Yasso Mint Chocolate Chip 8-4pk"/>
    <x v="11"/>
    <n v="3.3119999999999998E-3"/>
    <n v="165"/>
    <x v="4"/>
    <x v="5"/>
    <n v="1"/>
    <n v="585"/>
    <n v="1.9375199999999999"/>
    <n v="3.5454545454545454"/>
    <s v="Mar"/>
    <x v="11"/>
    <m/>
    <m/>
  </r>
  <r>
    <n v="64958128"/>
    <x v="1"/>
    <n v="8580"/>
    <d v="2026-03-03T00:00:00"/>
    <s v="Yasso Mint Chocolate Chip 8-4pk"/>
    <x v="11"/>
    <n v="3.3119999999999998E-3"/>
    <n v="165"/>
    <x v="4"/>
    <x v="5"/>
    <n v="1"/>
    <n v="8580"/>
    <n v="28.41696"/>
    <n v="52"/>
    <s v="Mar"/>
    <x v="11"/>
    <m/>
    <m/>
  </r>
  <r>
    <n v="64958128"/>
    <x v="1"/>
    <n v="9356"/>
    <d v="2026-03-04T00:00:00"/>
    <s v="Yasso Mint Chocolate Chip 8-4pk"/>
    <x v="11"/>
    <n v="3.3119999999999998E-3"/>
    <n v="165"/>
    <x v="4"/>
    <x v="5"/>
    <n v="1"/>
    <n v="9356"/>
    <n v="30.987071999999998"/>
    <n v="56.703030303030303"/>
    <s v="Mar"/>
    <x v="11"/>
    <m/>
    <m/>
  </r>
  <r>
    <n v="64958128"/>
    <x v="1"/>
    <n v="8745"/>
    <d v="2026-03-04T00:00:00"/>
    <s v="Yasso Mint Chocolate Chip 8-4pk"/>
    <x v="11"/>
    <n v="3.3119999999999998E-3"/>
    <n v="165"/>
    <x v="4"/>
    <x v="5"/>
    <n v="1"/>
    <n v="8745"/>
    <n v="28.963439999999999"/>
    <n v="53"/>
    <s v="Mar"/>
    <x v="11"/>
    <m/>
    <m/>
  </r>
  <r>
    <n v="64958128"/>
    <x v="1"/>
    <n v="8580"/>
    <d v="2026-03-05T00:00:00"/>
    <s v="Yasso Mint Chocolate Chip 8-4pk"/>
    <x v="11"/>
    <n v="3.3119999999999998E-3"/>
    <n v="165"/>
    <x v="4"/>
    <x v="5"/>
    <n v="1"/>
    <n v="8580"/>
    <n v="28.41696"/>
    <n v="52"/>
    <s v="Mar"/>
    <x v="11"/>
    <m/>
    <m/>
  </r>
  <r>
    <n v="64958128"/>
    <x v="1"/>
    <n v="7862"/>
    <d v="2026-03-05T00:00:00"/>
    <s v="Yasso Mint Chocolate Chip 8-4pk"/>
    <x v="11"/>
    <n v="3.3119999999999998E-3"/>
    <n v="165"/>
    <x v="4"/>
    <x v="5"/>
    <n v="1"/>
    <n v="7862"/>
    <n v="26.038943999999997"/>
    <n v="47.648484848484848"/>
    <s v="Mar"/>
    <x v="11"/>
    <m/>
    <m/>
  </r>
  <r>
    <n v="64958128"/>
    <x v="1"/>
    <n v="9045"/>
    <d v="2026-03-06T00:00:00"/>
    <s v="Yasso Mint Chocolate Chip 8-4pk"/>
    <x v="11"/>
    <n v="3.3119999999999998E-3"/>
    <n v="165"/>
    <x v="4"/>
    <x v="5"/>
    <n v="1"/>
    <n v="9045"/>
    <n v="29.957039999999999"/>
    <n v="54.81818181818182"/>
    <s v="Mar"/>
    <x v="11"/>
    <m/>
    <m/>
  </r>
  <r>
    <n v="64958128"/>
    <x v="1"/>
    <n v="1320"/>
    <d v="2026-03-06T00:00:00"/>
    <s v="Yasso Mint Chocolate Chip 8-4pk"/>
    <x v="11"/>
    <n v="3.3119999999999998E-3"/>
    <n v="165"/>
    <x v="4"/>
    <x v="5"/>
    <n v="1"/>
    <n v="1320"/>
    <n v="4.3718399999999997"/>
    <n v="8"/>
    <s v="Mar"/>
    <x v="11"/>
    <m/>
    <m/>
  </r>
  <r>
    <n v="64958128"/>
    <x v="1"/>
    <n v="9540"/>
    <d v="2026-03-07T00:00:00"/>
    <s v="Yasso Mint Chocolate Chip 8-4pk"/>
    <x v="11"/>
    <n v="3.3119999999999998E-3"/>
    <n v="165"/>
    <x v="4"/>
    <x v="5"/>
    <n v="1"/>
    <n v="9540"/>
    <n v="31.59648"/>
    <n v="57.81818181818182"/>
    <s v="Mar"/>
    <x v="11"/>
    <m/>
    <m/>
  </r>
  <r>
    <n v="64958128"/>
    <x v="1"/>
    <n v="10230"/>
    <d v="2026-03-07T00:00:00"/>
    <s v="Yasso Mint Chocolate Chip 8-4pk"/>
    <x v="11"/>
    <n v="3.3119999999999998E-3"/>
    <n v="165"/>
    <x v="4"/>
    <x v="5"/>
    <n v="1"/>
    <n v="10230"/>
    <n v="33.88176"/>
    <n v="62"/>
    <s v="Mar"/>
    <x v="11"/>
    <m/>
    <m/>
  </r>
  <r>
    <n v="64958128"/>
    <x v="1"/>
    <n v="9075"/>
    <d v="2026-03-08T00:00:00"/>
    <s v="Yasso Mint Chocolate Chip 8-4pk"/>
    <x v="11"/>
    <n v="3.3119999999999998E-3"/>
    <n v="165"/>
    <x v="4"/>
    <x v="5"/>
    <n v="1"/>
    <n v="9075"/>
    <n v="30.0564"/>
    <n v="55"/>
    <s v="Mar"/>
    <x v="12"/>
    <m/>
    <m/>
  </r>
  <r>
    <n v="64958128"/>
    <x v="1"/>
    <n v="7229"/>
    <d v="2026-03-08T00:00:00"/>
    <s v="Yasso Mint Chocolate Chip 8-4pk"/>
    <x v="11"/>
    <n v="3.3119999999999998E-3"/>
    <n v="165"/>
    <x v="4"/>
    <x v="5"/>
    <n v="1"/>
    <n v="7229"/>
    <n v="23.942447999999999"/>
    <n v="43.812121212121212"/>
    <s v="Mar"/>
    <x v="12"/>
    <m/>
    <m/>
  </r>
  <r>
    <n v="64958128"/>
    <x v="1"/>
    <n v="207"/>
    <d v="2026-03-09T00:00:00"/>
    <s v="Yasso Mint Chocolate Chip 8-4pk"/>
    <x v="11"/>
    <n v="3.3119999999999998E-3"/>
    <n v="165"/>
    <x v="4"/>
    <x v="5"/>
    <n v="1"/>
    <n v="207"/>
    <n v="0.68558399999999997"/>
    <n v="1.2545454545454546"/>
    <s v="Mar"/>
    <x v="12"/>
    <m/>
    <m/>
  </r>
  <r>
    <n v="64976837"/>
    <x v="1"/>
    <n v="2475"/>
    <d v="2026-02-28T00:00:00"/>
    <s v="Yasso Cherry Chocolate Crunch 8-4pk"/>
    <x v="11"/>
    <n v="2.5040000000000001E-3"/>
    <n v="165"/>
    <x v="4"/>
    <x v="5"/>
    <n v="1"/>
    <n v="2475"/>
    <n v="6.1974"/>
    <n v="15"/>
    <s v="Feb"/>
    <x v="6"/>
    <m/>
    <m/>
  </r>
  <r>
    <n v="64976837"/>
    <x v="1"/>
    <n v="2101"/>
    <d v="2026-03-01T00:00:00"/>
    <s v="Yasso Cherry Chocolate Crunch 8-4pk"/>
    <x v="11"/>
    <n v="2.5040000000000001E-3"/>
    <n v="165"/>
    <x v="4"/>
    <x v="5"/>
    <n v="1"/>
    <n v="2101"/>
    <n v="5.260904"/>
    <n v="12.733333333333333"/>
    <s v="Mar"/>
    <x v="11"/>
    <m/>
    <m/>
  </r>
  <r>
    <n v="64976837"/>
    <x v="1"/>
    <n v="6248"/>
    <d v="2026-03-01T00:00:00"/>
    <s v="Yasso Cherry Chocolate Crunch 8-4pk"/>
    <x v="11"/>
    <n v="2.5040000000000001E-3"/>
    <n v="165"/>
    <x v="4"/>
    <x v="5"/>
    <n v="1"/>
    <n v="6248"/>
    <n v="15.644992"/>
    <n v="37.866666666666667"/>
    <s v="Mar"/>
    <x v="11"/>
    <m/>
    <m/>
  </r>
  <r>
    <n v="64976837"/>
    <x v="1"/>
    <n v="5115"/>
    <d v="2026-03-02T00:00:00"/>
    <s v="Yasso Cherry Chocolate Crunch 8-4pk"/>
    <x v="11"/>
    <n v="2.5040000000000001E-3"/>
    <n v="165"/>
    <x v="4"/>
    <x v="5"/>
    <n v="1"/>
    <n v="5115"/>
    <n v="12.807960000000001"/>
    <n v="31"/>
    <s v="Mar"/>
    <x v="11"/>
    <m/>
    <m/>
  </r>
  <r>
    <n v="64976837"/>
    <x v="1"/>
    <n v="1819"/>
    <d v="2026-03-02T00:00:00"/>
    <s v="Yasso Cherry Chocolate Crunch 8-4pk"/>
    <x v="11"/>
    <n v="2.5040000000000001E-3"/>
    <n v="165"/>
    <x v="4"/>
    <x v="5"/>
    <n v="1"/>
    <n v="1819"/>
    <n v="4.5547760000000004"/>
    <n v="11.024242424242424"/>
    <s v="Mar"/>
    <x v="11"/>
    <m/>
    <m/>
  </r>
  <r>
    <n v="64976848"/>
    <x v="1"/>
    <n v="150"/>
    <d v="2026-02-25T00:00:00"/>
    <s v="Yasso Fudge Chocolate Crunch 8-4pk"/>
    <x v="13"/>
    <n v="2.5040000000000001E-3"/>
    <n v="165"/>
    <x v="4"/>
    <x v="5"/>
    <n v="1"/>
    <n v="150"/>
    <n v="0.37560000000000004"/>
    <n v="0.90909090909090906"/>
    <s v="Feb"/>
    <x v="6"/>
    <m/>
    <m/>
  </r>
  <r>
    <n v="64976849"/>
    <x v="1"/>
    <n v="495"/>
    <d v="2026-02-24T00:00:00"/>
    <s v="Yasso Mint Chocolate Crunch 8-4pk"/>
    <x v="11"/>
    <n v="2.5040000000000001E-3"/>
    <n v="165"/>
    <x v="4"/>
    <x v="5"/>
    <n v="1"/>
    <n v="495"/>
    <n v="1.2394800000000001"/>
    <n v="3"/>
    <s v="Feb"/>
    <x v="6"/>
    <m/>
    <m/>
  </r>
  <r>
    <n v="64976849"/>
    <x v="1"/>
    <n v="1425"/>
    <d v="2026-02-25T00:00:00"/>
    <s v="Yasso Mint Chocolate Crunch 8-4pk"/>
    <x v="11"/>
    <n v="2.5040000000000001E-3"/>
    <n v="165"/>
    <x v="4"/>
    <x v="5"/>
    <n v="1"/>
    <n v="1425"/>
    <n v="3.5682"/>
    <n v="8.6363636363636367"/>
    <s v="Feb"/>
    <x v="6"/>
    <m/>
    <m/>
  </r>
  <r>
    <n v="64976849"/>
    <x v="1"/>
    <n v="4708"/>
    <d v="2026-02-25T00:00:00"/>
    <s v="Yasso Mint Chocolate Crunch 8-4pk"/>
    <x v="11"/>
    <n v="2.5040000000000001E-3"/>
    <n v="165"/>
    <x v="4"/>
    <x v="5"/>
    <n v="1"/>
    <n v="4708"/>
    <n v="11.788832000000001"/>
    <n v="28.533333333333335"/>
    <s v="Feb"/>
    <x v="6"/>
    <m/>
    <m/>
  </r>
  <r>
    <n v="64976849"/>
    <x v="1"/>
    <n v="5260"/>
    <d v="2026-02-26T00:00:00"/>
    <s v="Yasso Mint Chocolate Crunch 8-4pk"/>
    <x v="11"/>
    <n v="2.5040000000000001E-3"/>
    <n v="165"/>
    <x v="4"/>
    <x v="5"/>
    <n v="1"/>
    <n v="5260"/>
    <n v="13.171040000000001"/>
    <n v="31.878787878787879"/>
    <s v="Feb"/>
    <x v="6"/>
    <m/>
    <m/>
  </r>
  <r>
    <n v="64976849"/>
    <x v="1"/>
    <n v="2708"/>
    <d v="2026-02-26T00:00:00"/>
    <s v="Yasso Mint Chocolate Crunch 8-4pk"/>
    <x v="11"/>
    <n v="2.5040000000000001E-3"/>
    <n v="165"/>
    <x v="4"/>
    <x v="5"/>
    <n v="1"/>
    <n v="2708"/>
    <n v="6.7808320000000002"/>
    <n v="16.412121212121214"/>
    <s v="Feb"/>
    <x v="6"/>
    <m/>
    <m/>
  </r>
  <r>
    <n v="64976849"/>
    <x v="1"/>
    <n v="6930"/>
    <d v="2026-02-27T00:00:00"/>
    <s v="Yasso Mint Chocolate Crunch 8-4pk"/>
    <x v="11"/>
    <n v="2.5040000000000001E-3"/>
    <n v="165"/>
    <x v="4"/>
    <x v="5"/>
    <n v="1"/>
    <n v="6930"/>
    <n v="17.352720000000001"/>
    <n v="42"/>
    <s v="Feb"/>
    <x v="6"/>
    <m/>
    <m/>
  </r>
  <r>
    <n v="64976849"/>
    <x v="1"/>
    <n v="2083"/>
    <d v="2026-02-27T00:00:00"/>
    <s v="Yasso Mint Chocolate Crunch 8-4pk"/>
    <x v="11"/>
    <n v="2.5040000000000001E-3"/>
    <n v="165"/>
    <x v="4"/>
    <x v="5"/>
    <n v="1"/>
    <n v="2083"/>
    <n v="5.2158320000000007"/>
    <n v="12.624242424242425"/>
    <s v="Feb"/>
    <x v="6"/>
    <m/>
    <m/>
  </r>
  <r>
    <n v="64976851"/>
    <x v="1"/>
    <n v="2805"/>
    <d v="2026-03-23T00:00:00"/>
    <s v="Yasso Caramel Chocolate Crunch 8-4pk"/>
    <x v="11"/>
    <n v="2.5040000000000001E-3"/>
    <n v="165"/>
    <x v="4"/>
    <x v="5"/>
    <n v="1"/>
    <n v="2805"/>
    <n v="7.0237200000000009"/>
    <n v="17"/>
    <s v="Mar"/>
    <x v="10"/>
    <m/>
    <m/>
  </r>
  <r>
    <n v="64976851"/>
    <x v="1"/>
    <n v="3436"/>
    <d v="2026-03-24T00:00:00"/>
    <s v="Yasso Caramel Chocolate Crunch 8-4pk"/>
    <x v="11"/>
    <n v="2.5040000000000001E-3"/>
    <n v="165"/>
    <x v="4"/>
    <x v="5"/>
    <n v="1"/>
    <n v="3436"/>
    <n v="8.6037440000000007"/>
    <n v="20.824242424242424"/>
    <s v="Mar"/>
    <x v="10"/>
    <m/>
    <m/>
  </r>
  <r>
    <n v="64976851"/>
    <x v="1"/>
    <n v="5558"/>
    <d v="2026-03-24T00:00:00"/>
    <s v="Yasso Caramel Chocolate Crunch 8-4pk"/>
    <x v="11"/>
    <n v="2.5040000000000001E-3"/>
    <n v="165"/>
    <x v="4"/>
    <x v="5"/>
    <n v="1"/>
    <n v="5558"/>
    <n v="13.917232"/>
    <n v="33.684848484848487"/>
    <s v="Mar"/>
    <x v="10"/>
    <m/>
    <m/>
  </r>
  <r>
    <n v="64979407"/>
    <x v="1"/>
    <n v="1325"/>
    <d v="2026-02-26T00:00:00"/>
    <s v="BR Reeses PB Carbsmart Bar 8-6PK"/>
    <x v="13"/>
    <n v="4.2560000000000002E-3"/>
    <n v="143"/>
    <x v="5"/>
    <x v="6"/>
    <n v="1"/>
    <n v="1325"/>
    <n v="5.6392000000000007"/>
    <n v="9.265734265734265"/>
    <s v="Feb"/>
    <x v="6"/>
    <m/>
    <m/>
  </r>
  <r>
    <n v="64979407"/>
    <x v="1"/>
    <n v="4004"/>
    <d v="2026-02-27T00:00:00"/>
    <s v="BR Reeses PB Carbsmart Bar 8-6PK"/>
    <x v="13"/>
    <n v="4.2560000000000002E-3"/>
    <n v="143"/>
    <x v="5"/>
    <x v="6"/>
    <n v="1"/>
    <n v="4004"/>
    <n v="17.041024"/>
    <n v="28"/>
    <s v="Feb"/>
    <x v="6"/>
    <m/>
    <m/>
  </r>
  <r>
    <n v="64979407"/>
    <x v="1"/>
    <n v="5148"/>
    <d v="2026-02-24T00:00:00"/>
    <s v="BR Reeses PB Carbsmart Bar 8-6PK"/>
    <x v="13"/>
    <n v="4.2560000000000002E-3"/>
    <n v="143"/>
    <x v="5"/>
    <x v="6"/>
    <n v="1"/>
    <n v="5148"/>
    <n v="21.909888000000002"/>
    <n v="36"/>
    <s v="Feb"/>
    <x v="6"/>
    <m/>
    <m/>
  </r>
  <r>
    <n v="64979407"/>
    <x v="1"/>
    <n v="4121"/>
    <d v="2026-02-25T00:00:00"/>
    <s v="BR Reeses PB Carbsmart Bar 8-6PK"/>
    <x v="13"/>
    <n v="4.2560000000000002E-3"/>
    <n v="143"/>
    <x v="5"/>
    <x v="6"/>
    <n v="1"/>
    <n v="4121"/>
    <n v="17.538976000000002"/>
    <n v="28.818181818181817"/>
    <s v="Feb"/>
    <x v="6"/>
    <m/>
    <m/>
  </r>
  <r>
    <n v="64979407"/>
    <x v="1"/>
    <n v="715"/>
    <d v="2026-02-24T00:00:00"/>
    <s v="BR Reeses PB Carbsmart Bar 8-6PK"/>
    <x v="13"/>
    <n v="4.2560000000000002E-3"/>
    <n v="143"/>
    <x v="5"/>
    <x v="6"/>
    <n v="1"/>
    <n v="715"/>
    <n v="3.04304"/>
    <n v="5"/>
    <s v="Feb"/>
    <x v="6"/>
    <m/>
    <m/>
  </r>
  <r>
    <n v="64979407"/>
    <x v="1"/>
    <n v="3861"/>
    <d v="2026-02-27T00:00:00"/>
    <s v="BR Reeses PB Carbsmart Bar 8-6PK"/>
    <x v="13"/>
    <n v="4.2560000000000002E-3"/>
    <n v="143"/>
    <x v="5"/>
    <x v="6"/>
    <n v="1"/>
    <n v="3861"/>
    <n v="16.432416"/>
    <n v="27"/>
    <s v="Feb"/>
    <x v="6"/>
    <m/>
    <m/>
  </r>
  <r>
    <n v="64979407"/>
    <x v="1"/>
    <n v="5005"/>
    <d v="2026-02-28T00:00:00"/>
    <s v="BR Reeses PB Carbsmart Bar 8-6PK"/>
    <x v="13"/>
    <n v="4.2560000000000002E-3"/>
    <n v="143"/>
    <x v="5"/>
    <x v="6"/>
    <n v="1"/>
    <n v="5005"/>
    <n v="21.301280000000002"/>
    <n v="35"/>
    <s v="Feb"/>
    <x v="6"/>
    <m/>
    <m/>
  </r>
  <r>
    <n v="64979407"/>
    <x v="1"/>
    <n v="4433"/>
    <d v="2026-02-25T00:00:00"/>
    <s v="BR Reeses PB Carbsmart Bar 8-6PK"/>
    <x v="13"/>
    <n v="4.2560000000000002E-3"/>
    <n v="143"/>
    <x v="5"/>
    <x v="6"/>
    <n v="1"/>
    <n v="4433"/>
    <n v="18.866848000000001"/>
    <n v="31"/>
    <s v="Feb"/>
    <x v="6"/>
    <m/>
    <m/>
  </r>
  <r>
    <n v="64979407"/>
    <x v="1"/>
    <n v="4240"/>
    <d v="2026-02-26T00:00:00"/>
    <s v="BR Reeses PB Carbsmart Bar 8-6PK"/>
    <x v="13"/>
    <n v="4.2560000000000002E-3"/>
    <n v="143"/>
    <x v="5"/>
    <x v="6"/>
    <n v="1"/>
    <n v="4240"/>
    <n v="18.045439999999999"/>
    <n v="29.65034965034965"/>
    <s v="Feb"/>
    <x v="6"/>
    <m/>
    <m/>
  </r>
  <r>
    <n v="64979407"/>
    <x v="1"/>
    <n v="6435"/>
    <d v="2026-02-28T00:00:00"/>
    <s v="BR Reeses PB Carbsmart Bar 8-6PK"/>
    <x v="13"/>
    <n v="4.2560000000000002E-3"/>
    <n v="143"/>
    <x v="5"/>
    <x v="6"/>
    <n v="1"/>
    <n v="6435"/>
    <n v="27.387360000000001"/>
    <n v="45"/>
    <s v="Feb"/>
    <x v="6"/>
    <m/>
    <m/>
  </r>
  <r>
    <n v="64979407"/>
    <x v="1"/>
    <n v="1056"/>
    <d v="2026-03-01T00:00:00"/>
    <s v="BR Reeses PB Carbsmart Bar 8-6PK"/>
    <x v="13"/>
    <n v="4.2560000000000002E-3"/>
    <n v="143"/>
    <x v="5"/>
    <x v="6"/>
    <n v="1"/>
    <n v="1056"/>
    <n v="4.4943360000000006"/>
    <n v="7.384615384615385"/>
    <s v="Mar"/>
    <x v="11"/>
    <m/>
    <m/>
  </r>
  <r>
    <n v="64979407"/>
    <x v="1"/>
    <n v="286"/>
    <d v="2026-03-02T00:00:00"/>
    <s v="BR Reeses PB Carbsmart Bar 8-6PK"/>
    <x v="13"/>
    <n v="4.2560000000000002E-3"/>
    <n v="143"/>
    <x v="5"/>
    <x v="6"/>
    <n v="1"/>
    <n v="286"/>
    <n v="1.2172160000000001"/>
    <n v="2"/>
    <s v="Mar"/>
    <x v="11"/>
    <m/>
    <m/>
  </r>
  <r>
    <n v="64984152"/>
    <x v="1"/>
    <n v="-6"/>
    <d v="2026-03-13T00:00:00"/>
    <s v="BJ US-SUN-PBBlondie-8 427ml"/>
    <x v="17"/>
    <n v="3.4159999999999998E-3"/>
    <n v="240"/>
    <x v="14"/>
    <x v="21"/>
    <n v="1"/>
    <n v="-6"/>
    <n v="-2.0496E-2"/>
    <n v="-2.5000000000000001E-2"/>
    <s v="Mar"/>
    <x v="12"/>
    <m/>
    <m/>
  </r>
  <r>
    <n v="64986251"/>
    <x v="1"/>
    <n v="-120"/>
    <d v="2026-02-25T00:00:00"/>
    <s v="BJ US-SUN-StrawBaeShortcake-8 427ML"/>
    <x v="17"/>
    <n v="3.4159999999999998E-3"/>
    <n v="240"/>
    <x v="14"/>
    <x v="21"/>
    <n v="1"/>
    <n v="-120"/>
    <n v="-0.40991999999999995"/>
    <n v="-0.5"/>
    <s v="Feb"/>
    <x v="6"/>
    <m/>
    <m/>
  </r>
  <r>
    <n v="64986251"/>
    <x v="1"/>
    <n v="3118"/>
    <d v="2026-03-02T00:00:00"/>
    <s v="BJ US-SUN-StrawBaeShortcake-8 427ML"/>
    <x v="17"/>
    <n v="3.4159999999999998E-3"/>
    <n v="240"/>
    <x v="14"/>
    <x v="21"/>
    <n v="1"/>
    <n v="3118"/>
    <n v="10.651088"/>
    <n v="12.991666666666667"/>
    <s v="Mar"/>
    <x v="11"/>
    <m/>
    <m/>
  </r>
  <r>
    <n v="64986251"/>
    <x v="1"/>
    <n v="9425"/>
    <d v="2026-03-03T00:00:00"/>
    <s v="BJ US-SUN-StrawBaeShortcake-8 427ML"/>
    <x v="17"/>
    <n v="3.4159999999999998E-3"/>
    <n v="240"/>
    <x v="14"/>
    <x v="21"/>
    <n v="1"/>
    <n v="9425"/>
    <n v="32.195799999999998"/>
    <n v="39.270833333333336"/>
    <s v="Mar"/>
    <x v="11"/>
    <m/>
    <m/>
  </r>
  <r>
    <n v="64986251"/>
    <x v="1"/>
    <n v="8258"/>
    <d v="2026-03-03T00:00:00"/>
    <s v="BJ US-SUN-StrawBaeShortcake-8 427ML"/>
    <x v="17"/>
    <n v="3.4159999999999998E-3"/>
    <n v="240"/>
    <x v="14"/>
    <x v="21"/>
    <n v="1"/>
    <n v="8258"/>
    <n v="28.209327999999999"/>
    <n v="34.408333333333331"/>
    <s v="Mar"/>
    <x v="11"/>
    <m/>
    <m/>
  </r>
  <r>
    <n v="64986251"/>
    <x v="1"/>
    <n v="10457"/>
    <d v="2026-03-04T00:00:00"/>
    <s v="BJ US-SUN-StrawBaeShortcake-8 427ML"/>
    <x v="17"/>
    <n v="3.4159999999999998E-3"/>
    <n v="240"/>
    <x v="14"/>
    <x v="21"/>
    <n v="1"/>
    <n v="10457"/>
    <n v="35.721111999999998"/>
    <n v="43.570833333333333"/>
    <s v="Mar"/>
    <x v="11"/>
    <m/>
    <m/>
  </r>
  <r>
    <n v="64986251"/>
    <x v="1"/>
    <n v="-15"/>
    <d v="2026-03-13T00:00:00"/>
    <s v="BJ US-SUN-StrawBaeShortcake-8 427ML"/>
    <x v="17"/>
    <n v="3.4159999999999998E-3"/>
    <n v="240"/>
    <x v="14"/>
    <x v="21"/>
    <n v="1"/>
    <n v="-15"/>
    <n v="-5.1239999999999994E-2"/>
    <n v="-6.25E-2"/>
    <s v="Mar"/>
    <x v="12"/>
    <m/>
    <m/>
  </r>
  <r>
    <n v="64986251"/>
    <x v="1"/>
    <n v="6433"/>
    <d v="2026-03-04T00:00:00"/>
    <s v="BJ US-SUN-StrawBaeShortcake-8 427ML"/>
    <x v="17"/>
    <n v="3.4159999999999998E-3"/>
    <n v="240"/>
    <x v="14"/>
    <x v="21"/>
    <n v="1"/>
    <n v="6433"/>
    <n v="21.975127999999998"/>
    <n v="26.804166666666667"/>
    <s v="Mar"/>
    <x v="11"/>
    <m/>
    <m/>
  </r>
  <r>
    <n v="64986251"/>
    <x v="1"/>
    <n v="240"/>
    <d v="2026-03-05T00:00:00"/>
    <s v="BJ US-SUN-StrawBaeShortcake-8 427ML"/>
    <x v="17"/>
    <n v="3.4159999999999998E-3"/>
    <n v="240"/>
    <x v="14"/>
    <x v="21"/>
    <n v="1"/>
    <n v="240"/>
    <n v="0.8198399999999999"/>
    <n v="1"/>
    <s v="Mar"/>
    <x v="11"/>
    <m/>
    <m/>
  </r>
  <r>
    <n v="64988055"/>
    <x v="1"/>
    <n v="3965"/>
    <d v="2026-03-22T00:00:00"/>
    <s v="BR CO-B NY Style Cheesecake 6 1.5QT"/>
    <x v="3"/>
    <n v="8.513999999999999E-3"/>
    <n v="176"/>
    <x v="0"/>
    <x v="1"/>
    <n v="1"/>
    <n v="3965"/>
    <n v="33.758009999999999"/>
    <n v="22.52840909090909"/>
    <s v="Mar"/>
    <x v="10"/>
    <m/>
    <m/>
  </r>
  <r>
    <n v="64988055"/>
    <x v="1"/>
    <n v="4333"/>
    <d v="2026-03-22T00:00:00"/>
    <s v="BR CO-B NY Style Cheesecake 6 1.5QT"/>
    <x v="3"/>
    <n v="8.513999999999999E-3"/>
    <n v="176"/>
    <x v="0"/>
    <x v="1"/>
    <n v="1"/>
    <n v="4333"/>
    <n v="36.891161999999994"/>
    <n v="24.619318181818183"/>
    <s v="Mar"/>
    <x v="10"/>
    <m/>
    <m/>
  </r>
  <r>
    <n v="64988055"/>
    <x v="1"/>
    <n v="4290"/>
    <d v="2026-03-23T00:00:00"/>
    <s v="BR CO-B NY Style Cheesecake 6 1.5QT"/>
    <x v="3"/>
    <n v="8.513999999999999E-3"/>
    <n v="176"/>
    <x v="0"/>
    <x v="1"/>
    <n v="1"/>
    <n v="4290"/>
    <n v="36.525059999999996"/>
    <n v="24.375"/>
    <s v="Mar"/>
    <x v="10"/>
    <m/>
    <m/>
  </r>
  <r>
    <n v="64988055"/>
    <x v="1"/>
    <n v="5104"/>
    <d v="2026-03-23T00:00:00"/>
    <s v="BR CO-B NY Style Cheesecake 6 1.5QT"/>
    <x v="3"/>
    <n v="8.513999999999999E-3"/>
    <n v="176"/>
    <x v="0"/>
    <x v="1"/>
    <n v="1"/>
    <n v="5104"/>
    <n v="43.455455999999998"/>
    <n v="29"/>
    <s v="Mar"/>
    <x v="10"/>
    <m/>
    <m/>
  </r>
  <r>
    <n v="64988055"/>
    <x v="1"/>
    <n v="168"/>
    <d v="2026-03-24T00:00:00"/>
    <s v="BR CO-B NY Style Cheesecake 6 1.5QT"/>
    <x v="3"/>
    <n v="8.513999999999999E-3"/>
    <n v="176"/>
    <x v="0"/>
    <x v="1"/>
    <n v="1"/>
    <n v="168"/>
    <n v="1.4303519999999998"/>
    <n v="0.95454545454545459"/>
    <s v="Mar"/>
    <x v="10"/>
    <m/>
    <m/>
  </r>
  <r>
    <n v="64988056"/>
    <x v="1"/>
    <n v="5984"/>
    <d v="2026-03-03T00:00:00"/>
    <s v="BR Butter Pecan 6 1.5QT"/>
    <x v="5"/>
    <n v="8.513999999999999E-3"/>
    <n v="176"/>
    <x v="0"/>
    <x v="1"/>
    <n v="1"/>
    <n v="5984"/>
    <n v="50.947775999999998"/>
    <n v="34"/>
    <s v="Mar"/>
    <x v="11"/>
    <m/>
    <m/>
  </r>
  <r>
    <n v="64988056"/>
    <x v="1"/>
    <n v="6684"/>
    <d v="2026-03-04T00:00:00"/>
    <s v="BR Butter Pecan 6 1.5QT"/>
    <x v="5"/>
    <n v="8.513999999999999E-3"/>
    <n v="176"/>
    <x v="0"/>
    <x v="1"/>
    <n v="1"/>
    <n v="6684"/>
    <n v="56.907575999999992"/>
    <n v="37.977272727272727"/>
    <s v="Mar"/>
    <x v="11"/>
    <m/>
    <m/>
  </r>
  <r>
    <n v="64988056"/>
    <x v="1"/>
    <n v="2992"/>
    <d v="2026-03-04T00:00:00"/>
    <s v="BR Butter Pecan 6 1.5QT"/>
    <x v="5"/>
    <n v="8.513999999999999E-3"/>
    <n v="176"/>
    <x v="0"/>
    <x v="1"/>
    <n v="1"/>
    <n v="2992"/>
    <n v="25.473887999999999"/>
    <n v="17"/>
    <s v="Mar"/>
    <x v="11"/>
    <m/>
    <m/>
  </r>
  <r>
    <n v="64988056"/>
    <x v="1"/>
    <n v="6688"/>
    <d v="2026-03-05T00:00:00"/>
    <s v="BR Butter Pecan 6 1.5QT"/>
    <x v="5"/>
    <n v="8.513999999999999E-3"/>
    <n v="176"/>
    <x v="0"/>
    <x v="1"/>
    <n v="1"/>
    <n v="6688"/>
    <n v="56.941631999999991"/>
    <n v="38"/>
    <s v="Mar"/>
    <x v="11"/>
    <m/>
    <m/>
  </r>
  <r>
    <n v="64988056"/>
    <x v="1"/>
    <n v="1400"/>
    <d v="2026-03-05T00:00:00"/>
    <s v="BR Butter Pecan 6 1.5QT"/>
    <x v="5"/>
    <n v="8.513999999999999E-3"/>
    <n v="176"/>
    <x v="0"/>
    <x v="1"/>
    <n v="1"/>
    <n v="1400"/>
    <n v="11.919599999999999"/>
    <n v="7.9545454545454541"/>
    <s v="Mar"/>
    <x v="11"/>
    <m/>
    <m/>
  </r>
  <r>
    <n v="64988056"/>
    <x v="1"/>
    <n v="3872"/>
    <d v="2026-03-13T00:00:00"/>
    <s v="BR Butter Pecan 6 1.5QT"/>
    <x v="3"/>
    <n v="8.513999999999999E-3"/>
    <n v="176"/>
    <x v="0"/>
    <x v="1"/>
    <n v="1"/>
    <n v="3872"/>
    <n v="32.966207999999995"/>
    <n v="22"/>
    <s v="Mar"/>
    <x v="12"/>
    <m/>
    <m/>
  </r>
  <r>
    <n v="64988056"/>
    <x v="1"/>
    <n v="6512"/>
    <d v="2026-03-14T00:00:00"/>
    <s v="BR Butter Pecan 6 1.5QT"/>
    <x v="3"/>
    <n v="8.513999999999999E-3"/>
    <n v="176"/>
    <x v="0"/>
    <x v="1"/>
    <n v="1"/>
    <n v="6512"/>
    <n v="55.443167999999993"/>
    <n v="37"/>
    <s v="Mar"/>
    <x v="12"/>
    <m/>
    <m/>
  </r>
  <r>
    <n v="64988056"/>
    <x v="1"/>
    <n v="704"/>
    <d v="2026-03-16T00:00:00"/>
    <s v="BR Butter Pecan 6 1.5QT"/>
    <x v="3"/>
    <n v="8.513999999999999E-3"/>
    <n v="176"/>
    <x v="0"/>
    <x v="1"/>
    <n v="1"/>
    <n v="704"/>
    <n v="5.9938559999999992"/>
    <n v="4"/>
    <s v="Mar"/>
    <x v="9"/>
    <m/>
    <m/>
  </r>
  <r>
    <n v="64988056"/>
    <x v="1"/>
    <n v="12406"/>
    <d v="2026-03-16T00:00:00"/>
    <s v="BR Butter Pecan 6 1.5QT"/>
    <x v="3"/>
    <n v="8.513999999999999E-3"/>
    <n v="176"/>
    <x v="0"/>
    <x v="1"/>
    <n v="1"/>
    <n v="12406"/>
    <n v="105.62468399999999"/>
    <n v="70.48863636363636"/>
    <s v="Mar"/>
    <x v="9"/>
    <m/>
    <m/>
  </r>
  <r>
    <n v="64988056"/>
    <x v="1"/>
    <n v="9047"/>
    <d v="2026-03-16T00:00:00"/>
    <s v="BR Butter Pecan 6 1.5QT"/>
    <x v="3"/>
    <n v="8.513999999999999E-3"/>
    <n v="176"/>
    <x v="0"/>
    <x v="1"/>
    <n v="1"/>
    <n v="9047"/>
    <n v="77.026157999999995"/>
    <n v="51.403409090909093"/>
    <s v="Mar"/>
    <x v="9"/>
    <m/>
    <m/>
  </r>
  <r>
    <n v="64988056"/>
    <x v="1"/>
    <n v="0"/>
    <d v="2026-03-02T00:00:00"/>
    <s v="BR Butter Pecan 6 1.5QT"/>
    <x v="3"/>
    <n v="8.513999999999999E-3"/>
    <n v="176"/>
    <x v="0"/>
    <x v="1"/>
    <n v="1"/>
    <n v="0"/>
    <n v="0"/>
    <n v="0"/>
    <s v="Mar"/>
    <x v="11"/>
    <m/>
    <m/>
  </r>
  <r>
    <n v="64988056"/>
    <x v="1"/>
    <n v="682"/>
    <d v="2026-03-02T00:00:00"/>
    <s v="BR Butter Pecan 6 1.5QT"/>
    <x v="5"/>
    <n v="8.513999999999999E-3"/>
    <n v="176"/>
    <x v="0"/>
    <x v="1"/>
    <n v="1"/>
    <n v="682"/>
    <n v="5.8065479999999994"/>
    <n v="3.875"/>
    <s v="Mar"/>
    <x v="11"/>
    <m/>
    <m/>
  </r>
  <r>
    <n v="64988056"/>
    <x v="1"/>
    <n v="4290"/>
    <d v="2026-03-03T00:00:00"/>
    <s v="BR Butter Pecan 6 1.5QT"/>
    <x v="5"/>
    <n v="8.513999999999999E-3"/>
    <n v="176"/>
    <x v="0"/>
    <x v="1"/>
    <n v="1"/>
    <n v="4290"/>
    <n v="36.525059999999996"/>
    <n v="24.375"/>
    <s v="Mar"/>
    <x v="11"/>
    <m/>
    <m/>
  </r>
  <r>
    <n v="64988056"/>
    <x v="1"/>
    <n v="3861"/>
    <d v="2026-03-02T00:00:00"/>
    <s v="BR Butter Pecan 6 1.5QT"/>
    <x v="5"/>
    <n v="8.513999999999999E-3"/>
    <n v="176"/>
    <x v="0"/>
    <x v="1"/>
    <n v="1"/>
    <n v="3861"/>
    <n v="32.872553999999994"/>
    <n v="21.9375"/>
    <s v="Mar"/>
    <x v="11"/>
    <m/>
    <m/>
  </r>
  <r>
    <n v="64988056"/>
    <x v="1"/>
    <n v="-88"/>
    <d v="2026-03-03T00:00:00"/>
    <s v="BR Butter Pecan 6 1.5QT"/>
    <x v="5"/>
    <n v="8.513999999999999E-3"/>
    <n v="176"/>
    <x v="0"/>
    <x v="1"/>
    <n v="1"/>
    <n v="-88"/>
    <n v="-0.7492319999999999"/>
    <n v="-0.5"/>
    <s v="Mar"/>
    <x v="11"/>
    <m/>
    <m/>
  </r>
  <r>
    <n v="64988056"/>
    <x v="1"/>
    <n v="479"/>
    <d v="2026-03-16T00:00:00"/>
    <s v="BR Butter Pecan 6 1.5QT"/>
    <x v="3"/>
    <n v="8.513999999999999E-3"/>
    <n v="176"/>
    <x v="0"/>
    <x v="1"/>
    <n v="1"/>
    <n v="479"/>
    <n v="4.0782059999999998"/>
    <n v="2.7215909090909092"/>
    <s v="Mar"/>
    <x v="9"/>
    <m/>
    <m/>
  </r>
  <r>
    <n v="64988056"/>
    <x v="1"/>
    <n v="704"/>
    <d v="2026-03-17T00:00:00"/>
    <s v="BR Butter Pecan 6 1.5QT"/>
    <x v="3"/>
    <n v="8.513999999999999E-3"/>
    <n v="176"/>
    <x v="0"/>
    <x v="1"/>
    <n v="1"/>
    <n v="704"/>
    <n v="5.9938559999999992"/>
    <n v="4"/>
    <s v="Mar"/>
    <x v="9"/>
    <m/>
    <m/>
  </r>
  <r>
    <n v="64988056"/>
    <x v="1"/>
    <n v="-704"/>
    <d v="2026-03-20T00:00:00"/>
    <s v="BR Butter Pecan 6 1.5QT"/>
    <x v="3"/>
    <n v="8.513999999999999E-3"/>
    <n v="176"/>
    <x v="0"/>
    <x v="1"/>
    <n v="1"/>
    <n v="-704"/>
    <n v="-5.9938559999999992"/>
    <n v="-4"/>
    <s v="Mar"/>
    <x v="9"/>
    <m/>
    <m/>
  </r>
  <r>
    <n v="64988927"/>
    <x v="1"/>
    <n v="9456"/>
    <d v="2026-02-23T00:00:00"/>
    <s v="BJ R01-SUN-CookieVermontster-8 427ml"/>
    <x v="17"/>
    <n v="3.4159999999999998E-3"/>
    <n v="240"/>
    <x v="14"/>
    <x v="21"/>
    <n v="1"/>
    <n v="9456"/>
    <n v="32.301696"/>
    <n v="39.4"/>
    <s v="Feb"/>
    <x v="6"/>
    <m/>
    <m/>
  </r>
  <r>
    <n v="64988927"/>
    <x v="1"/>
    <n v="1761"/>
    <d v="2026-02-24T00:00:00"/>
    <s v="BJ R01-SUN-CookieVermontster-8 427ml"/>
    <x v="17"/>
    <n v="3.4159999999999998E-3"/>
    <n v="240"/>
    <x v="14"/>
    <x v="21"/>
    <n v="1"/>
    <n v="1761"/>
    <n v="6.0155759999999994"/>
    <n v="7.3375000000000004"/>
    <s v="Feb"/>
    <x v="6"/>
    <m/>
    <m/>
  </r>
  <r>
    <n v="64999042"/>
    <x v="1"/>
    <n v="3360"/>
    <d v="2026-02-23T00:00:00"/>
    <s v="Yasso Coffee Chocolate Chip 8-14z"/>
    <x v="22"/>
    <n v="3.3119999999999998E-3"/>
    <n v="240"/>
    <x v="11"/>
    <x v="17"/>
    <n v="1"/>
    <n v="3360"/>
    <n v="11.128319999999999"/>
    <n v="14"/>
    <s v="Feb"/>
    <x v="6"/>
    <m/>
    <m/>
  </r>
  <r>
    <n v="64999042"/>
    <x v="1"/>
    <n v="8396"/>
    <d v="2026-02-24T00:00:00"/>
    <s v="Yasso Coffee Chocolate Chip 8-14z"/>
    <x v="22"/>
    <n v="3.3119999999999998E-3"/>
    <n v="240"/>
    <x v="11"/>
    <x v="17"/>
    <n v="1"/>
    <n v="8396"/>
    <n v="27.807551999999998"/>
    <n v="34.983333333333334"/>
    <s v="Feb"/>
    <x v="6"/>
    <m/>
    <m/>
  </r>
  <r>
    <n v="64999042"/>
    <x v="1"/>
    <n v="6048"/>
    <d v="2026-02-24T00:00:00"/>
    <s v="Yasso Coffee Chocolate Chip 8-14z"/>
    <x v="22"/>
    <n v="3.3119999999999998E-3"/>
    <n v="240"/>
    <x v="11"/>
    <x v="17"/>
    <n v="1"/>
    <n v="6048"/>
    <n v="20.030975999999999"/>
    <n v="25.2"/>
    <s v="Feb"/>
    <x v="6"/>
    <m/>
    <m/>
  </r>
  <r>
    <n v="64999042"/>
    <x v="1"/>
    <n v="10018"/>
    <d v="2026-02-25T00:00:00"/>
    <s v="Yasso Coffee Chocolate Chip 8-14z"/>
    <x v="22"/>
    <n v="3.3119999999999998E-3"/>
    <n v="240"/>
    <x v="11"/>
    <x v="17"/>
    <n v="1"/>
    <n v="10018"/>
    <n v="33.179615999999996"/>
    <n v="41.741666666666667"/>
    <s v="Feb"/>
    <x v="6"/>
    <m/>
    <m/>
  </r>
  <r>
    <n v="64999042"/>
    <x v="1"/>
    <n v="2401"/>
    <d v="2026-02-25T00:00:00"/>
    <s v="Yasso Coffee Chocolate Chip 8-14z"/>
    <x v="22"/>
    <n v="3.3119999999999998E-3"/>
    <n v="240"/>
    <x v="11"/>
    <x v="17"/>
    <n v="1"/>
    <n v="2401"/>
    <n v="7.9521119999999996"/>
    <n v="10.004166666666666"/>
    <s v="Feb"/>
    <x v="6"/>
    <m/>
    <m/>
  </r>
  <r>
    <n v="64999042"/>
    <x v="1"/>
    <n v="5121"/>
    <d v="2026-02-26T00:00:00"/>
    <s v="Yasso Coffee Chocolate Chip 8-14z"/>
    <x v="22"/>
    <n v="3.3119999999999998E-3"/>
    <n v="240"/>
    <x v="11"/>
    <x v="17"/>
    <n v="1"/>
    <n v="5121"/>
    <n v="16.960751999999999"/>
    <n v="21.337499999999999"/>
    <s v="Feb"/>
    <x v="6"/>
    <m/>
    <m/>
  </r>
  <r>
    <n v="64999042"/>
    <x v="1"/>
    <n v="-15"/>
    <d v="2026-03-19T00:00:00"/>
    <s v="Yasso Coffee Chocolate Chip 8-14z"/>
    <x v="22"/>
    <n v="3.3119999999999998E-3"/>
    <n v="240"/>
    <x v="11"/>
    <x v="17"/>
    <n v="1"/>
    <n v="-15"/>
    <n v="-4.9679999999999995E-2"/>
    <n v="-6.25E-2"/>
    <s v="Mar"/>
    <x v="9"/>
    <m/>
    <m/>
  </r>
  <r>
    <n v="64999042"/>
    <x v="1"/>
    <n v="7890"/>
    <d v="2026-02-26T00:00:00"/>
    <s v="Yasso Coffee Chocolate Chip 8-14z"/>
    <x v="22"/>
    <n v="3.3119999999999998E-3"/>
    <n v="240"/>
    <x v="11"/>
    <x v="17"/>
    <n v="1"/>
    <n v="7890"/>
    <n v="26.131679999999999"/>
    <n v="32.875"/>
    <s v="Feb"/>
    <x v="6"/>
    <m/>
    <m/>
  </r>
  <r>
    <n v="64999042"/>
    <x v="1"/>
    <n v="10860"/>
    <d v="2026-02-27T00:00:00"/>
    <s v="Yasso Coffee Chocolate Chip 8-14z"/>
    <x v="22"/>
    <n v="3.3119999999999998E-3"/>
    <n v="240"/>
    <x v="11"/>
    <x v="17"/>
    <n v="1"/>
    <n v="10860"/>
    <n v="35.968319999999999"/>
    <n v="45.25"/>
    <s v="Feb"/>
    <x v="6"/>
    <m/>
    <m/>
  </r>
  <r>
    <n v="64999042"/>
    <x v="1"/>
    <n v="5416"/>
    <d v="2026-02-27T00:00:00"/>
    <s v="Yasso Coffee Chocolate Chip 8-14z"/>
    <x v="22"/>
    <n v="3.3119999999999998E-3"/>
    <n v="240"/>
    <x v="11"/>
    <x v="17"/>
    <n v="1"/>
    <n v="5416"/>
    <n v="17.937791999999998"/>
    <n v="22.566666666666666"/>
    <s v="Feb"/>
    <x v="6"/>
    <m/>
    <m/>
  </r>
  <r>
    <n v="64999042"/>
    <x v="1"/>
    <n v="386"/>
    <d v="2026-02-28T00:00:00"/>
    <s v="Yasso Coffee Chocolate Chip 8-14z"/>
    <x v="22"/>
    <n v="3.3119999999999998E-3"/>
    <n v="240"/>
    <x v="11"/>
    <x v="17"/>
    <n v="1"/>
    <n v="386"/>
    <n v="1.278432"/>
    <n v="1.6083333333333334"/>
    <s v="Feb"/>
    <x v="6"/>
    <m/>
    <m/>
  </r>
  <r>
    <n v="65242605"/>
    <x v="1"/>
    <n v="5813"/>
    <d v="2026-03-12T00:00:00"/>
    <s v="Talenti Mediterranean Mint 8p 473ml"/>
    <x v="8"/>
    <n v="3.7839999999999996E-3"/>
    <n v="240"/>
    <x v="2"/>
    <x v="3"/>
    <n v="1"/>
    <n v="5813"/>
    <n v="21.996391999999997"/>
    <n v="24.220833333333335"/>
    <s v="Mar"/>
    <x v="12"/>
    <m/>
    <m/>
  </r>
  <r>
    <n v="65242605"/>
    <x v="1"/>
    <n v="5746"/>
    <d v="2026-03-12T00:00:00"/>
    <s v="Talenti Mediterranean Mint 8p 473ml"/>
    <x v="8"/>
    <n v="3.7839999999999996E-3"/>
    <n v="240"/>
    <x v="2"/>
    <x v="3"/>
    <n v="1"/>
    <n v="5746"/>
    <n v="21.742863999999997"/>
    <n v="23.941666666666666"/>
    <s v="Mar"/>
    <x v="12"/>
    <m/>
    <m/>
  </r>
  <r>
    <n v="65458353"/>
    <x v="1"/>
    <n v="0"/>
    <d v="2026-03-04T00:00:00"/>
    <s v="BJ R01-SUN-StrawBaeShortcake-8 427ML"/>
    <x v="17"/>
    <n v="3.4159999999999998E-3"/>
    <n v="240"/>
    <x v="14"/>
    <x v="21"/>
    <n v="1"/>
    <n v="0"/>
    <n v="0"/>
    <n v="0"/>
    <s v="Mar"/>
    <x v="11"/>
    <m/>
    <m/>
  </r>
  <r>
    <n v="65458353"/>
    <x v="1"/>
    <n v="7680"/>
    <d v="2026-03-05T00:00:00"/>
    <s v="BJ R01-SUN-StrawBaeShortcake-8 427ML"/>
    <x v="17"/>
    <n v="3.4159999999999998E-3"/>
    <n v="240"/>
    <x v="14"/>
    <x v="21"/>
    <n v="1"/>
    <n v="7680"/>
    <n v="26.234879999999997"/>
    <n v="32"/>
    <s v="Mar"/>
    <x v="11"/>
    <m/>
    <m/>
  </r>
  <r>
    <n v="65458353"/>
    <x v="1"/>
    <n v="382"/>
    <d v="2026-03-06T00:00:00"/>
    <s v="BJ R01-SUN-StrawBaeShortcake-8 427ML"/>
    <x v="17"/>
    <n v="3.4159999999999998E-3"/>
    <n v="240"/>
    <x v="14"/>
    <x v="21"/>
    <n v="1"/>
    <n v="382"/>
    <n v="1.3049119999999998"/>
    <n v="1.5916666666666666"/>
    <s v="Mar"/>
    <x v="11"/>
    <m/>
    <m/>
  </r>
  <r>
    <n v="65459033"/>
    <x v="1"/>
    <n v="15"/>
    <d v="2026-03-16T00:00:00"/>
    <s v="BR Strawberry Shortcake 8 1PT"/>
    <x v="22"/>
    <n v="3.7839999999999996E-3"/>
    <n v="240"/>
    <x v="17"/>
    <x v="44"/>
    <n v="1"/>
    <n v="15"/>
    <n v="5.6759999999999991E-2"/>
    <n v="6.25E-2"/>
    <s v="Mar"/>
    <x v="9"/>
    <m/>
    <m/>
  </r>
  <r>
    <n v="65471855"/>
    <x v="1"/>
    <n v="960"/>
    <d v="2026-02-23T00:00:00"/>
    <s v="BR Creamsicle 8 1PT"/>
    <x v="22"/>
    <n v="3.7839999999999996E-3"/>
    <n v="240"/>
    <x v="17"/>
    <x v="44"/>
    <n v="1"/>
    <n v="960"/>
    <n v="3.6326399999999994"/>
    <n v="4"/>
    <s v="Feb"/>
    <x v="6"/>
    <m/>
    <m/>
  </r>
  <r>
    <n v="65594416"/>
    <x v="1"/>
    <n v="3456"/>
    <d v="2026-03-19T00:00:00"/>
    <s v="MG Bars Dubai Chocolate 1-12pk"/>
    <x v="26"/>
    <n v="9.5999999999999992E-4"/>
    <n v="432"/>
    <x v="5"/>
    <x v="6"/>
    <n v="1"/>
    <n v="3456"/>
    <n v="3.3177599999999998"/>
    <n v="8"/>
    <s v="Mar"/>
    <x v="9"/>
    <m/>
    <m/>
  </r>
  <r>
    <n v="65594416"/>
    <x v="1"/>
    <n v="5532"/>
    <d v="2026-03-20T00:00:00"/>
    <s v="MG Bars Dubai Chocolate 1-12pk"/>
    <x v="26"/>
    <n v="9.5999999999999992E-4"/>
    <n v="432"/>
    <x v="5"/>
    <x v="6"/>
    <n v="1"/>
    <n v="5532"/>
    <n v="5.3107199999999999"/>
    <n v="12.805555555555555"/>
    <s v="Mar"/>
    <x v="9"/>
    <m/>
    <m/>
  </r>
  <r>
    <n v="65594416"/>
    <x v="1"/>
    <n v="8405"/>
    <d v="2026-03-20T00:00:00"/>
    <s v="MG Bars Dubai Chocolate 1-12pk"/>
    <x v="26"/>
    <n v="9.5999999999999992E-4"/>
    <n v="432"/>
    <x v="5"/>
    <x v="6"/>
    <n v="1"/>
    <n v="8405"/>
    <n v="8.0687999999999995"/>
    <n v="19.456018518518519"/>
    <s v="Mar"/>
    <x v="9"/>
    <m/>
    <m/>
  </r>
  <r>
    <n v="65594416"/>
    <x v="1"/>
    <n v="9263"/>
    <d v="2026-03-21T00:00:00"/>
    <s v="MG Bars Dubai Chocolate 1-12pk"/>
    <x v="26"/>
    <n v="9.5999999999999992E-4"/>
    <n v="432"/>
    <x v="5"/>
    <x v="6"/>
    <n v="1"/>
    <n v="9263"/>
    <n v="8.8924799999999991"/>
    <n v="21.44212962962963"/>
    <s v="Mar"/>
    <x v="9"/>
    <m/>
    <m/>
  </r>
  <r>
    <n v="65594416"/>
    <x v="1"/>
    <n v="19871"/>
    <d v="2026-03-21T00:00:00"/>
    <s v="MG Bars Dubai Chocolate 1-12pk"/>
    <x v="26"/>
    <n v="9.5999999999999992E-4"/>
    <n v="432"/>
    <x v="5"/>
    <x v="6"/>
    <n v="1"/>
    <n v="19871"/>
    <n v="19.076159999999998"/>
    <n v="45.997685185185183"/>
    <s v="Mar"/>
    <x v="9"/>
    <m/>
    <m/>
  </r>
  <r>
    <n v="65594416"/>
    <x v="1"/>
    <n v="14256"/>
    <d v="2026-03-22T00:00:00"/>
    <s v="MG Bars Dubai Chocolate 1-12pk"/>
    <x v="26"/>
    <n v="9.5999999999999992E-4"/>
    <n v="432"/>
    <x v="5"/>
    <x v="6"/>
    <n v="1"/>
    <n v="14256"/>
    <n v="13.685759999999998"/>
    <n v="33"/>
    <s v="Mar"/>
    <x v="10"/>
    <m/>
    <m/>
  </r>
  <r>
    <n v="65594416"/>
    <x v="1"/>
    <n v="10629"/>
    <d v="2026-03-22T00:00:00"/>
    <s v="MG Bars Dubai Chocolate 1-12pk"/>
    <x v="26"/>
    <n v="9.5999999999999992E-4"/>
    <n v="432"/>
    <x v="5"/>
    <x v="6"/>
    <n v="1"/>
    <n v="10629"/>
    <n v="10.20384"/>
    <n v="24.604166666666668"/>
    <s v="Mar"/>
    <x v="10"/>
    <m/>
    <m/>
  </r>
  <r>
    <n v="65594416"/>
    <x v="1"/>
    <n v="11118"/>
    <d v="2026-03-23T00:00:00"/>
    <s v="MG Bars Dubai Chocolate 1-12pk"/>
    <x v="26"/>
    <n v="9.5999999999999992E-4"/>
    <n v="432"/>
    <x v="5"/>
    <x v="6"/>
    <n v="1"/>
    <n v="11118"/>
    <n v="10.673279999999998"/>
    <n v="25.736111111111111"/>
    <s v="Mar"/>
    <x v="10"/>
    <m/>
    <m/>
  </r>
  <r>
    <n v="65594416"/>
    <x v="1"/>
    <n v="7479"/>
    <d v="2026-03-23T00:00:00"/>
    <s v="MG Bars Dubai Chocolate 1-12pk"/>
    <x v="26"/>
    <n v="9.5999999999999992E-4"/>
    <n v="432"/>
    <x v="5"/>
    <x v="6"/>
    <n v="1"/>
    <n v="7479"/>
    <n v="7.1798399999999996"/>
    <n v="17.3125"/>
    <s v="Mar"/>
    <x v="10"/>
    <m/>
    <m/>
  </r>
  <r>
    <n v="65594416"/>
    <x v="1"/>
    <n v="12744"/>
    <d v="2026-03-24T00:00:00"/>
    <s v="MG Bars Dubai Chocolate 1-12pk"/>
    <x v="26"/>
    <n v="9.5999999999999992E-4"/>
    <n v="432"/>
    <x v="5"/>
    <x v="6"/>
    <n v="1"/>
    <n v="12744"/>
    <n v="12.23424"/>
    <n v="29.5"/>
    <s v="Mar"/>
    <x v="10"/>
    <m/>
    <m/>
  </r>
  <r>
    <n v="65594416"/>
    <x v="1"/>
    <n v="16722"/>
    <d v="2026-03-24T00:00:00"/>
    <s v="MG Bars Dubai Chocolate 1-12pk"/>
    <x v="26"/>
    <n v="9.5999999999999992E-4"/>
    <n v="432"/>
    <x v="5"/>
    <x v="6"/>
    <n v="1"/>
    <n v="16722"/>
    <n v="16.05312"/>
    <n v="38.708333333333336"/>
    <s v="Mar"/>
    <x v="10"/>
    <m/>
    <m/>
  </r>
  <r>
    <n v="67826412"/>
    <x v="1"/>
    <n v="120"/>
    <d v="2026-02-23T00:00:00"/>
    <s v="BJ US-IC-ChunkyMonkey-FTNG-8 1PT"/>
    <x v="22"/>
    <n v="3.7853439999999999E-3"/>
    <n v="240"/>
    <x v="3"/>
    <x v="12"/>
    <n v="1"/>
    <n v="120"/>
    <n v="0.45424127999999997"/>
    <n v="0.5"/>
    <s v="Feb"/>
    <x v="6"/>
    <m/>
    <m/>
  </r>
  <r>
    <n v="67826412"/>
    <x v="1"/>
    <n v="10884"/>
    <d v="2026-03-11T00:00:00"/>
    <s v="BJ US-IC-ChunkyMonkey-FTNG-8 1PT"/>
    <x v="22"/>
    <n v="3.7853439999999999E-3"/>
    <n v="240"/>
    <x v="3"/>
    <x v="12"/>
    <n v="1"/>
    <n v="10884"/>
    <n v="41.199684095999999"/>
    <n v="45.35"/>
    <s v="Mar"/>
    <x v="12"/>
    <m/>
    <m/>
  </r>
  <r>
    <n v="67826412"/>
    <x v="1"/>
    <n v="9360"/>
    <d v="2026-03-12T00:00:00"/>
    <s v="BJ US-IC-ChunkyMonkey-FTNG-8 1PT"/>
    <x v="22"/>
    <n v="3.7853439999999999E-3"/>
    <n v="240"/>
    <x v="3"/>
    <x v="12"/>
    <n v="1"/>
    <n v="9360"/>
    <n v="35.430819839999998"/>
    <n v="39"/>
    <s v="Mar"/>
    <x v="12"/>
    <m/>
    <m/>
  </r>
  <r>
    <n v="67826412"/>
    <x v="1"/>
    <n v="10800"/>
    <d v="2026-03-12T00:00:00"/>
    <s v="BJ US-IC-ChunkyMonkey-FTNG-8 1PT"/>
    <x v="22"/>
    <n v="3.7853439999999999E-3"/>
    <n v="240"/>
    <x v="3"/>
    <x v="12"/>
    <n v="1"/>
    <n v="10800"/>
    <n v="40.881715200000002"/>
    <n v="45"/>
    <s v="Mar"/>
    <x v="12"/>
    <m/>
    <m/>
  </r>
  <r>
    <n v="67826412"/>
    <x v="1"/>
    <n v="8321"/>
    <d v="2026-03-13T00:00:00"/>
    <s v="BJ US-IC-ChunkyMonkey-FTNG-8 1PT"/>
    <x v="22"/>
    <n v="3.7853439999999999E-3"/>
    <n v="240"/>
    <x v="3"/>
    <x v="12"/>
    <n v="1"/>
    <n v="8321"/>
    <n v="31.497847424"/>
    <n v="34.670833333333334"/>
    <s v="Mar"/>
    <x v="12"/>
    <m/>
    <m/>
  </r>
  <r>
    <n v="67826412"/>
    <x v="1"/>
    <n v="-481"/>
    <d v="2026-03-19T00:00:00"/>
    <s v="BJ US-IC-ChunkyMonkey-FTNG-8 1PT"/>
    <x v="22"/>
    <n v="3.7853439999999999E-3"/>
    <n v="240"/>
    <x v="3"/>
    <x v="12"/>
    <n v="1"/>
    <n v="-481"/>
    <n v="-1.8207504640000001"/>
    <n v="-2.0041666666666669"/>
    <s v="Mar"/>
    <x v="9"/>
    <m/>
    <m/>
  </r>
  <r>
    <n v="67826412"/>
    <x v="1"/>
    <n v="9600"/>
    <d v="2026-03-13T00:00:00"/>
    <s v="BJ US-IC-ChunkyMonkey-FTNG-8 1PT"/>
    <x v="22"/>
    <n v="3.7853439999999999E-3"/>
    <n v="240"/>
    <x v="3"/>
    <x v="12"/>
    <n v="1"/>
    <n v="9600"/>
    <n v="36.339302400000001"/>
    <n v="40"/>
    <s v="Mar"/>
    <x v="12"/>
    <m/>
    <m/>
  </r>
  <r>
    <n v="67826412"/>
    <x v="1"/>
    <n v="240"/>
    <d v="2026-03-14T00:00:00"/>
    <s v="BJ US-IC-ChunkyMonkey-FTNG-8 1PT"/>
    <x v="22"/>
    <n v="3.7853439999999999E-3"/>
    <n v="240"/>
    <x v="3"/>
    <x v="12"/>
    <n v="1"/>
    <n v="240"/>
    <n v="0.90848255999999994"/>
    <n v="1"/>
    <s v="Mar"/>
    <x v="12"/>
    <m/>
    <m/>
  </r>
  <r>
    <n v="67826412"/>
    <x v="1"/>
    <n v="196"/>
    <d v="2026-03-16T00:00:00"/>
    <s v="BJ US-IC-ChunkyMonkey-FTNG-8 1PT"/>
    <x v="22"/>
    <n v="3.7853439999999999E-3"/>
    <n v="240"/>
    <x v="3"/>
    <x v="12"/>
    <n v="1"/>
    <n v="196"/>
    <n v="0.741927424"/>
    <n v="0.81666666666666665"/>
    <s v="Mar"/>
    <x v="9"/>
    <m/>
    <m/>
  </r>
  <r>
    <n v="67826412"/>
    <x v="1"/>
    <n v="2400"/>
    <d v="2026-03-11T00:00:00"/>
    <s v="BJ US-IC-ChunkyMonkey-FTNG-8 1PT"/>
    <x v="22"/>
    <n v="3.7853439999999999E-3"/>
    <n v="240"/>
    <x v="3"/>
    <x v="12"/>
    <n v="1"/>
    <n v="2400"/>
    <n v="9.0848256000000003"/>
    <n v="10"/>
    <s v="Mar"/>
    <x v="12"/>
    <m/>
    <m/>
  </r>
  <r>
    <n v="68354587"/>
    <x v="1"/>
    <n v="6404"/>
    <d v="2026-03-19T00:00:00"/>
    <s v="BJ US-TOP-TIRAMISU-8 450ml"/>
    <x v="17"/>
    <n v="3.5999999999999999E-3"/>
    <n v="240"/>
    <x v="8"/>
    <x v="9"/>
    <n v="1"/>
    <n v="6404"/>
    <n v="23.054400000000001"/>
    <n v="26.683333333333334"/>
    <s v="Mar"/>
    <x v="9"/>
    <m/>
    <m/>
  </r>
  <r>
    <n v="68354587"/>
    <x v="1"/>
    <n v="8720"/>
    <d v="2026-03-20T00:00:00"/>
    <s v="BJ US-TOP-TIRAMISU-8 450ml"/>
    <x v="17"/>
    <n v="3.5999999999999999E-3"/>
    <n v="240"/>
    <x v="8"/>
    <x v="9"/>
    <n v="1"/>
    <n v="8720"/>
    <n v="31.391999999999999"/>
    <n v="36.333333333333336"/>
    <s v="Mar"/>
    <x v="9"/>
    <m/>
    <m/>
  </r>
  <r>
    <n v="68354587"/>
    <x v="1"/>
    <n v="10136"/>
    <d v="2026-03-20T00:00:00"/>
    <s v="BJ US-TOP-TIRAMISU-8 450ml"/>
    <x v="17"/>
    <n v="3.5999999999999999E-3"/>
    <n v="240"/>
    <x v="8"/>
    <x v="9"/>
    <n v="1"/>
    <n v="10136"/>
    <n v="36.489599999999996"/>
    <n v="42.233333333333334"/>
    <s v="Mar"/>
    <x v="9"/>
    <m/>
    <m/>
  </r>
  <r>
    <n v="68354587"/>
    <x v="1"/>
    <n v="5531"/>
    <d v="2026-03-21T00:00:00"/>
    <s v="BJ US-TOP-TIRAMISU-8 450ml"/>
    <x v="17"/>
    <n v="3.5999999999999999E-3"/>
    <n v="240"/>
    <x v="8"/>
    <x v="9"/>
    <n v="1"/>
    <n v="5531"/>
    <n v="19.9116"/>
    <n v="23.045833333333334"/>
    <s v="Mar"/>
    <x v="9"/>
    <m/>
    <m/>
  </r>
  <r>
    <n v="68354588"/>
    <x v="1"/>
    <n v="4695"/>
    <d v="2026-02-23T00:00:00"/>
    <s v="BJ US-TOP-SLTDCRMLBRWNIE-8 450ml"/>
    <x v="17"/>
    <n v="3.5999999999999999E-3"/>
    <n v="240"/>
    <x v="8"/>
    <x v="9"/>
    <n v="1"/>
    <n v="4695"/>
    <n v="16.902000000000001"/>
    <n v="19.5625"/>
    <s v="Feb"/>
    <x v="6"/>
    <m/>
    <m/>
  </r>
  <r>
    <n v="68354588"/>
    <x v="1"/>
    <n v="7398"/>
    <d v="2026-02-24T00:00:00"/>
    <s v="BJ US-TOP-SLTDCRMLBRWNIE-8 450ml"/>
    <x v="17"/>
    <n v="3.5999999999999999E-3"/>
    <n v="240"/>
    <x v="8"/>
    <x v="9"/>
    <n v="1"/>
    <n v="7398"/>
    <n v="26.6328"/>
    <n v="30.824999999999999"/>
    <s v="Feb"/>
    <x v="6"/>
    <m/>
    <m/>
  </r>
  <r>
    <n v="68354588"/>
    <x v="1"/>
    <n v="-15"/>
    <d v="2026-03-13T00:00:00"/>
    <s v="BJ US-TOP-SLTDCRMLBRWNIE-8 450ml"/>
    <x v="17"/>
    <n v="3.5999999999999999E-3"/>
    <n v="240"/>
    <x v="8"/>
    <x v="9"/>
    <n v="1"/>
    <n v="-15"/>
    <n v="-5.3999999999999999E-2"/>
    <n v="-6.25E-2"/>
    <s v="Mar"/>
    <x v="12"/>
    <m/>
    <m/>
  </r>
  <r>
    <n v="68354588"/>
    <x v="1"/>
    <n v="11430"/>
    <d v="2026-02-24T00:00:00"/>
    <s v="BJ US-TOP-SLTDCRMLBRWNIE-8 450ml"/>
    <x v="17"/>
    <n v="3.5999999999999999E-3"/>
    <n v="240"/>
    <x v="8"/>
    <x v="9"/>
    <n v="1"/>
    <n v="11430"/>
    <n v="41.147999999999996"/>
    <n v="47.625"/>
    <s v="Feb"/>
    <x v="6"/>
    <m/>
    <m/>
  </r>
  <r>
    <n v="68354588"/>
    <x v="1"/>
    <n v="8635"/>
    <d v="2026-02-25T00:00:00"/>
    <s v="BJ US-TOP-SLTDCRMLBRWNIE-8 450ml"/>
    <x v="17"/>
    <n v="3.5999999999999999E-3"/>
    <n v="240"/>
    <x v="8"/>
    <x v="9"/>
    <n v="1"/>
    <n v="8635"/>
    <n v="31.085999999999999"/>
    <n v="35.979166666666664"/>
    <s v="Feb"/>
    <x v="6"/>
    <m/>
    <m/>
  </r>
  <r>
    <n v="68354588"/>
    <x v="1"/>
    <n v="-229"/>
    <d v="2026-02-27T00:00:00"/>
    <s v="BJ US-TOP-SLTDCRMLBRWNIE-8 450ml"/>
    <x v="17"/>
    <n v="3.5999999999999999E-3"/>
    <n v="240"/>
    <x v="8"/>
    <x v="9"/>
    <n v="1"/>
    <n v="-229"/>
    <n v="-0.82440000000000002"/>
    <n v="-0.95416666666666672"/>
    <s v="Feb"/>
    <x v="6"/>
    <m/>
    <m/>
  </r>
  <r>
    <n v="68354588"/>
    <x v="1"/>
    <n v="11369"/>
    <d v="2026-02-25T00:00:00"/>
    <s v="BJ US-TOP-SLTDCRMLBRWNIE-8 450ml"/>
    <x v="17"/>
    <n v="3.5999999999999999E-3"/>
    <n v="240"/>
    <x v="8"/>
    <x v="9"/>
    <n v="1"/>
    <n v="11369"/>
    <n v="40.928399999999996"/>
    <n v="47.37083333333333"/>
    <s v="Feb"/>
    <x v="6"/>
    <m/>
    <m/>
  </r>
  <r>
    <n v="68354588"/>
    <x v="1"/>
    <n v="6880"/>
    <d v="2026-02-26T00:00:00"/>
    <s v="BJ US-TOP-SLTDCRMLBRWNIE-8 450ml"/>
    <x v="17"/>
    <n v="3.5999999999999999E-3"/>
    <n v="240"/>
    <x v="8"/>
    <x v="9"/>
    <n v="1"/>
    <n v="6880"/>
    <n v="24.768000000000001"/>
    <n v="28.666666666666668"/>
    <s v="Feb"/>
    <x v="6"/>
    <m/>
    <m/>
  </r>
  <r>
    <n v="68626039"/>
    <x v="1"/>
    <n v="1859"/>
    <d v="2026-03-16T00:00:00"/>
    <s v="BR Cookies and Cream 8 1PT"/>
    <x v="17"/>
    <n v="3.7839999999999996E-3"/>
    <n v="240"/>
    <x v="9"/>
    <x v="14"/>
    <n v="1"/>
    <n v="1859"/>
    <n v="7.0344559999999996"/>
    <n v="7.7458333333333336"/>
    <s v="Mar"/>
    <x v="9"/>
    <m/>
    <m/>
  </r>
  <r>
    <n v="68626039"/>
    <x v="1"/>
    <n v="5993"/>
    <d v="2026-03-17T00:00:00"/>
    <s v="BR Cookies and Cream 8 1PT"/>
    <x v="17"/>
    <n v="3.7839999999999996E-3"/>
    <n v="240"/>
    <x v="9"/>
    <x v="14"/>
    <n v="1"/>
    <n v="5993"/>
    <n v="22.677511999999997"/>
    <n v="24.970833333333335"/>
    <s v="Mar"/>
    <x v="9"/>
    <m/>
    <m/>
  </r>
  <r>
    <n v="68626039"/>
    <x v="1"/>
    <n v="9232"/>
    <d v="2026-03-17T00:00:00"/>
    <s v="BR Cookies and Cream 8 1PT"/>
    <x v="17"/>
    <n v="3.7839999999999996E-3"/>
    <n v="240"/>
    <x v="9"/>
    <x v="14"/>
    <n v="1"/>
    <n v="9232"/>
    <n v="34.933887999999996"/>
    <n v="38.466666666666669"/>
    <s v="Mar"/>
    <x v="9"/>
    <m/>
    <m/>
  </r>
  <r>
    <n v="68626039"/>
    <x v="1"/>
    <n v="7416"/>
    <d v="2026-03-18T00:00:00"/>
    <s v="BR Cookies and Cream 8 1PT"/>
    <x v="17"/>
    <n v="3.7839999999999996E-3"/>
    <n v="240"/>
    <x v="9"/>
    <x v="14"/>
    <n v="1"/>
    <n v="7416"/>
    <n v="28.062143999999996"/>
    <n v="30.9"/>
    <s v="Mar"/>
    <x v="9"/>
    <m/>
    <m/>
  </r>
  <r>
    <n v="68626039"/>
    <x v="1"/>
    <n v="11379"/>
    <d v="2026-03-18T00:00:00"/>
    <s v="BR Cookies and Cream 8 1PT"/>
    <x v="17"/>
    <n v="3.7839999999999996E-3"/>
    <n v="240"/>
    <x v="9"/>
    <x v="14"/>
    <n v="1"/>
    <n v="11379"/>
    <n v="43.058135999999998"/>
    <n v="47.412500000000001"/>
    <s v="Mar"/>
    <x v="9"/>
    <m/>
    <m/>
  </r>
  <r>
    <n v="68626039"/>
    <x v="1"/>
    <n v="2147"/>
    <d v="2026-03-19T00:00:00"/>
    <s v="BR Cookies and Cream 8 1PT"/>
    <x v="17"/>
    <n v="3.7839999999999996E-3"/>
    <n v="240"/>
    <x v="9"/>
    <x v="14"/>
    <n v="1"/>
    <n v="2147"/>
    <n v="8.1242479999999997"/>
    <n v="8.9458333333333329"/>
    <s v="Mar"/>
    <x v="9"/>
    <m/>
    <m/>
  </r>
  <r>
    <n v="68649095"/>
    <x v="1"/>
    <n v="8922"/>
    <d v="2026-03-11T00:00:00"/>
    <s v="BJ US-TOP-DirtCake-8 450ML"/>
    <x v="17"/>
    <n v="3.5999999999999999E-3"/>
    <n v="240"/>
    <x v="8"/>
    <x v="9"/>
    <n v="1"/>
    <n v="8922"/>
    <n v="32.119199999999999"/>
    <n v="37.174999999999997"/>
    <s v="Mar"/>
    <x v="12"/>
    <m/>
    <m/>
  </r>
  <r>
    <n v="68649095"/>
    <x v="1"/>
    <n v="6584"/>
    <d v="2026-03-12T00:00:00"/>
    <s v="BJ US-TOP-DirtCake-8 450ML"/>
    <x v="17"/>
    <n v="3.5999999999999999E-3"/>
    <n v="240"/>
    <x v="8"/>
    <x v="9"/>
    <n v="1"/>
    <n v="6584"/>
    <n v="23.702400000000001"/>
    <n v="27.433333333333334"/>
    <s v="Mar"/>
    <x v="12"/>
    <m/>
    <m/>
  </r>
  <r>
    <n v="68649095"/>
    <x v="1"/>
    <n v="3000"/>
    <d v="2026-03-09T00:00:00"/>
    <s v="BJ US-TOP-DirtCake-8 450ML"/>
    <x v="17"/>
    <n v="3.5999999999999999E-3"/>
    <n v="240"/>
    <x v="8"/>
    <x v="9"/>
    <n v="1"/>
    <n v="3000"/>
    <n v="10.799999999999999"/>
    <n v="12.5"/>
    <s v="Mar"/>
    <x v="12"/>
    <m/>
    <m/>
  </r>
  <r>
    <n v="68649095"/>
    <x v="1"/>
    <n v="7805"/>
    <d v="2026-03-10T00:00:00"/>
    <s v="BJ US-TOP-DirtCake-8 450ML"/>
    <x v="17"/>
    <n v="3.5999999999999999E-3"/>
    <n v="240"/>
    <x v="8"/>
    <x v="9"/>
    <n v="1"/>
    <n v="7805"/>
    <n v="28.097999999999999"/>
    <n v="32.520833333333336"/>
    <s v="Mar"/>
    <x v="12"/>
    <m/>
    <m/>
  </r>
  <r>
    <n v="68649095"/>
    <x v="1"/>
    <n v="4742"/>
    <d v="2026-03-10T00:00:00"/>
    <s v="BJ US-TOP-DirtCake-8 450ML"/>
    <x v="17"/>
    <n v="3.5999999999999999E-3"/>
    <n v="240"/>
    <x v="8"/>
    <x v="9"/>
    <n v="1"/>
    <n v="4742"/>
    <n v="17.071200000000001"/>
    <n v="19.758333333333333"/>
    <s v="Mar"/>
    <x v="12"/>
    <m/>
    <m/>
  </r>
  <r>
    <n v="68649095"/>
    <x v="1"/>
    <n v="5424"/>
    <d v="2026-03-11T00:00:00"/>
    <s v="BJ US-TOP-DirtCake-8 450ML"/>
    <x v="17"/>
    <n v="3.5999999999999999E-3"/>
    <n v="240"/>
    <x v="8"/>
    <x v="9"/>
    <n v="1"/>
    <n v="5424"/>
    <n v="19.526399999999999"/>
    <n v="22.6"/>
    <s v="Mar"/>
    <x v="12"/>
    <m/>
    <m/>
  </r>
  <r>
    <n v="68649095"/>
    <x v="1"/>
    <n v="675"/>
    <d v="2026-03-12T00:00:00"/>
    <s v="BJ US-TOP-DirtCake-8 450ML"/>
    <x v="17"/>
    <n v="3.5999999999999999E-3"/>
    <n v="240"/>
    <x v="8"/>
    <x v="9"/>
    <n v="1"/>
    <n v="675"/>
    <n v="2.4299999999999997"/>
    <n v="2.8125"/>
    <s v="Mar"/>
    <x v="12"/>
    <m/>
    <m/>
  </r>
  <r>
    <n v="68649095"/>
    <x v="1"/>
    <n v="-30"/>
    <d v="2026-03-23T00:00:00"/>
    <s v="BJ US-TOP-DirtCake-8 450ML"/>
    <x v="17"/>
    <n v="3.5999999999999999E-3"/>
    <n v="240"/>
    <x v="8"/>
    <x v="9"/>
    <n v="1"/>
    <n v="-30"/>
    <n v="-0.108"/>
    <n v="-0.125"/>
    <s v="Mar"/>
    <x v="10"/>
    <m/>
    <m/>
  </r>
  <r>
    <n v="68649095"/>
    <x v="1"/>
    <n v="8629"/>
    <d v="2026-03-12T00:00:00"/>
    <s v="BJ US-TOP-DirtCake-8 450ML"/>
    <x v="17"/>
    <n v="3.5999999999999999E-3"/>
    <n v="240"/>
    <x v="8"/>
    <x v="9"/>
    <n v="1"/>
    <n v="8629"/>
    <n v="31.064399999999999"/>
    <n v="35.954166666666666"/>
    <s v="Mar"/>
    <x v="12"/>
    <m/>
    <m/>
  </r>
  <r>
    <n v="68649095"/>
    <x v="1"/>
    <n v="-240"/>
    <d v="2026-03-19T00:00:00"/>
    <s v="BJ US-TOP-DirtCake-8 450ML"/>
    <x v="17"/>
    <n v="3.5999999999999999E-3"/>
    <n v="240"/>
    <x v="8"/>
    <x v="9"/>
    <n v="1"/>
    <n v="-240"/>
    <n v="-0.86399999999999999"/>
    <n v="-1"/>
    <s v="Mar"/>
    <x v="9"/>
    <m/>
    <m/>
  </r>
  <r>
    <n v="68649097"/>
    <x v="1"/>
    <n v="720"/>
    <d v="2026-03-13T00:00:00"/>
    <s v="BJ US-TOP-RaspCheesecake-8 450ML"/>
    <x v="17"/>
    <n v="3.5999999999999999E-3"/>
    <n v="240"/>
    <x v="8"/>
    <x v="9"/>
    <n v="1"/>
    <n v="720"/>
    <n v="2.5920000000000001"/>
    <n v="3"/>
    <s v="Mar"/>
    <x v="12"/>
    <m/>
    <m/>
  </r>
  <r>
    <n v="68649097"/>
    <x v="1"/>
    <n v="11204"/>
    <d v="2026-03-13T00:00:00"/>
    <s v="BJ US-TOP-RaspCheesecake-8 450ML"/>
    <x v="17"/>
    <n v="3.5999999999999999E-3"/>
    <n v="240"/>
    <x v="8"/>
    <x v="9"/>
    <n v="1"/>
    <n v="11204"/>
    <n v="40.334400000000002"/>
    <n v="46.68333333333333"/>
    <s v="Mar"/>
    <x v="12"/>
    <m/>
    <m/>
  </r>
  <r>
    <n v="68649097"/>
    <x v="1"/>
    <n v="5284"/>
    <d v="2026-03-14T00:00:00"/>
    <s v="BJ US-TOP-RaspCheesecake-8 450ML"/>
    <x v="17"/>
    <n v="3.5999999999999999E-3"/>
    <n v="240"/>
    <x v="8"/>
    <x v="9"/>
    <n v="1"/>
    <n v="5284"/>
    <n v="19.022400000000001"/>
    <n v="22.016666666666666"/>
    <s v="Mar"/>
    <x v="12"/>
    <m/>
    <m/>
  </r>
  <r>
    <n v="68649097"/>
    <x v="1"/>
    <n v="0"/>
    <d v="2026-03-16T00:00:00"/>
    <s v="BJ US-TOP-RaspCheesecake-8 450ML"/>
    <x v="17"/>
    <n v="3.5999999999999999E-3"/>
    <n v="240"/>
    <x v="8"/>
    <x v="9"/>
    <n v="1"/>
    <n v="0"/>
    <n v="0"/>
    <n v="0"/>
    <s v="Mar"/>
    <x v="9"/>
    <m/>
    <m/>
  </r>
  <r>
    <n v="68654238"/>
    <x v="1"/>
    <n v="3762"/>
    <d v="2026-03-09T00:00:00"/>
    <s v="BJ US-IC-DublinMudslide-8 1PT"/>
    <x v="22"/>
    <n v="3.7839999999999996E-3"/>
    <n v="240"/>
    <x v="3"/>
    <x v="12"/>
    <n v="1"/>
    <n v="3762"/>
    <n v="14.235407999999998"/>
    <n v="15.675000000000001"/>
    <s v="Mar"/>
    <x v="12"/>
    <m/>
    <m/>
  </r>
  <r>
    <n v="68654238"/>
    <x v="1"/>
    <n v="9933"/>
    <d v="2026-03-10T00:00:00"/>
    <s v="BJ US-IC-DublinMudslide-8 1PT"/>
    <x v="22"/>
    <n v="3.7839999999999996E-3"/>
    <n v="240"/>
    <x v="3"/>
    <x v="12"/>
    <n v="1"/>
    <n v="9933"/>
    <n v="37.586471999999993"/>
    <n v="41.387500000000003"/>
    <s v="Mar"/>
    <x v="12"/>
    <m/>
    <m/>
  </r>
  <r>
    <n v="68654238"/>
    <x v="1"/>
    <n v="7893"/>
    <d v="2026-03-10T00:00:00"/>
    <s v="BJ US-IC-DublinMudslide-8 1PT"/>
    <x v="22"/>
    <n v="3.7839999999999996E-3"/>
    <n v="240"/>
    <x v="3"/>
    <x v="12"/>
    <n v="1"/>
    <n v="7893"/>
    <n v="29.867111999999995"/>
    <n v="32.887500000000003"/>
    <s v="Mar"/>
    <x v="12"/>
    <m/>
    <m/>
  </r>
  <r>
    <n v="68654238"/>
    <x v="1"/>
    <n v="213"/>
    <d v="2026-03-11T00:00:00"/>
    <s v="BJ US-IC-DublinMudslide-8 1PT"/>
    <x v="22"/>
    <n v="3.7839999999999996E-3"/>
    <n v="240"/>
    <x v="3"/>
    <x v="12"/>
    <n v="1"/>
    <n v="213"/>
    <n v="0.80599199999999993"/>
    <n v="0.88749999999999996"/>
    <s v="Mar"/>
    <x v="12"/>
    <m/>
    <m/>
  </r>
  <r>
    <n v="68654238"/>
    <x v="1"/>
    <n v="267"/>
    <d v="2026-03-12T00:00:00"/>
    <s v="BJ US-IC-DublinMudslide-8 1PT"/>
    <x v="22"/>
    <n v="3.7839999999999996E-3"/>
    <n v="240"/>
    <x v="3"/>
    <x v="12"/>
    <n v="1"/>
    <n v="267"/>
    <n v="1.0103279999999999"/>
    <n v="1.1125"/>
    <s v="Mar"/>
    <x v="12"/>
    <m/>
    <m/>
  </r>
  <r>
    <n v="68741742"/>
    <x v="1"/>
    <n v="154"/>
    <d v="2026-03-16T00:00:00"/>
    <s v="GH Strawberry Shortcake Bar 8-6PK"/>
    <x v="19"/>
    <n v="4.2560000000000002E-3"/>
    <n v="154"/>
    <x v="7"/>
    <x v="10"/>
    <n v="1"/>
    <n v="154"/>
    <n v="0.65542400000000001"/>
    <n v="1"/>
    <s v="Mar"/>
    <x v="9"/>
    <m/>
    <m/>
  </r>
  <r>
    <n v="68741742"/>
    <x v="1"/>
    <n v="1694"/>
    <d v="2026-03-17T00:00:00"/>
    <s v="GH Strawberry Shortcake Bar 8-6PK"/>
    <x v="19"/>
    <n v="4.2560000000000002E-3"/>
    <n v="154"/>
    <x v="7"/>
    <x v="10"/>
    <n v="1"/>
    <n v="1694"/>
    <n v="7.2096640000000001"/>
    <n v="11"/>
    <s v="Mar"/>
    <x v="9"/>
    <m/>
    <m/>
  </r>
  <r>
    <n v="68741742"/>
    <x v="1"/>
    <n v="2200"/>
    <d v="2026-03-17T00:00:00"/>
    <s v="GH Strawberry Shortcake Bar 8-6PK"/>
    <x v="19"/>
    <n v="4.2560000000000002E-3"/>
    <n v="154"/>
    <x v="7"/>
    <x v="10"/>
    <n v="1"/>
    <n v="2200"/>
    <n v="9.3632000000000009"/>
    <n v="14.285714285714286"/>
    <s v="Mar"/>
    <x v="9"/>
    <m/>
    <m/>
  </r>
  <r>
    <n v="68741742"/>
    <x v="1"/>
    <n v="1904"/>
    <d v="2026-03-18T00:00:00"/>
    <s v="GH Strawberry Shortcake Bar 8-6PK"/>
    <x v="19"/>
    <n v="4.2560000000000002E-3"/>
    <n v="154"/>
    <x v="7"/>
    <x v="10"/>
    <n v="1"/>
    <n v="1904"/>
    <n v="8.1034240000000004"/>
    <n v="12.363636363636363"/>
    <s v="Mar"/>
    <x v="9"/>
    <m/>
    <m/>
  </r>
  <r>
    <n v="68741742"/>
    <x v="1"/>
    <n v="-112"/>
    <d v="2026-03-24T00:00:00"/>
    <s v="GH Strawberry Shortcake Bar 8-6PK"/>
    <x v="19"/>
    <n v="4.2560000000000002E-3"/>
    <n v="154"/>
    <x v="7"/>
    <x v="10"/>
    <n v="1"/>
    <n v="-112"/>
    <n v="-0.47667200000000004"/>
    <n v="-0.72727272727272729"/>
    <s v="Mar"/>
    <x v="10"/>
    <m/>
    <m/>
  </r>
  <r>
    <n v="68741742"/>
    <x v="1"/>
    <n v="480"/>
    <d v="2026-03-18T00:00:00"/>
    <s v="GH Strawberry Shortcake Bar 8-6PK"/>
    <x v="19"/>
    <n v="4.2560000000000002E-3"/>
    <n v="154"/>
    <x v="7"/>
    <x v="10"/>
    <n v="1"/>
    <n v="480"/>
    <n v="2.0428800000000003"/>
    <n v="3.116883116883117"/>
    <s v="Mar"/>
    <x v="9"/>
    <m/>
    <m/>
  </r>
  <r>
    <n v="68741742"/>
    <x v="1"/>
    <n v="1680"/>
    <d v="2026-03-19T00:00:00"/>
    <s v="GH Strawberry Shortcake Bar 8-6PK"/>
    <x v="19"/>
    <n v="4.2560000000000002E-3"/>
    <n v="154"/>
    <x v="7"/>
    <x v="10"/>
    <n v="1"/>
    <n v="1680"/>
    <n v="7.15008"/>
    <n v="10.909090909090908"/>
    <s v="Mar"/>
    <x v="9"/>
    <m/>
    <m/>
  </r>
  <r>
    <n v="68741742"/>
    <x v="1"/>
    <n v="1540"/>
    <d v="2026-03-19T00:00:00"/>
    <s v="GH Strawberry Shortcake Bar 8-6PK"/>
    <x v="19"/>
    <n v="4.2560000000000002E-3"/>
    <n v="154"/>
    <x v="7"/>
    <x v="10"/>
    <n v="1"/>
    <n v="1540"/>
    <n v="6.5542400000000001"/>
    <n v="10"/>
    <s v="Mar"/>
    <x v="9"/>
    <m/>
    <m/>
  </r>
  <r>
    <n v="68741742"/>
    <x v="1"/>
    <n v="1834"/>
    <d v="2026-03-20T00:00:00"/>
    <s v="GH Strawberry Shortcake Bar 8-6PK"/>
    <x v="19"/>
    <n v="4.2560000000000002E-3"/>
    <n v="154"/>
    <x v="7"/>
    <x v="10"/>
    <n v="1"/>
    <n v="1834"/>
    <n v="7.805504"/>
    <n v="11.909090909090908"/>
    <s v="Mar"/>
    <x v="9"/>
    <m/>
    <m/>
  </r>
  <r>
    <n v="68741742"/>
    <x v="1"/>
    <n v="2002"/>
    <d v="2026-03-20T00:00:00"/>
    <s v="GH Strawberry Shortcake Bar 8-6PK"/>
    <x v="19"/>
    <n v="4.2560000000000002E-3"/>
    <n v="154"/>
    <x v="7"/>
    <x v="10"/>
    <n v="1"/>
    <n v="2002"/>
    <n v="8.5205120000000001"/>
    <n v="13"/>
    <s v="Mar"/>
    <x v="9"/>
    <m/>
    <m/>
  </r>
  <r>
    <n v="68741742"/>
    <x v="1"/>
    <n v="1566"/>
    <d v="2026-03-21T00:00:00"/>
    <s v="GH Strawberry Shortcake Bar 8-6PK"/>
    <x v="19"/>
    <n v="4.2560000000000002E-3"/>
    <n v="154"/>
    <x v="7"/>
    <x v="10"/>
    <n v="1"/>
    <n v="1566"/>
    <n v="6.6648960000000006"/>
    <n v="10.168831168831169"/>
    <s v="Mar"/>
    <x v="9"/>
    <m/>
    <m/>
  </r>
  <r>
    <n v="68741742"/>
    <x v="1"/>
    <n v="1694"/>
    <d v="2026-03-23T00:00:00"/>
    <s v="GH Strawberry Shortcake Bar 8-6PK"/>
    <x v="19"/>
    <n v="4.2560000000000002E-3"/>
    <n v="154"/>
    <x v="7"/>
    <x v="10"/>
    <n v="1"/>
    <n v="1694"/>
    <n v="7.2096640000000001"/>
    <n v="11"/>
    <s v="Mar"/>
    <x v="10"/>
    <m/>
    <m/>
  </r>
  <r>
    <n v="68741742"/>
    <x v="1"/>
    <n v="1732"/>
    <d v="2026-03-24T00:00:00"/>
    <s v="GH Strawberry Shortcake Bar 8-6PK"/>
    <x v="19"/>
    <n v="4.2560000000000002E-3"/>
    <n v="154"/>
    <x v="7"/>
    <x v="10"/>
    <n v="1"/>
    <n v="1732"/>
    <n v="7.3713920000000002"/>
    <n v="11.246753246753247"/>
    <s v="Mar"/>
    <x v="10"/>
    <m/>
    <m/>
  </r>
  <r>
    <n v="68741742"/>
    <x v="1"/>
    <n v="2273"/>
    <d v="2026-03-24T00:00:00"/>
    <s v="GH Strawberry Shortcake Bar 8-6PK"/>
    <x v="19"/>
    <n v="4.2560000000000002E-3"/>
    <n v="154"/>
    <x v="7"/>
    <x v="10"/>
    <n v="1"/>
    <n v="2273"/>
    <n v="9.6738879999999998"/>
    <n v="14.75974025974026"/>
    <s v="Mar"/>
    <x v="10"/>
    <m/>
    <m/>
  </r>
  <r>
    <n v="68746232"/>
    <x v="1"/>
    <n v="2109"/>
    <d v="2026-02-26T00:00:00"/>
    <s v="KL Mint CHOC Chip 12-6PK"/>
    <x v="21"/>
    <n v="8.5199999999999998E-3"/>
    <n v="132"/>
    <x v="1"/>
    <x v="11"/>
    <n v="1"/>
    <n v="2109"/>
    <n v="17.968679999999999"/>
    <n v="15.977272727272727"/>
    <s v="Feb"/>
    <x v="6"/>
    <m/>
    <m/>
  </r>
  <r>
    <n v="68746232"/>
    <x v="1"/>
    <n v="1382"/>
    <d v="2026-02-27T00:00:00"/>
    <s v="KL Mint CHOC Chip 12-6PK"/>
    <x v="21"/>
    <n v="8.5199999999999998E-3"/>
    <n v="132"/>
    <x v="1"/>
    <x v="11"/>
    <n v="1"/>
    <n v="1382"/>
    <n v="11.77464"/>
    <n v="10.469696969696969"/>
    <s v="Feb"/>
    <x v="6"/>
    <m/>
    <m/>
  </r>
  <r>
    <n v="68746232"/>
    <x v="1"/>
    <n v="1243"/>
    <d v="2026-02-25T00:00:00"/>
    <s v="KL Mint CHOC Chip 12-6PK"/>
    <x v="21"/>
    <n v="8.5199999999999998E-3"/>
    <n v="132"/>
    <x v="1"/>
    <x v="11"/>
    <n v="1"/>
    <n v="1243"/>
    <n v="10.59036"/>
    <n v="9.4166666666666661"/>
    <s v="Feb"/>
    <x v="6"/>
    <m/>
    <m/>
  </r>
  <r>
    <n v="68746232"/>
    <x v="1"/>
    <n v="1372"/>
    <d v="2026-02-26T00:00:00"/>
    <s v="KL Mint CHOC Chip 12-6PK"/>
    <x v="21"/>
    <n v="8.5199999999999998E-3"/>
    <n v="132"/>
    <x v="1"/>
    <x v="11"/>
    <n v="1"/>
    <n v="1372"/>
    <n v="11.689439999999999"/>
    <n v="10.393939393939394"/>
    <s v="Feb"/>
    <x v="6"/>
    <m/>
    <m/>
  </r>
  <r>
    <n v="68746232"/>
    <x v="1"/>
    <n v="1188"/>
    <d v="2026-02-27T00:00:00"/>
    <s v="KL Mint CHOC Chip 12-6PK"/>
    <x v="21"/>
    <n v="8.5199999999999998E-3"/>
    <n v="132"/>
    <x v="1"/>
    <x v="11"/>
    <n v="1"/>
    <n v="1188"/>
    <n v="10.12176"/>
    <n v="9"/>
    <s v="Feb"/>
    <x v="6"/>
    <m/>
    <m/>
  </r>
  <r>
    <n v="68746232"/>
    <x v="1"/>
    <n v="296"/>
    <d v="2026-02-28T00:00:00"/>
    <s v="KL Mint CHOC Chip 12-6PK"/>
    <x v="21"/>
    <n v="8.5199999999999998E-3"/>
    <n v="132"/>
    <x v="1"/>
    <x v="11"/>
    <n v="1"/>
    <n v="296"/>
    <n v="2.5219199999999997"/>
    <n v="2.2424242424242422"/>
    <s v="Feb"/>
    <x v="6"/>
    <m/>
    <m/>
  </r>
  <r>
    <n v="68746232"/>
    <x v="1"/>
    <n v="998"/>
    <d v="2026-02-28T00:00:00"/>
    <s v="KL Mint CHOC Chip 12-6PK"/>
    <x v="21"/>
    <n v="8.5199999999999998E-3"/>
    <n v="132"/>
    <x v="1"/>
    <x v="11"/>
    <n v="1"/>
    <n v="998"/>
    <n v="8.5029599999999999"/>
    <n v="7.5606060606060606"/>
    <s v="Feb"/>
    <x v="6"/>
    <m/>
    <m/>
  </r>
  <r>
    <n v="68746232"/>
    <x v="1"/>
    <n v="1188"/>
    <d v="2026-03-01T00:00:00"/>
    <s v="KL Mint CHOC Chip 12-6PK"/>
    <x v="21"/>
    <n v="8.5199999999999998E-3"/>
    <n v="132"/>
    <x v="1"/>
    <x v="11"/>
    <n v="1"/>
    <n v="1188"/>
    <n v="10.12176"/>
    <n v="9"/>
    <s v="Mar"/>
    <x v="11"/>
    <m/>
    <m/>
  </r>
  <r>
    <n v="68746232"/>
    <x v="1"/>
    <n v="1556"/>
    <d v="2026-03-01T00:00:00"/>
    <s v="KL Mint CHOC Chip 12-6PK"/>
    <x v="21"/>
    <n v="8.5199999999999998E-3"/>
    <n v="132"/>
    <x v="1"/>
    <x v="11"/>
    <n v="1"/>
    <n v="1556"/>
    <n v="13.25712"/>
    <n v="11.787878787878787"/>
    <s v="Mar"/>
    <x v="11"/>
    <m/>
    <m/>
  </r>
  <r>
    <n v="68746232"/>
    <x v="1"/>
    <n v="1428"/>
    <d v="2026-03-02T00:00:00"/>
    <s v="KL Mint CHOC Chip 12-6PK"/>
    <x v="21"/>
    <n v="8.5199999999999998E-3"/>
    <n v="132"/>
    <x v="1"/>
    <x v="11"/>
    <n v="1"/>
    <n v="1428"/>
    <n v="12.16656"/>
    <n v="10.818181818181818"/>
    <s v="Mar"/>
    <x v="11"/>
    <m/>
    <m/>
  </r>
  <r>
    <n v="68746232"/>
    <x v="1"/>
    <n v="132"/>
    <d v="2026-02-23T00:00:00"/>
    <s v="KL Mint CHOC Chip 12-6PK"/>
    <x v="21"/>
    <n v="8.5199999999999998E-3"/>
    <n v="132"/>
    <x v="1"/>
    <x v="11"/>
    <n v="1"/>
    <n v="132"/>
    <n v="1.1246399999999999"/>
    <n v="1"/>
    <s v="Feb"/>
    <x v="6"/>
    <m/>
    <m/>
  </r>
  <r>
    <n v="68746232"/>
    <x v="1"/>
    <n v="926"/>
    <d v="2026-02-23T00:00:00"/>
    <s v="KL Mint CHOC Chip 12-6PK"/>
    <x v="21"/>
    <n v="8.5199999999999998E-3"/>
    <n v="132"/>
    <x v="1"/>
    <x v="11"/>
    <n v="1"/>
    <n v="926"/>
    <n v="7.8895200000000001"/>
    <n v="7.0151515151515156"/>
    <s v="Feb"/>
    <x v="6"/>
    <m/>
    <m/>
  </r>
  <r>
    <n v="68746232"/>
    <x v="1"/>
    <n v="381"/>
    <d v="2026-02-23T00:00:00"/>
    <s v="KL Mint CHOC Chip 12-6PK"/>
    <x v="21"/>
    <n v="8.5199999999999998E-3"/>
    <n v="132"/>
    <x v="1"/>
    <x v="11"/>
    <n v="1"/>
    <n v="381"/>
    <n v="3.2461199999999999"/>
    <n v="2.8863636363636362"/>
    <s v="Feb"/>
    <x v="6"/>
    <m/>
    <m/>
  </r>
  <r>
    <n v="68746232"/>
    <x v="1"/>
    <n v="1056"/>
    <d v="2026-02-24T00:00:00"/>
    <s v="KL Mint CHOC Chip 12-6PK"/>
    <x v="21"/>
    <n v="8.5199999999999998E-3"/>
    <n v="132"/>
    <x v="1"/>
    <x v="11"/>
    <n v="1"/>
    <n v="1056"/>
    <n v="8.9971199999999989"/>
    <n v="8"/>
    <s v="Feb"/>
    <x v="6"/>
    <m/>
    <m/>
  </r>
  <r>
    <n v="68746232"/>
    <x v="1"/>
    <n v="447"/>
    <d v="2026-02-24T00:00:00"/>
    <s v="KL Mint CHOC Chip 12-6PK"/>
    <x v="21"/>
    <n v="8.5199999999999998E-3"/>
    <n v="132"/>
    <x v="1"/>
    <x v="11"/>
    <n v="1"/>
    <n v="447"/>
    <n v="3.80844"/>
    <n v="3.3863636363636362"/>
    <s v="Feb"/>
    <x v="6"/>
    <m/>
    <m/>
  </r>
  <r>
    <n v="68746232"/>
    <x v="1"/>
    <n v="1056"/>
    <d v="2026-02-25T00:00:00"/>
    <s v="KL Mint CHOC Chip 12-6PK"/>
    <x v="21"/>
    <n v="8.5199999999999998E-3"/>
    <n v="132"/>
    <x v="1"/>
    <x v="11"/>
    <n v="1"/>
    <n v="1056"/>
    <n v="8.9971199999999989"/>
    <n v="8"/>
    <s v="Feb"/>
    <x v="6"/>
    <m/>
    <m/>
  </r>
  <r>
    <n v="68746232"/>
    <x v="1"/>
    <n v="1245"/>
    <d v="2026-03-02T00:00:00"/>
    <s v="KL Mint CHOC Chip 12-6PK"/>
    <x v="21"/>
    <n v="8.5199999999999998E-3"/>
    <n v="132"/>
    <x v="1"/>
    <x v="11"/>
    <n v="1"/>
    <n v="1245"/>
    <n v="10.6074"/>
    <n v="9.4318181818181817"/>
    <s v="Mar"/>
    <x v="11"/>
    <m/>
    <m/>
  </r>
  <r>
    <n v="68746232"/>
    <x v="1"/>
    <n v="1403"/>
    <d v="2026-03-03T00:00:00"/>
    <s v="KL Mint CHOC Chip 12-6PK"/>
    <x v="21"/>
    <n v="8.5199999999999998E-3"/>
    <n v="132"/>
    <x v="1"/>
    <x v="11"/>
    <n v="1"/>
    <n v="1403"/>
    <n v="11.95356"/>
    <n v="10.628787878787879"/>
    <s v="Mar"/>
    <x v="11"/>
    <m/>
    <m/>
  </r>
  <r>
    <n v="68746232"/>
    <x v="1"/>
    <n v="1861"/>
    <d v="2026-03-03T00:00:00"/>
    <s v="KL Mint CHOC Chip 12-6PK"/>
    <x v="21"/>
    <n v="8.5199999999999998E-3"/>
    <n v="132"/>
    <x v="1"/>
    <x v="11"/>
    <n v="1"/>
    <n v="1861"/>
    <n v="15.85572"/>
    <n v="14.098484848484848"/>
    <s v="Mar"/>
    <x v="11"/>
    <m/>
    <m/>
  </r>
  <r>
    <n v="68746232"/>
    <x v="1"/>
    <n v="1618"/>
    <d v="2026-03-04T00:00:00"/>
    <s v="KL Mint CHOC Chip 12-6PK"/>
    <x v="21"/>
    <n v="8.5199999999999998E-3"/>
    <n v="132"/>
    <x v="1"/>
    <x v="11"/>
    <n v="1"/>
    <n v="1618"/>
    <n v="13.785359999999999"/>
    <n v="12.257575757575758"/>
    <s v="Mar"/>
    <x v="11"/>
    <m/>
    <m/>
  </r>
  <r>
    <n v="68746232"/>
    <x v="1"/>
    <n v="-137"/>
    <d v="2026-03-09T00:00:00"/>
    <s v="KL Mint CHOC Chip 12-6PK"/>
    <x v="21"/>
    <n v="8.5199999999999998E-3"/>
    <n v="132"/>
    <x v="1"/>
    <x v="11"/>
    <n v="1"/>
    <n v="-137"/>
    <n v="-1.1672400000000001"/>
    <n v="-1.0378787878787878"/>
    <s v="Mar"/>
    <x v="12"/>
    <m/>
    <m/>
  </r>
  <r>
    <n v="68746232"/>
    <x v="1"/>
    <n v="1848"/>
    <d v="2026-03-04T00:00:00"/>
    <s v="KL Mint CHOC Chip 12-6PK"/>
    <x v="21"/>
    <n v="8.5199999999999998E-3"/>
    <n v="132"/>
    <x v="1"/>
    <x v="11"/>
    <n v="1"/>
    <n v="1848"/>
    <n v="15.744959999999999"/>
    <n v="14"/>
    <s v="Mar"/>
    <x v="11"/>
    <m/>
    <m/>
  </r>
  <r>
    <n v="68746232"/>
    <x v="1"/>
    <n v="1397"/>
    <d v="2026-03-05T00:00:00"/>
    <s v="KL Mint CHOC Chip 12-6PK"/>
    <x v="21"/>
    <n v="8.5199999999999998E-3"/>
    <n v="132"/>
    <x v="1"/>
    <x v="11"/>
    <n v="1"/>
    <n v="1397"/>
    <n v="11.90244"/>
    <n v="10.583333333333334"/>
    <s v="Mar"/>
    <x v="11"/>
    <m/>
    <m/>
  </r>
  <r>
    <n v="68746232"/>
    <x v="1"/>
    <n v="337"/>
    <d v="2026-03-05T00:00:00"/>
    <s v="KL Mint CHOC Chip 12-6PK"/>
    <x v="21"/>
    <n v="8.5199999999999998E-3"/>
    <n v="132"/>
    <x v="1"/>
    <x v="11"/>
    <n v="1"/>
    <n v="337"/>
    <n v="2.8712399999999998"/>
    <n v="2.5530303030303032"/>
    <s v="Mar"/>
    <x v="11"/>
    <m/>
    <m/>
  </r>
  <r>
    <n v="68746232"/>
    <x v="1"/>
    <n v="932"/>
    <d v="2026-03-06T00:00:00"/>
    <s v="KL Mint CHOC Chip 12-6PK"/>
    <x v="21"/>
    <n v="8.5199999999999998E-3"/>
    <n v="132"/>
    <x v="1"/>
    <x v="11"/>
    <n v="1"/>
    <n v="932"/>
    <n v="7.9406400000000001"/>
    <n v="7.0606060606060606"/>
    <s v="Mar"/>
    <x v="11"/>
    <m/>
    <m/>
  </r>
  <r>
    <n v="68746232"/>
    <x v="1"/>
    <n v="13"/>
    <d v="2026-03-09T00:00:00"/>
    <s v="KL Mint CHOC Chip 12-6PK"/>
    <x v="21"/>
    <n v="8.5199999999999998E-3"/>
    <n v="132"/>
    <x v="1"/>
    <x v="11"/>
    <n v="1"/>
    <n v="13"/>
    <n v="0.11076"/>
    <n v="9.8484848484848481E-2"/>
    <s v="Mar"/>
    <x v="12"/>
    <m/>
    <m/>
  </r>
  <r>
    <n v="68746232"/>
    <x v="1"/>
    <n v="1320"/>
    <d v="2026-03-06T00:00:00"/>
    <s v="KL Mint CHOC Chip 12-6PK"/>
    <x v="21"/>
    <n v="8.5199999999999998E-3"/>
    <n v="132"/>
    <x v="1"/>
    <x v="11"/>
    <n v="1"/>
    <n v="1320"/>
    <n v="11.2464"/>
    <n v="10"/>
    <s v="Mar"/>
    <x v="11"/>
    <m/>
    <m/>
  </r>
  <r>
    <n v="68746232"/>
    <x v="1"/>
    <n v="1194"/>
    <d v="2026-03-07T00:00:00"/>
    <s v="KL Mint CHOC Chip 12-6PK"/>
    <x v="21"/>
    <n v="8.5199999999999998E-3"/>
    <n v="132"/>
    <x v="1"/>
    <x v="11"/>
    <n v="1"/>
    <n v="1194"/>
    <n v="10.172879999999999"/>
    <n v="9.045454545454545"/>
    <s v="Mar"/>
    <x v="11"/>
    <m/>
    <m/>
  </r>
  <r>
    <n v="68746232"/>
    <x v="1"/>
    <n v="69"/>
    <d v="2026-03-09T00:00:00"/>
    <s v="KL Mint CHOC Chip 12-6PK"/>
    <x v="21"/>
    <n v="8.5199999999999998E-3"/>
    <n v="132"/>
    <x v="1"/>
    <x v="11"/>
    <n v="1"/>
    <n v="69"/>
    <n v="0.58787999999999996"/>
    <n v="0.52272727272727271"/>
    <s v="Mar"/>
    <x v="12"/>
    <m/>
    <m/>
  </r>
  <r>
    <n v="68746232"/>
    <x v="1"/>
    <n v="1243"/>
    <d v="2026-03-07T00:00:00"/>
    <s v="KL Mint CHOC Chip 12-6PK"/>
    <x v="21"/>
    <n v="8.5199999999999998E-3"/>
    <n v="132"/>
    <x v="1"/>
    <x v="11"/>
    <n v="1"/>
    <n v="1243"/>
    <n v="10.59036"/>
    <n v="9.4166666666666661"/>
    <s v="Mar"/>
    <x v="11"/>
    <m/>
    <m/>
  </r>
  <r>
    <n v="68746232"/>
    <x v="1"/>
    <n v="1421"/>
    <d v="2026-03-08T00:00:00"/>
    <s v="KL Mint CHOC Chip 12-6PK"/>
    <x v="21"/>
    <n v="8.5199999999999998E-3"/>
    <n v="132"/>
    <x v="1"/>
    <x v="11"/>
    <n v="1"/>
    <n v="1421"/>
    <n v="12.106920000000001"/>
    <n v="10.765151515151516"/>
    <s v="Mar"/>
    <x v="12"/>
    <m/>
    <m/>
  </r>
  <r>
    <n v="68746232"/>
    <x v="1"/>
    <n v="1013"/>
    <d v="2026-03-08T00:00:00"/>
    <s v="KL Mint CHOC Chip 12-6PK"/>
    <x v="21"/>
    <n v="8.5199999999999998E-3"/>
    <n v="132"/>
    <x v="1"/>
    <x v="11"/>
    <n v="1"/>
    <n v="1013"/>
    <n v="8.6307600000000004"/>
    <n v="7.6742424242424239"/>
    <s v="Mar"/>
    <x v="12"/>
    <m/>
    <m/>
  </r>
  <r>
    <n v="68746232"/>
    <x v="1"/>
    <n v="957"/>
    <d v="2026-03-09T00:00:00"/>
    <s v="KL Mint CHOC Chip 12-6PK"/>
    <x v="21"/>
    <n v="8.5199999999999998E-3"/>
    <n v="132"/>
    <x v="1"/>
    <x v="11"/>
    <n v="1"/>
    <n v="957"/>
    <n v="8.1536399999999993"/>
    <n v="7.25"/>
    <s v="Mar"/>
    <x v="12"/>
    <m/>
    <m/>
  </r>
  <r>
    <n v="68746232"/>
    <x v="1"/>
    <n v="1314"/>
    <d v="2026-03-09T00:00:00"/>
    <s v="KL Mint CHOC Chip 12-6PK"/>
    <x v="21"/>
    <n v="8.5199999999999998E-3"/>
    <n v="132"/>
    <x v="1"/>
    <x v="11"/>
    <n v="1"/>
    <n v="1314"/>
    <n v="11.19528"/>
    <n v="9.954545454545455"/>
    <s v="Mar"/>
    <x v="12"/>
    <m/>
    <m/>
  </r>
  <r>
    <n v="68746232"/>
    <x v="1"/>
    <n v="948"/>
    <d v="2026-03-10T00:00:00"/>
    <s v="KL Mint CHOC Chip 12-6PK"/>
    <x v="21"/>
    <n v="8.5199999999999998E-3"/>
    <n v="132"/>
    <x v="1"/>
    <x v="11"/>
    <n v="1"/>
    <n v="948"/>
    <n v="8.0769599999999997"/>
    <n v="7.1818181818181817"/>
    <s v="Mar"/>
    <x v="12"/>
    <m/>
    <m/>
  </r>
  <r>
    <n v="68746232"/>
    <x v="1"/>
    <n v="60"/>
    <d v="2026-03-10T00:00:00"/>
    <s v="KL Mint CHOC Chip 12-6PK"/>
    <x v="21"/>
    <n v="8.5199999999999998E-3"/>
    <n v="132"/>
    <x v="1"/>
    <x v="11"/>
    <n v="1"/>
    <n v="60"/>
    <n v="0.51119999999999999"/>
    <n v="0.45454545454545453"/>
    <s v="Mar"/>
    <x v="12"/>
    <m/>
    <m/>
  </r>
  <r>
    <n v="68746232"/>
    <x v="1"/>
    <n v="924"/>
    <d v="2026-03-11T00:00:00"/>
    <s v="KL Mint CHOC Chip 12-6PK"/>
    <x v="21"/>
    <n v="8.5199999999999998E-3"/>
    <n v="132"/>
    <x v="1"/>
    <x v="11"/>
    <n v="1"/>
    <n v="924"/>
    <n v="7.8724799999999995"/>
    <n v="7"/>
    <s v="Mar"/>
    <x v="12"/>
    <m/>
    <m/>
  </r>
  <r>
    <n v="68746232"/>
    <x v="1"/>
    <n v="2247"/>
    <d v="2026-03-11T00:00:00"/>
    <s v="KL Mint CHOC Chip 12-6PK"/>
    <x v="21"/>
    <n v="8.5199999999999998E-3"/>
    <n v="132"/>
    <x v="1"/>
    <x v="11"/>
    <n v="1"/>
    <n v="2247"/>
    <n v="19.144439999999999"/>
    <n v="17.022727272727273"/>
    <s v="Mar"/>
    <x v="12"/>
    <m/>
    <m/>
  </r>
  <r>
    <n v="68746232"/>
    <x v="1"/>
    <n v="924"/>
    <d v="2026-03-12T00:00:00"/>
    <s v="KL Mint CHOC Chip 12-6PK"/>
    <x v="21"/>
    <n v="8.5199999999999998E-3"/>
    <n v="132"/>
    <x v="1"/>
    <x v="11"/>
    <n v="1"/>
    <n v="924"/>
    <n v="7.8724799999999995"/>
    <n v="7"/>
    <s v="Mar"/>
    <x v="12"/>
    <m/>
    <m/>
  </r>
  <r>
    <n v="68746232"/>
    <x v="1"/>
    <n v="1495"/>
    <d v="2026-03-12T00:00:00"/>
    <s v="KL Mint CHOC Chip 12-6PK"/>
    <x v="21"/>
    <n v="8.5199999999999998E-3"/>
    <n v="132"/>
    <x v="1"/>
    <x v="11"/>
    <n v="1"/>
    <n v="1495"/>
    <n v="12.737399999999999"/>
    <n v="11.325757575757576"/>
    <s v="Mar"/>
    <x v="12"/>
    <m/>
    <m/>
  </r>
  <r>
    <n v="68746232"/>
    <x v="1"/>
    <n v="1429"/>
    <d v="2026-03-13T00:00:00"/>
    <s v="KL Mint CHOC Chip 12-6PK"/>
    <x v="21"/>
    <n v="8.5199999999999998E-3"/>
    <n v="132"/>
    <x v="1"/>
    <x v="11"/>
    <n v="1"/>
    <n v="1429"/>
    <n v="12.175079999999999"/>
    <n v="10.825757575757576"/>
    <s v="Mar"/>
    <x v="12"/>
    <m/>
    <m/>
  </r>
  <r>
    <n v="68746232"/>
    <x v="1"/>
    <n v="2112"/>
    <d v="2026-03-13T00:00:00"/>
    <s v="KL Mint CHOC Chip 12-6PK"/>
    <x v="21"/>
    <n v="8.5199999999999998E-3"/>
    <n v="132"/>
    <x v="1"/>
    <x v="11"/>
    <n v="1"/>
    <n v="2112"/>
    <n v="17.994239999999998"/>
    <n v="16"/>
    <s v="Mar"/>
    <x v="12"/>
    <m/>
    <m/>
  </r>
  <r>
    <n v="68746232"/>
    <x v="1"/>
    <n v="1320"/>
    <d v="2026-03-14T00:00:00"/>
    <s v="KL Mint CHOC Chip 12-6PK"/>
    <x v="21"/>
    <n v="8.5199999999999998E-3"/>
    <n v="132"/>
    <x v="1"/>
    <x v="11"/>
    <n v="1"/>
    <n v="1320"/>
    <n v="11.2464"/>
    <n v="10"/>
    <s v="Mar"/>
    <x v="12"/>
    <m/>
    <m/>
  </r>
  <r>
    <n v="68746232"/>
    <x v="1"/>
    <n v="132"/>
    <d v="2026-03-16T00:00:00"/>
    <s v="KL Mint CHOC Chip 12-6PK"/>
    <x v="21"/>
    <n v="8.5199999999999998E-3"/>
    <n v="132"/>
    <x v="1"/>
    <x v="11"/>
    <n v="1"/>
    <n v="132"/>
    <n v="1.1246399999999999"/>
    <n v="1"/>
    <s v="Mar"/>
    <x v="9"/>
    <m/>
    <m/>
  </r>
  <r>
    <n v="68746232"/>
    <x v="1"/>
    <n v="3087"/>
    <d v="2026-03-16T00:00:00"/>
    <s v="KL Mint CHOC Chip 12-6PK"/>
    <x v="21"/>
    <n v="8.5199999999999998E-3"/>
    <n v="132"/>
    <x v="1"/>
    <x v="11"/>
    <n v="1"/>
    <n v="3087"/>
    <n v="26.30124"/>
    <n v="23.386363636363637"/>
    <s v="Mar"/>
    <x v="9"/>
    <m/>
    <m/>
  </r>
  <r>
    <n v="68746232"/>
    <x v="1"/>
    <n v="1277"/>
    <d v="2026-03-17T00:00:00"/>
    <s v="KL Mint CHOC Chip 12-6PK"/>
    <x v="21"/>
    <n v="8.5199999999999998E-3"/>
    <n v="132"/>
    <x v="1"/>
    <x v="11"/>
    <n v="1"/>
    <n v="1277"/>
    <n v="10.880039999999999"/>
    <n v="9.6742424242424239"/>
    <s v="Mar"/>
    <x v="9"/>
    <m/>
    <m/>
  </r>
  <r>
    <n v="68746232"/>
    <x v="1"/>
    <n v="-1277"/>
    <d v="2026-03-19T00:00:00"/>
    <s v="KL Mint CHOC Chip 12-6PK"/>
    <x v="21"/>
    <n v="8.5199999999999998E-3"/>
    <n v="132"/>
    <x v="1"/>
    <x v="11"/>
    <n v="1"/>
    <n v="-1277"/>
    <n v="-10.880039999999999"/>
    <n v="-9.6742424242424239"/>
    <s v="Mar"/>
    <x v="9"/>
    <m/>
    <m/>
  </r>
  <r>
    <n v="68746232"/>
    <x v="1"/>
    <n v="1277"/>
    <d v="2026-03-16T00:00:00"/>
    <s v="KL Mint CHOC Chip 12-6PK"/>
    <x v="21"/>
    <n v="8.5199999999999998E-3"/>
    <n v="132"/>
    <x v="1"/>
    <x v="11"/>
    <n v="1"/>
    <n v="1277"/>
    <n v="10.880039999999999"/>
    <n v="9.6742424242424239"/>
    <s v="Mar"/>
    <x v="9"/>
    <m/>
    <m/>
  </r>
  <r>
    <n v="68746232"/>
    <x v="1"/>
    <n v="-1277"/>
    <d v="2026-03-17T00:00:00"/>
    <s v="KL Mint CHOC Chip 12-6PK"/>
    <x v="21"/>
    <n v="8.5199999999999998E-3"/>
    <n v="132"/>
    <x v="1"/>
    <x v="11"/>
    <n v="1"/>
    <n v="-1277"/>
    <n v="-10.880039999999999"/>
    <n v="-9.6742424242424239"/>
    <s v="Mar"/>
    <x v="9"/>
    <m/>
    <m/>
  </r>
  <r>
    <n v="68746232"/>
    <x v="1"/>
    <n v="1277"/>
    <d v="2026-03-19T00:00:00"/>
    <s v="KL Mint CHOC Chip 12-6PK"/>
    <x v="21"/>
    <n v="8.5199999999999998E-3"/>
    <n v="132"/>
    <x v="1"/>
    <x v="11"/>
    <n v="1"/>
    <n v="1277"/>
    <n v="10.880039999999999"/>
    <n v="9.6742424242424239"/>
    <s v="Mar"/>
    <x v="9"/>
    <m/>
    <m/>
  </r>
  <r>
    <n v="68817796"/>
    <x v="1"/>
    <n v="6595"/>
    <d v="2026-03-13T00:00:00"/>
    <s v="BR XCRMY Vanilla 6 1.5QT"/>
    <x v="5"/>
    <n v="8.513999999999999E-3"/>
    <n v="176"/>
    <x v="0"/>
    <x v="1"/>
    <n v="1"/>
    <n v="6595"/>
    <n v="56.149829999999994"/>
    <n v="37.471590909090907"/>
    <s v="Mar"/>
    <x v="12"/>
    <m/>
    <m/>
  </r>
  <r>
    <n v="68817796"/>
    <x v="1"/>
    <n v="5631"/>
    <d v="2026-03-14T00:00:00"/>
    <s v="BR XCRMY Vanilla 6 1.5QT"/>
    <x v="5"/>
    <n v="8.513999999999999E-3"/>
    <n v="176"/>
    <x v="0"/>
    <x v="1"/>
    <n v="1"/>
    <n v="5631"/>
    <n v="47.942333999999995"/>
    <n v="31.994318181818183"/>
    <s v="Mar"/>
    <x v="12"/>
    <m/>
    <m/>
  </r>
  <r>
    <n v="68817796"/>
    <x v="1"/>
    <n v="704"/>
    <d v="2026-03-16T00:00:00"/>
    <s v="BR XCRMY Vanilla 6 1.5QT"/>
    <x v="5"/>
    <n v="8.513999999999999E-3"/>
    <n v="176"/>
    <x v="0"/>
    <x v="1"/>
    <n v="1"/>
    <n v="704"/>
    <n v="5.9938559999999992"/>
    <n v="4"/>
    <s v="Mar"/>
    <x v="9"/>
    <m/>
    <m/>
  </r>
  <r>
    <n v="68817796"/>
    <x v="1"/>
    <n v="12616"/>
    <d v="2026-03-16T00:00:00"/>
    <s v="BR XCRMY Vanilla 6 1.5QT"/>
    <x v="5"/>
    <n v="8.513999999999999E-3"/>
    <n v="176"/>
    <x v="0"/>
    <x v="1"/>
    <n v="1"/>
    <n v="12616"/>
    <n v="107.41262399999999"/>
    <n v="71.681818181818187"/>
    <s v="Mar"/>
    <x v="9"/>
    <m/>
    <m/>
  </r>
  <r>
    <n v="68817796"/>
    <x v="1"/>
    <n v="352"/>
    <d v="2026-03-17T00:00:00"/>
    <s v="BR XCRMY Vanilla 6 1.5QT"/>
    <x v="5"/>
    <n v="8.513999999999999E-3"/>
    <n v="176"/>
    <x v="0"/>
    <x v="1"/>
    <n v="1"/>
    <n v="352"/>
    <n v="2.9969279999999996"/>
    <n v="2"/>
    <s v="Mar"/>
    <x v="9"/>
    <m/>
    <m/>
  </r>
  <r>
    <n v="68817796"/>
    <x v="1"/>
    <n v="226"/>
    <d v="2026-03-18T00:00:00"/>
    <s v="BR XCRMY Vanilla 6 1.5QT"/>
    <x v="5"/>
    <n v="8.513999999999999E-3"/>
    <n v="176"/>
    <x v="0"/>
    <x v="1"/>
    <n v="1"/>
    <n v="226"/>
    <n v="1.9241639999999998"/>
    <n v="1.2840909090909092"/>
    <s v="Mar"/>
    <x v="9"/>
    <m/>
    <m/>
  </r>
  <r>
    <n v="68817796"/>
    <x v="1"/>
    <n v="528"/>
    <d v="2026-03-12T00:00:00"/>
    <s v="BR XCRMY Vanilla 6 1.5QT"/>
    <x v="5"/>
    <n v="8.513999999999999E-3"/>
    <n v="176"/>
    <x v="0"/>
    <x v="1"/>
    <n v="1"/>
    <n v="528"/>
    <n v="4.4953919999999998"/>
    <n v="3"/>
    <s v="Mar"/>
    <x v="12"/>
    <m/>
    <m/>
  </r>
  <r>
    <n v="68817796"/>
    <x v="1"/>
    <n v="6688"/>
    <d v="2026-03-13T00:00:00"/>
    <s v="BR XCRMY Vanilla 6 1.5QT"/>
    <x v="5"/>
    <n v="8.513999999999999E-3"/>
    <n v="176"/>
    <x v="0"/>
    <x v="1"/>
    <n v="1"/>
    <n v="6688"/>
    <n v="56.941631999999991"/>
    <n v="38"/>
    <s v="Mar"/>
    <x v="12"/>
    <m/>
    <m/>
  </r>
  <r>
    <n v="68817800"/>
    <x v="1"/>
    <n v="2894"/>
    <d v="2026-02-23T00:00:00"/>
    <s v="BR Coffee 6 1.5QT"/>
    <x v="3"/>
    <n v="8.513999999999999E-3"/>
    <n v="176"/>
    <x v="0"/>
    <x v="1"/>
    <n v="1"/>
    <n v="2894"/>
    <n v="24.639515999999997"/>
    <n v="16.443181818181817"/>
    <s v="Feb"/>
    <x v="6"/>
    <m/>
    <m/>
  </r>
  <r>
    <n v="68817801"/>
    <x v="1"/>
    <n v="528"/>
    <d v="2026-03-09T00:00:00"/>
    <s v="BR XCRMY Chocolate 6 1.5QT"/>
    <x v="5"/>
    <n v="8.5199999999999998E-3"/>
    <n v="176"/>
    <x v="0"/>
    <x v="1"/>
    <n v="1"/>
    <n v="528"/>
    <n v="4.4985599999999994"/>
    <n v="3"/>
    <s v="Mar"/>
    <x v="12"/>
    <m/>
    <m/>
  </r>
  <r>
    <n v="68817801"/>
    <x v="1"/>
    <n v="4928"/>
    <d v="2026-03-10T00:00:00"/>
    <s v="BR XCRMY Chocolate 6 1.5QT"/>
    <x v="5"/>
    <n v="8.5199999999999998E-3"/>
    <n v="176"/>
    <x v="0"/>
    <x v="1"/>
    <n v="1"/>
    <n v="4928"/>
    <n v="41.986559999999997"/>
    <n v="28"/>
    <s v="Mar"/>
    <x v="12"/>
    <m/>
    <m/>
  </r>
  <r>
    <n v="68817801"/>
    <x v="1"/>
    <n v="7295"/>
    <d v="2026-03-10T00:00:00"/>
    <s v="BR XCRMY Chocolate 6 1.5QT"/>
    <x v="5"/>
    <n v="8.5199999999999998E-3"/>
    <n v="176"/>
    <x v="0"/>
    <x v="1"/>
    <n v="1"/>
    <n v="7295"/>
    <n v="62.153399999999998"/>
    <n v="41.448863636363633"/>
    <s v="Mar"/>
    <x v="12"/>
    <m/>
    <m/>
  </r>
  <r>
    <n v="68817801"/>
    <x v="1"/>
    <n v="5808"/>
    <d v="2026-03-11T00:00:00"/>
    <s v="BR XCRMY Chocolate 6 1.5QT"/>
    <x v="5"/>
    <n v="8.5199999999999998E-3"/>
    <n v="176"/>
    <x v="0"/>
    <x v="1"/>
    <n v="1"/>
    <n v="5808"/>
    <n v="49.484159999999996"/>
    <n v="33"/>
    <s v="Mar"/>
    <x v="12"/>
    <m/>
    <m/>
  </r>
  <r>
    <n v="68817801"/>
    <x v="1"/>
    <n v="8258"/>
    <d v="2026-03-11T00:00:00"/>
    <s v="BR XCRMY Chocolate 6 1.5QT"/>
    <x v="5"/>
    <n v="8.5199999999999998E-3"/>
    <n v="176"/>
    <x v="0"/>
    <x v="1"/>
    <n v="1"/>
    <n v="8258"/>
    <n v="70.358159999999998"/>
    <n v="46.920454545454547"/>
    <s v="Mar"/>
    <x v="12"/>
    <m/>
    <m/>
  </r>
  <r>
    <n v="68817801"/>
    <x v="1"/>
    <n v="6801"/>
    <d v="2026-03-12T00:00:00"/>
    <s v="BR XCRMY Chocolate 6 1.5QT"/>
    <x v="5"/>
    <n v="8.5199999999999998E-3"/>
    <n v="176"/>
    <x v="0"/>
    <x v="1"/>
    <n v="1"/>
    <n v="6801"/>
    <n v="57.944519999999997"/>
    <n v="38.642045454545453"/>
    <s v="Mar"/>
    <x v="12"/>
    <m/>
    <m/>
  </r>
  <r>
    <n v="68817801"/>
    <x v="1"/>
    <n v="5132"/>
    <d v="2026-03-12T00:00:00"/>
    <s v="BR XCRMY Chocolate 6 1.5QT"/>
    <x v="5"/>
    <n v="8.5199999999999998E-3"/>
    <n v="176"/>
    <x v="0"/>
    <x v="1"/>
    <n v="1"/>
    <n v="5132"/>
    <n v="43.724640000000001"/>
    <n v="29.15909090909091"/>
    <s v="Mar"/>
    <x v="12"/>
    <m/>
    <m/>
  </r>
  <r>
    <n v="68817801"/>
    <x v="1"/>
    <n v="5766"/>
    <d v="2026-03-16T00:00:00"/>
    <s v="BR XCRMY Chocolate 6 1.5QT"/>
    <x v="5"/>
    <n v="8.5199999999999998E-3"/>
    <n v="176"/>
    <x v="0"/>
    <x v="1"/>
    <n v="1"/>
    <n v="5766"/>
    <n v="49.12632"/>
    <n v="32.761363636363633"/>
    <s v="Mar"/>
    <x v="9"/>
    <m/>
    <m/>
  </r>
  <r>
    <n v="68817801"/>
    <x v="1"/>
    <n v="528"/>
    <d v="2026-03-17T00:00:00"/>
    <s v="BR XCRMY Chocolate 6 1.5QT"/>
    <x v="5"/>
    <n v="8.5199999999999998E-3"/>
    <n v="176"/>
    <x v="0"/>
    <x v="1"/>
    <n v="1"/>
    <n v="528"/>
    <n v="4.4985599999999994"/>
    <n v="3"/>
    <s v="Mar"/>
    <x v="9"/>
    <m/>
    <m/>
  </r>
  <r>
    <n v="68821728"/>
    <x v="1"/>
    <n v="2152"/>
    <d v="2026-03-06T00:00:00"/>
    <s v="BR Rocky Road 6 1.5QT"/>
    <x v="5"/>
    <n v="8.5199999999999998E-3"/>
    <n v="176"/>
    <x v="0"/>
    <x v="1"/>
    <n v="1"/>
    <n v="2152"/>
    <n v="18.335039999999999"/>
    <n v="12.227272727272727"/>
    <s v="Mar"/>
    <x v="11"/>
    <m/>
    <m/>
  </r>
  <r>
    <n v="68821728"/>
    <x v="1"/>
    <n v="6688"/>
    <d v="2026-03-06T00:00:00"/>
    <s v="BR Rocky Road 6 1.5QT"/>
    <x v="5"/>
    <n v="8.5199999999999998E-3"/>
    <n v="176"/>
    <x v="0"/>
    <x v="1"/>
    <n v="1"/>
    <n v="6688"/>
    <n v="56.981760000000001"/>
    <n v="38"/>
    <s v="Mar"/>
    <x v="11"/>
    <m/>
    <m/>
  </r>
  <r>
    <n v="68821728"/>
    <x v="1"/>
    <n v="6516"/>
    <d v="2026-03-07T00:00:00"/>
    <s v="BR Rocky Road 6 1.5QT"/>
    <x v="5"/>
    <n v="8.5199999999999998E-3"/>
    <n v="176"/>
    <x v="0"/>
    <x v="1"/>
    <n v="1"/>
    <n v="6516"/>
    <n v="55.51632"/>
    <n v="37.022727272727273"/>
    <s v="Mar"/>
    <x v="11"/>
    <m/>
    <m/>
  </r>
  <r>
    <n v="68821728"/>
    <x v="1"/>
    <n v="6336"/>
    <d v="2026-03-07T00:00:00"/>
    <s v="BR Rocky Road 6 1.5QT"/>
    <x v="5"/>
    <n v="8.5199999999999998E-3"/>
    <n v="176"/>
    <x v="0"/>
    <x v="1"/>
    <n v="1"/>
    <n v="6336"/>
    <n v="53.98272"/>
    <n v="36"/>
    <s v="Mar"/>
    <x v="11"/>
    <m/>
    <m/>
  </r>
  <r>
    <n v="68821728"/>
    <x v="1"/>
    <n v="5894"/>
    <d v="2026-03-08T00:00:00"/>
    <s v="BR Rocky Road 6 1.5QT"/>
    <x v="5"/>
    <n v="8.5199999999999998E-3"/>
    <n v="176"/>
    <x v="0"/>
    <x v="1"/>
    <n v="1"/>
    <n v="5894"/>
    <n v="50.216879999999996"/>
    <n v="33.488636363636367"/>
    <s v="Mar"/>
    <x v="12"/>
    <m/>
    <m/>
  </r>
  <r>
    <n v="68821728"/>
    <x v="1"/>
    <n v="-9"/>
    <d v="2026-03-19T00:00:00"/>
    <s v="BR Rocky Road 6 1.5QT"/>
    <x v="5"/>
    <n v="8.5199999999999998E-3"/>
    <n v="176"/>
    <x v="0"/>
    <x v="1"/>
    <n v="1"/>
    <n v="-9"/>
    <n v="-7.6679999999999998E-2"/>
    <n v="-5.113636363636364E-2"/>
    <s v="Mar"/>
    <x v="9"/>
    <m/>
    <m/>
  </r>
  <r>
    <n v="68821728"/>
    <x v="1"/>
    <n v="4282"/>
    <d v="2026-03-08T00:00:00"/>
    <s v="BR Rocky Road 6 1.5QT"/>
    <x v="48"/>
    <n v="8.5199999999999998E-3"/>
    <n v="176"/>
    <x v="0"/>
    <x v="1"/>
    <n v="1"/>
    <n v="4282"/>
    <n v="36.482639999999996"/>
    <n v="24.329545454545453"/>
    <s v="Mar"/>
    <x v="12"/>
    <m/>
    <m/>
  </r>
  <r>
    <n v="68821734"/>
    <x v="1"/>
    <n v="704"/>
    <d v="2026-03-16T00:00:00"/>
    <s v="BR Vanilla Chocolate 6 1.5QT"/>
    <x v="1"/>
    <n v="8.5199999999999998E-3"/>
    <n v="176"/>
    <x v="0"/>
    <x v="1"/>
    <n v="1"/>
    <n v="704"/>
    <n v="5.9980799999999999"/>
    <n v="4"/>
    <s v="Mar"/>
    <x v="9"/>
    <m/>
    <m/>
  </r>
  <r>
    <n v="68821734"/>
    <x v="1"/>
    <n v="9680"/>
    <d v="2026-03-16T00:00:00"/>
    <s v="BR Vanilla Chocolate 6 1.5QT"/>
    <x v="1"/>
    <n v="8.5199999999999998E-3"/>
    <n v="176"/>
    <x v="0"/>
    <x v="1"/>
    <n v="1"/>
    <n v="9680"/>
    <n v="82.473600000000005"/>
    <n v="55"/>
    <s v="Mar"/>
    <x v="9"/>
    <m/>
    <m/>
  </r>
  <r>
    <n v="68821734"/>
    <x v="1"/>
    <n v="8448"/>
    <d v="2026-03-17T00:00:00"/>
    <s v="BR Vanilla Chocolate 6 1.5QT"/>
    <x v="1"/>
    <n v="8.5199999999999998E-3"/>
    <n v="176"/>
    <x v="0"/>
    <x v="1"/>
    <n v="1"/>
    <n v="8448"/>
    <n v="71.976959999999991"/>
    <n v="48"/>
    <s v="Mar"/>
    <x v="9"/>
    <m/>
    <m/>
  </r>
  <r>
    <n v="68821734"/>
    <x v="1"/>
    <n v="12320"/>
    <d v="2026-03-17T00:00:00"/>
    <s v="BR Vanilla Chocolate 6 1.5QT"/>
    <x v="1"/>
    <n v="8.5199999999999998E-3"/>
    <n v="176"/>
    <x v="0"/>
    <x v="1"/>
    <n v="1"/>
    <n v="12320"/>
    <n v="104.96639999999999"/>
    <n v="70"/>
    <s v="Mar"/>
    <x v="9"/>
    <m/>
    <m/>
  </r>
  <r>
    <n v="68821734"/>
    <x v="1"/>
    <n v="5199"/>
    <d v="2026-03-18T00:00:00"/>
    <s v="BR Vanilla Chocolate 6 1.5QT"/>
    <x v="1"/>
    <n v="8.5199999999999998E-3"/>
    <n v="176"/>
    <x v="0"/>
    <x v="1"/>
    <n v="1"/>
    <n v="5199"/>
    <n v="44.295479999999998"/>
    <n v="29.539772727272727"/>
    <s v="Mar"/>
    <x v="9"/>
    <m/>
    <m/>
  </r>
  <r>
    <n v="68821734"/>
    <x v="1"/>
    <n v="176"/>
    <d v="2026-03-18T00:00:00"/>
    <s v="BR Vanilla Chocolate 6 1.5QT"/>
    <x v="1"/>
    <n v="8.5199999999999998E-3"/>
    <n v="176"/>
    <x v="0"/>
    <x v="1"/>
    <n v="1"/>
    <n v="176"/>
    <n v="1.49952"/>
    <n v="1"/>
    <s v="Mar"/>
    <x v="9"/>
    <m/>
    <m/>
  </r>
  <r>
    <n v="68821734"/>
    <x v="1"/>
    <n v="4048"/>
    <d v="2026-03-19T00:00:00"/>
    <s v="BR Vanilla Chocolate 6 1.5QT"/>
    <x v="1"/>
    <n v="8.5199999999999998E-3"/>
    <n v="176"/>
    <x v="0"/>
    <x v="1"/>
    <n v="1"/>
    <n v="4048"/>
    <n v="34.488959999999999"/>
    <n v="23"/>
    <s v="Mar"/>
    <x v="9"/>
    <m/>
    <m/>
  </r>
  <r>
    <n v="68821734"/>
    <x v="1"/>
    <n v="13200"/>
    <d v="2026-03-19T00:00:00"/>
    <s v="BR Vanilla Chocolate 6 1.5QT"/>
    <x v="1"/>
    <n v="8.5199999999999998E-3"/>
    <n v="176"/>
    <x v="0"/>
    <x v="1"/>
    <n v="1"/>
    <n v="13200"/>
    <n v="112.464"/>
    <n v="75"/>
    <s v="Mar"/>
    <x v="9"/>
    <m/>
    <m/>
  </r>
  <r>
    <n v="68821734"/>
    <x v="1"/>
    <n v="11385"/>
    <d v="2026-03-20T00:00:00"/>
    <s v="BR Vanilla Chocolate 6 1.5QT"/>
    <x v="1"/>
    <n v="8.5199999999999998E-3"/>
    <n v="176"/>
    <x v="0"/>
    <x v="1"/>
    <n v="1"/>
    <n v="11385"/>
    <n v="97.000199999999992"/>
    <n v="64.6875"/>
    <s v="Mar"/>
    <x v="9"/>
    <m/>
    <m/>
  </r>
  <r>
    <n v="68821734"/>
    <x v="1"/>
    <n v="9328"/>
    <d v="2026-03-20T00:00:00"/>
    <s v="BR Vanilla Chocolate 6 1.5QT"/>
    <x v="1"/>
    <n v="8.5199999999999998E-3"/>
    <n v="176"/>
    <x v="0"/>
    <x v="1"/>
    <n v="1"/>
    <n v="9328"/>
    <n v="79.474559999999997"/>
    <n v="53"/>
    <s v="Mar"/>
    <x v="9"/>
    <m/>
    <m/>
  </r>
  <r>
    <n v="68821734"/>
    <x v="1"/>
    <n v="25"/>
    <d v="2026-03-21T00:00:00"/>
    <s v="BR Vanilla Chocolate 6 1.5QT"/>
    <x v="1"/>
    <n v="8.5199999999999998E-3"/>
    <n v="176"/>
    <x v="0"/>
    <x v="1"/>
    <n v="1"/>
    <n v="25"/>
    <n v="0.21299999999999999"/>
    <n v="0.14204545454545456"/>
    <s v="Mar"/>
    <x v="9"/>
    <m/>
    <m/>
  </r>
  <r>
    <n v="68821735"/>
    <x v="1"/>
    <n v="6864"/>
    <d v="2026-03-09T00:00:00"/>
    <s v="BR Lactose Free Vanilla 6 1.5QT"/>
    <x v="5"/>
    <n v="8.5199999999999998E-3"/>
    <n v="176"/>
    <x v="0"/>
    <x v="1"/>
    <n v="1"/>
    <n v="6864"/>
    <n v="58.481279999999998"/>
    <n v="39"/>
    <s v="Mar"/>
    <x v="12"/>
    <m/>
    <m/>
  </r>
  <r>
    <n v="68821735"/>
    <x v="1"/>
    <n v="2992"/>
    <d v="2026-03-07T00:00:00"/>
    <s v="BR Lactose Free Vanilla 6 1.5QT"/>
    <x v="3"/>
    <n v="8.5199999999999998E-3"/>
    <n v="176"/>
    <x v="0"/>
    <x v="1"/>
    <n v="1"/>
    <n v="2992"/>
    <n v="25.49184"/>
    <n v="17"/>
    <s v="Mar"/>
    <x v="11"/>
    <m/>
    <m/>
  </r>
  <r>
    <n v="68821735"/>
    <x v="1"/>
    <n v="5225"/>
    <d v="2026-03-08T00:00:00"/>
    <s v="BR Lactose Free Vanilla 6 1.5QT"/>
    <x v="3"/>
    <n v="8.5199999999999998E-3"/>
    <n v="176"/>
    <x v="0"/>
    <x v="1"/>
    <n v="1"/>
    <n v="5225"/>
    <n v="44.516999999999996"/>
    <n v="29.6875"/>
    <s v="Mar"/>
    <x v="12"/>
    <m/>
    <m/>
  </r>
  <r>
    <n v="68821735"/>
    <x v="1"/>
    <n v="6988"/>
    <d v="2026-03-08T00:00:00"/>
    <s v="BR Lactose Free Vanilla 6 1.5QT"/>
    <x v="3"/>
    <n v="8.5199999999999998E-3"/>
    <n v="176"/>
    <x v="0"/>
    <x v="1"/>
    <n v="1"/>
    <n v="6988"/>
    <n v="59.537759999999999"/>
    <n v="39.704545454545453"/>
    <s v="Mar"/>
    <x v="12"/>
    <m/>
    <m/>
  </r>
  <r>
    <n v="68821735"/>
    <x v="1"/>
    <n v="5984"/>
    <d v="2026-03-09T00:00:00"/>
    <s v="BR Lactose Free Vanilla 6 1.5QT"/>
    <x v="3"/>
    <n v="8.5199999999999998E-3"/>
    <n v="176"/>
    <x v="0"/>
    <x v="1"/>
    <n v="1"/>
    <n v="5984"/>
    <n v="50.98368"/>
    <n v="34"/>
    <s v="Mar"/>
    <x v="12"/>
    <m/>
    <m/>
  </r>
  <r>
    <n v="68821735"/>
    <x v="1"/>
    <n v="7040"/>
    <d v="2026-03-24T00:00:00"/>
    <s v="BR Lactose Free Vanilla 6 1.5QT"/>
    <x v="5"/>
    <n v="8.5199999999999998E-3"/>
    <n v="176"/>
    <x v="0"/>
    <x v="1"/>
    <n v="1"/>
    <n v="7040"/>
    <n v="59.980800000000002"/>
    <n v="40"/>
    <s v="Mar"/>
    <x v="10"/>
    <m/>
    <m/>
  </r>
  <r>
    <n v="68821735"/>
    <x v="1"/>
    <n v="3120"/>
    <d v="2026-03-09T00:00:00"/>
    <s v="BR Lactose Free Vanilla 6 1.5QT"/>
    <x v="3"/>
    <n v="8.5199999999999998E-3"/>
    <n v="176"/>
    <x v="0"/>
    <x v="1"/>
    <n v="1"/>
    <n v="3120"/>
    <n v="26.5824"/>
    <n v="17.727272727272727"/>
    <s v="Mar"/>
    <x v="12"/>
    <m/>
    <m/>
  </r>
  <r>
    <n v="68821735"/>
    <x v="1"/>
    <n v="2659"/>
    <d v="2026-03-09T00:00:00"/>
    <s v="BR Lactose Free Vanilla 6 1.5QT"/>
    <x v="5"/>
    <n v="8.5199999999999998E-3"/>
    <n v="176"/>
    <x v="0"/>
    <x v="1"/>
    <n v="1"/>
    <n v="2659"/>
    <n v="22.654679999999999"/>
    <n v="15.107954545454545"/>
    <s v="Mar"/>
    <x v="12"/>
    <m/>
    <m/>
  </r>
  <r>
    <n v="68821735"/>
    <x v="1"/>
    <n v="704"/>
    <d v="2026-03-23T00:00:00"/>
    <s v="BR Lactose Free Vanilla 6 1.5QT"/>
    <x v="5"/>
    <n v="8.5199999999999998E-3"/>
    <n v="176"/>
    <x v="0"/>
    <x v="1"/>
    <n v="1"/>
    <n v="704"/>
    <n v="5.9980799999999999"/>
    <n v="4"/>
    <s v="Mar"/>
    <x v="10"/>
    <m/>
    <m/>
  </r>
  <r>
    <n v="68821735"/>
    <x v="1"/>
    <n v="5236"/>
    <d v="2026-03-24T00:00:00"/>
    <s v="BR Lactose Free Vanilla 6 1.5QT"/>
    <x v="5"/>
    <n v="8.5199999999999998E-3"/>
    <n v="176"/>
    <x v="0"/>
    <x v="1"/>
    <n v="1"/>
    <n v="5236"/>
    <n v="44.610720000000001"/>
    <n v="29.75"/>
    <s v="Mar"/>
    <x v="10"/>
    <m/>
    <m/>
  </r>
  <r>
    <n v="68851104"/>
    <x v="1"/>
    <n v="30"/>
    <d v="2026-02-23T00:00:00"/>
    <s v="BR Chocolate 6-1.5QT"/>
    <x v="5"/>
    <n v="8.5199999999999998E-3"/>
    <n v="176"/>
    <x v="0"/>
    <x v="1"/>
    <n v="1"/>
    <n v="30"/>
    <n v="0.25559999999999999"/>
    <n v="0.17045454545454544"/>
    <s v="Feb"/>
    <x v="6"/>
    <m/>
    <m/>
  </r>
  <r>
    <n v="68851104"/>
    <x v="1"/>
    <n v="3905"/>
    <d v="2026-03-16T00:00:00"/>
    <s v="BR Chocolate 6-1.5QT"/>
    <x v="5"/>
    <n v="8.5199999999999998E-3"/>
    <n v="176"/>
    <x v="0"/>
    <x v="1"/>
    <n v="1"/>
    <n v="3905"/>
    <n v="33.270600000000002"/>
    <n v="22.1875"/>
    <s v="Mar"/>
    <x v="9"/>
    <m/>
    <m/>
  </r>
  <r>
    <n v="68851104"/>
    <x v="1"/>
    <n v="5443"/>
    <d v="2026-03-17T00:00:00"/>
    <s v="BR Chocolate 6-1.5QT"/>
    <x v="5"/>
    <n v="8.5199999999999998E-3"/>
    <n v="176"/>
    <x v="0"/>
    <x v="1"/>
    <n v="1"/>
    <n v="5443"/>
    <n v="46.374359999999996"/>
    <n v="30.926136363636363"/>
    <s v="Mar"/>
    <x v="9"/>
    <m/>
    <m/>
  </r>
  <r>
    <n v="68851104"/>
    <x v="1"/>
    <n v="-98"/>
    <d v="2026-03-19T00:00:00"/>
    <s v="BR Chocolate 6-1.5QT"/>
    <x v="5"/>
    <n v="8.5199999999999998E-3"/>
    <n v="176"/>
    <x v="0"/>
    <x v="1"/>
    <n v="1"/>
    <n v="-98"/>
    <n v="-0.83495999999999992"/>
    <n v="-0.55681818181818177"/>
    <s v="Mar"/>
    <x v="9"/>
    <m/>
    <m/>
  </r>
  <r>
    <n v="68851104"/>
    <x v="1"/>
    <n v="7920"/>
    <d v="2026-03-17T00:00:00"/>
    <s v="BR Chocolate 6-1.5QT"/>
    <x v="5"/>
    <n v="8.5199999999999998E-3"/>
    <n v="176"/>
    <x v="0"/>
    <x v="1"/>
    <n v="1"/>
    <n v="7920"/>
    <n v="67.478399999999993"/>
    <n v="45"/>
    <s v="Mar"/>
    <x v="9"/>
    <m/>
    <m/>
  </r>
  <r>
    <n v="68851104"/>
    <x v="1"/>
    <n v="5632"/>
    <d v="2026-03-18T00:00:00"/>
    <s v="BR Chocolate 6-1.5QT"/>
    <x v="5"/>
    <n v="8.5199999999999998E-3"/>
    <n v="176"/>
    <x v="0"/>
    <x v="1"/>
    <n v="1"/>
    <n v="5632"/>
    <n v="47.984639999999999"/>
    <n v="32"/>
    <s v="Mar"/>
    <x v="9"/>
    <m/>
    <m/>
  </r>
  <r>
    <n v="68851104"/>
    <x v="1"/>
    <n v="634"/>
    <d v="2026-03-18T00:00:00"/>
    <s v="BR Chocolate 6-1.5QT"/>
    <x v="5"/>
    <n v="8.5199999999999998E-3"/>
    <n v="176"/>
    <x v="0"/>
    <x v="1"/>
    <n v="1"/>
    <n v="634"/>
    <n v="5.4016799999999998"/>
    <n v="3.6022727272727271"/>
    <s v="Mar"/>
    <x v="9"/>
    <m/>
    <m/>
  </r>
  <r>
    <n v="68851104"/>
    <x v="1"/>
    <n v="1232"/>
    <d v="2026-03-19T00:00:00"/>
    <s v="BR Chocolate 6-1.5QT"/>
    <x v="5"/>
    <n v="8.5199999999999998E-3"/>
    <n v="176"/>
    <x v="0"/>
    <x v="1"/>
    <n v="1"/>
    <n v="1232"/>
    <n v="10.496639999999999"/>
    <n v="7"/>
    <s v="Mar"/>
    <x v="9"/>
    <m/>
    <m/>
  </r>
  <r>
    <n v="68851104"/>
    <x v="1"/>
    <n v="7524"/>
    <d v="2026-03-19T00:00:00"/>
    <s v="BR Chocolate 6-1.5QT"/>
    <x v="5"/>
    <n v="8.5199999999999998E-3"/>
    <n v="176"/>
    <x v="0"/>
    <x v="1"/>
    <n v="1"/>
    <n v="7524"/>
    <n v="64.104479999999995"/>
    <n v="42.75"/>
    <s v="Mar"/>
    <x v="9"/>
    <m/>
    <m/>
  </r>
  <r>
    <n v="68851104"/>
    <x v="1"/>
    <n v="7139"/>
    <d v="2026-03-20T00:00:00"/>
    <s v="BR Chocolate 6-1.5QT"/>
    <x v="5"/>
    <n v="8.5199999999999998E-3"/>
    <n v="176"/>
    <x v="0"/>
    <x v="1"/>
    <n v="1"/>
    <n v="7139"/>
    <n v="60.824280000000002"/>
    <n v="40.5625"/>
    <s v="Mar"/>
    <x v="9"/>
    <m/>
    <m/>
  </r>
  <r>
    <n v="68851104"/>
    <x v="1"/>
    <n v="176"/>
    <d v="2026-02-23T00:00:00"/>
    <s v="BR Chocolate 6-1.5QT"/>
    <x v="3"/>
    <n v="8.5199999999999998E-3"/>
    <n v="176"/>
    <x v="0"/>
    <x v="1"/>
    <n v="1"/>
    <n v="176"/>
    <n v="1.49952"/>
    <n v="1"/>
    <s v="Feb"/>
    <x v="6"/>
    <m/>
    <m/>
  </r>
  <r>
    <n v="68851104"/>
    <x v="1"/>
    <n v="5341"/>
    <d v="2026-02-23T00:00:00"/>
    <s v="BR Chocolate 6-1.5QT"/>
    <x v="3"/>
    <n v="8.5199999999999998E-3"/>
    <n v="176"/>
    <x v="0"/>
    <x v="1"/>
    <n v="1"/>
    <n v="5341"/>
    <n v="45.505319999999998"/>
    <n v="30.34659090909091"/>
    <s v="Feb"/>
    <x v="6"/>
    <m/>
    <m/>
  </r>
  <r>
    <n v="68851104"/>
    <x v="1"/>
    <n v="7216"/>
    <d v="2026-02-24T00:00:00"/>
    <s v="BR Chocolate 6-1.5QT"/>
    <x v="3"/>
    <n v="8.5199999999999998E-3"/>
    <n v="176"/>
    <x v="0"/>
    <x v="1"/>
    <n v="1"/>
    <n v="7216"/>
    <n v="61.480319999999999"/>
    <n v="41"/>
    <s v="Feb"/>
    <x v="6"/>
    <m/>
    <m/>
  </r>
  <r>
    <n v="68851104"/>
    <x v="1"/>
    <n v="1149"/>
    <d v="2026-02-24T00:00:00"/>
    <s v="BR Chocolate 6-1.5QT"/>
    <x v="3"/>
    <n v="8.5199999999999998E-3"/>
    <n v="176"/>
    <x v="0"/>
    <x v="1"/>
    <n v="1"/>
    <n v="1149"/>
    <n v="9.7894799999999993"/>
    <n v="6.5284090909090908"/>
    <s v="Feb"/>
    <x v="6"/>
    <m/>
    <m/>
  </r>
  <r>
    <n v="68851104"/>
    <x v="1"/>
    <n v="352"/>
    <d v="2026-02-25T00:00:00"/>
    <s v="BR Chocolate 6-1.5QT"/>
    <x v="3"/>
    <n v="8.5199999999999998E-3"/>
    <n v="176"/>
    <x v="0"/>
    <x v="1"/>
    <n v="1"/>
    <n v="352"/>
    <n v="2.9990399999999999"/>
    <n v="2"/>
    <s v="Feb"/>
    <x v="6"/>
    <m/>
    <m/>
  </r>
  <r>
    <n v="68851104"/>
    <x v="1"/>
    <n v="141"/>
    <d v="2026-03-17T00:00:00"/>
    <s v="BR Chocolate 6-1.5QT"/>
    <x v="5"/>
    <n v="8.5199999999999998E-3"/>
    <n v="176"/>
    <x v="0"/>
    <x v="1"/>
    <n v="1"/>
    <n v="141"/>
    <n v="1.2013199999999999"/>
    <n v="0.80113636363636365"/>
    <s v="Mar"/>
    <x v="9"/>
    <m/>
    <m/>
  </r>
  <r>
    <n v="68851104"/>
    <x v="1"/>
    <n v="3591"/>
    <d v="2026-03-20T00:00:00"/>
    <s v="BR Chocolate 6-1.5QT"/>
    <x v="5"/>
    <n v="8.5199999999999998E-3"/>
    <n v="176"/>
    <x v="0"/>
    <x v="1"/>
    <n v="1"/>
    <n v="3591"/>
    <n v="30.595320000000001"/>
    <n v="20.40340909090909"/>
    <s v="Mar"/>
    <x v="9"/>
    <m/>
    <m/>
  </r>
  <r>
    <n v="68851105"/>
    <x v="1"/>
    <n v="-45"/>
    <d v="2026-02-23T00:00:00"/>
    <s v="BR HA VAN CHOC STRAW 6-1.5QT"/>
    <x v="1"/>
    <n v="8.5199999999999998E-3"/>
    <n v="154"/>
    <x v="0"/>
    <x v="1"/>
    <n v="1"/>
    <n v="-45"/>
    <n v="-0.38339999999999996"/>
    <n v="-0.29220779220779219"/>
    <s v="Feb"/>
    <x v="6"/>
    <m/>
    <m/>
  </r>
  <r>
    <n v="68851105"/>
    <x v="1"/>
    <n v="-11"/>
    <d v="2026-03-13T00:00:00"/>
    <s v="BR HA VAN CHOC STRAW 6-1.5QT"/>
    <x v="1"/>
    <n v="8.5199999999999998E-3"/>
    <n v="154"/>
    <x v="0"/>
    <x v="1"/>
    <n v="1"/>
    <n v="-11"/>
    <n v="-9.3719999999999998E-2"/>
    <n v="-7.1428571428571425E-2"/>
    <s v="Mar"/>
    <x v="12"/>
    <m/>
    <m/>
  </r>
  <r>
    <n v="68851105"/>
    <x v="1"/>
    <n v="4466"/>
    <d v="2026-02-24T00:00:00"/>
    <s v="BR HA VAN CHOC STRAW 6-1.5QT"/>
    <x v="1"/>
    <n v="8.5199999999999998E-3"/>
    <n v="154"/>
    <x v="0"/>
    <x v="1"/>
    <n v="1"/>
    <n v="4466"/>
    <n v="38.050319999999999"/>
    <n v="29"/>
    <s v="Feb"/>
    <x v="6"/>
    <m/>
    <m/>
  </r>
  <r>
    <n v="68851105"/>
    <x v="1"/>
    <n v="5163"/>
    <d v="2026-02-25T00:00:00"/>
    <s v="BR HA VAN CHOC STRAW 6-1.5QT"/>
    <x v="1"/>
    <n v="8.5199999999999998E-3"/>
    <n v="154"/>
    <x v="0"/>
    <x v="1"/>
    <n v="1"/>
    <n v="5163"/>
    <n v="43.988759999999999"/>
    <n v="33.525974025974023"/>
    <s v="Feb"/>
    <x v="6"/>
    <m/>
    <m/>
  </r>
  <r>
    <n v="68851105"/>
    <x v="1"/>
    <n v="8624"/>
    <d v="2026-03-23T00:00:00"/>
    <s v="BR HA VAN CHOC STRAW 6-1.5QT"/>
    <x v="1"/>
    <n v="8.5199999999999998E-3"/>
    <n v="154"/>
    <x v="0"/>
    <x v="1"/>
    <n v="1"/>
    <n v="8624"/>
    <n v="73.476479999999995"/>
    <n v="56"/>
    <s v="Mar"/>
    <x v="10"/>
    <m/>
    <m/>
  </r>
  <r>
    <n v="68851105"/>
    <x v="1"/>
    <n v="3609"/>
    <d v="2026-03-24T00:00:00"/>
    <s v="BR HA VAN CHOC STRAW 6-1.5QT"/>
    <x v="1"/>
    <n v="8.5199999999999998E-3"/>
    <n v="154"/>
    <x v="0"/>
    <x v="1"/>
    <n v="1"/>
    <n v="3609"/>
    <n v="30.74868"/>
    <n v="23.435064935064936"/>
    <s v="Mar"/>
    <x v="10"/>
    <m/>
    <m/>
  </r>
  <r>
    <n v="68851106"/>
    <x v="1"/>
    <n v="9856"/>
    <d v="2026-02-28T00:00:00"/>
    <s v="BR HA NAT Vanilla 6-1.5QT"/>
    <x v="1"/>
    <n v="8.5199999999999998E-3"/>
    <n v="154"/>
    <x v="0"/>
    <x v="1"/>
    <n v="1"/>
    <n v="9856"/>
    <n v="83.973119999999994"/>
    <n v="64"/>
    <s v="Feb"/>
    <x v="6"/>
    <m/>
    <m/>
  </r>
  <r>
    <n v="68851106"/>
    <x v="1"/>
    <n v="6462"/>
    <d v="2026-03-01T00:00:00"/>
    <s v="BR HA NAT Vanilla 6-1.5QT"/>
    <x v="1"/>
    <n v="8.5199999999999998E-3"/>
    <n v="154"/>
    <x v="0"/>
    <x v="1"/>
    <n v="1"/>
    <n v="6462"/>
    <n v="55.056239999999995"/>
    <n v="41.961038961038959"/>
    <s v="Mar"/>
    <x v="11"/>
    <m/>
    <m/>
  </r>
  <r>
    <n v="68851106"/>
    <x v="1"/>
    <n v="2618"/>
    <d v="2026-02-28T00:00:00"/>
    <s v="BR HA NAT Vanilla 6-1.5QT"/>
    <x v="1"/>
    <n v="8.5199999999999998E-3"/>
    <n v="154"/>
    <x v="0"/>
    <x v="1"/>
    <n v="1"/>
    <n v="2618"/>
    <n v="22.30536"/>
    <n v="17"/>
    <s v="Feb"/>
    <x v="6"/>
    <m/>
    <m/>
  </r>
  <r>
    <n v="68851107"/>
    <x v="1"/>
    <n v="-80"/>
    <d v="2026-03-20T00:00:00"/>
    <s v="BR NAT Vanilla 6-1.5QT"/>
    <x v="1"/>
    <n v="8.5199999999999998E-3"/>
    <n v="176"/>
    <x v="0"/>
    <x v="1"/>
    <n v="1"/>
    <n v="-80"/>
    <n v="-0.68159999999999998"/>
    <n v="-0.45454545454545453"/>
    <s v="Mar"/>
    <x v="9"/>
    <m/>
    <m/>
  </r>
  <r>
    <n v="68851107"/>
    <x v="1"/>
    <n v="14080"/>
    <d v="2026-02-23T00:00:00"/>
    <s v="BR NAT Vanilla 6-1.5QT"/>
    <x v="1"/>
    <n v="8.5199999999999998E-3"/>
    <n v="176"/>
    <x v="0"/>
    <x v="1"/>
    <n v="1"/>
    <n v="14080"/>
    <n v="119.9616"/>
    <n v="80"/>
    <s v="Feb"/>
    <x v="6"/>
    <m/>
    <m/>
  </r>
  <r>
    <n v="68851107"/>
    <x v="1"/>
    <n v="10701"/>
    <d v="2026-02-23T00:00:00"/>
    <s v="BR NAT Vanilla 6-1.5QT"/>
    <x v="1"/>
    <n v="8.5199999999999998E-3"/>
    <n v="176"/>
    <x v="0"/>
    <x v="1"/>
    <n v="1"/>
    <n v="10701"/>
    <n v="91.172519999999992"/>
    <n v="60.801136363636367"/>
    <s v="Feb"/>
    <x v="6"/>
    <m/>
    <m/>
  </r>
  <r>
    <n v="68851107"/>
    <x v="1"/>
    <n v="11967"/>
    <d v="2026-02-24T00:00:00"/>
    <s v="BR NAT Vanilla 6-1.5QT"/>
    <x v="1"/>
    <n v="8.5199999999999998E-3"/>
    <n v="176"/>
    <x v="0"/>
    <x v="1"/>
    <n v="1"/>
    <n v="11967"/>
    <n v="101.95884"/>
    <n v="67.994318181818187"/>
    <s v="Feb"/>
    <x v="6"/>
    <m/>
    <m/>
  </r>
  <r>
    <n v="68851107"/>
    <x v="1"/>
    <n v="-214"/>
    <d v="2026-02-27T00:00:00"/>
    <s v="BR NAT Vanilla 6-1.5QT"/>
    <x v="1"/>
    <n v="8.5199999999999998E-3"/>
    <n v="176"/>
    <x v="0"/>
    <x v="1"/>
    <n v="1"/>
    <n v="-214"/>
    <n v="-1.82328"/>
    <n v="-1.2159090909090908"/>
    <s v="Feb"/>
    <x v="6"/>
    <m/>
    <m/>
  </r>
  <r>
    <n v="68851107"/>
    <x v="1"/>
    <n v="11616"/>
    <d v="2026-03-03T00:00:00"/>
    <s v="BR NAT Vanilla 6-1.5QT"/>
    <x v="1"/>
    <n v="8.5199999999999998E-3"/>
    <n v="176"/>
    <x v="0"/>
    <x v="1"/>
    <n v="1"/>
    <n v="11616"/>
    <n v="98.968319999999991"/>
    <n v="66"/>
    <s v="Mar"/>
    <x v="11"/>
    <m/>
    <m/>
  </r>
  <r>
    <n v="68851107"/>
    <x v="1"/>
    <n v="12143"/>
    <d v="2026-03-04T00:00:00"/>
    <s v="BR NAT Vanilla 6-1.5QT"/>
    <x v="1"/>
    <n v="8.5199999999999998E-3"/>
    <n v="176"/>
    <x v="0"/>
    <x v="1"/>
    <n v="1"/>
    <n v="12143"/>
    <n v="103.45836"/>
    <n v="68.994318181818187"/>
    <s v="Mar"/>
    <x v="11"/>
    <m/>
    <m/>
  </r>
  <r>
    <n v="68851107"/>
    <x v="1"/>
    <n v="176"/>
    <d v="2026-03-05T00:00:00"/>
    <s v="BR NAT Vanilla 6-1.5QT"/>
    <x v="1"/>
    <n v="8.5199999999999998E-3"/>
    <n v="176"/>
    <x v="0"/>
    <x v="1"/>
    <n v="1"/>
    <n v="176"/>
    <n v="1.49952"/>
    <n v="1"/>
    <s v="Mar"/>
    <x v="11"/>
    <m/>
    <m/>
  </r>
  <r>
    <n v="68851107"/>
    <x v="1"/>
    <n v="11792"/>
    <d v="2026-03-04T00:00:00"/>
    <s v="BR NAT Vanilla 6-1.5QT"/>
    <x v="1"/>
    <n v="8.5199999999999998E-3"/>
    <n v="176"/>
    <x v="0"/>
    <x v="1"/>
    <n v="1"/>
    <n v="11792"/>
    <n v="100.46784"/>
    <n v="67"/>
    <s v="Mar"/>
    <x v="11"/>
    <m/>
    <m/>
  </r>
  <r>
    <n v="68851107"/>
    <x v="1"/>
    <n v="12496"/>
    <d v="2026-03-05T00:00:00"/>
    <s v="BR NAT Vanilla 6-1.5QT"/>
    <x v="1"/>
    <n v="8.5199999999999998E-3"/>
    <n v="176"/>
    <x v="0"/>
    <x v="1"/>
    <n v="1"/>
    <n v="12496"/>
    <n v="106.46592"/>
    <n v="71"/>
    <s v="Mar"/>
    <x v="11"/>
    <m/>
    <m/>
  </r>
  <r>
    <n v="68851107"/>
    <x v="1"/>
    <n v="12496"/>
    <d v="2026-03-05T00:00:00"/>
    <s v="BR NAT Vanilla 6-1.5QT"/>
    <x v="1"/>
    <n v="8.5199999999999998E-3"/>
    <n v="176"/>
    <x v="0"/>
    <x v="1"/>
    <n v="1"/>
    <n v="12496"/>
    <n v="106.46592"/>
    <n v="71"/>
    <s v="Mar"/>
    <x v="11"/>
    <m/>
    <m/>
  </r>
  <r>
    <n v="68851107"/>
    <x v="1"/>
    <n v="13012"/>
    <d v="2026-03-06T00:00:00"/>
    <s v="BR NAT Vanilla 6-1.5QT"/>
    <x v="1"/>
    <n v="8.5199999999999998E-3"/>
    <n v="176"/>
    <x v="0"/>
    <x v="1"/>
    <n v="1"/>
    <n v="13012"/>
    <n v="110.86224"/>
    <n v="73.931818181818187"/>
    <s v="Mar"/>
    <x v="11"/>
    <m/>
    <m/>
  </r>
  <r>
    <n v="68851107"/>
    <x v="1"/>
    <n v="9856"/>
    <d v="2026-03-06T00:00:00"/>
    <s v="BR NAT Vanilla 6-1.5QT"/>
    <x v="1"/>
    <n v="8.5199999999999998E-3"/>
    <n v="176"/>
    <x v="0"/>
    <x v="1"/>
    <n v="1"/>
    <n v="9856"/>
    <n v="83.973119999999994"/>
    <n v="56"/>
    <s v="Mar"/>
    <x v="11"/>
    <m/>
    <m/>
  </r>
  <r>
    <n v="68851107"/>
    <x v="1"/>
    <n v="4455"/>
    <d v="2026-03-07T00:00:00"/>
    <s v="BR NAT Vanilla 6-1.5QT"/>
    <x v="1"/>
    <n v="8.5199999999999998E-3"/>
    <n v="176"/>
    <x v="0"/>
    <x v="1"/>
    <n v="1"/>
    <n v="4455"/>
    <n v="37.956600000000002"/>
    <n v="25.3125"/>
    <s v="Mar"/>
    <x v="11"/>
    <m/>
    <m/>
  </r>
  <r>
    <n v="68851107"/>
    <x v="1"/>
    <n v="1760"/>
    <d v="2026-03-01T00:00:00"/>
    <s v="BR NAT Vanilla 6-1.5QT"/>
    <x v="1"/>
    <n v="8.5199999999999998E-3"/>
    <n v="176"/>
    <x v="0"/>
    <x v="1"/>
    <n v="1"/>
    <n v="1760"/>
    <n v="14.995200000000001"/>
    <n v="10"/>
    <s v="Mar"/>
    <x v="11"/>
    <m/>
    <m/>
  </r>
  <r>
    <n v="68851107"/>
    <x v="1"/>
    <n v="10560"/>
    <d v="2026-03-01T00:00:00"/>
    <s v="BR NAT Vanilla 6-1.5QT"/>
    <x v="1"/>
    <n v="8.5199999999999998E-3"/>
    <n v="176"/>
    <x v="0"/>
    <x v="1"/>
    <n v="1"/>
    <n v="10560"/>
    <n v="89.971199999999996"/>
    <n v="60"/>
    <s v="Mar"/>
    <x v="11"/>
    <m/>
    <m/>
  </r>
  <r>
    <n v="68851107"/>
    <x v="1"/>
    <n v="7557"/>
    <d v="2026-03-02T00:00:00"/>
    <s v="BR NAT Vanilla 6-1.5QT"/>
    <x v="1"/>
    <n v="8.5199999999999998E-3"/>
    <n v="176"/>
    <x v="0"/>
    <x v="1"/>
    <n v="1"/>
    <n v="7557"/>
    <n v="64.385639999999995"/>
    <n v="42.9375"/>
    <s v="Mar"/>
    <x v="11"/>
    <m/>
    <m/>
  </r>
  <r>
    <n v="68851107"/>
    <x v="1"/>
    <n v="12848"/>
    <d v="2026-03-11T00:00:00"/>
    <s v="BR NAT Vanilla 6-1.5QT"/>
    <x v="1"/>
    <n v="8.5199999999999998E-3"/>
    <n v="176"/>
    <x v="0"/>
    <x v="1"/>
    <n v="1"/>
    <n v="12848"/>
    <n v="109.46495999999999"/>
    <n v="73"/>
    <s v="Mar"/>
    <x v="12"/>
    <m/>
    <m/>
  </r>
  <r>
    <n v="68851107"/>
    <x v="1"/>
    <n v="9680"/>
    <d v="2026-03-12T00:00:00"/>
    <s v="BR NAT Vanilla 6-1.5QT"/>
    <x v="1"/>
    <n v="8.5199999999999998E-3"/>
    <n v="176"/>
    <x v="0"/>
    <x v="1"/>
    <n v="1"/>
    <n v="9680"/>
    <n v="82.473600000000005"/>
    <n v="55"/>
    <s v="Mar"/>
    <x v="12"/>
    <m/>
    <m/>
  </r>
  <r>
    <n v="68851107"/>
    <x v="1"/>
    <n v="12232"/>
    <d v="2026-03-12T00:00:00"/>
    <s v="BR NAT Vanilla 6-1.5QT"/>
    <x v="1"/>
    <n v="8.5199999999999998E-3"/>
    <n v="176"/>
    <x v="0"/>
    <x v="1"/>
    <n v="1"/>
    <n v="12232"/>
    <n v="104.21664"/>
    <n v="69.5"/>
    <s v="Mar"/>
    <x v="12"/>
    <m/>
    <m/>
  </r>
  <r>
    <n v="68851107"/>
    <x v="1"/>
    <n v="9152"/>
    <d v="2026-03-13T00:00:00"/>
    <s v="BR NAT Vanilla 6-1.5QT"/>
    <x v="1"/>
    <n v="8.5199999999999998E-3"/>
    <n v="176"/>
    <x v="0"/>
    <x v="1"/>
    <n v="1"/>
    <n v="9152"/>
    <n v="77.975039999999993"/>
    <n v="52"/>
    <s v="Mar"/>
    <x v="12"/>
    <m/>
    <m/>
  </r>
  <r>
    <n v="68851107"/>
    <x v="1"/>
    <n v="12672"/>
    <d v="2026-03-13T00:00:00"/>
    <s v="BR NAT Vanilla 6-1.5QT"/>
    <x v="1"/>
    <n v="8.5199999999999998E-3"/>
    <n v="176"/>
    <x v="0"/>
    <x v="1"/>
    <n v="1"/>
    <n v="12672"/>
    <n v="107.96544"/>
    <n v="72"/>
    <s v="Mar"/>
    <x v="12"/>
    <m/>
    <m/>
  </r>
  <r>
    <n v="68851107"/>
    <x v="1"/>
    <n v="10724"/>
    <d v="2026-03-14T00:00:00"/>
    <s v="BR NAT Vanilla 6-1.5QT"/>
    <x v="1"/>
    <n v="8.5199999999999998E-3"/>
    <n v="176"/>
    <x v="0"/>
    <x v="1"/>
    <n v="1"/>
    <n v="10724"/>
    <n v="91.368479999999991"/>
    <n v="60.93181818181818"/>
    <s v="Mar"/>
    <x v="12"/>
    <m/>
    <m/>
  </r>
  <r>
    <n v="68851107"/>
    <x v="1"/>
    <n v="1232"/>
    <d v="2026-03-16T00:00:00"/>
    <s v="BR NAT Vanilla 6-1.5QT"/>
    <x v="1"/>
    <n v="8.5199999999999998E-3"/>
    <n v="176"/>
    <x v="0"/>
    <x v="1"/>
    <n v="1"/>
    <n v="1232"/>
    <n v="10.496639999999999"/>
    <n v="7"/>
    <s v="Mar"/>
    <x v="9"/>
    <m/>
    <m/>
  </r>
  <r>
    <n v="68851107"/>
    <x v="1"/>
    <n v="23538"/>
    <d v="2026-03-16T00:00:00"/>
    <s v="BR NAT Vanilla 6-1.5QT"/>
    <x v="1"/>
    <n v="8.5199999999999998E-3"/>
    <n v="176"/>
    <x v="0"/>
    <x v="1"/>
    <n v="1"/>
    <n v="23538"/>
    <n v="200.54375999999999"/>
    <n v="133.73863636363637"/>
    <s v="Mar"/>
    <x v="9"/>
    <m/>
    <m/>
  </r>
  <r>
    <n v="68851107"/>
    <x v="1"/>
    <n v="2112"/>
    <d v="2026-03-21T00:00:00"/>
    <s v="BR NAT Vanilla 6-1.5QT"/>
    <x v="1"/>
    <n v="8.5199999999999998E-3"/>
    <n v="176"/>
    <x v="0"/>
    <x v="1"/>
    <n v="1"/>
    <n v="2112"/>
    <n v="17.994239999999998"/>
    <n v="12"/>
    <s v="Mar"/>
    <x v="9"/>
    <m/>
    <m/>
  </r>
  <r>
    <n v="68851107"/>
    <x v="1"/>
    <n v="176"/>
    <d v="2026-03-20T00:00:00"/>
    <s v="BR NAT Vanilla 6-1.5QT"/>
    <x v="1"/>
    <n v="8.5199999999999998E-3"/>
    <n v="176"/>
    <x v="0"/>
    <x v="1"/>
    <n v="1"/>
    <n v="176"/>
    <n v="1.49952"/>
    <n v="1"/>
    <s v="Mar"/>
    <x v="9"/>
    <m/>
    <m/>
  </r>
  <r>
    <n v="68851107"/>
    <x v="1"/>
    <n v="840"/>
    <d v="2026-03-02T00:00:00"/>
    <s v="BR NAT Vanilla 6-1.5QT"/>
    <x v="1"/>
    <n v="8.5199999999999998E-3"/>
    <n v="176"/>
    <x v="0"/>
    <x v="1"/>
    <n v="1"/>
    <n v="840"/>
    <n v="7.1567999999999996"/>
    <n v="4.7727272727272725"/>
    <s v="Mar"/>
    <x v="11"/>
    <m/>
    <m/>
  </r>
  <r>
    <n v="68851107"/>
    <x v="1"/>
    <n v="4636"/>
    <d v="2026-03-03T00:00:00"/>
    <s v="BR NAT Vanilla 6-1.5QT"/>
    <x v="1"/>
    <n v="8.5199999999999998E-3"/>
    <n v="176"/>
    <x v="0"/>
    <x v="1"/>
    <n v="1"/>
    <n v="4636"/>
    <n v="39.498719999999999"/>
    <n v="26.34090909090909"/>
    <s v="Mar"/>
    <x v="11"/>
    <m/>
    <m/>
  </r>
  <r>
    <n v="68851107"/>
    <x v="1"/>
    <n v="3143"/>
    <d v="2026-03-11T00:00:00"/>
    <s v="BR NAT Vanilla 6-1.5QT"/>
    <x v="1"/>
    <n v="8.5199999999999998E-3"/>
    <n v="176"/>
    <x v="0"/>
    <x v="1"/>
    <n v="1"/>
    <n v="3143"/>
    <n v="26.778359999999999"/>
    <n v="17.857954545454547"/>
    <s v="Mar"/>
    <x v="12"/>
    <m/>
    <m/>
  </r>
  <r>
    <n v="68851107"/>
    <x v="1"/>
    <n v="176"/>
    <d v="2026-03-12T00:00:00"/>
    <s v="BR NAT Vanilla 6-1.5QT"/>
    <x v="1"/>
    <n v="8.5199999999999998E-3"/>
    <n v="176"/>
    <x v="0"/>
    <x v="1"/>
    <n v="1"/>
    <n v="176"/>
    <n v="1.49952"/>
    <n v="1"/>
    <s v="Mar"/>
    <x v="12"/>
    <m/>
    <m/>
  </r>
  <r>
    <n v="68851107"/>
    <x v="1"/>
    <n v="8800"/>
    <d v="2026-03-16T00:00:00"/>
    <s v="BR NAT Vanilla 6-1.5QT"/>
    <x v="1"/>
    <n v="8.5199999999999998E-3"/>
    <n v="176"/>
    <x v="0"/>
    <x v="1"/>
    <n v="1"/>
    <n v="8800"/>
    <n v="74.975999999999999"/>
    <n v="50"/>
    <s v="Mar"/>
    <x v="9"/>
    <m/>
    <m/>
  </r>
  <r>
    <n v="68851107"/>
    <x v="1"/>
    <n v="352"/>
    <d v="2026-03-17T00:00:00"/>
    <s v="BR NAT Vanilla 6-1.5QT"/>
    <x v="1"/>
    <n v="8.5199999999999998E-3"/>
    <n v="176"/>
    <x v="0"/>
    <x v="1"/>
    <n v="1"/>
    <n v="352"/>
    <n v="2.9990399999999999"/>
    <n v="2"/>
    <s v="Mar"/>
    <x v="9"/>
    <m/>
    <m/>
  </r>
  <r>
    <n v="68851107"/>
    <x v="1"/>
    <n v="203"/>
    <d v="2026-03-18T00:00:00"/>
    <s v="BR NAT Vanilla 6-1.5QT"/>
    <x v="1"/>
    <n v="8.5199999999999998E-3"/>
    <n v="176"/>
    <x v="0"/>
    <x v="1"/>
    <n v="1"/>
    <n v="203"/>
    <n v="1.72956"/>
    <n v="1.1534090909090908"/>
    <s v="Mar"/>
    <x v="9"/>
    <m/>
    <m/>
  </r>
  <r>
    <n v="68851107"/>
    <x v="1"/>
    <n v="10994"/>
    <d v="2026-03-21T00:00:00"/>
    <s v="BR NAT Vanilla 6-1.5QT"/>
    <x v="1"/>
    <n v="8.5199999999999998E-3"/>
    <n v="176"/>
    <x v="0"/>
    <x v="1"/>
    <n v="1"/>
    <n v="10994"/>
    <n v="93.668880000000001"/>
    <n v="62.465909090909093"/>
    <s v="Mar"/>
    <x v="9"/>
    <m/>
    <m/>
  </r>
  <r>
    <n v="68851107"/>
    <x v="1"/>
    <n v="9427"/>
    <d v="2026-03-22T00:00:00"/>
    <s v="BR NAT Vanilla 6-1.5QT"/>
    <x v="1"/>
    <n v="8.5199999999999998E-3"/>
    <n v="176"/>
    <x v="0"/>
    <x v="1"/>
    <n v="1"/>
    <n v="9427"/>
    <n v="80.318039999999996"/>
    <n v="53.5625"/>
    <s v="Mar"/>
    <x v="10"/>
    <m/>
    <m/>
  </r>
  <r>
    <n v="68851107"/>
    <x v="1"/>
    <n v="176"/>
    <d v="2026-03-23T00:00:00"/>
    <s v="BR NAT Vanilla 6-1.5QT"/>
    <x v="1"/>
    <n v="8.5199999999999998E-3"/>
    <n v="176"/>
    <x v="0"/>
    <x v="1"/>
    <n v="1"/>
    <n v="176"/>
    <n v="1.49952"/>
    <n v="1"/>
    <s v="Mar"/>
    <x v="10"/>
    <m/>
    <m/>
  </r>
  <r>
    <n v="68851107"/>
    <x v="1"/>
    <n v="11002"/>
    <d v="2026-03-22T00:00:00"/>
    <s v="BR NAT Vanilla 6-1.5QT"/>
    <x v="1"/>
    <n v="8.5199999999999998E-3"/>
    <n v="176"/>
    <x v="0"/>
    <x v="1"/>
    <n v="1"/>
    <n v="11002"/>
    <n v="93.737039999999993"/>
    <n v="62.511363636363633"/>
    <s v="Mar"/>
    <x v="10"/>
    <m/>
    <m/>
  </r>
  <r>
    <n v="68851107"/>
    <x v="1"/>
    <n v="6711"/>
    <d v="2026-03-23T00:00:00"/>
    <s v="BR NAT Vanilla 6-1.5QT"/>
    <x v="1"/>
    <n v="8.5199999999999998E-3"/>
    <n v="176"/>
    <x v="0"/>
    <x v="1"/>
    <n v="1"/>
    <n v="6711"/>
    <n v="57.177720000000001"/>
    <n v="38.13068181818182"/>
    <s v="Mar"/>
    <x v="10"/>
    <m/>
    <m/>
  </r>
  <r>
    <n v="68851108"/>
    <x v="1"/>
    <n v="2997"/>
    <d v="2026-02-25T00:00:00"/>
    <s v="BR VAN CHOC STRAW 6-1.5QT"/>
    <x v="1"/>
    <n v="8.5199999999999998E-3"/>
    <n v="176"/>
    <x v="0"/>
    <x v="1"/>
    <n v="1"/>
    <n v="2997"/>
    <n v="25.53444"/>
    <n v="17.02840909090909"/>
    <s v="Feb"/>
    <x v="6"/>
    <m/>
    <m/>
  </r>
  <r>
    <n v="68851108"/>
    <x v="1"/>
    <n v="4576"/>
    <d v="2026-02-26T00:00:00"/>
    <s v="BR VAN CHOC STRAW 6-1.5QT"/>
    <x v="1"/>
    <n v="8.5199999999999998E-3"/>
    <n v="176"/>
    <x v="0"/>
    <x v="1"/>
    <n v="1"/>
    <n v="4576"/>
    <n v="38.987519999999996"/>
    <n v="26"/>
    <s v="Feb"/>
    <x v="6"/>
    <m/>
    <m/>
  </r>
  <r>
    <n v="68851108"/>
    <x v="1"/>
    <n v="2902"/>
    <d v="2026-03-07T00:00:00"/>
    <s v="BR VAN CHOC STRAW 6-1.5QT"/>
    <x v="1"/>
    <n v="8.5199999999999998E-3"/>
    <n v="176"/>
    <x v="0"/>
    <x v="1"/>
    <n v="1"/>
    <n v="2902"/>
    <n v="24.72504"/>
    <n v="16.488636363636363"/>
    <s v="Mar"/>
    <x v="11"/>
    <m/>
    <m/>
  </r>
  <r>
    <n v="68851108"/>
    <x v="1"/>
    <n v="11566"/>
    <d v="2026-03-08T00:00:00"/>
    <s v="BR VAN CHOC STRAW 6-1.5QT"/>
    <x v="1"/>
    <n v="8.5199999999999998E-3"/>
    <n v="176"/>
    <x v="0"/>
    <x v="1"/>
    <n v="1"/>
    <n v="11566"/>
    <n v="98.542320000000004"/>
    <n v="65.715909090909093"/>
    <s v="Mar"/>
    <x v="12"/>
    <m/>
    <m/>
  </r>
  <r>
    <n v="68851108"/>
    <x v="1"/>
    <n v="12320"/>
    <d v="2026-03-08T00:00:00"/>
    <s v="BR VAN CHOC STRAW 6-1.5QT"/>
    <x v="1"/>
    <n v="8.5199999999999998E-3"/>
    <n v="176"/>
    <x v="0"/>
    <x v="1"/>
    <n v="1"/>
    <n v="12320"/>
    <n v="104.96639999999999"/>
    <n v="70"/>
    <s v="Mar"/>
    <x v="12"/>
    <m/>
    <m/>
  </r>
  <r>
    <n v="68851108"/>
    <x v="1"/>
    <n v="10384"/>
    <d v="2026-03-09T00:00:00"/>
    <s v="BR VAN CHOC STRAW 6-1.5QT"/>
    <x v="1"/>
    <n v="8.5199999999999998E-3"/>
    <n v="176"/>
    <x v="0"/>
    <x v="1"/>
    <n v="1"/>
    <n v="10384"/>
    <n v="88.471679999999992"/>
    <n v="59"/>
    <s v="Mar"/>
    <x v="12"/>
    <m/>
    <m/>
  </r>
  <r>
    <n v="68851108"/>
    <x v="1"/>
    <n v="13024"/>
    <d v="2026-03-09T00:00:00"/>
    <s v="BR VAN CHOC STRAW 6-1.5QT"/>
    <x v="1"/>
    <n v="8.5199999999999998E-3"/>
    <n v="176"/>
    <x v="0"/>
    <x v="1"/>
    <n v="1"/>
    <n v="13024"/>
    <n v="110.96447999999999"/>
    <n v="74"/>
    <s v="Mar"/>
    <x v="12"/>
    <m/>
    <m/>
  </r>
  <r>
    <n v="68851108"/>
    <x v="1"/>
    <n v="10032"/>
    <d v="2026-03-10T00:00:00"/>
    <s v="BR VAN CHOC STRAW 6-1.5QT"/>
    <x v="1"/>
    <n v="8.5199999999999998E-3"/>
    <n v="176"/>
    <x v="0"/>
    <x v="1"/>
    <n v="1"/>
    <n v="10032"/>
    <n v="85.472639999999998"/>
    <n v="57"/>
    <s v="Mar"/>
    <x v="12"/>
    <m/>
    <m/>
  </r>
  <r>
    <n v="68851108"/>
    <x v="1"/>
    <n v="10384"/>
    <d v="2026-02-26T00:00:00"/>
    <s v="BR VAN CHOC STRAW 6-1.5QT"/>
    <x v="1"/>
    <n v="8.5199999999999998E-3"/>
    <n v="176"/>
    <x v="0"/>
    <x v="1"/>
    <n v="1"/>
    <n v="10384"/>
    <n v="88.471679999999992"/>
    <n v="59"/>
    <s v="Feb"/>
    <x v="6"/>
    <m/>
    <m/>
  </r>
  <r>
    <n v="68851108"/>
    <x v="1"/>
    <n v="9064"/>
    <d v="2026-02-27T00:00:00"/>
    <s v="BR VAN CHOC STRAW 6-1.5QT"/>
    <x v="1"/>
    <n v="8.5199999999999998E-3"/>
    <n v="176"/>
    <x v="0"/>
    <x v="1"/>
    <n v="1"/>
    <n v="9064"/>
    <n v="77.225279999999998"/>
    <n v="51.5"/>
    <s v="Feb"/>
    <x v="6"/>
    <m/>
    <m/>
  </r>
  <r>
    <n v="68851108"/>
    <x v="1"/>
    <n v="10032"/>
    <d v="2026-02-27T00:00:00"/>
    <s v="BR VAN CHOC STRAW 6-1.5QT"/>
    <x v="1"/>
    <n v="8.5199999999999998E-3"/>
    <n v="176"/>
    <x v="0"/>
    <x v="1"/>
    <n v="1"/>
    <n v="10032"/>
    <n v="85.472639999999998"/>
    <n v="57"/>
    <s v="Feb"/>
    <x v="6"/>
    <m/>
    <m/>
  </r>
  <r>
    <n v="68851108"/>
    <x v="1"/>
    <n v="2248"/>
    <d v="2026-02-28T00:00:00"/>
    <s v="BR VAN CHOC STRAW 6-1.5QT"/>
    <x v="1"/>
    <n v="8.5199999999999998E-3"/>
    <n v="176"/>
    <x v="0"/>
    <x v="1"/>
    <n v="1"/>
    <n v="2248"/>
    <n v="19.15296"/>
    <n v="12.772727272727273"/>
    <s v="Feb"/>
    <x v="6"/>
    <m/>
    <m/>
  </r>
  <r>
    <n v="68851108"/>
    <x v="1"/>
    <n v="4862"/>
    <d v="2026-03-24T00:00:00"/>
    <s v="BR VAN CHOC STRAW 6-1.5QT"/>
    <x v="1"/>
    <n v="8.5199999999999998E-3"/>
    <n v="176"/>
    <x v="0"/>
    <x v="1"/>
    <n v="1"/>
    <n v="4862"/>
    <n v="41.424239999999998"/>
    <n v="27.625"/>
    <s v="Mar"/>
    <x v="10"/>
    <m/>
    <m/>
  </r>
  <r>
    <n v="68851108"/>
    <x v="1"/>
    <n v="2112"/>
    <d v="2026-02-25T00:00:00"/>
    <s v="BR VAN CHOC STRAW 6-1.5QT"/>
    <x v="1"/>
    <n v="8.5199999999999998E-3"/>
    <n v="176"/>
    <x v="0"/>
    <x v="1"/>
    <n v="1"/>
    <n v="2112"/>
    <n v="17.994239999999998"/>
    <n v="12"/>
    <s v="Feb"/>
    <x v="6"/>
    <m/>
    <m/>
  </r>
  <r>
    <n v="68851108"/>
    <x v="1"/>
    <n v="9742"/>
    <d v="2026-03-10T00:00:00"/>
    <s v="BR VAN CHOC STRAW 6-1.5QT"/>
    <x v="1"/>
    <n v="8.5199999999999998E-3"/>
    <n v="176"/>
    <x v="0"/>
    <x v="1"/>
    <n v="1"/>
    <n v="9742"/>
    <n v="83.001840000000001"/>
    <n v="55.352272727272727"/>
    <s v="Mar"/>
    <x v="12"/>
    <m/>
    <m/>
  </r>
  <r>
    <n v="68851108"/>
    <x v="1"/>
    <n v="13728"/>
    <d v="2026-03-24T00:00:00"/>
    <s v="BR VAN CHOC STRAW 6-1.5QT"/>
    <x v="1"/>
    <n v="8.5199999999999998E-3"/>
    <n v="176"/>
    <x v="0"/>
    <x v="1"/>
    <n v="1"/>
    <n v="13728"/>
    <n v="116.96256"/>
    <n v="78"/>
    <s v="Mar"/>
    <x v="10"/>
    <m/>
    <m/>
  </r>
  <r>
    <n v="68852591"/>
    <x v="1"/>
    <n v="396"/>
    <d v="2026-03-16T00:00:00"/>
    <s v="KL Heath Bar 12-6PK"/>
    <x v="21"/>
    <n v="8.5199999999999998E-3"/>
    <n v="132"/>
    <x v="1"/>
    <x v="11"/>
    <n v="1"/>
    <n v="396"/>
    <n v="3.37392"/>
    <n v="3"/>
    <s v="Mar"/>
    <x v="9"/>
    <m/>
    <m/>
  </r>
  <r>
    <n v="68852591"/>
    <x v="1"/>
    <n v="779"/>
    <d v="2026-03-17T00:00:00"/>
    <s v="KL Heath Bar 12-6PK"/>
    <x v="21"/>
    <n v="8.5199999999999998E-3"/>
    <n v="132"/>
    <x v="1"/>
    <x v="11"/>
    <n v="1"/>
    <n v="779"/>
    <n v="6.6370800000000001"/>
    <n v="5.9015151515151514"/>
    <s v="Mar"/>
    <x v="9"/>
    <m/>
    <m/>
  </r>
  <r>
    <n v="68852591"/>
    <x v="1"/>
    <n v="2112"/>
    <d v="2026-03-17T00:00:00"/>
    <s v="KL Heath Bar 12-6PK"/>
    <x v="21"/>
    <n v="8.5199999999999998E-3"/>
    <n v="132"/>
    <x v="1"/>
    <x v="11"/>
    <n v="1"/>
    <n v="2112"/>
    <n v="17.994239999999998"/>
    <n v="16"/>
    <s v="Mar"/>
    <x v="9"/>
    <m/>
    <m/>
  </r>
  <r>
    <n v="68852591"/>
    <x v="1"/>
    <n v="1056"/>
    <d v="2026-03-18T00:00:00"/>
    <s v="KL Heath Bar 12-6PK"/>
    <x v="21"/>
    <n v="8.5199999999999998E-3"/>
    <n v="132"/>
    <x v="1"/>
    <x v="11"/>
    <n v="1"/>
    <n v="1056"/>
    <n v="8.9971199999999989"/>
    <n v="8"/>
    <s v="Mar"/>
    <x v="9"/>
    <m/>
    <m/>
  </r>
  <r>
    <n v="68852591"/>
    <x v="1"/>
    <n v="-13"/>
    <d v="2026-03-24T00:00:00"/>
    <s v="KL Heath Bar 12-6PK"/>
    <x v="21"/>
    <n v="8.5199999999999998E-3"/>
    <n v="132"/>
    <x v="1"/>
    <x v="11"/>
    <n v="1"/>
    <n v="-13"/>
    <n v="-0.11076"/>
    <n v="-9.8484848484848481E-2"/>
    <s v="Mar"/>
    <x v="10"/>
    <m/>
    <m/>
  </r>
  <r>
    <n v="68852591"/>
    <x v="1"/>
    <n v="1794"/>
    <d v="2026-03-18T00:00:00"/>
    <s v="KL Heath Bar 12-6PK"/>
    <x v="21"/>
    <n v="8.5199999999999998E-3"/>
    <n v="132"/>
    <x v="1"/>
    <x v="11"/>
    <n v="1"/>
    <n v="1794"/>
    <n v="15.284879999999999"/>
    <n v="13.590909090909092"/>
    <s v="Mar"/>
    <x v="9"/>
    <m/>
    <m/>
  </r>
  <r>
    <n v="68852591"/>
    <x v="1"/>
    <n v="1716"/>
    <d v="2026-03-19T00:00:00"/>
    <s v="KL Heath Bar 12-6PK"/>
    <x v="21"/>
    <n v="8.5199999999999998E-3"/>
    <n v="132"/>
    <x v="1"/>
    <x v="11"/>
    <n v="1"/>
    <n v="1716"/>
    <n v="14.62032"/>
    <n v="13"/>
    <s v="Mar"/>
    <x v="9"/>
    <m/>
    <m/>
  </r>
  <r>
    <n v="68852591"/>
    <x v="1"/>
    <n v="1297"/>
    <d v="2026-03-19T00:00:00"/>
    <s v="KL Heath Bar 12-6PK"/>
    <x v="21"/>
    <n v="8.5199999999999998E-3"/>
    <n v="132"/>
    <x v="1"/>
    <x v="11"/>
    <n v="1"/>
    <n v="1297"/>
    <n v="11.05044"/>
    <n v="9.8257575757575761"/>
    <s v="Mar"/>
    <x v="9"/>
    <m/>
    <m/>
  </r>
  <r>
    <n v="68852591"/>
    <x v="1"/>
    <n v="1452"/>
    <d v="2026-03-20T00:00:00"/>
    <s v="KL Heath Bar 12-6PK"/>
    <x v="21"/>
    <n v="8.5199999999999998E-3"/>
    <n v="132"/>
    <x v="1"/>
    <x v="11"/>
    <n v="1"/>
    <n v="1452"/>
    <n v="12.371039999999999"/>
    <n v="11"/>
    <s v="Mar"/>
    <x v="9"/>
    <m/>
    <m/>
  </r>
  <r>
    <n v="68852591"/>
    <x v="1"/>
    <n v="527"/>
    <d v="2026-03-20T00:00:00"/>
    <s v="KL Heath Bar 12-6PK"/>
    <x v="21"/>
    <n v="8.5199999999999998E-3"/>
    <n v="132"/>
    <x v="1"/>
    <x v="11"/>
    <n v="1"/>
    <n v="527"/>
    <n v="4.4900399999999996"/>
    <n v="3.9924242424242422"/>
    <s v="Mar"/>
    <x v="9"/>
    <m/>
    <m/>
  </r>
  <r>
    <n v="68852591"/>
    <x v="1"/>
    <n v="1383"/>
    <d v="2026-03-21T00:00:00"/>
    <s v="KL Heath Bar 12-6PK"/>
    <x v="21"/>
    <n v="8.5199999999999998E-3"/>
    <n v="132"/>
    <x v="1"/>
    <x v="11"/>
    <n v="1"/>
    <n v="1383"/>
    <n v="11.783160000000001"/>
    <n v="10.477272727272727"/>
    <s v="Mar"/>
    <x v="9"/>
    <m/>
    <m/>
  </r>
  <r>
    <n v="68852591"/>
    <x v="1"/>
    <n v="1471"/>
    <d v="2026-03-21T00:00:00"/>
    <s v="KL Heath Bar 12-6PK"/>
    <x v="21"/>
    <n v="8.5199999999999998E-3"/>
    <n v="132"/>
    <x v="1"/>
    <x v="11"/>
    <n v="1"/>
    <n v="1471"/>
    <n v="12.532919999999999"/>
    <n v="11.143939393939394"/>
    <s v="Mar"/>
    <x v="9"/>
    <m/>
    <m/>
  </r>
  <r>
    <n v="68852591"/>
    <x v="1"/>
    <n v="1320"/>
    <d v="2026-03-22T00:00:00"/>
    <s v="KL Heath Bar 12-6PK"/>
    <x v="21"/>
    <n v="8.5199999999999998E-3"/>
    <n v="132"/>
    <x v="1"/>
    <x v="11"/>
    <n v="1"/>
    <n v="1320"/>
    <n v="11.2464"/>
    <n v="10"/>
    <s v="Mar"/>
    <x v="10"/>
    <m/>
    <m/>
  </r>
  <r>
    <n v="68852591"/>
    <x v="1"/>
    <n v="1797"/>
    <d v="2026-03-22T00:00:00"/>
    <s v="KL Heath Bar 12-6PK"/>
    <x v="21"/>
    <n v="8.5199999999999998E-3"/>
    <n v="132"/>
    <x v="1"/>
    <x v="11"/>
    <n v="1"/>
    <n v="1797"/>
    <n v="15.31044"/>
    <n v="13.613636363636363"/>
    <s v="Mar"/>
    <x v="10"/>
    <m/>
    <m/>
  </r>
  <r>
    <n v="68852591"/>
    <x v="1"/>
    <n v="923"/>
    <d v="2026-03-23T00:00:00"/>
    <s v="KL Heath Bar 12-6PK"/>
    <x v="21"/>
    <n v="8.5199999999999998E-3"/>
    <n v="132"/>
    <x v="1"/>
    <x v="11"/>
    <n v="1"/>
    <n v="923"/>
    <n v="7.8639599999999996"/>
    <n v="6.9924242424242422"/>
    <s v="Mar"/>
    <x v="10"/>
    <m/>
    <m/>
  </r>
  <r>
    <n v="68852591"/>
    <x v="1"/>
    <n v="729"/>
    <d v="2026-03-23T00:00:00"/>
    <s v="KL Heath Bar 12-6PK"/>
    <x v="21"/>
    <n v="8.5199999999999998E-3"/>
    <n v="132"/>
    <x v="1"/>
    <x v="11"/>
    <n v="1"/>
    <n v="729"/>
    <n v="6.2110799999999999"/>
    <n v="5.5227272727272725"/>
    <s v="Mar"/>
    <x v="10"/>
    <m/>
    <m/>
  </r>
  <r>
    <n v="68852591"/>
    <x v="1"/>
    <n v="264"/>
    <d v="2026-03-24T00:00:00"/>
    <s v="KL Heath Bar 12-6PK"/>
    <x v="21"/>
    <n v="8.5199999999999998E-3"/>
    <n v="132"/>
    <x v="1"/>
    <x v="11"/>
    <n v="1"/>
    <n v="264"/>
    <n v="2.2492799999999997"/>
    <n v="2"/>
    <s v="Mar"/>
    <x v="10"/>
    <m/>
    <m/>
  </r>
  <r>
    <n v="68852591"/>
    <x v="1"/>
    <n v="1848"/>
    <d v="2026-03-24T00:00:00"/>
    <s v="KL Heath Bar 12-6PK"/>
    <x v="21"/>
    <n v="8.5199999999999998E-3"/>
    <n v="132"/>
    <x v="1"/>
    <x v="11"/>
    <n v="1"/>
    <n v="1848"/>
    <n v="15.744959999999999"/>
    <n v="14"/>
    <s v="Mar"/>
    <x v="10"/>
    <m/>
    <m/>
  </r>
  <r>
    <n v="68852625"/>
    <x v="1"/>
    <n v="13817"/>
    <d v="2026-03-08T00:00:00"/>
    <s v="Talenti Mediterranean Mint 8 1PT"/>
    <x v="8"/>
    <n v="3.7839999999999996E-3"/>
    <n v="255"/>
    <x v="2"/>
    <x v="3"/>
    <n v="1"/>
    <n v="13817"/>
    <n v="52.283527999999997"/>
    <n v="54.184313725490199"/>
    <s v="Mar"/>
    <x v="12"/>
    <m/>
    <m/>
  </r>
  <r>
    <n v="68852625"/>
    <x v="1"/>
    <n v="12175"/>
    <d v="2026-03-09T00:00:00"/>
    <s v="Talenti Mediterranean Mint 8 1PT"/>
    <x v="8"/>
    <n v="3.7839999999999996E-3"/>
    <n v="255"/>
    <x v="2"/>
    <x v="3"/>
    <n v="1"/>
    <n v="12175"/>
    <n v="46.070199999999993"/>
    <n v="47.745098039215684"/>
    <s v="Mar"/>
    <x v="12"/>
    <m/>
    <m/>
  </r>
  <r>
    <n v="68852625"/>
    <x v="1"/>
    <n v="15233"/>
    <d v="2026-03-09T00:00:00"/>
    <s v="Talenti Mediterranean Mint 8 1PT"/>
    <x v="8"/>
    <n v="3.7839999999999996E-3"/>
    <n v="255"/>
    <x v="2"/>
    <x v="3"/>
    <n v="1"/>
    <n v="15233"/>
    <n v="57.641671999999993"/>
    <n v="59.737254901960782"/>
    <s v="Mar"/>
    <x v="12"/>
    <m/>
    <m/>
  </r>
  <r>
    <n v="68852625"/>
    <x v="1"/>
    <n v="11599"/>
    <d v="2026-03-10T00:00:00"/>
    <s v="Talenti Mediterranean Mint 8 1PT"/>
    <x v="8"/>
    <n v="3.7839999999999996E-3"/>
    <n v="255"/>
    <x v="2"/>
    <x v="3"/>
    <n v="1"/>
    <n v="11599"/>
    <n v="43.890615999999994"/>
    <n v="45.48627450980392"/>
    <s v="Mar"/>
    <x v="12"/>
    <m/>
    <m/>
  </r>
  <r>
    <n v="68852625"/>
    <x v="1"/>
    <n v="16487"/>
    <d v="2026-03-10T00:00:00"/>
    <s v="Talenti Mediterranean Mint 8 1PT"/>
    <x v="8"/>
    <n v="3.7839999999999996E-3"/>
    <n v="255"/>
    <x v="2"/>
    <x v="3"/>
    <n v="1"/>
    <n v="16487"/>
    <n v="62.386807999999995"/>
    <n v="64.654901960784315"/>
    <s v="Mar"/>
    <x v="12"/>
    <m/>
    <m/>
  </r>
  <r>
    <n v="68852625"/>
    <x v="1"/>
    <n v="13711"/>
    <d v="2026-03-11T00:00:00"/>
    <s v="Talenti Mediterranean Mint 8 1PT"/>
    <x v="8"/>
    <n v="3.7839999999999996E-3"/>
    <n v="255"/>
    <x v="2"/>
    <x v="3"/>
    <n v="1"/>
    <n v="13711"/>
    <n v="51.882423999999993"/>
    <n v="53.768627450980389"/>
    <s v="Mar"/>
    <x v="12"/>
    <m/>
    <m/>
  </r>
  <r>
    <n v="68852625"/>
    <x v="1"/>
    <n v="17814"/>
    <d v="2026-03-11T00:00:00"/>
    <s v="Talenti Mediterranean Mint 8 1PT"/>
    <x v="8"/>
    <n v="3.7839999999999996E-3"/>
    <n v="255"/>
    <x v="2"/>
    <x v="3"/>
    <n v="1"/>
    <n v="17814"/>
    <n v="67.408175999999997"/>
    <n v="69.858823529411765"/>
    <s v="Mar"/>
    <x v="12"/>
    <m/>
    <m/>
  </r>
  <r>
    <n v="68852625"/>
    <x v="1"/>
    <n v="1569"/>
    <d v="2026-03-12T00:00:00"/>
    <s v="Talenti Mediterranean Mint 8 1PT"/>
    <x v="8"/>
    <n v="3.7839999999999996E-3"/>
    <n v="255"/>
    <x v="2"/>
    <x v="3"/>
    <n v="1"/>
    <n v="1569"/>
    <n v="5.9370959999999995"/>
    <n v="6.1529411764705886"/>
    <s v="Mar"/>
    <x v="12"/>
    <m/>
    <m/>
  </r>
  <r>
    <n v="68860059"/>
    <x v="1"/>
    <n v="15045"/>
    <d v="2026-03-04T00:00:00"/>
    <s v="Talenti Pacific Coast Pistachio 8 1PT"/>
    <x v="8"/>
    <n v="3.7839999999999996E-3"/>
    <n v="255"/>
    <x v="2"/>
    <x v="3"/>
    <n v="1"/>
    <n v="15045"/>
    <n v="56.930279999999996"/>
    <n v="59"/>
    <s v="Mar"/>
    <x v="11"/>
    <m/>
    <m/>
  </r>
  <r>
    <n v="68860059"/>
    <x v="1"/>
    <n v="10850"/>
    <d v="2026-03-05T00:00:00"/>
    <s v="Talenti Pacific Coast Pistachio 8 1PT"/>
    <x v="8"/>
    <n v="3.7839999999999996E-3"/>
    <n v="255"/>
    <x v="2"/>
    <x v="3"/>
    <n v="1"/>
    <n v="10850"/>
    <n v="41.056399999999996"/>
    <n v="42.549019607843135"/>
    <s v="Mar"/>
    <x v="11"/>
    <m/>
    <m/>
  </r>
  <r>
    <n v="68860059"/>
    <x v="1"/>
    <n v="20703"/>
    <d v="2026-03-05T00:00:00"/>
    <s v="Talenti Pacific Coast Pistachio 8 1PT"/>
    <x v="8"/>
    <n v="3.7839999999999996E-3"/>
    <n v="255"/>
    <x v="2"/>
    <x v="3"/>
    <n v="1"/>
    <n v="20703"/>
    <n v="78.340151999999989"/>
    <n v="81.188235294117646"/>
    <s v="Mar"/>
    <x v="11"/>
    <m/>
    <m/>
  </r>
  <r>
    <n v="68860059"/>
    <x v="1"/>
    <n v="17760"/>
    <d v="2026-03-06T00:00:00"/>
    <s v="Talenti Pacific Coast Pistachio 8 1PT"/>
    <x v="8"/>
    <n v="3.7839999999999996E-3"/>
    <n v="255"/>
    <x v="2"/>
    <x v="3"/>
    <n v="1"/>
    <n v="17760"/>
    <n v="67.20384"/>
    <n v="69.647058823529406"/>
    <s v="Mar"/>
    <x v="11"/>
    <m/>
    <m/>
  </r>
  <r>
    <n v="68860059"/>
    <x v="1"/>
    <n v="15545"/>
    <d v="2026-03-06T00:00:00"/>
    <s v="Talenti Pacific Coast Pistachio 8 1PT"/>
    <x v="8"/>
    <n v="3.7839999999999996E-3"/>
    <n v="255"/>
    <x v="2"/>
    <x v="3"/>
    <n v="1"/>
    <n v="15545"/>
    <n v="58.822279999999992"/>
    <n v="60.96078431372549"/>
    <s v="Mar"/>
    <x v="11"/>
    <m/>
    <m/>
  </r>
  <r>
    <n v="68860059"/>
    <x v="1"/>
    <n v="6353"/>
    <d v="2026-03-07T00:00:00"/>
    <s v="Talenti Pacific Coast Pistachio 8 1PT"/>
    <x v="8"/>
    <n v="3.7839999999999996E-3"/>
    <n v="255"/>
    <x v="2"/>
    <x v="3"/>
    <n v="1"/>
    <n v="6353"/>
    <n v="24.039751999999996"/>
    <n v="24.913725490196079"/>
    <s v="Mar"/>
    <x v="11"/>
    <m/>
    <m/>
  </r>
  <r>
    <n v="68860059"/>
    <x v="1"/>
    <n v="255"/>
    <d v="2026-03-09T00:00:00"/>
    <s v="Talenti Pacific Coast Pistachio 8 1PT"/>
    <x v="8"/>
    <n v="3.7839999999999996E-3"/>
    <n v="255"/>
    <x v="2"/>
    <x v="3"/>
    <n v="1"/>
    <n v="255"/>
    <n v="0.96491999999999989"/>
    <n v="1"/>
    <s v="Mar"/>
    <x v="12"/>
    <m/>
    <m/>
  </r>
  <r>
    <n v="68860059"/>
    <x v="1"/>
    <n v="2535"/>
    <d v="2026-03-04T00:00:00"/>
    <s v="Talenti Pacific Coast Pistachio 8 1PT"/>
    <x v="8"/>
    <n v="3.7839999999999996E-3"/>
    <n v="255"/>
    <x v="2"/>
    <x v="3"/>
    <n v="1"/>
    <n v="2535"/>
    <n v="9.5924399999999999"/>
    <n v="9.9411764705882355"/>
    <s v="Mar"/>
    <x v="11"/>
    <m/>
    <m/>
  </r>
  <r>
    <n v="68860061"/>
    <x v="1"/>
    <n v="193"/>
    <d v="2026-02-23T00:00:00"/>
    <s v="Talenti LYR Cookies and Cream 8 303.3g"/>
    <x v="9"/>
    <n v="3.552E-3"/>
    <n v="255"/>
    <x v="2"/>
    <x v="3"/>
    <n v="1"/>
    <n v="193"/>
    <n v="0.68553600000000003"/>
    <n v="0.75686274509803919"/>
    <s v="Feb"/>
    <x v="6"/>
    <m/>
    <m/>
  </r>
  <r>
    <n v="68860061"/>
    <x v="1"/>
    <n v="4741"/>
    <d v="2026-02-23T00:00:00"/>
    <s v="Talenti LYR Cookies and Cream 8 303.3g"/>
    <x v="9"/>
    <n v="3.552E-3"/>
    <n v="255"/>
    <x v="2"/>
    <x v="3"/>
    <n v="1"/>
    <n v="4741"/>
    <n v="16.840032000000001"/>
    <n v="18.592156862745099"/>
    <s v="Feb"/>
    <x v="6"/>
    <m/>
    <m/>
  </r>
  <r>
    <n v="68860061"/>
    <x v="1"/>
    <n v="6724"/>
    <d v="2026-03-11T00:00:00"/>
    <s v="Talenti LYR Cookies and Cream 8 303.3g"/>
    <x v="9"/>
    <n v="3.552E-3"/>
    <n v="255"/>
    <x v="2"/>
    <x v="3"/>
    <n v="1"/>
    <n v="6724"/>
    <n v="23.883648000000001"/>
    <n v="26.368627450980391"/>
    <s v="Mar"/>
    <x v="12"/>
    <m/>
    <m/>
  </r>
  <r>
    <n v="68860061"/>
    <x v="1"/>
    <n v="7349"/>
    <d v="2026-03-12T00:00:00"/>
    <s v="Talenti LYR Cookies and Cream 8 303.3g"/>
    <x v="9"/>
    <n v="3.552E-3"/>
    <n v="255"/>
    <x v="2"/>
    <x v="3"/>
    <n v="1"/>
    <n v="7349"/>
    <n v="26.103648"/>
    <n v="28.819607843137256"/>
    <s v="Mar"/>
    <x v="12"/>
    <m/>
    <m/>
  </r>
  <r>
    <n v="68860061"/>
    <x v="1"/>
    <n v="7559"/>
    <d v="2026-03-12T00:00:00"/>
    <s v="Talenti LYR Cookies and Cream 8 303.3g"/>
    <x v="9"/>
    <n v="3.552E-3"/>
    <n v="255"/>
    <x v="2"/>
    <x v="3"/>
    <n v="1"/>
    <n v="7559"/>
    <n v="26.849568000000001"/>
    <n v="29.643137254901962"/>
    <s v="Mar"/>
    <x v="12"/>
    <m/>
    <m/>
  </r>
  <r>
    <n v="68860061"/>
    <x v="1"/>
    <n v="7234"/>
    <d v="2026-03-13T00:00:00"/>
    <s v="Talenti LYR Cookies and Cream 8 303.3g"/>
    <x v="9"/>
    <n v="3.552E-3"/>
    <n v="255"/>
    <x v="2"/>
    <x v="3"/>
    <n v="1"/>
    <n v="7234"/>
    <n v="25.695167999999999"/>
    <n v="28.368627450980391"/>
    <s v="Mar"/>
    <x v="12"/>
    <m/>
    <m/>
  </r>
  <r>
    <n v="68860061"/>
    <x v="1"/>
    <n v="871"/>
    <d v="2026-03-13T00:00:00"/>
    <s v="Talenti LYR Cookies and Cream 8 303.3g"/>
    <x v="9"/>
    <n v="3.552E-3"/>
    <n v="255"/>
    <x v="2"/>
    <x v="3"/>
    <n v="1"/>
    <n v="871"/>
    <n v="3.0937920000000001"/>
    <n v="3.4156862745098038"/>
    <s v="Mar"/>
    <x v="12"/>
    <m/>
    <m/>
  </r>
  <r>
    <n v="68860061"/>
    <x v="1"/>
    <n v="510"/>
    <d v="2026-03-14T00:00:00"/>
    <s v="Talenti LYR Cookies and Cream 8 303.3g"/>
    <x v="9"/>
    <n v="3.552E-3"/>
    <n v="255"/>
    <x v="2"/>
    <x v="3"/>
    <n v="1"/>
    <n v="510"/>
    <n v="1.81152"/>
    <n v="2"/>
    <s v="Mar"/>
    <x v="12"/>
    <m/>
    <m/>
  </r>
  <r>
    <n v="68860061"/>
    <x v="1"/>
    <n v="10424"/>
    <d v="2026-03-20T00:00:00"/>
    <s v="Talenti LYR Cookies and Cream 8 303.3g"/>
    <x v="9"/>
    <n v="3.552E-3"/>
    <n v="255"/>
    <x v="2"/>
    <x v="3"/>
    <n v="1"/>
    <n v="10424"/>
    <n v="37.026048000000003"/>
    <n v="40.878431372549016"/>
    <s v="Mar"/>
    <x v="9"/>
    <m/>
    <m/>
  </r>
  <r>
    <n v="68860061"/>
    <x v="1"/>
    <n v="7611"/>
    <d v="2026-03-21T00:00:00"/>
    <s v="Talenti LYR Cookies and Cream 8 303.3g"/>
    <x v="9"/>
    <n v="3.552E-3"/>
    <n v="255"/>
    <x v="2"/>
    <x v="3"/>
    <n v="1"/>
    <n v="7611"/>
    <n v="27.034272000000001"/>
    <n v="29.847058823529412"/>
    <s v="Mar"/>
    <x v="9"/>
    <m/>
    <m/>
  </r>
  <r>
    <n v="68860061"/>
    <x v="1"/>
    <n v="5929"/>
    <d v="2026-03-21T00:00:00"/>
    <s v="Talenti LYR Cookies and Cream 8 303.3g"/>
    <x v="9"/>
    <n v="3.552E-3"/>
    <n v="255"/>
    <x v="2"/>
    <x v="3"/>
    <n v="1"/>
    <n v="5929"/>
    <n v="21.059808"/>
    <n v="23.250980392156862"/>
    <s v="Mar"/>
    <x v="9"/>
    <m/>
    <m/>
  </r>
  <r>
    <n v="68860061"/>
    <x v="1"/>
    <n v="255"/>
    <d v="2026-03-22T00:00:00"/>
    <s v="Talenti LYR Cookies and Cream 8 303.3g"/>
    <x v="9"/>
    <n v="3.552E-3"/>
    <n v="255"/>
    <x v="2"/>
    <x v="3"/>
    <n v="1"/>
    <n v="255"/>
    <n v="0.90576000000000001"/>
    <n v="1"/>
    <s v="Mar"/>
    <x v="10"/>
    <m/>
    <m/>
  </r>
  <r>
    <n v="68860061"/>
    <x v="1"/>
    <n v="3766"/>
    <d v="2026-02-23T00:00:00"/>
    <s v="Talenti LYR Cookies and Cream 8 303.3g"/>
    <x v="9"/>
    <n v="3.552E-3"/>
    <n v="255"/>
    <x v="2"/>
    <x v="3"/>
    <n v="1"/>
    <n v="3766"/>
    <n v="13.376832"/>
    <n v="14.768627450980393"/>
    <s v="Feb"/>
    <x v="6"/>
    <m/>
    <m/>
  </r>
  <r>
    <n v="68860061"/>
    <x v="1"/>
    <n v="4422"/>
    <d v="2026-02-24T00:00:00"/>
    <s v="Talenti LYR Cookies and Cream 8 303.3g"/>
    <x v="9"/>
    <n v="3.552E-3"/>
    <n v="255"/>
    <x v="2"/>
    <x v="3"/>
    <n v="1"/>
    <n v="4422"/>
    <n v="15.706944"/>
    <n v="17.341176470588234"/>
    <s v="Feb"/>
    <x v="6"/>
    <m/>
    <m/>
  </r>
  <r>
    <n v="68860061"/>
    <x v="1"/>
    <n v="1020"/>
    <d v="2026-03-11T00:00:00"/>
    <s v="Talenti LYR Cookies and Cream 8 303.3g"/>
    <x v="9"/>
    <n v="3.552E-3"/>
    <n v="255"/>
    <x v="2"/>
    <x v="3"/>
    <n v="1"/>
    <n v="1020"/>
    <n v="3.62304"/>
    <n v="4"/>
    <s v="Mar"/>
    <x v="12"/>
    <m/>
    <m/>
  </r>
  <r>
    <n v="68860061"/>
    <x v="1"/>
    <n v="3039"/>
    <d v="2026-03-19T00:00:00"/>
    <s v="Talenti LYR Cookies and Cream 8 303.3g"/>
    <x v="9"/>
    <n v="3.552E-3"/>
    <n v="255"/>
    <x v="2"/>
    <x v="3"/>
    <n v="1"/>
    <n v="3039"/>
    <n v="10.794528"/>
    <n v="11.91764705882353"/>
    <s v="Mar"/>
    <x v="9"/>
    <m/>
    <m/>
  </r>
  <r>
    <n v="68860061"/>
    <x v="1"/>
    <n v="6375"/>
    <d v="2026-03-20T00:00:00"/>
    <s v="Talenti LYR Cookies and Cream 8 303.3g"/>
    <x v="9"/>
    <n v="3.552E-3"/>
    <n v="255"/>
    <x v="2"/>
    <x v="3"/>
    <n v="1"/>
    <n v="6375"/>
    <n v="22.644000000000002"/>
    <n v="25"/>
    <s v="Mar"/>
    <x v="9"/>
    <m/>
    <m/>
  </r>
  <r>
    <n v="68860129"/>
    <x v="1"/>
    <n v="9511"/>
    <d v="2026-03-02T00:00:00"/>
    <s v="Talenti Caribbean Coconut 8 1PT"/>
    <x v="8"/>
    <n v="3.7839999999999996E-3"/>
    <n v="255"/>
    <x v="2"/>
    <x v="3"/>
    <n v="1"/>
    <n v="9511"/>
    <n v="35.989623999999999"/>
    <n v="37.298039215686273"/>
    <s v="Mar"/>
    <x v="11"/>
    <m/>
    <m/>
  </r>
  <r>
    <n v="68860129"/>
    <x v="1"/>
    <n v="12384"/>
    <d v="2026-03-03T00:00:00"/>
    <s v="Talenti Caribbean Coconut 8 1PT"/>
    <x v="8"/>
    <n v="3.7839999999999996E-3"/>
    <n v="255"/>
    <x v="2"/>
    <x v="3"/>
    <n v="1"/>
    <n v="12384"/>
    <n v="46.861055999999998"/>
    <n v="48.564705882352939"/>
    <s v="Mar"/>
    <x v="11"/>
    <m/>
    <m/>
  </r>
  <r>
    <n v="68860129"/>
    <x v="1"/>
    <n v="6552"/>
    <d v="2026-03-03T00:00:00"/>
    <s v="Talenti Caribbean Coconut 8 1PT"/>
    <x v="8"/>
    <n v="3.7839999999999996E-3"/>
    <n v="255"/>
    <x v="2"/>
    <x v="3"/>
    <n v="1"/>
    <n v="6552"/>
    <n v="24.792767999999999"/>
    <n v="25.694117647058825"/>
    <s v="Mar"/>
    <x v="11"/>
    <m/>
    <m/>
  </r>
  <r>
    <n v="68860136"/>
    <x v="1"/>
    <n v="15371"/>
    <d v="2026-02-24T00:00:00"/>
    <s v="Talenti Black Raspberry CHOC Chip 8 1PT"/>
    <x v="8"/>
    <n v="3.7839999999999996E-3"/>
    <n v="255"/>
    <x v="2"/>
    <x v="3"/>
    <n v="1"/>
    <n v="15371"/>
    <n v="58.163863999999997"/>
    <n v="60.278431372549022"/>
    <s v="Feb"/>
    <x v="6"/>
    <m/>
    <m/>
  </r>
  <r>
    <n v="68860136"/>
    <x v="1"/>
    <n v="12384"/>
    <d v="2026-02-25T00:00:00"/>
    <s v="Talenti Black Raspberry CHOC Chip 8 1PT"/>
    <x v="8"/>
    <n v="3.7839999999999996E-3"/>
    <n v="255"/>
    <x v="2"/>
    <x v="3"/>
    <n v="1"/>
    <n v="12384"/>
    <n v="46.861055999999998"/>
    <n v="48.564705882352939"/>
    <s v="Feb"/>
    <x v="6"/>
    <m/>
    <m/>
  </r>
  <r>
    <n v="68860136"/>
    <x v="1"/>
    <n v="12408"/>
    <d v="2026-02-25T00:00:00"/>
    <s v="Talenti Black Raspberry CHOC Chip 8 1PT"/>
    <x v="8"/>
    <n v="3.7839999999999996E-3"/>
    <n v="255"/>
    <x v="2"/>
    <x v="3"/>
    <n v="1"/>
    <n v="12408"/>
    <n v="46.951871999999995"/>
    <n v="48.658823529411762"/>
    <s v="Feb"/>
    <x v="6"/>
    <m/>
    <m/>
  </r>
  <r>
    <n v="68860136"/>
    <x v="1"/>
    <n v="2263"/>
    <d v="2026-02-26T00:00:00"/>
    <s v="Talenti Black Raspberry CHOC Chip 8 1PT"/>
    <x v="8"/>
    <n v="3.7839999999999996E-3"/>
    <n v="255"/>
    <x v="2"/>
    <x v="3"/>
    <n v="1"/>
    <n v="2263"/>
    <n v="8.563191999999999"/>
    <n v="8.8745098039215691"/>
    <s v="Feb"/>
    <x v="6"/>
    <m/>
    <m/>
  </r>
  <r>
    <n v="68860136"/>
    <x v="1"/>
    <n v="6254"/>
    <d v="2026-02-24T00:00:00"/>
    <s v="Talenti Black Raspberry CHOC Chip 8 1PT"/>
    <x v="8"/>
    <n v="3.7839999999999996E-3"/>
    <n v="255"/>
    <x v="2"/>
    <x v="3"/>
    <n v="1"/>
    <n v="6254"/>
    <n v="23.665135999999997"/>
    <n v="24.525490196078433"/>
    <s v="Feb"/>
    <x v="6"/>
    <m/>
    <m/>
  </r>
  <r>
    <n v="68860659"/>
    <x v="1"/>
    <n v="6035"/>
    <d v="2026-03-13T00:00:00"/>
    <s v="Talenti Southern Butter Pecan 8 1PT"/>
    <x v="8"/>
    <n v="3.7839999999999996E-3"/>
    <n v="255"/>
    <x v="2"/>
    <x v="3"/>
    <n v="1"/>
    <n v="6035"/>
    <n v="22.836439999999996"/>
    <n v="23.666666666666668"/>
    <s v="Mar"/>
    <x v="12"/>
    <m/>
    <m/>
  </r>
  <r>
    <n v="68860659"/>
    <x v="1"/>
    <n v="17741"/>
    <d v="2026-03-13T00:00:00"/>
    <s v="Talenti Southern Butter Pecan 8 1PT"/>
    <x v="8"/>
    <n v="3.7839999999999996E-3"/>
    <n v="255"/>
    <x v="2"/>
    <x v="3"/>
    <n v="1"/>
    <n v="17741"/>
    <n v="67.13194399999999"/>
    <n v="69.572549019607848"/>
    <s v="Mar"/>
    <x v="12"/>
    <m/>
    <m/>
  </r>
  <r>
    <n v="68860659"/>
    <x v="1"/>
    <n v="15300"/>
    <d v="2026-03-14T00:00:00"/>
    <s v="Talenti Southern Butter Pecan 8 1PT"/>
    <x v="8"/>
    <n v="3.7839999999999996E-3"/>
    <n v="255"/>
    <x v="2"/>
    <x v="3"/>
    <n v="1"/>
    <n v="15300"/>
    <n v="57.895199999999996"/>
    <n v="60"/>
    <s v="Mar"/>
    <x v="12"/>
    <m/>
    <m/>
  </r>
  <r>
    <n v="68860659"/>
    <x v="1"/>
    <n v="510"/>
    <d v="2026-03-16T00:00:00"/>
    <s v="Talenti Southern Butter Pecan 8 1PT"/>
    <x v="8"/>
    <n v="3.7839999999999996E-3"/>
    <n v="255"/>
    <x v="2"/>
    <x v="3"/>
    <n v="1"/>
    <n v="510"/>
    <n v="1.9298399999999998"/>
    <n v="2"/>
    <s v="Mar"/>
    <x v="9"/>
    <m/>
    <m/>
  </r>
  <r>
    <n v="68860659"/>
    <x v="1"/>
    <n v="39015"/>
    <d v="2026-03-16T00:00:00"/>
    <s v="Talenti Southern Butter Pecan 8 1PT"/>
    <x v="8"/>
    <n v="3.7839999999999996E-3"/>
    <n v="255"/>
    <x v="2"/>
    <x v="3"/>
    <n v="1"/>
    <n v="39015"/>
    <n v="147.63275999999999"/>
    <n v="153"/>
    <s v="Mar"/>
    <x v="9"/>
    <m/>
    <m/>
  </r>
  <r>
    <n v="68860659"/>
    <x v="1"/>
    <n v="26265"/>
    <d v="2026-03-16T00:00:00"/>
    <s v="Talenti Southern Butter Pecan 8 1PT"/>
    <x v="8"/>
    <n v="3.7839999999999996E-3"/>
    <n v="255"/>
    <x v="2"/>
    <x v="3"/>
    <n v="1"/>
    <n v="26265"/>
    <n v="99.386759999999995"/>
    <n v="103"/>
    <s v="Mar"/>
    <x v="9"/>
    <m/>
    <m/>
  </r>
  <r>
    <n v="68860659"/>
    <x v="1"/>
    <n v="3608"/>
    <d v="2026-03-19T00:00:00"/>
    <s v="Talenti Southern Butter Pecan 8 1PT"/>
    <x v="8"/>
    <n v="3.7839999999999996E-3"/>
    <n v="255"/>
    <x v="2"/>
    <x v="3"/>
    <n v="1"/>
    <n v="3608"/>
    <n v="13.652671999999999"/>
    <n v="14.149019607843137"/>
    <s v="Mar"/>
    <x v="9"/>
    <m/>
    <m/>
  </r>
  <r>
    <n v="68860659"/>
    <x v="1"/>
    <n v="17265"/>
    <d v="2026-03-17T00:00:00"/>
    <s v="Talenti Southern Butter Pecan 8 1PT"/>
    <x v="8"/>
    <n v="3.7839999999999996E-3"/>
    <n v="255"/>
    <x v="2"/>
    <x v="3"/>
    <n v="1"/>
    <n v="17265"/>
    <n v="65.330759999999998"/>
    <n v="67.705882352941174"/>
    <s v="Mar"/>
    <x v="9"/>
    <m/>
    <m/>
  </r>
  <r>
    <n v="68860659"/>
    <x v="1"/>
    <n v="10704"/>
    <d v="2026-03-16T00:00:00"/>
    <s v="Talenti Southern Butter Pecan 8 1PT"/>
    <x v="8"/>
    <n v="3.7839999999999996E-3"/>
    <n v="255"/>
    <x v="2"/>
    <x v="3"/>
    <n v="1"/>
    <n v="10704"/>
    <n v="40.503935999999996"/>
    <n v="41.976470588235294"/>
    <s v="Mar"/>
    <x v="9"/>
    <m/>
    <m/>
  </r>
  <r>
    <n v="68860659"/>
    <x v="1"/>
    <n v="-10704"/>
    <d v="2026-03-20T00:00:00"/>
    <s v="Talenti Southern Butter Pecan 8 1PT"/>
    <x v="8"/>
    <n v="3.7839999999999996E-3"/>
    <n v="255"/>
    <x v="2"/>
    <x v="3"/>
    <n v="1"/>
    <n v="-10704"/>
    <n v="-40.503935999999996"/>
    <n v="-41.976470588235294"/>
    <s v="Mar"/>
    <x v="9"/>
    <m/>
    <m/>
  </r>
  <r>
    <n v="68860662"/>
    <x v="1"/>
    <n v="18071"/>
    <d v="2026-02-23T00:00:00"/>
    <s v="Talenti Vanilla Bean 8 1PT"/>
    <x v="8"/>
    <n v="3.7839999999999996E-3"/>
    <n v="255"/>
    <x v="2"/>
    <x v="3"/>
    <n v="1"/>
    <n v="18071"/>
    <n v="68.380663999999996"/>
    <n v="70.86666666666666"/>
    <s v="Feb"/>
    <x v="6"/>
    <m/>
    <m/>
  </r>
  <r>
    <n v="68860662"/>
    <x v="1"/>
    <n v="16143"/>
    <d v="2026-02-23T00:00:00"/>
    <s v="Talenti Vanilla Bean 8 1PT"/>
    <x v="8"/>
    <n v="3.7839999999999996E-3"/>
    <n v="255"/>
    <x v="2"/>
    <x v="3"/>
    <n v="1"/>
    <n v="16143"/>
    <n v="61.085111999999995"/>
    <n v="63.305882352941175"/>
    <s v="Feb"/>
    <x v="6"/>
    <m/>
    <m/>
  </r>
  <r>
    <n v="68860662"/>
    <x v="1"/>
    <n v="1089"/>
    <d v="2026-02-24T00:00:00"/>
    <s v="Talenti Vanilla Bean 8 1PT"/>
    <x v="8"/>
    <n v="3.7839999999999996E-3"/>
    <n v="255"/>
    <x v="2"/>
    <x v="3"/>
    <n v="1"/>
    <n v="1089"/>
    <n v="4.1207759999999993"/>
    <n v="4.2705882352941176"/>
    <s v="Feb"/>
    <x v="6"/>
    <m/>
    <m/>
  </r>
  <r>
    <n v="68860662"/>
    <x v="1"/>
    <n v="3654"/>
    <d v="2026-03-07T00:00:00"/>
    <s v="Talenti Vanilla Bean 8 1PT"/>
    <x v="8"/>
    <n v="3.7839999999999996E-3"/>
    <n v="255"/>
    <x v="2"/>
    <x v="3"/>
    <n v="1"/>
    <n v="3654"/>
    <n v="13.826735999999999"/>
    <n v="14.329411764705883"/>
    <s v="Mar"/>
    <x v="11"/>
    <m/>
    <m/>
  </r>
  <r>
    <n v="68860662"/>
    <x v="1"/>
    <n v="11533"/>
    <d v="2026-03-08T00:00:00"/>
    <s v="Talenti Vanilla Bean 8 1PT"/>
    <x v="8"/>
    <n v="3.7839999999999996E-3"/>
    <n v="255"/>
    <x v="2"/>
    <x v="3"/>
    <n v="1"/>
    <n v="11533"/>
    <n v="43.640871999999995"/>
    <n v="45.227450980392156"/>
    <s v="Mar"/>
    <x v="12"/>
    <m/>
    <m/>
  </r>
  <r>
    <n v="68860663"/>
    <x v="1"/>
    <n v="4972"/>
    <d v="2026-03-04T00:00:00"/>
    <s v="Talenti Vanilla Caramel Swirl 8 1PT"/>
    <x v="9"/>
    <n v="3.7839999999999996E-3"/>
    <n v="255"/>
    <x v="2"/>
    <x v="3"/>
    <n v="1"/>
    <n v="4972"/>
    <n v="18.814048"/>
    <n v="19.498039215686273"/>
    <s v="Mar"/>
    <x v="11"/>
    <m/>
    <m/>
  </r>
  <r>
    <n v="68860663"/>
    <x v="1"/>
    <n v="4200"/>
    <d v="2026-03-05T00:00:00"/>
    <s v="Talenti Vanilla Caramel Swirl 8 1PT"/>
    <x v="9"/>
    <n v="3.7839999999999996E-3"/>
    <n v="255"/>
    <x v="2"/>
    <x v="3"/>
    <n v="1"/>
    <n v="4200"/>
    <n v="15.892799999999998"/>
    <n v="16.470588235294116"/>
    <s v="Mar"/>
    <x v="11"/>
    <m/>
    <m/>
  </r>
  <r>
    <n v="68860663"/>
    <x v="1"/>
    <n v="2347"/>
    <d v="2026-03-05T00:00:00"/>
    <s v="Talenti Vanilla Caramel Swirl 8 1PT"/>
    <x v="9"/>
    <n v="3.7839999999999996E-3"/>
    <n v="255"/>
    <x v="2"/>
    <x v="3"/>
    <n v="1"/>
    <n v="2347"/>
    <n v="8.8810479999999998"/>
    <n v="9.2039215686274503"/>
    <s v="Mar"/>
    <x v="11"/>
    <m/>
    <m/>
  </r>
  <r>
    <n v="68860663"/>
    <x v="1"/>
    <n v="9435"/>
    <d v="2026-03-06T00:00:00"/>
    <s v="Talenti Vanilla Caramel Swirl 8 1PT"/>
    <x v="9"/>
    <n v="3.7839999999999996E-3"/>
    <n v="255"/>
    <x v="2"/>
    <x v="3"/>
    <n v="1"/>
    <n v="9435"/>
    <n v="35.702039999999997"/>
    <n v="37"/>
    <s v="Mar"/>
    <x v="11"/>
    <m/>
    <m/>
  </r>
  <r>
    <n v="68860663"/>
    <x v="1"/>
    <n v="8925"/>
    <d v="2026-03-06T00:00:00"/>
    <s v="Talenti Vanilla Caramel Swirl 8 1PT"/>
    <x v="9"/>
    <n v="3.7839999999999996E-3"/>
    <n v="255"/>
    <x v="2"/>
    <x v="3"/>
    <n v="1"/>
    <n v="8925"/>
    <n v="33.772199999999998"/>
    <n v="35"/>
    <s v="Mar"/>
    <x v="11"/>
    <m/>
    <m/>
  </r>
  <r>
    <n v="68860663"/>
    <x v="1"/>
    <n v="9135"/>
    <d v="2026-03-07T00:00:00"/>
    <s v="Talenti Vanilla Caramel Swirl 8 1PT"/>
    <x v="9"/>
    <n v="3.7839999999999996E-3"/>
    <n v="255"/>
    <x v="2"/>
    <x v="3"/>
    <n v="1"/>
    <n v="9135"/>
    <n v="34.566839999999999"/>
    <n v="35.823529411764703"/>
    <s v="Mar"/>
    <x v="11"/>
    <m/>
    <m/>
  </r>
  <r>
    <n v="68860663"/>
    <x v="1"/>
    <n v="255"/>
    <d v="2026-03-09T00:00:00"/>
    <s v="Talenti Vanilla Caramel Swirl 8 1PT"/>
    <x v="9"/>
    <n v="3.7839999999999996E-3"/>
    <n v="255"/>
    <x v="2"/>
    <x v="3"/>
    <n v="1"/>
    <n v="255"/>
    <n v="0.96491999999999989"/>
    <n v="1"/>
    <s v="Mar"/>
    <x v="12"/>
    <m/>
    <m/>
  </r>
  <r>
    <n v="68860663"/>
    <x v="1"/>
    <n v="9120"/>
    <d v="2026-03-07T00:00:00"/>
    <s v="Talenti Vanilla Caramel Swirl 8 1PT"/>
    <x v="9"/>
    <n v="3.7839999999999996E-3"/>
    <n v="255"/>
    <x v="2"/>
    <x v="3"/>
    <n v="1"/>
    <n v="9120"/>
    <n v="34.510079999999995"/>
    <n v="35.764705882352942"/>
    <s v="Mar"/>
    <x v="11"/>
    <m/>
    <m/>
  </r>
  <r>
    <n v="68860663"/>
    <x v="1"/>
    <n v="1275"/>
    <d v="2026-03-08T00:00:00"/>
    <s v="Talenti Vanilla Caramel Swirl 8 1PT"/>
    <x v="9"/>
    <n v="3.7839999999999996E-3"/>
    <n v="255"/>
    <x v="2"/>
    <x v="3"/>
    <n v="1"/>
    <n v="1275"/>
    <n v="4.8245999999999993"/>
    <n v="5"/>
    <s v="Mar"/>
    <x v="12"/>
    <m/>
    <m/>
  </r>
  <r>
    <n v="68860673"/>
    <x v="1"/>
    <n v="14756"/>
    <d v="2026-03-21T00:00:00"/>
    <s v="Talenti CHOC Peanut Butter 8 1PT"/>
    <x v="8"/>
    <n v="3.7839999999999996E-3"/>
    <n v="255"/>
    <x v="2"/>
    <x v="3"/>
    <n v="1"/>
    <n v="14756"/>
    <n v="55.836703999999997"/>
    <n v="57.866666666666667"/>
    <s v="Mar"/>
    <x v="9"/>
    <m/>
    <m/>
  </r>
  <r>
    <n v="68860673"/>
    <x v="1"/>
    <n v="14729"/>
    <d v="2026-03-22T00:00:00"/>
    <s v="Talenti CHOC Peanut Butter 8 1PT"/>
    <x v="8"/>
    <n v="3.7839999999999996E-3"/>
    <n v="255"/>
    <x v="2"/>
    <x v="3"/>
    <n v="1"/>
    <n v="14729"/>
    <n v="55.734535999999991"/>
    <n v="57.760784313725487"/>
    <s v="Mar"/>
    <x v="10"/>
    <m/>
    <m/>
  </r>
  <r>
    <n v="68860673"/>
    <x v="1"/>
    <n v="13038"/>
    <d v="2026-03-22T00:00:00"/>
    <s v="Talenti CHOC Peanut Butter 8 1PT"/>
    <x v="8"/>
    <n v="3.7839999999999996E-3"/>
    <n v="255"/>
    <x v="2"/>
    <x v="3"/>
    <n v="1"/>
    <n v="13038"/>
    <n v="49.335791999999998"/>
    <n v="51.129411764705885"/>
    <s v="Mar"/>
    <x v="10"/>
    <m/>
    <m/>
  </r>
  <r>
    <n v="68860673"/>
    <x v="1"/>
    <n v="175"/>
    <d v="2026-03-23T00:00:00"/>
    <s v="Talenti CHOC Peanut Butter 8 1PT"/>
    <x v="8"/>
    <n v="3.7839999999999996E-3"/>
    <n v="255"/>
    <x v="2"/>
    <x v="3"/>
    <n v="1"/>
    <n v="175"/>
    <n v="0.6621999999999999"/>
    <n v="0.68627450980392157"/>
    <s v="Mar"/>
    <x v="10"/>
    <m/>
    <m/>
  </r>
  <r>
    <n v="68860673"/>
    <x v="1"/>
    <n v="1905"/>
    <d v="2026-03-21T00:00:00"/>
    <s v="Talenti CHOC Peanut Butter 8 1PT"/>
    <x v="8"/>
    <n v="3.7839999999999996E-3"/>
    <n v="255"/>
    <x v="2"/>
    <x v="3"/>
    <n v="1"/>
    <n v="1905"/>
    <n v="7.2085199999999992"/>
    <n v="7.4705882352941178"/>
    <s v="Mar"/>
    <x v="9"/>
    <m/>
    <m/>
  </r>
  <r>
    <n v="68862496"/>
    <x v="1"/>
    <n v="14276"/>
    <d v="2026-03-24T00:00:00"/>
    <s v="Talenti Alphonso Mango SORB (DF) 8 1PT"/>
    <x v="8"/>
    <n v="3.7839999999999996E-3"/>
    <n v="255"/>
    <x v="2"/>
    <x v="3"/>
    <n v="1"/>
    <n v="14276"/>
    <n v="54.020383999999993"/>
    <n v="55.984313725490196"/>
    <s v="Mar"/>
    <x v="10"/>
    <m/>
    <m/>
  </r>
  <r>
    <n v="68862496"/>
    <x v="1"/>
    <n v="6100"/>
    <d v="2026-03-22T00:00:00"/>
    <s v="Talenti Alphonso Mango SORB (DF) 8 1PT"/>
    <x v="9"/>
    <n v="3.7839999999999996E-3"/>
    <n v="255"/>
    <x v="2"/>
    <x v="3"/>
    <n v="1"/>
    <n v="6100"/>
    <n v="23.082399999999996"/>
    <n v="23.921568627450981"/>
    <s v="Mar"/>
    <x v="10"/>
    <m/>
    <m/>
  </r>
  <r>
    <n v="68862496"/>
    <x v="1"/>
    <n v="2663"/>
    <d v="2026-03-23T00:00:00"/>
    <s v="Talenti Alphonso Mango SORB (DF) 8 1PT"/>
    <x v="9"/>
    <n v="3.7839999999999996E-3"/>
    <n v="255"/>
    <x v="2"/>
    <x v="3"/>
    <n v="1"/>
    <n v="2663"/>
    <n v="10.076791999999999"/>
    <n v="10.443137254901961"/>
    <s v="Mar"/>
    <x v="10"/>
    <m/>
    <m/>
  </r>
  <r>
    <n v="68862496"/>
    <x v="1"/>
    <n v="1404"/>
    <d v="2026-03-22T00:00:00"/>
    <s v="Talenti Alphonso Mango SORB (DF) 8 1PT"/>
    <x v="9"/>
    <n v="3.7839999999999996E-3"/>
    <n v="255"/>
    <x v="2"/>
    <x v="3"/>
    <n v="1"/>
    <n v="1404"/>
    <n v="5.3127359999999992"/>
    <n v="5.5058823529411764"/>
    <s v="Mar"/>
    <x v="10"/>
    <m/>
    <m/>
  </r>
  <r>
    <n v="68862496"/>
    <x v="1"/>
    <n v="10194"/>
    <d v="2026-03-24T00:00:00"/>
    <s v="Talenti Alphonso Mango SORB (DF) 8 1PT"/>
    <x v="8"/>
    <n v="3.7839999999999996E-3"/>
    <n v="255"/>
    <x v="2"/>
    <x v="3"/>
    <n v="1"/>
    <n v="10194"/>
    <n v="38.574095999999997"/>
    <n v="39.976470588235294"/>
    <s v="Mar"/>
    <x v="10"/>
    <m/>
    <m/>
  </r>
  <r>
    <n v="68862496"/>
    <x v="1"/>
    <n v="1439"/>
    <d v="2026-03-23T00:00:00"/>
    <s v="Talenti Alphonso Mango SORB (DF) 8 1PT"/>
    <x v="9"/>
    <n v="3.7839999999999996E-3"/>
    <n v="255"/>
    <x v="2"/>
    <x v="3"/>
    <n v="1"/>
    <n v="1439"/>
    <n v="5.4451759999999991"/>
    <n v="5.6431372549019612"/>
    <s v="Mar"/>
    <x v="10"/>
    <m/>
    <m/>
  </r>
  <r>
    <n v="68867744"/>
    <x v="1"/>
    <n v="6630"/>
    <d v="2026-03-01T00:00:00"/>
    <s v="Talenti LY Vanilla Fudge Cookie 8 303.3g"/>
    <x v="9"/>
    <n v="3.552E-3"/>
    <n v="255"/>
    <x v="2"/>
    <x v="3"/>
    <n v="1"/>
    <n v="6630"/>
    <n v="23.549759999999999"/>
    <n v="26"/>
    <s v="Mar"/>
    <x v="11"/>
    <m/>
    <m/>
  </r>
  <r>
    <n v="68867744"/>
    <x v="1"/>
    <n v="5763"/>
    <d v="2026-03-02T00:00:00"/>
    <s v="Talenti LY Vanilla Fudge Cookie 8 303.3g"/>
    <x v="9"/>
    <n v="3.552E-3"/>
    <n v="255"/>
    <x v="2"/>
    <x v="3"/>
    <n v="1"/>
    <n v="5763"/>
    <n v="20.470175999999999"/>
    <n v="22.6"/>
    <s v="Mar"/>
    <x v="11"/>
    <m/>
    <m/>
  </r>
  <r>
    <n v="68867744"/>
    <x v="1"/>
    <n v="6754"/>
    <d v="2026-03-02T00:00:00"/>
    <s v="Talenti LY Vanilla Fudge Cookie 8 303.3g"/>
    <x v="9"/>
    <n v="3.552E-3"/>
    <n v="255"/>
    <x v="2"/>
    <x v="3"/>
    <n v="1"/>
    <n v="6754"/>
    <n v="23.990207999999999"/>
    <n v="26.48627450980392"/>
    <s v="Mar"/>
    <x v="11"/>
    <m/>
    <m/>
  </r>
  <r>
    <n v="68867744"/>
    <x v="1"/>
    <n v="7905"/>
    <d v="2026-03-03T00:00:00"/>
    <s v="Talenti LY Vanilla Fudge Cookie 8 303.3g"/>
    <x v="9"/>
    <n v="3.552E-3"/>
    <n v="255"/>
    <x v="2"/>
    <x v="3"/>
    <n v="1"/>
    <n v="7905"/>
    <n v="28.07856"/>
    <n v="31"/>
    <s v="Mar"/>
    <x v="11"/>
    <m/>
    <m/>
  </r>
  <r>
    <n v="68867744"/>
    <x v="1"/>
    <n v="14651"/>
    <d v="2026-03-16T00:00:00"/>
    <s v="Talenti LY Vanilla Fudge Cookie 8 303.3g"/>
    <x v="9"/>
    <n v="3.552E-3"/>
    <n v="255"/>
    <x v="2"/>
    <x v="3"/>
    <n v="1"/>
    <n v="14651"/>
    <n v="52.040351999999999"/>
    <n v="57.454901960784312"/>
    <s v="Mar"/>
    <x v="9"/>
    <m/>
    <m/>
  </r>
  <r>
    <n v="68867744"/>
    <x v="1"/>
    <n v="10137"/>
    <d v="2026-03-17T00:00:00"/>
    <s v="Talenti LY Vanilla Fudge Cookie 8 303.3g"/>
    <x v="9"/>
    <n v="3.552E-3"/>
    <n v="255"/>
    <x v="2"/>
    <x v="3"/>
    <n v="1"/>
    <n v="10137"/>
    <n v="36.006624000000002"/>
    <n v="39.752941176470586"/>
    <s v="Mar"/>
    <x v="9"/>
    <m/>
    <m/>
  </r>
  <r>
    <n v="68867744"/>
    <x v="1"/>
    <n v="-10137"/>
    <d v="2026-03-19T00:00:00"/>
    <s v="Talenti LY Vanilla Fudge Cookie 8 303.3g"/>
    <x v="9"/>
    <n v="3.552E-3"/>
    <n v="255"/>
    <x v="2"/>
    <x v="3"/>
    <n v="1"/>
    <n v="-10137"/>
    <n v="-36.006624000000002"/>
    <n v="-39.752941176470586"/>
    <s v="Mar"/>
    <x v="9"/>
    <m/>
    <m/>
  </r>
  <r>
    <n v="68867744"/>
    <x v="1"/>
    <n v="232"/>
    <d v="2026-03-16T00:00:00"/>
    <s v="Talenti LY Vanilla Fudge Cookie 8 303.3g"/>
    <x v="9"/>
    <n v="3.552E-3"/>
    <n v="255"/>
    <x v="2"/>
    <x v="3"/>
    <n v="1"/>
    <n v="232"/>
    <n v="0.82406400000000002"/>
    <n v="0.90980392156862744"/>
    <s v="Mar"/>
    <x v="9"/>
    <m/>
    <m/>
  </r>
  <r>
    <n v="68867744"/>
    <x v="1"/>
    <n v="6120"/>
    <d v="2026-02-28T00:00:00"/>
    <s v="Talenti LY Vanilla Fudge Cookie 8 303.3g"/>
    <x v="9"/>
    <n v="3.552E-3"/>
    <n v="255"/>
    <x v="2"/>
    <x v="3"/>
    <n v="1"/>
    <n v="6120"/>
    <n v="21.738240000000001"/>
    <n v="24"/>
    <s v="Feb"/>
    <x v="6"/>
    <m/>
    <m/>
  </r>
  <r>
    <n v="68867744"/>
    <x v="1"/>
    <n v="4589"/>
    <d v="2026-03-01T00:00:00"/>
    <s v="Talenti LY Vanilla Fudge Cookie 8 303.3g"/>
    <x v="9"/>
    <n v="3.552E-3"/>
    <n v="255"/>
    <x v="2"/>
    <x v="3"/>
    <n v="1"/>
    <n v="4589"/>
    <n v="16.300128000000001"/>
    <n v="17.996078431372549"/>
    <s v="Mar"/>
    <x v="11"/>
    <m/>
    <m/>
  </r>
  <r>
    <n v="68867744"/>
    <x v="1"/>
    <n v="1013"/>
    <d v="2026-03-03T00:00:00"/>
    <s v="Talenti LY Vanilla Fudge Cookie 8 303.3g"/>
    <x v="9"/>
    <n v="3.552E-3"/>
    <n v="255"/>
    <x v="2"/>
    <x v="3"/>
    <n v="1"/>
    <n v="1013"/>
    <n v="3.598176"/>
    <n v="3.9725490196078432"/>
    <s v="Mar"/>
    <x v="11"/>
    <m/>
    <m/>
  </r>
  <r>
    <n v="68867744"/>
    <x v="1"/>
    <n v="3735"/>
    <d v="2026-03-14T00:00:00"/>
    <s v="Talenti LY Vanilla Fudge Cookie 8 303.3g"/>
    <x v="9"/>
    <n v="3.552E-3"/>
    <n v="255"/>
    <x v="2"/>
    <x v="3"/>
    <n v="1"/>
    <n v="3735"/>
    <n v="13.266719999999999"/>
    <n v="14.647058823529411"/>
    <s v="Mar"/>
    <x v="12"/>
    <m/>
    <m/>
  </r>
  <r>
    <n v="68867744"/>
    <x v="1"/>
    <n v="150"/>
    <d v="2026-03-16T00:00:00"/>
    <s v="Talenti LY Vanilla Fudge Cookie 8 303.3g"/>
    <x v="9"/>
    <n v="3.552E-3"/>
    <n v="255"/>
    <x v="2"/>
    <x v="3"/>
    <n v="1"/>
    <n v="150"/>
    <n v="0.53280000000000005"/>
    <n v="0.58823529411764708"/>
    <s v="Mar"/>
    <x v="9"/>
    <m/>
    <m/>
  </r>
  <r>
    <n v="68867744"/>
    <x v="1"/>
    <n v="10137"/>
    <d v="2026-03-16T00:00:00"/>
    <s v="Talenti LY Vanilla Fudge Cookie 8 303.3g"/>
    <x v="9"/>
    <n v="3.552E-3"/>
    <n v="255"/>
    <x v="2"/>
    <x v="3"/>
    <n v="1"/>
    <n v="10137"/>
    <n v="36.006624000000002"/>
    <n v="39.752941176470586"/>
    <s v="Mar"/>
    <x v="9"/>
    <m/>
    <m/>
  </r>
  <r>
    <n v="68867744"/>
    <x v="1"/>
    <n v="-10137"/>
    <d v="2026-03-17T00:00:00"/>
    <s v="Talenti LY Vanilla Fudge Cookie 8 303.3g"/>
    <x v="9"/>
    <n v="3.552E-3"/>
    <n v="255"/>
    <x v="2"/>
    <x v="3"/>
    <n v="1"/>
    <n v="-10137"/>
    <n v="-36.006624000000002"/>
    <n v="-39.752941176470586"/>
    <s v="Mar"/>
    <x v="9"/>
    <m/>
    <m/>
  </r>
  <r>
    <n v="68867744"/>
    <x v="1"/>
    <n v="10137"/>
    <d v="2026-03-19T00:00:00"/>
    <s v="Talenti LY Vanilla Fudge Cookie 8 303.3g"/>
    <x v="9"/>
    <n v="3.552E-3"/>
    <n v="255"/>
    <x v="2"/>
    <x v="3"/>
    <n v="1"/>
    <n v="10137"/>
    <n v="36.006624000000002"/>
    <n v="39.752941176470586"/>
    <s v="Mar"/>
    <x v="9"/>
    <m/>
    <m/>
  </r>
  <r>
    <n v="68867744"/>
    <x v="1"/>
    <n v="-255"/>
    <d v="2026-03-20T00:00:00"/>
    <s v="Talenti LY Vanilla Fudge Cookie 8 303.3g"/>
    <x v="9"/>
    <n v="3.552E-3"/>
    <n v="255"/>
    <x v="2"/>
    <x v="3"/>
    <n v="1"/>
    <n v="-255"/>
    <n v="-0.90576000000000001"/>
    <n v="-1"/>
    <s v="Mar"/>
    <x v="9"/>
    <m/>
    <m/>
  </r>
  <r>
    <n v="68867755"/>
    <x v="1"/>
    <n v="2550"/>
    <d v="2026-02-24T00:00:00"/>
    <s v="Talenti LY Salted CAR Truffle 8 323.1g"/>
    <x v="9"/>
    <n v="3.552E-3"/>
    <n v="255"/>
    <x v="2"/>
    <x v="3"/>
    <n v="1"/>
    <n v="2550"/>
    <n v="9.0576000000000008"/>
    <n v="10"/>
    <s v="Feb"/>
    <x v="6"/>
    <m/>
    <m/>
  </r>
  <r>
    <n v="68867755"/>
    <x v="1"/>
    <n v="6375"/>
    <d v="2026-02-25T00:00:00"/>
    <s v="Talenti LY Salted CAR Truffle 8 323.1g"/>
    <x v="9"/>
    <n v="3.552E-3"/>
    <n v="255"/>
    <x v="2"/>
    <x v="3"/>
    <n v="1"/>
    <n v="6375"/>
    <n v="22.644000000000002"/>
    <n v="25"/>
    <s v="Feb"/>
    <x v="6"/>
    <m/>
    <m/>
  </r>
  <r>
    <n v="68867755"/>
    <x v="1"/>
    <n v="6285"/>
    <d v="2026-02-25T00:00:00"/>
    <s v="Talenti LY Salted CAR Truffle 8 323.1g"/>
    <x v="9"/>
    <n v="3.552E-3"/>
    <n v="255"/>
    <x v="2"/>
    <x v="3"/>
    <n v="1"/>
    <n v="6285"/>
    <n v="22.32432"/>
    <n v="24.647058823529413"/>
    <s v="Feb"/>
    <x v="6"/>
    <m/>
    <m/>
  </r>
  <r>
    <n v="68867755"/>
    <x v="1"/>
    <n v="6931"/>
    <d v="2026-02-26T00:00:00"/>
    <s v="Talenti LY Salted CAR Truffle 8 323.1g"/>
    <x v="9"/>
    <n v="3.552E-3"/>
    <n v="255"/>
    <x v="2"/>
    <x v="3"/>
    <n v="1"/>
    <n v="6931"/>
    <n v="24.618912000000002"/>
    <n v="27.180392156862744"/>
    <s v="Feb"/>
    <x v="6"/>
    <m/>
    <m/>
  </r>
  <r>
    <n v="68867755"/>
    <x v="1"/>
    <n v="5941"/>
    <d v="2026-02-26T00:00:00"/>
    <s v="Talenti LY Salted CAR Truffle 8 323.1g"/>
    <x v="9"/>
    <n v="3.552E-3"/>
    <n v="255"/>
    <x v="2"/>
    <x v="3"/>
    <n v="1"/>
    <n v="5941"/>
    <n v="21.102432"/>
    <n v="23.298039215686273"/>
    <s v="Feb"/>
    <x v="6"/>
    <m/>
    <m/>
  </r>
  <r>
    <n v="68867755"/>
    <x v="1"/>
    <n v="7030"/>
    <d v="2026-02-27T00:00:00"/>
    <s v="Talenti LY Salted CAR Truffle 8 323.1g"/>
    <x v="9"/>
    <n v="3.552E-3"/>
    <n v="255"/>
    <x v="2"/>
    <x v="3"/>
    <n v="1"/>
    <n v="7030"/>
    <n v="24.970559999999999"/>
    <n v="27.568627450980394"/>
    <s v="Feb"/>
    <x v="6"/>
    <m/>
    <m/>
  </r>
  <r>
    <n v="68867755"/>
    <x v="1"/>
    <n v="8286"/>
    <d v="2026-03-08T00:00:00"/>
    <s v="Talenti LY Salted CAR Truffle 8 323.1g"/>
    <x v="9"/>
    <n v="3.552E-3"/>
    <n v="255"/>
    <x v="2"/>
    <x v="3"/>
    <n v="1"/>
    <n v="8286"/>
    <n v="29.431872000000002"/>
    <n v="32.494117647058822"/>
    <s v="Mar"/>
    <x v="12"/>
    <m/>
    <m/>
  </r>
  <r>
    <n v="68867755"/>
    <x v="1"/>
    <n v="6015"/>
    <d v="2026-03-09T00:00:00"/>
    <s v="Talenti LY Salted CAR Truffle 8 323.1g"/>
    <x v="9"/>
    <n v="3.552E-3"/>
    <n v="255"/>
    <x v="2"/>
    <x v="3"/>
    <n v="1"/>
    <n v="6015"/>
    <n v="21.365279999999998"/>
    <n v="23.588235294117649"/>
    <s v="Mar"/>
    <x v="12"/>
    <m/>
    <m/>
  </r>
  <r>
    <n v="68867755"/>
    <x v="1"/>
    <n v="7812"/>
    <d v="2026-03-09T00:00:00"/>
    <s v="Talenti LY Salted CAR Truffle 8 323.1g"/>
    <x v="9"/>
    <n v="3.552E-3"/>
    <n v="255"/>
    <x v="2"/>
    <x v="3"/>
    <n v="1"/>
    <n v="7812"/>
    <n v="27.748224"/>
    <n v="30.63529411764706"/>
    <s v="Mar"/>
    <x v="12"/>
    <m/>
    <m/>
  </r>
  <r>
    <n v="68867755"/>
    <x v="1"/>
    <n v="4065"/>
    <d v="2026-03-10T00:00:00"/>
    <s v="Talenti LY Salted CAR Truffle 8 323.1g"/>
    <x v="9"/>
    <n v="3.552E-3"/>
    <n v="255"/>
    <x v="2"/>
    <x v="3"/>
    <n v="1"/>
    <n v="4065"/>
    <n v="14.438879999999999"/>
    <n v="15.941176470588236"/>
    <s v="Mar"/>
    <x v="12"/>
    <m/>
    <m/>
  </r>
  <r>
    <n v="68867755"/>
    <x v="1"/>
    <n v="1533"/>
    <d v="2026-03-10T00:00:00"/>
    <s v="Talenti LY Salted CAR Truffle 8 323.1g"/>
    <x v="9"/>
    <n v="3.552E-3"/>
    <n v="255"/>
    <x v="2"/>
    <x v="3"/>
    <n v="1"/>
    <n v="1533"/>
    <n v="5.4452160000000003"/>
    <n v="6.0117647058823529"/>
    <s v="Mar"/>
    <x v="12"/>
    <m/>
    <m/>
  </r>
  <r>
    <n v="68867755"/>
    <x v="1"/>
    <n v="7519"/>
    <d v="2026-03-17T00:00:00"/>
    <s v="Talenti LY Salted CAR Truffle 8 323.1g"/>
    <x v="9"/>
    <n v="3.552E-3"/>
    <n v="255"/>
    <x v="2"/>
    <x v="3"/>
    <n v="1"/>
    <n v="7519"/>
    <n v="26.707488000000001"/>
    <n v="29.48627450980392"/>
    <s v="Mar"/>
    <x v="9"/>
    <m/>
    <m/>
  </r>
  <r>
    <n v="68867755"/>
    <x v="1"/>
    <n v="6975"/>
    <d v="2026-03-18T00:00:00"/>
    <s v="Talenti LY Salted CAR Truffle 8 323.1g"/>
    <x v="9"/>
    <n v="3.552E-3"/>
    <n v="255"/>
    <x v="2"/>
    <x v="3"/>
    <n v="1"/>
    <n v="6975"/>
    <n v="24.775200000000002"/>
    <n v="27.352941176470587"/>
    <s v="Mar"/>
    <x v="9"/>
    <m/>
    <m/>
  </r>
  <r>
    <n v="68867755"/>
    <x v="1"/>
    <n v="8325"/>
    <d v="2026-03-18T00:00:00"/>
    <s v="Talenti LY Salted CAR Truffle 8 323.1g"/>
    <x v="9"/>
    <n v="3.552E-3"/>
    <n v="255"/>
    <x v="2"/>
    <x v="3"/>
    <n v="1"/>
    <n v="8325"/>
    <n v="29.570399999999999"/>
    <n v="32.647058823529413"/>
    <s v="Mar"/>
    <x v="9"/>
    <m/>
    <m/>
  </r>
  <r>
    <n v="68867755"/>
    <x v="1"/>
    <n v="3948"/>
    <d v="2026-03-19T00:00:00"/>
    <s v="Talenti LY Salted CAR Truffle 8 323.1g"/>
    <x v="9"/>
    <n v="3.552E-3"/>
    <n v="255"/>
    <x v="2"/>
    <x v="3"/>
    <n v="1"/>
    <n v="3948"/>
    <n v="14.023296"/>
    <n v="15.482352941176471"/>
    <s v="Mar"/>
    <x v="9"/>
    <m/>
    <m/>
  </r>
  <r>
    <n v="68867755"/>
    <x v="1"/>
    <n v="8531"/>
    <d v="2026-02-27T00:00:00"/>
    <s v="Talenti LY Salted CAR Truffle 8 323.1g"/>
    <x v="9"/>
    <n v="3.552E-3"/>
    <n v="255"/>
    <x v="2"/>
    <x v="3"/>
    <n v="1"/>
    <n v="8531"/>
    <n v="30.302112000000001"/>
    <n v="33.454901960784312"/>
    <s v="Feb"/>
    <x v="6"/>
    <m/>
    <m/>
  </r>
  <r>
    <n v="68867755"/>
    <x v="1"/>
    <n v="3980"/>
    <d v="2026-02-28T00:00:00"/>
    <s v="Talenti LY Salted CAR Truffle 8 323.1g"/>
    <x v="9"/>
    <n v="3.552E-3"/>
    <n v="255"/>
    <x v="2"/>
    <x v="3"/>
    <n v="1"/>
    <n v="3980"/>
    <n v="14.13696"/>
    <n v="15.607843137254902"/>
    <s v="Feb"/>
    <x v="6"/>
    <m/>
    <m/>
  </r>
  <r>
    <n v="68867755"/>
    <x v="1"/>
    <n v="2670"/>
    <d v="2026-03-08T00:00:00"/>
    <s v="Talenti LY Salted CAR Truffle 8 323.1g"/>
    <x v="9"/>
    <n v="3.552E-3"/>
    <n v="255"/>
    <x v="2"/>
    <x v="3"/>
    <n v="1"/>
    <n v="2670"/>
    <n v="9.4838400000000007"/>
    <n v="10.470588235294118"/>
    <s v="Mar"/>
    <x v="12"/>
    <m/>
    <m/>
  </r>
  <r>
    <n v="68867755"/>
    <x v="1"/>
    <n v="1005"/>
    <d v="2026-03-16T00:00:00"/>
    <s v="Talenti LY Salted CAR Truffle 8 323.1g"/>
    <x v="9"/>
    <n v="3.552E-3"/>
    <n v="255"/>
    <x v="2"/>
    <x v="3"/>
    <n v="1"/>
    <n v="1005"/>
    <n v="3.56976"/>
    <n v="3.9411764705882355"/>
    <s v="Mar"/>
    <x v="9"/>
    <m/>
    <m/>
  </r>
  <r>
    <n v="68867755"/>
    <x v="1"/>
    <n v="6120"/>
    <d v="2026-03-17T00:00:00"/>
    <s v="Talenti LY Salted CAR Truffle 8 323.1g"/>
    <x v="9"/>
    <n v="3.552E-3"/>
    <n v="255"/>
    <x v="2"/>
    <x v="3"/>
    <n v="1"/>
    <n v="6120"/>
    <n v="21.738240000000001"/>
    <n v="24"/>
    <s v="Mar"/>
    <x v="9"/>
    <m/>
    <m/>
  </r>
  <r>
    <n v="68867756"/>
    <x v="1"/>
    <n v="14932"/>
    <d v="2026-02-26T00:00:00"/>
    <s v="Talenti Roman Raspberry SORB 8 1PT"/>
    <x v="8"/>
    <n v="3.7839999999999996E-3"/>
    <n v="255"/>
    <x v="2"/>
    <x v="3"/>
    <n v="1"/>
    <n v="14932"/>
    <n v="56.502687999999992"/>
    <n v="58.556862745098037"/>
    <s v="Feb"/>
    <x v="6"/>
    <m/>
    <m/>
  </r>
  <r>
    <n v="68867756"/>
    <x v="1"/>
    <n v="15228"/>
    <d v="2026-02-27T00:00:00"/>
    <s v="Talenti Roman Raspberry SORB 8 1PT"/>
    <x v="8"/>
    <n v="3.7839999999999996E-3"/>
    <n v="255"/>
    <x v="2"/>
    <x v="3"/>
    <n v="1"/>
    <n v="15228"/>
    <n v="57.622751999999991"/>
    <n v="59.71764705882353"/>
    <s v="Feb"/>
    <x v="6"/>
    <m/>
    <m/>
  </r>
  <r>
    <n v="68867756"/>
    <x v="1"/>
    <n v="15555"/>
    <d v="2026-02-27T00:00:00"/>
    <s v="Talenti Roman Raspberry SORB 8 1PT"/>
    <x v="8"/>
    <n v="3.7839999999999996E-3"/>
    <n v="255"/>
    <x v="2"/>
    <x v="3"/>
    <n v="1"/>
    <n v="15555"/>
    <n v="58.860119999999995"/>
    <n v="61"/>
    <s v="Feb"/>
    <x v="6"/>
    <m/>
    <m/>
  </r>
  <r>
    <n v="68867756"/>
    <x v="1"/>
    <n v="10215"/>
    <d v="2026-02-28T00:00:00"/>
    <s v="Talenti Roman Raspberry SORB 8 1PT"/>
    <x v="8"/>
    <n v="3.7839999999999996E-3"/>
    <n v="255"/>
    <x v="2"/>
    <x v="3"/>
    <n v="1"/>
    <n v="10215"/>
    <n v="38.653559999999999"/>
    <n v="40.058823529411768"/>
    <s v="Feb"/>
    <x v="6"/>
    <m/>
    <m/>
  </r>
  <r>
    <n v="68867756"/>
    <x v="1"/>
    <n v="17775"/>
    <d v="2026-02-28T00:00:00"/>
    <s v="Talenti Roman Raspberry SORB 8 1PT"/>
    <x v="8"/>
    <n v="3.7839999999999996E-3"/>
    <n v="255"/>
    <x v="2"/>
    <x v="3"/>
    <n v="1"/>
    <n v="17775"/>
    <n v="67.260599999999997"/>
    <n v="69.705882352941174"/>
    <s v="Feb"/>
    <x v="6"/>
    <m/>
    <m/>
  </r>
  <r>
    <n v="68867756"/>
    <x v="1"/>
    <n v="8052"/>
    <d v="2026-03-01T00:00:00"/>
    <s v="Talenti Roman Raspberry SORB 8 1PT"/>
    <x v="8"/>
    <n v="3.7839999999999996E-3"/>
    <n v="255"/>
    <x v="2"/>
    <x v="3"/>
    <n v="1"/>
    <n v="8052"/>
    <n v="30.468767999999997"/>
    <n v="31.576470588235296"/>
    <s v="Mar"/>
    <x v="11"/>
    <m/>
    <m/>
  </r>
  <r>
    <n v="68867756"/>
    <x v="1"/>
    <n v="13842"/>
    <d v="2026-03-01T00:00:00"/>
    <s v="Talenti Roman Raspberry SORB 8 1PT"/>
    <x v="8"/>
    <n v="3.7839999999999996E-3"/>
    <n v="255"/>
    <x v="2"/>
    <x v="3"/>
    <n v="1"/>
    <n v="13842"/>
    <n v="52.378127999999997"/>
    <n v="54.28235294117647"/>
    <s v="Mar"/>
    <x v="11"/>
    <m/>
    <m/>
  </r>
  <r>
    <n v="68867756"/>
    <x v="1"/>
    <n v="9216"/>
    <d v="2026-03-02T00:00:00"/>
    <s v="Talenti Roman Raspberry SORB 8 1PT"/>
    <x v="8"/>
    <n v="3.7839999999999996E-3"/>
    <n v="255"/>
    <x v="2"/>
    <x v="3"/>
    <n v="1"/>
    <n v="9216"/>
    <n v="34.873343999999996"/>
    <n v="36.141176470588235"/>
    <s v="Mar"/>
    <x v="11"/>
    <m/>
    <m/>
  </r>
  <r>
    <n v="68867756"/>
    <x v="1"/>
    <n v="1418"/>
    <d v="2026-02-26T00:00:00"/>
    <s v="Talenti Roman Raspberry SORB 8 1PT"/>
    <x v="8"/>
    <n v="3.7839999999999996E-3"/>
    <n v="255"/>
    <x v="2"/>
    <x v="3"/>
    <n v="1"/>
    <n v="1418"/>
    <n v="5.3657119999999994"/>
    <n v="5.56078431372549"/>
    <s v="Feb"/>
    <x v="6"/>
    <m/>
    <m/>
  </r>
  <r>
    <n v="68896054"/>
    <x v="1"/>
    <n v="3571"/>
    <d v="2026-03-01T00:00:00"/>
    <s v="BR Chocolate Chip Cookie Dough 6 1.5QT"/>
    <x v="3"/>
    <n v="8.5199999999999998E-3"/>
    <n v="176"/>
    <x v="0"/>
    <x v="1"/>
    <n v="1"/>
    <n v="3571"/>
    <n v="30.42492"/>
    <n v="20.289772727272727"/>
    <s v="Mar"/>
    <x v="11"/>
    <m/>
    <m/>
  </r>
  <r>
    <n v="68896054"/>
    <x v="1"/>
    <n v="176"/>
    <d v="2026-03-02T00:00:00"/>
    <s v="BR Chocolate Chip Cookie Dough 6 1.5QT"/>
    <x v="3"/>
    <n v="8.5199999999999998E-3"/>
    <n v="176"/>
    <x v="0"/>
    <x v="1"/>
    <n v="1"/>
    <n v="176"/>
    <n v="1.49952"/>
    <n v="1"/>
    <s v="Mar"/>
    <x v="11"/>
    <m/>
    <m/>
  </r>
  <r>
    <n v="68896054"/>
    <x v="1"/>
    <n v="4928"/>
    <d v="2026-03-01T00:00:00"/>
    <s v="BR Chocolate Chip Cookie Dough 6 1.5QT"/>
    <x v="3"/>
    <n v="8.5199999999999998E-3"/>
    <n v="176"/>
    <x v="0"/>
    <x v="1"/>
    <n v="1"/>
    <n v="4928"/>
    <n v="41.986559999999997"/>
    <n v="28"/>
    <s v="Mar"/>
    <x v="11"/>
    <m/>
    <m/>
  </r>
  <r>
    <n v="68896054"/>
    <x v="1"/>
    <n v="4442"/>
    <d v="2026-03-02T00:00:00"/>
    <s v="BR Chocolate Chip Cookie Dough 6 1.5QT"/>
    <x v="3"/>
    <n v="8.5199999999999998E-3"/>
    <n v="176"/>
    <x v="0"/>
    <x v="1"/>
    <n v="1"/>
    <n v="4442"/>
    <n v="37.845840000000003"/>
    <n v="25.238636363636363"/>
    <s v="Mar"/>
    <x v="11"/>
    <m/>
    <m/>
  </r>
  <r>
    <n v="68896054"/>
    <x v="1"/>
    <n v="603"/>
    <d v="2026-03-02T00:00:00"/>
    <s v="BR Chocolate Chip Cookie Dough 6 1.5QT"/>
    <x v="3"/>
    <n v="8.5199999999999998E-3"/>
    <n v="176"/>
    <x v="0"/>
    <x v="1"/>
    <n v="1"/>
    <n v="603"/>
    <n v="5.1375599999999997"/>
    <n v="3.4261363636363638"/>
    <s v="Mar"/>
    <x v="11"/>
    <m/>
    <m/>
  </r>
  <r>
    <n v="68896054"/>
    <x v="1"/>
    <n v="3872"/>
    <d v="2026-03-03T00:00:00"/>
    <s v="BR Chocolate Chip Cookie Dough 6 1.5QT"/>
    <x v="3"/>
    <n v="8.5199999999999998E-3"/>
    <n v="176"/>
    <x v="0"/>
    <x v="1"/>
    <n v="1"/>
    <n v="3872"/>
    <n v="32.989440000000002"/>
    <n v="22"/>
    <s v="Mar"/>
    <x v="11"/>
    <m/>
    <m/>
  </r>
  <r>
    <n v="68896054"/>
    <x v="1"/>
    <n v="6144"/>
    <d v="2026-03-03T00:00:00"/>
    <s v="BR Chocolate Chip Cookie Dough 6 1.5QT"/>
    <x v="3"/>
    <n v="8.5199999999999998E-3"/>
    <n v="176"/>
    <x v="0"/>
    <x v="1"/>
    <n v="1"/>
    <n v="6144"/>
    <n v="52.346879999999999"/>
    <n v="34.909090909090907"/>
    <s v="Mar"/>
    <x v="11"/>
    <m/>
    <m/>
  </r>
  <r>
    <n v="68896054"/>
    <x v="1"/>
    <n v="3615"/>
    <d v="2026-03-04T00:00:00"/>
    <s v="BR Chocolate Chip Cookie Dough 6 1.5QT"/>
    <x v="3"/>
    <n v="8.5199999999999998E-3"/>
    <n v="176"/>
    <x v="0"/>
    <x v="1"/>
    <n v="1"/>
    <n v="3615"/>
    <n v="30.799799999999998"/>
    <n v="20.539772727272727"/>
    <s v="Mar"/>
    <x v="11"/>
    <m/>
    <m/>
  </r>
  <r>
    <n v="68922108"/>
    <x v="1"/>
    <n v="11730"/>
    <d v="2026-03-17T00:00:00"/>
    <s v="Talenti Caramel Cookie Crunch 8 1PT"/>
    <x v="8"/>
    <n v="3.7839999999999996E-3"/>
    <n v="255"/>
    <x v="2"/>
    <x v="3"/>
    <n v="1"/>
    <n v="11730"/>
    <n v="44.386319999999998"/>
    <n v="46"/>
    <s v="Mar"/>
    <x v="9"/>
    <m/>
    <m/>
  </r>
  <r>
    <n v="68922108"/>
    <x v="1"/>
    <n v="15669"/>
    <d v="2026-03-18T00:00:00"/>
    <s v="Talenti Caramel Cookie Crunch 8 1PT"/>
    <x v="8"/>
    <n v="3.7839999999999996E-3"/>
    <n v="255"/>
    <x v="2"/>
    <x v="3"/>
    <n v="1"/>
    <n v="15669"/>
    <n v="59.291495999999995"/>
    <n v="61.44705882352941"/>
    <s v="Mar"/>
    <x v="9"/>
    <m/>
    <m/>
  </r>
  <r>
    <n v="68922108"/>
    <x v="1"/>
    <n v="16550"/>
    <d v="2026-03-18T00:00:00"/>
    <s v="Talenti Caramel Cookie Crunch 8 1PT"/>
    <x v="8"/>
    <n v="3.7839999999999996E-3"/>
    <n v="255"/>
    <x v="2"/>
    <x v="3"/>
    <n v="1"/>
    <n v="16550"/>
    <n v="62.625199999999992"/>
    <n v="64.901960784313729"/>
    <s v="Mar"/>
    <x v="9"/>
    <m/>
    <m/>
  </r>
  <r>
    <n v="68922108"/>
    <x v="1"/>
    <n v="16815"/>
    <d v="2026-03-19T00:00:00"/>
    <s v="Talenti Caramel Cookie Crunch 8 1PT"/>
    <x v="8"/>
    <n v="3.7839999999999996E-3"/>
    <n v="255"/>
    <x v="2"/>
    <x v="3"/>
    <n v="1"/>
    <n v="16815"/>
    <n v="63.627959999999995"/>
    <n v="65.941176470588232"/>
    <s v="Mar"/>
    <x v="9"/>
    <m/>
    <m/>
  </r>
  <r>
    <n v="68922108"/>
    <x v="1"/>
    <n v="16608"/>
    <d v="2026-03-19T00:00:00"/>
    <s v="Talenti Caramel Cookie Crunch 8 1PT"/>
    <x v="8"/>
    <n v="3.7839999999999996E-3"/>
    <n v="255"/>
    <x v="2"/>
    <x v="3"/>
    <n v="1"/>
    <n v="16608"/>
    <n v="62.844671999999996"/>
    <n v="65.129411764705878"/>
    <s v="Mar"/>
    <x v="9"/>
    <m/>
    <m/>
  </r>
  <r>
    <n v="68922108"/>
    <x v="1"/>
    <n v="14685"/>
    <d v="2026-03-20T00:00:00"/>
    <s v="Talenti Caramel Cookie Crunch 8 1PT"/>
    <x v="8"/>
    <n v="3.7839999999999996E-3"/>
    <n v="255"/>
    <x v="2"/>
    <x v="3"/>
    <n v="1"/>
    <n v="14685"/>
    <n v="55.568039999999996"/>
    <n v="57.588235294117645"/>
    <s v="Mar"/>
    <x v="9"/>
    <m/>
    <m/>
  </r>
  <r>
    <n v="68922108"/>
    <x v="1"/>
    <n v="254"/>
    <d v="2026-03-21T00:00:00"/>
    <s v="Talenti Caramel Cookie Crunch 8 1PT"/>
    <x v="8"/>
    <n v="3.7839999999999996E-3"/>
    <n v="255"/>
    <x v="2"/>
    <x v="3"/>
    <n v="1"/>
    <n v="254"/>
    <n v="0.96113599999999988"/>
    <n v="0.99607843137254903"/>
    <s v="Mar"/>
    <x v="9"/>
    <m/>
    <m/>
  </r>
  <r>
    <n v="68922108"/>
    <x v="1"/>
    <n v="16410"/>
    <d v="2026-03-20T00:00:00"/>
    <s v="Talenti Caramel Cookie Crunch 8 1PT"/>
    <x v="8"/>
    <n v="3.7839999999999996E-3"/>
    <n v="255"/>
    <x v="2"/>
    <x v="3"/>
    <n v="1"/>
    <n v="16410"/>
    <n v="62.095439999999996"/>
    <n v="64.352941176470594"/>
    <s v="Mar"/>
    <x v="9"/>
    <m/>
    <m/>
  </r>
  <r>
    <n v="68922108"/>
    <x v="1"/>
    <n v="287"/>
    <d v="2026-03-21T00:00:00"/>
    <s v="Talenti Caramel Cookie Crunch 8 1PT"/>
    <x v="8"/>
    <n v="3.7839999999999996E-3"/>
    <n v="255"/>
    <x v="2"/>
    <x v="3"/>
    <n v="1"/>
    <n v="287"/>
    <n v="1.0860079999999999"/>
    <n v="1.1254901960784314"/>
    <s v="Mar"/>
    <x v="9"/>
    <m/>
    <m/>
  </r>
  <r>
    <n v="68938272"/>
    <x v="1"/>
    <n v="6244"/>
    <d v="2026-03-06T00:00:00"/>
    <s v="BJ US-TOP-BossinCreamPie-8 450ML"/>
    <x v="17"/>
    <n v="3.5999999999999999E-3"/>
    <n v="240"/>
    <x v="8"/>
    <x v="9"/>
    <n v="1"/>
    <n v="6244"/>
    <n v="22.478400000000001"/>
    <n v="26.016666666666666"/>
    <s v="Mar"/>
    <x v="11"/>
    <m/>
    <m/>
  </r>
  <r>
    <n v="68938272"/>
    <x v="1"/>
    <n v="3720"/>
    <d v="2026-03-07T00:00:00"/>
    <s v="BJ US-TOP-BossinCreamPie-8 450ML"/>
    <x v="17"/>
    <n v="3.5999999999999999E-3"/>
    <n v="240"/>
    <x v="8"/>
    <x v="9"/>
    <n v="1"/>
    <n v="3720"/>
    <n v="13.391999999999999"/>
    <n v="15.5"/>
    <s v="Mar"/>
    <x v="11"/>
    <m/>
    <m/>
  </r>
  <r>
    <n v="68938272"/>
    <x v="1"/>
    <n v="912"/>
    <d v="2026-03-05T00:00:00"/>
    <s v="BJ US-TOP-BossinCreamPie-8 450ML"/>
    <x v="17"/>
    <n v="3.5999999999999999E-3"/>
    <n v="240"/>
    <x v="8"/>
    <x v="9"/>
    <n v="1"/>
    <n v="912"/>
    <n v="3.2831999999999999"/>
    <n v="3.8"/>
    <s v="Mar"/>
    <x v="11"/>
    <m/>
    <m/>
  </r>
  <r>
    <n v="68938272"/>
    <x v="1"/>
    <n v="6238"/>
    <d v="2026-03-06T00:00:00"/>
    <s v="BJ US-TOP-BossinCreamPie-8 450ML"/>
    <x v="17"/>
    <n v="3.5999999999999999E-3"/>
    <n v="240"/>
    <x v="8"/>
    <x v="9"/>
    <n v="1"/>
    <n v="6238"/>
    <n v="22.456799999999998"/>
    <n v="25.991666666666667"/>
    <s v="Mar"/>
    <x v="11"/>
    <m/>
    <m/>
  </r>
  <r>
    <n v="69554197"/>
    <x v="1"/>
    <n v="4890"/>
    <d v="2026-03-23T00:00:00"/>
    <s v="BR Reese PB Cup 8 1PT"/>
    <x v="17"/>
    <n v="3.7839999999999996E-3"/>
    <n v="240"/>
    <x v="9"/>
    <x v="14"/>
    <n v="1"/>
    <n v="4890"/>
    <n v="18.50376"/>
    <n v="20.375"/>
    <s v="Mar"/>
    <x v="10"/>
    <m/>
    <m/>
  </r>
  <r>
    <n v="69554197"/>
    <x v="1"/>
    <n v="1218"/>
    <d v="2026-03-24T00:00:00"/>
    <s v="BR Reese PB Cup 8 1PT"/>
    <x v="17"/>
    <n v="3.7839999999999996E-3"/>
    <n v="240"/>
    <x v="9"/>
    <x v="14"/>
    <n v="1"/>
    <n v="1218"/>
    <n v="4.6089119999999992"/>
    <n v="5.0750000000000002"/>
    <s v="Mar"/>
    <x v="10"/>
    <m/>
    <m/>
  </r>
  <r>
    <n v="69554197"/>
    <x v="1"/>
    <n v="3224"/>
    <d v="2026-03-24T00:00:00"/>
    <s v="BR Reese PB Cup 8 1PT"/>
    <x v="17"/>
    <n v="3.7839999999999996E-3"/>
    <n v="240"/>
    <x v="9"/>
    <x v="14"/>
    <n v="1"/>
    <n v="3224"/>
    <n v="12.199615999999999"/>
    <n v="13.433333333333334"/>
    <s v="Mar"/>
    <x v="10"/>
    <m/>
    <m/>
  </r>
  <r>
    <n v="69564623"/>
    <x v="1"/>
    <n v="4576"/>
    <d v="2026-03-04T00:00:00"/>
    <s v="BR ND Vanilla 6 1.5QT"/>
    <x v="3"/>
    <n v="8.5199999999999998E-3"/>
    <n v="176"/>
    <x v="0"/>
    <x v="1"/>
    <n v="1"/>
    <n v="4576"/>
    <n v="38.987519999999996"/>
    <n v="26"/>
    <s v="Mar"/>
    <x v="11"/>
    <m/>
    <m/>
  </r>
  <r>
    <n v="69564623"/>
    <x v="1"/>
    <n v="7689"/>
    <d v="2026-03-05T00:00:00"/>
    <s v="BR ND Vanilla 6 1.5QT"/>
    <x v="3"/>
    <n v="8.5199999999999998E-3"/>
    <n v="176"/>
    <x v="0"/>
    <x v="1"/>
    <n v="1"/>
    <n v="7689"/>
    <n v="65.510279999999995"/>
    <n v="43.6875"/>
    <s v="Mar"/>
    <x v="11"/>
    <m/>
    <m/>
  </r>
  <r>
    <n v="69564623"/>
    <x v="1"/>
    <n v="6160"/>
    <d v="2026-03-05T00:00:00"/>
    <s v="BR ND Vanilla 6 1.5QT"/>
    <x v="3"/>
    <n v="8.5199999999999998E-3"/>
    <n v="176"/>
    <x v="0"/>
    <x v="1"/>
    <n v="1"/>
    <n v="6160"/>
    <n v="52.483199999999997"/>
    <n v="35"/>
    <s v="Mar"/>
    <x v="11"/>
    <m/>
    <m/>
  </r>
  <r>
    <n v="69564623"/>
    <x v="1"/>
    <n v="6160"/>
    <d v="2026-03-06T00:00:00"/>
    <s v="BR ND Vanilla 6 1.5QT"/>
    <x v="3"/>
    <n v="8.5199999999999998E-3"/>
    <n v="176"/>
    <x v="0"/>
    <x v="1"/>
    <n v="1"/>
    <n v="6160"/>
    <n v="52.483199999999997"/>
    <n v="35"/>
    <s v="Mar"/>
    <x v="11"/>
    <m/>
    <m/>
  </r>
  <r>
    <n v="69564623"/>
    <x v="1"/>
    <n v="7318"/>
    <d v="2026-03-06T00:00:00"/>
    <s v="BR ND Vanilla 6 1.5QT"/>
    <x v="3"/>
    <n v="8.5199999999999998E-3"/>
    <n v="176"/>
    <x v="0"/>
    <x v="1"/>
    <n v="1"/>
    <n v="7318"/>
    <n v="62.349359999999997"/>
    <n v="41.579545454545453"/>
    <s v="Mar"/>
    <x v="11"/>
    <m/>
    <m/>
  </r>
  <r>
    <n v="69564623"/>
    <x v="1"/>
    <n v="2612"/>
    <d v="2026-03-07T00:00:00"/>
    <s v="BR ND Vanilla 6 1.5QT"/>
    <x v="3"/>
    <n v="8.5199999999999998E-3"/>
    <n v="176"/>
    <x v="0"/>
    <x v="1"/>
    <n v="1"/>
    <n v="2612"/>
    <n v="22.254239999999999"/>
    <n v="14.840909090909092"/>
    <s v="Mar"/>
    <x v="11"/>
    <m/>
    <m/>
  </r>
  <r>
    <n v="69568828"/>
    <x v="1"/>
    <n v="704"/>
    <d v="2026-02-24T00:00:00"/>
    <s v="BR CS Vanilla 6 1.5QT"/>
    <x v="3"/>
    <n v="8.5199999999999998E-3"/>
    <n v="176"/>
    <x v="0"/>
    <x v="1"/>
    <n v="1"/>
    <n v="704"/>
    <n v="5.9980799999999999"/>
    <n v="4"/>
    <s v="Feb"/>
    <x v="6"/>
    <m/>
    <m/>
  </r>
  <r>
    <n v="69568828"/>
    <x v="1"/>
    <n v="-704"/>
    <d v="2026-02-25T00:00:00"/>
    <s v="BR CS Vanilla 6 1.5QT"/>
    <x v="3"/>
    <n v="8.5199999999999998E-3"/>
    <n v="176"/>
    <x v="0"/>
    <x v="1"/>
    <n v="1"/>
    <n v="-704"/>
    <n v="-5.9980799999999999"/>
    <n v="-4"/>
    <s v="Feb"/>
    <x v="6"/>
    <m/>
    <m/>
  </r>
  <r>
    <n v="69568828"/>
    <x v="1"/>
    <n v="1232"/>
    <d v="2026-02-24T00:00:00"/>
    <s v="BR CS Vanilla 6 1.5QT"/>
    <x v="3"/>
    <n v="8.5199999999999998E-3"/>
    <n v="176"/>
    <x v="0"/>
    <x v="1"/>
    <n v="1"/>
    <n v="1232"/>
    <n v="10.496639999999999"/>
    <n v="7"/>
    <s v="Feb"/>
    <x v="6"/>
    <m/>
    <m/>
  </r>
  <r>
    <n v="69568828"/>
    <x v="1"/>
    <n v="3401"/>
    <d v="2026-02-25T00:00:00"/>
    <s v="BR CS Vanilla 6 1.5QT"/>
    <x v="3"/>
    <n v="8.5199999999999998E-3"/>
    <n v="176"/>
    <x v="0"/>
    <x v="1"/>
    <n v="1"/>
    <n v="3401"/>
    <n v="28.976520000000001"/>
    <n v="19.323863636363637"/>
    <s v="Feb"/>
    <x v="6"/>
    <m/>
    <m/>
  </r>
  <r>
    <n v="69568828"/>
    <x v="1"/>
    <n v="5609"/>
    <d v="2026-02-25T00:00:00"/>
    <s v="BR CS Vanilla 6 1.5QT"/>
    <x v="3"/>
    <n v="8.5199999999999998E-3"/>
    <n v="176"/>
    <x v="0"/>
    <x v="1"/>
    <n v="1"/>
    <n v="5609"/>
    <n v="47.788679999999999"/>
    <n v="31.869318181818183"/>
    <s v="Feb"/>
    <x v="6"/>
    <m/>
    <m/>
  </r>
  <r>
    <n v="69568828"/>
    <x v="1"/>
    <n v="6821"/>
    <d v="2026-02-26T00:00:00"/>
    <s v="BR CS Vanilla 6 1.5QT"/>
    <x v="3"/>
    <n v="8.5199999999999998E-3"/>
    <n v="176"/>
    <x v="0"/>
    <x v="1"/>
    <n v="1"/>
    <n v="6821"/>
    <n v="58.114919999999998"/>
    <n v="38.75568181818182"/>
    <s v="Feb"/>
    <x v="6"/>
    <m/>
    <m/>
  </r>
  <r>
    <n v="69568828"/>
    <x v="1"/>
    <n v="7127"/>
    <d v="2026-02-26T00:00:00"/>
    <s v="BR CS Vanilla 6 1.5QT"/>
    <x v="3"/>
    <n v="8.5199999999999998E-3"/>
    <n v="176"/>
    <x v="0"/>
    <x v="1"/>
    <n v="1"/>
    <n v="7127"/>
    <n v="60.72204"/>
    <n v="40.49431818181818"/>
    <s v="Feb"/>
    <x v="6"/>
    <m/>
    <m/>
  </r>
  <r>
    <n v="69568828"/>
    <x v="1"/>
    <n v="5088"/>
    <d v="2026-02-27T00:00:00"/>
    <s v="BR CS Vanilla 6 1.5QT"/>
    <x v="3"/>
    <n v="8.5199999999999998E-3"/>
    <n v="176"/>
    <x v="0"/>
    <x v="1"/>
    <n v="1"/>
    <n v="5088"/>
    <n v="43.349759999999996"/>
    <n v="28.90909090909091"/>
    <s v="Feb"/>
    <x v="6"/>
    <m/>
    <m/>
  </r>
  <r>
    <n v="69568828"/>
    <x v="1"/>
    <n v="3630"/>
    <d v="2026-03-17T00:00:00"/>
    <s v="BR CS Vanilla 6 1.5QT"/>
    <x v="3"/>
    <n v="8.5199999999999998E-3"/>
    <n v="176"/>
    <x v="0"/>
    <x v="1"/>
    <n v="1"/>
    <n v="3630"/>
    <n v="30.927599999999998"/>
    <n v="20.625"/>
    <s v="Mar"/>
    <x v="9"/>
    <m/>
    <m/>
  </r>
  <r>
    <n v="69568828"/>
    <x v="1"/>
    <n v="6688"/>
    <d v="2026-03-17T00:00:00"/>
    <s v="BR CS Vanilla 6 1.5QT"/>
    <x v="3"/>
    <n v="8.5199999999999998E-3"/>
    <n v="176"/>
    <x v="0"/>
    <x v="1"/>
    <n v="1"/>
    <n v="6688"/>
    <n v="56.981760000000001"/>
    <n v="38"/>
    <s v="Mar"/>
    <x v="9"/>
    <m/>
    <m/>
  </r>
  <r>
    <n v="69568828"/>
    <x v="1"/>
    <n v="4677"/>
    <d v="2026-03-18T00:00:00"/>
    <s v="BR CS Vanilla 6 1.5QT"/>
    <x v="3"/>
    <n v="8.5199999999999998E-3"/>
    <n v="176"/>
    <x v="0"/>
    <x v="1"/>
    <n v="1"/>
    <n v="4677"/>
    <n v="39.848039999999997"/>
    <n v="26.573863636363637"/>
    <s v="Mar"/>
    <x v="9"/>
    <m/>
    <m/>
  </r>
  <r>
    <n v="69568828"/>
    <x v="1"/>
    <n v="513"/>
    <d v="2026-03-18T00:00:00"/>
    <s v="BR CS Vanilla 6 1.5QT"/>
    <x v="3"/>
    <n v="8.5199999999999998E-3"/>
    <n v="176"/>
    <x v="0"/>
    <x v="1"/>
    <n v="1"/>
    <n v="513"/>
    <n v="4.3707599999999998"/>
    <n v="2.9147727272727271"/>
    <s v="Mar"/>
    <x v="9"/>
    <m/>
    <m/>
  </r>
  <r>
    <n v="69568828"/>
    <x v="1"/>
    <n v="1605"/>
    <d v="2026-03-19T00:00:00"/>
    <s v="BR CS Vanilla 6 1.5QT"/>
    <x v="3"/>
    <n v="8.5199999999999998E-3"/>
    <n v="176"/>
    <x v="0"/>
    <x v="1"/>
    <n v="1"/>
    <n v="1605"/>
    <n v="13.6746"/>
    <n v="9.1193181818181817"/>
    <s v="Mar"/>
    <x v="9"/>
    <m/>
    <m/>
  </r>
  <r>
    <n v="69568828"/>
    <x v="1"/>
    <n v="7040"/>
    <d v="2026-03-19T00:00:00"/>
    <s v="BR CS Vanilla 6 1.5QT"/>
    <x v="3"/>
    <n v="8.5199999999999998E-3"/>
    <n v="176"/>
    <x v="0"/>
    <x v="1"/>
    <n v="1"/>
    <n v="7040"/>
    <n v="59.980800000000002"/>
    <n v="40"/>
    <s v="Mar"/>
    <x v="9"/>
    <m/>
    <m/>
  </r>
  <r>
    <n v="69568828"/>
    <x v="1"/>
    <n v="6050"/>
    <d v="2026-03-20T00:00:00"/>
    <s v="BR CS Vanilla 6 1.5QT"/>
    <x v="3"/>
    <n v="8.5199999999999998E-3"/>
    <n v="176"/>
    <x v="0"/>
    <x v="1"/>
    <n v="1"/>
    <n v="6050"/>
    <n v="51.545999999999999"/>
    <n v="34.375"/>
    <s v="Mar"/>
    <x v="9"/>
    <m/>
    <m/>
  </r>
  <r>
    <n v="69568828"/>
    <x v="1"/>
    <n v="5632"/>
    <d v="2026-02-27T00:00:00"/>
    <s v="BR CS Vanilla 6 1.5QT"/>
    <x v="3"/>
    <n v="8.5199999999999998E-3"/>
    <n v="176"/>
    <x v="0"/>
    <x v="1"/>
    <n v="1"/>
    <n v="5632"/>
    <n v="47.984639999999999"/>
    <n v="32"/>
    <s v="Feb"/>
    <x v="6"/>
    <m/>
    <m/>
  </r>
  <r>
    <n v="69568828"/>
    <x v="1"/>
    <n v="6227"/>
    <d v="2026-02-28T00:00:00"/>
    <s v="BR CS Vanilla 6 1.5QT"/>
    <x v="3"/>
    <n v="8.5199999999999998E-3"/>
    <n v="176"/>
    <x v="0"/>
    <x v="1"/>
    <n v="1"/>
    <n v="6227"/>
    <n v="53.054040000000001"/>
    <n v="35.38068181818182"/>
    <s v="Feb"/>
    <x v="6"/>
    <m/>
    <m/>
  </r>
  <r>
    <n v="69568828"/>
    <x v="1"/>
    <n v="-176"/>
    <d v="2026-03-10T00:00:00"/>
    <s v="BR CS Vanilla 6 1.5QT"/>
    <x v="3"/>
    <n v="8.5199999999999998E-3"/>
    <n v="176"/>
    <x v="0"/>
    <x v="1"/>
    <n v="1"/>
    <n v="-176"/>
    <n v="-1.49952"/>
    <n v="-1"/>
    <s v="Mar"/>
    <x v="12"/>
    <m/>
    <m/>
  </r>
  <r>
    <n v="69568828"/>
    <x v="1"/>
    <n v="3652"/>
    <d v="2026-02-28T00:00:00"/>
    <s v="BR CS Vanilla 6 1.5QT"/>
    <x v="3"/>
    <n v="8.5199999999999998E-3"/>
    <n v="176"/>
    <x v="0"/>
    <x v="1"/>
    <n v="1"/>
    <n v="3652"/>
    <n v="31.11504"/>
    <n v="20.75"/>
    <s v="Feb"/>
    <x v="6"/>
    <m/>
    <m/>
  </r>
  <r>
    <n v="69568828"/>
    <x v="1"/>
    <n v="26"/>
    <d v="2026-03-01T00:00:00"/>
    <s v="BR CS Vanilla 6 1.5QT"/>
    <x v="3"/>
    <n v="8.5199999999999998E-3"/>
    <n v="176"/>
    <x v="0"/>
    <x v="1"/>
    <n v="1"/>
    <n v="26"/>
    <n v="0.22151999999999999"/>
    <n v="0.14772727272727273"/>
    <s v="Mar"/>
    <x v="11"/>
    <m/>
    <m/>
  </r>
  <r>
    <n v="69568828"/>
    <x v="1"/>
    <n v="7392"/>
    <d v="2026-03-20T00:00:00"/>
    <s v="BR CS Vanilla 6 1.5QT"/>
    <x v="3"/>
    <n v="8.5199999999999998E-3"/>
    <n v="176"/>
    <x v="0"/>
    <x v="1"/>
    <n v="1"/>
    <n v="7392"/>
    <n v="62.979839999999996"/>
    <n v="42"/>
    <s v="Mar"/>
    <x v="9"/>
    <m/>
    <m/>
  </r>
  <r>
    <n v="69568828"/>
    <x v="1"/>
    <n v="6688"/>
    <d v="2026-03-21T00:00:00"/>
    <s v="BR CS Vanilla 6 1.5QT"/>
    <x v="3"/>
    <n v="8.5199999999999998E-3"/>
    <n v="176"/>
    <x v="0"/>
    <x v="1"/>
    <n v="1"/>
    <n v="6688"/>
    <n v="56.981760000000001"/>
    <n v="38"/>
    <s v="Mar"/>
    <x v="9"/>
    <m/>
    <m/>
  </r>
  <r>
    <n v="69568828"/>
    <x v="1"/>
    <n v="2464"/>
    <d v="2026-03-21T00:00:00"/>
    <s v="BR CS Vanilla 6 1.5QT"/>
    <x v="3"/>
    <n v="8.5199999999999998E-3"/>
    <n v="176"/>
    <x v="0"/>
    <x v="1"/>
    <n v="1"/>
    <n v="2464"/>
    <n v="20.993279999999999"/>
    <n v="14"/>
    <s v="Mar"/>
    <x v="9"/>
    <m/>
    <m/>
  </r>
  <r>
    <n v="69568829"/>
    <x v="1"/>
    <n v="5632"/>
    <d v="2026-02-26T00:00:00"/>
    <s v="BR CS CHOC 6 1.5QT"/>
    <x v="5"/>
    <n v="8.5199999999999998E-3"/>
    <n v="176"/>
    <x v="0"/>
    <x v="1"/>
    <n v="1"/>
    <n v="5632"/>
    <n v="47.984639999999999"/>
    <n v="32"/>
    <s v="Feb"/>
    <x v="6"/>
    <m/>
    <m/>
  </r>
  <r>
    <n v="69568829"/>
    <x v="1"/>
    <n v="7649"/>
    <d v="2026-02-27T00:00:00"/>
    <s v="BR CS CHOC 6 1.5QT"/>
    <x v="5"/>
    <n v="8.5199999999999998E-3"/>
    <n v="176"/>
    <x v="0"/>
    <x v="1"/>
    <n v="1"/>
    <n v="7649"/>
    <n v="65.169479999999993"/>
    <n v="43.460227272727273"/>
    <s v="Feb"/>
    <x v="6"/>
    <m/>
    <m/>
  </r>
  <r>
    <n v="69568829"/>
    <x v="1"/>
    <n v="5984"/>
    <d v="2026-02-27T00:00:00"/>
    <s v="BR CS CHOC 6 1.5QT"/>
    <x v="5"/>
    <n v="8.5199999999999998E-3"/>
    <n v="176"/>
    <x v="0"/>
    <x v="1"/>
    <n v="1"/>
    <n v="5984"/>
    <n v="50.98368"/>
    <n v="34"/>
    <s v="Feb"/>
    <x v="6"/>
    <m/>
    <m/>
  </r>
  <r>
    <n v="69568829"/>
    <x v="1"/>
    <n v="5566"/>
    <d v="2026-02-28T00:00:00"/>
    <s v="BR CS CHOC 6 1.5QT"/>
    <x v="5"/>
    <n v="8.5199999999999998E-3"/>
    <n v="176"/>
    <x v="0"/>
    <x v="1"/>
    <n v="1"/>
    <n v="5566"/>
    <n v="47.422319999999999"/>
    <n v="31.625"/>
    <s v="Feb"/>
    <x v="6"/>
    <m/>
    <m/>
  </r>
  <r>
    <n v="69568829"/>
    <x v="1"/>
    <n v="5760"/>
    <d v="2026-02-28T00:00:00"/>
    <s v="BR CS CHOC 6 1.5QT"/>
    <x v="5"/>
    <n v="8.5199999999999998E-3"/>
    <n v="176"/>
    <x v="0"/>
    <x v="1"/>
    <n v="1"/>
    <n v="5760"/>
    <n v="49.075199999999995"/>
    <n v="32.727272727272727"/>
    <s v="Feb"/>
    <x v="6"/>
    <m/>
    <m/>
  </r>
  <r>
    <n v="69568829"/>
    <x v="1"/>
    <n v="5808"/>
    <d v="2026-03-01T00:00:00"/>
    <s v="BR CS CHOC 6 1.5QT"/>
    <x v="5"/>
    <n v="8.5199999999999998E-3"/>
    <n v="176"/>
    <x v="0"/>
    <x v="1"/>
    <n v="1"/>
    <n v="5808"/>
    <n v="49.484159999999996"/>
    <n v="33"/>
    <s v="Mar"/>
    <x v="11"/>
    <m/>
    <m/>
  </r>
  <r>
    <n v="69568829"/>
    <x v="1"/>
    <n v="2145"/>
    <d v="2026-03-01T00:00:00"/>
    <s v="BR CS CHOC 6 1.5QT"/>
    <x v="5"/>
    <n v="8.5199999999999998E-3"/>
    <n v="176"/>
    <x v="0"/>
    <x v="1"/>
    <n v="1"/>
    <n v="2145"/>
    <n v="18.275400000000001"/>
    <n v="12.1875"/>
    <s v="Mar"/>
    <x v="11"/>
    <m/>
    <m/>
  </r>
  <r>
    <n v="69568829"/>
    <x v="1"/>
    <n v="2603"/>
    <d v="2026-02-26T00:00:00"/>
    <s v="BR CS CHOC 6 1.5QT"/>
    <x v="5"/>
    <n v="8.5199999999999998E-3"/>
    <n v="176"/>
    <x v="0"/>
    <x v="1"/>
    <n v="1"/>
    <n v="2603"/>
    <n v="22.17756"/>
    <n v="14.789772727272727"/>
    <s v="Feb"/>
    <x v="6"/>
    <m/>
    <m/>
  </r>
  <r>
    <n v="69568964"/>
    <x v="1"/>
    <n v="0"/>
    <d v="2026-02-25T00:00:00"/>
    <s v="BR NSA Vanilla 6 1.5QT"/>
    <x v="3"/>
    <n v="8.5199999999999998E-3"/>
    <n v="176"/>
    <x v="0"/>
    <x v="1"/>
    <n v="1"/>
    <n v="0"/>
    <n v="0"/>
    <n v="0"/>
    <s v="Feb"/>
    <x v="6"/>
    <m/>
    <m/>
  </r>
  <r>
    <n v="69568964"/>
    <x v="1"/>
    <n v="2464"/>
    <d v="2026-03-24T00:00:00"/>
    <s v="BR NSA Vanilla 6 1.5QT"/>
    <x v="3"/>
    <n v="8.5199999999999998E-3"/>
    <n v="176"/>
    <x v="0"/>
    <x v="1"/>
    <n v="1"/>
    <n v="2464"/>
    <n v="20.993279999999999"/>
    <n v="14"/>
    <s v="Mar"/>
    <x v="10"/>
    <m/>
    <m/>
  </r>
  <r>
    <n v="69568964"/>
    <x v="1"/>
    <n v="7744"/>
    <d v="2026-03-24T00:00:00"/>
    <s v="BR NSA Vanilla 6 1.5QT"/>
    <x v="3"/>
    <n v="8.5199999999999998E-3"/>
    <n v="176"/>
    <x v="0"/>
    <x v="1"/>
    <n v="1"/>
    <n v="7744"/>
    <n v="65.978880000000004"/>
    <n v="44"/>
    <s v="Mar"/>
    <x v="10"/>
    <m/>
    <m/>
  </r>
  <r>
    <n v="69629468"/>
    <x v="1"/>
    <n v="39"/>
    <d v="2026-02-24T00:00:00"/>
    <s v="PS Fudgesicle NSA 6-18PK"/>
    <x v="14"/>
    <n v="5.2680000000000001E-3"/>
    <n v="130"/>
    <x v="6"/>
    <x v="7"/>
    <n v="1"/>
    <n v="39"/>
    <n v="0.205452"/>
    <n v="0.3"/>
    <s v="Feb"/>
    <x v="6"/>
    <m/>
    <m/>
  </r>
  <r>
    <n v="69629468"/>
    <x v="1"/>
    <n v="1820"/>
    <d v="2026-02-23T00:00:00"/>
    <s v="PS Fudgesicle NSA 6-18PK"/>
    <x v="14"/>
    <n v="5.2680000000000001E-3"/>
    <n v="130"/>
    <x v="6"/>
    <x v="7"/>
    <n v="1"/>
    <n v="1820"/>
    <n v="9.5877599999999994"/>
    <n v="14"/>
    <s v="Feb"/>
    <x v="6"/>
    <m/>
    <m/>
  </r>
  <r>
    <n v="69629468"/>
    <x v="1"/>
    <n v="1625"/>
    <d v="2026-02-24T00:00:00"/>
    <s v="PS Fudgesicle NSA 6-18PK"/>
    <x v="14"/>
    <n v="5.2680000000000001E-3"/>
    <n v="130"/>
    <x v="6"/>
    <x v="7"/>
    <n v="1"/>
    <n v="1625"/>
    <n v="8.5604999999999993"/>
    <n v="12.5"/>
    <s v="Feb"/>
    <x v="6"/>
    <m/>
    <m/>
  </r>
  <r>
    <n v="69629468"/>
    <x v="1"/>
    <n v="1950"/>
    <d v="2026-02-24T00:00:00"/>
    <s v="PS Fudgesicle NSA 6-18PK"/>
    <x v="14"/>
    <n v="5.2680000000000001E-3"/>
    <n v="130"/>
    <x v="6"/>
    <x v="7"/>
    <n v="1"/>
    <n v="1950"/>
    <n v="10.272600000000001"/>
    <n v="15"/>
    <s v="Feb"/>
    <x v="6"/>
    <m/>
    <m/>
  </r>
  <r>
    <n v="69629468"/>
    <x v="1"/>
    <n v="1300"/>
    <d v="2026-02-25T00:00:00"/>
    <s v="PS Fudgesicle NSA 6-18PK"/>
    <x v="14"/>
    <n v="5.2680000000000001E-3"/>
    <n v="130"/>
    <x v="6"/>
    <x v="7"/>
    <n v="1"/>
    <n v="1300"/>
    <n v="6.8483999999999998"/>
    <n v="10"/>
    <s v="Feb"/>
    <x v="6"/>
    <m/>
    <m/>
  </r>
  <r>
    <n v="69629468"/>
    <x v="1"/>
    <n v="626"/>
    <d v="2026-02-25T00:00:00"/>
    <s v="PS Fudgesicle NSA 6-18PK"/>
    <x v="14"/>
    <n v="5.2680000000000001E-3"/>
    <n v="130"/>
    <x v="6"/>
    <x v="7"/>
    <n v="1"/>
    <n v="626"/>
    <n v="3.297768"/>
    <n v="4.8153846153846152"/>
    <s v="Feb"/>
    <x v="6"/>
    <m/>
    <m/>
  </r>
  <r>
    <n v="69629468"/>
    <x v="1"/>
    <n v="1456"/>
    <d v="2026-02-26T00:00:00"/>
    <s v="PS Fudgesicle NSA 6-18PK"/>
    <x v="14"/>
    <n v="5.2680000000000001E-3"/>
    <n v="130"/>
    <x v="6"/>
    <x v="7"/>
    <n v="1"/>
    <n v="1456"/>
    <n v="7.6702080000000006"/>
    <n v="11.2"/>
    <s v="Feb"/>
    <x v="6"/>
    <m/>
    <m/>
  </r>
  <r>
    <n v="69629468"/>
    <x v="1"/>
    <n v="1560"/>
    <d v="2026-02-27T00:00:00"/>
    <s v="PS Fudgesicle NSA 6-18PK"/>
    <x v="14"/>
    <n v="5.2680000000000001E-3"/>
    <n v="130"/>
    <x v="6"/>
    <x v="7"/>
    <n v="1"/>
    <n v="1560"/>
    <n v="8.2180800000000005"/>
    <n v="12"/>
    <s v="Feb"/>
    <x v="6"/>
    <m/>
    <m/>
  </r>
  <r>
    <n v="69629468"/>
    <x v="1"/>
    <n v="2376"/>
    <d v="2026-02-27T00:00:00"/>
    <s v="PS Fudgesicle NSA 6-18PK"/>
    <x v="14"/>
    <n v="5.2680000000000001E-3"/>
    <n v="130"/>
    <x v="6"/>
    <x v="7"/>
    <n v="1"/>
    <n v="2376"/>
    <n v="12.516768000000001"/>
    <n v="18.276923076923076"/>
    <s v="Feb"/>
    <x v="6"/>
    <m/>
    <m/>
  </r>
  <r>
    <n v="69629468"/>
    <x v="1"/>
    <n v="840"/>
    <d v="2026-02-28T00:00:00"/>
    <s v="PS Fudgesicle NSA 6-18PK"/>
    <x v="14"/>
    <n v="5.2680000000000001E-3"/>
    <n v="130"/>
    <x v="6"/>
    <x v="7"/>
    <n v="1"/>
    <n v="840"/>
    <n v="4.4251199999999997"/>
    <n v="6.4615384615384617"/>
    <s v="Feb"/>
    <x v="6"/>
    <m/>
    <m/>
  </r>
  <r>
    <n v="69629468"/>
    <x v="1"/>
    <n v="1646"/>
    <d v="2026-03-02T00:00:00"/>
    <s v="PS Fudgesicle NSA 6-18PK"/>
    <x v="14"/>
    <n v="5.2680000000000001E-3"/>
    <n v="130"/>
    <x v="6"/>
    <x v="7"/>
    <n v="1"/>
    <n v="1646"/>
    <n v="8.6711279999999995"/>
    <n v="12.661538461538461"/>
    <s v="Mar"/>
    <x v="11"/>
    <m/>
    <m/>
  </r>
  <r>
    <n v="69629468"/>
    <x v="1"/>
    <n v="1404"/>
    <d v="2026-03-03T00:00:00"/>
    <s v="PS Fudgesicle NSA 6-18PK"/>
    <x v="14"/>
    <n v="5.2680000000000001E-3"/>
    <n v="130"/>
    <x v="6"/>
    <x v="7"/>
    <n v="1"/>
    <n v="1404"/>
    <n v="7.3962719999999997"/>
    <n v="10.8"/>
    <s v="Mar"/>
    <x v="11"/>
    <m/>
    <m/>
  </r>
  <r>
    <n v="69629468"/>
    <x v="1"/>
    <n v="2552"/>
    <d v="2026-03-03T00:00:00"/>
    <s v="PS Fudgesicle NSA 6-18PK"/>
    <x v="14"/>
    <n v="5.2680000000000001E-3"/>
    <n v="130"/>
    <x v="6"/>
    <x v="7"/>
    <n v="1"/>
    <n v="2552"/>
    <n v="13.443936000000001"/>
    <n v="19.630769230769232"/>
    <s v="Mar"/>
    <x v="11"/>
    <m/>
    <m/>
  </r>
  <r>
    <n v="69629468"/>
    <x v="1"/>
    <n v="2140"/>
    <d v="2026-03-04T00:00:00"/>
    <s v="PS Fudgesicle NSA 6-18PK"/>
    <x v="14"/>
    <n v="5.2680000000000001E-3"/>
    <n v="130"/>
    <x v="6"/>
    <x v="7"/>
    <n v="1"/>
    <n v="2140"/>
    <n v="11.27352"/>
    <n v="16.46153846153846"/>
    <s v="Mar"/>
    <x v="11"/>
    <m/>
    <m/>
  </r>
  <r>
    <n v="69629468"/>
    <x v="1"/>
    <n v="520"/>
    <d v="2026-03-04T00:00:00"/>
    <s v="PS Fudgesicle NSA 6-18PK"/>
    <x v="14"/>
    <n v="5.2680000000000001E-3"/>
    <n v="130"/>
    <x v="6"/>
    <x v="7"/>
    <n v="1"/>
    <n v="520"/>
    <n v="2.73936"/>
    <n v="4"/>
    <s v="Mar"/>
    <x v="11"/>
    <m/>
    <m/>
  </r>
  <r>
    <n v="69629468"/>
    <x v="1"/>
    <n v="1911"/>
    <d v="2026-03-05T00:00:00"/>
    <s v="PS Fudgesicle NSA 6-18PK"/>
    <x v="14"/>
    <n v="5.2680000000000001E-3"/>
    <n v="130"/>
    <x v="6"/>
    <x v="7"/>
    <n v="1"/>
    <n v="1911"/>
    <n v="10.067148"/>
    <n v="14.7"/>
    <s v="Mar"/>
    <x v="11"/>
    <m/>
    <m/>
  </r>
  <r>
    <n v="69629468"/>
    <x v="1"/>
    <n v="2280"/>
    <d v="2026-03-05T00:00:00"/>
    <s v="PS Fudgesicle NSA 6-18PK"/>
    <x v="14"/>
    <n v="5.2680000000000001E-3"/>
    <n v="130"/>
    <x v="6"/>
    <x v="7"/>
    <n v="1"/>
    <n v="2280"/>
    <n v="12.011039999999999"/>
    <n v="17.53846153846154"/>
    <s v="Mar"/>
    <x v="11"/>
    <m/>
    <m/>
  </r>
  <r>
    <n v="69629468"/>
    <x v="1"/>
    <n v="2009"/>
    <d v="2026-03-06T00:00:00"/>
    <s v="PS Fudgesicle NSA 6-18PK"/>
    <x v="14"/>
    <n v="5.2680000000000001E-3"/>
    <n v="130"/>
    <x v="6"/>
    <x v="7"/>
    <n v="1"/>
    <n v="2009"/>
    <n v="10.583412000000001"/>
    <n v="15.453846153846154"/>
    <s v="Mar"/>
    <x v="11"/>
    <m/>
    <m/>
  </r>
  <r>
    <n v="69629468"/>
    <x v="1"/>
    <n v="2258"/>
    <d v="2026-03-06T00:00:00"/>
    <s v="PS Fudgesicle NSA 6-18PK"/>
    <x v="14"/>
    <n v="5.2680000000000001E-3"/>
    <n v="130"/>
    <x v="6"/>
    <x v="7"/>
    <n v="1"/>
    <n v="2258"/>
    <n v="11.895144"/>
    <n v="17.369230769230768"/>
    <s v="Mar"/>
    <x v="11"/>
    <m/>
    <m/>
  </r>
  <r>
    <n v="69629468"/>
    <x v="1"/>
    <n v="1165"/>
    <d v="2026-03-07T00:00:00"/>
    <s v="PS Fudgesicle NSA 6-18PK"/>
    <x v="14"/>
    <n v="5.2680000000000001E-3"/>
    <n v="130"/>
    <x v="6"/>
    <x v="7"/>
    <n v="1"/>
    <n v="1165"/>
    <n v="6.1372200000000001"/>
    <n v="8.9615384615384617"/>
    <s v="Mar"/>
    <x v="11"/>
    <m/>
    <m/>
  </r>
  <r>
    <n v="69629468"/>
    <x v="1"/>
    <n v="1820"/>
    <d v="2026-03-09T00:00:00"/>
    <s v="PS Fudgesicle NSA 6-18PK"/>
    <x v="14"/>
    <n v="5.2680000000000001E-3"/>
    <n v="130"/>
    <x v="6"/>
    <x v="7"/>
    <n v="1"/>
    <n v="1820"/>
    <n v="9.5877599999999994"/>
    <n v="14"/>
    <s v="Mar"/>
    <x v="12"/>
    <m/>
    <m/>
  </r>
  <r>
    <n v="69629468"/>
    <x v="1"/>
    <n v="238"/>
    <d v="2026-03-10T00:00:00"/>
    <s v="PS Fudgesicle NSA 6-18PK"/>
    <x v="14"/>
    <n v="5.2680000000000001E-3"/>
    <n v="130"/>
    <x v="6"/>
    <x v="7"/>
    <n v="1"/>
    <n v="238"/>
    <n v="1.253784"/>
    <n v="1.8307692307692307"/>
    <s v="Mar"/>
    <x v="12"/>
    <m/>
    <m/>
  </r>
  <r>
    <n v="69629468"/>
    <x v="1"/>
    <n v="1518"/>
    <d v="2026-03-10T00:00:00"/>
    <s v="PS Fudgesicle NSA 6-18PK"/>
    <x v="14"/>
    <n v="5.2680000000000001E-3"/>
    <n v="130"/>
    <x v="6"/>
    <x v="7"/>
    <n v="1"/>
    <n v="1518"/>
    <n v="7.9968240000000002"/>
    <n v="11.676923076923076"/>
    <s v="Mar"/>
    <x v="12"/>
    <m/>
    <m/>
  </r>
  <r>
    <n v="69629468"/>
    <x v="1"/>
    <n v="1585"/>
    <d v="2026-03-11T00:00:00"/>
    <s v="PS Fudgesicle NSA 6-18PK"/>
    <x v="14"/>
    <n v="5.2680000000000001E-3"/>
    <n v="130"/>
    <x v="6"/>
    <x v="7"/>
    <n v="1"/>
    <n v="1585"/>
    <n v="8.3497800000000009"/>
    <n v="12.192307692307692"/>
    <s v="Mar"/>
    <x v="12"/>
    <m/>
    <m/>
  </r>
  <r>
    <n v="69629468"/>
    <x v="1"/>
    <n v="1703"/>
    <d v="2026-03-11T00:00:00"/>
    <s v="PS Fudgesicle NSA 6-18PK"/>
    <x v="14"/>
    <n v="5.2680000000000001E-3"/>
    <n v="130"/>
    <x v="6"/>
    <x v="7"/>
    <n v="1"/>
    <n v="1703"/>
    <n v="8.9714039999999997"/>
    <n v="13.1"/>
    <s v="Mar"/>
    <x v="12"/>
    <m/>
    <m/>
  </r>
  <r>
    <n v="69629468"/>
    <x v="1"/>
    <n v="626"/>
    <d v="2026-03-12T00:00:00"/>
    <s v="PS Fudgesicle NSA 6-18PK"/>
    <x v="14"/>
    <n v="5.2680000000000001E-3"/>
    <n v="130"/>
    <x v="6"/>
    <x v="7"/>
    <n v="1"/>
    <n v="626"/>
    <n v="3.297768"/>
    <n v="4.8153846153846152"/>
    <s v="Mar"/>
    <x v="12"/>
    <m/>
    <m/>
  </r>
  <r>
    <n v="69629468"/>
    <x v="1"/>
    <n v="791"/>
    <d v="2026-03-12T00:00:00"/>
    <s v="PS Fudgesicle NSA 6-18PK"/>
    <x v="14"/>
    <n v="5.2680000000000001E-3"/>
    <n v="130"/>
    <x v="6"/>
    <x v="7"/>
    <n v="1"/>
    <n v="791"/>
    <n v="4.1669879999999999"/>
    <n v="6.0846153846153843"/>
    <s v="Mar"/>
    <x v="12"/>
    <m/>
    <m/>
  </r>
  <r>
    <n v="69629468"/>
    <x v="1"/>
    <n v="1505"/>
    <d v="2026-03-13T00:00:00"/>
    <s v="PS Fudgesicle NSA 6-18PK"/>
    <x v="14"/>
    <n v="5.2680000000000001E-3"/>
    <n v="130"/>
    <x v="6"/>
    <x v="7"/>
    <n v="1"/>
    <n v="1505"/>
    <n v="7.9283400000000004"/>
    <n v="11.576923076923077"/>
    <s v="Mar"/>
    <x v="12"/>
    <m/>
    <m/>
  </r>
  <r>
    <n v="69629468"/>
    <x v="1"/>
    <n v="1546"/>
    <d v="2026-03-13T00:00:00"/>
    <s v="PS Fudgesicle NSA 6-18PK"/>
    <x v="14"/>
    <n v="5.2680000000000001E-3"/>
    <n v="130"/>
    <x v="6"/>
    <x v="7"/>
    <n v="1"/>
    <n v="1546"/>
    <n v="8.1443279999999998"/>
    <n v="11.892307692307693"/>
    <s v="Mar"/>
    <x v="12"/>
    <m/>
    <m/>
  </r>
  <r>
    <n v="69629468"/>
    <x v="1"/>
    <n v="1226"/>
    <d v="2026-03-14T00:00:00"/>
    <s v="PS Fudgesicle NSA 6-18PK"/>
    <x v="14"/>
    <n v="5.2680000000000001E-3"/>
    <n v="130"/>
    <x v="6"/>
    <x v="7"/>
    <n v="1"/>
    <n v="1226"/>
    <n v="6.4585680000000005"/>
    <n v="9.430769230769231"/>
    <s v="Mar"/>
    <x v="12"/>
    <m/>
    <m/>
  </r>
  <r>
    <n v="69629468"/>
    <x v="1"/>
    <n v="691"/>
    <d v="2026-03-16T00:00:00"/>
    <s v="PS Fudgesicle NSA 6-18PK"/>
    <x v="14"/>
    <n v="5.2680000000000001E-3"/>
    <n v="130"/>
    <x v="6"/>
    <x v="7"/>
    <n v="1"/>
    <n v="691"/>
    <n v="3.6401880000000002"/>
    <n v="5.3153846153846152"/>
    <s v="Mar"/>
    <x v="9"/>
    <m/>
    <m/>
  </r>
  <r>
    <n v="69629468"/>
    <x v="1"/>
    <n v="858"/>
    <d v="2026-03-17T00:00:00"/>
    <s v="PS Fudgesicle NSA 6-18PK"/>
    <x v="14"/>
    <n v="5.2680000000000001E-3"/>
    <n v="130"/>
    <x v="6"/>
    <x v="7"/>
    <n v="1"/>
    <n v="858"/>
    <n v="4.5199439999999997"/>
    <n v="6.6"/>
    <s v="Mar"/>
    <x v="9"/>
    <m/>
    <m/>
  </r>
  <r>
    <n v="69629468"/>
    <x v="1"/>
    <n v="2050"/>
    <d v="2026-03-17T00:00:00"/>
    <s v="PS Fudgesicle NSA 6-18PK"/>
    <x v="14"/>
    <n v="5.2680000000000001E-3"/>
    <n v="130"/>
    <x v="6"/>
    <x v="7"/>
    <n v="1"/>
    <n v="2050"/>
    <n v="10.7994"/>
    <n v="15.76923076923077"/>
    <s v="Mar"/>
    <x v="9"/>
    <m/>
    <m/>
  </r>
  <r>
    <n v="69629468"/>
    <x v="1"/>
    <n v="1539"/>
    <d v="2026-03-18T00:00:00"/>
    <s v="PS Fudgesicle NSA 6-18PK"/>
    <x v="14"/>
    <n v="5.2680000000000001E-3"/>
    <n v="130"/>
    <x v="6"/>
    <x v="7"/>
    <n v="1"/>
    <n v="1539"/>
    <n v="8.1074520000000003"/>
    <n v="11.838461538461539"/>
    <s v="Mar"/>
    <x v="9"/>
    <m/>
    <m/>
  </r>
  <r>
    <n v="69629468"/>
    <x v="1"/>
    <n v="68"/>
    <d v="2026-03-18T00:00:00"/>
    <s v="PS Fudgesicle NSA 6-18PK"/>
    <x v="14"/>
    <n v="5.2680000000000001E-3"/>
    <n v="130"/>
    <x v="6"/>
    <x v="7"/>
    <n v="1"/>
    <n v="68"/>
    <n v="0.35822399999999999"/>
    <n v="0.52307692307692311"/>
    <s v="Mar"/>
    <x v="9"/>
    <m/>
    <m/>
  </r>
  <r>
    <n v="69629468"/>
    <x v="1"/>
    <n v="2080"/>
    <d v="2026-03-19T00:00:00"/>
    <s v="PS Fudgesicle NSA 6-18PK"/>
    <x v="14"/>
    <n v="5.2680000000000001E-3"/>
    <n v="130"/>
    <x v="6"/>
    <x v="7"/>
    <n v="1"/>
    <n v="2080"/>
    <n v="10.95744"/>
    <n v="16"/>
    <s v="Mar"/>
    <x v="9"/>
    <m/>
    <m/>
  </r>
  <r>
    <n v="69629468"/>
    <x v="1"/>
    <n v="2574"/>
    <d v="2026-03-19T00:00:00"/>
    <s v="PS Fudgesicle NSA 6-18PK"/>
    <x v="14"/>
    <n v="5.2680000000000001E-3"/>
    <n v="130"/>
    <x v="6"/>
    <x v="7"/>
    <n v="1"/>
    <n v="2574"/>
    <n v="13.559832"/>
    <n v="19.8"/>
    <s v="Mar"/>
    <x v="9"/>
    <m/>
    <m/>
  </r>
  <r>
    <n v="69629468"/>
    <x v="1"/>
    <n v="1638"/>
    <d v="2026-03-20T00:00:00"/>
    <s v="PS Fudgesicle NSA 6-18PK"/>
    <x v="14"/>
    <n v="5.2680000000000001E-3"/>
    <n v="130"/>
    <x v="6"/>
    <x v="7"/>
    <n v="1"/>
    <n v="1638"/>
    <n v="8.6289840000000009"/>
    <n v="12.6"/>
    <s v="Mar"/>
    <x v="9"/>
    <m/>
    <m/>
  </r>
  <r>
    <n v="69629468"/>
    <x v="1"/>
    <n v="1948"/>
    <d v="2026-03-20T00:00:00"/>
    <s v="PS Fudgesicle NSA 6-18PK"/>
    <x v="14"/>
    <n v="5.2680000000000001E-3"/>
    <n v="130"/>
    <x v="6"/>
    <x v="7"/>
    <n v="1"/>
    <n v="1948"/>
    <n v="10.262064000000001"/>
    <n v="14.984615384615385"/>
    <s v="Mar"/>
    <x v="9"/>
    <m/>
    <m/>
  </r>
  <r>
    <n v="69629468"/>
    <x v="1"/>
    <n v="998"/>
    <d v="2026-03-21T00:00:00"/>
    <s v="PS Fudgesicle NSA 6-18PK"/>
    <x v="14"/>
    <n v="5.2680000000000001E-3"/>
    <n v="130"/>
    <x v="6"/>
    <x v="7"/>
    <n v="1"/>
    <n v="998"/>
    <n v="5.2574639999999997"/>
    <n v="7.6769230769230772"/>
    <s v="Mar"/>
    <x v="9"/>
    <m/>
    <m/>
  </r>
  <r>
    <n v="69629468"/>
    <x v="1"/>
    <n v="1601"/>
    <d v="2026-03-23T00:00:00"/>
    <s v="PS Fudgesicle NSA 6-18PK"/>
    <x v="14"/>
    <n v="5.2680000000000001E-3"/>
    <n v="130"/>
    <x v="6"/>
    <x v="7"/>
    <n v="1"/>
    <n v="1601"/>
    <n v="8.4340679999999999"/>
    <n v="12.315384615384616"/>
    <s v="Mar"/>
    <x v="10"/>
    <m/>
    <m/>
  </r>
  <r>
    <n v="69629468"/>
    <x v="1"/>
    <n v="1560"/>
    <d v="2026-03-24T00:00:00"/>
    <s v="PS Fudgesicle NSA 6-18PK"/>
    <x v="14"/>
    <n v="5.2680000000000001E-3"/>
    <n v="130"/>
    <x v="6"/>
    <x v="7"/>
    <n v="1"/>
    <n v="1560"/>
    <n v="8.2180800000000005"/>
    <n v="12"/>
    <s v="Mar"/>
    <x v="10"/>
    <m/>
    <m/>
  </r>
  <r>
    <n v="69629468"/>
    <x v="1"/>
    <n v="2210"/>
    <d v="2026-03-24T00:00:00"/>
    <s v="PS Fudgesicle NSA 6-18PK"/>
    <x v="14"/>
    <n v="5.2680000000000001E-3"/>
    <n v="130"/>
    <x v="6"/>
    <x v="7"/>
    <n v="1"/>
    <n v="2210"/>
    <n v="11.64228"/>
    <n v="17"/>
    <s v="Mar"/>
    <x v="10"/>
    <m/>
    <m/>
  </r>
  <r>
    <n v="69690941"/>
    <x v="1"/>
    <n v="4426"/>
    <d v="2026-03-18T00:00:00"/>
    <s v="MG Mini Classic 6-6PK"/>
    <x v="23"/>
    <n v="1.98E-3"/>
    <n v="176"/>
    <x v="5"/>
    <x v="6"/>
    <n v="1"/>
    <n v="4426"/>
    <n v="8.7634799999999995"/>
    <n v="25.147727272727273"/>
    <s v="Mar"/>
    <x v="9"/>
    <m/>
    <m/>
  </r>
  <r>
    <n v="69690941"/>
    <x v="1"/>
    <n v="6864"/>
    <d v="2026-03-18T00:00:00"/>
    <s v="MG Mini Classic 6-6PK"/>
    <x v="23"/>
    <n v="1.98E-3"/>
    <n v="176"/>
    <x v="5"/>
    <x v="6"/>
    <n v="1"/>
    <n v="6864"/>
    <n v="13.590719999999999"/>
    <n v="39"/>
    <s v="Mar"/>
    <x v="9"/>
    <m/>
    <m/>
  </r>
  <r>
    <n v="69690941"/>
    <x v="1"/>
    <n v="6613"/>
    <d v="2026-03-19T00:00:00"/>
    <s v="MG Mini Classic 6-6PK"/>
    <x v="23"/>
    <n v="1.98E-3"/>
    <n v="176"/>
    <x v="5"/>
    <x v="6"/>
    <n v="1"/>
    <n v="6613"/>
    <n v="13.09374"/>
    <n v="37.573863636363633"/>
    <s v="Mar"/>
    <x v="9"/>
    <m/>
    <m/>
  </r>
  <r>
    <n v="69690941"/>
    <x v="1"/>
    <n v="2591"/>
    <d v="2026-03-19T00:00:00"/>
    <s v="MG Mini Classic 6-6PK"/>
    <x v="23"/>
    <n v="1.98E-3"/>
    <n v="176"/>
    <x v="5"/>
    <x v="6"/>
    <n v="1"/>
    <n v="2591"/>
    <n v="5.1301800000000002"/>
    <n v="14.721590909090908"/>
    <s v="Mar"/>
    <x v="9"/>
    <m/>
    <m/>
  </r>
  <r>
    <n v="69717801"/>
    <x v="1"/>
    <n v="3479"/>
    <d v="2026-03-10T00:00:00"/>
    <s v="BR Carbsmart Fudge Bar 8-6PK"/>
    <x v="13"/>
    <n v="4.2560000000000002E-3"/>
    <n v="143"/>
    <x v="5"/>
    <x v="6"/>
    <n v="1"/>
    <n v="3479"/>
    <n v="14.806624000000001"/>
    <n v="24.32867132867133"/>
    <s v="Mar"/>
    <x v="12"/>
    <m/>
    <m/>
  </r>
  <r>
    <n v="69717801"/>
    <x v="1"/>
    <n v="4719"/>
    <d v="2026-03-11T00:00:00"/>
    <s v="BR Carbsmart Fudge Bar 8-6PK"/>
    <x v="13"/>
    <n v="4.2560000000000002E-3"/>
    <n v="143"/>
    <x v="5"/>
    <x v="6"/>
    <n v="1"/>
    <n v="4719"/>
    <n v="20.084064000000001"/>
    <n v="33"/>
    <s v="Mar"/>
    <x v="12"/>
    <m/>
    <m/>
  </r>
  <r>
    <n v="69717801"/>
    <x v="1"/>
    <n v="4432"/>
    <d v="2026-03-12T00:00:00"/>
    <s v="BR Carbsmart Fudge Bar 8-6PK"/>
    <x v="13"/>
    <n v="4.2560000000000002E-3"/>
    <n v="143"/>
    <x v="5"/>
    <x v="6"/>
    <n v="1"/>
    <n v="4432"/>
    <n v="18.862591999999999"/>
    <n v="30.993006993006993"/>
    <s v="Mar"/>
    <x v="12"/>
    <m/>
    <m/>
  </r>
  <r>
    <n v="69717801"/>
    <x v="1"/>
    <n v="4330"/>
    <d v="2026-03-13T00:00:00"/>
    <s v="BR Carbsmart Fudge Bar 8-6PK"/>
    <x v="13"/>
    <n v="4.2560000000000002E-3"/>
    <n v="143"/>
    <x v="5"/>
    <x v="6"/>
    <n v="1"/>
    <n v="4330"/>
    <n v="18.42848"/>
    <n v="30.27972027972028"/>
    <s v="Mar"/>
    <x v="12"/>
    <m/>
    <m/>
  </r>
  <r>
    <n v="69717801"/>
    <x v="1"/>
    <n v="-143"/>
    <d v="2026-03-19T00:00:00"/>
    <s v="BR Carbsmart Fudge Bar 8-6PK"/>
    <x v="13"/>
    <n v="4.2560000000000002E-3"/>
    <n v="143"/>
    <x v="5"/>
    <x v="6"/>
    <n v="1"/>
    <n v="-143"/>
    <n v="-0.60860800000000004"/>
    <n v="-1"/>
    <s v="Mar"/>
    <x v="9"/>
    <m/>
    <m/>
  </r>
  <r>
    <n v="69717801"/>
    <x v="1"/>
    <n v="3957"/>
    <d v="2026-03-11T00:00:00"/>
    <s v="BR Carbsmart Fudge Bar 8-6PK"/>
    <x v="13"/>
    <n v="4.2560000000000002E-3"/>
    <n v="143"/>
    <x v="5"/>
    <x v="6"/>
    <n v="1"/>
    <n v="3957"/>
    <n v="16.840992"/>
    <n v="27.67132867132867"/>
    <s v="Mar"/>
    <x v="12"/>
    <m/>
    <m/>
  </r>
  <r>
    <n v="69717801"/>
    <x v="1"/>
    <n v="4495"/>
    <d v="2026-03-12T00:00:00"/>
    <s v="BR Carbsmart Fudge Bar 8-6PK"/>
    <x v="13"/>
    <n v="4.2560000000000002E-3"/>
    <n v="143"/>
    <x v="5"/>
    <x v="6"/>
    <n v="1"/>
    <n v="4495"/>
    <n v="19.13072"/>
    <n v="31.433566433566433"/>
    <s v="Mar"/>
    <x v="12"/>
    <m/>
    <m/>
  </r>
  <r>
    <n v="69717801"/>
    <x v="1"/>
    <n v="2389"/>
    <d v="2026-03-13T00:00:00"/>
    <s v="BR Carbsmart Fudge Bar 8-6PK"/>
    <x v="13"/>
    <n v="4.2560000000000002E-3"/>
    <n v="143"/>
    <x v="5"/>
    <x v="6"/>
    <n v="1"/>
    <n v="2389"/>
    <n v="10.167584"/>
    <n v="16.706293706293707"/>
    <s v="Mar"/>
    <x v="12"/>
    <m/>
    <m/>
  </r>
  <r>
    <n v="69717801"/>
    <x v="1"/>
    <n v="4719"/>
    <d v="2026-03-14T00:00:00"/>
    <s v="BR Carbsmart Fudge Bar 8-6PK"/>
    <x v="13"/>
    <n v="4.2560000000000002E-3"/>
    <n v="143"/>
    <x v="5"/>
    <x v="6"/>
    <n v="1"/>
    <n v="4719"/>
    <n v="20.084064000000001"/>
    <n v="33"/>
    <s v="Mar"/>
    <x v="12"/>
    <m/>
    <m/>
  </r>
  <r>
    <n v="69717801"/>
    <x v="1"/>
    <n v="176"/>
    <d v="2026-03-16T00:00:00"/>
    <s v="BR Carbsmart Fudge Bar 8-6PK"/>
    <x v="13"/>
    <n v="4.2560000000000002E-3"/>
    <n v="143"/>
    <x v="5"/>
    <x v="6"/>
    <n v="1"/>
    <n v="176"/>
    <n v="0.74905600000000006"/>
    <n v="1.2307692307692308"/>
    <s v="Mar"/>
    <x v="9"/>
    <m/>
    <m/>
  </r>
  <r>
    <n v="69717801"/>
    <x v="1"/>
    <n v="12154"/>
    <d v="2026-03-16T00:00:00"/>
    <s v="BR Carbsmart Fudge Bar 8-6PK"/>
    <x v="13"/>
    <n v="4.2560000000000002E-3"/>
    <n v="143"/>
    <x v="5"/>
    <x v="6"/>
    <n v="1"/>
    <n v="12154"/>
    <n v="51.727424000000006"/>
    <n v="84.993006993006986"/>
    <s v="Mar"/>
    <x v="9"/>
    <m/>
    <m/>
  </r>
  <r>
    <n v="69717801"/>
    <x v="1"/>
    <n v="1688"/>
    <d v="2026-03-17T00:00:00"/>
    <s v="BR Carbsmart Fudge Bar 8-6PK"/>
    <x v="13"/>
    <n v="4.2560000000000002E-3"/>
    <n v="143"/>
    <x v="5"/>
    <x v="6"/>
    <n v="1"/>
    <n v="1688"/>
    <n v="7.1841280000000003"/>
    <n v="11.804195804195805"/>
    <s v="Mar"/>
    <x v="9"/>
    <m/>
    <m/>
  </r>
  <r>
    <n v="69717801"/>
    <x v="1"/>
    <n v="906"/>
    <d v="2026-03-18T00:00:00"/>
    <s v="BR Carbsmart Fudge Bar 8-6PK"/>
    <x v="13"/>
    <n v="4.2560000000000002E-3"/>
    <n v="143"/>
    <x v="5"/>
    <x v="6"/>
    <n v="1"/>
    <n v="906"/>
    <n v="3.8559360000000003"/>
    <n v="6.3356643356643358"/>
    <s v="Mar"/>
    <x v="9"/>
    <m/>
    <m/>
  </r>
  <r>
    <n v="69717801"/>
    <x v="1"/>
    <n v="9009"/>
    <d v="2026-03-17T00:00:00"/>
    <s v="BR Carbsmart Fudge Bar 8-6PK"/>
    <x v="13"/>
    <n v="4.2560000000000002E-3"/>
    <n v="143"/>
    <x v="5"/>
    <x v="6"/>
    <n v="1"/>
    <n v="9009"/>
    <n v="38.342303999999999"/>
    <n v="63"/>
    <s v="Mar"/>
    <x v="9"/>
    <m/>
    <m/>
  </r>
  <r>
    <n v="69717801"/>
    <x v="1"/>
    <n v="-143"/>
    <d v="2026-03-19T00:00:00"/>
    <s v="BR Carbsmart Fudge Bar 8-6PK"/>
    <x v="13"/>
    <n v="4.2560000000000002E-3"/>
    <n v="143"/>
    <x v="5"/>
    <x v="6"/>
    <n v="1"/>
    <n v="-143"/>
    <n v="-0.60860800000000004"/>
    <n v="-1"/>
    <s v="Mar"/>
    <x v="9"/>
    <m/>
    <m/>
  </r>
  <r>
    <n v="69717801"/>
    <x v="1"/>
    <n v="4949"/>
    <d v="2026-03-17T00:00:00"/>
    <s v="BR Carbsmart Fudge Bar 8-6PK"/>
    <x v="13"/>
    <n v="4.2560000000000002E-3"/>
    <n v="143"/>
    <x v="5"/>
    <x v="6"/>
    <n v="1"/>
    <n v="4949"/>
    <n v="21.062944000000002"/>
    <n v="34.608391608391607"/>
    <s v="Mar"/>
    <x v="9"/>
    <m/>
    <m/>
  </r>
  <r>
    <n v="69717801"/>
    <x v="1"/>
    <n v="3080"/>
    <d v="2026-03-18T00:00:00"/>
    <s v="BR Carbsmart Fudge Bar 8-6PK"/>
    <x v="13"/>
    <n v="4.2560000000000002E-3"/>
    <n v="143"/>
    <x v="5"/>
    <x v="6"/>
    <n v="1"/>
    <n v="3080"/>
    <n v="13.10848"/>
    <n v="21.53846153846154"/>
    <s v="Mar"/>
    <x v="9"/>
    <m/>
    <m/>
  </r>
  <r>
    <n v="69717801"/>
    <x v="1"/>
    <n v="224"/>
    <d v="2026-03-18T00:00:00"/>
    <s v="BR Carbsmart Fudge Bar 8-6PK"/>
    <x v="13"/>
    <n v="4.2560000000000002E-3"/>
    <n v="143"/>
    <x v="5"/>
    <x v="6"/>
    <n v="1"/>
    <n v="224"/>
    <n v="0.95334400000000008"/>
    <n v="1.5664335664335665"/>
    <s v="Mar"/>
    <x v="9"/>
    <m/>
    <m/>
  </r>
  <r>
    <n v="69717801"/>
    <x v="1"/>
    <n v="6864"/>
    <d v="2026-03-19T00:00:00"/>
    <s v="BR Carbsmart Fudge Bar 8-6PK"/>
    <x v="13"/>
    <n v="4.2560000000000002E-3"/>
    <n v="143"/>
    <x v="5"/>
    <x v="6"/>
    <n v="1"/>
    <n v="6864"/>
    <n v="29.213184000000002"/>
    <n v="48"/>
    <s v="Mar"/>
    <x v="9"/>
    <m/>
    <m/>
  </r>
  <r>
    <n v="69717801"/>
    <x v="1"/>
    <n v="3316"/>
    <d v="2026-03-19T00:00:00"/>
    <s v="BR Carbsmart Fudge Bar 8-6PK"/>
    <x v="13"/>
    <n v="4.2560000000000002E-3"/>
    <n v="143"/>
    <x v="5"/>
    <x v="6"/>
    <n v="1"/>
    <n v="3316"/>
    <n v="14.112896000000001"/>
    <n v="23.18881118881119"/>
    <s v="Mar"/>
    <x v="9"/>
    <m/>
    <m/>
  </r>
  <r>
    <n v="69717801"/>
    <x v="1"/>
    <n v="4719"/>
    <d v="2026-03-20T00:00:00"/>
    <s v="BR Carbsmart Fudge Bar 8-6PK"/>
    <x v="13"/>
    <n v="4.2560000000000002E-3"/>
    <n v="143"/>
    <x v="5"/>
    <x v="6"/>
    <n v="1"/>
    <n v="4719"/>
    <n v="20.084064000000001"/>
    <n v="33"/>
    <s v="Mar"/>
    <x v="9"/>
    <m/>
    <m/>
  </r>
  <r>
    <n v="69717801"/>
    <x v="1"/>
    <n v="5134"/>
    <d v="2026-03-20T00:00:00"/>
    <s v="BR Carbsmart Fudge Bar 8-6PK"/>
    <x v="13"/>
    <n v="4.2560000000000002E-3"/>
    <n v="143"/>
    <x v="5"/>
    <x v="6"/>
    <n v="1"/>
    <n v="5134"/>
    <n v="21.850304000000001"/>
    <n v="35.9020979020979"/>
    <s v="Mar"/>
    <x v="9"/>
    <m/>
    <m/>
  </r>
  <r>
    <n v="69717801"/>
    <x v="1"/>
    <n v="4901"/>
    <d v="2026-03-21T00:00:00"/>
    <s v="BR Carbsmart Fudge Bar 8-6PK"/>
    <x v="13"/>
    <n v="4.2560000000000002E-3"/>
    <n v="143"/>
    <x v="5"/>
    <x v="6"/>
    <n v="1"/>
    <n v="4901"/>
    <n v="20.858656"/>
    <n v="34.272727272727273"/>
    <s v="Mar"/>
    <x v="9"/>
    <m/>
    <m/>
  </r>
  <r>
    <n v="69717801"/>
    <x v="1"/>
    <n v="4547"/>
    <d v="2026-03-21T00:00:00"/>
    <s v="BR Carbsmart Fudge Bar 8-6PK"/>
    <x v="13"/>
    <n v="4.2560000000000002E-3"/>
    <n v="143"/>
    <x v="5"/>
    <x v="6"/>
    <n v="1"/>
    <n v="4547"/>
    <n v="19.352032000000001"/>
    <n v="31.797202797202797"/>
    <s v="Mar"/>
    <x v="9"/>
    <m/>
    <m/>
  </r>
  <r>
    <n v="69717801"/>
    <x v="1"/>
    <n v="4147"/>
    <d v="2026-03-22T00:00:00"/>
    <s v="BR Carbsmart Fudge Bar 8-6PK"/>
    <x v="13"/>
    <n v="4.2560000000000002E-3"/>
    <n v="143"/>
    <x v="5"/>
    <x v="6"/>
    <n v="1"/>
    <n v="4147"/>
    <n v="17.649632"/>
    <n v="29"/>
    <s v="Mar"/>
    <x v="10"/>
    <m/>
    <m/>
  </r>
  <r>
    <n v="69717801"/>
    <x v="1"/>
    <n v="230"/>
    <d v="2026-03-22T00:00:00"/>
    <s v="BR Carbsmart Fudge Bar 8-6PK"/>
    <x v="13"/>
    <n v="4.2560000000000002E-3"/>
    <n v="143"/>
    <x v="5"/>
    <x v="6"/>
    <n v="1"/>
    <n v="230"/>
    <n v="0.97888000000000008"/>
    <n v="1.6083916083916083"/>
    <s v="Mar"/>
    <x v="10"/>
    <m/>
    <m/>
  </r>
  <r>
    <n v="69717802"/>
    <x v="1"/>
    <n v="4940"/>
    <d v="2026-02-23T00:00:00"/>
    <s v="BR Carbsmart IC Bars 8-6PK"/>
    <x v="13"/>
    <n v="4.2560000000000002E-3"/>
    <n v="143"/>
    <x v="5"/>
    <x v="6"/>
    <n v="1"/>
    <n v="4940"/>
    <n v="21.024640000000002"/>
    <n v="34.545454545454547"/>
    <s v="Feb"/>
    <x v="6"/>
    <m/>
    <m/>
  </r>
  <r>
    <n v="69717802"/>
    <x v="1"/>
    <n v="4862"/>
    <d v="2026-03-23T00:00:00"/>
    <s v="BR Carbsmart IC Bars 8-6PK"/>
    <x v="13"/>
    <n v="4.2560000000000002E-3"/>
    <n v="143"/>
    <x v="5"/>
    <x v="6"/>
    <n v="1"/>
    <n v="4862"/>
    <n v="20.692672000000002"/>
    <n v="34"/>
    <s v="Mar"/>
    <x v="10"/>
    <m/>
    <m/>
  </r>
  <r>
    <n v="69717802"/>
    <x v="1"/>
    <n v="3289"/>
    <d v="2026-03-24T00:00:00"/>
    <s v="BR Carbsmart IC Bars 8-6PK"/>
    <x v="13"/>
    <n v="4.2560000000000002E-3"/>
    <n v="143"/>
    <x v="5"/>
    <x v="6"/>
    <n v="1"/>
    <n v="3289"/>
    <n v="13.997984000000001"/>
    <n v="23"/>
    <s v="Mar"/>
    <x v="10"/>
    <m/>
    <m/>
  </r>
  <r>
    <n v="69717802"/>
    <x v="1"/>
    <n v="3270"/>
    <d v="2026-03-24T00:00:00"/>
    <s v="BR Carbsmart IC Bars 8-6PK"/>
    <x v="13"/>
    <n v="4.2560000000000002E-3"/>
    <n v="143"/>
    <x v="5"/>
    <x v="6"/>
    <n v="1"/>
    <n v="3270"/>
    <n v="13.917120000000001"/>
    <n v="22.867132867132867"/>
    <s v="Mar"/>
    <x v="10"/>
    <m/>
    <m/>
  </r>
  <r>
    <n v="69717802"/>
    <x v="1"/>
    <n v="1827"/>
    <d v="2026-02-23T00:00:00"/>
    <s v="BR Carbsmart IC Bars 8-6PK"/>
    <x v="13"/>
    <n v="4.2560000000000002E-3"/>
    <n v="143"/>
    <x v="5"/>
    <x v="6"/>
    <n v="1"/>
    <n v="1827"/>
    <n v="7.7757120000000004"/>
    <n v="12.776223776223777"/>
    <s v="Feb"/>
    <x v="6"/>
    <m/>
    <m/>
  </r>
  <r>
    <n v="69717802"/>
    <x v="1"/>
    <n v="2678"/>
    <d v="2026-03-23T00:00:00"/>
    <s v="BR Carbsmart IC Bars 8-6PK"/>
    <x v="13"/>
    <n v="4.2560000000000002E-3"/>
    <n v="143"/>
    <x v="5"/>
    <x v="6"/>
    <n v="1"/>
    <n v="2678"/>
    <n v="11.397568000000001"/>
    <n v="18.727272727272727"/>
    <s v="Mar"/>
    <x v="10"/>
    <m/>
    <m/>
  </r>
  <r>
    <n v="69717803"/>
    <x v="1"/>
    <n v="4147"/>
    <d v="2026-03-03T00:00:00"/>
    <s v="BR Carbsmart Almond Bar 8-6PK"/>
    <x v="13"/>
    <n v="4.2560000000000002E-3"/>
    <n v="143"/>
    <x v="5"/>
    <x v="6"/>
    <n v="1"/>
    <n v="4147"/>
    <n v="17.649632"/>
    <n v="29"/>
    <s v="Mar"/>
    <x v="11"/>
    <m/>
    <m/>
  </r>
  <r>
    <n v="69717803"/>
    <x v="1"/>
    <n v="4095"/>
    <d v="2026-03-04T00:00:00"/>
    <s v="BR Carbsmart Almond Bar 8-6PK"/>
    <x v="13"/>
    <n v="4.2560000000000002E-3"/>
    <n v="143"/>
    <x v="5"/>
    <x v="6"/>
    <n v="1"/>
    <n v="4095"/>
    <n v="17.428319999999999"/>
    <n v="28.636363636363637"/>
    <s v="Mar"/>
    <x v="11"/>
    <m/>
    <m/>
  </r>
  <r>
    <n v="69717803"/>
    <x v="1"/>
    <n v="1349"/>
    <d v="2026-03-02T00:00:00"/>
    <s v="BR Carbsmart Almond Bar 8-6PK"/>
    <x v="13"/>
    <n v="4.2560000000000002E-3"/>
    <n v="143"/>
    <x v="5"/>
    <x v="6"/>
    <n v="1"/>
    <n v="1349"/>
    <n v="5.7413440000000007"/>
    <n v="9.4335664335664333"/>
    <s v="Mar"/>
    <x v="11"/>
    <m/>
    <m/>
  </r>
  <r>
    <n v="69717803"/>
    <x v="1"/>
    <n v="1833"/>
    <d v="2026-03-03T00:00:00"/>
    <s v="BR Carbsmart Almond Bar 8-6PK"/>
    <x v="13"/>
    <n v="4.2560000000000002E-3"/>
    <n v="143"/>
    <x v="5"/>
    <x v="6"/>
    <n v="1"/>
    <n v="1833"/>
    <n v="7.8012480000000002"/>
    <n v="12.818181818181818"/>
    <s v="Mar"/>
    <x v="11"/>
    <m/>
    <m/>
  </r>
  <r>
    <n v="69717803"/>
    <x v="1"/>
    <n v="2352"/>
    <d v="2026-03-04T00:00:00"/>
    <s v="BR Carbsmart Almond Bar 8-6PK"/>
    <x v="13"/>
    <n v="4.2560000000000002E-3"/>
    <n v="143"/>
    <x v="5"/>
    <x v="6"/>
    <n v="1"/>
    <n v="2352"/>
    <n v="10.010112000000001"/>
    <n v="16.447552447552447"/>
    <s v="Mar"/>
    <x v="11"/>
    <m/>
    <m/>
  </r>
  <r>
    <n v="69717803"/>
    <x v="1"/>
    <n v="2215"/>
    <d v="2026-03-05T00:00:00"/>
    <s v="BR Carbsmart Almond Bar 8-6PK"/>
    <x v="13"/>
    <n v="4.2560000000000002E-3"/>
    <n v="143"/>
    <x v="5"/>
    <x v="6"/>
    <n v="1"/>
    <n v="2215"/>
    <n v="9.4270399999999999"/>
    <n v="15.48951048951049"/>
    <s v="Mar"/>
    <x v="11"/>
    <m/>
    <m/>
  </r>
  <r>
    <n v="69717803"/>
    <x v="1"/>
    <n v="2593"/>
    <d v="2026-03-06T00:00:00"/>
    <s v="BR Carbsmart Almond Bar 8-6PK"/>
    <x v="13"/>
    <n v="4.2560000000000002E-3"/>
    <n v="143"/>
    <x v="5"/>
    <x v="6"/>
    <n v="1"/>
    <n v="2593"/>
    <n v="11.035808000000001"/>
    <n v="18.132867132867133"/>
    <s v="Mar"/>
    <x v="11"/>
    <m/>
    <m/>
  </r>
  <r>
    <n v="69717803"/>
    <x v="1"/>
    <n v="2145"/>
    <d v="2026-03-06T00:00:00"/>
    <s v="BR Carbsmart Almond Bar 8-6PK"/>
    <x v="13"/>
    <n v="4.2560000000000002E-3"/>
    <n v="143"/>
    <x v="5"/>
    <x v="6"/>
    <n v="1"/>
    <n v="2145"/>
    <n v="9.1291200000000003"/>
    <n v="15"/>
    <s v="Mar"/>
    <x v="11"/>
    <m/>
    <m/>
  </r>
  <r>
    <n v="69717803"/>
    <x v="1"/>
    <n v="2717"/>
    <d v="2026-03-07T00:00:00"/>
    <s v="BR Carbsmart Almond Bar 8-6PK"/>
    <x v="13"/>
    <n v="4.2560000000000002E-3"/>
    <n v="143"/>
    <x v="5"/>
    <x v="6"/>
    <n v="1"/>
    <n v="2717"/>
    <n v="11.563552000000001"/>
    <n v="19"/>
    <s v="Mar"/>
    <x v="11"/>
    <m/>
    <m/>
  </r>
  <r>
    <n v="69717803"/>
    <x v="1"/>
    <n v="143"/>
    <d v="2026-03-09T00:00:00"/>
    <s v="BR Carbsmart Almond Bar 8-6PK"/>
    <x v="13"/>
    <n v="4.2560000000000002E-3"/>
    <n v="143"/>
    <x v="5"/>
    <x v="6"/>
    <n v="1"/>
    <n v="143"/>
    <n v="0.60860800000000004"/>
    <n v="1"/>
    <s v="Mar"/>
    <x v="12"/>
    <m/>
    <m/>
  </r>
  <r>
    <n v="69717803"/>
    <x v="1"/>
    <n v="1682"/>
    <d v="2026-03-07T00:00:00"/>
    <s v="BR Carbsmart Almond Bar 8-6PK"/>
    <x v="13"/>
    <n v="4.2560000000000002E-3"/>
    <n v="143"/>
    <x v="5"/>
    <x v="6"/>
    <n v="1"/>
    <n v="1682"/>
    <n v="7.1585920000000005"/>
    <n v="11.762237762237762"/>
    <s v="Mar"/>
    <x v="11"/>
    <m/>
    <m/>
  </r>
  <r>
    <n v="69717803"/>
    <x v="1"/>
    <n v="1326"/>
    <d v="2026-03-08T00:00:00"/>
    <s v="BR Carbsmart Almond Bar 8-6PK"/>
    <x v="13"/>
    <n v="4.2560000000000002E-3"/>
    <n v="143"/>
    <x v="5"/>
    <x v="6"/>
    <n v="1"/>
    <n v="1326"/>
    <n v="5.6434560000000005"/>
    <n v="9.2727272727272734"/>
    <s v="Mar"/>
    <x v="12"/>
    <m/>
    <m/>
  </r>
  <r>
    <n v="69717803"/>
    <x v="1"/>
    <n v="76"/>
    <d v="2026-03-09T00:00:00"/>
    <s v="BR Carbsmart Almond Bar 8-6PK"/>
    <x v="13"/>
    <n v="4.2560000000000002E-3"/>
    <n v="143"/>
    <x v="5"/>
    <x v="6"/>
    <n v="1"/>
    <n v="76"/>
    <n v="0.32345600000000002"/>
    <n v="0.53146853146853146"/>
    <s v="Mar"/>
    <x v="12"/>
    <m/>
    <m/>
  </r>
  <r>
    <n v="69717803"/>
    <x v="1"/>
    <n v="3316"/>
    <d v="2026-03-08T00:00:00"/>
    <s v="BR Carbsmart Almond Bar 8-6PK"/>
    <x v="13"/>
    <n v="4.2560000000000002E-3"/>
    <n v="143"/>
    <x v="5"/>
    <x v="6"/>
    <n v="1"/>
    <n v="3316"/>
    <n v="14.112896000000001"/>
    <n v="23.18881118881119"/>
    <s v="Mar"/>
    <x v="12"/>
    <m/>
    <m/>
  </r>
  <r>
    <n v="69717803"/>
    <x v="1"/>
    <n v="2953"/>
    <d v="2026-03-09T00:00:00"/>
    <s v="BR Carbsmart Almond Bar 8-6PK"/>
    <x v="13"/>
    <n v="4.2560000000000002E-3"/>
    <n v="143"/>
    <x v="5"/>
    <x v="6"/>
    <n v="1"/>
    <n v="2953"/>
    <n v="12.567968"/>
    <n v="20.65034965034965"/>
    <s v="Mar"/>
    <x v="12"/>
    <m/>
    <m/>
  </r>
  <r>
    <n v="69717803"/>
    <x v="1"/>
    <n v="99"/>
    <d v="2026-03-02T00:00:00"/>
    <s v="BR Carbsmart Almond Bar 8-6PK"/>
    <x v="13"/>
    <n v="4.2560000000000002E-3"/>
    <n v="143"/>
    <x v="5"/>
    <x v="6"/>
    <n v="1"/>
    <n v="99"/>
    <n v="0.421344"/>
    <n v="0.69230769230769229"/>
    <s v="Mar"/>
    <x v="11"/>
    <m/>
    <m/>
  </r>
  <r>
    <n v="69717803"/>
    <x v="1"/>
    <n v="2135"/>
    <d v="2026-03-09T00:00:00"/>
    <s v="BR Carbsmart Almond Bar 8-6PK"/>
    <x v="13"/>
    <n v="4.2560000000000002E-3"/>
    <n v="143"/>
    <x v="5"/>
    <x v="6"/>
    <n v="1"/>
    <n v="2135"/>
    <n v="9.0865600000000004"/>
    <n v="14.93006993006993"/>
    <s v="Mar"/>
    <x v="12"/>
    <m/>
    <m/>
  </r>
  <r>
    <n v="69983234"/>
    <x v="1"/>
    <n v="1330"/>
    <d v="2026-02-23T00:00:00"/>
    <s v="GH Creamsicle Bar 100 CAL 8-6PK"/>
    <x v="19"/>
    <n v="3.9039999999999999E-3"/>
    <n v="154"/>
    <x v="7"/>
    <x v="10"/>
    <n v="1"/>
    <n v="1330"/>
    <n v="5.1923199999999996"/>
    <n v="8.6363636363636367"/>
    <s v="Feb"/>
    <x v="6"/>
    <m/>
    <m/>
  </r>
  <r>
    <n v="69983234"/>
    <x v="1"/>
    <n v="2618"/>
    <d v="2026-02-24T00:00:00"/>
    <s v="GH Creamsicle Bar 100 CAL 8-6PK"/>
    <x v="19"/>
    <n v="3.9039999999999999E-3"/>
    <n v="154"/>
    <x v="7"/>
    <x v="10"/>
    <n v="1"/>
    <n v="2618"/>
    <n v="10.220672"/>
    <n v="17"/>
    <s v="Feb"/>
    <x v="6"/>
    <m/>
    <m/>
  </r>
  <r>
    <n v="69983234"/>
    <x v="1"/>
    <n v="2742"/>
    <d v="2026-02-24T00:00:00"/>
    <s v="GH Creamsicle Bar 100 CAL 8-6PK"/>
    <x v="19"/>
    <n v="3.9039999999999999E-3"/>
    <n v="154"/>
    <x v="7"/>
    <x v="10"/>
    <n v="1"/>
    <n v="2742"/>
    <n v="10.704768"/>
    <n v="17.805194805194805"/>
    <s v="Feb"/>
    <x v="6"/>
    <m/>
    <m/>
  </r>
  <r>
    <n v="69983234"/>
    <x v="1"/>
    <n v="2156"/>
    <d v="2026-02-25T00:00:00"/>
    <s v="GH Creamsicle Bar 100 CAL 8-6PK"/>
    <x v="19"/>
    <n v="3.9039999999999999E-3"/>
    <n v="154"/>
    <x v="7"/>
    <x v="10"/>
    <n v="1"/>
    <n v="2156"/>
    <n v="8.4170239999999996"/>
    <n v="14"/>
    <s v="Feb"/>
    <x v="6"/>
    <m/>
    <m/>
  </r>
  <r>
    <n v="69983234"/>
    <x v="1"/>
    <n v="3388"/>
    <d v="2026-02-25T00:00:00"/>
    <s v="GH Creamsicle Bar 100 CAL 8-6PK"/>
    <x v="19"/>
    <n v="3.9039999999999999E-3"/>
    <n v="154"/>
    <x v="7"/>
    <x v="10"/>
    <n v="1"/>
    <n v="3388"/>
    <n v="13.226751999999999"/>
    <n v="22"/>
    <s v="Feb"/>
    <x v="6"/>
    <m/>
    <m/>
  </r>
  <r>
    <n v="69983234"/>
    <x v="1"/>
    <n v="2427"/>
    <d v="2026-02-26T00:00:00"/>
    <s v="GH Creamsicle Bar 100 CAL 8-6PK"/>
    <x v="19"/>
    <n v="3.9039999999999999E-3"/>
    <n v="154"/>
    <x v="7"/>
    <x v="10"/>
    <n v="1"/>
    <n v="2427"/>
    <n v="9.475007999999999"/>
    <n v="15.75974025974026"/>
    <s v="Feb"/>
    <x v="6"/>
    <m/>
    <m/>
  </r>
  <r>
    <n v="69983234"/>
    <x v="1"/>
    <n v="2552"/>
    <d v="2026-02-26T00:00:00"/>
    <s v="GH Creamsicle Bar 100 CAL 8-6PK"/>
    <x v="19"/>
    <n v="3.9039999999999999E-3"/>
    <n v="154"/>
    <x v="7"/>
    <x v="10"/>
    <n v="1"/>
    <n v="2552"/>
    <n v="9.9630080000000003"/>
    <n v="16.571428571428573"/>
    <s v="Feb"/>
    <x v="6"/>
    <m/>
    <m/>
  </r>
  <r>
    <n v="69983234"/>
    <x v="1"/>
    <n v="2475"/>
    <d v="2026-02-27T00:00:00"/>
    <s v="GH Creamsicle Bar 100 CAL 8-6PK"/>
    <x v="19"/>
    <n v="3.9039999999999999E-3"/>
    <n v="154"/>
    <x v="7"/>
    <x v="10"/>
    <n v="1"/>
    <n v="2475"/>
    <n v="9.6623999999999999"/>
    <n v="16.071428571428573"/>
    <s v="Feb"/>
    <x v="6"/>
    <m/>
    <m/>
  </r>
  <r>
    <n v="69983234"/>
    <x v="1"/>
    <n v="1848"/>
    <d v="2026-02-27T00:00:00"/>
    <s v="GH Creamsicle Bar 100 CAL 8-6PK"/>
    <x v="19"/>
    <n v="3.9039999999999999E-3"/>
    <n v="154"/>
    <x v="7"/>
    <x v="10"/>
    <n v="1"/>
    <n v="1848"/>
    <n v="7.2145919999999997"/>
    <n v="12"/>
    <s v="Feb"/>
    <x v="6"/>
    <m/>
    <m/>
  </r>
  <r>
    <n v="69983234"/>
    <x v="1"/>
    <n v="754"/>
    <d v="2026-02-28T00:00:00"/>
    <s v="GH Creamsicle Bar 100 CAL 8-6PK"/>
    <x v="19"/>
    <n v="3.9039999999999999E-3"/>
    <n v="154"/>
    <x v="7"/>
    <x v="10"/>
    <n v="1"/>
    <n v="754"/>
    <n v="2.943616"/>
    <n v="4.8961038961038961"/>
    <s v="Feb"/>
    <x v="6"/>
    <m/>
    <m/>
  </r>
  <r>
    <n v="69983234"/>
    <x v="1"/>
    <n v="1104"/>
    <d v="2026-03-02T00:00:00"/>
    <s v="GH Creamsicle Bar 100 CAL 8-6PK"/>
    <x v="19"/>
    <n v="3.9039999999999999E-3"/>
    <n v="154"/>
    <x v="7"/>
    <x v="10"/>
    <n v="1"/>
    <n v="1104"/>
    <n v="4.3100160000000001"/>
    <n v="7.1688311688311686"/>
    <s v="Mar"/>
    <x v="11"/>
    <m/>
    <m/>
  </r>
  <r>
    <n v="69983234"/>
    <x v="1"/>
    <n v="1484"/>
    <d v="2026-03-03T00:00:00"/>
    <s v="GH Creamsicle Bar 100 CAL 8-6PK"/>
    <x v="19"/>
    <n v="3.9039999999999999E-3"/>
    <n v="154"/>
    <x v="7"/>
    <x v="10"/>
    <n v="1"/>
    <n v="1484"/>
    <n v="5.7935359999999996"/>
    <n v="9.6363636363636367"/>
    <s v="Mar"/>
    <x v="11"/>
    <m/>
    <m/>
  </r>
  <r>
    <n v="69983234"/>
    <x v="1"/>
    <n v="2067"/>
    <d v="2026-03-03T00:00:00"/>
    <s v="GH Creamsicle Bar 100 CAL 8-6PK"/>
    <x v="19"/>
    <n v="3.9039999999999999E-3"/>
    <n v="154"/>
    <x v="7"/>
    <x v="10"/>
    <n v="1"/>
    <n v="2067"/>
    <n v="8.0695680000000003"/>
    <n v="13.422077922077921"/>
    <s v="Mar"/>
    <x v="11"/>
    <m/>
    <m/>
  </r>
  <r>
    <n v="69983234"/>
    <x v="1"/>
    <n v="1670"/>
    <d v="2026-03-04T00:00:00"/>
    <s v="GH Creamsicle Bar 100 CAL 8-6PK"/>
    <x v="19"/>
    <n v="3.9039999999999999E-3"/>
    <n v="154"/>
    <x v="7"/>
    <x v="10"/>
    <n v="1"/>
    <n v="1670"/>
    <n v="6.5196800000000001"/>
    <n v="10.844155844155845"/>
    <s v="Mar"/>
    <x v="11"/>
    <m/>
    <m/>
  </r>
  <r>
    <n v="69983234"/>
    <x v="1"/>
    <n v="1261"/>
    <d v="2026-03-04T00:00:00"/>
    <s v="GH Creamsicle Bar 100 CAL 8-6PK"/>
    <x v="19"/>
    <n v="3.9039999999999999E-3"/>
    <n v="154"/>
    <x v="7"/>
    <x v="10"/>
    <n v="1"/>
    <n v="1261"/>
    <n v="4.9229440000000002"/>
    <n v="8.1883116883116891"/>
    <s v="Mar"/>
    <x v="11"/>
    <m/>
    <m/>
  </r>
  <r>
    <n v="69983234"/>
    <x v="1"/>
    <n v="2691"/>
    <d v="2026-03-05T00:00:00"/>
    <s v="GH Creamsicle Bar 100 CAL 8-6PK"/>
    <x v="19"/>
    <n v="3.9039999999999999E-3"/>
    <n v="154"/>
    <x v="7"/>
    <x v="10"/>
    <n v="1"/>
    <n v="2691"/>
    <n v="10.505663999999999"/>
    <n v="17.474025974025974"/>
    <s v="Mar"/>
    <x v="11"/>
    <m/>
    <m/>
  </r>
  <r>
    <n v="69983234"/>
    <x v="1"/>
    <n v="2398"/>
    <d v="2026-03-05T00:00:00"/>
    <s v="GH Creamsicle Bar 100 CAL 8-6PK"/>
    <x v="19"/>
    <n v="3.9039999999999999E-3"/>
    <n v="154"/>
    <x v="7"/>
    <x v="10"/>
    <n v="1"/>
    <n v="2398"/>
    <n v="9.3617919999999994"/>
    <n v="15.571428571428571"/>
    <s v="Mar"/>
    <x v="11"/>
    <m/>
    <m/>
  </r>
  <r>
    <n v="69983234"/>
    <x v="1"/>
    <n v="2233"/>
    <d v="2026-03-06T00:00:00"/>
    <s v="GH Creamsicle Bar 100 CAL 8-6PK"/>
    <x v="19"/>
    <n v="3.9039999999999999E-3"/>
    <n v="154"/>
    <x v="7"/>
    <x v="10"/>
    <n v="1"/>
    <n v="2233"/>
    <n v="8.717632"/>
    <n v="14.5"/>
    <s v="Mar"/>
    <x v="11"/>
    <m/>
    <m/>
  </r>
  <r>
    <n v="69983234"/>
    <x v="1"/>
    <n v="2310"/>
    <d v="2026-03-06T00:00:00"/>
    <s v="GH Creamsicle Bar 100 CAL 8-6PK"/>
    <x v="19"/>
    <n v="3.9039999999999999E-3"/>
    <n v="154"/>
    <x v="7"/>
    <x v="10"/>
    <n v="1"/>
    <n v="2310"/>
    <n v="9.0182400000000005"/>
    <n v="15"/>
    <s v="Mar"/>
    <x v="11"/>
    <m/>
    <m/>
  </r>
  <r>
    <n v="69983234"/>
    <x v="1"/>
    <n v="1440"/>
    <d v="2026-03-07T00:00:00"/>
    <s v="GH Creamsicle Bar 100 CAL 8-6PK"/>
    <x v="19"/>
    <n v="3.9039999999999999E-3"/>
    <n v="154"/>
    <x v="7"/>
    <x v="10"/>
    <n v="1"/>
    <n v="1440"/>
    <n v="5.6217600000000001"/>
    <n v="9.3506493506493502"/>
    <s v="Mar"/>
    <x v="11"/>
    <m/>
    <m/>
  </r>
  <r>
    <n v="69983234"/>
    <x v="1"/>
    <n v="2135"/>
    <d v="2026-03-09T00:00:00"/>
    <s v="GH Creamsicle Bar 100 CAL 8-6PK"/>
    <x v="19"/>
    <n v="3.9039999999999999E-3"/>
    <n v="154"/>
    <x v="7"/>
    <x v="10"/>
    <n v="1"/>
    <n v="2135"/>
    <n v="8.3350399999999993"/>
    <n v="13.863636363636363"/>
    <s v="Mar"/>
    <x v="12"/>
    <m/>
    <m/>
  </r>
  <r>
    <n v="69983234"/>
    <x v="1"/>
    <n v="2682"/>
    <d v="2026-03-10T00:00:00"/>
    <s v="GH Creamsicle Bar 100 CAL 8-6PK"/>
    <x v="19"/>
    <n v="3.9039999999999999E-3"/>
    <n v="154"/>
    <x v="7"/>
    <x v="10"/>
    <n v="1"/>
    <n v="2682"/>
    <n v="10.470528"/>
    <n v="17.415584415584416"/>
    <s v="Mar"/>
    <x v="12"/>
    <m/>
    <m/>
  </r>
  <r>
    <n v="69983234"/>
    <x v="1"/>
    <n v="2129"/>
    <d v="2026-03-10T00:00:00"/>
    <s v="GH Creamsicle Bar 100 CAL 8-6PK"/>
    <x v="19"/>
    <n v="3.9039999999999999E-3"/>
    <n v="154"/>
    <x v="7"/>
    <x v="10"/>
    <n v="1"/>
    <n v="2129"/>
    <n v="8.311615999999999"/>
    <n v="13.824675324675324"/>
    <s v="Mar"/>
    <x v="12"/>
    <m/>
    <m/>
  </r>
  <r>
    <n v="69983234"/>
    <x v="1"/>
    <n v="2310"/>
    <d v="2026-03-11T00:00:00"/>
    <s v="GH Creamsicle Bar 100 CAL 8-6PK"/>
    <x v="19"/>
    <n v="3.9039999999999999E-3"/>
    <n v="154"/>
    <x v="7"/>
    <x v="10"/>
    <n v="1"/>
    <n v="2310"/>
    <n v="9.0182400000000005"/>
    <n v="15"/>
    <s v="Mar"/>
    <x v="12"/>
    <m/>
    <m/>
  </r>
  <r>
    <n v="69983234"/>
    <x v="1"/>
    <n v="2464"/>
    <d v="2026-03-11T00:00:00"/>
    <s v="GH Creamsicle Bar 100 CAL 8-6PK"/>
    <x v="19"/>
    <n v="3.9039999999999999E-3"/>
    <n v="154"/>
    <x v="7"/>
    <x v="10"/>
    <n v="1"/>
    <n v="2464"/>
    <n v="9.6194559999999996"/>
    <n v="16"/>
    <s v="Mar"/>
    <x v="12"/>
    <m/>
    <m/>
  </r>
  <r>
    <n v="69983234"/>
    <x v="1"/>
    <n v="1592"/>
    <d v="2026-03-12T00:00:00"/>
    <s v="GH Creamsicle Bar 100 CAL 8-6PK"/>
    <x v="19"/>
    <n v="3.9039999999999999E-3"/>
    <n v="154"/>
    <x v="7"/>
    <x v="10"/>
    <n v="1"/>
    <n v="1592"/>
    <n v="6.2151680000000002"/>
    <n v="10.337662337662337"/>
    <s v="Mar"/>
    <x v="12"/>
    <m/>
    <m/>
  </r>
  <r>
    <n v="69999266"/>
    <x v="1"/>
    <n v="4249"/>
    <d v="2026-03-24T00:00:00"/>
    <s v="BJ US -IC-LightsCaramelAction-8 1PT"/>
    <x v="22"/>
    <n v="3.7839999999999996E-3"/>
    <n v="240"/>
    <x v="3"/>
    <x v="12"/>
    <n v="1"/>
    <n v="4249"/>
    <n v="16.078215999999998"/>
    <n v="17.704166666666666"/>
    <s v="Mar"/>
    <x v="10"/>
    <m/>
    <m/>
  </r>
  <r>
    <n v="69999266"/>
    <x v="1"/>
    <n v="5605"/>
    <d v="2026-03-24T00:00:00"/>
    <s v="BJ US -IC-LightsCaramelAction-8 1PT"/>
    <x v="22"/>
    <n v="3.7839999999999996E-3"/>
    <n v="240"/>
    <x v="3"/>
    <x v="12"/>
    <n v="1"/>
    <n v="5605"/>
    <n v="21.209319999999998"/>
    <n v="23.354166666666668"/>
    <s v="Mar"/>
    <x v="10"/>
    <m/>
    <m/>
  </r>
  <r>
    <n v="69999267"/>
    <x v="1"/>
    <n v="195"/>
    <d v="2026-02-23T00:00:00"/>
    <s v="BJ US-IC-GimmeSmore-8 1PT"/>
    <x v="22"/>
    <n v="3.7839999999999996E-3"/>
    <n v="240"/>
    <x v="3"/>
    <x v="12"/>
    <n v="1"/>
    <n v="195"/>
    <n v="0.73787999999999987"/>
    <n v="0.8125"/>
    <s v="Feb"/>
    <x v="6"/>
    <m/>
    <m/>
  </r>
  <r>
    <n v="69999267"/>
    <x v="1"/>
    <n v="2939"/>
    <d v="2026-03-16T00:00:00"/>
    <s v="BJ US-IC-GimmeSmore-8 1PT"/>
    <x v="22"/>
    <n v="3.7839999999999996E-3"/>
    <n v="240"/>
    <x v="3"/>
    <x v="12"/>
    <n v="1"/>
    <n v="2939"/>
    <n v="11.121175999999998"/>
    <n v="12.245833333333334"/>
    <s v="Mar"/>
    <x v="9"/>
    <m/>
    <m/>
  </r>
  <r>
    <n v="69999267"/>
    <x v="1"/>
    <n v="6511"/>
    <d v="2026-03-17T00:00:00"/>
    <s v="BJ US-IC-GimmeSmore-8 1PT"/>
    <x v="22"/>
    <n v="3.7839999999999996E-3"/>
    <n v="240"/>
    <x v="3"/>
    <x v="12"/>
    <n v="1"/>
    <n v="6511"/>
    <n v="24.637623999999999"/>
    <n v="27.129166666666666"/>
    <s v="Mar"/>
    <x v="9"/>
    <m/>
    <m/>
  </r>
  <r>
    <n v="69999267"/>
    <x v="1"/>
    <n v="9519"/>
    <d v="2026-03-17T00:00:00"/>
    <s v="BJ US-IC-GimmeSmore-8 1PT"/>
    <x v="22"/>
    <n v="3.7839999999999996E-3"/>
    <n v="240"/>
    <x v="3"/>
    <x v="12"/>
    <n v="1"/>
    <n v="9519"/>
    <n v="36.019895999999996"/>
    <n v="39.662500000000001"/>
    <s v="Mar"/>
    <x v="9"/>
    <m/>
    <m/>
  </r>
  <r>
    <n v="69999267"/>
    <x v="1"/>
    <n v="9794"/>
    <d v="2026-03-18T00:00:00"/>
    <s v="BJ US-IC-GimmeSmore-8 1PT"/>
    <x v="22"/>
    <n v="3.7839999999999996E-3"/>
    <n v="240"/>
    <x v="3"/>
    <x v="12"/>
    <n v="1"/>
    <n v="9794"/>
    <n v="37.060495999999993"/>
    <n v="40.80833333333333"/>
    <s v="Mar"/>
    <x v="9"/>
    <m/>
    <m/>
  </r>
  <r>
    <n v="69999267"/>
    <x v="1"/>
    <n v="9945"/>
    <d v="2026-03-18T00:00:00"/>
    <s v="BJ US-IC-GimmeSmore-8 1PT"/>
    <x v="22"/>
    <n v="3.7839999999999996E-3"/>
    <n v="240"/>
    <x v="3"/>
    <x v="12"/>
    <n v="1"/>
    <n v="9945"/>
    <n v="37.631879999999995"/>
    <n v="41.4375"/>
    <s v="Mar"/>
    <x v="9"/>
    <m/>
    <m/>
  </r>
  <r>
    <n v="69999267"/>
    <x v="1"/>
    <n v="6822"/>
    <d v="2026-03-19T00:00:00"/>
    <s v="BJ US-IC-GimmeSmore-8 1PT"/>
    <x v="22"/>
    <n v="3.7839999999999996E-3"/>
    <n v="240"/>
    <x v="3"/>
    <x v="12"/>
    <n v="1"/>
    <n v="6822"/>
    <n v="25.814447999999999"/>
    <n v="28.425000000000001"/>
    <s v="Mar"/>
    <x v="9"/>
    <m/>
    <m/>
  </r>
  <r>
    <n v="69999267"/>
    <x v="1"/>
    <n v="-17"/>
    <d v="2026-03-24T00:00:00"/>
    <s v="BJ US-IC-GimmeSmore-8 1PT"/>
    <x v="22"/>
    <n v="3.7839999999999996E-3"/>
    <n v="240"/>
    <x v="3"/>
    <x v="12"/>
    <n v="1"/>
    <n v="-17"/>
    <n v="-6.4327999999999996E-2"/>
    <n v="-7.0833333333333331E-2"/>
    <s v="Mar"/>
    <x v="10"/>
    <m/>
    <m/>
  </r>
  <r>
    <n v="69999267"/>
    <x v="1"/>
    <n v="0"/>
    <d v="2026-03-20T00:00:00"/>
    <s v="BJ US-IC-GimmeSmore-8 1PT"/>
    <x v="22"/>
    <n v="3.7839999999999996E-3"/>
    <n v="240"/>
    <x v="3"/>
    <x v="12"/>
    <n v="1"/>
    <n v="0"/>
    <n v="0"/>
    <n v="0"/>
    <s v="Mar"/>
    <x v="9"/>
    <m/>
    <m/>
  </r>
  <r>
    <n v="69999268"/>
    <x v="1"/>
    <n v="5425"/>
    <d v="2026-03-05T00:00:00"/>
    <s v="BJ US-IC-ChurrayForChurros-8 1PT"/>
    <x v="22"/>
    <n v="3.7839999999999996E-3"/>
    <n v="240"/>
    <x v="3"/>
    <x v="12"/>
    <n v="1"/>
    <n v="5425"/>
    <n v="20.528199999999998"/>
    <n v="22.604166666666668"/>
    <s v="Mar"/>
    <x v="11"/>
    <m/>
    <m/>
  </r>
  <r>
    <n v="69999268"/>
    <x v="1"/>
    <n v="6000"/>
    <d v="2026-03-06T00:00:00"/>
    <s v="BJ US-IC-ChurrayForChurros-8 1PT"/>
    <x v="22"/>
    <n v="3.7839999999999996E-3"/>
    <n v="240"/>
    <x v="3"/>
    <x v="12"/>
    <n v="1"/>
    <n v="6000"/>
    <n v="22.703999999999997"/>
    <n v="25"/>
    <s v="Mar"/>
    <x v="11"/>
    <m/>
    <m/>
  </r>
  <r>
    <n v="69999268"/>
    <x v="1"/>
    <n v="1440"/>
    <d v="2026-03-09T00:00:00"/>
    <s v="BJ US-IC-ChurrayForChurros-8 1PT"/>
    <x v="22"/>
    <n v="3.7839999999999996E-3"/>
    <n v="240"/>
    <x v="3"/>
    <x v="12"/>
    <n v="1"/>
    <n v="1440"/>
    <n v="5.4489599999999996"/>
    <n v="6"/>
    <s v="Mar"/>
    <x v="12"/>
    <m/>
    <m/>
  </r>
  <r>
    <n v="69999268"/>
    <x v="1"/>
    <n v="4529"/>
    <d v="2026-03-06T00:00:00"/>
    <s v="BJ US-IC-ChurrayForChurros-8 1PT"/>
    <x v="22"/>
    <n v="3.7839999999999996E-3"/>
    <n v="240"/>
    <x v="3"/>
    <x v="12"/>
    <n v="1"/>
    <n v="4529"/>
    <n v="17.137735999999997"/>
    <n v="18.870833333333334"/>
    <s v="Mar"/>
    <x v="11"/>
    <m/>
    <m/>
  </r>
  <r>
    <n v="69999268"/>
    <x v="1"/>
    <n v="630"/>
    <d v="2026-03-09T00:00:00"/>
    <s v="BJ US-IC-ChurrayForChurros-8 1PT"/>
    <x v="22"/>
    <n v="3.7839999999999996E-3"/>
    <n v="240"/>
    <x v="3"/>
    <x v="12"/>
    <n v="1"/>
    <n v="630"/>
    <n v="2.3839199999999998"/>
    <n v="2.625"/>
    <s v="Mar"/>
    <x v="12"/>
    <m/>
    <m/>
  </r>
  <r>
    <n v="69999268"/>
    <x v="1"/>
    <n v="6435"/>
    <d v="2026-03-05T00:00:00"/>
    <s v="BJ US-IC-ChurrayForChurros-8 1PT"/>
    <x v="22"/>
    <n v="3.7839999999999996E-3"/>
    <n v="240"/>
    <x v="3"/>
    <x v="12"/>
    <n v="1"/>
    <n v="6435"/>
    <n v="24.350039999999996"/>
    <n v="26.8125"/>
    <s v="Mar"/>
    <x v="11"/>
    <m/>
    <m/>
  </r>
  <r>
    <n v="69999268"/>
    <x v="1"/>
    <n v="720"/>
    <d v="2026-03-06T00:00:00"/>
    <s v="BJ US-IC-ChurrayForChurros-8 1PT"/>
    <x v="22"/>
    <n v="3.7839999999999996E-3"/>
    <n v="240"/>
    <x v="3"/>
    <x v="12"/>
    <n v="1"/>
    <n v="720"/>
    <n v="2.7244799999999998"/>
    <n v="3"/>
    <s v="Mar"/>
    <x v="11"/>
    <m/>
    <m/>
  </r>
  <r>
    <n v="84135781"/>
    <x v="1"/>
    <n v="5246"/>
    <d v="2026-03-02T00:00:00"/>
    <s v="BJ US-IC-Vanilla-FTNG-8 1PT"/>
    <x v="22"/>
    <n v="3.7853439999999999E-3"/>
    <n v="240"/>
    <x v="3"/>
    <x v="12"/>
    <n v="1"/>
    <n v="5246"/>
    <n v="19.857914623999999"/>
    <n v="21.858333333333334"/>
    <s v="Mar"/>
    <x v="11"/>
    <m/>
    <m/>
  </r>
  <r>
    <n v="84135781"/>
    <x v="1"/>
    <n v="10694"/>
    <d v="2026-03-03T00:00:00"/>
    <s v="BJ US-IC-Vanilla-FTNG-8 1PT"/>
    <x v="22"/>
    <n v="3.7853439999999999E-3"/>
    <n v="240"/>
    <x v="3"/>
    <x v="12"/>
    <n v="1"/>
    <n v="10694"/>
    <n v="40.480468735999999"/>
    <n v="44.55833333333333"/>
    <s v="Mar"/>
    <x v="11"/>
    <m/>
    <m/>
  </r>
  <r>
    <n v="84135781"/>
    <x v="1"/>
    <n v="10320"/>
    <d v="2026-03-03T00:00:00"/>
    <s v="BJ US-IC-Vanilla-FTNG-8 1PT"/>
    <x v="22"/>
    <n v="3.7853439999999999E-3"/>
    <n v="240"/>
    <x v="3"/>
    <x v="12"/>
    <n v="1"/>
    <n v="10320"/>
    <n v="39.064750079999996"/>
    <n v="43"/>
    <s v="Mar"/>
    <x v="11"/>
    <m/>
    <m/>
  </r>
  <r>
    <n v="84135781"/>
    <x v="1"/>
    <n v="10227"/>
    <d v="2026-03-04T00:00:00"/>
    <s v="BJ US-IC-Vanilla-FTNG-8 1PT"/>
    <x v="22"/>
    <n v="3.7853439999999999E-3"/>
    <n v="240"/>
    <x v="3"/>
    <x v="12"/>
    <n v="1"/>
    <n v="10227"/>
    <n v="38.712713088000001"/>
    <n v="42.612499999999997"/>
    <s v="Mar"/>
    <x v="11"/>
    <m/>
    <m/>
  </r>
  <r>
    <n v="84135781"/>
    <x v="1"/>
    <n v="240"/>
    <d v="2026-03-05T00:00:00"/>
    <s v="BJ US-IC-Vanilla-FTNG-8 1PT"/>
    <x v="22"/>
    <n v="3.7853439999999999E-3"/>
    <n v="240"/>
    <x v="3"/>
    <x v="12"/>
    <n v="1"/>
    <n v="240"/>
    <n v="0.90848255999999994"/>
    <n v="1"/>
    <s v="Mar"/>
    <x v="11"/>
    <m/>
    <m/>
  </r>
  <r>
    <n v="84135781"/>
    <x v="1"/>
    <n v="1680"/>
    <d v="2026-03-04T00:00:00"/>
    <s v="BJ US-IC-Vanilla-FTNG-8 1PT"/>
    <x v="22"/>
    <n v="3.7853439999999999E-3"/>
    <n v="240"/>
    <x v="3"/>
    <x v="12"/>
    <n v="1"/>
    <n v="1680"/>
    <n v="6.35937792"/>
    <n v="7"/>
    <s v="Mar"/>
    <x v="11"/>
    <m/>
    <m/>
  </r>
  <r>
    <n v="84135781"/>
    <x v="1"/>
    <n v="0"/>
    <d v="2026-03-05T00:00:00"/>
    <s v="BJ US-IC-Vanilla-FTNG-8 1PT"/>
    <x v="22"/>
    <n v="3.7853439999999999E-3"/>
    <n v="240"/>
    <x v="3"/>
    <x v="12"/>
    <n v="1"/>
    <n v="0"/>
    <n v="0"/>
    <n v="0"/>
    <s v="Mar"/>
    <x v="11"/>
    <m/>
    <m/>
  </r>
  <r>
    <n v="84164937"/>
    <x v="1"/>
    <n v="240"/>
    <d v="2026-03-19T00:00:00"/>
    <s v="BJ US-IC-ChubbyHubby-8 1PT"/>
    <x v="22"/>
    <n v="3.7853439999999999E-3"/>
    <n v="240"/>
    <x v="3"/>
    <x v="12"/>
    <n v="1"/>
    <n v="240"/>
    <n v="0.90848255999999994"/>
    <n v="1"/>
    <s v="Mar"/>
    <x v="9"/>
    <m/>
    <m/>
  </r>
  <r>
    <n v="84164937"/>
    <x v="1"/>
    <n v="5020"/>
    <d v="2026-03-20T00:00:00"/>
    <s v="BJ US-IC-ChubbyHubby-8 1PT"/>
    <x v="22"/>
    <n v="3.7853439999999999E-3"/>
    <n v="240"/>
    <x v="3"/>
    <x v="12"/>
    <n v="1"/>
    <n v="5020"/>
    <n v="19.002426879999998"/>
    <n v="20.916666666666668"/>
    <s v="Mar"/>
    <x v="9"/>
    <m/>
    <m/>
  </r>
  <r>
    <n v="84164937"/>
    <x v="1"/>
    <n v="7805"/>
    <d v="2026-03-20T00:00:00"/>
    <s v="BJ US-IC-ChubbyHubby-8 1PT"/>
    <x v="22"/>
    <n v="3.7853439999999999E-3"/>
    <n v="240"/>
    <x v="3"/>
    <x v="12"/>
    <n v="1"/>
    <n v="7805"/>
    <n v="29.544609919999999"/>
    <n v="32.520833333333336"/>
    <s v="Mar"/>
    <x v="9"/>
    <m/>
    <m/>
  </r>
  <r>
    <n v="84164937"/>
    <x v="1"/>
    <n v="4490"/>
    <d v="2026-03-21T00:00:00"/>
    <s v="BJ US-IC-ChubbyHubby-8 1PT"/>
    <x v="22"/>
    <n v="3.7853439999999999E-3"/>
    <n v="240"/>
    <x v="3"/>
    <x v="12"/>
    <n v="1"/>
    <n v="4490"/>
    <n v="16.996194559999999"/>
    <n v="18.708333333333332"/>
    <s v="Mar"/>
    <x v="9"/>
    <m/>
    <m/>
  </r>
  <r>
    <n v="64380012"/>
    <x v="4"/>
    <n v="276"/>
    <d v="2026-02-24T00:00:00"/>
    <s v="KL Giant Original Bar 1-24PK"/>
    <x v="24"/>
    <n v="3.9119999999999997E-3"/>
    <n v="276"/>
    <x v="26"/>
    <x v="49"/>
    <n v="1"/>
    <n v="276"/>
    <n v="1.079712"/>
    <n v="1"/>
    <s v="Feb"/>
    <x v="6"/>
    <m/>
    <m/>
  </r>
  <r>
    <n v="64380012"/>
    <x v="4"/>
    <n v="234"/>
    <d v="2026-02-25T00:00:00"/>
    <s v="KL Giant Original Bar 1-24PK"/>
    <x v="24"/>
    <n v="3.9119999999999997E-3"/>
    <n v="276"/>
    <x v="26"/>
    <x v="49"/>
    <n v="1"/>
    <n v="234"/>
    <n v="0.91540799999999989"/>
    <n v="0.84782608695652173"/>
    <s v="Feb"/>
    <x v="6"/>
    <m/>
    <m/>
  </r>
  <r>
    <n v="64380012"/>
    <x v="4"/>
    <n v="2760"/>
    <d v="2026-02-25T00:00:00"/>
    <s v="KL Giant Original Bar 1-24PK"/>
    <x v="24"/>
    <n v="3.9119999999999997E-3"/>
    <n v="276"/>
    <x v="26"/>
    <x v="49"/>
    <n v="1"/>
    <n v="2760"/>
    <n v="10.79712"/>
    <n v="10"/>
    <s v="Feb"/>
    <x v="6"/>
    <m/>
    <m/>
  </r>
  <r>
    <n v="64380012"/>
    <x v="4"/>
    <n v="552"/>
    <d v="2026-02-26T00:00:00"/>
    <s v="KL Giant Original Bar 1-24PK"/>
    <x v="24"/>
    <n v="3.9119999999999997E-3"/>
    <n v="276"/>
    <x v="26"/>
    <x v="49"/>
    <n v="1"/>
    <n v="552"/>
    <n v="2.159424"/>
    <n v="2"/>
    <s v="Feb"/>
    <x v="6"/>
    <m/>
    <m/>
  </r>
  <r>
    <n v="64380012"/>
    <x v="4"/>
    <n v="3864"/>
    <d v="2026-02-26T00:00:00"/>
    <s v="KL Giant Original Bar 1-24PK"/>
    <x v="24"/>
    <n v="3.9119999999999997E-3"/>
    <n v="276"/>
    <x v="26"/>
    <x v="49"/>
    <n v="1"/>
    <n v="3864"/>
    <n v="15.115967999999999"/>
    <n v="14"/>
    <s v="Feb"/>
    <x v="6"/>
    <m/>
    <m/>
  </r>
  <r>
    <n v="64380012"/>
    <x v="4"/>
    <n v="552"/>
    <d v="2026-02-27T00:00:00"/>
    <s v="KL Giant Original Bar 1-24PK"/>
    <x v="24"/>
    <n v="3.9119999999999997E-3"/>
    <n v="276"/>
    <x v="26"/>
    <x v="49"/>
    <n v="1"/>
    <n v="552"/>
    <n v="2.159424"/>
    <n v="2"/>
    <s v="Feb"/>
    <x v="6"/>
    <m/>
    <m/>
  </r>
  <r>
    <n v="64380012"/>
    <x v="4"/>
    <n v="1380"/>
    <d v="2026-02-27T00:00:00"/>
    <s v="KL Giant Original Bar 1-24PK"/>
    <x v="24"/>
    <n v="3.9119999999999997E-3"/>
    <n v="276"/>
    <x v="26"/>
    <x v="49"/>
    <n v="1"/>
    <n v="1380"/>
    <n v="5.3985599999999998"/>
    <n v="5"/>
    <s v="Feb"/>
    <x v="6"/>
    <m/>
    <m/>
  </r>
  <r>
    <n v="64380012"/>
    <x v="4"/>
    <n v="240"/>
    <d v="2026-03-02T00:00:00"/>
    <s v="KL Giant Original Bar 1-24PK"/>
    <x v="24"/>
    <n v="3.9119999999999997E-3"/>
    <n v="276"/>
    <x v="26"/>
    <x v="49"/>
    <n v="1"/>
    <n v="240"/>
    <n v="0.93887999999999994"/>
    <n v="0.86956521739130432"/>
    <s v="Mar"/>
    <x v="11"/>
    <m/>
    <m/>
  </r>
  <r>
    <n v="67794169"/>
    <x v="2"/>
    <n v="8160"/>
    <d v="2026-03-03T00:00:00"/>
    <s v="BJ US-IC-TonightDough-8 1PT"/>
    <x v="24"/>
    <n v="3.7853439999999999E-3"/>
    <n v="240"/>
    <x v="3"/>
    <x v="4"/>
    <n v="1"/>
    <n v="8160"/>
    <n v="30.888407040000001"/>
    <n v="34"/>
    <s v="Mar"/>
    <x v="11"/>
    <m/>
    <m/>
  </r>
  <r>
    <n v="67794169"/>
    <x v="2"/>
    <n v="9360"/>
    <d v="2026-03-03T00:00:00"/>
    <s v="BJ US-IC-TonightDough-8 1PT"/>
    <x v="24"/>
    <n v="3.7853439999999999E-3"/>
    <n v="240"/>
    <x v="3"/>
    <x v="4"/>
    <n v="1"/>
    <n v="9360"/>
    <n v="35.430819839999998"/>
    <n v="39"/>
    <s v="Mar"/>
    <x v="11"/>
    <m/>
    <m/>
  </r>
  <r>
    <n v="67794169"/>
    <x v="2"/>
    <n v="22080"/>
    <d v="2026-03-04T00:00:00"/>
    <s v="BJ US-IC-TonightDough-8 1PT"/>
    <x v="24"/>
    <n v="3.7853439999999999E-3"/>
    <n v="240"/>
    <x v="3"/>
    <x v="4"/>
    <n v="1"/>
    <n v="22080"/>
    <n v="83.580395519999996"/>
    <n v="92"/>
    <s v="Mar"/>
    <x v="11"/>
    <m/>
    <m/>
  </r>
  <r>
    <n v="67794169"/>
    <x v="2"/>
    <n v="6104"/>
    <d v="2026-03-05T00:00:00"/>
    <s v="BJ US-IC-TonightDough-8 1PT"/>
    <x v="24"/>
    <n v="3.7853439999999999E-3"/>
    <n v="240"/>
    <x v="3"/>
    <x v="4"/>
    <n v="1"/>
    <n v="6104"/>
    <n v="23.105739776"/>
    <n v="25.433333333333334"/>
    <s v="Mar"/>
    <x v="11"/>
    <m/>
    <m/>
  </r>
  <r>
    <n v="67794169"/>
    <x v="2"/>
    <n v="1200"/>
    <d v="2026-03-23T00:00:00"/>
    <s v="BJ US-IC-TonightDough-8 1PT"/>
    <x v="24"/>
    <n v="3.7853439999999999E-3"/>
    <n v="240"/>
    <x v="3"/>
    <x v="4"/>
    <n v="1"/>
    <n v="1200"/>
    <n v="4.5424128000000001"/>
    <n v="5"/>
    <s v="Mar"/>
    <x v="10"/>
    <m/>
    <m/>
  </r>
  <r>
    <n v="67794169"/>
    <x v="2"/>
    <n v="34320"/>
    <d v="2026-03-24T00:00:00"/>
    <s v="BJ US-IC-TonightDough-8 1PT"/>
    <x v="24"/>
    <n v="3.7853439999999999E-3"/>
    <n v="240"/>
    <x v="3"/>
    <x v="4"/>
    <n v="1"/>
    <n v="34320"/>
    <n v="129.91300608"/>
    <n v="143"/>
    <s v="Mar"/>
    <x v="10"/>
    <m/>
    <m/>
  </r>
  <r>
    <n v="67803006"/>
    <x v="2"/>
    <n v="7920"/>
    <d v="2026-03-02T00:00:00"/>
    <s v="BJ R01-IC-TonightDough-8 458ML"/>
    <x v="24"/>
    <n v="3.7839999999999996E-3"/>
    <n v="240"/>
    <x v="10"/>
    <x v="16"/>
    <n v="1"/>
    <n v="7920"/>
    <n v="29.969279999999998"/>
    <n v="33"/>
    <s v="Mar"/>
    <x v="11"/>
    <m/>
    <m/>
  </r>
  <r>
    <n v="67803006"/>
    <x v="2"/>
    <n v="5625"/>
    <d v="2026-03-03T00:00:00"/>
    <s v="BJ R01-IC-TonightDough-8 458ML"/>
    <x v="24"/>
    <n v="3.7839999999999996E-3"/>
    <n v="240"/>
    <x v="10"/>
    <x v="16"/>
    <n v="1"/>
    <n v="5625"/>
    <n v="21.284999999999997"/>
    <n v="23.4375"/>
    <s v="Mar"/>
    <x v="11"/>
    <m/>
    <m/>
  </r>
  <r>
    <n v="68638142"/>
    <x v="2"/>
    <n v="7613"/>
    <d v="2026-03-20T00:00:00"/>
    <s v="BJ MX-IC-CherryGarcia-8 1PT"/>
    <x v="24"/>
    <n v="3.7853439999999999E-3"/>
    <n v="240"/>
    <x v="3"/>
    <x v="4"/>
    <n v="1"/>
    <n v="7613"/>
    <n v="28.817823871999998"/>
    <n v="31.720833333333335"/>
    <s v="Mar"/>
    <x v="9"/>
    <m/>
    <m/>
  </r>
  <r>
    <n v="84135718"/>
    <x v="2"/>
    <n v="17520"/>
    <d v="2026-02-24T00:00:00"/>
    <s v="BJ US-IC-ChocChpCookDgh-FTNG-8 1PT"/>
    <x v="30"/>
    <n v="3.7853439999999999E-3"/>
    <n v="240"/>
    <x v="3"/>
    <x v="4"/>
    <n v="1"/>
    <n v="17520"/>
    <n v="66.319226880000002"/>
    <n v="73"/>
    <s v="Feb"/>
    <x v="6"/>
    <m/>
    <m/>
  </r>
  <r>
    <n v="84135718"/>
    <x v="2"/>
    <n v="39360"/>
    <d v="2026-02-25T00:00:00"/>
    <s v="BJ US-IC-ChocChpCookDgh-FTNG-8 1PT"/>
    <x v="30"/>
    <n v="3.7853439999999999E-3"/>
    <n v="240"/>
    <x v="3"/>
    <x v="4"/>
    <n v="1"/>
    <n v="39360"/>
    <n v="148.99113983999999"/>
    <n v="164"/>
    <s v="Feb"/>
    <x v="6"/>
    <m/>
    <m/>
  </r>
  <r>
    <n v="84135718"/>
    <x v="2"/>
    <n v="4783"/>
    <d v="2026-02-26T00:00:00"/>
    <s v="BJ US-IC-ChocChpCookDgh-FTNG-8 1PT"/>
    <x v="30"/>
    <n v="3.7853439999999999E-3"/>
    <n v="240"/>
    <x v="3"/>
    <x v="4"/>
    <n v="1"/>
    <n v="4783"/>
    <n v="18.105300352"/>
    <n v="19.929166666666667"/>
    <s v="Feb"/>
    <x v="6"/>
    <m/>
    <m/>
  </r>
  <r>
    <n v="84135718"/>
    <x v="2"/>
    <n v="13440"/>
    <d v="2026-02-23T00:00:00"/>
    <s v="BJ US-IC-ChocChpCookDgh-FTNG-8 1PT"/>
    <x v="30"/>
    <n v="3.7853439999999999E-3"/>
    <n v="240"/>
    <x v="3"/>
    <x v="4"/>
    <n v="1"/>
    <n v="13440"/>
    <n v="50.87502336"/>
    <n v="56"/>
    <s v="Feb"/>
    <x v="6"/>
    <m/>
    <m/>
  </r>
  <r>
    <n v="84135718"/>
    <x v="2"/>
    <n v="27120"/>
    <d v="2026-02-24T00:00:00"/>
    <s v="BJ US-IC-ChocChpCookDgh-FTNG-8 1PT"/>
    <x v="30"/>
    <n v="3.7853439999999999E-3"/>
    <n v="240"/>
    <x v="3"/>
    <x v="4"/>
    <n v="1"/>
    <n v="27120"/>
    <n v="102.65852928"/>
    <n v="113"/>
    <s v="Feb"/>
    <x v="6"/>
    <m/>
    <m/>
  </r>
  <r>
    <n v="84137725"/>
    <x v="2"/>
    <n v="22378"/>
    <d v="2026-03-06T00:00:00"/>
    <s v="BJ US-IC-CherryGarcia-FTNG-8 1PT"/>
    <x v="10"/>
    <n v="3.7853439999999999E-3"/>
    <n v="240"/>
    <x v="3"/>
    <x v="4"/>
    <n v="1"/>
    <n v="22378"/>
    <n v="84.708428032"/>
    <n v="93.24166666666666"/>
    <s v="Mar"/>
    <x v="11"/>
    <m/>
    <m/>
  </r>
  <r>
    <n v="84137725"/>
    <x v="2"/>
    <n v="26880"/>
    <d v="2026-03-07T00:00:00"/>
    <s v="BJ US-IC-CherryGarcia-FTNG-8 1PT"/>
    <x v="10"/>
    <n v="3.7853439999999999E-3"/>
    <n v="240"/>
    <x v="3"/>
    <x v="4"/>
    <n v="1"/>
    <n v="26880"/>
    <n v="101.75004672"/>
    <n v="112"/>
    <s v="Mar"/>
    <x v="11"/>
    <m/>
    <m/>
  </r>
  <r>
    <n v="84137725"/>
    <x v="2"/>
    <n v="6960"/>
    <d v="2026-03-07T00:00:00"/>
    <s v="BJ US-IC-CherryGarcia-FTNG-8 1PT"/>
    <x v="10"/>
    <n v="3.7853439999999999E-3"/>
    <n v="240"/>
    <x v="3"/>
    <x v="4"/>
    <n v="1"/>
    <n v="6960"/>
    <n v="26.34599424"/>
    <n v="29"/>
    <s v="Mar"/>
    <x v="11"/>
    <m/>
    <m/>
  </r>
  <r>
    <n v="84137725"/>
    <x v="2"/>
    <n v="32160"/>
    <d v="2026-03-08T00:00:00"/>
    <s v="BJ US-IC-CherryGarcia-FTNG-8 1PT"/>
    <x v="10"/>
    <n v="3.7853439999999999E-3"/>
    <n v="240"/>
    <x v="3"/>
    <x v="4"/>
    <n v="1"/>
    <n v="32160"/>
    <n v="121.73666304"/>
    <n v="134"/>
    <s v="Mar"/>
    <x v="12"/>
    <m/>
    <m/>
  </r>
  <r>
    <n v="84137725"/>
    <x v="2"/>
    <n v="5720"/>
    <d v="2026-03-09T00:00:00"/>
    <s v="BJ US-IC-CherryGarcia-FTNG-8 1PT"/>
    <x v="10"/>
    <n v="3.7853439999999999E-3"/>
    <n v="240"/>
    <x v="3"/>
    <x v="4"/>
    <n v="1"/>
    <n v="5720"/>
    <n v="21.652167679999998"/>
    <n v="23.833333333333332"/>
    <s v="Mar"/>
    <x v="12"/>
    <m/>
    <m/>
  </r>
  <r>
    <n v="84137725"/>
    <x v="2"/>
    <n v="14640"/>
    <d v="2026-03-20T00:00:00"/>
    <s v="BJ US-IC-CherryGarcia-FTNG-8 1PT"/>
    <x v="10"/>
    <n v="3.7853439999999999E-3"/>
    <n v="240"/>
    <x v="3"/>
    <x v="4"/>
    <n v="1"/>
    <n v="14640"/>
    <n v="55.417436160000001"/>
    <n v="61"/>
    <s v="Mar"/>
    <x v="9"/>
    <m/>
    <m/>
  </r>
  <r>
    <n v="84137725"/>
    <x v="2"/>
    <n v="32640"/>
    <d v="2026-03-21T00:00:00"/>
    <s v="BJ US-IC-CherryGarcia-FTNG-8 1PT"/>
    <x v="10"/>
    <n v="3.7853439999999999E-3"/>
    <n v="240"/>
    <x v="3"/>
    <x v="4"/>
    <n v="1"/>
    <n v="32640"/>
    <n v="123.55362816"/>
    <n v="136"/>
    <s v="Mar"/>
    <x v="9"/>
    <m/>
    <m/>
  </r>
  <r>
    <n v="84137725"/>
    <x v="2"/>
    <n v="6240"/>
    <d v="2026-03-21T00:00:00"/>
    <s v="BJ US-IC-CherryGarcia-FTNG-8 1PT"/>
    <x v="10"/>
    <n v="3.7853439999999999E-3"/>
    <n v="240"/>
    <x v="3"/>
    <x v="4"/>
    <n v="1"/>
    <n v="6240"/>
    <n v="23.620546560000001"/>
    <n v="26"/>
    <s v="Mar"/>
    <x v="9"/>
    <m/>
    <m/>
  </r>
  <r>
    <n v="84137725"/>
    <x v="2"/>
    <n v="34560"/>
    <d v="2026-03-22T00:00:00"/>
    <s v="BJ US-IC-CherryGarcia-FTNG-8 1PT"/>
    <x v="10"/>
    <n v="3.7853439999999999E-3"/>
    <n v="240"/>
    <x v="3"/>
    <x v="4"/>
    <n v="1"/>
    <n v="34560"/>
    <n v="130.82148863999998"/>
    <n v="144"/>
    <s v="Mar"/>
    <x v="10"/>
    <m/>
    <m/>
  </r>
  <r>
    <n v="84137725"/>
    <x v="2"/>
    <n v="3741"/>
    <d v="2026-03-23T00:00:00"/>
    <s v="BJ US-IC-CherryGarcia-FTNG-8 1PT"/>
    <x v="10"/>
    <n v="3.7853439999999999E-3"/>
    <n v="240"/>
    <x v="3"/>
    <x v="4"/>
    <n v="1"/>
    <n v="3741"/>
    <n v="14.160971904"/>
    <n v="15.5875"/>
    <s v="Mar"/>
    <x v="10"/>
    <m/>
    <m/>
  </r>
  <r>
    <n v="84141102"/>
    <x v="2"/>
    <n v="7680"/>
    <d v="2026-03-09T00:00:00"/>
    <s v="BJ US-IC-ChocFudgBrownie-FTNG-8 1PT"/>
    <x v="30"/>
    <n v="3.7853439999999999E-3"/>
    <n v="240"/>
    <x v="3"/>
    <x v="4"/>
    <n v="1"/>
    <n v="7680"/>
    <n v="29.071441919999998"/>
    <n v="32"/>
    <s v="Mar"/>
    <x v="12"/>
    <m/>
    <m/>
  </r>
  <r>
    <n v="84141102"/>
    <x v="2"/>
    <n v="42480"/>
    <d v="2026-03-10T00:00:00"/>
    <s v="BJ US-IC-ChocFudgBrownie-FTNG-8 1PT"/>
    <x v="30"/>
    <n v="3.7853439999999999E-3"/>
    <n v="240"/>
    <x v="3"/>
    <x v="4"/>
    <n v="1"/>
    <n v="42480"/>
    <n v="160.80141312000001"/>
    <n v="177"/>
    <s v="Mar"/>
    <x v="12"/>
    <m/>
    <m/>
  </r>
  <r>
    <n v="84141102"/>
    <x v="2"/>
    <n v="4320"/>
    <d v="2026-03-11T00:00:00"/>
    <s v="BJ US-IC-ChocFudgBrownie-FTNG-8 1PT"/>
    <x v="30"/>
    <n v="3.7853439999999999E-3"/>
    <n v="240"/>
    <x v="3"/>
    <x v="4"/>
    <n v="1"/>
    <n v="4320"/>
    <n v="16.352686079999998"/>
    <n v="18"/>
    <s v="Mar"/>
    <x v="12"/>
    <m/>
    <m/>
  </r>
  <r>
    <n v="84141102"/>
    <x v="2"/>
    <n v="39600"/>
    <d v="2026-03-11T00:00:00"/>
    <s v="BJ US-IC-ChocFudgBrownie-FTNG-8 1PT"/>
    <x v="30"/>
    <n v="3.7853439999999999E-3"/>
    <n v="240"/>
    <x v="3"/>
    <x v="4"/>
    <n v="1"/>
    <n v="39600"/>
    <n v="149.8996224"/>
    <n v="165"/>
    <s v="Mar"/>
    <x v="12"/>
    <m/>
    <m/>
  </r>
  <r>
    <n v="84141102"/>
    <x v="2"/>
    <n v="19002"/>
    <d v="2026-03-12T00:00:00"/>
    <s v="BJ US-IC-ChocFudgBrownie-FTNG-8 1PT"/>
    <x v="30"/>
    <n v="3.7853439999999999E-3"/>
    <n v="240"/>
    <x v="3"/>
    <x v="4"/>
    <n v="1"/>
    <n v="19002"/>
    <n v="71.929106688000005"/>
    <n v="79.174999999999997"/>
    <s v="Mar"/>
    <x v="12"/>
    <m/>
    <m/>
  </r>
  <r>
    <n v="84141102"/>
    <x v="2"/>
    <n v="5894"/>
    <d v="2026-02-23T00:00:00"/>
    <s v="BJ US-IC-ChocFudgBrownie-FTNG-8 1PT"/>
    <x v="30"/>
    <n v="3.7853439999999999E-3"/>
    <n v="240"/>
    <x v="3"/>
    <x v="4"/>
    <n v="1"/>
    <n v="5894"/>
    <n v="22.310817535999998"/>
    <n v="24.558333333333334"/>
    <s v="Feb"/>
    <x v="6"/>
    <m/>
    <m/>
  </r>
  <r>
    <n v="84141103"/>
    <x v="2"/>
    <n v="480"/>
    <d v="2026-02-26T00:00:00"/>
    <s v="BJ US-IC-HalfBaked-FTNG-8 1PT"/>
    <x v="30"/>
    <n v="3.7853439999999999E-3"/>
    <n v="240"/>
    <x v="3"/>
    <x v="4"/>
    <n v="1"/>
    <n v="480"/>
    <n v="1.8169651199999999"/>
    <n v="2"/>
    <s v="Feb"/>
    <x v="6"/>
    <m/>
    <m/>
  </r>
  <r>
    <n v="84141103"/>
    <x v="2"/>
    <n v="34320"/>
    <d v="2026-02-27T00:00:00"/>
    <s v="BJ US-IC-HalfBaked-FTNG-8 1PT"/>
    <x v="30"/>
    <n v="3.7853439999999999E-3"/>
    <n v="240"/>
    <x v="3"/>
    <x v="4"/>
    <n v="1"/>
    <n v="34320"/>
    <n v="129.91300608"/>
    <n v="143"/>
    <s v="Feb"/>
    <x v="6"/>
    <m/>
    <m/>
  </r>
  <r>
    <n v="84141103"/>
    <x v="2"/>
    <n v="3600"/>
    <d v="2026-02-27T00:00:00"/>
    <s v="BJ US-IC-HalfBaked-FTNG-8 1PT"/>
    <x v="30"/>
    <n v="3.7853439999999999E-3"/>
    <n v="240"/>
    <x v="3"/>
    <x v="4"/>
    <n v="1"/>
    <n v="3600"/>
    <n v="13.6272384"/>
    <n v="15"/>
    <s v="Feb"/>
    <x v="6"/>
    <m/>
    <m/>
  </r>
  <r>
    <n v="84141103"/>
    <x v="2"/>
    <n v="45120"/>
    <d v="2026-02-28T00:00:00"/>
    <s v="BJ US-IC-HalfBaked-FTNG-8 1PT"/>
    <x v="30"/>
    <n v="3.7853439999999999E-3"/>
    <n v="240"/>
    <x v="3"/>
    <x v="4"/>
    <n v="1"/>
    <n v="45120"/>
    <n v="170.79472128"/>
    <n v="188"/>
    <s v="Feb"/>
    <x v="6"/>
    <m/>
    <m/>
  </r>
  <r>
    <n v="84141103"/>
    <x v="2"/>
    <n v="24201"/>
    <d v="2026-03-01T00:00:00"/>
    <s v="BJ US-IC-HalfBaked-FTNG-8 1PT"/>
    <x v="30"/>
    <n v="3.7853439999999999E-3"/>
    <n v="240"/>
    <x v="3"/>
    <x v="4"/>
    <n v="1"/>
    <n v="24201"/>
    <n v="91.609110143999999"/>
    <n v="100.83750000000001"/>
    <s v="Mar"/>
    <x v="11"/>
    <m/>
    <m/>
  </r>
  <r>
    <n v="84141103"/>
    <x v="2"/>
    <n v="30000"/>
    <d v="2026-03-13T00:00:00"/>
    <s v="BJ US-IC-HalfBaked-FTNG-8 1PT"/>
    <x v="30"/>
    <n v="3.7853439999999999E-3"/>
    <n v="240"/>
    <x v="3"/>
    <x v="4"/>
    <n v="1"/>
    <n v="30000"/>
    <n v="113.56032"/>
    <n v="125"/>
    <s v="Mar"/>
    <x v="12"/>
    <m/>
    <m/>
  </r>
  <r>
    <n v="84141103"/>
    <x v="2"/>
    <n v="12000"/>
    <d v="2026-03-14T00:00:00"/>
    <s v="BJ US-IC-HalfBaked-FTNG-8 1PT"/>
    <x v="30"/>
    <n v="3.7853439999999999E-3"/>
    <n v="240"/>
    <x v="3"/>
    <x v="4"/>
    <n v="1"/>
    <n v="12000"/>
    <n v="45.424127999999996"/>
    <n v="50"/>
    <s v="Mar"/>
    <x v="12"/>
    <m/>
    <m/>
  </r>
  <r>
    <n v="84141103"/>
    <x v="2"/>
    <n v="26160"/>
    <d v="2026-03-14T00:00:00"/>
    <s v="BJ US-IC-HalfBaked-FTNG-8 1PT"/>
    <x v="30"/>
    <n v="3.7853439999999999E-3"/>
    <n v="240"/>
    <x v="3"/>
    <x v="4"/>
    <n v="1"/>
    <n v="26160"/>
    <n v="99.024599039999998"/>
    <n v="109"/>
    <s v="Mar"/>
    <x v="12"/>
    <m/>
    <m/>
  </r>
  <r>
    <n v="84141103"/>
    <x v="2"/>
    <n v="34290"/>
    <d v="2026-03-15T00:00:00"/>
    <s v="BJ US-IC-HalfBaked-FTNG-8 1PT"/>
    <x v="30"/>
    <n v="3.7853439999999999E-3"/>
    <n v="240"/>
    <x v="3"/>
    <x v="4"/>
    <n v="1"/>
    <n v="34290"/>
    <n v="129.79944576"/>
    <n v="142.875"/>
    <s v="Mar"/>
    <x v="9"/>
    <m/>
    <m/>
  </r>
  <r>
    <n v="84164936"/>
    <x v="2"/>
    <n v="15120"/>
    <d v="2026-03-16T00:00:00"/>
    <s v="BJ US-IC-MintChocCookie-8 1PT"/>
    <x v="10"/>
    <n v="3.7853439999999999E-3"/>
    <n v="240"/>
    <x v="3"/>
    <x v="4"/>
    <n v="1"/>
    <n v="15120"/>
    <n v="57.23440128"/>
    <n v="63"/>
    <s v="Mar"/>
    <x v="9"/>
    <m/>
    <m/>
  </r>
  <r>
    <n v="84164936"/>
    <x v="2"/>
    <n v="14400"/>
    <d v="2026-03-17T00:00:00"/>
    <s v="BJ US-IC-MintChocCookie-8 1PT"/>
    <x v="10"/>
    <n v="3.7853439999999999E-3"/>
    <n v="240"/>
    <x v="3"/>
    <x v="4"/>
    <n v="1"/>
    <n v="14400"/>
    <n v="54.508953599999998"/>
    <n v="60"/>
    <s v="Mar"/>
    <x v="9"/>
    <m/>
    <m/>
  </r>
  <r>
    <n v="84164936"/>
    <x v="2"/>
    <n v="7440"/>
    <d v="2026-03-17T00:00:00"/>
    <s v="BJ US-IC-MintChocCookie-8 1PT"/>
    <x v="10"/>
    <n v="3.7853439999999999E-3"/>
    <n v="240"/>
    <x v="3"/>
    <x v="4"/>
    <n v="1"/>
    <n v="7440"/>
    <n v="28.162959359999999"/>
    <n v="31"/>
    <s v="Mar"/>
    <x v="9"/>
    <m/>
    <m/>
  </r>
  <r>
    <n v="84164936"/>
    <x v="2"/>
    <n v="41760"/>
    <d v="2026-03-18T00:00:00"/>
    <s v="BJ US-IC-MintChocCookie-8 1PT"/>
    <x v="10"/>
    <n v="3.7853439999999999E-3"/>
    <n v="240"/>
    <x v="3"/>
    <x v="4"/>
    <n v="1"/>
    <n v="41760"/>
    <n v="158.07596544"/>
    <n v="174"/>
    <s v="Mar"/>
    <x v="9"/>
    <m/>
    <m/>
  </r>
  <r>
    <n v="84164936"/>
    <x v="2"/>
    <n v="15924"/>
    <d v="2026-03-19T00:00:00"/>
    <s v="BJ US-IC-MintChocCookie-8 1PT"/>
    <x v="10"/>
    <n v="3.7853439999999999E-3"/>
    <n v="240"/>
    <x v="3"/>
    <x v="4"/>
    <n v="1"/>
    <n v="15924"/>
    <n v="60.277817855999999"/>
    <n v="66.349999999999994"/>
    <s v="Mar"/>
    <x v="9"/>
    <m/>
    <m/>
  </r>
  <r>
    <n v="65434831"/>
    <x v="3"/>
    <n v="14880"/>
    <d v="2026-03-03T00:00:00"/>
    <s v="BJ US-IC-Honey Graham Latte-8 1PT LTD"/>
    <x v="24"/>
    <n v="3.7839999999999996E-3"/>
    <n v="240"/>
    <x v="3"/>
    <x v="13"/>
    <n v="1"/>
    <n v="14880"/>
    <n v="56.305919999999993"/>
    <n v="62"/>
    <s v="Mar"/>
    <x v="11"/>
    <m/>
    <m/>
  </r>
  <r>
    <n v="65434831"/>
    <x v="3"/>
    <n v="20147"/>
    <d v="2026-03-04T00:00:00"/>
    <s v="BJ US-IC-Honey Graham Latte-8 1PT LTD"/>
    <x v="24"/>
    <n v="3.7839999999999996E-3"/>
    <n v="240"/>
    <x v="3"/>
    <x v="13"/>
    <n v="1"/>
    <n v="20147"/>
    <n v="76.236247999999989"/>
    <n v="83.94583333333334"/>
    <s v="Mar"/>
    <x v="11"/>
    <m/>
    <m/>
  </r>
  <r>
    <n v="67430513"/>
    <x v="3"/>
    <n v="8880"/>
    <d v="2026-02-26T00:00:00"/>
    <s v="BJ US-IC-PeanutButterCup-8 1PT"/>
    <x v="24"/>
    <n v="3.7839999999999996E-3"/>
    <n v="240"/>
    <x v="3"/>
    <x v="13"/>
    <n v="1"/>
    <n v="8880"/>
    <n v="33.60192"/>
    <n v="37"/>
    <s v="Feb"/>
    <x v="6"/>
    <m/>
    <m/>
  </r>
  <r>
    <n v="67430513"/>
    <x v="3"/>
    <n v="30000"/>
    <d v="2026-02-27T00:00:00"/>
    <s v="BJ US-IC-PeanutButterCup-8 1PT"/>
    <x v="24"/>
    <n v="3.7839999999999996E-3"/>
    <n v="240"/>
    <x v="3"/>
    <x v="13"/>
    <n v="1"/>
    <n v="30000"/>
    <n v="113.51999999999998"/>
    <n v="125"/>
    <s v="Feb"/>
    <x v="6"/>
    <m/>
    <m/>
  </r>
  <r>
    <n v="67430513"/>
    <x v="3"/>
    <n v="25920"/>
    <d v="2026-02-28T00:00:00"/>
    <s v="BJ US-IC-PeanutButterCup-8 1PT"/>
    <x v="24"/>
    <n v="3.7839999999999996E-3"/>
    <n v="240"/>
    <x v="3"/>
    <x v="13"/>
    <n v="1"/>
    <n v="25920"/>
    <n v="98.081279999999992"/>
    <n v="108"/>
    <s v="Feb"/>
    <x v="6"/>
    <m/>
    <m/>
  </r>
  <r>
    <n v="67546042"/>
    <x v="3"/>
    <n v="2160"/>
    <d v="2026-02-24T00:00:00"/>
    <s v="BJ US-COR-ChocolateChip-8 1 PT"/>
    <x v="24"/>
    <n v="3.7853439999999999E-3"/>
    <n v="240"/>
    <x v="3"/>
    <x v="13"/>
    <n v="1"/>
    <n v="2160"/>
    <n v="8.176343039999999"/>
    <n v="9"/>
    <s v="Feb"/>
    <x v="6"/>
    <m/>
    <m/>
  </r>
  <r>
    <n v="67546042"/>
    <x v="3"/>
    <n v="25125"/>
    <d v="2026-02-25T00:00:00"/>
    <s v="BJ US-COR-ChocolateChip-8 1 PT"/>
    <x v="24"/>
    <n v="3.7853439999999999E-3"/>
    <n v="240"/>
    <x v="3"/>
    <x v="13"/>
    <n v="1"/>
    <n v="25125"/>
    <n v="95.106768000000002"/>
    <n v="104.6875"/>
    <s v="Feb"/>
    <x v="6"/>
    <m/>
    <m/>
  </r>
  <r>
    <n v="67546042"/>
    <x v="3"/>
    <n v="5393"/>
    <d v="2026-02-26T00:00:00"/>
    <s v="BJ US-COR-ChocolateChip-8 1 PT"/>
    <x v="24"/>
    <n v="3.7853439999999999E-3"/>
    <n v="240"/>
    <x v="3"/>
    <x v="13"/>
    <n v="1"/>
    <n v="5393"/>
    <n v="20.414360192"/>
    <n v="22.470833333333335"/>
    <s v="Feb"/>
    <x v="6"/>
    <m/>
    <m/>
  </r>
  <r>
    <n v="67546042"/>
    <x v="3"/>
    <n v="5760"/>
    <d v="2026-03-24T00:00:00"/>
    <s v="BJ US-COR-ChocolateChip-8 1 PT"/>
    <x v="24"/>
    <n v="3.7853439999999999E-3"/>
    <n v="240"/>
    <x v="3"/>
    <x v="13"/>
    <n v="1"/>
    <n v="5760"/>
    <n v="21.803581439999999"/>
    <n v="24"/>
    <s v="Mar"/>
    <x v="10"/>
    <m/>
    <m/>
  </r>
  <r>
    <n v="67596354"/>
    <x v="3"/>
    <n v="12153"/>
    <d v="2026-03-16T00:00:00"/>
    <s v="BJ R01-IC-TripleCaramlChnk-8 458ML"/>
    <x v="24"/>
    <n v="3.6640000000000002E-3"/>
    <n v="240"/>
    <x v="10"/>
    <x v="18"/>
    <n v="1"/>
    <n v="12153"/>
    <n v="44.528592000000003"/>
    <n v="50.637500000000003"/>
    <s v="Mar"/>
    <x v="9"/>
    <m/>
    <m/>
  </r>
  <r>
    <n v="67789314"/>
    <x v="3"/>
    <n v="-63"/>
    <d v="2026-02-23T00:00:00"/>
    <s v="BJ US-IC-PBHalfBaked-8 1 PT"/>
    <x v="24"/>
    <n v="3.7853439999999999E-3"/>
    <n v="240"/>
    <x v="3"/>
    <x v="13"/>
    <n v="1"/>
    <n v="-63"/>
    <n v="-0.238476672"/>
    <n v="-0.26250000000000001"/>
    <s v="Feb"/>
    <x v="6"/>
    <m/>
    <m/>
  </r>
  <r>
    <n v="67789314"/>
    <x v="3"/>
    <n v="15600"/>
    <d v="2026-03-17T00:00:00"/>
    <s v="BJ US-IC-PBHalfBaked-8 1 PT"/>
    <x v="24"/>
    <n v="3.7853439999999999E-3"/>
    <n v="240"/>
    <x v="3"/>
    <x v="13"/>
    <n v="1"/>
    <n v="15600"/>
    <n v="59.051366399999999"/>
    <n v="65"/>
    <s v="Mar"/>
    <x v="9"/>
    <m/>
    <m/>
  </r>
  <r>
    <n v="67789314"/>
    <x v="3"/>
    <n v="14481"/>
    <d v="2026-03-18T00:00:00"/>
    <s v="BJ US-IC-PBHalfBaked-8 1 PT"/>
    <x v="24"/>
    <n v="3.7853439999999999E-3"/>
    <n v="240"/>
    <x v="3"/>
    <x v="13"/>
    <n v="1"/>
    <n v="14481"/>
    <n v="54.815566464"/>
    <n v="60.337499999999999"/>
    <s v="Mar"/>
    <x v="9"/>
    <m/>
    <m/>
  </r>
  <r>
    <n v="67794167"/>
    <x v="3"/>
    <n v="28800"/>
    <d v="2026-02-26T00:00:00"/>
    <s v="BJ US-IC-Milk+Cookies-8 1PT"/>
    <x v="30"/>
    <n v="3.7853439999999999E-3"/>
    <n v="240"/>
    <x v="3"/>
    <x v="13"/>
    <n v="1"/>
    <n v="28800"/>
    <n v="109.0179072"/>
    <n v="120"/>
    <s v="Feb"/>
    <x v="6"/>
    <m/>
    <m/>
  </r>
  <r>
    <n v="67794167"/>
    <x v="3"/>
    <n v="33441"/>
    <d v="2026-02-27T00:00:00"/>
    <s v="BJ US-IC-Milk+Cookies-8 1PT"/>
    <x v="30"/>
    <n v="3.7853439999999999E-3"/>
    <n v="240"/>
    <x v="3"/>
    <x v="13"/>
    <n v="1"/>
    <n v="33441"/>
    <n v="126.58568870399999"/>
    <n v="139.33750000000001"/>
    <s v="Feb"/>
    <x v="6"/>
    <m/>
    <m/>
  </r>
  <r>
    <n v="67794167"/>
    <x v="3"/>
    <n v="-74"/>
    <d v="2026-02-28T00:00:00"/>
    <s v="BJ US-IC-Milk+Cookies-8 1PT"/>
    <x v="30"/>
    <n v="3.7853439999999999E-3"/>
    <n v="240"/>
    <x v="3"/>
    <x v="13"/>
    <n v="1"/>
    <n v="-74"/>
    <n v="-0.28011545599999998"/>
    <n v="-0.30833333333333335"/>
    <s v="Feb"/>
    <x v="6"/>
    <m/>
    <m/>
  </r>
  <r>
    <n v="67794167"/>
    <x v="3"/>
    <n v="26784"/>
    <d v="2026-03-16T00:00:00"/>
    <s v="BJ US-IC-Milk+Cookies-8 1PT"/>
    <x v="30"/>
    <n v="3.7853439999999999E-3"/>
    <n v="240"/>
    <x v="3"/>
    <x v="13"/>
    <n v="1"/>
    <n v="26784"/>
    <n v="101.386653696"/>
    <n v="111.6"/>
    <s v="Mar"/>
    <x v="9"/>
    <m/>
    <m/>
  </r>
  <r>
    <n v="67794167"/>
    <x v="3"/>
    <n v="5280"/>
    <d v="2026-03-17T00:00:00"/>
    <s v="BJ US-IC-Milk+Cookies-8 1PT"/>
    <x v="30"/>
    <n v="3.7853439999999999E-3"/>
    <n v="240"/>
    <x v="3"/>
    <x v="13"/>
    <n v="1"/>
    <n v="5280"/>
    <n v="19.98661632"/>
    <n v="22"/>
    <s v="Mar"/>
    <x v="9"/>
    <m/>
    <m/>
  </r>
  <r>
    <n v="67794167"/>
    <x v="3"/>
    <n v="-384"/>
    <d v="2026-03-19T00:00:00"/>
    <s v="BJ US-IC-Milk+Cookies-8 1PT"/>
    <x v="30"/>
    <n v="3.7853439999999999E-3"/>
    <n v="240"/>
    <x v="3"/>
    <x v="13"/>
    <n v="1"/>
    <n v="-384"/>
    <n v="-1.453572096"/>
    <n v="-1.6"/>
    <s v="Mar"/>
    <x v="9"/>
    <m/>
    <m/>
  </r>
  <r>
    <n v="67794167"/>
    <x v="3"/>
    <n v="30934"/>
    <d v="2026-03-17T00:00:00"/>
    <s v="BJ US-IC-Milk+Cookies-8 1PT"/>
    <x v="30"/>
    <n v="3.7853439999999999E-3"/>
    <n v="240"/>
    <x v="3"/>
    <x v="13"/>
    <n v="1"/>
    <n v="30934"/>
    <n v="117.095831296"/>
    <n v="128.89166666666668"/>
    <s v="Mar"/>
    <x v="9"/>
    <m/>
    <m/>
  </r>
  <r>
    <n v="67794167"/>
    <x v="3"/>
    <n v="19323"/>
    <d v="2026-03-18T00:00:00"/>
    <s v="BJ US-IC-Milk+Cookies-8 1PT"/>
    <x v="30"/>
    <n v="3.7853439999999999E-3"/>
    <n v="240"/>
    <x v="3"/>
    <x v="13"/>
    <n v="1"/>
    <n v="19323"/>
    <n v="73.144202112000002"/>
    <n v="80.512500000000003"/>
    <s v="Mar"/>
    <x v="9"/>
    <m/>
    <m/>
  </r>
  <r>
    <n v="67794167"/>
    <x v="3"/>
    <n v="5280"/>
    <d v="2026-03-17T00:00:00"/>
    <s v="BJ US-IC-Milk+Cookies-8 1PT"/>
    <x v="24"/>
    <n v="3.7853439999999999E-3"/>
    <n v="240"/>
    <x v="3"/>
    <x v="13"/>
    <n v="1"/>
    <n v="5280"/>
    <n v="19.98661632"/>
    <n v="22"/>
    <s v="Mar"/>
    <x v="9"/>
    <m/>
    <m/>
  </r>
  <r>
    <n v="67794167"/>
    <x v="3"/>
    <n v="29760"/>
    <d v="2026-03-18T00:00:00"/>
    <s v="BJ US-IC-Milk+Cookies-8 1PT"/>
    <x v="24"/>
    <n v="3.7853439999999999E-3"/>
    <n v="240"/>
    <x v="3"/>
    <x v="13"/>
    <n v="1"/>
    <n v="29760"/>
    <n v="112.65183743999999"/>
    <n v="124"/>
    <s v="Mar"/>
    <x v="9"/>
    <m/>
    <m/>
  </r>
  <r>
    <n v="67794167"/>
    <x v="3"/>
    <n v="537"/>
    <d v="2026-03-19T00:00:00"/>
    <s v="BJ US-IC-Milk+Cookies-8 1PT"/>
    <x v="24"/>
    <n v="3.7853439999999999E-3"/>
    <n v="240"/>
    <x v="3"/>
    <x v="13"/>
    <n v="1"/>
    <n v="537"/>
    <n v="2.0327297280000001"/>
    <n v="2.2374999999999998"/>
    <s v="Mar"/>
    <x v="9"/>
    <m/>
    <m/>
  </r>
  <r>
    <n v="67794169"/>
    <x v="3"/>
    <n v="-357"/>
    <d v="2026-02-23T00:00:00"/>
    <s v="BJ US-IC-TonightDough-8 1PT"/>
    <x v="24"/>
    <n v="3.7853439999999999E-3"/>
    <n v="240"/>
    <x v="3"/>
    <x v="13"/>
    <n v="1"/>
    <n v="-357"/>
    <n v="-1.351367808"/>
    <n v="-1.4875"/>
    <s v="Feb"/>
    <x v="6"/>
    <m/>
    <m/>
  </r>
  <r>
    <n v="67794169"/>
    <x v="3"/>
    <n v="20400"/>
    <d v="2026-03-09T00:00:00"/>
    <s v="BJ US-IC-TonightDough-8 1PT"/>
    <x v="24"/>
    <n v="3.7853439999999999E-3"/>
    <n v="240"/>
    <x v="3"/>
    <x v="13"/>
    <n v="1"/>
    <n v="20400"/>
    <n v="77.221017599999996"/>
    <n v="85"/>
    <s v="Mar"/>
    <x v="12"/>
    <m/>
    <m/>
  </r>
  <r>
    <n v="67794169"/>
    <x v="3"/>
    <n v="28320"/>
    <d v="2026-03-10T00:00:00"/>
    <s v="BJ US-IC-TonightDough-8 1PT"/>
    <x v="24"/>
    <n v="3.7853439999999999E-3"/>
    <n v="240"/>
    <x v="3"/>
    <x v="13"/>
    <n v="1"/>
    <n v="28320"/>
    <n v="107.20094208"/>
    <n v="118"/>
    <s v="Mar"/>
    <x v="12"/>
    <m/>
    <m/>
  </r>
  <r>
    <n v="67794169"/>
    <x v="3"/>
    <n v="3638"/>
    <d v="2026-03-11T00:00:00"/>
    <s v="BJ US-IC-TonightDough-8 1PT"/>
    <x v="24"/>
    <n v="3.7853439999999999E-3"/>
    <n v="240"/>
    <x v="3"/>
    <x v="13"/>
    <n v="1"/>
    <n v="3638"/>
    <n v="13.771081472000001"/>
    <n v="15.158333333333333"/>
    <s v="Mar"/>
    <x v="12"/>
    <m/>
    <m/>
  </r>
  <r>
    <n v="67794169"/>
    <x v="3"/>
    <n v="20400"/>
    <d v="2026-03-19T00:00:00"/>
    <s v="BJ US-IC-TonightDough-8 1PT"/>
    <x v="10"/>
    <n v="3.7853439999999999E-3"/>
    <n v="240"/>
    <x v="3"/>
    <x v="13"/>
    <n v="1"/>
    <n v="20400"/>
    <n v="77.221017599999996"/>
    <n v="85"/>
    <s v="Mar"/>
    <x v="9"/>
    <m/>
    <m/>
  </r>
  <r>
    <n v="67794169"/>
    <x v="3"/>
    <n v="28094"/>
    <d v="2026-03-20T00:00:00"/>
    <s v="BJ US-IC-TonightDough-8 1PT"/>
    <x v="10"/>
    <n v="3.7853439999999999E-3"/>
    <n v="240"/>
    <x v="3"/>
    <x v="13"/>
    <n v="1"/>
    <n v="28094"/>
    <n v="106.345454336"/>
    <n v="117.05833333333334"/>
    <s v="Mar"/>
    <x v="9"/>
    <m/>
    <m/>
  </r>
  <r>
    <n v="67794169"/>
    <x v="3"/>
    <n v="-480"/>
    <d v="2026-03-21T00:00:00"/>
    <s v="BJ US-IC-TonightDough-8 1PT"/>
    <x v="10"/>
    <n v="3.7853439999999999E-3"/>
    <n v="240"/>
    <x v="3"/>
    <x v="13"/>
    <n v="1"/>
    <n v="-480"/>
    <n v="-1.8169651199999999"/>
    <n v="-2"/>
    <s v="Mar"/>
    <x v="9"/>
    <m/>
    <m/>
  </r>
  <r>
    <n v="67794169"/>
    <x v="3"/>
    <n v="-31"/>
    <d v="2026-03-24T00:00:00"/>
    <s v="BJ US-IC-TonightDough-8 1PT"/>
    <x v="10"/>
    <n v="3.7853439999999999E-3"/>
    <n v="240"/>
    <x v="3"/>
    <x v="13"/>
    <n v="1"/>
    <n v="-31"/>
    <n v="-0.117345664"/>
    <n v="-0.12916666666666668"/>
    <s v="Mar"/>
    <x v="10"/>
    <m/>
    <m/>
  </r>
  <r>
    <n v="67794170"/>
    <x v="3"/>
    <n v="2880"/>
    <d v="2026-03-05T00:00:00"/>
    <s v="BJ US-IC-PeanutButterWorld-8 1PT"/>
    <x v="30"/>
    <n v="3.7853439999999999E-3"/>
    <n v="240"/>
    <x v="3"/>
    <x v="13"/>
    <n v="1"/>
    <n v="2880"/>
    <n v="10.901790719999999"/>
    <n v="12"/>
    <s v="Mar"/>
    <x v="11"/>
    <m/>
    <m/>
  </r>
  <r>
    <n v="67794170"/>
    <x v="3"/>
    <n v="11145"/>
    <d v="2026-03-06T00:00:00"/>
    <s v="BJ US-IC-PeanutButterWorld-8 1PT"/>
    <x v="30"/>
    <n v="3.7853439999999999E-3"/>
    <n v="240"/>
    <x v="3"/>
    <x v="13"/>
    <n v="1"/>
    <n v="11145"/>
    <n v="42.187658880000001"/>
    <n v="46.4375"/>
    <s v="Mar"/>
    <x v="11"/>
    <m/>
    <m/>
  </r>
  <r>
    <n v="67803006"/>
    <x v="3"/>
    <n v="11334"/>
    <d v="2026-03-19T00:00:00"/>
    <s v="BJ R01-IC-TonightDough-8 458ML"/>
    <x v="10"/>
    <n v="3.7839999999999996E-3"/>
    <n v="240"/>
    <x v="10"/>
    <x v="18"/>
    <n v="1"/>
    <n v="11334"/>
    <n v="42.887855999999992"/>
    <n v="47.225000000000001"/>
    <s v="Mar"/>
    <x v="9"/>
    <m/>
    <m/>
  </r>
  <r>
    <n v="67826412"/>
    <x v="3"/>
    <n v="5040"/>
    <d v="2026-03-11T00:00:00"/>
    <s v="BJ US-IC-ChunkyMonkey-FTNG-8 1PT"/>
    <x v="10"/>
    <n v="3.7853439999999999E-3"/>
    <n v="240"/>
    <x v="3"/>
    <x v="13"/>
    <n v="1"/>
    <n v="5040"/>
    <n v="19.07813376"/>
    <n v="21"/>
    <s v="Mar"/>
    <x v="12"/>
    <m/>
    <m/>
  </r>
  <r>
    <n v="67826412"/>
    <x v="3"/>
    <n v="27535"/>
    <d v="2026-03-12T00:00:00"/>
    <s v="BJ US-IC-ChunkyMonkey-FTNG-8 1PT"/>
    <x v="10"/>
    <n v="3.7853439999999999E-3"/>
    <n v="240"/>
    <x v="3"/>
    <x v="13"/>
    <n v="1"/>
    <n v="27535"/>
    <n v="104.22944704"/>
    <n v="114.72916666666667"/>
    <s v="Mar"/>
    <x v="12"/>
    <m/>
    <m/>
  </r>
  <r>
    <n v="67826412"/>
    <x v="3"/>
    <n v="30480"/>
    <d v="2026-03-13T00:00:00"/>
    <s v="BJ US-IC-ChunkyMonkey-FTNG-8 1PT"/>
    <x v="10"/>
    <n v="3.7853439999999999E-3"/>
    <n v="240"/>
    <x v="3"/>
    <x v="13"/>
    <n v="1"/>
    <n v="30480"/>
    <n v="115.37728512"/>
    <n v="127"/>
    <s v="Mar"/>
    <x v="12"/>
    <m/>
    <m/>
  </r>
  <r>
    <n v="67826412"/>
    <x v="3"/>
    <n v="9309"/>
    <d v="2026-03-14T00:00:00"/>
    <s v="BJ US-IC-ChunkyMonkey-FTNG-8 1PT"/>
    <x v="10"/>
    <n v="3.7853439999999999E-3"/>
    <n v="240"/>
    <x v="3"/>
    <x v="13"/>
    <n v="1"/>
    <n v="9309"/>
    <n v="35.237767296000001"/>
    <n v="38.787500000000001"/>
    <s v="Mar"/>
    <x v="12"/>
    <m/>
    <m/>
  </r>
  <r>
    <n v="67881628"/>
    <x v="3"/>
    <n v="18000"/>
    <d v="2026-02-23T00:00:00"/>
    <s v="BJ US-IC- CrmlChcChsck- 8 1PT"/>
    <x v="24"/>
    <n v="3.7853439999999999E-3"/>
    <n v="240"/>
    <x v="3"/>
    <x v="13"/>
    <n v="1"/>
    <n v="18000"/>
    <n v="68.136191999999994"/>
    <n v="75"/>
    <s v="Feb"/>
    <x v="6"/>
    <m/>
    <m/>
  </r>
  <r>
    <n v="67881628"/>
    <x v="3"/>
    <n v="14944"/>
    <d v="2026-02-24T00:00:00"/>
    <s v="BJ US-IC- CrmlChcChsck- 8 1PT"/>
    <x v="24"/>
    <n v="3.7853439999999999E-3"/>
    <n v="240"/>
    <x v="3"/>
    <x v="13"/>
    <n v="1"/>
    <n v="14944"/>
    <n v="56.568180736000002"/>
    <n v="62.266666666666666"/>
    <s v="Feb"/>
    <x v="6"/>
    <m/>
    <m/>
  </r>
  <r>
    <n v="67881629"/>
    <x v="3"/>
    <n v="14640"/>
    <d v="2026-03-03T00:00:00"/>
    <s v="BJ US-COR-BrownieBatter-8 1PT"/>
    <x v="10"/>
    <n v="3.7853439999999999E-3"/>
    <n v="240"/>
    <x v="3"/>
    <x v="13"/>
    <n v="1"/>
    <n v="14640"/>
    <n v="55.417436160000001"/>
    <n v="61"/>
    <s v="Mar"/>
    <x v="11"/>
    <m/>
    <m/>
  </r>
  <r>
    <n v="67881629"/>
    <x v="3"/>
    <n v="23690"/>
    <d v="2026-03-04T00:00:00"/>
    <s v="BJ US-COR-BrownieBatter-8 1PT"/>
    <x v="10"/>
    <n v="3.7853439999999999E-3"/>
    <n v="240"/>
    <x v="3"/>
    <x v="13"/>
    <n v="1"/>
    <n v="23690"/>
    <n v="89.674799359999994"/>
    <n v="98.708333333333329"/>
    <s v="Mar"/>
    <x v="11"/>
    <m/>
    <m/>
  </r>
  <r>
    <n v="67881629"/>
    <x v="3"/>
    <n v="13200"/>
    <d v="2026-03-23T00:00:00"/>
    <s v="BJ US-COR-BrownieBatter-8 1PT"/>
    <x v="10"/>
    <n v="3.7853439999999999E-3"/>
    <n v="240"/>
    <x v="3"/>
    <x v="13"/>
    <n v="1"/>
    <n v="13200"/>
    <n v="49.966540799999997"/>
    <n v="55"/>
    <s v="Mar"/>
    <x v="10"/>
    <m/>
    <m/>
  </r>
  <r>
    <n v="67881629"/>
    <x v="3"/>
    <n v="19394"/>
    <d v="2026-03-24T00:00:00"/>
    <s v="BJ US-COR-BrownieBatter-8 1PT"/>
    <x v="10"/>
    <n v="3.7853439999999999E-3"/>
    <n v="240"/>
    <x v="3"/>
    <x v="13"/>
    <n v="1"/>
    <n v="19394"/>
    <n v="73.412961535999997"/>
    <n v="80.808333333333337"/>
    <s v="Mar"/>
    <x v="10"/>
    <m/>
    <m/>
  </r>
  <r>
    <n v="68638140"/>
    <x v="3"/>
    <n v="7061"/>
    <d v="2026-03-09T00:00:00"/>
    <s v="BJ MX-IC-CHOCCHPCOOKDGH-8 1PT"/>
    <x v="24"/>
    <n v="3.7853439999999999E-3"/>
    <n v="240"/>
    <x v="3"/>
    <x v="13"/>
    <n v="1"/>
    <n v="7061"/>
    <n v="26.728313984"/>
    <n v="29.420833333333334"/>
    <s v="Mar"/>
    <x v="12"/>
    <m/>
    <m/>
  </r>
  <r>
    <n v="68940226"/>
    <x v="3"/>
    <n v="1440"/>
    <d v="2026-03-04T00:00:00"/>
    <s v="BJ US-IC-MoussePie-8 1PT"/>
    <x v="24"/>
    <n v="3.7839999999999996E-3"/>
    <n v="240"/>
    <x v="3"/>
    <x v="13"/>
    <n v="1"/>
    <n v="1440"/>
    <n v="5.4489599999999996"/>
    <n v="6"/>
    <s v="Mar"/>
    <x v="11"/>
    <m/>
    <m/>
  </r>
  <r>
    <n v="68940226"/>
    <x v="3"/>
    <n v="14933"/>
    <d v="2026-03-05T00:00:00"/>
    <s v="BJ US-IC-MoussePie-8 1PT"/>
    <x v="24"/>
    <n v="3.7839999999999996E-3"/>
    <n v="240"/>
    <x v="3"/>
    <x v="13"/>
    <n v="1"/>
    <n v="14933"/>
    <n v="56.506471999999995"/>
    <n v="62.220833333333331"/>
    <s v="Mar"/>
    <x v="11"/>
    <m/>
    <m/>
  </r>
  <r>
    <n v="69797289"/>
    <x v="3"/>
    <n v="9600"/>
    <d v="2026-03-16T00:00:00"/>
    <s v="BJ US-IC-Impretzively Fudged-8 1PT"/>
    <x v="24"/>
    <n v="3.7839999999999996E-3"/>
    <n v="240"/>
    <x v="3"/>
    <x v="13"/>
    <n v="1"/>
    <n v="9600"/>
    <n v="36.3264"/>
    <n v="40"/>
    <s v="Mar"/>
    <x v="9"/>
    <m/>
    <m/>
  </r>
  <r>
    <n v="69797289"/>
    <x v="3"/>
    <n v="6645"/>
    <d v="2026-03-17T00:00:00"/>
    <s v="BJ US-IC-Impretzively Fudged-8 1PT"/>
    <x v="24"/>
    <n v="3.7839999999999996E-3"/>
    <n v="240"/>
    <x v="3"/>
    <x v="13"/>
    <n v="1"/>
    <n v="6645"/>
    <n v="25.144679999999997"/>
    <n v="27.6875"/>
    <s v="Mar"/>
    <x v="9"/>
    <m/>
    <m/>
  </r>
  <r>
    <n v="69797289"/>
    <x v="3"/>
    <n v="-240"/>
    <d v="2026-03-18T00:00:00"/>
    <s v="BJ US-IC-Impretzively Fudged-8 1PT"/>
    <x v="24"/>
    <n v="3.7839999999999996E-3"/>
    <n v="240"/>
    <x v="3"/>
    <x v="13"/>
    <n v="1"/>
    <n v="-240"/>
    <n v="-0.90815999999999986"/>
    <n v="-1"/>
    <s v="Mar"/>
    <x v="9"/>
    <m/>
    <m/>
  </r>
  <r>
    <n v="69797296"/>
    <x v="3"/>
    <n v="7440"/>
    <d v="2026-03-06T00:00:00"/>
    <s v="BJ US-IC-PB Smore-8 1PT"/>
    <x v="24"/>
    <n v="3.7839999999999996E-3"/>
    <n v="240"/>
    <x v="3"/>
    <x v="13"/>
    <n v="1"/>
    <n v="7440"/>
    <n v="28.152959999999997"/>
    <n v="31"/>
    <s v="Mar"/>
    <x v="11"/>
    <m/>
    <m/>
  </r>
  <r>
    <n v="69797296"/>
    <x v="3"/>
    <n v="29040"/>
    <d v="2026-03-07T00:00:00"/>
    <s v="BJ US-IC-PB Smore-8 1PT"/>
    <x v="24"/>
    <n v="3.7839999999999996E-3"/>
    <n v="240"/>
    <x v="3"/>
    <x v="13"/>
    <n v="1"/>
    <n v="29040"/>
    <n v="109.88735999999999"/>
    <n v="121"/>
    <s v="Mar"/>
    <x v="11"/>
    <m/>
    <m/>
  </r>
  <r>
    <n v="69797296"/>
    <x v="3"/>
    <n v="74"/>
    <d v="2026-03-08T00:00:00"/>
    <s v="BJ US-IC-PB Smore-8 1PT"/>
    <x v="24"/>
    <n v="3.7839999999999996E-3"/>
    <n v="240"/>
    <x v="3"/>
    <x v="13"/>
    <n v="1"/>
    <n v="74"/>
    <n v="0.28001599999999999"/>
    <n v="0.30833333333333335"/>
    <s v="Mar"/>
    <x v="12"/>
    <m/>
    <m/>
  </r>
  <r>
    <n v="69997338"/>
    <x v="3"/>
    <n v="3625"/>
    <d v="2026-03-19T00:00:00"/>
    <s v="BJ US-IC-StrawberryChscke-FTNG-1 2.4G"/>
    <x v="24"/>
    <n v="9.0850000000000011E-3"/>
    <n v="125"/>
    <x v="13"/>
    <x v="20"/>
    <n v="1"/>
    <n v="3625"/>
    <n v="32.933125000000004"/>
    <n v="29"/>
    <s v="Mar"/>
    <x v="9"/>
    <m/>
    <m/>
  </r>
  <r>
    <n v="69997338"/>
    <x v="3"/>
    <n v="2666"/>
    <d v="2026-03-20T00:00:00"/>
    <s v="BJ US-IC-StrawberryChscke-FTNG-1 2.4G"/>
    <x v="24"/>
    <n v="9.0850000000000011E-3"/>
    <n v="125"/>
    <x v="13"/>
    <x v="20"/>
    <n v="1"/>
    <n v="2666"/>
    <n v="24.220610000000004"/>
    <n v="21.327999999999999"/>
    <s v="Mar"/>
    <x v="9"/>
    <m/>
    <m/>
  </r>
  <r>
    <n v="69999266"/>
    <x v="3"/>
    <n v="4560"/>
    <d v="2026-03-16T00:00:00"/>
    <s v="BJ US -IC-LightsCaramelAction-8 1PT"/>
    <x v="24"/>
    <n v="3.7839999999999996E-3"/>
    <n v="240"/>
    <x v="3"/>
    <x v="13"/>
    <n v="1"/>
    <n v="4560"/>
    <n v="17.255039999999997"/>
    <n v="19"/>
    <s v="Mar"/>
    <x v="9"/>
    <m/>
    <m/>
  </r>
  <r>
    <n v="69999266"/>
    <x v="3"/>
    <n v="18978"/>
    <d v="2026-03-17T00:00:00"/>
    <s v="BJ US -IC-LightsCaramelAction-8 1PT"/>
    <x v="24"/>
    <n v="3.7839999999999996E-3"/>
    <n v="240"/>
    <x v="3"/>
    <x v="13"/>
    <n v="1"/>
    <n v="18978"/>
    <n v="71.812751999999989"/>
    <n v="79.075000000000003"/>
    <s v="Mar"/>
    <x v="9"/>
    <m/>
    <m/>
  </r>
  <r>
    <n v="69999267"/>
    <x v="3"/>
    <n v="7920"/>
    <d v="2026-02-24T00:00:00"/>
    <s v="BJ US-IC-GimmeSmore-8 1PT"/>
    <x v="24"/>
    <n v="3.7839999999999996E-3"/>
    <n v="240"/>
    <x v="3"/>
    <x v="13"/>
    <n v="1"/>
    <n v="7920"/>
    <n v="29.969279999999998"/>
    <n v="33"/>
    <s v="Feb"/>
    <x v="6"/>
    <m/>
    <m/>
  </r>
  <r>
    <n v="69999267"/>
    <x v="3"/>
    <n v="26729"/>
    <d v="2026-02-25T00:00:00"/>
    <s v="BJ US-IC-GimmeSmore-8 1PT"/>
    <x v="24"/>
    <n v="3.7839999999999996E-3"/>
    <n v="240"/>
    <x v="3"/>
    <x v="13"/>
    <n v="1"/>
    <n v="26729"/>
    <n v="101.14253599999999"/>
    <n v="111.37083333333334"/>
    <s v="Feb"/>
    <x v="6"/>
    <m/>
    <m/>
  </r>
  <r>
    <n v="69999268"/>
    <x v="3"/>
    <n v="18000"/>
    <d v="2026-03-23T00:00:00"/>
    <s v="BJ US-IC-ChurrayForChurros-8 1PT"/>
    <x v="24"/>
    <n v="3.7839999999999996E-3"/>
    <n v="240"/>
    <x v="3"/>
    <x v="13"/>
    <n v="1"/>
    <n v="18000"/>
    <n v="68.111999999999995"/>
    <n v="75"/>
    <s v="Mar"/>
    <x v="10"/>
    <m/>
    <m/>
  </r>
  <r>
    <n v="69999268"/>
    <x v="3"/>
    <n v="1708"/>
    <d v="2026-03-24T00:00:00"/>
    <s v="BJ US-IC-ChurrayForChurros-8 1PT"/>
    <x v="24"/>
    <n v="3.7839999999999996E-3"/>
    <n v="240"/>
    <x v="3"/>
    <x v="13"/>
    <n v="1"/>
    <n v="1708"/>
    <n v="6.4630719999999995"/>
    <n v="7.1166666666666663"/>
    <s v="Mar"/>
    <x v="10"/>
    <m/>
    <m/>
  </r>
  <r>
    <n v="69999269"/>
    <x v="3"/>
    <n v="-240"/>
    <d v="2026-02-23T00:00:00"/>
    <s v="BJ US-IC-StrawberryChscke-FTNG-8 1PT"/>
    <x v="30"/>
    <n v="3.7839999999999996E-3"/>
    <n v="240"/>
    <x v="3"/>
    <x v="13"/>
    <n v="1"/>
    <n v="-240"/>
    <n v="-0.90815999999999986"/>
    <n v="-1"/>
    <s v="Feb"/>
    <x v="6"/>
    <m/>
    <m/>
  </r>
  <r>
    <n v="69999269"/>
    <x v="3"/>
    <n v="17760"/>
    <d v="2026-03-04T00:00:00"/>
    <s v="BJ US-IC-StrawberryChscke-FTNG-8 1PT"/>
    <x v="30"/>
    <n v="3.7839999999999996E-3"/>
    <n v="240"/>
    <x v="3"/>
    <x v="13"/>
    <n v="1"/>
    <n v="17760"/>
    <n v="67.20384"/>
    <n v="74"/>
    <s v="Mar"/>
    <x v="11"/>
    <m/>
    <m/>
  </r>
  <r>
    <n v="69999269"/>
    <x v="3"/>
    <n v="42129"/>
    <d v="2026-03-05T00:00:00"/>
    <s v="BJ US-IC-StrawberryChscke-FTNG-8 1PT"/>
    <x v="30"/>
    <n v="3.7839999999999996E-3"/>
    <n v="240"/>
    <x v="3"/>
    <x v="13"/>
    <n v="1"/>
    <n v="42129"/>
    <n v="159.41613599999999"/>
    <n v="175.53749999999999"/>
    <s v="Mar"/>
    <x v="11"/>
    <m/>
    <m/>
  </r>
  <r>
    <n v="69999269"/>
    <x v="3"/>
    <n v="37419"/>
    <d v="2026-03-06T00:00:00"/>
    <s v="BJ US-IC-StrawberryChscke-FTNG-8 1PT"/>
    <x v="30"/>
    <n v="3.7839999999999996E-3"/>
    <n v="240"/>
    <x v="3"/>
    <x v="13"/>
    <n v="1"/>
    <n v="37419"/>
    <n v="141.59349599999999"/>
    <n v="155.91249999999999"/>
    <s v="Mar"/>
    <x v="11"/>
    <m/>
    <m/>
  </r>
  <r>
    <n v="69999269"/>
    <x v="3"/>
    <n v="14400"/>
    <d v="2026-03-12T00:00:00"/>
    <s v="BJ US-IC-StrawberryChscke-FTNG-8 1PT"/>
    <x v="30"/>
    <n v="3.7839999999999996E-3"/>
    <n v="240"/>
    <x v="3"/>
    <x v="13"/>
    <n v="1"/>
    <n v="14400"/>
    <n v="54.489599999999996"/>
    <n v="60"/>
    <s v="Mar"/>
    <x v="12"/>
    <m/>
    <m/>
  </r>
  <r>
    <n v="69999269"/>
    <x v="3"/>
    <n v="33840"/>
    <d v="2026-03-13T00:00:00"/>
    <s v="BJ US-IC-StrawberryChscke-FTNG-8 1PT"/>
    <x v="30"/>
    <n v="3.7839999999999996E-3"/>
    <n v="240"/>
    <x v="3"/>
    <x v="13"/>
    <n v="1"/>
    <n v="33840"/>
    <n v="128.05055999999999"/>
    <n v="141"/>
    <s v="Mar"/>
    <x v="12"/>
    <m/>
    <m/>
  </r>
  <r>
    <n v="69999269"/>
    <x v="3"/>
    <n v="2340"/>
    <d v="2026-03-14T00:00:00"/>
    <s v="BJ US-IC-StrawberryChscke-FTNG-8 1PT"/>
    <x v="30"/>
    <n v="3.7839999999999996E-3"/>
    <n v="240"/>
    <x v="3"/>
    <x v="13"/>
    <n v="1"/>
    <n v="2340"/>
    <n v="8.8545599999999993"/>
    <n v="9.75"/>
    <s v="Mar"/>
    <x v="12"/>
    <m/>
    <m/>
  </r>
  <r>
    <n v="69999269"/>
    <x v="3"/>
    <n v="22080"/>
    <d v="2026-03-24T00:00:00"/>
    <s v="BJ US-IC-StrawberryChscke-FTNG-8 1PT"/>
    <x v="24"/>
    <n v="3.7839999999999996E-3"/>
    <n v="240"/>
    <x v="3"/>
    <x v="13"/>
    <n v="1"/>
    <n v="22080"/>
    <n v="83.550719999999998"/>
    <n v="92"/>
    <s v="Mar"/>
    <x v="10"/>
    <m/>
    <m/>
  </r>
  <r>
    <n v="84135718"/>
    <x v="3"/>
    <n v="26880"/>
    <d v="2026-03-10T00:00:00"/>
    <s v="BJ US-IC-ChocChpCookDgh-FTNG-8 1PT"/>
    <x v="30"/>
    <n v="3.7853439999999999E-3"/>
    <n v="240"/>
    <x v="3"/>
    <x v="13"/>
    <n v="1"/>
    <n v="26880"/>
    <n v="101.75004672"/>
    <n v="112"/>
    <s v="Mar"/>
    <x v="12"/>
    <m/>
    <m/>
  </r>
  <r>
    <n v="84135718"/>
    <x v="3"/>
    <n v="39600"/>
    <d v="2026-03-11T00:00:00"/>
    <s v="BJ US-IC-ChocChpCookDgh-FTNG-8 1PT"/>
    <x v="30"/>
    <n v="3.7853439999999999E-3"/>
    <n v="240"/>
    <x v="3"/>
    <x v="13"/>
    <n v="1"/>
    <n v="39600"/>
    <n v="149.8996224"/>
    <n v="165"/>
    <s v="Mar"/>
    <x v="12"/>
    <m/>
    <m/>
  </r>
  <r>
    <n v="84135718"/>
    <x v="3"/>
    <n v="27336"/>
    <d v="2026-03-12T00:00:00"/>
    <s v="BJ US-IC-ChocChpCookDgh-FTNG-8 1PT"/>
    <x v="30"/>
    <n v="3.7853439999999999E-3"/>
    <n v="240"/>
    <x v="3"/>
    <x v="13"/>
    <n v="1"/>
    <n v="27336"/>
    <n v="103.47616358400001"/>
    <n v="113.9"/>
    <s v="Mar"/>
    <x v="12"/>
    <m/>
    <m/>
  </r>
  <r>
    <n v="84135795"/>
    <x v="3"/>
    <n v="3000"/>
    <d v="2026-03-10T00:00:00"/>
    <s v="BJ US-IC-Vanilla-FTNG-1 2.4G"/>
    <x v="24"/>
    <n v="9.0848256361922702E-3"/>
    <n v="125"/>
    <x v="13"/>
    <x v="20"/>
    <n v="1"/>
    <n v="3000"/>
    <n v="27.254476908576812"/>
    <n v="24"/>
    <s v="Mar"/>
    <x v="12"/>
    <m/>
    <m/>
  </r>
  <r>
    <n v="84135795"/>
    <x v="3"/>
    <n v="3242"/>
    <d v="2026-03-11T00:00:00"/>
    <s v="BJ US-IC-Vanilla-FTNG-1 2.4G"/>
    <x v="24"/>
    <n v="9.0848256361922702E-3"/>
    <n v="125"/>
    <x v="13"/>
    <x v="20"/>
    <n v="1"/>
    <n v="3242"/>
    <n v="29.453004712535339"/>
    <n v="25.936"/>
    <s v="Mar"/>
    <x v="12"/>
    <m/>
    <m/>
  </r>
  <r>
    <n v="84136043"/>
    <x v="3"/>
    <n v="16080"/>
    <d v="2026-03-02T00:00:00"/>
    <s v="BJ US-COR-KaramelSutra-FTNG-8 1PT"/>
    <x v="30"/>
    <n v="3.7853439999999999E-3"/>
    <n v="240"/>
    <x v="3"/>
    <x v="13"/>
    <n v="1"/>
    <n v="16080"/>
    <n v="60.868331519999998"/>
    <n v="67"/>
    <s v="Mar"/>
    <x v="11"/>
    <m/>
    <m/>
  </r>
  <r>
    <n v="84136043"/>
    <x v="3"/>
    <n v="11030"/>
    <d v="2026-03-03T00:00:00"/>
    <s v="BJ US-COR-KaramelSutra-FTNG-8 1PT"/>
    <x v="30"/>
    <n v="3.7853439999999999E-3"/>
    <n v="240"/>
    <x v="3"/>
    <x v="13"/>
    <n v="1"/>
    <n v="11030"/>
    <n v="41.752344319999999"/>
    <n v="45.958333333333336"/>
    <s v="Mar"/>
    <x v="11"/>
    <m/>
    <m/>
  </r>
  <r>
    <n v="84136704"/>
    <x v="3"/>
    <n v="14400"/>
    <d v="2026-03-05T00:00:00"/>
    <s v="BJ US-IC-NewYrkSprFdgChnk-FTNG-8 1PT"/>
    <x v="30"/>
    <n v="3.7853439999999999E-3"/>
    <n v="240"/>
    <x v="3"/>
    <x v="13"/>
    <n v="1"/>
    <n v="14400"/>
    <n v="54.508953599999998"/>
    <n v="60"/>
    <s v="Mar"/>
    <x v="11"/>
    <m/>
    <m/>
  </r>
  <r>
    <n v="84136704"/>
    <x v="3"/>
    <n v="26721"/>
    <d v="2026-03-06T00:00:00"/>
    <s v="BJ US-IC-NewYrkSprFdgChnk-FTNG-8 1PT"/>
    <x v="30"/>
    <n v="3.7853439999999999E-3"/>
    <n v="240"/>
    <x v="3"/>
    <x v="13"/>
    <n v="1"/>
    <n v="26721"/>
    <n v="101.14817702399999"/>
    <n v="111.33750000000001"/>
    <s v="Mar"/>
    <x v="11"/>
    <m/>
    <m/>
  </r>
  <r>
    <n v="84136704"/>
    <x v="3"/>
    <n v="2040"/>
    <d v="2026-03-07T00:00:00"/>
    <s v="BJ US-IC-NewYrkSprFdgChnk-FTNG-8 1PT"/>
    <x v="30"/>
    <n v="3.7853439999999999E-3"/>
    <n v="240"/>
    <x v="3"/>
    <x v="13"/>
    <n v="1"/>
    <n v="2040"/>
    <n v="7.7221017600000001"/>
    <n v="8.5"/>
    <s v="Mar"/>
    <x v="11"/>
    <m/>
    <m/>
  </r>
  <r>
    <n v="84136704"/>
    <x v="3"/>
    <n v="-37"/>
    <d v="2026-03-11T00:00:00"/>
    <s v="BJ US-IC-NewYrkSprFdgChnk-FTNG-8 1PT"/>
    <x v="30"/>
    <n v="3.7853439999999999E-3"/>
    <n v="240"/>
    <x v="3"/>
    <x v="13"/>
    <n v="1"/>
    <n v="-37"/>
    <n v="-0.14005772799999999"/>
    <n v="-0.15416666666666667"/>
    <s v="Mar"/>
    <x v="12"/>
    <m/>
    <m/>
  </r>
  <r>
    <n v="84137694"/>
    <x v="3"/>
    <n v="9120"/>
    <d v="2026-03-20T00:00:00"/>
    <s v="BJ US-IC-EverythingButThe-FTNG-8 1PT"/>
    <x v="30"/>
    <n v="3.7853439999999999E-3"/>
    <n v="240"/>
    <x v="3"/>
    <x v="13"/>
    <n v="1"/>
    <n v="9120"/>
    <n v="34.522337280000002"/>
    <n v="38"/>
    <s v="Mar"/>
    <x v="9"/>
    <m/>
    <m/>
  </r>
  <r>
    <n v="84137694"/>
    <x v="3"/>
    <n v="23192"/>
    <d v="2026-03-21T00:00:00"/>
    <s v="BJ US-IC-EverythingButThe-FTNG-8 1PT"/>
    <x v="30"/>
    <n v="3.7853439999999999E-3"/>
    <n v="240"/>
    <x v="3"/>
    <x v="13"/>
    <n v="1"/>
    <n v="23192"/>
    <n v="87.789698048000005"/>
    <n v="96.63333333333334"/>
    <s v="Mar"/>
    <x v="9"/>
    <m/>
    <m/>
  </r>
  <r>
    <n v="84137721"/>
    <x v="3"/>
    <n v="1375"/>
    <d v="2026-03-24T00:00:00"/>
    <s v="BJ US-IC-CherryGarcia-FTNG-1 2.4G"/>
    <x v="24"/>
    <n v="9.0848256361922702E-3"/>
    <n v="125"/>
    <x v="13"/>
    <x v="20"/>
    <n v="1"/>
    <n v="1375"/>
    <n v="12.491635249764371"/>
    <n v="11"/>
    <s v="Mar"/>
    <x v="10"/>
    <m/>
    <m/>
  </r>
  <r>
    <n v="84137725"/>
    <x v="3"/>
    <n v="2640"/>
    <d v="2026-02-26T00:00:00"/>
    <s v="BJ US-IC-CherryGarcia-FTNG-8 1PT"/>
    <x v="25"/>
    <n v="3.7853439999999999E-3"/>
    <n v="240"/>
    <x v="3"/>
    <x v="13"/>
    <n v="1"/>
    <n v="2640"/>
    <n v="9.9933081599999998"/>
    <n v="11"/>
    <s v="Feb"/>
    <x v="6"/>
    <m/>
    <m/>
  </r>
  <r>
    <n v="84137725"/>
    <x v="3"/>
    <n v="28320"/>
    <d v="2026-02-27T00:00:00"/>
    <s v="BJ US-IC-CherryGarcia-FTNG-8 1PT"/>
    <x v="25"/>
    <n v="3.7853439999999999E-3"/>
    <n v="240"/>
    <x v="3"/>
    <x v="13"/>
    <n v="1"/>
    <n v="28320"/>
    <n v="107.20094208"/>
    <n v="118"/>
    <s v="Feb"/>
    <x v="6"/>
    <m/>
    <m/>
  </r>
  <r>
    <n v="84137725"/>
    <x v="3"/>
    <n v="25071"/>
    <d v="2026-02-28T00:00:00"/>
    <s v="BJ US-IC-CherryGarcia-FTNG-8 1PT"/>
    <x v="25"/>
    <n v="3.7853439999999999E-3"/>
    <n v="240"/>
    <x v="3"/>
    <x v="13"/>
    <n v="1"/>
    <n v="25071"/>
    <n v="94.902359423999997"/>
    <n v="104.46250000000001"/>
    <s v="Feb"/>
    <x v="6"/>
    <m/>
    <m/>
  </r>
  <r>
    <n v="84138347"/>
    <x v="3"/>
    <n v="3500"/>
    <d v="2026-03-03T00:00:00"/>
    <s v="BJ US-IC-CoffeeBuzzBuzz-FTNG-1 2.4G"/>
    <x v="24"/>
    <n v="9.0848256361922702E-3"/>
    <n v="125"/>
    <x v="13"/>
    <x v="20"/>
    <n v="1"/>
    <n v="3500"/>
    <n v="31.796889726672944"/>
    <n v="28"/>
    <s v="Mar"/>
    <x v="11"/>
    <m/>
    <m/>
  </r>
  <r>
    <n v="84138347"/>
    <x v="3"/>
    <n v="2312"/>
    <d v="2026-03-04T00:00:00"/>
    <s v="BJ US-IC-CoffeeBuzzBuzz-FTNG-1 2.4G"/>
    <x v="24"/>
    <n v="9.0848256361922702E-3"/>
    <n v="125"/>
    <x v="13"/>
    <x v="20"/>
    <n v="1"/>
    <n v="2312"/>
    <n v="21.00411687087653"/>
    <n v="18.495999999999999"/>
    <s v="Mar"/>
    <x v="11"/>
    <m/>
    <m/>
  </r>
  <r>
    <n v="84138391"/>
    <x v="3"/>
    <n v="14880"/>
    <d v="2026-03-09T00:00:00"/>
    <s v="BJ US-IC-PhishFood-FTNG-8 1PT"/>
    <x v="10"/>
    <n v="3.7853439999999999E-3"/>
    <n v="240"/>
    <x v="3"/>
    <x v="13"/>
    <n v="1"/>
    <n v="14880"/>
    <n v="56.325918719999997"/>
    <n v="62"/>
    <s v="Mar"/>
    <x v="12"/>
    <m/>
    <m/>
  </r>
  <r>
    <n v="84138391"/>
    <x v="3"/>
    <n v="31440"/>
    <d v="2026-03-10T00:00:00"/>
    <s v="BJ US-IC-PhishFood-FTNG-8 1PT"/>
    <x v="10"/>
    <n v="3.7853439999999999E-3"/>
    <n v="240"/>
    <x v="3"/>
    <x v="13"/>
    <n v="1"/>
    <n v="31440"/>
    <n v="119.01121535999999"/>
    <n v="131"/>
    <s v="Mar"/>
    <x v="12"/>
    <m/>
    <m/>
  </r>
  <r>
    <n v="84138391"/>
    <x v="3"/>
    <n v="21287"/>
    <d v="2026-03-11T00:00:00"/>
    <s v="BJ US-IC-PhishFood-FTNG-8 1PT"/>
    <x v="10"/>
    <n v="3.7853439999999999E-3"/>
    <n v="240"/>
    <x v="3"/>
    <x v="13"/>
    <n v="1"/>
    <n v="21287"/>
    <n v="80.578617727999998"/>
    <n v="88.69583333333334"/>
    <s v="Mar"/>
    <x v="12"/>
    <m/>
    <m/>
  </r>
  <r>
    <n v="84138391"/>
    <x v="3"/>
    <n v="17360"/>
    <d v="2026-03-12T00:00:00"/>
    <s v="BJ US-IC-PhishFood-FTNG-8 1PT"/>
    <x v="10"/>
    <n v="3.7853439999999999E-3"/>
    <n v="240"/>
    <x v="3"/>
    <x v="13"/>
    <n v="1"/>
    <n v="17360"/>
    <n v="65.71357184"/>
    <n v="72.333333333333329"/>
    <s v="Mar"/>
    <x v="12"/>
    <m/>
    <m/>
  </r>
  <r>
    <n v="84138391"/>
    <x v="3"/>
    <n v="31920"/>
    <d v="2026-03-13T00:00:00"/>
    <s v="BJ US-IC-PhishFood-FTNG-8 1PT"/>
    <x v="10"/>
    <n v="3.7853439999999999E-3"/>
    <n v="240"/>
    <x v="3"/>
    <x v="13"/>
    <n v="1"/>
    <n v="31920"/>
    <n v="120.82818048"/>
    <n v="133"/>
    <s v="Mar"/>
    <x v="12"/>
    <m/>
    <m/>
  </r>
  <r>
    <n v="84138391"/>
    <x v="3"/>
    <n v="28203"/>
    <d v="2026-03-14T00:00:00"/>
    <s v="BJ US-IC-PhishFood-FTNG-8 1PT"/>
    <x v="10"/>
    <n v="3.7853439999999999E-3"/>
    <n v="240"/>
    <x v="3"/>
    <x v="13"/>
    <n v="1"/>
    <n v="28203"/>
    <n v="106.75805683199999"/>
    <n v="117.5125"/>
    <s v="Mar"/>
    <x v="12"/>
    <m/>
    <m/>
  </r>
  <r>
    <n v="84138391"/>
    <x v="3"/>
    <n v="-80"/>
    <d v="2026-03-16T00:00:00"/>
    <s v="BJ US-IC-PhishFood-FTNG-8 1PT"/>
    <x v="10"/>
    <n v="3.7853439999999999E-3"/>
    <n v="240"/>
    <x v="3"/>
    <x v="13"/>
    <n v="1"/>
    <n v="-80"/>
    <n v="-0.30282752000000002"/>
    <n v="-0.33333333333333331"/>
    <s v="Mar"/>
    <x v="9"/>
    <m/>
    <m/>
  </r>
  <r>
    <n v="84138392"/>
    <x v="3"/>
    <n v="6000"/>
    <d v="2026-03-02T00:00:00"/>
    <s v="BJ US-IC-CoffeeBuzzBuzz-FTNG-8 1PT"/>
    <x v="24"/>
    <n v="3.7839999999999996E-3"/>
    <n v="240"/>
    <x v="3"/>
    <x v="13"/>
    <n v="1"/>
    <n v="6000"/>
    <n v="22.703999999999997"/>
    <n v="25"/>
    <s v="Mar"/>
    <x v="11"/>
    <m/>
    <m/>
  </r>
  <r>
    <n v="84138392"/>
    <x v="3"/>
    <n v="9239"/>
    <d v="2026-03-03T00:00:00"/>
    <s v="BJ US-IC-CoffeeBuzzBuzz-FTNG-8 1PT"/>
    <x v="24"/>
    <n v="3.7839999999999996E-3"/>
    <n v="240"/>
    <x v="3"/>
    <x v="13"/>
    <n v="1"/>
    <n v="9239"/>
    <n v="34.960375999999997"/>
    <n v="38.49583333333333"/>
    <s v="Mar"/>
    <x v="11"/>
    <m/>
    <m/>
  </r>
  <r>
    <n v="84139090"/>
    <x v="3"/>
    <n v="18240"/>
    <d v="2026-03-19T00:00:00"/>
    <s v="BJ US-IC-CoffeeToffeeCrunch-FTNG-8 1PT"/>
    <x v="49"/>
    <n v="3.7853439999999999E-3"/>
    <n v="240"/>
    <x v="3"/>
    <x v="13"/>
    <n v="1"/>
    <n v="18240"/>
    <n v="69.044674560000004"/>
    <n v="76"/>
    <s v="Mar"/>
    <x v="9"/>
    <m/>
    <m/>
  </r>
  <r>
    <n v="84139090"/>
    <x v="3"/>
    <n v="17311"/>
    <d v="2026-03-20T00:00:00"/>
    <s v="BJ US-IC-CoffeeToffeeCrunch-FTNG-8 1PT"/>
    <x v="49"/>
    <n v="3.7853439999999999E-3"/>
    <n v="240"/>
    <x v="3"/>
    <x v="13"/>
    <n v="1"/>
    <n v="17311"/>
    <n v="65.528089984000005"/>
    <n v="72.129166666666663"/>
    <s v="Mar"/>
    <x v="9"/>
    <m/>
    <m/>
  </r>
  <r>
    <n v="84141035"/>
    <x v="3"/>
    <n v="2875"/>
    <d v="2026-02-24T00:00:00"/>
    <s v="BJ US-IC AmericoneDream-FTNG-1 2.4G"/>
    <x v="24"/>
    <n v="9.0848256361922702E-3"/>
    <n v="125"/>
    <x v="13"/>
    <x v="20"/>
    <n v="1"/>
    <n v="2875"/>
    <n v="26.118873704052778"/>
    <n v="23"/>
    <s v="Feb"/>
    <x v="6"/>
    <m/>
    <m/>
  </r>
  <r>
    <n v="84141035"/>
    <x v="3"/>
    <n v="3009"/>
    <d v="2026-02-25T00:00:00"/>
    <s v="BJ US-IC AmericoneDream-FTNG-1 2.4G"/>
    <x v="24"/>
    <n v="9.0848256361922702E-3"/>
    <n v="125"/>
    <x v="13"/>
    <x v="20"/>
    <n v="1"/>
    <n v="3009"/>
    <n v="27.336240339302542"/>
    <n v="24.071999999999999"/>
    <s v="Feb"/>
    <x v="6"/>
    <m/>
    <m/>
  </r>
  <r>
    <n v="84141094"/>
    <x v="3"/>
    <n v="19920"/>
    <d v="2026-02-23T00:00:00"/>
    <s v="BJ US-IC AmericoneDream-FTNG-8 1PT"/>
    <x v="10"/>
    <n v="3.7839999999999996E-3"/>
    <n v="240"/>
    <x v="3"/>
    <x v="13"/>
    <n v="1"/>
    <n v="19920"/>
    <n v="75.377279999999999"/>
    <n v="83"/>
    <s v="Feb"/>
    <x v="6"/>
    <m/>
    <m/>
  </r>
  <r>
    <n v="84141094"/>
    <x v="3"/>
    <n v="12000"/>
    <d v="2026-02-24T00:00:00"/>
    <s v="BJ US-IC AmericoneDream-FTNG-8 1PT"/>
    <x v="10"/>
    <n v="3.7839999999999996E-3"/>
    <n v="240"/>
    <x v="3"/>
    <x v="13"/>
    <n v="1"/>
    <n v="12000"/>
    <n v="45.407999999999994"/>
    <n v="50"/>
    <s v="Feb"/>
    <x v="6"/>
    <m/>
    <m/>
  </r>
  <r>
    <n v="84141094"/>
    <x v="3"/>
    <n v="24240"/>
    <d v="2026-02-24T00:00:00"/>
    <s v="BJ US-IC AmericoneDream-FTNG-8 1PT"/>
    <x v="10"/>
    <n v="3.7839999999999996E-3"/>
    <n v="240"/>
    <x v="3"/>
    <x v="13"/>
    <n v="1"/>
    <n v="24240"/>
    <n v="91.724159999999983"/>
    <n v="101"/>
    <s v="Feb"/>
    <x v="6"/>
    <m/>
    <m/>
  </r>
  <r>
    <n v="84141094"/>
    <x v="3"/>
    <n v="35926"/>
    <d v="2026-02-25T00:00:00"/>
    <s v="BJ US-IC AmericoneDream-FTNG-8 1PT"/>
    <x v="10"/>
    <n v="3.7839999999999996E-3"/>
    <n v="240"/>
    <x v="3"/>
    <x v="13"/>
    <n v="1"/>
    <n v="35926"/>
    <n v="135.94398399999997"/>
    <n v="149.69166666666666"/>
    <s v="Feb"/>
    <x v="6"/>
    <m/>
    <m/>
  </r>
  <r>
    <n v="84141094"/>
    <x v="3"/>
    <n v="6857"/>
    <d v="2026-02-26T00:00:00"/>
    <s v="BJ US-IC AmericoneDream-FTNG-8 1PT"/>
    <x v="10"/>
    <n v="3.7839999999999996E-3"/>
    <n v="240"/>
    <x v="3"/>
    <x v="13"/>
    <n v="1"/>
    <n v="6857"/>
    <n v="25.946887999999998"/>
    <n v="28.570833333333333"/>
    <s v="Feb"/>
    <x v="6"/>
    <m/>
    <m/>
  </r>
  <r>
    <n v="84141094"/>
    <x v="3"/>
    <n v="31200"/>
    <d v="2026-03-23T00:00:00"/>
    <s v="BJ US-IC AmericoneDream-FTNG-8 1PT"/>
    <x v="10"/>
    <n v="3.7839999999999996E-3"/>
    <n v="240"/>
    <x v="3"/>
    <x v="13"/>
    <n v="1"/>
    <n v="31200"/>
    <n v="118.06079999999999"/>
    <n v="130"/>
    <s v="Mar"/>
    <x v="10"/>
    <m/>
    <m/>
  </r>
  <r>
    <n v="84141094"/>
    <x v="3"/>
    <n v="30157"/>
    <d v="2026-03-24T00:00:00"/>
    <s v="BJ US-IC AmericoneDream-FTNG-8 1PT"/>
    <x v="10"/>
    <n v="3.7839999999999996E-3"/>
    <n v="240"/>
    <x v="3"/>
    <x v="13"/>
    <n v="1"/>
    <n v="30157"/>
    <n v="114.11408799999998"/>
    <n v="125.65416666666667"/>
    <s v="Mar"/>
    <x v="10"/>
    <m/>
    <m/>
  </r>
  <r>
    <n v="84141094"/>
    <x v="3"/>
    <n v="8695"/>
    <d v="2026-03-24T00:00:00"/>
    <s v="BJ US-IC AmericoneDream-FTNG-8 1PT"/>
    <x v="10"/>
    <n v="3.7839999999999996E-3"/>
    <n v="240"/>
    <x v="3"/>
    <x v="13"/>
    <n v="1"/>
    <n v="8695"/>
    <n v="32.901879999999998"/>
    <n v="36.229166666666664"/>
    <s v="Mar"/>
    <x v="10"/>
    <m/>
    <m/>
  </r>
  <r>
    <n v="84141103"/>
    <x v="3"/>
    <n v="23040"/>
    <d v="2026-03-02T00:00:00"/>
    <s v="BJ US-IC-HalfBaked-FTNG-8 1PT"/>
    <x v="47"/>
    <n v="3.7853439999999999E-3"/>
    <n v="240"/>
    <x v="3"/>
    <x v="13"/>
    <n v="1"/>
    <n v="23040"/>
    <n v="87.214325759999994"/>
    <n v="96"/>
    <s v="Mar"/>
    <x v="11"/>
    <m/>
    <m/>
  </r>
  <r>
    <n v="84141103"/>
    <x v="3"/>
    <n v="39840"/>
    <d v="2026-03-03T00:00:00"/>
    <s v="BJ US-IC-HalfBaked-FTNG-8 1PT"/>
    <x v="47"/>
    <n v="3.7853439999999999E-3"/>
    <n v="240"/>
    <x v="3"/>
    <x v="13"/>
    <n v="1"/>
    <n v="39840"/>
    <n v="150.80810496000001"/>
    <n v="166"/>
    <s v="Mar"/>
    <x v="11"/>
    <m/>
    <m/>
  </r>
  <r>
    <n v="84141103"/>
    <x v="3"/>
    <n v="13795"/>
    <d v="2026-03-04T00:00:00"/>
    <s v="BJ US-IC-HalfBaked-FTNG-8 1PT"/>
    <x v="47"/>
    <n v="3.7853439999999999E-3"/>
    <n v="240"/>
    <x v="3"/>
    <x v="13"/>
    <n v="1"/>
    <n v="13795"/>
    <n v="52.218820479999998"/>
    <n v="57.479166666666664"/>
    <s v="Mar"/>
    <x v="11"/>
    <m/>
    <m/>
  </r>
  <r>
    <n v="84141418"/>
    <x v="3"/>
    <n v="3250"/>
    <d v="2026-03-11T00:00:00"/>
    <s v="BJ US-IC-Strawberry-FTNG-1 2.4G"/>
    <x v="24"/>
    <n v="9.0848256361922702E-3"/>
    <n v="125"/>
    <x v="13"/>
    <x v="20"/>
    <n v="1"/>
    <n v="3250"/>
    <n v="29.525683317624878"/>
    <n v="26"/>
    <s v="Mar"/>
    <x v="12"/>
    <m/>
    <m/>
  </r>
  <r>
    <n v="84141418"/>
    <x v="3"/>
    <n v="2850"/>
    <d v="2026-03-12T00:00:00"/>
    <s v="BJ US-IC-Strawberry-FTNG-1 2.4G"/>
    <x v="24"/>
    <n v="9.0848256361922702E-3"/>
    <n v="125"/>
    <x v="13"/>
    <x v="20"/>
    <n v="1"/>
    <n v="2850"/>
    <n v="25.89175306314797"/>
    <n v="22.8"/>
    <s v="Mar"/>
    <x v="12"/>
    <m/>
    <m/>
  </r>
  <r>
    <n v="84149990"/>
    <x v="3"/>
    <n v="6720"/>
    <d v="2026-03-09T00:00:00"/>
    <s v="BJ AMET-IC-ChocChpCkDgh-FTNG-8 458ML"/>
    <x v="30"/>
    <n v="3.6640000000000002E-3"/>
    <n v="240"/>
    <x v="10"/>
    <x v="18"/>
    <n v="1"/>
    <n v="6720"/>
    <n v="24.62208"/>
    <n v="28"/>
    <s v="Mar"/>
    <x v="12"/>
    <m/>
    <m/>
  </r>
  <r>
    <n v="84149990"/>
    <x v="3"/>
    <n v="14108"/>
    <d v="2026-03-10T00:00:00"/>
    <s v="BJ AMET-IC-ChocChpCkDgh-FTNG-8 458ML"/>
    <x v="30"/>
    <n v="3.6640000000000002E-3"/>
    <n v="240"/>
    <x v="10"/>
    <x v="18"/>
    <n v="1"/>
    <n v="14108"/>
    <n v="51.691712000000003"/>
    <n v="58.783333333333331"/>
    <s v="Mar"/>
    <x v="12"/>
    <m/>
    <m/>
  </r>
  <r>
    <n v="84161610"/>
    <x v="3"/>
    <n v="21600"/>
    <d v="2026-02-23T00:00:00"/>
    <s v="BJ US-COR-SaltedCaramelCore-FTNG-8 1PT"/>
    <x v="30"/>
    <n v="3.7853439999999999E-3"/>
    <n v="240"/>
    <x v="3"/>
    <x v="13"/>
    <n v="1"/>
    <n v="21600"/>
    <n v="81.763430400000004"/>
    <n v="90"/>
    <s v="Feb"/>
    <x v="6"/>
    <m/>
    <m/>
  </r>
  <r>
    <n v="84161610"/>
    <x v="3"/>
    <n v="17806"/>
    <d v="2026-02-24T00:00:00"/>
    <s v="BJ US-COR-SaltedCaramelCore-FTNG-8 1PT"/>
    <x v="30"/>
    <n v="3.7853439999999999E-3"/>
    <n v="240"/>
    <x v="3"/>
    <x v="13"/>
    <n v="1"/>
    <n v="17806"/>
    <n v="67.401835263999999"/>
    <n v="74.191666666666663"/>
    <s v="Feb"/>
    <x v="6"/>
    <m/>
    <m/>
  </r>
  <r>
    <n v="84163605"/>
    <x v="3"/>
    <n v="6540"/>
    <d v="2026-03-19T00:00:00"/>
    <s v="BJ US-IC-ChocTherapy-FTNG-8 1PT"/>
    <x v="24"/>
    <n v="3.7853439999999999E-3"/>
    <n v="240"/>
    <x v="3"/>
    <x v="13"/>
    <n v="1"/>
    <n v="6540"/>
    <n v="24.75614976"/>
    <n v="27.25"/>
    <s v="Mar"/>
    <x v="9"/>
    <m/>
    <m/>
  </r>
  <r>
    <n v="84163605"/>
    <x v="3"/>
    <n v="19213"/>
    <d v="2026-03-20T00:00:00"/>
    <s v="BJ US-IC-ChocTherapy-FTNG-8 1PT"/>
    <x v="24"/>
    <n v="3.7853439999999999E-3"/>
    <n v="240"/>
    <x v="3"/>
    <x v="13"/>
    <n v="1"/>
    <n v="19213"/>
    <n v="72.727814272000003"/>
    <n v="80.05416666666666"/>
    <s v="Mar"/>
    <x v="9"/>
    <m/>
    <m/>
  </r>
  <r>
    <n v="84163605"/>
    <x v="3"/>
    <n v="4830"/>
    <d v="2026-03-21T00:00:00"/>
    <s v="BJ US-IC-ChocTherapy-FTNG-8 1PT"/>
    <x v="24"/>
    <n v="3.7853439999999999E-3"/>
    <n v="240"/>
    <x v="3"/>
    <x v="13"/>
    <n v="1"/>
    <n v="4830"/>
    <n v="18.283211519999998"/>
    <n v="20.125"/>
    <s v="Mar"/>
    <x v="9"/>
    <m/>
    <m/>
  </r>
  <r>
    <n v="84164939"/>
    <x v="3"/>
    <n v="3750"/>
    <d v="2026-03-18T00:00:00"/>
    <s v="BJ US-IC-SweetCrm+Cookies-FTNG-1 2.4G"/>
    <x v="24"/>
    <n v="9.0848256361922702E-3"/>
    <n v="125"/>
    <x v="13"/>
    <x v="20"/>
    <n v="1"/>
    <n v="3750"/>
    <n v="34.068096135721014"/>
    <n v="30"/>
    <s v="Mar"/>
    <x v="9"/>
    <m/>
    <m/>
  </r>
  <r>
    <n v="84164939"/>
    <x v="3"/>
    <n v="2341"/>
    <d v="2026-03-19T00:00:00"/>
    <s v="BJ US-IC-SweetCrm+Cookies-FTNG-1 2.4G"/>
    <x v="24"/>
    <n v="9.0848256361922702E-3"/>
    <n v="125"/>
    <x v="13"/>
    <x v="20"/>
    <n v="1"/>
    <n v="2341"/>
    <n v="21.267576814326105"/>
    <n v="18.728000000000002"/>
    <s v="Mar"/>
    <x v="9"/>
    <m/>
    <m/>
  </r>
  <r>
    <n v="64976846"/>
    <x v="12"/>
    <n v="28282"/>
    <d v="2026-02-25T00:00:00"/>
    <s v="Yasso Strawberry Chocolate Crunch 8-4pk"/>
    <x v="39"/>
    <n v="2.5040000000000001E-3"/>
    <n v="165"/>
    <x v="4"/>
    <x v="33"/>
    <n v="1"/>
    <n v="28282"/>
    <n v="70.818128000000002"/>
    <n v="171.40606060606061"/>
    <s v="Feb"/>
    <x v="6"/>
    <m/>
    <m/>
  </r>
  <r>
    <n v="64976851"/>
    <x v="12"/>
    <n v="19571"/>
    <d v="2026-03-02T00:00:00"/>
    <s v="Yasso Caramel Chocolate Crunch 8-4pk"/>
    <x v="39"/>
    <n v="2.5040000000000001E-3"/>
    <n v="165"/>
    <x v="4"/>
    <x v="33"/>
    <n v="1"/>
    <n v="19571"/>
    <n v="49.005784000000006"/>
    <n v="118.61212121212121"/>
    <s v="Mar"/>
    <x v="11"/>
    <m/>
    <m/>
  </r>
  <r>
    <n v="64976847"/>
    <x v="12"/>
    <n v="50055"/>
    <d v="2026-03-13T00:00:00"/>
    <s v="Yasso Vanilla Chocolate Crunch 8-4pk"/>
    <x v="39"/>
    <n v="2.5040000000000001E-3"/>
    <n v="165"/>
    <x v="4"/>
    <x v="33"/>
    <n v="1"/>
    <n v="50055"/>
    <n v="125.33772"/>
    <n v="303.36363636363637"/>
    <s v="Mar"/>
    <x v="12"/>
    <m/>
    <m/>
  </r>
  <r>
    <n v="65489676"/>
    <x v="12"/>
    <n v="17846"/>
    <d v="2026-03-19T00:00:00"/>
    <s v="GH King Cone GINT Cookies and CRM 1-12PK"/>
    <x v="39"/>
    <n v="2.8319999999999999E-3"/>
    <n v="221"/>
    <x v="17"/>
    <x v="34"/>
    <n v="1"/>
    <n v="17846"/>
    <n v="50.539871999999995"/>
    <n v="80.751131221719461"/>
    <s v="Mar"/>
    <x v="9"/>
    <m/>
    <m/>
  </r>
  <r>
    <n v="65489677"/>
    <x v="12"/>
    <n v="13923"/>
    <d v="2026-03-21T00:00:00"/>
    <s v="GH King Cone Giant VAN CHOC 1-12PK"/>
    <x v="39"/>
    <n v="2.8319999999999999E-3"/>
    <n v="221"/>
    <x v="17"/>
    <x v="34"/>
    <n v="1"/>
    <n v="13923"/>
    <n v="39.429935999999998"/>
    <n v="63"/>
    <s v="Mar"/>
    <x v="9"/>
    <m/>
    <m/>
  </r>
  <r>
    <n v="64958128"/>
    <x v="12"/>
    <n v="32843"/>
    <d v="2026-03-23T00:00:00"/>
    <s v="Yasso Mint Chocolate Chip 8-4pk"/>
    <x v="39"/>
    <n v="3.3119999999999998E-3"/>
    <n v="165"/>
    <x v="4"/>
    <x v="33"/>
    <n v="1"/>
    <n v="32843"/>
    <n v="108.776016"/>
    <n v="199.04848484848486"/>
    <s v="Mar"/>
    <x v="10"/>
    <m/>
    <m/>
  </r>
  <r>
    <n v="65489677"/>
    <x v="12"/>
    <n v="5746"/>
    <d v="2026-03-24T00:00:00"/>
    <s v="GH King Cone Giant VAN CHOC 1-12PK"/>
    <x v="39"/>
    <n v="2.8319999999999999E-3"/>
    <n v="221"/>
    <x v="17"/>
    <x v="34"/>
    <n v="1"/>
    <n v="5746"/>
    <n v="16.272672"/>
    <n v="26"/>
    <s v="Mar"/>
    <x v="10"/>
    <m/>
    <m/>
  </r>
  <r>
    <n v="64955741"/>
    <x v="10"/>
    <n v="22379"/>
    <d v="2026-02-25T00:00:00"/>
    <s v="Yasso Pistachio 8-4pk"/>
    <x v="37"/>
    <n v="3.3119999999999998E-3"/>
    <n v="165"/>
    <x v="4"/>
    <x v="30"/>
    <n v="1"/>
    <n v="22379"/>
    <n v="74.119247999999999"/>
    <n v="135.63030303030303"/>
    <s v="Feb"/>
    <x v="6"/>
    <m/>
    <m/>
  </r>
  <r>
    <n v="64958126"/>
    <x v="10"/>
    <n v="10043"/>
    <d v="2026-02-26T00:00:00"/>
    <s v="Yasso Black Raspberry Chip 8-4pk"/>
    <x v="37"/>
    <n v="3.3119999999999998E-3"/>
    <n v="165"/>
    <x v="4"/>
    <x v="30"/>
    <n v="1"/>
    <n v="10043"/>
    <n v="33.262416000000002"/>
    <n v="60.866666666666667"/>
    <s v="Feb"/>
    <x v="6"/>
    <m/>
    <m/>
  </r>
  <r>
    <n v="64955561"/>
    <x v="10"/>
    <n v="17722"/>
    <d v="2026-03-03T00:00:00"/>
    <s v="Yasso Creamy Pineapple Coconut 8-4pk"/>
    <x v="37"/>
    <n v="3.3119999999999998E-3"/>
    <n v="165"/>
    <x v="4"/>
    <x v="30"/>
    <n v="1"/>
    <n v="17722"/>
    <n v="58.695263999999995"/>
    <n v="107.40606060606061"/>
    <s v="Mar"/>
    <x v="11"/>
    <m/>
    <m/>
  </r>
  <r>
    <n v="64955741"/>
    <x v="10"/>
    <n v="23702"/>
    <d v="2026-03-05T00:00:00"/>
    <s v="Yasso Pistachio 8-4pk"/>
    <x v="37"/>
    <n v="3.3119999999999998E-3"/>
    <n v="165"/>
    <x v="4"/>
    <x v="30"/>
    <n v="1"/>
    <n v="23702"/>
    <n v="78.501024000000001"/>
    <n v="143.64848484848486"/>
    <s v="Mar"/>
    <x v="11"/>
    <m/>
    <m/>
  </r>
  <r>
    <n v="64955559"/>
    <x v="10"/>
    <n v="21008"/>
    <d v="2026-03-06T00:00:00"/>
    <s v="Yasso Strawberries n Cream 8-4pk"/>
    <x v="37"/>
    <n v="3.3119999999999998E-3"/>
    <n v="165"/>
    <x v="4"/>
    <x v="30"/>
    <n v="1"/>
    <n v="21008"/>
    <n v="69.578496000000001"/>
    <n v="127.32121212121213"/>
    <s v="Mar"/>
    <x v="11"/>
    <m/>
    <m/>
  </r>
  <r>
    <n v="64958129"/>
    <x v="10"/>
    <n v="6416"/>
    <d v="2026-03-11T00:00:00"/>
    <s v="Yasso Chocolate Chip Cookie Dough 8-4pk"/>
    <x v="37"/>
    <n v="3.3119999999999998E-3"/>
    <n v="165"/>
    <x v="4"/>
    <x v="30"/>
    <n v="1"/>
    <n v="6416"/>
    <n v="21.249791999999999"/>
    <n v="38.884848484848483"/>
    <s v="Mar"/>
    <x v="12"/>
    <m/>
    <m/>
  </r>
  <r>
    <n v="64958129"/>
    <x v="10"/>
    <n v="45519"/>
    <d v="2026-03-12T00:00:00"/>
    <s v="Yasso Chocolate Chip Cookie Dough 8-4pk"/>
    <x v="37"/>
    <n v="3.3119999999999998E-3"/>
    <n v="165"/>
    <x v="4"/>
    <x v="30"/>
    <n v="1"/>
    <n v="45519"/>
    <n v="150.758928"/>
    <n v="275.87272727272727"/>
    <s v="Mar"/>
    <x v="12"/>
    <m/>
    <m/>
  </r>
  <r>
    <n v="64955558"/>
    <x v="10"/>
    <n v="11880"/>
    <d v="2026-03-18T00:00:00"/>
    <s v="Yasso Creamy Mango 8-4pk"/>
    <x v="37"/>
    <n v="3.3119999999999998E-3"/>
    <n v="165"/>
    <x v="4"/>
    <x v="30"/>
    <n v="1"/>
    <n v="11880"/>
    <n v="39.346559999999997"/>
    <n v="72"/>
    <s v="Mar"/>
    <x v="9"/>
    <m/>
    <m/>
  </r>
  <r>
    <n v="64955743"/>
    <x v="10"/>
    <n v="19406"/>
    <d v="2026-03-23T00:00:00"/>
    <s v="Yasso Peanut Butter Chip 8-4pk"/>
    <x v="37"/>
    <n v="3.3119999999999998E-3"/>
    <n v="165"/>
    <x v="4"/>
    <x v="30"/>
    <n v="1"/>
    <n v="19406"/>
    <n v="64.272672"/>
    <n v="117.61212121212121"/>
    <s v="Mar"/>
    <x v="10"/>
    <m/>
    <m/>
  </r>
  <r>
    <n v="62714126"/>
    <x v="5"/>
    <n v="2600"/>
    <d v="2026-02-23T00:00:00"/>
    <s v="PS OCG SF 6-18PK"/>
    <x v="34"/>
    <n v="5.2680000000000001E-3"/>
    <n v="130"/>
    <x v="6"/>
    <x v="22"/>
    <n v="1"/>
    <n v="2600"/>
    <n v="13.6968"/>
    <n v="20"/>
    <s v="Feb"/>
    <x v="6"/>
    <m/>
    <m/>
  </r>
  <r>
    <n v="64833353"/>
    <x v="5"/>
    <n v="2600"/>
    <d v="2026-02-23T00:00:00"/>
    <s v="PS SF Tropical 6-18PK"/>
    <x v="34"/>
    <n v="5.28E-3"/>
    <n v="130"/>
    <x v="6"/>
    <x v="22"/>
    <n v="1"/>
    <n v="2600"/>
    <n v="13.728"/>
    <n v="20"/>
    <s v="Feb"/>
    <x v="6"/>
    <m/>
    <m/>
  </r>
  <r>
    <n v="64833353"/>
    <x v="5"/>
    <n v="2600"/>
    <d v="2026-02-23T00:00:00"/>
    <s v="PS SF Tropical 6-18PK"/>
    <x v="34"/>
    <n v="5.28E-3"/>
    <n v="130"/>
    <x v="6"/>
    <x v="22"/>
    <n v="1"/>
    <n v="2600"/>
    <n v="13.728"/>
    <n v="20"/>
    <s v="Feb"/>
    <x v="6"/>
    <m/>
    <m/>
  </r>
  <r>
    <n v="62714126"/>
    <x v="5"/>
    <n v="2600"/>
    <d v="2026-02-25T00:00:00"/>
    <s v="PS OCG SF 6-18PK"/>
    <x v="34"/>
    <n v="5.2680000000000001E-3"/>
    <n v="130"/>
    <x v="6"/>
    <x v="22"/>
    <n v="1"/>
    <n v="2600"/>
    <n v="13.6968"/>
    <n v="20"/>
    <s v="Feb"/>
    <x v="6"/>
    <m/>
    <m/>
  </r>
  <r>
    <n v="64833353"/>
    <x v="5"/>
    <n v="2600"/>
    <d v="2026-02-27T00:00:00"/>
    <s v="PS SF Tropical 6-18PK"/>
    <x v="41"/>
    <n v="5.28E-3"/>
    <n v="130"/>
    <x v="6"/>
    <x v="22"/>
    <n v="1"/>
    <n v="2600"/>
    <n v="13.728"/>
    <n v="20"/>
    <s v="Feb"/>
    <x v="6"/>
    <m/>
    <m/>
  </r>
  <r>
    <n v="64833353"/>
    <x v="5"/>
    <n v="2600"/>
    <d v="2026-03-02T00:00:00"/>
    <s v="PS SF Tropical 6-18PK"/>
    <x v="41"/>
    <n v="5.28E-3"/>
    <n v="130"/>
    <x v="6"/>
    <x v="22"/>
    <n v="1"/>
    <n v="2600"/>
    <n v="13.728"/>
    <n v="20"/>
    <s v="Mar"/>
    <x v="11"/>
    <m/>
    <m/>
  </r>
  <r>
    <n v="64833353"/>
    <x v="5"/>
    <n v="2600"/>
    <d v="2026-03-02T00:00:00"/>
    <s v="PS SF Tropical 6-18PK"/>
    <x v="41"/>
    <n v="5.28E-3"/>
    <n v="130"/>
    <x v="6"/>
    <x v="22"/>
    <n v="1"/>
    <n v="2600"/>
    <n v="13.728"/>
    <n v="20"/>
    <s v="Mar"/>
    <x v="11"/>
    <m/>
    <m/>
  </r>
  <r>
    <n v="64833353"/>
    <x v="5"/>
    <n v="2600"/>
    <d v="2026-03-02T00:00:00"/>
    <s v="PS SF Tropical 6-18PK"/>
    <x v="41"/>
    <n v="5.28E-3"/>
    <n v="130"/>
    <x v="6"/>
    <x v="22"/>
    <n v="1"/>
    <n v="2600"/>
    <n v="13.728"/>
    <n v="20"/>
    <s v="Mar"/>
    <x v="11"/>
    <m/>
    <m/>
  </r>
  <r>
    <n v="64833353"/>
    <x v="5"/>
    <n v="2600"/>
    <d v="2026-03-03T00:00:00"/>
    <s v="PS SF Tropical 6-18PK"/>
    <x v="41"/>
    <n v="5.28E-3"/>
    <n v="130"/>
    <x v="6"/>
    <x v="22"/>
    <n v="1"/>
    <n v="2600"/>
    <n v="13.728"/>
    <n v="20"/>
    <s v="Mar"/>
    <x v="11"/>
    <m/>
    <m/>
  </r>
  <r>
    <n v="62714126"/>
    <x v="5"/>
    <n v="2600"/>
    <d v="2026-03-06T00:00:00"/>
    <s v="PS OCG SF 6-18PK"/>
    <x v="34"/>
    <n v="5.2680000000000001E-3"/>
    <n v="130"/>
    <x v="6"/>
    <x v="22"/>
    <n v="1"/>
    <n v="2600"/>
    <n v="13.6968"/>
    <n v="20"/>
    <s v="Mar"/>
    <x v="11"/>
    <m/>
    <m/>
  </r>
  <r>
    <n v="62714126"/>
    <x v="5"/>
    <n v="2600"/>
    <d v="2026-03-06T00:00:00"/>
    <s v="PS OCG SF 6-18PK"/>
    <x v="34"/>
    <n v="5.2680000000000001E-3"/>
    <n v="130"/>
    <x v="6"/>
    <x v="22"/>
    <n v="1"/>
    <n v="2600"/>
    <n v="13.6968"/>
    <n v="20"/>
    <s v="Mar"/>
    <x v="11"/>
    <m/>
    <m/>
  </r>
  <r>
    <n v="62714126"/>
    <x v="5"/>
    <n v="2600"/>
    <d v="2026-03-06T00:00:00"/>
    <s v="PS OCG SF 6-18PK"/>
    <x v="34"/>
    <n v="5.2680000000000001E-3"/>
    <n v="130"/>
    <x v="6"/>
    <x v="22"/>
    <n v="1"/>
    <n v="2600"/>
    <n v="13.6968"/>
    <n v="20"/>
    <s v="Mar"/>
    <x v="11"/>
    <m/>
    <m/>
  </r>
  <r>
    <n v="62714126"/>
    <x v="5"/>
    <n v="2600"/>
    <d v="2026-03-06T00:00:00"/>
    <s v="PS OCG SF 6-18PK"/>
    <x v="34"/>
    <n v="5.2680000000000001E-3"/>
    <n v="130"/>
    <x v="6"/>
    <x v="22"/>
    <n v="1"/>
    <n v="2600"/>
    <n v="13.6968"/>
    <n v="20"/>
    <s v="Mar"/>
    <x v="11"/>
    <m/>
    <m/>
  </r>
  <r>
    <n v="64833353"/>
    <x v="5"/>
    <n v="2600"/>
    <d v="2026-03-09T00:00:00"/>
    <s v="PS SF Tropical 6-18PK"/>
    <x v="41"/>
    <n v="5.28E-3"/>
    <n v="130"/>
    <x v="6"/>
    <x v="22"/>
    <n v="1"/>
    <n v="2600"/>
    <n v="13.728"/>
    <n v="20"/>
    <s v="Mar"/>
    <x v="12"/>
    <m/>
    <m/>
  </r>
  <r>
    <n v="64833353"/>
    <x v="5"/>
    <n v="2600"/>
    <d v="2026-03-09T00:00:00"/>
    <s v="PS SF Tropical 6-18PK"/>
    <x v="41"/>
    <n v="5.28E-3"/>
    <n v="130"/>
    <x v="6"/>
    <x v="22"/>
    <n v="1"/>
    <n v="2600"/>
    <n v="13.728"/>
    <n v="20"/>
    <s v="Mar"/>
    <x v="12"/>
    <m/>
    <m/>
  </r>
  <r>
    <n v="62714126"/>
    <x v="5"/>
    <n v="2600"/>
    <d v="2026-03-09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09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09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09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10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10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10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10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4833353"/>
    <x v="5"/>
    <n v="2600"/>
    <d v="2026-03-11T00:00:00"/>
    <s v="PS SF Tropical 6-18PK"/>
    <x v="41"/>
    <n v="5.28E-3"/>
    <n v="130"/>
    <x v="6"/>
    <x v="22"/>
    <n v="1"/>
    <n v="2600"/>
    <n v="13.728"/>
    <n v="20"/>
    <s v="Mar"/>
    <x v="12"/>
    <m/>
    <m/>
  </r>
  <r>
    <n v="64833353"/>
    <x v="5"/>
    <n v="2600"/>
    <d v="2026-03-11T00:00:00"/>
    <s v="PS SF Tropical 6-18PK"/>
    <x v="41"/>
    <n v="5.28E-3"/>
    <n v="130"/>
    <x v="6"/>
    <x v="22"/>
    <n v="1"/>
    <n v="2600"/>
    <n v="13.728"/>
    <n v="20"/>
    <s v="Mar"/>
    <x v="12"/>
    <m/>
    <m/>
  </r>
  <r>
    <n v="64833353"/>
    <x v="5"/>
    <n v="2600"/>
    <d v="2026-03-11T00:00:00"/>
    <s v="PS SF Tropical 6-18PK"/>
    <x v="41"/>
    <n v="5.28E-3"/>
    <n v="130"/>
    <x v="6"/>
    <x v="22"/>
    <n v="1"/>
    <n v="2600"/>
    <n v="13.728"/>
    <n v="20"/>
    <s v="Mar"/>
    <x v="12"/>
    <m/>
    <m/>
  </r>
  <r>
    <n v="62714126"/>
    <x v="5"/>
    <n v="2600"/>
    <d v="2026-03-11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4833353"/>
    <x v="5"/>
    <n v="2600"/>
    <d v="2026-03-12T00:00:00"/>
    <s v="PS SF Tropical 6-18PK"/>
    <x v="41"/>
    <n v="5.28E-3"/>
    <n v="130"/>
    <x v="6"/>
    <x v="22"/>
    <n v="1"/>
    <n v="2600"/>
    <n v="13.728"/>
    <n v="20"/>
    <s v="Mar"/>
    <x v="12"/>
    <m/>
    <m/>
  </r>
  <r>
    <n v="64833353"/>
    <x v="5"/>
    <n v="2600"/>
    <d v="2026-03-12T00:00:00"/>
    <s v="PS SF Tropical 6-18PK"/>
    <x v="41"/>
    <n v="5.28E-3"/>
    <n v="130"/>
    <x v="6"/>
    <x v="22"/>
    <n v="1"/>
    <n v="2600"/>
    <n v="13.728"/>
    <n v="20"/>
    <s v="Mar"/>
    <x v="12"/>
    <m/>
    <m/>
  </r>
  <r>
    <n v="64833353"/>
    <x v="5"/>
    <n v="2600"/>
    <d v="2026-03-12T00:00:00"/>
    <s v="PS SF Tropical 6-18PK"/>
    <x v="41"/>
    <n v="5.28E-3"/>
    <n v="130"/>
    <x v="6"/>
    <x v="22"/>
    <n v="1"/>
    <n v="2600"/>
    <n v="13.728"/>
    <n v="20"/>
    <s v="Mar"/>
    <x v="12"/>
    <m/>
    <m/>
  </r>
  <r>
    <n v="62714126"/>
    <x v="5"/>
    <n v="2600"/>
    <d v="2026-03-12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12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3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14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2714126"/>
    <x v="5"/>
    <n v="2600"/>
    <d v="2026-03-14T00:00:00"/>
    <s v="PS OCG SF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4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4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4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4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4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4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4776958"/>
    <x v="5"/>
    <n v="2600"/>
    <d v="2026-03-14T00:00:00"/>
    <s v="PS OCG 6-18PK"/>
    <x v="34"/>
    <n v="5.2680000000000001E-3"/>
    <n v="130"/>
    <x v="6"/>
    <x v="22"/>
    <n v="1"/>
    <n v="2600"/>
    <n v="13.6968"/>
    <n v="20"/>
    <s v="Mar"/>
    <x v="12"/>
    <m/>
    <m/>
  </r>
  <r>
    <n v="64833353"/>
    <x v="5"/>
    <n v="2600"/>
    <d v="2026-03-16T00:00:00"/>
    <s v="PS SF Tropical 6-18PK"/>
    <x v="41"/>
    <n v="5.28E-3"/>
    <n v="130"/>
    <x v="6"/>
    <x v="22"/>
    <n v="1"/>
    <n v="2600"/>
    <n v="13.728"/>
    <n v="20"/>
    <s v="Mar"/>
    <x v="9"/>
    <m/>
    <m/>
  </r>
  <r>
    <n v="62714126"/>
    <x v="5"/>
    <n v="2600"/>
    <d v="2026-03-16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4776958"/>
    <x v="5"/>
    <n v="2600"/>
    <d v="2026-03-16T00:00:00"/>
    <s v="PS OCG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7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7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7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4833353"/>
    <x v="5"/>
    <n v="2600"/>
    <d v="2026-03-17T00:00:00"/>
    <s v="PS SF Tropical 6-18PK"/>
    <x v="34"/>
    <n v="5.28E-3"/>
    <n v="130"/>
    <x v="6"/>
    <x v="22"/>
    <n v="1"/>
    <n v="2600"/>
    <n v="13.728"/>
    <n v="20"/>
    <s v="Mar"/>
    <x v="9"/>
    <m/>
    <m/>
  </r>
  <r>
    <n v="64833353"/>
    <x v="5"/>
    <n v="2600"/>
    <d v="2026-03-18T00:00:00"/>
    <s v="PS SF Tropical 6-18PK"/>
    <x v="41"/>
    <n v="5.28E-3"/>
    <n v="130"/>
    <x v="6"/>
    <x v="22"/>
    <n v="1"/>
    <n v="2600"/>
    <n v="13.728"/>
    <n v="20"/>
    <s v="Mar"/>
    <x v="9"/>
    <m/>
    <m/>
  </r>
  <r>
    <n v="62714126"/>
    <x v="5"/>
    <n v="2600"/>
    <d v="2026-03-18T00:00:00"/>
    <s v="PS OCG SF 6-18PK"/>
    <x v="41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8T00:00:00"/>
    <s v="PS OCG SF 6-18PK"/>
    <x v="41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8T00:00:00"/>
    <s v="PS OCG SF 6-18PK"/>
    <x v="41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8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8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4833353"/>
    <x v="5"/>
    <n v="2600"/>
    <d v="2026-03-18T00:00:00"/>
    <s v="PS SF Tropical 6-18PK"/>
    <x v="34"/>
    <n v="5.28E-3"/>
    <n v="130"/>
    <x v="6"/>
    <x v="22"/>
    <n v="1"/>
    <n v="2600"/>
    <n v="13.728"/>
    <n v="20"/>
    <s v="Mar"/>
    <x v="9"/>
    <m/>
    <m/>
  </r>
  <r>
    <n v="64833353"/>
    <x v="5"/>
    <n v="2600"/>
    <d v="2026-03-18T00:00:00"/>
    <s v="PS SF Tropical 6-18PK"/>
    <x v="34"/>
    <n v="5.28E-3"/>
    <n v="130"/>
    <x v="6"/>
    <x v="22"/>
    <n v="1"/>
    <n v="2600"/>
    <n v="13.728"/>
    <n v="20"/>
    <s v="Mar"/>
    <x v="9"/>
    <m/>
    <m/>
  </r>
  <r>
    <n v="62714126"/>
    <x v="5"/>
    <n v="2600"/>
    <d v="2026-03-18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8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9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19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20T00:00:00"/>
    <s v="PS OCG SF 6-18PK"/>
    <x v="41"/>
    <n v="5.2680000000000001E-3"/>
    <n v="130"/>
    <x v="6"/>
    <x v="22"/>
    <n v="1"/>
    <n v="2600"/>
    <n v="13.6968"/>
    <n v="20"/>
    <s v="Mar"/>
    <x v="9"/>
    <m/>
    <m/>
  </r>
  <r>
    <n v="64833353"/>
    <x v="5"/>
    <n v="2600"/>
    <d v="2026-03-20T00:00:00"/>
    <s v="PS SF Tropical 6-18PK"/>
    <x v="41"/>
    <n v="5.28E-3"/>
    <n v="130"/>
    <x v="6"/>
    <x v="22"/>
    <n v="1"/>
    <n v="2600"/>
    <n v="13.728"/>
    <n v="20"/>
    <s v="Mar"/>
    <x v="9"/>
    <m/>
    <m/>
  </r>
  <r>
    <n v="64833353"/>
    <x v="5"/>
    <n v="2600"/>
    <d v="2026-03-20T00:00:00"/>
    <s v="PS SF Tropical 6-18PK"/>
    <x v="41"/>
    <n v="5.28E-3"/>
    <n v="130"/>
    <x v="6"/>
    <x v="22"/>
    <n v="1"/>
    <n v="2600"/>
    <n v="13.728"/>
    <n v="20"/>
    <s v="Mar"/>
    <x v="9"/>
    <m/>
    <m/>
  </r>
  <r>
    <n v="62714126"/>
    <x v="5"/>
    <n v="2600"/>
    <d v="2026-03-20T00:00:00"/>
    <s v="PS OCG SF 6-18PK"/>
    <x v="41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20T00:00:00"/>
    <s v="PS OCG SF 6-18PK"/>
    <x v="41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20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4833353"/>
    <x v="5"/>
    <n v="2600"/>
    <d v="2026-03-20T00:00:00"/>
    <s v="PS SF Tropical 6-18PK"/>
    <x v="41"/>
    <n v="5.28E-3"/>
    <n v="130"/>
    <x v="6"/>
    <x v="22"/>
    <n v="1"/>
    <n v="2600"/>
    <n v="13.728"/>
    <n v="20"/>
    <s v="Mar"/>
    <x v="9"/>
    <m/>
    <m/>
  </r>
  <r>
    <n v="62714126"/>
    <x v="5"/>
    <n v="2600"/>
    <d v="2026-03-20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20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20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20T00:00:00"/>
    <s v="PS OCG SF 6-18PK"/>
    <x v="34"/>
    <n v="5.2680000000000001E-3"/>
    <n v="130"/>
    <x v="6"/>
    <x v="22"/>
    <n v="1"/>
    <n v="2600"/>
    <n v="13.6968"/>
    <n v="20"/>
    <s v="Mar"/>
    <x v="9"/>
    <m/>
    <m/>
  </r>
  <r>
    <n v="62714126"/>
    <x v="5"/>
    <n v="2600"/>
    <d v="2026-03-23T00:00:00"/>
    <s v="PS OCG SF 6-18PK"/>
    <x v="41"/>
    <n v="5.2680000000000001E-3"/>
    <n v="130"/>
    <x v="6"/>
    <x v="22"/>
    <n v="1"/>
    <n v="2600"/>
    <n v="13.6968"/>
    <n v="20"/>
    <s v="Mar"/>
    <x v="10"/>
    <m/>
    <m/>
  </r>
  <r>
    <n v="62714126"/>
    <x v="5"/>
    <n v="2600"/>
    <d v="2026-03-23T00:00:00"/>
    <s v="PS OCG SF 6-18PK"/>
    <x v="41"/>
    <n v="5.2680000000000001E-3"/>
    <n v="130"/>
    <x v="6"/>
    <x v="22"/>
    <n v="1"/>
    <n v="2600"/>
    <n v="13.6968"/>
    <n v="20"/>
    <s v="Mar"/>
    <x v="10"/>
    <m/>
    <m/>
  </r>
  <r>
    <n v="64833353"/>
    <x v="5"/>
    <n v="2600"/>
    <d v="2026-03-23T00:00:00"/>
    <s v="PS SF Tropical 6-18PK"/>
    <x v="41"/>
    <n v="5.28E-3"/>
    <n v="130"/>
    <x v="6"/>
    <x v="22"/>
    <n v="1"/>
    <n v="2600"/>
    <n v="13.728"/>
    <n v="20"/>
    <s v="Mar"/>
    <x v="10"/>
    <m/>
    <m/>
  </r>
  <r>
    <n v="64833353"/>
    <x v="5"/>
    <n v="2600"/>
    <d v="2026-03-23T00:00:00"/>
    <s v="PS SF Tropical 6-18PK"/>
    <x v="41"/>
    <n v="5.28E-3"/>
    <n v="130"/>
    <x v="6"/>
    <x v="22"/>
    <n v="1"/>
    <n v="2600"/>
    <n v="13.728"/>
    <n v="20"/>
    <s v="Mar"/>
    <x v="10"/>
    <m/>
    <m/>
  </r>
  <r>
    <n v="64833353"/>
    <x v="5"/>
    <n v="2600"/>
    <d v="2026-03-23T00:00:00"/>
    <s v="PS SF Tropical 6-18PK"/>
    <x v="41"/>
    <n v="5.28E-3"/>
    <n v="130"/>
    <x v="6"/>
    <x v="22"/>
    <n v="1"/>
    <n v="2600"/>
    <n v="13.728"/>
    <n v="20"/>
    <s v="Mar"/>
    <x v="10"/>
    <m/>
    <m/>
  </r>
  <r>
    <n v="62714126"/>
    <x v="5"/>
    <n v="2600"/>
    <d v="2026-03-23T00:00:00"/>
    <s v="PS OCG SF 6-18PK"/>
    <x v="41"/>
    <n v="5.2680000000000001E-3"/>
    <n v="130"/>
    <x v="6"/>
    <x v="22"/>
    <n v="1"/>
    <n v="2600"/>
    <n v="13.6968"/>
    <n v="20"/>
    <s v="Mar"/>
    <x v="10"/>
    <m/>
    <m/>
  </r>
  <r>
    <n v="64833353"/>
    <x v="5"/>
    <n v="2600"/>
    <d v="2026-03-23T00:00:00"/>
    <s v="PS SF Tropical 6-18PK"/>
    <x v="41"/>
    <n v="5.28E-3"/>
    <n v="130"/>
    <x v="6"/>
    <x v="22"/>
    <n v="1"/>
    <n v="2600"/>
    <n v="13.728"/>
    <n v="20"/>
    <s v="Mar"/>
    <x v="10"/>
    <m/>
    <m/>
  </r>
  <r>
    <n v="62714126"/>
    <x v="5"/>
    <n v="2600"/>
    <d v="2026-03-23T00:00:00"/>
    <s v="PS OCG SF 6-18PK"/>
    <x v="34"/>
    <n v="5.2680000000000001E-3"/>
    <n v="130"/>
    <x v="6"/>
    <x v="22"/>
    <n v="1"/>
    <n v="2600"/>
    <n v="13.6968"/>
    <n v="20"/>
    <s v="Mar"/>
    <x v="10"/>
    <m/>
    <m/>
  </r>
  <r>
    <n v="62714126"/>
    <x v="5"/>
    <n v="2600"/>
    <d v="2026-03-23T00:00:00"/>
    <s v="PS OCG SF 6-18PK"/>
    <x v="34"/>
    <n v="5.2680000000000001E-3"/>
    <n v="130"/>
    <x v="6"/>
    <x v="22"/>
    <n v="1"/>
    <n v="2600"/>
    <n v="13.6968"/>
    <n v="20"/>
    <s v="Mar"/>
    <x v="10"/>
    <m/>
    <m/>
  </r>
  <r>
    <n v="62714126"/>
    <x v="5"/>
    <n v="2600"/>
    <d v="2026-03-23T00:00:00"/>
    <s v="PS OCG SF 6-18PK"/>
    <x v="34"/>
    <n v="5.2680000000000001E-3"/>
    <n v="130"/>
    <x v="6"/>
    <x v="22"/>
    <n v="1"/>
    <n v="2600"/>
    <n v="13.6968"/>
    <n v="20"/>
    <s v="Mar"/>
    <x v="10"/>
    <m/>
    <m/>
  </r>
  <r>
    <n v="64958862"/>
    <x v="5"/>
    <n v="3400"/>
    <d v="2026-03-23T00:00:00"/>
    <s v="PS SF Cherry IH 6-12pk"/>
    <x v="34"/>
    <n v="3.516E-3"/>
    <n v="170"/>
    <x v="17"/>
    <x v="50"/>
    <n v="1"/>
    <n v="3400"/>
    <n v="11.9544"/>
    <n v="20"/>
    <s v="Mar"/>
    <x v="10"/>
    <m/>
    <m/>
  </r>
  <r>
    <n v="64833353"/>
    <x v="5"/>
    <n v="2600"/>
    <d v="2026-03-24T00:00:00"/>
    <s v="PS SF Tropical 6-18PK"/>
    <x v="41"/>
    <n v="5.28E-3"/>
    <n v="130"/>
    <x v="6"/>
    <x v="22"/>
    <n v="1"/>
    <n v="2600"/>
    <n v="13.728"/>
    <n v="20"/>
    <s v="Mar"/>
    <x v="10"/>
    <m/>
    <m/>
  </r>
  <r>
    <n v="64833353"/>
    <x v="5"/>
    <n v="2600"/>
    <d v="2026-03-24T00:00:00"/>
    <s v="PS SF Tropical 6-18PK"/>
    <x v="41"/>
    <n v="5.28E-3"/>
    <n v="130"/>
    <x v="6"/>
    <x v="22"/>
    <n v="1"/>
    <n v="2600"/>
    <n v="13.728"/>
    <n v="20"/>
    <s v="Mar"/>
    <x v="10"/>
    <m/>
    <m/>
  </r>
  <r>
    <n v="62714126"/>
    <x v="5"/>
    <n v="2600"/>
    <d v="2026-03-24T00:00:00"/>
    <s v="PS OCG SF 6-18PK"/>
    <x v="34"/>
    <n v="5.2680000000000001E-3"/>
    <n v="130"/>
    <x v="6"/>
    <x v="22"/>
    <n v="1"/>
    <n v="2600"/>
    <n v="13.6968"/>
    <n v="20"/>
    <s v="Mar"/>
    <x v="10"/>
    <m/>
    <m/>
  </r>
  <r>
    <n v="64960643"/>
    <x v="5"/>
    <n v="3400"/>
    <d v="2026-03-24T00:00:00"/>
    <s v="PS Orange Regular IH 6-12pk"/>
    <x v="34"/>
    <n v="3.516E-3"/>
    <n v="170"/>
    <x v="17"/>
    <x v="50"/>
    <n v="1"/>
    <n v="3400"/>
    <n v="11.9544"/>
    <n v="20"/>
    <s v="Mar"/>
    <x v="10"/>
    <m/>
    <m/>
  </r>
  <r>
    <n v="64988054"/>
    <x v="11"/>
    <n v="24253"/>
    <d v="2026-02-24T00:00:00"/>
    <s v="BJ US-Bar-Caramel Blondie 8-4pk"/>
    <x v="38"/>
    <n v="2.3999999999999998E-3"/>
    <n v="165"/>
    <x v="24"/>
    <x v="45"/>
    <n v="1"/>
    <n v="24253"/>
    <n v="58.207199999999993"/>
    <n v="146.9878787878788"/>
    <s v="Feb"/>
    <x v="6"/>
    <m/>
    <m/>
  </r>
  <r>
    <n v="64988053"/>
    <x v="11"/>
    <n v="24276"/>
    <d v="2026-02-24T00:00:00"/>
    <s v="BJ US-Bar-PB Pretzel 8-4pk"/>
    <x v="38"/>
    <n v="2.3999999999999998E-3"/>
    <n v="165"/>
    <x v="24"/>
    <x v="45"/>
    <n v="1"/>
    <n v="24276"/>
    <n v="58.262399999999992"/>
    <n v="147.12727272727273"/>
    <s v="Feb"/>
    <x v="6"/>
    <m/>
    <m/>
  </r>
  <r>
    <n v="64987232"/>
    <x v="11"/>
    <n v="24778"/>
    <d v="2026-02-24T00:00:00"/>
    <s v="BJ US-Bar-CHOCFUDGBrownie 8-4pk"/>
    <x v="38"/>
    <n v="2.3999999999999998E-3"/>
    <n v="165"/>
    <x v="24"/>
    <x v="45"/>
    <n v="1"/>
    <n v="24778"/>
    <n v="59.467199999999998"/>
    <n v="150.16969696969696"/>
    <s v="Feb"/>
    <x v="6"/>
    <m/>
    <m/>
  </r>
  <r>
    <n v="64975613"/>
    <x v="11"/>
    <n v="48560"/>
    <d v="2026-02-24T00:00:00"/>
    <s v="Yasso Chocolate Chip Cookie Dough 8-14z"/>
    <x v="38"/>
    <n v="3.3119999999999998E-3"/>
    <n v="240"/>
    <x v="11"/>
    <x v="31"/>
    <n v="1"/>
    <n v="48560"/>
    <n v="160.83071999999999"/>
    <n v="202.33333333333334"/>
    <s v="Feb"/>
    <x v="6"/>
    <m/>
    <m/>
  </r>
  <r>
    <n v="64975614"/>
    <x v="11"/>
    <n v="95637"/>
    <d v="2026-02-24T00:00:00"/>
    <s v="Yasso Fudge Brownie 8-14z"/>
    <x v="38"/>
    <n v="3.3119999999999998E-3"/>
    <n v="240"/>
    <x v="11"/>
    <x v="31"/>
    <n v="1"/>
    <n v="95637"/>
    <n v="316.74974399999996"/>
    <n v="398.48750000000001"/>
    <s v="Feb"/>
    <x v="6"/>
    <m/>
    <m/>
  </r>
  <r>
    <n v="64958129"/>
    <x v="11"/>
    <n v="7117"/>
    <d v="2026-02-26T00:00:00"/>
    <s v="Yasso Chocolate Chip Cookie Dough 8-4pk"/>
    <x v="38"/>
    <n v="3.3119999999999998E-3"/>
    <n v="165"/>
    <x v="4"/>
    <x v="32"/>
    <n v="1"/>
    <n v="7117"/>
    <n v="23.571503999999997"/>
    <n v="43.133333333333333"/>
    <s v="Feb"/>
    <x v="6"/>
    <m/>
    <m/>
  </r>
  <r>
    <n v="64975616"/>
    <x v="11"/>
    <n v="62924"/>
    <d v="2026-02-26T00:00:00"/>
    <s v="Yasso Mint Chocolate Chip 8-14z"/>
    <x v="38"/>
    <n v="3.3119999999999998E-3"/>
    <n v="240"/>
    <x v="11"/>
    <x v="31"/>
    <n v="1"/>
    <n v="62924"/>
    <n v="208.40428799999998"/>
    <n v="262.18333333333334"/>
    <s v="Feb"/>
    <x v="6"/>
    <m/>
    <m/>
  </r>
  <r>
    <n v="64999073"/>
    <x v="11"/>
    <n v="46482"/>
    <d v="2026-03-02T00:00:00"/>
    <s v="Yasso Cookies n Cream 8-14z"/>
    <x v="38"/>
    <n v="3.3119999999999998E-3"/>
    <n v="240"/>
    <x v="11"/>
    <x v="31"/>
    <n v="1"/>
    <n v="46482"/>
    <n v="153.948384"/>
    <n v="193.67500000000001"/>
    <s v="Mar"/>
    <x v="11"/>
    <m/>
    <m/>
  </r>
  <r>
    <n v="64999042"/>
    <x v="11"/>
    <n v="13758"/>
    <d v="2026-03-04T00:00:00"/>
    <s v="Yasso Coffee Chocolate Chip 8-14z"/>
    <x v="38"/>
    <n v="3.3119999999999998E-3"/>
    <n v="240"/>
    <x v="11"/>
    <x v="31"/>
    <n v="1"/>
    <n v="13758"/>
    <n v="45.566496000000001"/>
    <n v="57.325000000000003"/>
    <s v="Mar"/>
    <x v="11"/>
    <m/>
    <m/>
  </r>
  <r>
    <n v="64987233"/>
    <x v="11"/>
    <n v="15090"/>
    <d v="2026-03-05T00:00:00"/>
    <s v="BJ US-Bar-StrawberryCHSCAKE 8-4pk"/>
    <x v="38"/>
    <n v="2.3999999999999998E-3"/>
    <n v="165"/>
    <x v="24"/>
    <x v="45"/>
    <n v="1"/>
    <n v="15090"/>
    <n v="36.215999999999994"/>
    <n v="91.454545454545453"/>
    <s v="Mar"/>
    <x v="11"/>
    <m/>
    <m/>
  </r>
  <r>
    <n v="64988054"/>
    <x v="11"/>
    <n v="31084"/>
    <d v="2026-03-05T00:00:00"/>
    <s v="BJ US-Bar-Caramel Blondie 8-4pk"/>
    <x v="38"/>
    <n v="2.3999999999999998E-3"/>
    <n v="165"/>
    <x v="24"/>
    <x v="45"/>
    <n v="1"/>
    <n v="31084"/>
    <n v="74.601599999999991"/>
    <n v="188.38787878787878"/>
    <s v="Mar"/>
    <x v="11"/>
    <m/>
    <m/>
  </r>
  <r>
    <n v="64975614"/>
    <x v="11"/>
    <n v="11520"/>
    <d v="2026-03-06T00:00:00"/>
    <s v="Yasso Fudge Brownie 8-14z"/>
    <x v="38"/>
    <n v="3.3119999999999998E-3"/>
    <n v="240"/>
    <x v="11"/>
    <x v="31"/>
    <n v="1"/>
    <n v="11520"/>
    <n v="38.154240000000001"/>
    <n v="48"/>
    <s v="Mar"/>
    <x v="11"/>
    <m/>
    <m/>
  </r>
  <r>
    <n v="64999073"/>
    <x v="11"/>
    <n v="15235"/>
    <d v="2026-03-06T00:00:00"/>
    <s v="Yasso Cookies n Cream 8-14z"/>
    <x v="38"/>
    <n v="3.3119999999999998E-3"/>
    <n v="240"/>
    <x v="11"/>
    <x v="31"/>
    <n v="1"/>
    <n v="15235"/>
    <n v="50.458320000000001"/>
    <n v="63.479166666666664"/>
    <s v="Mar"/>
    <x v="11"/>
    <m/>
    <m/>
  </r>
  <r>
    <n v="64999073"/>
    <x v="11"/>
    <n v="13048"/>
    <d v="2026-03-12T00:00:00"/>
    <s v="Yasso Cookies n Cream 8-14z"/>
    <x v="38"/>
    <n v="3.3119999999999998E-3"/>
    <n v="240"/>
    <x v="11"/>
    <x v="31"/>
    <n v="1"/>
    <n v="13048"/>
    <n v="43.214976"/>
    <n v="54.366666666666667"/>
    <s v="Mar"/>
    <x v="12"/>
    <m/>
    <m/>
  </r>
  <r>
    <n v="64975616"/>
    <x v="11"/>
    <n v="28058"/>
    <d v="2026-03-16T00:00:00"/>
    <s v="Yasso Mint Chocolate Chip 8-14z"/>
    <x v="38"/>
    <n v="3.3119999999999998E-3"/>
    <n v="240"/>
    <x v="11"/>
    <x v="31"/>
    <n v="1"/>
    <n v="28058"/>
    <n v="92.928095999999996"/>
    <n v="116.90833333333333"/>
    <s v="Mar"/>
    <x v="9"/>
    <m/>
    <m/>
  </r>
  <r>
    <n v="64987234"/>
    <x v="11"/>
    <n v="11945"/>
    <d v="2026-03-19T00:00:00"/>
    <s v="BJ US-Bar-Cookie Dough 8-4pk"/>
    <x v="38"/>
    <n v="2.3999999999999998E-3"/>
    <n v="165"/>
    <x v="24"/>
    <x v="45"/>
    <n v="1"/>
    <n v="11945"/>
    <n v="28.667999999999999"/>
    <n v="72.393939393939391"/>
    <s v="Mar"/>
    <x v="9"/>
    <m/>
    <m/>
  </r>
  <r>
    <n v="65218505"/>
    <x v="11"/>
    <n v="38332"/>
    <d v="2026-03-19T00:00:00"/>
    <s v="Yasso Chocolate Fudge Brownie 8-4pk"/>
    <x v="38"/>
    <n v="3.3119999999999998E-3"/>
    <n v="165"/>
    <x v="4"/>
    <x v="32"/>
    <n v="1"/>
    <n v="38332"/>
    <n v="126.95558399999999"/>
    <n v="232.31515151515151"/>
    <s v="Mar"/>
    <x v="9"/>
    <m/>
    <m/>
  </r>
  <r>
    <n v="64975613"/>
    <x v="11"/>
    <n v="54600"/>
    <d v="2026-03-19T00:00:00"/>
    <s v="Yasso Chocolate Chip Cookie Dough 8-14z"/>
    <x v="38"/>
    <n v="3.3119999999999998E-3"/>
    <n v="240"/>
    <x v="11"/>
    <x v="31"/>
    <n v="1"/>
    <n v="54600"/>
    <n v="180.83519999999999"/>
    <n v="227.5"/>
    <s v="Mar"/>
    <x v="9"/>
    <m/>
    <m/>
  </r>
  <r>
    <n v="65254774"/>
    <x v="18"/>
    <n v="28546"/>
    <d v="2026-03-02T00:00:00"/>
    <s v="Yasso Choc Chip VAN CRML Cups 1-12ct"/>
    <x v="45"/>
    <n v="1E-3"/>
    <n v="420"/>
    <x v="17"/>
    <x v="46"/>
    <n v="1"/>
    <n v="28546"/>
    <n v="28.545999999999999"/>
    <n v="67.966666666666669"/>
    <s v="Mar"/>
    <x v="11"/>
    <m/>
    <m/>
  </r>
  <r>
    <n v="65254774"/>
    <x v="18"/>
    <n v="30578"/>
    <d v="2026-03-03T00:00:00"/>
    <s v="Yasso Choc Chip VAN CRML Cups 1-12ct"/>
    <x v="45"/>
    <n v="1E-3"/>
    <n v="420"/>
    <x v="17"/>
    <x v="46"/>
    <n v="1"/>
    <n v="30578"/>
    <n v="30.577999999999999"/>
    <n v="72.804761904761904"/>
    <s v="Mar"/>
    <x v="11"/>
    <m/>
    <m/>
  </r>
  <r>
    <n v="64979410"/>
    <x v="17"/>
    <n v="18588"/>
    <d v="2026-03-04T00:00:00"/>
    <s v="GH Giant Vanilla Sandwich 1-24BK"/>
    <x v="44"/>
    <n v="4.248E-3"/>
    <n v="324"/>
    <x v="17"/>
    <x v="42"/>
    <n v="1"/>
    <n v="18588"/>
    <n v="78.961824000000007"/>
    <n v="57.370370370370374"/>
    <s v="Mar"/>
    <x v="11"/>
    <m/>
    <m/>
  </r>
  <r>
    <n v="64979410"/>
    <x v="17"/>
    <n v="16474"/>
    <d v="2026-03-05T00:00:00"/>
    <s v="GH Giant Vanilla Sandwich 1-24BK"/>
    <x v="44"/>
    <n v="4.248E-3"/>
    <n v="324"/>
    <x v="17"/>
    <x v="42"/>
    <n v="1"/>
    <n v="16474"/>
    <n v="69.981552000000008"/>
    <n v="50.845679012345677"/>
    <s v="Mar"/>
    <x v="11"/>
    <m/>
    <m/>
  </r>
  <r>
    <n v="65254774"/>
    <x v="18"/>
    <n v="31172"/>
    <d v="2026-03-09T00:00:00"/>
    <s v="Yasso Choc Chip VAN CRML Cups 1-12ct"/>
    <x v="45"/>
    <n v="1E-3"/>
    <n v="420"/>
    <x v="17"/>
    <x v="46"/>
    <n v="1"/>
    <n v="31172"/>
    <n v="31.172000000000001"/>
    <n v="74.219047619047615"/>
    <s v="Mar"/>
    <x v="12"/>
    <m/>
    <m/>
  </r>
  <r>
    <n v="64979410"/>
    <x v="17"/>
    <n v="14331"/>
    <d v="2026-03-10T00:00:00"/>
    <s v="GH Giant Vanilla Sandwich 1-24BK"/>
    <x v="44"/>
    <n v="4.248E-3"/>
    <n v="324"/>
    <x v="17"/>
    <x v="42"/>
    <n v="1"/>
    <n v="14331"/>
    <n v="60.878087999999998"/>
    <n v="44.231481481481481"/>
    <s v="Mar"/>
    <x v="12"/>
    <m/>
    <m/>
  </r>
  <r>
    <n v="65254774"/>
    <x v="18"/>
    <n v="22276"/>
    <d v="2026-03-17T00:00:00"/>
    <s v="Yasso Choc Chip VAN CRML Cups 1-12ct"/>
    <x v="45"/>
    <n v="1E-3"/>
    <n v="420"/>
    <x v="17"/>
    <x v="46"/>
    <n v="1"/>
    <n v="22276"/>
    <n v="22.276"/>
    <n v="53.038095238095238"/>
    <s v="Mar"/>
    <x v="9"/>
    <m/>
    <m/>
  </r>
  <r>
    <n v="64989108"/>
    <x v="18"/>
    <n v="1739"/>
    <d v="2026-03-18T00:00:00"/>
    <s v="BR HA Natural Vanilla 6 10CT 3z"/>
    <x v="45"/>
    <n v="5.3220000000000003E-3"/>
    <n v="120"/>
    <x v="23"/>
    <x v="43"/>
    <n v="1"/>
    <n v="1739"/>
    <n v="9.2549580000000002"/>
    <n v="14.491666666666667"/>
    <s v="Mar"/>
    <x v="9"/>
    <m/>
    <m/>
  </r>
  <r>
    <n v="64989109"/>
    <x v="18"/>
    <n v="5847"/>
    <d v="2026-03-18T00:00:00"/>
    <s v="BR Natural Vanilla 6 10CT 3z"/>
    <x v="45"/>
    <n v="5.3220000000000003E-3"/>
    <n v="120"/>
    <x v="23"/>
    <x v="43"/>
    <n v="1"/>
    <n v="5847"/>
    <n v="31.117734000000002"/>
    <n v="48.725000000000001"/>
    <s v="Mar"/>
    <x v="9"/>
    <m/>
    <m/>
  </r>
  <r>
    <n v="64365613"/>
    <x v="7"/>
    <n v="3900"/>
    <d v="2026-02-23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365613"/>
    <x v="7"/>
    <n v="3900"/>
    <d v="2026-02-23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365613"/>
    <x v="7"/>
    <n v="3900"/>
    <d v="2026-02-23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365613"/>
    <x v="7"/>
    <n v="3900"/>
    <d v="2026-02-23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771676"/>
    <x v="7"/>
    <n v="3900"/>
    <d v="2026-02-23T00:00:00"/>
    <s v="PS SpongeBob Facepiece IH 6-6PK"/>
    <x v="41"/>
    <n v="2.16E-3"/>
    <n v="195"/>
    <x v="16"/>
    <x v="24"/>
    <n v="1"/>
    <n v="3900"/>
    <n v="8.4239999999999995"/>
    <n v="20"/>
    <s v="Feb"/>
    <x v="6"/>
    <m/>
    <m/>
  </r>
  <r>
    <n v="64341108"/>
    <x v="7"/>
    <n v="4200"/>
    <d v="2026-02-23T00:00:00"/>
    <s v="PS SpongeBob Facepiece 1-20PK"/>
    <x v="41"/>
    <n v="2.3599999999999997E-3"/>
    <n v="210"/>
    <x v="16"/>
    <x v="24"/>
    <n v="1"/>
    <n v="4200"/>
    <n v="9.911999999999999"/>
    <n v="20"/>
    <s v="Feb"/>
    <x v="6"/>
    <m/>
    <m/>
  </r>
  <r>
    <n v="64341108"/>
    <x v="7"/>
    <n v="4200"/>
    <d v="2026-02-23T00:00:00"/>
    <s v="PS SpongeBob Facepiece 1-20PK"/>
    <x v="41"/>
    <n v="2.3599999999999997E-3"/>
    <n v="210"/>
    <x v="16"/>
    <x v="24"/>
    <n v="1"/>
    <n v="4200"/>
    <n v="9.911999999999999"/>
    <n v="20"/>
    <s v="Feb"/>
    <x v="6"/>
    <m/>
    <m/>
  </r>
  <r>
    <n v="64341109"/>
    <x v="7"/>
    <n v="4200"/>
    <d v="2026-02-23T00:00:00"/>
    <s v="PS Spiderman Facepiece 1-20PK"/>
    <x v="41"/>
    <n v="2E-3"/>
    <n v="210"/>
    <x v="16"/>
    <x v="24"/>
    <n v="1"/>
    <n v="4200"/>
    <n v="8.4"/>
    <n v="20"/>
    <s v="Feb"/>
    <x v="6"/>
    <m/>
    <m/>
  </r>
  <r>
    <n v="64341109"/>
    <x v="7"/>
    <n v="4200"/>
    <d v="2026-02-23T00:00:00"/>
    <s v="PS Spiderman Facepiece 1-20PK"/>
    <x v="41"/>
    <n v="2E-3"/>
    <n v="210"/>
    <x v="16"/>
    <x v="24"/>
    <n v="1"/>
    <n v="4200"/>
    <n v="8.4"/>
    <n v="20"/>
    <s v="Feb"/>
    <x v="6"/>
    <m/>
    <m/>
  </r>
  <r>
    <n v="64341108"/>
    <x v="7"/>
    <n v="4200"/>
    <d v="2026-02-23T00:00:00"/>
    <s v="PS SpongeBob Facepiece 1-20PK"/>
    <x v="41"/>
    <n v="2.3599999999999997E-3"/>
    <n v="210"/>
    <x v="16"/>
    <x v="24"/>
    <n v="1"/>
    <n v="4200"/>
    <n v="9.911999999999999"/>
    <n v="20"/>
    <s v="Feb"/>
    <x v="6"/>
    <m/>
    <m/>
  </r>
  <r>
    <n v="64401837"/>
    <x v="7"/>
    <n v="3000"/>
    <d v="2026-02-24T00:00:00"/>
    <s v="PS Frozen Olaf Facepiece IH 6-6PK"/>
    <x v="41"/>
    <n v="2.16E-3"/>
    <n v="150"/>
    <x v="16"/>
    <x v="24"/>
    <n v="1"/>
    <n v="3000"/>
    <n v="6.48"/>
    <n v="20"/>
    <s v="Feb"/>
    <x v="6"/>
    <m/>
    <m/>
  </r>
  <r>
    <n v="64401837"/>
    <x v="7"/>
    <n v="3000"/>
    <d v="2026-02-24T00:00:00"/>
    <s v="PS Frozen Olaf Facepiece IH 6-6PK"/>
    <x v="41"/>
    <n v="2.16E-3"/>
    <n v="150"/>
    <x v="16"/>
    <x v="24"/>
    <n v="1"/>
    <n v="3000"/>
    <n v="6.48"/>
    <n v="20"/>
    <s v="Feb"/>
    <x v="6"/>
    <m/>
    <m/>
  </r>
  <r>
    <n v="64401837"/>
    <x v="7"/>
    <n v="3000"/>
    <d v="2026-02-24T00:00:00"/>
    <s v="PS Frozen Olaf Facepiece IH 6-6PK"/>
    <x v="41"/>
    <n v="2.16E-3"/>
    <n v="150"/>
    <x v="16"/>
    <x v="24"/>
    <n v="1"/>
    <n v="3000"/>
    <n v="6.48"/>
    <n v="20"/>
    <s v="Feb"/>
    <x v="6"/>
    <m/>
    <m/>
  </r>
  <r>
    <n v="64365613"/>
    <x v="7"/>
    <n v="3898"/>
    <d v="2026-02-24T00:00:00"/>
    <s v="PS Spiderman Facepiece 6-6PK"/>
    <x v="41"/>
    <n v="2.1540000000000001E-3"/>
    <n v="195"/>
    <x v="16"/>
    <x v="24"/>
    <n v="1"/>
    <n v="3898"/>
    <n v="8.3962920000000008"/>
    <n v="19.98974358974359"/>
    <s v="Feb"/>
    <x v="6"/>
    <m/>
    <m/>
  </r>
  <r>
    <n v="64365613"/>
    <x v="7"/>
    <n v="3900"/>
    <d v="2026-02-24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365613"/>
    <x v="7"/>
    <n v="3900"/>
    <d v="2026-02-24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771676"/>
    <x v="7"/>
    <n v="3900"/>
    <d v="2026-02-24T00:00:00"/>
    <s v="PS SpongeBob Facepiece IH 6-6PK"/>
    <x v="41"/>
    <n v="2.16E-3"/>
    <n v="195"/>
    <x v="16"/>
    <x v="24"/>
    <n v="1"/>
    <n v="3900"/>
    <n v="8.4239999999999995"/>
    <n v="20"/>
    <s v="Feb"/>
    <x v="6"/>
    <m/>
    <m/>
  </r>
  <r>
    <n v="64771676"/>
    <x v="7"/>
    <n v="3900"/>
    <d v="2026-02-24T00:00:00"/>
    <s v="PS SpongeBob Facepiece IH 6-6PK"/>
    <x v="41"/>
    <n v="2.16E-3"/>
    <n v="195"/>
    <x v="16"/>
    <x v="24"/>
    <n v="1"/>
    <n v="3900"/>
    <n v="8.4239999999999995"/>
    <n v="20"/>
    <s v="Feb"/>
    <x v="6"/>
    <m/>
    <m/>
  </r>
  <r>
    <n v="64341108"/>
    <x v="7"/>
    <n v="4200"/>
    <d v="2026-02-24T00:00:00"/>
    <s v="PS SpongeBob Facepiece 1-20PK"/>
    <x v="41"/>
    <n v="2.3599999999999997E-3"/>
    <n v="210"/>
    <x v="16"/>
    <x v="24"/>
    <n v="1"/>
    <n v="4200"/>
    <n v="9.911999999999999"/>
    <n v="20"/>
    <s v="Feb"/>
    <x v="6"/>
    <m/>
    <m/>
  </r>
  <r>
    <n v="64956417"/>
    <x v="7"/>
    <n v="2860"/>
    <d v="2026-02-25T00:00:00"/>
    <s v="PS Hello Kitty Facepiece IH 6-6PK"/>
    <x v="41"/>
    <n v="2.16E-3"/>
    <n v="143"/>
    <x v="16"/>
    <x v="24"/>
    <n v="1"/>
    <n v="2860"/>
    <n v="6.1776"/>
    <n v="20"/>
    <s v="Feb"/>
    <x v="6"/>
    <m/>
    <m/>
  </r>
  <r>
    <n v="64956417"/>
    <x v="7"/>
    <n v="2860"/>
    <d v="2026-02-25T00:00:00"/>
    <s v="PS Hello Kitty Facepiece IH 6-6PK"/>
    <x v="41"/>
    <n v="2.16E-3"/>
    <n v="143"/>
    <x v="16"/>
    <x v="24"/>
    <n v="1"/>
    <n v="2860"/>
    <n v="6.1776"/>
    <n v="20"/>
    <s v="Feb"/>
    <x v="6"/>
    <m/>
    <m/>
  </r>
  <r>
    <n v="64365613"/>
    <x v="7"/>
    <n v="3900"/>
    <d v="2026-02-25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771676"/>
    <x v="7"/>
    <n v="3900"/>
    <d v="2026-02-25T00:00:00"/>
    <s v="PS SpongeBob Facepiece IH 6-6PK"/>
    <x v="41"/>
    <n v="2.16E-3"/>
    <n v="195"/>
    <x v="16"/>
    <x v="24"/>
    <n v="1"/>
    <n v="3900"/>
    <n v="8.4239999999999995"/>
    <n v="20"/>
    <s v="Feb"/>
    <x v="6"/>
    <m/>
    <m/>
  </r>
  <r>
    <n v="64365613"/>
    <x v="7"/>
    <n v="3900"/>
    <d v="2026-02-25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365613"/>
    <x v="7"/>
    <n v="3900"/>
    <d v="2026-02-25T00:00:00"/>
    <s v="PS Spiderman Facepiece 6-6PK"/>
    <x v="41"/>
    <n v="2.1540000000000001E-3"/>
    <n v="195"/>
    <x v="16"/>
    <x v="24"/>
    <n v="1"/>
    <n v="3900"/>
    <n v="8.4006000000000007"/>
    <n v="20"/>
    <s v="Feb"/>
    <x v="6"/>
    <m/>
    <m/>
  </r>
  <r>
    <n v="64771676"/>
    <x v="7"/>
    <n v="3900"/>
    <d v="2026-02-25T00:00:00"/>
    <s v="PS SpongeBob Facepiece IH 6-6PK"/>
    <x v="41"/>
    <n v="2.16E-3"/>
    <n v="195"/>
    <x v="16"/>
    <x v="24"/>
    <n v="1"/>
    <n v="3900"/>
    <n v="8.4239999999999995"/>
    <n v="20"/>
    <s v="Feb"/>
    <x v="6"/>
    <m/>
    <m/>
  </r>
  <r>
    <n v="64771676"/>
    <x v="7"/>
    <n v="3900"/>
    <d v="2026-02-25T00:00:00"/>
    <s v="PS SpongeBob Facepiece IH 6-6PK"/>
    <x v="41"/>
    <n v="2.16E-3"/>
    <n v="195"/>
    <x v="16"/>
    <x v="24"/>
    <n v="1"/>
    <n v="3900"/>
    <n v="8.4239999999999995"/>
    <n v="20"/>
    <s v="Feb"/>
    <x v="6"/>
    <m/>
    <m/>
  </r>
  <r>
    <n v="64956417"/>
    <x v="7"/>
    <n v="2860"/>
    <d v="2026-02-26T00:00:00"/>
    <s v="PS Hello Kitty Facepiece IH 6-6PK"/>
    <x v="41"/>
    <n v="2.16E-3"/>
    <n v="143"/>
    <x v="16"/>
    <x v="24"/>
    <n v="1"/>
    <n v="2860"/>
    <n v="6.1776"/>
    <n v="20"/>
    <s v="Feb"/>
    <x v="6"/>
    <m/>
    <m/>
  </r>
  <r>
    <n v="64956417"/>
    <x v="7"/>
    <n v="2860"/>
    <d v="2026-02-26T00:00:00"/>
    <s v="PS Hello Kitty Facepiece IH 6-6PK"/>
    <x v="41"/>
    <n v="2.16E-3"/>
    <n v="143"/>
    <x v="16"/>
    <x v="24"/>
    <n v="1"/>
    <n v="2860"/>
    <n v="6.1776"/>
    <n v="20"/>
    <s v="Feb"/>
    <x v="6"/>
    <m/>
    <m/>
  </r>
  <r>
    <n v="64956417"/>
    <x v="7"/>
    <n v="2717"/>
    <d v="2026-02-27T00:00:00"/>
    <s v="PS Hello Kitty Facepiece IH 6-6PK"/>
    <x v="41"/>
    <n v="2.16E-3"/>
    <n v="143"/>
    <x v="16"/>
    <x v="24"/>
    <n v="1"/>
    <n v="2717"/>
    <n v="5.8687199999999997"/>
    <n v="19"/>
    <s v="Feb"/>
    <x v="6"/>
    <m/>
    <m/>
  </r>
  <r>
    <n v="64956417"/>
    <x v="7"/>
    <n v="2829"/>
    <d v="2026-02-27T00:00:00"/>
    <s v="PS Hello Kitty Facepiece IH 6-6PK"/>
    <x v="41"/>
    <n v="2.16E-3"/>
    <n v="143"/>
    <x v="16"/>
    <x v="24"/>
    <n v="1"/>
    <n v="2829"/>
    <n v="6.1106400000000001"/>
    <n v="19.783216783216783"/>
    <s v="Feb"/>
    <x v="6"/>
    <m/>
    <m/>
  </r>
  <r>
    <n v="64771676"/>
    <x v="7"/>
    <n v="3900"/>
    <d v="2026-02-28T00:00:00"/>
    <s v="PS SpongeBob Facepiece IH 6-6PK"/>
    <x v="34"/>
    <n v="2.16E-3"/>
    <n v="195"/>
    <x v="16"/>
    <x v="24"/>
    <n v="1"/>
    <n v="3900"/>
    <n v="8.4239999999999995"/>
    <n v="20"/>
    <s v="Feb"/>
    <x v="6"/>
    <m/>
    <m/>
  </r>
  <r>
    <n v="64771676"/>
    <x v="7"/>
    <n v="3900"/>
    <d v="2026-02-28T00:00:00"/>
    <s v="PS SpongeBob Facepiece IH 6-6PK"/>
    <x v="34"/>
    <n v="2.16E-3"/>
    <n v="195"/>
    <x v="16"/>
    <x v="24"/>
    <n v="1"/>
    <n v="3900"/>
    <n v="8.4239999999999995"/>
    <n v="20"/>
    <s v="Feb"/>
    <x v="6"/>
    <m/>
    <m/>
  </r>
  <r>
    <n v="64771676"/>
    <x v="7"/>
    <n v="3900"/>
    <d v="2026-02-28T00:00:00"/>
    <s v="PS SpongeBob Facepiece IH 6-6PK"/>
    <x v="34"/>
    <n v="2.16E-3"/>
    <n v="195"/>
    <x v="16"/>
    <x v="24"/>
    <n v="1"/>
    <n v="3900"/>
    <n v="8.4239999999999995"/>
    <n v="20"/>
    <s v="Feb"/>
    <x v="6"/>
    <m/>
    <m/>
  </r>
  <r>
    <n v="64956417"/>
    <x v="7"/>
    <n v="2860"/>
    <d v="2026-03-03T00:00:00"/>
    <s v="PS Hello Kitty Facepiece IH 6-6PK"/>
    <x v="34"/>
    <n v="2.16E-3"/>
    <n v="143"/>
    <x v="16"/>
    <x v="24"/>
    <n v="1"/>
    <n v="2860"/>
    <n v="6.1776"/>
    <n v="20"/>
    <s v="Mar"/>
    <x v="11"/>
    <m/>
    <m/>
  </r>
  <r>
    <n v="64956417"/>
    <x v="7"/>
    <n v="2860"/>
    <d v="2026-03-03T00:00:00"/>
    <s v="PS Hello Kitty Facepiece IH 6-6PK"/>
    <x v="34"/>
    <n v="2.16E-3"/>
    <n v="143"/>
    <x v="16"/>
    <x v="24"/>
    <n v="1"/>
    <n v="2860"/>
    <n v="6.1776"/>
    <n v="20"/>
    <s v="Mar"/>
    <x v="11"/>
    <m/>
    <m/>
  </r>
  <r>
    <n v="64771676"/>
    <x v="7"/>
    <n v="3900"/>
    <d v="2026-03-03T00:00:00"/>
    <s v="PS SpongeBob Facepiece IH 6-6PK"/>
    <x v="34"/>
    <n v="2.16E-3"/>
    <n v="195"/>
    <x v="16"/>
    <x v="24"/>
    <n v="1"/>
    <n v="3900"/>
    <n v="8.4239999999999995"/>
    <n v="20"/>
    <s v="Mar"/>
    <x v="11"/>
    <m/>
    <m/>
  </r>
  <r>
    <n v="64956417"/>
    <x v="7"/>
    <n v="2860"/>
    <d v="2026-03-04T00:00:00"/>
    <s v="PS Hello Kitty Facepiece IH 6-6PK"/>
    <x v="34"/>
    <n v="2.16E-3"/>
    <n v="143"/>
    <x v="16"/>
    <x v="24"/>
    <n v="1"/>
    <n v="2860"/>
    <n v="6.1776"/>
    <n v="20"/>
    <s v="Mar"/>
    <x v="11"/>
    <m/>
    <m/>
  </r>
  <r>
    <n v="64956417"/>
    <x v="7"/>
    <n v="2860"/>
    <d v="2026-03-04T00:00:00"/>
    <s v="PS Hello Kitty Facepiece IH 6-6PK"/>
    <x v="34"/>
    <n v="2.16E-3"/>
    <n v="143"/>
    <x v="16"/>
    <x v="24"/>
    <n v="1"/>
    <n v="2860"/>
    <n v="6.1776"/>
    <n v="20"/>
    <s v="Mar"/>
    <x v="11"/>
    <m/>
    <m/>
  </r>
  <r>
    <n v="64365613"/>
    <x v="7"/>
    <n v="3900"/>
    <d v="2026-03-04T00:00:00"/>
    <s v="PS Spiderman Facepiece 6-6PK"/>
    <x v="34"/>
    <n v="2.1540000000000001E-3"/>
    <n v="195"/>
    <x v="16"/>
    <x v="24"/>
    <n v="1"/>
    <n v="3900"/>
    <n v="8.4006000000000007"/>
    <n v="20"/>
    <s v="Mar"/>
    <x v="11"/>
    <m/>
    <m/>
  </r>
  <r>
    <n v="64771676"/>
    <x v="7"/>
    <n v="3900"/>
    <d v="2026-03-04T00:00:00"/>
    <s v="PS SpongeBob Facepiece IH 6-6PK"/>
    <x v="34"/>
    <n v="2.16E-3"/>
    <n v="195"/>
    <x v="16"/>
    <x v="24"/>
    <n v="1"/>
    <n v="3900"/>
    <n v="8.4239999999999995"/>
    <n v="20"/>
    <s v="Mar"/>
    <x v="11"/>
    <m/>
    <m/>
  </r>
  <r>
    <n v="64341109"/>
    <x v="7"/>
    <n v="4200"/>
    <d v="2026-03-04T00:00:00"/>
    <s v="PS Spiderman Facepiece 1-20PK"/>
    <x v="34"/>
    <n v="2E-3"/>
    <n v="210"/>
    <x v="16"/>
    <x v="24"/>
    <n v="1"/>
    <n v="4200"/>
    <n v="8.4"/>
    <n v="20"/>
    <s v="Mar"/>
    <x v="11"/>
    <m/>
    <m/>
  </r>
  <r>
    <n v="64956417"/>
    <x v="7"/>
    <n v="2860"/>
    <d v="2026-03-05T00:00:00"/>
    <s v="PS Hello Kitty Facepiece IH 6-6PK"/>
    <x v="34"/>
    <n v="2.16E-3"/>
    <n v="143"/>
    <x v="16"/>
    <x v="24"/>
    <n v="1"/>
    <n v="2860"/>
    <n v="6.1776"/>
    <n v="20"/>
    <s v="Mar"/>
    <x v="11"/>
    <m/>
    <m/>
  </r>
  <r>
    <n v="64365613"/>
    <x v="7"/>
    <n v="3120"/>
    <d v="2026-03-05T00:00:00"/>
    <s v="PS Spiderman Facepiece 6-6PK"/>
    <x v="34"/>
    <n v="2.1540000000000001E-3"/>
    <n v="195"/>
    <x v="16"/>
    <x v="24"/>
    <n v="1"/>
    <n v="3120"/>
    <n v="6.7204800000000002"/>
    <n v="16"/>
    <s v="Mar"/>
    <x v="11"/>
    <m/>
    <m/>
  </r>
  <r>
    <n v="64341108"/>
    <x v="7"/>
    <n v="4200"/>
    <d v="2026-03-05T00:00:00"/>
    <s v="PS SpongeBob Facepiece 1-20PK"/>
    <x v="34"/>
    <n v="2.3599999999999997E-3"/>
    <n v="210"/>
    <x v="16"/>
    <x v="24"/>
    <n v="1"/>
    <n v="4200"/>
    <n v="9.911999999999999"/>
    <n v="20"/>
    <s v="Mar"/>
    <x v="11"/>
    <m/>
    <m/>
  </r>
  <r>
    <n v="64341109"/>
    <x v="7"/>
    <n v="4200"/>
    <d v="2026-03-05T00:00:00"/>
    <s v="PS Spiderman Facepiece 1-20PK"/>
    <x v="34"/>
    <n v="2E-3"/>
    <n v="210"/>
    <x v="16"/>
    <x v="24"/>
    <n v="1"/>
    <n v="4200"/>
    <n v="8.4"/>
    <n v="20"/>
    <s v="Mar"/>
    <x v="11"/>
    <m/>
    <m/>
  </r>
  <r>
    <n v="64341109"/>
    <x v="7"/>
    <n v="4200"/>
    <d v="2026-03-05T00:00:00"/>
    <s v="PS Spiderman Facepiece 1-20PK"/>
    <x v="34"/>
    <n v="2E-3"/>
    <n v="210"/>
    <x v="16"/>
    <x v="24"/>
    <n v="1"/>
    <n v="4200"/>
    <n v="8.4"/>
    <n v="20"/>
    <s v="Mar"/>
    <x v="11"/>
    <m/>
    <m/>
  </r>
  <r>
    <n v="64341109"/>
    <x v="7"/>
    <n v="4200"/>
    <d v="2026-03-05T00:00:00"/>
    <s v="PS Spiderman Facepiece 1-20PK"/>
    <x v="34"/>
    <n v="2E-3"/>
    <n v="210"/>
    <x v="16"/>
    <x v="24"/>
    <n v="1"/>
    <n v="4200"/>
    <n v="8.4"/>
    <n v="20"/>
    <s v="Mar"/>
    <x v="11"/>
    <m/>
    <m/>
  </r>
  <r>
    <n v="64956417"/>
    <x v="7"/>
    <n v="2860"/>
    <d v="2026-03-06T00:00:00"/>
    <s v="PS Hello Kitty Facepiece IH 6-6PK"/>
    <x v="34"/>
    <n v="2.16E-3"/>
    <n v="143"/>
    <x v="16"/>
    <x v="24"/>
    <n v="1"/>
    <n v="2860"/>
    <n v="6.1776"/>
    <n v="20"/>
    <s v="Mar"/>
    <x v="11"/>
    <m/>
    <m/>
  </r>
  <r>
    <n v="64956417"/>
    <x v="7"/>
    <n v="2860"/>
    <d v="2026-03-06T00:00:00"/>
    <s v="PS Hello Kitty Facepiece IH 6-6PK"/>
    <x v="34"/>
    <n v="2.16E-3"/>
    <n v="143"/>
    <x v="16"/>
    <x v="24"/>
    <n v="1"/>
    <n v="2860"/>
    <n v="6.1776"/>
    <n v="20"/>
    <s v="Mar"/>
    <x v="11"/>
    <m/>
    <m/>
  </r>
  <r>
    <n v="64771676"/>
    <x v="7"/>
    <n v="3900"/>
    <d v="2026-03-06T00:00:00"/>
    <s v="PS SpongeBob Facepiece IH 6-6PK"/>
    <x v="34"/>
    <n v="2.16E-3"/>
    <n v="195"/>
    <x v="16"/>
    <x v="24"/>
    <n v="1"/>
    <n v="3900"/>
    <n v="8.4239999999999995"/>
    <n v="20"/>
    <s v="Mar"/>
    <x v="11"/>
    <m/>
    <m/>
  </r>
  <r>
    <n v="64771676"/>
    <x v="7"/>
    <n v="3900"/>
    <d v="2026-03-06T00:00:00"/>
    <s v="PS SpongeBob Facepiece IH 6-6PK"/>
    <x v="34"/>
    <n v="2.16E-3"/>
    <n v="195"/>
    <x v="16"/>
    <x v="24"/>
    <n v="1"/>
    <n v="3900"/>
    <n v="8.4239999999999995"/>
    <n v="20"/>
    <s v="Mar"/>
    <x v="11"/>
    <m/>
    <m/>
  </r>
  <r>
    <n v="64341108"/>
    <x v="7"/>
    <n v="4200"/>
    <d v="2026-03-06T00:00:00"/>
    <s v="PS SpongeBob Facepiece 1-20PK"/>
    <x v="34"/>
    <n v="2.3599999999999997E-3"/>
    <n v="210"/>
    <x v="16"/>
    <x v="24"/>
    <n v="1"/>
    <n v="4200"/>
    <n v="9.911999999999999"/>
    <n v="20"/>
    <s v="Mar"/>
    <x v="11"/>
    <m/>
    <m/>
  </r>
  <r>
    <n v="64341109"/>
    <x v="7"/>
    <n v="4200"/>
    <d v="2026-03-06T00:00:00"/>
    <s v="PS Spiderman Facepiece 1-20PK"/>
    <x v="34"/>
    <n v="2E-3"/>
    <n v="210"/>
    <x v="16"/>
    <x v="24"/>
    <n v="1"/>
    <n v="4200"/>
    <n v="8.4"/>
    <n v="20"/>
    <s v="Mar"/>
    <x v="11"/>
    <m/>
    <m/>
  </r>
  <r>
    <n v="64956417"/>
    <x v="7"/>
    <n v="2717"/>
    <d v="2026-03-09T00:00:00"/>
    <s v="PS Hello Kitty Facepiece IH 6-6PK"/>
    <x v="41"/>
    <n v="2.16E-3"/>
    <n v="143"/>
    <x v="16"/>
    <x v="24"/>
    <n v="1"/>
    <n v="2717"/>
    <n v="5.8687199999999997"/>
    <n v="19"/>
    <s v="Mar"/>
    <x v="12"/>
    <m/>
    <m/>
  </r>
  <r>
    <n v="64956417"/>
    <x v="7"/>
    <n v="2717"/>
    <d v="2026-03-09T00:00:00"/>
    <s v="PS Hello Kitty Facepiece IH 6-6PK"/>
    <x v="41"/>
    <n v="2.16E-3"/>
    <n v="143"/>
    <x v="16"/>
    <x v="24"/>
    <n v="1"/>
    <n v="2717"/>
    <n v="5.8687199999999997"/>
    <n v="19"/>
    <s v="Mar"/>
    <x v="12"/>
    <m/>
    <m/>
  </r>
  <r>
    <n v="64956417"/>
    <x v="7"/>
    <n v="2860"/>
    <d v="2026-03-09T00:00:00"/>
    <s v="PS Hello Kitty Facepiece IH 6-6PK"/>
    <x v="34"/>
    <n v="2.16E-3"/>
    <n v="143"/>
    <x v="16"/>
    <x v="24"/>
    <n v="1"/>
    <n v="2860"/>
    <n v="6.1776"/>
    <n v="20"/>
    <s v="Mar"/>
    <x v="12"/>
    <m/>
    <m/>
  </r>
  <r>
    <n v="64956417"/>
    <x v="7"/>
    <n v="2860"/>
    <d v="2026-03-09T00:00:00"/>
    <s v="PS Hello Kitty Facepiece IH 6-6PK"/>
    <x v="41"/>
    <n v="2.16E-3"/>
    <n v="143"/>
    <x v="16"/>
    <x v="24"/>
    <n v="1"/>
    <n v="2860"/>
    <n v="6.1776"/>
    <n v="20"/>
    <s v="Mar"/>
    <x v="12"/>
    <m/>
    <m/>
  </r>
  <r>
    <n v="64403162"/>
    <x v="7"/>
    <n v="3900"/>
    <d v="2026-03-09T00:00:00"/>
    <s v="PS Grogu Facepiece IH 6-6PK"/>
    <x v="41"/>
    <n v="2.16E-3"/>
    <n v="195"/>
    <x v="16"/>
    <x v="24"/>
    <n v="1"/>
    <n v="3900"/>
    <n v="8.4239999999999995"/>
    <n v="20"/>
    <s v="Mar"/>
    <x v="12"/>
    <m/>
    <m/>
  </r>
  <r>
    <n v="64771676"/>
    <x v="7"/>
    <n v="3900"/>
    <d v="2026-03-09T00:00:00"/>
    <s v="PS SpongeBob Facepiece IH 6-6PK"/>
    <x v="34"/>
    <n v="2.16E-3"/>
    <n v="195"/>
    <x v="16"/>
    <x v="24"/>
    <n v="1"/>
    <n v="3900"/>
    <n v="8.4239999999999995"/>
    <n v="20"/>
    <s v="Mar"/>
    <x v="12"/>
    <m/>
    <m/>
  </r>
  <r>
    <n v="64771676"/>
    <x v="7"/>
    <n v="3900"/>
    <d v="2026-03-09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771676"/>
    <x v="7"/>
    <n v="3900"/>
    <d v="2026-03-09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771676"/>
    <x v="7"/>
    <n v="3900"/>
    <d v="2026-03-09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365613"/>
    <x v="7"/>
    <n v="3900"/>
    <d v="2026-03-09T00:00:00"/>
    <s v="PS Spiderman Facepiece 6-6PK"/>
    <x v="41"/>
    <n v="2.1540000000000001E-3"/>
    <n v="195"/>
    <x v="16"/>
    <x v="24"/>
    <n v="1"/>
    <n v="3900"/>
    <n v="8.4006000000000007"/>
    <n v="20"/>
    <s v="Mar"/>
    <x v="12"/>
    <m/>
    <m/>
  </r>
  <r>
    <n v="64341108"/>
    <x v="7"/>
    <n v="4200"/>
    <d v="2026-03-09T00:00:00"/>
    <s v="PS SpongeBob Facepiece 1-20PK"/>
    <x v="41"/>
    <n v="2.3599999999999997E-3"/>
    <n v="210"/>
    <x v="16"/>
    <x v="24"/>
    <n v="1"/>
    <n v="4200"/>
    <n v="9.911999999999999"/>
    <n v="20"/>
    <s v="Mar"/>
    <x v="12"/>
    <m/>
    <m/>
  </r>
  <r>
    <n v="64341109"/>
    <x v="7"/>
    <n v="4200"/>
    <d v="2026-03-09T00:00:00"/>
    <s v="PS Spiderman Facepiece 1-20PK"/>
    <x v="34"/>
    <n v="2E-3"/>
    <n v="210"/>
    <x v="16"/>
    <x v="24"/>
    <n v="1"/>
    <n v="4200"/>
    <n v="8.4"/>
    <n v="20"/>
    <s v="Mar"/>
    <x v="12"/>
    <m/>
    <m/>
  </r>
  <r>
    <n v="64401837"/>
    <x v="7"/>
    <n v="3000"/>
    <d v="2026-03-10T00:00:00"/>
    <s v="PS Frozen Olaf Facepiece IH 6-6PK"/>
    <x v="41"/>
    <n v="2.16E-3"/>
    <n v="150"/>
    <x v="16"/>
    <x v="24"/>
    <n v="1"/>
    <n v="3000"/>
    <n v="6.48"/>
    <n v="20"/>
    <s v="Mar"/>
    <x v="12"/>
    <m/>
    <m/>
  </r>
  <r>
    <n v="64771676"/>
    <x v="7"/>
    <n v="3900"/>
    <d v="2026-03-10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341109"/>
    <x v="7"/>
    <n v="4200"/>
    <d v="2026-03-10T00:00:00"/>
    <s v="PS Spiderman Facepiece 1-20PK"/>
    <x v="41"/>
    <n v="2E-3"/>
    <n v="210"/>
    <x v="16"/>
    <x v="24"/>
    <n v="1"/>
    <n v="4200"/>
    <n v="8.4"/>
    <n v="20"/>
    <s v="Mar"/>
    <x v="12"/>
    <m/>
    <m/>
  </r>
  <r>
    <n v="64365613"/>
    <x v="7"/>
    <n v="3900"/>
    <d v="2026-03-11T00:00:00"/>
    <s v="PS Spiderman Facepiece 6-6PK"/>
    <x v="34"/>
    <n v="2.1540000000000001E-3"/>
    <n v="195"/>
    <x v="16"/>
    <x v="24"/>
    <n v="1"/>
    <n v="3900"/>
    <n v="8.4006000000000007"/>
    <n v="20"/>
    <s v="Mar"/>
    <x v="12"/>
    <m/>
    <m/>
  </r>
  <r>
    <n v="64365613"/>
    <x v="7"/>
    <n v="3900"/>
    <d v="2026-03-11T00:00:00"/>
    <s v="PS Spiderman Facepiece 6-6PK"/>
    <x v="34"/>
    <n v="2.1540000000000001E-3"/>
    <n v="195"/>
    <x v="16"/>
    <x v="24"/>
    <n v="1"/>
    <n v="3900"/>
    <n v="8.4006000000000007"/>
    <n v="20"/>
    <s v="Mar"/>
    <x v="12"/>
    <m/>
    <m/>
  </r>
  <r>
    <n v="64771676"/>
    <x v="7"/>
    <n v="3900"/>
    <d v="2026-03-11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771676"/>
    <x v="7"/>
    <n v="3900"/>
    <d v="2026-03-11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771676"/>
    <x v="7"/>
    <n v="3900"/>
    <d v="2026-03-12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341109"/>
    <x v="7"/>
    <n v="4200"/>
    <d v="2026-03-12T00:00:00"/>
    <s v="PS Spiderman Facepiece 1-20PK"/>
    <x v="41"/>
    <n v="2E-3"/>
    <n v="210"/>
    <x v="16"/>
    <x v="24"/>
    <n v="1"/>
    <n v="4200"/>
    <n v="8.4"/>
    <n v="20"/>
    <s v="Mar"/>
    <x v="12"/>
    <m/>
    <m/>
  </r>
  <r>
    <n v="64341109"/>
    <x v="7"/>
    <n v="210"/>
    <d v="2026-03-13T00:00:00"/>
    <s v="PS Spiderman Facepiece 1-20PK"/>
    <x v="34"/>
    <n v="2E-3"/>
    <n v="210"/>
    <x v="16"/>
    <x v="24"/>
    <n v="1"/>
    <n v="210"/>
    <n v="0.42"/>
    <n v="1"/>
    <s v="Mar"/>
    <x v="12"/>
    <m/>
    <m/>
  </r>
  <r>
    <n v="64771676"/>
    <x v="7"/>
    <n v="3704"/>
    <d v="2026-03-13T00:00:00"/>
    <s v="PS SpongeBob Facepiece IH 6-6PK"/>
    <x v="34"/>
    <n v="2.16E-3"/>
    <n v="195"/>
    <x v="16"/>
    <x v="24"/>
    <n v="1"/>
    <n v="3704"/>
    <n v="8.0006400000000006"/>
    <n v="18.994871794871795"/>
    <s v="Mar"/>
    <x v="12"/>
    <m/>
    <m/>
  </r>
  <r>
    <n v="64365613"/>
    <x v="7"/>
    <n v="3900"/>
    <d v="2026-03-13T00:00:00"/>
    <s v="PS Spiderman Facepiece 6-6PK"/>
    <x v="41"/>
    <n v="2.1540000000000001E-3"/>
    <n v="195"/>
    <x v="16"/>
    <x v="24"/>
    <n v="1"/>
    <n v="3900"/>
    <n v="8.4006000000000007"/>
    <n v="20"/>
    <s v="Mar"/>
    <x v="12"/>
    <m/>
    <m/>
  </r>
  <r>
    <n v="64771676"/>
    <x v="7"/>
    <n v="3900"/>
    <d v="2026-03-13T00:00:00"/>
    <s v="PS SpongeBob Facepiece IH 6-6PK"/>
    <x v="41"/>
    <n v="2.16E-3"/>
    <n v="195"/>
    <x v="16"/>
    <x v="24"/>
    <n v="1"/>
    <n v="3900"/>
    <n v="8.4239999999999995"/>
    <n v="20"/>
    <s v="Mar"/>
    <x v="12"/>
    <m/>
    <m/>
  </r>
  <r>
    <n v="64365613"/>
    <x v="7"/>
    <n v="3900"/>
    <d v="2026-03-13T00:00:00"/>
    <s v="PS Spiderman Facepiece 6-6PK"/>
    <x v="41"/>
    <n v="2.1540000000000001E-3"/>
    <n v="195"/>
    <x v="16"/>
    <x v="24"/>
    <n v="1"/>
    <n v="3900"/>
    <n v="8.4006000000000007"/>
    <n v="20"/>
    <s v="Mar"/>
    <x v="12"/>
    <m/>
    <m/>
  </r>
  <r>
    <n v="64979444"/>
    <x v="7"/>
    <n v="3900"/>
    <d v="2026-03-13T00:00:00"/>
    <s v="PS Bluey Facepiece IH 6-6PK"/>
    <x v="41"/>
    <n v="2.16E-3"/>
    <n v="195"/>
    <x v="16"/>
    <x v="24"/>
    <n v="1"/>
    <n v="3900"/>
    <n v="8.4239999999999995"/>
    <n v="20"/>
    <s v="Mar"/>
    <x v="12"/>
    <m/>
    <m/>
  </r>
  <r>
    <n v="64341109"/>
    <x v="7"/>
    <n v="4200"/>
    <d v="2026-03-13T00:00:00"/>
    <s v="PS Spiderman Facepiece 1-20PK"/>
    <x v="41"/>
    <n v="2E-3"/>
    <n v="210"/>
    <x v="16"/>
    <x v="24"/>
    <n v="1"/>
    <n v="4200"/>
    <n v="8.4"/>
    <n v="20"/>
    <s v="Mar"/>
    <x v="12"/>
    <m/>
    <m/>
  </r>
  <r>
    <n v="64365613"/>
    <x v="7"/>
    <n v="3900"/>
    <d v="2026-03-14T00:00:00"/>
    <s v="PS Spiderman Facepiece 6-6PK"/>
    <x v="34"/>
    <n v="2.1540000000000001E-3"/>
    <n v="195"/>
    <x v="16"/>
    <x v="24"/>
    <n v="1"/>
    <n v="3900"/>
    <n v="8.4006000000000007"/>
    <n v="20"/>
    <s v="Mar"/>
    <x v="12"/>
    <m/>
    <m/>
  </r>
  <r>
    <n v="64979444"/>
    <x v="7"/>
    <n v="3900"/>
    <d v="2026-03-14T00:00:00"/>
    <s v="PS Bluey Facepiece IH 6-6PK"/>
    <x v="34"/>
    <n v="2.16E-3"/>
    <n v="195"/>
    <x v="16"/>
    <x v="24"/>
    <n v="1"/>
    <n v="3900"/>
    <n v="8.4239999999999995"/>
    <n v="20"/>
    <s v="Mar"/>
    <x v="12"/>
    <m/>
    <m/>
  </r>
  <r>
    <n v="64956417"/>
    <x v="7"/>
    <n v="2860"/>
    <d v="2026-03-16T00:00:00"/>
    <s v="PS Hello Kitty Facepiece IH 6-6PK"/>
    <x v="41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6T00:00:00"/>
    <s v="PS Hello Kitty Facepiece IH 6-6PK"/>
    <x v="41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6T00:00:00"/>
    <s v="PS Hello Kitty Facepiece IH 6-6PK"/>
    <x v="41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6T00:00:00"/>
    <s v="PS Hello Kitty Facepiece IH 6-6PK"/>
    <x v="41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6T00:00:00"/>
    <s v="PS Hello Kitty Facepiece IH 6-6PK"/>
    <x v="41"/>
    <n v="2.16E-3"/>
    <n v="143"/>
    <x v="16"/>
    <x v="24"/>
    <n v="1"/>
    <n v="2860"/>
    <n v="6.1776"/>
    <n v="20"/>
    <s v="Mar"/>
    <x v="9"/>
    <m/>
    <m/>
  </r>
  <r>
    <n v="64365613"/>
    <x v="7"/>
    <n v="3900"/>
    <d v="2026-03-16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6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6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6T00:00:00"/>
    <s v="PS Spiderman Facepiece 6-6PK"/>
    <x v="34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6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6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979444"/>
    <x v="7"/>
    <n v="3900"/>
    <d v="2026-03-16T00:00:00"/>
    <s v="PS Bluey Facepiece IH 6-6PK"/>
    <x v="34"/>
    <n v="2.16E-3"/>
    <n v="195"/>
    <x v="16"/>
    <x v="24"/>
    <n v="1"/>
    <n v="3900"/>
    <n v="8.4239999999999995"/>
    <n v="20"/>
    <s v="Mar"/>
    <x v="9"/>
    <m/>
    <m/>
  </r>
  <r>
    <n v="64979444"/>
    <x v="7"/>
    <n v="3900"/>
    <d v="2026-03-16T00:00:00"/>
    <s v="PS Bluey Facepiece IH 6-6PK"/>
    <x v="34"/>
    <n v="2.16E-3"/>
    <n v="195"/>
    <x v="16"/>
    <x v="24"/>
    <n v="1"/>
    <n v="3900"/>
    <n v="8.4239999999999995"/>
    <n v="20"/>
    <s v="Mar"/>
    <x v="9"/>
    <m/>
    <m/>
  </r>
  <r>
    <n v="64365613"/>
    <x v="7"/>
    <n v="3900"/>
    <d v="2026-03-17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7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979444"/>
    <x v="7"/>
    <n v="3900"/>
    <d v="2026-03-17T00:00:00"/>
    <s v="PS Bluey Facepiece IH 6-6PK"/>
    <x v="34"/>
    <n v="2.16E-3"/>
    <n v="195"/>
    <x v="16"/>
    <x v="24"/>
    <n v="1"/>
    <n v="3900"/>
    <n v="8.4239999999999995"/>
    <n v="20"/>
    <s v="Mar"/>
    <x v="9"/>
    <m/>
    <m/>
  </r>
  <r>
    <n v="64956417"/>
    <x v="7"/>
    <n v="2860"/>
    <d v="2026-03-18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8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8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8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8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365613"/>
    <x v="7"/>
    <n v="3900"/>
    <d v="2026-03-18T00:00:00"/>
    <s v="PS Spiderman Facepiece 6-6PK"/>
    <x v="41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8T00:00:00"/>
    <s v="PS Spiderman Facepiece 6-6PK"/>
    <x v="34"/>
    <n v="2.1540000000000001E-3"/>
    <n v="195"/>
    <x v="16"/>
    <x v="24"/>
    <n v="1"/>
    <n v="3900"/>
    <n v="8.4006000000000007"/>
    <n v="20"/>
    <s v="Mar"/>
    <x v="9"/>
    <m/>
    <m/>
  </r>
  <r>
    <n v="64365613"/>
    <x v="7"/>
    <n v="3900"/>
    <d v="2026-03-18T00:00:00"/>
    <s v="PS Spiderman Facepiece 6-6PK"/>
    <x v="34"/>
    <n v="2.1540000000000001E-3"/>
    <n v="195"/>
    <x v="16"/>
    <x v="24"/>
    <n v="1"/>
    <n v="3900"/>
    <n v="8.4006000000000007"/>
    <n v="20"/>
    <s v="Mar"/>
    <x v="9"/>
    <m/>
    <m/>
  </r>
  <r>
    <n v="64979444"/>
    <x v="7"/>
    <n v="3900"/>
    <d v="2026-03-18T00:00:00"/>
    <s v="PS Bluey Facepiece IH 6-6PK"/>
    <x v="34"/>
    <n v="2.16E-3"/>
    <n v="195"/>
    <x v="16"/>
    <x v="24"/>
    <n v="1"/>
    <n v="3900"/>
    <n v="8.4239999999999995"/>
    <n v="20"/>
    <s v="Mar"/>
    <x v="9"/>
    <m/>
    <m/>
  </r>
  <r>
    <n v="64979444"/>
    <x v="7"/>
    <n v="3900"/>
    <d v="2026-03-18T00:00:00"/>
    <s v="PS Bluey Facepiece IH 6-6PK"/>
    <x v="34"/>
    <n v="2.16E-3"/>
    <n v="195"/>
    <x v="16"/>
    <x v="24"/>
    <n v="1"/>
    <n v="3900"/>
    <n v="8.4239999999999995"/>
    <n v="20"/>
    <s v="Mar"/>
    <x v="9"/>
    <m/>
    <m/>
  </r>
  <r>
    <n v="64956417"/>
    <x v="7"/>
    <n v="2860"/>
    <d v="2026-03-19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9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956417"/>
    <x v="7"/>
    <n v="2860"/>
    <d v="2026-03-19T00:00:00"/>
    <s v="PS Hello Kitty Facepiece IH 6-6PK"/>
    <x v="34"/>
    <n v="2.16E-3"/>
    <n v="143"/>
    <x v="16"/>
    <x v="24"/>
    <n v="1"/>
    <n v="2860"/>
    <n v="6.1776"/>
    <n v="20"/>
    <s v="Mar"/>
    <x v="9"/>
    <m/>
    <m/>
  </r>
  <r>
    <n v="64979444"/>
    <x v="7"/>
    <n v="3900"/>
    <d v="2026-03-19T00:00:00"/>
    <s v="PS Bluey Facepiece IH 6-6PK"/>
    <x v="34"/>
    <n v="2.16E-3"/>
    <n v="195"/>
    <x v="16"/>
    <x v="24"/>
    <n v="1"/>
    <n v="3900"/>
    <n v="8.4239999999999995"/>
    <n v="20"/>
    <s v="Mar"/>
    <x v="9"/>
    <m/>
    <m/>
  </r>
  <r>
    <n v="64979444"/>
    <x v="7"/>
    <n v="3900"/>
    <d v="2026-03-19T00:00:00"/>
    <s v="PS Bluey Facepiece IH 6-6PK"/>
    <x v="41"/>
    <n v="2.16E-3"/>
    <n v="195"/>
    <x v="16"/>
    <x v="24"/>
    <n v="1"/>
    <n v="3900"/>
    <n v="8.4239999999999995"/>
    <n v="20"/>
    <s v="Mar"/>
    <x v="9"/>
    <m/>
    <m/>
  </r>
  <r>
    <n v="64979444"/>
    <x v="7"/>
    <n v="3900"/>
    <d v="2026-03-20T00:00:00"/>
    <s v="PS Bluey Facepiece IH 6-6PK"/>
    <x v="41"/>
    <n v="2.16E-3"/>
    <n v="195"/>
    <x v="16"/>
    <x v="24"/>
    <n v="1"/>
    <n v="3900"/>
    <n v="8.4239999999999995"/>
    <n v="20"/>
    <s v="Mar"/>
    <x v="9"/>
    <m/>
    <m/>
  </r>
  <r>
    <n v="64979444"/>
    <x v="7"/>
    <n v="3900"/>
    <d v="2026-03-23T00:00:00"/>
    <s v="PS Bluey Facepiece IH 6-6PK"/>
    <x v="41"/>
    <n v="2.16E-3"/>
    <n v="195"/>
    <x v="16"/>
    <x v="24"/>
    <n v="1"/>
    <n v="3900"/>
    <n v="8.4239999999999995"/>
    <n v="20"/>
    <s v="Mar"/>
    <x v="10"/>
    <m/>
    <m/>
  </r>
  <r>
    <n v="64979444"/>
    <x v="7"/>
    <n v="3900"/>
    <d v="2026-03-23T00:00:00"/>
    <s v="PS Bluey Facepiece IH 6-6PK"/>
    <x v="41"/>
    <n v="2.16E-3"/>
    <n v="195"/>
    <x v="16"/>
    <x v="24"/>
    <n v="1"/>
    <n v="3900"/>
    <n v="8.4239999999999995"/>
    <n v="20"/>
    <s v="Mar"/>
    <x v="10"/>
    <m/>
    <m/>
  </r>
  <r>
    <n v="64979444"/>
    <x v="7"/>
    <n v="3900"/>
    <d v="2026-03-23T00:00:00"/>
    <s v="PS Bluey Facepiece IH 6-6PK"/>
    <x v="41"/>
    <n v="2.16E-3"/>
    <n v="195"/>
    <x v="16"/>
    <x v="24"/>
    <n v="1"/>
    <n v="3900"/>
    <n v="8.4239999999999995"/>
    <n v="20"/>
    <s v="Mar"/>
    <x v="10"/>
    <m/>
    <m/>
  </r>
  <r>
    <n v="64979444"/>
    <x v="7"/>
    <n v="3900"/>
    <d v="2026-03-23T00:00:00"/>
    <s v="PS Bluey Facepiece IH 6-6PK"/>
    <x v="41"/>
    <n v="2.16E-3"/>
    <n v="195"/>
    <x v="16"/>
    <x v="24"/>
    <n v="1"/>
    <n v="3900"/>
    <n v="8.4239999999999995"/>
    <n v="20"/>
    <s v="Mar"/>
    <x v="10"/>
    <m/>
    <m/>
  </r>
  <r>
    <n v="64341109"/>
    <x v="7"/>
    <n v="4200"/>
    <d v="2026-03-23T00:00:00"/>
    <s v="PS Spiderman Facepiece 1-20PK"/>
    <x v="41"/>
    <n v="2E-3"/>
    <n v="210"/>
    <x v="16"/>
    <x v="24"/>
    <n v="1"/>
    <n v="4200"/>
    <n v="8.4"/>
    <n v="20"/>
    <s v="Mar"/>
    <x v="10"/>
    <m/>
    <m/>
  </r>
  <r>
    <n v="64341109"/>
    <x v="7"/>
    <n v="4200"/>
    <d v="2026-03-23T00:00:00"/>
    <s v="PS Spiderman Facepiece 1-20PK"/>
    <x v="41"/>
    <n v="2E-3"/>
    <n v="210"/>
    <x v="16"/>
    <x v="24"/>
    <n v="1"/>
    <n v="4200"/>
    <n v="8.4"/>
    <n v="20"/>
    <s v="Mar"/>
    <x v="10"/>
    <m/>
    <m/>
  </r>
  <r>
    <n v="64956417"/>
    <x v="7"/>
    <n v="2860"/>
    <d v="2026-03-24T00:00:00"/>
    <s v="PS Hello Kitty Facepiece IH 6-6PK"/>
    <x v="34"/>
    <n v="2.16E-3"/>
    <n v="143"/>
    <x v="16"/>
    <x v="24"/>
    <n v="1"/>
    <n v="2860"/>
    <n v="6.1776"/>
    <n v="20"/>
    <s v="Mar"/>
    <x v="10"/>
    <m/>
    <m/>
  </r>
  <r>
    <n v="64956417"/>
    <x v="7"/>
    <n v="2860"/>
    <d v="2026-03-24T00:00:00"/>
    <s v="PS Hello Kitty Facepiece IH 6-6PK"/>
    <x v="41"/>
    <n v="2.16E-3"/>
    <n v="143"/>
    <x v="16"/>
    <x v="24"/>
    <n v="1"/>
    <n v="2860"/>
    <n v="6.1776"/>
    <n v="20"/>
    <s v="Mar"/>
    <x v="10"/>
    <m/>
    <m/>
  </r>
  <r>
    <n v="64875812"/>
    <x v="16"/>
    <n v="13540"/>
    <d v="2026-02-25T00:00:00"/>
    <s v="KL Vanilla Sandwich 8-6 PK"/>
    <x v="43"/>
    <n v="6.0000000000000001E-3"/>
    <n v="108"/>
    <x v="12"/>
    <x v="41"/>
    <n v="1"/>
    <n v="13540"/>
    <n v="81.239999999999995"/>
    <n v="125.37037037037037"/>
    <s v="Feb"/>
    <x v="6"/>
    <m/>
    <m/>
  </r>
  <r>
    <n v="64875812"/>
    <x v="16"/>
    <n v="11411"/>
    <d v="2026-03-04T00:00:00"/>
    <s v="KL Vanilla Sandwich 8-6 PK"/>
    <x v="43"/>
    <n v="6.0000000000000001E-3"/>
    <n v="108"/>
    <x v="12"/>
    <x v="41"/>
    <n v="1"/>
    <n v="11411"/>
    <n v="68.466000000000008"/>
    <n v="105.6574074074074"/>
    <s v="Mar"/>
    <x v="11"/>
    <m/>
    <m/>
  </r>
  <r>
    <n v="64875812"/>
    <x v="16"/>
    <n v="12922"/>
    <d v="2026-03-09T00:00:00"/>
    <s v="KL Vanilla Sandwich 8-6 PK"/>
    <x v="43"/>
    <n v="6.0000000000000001E-3"/>
    <n v="108"/>
    <x v="12"/>
    <x v="41"/>
    <n v="1"/>
    <n v="12922"/>
    <n v="77.531999999999996"/>
    <n v="119.64814814814815"/>
    <s v="Mar"/>
    <x v="12"/>
    <m/>
    <m/>
  </r>
  <r>
    <n v="64957257"/>
    <x v="16"/>
    <n v="34332"/>
    <d v="2026-03-11T00:00:00"/>
    <s v="Yasso Vanilla Bean Sandwich 8-3pk"/>
    <x v="43"/>
    <n v="2.4880000000000002E-3"/>
    <n v="180"/>
    <x v="25"/>
    <x v="47"/>
    <n v="1"/>
    <n v="34332"/>
    <n v="85.418016000000009"/>
    <n v="190.73333333333332"/>
    <s v="Mar"/>
    <x v="12"/>
    <m/>
    <m/>
  </r>
  <r>
    <n v="64875812"/>
    <x v="16"/>
    <n v="12174"/>
    <d v="2026-03-17T00:00:00"/>
    <s v="KL Vanilla Sandwich 8-6 PK"/>
    <x v="43"/>
    <n v="6.0000000000000001E-3"/>
    <n v="108"/>
    <x v="12"/>
    <x v="41"/>
    <n v="1"/>
    <n v="12174"/>
    <n v="73.043999999999997"/>
    <n v="112.72222222222223"/>
    <s v="Mar"/>
    <x v="9"/>
    <m/>
    <m/>
  </r>
  <r>
    <n v="64875812"/>
    <x v="16"/>
    <n v="8028"/>
    <d v="2026-03-20T00:00:00"/>
    <s v="KL Vanilla Sandwich 8-6 PK"/>
    <x v="43"/>
    <n v="6.0000000000000001E-3"/>
    <n v="108"/>
    <x v="12"/>
    <x v="41"/>
    <n v="1"/>
    <n v="8028"/>
    <n v="48.167999999999999"/>
    <n v="74.333333333333329"/>
    <s v="Mar"/>
    <x v="9"/>
    <m/>
    <m/>
  </r>
  <r>
    <n v="68654218"/>
    <x v="6"/>
    <n v="2048"/>
    <d v="2026-02-27T00:00:00"/>
    <s v="BJ US-CD-PBMix-8 8z"/>
    <x v="34"/>
    <n v="1.892672E-3"/>
    <n v="256"/>
    <x v="15"/>
    <x v="23"/>
    <n v="1"/>
    <n v="2048"/>
    <n v="3.8761922559999999"/>
    <n v="8"/>
    <s v="Feb"/>
    <x v="6"/>
    <m/>
    <m/>
  </r>
  <r>
    <n v="68264519"/>
    <x v="6"/>
    <n v="3072"/>
    <d v="2026-02-27T00:00:00"/>
    <s v="BJ US-CD-Half Baked Dough-8 6z"/>
    <x v="34"/>
    <n v="1.419504E-3"/>
    <n v="256"/>
    <x v="15"/>
    <x v="23"/>
    <n v="1"/>
    <n v="3072"/>
    <n v="4.3607162879999999"/>
    <n v="12"/>
    <s v="Feb"/>
    <x v="6"/>
    <m/>
    <m/>
  </r>
  <r>
    <n v="68654218"/>
    <x v="6"/>
    <n v="237"/>
    <d v="2026-03-10T00:00:00"/>
    <s v="BJ US-CD-PBMix-8 8z"/>
    <x v="34"/>
    <n v="1.892672E-3"/>
    <n v="256"/>
    <x v="15"/>
    <x v="23"/>
    <n v="1"/>
    <n v="237"/>
    <n v="0.44856326400000002"/>
    <n v="0.92578125"/>
    <s v="Mar"/>
    <x v="12"/>
    <m/>
    <m/>
  </r>
  <r>
    <n v="69665113"/>
    <x v="6"/>
    <n v="5888"/>
    <d v="2026-03-10T00:00:00"/>
    <s v="BJ US-CD-CCCD-FTNG-8 8z"/>
    <x v="34"/>
    <n v="1.8160000000000001E-3"/>
    <n v="256"/>
    <x v="15"/>
    <x v="23"/>
    <n v="1"/>
    <n v="5888"/>
    <n v="10.692608"/>
    <n v="23"/>
    <s v="Mar"/>
    <x v="12"/>
    <m/>
    <m/>
  </r>
  <r>
    <n v="68264519"/>
    <x v="6"/>
    <n v="8704"/>
    <d v="2026-03-10T00:00:00"/>
    <s v="BJ US-CD-Half Baked Dough-8 6z"/>
    <x v="34"/>
    <n v="1.419504E-3"/>
    <n v="256"/>
    <x v="15"/>
    <x v="23"/>
    <n v="1"/>
    <n v="8704"/>
    <n v="12.355362816"/>
    <n v="34"/>
    <s v="Mar"/>
    <x v="12"/>
    <m/>
    <m/>
  </r>
  <r>
    <n v="69665113"/>
    <x v="6"/>
    <n v="2816"/>
    <d v="2026-03-13T00:00:00"/>
    <s v="BJ US-CD-CCCD-FTNG-8 8z"/>
    <x v="34"/>
    <n v="1.8160000000000001E-3"/>
    <n v="256"/>
    <x v="15"/>
    <x v="23"/>
    <n v="1"/>
    <n v="2816"/>
    <n v="5.1138560000000002"/>
    <n v="11"/>
    <s v="Mar"/>
    <x v="12"/>
    <m/>
    <m/>
  </r>
  <r>
    <n v="68654232"/>
    <x v="6"/>
    <n v="5888"/>
    <d v="2026-03-13T00:00:00"/>
    <s v="BJ US-CD-Smores-8 8z"/>
    <x v="34"/>
    <n v="1.8959999999999999E-3"/>
    <n v="256"/>
    <x v="15"/>
    <x v="23"/>
    <n v="1"/>
    <n v="5888"/>
    <n v="11.163648"/>
    <n v="23"/>
    <s v="Mar"/>
    <x v="12"/>
    <m/>
    <m/>
  </r>
  <r>
    <n v="69665113"/>
    <x v="6"/>
    <n v="3584"/>
    <d v="2026-03-19T00:00:00"/>
    <s v="BJ US-CD-CCCD-FTNG-8 8z"/>
    <x v="34"/>
    <n v="1.8160000000000001E-3"/>
    <n v="256"/>
    <x v="15"/>
    <x v="23"/>
    <n v="1"/>
    <n v="3584"/>
    <n v="6.5085440000000006"/>
    <n v="14"/>
    <s v="Mar"/>
    <x v="9"/>
    <m/>
    <m/>
  </r>
  <r>
    <n v="64804365"/>
    <x v="8"/>
    <n v="4702"/>
    <d v="2026-03-02T00:00:00"/>
    <s v="BJ US-PUP-PB Pretzel 6-4PK"/>
    <x v="35"/>
    <n v="2.8799999999999997E-3"/>
    <n v="180"/>
    <x v="18"/>
    <x v="26"/>
    <n v="1"/>
    <n v="4702"/>
    <n v="13.541759999999998"/>
    <n v="26.122222222222224"/>
    <s v="Mar"/>
    <x v="11"/>
    <m/>
    <m/>
  </r>
  <r>
    <n v="64804365"/>
    <x v="8"/>
    <n v="8010"/>
    <d v="2026-03-02T00:00:00"/>
    <s v="BJ US-PUP-PB Pretzel 6-4PK"/>
    <x v="35"/>
    <n v="2.8799999999999997E-3"/>
    <n v="180"/>
    <x v="18"/>
    <x v="26"/>
    <n v="1"/>
    <n v="8010"/>
    <n v="23.0688"/>
    <n v="44.5"/>
    <s v="Mar"/>
    <x v="11"/>
    <m/>
    <m/>
  </r>
  <r>
    <n v="64413477"/>
    <x v="8"/>
    <n v="8284"/>
    <d v="2026-03-02T00:00:00"/>
    <s v="BJ US-IC-AmericoneDream-FTNG-12 4FOZ"/>
    <x v="35"/>
    <n v="1.4159999999999999E-3"/>
    <n v="468"/>
    <x v="18"/>
    <x v="26"/>
    <n v="1"/>
    <n v="8284"/>
    <n v="11.730143999999999"/>
    <n v="17.700854700854702"/>
    <s v="Mar"/>
    <x v="11"/>
    <m/>
    <m/>
  </r>
  <r>
    <n v="64977494"/>
    <x v="8"/>
    <n v="14336"/>
    <d v="2026-03-02T00:00:00"/>
    <s v="GH Reeses Candy Bar 8-6PK"/>
    <x v="35"/>
    <n v="2.8399999999999996E-3"/>
    <n v="130"/>
    <x v="17"/>
    <x v="25"/>
    <n v="1"/>
    <n v="14336"/>
    <n v="40.714239999999997"/>
    <n v="110.27692307692308"/>
    <s v="Mar"/>
    <x v="11"/>
    <m/>
    <m/>
  </r>
  <r>
    <n v="64978550"/>
    <x v="8"/>
    <n v="26489"/>
    <d v="2026-03-02T00:00:00"/>
    <s v="GH Almond Joy Candy Bar 8-6PK"/>
    <x v="35"/>
    <n v="2.8399999999999996E-3"/>
    <n v="130"/>
    <x v="17"/>
    <x v="25"/>
    <n v="1"/>
    <n v="26489"/>
    <n v="75.228759999999994"/>
    <n v="203.76153846153846"/>
    <s v="Mar"/>
    <x v="11"/>
    <m/>
    <m/>
  </r>
  <r>
    <n v="64806251"/>
    <x v="8"/>
    <n v="6060"/>
    <d v="2026-03-03T00:00:00"/>
    <s v="BJ US-PUP-PumpkinCookie 6-4PK"/>
    <x v="35"/>
    <n v="2.8799999999999997E-3"/>
    <n v="180"/>
    <x v="18"/>
    <x v="26"/>
    <n v="1"/>
    <n v="6060"/>
    <n v="17.4528"/>
    <n v="33.666666666666664"/>
    <s v="Mar"/>
    <x v="11"/>
    <m/>
    <m/>
  </r>
  <r>
    <n v="64875812"/>
    <x v="8"/>
    <n v="9387"/>
    <d v="2026-03-03T00:00:00"/>
    <s v="KL Vanilla Sandwich 8-6 PK"/>
    <x v="35"/>
    <n v="6.0000000000000001E-3"/>
    <n v="108"/>
    <x v="12"/>
    <x v="27"/>
    <n v="1"/>
    <n v="9387"/>
    <n v="56.322000000000003"/>
    <n v="86.916666666666671"/>
    <s v="Mar"/>
    <x v="11"/>
    <m/>
    <m/>
  </r>
  <r>
    <n v="64874636"/>
    <x v="8"/>
    <n v="14946"/>
    <d v="2026-03-10T00:00:00"/>
    <s v="BR Smores SW 6-4ct"/>
    <x v="35"/>
    <n v="2.8380000000000002E-3"/>
    <n v="189"/>
    <x v="12"/>
    <x v="27"/>
    <n v="1"/>
    <n v="14946"/>
    <n v="42.416748000000005"/>
    <n v="79.079365079365076"/>
    <s v="Mar"/>
    <x v="12"/>
    <m/>
    <m/>
  </r>
  <r>
    <n v="64875812"/>
    <x v="8"/>
    <n v="15573"/>
    <d v="2026-03-10T00:00:00"/>
    <s v="KL Vanilla Sandwich 8-6 PK"/>
    <x v="35"/>
    <n v="6.0000000000000001E-3"/>
    <n v="108"/>
    <x v="12"/>
    <x v="27"/>
    <n v="1"/>
    <n v="15573"/>
    <n v="93.438000000000002"/>
    <n v="144.19444444444446"/>
    <s v="Mar"/>
    <x v="12"/>
    <m/>
    <m/>
  </r>
  <r>
    <n v="64806254"/>
    <x v="8"/>
    <n v="675"/>
    <d v="2026-03-11T00:00:00"/>
    <s v="BJ US-PUP-PB Pretzel 108p 4FOZ"/>
    <x v="35"/>
    <n v="1.2960000000000001E-2"/>
    <n v="50"/>
    <x v="18"/>
    <x v="26"/>
    <n v="1"/>
    <n v="675"/>
    <n v="8.7480000000000011"/>
    <n v="13.5"/>
    <s v="Mar"/>
    <x v="12"/>
    <m/>
    <m/>
  </r>
  <r>
    <n v="64804365"/>
    <x v="8"/>
    <n v="8041"/>
    <d v="2026-03-11T00:00:00"/>
    <s v="BJ US-PUP-PB Pretzel 6-4PK"/>
    <x v="35"/>
    <n v="2.8799999999999997E-3"/>
    <n v="180"/>
    <x v="18"/>
    <x v="26"/>
    <n v="1"/>
    <n v="8041"/>
    <n v="23.158079999999998"/>
    <n v="44.672222222222224"/>
    <s v="Mar"/>
    <x v="12"/>
    <m/>
    <m/>
  </r>
  <r>
    <n v="64327161"/>
    <x v="8"/>
    <n v="111293"/>
    <d v="2026-03-12T00:00:00"/>
    <s v="YSO Mint Chocolate Chip Club 1-15pk"/>
    <x v="35"/>
    <n v="1.56E-3"/>
    <n v="240"/>
    <x v="19"/>
    <x v="28"/>
    <n v="1"/>
    <n v="111293"/>
    <n v="173.61707999999999"/>
    <n v="463.72083333333336"/>
    <s v="Mar"/>
    <x v="12"/>
    <m/>
    <m/>
  </r>
  <r>
    <n v="64327161"/>
    <x v="8"/>
    <n v="128602"/>
    <d v="2026-03-12T00:00:00"/>
    <s v="YSO Mint Chocolate Chip Club 1-15pk"/>
    <x v="35"/>
    <n v="1.56E-3"/>
    <n v="240"/>
    <x v="19"/>
    <x v="28"/>
    <n v="1"/>
    <n v="128602"/>
    <n v="200.61912000000001"/>
    <n v="535.8416666666667"/>
    <s v="Mar"/>
    <x v="12"/>
    <m/>
    <m/>
  </r>
  <r>
    <n v="64804365"/>
    <x v="8"/>
    <n v="2880"/>
    <d v="2026-03-14T00:00:00"/>
    <s v="BJ US-PUP-PB Pretzel 6-4PK"/>
    <x v="35"/>
    <n v="2.8799999999999997E-3"/>
    <n v="180"/>
    <x v="18"/>
    <x v="26"/>
    <n v="1"/>
    <n v="2880"/>
    <n v="8.2943999999999996"/>
    <n v="16"/>
    <s v="Mar"/>
    <x v="12"/>
    <m/>
    <m/>
  </r>
  <r>
    <n v="64806251"/>
    <x v="8"/>
    <n v="4974"/>
    <d v="2026-03-17T00:00:00"/>
    <s v="BJ US-PUP-PumpkinCookie 6-4PK"/>
    <x v="35"/>
    <n v="2.8799999999999997E-3"/>
    <n v="180"/>
    <x v="18"/>
    <x v="26"/>
    <n v="1"/>
    <n v="4974"/>
    <n v="14.325119999999998"/>
    <n v="27.633333333333333"/>
    <s v="Mar"/>
    <x v="9"/>
    <m/>
    <m/>
  </r>
  <r>
    <n v="64328806"/>
    <x v="8"/>
    <n v="34611"/>
    <d v="2026-03-17T00:00:00"/>
    <s v="KL Reeses SW 6-4PK"/>
    <x v="35"/>
    <n v="2.8380000000000002E-3"/>
    <n v="189"/>
    <x v="12"/>
    <x v="27"/>
    <n v="1"/>
    <n v="34611"/>
    <n v="98.22601800000001"/>
    <n v="183.12698412698413"/>
    <s v="Mar"/>
    <x v="9"/>
    <m/>
    <m/>
  </r>
  <r>
    <n v="64376316"/>
    <x v="8"/>
    <n v="118799"/>
    <d v="2026-03-23T00:00:00"/>
    <s v="Yasso Cookies n Cream Club 1-15pk"/>
    <x v="35"/>
    <n v="1.5449999999999999E-3"/>
    <n v="240"/>
    <x v="19"/>
    <x v="28"/>
    <n v="1"/>
    <n v="118799"/>
    <n v="183.544455"/>
    <n v="494.99583333333334"/>
    <s v="Mar"/>
    <x v="10"/>
    <m/>
    <m/>
  </r>
  <r>
    <n v="64409241"/>
    <x v="14"/>
    <n v="1890"/>
    <d v="2026-02-23T00:00:00"/>
    <s v="Holanda Chem Straw-Cocon USA 8x4x65ml"/>
    <x v="41"/>
    <n v="2.0800000000000003E-3"/>
    <n v="135"/>
    <x v="17"/>
    <x v="39"/>
    <n v="1"/>
    <n v="1890"/>
    <n v="3.9312000000000005"/>
    <n v="14"/>
    <s v="Feb"/>
    <x v="6"/>
    <m/>
    <m/>
  </r>
  <r>
    <n v="64409244"/>
    <x v="14"/>
    <n v="1890"/>
    <d v="2026-02-23T00:00:00"/>
    <s v="Holanda Chem Pineap-Cocon USA 8x4x65ml"/>
    <x v="41"/>
    <n v="2.0800000000000003E-3"/>
    <n v="135"/>
    <x v="17"/>
    <x v="39"/>
    <n v="1"/>
    <n v="1890"/>
    <n v="3.9312000000000005"/>
    <n v="14"/>
    <s v="Feb"/>
    <x v="6"/>
    <m/>
    <m/>
  </r>
  <r>
    <n v="64409244"/>
    <x v="14"/>
    <n v="3780"/>
    <d v="2026-02-23T00:00:00"/>
    <s v="Holanda Chem Pineap-Cocon USA 8x4x65ml"/>
    <x v="41"/>
    <n v="2.0800000000000003E-3"/>
    <n v="135"/>
    <x v="17"/>
    <x v="39"/>
    <n v="1"/>
    <n v="3780"/>
    <n v="7.8624000000000009"/>
    <n v="28"/>
    <s v="Feb"/>
    <x v="6"/>
    <m/>
    <m/>
  </r>
  <r>
    <n v="64409244"/>
    <x v="14"/>
    <n v="3780"/>
    <d v="2026-02-23T00:00:00"/>
    <s v="Holanda Chem Pineap-Cocon USA 8x4x65ml"/>
    <x v="41"/>
    <n v="2.0800000000000003E-3"/>
    <n v="135"/>
    <x v="17"/>
    <x v="39"/>
    <n v="1"/>
    <n v="3780"/>
    <n v="7.8624000000000009"/>
    <n v="28"/>
    <s v="Feb"/>
    <x v="6"/>
    <m/>
    <m/>
  </r>
  <r>
    <n v="64409241"/>
    <x v="14"/>
    <n v="135"/>
    <d v="2026-02-24T00:00:00"/>
    <s v="Holanda Chem Straw-Cocon USA 8x4x65ml"/>
    <x v="41"/>
    <n v="2.0800000000000003E-3"/>
    <n v="135"/>
    <x v="17"/>
    <x v="39"/>
    <n v="1"/>
    <n v="135"/>
    <n v="0.28080000000000005"/>
    <n v="1"/>
    <s v="Feb"/>
    <x v="6"/>
    <m/>
    <m/>
  </r>
  <r>
    <n v="64409244"/>
    <x v="14"/>
    <n v="3645"/>
    <d v="2026-02-24T00:00:00"/>
    <s v="Holanda Chem Pineap-Cocon USA 8x4x65ml"/>
    <x v="41"/>
    <n v="2.0800000000000003E-3"/>
    <n v="135"/>
    <x v="17"/>
    <x v="39"/>
    <n v="1"/>
    <n v="3645"/>
    <n v="7.5816000000000008"/>
    <n v="27"/>
    <s v="Feb"/>
    <x v="6"/>
    <m/>
    <m/>
  </r>
  <r>
    <n v="64409244"/>
    <x v="14"/>
    <n v="3645"/>
    <d v="2026-02-25T00:00:00"/>
    <s v="Holanda Chem Pineap-Cocon USA 8x4x65ml"/>
    <x v="41"/>
    <n v="2.0800000000000003E-3"/>
    <n v="135"/>
    <x v="17"/>
    <x v="39"/>
    <n v="1"/>
    <n v="3645"/>
    <n v="7.5816000000000008"/>
    <n v="27"/>
    <s v="Feb"/>
    <x v="6"/>
    <m/>
    <m/>
  </r>
  <r>
    <n v="64409241"/>
    <x v="14"/>
    <n v="270"/>
    <d v="2026-02-26T00:00:00"/>
    <s v="Holanda Chem Straw-Cocon USA 8x4x65ml"/>
    <x v="41"/>
    <n v="2.0800000000000003E-3"/>
    <n v="135"/>
    <x v="17"/>
    <x v="39"/>
    <n v="1"/>
    <n v="270"/>
    <n v="0.5616000000000001"/>
    <n v="2"/>
    <s v="Feb"/>
    <x v="6"/>
    <m/>
    <m/>
  </r>
  <r>
    <n v="64409244"/>
    <x v="14"/>
    <n v="3375"/>
    <d v="2026-02-26T00:00:00"/>
    <s v="Holanda Chem Pineap-Cocon USA 8x4x65ml"/>
    <x v="41"/>
    <n v="2.0800000000000003E-3"/>
    <n v="135"/>
    <x v="17"/>
    <x v="39"/>
    <n v="1"/>
    <n v="3375"/>
    <n v="7.0200000000000005"/>
    <n v="25"/>
    <s v="Feb"/>
    <x v="6"/>
    <m/>
    <m/>
  </r>
  <r>
    <n v="64409244"/>
    <x v="14"/>
    <n v="3780"/>
    <d v="2026-03-09T00:00:00"/>
    <s v="Holanda Chem Pineap-Cocon USA 8x4x65ml"/>
    <x v="41"/>
    <n v="2.0800000000000003E-3"/>
    <n v="135"/>
    <x v="17"/>
    <x v="39"/>
    <n v="1"/>
    <n v="3780"/>
    <n v="7.8624000000000009"/>
    <n v="28"/>
    <s v="Mar"/>
    <x v="12"/>
    <m/>
    <m/>
  </r>
  <r>
    <n v="64409244"/>
    <x v="14"/>
    <n v="2800"/>
    <d v="2026-03-11T00:00:00"/>
    <s v="Holanda Chem Pineap-Cocon USA 8x4x65ml"/>
    <x v="41"/>
    <n v="2.0800000000000003E-3"/>
    <n v="135"/>
    <x v="17"/>
    <x v="39"/>
    <n v="1"/>
    <n v="2800"/>
    <n v="5.8240000000000007"/>
    <n v="20.74074074074074"/>
    <s v="Mar"/>
    <x v="12"/>
    <m/>
    <m/>
  </r>
  <r>
    <n v="64409241"/>
    <x v="14"/>
    <n v="3779"/>
    <d v="2026-03-12T00:00:00"/>
    <s v="Holanda Chem Straw-Cocon USA 8x4x65ml"/>
    <x v="41"/>
    <n v="2.0800000000000003E-3"/>
    <n v="135"/>
    <x v="17"/>
    <x v="39"/>
    <n v="1"/>
    <n v="3779"/>
    <n v="7.8603200000000006"/>
    <n v="27.992592592592594"/>
    <s v="Mar"/>
    <x v="12"/>
    <m/>
    <m/>
  </r>
  <r>
    <n v="64409244"/>
    <x v="14"/>
    <n v="270"/>
    <d v="2026-03-16T00:00:00"/>
    <s v="Holanda Chem Pineap-Cocon USA 8x4x65ml"/>
    <x v="41"/>
    <n v="2.0800000000000003E-3"/>
    <n v="135"/>
    <x v="17"/>
    <x v="39"/>
    <n v="1"/>
    <n v="270"/>
    <n v="0.5616000000000001"/>
    <n v="2"/>
    <s v="Mar"/>
    <x v="9"/>
    <m/>
    <m/>
  </r>
  <r>
    <n v="69629477"/>
    <x v="14"/>
    <n v="2347"/>
    <d v="2026-03-16T00:00:00"/>
    <s v="KLONDIKE REESES CONE MPK 6X8X111ML"/>
    <x v="41"/>
    <n v="5.3280000000000003E-3"/>
    <n v="108"/>
    <x v="22"/>
    <x v="38"/>
    <n v="1"/>
    <n v="2347"/>
    <n v="12.504816"/>
    <n v="21.731481481481481"/>
    <s v="Mar"/>
    <x v="9"/>
    <m/>
    <m/>
  </r>
  <r>
    <n v="64409244"/>
    <x v="14"/>
    <n v="446"/>
    <d v="2026-03-17T00:00:00"/>
    <s v="Holanda Chem Pineap-Cocon USA 8x4x65ml"/>
    <x v="41"/>
    <n v="2.0800000000000003E-3"/>
    <n v="135"/>
    <x v="17"/>
    <x v="39"/>
    <n v="1"/>
    <n v="446"/>
    <n v="0.92768000000000006"/>
    <n v="3.3037037037037038"/>
    <s v="Mar"/>
    <x v="9"/>
    <m/>
    <m/>
  </r>
  <r>
    <n v="64409241"/>
    <x v="14"/>
    <n v="2700"/>
    <d v="2026-03-17T00:00:00"/>
    <s v="Holanda Chem Straw-Cocon USA 8x4x65ml"/>
    <x v="41"/>
    <n v="2.0800000000000003E-3"/>
    <n v="135"/>
    <x v="17"/>
    <x v="39"/>
    <n v="1"/>
    <n v="2700"/>
    <n v="5.6160000000000005"/>
    <n v="20"/>
    <s v="Mar"/>
    <x v="9"/>
    <m/>
    <m/>
  </r>
  <r>
    <n v="64409241"/>
    <x v="14"/>
    <n v="405"/>
    <d v="2026-03-23T00:00:00"/>
    <s v="Holanda Chem Straw-Cocon USA 8x4x65ml"/>
    <x v="41"/>
    <n v="2.0800000000000003E-3"/>
    <n v="135"/>
    <x v="17"/>
    <x v="39"/>
    <n v="1"/>
    <n v="405"/>
    <n v="0.84240000000000015"/>
    <n v="3"/>
    <s v="Mar"/>
    <x v="10"/>
    <m/>
    <m/>
  </r>
  <r>
    <n v="64409241"/>
    <x v="14"/>
    <n v="641"/>
    <d v="2026-03-23T00:00:00"/>
    <s v="Holanda Chem Straw-Cocon USA 8x4x65ml"/>
    <x v="41"/>
    <n v="2.0800000000000003E-3"/>
    <n v="135"/>
    <x v="17"/>
    <x v="39"/>
    <n v="1"/>
    <n v="641"/>
    <n v="1.3332800000000002"/>
    <n v="4.7481481481481485"/>
    <s v="Mar"/>
    <x v="10"/>
    <m/>
    <m/>
  </r>
  <r>
    <n v="64409244"/>
    <x v="14"/>
    <n v="2025"/>
    <d v="2026-03-23T00:00:00"/>
    <s v="Holanda Chem Pineap-Cocon USA 8x4x65ml"/>
    <x v="41"/>
    <n v="2.0800000000000003E-3"/>
    <n v="135"/>
    <x v="17"/>
    <x v="39"/>
    <n v="1"/>
    <n v="2025"/>
    <n v="4.2120000000000006"/>
    <n v="15"/>
    <s v="Mar"/>
    <x v="10"/>
    <m/>
    <m/>
  </r>
  <r>
    <n v="69629477"/>
    <x v="14"/>
    <n v="2697"/>
    <d v="2026-03-23T00:00:00"/>
    <s v="KLONDIKE REESES CONE MPK 6X8X111ML"/>
    <x v="41"/>
    <n v="5.3280000000000003E-3"/>
    <n v="108"/>
    <x v="22"/>
    <x v="38"/>
    <n v="1"/>
    <n v="2697"/>
    <n v="14.369616000000001"/>
    <n v="24.972222222222221"/>
    <s v="Mar"/>
    <x v="10"/>
    <m/>
    <m/>
  </r>
  <r>
    <n v="69629477"/>
    <x v="14"/>
    <n v="36"/>
    <d v="2026-03-24T00:00:00"/>
    <s v="KLONDIKE REESES CONE MPK 6X8X111ML"/>
    <x v="41"/>
    <n v="5.3280000000000003E-3"/>
    <n v="108"/>
    <x v="22"/>
    <x v="38"/>
    <n v="1"/>
    <n v="36"/>
    <n v="0.19180800000000001"/>
    <n v="0.33333333333333331"/>
    <s v="Mar"/>
    <x v="10"/>
    <m/>
    <m/>
  </r>
  <r>
    <n v="64409244"/>
    <x v="14"/>
    <n v="201"/>
    <d v="2026-03-24T00:00:00"/>
    <s v="Holanda Chem Pineap-Cocon USA 8x4x65ml"/>
    <x v="41"/>
    <n v="2.0800000000000003E-3"/>
    <n v="135"/>
    <x v="17"/>
    <x v="39"/>
    <n v="1"/>
    <n v="201"/>
    <n v="0.41808000000000006"/>
    <n v="1.4888888888888889"/>
    <s v="Mar"/>
    <x v="10"/>
    <m/>
    <m/>
  </r>
  <r>
    <n v="64409241"/>
    <x v="14"/>
    <n v="2295"/>
    <d v="2026-03-24T00:00:00"/>
    <s v="Holanda Chem Straw-Cocon USA 8x4x65ml"/>
    <x v="41"/>
    <n v="2.0800000000000003E-3"/>
    <n v="135"/>
    <x v="17"/>
    <x v="39"/>
    <n v="1"/>
    <n v="2295"/>
    <n v="4.773600000000001"/>
    <n v="17"/>
    <s v="Mar"/>
    <x v="10"/>
    <m/>
    <m/>
  </r>
  <r>
    <n v="64409244"/>
    <x v="14"/>
    <n v="3337"/>
    <d v="2026-03-24T00:00:00"/>
    <s v="Holanda Chem Pineap-Cocon USA 8x4x65ml"/>
    <x v="41"/>
    <n v="2.0800000000000003E-3"/>
    <n v="135"/>
    <x v="17"/>
    <x v="39"/>
    <n v="1"/>
    <n v="3337"/>
    <n v="6.9409600000000005"/>
    <n v="24.718518518518518"/>
    <s v="Mar"/>
    <x v="10"/>
    <m/>
    <m/>
  </r>
  <r>
    <n v="64854330"/>
    <x v="13"/>
    <n v="4991"/>
    <d v="2026-02-23T00:00:00"/>
    <s v="MG Double Caramel RFA 8(3) 3PK"/>
    <x v="40"/>
    <n v="6.4800000000000005E-3"/>
    <n v="30"/>
    <x v="21"/>
    <x v="36"/>
    <n v="1"/>
    <n v="4991"/>
    <n v="32.341680000000004"/>
    <n v="166.36666666666667"/>
    <s v="Feb"/>
    <x v="6"/>
    <m/>
    <m/>
  </r>
  <r>
    <n v="64997059"/>
    <x v="13"/>
    <n v="14976"/>
    <d v="2026-02-26T00:00:00"/>
    <s v="BJ US-IC-Mixed 12PK"/>
    <x v="40"/>
    <n v="5.6760000000000005E-3"/>
    <n v="96"/>
    <x v="17"/>
    <x v="35"/>
    <n v="1"/>
    <n v="14976"/>
    <n v="85.003776000000002"/>
    <n v="156"/>
    <s v="Feb"/>
    <x v="6"/>
    <m/>
    <m/>
  </r>
  <r>
    <n v="64997059"/>
    <x v="13"/>
    <n v="14976"/>
    <d v="2026-03-05T00:00:00"/>
    <s v="BJ US-IC-Mixed 12PK"/>
    <x v="40"/>
    <n v="5.6760000000000005E-3"/>
    <n v="96"/>
    <x v="17"/>
    <x v="35"/>
    <n v="1"/>
    <n v="14976"/>
    <n v="85.003776000000002"/>
    <n v="156"/>
    <s v="Mar"/>
    <x v="11"/>
    <m/>
    <m/>
  </r>
  <r>
    <n v="64830947"/>
    <x v="13"/>
    <n v="20000"/>
    <d v="2026-03-13T00:00:00"/>
    <s v="MG Mini Double Caramel RFA 1(3) 6PK"/>
    <x v="40"/>
    <n v="9.8999999999999999E-4"/>
    <n v="296"/>
    <x v="21"/>
    <x v="36"/>
    <n v="1"/>
    <n v="20000"/>
    <n v="19.8"/>
    <n v="67.567567567567565"/>
    <s v="Mar"/>
    <x v="12"/>
    <m/>
    <m/>
  </r>
  <r>
    <n v="64830947"/>
    <x v="13"/>
    <n v="60003"/>
    <d v="2026-03-13T00:00:00"/>
    <s v="MG Mini Double Caramel RFA 1(3) 6PK"/>
    <x v="40"/>
    <n v="9.8999999999999999E-4"/>
    <n v="296"/>
    <x v="21"/>
    <x v="36"/>
    <n v="1"/>
    <n v="60003"/>
    <n v="59.402969999999996"/>
    <n v="202.71283783783784"/>
    <s v="Mar"/>
    <x v="12"/>
    <m/>
    <m/>
  </r>
  <r>
    <n v="64830947"/>
    <x v="13"/>
    <n v="1588"/>
    <d v="2026-03-23T00:00:00"/>
    <s v="MG Mini Double Caramel RFA 1(3) 6PK"/>
    <x v="40"/>
    <n v="9.8999999999999999E-4"/>
    <n v="296"/>
    <x v="21"/>
    <x v="36"/>
    <n v="1"/>
    <n v="1588"/>
    <n v="1.57212"/>
    <n v="5.3648648648648649"/>
    <s v="Mar"/>
    <x v="10"/>
    <m/>
    <m/>
  </r>
  <r>
    <n v="64997059"/>
    <x v="13"/>
    <n v="19968"/>
    <d v="2026-03-23T00:00:00"/>
    <s v="BJ US-IC-Mixed 12PK"/>
    <x v="40"/>
    <n v="5.6760000000000005E-3"/>
    <n v="96"/>
    <x v="17"/>
    <x v="35"/>
    <n v="1"/>
    <n v="19968"/>
    <n v="113.338368"/>
    <n v="208"/>
    <s v="Mar"/>
    <x v="10"/>
    <m/>
    <m/>
  </r>
  <r>
    <n v="68922108"/>
    <x v="1"/>
    <n v="730008"/>
    <d v="2026-06-01T00:00:00"/>
    <s v="Talenti Caramel Cookie Crunch 8 1PT"/>
    <x v="50"/>
    <n v="3.7839999999999996E-3"/>
    <n v="255"/>
    <x v="2"/>
    <x v="3"/>
    <n v="0.96"/>
    <n v="700807.67999999993"/>
    <n v="2651.8562611199995"/>
    <n v="2748.2654117647057"/>
    <s v="Jun"/>
    <x v="13"/>
    <m/>
    <m/>
  </r>
  <r>
    <n v="68922108"/>
    <x v="1"/>
    <n v="730008"/>
    <d v="2026-07-01T00:00:00"/>
    <s v="Talenti Caramel Cookie Crunch 8 1PT"/>
    <x v="50"/>
    <n v="3.7839999999999996E-3"/>
    <n v="255"/>
    <x v="2"/>
    <x v="3"/>
    <n v="0.96"/>
    <n v="700807.67999999993"/>
    <n v="2651.8562611199995"/>
    <n v="2748.2654117647057"/>
    <s v="Jul"/>
    <x v="14"/>
    <m/>
    <m/>
  </r>
  <r>
    <n v="68922108"/>
    <x v="1"/>
    <n v="808223.14285714284"/>
    <d v="2026-08-01T00:00:00"/>
    <s v="Talenti Caramel Cookie Crunch 8 1PT"/>
    <x v="50"/>
    <n v="3.7839999999999996E-3"/>
    <n v="255"/>
    <x v="2"/>
    <x v="3"/>
    <n v="0.96"/>
    <n v="775894.21714285715"/>
    <n v="2935.983717668571"/>
    <n v="3042.7224201680674"/>
    <s v="Aug"/>
    <x v="15"/>
    <m/>
    <m/>
  </r>
  <r>
    <n v="68922108"/>
    <x v="1"/>
    <n v="469290.85714285716"/>
    <d v="2026-09-01T00:00:00"/>
    <s v="Talenti Caramel Cookie Crunch 8 1PT"/>
    <x v="50"/>
    <n v="3.7839999999999996E-3"/>
    <n v="255"/>
    <x v="2"/>
    <x v="3"/>
    <n v="0.96"/>
    <n v="450519.22285714286"/>
    <n v="1704.7647392914284"/>
    <n v="1766.742050420168"/>
    <s v="Sep"/>
    <x v="16"/>
    <m/>
    <m/>
  </r>
  <r>
    <n v="68922108"/>
    <x v="1"/>
    <n v="469290.85714285716"/>
    <d v="2026-10-01T00:00:00"/>
    <s v="Talenti Caramel Cookie Crunch 8 1PT"/>
    <x v="50"/>
    <n v="3.7839999999999996E-3"/>
    <n v="255"/>
    <x v="2"/>
    <x v="3"/>
    <n v="0.96"/>
    <n v="450519.22285714286"/>
    <n v="1704.7647392914284"/>
    <n v="1766.742050420168"/>
    <s v="Oct"/>
    <x v="17"/>
    <m/>
    <m/>
  </r>
  <r>
    <n v="68922108"/>
    <x v="1"/>
    <n v="391075.71428571432"/>
    <d v="2026-11-01T00:00:00"/>
    <s v="Talenti Caramel Cookie Crunch 8 1PT"/>
    <x v="50"/>
    <n v="3.7839999999999996E-3"/>
    <n v="255"/>
    <x v="2"/>
    <x v="3"/>
    <n v="0.96"/>
    <n v="375432.6857142857"/>
    <n v="1420.637282742857"/>
    <n v="1472.2850420168068"/>
    <s v="Nov"/>
    <x v="18"/>
    <m/>
    <m/>
  </r>
  <r>
    <n v="68922108"/>
    <x v="1"/>
    <n v="417147.42857142858"/>
    <d v="2026-12-01T00:00:00"/>
    <s v="Talenti Caramel Cookie Crunch 8 1PT"/>
    <x v="50"/>
    <n v="3.7839999999999996E-3"/>
    <n v="255"/>
    <x v="2"/>
    <x v="3"/>
    <n v="0.96"/>
    <n v="400461.53142857144"/>
    <n v="1515.3464349257142"/>
    <n v="1570.4373781512606"/>
    <s v="Dec"/>
    <x v="19"/>
    <m/>
    <m/>
  </r>
  <r>
    <n v="68867755"/>
    <x v="1"/>
    <n v="312408"/>
    <d v="2026-06-01T00:00:00"/>
    <s v="Talenti LY Salted CAR Truffle 8 323.1g"/>
    <x v="51"/>
    <n v="3.552E-3"/>
    <n v="255"/>
    <x v="2"/>
    <x v="3"/>
    <n v="0.96"/>
    <n v="299911.67999999999"/>
    <n v="1065.28628736"/>
    <n v="1176.1242352941176"/>
    <s v="Jun"/>
    <x v="13"/>
    <m/>
    <m/>
  </r>
  <r>
    <n v="68867755"/>
    <x v="1"/>
    <n v="312408"/>
    <d v="2026-07-01T00:00:00"/>
    <s v="Talenti LY Salted CAR Truffle 8 323.1g"/>
    <x v="51"/>
    <n v="3.552E-3"/>
    <n v="255"/>
    <x v="2"/>
    <x v="3"/>
    <n v="0.96"/>
    <n v="299911.67999999999"/>
    <n v="1065.28628736"/>
    <n v="1176.1242352941176"/>
    <s v="Jul"/>
    <x v="14"/>
    <m/>
    <m/>
  </r>
  <r>
    <n v="68867755"/>
    <x v="1"/>
    <n v="345880.28571428568"/>
    <d v="2026-08-01T00:00:00"/>
    <s v="Talenti LY Salted CAR Truffle 8 323.1g"/>
    <x v="51"/>
    <n v="3.552E-3"/>
    <n v="255"/>
    <x v="2"/>
    <x v="3"/>
    <n v="0.96"/>
    <n v="332045.07428571425"/>
    <n v="1179.424103862857"/>
    <n v="1302.1375462184872"/>
    <s v="Aug"/>
    <x v="15"/>
    <m/>
    <m/>
  </r>
  <r>
    <n v="68867755"/>
    <x v="1"/>
    <n v="278935.71428571426"/>
    <d v="2026-09-01T00:00:00"/>
    <s v="Talenti LY Salted CAR Truffle 8 323.1g"/>
    <x v="51"/>
    <n v="3.552E-3"/>
    <n v="255"/>
    <x v="2"/>
    <x v="3"/>
    <n v="0.96"/>
    <n v="267778.28571428568"/>
    <n v="951.1484708571428"/>
    <n v="1050.1109243697479"/>
    <s v="Sep"/>
    <x v="16"/>
    <m/>
    <m/>
  </r>
  <r>
    <n v="68867755"/>
    <x v="1"/>
    <n v="312408"/>
    <d v="2026-10-01T00:00:00"/>
    <s v="Talenti LY Salted CAR Truffle 8 323.1g"/>
    <x v="51"/>
    <n v="3.552E-3"/>
    <n v="255"/>
    <x v="2"/>
    <x v="3"/>
    <n v="0.96"/>
    <n v="299911.67999999999"/>
    <n v="1065.28628736"/>
    <n v="1176.1242352941176"/>
    <s v="Oct"/>
    <x v="17"/>
    <m/>
    <m/>
  </r>
  <r>
    <n v="68867755"/>
    <x v="1"/>
    <n v="278935.71428571426"/>
    <d v="2026-11-01T00:00:00"/>
    <s v="Talenti LY Salted CAR Truffle 8 323.1g"/>
    <x v="51"/>
    <n v="3.552E-3"/>
    <n v="255"/>
    <x v="2"/>
    <x v="3"/>
    <n v="0.96"/>
    <n v="267778.28571428568"/>
    <n v="951.1484708571428"/>
    <n v="1050.1109243697479"/>
    <s v="Nov"/>
    <x v="18"/>
    <m/>
    <m/>
  </r>
  <r>
    <n v="68867755"/>
    <x v="1"/>
    <n v="290093.14285714284"/>
    <d v="2026-12-01T00:00:00"/>
    <s v="Talenti LY Salted CAR Truffle 8 323.1g"/>
    <x v="51"/>
    <n v="3.552E-3"/>
    <n v="255"/>
    <x v="2"/>
    <x v="3"/>
    <n v="0.96"/>
    <n v="278489.4171428571"/>
    <n v="989.1944096914284"/>
    <n v="1092.1153613445376"/>
    <s v="Dec"/>
    <x v="19"/>
    <m/>
    <m/>
  </r>
  <r>
    <n v="68851108"/>
    <x v="1"/>
    <n v="534692.57142857136"/>
    <d v="2026-06-01T00:00:00"/>
    <s v="BR VAN CHOC STRAW 6-1.5QT"/>
    <x v="1"/>
    <n v="8.5199999999999998E-3"/>
    <n v="176"/>
    <x v="0"/>
    <x v="1"/>
    <n v="0.9"/>
    <n v="481223.31428571424"/>
    <n v="4100.0226377142853"/>
    <n v="2734.2233766233762"/>
    <s v="Jun"/>
    <x v="13"/>
    <m/>
    <m/>
  </r>
  <r>
    <n v="68851108"/>
    <x v="1"/>
    <n v="554496"/>
    <d v="2026-07-01T00:00:00"/>
    <s v="BR VAN CHOC STRAW 6-1.5QT"/>
    <x v="1"/>
    <n v="8.5199999999999998E-3"/>
    <n v="176"/>
    <x v="0"/>
    <x v="1"/>
    <n v="0.9"/>
    <n v="499046.40000000002"/>
    <n v="4251.8753280000001"/>
    <n v="2835.4909090909091"/>
    <s v="Jul"/>
    <x v="14"/>
    <m/>
    <m/>
  </r>
  <r>
    <n v="68851108"/>
    <x v="1"/>
    <n v="594102.85714285716"/>
    <d v="2026-08-01T00:00:00"/>
    <s v="BR VAN CHOC STRAW 6-1.5QT"/>
    <x v="1"/>
    <n v="8.5199999999999998E-3"/>
    <n v="176"/>
    <x v="0"/>
    <x v="1"/>
    <n v="0.9"/>
    <n v="534692.57142857148"/>
    <n v="4555.5807085714287"/>
    <n v="3038.0259740259744"/>
    <s v="Aug"/>
    <x v="15"/>
    <m/>
    <m/>
  </r>
  <r>
    <n v="68851108"/>
    <x v="1"/>
    <n v="450000"/>
    <d v="2026-09-01T00:00:00"/>
    <s v="BR VAN CHOC STRAW 6-1.5QT"/>
    <x v="1"/>
    <n v="8.5199999999999998E-3"/>
    <n v="176"/>
    <x v="0"/>
    <x v="1"/>
    <n v="0.95499999999999996"/>
    <n v="429750"/>
    <n v="3661.47"/>
    <n v="2441.7613636363635"/>
    <s v="Sep"/>
    <x v="16"/>
    <m/>
    <m/>
  </r>
  <r>
    <n v="68851108"/>
    <x v="1"/>
    <n v="356461.71428571426"/>
    <d v="2026-10-01T00:00:00"/>
    <s v="BR VAN CHOC STRAW 6-1.5QT"/>
    <x v="1"/>
    <n v="8.5199999999999998E-3"/>
    <n v="176"/>
    <x v="0"/>
    <x v="1"/>
    <n v="0.95499999999999996"/>
    <n v="340420.93714285712"/>
    <n v="2900.3863844571424"/>
    <n v="1934.2098701298701"/>
    <s v="Oct"/>
    <x v="17"/>
    <m/>
    <m/>
  </r>
  <r>
    <n v="68851108"/>
    <x v="1"/>
    <n v="277248"/>
    <d v="2026-11-01T00:00:00"/>
    <s v="BR VAN CHOC STRAW 6-1.5QT"/>
    <x v="1"/>
    <n v="8.5199999999999998E-3"/>
    <n v="176"/>
    <x v="0"/>
    <x v="1"/>
    <n v="0.95499999999999996"/>
    <n v="264771.83999999997"/>
    <n v="2255.8560767999998"/>
    <n v="1504.3854545454544"/>
    <s v="Nov"/>
    <x v="18"/>
    <m/>
    <m/>
  </r>
  <r>
    <n v="68851108"/>
    <x v="1"/>
    <n v="277248"/>
    <d v="2026-12-01T00:00:00"/>
    <s v="BR VAN CHOC STRAW 6-1.5QT"/>
    <x v="1"/>
    <n v="8.5199999999999998E-3"/>
    <n v="176"/>
    <x v="0"/>
    <x v="1"/>
    <n v="0.95499999999999996"/>
    <n v="264771.83999999997"/>
    <n v="2255.8560767999998"/>
    <n v="1504.3854545454544"/>
    <s v="Dec"/>
    <x v="19"/>
    <m/>
    <m/>
  </r>
  <r>
    <n v="68851107"/>
    <x v="1"/>
    <n v="295488"/>
    <d v="2026-06-01T00:00:00"/>
    <s v="BR NAT Vanilla 6-1.5QT"/>
    <x v="3"/>
    <n v="8.5199999999999998E-3"/>
    <n v="176"/>
    <x v="0"/>
    <x v="1"/>
    <n v="0.9"/>
    <n v="265939.20000000001"/>
    <n v="2265.8019840000002"/>
    <n v="1511.0181818181818"/>
    <s v="Jun"/>
    <x v="13"/>
    <m/>
    <m/>
  </r>
  <r>
    <n v="68851107"/>
    <x v="1"/>
    <n v="306432"/>
    <d v="2026-07-01T00:00:00"/>
    <s v="BR NAT Vanilla 6-1.5QT"/>
    <x v="3"/>
    <n v="8.5199999999999998E-3"/>
    <n v="176"/>
    <x v="0"/>
    <x v="1"/>
    <n v="0.9"/>
    <n v="275788.79999999999"/>
    <n v="2349.7205759999997"/>
    <n v="1566.9818181818182"/>
    <s v="Jul"/>
    <x v="14"/>
    <m/>
    <m/>
  </r>
  <r>
    <n v="68851107"/>
    <x v="1"/>
    <n v="328320"/>
    <d v="2026-08-01T00:00:00"/>
    <s v="BR NAT Vanilla 6-1.5QT"/>
    <x v="3"/>
    <n v="8.5199999999999998E-3"/>
    <n v="176"/>
    <x v="0"/>
    <x v="1"/>
    <n v="0.9"/>
    <n v="295488"/>
    <n v="2517.5577600000001"/>
    <n v="1678.909090909091"/>
    <s v="Aug"/>
    <x v="15"/>
    <m/>
    <m/>
  </r>
  <r>
    <n v="68851107"/>
    <x v="1"/>
    <n v="300000"/>
    <d v="2026-09-01T00:00:00"/>
    <s v="BR NAT Vanilla 6-1.5QT"/>
    <x v="3"/>
    <n v="8.5199999999999998E-3"/>
    <n v="176"/>
    <x v="0"/>
    <x v="1"/>
    <n v="0.95499999999999996"/>
    <n v="286500"/>
    <n v="2440.98"/>
    <n v="1627.840909090909"/>
    <s v="Sep"/>
    <x v="16"/>
    <m/>
    <m/>
  </r>
  <r>
    <n v="68851107"/>
    <x v="1"/>
    <n v="200000"/>
    <d v="2026-10-01T00:00:00"/>
    <s v="BR NAT Vanilla 6-1.5QT"/>
    <x v="3"/>
    <n v="8.5199999999999998E-3"/>
    <n v="176"/>
    <x v="0"/>
    <x v="1"/>
    <n v="0.95499999999999996"/>
    <n v="191000"/>
    <n v="1627.32"/>
    <n v="1085.2272727272727"/>
    <s v="Oct"/>
    <x v="17"/>
    <m/>
    <m/>
  </r>
  <r>
    <n v="68851107"/>
    <x v="1"/>
    <n v="200000"/>
    <d v="2026-11-01T00:00:00"/>
    <s v="BR NAT Vanilla 6-1.5QT"/>
    <x v="3"/>
    <n v="8.5199999999999998E-3"/>
    <n v="176"/>
    <x v="0"/>
    <x v="1"/>
    <n v="0.95499999999999996"/>
    <n v="191000"/>
    <n v="1627.32"/>
    <n v="1085.2272727272727"/>
    <s v="Nov"/>
    <x v="18"/>
    <m/>
    <m/>
  </r>
  <r>
    <n v="68851107"/>
    <x v="1"/>
    <n v="200000"/>
    <d v="2026-12-01T00:00:00"/>
    <s v="BR NAT Vanilla 6-1.5QT"/>
    <x v="3"/>
    <n v="8.5199999999999998E-3"/>
    <n v="176"/>
    <x v="0"/>
    <x v="1"/>
    <n v="0.95499999999999996"/>
    <n v="191000"/>
    <n v="1627.32"/>
    <n v="1085.2272727272727"/>
    <s v="Dec"/>
    <x v="19"/>
    <m/>
    <m/>
  </r>
  <r>
    <n v="68821735"/>
    <x v="1"/>
    <n v="264532.11428571428"/>
    <d v="2026-06-01T00:00:00"/>
    <s v="BR Lactose Free Vanilla 6 1.5QT"/>
    <x v="5"/>
    <n v="8.5199999999999998E-3"/>
    <n v="176"/>
    <x v="0"/>
    <x v="1"/>
    <n v="0.9"/>
    <n v="238078.90285714285"/>
    <n v="2028.4322523428571"/>
    <n v="1352.7210389610389"/>
    <s v="Jun"/>
    <x v="13"/>
    <m/>
    <m/>
  </r>
  <r>
    <n v="68821735"/>
    <x v="1"/>
    <n v="274329.59999999998"/>
    <d v="2026-07-01T00:00:00"/>
    <s v="BR Lactose Free Vanilla 6 1.5QT"/>
    <x v="5"/>
    <n v="8.5199999999999998E-3"/>
    <n v="176"/>
    <x v="0"/>
    <x v="1"/>
    <n v="0.9"/>
    <n v="246896.63999999998"/>
    <n v="2103.5593727999999"/>
    <n v="1402.8218181818181"/>
    <s v="Jul"/>
    <x v="14"/>
    <m/>
    <m/>
  </r>
  <r>
    <n v="68821735"/>
    <x v="1"/>
    <n v="293924.57142857142"/>
    <d v="2026-08-01T00:00:00"/>
    <s v="BR Lactose Free Vanilla 6 1.5QT"/>
    <x v="5"/>
    <n v="8.5199999999999998E-3"/>
    <n v="176"/>
    <x v="0"/>
    <x v="1"/>
    <n v="0.9"/>
    <n v="264532.11428571428"/>
    <n v="2253.8136137142856"/>
    <n v="1503.0233766233766"/>
    <s v="Aug"/>
    <x v="15"/>
    <m/>
    <m/>
  </r>
  <r>
    <n v="68821735"/>
    <x v="1"/>
    <n v="166557.25714285715"/>
    <d v="2026-09-01T00:00:00"/>
    <s v="BR Lactose Free Vanilla 6 1.5QT"/>
    <x v="5"/>
    <n v="8.5199999999999998E-3"/>
    <n v="176"/>
    <x v="0"/>
    <x v="1"/>
    <n v="0.95499999999999996"/>
    <n v="159062.18057142859"/>
    <n v="1355.2097784685716"/>
    <n v="903.76238961038973"/>
    <s v="Sep"/>
    <x v="16"/>
    <m/>
    <m/>
  </r>
  <r>
    <n v="68821735"/>
    <x v="1"/>
    <n v="200000"/>
    <d v="2026-10-01T00:00:00"/>
    <s v="BR Lactose Free Vanilla 6 1.5QT"/>
    <x v="5"/>
    <n v="8.5199999999999998E-3"/>
    <n v="176"/>
    <x v="0"/>
    <x v="1"/>
    <n v="0.95499999999999996"/>
    <n v="191000"/>
    <n v="1627.32"/>
    <n v="1085.2272727272727"/>
    <s v="Oct"/>
    <x v="17"/>
    <m/>
    <m/>
  </r>
  <r>
    <n v="68821735"/>
    <x v="1"/>
    <n v="200000"/>
    <d v="2026-11-01T00:00:00"/>
    <s v="BR Lactose Free Vanilla 6 1.5QT"/>
    <x v="5"/>
    <n v="8.5199999999999998E-3"/>
    <n v="176"/>
    <x v="0"/>
    <x v="1"/>
    <n v="0.95499999999999996"/>
    <n v="191000"/>
    <n v="1627.32"/>
    <n v="1085.2272727272727"/>
    <s v="Nov"/>
    <x v="18"/>
    <m/>
    <m/>
  </r>
  <r>
    <n v="68821735"/>
    <x v="1"/>
    <n v="200000"/>
    <d v="2026-12-01T00:00:00"/>
    <s v="BR Lactose Free Vanilla 6 1.5QT"/>
    <x v="5"/>
    <n v="8.5199999999999998E-3"/>
    <n v="176"/>
    <x v="0"/>
    <x v="1"/>
    <n v="0.95499999999999996"/>
    <n v="191000"/>
    <n v="1627.32"/>
    <n v="1085.2272727272727"/>
    <s v="Dec"/>
    <x v="19"/>
    <m/>
    <m/>
  </r>
  <r>
    <n v="68599804"/>
    <x v="0"/>
    <n v="303264"/>
    <d v="2026-06-01T00:00:00"/>
    <s v="BR Chocolate 6 1.5QT"/>
    <x v="1"/>
    <n v="8.5199999999999998E-3"/>
    <n v="156"/>
    <x v="0"/>
    <x v="0"/>
    <n v="0.9"/>
    <n v="272937.60000000003"/>
    <n v="2325.4283520000004"/>
    <n v="1749.6000000000001"/>
    <s v="Jun"/>
    <x v="13"/>
    <m/>
    <m/>
  </r>
  <r>
    <n v="68599804"/>
    <x v="0"/>
    <n v="314496"/>
    <d v="2026-07-01T00:00:00"/>
    <s v="BR Chocolate 6 1.5QT"/>
    <x v="1"/>
    <n v="8.5199999999999998E-3"/>
    <n v="156"/>
    <x v="0"/>
    <x v="0"/>
    <n v="0.9"/>
    <n v="283046.40000000002"/>
    <n v="2411.5553279999999"/>
    <n v="1814.4"/>
    <s v="Jul"/>
    <x v="14"/>
    <m/>
    <m/>
  </r>
  <r>
    <n v="68599804"/>
    <x v="0"/>
    <n v="450000"/>
    <d v="2026-08-01T00:00:00"/>
    <s v="BR Chocolate 6 1.5QT"/>
    <x v="1"/>
    <n v="8.5199999999999998E-3"/>
    <n v="156"/>
    <x v="0"/>
    <x v="0"/>
    <n v="0.9"/>
    <n v="405000"/>
    <n v="3450.6"/>
    <n v="2596.1538461538462"/>
    <s v="Aug"/>
    <x v="15"/>
    <m/>
    <m/>
  </r>
  <r>
    <n v="68599804"/>
    <x v="0"/>
    <n v="190944"/>
    <d v="2026-09-01T00:00:00"/>
    <s v="BR Chocolate 6 1.5QT"/>
    <x v="1"/>
    <n v="8.5199999999999998E-3"/>
    <n v="156"/>
    <x v="0"/>
    <x v="0"/>
    <n v="0.96499999999999997"/>
    <n v="184260.96"/>
    <n v="1569.9033791999998"/>
    <n v="1181.1599999999999"/>
    <s v="Sep"/>
    <x v="16"/>
    <m/>
    <m/>
  </r>
  <r>
    <n v="68599804"/>
    <x v="0"/>
    <n v="202176"/>
    <d v="2026-10-01T00:00:00"/>
    <s v="BR Chocolate 6 1.5QT"/>
    <x v="1"/>
    <n v="8.5199999999999998E-3"/>
    <n v="156"/>
    <x v="0"/>
    <x v="0"/>
    <n v="0.96499999999999997"/>
    <n v="195099.84"/>
    <n v="1662.2506367999999"/>
    <n v="1250.6399999999999"/>
    <s v="Oct"/>
    <x v="17"/>
    <m/>
    <m/>
  </r>
  <r>
    <n v="68599804"/>
    <x v="0"/>
    <n v="157248"/>
    <d v="2026-11-01T00:00:00"/>
    <s v="BR Chocolate 6 1.5QT"/>
    <x v="1"/>
    <n v="8.5199999999999998E-3"/>
    <n v="156"/>
    <x v="0"/>
    <x v="0"/>
    <n v="0.96499999999999997"/>
    <n v="151744.32000000001"/>
    <n v="1292.8616064"/>
    <n v="972.72"/>
    <s v="Nov"/>
    <x v="18"/>
    <m/>
    <m/>
  </r>
  <r>
    <n v="68599804"/>
    <x v="0"/>
    <n v="157248"/>
    <d v="2026-12-01T00:00:00"/>
    <s v="BR Chocolate 6 1.5QT"/>
    <x v="1"/>
    <n v="8.5199999999999998E-3"/>
    <n v="156"/>
    <x v="0"/>
    <x v="0"/>
    <n v="0.96499999999999997"/>
    <n v="151744.32000000001"/>
    <n v="1292.8616064"/>
    <n v="972.72"/>
    <s v="Dec"/>
    <x v="19"/>
    <m/>
    <m/>
  </r>
  <r>
    <n v="68850683"/>
    <x v="0"/>
    <n v="312891.42857142858"/>
    <d v="2026-06-01T00:00:00"/>
    <s v="BR Homemade Vanilla 6-1.5QT"/>
    <x v="3"/>
    <n v="8.5199999999999998E-3"/>
    <n v="176"/>
    <x v="0"/>
    <x v="0"/>
    <n v="0.9"/>
    <n v="281602.28571428574"/>
    <n v="2399.2514742857143"/>
    <n v="1600.0129870129872"/>
    <s v="Jun"/>
    <x v="13"/>
    <m/>
    <m/>
  </r>
  <r>
    <n v="68850683"/>
    <x v="0"/>
    <n v="324480"/>
    <d v="2026-07-01T00:00:00"/>
    <s v="BR Homemade Vanilla 6-1.5QT"/>
    <x v="3"/>
    <n v="8.5199999999999998E-3"/>
    <n v="176"/>
    <x v="0"/>
    <x v="0"/>
    <n v="0.9"/>
    <n v="292032"/>
    <n v="2488.1126399999998"/>
    <n v="1659.2727272727273"/>
    <s v="Jul"/>
    <x v="14"/>
    <m/>
    <m/>
  </r>
  <r>
    <n v="68850683"/>
    <x v="0"/>
    <n v="347657.14285714278"/>
    <d v="2026-08-01T00:00:00"/>
    <s v="BR Homemade Vanilla 6-1.5QT"/>
    <x v="3"/>
    <n v="8.5199999999999998E-3"/>
    <n v="176"/>
    <x v="0"/>
    <x v="0"/>
    <n v="0.9"/>
    <n v="312891.42857142852"/>
    <n v="2665.834971428571"/>
    <n v="1777.7922077922076"/>
    <s v="Aug"/>
    <x v="15"/>
    <m/>
    <m/>
  </r>
  <r>
    <n v="68850683"/>
    <x v="0"/>
    <n v="197005.71428571426"/>
    <d v="2026-09-01T00:00:00"/>
    <s v="BR Homemade Vanilla 6-1.5QT"/>
    <x v="3"/>
    <n v="8.5199999999999998E-3"/>
    <n v="176"/>
    <x v="0"/>
    <x v="0"/>
    <n v="0.96499999999999997"/>
    <n v="190110.51428571425"/>
    <n v="1619.7415817142853"/>
    <n v="1080.1733766233765"/>
    <s v="Sep"/>
    <x v="16"/>
    <m/>
    <m/>
  </r>
  <r>
    <n v="68850683"/>
    <x v="0"/>
    <n v="208594.28571428568"/>
    <d v="2026-10-01T00:00:00"/>
    <s v="BR Homemade Vanilla 6-1.5QT"/>
    <x v="3"/>
    <n v="8.5199999999999998E-3"/>
    <n v="176"/>
    <x v="0"/>
    <x v="0"/>
    <n v="0.96499999999999997"/>
    <n v="201293.48571428566"/>
    <n v="1715.0204982857138"/>
    <n v="1143.7129870129868"/>
    <s v="Oct"/>
    <x v="17"/>
    <m/>
    <m/>
  </r>
  <r>
    <n v="68850683"/>
    <x v="0"/>
    <n v="162240"/>
    <d v="2026-11-01T00:00:00"/>
    <s v="BR Homemade Vanilla 6-1.5QT"/>
    <x v="3"/>
    <n v="8.5199999999999998E-3"/>
    <n v="176"/>
    <x v="0"/>
    <x v="0"/>
    <n v="0.96499999999999997"/>
    <n v="156561.60000000001"/>
    <n v="1333.9048319999999"/>
    <n v="889.55454545454552"/>
    <s v="Nov"/>
    <x v="18"/>
    <m/>
    <m/>
  </r>
  <r>
    <n v="68850683"/>
    <x v="0"/>
    <n v="162240"/>
    <d v="2026-12-01T00:00:00"/>
    <s v="BR Homemade Vanilla 6-1.5QT"/>
    <x v="3"/>
    <n v="8.5199999999999998E-3"/>
    <n v="176"/>
    <x v="0"/>
    <x v="0"/>
    <n v="0.96499999999999997"/>
    <n v="156561.60000000001"/>
    <n v="1333.9048319999999"/>
    <n v="889.55454545454552"/>
    <s v="Dec"/>
    <x v="19"/>
    <m/>
    <m/>
  </r>
  <r>
    <n v="68881270"/>
    <x v="0"/>
    <n v="257570.74285714288"/>
    <d v="2026-06-01T00:00:00"/>
    <s v="BR Cookies and Cream 6 1.5QT"/>
    <x v="5"/>
    <n v="8.5199999999999998E-3"/>
    <n v="176"/>
    <x v="0"/>
    <x v="0"/>
    <n v="0.9"/>
    <n v="231813.6685714286"/>
    <n v="1975.0524562285716"/>
    <n v="1317.1231168831171"/>
    <s v="Jun"/>
    <x v="13"/>
    <m/>
    <m/>
  </r>
  <r>
    <n v="68881270"/>
    <x v="0"/>
    <n v="267110.39999999997"/>
    <d v="2026-07-01T00:00:00"/>
    <s v="BR Cookies and Cream 6 1.5QT"/>
    <x v="5"/>
    <n v="8.5199999999999998E-3"/>
    <n v="176"/>
    <x v="0"/>
    <x v="0"/>
    <n v="0.9"/>
    <n v="240399.35999999999"/>
    <n v="2048.2025472"/>
    <n v="1365.9054545454544"/>
    <s v="Jul"/>
    <x v="14"/>
    <m/>
    <m/>
  </r>
  <r>
    <n v="68881270"/>
    <x v="0"/>
    <n v="286189.71428571426"/>
    <d v="2026-08-01T00:00:00"/>
    <s v="BR Cookies and Cream 6 1.5QT"/>
    <x v="5"/>
    <n v="8.5199999999999998E-3"/>
    <n v="176"/>
    <x v="0"/>
    <x v="0"/>
    <n v="0.9"/>
    <n v="257570.74285714285"/>
    <n v="2194.5027291428569"/>
    <n v="1463.4701298701298"/>
    <s v="Aug"/>
    <x v="15"/>
    <m/>
    <m/>
  </r>
  <r>
    <n v="68881270"/>
    <x v="0"/>
    <n v="162174.17142857143"/>
    <d v="2026-09-01T00:00:00"/>
    <s v="BR Cookies and Cream 6 1.5QT"/>
    <x v="5"/>
    <n v="8.5199999999999998E-3"/>
    <n v="176"/>
    <x v="0"/>
    <x v="0"/>
    <n v="0.96499999999999997"/>
    <n v="156498.07542857144"/>
    <n v="1333.3636026514287"/>
    <n v="889.1936103896104"/>
    <s v="Sep"/>
    <x v="16"/>
    <m/>
    <m/>
  </r>
  <r>
    <n v="68881270"/>
    <x v="0"/>
    <n v="171713.82857142854"/>
    <d v="2026-10-01T00:00:00"/>
    <s v="BR Cookies and Cream 6 1.5QT"/>
    <x v="5"/>
    <n v="8.5199999999999998E-3"/>
    <n v="176"/>
    <x v="0"/>
    <x v="0"/>
    <n v="0.96499999999999997"/>
    <n v="165703.84457142855"/>
    <n v="1411.7967557485713"/>
    <n v="941.4991168831167"/>
    <s v="Oct"/>
    <x v="17"/>
    <m/>
    <m/>
  </r>
  <r>
    <n v="68881270"/>
    <x v="0"/>
    <n v="133555.19999999998"/>
    <d v="2026-11-01T00:00:00"/>
    <s v="BR Cookies and Cream 6 1.5QT"/>
    <x v="5"/>
    <n v="8.5199999999999998E-3"/>
    <n v="176"/>
    <x v="0"/>
    <x v="0"/>
    <n v="0.96499999999999997"/>
    <n v="128880.76799999998"/>
    <n v="1098.0641433599999"/>
    <n v="732.27709090909082"/>
    <s v="Nov"/>
    <x v="18"/>
    <m/>
    <m/>
  </r>
  <r>
    <n v="68881270"/>
    <x v="0"/>
    <n v="133555.19999999998"/>
    <d v="2026-12-01T00:00:00"/>
    <s v="BR Cookies and Cream 6 1.5QT"/>
    <x v="5"/>
    <n v="8.5199999999999998E-3"/>
    <n v="176"/>
    <x v="0"/>
    <x v="0"/>
    <n v="0.96499999999999997"/>
    <n v="128880.76799999998"/>
    <n v="1098.0641433599999"/>
    <n v="732.27709090909082"/>
    <s v="Dec"/>
    <x v="19"/>
    <m/>
    <m/>
  </r>
  <r>
    <n v="64341968"/>
    <x v="0"/>
    <n v="263828.57142857142"/>
    <d v="2026-06-01T00:00:00"/>
    <s v="BR CO-B SNICKERS 6 1.5QT"/>
    <x v="52"/>
    <n v="8.5199999999999998E-3"/>
    <n v="176"/>
    <x v="0"/>
    <x v="0"/>
    <n v="0.9"/>
    <n v="237445.71428571429"/>
    <n v="2023.0374857142856"/>
    <n v="1349.1233766233765"/>
    <s v="Jun"/>
    <x v="13"/>
    <m/>
    <m/>
  </r>
  <r>
    <n v="64341968"/>
    <x v="0"/>
    <n v="273600"/>
    <d v="2026-07-01T00:00:00"/>
    <s v="BR CO-B SNICKERS 6 1.5QT"/>
    <x v="52"/>
    <n v="8.5199999999999998E-3"/>
    <n v="176"/>
    <x v="0"/>
    <x v="0"/>
    <n v="0.9"/>
    <n v="246240"/>
    <n v="2097.9647999999997"/>
    <n v="1399.090909090909"/>
    <s v="Jul"/>
    <x v="14"/>
    <m/>
    <m/>
  </r>
  <r>
    <n v="64341968"/>
    <x v="0"/>
    <n v="293142.85714285716"/>
    <d v="2026-08-01T00:00:00"/>
    <s v="BR CO-B SNICKERS 6 1.5QT"/>
    <x v="52"/>
    <n v="8.5199999999999998E-3"/>
    <n v="176"/>
    <x v="0"/>
    <x v="0"/>
    <n v="0.9"/>
    <n v="263828.57142857148"/>
    <n v="2247.8194285714289"/>
    <n v="1499.0259740259744"/>
    <s v="Aug"/>
    <x v="15"/>
    <m/>
    <m/>
  </r>
  <r>
    <n v="64341968"/>
    <x v="0"/>
    <n v="166114.28571428571"/>
    <d v="2026-09-01T00:00:00"/>
    <s v="BR CO-B SNICKERS 6 1.5QT"/>
    <x v="52"/>
    <n v="8.5199999999999998E-3"/>
    <n v="176"/>
    <x v="0"/>
    <x v="0"/>
    <n v="0.96499999999999997"/>
    <n v="160300.28571428571"/>
    <n v="1365.7584342857142"/>
    <n v="910.79707792207785"/>
    <s v="Sep"/>
    <x v="16"/>
    <m/>
    <m/>
  </r>
  <r>
    <n v="64341968"/>
    <x v="0"/>
    <n v="175885.71428571429"/>
    <d v="2026-10-01T00:00:00"/>
    <s v="BR CO-B SNICKERS 6 1.5QT"/>
    <x v="52"/>
    <n v="8.5199999999999998E-3"/>
    <n v="176"/>
    <x v="0"/>
    <x v="0"/>
    <n v="0.96499999999999997"/>
    <n v="169729.71428571429"/>
    <n v="1446.0971657142857"/>
    <n v="964.37337662337666"/>
    <s v="Oct"/>
    <x v="17"/>
    <m/>
    <m/>
  </r>
  <r>
    <n v="64341968"/>
    <x v="0"/>
    <n v="136800"/>
    <d v="2026-11-01T00:00:00"/>
    <s v="BR CO-B SNICKERS 6 1.5QT"/>
    <x v="52"/>
    <n v="8.5199999999999998E-3"/>
    <n v="176"/>
    <x v="0"/>
    <x v="0"/>
    <n v="0.96499999999999997"/>
    <n v="132012"/>
    <n v="1124.74224"/>
    <n v="750.06818181818187"/>
    <s v="Nov"/>
    <x v="18"/>
    <m/>
    <m/>
  </r>
  <r>
    <n v="64341968"/>
    <x v="0"/>
    <n v="136800"/>
    <d v="2026-12-01T00:00:00"/>
    <s v="BR CO-B SNICKERS 6 1.5QT"/>
    <x v="52"/>
    <n v="8.5199999999999998E-3"/>
    <n v="176"/>
    <x v="0"/>
    <x v="0"/>
    <n v="0.96499999999999997"/>
    <n v="132012"/>
    <n v="1124.74224"/>
    <n v="750.06818181818187"/>
    <s v="Dec"/>
    <x v="19"/>
    <m/>
    <m/>
  </r>
  <r>
    <n v="68817793"/>
    <x v="15"/>
    <m/>
    <d v="2026-04-01T00:00:00"/>
    <s v="BR Mint CHOC Chip 6 1.5QT"/>
    <x v="53"/>
    <n v="8.5199999999999998E-3"/>
    <n v="176"/>
    <x v="0"/>
    <x v="51"/>
    <n v="1"/>
    <n v="0"/>
    <n v="0"/>
    <n v="0"/>
    <s v="Apr"/>
    <x v="20"/>
    <m/>
    <m/>
  </r>
  <r>
    <n v="68817793"/>
    <x v="15"/>
    <n v="80000"/>
    <d v="2026-05-01T00:00:00"/>
    <s v="BR Mint CHOC Chip 6 1.5QT"/>
    <x v="53"/>
    <n v="8.5199999999999998E-3"/>
    <n v="176"/>
    <x v="0"/>
    <x v="51"/>
    <n v="1"/>
    <n v="80000"/>
    <n v="681.6"/>
    <n v="454.54545454545456"/>
    <s v="May"/>
    <x v="21"/>
    <m/>
    <m/>
  </r>
  <r>
    <n v="68817793"/>
    <x v="15"/>
    <n v="35000"/>
    <d v="2026-06-01T00:00:00"/>
    <s v="BR Mint CHOC Chip 6 1.5QT"/>
    <x v="53"/>
    <n v="8.5199999999999998E-3"/>
    <n v="176"/>
    <x v="0"/>
    <x v="51"/>
    <n v="1"/>
    <n v="35000"/>
    <n v="298.2"/>
    <n v="198.86363636363637"/>
    <s v="Jun"/>
    <x v="13"/>
    <m/>
    <m/>
  </r>
  <r>
    <n v="68817793"/>
    <x v="15"/>
    <n v="55000"/>
    <d v="2026-07-01T00:00:00"/>
    <s v="BR Mint CHOC Chip 6 1.5QT"/>
    <x v="53"/>
    <n v="8.5199999999999998E-3"/>
    <n v="176"/>
    <x v="0"/>
    <x v="51"/>
    <n v="1"/>
    <n v="55000"/>
    <n v="468.59999999999997"/>
    <n v="312.5"/>
    <s v="Jul"/>
    <x v="14"/>
    <m/>
    <m/>
  </r>
  <r>
    <n v="68817793"/>
    <x v="15"/>
    <m/>
    <d v="2026-08-01T00:00:00"/>
    <s v="BR Mint CHOC Chip 6 1.5QT"/>
    <x v="53"/>
    <n v="8.5199999999999998E-3"/>
    <n v="176"/>
    <x v="0"/>
    <x v="51"/>
    <n v="1"/>
    <n v="0"/>
    <n v="0"/>
    <n v="0"/>
    <s v="Aug"/>
    <x v="15"/>
    <m/>
    <m/>
  </r>
  <r>
    <n v="68817793"/>
    <x v="15"/>
    <m/>
    <d v="2026-09-01T00:00:00"/>
    <s v="BR Mint CHOC Chip 6 1.5QT"/>
    <x v="53"/>
    <n v="8.5199999999999998E-3"/>
    <n v="176"/>
    <x v="0"/>
    <x v="51"/>
    <n v="1"/>
    <n v="0"/>
    <n v="0"/>
    <n v="0"/>
    <s v="Sep"/>
    <x v="16"/>
    <m/>
    <m/>
  </r>
  <r>
    <n v="68817793"/>
    <x v="15"/>
    <m/>
    <d v="2026-10-01T00:00:00"/>
    <s v="BR Mint CHOC Chip 6 1.5QT"/>
    <x v="53"/>
    <n v="8.5199999999999998E-3"/>
    <n v="176"/>
    <x v="0"/>
    <x v="51"/>
    <n v="1"/>
    <n v="0"/>
    <n v="0"/>
    <n v="0"/>
    <s v="Oct"/>
    <x v="17"/>
    <m/>
    <m/>
  </r>
  <r>
    <n v="68817793"/>
    <x v="15"/>
    <m/>
    <d v="2026-11-01T00:00:00"/>
    <s v="BR Mint CHOC Chip 6 1.5QT"/>
    <x v="53"/>
    <n v="8.5199999999999998E-3"/>
    <n v="176"/>
    <x v="0"/>
    <x v="51"/>
    <n v="1"/>
    <n v="0"/>
    <n v="0"/>
    <n v="0"/>
    <s v="Nov"/>
    <x v="18"/>
    <m/>
    <m/>
  </r>
  <r>
    <n v="68817793"/>
    <x v="15"/>
    <m/>
    <d v="2026-12-01T00:00:00"/>
    <s v="BR Mint CHOC Chip 6 1.5QT"/>
    <x v="53"/>
    <n v="8.5199999999999998E-3"/>
    <n v="176"/>
    <x v="0"/>
    <x v="51"/>
    <n v="1"/>
    <n v="0"/>
    <n v="0"/>
    <n v="0"/>
    <s v="Dec"/>
    <x v="19"/>
    <m/>
    <m/>
  </r>
  <r>
    <n v="69568828"/>
    <x v="4"/>
    <m/>
    <d v="2026-06-01T00:00:00"/>
    <s v="BR CS Vanilla 6 1.5QT"/>
    <x v="53"/>
    <n v="8.5199999999999998E-3"/>
    <n v="176"/>
    <x v="0"/>
    <x v="52"/>
    <n v="1"/>
    <n v="0"/>
    <n v="0"/>
    <n v="0"/>
    <s v="Jun"/>
    <x v="13"/>
    <m/>
    <m/>
  </r>
  <r>
    <n v="69568828"/>
    <x v="4"/>
    <m/>
    <d v="2026-07-01T00:00:00"/>
    <s v="BR CS Vanilla 6 1.5QT"/>
    <x v="53"/>
    <n v="8.5199999999999998E-3"/>
    <n v="176"/>
    <x v="0"/>
    <x v="52"/>
    <n v="1"/>
    <n v="0"/>
    <n v="0"/>
    <n v="0"/>
    <s v="Jul"/>
    <x v="14"/>
    <m/>
    <m/>
  </r>
  <r>
    <n v="69568828"/>
    <x v="4"/>
    <m/>
    <d v="2026-08-01T00:00:00"/>
    <s v="BR CS Vanilla 6 1.5QT"/>
    <x v="53"/>
    <n v="8.5199999999999998E-3"/>
    <n v="176"/>
    <x v="0"/>
    <x v="52"/>
    <n v="1"/>
    <n v="0"/>
    <n v="0"/>
    <n v="0"/>
    <s v="Aug"/>
    <x v="15"/>
    <m/>
    <m/>
  </r>
  <r>
    <n v="69568828"/>
    <x v="4"/>
    <m/>
    <d v="2026-09-01T00:00:00"/>
    <s v="BR CS Vanilla 6 1.5QT"/>
    <x v="53"/>
    <n v="8.5199999999999998E-3"/>
    <n v="176"/>
    <x v="0"/>
    <x v="52"/>
    <n v="1"/>
    <n v="0"/>
    <n v="0"/>
    <n v="0"/>
    <s v="Sep"/>
    <x v="16"/>
    <m/>
    <m/>
  </r>
  <r>
    <n v="69568828"/>
    <x v="4"/>
    <m/>
    <d v="2026-10-01T00:00:00"/>
    <s v="BR CS Vanilla 6 1.5QT"/>
    <x v="53"/>
    <n v="8.5199999999999998E-3"/>
    <n v="176"/>
    <x v="0"/>
    <x v="52"/>
    <n v="1"/>
    <n v="0"/>
    <n v="0"/>
    <n v="0"/>
    <s v="Oct"/>
    <x v="17"/>
    <m/>
    <m/>
  </r>
  <r>
    <n v="69568828"/>
    <x v="4"/>
    <m/>
    <d v="2026-11-01T00:00:00"/>
    <s v="BR CS Vanilla 6 1.5QT"/>
    <x v="53"/>
    <n v="8.5199999999999998E-3"/>
    <n v="176"/>
    <x v="0"/>
    <x v="52"/>
    <n v="1"/>
    <n v="0"/>
    <n v="0"/>
    <n v="0"/>
    <s v="Nov"/>
    <x v="18"/>
    <m/>
    <m/>
  </r>
  <r>
    <n v="69568828"/>
    <x v="4"/>
    <m/>
    <d v="2026-12-01T00:00:00"/>
    <s v="BR CS Vanilla 6 1.5QT"/>
    <x v="53"/>
    <n v="8.5199999999999998E-3"/>
    <n v="176"/>
    <x v="0"/>
    <x v="52"/>
    <n v="1"/>
    <n v="0"/>
    <n v="0"/>
    <n v="0"/>
    <s v="Dec"/>
    <x v="19"/>
    <m/>
    <m/>
  </r>
  <r>
    <n v="84141103"/>
    <x v="3"/>
    <n v="401280"/>
    <d v="2026-06-01T00:00:00"/>
    <s v="BJ US-IC-HalfBaked-FTNG-8 1PT"/>
    <x v="54"/>
    <n v="3.7853439999999999E-3"/>
    <n v="240"/>
    <x v="3"/>
    <x v="13"/>
    <n v="0.97"/>
    <n v="389241.59999999998"/>
    <n v="1473.4133551103998"/>
    <n v="1621.84"/>
    <s v="Jun"/>
    <x v="13"/>
    <m/>
    <m/>
  </r>
  <r>
    <n v="84141103"/>
    <x v="3"/>
    <n v="422400"/>
    <d v="2026-07-01T00:00:00"/>
    <s v="BJ US-IC-HalfBaked-FTNG-8 1PT"/>
    <x v="54"/>
    <n v="3.7853439999999999E-3"/>
    <n v="240"/>
    <x v="3"/>
    <x v="13"/>
    <n v="0.97"/>
    <n v="409728"/>
    <n v="1550.9614264320001"/>
    <n v="1707.2"/>
    <s v="Jul"/>
    <x v="14"/>
    <m/>
    <m/>
  </r>
  <r>
    <n v="84141103"/>
    <x v="3"/>
    <n v="464640"/>
    <d v="2026-08-01T00:00:00"/>
    <s v="BJ US-IC-HalfBaked-FTNG-8 1PT"/>
    <x v="54"/>
    <n v="3.7853439999999999E-3"/>
    <n v="240"/>
    <x v="3"/>
    <x v="13"/>
    <n v="0.97"/>
    <n v="450700.79999999999"/>
    <n v="1706.0575690752"/>
    <n v="1877.9199999999998"/>
    <s v="Aug"/>
    <x v="15"/>
    <m/>
    <m/>
  </r>
  <r>
    <n v="84141103"/>
    <x v="3"/>
    <n v="422400"/>
    <d v="2026-09-01T00:00:00"/>
    <s v="BJ US-IC-HalfBaked-FTNG-8 1PT"/>
    <x v="54"/>
    <n v="3.7853439999999999E-3"/>
    <n v="240"/>
    <x v="3"/>
    <x v="13"/>
    <n v="0.97"/>
    <n v="409728"/>
    <n v="1550.9614264320001"/>
    <n v="1707.2"/>
    <s v="Sep"/>
    <x v="16"/>
    <m/>
    <m/>
  </r>
  <r>
    <n v="84141103"/>
    <x v="3"/>
    <n v="422400"/>
    <d v="2026-10-01T00:00:00"/>
    <s v="BJ US-IC-HalfBaked-FTNG-8 1PT"/>
    <x v="54"/>
    <n v="3.7853439999999999E-3"/>
    <n v="240"/>
    <x v="3"/>
    <x v="13"/>
    <n v="0.97"/>
    <n v="409728"/>
    <n v="1550.9614264320001"/>
    <n v="1707.2"/>
    <s v="Oct"/>
    <x v="17"/>
    <m/>
    <m/>
  </r>
  <r>
    <n v="84141103"/>
    <x v="3"/>
    <n v="380160"/>
    <d v="2026-11-01T00:00:00"/>
    <s v="BJ US-IC-HalfBaked-FTNG-8 1PT"/>
    <x v="54"/>
    <n v="3.7853439999999999E-3"/>
    <n v="240"/>
    <x v="3"/>
    <x v="13"/>
    <n v="0.97"/>
    <n v="368755.20000000001"/>
    <n v="1395.8652837888001"/>
    <n v="1536.48"/>
    <s v="Nov"/>
    <x v="18"/>
    <m/>
    <m/>
  </r>
  <r>
    <n v="84141103"/>
    <x v="3"/>
    <n v="380160"/>
    <d v="2026-12-01T00:00:00"/>
    <s v="BJ US-IC-HalfBaked-FTNG-8 1PT"/>
    <x v="54"/>
    <n v="3.7853439999999999E-3"/>
    <n v="240"/>
    <x v="3"/>
    <x v="13"/>
    <n v="0.97"/>
    <n v="368755.20000000001"/>
    <n v="1395.8652837888001"/>
    <n v="1536.48"/>
    <s v="Dec"/>
    <x v="19"/>
    <m/>
    <m/>
  </r>
  <r>
    <n v="84141103"/>
    <x v="3"/>
    <n v="401280"/>
    <d v="2026-06-01T00:00:00"/>
    <s v="BJ US-IC-HalfBaked-FTNG-8 1PT"/>
    <x v="55"/>
    <n v="3.7853439999999999E-3"/>
    <n v="240"/>
    <x v="3"/>
    <x v="13"/>
    <n v="0.97"/>
    <n v="389241.59999999998"/>
    <n v="1473.4133551103998"/>
    <n v="1621.84"/>
    <s v="Jun"/>
    <x v="13"/>
    <m/>
    <m/>
  </r>
  <r>
    <n v="84141103"/>
    <x v="3"/>
    <n v="422400"/>
    <d v="2026-07-01T00:00:00"/>
    <s v="BJ US-IC-HalfBaked-FTNG-8 1PT"/>
    <x v="55"/>
    <n v="3.7853439999999999E-3"/>
    <n v="240"/>
    <x v="3"/>
    <x v="13"/>
    <n v="0.97"/>
    <n v="409728"/>
    <n v="1550.9614264320001"/>
    <n v="1707.2"/>
    <s v="Jul"/>
    <x v="14"/>
    <m/>
    <m/>
  </r>
  <r>
    <n v="84141103"/>
    <x v="3"/>
    <n v="464640"/>
    <d v="2026-08-01T00:00:00"/>
    <s v="BJ US-IC-HalfBaked-FTNG-8 1PT"/>
    <x v="55"/>
    <n v="3.7853439999999999E-3"/>
    <n v="240"/>
    <x v="3"/>
    <x v="13"/>
    <n v="0.97"/>
    <n v="450700.79999999999"/>
    <n v="1706.0575690752"/>
    <n v="1877.9199999999998"/>
    <s v="Aug"/>
    <x v="15"/>
    <m/>
    <m/>
  </r>
  <r>
    <n v="84141103"/>
    <x v="3"/>
    <n v="422400"/>
    <d v="2026-09-01T00:00:00"/>
    <s v="BJ US-IC-HalfBaked-FTNG-8 1PT"/>
    <x v="55"/>
    <n v="3.7853439999999999E-3"/>
    <n v="240"/>
    <x v="3"/>
    <x v="13"/>
    <n v="0.97"/>
    <n v="409728"/>
    <n v="1550.9614264320001"/>
    <n v="1707.2"/>
    <s v="Sep"/>
    <x v="16"/>
    <m/>
    <m/>
  </r>
  <r>
    <n v="84141103"/>
    <x v="3"/>
    <n v="422400"/>
    <d v="2026-10-01T00:00:00"/>
    <s v="BJ US-IC-HalfBaked-FTNG-8 1PT"/>
    <x v="55"/>
    <n v="3.7853439999999999E-3"/>
    <n v="240"/>
    <x v="3"/>
    <x v="13"/>
    <n v="0.97"/>
    <n v="409728"/>
    <n v="1550.9614264320001"/>
    <n v="1707.2"/>
    <s v="Oct"/>
    <x v="17"/>
    <m/>
    <m/>
  </r>
  <r>
    <n v="84141103"/>
    <x v="3"/>
    <n v="380160"/>
    <d v="2026-11-01T00:00:00"/>
    <s v="BJ US-IC-HalfBaked-FTNG-8 1PT"/>
    <x v="55"/>
    <n v="3.7853439999999999E-3"/>
    <n v="240"/>
    <x v="3"/>
    <x v="13"/>
    <n v="0.97"/>
    <n v="368755.20000000001"/>
    <n v="1395.8652837888001"/>
    <n v="1536.48"/>
    <s v="Nov"/>
    <x v="18"/>
    <m/>
    <m/>
  </r>
  <r>
    <n v="84141103"/>
    <x v="3"/>
    <n v="380160"/>
    <d v="2026-12-01T00:00:00"/>
    <s v="BJ US-IC-HalfBaked-FTNG-8 1PT"/>
    <x v="55"/>
    <n v="3.7853439999999999E-3"/>
    <n v="240"/>
    <x v="3"/>
    <x v="13"/>
    <n v="0.97"/>
    <n v="368755.20000000001"/>
    <n v="1395.8652837888001"/>
    <n v="1536.48"/>
    <s v="Dec"/>
    <x v="19"/>
    <m/>
    <m/>
  </r>
  <r>
    <n v="84141103"/>
    <x v="3"/>
    <n v="437760"/>
    <d v="2026-06-01T00:00:00"/>
    <s v="BJ US-IC-HalfBaked-FTNG-8 1PT"/>
    <x v="56"/>
    <n v="3.7853439999999999E-3"/>
    <n v="240"/>
    <x v="3"/>
    <x v="13"/>
    <n v="0.97"/>
    <n v="424627.20000000001"/>
    <n v="1607.3600237568"/>
    <n v="1769.28"/>
    <s v="Jun"/>
    <x v="13"/>
    <m/>
    <m/>
  </r>
  <r>
    <n v="84141103"/>
    <x v="3"/>
    <n v="460800"/>
    <d v="2026-07-01T00:00:00"/>
    <s v="BJ US-IC-HalfBaked-FTNG-8 1PT"/>
    <x v="56"/>
    <n v="3.7853439999999999E-3"/>
    <n v="240"/>
    <x v="3"/>
    <x v="13"/>
    <n v="0.97"/>
    <n v="446976"/>
    <n v="1691.957919744"/>
    <n v="1862.4"/>
    <s v="Jul"/>
    <x v="14"/>
    <m/>
    <m/>
  </r>
  <r>
    <n v="84141103"/>
    <x v="3"/>
    <n v="506880"/>
    <d v="2026-08-01T00:00:00"/>
    <s v="BJ US-IC-HalfBaked-FTNG-8 1PT"/>
    <x v="56"/>
    <n v="3.7853439999999999E-3"/>
    <n v="240"/>
    <x v="3"/>
    <x v="13"/>
    <n v="0.97"/>
    <n v="491673.59999999998"/>
    <n v="1861.1537117183998"/>
    <n v="2048.64"/>
    <s v="Aug"/>
    <x v="15"/>
    <m/>
    <m/>
  </r>
  <r>
    <n v="84141103"/>
    <x v="3"/>
    <n v="460800"/>
    <d v="2026-09-01T00:00:00"/>
    <s v="BJ US-IC-HalfBaked-FTNG-8 1PT"/>
    <x v="56"/>
    <n v="3.7853439999999999E-3"/>
    <n v="240"/>
    <x v="3"/>
    <x v="13"/>
    <n v="0.97"/>
    <n v="446976"/>
    <n v="1691.957919744"/>
    <n v="1862.4"/>
    <s v="Sep"/>
    <x v="16"/>
    <m/>
    <m/>
  </r>
  <r>
    <n v="84141103"/>
    <x v="3"/>
    <n v="460800"/>
    <d v="2026-10-01T00:00:00"/>
    <s v="BJ US-IC-HalfBaked-FTNG-8 1PT"/>
    <x v="56"/>
    <n v="3.7853439999999999E-3"/>
    <n v="240"/>
    <x v="3"/>
    <x v="13"/>
    <n v="0.97"/>
    <n v="446976"/>
    <n v="1691.957919744"/>
    <n v="1862.4"/>
    <s v="Oct"/>
    <x v="17"/>
    <m/>
    <m/>
  </r>
  <r>
    <n v="84141103"/>
    <x v="3"/>
    <n v="380160"/>
    <d v="2026-11-01T00:00:00"/>
    <s v="BJ US-IC-HalfBaked-FTNG-8 1PT"/>
    <x v="56"/>
    <n v="3.7853439999999999E-3"/>
    <n v="240"/>
    <x v="3"/>
    <x v="13"/>
    <n v="0.97"/>
    <n v="368755.20000000001"/>
    <n v="1395.8652837888001"/>
    <n v="1536.48"/>
    <s v="Nov"/>
    <x v="18"/>
    <m/>
    <m/>
  </r>
  <r>
    <n v="84141103"/>
    <x v="3"/>
    <n v="380160"/>
    <d v="2026-12-01T00:00:00"/>
    <s v="BJ US-IC-HalfBaked-FTNG-8 1PT"/>
    <x v="56"/>
    <n v="3.7853439999999999E-3"/>
    <n v="240"/>
    <x v="3"/>
    <x v="13"/>
    <n v="0.97"/>
    <n v="368755.20000000001"/>
    <n v="1395.8652837888001"/>
    <n v="1536.48"/>
    <s v="Dec"/>
    <x v="19"/>
    <m/>
    <m/>
  </r>
  <r>
    <n v="84141103"/>
    <x v="2"/>
    <n v="752000"/>
    <d v="2026-06-01T00:00:00"/>
    <s v="BJ US-IC-HalfBaked-FTNG-8 1PT"/>
    <x v="57"/>
    <n v="3.7853439999999999E-3"/>
    <n v="240"/>
    <x v="3"/>
    <x v="4"/>
    <n v="0.96"/>
    <n v="721920"/>
    <n v="2732.7155404800001"/>
    <n v="3008"/>
    <s v="Jun"/>
    <x v="13"/>
    <m/>
    <m/>
  </r>
  <r>
    <n v="84141103"/>
    <x v="2"/>
    <n v="795428.57142857148"/>
    <d v="2026-07-01T00:00:00"/>
    <s v="BJ US-IC-HalfBaked-FTNG-8 1PT"/>
    <x v="57"/>
    <n v="3.7853439999999999E-3"/>
    <n v="240"/>
    <x v="3"/>
    <x v="4"/>
    <n v="0.96"/>
    <n v="763611.42857142864"/>
    <n v="2890.531939474286"/>
    <n v="3181.7142857142858"/>
    <s v="Jul"/>
    <x v="14"/>
    <m/>
    <m/>
  </r>
  <r>
    <n v="84141103"/>
    <x v="2"/>
    <n v="768000"/>
    <d v="2026-08-01T00:00:00"/>
    <s v="BJ US-IC-HalfBaked-FTNG-8 1PT"/>
    <x v="57"/>
    <n v="3.7853439999999999E-3"/>
    <n v="240"/>
    <x v="3"/>
    <x v="4"/>
    <n v="1"/>
    <n v="768000"/>
    <n v="2907.1441919999997"/>
    <n v="3200"/>
    <s v="Aug"/>
    <x v="15"/>
    <m/>
    <m/>
  </r>
  <r>
    <n v="84141103"/>
    <x v="2"/>
    <n v="192000"/>
    <d v="2026-09-01T00:00:00"/>
    <s v="BJ US-IC-HalfBaked-FTNG-8 1PT"/>
    <x v="57"/>
    <n v="3.7853439999999999E-3"/>
    <n v="240"/>
    <x v="3"/>
    <x v="4"/>
    <n v="1"/>
    <n v="192000"/>
    <n v="726.78604799999994"/>
    <n v="800"/>
    <s v="Sep"/>
    <x v="16"/>
    <m/>
    <m/>
  </r>
  <r>
    <n v="84141103"/>
    <x v="2"/>
    <n v="376000"/>
    <d v="2026-10-01T00:00:00"/>
    <s v="BJ US-IC-HalfBaked-FTNG-8 1PT"/>
    <x v="57"/>
    <n v="3.7853439999999999E-3"/>
    <n v="240"/>
    <x v="3"/>
    <x v="4"/>
    <n v="1"/>
    <n v="376000"/>
    <n v="1423.289344"/>
    <n v="1566.6666666666667"/>
    <s v="Oct"/>
    <x v="17"/>
    <m/>
    <m/>
  </r>
  <r>
    <n v="84141103"/>
    <x v="2"/>
    <m/>
    <d v="2026-11-01T00:00:00"/>
    <s v="BJ US-IC-HalfBaked-FTNG-8 1PT"/>
    <x v="57"/>
    <n v="3.7853439999999999E-3"/>
    <n v="240"/>
    <x v="3"/>
    <x v="4"/>
    <n v="1"/>
    <n v="0"/>
    <n v="0"/>
    <n v="0"/>
    <s v="Nov"/>
    <x v="18"/>
    <m/>
    <m/>
  </r>
  <r>
    <n v="84141103"/>
    <x v="2"/>
    <n v="400000"/>
    <d v="2026-12-01T00:00:00"/>
    <s v="BJ US-IC-HalfBaked-FTNG-8 1PT"/>
    <x v="57"/>
    <n v="3.7853439999999999E-3"/>
    <n v="240"/>
    <x v="3"/>
    <x v="4"/>
    <n v="1"/>
    <n v="400000"/>
    <n v="1514.1376"/>
    <n v="1666.6666666666667"/>
    <s v="Dec"/>
    <x v="19"/>
    <m/>
    <m/>
  </r>
  <r>
    <n v="67826412"/>
    <x v="1"/>
    <n v="211212"/>
    <d v="2026-06-01T00:00:00"/>
    <s v="BJ US-IC-ChunkyMonkey-FTNG-8 1PT"/>
    <x v="58"/>
    <n v="3.7853439999999999E-3"/>
    <n v="240"/>
    <x v="3"/>
    <x v="12"/>
    <n v="1"/>
    <n v="211212"/>
    <n v="799.51007692799999"/>
    <n v="880.05"/>
    <s v="Jun"/>
    <x v="13"/>
    <m/>
    <m/>
  </r>
  <r>
    <n v="67826412"/>
    <x v="1"/>
    <n v="189960"/>
    <d v="2026-07-01T00:00:00"/>
    <s v="BJ US-IC-ChunkyMonkey-FTNG-8 1PT"/>
    <x v="58"/>
    <n v="3.7853439999999999E-3"/>
    <n v="240"/>
    <x v="3"/>
    <x v="12"/>
    <n v="1"/>
    <n v="189960"/>
    <n v="719.06394623999995"/>
    <n v="791.5"/>
    <s v="Jul"/>
    <x v="14"/>
    <m/>
    <m/>
  </r>
  <r>
    <n v="67826412"/>
    <x v="1"/>
    <m/>
    <d v="2026-08-01T00:00:00"/>
    <s v="BJ US-IC-ChunkyMonkey-FTNG-8 1PT"/>
    <x v="58"/>
    <n v="3.7853439999999999E-3"/>
    <n v="240"/>
    <x v="3"/>
    <x v="12"/>
    <n v="1"/>
    <n v="0"/>
    <n v="0"/>
    <n v="0"/>
    <s v="Aug"/>
    <x v="15"/>
    <m/>
    <m/>
  </r>
  <r>
    <n v="67826412"/>
    <x v="1"/>
    <m/>
    <d v="2026-09-01T00:00:00"/>
    <s v="BJ US-IC-ChunkyMonkey-FTNG-8 1PT"/>
    <x v="58"/>
    <n v="3.7853439999999999E-3"/>
    <n v="240"/>
    <x v="3"/>
    <x v="12"/>
    <n v="1"/>
    <n v="0"/>
    <n v="0"/>
    <n v="0"/>
    <s v="Sep"/>
    <x v="16"/>
    <m/>
    <m/>
  </r>
  <r>
    <n v="67826412"/>
    <x v="1"/>
    <n v="3716"/>
    <d v="2026-10-01T00:00:00"/>
    <s v="BJ US-IC-ChunkyMonkey-FTNG-8 1PT"/>
    <x v="58"/>
    <n v="3.7853439999999999E-3"/>
    <n v="240"/>
    <x v="3"/>
    <x v="12"/>
    <n v="1"/>
    <n v="3716"/>
    <n v="14.066338304"/>
    <n v="15.483333333333333"/>
    <s v="Oct"/>
    <x v="17"/>
    <m/>
    <m/>
  </r>
  <r>
    <n v="67826412"/>
    <x v="1"/>
    <m/>
    <d v="2026-11-01T00:00:00"/>
    <s v="BJ US-IC-ChunkyMonkey-FTNG-8 1PT"/>
    <x v="58"/>
    <n v="3.7853439999999999E-3"/>
    <n v="240"/>
    <x v="3"/>
    <x v="12"/>
    <n v="1"/>
    <n v="0"/>
    <n v="0"/>
    <n v="0"/>
    <s v="Nov"/>
    <x v="18"/>
    <m/>
    <m/>
  </r>
  <r>
    <n v="67826412"/>
    <x v="1"/>
    <m/>
    <d v="2026-12-01T00:00:00"/>
    <s v="BJ US-IC-ChunkyMonkey-FTNG-8 1PT"/>
    <x v="58"/>
    <n v="3.7853439999999999E-3"/>
    <n v="240"/>
    <x v="3"/>
    <x v="12"/>
    <n v="1"/>
    <n v="0"/>
    <n v="0"/>
    <n v="0"/>
    <s v="Dec"/>
    <x v="19"/>
    <m/>
    <m/>
  </r>
  <r>
    <n v="64975616"/>
    <x v="1"/>
    <n v="40500"/>
    <d v="2026-06-01T00:00:00"/>
    <s v="Yasso Mint Chocolate Chip 8-14z"/>
    <x v="58"/>
    <n v="3.3119999999999998E-3"/>
    <n v="240"/>
    <x v="11"/>
    <x v="17"/>
    <n v="1"/>
    <n v="40500"/>
    <n v="134.136"/>
    <n v="168.75"/>
    <s v="Jun"/>
    <x v="13"/>
    <m/>
    <m/>
  </r>
  <r>
    <n v="64975616"/>
    <x v="1"/>
    <n v="75000"/>
    <d v="2026-07-01T00:00:00"/>
    <s v="Yasso Mint Chocolate Chip 8-14z"/>
    <x v="58"/>
    <n v="3.3119999999999998E-3"/>
    <n v="240"/>
    <x v="11"/>
    <x v="17"/>
    <n v="1"/>
    <n v="75000"/>
    <n v="248.39999999999998"/>
    <n v="312.5"/>
    <s v="Jul"/>
    <x v="14"/>
    <m/>
    <m/>
  </r>
  <r>
    <n v="64975616"/>
    <x v="1"/>
    <n v="175000"/>
    <d v="2026-08-01T00:00:00"/>
    <s v="Yasso Mint Chocolate Chip 8-14z"/>
    <x v="58"/>
    <n v="3.3119999999999998E-3"/>
    <n v="240"/>
    <x v="11"/>
    <x v="17"/>
    <n v="1"/>
    <n v="175000"/>
    <n v="579.6"/>
    <n v="729.16666666666663"/>
    <s v="Aug"/>
    <x v="15"/>
    <m/>
    <m/>
  </r>
  <r>
    <n v="64975616"/>
    <x v="1"/>
    <n v="175000"/>
    <d v="2026-09-01T00:00:00"/>
    <s v="Yasso Mint Chocolate Chip 8-14z"/>
    <x v="58"/>
    <n v="3.3119999999999998E-3"/>
    <n v="240"/>
    <x v="11"/>
    <x v="17"/>
    <n v="1"/>
    <n v="175000"/>
    <n v="579.6"/>
    <n v="729.16666666666663"/>
    <s v="Sep"/>
    <x v="16"/>
    <m/>
    <m/>
  </r>
  <r>
    <n v="64975616"/>
    <x v="1"/>
    <n v="150000"/>
    <d v="2026-10-01T00:00:00"/>
    <s v="Yasso Mint Chocolate Chip 8-14z"/>
    <x v="58"/>
    <n v="3.3119999999999998E-3"/>
    <n v="240"/>
    <x v="11"/>
    <x v="17"/>
    <n v="1"/>
    <n v="150000"/>
    <n v="496.79999999999995"/>
    <n v="625"/>
    <s v="Oct"/>
    <x v="17"/>
    <m/>
    <m/>
  </r>
  <r>
    <n v="64975616"/>
    <x v="1"/>
    <m/>
    <d v="2026-11-01T00:00:00"/>
    <s v="Yasso Mint Chocolate Chip 8-14z"/>
    <x v="58"/>
    <n v="3.3119999999999998E-3"/>
    <n v="240"/>
    <x v="11"/>
    <x v="17"/>
    <n v="1"/>
    <n v="0"/>
    <n v="0"/>
    <n v="0"/>
    <s v="Nov"/>
    <x v="18"/>
    <m/>
    <m/>
  </r>
  <r>
    <n v="64975616"/>
    <x v="1"/>
    <m/>
    <d v="2026-12-01T00:00:00"/>
    <s v="Yasso Mint Chocolate Chip 8-14z"/>
    <x v="58"/>
    <n v="3.3119999999999998E-3"/>
    <n v="240"/>
    <x v="11"/>
    <x v="17"/>
    <n v="1"/>
    <n v="0"/>
    <n v="0"/>
    <n v="0"/>
    <s v="Dec"/>
    <x v="19"/>
    <m/>
    <m/>
  </r>
  <r>
    <n v="64394583"/>
    <x v="1"/>
    <n v="105574.55997165557"/>
    <d v="2026-06-01T00:00:00"/>
    <s v="BJ US-SUN-CookieVermontster-8 427ML"/>
    <x v="17"/>
    <n v="3.4159999999999998E-3"/>
    <n v="240"/>
    <x v="14"/>
    <x v="21"/>
    <n v="0.9"/>
    <n v="95017.103974490019"/>
    <n v="324.57842717685787"/>
    <n v="395.90459989370839"/>
    <s v="Jun"/>
    <x v="13"/>
    <m/>
    <m/>
  </r>
  <r>
    <n v="64394583"/>
    <x v="1"/>
    <n v="117305.06663517286"/>
    <d v="2026-07-01T00:00:00"/>
    <s v="BJ US-SUN-CookieVermontster-8 427ML"/>
    <x v="17"/>
    <n v="3.4159999999999998E-3"/>
    <n v="240"/>
    <x v="14"/>
    <x v="21"/>
    <n v="0.9"/>
    <n v="105574.55997165557"/>
    <n v="360.64269686317539"/>
    <n v="439.8939998818982"/>
    <s v="Jul"/>
    <x v="14"/>
    <m/>
    <m/>
  </r>
  <r>
    <n v="64394583"/>
    <x v="1"/>
    <n v="129035.57329869014"/>
    <d v="2026-08-01T00:00:00"/>
    <s v="BJ US-SUN-CookieVermontster-8 427ML"/>
    <x v="17"/>
    <n v="3.4159999999999998E-3"/>
    <n v="240"/>
    <x v="14"/>
    <x v="21"/>
    <n v="0.9"/>
    <n v="116132.01596882113"/>
    <n v="396.70696654949296"/>
    <n v="483.88339987008806"/>
    <s v="Aug"/>
    <x v="15"/>
    <m/>
    <m/>
  </r>
  <r>
    <n v="64394583"/>
    <x v="1"/>
    <n v="111439.81330341421"/>
    <d v="2026-09-01T00:00:00"/>
    <s v="BJ US-SUN-CookieVermontster-8 427ML"/>
    <x v="17"/>
    <n v="3.4159999999999998E-3"/>
    <n v="240"/>
    <x v="14"/>
    <x v="21"/>
    <n v="0.9"/>
    <n v="100295.8319730728"/>
    <n v="342.61056202001663"/>
    <n v="417.89929988780329"/>
    <s v="Sep"/>
    <x v="16"/>
    <m/>
    <m/>
  </r>
  <r>
    <n v="64394583"/>
    <x v="1"/>
    <n v="100000"/>
    <d v="2026-10-01T00:00:00"/>
    <s v="BJ US-SUN-CookieVermontster-8 427ML"/>
    <x v="17"/>
    <n v="3.4159999999999998E-3"/>
    <n v="240"/>
    <x v="14"/>
    <x v="21"/>
    <n v="0.9"/>
    <n v="90000"/>
    <n v="307.44"/>
    <n v="375"/>
    <s v="Oct"/>
    <x v="17"/>
    <m/>
    <m/>
  </r>
  <r>
    <n v="64394583"/>
    <x v="1"/>
    <n v="105574.55997165557"/>
    <d v="2026-11-01T00:00:00"/>
    <s v="BJ US-SUN-CookieVermontster-8 427ML"/>
    <x v="17"/>
    <n v="3.4159999999999998E-3"/>
    <n v="240"/>
    <x v="14"/>
    <x v="21"/>
    <n v="0.9"/>
    <n v="95017.103974490019"/>
    <n v="324.57842717685787"/>
    <n v="395.90459989370839"/>
    <s v="Nov"/>
    <x v="18"/>
    <m/>
    <m/>
  </r>
  <r>
    <n v="64394583"/>
    <x v="1"/>
    <n v="100000"/>
    <d v="2026-12-01T00:00:00"/>
    <s v="BJ US-SUN-CookieVermontster-8 427ML"/>
    <x v="17"/>
    <n v="3.4159999999999998E-3"/>
    <n v="240"/>
    <x v="14"/>
    <x v="21"/>
    <n v="0.9"/>
    <n v="90000"/>
    <n v="307.44"/>
    <n v="375"/>
    <s v="Dec"/>
    <x v="19"/>
    <m/>
    <m/>
  </r>
  <r>
    <n v="64898310"/>
    <x v="1"/>
    <n v="48544.875282641784"/>
    <d v="2026-06-01T00:00:00"/>
    <s v="BR Vanilla 8 1PT"/>
    <x v="17"/>
    <n v="3.7839999999999996E-3"/>
    <n v="240"/>
    <x v="9"/>
    <x v="14"/>
    <n v="0.9"/>
    <n v="43690.387754377603"/>
    <n v="165.32442726256483"/>
    <n v="182.04328230990669"/>
    <s v="Jun"/>
    <x v="13"/>
    <m/>
    <m/>
  </r>
  <r>
    <n v="64898310"/>
    <x v="1"/>
    <n v="53938.750314046425"/>
    <d v="2026-07-01T00:00:00"/>
    <s v="BR Vanilla 8 1PT"/>
    <x v="17"/>
    <n v="3.7839999999999996E-3"/>
    <n v="240"/>
    <x v="9"/>
    <x v="14"/>
    <n v="0.9"/>
    <n v="48544.875282641784"/>
    <n v="183.69380806951648"/>
    <n v="202.2703136776741"/>
    <s v="Jul"/>
    <x v="14"/>
    <m/>
    <m/>
  </r>
  <r>
    <n v="64898310"/>
    <x v="1"/>
    <n v="59332.625345451066"/>
    <d v="2026-08-01T00:00:00"/>
    <s v="BR Vanilla 8 1PT"/>
    <x v="17"/>
    <n v="3.7839999999999996E-3"/>
    <n v="240"/>
    <x v="9"/>
    <x v="14"/>
    <n v="0.9"/>
    <n v="53399.362810905957"/>
    <n v="202.06318887646813"/>
    <n v="222.49734504544148"/>
    <s v="Aug"/>
    <x v="15"/>
    <m/>
    <m/>
  </r>
  <r>
    <n v="64898310"/>
    <x v="1"/>
    <n v="51241.812798344101"/>
    <d v="2026-09-01T00:00:00"/>
    <s v="BR Vanilla 8 1PT"/>
    <x v="17"/>
    <n v="3.7839999999999996E-3"/>
    <n v="240"/>
    <x v="9"/>
    <x v="14"/>
    <n v="0.9"/>
    <n v="46117.63151850969"/>
    <n v="174.50911766604065"/>
    <n v="192.15679799379038"/>
    <s v="Sep"/>
    <x v="16"/>
    <m/>
    <m/>
  </r>
  <r>
    <n v="64898310"/>
    <x v="1"/>
    <n v="50000"/>
    <d v="2026-10-01T00:00:00"/>
    <s v="BR Vanilla 8 1PT"/>
    <x v="17"/>
    <n v="3.7839999999999996E-3"/>
    <n v="240"/>
    <x v="9"/>
    <x v="14"/>
    <n v="0.9"/>
    <n v="45000"/>
    <n v="170.27999999999997"/>
    <n v="187.5"/>
    <s v="Oct"/>
    <x v="17"/>
    <m/>
    <m/>
  </r>
  <r>
    <n v="64898310"/>
    <x v="1"/>
    <n v="48544.875282641784"/>
    <d v="2026-11-01T00:00:00"/>
    <s v="BR Vanilla 8 1PT"/>
    <x v="17"/>
    <n v="3.7839999999999996E-3"/>
    <n v="240"/>
    <x v="9"/>
    <x v="14"/>
    <n v="0.9"/>
    <n v="43690.387754377603"/>
    <n v="165.32442726256483"/>
    <n v="182.04328230990669"/>
    <s v="Nov"/>
    <x v="18"/>
    <m/>
    <m/>
  </r>
  <r>
    <n v="64898310"/>
    <x v="1"/>
    <n v="25000"/>
    <d v="2026-12-01T00:00:00"/>
    <s v="BR Vanilla 8 1PT"/>
    <x v="17"/>
    <n v="3.7839999999999996E-3"/>
    <n v="240"/>
    <x v="9"/>
    <x v="14"/>
    <n v="0.9"/>
    <n v="22500"/>
    <n v="85.139999999999986"/>
    <n v="93.75"/>
    <s v="Dec"/>
    <x v="19"/>
    <m/>
    <m/>
  </r>
  <r>
    <n v="68649095"/>
    <x v="1"/>
    <n v="161067.76474570262"/>
    <d v="2026-06-01T00:00:00"/>
    <s v="BJ US-TOP-DirtCake-8 450ML"/>
    <x v="17"/>
    <n v="3.5999999999999999E-3"/>
    <n v="240"/>
    <x v="8"/>
    <x v="9"/>
    <n v="0.9"/>
    <n v="144960.98827113237"/>
    <n v="521.85955777607649"/>
    <n v="604.00411779638489"/>
    <s v="Jun"/>
    <x v="13"/>
    <m/>
    <m/>
  </r>
  <r>
    <n v="68649095"/>
    <x v="1"/>
    <n v="178964.18305078067"/>
    <d v="2026-07-01T00:00:00"/>
    <s v="BJ US-TOP-DirtCake-8 450ML"/>
    <x v="17"/>
    <n v="3.5999999999999999E-3"/>
    <n v="240"/>
    <x v="8"/>
    <x v="9"/>
    <n v="0.9"/>
    <n v="161067.76474570262"/>
    <n v="579.8439530845294"/>
    <n v="671.11568644042757"/>
    <s v="Jul"/>
    <x v="14"/>
    <m/>
    <m/>
  </r>
  <r>
    <n v="68649095"/>
    <x v="1"/>
    <n v="196860.60135585876"/>
    <d v="2026-08-01T00:00:00"/>
    <s v="BJ US-TOP-DirtCake-8 450ML"/>
    <x v="17"/>
    <n v="3.5999999999999999E-3"/>
    <n v="240"/>
    <x v="8"/>
    <x v="9"/>
    <n v="0.9"/>
    <n v="177174.54122027289"/>
    <n v="637.82834839298243"/>
    <n v="738.22725508447036"/>
    <s v="Aug"/>
    <x v="15"/>
    <m/>
    <m/>
  </r>
  <r>
    <n v="68649095"/>
    <x v="1"/>
    <n v="170015.97389824165"/>
    <d v="2026-09-01T00:00:00"/>
    <s v="BJ US-TOP-DirtCake-8 450ML"/>
    <x v="17"/>
    <n v="3.5999999999999999E-3"/>
    <n v="240"/>
    <x v="8"/>
    <x v="9"/>
    <n v="0.9"/>
    <n v="153014.37650841748"/>
    <n v="550.85175543030289"/>
    <n v="637.55990211840617"/>
    <s v="Sep"/>
    <x v="16"/>
    <m/>
    <m/>
  </r>
  <r>
    <n v="68649095"/>
    <x v="1"/>
    <n v="160000"/>
    <d v="2026-10-01T00:00:00"/>
    <s v="BJ US-TOP-DirtCake-8 450ML"/>
    <x v="17"/>
    <n v="3.5999999999999999E-3"/>
    <n v="240"/>
    <x v="8"/>
    <x v="9"/>
    <n v="0.9"/>
    <n v="144000"/>
    <n v="518.4"/>
    <n v="600"/>
    <s v="Oct"/>
    <x v="17"/>
    <m/>
    <m/>
  </r>
  <r>
    <n v="68649095"/>
    <x v="1"/>
    <n v="161067.76474570262"/>
    <d v="2026-11-01T00:00:00"/>
    <s v="BJ US-TOP-DirtCake-8 450ML"/>
    <x v="17"/>
    <n v="3.5999999999999999E-3"/>
    <n v="240"/>
    <x v="8"/>
    <x v="9"/>
    <n v="0.9"/>
    <n v="144960.98827113237"/>
    <n v="521.85955777607649"/>
    <n v="604.00411779638489"/>
    <s v="Nov"/>
    <x v="18"/>
    <m/>
    <m/>
  </r>
  <r>
    <n v="68649095"/>
    <x v="1"/>
    <n v="160000"/>
    <d v="2026-12-01T00:00:00"/>
    <s v="BJ US-TOP-DirtCake-8 450ML"/>
    <x v="17"/>
    <n v="3.5999999999999999E-3"/>
    <n v="240"/>
    <x v="8"/>
    <x v="9"/>
    <n v="0.9"/>
    <n v="144000"/>
    <n v="518.4"/>
    <n v="600"/>
    <s v="Dec"/>
    <x v="19"/>
    <m/>
    <m/>
  </r>
  <r>
    <n v="69725082"/>
    <x v="0"/>
    <n v="91200"/>
    <d v="2026-06-04T00:00:00"/>
    <s v="PS OCG 6-18PK"/>
    <x v="32"/>
    <n v="5.2680000000000001E-3"/>
    <n v="130"/>
    <x v="6"/>
    <x v="15"/>
    <n v="1"/>
    <n v="91200"/>
    <n v="480.44159999999999"/>
    <n v="701.53846153846155"/>
    <s v="Jun"/>
    <x v="13"/>
    <m/>
    <m/>
  </r>
  <r>
    <n v="69725082"/>
    <x v="0"/>
    <n v="104880"/>
    <d v="2026-07-04T00:00:00"/>
    <s v="PS OCG 6-18PK"/>
    <x v="32"/>
    <n v="5.2680000000000001E-3"/>
    <n v="130"/>
    <x v="6"/>
    <x v="15"/>
    <n v="1"/>
    <n v="104880"/>
    <n v="552.50783999999999"/>
    <n v="806.76923076923072"/>
    <s v="Jul"/>
    <x v="14"/>
    <m/>
    <m/>
  </r>
  <r>
    <n v="69725082"/>
    <x v="0"/>
    <n v="100320"/>
    <d v="2026-08-03T00:00:00"/>
    <s v="PS OCG 6-18PK"/>
    <x v="32"/>
    <n v="5.2680000000000001E-3"/>
    <n v="130"/>
    <x v="6"/>
    <x v="15"/>
    <n v="1"/>
    <n v="100320"/>
    <n v="528.48576000000003"/>
    <n v="771.69230769230774"/>
    <s v="Aug"/>
    <x v="22"/>
    <m/>
    <m/>
  </r>
  <r>
    <n v="69725082"/>
    <x v="0"/>
    <n v="95760"/>
    <d v="2026-09-02T00:00:00"/>
    <s v="PS OCG 6-18PK"/>
    <x v="32"/>
    <n v="5.2680000000000001E-3"/>
    <n v="130"/>
    <x v="6"/>
    <x v="15"/>
    <n v="1"/>
    <n v="95760"/>
    <n v="504.46368000000001"/>
    <n v="736.61538461538464"/>
    <s v="Sep"/>
    <x v="16"/>
    <m/>
    <m/>
  </r>
  <r>
    <n v="69725082"/>
    <x v="0"/>
    <n v="104880"/>
    <d v="2026-10-02T00:00:00"/>
    <s v="PS OCG 6-18PK"/>
    <x v="32"/>
    <n v="5.2680000000000001E-3"/>
    <n v="130"/>
    <x v="6"/>
    <x v="15"/>
    <n v="1"/>
    <n v="104880"/>
    <n v="552.50783999999999"/>
    <n v="806.76923076923072"/>
    <s v="Oct"/>
    <x v="17"/>
    <m/>
    <m/>
  </r>
  <r>
    <n v="69725082"/>
    <x v="0"/>
    <n v="95760"/>
    <d v="2026-11-01T00:00:00"/>
    <s v="PS OCG 6-18PK"/>
    <x v="32"/>
    <n v="5.2680000000000001E-3"/>
    <n v="130"/>
    <x v="6"/>
    <x v="15"/>
    <n v="1"/>
    <n v="95760"/>
    <n v="504.46368000000001"/>
    <n v="736.61538461538464"/>
    <s v="Nov"/>
    <x v="18"/>
    <m/>
    <m/>
  </r>
  <r>
    <n v="69725082"/>
    <x v="0"/>
    <m/>
    <d v="2026-12-01T00:00:00"/>
    <s v="PS OCG 6-18PK"/>
    <x v="32"/>
    <n v="5.2680000000000001E-3"/>
    <n v="130"/>
    <x v="6"/>
    <x v="15"/>
    <n v="1"/>
    <n v="0"/>
    <n v="0"/>
    <n v="0"/>
    <s v="Dec"/>
    <x v="19"/>
    <m/>
    <m/>
  </r>
  <r>
    <n v="64776954"/>
    <x v="0"/>
    <n v="0"/>
    <d v="2026-06-04T00:00:00"/>
    <s v="PS Scribblers Natural 6-18PK"/>
    <x v="29"/>
    <n v="3.8340000000000002E-3"/>
    <n v="130"/>
    <x v="6"/>
    <x v="15"/>
    <n v="1"/>
    <n v="0"/>
    <n v="0"/>
    <n v="0"/>
    <s v="Jun"/>
    <x v="13"/>
    <m/>
    <m/>
  </r>
  <r>
    <n v="64776954"/>
    <x v="0"/>
    <n v="76475"/>
    <d v="2026-07-04T00:00:00"/>
    <s v="PS Scribblers Natural 6-18PK"/>
    <x v="29"/>
    <n v="3.8340000000000002E-3"/>
    <n v="130"/>
    <x v="6"/>
    <x v="15"/>
    <n v="1"/>
    <n v="76475"/>
    <n v="293.20515"/>
    <n v="588.26923076923072"/>
    <s v="Jul"/>
    <x v="14"/>
    <m/>
    <m/>
  </r>
  <r>
    <n v="64776954"/>
    <x v="0"/>
    <n v="73150"/>
    <d v="2026-08-03T00:00:00"/>
    <s v="PS Scribblers Natural 6-18PK"/>
    <x v="29"/>
    <n v="3.8340000000000002E-3"/>
    <n v="130"/>
    <x v="6"/>
    <x v="15"/>
    <n v="1"/>
    <n v="73150"/>
    <n v="280.45710000000003"/>
    <n v="562.69230769230774"/>
    <s v="Aug"/>
    <x v="22"/>
    <m/>
    <m/>
  </r>
  <r>
    <n v="64776954"/>
    <x v="0"/>
    <n v="69825"/>
    <d v="2026-09-02T00:00:00"/>
    <s v="PS Scribblers Natural 6-18PK"/>
    <x v="29"/>
    <n v="3.8340000000000002E-3"/>
    <n v="130"/>
    <x v="6"/>
    <x v="15"/>
    <n v="1"/>
    <n v="69825"/>
    <n v="267.70904999999999"/>
    <n v="537.11538461538464"/>
    <s v="Sep"/>
    <x v="16"/>
    <m/>
    <m/>
  </r>
  <r>
    <n v="64776954"/>
    <x v="0"/>
    <n v="76475"/>
    <d v="2026-10-02T00:00:00"/>
    <s v="PS Scribblers Natural 6-18PK"/>
    <x v="29"/>
    <n v="3.8340000000000002E-3"/>
    <n v="130"/>
    <x v="6"/>
    <x v="15"/>
    <n v="1"/>
    <n v="76475"/>
    <n v="293.20515"/>
    <n v="588.26923076923072"/>
    <s v="Oct"/>
    <x v="17"/>
    <m/>
    <m/>
  </r>
  <r>
    <n v="64776954"/>
    <x v="0"/>
    <m/>
    <d v="2026-11-01T00:00:00"/>
    <s v="PS Scribblers Natural 6-18PK"/>
    <x v="29"/>
    <n v="3.8340000000000002E-3"/>
    <n v="130"/>
    <x v="6"/>
    <x v="15"/>
    <n v="1"/>
    <n v="0"/>
    <n v="0"/>
    <n v="0"/>
    <s v="Nov"/>
    <x v="18"/>
    <m/>
    <m/>
  </r>
  <r>
    <n v="64776954"/>
    <x v="0"/>
    <n v="0"/>
    <d v="2026-12-01T00:00:00"/>
    <s v="PS Scribblers Natural 6-18PK"/>
    <x v="29"/>
    <n v="3.8340000000000002E-3"/>
    <n v="130"/>
    <x v="6"/>
    <x v="15"/>
    <n v="1"/>
    <n v="0"/>
    <n v="0"/>
    <n v="0"/>
    <s v="Dec"/>
    <x v="19"/>
    <m/>
    <m/>
  </r>
  <r>
    <n v="69725082"/>
    <x v="0"/>
    <n v="76000"/>
    <d v="2026-06-04T00:00:00"/>
    <s v="PS OCG 6-18PK"/>
    <x v="27"/>
    <n v="5.2680000000000001E-3"/>
    <n v="130"/>
    <x v="6"/>
    <x v="15"/>
    <n v="1"/>
    <n v="76000"/>
    <n v="400.36799999999999"/>
    <n v="584.61538461538464"/>
    <s v="Jun"/>
    <x v="13"/>
    <m/>
    <m/>
  </r>
  <r>
    <n v="69725082"/>
    <x v="0"/>
    <n v="87400"/>
    <d v="2026-07-04T00:00:00"/>
    <s v="PS OCG 6-18PK"/>
    <x v="27"/>
    <n v="5.2680000000000001E-3"/>
    <n v="130"/>
    <x v="6"/>
    <x v="15"/>
    <n v="1"/>
    <n v="87400"/>
    <n v="460.42320000000001"/>
    <n v="672.30769230769226"/>
    <s v="Jul"/>
    <x v="14"/>
    <m/>
    <m/>
  </r>
  <r>
    <n v="69725082"/>
    <x v="0"/>
    <n v="83600"/>
    <d v="2026-08-03T00:00:00"/>
    <s v="PS OCG 6-18PK"/>
    <x v="27"/>
    <n v="5.2680000000000001E-3"/>
    <n v="130"/>
    <x v="6"/>
    <x v="15"/>
    <n v="1"/>
    <n v="83600"/>
    <n v="440.40480000000002"/>
    <n v="643.07692307692309"/>
    <s v="Aug"/>
    <x v="22"/>
    <m/>
    <m/>
  </r>
  <r>
    <n v="69725082"/>
    <x v="0"/>
    <n v="79800"/>
    <d v="2026-09-02T00:00:00"/>
    <s v="PS OCG 6-18PK"/>
    <x v="27"/>
    <n v="5.2680000000000001E-3"/>
    <n v="130"/>
    <x v="6"/>
    <x v="15"/>
    <n v="1"/>
    <n v="79800"/>
    <n v="420.38640000000004"/>
    <n v="613.84615384615381"/>
    <s v="Sep"/>
    <x v="16"/>
    <m/>
    <m/>
  </r>
  <r>
    <n v="69725082"/>
    <x v="0"/>
    <n v="87400"/>
    <d v="2026-10-02T00:00:00"/>
    <s v="PS OCG 6-18PK"/>
    <x v="27"/>
    <n v="5.2680000000000001E-3"/>
    <n v="130"/>
    <x v="6"/>
    <x v="15"/>
    <n v="1"/>
    <n v="87400"/>
    <n v="460.42320000000001"/>
    <n v="672.30769230769226"/>
    <s v="Oct"/>
    <x v="17"/>
    <m/>
    <m/>
  </r>
  <r>
    <n v="69725082"/>
    <x v="0"/>
    <m/>
    <d v="2026-11-01T00:00:00"/>
    <s v="PS OCG 6-18PK"/>
    <x v="27"/>
    <n v="5.2680000000000001E-3"/>
    <n v="130"/>
    <x v="6"/>
    <x v="15"/>
    <n v="1"/>
    <n v="0"/>
    <n v="0"/>
    <n v="0"/>
    <s v="Nov"/>
    <x v="18"/>
    <m/>
    <m/>
  </r>
  <r>
    <n v="69725082"/>
    <x v="0"/>
    <n v="0"/>
    <d v="2026-12-01T00:00:00"/>
    <s v="PS OCG 6-18PK"/>
    <x v="27"/>
    <n v="5.2680000000000001E-3"/>
    <n v="130"/>
    <x v="6"/>
    <x v="15"/>
    <n v="1"/>
    <n v="0"/>
    <n v="0"/>
    <n v="0"/>
    <s v="Dec"/>
    <x v="19"/>
    <m/>
    <m/>
  </r>
  <r>
    <n v="69629468"/>
    <x v="1"/>
    <n v="66500"/>
    <d v="2026-06-04T00:00:00"/>
    <s v="PS Fudgesicle NSA 6-18PK"/>
    <x v="14"/>
    <n v="5.2680000000000001E-3"/>
    <n v="130"/>
    <x v="6"/>
    <x v="7"/>
    <n v="1"/>
    <n v="66500"/>
    <n v="350.322"/>
    <n v="511.53846153846155"/>
    <s v="Jun"/>
    <x v="13"/>
    <m/>
    <m/>
  </r>
  <r>
    <n v="69629468"/>
    <x v="1"/>
    <n v="76475"/>
    <d v="2026-07-04T00:00:00"/>
    <s v="PS Fudgesicle NSA 6-18PK"/>
    <x v="14"/>
    <n v="5.2680000000000001E-3"/>
    <n v="130"/>
    <x v="6"/>
    <x v="7"/>
    <n v="1"/>
    <n v="76475"/>
    <n v="402.87029999999999"/>
    <n v="588.26923076923072"/>
    <s v="Jul"/>
    <x v="14"/>
    <m/>
    <m/>
  </r>
  <r>
    <n v="69629468"/>
    <x v="1"/>
    <n v="73150"/>
    <d v="2026-08-03T00:00:00"/>
    <s v="PS Fudgesicle NSA 6-18PK"/>
    <x v="14"/>
    <n v="5.2680000000000001E-3"/>
    <n v="130"/>
    <x v="6"/>
    <x v="7"/>
    <n v="1"/>
    <n v="73150"/>
    <n v="385.35419999999999"/>
    <n v="562.69230769230774"/>
    <s v="Aug"/>
    <x v="22"/>
    <m/>
    <m/>
  </r>
  <r>
    <n v="69629468"/>
    <x v="1"/>
    <n v="69825"/>
    <d v="2026-09-02T00:00:00"/>
    <s v="PS Fudgesicle NSA 6-18PK"/>
    <x v="14"/>
    <n v="5.2680000000000001E-3"/>
    <n v="130"/>
    <x v="6"/>
    <x v="7"/>
    <n v="1"/>
    <n v="69825"/>
    <n v="367.8381"/>
    <n v="537.11538461538464"/>
    <s v="Sep"/>
    <x v="16"/>
    <m/>
    <m/>
  </r>
  <r>
    <n v="69629468"/>
    <x v="1"/>
    <n v="76475"/>
    <d v="2026-10-02T00:00:00"/>
    <s v="PS Fudgesicle NSA 6-18PK"/>
    <x v="14"/>
    <n v="5.2680000000000001E-3"/>
    <n v="130"/>
    <x v="6"/>
    <x v="7"/>
    <n v="1"/>
    <n v="76475"/>
    <n v="402.87029999999999"/>
    <n v="588.26923076923072"/>
    <s v="Oct"/>
    <x v="17"/>
    <m/>
    <m/>
  </r>
  <r>
    <n v="69629468"/>
    <x v="1"/>
    <n v="69825"/>
    <d v="2026-11-01T00:00:00"/>
    <s v="PS Fudgesicle NSA 6-18PK"/>
    <x v="14"/>
    <n v="5.2680000000000001E-3"/>
    <n v="130"/>
    <x v="6"/>
    <x v="7"/>
    <n v="1"/>
    <n v="69825"/>
    <n v="367.8381"/>
    <n v="537.11538461538464"/>
    <s v="Nov"/>
    <x v="18"/>
    <m/>
    <m/>
  </r>
  <r>
    <n v="69629468"/>
    <x v="1"/>
    <n v="0"/>
    <d v="2026-12-01T00:00:00"/>
    <s v="PS Fudgesicle NSA 6-18PK"/>
    <x v="14"/>
    <n v="5.2680000000000001E-3"/>
    <n v="130"/>
    <x v="6"/>
    <x v="7"/>
    <n v="1"/>
    <n v="0"/>
    <n v="0"/>
    <n v="0"/>
    <s v="Dec"/>
    <x v="19"/>
    <m/>
    <m/>
  </r>
  <r>
    <n v="69629468"/>
    <x v="0"/>
    <n v="70300"/>
    <d v="2026-06-04T00:00:00"/>
    <s v="PS Fudgesicle NSA 6-18PK"/>
    <x v="28"/>
    <n v="5.2680000000000001E-3"/>
    <n v="130"/>
    <x v="6"/>
    <x v="15"/>
    <n v="1"/>
    <n v="70300"/>
    <n v="370.34039999999999"/>
    <n v="540.76923076923072"/>
    <s v="Jun"/>
    <x v="13"/>
    <m/>
    <m/>
  </r>
  <r>
    <n v="69629468"/>
    <x v="0"/>
    <n v="80845"/>
    <d v="2026-07-04T00:00:00"/>
    <s v="PS Fudgesicle NSA 6-18PK"/>
    <x v="28"/>
    <n v="5.2680000000000001E-3"/>
    <n v="130"/>
    <x v="6"/>
    <x v="15"/>
    <n v="1"/>
    <n v="80845"/>
    <n v="425.89146"/>
    <n v="621.88461538461536"/>
    <s v="Jul"/>
    <x v="14"/>
    <m/>
    <m/>
  </r>
  <r>
    <n v="69629468"/>
    <x v="0"/>
    <n v="77330"/>
    <d v="2026-08-03T00:00:00"/>
    <s v="PS Fudgesicle NSA 6-18PK"/>
    <x v="28"/>
    <n v="5.2680000000000001E-3"/>
    <n v="130"/>
    <x v="6"/>
    <x v="15"/>
    <n v="1"/>
    <n v="77330"/>
    <n v="407.37443999999999"/>
    <n v="594.84615384615381"/>
    <s v="Aug"/>
    <x v="22"/>
    <m/>
    <m/>
  </r>
  <r>
    <n v="69629468"/>
    <x v="0"/>
    <n v="73815"/>
    <d v="2026-09-02T00:00:00"/>
    <s v="PS Fudgesicle NSA 6-18PK"/>
    <x v="28"/>
    <n v="5.2680000000000001E-3"/>
    <n v="130"/>
    <x v="6"/>
    <x v="15"/>
    <n v="1"/>
    <n v="73815"/>
    <n v="388.85741999999999"/>
    <n v="567.80769230769226"/>
    <s v="Sep"/>
    <x v="16"/>
    <m/>
    <m/>
  </r>
  <r>
    <n v="69629468"/>
    <x v="0"/>
    <n v="80845"/>
    <d v="2026-10-02T00:00:00"/>
    <s v="PS Fudgesicle NSA 6-18PK"/>
    <x v="28"/>
    <n v="5.2680000000000001E-3"/>
    <n v="130"/>
    <x v="6"/>
    <x v="15"/>
    <n v="1"/>
    <n v="80845"/>
    <n v="425.89146"/>
    <n v="621.88461538461536"/>
    <s v="Oct"/>
    <x v="17"/>
    <m/>
    <m/>
  </r>
  <r>
    <n v="69629468"/>
    <x v="0"/>
    <n v="73815"/>
    <d v="2026-11-01T00:00:00"/>
    <s v="PS Fudgesicle NSA 6-18PK"/>
    <x v="28"/>
    <n v="5.2680000000000001E-3"/>
    <n v="130"/>
    <x v="6"/>
    <x v="15"/>
    <n v="1"/>
    <n v="73815"/>
    <n v="388.85741999999999"/>
    <n v="567.80769230769226"/>
    <s v="Nov"/>
    <x v="18"/>
    <m/>
    <m/>
  </r>
  <r>
    <n v="69629468"/>
    <x v="0"/>
    <n v="0"/>
    <d v="2026-12-01T00:00:00"/>
    <s v="PS Fudgesicle NSA 6-18PK"/>
    <x v="28"/>
    <n v="5.2680000000000001E-3"/>
    <n v="130"/>
    <x v="6"/>
    <x v="15"/>
    <n v="1"/>
    <n v="0"/>
    <n v="0"/>
    <n v="0"/>
    <s v="Dec"/>
    <x v="19"/>
    <m/>
    <m/>
  </r>
  <r>
    <n v="64341106"/>
    <x v="1"/>
    <n v="106400"/>
    <d v="2026-06-04T00:00:00"/>
    <s v="PS Jolly Rancher Pop 6-18PK"/>
    <x v="16"/>
    <n v="5.2680000000000001E-3"/>
    <n v="130"/>
    <x v="6"/>
    <x v="7"/>
    <n v="1"/>
    <n v="106400"/>
    <n v="560.51520000000005"/>
    <n v="818.46153846153845"/>
    <s v="Jun"/>
    <x v="13"/>
    <m/>
    <m/>
  </r>
  <r>
    <n v="64341106"/>
    <x v="1"/>
    <n v="110200"/>
    <d v="2026-07-04T00:00:00"/>
    <s v="PS Jolly Rancher Pop 6-18PK"/>
    <x v="16"/>
    <n v="5.2680000000000001E-3"/>
    <n v="130"/>
    <x v="6"/>
    <x v="7"/>
    <n v="1"/>
    <n v="110200"/>
    <n v="580.53359999999998"/>
    <n v="847.69230769230774"/>
    <s v="Jul"/>
    <x v="14"/>
    <m/>
    <m/>
  </r>
  <r>
    <n v="64341106"/>
    <x v="1"/>
    <n v="117800"/>
    <d v="2026-08-03T00:00:00"/>
    <s v="PS Jolly Rancher Pop 6-18PK"/>
    <x v="16"/>
    <n v="5.2680000000000001E-3"/>
    <n v="130"/>
    <x v="6"/>
    <x v="7"/>
    <n v="1"/>
    <n v="117800"/>
    <n v="620.57040000000006"/>
    <n v="906.15384615384619"/>
    <s v="Aug"/>
    <x v="22"/>
    <m/>
    <m/>
  </r>
  <r>
    <n v="64341106"/>
    <x v="1"/>
    <n v="106400"/>
    <d v="2026-09-02T00:00:00"/>
    <s v="PS Jolly Rancher Pop 6-18PK"/>
    <x v="16"/>
    <n v="5.2680000000000001E-3"/>
    <n v="130"/>
    <x v="6"/>
    <x v="7"/>
    <n v="1"/>
    <n v="106400"/>
    <n v="560.51520000000005"/>
    <n v="818.46153846153845"/>
    <s v="Sep"/>
    <x v="16"/>
    <m/>
    <m/>
  </r>
  <r>
    <n v="64341106"/>
    <x v="1"/>
    <n v="110200"/>
    <d v="2026-10-02T00:00:00"/>
    <s v="PS Jolly Rancher Pop 6-18PK"/>
    <x v="16"/>
    <n v="5.2680000000000001E-3"/>
    <n v="130"/>
    <x v="6"/>
    <x v="7"/>
    <n v="1"/>
    <n v="110200"/>
    <n v="580.53359999999998"/>
    <n v="847.69230769230774"/>
    <s v="Oct"/>
    <x v="17"/>
    <m/>
    <m/>
  </r>
  <r>
    <n v="64341106"/>
    <x v="1"/>
    <m/>
    <d v="2026-11-01T00:00:00"/>
    <s v="PS Jolly Rancher Pop 6-18PK"/>
    <x v="16"/>
    <n v="5.2680000000000001E-3"/>
    <n v="130"/>
    <x v="6"/>
    <x v="7"/>
    <n v="1"/>
    <n v="0"/>
    <n v="0"/>
    <n v="0"/>
    <s v="Nov"/>
    <x v="18"/>
    <m/>
    <m/>
  </r>
  <r>
    <n v="64341106"/>
    <x v="1"/>
    <n v="0"/>
    <d v="2026-12-01T00:00:00"/>
    <s v="PS Jolly Rancher Pop 6-18PK"/>
    <x v="16"/>
    <n v="5.2680000000000001E-3"/>
    <n v="130"/>
    <x v="6"/>
    <x v="7"/>
    <n v="1"/>
    <n v="0"/>
    <n v="0"/>
    <n v="0"/>
    <s v="Dec"/>
    <x v="19"/>
    <m/>
    <m/>
  </r>
  <r>
    <n v="69983234"/>
    <x v="1"/>
    <n v="80750"/>
    <d v="2026-06-04T00:00:00"/>
    <s v="GH Creamsicle Bar 100 CAL 8-6PK"/>
    <x v="59"/>
    <n v="3.9039999999999999E-3"/>
    <n v="154"/>
    <x v="7"/>
    <x v="10"/>
    <n v="1"/>
    <n v="80750"/>
    <n v="315.24799999999999"/>
    <n v="524.35064935064941"/>
    <s v="Jun"/>
    <x v="13"/>
    <m/>
    <m/>
  </r>
  <r>
    <n v="69983234"/>
    <x v="1"/>
    <n v="92862.5"/>
    <d v="2026-07-04T00:00:00"/>
    <s v="GH Creamsicle Bar 100 CAL 8-6PK"/>
    <x v="59"/>
    <n v="3.9039999999999999E-3"/>
    <n v="154"/>
    <x v="7"/>
    <x v="10"/>
    <n v="1"/>
    <n v="92862.5"/>
    <n v="362.53519999999997"/>
    <n v="603.0032467532468"/>
    <s v="Jul"/>
    <x v="14"/>
    <m/>
    <m/>
  </r>
  <r>
    <n v="69983234"/>
    <x v="1"/>
    <n v="88825"/>
    <d v="2026-08-03T00:00:00"/>
    <s v="GH Creamsicle Bar 100 CAL 8-6PK"/>
    <x v="59"/>
    <n v="3.9039999999999999E-3"/>
    <n v="154"/>
    <x v="7"/>
    <x v="10"/>
    <n v="1"/>
    <n v="88825"/>
    <n v="346.77280000000002"/>
    <n v="576.78571428571433"/>
    <s v="Aug"/>
    <x v="22"/>
    <m/>
    <m/>
  </r>
  <r>
    <n v="69983234"/>
    <x v="1"/>
    <n v="84787.5"/>
    <d v="2026-09-02T00:00:00"/>
    <s v="GH Creamsicle Bar 100 CAL 8-6PK"/>
    <x v="59"/>
    <n v="3.9039999999999999E-3"/>
    <n v="154"/>
    <x v="7"/>
    <x v="10"/>
    <n v="1"/>
    <n v="84787.5"/>
    <n v="331.0104"/>
    <n v="550.56818181818187"/>
    <s v="Sep"/>
    <x v="16"/>
    <m/>
    <m/>
  </r>
  <r>
    <n v="69983234"/>
    <x v="1"/>
    <n v="84787.5"/>
    <d v="2026-10-02T00:00:00"/>
    <s v="GH Creamsicle Bar 100 CAL 8-6PK"/>
    <x v="59"/>
    <n v="3.9039999999999999E-3"/>
    <n v="154"/>
    <x v="7"/>
    <x v="10"/>
    <n v="1"/>
    <n v="84787.5"/>
    <n v="331.0104"/>
    <n v="550.56818181818187"/>
    <s v="Oct"/>
    <x v="17"/>
    <m/>
    <m/>
  </r>
  <r>
    <n v="69983234"/>
    <x v="1"/>
    <m/>
    <d v="2026-11-01T00:00:00"/>
    <s v="GH Creamsicle Bar 100 CAL 8-6PK"/>
    <x v="59"/>
    <n v="3.9039999999999999E-3"/>
    <n v="154"/>
    <x v="7"/>
    <x v="10"/>
    <n v="1"/>
    <n v="0"/>
    <n v="0"/>
    <n v="0"/>
    <s v="Nov"/>
    <x v="18"/>
    <m/>
    <m/>
  </r>
  <r>
    <n v="69983234"/>
    <x v="1"/>
    <m/>
    <d v="2026-12-01T00:00:00"/>
    <s v="GH Creamsicle Bar 100 CAL 8-6PK"/>
    <x v="59"/>
    <n v="3.9039999999999999E-3"/>
    <n v="154"/>
    <x v="7"/>
    <x v="10"/>
    <n v="1"/>
    <n v="0"/>
    <n v="0"/>
    <n v="0"/>
    <s v="Dec"/>
    <x v="19"/>
    <m/>
    <m/>
  </r>
  <r>
    <n v="68741714"/>
    <x v="0"/>
    <n v="123500"/>
    <d v="2026-06-04T00:00:00"/>
    <s v="GH Strawberry Shortcake 1-24BK"/>
    <x v="60"/>
    <n v="2.8319999999999999E-3"/>
    <n v="225"/>
    <x v="7"/>
    <x v="8"/>
    <n v="1"/>
    <n v="123500"/>
    <n v="349.75200000000001"/>
    <n v="548.88888888888891"/>
    <s v="Jun"/>
    <x v="13"/>
    <m/>
    <m/>
  </r>
  <r>
    <n v="68741714"/>
    <x v="0"/>
    <n v="142025"/>
    <d v="2026-07-04T00:00:00"/>
    <s v="GH Strawberry Shortcake 1-24BK"/>
    <x v="60"/>
    <n v="2.8319999999999999E-3"/>
    <n v="225"/>
    <x v="7"/>
    <x v="8"/>
    <n v="1"/>
    <n v="142025"/>
    <n v="402.21479999999997"/>
    <n v="631.22222222222217"/>
    <s v="Jul"/>
    <x v="14"/>
    <m/>
    <m/>
  </r>
  <r>
    <n v="68741714"/>
    <x v="0"/>
    <n v="135850"/>
    <d v="2026-08-03T00:00:00"/>
    <s v="GH Strawberry Shortcake 1-24BK"/>
    <x v="60"/>
    <n v="2.8319999999999999E-3"/>
    <n v="225"/>
    <x v="7"/>
    <x v="8"/>
    <n v="1"/>
    <n v="135850"/>
    <n v="384.72719999999998"/>
    <n v="603.77777777777783"/>
    <s v="Aug"/>
    <x v="22"/>
    <m/>
    <m/>
  </r>
  <r>
    <n v="68741714"/>
    <x v="0"/>
    <n v="70000"/>
    <d v="2026-09-02T00:00:00"/>
    <s v="GH Strawberry Shortcake 1-24BK"/>
    <x v="60"/>
    <n v="2.8319999999999999E-3"/>
    <n v="225"/>
    <x v="7"/>
    <x v="8"/>
    <n v="1"/>
    <n v="70000"/>
    <n v="198.23999999999998"/>
    <n v="311.11111111111109"/>
    <s v="Sep"/>
    <x v="16"/>
    <m/>
    <m/>
  </r>
  <r>
    <n v="68741714"/>
    <x v="0"/>
    <n v="70000"/>
    <d v="2026-10-02T00:00:00"/>
    <s v="GH Strawberry Shortcake 1-24BK"/>
    <x v="60"/>
    <n v="2.8319999999999999E-3"/>
    <n v="225"/>
    <x v="7"/>
    <x v="8"/>
    <n v="1"/>
    <n v="70000"/>
    <n v="198.23999999999998"/>
    <n v="311.11111111111109"/>
    <s v="Oct"/>
    <x v="17"/>
    <m/>
    <m/>
  </r>
  <r>
    <n v="68741714"/>
    <x v="0"/>
    <m/>
    <d v="2026-11-01T00:00:00"/>
    <s v="GH Strawberry Shortcake 1-24BK"/>
    <x v="60"/>
    <n v="2.8319999999999999E-3"/>
    <n v="225"/>
    <x v="7"/>
    <x v="8"/>
    <n v="1"/>
    <n v="0"/>
    <n v="0"/>
    <n v="0"/>
    <s v="Nov"/>
    <x v="18"/>
    <m/>
    <m/>
  </r>
  <r>
    <n v="68741714"/>
    <x v="0"/>
    <m/>
    <d v="2026-12-01T00:00:00"/>
    <s v="GH Strawberry Shortcake 1-24BK"/>
    <x v="60"/>
    <n v="2.8319999999999999E-3"/>
    <n v="225"/>
    <x v="7"/>
    <x v="8"/>
    <n v="1"/>
    <n v="0"/>
    <n v="0"/>
    <n v="0"/>
    <s v="Dec"/>
    <x v="19"/>
    <m/>
    <m/>
  </r>
  <r>
    <n v="68741742"/>
    <x v="0"/>
    <n v="79800"/>
    <d v="2026-06-04T00:00:00"/>
    <s v="GH Strawberry Shortcake Bar 8-6PK"/>
    <x v="15"/>
    <n v="4.2560000000000002E-3"/>
    <n v="154"/>
    <x v="7"/>
    <x v="8"/>
    <n v="1"/>
    <n v="79800"/>
    <n v="339.62880000000001"/>
    <n v="518.18181818181813"/>
    <s v="Jun"/>
    <x v="13"/>
    <m/>
    <m/>
  </r>
  <r>
    <n v="68741742"/>
    <x v="0"/>
    <n v="91770"/>
    <d v="2026-07-04T00:00:00"/>
    <s v="GH Strawberry Shortcake Bar 8-6PK"/>
    <x v="15"/>
    <n v="4.2560000000000002E-3"/>
    <n v="154"/>
    <x v="7"/>
    <x v="8"/>
    <n v="1"/>
    <n v="91770"/>
    <n v="390.57312000000002"/>
    <n v="595.90909090909088"/>
    <s v="Jul"/>
    <x v="14"/>
    <m/>
    <m/>
  </r>
  <r>
    <n v="68741742"/>
    <x v="0"/>
    <n v="87780"/>
    <d v="2026-08-03T00:00:00"/>
    <s v="GH Strawberry Shortcake Bar 8-6PK"/>
    <x v="15"/>
    <n v="4.2560000000000002E-3"/>
    <n v="154"/>
    <x v="7"/>
    <x v="8"/>
    <n v="1"/>
    <n v="87780"/>
    <n v="373.59168"/>
    <n v="570"/>
    <s v="Aug"/>
    <x v="22"/>
    <m/>
    <m/>
  </r>
  <r>
    <n v="68741742"/>
    <x v="0"/>
    <n v="83790"/>
    <d v="2026-09-02T00:00:00"/>
    <s v="GH Strawberry Shortcake Bar 8-6PK"/>
    <x v="15"/>
    <n v="4.2560000000000002E-3"/>
    <n v="154"/>
    <x v="7"/>
    <x v="8"/>
    <n v="1"/>
    <n v="83790"/>
    <n v="356.61024000000003"/>
    <n v="544.09090909090912"/>
    <s v="Sep"/>
    <x v="16"/>
    <m/>
    <m/>
  </r>
  <r>
    <n v="68741742"/>
    <x v="0"/>
    <n v="91770"/>
    <d v="2026-10-02T00:00:00"/>
    <s v="GH Strawberry Shortcake Bar 8-6PK"/>
    <x v="15"/>
    <n v="4.2560000000000002E-3"/>
    <n v="154"/>
    <x v="7"/>
    <x v="8"/>
    <n v="1"/>
    <n v="91770"/>
    <n v="390.57312000000002"/>
    <n v="595.90909090909088"/>
    <s v="Oct"/>
    <x v="17"/>
    <m/>
    <m/>
  </r>
  <r>
    <n v="68741742"/>
    <x v="0"/>
    <m/>
    <d v="2026-11-01T00:00:00"/>
    <s v="GH Strawberry Shortcake Bar 8-6PK"/>
    <x v="15"/>
    <n v="4.2560000000000002E-3"/>
    <n v="154"/>
    <x v="7"/>
    <x v="8"/>
    <n v="1"/>
    <n v="0"/>
    <n v="0"/>
    <n v="0"/>
    <s v="Nov"/>
    <x v="18"/>
    <m/>
    <m/>
  </r>
  <r>
    <n v="68741742"/>
    <x v="0"/>
    <m/>
    <d v="2026-12-01T00:00:00"/>
    <s v="GH Strawberry Shortcake Bar 8-6PK"/>
    <x v="15"/>
    <n v="4.2560000000000002E-3"/>
    <n v="154"/>
    <x v="7"/>
    <x v="8"/>
    <n v="1"/>
    <n v="0"/>
    <n v="0"/>
    <n v="0"/>
    <s v="Dec"/>
    <x v="19"/>
    <m/>
    <m/>
  </r>
  <r>
    <n v="68741742"/>
    <x v="0"/>
    <n v="59850"/>
    <d v="2026-06-04T00:00:00"/>
    <s v="GH Strawberry Shortcake Bar 8-6PK"/>
    <x v="61"/>
    <n v="4.2560000000000002E-3"/>
    <n v="154"/>
    <x v="7"/>
    <x v="8"/>
    <n v="1"/>
    <n v="59850"/>
    <n v="254.72160000000002"/>
    <n v="388.63636363636363"/>
    <s v="Jun"/>
    <x v="13"/>
    <m/>
    <m/>
  </r>
  <r>
    <n v="68689251"/>
    <x v="0"/>
    <n v="143640"/>
    <d v="2026-06-04T00:00:00"/>
    <s v="KL Original Vanilla Bar 12-6PK"/>
    <x v="2"/>
    <n v="9.5760000000000012E-3"/>
    <n v="132"/>
    <x v="1"/>
    <x v="2"/>
    <n v="1"/>
    <n v="143640"/>
    <n v="1375.4966400000001"/>
    <n v="1088.1818181818182"/>
    <s v="Jun"/>
    <x v="13"/>
    <m/>
    <m/>
  </r>
  <r>
    <n v="68689251"/>
    <x v="0"/>
    <n v="148770"/>
    <d v="2026-07-04T00:00:00"/>
    <s v="KL Original Vanilla Bar 12-6PK"/>
    <x v="2"/>
    <n v="9.5760000000000012E-3"/>
    <n v="132"/>
    <x v="1"/>
    <x v="2"/>
    <n v="1"/>
    <n v="148770"/>
    <n v="1424.6215200000001"/>
    <n v="1127.0454545454545"/>
    <s v="Jul"/>
    <x v="14"/>
    <m/>
    <m/>
  </r>
  <r>
    <n v="68689251"/>
    <x v="0"/>
    <n v="159030"/>
    <d v="2026-08-03T00:00:00"/>
    <s v="KL Original Vanilla Bar 12-6PK"/>
    <x v="2"/>
    <n v="9.5760000000000012E-3"/>
    <n v="132"/>
    <x v="1"/>
    <x v="2"/>
    <n v="0.9"/>
    <n v="143127"/>
    <n v="1370.5841520000001"/>
    <n v="1084.2954545454545"/>
    <s v="Aug"/>
    <x v="22"/>
    <m/>
    <m/>
  </r>
  <r>
    <n v="68689251"/>
    <x v="0"/>
    <n v="143640"/>
    <d v="2026-09-02T00:00:00"/>
    <s v="KL Original Vanilla Bar 12-6PK"/>
    <x v="2"/>
    <n v="9.5760000000000012E-3"/>
    <n v="132"/>
    <x v="1"/>
    <x v="2"/>
    <n v="0.9"/>
    <n v="129276"/>
    <n v="1237.9469760000002"/>
    <n v="979.36363636363637"/>
    <s v="Sep"/>
    <x v="16"/>
    <m/>
    <m/>
  </r>
  <r>
    <n v="68689251"/>
    <x v="0"/>
    <n v="148770"/>
    <d v="2026-10-02T00:00:00"/>
    <s v="KL Original Vanilla Bar 12-6PK"/>
    <x v="2"/>
    <n v="9.5760000000000012E-3"/>
    <n v="132"/>
    <x v="1"/>
    <x v="2"/>
    <n v="0.9"/>
    <n v="133893"/>
    <n v="1282.1593680000001"/>
    <n v="1014.3409090909091"/>
    <s v="Oct"/>
    <x v="17"/>
    <m/>
    <m/>
  </r>
  <r>
    <n v="68689251"/>
    <x v="0"/>
    <n v="50000"/>
    <d v="2026-11-01T00:00:00"/>
    <s v="KL Original Vanilla Bar 12-6PK"/>
    <x v="2"/>
    <n v="9.5760000000000012E-3"/>
    <n v="132"/>
    <x v="1"/>
    <x v="2"/>
    <n v="0.9"/>
    <n v="45000"/>
    <n v="430.92000000000007"/>
    <n v="340.90909090909093"/>
    <s v="Nov"/>
    <x v="18"/>
    <m/>
    <m/>
  </r>
  <r>
    <n v="68689251"/>
    <x v="0"/>
    <n v="50000"/>
    <d v="2026-12-01T00:00:00"/>
    <s v="KL Original Vanilla Bar 12-6PK"/>
    <x v="2"/>
    <n v="9.5760000000000012E-3"/>
    <n v="132"/>
    <x v="1"/>
    <x v="2"/>
    <n v="0.9"/>
    <n v="45000"/>
    <n v="430.92000000000007"/>
    <n v="340.90909090909093"/>
    <s v="Dec"/>
    <x v="19"/>
    <m/>
    <m/>
  </r>
  <r>
    <n v="68689251"/>
    <x v="0"/>
    <n v="132240"/>
    <d v="2026-06-04T00:00:00"/>
    <s v="KL Original Vanilla Bar 12-6PK"/>
    <x v="4"/>
    <n v="9.5760000000000012E-3"/>
    <n v="132"/>
    <x v="1"/>
    <x v="2"/>
    <n v="1"/>
    <n v="132240"/>
    <n v="1266.3302400000002"/>
    <n v="1001.8181818181819"/>
    <s v="Jun"/>
    <x v="13"/>
    <m/>
    <m/>
  </r>
  <r>
    <n v="68689251"/>
    <x v="0"/>
    <n v="141360"/>
    <d v="2026-07-04T00:00:00"/>
    <s v="KL Original Vanilla Bar 12-6PK"/>
    <x v="4"/>
    <n v="9.5760000000000012E-3"/>
    <n v="132"/>
    <x v="1"/>
    <x v="2"/>
    <n v="1"/>
    <n v="141360"/>
    <n v="1353.6633600000002"/>
    <n v="1070.909090909091"/>
    <s v="Jul"/>
    <x v="14"/>
    <m/>
    <m/>
  </r>
  <r>
    <n v="68689251"/>
    <x v="0"/>
    <n v="127680"/>
    <d v="2026-08-03T00:00:00"/>
    <s v="KL Original Vanilla Bar 12-6PK"/>
    <x v="4"/>
    <n v="9.5760000000000012E-3"/>
    <n v="132"/>
    <x v="1"/>
    <x v="2"/>
    <n v="0.9"/>
    <n v="114912"/>
    <n v="1100.3973120000001"/>
    <n v="870.5454545454545"/>
    <s v="Aug"/>
    <x v="22"/>
    <m/>
    <m/>
  </r>
  <r>
    <n v="68689251"/>
    <x v="0"/>
    <n v="132240"/>
    <d v="2026-09-02T00:00:00"/>
    <s v="KL Original Vanilla Bar 12-6PK"/>
    <x v="4"/>
    <n v="9.5760000000000012E-3"/>
    <n v="132"/>
    <x v="1"/>
    <x v="2"/>
    <n v="0.9"/>
    <n v="119016"/>
    <n v="1139.6972160000003"/>
    <n v="901.63636363636363"/>
    <s v="Sep"/>
    <x v="16"/>
    <m/>
    <m/>
  </r>
  <r>
    <n v="68689251"/>
    <x v="0"/>
    <n v="60000"/>
    <d v="2026-10-02T00:00:00"/>
    <s v="KL Original Vanilla Bar 12-6PK"/>
    <x v="4"/>
    <n v="9.5760000000000012E-3"/>
    <n v="132"/>
    <x v="1"/>
    <x v="2"/>
    <n v="0.9"/>
    <n v="54000"/>
    <n v="517.10400000000004"/>
    <n v="409.09090909090907"/>
    <s v="Oct"/>
    <x v="17"/>
    <m/>
    <m/>
  </r>
  <r>
    <n v="68689251"/>
    <x v="0"/>
    <n v="50000"/>
    <d v="2026-11-01T00:00:00"/>
    <s v="KL Original Vanilla Bar 12-6PK"/>
    <x v="4"/>
    <n v="9.5760000000000012E-3"/>
    <n v="132"/>
    <x v="1"/>
    <x v="2"/>
    <n v="0.9"/>
    <n v="45000"/>
    <n v="430.92000000000007"/>
    <n v="340.90909090909093"/>
    <s v="Nov"/>
    <x v="18"/>
    <m/>
    <m/>
  </r>
  <r>
    <n v="68689251"/>
    <x v="0"/>
    <n v="0"/>
    <d v="2026-12-01T00:00:00"/>
    <s v="KL Original Vanilla Bar 12-6PK"/>
    <x v="4"/>
    <n v="9.5760000000000012E-3"/>
    <n v="132"/>
    <x v="1"/>
    <x v="2"/>
    <n v="0.9"/>
    <n v="0"/>
    <n v="0"/>
    <n v="0"/>
    <s v="Dec"/>
    <x v="19"/>
    <m/>
    <m/>
  </r>
  <r>
    <n v="68689251"/>
    <x v="0"/>
    <n v="119700"/>
    <d v="2026-06-04T00:00:00"/>
    <s v="KL Original Vanilla Bar 12-6PK"/>
    <x v="20"/>
    <n v="9.5760000000000012E-3"/>
    <n v="132"/>
    <x v="1"/>
    <x v="2"/>
    <n v="1"/>
    <n v="119700"/>
    <n v="1146.2472000000002"/>
    <n v="906.81818181818187"/>
    <s v="Jun"/>
    <x v="13"/>
    <m/>
    <m/>
  </r>
  <r>
    <n v="68689251"/>
    <x v="0"/>
    <n v="123975"/>
    <d v="2026-07-04T00:00:00"/>
    <s v="KL Original Vanilla Bar 12-6PK"/>
    <x v="20"/>
    <n v="9.5760000000000012E-3"/>
    <n v="132"/>
    <x v="1"/>
    <x v="2"/>
    <n v="1"/>
    <n v="123975"/>
    <n v="1187.1846"/>
    <n v="939.2045454545455"/>
    <s v="Jul"/>
    <x v="14"/>
    <m/>
    <m/>
  </r>
  <r>
    <n v="68689251"/>
    <x v="0"/>
    <n v="132525"/>
    <d v="2026-08-03T00:00:00"/>
    <s v="KL Original Vanilla Bar 12-6PK"/>
    <x v="20"/>
    <n v="9.5760000000000012E-3"/>
    <n v="132"/>
    <x v="1"/>
    <x v="2"/>
    <n v="0.9"/>
    <n v="119272.5"/>
    <n v="1142.1534600000002"/>
    <n v="903.5795454545455"/>
    <s v="Aug"/>
    <x v="22"/>
    <m/>
    <m/>
  </r>
  <r>
    <n v="68689251"/>
    <x v="0"/>
    <n v="119700"/>
    <d v="2026-09-02T00:00:00"/>
    <s v="KL Original Vanilla Bar 12-6PK"/>
    <x v="20"/>
    <n v="9.5760000000000012E-3"/>
    <n v="132"/>
    <x v="1"/>
    <x v="2"/>
    <n v="0.9"/>
    <n v="107730"/>
    <n v="1031.6224800000002"/>
    <n v="816.13636363636363"/>
    <s v="Sep"/>
    <x v="16"/>
    <m/>
    <m/>
  </r>
  <r>
    <n v="68689251"/>
    <x v="0"/>
    <n v="60000"/>
    <d v="2026-10-02T00:00:00"/>
    <s v="KL Original Vanilla Bar 12-6PK"/>
    <x v="20"/>
    <n v="9.5760000000000012E-3"/>
    <n v="132"/>
    <x v="1"/>
    <x v="2"/>
    <n v="0.9"/>
    <n v="54000"/>
    <n v="517.10400000000004"/>
    <n v="409.09090909090907"/>
    <s v="Oct"/>
    <x v="17"/>
    <m/>
    <m/>
  </r>
  <r>
    <n v="68689251"/>
    <x v="0"/>
    <n v="115425"/>
    <d v="2026-11-01T00:00:00"/>
    <s v="KL Original Vanilla Bar 12-6PK"/>
    <x v="20"/>
    <n v="9.5760000000000012E-3"/>
    <n v="132"/>
    <x v="1"/>
    <x v="2"/>
    <n v="0.9"/>
    <n v="103882.5"/>
    <n v="994.77882000000011"/>
    <n v="786.98863636363637"/>
    <s v="Nov"/>
    <x v="18"/>
    <m/>
    <m/>
  </r>
  <r>
    <n v="68689251"/>
    <x v="0"/>
    <m/>
    <d v="2026-12-01T00:00:00"/>
    <s v="KL Original Vanilla Bar 12-6PK"/>
    <x v="20"/>
    <n v="9.5760000000000012E-3"/>
    <n v="132"/>
    <x v="1"/>
    <x v="2"/>
    <n v="0.9"/>
    <n v="0"/>
    <n v="0"/>
    <n v="0"/>
    <s v="Dec"/>
    <x v="19"/>
    <m/>
    <m/>
  </r>
  <r>
    <n v="68852591"/>
    <x v="1"/>
    <m/>
    <d v="2026-06-04T00:00:00"/>
    <s v="KL Heath Bar 12-6PK"/>
    <x v="21"/>
    <n v="8.5199999999999998E-3"/>
    <n v="132"/>
    <x v="1"/>
    <x v="11"/>
    <n v="1"/>
    <n v="0"/>
    <n v="0"/>
    <n v="0"/>
    <s v="Jun"/>
    <x v="13"/>
    <m/>
    <m/>
  </r>
  <r>
    <n v="68852591"/>
    <x v="1"/>
    <m/>
    <d v="2026-07-04T00:00:00"/>
    <s v="KL Heath Bar 12-6PK"/>
    <x v="21"/>
    <n v="8.5199999999999998E-3"/>
    <n v="132"/>
    <x v="1"/>
    <x v="11"/>
    <n v="1"/>
    <n v="0"/>
    <n v="0"/>
    <n v="0"/>
    <s v="Jul"/>
    <x v="14"/>
    <m/>
    <m/>
  </r>
  <r>
    <n v="68852591"/>
    <x v="1"/>
    <m/>
    <d v="2026-08-03T00:00:00"/>
    <s v="KL Heath Bar 12-6PK"/>
    <x v="21"/>
    <n v="8.5199999999999998E-3"/>
    <n v="132"/>
    <x v="1"/>
    <x v="11"/>
    <n v="0.9"/>
    <n v="0"/>
    <n v="0"/>
    <n v="0"/>
    <s v="Aug"/>
    <x v="22"/>
    <m/>
    <m/>
  </r>
  <r>
    <n v="68852591"/>
    <x v="1"/>
    <m/>
    <d v="2026-09-02T00:00:00"/>
    <s v="KL Heath Bar 12-6PK"/>
    <x v="21"/>
    <n v="8.5199999999999998E-3"/>
    <n v="132"/>
    <x v="1"/>
    <x v="11"/>
    <n v="0.9"/>
    <n v="0"/>
    <n v="0"/>
    <n v="0"/>
    <s v="Sep"/>
    <x v="16"/>
    <m/>
    <m/>
  </r>
  <r>
    <n v="68852591"/>
    <x v="1"/>
    <m/>
    <d v="2026-10-02T00:00:00"/>
    <s v="KL Heath Bar 12-6PK"/>
    <x v="21"/>
    <n v="8.5199999999999998E-3"/>
    <n v="132"/>
    <x v="1"/>
    <x v="11"/>
    <n v="0.9"/>
    <n v="0"/>
    <n v="0"/>
    <n v="0"/>
    <s v="Oct"/>
    <x v="17"/>
    <m/>
    <m/>
  </r>
  <r>
    <n v="68852591"/>
    <x v="1"/>
    <m/>
    <d v="2026-11-01T00:00:00"/>
    <s v="KL Heath Bar 12-6PK"/>
    <x v="21"/>
    <n v="8.5199999999999998E-3"/>
    <n v="132"/>
    <x v="1"/>
    <x v="11"/>
    <n v="0.9"/>
    <n v="0"/>
    <n v="0"/>
    <n v="0"/>
    <s v="Nov"/>
    <x v="18"/>
    <m/>
    <m/>
  </r>
  <r>
    <n v="68852591"/>
    <x v="1"/>
    <m/>
    <d v="2026-12-01T00:00:00"/>
    <s v="KL Heath Bar 12-6PK"/>
    <x v="21"/>
    <n v="8.5199999999999998E-3"/>
    <n v="132"/>
    <x v="1"/>
    <x v="11"/>
    <n v="0.9"/>
    <n v="0"/>
    <n v="0"/>
    <n v="0"/>
    <s v="Dec"/>
    <x v="19"/>
    <m/>
    <m/>
  </r>
  <r>
    <n v="68917388"/>
    <x v="4"/>
    <n v="80000"/>
    <d v="2026-06-01T00:00:00"/>
    <s v="KL Giant Original Bar 1-24PK"/>
    <x v="62"/>
    <n v="3.9119999999999997E-3"/>
    <n v="322"/>
    <x v="26"/>
    <x v="49"/>
    <n v="1"/>
    <n v="80000"/>
    <n v="312.95999999999998"/>
    <n v="248.44720496894411"/>
    <s v="Jun"/>
    <x v="13"/>
    <m/>
    <m/>
  </r>
  <r>
    <n v="68917388"/>
    <x v="4"/>
    <n v="80000"/>
    <d v="2026-07-01T00:00:00"/>
    <s v="KL Giant Original Bar 1-24PK"/>
    <x v="62"/>
    <n v="3.9119999999999997E-3"/>
    <n v="322"/>
    <x v="26"/>
    <x v="49"/>
    <n v="1"/>
    <n v="80000"/>
    <n v="312.95999999999998"/>
    <n v="248.44720496894411"/>
    <s v="Jul"/>
    <x v="14"/>
    <m/>
    <m/>
  </r>
  <r>
    <n v="68917388"/>
    <x v="4"/>
    <n v="60000"/>
    <d v="2026-08-01T00:00:00"/>
    <s v="KL Giant Original Bar 1-24PK"/>
    <x v="62"/>
    <n v="3.9119999999999997E-3"/>
    <n v="322"/>
    <x v="26"/>
    <x v="49"/>
    <n v="1"/>
    <n v="60000"/>
    <n v="234.71999999999997"/>
    <n v="186.33540372670808"/>
    <s v="Aug"/>
    <x v="15"/>
    <m/>
    <m/>
  </r>
  <r>
    <n v="68917388"/>
    <x v="4"/>
    <n v="20000"/>
    <d v="2026-09-01T00:00:00"/>
    <s v="KL Giant Original Bar 1-24PK"/>
    <x v="62"/>
    <n v="3.9119999999999997E-3"/>
    <n v="322"/>
    <x v="26"/>
    <x v="49"/>
    <n v="1"/>
    <n v="20000"/>
    <n v="78.239999999999995"/>
    <n v="62.111801242236027"/>
    <s v="Sep"/>
    <x v="16"/>
    <m/>
    <m/>
  </r>
  <r>
    <n v="68917388"/>
    <x v="4"/>
    <n v="20000"/>
    <d v="2026-10-01T00:00:00"/>
    <s v="KL Giant Original Bar 1-24PK"/>
    <x v="62"/>
    <n v="3.9119999999999997E-3"/>
    <n v="322"/>
    <x v="26"/>
    <x v="49"/>
    <n v="1"/>
    <n v="20000"/>
    <n v="78.239999999999995"/>
    <n v="62.111801242236027"/>
    <s v="Oct"/>
    <x v="17"/>
    <m/>
    <m/>
  </r>
  <r>
    <n v="68917388"/>
    <x v="4"/>
    <n v="40000"/>
    <d v="2026-11-01T00:00:00"/>
    <s v="KL Giant Original Bar 1-24PK"/>
    <x v="62"/>
    <n v="3.9119999999999997E-3"/>
    <n v="322"/>
    <x v="26"/>
    <x v="49"/>
    <n v="1"/>
    <n v="40000"/>
    <n v="156.47999999999999"/>
    <n v="124.22360248447205"/>
    <s v="Nov"/>
    <x v="18"/>
    <m/>
    <m/>
  </r>
  <r>
    <n v="68917388"/>
    <x v="4"/>
    <n v="20000"/>
    <d v="2026-12-01T00:00:00"/>
    <s v="KL Giant Original Bar 1-24PK"/>
    <x v="62"/>
    <n v="3.9119999999999997E-3"/>
    <n v="322"/>
    <x v="26"/>
    <x v="49"/>
    <n v="1"/>
    <n v="20000"/>
    <n v="78.239999999999995"/>
    <n v="62.111801242236027"/>
    <s v="Dec"/>
    <x v="19"/>
    <m/>
    <m/>
  </r>
  <r>
    <n v="64874633"/>
    <x v="4"/>
    <m/>
    <d v="2026-06-04T00:00:00"/>
    <s v="KL Cookies and Creme SW 1-24PK"/>
    <x v="31"/>
    <n v="3.192E-3"/>
    <n v="280"/>
    <x v="12"/>
    <x v="19"/>
    <n v="1"/>
    <n v="0"/>
    <n v="0"/>
    <n v="0"/>
    <s v="Jun"/>
    <x v="13"/>
    <m/>
    <m/>
  </r>
  <r>
    <n v="64874633"/>
    <x v="4"/>
    <m/>
    <d v="2026-07-04T00:00:00"/>
    <s v="KL Cookies and Creme SW 1-24PK"/>
    <x v="31"/>
    <n v="3.192E-3"/>
    <n v="280"/>
    <x v="12"/>
    <x v="19"/>
    <n v="1"/>
    <n v="0"/>
    <n v="0"/>
    <n v="0"/>
    <s v="Jul"/>
    <x v="14"/>
    <m/>
    <m/>
  </r>
  <r>
    <n v="64874633"/>
    <x v="4"/>
    <m/>
    <d v="2026-08-03T00:00:00"/>
    <s v="KL Cookies and Creme SW 1-24PK"/>
    <x v="31"/>
    <n v="3.192E-3"/>
    <n v="280"/>
    <x v="12"/>
    <x v="19"/>
    <n v="1"/>
    <n v="0"/>
    <n v="0"/>
    <n v="0"/>
    <s v="Aug"/>
    <x v="22"/>
    <m/>
    <m/>
  </r>
  <r>
    <n v="64874633"/>
    <x v="4"/>
    <m/>
    <d v="2026-09-02T00:00:00"/>
    <s v="KL Cookies and Creme SW 1-24PK"/>
    <x v="31"/>
    <n v="3.192E-3"/>
    <n v="280"/>
    <x v="12"/>
    <x v="19"/>
    <n v="1"/>
    <n v="0"/>
    <n v="0"/>
    <n v="0"/>
    <s v="Sep"/>
    <x v="16"/>
    <m/>
    <m/>
  </r>
  <r>
    <n v="64874633"/>
    <x v="4"/>
    <m/>
    <d v="2026-10-02T00:00:00"/>
    <s v="KL Cookies and Creme SW 1-24PK"/>
    <x v="31"/>
    <n v="3.192E-3"/>
    <n v="280"/>
    <x v="12"/>
    <x v="19"/>
    <n v="1"/>
    <n v="0"/>
    <n v="0"/>
    <n v="0"/>
    <s v="Oct"/>
    <x v="17"/>
    <m/>
    <m/>
  </r>
  <r>
    <n v="64874633"/>
    <x v="4"/>
    <m/>
    <d v="2026-11-01T00:00:00"/>
    <s v="KL Cookies and Creme SW 1-24PK"/>
    <x v="31"/>
    <n v="3.192E-3"/>
    <n v="280"/>
    <x v="12"/>
    <x v="19"/>
    <n v="1"/>
    <n v="0"/>
    <n v="0"/>
    <n v="0"/>
    <s v="Nov"/>
    <x v="18"/>
    <m/>
    <m/>
  </r>
  <r>
    <n v="64874633"/>
    <x v="4"/>
    <m/>
    <d v="2026-12-01T00:00:00"/>
    <s v="KL Cookies and Creme SW 1-24PK"/>
    <x v="31"/>
    <n v="3.192E-3"/>
    <n v="280"/>
    <x v="12"/>
    <x v="19"/>
    <n v="1"/>
    <n v="0"/>
    <n v="0"/>
    <n v="0"/>
    <s v="Dec"/>
    <x v="19"/>
    <m/>
    <m/>
  </r>
  <r>
    <n v="69717802"/>
    <x v="1"/>
    <n v="186200"/>
    <d v="2026-06-04T00:00:00"/>
    <s v="BR Carbsmart IC Bars 8-6PK"/>
    <x v="63"/>
    <n v="4.2560000000000002E-3"/>
    <n v="143"/>
    <x v="5"/>
    <x v="6"/>
    <n v="1"/>
    <n v="186200"/>
    <n v="792.46720000000005"/>
    <n v="1302.0979020979021"/>
    <s v="Jun"/>
    <x v="13"/>
    <m/>
    <m/>
  </r>
  <r>
    <n v="69717802"/>
    <x v="1"/>
    <n v="192850"/>
    <d v="2026-07-04T00:00:00"/>
    <s v="BR Carbsmart IC Bars 8-6PK"/>
    <x v="63"/>
    <n v="4.2560000000000002E-3"/>
    <n v="143"/>
    <x v="5"/>
    <x v="6"/>
    <n v="1"/>
    <n v="192850"/>
    <n v="820.76960000000008"/>
    <n v="1348.6013986013986"/>
    <s v="Jul"/>
    <x v="14"/>
    <m/>
    <m/>
  </r>
  <r>
    <n v="69717802"/>
    <x v="1"/>
    <n v="206150"/>
    <d v="2026-08-03T00:00:00"/>
    <s v="BR Carbsmart IC Bars 8-6PK"/>
    <x v="63"/>
    <n v="4.2560000000000002E-3"/>
    <n v="143"/>
    <x v="5"/>
    <x v="6"/>
    <n v="1"/>
    <n v="206150"/>
    <n v="877.37440000000004"/>
    <n v="1441.6083916083917"/>
    <s v="Aug"/>
    <x v="22"/>
    <m/>
    <m/>
  </r>
  <r>
    <n v="69717802"/>
    <x v="1"/>
    <n v="186200"/>
    <d v="2026-09-02T00:00:00"/>
    <s v="BR Carbsmart IC Bars 8-6PK"/>
    <x v="63"/>
    <n v="4.2560000000000002E-3"/>
    <n v="143"/>
    <x v="5"/>
    <x v="6"/>
    <n v="1"/>
    <n v="186200"/>
    <n v="792.46720000000005"/>
    <n v="1302.0979020979021"/>
    <s v="Sep"/>
    <x v="16"/>
    <m/>
    <m/>
  </r>
  <r>
    <n v="69717802"/>
    <x v="1"/>
    <n v="100000"/>
    <d v="2026-10-02T00:00:00"/>
    <s v="BR Carbsmart IC Bars 8-6PK"/>
    <x v="63"/>
    <n v="4.2560000000000002E-3"/>
    <n v="143"/>
    <x v="5"/>
    <x v="6"/>
    <n v="1"/>
    <n v="100000"/>
    <n v="425.6"/>
    <n v="699.30069930069931"/>
    <s v="Oct"/>
    <x v="17"/>
    <m/>
    <m/>
  </r>
  <r>
    <n v="69717802"/>
    <x v="1"/>
    <m/>
    <d v="2026-11-01T00:00:00"/>
    <s v="BR Carbsmart IC Bars 8-6PK"/>
    <x v="63"/>
    <n v="4.2560000000000002E-3"/>
    <n v="143"/>
    <x v="5"/>
    <x v="6"/>
    <n v="1"/>
    <n v="0"/>
    <n v="0"/>
    <n v="0"/>
    <s v="Nov"/>
    <x v="18"/>
    <m/>
    <m/>
  </r>
  <r>
    <n v="69717802"/>
    <x v="1"/>
    <m/>
    <d v="2026-12-01T00:00:00"/>
    <s v="BR Carbsmart IC Bars 8-6PK"/>
    <x v="63"/>
    <n v="4.2560000000000002E-3"/>
    <n v="143"/>
    <x v="5"/>
    <x v="6"/>
    <n v="1"/>
    <n v="0"/>
    <n v="0"/>
    <n v="0"/>
    <s v="Dec"/>
    <x v="19"/>
    <m/>
    <m/>
  </r>
  <r>
    <n v="64330596"/>
    <x v="1"/>
    <n v="199500"/>
    <d v="2026-06-04T00:00:00"/>
    <s v="MG Mini Double Caramel Bar 6-6PK"/>
    <x v="64"/>
    <n v="1.98E-3"/>
    <n v="176"/>
    <x v="5"/>
    <x v="6"/>
    <n v="1"/>
    <n v="199500"/>
    <n v="395.01"/>
    <n v="1133.5227272727273"/>
    <s v="Jun"/>
    <x v="13"/>
    <m/>
    <m/>
  </r>
  <r>
    <n v="64330596"/>
    <x v="1"/>
    <n v="199500"/>
    <d v="2026-07-04T00:00:00"/>
    <s v="MG Mini Double Caramel Bar 6-6PK"/>
    <x v="64"/>
    <n v="1.98E-3"/>
    <n v="176"/>
    <x v="5"/>
    <x v="6"/>
    <n v="1"/>
    <n v="199500"/>
    <n v="395.01"/>
    <n v="1133.5227272727273"/>
    <s v="Jul"/>
    <x v="14"/>
    <m/>
    <m/>
  </r>
  <r>
    <n v="64330596"/>
    <x v="1"/>
    <n v="133000"/>
    <d v="2026-08-03T00:00:00"/>
    <s v="MG Mini Double Caramel Bar 6-6PK"/>
    <x v="64"/>
    <n v="1.98E-3"/>
    <n v="176"/>
    <x v="5"/>
    <x v="6"/>
    <n v="1"/>
    <n v="133000"/>
    <n v="263.33999999999997"/>
    <n v="755.68181818181813"/>
    <s v="Aug"/>
    <x v="22"/>
    <m/>
    <m/>
  </r>
  <r>
    <n v="64330596"/>
    <x v="1"/>
    <n v="182875"/>
    <d v="2026-09-02T00:00:00"/>
    <s v="MG Mini Double Caramel Bar 6-6PK"/>
    <x v="64"/>
    <n v="1.98E-3"/>
    <n v="176"/>
    <x v="5"/>
    <x v="6"/>
    <n v="1"/>
    <n v="182875"/>
    <n v="362.09249999999997"/>
    <n v="1039.0625"/>
    <s v="Sep"/>
    <x v="16"/>
    <m/>
    <m/>
  </r>
  <r>
    <n v="64330596"/>
    <x v="1"/>
    <n v="0"/>
    <d v="2026-10-02T00:00:00"/>
    <s v="MG Mini Double Caramel Bar 6-6PK"/>
    <x v="64"/>
    <n v="1.98E-3"/>
    <n v="176"/>
    <x v="5"/>
    <x v="6"/>
    <n v="1"/>
    <n v="0"/>
    <n v="0"/>
    <n v="0"/>
    <s v="Oct"/>
    <x v="17"/>
    <m/>
    <m/>
  </r>
  <r>
    <n v="64330596"/>
    <x v="1"/>
    <n v="0"/>
    <d v="2026-11-01T00:00:00"/>
    <s v="MG Mini Double Caramel Bar 6-6PK"/>
    <x v="64"/>
    <n v="1.98E-3"/>
    <n v="176"/>
    <x v="5"/>
    <x v="6"/>
    <n v="1"/>
    <n v="0"/>
    <n v="0"/>
    <n v="0"/>
    <s v="Nov"/>
    <x v="18"/>
    <m/>
    <m/>
  </r>
  <r>
    <n v="64330596"/>
    <x v="1"/>
    <n v="0"/>
    <d v="2026-12-01T00:00:00"/>
    <s v="MG Mini Double Caramel Bar 6-6PK"/>
    <x v="64"/>
    <n v="1.98E-3"/>
    <n v="176"/>
    <x v="5"/>
    <x v="6"/>
    <n v="1"/>
    <n v="0"/>
    <n v="0"/>
    <n v="0"/>
    <s v="Dec"/>
    <x v="19"/>
    <m/>
    <m/>
  </r>
  <r>
    <n v="64330611"/>
    <x v="1"/>
    <n v="309225"/>
    <d v="2026-06-04T00:00:00"/>
    <s v="MG Double Caramel Bar 8-3PK"/>
    <x v="26"/>
    <n v="2.16E-3"/>
    <n v="210"/>
    <x v="5"/>
    <x v="6"/>
    <n v="1"/>
    <n v="309225"/>
    <n v="667.92600000000004"/>
    <n v="1472.5"/>
    <s v="Jun"/>
    <x v="13"/>
    <m/>
    <m/>
  </r>
  <r>
    <n v="64330611"/>
    <x v="1"/>
    <n v="318725"/>
    <d v="2026-07-04T00:00:00"/>
    <s v="MG Double Caramel Bar 8-3PK"/>
    <x v="26"/>
    <n v="2.16E-3"/>
    <n v="210"/>
    <x v="5"/>
    <x v="6"/>
    <n v="1"/>
    <n v="318725"/>
    <n v="688.44600000000003"/>
    <n v="1517.7380952380952"/>
    <s v="Jul"/>
    <x v="14"/>
    <m/>
    <m/>
  </r>
  <r>
    <n v="64330611"/>
    <x v="1"/>
    <n v="337725"/>
    <d v="2026-08-03T00:00:00"/>
    <s v="MG Double Caramel Bar 8-3PK"/>
    <x v="26"/>
    <n v="2.16E-3"/>
    <n v="210"/>
    <x v="5"/>
    <x v="6"/>
    <n v="1"/>
    <n v="337725"/>
    <n v="729.48599999999999"/>
    <n v="1608.2142857142858"/>
    <s v="Aug"/>
    <x v="22"/>
    <m/>
    <m/>
  </r>
  <r>
    <n v="64330611"/>
    <x v="1"/>
    <n v="199500"/>
    <d v="2026-09-02T00:00:00"/>
    <s v="MG Double Caramel Bar 8-3PK"/>
    <x v="26"/>
    <n v="2.16E-3"/>
    <n v="210"/>
    <x v="5"/>
    <x v="6"/>
    <n v="1"/>
    <n v="199500"/>
    <n v="430.92"/>
    <n v="950"/>
    <s v="Sep"/>
    <x v="16"/>
    <m/>
    <m/>
  </r>
  <r>
    <n v="64330611"/>
    <x v="1"/>
    <n v="40000"/>
    <d v="2026-10-02T00:00:00"/>
    <s v="MG Double Caramel Bar 8-3PK"/>
    <x v="26"/>
    <n v="2.16E-3"/>
    <n v="210"/>
    <x v="5"/>
    <x v="6"/>
    <n v="1"/>
    <n v="40000"/>
    <n v="86.4"/>
    <n v="190.47619047619048"/>
    <s v="Oct"/>
    <x v="17"/>
    <m/>
    <m/>
  </r>
  <r>
    <n v="64330611"/>
    <x v="1"/>
    <m/>
    <d v="2026-11-01T00:00:00"/>
    <s v="MG Double Caramel Bar 8-3PK"/>
    <x v="26"/>
    <n v="2.16E-3"/>
    <n v="210"/>
    <x v="5"/>
    <x v="6"/>
    <n v="1"/>
    <n v="0"/>
    <n v="0"/>
    <n v="0"/>
    <s v="Nov"/>
    <x v="18"/>
    <m/>
    <m/>
  </r>
  <r>
    <n v="64330611"/>
    <x v="1"/>
    <n v="0"/>
    <d v="2026-12-01T00:00:00"/>
    <s v="MG Double Caramel Bar 8-3PK"/>
    <x v="26"/>
    <n v="2.16E-3"/>
    <n v="210"/>
    <x v="5"/>
    <x v="6"/>
    <n v="1"/>
    <n v="0"/>
    <n v="0"/>
    <n v="0"/>
    <s v="Dec"/>
    <x v="19"/>
    <m/>
    <m/>
  </r>
  <r>
    <n v="64958128"/>
    <x v="1"/>
    <n v="275310"/>
    <d v="2026-06-04T00:00:00"/>
    <s v="Yasso Mint Chocolate Chip 8-4pk"/>
    <x v="65"/>
    <n v="3.3119999999999998E-3"/>
    <n v="165"/>
    <x v="4"/>
    <x v="5"/>
    <n v="1"/>
    <n v="275310"/>
    <n v="911.82671999999991"/>
    <n v="1668.5454545454545"/>
    <s v="Jun"/>
    <x v="13"/>
    <m/>
    <m/>
  </r>
  <r>
    <n v="64958128"/>
    <x v="1"/>
    <n v="285142.5"/>
    <d v="2026-07-04T00:00:00"/>
    <s v="Yasso Mint Chocolate Chip 8-4pk"/>
    <x v="65"/>
    <n v="3.3119999999999998E-3"/>
    <n v="165"/>
    <x v="4"/>
    <x v="5"/>
    <n v="1"/>
    <n v="285142.5"/>
    <n v="944.39195999999993"/>
    <n v="1728.1363636363637"/>
    <s v="Jul"/>
    <x v="14"/>
    <m/>
    <m/>
  </r>
  <r>
    <n v="64958128"/>
    <x v="1"/>
    <n v="304807.5"/>
    <d v="2026-08-03T00:00:00"/>
    <s v="Yasso Mint Chocolate Chip 8-4pk"/>
    <x v="65"/>
    <n v="3.3119999999999998E-3"/>
    <n v="165"/>
    <x v="4"/>
    <x v="5"/>
    <n v="1"/>
    <n v="304807.5"/>
    <n v="1009.52244"/>
    <n v="1847.3181818181818"/>
    <s v="Aug"/>
    <x v="22"/>
    <m/>
    <m/>
  </r>
  <r>
    <n v="64958128"/>
    <x v="1"/>
    <n v="275310"/>
    <d v="2026-09-02T00:00:00"/>
    <s v="Yasso Mint Chocolate Chip 8-4pk"/>
    <x v="65"/>
    <n v="3.3119999999999998E-3"/>
    <n v="165"/>
    <x v="4"/>
    <x v="5"/>
    <n v="1"/>
    <n v="275310"/>
    <n v="911.82671999999991"/>
    <n v="1668.5454545454545"/>
    <s v="Sep"/>
    <x v="16"/>
    <m/>
    <m/>
  </r>
  <r>
    <n v="64958128"/>
    <x v="1"/>
    <n v="285142.5"/>
    <d v="2026-10-02T00:00:00"/>
    <s v="Yasso Mint Chocolate Chip 8-4pk"/>
    <x v="65"/>
    <n v="3.3119999999999998E-3"/>
    <n v="165"/>
    <x v="4"/>
    <x v="5"/>
    <n v="1"/>
    <n v="285142.5"/>
    <n v="944.39195999999993"/>
    <n v="1728.1363636363637"/>
    <s v="Oct"/>
    <x v="17"/>
    <m/>
    <m/>
  </r>
  <r>
    <n v="64958128"/>
    <x v="1"/>
    <n v="265477.5"/>
    <d v="2026-11-01T00:00:00"/>
    <s v="Yasso Mint Chocolate Chip 8-4pk"/>
    <x v="65"/>
    <n v="3.3119999999999998E-3"/>
    <n v="165"/>
    <x v="4"/>
    <x v="5"/>
    <n v="1"/>
    <n v="265477.5"/>
    <n v="879.26148000000001"/>
    <n v="1608.9545454545455"/>
    <s v="Nov"/>
    <x v="18"/>
    <m/>
    <m/>
  </r>
  <r>
    <n v="64958128"/>
    <x v="1"/>
    <n v="265477.5"/>
    <d v="2026-12-01T00:00:00"/>
    <s v="Yasso Mint Chocolate Chip 8-4pk"/>
    <x v="65"/>
    <n v="3.3119999999999998E-3"/>
    <n v="165"/>
    <x v="4"/>
    <x v="5"/>
    <n v="1"/>
    <n v="265477.5"/>
    <n v="879.26148000000001"/>
    <n v="1608.9545454545455"/>
    <s v="Dec"/>
    <x v="19"/>
    <m/>
    <m/>
  </r>
  <r>
    <n v="64958128"/>
    <x v="10"/>
    <m/>
    <d v="2026-06-04T00:00:00"/>
    <s v="Yasso Mint Chocolate Chip 8-4pk"/>
    <x v="37"/>
    <n v="3.3119999999999998E-3"/>
    <n v="165"/>
    <x v="4"/>
    <x v="30"/>
    <n v="1"/>
    <n v="0"/>
    <n v="0"/>
    <n v="0"/>
    <s v="Jun"/>
    <x v="13"/>
    <m/>
    <m/>
  </r>
  <r>
    <n v="64958128"/>
    <x v="10"/>
    <m/>
    <d v="2026-07-04T00:00:00"/>
    <s v="Yasso Mint Chocolate Chip 8-4pk"/>
    <x v="37"/>
    <n v="3.3119999999999998E-3"/>
    <n v="165"/>
    <x v="4"/>
    <x v="30"/>
    <n v="1"/>
    <n v="0"/>
    <n v="0"/>
    <n v="0"/>
    <s v="Jul"/>
    <x v="14"/>
    <m/>
    <m/>
  </r>
  <r>
    <n v="64958128"/>
    <x v="10"/>
    <m/>
    <d v="2026-08-03T00:00:00"/>
    <s v="Yasso Mint Chocolate Chip 8-4pk"/>
    <x v="37"/>
    <n v="3.3119999999999998E-3"/>
    <n v="165"/>
    <x v="4"/>
    <x v="30"/>
    <n v="1"/>
    <n v="0"/>
    <n v="0"/>
    <n v="0"/>
    <s v="Aug"/>
    <x v="22"/>
    <m/>
    <m/>
  </r>
  <r>
    <n v="64958128"/>
    <x v="10"/>
    <m/>
    <d v="2026-09-02T00:00:00"/>
    <s v="Yasso Mint Chocolate Chip 8-4pk"/>
    <x v="37"/>
    <n v="3.3119999999999998E-3"/>
    <n v="165"/>
    <x v="4"/>
    <x v="30"/>
    <n v="1"/>
    <n v="0"/>
    <n v="0"/>
    <n v="0"/>
    <s v="Sep"/>
    <x v="16"/>
    <m/>
    <m/>
  </r>
  <r>
    <n v="64958128"/>
    <x v="10"/>
    <m/>
    <d v="2026-10-02T00:00:00"/>
    <s v="Yasso Mint Chocolate Chip 8-4pk"/>
    <x v="37"/>
    <n v="3.3119999999999998E-3"/>
    <n v="165"/>
    <x v="4"/>
    <x v="30"/>
    <n v="1"/>
    <n v="0"/>
    <n v="0"/>
    <n v="0"/>
    <s v="Oct"/>
    <x v="17"/>
    <m/>
    <m/>
  </r>
  <r>
    <n v="64958128"/>
    <x v="10"/>
    <m/>
    <d v="2026-11-01T00:00:00"/>
    <s v="Yasso Mint Chocolate Chip 8-4pk"/>
    <x v="37"/>
    <n v="3.3119999999999998E-3"/>
    <n v="165"/>
    <x v="4"/>
    <x v="30"/>
    <n v="1"/>
    <n v="0"/>
    <n v="0"/>
    <n v="0"/>
    <s v="Nov"/>
    <x v="18"/>
    <m/>
    <m/>
  </r>
  <r>
    <n v="64958128"/>
    <x v="10"/>
    <m/>
    <d v="2026-12-01T00:00:00"/>
    <s v="Yasso Mint Chocolate Chip 8-4pk"/>
    <x v="37"/>
    <n v="3.3119999999999998E-3"/>
    <n v="165"/>
    <x v="4"/>
    <x v="30"/>
    <n v="1"/>
    <n v="0"/>
    <n v="0"/>
    <n v="0"/>
    <s v="Dec"/>
    <x v="19"/>
    <m/>
    <m/>
  </r>
  <r>
    <n v="64958128"/>
    <x v="11"/>
    <m/>
    <d v="2026-06-04T00:00:00"/>
    <s v="Yasso Mint Chocolate Chip 8-4pk"/>
    <x v="38"/>
    <n v="3.3119999999999998E-3"/>
    <n v="165"/>
    <x v="4"/>
    <x v="32"/>
    <n v="1"/>
    <n v="0"/>
    <n v="0"/>
    <n v="0"/>
    <s v="Jun"/>
    <x v="13"/>
    <m/>
    <m/>
  </r>
  <r>
    <n v="64958128"/>
    <x v="11"/>
    <m/>
    <d v="2026-07-04T00:00:00"/>
    <s v="Yasso Mint Chocolate Chip 8-4pk"/>
    <x v="38"/>
    <n v="3.3119999999999998E-3"/>
    <n v="165"/>
    <x v="4"/>
    <x v="32"/>
    <n v="1"/>
    <n v="0"/>
    <n v="0"/>
    <n v="0"/>
    <s v="Jul"/>
    <x v="14"/>
    <m/>
    <m/>
  </r>
  <r>
    <n v="64958128"/>
    <x v="11"/>
    <m/>
    <d v="2026-08-03T00:00:00"/>
    <s v="Yasso Mint Chocolate Chip 8-4pk"/>
    <x v="38"/>
    <n v="3.3119999999999998E-3"/>
    <n v="165"/>
    <x v="4"/>
    <x v="32"/>
    <n v="1"/>
    <n v="0"/>
    <n v="0"/>
    <n v="0"/>
    <s v="Aug"/>
    <x v="22"/>
    <m/>
    <m/>
  </r>
  <r>
    <n v="64958128"/>
    <x v="11"/>
    <m/>
    <d v="2026-09-02T00:00:00"/>
    <s v="Yasso Mint Chocolate Chip 8-4pk"/>
    <x v="38"/>
    <n v="3.3119999999999998E-3"/>
    <n v="165"/>
    <x v="4"/>
    <x v="32"/>
    <n v="1"/>
    <n v="0"/>
    <n v="0"/>
    <n v="0"/>
    <s v="Sep"/>
    <x v="16"/>
    <m/>
    <m/>
  </r>
  <r>
    <n v="64958128"/>
    <x v="11"/>
    <m/>
    <d v="2026-10-02T00:00:00"/>
    <s v="Yasso Mint Chocolate Chip 8-4pk"/>
    <x v="38"/>
    <n v="3.3119999999999998E-3"/>
    <n v="165"/>
    <x v="4"/>
    <x v="32"/>
    <n v="1"/>
    <n v="0"/>
    <n v="0"/>
    <n v="0"/>
    <s v="Oct"/>
    <x v="17"/>
    <m/>
    <m/>
  </r>
  <r>
    <n v="64958128"/>
    <x v="11"/>
    <n v="166076"/>
    <d v="2026-11-01T00:00:00"/>
    <s v="Yasso Mint Chocolate Chip 8-4pk"/>
    <x v="38"/>
    <n v="3.3119999999999998E-3"/>
    <n v="165"/>
    <x v="4"/>
    <x v="32"/>
    <n v="1"/>
    <n v="166076"/>
    <n v="550.04371200000003"/>
    <n v="1006.5212121212121"/>
    <s v="Nov"/>
    <x v="18"/>
    <m/>
    <m/>
  </r>
  <r>
    <n v="64958128"/>
    <x v="11"/>
    <m/>
    <d v="2026-12-01T00:00:00"/>
    <s v="Yasso Mint Chocolate Chip 8-4pk"/>
    <x v="38"/>
    <n v="3.3119999999999998E-3"/>
    <n v="165"/>
    <x v="4"/>
    <x v="32"/>
    <n v="1"/>
    <n v="0"/>
    <n v="0"/>
    <n v="0"/>
    <s v="Dec"/>
    <x v="19"/>
    <m/>
    <m/>
  </r>
  <r>
    <n v="64958128"/>
    <x v="12"/>
    <n v="0"/>
    <d v="2026-06-04T00:00:00"/>
    <s v="Yasso Mint Chocolate Chip 8-4pk"/>
    <x v="39"/>
    <n v="3.3119999999999998E-3"/>
    <n v="165"/>
    <x v="4"/>
    <x v="33"/>
    <n v="1"/>
    <n v="0"/>
    <n v="0"/>
    <n v="0"/>
    <s v="Jun"/>
    <x v="13"/>
    <m/>
    <m/>
  </r>
  <r>
    <n v="64958128"/>
    <x v="12"/>
    <m/>
    <d v="2026-07-04T00:00:00"/>
    <s v="Yasso Mint Chocolate Chip 8-4pk"/>
    <x v="39"/>
    <n v="3.3119999999999998E-3"/>
    <n v="165"/>
    <x v="4"/>
    <x v="33"/>
    <n v="1"/>
    <n v="0"/>
    <n v="0"/>
    <n v="0"/>
    <s v="Jul"/>
    <x v="14"/>
    <m/>
    <m/>
  </r>
  <r>
    <n v="64958128"/>
    <x v="12"/>
    <m/>
    <d v="2026-08-03T00:00:00"/>
    <s v="Yasso Mint Chocolate Chip 8-4pk"/>
    <x v="39"/>
    <n v="3.3119999999999998E-3"/>
    <n v="165"/>
    <x v="4"/>
    <x v="33"/>
    <n v="1"/>
    <n v="0"/>
    <n v="0"/>
    <n v="0"/>
    <s v="Aug"/>
    <x v="22"/>
    <m/>
    <m/>
  </r>
  <r>
    <n v="64958128"/>
    <x v="12"/>
    <m/>
    <d v="2026-09-02T00:00:00"/>
    <s v="Yasso Mint Chocolate Chip 8-4pk"/>
    <x v="39"/>
    <n v="3.3119999999999998E-3"/>
    <n v="165"/>
    <x v="4"/>
    <x v="33"/>
    <n v="1"/>
    <n v="0"/>
    <n v="0"/>
    <n v="0"/>
    <s v="Sep"/>
    <x v="16"/>
    <m/>
    <m/>
  </r>
  <r>
    <n v="64958128"/>
    <x v="12"/>
    <m/>
    <d v="2026-10-02T00:00:00"/>
    <s v="Yasso Mint Chocolate Chip 8-4pk"/>
    <x v="39"/>
    <n v="3.3119999999999998E-3"/>
    <n v="165"/>
    <x v="4"/>
    <x v="33"/>
    <n v="1"/>
    <n v="0"/>
    <n v="0"/>
    <n v="0"/>
    <s v="Oct"/>
    <x v="17"/>
    <m/>
    <m/>
  </r>
  <r>
    <n v="64958128"/>
    <x v="12"/>
    <n v="183693"/>
    <d v="2026-11-01T00:00:00"/>
    <s v="Yasso Mint Chocolate Chip 8-4pk"/>
    <x v="39"/>
    <n v="3.3119999999999998E-3"/>
    <n v="165"/>
    <x v="4"/>
    <x v="33"/>
    <n v="1"/>
    <n v="183693"/>
    <n v="608.39121599999999"/>
    <n v="1113.2909090909091"/>
    <s v="Nov"/>
    <x v="18"/>
    <m/>
    <m/>
  </r>
  <r>
    <n v="64958128"/>
    <x v="12"/>
    <m/>
    <d v="2026-12-01T00:00:00"/>
    <s v="Yasso Mint Chocolate Chip 8-4pk"/>
    <x v="39"/>
    <n v="3.3119999999999998E-3"/>
    <n v="165"/>
    <x v="4"/>
    <x v="33"/>
    <n v="1"/>
    <n v="0"/>
    <n v="0"/>
    <n v="0"/>
    <s v="Dec"/>
    <x v="19"/>
    <m/>
    <m/>
  </r>
  <r>
    <n v="65459033"/>
    <x v="1"/>
    <n v="5672.9999999999991"/>
    <d v="2026-06-01T00:00:00"/>
    <s v="BR Strawberry Shortcake 8 1PT"/>
    <x v="66"/>
    <n v="3.7839999999999996E-3"/>
    <n v="240"/>
    <x v="17"/>
    <x v="44"/>
    <n v="0.95"/>
    <n v="5389.3499999999985"/>
    <n v="20.393300399999994"/>
    <n v="22.455624999999994"/>
    <s v="Jun"/>
    <x v="13"/>
    <m/>
    <m/>
  </r>
  <r>
    <n v="65459033"/>
    <x v="1"/>
    <n v="7328"/>
    <d v="2026-07-01T00:00:00"/>
    <s v="BR Strawberry Shortcake 8 1PT"/>
    <x v="66"/>
    <n v="3.7839999999999996E-3"/>
    <n v="240"/>
    <x v="17"/>
    <x v="44"/>
    <n v="0.95"/>
    <n v="6961.5999999999995"/>
    <n v="26.342694399999996"/>
    <n v="29.006666666666664"/>
    <s v="Jul"/>
    <x v="14"/>
    <m/>
    <m/>
  </r>
  <r>
    <n v="65459033"/>
    <x v="1"/>
    <n v="9770.9999999999982"/>
    <d v="2026-08-01T00:00:00"/>
    <s v="BR Strawberry Shortcake 8 1PT"/>
    <x v="66"/>
    <n v="3.7839999999999996E-3"/>
    <n v="240"/>
    <x v="17"/>
    <x v="44"/>
    <n v="0.95"/>
    <n v="9282.4499999999971"/>
    <n v="35.124790799999985"/>
    <n v="38.676874999999988"/>
    <s v="Aug"/>
    <x v="15"/>
    <m/>
    <m/>
  </r>
  <r>
    <n v="65459033"/>
    <x v="1"/>
    <n v="9454.9999999999982"/>
    <d v="2026-09-01T00:00:00"/>
    <s v="BR Strawberry Shortcake 8 1PT"/>
    <x v="66"/>
    <n v="3.7839999999999996E-3"/>
    <n v="240"/>
    <x v="17"/>
    <x v="44"/>
    <n v="0.95"/>
    <n v="8982.2499999999982"/>
    <n v="33.98883399999999"/>
    <n v="37.426041666666656"/>
    <s v="Sep"/>
    <x v="16"/>
    <m/>
    <m/>
  </r>
  <r>
    <n v="65459033"/>
    <x v="1"/>
    <n v="9770.9999999999982"/>
    <d v="2026-10-01T00:00:00"/>
    <s v="BR Strawberry Shortcake 8 1PT"/>
    <x v="66"/>
    <n v="3.7839999999999996E-3"/>
    <n v="240"/>
    <x v="17"/>
    <x v="44"/>
    <n v="0.95"/>
    <n v="9282.4499999999971"/>
    <n v="35.124790799999985"/>
    <n v="38.676874999999988"/>
    <s v="Oct"/>
    <x v="17"/>
    <m/>
    <m/>
  </r>
  <r>
    <n v="65459033"/>
    <x v="1"/>
    <n v="9454.9999999999982"/>
    <d v="2026-11-01T00:00:00"/>
    <s v="BR Strawberry Shortcake 8 1PT"/>
    <x v="66"/>
    <n v="3.7839999999999996E-3"/>
    <n v="240"/>
    <x v="17"/>
    <x v="44"/>
    <n v="0.95"/>
    <n v="8982.2499999999982"/>
    <n v="33.98883399999999"/>
    <n v="37.426041666666656"/>
    <s v="Nov"/>
    <x v="18"/>
    <m/>
    <m/>
  </r>
  <r>
    <n v="65459033"/>
    <x v="1"/>
    <n v="9770.9999999999982"/>
    <d v="2026-12-01T00:00:00"/>
    <s v="BR Strawberry Shortcake 8 1PT"/>
    <x v="66"/>
    <n v="3.7839999999999996E-3"/>
    <n v="240"/>
    <x v="17"/>
    <x v="44"/>
    <n v="0.95"/>
    <n v="9282.4499999999971"/>
    <n v="35.124790799999985"/>
    <n v="38.676874999999988"/>
    <s v="Dec"/>
    <x v="19"/>
    <m/>
    <m/>
  </r>
  <r>
    <n v="65459388"/>
    <x v="1"/>
    <n v="3439"/>
    <d v="2026-06-01T00:00:00"/>
    <s v="BR Almond Joy 8 1PT"/>
    <x v="66"/>
    <n v="3.7839999999999996E-3"/>
    <n v="240"/>
    <x v="17"/>
    <x v="44"/>
    <n v="0.95"/>
    <n v="3267.0499999999997"/>
    <n v="12.362517199999997"/>
    <n v="13.612708333333332"/>
    <s v="Jun"/>
    <x v="13"/>
    <m/>
    <m/>
  </r>
  <r>
    <n v="65459388"/>
    <x v="1"/>
    <n v="4442"/>
    <d v="2026-07-01T00:00:00"/>
    <s v="BR Almond Joy 8 1PT"/>
    <x v="66"/>
    <n v="3.7839999999999996E-3"/>
    <n v="240"/>
    <x v="17"/>
    <x v="44"/>
    <n v="0.95"/>
    <n v="4219.8999999999996"/>
    <n v="15.968101599999997"/>
    <n v="17.582916666666666"/>
    <s v="Jul"/>
    <x v="14"/>
    <m/>
    <m/>
  </r>
  <r>
    <n v="65459388"/>
    <x v="1"/>
    <n v="5923.0000000000009"/>
    <d v="2026-08-01T00:00:00"/>
    <s v="BR Almond Joy 8 1PT"/>
    <x v="66"/>
    <n v="3.7839999999999996E-3"/>
    <n v="240"/>
    <x v="17"/>
    <x v="44"/>
    <n v="0.95"/>
    <n v="5626.85"/>
    <n v="21.292000399999999"/>
    <n v="23.445208333333333"/>
    <s v="Aug"/>
    <x v="15"/>
    <m/>
    <m/>
  </r>
  <r>
    <n v="65459388"/>
    <x v="1"/>
    <n v="5731.9999999999991"/>
    <d v="2026-09-01T00:00:00"/>
    <s v="BR Almond Joy 8 1PT"/>
    <x v="66"/>
    <n v="3.7839999999999996E-3"/>
    <n v="240"/>
    <x v="17"/>
    <x v="44"/>
    <n v="0.95"/>
    <n v="5445.3999999999987"/>
    <n v="20.605393599999992"/>
    <n v="22.689166666666662"/>
    <s v="Sep"/>
    <x v="16"/>
    <m/>
    <m/>
  </r>
  <r>
    <n v="65459388"/>
    <x v="1"/>
    <n v="5923.0000000000009"/>
    <d v="2026-10-01T00:00:00"/>
    <s v="BR Almond Joy 8 1PT"/>
    <x v="66"/>
    <n v="3.7839999999999996E-3"/>
    <n v="240"/>
    <x v="17"/>
    <x v="44"/>
    <n v="0.95"/>
    <n v="5626.85"/>
    <n v="21.292000399999999"/>
    <n v="23.445208333333333"/>
    <s v="Oct"/>
    <x v="17"/>
    <m/>
    <m/>
  </r>
  <r>
    <n v="65459388"/>
    <x v="1"/>
    <n v="5731.9999999999991"/>
    <d v="2026-11-01T00:00:00"/>
    <s v="BR Almond Joy 8 1PT"/>
    <x v="66"/>
    <n v="3.7839999999999996E-3"/>
    <n v="240"/>
    <x v="17"/>
    <x v="44"/>
    <n v="0.95"/>
    <n v="5445.3999999999987"/>
    <n v="20.605393599999992"/>
    <n v="22.689166666666662"/>
    <s v="Nov"/>
    <x v="18"/>
    <m/>
    <m/>
  </r>
  <r>
    <n v="65459388"/>
    <x v="1"/>
    <n v="5923.0000000000009"/>
    <d v="2026-12-01T00:00:00"/>
    <s v="BR Almond Joy 8 1PT"/>
    <x v="66"/>
    <n v="3.7839999999999996E-3"/>
    <n v="240"/>
    <x v="17"/>
    <x v="44"/>
    <n v="0.95"/>
    <n v="5626.85"/>
    <n v="21.292000399999999"/>
    <n v="23.445208333333333"/>
    <s v="Dec"/>
    <x v="19"/>
    <m/>
    <m/>
  </r>
  <r>
    <n v="65471855"/>
    <x v="1"/>
    <n v="4500"/>
    <d v="2026-06-01T00:00:00"/>
    <s v="BR Creamsicle 8 1PT"/>
    <x v="66"/>
    <n v="3.7839999999999996E-3"/>
    <n v="240"/>
    <x v="17"/>
    <x v="44"/>
    <n v="0.95"/>
    <n v="4275"/>
    <n v="16.176599999999997"/>
    <n v="17.8125"/>
    <s v="Jun"/>
    <x v="13"/>
    <m/>
    <m/>
  </r>
  <r>
    <n v="65471855"/>
    <x v="1"/>
    <n v="5812.9999999999991"/>
    <d v="2026-07-01T00:00:00"/>
    <s v="BR Creamsicle 8 1PT"/>
    <x v="66"/>
    <n v="3.7839999999999996E-3"/>
    <n v="240"/>
    <x v="17"/>
    <x v="44"/>
    <n v="0.95"/>
    <n v="5522.3499999999985"/>
    <n v="20.896572399999993"/>
    <n v="23.009791666666661"/>
    <s v="Jul"/>
    <x v="14"/>
    <m/>
    <m/>
  </r>
  <r>
    <n v="65471855"/>
    <x v="1"/>
    <n v="7750.0000000000009"/>
    <d v="2026-08-01T00:00:00"/>
    <s v="BR Creamsicle 8 1PT"/>
    <x v="66"/>
    <n v="3.7839999999999996E-3"/>
    <n v="240"/>
    <x v="17"/>
    <x v="44"/>
    <n v="0.95"/>
    <n v="7362.5000000000009"/>
    <n v="27.8597"/>
    <n v="30.677083333333336"/>
    <s v="Aug"/>
    <x v="15"/>
    <m/>
    <m/>
  </r>
  <r>
    <n v="65471855"/>
    <x v="1"/>
    <n v="7499.9999999999991"/>
    <d v="2026-09-01T00:00:00"/>
    <s v="BR Creamsicle 8 1PT"/>
    <x v="66"/>
    <n v="3.7839999999999996E-3"/>
    <n v="240"/>
    <x v="17"/>
    <x v="44"/>
    <n v="0.95"/>
    <n v="7124.9999999999991"/>
    <n v="26.960999999999995"/>
    <n v="29.687499999999996"/>
    <s v="Sep"/>
    <x v="16"/>
    <m/>
    <m/>
  </r>
  <r>
    <n v="65471855"/>
    <x v="1"/>
    <n v="7750.0000000000009"/>
    <d v="2026-10-01T00:00:00"/>
    <s v="BR Creamsicle 8 1PT"/>
    <x v="66"/>
    <n v="3.7839999999999996E-3"/>
    <n v="240"/>
    <x v="17"/>
    <x v="44"/>
    <n v="0.95"/>
    <n v="7362.5000000000009"/>
    <n v="27.8597"/>
    <n v="30.677083333333336"/>
    <s v="Oct"/>
    <x v="17"/>
    <m/>
    <m/>
  </r>
  <r>
    <n v="65471855"/>
    <x v="1"/>
    <n v="7499.9999999999991"/>
    <d v="2026-11-01T00:00:00"/>
    <s v="BR Creamsicle 8 1PT"/>
    <x v="66"/>
    <n v="3.7839999999999996E-3"/>
    <n v="240"/>
    <x v="17"/>
    <x v="44"/>
    <n v="0.95"/>
    <n v="7124.9999999999991"/>
    <n v="26.960999999999995"/>
    <n v="29.687499999999996"/>
    <s v="Nov"/>
    <x v="18"/>
    <m/>
    <m/>
  </r>
  <r>
    <n v="65471855"/>
    <x v="1"/>
    <n v="7750.0000000000009"/>
    <d v="2026-12-01T00:00:00"/>
    <s v="BR Creamsicle 8 1PT"/>
    <x v="66"/>
    <n v="3.7839999999999996E-3"/>
    <n v="240"/>
    <x v="17"/>
    <x v="44"/>
    <n v="0.95"/>
    <n v="7362.5000000000009"/>
    <n v="27.8597"/>
    <n v="30.677083333333336"/>
    <s v="Dec"/>
    <x v="19"/>
    <m/>
    <m/>
  </r>
  <r>
    <n v="64875812"/>
    <x v="20"/>
    <n v="37037.037037037"/>
    <d v="2026-04-05T00:00:00"/>
    <s v="KL Vanilla Sandwich 8-6 PK"/>
    <x v="67"/>
    <n v="6.0000000000000001E-3"/>
    <n v="108"/>
    <x v="12"/>
    <x v="53"/>
    <n v="1"/>
    <n v="37037.037037037"/>
    <n v="222.222222222222"/>
    <n v="342.93552812071295"/>
    <s v="Apr"/>
    <x v="23"/>
    <m/>
    <m/>
  </r>
  <r>
    <n v="64875812"/>
    <x v="20"/>
    <n v="70000"/>
    <d v="2026-05-05T00:00:00"/>
    <s v="KL Vanilla Sandwich 8-6 PK"/>
    <x v="67"/>
    <n v="6.0000000000000001E-3"/>
    <n v="108"/>
    <x v="12"/>
    <x v="53"/>
    <n v="1"/>
    <n v="70000"/>
    <n v="420"/>
    <n v="648.14814814814815"/>
    <s v="May"/>
    <x v="24"/>
    <m/>
    <m/>
  </r>
  <r>
    <n v="64875812"/>
    <x v="20"/>
    <n v="62037.037037037"/>
    <d v="2026-06-04T00:00:00"/>
    <s v="KL Vanilla Sandwich 8-6 PK"/>
    <x v="67"/>
    <n v="6.0000000000000001E-3"/>
    <n v="108"/>
    <x v="12"/>
    <x v="53"/>
    <n v="1"/>
    <n v="62037.037037037"/>
    <n v="372.222222222222"/>
    <n v="574.41700960219441"/>
    <s v="Jun"/>
    <x v="13"/>
    <m/>
    <m/>
  </r>
  <r>
    <n v="64875812"/>
    <x v="20"/>
    <n v="62034.537037037"/>
    <d v="2026-07-04T00:00:00"/>
    <s v="KL Vanilla Sandwich 8-6 PK"/>
    <x v="67"/>
    <n v="6.0000000000000001E-3"/>
    <n v="108"/>
    <x v="12"/>
    <x v="53"/>
    <n v="1"/>
    <n v="62034.537037037"/>
    <n v="372.20722222222201"/>
    <n v="574.39386145404626"/>
    <s v="Jul"/>
    <x v="14"/>
    <m/>
    <m/>
  </r>
  <r>
    <n v="64875812"/>
    <x v="20"/>
    <n v="62034.537037037"/>
    <d v="2026-08-03T00:00:00"/>
    <s v="KL Vanilla Sandwich 8-6 PK"/>
    <x v="67"/>
    <n v="6.0000000000000001E-3"/>
    <n v="108"/>
    <x v="12"/>
    <x v="53"/>
    <n v="1"/>
    <n v="62034.537037037"/>
    <n v="372.20722222222201"/>
    <n v="574.39386145404626"/>
    <s v="Aug"/>
    <x v="22"/>
    <m/>
    <m/>
  </r>
  <r>
    <n v="64875812"/>
    <x v="20"/>
    <n v="62037.037037037"/>
    <d v="2026-09-02T00:00:00"/>
    <s v="KL Vanilla Sandwich 8-6 PK"/>
    <x v="67"/>
    <n v="6.0000000000000001E-3"/>
    <n v="108"/>
    <x v="12"/>
    <x v="53"/>
    <n v="1"/>
    <n v="62037.037037037"/>
    <n v="372.222222222222"/>
    <n v="574.41700960219441"/>
    <s v="Sep"/>
    <x v="16"/>
    <m/>
    <m/>
  </r>
  <r>
    <n v="64875812"/>
    <x v="20"/>
    <n v="49537.037037037"/>
    <d v="2026-10-02T00:00:00"/>
    <s v="KL Vanilla Sandwich 8-6 PK"/>
    <x v="67"/>
    <n v="6.0000000000000001E-3"/>
    <n v="108"/>
    <x v="12"/>
    <x v="53"/>
    <n v="1"/>
    <n v="49537.037037037"/>
    <n v="297.222222222222"/>
    <n v="458.67626886145371"/>
    <s v="Oct"/>
    <x v="17"/>
    <m/>
    <m/>
  </r>
  <r>
    <n v="64875812"/>
    <x v="20"/>
    <n v="45370.370370370401"/>
    <d v="2026-11-01T00:00:00"/>
    <s v="KL Vanilla Sandwich 8-6 PK"/>
    <x v="67"/>
    <n v="6.0000000000000001E-3"/>
    <n v="108"/>
    <x v="12"/>
    <x v="53"/>
    <n v="1"/>
    <n v="45370.370370370401"/>
    <n v="272.2222222222224"/>
    <n v="420.09602194787408"/>
    <s v="Nov"/>
    <x v="18"/>
    <m/>
    <m/>
  </r>
  <r>
    <n v="64875812"/>
    <x v="20"/>
    <n v="45370.370370370401"/>
    <d v="2026-12-01T00:00:00"/>
    <s v="KL Vanilla Sandwich 8-6 PK"/>
    <x v="67"/>
    <n v="6.0000000000000001E-3"/>
    <n v="108"/>
    <x v="12"/>
    <x v="53"/>
    <n v="1"/>
    <n v="45370.370370370401"/>
    <n v="272.2222222222224"/>
    <n v="420.09602194787408"/>
    <s v="Dec"/>
    <x v="19"/>
    <m/>
    <m/>
  </r>
  <r>
    <n v="64776958"/>
    <x v="5"/>
    <n v="217366.75700090337"/>
    <d v="2026-07-04T00:00:00"/>
    <s v="PS OCG 6-18PK"/>
    <x v="34"/>
    <n v="5.2680000000000001E-3"/>
    <n v="130"/>
    <x v="6"/>
    <x v="22"/>
    <n v="1"/>
    <n v="217366.75700090337"/>
    <n v="1145.0880758807589"/>
    <n v="1672.0519769300258"/>
    <s v="Jul"/>
    <x v="14"/>
    <m/>
    <m/>
  </r>
  <r>
    <n v="64776958"/>
    <x v="5"/>
    <n v="225129.85546522131"/>
    <d v="2026-08-03T00:00:00"/>
    <s v="PS OCG 6-18PK"/>
    <x v="34"/>
    <n v="5.2680000000000001E-3"/>
    <n v="130"/>
    <x v="6"/>
    <x v="22"/>
    <n v="1"/>
    <n v="225129.85546522131"/>
    <n v="1185.9840785907859"/>
    <n v="1731.7681189632408"/>
    <s v="Aug"/>
    <x v="22"/>
    <m/>
    <m/>
  </r>
  <r>
    <n v="64776958"/>
    <x v="5"/>
    <n v="217366.75700090337"/>
    <d v="2026-09-02T00:00:00"/>
    <s v="PS OCG 6-18PK"/>
    <x v="34"/>
    <n v="5.2680000000000001E-3"/>
    <n v="130"/>
    <x v="6"/>
    <x v="22"/>
    <n v="1"/>
    <n v="217366.75700090337"/>
    <n v="1145.0880758807589"/>
    <n v="1672.0519769300258"/>
    <s v="Sep"/>
    <x v="16"/>
    <m/>
    <m/>
  </r>
  <r>
    <n v="64776958"/>
    <x v="5"/>
    <n v="232892.9539295393"/>
    <d v="2026-10-02T00:00:00"/>
    <s v="PS OCG 6-18PK"/>
    <x v="34"/>
    <n v="5.2680000000000001E-3"/>
    <n v="130"/>
    <x v="6"/>
    <x v="22"/>
    <n v="1"/>
    <n v="232892.9539295393"/>
    <n v="1226.8800813008131"/>
    <n v="1791.4842609964562"/>
    <s v="Oct"/>
    <x v="17"/>
    <m/>
    <m/>
  </r>
  <r>
    <n v="64776958"/>
    <x v="5"/>
    <m/>
    <d v="2026-11-01T00:00:00"/>
    <s v="PS OCG 6-18PK"/>
    <x v="34"/>
    <n v="5.2680000000000001E-3"/>
    <n v="130"/>
    <x v="6"/>
    <x v="22"/>
    <n v="1"/>
    <n v="0"/>
    <n v="0"/>
    <n v="0"/>
    <s v="Nov"/>
    <x v="18"/>
    <m/>
    <m/>
  </r>
  <r>
    <n v="64776958"/>
    <x v="5"/>
    <m/>
    <d v="2026-12-01T00:00:00"/>
    <s v="PS OCG 6-18PK"/>
    <x v="34"/>
    <n v="5.2680000000000001E-3"/>
    <n v="130"/>
    <x v="6"/>
    <x v="22"/>
    <n v="1"/>
    <n v="0"/>
    <n v="0"/>
    <n v="0"/>
    <s v="Dec"/>
    <x v="19"/>
    <m/>
    <m/>
  </r>
  <r>
    <n v="69629468"/>
    <x v="1"/>
    <m/>
    <d v="2026-03-23T00:00:00"/>
    <s v="PS Fudgesicle NSA 6-18PK"/>
    <x v="68"/>
    <n v="5.2680000000000001E-3"/>
    <n v="130"/>
    <x v="6"/>
    <x v="7"/>
    <n v="0.96"/>
    <n v="0"/>
    <n v="0"/>
    <n v="0"/>
    <s v="Mar"/>
    <x v="10"/>
    <m/>
    <m/>
  </r>
  <r>
    <n v="64976851"/>
    <x v="12"/>
    <m/>
    <d v="2026-03-16T00:00:00"/>
    <s v="Yasso Caramel Chocolate Crunch 8-4pk"/>
    <x v="69"/>
    <n v="2.5040000000000001E-3"/>
    <n v="165"/>
    <x v="4"/>
    <x v="33"/>
    <n v="0.96"/>
    <n v="0"/>
    <n v="0"/>
    <n v="0"/>
    <s v="Mar"/>
    <x v="9"/>
    <m/>
    <m/>
  </r>
  <r>
    <n v="68741742"/>
    <x v="1"/>
    <n v="308"/>
    <d v="2026-03-16T00:00:00"/>
    <s v="GH Strawberry Shortcake Bar 8-6PK"/>
    <x v="59"/>
    <n v="4.2560000000000002E-3"/>
    <n v="154"/>
    <x v="7"/>
    <x v="10"/>
    <n v="0.96"/>
    <n v="295.68"/>
    <n v="1.2584140800000001"/>
    <n v="1.9200000000000002"/>
    <s v="Mar"/>
    <x v="9"/>
    <m/>
    <m/>
  </r>
  <r>
    <n v="69552657"/>
    <x v="14"/>
    <n v="319"/>
    <d v="2026-03-30T00:00:00"/>
    <s v="KL Cone Reeses PB Reeses Chocolate 6-8CT"/>
    <x v="70"/>
    <n v="5.3220000000000003E-3"/>
    <n v="108"/>
    <x v="22"/>
    <x v="38"/>
    <n v="0.96"/>
    <n v="306.24"/>
    <n v="1.6298092800000001"/>
    <n v="2.8355555555555556"/>
    <s v="Mar"/>
    <x v="20"/>
    <m/>
    <m/>
  </r>
  <r>
    <n v="69653125"/>
    <x v="15"/>
    <n v="360"/>
    <d v="2026-04-13T00:00:00"/>
    <s v="BR Chocolate 6 10CT 3z"/>
    <x v="69"/>
    <n v="5.3220000000000003E-3"/>
    <n v="120"/>
    <x v="23"/>
    <x v="40"/>
    <n v="0.96"/>
    <n v="345.59999999999997"/>
    <n v="1.8392831999999999"/>
    <n v="2.88"/>
    <s v="Apr"/>
    <x v="25"/>
    <m/>
    <m/>
  </r>
  <r>
    <n v="68852591"/>
    <x v="1"/>
    <n v="396"/>
    <d v="2026-03-16T00:00:00"/>
    <s v="KL Heath Bar 12-6PK"/>
    <x v="71"/>
    <n v="8.5199999999999998E-3"/>
    <n v="132"/>
    <x v="1"/>
    <x v="11"/>
    <n v="0.96"/>
    <n v="380.15999999999997"/>
    <n v="3.2389631999999997"/>
    <n v="2.88"/>
    <s v="Mar"/>
    <x v="9"/>
    <m/>
    <m/>
  </r>
  <r>
    <n v="17093"/>
    <x v="3"/>
    <n v="620"/>
    <d v="2026-05-11T00:00:00"/>
    <s v="BJ Nat Fdg Brwni Btr 6 6 LB"/>
    <x v="70"/>
    <n v="1.35E-2"/>
    <n v="50"/>
    <x v="13"/>
    <x v="20"/>
    <n v="0.85"/>
    <n v="527"/>
    <n v="7.1144999999999996"/>
    <n v="10.54"/>
    <s v="May"/>
    <x v="26"/>
    <m/>
    <m/>
  </r>
  <r>
    <n v="64804361"/>
    <x v="8"/>
    <n v="756"/>
    <d v="2026-04-13T00:00:00"/>
    <s v="BJ US-PUP-Pumpkincoockie 108p 4flz"/>
    <x v="69"/>
    <n v="1.2960000000000001E-2"/>
    <n v="50"/>
    <x v="18"/>
    <x v="26"/>
    <n v="0.96"/>
    <n v="725.76"/>
    <n v="9.4058495999999998"/>
    <n v="14.5152"/>
    <s v="Apr"/>
    <x v="25"/>
    <m/>
    <m/>
  </r>
  <r>
    <n v="64804361"/>
    <x v="8"/>
    <n v="756"/>
    <d v="2026-12-14T00:00:00"/>
    <s v="BJ US-PUP-Pumpkincoockie 108p 4flz"/>
    <x v="69"/>
    <n v="1.2960000000000001E-2"/>
    <n v="50"/>
    <x v="18"/>
    <x v="26"/>
    <n v="0.96"/>
    <n v="725.76"/>
    <n v="9.4058495999999998"/>
    <n v="14.5152"/>
    <s v="Dec"/>
    <x v="27"/>
    <m/>
    <m/>
  </r>
  <r>
    <n v="64806254"/>
    <x v="8"/>
    <n v="756"/>
    <d v="2026-06-15T00:00:00"/>
    <s v="BJ US-PUP-PB Pretzel 108p 4FOZ"/>
    <x v="69"/>
    <n v="1.2960000000000001E-2"/>
    <n v="50"/>
    <x v="18"/>
    <x v="26"/>
    <n v="0.96"/>
    <n v="725.76"/>
    <n v="9.4058495999999998"/>
    <n v="14.5152"/>
    <s v="Jun"/>
    <x v="28"/>
    <m/>
    <m/>
  </r>
  <r>
    <n v="64806254"/>
    <x v="8"/>
    <n v="756"/>
    <d v="2026-08-17T00:00:00"/>
    <s v="BJ US-PUP-PB Pretzel 108p 4FOZ"/>
    <x v="69"/>
    <n v="1.2960000000000001E-2"/>
    <n v="50"/>
    <x v="18"/>
    <x v="26"/>
    <n v="0.96"/>
    <n v="725.76"/>
    <n v="9.4058495999999998"/>
    <n v="14.5152"/>
    <s v="Aug"/>
    <x v="29"/>
    <m/>
    <m/>
  </r>
  <r>
    <n v="64806254"/>
    <x v="8"/>
    <n v="756"/>
    <d v="2026-12-14T00:00:00"/>
    <s v="BJ US-PUP-PB Pretzel 108p 4FOZ"/>
    <x v="69"/>
    <n v="1.2960000000000001E-2"/>
    <n v="50"/>
    <x v="18"/>
    <x v="26"/>
    <n v="0.96"/>
    <n v="725.76"/>
    <n v="9.4058495999999998"/>
    <n v="14.5152"/>
    <s v="Dec"/>
    <x v="27"/>
    <m/>
    <m/>
  </r>
  <r>
    <n v="69552657"/>
    <x v="14"/>
    <n v="804"/>
    <d v="2026-03-23T00:00:00"/>
    <s v="KL Cone Reeses PB Reeses Chocolate 6-8CT"/>
    <x v="70"/>
    <n v="5.3220000000000003E-3"/>
    <n v="108"/>
    <x v="22"/>
    <x v="38"/>
    <n v="0.96"/>
    <n v="771.83999999999992"/>
    <n v="4.1077324800000001"/>
    <n v="7.1466666666666656"/>
    <s v="Mar"/>
    <x v="10"/>
    <m/>
    <m/>
  </r>
  <r>
    <n v="64958122"/>
    <x v="12"/>
    <m/>
    <d v="2026-03-16T00:00:00"/>
    <s v="Yasso Sea Salt Caramel 8-4pk"/>
    <x v="69"/>
    <n v="3.3119999999999998E-3"/>
    <n v="165"/>
    <x v="4"/>
    <x v="33"/>
    <n v="0.96"/>
    <n v="0"/>
    <n v="0"/>
    <n v="0"/>
    <s v="Mar"/>
    <x v="9"/>
    <m/>
    <m/>
  </r>
  <r>
    <n v="64989109"/>
    <x v="18"/>
    <n v="1065"/>
    <d v="2026-03-30T00:00:00"/>
    <s v="BR Natural Vanilla 6 10CT 3z"/>
    <x v="69"/>
    <n v="5.3220000000000003E-3"/>
    <n v="120"/>
    <x v="23"/>
    <x v="43"/>
    <n v="0.96"/>
    <n v="1022.4"/>
    <n v="5.4412128000000006"/>
    <n v="8.52"/>
    <s v="Mar"/>
    <x v="20"/>
    <m/>
    <m/>
  </r>
  <r>
    <n v="64401837"/>
    <x v="7"/>
    <n v="1170"/>
    <d v="2026-04-13T00:00:00"/>
    <s v="PS Frozen Olaf Facepiece IH 6-6PK"/>
    <x v="70"/>
    <n v="2.16E-3"/>
    <n v="150"/>
    <x v="16"/>
    <x v="24"/>
    <n v="0.96"/>
    <n v="1123.2"/>
    <n v="2.4261120000000003"/>
    <n v="7.4880000000000004"/>
    <s v="Apr"/>
    <x v="25"/>
    <m/>
    <m/>
  </r>
  <r>
    <n v="64875812"/>
    <x v="16"/>
    <n v="1422"/>
    <d v="2026-03-23T00:00:00"/>
    <s v="KL Vanilla Sandwich 8-6 PK"/>
    <x v="69"/>
    <n v="6.0000000000000001E-3"/>
    <n v="108"/>
    <x v="12"/>
    <x v="41"/>
    <n v="0.96"/>
    <n v="1365.12"/>
    <n v="8.1907199999999989"/>
    <n v="12.639999999999999"/>
    <s v="Mar"/>
    <x v="10"/>
    <m/>
    <m/>
  </r>
  <r>
    <n v="65489677"/>
    <x v="12"/>
    <n v="1953"/>
    <d v="2026-03-16T00:00:00"/>
    <s v="GH King Cone Giant VAN CHOC 1-12PK"/>
    <x v="70"/>
    <n v="2.8319999999999999E-3"/>
    <n v="221"/>
    <x v="17"/>
    <x v="34"/>
    <n v="0.96"/>
    <n v="1874.8799999999999"/>
    <n v="5.3096601599999991"/>
    <n v="8.4836199095022611"/>
    <s v="Mar"/>
    <x v="9"/>
    <m/>
    <m/>
  </r>
  <r>
    <n v="67881629"/>
    <x v="3"/>
    <n v="1966"/>
    <d v="2026-03-23T00:00:00"/>
    <s v="BJ US-COR-BrownieBatter-8 1PT"/>
    <x v="72"/>
    <n v="3.7853439999999999E-3"/>
    <n v="240"/>
    <x v="3"/>
    <x v="13"/>
    <n v="0.95"/>
    <n v="1867.6999999999998"/>
    <n v="7.0698869887999995"/>
    <n v="7.7820833333333326"/>
    <s v="Mar"/>
    <x v="10"/>
    <m/>
    <m/>
  </r>
  <r>
    <n v="64976848"/>
    <x v="10"/>
    <m/>
    <d v="2026-03-16T00:00:00"/>
    <s v="Yasso Fudge Chocolate Crunch 8-4pk"/>
    <x v="69"/>
    <n v="2.5040000000000001E-3"/>
    <n v="165"/>
    <x v="4"/>
    <x v="30"/>
    <n v="0.96"/>
    <n v="0"/>
    <n v="0"/>
    <n v="0"/>
    <s v="Mar"/>
    <x v="9"/>
    <m/>
    <m/>
  </r>
  <r>
    <n v="64325624"/>
    <x v="9"/>
    <n v="2200"/>
    <d v="2026-06-15T00:00:00"/>
    <s v="Yasso Sea Salt Car Poppables 10-6.84flz"/>
    <x v="69"/>
    <n v="2.0200000000000001E-3"/>
    <n v="200"/>
    <x v="20"/>
    <x v="29"/>
    <n v="0.96"/>
    <n v="2112"/>
    <n v="4.2662399999999998"/>
    <n v="10.56"/>
    <s v="Jun"/>
    <x v="28"/>
    <m/>
    <m/>
  </r>
  <r>
    <n v="64325624"/>
    <x v="9"/>
    <n v="2200"/>
    <d v="2026-06-29T00:00:00"/>
    <s v="Yasso Sea Salt Car Poppables 10-6.84flz"/>
    <x v="69"/>
    <n v="2.0200000000000001E-3"/>
    <n v="200"/>
    <x v="20"/>
    <x v="29"/>
    <n v="0.96"/>
    <n v="2112"/>
    <n v="4.2662399999999998"/>
    <n v="10.56"/>
    <s v="Jun"/>
    <x v="14"/>
    <m/>
    <m/>
  </r>
  <r>
    <n v="64325624"/>
    <x v="9"/>
    <n v="2200"/>
    <d v="2026-07-06T00:00:00"/>
    <s v="Yasso Sea Salt Car Poppables 10-6.84flz"/>
    <x v="69"/>
    <n v="2.0200000000000001E-3"/>
    <n v="200"/>
    <x v="20"/>
    <x v="29"/>
    <n v="0.96"/>
    <n v="2112"/>
    <n v="4.2662399999999998"/>
    <n v="10.56"/>
    <s v="Jul"/>
    <x v="30"/>
    <m/>
    <m/>
  </r>
  <r>
    <n v="64325624"/>
    <x v="9"/>
    <n v="2200"/>
    <d v="2026-07-20T00:00:00"/>
    <s v="Yasso Sea Salt Car Poppables 10-6.84flz"/>
    <x v="69"/>
    <n v="2.0200000000000001E-3"/>
    <n v="200"/>
    <x v="20"/>
    <x v="29"/>
    <n v="0.96"/>
    <n v="2112"/>
    <n v="4.2662399999999998"/>
    <n v="10.56"/>
    <s v="Jul"/>
    <x v="31"/>
    <m/>
    <m/>
  </r>
  <r>
    <n v="64325624"/>
    <x v="9"/>
    <n v="2200"/>
    <d v="2026-08-03T00:00:00"/>
    <s v="Yasso Sea Salt Car Poppables 10-6.84flz"/>
    <x v="69"/>
    <n v="2.0200000000000001E-3"/>
    <n v="200"/>
    <x v="20"/>
    <x v="29"/>
    <n v="0.96"/>
    <n v="2112"/>
    <n v="4.2662399999999998"/>
    <n v="10.56"/>
    <s v="Aug"/>
    <x v="22"/>
    <m/>
    <m/>
  </r>
  <r>
    <n v="64325624"/>
    <x v="9"/>
    <n v="2200"/>
    <d v="2026-09-07T00:00:00"/>
    <s v="Yasso Sea Salt Car Poppables 10-6.84flz"/>
    <x v="69"/>
    <n v="2.0200000000000001E-3"/>
    <n v="200"/>
    <x v="20"/>
    <x v="29"/>
    <n v="0.96"/>
    <n v="2112"/>
    <n v="4.2662399999999998"/>
    <n v="10.56"/>
    <s v="Sep"/>
    <x v="32"/>
    <m/>
    <m/>
  </r>
  <r>
    <n v="64325624"/>
    <x v="9"/>
    <n v="2200"/>
    <d v="2026-10-26T00:00:00"/>
    <s v="Yasso Sea Salt Car Poppables 10-6.84flz"/>
    <x v="69"/>
    <n v="2.0200000000000001E-3"/>
    <n v="200"/>
    <x v="20"/>
    <x v="29"/>
    <n v="0.96"/>
    <n v="2112"/>
    <n v="4.2662399999999998"/>
    <n v="10.56"/>
    <s v="Oct"/>
    <x v="33"/>
    <m/>
    <m/>
  </r>
  <r>
    <n v="64325625"/>
    <x v="9"/>
    <n v="2200"/>
    <d v="2026-07-06T00:00:00"/>
    <s v="Yasso Vanilla Bean Poppables 10-6.84flz"/>
    <x v="69"/>
    <n v="2.0200000000000001E-3"/>
    <n v="200"/>
    <x v="20"/>
    <x v="29"/>
    <n v="0.96"/>
    <n v="2112"/>
    <n v="4.2662399999999998"/>
    <n v="10.56"/>
    <s v="Jul"/>
    <x v="30"/>
    <m/>
    <m/>
  </r>
  <r>
    <n v="64325625"/>
    <x v="9"/>
    <n v="2200"/>
    <d v="2026-07-20T00:00:00"/>
    <s v="Yasso Vanilla Bean Poppables 10-6.84flz"/>
    <x v="69"/>
    <n v="2.0200000000000001E-3"/>
    <n v="200"/>
    <x v="20"/>
    <x v="29"/>
    <n v="0.96"/>
    <n v="2112"/>
    <n v="4.2662399999999998"/>
    <n v="10.56"/>
    <s v="Jul"/>
    <x v="31"/>
    <m/>
    <m/>
  </r>
  <r>
    <n v="64325625"/>
    <x v="9"/>
    <n v="2200"/>
    <d v="2026-07-27T00:00:00"/>
    <s v="Yasso Vanilla Bean Poppables 10-6.84flz"/>
    <x v="69"/>
    <n v="2.0200000000000001E-3"/>
    <n v="200"/>
    <x v="20"/>
    <x v="29"/>
    <n v="0.96"/>
    <n v="2112"/>
    <n v="4.2662399999999998"/>
    <n v="10.56"/>
    <s v="Jul"/>
    <x v="15"/>
    <m/>
    <m/>
  </r>
  <r>
    <n v="64325625"/>
    <x v="9"/>
    <n v="2200"/>
    <d v="2026-08-10T00:00:00"/>
    <s v="Yasso Vanilla Bean Poppables 10-6.84flz"/>
    <x v="69"/>
    <n v="2.0200000000000001E-3"/>
    <n v="200"/>
    <x v="20"/>
    <x v="29"/>
    <n v="0.96"/>
    <n v="2112"/>
    <n v="4.2662399999999998"/>
    <n v="10.56"/>
    <s v="Aug"/>
    <x v="34"/>
    <m/>
    <m/>
  </r>
  <r>
    <n v="64325625"/>
    <x v="9"/>
    <n v="2200"/>
    <d v="2026-08-24T00:00:00"/>
    <s v="Yasso Vanilla Bean Poppables 10-6.84flz"/>
    <x v="69"/>
    <n v="2.0200000000000001E-3"/>
    <n v="200"/>
    <x v="20"/>
    <x v="29"/>
    <n v="0.96"/>
    <n v="2112"/>
    <n v="4.2662399999999998"/>
    <n v="10.56"/>
    <s v="Aug"/>
    <x v="35"/>
    <m/>
    <m/>
  </r>
  <r>
    <n v="64325625"/>
    <x v="9"/>
    <n v="2200"/>
    <d v="2026-09-07T00:00:00"/>
    <s v="Yasso Vanilla Bean Poppables 10-6.84flz"/>
    <x v="69"/>
    <n v="2.0200000000000001E-3"/>
    <n v="200"/>
    <x v="20"/>
    <x v="29"/>
    <n v="0.96"/>
    <n v="2112"/>
    <n v="4.2662399999999998"/>
    <n v="10.56"/>
    <s v="Sep"/>
    <x v="32"/>
    <m/>
    <m/>
  </r>
  <r>
    <n v="64325625"/>
    <x v="9"/>
    <n v="2200"/>
    <d v="2026-09-28T00:00:00"/>
    <s v="Yasso Vanilla Bean Poppables 10-6.84flz"/>
    <x v="69"/>
    <n v="2.0200000000000001E-3"/>
    <n v="200"/>
    <x v="20"/>
    <x v="29"/>
    <n v="0.96"/>
    <n v="2112"/>
    <n v="4.2662399999999998"/>
    <n v="10.56"/>
    <s v="Sep"/>
    <x v="17"/>
    <m/>
    <m/>
  </r>
  <r>
    <n v="64325625"/>
    <x v="9"/>
    <n v="2200"/>
    <d v="2026-10-12T00:00:00"/>
    <s v="Yasso Vanilla Bean Poppables 10-6.84flz"/>
    <x v="69"/>
    <n v="2.0200000000000001E-3"/>
    <n v="200"/>
    <x v="20"/>
    <x v="29"/>
    <n v="0.96"/>
    <n v="2112"/>
    <n v="4.2662399999999998"/>
    <n v="10.56"/>
    <s v="Oct"/>
    <x v="36"/>
    <m/>
    <m/>
  </r>
  <r>
    <n v="64325625"/>
    <x v="9"/>
    <n v="2200"/>
    <d v="2026-10-26T00:00:00"/>
    <s v="Yasso Vanilla Bean Poppables 10-6.84flz"/>
    <x v="69"/>
    <n v="2.0200000000000001E-3"/>
    <n v="200"/>
    <x v="20"/>
    <x v="29"/>
    <n v="0.96"/>
    <n v="2112"/>
    <n v="4.2662399999999998"/>
    <n v="10.56"/>
    <s v="Oct"/>
    <x v="33"/>
    <m/>
    <m/>
  </r>
  <r>
    <n v="64325625"/>
    <x v="9"/>
    <n v="2200"/>
    <d v="2026-11-09T00:00:00"/>
    <s v="Yasso Vanilla Bean Poppables 10-6.84flz"/>
    <x v="69"/>
    <n v="2.0200000000000001E-3"/>
    <n v="200"/>
    <x v="20"/>
    <x v="29"/>
    <n v="0.96"/>
    <n v="2112"/>
    <n v="4.2662399999999998"/>
    <n v="10.56"/>
    <s v="Nov"/>
    <x v="37"/>
    <m/>
    <m/>
  </r>
  <r>
    <n v="64326407"/>
    <x v="9"/>
    <n v="2200"/>
    <d v="2026-06-29T00:00:00"/>
    <s v="Yasso Coffee Poppables 10-6.84flz"/>
    <x v="69"/>
    <n v="2.0200000000000001E-3"/>
    <n v="200"/>
    <x v="20"/>
    <x v="29"/>
    <n v="0.96"/>
    <n v="2112"/>
    <n v="4.2662399999999998"/>
    <n v="10.56"/>
    <s v="Jun"/>
    <x v="14"/>
    <m/>
    <m/>
  </r>
  <r>
    <n v="64326407"/>
    <x v="9"/>
    <n v="2200"/>
    <d v="2026-08-17T00:00:00"/>
    <s v="Yasso Coffee Poppables 10-6.84flz"/>
    <x v="69"/>
    <n v="2.0200000000000001E-3"/>
    <n v="200"/>
    <x v="20"/>
    <x v="29"/>
    <n v="0.96"/>
    <n v="2112"/>
    <n v="4.2662399999999998"/>
    <n v="10.56"/>
    <s v="Aug"/>
    <x v="29"/>
    <m/>
    <m/>
  </r>
  <r>
    <n v="64326407"/>
    <x v="9"/>
    <n v="2200"/>
    <d v="2026-09-28T00:00:00"/>
    <s v="Yasso Coffee Poppables 10-6.84flz"/>
    <x v="69"/>
    <n v="2.0200000000000001E-3"/>
    <n v="200"/>
    <x v="20"/>
    <x v="29"/>
    <n v="0.96"/>
    <n v="2112"/>
    <n v="4.2662399999999998"/>
    <n v="10.56"/>
    <s v="Sep"/>
    <x v="17"/>
    <m/>
    <m/>
  </r>
  <r>
    <n v="64388736"/>
    <x v="9"/>
    <n v="2200"/>
    <d v="2026-09-14T00:00:00"/>
    <s v="Yasso Fudge Poppables 10p 6.84flz"/>
    <x v="69"/>
    <n v="2.0200000000000001E-3"/>
    <n v="200"/>
    <x v="20"/>
    <x v="29"/>
    <n v="0.96"/>
    <n v="2112"/>
    <n v="4.2662399999999998"/>
    <n v="10.56"/>
    <s v="Sep"/>
    <x v="38"/>
    <m/>
    <m/>
  </r>
  <r>
    <n v="64388736"/>
    <x v="9"/>
    <n v="2200"/>
    <d v="2026-11-02T00:00:00"/>
    <s v="Yasso Fudge Poppables 10p 6.84flz"/>
    <x v="69"/>
    <n v="2.0200000000000001E-3"/>
    <n v="200"/>
    <x v="20"/>
    <x v="29"/>
    <n v="0.96"/>
    <n v="2112"/>
    <n v="4.2662399999999998"/>
    <n v="10.56"/>
    <s v="Nov"/>
    <x v="18"/>
    <m/>
    <m/>
  </r>
  <r>
    <n v="64410857"/>
    <x v="14"/>
    <n v="2596"/>
    <d v="2026-05-11T00:00:00"/>
    <s v="Holanda Solero Lime 8-4pk"/>
    <x v="70"/>
    <n v="5.2000000000000006E-4"/>
    <n v="135"/>
    <x v="17"/>
    <x v="39"/>
    <n v="0.96"/>
    <n v="2492.16"/>
    <n v="1.2959232000000001"/>
    <n v="18.460444444444445"/>
    <s v="May"/>
    <x v="26"/>
    <m/>
    <m/>
  </r>
  <r>
    <n v="64410857"/>
    <x v="14"/>
    <n v="2596"/>
    <d v="2026-05-18T00:00:00"/>
    <s v="Holanda Solero Lime 8-4pk"/>
    <x v="70"/>
    <n v="5.2000000000000006E-4"/>
    <n v="135"/>
    <x v="17"/>
    <x v="39"/>
    <n v="0.96"/>
    <n v="2492.16"/>
    <n v="1.2959232000000001"/>
    <n v="18.460444444444445"/>
    <s v="May"/>
    <x v="39"/>
    <m/>
    <m/>
  </r>
  <r>
    <n v="68817792"/>
    <x v="0"/>
    <n v="2700"/>
    <d v="2026-05-11T00:00:00"/>
    <s v="BR HA Strawberry 6 1.5QT"/>
    <x v="73"/>
    <n v="8.5199999999999998E-3"/>
    <n v="154"/>
    <x v="0"/>
    <x v="0"/>
    <n v="0.94"/>
    <n v="2538"/>
    <n v="21.623760000000001"/>
    <n v="16.480519480519479"/>
    <s v="May"/>
    <x v="26"/>
    <m/>
    <m/>
  </r>
  <r>
    <n v="68881268"/>
    <x v="0"/>
    <n v="2700"/>
    <d v="2026-05-18T00:00:00"/>
    <s v="BR HA Cookies and Cream 6 1.5QT"/>
    <x v="74"/>
    <n v="8.5199999999999998E-3"/>
    <n v="154"/>
    <x v="0"/>
    <x v="0"/>
    <n v="0.94"/>
    <n v="2538"/>
    <n v="21.623760000000001"/>
    <n v="16.480519480519479"/>
    <s v="May"/>
    <x v="39"/>
    <m/>
    <m/>
  </r>
  <r>
    <n v="68709233"/>
    <x v="0"/>
    <n v="2786"/>
    <d v="2026-03-16T00:00:00"/>
    <s v="KL SAB RF NSA Vanilla Bar 12-6PK"/>
    <x v="75"/>
    <n v="8.4960000000000001E-3"/>
    <n v="132"/>
    <x v="1"/>
    <x v="2"/>
    <n v="0.96"/>
    <n v="2674.56"/>
    <n v="22.72306176"/>
    <n v="20.261818181818182"/>
    <s v="Mar"/>
    <x v="9"/>
    <m/>
    <m/>
  </r>
  <r>
    <n v="64956417"/>
    <x v="7"/>
    <n v="2860"/>
    <d v="2026-04-20T00:00:00"/>
    <s v="PS Hello Kitty Facepiece IH 6-6PK"/>
    <x v="70"/>
    <n v="2.16E-3"/>
    <n v="143"/>
    <x v="16"/>
    <x v="24"/>
    <n v="0.96"/>
    <n v="2745.6"/>
    <n v="5.9304959999999998"/>
    <n v="19.2"/>
    <s v="Apr"/>
    <x v="40"/>
    <m/>
    <m/>
  </r>
  <r>
    <n v="64804365"/>
    <x v="8"/>
    <n v="2970"/>
    <d v="2026-04-13T00:00:00"/>
    <s v="BJ US-PUP-PB Pretzel 6-4PK"/>
    <x v="69"/>
    <n v="2.8799999999999997E-3"/>
    <n v="180"/>
    <x v="18"/>
    <x v="26"/>
    <n v="0.96"/>
    <n v="2851.2"/>
    <n v="8.2114559999999983"/>
    <n v="15.84"/>
    <s v="Apr"/>
    <x v="25"/>
    <m/>
    <m/>
  </r>
  <r>
    <n v="64804365"/>
    <x v="8"/>
    <n v="2970"/>
    <d v="2026-08-24T00:00:00"/>
    <s v="BJ US-PUP-PB Pretzel 6-4PK"/>
    <x v="69"/>
    <n v="2.8799999999999997E-3"/>
    <n v="180"/>
    <x v="18"/>
    <x v="26"/>
    <n v="0.96"/>
    <n v="2851.2"/>
    <n v="8.2114559999999983"/>
    <n v="15.84"/>
    <s v="Aug"/>
    <x v="35"/>
    <m/>
    <m/>
  </r>
  <r>
    <n v="64804365"/>
    <x v="8"/>
    <n v="2970"/>
    <d v="2026-09-14T00:00:00"/>
    <s v="BJ US-PUP-PB Pretzel 6-4PK"/>
    <x v="69"/>
    <n v="2.8799999999999997E-3"/>
    <n v="180"/>
    <x v="18"/>
    <x v="26"/>
    <n v="0.96"/>
    <n v="2851.2"/>
    <n v="8.2114559999999983"/>
    <n v="15.84"/>
    <s v="Sep"/>
    <x v="38"/>
    <m/>
    <m/>
  </r>
  <r>
    <n v="64804365"/>
    <x v="8"/>
    <n v="2970"/>
    <d v="2026-09-28T00:00:00"/>
    <s v="BJ US-PUP-PB Pretzel 6-4PK"/>
    <x v="69"/>
    <n v="2.8799999999999997E-3"/>
    <n v="180"/>
    <x v="18"/>
    <x v="26"/>
    <n v="0.96"/>
    <n v="2851.2"/>
    <n v="8.2114559999999983"/>
    <n v="15.84"/>
    <s v="Sep"/>
    <x v="17"/>
    <m/>
    <m/>
  </r>
  <r>
    <n v="64804365"/>
    <x v="8"/>
    <n v="2970"/>
    <d v="2026-10-12T00:00:00"/>
    <s v="BJ US-PUP-PB Pretzel 6-4PK"/>
    <x v="69"/>
    <n v="2.8799999999999997E-3"/>
    <n v="180"/>
    <x v="18"/>
    <x v="26"/>
    <n v="0.96"/>
    <n v="2851.2"/>
    <n v="8.2114559999999983"/>
    <n v="15.84"/>
    <s v="Oct"/>
    <x v="36"/>
    <m/>
    <m/>
  </r>
  <r>
    <n v="64804365"/>
    <x v="8"/>
    <n v="2970"/>
    <d v="2026-10-19T00:00:00"/>
    <s v="BJ US-PUP-PB Pretzel 6-4PK"/>
    <x v="69"/>
    <n v="2.8799999999999997E-3"/>
    <n v="180"/>
    <x v="18"/>
    <x v="26"/>
    <n v="0.96"/>
    <n v="2851.2"/>
    <n v="8.2114559999999983"/>
    <n v="15.84"/>
    <s v="Oct"/>
    <x v="41"/>
    <m/>
    <m/>
  </r>
  <r>
    <n v="64804365"/>
    <x v="8"/>
    <n v="2970"/>
    <d v="2026-11-02T00:00:00"/>
    <s v="BJ US-PUP-PB Pretzel 6-4PK"/>
    <x v="69"/>
    <n v="2.8799999999999997E-3"/>
    <n v="180"/>
    <x v="18"/>
    <x v="26"/>
    <n v="0.96"/>
    <n v="2851.2"/>
    <n v="8.2114559999999983"/>
    <n v="15.84"/>
    <s v="Nov"/>
    <x v="18"/>
    <m/>
    <m/>
  </r>
  <r>
    <n v="64804365"/>
    <x v="8"/>
    <n v="2970"/>
    <d v="2026-11-09T00:00:00"/>
    <s v="BJ US-PUP-PB Pretzel 6-4PK"/>
    <x v="69"/>
    <n v="2.8799999999999997E-3"/>
    <n v="180"/>
    <x v="18"/>
    <x v="26"/>
    <n v="0.96"/>
    <n v="2851.2"/>
    <n v="8.2114559999999983"/>
    <n v="15.84"/>
    <s v="Nov"/>
    <x v="37"/>
    <m/>
    <m/>
  </r>
  <r>
    <n v="64804365"/>
    <x v="8"/>
    <n v="2970"/>
    <d v="2026-11-16T00:00:00"/>
    <s v="BJ US-PUP-PB Pretzel 6-4PK"/>
    <x v="69"/>
    <n v="2.8799999999999997E-3"/>
    <n v="180"/>
    <x v="18"/>
    <x v="26"/>
    <n v="0.96"/>
    <n v="2851.2"/>
    <n v="8.2114559999999983"/>
    <n v="15.84"/>
    <s v="Nov"/>
    <x v="42"/>
    <m/>
    <m/>
  </r>
  <r>
    <n v="64804365"/>
    <x v="8"/>
    <n v="2970"/>
    <d v="2026-11-23T00:00:00"/>
    <s v="BJ US-PUP-PB Pretzel 6-4PK"/>
    <x v="69"/>
    <n v="2.8799999999999997E-3"/>
    <n v="180"/>
    <x v="18"/>
    <x v="26"/>
    <n v="0.96"/>
    <n v="2851.2"/>
    <n v="8.2114559999999983"/>
    <n v="15.84"/>
    <s v="Nov"/>
    <x v="43"/>
    <m/>
    <m/>
  </r>
  <r>
    <n v="64804365"/>
    <x v="8"/>
    <n v="2970"/>
    <d v="2026-12-07T00:00:00"/>
    <s v="BJ US-PUP-PB Pretzel 6-4PK"/>
    <x v="69"/>
    <n v="2.8799999999999997E-3"/>
    <n v="180"/>
    <x v="18"/>
    <x v="26"/>
    <n v="0.96"/>
    <n v="2851.2"/>
    <n v="8.2114559999999983"/>
    <n v="15.84"/>
    <s v="Dec"/>
    <x v="44"/>
    <m/>
    <m/>
  </r>
  <r>
    <n v="64804365"/>
    <x v="8"/>
    <n v="2970"/>
    <d v="2026-12-14T00:00:00"/>
    <s v="BJ US-PUP-PB Pretzel 6-4PK"/>
    <x v="69"/>
    <n v="2.8799999999999997E-3"/>
    <n v="180"/>
    <x v="18"/>
    <x v="26"/>
    <n v="0.96"/>
    <n v="2851.2"/>
    <n v="8.2114559999999983"/>
    <n v="15.84"/>
    <s v="Dec"/>
    <x v="27"/>
    <m/>
    <m/>
  </r>
  <r>
    <n v="64806251"/>
    <x v="8"/>
    <n v="2970"/>
    <d v="2026-08-10T00:00:00"/>
    <s v="BJ US-PUP-PumpkinCookie 6-4PK"/>
    <x v="69"/>
    <n v="2.8799999999999997E-3"/>
    <n v="180"/>
    <x v="18"/>
    <x v="26"/>
    <n v="0.96"/>
    <n v="2851.2"/>
    <n v="8.2114559999999983"/>
    <n v="15.84"/>
    <s v="Aug"/>
    <x v="34"/>
    <m/>
    <m/>
  </r>
  <r>
    <n v="64806251"/>
    <x v="8"/>
    <n v="2970"/>
    <d v="2026-08-17T00:00:00"/>
    <s v="BJ US-PUP-PumpkinCookie 6-4PK"/>
    <x v="69"/>
    <n v="2.8799999999999997E-3"/>
    <n v="180"/>
    <x v="18"/>
    <x v="26"/>
    <n v="0.96"/>
    <n v="2851.2"/>
    <n v="8.2114559999999983"/>
    <n v="15.84"/>
    <s v="Aug"/>
    <x v="29"/>
    <m/>
    <m/>
  </r>
  <r>
    <n v="64806251"/>
    <x v="8"/>
    <n v="2970"/>
    <d v="2026-08-31T00:00:00"/>
    <s v="BJ US-PUP-PumpkinCookie 6-4PK"/>
    <x v="69"/>
    <n v="2.8799999999999997E-3"/>
    <n v="180"/>
    <x v="18"/>
    <x v="26"/>
    <n v="0.96"/>
    <n v="2851.2"/>
    <n v="8.2114559999999983"/>
    <n v="15.84"/>
    <s v="Aug"/>
    <x v="16"/>
    <m/>
    <m/>
  </r>
  <r>
    <n v="64806251"/>
    <x v="8"/>
    <n v="2970"/>
    <d v="2026-09-21T00:00:00"/>
    <s v="BJ US-PUP-PumpkinCookie 6-4PK"/>
    <x v="69"/>
    <n v="2.8799999999999997E-3"/>
    <n v="180"/>
    <x v="18"/>
    <x v="26"/>
    <n v="0.96"/>
    <n v="2851.2"/>
    <n v="8.2114559999999983"/>
    <n v="15.84"/>
    <s v="Sep"/>
    <x v="45"/>
    <m/>
    <m/>
  </r>
  <r>
    <n v="64806251"/>
    <x v="8"/>
    <n v="2970"/>
    <d v="2026-10-19T00:00:00"/>
    <s v="BJ US-PUP-PumpkinCookie 6-4PK"/>
    <x v="69"/>
    <n v="2.8799999999999997E-3"/>
    <n v="180"/>
    <x v="18"/>
    <x v="26"/>
    <n v="0.96"/>
    <n v="2851.2"/>
    <n v="8.2114559999999983"/>
    <n v="15.84"/>
    <s v="Oct"/>
    <x v="41"/>
    <m/>
    <m/>
  </r>
  <r>
    <n v="64806251"/>
    <x v="8"/>
    <n v="2970"/>
    <d v="2026-11-02T00:00:00"/>
    <s v="BJ US-PUP-PumpkinCookie 6-4PK"/>
    <x v="69"/>
    <n v="2.8799999999999997E-3"/>
    <n v="180"/>
    <x v="18"/>
    <x v="26"/>
    <n v="0.96"/>
    <n v="2851.2"/>
    <n v="8.2114559999999983"/>
    <n v="15.84"/>
    <s v="Nov"/>
    <x v="18"/>
    <m/>
    <m/>
  </r>
  <r>
    <n v="64806251"/>
    <x v="8"/>
    <n v="2970"/>
    <d v="2026-11-23T00:00:00"/>
    <s v="BJ US-PUP-PumpkinCookie 6-4PK"/>
    <x v="69"/>
    <n v="2.8799999999999997E-3"/>
    <n v="180"/>
    <x v="18"/>
    <x v="26"/>
    <n v="0.96"/>
    <n v="2851.2"/>
    <n v="8.2114559999999983"/>
    <n v="15.84"/>
    <s v="Nov"/>
    <x v="43"/>
    <m/>
    <m/>
  </r>
  <r>
    <n v="64806251"/>
    <x v="8"/>
    <n v="2970"/>
    <d v="2026-12-07T00:00:00"/>
    <s v="BJ US-PUP-PumpkinCookie 6-4PK"/>
    <x v="69"/>
    <n v="2.8799999999999997E-3"/>
    <n v="180"/>
    <x v="18"/>
    <x v="26"/>
    <n v="0.96"/>
    <n v="2851.2"/>
    <n v="8.2114559999999983"/>
    <n v="15.84"/>
    <s v="Dec"/>
    <x v="44"/>
    <m/>
    <m/>
  </r>
  <r>
    <n v="84137721"/>
    <x v="3"/>
    <n v="2990"/>
    <d v="2026-03-23T00:00:00"/>
    <s v="BJ US-IC-CherryGarcia-FTNG-1 2.4G"/>
    <x v="76"/>
    <n v="9.0848256361922702E-3"/>
    <n v="125"/>
    <x v="13"/>
    <x v="20"/>
    <n v="0.85"/>
    <n v="2541.5"/>
    <n v="23.089084354382656"/>
    <n v="20.332000000000001"/>
    <s v="Mar"/>
    <x v="10"/>
    <m/>
    <m/>
  </r>
  <r>
    <n v="68817795"/>
    <x v="0"/>
    <n v="3000"/>
    <d v="2026-05-04T00:00:00"/>
    <s v="BR HA Mint CHOC Chip 6 1.5QT"/>
    <x v="73"/>
    <n v="8.5199999999999998E-3"/>
    <n v="154"/>
    <x v="0"/>
    <x v="0"/>
    <n v="0.94"/>
    <n v="2820"/>
    <n v="24.026399999999999"/>
    <n v="18.311688311688311"/>
    <s v="May"/>
    <x v="24"/>
    <m/>
    <m/>
  </r>
  <r>
    <n v="68817795"/>
    <x v="0"/>
    <n v="3000"/>
    <d v="2026-05-25T00:00:00"/>
    <s v="BR HA Mint CHOC Chip 6 1.5QT"/>
    <x v="73"/>
    <n v="8.5199999999999998E-3"/>
    <n v="154"/>
    <x v="0"/>
    <x v="0"/>
    <n v="0.94"/>
    <n v="2820"/>
    <n v="24.026399999999999"/>
    <n v="18.311688311688311"/>
    <s v="May"/>
    <x v="46"/>
    <m/>
    <m/>
  </r>
  <r>
    <n v="64409314"/>
    <x v="14"/>
    <n v="3186"/>
    <d v="2026-04-27T00:00:00"/>
    <s v="Holanda Chemisse Strawberry 8-4pk"/>
    <x v="70"/>
    <n v="5.2800000000000004E-4"/>
    <n v="135"/>
    <x v="17"/>
    <x v="39"/>
    <n v="0.96"/>
    <n v="3058.56"/>
    <n v="1.6149196800000001"/>
    <n v="22.655999999999999"/>
    <s v="Apr"/>
    <x v="21"/>
    <m/>
    <m/>
  </r>
  <r>
    <n v="64409314"/>
    <x v="14"/>
    <n v="3186"/>
    <d v="2026-05-04T00:00:00"/>
    <s v="Holanda Chemisse Strawberry 8-4pk"/>
    <x v="70"/>
    <n v="5.2800000000000004E-4"/>
    <n v="135"/>
    <x v="17"/>
    <x v="39"/>
    <n v="0.96"/>
    <n v="3058.56"/>
    <n v="1.6149196800000001"/>
    <n v="22.655999999999999"/>
    <s v="May"/>
    <x v="24"/>
    <m/>
    <m/>
  </r>
  <r>
    <n v="64409314"/>
    <x v="14"/>
    <n v="3186"/>
    <d v="2026-05-11T00:00:00"/>
    <s v="Holanda Chemisse Strawberry 8-4pk"/>
    <x v="70"/>
    <n v="5.2800000000000004E-4"/>
    <n v="135"/>
    <x v="17"/>
    <x v="39"/>
    <n v="0.96"/>
    <n v="3058.56"/>
    <n v="1.6149196800000001"/>
    <n v="22.655999999999999"/>
    <s v="May"/>
    <x v="26"/>
    <m/>
    <m/>
  </r>
  <r>
    <n v="64409314"/>
    <x v="14"/>
    <n v="3186"/>
    <d v="2026-05-18T00:00:00"/>
    <s v="Holanda Chemisse Strawberry 8-4pk"/>
    <x v="70"/>
    <n v="5.2800000000000004E-4"/>
    <n v="135"/>
    <x v="17"/>
    <x v="39"/>
    <n v="0.96"/>
    <n v="3058.56"/>
    <n v="1.6149196800000001"/>
    <n v="22.655999999999999"/>
    <s v="May"/>
    <x v="39"/>
    <m/>
    <m/>
  </r>
  <r>
    <n v="69665114"/>
    <x v="6"/>
    <n v="3250"/>
    <d v="2026-06-08T00:00:00"/>
    <s v="BJ US-CD-SugarCookieDough-8 8z"/>
    <x v="70"/>
    <n v="1.8160000000000001E-3"/>
    <n v="256"/>
    <x v="15"/>
    <x v="23"/>
    <n v="0.96"/>
    <n v="3120"/>
    <n v="5.6659200000000007"/>
    <n v="12.1875"/>
    <s v="Jun"/>
    <x v="47"/>
    <m/>
    <m/>
  </r>
  <r>
    <n v="64409312"/>
    <x v="14"/>
    <n v="3313"/>
    <d v="2026-04-13T00:00:00"/>
    <s v="Holanda Chemisse Pineapple 8-4pk"/>
    <x v="70"/>
    <n v="5.2000000000000006E-4"/>
    <n v="135"/>
    <x v="17"/>
    <x v="39"/>
    <n v="0.96"/>
    <n v="3180.48"/>
    <n v="1.6538496000000003"/>
    <n v="23.559111111111111"/>
    <s v="Apr"/>
    <x v="25"/>
    <m/>
    <m/>
  </r>
  <r>
    <n v="64409312"/>
    <x v="14"/>
    <n v="3313"/>
    <d v="2026-04-20T00:00:00"/>
    <s v="Holanda Chemisse Pineapple 8-4pk"/>
    <x v="70"/>
    <n v="5.2000000000000006E-4"/>
    <n v="135"/>
    <x v="17"/>
    <x v="39"/>
    <n v="0.96"/>
    <n v="3180.48"/>
    <n v="1.6538496000000003"/>
    <n v="23.559111111111111"/>
    <s v="Apr"/>
    <x v="40"/>
    <m/>
    <m/>
  </r>
  <r>
    <n v="64409312"/>
    <x v="14"/>
    <n v="3313"/>
    <d v="2026-04-27T00:00:00"/>
    <s v="Holanda Chemisse Pineapple 8-4pk"/>
    <x v="70"/>
    <n v="5.2000000000000006E-4"/>
    <n v="135"/>
    <x v="17"/>
    <x v="39"/>
    <n v="0.96"/>
    <n v="3180.48"/>
    <n v="1.6538496000000003"/>
    <n v="23.559111111111111"/>
    <s v="Apr"/>
    <x v="21"/>
    <m/>
    <m/>
  </r>
  <r>
    <n v="64409312"/>
    <x v="14"/>
    <n v="3313"/>
    <d v="2026-05-04T00:00:00"/>
    <s v="Holanda Chemisse Pineapple 8-4pk"/>
    <x v="70"/>
    <n v="5.2000000000000006E-4"/>
    <n v="135"/>
    <x v="17"/>
    <x v="39"/>
    <n v="0.96"/>
    <n v="3180.48"/>
    <n v="1.6538496000000003"/>
    <n v="23.559111111111111"/>
    <s v="May"/>
    <x v="24"/>
    <m/>
    <m/>
  </r>
  <r>
    <n v="64409314"/>
    <x v="14"/>
    <n v="3387"/>
    <d v="2026-03-23T00:00:00"/>
    <s v="Holanda Chemisse Strawberry 8-4pk"/>
    <x v="70"/>
    <n v="5.2800000000000004E-4"/>
    <n v="135"/>
    <x v="17"/>
    <x v="39"/>
    <n v="0.96"/>
    <n v="3251.52"/>
    <n v="1.7168025600000001"/>
    <n v="24.085333333333335"/>
    <s v="Mar"/>
    <x v="10"/>
    <m/>
    <m/>
  </r>
  <r>
    <n v="64958862"/>
    <x v="5"/>
    <n v="3400"/>
    <d v="2026-03-16T00:00:00"/>
    <s v="PS SF Cherry IH 6-12pk"/>
    <x v="70"/>
    <n v="3.516E-3"/>
    <n v="170"/>
    <x v="17"/>
    <x v="50"/>
    <n v="0.96"/>
    <n v="3264"/>
    <n v="11.476224"/>
    <n v="19.2"/>
    <s v="Mar"/>
    <x v="9"/>
    <m/>
    <m/>
  </r>
  <r>
    <n v="64958862"/>
    <x v="5"/>
    <n v="3400"/>
    <d v="2026-03-23T00:00:00"/>
    <s v="PS SF Cherry IH 6-12pk"/>
    <x v="70"/>
    <n v="3.516E-3"/>
    <n v="170"/>
    <x v="17"/>
    <x v="50"/>
    <n v="0.96"/>
    <n v="3264"/>
    <n v="11.476224"/>
    <n v="19.2"/>
    <s v="Mar"/>
    <x v="10"/>
    <m/>
    <m/>
  </r>
  <r>
    <n v="64958862"/>
    <x v="5"/>
    <n v="3400"/>
    <d v="2026-03-30T00:00:00"/>
    <s v="PS SF Cherry IH 6-12pk"/>
    <x v="70"/>
    <n v="3.516E-3"/>
    <n v="170"/>
    <x v="17"/>
    <x v="50"/>
    <n v="0.96"/>
    <n v="3264"/>
    <n v="11.476224"/>
    <n v="19.2"/>
    <s v="Mar"/>
    <x v="20"/>
    <m/>
    <m/>
  </r>
  <r>
    <n v="64960643"/>
    <x v="5"/>
    <n v="3400"/>
    <d v="2026-03-16T00:00:00"/>
    <s v="PS Orange Regular IH 6-12pk"/>
    <x v="70"/>
    <n v="3.516E-3"/>
    <n v="170"/>
    <x v="17"/>
    <x v="50"/>
    <n v="0.96"/>
    <n v="3264"/>
    <n v="11.476224"/>
    <n v="19.2"/>
    <s v="Mar"/>
    <x v="9"/>
    <m/>
    <m/>
  </r>
  <r>
    <n v="64960643"/>
    <x v="5"/>
    <n v="3400"/>
    <d v="2026-03-30T00:00:00"/>
    <s v="PS Orange Regular IH 6-12pk"/>
    <x v="70"/>
    <n v="3.516E-3"/>
    <n v="170"/>
    <x v="17"/>
    <x v="50"/>
    <n v="0.96"/>
    <n v="3264"/>
    <n v="11.476224"/>
    <n v="19.2"/>
    <s v="Mar"/>
    <x v="20"/>
    <m/>
    <m/>
  </r>
  <r>
    <n v="64960643"/>
    <x v="5"/>
    <n v="3400"/>
    <d v="2026-04-06T00:00:00"/>
    <s v="PS Orange Regular IH 6-12pk"/>
    <x v="70"/>
    <n v="3.516E-3"/>
    <n v="170"/>
    <x v="17"/>
    <x v="50"/>
    <n v="0.96"/>
    <n v="3264"/>
    <n v="11.476224"/>
    <n v="19.2"/>
    <s v="Apr"/>
    <x v="23"/>
    <m/>
    <m/>
  </r>
  <r>
    <n v="69653140"/>
    <x v="15"/>
    <n v="3555"/>
    <d v="2026-04-13T00:00:00"/>
    <s v="BR Natural Vanilla 6 10CT 3z"/>
    <x v="69"/>
    <n v="5.3220000000000003E-3"/>
    <n v="120"/>
    <x v="23"/>
    <x v="40"/>
    <n v="0.96"/>
    <n v="3412.7999999999997"/>
    <n v="18.162921600000001"/>
    <n v="28.439999999999998"/>
    <s v="Apr"/>
    <x v="25"/>
    <m/>
    <m/>
  </r>
  <r>
    <n v="64409314"/>
    <x v="14"/>
    <n v="3597"/>
    <d v="2026-03-30T00:00:00"/>
    <s v="Holanda Chemisse Strawberry 8-4pk"/>
    <x v="70"/>
    <n v="5.2800000000000004E-4"/>
    <n v="135"/>
    <x v="17"/>
    <x v="39"/>
    <n v="0.96"/>
    <n v="3453.12"/>
    <n v="1.8232473600000001"/>
    <n v="25.578666666666667"/>
    <s v="Mar"/>
    <x v="20"/>
    <m/>
    <m/>
  </r>
  <r>
    <n v="64409314"/>
    <x v="14"/>
    <n v="3597"/>
    <d v="2026-04-06T00:00:00"/>
    <s v="Holanda Chemisse Strawberry 8-4pk"/>
    <x v="70"/>
    <n v="5.2800000000000004E-4"/>
    <n v="135"/>
    <x v="17"/>
    <x v="39"/>
    <n v="0.96"/>
    <n v="3453.12"/>
    <n v="1.8232473600000001"/>
    <n v="25.578666666666667"/>
    <s v="Apr"/>
    <x v="23"/>
    <m/>
    <m/>
  </r>
  <r>
    <n v="64388736"/>
    <x v="9"/>
    <n v="3600"/>
    <d v="2026-04-13T00:00:00"/>
    <s v="Yasso Fudge Poppables 10p 6.84flz"/>
    <x v="69"/>
    <n v="2.0200000000000001E-3"/>
    <n v="200"/>
    <x v="20"/>
    <x v="29"/>
    <n v="0.96"/>
    <n v="3456"/>
    <n v="6.9811200000000007"/>
    <n v="17.28"/>
    <s v="Apr"/>
    <x v="25"/>
    <m/>
    <m/>
  </r>
  <r>
    <n v="64409314"/>
    <x v="14"/>
    <n v="3788"/>
    <d v="2026-04-20T00:00:00"/>
    <s v="Holanda Chemisse Strawberry 8-4pk"/>
    <x v="70"/>
    <n v="5.2800000000000004E-4"/>
    <n v="135"/>
    <x v="17"/>
    <x v="39"/>
    <n v="0.96"/>
    <n v="3636.48"/>
    <n v="1.9200614400000002"/>
    <n v="26.936888888888888"/>
    <s v="Apr"/>
    <x v="40"/>
    <m/>
    <m/>
  </r>
  <r>
    <n v="64410857"/>
    <x v="14"/>
    <n v="3788"/>
    <d v="2026-04-20T00:00:00"/>
    <s v="Holanda Solero Lime 8-4pk"/>
    <x v="70"/>
    <n v="5.2000000000000006E-4"/>
    <n v="135"/>
    <x v="17"/>
    <x v="39"/>
    <n v="0.96"/>
    <n v="3636.48"/>
    <n v="1.8909696000000003"/>
    <n v="26.936888888888888"/>
    <s v="Apr"/>
    <x v="40"/>
    <m/>
    <m/>
  </r>
  <r>
    <n v="64410857"/>
    <x v="14"/>
    <n v="3788"/>
    <d v="2026-04-27T00:00:00"/>
    <s v="Holanda Solero Lime 8-4pk"/>
    <x v="70"/>
    <n v="5.2000000000000006E-4"/>
    <n v="135"/>
    <x v="17"/>
    <x v="39"/>
    <n v="0.96"/>
    <n v="3636.48"/>
    <n v="1.8909696000000003"/>
    <n v="26.936888888888888"/>
    <s v="Apr"/>
    <x v="21"/>
    <m/>
    <m/>
  </r>
  <r>
    <n v="64409312"/>
    <x v="14"/>
    <n v="3814"/>
    <d v="2026-06-01T00:00:00"/>
    <s v="Holanda Chemisse Pineapple 8-4pk"/>
    <x v="70"/>
    <n v="5.2000000000000006E-4"/>
    <n v="135"/>
    <x v="17"/>
    <x v="39"/>
    <n v="0.96"/>
    <n v="3661.44"/>
    <n v="1.9039488000000002"/>
    <n v="27.12177777777778"/>
    <s v="Jun"/>
    <x v="13"/>
    <m/>
    <m/>
  </r>
  <r>
    <n v="64409312"/>
    <x v="14"/>
    <n v="3814"/>
    <d v="2026-06-08T00:00:00"/>
    <s v="Holanda Chemisse Pineapple 8-4pk"/>
    <x v="70"/>
    <n v="5.2000000000000006E-4"/>
    <n v="135"/>
    <x v="17"/>
    <x v="39"/>
    <n v="0.96"/>
    <n v="3661.44"/>
    <n v="1.9039488000000002"/>
    <n v="27.12177777777778"/>
    <s v="Jun"/>
    <x v="47"/>
    <m/>
    <m/>
  </r>
  <r>
    <n v="64409312"/>
    <x v="14"/>
    <n v="3814"/>
    <d v="2026-06-15T00:00:00"/>
    <s v="Holanda Chemisse Pineapple 8-4pk"/>
    <x v="70"/>
    <n v="5.2000000000000006E-4"/>
    <n v="135"/>
    <x v="17"/>
    <x v="39"/>
    <n v="0.96"/>
    <n v="3661.44"/>
    <n v="1.9039488000000002"/>
    <n v="27.12177777777778"/>
    <s v="Jun"/>
    <x v="28"/>
    <m/>
    <m/>
  </r>
  <r>
    <n v="64409312"/>
    <x v="14"/>
    <n v="3814"/>
    <d v="2026-07-06T00:00:00"/>
    <s v="Holanda Chemisse Pineapple 8-4pk"/>
    <x v="70"/>
    <n v="5.2000000000000006E-4"/>
    <n v="135"/>
    <x v="17"/>
    <x v="39"/>
    <n v="0.96"/>
    <n v="3661.44"/>
    <n v="1.9039488000000002"/>
    <n v="27.12177777777778"/>
    <s v="Jul"/>
    <x v="30"/>
    <m/>
    <m/>
  </r>
  <r>
    <n v="64409312"/>
    <x v="14"/>
    <n v="3814"/>
    <d v="2026-07-13T00:00:00"/>
    <s v="Holanda Chemisse Pineapple 8-4pk"/>
    <x v="70"/>
    <n v="5.2000000000000006E-4"/>
    <n v="135"/>
    <x v="17"/>
    <x v="39"/>
    <n v="0.96"/>
    <n v="3661.44"/>
    <n v="1.9039488000000002"/>
    <n v="27.12177777777778"/>
    <s v="Jul"/>
    <x v="48"/>
    <m/>
    <m/>
  </r>
  <r>
    <n v="64409312"/>
    <x v="14"/>
    <n v="3814"/>
    <d v="2026-07-20T00:00:00"/>
    <s v="Holanda Chemisse Pineapple 8-4pk"/>
    <x v="70"/>
    <n v="5.2000000000000006E-4"/>
    <n v="135"/>
    <x v="17"/>
    <x v="39"/>
    <n v="0.96"/>
    <n v="3661.44"/>
    <n v="1.9039488000000002"/>
    <n v="27.12177777777778"/>
    <s v="Jul"/>
    <x v="31"/>
    <m/>
    <m/>
  </r>
  <r>
    <n v="64409312"/>
    <x v="14"/>
    <n v="3814"/>
    <d v="2026-08-31T00:00:00"/>
    <s v="Holanda Chemisse Pineapple 8-4pk"/>
    <x v="70"/>
    <n v="5.2000000000000006E-4"/>
    <n v="135"/>
    <x v="17"/>
    <x v="39"/>
    <n v="0.96"/>
    <n v="3661.44"/>
    <n v="1.9039488000000002"/>
    <n v="27.12177777777778"/>
    <s v="Aug"/>
    <x v="16"/>
    <m/>
    <m/>
  </r>
  <r>
    <n v="64409312"/>
    <x v="14"/>
    <n v="3814"/>
    <d v="2026-09-07T00:00:00"/>
    <s v="Holanda Chemisse Pineapple 8-4pk"/>
    <x v="70"/>
    <n v="5.2000000000000006E-4"/>
    <n v="135"/>
    <x v="17"/>
    <x v="39"/>
    <n v="0.96"/>
    <n v="3661.44"/>
    <n v="1.9039488000000002"/>
    <n v="27.12177777777778"/>
    <s v="Sep"/>
    <x v="32"/>
    <m/>
    <m/>
  </r>
  <r>
    <n v="64409312"/>
    <x v="14"/>
    <n v="3814"/>
    <d v="2026-09-14T00:00:00"/>
    <s v="Holanda Chemisse Pineapple 8-4pk"/>
    <x v="70"/>
    <n v="5.2000000000000006E-4"/>
    <n v="135"/>
    <x v="17"/>
    <x v="39"/>
    <n v="0.96"/>
    <n v="3661.44"/>
    <n v="1.9039488000000002"/>
    <n v="27.12177777777778"/>
    <s v="Sep"/>
    <x v="38"/>
    <m/>
    <m/>
  </r>
  <r>
    <n v="69552657"/>
    <x v="14"/>
    <n v="3847"/>
    <d v="2026-05-18T00:00:00"/>
    <s v="KL Cone Reeses PB Reeses Chocolate 6-8CT"/>
    <x v="70"/>
    <n v="5.3220000000000003E-3"/>
    <n v="108"/>
    <x v="22"/>
    <x v="38"/>
    <n v="0.96"/>
    <n v="3693.12"/>
    <n v="19.654784639999999"/>
    <n v="34.195555555555558"/>
    <s v="May"/>
    <x v="39"/>
    <m/>
    <m/>
  </r>
  <r>
    <n v="69552657"/>
    <x v="14"/>
    <n v="3848"/>
    <d v="2026-05-11T00:00:00"/>
    <s v="KL Cone Reeses PB Reeses Chocolate 6-8CT"/>
    <x v="70"/>
    <n v="5.3220000000000003E-3"/>
    <n v="108"/>
    <x v="22"/>
    <x v="38"/>
    <n v="0.96"/>
    <n v="3694.08"/>
    <n v="19.659893759999999"/>
    <n v="34.204444444444441"/>
    <s v="May"/>
    <x v="26"/>
    <m/>
    <m/>
  </r>
  <r>
    <n v="64409314"/>
    <x v="14"/>
    <n v="3893"/>
    <d v="2026-06-08T00:00:00"/>
    <s v="Holanda Chemisse Strawberry 8-4pk"/>
    <x v="70"/>
    <n v="5.2800000000000004E-4"/>
    <n v="135"/>
    <x v="17"/>
    <x v="39"/>
    <n v="0.96"/>
    <n v="3737.2799999999997"/>
    <n v="1.9732838400000001"/>
    <n v="27.683555555555554"/>
    <s v="Jun"/>
    <x v="47"/>
    <m/>
    <m/>
  </r>
  <r>
    <n v="64409314"/>
    <x v="14"/>
    <n v="3893"/>
    <d v="2026-06-15T00:00:00"/>
    <s v="Holanda Chemisse Strawberry 8-4pk"/>
    <x v="70"/>
    <n v="5.2800000000000004E-4"/>
    <n v="135"/>
    <x v="17"/>
    <x v="39"/>
    <n v="0.96"/>
    <n v="3737.2799999999997"/>
    <n v="1.9732838400000001"/>
    <n v="27.683555555555554"/>
    <s v="Jun"/>
    <x v="28"/>
    <m/>
    <m/>
  </r>
  <r>
    <n v="64409314"/>
    <x v="14"/>
    <n v="3893"/>
    <d v="2026-06-22T00:00:00"/>
    <s v="Holanda Chemisse Strawberry 8-4pk"/>
    <x v="70"/>
    <n v="5.2800000000000004E-4"/>
    <n v="135"/>
    <x v="17"/>
    <x v="39"/>
    <n v="0.96"/>
    <n v="3737.2799999999997"/>
    <n v="1.9732838400000001"/>
    <n v="27.683555555555554"/>
    <s v="Jun"/>
    <x v="49"/>
    <m/>
    <m/>
  </r>
  <r>
    <n v="64365613"/>
    <x v="7"/>
    <n v="3900"/>
    <d v="2026-04-27T00:00:00"/>
    <s v="PS Spiderman Facepiece 6-6PK"/>
    <x v="70"/>
    <n v="2.1540000000000001E-3"/>
    <n v="195"/>
    <x v="16"/>
    <x v="24"/>
    <n v="0.96"/>
    <n v="3744"/>
    <n v="8.0645760000000006"/>
    <n v="19.2"/>
    <s v="Apr"/>
    <x v="21"/>
    <m/>
    <m/>
  </r>
  <r>
    <n v="64403162"/>
    <x v="7"/>
    <n v="3900"/>
    <d v="2026-04-13T00:00:00"/>
    <s v="PS Grogu Facepiece IH 6-6PK"/>
    <x v="70"/>
    <n v="2.16E-3"/>
    <n v="195"/>
    <x v="16"/>
    <x v="24"/>
    <n v="0.96"/>
    <n v="3744"/>
    <n v="8.08704"/>
    <n v="19.2"/>
    <s v="Apr"/>
    <x v="25"/>
    <m/>
    <m/>
  </r>
  <r>
    <n v="64771677"/>
    <x v="7"/>
    <m/>
    <d v="2026-03-23T00:00:00"/>
    <s v="PS Minions Facepiece IH 6-6PK"/>
    <x v="70"/>
    <n v="2.16E-3"/>
    <n v="195"/>
    <x v="16"/>
    <x v="24"/>
    <n v="0.96"/>
    <n v="0"/>
    <n v="0"/>
    <n v="0"/>
    <s v="Mar"/>
    <x v="10"/>
    <m/>
    <m/>
  </r>
  <r>
    <n v="64409312"/>
    <x v="14"/>
    <n v="3916"/>
    <d v="2026-04-06T00:00:00"/>
    <s v="Holanda Chemisse Pineapple 8-4pk"/>
    <x v="70"/>
    <n v="5.2000000000000006E-4"/>
    <n v="135"/>
    <x v="17"/>
    <x v="39"/>
    <n v="0.96"/>
    <n v="3759.3599999999997"/>
    <n v="1.9548672"/>
    <n v="27.847111111111108"/>
    <s v="Apr"/>
    <x v="23"/>
    <m/>
    <m/>
  </r>
  <r>
    <n v="64409312"/>
    <x v="14"/>
    <n v="3917"/>
    <d v="2026-03-30T00:00:00"/>
    <s v="Holanda Chemisse Pineapple 8-4pk"/>
    <x v="70"/>
    <n v="5.2000000000000006E-4"/>
    <n v="135"/>
    <x v="17"/>
    <x v="39"/>
    <n v="0.96"/>
    <n v="3760.3199999999997"/>
    <n v="1.9553664000000002"/>
    <n v="27.854222222222219"/>
    <s v="Mar"/>
    <x v="20"/>
    <m/>
    <m/>
  </r>
  <r>
    <n v="64410857"/>
    <x v="14"/>
    <n v="3988"/>
    <d v="2026-04-13T00:00:00"/>
    <s v="Holanda Solero Lime 8-4pk"/>
    <x v="70"/>
    <n v="5.2000000000000006E-4"/>
    <n v="135"/>
    <x v="17"/>
    <x v="39"/>
    <n v="0.96"/>
    <n v="3828.48"/>
    <n v="1.9908096000000002"/>
    <n v="28.359111111111112"/>
    <s v="Apr"/>
    <x v="25"/>
    <m/>
    <m/>
  </r>
  <r>
    <n v="64378129"/>
    <x v="19"/>
    <m/>
    <d v="2026-08-10T00:00:00"/>
    <s v="GH Candy center 8-6pk"/>
    <x v="70"/>
    <n v="3.8399999999999997E-3"/>
    <n v="110"/>
    <x v="17"/>
    <x v="54"/>
    <n v="0.96"/>
    <n v="0"/>
    <n v="0"/>
    <n v="0"/>
    <s v="Aug"/>
    <x v="34"/>
    <m/>
    <m/>
  </r>
  <r>
    <n v="64875812"/>
    <x v="16"/>
    <n v="4085"/>
    <d v="2026-03-30T00:00:00"/>
    <s v="KL Vanilla Sandwich 8-6 PK"/>
    <x v="69"/>
    <n v="6.0000000000000001E-3"/>
    <n v="108"/>
    <x v="12"/>
    <x v="41"/>
    <n v="0.96"/>
    <n v="3921.6"/>
    <n v="23.529599999999999"/>
    <n v="36.31111111111111"/>
    <s v="Mar"/>
    <x v="20"/>
    <m/>
    <m/>
  </r>
  <r>
    <n v="64341109"/>
    <x v="7"/>
    <n v="4200"/>
    <d v="2026-04-06T00:00:00"/>
    <s v="PS Spiderman Facepiece 1-20PK"/>
    <x v="70"/>
    <n v="2E-3"/>
    <n v="210"/>
    <x v="16"/>
    <x v="24"/>
    <n v="0.96"/>
    <n v="4032"/>
    <n v="8.0640000000000001"/>
    <n v="19.2"/>
    <s v="Apr"/>
    <x v="23"/>
    <m/>
    <m/>
  </r>
  <r>
    <n v="64325624"/>
    <x v="9"/>
    <n v="4400"/>
    <d v="2026-06-01T00:00:00"/>
    <s v="Yasso Sea Salt Car Poppables 10-6.84flz"/>
    <x v="69"/>
    <n v="2.0200000000000001E-3"/>
    <n v="200"/>
    <x v="20"/>
    <x v="29"/>
    <n v="0.96"/>
    <n v="4224"/>
    <n v="8.5324799999999996"/>
    <n v="21.12"/>
    <s v="Jun"/>
    <x v="13"/>
    <m/>
    <m/>
  </r>
  <r>
    <n v="64388736"/>
    <x v="9"/>
    <n v="4400"/>
    <d v="2026-06-01T00:00:00"/>
    <s v="Yasso Fudge Poppables 10p 6.84flz"/>
    <x v="69"/>
    <n v="2.0200000000000001E-3"/>
    <n v="200"/>
    <x v="20"/>
    <x v="29"/>
    <n v="0.96"/>
    <n v="4224"/>
    <n v="8.5324799999999996"/>
    <n v="21.12"/>
    <s v="Jun"/>
    <x v="13"/>
    <m/>
    <m/>
  </r>
  <r>
    <n v="64378129"/>
    <x v="19"/>
    <m/>
    <d v="2026-04-06T00:00:00"/>
    <s v="GH Candy center 8-6pk"/>
    <x v="70"/>
    <n v="3.8399999999999997E-3"/>
    <n v="110"/>
    <x v="17"/>
    <x v="54"/>
    <n v="0.96"/>
    <n v="0"/>
    <n v="0"/>
    <n v="0"/>
    <s v="Apr"/>
    <x v="23"/>
    <m/>
    <m/>
  </r>
  <r>
    <n v="64378129"/>
    <x v="19"/>
    <m/>
    <d v="2026-04-13T00:00:00"/>
    <s v="GH Candy center 8-6pk"/>
    <x v="70"/>
    <n v="3.8399999999999997E-3"/>
    <n v="110"/>
    <x v="17"/>
    <x v="54"/>
    <n v="0.96"/>
    <n v="0"/>
    <n v="0"/>
    <n v="0"/>
    <s v="Apr"/>
    <x v="25"/>
    <m/>
    <m/>
  </r>
  <r>
    <n v="68842352"/>
    <x v="19"/>
    <n v="4400"/>
    <d v="2026-06-01T00:00:00"/>
    <s v="KL Cones Classic Vanilla 6-4CT"/>
    <x v="70"/>
    <n v="2.6640000000000001E-3"/>
    <n v="220"/>
    <x v="22"/>
    <x v="48"/>
    <n v="0.96"/>
    <n v="4224"/>
    <n v="11.252736000000001"/>
    <n v="19.2"/>
    <s v="Jun"/>
    <x v="13"/>
    <m/>
    <m/>
  </r>
  <r>
    <n v="68842352"/>
    <x v="19"/>
    <n v="4400"/>
    <d v="2026-06-08T00:00:00"/>
    <s v="KL Cones Classic Vanilla 6-4CT"/>
    <x v="70"/>
    <n v="2.6640000000000001E-3"/>
    <n v="220"/>
    <x v="22"/>
    <x v="48"/>
    <n v="0.96"/>
    <n v="4224"/>
    <n v="11.252736000000001"/>
    <n v="19.2"/>
    <s v="Jun"/>
    <x v="47"/>
    <m/>
    <m/>
  </r>
  <r>
    <n v="68842352"/>
    <x v="19"/>
    <n v="4400"/>
    <d v="2026-07-27T00:00:00"/>
    <s v="KL Cones Classic Vanilla 6-4CT"/>
    <x v="70"/>
    <n v="2.6640000000000001E-3"/>
    <n v="220"/>
    <x v="22"/>
    <x v="48"/>
    <n v="0.96"/>
    <n v="4224"/>
    <n v="11.252736000000001"/>
    <n v="19.2"/>
    <s v="Jul"/>
    <x v="15"/>
    <m/>
    <m/>
  </r>
  <r>
    <n v="69586720"/>
    <x v="19"/>
    <n v="4400"/>
    <d v="2026-04-20T00:00:00"/>
    <s v="KL Cones Cookies n Cream 6-4CT"/>
    <x v="70"/>
    <n v="2.6640000000000001E-3"/>
    <n v="220"/>
    <x v="22"/>
    <x v="48"/>
    <n v="0.96"/>
    <n v="4224"/>
    <n v="11.252736000000001"/>
    <n v="19.2"/>
    <s v="Apr"/>
    <x v="40"/>
    <m/>
    <m/>
  </r>
  <r>
    <n v="64976846"/>
    <x v="12"/>
    <m/>
    <d v="2026-03-16T00:00:00"/>
    <s v="Yasso Strawberry Chocolate Crunch 8-4pk"/>
    <x v="69"/>
    <n v="2.5040000000000001E-3"/>
    <n v="165"/>
    <x v="4"/>
    <x v="33"/>
    <n v="0.96"/>
    <n v="0"/>
    <n v="0"/>
    <n v="0"/>
    <s v="Mar"/>
    <x v="9"/>
    <m/>
    <m/>
  </r>
  <r>
    <n v="64361164"/>
    <x v="3"/>
    <n v="4480"/>
    <d v="2026-05-25T00:00:00"/>
    <s v="BJ CA-NDO-TonightDough-8 473ml"/>
    <x v="77"/>
    <n v="3.7839999999999996E-3"/>
    <n v="240"/>
    <x v="3"/>
    <x v="13"/>
    <n v="0.95"/>
    <n v="4256"/>
    <n v="16.104703999999998"/>
    <n v="17.733333333333334"/>
    <s v="May"/>
    <x v="46"/>
    <m/>
    <m/>
  </r>
  <r>
    <n v="64341109"/>
    <x v="7"/>
    <n v="4500"/>
    <d v="2026-10-05T00:00:00"/>
    <s v="PS Spiderman Facepiece 1-20PK"/>
    <x v="70"/>
    <n v="2E-3"/>
    <n v="210"/>
    <x v="16"/>
    <x v="24"/>
    <n v="0.96"/>
    <n v="4320"/>
    <n v="8.64"/>
    <n v="20.571428571428573"/>
    <s v="Oct"/>
    <x v="50"/>
    <m/>
    <m/>
  </r>
  <r>
    <n v="64409314"/>
    <x v="14"/>
    <n v="4560"/>
    <d v="2026-04-13T00:00:00"/>
    <s v="Holanda Chemisse Strawberry 8-4pk"/>
    <x v="70"/>
    <n v="5.2800000000000004E-4"/>
    <n v="135"/>
    <x v="17"/>
    <x v="39"/>
    <n v="0.96"/>
    <n v="4377.5999999999995"/>
    <n v="2.3113728"/>
    <n v="32.426666666666662"/>
    <s v="Apr"/>
    <x v="25"/>
    <m/>
    <m/>
  </r>
  <r>
    <n v="64409312"/>
    <x v="14"/>
    <n v="4675"/>
    <d v="2026-03-23T00:00:00"/>
    <s v="Holanda Chemisse Pineapple 8-4pk"/>
    <x v="70"/>
    <n v="5.2000000000000006E-4"/>
    <n v="135"/>
    <x v="17"/>
    <x v="39"/>
    <n v="0.96"/>
    <n v="4488"/>
    <n v="2.3337600000000003"/>
    <n v="33.244444444444447"/>
    <s v="Mar"/>
    <x v="10"/>
    <m/>
    <m/>
  </r>
  <r>
    <n v="64341109"/>
    <x v="7"/>
    <n v="4800"/>
    <d v="2026-08-03T00:00:00"/>
    <s v="PS Spiderman Facepiece 1-20PK"/>
    <x v="70"/>
    <n v="2E-3"/>
    <n v="210"/>
    <x v="16"/>
    <x v="24"/>
    <n v="0.96"/>
    <n v="4608"/>
    <n v="9.2160000000000011"/>
    <n v="21.942857142857143"/>
    <s v="Aug"/>
    <x v="22"/>
    <m/>
    <m/>
  </r>
  <r>
    <n v="68817795"/>
    <x v="0"/>
    <n v="4875"/>
    <d v="2026-04-06T00:00:00"/>
    <s v="BR HA Mint CHOC Chip 6 1.5QT"/>
    <x v="73"/>
    <n v="8.5199999999999998E-3"/>
    <n v="154"/>
    <x v="0"/>
    <x v="0"/>
    <n v="0.94"/>
    <n v="4582.5"/>
    <n v="39.042899999999996"/>
    <n v="29.756493506493506"/>
    <s v="Apr"/>
    <x v="23"/>
    <m/>
    <m/>
  </r>
  <r>
    <n v="68817797"/>
    <x v="0"/>
    <n v="4875"/>
    <d v="2026-04-06T00:00:00"/>
    <s v="BR HA French Vanilla 6 1.5QT"/>
    <x v="78"/>
    <n v="8.5199999999999998E-3"/>
    <n v="154"/>
    <x v="0"/>
    <x v="0"/>
    <n v="0.94"/>
    <n v="4582.5"/>
    <n v="39.042899999999996"/>
    <n v="29.756493506493506"/>
    <s v="Apr"/>
    <x v="23"/>
    <m/>
    <m/>
  </r>
  <r>
    <n v="64960643"/>
    <x v="5"/>
    <n v="4930"/>
    <d v="2026-05-11T00:00:00"/>
    <s v="PS Orange Regular IH 6-12pk"/>
    <x v="70"/>
    <n v="3.516E-3"/>
    <n v="170"/>
    <x v="17"/>
    <x v="50"/>
    <n v="0.96"/>
    <n v="4732.8"/>
    <n v="16.640524800000001"/>
    <n v="27.84"/>
    <s v="May"/>
    <x v="26"/>
    <m/>
    <m/>
  </r>
  <r>
    <n v="64854330"/>
    <x v="13"/>
    <n v="5000"/>
    <d v="2026-08-03T00:00:00"/>
    <s v="MG Double Caramel RFA 8(3) 3PK"/>
    <x v="69"/>
    <n v="6.4800000000000005E-3"/>
    <n v="30"/>
    <x v="21"/>
    <x v="36"/>
    <n v="0.96"/>
    <n v="4800"/>
    <n v="31.104000000000003"/>
    <n v="160"/>
    <s v="Aug"/>
    <x v="22"/>
    <m/>
    <m/>
  </r>
  <r>
    <n v="64854330"/>
    <x v="13"/>
    <n v="5000"/>
    <d v="2026-11-02T00:00:00"/>
    <s v="MG Double Caramel RFA 8(3) 3PK"/>
    <x v="69"/>
    <n v="6.4800000000000005E-3"/>
    <n v="30"/>
    <x v="21"/>
    <x v="36"/>
    <n v="0.96"/>
    <n v="4800"/>
    <n v="31.104000000000003"/>
    <n v="160"/>
    <s v="Nov"/>
    <x v="18"/>
    <m/>
    <m/>
  </r>
  <r>
    <n v="64378129"/>
    <x v="19"/>
    <m/>
    <d v="2026-06-22T00:00:00"/>
    <s v="GH Candy center 8-6pk"/>
    <x v="70"/>
    <n v="3.8399999999999997E-3"/>
    <n v="110"/>
    <x v="17"/>
    <x v="54"/>
    <n v="0.96"/>
    <n v="0"/>
    <n v="0"/>
    <n v="0"/>
    <s v="Jun"/>
    <x v="49"/>
    <m/>
    <m/>
  </r>
  <r>
    <n v="64958862"/>
    <x v="5"/>
    <n v="5100"/>
    <d v="2026-06-29T00:00:00"/>
    <s v="PS SF Cherry IH 6-12pk"/>
    <x v="70"/>
    <n v="3.516E-3"/>
    <n v="170"/>
    <x v="17"/>
    <x v="50"/>
    <n v="0.96"/>
    <n v="4896"/>
    <n v="17.214335999999999"/>
    <n v="28.8"/>
    <s v="Jun"/>
    <x v="14"/>
    <m/>
    <m/>
  </r>
  <r>
    <n v="68852591"/>
    <x v="0"/>
    <n v="5200"/>
    <d v="2026-04-13T00:00:00"/>
    <s v="KL Heath Bar 12-6PK"/>
    <x v="79"/>
    <n v="8.5199999999999998E-3"/>
    <n v="132"/>
    <x v="1"/>
    <x v="2"/>
    <n v="0.96"/>
    <n v="4992"/>
    <n v="42.531840000000003"/>
    <n v="37.81818181818182"/>
    <s v="Apr"/>
    <x v="25"/>
    <m/>
    <m/>
  </r>
  <r>
    <n v="68851105"/>
    <x v="1"/>
    <n v="5400"/>
    <d v="2026-05-18T00:00:00"/>
    <s v="BR HA VAN CHOC STRAW 6-1.5QT"/>
    <x v="80"/>
    <n v="8.5199999999999998E-3"/>
    <n v="154"/>
    <x v="0"/>
    <x v="1"/>
    <n v="0.94"/>
    <n v="5076"/>
    <n v="43.247520000000002"/>
    <n v="32.961038961038959"/>
    <s v="May"/>
    <x v="39"/>
    <m/>
    <m/>
  </r>
  <r>
    <n v="68851106"/>
    <x v="1"/>
    <n v="5400"/>
    <d v="2026-04-27T00:00:00"/>
    <s v="BR HA NAT Vanilla 6-1.5QT"/>
    <x v="80"/>
    <n v="8.5199999999999998E-3"/>
    <n v="154"/>
    <x v="0"/>
    <x v="1"/>
    <n v="0.94"/>
    <n v="5076"/>
    <n v="43.247520000000002"/>
    <n v="32.961038961038959"/>
    <s v="Apr"/>
    <x v="21"/>
    <m/>
    <m/>
  </r>
  <r>
    <n v="68851106"/>
    <x v="1"/>
    <n v="5400"/>
    <d v="2026-05-11T00:00:00"/>
    <s v="BR HA NAT Vanilla 6-1.5QT"/>
    <x v="80"/>
    <n v="8.5199999999999998E-3"/>
    <n v="154"/>
    <x v="0"/>
    <x v="1"/>
    <n v="0.94"/>
    <n v="5076"/>
    <n v="43.247520000000002"/>
    <n v="32.961038961038959"/>
    <s v="May"/>
    <x v="26"/>
    <m/>
    <m/>
  </r>
  <r>
    <n v="68851109"/>
    <x v="1"/>
    <n v="5400"/>
    <d v="2026-04-27T00:00:00"/>
    <s v="BR HA Chocolate 6-1.5QT"/>
    <x v="80"/>
    <n v="8.5199999999999998E-3"/>
    <n v="154"/>
    <x v="0"/>
    <x v="1"/>
    <n v="0.94"/>
    <n v="5076"/>
    <n v="43.247520000000002"/>
    <n v="32.961038961038959"/>
    <s v="Apr"/>
    <x v="21"/>
    <m/>
    <m/>
  </r>
  <r>
    <n v="68851109"/>
    <x v="1"/>
    <n v="5400"/>
    <d v="2026-05-04T00:00:00"/>
    <s v="BR HA Chocolate 6-1.5QT"/>
    <x v="80"/>
    <n v="8.5199999999999998E-3"/>
    <n v="154"/>
    <x v="0"/>
    <x v="1"/>
    <n v="0.94"/>
    <n v="5076"/>
    <n v="43.247520000000002"/>
    <n v="32.961038961038959"/>
    <s v="May"/>
    <x v="24"/>
    <m/>
    <m/>
  </r>
  <r>
    <n v="64369052"/>
    <x v="19"/>
    <n v="5400"/>
    <d v="2026-05-25T00:00:00"/>
    <s v="KL Cone StrwShortcake Van Chillin 6-8CT"/>
    <x v="70"/>
    <n v="5.3220000000000003E-3"/>
    <n v="120"/>
    <x v="22"/>
    <x v="48"/>
    <n v="0.96"/>
    <n v="5184"/>
    <n v="27.589248000000001"/>
    <n v="43.2"/>
    <s v="May"/>
    <x v="46"/>
    <m/>
    <m/>
  </r>
  <r>
    <n v="65549173"/>
    <x v="7"/>
    <n v="5480"/>
    <d v="2026-08-24T00:00:00"/>
    <s v="PS Bluey Facepiece OOH 1-20PK"/>
    <x v="70"/>
    <n v="1.1999999999999999E-3"/>
    <n v="210"/>
    <x v="16"/>
    <x v="24"/>
    <n v="0.96"/>
    <n v="5260.8"/>
    <n v="6.3129599999999995"/>
    <n v="25.051428571428573"/>
    <s v="Aug"/>
    <x v="35"/>
    <m/>
    <m/>
  </r>
  <r>
    <n v="68264519"/>
    <x v="6"/>
    <n v="5500"/>
    <d v="2026-04-13T00:00:00"/>
    <s v="BJ US-CD-Half Baked Dough-8 6z"/>
    <x v="70"/>
    <n v="1.419504E-3"/>
    <n v="256"/>
    <x v="15"/>
    <x v="23"/>
    <n v="0.96"/>
    <n v="5280"/>
    <n v="7.4949811200000003"/>
    <n v="20.625"/>
    <s v="Apr"/>
    <x v="25"/>
    <m/>
    <m/>
  </r>
  <r>
    <n v="68264519"/>
    <x v="6"/>
    <n v="5500"/>
    <d v="2026-06-01T00:00:00"/>
    <s v="BJ US-CD-Half Baked Dough-8 6z"/>
    <x v="70"/>
    <n v="1.419504E-3"/>
    <n v="256"/>
    <x v="15"/>
    <x v="23"/>
    <n v="0.96"/>
    <n v="5280"/>
    <n v="7.4949811200000003"/>
    <n v="20.625"/>
    <s v="Jun"/>
    <x v="13"/>
    <m/>
    <m/>
  </r>
  <r>
    <n v="68264519"/>
    <x v="6"/>
    <n v="5500"/>
    <d v="2026-07-06T00:00:00"/>
    <s v="BJ US-CD-Half Baked Dough-8 6z"/>
    <x v="70"/>
    <n v="1.419504E-3"/>
    <n v="256"/>
    <x v="15"/>
    <x v="23"/>
    <n v="0.96"/>
    <n v="5280"/>
    <n v="7.4949811200000003"/>
    <n v="20.625"/>
    <s v="Jul"/>
    <x v="30"/>
    <m/>
    <m/>
  </r>
  <r>
    <n v="68264519"/>
    <x v="6"/>
    <n v="5500"/>
    <d v="2026-08-10T00:00:00"/>
    <s v="BJ US-CD-Half Baked Dough-8 6z"/>
    <x v="70"/>
    <n v="1.419504E-3"/>
    <n v="256"/>
    <x v="15"/>
    <x v="23"/>
    <n v="0.96"/>
    <n v="5280"/>
    <n v="7.4949811200000003"/>
    <n v="20.625"/>
    <s v="Aug"/>
    <x v="34"/>
    <m/>
    <m/>
  </r>
  <r>
    <n v="68264519"/>
    <x v="6"/>
    <n v="5500"/>
    <d v="2026-08-31T00:00:00"/>
    <s v="BJ US-CD-Half Baked Dough-8 6z"/>
    <x v="70"/>
    <n v="1.419504E-3"/>
    <n v="256"/>
    <x v="15"/>
    <x v="23"/>
    <n v="0.96"/>
    <n v="5280"/>
    <n v="7.4949811200000003"/>
    <n v="20.625"/>
    <s v="Aug"/>
    <x v="16"/>
    <m/>
    <m/>
  </r>
  <r>
    <n v="68264519"/>
    <x v="6"/>
    <n v="5500"/>
    <d v="2026-10-05T00:00:00"/>
    <s v="BJ US-CD-Half Baked Dough-8 6z"/>
    <x v="70"/>
    <n v="1.419504E-3"/>
    <n v="256"/>
    <x v="15"/>
    <x v="23"/>
    <n v="0.96"/>
    <n v="5280"/>
    <n v="7.4949811200000003"/>
    <n v="20.625"/>
    <s v="Oct"/>
    <x v="50"/>
    <m/>
    <m/>
  </r>
  <r>
    <n v="68264519"/>
    <x v="6"/>
    <n v="5500"/>
    <d v="2026-11-09T00:00:00"/>
    <s v="BJ US-CD-Half Baked Dough-8 6z"/>
    <x v="70"/>
    <n v="1.419504E-3"/>
    <n v="256"/>
    <x v="15"/>
    <x v="23"/>
    <n v="0.96"/>
    <n v="5280"/>
    <n v="7.4949811200000003"/>
    <n v="20.625"/>
    <s v="Nov"/>
    <x v="37"/>
    <m/>
    <m/>
  </r>
  <r>
    <n v="68264519"/>
    <x v="6"/>
    <n v="5500"/>
    <d v="2026-12-07T00:00:00"/>
    <s v="BJ US-CD-Half Baked Dough-8 6z"/>
    <x v="70"/>
    <n v="1.419504E-3"/>
    <n v="256"/>
    <x v="15"/>
    <x v="23"/>
    <n v="0.96"/>
    <n v="5280"/>
    <n v="7.4949811200000003"/>
    <n v="20.625"/>
    <s v="Dec"/>
    <x v="44"/>
    <m/>
    <m/>
  </r>
  <r>
    <n v="64379123"/>
    <x v="4"/>
    <n v="5520"/>
    <d v="2026-04-06T00:00:00"/>
    <s v="KL ORIG Club Pack 1-24PK"/>
    <x v="81"/>
    <n v="3.1939999999999998E-3"/>
    <n v="322"/>
    <x v="26"/>
    <x v="49"/>
    <n v="0.96"/>
    <n v="5299.2"/>
    <n v="16.925644799999997"/>
    <n v="16.457142857142856"/>
    <s v="Apr"/>
    <x v="23"/>
    <m/>
    <m/>
  </r>
  <r>
    <n v="65489677"/>
    <x v="12"/>
    <n v="5556"/>
    <d v="2026-05-11T00:00:00"/>
    <s v="GH King Cone Giant VAN CHOC 1-12PK"/>
    <x v="69"/>
    <n v="2.8319999999999999E-3"/>
    <n v="221"/>
    <x v="17"/>
    <x v="34"/>
    <n v="0.96"/>
    <n v="5333.76"/>
    <n v="15.105208319999999"/>
    <n v="24.134660633484163"/>
    <s v="May"/>
    <x v="26"/>
    <m/>
    <m/>
  </r>
  <r>
    <n v="67473913"/>
    <x v="3"/>
    <n v="5600"/>
    <d v="2026-05-11T00:00:00"/>
    <s v="BJ SORV-IC-PhishFood-8 458ML"/>
    <x v="77"/>
    <n v="3.7853439999999999E-3"/>
    <n v="240"/>
    <x v="10"/>
    <x v="18"/>
    <n v="0.96"/>
    <n v="5376"/>
    <n v="20.350009344"/>
    <n v="22.4"/>
    <s v="May"/>
    <x v="26"/>
    <m/>
    <m/>
  </r>
  <r>
    <n v="64341968"/>
    <x v="0"/>
    <n v="5640"/>
    <d v="2026-04-13T00:00:00"/>
    <s v="BR CO-B Snickers 6 1.5QT"/>
    <x v="82"/>
    <n v="8.5199999999999998E-3"/>
    <n v="176"/>
    <x v="0"/>
    <x v="0"/>
    <n v="0.94"/>
    <n v="5301.5999999999995"/>
    <n v="45.169631999999993"/>
    <n v="30.122727272727271"/>
    <s v="Apr"/>
    <x v="25"/>
    <m/>
    <m/>
  </r>
  <r>
    <n v="65254774"/>
    <x v="18"/>
    <n v="5700"/>
    <d v="2026-10-12T00:00:00"/>
    <s v="Yasso Choc Chip VAN CRML Cups 1-12ct"/>
    <x v="69"/>
    <n v="1E-3"/>
    <n v="420"/>
    <x v="17"/>
    <x v="46"/>
    <n v="0.96"/>
    <n v="5472"/>
    <n v="5.4720000000000004"/>
    <n v="13.028571428571428"/>
    <s v="Oct"/>
    <x v="36"/>
    <m/>
    <m/>
  </r>
  <r>
    <n v="65254774"/>
    <x v="18"/>
    <n v="5700"/>
    <d v="2026-10-19T00:00:00"/>
    <s v="Yasso Choc Chip VAN CRML Cups 1-12ct"/>
    <x v="69"/>
    <n v="1E-3"/>
    <n v="420"/>
    <x v="17"/>
    <x v="46"/>
    <n v="0.96"/>
    <n v="5472"/>
    <n v="5.4720000000000004"/>
    <n v="13.028571428571428"/>
    <s v="Oct"/>
    <x v="41"/>
    <m/>
    <m/>
  </r>
  <r>
    <n v="65254774"/>
    <x v="18"/>
    <n v="5700"/>
    <d v="2026-10-26T00:00:00"/>
    <s v="Yasso Choc Chip VAN CRML Cups 1-12ct"/>
    <x v="69"/>
    <n v="1E-3"/>
    <n v="420"/>
    <x v="17"/>
    <x v="46"/>
    <n v="0.96"/>
    <n v="5472"/>
    <n v="5.4720000000000004"/>
    <n v="13.028571428571428"/>
    <s v="Oct"/>
    <x v="33"/>
    <m/>
    <m/>
  </r>
  <r>
    <n v="65254774"/>
    <x v="18"/>
    <n v="5700"/>
    <d v="2026-11-30T00:00:00"/>
    <s v="Yasso Choc Chip VAN CRML Cups 1-12ct"/>
    <x v="69"/>
    <n v="1E-3"/>
    <n v="420"/>
    <x v="17"/>
    <x v="46"/>
    <n v="0.96"/>
    <n v="5472"/>
    <n v="5.4720000000000004"/>
    <n v="13.028571428571428"/>
    <s v="Nov"/>
    <x v="19"/>
    <m/>
    <m/>
  </r>
  <r>
    <n v="64776958"/>
    <x v="5"/>
    <n v="5700"/>
    <d v="2026-05-18T00:00:00"/>
    <s v="PS OCG 6-18PK"/>
    <x v="70"/>
    <n v="5.2680000000000001E-3"/>
    <n v="130"/>
    <x v="6"/>
    <x v="22"/>
    <n v="0.96"/>
    <n v="5472"/>
    <n v="28.826496000000002"/>
    <n v="42.092307692307692"/>
    <s v="May"/>
    <x v="39"/>
    <m/>
    <m/>
  </r>
  <r>
    <n v="64973976"/>
    <x v="8"/>
    <n v="5760"/>
    <d v="2026-07-13T00:00:00"/>
    <s v="BR Reeses Mini Cups 1-12PK"/>
    <x v="69"/>
    <n v="1.0644000000000001E-3"/>
    <n v="190"/>
    <x v="23"/>
    <x v="55"/>
    <n v="0.96"/>
    <n v="5529.5999999999995"/>
    <n v="5.8857062400000002"/>
    <n v="29.103157894736839"/>
    <s v="Jul"/>
    <x v="48"/>
    <m/>
    <m/>
  </r>
  <r>
    <n v="64409312"/>
    <x v="14"/>
    <n v="5839"/>
    <d v="2026-10-05T00:00:00"/>
    <s v="Holanda Chemisse Pineapple 8-4pk"/>
    <x v="70"/>
    <n v="5.2000000000000006E-4"/>
    <n v="135"/>
    <x v="17"/>
    <x v="39"/>
    <n v="0.96"/>
    <n v="5605.44"/>
    <n v="2.9148288"/>
    <n v="41.521777777777778"/>
    <s v="Oct"/>
    <x v="50"/>
    <m/>
    <m/>
  </r>
  <r>
    <n v="64409312"/>
    <x v="14"/>
    <n v="5839"/>
    <d v="2026-10-12T00:00:00"/>
    <s v="Holanda Chemisse Pineapple 8-4pk"/>
    <x v="70"/>
    <n v="5.2000000000000006E-4"/>
    <n v="135"/>
    <x v="17"/>
    <x v="39"/>
    <n v="0.96"/>
    <n v="5605.44"/>
    <n v="2.9148288"/>
    <n v="41.521777777777778"/>
    <s v="Oct"/>
    <x v="36"/>
    <m/>
    <m/>
  </r>
  <r>
    <n v="64409314"/>
    <x v="14"/>
    <n v="5839"/>
    <d v="2026-08-03T00:00:00"/>
    <s v="Holanda Chemisse Strawberry 8-4pk"/>
    <x v="70"/>
    <n v="5.2800000000000004E-4"/>
    <n v="135"/>
    <x v="17"/>
    <x v="39"/>
    <n v="0.96"/>
    <n v="5605.44"/>
    <n v="2.9596723200000001"/>
    <n v="41.521777777777778"/>
    <s v="Aug"/>
    <x v="22"/>
    <m/>
    <m/>
  </r>
  <r>
    <n v="64409314"/>
    <x v="14"/>
    <n v="5839"/>
    <d v="2026-08-10T00:00:00"/>
    <s v="Holanda Chemisse Strawberry 8-4pk"/>
    <x v="70"/>
    <n v="5.2800000000000004E-4"/>
    <n v="135"/>
    <x v="17"/>
    <x v="39"/>
    <n v="0.96"/>
    <n v="5605.44"/>
    <n v="2.9596723200000001"/>
    <n v="41.521777777777778"/>
    <s v="Aug"/>
    <x v="34"/>
    <m/>
    <m/>
  </r>
  <r>
    <n v="64409314"/>
    <x v="14"/>
    <n v="5839"/>
    <d v="2026-08-24T00:00:00"/>
    <s v="Holanda Chemisse Strawberry 8-4pk"/>
    <x v="70"/>
    <n v="5.2800000000000004E-4"/>
    <n v="135"/>
    <x v="17"/>
    <x v="39"/>
    <n v="0.96"/>
    <n v="5605.44"/>
    <n v="2.9596723200000001"/>
    <n v="41.521777777777778"/>
    <s v="Aug"/>
    <x v="35"/>
    <m/>
    <m/>
  </r>
  <r>
    <n v="64409314"/>
    <x v="14"/>
    <n v="5839"/>
    <d v="2026-08-31T00:00:00"/>
    <s v="Holanda Chemisse Strawberry 8-4pk"/>
    <x v="70"/>
    <n v="5.2800000000000004E-4"/>
    <n v="135"/>
    <x v="17"/>
    <x v="39"/>
    <n v="0.96"/>
    <n v="5605.44"/>
    <n v="2.9596723200000001"/>
    <n v="41.521777777777778"/>
    <s v="Aug"/>
    <x v="16"/>
    <m/>
    <m/>
  </r>
  <r>
    <n v="68689251"/>
    <x v="0"/>
    <n v="5860"/>
    <d v="2026-03-23T00:00:00"/>
    <s v="KL Original Vanilla Bar 12-6PK"/>
    <x v="79"/>
    <n v="9.5760000000000012E-3"/>
    <n v="132"/>
    <x v="1"/>
    <x v="2"/>
    <n v="0.96"/>
    <n v="5625.5999999999995"/>
    <n v="53.870745599999999"/>
    <n v="42.618181818181817"/>
    <s v="Mar"/>
    <x v="10"/>
    <m/>
    <m/>
  </r>
  <r>
    <n v="64804365"/>
    <x v="8"/>
    <n v="5940"/>
    <d v="2026-04-06T00:00:00"/>
    <s v="BJ US-PUP-PB Pretzel 6-4PK"/>
    <x v="69"/>
    <n v="2.8799999999999997E-3"/>
    <n v="180"/>
    <x v="18"/>
    <x v="26"/>
    <n v="0.96"/>
    <n v="5702.4"/>
    <n v="16.422911999999997"/>
    <n v="31.68"/>
    <s v="Apr"/>
    <x v="23"/>
    <m/>
    <m/>
  </r>
  <r>
    <n v="64804365"/>
    <x v="8"/>
    <n v="5940"/>
    <d v="2026-08-17T00:00:00"/>
    <s v="BJ US-PUP-PB Pretzel 6-4PK"/>
    <x v="69"/>
    <n v="2.8799999999999997E-3"/>
    <n v="180"/>
    <x v="18"/>
    <x v="26"/>
    <n v="0.96"/>
    <n v="5702.4"/>
    <n v="16.422911999999997"/>
    <n v="31.68"/>
    <s v="Aug"/>
    <x v="29"/>
    <m/>
    <m/>
  </r>
  <r>
    <n v="64804365"/>
    <x v="8"/>
    <n v="5940"/>
    <d v="2026-08-31T00:00:00"/>
    <s v="BJ US-PUP-PB Pretzel 6-4PK"/>
    <x v="69"/>
    <n v="2.8799999999999997E-3"/>
    <n v="180"/>
    <x v="18"/>
    <x v="26"/>
    <n v="0.96"/>
    <n v="5702.4"/>
    <n v="16.422911999999997"/>
    <n v="31.68"/>
    <s v="Aug"/>
    <x v="16"/>
    <m/>
    <m/>
  </r>
  <r>
    <n v="64806251"/>
    <x v="8"/>
    <n v="5940"/>
    <d v="2026-04-13T00:00:00"/>
    <s v="BJ US-PUP-PumpkinCookie 6-4PK"/>
    <x v="69"/>
    <n v="2.8799999999999997E-3"/>
    <n v="180"/>
    <x v="18"/>
    <x v="26"/>
    <n v="0.96"/>
    <n v="5702.4"/>
    <n v="16.422911999999997"/>
    <n v="31.68"/>
    <s v="Apr"/>
    <x v="25"/>
    <m/>
    <m/>
  </r>
  <r>
    <n v="68851109"/>
    <x v="1"/>
    <n v="6000"/>
    <d v="2026-04-13T00:00:00"/>
    <s v="BR HA Chocolate 6-1.5QT"/>
    <x v="83"/>
    <n v="8.5199999999999998E-3"/>
    <n v="154"/>
    <x v="0"/>
    <x v="1"/>
    <n v="0.94"/>
    <n v="5640"/>
    <n v="48.052799999999998"/>
    <n v="36.623376623376622"/>
    <s v="Apr"/>
    <x v="25"/>
    <m/>
    <m/>
  </r>
  <r>
    <n v="68732322"/>
    <x v="2"/>
    <n v="6000"/>
    <d v="2026-04-20T00:00:00"/>
    <s v="BJ SORV-IC-HalfBaked-8 458ML"/>
    <x v="84"/>
    <n v="3.6640000000000002E-3"/>
    <n v="240"/>
    <x v="10"/>
    <x v="16"/>
    <n v="0.96"/>
    <n v="5760"/>
    <n v="21.10464"/>
    <n v="24"/>
    <s v="Apr"/>
    <x v="40"/>
    <m/>
    <m/>
  </r>
  <r>
    <n v="68732322"/>
    <x v="2"/>
    <m/>
    <d v="2026-05-18T00:00:00"/>
    <s v="BJ SORV-IC-HalfBaked-8 458ML"/>
    <x v="84"/>
    <n v="3.6640000000000002E-3"/>
    <n v="240"/>
    <x v="10"/>
    <x v="16"/>
    <n v="0.96"/>
    <n v="0"/>
    <n v="0"/>
    <n v="0"/>
    <s v="May"/>
    <x v="39"/>
    <m/>
    <m/>
  </r>
  <r>
    <n v="84162829"/>
    <x v="2"/>
    <n v="6000"/>
    <d v="2026-04-13T00:00:00"/>
    <s v="BJ SORV-IC-ChocFdgBrownie-8 458ML"/>
    <x v="84"/>
    <n v="3.3839999999999999E-3"/>
    <n v="240"/>
    <x v="10"/>
    <x v="16"/>
    <n v="0.96"/>
    <n v="5760"/>
    <n v="19.49184"/>
    <n v="24"/>
    <s v="Apr"/>
    <x v="25"/>
    <m/>
    <m/>
  </r>
  <r>
    <n v="84162829"/>
    <x v="2"/>
    <m/>
    <d v="2026-05-18T00:00:00"/>
    <s v="BJ SORV-IC-ChocFdgBrownie-8 458ML"/>
    <x v="84"/>
    <n v="3.3839999999999999E-3"/>
    <n v="240"/>
    <x v="10"/>
    <x v="16"/>
    <n v="0.96"/>
    <n v="0"/>
    <n v="0"/>
    <n v="0"/>
    <s v="May"/>
    <x v="39"/>
    <m/>
    <m/>
  </r>
  <r>
    <n v="68710285"/>
    <x v="0"/>
    <n v="6240"/>
    <d v="2026-04-20T00:00:00"/>
    <s v="KL Krunch Bar 12-6PK"/>
    <x v="79"/>
    <n v="9.5760000000000012E-3"/>
    <n v="132"/>
    <x v="1"/>
    <x v="2"/>
    <n v="0.96"/>
    <n v="5990.4"/>
    <n v="57.364070400000003"/>
    <n v="45.381818181818176"/>
    <s v="Apr"/>
    <x v="40"/>
    <m/>
    <m/>
  </r>
  <r>
    <n v="68852591"/>
    <x v="0"/>
    <n v="6240"/>
    <d v="2026-05-11T00:00:00"/>
    <s v="KL Heath Bar 12-6PK"/>
    <x v="79"/>
    <n v="8.5199999999999998E-3"/>
    <n v="132"/>
    <x v="1"/>
    <x v="2"/>
    <n v="0.96"/>
    <n v="5990.4"/>
    <n v="51.038207999999997"/>
    <n v="45.381818181818176"/>
    <s v="May"/>
    <x v="26"/>
    <m/>
    <m/>
  </r>
  <r>
    <n v="68921994"/>
    <x v="0"/>
    <n v="6240"/>
    <d v="2026-04-13T00:00:00"/>
    <s v="KL Dark Chocolate Bar 12-6PK"/>
    <x v="85"/>
    <n v="9.5760000000000012E-3"/>
    <n v="132"/>
    <x v="1"/>
    <x v="2"/>
    <n v="0.96"/>
    <n v="5990.4"/>
    <n v="57.364070400000003"/>
    <n v="45.381818181818176"/>
    <s v="Apr"/>
    <x v="25"/>
    <m/>
    <m/>
  </r>
  <r>
    <n v="68921994"/>
    <x v="0"/>
    <n v="6240"/>
    <d v="2026-05-04T00:00:00"/>
    <s v="KL Dark Chocolate Bar 12-6PK"/>
    <x v="79"/>
    <n v="9.5760000000000012E-3"/>
    <n v="132"/>
    <x v="1"/>
    <x v="2"/>
    <n v="0.96"/>
    <n v="5990.4"/>
    <n v="57.364070400000003"/>
    <n v="45.381818181818176"/>
    <s v="May"/>
    <x v="24"/>
    <m/>
    <m/>
  </r>
  <r>
    <n v="62689431"/>
    <x v="3"/>
    <n v="6240"/>
    <d v="2026-05-04T00:00:00"/>
    <s v="BJ US-IC-Mango-1 2.4GAL"/>
    <x v="76"/>
    <n v="9.0850000000000011E-3"/>
    <n v="125"/>
    <x v="13"/>
    <x v="20"/>
    <n v="0.85"/>
    <n v="5304"/>
    <n v="48.186840000000004"/>
    <n v="42.432000000000002"/>
    <s v="May"/>
    <x v="24"/>
    <m/>
    <m/>
  </r>
  <r>
    <n v="64799253"/>
    <x v="3"/>
    <n v="6240"/>
    <d v="2026-05-25T00:00:00"/>
    <s v="BJ US-NDOStrawbSwirl-1 2.4Gal"/>
    <x v="76"/>
    <n v="9.0840000000000001E-3"/>
    <n v="125"/>
    <x v="13"/>
    <x v="20"/>
    <n v="0.85"/>
    <n v="5304"/>
    <n v="48.181536000000001"/>
    <n v="42.432000000000002"/>
    <s v="May"/>
    <x v="46"/>
    <m/>
    <m/>
  </r>
  <r>
    <n v="64924302"/>
    <x v="3"/>
    <n v="6240"/>
    <d v="2026-04-27T00:00:00"/>
    <s v="BJ US-SRB-BerryExtra-1 2.4 G"/>
    <x v="76"/>
    <n v="9.0850000000000011E-3"/>
    <n v="125"/>
    <x v="13"/>
    <x v="20"/>
    <n v="0.85"/>
    <n v="5304"/>
    <n v="48.186840000000004"/>
    <n v="42.432000000000002"/>
    <s v="Apr"/>
    <x v="21"/>
    <m/>
    <m/>
  </r>
  <r>
    <n v="67278370"/>
    <x v="3"/>
    <n v="6240"/>
    <d v="2026-04-27T00:00:00"/>
    <s v="BJ US-SRB-Lemonade-1 2.4 G"/>
    <x v="76"/>
    <n v="9.0848256361922702E-3"/>
    <n v="125"/>
    <x v="13"/>
    <x v="20"/>
    <n v="0.85"/>
    <n v="5304"/>
    <n v="48.185915174363799"/>
    <n v="42.432000000000002"/>
    <s v="Apr"/>
    <x v="21"/>
    <m/>
    <m/>
  </r>
  <r>
    <n v="67825196"/>
    <x v="3"/>
    <n v="6240"/>
    <d v="2026-03-23T00:00:00"/>
    <s v="BJ US-IC-TonightDough-FTNG-1 2.4G"/>
    <x v="76"/>
    <n v="9.0848256361922702E-3"/>
    <n v="125"/>
    <x v="13"/>
    <x v="20"/>
    <n v="0.85"/>
    <n v="5304"/>
    <n v="48.185915174363799"/>
    <n v="42.432000000000002"/>
    <s v="Mar"/>
    <x v="10"/>
    <m/>
    <m/>
  </r>
  <r>
    <n v="67825197"/>
    <x v="3"/>
    <n v="6240"/>
    <d v="2026-03-30T00:00:00"/>
    <s v="BJ US-IC-ChunkyMonkey-FTNG-1 2.4G"/>
    <x v="76"/>
    <n v="9.0848256361922702E-3"/>
    <n v="125"/>
    <x v="13"/>
    <x v="20"/>
    <n v="0.85"/>
    <n v="5304"/>
    <n v="48.185915174363799"/>
    <n v="42.432000000000002"/>
    <s v="Mar"/>
    <x v="20"/>
    <m/>
    <m/>
  </r>
  <r>
    <n v="67825198"/>
    <x v="3"/>
    <n v="6240"/>
    <d v="2026-05-18T00:00:00"/>
    <s v="BJ US-IC-Milk+Cookies-FTNG-1 2.4G"/>
    <x v="76"/>
    <n v="9.0848256361922702E-3"/>
    <n v="125"/>
    <x v="13"/>
    <x v="20"/>
    <n v="0.85"/>
    <n v="5304"/>
    <n v="48.185915174363799"/>
    <n v="42.432000000000002"/>
    <s v="May"/>
    <x v="39"/>
    <m/>
    <m/>
  </r>
  <r>
    <n v="68499787"/>
    <x v="3"/>
    <n v="6240"/>
    <d v="2026-05-04T00:00:00"/>
    <s v="BJ US-IC-MarshmallowSky-1 2.4gal"/>
    <x v="76"/>
    <n v="9.0850000000000011E-3"/>
    <n v="125"/>
    <x v="13"/>
    <x v="20"/>
    <n v="0.85"/>
    <n v="5304"/>
    <n v="48.186840000000004"/>
    <n v="42.432000000000002"/>
    <s v="May"/>
    <x v="24"/>
    <m/>
    <m/>
  </r>
  <r>
    <n v="84135794"/>
    <x v="3"/>
    <n v="6240"/>
    <d v="2026-04-13T00:00:00"/>
    <s v="BJ US-IC-Chocolate-FTNG-1 2.4G"/>
    <x v="76"/>
    <n v="9.0848256361922702E-3"/>
    <n v="125"/>
    <x v="13"/>
    <x v="20"/>
    <n v="0.85"/>
    <n v="5304"/>
    <n v="48.185915174363799"/>
    <n v="42.432000000000002"/>
    <s v="Apr"/>
    <x v="25"/>
    <m/>
    <m/>
  </r>
  <r>
    <n v="84135795"/>
    <x v="3"/>
    <n v="6240"/>
    <d v="2026-05-11T00:00:00"/>
    <s v="BJ US-IC-Vanilla-FTNG-1 2.4G"/>
    <x v="76"/>
    <n v="9.0848256361922702E-3"/>
    <n v="125"/>
    <x v="13"/>
    <x v="20"/>
    <n v="0.85"/>
    <n v="5304"/>
    <n v="48.185915174363799"/>
    <n v="42.432000000000002"/>
    <s v="May"/>
    <x v="26"/>
    <m/>
    <m/>
  </r>
  <r>
    <n v="84138346"/>
    <x v="3"/>
    <n v="6240"/>
    <d v="2026-03-23T00:00:00"/>
    <s v="BJ US-IC-PhishFood-FTNG-1 2.4G"/>
    <x v="76"/>
    <n v="9.0848256361922702E-3"/>
    <n v="125"/>
    <x v="13"/>
    <x v="20"/>
    <n v="0.85"/>
    <n v="5304"/>
    <n v="48.185915174363799"/>
    <n v="42.432000000000002"/>
    <s v="Mar"/>
    <x v="10"/>
    <m/>
    <m/>
  </r>
  <r>
    <n v="84138347"/>
    <x v="3"/>
    <n v="6240"/>
    <d v="2026-05-18T00:00:00"/>
    <s v="BJ US-IC-CoffeeBuzzBuzz-FTNG-1 2.4G"/>
    <x v="76"/>
    <n v="9.0848256361922702E-3"/>
    <n v="125"/>
    <x v="13"/>
    <x v="20"/>
    <n v="0.85"/>
    <n v="5304"/>
    <n v="48.185915174363799"/>
    <n v="42.432000000000002"/>
    <s v="May"/>
    <x v="39"/>
    <m/>
    <m/>
  </r>
  <r>
    <n v="84139000"/>
    <x v="3"/>
    <n v="6240"/>
    <d v="2026-05-11T00:00:00"/>
    <s v="BJ US-IC-SaltCaramelBlondie-FTNG-1 2.4G"/>
    <x v="76"/>
    <n v="9.0848256361922702E-3"/>
    <n v="125"/>
    <x v="13"/>
    <x v="20"/>
    <n v="0.85"/>
    <n v="5304"/>
    <n v="48.185915174363799"/>
    <n v="42.432000000000002"/>
    <s v="May"/>
    <x v="26"/>
    <m/>
    <m/>
  </r>
  <r>
    <n v="84139971"/>
    <x v="3"/>
    <n v="6240"/>
    <d v="2026-04-06T00:00:00"/>
    <s v="BJ US-IC-MintChocChunk-FTNG-1 2.4G"/>
    <x v="76"/>
    <n v="9.0848256361922702E-3"/>
    <n v="125"/>
    <x v="13"/>
    <x v="20"/>
    <n v="0.85"/>
    <n v="5304"/>
    <n v="48.185915174363799"/>
    <n v="42.432000000000002"/>
    <s v="Apr"/>
    <x v="23"/>
    <m/>
    <m/>
  </r>
  <r>
    <n v="84139971"/>
    <x v="3"/>
    <n v="6240"/>
    <d v="2026-05-11T00:00:00"/>
    <s v="BJ US-IC-MintChocChunk-FTNG-1 2.4G"/>
    <x v="76"/>
    <n v="9.0848256361922702E-3"/>
    <n v="125"/>
    <x v="13"/>
    <x v="20"/>
    <n v="0.85"/>
    <n v="5304"/>
    <n v="48.185915174363799"/>
    <n v="42.432000000000002"/>
    <s v="May"/>
    <x v="26"/>
    <m/>
    <m/>
  </r>
  <r>
    <n v="84139972"/>
    <x v="3"/>
    <n v="6240"/>
    <d v="2026-04-27T00:00:00"/>
    <s v="BJ US-IC-ButterPecan-FTNG-1 2.4G"/>
    <x v="76"/>
    <n v="9.0848256361922702E-3"/>
    <n v="125"/>
    <x v="13"/>
    <x v="20"/>
    <n v="0.85"/>
    <n v="5304"/>
    <n v="48.185915174363799"/>
    <n v="42.432000000000002"/>
    <s v="Apr"/>
    <x v="21"/>
    <m/>
    <m/>
  </r>
  <r>
    <n v="84141037"/>
    <x v="3"/>
    <n v="6240"/>
    <d v="2026-05-18T00:00:00"/>
    <s v="BJ US-IC-ChocFudgBrownie-FTNG-1 2.4G"/>
    <x v="76"/>
    <n v="9.0848256361922702E-3"/>
    <n v="125"/>
    <x v="13"/>
    <x v="20"/>
    <n v="0.85"/>
    <n v="5304"/>
    <n v="48.185915174363799"/>
    <n v="42.432000000000002"/>
    <s v="May"/>
    <x v="39"/>
    <m/>
    <m/>
  </r>
  <r>
    <n v="84164939"/>
    <x v="3"/>
    <n v="6240"/>
    <d v="2026-04-06T00:00:00"/>
    <s v="BJ US-IC-SweetCrm+Cookies-FTNG-1 2.4G"/>
    <x v="76"/>
    <n v="9.0848256361922702E-3"/>
    <n v="125"/>
    <x v="13"/>
    <x v="20"/>
    <n v="0.85"/>
    <n v="5304"/>
    <n v="48.185915174363799"/>
    <n v="42.432000000000002"/>
    <s v="Apr"/>
    <x v="23"/>
    <m/>
    <m/>
  </r>
  <r>
    <n v="65489676"/>
    <x v="12"/>
    <n v="6251"/>
    <d v="2026-04-20T00:00:00"/>
    <s v="GH King Cone GINT Cookies and CRM 1-12PK"/>
    <x v="69"/>
    <n v="2.8319999999999999E-3"/>
    <n v="221"/>
    <x v="17"/>
    <x v="34"/>
    <n v="0.96"/>
    <n v="6000.96"/>
    <n v="16.994718719999998"/>
    <n v="27.153665158371041"/>
    <s v="Apr"/>
    <x v="40"/>
    <m/>
    <m/>
  </r>
  <r>
    <n v="64955561"/>
    <x v="10"/>
    <m/>
    <d v="2026-03-16T00:00:00"/>
    <s v="Yasso Creamy Pineapple Coconut 8-4pk"/>
    <x v="69"/>
    <n v="3.3119999999999998E-3"/>
    <n v="165"/>
    <x v="4"/>
    <x v="30"/>
    <n v="0.96"/>
    <n v="0"/>
    <n v="0"/>
    <n v="0"/>
    <s v="Mar"/>
    <x v="9"/>
    <m/>
    <m/>
  </r>
  <r>
    <n v="68300738"/>
    <x v="0"/>
    <n v="6480"/>
    <d v="2026-05-04T00:00:00"/>
    <s v="KL REESES BAR 12-6 PK"/>
    <x v="85"/>
    <n v="8.4960000000000001E-3"/>
    <n v="132"/>
    <x v="1"/>
    <x v="2"/>
    <n v="0.96"/>
    <n v="6220.8"/>
    <n v="52.851916800000005"/>
    <n v="47.127272727272725"/>
    <s v="May"/>
    <x v="24"/>
    <m/>
    <m/>
  </r>
  <r>
    <n v="68852583"/>
    <x v="0"/>
    <n v="6480"/>
    <d v="2026-04-27T00:00:00"/>
    <s v="KL Cookies and Creme Bar 12-6PK"/>
    <x v="75"/>
    <n v="8.5199999999999998E-3"/>
    <n v="132"/>
    <x v="1"/>
    <x v="2"/>
    <n v="0.96"/>
    <n v="6220.8"/>
    <n v="53.001215999999999"/>
    <n v="47.127272727272725"/>
    <s v="Apr"/>
    <x v="21"/>
    <m/>
    <m/>
  </r>
  <r>
    <n v="64394600"/>
    <x v="3"/>
    <n v="6480"/>
    <d v="2026-04-20T00:00:00"/>
    <s v="BJ CA-NDO-PBHalfBaked-8 473ML"/>
    <x v="72"/>
    <n v="3.7839999999999996E-3"/>
    <n v="240"/>
    <x v="3"/>
    <x v="13"/>
    <n v="0.95"/>
    <n v="6156"/>
    <n v="23.294303999999997"/>
    <n v="25.65"/>
    <s v="Apr"/>
    <x v="40"/>
    <m/>
    <m/>
  </r>
  <r>
    <n v="68638136"/>
    <x v="3"/>
    <n v="6480"/>
    <d v="2026-03-23T00:00:00"/>
    <s v="BJ MX-IC-ChunkyMonkey-8 1PT"/>
    <x v="72"/>
    <n v="3.7839999999999996E-3"/>
    <n v="240"/>
    <x v="3"/>
    <x v="13"/>
    <n v="0.95"/>
    <n v="6156"/>
    <n v="23.294303999999997"/>
    <n v="25.65"/>
    <s v="Mar"/>
    <x v="10"/>
    <m/>
    <m/>
  </r>
  <r>
    <n v="68654218"/>
    <x v="6"/>
    <n v="6500"/>
    <d v="2026-05-04T00:00:00"/>
    <s v="BJ US-CD-PBMix-8 8z"/>
    <x v="70"/>
    <n v="1.892672E-3"/>
    <n v="256"/>
    <x v="15"/>
    <x v="23"/>
    <n v="0.96"/>
    <n v="6240"/>
    <n v="11.810273280000001"/>
    <n v="24.375"/>
    <s v="May"/>
    <x v="24"/>
    <m/>
    <m/>
  </r>
  <r>
    <n v="68654218"/>
    <x v="6"/>
    <n v="6500"/>
    <d v="2026-06-08T00:00:00"/>
    <s v="BJ US-CD-PBMix-8 8z"/>
    <x v="70"/>
    <n v="1.892672E-3"/>
    <n v="256"/>
    <x v="15"/>
    <x v="23"/>
    <n v="0.96"/>
    <n v="6240"/>
    <n v="11.810273280000001"/>
    <n v="24.375"/>
    <s v="Jun"/>
    <x v="47"/>
    <m/>
    <m/>
  </r>
  <r>
    <n v="68654218"/>
    <x v="6"/>
    <n v="6500"/>
    <d v="2026-07-27T00:00:00"/>
    <s v="BJ US-CD-PBMix-8 8z"/>
    <x v="70"/>
    <n v="1.892672E-3"/>
    <n v="256"/>
    <x v="15"/>
    <x v="23"/>
    <n v="0.96"/>
    <n v="6240"/>
    <n v="11.810273280000001"/>
    <n v="24.375"/>
    <s v="Jul"/>
    <x v="15"/>
    <m/>
    <m/>
  </r>
  <r>
    <n v="68654218"/>
    <x v="6"/>
    <n v="6500"/>
    <d v="2026-10-12T00:00:00"/>
    <s v="BJ US-CD-PBMix-8 8z"/>
    <x v="70"/>
    <n v="1.892672E-3"/>
    <n v="256"/>
    <x v="15"/>
    <x v="23"/>
    <n v="0.96"/>
    <n v="6240"/>
    <n v="11.810273280000001"/>
    <n v="24.375"/>
    <s v="Oct"/>
    <x v="36"/>
    <m/>
    <m/>
  </r>
  <r>
    <n v="68654232"/>
    <x v="6"/>
    <n v="6500"/>
    <d v="2026-04-06T00:00:00"/>
    <s v="BJ US-CD-Smores-8 8z"/>
    <x v="70"/>
    <n v="1.8959999999999999E-3"/>
    <n v="256"/>
    <x v="15"/>
    <x v="23"/>
    <n v="0.96"/>
    <n v="6240"/>
    <n v="11.83104"/>
    <n v="24.375"/>
    <s v="Apr"/>
    <x v="23"/>
    <m/>
    <m/>
  </r>
  <r>
    <n v="68654232"/>
    <x v="6"/>
    <n v="6500"/>
    <d v="2026-07-27T00:00:00"/>
    <s v="BJ US-CD-Smores-8 8z"/>
    <x v="70"/>
    <n v="1.8959999999999999E-3"/>
    <n v="256"/>
    <x v="15"/>
    <x v="23"/>
    <n v="0.96"/>
    <n v="6240"/>
    <n v="11.83104"/>
    <n v="24.375"/>
    <s v="Jul"/>
    <x v="15"/>
    <m/>
    <m/>
  </r>
  <r>
    <n v="68817797"/>
    <x v="0"/>
    <n v="6600"/>
    <d v="2026-04-20T00:00:00"/>
    <s v="BR HA French Vanilla 6 1.5QT"/>
    <x v="78"/>
    <n v="8.5199999999999998E-3"/>
    <n v="154"/>
    <x v="0"/>
    <x v="0"/>
    <n v="0.94"/>
    <n v="6204"/>
    <n v="52.858080000000001"/>
    <n v="40.285714285714285"/>
    <s v="Apr"/>
    <x v="40"/>
    <m/>
    <m/>
  </r>
  <r>
    <n v="64325625"/>
    <x v="9"/>
    <n v="6600"/>
    <d v="2026-06-01T00:00:00"/>
    <s v="Yasso Vanilla Bean Poppables 10-6.84flz"/>
    <x v="69"/>
    <n v="2.0200000000000001E-3"/>
    <n v="200"/>
    <x v="20"/>
    <x v="29"/>
    <n v="0.96"/>
    <n v="6336"/>
    <n v="12.798720000000001"/>
    <n v="31.68"/>
    <s v="Jun"/>
    <x v="13"/>
    <m/>
    <m/>
  </r>
  <r>
    <n v="64956417"/>
    <x v="7"/>
    <n v="6656"/>
    <d v="2026-08-10T00:00:00"/>
    <s v="PS Hello Kitty Facepiece IH 6-6PK"/>
    <x v="70"/>
    <n v="2.16E-3"/>
    <n v="143"/>
    <x v="16"/>
    <x v="24"/>
    <n v="0.96"/>
    <n v="6389.76"/>
    <n v="13.801881600000002"/>
    <n v="44.683636363636367"/>
    <s v="Aug"/>
    <x v="34"/>
    <m/>
    <m/>
  </r>
  <r>
    <n v="64956417"/>
    <x v="7"/>
    <n v="6656"/>
    <d v="2026-09-07T00:00:00"/>
    <s v="PS Hello Kitty Facepiece IH 6-6PK"/>
    <x v="70"/>
    <n v="2.16E-3"/>
    <n v="143"/>
    <x v="16"/>
    <x v="24"/>
    <n v="0.96"/>
    <n v="6389.76"/>
    <n v="13.801881600000002"/>
    <n v="44.683636363636367"/>
    <s v="Sep"/>
    <x v="32"/>
    <m/>
    <m/>
  </r>
  <r>
    <n v="67546032"/>
    <x v="3"/>
    <n v="6960"/>
    <d v="2026-04-13T00:00:00"/>
    <s v="BJ SORV-IC-TripleCrmlCk-8 458ML"/>
    <x v="72"/>
    <n v="3.6640000000000002E-3"/>
    <n v="240"/>
    <x v="10"/>
    <x v="18"/>
    <n v="0.96"/>
    <n v="6681.5999999999995"/>
    <n v="24.481382399999998"/>
    <n v="27.839999999999996"/>
    <s v="Apr"/>
    <x v="25"/>
    <m/>
    <m/>
  </r>
  <r>
    <n v="64389652"/>
    <x v="3"/>
    <n v="7000"/>
    <d v="2026-05-11T00:00:00"/>
    <s v="BJ SORV-IC-StrawCheesecake-8 458ML"/>
    <x v="86"/>
    <n v="3.7839999999999996E-3"/>
    <n v="240"/>
    <x v="10"/>
    <x v="18"/>
    <n v="0.96"/>
    <n v="6720"/>
    <n v="25.428479999999997"/>
    <n v="28"/>
    <s v="May"/>
    <x v="26"/>
    <m/>
    <m/>
  </r>
  <r>
    <n v="69665113"/>
    <x v="6"/>
    <n v="7000"/>
    <d v="2026-04-20T00:00:00"/>
    <s v="BJ US-CD-CCCD-FTNG-8 8z"/>
    <x v="70"/>
    <n v="1.8160000000000001E-3"/>
    <n v="256"/>
    <x v="15"/>
    <x v="23"/>
    <n v="0.96"/>
    <n v="6720"/>
    <n v="12.203520000000001"/>
    <n v="26.25"/>
    <s v="Apr"/>
    <x v="40"/>
    <m/>
    <m/>
  </r>
  <r>
    <n v="69665113"/>
    <x v="6"/>
    <n v="7000"/>
    <d v="2026-04-27T00:00:00"/>
    <s v="BJ US-CD-CCCD-FTNG-8 8z"/>
    <x v="70"/>
    <n v="1.8160000000000001E-3"/>
    <n v="256"/>
    <x v="15"/>
    <x v="23"/>
    <n v="0.96"/>
    <n v="6720"/>
    <n v="12.203520000000001"/>
    <n v="26.25"/>
    <s v="Apr"/>
    <x v="21"/>
    <m/>
    <m/>
  </r>
  <r>
    <n v="69665113"/>
    <x v="6"/>
    <n v="7000"/>
    <d v="2026-05-04T00:00:00"/>
    <s v="BJ US-CD-CCCD-FTNG-8 8z"/>
    <x v="70"/>
    <n v="1.8160000000000001E-3"/>
    <n v="256"/>
    <x v="15"/>
    <x v="23"/>
    <n v="0.96"/>
    <n v="6720"/>
    <n v="12.203520000000001"/>
    <n v="26.25"/>
    <s v="May"/>
    <x v="24"/>
    <m/>
    <m/>
  </r>
  <r>
    <n v="69665113"/>
    <x v="6"/>
    <n v="7000"/>
    <d v="2026-05-11T00:00:00"/>
    <s v="BJ US-CD-CCCD-FTNG-8 8z"/>
    <x v="70"/>
    <n v="1.8160000000000001E-3"/>
    <n v="256"/>
    <x v="15"/>
    <x v="23"/>
    <n v="0.96"/>
    <n v="6720"/>
    <n v="12.203520000000001"/>
    <n v="26.25"/>
    <s v="May"/>
    <x v="26"/>
    <m/>
    <m/>
  </r>
  <r>
    <n v="69665113"/>
    <x v="6"/>
    <n v="7000"/>
    <d v="2026-05-18T00:00:00"/>
    <s v="BJ US-CD-CCCD-FTNG-8 8z"/>
    <x v="70"/>
    <n v="1.8160000000000001E-3"/>
    <n v="256"/>
    <x v="15"/>
    <x v="23"/>
    <n v="0.96"/>
    <n v="6720"/>
    <n v="12.203520000000001"/>
    <n v="26.25"/>
    <s v="May"/>
    <x v="39"/>
    <m/>
    <m/>
  </r>
  <r>
    <n v="69665113"/>
    <x v="6"/>
    <n v="7000"/>
    <d v="2026-05-25T00:00:00"/>
    <s v="BJ US-CD-CCCD-FTNG-8 8z"/>
    <x v="70"/>
    <n v="1.8160000000000001E-3"/>
    <n v="256"/>
    <x v="15"/>
    <x v="23"/>
    <n v="0.96"/>
    <n v="6720"/>
    <n v="12.203520000000001"/>
    <n v="26.25"/>
    <s v="May"/>
    <x v="46"/>
    <m/>
    <m/>
  </r>
  <r>
    <n v="69665113"/>
    <x v="6"/>
    <n v="7000"/>
    <d v="2026-06-01T00:00:00"/>
    <s v="BJ US-CD-CCCD-FTNG-8 8z"/>
    <x v="70"/>
    <n v="1.8160000000000001E-3"/>
    <n v="256"/>
    <x v="15"/>
    <x v="23"/>
    <n v="0.96"/>
    <n v="6720"/>
    <n v="12.203520000000001"/>
    <n v="26.25"/>
    <s v="Jun"/>
    <x v="13"/>
    <m/>
    <m/>
  </r>
  <r>
    <n v="69665113"/>
    <x v="6"/>
    <n v="7000"/>
    <d v="2026-06-15T00:00:00"/>
    <s v="BJ US-CD-CCCD-FTNG-8 8z"/>
    <x v="70"/>
    <n v="1.8160000000000001E-3"/>
    <n v="256"/>
    <x v="15"/>
    <x v="23"/>
    <n v="0.96"/>
    <n v="6720"/>
    <n v="12.203520000000001"/>
    <n v="26.25"/>
    <s v="Jun"/>
    <x v="28"/>
    <m/>
    <m/>
  </r>
  <r>
    <n v="69665113"/>
    <x v="6"/>
    <n v="7000"/>
    <d v="2026-06-22T00:00:00"/>
    <s v="BJ US-CD-CCCD-FTNG-8 8z"/>
    <x v="70"/>
    <n v="1.8160000000000001E-3"/>
    <n v="256"/>
    <x v="15"/>
    <x v="23"/>
    <n v="0.96"/>
    <n v="6720"/>
    <n v="12.203520000000001"/>
    <n v="26.25"/>
    <s v="Jun"/>
    <x v="49"/>
    <m/>
    <m/>
  </r>
  <r>
    <n v="69665113"/>
    <x v="6"/>
    <n v="7000"/>
    <d v="2026-07-06T00:00:00"/>
    <s v="BJ US-CD-CCCD-FTNG-8 8z"/>
    <x v="70"/>
    <n v="1.8160000000000001E-3"/>
    <n v="256"/>
    <x v="15"/>
    <x v="23"/>
    <n v="0.96"/>
    <n v="6720"/>
    <n v="12.203520000000001"/>
    <n v="26.25"/>
    <s v="Jul"/>
    <x v="30"/>
    <m/>
    <m/>
  </r>
  <r>
    <n v="69665113"/>
    <x v="6"/>
    <n v="7000"/>
    <d v="2026-07-20T00:00:00"/>
    <s v="BJ US-CD-CCCD-FTNG-8 8z"/>
    <x v="70"/>
    <n v="1.8160000000000001E-3"/>
    <n v="256"/>
    <x v="15"/>
    <x v="23"/>
    <n v="0.96"/>
    <n v="6720"/>
    <n v="12.203520000000001"/>
    <n v="26.25"/>
    <s v="Jul"/>
    <x v="31"/>
    <m/>
    <m/>
  </r>
  <r>
    <n v="69665113"/>
    <x v="6"/>
    <n v="7000"/>
    <d v="2026-07-27T00:00:00"/>
    <s v="BJ US-CD-CCCD-FTNG-8 8z"/>
    <x v="70"/>
    <n v="1.8160000000000001E-3"/>
    <n v="256"/>
    <x v="15"/>
    <x v="23"/>
    <n v="0.96"/>
    <n v="6720"/>
    <n v="12.203520000000001"/>
    <n v="26.25"/>
    <s v="Jul"/>
    <x v="15"/>
    <m/>
    <m/>
  </r>
  <r>
    <n v="69665113"/>
    <x v="6"/>
    <n v="7000"/>
    <d v="2026-08-10T00:00:00"/>
    <s v="BJ US-CD-CCCD-FTNG-8 8z"/>
    <x v="70"/>
    <n v="1.8160000000000001E-3"/>
    <n v="256"/>
    <x v="15"/>
    <x v="23"/>
    <n v="0.96"/>
    <n v="6720"/>
    <n v="12.203520000000001"/>
    <n v="26.25"/>
    <s v="Aug"/>
    <x v="34"/>
    <m/>
    <m/>
  </r>
  <r>
    <n v="69665113"/>
    <x v="6"/>
    <n v="7000"/>
    <d v="2026-08-17T00:00:00"/>
    <s v="BJ US-CD-CCCD-FTNG-8 8z"/>
    <x v="70"/>
    <n v="1.8160000000000001E-3"/>
    <n v="256"/>
    <x v="15"/>
    <x v="23"/>
    <n v="0.96"/>
    <n v="6720"/>
    <n v="12.203520000000001"/>
    <n v="26.25"/>
    <s v="Aug"/>
    <x v="29"/>
    <m/>
    <m/>
  </r>
  <r>
    <n v="69665113"/>
    <x v="6"/>
    <n v="7000"/>
    <d v="2026-08-31T00:00:00"/>
    <s v="BJ US-CD-CCCD-FTNG-8 8z"/>
    <x v="70"/>
    <n v="1.8160000000000001E-3"/>
    <n v="256"/>
    <x v="15"/>
    <x v="23"/>
    <n v="0.96"/>
    <n v="6720"/>
    <n v="12.203520000000001"/>
    <n v="26.25"/>
    <s v="Aug"/>
    <x v="16"/>
    <m/>
    <m/>
  </r>
  <r>
    <n v="69665113"/>
    <x v="6"/>
    <n v="7000"/>
    <d v="2026-09-07T00:00:00"/>
    <s v="BJ US-CD-CCCD-FTNG-8 8z"/>
    <x v="70"/>
    <n v="1.8160000000000001E-3"/>
    <n v="256"/>
    <x v="15"/>
    <x v="23"/>
    <n v="0.96"/>
    <n v="6720"/>
    <n v="12.203520000000001"/>
    <n v="26.25"/>
    <s v="Sep"/>
    <x v="32"/>
    <m/>
    <m/>
  </r>
  <r>
    <n v="69665113"/>
    <x v="6"/>
    <n v="7000"/>
    <d v="2026-09-21T00:00:00"/>
    <s v="BJ US-CD-CCCD-FTNG-8 8z"/>
    <x v="70"/>
    <n v="1.8160000000000001E-3"/>
    <n v="256"/>
    <x v="15"/>
    <x v="23"/>
    <n v="0.96"/>
    <n v="6720"/>
    <n v="12.203520000000001"/>
    <n v="26.25"/>
    <s v="Sep"/>
    <x v="45"/>
    <m/>
    <m/>
  </r>
  <r>
    <n v="69665113"/>
    <x v="6"/>
    <n v="7000"/>
    <d v="2026-10-05T00:00:00"/>
    <s v="BJ US-CD-CCCD-FTNG-8 8z"/>
    <x v="70"/>
    <n v="1.8160000000000001E-3"/>
    <n v="256"/>
    <x v="15"/>
    <x v="23"/>
    <n v="0.96"/>
    <n v="6720"/>
    <n v="12.203520000000001"/>
    <n v="26.25"/>
    <s v="Oct"/>
    <x v="50"/>
    <m/>
    <m/>
  </r>
  <r>
    <n v="69665113"/>
    <x v="6"/>
    <n v="7000"/>
    <d v="2026-10-19T00:00:00"/>
    <s v="BJ US-CD-CCCD-FTNG-8 8z"/>
    <x v="70"/>
    <n v="1.8160000000000001E-3"/>
    <n v="256"/>
    <x v="15"/>
    <x v="23"/>
    <n v="0.96"/>
    <n v="6720"/>
    <n v="12.203520000000001"/>
    <n v="26.25"/>
    <s v="Oct"/>
    <x v="41"/>
    <m/>
    <m/>
  </r>
  <r>
    <n v="69665113"/>
    <x v="6"/>
    <n v="7000"/>
    <d v="2026-11-02T00:00:00"/>
    <s v="BJ US-CD-CCCD-FTNG-8 8z"/>
    <x v="70"/>
    <n v="1.8160000000000001E-3"/>
    <n v="256"/>
    <x v="15"/>
    <x v="23"/>
    <n v="0.96"/>
    <n v="6720"/>
    <n v="12.203520000000001"/>
    <n v="26.25"/>
    <s v="Nov"/>
    <x v="18"/>
    <m/>
    <m/>
  </r>
  <r>
    <n v="69665113"/>
    <x v="6"/>
    <n v="7000"/>
    <d v="2026-11-16T00:00:00"/>
    <s v="BJ US-CD-CCCD-FTNG-8 8z"/>
    <x v="70"/>
    <n v="1.8160000000000001E-3"/>
    <n v="256"/>
    <x v="15"/>
    <x v="23"/>
    <n v="0.96"/>
    <n v="6720"/>
    <n v="12.203520000000001"/>
    <n v="26.25"/>
    <s v="Nov"/>
    <x v="42"/>
    <m/>
    <m/>
  </r>
  <r>
    <n v="69665113"/>
    <x v="6"/>
    <n v="7000"/>
    <d v="2026-11-30T00:00:00"/>
    <s v="BJ US-CD-CCCD-FTNG-8 8z"/>
    <x v="70"/>
    <n v="1.8160000000000001E-3"/>
    <n v="256"/>
    <x v="15"/>
    <x v="23"/>
    <n v="0.96"/>
    <n v="6720"/>
    <n v="12.203520000000001"/>
    <n v="26.25"/>
    <s v="Nov"/>
    <x v="19"/>
    <m/>
    <m/>
  </r>
  <r>
    <n v="69665113"/>
    <x v="6"/>
    <n v="7000"/>
    <d v="2026-12-14T00:00:00"/>
    <s v="BJ US-CD-CCCD-FTNG-8 8z"/>
    <x v="70"/>
    <n v="1.8160000000000001E-3"/>
    <n v="256"/>
    <x v="15"/>
    <x v="23"/>
    <n v="0.96"/>
    <n v="6720"/>
    <n v="12.203520000000001"/>
    <n v="26.25"/>
    <s v="Dec"/>
    <x v="27"/>
    <m/>
    <m/>
  </r>
  <r>
    <n v="69665113"/>
    <x v="6"/>
    <n v="7000"/>
    <d v="2026-12-21T00:00:00"/>
    <s v="BJ US-CD-CCCD-FTNG-8 8z"/>
    <x v="70"/>
    <n v="1.8160000000000001E-3"/>
    <n v="256"/>
    <x v="15"/>
    <x v="23"/>
    <n v="0.96"/>
    <n v="6720"/>
    <n v="12.203520000000001"/>
    <n v="26.25"/>
    <s v="Dec"/>
    <x v="51"/>
    <m/>
    <m/>
  </r>
  <r>
    <n v="64369052"/>
    <x v="19"/>
    <n v="7200"/>
    <d v="2026-07-06T00:00:00"/>
    <s v="KL Cone StrwShortcake Van Chillin 6-8CT"/>
    <x v="70"/>
    <n v="5.3220000000000003E-3"/>
    <n v="120"/>
    <x v="22"/>
    <x v="48"/>
    <n v="0.96"/>
    <n v="6912"/>
    <n v="36.785664000000004"/>
    <n v="57.6"/>
    <s v="Jul"/>
    <x v="30"/>
    <m/>
    <m/>
  </r>
  <r>
    <n v="64960652"/>
    <x v="16"/>
    <n v="7360"/>
    <d v="2026-10-05T00:00:00"/>
    <s v="Yasso Cookies n Cream Sandwich 8-3pk"/>
    <x v="69"/>
    <n v="2.4880000000000002E-3"/>
    <n v="180"/>
    <x v="25"/>
    <x v="47"/>
    <n v="0.96"/>
    <n v="7065.5999999999995"/>
    <n v="17.579212800000001"/>
    <n v="39.25333333333333"/>
    <s v="Oct"/>
    <x v="50"/>
    <m/>
    <m/>
  </r>
  <r>
    <n v="64960651"/>
    <x v="16"/>
    <n v="7360"/>
    <d v="2026-12-07T00:00:00"/>
    <s v="Yasso Peanut Butter Sandwich 8-3pk"/>
    <x v="69"/>
    <n v="2.4880000000000002E-3"/>
    <n v="180"/>
    <x v="12"/>
    <x v="41"/>
    <n v="0.96"/>
    <n v="7065.5999999999995"/>
    <n v="17.579212800000001"/>
    <n v="39.25333333333333"/>
    <s v="Dec"/>
    <x v="44"/>
    <m/>
    <m/>
  </r>
  <r>
    <n v="65489676"/>
    <x v="12"/>
    <n v="7500"/>
    <d v="2026-12-14T00:00:00"/>
    <s v="GH King Cone GINT Cookies and CRM 1-12PK"/>
    <x v="69"/>
    <n v="2.8319999999999999E-3"/>
    <n v="221"/>
    <x v="17"/>
    <x v="34"/>
    <n v="0.96"/>
    <n v="7200"/>
    <n v="20.3904"/>
    <n v="32.579185520361989"/>
    <s v="Dec"/>
    <x v="27"/>
    <m/>
    <m/>
  </r>
  <r>
    <n v="64997059"/>
    <x v="13"/>
    <n v="7500"/>
    <d v="2026-04-27T00:00:00"/>
    <s v="BJ US-IC-Mixed 12PK"/>
    <x v="69"/>
    <n v="5.6760000000000005E-3"/>
    <n v="96"/>
    <x v="17"/>
    <x v="35"/>
    <n v="0.96"/>
    <n v="7200"/>
    <n v="40.867200000000004"/>
    <n v="75"/>
    <s v="Apr"/>
    <x v="21"/>
    <m/>
    <m/>
  </r>
  <r>
    <n v="64997059"/>
    <x v="13"/>
    <n v="7500"/>
    <d v="2026-05-04T00:00:00"/>
    <s v="BJ US-IC-Mixed 12PK"/>
    <x v="69"/>
    <n v="5.6760000000000005E-3"/>
    <n v="96"/>
    <x v="17"/>
    <x v="35"/>
    <n v="0.96"/>
    <n v="7200"/>
    <n v="40.867200000000004"/>
    <n v="75"/>
    <s v="May"/>
    <x v="24"/>
    <m/>
    <m/>
  </r>
  <r>
    <n v="64997059"/>
    <x v="13"/>
    <n v="7500"/>
    <d v="2026-05-11T00:00:00"/>
    <s v="BJ US-IC-Mixed 12PK"/>
    <x v="69"/>
    <n v="5.6760000000000005E-3"/>
    <n v="96"/>
    <x v="17"/>
    <x v="35"/>
    <n v="0.96"/>
    <n v="7200"/>
    <n v="40.867200000000004"/>
    <n v="75"/>
    <s v="May"/>
    <x v="26"/>
    <m/>
    <m/>
  </r>
  <r>
    <n v="64997059"/>
    <x v="13"/>
    <n v="7500"/>
    <d v="2026-05-18T00:00:00"/>
    <s v="BJ US-IC-Mixed 12PK"/>
    <x v="69"/>
    <n v="5.6760000000000005E-3"/>
    <n v="96"/>
    <x v="17"/>
    <x v="35"/>
    <n v="0.96"/>
    <n v="7200"/>
    <n v="40.867200000000004"/>
    <n v="75"/>
    <s v="May"/>
    <x v="39"/>
    <m/>
    <m/>
  </r>
  <r>
    <n v="64997059"/>
    <x v="13"/>
    <n v="7500"/>
    <d v="2026-05-25T00:00:00"/>
    <s v="BJ US-IC-Mixed 12PK"/>
    <x v="69"/>
    <n v="5.6760000000000005E-3"/>
    <n v="96"/>
    <x v="17"/>
    <x v="35"/>
    <n v="0.96"/>
    <n v="7200"/>
    <n v="40.867200000000004"/>
    <n v="75"/>
    <s v="May"/>
    <x v="46"/>
    <m/>
    <m/>
  </r>
  <r>
    <n v="64997059"/>
    <x v="13"/>
    <n v="7500"/>
    <d v="2026-06-01T00:00:00"/>
    <s v="BJ US-IC-Mixed 12PK"/>
    <x v="69"/>
    <n v="5.6760000000000005E-3"/>
    <n v="96"/>
    <x v="17"/>
    <x v="35"/>
    <n v="0.96"/>
    <n v="7200"/>
    <n v="40.867200000000004"/>
    <n v="75"/>
    <s v="Jun"/>
    <x v="13"/>
    <m/>
    <m/>
  </r>
  <r>
    <n v="64997059"/>
    <x v="13"/>
    <n v="7500"/>
    <d v="2026-06-08T00:00:00"/>
    <s v="BJ US-IC-Mixed 12PK"/>
    <x v="69"/>
    <n v="5.6760000000000005E-3"/>
    <n v="96"/>
    <x v="17"/>
    <x v="35"/>
    <n v="0.96"/>
    <n v="7200"/>
    <n v="40.867200000000004"/>
    <n v="75"/>
    <s v="Jun"/>
    <x v="47"/>
    <m/>
    <m/>
  </r>
  <r>
    <n v="64997059"/>
    <x v="13"/>
    <n v="7500"/>
    <d v="2026-06-15T00:00:00"/>
    <s v="BJ US-IC-Mixed 12PK"/>
    <x v="69"/>
    <n v="5.6760000000000005E-3"/>
    <n v="96"/>
    <x v="17"/>
    <x v="35"/>
    <n v="0.96"/>
    <n v="7200"/>
    <n v="40.867200000000004"/>
    <n v="75"/>
    <s v="Jun"/>
    <x v="28"/>
    <m/>
    <m/>
  </r>
  <r>
    <n v="64997059"/>
    <x v="13"/>
    <n v="7500"/>
    <d v="2026-06-22T00:00:00"/>
    <s v="BJ US-IC-Mixed 12PK"/>
    <x v="69"/>
    <n v="5.6760000000000005E-3"/>
    <n v="96"/>
    <x v="17"/>
    <x v="35"/>
    <n v="0.96"/>
    <n v="7200"/>
    <n v="40.867200000000004"/>
    <n v="75"/>
    <s v="Jun"/>
    <x v="49"/>
    <m/>
    <m/>
  </r>
  <r>
    <n v="64997059"/>
    <x v="13"/>
    <n v="7500"/>
    <d v="2026-06-29T00:00:00"/>
    <s v="BJ US-IC-Mixed 12PK"/>
    <x v="69"/>
    <n v="5.6760000000000005E-3"/>
    <n v="96"/>
    <x v="17"/>
    <x v="35"/>
    <n v="0.96"/>
    <n v="7200"/>
    <n v="40.867200000000004"/>
    <n v="75"/>
    <s v="Jun"/>
    <x v="14"/>
    <m/>
    <m/>
  </r>
  <r>
    <n v="64997059"/>
    <x v="13"/>
    <n v="7500"/>
    <d v="2026-07-06T00:00:00"/>
    <s v="BJ US-IC-Mixed 12PK"/>
    <x v="69"/>
    <n v="5.6760000000000005E-3"/>
    <n v="96"/>
    <x v="17"/>
    <x v="35"/>
    <n v="0.96"/>
    <n v="7200"/>
    <n v="40.867200000000004"/>
    <n v="75"/>
    <s v="Jul"/>
    <x v="30"/>
    <m/>
    <m/>
  </r>
  <r>
    <n v="64997059"/>
    <x v="13"/>
    <n v="7500"/>
    <d v="2026-07-13T00:00:00"/>
    <s v="BJ US-IC-Mixed 12PK"/>
    <x v="69"/>
    <n v="5.6760000000000005E-3"/>
    <n v="96"/>
    <x v="17"/>
    <x v="35"/>
    <n v="0.96"/>
    <n v="7200"/>
    <n v="40.867200000000004"/>
    <n v="75"/>
    <s v="Jul"/>
    <x v="48"/>
    <m/>
    <m/>
  </r>
  <r>
    <n v="64997059"/>
    <x v="13"/>
    <n v="7500"/>
    <d v="2026-07-20T00:00:00"/>
    <s v="BJ US-IC-Mixed 12PK"/>
    <x v="69"/>
    <n v="5.6760000000000005E-3"/>
    <n v="96"/>
    <x v="17"/>
    <x v="35"/>
    <n v="0.96"/>
    <n v="7200"/>
    <n v="40.867200000000004"/>
    <n v="75"/>
    <s v="Jul"/>
    <x v="31"/>
    <m/>
    <m/>
  </r>
  <r>
    <n v="64997059"/>
    <x v="13"/>
    <n v="7500"/>
    <d v="2026-07-27T00:00:00"/>
    <s v="BJ US-IC-Mixed 12PK"/>
    <x v="69"/>
    <n v="5.6760000000000005E-3"/>
    <n v="96"/>
    <x v="17"/>
    <x v="35"/>
    <n v="0.96"/>
    <n v="7200"/>
    <n v="40.867200000000004"/>
    <n v="75"/>
    <s v="Jul"/>
    <x v="15"/>
    <m/>
    <m/>
  </r>
  <r>
    <n v="64997059"/>
    <x v="13"/>
    <n v="7500"/>
    <d v="2026-08-03T00:00:00"/>
    <s v="BJ US-IC-Mixed 12PK"/>
    <x v="69"/>
    <n v="5.6760000000000005E-3"/>
    <n v="96"/>
    <x v="17"/>
    <x v="35"/>
    <n v="0.96"/>
    <n v="7200"/>
    <n v="40.867200000000004"/>
    <n v="75"/>
    <s v="Aug"/>
    <x v="22"/>
    <m/>
    <m/>
  </r>
  <r>
    <n v="64997059"/>
    <x v="13"/>
    <n v="7500"/>
    <d v="2026-08-10T00:00:00"/>
    <s v="BJ US-IC-Mixed 12PK"/>
    <x v="69"/>
    <n v="5.6760000000000005E-3"/>
    <n v="96"/>
    <x v="17"/>
    <x v="35"/>
    <n v="0.96"/>
    <n v="7200"/>
    <n v="40.867200000000004"/>
    <n v="75"/>
    <s v="Aug"/>
    <x v="34"/>
    <m/>
    <m/>
  </r>
  <r>
    <n v="64997059"/>
    <x v="13"/>
    <n v="7500"/>
    <d v="2026-08-17T00:00:00"/>
    <s v="BJ US-IC-Mixed 12PK"/>
    <x v="69"/>
    <n v="5.6760000000000005E-3"/>
    <n v="96"/>
    <x v="17"/>
    <x v="35"/>
    <n v="0.96"/>
    <n v="7200"/>
    <n v="40.867200000000004"/>
    <n v="75"/>
    <s v="Aug"/>
    <x v="29"/>
    <m/>
    <m/>
  </r>
  <r>
    <n v="64997059"/>
    <x v="13"/>
    <n v="7500"/>
    <d v="2026-08-24T00:00:00"/>
    <s v="BJ US-IC-Mixed 12PK"/>
    <x v="69"/>
    <n v="5.6760000000000005E-3"/>
    <n v="96"/>
    <x v="17"/>
    <x v="35"/>
    <n v="0.96"/>
    <n v="7200"/>
    <n v="40.867200000000004"/>
    <n v="75"/>
    <s v="Aug"/>
    <x v="35"/>
    <m/>
    <m/>
  </r>
  <r>
    <n v="64997059"/>
    <x v="13"/>
    <n v="7500"/>
    <d v="2026-08-31T00:00:00"/>
    <s v="BJ US-IC-Mixed 12PK"/>
    <x v="69"/>
    <n v="5.6760000000000005E-3"/>
    <n v="96"/>
    <x v="17"/>
    <x v="35"/>
    <n v="0.96"/>
    <n v="7200"/>
    <n v="40.867200000000004"/>
    <n v="75"/>
    <s v="Aug"/>
    <x v="16"/>
    <m/>
    <m/>
  </r>
  <r>
    <n v="64997059"/>
    <x v="13"/>
    <n v="7500"/>
    <d v="2026-09-07T00:00:00"/>
    <s v="BJ US-IC-Mixed 12PK"/>
    <x v="69"/>
    <n v="5.6760000000000005E-3"/>
    <n v="96"/>
    <x v="17"/>
    <x v="35"/>
    <n v="0.96"/>
    <n v="7200"/>
    <n v="40.867200000000004"/>
    <n v="75"/>
    <s v="Sep"/>
    <x v="32"/>
    <m/>
    <m/>
  </r>
  <r>
    <n v="64997059"/>
    <x v="13"/>
    <n v="7500"/>
    <d v="2026-09-14T00:00:00"/>
    <s v="BJ US-IC-Mixed 12PK"/>
    <x v="69"/>
    <n v="5.6760000000000005E-3"/>
    <n v="96"/>
    <x v="17"/>
    <x v="35"/>
    <n v="0.96"/>
    <n v="7200"/>
    <n v="40.867200000000004"/>
    <n v="75"/>
    <s v="Sep"/>
    <x v="38"/>
    <m/>
    <m/>
  </r>
  <r>
    <n v="64997059"/>
    <x v="13"/>
    <n v="7500"/>
    <d v="2026-09-21T00:00:00"/>
    <s v="BJ US-IC-Mixed 12PK"/>
    <x v="69"/>
    <n v="5.6760000000000005E-3"/>
    <n v="96"/>
    <x v="17"/>
    <x v="35"/>
    <n v="0.96"/>
    <n v="7200"/>
    <n v="40.867200000000004"/>
    <n v="75"/>
    <s v="Sep"/>
    <x v="45"/>
    <m/>
    <m/>
  </r>
  <r>
    <n v="68860061"/>
    <x v="1"/>
    <n v="7700"/>
    <d v="2026-05-11T00:00:00"/>
    <s v="Talenti LYR Cookies and Cream 8 303.3g"/>
    <x v="87"/>
    <n v="3.552E-3"/>
    <n v="255"/>
    <x v="2"/>
    <x v="3"/>
    <n v="0.96"/>
    <n v="7392"/>
    <n v="26.256384000000001"/>
    <n v="28.988235294117647"/>
    <s v="May"/>
    <x v="26"/>
    <m/>
    <m/>
  </r>
  <r>
    <n v="68842352"/>
    <x v="19"/>
    <n v="7700"/>
    <d v="2026-05-25T00:00:00"/>
    <s v="KL Cones Classic Vanilla 6-4CT"/>
    <x v="70"/>
    <n v="2.6640000000000001E-3"/>
    <n v="220"/>
    <x v="22"/>
    <x v="48"/>
    <n v="0.96"/>
    <n v="7392"/>
    <n v="19.692288000000001"/>
    <n v="33.6"/>
    <s v="May"/>
    <x v="46"/>
    <m/>
    <m/>
  </r>
  <r>
    <n v="64365613"/>
    <x v="7"/>
    <m/>
    <d v="2026-03-23T00:00:00"/>
    <s v="PS Spiderman Facepiece 6-6PK"/>
    <x v="70"/>
    <n v="2.1540000000000001E-3"/>
    <n v="195"/>
    <x v="16"/>
    <x v="24"/>
    <n v="0.96"/>
    <n v="0"/>
    <n v="0"/>
    <n v="0"/>
    <s v="Mar"/>
    <x v="10"/>
    <m/>
    <m/>
  </r>
  <r>
    <n v="64365613"/>
    <x v="7"/>
    <m/>
    <d v="2026-03-30T00:00:00"/>
    <s v="PS Spiderman Facepiece 6-6PK"/>
    <x v="70"/>
    <n v="2.1540000000000001E-3"/>
    <n v="195"/>
    <x v="16"/>
    <x v="24"/>
    <n v="0.96"/>
    <n v="0"/>
    <n v="0"/>
    <n v="0"/>
    <s v="Mar"/>
    <x v="20"/>
    <m/>
    <m/>
  </r>
  <r>
    <n v="67794168"/>
    <x v="3"/>
    <n v="8120"/>
    <d v="2026-03-30T00:00:00"/>
    <s v="BJ US-IC-MntrWndrland-8 1PT"/>
    <x v="77"/>
    <n v="3.7853439999999999E-3"/>
    <n v="240"/>
    <x v="3"/>
    <x v="13"/>
    <n v="0.95"/>
    <n v="7714"/>
    <n v="29.200143615999998"/>
    <n v="32.141666666666666"/>
    <s v="Mar"/>
    <x v="20"/>
    <m/>
    <m/>
  </r>
  <r>
    <n v="65489676"/>
    <x v="12"/>
    <n v="8334"/>
    <d v="2026-03-30T00:00:00"/>
    <s v="GH King Cone GINT Cookies and CRM 1-12PK"/>
    <x v="69"/>
    <n v="2.8319999999999999E-3"/>
    <n v="221"/>
    <x v="17"/>
    <x v="34"/>
    <n v="0.96"/>
    <n v="8000.6399999999994"/>
    <n v="22.657812479999997"/>
    <n v="36.201990950226239"/>
    <s v="Mar"/>
    <x v="20"/>
    <m/>
    <m/>
  </r>
  <r>
    <n v="69717802"/>
    <x v="1"/>
    <m/>
    <d v="2026-03-30T00:00:00"/>
    <s v="BR Carbsmart IC Bars 8-6PK"/>
    <x v="63"/>
    <n v="4.2560000000000002E-3"/>
    <n v="143"/>
    <x v="5"/>
    <x v="6"/>
    <n v="0.96"/>
    <n v="0"/>
    <n v="0"/>
    <n v="0"/>
    <s v="Mar"/>
    <x v="20"/>
    <m/>
    <m/>
  </r>
  <r>
    <n v="64341109"/>
    <x v="7"/>
    <m/>
    <d v="2026-03-23T00:00:00"/>
    <s v="PS Spiderman Facepiece 1-20PK"/>
    <x v="70"/>
    <n v="2E-3"/>
    <n v="210"/>
    <x v="16"/>
    <x v="24"/>
    <n v="0.96"/>
    <n v="0"/>
    <n v="0"/>
    <n v="0"/>
    <s v="Mar"/>
    <x v="10"/>
    <m/>
    <m/>
  </r>
  <r>
    <n v="65549173"/>
    <x v="7"/>
    <m/>
    <d v="2026-03-16T00:00:00"/>
    <s v="PS Bluey Facepiece OOH 1-20PK"/>
    <x v="70"/>
    <n v="1.1999999999999999E-3"/>
    <n v="210"/>
    <x v="16"/>
    <x v="24"/>
    <n v="0.96"/>
    <n v="0"/>
    <n v="0"/>
    <n v="0"/>
    <s v="Mar"/>
    <x v="9"/>
    <m/>
    <m/>
  </r>
  <r>
    <n v="64361163"/>
    <x v="3"/>
    <n v="8640"/>
    <d v="2026-04-20T00:00:00"/>
    <s v="BJ CA-NDO-CHOCCHPCOOKDGH-8 473ml"/>
    <x v="72"/>
    <n v="3.7839999999999996E-3"/>
    <n v="240"/>
    <x v="3"/>
    <x v="13"/>
    <n v="0.95"/>
    <n v="8208"/>
    <n v="31.059071999999997"/>
    <n v="34.200000000000003"/>
    <s v="Apr"/>
    <x v="40"/>
    <m/>
    <m/>
  </r>
  <r>
    <n v="64989107"/>
    <x v="18"/>
    <n v="8640"/>
    <d v="2026-07-06T00:00:00"/>
    <s v="BR Chocolate 6 10CT 3z"/>
    <x v="69"/>
    <n v="5.3220000000000003E-3"/>
    <n v="120"/>
    <x v="23"/>
    <x v="43"/>
    <n v="0.96"/>
    <n v="8294.4"/>
    <n v="44.142796799999999"/>
    <n v="69.11999999999999"/>
    <s v="Jul"/>
    <x v="30"/>
    <m/>
    <m/>
  </r>
  <r>
    <n v="64989109"/>
    <x v="18"/>
    <n v="8640"/>
    <d v="2026-06-22T00:00:00"/>
    <s v="BR Natural Vanilla 6 10CT 3z"/>
    <x v="69"/>
    <n v="5.3220000000000003E-3"/>
    <n v="120"/>
    <x v="23"/>
    <x v="43"/>
    <n v="0.96"/>
    <n v="8294.4"/>
    <n v="44.142796799999999"/>
    <n v="69.11999999999999"/>
    <s v="Jun"/>
    <x v="49"/>
    <m/>
    <m/>
  </r>
  <r>
    <n v="64989109"/>
    <x v="18"/>
    <n v="8640"/>
    <d v="2026-08-17T00:00:00"/>
    <s v="BR Natural Vanilla 6 10CT 3z"/>
    <x v="69"/>
    <n v="5.3220000000000003E-3"/>
    <n v="120"/>
    <x v="23"/>
    <x v="43"/>
    <n v="0.96"/>
    <n v="8294.4"/>
    <n v="44.142796799999999"/>
    <n v="69.11999999999999"/>
    <s v="Aug"/>
    <x v="29"/>
    <m/>
    <m/>
  </r>
  <r>
    <n v="64989109"/>
    <x v="18"/>
    <n v="8640"/>
    <d v="2026-09-21T00:00:00"/>
    <s v="BR Natural Vanilla 6 10CT 3z"/>
    <x v="69"/>
    <n v="5.3220000000000003E-3"/>
    <n v="120"/>
    <x v="23"/>
    <x v="43"/>
    <n v="0.96"/>
    <n v="8294.4"/>
    <n v="44.142796799999999"/>
    <n v="69.11999999999999"/>
    <s v="Sep"/>
    <x v="45"/>
    <m/>
    <m/>
  </r>
  <r>
    <n v="64989109"/>
    <x v="18"/>
    <n v="8640"/>
    <d v="2026-10-19T00:00:00"/>
    <s v="BR Natural Vanilla 6 10CT 3z"/>
    <x v="69"/>
    <n v="5.3220000000000003E-3"/>
    <n v="120"/>
    <x v="23"/>
    <x v="43"/>
    <n v="0.96"/>
    <n v="8294.4"/>
    <n v="44.142796799999999"/>
    <n v="69.11999999999999"/>
    <s v="Oct"/>
    <x v="41"/>
    <m/>
    <m/>
  </r>
  <r>
    <n v="64989109"/>
    <x v="18"/>
    <n v="8640"/>
    <d v="2026-11-23T00:00:00"/>
    <s v="BR Natural Vanilla 6 10CT 3z"/>
    <x v="69"/>
    <n v="5.3220000000000003E-3"/>
    <n v="120"/>
    <x v="23"/>
    <x v="43"/>
    <n v="0.96"/>
    <n v="8294.4"/>
    <n v="44.142796799999999"/>
    <n v="69.11999999999999"/>
    <s v="Nov"/>
    <x v="43"/>
    <m/>
    <m/>
  </r>
  <r>
    <n v="64989109"/>
    <x v="18"/>
    <n v="8640"/>
    <d v="2026-12-07T00:00:00"/>
    <s v="BR Natural Vanilla 6 10CT 3z"/>
    <x v="69"/>
    <n v="5.3220000000000003E-3"/>
    <n v="120"/>
    <x v="23"/>
    <x v="43"/>
    <n v="0.96"/>
    <n v="8294.4"/>
    <n v="44.142796799999999"/>
    <n v="69.11999999999999"/>
    <s v="Dec"/>
    <x v="44"/>
    <m/>
    <m/>
  </r>
  <r>
    <n v="64989109"/>
    <x v="18"/>
    <n v="8640"/>
    <d v="2026-12-21T00:00:00"/>
    <s v="BR Natural Vanilla 6 10CT 3z"/>
    <x v="69"/>
    <n v="5.3220000000000003E-3"/>
    <n v="120"/>
    <x v="23"/>
    <x v="43"/>
    <n v="0.96"/>
    <n v="8294.4"/>
    <n v="44.142796799999999"/>
    <n v="69.11999999999999"/>
    <s v="Dec"/>
    <x v="51"/>
    <m/>
    <m/>
  </r>
  <r>
    <n v="65468644"/>
    <x v="7"/>
    <n v="8740"/>
    <d v="2026-03-23T00:00:00"/>
    <s v="PS Soccer Ball IH 1-12pk"/>
    <x v="70"/>
    <n v="7.1999999999999994E-4"/>
    <n v="437"/>
    <x v="17"/>
    <x v="56"/>
    <n v="0.96"/>
    <n v="8390.4"/>
    <n v="6.0410879999999993"/>
    <n v="19.2"/>
    <s v="Mar"/>
    <x v="10"/>
    <m/>
    <m/>
  </r>
  <r>
    <n v="65468644"/>
    <x v="7"/>
    <n v="8740"/>
    <d v="2026-04-20T00:00:00"/>
    <s v="PS Soccer Ball IH 1-12pk"/>
    <x v="70"/>
    <n v="7.1999999999999994E-4"/>
    <n v="437"/>
    <x v="17"/>
    <x v="56"/>
    <n v="0.96"/>
    <n v="8390.4"/>
    <n v="6.0410879999999993"/>
    <n v="19.2"/>
    <s v="Apr"/>
    <x v="40"/>
    <m/>
    <m/>
  </r>
  <r>
    <n v="68842352"/>
    <x v="19"/>
    <n v="8800"/>
    <d v="2026-06-15T00:00:00"/>
    <s v="KL Cones Classic Vanilla 6-4CT"/>
    <x v="70"/>
    <n v="2.6640000000000001E-3"/>
    <n v="220"/>
    <x v="22"/>
    <x v="48"/>
    <n v="0.96"/>
    <n v="8448"/>
    <n v="22.505472000000001"/>
    <n v="38.4"/>
    <s v="Jun"/>
    <x v="28"/>
    <m/>
    <m/>
  </r>
  <r>
    <n v="68842352"/>
    <x v="19"/>
    <n v="8800"/>
    <d v="2026-07-06T00:00:00"/>
    <s v="KL Cones Classic Vanilla 6-4CT"/>
    <x v="70"/>
    <n v="2.6640000000000001E-3"/>
    <n v="220"/>
    <x v="22"/>
    <x v="48"/>
    <n v="0.96"/>
    <n v="8448"/>
    <n v="22.505472000000001"/>
    <n v="38.4"/>
    <s v="Jul"/>
    <x v="30"/>
    <m/>
    <m/>
  </r>
  <r>
    <n v="69586720"/>
    <x v="19"/>
    <n v="8800"/>
    <d v="2026-03-30T00:00:00"/>
    <s v="KL Cones Cookies n Cream 6-4CT"/>
    <x v="70"/>
    <n v="2.6640000000000001E-3"/>
    <n v="220"/>
    <x v="22"/>
    <x v="48"/>
    <n v="0.96"/>
    <n v="8448"/>
    <n v="22.505472000000001"/>
    <n v="38.4"/>
    <s v="Mar"/>
    <x v="20"/>
    <m/>
    <m/>
  </r>
  <r>
    <n v="65489677"/>
    <x v="12"/>
    <n v="8839"/>
    <d v="2026-03-23T00:00:00"/>
    <s v="GH King Cone Giant VAN CHOC 1-12PK"/>
    <x v="69"/>
    <n v="2.8319999999999999E-3"/>
    <n v="221"/>
    <x v="17"/>
    <x v="34"/>
    <n v="0.96"/>
    <n v="8485.44"/>
    <n v="24.030766079999999"/>
    <n v="38.395656108597287"/>
    <s v="Mar"/>
    <x v="10"/>
    <m/>
    <m/>
  </r>
  <r>
    <n v="62697527"/>
    <x v="3"/>
    <n v="8960"/>
    <d v="2026-05-25T00:00:00"/>
    <s v="BJ US-NDO-ChangetheWhirled-8 1PT"/>
    <x v="77"/>
    <n v="3.7839999999999996E-3"/>
    <n v="240"/>
    <x v="3"/>
    <x v="13"/>
    <n v="0.95"/>
    <n v="8512"/>
    <n v="32.209407999999996"/>
    <n v="35.466666666666669"/>
    <s v="May"/>
    <x v="46"/>
    <m/>
    <m/>
  </r>
  <r>
    <n v="64341962"/>
    <x v="1"/>
    <n v="9000"/>
    <d v="2026-04-13T00:00:00"/>
    <s v="BR Chocolate Truffle 6 1.5QT"/>
    <x v="83"/>
    <n v="8.513999999999999E-3"/>
    <n v="176"/>
    <x v="0"/>
    <x v="1"/>
    <n v="0.94"/>
    <n v="8460"/>
    <n v="72.028439999999989"/>
    <n v="48.06818181818182"/>
    <s v="Apr"/>
    <x v="25"/>
    <m/>
    <m/>
  </r>
  <r>
    <n v="68899821"/>
    <x v="0"/>
    <n v="9393"/>
    <d v="2026-03-23T00:00:00"/>
    <s v="BR Double Cookie Crumble 6 1.5QT"/>
    <x v="74"/>
    <n v="8.5199999999999998E-3"/>
    <n v="176"/>
    <x v="0"/>
    <x v="0"/>
    <n v="0.94"/>
    <n v="8829.42"/>
    <n v="75.226658400000005"/>
    <n v="50.167159090909088"/>
    <s v="Mar"/>
    <x v="10"/>
    <m/>
    <m/>
  </r>
  <r>
    <n v="64341108"/>
    <x v="7"/>
    <n v="9600"/>
    <d v="2026-05-25T00:00:00"/>
    <s v="PS SpongeBob Facepiece 1-20PK"/>
    <x v="70"/>
    <n v="2.3599999999999997E-3"/>
    <n v="210"/>
    <x v="16"/>
    <x v="24"/>
    <n v="0.96"/>
    <n v="9216"/>
    <n v="21.749759999999998"/>
    <n v="43.885714285714286"/>
    <s v="May"/>
    <x v="46"/>
    <m/>
    <m/>
  </r>
  <r>
    <n v="64341109"/>
    <x v="7"/>
    <n v="9600"/>
    <d v="2026-07-20T00:00:00"/>
    <s v="PS Spiderman Facepiece 1-20PK"/>
    <x v="70"/>
    <n v="2E-3"/>
    <n v="210"/>
    <x v="16"/>
    <x v="24"/>
    <n v="0.96"/>
    <n v="9216"/>
    <n v="18.432000000000002"/>
    <n v="43.885714285714286"/>
    <s v="Jul"/>
    <x v="31"/>
    <m/>
    <m/>
  </r>
  <r>
    <n v="64369052"/>
    <x v="19"/>
    <n v="9600"/>
    <d v="2026-04-27T00:00:00"/>
    <s v="KL Cone StrwShortcake Van Chillin 6-8CT"/>
    <x v="70"/>
    <n v="5.3220000000000003E-3"/>
    <n v="120"/>
    <x v="22"/>
    <x v="48"/>
    <n v="0.96"/>
    <n v="9216"/>
    <n v="49.047552000000003"/>
    <n v="76.8"/>
    <s v="Apr"/>
    <x v="21"/>
    <m/>
    <m/>
  </r>
  <r>
    <n v="64369052"/>
    <x v="19"/>
    <n v="9600"/>
    <d v="2026-05-11T00:00:00"/>
    <s v="KL Cone StrwShortcake Van Chillin 6-8CT"/>
    <x v="70"/>
    <n v="5.3220000000000003E-3"/>
    <n v="120"/>
    <x v="22"/>
    <x v="48"/>
    <n v="0.96"/>
    <n v="9216"/>
    <n v="49.047552000000003"/>
    <n v="76.8"/>
    <s v="May"/>
    <x v="26"/>
    <m/>
    <m/>
  </r>
  <r>
    <n v="64875812"/>
    <x v="16"/>
    <n v="9690"/>
    <d v="2026-06-08T00:00:00"/>
    <s v="KL Vanilla Sandwich 8-6 PK"/>
    <x v="69"/>
    <n v="6.0000000000000001E-3"/>
    <n v="108"/>
    <x v="12"/>
    <x v="41"/>
    <n v="0.96"/>
    <n v="9302.4"/>
    <n v="55.814399999999999"/>
    <n v="86.133333333333326"/>
    <s v="Jun"/>
    <x v="47"/>
    <m/>
    <m/>
  </r>
  <r>
    <n v="68817793"/>
    <x v="0"/>
    <n v="9750"/>
    <d v="2026-03-23T00:00:00"/>
    <s v="BR Mint CHOC Chip 6 1.5QT"/>
    <x v="73"/>
    <n v="8.5199999999999998E-3"/>
    <n v="176"/>
    <x v="0"/>
    <x v="0"/>
    <n v="0.94"/>
    <n v="9165"/>
    <n v="78.085799999999992"/>
    <n v="52.073863636363633"/>
    <s v="Mar"/>
    <x v="10"/>
    <m/>
    <m/>
  </r>
  <r>
    <n v="68817799"/>
    <x v="0"/>
    <n v="22750"/>
    <d v="2026-03-30T00:00:00"/>
    <s v="BR Strawberry 6 1.5QT"/>
    <x v="73"/>
    <n v="8.5199999999999998E-3"/>
    <n v="176"/>
    <x v="0"/>
    <x v="0"/>
    <n v="0.94"/>
    <n v="21385"/>
    <n v="182.2002"/>
    <n v="121.50568181818181"/>
    <s v="Mar"/>
    <x v="20"/>
    <m/>
    <m/>
  </r>
  <r>
    <n v="62715600"/>
    <x v="3"/>
    <n v="9800"/>
    <d v="2026-05-25T00:00:00"/>
    <s v="BJ R01-NDO-CHOCCHPCOOKDGH-8 458ML WIP"/>
    <x v="86"/>
    <n v="3.7839999999999996E-3"/>
    <n v="240"/>
    <x v="3"/>
    <x v="13"/>
    <n v="0.95"/>
    <n v="9310"/>
    <n v="35.229039999999998"/>
    <n v="38.791666666666664"/>
    <s v="May"/>
    <x v="46"/>
    <m/>
    <m/>
  </r>
  <r>
    <n v="65458353"/>
    <x v="1"/>
    <n v="9900"/>
    <d v="2026-05-04T00:00:00"/>
    <s v="BJ R01-SUN-StrawBaeShortcake-8 427ML"/>
    <x v="88"/>
    <n v="3.4159999999999998E-3"/>
    <n v="240"/>
    <x v="14"/>
    <x v="21"/>
    <n v="0.96"/>
    <n v="9504"/>
    <n v="32.465663999999997"/>
    <n v="39.6"/>
    <s v="May"/>
    <x v="24"/>
    <m/>
    <m/>
  </r>
  <r>
    <n v="68852591"/>
    <x v="1"/>
    <n v="9992"/>
    <d v="2026-03-23T00:00:00"/>
    <s v="KL Heath Bar 12-6PK"/>
    <x v="71"/>
    <n v="8.5199999999999998E-3"/>
    <n v="132"/>
    <x v="1"/>
    <x v="11"/>
    <n v="0.96"/>
    <n v="9592.32"/>
    <n v="81.726566399999996"/>
    <n v="72.669090909090912"/>
    <s v="Mar"/>
    <x v="10"/>
    <m/>
    <m/>
  </r>
  <r>
    <n v="68821735"/>
    <x v="1"/>
    <n v="10000"/>
    <d v="2026-03-23T00:00:00"/>
    <s v="BR Lactose Free Vanilla 6 1.5QT"/>
    <x v="89"/>
    <n v="8.5199999999999998E-3"/>
    <n v="176"/>
    <x v="0"/>
    <x v="1"/>
    <n v="0.94"/>
    <n v="9400"/>
    <n v="80.087999999999994"/>
    <n v="53.409090909090907"/>
    <s v="Mar"/>
    <x v="10"/>
    <m/>
    <m/>
  </r>
  <r>
    <n v="69568964"/>
    <x v="1"/>
    <n v="10032"/>
    <d v="2026-03-23T00:00:00"/>
    <s v="BR NSA Vanilla 6 1.5QT"/>
    <x v="83"/>
    <n v="8.5199999999999998E-3"/>
    <n v="176"/>
    <x v="0"/>
    <x v="1"/>
    <n v="0.94"/>
    <n v="9430.08"/>
    <n v="80.344281600000002"/>
    <n v="53.58"/>
    <s v="Mar"/>
    <x v="10"/>
    <m/>
    <m/>
  </r>
  <r>
    <n v="64361161"/>
    <x v="3"/>
    <n v="10080"/>
    <d v="2026-04-20T00:00:00"/>
    <s v="BJ CA-NDO-CHCFGBRWN-8 473ml"/>
    <x v="77"/>
    <n v="3.7839999999999996E-3"/>
    <n v="240"/>
    <x v="3"/>
    <x v="13"/>
    <n v="0.95"/>
    <n v="9576"/>
    <n v="36.235583999999996"/>
    <n v="39.9"/>
    <s v="Apr"/>
    <x v="40"/>
    <m/>
    <m/>
  </r>
  <r>
    <n v="64960643"/>
    <x v="5"/>
    <n v="10200"/>
    <d v="2026-06-15T00:00:00"/>
    <s v="PS Orange Regular IH 6-12pk"/>
    <x v="70"/>
    <n v="3.516E-3"/>
    <n v="170"/>
    <x v="17"/>
    <x v="50"/>
    <n v="0.96"/>
    <n v="9792"/>
    <n v="34.428671999999999"/>
    <n v="57.6"/>
    <s v="Jun"/>
    <x v="28"/>
    <m/>
    <m/>
  </r>
  <r>
    <n v="64960643"/>
    <x v="5"/>
    <n v="10200"/>
    <d v="2026-06-29T00:00:00"/>
    <s v="PS Orange Regular IH 6-12pk"/>
    <x v="70"/>
    <n v="3.516E-3"/>
    <n v="170"/>
    <x v="17"/>
    <x v="50"/>
    <n v="0.96"/>
    <n v="9792"/>
    <n v="34.428671999999999"/>
    <n v="57.6"/>
    <s v="Jun"/>
    <x v="14"/>
    <m/>
    <m/>
  </r>
  <r>
    <n v="64413475"/>
    <x v="8"/>
    <n v="10260"/>
    <d v="2026-03-30T00:00:00"/>
    <s v="BJ US-IC-CherryGarcia-FTNG-12 4FOZ"/>
    <x v="69"/>
    <n v="1.4159999999999999E-3"/>
    <n v="468"/>
    <x v="18"/>
    <x v="26"/>
    <n v="0.96"/>
    <n v="9849.6"/>
    <n v="13.947033599999999"/>
    <n v="21.046153846153846"/>
    <s v="Mar"/>
    <x v="20"/>
    <m/>
    <m/>
  </r>
  <r>
    <n v="64413478"/>
    <x v="8"/>
    <n v="10260"/>
    <d v="2026-03-23T00:00:00"/>
    <s v="BJ US-IC-ChocChpCookDgh-FTNG-12 4FOZ"/>
    <x v="69"/>
    <n v="1.4159999999999999E-3"/>
    <n v="468"/>
    <x v="18"/>
    <x v="26"/>
    <n v="0.96"/>
    <n v="9849.6"/>
    <n v="13.947033599999999"/>
    <n v="21.046153846153846"/>
    <s v="Mar"/>
    <x v="10"/>
    <m/>
    <m/>
  </r>
  <r>
    <n v="64413475"/>
    <x v="8"/>
    <n v="10305"/>
    <d v="2026-07-06T00:00:00"/>
    <s v="BJ US-IC-CherryGarcia-FTNG-12 4FOZ"/>
    <x v="69"/>
    <n v="1.4159999999999999E-3"/>
    <n v="468"/>
    <x v="18"/>
    <x v="26"/>
    <n v="0.96"/>
    <n v="9892.7999999999993"/>
    <n v="14.008204799999998"/>
    <n v="21.138461538461538"/>
    <s v="Jul"/>
    <x v="30"/>
    <m/>
    <m/>
  </r>
  <r>
    <n v="64413475"/>
    <x v="8"/>
    <n v="10305"/>
    <d v="2026-08-03T00:00:00"/>
    <s v="BJ US-IC-CherryGarcia-FTNG-12 4FOZ"/>
    <x v="69"/>
    <n v="1.4159999999999999E-3"/>
    <n v="468"/>
    <x v="18"/>
    <x v="26"/>
    <n v="0.96"/>
    <n v="9892.7999999999993"/>
    <n v="14.008204799999998"/>
    <n v="21.138461538461538"/>
    <s v="Aug"/>
    <x v="22"/>
    <m/>
    <m/>
  </r>
  <r>
    <n v="64413475"/>
    <x v="8"/>
    <n v="10305"/>
    <d v="2026-08-17T00:00:00"/>
    <s v="BJ US-IC-CherryGarcia-FTNG-12 4FOZ"/>
    <x v="69"/>
    <n v="1.4159999999999999E-3"/>
    <n v="468"/>
    <x v="18"/>
    <x v="26"/>
    <n v="0.96"/>
    <n v="9892.7999999999993"/>
    <n v="14.008204799999998"/>
    <n v="21.138461538461538"/>
    <s v="Aug"/>
    <x v="29"/>
    <m/>
    <m/>
  </r>
  <r>
    <n v="64413475"/>
    <x v="8"/>
    <n v="10305"/>
    <d v="2026-08-24T00:00:00"/>
    <s v="BJ US-IC-CherryGarcia-FTNG-12 4FOZ"/>
    <x v="69"/>
    <n v="1.4159999999999999E-3"/>
    <n v="468"/>
    <x v="18"/>
    <x v="26"/>
    <n v="0.96"/>
    <n v="9892.7999999999993"/>
    <n v="14.008204799999998"/>
    <n v="21.138461538461538"/>
    <s v="Aug"/>
    <x v="35"/>
    <m/>
    <m/>
  </r>
  <r>
    <n v="64413475"/>
    <x v="8"/>
    <n v="10305"/>
    <d v="2026-11-23T00:00:00"/>
    <s v="BJ US-IC-CherryGarcia-FTNG-12 4FOZ"/>
    <x v="69"/>
    <n v="1.4159999999999999E-3"/>
    <n v="468"/>
    <x v="18"/>
    <x v="26"/>
    <n v="0.96"/>
    <n v="9892.7999999999993"/>
    <n v="14.008204799999998"/>
    <n v="21.138461538461538"/>
    <s v="Nov"/>
    <x v="43"/>
    <m/>
    <m/>
  </r>
  <r>
    <n v="64413475"/>
    <x v="8"/>
    <n v="10305"/>
    <d v="2026-12-21T00:00:00"/>
    <s v="BJ US-IC-CherryGarcia-FTNG-12 4FOZ"/>
    <x v="69"/>
    <n v="1.4159999999999999E-3"/>
    <n v="468"/>
    <x v="18"/>
    <x v="26"/>
    <n v="0.96"/>
    <n v="9892.7999999999993"/>
    <n v="14.008204799999998"/>
    <n v="21.138461538461538"/>
    <s v="Dec"/>
    <x v="51"/>
    <m/>
    <m/>
  </r>
  <r>
    <n v="64413476"/>
    <x v="8"/>
    <n v="10305"/>
    <d v="2026-06-01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Jun"/>
    <x v="13"/>
    <m/>
    <m/>
  </r>
  <r>
    <n v="64413476"/>
    <x v="8"/>
    <n v="10305"/>
    <d v="2026-06-29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Jun"/>
    <x v="14"/>
    <m/>
    <m/>
  </r>
  <r>
    <n v="64413476"/>
    <x v="8"/>
    <n v="10305"/>
    <d v="2026-07-13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Jul"/>
    <x v="48"/>
    <m/>
    <m/>
  </r>
  <r>
    <n v="64413476"/>
    <x v="8"/>
    <n v="10305"/>
    <d v="2026-07-27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Jul"/>
    <x v="15"/>
    <m/>
    <m/>
  </r>
  <r>
    <n v="64413476"/>
    <x v="8"/>
    <n v="10305"/>
    <d v="2026-08-10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Aug"/>
    <x v="34"/>
    <m/>
    <m/>
  </r>
  <r>
    <n v="64413476"/>
    <x v="8"/>
    <n v="10305"/>
    <d v="2026-08-24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Aug"/>
    <x v="35"/>
    <m/>
    <m/>
  </r>
  <r>
    <n v="64413476"/>
    <x v="8"/>
    <n v="10305"/>
    <d v="2026-09-07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Sep"/>
    <x v="32"/>
    <m/>
    <m/>
  </r>
  <r>
    <n v="64413476"/>
    <x v="8"/>
    <n v="10305"/>
    <d v="2026-09-21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Sep"/>
    <x v="45"/>
    <m/>
    <m/>
  </r>
  <r>
    <n v="64413476"/>
    <x v="8"/>
    <n v="10305"/>
    <d v="2026-10-05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Oct"/>
    <x v="50"/>
    <m/>
    <m/>
  </r>
  <r>
    <n v="64413476"/>
    <x v="8"/>
    <n v="10305"/>
    <d v="2026-10-26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Oct"/>
    <x v="33"/>
    <m/>
    <m/>
  </r>
  <r>
    <n v="64413476"/>
    <x v="8"/>
    <n v="10305"/>
    <d v="2026-11-16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Nov"/>
    <x v="42"/>
    <m/>
    <m/>
  </r>
  <r>
    <n v="64413476"/>
    <x v="8"/>
    <n v="10305"/>
    <d v="2026-11-30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Nov"/>
    <x v="19"/>
    <m/>
    <m/>
  </r>
  <r>
    <n v="64413476"/>
    <x v="8"/>
    <n v="10305"/>
    <d v="2026-12-21T00:00:00"/>
    <s v="BJ US-IC-ChocFudgBrownie-FTNG-12 4FOZ"/>
    <x v="69"/>
    <n v="1.4399999999999999E-3"/>
    <n v="468"/>
    <x v="18"/>
    <x v="26"/>
    <n v="0.96"/>
    <n v="9892.7999999999993"/>
    <n v="14.245631999999997"/>
    <n v="21.138461538461538"/>
    <s v="Dec"/>
    <x v="51"/>
    <m/>
    <m/>
  </r>
  <r>
    <n v="64413477"/>
    <x v="8"/>
    <n v="10305"/>
    <d v="2026-03-30T00:00:00"/>
    <s v="BJ US-IC-AmericoneDream-FTNG-12 4FOZ"/>
    <x v="69"/>
    <n v="1.4159999999999999E-3"/>
    <n v="468"/>
    <x v="18"/>
    <x v="26"/>
    <n v="0.96"/>
    <n v="9892.7999999999993"/>
    <n v="14.008204799999998"/>
    <n v="21.138461538461538"/>
    <s v="Mar"/>
    <x v="20"/>
    <m/>
    <m/>
  </r>
  <r>
    <n v="64413477"/>
    <x v="8"/>
    <n v="10305"/>
    <d v="2026-04-27T00:00:00"/>
    <s v="BJ US-IC-AmericoneDream-FTNG-12 4FOZ"/>
    <x v="69"/>
    <n v="1.4159999999999999E-3"/>
    <n v="468"/>
    <x v="18"/>
    <x v="26"/>
    <n v="0.96"/>
    <n v="9892.7999999999993"/>
    <n v="14.008204799999998"/>
    <n v="21.138461538461538"/>
    <s v="Apr"/>
    <x v="21"/>
    <m/>
    <m/>
  </r>
  <r>
    <n v="64413477"/>
    <x v="8"/>
    <n v="10305"/>
    <d v="2026-11-16T00:00:00"/>
    <s v="BJ US-IC-AmericoneDream-FTNG-12 4FOZ"/>
    <x v="69"/>
    <n v="1.4159999999999999E-3"/>
    <n v="468"/>
    <x v="18"/>
    <x v="26"/>
    <n v="0.96"/>
    <n v="9892.7999999999993"/>
    <n v="14.008204799999998"/>
    <n v="21.138461538461538"/>
    <s v="Nov"/>
    <x v="42"/>
    <m/>
    <m/>
  </r>
  <r>
    <n v="64413477"/>
    <x v="8"/>
    <n v="10305"/>
    <d v="2026-11-30T00:00:00"/>
    <s v="BJ US-IC-AmericoneDream-FTNG-12 4FOZ"/>
    <x v="69"/>
    <n v="1.4159999999999999E-3"/>
    <n v="468"/>
    <x v="18"/>
    <x v="26"/>
    <n v="0.96"/>
    <n v="9892.7999999999993"/>
    <n v="14.008204799999998"/>
    <n v="21.138461538461538"/>
    <s v="Nov"/>
    <x v="19"/>
    <m/>
    <m/>
  </r>
  <r>
    <n v="64413478"/>
    <x v="8"/>
    <n v="10305"/>
    <d v="2026-07-13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Jul"/>
    <x v="48"/>
    <m/>
    <m/>
  </r>
  <r>
    <n v="64413478"/>
    <x v="8"/>
    <n v="10305"/>
    <d v="2026-07-20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Jul"/>
    <x v="31"/>
    <m/>
    <m/>
  </r>
  <r>
    <n v="64413478"/>
    <x v="8"/>
    <n v="10305"/>
    <d v="2026-08-10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Aug"/>
    <x v="34"/>
    <m/>
    <m/>
  </r>
  <r>
    <n v="64413478"/>
    <x v="8"/>
    <n v="10305"/>
    <d v="2026-08-17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Aug"/>
    <x v="29"/>
    <m/>
    <m/>
  </r>
  <r>
    <n v="64413478"/>
    <x v="8"/>
    <n v="10305"/>
    <d v="2026-08-31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Aug"/>
    <x v="16"/>
    <m/>
    <m/>
  </r>
  <r>
    <n v="64413478"/>
    <x v="8"/>
    <n v="10305"/>
    <d v="2026-09-07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Sep"/>
    <x v="32"/>
    <m/>
    <m/>
  </r>
  <r>
    <n v="64413478"/>
    <x v="8"/>
    <n v="10305"/>
    <d v="2026-10-12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Oct"/>
    <x v="36"/>
    <m/>
    <m/>
  </r>
  <r>
    <n v="64413478"/>
    <x v="8"/>
    <n v="10305"/>
    <d v="2026-10-26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Oct"/>
    <x v="33"/>
    <m/>
    <m/>
  </r>
  <r>
    <n v="64413478"/>
    <x v="8"/>
    <n v="10305"/>
    <d v="2026-11-02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Nov"/>
    <x v="18"/>
    <m/>
    <m/>
  </r>
  <r>
    <n v="64413478"/>
    <x v="8"/>
    <n v="10305"/>
    <d v="2026-11-23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Nov"/>
    <x v="43"/>
    <m/>
    <m/>
  </r>
  <r>
    <n v="64413478"/>
    <x v="8"/>
    <n v="10305"/>
    <d v="2026-11-30T00:00:00"/>
    <s v="BJ US-IC-ChocChpCookDgh-FTNG-12 4FOZ"/>
    <x v="69"/>
    <n v="1.4159999999999999E-3"/>
    <n v="468"/>
    <x v="18"/>
    <x v="26"/>
    <n v="0.96"/>
    <n v="9892.7999999999993"/>
    <n v="14.008204799999998"/>
    <n v="21.138461538461538"/>
    <s v="Nov"/>
    <x v="19"/>
    <m/>
    <m/>
  </r>
  <r>
    <n v="64960643"/>
    <x v="5"/>
    <n v="10336"/>
    <d v="2026-05-18T00:00:00"/>
    <s v="PS Orange Regular IH 6-12pk"/>
    <x v="70"/>
    <n v="3.516E-3"/>
    <n v="170"/>
    <x v="17"/>
    <x v="50"/>
    <n v="0.96"/>
    <n v="9922.56"/>
    <n v="34.887720959999996"/>
    <n v="58.367999999999995"/>
    <s v="May"/>
    <x v="39"/>
    <m/>
    <m/>
  </r>
  <r>
    <n v="67596354"/>
    <x v="3"/>
    <n v="10440"/>
    <d v="2026-04-13T00:00:00"/>
    <s v="BJ R01-IC-TripleCaramlChnk-8 458ML"/>
    <x v="72"/>
    <n v="3.6640000000000002E-3"/>
    <n v="240"/>
    <x v="10"/>
    <x v="18"/>
    <n v="0.96"/>
    <n v="10022.4"/>
    <n v="36.722073600000002"/>
    <n v="41.76"/>
    <s v="Apr"/>
    <x v="25"/>
    <m/>
    <m/>
  </r>
  <r>
    <n v="64987234"/>
    <x v="11"/>
    <n v="10469"/>
    <d v="2026-04-20T00:00:00"/>
    <s v="BJ US-Bar-Cookie Dough 8-4pk"/>
    <x v="69"/>
    <n v="2.3999999999999998E-3"/>
    <n v="165"/>
    <x v="24"/>
    <x v="45"/>
    <n v="0.96"/>
    <n v="10050.24"/>
    <n v="24.120575999999996"/>
    <n v="60.910545454545456"/>
    <s v="Apr"/>
    <x v="40"/>
    <m/>
    <m/>
  </r>
  <r>
    <n v="64804365"/>
    <x v="8"/>
    <n v="10500"/>
    <d v="2026-03-23T00:00:00"/>
    <s v="BJ US-PUP-PB Pretzel 6-4PK"/>
    <x v="69"/>
    <n v="2.8799999999999997E-3"/>
    <n v="180"/>
    <x v="18"/>
    <x v="26"/>
    <n v="0.96"/>
    <n v="10080"/>
    <n v="29.030399999999997"/>
    <n v="56"/>
    <s v="Mar"/>
    <x v="10"/>
    <m/>
    <m/>
  </r>
  <r>
    <n v="64806251"/>
    <x v="8"/>
    <n v="10800"/>
    <d v="2026-04-06T00:00:00"/>
    <s v="BJ US-PUP-PumpkinCookie 6-4PK"/>
    <x v="69"/>
    <n v="2.8799999999999997E-3"/>
    <n v="180"/>
    <x v="18"/>
    <x v="26"/>
    <n v="0.96"/>
    <n v="10368"/>
    <n v="29.859839999999998"/>
    <n v="57.6"/>
    <s v="Apr"/>
    <x v="23"/>
    <m/>
    <m/>
  </r>
  <r>
    <n v="68851105"/>
    <x v="1"/>
    <n v="10800"/>
    <d v="2026-04-27T00:00:00"/>
    <s v="BR HA VAN CHOC STRAW 6-1.5QT"/>
    <x v="80"/>
    <n v="8.5199999999999998E-3"/>
    <n v="154"/>
    <x v="0"/>
    <x v="1"/>
    <n v="0.94"/>
    <n v="10152"/>
    <n v="86.495040000000003"/>
    <n v="65.922077922077918"/>
    <s v="Apr"/>
    <x v="21"/>
    <m/>
    <m/>
  </r>
  <r>
    <n v="68851106"/>
    <x v="1"/>
    <n v="10800"/>
    <d v="2026-03-30T00:00:00"/>
    <s v="BR HA NAT Vanilla 6-1.5QT"/>
    <x v="80"/>
    <n v="8.5199999999999998E-3"/>
    <n v="154"/>
    <x v="0"/>
    <x v="1"/>
    <n v="0.94"/>
    <n v="10152"/>
    <n v="86.495040000000003"/>
    <n v="65.922077922077918"/>
    <s v="Mar"/>
    <x v="20"/>
    <m/>
    <m/>
  </r>
  <r>
    <n v="68851106"/>
    <x v="1"/>
    <n v="10800"/>
    <d v="2026-04-20T00:00:00"/>
    <s v="BR HA NAT Vanilla 6-1.5QT"/>
    <x v="80"/>
    <n v="8.5199999999999998E-3"/>
    <n v="154"/>
    <x v="0"/>
    <x v="1"/>
    <n v="0.94"/>
    <n v="10152"/>
    <n v="86.495040000000003"/>
    <n v="65.922077922077918"/>
    <s v="Apr"/>
    <x v="40"/>
    <m/>
    <m/>
  </r>
  <r>
    <n v="68851106"/>
    <x v="1"/>
    <n v="10800"/>
    <d v="2026-05-25T00:00:00"/>
    <s v="BR HA NAT Vanilla 6-1.5QT"/>
    <x v="80"/>
    <n v="8.5199999999999998E-3"/>
    <n v="154"/>
    <x v="0"/>
    <x v="1"/>
    <n v="0.94"/>
    <n v="10152"/>
    <n v="86.495040000000003"/>
    <n v="65.922077922077918"/>
    <s v="May"/>
    <x v="46"/>
    <m/>
    <m/>
  </r>
  <r>
    <n v="68851107"/>
    <x v="1"/>
    <n v="10800"/>
    <d v="2026-05-04T00:00:00"/>
    <s v="BR NAT Vanilla 6-1.5QT"/>
    <x v="80"/>
    <n v="8.5199999999999998E-3"/>
    <n v="176"/>
    <x v="0"/>
    <x v="1"/>
    <n v="0.94"/>
    <n v="10152"/>
    <n v="86.495040000000003"/>
    <n v="57.68181818181818"/>
    <s v="May"/>
    <x v="24"/>
    <m/>
    <m/>
  </r>
  <r>
    <n v="68851107"/>
    <x v="1"/>
    <n v="10800"/>
    <d v="2026-05-11T00:00:00"/>
    <s v="BR NAT Vanilla 6-1.5QT"/>
    <x v="80"/>
    <n v="8.5199999999999998E-3"/>
    <n v="176"/>
    <x v="0"/>
    <x v="1"/>
    <n v="0.94"/>
    <n v="10152"/>
    <n v="86.495040000000003"/>
    <n v="57.68181818181818"/>
    <s v="May"/>
    <x v="26"/>
    <m/>
    <m/>
  </r>
  <r>
    <n v="68851107"/>
    <x v="1"/>
    <n v="10800"/>
    <d v="2026-05-18T00:00:00"/>
    <s v="BR NAT Vanilla 6-1.5QT"/>
    <x v="80"/>
    <n v="8.5199999999999998E-3"/>
    <n v="176"/>
    <x v="0"/>
    <x v="1"/>
    <n v="0.94"/>
    <n v="10152"/>
    <n v="86.495040000000003"/>
    <n v="57.68181818181818"/>
    <s v="May"/>
    <x v="39"/>
    <m/>
    <m/>
  </r>
  <r>
    <n v="69964646"/>
    <x v="19"/>
    <n v="10800"/>
    <d v="2026-07-06T00:00:00"/>
    <s v="KL Cone Vanilla Caramel OOH 1-24ct"/>
    <x v="70"/>
    <n v="2.8799999999999997E-3"/>
    <n v="180"/>
    <x v="22"/>
    <x v="48"/>
    <n v="0.96"/>
    <n v="10368"/>
    <n v="29.859839999999998"/>
    <n v="57.6"/>
    <s v="Jul"/>
    <x v="30"/>
    <m/>
    <m/>
  </r>
  <r>
    <n v="68264519"/>
    <x v="6"/>
    <n v="11000"/>
    <d v="2026-05-11T00:00:00"/>
    <s v="BJ US-CD-Half Baked Dough-8 6z"/>
    <x v="70"/>
    <n v="1.419504E-3"/>
    <n v="256"/>
    <x v="15"/>
    <x v="23"/>
    <n v="0.96"/>
    <n v="10560"/>
    <n v="14.989962240000001"/>
    <n v="41.25"/>
    <s v="May"/>
    <x v="26"/>
    <m/>
    <m/>
  </r>
  <r>
    <n v="64776954"/>
    <x v="0"/>
    <m/>
    <d v="2026-03-23T00:00:00"/>
    <s v="PS Scribblers Natural 6-18PK"/>
    <x v="90"/>
    <n v="3.8340000000000002E-3"/>
    <n v="130"/>
    <x v="6"/>
    <x v="15"/>
    <n v="0.96"/>
    <n v="0"/>
    <n v="0"/>
    <n v="0"/>
    <s v="Mar"/>
    <x v="10"/>
    <m/>
    <m/>
  </r>
  <r>
    <n v="68899825"/>
    <x v="0"/>
    <n v="11280"/>
    <d v="2026-04-27T00:00:00"/>
    <s v="BR CHOC Chip 6 1.5QT"/>
    <x v="82"/>
    <n v="8.513999999999999E-3"/>
    <n v="176"/>
    <x v="0"/>
    <x v="0"/>
    <n v="0.94"/>
    <n v="10603.199999999999"/>
    <n v="90.275644799999981"/>
    <n v="60.245454545454542"/>
    <s v="Apr"/>
    <x v="21"/>
    <m/>
    <m/>
  </r>
  <r>
    <n v="68741742"/>
    <x v="1"/>
    <n v="11295"/>
    <d v="2026-03-23T00:00:00"/>
    <s v="GH Strawberry Shortcake Bar 8-6PK"/>
    <x v="59"/>
    <n v="4.2560000000000002E-3"/>
    <n v="154"/>
    <x v="7"/>
    <x v="10"/>
    <n v="0.96"/>
    <n v="10843.199999999999"/>
    <n v="46.148659199999997"/>
    <n v="70.410389610389601"/>
    <s v="Mar"/>
    <x v="10"/>
    <m/>
    <m/>
  </r>
  <r>
    <n v="65254774"/>
    <x v="18"/>
    <n v="11400"/>
    <d v="2026-09-28T00:00:00"/>
    <s v="Yasso Choc Chip VAN CRML Cups 1-12ct"/>
    <x v="69"/>
    <n v="1E-3"/>
    <n v="420"/>
    <x v="17"/>
    <x v="46"/>
    <n v="0.96"/>
    <n v="10944"/>
    <n v="10.944000000000001"/>
    <n v="26.057142857142857"/>
    <s v="Sep"/>
    <x v="17"/>
    <m/>
    <m/>
  </r>
  <r>
    <n v="65254774"/>
    <x v="18"/>
    <n v="11400"/>
    <d v="2026-10-05T00:00:00"/>
    <s v="Yasso Choc Chip VAN CRML Cups 1-12ct"/>
    <x v="69"/>
    <n v="1E-3"/>
    <n v="420"/>
    <x v="17"/>
    <x v="46"/>
    <n v="0.96"/>
    <n v="10944"/>
    <n v="10.944000000000001"/>
    <n v="26.057142857142857"/>
    <s v="Oct"/>
    <x v="50"/>
    <m/>
    <m/>
  </r>
  <r>
    <n v="65254774"/>
    <x v="18"/>
    <n v="11400"/>
    <d v="2026-11-02T00:00:00"/>
    <s v="Yasso Choc Chip VAN CRML Cups 1-12ct"/>
    <x v="69"/>
    <n v="1E-3"/>
    <n v="420"/>
    <x v="17"/>
    <x v="46"/>
    <n v="0.96"/>
    <n v="10944"/>
    <n v="10.944000000000001"/>
    <n v="26.057142857142857"/>
    <s v="Nov"/>
    <x v="18"/>
    <m/>
    <m/>
  </r>
  <r>
    <n v="64973976"/>
    <x v="8"/>
    <n v="11520"/>
    <d v="2026-08-17T00:00:00"/>
    <s v="BR Reeses Mini Cups 1-12PK"/>
    <x v="69"/>
    <n v="1.0644000000000001E-3"/>
    <n v="190"/>
    <x v="23"/>
    <x v="55"/>
    <n v="0.96"/>
    <n v="11059.199999999999"/>
    <n v="11.77141248"/>
    <n v="58.206315789473678"/>
    <s v="Aug"/>
    <x v="29"/>
    <m/>
    <m/>
  </r>
  <r>
    <n v="64973976"/>
    <x v="8"/>
    <n v="11520"/>
    <d v="2026-08-31T00:00:00"/>
    <s v="BR Reeses Mini Cups 1-12PK"/>
    <x v="69"/>
    <n v="1.0644000000000001E-3"/>
    <n v="190"/>
    <x v="23"/>
    <x v="55"/>
    <n v="0.96"/>
    <n v="11059.199999999999"/>
    <n v="11.77141248"/>
    <n v="58.206315789473678"/>
    <s v="Aug"/>
    <x v="16"/>
    <m/>
    <m/>
  </r>
  <r>
    <n v="67794170"/>
    <x v="3"/>
    <n v="14560"/>
    <d v="2026-03-30T00:00:00"/>
    <s v="BJ US-IC-PeanutButterWorld-8 1PT"/>
    <x v="77"/>
    <n v="3.7853439999999999E-3"/>
    <n v="240"/>
    <x v="3"/>
    <x v="13"/>
    <n v="0.95"/>
    <n v="13832"/>
    <n v="52.358878208"/>
    <n v="57.633333333333333"/>
    <s v="Mar"/>
    <x v="20"/>
    <m/>
    <m/>
  </r>
  <r>
    <n v="64804365"/>
    <x v="8"/>
    <n v="11880"/>
    <d v="2026-04-20T00:00:00"/>
    <s v="BJ US-PUP-PB Pretzel 6-4PK"/>
    <x v="69"/>
    <n v="2.8799999999999997E-3"/>
    <n v="180"/>
    <x v="18"/>
    <x v="26"/>
    <n v="0.96"/>
    <n v="11404.8"/>
    <n v="32.845823999999993"/>
    <n v="63.36"/>
    <s v="Apr"/>
    <x v="40"/>
    <m/>
    <m/>
  </r>
  <r>
    <n v="64806251"/>
    <x v="8"/>
    <n v="11880"/>
    <d v="2026-04-27T00:00:00"/>
    <s v="BJ US-PUP-PumpkinCookie 6-4PK"/>
    <x v="69"/>
    <n v="2.8799999999999997E-3"/>
    <n v="180"/>
    <x v="18"/>
    <x v="26"/>
    <n v="0.96"/>
    <n v="11404.8"/>
    <n v="32.845823999999993"/>
    <n v="63.36"/>
    <s v="Apr"/>
    <x v="21"/>
    <m/>
    <m/>
  </r>
  <r>
    <n v="64361164"/>
    <x v="3"/>
    <n v="11880"/>
    <d v="2026-04-13T00:00:00"/>
    <s v="BJ CA-NDO-TonightDough-8 473ml"/>
    <x v="72"/>
    <n v="3.7839999999999996E-3"/>
    <n v="240"/>
    <x v="3"/>
    <x v="13"/>
    <n v="0.95"/>
    <n v="11286"/>
    <n v="42.706223999999999"/>
    <n v="47.024999999999999"/>
    <s v="Apr"/>
    <x v="25"/>
    <m/>
    <m/>
  </r>
  <r>
    <n v="62714126"/>
    <x v="5"/>
    <n v="11970"/>
    <d v="2026-05-18T00:00:00"/>
    <s v="PS OCG SF 6-18PK"/>
    <x v="70"/>
    <n v="5.2680000000000001E-3"/>
    <n v="130"/>
    <x v="6"/>
    <x v="22"/>
    <n v="0.96"/>
    <n v="11491.199999999999"/>
    <n v="60.535641599999998"/>
    <n v="88.393846153846141"/>
    <s v="May"/>
    <x v="39"/>
    <m/>
    <m/>
  </r>
  <r>
    <n v="68899821"/>
    <x v="0"/>
    <n v="12000"/>
    <d v="2026-04-27T00:00:00"/>
    <s v="BR Double Cookie Crumble 6 1.5QT"/>
    <x v="74"/>
    <n v="8.5199999999999998E-3"/>
    <n v="176"/>
    <x v="0"/>
    <x v="0"/>
    <n v="0.94"/>
    <n v="11280"/>
    <n v="96.105599999999995"/>
    <n v="64.090909090909093"/>
    <s v="Apr"/>
    <x v="21"/>
    <m/>
    <m/>
  </r>
  <r>
    <n v="64330596"/>
    <x v="1"/>
    <m/>
    <d v="2026-03-30T00:00:00"/>
    <s v="MG Mini Double Caramel Bar 6-6PK"/>
    <x v="64"/>
    <n v="1.98E-3"/>
    <n v="176"/>
    <x v="5"/>
    <x v="6"/>
    <n v="0.96"/>
    <n v="0"/>
    <n v="0"/>
    <n v="0"/>
    <s v="Mar"/>
    <x v="20"/>
    <m/>
    <m/>
  </r>
  <r>
    <n v="64341962"/>
    <x v="1"/>
    <n v="12000"/>
    <d v="2026-03-23T00:00:00"/>
    <s v="BR Chocolate Truffle 6 1.5QT"/>
    <x v="83"/>
    <n v="8.513999999999999E-3"/>
    <n v="176"/>
    <x v="0"/>
    <x v="1"/>
    <n v="0.94"/>
    <n v="11280"/>
    <n v="96.037919999999986"/>
    <n v="64.090909090909093"/>
    <s v="Mar"/>
    <x v="10"/>
    <m/>
    <m/>
  </r>
  <r>
    <n v="64988056"/>
    <x v="1"/>
    <n v="12000"/>
    <d v="2026-03-23T00:00:00"/>
    <s v="BR Butter Pecan 6 1.5QT"/>
    <x v="89"/>
    <n v="8.513999999999999E-3"/>
    <n v="176"/>
    <x v="0"/>
    <x v="1"/>
    <n v="0.94"/>
    <n v="11280"/>
    <n v="96.037919999999986"/>
    <n v="64.090909090909093"/>
    <s v="Mar"/>
    <x v="10"/>
    <m/>
    <m/>
  </r>
  <r>
    <n v="64360552"/>
    <x v="4"/>
    <n v="12000"/>
    <d v="2026-04-20T00:00:00"/>
    <s v="BR US CarbSmart Vanilla IH 6 1.5QT"/>
    <x v="91"/>
    <n v="8.4600000000000005E-3"/>
    <n v="168"/>
    <x v="0"/>
    <x v="52"/>
    <n v="0.94"/>
    <n v="11280"/>
    <n v="95.42880000000001"/>
    <n v="67.142857142857139"/>
    <s v="Apr"/>
    <x v="40"/>
    <m/>
    <m/>
  </r>
  <r>
    <n v="64360552"/>
    <x v="4"/>
    <n v="12000"/>
    <d v="2026-05-04T00:00:00"/>
    <s v="BR US CarbSmart Vanilla IH 6 1.5QT"/>
    <x v="91"/>
    <n v="8.4600000000000005E-3"/>
    <n v="168"/>
    <x v="0"/>
    <x v="52"/>
    <n v="0.94"/>
    <n v="11280"/>
    <n v="95.42880000000001"/>
    <n v="67.142857142857139"/>
    <s v="May"/>
    <x v="24"/>
    <m/>
    <m/>
  </r>
  <r>
    <n v="64360552"/>
    <x v="4"/>
    <n v="12000"/>
    <d v="2026-05-18T00:00:00"/>
    <s v="BR US CarbSmart Vanilla IH 6 1.5QT"/>
    <x v="91"/>
    <n v="8.4600000000000005E-3"/>
    <n v="168"/>
    <x v="0"/>
    <x v="52"/>
    <n v="0.94"/>
    <n v="11280"/>
    <n v="95.42880000000001"/>
    <n v="67.142857142857139"/>
    <s v="May"/>
    <x v="39"/>
    <m/>
    <m/>
  </r>
  <r>
    <n v="64360552"/>
    <x v="4"/>
    <n v="12000"/>
    <d v="2026-06-29T00:00:00"/>
    <s v="BR US CarbSmart Vanilla IH 6 1.5QT"/>
    <x v="91"/>
    <n v="8.4600000000000005E-3"/>
    <n v="168"/>
    <x v="0"/>
    <x v="52"/>
    <n v="0.94"/>
    <n v="11280"/>
    <n v="95.42880000000001"/>
    <n v="67.142857142857139"/>
    <s v="Jun"/>
    <x v="14"/>
    <m/>
    <m/>
  </r>
  <r>
    <n v="64360552"/>
    <x v="4"/>
    <n v="12000"/>
    <d v="2026-08-10T00:00:00"/>
    <s v="BR US CarbSmart Vanilla IH 6 1.5QT"/>
    <x v="91"/>
    <n v="8.4600000000000005E-3"/>
    <n v="168"/>
    <x v="0"/>
    <x v="52"/>
    <n v="0.94"/>
    <n v="11280"/>
    <n v="95.42880000000001"/>
    <n v="67.142857142857139"/>
    <s v="Aug"/>
    <x v="34"/>
    <m/>
    <m/>
  </r>
  <r>
    <n v="64360552"/>
    <x v="4"/>
    <n v="12000"/>
    <d v="2026-08-24T00:00:00"/>
    <s v="BR US CarbSmart Vanilla IH 6 1.5QT"/>
    <x v="91"/>
    <n v="8.4600000000000005E-3"/>
    <n v="168"/>
    <x v="0"/>
    <x v="52"/>
    <n v="0.94"/>
    <n v="11280"/>
    <n v="95.42880000000001"/>
    <n v="67.142857142857139"/>
    <s v="Aug"/>
    <x v="35"/>
    <m/>
    <m/>
  </r>
  <r>
    <n v="64360552"/>
    <x v="4"/>
    <n v="12000"/>
    <d v="2026-08-31T00:00:00"/>
    <s v="BR US CarbSmart Vanilla IH 6 1.5QT"/>
    <x v="91"/>
    <n v="8.4600000000000005E-3"/>
    <n v="168"/>
    <x v="0"/>
    <x v="52"/>
    <n v="0.94"/>
    <n v="11280"/>
    <n v="95.42880000000001"/>
    <n v="67.142857142857139"/>
    <s v="Aug"/>
    <x v="16"/>
    <m/>
    <m/>
  </r>
  <r>
    <n v="64360552"/>
    <x v="4"/>
    <n v="12000"/>
    <d v="2026-09-21T00:00:00"/>
    <s v="BR US CarbSmart Vanilla IH 6 1.5QT"/>
    <x v="91"/>
    <n v="8.4600000000000005E-3"/>
    <n v="168"/>
    <x v="0"/>
    <x v="52"/>
    <n v="0.94"/>
    <n v="11280"/>
    <n v="95.42880000000001"/>
    <n v="67.142857142857139"/>
    <s v="Sep"/>
    <x v="45"/>
    <m/>
    <m/>
  </r>
  <r>
    <n v="64360553"/>
    <x v="4"/>
    <n v="12000"/>
    <d v="2026-04-27T00:00:00"/>
    <s v="BR US CarbSmart CHOC IH 6 1.5QT"/>
    <x v="91"/>
    <n v="8.4600000000000005E-3"/>
    <n v="168"/>
    <x v="0"/>
    <x v="52"/>
    <n v="0.94"/>
    <n v="11280"/>
    <n v="95.42880000000001"/>
    <n v="67.142857142857139"/>
    <s v="Apr"/>
    <x v="21"/>
    <m/>
    <m/>
  </r>
  <r>
    <n v="64360553"/>
    <x v="4"/>
    <n v="12000"/>
    <d v="2026-05-11T00:00:00"/>
    <s v="BR US CarbSmart CHOC IH 6 1.5QT"/>
    <x v="91"/>
    <n v="8.4600000000000005E-3"/>
    <n v="168"/>
    <x v="0"/>
    <x v="52"/>
    <n v="0.94"/>
    <n v="11280"/>
    <n v="95.42880000000001"/>
    <n v="67.142857142857139"/>
    <s v="May"/>
    <x v="26"/>
    <m/>
    <m/>
  </r>
  <r>
    <n v="64360553"/>
    <x v="4"/>
    <n v="12000"/>
    <d v="2026-05-25T00:00:00"/>
    <s v="BR US CarbSmart CHOC IH 6 1.5QT"/>
    <x v="91"/>
    <n v="8.4600000000000005E-3"/>
    <n v="168"/>
    <x v="0"/>
    <x v="52"/>
    <n v="0.94"/>
    <n v="11280"/>
    <n v="95.42880000000001"/>
    <n v="67.142857142857139"/>
    <s v="May"/>
    <x v="46"/>
    <m/>
    <m/>
  </r>
  <r>
    <n v="64360553"/>
    <x v="4"/>
    <n v="12000"/>
    <d v="2026-06-15T00:00:00"/>
    <s v="BR US CarbSmart CHOC IH 6 1.5QT"/>
    <x v="91"/>
    <n v="8.4600000000000005E-3"/>
    <n v="168"/>
    <x v="0"/>
    <x v="52"/>
    <n v="0.94"/>
    <n v="11280"/>
    <n v="95.42880000000001"/>
    <n v="67.142857142857139"/>
    <s v="Jun"/>
    <x v="28"/>
    <m/>
    <m/>
  </r>
  <r>
    <n v="64360553"/>
    <x v="4"/>
    <n v="12000"/>
    <d v="2026-06-22T00:00:00"/>
    <s v="BR US CarbSmart CHOC IH 6 1.5QT"/>
    <x v="91"/>
    <n v="8.4600000000000005E-3"/>
    <n v="168"/>
    <x v="0"/>
    <x v="52"/>
    <n v="0.94"/>
    <n v="11280"/>
    <n v="95.42880000000001"/>
    <n v="67.142857142857139"/>
    <s v="Jun"/>
    <x v="49"/>
    <m/>
    <m/>
  </r>
  <r>
    <n v="64360553"/>
    <x v="4"/>
    <n v="12000"/>
    <d v="2026-07-06T00:00:00"/>
    <s v="BR US CarbSmart CHOC IH 6 1.5QT"/>
    <x v="91"/>
    <n v="8.4600000000000005E-3"/>
    <n v="168"/>
    <x v="0"/>
    <x v="52"/>
    <n v="0.94"/>
    <n v="11280"/>
    <n v="95.42880000000001"/>
    <n v="67.142857142857139"/>
    <s v="Jul"/>
    <x v="30"/>
    <m/>
    <m/>
  </r>
  <r>
    <n v="64360553"/>
    <x v="4"/>
    <n v="12000"/>
    <d v="2026-07-20T00:00:00"/>
    <s v="BR US CarbSmart CHOC IH 6 1.5QT"/>
    <x v="91"/>
    <n v="8.4600000000000005E-3"/>
    <n v="168"/>
    <x v="0"/>
    <x v="52"/>
    <n v="0.94"/>
    <n v="11280"/>
    <n v="95.42880000000001"/>
    <n v="67.142857142857139"/>
    <s v="Jul"/>
    <x v="31"/>
    <m/>
    <m/>
  </r>
  <r>
    <n v="64360553"/>
    <x v="4"/>
    <n v="12000"/>
    <d v="2026-07-27T00:00:00"/>
    <s v="BR US CarbSmart CHOC IH 6 1.5QT"/>
    <x v="91"/>
    <n v="8.4600000000000005E-3"/>
    <n v="168"/>
    <x v="0"/>
    <x v="52"/>
    <n v="0.94"/>
    <n v="11280"/>
    <n v="95.42880000000001"/>
    <n v="67.142857142857139"/>
    <s v="Jul"/>
    <x v="15"/>
    <m/>
    <m/>
  </r>
  <r>
    <n v="64360553"/>
    <x v="4"/>
    <n v="12000"/>
    <d v="2026-08-03T00:00:00"/>
    <s v="BR US CarbSmart CHOC IH 6 1.5QT"/>
    <x v="91"/>
    <n v="8.4600000000000005E-3"/>
    <n v="168"/>
    <x v="0"/>
    <x v="52"/>
    <n v="0.94"/>
    <n v="11280"/>
    <n v="95.42880000000001"/>
    <n v="67.142857142857139"/>
    <s v="Aug"/>
    <x v="22"/>
    <m/>
    <m/>
  </r>
  <r>
    <n v="64360553"/>
    <x v="4"/>
    <n v="12000"/>
    <d v="2026-08-10T00:00:00"/>
    <s v="BR US CarbSmart CHOC IH 6 1.5QT"/>
    <x v="91"/>
    <n v="8.4600000000000005E-3"/>
    <n v="168"/>
    <x v="0"/>
    <x v="52"/>
    <n v="0.94"/>
    <n v="11280"/>
    <n v="95.42880000000001"/>
    <n v="67.142857142857139"/>
    <s v="Aug"/>
    <x v="34"/>
    <m/>
    <m/>
  </r>
  <r>
    <n v="64360553"/>
    <x v="4"/>
    <n v="12000"/>
    <d v="2026-08-17T00:00:00"/>
    <s v="BR US CarbSmart CHOC IH 6 1.5QT"/>
    <x v="91"/>
    <n v="8.4600000000000005E-3"/>
    <n v="168"/>
    <x v="0"/>
    <x v="52"/>
    <n v="0.94"/>
    <n v="11280"/>
    <n v="95.42880000000001"/>
    <n v="67.142857142857139"/>
    <s v="Aug"/>
    <x v="29"/>
    <m/>
    <m/>
  </r>
  <r>
    <n v="64360553"/>
    <x v="4"/>
    <n v="12000"/>
    <d v="2026-08-24T00:00:00"/>
    <s v="BR US CarbSmart CHOC IH 6 1.5QT"/>
    <x v="91"/>
    <n v="8.4600000000000005E-3"/>
    <n v="168"/>
    <x v="0"/>
    <x v="52"/>
    <n v="0.94"/>
    <n v="11280"/>
    <n v="95.42880000000001"/>
    <n v="67.142857142857139"/>
    <s v="Aug"/>
    <x v="35"/>
    <m/>
    <m/>
  </r>
  <r>
    <n v="64360553"/>
    <x v="4"/>
    <n v="12000"/>
    <d v="2026-08-31T00:00:00"/>
    <s v="BR US CarbSmart CHOC IH 6 1.5QT"/>
    <x v="91"/>
    <n v="8.4600000000000005E-3"/>
    <n v="168"/>
    <x v="0"/>
    <x v="52"/>
    <n v="0.94"/>
    <n v="11280"/>
    <n v="95.42880000000001"/>
    <n v="67.142857142857139"/>
    <s v="Aug"/>
    <x v="16"/>
    <m/>
    <m/>
  </r>
  <r>
    <n v="64360553"/>
    <x v="4"/>
    <n v="12000"/>
    <d v="2026-09-07T00:00:00"/>
    <s v="BR US CarbSmart CHOC IH 6 1.5QT"/>
    <x v="91"/>
    <n v="8.4600000000000005E-3"/>
    <n v="168"/>
    <x v="0"/>
    <x v="52"/>
    <n v="0.94"/>
    <n v="11280"/>
    <n v="95.42880000000001"/>
    <n v="67.142857142857139"/>
    <s v="Sep"/>
    <x v="32"/>
    <m/>
    <m/>
  </r>
  <r>
    <n v="64360553"/>
    <x v="4"/>
    <n v="12000"/>
    <d v="2026-09-14T00:00:00"/>
    <s v="BR US CarbSmart CHOC IH 6 1.5QT"/>
    <x v="91"/>
    <n v="8.4600000000000005E-3"/>
    <n v="168"/>
    <x v="0"/>
    <x v="52"/>
    <n v="0.94"/>
    <n v="11280"/>
    <n v="95.42880000000001"/>
    <n v="67.142857142857139"/>
    <s v="Sep"/>
    <x v="38"/>
    <m/>
    <m/>
  </r>
  <r>
    <n v="64360553"/>
    <x v="4"/>
    <n v="12000"/>
    <d v="2026-09-21T00:00:00"/>
    <s v="BR US CarbSmart CHOC IH 6 1.5QT"/>
    <x v="91"/>
    <n v="8.4600000000000005E-3"/>
    <n v="168"/>
    <x v="0"/>
    <x v="52"/>
    <n v="0.94"/>
    <n v="11280"/>
    <n v="95.42880000000001"/>
    <n v="67.142857142857139"/>
    <s v="Sep"/>
    <x v="45"/>
    <m/>
    <m/>
  </r>
  <r>
    <n v="64360553"/>
    <x v="4"/>
    <n v="12000"/>
    <d v="2026-09-28T00:00:00"/>
    <s v="BR US CarbSmart CHOC IH 6 1.5QT"/>
    <x v="91"/>
    <n v="8.4600000000000005E-3"/>
    <n v="168"/>
    <x v="0"/>
    <x v="52"/>
    <n v="0.94"/>
    <n v="11280"/>
    <n v="95.42880000000001"/>
    <n v="67.142857142857139"/>
    <s v="Sep"/>
    <x v="17"/>
    <m/>
    <m/>
  </r>
  <r>
    <n v="64360553"/>
    <x v="4"/>
    <n v="12000"/>
    <d v="2026-10-05T00:00:00"/>
    <s v="BR US CarbSmart CHOC IH 6 1.5QT"/>
    <x v="91"/>
    <n v="8.4600000000000005E-3"/>
    <n v="168"/>
    <x v="0"/>
    <x v="52"/>
    <n v="0.94"/>
    <n v="11280"/>
    <n v="95.42880000000001"/>
    <n v="67.142857142857139"/>
    <s v="Oct"/>
    <x v="50"/>
    <m/>
    <m/>
  </r>
  <r>
    <n v="64369052"/>
    <x v="19"/>
    <n v="12000"/>
    <d v="2026-05-18T00:00:00"/>
    <s v="KL Cone StrwShortcake Van Chillin 6-8CT"/>
    <x v="70"/>
    <n v="5.3220000000000003E-3"/>
    <n v="120"/>
    <x v="22"/>
    <x v="48"/>
    <n v="0.96"/>
    <n v="11520"/>
    <n v="61.309440000000002"/>
    <n v="96"/>
    <s v="May"/>
    <x v="39"/>
    <m/>
    <m/>
  </r>
  <r>
    <n v="64875812"/>
    <x v="16"/>
    <n v="12113"/>
    <d v="2026-04-06T00:00:00"/>
    <s v="KL Vanilla Sandwich 8-6 PK"/>
    <x v="69"/>
    <n v="6.0000000000000001E-3"/>
    <n v="108"/>
    <x v="12"/>
    <x v="41"/>
    <n v="0.96"/>
    <n v="11628.48"/>
    <n v="69.770880000000005"/>
    <n v="107.6711111111111"/>
    <s v="Apr"/>
    <x v="23"/>
    <m/>
    <m/>
  </r>
  <r>
    <n v="64875812"/>
    <x v="16"/>
    <n v="12113"/>
    <d v="2026-04-13T00:00:00"/>
    <s v="KL Vanilla Sandwich 8-6 PK"/>
    <x v="69"/>
    <n v="6.0000000000000001E-3"/>
    <n v="108"/>
    <x v="12"/>
    <x v="41"/>
    <n v="0.96"/>
    <n v="11628.48"/>
    <n v="69.770880000000005"/>
    <n v="107.6711111111111"/>
    <s v="Apr"/>
    <x v="25"/>
    <m/>
    <m/>
  </r>
  <r>
    <n v="64875812"/>
    <x v="16"/>
    <n v="12113"/>
    <d v="2026-04-20T00:00:00"/>
    <s v="KL Vanilla Sandwich 8-6 PK"/>
    <x v="69"/>
    <n v="6.0000000000000001E-3"/>
    <n v="108"/>
    <x v="12"/>
    <x v="41"/>
    <n v="0.96"/>
    <n v="11628.48"/>
    <n v="69.770880000000005"/>
    <n v="107.6711111111111"/>
    <s v="Apr"/>
    <x v="40"/>
    <m/>
    <m/>
  </r>
  <r>
    <n v="64875812"/>
    <x v="16"/>
    <n v="12113"/>
    <d v="2026-04-27T00:00:00"/>
    <s v="KL Vanilla Sandwich 8-6 PK"/>
    <x v="69"/>
    <n v="6.0000000000000001E-3"/>
    <n v="108"/>
    <x v="12"/>
    <x v="41"/>
    <n v="0.96"/>
    <n v="11628.48"/>
    <n v="69.770880000000005"/>
    <n v="107.6711111111111"/>
    <s v="Apr"/>
    <x v="21"/>
    <m/>
    <m/>
  </r>
  <r>
    <n v="64875812"/>
    <x v="16"/>
    <n v="12113"/>
    <d v="2026-05-04T00:00:00"/>
    <s v="KL Vanilla Sandwich 8-6 PK"/>
    <x v="69"/>
    <n v="6.0000000000000001E-3"/>
    <n v="108"/>
    <x v="12"/>
    <x v="41"/>
    <n v="0.96"/>
    <n v="11628.48"/>
    <n v="69.770880000000005"/>
    <n v="107.6711111111111"/>
    <s v="May"/>
    <x v="24"/>
    <m/>
    <m/>
  </r>
  <r>
    <n v="64875812"/>
    <x v="16"/>
    <n v="12113"/>
    <d v="2026-05-11T00:00:00"/>
    <s v="KL Vanilla Sandwich 8-6 PK"/>
    <x v="69"/>
    <n v="6.0000000000000001E-3"/>
    <n v="108"/>
    <x v="12"/>
    <x v="41"/>
    <n v="0.96"/>
    <n v="11628.48"/>
    <n v="69.770880000000005"/>
    <n v="107.6711111111111"/>
    <s v="May"/>
    <x v="26"/>
    <m/>
    <m/>
  </r>
  <r>
    <n v="64875812"/>
    <x v="16"/>
    <n v="12113"/>
    <d v="2026-05-18T00:00:00"/>
    <s v="KL Vanilla Sandwich 8-6 PK"/>
    <x v="69"/>
    <n v="6.0000000000000001E-3"/>
    <n v="108"/>
    <x v="12"/>
    <x v="41"/>
    <n v="0.96"/>
    <n v="11628.48"/>
    <n v="69.770880000000005"/>
    <n v="107.6711111111111"/>
    <s v="May"/>
    <x v="39"/>
    <m/>
    <m/>
  </r>
  <r>
    <n v="64875812"/>
    <x v="16"/>
    <n v="12113"/>
    <d v="2026-05-25T00:00:00"/>
    <s v="KL Vanilla Sandwich 8-6 PK"/>
    <x v="69"/>
    <n v="6.0000000000000001E-3"/>
    <n v="108"/>
    <x v="12"/>
    <x v="41"/>
    <n v="0.96"/>
    <n v="11628.48"/>
    <n v="69.770880000000005"/>
    <n v="107.6711111111111"/>
    <s v="May"/>
    <x v="46"/>
    <m/>
    <m/>
  </r>
  <r>
    <n v="64875812"/>
    <x v="16"/>
    <n v="12113"/>
    <d v="2026-06-01T00:00:00"/>
    <s v="KL Vanilla Sandwich 8-6 PK"/>
    <x v="69"/>
    <n v="6.0000000000000001E-3"/>
    <n v="108"/>
    <x v="12"/>
    <x v="41"/>
    <n v="0.96"/>
    <n v="11628.48"/>
    <n v="69.770880000000005"/>
    <n v="107.6711111111111"/>
    <s v="Jun"/>
    <x v="13"/>
    <m/>
    <m/>
  </r>
  <r>
    <n v="64875812"/>
    <x v="16"/>
    <n v="12113"/>
    <d v="2026-06-15T00:00:00"/>
    <s v="KL Vanilla Sandwich 8-6 PK"/>
    <x v="69"/>
    <n v="6.0000000000000001E-3"/>
    <n v="108"/>
    <x v="12"/>
    <x v="41"/>
    <n v="0.96"/>
    <n v="11628.48"/>
    <n v="69.770880000000005"/>
    <n v="107.6711111111111"/>
    <s v="Jun"/>
    <x v="28"/>
    <m/>
    <m/>
  </r>
  <r>
    <n v="64875812"/>
    <x v="16"/>
    <n v="12113"/>
    <d v="2026-06-22T00:00:00"/>
    <s v="KL Vanilla Sandwich 8-6 PK"/>
    <x v="69"/>
    <n v="6.0000000000000001E-3"/>
    <n v="108"/>
    <x v="12"/>
    <x v="41"/>
    <n v="0.96"/>
    <n v="11628.48"/>
    <n v="69.770880000000005"/>
    <n v="107.6711111111111"/>
    <s v="Jun"/>
    <x v="49"/>
    <m/>
    <m/>
  </r>
  <r>
    <n v="64875812"/>
    <x v="16"/>
    <n v="12113"/>
    <d v="2026-06-29T00:00:00"/>
    <s v="KL Vanilla Sandwich 8-6 PK"/>
    <x v="69"/>
    <n v="6.0000000000000001E-3"/>
    <n v="108"/>
    <x v="12"/>
    <x v="41"/>
    <n v="0.96"/>
    <n v="11628.48"/>
    <n v="69.770880000000005"/>
    <n v="107.6711111111111"/>
    <s v="Jun"/>
    <x v="14"/>
    <m/>
    <m/>
  </r>
  <r>
    <n v="64875812"/>
    <x v="16"/>
    <n v="12113"/>
    <d v="2026-07-06T00:00:00"/>
    <s v="KL Vanilla Sandwich 8-6 PK"/>
    <x v="69"/>
    <n v="6.0000000000000001E-3"/>
    <n v="108"/>
    <x v="12"/>
    <x v="41"/>
    <n v="0.96"/>
    <n v="11628.48"/>
    <n v="69.770880000000005"/>
    <n v="107.6711111111111"/>
    <s v="Jul"/>
    <x v="30"/>
    <m/>
    <m/>
  </r>
  <r>
    <n v="64875812"/>
    <x v="16"/>
    <n v="12113"/>
    <d v="2026-07-13T00:00:00"/>
    <s v="KL Vanilla Sandwich 8-6 PK"/>
    <x v="69"/>
    <n v="6.0000000000000001E-3"/>
    <n v="108"/>
    <x v="12"/>
    <x v="41"/>
    <n v="0.96"/>
    <n v="11628.48"/>
    <n v="69.770880000000005"/>
    <n v="107.6711111111111"/>
    <s v="Jul"/>
    <x v="48"/>
    <m/>
    <m/>
  </r>
  <r>
    <n v="64875812"/>
    <x v="16"/>
    <n v="12113"/>
    <d v="2026-07-20T00:00:00"/>
    <s v="KL Vanilla Sandwich 8-6 PK"/>
    <x v="69"/>
    <n v="6.0000000000000001E-3"/>
    <n v="108"/>
    <x v="12"/>
    <x v="41"/>
    <n v="0.96"/>
    <n v="11628.48"/>
    <n v="69.770880000000005"/>
    <n v="107.6711111111111"/>
    <s v="Jul"/>
    <x v="31"/>
    <m/>
    <m/>
  </r>
  <r>
    <n v="64875812"/>
    <x v="16"/>
    <n v="12113"/>
    <d v="2026-07-27T00:00:00"/>
    <s v="KL Vanilla Sandwich 8-6 PK"/>
    <x v="69"/>
    <n v="6.0000000000000001E-3"/>
    <n v="108"/>
    <x v="12"/>
    <x v="41"/>
    <n v="0.96"/>
    <n v="11628.48"/>
    <n v="69.770880000000005"/>
    <n v="107.6711111111111"/>
    <s v="Jul"/>
    <x v="15"/>
    <m/>
    <m/>
  </r>
  <r>
    <n v="64875812"/>
    <x v="16"/>
    <n v="12113"/>
    <d v="2026-08-03T00:00:00"/>
    <s v="KL Vanilla Sandwich 8-6 PK"/>
    <x v="69"/>
    <n v="6.0000000000000001E-3"/>
    <n v="108"/>
    <x v="12"/>
    <x v="41"/>
    <n v="0.96"/>
    <n v="11628.48"/>
    <n v="69.770880000000005"/>
    <n v="107.6711111111111"/>
    <s v="Aug"/>
    <x v="22"/>
    <m/>
    <m/>
  </r>
  <r>
    <n v="64875812"/>
    <x v="16"/>
    <n v="12113"/>
    <d v="2026-08-10T00:00:00"/>
    <s v="KL Vanilla Sandwich 8-6 PK"/>
    <x v="69"/>
    <n v="6.0000000000000001E-3"/>
    <n v="108"/>
    <x v="12"/>
    <x v="41"/>
    <n v="0.96"/>
    <n v="11628.48"/>
    <n v="69.770880000000005"/>
    <n v="107.6711111111111"/>
    <s v="Aug"/>
    <x v="34"/>
    <m/>
    <m/>
  </r>
  <r>
    <n v="64875812"/>
    <x v="16"/>
    <n v="12113"/>
    <d v="2026-08-17T00:00:00"/>
    <s v="KL Vanilla Sandwich 8-6 PK"/>
    <x v="69"/>
    <n v="6.0000000000000001E-3"/>
    <n v="108"/>
    <x v="12"/>
    <x v="41"/>
    <n v="0.96"/>
    <n v="11628.48"/>
    <n v="69.770880000000005"/>
    <n v="107.6711111111111"/>
    <s v="Aug"/>
    <x v="29"/>
    <m/>
    <m/>
  </r>
  <r>
    <n v="64875812"/>
    <x v="16"/>
    <n v="12113"/>
    <d v="2026-08-24T00:00:00"/>
    <s v="KL Vanilla Sandwich 8-6 PK"/>
    <x v="69"/>
    <n v="6.0000000000000001E-3"/>
    <n v="108"/>
    <x v="12"/>
    <x v="41"/>
    <n v="0.96"/>
    <n v="11628.48"/>
    <n v="69.770880000000005"/>
    <n v="107.6711111111111"/>
    <s v="Aug"/>
    <x v="35"/>
    <m/>
    <m/>
  </r>
  <r>
    <n v="64875812"/>
    <x v="16"/>
    <n v="12113"/>
    <d v="2026-08-31T00:00:00"/>
    <s v="KL Vanilla Sandwich 8-6 PK"/>
    <x v="69"/>
    <n v="6.0000000000000001E-3"/>
    <n v="108"/>
    <x v="12"/>
    <x v="41"/>
    <n v="0.96"/>
    <n v="11628.48"/>
    <n v="69.770880000000005"/>
    <n v="107.6711111111111"/>
    <s v="Aug"/>
    <x v="16"/>
    <m/>
    <m/>
  </r>
  <r>
    <n v="64875812"/>
    <x v="16"/>
    <n v="12113"/>
    <d v="2026-09-07T00:00:00"/>
    <s v="KL Vanilla Sandwich 8-6 PK"/>
    <x v="69"/>
    <n v="6.0000000000000001E-3"/>
    <n v="108"/>
    <x v="12"/>
    <x v="41"/>
    <n v="0.96"/>
    <n v="11628.48"/>
    <n v="69.770880000000005"/>
    <n v="107.6711111111111"/>
    <s v="Sep"/>
    <x v="32"/>
    <m/>
    <m/>
  </r>
  <r>
    <n v="64875812"/>
    <x v="16"/>
    <n v="12113"/>
    <d v="2026-09-14T00:00:00"/>
    <s v="KL Vanilla Sandwich 8-6 PK"/>
    <x v="69"/>
    <n v="6.0000000000000001E-3"/>
    <n v="108"/>
    <x v="12"/>
    <x v="41"/>
    <n v="0.96"/>
    <n v="11628.48"/>
    <n v="69.770880000000005"/>
    <n v="107.6711111111111"/>
    <s v="Sep"/>
    <x v="38"/>
    <m/>
    <m/>
  </r>
  <r>
    <n v="64875812"/>
    <x v="16"/>
    <n v="12113"/>
    <d v="2026-09-21T00:00:00"/>
    <s v="KL Vanilla Sandwich 8-6 PK"/>
    <x v="69"/>
    <n v="6.0000000000000001E-3"/>
    <n v="108"/>
    <x v="12"/>
    <x v="41"/>
    <n v="0.96"/>
    <n v="11628.48"/>
    <n v="69.770880000000005"/>
    <n v="107.6711111111111"/>
    <s v="Sep"/>
    <x v="45"/>
    <m/>
    <m/>
  </r>
  <r>
    <n v="64875812"/>
    <x v="16"/>
    <n v="12113"/>
    <d v="2026-09-28T00:00:00"/>
    <s v="KL Vanilla Sandwich 8-6 PK"/>
    <x v="69"/>
    <n v="6.0000000000000001E-3"/>
    <n v="108"/>
    <x v="12"/>
    <x v="41"/>
    <n v="0.96"/>
    <n v="11628.48"/>
    <n v="69.770880000000005"/>
    <n v="107.6711111111111"/>
    <s v="Sep"/>
    <x v="17"/>
    <m/>
    <m/>
  </r>
  <r>
    <n v="64875812"/>
    <x v="16"/>
    <n v="12113"/>
    <d v="2026-10-05T00:00:00"/>
    <s v="KL Vanilla Sandwich 8-6 PK"/>
    <x v="69"/>
    <n v="6.0000000000000001E-3"/>
    <n v="108"/>
    <x v="12"/>
    <x v="41"/>
    <n v="0.96"/>
    <n v="11628.48"/>
    <n v="69.770880000000005"/>
    <n v="107.6711111111111"/>
    <s v="Oct"/>
    <x v="50"/>
    <m/>
    <m/>
  </r>
  <r>
    <n v="64875812"/>
    <x v="16"/>
    <n v="12113"/>
    <d v="2026-10-12T00:00:00"/>
    <s v="KL Vanilla Sandwich 8-6 PK"/>
    <x v="69"/>
    <n v="6.0000000000000001E-3"/>
    <n v="108"/>
    <x v="12"/>
    <x v="41"/>
    <n v="0.96"/>
    <n v="11628.48"/>
    <n v="69.770880000000005"/>
    <n v="107.6711111111111"/>
    <s v="Oct"/>
    <x v="36"/>
    <m/>
    <m/>
  </r>
  <r>
    <n v="64960652"/>
    <x v="16"/>
    <n v="12300"/>
    <d v="2026-05-11T00:00:00"/>
    <s v="Yasso Cookies n Cream Sandwich 8-3pk"/>
    <x v="69"/>
    <n v="2.4880000000000002E-3"/>
    <n v="180"/>
    <x v="25"/>
    <x v="47"/>
    <n v="0.96"/>
    <n v="11808"/>
    <n v="29.378304000000004"/>
    <n v="65.599999999999994"/>
    <s v="May"/>
    <x v="26"/>
    <m/>
    <m/>
  </r>
  <r>
    <n v="64771676"/>
    <x v="7"/>
    <n v="12400"/>
    <d v="2026-08-31T00:00:00"/>
    <s v="PS SpongeBob Facepiece IH 6-6PK"/>
    <x v="70"/>
    <n v="2.16E-3"/>
    <n v="195"/>
    <x v="16"/>
    <x v="24"/>
    <n v="0.96"/>
    <n v="11904"/>
    <n v="25.71264"/>
    <n v="61.04615384615385"/>
    <s v="Aug"/>
    <x v="16"/>
    <m/>
    <m/>
  </r>
  <r>
    <n v="64771676"/>
    <x v="7"/>
    <n v="12400"/>
    <d v="2026-11-09T00:00:00"/>
    <s v="PS SpongeBob Facepiece IH 6-6PK"/>
    <x v="70"/>
    <n v="2.16E-3"/>
    <n v="195"/>
    <x v="16"/>
    <x v="24"/>
    <n v="0.96"/>
    <n v="11904"/>
    <n v="25.71264"/>
    <n v="61.04615384615385"/>
    <s v="Nov"/>
    <x v="37"/>
    <m/>
    <m/>
  </r>
  <r>
    <n v="64771677"/>
    <x v="7"/>
    <n v="12416"/>
    <d v="2026-07-13T00:00:00"/>
    <s v="PS Minions Facepiece IH 6-6PK"/>
    <x v="70"/>
    <n v="2.16E-3"/>
    <n v="195"/>
    <x v="16"/>
    <x v="24"/>
    <n v="0.96"/>
    <n v="11919.359999999999"/>
    <n v="25.745817599999999"/>
    <n v="61.124923076923068"/>
    <s v="Jul"/>
    <x v="48"/>
    <m/>
    <m/>
  </r>
  <r>
    <n v="64771677"/>
    <x v="7"/>
    <n v="12416"/>
    <d v="2026-08-03T00:00:00"/>
    <s v="PS Minions Facepiece IH 6-6PK"/>
    <x v="70"/>
    <n v="2.16E-3"/>
    <n v="195"/>
    <x v="16"/>
    <x v="24"/>
    <n v="0.96"/>
    <n v="11919.359999999999"/>
    <n v="25.745817599999999"/>
    <n v="61.124923076923068"/>
    <s v="Aug"/>
    <x v="22"/>
    <m/>
    <m/>
  </r>
  <r>
    <n v="64771677"/>
    <x v="7"/>
    <n v="12416"/>
    <d v="2026-12-21T00:00:00"/>
    <s v="PS Minions Facepiece IH 6-6PK"/>
    <x v="70"/>
    <n v="2.16E-3"/>
    <n v="195"/>
    <x v="16"/>
    <x v="24"/>
    <n v="0.96"/>
    <n v="11919.359999999999"/>
    <n v="25.745817599999999"/>
    <n v="61.124923076923068"/>
    <s v="Dec"/>
    <x v="51"/>
    <m/>
    <m/>
  </r>
  <r>
    <n v="64976847"/>
    <x v="12"/>
    <m/>
    <d v="2026-03-16T00:00:00"/>
    <s v="Yasso Vanilla Chocolate Crunch 8-4pk"/>
    <x v="69"/>
    <n v="2.5040000000000001E-3"/>
    <n v="165"/>
    <x v="4"/>
    <x v="33"/>
    <n v="0.96"/>
    <n v="0"/>
    <n v="0"/>
    <n v="0"/>
    <s v="Mar"/>
    <x v="9"/>
    <m/>
    <m/>
  </r>
  <r>
    <n v="64365613"/>
    <x v="7"/>
    <n v="12500"/>
    <d v="2026-09-07T00:00:00"/>
    <s v="PS Spiderman Facepiece 6-6PK"/>
    <x v="70"/>
    <n v="2.1540000000000001E-3"/>
    <n v="195"/>
    <x v="16"/>
    <x v="24"/>
    <n v="0.96"/>
    <n v="12000"/>
    <n v="25.848000000000003"/>
    <n v="61.53846153846154"/>
    <s v="Sep"/>
    <x v="32"/>
    <m/>
    <m/>
  </r>
  <r>
    <n v="64365613"/>
    <x v="7"/>
    <n v="12500"/>
    <d v="2026-10-12T00:00:00"/>
    <s v="PS Spiderman Facepiece 6-6PK"/>
    <x v="70"/>
    <n v="2.1540000000000001E-3"/>
    <n v="195"/>
    <x v="16"/>
    <x v="24"/>
    <n v="0.96"/>
    <n v="12000"/>
    <n v="25.848000000000003"/>
    <n v="61.53846153846154"/>
    <s v="Oct"/>
    <x v="36"/>
    <m/>
    <m/>
  </r>
  <r>
    <n v="69727314"/>
    <x v="0"/>
    <m/>
    <d v="2026-03-23T00:00:00"/>
    <s v="PS OCG SF 6-18PK"/>
    <x v="92"/>
    <n v="5.2680000000000001E-3"/>
    <n v="130"/>
    <x v="6"/>
    <x v="15"/>
    <n v="0.96"/>
    <n v="0"/>
    <n v="0"/>
    <n v="0"/>
    <s v="Mar"/>
    <x v="10"/>
    <m/>
    <m/>
  </r>
  <r>
    <n v="64341106"/>
    <x v="1"/>
    <m/>
    <d v="2026-03-23T00:00:00"/>
    <s v="PS Jolly Rancher Pop 6-18PK"/>
    <x v="93"/>
    <n v="5.2680000000000001E-3"/>
    <n v="130"/>
    <x v="6"/>
    <x v="7"/>
    <n v="0.96"/>
    <n v="0"/>
    <n v="0"/>
    <n v="0"/>
    <s v="Mar"/>
    <x v="10"/>
    <m/>
    <m/>
  </r>
  <r>
    <n v="69717803"/>
    <x v="1"/>
    <m/>
    <d v="2026-03-30T00:00:00"/>
    <s v="BR Carbsmart Almond Bar 8-6PK"/>
    <x v="63"/>
    <n v="4.2560000000000002E-3"/>
    <n v="143"/>
    <x v="5"/>
    <x v="6"/>
    <n v="0.96"/>
    <n v="0"/>
    <n v="0"/>
    <n v="0"/>
    <s v="Mar"/>
    <x v="20"/>
    <m/>
    <m/>
  </r>
  <r>
    <n v="64341108"/>
    <x v="7"/>
    <m/>
    <d v="2026-03-23T00:00:00"/>
    <s v="PS SpongeBob Facepiece 1-20PK"/>
    <x v="70"/>
    <n v="2.3599999999999997E-3"/>
    <n v="210"/>
    <x v="16"/>
    <x v="24"/>
    <n v="0.96"/>
    <n v="0"/>
    <n v="0"/>
    <n v="0"/>
    <s v="Mar"/>
    <x v="10"/>
    <m/>
    <m/>
  </r>
  <r>
    <n v="64341109"/>
    <x v="7"/>
    <n v="12600"/>
    <d v="2026-04-13T00:00:00"/>
    <s v="PS Spiderman Facepiece 1-20PK"/>
    <x v="70"/>
    <n v="2E-3"/>
    <n v="210"/>
    <x v="16"/>
    <x v="24"/>
    <n v="0.96"/>
    <n v="12096"/>
    <n v="24.192"/>
    <n v="57.6"/>
    <s v="Apr"/>
    <x v="25"/>
    <m/>
    <m/>
  </r>
  <r>
    <n v="65549173"/>
    <x v="7"/>
    <n v="12600"/>
    <d v="2026-04-13T00:00:00"/>
    <s v="PS Bluey Facepiece OOH 1-20PK"/>
    <x v="70"/>
    <n v="1.1999999999999999E-3"/>
    <n v="210"/>
    <x v="16"/>
    <x v="24"/>
    <n v="0.96"/>
    <n v="12096"/>
    <n v="14.515199999999998"/>
    <n v="57.6"/>
    <s v="Apr"/>
    <x v="25"/>
    <m/>
    <m/>
  </r>
  <r>
    <n v="69629468"/>
    <x v="0"/>
    <m/>
    <d v="2026-03-23T00:00:00"/>
    <s v="PS Fudgesicle NSA 6-18PK"/>
    <x v="94"/>
    <n v="5.2680000000000001E-3"/>
    <n v="130"/>
    <x v="6"/>
    <x v="15"/>
    <n v="0.96"/>
    <n v="0"/>
    <n v="0"/>
    <n v="0"/>
    <s v="Mar"/>
    <x v="10"/>
    <m/>
    <m/>
  </r>
  <r>
    <n v="69586720"/>
    <x v="19"/>
    <n v="12760"/>
    <d v="2026-04-13T00:00:00"/>
    <s v="KL Cones Cookies n Cream 6-4CT"/>
    <x v="70"/>
    <n v="2.6640000000000001E-3"/>
    <n v="220"/>
    <x v="22"/>
    <x v="48"/>
    <n v="0.96"/>
    <n v="12249.6"/>
    <n v="32.632934400000003"/>
    <n v="55.68"/>
    <s v="Apr"/>
    <x v="25"/>
    <m/>
    <m/>
  </r>
  <r>
    <n v="62678150"/>
    <x v="3"/>
    <n v="12960"/>
    <d v="2026-05-25T00:00:00"/>
    <s v="BJ US-NDO-AmericoneDream-8 1PT"/>
    <x v="72"/>
    <n v="3.7839999999999996E-3"/>
    <n v="240"/>
    <x v="3"/>
    <x v="13"/>
    <n v="0.95"/>
    <n v="12312"/>
    <n v="46.588607999999994"/>
    <n v="51.3"/>
    <s v="May"/>
    <x v="46"/>
    <m/>
    <m/>
  </r>
  <r>
    <n v="62697529"/>
    <x v="3"/>
    <n v="12960"/>
    <d v="2026-05-25T00:00:00"/>
    <s v="BJ US-NDO-COR-KaramelSutra-8 1PT"/>
    <x v="72"/>
    <n v="3.7839999999999996E-3"/>
    <n v="240"/>
    <x v="3"/>
    <x v="13"/>
    <n v="0.95"/>
    <n v="12312"/>
    <n v="46.588607999999994"/>
    <n v="51.3"/>
    <s v="May"/>
    <x v="46"/>
    <m/>
    <m/>
  </r>
  <r>
    <n v="68817793"/>
    <x v="0"/>
    <n v="13000"/>
    <d v="2026-04-13T00:00:00"/>
    <s v="BR Mint CHOC Chip 6 1.5QT"/>
    <x v="73"/>
    <n v="8.5199999999999998E-3"/>
    <n v="176"/>
    <x v="0"/>
    <x v="0"/>
    <n v="0.94"/>
    <n v="12220"/>
    <n v="104.1144"/>
    <n v="69.431818181818187"/>
    <s v="Apr"/>
    <x v="25"/>
    <m/>
    <m/>
  </r>
  <r>
    <n v="68817793"/>
    <x v="0"/>
    <n v="39000"/>
    <d v="2026-03-30T00:00:00"/>
    <s v="BR Mint CHOC Chip 6 1.5QT"/>
    <x v="73"/>
    <n v="8.5199999999999998E-3"/>
    <n v="176"/>
    <x v="0"/>
    <x v="0"/>
    <n v="0.94"/>
    <n v="36660"/>
    <n v="312.34319999999997"/>
    <n v="208.29545454545453"/>
    <s v="Mar"/>
    <x v="20"/>
    <m/>
    <m/>
  </r>
  <r>
    <n v="68881270"/>
    <x v="0"/>
    <n v="13000"/>
    <d v="2026-04-27T00:00:00"/>
    <s v="BR Cookies and Cream 6 1.5QT"/>
    <x v="73"/>
    <n v="8.5199999999999998E-3"/>
    <n v="176"/>
    <x v="0"/>
    <x v="0"/>
    <n v="0.94"/>
    <n v="12220"/>
    <n v="104.1144"/>
    <n v="69.431818181818187"/>
    <s v="Apr"/>
    <x v="21"/>
    <m/>
    <m/>
  </r>
  <r>
    <n v="68930545"/>
    <x v="0"/>
    <n v="13000"/>
    <d v="2026-04-13T00:00:00"/>
    <s v="BR CS VAN CHOC Straw 6 1.5QT"/>
    <x v="73"/>
    <n v="8.5199999999999998E-3"/>
    <n v="176"/>
    <x v="0"/>
    <x v="0"/>
    <n v="0.94"/>
    <n v="12220"/>
    <n v="104.1144"/>
    <n v="69.431818181818187"/>
    <s v="Apr"/>
    <x v="25"/>
    <m/>
    <m/>
  </r>
  <r>
    <n v="64776958"/>
    <x v="5"/>
    <n v="13000"/>
    <d v="2026-06-01T00:00:00"/>
    <s v="PS OCG 6-18PK"/>
    <x v="70"/>
    <n v="5.2680000000000001E-3"/>
    <n v="130"/>
    <x v="6"/>
    <x v="22"/>
    <n v="0.96"/>
    <n v="12480"/>
    <n v="65.744640000000004"/>
    <n v="96"/>
    <s v="Jun"/>
    <x v="13"/>
    <m/>
    <m/>
  </r>
  <r>
    <n v="68850684"/>
    <x v="0"/>
    <n v="13200"/>
    <d v="2026-04-13T00:00:00"/>
    <s v="BR French Vanilla 6-1.5QT"/>
    <x v="78"/>
    <n v="8.5199999999999998E-3"/>
    <n v="176"/>
    <x v="0"/>
    <x v="0"/>
    <n v="0.94"/>
    <n v="12408"/>
    <n v="105.71616"/>
    <n v="70.5"/>
    <s v="Apr"/>
    <x v="25"/>
    <m/>
    <m/>
  </r>
  <r>
    <n v="69568829"/>
    <x v="0"/>
    <n v="13200"/>
    <d v="2026-04-06T00:00:00"/>
    <s v="BR CS CHOC 6 1.5QT"/>
    <x v="82"/>
    <n v="8.5199999999999998E-3"/>
    <n v="176"/>
    <x v="0"/>
    <x v="0"/>
    <n v="0.94"/>
    <n v="12408"/>
    <n v="105.71616"/>
    <n v="70.5"/>
    <s v="Apr"/>
    <x v="23"/>
    <m/>
    <m/>
  </r>
  <r>
    <n v="64369045"/>
    <x v="1"/>
    <n v="13200"/>
    <d v="2026-05-11T00:00:00"/>
    <s v="TAL ND LYR Blueberry Crumble 8 320.3g"/>
    <x v="87"/>
    <n v="3.552E-3"/>
    <n v="255"/>
    <x v="2"/>
    <x v="3"/>
    <n v="0.96"/>
    <n v="12672"/>
    <n v="45.010944000000002"/>
    <n v="49.694117647058825"/>
    <s v="May"/>
    <x v="26"/>
    <m/>
    <m/>
  </r>
  <r>
    <n v="68860045"/>
    <x v="1"/>
    <n v="13200"/>
    <d v="2026-05-11T00:00:00"/>
    <s v="Talenti Key Lime Pie 8 1PT"/>
    <x v="87"/>
    <n v="3.7839999999999996E-3"/>
    <n v="255"/>
    <x v="2"/>
    <x v="3"/>
    <n v="0.96"/>
    <n v="12672"/>
    <n v="47.950847999999993"/>
    <n v="49.694117647058825"/>
    <s v="May"/>
    <x v="26"/>
    <m/>
    <m/>
  </r>
  <r>
    <n v="68860045"/>
    <x v="1"/>
    <n v="13200"/>
    <d v="2026-05-18T00:00:00"/>
    <s v="Talenti Key Lime Pie 8 1PT"/>
    <x v="87"/>
    <n v="3.7839999999999996E-3"/>
    <n v="255"/>
    <x v="2"/>
    <x v="3"/>
    <n v="0.96"/>
    <n v="12672"/>
    <n v="47.950847999999993"/>
    <n v="49.694117647058825"/>
    <s v="May"/>
    <x v="39"/>
    <m/>
    <m/>
  </r>
  <r>
    <n v="68860585"/>
    <x v="1"/>
    <n v="13200"/>
    <d v="2026-04-27T00:00:00"/>
    <s v="Talenti Raspberry Cheesecake 8 1PT"/>
    <x v="87"/>
    <n v="3.7839999999999996E-3"/>
    <n v="255"/>
    <x v="2"/>
    <x v="3"/>
    <n v="0.96"/>
    <n v="12672"/>
    <n v="47.950847999999993"/>
    <n v="49.694117647058825"/>
    <s v="Apr"/>
    <x v="21"/>
    <m/>
    <m/>
  </r>
  <r>
    <n v="68867755"/>
    <x v="1"/>
    <n v="13200"/>
    <d v="2026-03-23T00:00:00"/>
    <s v="Talenti LY Salted CAR Truffle 8 323.1g"/>
    <x v="87"/>
    <n v="3.552E-3"/>
    <n v="255"/>
    <x v="2"/>
    <x v="3"/>
    <n v="0.96"/>
    <n v="12672"/>
    <n v="45.010944000000002"/>
    <n v="49.694117647058825"/>
    <s v="Mar"/>
    <x v="10"/>
    <m/>
    <m/>
  </r>
  <r>
    <n v="68867755"/>
    <x v="1"/>
    <n v="13200"/>
    <d v="2026-04-20T00:00:00"/>
    <s v="Talenti LY Salted CAR Truffle 8 323.1g"/>
    <x v="87"/>
    <n v="3.552E-3"/>
    <n v="255"/>
    <x v="2"/>
    <x v="3"/>
    <n v="0.96"/>
    <n v="12672"/>
    <n v="45.010944000000002"/>
    <n v="49.694117647058825"/>
    <s v="Apr"/>
    <x v="40"/>
    <m/>
    <m/>
  </r>
  <r>
    <n v="68842352"/>
    <x v="19"/>
    <n v="13200"/>
    <d v="2026-07-13T00:00:00"/>
    <s v="KL Cones Classic Vanilla 6-4CT"/>
    <x v="70"/>
    <n v="2.6640000000000001E-3"/>
    <n v="220"/>
    <x v="22"/>
    <x v="48"/>
    <n v="0.96"/>
    <n v="12672"/>
    <n v="33.758208000000003"/>
    <n v="57.6"/>
    <s v="Jul"/>
    <x v="48"/>
    <m/>
    <m/>
  </r>
  <r>
    <n v="69586720"/>
    <x v="19"/>
    <n v="13200"/>
    <d v="2026-06-22T00:00:00"/>
    <s v="KL Cones Cookies n Cream 6-4CT"/>
    <x v="70"/>
    <n v="2.6640000000000001E-3"/>
    <n v="220"/>
    <x v="22"/>
    <x v="48"/>
    <n v="0.96"/>
    <n v="12672"/>
    <n v="33.758208000000003"/>
    <n v="57.6"/>
    <s v="Jun"/>
    <x v="49"/>
    <m/>
    <m/>
  </r>
  <r>
    <n v="69586720"/>
    <x v="19"/>
    <n v="13200"/>
    <d v="2026-06-29T00:00:00"/>
    <s v="KL Cones Cookies n Cream 6-4CT"/>
    <x v="70"/>
    <n v="2.6640000000000001E-3"/>
    <n v="220"/>
    <x v="22"/>
    <x v="48"/>
    <n v="0.96"/>
    <n v="12672"/>
    <n v="33.758208000000003"/>
    <n v="57.6"/>
    <s v="Jun"/>
    <x v="14"/>
    <m/>
    <m/>
  </r>
  <r>
    <n v="64978550"/>
    <x v="8"/>
    <n v="13240"/>
    <d v="2026-04-20T00:00:00"/>
    <s v="GH Almond Joy Candy Bar 8-6PK"/>
    <x v="69"/>
    <n v="2.8399999999999996E-3"/>
    <n v="130"/>
    <x v="17"/>
    <x v="25"/>
    <n v="0.96"/>
    <n v="12710.4"/>
    <n v="36.097535999999991"/>
    <n v="97.772307692307692"/>
    <s v="Apr"/>
    <x v="40"/>
    <m/>
    <m/>
  </r>
  <r>
    <n v="64776952"/>
    <x v="0"/>
    <m/>
    <d v="2026-03-23T00:00:00"/>
    <s v="PS Firecracker 6-18PK"/>
    <x v="95"/>
    <n v="5.0940000000000004E-3"/>
    <n v="130"/>
    <x v="6"/>
    <x v="15"/>
    <n v="0.96"/>
    <n v="0"/>
    <n v="0"/>
    <n v="0"/>
    <s v="Mar"/>
    <x v="10"/>
    <m/>
    <m/>
  </r>
  <r>
    <n v="64956417"/>
    <x v="7"/>
    <n v="13300"/>
    <d v="2026-06-08T00:00:00"/>
    <s v="PS Hello Kitty Facepiece IH 6-6PK"/>
    <x v="70"/>
    <n v="2.16E-3"/>
    <n v="143"/>
    <x v="16"/>
    <x v="24"/>
    <n v="0.96"/>
    <n v="12768"/>
    <n v="27.578880000000002"/>
    <n v="89.286713286713294"/>
    <s v="Jun"/>
    <x v="47"/>
    <m/>
    <m/>
  </r>
  <r>
    <n v="64956417"/>
    <x v="7"/>
    <n v="13312"/>
    <d v="2026-08-03T00:00:00"/>
    <s v="PS Hello Kitty Facepiece IH 6-6PK"/>
    <x v="70"/>
    <n v="2.16E-3"/>
    <n v="143"/>
    <x v="16"/>
    <x v="24"/>
    <n v="0.96"/>
    <n v="12779.52"/>
    <n v="27.603763200000003"/>
    <n v="89.367272727272734"/>
    <s v="Aug"/>
    <x v="22"/>
    <m/>
    <m/>
  </r>
  <r>
    <n v="68940226"/>
    <x v="3"/>
    <n v="13440"/>
    <d v="2026-05-18T00:00:00"/>
    <s v="BJ US-IC-MoussePie-8 1PT"/>
    <x v="77"/>
    <n v="3.7839999999999996E-3"/>
    <n v="240"/>
    <x v="3"/>
    <x v="13"/>
    <n v="0.95"/>
    <n v="12768"/>
    <n v="48.314111999999994"/>
    <n v="53.2"/>
    <s v="May"/>
    <x v="39"/>
    <m/>
    <m/>
  </r>
  <r>
    <n v="69629468"/>
    <x v="1"/>
    <n v="13500"/>
    <d v="2026-04-06T00:00:00"/>
    <s v="PS Fudgesicle NSA 6-18PK"/>
    <x v="68"/>
    <n v="5.2680000000000001E-3"/>
    <n v="130"/>
    <x v="6"/>
    <x v="7"/>
    <n v="0.96"/>
    <n v="12960"/>
    <n v="68.27328"/>
    <n v="99.692307692307693"/>
    <s v="Apr"/>
    <x v="23"/>
    <m/>
    <m/>
  </r>
  <r>
    <n v="69629468"/>
    <x v="1"/>
    <n v="13500"/>
    <d v="2026-04-27T00:00:00"/>
    <s v="PS Fudgesicle NSA 6-18PK"/>
    <x v="68"/>
    <n v="5.2680000000000001E-3"/>
    <n v="130"/>
    <x v="6"/>
    <x v="7"/>
    <n v="0.96"/>
    <n v="12960"/>
    <n v="68.27328"/>
    <n v="99.692307692307693"/>
    <s v="Apr"/>
    <x v="21"/>
    <m/>
    <m/>
  </r>
  <r>
    <n v="69629468"/>
    <x v="1"/>
    <n v="13500"/>
    <d v="2026-05-04T00:00:00"/>
    <s v="PS Fudgesicle NSA 6-18PK"/>
    <x v="68"/>
    <n v="5.2680000000000001E-3"/>
    <n v="130"/>
    <x v="6"/>
    <x v="7"/>
    <n v="0.96"/>
    <n v="12960"/>
    <n v="68.27328"/>
    <n v="99.692307692307693"/>
    <s v="May"/>
    <x v="24"/>
    <m/>
    <m/>
  </r>
  <r>
    <n v="69629468"/>
    <x v="1"/>
    <n v="13500"/>
    <d v="2026-05-11T00:00:00"/>
    <s v="PS Fudgesicle NSA 6-18PK"/>
    <x v="68"/>
    <n v="5.2680000000000001E-3"/>
    <n v="130"/>
    <x v="6"/>
    <x v="7"/>
    <n v="0.96"/>
    <n v="12960"/>
    <n v="68.27328"/>
    <n v="99.692307692307693"/>
    <s v="May"/>
    <x v="26"/>
    <m/>
    <m/>
  </r>
  <r>
    <n v="69629468"/>
    <x v="1"/>
    <n v="13500"/>
    <d v="2026-05-18T00:00:00"/>
    <s v="PS Fudgesicle NSA 6-18PK"/>
    <x v="68"/>
    <n v="5.2680000000000001E-3"/>
    <n v="130"/>
    <x v="6"/>
    <x v="7"/>
    <n v="0.96"/>
    <n v="12960"/>
    <n v="68.27328"/>
    <n v="99.692307692307693"/>
    <s v="May"/>
    <x v="39"/>
    <m/>
    <m/>
  </r>
  <r>
    <n v="69629468"/>
    <x v="1"/>
    <n v="13500"/>
    <d v="2026-05-25T00:00:00"/>
    <s v="PS Fudgesicle NSA 6-18PK"/>
    <x v="68"/>
    <n v="5.2680000000000001E-3"/>
    <n v="130"/>
    <x v="6"/>
    <x v="7"/>
    <n v="0.96"/>
    <n v="12960"/>
    <n v="68.27328"/>
    <n v="99.692307692307693"/>
    <s v="May"/>
    <x v="46"/>
    <m/>
    <m/>
  </r>
  <r>
    <n v="67916890"/>
    <x v="3"/>
    <n v="13600"/>
    <d v="2026-05-18T00:00:00"/>
    <s v="BJ SORV-COR-DoceDeleite-8 458ML"/>
    <x v="72"/>
    <n v="3.6640000000000002E-3"/>
    <n v="240"/>
    <x v="10"/>
    <x v="18"/>
    <n v="0.96"/>
    <n v="13056"/>
    <n v="47.837184000000001"/>
    <n v="54.4"/>
    <s v="May"/>
    <x v="39"/>
    <m/>
    <m/>
  </r>
  <r>
    <n v="64977494"/>
    <x v="8"/>
    <n v="13800"/>
    <d v="2026-04-06T00:00:00"/>
    <s v="GH Reeses Candy Bar 8-6PK"/>
    <x v="69"/>
    <n v="2.8399999999999996E-3"/>
    <n v="130"/>
    <x v="17"/>
    <x v="25"/>
    <n v="0.96"/>
    <n v="13248"/>
    <n v="37.624319999999997"/>
    <n v="101.9076923076923"/>
    <s v="Apr"/>
    <x v="23"/>
    <m/>
    <m/>
  </r>
  <r>
    <n v="64977494"/>
    <x v="8"/>
    <n v="13800"/>
    <d v="2026-06-22T00:00:00"/>
    <s v="GH Reeses Candy Bar 8-6PK"/>
    <x v="69"/>
    <n v="2.8399999999999996E-3"/>
    <n v="130"/>
    <x v="17"/>
    <x v="25"/>
    <n v="0.96"/>
    <n v="13248"/>
    <n v="37.624319999999997"/>
    <n v="101.9076923076923"/>
    <s v="Jun"/>
    <x v="49"/>
    <m/>
    <m/>
  </r>
  <r>
    <n v="64977494"/>
    <x v="8"/>
    <n v="13800"/>
    <d v="2026-07-13T00:00:00"/>
    <s v="GH Reeses Candy Bar 8-6PK"/>
    <x v="69"/>
    <n v="2.8399999999999996E-3"/>
    <n v="130"/>
    <x v="17"/>
    <x v="25"/>
    <n v="0.96"/>
    <n v="13248"/>
    <n v="37.624319999999997"/>
    <n v="101.9076923076923"/>
    <s v="Jul"/>
    <x v="48"/>
    <m/>
    <m/>
  </r>
  <r>
    <n v="64977494"/>
    <x v="8"/>
    <n v="13800"/>
    <d v="2026-07-20T00:00:00"/>
    <s v="GH Reeses Candy Bar 8-6PK"/>
    <x v="69"/>
    <n v="2.8399999999999996E-3"/>
    <n v="130"/>
    <x v="17"/>
    <x v="25"/>
    <n v="0.96"/>
    <n v="13248"/>
    <n v="37.624319999999997"/>
    <n v="101.9076923076923"/>
    <s v="Jul"/>
    <x v="31"/>
    <m/>
    <m/>
  </r>
  <r>
    <n v="64977494"/>
    <x v="8"/>
    <n v="13800"/>
    <d v="2026-07-27T00:00:00"/>
    <s v="GH Reeses Candy Bar 8-6PK"/>
    <x v="69"/>
    <n v="2.8399999999999996E-3"/>
    <n v="130"/>
    <x v="17"/>
    <x v="25"/>
    <n v="0.96"/>
    <n v="13248"/>
    <n v="37.624319999999997"/>
    <n v="101.9076923076923"/>
    <s v="Jul"/>
    <x v="15"/>
    <m/>
    <m/>
  </r>
  <r>
    <n v="64977494"/>
    <x v="8"/>
    <n v="13800"/>
    <d v="2026-08-03T00:00:00"/>
    <s v="GH Reeses Candy Bar 8-6PK"/>
    <x v="69"/>
    <n v="2.8399999999999996E-3"/>
    <n v="130"/>
    <x v="17"/>
    <x v="25"/>
    <n v="0.96"/>
    <n v="13248"/>
    <n v="37.624319999999997"/>
    <n v="101.9076923076923"/>
    <s v="Aug"/>
    <x v="22"/>
    <m/>
    <m/>
  </r>
  <r>
    <n v="64977494"/>
    <x v="8"/>
    <n v="13800"/>
    <d v="2026-08-24T00:00:00"/>
    <s v="GH Reeses Candy Bar 8-6PK"/>
    <x v="69"/>
    <n v="2.8399999999999996E-3"/>
    <n v="130"/>
    <x v="17"/>
    <x v="25"/>
    <n v="0.96"/>
    <n v="13248"/>
    <n v="37.624319999999997"/>
    <n v="101.9076923076923"/>
    <s v="Aug"/>
    <x v="35"/>
    <m/>
    <m/>
  </r>
  <r>
    <n v="64977494"/>
    <x v="8"/>
    <n v="13800"/>
    <d v="2026-09-21T00:00:00"/>
    <s v="GH Reeses Candy Bar 8-6PK"/>
    <x v="69"/>
    <n v="2.8399999999999996E-3"/>
    <n v="130"/>
    <x v="17"/>
    <x v="25"/>
    <n v="0.96"/>
    <n v="13248"/>
    <n v="37.624319999999997"/>
    <n v="101.9076923076923"/>
    <s v="Sep"/>
    <x v="45"/>
    <m/>
    <m/>
  </r>
  <r>
    <n v="64977494"/>
    <x v="8"/>
    <n v="13800"/>
    <d v="2026-10-26T00:00:00"/>
    <s v="GH Reeses Candy Bar 8-6PK"/>
    <x v="69"/>
    <n v="2.8399999999999996E-3"/>
    <n v="130"/>
    <x v="17"/>
    <x v="25"/>
    <n v="0.96"/>
    <n v="13248"/>
    <n v="37.624319999999997"/>
    <n v="101.9076923076923"/>
    <s v="Oct"/>
    <x v="33"/>
    <m/>
    <m/>
  </r>
  <r>
    <n v="64977494"/>
    <x v="8"/>
    <n v="13800"/>
    <d v="2026-11-30T00:00:00"/>
    <s v="GH Reeses Candy Bar 8-6PK"/>
    <x v="69"/>
    <n v="2.8399999999999996E-3"/>
    <n v="130"/>
    <x v="17"/>
    <x v="25"/>
    <n v="0.96"/>
    <n v="13248"/>
    <n v="37.624319999999997"/>
    <n v="101.9076923076923"/>
    <s v="Nov"/>
    <x v="19"/>
    <m/>
    <m/>
  </r>
  <r>
    <n v="64978550"/>
    <x v="8"/>
    <n v="13800"/>
    <d v="2026-05-04T00:00:00"/>
    <s v="GH Almond Joy Candy Bar 8-6PK"/>
    <x v="69"/>
    <n v="2.8399999999999996E-3"/>
    <n v="130"/>
    <x v="17"/>
    <x v="25"/>
    <n v="0.96"/>
    <n v="13248"/>
    <n v="37.624319999999997"/>
    <n v="101.9076923076923"/>
    <s v="May"/>
    <x v="24"/>
    <m/>
    <m/>
  </r>
  <r>
    <n v="64958862"/>
    <x v="5"/>
    <n v="13800"/>
    <d v="2026-05-18T00:00:00"/>
    <s v="PS SF Cherry IH 6-12pk"/>
    <x v="70"/>
    <n v="3.516E-3"/>
    <n v="170"/>
    <x v="17"/>
    <x v="50"/>
    <n v="0.96"/>
    <n v="13248"/>
    <n v="46.579968000000001"/>
    <n v="77.929411764705875"/>
    <s v="May"/>
    <x v="39"/>
    <m/>
    <m/>
  </r>
  <r>
    <n v="64380012"/>
    <x v="4"/>
    <n v="13920"/>
    <d v="2026-04-06T00:00:00"/>
    <s v="KL Giant Original Bar 1-24PK"/>
    <x v="81"/>
    <n v="3.9119999999999997E-3"/>
    <n v="276"/>
    <x v="26"/>
    <x v="49"/>
    <n v="0.96"/>
    <n v="13363.199999999999"/>
    <n v="52.276838399999988"/>
    <n v="48.417391304347824"/>
    <s v="Apr"/>
    <x v="23"/>
    <m/>
    <m/>
  </r>
  <r>
    <n v="69665113"/>
    <x v="6"/>
    <n v="14000"/>
    <d v="2026-03-30T00:00:00"/>
    <s v="BJ US-CD-CCCD-FTNG-8 8z"/>
    <x v="70"/>
    <n v="1.8160000000000001E-3"/>
    <n v="256"/>
    <x v="15"/>
    <x v="23"/>
    <n v="0.96"/>
    <n v="13440"/>
    <n v="24.407040000000002"/>
    <n v="52.5"/>
    <s v="Mar"/>
    <x v="20"/>
    <m/>
    <m/>
  </r>
  <r>
    <n v="69665113"/>
    <x v="6"/>
    <n v="14000"/>
    <d v="2026-04-06T00:00:00"/>
    <s v="BJ US-CD-CCCD-FTNG-8 8z"/>
    <x v="70"/>
    <n v="1.8160000000000001E-3"/>
    <n v="256"/>
    <x v="15"/>
    <x v="23"/>
    <n v="0.96"/>
    <n v="13440"/>
    <n v="24.407040000000002"/>
    <n v="52.5"/>
    <s v="Apr"/>
    <x v="23"/>
    <m/>
    <m/>
  </r>
  <r>
    <n v="69665113"/>
    <x v="6"/>
    <n v="14000"/>
    <d v="2026-04-13T00:00:00"/>
    <s v="BJ US-CD-CCCD-FTNG-8 8z"/>
    <x v="70"/>
    <n v="1.8160000000000001E-3"/>
    <n v="256"/>
    <x v="15"/>
    <x v="23"/>
    <n v="0.96"/>
    <n v="13440"/>
    <n v="24.407040000000002"/>
    <n v="52.5"/>
    <s v="Apr"/>
    <x v="25"/>
    <m/>
    <m/>
  </r>
  <r>
    <n v="64771677"/>
    <x v="7"/>
    <m/>
    <d v="2026-03-30T00:00:00"/>
    <s v="PS Minions Facepiece IH 6-6PK"/>
    <x v="70"/>
    <n v="2.16E-3"/>
    <n v="195"/>
    <x v="16"/>
    <x v="24"/>
    <n v="0.96"/>
    <n v="0"/>
    <n v="0"/>
    <n v="0"/>
    <s v="Mar"/>
    <x v="20"/>
    <m/>
    <m/>
  </r>
  <r>
    <n v="64958126"/>
    <x v="10"/>
    <m/>
    <d v="2026-03-16T00:00:00"/>
    <s v="Yasso Black Raspberry Chip 8-4pk"/>
    <x v="69"/>
    <n v="3.3119999999999998E-3"/>
    <n v="165"/>
    <x v="4"/>
    <x v="30"/>
    <n v="0.96"/>
    <n v="0"/>
    <n v="0"/>
    <n v="0"/>
    <s v="Mar"/>
    <x v="9"/>
    <m/>
    <m/>
  </r>
  <r>
    <n v="64875812"/>
    <x v="8"/>
    <n v="14335"/>
    <d v="2026-04-20T00:00:00"/>
    <s v="KL Vanilla Sandwich 8-6 PK"/>
    <x v="69"/>
    <n v="6.0000000000000001E-3"/>
    <n v="108"/>
    <x v="12"/>
    <x v="27"/>
    <n v="0.96"/>
    <n v="13761.6"/>
    <n v="82.569600000000008"/>
    <n v="127.42222222222223"/>
    <s v="Apr"/>
    <x v="40"/>
    <m/>
    <m/>
  </r>
  <r>
    <n v="69964646"/>
    <x v="19"/>
    <n v="14400"/>
    <d v="2026-07-13T00:00:00"/>
    <s v="KL Cone Vanilla Caramel OOH 1-24ct"/>
    <x v="70"/>
    <n v="2.8799999999999997E-3"/>
    <n v="180"/>
    <x v="22"/>
    <x v="48"/>
    <n v="0.96"/>
    <n v="13824"/>
    <n v="39.813119999999998"/>
    <n v="76.8"/>
    <s v="Jul"/>
    <x v="48"/>
    <m/>
    <m/>
  </r>
  <r>
    <n v="67881628"/>
    <x v="3"/>
    <n v="26880"/>
    <d v="2026-03-30T00:00:00"/>
    <s v="BJ US-IC- CrmlChcChsck- 8 1PT"/>
    <x v="77"/>
    <n v="3.7853439999999999E-3"/>
    <n v="240"/>
    <x v="3"/>
    <x v="13"/>
    <n v="0.95"/>
    <n v="25536"/>
    <n v="96.662544384"/>
    <n v="106.4"/>
    <s v="Mar"/>
    <x v="20"/>
    <m/>
    <m/>
  </r>
  <r>
    <n v="65489677"/>
    <x v="12"/>
    <n v="14585"/>
    <d v="2026-04-27T00:00:00"/>
    <s v="GH King Cone Giant VAN CHOC 1-12PK"/>
    <x v="69"/>
    <n v="2.8319999999999999E-3"/>
    <n v="221"/>
    <x v="17"/>
    <x v="34"/>
    <n v="0.96"/>
    <n v="14001.6"/>
    <n v="39.652531199999999"/>
    <n v="63.355656108597287"/>
    <s v="Apr"/>
    <x v="21"/>
    <m/>
    <m/>
  </r>
  <r>
    <n v="65489677"/>
    <x v="12"/>
    <n v="14585"/>
    <d v="2026-05-25T00:00:00"/>
    <s v="GH King Cone Giant VAN CHOC 1-12PK"/>
    <x v="69"/>
    <n v="2.8319999999999999E-3"/>
    <n v="221"/>
    <x v="17"/>
    <x v="34"/>
    <n v="0.96"/>
    <n v="14001.6"/>
    <n v="39.652531199999999"/>
    <n v="63.355656108597287"/>
    <s v="May"/>
    <x v="46"/>
    <m/>
    <m/>
  </r>
  <r>
    <n v="64786654"/>
    <x v="0"/>
    <n v="14647"/>
    <d v="2026-03-23T00:00:00"/>
    <s v="GH Cookies and Creme Bar 8-6PK"/>
    <x v="96"/>
    <n v="3.8959999999999997E-3"/>
    <n v="154"/>
    <x v="7"/>
    <x v="8"/>
    <n v="0.96"/>
    <n v="14061.119999999999"/>
    <n v="54.782123519999992"/>
    <n v="91.305974025974024"/>
    <s v="Mar"/>
    <x v="10"/>
    <m/>
    <m/>
  </r>
  <r>
    <n v="69629468"/>
    <x v="1"/>
    <m/>
    <d v="2026-03-30T00:00:00"/>
    <s v="PS Fudgesicle NSA 6-18PK"/>
    <x v="68"/>
    <n v="5.2680000000000001E-3"/>
    <n v="130"/>
    <x v="6"/>
    <x v="7"/>
    <n v="0.96"/>
    <n v="0"/>
    <n v="0"/>
    <n v="0"/>
    <s v="Mar"/>
    <x v="20"/>
    <m/>
    <m/>
  </r>
  <r>
    <n v="69629468"/>
    <x v="1"/>
    <n v="14700"/>
    <d v="2026-04-13T00:00:00"/>
    <s v="PS Fudgesicle NSA 6-18PK"/>
    <x v="68"/>
    <n v="5.2680000000000001E-3"/>
    <n v="130"/>
    <x v="6"/>
    <x v="7"/>
    <n v="0.96"/>
    <n v="14112"/>
    <n v="74.342016000000001"/>
    <n v="108.55384615384615"/>
    <s v="Apr"/>
    <x v="25"/>
    <m/>
    <m/>
  </r>
  <r>
    <n v="69629468"/>
    <x v="1"/>
    <n v="14700"/>
    <d v="2026-04-20T00:00:00"/>
    <s v="PS Fudgesicle NSA 6-18PK"/>
    <x v="68"/>
    <n v="5.2680000000000001E-3"/>
    <n v="130"/>
    <x v="6"/>
    <x v="7"/>
    <n v="0.96"/>
    <n v="14112"/>
    <n v="74.342016000000001"/>
    <n v="108.55384615384615"/>
    <s v="Apr"/>
    <x v="40"/>
    <m/>
    <m/>
  </r>
  <r>
    <n v="64875812"/>
    <x v="8"/>
    <n v="14720"/>
    <d v="2026-04-06T00:00:00"/>
    <s v="KL Vanilla Sandwich 8-6 PK"/>
    <x v="69"/>
    <n v="6.0000000000000001E-3"/>
    <n v="108"/>
    <x v="12"/>
    <x v="27"/>
    <n v="0.96"/>
    <n v="14131.199999999999"/>
    <n v="84.787199999999999"/>
    <n v="130.84444444444443"/>
    <s v="Apr"/>
    <x v="23"/>
    <m/>
    <m/>
  </r>
  <r>
    <n v="65489676"/>
    <x v="12"/>
    <n v="15000"/>
    <d v="2026-08-17T00:00:00"/>
    <s v="GH King Cone GINT Cookies and CRM 1-12PK"/>
    <x v="69"/>
    <n v="2.8319999999999999E-3"/>
    <n v="221"/>
    <x v="17"/>
    <x v="34"/>
    <n v="0.96"/>
    <n v="14400"/>
    <n v="40.780799999999999"/>
    <n v="65.158371040723978"/>
    <s v="Aug"/>
    <x v="29"/>
    <m/>
    <m/>
  </r>
  <r>
    <n v="65489676"/>
    <x v="12"/>
    <n v="15000"/>
    <d v="2026-09-14T00:00:00"/>
    <s v="GH King Cone GINT Cookies and CRM 1-12PK"/>
    <x v="69"/>
    <n v="2.8319999999999999E-3"/>
    <n v="221"/>
    <x v="17"/>
    <x v="34"/>
    <n v="0.96"/>
    <n v="14400"/>
    <n v="40.780799999999999"/>
    <n v="65.158371040723978"/>
    <s v="Sep"/>
    <x v="38"/>
    <m/>
    <m/>
  </r>
  <r>
    <n v="65489676"/>
    <x v="12"/>
    <n v="15000"/>
    <d v="2026-10-12T00:00:00"/>
    <s v="GH King Cone GINT Cookies and CRM 1-12PK"/>
    <x v="69"/>
    <n v="2.8319999999999999E-3"/>
    <n v="221"/>
    <x v="17"/>
    <x v="34"/>
    <n v="0.96"/>
    <n v="14400"/>
    <n v="40.780799999999999"/>
    <n v="65.158371040723978"/>
    <s v="Oct"/>
    <x v="36"/>
    <m/>
    <m/>
  </r>
  <r>
    <n v="65489676"/>
    <x v="12"/>
    <n v="15000"/>
    <d v="2026-11-16T00:00:00"/>
    <s v="GH King Cone GINT Cookies and CRM 1-12PK"/>
    <x v="69"/>
    <n v="2.8319999999999999E-3"/>
    <n v="221"/>
    <x v="17"/>
    <x v="34"/>
    <n v="0.96"/>
    <n v="14400"/>
    <n v="40.780799999999999"/>
    <n v="65.158371040723978"/>
    <s v="Nov"/>
    <x v="42"/>
    <m/>
    <m/>
  </r>
  <r>
    <n v="64997059"/>
    <x v="13"/>
    <n v="15000"/>
    <d v="2026-03-30T00:00:00"/>
    <s v="BJ US-IC-Mixed 12PK"/>
    <x v="69"/>
    <n v="5.6760000000000005E-3"/>
    <n v="96"/>
    <x v="17"/>
    <x v="35"/>
    <n v="0.96"/>
    <n v="14400"/>
    <n v="81.734400000000008"/>
    <n v="150"/>
    <s v="Mar"/>
    <x v="20"/>
    <m/>
    <m/>
  </r>
  <r>
    <n v="64997059"/>
    <x v="13"/>
    <n v="15000"/>
    <d v="2026-04-06T00:00:00"/>
    <s v="BJ US-IC-Mixed 12PK"/>
    <x v="69"/>
    <n v="5.6760000000000005E-3"/>
    <n v="96"/>
    <x v="17"/>
    <x v="35"/>
    <n v="0.96"/>
    <n v="14400"/>
    <n v="81.734400000000008"/>
    <n v="150"/>
    <s v="Apr"/>
    <x v="23"/>
    <m/>
    <m/>
  </r>
  <r>
    <n v="65472837"/>
    <x v="13"/>
    <n v="15000"/>
    <d v="2026-04-13T00:00:00"/>
    <s v="PS Twister Club 1-15pk"/>
    <x v="69"/>
    <n v="1.0400000000000001E-3"/>
    <n v="275"/>
    <x v="17"/>
    <x v="35"/>
    <n v="0.96"/>
    <n v="14400"/>
    <n v="14.976000000000003"/>
    <n v="52.363636363636367"/>
    <s v="Apr"/>
    <x v="25"/>
    <m/>
    <m/>
  </r>
  <r>
    <n v="65472837"/>
    <x v="13"/>
    <n v="15000"/>
    <d v="2026-04-20T00:00:00"/>
    <s v="PS Twister Club 1-15pk"/>
    <x v="69"/>
    <n v="1.0400000000000001E-3"/>
    <n v="275"/>
    <x v="17"/>
    <x v="35"/>
    <n v="0.96"/>
    <n v="14400"/>
    <n v="14.976000000000003"/>
    <n v="52.363636363636367"/>
    <s v="Apr"/>
    <x v="40"/>
    <m/>
    <m/>
  </r>
  <r>
    <n v="65472837"/>
    <x v="13"/>
    <n v="15000"/>
    <d v="2026-06-22T00:00:00"/>
    <s v="PS Twister Club 1-15pk"/>
    <x v="69"/>
    <n v="1.0400000000000001E-3"/>
    <n v="275"/>
    <x v="17"/>
    <x v="35"/>
    <n v="0.96"/>
    <n v="14400"/>
    <n v="14.976000000000003"/>
    <n v="52.363636363636367"/>
    <s v="Jun"/>
    <x v="49"/>
    <m/>
    <m/>
  </r>
  <r>
    <n v="65472837"/>
    <x v="13"/>
    <n v="15000"/>
    <d v="2026-06-29T00:00:00"/>
    <s v="PS Twister Club 1-15pk"/>
    <x v="69"/>
    <n v="1.0400000000000001E-3"/>
    <n v="275"/>
    <x v="17"/>
    <x v="35"/>
    <n v="0.96"/>
    <n v="14400"/>
    <n v="14.976000000000003"/>
    <n v="52.363636363636367"/>
    <s v="Jun"/>
    <x v="14"/>
    <m/>
    <m/>
  </r>
  <r>
    <n v="65472837"/>
    <x v="13"/>
    <n v="15000"/>
    <d v="2026-07-06T00:00:00"/>
    <s v="PS Twister Club 1-15pk"/>
    <x v="69"/>
    <n v="1.0400000000000001E-3"/>
    <n v="275"/>
    <x v="17"/>
    <x v="35"/>
    <n v="0.96"/>
    <n v="14400"/>
    <n v="14.976000000000003"/>
    <n v="52.363636363636367"/>
    <s v="Jul"/>
    <x v="30"/>
    <m/>
    <m/>
  </r>
  <r>
    <n v="65472837"/>
    <x v="13"/>
    <n v="15000"/>
    <d v="2026-07-13T00:00:00"/>
    <s v="PS Twister Club 1-15pk"/>
    <x v="69"/>
    <n v="1.0400000000000001E-3"/>
    <n v="275"/>
    <x v="17"/>
    <x v="35"/>
    <n v="0.96"/>
    <n v="14400"/>
    <n v="14.976000000000003"/>
    <n v="52.363636363636367"/>
    <s v="Jul"/>
    <x v="48"/>
    <m/>
    <m/>
  </r>
  <r>
    <n v="65472837"/>
    <x v="13"/>
    <n v="15000"/>
    <d v="2026-07-20T00:00:00"/>
    <s v="PS Twister Club 1-15pk"/>
    <x v="69"/>
    <n v="1.0400000000000001E-3"/>
    <n v="275"/>
    <x v="17"/>
    <x v="35"/>
    <n v="0.96"/>
    <n v="14400"/>
    <n v="14.976000000000003"/>
    <n v="52.363636363636367"/>
    <s v="Jul"/>
    <x v="31"/>
    <m/>
    <m/>
  </r>
  <r>
    <n v="84150062"/>
    <x v="2"/>
    <m/>
    <d v="2026-05-04T00:00:00"/>
    <s v="BJ AMET-IC-ChocFudgeBrwn-FTNG-8 458ML"/>
    <x v="84"/>
    <n v="3.7839999999999996E-3"/>
    <n v="240"/>
    <x v="10"/>
    <x v="16"/>
    <n v="0.96"/>
    <n v="0"/>
    <n v="0"/>
    <n v="0"/>
    <s v="May"/>
    <x v="24"/>
    <m/>
    <m/>
  </r>
  <r>
    <n v="84154487"/>
    <x v="2"/>
    <m/>
    <d v="2026-05-18T00:00:00"/>
    <s v="BJ R01-IC-HalfBaked-FTNG-8 458ML"/>
    <x v="84"/>
    <n v="3.7839999999999996E-3"/>
    <n v="240"/>
    <x v="3"/>
    <x v="4"/>
    <n v="0.95"/>
    <n v="0"/>
    <n v="0"/>
    <n v="0"/>
    <s v="May"/>
    <x v="39"/>
    <m/>
    <m/>
  </r>
  <r>
    <n v="64875812"/>
    <x v="8"/>
    <n v="15040"/>
    <d v="2026-05-04T00:00:00"/>
    <s v="KL Vanilla Sandwich 8-6 PK"/>
    <x v="69"/>
    <n v="6.0000000000000001E-3"/>
    <n v="108"/>
    <x v="12"/>
    <x v="27"/>
    <n v="0.96"/>
    <n v="14438.4"/>
    <n v="86.630399999999995"/>
    <n v="133.6888888888889"/>
    <s v="May"/>
    <x v="24"/>
    <m/>
    <m/>
  </r>
  <r>
    <n v="64875812"/>
    <x v="8"/>
    <n v="15040"/>
    <d v="2026-06-22T00:00:00"/>
    <s v="KL Vanilla Sandwich 8-6 PK"/>
    <x v="69"/>
    <n v="6.0000000000000001E-3"/>
    <n v="108"/>
    <x v="12"/>
    <x v="27"/>
    <n v="0.96"/>
    <n v="14438.4"/>
    <n v="86.630399999999995"/>
    <n v="133.6888888888889"/>
    <s v="Jun"/>
    <x v="49"/>
    <m/>
    <m/>
  </r>
  <r>
    <n v="64875812"/>
    <x v="8"/>
    <n v="15040"/>
    <d v="2026-07-13T00:00:00"/>
    <s v="KL Vanilla Sandwich 8-6 PK"/>
    <x v="69"/>
    <n v="6.0000000000000001E-3"/>
    <n v="108"/>
    <x v="12"/>
    <x v="27"/>
    <n v="0.96"/>
    <n v="14438.4"/>
    <n v="86.630399999999995"/>
    <n v="133.6888888888889"/>
    <s v="Jul"/>
    <x v="48"/>
    <m/>
    <m/>
  </r>
  <r>
    <n v="64875812"/>
    <x v="8"/>
    <n v="15040"/>
    <d v="2026-07-27T00:00:00"/>
    <s v="KL Vanilla Sandwich 8-6 PK"/>
    <x v="69"/>
    <n v="6.0000000000000001E-3"/>
    <n v="108"/>
    <x v="12"/>
    <x v="27"/>
    <n v="0.96"/>
    <n v="14438.4"/>
    <n v="86.630399999999995"/>
    <n v="133.6888888888889"/>
    <s v="Jul"/>
    <x v="15"/>
    <m/>
    <m/>
  </r>
  <r>
    <n v="64875812"/>
    <x v="8"/>
    <n v="15040"/>
    <d v="2026-08-17T00:00:00"/>
    <s v="KL Vanilla Sandwich 8-6 PK"/>
    <x v="69"/>
    <n v="6.0000000000000001E-3"/>
    <n v="108"/>
    <x v="12"/>
    <x v="27"/>
    <n v="0.96"/>
    <n v="14438.4"/>
    <n v="86.630399999999995"/>
    <n v="133.6888888888889"/>
    <s v="Aug"/>
    <x v="29"/>
    <m/>
    <m/>
  </r>
  <r>
    <n v="64875812"/>
    <x v="8"/>
    <n v="15040"/>
    <d v="2026-09-07T00:00:00"/>
    <s v="KL Vanilla Sandwich 8-6 PK"/>
    <x v="69"/>
    <n v="6.0000000000000001E-3"/>
    <n v="108"/>
    <x v="12"/>
    <x v="27"/>
    <n v="0.96"/>
    <n v="14438.4"/>
    <n v="86.630399999999995"/>
    <n v="133.6888888888889"/>
    <s v="Sep"/>
    <x v="32"/>
    <m/>
    <m/>
  </r>
  <r>
    <n v="64875812"/>
    <x v="8"/>
    <n v="15040"/>
    <d v="2026-10-12T00:00:00"/>
    <s v="KL Vanilla Sandwich 8-6 PK"/>
    <x v="69"/>
    <n v="6.0000000000000001E-3"/>
    <n v="108"/>
    <x v="12"/>
    <x v="27"/>
    <n v="0.96"/>
    <n v="14438.4"/>
    <n v="86.630399999999995"/>
    <n v="133.6888888888889"/>
    <s v="Oct"/>
    <x v="36"/>
    <m/>
    <m/>
  </r>
  <r>
    <n v="64875812"/>
    <x v="8"/>
    <n v="15040"/>
    <d v="2026-10-26T00:00:00"/>
    <s v="KL Vanilla Sandwich 8-6 PK"/>
    <x v="69"/>
    <n v="6.0000000000000001E-3"/>
    <n v="108"/>
    <x v="12"/>
    <x v="27"/>
    <n v="0.96"/>
    <n v="14438.4"/>
    <n v="86.630399999999995"/>
    <n v="133.6888888888889"/>
    <s v="Oct"/>
    <x v="33"/>
    <m/>
    <m/>
  </r>
  <r>
    <n v="64875812"/>
    <x v="8"/>
    <n v="15040"/>
    <d v="2026-11-02T00:00:00"/>
    <s v="KL Vanilla Sandwich 8-6 PK"/>
    <x v="69"/>
    <n v="6.0000000000000001E-3"/>
    <n v="108"/>
    <x v="12"/>
    <x v="27"/>
    <n v="0.96"/>
    <n v="14438.4"/>
    <n v="86.630399999999995"/>
    <n v="133.6888888888889"/>
    <s v="Nov"/>
    <x v="18"/>
    <m/>
    <m/>
  </r>
  <r>
    <n v="64875812"/>
    <x v="8"/>
    <n v="15040"/>
    <d v="2026-11-09T00:00:00"/>
    <s v="KL Vanilla Sandwich 8-6 PK"/>
    <x v="69"/>
    <n v="6.0000000000000001E-3"/>
    <n v="108"/>
    <x v="12"/>
    <x v="27"/>
    <n v="0.96"/>
    <n v="14438.4"/>
    <n v="86.630399999999995"/>
    <n v="133.6888888888889"/>
    <s v="Nov"/>
    <x v="37"/>
    <m/>
    <m/>
  </r>
  <r>
    <n v="64875812"/>
    <x v="8"/>
    <n v="15040"/>
    <d v="2026-11-23T00:00:00"/>
    <s v="KL Vanilla Sandwich 8-6 PK"/>
    <x v="69"/>
    <n v="6.0000000000000001E-3"/>
    <n v="108"/>
    <x v="12"/>
    <x v="27"/>
    <n v="0.96"/>
    <n v="14438.4"/>
    <n v="86.630399999999995"/>
    <n v="133.6888888888889"/>
    <s v="Nov"/>
    <x v="43"/>
    <m/>
    <m/>
  </r>
  <r>
    <n v="64875812"/>
    <x v="8"/>
    <n v="15040"/>
    <d v="2026-11-30T00:00:00"/>
    <s v="KL Vanilla Sandwich 8-6 PK"/>
    <x v="69"/>
    <n v="6.0000000000000001E-3"/>
    <n v="108"/>
    <x v="12"/>
    <x v="27"/>
    <n v="0.96"/>
    <n v="14438.4"/>
    <n v="86.630399999999995"/>
    <n v="133.6888888888889"/>
    <s v="Nov"/>
    <x v="19"/>
    <m/>
    <m/>
  </r>
  <r>
    <n v="64875812"/>
    <x v="8"/>
    <n v="15040"/>
    <d v="2026-12-14T00:00:00"/>
    <s v="KL Vanilla Sandwich 8-6 PK"/>
    <x v="69"/>
    <n v="6.0000000000000001E-3"/>
    <n v="108"/>
    <x v="12"/>
    <x v="27"/>
    <n v="0.96"/>
    <n v="14438.4"/>
    <n v="86.630399999999995"/>
    <n v="133.6888888888889"/>
    <s v="Dec"/>
    <x v="27"/>
    <m/>
    <m/>
  </r>
  <r>
    <n v="64875812"/>
    <x v="8"/>
    <n v="15040"/>
    <d v="2026-12-21T00:00:00"/>
    <s v="KL Vanilla Sandwich 8-6 PK"/>
    <x v="69"/>
    <n v="6.0000000000000001E-3"/>
    <n v="108"/>
    <x v="12"/>
    <x v="27"/>
    <n v="0.96"/>
    <n v="14438.4"/>
    <n v="86.630399999999995"/>
    <n v="133.6888888888889"/>
    <s v="Dec"/>
    <x v="51"/>
    <m/>
    <m/>
  </r>
  <r>
    <n v="68741742"/>
    <x v="0"/>
    <n v="15200"/>
    <d v="2026-05-25T00:00:00"/>
    <s v="GH Strawberry Shortcake Bar 8-6PK"/>
    <x v="97"/>
    <n v="4.2560000000000002E-3"/>
    <n v="154"/>
    <x v="7"/>
    <x v="8"/>
    <n v="0.96"/>
    <n v="14592"/>
    <n v="62.103552000000001"/>
    <n v="94.753246753246756"/>
    <s v="May"/>
    <x v="46"/>
    <m/>
    <m/>
  </r>
  <r>
    <n v="65489677"/>
    <x v="12"/>
    <n v="15247"/>
    <d v="2026-03-30T00:00:00"/>
    <s v="GH King Cone Giant VAN CHOC 1-12PK"/>
    <x v="69"/>
    <n v="2.8319999999999999E-3"/>
    <n v="221"/>
    <x v="17"/>
    <x v="34"/>
    <n v="0.96"/>
    <n v="14637.119999999999"/>
    <n v="41.452323839999998"/>
    <n v="66.231312217194571"/>
    <s v="Mar"/>
    <x v="20"/>
    <m/>
    <m/>
  </r>
  <r>
    <n v="64958862"/>
    <x v="5"/>
    <n v="15300"/>
    <d v="2026-06-15T00:00:00"/>
    <s v="PS SF Cherry IH 6-12pk"/>
    <x v="70"/>
    <n v="3.516E-3"/>
    <n v="170"/>
    <x v="17"/>
    <x v="50"/>
    <n v="0.96"/>
    <n v="14688"/>
    <n v="51.643008000000002"/>
    <n v="86.4"/>
    <s v="Jun"/>
    <x v="28"/>
    <m/>
    <m/>
  </r>
  <r>
    <n v="64976851"/>
    <x v="1"/>
    <m/>
    <d v="2026-03-30T00:00:00"/>
    <s v="Yasso Caramel Chocolate Crunch 8-4pk"/>
    <x v="65"/>
    <n v="2.5040000000000001E-3"/>
    <n v="165"/>
    <x v="4"/>
    <x v="5"/>
    <n v="0.96"/>
    <n v="0"/>
    <n v="0"/>
    <n v="0"/>
    <s v="Mar"/>
    <x v="20"/>
    <m/>
    <m/>
  </r>
  <r>
    <n v="65242606"/>
    <x v="1"/>
    <n v="15600"/>
    <d v="2026-04-27T00:00:00"/>
    <s v="Talenti Caramel Cookie Crunch 8p 473ml"/>
    <x v="98"/>
    <n v="3.7839999999999996E-3"/>
    <n v="240"/>
    <x v="2"/>
    <x v="3"/>
    <n v="0.96"/>
    <n v="14976"/>
    <n v="56.669183999999994"/>
    <n v="62.4"/>
    <s v="Apr"/>
    <x v="21"/>
    <m/>
    <m/>
  </r>
  <r>
    <n v="64776958"/>
    <x v="5"/>
    <n v="15600"/>
    <d v="2026-04-13T00:00:00"/>
    <s v="PS OCG 6-18PK"/>
    <x v="70"/>
    <n v="5.2680000000000001E-3"/>
    <n v="130"/>
    <x v="6"/>
    <x v="22"/>
    <n v="0.96"/>
    <n v="14976"/>
    <n v="78.893568000000002"/>
    <n v="115.2"/>
    <s v="Apr"/>
    <x v="25"/>
    <m/>
    <m/>
  </r>
  <r>
    <n v="64776958"/>
    <x v="5"/>
    <n v="15600"/>
    <d v="2026-04-20T00:00:00"/>
    <s v="PS OCG 6-18PK"/>
    <x v="70"/>
    <n v="5.2680000000000001E-3"/>
    <n v="130"/>
    <x v="6"/>
    <x v="22"/>
    <n v="0.96"/>
    <n v="14976"/>
    <n v="78.893568000000002"/>
    <n v="115.2"/>
    <s v="Apr"/>
    <x v="40"/>
    <m/>
    <m/>
  </r>
  <r>
    <n v="65549173"/>
    <x v="7"/>
    <n v="15756"/>
    <d v="2026-07-13T00:00:00"/>
    <s v="PS Bluey Facepiece OOH 1-20PK"/>
    <x v="70"/>
    <n v="1.1999999999999999E-3"/>
    <n v="210"/>
    <x v="16"/>
    <x v="24"/>
    <n v="0.96"/>
    <n v="15125.76"/>
    <n v="18.150911999999998"/>
    <n v="72.027428571428572"/>
    <s v="Jul"/>
    <x v="48"/>
    <m/>
    <m/>
  </r>
  <r>
    <n v="64955558"/>
    <x v="10"/>
    <m/>
    <d v="2026-03-23T00:00:00"/>
    <s v="Yasso Creamy Mango 8-4pk"/>
    <x v="69"/>
    <n v="3.3119999999999998E-3"/>
    <n v="165"/>
    <x v="4"/>
    <x v="30"/>
    <n v="0.96"/>
    <n v="0"/>
    <n v="0"/>
    <n v="0"/>
    <s v="Mar"/>
    <x v="10"/>
    <m/>
    <m/>
  </r>
  <r>
    <n v="68851108"/>
    <x v="1"/>
    <n v="16200"/>
    <d v="2026-03-30T00:00:00"/>
    <s v="BR VAN CHOC STRAW 6-1.5QT"/>
    <x v="80"/>
    <n v="8.5199999999999998E-3"/>
    <n v="176"/>
    <x v="0"/>
    <x v="1"/>
    <n v="0.94"/>
    <n v="15228"/>
    <n v="129.74256"/>
    <n v="86.522727272727266"/>
    <s v="Mar"/>
    <x v="20"/>
    <m/>
    <m/>
  </r>
  <r>
    <n v="65254774"/>
    <x v="18"/>
    <n v="16200"/>
    <d v="2026-08-10T00:00:00"/>
    <s v="Yasso Choc Chip VAN CRML Cups 1-12ct"/>
    <x v="69"/>
    <n v="1E-3"/>
    <n v="420"/>
    <x v="17"/>
    <x v="46"/>
    <n v="0.96"/>
    <n v="15552"/>
    <n v="15.552"/>
    <n v="37.028571428571432"/>
    <s v="Aug"/>
    <x v="34"/>
    <m/>
    <m/>
  </r>
  <r>
    <n v="65254774"/>
    <x v="18"/>
    <n v="16200"/>
    <d v="2026-08-24T00:00:00"/>
    <s v="Yasso Choc Chip VAN CRML Cups 1-12ct"/>
    <x v="69"/>
    <n v="1E-3"/>
    <n v="420"/>
    <x v="17"/>
    <x v="46"/>
    <n v="0.96"/>
    <n v="15552"/>
    <n v="15.552"/>
    <n v="37.028571428571432"/>
    <s v="Aug"/>
    <x v="35"/>
    <m/>
    <m/>
  </r>
  <r>
    <n v="64771676"/>
    <x v="7"/>
    <n v="16224"/>
    <d v="2026-10-05T00:00:00"/>
    <s v="PS SpongeBob Facepiece IH 6-6PK"/>
    <x v="70"/>
    <n v="2.16E-3"/>
    <n v="195"/>
    <x v="16"/>
    <x v="24"/>
    <n v="0.96"/>
    <n v="15575.039999999999"/>
    <n v="33.642086399999997"/>
    <n v="79.872"/>
    <s v="Oct"/>
    <x v="50"/>
    <m/>
    <m/>
  </r>
  <r>
    <n v="64403170"/>
    <x v="19"/>
    <n v="16224"/>
    <d v="2026-05-04T00:00:00"/>
    <s v="PS Transformers Facepiece IH 6-6PK"/>
    <x v="70"/>
    <n v="2.16E-3"/>
    <n v="195"/>
    <x v="16"/>
    <x v="57"/>
    <n v="0.96"/>
    <n v="15575.039999999999"/>
    <n v="33.642086399999997"/>
    <n v="79.872"/>
    <s v="May"/>
    <x v="24"/>
    <m/>
    <m/>
  </r>
  <r>
    <n v="64403170"/>
    <x v="19"/>
    <n v="16224"/>
    <d v="2026-07-06T00:00:00"/>
    <s v="PS Transformers Facepiece IH 6-6PK"/>
    <x v="70"/>
    <n v="2.16E-3"/>
    <n v="195"/>
    <x v="16"/>
    <x v="57"/>
    <n v="0.96"/>
    <n v="15575.039999999999"/>
    <n v="33.642086399999997"/>
    <n v="79.872"/>
    <s v="Jul"/>
    <x v="30"/>
    <m/>
    <m/>
  </r>
  <r>
    <n v="64403170"/>
    <x v="19"/>
    <n v="16224"/>
    <d v="2026-07-13T00:00:00"/>
    <s v="PS Transformers Facepiece IH 6-6PK"/>
    <x v="70"/>
    <n v="2.16E-3"/>
    <n v="195"/>
    <x v="16"/>
    <x v="57"/>
    <n v="0.96"/>
    <n v="15575.039999999999"/>
    <n v="33.642086399999997"/>
    <n v="79.872"/>
    <s v="Jul"/>
    <x v="48"/>
    <m/>
    <m/>
  </r>
  <r>
    <n v="64403170"/>
    <x v="19"/>
    <n v="16224"/>
    <d v="2026-10-05T00:00:00"/>
    <s v="PS Transformers Facepiece IH 6-6PK"/>
    <x v="70"/>
    <n v="2.16E-3"/>
    <n v="195"/>
    <x v="16"/>
    <x v="57"/>
    <n v="0.96"/>
    <n v="15575.039999999999"/>
    <n v="33.642086399999997"/>
    <n v="79.872"/>
    <s v="Oct"/>
    <x v="50"/>
    <m/>
    <m/>
  </r>
  <r>
    <n v="64403170"/>
    <x v="19"/>
    <n v="16224"/>
    <d v="2026-10-12T00:00:00"/>
    <s v="PS Transformers Facepiece IH 6-6PK"/>
    <x v="70"/>
    <n v="2.16E-3"/>
    <n v="195"/>
    <x v="16"/>
    <x v="57"/>
    <n v="0.96"/>
    <n v="15575.039999999999"/>
    <n v="33.642086399999997"/>
    <n v="79.872"/>
    <s v="Oct"/>
    <x v="36"/>
    <m/>
    <m/>
  </r>
  <r>
    <n v="69986509"/>
    <x v="3"/>
    <n v="16240"/>
    <d v="2026-04-20T00:00:00"/>
    <s v="BJ US-NDO-PB Cookie-8 1PT"/>
    <x v="72"/>
    <n v="3.7839999999999996E-3"/>
    <n v="240"/>
    <x v="3"/>
    <x v="13"/>
    <n v="0.95"/>
    <n v="15428"/>
    <n v="58.379551999999997"/>
    <n v="64.283333333333331"/>
    <s v="Apr"/>
    <x v="40"/>
    <m/>
    <m/>
  </r>
  <r>
    <n v="64392287"/>
    <x v="8"/>
    <n v="16320"/>
    <d v="2026-05-25T00:00:00"/>
    <s v="KL Reeses SW OOH 1-24ct"/>
    <x v="69"/>
    <n v="2.8319999999999999E-3"/>
    <n v="132"/>
    <x v="12"/>
    <x v="27"/>
    <n v="0.96"/>
    <n v="15667.199999999999"/>
    <n v="44.369510399999996"/>
    <n v="118.69090909090909"/>
    <s v="May"/>
    <x v="46"/>
    <m/>
    <m/>
  </r>
  <r>
    <n v="64979444"/>
    <x v="7"/>
    <n v="16342"/>
    <d v="2026-05-11T00:00:00"/>
    <s v="PS Bluey Facepiece IH 6-6PK"/>
    <x v="70"/>
    <n v="2.16E-3"/>
    <n v="195"/>
    <x v="16"/>
    <x v="24"/>
    <n v="0.96"/>
    <n v="15688.32"/>
    <n v="33.886771199999998"/>
    <n v="80.452923076923071"/>
    <s v="May"/>
    <x v="26"/>
    <m/>
    <m/>
  </r>
  <r>
    <n v="64979444"/>
    <x v="7"/>
    <n v="16342"/>
    <d v="2026-08-10T00:00:00"/>
    <s v="PS Bluey Facepiece IH 6-6PK"/>
    <x v="70"/>
    <n v="2.16E-3"/>
    <n v="195"/>
    <x v="16"/>
    <x v="24"/>
    <n v="0.96"/>
    <n v="15688.32"/>
    <n v="33.886771199999998"/>
    <n v="80.452923076923071"/>
    <s v="Aug"/>
    <x v="34"/>
    <m/>
    <m/>
  </r>
  <r>
    <n v="68852591"/>
    <x v="1"/>
    <n v="16500"/>
    <d v="2026-03-30T00:00:00"/>
    <s v="KL Heath Bar 12-6PK"/>
    <x v="71"/>
    <n v="8.5199999999999998E-3"/>
    <n v="132"/>
    <x v="1"/>
    <x v="11"/>
    <n v="0.96"/>
    <n v="15840"/>
    <n v="134.95679999999999"/>
    <n v="120"/>
    <s v="Mar"/>
    <x v="20"/>
    <m/>
    <m/>
  </r>
  <r>
    <n v="68852591"/>
    <x v="1"/>
    <m/>
    <d v="2026-03-30T00:00:00"/>
    <s v="KL Heath Bar 12-6PK"/>
    <x v="71"/>
    <n v="8.5199999999999998E-3"/>
    <n v="132"/>
    <x v="1"/>
    <x v="11"/>
    <n v="0.96"/>
    <n v="0"/>
    <n v="0"/>
    <n v="0"/>
    <s v="Mar"/>
    <x v="20"/>
    <m/>
    <m/>
  </r>
  <r>
    <n v="84154487"/>
    <x v="2"/>
    <n v="16500"/>
    <d v="2026-04-20T00:00:00"/>
    <s v="BJ R01-IC-HalfBaked-FTNG-8 458ML"/>
    <x v="84"/>
    <n v="3.7839999999999996E-3"/>
    <n v="240"/>
    <x v="3"/>
    <x v="4"/>
    <n v="0.95"/>
    <n v="15675"/>
    <n v="59.314199999999992"/>
    <n v="65.3125"/>
    <s v="Apr"/>
    <x v="40"/>
    <m/>
    <m/>
  </r>
  <r>
    <n v="65489676"/>
    <x v="12"/>
    <n v="16668"/>
    <d v="2026-04-27T00:00:00"/>
    <s v="GH King Cone GINT Cookies and CRM 1-12PK"/>
    <x v="69"/>
    <n v="2.8319999999999999E-3"/>
    <n v="221"/>
    <x v="17"/>
    <x v="34"/>
    <n v="0.96"/>
    <n v="16001.279999999999"/>
    <n v="45.315624959999994"/>
    <n v="72.403981900452479"/>
    <s v="Apr"/>
    <x v="21"/>
    <m/>
    <m/>
  </r>
  <r>
    <n v="64874631"/>
    <x v="4"/>
    <n v="16692"/>
    <d v="2026-04-20T00:00:00"/>
    <s v="KL Cookies and Creme IC SW 6-4PK"/>
    <x v="81"/>
    <n v="2.8380000000000002E-3"/>
    <n v="189"/>
    <x v="12"/>
    <x v="19"/>
    <n v="0.96"/>
    <n v="16024.32"/>
    <n v="45.477020160000002"/>
    <n v="84.784761904761908"/>
    <s v="Apr"/>
    <x v="40"/>
    <m/>
    <m/>
  </r>
  <r>
    <n v="62678153"/>
    <x v="3"/>
    <n v="16800"/>
    <d v="2026-05-25T00:00:00"/>
    <s v="BJ US-NDO-TonightDough-8 1PT"/>
    <x v="77"/>
    <n v="3.7839999999999996E-3"/>
    <n v="240"/>
    <x v="3"/>
    <x v="13"/>
    <n v="0.95"/>
    <n v="15960"/>
    <n v="60.392639999999993"/>
    <n v="66.5"/>
    <s v="May"/>
    <x v="46"/>
    <m/>
    <m/>
  </r>
  <r>
    <n v="84149990"/>
    <x v="3"/>
    <n v="16800"/>
    <d v="2026-05-04T00:00:00"/>
    <s v="BJ AMET-IC-ChocChpCkDgh-FTNG-8 458ML"/>
    <x v="86"/>
    <n v="3.6640000000000002E-3"/>
    <n v="240"/>
    <x v="10"/>
    <x v="18"/>
    <n v="0.96"/>
    <n v="16128"/>
    <n v="59.092992000000002"/>
    <n v="67.2"/>
    <s v="May"/>
    <x v="24"/>
    <m/>
    <m/>
  </r>
  <r>
    <n v="67473912"/>
    <x v="3"/>
    <n v="16800"/>
    <d v="2026-04-27T00:00:00"/>
    <s v="BJ AMET-IC-PhishFood-FTNG-8 458ML"/>
    <x v="77"/>
    <n v="3.6640000000000002E-3"/>
    <n v="240"/>
    <x v="10"/>
    <x v="18"/>
    <n v="0.96"/>
    <n v="16128"/>
    <n v="59.092992000000002"/>
    <n v="67.2"/>
    <s v="Apr"/>
    <x v="21"/>
    <m/>
    <m/>
  </r>
  <r>
    <n v="68896054"/>
    <x v="0"/>
    <n v="16920"/>
    <d v="2026-04-06T00:00:00"/>
    <s v="BR Chocolate Chip Cookie Dough 6 1.5QT"/>
    <x v="74"/>
    <n v="8.5199999999999998E-3"/>
    <n v="176"/>
    <x v="0"/>
    <x v="0"/>
    <n v="0.94"/>
    <n v="15904.8"/>
    <n v="135.50889599999999"/>
    <n v="90.36818181818181"/>
    <s v="Apr"/>
    <x v="23"/>
    <m/>
    <m/>
  </r>
  <r>
    <n v="65549173"/>
    <x v="7"/>
    <n v="17000"/>
    <d v="2026-04-20T00:00:00"/>
    <s v="PS Bluey Facepiece OOH 1-20PK"/>
    <x v="70"/>
    <n v="1.1999999999999999E-3"/>
    <n v="210"/>
    <x v="16"/>
    <x v="24"/>
    <n v="0.96"/>
    <n v="16320"/>
    <n v="19.584"/>
    <n v="77.714285714285708"/>
    <s v="Apr"/>
    <x v="40"/>
    <m/>
    <m/>
  </r>
  <r>
    <n v="65549173"/>
    <x v="7"/>
    <n v="17000"/>
    <d v="2026-04-27T00:00:00"/>
    <s v="PS Bluey Facepiece OOH 1-20PK"/>
    <x v="70"/>
    <n v="1.1999999999999999E-3"/>
    <n v="210"/>
    <x v="16"/>
    <x v="24"/>
    <n v="0.96"/>
    <n v="16320"/>
    <n v="19.584"/>
    <n v="77.714285714285708"/>
    <s v="Apr"/>
    <x v="21"/>
    <m/>
    <m/>
  </r>
  <r>
    <n v="64956417"/>
    <x v="7"/>
    <n v="17160"/>
    <d v="2026-04-13T00:00:00"/>
    <s v="PS Hello Kitty Facepiece IH 6-6PK"/>
    <x v="70"/>
    <n v="2.16E-3"/>
    <n v="143"/>
    <x v="16"/>
    <x v="24"/>
    <n v="0.96"/>
    <n v="16473.599999999999"/>
    <n v="35.582975999999995"/>
    <n v="115.19999999999999"/>
    <s v="Apr"/>
    <x v="25"/>
    <m/>
    <m/>
  </r>
  <r>
    <n v="64988054"/>
    <x v="11"/>
    <n v="17183"/>
    <d v="2026-03-30T00:00:00"/>
    <s v="BJ US-Bar-Caramel Blondie 8-4pk"/>
    <x v="69"/>
    <n v="2.3999999999999998E-3"/>
    <n v="165"/>
    <x v="24"/>
    <x v="45"/>
    <n v="0.96"/>
    <n v="16495.68"/>
    <n v="39.589631999999995"/>
    <n v="99.973818181818189"/>
    <s v="Mar"/>
    <x v="20"/>
    <m/>
    <m/>
  </r>
  <r>
    <n v="64973976"/>
    <x v="8"/>
    <n v="17280"/>
    <d v="2026-08-24T00:00:00"/>
    <s v="BR Reeses Mini Cups 1-12PK"/>
    <x v="69"/>
    <n v="1.0644000000000001E-3"/>
    <n v="190"/>
    <x v="23"/>
    <x v="55"/>
    <n v="0.96"/>
    <n v="16588.8"/>
    <n v="17.65711872"/>
    <n v="87.309473684210516"/>
    <s v="Aug"/>
    <x v="35"/>
    <m/>
    <m/>
  </r>
  <r>
    <n v="64973976"/>
    <x v="8"/>
    <n v="17280"/>
    <d v="2026-09-07T00:00:00"/>
    <s v="BR Reeses Mini Cups 1-12PK"/>
    <x v="69"/>
    <n v="1.0644000000000001E-3"/>
    <n v="190"/>
    <x v="23"/>
    <x v="55"/>
    <n v="0.96"/>
    <n v="16588.8"/>
    <n v="17.65711872"/>
    <n v="87.309473684210516"/>
    <s v="Sep"/>
    <x v="32"/>
    <m/>
    <m/>
  </r>
  <r>
    <n v="62678151"/>
    <x v="3"/>
    <n v="17280"/>
    <d v="2026-04-20T00:00:00"/>
    <s v="BJ US-NDO-PBHalfBaked-8 1PT"/>
    <x v="72"/>
    <n v="3.7839999999999996E-3"/>
    <n v="240"/>
    <x v="3"/>
    <x v="13"/>
    <n v="0.95"/>
    <n v="16416"/>
    <n v="62.118143999999994"/>
    <n v="68.400000000000006"/>
    <s v="Apr"/>
    <x v="40"/>
    <m/>
    <m/>
  </r>
  <r>
    <n v="64387483"/>
    <x v="3"/>
    <n v="17280"/>
    <d v="2026-04-20T00:00:00"/>
    <s v="BJ US-NDO-ChocCaramelBrownie-8 1PT"/>
    <x v="72"/>
    <n v="3.7839999999999996E-3"/>
    <n v="240"/>
    <x v="3"/>
    <x v="13"/>
    <n v="0.95"/>
    <n v="16416"/>
    <n v="62.118143999999994"/>
    <n v="68.400000000000006"/>
    <s v="Apr"/>
    <x v="40"/>
    <m/>
    <m/>
  </r>
  <r>
    <n v="64771676"/>
    <x v="7"/>
    <n v="17316"/>
    <d v="2026-08-03T00:00:00"/>
    <s v="PS SpongeBob Facepiece IH 6-6PK"/>
    <x v="70"/>
    <n v="2.16E-3"/>
    <n v="195"/>
    <x v="16"/>
    <x v="24"/>
    <n v="0.96"/>
    <n v="16623.36"/>
    <n v="35.906457600000003"/>
    <n v="85.248000000000005"/>
    <s v="Aug"/>
    <x v="22"/>
    <m/>
    <m/>
  </r>
  <r>
    <n v="64979444"/>
    <x v="7"/>
    <n v="17316"/>
    <d v="2026-05-25T00:00:00"/>
    <s v="PS Bluey Facepiece IH 6-6PK"/>
    <x v="70"/>
    <n v="2.16E-3"/>
    <n v="195"/>
    <x v="16"/>
    <x v="24"/>
    <n v="0.96"/>
    <n v="16623.36"/>
    <n v="35.906457600000003"/>
    <n v="85.248000000000005"/>
    <s v="May"/>
    <x v="46"/>
    <m/>
    <m/>
  </r>
  <r>
    <n v="64979444"/>
    <x v="7"/>
    <n v="17316"/>
    <d v="2026-06-15T00:00:00"/>
    <s v="PS Bluey Facepiece IH 6-6PK"/>
    <x v="70"/>
    <n v="2.16E-3"/>
    <n v="195"/>
    <x v="16"/>
    <x v="24"/>
    <n v="0.96"/>
    <n v="16623.36"/>
    <n v="35.906457600000003"/>
    <n v="85.248000000000005"/>
    <s v="Jun"/>
    <x v="28"/>
    <m/>
    <m/>
  </r>
  <r>
    <n v="65468644"/>
    <x v="7"/>
    <n v="17480"/>
    <d v="2026-04-27T00:00:00"/>
    <s v="PS Soccer Ball IH 1-12pk"/>
    <x v="70"/>
    <n v="7.1999999999999994E-4"/>
    <n v="437"/>
    <x v="17"/>
    <x v="56"/>
    <n v="0.96"/>
    <n v="16780.8"/>
    <n v="12.082175999999999"/>
    <n v="38.4"/>
    <s v="Apr"/>
    <x v="21"/>
    <m/>
    <m/>
  </r>
  <r>
    <n v="69629468"/>
    <x v="0"/>
    <m/>
    <d v="2026-03-30T00:00:00"/>
    <s v="PS Fudgesicle NSA 6-18PK"/>
    <x v="94"/>
    <n v="5.2680000000000001E-3"/>
    <n v="130"/>
    <x v="6"/>
    <x v="15"/>
    <n v="0.96"/>
    <n v="0"/>
    <n v="0"/>
    <n v="0"/>
    <s v="Mar"/>
    <x v="20"/>
    <m/>
    <m/>
  </r>
  <r>
    <n v="69629468"/>
    <x v="0"/>
    <n v="17760"/>
    <d v="2026-04-06T00:00:00"/>
    <s v="PS Fudgesicle NSA 6-18PK"/>
    <x v="94"/>
    <n v="5.2680000000000001E-3"/>
    <n v="130"/>
    <x v="6"/>
    <x v="15"/>
    <n v="0.96"/>
    <n v="17049.599999999999"/>
    <n v="89.81729279999999"/>
    <n v="131.15076923076921"/>
    <s v="Apr"/>
    <x v="23"/>
    <m/>
    <m/>
  </r>
  <r>
    <n v="69629468"/>
    <x v="0"/>
    <n v="17760"/>
    <d v="2026-04-13T00:00:00"/>
    <s v="PS Fudgesicle NSA 6-18PK"/>
    <x v="94"/>
    <n v="5.2680000000000001E-3"/>
    <n v="130"/>
    <x v="6"/>
    <x v="15"/>
    <n v="0.96"/>
    <n v="17049.599999999999"/>
    <n v="89.81729279999999"/>
    <n v="131.15076923076921"/>
    <s v="Apr"/>
    <x v="25"/>
    <m/>
    <m/>
  </r>
  <r>
    <n v="69629468"/>
    <x v="0"/>
    <n v="17760"/>
    <d v="2026-04-20T00:00:00"/>
    <s v="PS Fudgesicle NSA 6-18PK"/>
    <x v="94"/>
    <n v="5.2680000000000001E-3"/>
    <n v="130"/>
    <x v="6"/>
    <x v="15"/>
    <n v="0.96"/>
    <n v="17049.599999999999"/>
    <n v="89.81729279999999"/>
    <n v="131.15076923076921"/>
    <s v="Apr"/>
    <x v="40"/>
    <m/>
    <m/>
  </r>
  <r>
    <n v="62678150"/>
    <x v="3"/>
    <n v="17920"/>
    <d v="2026-04-20T00:00:00"/>
    <s v="BJ US-NDO-AmericoneDream-8 1PT"/>
    <x v="77"/>
    <n v="3.7839999999999996E-3"/>
    <n v="240"/>
    <x v="3"/>
    <x v="13"/>
    <n v="0.95"/>
    <n v="17024"/>
    <n v="64.418815999999993"/>
    <n v="70.933333333333337"/>
    <s v="Apr"/>
    <x v="40"/>
    <m/>
    <m/>
  </r>
  <r>
    <n v="62678152"/>
    <x v="3"/>
    <n v="17920"/>
    <d v="2026-04-13T00:00:00"/>
    <s v="BJ US-NDO-OatmealDreamPie-8 1PT"/>
    <x v="77"/>
    <n v="3.7839999999999996E-3"/>
    <n v="240"/>
    <x v="3"/>
    <x v="13"/>
    <n v="0.95"/>
    <n v="17024"/>
    <n v="64.418815999999993"/>
    <n v="70.933333333333337"/>
    <s v="Apr"/>
    <x v="25"/>
    <m/>
    <m/>
  </r>
  <r>
    <n v="68741742"/>
    <x v="1"/>
    <n v="18000"/>
    <d v="2026-05-04T00:00:00"/>
    <s v="GH Strawberry Shortcake Bar 8-6PK"/>
    <x v="59"/>
    <n v="4.2560000000000002E-3"/>
    <n v="154"/>
    <x v="7"/>
    <x v="10"/>
    <n v="0.96"/>
    <n v="17280"/>
    <n v="73.543680000000009"/>
    <n v="112.20779220779221"/>
    <s v="May"/>
    <x v="24"/>
    <m/>
    <m/>
  </r>
  <r>
    <n v="68741742"/>
    <x v="1"/>
    <n v="18000"/>
    <d v="2026-05-11T00:00:00"/>
    <s v="GH Strawberry Shortcake Bar 8-6PK"/>
    <x v="59"/>
    <n v="4.2560000000000002E-3"/>
    <n v="154"/>
    <x v="7"/>
    <x v="10"/>
    <n v="0.96"/>
    <n v="17280"/>
    <n v="73.543680000000009"/>
    <n v="112.20779220779221"/>
    <s v="May"/>
    <x v="26"/>
    <m/>
    <m/>
  </r>
  <r>
    <n v="68741742"/>
    <x v="1"/>
    <n v="18000"/>
    <d v="2026-05-18T00:00:00"/>
    <s v="GH Strawberry Shortcake Bar 8-6PK"/>
    <x v="59"/>
    <n v="4.2560000000000002E-3"/>
    <n v="154"/>
    <x v="7"/>
    <x v="10"/>
    <n v="0.96"/>
    <n v="17280"/>
    <n v="73.543680000000009"/>
    <n v="112.20779220779221"/>
    <s v="May"/>
    <x v="39"/>
    <m/>
    <m/>
  </r>
  <r>
    <n v="68741742"/>
    <x v="1"/>
    <n v="18000"/>
    <d v="2026-05-25T00:00:00"/>
    <s v="GH Strawberry Shortcake Bar 8-6PK"/>
    <x v="59"/>
    <n v="4.2560000000000002E-3"/>
    <n v="154"/>
    <x v="7"/>
    <x v="10"/>
    <n v="0.96"/>
    <n v="17280"/>
    <n v="73.543680000000009"/>
    <n v="112.20779220779221"/>
    <s v="May"/>
    <x v="46"/>
    <m/>
    <m/>
  </r>
  <r>
    <n v="68746232"/>
    <x v="1"/>
    <n v="18000"/>
    <d v="2026-04-06T00:00:00"/>
    <s v="KL Mint CHOC Chip 12-6PK"/>
    <x v="71"/>
    <n v="8.5199999999999998E-3"/>
    <n v="132"/>
    <x v="1"/>
    <x v="11"/>
    <n v="0.96"/>
    <n v="17280"/>
    <n v="147.22559999999999"/>
    <n v="130.90909090909091"/>
    <s v="Apr"/>
    <x v="23"/>
    <m/>
    <m/>
  </r>
  <r>
    <n v="68746232"/>
    <x v="1"/>
    <n v="18000"/>
    <d v="2026-04-13T00:00:00"/>
    <s v="KL Mint CHOC Chip 12-6PK"/>
    <x v="71"/>
    <n v="8.5199999999999998E-3"/>
    <n v="132"/>
    <x v="1"/>
    <x v="11"/>
    <n v="0.96"/>
    <n v="17280"/>
    <n v="147.22559999999999"/>
    <n v="130.90909090909091"/>
    <s v="Apr"/>
    <x v="25"/>
    <m/>
    <m/>
  </r>
  <r>
    <n v="68851104"/>
    <x v="1"/>
    <n v="18000"/>
    <d v="2026-04-13T00:00:00"/>
    <s v="BR Chocolate 6-1.5QT"/>
    <x v="83"/>
    <n v="8.5199999999999998E-3"/>
    <n v="176"/>
    <x v="0"/>
    <x v="1"/>
    <n v="0.94"/>
    <n v="16920"/>
    <n v="144.1584"/>
    <n v="96.13636363636364"/>
    <s v="Apr"/>
    <x v="25"/>
    <m/>
    <m/>
  </r>
  <r>
    <n v="68852591"/>
    <x v="1"/>
    <n v="18000"/>
    <d v="2026-04-20T00:00:00"/>
    <s v="KL Heath Bar 12-6PK"/>
    <x v="71"/>
    <n v="8.5199999999999998E-3"/>
    <n v="132"/>
    <x v="1"/>
    <x v="11"/>
    <n v="0.96"/>
    <n v="17280"/>
    <n v="147.22559999999999"/>
    <n v="130.90909090909091"/>
    <s v="Apr"/>
    <x v="40"/>
    <m/>
    <m/>
  </r>
  <r>
    <n v="69999267"/>
    <x v="1"/>
    <n v="18000"/>
    <d v="2026-05-25T00:00:00"/>
    <s v="BJ US-IC-GimmeSmore-8 1PT"/>
    <x v="66"/>
    <n v="3.7839999999999996E-3"/>
    <n v="240"/>
    <x v="3"/>
    <x v="12"/>
    <n v="0.95"/>
    <n v="17100"/>
    <n v="64.706399999999988"/>
    <n v="71.25"/>
    <s v="May"/>
    <x v="46"/>
    <m/>
    <m/>
  </r>
  <r>
    <n v="84163503"/>
    <x v="1"/>
    <n v="18000"/>
    <d v="2026-05-11T00:00:00"/>
    <s v="BJ US-IC-Salted Caramel Almond-8 1PT"/>
    <x v="66"/>
    <n v="3.7853439999999999E-3"/>
    <n v="240"/>
    <x v="3"/>
    <x v="12"/>
    <n v="0.95"/>
    <n v="17100"/>
    <n v="64.729382400000006"/>
    <n v="71.25"/>
    <s v="May"/>
    <x v="26"/>
    <m/>
    <m/>
  </r>
  <r>
    <n v="64771676"/>
    <x v="7"/>
    <n v="18624"/>
    <d v="2026-10-12T00:00:00"/>
    <s v="PS SpongeBob Facepiece IH 6-6PK"/>
    <x v="70"/>
    <n v="2.16E-3"/>
    <n v="195"/>
    <x v="16"/>
    <x v="24"/>
    <n v="0.96"/>
    <n v="17879.04"/>
    <n v="38.6187264"/>
    <n v="91.687384615384616"/>
    <s v="Oct"/>
    <x v="36"/>
    <m/>
    <m/>
  </r>
  <r>
    <n v="69999269"/>
    <x v="3"/>
    <n v="18640"/>
    <d v="2026-03-23T00:00:00"/>
    <s v="BJ US-IC-StrawberryChscke-FTNG-8 1PT"/>
    <x v="77"/>
    <n v="3.7839999999999996E-3"/>
    <n v="240"/>
    <x v="3"/>
    <x v="13"/>
    <n v="0.95"/>
    <n v="17708"/>
    <n v="67.007071999999994"/>
    <n v="73.783333333333331"/>
    <s v="Mar"/>
    <x v="10"/>
    <m/>
    <m/>
  </r>
  <r>
    <n v="64771676"/>
    <x v="7"/>
    <n v="18700"/>
    <d v="2026-09-07T00:00:00"/>
    <s v="PS SpongeBob Facepiece IH 6-6PK"/>
    <x v="70"/>
    <n v="2.16E-3"/>
    <n v="195"/>
    <x v="16"/>
    <x v="24"/>
    <n v="0.96"/>
    <n v="17952"/>
    <n v="38.776319999999998"/>
    <n v="92.061538461538461"/>
    <s v="Sep"/>
    <x v="32"/>
    <m/>
    <m/>
  </r>
  <r>
    <n v="68741742"/>
    <x v="1"/>
    <n v="18800"/>
    <d v="2026-03-30T00:00:00"/>
    <s v="GH Strawberry Shortcake Bar 8-6PK"/>
    <x v="59"/>
    <n v="4.2560000000000002E-3"/>
    <n v="154"/>
    <x v="7"/>
    <x v="10"/>
    <n v="0.96"/>
    <n v="18048"/>
    <n v="76.812288000000009"/>
    <n v="117.1948051948052"/>
    <s v="Mar"/>
    <x v="20"/>
    <m/>
    <m/>
  </r>
  <r>
    <n v="64403187"/>
    <x v="1"/>
    <n v="19000"/>
    <d v="2026-04-13T00:00:00"/>
    <s v="BR ND Chocolate 6 1.5QT"/>
    <x v="89"/>
    <n v="8.513999999999999E-3"/>
    <n v="176"/>
    <x v="0"/>
    <x v="1"/>
    <n v="0.94"/>
    <n v="17860"/>
    <n v="152.06003999999999"/>
    <n v="101.47727272727273"/>
    <s v="Apr"/>
    <x v="25"/>
    <m/>
    <m/>
  </r>
  <r>
    <n v="69564623"/>
    <x v="1"/>
    <n v="19000"/>
    <d v="2026-04-20T00:00:00"/>
    <s v="BR ND Vanilla 6 1.5QT"/>
    <x v="83"/>
    <n v="8.5199999999999998E-3"/>
    <n v="176"/>
    <x v="0"/>
    <x v="1"/>
    <n v="0.94"/>
    <n v="17860"/>
    <n v="152.16720000000001"/>
    <n v="101.47727272727273"/>
    <s v="Apr"/>
    <x v="40"/>
    <m/>
    <m/>
  </r>
  <r>
    <n v="64771677"/>
    <x v="7"/>
    <n v="19036"/>
    <d v="2026-05-25T00:00:00"/>
    <s v="PS Minions Facepiece IH 6-6PK"/>
    <x v="70"/>
    <n v="2.16E-3"/>
    <n v="195"/>
    <x v="16"/>
    <x v="24"/>
    <n v="0.96"/>
    <n v="18274.559999999998"/>
    <n v="39.473049599999996"/>
    <n v="93.715692307692294"/>
    <s v="May"/>
    <x v="46"/>
    <m/>
    <m/>
  </r>
  <r>
    <n v="64776952"/>
    <x v="0"/>
    <n v="19200"/>
    <d v="2026-04-13T00:00:00"/>
    <s v="PS Firecracker 6-18PK"/>
    <x v="95"/>
    <n v="5.0940000000000004E-3"/>
    <n v="130"/>
    <x v="6"/>
    <x v="15"/>
    <n v="0.96"/>
    <n v="18432"/>
    <n v="93.89260800000001"/>
    <n v="141.78461538461539"/>
    <s v="Apr"/>
    <x v="25"/>
    <m/>
    <m/>
  </r>
  <r>
    <n v="64341108"/>
    <x v="7"/>
    <n v="19200"/>
    <d v="2026-10-05T00:00:00"/>
    <s v="PS SpongeBob Facepiece 1-20PK"/>
    <x v="70"/>
    <n v="2.3599999999999997E-3"/>
    <n v="210"/>
    <x v="16"/>
    <x v="24"/>
    <n v="0.96"/>
    <n v="18432"/>
    <n v="43.499519999999997"/>
    <n v="87.771428571428572"/>
    <s v="Oct"/>
    <x v="50"/>
    <m/>
    <m/>
  </r>
  <r>
    <n v="64341109"/>
    <x v="7"/>
    <n v="19200"/>
    <d v="2026-07-27T00:00:00"/>
    <s v="PS Spiderman Facepiece 1-20PK"/>
    <x v="70"/>
    <n v="2E-3"/>
    <n v="210"/>
    <x v="16"/>
    <x v="24"/>
    <n v="0.96"/>
    <n v="18432"/>
    <n v="36.864000000000004"/>
    <n v="87.771428571428572"/>
    <s v="Jul"/>
    <x v="15"/>
    <m/>
    <m/>
  </r>
  <r>
    <n v="64341109"/>
    <x v="7"/>
    <n v="19200"/>
    <d v="2026-09-07T00:00:00"/>
    <s v="PS Spiderman Facepiece 1-20PK"/>
    <x v="70"/>
    <n v="2E-3"/>
    <n v="210"/>
    <x v="16"/>
    <x v="24"/>
    <n v="0.96"/>
    <n v="18432"/>
    <n v="36.864000000000004"/>
    <n v="87.771428571428572"/>
    <s v="Sep"/>
    <x v="32"/>
    <m/>
    <m/>
  </r>
  <r>
    <n v="64341109"/>
    <x v="7"/>
    <n v="19200"/>
    <d v="2026-10-12T00:00:00"/>
    <s v="PS Spiderman Facepiece 1-20PK"/>
    <x v="70"/>
    <n v="2E-3"/>
    <n v="210"/>
    <x v="16"/>
    <x v="24"/>
    <n v="0.96"/>
    <n v="18432"/>
    <n v="36.864000000000004"/>
    <n v="87.771428571428572"/>
    <s v="Oct"/>
    <x v="36"/>
    <m/>
    <m/>
  </r>
  <r>
    <n v="64341109"/>
    <x v="7"/>
    <n v="19200"/>
    <d v="2026-11-09T00:00:00"/>
    <s v="PS Spiderman Facepiece 1-20PK"/>
    <x v="70"/>
    <n v="2E-3"/>
    <n v="210"/>
    <x v="16"/>
    <x v="24"/>
    <n v="0.96"/>
    <n v="18432"/>
    <n v="36.864000000000004"/>
    <n v="87.771428571428572"/>
    <s v="Nov"/>
    <x v="37"/>
    <m/>
    <m/>
  </r>
  <r>
    <n v="64369052"/>
    <x v="19"/>
    <n v="19200"/>
    <d v="2026-05-04T00:00:00"/>
    <s v="KL Cone StrwShortcake Van Chillin 6-8CT"/>
    <x v="70"/>
    <n v="5.3220000000000003E-3"/>
    <n v="120"/>
    <x v="22"/>
    <x v="48"/>
    <n v="0.96"/>
    <n v="18432"/>
    <n v="98.095104000000006"/>
    <n v="153.6"/>
    <s v="May"/>
    <x v="24"/>
    <m/>
    <m/>
  </r>
  <r>
    <n v="64874631"/>
    <x v="4"/>
    <n v="19260"/>
    <d v="2026-06-08T00:00:00"/>
    <s v="KL Cookies and Creme IC SW 6-4PK"/>
    <x v="81"/>
    <n v="2.8380000000000002E-3"/>
    <n v="189"/>
    <x v="12"/>
    <x v="19"/>
    <n v="0.96"/>
    <n v="18489.599999999999"/>
    <n v="52.473484800000001"/>
    <n v="97.828571428571422"/>
    <s v="Jun"/>
    <x v="47"/>
    <m/>
    <m/>
  </r>
  <r>
    <n v="64874631"/>
    <x v="4"/>
    <n v="19260"/>
    <d v="2026-08-03T00:00:00"/>
    <s v="KL Cookies and Creme IC SW 6-4PK"/>
    <x v="81"/>
    <n v="2.8380000000000002E-3"/>
    <n v="189"/>
    <x v="12"/>
    <x v="19"/>
    <n v="0.96"/>
    <n v="18489.599999999999"/>
    <n v="52.473484800000001"/>
    <n v="97.828571428571422"/>
    <s v="Aug"/>
    <x v="22"/>
    <m/>
    <m/>
  </r>
  <r>
    <n v="64874631"/>
    <x v="4"/>
    <n v="19260"/>
    <d v="2026-09-07T00:00:00"/>
    <s v="KL Cookies and Creme IC SW 6-4PK"/>
    <x v="81"/>
    <n v="2.8380000000000002E-3"/>
    <n v="189"/>
    <x v="12"/>
    <x v="19"/>
    <n v="0.96"/>
    <n v="18489.599999999999"/>
    <n v="52.473484800000001"/>
    <n v="97.828571428571422"/>
    <s v="Sep"/>
    <x v="32"/>
    <m/>
    <m/>
  </r>
  <r>
    <n v="64874633"/>
    <x v="4"/>
    <n v="19260"/>
    <d v="2026-06-15T00:00:00"/>
    <s v="KL Cookies and Creme SW 1-24PK"/>
    <x v="81"/>
    <n v="3.192E-3"/>
    <n v="280"/>
    <x v="12"/>
    <x v="19"/>
    <n v="0.96"/>
    <n v="18489.599999999999"/>
    <n v="59.018803199999994"/>
    <n v="66.034285714285716"/>
    <s v="Jun"/>
    <x v="28"/>
    <m/>
    <m/>
  </r>
  <r>
    <n v="64874633"/>
    <x v="4"/>
    <n v="19260"/>
    <d v="2026-10-05T00:00:00"/>
    <s v="KL Cookies and Creme SW 1-24PK"/>
    <x v="81"/>
    <n v="3.192E-3"/>
    <n v="280"/>
    <x v="12"/>
    <x v="19"/>
    <n v="0.96"/>
    <n v="18489.599999999999"/>
    <n v="59.018803199999994"/>
    <n v="66.034285714285716"/>
    <s v="Oct"/>
    <x v="50"/>
    <m/>
    <m/>
  </r>
  <r>
    <n v="64874633"/>
    <x v="4"/>
    <n v="19260"/>
    <d v="2026-11-30T00:00:00"/>
    <s v="KL Cookies and Creme SW 1-24PK"/>
    <x v="81"/>
    <n v="3.192E-3"/>
    <n v="280"/>
    <x v="12"/>
    <x v="19"/>
    <n v="0.96"/>
    <n v="18489.599999999999"/>
    <n v="59.018803199999994"/>
    <n v="66.034285714285716"/>
    <s v="Nov"/>
    <x v="19"/>
    <m/>
    <m/>
  </r>
  <r>
    <n v="68689251"/>
    <x v="0"/>
    <n v="19440"/>
    <d v="2026-04-20T00:00:00"/>
    <s v="KL Original Vanilla Bar 12-6PK"/>
    <x v="79"/>
    <n v="9.5760000000000012E-3"/>
    <n v="132"/>
    <x v="1"/>
    <x v="2"/>
    <n v="0.96"/>
    <n v="18662.399999999998"/>
    <n v="178.7111424"/>
    <n v="141.38181818181818"/>
    <s v="Apr"/>
    <x v="40"/>
    <m/>
    <m/>
  </r>
  <r>
    <n v="68689251"/>
    <x v="0"/>
    <n v="19440"/>
    <d v="2026-04-27T00:00:00"/>
    <s v="KL Original Vanilla Bar 12-6PK"/>
    <x v="75"/>
    <n v="9.5760000000000012E-3"/>
    <n v="132"/>
    <x v="1"/>
    <x v="2"/>
    <n v="0.96"/>
    <n v="18662.399999999998"/>
    <n v="178.7111424"/>
    <n v="141.38181818181818"/>
    <s v="Apr"/>
    <x v="21"/>
    <m/>
    <m/>
  </r>
  <r>
    <n v="84136704"/>
    <x v="3"/>
    <n v="38080"/>
    <d v="2026-03-30T00:00:00"/>
    <s v="BJ US-IC-NewYrkSprFdgChnk-FTNG-8 1PT"/>
    <x v="77"/>
    <n v="3.7853439999999999E-3"/>
    <n v="240"/>
    <x v="3"/>
    <x v="13"/>
    <n v="0.95"/>
    <n v="36176"/>
    <n v="136.93860454399999"/>
    <n v="150.73333333333332"/>
    <s v="Mar"/>
    <x v="20"/>
    <m/>
    <m/>
  </r>
  <r>
    <n v="84136043"/>
    <x v="3"/>
    <n v="19440"/>
    <d v="2026-04-13T00:00:00"/>
    <s v="BJ US-COR-KaramelSutra-FTNG-8 1PT"/>
    <x v="72"/>
    <n v="3.7853439999999999E-3"/>
    <n v="240"/>
    <x v="3"/>
    <x v="13"/>
    <n v="0.95"/>
    <n v="18468"/>
    <n v="69.907732991999993"/>
    <n v="76.95"/>
    <s v="Apr"/>
    <x v="25"/>
    <m/>
    <m/>
  </r>
  <r>
    <n v="84138392"/>
    <x v="3"/>
    <n v="19440"/>
    <d v="2026-05-04T00:00:00"/>
    <s v="BJ US-IC-CoffeeBuzzBuzz-FTNG-8 1PT"/>
    <x v="72"/>
    <n v="3.7839999999999996E-3"/>
    <n v="240"/>
    <x v="3"/>
    <x v="13"/>
    <n v="0.95"/>
    <n v="18468"/>
    <n v="69.88291199999999"/>
    <n v="76.95"/>
    <s v="May"/>
    <x v="24"/>
    <m/>
    <m/>
  </r>
  <r>
    <n v="64771676"/>
    <x v="7"/>
    <n v="19500"/>
    <d v="2026-05-18T00:00:00"/>
    <s v="PS SpongeBob Facepiece IH 6-6PK"/>
    <x v="70"/>
    <n v="2.16E-3"/>
    <n v="195"/>
    <x v="16"/>
    <x v="24"/>
    <n v="0.96"/>
    <n v="18720"/>
    <n v="40.435200000000002"/>
    <n v="96"/>
    <s v="May"/>
    <x v="39"/>
    <m/>
    <m/>
  </r>
  <r>
    <n v="67546042"/>
    <x v="3"/>
    <n v="19560"/>
    <d v="2026-03-23T00:00:00"/>
    <s v="BJ US-COR-ChocolateChip-8 1 PT"/>
    <x v="72"/>
    <n v="3.7853439999999999E-3"/>
    <n v="240"/>
    <x v="3"/>
    <x v="13"/>
    <n v="0.95"/>
    <n v="18582"/>
    <n v="70.339262207999994"/>
    <n v="77.424999999999997"/>
    <s v="Mar"/>
    <x v="10"/>
    <m/>
    <m/>
  </r>
  <r>
    <n v="64955743"/>
    <x v="10"/>
    <m/>
    <d v="2026-03-23T00:00:00"/>
    <s v="Yasso Peanut Butter Chip 8-4pk"/>
    <x v="69"/>
    <n v="3.3119999999999998E-3"/>
    <n v="165"/>
    <x v="4"/>
    <x v="30"/>
    <n v="0.96"/>
    <n v="0"/>
    <n v="0"/>
    <n v="0"/>
    <s v="Mar"/>
    <x v="10"/>
    <m/>
    <m/>
  </r>
  <r>
    <n v="64341106"/>
    <x v="1"/>
    <m/>
    <d v="2026-03-30T00:00:00"/>
    <s v="PS Jolly Rancher Pop 6-18PK"/>
    <x v="93"/>
    <n v="5.2680000000000001E-3"/>
    <n v="130"/>
    <x v="6"/>
    <x v="7"/>
    <n v="0.96"/>
    <n v="0"/>
    <n v="0"/>
    <n v="0"/>
    <s v="Mar"/>
    <x v="20"/>
    <m/>
    <m/>
  </r>
  <r>
    <n v="64369035"/>
    <x v="1"/>
    <n v="19800"/>
    <d v="2026-05-25T00:00:00"/>
    <s v="TAL ND Caramel Toffee Crunch 8 1PT"/>
    <x v="87"/>
    <n v="3.7839999999999996E-3"/>
    <n v="255"/>
    <x v="2"/>
    <x v="3"/>
    <n v="0.96"/>
    <n v="19008"/>
    <n v="71.926271999999997"/>
    <n v="74.54117647058824"/>
    <s v="May"/>
    <x v="46"/>
    <m/>
    <m/>
  </r>
  <r>
    <n v="64369046"/>
    <x v="1"/>
    <n v="19800"/>
    <d v="2026-05-18T00:00:00"/>
    <s v="TAL LYR Snickerdoodle 8p 326.7g"/>
    <x v="87"/>
    <n v="3.552E-3"/>
    <n v="255"/>
    <x v="2"/>
    <x v="3"/>
    <n v="0.96"/>
    <n v="19008"/>
    <n v="67.516416000000007"/>
    <n v="74.54117647058824"/>
    <s v="May"/>
    <x v="39"/>
    <m/>
    <m/>
  </r>
  <r>
    <n v="64371463"/>
    <x v="1"/>
    <n v="19800"/>
    <d v="2026-05-11T00:00:00"/>
    <s v="TAL LYR Tiramisu 8p 295.2g"/>
    <x v="87"/>
    <n v="3.552E-3"/>
    <n v="255"/>
    <x v="2"/>
    <x v="3"/>
    <n v="0.96"/>
    <n v="19008"/>
    <n v="67.516416000000007"/>
    <n v="74.54117647058824"/>
    <s v="May"/>
    <x v="26"/>
    <m/>
    <m/>
  </r>
  <r>
    <n v="64780901"/>
    <x v="1"/>
    <n v="19800"/>
    <d v="2026-05-25T00:00:00"/>
    <s v="BR Smores 8-1pt"/>
    <x v="66"/>
    <n v="3.7839999999999996E-3"/>
    <n v="240"/>
    <x v="9"/>
    <x v="14"/>
    <n v="0.96"/>
    <n v="19008"/>
    <n v="71.926271999999997"/>
    <n v="79.2"/>
    <s v="May"/>
    <x v="46"/>
    <m/>
    <m/>
  </r>
  <r>
    <n v="68860671"/>
    <x v="1"/>
    <n v="19800"/>
    <d v="2026-05-11T00:00:00"/>
    <s v="Talenti CHOC Chip Cookie Dough 8 1PT"/>
    <x v="87"/>
    <n v="3.7839999999999996E-3"/>
    <n v="255"/>
    <x v="2"/>
    <x v="3"/>
    <n v="0.96"/>
    <n v="19008"/>
    <n v="71.926271999999997"/>
    <n v="74.54117647058824"/>
    <s v="May"/>
    <x v="26"/>
    <m/>
    <m/>
  </r>
  <r>
    <n v="64956417"/>
    <x v="7"/>
    <n v="19968"/>
    <d v="2026-06-29T00:00:00"/>
    <s v="PS Hello Kitty Facepiece IH 6-6PK"/>
    <x v="70"/>
    <n v="2.16E-3"/>
    <n v="143"/>
    <x v="16"/>
    <x v="24"/>
    <n v="0.96"/>
    <n v="19169.28"/>
    <n v="41.405644799999997"/>
    <n v="134.05090909090907"/>
    <s v="Jun"/>
    <x v="14"/>
    <m/>
    <m/>
  </r>
  <r>
    <n v="64956417"/>
    <x v="7"/>
    <n v="19968"/>
    <d v="2026-07-06T00:00:00"/>
    <s v="PS Hello Kitty Facepiece IH 6-6PK"/>
    <x v="70"/>
    <n v="2.16E-3"/>
    <n v="143"/>
    <x v="16"/>
    <x v="24"/>
    <n v="0.96"/>
    <n v="19169.28"/>
    <n v="41.405644799999997"/>
    <n v="134.05090909090907"/>
    <s v="Jul"/>
    <x v="30"/>
    <m/>
    <m/>
  </r>
  <r>
    <n v="64327161"/>
    <x v="8"/>
    <n v="20000"/>
    <d v="2026-11-16T00:00:00"/>
    <s v="YSO Mint Chocolate Chip Club 1-15pk"/>
    <x v="69"/>
    <n v="1.56E-3"/>
    <n v="240"/>
    <x v="19"/>
    <x v="28"/>
    <n v="0.96"/>
    <n v="19200"/>
    <n v="29.951999999999998"/>
    <n v="80"/>
    <s v="Nov"/>
    <x v="42"/>
    <m/>
    <m/>
  </r>
  <r>
    <n v="64830947"/>
    <x v="13"/>
    <n v="20000"/>
    <d v="2026-04-27T00:00:00"/>
    <s v="MG Mini Double Caramel RFA 1(3) 6PK"/>
    <x v="69"/>
    <n v="9.8999999999999999E-4"/>
    <n v="296"/>
    <x v="21"/>
    <x v="36"/>
    <n v="0.96"/>
    <n v="19200"/>
    <n v="19.007999999999999"/>
    <n v="64.86486486486487"/>
    <s v="Apr"/>
    <x v="21"/>
    <m/>
    <m/>
  </r>
  <r>
    <n v="64830947"/>
    <x v="13"/>
    <n v="20000"/>
    <d v="2026-05-04T00:00:00"/>
    <s v="MG Mini Double Caramel RFA 1(3) 6PK"/>
    <x v="69"/>
    <n v="9.8999999999999999E-4"/>
    <n v="296"/>
    <x v="21"/>
    <x v="36"/>
    <n v="0.96"/>
    <n v="19200"/>
    <n v="19.007999999999999"/>
    <n v="64.86486486486487"/>
    <s v="May"/>
    <x v="24"/>
    <m/>
    <m/>
  </r>
  <r>
    <n v="64830947"/>
    <x v="13"/>
    <n v="20000"/>
    <d v="2026-05-11T00:00:00"/>
    <s v="MG Mini Double Caramel RFA 1(3) 6PK"/>
    <x v="69"/>
    <n v="9.8999999999999999E-4"/>
    <n v="296"/>
    <x v="21"/>
    <x v="36"/>
    <n v="0.96"/>
    <n v="19200"/>
    <n v="19.007999999999999"/>
    <n v="64.86486486486487"/>
    <s v="May"/>
    <x v="26"/>
    <m/>
    <m/>
  </r>
  <r>
    <n v="64830947"/>
    <x v="13"/>
    <n v="20000"/>
    <d v="2026-05-18T00:00:00"/>
    <s v="MG Mini Double Caramel RFA 1(3) 6PK"/>
    <x v="69"/>
    <n v="9.8999999999999999E-4"/>
    <n v="296"/>
    <x v="21"/>
    <x v="36"/>
    <n v="0.96"/>
    <n v="19200"/>
    <n v="19.007999999999999"/>
    <n v="64.86486486486487"/>
    <s v="May"/>
    <x v="39"/>
    <m/>
    <m/>
  </r>
  <r>
    <n v="64830947"/>
    <x v="13"/>
    <n v="20000"/>
    <d v="2026-05-25T00:00:00"/>
    <s v="MG Mini Double Caramel RFA 1(3) 6PK"/>
    <x v="69"/>
    <n v="9.8999999999999999E-4"/>
    <n v="296"/>
    <x v="21"/>
    <x v="36"/>
    <n v="0.96"/>
    <n v="19200"/>
    <n v="19.007999999999999"/>
    <n v="64.86486486486487"/>
    <s v="May"/>
    <x v="46"/>
    <m/>
    <m/>
  </r>
  <r>
    <n v="64830947"/>
    <x v="13"/>
    <n v="20000"/>
    <d v="2026-06-01T00:00:00"/>
    <s v="MG Mini Double Caramel RFA 1(3) 6PK"/>
    <x v="69"/>
    <n v="9.8999999999999999E-4"/>
    <n v="296"/>
    <x v="21"/>
    <x v="36"/>
    <n v="0.96"/>
    <n v="19200"/>
    <n v="19.007999999999999"/>
    <n v="64.86486486486487"/>
    <s v="Jun"/>
    <x v="13"/>
    <m/>
    <m/>
  </r>
  <r>
    <n v="64830947"/>
    <x v="13"/>
    <n v="20000"/>
    <d v="2026-06-08T00:00:00"/>
    <s v="MG Mini Double Caramel RFA 1(3) 6PK"/>
    <x v="69"/>
    <n v="9.8999999999999999E-4"/>
    <n v="296"/>
    <x v="21"/>
    <x v="36"/>
    <n v="0.96"/>
    <n v="19200"/>
    <n v="19.007999999999999"/>
    <n v="64.86486486486487"/>
    <s v="Jun"/>
    <x v="47"/>
    <m/>
    <m/>
  </r>
  <r>
    <n v="64830947"/>
    <x v="13"/>
    <n v="20000"/>
    <d v="2026-06-15T00:00:00"/>
    <s v="MG Mini Double Caramel RFA 1(3) 6PK"/>
    <x v="69"/>
    <n v="9.8999999999999999E-4"/>
    <n v="296"/>
    <x v="21"/>
    <x v="36"/>
    <n v="0.96"/>
    <n v="19200"/>
    <n v="19.007999999999999"/>
    <n v="64.86486486486487"/>
    <s v="Jun"/>
    <x v="28"/>
    <m/>
    <m/>
  </r>
  <r>
    <n v="64830947"/>
    <x v="13"/>
    <n v="20000"/>
    <d v="2026-06-22T00:00:00"/>
    <s v="MG Mini Double Caramel RFA 1(3) 6PK"/>
    <x v="69"/>
    <n v="9.8999999999999999E-4"/>
    <n v="296"/>
    <x v="21"/>
    <x v="36"/>
    <n v="0.96"/>
    <n v="19200"/>
    <n v="19.007999999999999"/>
    <n v="64.86486486486487"/>
    <s v="Jun"/>
    <x v="49"/>
    <m/>
    <m/>
  </r>
  <r>
    <n v="64830947"/>
    <x v="13"/>
    <n v="20000"/>
    <d v="2026-06-29T00:00:00"/>
    <s v="MG Mini Double Caramel RFA 1(3) 6PK"/>
    <x v="69"/>
    <n v="9.8999999999999999E-4"/>
    <n v="296"/>
    <x v="21"/>
    <x v="36"/>
    <n v="0.96"/>
    <n v="19200"/>
    <n v="19.007999999999999"/>
    <n v="64.86486486486487"/>
    <s v="Jun"/>
    <x v="14"/>
    <m/>
    <m/>
  </r>
  <r>
    <n v="64830947"/>
    <x v="13"/>
    <n v="20000"/>
    <d v="2026-07-06T00:00:00"/>
    <s v="MG Mini Double Caramel RFA 1(3) 6PK"/>
    <x v="69"/>
    <n v="9.8999999999999999E-4"/>
    <n v="296"/>
    <x v="21"/>
    <x v="36"/>
    <n v="0.96"/>
    <n v="19200"/>
    <n v="19.007999999999999"/>
    <n v="64.86486486486487"/>
    <s v="Jul"/>
    <x v="30"/>
    <m/>
    <m/>
  </r>
  <r>
    <n v="64830947"/>
    <x v="13"/>
    <n v="20000"/>
    <d v="2026-07-13T00:00:00"/>
    <s v="MG Mini Double Caramel RFA 1(3) 6PK"/>
    <x v="69"/>
    <n v="9.8999999999999999E-4"/>
    <n v="296"/>
    <x v="21"/>
    <x v="36"/>
    <n v="0.96"/>
    <n v="19200"/>
    <n v="19.007999999999999"/>
    <n v="64.86486486486487"/>
    <s v="Jul"/>
    <x v="48"/>
    <m/>
    <m/>
  </r>
  <r>
    <n v="64979410"/>
    <x v="17"/>
    <n v="20000"/>
    <d v="2026-04-06T00:00:00"/>
    <s v="GH Giant Vanilla Sandwich 1-24BK"/>
    <x v="69"/>
    <n v="4.248E-3"/>
    <n v="324"/>
    <x v="17"/>
    <x v="42"/>
    <n v="0.96"/>
    <n v="19200"/>
    <n v="81.561599999999999"/>
    <n v="59.25925925925926"/>
    <s v="Apr"/>
    <x v="23"/>
    <m/>
    <m/>
  </r>
  <r>
    <n v="64979410"/>
    <x v="17"/>
    <n v="20000"/>
    <d v="2026-04-13T00:00:00"/>
    <s v="GH Giant Vanilla Sandwich 1-24BK"/>
    <x v="69"/>
    <n v="4.248E-3"/>
    <n v="324"/>
    <x v="17"/>
    <x v="42"/>
    <n v="0.96"/>
    <n v="19200"/>
    <n v="81.561599999999999"/>
    <n v="59.25925925925926"/>
    <s v="Apr"/>
    <x v="25"/>
    <m/>
    <m/>
  </r>
  <r>
    <n v="64979410"/>
    <x v="17"/>
    <n v="20000"/>
    <d v="2026-04-27T00:00:00"/>
    <s v="GH Giant Vanilla Sandwich 1-24BK"/>
    <x v="69"/>
    <n v="4.248E-3"/>
    <n v="324"/>
    <x v="17"/>
    <x v="42"/>
    <n v="0.96"/>
    <n v="19200"/>
    <n v="81.561599999999999"/>
    <n v="59.25925925925926"/>
    <s v="Apr"/>
    <x v="21"/>
    <m/>
    <m/>
  </r>
  <r>
    <n v="64979410"/>
    <x v="17"/>
    <n v="20000"/>
    <d v="2026-05-04T00:00:00"/>
    <s v="GH Giant Vanilla Sandwich 1-24BK"/>
    <x v="69"/>
    <n v="4.248E-3"/>
    <n v="324"/>
    <x v="17"/>
    <x v="42"/>
    <n v="0.96"/>
    <n v="19200"/>
    <n v="81.561599999999999"/>
    <n v="59.25925925925926"/>
    <s v="May"/>
    <x v="24"/>
    <m/>
    <m/>
  </r>
  <r>
    <n v="64979410"/>
    <x v="17"/>
    <n v="20000"/>
    <d v="2026-05-11T00:00:00"/>
    <s v="GH Giant Vanilla Sandwich 1-24BK"/>
    <x v="69"/>
    <n v="4.248E-3"/>
    <n v="324"/>
    <x v="17"/>
    <x v="42"/>
    <n v="0.96"/>
    <n v="19200"/>
    <n v="81.561599999999999"/>
    <n v="59.25925925925926"/>
    <s v="May"/>
    <x v="26"/>
    <m/>
    <m/>
  </r>
  <r>
    <n v="64979410"/>
    <x v="17"/>
    <n v="20000"/>
    <d v="2026-05-25T00:00:00"/>
    <s v="GH Giant Vanilla Sandwich 1-24BK"/>
    <x v="69"/>
    <n v="4.248E-3"/>
    <n v="324"/>
    <x v="17"/>
    <x v="42"/>
    <n v="0.96"/>
    <n v="19200"/>
    <n v="81.561599999999999"/>
    <n v="59.25925925925926"/>
    <s v="May"/>
    <x v="46"/>
    <m/>
    <m/>
  </r>
  <r>
    <n v="64979410"/>
    <x v="17"/>
    <n v="20000"/>
    <d v="2026-06-01T00:00:00"/>
    <s v="GH Giant Vanilla Sandwich 1-24BK"/>
    <x v="69"/>
    <n v="4.248E-3"/>
    <n v="324"/>
    <x v="17"/>
    <x v="42"/>
    <n v="0.96"/>
    <n v="19200"/>
    <n v="81.561599999999999"/>
    <n v="59.25925925925926"/>
    <s v="Jun"/>
    <x v="13"/>
    <m/>
    <m/>
  </r>
  <r>
    <n v="64979410"/>
    <x v="17"/>
    <n v="20000"/>
    <d v="2026-06-08T00:00:00"/>
    <s v="GH Giant Vanilla Sandwich 1-24BK"/>
    <x v="69"/>
    <n v="4.248E-3"/>
    <n v="324"/>
    <x v="17"/>
    <x v="42"/>
    <n v="0.96"/>
    <n v="19200"/>
    <n v="81.561599999999999"/>
    <n v="59.25925925925926"/>
    <s v="Jun"/>
    <x v="47"/>
    <m/>
    <m/>
  </r>
  <r>
    <n v="64979410"/>
    <x v="17"/>
    <n v="20000"/>
    <d v="2026-06-22T00:00:00"/>
    <s v="GH Giant Vanilla Sandwich 1-24BK"/>
    <x v="69"/>
    <n v="4.248E-3"/>
    <n v="324"/>
    <x v="17"/>
    <x v="42"/>
    <n v="0.96"/>
    <n v="19200"/>
    <n v="81.561599999999999"/>
    <n v="59.25925925925926"/>
    <s v="Jun"/>
    <x v="49"/>
    <m/>
    <m/>
  </r>
  <r>
    <n v="64979410"/>
    <x v="17"/>
    <n v="20000"/>
    <d v="2026-06-29T00:00:00"/>
    <s v="GH Giant Vanilla Sandwich 1-24BK"/>
    <x v="69"/>
    <n v="4.248E-3"/>
    <n v="324"/>
    <x v="17"/>
    <x v="42"/>
    <n v="0.96"/>
    <n v="19200"/>
    <n v="81.561599999999999"/>
    <n v="59.25925925925926"/>
    <s v="Jun"/>
    <x v="14"/>
    <m/>
    <m/>
  </r>
  <r>
    <n v="64979410"/>
    <x v="17"/>
    <n v="20000"/>
    <d v="2026-07-20T00:00:00"/>
    <s v="GH Giant Vanilla Sandwich 1-24BK"/>
    <x v="69"/>
    <n v="4.248E-3"/>
    <n v="324"/>
    <x v="17"/>
    <x v="42"/>
    <n v="0.96"/>
    <n v="19200"/>
    <n v="81.561599999999999"/>
    <n v="59.25925925925926"/>
    <s v="Jul"/>
    <x v="31"/>
    <m/>
    <m/>
  </r>
  <r>
    <n v="64979410"/>
    <x v="17"/>
    <n v="20000"/>
    <d v="2026-07-27T00:00:00"/>
    <s v="GH Giant Vanilla Sandwich 1-24BK"/>
    <x v="69"/>
    <n v="4.248E-3"/>
    <n v="324"/>
    <x v="17"/>
    <x v="42"/>
    <n v="0.96"/>
    <n v="19200"/>
    <n v="81.561599999999999"/>
    <n v="59.25925925925926"/>
    <s v="Jul"/>
    <x v="15"/>
    <m/>
    <m/>
  </r>
  <r>
    <n v="64979410"/>
    <x v="17"/>
    <n v="20000"/>
    <d v="2026-08-17T00:00:00"/>
    <s v="GH Giant Vanilla Sandwich 1-24BK"/>
    <x v="69"/>
    <n v="4.248E-3"/>
    <n v="324"/>
    <x v="17"/>
    <x v="42"/>
    <n v="0.96"/>
    <n v="19200"/>
    <n v="81.561599999999999"/>
    <n v="59.25925925925926"/>
    <s v="Aug"/>
    <x v="29"/>
    <m/>
    <m/>
  </r>
  <r>
    <n v="64979410"/>
    <x v="17"/>
    <n v="20000"/>
    <d v="2026-08-24T00:00:00"/>
    <s v="GH Giant Vanilla Sandwich 1-24BK"/>
    <x v="69"/>
    <n v="4.248E-3"/>
    <n v="324"/>
    <x v="17"/>
    <x v="42"/>
    <n v="0.96"/>
    <n v="19200"/>
    <n v="81.561599999999999"/>
    <n v="59.25925925925926"/>
    <s v="Aug"/>
    <x v="35"/>
    <m/>
    <m/>
  </r>
  <r>
    <n v="64979410"/>
    <x v="17"/>
    <n v="20000"/>
    <d v="2026-09-14T00:00:00"/>
    <s v="GH Giant Vanilla Sandwich 1-24BK"/>
    <x v="69"/>
    <n v="4.248E-3"/>
    <n v="324"/>
    <x v="17"/>
    <x v="42"/>
    <n v="0.96"/>
    <n v="19200"/>
    <n v="81.561599999999999"/>
    <n v="59.25925925925926"/>
    <s v="Sep"/>
    <x v="38"/>
    <m/>
    <m/>
  </r>
  <r>
    <n v="64979410"/>
    <x v="17"/>
    <n v="20000"/>
    <d v="2026-10-05T00:00:00"/>
    <s v="GH Giant Vanilla Sandwich 1-24BK"/>
    <x v="69"/>
    <n v="4.248E-3"/>
    <n v="324"/>
    <x v="17"/>
    <x v="42"/>
    <n v="0.96"/>
    <n v="19200"/>
    <n v="81.561599999999999"/>
    <n v="59.25925925925926"/>
    <s v="Oct"/>
    <x v="50"/>
    <m/>
    <m/>
  </r>
  <r>
    <n v="64979410"/>
    <x v="17"/>
    <n v="20000"/>
    <d v="2026-11-02T00:00:00"/>
    <s v="GH Giant Vanilla Sandwich 1-24BK"/>
    <x v="69"/>
    <n v="4.248E-3"/>
    <n v="324"/>
    <x v="17"/>
    <x v="42"/>
    <n v="0.96"/>
    <n v="19200"/>
    <n v="81.561599999999999"/>
    <n v="59.25925925925926"/>
    <s v="Nov"/>
    <x v="18"/>
    <m/>
    <m/>
  </r>
  <r>
    <n v="64979410"/>
    <x v="17"/>
    <m/>
    <d v="2026-12-07T00:00:00"/>
    <s v="GH Giant Vanilla Sandwich 1-24BK"/>
    <x v="69"/>
    <n v="4.248E-3"/>
    <n v="324"/>
    <x v="17"/>
    <x v="42"/>
    <n v="0.96"/>
    <n v="0"/>
    <n v="0"/>
    <n v="0"/>
    <s v="Dec"/>
    <x v="44"/>
    <m/>
    <m/>
  </r>
  <r>
    <n v="64956417"/>
    <x v="7"/>
    <n v="20020"/>
    <d v="2026-04-06T00:00:00"/>
    <s v="PS Hello Kitty Facepiece IH 6-6PK"/>
    <x v="70"/>
    <n v="2.16E-3"/>
    <n v="143"/>
    <x v="16"/>
    <x v="24"/>
    <n v="0.96"/>
    <n v="19219.2"/>
    <n v="41.513472"/>
    <n v="134.4"/>
    <s v="Apr"/>
    <x v="23"/>
    <m/>
    <m/>
  </r>
  <r>
    <n v="69725082"/>
    <x v="0"/>
    <m/>
    <d v="2026-03-30T00:00:00"/>
    <s v="PS OCG 6-18PK"/>
    <x v="92"/>
    <n v="5.2680000000000001E-3"/>
    <n v="130"/>
    <x v="6"/>
    <x v="15"/>
    <n v="0.96"/>
    <n v="0"/>
    <n v="0"/>
    <n v="0"/>
    <s v="Mar"/>
    <x v="20"/>
    <m/>
    <m/>
  </r>
  <r>
    <n v="69725082"/>
    <x v="0"/>
    <n v="20160"/>
    <d v="2026-04-06T00:00:00"/>
    <s v="PS OCG 6-18PK"/>
    <x v="92"/>
    <n v="5.2680000000000001E-3"/>
    <n v="130"/>
    <x v="6"/>
    <x v="15"/>
    <n v="0.96"/>
    <n v="19353.599999999999"/>
    <n v="101.95476479999999"/>
    <n v="148.87384615384613"/>
    <s v="Apr"/>
    <x v="23"/>
    <m/>
    <m/>
  </r>
  <r>
    <n v="69725082"/>
    <x v="0"/>
    <n v="20160"/>
    <d v="2026-04-13T00:00:00"/>
    <s v="PS OCG 6-18PK"/>
    <x v="92"/>
    <n v="5.2680000000000001E-3"/>
    <n v="130"/>
    <x v="6"/>
    <x v="15"/>
    <n v="0.96"/>
    <n v="19353.599999999999"/>
    <n v="101.95476479999999"/>
    <n v="148.87384615384613"/>
    <s v="Apr"/>
    <x v="25"/>
    <m/>
    <m/>
  </r>
  <r>
    <n v="69725082"/>
    <x v="0"/>
    <n v="20160"/>
    <d v="2026-04-20T00:00:00"/>
    <s v="PS OCG 6-18PK"/>
    <x v="92"/>
    <n v="5.2680000000000001E-3"/>
    <n v="130"/>
    <x v="6"/>
    <x v="15"/>
    <n v="0.96"/>
    <n v="19353.599999999999"/>
    <n v="101.95476479999999"/>
    <n v="148.87384615384613"/>
    <s v="Apr"/>
    <x v="40"/>
    <m/>
    <m/>
  </r>
  <r>
    <n v="69727314"/>
    <x v="0"/>
    <n v="20160"/>
    <d v="2026-04-27T00:00:00"/>
    <s v="PS OCG SF 6-18PK"/>
    <x v="92"/>
    <n v="5.2680000000000001E-3"/>
    <n v="130"/>
    <x v="6"/>
    <x v="15"/>
    <n v="0.96"/>
    <n v="19353.599999999999"/>
    <n v="101.95476479999999"/>
    <n v="148.87384615384613"/>
    <s v="Apr"/>
    <x v="21"/>
    <m/>
    <m/>
  </r>
  <r>
    <n v="62697528"/>
    <x v="3"/>
    <n v="20160"/>
    <d v="2026-05-25T00:00:00"/>
    <s v="BJ US-NDO-Milk+Cookies-8 1PT"/>
    <x v="77"/>
    <n v="3.7839999999999996E-3"/>
    <n v="240"/>
    <x v="3"/>
    <x v="13"/>
    <n v="0.95"/>
    <n v="19152"/>
    <n v="72.471167999999992"/>
    <n v="79.8"/>
    <s v="May"/>
    <x v="46"/>
    <m/>
    <m/>
  </r>
  <r>
    <n v="64413476"/>
    <x v="8"/>
    <n v="20520"/>
    <d v="2026-03-30T00:00:00"/>
    <s v="BJ US-IC-ChocFudgBrownie-FTNG-12 4FOZ"/>
    <x v="69"/>
    <n v="1.4399999999999999E-3"/>
    <n v="468"/>
    <x v="18"/>
    <x v="26"/>
    <n v="0.96"/>
    <n v="19699.2"/>
    <n v="28.366847999999997"/>
    <n v="42.092307692307692"/>
    <s v="Mar"/>
    <x v="20"/>
    <m/>
    <m/>
  </r>
  <r>
    <n v="64789262"/>
    <x v="0"/>
    <n v="20553"/>
    <d v="2026-03-23T00:00:00"/>
    <s v="GH Cookies+Cream 1-24BK OOH"/>
    <x v="60"/>
    <n v="2.8319999999999999E-3"/>
    <n v="225"/>
    <x v="7"/>
    <x v="8"/>
    <n v="0.96"/>
    <n v="19730.88"/>
    <n v="55.877852160000003"/>
    <n v="87.692800000000005"/>
    <s v="Mar"/>
    <x v="10"/>
    <m/>
    <m/>
  </r>
  <r>
    <n v="64413477"/>
    <x v="8"/>
    <n v="20610"/>
    <d v="2026-10-26T00:00:00"/>
    <s v="BJ US-IC-AmericoneDream-FTNG-12 4FOZ"/>
    <x v="69"/>
    <n v="1.4159999999999999E-3"/>
    <n v="468"/>
    <x v="18"/>
    <x v="26"/>
    <n v="0.96"/>
    <n v="19785.599999999999"/>
    <n v="28.016409599999996"/>
    <n v="42.276923076923076"/>
    <s v="Oct"/>
    <x v="33"/>
    <m/>
    <m/>
  </r>
  <r>
    <n v="64958122"/>
    <x v="11"/>
    <n v="20790"/>
    <d v="2026-04-20T00:00:00"/>
    <s v="Yasso Sea Salt Caramel 8-4pk"/>
    <x v="69"/>
    <n v="3.3119999999999998E-3"/>
    <n v="165"/>
    <x v="4"/>
    <x v="32"/>
    <n v="0.96"/>
    <n v="19958.399999999998"/>
    <n v="66.102220799999984"/>
    <n v="120.96"/>
    <s v="Apr"/>
    <x v="40"/>
    <m/>
    <m/>
  </r>
  <r>
    <n v="64976847"/>
    <x v="11"/>
    <n v="20790"/>
    <d v="2026-04-13T00:00:00"/>
    <s v="Yasso Vanilla Chocolate Crunch 8-4pk"/>
    <x v="69"/>
    <n v="2.5040000000000001E-3"/>
    <n v="165"/>
    <x v="4"/>
    <x v="32"/>
    <n v="0.96"/>
    <n v="19958.399999999998"/>
    <n v="49.975833599999994"/>
    <n v="120.96"/>
    <s v="Apr"/>
    <x v="25"/>
    <m/>
    <m/>
  </r>
  <r>
    <n v="64968812"/>
    <x v="1"/>
    <n v="20800"/>
    <d v="2026-05-04T00:00:00"/>
    <s v="TAL Roman Raspberry 8p 473ml"/>
    <x v="98"/>
    <n v="3.7839999999999996E-3"/>
    <n v="240"/>
    <x v="2"/>
    <x v="3"/>
    <n v="0.96"/>
    <n v="19968"/>
    <n v="75.558911999999992"/>
    <n v="83.2"/>
    <s v="May"/>
    <x v="24"/>
    <m/>
    <m/>
  </r>
  <r>
    <n v="64968834"/>
    <x v="1"/>
    <n v="20800"/>
    <d v="2026-05-11T00:00:00"/>
    <s v="TAL Summer Strawberry 8p 473ml"/>
    <x v="98"/>
    <n v="3.7839999999999996E-3"/>
    <n v="240"/>
    <x v="2"/>
    <x v="3"/>
    <n v="0.96"/>
    <n v="19968"/>
    <n v="75.558911999999992"/>
    <n v="83.2"/>
    <s v="May"/>
    <x v="26"/>
    <m/>
    <m/>
  </r>
  <r>
    <n v="68860657"/>
    <x v="1"/>
    <n v="20800"/>
    <d v="2026-04-27T00:00:00"/>
    <s v="Talenti Sea Salt Caramel 8 1PT"/>
    <x v="98"/>
    <n v="3.7839999999999996E-3"/>
    <n v="255"/>
    <x v="2"/>
    <x v="3"/>
    <n v="0.96"/>
    <n v="19968"/>
    <n v="75.558911999999992"/>
    <n v="78.305882352941182"/>
    <s v="Apr"/>
    <x v="21"/>
    <m/>
    <m/>
  </r>
  <r>
    <n v="64367657"/>
    <x v="1"/>
    <n v="20900"/>
    <d v="2026-04-06T00:00:00"/>
    <s v="TAL LYR CHOC Chip CKE Batter 8p 311.3g"/>
    <x v="87"/>
    <n v="3.552E-3"/>
    <n v="255"/>
    <x v="2"/>
    <x v="3"/>
    <n v="0.96"/>
    <n v="20064"/>
    <n v="71.267328000000006"/>
    <n v="78.682352941176475"/>
    <s v="Apr"/>
    <x v="23"/>
    <m/>
    <m/>
  </r>
  <r>
    <n v="64369043"/>
    <x v="1"/>
    <n v="20900"/>
    <d v="2026-04-06T00:00:00"/>
    <s v="TAL ND LYR CHOC Fudge Brownie 8 323.1g"/>
    <x v="87"/>
    <n v="3.552E-3"/>
    <n v="255"/>
    <x v="2"/>
    <x v="3"/>
    <n v="0.96"/>
    <n v="20064"/>
    <n v="71.267328000000006"/>
    <n v="78.682352941176475"/>
    <s v="Apr"/>
    <x v="23"/>
    <m/>
    <m/>
  </r>
  <r>
    <n v="68860585"/>
    <x v="1"/>
    <n v="20900"/>
    <d v="2026-05-04T00:00:00"/>
    <s v="Talenti Raspberry Cheesecake 8 1PT"/>
    <x v="87"/>
    <n v="3.7839999999999996E-3"/>
    <n v="255"/>
    <x v="2"/>
    <x v="3"/>
    <n v="0.96"/>
    <n v="20064"/>
    <n v="75.922175999999993"/>
    <n v="78.682352941176475"/>
    <s v="May"/>
    <x v="24"/>
    <m/>
    <m/>
  </r>
  <r>
    <n v="68862483"/>
    <x v="1"/>
    <n v="20900"/>
    <d v="2026-04-13T00:00:00"/>
    <s v="Talenti LYR STRWBRRY Shortcake 8 297.6g"/>
    <x v="87"/>
    <n v="3.552E-3"/>
    <n v="255"/>
    <x v="2"/>
    <x v="3"/>
    <n v="0.96"/>
    <n v="20064"/>
    <n v="71.267328000000006"/>
    <n v="78.682352941176475"/>
    <s v="Apr"/>
    <x v="25"/>
    <m/>
    <m/>
  </r>
  <r>
    <n v="68862392"/>
    <x v="1"/>
    <n v="36000"/>
    <d v="2026-03-30T00:00:00"/>
    <s v="Talenti Coffee CHOC Chip 8 1PT"/>
    <x v="98"/>
    <n v="3.7839999999999996E-3"/>
    <n v="255"/>
    <x v="2"/>
    <x v="3"/>
    <n v="0.96"/>
    <n v="34560"/>
    <n v="130.77503999999999"/>
    <n v="135.52941176470588"/>
    <s v="Mar"/>
    <x v="20"/>
    <m/>
    <m/>
  </r>
  <r>
    <n v="64973976"/>
    <x v="8"/>
    <n v="20926"/>
    <d v="2026-05-18T00:00:00"/>
    <s v="BR Reeses Mini Cups 1-12PK"/>
    <x v="69"/>
    <n v="1.0644000000000001E-3"/>
    <n v="190"/>
    <x v="23"/>
    <x v="55"/>
    <n v="0.96"/>
    <n v="20088.96"/>
    <n v="21.382689024000001"/>
    <n v="105.73136842105262"/>
    <s v="May"/>
    <x v="39"/>
    <m/>
    <m/>
  </r>
  <r>
    <n v="64776954"/>
    <x v="0"/>
    <m/>
    <d v="2026-03-30T00:00:00"/>
    <s v="PS Scribblers Natural 6-18PK"/>
    <x v="90"/>
    <n v="3.8340000000000002E-3"/>
    <n v="130"/>
    <x v="6"/>
    <x v="15"/>
    <n v="0.96"/>
    <n v="0"/>
    <n v="0"/>
    <n v="0"/>
    <s v="Mar"/>
    <x v="20"/>
    <m/>
    <m/>
  </r>
  <r>
    <n v="64776954"/>
    <x v="0"/>
    <n v="21000"/>
    <d v="2026-04-27T00:00:00"/>
    <s v="PS Scribblers Natural 6-18PK"/>
    <x v="90"/>
    <n v="3.8340000000000002E-3"/>
    <n v="130"/>
    <x v="6"/>
    <x v="15"/>
    <n v="0.96"/>
    <n v="20160"/>
    <n v="77.293440000000004"/>
    <n v="155.07692307692307"/>
    <s v="Apr"/>
    <x v="21"/>
    <m/>
    <m/>
  </r>
  <r>
    <n v="64776954"/>
    <x v="0"/>
    <n v="21000"/>
    <d v="2026-05-04T00:00:00"/>
    <s v="PS Scribblers Natural 6-18PK"/>
    <x v="90"/>
    <n v="3.8340000000000002E-3"/>
    <n v="130"/>
    <x v="6"/>
    <x v="15"/>
    <n v="0.96"/>
    <n v="20160"/>
    <n v="77.293440000000004"/>
    <n v="155.07692307692307"/>
    <s v="May"/>
    <x v="24"/>
    <m/>
    <m/>
  </r>
  <r>
    <n v="64776954"/>
    <x v="0"/>
    <n v="21000"/>
    <d v="2026-05-18T00:00:00"/>
    <s v="PS Scribblers Natural 6-18PK"/>
    <x v="90"/>
    <n v="3.8340000000000002E-3"/>
    <n v="130"/>
    <x v="6"/>
    <x v="15"/>
    <n v="0.96"/>
    <n v="20160"/>
    <n v="77.293440000000004"/>
    <n v="155.07692307692307"/>
    <s v="May"/>
    <x v="39"/>
    <m/>
    <m/>
  </r>
  <r>
    <n v="64776954"/>
    <x v="0"/>
    <n v="21000"/>
    <d v="2026-05-25T00:00:00"/>
    <s v="PS Scribblers Natural 6-18PK"/>
    <x v="90"/>
    <n v="3.8340000000000002E-3"/>
    <n v="130"/>
    <x v="6"/>
    <x v="15"/>
    <n v="0.96"/>
    <n v="20160"/>
    <n v="77.293440000000004"/>
    <n v="155.07692307692307"/>
    <s v="May"/>
    <x v="46"/>
    <m/>
    <m/>
  </r>
  <r>
    <n v="68851107"/>
    <x v="1"/>
    <n v="23400"/>
    <d v="2026-03-30T00:00:00"/>
    <s v="BR NAT Vanilla 6-1.5QT"/>
    <x v="80"/>
    <n v="8.5199999999999998E-3"/>
    <n v="176"/>
    <x v="0"/>
    <x v="1"/>
    <n v="0.94"/>
    <n v="21996"/>
    <n v="187.40592000000001"/>
    <n v="124.97727272727273"/>
    <s v="Mar"/>
    <x v="20"/>
    <m/>
    <m/>
  </r>
  <r>
    <n v="64988056"/>
    <x v="1"/>
    <n v="21000"/>
    <d v="2026-04-06T00:00:00"/>
    <s v="BR Butter Pecan 6 1.5QT"/>
    <x v="83"/>
    <n v="8.513999999999999E-3"/>
    <n v="176"/>
    <x v="0"/>
    <x v="1"/>
    <n v="0.94"/>
    <n v="19740"/>
    <n v="168.06635999999997"/>
    <n v="112.15909090909091"/>
    <s v="Apr"/>
    <x v="23"/>
    <m/>
    <m/>
  </r>
  <r>
    <n v="69568962"/>
    <x v="1"/>
    <n v="81000"/>
    <d v="2026-03-30T00:00:00"/>
    <s v="BR NSA VCS 6 1.5QT"/>
    <x v="80"/>
    <n v="8.5199999999999998E-3"/>
    <n v="176"/>
    <x v="0"/>
    <x v="1"/>
    <n v="0.94"/>
    <n v="76140"/>
    <n v="648.71280000000002"/>
    <n v="432.61363636363637"/>
    <s v="Mar"/>
    <x v="20"/>
    <m/>
    <m/>
  </r>
  <r>
    <n v="68821735"/>
    <x v="1"/>
    <n v="21000"/>
    <d v="2026-04-06T00:00:00"/>
    <s v="BR Lactose Free Vanilla 6 1.5QT"/>
    <x v="89"/>
    <n v="8.5199999999999998E-3"/>
    <n v="176"/>
    <x v="0"/>
    <x v="1"/>
    <n v="0.94"/>
    <n v="19740"/>
    <n v="168.1848"/>
    <n v="112.15909090909091"/>
    <s v="Apr"/>
    <x v="23"/>
    <m/>
    <m/>
  </r>
  <r>
    <n v="84137725"/>
    <x v="2"/>
    <n v="21000"/>
    <d v="2026-04-06T00:00:00"/>
    <s v="BJ US-IC-CherryGarcia-FTNG-8 1PT"/>
    <x v="84"/>
    <n v="3.7853439999999999E-3"/>
    <n v="240"/>
    <x v="3"/>
    <x v="4"/>
    <n v="0.95"/>
    <n v="19950"/>
    <n v="75.517612799999995"/>
    <n v="83.125"/>
    <s v="Apr"/>
    <x v="23"/>
    <m/>
    <m/>
  </r>
  <r>
    <n v="84154487"/>
    <x v="2"/>
    <n v="21000"/>
    <d v="2026-03-30T00:00:00"/>
    <s v="BJ R01-IC-HalfBaked-FTNG-8 458ML"/>
    <x v="84"/>
    <n v="3.7839999999999996E-3"/>
    <n v="240"/>
    <x v="3"/>
    <x v="4"/>
    <n v="0.95"/>
    <n v="19950"/>
    <n v="75.490799999999993"/>
    <n v="83.125"/>
    <s v="Mar"/>
    <x v="20"/>
    <m/>
    <m/>
  </r>
  <r>
    <n v="64786654"/>
    <x v="0"/>
    <n v="21120"/>
    <d v="2026-03-30T00:00:00"/>
    <s v="GH Cookies and Creme Bar 8-6PK"/>
    <x v="96"/>
    <n v="3.8959999999999997E-3"/>
    <n v="154"/>
    <x v="7"/>
    <x v="8"/>
    <n v="0.96"/>
    <n v="20275.2"/>
    <n v="78.992179199999995"/>
    <n v="131.65714285714287"/>
    <s v="Mar"/>
    <x v="20"/>
    <m/>
    <m/>
  </r>
  <r>
    <n v="68741742"/>
    <x v="0"/>
    <n v="21120"/>
    <d v="2026-04-06T00:00:00"/>
    <s v="GH Strawberry Shortcake Bar 8-6PK"/>
    <x v="96"/>
    <n v="4.2560000000000002E-3"/>
    <n v="154"/>
    <x v="7"/>
    <x v="8"/>
    <n v="0.96"/>
    <n v="20275.2"/>
    <n v="86.291251200000005"/>
    <n v="131.65714285714287"/>
    <s v="Apr"/>
    <x v="23"/>
    <m/>
    <m/>
  </r>
  <r>
    <n v="65549173"/>
    <x v="7"/>
    <n v="21200"/>
    <d v="2026-05-04T00:00:00"/>
    <s v="PS Bluey Facepiece OOH 1-20PK"/>
    <x v="70"/>
    <n v="1.1999999999999999E-3"/>
    <n v="210"/>
    <x v="16"/>
    <x v="24"/>
    <n v="0.96"/>
    <n v="20352"/>
    <n v="24.422399999999996"/>
    <n v="96.914285714285711"/>
    <s v="May"/>
    <x v="24"/>
    <m/>
    <m/>
  </r>
  <r>
    <n v="64771676"/>
    <x v="7"/>
    <n v="21300"/>
    <d v="2026-12-21T00:00:00"/>
    <s v="PS SpongeBob Facepiece IH 6-6PK"/>
    <x v="70"/>
    <n v="2.16E-3"/>
    <n v="195"/>
    <x v="16"/>
    <x v="24"/>
    <n v="0.96"/>
    <n v="20448"/>
    <n v="44.167679999999997"/>
    <n v="104.86153846153846"/>
    <s v="Dec"/>
    <x v="51"/>
    <m/>
    <m/>
  </r>
  <r>
    <n v="64771676"/>
    <x v="7"/>
    <n v="21312"/>
    <d v="2026-09-28T00:00:00"/>
    <s v="PS SpongeBob Facepiece IH 6-6PK"/>
    <x v="70"/>
    <n v="2.16E-3"/>
    <n v="195"/>
    <x v="16"/>
    <x v="24"/>
    <n v="0.96"/>
    <n v="20459.52"/>
    <n v="44.192563200000002"/>
    <n v="104.92061538461539"/>
    <s v="Sep"/>
    <x v="17"/>
    <m/>
    <m/>
  </r>
  <r>
    <n v="64979444"/>
    <x v="7"/>
    <n v="21314"/>
    <d v="2026-08-31T00:00:00"/>
    <s v="PS Bluey Facepiece IH 6-6PK"/>
    <x v="70"/>
    <n v="2.16E-3"/>
    <n v="195"/>
    <x v="16"/>
    <x v="24"/>
    <n v="0.96"/>
    <n v="20461.439999999999"/>
    <n v="44.196710400000001"/>
    <n v="104.93046153846153"/>
    <s v="Aug"/>
    <x v="16"/>
    <m/>
    <m/>
  </r>
  <r>
    <n v="69727314"/>
    <x v="0"/>
    <n v="21600"/>
    <d v="2026-05-11T00:00:00"/>
    <s v="PS OCG SF 6-18PK"/>
    <x v="92"/>
    <n v="5.2680000000000001E-3"/>
    <n v="130"/>
    <x v="6"/>
    <x v="15"/>
    <n v="0.96"/>
    <n v="20736"/>
    <n v="109.23724800000001"/>
    <n v="159.50769230769231"/>
    <s v="May"/>
    <x v="26"/>
    <m/>
    <m/>
  </r>
  <r>
    <n v="69727314"/>
    <x v="0"/>
    <n v="21600"/>
    <d v="2026-05-18T00:00:00"/>
    <s v="PS OCG SF 6-18PK"/>
    <x v="92"/>
    <n v="5.2680000000000001E-3"/>
    <n v="130"/>
    <x v="6"/>
    <x v="15"/>
    <n v="0.96"/>
    <n v="20736"/>
    <n v="109.23724800000001"/>
    <n v="159.50769230769231"/>
    <s v="May"/>
    <x v="39"/>
    <m/>
    <m/>
  </r>
  <r>
    <n v="64341106"/>
    <x v="1"/>
    <n v="21600"/>
    <d v="2026-04-13T00:00:00"/>
    <s v="PS Jolly Rancher Pop 6-18PK"/>
    <x v="93"/>
    <n v="5.2680000000000001E-3"/>
    <n v="130"/>
    <x v="6"/>
    <x v="7"/>
    <n v="0.96"/>
    <n v="20736"/>
    <n v="109.23724800000001"/>
    <n v="159.50769230769231"/>
    <s v="Apr"/>
    <x v="25"/>
    <m/>
    <m/>
  </r>
  <r>
    <n v="64341106"/>
    <x v="1"/>
    <n v="21600"/>
    <d v="2026-04-20T00:00:00"/>
    <s v="PS Jolly Rancher Pop 6-18PK"/>
    <x v="93"/>
    <n v="5.2680000000000001E-3"/>
    <n v="130"/>
    <x v="6"/>
    <x v="7"/>
    <n v="0.96"/>
    <n v="20736"/>
    <n v="109.23724800000001"/>
    <n v="159.50769230769231"/>
    <s v="Apr"/>
    <x v="40"/>
    <m/>
    <m/>
  </r>
  <r>
    <n v="64341106"/>
    <x v="1"/>
    <n v="21600"/>
    <d v="2026-04-27T00:00:00"/>
    <s v="PS Jolly Rancher Pop 6-18PK"/>
    <x v="93"/>
    <n v="5.2680000000000001E-3"/>
    <n v="130"/>
    <x v="6"/>
    <x v="7"/>
    <n v="0.96"/>
    <n v="20736"/>
    <n v="109.23724800000001"/>
    <n v="159.50769230769231"/>
    <s v="Apr"/>
    <x v="21"/>
    <m/>
    <m/>
  </r>
  <r>
    <n v="64341106"/>
    <x v="1"/>
    <n v="21600"/>
    <d v="2026-05-04T00:00:00"/>
    <s v="PS Jolly Rancher Pop 6-18PK"/>
    <x v="93"/>
    <n v="5.2680000000000001E-3"/>
    <n v="130"/>
    <x v="6"/>
    <x v="7"/>
    <n v="0.96"/>
    <n v="20736"/>
    <n v="109.23724800000001"/>
    <n v="159.50769230769231"/>
    <s v="May"/>
    <x v="24"/>
    <m/>
    <m/>
  </r>
  <r>
    <n v="64341106"/>
    <x v="1"/>
    <n v="21600"/>
    <d v="2026-05-11T00:00:00"/>
    <s v="PS Jolly Rancher Pop 6-18PK"/>
    <x v="93"/>
    <n v="5.2680000000000001E-3"/>
    <n v="130"/>
    <x v="6"/>
    <x v="7"/>
    <n v="0.96"/>
    <n v="20736"/>
    <n v="109.23724800000001"/>
    <n v="159.50769230769231"/>
    <s v="May"/>
    <x v="26"/>
    <m/>
    <m/>
  </r>
  <r>
    <n v="64341106"/>
    <x v="1"/>
    <n v="21600"/>
    <d v="2026-05-18T00:00:00"/>
    <s v="PS Jolly Rancher Pop 6-18PK"/>
    <x v="93"/>
    <n v="5.2680000000000001E-3"/>
    <n v="130"/>
    <x v="6"/>
    <x v="7"/>
    <n v="0.96"/>
    <n v="20736"/>
    <n v="109.23724800000001"/>
    <n v="159.50769230769231"/>
    <s v="May"/>
    <x v="39"/>
    <m/>
    <m/>
  </r>
  <r>
    <n v="64341107"/>
    <x v="1"/>
    <n v="21600"/>
    <d v="2026-04-06T00:00:00"/>
    <s v="PS Jolly Rancher Sour 6-18PK"/>
    <x v="93"/>
    <n v="5.2680000000000001E-3"/>
    <n v="130"/>
    <x v="6"/>
    <x v="7"/>
    <n v="0.96"/>
    <n v="20736"/>
    <n v="109.23724800000001"/>
    <n v="159.50769230769231"/>
    <s v="Apr"/>
    <x v="23"/>
    <m/>
    <m/>
  </r>
  <r>
    <n v="64341107"/>
    <x v="1"/>
    <n v="21600"/>
    <d v="2026-05-25T00:00:00"/>
    <s v="PS Jolly Rancher Sour 6-18PK"/>
    <x v="93"/>
    <n v="5.2680000000000001E-3"/>
    <n v="130"/>
    <x v="6"/>
    <x v="7"/>
    <n v="0.96"/>
    <n v="20736"/>
    <n v="109.23724800000001"/>
    <n v="159.50769230769231"/>
    <s v="May"/>
    <x v="46"/>
    <m/>
    <m/>
  </r>
  <r>
    <n v="68746232"/>
    <x v="1"/>
    <n v="21600"/>
    <d v="2026-05-11T00:00:00"/>
    <s v="KL Mint CHOC Chip 12-6PK"/>
    <x v="71"/>
    <n v="8.5199999999999998E-3"/>
    <n v="132"/>
    <x v="1"/>
    <x v="11"/>
    <n v="0.96"/>
    <n v="20736"/>
    <n v="176.67071999999999"/>
    <n v="157.09090909090909"/>
    <s v="May"/>
    <x v="26"/>
    <m/>
    <m/>
  </r>
  <r>
    <n v="68746232"/>
    <x v="1"/>
    <n v="21600"/>
    <d v="2026-05-18T00:00:00"/>
    <s v="KL Mint CHOC Chip 12-6PK"/>
    <x v="71"/>
    <n v="8.5199999999999998E-3"/>
    <n v="132"/>
    <x v="1"/>
    <x v="11"/>
    <n v="0.96"/>
    <n v="20736"/>
    <n v="176.67071999999999"/>
    <n v="157.09090909090909"/>
    <s v="May"/>
    <x v="39"/>
    <m/>
    <m/>
  </r>
  <r>
    <n v="68851107"/>
    <x v="1"/>
    <n v="21600"/>
    <d v="2026-03-23T00:00:00"/>
    <s v="BR NAT Vanilla 6-1.5QT"/>
    <x v="80"/>
    <n v="8.5199999999999998E-3"/>
    <n v="176"/>
    <x v="0"/>
    <x v="1"/>
    <n v="0.94"/>
    <n v="20304"/>
    <n v="172.99008000000001"/>
    <n v="115.36363636363636"/>
    <s v="Mar"/>
    <x v="10"/>
    <m/>
    <m/>
  </r>
  <r>
    <n v="68851107"/>
    <x v="1"/>
    <n v="21600"/>
    <d v="2026-04-27T00:00:00"/>
    <s v="BR NAT Vanilla 6-1.5QT"/>
    <x v="80"/>
    <n v="8.5199999999999998E-3"/>
    <n v="176"/>
    <x v="0"/>
    <x v="1"/>
    <n v="0.94"/>
    <n v="20304"/>
    <n v="172.99008000000001"/>
    <n v="115.36363636363636"/>
    <s v="Apr"/>
    <x v="21"/>
    <m/>
    <m/>
  </r>
  <r>
    <n v="68852591"/>
    <x v="1"/>
    <n v="21600"/>
    <d v="2026-04-27T00:00:00"/>
    <s v="KL Heath Bar 12-6PK"/>
    <x v="71"/>
    <n v="8.5199999999999998E-3"/>
    <n v="132"/>
    <x v="1"/>
    <x v="11"/>
    <n v="0.96"/>
    <n v="20736"/>
    <n v="176.67071999999999"/>
    <n v="157.09090909090909"/>
    <s v="Apr"/>
    <x v="21"/>
    <m/>
    <m/>
  </r>
  <r>
    <n v="68852591"/>
    <x v="1"/>
    <n v="21600"/>
    <d v="2026-05-04T00:00:00"/>
    <s v="KL Heath Bar 12-6PK"/>
    <x v="71"/>
    <n v="8.5199999999999998E-3"/>
    <n v="132"/>
    <x v="1"/>
    <x v="11"/>
    <n v="0.96"/>
    <n v="20736"/>
    <n v="176.67071999999999"/>
    <n v="157.09090909090909"/>
    <s v="May"/>
    <x v="24"/>
    <m/>
    <m/>
  </r>
  <r>
    <n v="69983234"/>
    <x v="1"/>
    <n v="21600"/>
    <d v="2026-04-27T00:00:00"/>
    <s v="GH Creamsicle Bar 100 CAL 8-6PK"/>
    <x v="59"/>
    <n v="3.9039999999999999E-3"/>
    <n v="154"/>
    <x v="7"/>
    <x v="10"/>
    <n v="0.96"/>
    <n v="20736"/>
    <n v="80.953344000000001"/>
    <n v="134.64935064935065"/>
    <s v="Apr"/>
    <x v="21"/>
    <m/>
    <m/>
  </r>
  <r>
    <n v="64379123"/>
    <x v="4"/>
    <n v="21600"/>
    <d v="2026-05-04T00:00:00"/>
    <s v="KL ORIG Club Pack 1-24PK"/>
    <x v="81"/>
    <n v="3.1939999999999998E-3"/>
    <n v="322"/>
    <x v="26"/>
    <x v="49"/>
    <n v="0.96"/>
    <n v="20736"/>
    <n v="66.230784"/>
    <n v="64.397515527950304"/>
    <s v="May"/>
    <x v="24"/>
    <m/>
    <m/>
  </r>
  <r>
    <n v="64379123"/>
    <x v="4"/>
    <n v="21600"/>
    <d v="2026-07-06T00:00:00"/>
    <s v="KL ORIG Club Pack 1-24PK"/>
    <x v="81"/>
    <n v="3.1939999999999998E-3"/>
    <n v="322"/>
    <x v="26"/>
    <x v="49"/>
    <n v="0.96"/>
    <n v="20736"/>
    <n v="66.230784"/>
    <n v="64.397515527950304"/>
    <s v="Jul"/>
    <x v="30"/>
    <m/>
    <m/>
  </r>
  <r>
    <n v="64379123"/>
    <x v="4"/>
    <n v="21600"/>
    <d v="2026-07-13T00:00:00"/>
    <s v="KL ORIG Club Pack 1-24PK"/>
    <x v="81"/>
    <n v="3.1939999999999998E-3"/>
    <n v="322"/>
    <x v="26"/>
    <x v="49"/>
    <n v="0.96"/>
    <n v="20736"/>
    <n v="66.230784"/>
    <n v="64.397515527950304"/>
    <s v="Jul"/>
    <x v="48"/>
    <m/>
    <m/>
  </r>
  <r>
    <n v="64379123"/>
    <x v="4"/>
    <n v="21600"/>
    <d v="2026-08-10T00:00:00"/>
    <s v="KL ORIG Club Pack 1-24PK"/>
    <x v="81"/>
    <n v="3.1939999999999998E-3"/>
    <n v="322"/>
    <x v="26"/>
    <x v="49"/>
    <n v="0.96"/>
    <n v="20736"/>
    <n v="66.230784"/>
    <n v="64.397515527950304"/>
    <s v="Aug"/>
    <x v="34"/>
    <m/>
    <m/>
  </r>
  <r>
    <n v="64379123"/>
    <x v="4"/>
    <n v="21600"/>
    <d v="2026-10-19T00:00:00"/>
    <s v="KL ORIG Club Pack 1-24PK"/>
    <x v="81"/>
    <n v="3.1939999999999998E-3"/>
    <n v="322"/>
    <x v="26"/>
    <x v="49"/>
    <n v="0.96"/>
    <n v="20736"/>
    <n v="66.230784"/>
    <n v="64.397515527950304"/>
    <s v="Oct"/>
    <x v="41"/>
    <m/>
    <m/>
  </r>
  <r>
    <n v="64379123"/>
    <x v="4"/>
    <n v="21600"/>
    <d v="2026-11-16T00:00:00"/>
    <s v="KL ORIG Club Pack 1-24PK"/>
    <x v="81"/>
    <n v="3.1939999999999998E-3"/>
    <n v="322"/>
    <x v="26"/>
    <x v="49"/>
    <n v="0.96"/>
    <n v="20736"/>
    <n v="66.230784"/>
    <n v="64.397515527950304"/>
    <s v="Nov"/>
    <x v="42"/>
    <m/>
    <m/>
  </r>
  <r>
    <n v="64380012"/>
    <x v="4"/>
    <n v="21600"/>
    <d v="2026-05-25T00:00:00"/>
    <s v="KL Giant Original Bar 1-24PK"/>
    <x v="81"/>
    <n v="3.9119999999999997E-3"/>
    <n v="276"/>
    <x v="26"/>
    <x v="49"/>
    <n v="0.96"/>
    <n v="20736"/>
    <n v="81.119231999999997"/>
    <n v="75.130434782608702"/>
    <s v="May"/>
    <x v="46"/>
    <m/>
    <m/>
  </r>
  <r>
    <n v="64380012"/>
    <x v="4"/>
    <n v="21600"/>
    <d v="2026-06-01T00:00:00"/>
    <s v="KL Giant Original Bar 1-24PK"/>
    <x v="81"/>
    <n v="3.9119999999999997E-3"/>
    <n v="276"/>
    <x v="26"/>
    <x v="49"/>
    <n v="0.96"/>
    <n v="20736"/>
    <n v="81.119231999999997"/>
    <n v="75.130434782608702"/>
    <s v="Jun"/>
    <x v="13"/>
    <m/>
    <m/>
  </r>
  <r>
    <n v="64380012"/>
    <x v="4"/>
    <n v="21600"/>
    <d v="2026-06-29T00:00:00"/>
    <s v="KL Giant Original Bar 1-24PK"/>
    <x v="81"/>
    <n v="3.9119999999999997E-3"/>
    <n v="276"/>
    <x v="26"/>
    <x v="49"/>
    <n v="0.96"/>
    <n v="20736"/>
    <n v="81.119231999999997"/>
    <n v="75.130434782608702"/>
    <s v="Jun"/>
    <x v="14"/>
    <m/>
    <m/>
  </r>
  <r>
    <n v="64380012"/>
    <x v="4"/>
    <n v="21600"/>
    <d v="2026-07-20T00:00:00"/>
    <s v="KL Giant Original Bar 1-24PK"/>
    <x v="81"/>
    <n v="3.9119999999999997E-3"/>
    <n v="276"/>
    <x v="26"/>
    <x v="49"/>
    <n v="0.96"/>
    <n v="20736"/>
    <n v="81.119231999999997"/>
    <n v="75.130434782608702"/>
    <s v="Jul"/>
    <x v="31"/>
    <m/>
    <m/>
  </r>
  <r>
    <n v="64380012"/>
    <x v="4"/>
    <n v="21600"/>
    <d v="2026-09-21T00:00:00"/>
    <s v="KL Giant Original Bar 1-24PK"/>
    <x v="81"/>
    <n v="3.9119999999999997E-3"/>
    <n v="276"/>
    <x v="26"/>
    <x v="49"/>
    <n v="0.96"/>
    <n v="20736"/>
    <n v="81.119231999999997"/>
    <n v="75.130434782608702"/>
    <s v="Sep"/>
    <x v="45"/>
    <m/>
    <m/>
  </r>
  <r>
    <n v="64380012"/>
    <x v="4"/>
    <n v="21600"/>
    <d v="2026-11-02T00:00:00"/>
    <s v="KL Giant Original Bar 1-24PK"/>
    <x v="81"/>
    <n v="3.9119999999999997E-3"/>
    <n v="276"/>
    <x v="26"/>
    <x v="49"/>
    <n v="0.96"/>
    <n v="20736"/>
    <n v="81.119231999999997"/>
    <n v="75.130434782608702"/>
    <s v="Nov"/>
    <x v="18"/>
    <m/>
    <m/>
  </r>
  <r>
    <n v="64380013"/>
    <x v="4"/>
    <n v="21600"/>
    <d v="2026-08-17T00:00:00"/>
    <s v="GH Reeses IC Cup 1-24PK OOH"/>
    <x v="81"/>
    <n v="2.3519999999999999E-3"/>
    <n v="276"/>
    <x v="26"/>
    <x v="49"/>
    <n v="0.96"/>
    <n v="20736"/>
    <n v="48.771071999999997"/>
    <n v="75.130434782608702"/>
    <s v="Aug"/>
    <x v="29"/>
    <m/>
    <m/>
  </r>
  <r>
    <n v="64380013"/>
    <x v="4"/>
    <n v="21600"/>
    <d v="2026-08-24T00:00:00"/>
    <s v="GH Reeses IC Cup 1-24PK OOH"/>
    <x v="81"/>
    <n v="2.3519999999999999E-3"/>
    <n v="276"/>
    <x v="26"/>
    <x v="49"/>
    <n v="0.96"/>
    <n v="20736"/>
    <n v="48.771071999999997"/>
    <n v="75.130434782608702"/>
    <s v="Aug"/>
    <x v="35"/>
    <m/>
    <m/>
  </r>
  <r>
    <n v="64380013"/>
    <x v="4"/>
    <n v="21600"/>
    <d v="2026-09-14T00:00:00"/>
    <s v="GH Reeses IC Cup 1-24PK OOH"/>
    <x v="81"/>
    <n v="2.3519999999999999E-3"/>
    <n v="276"/>
    <x v="26"/>
    <x v="49"/>
    <n v="0.96"/>
    <n v="20736"/>
    <n v="48.771071999999997"/>
    <n v="75.130434782608702"/>
    <s v="Sep"/>
    <x v="38"/>
    <m/>
    <m/>
  </r>
  <r>
    <n v="64380013"/>
    <x v="4"/>
    <n v="21600"/>
    <d v="2026-11-23T00:00:00"/>
    <s v="GH Reeses IC Cup 1-24PK OOH"/>
    <x v="81"/>
    <n v="2.3519999999999999E-3"/>
    <n v="276"/>
    <x v="26"/>
    <x v="49"/>
    <n v="0.96"/>
    <n v="20736"/>
    <n v="48.771071999999997"/>
    <n v="75.130434782608702"/>
    <s v="Nov"/>
    <x v="43"/>
    <m/>
    <m/>
  </r>
  <r>
    <n v="84141094"/>
    <x v="3"/>
    <n v="21606"/>
    <d v="2026-03-23T00:00:00"/>
    <s v="BJ US-IC AmericoneDream-FTNG-8 1PT"/>
    <x v="86"/>
    <n v="3.7839999999999996E-3"/>
    <n v="240"/>
    <x v="3"/>
    <x v="13"/>
    <n v="0.95"/>
    <n v="20525.7"/>
    <n v="77.669248799999991"/>
    <n v="85.523750000000007"/>
    <s v="Mar"/>
    <x v="10"/>
    <m/>
    <m/>
  </r>
  <r>
    <n v="64771677"/>
    <x v="7"/>
    <n v="21808"/>
    <d v="2026-04-06T00:00:00"/>
    <s v="PS Minions Facepiece IH 6-6PK"/>
    <x v="70"/>
    <n v="2.16E-3"/>
    <n v="195"/>
    <x v="16"/>
    <x v="24"/>
    <n v="0.96"/>
    <n v="20935.68"/>
    <n v="45.221068800000005"/>
    <n v="107.36246153846155"/>
    <s v="Apr"/>
    <x v="23"/>
    <m/>
    <m/>
  </r>
  <r>
    <n v="68741742"/>
    <x v="1"/>
    <n v="22000"/>
    <d v="2026-04-06T00:00:00"/>
    <s v="GH Strawberry Shortcake Bar 8-6PK"/>
    <x v="59"/>
    <n v="4.2560000000000002E-3"/>
    <n v="154"/>
    <x v="7"/>
    <x v="10"/>
    <n v="0.96"/>
    <n v="21120"/>
    <n v="89.886720000000011"/>
    <n v="137.14285714285714"/>
    <s v="Apr"/>
    <x v="23"/>
    <m/>
    <m/>
  </r>
  <r>
    <n v="68741742"/>
    <x v="0"/>
    <n v="22200"/>
    <d v="2026-04-06T00:00:00"/>
    <s v="GH Strawberry Shortcake Bar 8-6PK"/>
    <x v="97"/>
    <n v="4.2560000000000002E-3"/>
    <n v="154"/>
    <x v="7"/>
    <x v="8"/>
    <n v="0.96"/>
    <n v="21312"/>
    <n v="90.703872000000004"/>
    <n v="138.3896103896104"/>
    <s v="Apr"/>
    <x v="23"/>
    <m/>
    <m/>
  </r>
  <r>
    <n v="68741742"/>
    <x v="0"/>
    <n v="22200"/>
    <d v="2026-04-13T00:00:00"/>
    <s v="GH Strawberry Shortcake Bar 8-6PK"/>
    <x v="97"/>
    <n v="4.2560000000000002E-3"/>
    <n v="154"/>
    <x v="7"/>
    <x v="8"/>
    <n v="0.96"/>
    <n v="21312"/>
    <n v="90.703872000000004"/>
    <n v="138.3896103896104"/>
    <s v="Apr"/>
    <x v="25"/>
    <m/>
    <m/>
  </r>
  <r>
    <n v="68741742"/>
    <x v="0"/>
    <n v="22200"/>
    <d v="2026-04-20T00:00:00"/>
    <s v="GH Strawberry Shortcake Bar 8-6PK"/>
    <x v="97"/>
    <n v="4.2560000000000002E-3"/>
    <n v="154"/>
    <x v="7"/>
    <x v="8"/>
    <n v="0.96"/>
    <n v="21312"/>
    <n v="90.703872000000004"/>
    <n v="138.3896103896104"/>
    <s v="Apr"/>
    <x v="40"/>
    <m/>
    <m/>
  </r>
  <r>
    <n v="68741742"/>
    <x v="0"/>
    <n v="22200"/>
    <d v="2026-04-27T00:00:00"/>
    <s v="GH Strawberry Shortcake Bar 8-6PK"/>
    <x v="97"/>
    <n v="4.2560000000000002E-3"/>
    <n v="154"/>
    <x v="7"/>
    <x v="8"/>
    <n v="0.96"/>
    <n v="21312"/>
    <n v="90.703872000000004"/>
    <n v="138.3896103896104"/>
    <s v="Apr"/>
    <x v="21"/>
    <m/>
    <m/>
  </r>
  <r>
    <n v="68741742"/>
    <x v="0"/>
    <n v="22200"/>
    <d v="2026-05-04T00:00:00"/>
    <s v="GH Strawberry Shortcake Bar 8-6PK"/>
    <x v="97"/>
    <n v="4.2560000000000002E-3"/>
    <n v="154"/>
    <x v="7"/>
    <x v="8"/>
    <n v="0.96"/>
    <n v="21312"/>
    <n v="90.703872000000004"/>
    <n v="138.3896103896104"/>
    <s v="May"/>
    <x v="24"/>
    <m/>
    <m/>
  </r>
  <r>
    <n v="68741742"/>
    <x v="0"/>
    <n v="22200"/>
    <d v="2026-05-11T00:00:00"/>
    <s v="GH Strawberry Shortcake Bar 8-6PK"/>
    <x v="97"/>
    <n v="4.2560000000000002E-3"/>
    <n v="154"/>
    <x v="7"/>
    <x v="8"/>
    <n v="0.96"/>
    <n v="21312"/>
    <n v="90.703872000000004"/>
    <n v="138.3896103896104"/>
    <s v="May"/>
    <x v="26"/>
    <m/>
    <m/>
  </r>
  <r>
    <n v="68741742"/>
    <x v="0"/>
    <n v="22200"/>
    <d v="2026-05-18T00:00:00"/>
    <s v="GH Strawberry Shortcake Bar 8-6PK"/>
    <x v="97"/>
    <n v="4.2560000000000002E-3"/>
    <n v="154"/>
    <x v="7"/>
    <x v="8"/>
    <n v="0.96"/>
    <n v="21312"/>
    <n v="90.703872000000004"/>
    <n v="138.3896103896104"/>
    <s v="May"/>
    <x v="39"/>
    <m/>
    <m/>
  </r>
  <r>
    <n v="69629468"/>
    <x v="0"/>
    <n v="22200"/>
    <d v="2026-04-27T00:00:00"/>
    <s v="PS Fudgesicle NSA 6-18PK"/>
    <x v="94"/>
    <n v="5.2680000000000001E-3"/>
    <n v="130"/>
    <x v="6"/>
    <x v="15"/>
    <n v="0.96"/>
    <n v="21312"/>
    <n v="112.27161600000001"/>
    <n v="163.93846153846152"/>
    <s v="Apr"/>
    <x v="21"/>
    <m/>
    <m/>
  </r>
  <r>
    <n v="69629468"/>
    <x v="0"/>
    <n v="22200"/>
    <d v="2026-05-04T00:00:00"/>
    <s v="PS Fudgesicle NSA 6-18PK"/>
    <x v="94"/>
    <n v="5.2680000000000001E-3"/>
    <n v="130"/>
    <x v="6"/>
    <x v="15"/>
    <n v="0.96"/>
    <n v="21312"/>
    <n v="112.27161600000001"/>
    <n v="163.93846153846152"/>
    <s v="May"/>
    <x v="24"/>
    <m/>
    <m/>
  </r>
  <r>
    <n v="69629468"/>
    <x v="0"/>
    <n v="22200"/>
    <d v="2026-05-11T00:00:00"/>
    <s v="PS Fudgesicle NSA 6-18PK"/>
    <x v="94"/>
    <n v="5.2680000000000001E-3"/>
    <n v="130"/>
    <x v="6"/>
    <x v="15"/>
    <n v="0.96"/>
    <n v="21312"/>
    <n v="112.27161600000001"/>
    <n v="163.93846153846152"/>
    <s v="May"/>
    <x v="26"/>
    <m/>
    <m/>
  </r>
  <r>
    <n v="69629468"/>
    <x v="0"/>
    <n v="22200"/>
    <d v="2026-05-18T00:00:00"/>
    <s v="PS Fudgesicle NSA 6-18PK"/>
    <x v="94"/>
    <n v="5.2680000000000001E-3"/>
    <n v="130"/>
    <x v="6"/>
    <x v="15"/>
    <n v="0.96"/>
    <n v="21312"/>
    <n v="112.27161600000001"/>
    <n v="163.93846153846152"/>
    <s v="May"/>
    <x v="39"/>
    <m/>
    <m/>
  </r>
  <r>
    <n v="69629468"/>
    <x v="0"/>
    <n v="22200"/>
    <d v="2026-05-25T00:00:00"/>
    <s v="PS Fudgesicle NSA 6-18PK"/>
    <x v="94"/>
    <n v="5.2680000000000001E-3"/>
    <n v="130"/>
    <x v="6"/>
    <x v="15"/>
    <n v="0.96"/>
    <n v="21312"/>
    <n v="112.27161600000001"/>
    <n v="163.93846153846152"/>
    <s v="May"/>
    <x v="46"/>
    <m/>
    <m/>
  </r>
  <r>
    <n v="64801569"/>
    <x v="3"/>
    <n v="22400"/>
    <d v="2026-04-13T00:00:00"/>
    <s v="BJ CA-NDO-Strawberry CHZCAKE-8 473ML"/>
    <x v="86"/>
    <n v="3.7839999999999996E-3"/>
    <n v="240"/>
    <x v="3"/>
    <x v="13"/>
    <n v="0.95"/>
    <n v="21280"/>
    <n v="80.523519999999991"/>
    <n v="88.666666666666671"/>
    <s v="Apr"/>
    <x v="25"/>
    <m/>
    <m/>
  </r>
  <r>
    <n v="67803006"/>
    <x v="3"/>
    <n v="22400"/>
    <d v="2026-05-18T00:00:00"/>
    <s v="BJ R01-IC-TonightDough-8 458ML"/>
    <x v="86"/>
    <n v="3.7839999999999996E-3"/>
    <n v="240"/>
    <x v="10"/>
    <x v="18"/>
    <n v="0.96"/>
    <n v="21504"/>
    <n v="81.371135999999993"/>
    <n v="89.6"/>
    <s v="May"/>
    <x v="39"/>
    <m/>
    <m/>
  </r>
  <r>
    <n v="84137725"/>
    <x v="3"/>
    <n v="22400"/>
    <d v="2026-03-23T00:00:00"/>
    <s v="BJ US-IC-CherryGarcia-FTNG-8 1PT"/>
    <x v="77"/>
    <n v="3.7853439999999999E-3"/>
    <n v="240"/>
    <x v="3"/>
    <x v="13"/>
    <n v="0.95"/>
    <n v="21280"/>
    <n v="80.55212032"/>
    <n v="88.666666666666671"/>
    <s v="Mar"/>
    <x v="10"/>
    <m/>
    <m/>
  </r>
  <r>
    <n v="65489676"/>
    <x v="12"/>
    <n v="22500"/>
    <d v="2026-07-13T00:00:00"/>
    <s v="GH King Cone GINT Cookies and CRM 1-12PK"/>
    <x v="69"/>
    <n v="2.8319999999999999E-3"/>
    <n v="221"/>
    <x v="17"/>
    <x v="34"/>
    <n v="0.96"/>
    <n v="21600"/>
    <n v="61.171199999999999"/>
    <n v="97.737556561085967"/>
    <s v="Jul"/>
    <x v="48"/>
    <m/>
    <m/>
  </r>
  <r>
    <n v="65489677"/>
    <x v="12"/>
    <n v="22500"/>
    <d v="2026-11-16T00:00:00"/>
    <s v="GH King Cone Giant VAN CHOC 1-12PK"/>
    <x v="69"/>
    <n v="2.8319999999999999E-3"/>
    <n v="221"/>
    <x v="17"/>
    <x v="34"/>
    <n v="0.96"/>
    <n v="21600"/>
    <n v="61.171199999999999"/>
    <n v="97.737556561085967"/>
    <s v="Nov"/>
    <x v="42"/>
    <m/>
    <m/>
  </r>
  <r>
    <n v="65489677"/>
    <x v="12"/>
    <n v="22500"/>
    <d v="2026-12-14T00:00:00"/>
    <s v="GH King Cone Giant VAN CHOC 1-12PK"/>
    <x v="69"/>
    <n v="2.8319999999999999E-3"/>
    <n v="221"/>
    <x v="17"/>
    <x v="34"/>
    <n v="0.96"/>
    <n v="21600"/>
    <n v="61.171199999999999"/>
    <n v="97.737556561085967"/>
    <s v="Dec"/>
    <x v="27"/>
    <m/>
    <m/>
  </r>
  <r>
    <n v="64997059"/>
    <x v="13"/>
    <n v="22500"/>
    <d v="2026-04-13T00:00:00"/>
    <s v="BJ US-IC-Mixed 12PK"/>
    <x v="69"/>
    <n v="5.6760000000000005E-3"/>
    <n v="96"/>
    <x v="17"/>
    <x v="35"/>
    <n v="0.96"/>
    <n v="21600"/>
    <n v="122.6016"/>
    <n v="225"/>
    <s v="Apr"/>
    <x v="25"/>
    <m/>
    <m/>
  </r>
  <r>
    <n v="68817799"/>
    <x v="0"/>
    <n v="22750"/>
    <d v="2026-03-30T00:00:00"/>
    <s v="BR Strawberry 6 1.5QT"/>
    <x v="73"/>
    <n v="8.5199999999999998E-3"/>
    <n v="176"/>
    <x v="0"/>
    <x v="0"/>
    <n v="0.94"/>
    <n v="21385"/>
    <n v="182.2002"/>
    <n v="121.50568181818181"/>
    <s v="Mar"/>
    <x v="20"/>
    <m/>
    <m/>
  </r>
  <r>
    <n v="68817793"/>
    <x v="0"/>
    <m/>
    <d v="2026-03-30T00:00:00"/>
    <s v="BR Mint CHOC Chip 6 1.5QT"/>
    <x v="73"/>
    <n v="8.5199999999999998E-3"/>
    <n v="176"/>
    <x v="0"/>
    <x v="0"/>
    <n v="0.94"/>
    <n v="0"/>
    <n v="0"/>
    <n v="0"/>
    <s v="Mar"/>
    <x v="20"/>
    <m/>
    <m/>
  </r>
  <r>
    <n v="68899825"/>
    <x v="0"/>
    <n v="22560"/>
    <d v="2026-04-27T00:00:00"/>
    <s v="BR CHOC Chip 6 1.5QT"/>
    <x v="73"/>
    <n v="8.513999999999999E-3"/>
    <n v="176"/>
    <x v="0"/>
    <x v="0"/>
    <n v="0.94"/>
    <n v="21206.399999999998"/>
    <n v="180.55128959999996"/>
    <n v="120.49090909090908"/>
    <s v="Apr"/>
    <x v="21"/>
    <m/>
    <m/>
  </r>
  <r>
    <n v="69554197"/>
    <x v="1"/>
    <n v="22671"/>
    <d v="2026-03-23T00:00:00"/>
    <s v="BR Reese PB Cup 8 1PT"/>
    <x v="88"/>
    <n v="3.7839999999999996E-3"/>
    <n v="240"/>
    <x v="9"/>
    <x v="14"/>
    <n v="0.96"/>
    <n v="21764.16"/>
    <n v="82.355581439999995"/>
    <n v="90.683999999999997"/>
    <s v="Mar"/>
    <x v="10"/>
    <m/>
    <m/>
  </r>
  <r>
    <n v="62697528"/>
    <x v="3"/>
    <n v="22680"/>
    <d v="2026-04-13T00:00:00"/>
    <s v="BJ US-NDO-Milk+Cookies-8 1PT"/>
    <x v="72"/>
    <n v="3.7839999999999996E-3"/>
    <n v="240"/>
    <x v="3"/>
    <x v="13"/>
    <n v="0.95"/>
    <n v="21546"/>
    <n v="81.530063999999996"/>
    <n v="89.775000000000006"/>
    <s v="Apr"/>
    <x v="25"/>
    <m/>
    <m/>
  </r>
  <r>
    <n v="69986506"/>
    <x v="3"/>
    <n v="22680"/>
    <d v="2026-05-25T00:00:00"/>
    <s v="BJ US-NDO-CherryGarcia-8 1PT"/>
    <x v="72"/>
    <n v="3.7839999999999996E-3"/>
    <n v="240"/>
    <x v="3"/>
    <x v="13"/>
    <n v="0.95"/>
    <n v="21546"/>
    <n v="81.530063999999996"/>
    <n v="89.775000000000006"/>
    <s v="May"/>
    <x v="46"/>
    <m/>
    <m/>
  </r>
  <r>
    <n v="68850683"/>
    <x v="0"/>
    <n v="9750"/>
    <d v="2026-03-30T00:00:00"/>
    <s v="BR Homemade Vanilla 6-1.5QT"/>
    <x v="78"/>
    <n v="8.5199999999999998E-3"/>
    <n v="176"/>
    <x v="0"/>
    <x v="0"/>
    <n v="0.94"/>
    <n v="9165"/>
    <n v="78.085799999999992"/>
    <n v="52.073863636363633"/>
    <s v="Mar"/>
    <x v="20"/>
    <m/>
    <m/>
  </r>
  <r>
    <n v="68851104"/>
    <x v="0"/>
    <n v="22750"/>
    <d v="2026-03-23T00:00:00"/>
    <s v="BR Chocolate 6-1.5QT"/>
    <x v="78"/>
    <n v="8.5199999999999998E-3"/>
    <n v="176"/>
    <x v="0"/>
    <x v="0"/>
    <n v="0.94"/>
    <n v="21385"/>
    <n v="182.2002"/>
    <n v="121.50568181818181"/>
    <s v="Mar"/>
    <x v="10"/>
    <m/>
    <m/>
  </r>
  <r>
    <n v="68851104"/>
    <x v="0"/>
    <n v="26000"/>
    <d v="2026-03-30T00:00:00"/>
    <s v="BR Chocolate 6-1.5QT"/>
    <x v="78"/>
    <n v="8.5199999999999998E-3"/>
    <n v="176"/>
    <x v="0"/>
    <x v="0"/>
    <n v="0.94"/>
    <n v="24440"/>
    <n v="208.22880000000001"/>
    <n v="138.86363636363637"/>
    <s v="Mar"/>
    <x v="20"/>
    <m/>
    <m/>
  </r>
  <r>
    <n v="64369031"/>
    <x v="1"/>
    <n v="22900"/>
    <d v="2026-03-23T00:00:00"/>
    <s v="TAL ND Double Cookie Crunch 8 1PT"/>
    <x v="87"/>
    <n v="3.7839999999999996E-3"/>
    <n v="255"/>
    <x v="2"/>
    <x v="3"/>
    <n v="0.96"/>
    <n v="21984"/>
    <n v="83.187455999999997"/>
    <n v="86.211764705882359"/>
    <s v="Mar"/>
    <x v="10"/>
    <m/>
    <m/>
  </r>
  <r>
    <n v="65489677"/>
    <x v="12"/>
    <n v="22919"/>
    <d v="2026-06-15T00:00:00"/>
    <s v="GH King Cone Giant VAN CHOC 1-12PK"/>
    <x v="69"/>
    <n v="2.8319999999999999E-3"/>
    <n v="221"/>
    <x v="17"/>
    <x v="34"/>
    <n v="0.96"/>
    <n v="22002.239999999998"/>
    <n v="62.310343679999988"/>
    <n v="99.55764705882352"/>
    <s v="Jun"/>
    <x v="28"/>
    <m/>
    <m/>
  </r>
  <r>
    <n v="69568828"/>
    <x v="0"/>
    <n v="22950"/>
    <d v="2026-04-06T00:00:00"/>
    <s v="BR CS Vanilla 6 1.5QT"/>
    <x v="82"/>
    <n v="8.5199999999999998E-3"/>
    <n v="176"/>
    <x v="0"/>
    <x v="0"/>
    <n v="0.94"/>
    <n v="21573"/>
    <n v="183.80196000000001"/>
    <n v="122.57386363636364"/>
    <s v="Apr"/>
    <x v="23"/>
    <m/>
    <m/>
  </r>
  <r>
    <n v="64958124"/>
    <x v="10"/>
    <n v="23000"/>
    <d v="2026-04-13T00:00:00"/>
    <s v="Yasso Cookies N Cream 8-4pk"/>
    <x v="69"/>
    <n v="3.3119999999999998E-3"/>
    <n v="165"/>
    <x v="4"/>
    <x v="30"/>
    <n v="0.96"/>
    <n v="22080"/>
    <n v="73.128959999999992"/>
    <n v="133.81818181818181"/>
    <s v="Apr"/>
    <x v="25"/>
    <m/>
    <m/>
  </r>
  <r>
    <n v="64330596"/>
    <x v="1"/>
    <m/>
    <d v="2026-03-23T00:00:00"/>
    <s v="MG Mini Double Caramel Bar 6-6PK"/>
    <x v="64"/>
    <n v="1.98E-3"/>
    <n v="176"/>
    <x v="5"/>
    <x v="6"/>
    <n v="0.96"/>
    <n v="0"/>
    <n v="0"/>
    <n v="0"/>
    <s v="Mar"/>
    <x v="10"/>
    <m/>
    <m/>
  </r>
  <r>
    <n v="64341108"/>
    <x v="7"/>
    <n v="23400"/>
    <d v="2026-07-13T00:00:00"/>
    <s v="PS SpongeBob Facepiece 1-20PK"/>
    <x v="70"/>
    <n v="2.3599999999999997E-3"/>
    <n v="210"/>
    <x v="16"/>
    <x v="24"/>
    <n v="0.96"/>
    <n v="22464"/>
    <n v="53.015039999999992"/>
    <n v="106.97142857142858"/>
    <s v="Jul"/>
    <x v="48"/>
    <m/>
    <m/>
  </r>
  <r>
    <n v="64341108"/>
    <x v="7"/>
    <n v="23400"/>
    <d v="2026-11-02T00:00:00"/>
    <s v="PS SpongeBob Facepiece 1-20PK"/>
    <x v="70"/>
    <n v="2.3599999999999997E-3"/>
    <n v="210"/>
    <x v="16"/>
    <x v="24"/>
    <n v="0.96"/>
    <n v="22464"/>
    <n v="53.015039999999992"/>
    <n v="106.97142857142858"/>
    <s v="Nov"/>
    <x v="18"/>
    <m/>
    <m/>
  </r>
  <r>
    <n v="64979444"/>
    <x v="7"/>
    <n v="23446"/>
    <d v="2026-07-13T00:00:00"/>
    <s v="PS Bluey Facepiece IH 6-6PK"/>
    <x v="70"/>
    <n v="2.16E-3"/>
    <n v="195"/>
    <x v="16"/>
    <x v="24"/>
    <n v="0.96"/>
    <n v="22508.16"/>
    <n v="48.617625600000004"/>
    <n v="115.42646153846154"/>
    <s v="Jul"/>
    <x v="48"/>
    <m/>
    <m/>
  </r>
  <r>
    <n v="69797289"/>
    <x v="3"/>
    <n v="23520"/>
    <d v="2026-05-18T00:00:00"/>
    <s v="BJ US-IC-Impretzively Fudged-8 1PT"/>
    <x v="77"/>
    <n v="3.7839999999999996E-3"/>
    <n v="240"/>
    <x v="3"/>
    <x v="13"/>
    <n v="0.95"/>
    <n v="22344"/>
    <n v="84.549695999999997"/>
    <n v="93.1"/>
    <s v="May"/>
    <x v="39"/>
    <m/>
    <m/>
  </r>
  <r>
    <n v="69986509"/>
    <x v="3"/>
    <n v="23800"/>
    <d v="2026-05-25T00:00:00"/>
    <s v="BJ US-NDO-PB Cookie-8 1PT"/>
    <x v="86"/>
    <n v="3.7839999999999996E-3"/>
    <n v="240"/>
    <x v="3"/>
    <x v="13"/>
    <n v="0.95"/>
    <n v="22610"/>
    <n v="85.556239999999988"/>
    <n v="94.208333333333329"/>
    <s v="May"/>
    <x v="46"/>
    <m/>
    <m/>
  </r>
  <r>
    <n v="64776952"/>
    <x v="0"/>
    <m/>
    <d v="2026-03-30T00:00:00"/>
    <s v="PS Firecracker 6-18PK"/>
    <x v="95"/>
    <n v="5.0940000000000004E-3"/>
    <n v="130"/>
    <x v="6"/>
    <x v="15"/>
    <n v="0.96"/>
    <n v="0"/>
    <n v="0"/>
    <n v="0"/>
    <s v="Mar"/>
    <x v="20"/>
    <m/>
    <m/>
  </r>
  <r>
    <n v="64776952"/>
    <x v="0"/>
    <n v="24000"/>
    <d v="2026-04-06T00:00:00"/>
    <s v="PS Firecracker 6-18PK"/>
    <x v="95"/>
    <n v="5.0940000000000004E-3"/>
    <n v="130"/>
    <x v="6"/>
    <x v="15"/>
    <n v="0.96"/>
    <n v="23040"/>
    <n v="117.36576000000001"/>
    <n v="177.23076923076923"/>
    <s v="Apr"/>
    <x v="23"/>
    <m/>
    <m/>
  </r>
  <r>
    <n v="69725083"/>
    <x v="0"/>
    <n v="24000"/>
    <d v="2026-05-11T00:00:00"/>
    <s v="PS SF Tropical 6-18PK"/>
    <x v="95"/>
    <n v="5.2680000000000001E-3"/>
    <n v="130"/>
    <x v="6"/>
    <x v="15"/>
    <n v="0.96"/>
    <n v="23040"/>
    <n v="121.37472"/>
    <n v="177.23076923076923"/>
    <s v="May"/>
    <x v="26"/>
    <m/>
    <m/>
  </r>
  <r>
    <n v="64976850"/>
    <x v="10"/>
    <n v="24000"/>
    <d v="2026-04-13T00:00:00"/>
    <s v="Yasso PB Chocolate Crunch 8-4pk"/>
    <x v="69"/>
    <n v="2.5040000000000001E-3"/>
    <n v="165"/>
    <x v="4"/>
    <x v="30"/>
    <n v="0.96"/>
    <n v="23040"/>
    <n v="57.692160000000001"/>
    <n v="139.63636363636363"/>
    <s v="Apr"/>
    <x v="25"/>
    <m/>
    <m/>
  </r>
  <r>
    <n v="64341962"/>
    <x v="1"/>
    <n v="24000"/>
    <d v="2026-04-06T00:00:00"/>
    <s v="BR Chocolate Truffle 6 1.5QT"/>
    <x v="83"/>
    <n v="8.513999999999999E-3"/>
    <n v="176"/>
    <x v="0"/>
    <x v="1"/>
    <n v="0.94"/>
    <n v="22560"/>
    <n v="192.07583999999997"/>
    <n v="128.18181818181819"/>
    <s v="Apr"/>
    <x v="23"/>
    <m/>
    <m/>
  </r>
  <r>
    <n v="65459388"/>
    <x v="1"/>
    <n v="24000"/>
    <d v="2026-05-25T00:00:00"/>
    <s v="BR Almond Joy 8 1PT"/>
    <x v="66"/>
    <n v="3.7839999999999996E-3"/>
    <n v="240"/>
    <x v="17"/>
    <x v="44"/>
    <n v="0.96"/>
    <n v="23040"/>
    <n v="87.183359999999993"/>
    <n v="96"/>
    <s v="May"/>
    <x v="46"/>
    <m/>
    <m/>
  </r>
  <r>
    <n v="69564623"/>
    <x v="1"/>
    <n v="24000"/>
    <d v="2026-04-13T00:00:00"/>
    <s v="BR ND Vanilla 6 1.5QT"/>
    <x v="83"/>
    <n v="8.5199999999999998E-3"/>
    <n v="176"/>
    <x v="0"/>
    <x v="1"/>
    <n v="0.94"/>
    <n v="22560"/>
    <n v="192.21119999999999"/>
    <n v="128.18181818181819"/>
    <s v="Apr"/>
    <x v="25"/>
    <m/>
    <m/>
  </r>
  <r>
    <n v="84164937"/>
    <x v="1"/>
    <n v="24000"/>
    <d v="2026-04-20T00:00:00"/>
    <s v="BJ US-IC-ChubbyHubby-8 1PT"/>
    <x v="66"/>
    <n v="3.7853439999999999E-3"/>
    <n v="240"/>
    <x v="3"/>
    <x v="12"/>
    <n v="0.95"/>
    <n v="22800"/>
    <n v="86.305843199999998"/>
    <n v="95"/>
    <s v="Apr"/>
    <x v="40"/>
    <m/>
    <m/>
  </r>
  <r>
    <n v="84164937"/>
    <x v="1"/>
    <n v="24000"/>
    <d v="2026-05-18T00:00:00"/>
    <s v="BJ US-IC-ChubbyHubby-8 1PT"/>
    <x v="66"/>
    <n v="3.7853439999999999E-3"/>
    <n v="240"/>
    <x v="3"/>
    <x v="12"/>
    <n v="0.95"/>
    <n v="22800"/>
    <n v="86.305843199999998"/>
    <n v="95"/>
    <s v="May"/>
    <x v="39"/>
    <m/>
    <m/>
  </r>
  <r>
    <n v="64360552"/>
    <x v="4"/>
    <n v="24000"/>
    <d v="2026-06-01T00:00:00"/>
    <s v="BR US CarbSmart Vanilla IH 6 1.5QT"/>
    <x v="91"/>
    <n v="8.4600000000000005E-3"/>
    <n v="168"/>
    <x v="0"/>
    <x v="52"/>
    <n v="0.94"/>
    <n v="22560"/>
    <n v="190.85760000000002"/>
    <n v="134.28571428571428"/>
    <s v="Jun"/>
    <x v="13"/>
    <m/>
    <m/>
  </r>
  <r>
    <n v="64360552"/>
    <x v="4"/>
    <n v="24000"/>
    <d v="2026-06-08T00:00:00"/>
    <s v="BR US CarbSmart Vanilla IH 6 1.5QT"/>
    <x v="91"/>
    <n v="8.4600000000000005E-3"/>
    <n v="168"/>
    <x v="0"/>
    <x v="52"/>
    <n v="0.94"/>
    <n v="22560"/>
    <n v="190.85760000000002"/>
    <n v="134.28571428571428"/>
    <s v="Jun"/>
    <x v="47"/>
    <m/>
    <m/>
  </r>
  <r>
    <n v="64360552"/>
    <x v="4"/>
    <n v="24000"/>
    <d v="2026-07-13T00:00:00"/>
    <s v="BR US CarbSmart Vanilla IH 6 1.5QT"/>
    <x v="91"/>
    <n v="8.4600000000000005E-3"/>
    <n v="168"/>
    <x v="0"/>
    <x v="52"/>
    <n v="0.94"/>
    <n v="22560"/>
    <n v="190.85760000000002"/>
    <n v="134.28571428571428"/>
    <s v="Jul"/>
    <x v="48"/>
    <m/>
    <m/>
  </r>
  <r>
    <n v="64360552"/>
    <x v="4"/>
    <n v="24000"/>
    <d v="2026-08-03T00:00:00"/>
    <s v="BR US CarbSmart Vanilla IH 6 1.5QT"/>
    <x v="91"/>
    <n v="8.4600000000000005E-3"/>
    <n v="168"/>
    <x v="0"/>
    <x v="52"/>
    <n v="0.94"/>
    <n v="22560"/>
    <n v="190.85760000000002"/>
    <n v="134.28571428571428"/>
    <s v="Aug"/>
    <x v="22"/>
    <m/>
    <m/>
  </r>
  <r>
    <n v="64360552"/>
    <x v="4"/>
    <n v="24000"/>
    <d v="2026-09-07T00:00:00"/>
    <s v="BR US CarbSmart Vanilla IH 6 1.5QT"/>
    <x v="91"/>
    <n v="8.4600000000000005E-3"/>
    <n v="168"/>
    <x v="0"/>
    <x v="52"/>
    <n v="0.94"/>
    <n v="22560"/>
    <n v="190.85760000000002"/>
    <n v="134.28571428571428"/>
    <s v="Sep"/>
    <x v="32"/>
    <m/>
    <m/>
  </r>
  <r>
    <n v="64360552"/>
    <x v="4"/>
    <n v="24000"/>
    <d v="2026-09-28T00:00:00"/>
    <s v="BR US CarbSmart Vanilla IH 6 1.5QT"/>
    <x v="91"/>
    <n v="8.4600000000000005E-3"/>
    <n v="168"/>
    <x v="0"/>
    <x v="52"/>
    <n v="0.94"/>
    <n v="22560"/>
    <n v="190.85760000000002"/>
    <n v="134.28571428571428"/>
    <s v="Sep"/>
    <x v="17"/>
    <m/>
    <m/>
  </r>
  <r>
    <n v="64360553"/>
    <x v="4"/>
    <n v="24000"/>
    <d v="2026-06-01T00:00:00"/>
    <s v="BR US CarbSmart CHOC IH 6 1.5QT"/>
    <x v="91"/>
    <n v="8.4600000000000005E-3"/>
    <n v="168"/>
    <x v="0"/>
    <x v="52"/>
    <n v="0.94"/>
    <n v="22560"/>
    <n v="190.85760000000002"/>
    <n v="134.28571428571428"/>
    <s v="Jun"/>
    <x v="13"/>
    <m/>
    <m/>
  </r>
  <r>
    <n v="64360553"/>
    <x v="4"/>
    <n v="24000"/>
    <d v="2026-06-08T00:00:00"/>
    <s v="BR US CarbSmart CHOC IH 6 1.5QT"/>
    <x v="91"/>
    <n v="8.4600000000000005E-3"/>
    <n v="168"/>
    <x v="0"/>
    <x v="52"/>
    <n v="0.94"/>
    <n v="22560"/>
    <n v="190.85760000000002"/>
    <n v="134.28571428571428"/>
    <s v="Jun"/>
    <x v="47"/>
    <m/>
    <m/>
  </r>
  <r>
    <n v="64360553"/>
    <x v="4"/>
    <n v="24000"/>
    <d v="2026-06-29T00:00:00"/>
    <s v="BR US CarbSmart CHOC IH 6 1.5QT"/>
    <x v="91"/>
    <n v="8.4600000000000005E-3"/>
    <n v="168"/>
    <x v="0"/>
    <x v="52"/>
    <n v="0.94"/>
    <n v="22560"/>
    <n v="190.85760000000002"/>
    <n v="134.28571428571428"/>
    <s v="Jun"/>
    <x v="14"/>
    <m/>
    <m/>
  </r>
  <r>
    <n v="64360553"/>
    <x v="4"/>
    <n v="24000"/>
    <d v="2026-07-13T00:00:00"/>
    <s v="BR US CarbSmart CHOC IH 6 1.5QT"/>
    <x v="91"/>
    <n v="8.4600000000000005E-3"/>
    <n v="168"/>
    <x v="0"/>
    <x v="52"/>
    <n v="0.94"/>
    <n v="22560"/>
    <n v="190.85760000000002"/>
    <n v="134.28571428571428"/>
    <s v="Jul"/>
    <x v="48"/>
    <m/>
    <m/>
  </r>
  <r>
    <n v="84150062"/>
    <x v="2"/>
    <m/>
    <d v="2026-05-18T00:00:00"/>
    <s v="BJ AMET-IC-ChocFudgeBrwn-FTNG-8 458ML"/>
    <x v="84"/>
    <n v="3.7839999999999996E-3"/>
    <n v="240"/>
    <x v="10"/>
    <x v="16"/>
    <n v="0.96"/>
    <n v="0"/>
    <n v="0"/>
    <n v="0"/>
    <s v="May"/>
    <x v="39"/>
    <m/>
    <m/>
  </r>
  <r>
    <n v="64988053"/>
    <x v="11"/>
    <n v="24406"/>
    <d v="2026-04-27T00:00:00"/>
    <s v="BJ US-Bar-PB Pretzel 8-4pk"/>
    <x v="69"/>
    <n v="2.3999999999999998E-3"/>
    <n v="165"/>
    <x v="24"/>
    <x v="45"/>
    <n v="0.96"/>
    <n v="23429.759999999998"/>
    <n v="56.23142399999999"/>
    <n v="141.99854545454545"/>
    <s v="Apr"/>
    <x v="21"/>
    <m/>
    <m/>
  </r>
  <r>
    <n v="64771677"/>
    <x v="7"/>
    <n v="24420"/>
    <d v="2026-05-11T00:00:00"/>
    <s v="PS Minions Facepiece IH 6-6PK"/>
    <x v="70"/>
    <n v="2.16E-3"/>
    <n v="195"/>
    <x v="16"/>
    <x v="24"/>
    <n v="0.96"/>
    <n v="23443.200000000001"/>
    <n v="50.637312000000001"/>
    <n v="120.22153846153847"/>
    <s v="May"/>
    <x v="26"/>
    <m/>
    <m/>
  </r>
  <r>
    <n v="64875812"/>
    <x v="8"/>
    <n v="24440"/>
    <d v="2026-05-18T00:00:00"/>
    <s v="KL Vanilla Sandwich 8-6 PK"/>
    <x v="69"/>
    <n v="6.0000000000000001E-3"/>
    <n v="108"/>
    <x v="12"/>
    <x v="27"/>
    <n v="0.96"/>
    <n v="23462.399999999998"/>
    <n v="140.77439999999999"/>
    <n v="217.24444444444441"/>
    <s v="May"/>
    <x v="39"/>
    <m/>
    <m/>
  </r>
  <r>
    <n v="68709233"/>
    <x v="0"/>
    <n v="35000"/>
    <d v="2026-03-30T00:00:00"/>
    <s v="KL SAB RF NSA Vanilla Bar 12-6PK"/>
    <x v="85"/>
    <n v="8.4960000000000001E-3"/>
    <n v="132"/>
    <x v="1"/>
    <x v="2"/>
    <n v="0.96"/>
    <n v="33600"/>
    <n v="285.46559999999999"/>
    <n v="254.54545454545453"/>
    <s v="Mar"/>
    <x v="20"/>
    <m/>
    <m/>
  </r>
  <r>
    <n v="64975614"/>
    <x v="11"/>
    <n v="25000"/>
    <d v="2026-05-11T00:00:00"/>
    <s v="Yasso Fudge Brownie 8-14z"/>
    <x v="69"/>
    <n v="3.3119999999999998E-3"/>
    <n v="240"/>
    <x v="11"/>
    <x v="31"/>
    <n v="0.96"/>
    <n v="24000"/>
    <n v="79.488"/>
    <n v="100"/>
    <s v="May"/>
    <x v="26"/>
    <m/>
    <m/>
  </r>
  <r>
    <n v="64999042"/>
    <x v="11"/>
    <n v="25000"/>
    <d v="2026-05-11T00:00:00"/>
    <s v="Yasso Coffee Chocolate Chip 8-14z"/>
    <x v="69"/>
    <n v="3.3119999999999998E-3"/>
    <n v="240"/>
    <x v="11"/>
    <x v="31"/>
    <n v="0.96"/>
    <n v="24000"/>
    <n v="79.488"/>
    <n v="100"/>
    <s v="May"/>
    <x v="26"/>
    <m/>
    <m/>
  </r>
  <r>
    <n v="64999042"/>
    <x v="11"/>
    <n v="25000"/>
    <d v="2026-09-21T00:00:00"/>
    <s v="Yasso Coffee Chocolate Chip 8-14z"/>
    <x v="69"/>
    <n v="3.3119999999999998E-3"/>
    <n v="240"/>
    <x v="11"/>
    <x v="31"/>
    <n v="0.96"/>
    <n v="24000"/>
    <n v="79.488"/>
    <n v="100"/>
    <s v="Sep"/>
    <x v="45"/>
    <m/>
    <m/>
  </r>
  <r>
    <n v="64999073"/>
    <x v="11"/>
    <n v="25000"/>
    <d v="2026-05-11T00:00:00"/>
    <s v="Yasso Cookies n Cream 8-14z"/>
    <x v="69"/>
    <n v="3.3119999999999998E-3"/>
    <n v="240"/>
    <x v="11"/>
    <x v="31"/>
    <n v="0.96"/>
    <n v="24000"/>
    <n v="79.488"/>
    <n v="100"/>
    <s v="May"/>
    <x v="26"/>
    <m/>
    <m/>
  </r>
  <r>
    <n v="64999073"/>
    <x v="11"/>
    <n v="25000"/>
    <d v="2026-06-15T00:00:00"/>
    <s v="Yasso Cookies n Cream 8-14z"/>
    <x v="69"/>
    <n v="3.3119999999999998E-3"/>
    <n v="240"/>
    <x v="11"/>
    <x v="31"/>
    <n v="0.96"/>
    <n v="24000"/>
    <n v="79.488"/>
    <n v="100"/>
    <s v="Jun"/>
    <x v="28"/>
    <m/>
    <m/>
  </r>
  <r>
    <n v="64999073"/>
    <x v="11"/>
    <n v="25000"/>
    <d v="2026-07-06T00:00:00"/>
    <s v="Yasso Cookies n Cream 8-14z"/>
    <x v="69"/>
    <n v="3.3119999999999998E-3"/>
    <n v="240"/>
    <x v="11"/>
    <x v="31"/>
    <n v="0.96"/>
    <n v="24000"/>
    <n v="79.488"/>
    <n v="100"/>
    <s v="Jul"/>
    <x v="30"/>
    <m/>
    <m/>
  </r>
  <r>
    <n v="64999073"/>
    <x v="11"/>
    <n v="25000"/>
    <d v="2026-07-27T00:00:00"/>
    <s v="Yasso Cookies n Cream 8-14z"/>
    <x v="69"/>
    <n v="3.3119999999999998E-3"/>
    <n v="240"/>
    <x v="11"/>
    <x v="31"/>
    <n v="0.96"/>
    <n v="24000"/>
    <n v="79.488"/>
    <n v="100"/>
    <s v="Jul"/>
    <x v="15"/>
    <m/>
    <m/>
  </r>
  <r>
    <n v="64999073"/>
    <x v="11"/>
    <n v="25000"/>
    <d v="2026-08-17T00:00:00"/>
    <s v="Yasso Cookies n Cream 8-14z"/>
    <x v="69"/>
    <n v="3.3119999999999998E-3"/>
    <n v="240"/>
    <x v="11"/>
    <x v="31"/>
    <n v="0.96"/>
    <n v="24000"/>
    <n v="79.488"/>
    <n v="100"/>
    <s v="Aug"/>
    <x v="29"/>
    <m/>
    <m/>
  </r>
  <r>
    <n v="64999073"/>
    <x v="11"/>
    <n v="25000"/>
    <d v="2026-09-07T00:00:00"/>
    <s v="Yasso Cookies n Cream 8-14z"/>
    <x v="69"/>
    <n v="3.3119999999999998E-3"/>
    <n v="240"/>
    <x v="11"/>
    <x v="31"/>
    <n v="0.96"/>
    <n v="24000"/>
    <n v="79.488"/>
    <n v="100"/>
    <s v="Sep"/>
    <x v="32"/>
    <m/>
    <m/>
  </r>
  <r>
    <n v="64999073"/>
    <x v="11"/>
    <n v="25000"/>
    <d v="2026-09-21T00:00:00"/>
    <s v="Yasso Cookies n Cream 8-14z"/>
    <x v="69"/>
    <n v="3.3119999999999998E-3"/>
    <n v="240"/>
    <x v="11"/>
    <x v="31"/>
    <n v="0.96"/>
    <n v="24000"/>
    <n v="79.488"/>
    <n v="100"/>
    <s v="Sep"/>
    <x v="45"/>
    <m/>
    <m/>
  </r>
  <r>
    <n v="64999073"/>
    <x v="11"/>
    <n v="25000"/>
    <d v="2026-10-26T00:00:00"/>
    <s v="Yasso Cookies n Cream 8-14z"/>
    <x v="69"/>
    <n v="3.3119999999999998E-3"/>
    <n v="240"/>
    <x v="11"/>
    <x v="31"/>
    <n v="0.96"/>
    <n v="24000"/>
    <n v="79.488"/>
    <n v="100"/>
    <s v="Oct"/>
    <x v="33"/>
    <m/>
    <m/>
  </r>
  <r>
    <n v="64999073"/>
    <x v="11"/>
    <n v="25000"/>
    <d v="2026-11-16T00:00:00"/>
    <s v="Yasso Cookies n Cream 8-14z"/>
    <x v="69"/>
    <n v="3.3119999999999998E-3"/>
    <n v="240"/>
    <x v="11"/>
    <x v="31"/>
    <n v="0.96"/>
    <n v="24000"/>
    <n v="79.488"/>
    <n v="100"/>
    <s v="Nov"/>
    <x v="42"/>
    <m/>
    <m/>
  </r>
  <r>
    <n v="64999073"/>
    <x v="11"/>
    <n v="25000"/>
    <d v="2026-12-14T00:00:00"/>
    <s v="Yasso Cookies n Cream 8-14z"/>
    <x v="69"/>
    <n v="3.3119999999999998E-3"/>
    <n v="240"/>
    <x v="11"/>
    <x v="31"/>
    <n v="0.96"/>
    <n v="24000"/>
    <n v="79.488"/>
    <n v="100"/>
    <s v="Dec"/>
    <x v="27"/>
    <m/>
    <m/>
  </r>
  <r>
    <n v="62712051"/>
    <x v="15"/>
    <n v="25000"/>
    <d v="2026-06-01T00:00:00"/>
    <s v="BR Mint CHOC Chip 6 1.5QT"/>
    <x v="69"/>
    <n v="8.5199999999999998E-3"/>
    <n v="156"/>
    <x v="0"/>
    <x v="51"/>
    <n v="0.94"/>
    <n v="23500"/>
    <n v="200.22"/>
    <n v="150.64102564102564"/>
    <s v="Jun"/>
    <x v="13"/>
    <m/>
    <m/>
  </r>
  <r>
    <n v="68599804"/>
    <x v="15"/>
    <n v="25000"/>
    <d v="2026-04-13T00:00:00"/>
    <s v="BR Chocolate 6 1.5QT"/>
    <x v="69"/>
    <n v="8.5199999999999998E-3"/>
    <n v="156"/>
    <x v="0"/>
    <x v="51"/>
    <n v="0.94"/>
    <n v="23500"/>
    <n v="200.22"/>
    <n v="150.64102564102564"/>
    <s v="Apr"/>
    <x v="25"/>
    <m/>
    <m/>
  </r>
  <r>
    <n v="69727314"/>
    <x v="0"/>
    <n v="25200"/>
    <d v="2026-05-04T00:00:00"/>
    <s v="PS OCG SF 6-18PK"/>
    <x v="92"/>
    <n v="5.2680000000000001E-3"/>
    <n v="130"/>
    <x v="6"/>
    <x v="15"/>
    <n v="0.96"/>
    <n v="24192"/>
    <n v="127.443456"/>
    <n v="186.09230769230768"/>
    <s v="May"/>
    <x v="24"/>
    <m/>
    <m/>
  </r>
  <r>
    <n v="69986507"/>
    <x v="3"/>
    <n v="25200"/>
    <d v="2026-05-25T00:00:00"/>
    <s v="BJ US-NDO-CHOC CHP COOK DGH-8 1PT"/>
    <x v="86"/>
    <n v="3.7839999999999996E-3"/>
    <n v="240"/>
    <x v="3"/>
    <x v="13"/>
    <n v="0.95"/>
    <n v="23940"/>
    <n v="90.588959999999986"/>
    <n v="99.75"/>
    <s v="May"/>
    <x v="46"/>
    <m/>
    <m/>
  </r>
  <r>
    <n v="68842352"/>
    <x v="19"/>
    <n v="25526"/>
    <d v="2026-10-19T00:00:00"/>
    <s v="KL Cones Classic Vanilla 6-4CT"/>
    <x v="70"/>
    <n v="2.6640000000000001E-3"/>
    <n v="220"/>
    <x v="22"/>
    <x v="48"/>
    <n v="0.96"/>
    <n v="24504.959999999999"/>
    <n v="65.281213440000002"/>
    <n v="111.38618181818181"/>
    <s v="Oct"/>
    <x v="41"/>
    <m/>
    <m/>
  </r>
  <r>
    <n v="64999042"/>
    <x v="11"/>
    <n v="25625"/>
    <d v="2026-04-13T00:00:00"/>
    <s v="Yasso Coffee Chocolate Chip 8-14z"/>
    <x v="69"/>
    <n v="3.3119999999999998E-3"/>
    <n v="240"/>
    <x v="11"/>
    <x v="31"/>
    <n v="0.96"/>
    <n v="24600"/>
    <n v="81.475200000000001"/>
    <n v="102.5"/>
    <s v="Apr"/>
    <x v="25"/>
    <m/>
    <m/>
  </r>
  <r>
    <n v="64958129"/>
    <x v="11"/>
    <m/>
    <d v="2026-03-30T00:00:00"/>
    <s v="Yasso Chocolate Chip Cookie Dough 8-4pk"/>
    <x v="69"/>
    <n v="3.3119999999999998E-3"/>
    <n v="165"/>
    <x v="4"/>
    <x v="32"/>
    <n v="0.96"/>
    <n v="0"/>
    <n v="0"/>
    <n v="0"/>
    <s v="Mar"/>
    <x v="20"/>
    <m/>
    <m/>
  </r>
  <r>
    <n v="68689251"/>
    <x v="0"/>
    <n v="25920"/>
    <d v="2026-04-27T00:00:00"/>
    <s v="KL Original Vanilla Bar 12-6PK"/>
    <x v="79"/>
    <n v="9.5760000000000012E-3"/>
    <n v="132"/>
    <x v="1"/>
    <x v="2"/>
    <n v="0.96"/>
    <n v="24883.200000000001"/>
    <n v="238.28152320000004"/>
    <n v="188.5090909090909"/>
    <s v="Apr"/>
    <x v="21"/>
    <m/>
    <m/>
  </r>
  <r>
    <n v="68689251"/>
    <x v="0"/>
    <n v="25920"/>
    <d v="2026-04-20T00:00:00"/>
    <s v="KL Original Vanilla Bar 12-6PK"/>
    <x v="75"/>
    <n v="9.5760000000000012E-3"/>
    <n v="132"/>
    <x v="1"/>
    <x v="2"/>
    <n v="0.96"/>
    <n v="24883.200000000001"/>
    <n v="238.28152320000004"/>
    <n v="188.5090909090909"/>
    <s v="Apr"/>
    <x v="40"/>
    <m/>
    <m/>
  </r>
  <r>
    <n v="68689251"/>
    <x v="0"/>
    <n v="25920"/>
    <d v="2026-05-04T00:00:00"/>
    <s v="KL Original Vanilla Bar 12-6PK"/>
    <x v="75"/>
    <n v="9.5760000000000012E-3"/>
    <n v="132"/>
    <x v="1"/>
    <x v="2"/>
    <n v="0.96"/>
    <n v="24883.200000000001"/>
    <n v="238.28152320000004"/>
    <n v="188.5090909090909"/>
    <s v="May"/>
    <x v="24"/>
    <m/>
    <m/>
  </r>
  <r>
    <n v="68850684"/>
    <x v="0"/>
    <n v="49350"/>
    <d v="2026-03-30T00:00:00"/>
    <s v="BR French Vanilla 6-1.5QT"/>
    <x v="78"/>
    <n v="8.5199999999999998E-3"/>
    <n v="176"/>
    <x v="0"/>
    <x v="0"/>
    <n v="0.94"/>
    <n v="46389"/>
    <n v="395.23428000000001"/>
    <n v="263.57386363636363"/>
    <s v="Mar"/>
    <x v="20"/>
    <m/>
    <m/>
  </r>
  <r>
    <n v="64955741"/>
    <x v="10"/>
    <n v="26000"/>
    <d v="2026-05-11T00:00:00"/>
    <s v="Yasso Pistachio 8-4pk"/>
    <x v="69"/>
    <n v="3.3119999999999998E-3"/>
    <n v="165"/>
    <x v="4"/>
    <x v="30"/>
    <n v="0.96"/>
    <n v="24960"/>
    <n v="82.667519999999996"/>
    <n v="151.27272727272728"/>
    <s v="May"/>
    <x v="26"/>
    <m/>
    <m/>
  </r>
  <r>
    <n v="64958122"/>
    <x v="12"/>
    <n v="26000"/>
    <d v="2026-06-15T00:00:00"/>
    <s v="Yasso Sea Salt Caramel 8-4pk"/>
    <x v="69"/>
    <n v="3.3119999999999998E-3"/>
    <n v="165"/>
    <x v="4"/>
    <x v="33"/>
    <n v="0.96"/>
    <n v="24960"/>
    <n v="82.667519999999996"/>
    <n v="151.27272727272728"/>
    <s v="Jun"/>
    <x v="28"/>
    <m/>
    <m/>
  </r>
  <r>
    <n v="64976846"/>
    <x v="12"/>
    <n v="26000"/>
    <d v="2026-06-15T00:00:00"/>
    <s v="Yasso Strawberry Chocolate Crunch 8-4pk"/>
    <x v="69"/>
    <n v="2.5040000000000001E-3"/>
    <n v="165"/>
    <x v="4"/>
    <x v="33"/>
    <n v="0.96"/>
    <n v="24960"/>
    <n v="62.499840000000006"/>
    <n v="151.27272727272728"/>
    <s v="Jun"/>
    <x v="28"/>
    <m/>
    <m/>
  </r>
  <r>
    <n v="64976846"/>
    <x v="12"/>
    <n v="26000"/>
    <d v="2026-08-17T00:00:00"/>
    <s v="Yasso Strawberry Chocolate Crunch 8-4pk"/>
    <x v="69"/>
    <n v="2.5040000000000001E-3"/>
    <n v="165"/>
    <x v="4"/>
    <x v="33"/>
    <n v="0.96"/>
    <n v="24960"/>
    <n v="62.499840000000006"/>
    <n v="151.27272727272728"/>
    <s v="Aug"/>
    <x v="29"/>
    <m/>
    <m/>
  </r>
  <r>
    <n v="64976847"/>
    <x v="12"/>
    <n v="26000"/>
    <d v="2026-06-15T00:00:00"/>
    <s v="Yasso Vanilla Chocolate Crunch 8-4pk"/>
    <x v="69"/>
    <n v="2.5040000000000001E-3"/>
    <n v="165"/>
    <x v="4"/>
    <x v="33"/>
    <n v="0.96"/>
    <n v="24960"/>
    <n v="62.499840000000006"/>
    <n v="151.27272727272728"/>
    <s v="Jun"/>
    <x v="28"/>
    <m/>
    <m/>
  </r>
  <r>
    <n v="64976847"/>
    <x v="12"/>
    <n v="26000"/>
    <d v="2026-07-13T00:00:00"/>
    <s v="Yasso Vanilla Chocolate Crunch 8-4pk"/>
    <x v="69"/>
    <n v="2.5040000000000001E-3"/>
    <n v="165"/>
    <x v="4"/>
    <x v="33"/>
    <n v="0.96"/>
    <n v="24960"/>
    <n v="62.499840000000006"/>
    <n v="151.27272727272728"/>
    <s v="Jul"/>
    <x v="48"/>
    <m/>
    <m/>
  </r>
  <r>
    <n v="64976850"/>
    <x v="12"/>
    <n v="26000"/>
    <d v="2026-06-15T00:00:00"/>
    <s v="Yasso PB Chocolate Crunch 8-4pk"/>
    <x v="69"/>
    <n v="2.5040000000000001E-3"/>
    <n v="165"/>
    <x v="4"/>
    <x v="33"/>
    <n v="0.96"/>
    <n v="24960"/>
    <n v="62.499840000000006"/>
    <n v="151.27272727272728"/>
    <s v="Jun"/>
    <x v="28"/>
    <m/>
    <m/>
  </r>
  <r>
    <n v="64976850"/>
    <x v="12"/>
    <n v="26000"/>
    <d v="2026-09-14T00:00:00"/>
    <s v="Yasso PB Chocolate Crunch 8-4pk"/>
    <x v="69"/>
    <n v="2.5040000000000001E-3"/>
    <n v="165"/>
    <x v="4"/>
    <x v="33"/>
    <n v="0.96"/>
    <n v="24960"/>
    <n v="62.499840000000006"/>
    <n v="151.27272727272728"/>
    <s v="Sep"/>
    <x v="38"/>
    <m/>
    <m/>
  </r>
  <r>
    <n v="64976850"/>
    <x v="12"/>
    <n v="26000"/>
    <d v="2026-12-14T00:00:00"/>
    <s v="Yasso PB Chocolate Crunch 8-4pk"/>
    <x v="69"/>
    <n v="2.5040000000000001E-3"/>
    <n v="165"/>
    <x v="4"/>
    <x v="33"/>
    <n v="0.96"/>
    <n v="24960"/>
    <n v="62.499840000000006"/>
    <n v="151.27272727272728"/>
    <s v="Dec"/>
    <x v="27"/>
    <m/>
    <m/>
  </r>
  <r>
    <n v="64976851"/>
    <x v="12"/>
    <n v="26000"/>
    <d v="2026-12-14T00:00:00"/>
    <s v="Yasso Caramel Chocolate Crunch 8-4pk"/>
    <x v="69"/>
    <n v="2.5040000000000001E-3"/>
    <n v="165"/>
    <x v="4"/>
    <x v="33"/>
    <n v="0.96"/>
    <n v="24960"/>
    <n v="62.499840000000006"/>
    <n v="151.27272727272728"/>
    <s v="Dec"/>
    <x v="27"/>
    <m/>
    <m/>
  </r>
  <r>
    <n v="64833353"/>
    <x v="5"/>
    <n v="26000"/>
    <d v="2026-04-06T00:00:00"/>
    <s v="PS SF Tropical 6-18PK"/>
    <x v="70"/>
    <n v="5.28E-3"/>
    <n v="130"/>
    <x v="6"/>
    <x v="22"/>
    <n v="0.96"/>
    <n v="24960"/>
    <n v="131.78880000000001"/>
    <n v="192"/>
    <s v="Apr"/>
    <x v="23"/>
    <m/>
    <m/>
  </r>
  <r>
    <n v="64833353"/>
    <x v="5"/>
    <n v="26000"/>
    <d v="2026-04-13T00:00:00"/>
    <s v="PS SF Tropical 6-18PK"/>
    <x v="70"/>
    <n v="5.28E-3"/>
    <n v="130"/>
    <x v="6"/>
    <x v="22"/>
    <n v="0.96"/>
    <n v="24960"/>
    <n v="131.78880000000001"/>
    <n v="192"/>
    <s v="Apr"/>
    <x v="25"/>
    <m/>
    <m/>
  </r>
  <r>
    <n v="64776958"/>
    <x v="5"/>
    <n v="26008"/>
    <d v="2026-05-25T00:00:00"/>
    <s v="PS OCG 6-18PK"/>
    <x v="70"/>
    <n v="5.2680000000000001E-3"/>
    <n v="130"/>
    <x v="6"/>
    <x v="22"/>
    <n v="0.96"/>
    <n v="24967.68"/>
    <n v="131.52973824"/>
    <n v="192.05907692307693"/>
    <s v="May"/>
    <x v="46"/>
    <m/>
    <m/>
  </r>
  <r>
    <n v="64328806"/>
    <x v="8"/>
    <n v="26112"/>
    <d v="2026-03-23T00:00:00"/>
    <s v="KL Reeses SW 6-4PK"/>
    <x v="69"/>
    <n v="2.8380000000000002E-3"/>
    <n v="189"/>
    <x v="12"/>
    <x v="27"/>
    <n v="0.96"/>
    <n v="25067.52"/>
    <n v="71.141621760000007"/>
    <n v="132.63238095238094"/>
    <s v="Mar"/>
    <x v="10"/>
    <m/>
    <m/>
  </r>
  <r>
    <n v="64955558"/>
    <x v="10"/>
    <n v="26250"/>
    <d v="2026-05-04T00:00:00"/>
    <s v="Yasso Creamy Mango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5558"/>
    <x v="10"/>
    <n v="26250"/>
    <d v="2026-05-25T00:00:00"/>
    <s v="Yasso Creamy Mango 8-4pk"/>
    <x v="69"/>
    <n v="3.3119999999999998E-3"/>
    <n v="165"/>
    <x v="4"/>
    <x v="30"/>
    <n v="0.96"/>
    <n v="25200"/>
    <n v="83.462400000000002"/>
    <n v="152.72727272727272"/>
    <s v="May"/>
    <x v="46"/>
    <m/>
    <m/>
  </r>
  <r>
    <n v="64955558"/>
    <x v="10"/>
    <n v="26250"/>
    <d v="2026-07-06T00:00:00"/>
    <s v="Yasso Creamy Mango 8-4pk"/>
    <x v="69"/>
    <n v="3.3119999999999998E-3"/>
    <n v="165"/>
    <x v="4"/>
    <x v="30"/>
    <n v="0.96"/>
    <n v="25200"/>
    <n v="83.462400000000002"/>
    <n v="152.72727272727272"/>
    <s v="Jul"/>
    <x v="30"/>
    <m/>
    <m/>
  </r>
  <r>
    <n v="64955558"/>
    <x v="10"/>
    <n v="26250"/>
    <d v="2026-08-24T00:00:00"/>
    <s v="Yasso Creamy Mango 8-4pk"/>
    <x v="69"/>
    <n v="3.3119999999999998E-3"/>
    <n v="165"/>
    <x v="4"/>
    <x v="30"/>
    <n v="0.96"/>
    <n v="25200"/>
    <n v="83.462400000000002"/>
    <n v="152.72727272727272"/>
    <s v="Aug"/>
    <x v="35"/>
    <m/>
    <m/>
  </r>
  <r>
    <n v="64955558"/>
    <x v="10"/>
    <n v="26250"/>
    <d v="2026-11-09T00:00:00"/>
    <s v="Yasso Creamy Mango 8-4pk"/>
    <x v="69"/>
    <n v="3.3119999999999998E-3"/>
    <n v="165"/>
    <x v="4"/>
    <x v="30"/>
    <n v="0.96"/>
    <n v="25200"/>
    <n v="83.462400000000002"/>
    <n v="152.72727272727272"/>
    <s v="Nov"/>
    <x v="37"/>
    <m/>
    <m/>
  </r>
  <r>
    <n v="64955559"/>
    <x v="10"/>
    <n v="26250"/>
    <d v="2026-05-04T00:00:00"/>
    <s v="Yasso Strawberries n Cream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5559"/>
    <x v="10"/>
    <n v="26250"/>
    <d v="2026-06-01T00:00:00"/>
    <s v="Yasso Strawberries n Cream 8-4pk"/>
    <x v="69"/>
    <n v="3.3119999999999998E-3"/>
    <n v="165"/>
    <x v="4"/>
    <x v="30"/>
    <n v="0.96"/>
    <n v="25200"/>
    <n v="83.462400000000002"/>
    <n v="152.72727272727272"/>
    <s v="Jun"/>
    <x v="13"/>
    <m/>
    <m/>
  </r>
  <r>
    <n v="64955559"/>
    <x v="10"/>
    <n v="26250"/>
    <d v="2026-06-29T00:00:00"/>
    <s v="Yasso Strawberries n Cream 8-4pk"/>
    <x v="69"/>
    <n v="3.3119999999999998E-3"/>
    <n v="165"/>
    <x v="4"/>
    <x v="30"/>
    <n v="0.96"/>
    <n v="25200"/>
    <n v="83.462400000000002"/>
    <n v="152.72727272727272"/>
    <s v="Jun"/>
    <x v="14"/>
    <m/>
    <m/>
  </r>
  <r>
    <n v="64955559"/>
    <x v="10"/>
    <n v="26250"/>
    <d v="2026-08-03T00:00:00"/>
    <s v="Yasso Strawberries n Cream 8-4pk"/>
    <x v="69"/>
    <n v="3.3119999999999998E-3"/>
    <n v="165"/>
    <x v="4"/>
    <x v="30"/>
    <n v="0.96"/>
    <n v="25200"/>
    <n v="83.462400000000002"/>
    <n v="152.72727272727272"/>
    <s v="Aug"/>
    <x v="22"/>
    <m/>
    <m/>
  </r>
  <r>
    <n v="64955559"/>
    <x v="10"/>
    <n v="26250"/>
    <d v="2026-08-31T00:00:00"/>
    <s v="Yasso Strawberries n Cream 8-4pk"/>
    <x v="69"/>
    <n v="3.3119999999999998E-3"/>
    <n v="165"/>
    <x v="4"/>
    <x v="30"/>
    <n v="0.96"/>
    <n v="25200"/>
    <n v="83.462400000000002"/>
    <n v="152.72727272727272"/>
    <s v="Aug"/>
    <x v="16"/>
    <m/>
    <m/>
  </r>
  <r>
    <n v="64955559"/>
    <x v="10"/>
    <n v="26250"/>
    <d v="2026-10-19T00:00:00"/>
    <s v="Yasso Strawberries n Cream 8-4pk"/>
    <x v="69"/>
    <n v="3.3119999999999998E-3"/>
    <n v="165"/>
    <x v="4"/>
    <x v="30"/>
    <n v="0.96"/>
    <n v="25200"/>
    <n v="83.462400000000002"/>
    <n v="152.72727272727272"/>
    <s v="Oct"/>
    <x v="41"/>
    <m/>
    <m/>
  </r>
  <r>
    <n v="64955559"/>
    <x v="10"/>
    <n v="26250"/>
    <d v="2026-12-14T00:00:00"/>
    <s v="Yasso Strawberries n Cream 8-4pk"/>
    <x v="69"/>
    <n v="3.3119999999999998E-3"/>
    <n v="165"/>
    <x v="4"/>
    <x v="30"/>
    <n v="0.96"/>
    <n v="25200"/>
    <n v="83.462400000000002"/>
    <n v="152.72727272727272"/>
    <s v="Dec"/>
    <x v="27"/>
    <m/>
    <m/>
  </r>
  <r>
    <n v="64955561"/>
    <x v="10"/>
    <n v="26250"/>
    <d v="2026-05-04T00:00:00"/>
    <s v="Yasso Creamy Pineapple Coconut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5561"/>
    <x v="10"/>
    <n v="26250"/>
    <d v="2026-07-13T00:00:00"/>
    <s v="Yasso Creamy Pineapple Coconut 8-4pk"/>
    <x v="69"/>
    <n v="3.3119999999999998E-3"/>
    <n v="165"/>
    <x v="4"/>
    <x v="30"/>
    <n v="0.96"/>
    <n v="25200"/>
    <n v="83.462400000000002"/>
    <n v="152.72727272727272"/>
    <s v="Jul"/>
    <x v="48"/>
    <m/>
    <m/>
  </r>
  <r>
    <n v="64955561"/>
    <x v="10"/>
    <n v="26250"/>
    <d v="2026-11-02T00:00:00"/>
    <s v="Yasso Creamy Pineapple Coconut 8-4pk"/>
    <x v="69"/>
    <n v="3.3119999999999998E-3"/>
    <n v="165"/>
    <x v="4"/>
    <x v="30"/>
    <n v="0.96"/>
    <n v="25200"/>
    <n v="83.462400000000002"/>
    <n v="152.72727272727272"/>
    <s v="Nov"/>
    <x v="18"/>
    <m/>
    <m/>
  </r>
  <r>
    <n v="64955741"/>
    <x v="10"/>
    <n v="26250"/>
    <d v="2026-05-04T00:00:00"/>
    <s v="Yasso Pistachio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5741"/>
    <x v="10"/>
    <n v="26250"/>
    <d v="2026-07-27T00:00:00"/>
    <s v="Yasso Pistachio 8-4pk"/>
    <x v="69"/>
    <n v="3.3119999999999998E-3"/>
    <n v="165"/>
    <x v="4"/>
    <x v="30"/>
    <n v="0.96"/>
    <n v="25200"/>
    <n v="83.462400000000002"/>
    <n v="152.72727272727272"/>
    <s v="Jul"/>
    <x v="15"/>
    <m/>
    <m/>
  </r>
  <r>
    <n v="64955741"/>
    <x v="10"/>
    <n v="26250"/>
    <d v="2026-10-05T00:00:00"/>
    <s v="Yasso Pistachio 8-4pk"/>
    <x v="69"/>
    <n v="3.3119999999999998E-3"/>
    <n v="165"/>
    <x v="4"/>
    <x v="30"/>
    <n v="0.96"/>
    <n v="25200"/>
    <n v="83.462400000000002"/>
    <n v="152.72727272727272"/>
    <s v="Oct"/>
    <x v="50"/>
    <m/>
    <m/>
  </r>
  <r>
    <n v="64955743"/>
    <x v="10"/>
    <n v="26250"/>
    <d v="2026-06-22T00:00:00"/>
    <s v="Yasso Peanut Butter Chip 8-4pk"/>
    <x v="69"/>
    <n v="3.3119999999999998E-3"/>
    <n v="165"/>
    <x v="4"/>
    <x v="30"/>
    <n v="0.96"/>
    <n v="25200"/>
    <n v="83.462400000000002"/>
    <n v="152.72727272727272"/>
    <s v="Jun"/>
    <x v="49"/>
    <m/>
    <m/>
  </r>
  <r>
    <n v="64955743"/>
    <x v="10"/>
    <n v="26250"/>
    <d v="2026-08-24T00:00:00"/>
    <s v="Yasso Peanut Butter Chip 8-4pk"/>
    <x v="69"/>
    <n v="3.3119999999999998E-3"/>
    <n v="165"/>
    <x v="4"/>
    <x v="30"/>
    <n v="0.96"/>
    <n v="25200"/>
    <n v="83.462400000000002"/>
    <n v="152.72727272727272"/>
    <s v="Aug"/>
    <x v="35"/>
    <m/>
    <m/>
  </r>
  <r>
    <n v="64955743"/>
    <x v="10"/>
    <n v="26250"/>
    <d v="2026-10-19T00:00:00"/>
    <s v="Yasso Peanut Butter Chip 8-4pk"/>
    <x v="69"/>
    <n v="3.3119999999999998E-3"/>
    <n v="165"/>
    <x v="4"/>
    <x v="30"/>
    <n v="0.96"/>
    <n v="25200"/>
    <n v="83.462400000000002"/>
    <n v="152.72727272727272"/>
    <s v="Oct"/>
    <x v="41"/>
    <m/>
    <m/>
  </r>
  <r>
    <n v="64955743"/>
    <x v="10"/>
    <n v="26250"/>
    <d v="2026-11-09T00:00:00"/>
    <s v="Yasso Peanut Butter Chip 8-4pk"/>
    <x v="69"/>
    <n v="3.3119999999999998E-3"/>
    <n v="165"/>
    <x v="4"/>
    <x v="30"/>
    <n v="0.96"/>
    <n v="25200"/>
    <n v="83.462400000000002"/>
    <n v="152.72727272727272"/>
    <s v="Nov"/>
    <x v="37"/>
    <m/>
    <m/>
  </r>
  <r>
    <n v="64958122"/>
    <x v="10"/>
    <n v="26250"/>
    <d v="2026-05-04T00:00:00"/>
    <s v="Yasso Sea Salt Caramel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8122"/>
    <x v="10"/>
    <n v="26250"/>
    <d v="2026-05-11T00:00:00"/>
    <s v="Yasso Sea Salt Caramel 8-4pk"/>
    <x v="69"/>
    <n v="3.3119999999999998E-3"/>
    <n v="165"/>
    <x v="4"/>
    <x v="30"/>
    <n v="0.96"/>
    <n v="25200"/>
    <n v="83.462400000000002"/>
    <n v="152.72727272727272"/>
    <s v="May"/>
    <x v="26"/>
    <m/>
    <m/>
  </r>
  <r>
    <n v="64958124"/>
    <x v="10"/>
    <n v="26250"/>
    <d v="2026-05-04T00:00:00"/>
    <s v="Yasso Cookies N Cream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8124"/>
    <x v="10"/>
    <n v="26250"/>
    <d v="2026-07-06T00:00:00"/>
    <s v="Yasso Cookies N Cream 8-4pk"/>
    <x v="69"/>
    <n v="3.3119999999999998E-3"/>
    <n v="165"/>
    <x v="4"/>
    <x v="30"/>
    <n v="0.96"/>
    <n v="25200"/>
    <n v="83.462400000000002"/>
    <n v="152.72727272727272"/>
    <s v="Jul"/>
    <x v="30"/>
    <m/>
    <m/>
  </r>
  <r>
    <n v="64958125"/>
    <x v="10"/>
    <n v="26250"/>
    <d v="2026-07-27T00:00:00"/>
    <s v="Yasso Chocolate Fudge 8-4pk"/>
    <x v="69"/>
    <n v="3.3119999999999998E-3"/>
    <n v="165"/>
    <x v="4"/>
    <x v="30"/>
    <n v="0.96"/>
    <n v="25200"/>
    <n v="83.462400000000002"/>
    <n v="152.72727272727272"/>
    <s v="Jul"/>
    <x v="15"/>
    <m/>
    <m/>
  </r>
  <r>
    <n v="64958125"/>
    <x v="10"/>
    <n v="26250"/>
    <d v="2026-09-28T00:00:00"/>
    <s v="Yasso Chocolate Fudge 8-4pk"/>
    <x v="69"/>
    <n v="3.3119999999999998E-3"/>
    <n v="165"/>
    <x v="4"/>
    <x v="30"/>
    <n v="0.96"/>
    <n v="25200"/>
    <n v="83.462400000000002"/>
    <n v="152.72727272727272"/>
    <s v="Sep"/>
    <x v="17"/>
    <m/>
    <m/>
  </r>
  <r>
    <n v="64958126"/>
    <x v="10"/>
    <n v="26250"/>
    <d v="2026-05-04T00:00:00"/>
    <s v="Yasso Black Raspberry Chip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8126"/>
    <x v="10"/>
    <n v="26250"/>
    <d v="2026-07-06T00:00:00"/>
    <s v="Yasso Black Raspberry Chip 8-4pk"/>
    <x v="69"/>
    <n v="3.3119999999999998E-3"/>
    <n v="165"/>
    <x v="4"/>
    <x v="30"/>
    <n v="0.96"/>
    <n v="25200"/>
    <n v="83.462400000000002"/>
    <n v="152.72727272727272"/>
    <s v="Jul"/>
    <x v="30"/>
    <m/>
    <m/>
  </r>
  <r>
    <n v="64958126"/>
    <x v="10"/>
    <n v="26250"/>
    <d v="2026-08-24T00:00:00"/>
    <s v="Yasso Black Raspberry Chip 8-4pk"/>
    <x v="69"/>
    <n v="3.3119999999999998E-3"/>
    <n v="165"/>
    <x v="4"/>
    <x v="30"/>
    <n v="0.96"/>
    <n v="25200"/>
    <n v="83.462400000000002"/>
    <n v="152.72727272727272"/>
    <s v="Aug"/>
    <x v="35"/>
    <m/>
    <m/>
  </r>
  <r>
    <n v="64958126"/>
    <x v="10"/>
    <n v="26250"/>
    <d v="2026-08-31T00:00:00"/>
    <s v="Yasso Black Raspberry Chip 8-4pk"/>
    <x v="69"/>
    <n v="3.3119999999999998E-3"/>
    <n v="165"/>
    <x v="4"/>
    <x v="30"/>
    <n v="0.96"/>
    <n v="25200"/>
    <n v="83.462400000000002"/>
    <n v="152.72727272727272"/>
    <s v="Aug"/>
    <x v="16"/>
    <m/>
    <m/>
  </r>
  <r>
    <n v="64958126"/>
    <x v="10"/>
    <n v="26250"/>
    <d v="2026-11-09T00:00:00"/>
    <s v="Yasso Black Raspberry Chip 8-4pk"/>
    <x v="69"/>
    <n v="3.3119999999999998E-3"/>
    <n v="165"/>
    <x v="4"/>
    <x v="30"/>
    <n v="0.96"/>
    <n v="25200"/>
    <n v="83.462400000000002"/>
    <n v="152.72727272727272"/>
    <s v="Nov"/>
    <x v="37"/>
    <m/>
    <m/>
  </r>
  <r>
    <n v="64958126"/>
    <x v="10"/>
    <n v="26250"/>
    <d v="2026-11-16T00:00:00"/>
    <s v="Yasso Black Raspberry Chip 8-4pk"/>
    <x v="69"/>
    <n v="3.3119999999999998E-3"/>
    <n v="165"/>
    <x v="4"/>
    <x v="30"/>
    <n v="0.96"/>
    <n v="25200"/>
    <n v="83.462400000000002"/>
    <n v="152.72727272727272"/>
    <s v="Nov"/>
    <x v="42"/>
    <m/>
    <m/>
  </r>
  <r>
    <n v="64958127"/>
    <x v="10"/>
    <n v="26250"/>
    <d v="2026-05-04T00:00:00"/>
    <s v="Yasso Coffee Chocolate Chip 8-4pk"/>
    <x v="69"/>
    <n v="3.3119999999999998E-3"/>
    <n v="165"/>
    <x v="4"/>
    <x v="30"/>
    <n v="0.96"/>
    <n v="25200"/>
    <n v="83.462400000000002"/>
    <n v="152.72727272727272"/>
    <s v="May"/>
    <x v="24"/>
    <m/>
    <m/>
  </r>
  <r>
    <n v="64958127"/>
    <x v="10"/>
    <n v="26250"/>
    <d v="2026-05-11T00:00:00"/>
    <s v="Yasso Coffee Chocolate Chip 8-4pk"/>
    <x v="69"/>
    <n v="3.3119999999999998E-3"/>
    <n v="165"/>
    <x v="4"/>
    <x v="30"/>
    <n v="0.96"/>
    <n v="25200"/>
    <n v="83.462400000000002"/>
    <n v="152.72727272727272"/>
    <s v="May"/>
    <x v="26"/>
    <m/>
    <m/>
  </r>
  <r>
    <n v="64958128"/>
    <x v="10"/>
    <n v="26250"/>
    <d v="2026-05-11T00:00:00"/>
    <s v="Yasso Mint Chocolate Chip 8-4pk"/>
    <x v="69"/>
    <n v="3.3119999999999998E-3"/>
    <n v="165"/>
    <x v="4"/>
    <x v="30"/>
    <n v="0.96"/>
    <n v="25200"/>
    <n v="83.462400000000002"/>
    <n v="152.72727272727272"/>
    <s v="May"/>
    <x v="26"/>
    <m/>
    <m/>
  </r>
  <r>
    <n v="64958128"/>
    <x v="10"/>
    <n v="26250"/>
    <d v="2026-05-25T00:00:00"/>
    <s v="Yasso Mint Chocolate Chip 8-4pk"/>
    <x v="69"/>
    <n v="3.3119999999999998E-3"/>
    <n v="165"/>
    <x v="4"/>
    <x v="30"/>
    <n v="0.96"/>
    <n v="25200"/>
    <n v="83.462400000000002"/>
    <n v="152.72727272727272"/>
    <s v="May"/>
    <x v="46"/>
    <m/>
    <m/>
  </r>
  <r>
    <n v="64958128"/>
    <x v="10"/>
    <n v="26250"/>
    <d v="2026-06-01T00:00:00"/>
    <s v="Yasso Mint Chocolate Chip 8-4pk"/>
    <x v="69"/>
    <n v="3.3119999999999998E-3"/>
    <n v="165"/>
    <x v="4"/>
    <x v="30"/>
    <n v="0.96"/>
    <n v="25200"/>
    <n v="83.462400000000002"/>
    <n v="152.72727272727272"/>
    <s v="Jun"/>
    <x v="13"/>
    <m/>
    <m/>
  </r>
  <r>
    <n v="64958128"/>
    <x v="10"/>
    <n v="26250"/>
    <d v="2026-06-08T00:00:00"/>
    <s v="Yasso Mint Chocolate Chip 8-4pk"/>
    <x v="69"/>
    <n v="3.3119999999999998E-3"/>
    <n v="165"/>
    <x v="4"/>
    <x v="30"/>
    <n v="0.96"/>
    <n v="25200"/>
    <n v="83.462400000000002"/>
    <n v="152.72727272727272"/>
    <s v="Jun"/>
    <x v="47"/>
    <m/>
    <m/>
  </r>
  <r>
    <n v="64958128"/>
    <x v="10"/>
    <n v="26250"/>
    <d v="2026-06-15T00:00:00"/>
    <s v="Yasso Mint Chocolate Chip 8-4pk"/>
    <x v="69"/>
    <n v="3.3119999999999998E-3"/>
    <n v="165"/>
    <x v="4"/>
    <x v="30"/>
    <n v="0.96"/>
    <n v="25200"/>
    <n v="83.462400000000002"/>
    <n v="152.72727272727272"/>
    <s v="Jun"/>
    <x v="28"/>
    <m/>
    <m/>
  </r>
  <r>
    <n v="64958129"/>
    <x v="10"/>
    <n v="26250"/>
    <d v="2026-05-18T00:00:00"/>
    <s v="Yasso Chocolate Chip Cookie Dough 8-4pk"/>
    <x v="69"/>
    <n v="3.3119999999999998E-3"/>
    <n v="165"/>
    <x v="4"/>
    <x v="30"/>
    <n v="0.96"/>
    <n v="25200"/>
    <n v="83.462400000000002"/>
    <n v="152.72727272727272"/>
    <s v="May"/>
    <x v="39"/>
    <m/>
    <m/>
  </r>
  <r>
    <n v="64958129"/>
    <x v="10"/>
    <n v="26250"/>
    <d v="2026-05-25T00:00:00"/>
    <s v="Yasso Chocolate Chip Cookie Dough 8-4pk"/>
    <x v="69"/>
    <n v="3.3119999999999998E-3"/>
    <n v="165"/>
    <x v="4"/>
    <x v="30"/>
    <n v="0.96"/>
    <n v="25200"/>
    <n v="83.462400000000002"/>
    <n v="152.72727272727272"/>
    <s v="May"/>
    <x v="46"/>
    <m/>
    <m/>
  </r>
  <r>
    <n v="64958129"/>
    <x v="10"/>
    <n v="26250"/>
    <d v="2026-06-08T00:00:00"/>
    <s v="Yasso Chocolate Chip Cookie Dough 8-4pk"/>
    <x v="69"/>
    <n v="3.3119999999999998E-3"/>
    <n v="165"/>
    <x v="4"/>
    <x v="30"/>
    <n v="0.96"/>
    <n v="25200"/>
    <n v="83.462400000000002"/>
    <n v="152.72727272727272"/>
    <s v="Jun"/>
    <x v="47"/>
    <m/>
    <m/>
  </r>
  <r>
    <n v="64958129"/>
    <x v="10"/>
    <n v="26250"/>
    <d v="2026-06-22T00:00:00"/>
    <s v="Yasso Chocolate Chip Cookie Dough 8-4pk"/>
    <x v="69"/>
    <n v="3.3119999999999998E-3"/>
    <n v="165"/>
    <x v="4"/>
    <x v="30"/>
    <n v="0.96"/>
    <n v="25200"/>
    <n v="83.462400000000002"/>
    <n v="152.72727272727272"/>
    <s v="Jun"/>
    <x v="49"/>
    <m/>
    <m/>
  </r>
  <r>
    <n v="64958129"/>
    <x v="10"/>
    <n v="26250"/>
    <d v="2026-07-06T00:00:00"/>
    <s v="Yasso Chocolate Chip Cookie Dough 8-4pk"/>
    <x v="69"/>
    <n v="3.3119999999999998E-3"/>
    <n v="165"/>
    <x v="4"/>
    <x v="30"/>
    <n v="0.96"/>
    <n v="25200"/>
    <n v="83.462400000000002"/>
    <n v="152.72727272727272"/>
    <s v="Jul"/>
    <x v="30"/>
    <m/>
    <m/>
  </r>
  <r>
    <n v="64958129"/>
    <x v="10"/>
    <n v="26250"/>
    <d v="2026-07-13T00:00:00"/>
    <s v="Yasso Chocolate Chip Cookie Dough 8-4pk"/>
    <x v="69"/>
    <n v="3.3119999999999998E-3"/>
    <n v="165"/>
    <x v="4"/>
    <x v="30"/>
    <n v="0.96"/>
    <n v="25200"/>
    <n v="83.462400000000002"/>
    <n v="152.72727272727272"/>
    <s v="Jul"/>
    <x v="48"/>
    <m/>
    <m/>
  </r>
  <r>
    <n v="64958129"/>
    <x v="10"/>
    <n v="26250"/>
    <d v="2026-07-20T00:00:00"/>
    <s v="Yasso Chocolate Chip Cookie Dough 8-4pk"/>
    <x v="69"/>
    <n v="3.3119999999999998E-3"/>
    <n v="165"/>
    <x v="4"/>
    <x v="30"/>
    <n v="0.96"/>
    <n v="25200"/>
    <n v="83.462400000000002"/>
    <n v="152.72727272727272"/>
    <s v="Jul"/>
    <x v="31"/>
    <m/>
    <m/>
  </r>
  <r>
    <n v="64958129"/>
    <x v="10"/>
    <n v="26250"/>
    <d v="2026-07-27T00:00:00"/>
    <s v="Yasso Chocolate Chip Cookie Dough 8-4pk"/>
    <x v="69"/>
    <n v="3.3119999999999998E-3"/>
    <n v="165"/>
    <x v="4"/>
    <x v="30"/>
    <n v="0.96"/>
    <n v="25200"/>
    <n v="83.462400000000002"/>
    <n v="152.72727272727272"/>
    <s v="Jul"/>
    <x v="15"/>
    <m/>
    <m/>
  </r>
  <r>
    <n v="64958129"/>
    <x v="10"/>
    <n v="26250"/>
    <d v="2026-08-10T00:00:00"/>
    <s v="Yasso Chocolate Chip Cookie Dough 8-4pk"/>
    <x v="69"/>
    <n v="3.3119999999999998E-3"/>
    <n v="165"/>
    <x v="4"/>
    <x v="30"/>
    <n v="0.96"/>
    <n v="25200"/>
    <n v="83.462400000000002"/>
    <n v="152.72727272727272"/>
    <s v="Aug"/>
    <x v="34"/>
    <m/>
    <m/>
  </r>
  <r>
    <n v="64958129"/>
    <x v="10"/>
    <n v="26250"/>
    <d v="2026-08-24T00:00:00"/>
    <s v="Yasso Chocolate Chip Cookie Dough 8-4pk"/>
    <x v="69"/>
    <n v="3.3119999999999998E-3"/>
    <n v="165"/>
    <x v="4"/>
    <x v="30"/>
    <n v="0.96"/>
    <n v="25200"/>
    <n v="83.462400000000002"/>
    <n v="152.72727272727272"/>
    <s v="Aug"/>
    <x v="35"/>
    <m/>
    <m/>
  </r>
  <r>
    <n v="64958129"/>
    <x v="10"/>
    <n v="26250"/>
    <d v="2026-09-21T00:00:00"/>
    <s v="Yasso Chocolate Chip Cookie Dough 8-4pk"/>
    <x v="69"/>
    <n v="3.3119999999999998E-3"/>
    <n v="165"/>
    <x v="4"/>
    <x v="30"/>
    <n v="0.96"/>
    <n v="25200"/>
    <n v="83.462400000000002"/>
    <n v="152.72727272727272"/>
    <s v="Sep"/>
    <x v="45"/>
    <m/>
    <m/>
  </r>
  <r>
    <n v="64958129"/>
    <x v="10"/>
    <n v="26250"/>
    <d v="2026-10-12T00:00:00"/>
    <s v="Yasso Chocolate Chip Cookie Dough 8-4pk"/>
    <x v="69"/>
    <n v="3.3119999999999998E-3"/>
    <n v="165"/>
    <x v="4"/>
    <x v="30"/>
    <n v="0.96"/>
    <n v="25200"/>
    <n v="83.462400000000002"/>
    <n v="152.72727272727272"/>
    <s v="Oct"/>
    <x v="36"/>
    <m/>
    <m/>
  </r>
  <r>
    <n v="64958129"/>
    <x v="10"/>
    <n v="26250"/>
    <d v="2026-10-19T00:00:00"/>
    <s v="Yasso Chocolate Chip Cookie Dough 8-4pk"/>
    <x v="69"/>
    <n v="3.3119999999999998E-3"/>
    <n v="165"/>
    <x v="4"/>
    <x v="30"/>
    <n v="0.96"/>
    <n v="25200"/>
    <n v="83.462400000000002"/>
    <n v="152.72727272727272"/>
    <s v="Oct"/>
    <x v="41"/>
    <m/>
    <m/>
  </r>
  <r>
    <n v="64958129"/>
    <x v="10"/>
    <n v="26250"/>
    <d v="2026-10-26T00:00:00"/>
    <s v="Yasso Chocolate Chip Cookie Dough 8-4pk"/>
    <x v="69"/>
    <n v="3.3119999999999998E-3"/>
    <n v="165"/>
    <x v="4"/>
    <x v="30"/>
    <n v="0.96"/>
    <n v="25200"/>
    <n v="83.462400000000002"/>
    <n v="152.72727272727272"/>
    <s v="Oct"/>
    <x v="33"/>
    <m/>
    <m/>
  </r>
  <r>
    <n v="64958129"/>
    <x v="10"/>
    <n v="26250"/>
    <d v="2026-11-16T00:00:00"/>
    <s v="Yasso Chocolate Chip Cookie Dough 8-4pk"/>
    <x v="69"/>
    <n v="3.3119999999999998E-3"/>
    <n v="165"/>
    <x v="4"/>
    <x v="30"/>
    <n v="0.96"/>
    <n v="25200"/>
    <n v="83.462400000000002"/>
    <n v="152.72727272727272"/>
    <s v="Nov"/>
    <x v="42"/>
    <m/>
    <m/>
  </r>
  <r>
    <n v="64958129"/>
    <x v="10"/>
    <n v="26250"/>
    <d v="2026-11-23T00:00:00"/>
    <s v="Yasso Chocolate Chip Cookie Dough 8-4pk"/>
    <x v="69"/>
    <n v="3.3119999999999998E-3"/>
    <n v="165"/>
    <x v="4"/>
    <x v="30"/>
    <n v="0.96"/>
    <n v="25200"/>
    <n v="83.462400000000002"/>
    <n v="152.72727272727272"/>
    <s v="Nov"/>
    <x v="43"/>
    <m/>
    <m/>
  </r>
  <r>
    <n v="64958129"/>
    <x v="10"/>
    <n v="26250"/>
    <d v="2026-12-14T00:00:00"/>
    <s v="Yasso Chocolate Chip Cookie Dough 8-4pk"/>
    <x v="69"/>
    <n v="3.3119999999999998E-3"/>
    <n v="165"/>
    <x v="4"/>
    <x v="30"/>
    <n v="0.96"/>
    <n v="25200"/>
    <n v="83.462400000000002"/>
    <n v="152.72727272727272"/>
    <s v="Dec"/>
    <x v="27"/>
    <m/>
    <m/>
  </r>
  <r>
    <n v="64958129"/>
    <x v="10"/>
    <n v="26250"/>
    <d v="2026-12-21T00:00:00"/>
    <s v="Yasso Chocolate Chip Cookie Dough 8-4pk"/>
    <x v="69"/>
    <n v="3.3119999999999998E-3"/>
    <n v="165"/>
    <x v="4"/>
    <x v="30"/>
    <n v="0.96"/>
    <n v="25200"/>
    <n v="83.462400000000002"/>
    <n v="152.72727272727272"/>
    <s v="Dec"/>
    <x v="51"/>
    <m/>
    <m/>
  </r>
  <r>
    <n v="64976837"/>
    <x v="10"/>
    <n v="26250"/>
    <d v="2026-09-28T00:00:00"/>
    <s v="Yasso Cherry Chocolate Crunch 8-4pk"/>
    <x v="69"/>
    <n v="2.5040000000000001E-3"/>
    <n v="165"/>
    <x v="4"/>
    <x v="30"/>
    <n v="0.96"/>
    <n v="25200"/>
    <n v="63.100800000000007"/>
    <n v="152.72727272727272"/>
    <s v="Sep"/>
    <x v="17"/>
    <m/>
    <m/>
  </r>
  <r>
    <n v="64976846"/>
    <x v="10"/>
    <n v="26250"/>
    <d v="2026-05-04T00:00:00"/>
    <s v="Yasso Strawberry Chocolate Crunch 8-4pk"/>
    <x v="69"/>
    <n v="2.5040000000000001E-3"/>
    <n v="165"/>
    <x v="4"/>
    <x v="30"/>
    <n v="0.96"/>
    <n v="25200"/>
    <n v="63.100800000000007"/>
    <n v="152.72727272727272"/>
    <s v="May"/>
    <x v="24"/>
    <m/>
    <m/>
  </r>
  <r>
    <n v="64976846"/>
    <x v="10"/>
    <n v="26250"/>
    <d v="2026-06-01T00:00:00"/>
    <s v="Yasso Strawberry Chocolate Crunch 8-4pk"/>
    <x v="69"/>
    <n v="2.5040000000000001E-3"/>
    <n v="165"/>
    <x v="4"/>
    <x v="30"/>
    <n v="0.96"/>
    <n v="25200"/>
    <n v="63.100800000000007"/>
    <n v="152.72727272727272"/>
    <s v="Jun"/>
    <x v="13"/>
    <m/>
    <m/>
  </r>
  <r>
    <n v="64976847"/>
    <x v="10"/>
    <n v="26250"/>
    <d v="2026-06-01T00:00:00"/>
    <s v="Yasso Vanilla Chocolate Crunch 8-4pk"/>
    <x v="69"/>
    <n v="2.5040000000000001E-3"/>
    <n v="165"/>
    <x v="4"/>
    <x v="30"/>
    <n v="0.96"/>
    <n v="25200"/>
    <n v="63.100800000000007"/>
    <n v="152.72727272727272"/>
    <s v="Jun"/>
    <x v="13"/>
    <m/>
    <m/>
  </r>
  <r>
    <n v="64976847"/>
    <x v="10"/>
    <n v="26250"/>
    <d v="2026-06-08T00:00:00"/>
    <s v="Yasso Vanilla Chocolate Crunch 8-4pk"/>
    <x v="69"/>
    <n v="2.5040000000000001E-3"/>
    <n v="165"/>
    <x v="4"/>
    <x v="30"/>
    <n v="0.96"/>
    <n v="25200"/>
    <n v="63.100800000000007"/>
    <n v="152.72727272727272"/>
    <s v="Jun"/>
    <x v="47"/>
    <m/>
    <m/>
  </r>
  <r>
    <n v="64976847"/>
    <x v="10"/>
    <n v="26250"/>
    <d v="2026-06-22T00:00:00"/>
    <s v="Yasso Vanilla Chocolate Crunch 8-4pk"/>
    <x v="69"/>
    <n v="2.5040000000000001E-3"/>
    <n v="165"/>
    <x v="4"/>
    <x v="30"/>
    <n v="0.96"/>
    <n v="25200"/>
    <n v="63.100800000000007"/>
    <n v="152.72727272727272"/>
    <s v="Jun"/>
    <x v="49"/>
    <m/>
    <m/>
  </r>
  <r>
    <n v="64976847"/>
    <x v="10"/>
    <n v="26250"/>
    <d v="2026-07-13T00:00:00"/>
    <s v="Yasso Vanilla Chocolate Crunch 8-4pk"/>
    <x v="69"/>
    <n v="2.5040000000000001E-3"/>
    <n v="165"/>
    <x v="4"/>
    <x v="30"/>
    <n v="0.96"/>
    <n v="25200"/>
    <n v="63.100800000000007"/>
    <n v="152.72727272727272"/>
    <s v="Jul"/>
    <x v="48"/>
    <m/>
    <m/>
  </r>
  <r>
    <n v="64976847"/>
    <x v="10"/>
    <n v="26250"/>
    <d v="2026-07-20T00:00:00"/>
    <s v="Yasso Vanilla Chocolate Crunch 8-4pk"/>
    <x v="69"/>
    <n v="2.5040000000000001E-3"/>
    <n v="165"/>
    <x v="4"/>
    <x v="30"/>
    <n v="0.96"/>
    <n v="25200"/>
    <n v="63.100800000000007"/>
    <n v="152.72727272727272"/>
    <s v="Jul"/>
    <x v="31"/>
    <m/>
    <m/>
  </r>
  <r>
    <n v="64976847"/>
    <x v="10"/>
    <n v="26250"/>
    <d v="2026-07-27T00:00:00"/>
    <s v="Yasso Vanilla Chocolate Crunch 8-4pk"/>
    <x v="69"/>
    <n v="2.5040000000000001E-3"/>
    <n v="165"/>
    <x v="4"/>
    <x v="30"/>
    <n v="0.96"/>
    <n v="25200"/>
    <n v="63.100800000000007"/>
    <n v="152.72727272727272"/>
    <s v="Jul"/>
    <x v="15"/>
    <m/>
    <m/>
  </r>
  <r>
    <n v="64976847"/>
    <x v="10"/>
    <n v="26250"/>
    <d v="2026-08-10T00:00:00"/>
    <s v="Yasso Vanilla Chocolate Crunch 8-4pk"/>
    <x v="69"/>
    <n v="2.5040000000000001E-3"/>
    <n v="165"/>
    <x v="4"/>
    <x v="30"/>
    <n v="0.96"/>
    <n v="25200"/>
    <n v="63.100800000000007"/>
    <n v="152.72727272727272"/>
    <s v="Aug"/>
    <x v="34"/>
    <m/>
    <m/>
  </r>
  <r>
    <n v="64976847"/>
    <x v="10"/>
    <n v="26250"/>
    <d v="2026-08-17T00:00:00"/>
    <s v="Yasso Vanilla Chocolate Crunch 8-4pk"/>
    <x v="69"/>
    <n v="2.5040000000000001E-3"/>
    <n v="165"/>
    <x v="4"/>
    <x v="30"/>
    <n v="0.96"/>
    <n v="25200"/>
    <n v="63.100800000000007"/>
    <n v="152.72727272727272"/>
    <s v="Aug"/>
    <x v="29"/>
    <m/>
    <m/>
  </r>
  <r>
    <n v="64976847"/>
    <x v="10"/>
    <n v="26250"/>
    <d v="2026-08-24T00:00:00"/>
    <s v="Yasso Vanilla Chocolate Crunch 8-4pk"/>
    <x v="69"/>
    <n v="2.5040000000000001E-3"/>
    <n v="165"/>
    <x v="4"/>
    <x v="30"/>
    <n v="0.96"/>
    <n v="25200"/>
    <n v="63.100800000000007"/>
    <n v="152.72727272727272"/>
    <s v="Aug"/>
    <x v="35"/>
    <m/>
    <m/>
  </r>
  <r>
    <n v="64976847"/>
    <x v="10"/>
    <n v="26250"/>
    <d v="2026-09-07T00:00:00"/>
    <s v="Yasso Vanilla Chocolate Crunch 8-4pk"/>
    <x v="69"/>
    <n v="2.5040000000000001E-3"/>
    <n v="165"/>
    <x v="4"/>
    <x v="30"/>
    <n v="0.96"/>
    <n v="25200"/>
    <n v="63.100800000000007"/>
    <n v="152.72727272727272"/>
    <s v="Sep"/>
    <x v="32"/>
    <m/>
    <m/>
  </r>
  <r>
    <n v="64976847"/>
    <x v="10"/>
    <n v="26250"/>
    <d v="2026-10-12T00:00:00"/>
    <s v="Yasso Vanilla Chocolate Crunch 8-4pk"/>
    <x v="69"/>
    <n v="2.5040000000000001E-3"/>
    <n v="165"/>
    <x v="4"/>
    <x v="30"/>
    <n v="0.96"/>
    <n v="25200"/>
    <n v="63.100800000000007"/>
    <n v="152.72727272727272"/>
    <s v="Oct"/>
    <x v="36"/>
    <m/>
    <m/>
  </r>
  <r>
    <n v="64976847"/>
    <x v="10"/>
    <n v="26250"/>
    <d v="2026-10-19T00:00:00"/>
    <s v="Yasso Vanilla Chocolate Crunch 8-4pk"/>
    <x v="69"/>
    <n v="2.5040000000000001E-3"/>
    <n v="165"/>
    <x v="4"/>
    <x v="30"/>
    <n v="0.96"/>
    <n v="25200"/>
    <n v="63.100800000000007"/>
    <n v="152.72727272727272"/>
    <s v="Oct"/>
    <x v="41"/>
    <m/>
    <m/>
  </r>
  <r>
    <n v="64976847"/>
    <x v="10"/>
    <n v="26250"/>
    <d v="2026-11-02T00:00:00"/>
    <s v="Yasso Vanilla Chocolate Crunch 8-4pk"/>
    <x v="69"/>
    <n v="2.5040000000000001E-3"/>
    <n v="165"/>
    <x v="4"/>
    <x v="30"/>
    <n v="0.96"/>
    <n v="25200"/>
    <n v="63.100800000000007"/>
    <n v="152.72727272727272"/>
    <s v="Nov"/>
    <x v="18"/>
    <m/>
    <m/>
  </r>
  <r>
    <n v="64976847"/>
    <x v="10"/>
    <n v="26250"/>
    <d v="2026-11-16T00:00:00"/>
    <s v="Yasso Vanilla Chocolate Crunch 8-4pk"/>
    <x v="69"/>
    <n v="2.5040000000000001E-3"/>
    <n v="165"/>
    <x v="4"/>
    <x v="30"/>
    <n v="0.96"/>
    <n v="25200"/>
    <n v="63.100800000000007"/>
    <n v="152.72727272727272"/>
    <s v="Nov"/>
    <x v="42"/>
    <m/>
    <m/>
  </r>
  <r>
    <n v="64976847"/>
    <x v="10"/>
    <n v="26250"/>
    <d v="2026-11-30T00:00:00"/>
    <s v="Yasso Vanilla Chocolate Crunch 8-4pk"/>
    <x v="69"/>
    <n v="2.5040000000000001E-3"/>
    <n v="165"/>
    <x v="4"/>
    <x v="30"/>
    <n v="0.96"/>
    <n v="25200"/>
    <n v="63.100800000000007"/>
    <n v="152.72727272727272"/>
    <s v="Nov"/>
    <x v="19"/>
    <m/>
    <m/>
  </r>
  <r>
    <n v="64976847"/>
    <x v="10"/>
    <n v="26250"/>
    <d v="2026-12-14T00:00:00"/>
    <s v="Yasso Vanilla Chocolate Crunch 8-4pk"/>
    <x v="69"/>
    <n v="2.5040000000000001E-3"/>
    <n v="165"/>
    <x v="4"/>
    <x v="30"/>
    <n v="0.96"/>
    <n v="25200"/>
    <n v="63.100800000000007"/>
    <n v="152.72727272727272"/>
    <s v="Dec"/>
    <x v="27"/>
    <m/>
    <m/>
  </r>
  <r>
    <n v="64976848"/>
    <x v="10"/>
    <n v="26250"/>
    <d v="2026-05-04T00:00:00"/>
    <s v="Yasso Fudge Chocolate Crunch 8-4pk"/>
    <x v="69"/>
    <n v="2.5040000000000001E-3"/>
    <n v="165"/>
    <x v="4"/>
    <x v="30"/>
    <n v="0.96"/>
    <n v="25200"/>
    <n v="63.100800000000007"/>
    <n v="152.72727272727272"/>
    <s v="May"/>
    <x v="24"/>
    <m/>
    <m/>
  </r>
  <r>
    <n v="64976848"/>
    <x v="10"/>
    <n v="26250"/>
    <d v="2026-05-11T00:00:00"/>
    <s v="Yasso Fudge Chocolate Crunch 8-4pk"/>
    <x v="69"/>
    <n v="2.5040000000000001E-3"/>
    <n v="165"/>
    <x v="4"/>
    <x v="30"/>
    <n v="0.96"/>
    <n v="25200"/>
    <n v="63.100800000000007"/>
    <n v="152.72727272727272"/>
    <s v="May"/>
    <x v="26"/>
    <m/>
    <m/>
  </r>
  <r>
    <n v="64976848"/>
    <x v="10"/>
    <n v="26250"/>
    <d v="2026-09-21T00:00:00"/>
    <s v="Yasso Fudge Chocolate Crunch 8-4pk"/>
    <x v="69"/>
    <n v="2.5040000000000001E-3"/>
    <n v="165"/>
    <x v="4"/>
    <x v="30"/>
    <n v="0.96"/>
    <n v="25200"/>
    <n v="63.100800000000007"/>
    <n v="152.72727272727272"/>
    <s v="Sep"/>
    <x v="45"/>
    <m/>
    <m/>
  </r>
  <r>
    <n v="64976848"/>
    <x v="10"/>
    <n v="26250"/>
    <d v="2026-12-07T00:00:00"/>
    <s v="Yasso Fudge Chocolate Crunch 8-4pk"/>
    <x v="69"/>
    <n v="2.5040000000000001E-3"/>
    <n v="165"/>
    <x v="4"/>
    <x v="30"/>
    <n v="0.96"/>
    <n v="25200"/>
    <n v="63.100800000000007"/>
    <n v="152.72727272727272"/>
    <s v="Dec"/>
    <x v="44"/>
    <m/>
    <m/>
  </r>
  <r>
    <n v="64976849"/>
    <x v="10"/>
    <n v="26250"/>
    <d v="2026-05-04T00:00:00"/>
    <s v="Yasso Mint Chocolate Crunch 8-4pk"/>
    <x v="69"/>
    <n v="2.5040000000000001E-3"/>
    <n v="165"/>
    <x v="4"/>
    <x v="30"/>
    <n v="0.96"/>
    <n v="25200"/>
    <n v="63.100800000000007"/>
    <n v="152.72727272727272"/>
    <s v="May"/>
    <x v="24"/>
    <m/>
    <m/>
  </r>
  <r>
    <n v="64976849"/>
    <x v="10"/>
    <n v="26250"/>
    <d v="2026-05-18T00:00:00"/>
    <s v="Yasso Mint Chocolate Crunch 8-4pk"/>
    <x v="69"/>
    <n v="2.5040000000000001E-3"/>
    <n v="165"/>
    <x v="4"/>
    <x v="30"/>
    <n v="0.96"/>
    <n v="25200"/>
    <n v="63.100800000000007"/>
    <n v="152.72727272727272"/>
    <s v="May"/>
    <x v="39"/>
    <m/>
    <m/>
  </r>
  <r>
    <n v="64976850"/>
    <x v="10"/>
    <n v="26250"/>
    <d v="2026-06-15T00:00:00"/>
    <s v="Yasso PB Chocolate Crunch 8-4pk"/>
    <x v="69"/>
    <n v="2.5040000000000001E-3"/>
    <n v="165"/>
    <x v="4"/>
    <x v="30"/>
    <n v="0.96"/>
    <n v="25200"/>
    <n v="63.100800000000007"/>
    <n v="152.72727272727272"/>
    <s v="Jun"/>
    <x v="28"/>
    <m/>
    <m/>
  </r>
  <r>
    <n v="64976851"/>
    <x v="10"/>
    <n v="26250"/>
    <d v="2026-05-11T00:00:00"/>
    <s v="Yasso Caramel Chocolate Crunch 8-4pk"/>
    <x v="69"/>
    <n v="2.5040000000000001E-3"/>
    <n v="165"/>
    <x v="4"/>
    <x v="30"/>
    <n v="0.96"/>
    <n v="25200"/>
    <n v="63.100800000000007"/>
    <n v="152.72727272727272"/>
    <s v="May"/>
    <x v="26"/>
    <m/>
    <m/>
  </r>
  <r>
    <n v="64786654"/>
    <x v="0"/>
    <n v="26400"/>
    <d v="2026-05-18T00:00:00"/>
    <s v="GH Cookies and Creme Bar 8-6PK"/>
    <x v="96"/>
    <n v="3.8959999999999997E-3"/>
    <n v="154"/>
    <x v="7"/>
    <x v="8"/>
    <n v="0.96"/>
    <n v="25344"/>
    <n v="98.740223999999998"/>
    <n v="164.57142857142858"/>
    <s v="May"/>
    <x v="39"/>
    <m/>
    <m/>
  </r>
  <r>
    <n v="64786666"/>
    <x v="0"/>
    <n v="26400"/>
    <d v="2026-05-04T00:00:00"/>
    <s v="GH Chocolate Eclair Bar 8-6PK"/>
    <x v="96"/>
    <n v="4.2560000000000002E-3"/>
    <n v="154"/>
    <x v="7"/>
    <x v="8"/>
    <n v="0.96"/>
    <n v="25344"/>
    <n v="107.864064"/>
    <n v="164.57142857142858"/>
    <s v="May"/>
    <x v="24"/>
    <m/>
    <m/>
  </r>
  <r>
    <n v="68741742"/>
    <x v="0"/>
    <n v="26400"/>
    <d v="2026-04-13T00:00:00"/>
    <s v="GH Strawberry Shortcake Bar 8-6PK"/>
    <x v="96"/>
    <n v="4.2560000000000002E-3"/>
    <n v="154"/>
    <x v="7"/>
    <x v="8"/>
    <n v="0.96"/>
    <n v="25344"/>
    <n v="107.864064"/>
    <n v="164.57142857142858"/>
    <s v="Apr"/>
    <x v="25"/>
    <m/>
    <m/>
  </r>
  <r>
    <n v="68741742"/>
    <x v="0"/>
    <n v="26400"/>
    <d v="2026-04-27T00:00:00"/>
    <s v="GH Strawberry Shortcake Bar 8-6PK"/>
    <x v="96"/>
    <n v="4.2560000000000002E-3"/>
    <n v="154"/>
    <x v="7"/>
    <x v="8"/>
    <n v="0.96"/>
    <n v="25344"/>
    <n v="107.864064"/>
    <n v="164.57142857142858"/>
    <s v="Apr"/>
    <x v="21"/>
    <m/>
    <m/>
  </r>
  <r>
    <n v="68741742"/>
    <x v="0"/>
    <n v="26400"/>
    <d v="2026-05-04T00:00:00"/>
    <s v="GH Strawberry Shortcake Bar 8-6PK"/>
    <x v="96"/>
    <n v="4.2560000000000002E-3"/>
    <n v="154"/>
    <x v="7"/>
    <x v="8"/>
    <n v="0.96"/>
    <n v="25344"/>
    <n v="107.864064"/>
    <n v="164.57142857142858"/>
    <s v="May"/>
    <x v="24"/>
    <m/>
    <m/>
  </r>
  <r>
    <n v="68741742"/>
    <x v="0"/>
    <n v="26400"/>
    <d v="2026-05-11T00:00:00"/>
    <s v="GH Strawberry Shortcake Bar 8-6PK"/>
    <x v="96"/>
    <n v="4.2560000000000002E-3"/>
    <n v="154"/>
    <x v="7"/>
    <x v="8"/>
    <n v="0.96"/>
    <n v="25344"/>
    <n v="107.864064"/>
    <n v="164.57142857142858"/>
    <s v="May"/>
    <x v="26"/>
    <m/>
    <m/>
  </r>
  <r>
    <n v="68817801"/>
    <x v="0"/>
    <n v="26400"/>
    <d v="2026-04-06T00:00:00"/>
    <s v="BR XCRMY Chocolate 6 1.5QT"/>
    <x v="74"/>
    <n v="8.5199999999999998E-3"/>
    <n v="176"/>
    <x v="0"/>
    <x v="0"/>
    <n v="0.94"/>
    <n v="24816"/>
    <n v="211.43232"/>
    <n v="141"/>
    <s v="Apr"/>
    <x v="23"/>
    <m/>
    <m/>
  </r>
  <r>
    <n v="68850683"/>
    <x v="0"/>
    <m/>
    <d v="2026-03-30T00:00:00"/>
    <s v="BR Homemade Vanilla 6-1.5QT"/>
    <x v="78"/>
    <n v="8.5199999999999998E-3"/>
    <n v="176"/>
    <x v="0"/>
    <x v="0"/>
    <n v="0.94"/>
    <n v="0"/>
    <n v="0"/>
    <n v="0"/>
    <s v="Mar"/>
    <x v="20"/>
    <m/>
    <m/>
  </r>
  <r>
    <n v="68850683"/>
    <x v="0"/>
    <n v="26400"/>
    <d v="2026-04-20T00:00:00"/>
    <s v="BR Homemade Vanilla 6-1.5QT"/>
    <x v="78"/>
    <n v="8.5199999999999998E-3"/>
    <n v="176"/>
    <x v="0"/>
    <x v="0"/>
    <n v="0.94"/>
    <n v="24816"/>
    <n v="211.43232"/>
    <n v="141"/>
    <s v="Apr"/>
    <x v="40"/>
    <m/>
    <m/>
  </r>
  <r>
    <n v="68851104"/>
    <x v="0"/>
    <n v="26400"/>
    <d v="2026-04-06T00:00:00"/>
    <s v="BR Chocolate 6-1.5QT"/>
    <x v="74"/>
    <n v="8.5199999999999998E-3"/>
    <n v="176"/>
    <x v="0"/>
    <x v="0"/>
    <n v="0.94"/>
    <n v="24816"/>
    <n v="211.43232"/>
    <n v="141"/>
    <s v="Apr"/>
    <x v="23"/>
    <m/>
    <m/>
  </r>
  <r>
    <n v="69551489"/>
    <x v="0"/>
    <n v="26400"/>
    <d v="2026-04-27T00:00:00"/>
    <s v="GOOD HUMOR REESE BAR 6CT"/>
    <x v="96"/>
    <n v="3.8959999999999997E-3"/>
    <n v="154"/>
    <x v="7"/>
    <x v="8"/>
    <n v="0.96"/>
    <n v="25344"/>
    <n v="98.740223999999998"/>
    <n v="164.57142857142858"/>
    <s v="Apr"/>
    <x v="21"/>
    <m/>
    <m/>
  </r>
  <r>
    <n v="69551489"/>
    <x v="0"/>
    <n v="26400"/>
    <d v="2026-05-25T00:00:00"/>
    <s v="GOOD HUMOR REESE BAR 6CT"/>
    <x v="96"/>
    <n v="3.8959999999999997E-3"/>
    <n v="154"/>
    <x v="7"/>
    <x v="8"/>
    <n v="0.96"/>
    <n v="25344"/>
    <n v="98.740223999999998"/>
    <n v="164.57142857142858"/>
    <s v="May"/>
    <x v="46"/>
    <m/>
    <m/>
  </r>
  <r>
    <n v="69568828"/>
    <x v="0"/>
    <n v="26400"/>
    <d v="2026-04-13T00:00:00"/>
    <s v="BR CS Vanilla 6 1.5QT"/>
    <x v="82"/>
    <n v="8.5199999999999998E-3"/>
    <n v="176"/>
    <x v="0"/>
    <x v="0"/>
    <n v="0.94"/>
    <n v="24816"/>
    <n v="211.43232"/>
    <n v="141"/>
    <s v="Apr"/>
    <x v="25"/>
    <m/>
    <m/>
  </r>
  <r>
    <n v="68922108"/>
    <x v="1"/>
    <n v="160000"/>
    <d v="2026-04-01T00:00:00"/>
    <s v="Talenti Caramel Cookie Crunch 8 1PT"/>
    <x v="98"/>
    <n v="3.7839999999999996E-3"/>
    <n v="255"/>
    <x v="2"/>
    <x v="3"/>
    <n v="0.96"/>
    <n v="153600"/>
    <n v="581.22239999999999"/>
    <n v="602.35294117647061"/>
    <s v="Apr"/>
    <x v="20"/>
    <m/>
    <m/>
  </r>
  <r>
    <n v="68354589"/>
    <x v="1"/>
    <n v="26400"/>
    <d v="2026-03-23T00:00:00"/>
    <s v="BJ US-TOP-PBOVERTHETOP-8 450ml"/>
    <x v="88"/>
    <n v="3.5999999999999999E-3"/>
    <n v="240"/>
    <x v="8"/>
    <x v="9"/>
    <n v="0.96"/>
    <n v="25344"/>
    <n v="91.238399999999999"/>
    <n v="105.6"/>
    <s v="Mar"/>
    <x v="10"/>
    <m/>
    <m/>
  </r>
  <r>
    <n v="68649097"/>
    <x v="1"/>
    <n v="26400"/>
    <d v="2026-04-27T00:00:00"/>
    <s v="BJ US-TOP-RaspCheesecake-8 450ML"/>
    <x v="88"/>
    <n v="3.5999999999999999E-3"/>
    <n v="240"/>
    <x v="8"/>
    <x v="9"/>
    <n v="0.96"/>
    <n v="25344"/>
    <n v="91.238399999999999"/>
    <n v="105.6"/>
    <s v="Apr"/>
    <x v="21"/>
    <m/>
    <m/>
  </r>
  <r>
    <n v="68860061"/>
    <x v="1"/>
    <n v="26400"/>
    <d v="2026-05-04T00:00:00"/>
    <s v="Talenti LYR Cookies and Cream 8 303.3g"/>
    <x v="87"/>
    <n v="3.552E-3"/>
    <n v="255"/>
    <x v="2"/>
    <x v="3"/>
    <n v="0.96"/>
    <n v="25344"/>
    <n v="90.021888000000004"/>
    <n v="99.388235294117649"/>
    <s v="May"/>
    <x v="24"/>
    <m/>
    <m/>
  </r>
  <r>
    <n v="68842352"/>
    <x v="19"/>
    <n v="26400"/>
    <d v="2026-04-20T00:00:00"/>
    <s v="KL Cones Classic Vanilla 6-4CT"/>
    <x v="70"/>
    <n v="2.6640000000000001E-3"/>
    <n v="220"/>
    <x v="22"/>
    <x v="48"/>
    <n v="0.96"/>
    <n v="25344"/>
    <n v="67.516416000000007"/>
    <n v="115.2"/>
    <s v="Apr"/>
    <x v="40"/>
    <m/>
    <m/>
  </r>
  <r>
    <n v="64977494"/>
    <x v="8"/>
    <n v="26480"/>
    <d v="2026-03-30T00:00:00"/>
    <s v="GH Reeses Candy Bar 8-6PK"/>
    <x v="69"/>
    <n v="2.8399999999999996E-3"/>
    <n v="130"/>
    <x v="17"/>
    <x v="25"/>
    <n v="0.96"/>
    <n v="25420.799999999999"/>
    <n v="72.195071999999982"/>
    <n v="195.54461538461538"/>
    <s v="Mar"/>
    <x v="20"/>
    <m/>
    <m/>
  </r>
  <r>
    <n v="69983234"/>
    <x v="1"/>
    <n v="26550"/>
    <d v="2026-04-13T00:00:00"/>
    <s v="GH Creamsicle Bar 100 CAL 8-6PK"/>
    <x v="59"/>
    <n v="3.9039999999999999E-3"/>
    <n v="154"/>
    <x v="7"/>
    <x v="10"/>
    <n v="0.96"/>
    <n v="25488"/>
    <n v="99.505151999999995"/>
    <n v="165.50649350649351"/>
    <s v="Apr"/>
    <x v="25"/>
    <m/>
    <m/>
  </r>
  <r>
    <n v="69983234"/>
    <x v="1"/>
    <n v="26550"/>
    <d v="2026-04-20T00:00:00"/>
    <s v="GH Creamsicle Bar 100 CAL 8-6PK"/>
    <x v="59"/>
    <n v="3.9039999999999999E-3"/>
    <n v="154"/>
    <x v="7"/>
    <x v="10"/>
    <n v="0.96"/>
    <n v="25488"/>
    <n v="99.505151999999995"/>
    <n v="165.50649350649351"/>
    <s v="Apr"/>
    <x v="40"/>
    <m/>
    <m/>
  </r>
  <r>
    <n v="64956417"/>
    <x v="7"/>
    <n v="26624"/>
    <d v="2026-08-31T00:00:00"/>
    <s v="PS Hello Kitty Facepiece IH 6-6PK"/>
    <x v="70"/>
    <n v="2.16E-3"/>
    <n v="143"/>
    <x v="16"/>
    <x v="24"/>
    <n v="0.96"/>
    <n v="25559.040000000001"/>
    <n v="55.207526400000006"/>
    <n v="178.73454545454547"/>
    <s v="Aug"/>
    <x v="16"/>
    <m/>
    <m/>
  </r>
  <r>
    <n v="64956417"/>
    <x v="7"/>
    <n v="26624"/>
    <d v="2026-11-09T00:00:00"/>
    <s v="PS Hello Kitty Facepiece IH 6-6PK"/>
    <x v="70"/>
    <n v="2.16E-3"/>
    <n v="143"/>
    <x v="16"/>
    <x v="24"/>
    <n v="0.96"/>
    <n v="25559.040000000001"/>
    <n v="55.207526400000006"/>
    <n v="178.73454545454547"/>
    <s v="Nov"/>
    <x v="37"/>
    <m/>
    <m/>
  </r>
  <r>
    <n v="64874636"/>
    <x v="8"/>
    <n v="26800"/>
    <d v="2026-06-08T00:00:00"/>
    <s v="BR Smores SW 6-4ct"/>
    <x v="69"/>
    <n v="2.8380000000000002E-3"/>
    <n v="189"/>
    <x v="12"/>
    <x v="27"/>
    <n v="0.96"/>
    <n v="25728"/>
    <n v="73.016064"/>
    <n v="136.12698412698413"/>
    <s v="Jun"/>
    <x v="47"/>
    <m/>
    <m/>
  </r>
  <r>
    <n v="64999042"/>
    <x v="11"/>
    <n v="26875"/>
    <d v="2026-03-30T00:00:00"/>
    <s v="Yasso Coffee Chocolate Chip 8-14z"/>
    <x v="69"/>
    <n v="3.3119999999999998E-3"/>
    <n v="240"/>
    <x v="11"/>
    <x v="31"/>
    <n v="0.96"/>
    <n v="25800"/>
    <n v="85.44959999999999"/>
    <n v="107.5"/>
    <s v="Mar"/>
    <x v="20"/>
    <m/>
    <m/>
  </r>
  <r>
    <n v="69988931"/>
    <x v="1"/>
    <n v="27000"/>
    <d v="2026-04-06T00:00:00"/>
    <s v="MG Mini Classic/Almond/White VP 6-6PK"/>
    <x v="64"/>
    <n v="1.98E-3"/>
    <n v="176"/>
    <x v="5"/>
    <x v="6"/>
    <n v="0.96"/>
    <n v="25920"/>
    <n v="51.321599999999997"/>
    <n v="147.27272727272728"/>
    <s v="Apr"/>
    <x v="23"/>
    <m/>
    <m/>
  </r>
  <r>
    <n v="62678153"/>
    <x v="3"/>
    <n v="27000"/>
    <d v="2026-04-13T00:00:00"/>
    <s v="BJ US-NDO-TonightDough-8 1PT"/>
    <x v="72"/>
    <n v="3.7839999999999996E-3"/>
    <n v="240"/>
    <x v="3"/>
    <x v="13"/>
    <n v="0.95"/>
    <n v="25650"/>
    <n v="97.059599999999989"/>
    <n v="106.875"/>
    <s v="Apr"/>
    <x v="25"/>
    <m/>
    <m/>
  </r>
  <r>
    <n v="84135718"/>
    <x v="3"/>
    <n v="27000"/>
    <d v="2026-03-23T00:00:00"/>
    <s v="BJ US-IC-ChocChpCookDgh-FTNG-8 1PT"/>
    <x v="86"/>
    <n v="3.7853439999999999E-3"/>
    <n v="240"/>
    <x v="3"/>
    <x v="13"/>
    <n v="0.95"/>
    <n v="25650"/>
    <n v="97.094073600000002"/>
    <n v="106.875"/>
    <s v="Mar"/>
    <x v="10"/>
    <m/>
    <m/>
  </r>
  <r>
    <n v="65254774"/>
    <x v="18"/>
    <n v="27000"/>
    <d v="2026-04-06T00:00:00"/>
    <s v="Yasso Choc Chip VAN CRML Cups 1-12ct"/>
    <x v="69"/>
    <n v="1E-3"/>
    <n v="420"/>
    <x v="17"/>
    <x v="46"/>
    <n v="0.96"/>
    <n v="25920"/>
    <n v="25.92"/>
    <n v="61.714285714285715"/>
    <s v="Apr"/>
    <x v="23"/>
    <m/>
    <m/>
  </r>
  <r>
    <n v="65254774"/>
    <x v="18"/>
    <n v="27000"/>
    <d v="2026-04-13T00:00:00"/>
    <s v="Yasso Choc Chip VAN CRML Cups 1-12ct"/>
    <x v="69"/>
    <n v="1E-3"/>
    <n v="420"/>
    <x v="17"/>
    <x v="46"/>
    <n v="0.96"/>
    <n v="25920"/>
    <n v="25.92"/>
    <n v="61.714285714285715"/>
    <s v="Apr"/>
    <x v="25"/>
    <m/>
    <m/>
  </r>
  <r>
    <n v="65254774"/>
    <x v="18"/>
    <n v="27000"/>
    <d v="2026-04-20T00:00:00"/>
    <s v="Yasso Choc Chip VAN CRML Cups 1-12ct"/>
    <x v="69"/>
    <n v="1E-3"/>
    <n v="420"/>
    <x v="17"/>
    <x v="46"/>
    <n v="0.96"/>
    <n v="25920"/>
    <n v="25.92"/>
    <n v="61.714285714285715"/>
    <s v="Apr"/>
    <x v="40"/>
    <m/>
    <m/>
  </r>
  <r>
    <n v="65254774"/>
    <x v="18"/>
    <n v="27000"/>
    <d v="2026-04-27T00:00:00"/>
    <s v="Yasso Choc Chip VAN CRML Cups 1-12ct"/>
    <x v="69"/>
    <n v="1E-3"/>
    <n v="420"/>
    <x v="17"/>
    <x v="46"/>
    <n v="0.96"/>
    <n v="25920"/>
    <n v="25.92"/>
    <n v="61.714285714285715"/>
    <s v="Apr"/>
    <x v="21"/>
    <m/>
    <m/>
  </r>
  <r>
    <n v="65254774"/>
    <x v="18"/>
    <n v="27000"/>
    <d v="2026-05-04T00:00:00"/>
    <s v="Yasso Choc Chip VAN CRML Cups 1-12ct"/>
    <x v="69"/>
    <n v="1E-3"/>
    <n v="420"/>
    <x v="17"/>
    <x v="46"/>
    <n v="0.96"/>
    <n v="25920"/>
    <n v="25.92"/>
    <n v="61.714285714285715"/>
    <s v="May"/>
    <x v="24"/>
    <m/>
    <m/>
  </r>
  <r>
    <n v="65254774"/>
    <x v="18"/>
    <n v="27000"/>
    <d v="2026-05-11T00:00:00"/>
    <s v="Yasso Choc Chip VAN CRML Cups 1-12ct"/>
    <x v="69"/>
    <n v="1E-3"/>
    <n v="420"/>
    <x v="17"/>
    <x v="46"/>
    <n v="0.96"/>
    <n v="25920"/>
    <n v="25.92"/>
    <n v="61.714285714285715"/>
    <s v="May"/>
    <x v="26"/>
    <m/>
    <m/>
  </r>
  <r>
    <n v="65254774"/>
    <x v="18"/>
    <n v="27000"/>
    <d v="2026-05-18T00:00:00"/>
    <s v="Yasso Choc Chip VAN CRML Cups 1-12ct"/>
    <x v="69"/>
    <n v="1E-3"/>
    <n v="420"/>
    <x v="17"/>
    <x v="46"/>
    <n v="0.96"/>
    <n v="25920"/>
    <n v="25.92"/>
    <n v="61.714285714285715"/>
    <s v="May"/>
    <x v="39"/>
    <m/>
    <m/>
  </r>
  <r>
    <n v="65254774"/>
    <x v="18"/>
    <n v="27000"/>
    <d v="2026-06-01T00:00:00"/>
    <s v="Yasso Choc Chip VAN CRML Cups 1-12ct"/>
    <x v="69"/>
    <n v="1E-3"/>
    <n v="420"/>
    <x v="17"/>
    <x v="46"/>
    <n v="0.96"/>
    <n v="25920"/>
    <n v="25.92"/>
    <n v="61.714285714285715"/>
    <s v="Jun"/>
    <x v="13"/>
    <m/>
    <m/>
  </r>
  <r>
    <n v="65254774"/>
    <x v="18"/>
    <n v="27000"/>
    <d v="2026-06-15T00:00:00"/>
    <s v="Yasso Choc Chip VAN CRML Cups 1-12ct"/>
    <x v="69"/>
    <n v="1E-3"/>
    <n v="420"/>
    <x v="17"/>
    <x v="46"/>
    <n v="0.96"/>
    <n v="25920"/>
    <n v="25.92"/>
    <n v="61.714285714285715"/>
    <s v="Jun"/>
    <x v="28"/>
    <m/>
    <m/>
  </r>
  <r>
    <n v="65254774"/>
    <x v="18"/>
    <n v="27000"/>
    <d v="2026-06-29T00:00:00"/>
    <s v="Yasso Choc Chip VAN CRML Cups 1-12ct"/>
    <x v="69"/>
    <n v="1E-3"/>
    <n v="420"/>
    <x v="17"/>
    <x v="46"/>
    <n v="0.96"/>
    <n v="25920"/>
    <n v="25.92"/>
    <n v="61.714285714285715"/>
    <s v="Jun"/>
    <x v="14"/>
    <m/>
    <m/>
  </r>
  <r>
    <n v="65254774"/>
    <x v="18"/>
    <n v="27000"/>
    <d v="2026-07-13T00:00:00"/>
    <s v="Yasso Choc Chip VAN CRML Cups 1-12ct"/>
    <x v="69"/>
    <n v="1E-3"/>
    <n v="420"/>
    <x v="17"/>
    <x v="46"/>
    <n v="0.96"/>
    <n v="25920"/>
    <n v="25.92"/>
    <n v="61.714285714285715"/>
    <s v="Jul"/>
    <x v="48"/>
    <m/>
    <m/>
  </r>
  <r>
    <n v="65254774"/>
    <x v="18"/>
    <n v="27000"/>
    <d v="2026-07-27T00:00:00"/>
    <s v="Yasso Choc Chip VAN CRML Cups 1-12ct"/>
    <x v="69"/>
    <n v="1E-3"/>
    <n v="420"/>
    <x v="17"/>
    <x v="46"/>
    <n v="0.96"/>
    <n v="25920"/>
    <n v="25.92"/>
    <n v="61.714285714285715"/>
    <s v="Jul"/>
    <x v="15"/>
    <m/>
    <m/>
  </r>
  <r>
    <n v="64771676"/>
    <x v="7"/>
    <n v="27084"/>
    <d v="2026-08-17T00:00:00"/>
    <s v="PS SpongeBob Facepiece IH 6-6PK"/>
    <x v="70"/>
    <n v="2.16E-3"/>
    <n v="195"/>
    <x v="16"/>
    <x v="24"/>
    <n v="0.96"/>
    <n v="26000.639999999999"/>
    <n v="56.161382400000001"/>
    <n v="133.33661538461538"/>
    <s v="Aug"/>
    <x v="29"/>
    <m/>
    <m/>
  </r>
  <r>
    <n v="65218505"/>
    <x v="11"/>
    <n v="27473"/>
    <d v="2026-04-27T00:00:00"/>
    <s v="Yasso Chocolate Fudge Brownie 8-4pk"/>
    <x v="70"/>
    <n v="3.3119999999999998E-3"/>
    <n v="165"/>
    <x v="4"/>
    <x v="32"/>
    <n v="0.96"/>
    <n v="26374.079999999998"/>
    <n v="87.350952959999987"/>
    <n v="159.84290909090907"/>
    <s v="Apr"/>
    <x v="21"/>
    <m/>
    <m/>
  </r>
  <r>
    <n v="64328806"/>
    <x v="8"/>
    <n v="27520"/>
    <d v="2026-06-01T00:00:00"/>
    <s v="KL Reeses SW 6-4PK"/>
    <x v="69"/>
    <n v="2.8380000000000002E-3"/>
    <n v="189"/>
    <x v="12"/>
    <x v="27"/>
    <n v="0.96"/>
    <n v="26419.200000000001"/>
    <n v="74.977689600000005"/>
    <n v="139.784126984127"/>
    <s v="Jun"/>
    <x v="13"/>
    <m/>
    <m/>
  </r>
  <r>
    <n v="64328806"/>
    <x v="8"/>
    <n v="27520"/>
    <d v="2026-08-03T00:00:00"/>
    <s v="KL Reeses SW 6-4PK"/>
    <x v="69"/>
    <n v="2.8380000000000002E-3"/>
    <n v="189"/>
    <x v="12"/>
    <x v="27"/>
    <n v="0.96"/>
    <n v="26419.200000000001"/>
    <n v="74.977689600000005"/>
    <n v="139.784126984127"/>
    <s v="Aug"/>
    <x v="22"/>
    <m/>
    <m/>
  </r>
  <r>
    <n v="64328806"/>
    <x v="8"/>
    <n v="27520"/>
    <d v="2026-09-07T00:00:00"/>
    <s v="KL Reeses SW 6-4PK"/>
    <x v="69"/>
    <n v="2.8380000000000002E-3"/>
    <n v="189"/>
    <x v="12"/>
    <x v="27"/>
    <n v="0.96"/>
    <n v="26419.200000000001"/>
    <n v="74.977689600000005"/>
    <n v="139.784126984127"/>
    <s v="Sep"/>
    <x v="32"/>
    <m/>
    <m/>
  </r>
  <r>
    <n v="64328806"/>
    <x v="8"/>
    <n v="27520"/>
    <d v="2026-10-12T00:00:00"/>
    <s v="KL Reeses SW 6-4PK"/>
    <x v="69"/>
    <n v="2.8380000000000002E-3"/>
    <n v="189"/>
    <x v="12"/>
    <x v="27"/>
    <n v="0.96"/>
    <n v="26419.200000000001"/>
    <n v="74.977689600000005"/>
    <n v="139.784126984127"/>
    <s v="Oct"/>
    <x v="36"/>
    <m/>
    <m/>
  </r>
  <r>
    <n v="64328806"/>
    <x v="8"/>
    <n v="27520"/>
    <d v="2026-11-16T00:00:00"/>
    <s v="KL Reeses SW 6-4PK"/>
    <x v="69"/>
    <n v="2.8380000000000002E-3"/>
    <n v="189"/>
    <x v="12"/>
    <x v="27"/>
    <n v="0.96"/>
    <n v="26419.200000000001"/>
    <n v="74.977689600000005"/>
    <n v="139.784126984127"/>
    <s v="Nov"/>
    <x v="42"/>
    <m/>
    <m/>
  </r>
  <r>
    <n v="64978550"/>
    <x v="8"/>
    <n v="27600"/>
    <d v="2026-06-08T00:00:00"/>
    <s v="GH Almond Joy Candy Bar 8-6PK"/>
    <x v="69"/>
    <n v="2.8399999999999996E-3"/>
    <n v="130"/>
    <x v="17"/>
    <x v="25"/>
    <n v="0.96"/>
    <n v="26496"/>
    <n v="75.248639999999995"/>
    <n v="203.8153846153846"/>
    <s v="Jun"/>
    <x v="47"/>
    <m/>
    <m/>
  </r>
  <r>
    <n v="64978550"/>
    <x v="8"/>
    <n v="27600"/>
    <d v="2026-07-20T00:00:00"/>
    <s v="GH Almond Joy Candy Bar 8-6PK"/>
    <x v="69"/>
    <n v="2.8399999999999996E-3"/>
    <n v="130"/>
    <x v="17"/>
    <x v="25"/>
    <n v="0.96"/>
    <n v="26496"/>
    <n v="75.248639999999995"/>
    <n v="203.8153846153846"/>
    <s v="Jul"/>
    <x v="31"/>
    <m/>
    <m/>
  </r>
  <r>
    <n v="64978550"/>
    <x v="8"/>
    <n v="27600"/>
    <d v="2026-09-28T00:00:00"/>
    <s v="GH Almond Joy Candy Bar 8-6PK"/>
    <x v="69"/>
    <n v="2.8399999999999996E-3"/>
    <n v="130"/>
    <x v="17"/>
    <x v="25"/>
    <n v="0.96"/>
    <n v="26496"/>
    <n v="75.248639999999995"/>
    <n v="203.8153846153846"/>
    <s v="Sep"/>
    <x v="17"/>
    <m/>
    <m/>
  </r>
  <r>
    <n v="64365613"/>
    <x v="7"/>
    <n v="27936"/>
    <d v="2026-10-05T00:00:00"/>
    <s v="PS Spiderman Facepiece 6-6PK"/>
    <x v="70"/>
    <n v="2.1540000000000001E-3"/>
    <n v="195"/>
    <x v="16"/>
    <x v="24"/>
    <n v="0.96"/>
    <n v="26818.559999999998"/>
    <n v="57.76717824"/>
    <n v="137.53107692307691"/>
    <s v="Oct"/>
    <x v="50"/>
    <m/>
    <m/>
  </r>
  <r>
    <n v="64955743"/>
    <x v="11"/>
    <n v="28000"/>
    <d v="2026-05-04T00:00:00"/>
    <s v="Yasso Peanut Butter Chip 8-4pk"/>
    <x v="69"/>
    <n v="3.3119999999999998E-3"/>
    <n v="165"/>
    <x v="4"/>
    <x v="32"/>
    <n v="0.96"/>
    <n v="26880"/>
    <n v="89.026559999999989"/>
    <n v="162.90909090909091"/>
    <s v="May"/>
    <x v="24"/>
    <m/>
    <m/>
  </r>
  <r>
    <n v="64955743"/>
    <x v="11"/>
    <n v="28000"/>
    <d v="2026-07-13T00:00:00"/>
    <s v="Yasso Peanut Butter Chip 8-4pk"/>
    <x v="69"/>
    <n v="3.3119999999999998E-3"/>
    <n v="165"/>
    <x v="4"/>
    <x v="32"/>
    <n v="0.96"/>
    <n v="26880"/>
    <n v="89.026559999999989"/>
    <n v="162.90909090909091"/>
    <s v="Jul"/>
    <x v="48"/>
    <m/>
    <m/>
  </r>
  <r>
    <n v="64958124"/>
    <x v="11"/>
    <n v="28000"/>
    <d v="2026-05-11T00:00:00"/>
    <s v="Yasso Cookies N Cream 8-4pk"/>
    <x v="69"/>
    <n v="3.3119999999999998E-3"/>
    <n v="165"/>
    <x v="4"/>
    <x v="32"/>
    <n v="0.96"/>
    <n v="26880"/>
    <n v="89.026559999999989"/>
    <n v="162.90909090909091"/>
    <s v="May"/>
    <x v="26"/>
    <m/>
    <m/>
  </r>
  <r>
    <n v="64958125"/>
    <x v="11"/>
    <n v="28000"/>
    <d v="2026-05-04T00:00:00"/>
    <s v="Yasso Chocolate Fudge 8-4pk"/>
    <x v="69"/>
    <n v="3.3119999999999998E-3"/>
    <n v="165"/>
    <x v="4"/>
    <x v="32"/>
    <n v="0.96"/>
    <n v="26880"/>
    <n v="89.026559999999989"/>
    <n v="162.90909090909091"/>
    <s v="May"/>
    <x v="24"/>
    <m/>
    <m/>
  </r>
  <r>
    <n v="64958125"/>
    <x v="11"/>
    <n v="28000"/>
    <d v="2026-06-29T00:00:00"/>
    <s v="Yasso Chocolate Fudge 8-4pk"/>
    <x v="69"/>
    <n v="3.3119999999999998E-3"/>
    <n v="165"/>
    <x v="4"/>
    <x v="32"/>
    <n v="0.96"/>
    <n v="26880"/>
    <n v="89.026559999999989"/>
    <n v="162.90909090909091"/>
    <s v="Jun"/>
    <x v="14"/>
    <m/>
    <m/>
  </r>
  <r>
    <n v="64958126"/>
    <x v="11"/>
    <n v="28000"/>
    <d v="2026-07-06T00:00:00"/>
    <s v="Yasso Black Raspberry Chip 8-4pk"/>
    <x v="69"/>
    <n v="3.3119999999999998E-3"/>
    <n v="165"/>
    <x v="4"/>
    <x v="32"/>
    <n v="0.96"/>
    <n v="26880"/>
    <n v="89.026559999999989"/>
    <n v="162.90909090909091"/>
    <s v="Jul"/>
    <x v="30"/>
    <m/>
    <m/>
  </r>
  <r>
    <n v="64958127"/>
    <x v="11"/>
    <n v="28000"/>
    <d v="2026-05-11T00:00:00"/>
    <s v="Yasso Coffee Chocolate Chip 8-4pk"/>
    <x v="69"/>
    <n v="3.3119999999999998E-3"/>
    <n v="165"/>
    <x v="4"/>
    <x v="32"/>
    <n v="0.96"/>
    <n v="26880"/>
    <n v="89.026559999999989"/>
    <n v="162.90909090909091"/>
    <s v="May"/>
    <x v="26"/>
    <m/>
    <m/>
  </r>
  <r>
    <n v="64958127"/>
    <x v="11"/>
    <n v="28000"/>
    <d v="2026-07-06T00:00:00"/>
    <s v="Yasso Coffee Chocolate Chip 8-4pk"/>
    <x v="69"/>
    <n v="3.3119999999999998E-3"/>
    <n v="165"/>
    <x v="4"/>
    <x v="32"/>
    <n v="0.96"/>
    <n v="26880"/>
    <n v="89.026559999999989"/>
    <n v="162.90909090909091"/>
    <s v="Jul"/>
    <x v="30"/>
    <m/>
    <m/>
  </r>
  <r>
    <n v="64958129"/>
    <x v="11"/>
    <n v="28000"/>
    <d v="2026-05-11T00:00:00"/>
    <s v="Yasso Chocolate Chip Cookie Dough 8-4pk"/>
    <x v="69"/>
    <n v="3.3119999999999998E-3"/>
    <n v="165"/>
    <x v="4"/>
    <x v="32"/>
    <n v="0.96"/>
    <n v="26880"/>
    <n v="89.026559999999989"/>
    <n v="162.90909090909091"/>
    <s v="May"/>
    <x v="26"/>
    <m/>
    <m/>
  </r>
  <r>
    <n v="64975613"/>
    <x v="11"/>
    <n v="28000"/>
    <d v="2026-07-06T00:00:00"/>
    <s v="Yasso Chocolate Chip Cookie Dough 8-14z"/>
    <x v="69"/>
    <n v="3.3119999999999998E-3"/>
    <n v="240"/>
    <x v="11"/>
    <x v="31"/>
    <n v="0.96"/>
    <n v="26880"/>
    <n v="89.026559999999989"/>
    <n v="112"/>
    <s v="Jul"/>
    <x v="30"/>
    <m/>
    <m/>
  </r>
  <r>
    <n v="64975613"/>
    <x v="11"/>
    <n v="28000"/>
    <d v="2026-07-27T00:00:00"/>
    <s v="Yasso Chocolate Chip Cookie Dough 8-14z"/>
    <x v="69"/>
    <n v="3.3119999999999998E-3"/>
    <n v="240"/>
    <x v="11"/>
    <x v="31"/>
    <n v="0.96"/>
    <n v="26880"/>
    <n v="89.026559999999989"/>
    <n v="112"/>
    <s v="Jul"/>
    <x v="15"/>
    <m/>
    <m/>
  </r>
  <r>
    <n v="64975613"/>
    <x v="11"/>
    <n v="28000"/>
    <d v="2026-08-17T00:00:00"/>
    <s v="Yasso Chocolate Chip Cookie Dough 8-14z"/>
    <x v="69"/>
    <n v="3.3119999999999998E-3"/>
    <n v="240"/>
    <x v="11"/>
    <x v="31"/>
    <n v="0.96"/>
    <n v="26880"/>
    <n v="89.026559999999989"/>
    <n v="112"/>
    <s v="Aug"/>
    <x v="29"/>
    <m/>
    <m/>
  </r>
  <r>
    <n v="64975613"/>
    <x v="11"/>
    <n v="28000"/>
    <d v="2026-09-07T00:00:00"/>
    <s v="Yasso Chocolate Chip Cookie Dough 8-14z"/>
    <x v="69"/>
    <n v="3.3119999999999998E-3"/>
    <n v="240"/>
    <x v="11"/>
    <x v="31"/>
    <n v="0.96"/>
    <n v="26880"/>
    <n v="89.026559999999989"/>
    <n v="112"/>
    <s v="Sep"/>
    <x v="32"/>
    <m/>
    <m/>
  </r>
  <r>
    <n v="64975613"/>
    <x v="11"/>
    <n v="28000"/>
    <d v="2026-10-05T00:00:00"/>
    <s v="Yasso Chocolate Chip Cookie Dough 8-14z"/>
    <x v="69"/>
    <n v="3.3119999999999998E-3"/>
    <n v="240"/>
    <x v="11"/>
    <x v="31"/>
    <n v="0.96"/>
    <n v="26880"/>
    <n v="89.026559999999989"/>
    <n v="112"/>
    <s v="Oct"/>
    <x v="50"/>
    <m/>
    <m/>
  </r>
  <r>
    <n v="64975613"/>
    <x v="11"/>
    <n v="28000"/>
    <d v="2026-11-02T00:00:00"/>
    <s v="Yasso Chocolate Chip Cookie Dough 8-14z"/>
    <x v="69"/>
    <n v="3.3119999999999998E-3"/>
    <n v="240"/>
    <x v="11"/>
    <x v="31"/>
    <n v="0.96"/>
    <n v="26880"/>
    <n v="89.026559999999989"/>
    <n v="112"/>
    <s v="Nov"/>
    <x v="18"/>
    <m/>
    <m/>
  </r>
  <r>
    <n v="64975613"/>
    <x v="11"/>
    <n v="28000"/>
    <d v="2026-11-23T00:00:00"/>
    <s v="Yasso Chocolate Chip Cookie Dough 8-14z"/>
    <x v="69"/>
    <n v="3.3119999999999998E-3"/>
    <n v="240"/>
    <x v="11"/>
    <x v="31"/>
    <n v="0.96"/>
    <n v="26880"/>
    <n v="89.026559999999989"/>
    <n v="112"/>
    <s v="Nov"/>
    <x v="43"/>
    <m/>
    <m/>
  </r>
  <r>
    <n v="64975613"/>
    <x v="11"/>
    <n v="28000"/>
    <d v="2026-12-21T00:00:00"/>
    <s v="Yasso Chocolate Chip Cookie Dough 8-14z"/>
    <x v="69"/>
    <n v="3.3119999999999998E-3"/>
    <n v="240"/>
    <x v="11"/>
    <x v="31"/>
    <n v="0.96"/>
    <n v="26880"/>
    <n v="89.026559999999989"/>
    <n v="112"/>
    <s v="Dec"/>
    <x v="51"/>
    <m/>
    <m/>
  </r>
  <r>
    <n v="64975614"/>
    <x v="11"/>
    <n v="28000"/>
    <d v="2026-06-15T00:00:00"/>
    <s v="Yasso Fudge Brownie 8-14z"/>
    <x v="69"/>
    <n v="3.3119999999999998E-3"/>
    <n v="240"/>
    <x v="11"/>
    <x v="31"/>
    <n v="0.96"/>
    <n v="26880"/>
    <n v="89.026559999999989"/>
    <n v="112"/>
    <s v="Jun"/>
    <x v="28"/>
    <m/>
    <m/>
  </r>
  <r>
    <n v="64975614"/>
    <x v="11"/>
    <n v="28000"/>
    <d v="2026-07-06T00:00:00"/>
    <s v="Yasso Fudge Brownie 8-14z"/>
    <x v="69"/>
    <n v="3.3119999999999998E-3"/>
    <n v="240"/>
    <x v="11"/>
    <x v="31"/>
    <n v="0.96"/>
    <n v="26880"/>
    <n v="89.026559999999989"/>
    <n v="112"/>
    <s v="Jul"/>
    <x v="30"/>
    <m/>
    <m/>
  </r>
  <r>
    <n v="64975614"/>
    <x v="11"/>
    <n v="28000"/>
    <d v="2026-07-27T00:00:00"/>
    <s v="Yasso Fudge Brownie 8-14z"/>
    <x v="69"/>
    <n v="3.3119999999999998E-3"/>
    <n v="240"/>
    <x v="11"/>
    <x v="31"/>
    <n v="0.96"/>
    <n v="26880"/>
    <n v="89.026559999999989"/>
    <n v="112"/>
    <s v="Jul"/>
    <x v="15"/>
    <m/>
    <m/>
  </r>
  <r>
    <n v="64975614"/>
    <x v="11"/>
    <n v="28000"/>
    <d v="2026-08-17T00:00:00"/>
    <s v="Yasso Fudge Brownie 8-14z"/>
    <x v="69"/>
    <n v="3.3119999999999998E-3"/>
    <n v="240"/>
    <x v="11"/>
    <x v="31"/>
    <n v="0.96"/>
    <n v="26880"/>
    <n v="89.026559999999989"/>
    <n v="112"/>
    <s v="Aug"/>
    <x v="29"/>
    <m/>
    <m/>
  </r>
  <r>
    <n v="64975614"/>
    <x v="11"/>
    <n v="28000"/>
    <d v="2026-09-14T00:00:00"/>
    <s v="Yasso Fudge Brownie 8-14z"/>
    <x v="69"/>
    <n v="3.3119999999999998E-3"/>
    <n v="240"/>
    <x v="11"/>
    <x v="31"/>
    <n v="0.96"/>
    <n v="26880"/>
    <n v="89.026559999999989"/>
    <n v="112"/>
    <s v="Sep"/>
    <x v="38"/>
    <m/>
    <m/>
  </r>
  <r>
    <n v="64975614"/>
    <x v="11"/>
    <n v="28000"/>
    <d v="2026-10-12T00:00:00"/>
    <s v="Yasso Fudge Brownie 8-14z"/>
    <x v="69"/>
    <n v="3.3119999999999998E-3"/>
    <n v="240"/>
    <x v="11"/>
    <x v="31"/>
    <n v="0.96"/>
    <n v="26880"/>
    <n v="89.026559999999989"/>
    <n v="112"/>
    <s v="Oct"/>
    <x v="36"/>
    <m/>
    <m/>
  </r>
  <r>
    <n v="64975614"/>
    <x v="11"/>
    <n v="28000"/>
    <d v="2026-11-02T00:00:00"/>
    <s v="Yasso Fudge Brownie 8-14z"/>
    <x v="69"/>
    <n v="3.3119999999999998E-3"/>
    <n v="240"/>
    <x v="11"/>
    <x v="31"/>
    <n v="0.96"/>
    <n v="26880"/>
    <n v="89.026559999999989"/>
    <n v="112"/>
    <s v="Nov"/>
    <x v="18"/>
    <m/>
    <m/>
  </r>
  <r>
    <n v="64975614"/>
    <x v="11"/>
    <n v="28000"/>
    <d v="2026-11-23T00:00:00"/>
    <s v="Yasso Fudge Brownie 8-14z"/>
    <x v="69"/>
    <n v="3.3119999999999998E-3"/>
    <n v="240"/>
    <x v="11"/>
    <x v="31"/>
    <n v="0.96"/>
    <n v="26880"/>
    <n v="89.026559999999989"/>
    <n v="112"/>
    <s v="Nov"/>
    <x v="43"/>
    <m/>
    <m/>
  </r>
  <r>
    <n v="64975616"/>
    <x v="11"/>
    <n v="28000"/>
    <d v="2026-06-01T00:00:00"/>
    <s v="Yasso Mint Chocolate Chip 8-14z"/>
    <x v="69"/>
    <n v="3.3119999999999998E-3"/>
    <n v="240"/>
    <x v="11"/>
    <x v="31"/>
    <n v="0.96"/>
    <n v="26880"/>
    <n v="89.026559999999989"/>
    <n v="112"/>
    <s v="Jun"/>
    <x v="13"/>
    <m/>
    <m/>
  </r>
  <r>
    <n v="64976847"/>
    <x v="11"/>
    <n v="28000"/>
    <d v="2026-06-29T00:00:00"/>
    <s v="Yasso Vanilla Chocolate Crunch 8-4pk"/>
    <x v="69"/>
    <n v="2.5040000000000001E-3"/>
    <n v="165"/>
    <x v="4"/>
    <x v="32"/>
    <n v="0.96"/>
    <n v="26880"/>
    <n v="67.307520000000011"/>
    <n v="162.90909090909091"/>
    <s v="Jun"/>
    <x v="14"/>
    <m/>
    <m/>
  </r>
  <r>
    <n v="64976848"/>
    <x v="11"/>
    <n v="28000"/>
    <d v="2026-05-11T00:00:00"/>
    <s v="Yasso Fudge Chocolate Crunch 8-4pk"/>
    <x v="69"/>
    <n v="2.5040000000000001E-3"/>
    <n v="165"/>
    <x v="4"/>
    <x v="32"/>
    <n v="0.96"/>
    <n v="26880"/>
    <n v="67.307520000000011"/>
    <n v="162.90909090909091"/>
    <s v="May"/>
    <x v="26"/>
    <m/>
    <m/>
  </r>
  <r>
    <n v="64976848"/>
    <x v="11"/>
    <n v="28000"/>
    <d v="2026-07-06T00:00:00"/>
    <s v="Yasso Fudge Chocolate Crunch 8-4pk"/>
    <x v="69"/>
    <n v="2.5040000000000001E-3"/>
    <n v="165"/>
    <x v="4"/>
    <x v="32"/>
    <n v="0.96"/>
    <n v="26880"/>
    <n v="67.307520000000011"/>
    <n v="162.90909090909091"/>
    <s v="Jul"/>
    <x v="30"/>
    <m/>
    <m/>
  </r>
  <r>
    <n v="64976851"/>
    <x v="11"/>
    <n v="28000"/>
    <d v="2026-05-04T00:00:00"/>
    <s v="Yasso Caramel Chocolate Crunch 8-4pk"/>
    <x v="69"/>
    <n v="2.5040000000000001E-3"/>
    <n v="165"/>
    <x v="4"/>
    <x v="32"/>
    <n v="0.96"/>
    <n v="26880"/>
    <n v="67.307520000000011"/>
    <n v="162.90909090909091"/>
    <s v="May"/>
    <x v="24"/>
    <m/>
    <m/>
  </r>
  <r>
    <n v="64976851"/>
    <x v="11"/>
    <n v="28000"/>
    <d v="2026-08-17T00:00:00"/>
    <s v="Yasso Caramel Chocolate Crunch 8-4pk"/>
    <x v="69"/>
    <n v="2.5040000000000001E-3"/>
    <n v="165"/>
    <x v="4"/>
    <x v="32"/>
    <n v="0.96"/>
    <n v="26880"/>
    <n v="67.307520000000011"/>
    <n v="162.90909090909091"/>
    <s v="Aug"/>
    <x v="29"/>
    <m/>
    <m/>
  </r>
  <r>
    <n v="64987232"/>
    <x v="11"/>
    <n v="28000"/>
    <d v="2026-06-22T00:00:00"/>
    <s v="BJ US-Bar-CHOCFUDGBrownie 8-4pk"/>
    <x v="69"/>
    <n v="2.3999999999999998E-3"/>
    <n v="165"/>
    <x v="24"/>
    <x v="45"/>
    <n v="0.96"/>
    <n v="26880"/>
    <n v="64.512"/>
    <n v="162.90909090909091"/>
    <s v="Jun"/>
    <x v="49"/>
    <m/>
    <m/>
  </r>
  <r>
    <n v="64987232"/>
    <x v="11"/>
    <n v="28000"/>
    <d v="2026-07-13T00:00:00"/>
    <s v="BJ US-Bar-CHOCFUDGBrownie 8-4pk"/>
    <x v="69"/>
    <n v="2.3999999999999998E-3"/>
    <n v="165"/>
    <x v="24"/>
    <x v="45"/>
    <n v="0.96"/>
    <n v="26880"/>
    <n v="64.512"/>
    <n v="162.90909090909091"/>
    <s v="Jul"/>
    <x v="48"/>
    <m/>
    <m/>
  </r>
  <r>
    <n v="64987232"/>
    <x v="11"/>
    <n v="28000"/>
    <d v="2026-08-03T00:00:00"/>
    <s v="BJ US-Bar-CHOCFUDGBrownie 8-4pk"/>
    <x v="69"/>
    <n v="2.3999999999999998E-3"/>
    <n v="165"/>
    <x v="24"/>
    <x v="45"/>
    <n v="0.96"/>
    <n v="26880"/>
    <n v="64.512"/>
    <n v="162.90909090909091"/>
    <s v="Aug"/>
    <x v="22"/>
    <m/>
    <m/>
  </r>
  <r>
    <n v="64987232"/>
    <x v="11"/>
    <n v="28000"/>
    <d v="2026-08-24T00:00:00"/>
    <s v="BJ US-Bar-CHOCFUDGBrownie 8-4pk"/>
    <x v="69"/>
    <n v="2.3999999999999998E-3"/>
    <n v="165"/>
    <x v="24"/>
    <x v="45"/>
    <n v="0.96"/>
    <n v="26880"/>
    <n v="64.512"/>
    <n v="162.90909090909091"/>
    <s v="Aug"/>
    <x v="35"/>
    <m/>
    <m/>
  </r>
  <r>
    <n v="64987232"/>
    <x v="11"/>
    <n v="28000"/>
    <d v="2026-09-14T00:00:00"/>
    <s v="BJ US-Bar-CHOCFUDGBrownie 8-4pk"/>
    <x v="69"/>
    <n v="2.3999999999999998E-3"/>
    <n v="165"/>
    <x v="24"/>
    <x v="45"/>
    <n v="0.96"/>
    <n v="26880"/>
    <n v="64.512"/>
    <n v="162.90909090909091"/>
    <s v="Sep"/>
    <x v="38"/>
    <m/>
    <m/>
  </r>
  <r>
    <n v="64987232"/>
    <x v="11"/>
    <n v="28000"/>
    <d v="2026-09-28T00:00:00"/>
    <s v="BJ US-Bar-CHOCFUDGBrownie 8-4pk"/>
    <x v="69"/>
    <n v="2.3999999999999998E-3"/>
    <n v="165"/>
    <x v="24"/>
    <x v="45"/>
    <n v="0.96"/>
    <n v="26880"/>
    <n v="64.512"/>
    <n v="162.90909090909091"/>
    <s v="Sep"/>
    <x v="17"/>
    <m/>
    <m/>
  </r>
  <r>
    <n v="64987232"/>
    <x v="11"/>
    <n v="28000"/>
    <d v="2026-10-26T00:00:00"/>
    <s v="BJ US-Bar-CHOCFUDGBrownie 8-4pk"/>
    <x v="69"/>
    <n v="2.3999999999999998E-3"/>
    <n v="165"/>
    <x v="24"/>
    <x v="45"/>
    <n v="0.96"/>
    <n v="26880"/>
    <n v="64.512"/>
    <n v="162.90909090909091"/>
    <s v="Oct"/>
    <x v="33"/>
    <m/>
    <m/>
  </r>
  <r>
    <n v="64987232"/>
    <x v="11"/>
    <n v="28000"/>
    <d v="2026-11-16T00:00:00"/>
    <s v="BJ US-Bar-CHOCFUDGBrownie 8-4pk"/>
    <x v="69"/>
    <n v="2.3999999999999998E-3"/>
    <n v="165"/>
    <x v="24"/>
    <x v="45"/>
    <n v="0.96"/>
    <n v="26880"/>
    <n v="64.512"/>
    <n v="162.90909090909091"/>
    <s v="Nov"/>
    <x v="42"/>
    <m/>
    <m/>
  </r>
  <r>
    <n v="64987232"/>
    <x v="11"/>
    <n v="28000"/>
    <d v="2026-12-07T00:00:00"/>
    <s v="BJ US-Bar-CHOCFUDGBrownie 8-4pk"/>
    <x v="69"/>
    <n v="2.3999999999999998E-3"/>
    <n v="165"/>
    <x v="24"/>
    <x v="45"/>
    <n v="0.96"/>
    <n v="26880"/>
    <n v="64.512"/>
    <n v="162.90909090909091"/>
    <s v="Dec"/>
    <x v="44"/>
    <m/>
    <m/>
  </r>
  <r>
    <n v="64987233"/>
    <x v="11"/>
    <n v="28000"/>
    <d v="2026-06-15T00:00:00"/>
    <s v="BJ US-Bar-StrawberryCHSCAKE 8-4pk"/>
    <x v="69"/>
    <n v="2.3999999999999998E-3"/>
    <n v="165"/>
    <x v="24"/>
    <x v="45"/>
    <n v="0.96"/>
    <n v="26880"/>
    <n v="64.512"/>
    <n v="162.90909090909091"/>
    <s v="Jun"/>
    <x v="28"/>
    <m/>
    <m/>
  </r>
  <r>
    <n v="64987233"/>
    <x v="11"/>
    <n v="28000"/>
    <d v="2026-07-13T00:00:00"/>
    <s v="BJ US-Bar-StrawberryCHSCAKE 8-4pk"/>
    <x v="69"/>
    <n v="2.3999999999999998E-3"/>
    <n v="165"/>
    <x v="24"/>
    <x v="45"/>
    <n v="0.96"/>
    <n v="26880"/>
    <n v="64.512"/>
    <n v="162.90909090909091"/>
    <s v="Jul"/>
    <x v="48"/>
    <m/>
    <m/>
  </r>
  <r>
    <n v="64987233"/>
    <x v="11"/>
    <n v="28000"/>
    <d v="2026-08-03T00:00:00"/>
    <s v="BJ US-Bar-StrawberryCHSCAKE 8-4pk"/>
    <x v="69"/>
    <n v="2.3999999999999998E-3"/>
    <n v="165"/>
    <x v="24"/>
    <x v="45"/>
    <n v="0.96"/>
    <n v="26880"/>
    <n v="64.512"/>
    <n v="162.90909090909091"/>
    <s v="Aug"/>
    <x v="22"/>
    <m/>
    <m/>
  </r>
  <r>
    <n v="64987233"/>
    <x v="11"/>
    <n v="28000"/>
    <d v="2026-08-31T00:00:00"/>
    <s v="BJ US-Bar-StrawberryCHSCAKE 8-4pk"/>
    <x v="69"/>
    <n v="2.3999999999999998E-3"/>
    <n v="165"/>
    <x v="24"/>
    <x v="45"/>
    <n v="0.96"/>
    <n v="26880"/>
    <n v="64.512"/>
    <n v="162.90909090909091"/>
    <s v="Aug"/>
    <x v="16"/>
    <m/>
    <m/>
  </r>
  <r>
    <n v="64987233"/>
    <x v="11"/>
    <n v="28000"/>
    <d v="2026-09-28T00:00:00"/>
    <s v="BJ US-Bar-StrawberryCHSCAKE 8-4pk"/>
    <x v="69"/>
    <n v="2.3999999999999998E-3"/>
    <n v="165"/>
    <x v="24"/>
    <x v="45"/>
    <n v="0.96"/>
    <n v="26880"/>
    <n v="64.512"/>
    <n v="162.90909090909091"/>
    <s v="Sep"/>
    <x v="17"/>
    <m/>
    <m/>
  </r>
  <r>
    <n v="64987233"/>
    <x v="11"/>
    <n v="28000"/>
    <d v="2026-11-02T00:00:00"/>
    <s v="BJ US-Bar-StrawberryCHSCAKE 8-4pk"/>
    <x v="69"/>
    <n v="2.3999999999999998E-3"/>
    <n v="165"/>
    <x v="24"/>
    <x v="45"/>
    <n v="0.96"/>
    <n v="26880"/>
    <n v="64.512"/>
    <n v="162.90909090909091"/>
    <s v="Nov"/>
    <x v="18"/>
    <m/>
    <m/>
  </r>
  <r>
    <n v="64987233"/>
    <x v="11"/>
    <n v="28000"/>
    <d v="2026-11-30T00:00:00"/>
    <s v="BJ US-Bar-StrawberryCHSCAKE 8-4pk"/>
    <x v="69"/>
    <n v="2.3999999999999998E-3"/>
    <n v="165"/>
    <x v="24"/>
    <x v="45"/>
    <n v="0.96"/>
    <n v="26880"/>
    <n v="64.512"/>
    <n v="162.90909090909091"/>
    <s v="Nov"/>
    <x v="19"/>
    <m/>
    <m/>
  </r>
  <r>
    <n v="64987234"/>
    <x v="11"/>
    <n v="28000"/>
    <d v="2026-07-13T00:00:00"/>
    <s v="BJ US-Bar-Cookie Dough 8-4pk"/>
    <x v="69"/>
    <n v="2.3999999999999998E-3"/>
    <n v="165"/>
    <x v="24"/>
    <x v="45"/>
    <n v="0.96"/>
    <n v="26880"/>
    <n v="64.512"/>
    <n v="162.90909090909091"/>
    <s v="Jul"/>
    <x v="48"/>
    <m/>
    <m/>
  </r>
  <r>
    <n v="64987234"/>
    <x v="11"/>
    <n v="28000"/>
    <d v="2026-08-03T00:00:00"/>
    <s v="BJ US-Bar-Cookie Dough 8-4pk"/>
    <x v="69"/>
    <n v="2.3999999999999998E-3"/>
    <n v="165"/>
    <x v="24"/>
    <x v="45"/>
    <n v="0.96"/>
    <n v="26880"/>
    <n v="64.512"/>
    <n v="162.90909090909091"/>
    <s v="Aug"/>
    <x v="22"/>
    <m/>
    <m/>
  </r>
  <r>
    <n v="64987234"/>
    <x v="11"/>
    <n v="28000"/>
    <d v="2026-08-17T00:00:00"/>
    <s v="BJ US-Bar-Cookie Dough 8-4pk"/>
    <x v="69"/>
    <n v="2.3999999999999998E-3"/>
    <n v="165"/>
    <x v="24"/>
    <x v="45"/>
    <n v="0.96"/>
    <n v="26880"/>
    <n v="64.512"/>
    <n v="162.90909090909091"/>
    <s v="Aug"/>
    <x v="29"/>
    <m/>
    <m/>
  </r>
  <r>
    <n v="64987234"/>
    <x v="11"/>
    <n v="28000"/>
    <d v="2026-09-07T00:00:00"/>
    <s v="BJ US-Bar-Cookie Dough 8-4pk"/>
    <x v="69"/>
    <n v="2.3999999999999998E-3"/>
    <n v="165"/>
    <x v="24"/>
    <x v="45"/>
    <n v="0.96"/>
    <n v="26880"/>
    <n v="64.512"/>
    <n v="162.90909090909091"/>
    <s v="Sep"/>
    <x v="32"/>
    <m/>
    <m/>
  </r>
  <r>
    <n v="64987234"/>
    <x v="11"/>
    <n v="28000"/>
    <d v="2026-09-21T00:00:00"/>
    <s v="BJ US-Bar-Cookie Dough 8-4pk"/>
    <x v="69"/>
    <n v="2.3999999999999998E-3"/>
    <n v="165"/>
    <x v="24"/>
    <x v="45"/>
    <n v="0.96"/>
    <n v="26880"/>
    <n v="64.512"/>
    <n v="162.90909090909091"/>
    <s v="Sep"/>
    <x v="45"/>
    <m/>
    <m/>
  </r>
  <r>
    <n v="64987234"/>
    <x v="11"/>
    <n v="28000"/>
    <d v="2026-10-12T00:00:00"/>
    <s v="BJ US-Bar-Cookie Dough 8-4pk"/>
    <x v="69"/>
    <n v="2.3999999999999998E-3"/>
    <n v="165"/>
    <x v="24"/>
    <x v="45"/>
    <n v="0.96"/>
    <n v="26880"/>
    <n v="64.512"/>
    <n v="162.90909090909091"/>
    <s v="Oct"/>
    <x v="36"/>
    <m/>
    <m/>
  </r>
  <r>
    <n v="64987234"/>
    <x v="11"/>
    <n v="28000"/>
    <d v="2026-10-26T00:00:00"/>
    <s v="BJ US-Bar-Cookie Dough 8-4pk"/>
    <x v="69"/>
    <n v="2.3999999999999998E-3"/>
    <n v="165"/>
    <x v="24"/>
    <x v="45"/>
    <n v="0.96"/>
    <n v="26880"/>
    <n v="64.512"/>
    <n v="162.90909090909091"/>
    <s v="Oct"/>
    <x v="33"/>
    <m/>
    <m/>
  </r>
  <r>
    <n v="64987234"/>
    <x v="11"/>
    <n v="28000"/>
    <d v="2026-11-16T00:00:00"/>
    <s v="BJ US-Bar-Cookie Dough 8-4pk"/>
    <x v="69"/>
    <n v="2.3999999999999998E-3"/>
    <n v="165"/>
    <x v="24"/>
    <x v="45"/>
    <n v="0.96"/>
    <n v="26880"/>
    <n v="64.512"/>
    <n v="162.90909090909091"/>
    <s v="Nov"/>
    <x v="42"/>
    <m/>
    <m/>
  </r>
  <r>
    <n v="64987234"/>
    <x v="11"/>
    <n v="28000"/>
    <d v="2026-12-07T00:00:00"/>
    <s v="BJ US-Bar-Cookie Dough 8-4pk"/>
    <x v="69"/>
    <n v="2.3999999999999998E-3"/>
    <n v="165"/>
    <x v="24"/>
    <x v="45"/>
    <n v="0.96"/>
    <n v="26880"/>
    <n v="64.512"/>
    <n v="162.90909090909091"/>
    <s v="Dec"/>
    <x v="44"/>
    <m/>
    <m/>
  </r>
  <r>
    <n v="64988053"/>
    <x v="11"/>
    <n v="28000"/>
    <d v="2026-05-11T00:00:00"/>
    <s v="BJ US-Bar-PB Pretzel 8-4pk"/>
    <x v="69"/>
    <n v="2.3999999999999998E-3"/>
    <n v="165"/>
    <x v="24"/>
    <x v="45"/>
    <n v="0.96"/>
    <n v="26880"/>
    <n v="64.512"/>
    <n v="162.90909090909091"/>
    <s v="May"/>
    <x v="26"/>
    <m/>
    <m/>
  </r>
  <r>
    <n v="64988053"/>
    <x v="11"/>
    <n v="28000"/>
    <d v="2026-05-25T00:00:00"/>
    <s v="BJ US-Bar-PB Pretzel 8-4pk"/>
    <x v="69"/>
    <n v="2.3999999999999998E-3"/>
    <n v="165"/>
    <x v="24"/>
    <x v="45"/>
    <n v="0.96"/>
    <n v="26880"/>
    <n v="64.512"/>
    <n v="162.90909090909091"/>
    <s v="May"/>
    <x v="46"/>
    <m/>
    <m/>
  </r>
  <r>
    <n v="64988053"/>
    <x v="11"/>
    <n v="28000"/>
    <d v="2026-06-29T00:00:00"/>
    <s v="BJ US-Bar-PB Pretzel 8-4pk"/>
    <x v="69"/>
    <n v="2.3999999999999998E-3"/>
    <n v="165"/>
    <x v="24"/>
    <x v="45"/>
    <n v="0.96"/>
    <n v="26880"/>
    <n v="64.512"/>
    <n v="162.90909090909091"/>
    <s v="Jun"/>
    <x v="14"/>
    <m/>
    <m/>
  </r>
  <r>
    <n v="64988053"/>
    <x v="11"/>
    <n v="28000"/>
    <d v="2026-08-03T00:00:00"/>
    <s v="BJ US-Bar-PB Pretzel 8-4pk"/>
    <x v="69"/>
    <n v="2.3999999999999998E-3"/>
    <n v="165"/>
    <x v="24"/>
    <x v="45"/>
    <n v="0.96"/>
    <n v="26880"/>
    <n v="64.512"/>
    <n v="162.90909090909091"/>
    <s v="Aug"/>
    <x v="22"/>
    <m/>
    <m/>
  </r>
  <r>
    <n v="64988053"/>
    <x v="11"/>
    <n v="28000"/>
    <d v="2026-09-14T00:00:00"/>
    <s v="BJ US-Bar-PB Pretzel 8-4pk"/>
    <x v="69"/>
    <n v="2.3999999999999998E-3"/>
    <n v="165"/>
    <x v="24"/>
    <x v="45"/>
    <n v="0.96"/>
    <n v="26880"/>
    <n v="64.512"/>
    <n v="162.90909090909091"/>
    <s v="Sep"/>
    <x v="38"/>
    <m/>
    <m/>
  </r>
  <r>
    <n v="64988053"/>
    <x v="11"/>
    <n v="28000"/>
    <d v="2026-10-19T00:00:00"/>
    <s v="BJ US-Bar-PB Pretzel 8-4pk"/>
    <x v="69"/>
    <n v="2.3999999999999998E-3"/>
    <n v="165"/>
    <x v="24"/>
    <x v="45"/>
    <n v="0.96"/>
    <n v="26880"/>
    <n v="64.512"/>
    <n v="162.90909090909091"/>
    <s v="Oct"/>
    <x v="41"/>
    <m/>
    <m/>
  </r>
  <r>
    <n v="64988053"/>
    <x v="11"/>
    <n v="28000"/>
    <d v="2026-11-23T00:00:00"/>
    <s v="BJ US-Bar-PB Pretzel 8-4pk"/>
    <x v="69"/>
    <n v="2.3999999999999998E-3"/>
    <n v="165"/>
    <x v="24"/>
    <x v="45"/>
    <n v="0.96"/>
    <n v="26880"/>
    <n v="64.512"/>
    <n v="162.90909090909091"/>
    <s v="Nov"/>
    <x v="43"/>
    <m/>
    <m/>
  </r>
  <r>
    <n v="64988054"/>
    <x v="11"/>
    <n v="28000"/>
    <d v="2026-06-15T00:00:00"/>
    <s v="BJ US-Bar-Caramel Blondie 8-4pk"/>
    <x v="69"/>
    <n v="2.3999999999999998E-3"/>
    <n v="165"/>
    <x v="24"/>
    <x v="45"/>
    <n v="0.96"/>
    <n v="26880"/>
    <n v="64.512"/>
    <n v="162.90909090909091"/>
    <s v="Jun"/>
    <x v="28"/>
    <m/>
    <m/>
  </r>
  <r>
    <n v="64988054"/>
    <x v="11"/>
    <n v="28000"/>
    <d v="2026-07-13T00:00:00"/>
    <s v="BJ US-Bar-Caramel Blondie 8-4pk"/>
    <x v="69"/>
    <n v="2.3999999999999998E-3"/>
    <n v="165"/>
    <x v="24"/>
    <x v="45"/>
    <n v="0.96"/>
    <n v="26880"/>
    <n v="64.512"/>
    <n v="162.90909090909091"/>
    <s v="Jul"/>
    <x v="48"/>
    <m/>
    <m/>
  </r>
  <r>
    <n v="64988054"/>
    <x v="11"/>
    <n v="28000"/>
    <d v="2026-08-10T00:00:00"/>
    <s v="BJ US-Bar-Caramel Blondie 8-4pk"/>
    <x v="69"/>
    <n v="2.3999999999999998E-3"/>
    <n v="165"/>
    <x v="24"/>
    <x v="45"/>
    <n v="0.96"/>
    <n v="26880"/>
    <n v="64.512"/>
    <n v="162.90909090909091"/>
    <s v="Aug"/>
    <x v="34"/>
    <m/>
    <m/>
  </r>
  <r>
    <n v="64988054"/>
    <x v="11"/>
    <n v="28000"/>
    <d v="2026-09-07T00:00:00"/>
    <s v="BJ US-Bar-Caramel Blondie 8-4pk"/>
    <x v="69"/>
    <n v="2.3999999999999998E-3"/>
    <n v="165"/>
    <x v="24"/>
    <x v="45"/>
    <n v="0.96"/>
    <n v="26880"/>
    <n v="64.512"/>
    <n v="162.90909090909091"/>
    <s v="Sep"/>
    <x v="32"/>
    <m/>
    <m/>
  </r>
  <r>
    <n v="64988054"/>
    <x v="11"/>
    <n v="28000"/>
    <d v="2026-10-05T00:00:00"/>
    <s v="BJ US-Bar-Caramel Blondie 8-4pk"/>
    <x v="69"/>
    <n v="2.3999999999999998E-3"/>
    <n v="165"/>
    <x v="24"/>
    <x v="45"/>
    <n v="0.96"/>
    <n v="26880"/>
    <n v="64.512"/>
    <n v="162.90909090909091"/>
    <s v="Oct"/>
    <x v="50"/>
    <m/>
    <m/>
  </r>
  <r>
    <n v="64988054"/>
    <x v="11"/>
    <n v="28000"/>
    <d v="2026-11-02T00:00:00"/>
    <s v="BJ US-Bar-Caramel Blondie 8-4pk"/>
    <x v="69"/>
    <n v="2.3999999999999998E-3"/>
    <n v="165"/>
    <x v="24"/>
    <x v="45"/>
    <n v="0.96"/>
    <n v="26880"/>
    <n v="64.512"/>
    <n v="162.90909090909091"/>
    <s v="Nov"/>
    <x v="18"/>
    <m/>
    <m/>
  </r>
  <r>
    <n v="64988054"/>
    <x v="11"/>
    <n v="28000"/>
    <d v="2026-12-07T00:00:00"/>
    <s v="BJ US-Bar-Caramel Blondie 8-4pk"/>
    <x v="69"/>
    <n v="2.3999999999999998E-3"/>
    <n v="165"/>
    <x v="24"/>
    <x v="45"/>
    <n v="0.96"/>
    <n v="26880"/>
    <n v="64.512"/>
    <n v="162.90909090909091"/>
    <s v="Dec"/>
    <x v="44"/>
    <m/>
    <m/>
  </r>
  <r>
    <n v="65540451"/>
    <x v="11"/>
    <n v="28000"/>
    <d v="2026-04-20T00:00:00"/>
    <s v="BJ US-BAR-Cookie Dough OOH 8-4pk"/>
    <x v="69"/>
    <n v="1.9199999999999998E-2"/>
    <n v="165"/>
    <x v="24"/>
    <x v="45"/>
    <n v="0.96"/>
    <n v="26880"/>
    <n v="516.096"/>
    <n v="162.90909090909091"/>
    <s v="Apr"/>
    <x v="40"/>
    <m/>
    <m/>
  </r>
  <r>
    <n v="65540451"/>
    <x v="11"/>
    <n v="28000"/>
    <d v="2026-05-11T00:00:00"/>
    <s v="BJ US-BAR-Cookie Dough OOH 8-4pk"/>
    <x v="69"/>
    <n v="1.9199999999999998E-2"/>
    <n v="165"/>
    <x v="24"/>
    <x v="45"/>
    <n v="0.96"/>
    <n v="26880"/>
    <n v="516.096"/>
    <n v="162.90909090909091"/>
    <s v="May"/>
    <x v="26"/>
    <m/>
    <m/>
  </r>
  <r>
    <n v="65540451"/>
    <x v="11"/>
    <n v="28000"/>
    <d v="2026-06-29T00:00:00"/>
    <s v="BJ US-BAR-Cookie Dough OOH 8-4pk"/>
    <x v="69"/>
    <n v="1.9199999999999998E-2"/>
    <n v="165"/>
    <x v="24"/>
    <x v="45"/>
    <n v="0.96"/>
    <n v="26880"/>
    <n v="516.096"/>
    <n v="162.90909090909091"/>
    <s v="Jun"/>
    <x v="14"/>
    <m/>
    <m/>
  </r>
  <r>
    <n v="65540451"/>
    <x v="11"/>
    <n v="28000"/>
    <d v="2026-09-14T00:00:00"/>
    <s v="BJ US-BAR-Cookie Dough OOH 8-4pk"/>
    <x v="69"/>
    <n v="1.9199999999999998E-2"/>
    <n v="165"/>
    <x v="24"/>
    <x v="45"/>
    <n v="0.96"/>
    <n v="26880"/>
    <n v="516.096"/>
    <n v="162.90909090909091"/>
    <s v="Sep"/>
    <x v="38"/>
    <m/>
    <m/>
  </r>
  <r>
    <n v="64776958"/>
    <x v="5"/>
    <m/>
    <d v="2026-03-23T00:00:00"/>
    <s v="PS OCG 6-18PK"/>
    <x v="70"/>
    <n v="5.2680000000000001E-3"/>
    <n v="130"/>
    <x v="6"/>
    <x v="22"/>
    <n v="0.96"/>
    <n v="0"/>
    <n v="0"/>
    <n v="0"/>
    <s v="Mar"/>
    <x v="10"/>
    <m/>
    <m/>
  </r>
  <r>
    <n v="64973976"/>
    <x v="8"/>
    <n v="28665"/>
    <d v="2026-05-25T00:00:00"/>
    <s v="BR Reeses Mini Cups 1-12PK"/>
    <x v="69"/>
    <n v="1.0644000000000001E-3"/>
    <n v="190"/>
    <x v="23"/>
    <x v="55"/>
    <n v="0.96"/>
    <n v="27518.399999999998"/>
    <n v="29.29058496"/>
    <n v="144.83368421052631"/>
    <s v="May"/>
    <x v="46"/>
    <m/>
    <m/>
  </r>
  <r>
    <n v="64973976"/>
    <x v="8"/>
    <n v="28800"/>
    <d v="2026-07-20T00:00:00"/>
    <s v="BR Reeses Mini Cups 1-12PK"/>
    <x v="69"/>
    <n v="1.0644000000000001E-3"/>
    <n v="190"/>
    <x v="23"/>
    <x v="55"/>
    <n v="0.96"/>
    <n v="27648"/>
    <n v="29.428531200000002"/>
    <n v="145.51578947368421"/>
    <s v="Jul"/>
    <x v="31"/>
    <m/>
    <m/>
  </r>
  <r>
    <n v="64973976"/>
    <x v="8"/>
    <n v="28800"/>
    <d v="2026-07-27T00:00:00"/>
    <s v="BR Reeses Mini Cups 1-12PK"/>
    <x v="69"/>
    <n v="1.0644000000000001E-3"/>
    <n v="190"/>
    <x v="23"/>
    <x v="55"/>
    <n v="0.96"/>
    <n v="27648"/>
    <n v="29.428531200000002"/>
    <n v="145.51578947368421"/>
    <s v="Jul"/>
    <x v="15"/>
    <m/>
    <m/>
  </r>
  <r>
    <n v="64973976"/>
    <x v="8"/>
    <n v="28800"/>
    <d v="2026-08-03T00:00:00"/>
    <s v="BR Reeses Mini Cups 1-12PK"/>
    <x v="69"/>
    <n v="1.0644000000000001E-3"/>
    <n v="190"/>
    <x v="23"/>
    <x v="55"/>
    <n v="0.96"/>
    <n v="27648"/>
    <n v="29.428531200000002"/>
    <n v="145.51578947368421"/>
    <s v="Aug"/>
    <x v="22"/>
    <m/>
    <m/>
  </r>
  <r>
    <n v="64341108"/>
    <x v="7"/>
    <n v="28800"/>
    <d v="2026-06-29T00:00:00"/>
    <s v="PS SpongeBob Facepiece 1-20PK"/>
    <x v="70"/>
    <n v="2.3599999999999997E-3"/>
    <n v="210"/>
    <x v="16"/>
    <x v="24"/>
    <n v="0.96"/>
    <n v="27648"/>
    <n v="65.249279999999985"/>
    <n v="131.65714285714284"/>
    <s v="Jun"/>
    <x v="14"/>
    <m/>
    <m/>
  </r>
  <r>
    <n v="65549173"/>
    <x v="7"/>
    <m/>
    <d v="2026-03-30T00:00:00"/>
    <s v="PS Bluey Facepiece OOH 1-20PK"/>
    <x v="70"/>
    <n v="1.1999999999999999E-3"/>
    <n v="210"/>
    <x v="16"/>
    <x v="24"/>
    <n v="0.96"/>
    <n v="0"/>
    <n v="0"/>
    <n v="0"/>
    <s v="Mar"/>
    <x v="20"/>
    <m/>
    <m/>
  </r>
  <r>
    <n v="64979101"/>
    <x v="8"/>
    <n v="29400"/>
    <d v="2026-05-25T00:00:00"/>
    <s v="GH Reeses Candy Bar 18-1PK"/>
    <x v="69"/>
    <n v="1.9199999999999998E-3"/>
    <n v="360"/>
    <x v="17"/>
    <x v="25"/>
    <n v="0.96"/>
    <n v="28224"/>
    <n v="54.190079999999995"/>
    <n v="78.400000000000006"/>
    <s v="May"/>
    <x v="46"/>
    <m/>
    <m/>
  </r>
  <r>
    <n v="64341108"/>
    <x v="7"/>
    <n v="29400"/>
    <d v="2026-04-27T00:00:00"/>
    <s v="PS SpongeBob Facepiece 1-20PK"/>
    <x v="70"/>
    <n v="2.3599999999999997E-3"/>
    <n v="210"/>
    <x v="16"/>
    <x v="24"/>
    <n v="0.96"/>
    <n v="28224"/>
    <n v="66.608639999999994"/>
    <n v="134.4"/>
    <s v="Apr"/>
    <x v="21"/>
    <m/>
    <m/>
  </r>
  <r>
    <n v="64958128"/>
    <x v="12"/>
    <m/>
    <d v="2026-03-23T00:00:00"/>
    <s v="Yasso Mint Chocolate Chip 8-4pk"/>
    <x v="69"/>
    <n v="3.3119999999999998E-3"/>
    <n v="165"/>
    <x v="4"/>
    <x v="33"/>
    <n v="0.96"/>
    <n v="0"/>
    <n v="0"/>
    <n v="0"/>
    <s v="Mar"/>
    <x v="10"/>
    <m/>
    <m/>
  </r>
  <r>
    <n v="68709233"/>
    <x v="0"/>
    <n v="29652"/>
    <d v="2026-03-23T00:00:00"/>
    <s v="KL SAB RF NSA Vanilla Bar 12-6PK"/>
    <x v="85"/>
    <n v="8.4960000000000001E-3"/>
    <n v="132"/>
    <x v="1"/>
    <x v="2"/>
    <n v="0.96"/>
    <n v="28465.919999999998"/>
    <n v="241.84645631999999"/>
    <n v="215.65090909090907"/>
    <s v="Mar"/>
    <x v="10"/>
    <m/>
    <m/>
  </r>
  <r>
    <n v="65489677"/>
    <x v="12"/>
    <n v="30000"/>
    <d v="2026-08-17T00:00:00"/>
    <s v="GH King Cone Giant VAN CHOC 1-12PK"/>
    <x v="69"/>
    <n v="2.8319999999999999E-3"/>
    <n v="221"/>
    <x v="17"/>
    <x v="34"/>
    <n v="0.96"/>
    <n v="28800"/>
    <n v="81.561599999999999"/>
    <n v="130.31674208144796"/>
    <s v="Aug"/>
    <x v="29"/>
    <m/>
    <m/>
  </r>
  <r>
    <n v="65489677"/>
    <x v="12"/>
    <n v="30000"/>
    <d v="2026-09-14T00:00:00"/>
    <s v="GH King Cone Giant VAN CHOC 1-12PK"/>
    <x v="69"/>
    <n v="2.8319999999999999E-3"/>
    <n v="221"/>
    <x v="17"/>
    <x v="34"/>
    <n v="0.96"/>
    <n v="28800"/>
    <n v="81.561599999999999"/>
    <n v="130.31674208144796"/>
    <s v="Sep"/>
    <x v="38"/>
    <m/>
    <m/>
  </r>
  <r>
    <n v="64976849"/>
    <x v="1"/>
    <n v="30000"/>
    <d v="2026-05-25T00:00:00"/>
    <s v="Yasso Mint Chocolate Crunch 8-4pk"/>
    <x v="65"/>
    <n v="2.5040000000000001E-3"/>
    <n v="165"/>
    <x v="4"/>
    <x v="5"/>
    <n v="0.96"/>
    <n v="28800"/>
    <n v="72.115200000000002"/>
    <n v="174.54545454545453"/>
    <s v="May"/>
    <x v="46"/>
    <m/>
    <m/>
  </r>
  <r>
    <n v="68860662"/>
    <x v="1"/>
    <n v="30000"/>
    <d v="2026-03-23T00:00:00"/>
    <s v="Talenti Vanilla Bean 8 1PT"/>
    <x v="98"/>
    <n v="3.7839999999999996E-3"/>
    <n v="255"/>
    <x v="2"/>
    <x v="3"/>
    <n v="0.96"/>
    <n v="28800"/>
    <n v="108.97919999999999"/>
    <n v="112.94117647058823"/>
    <s v="Mar"/>
    <x v="10"/>
    <m/>
    <m/>
  </r>
  <r>
    <n v="68862392"/>
    <x v="1"/>
    <n v="30000"/>
    <d v="2026-03-23T00:00:00"/>
    <s v="Talenti Coffee CHOC Chip 8 1PT"/>
    <x v="98"/>
    <n v="3.7839999999999996E-3"/>
    <n v="255"/>
    <x v="2"/>
    <x v="3"/>
    <n v="0.96"/>
    <n v="28800"/>
    <n v="108.97919999999999"/>
    <n v="112.94117647058823"/>
    <s v="Mar"/>
    <x v="10"/>
    <m/>
    <m/>
  </r>
  <r>
    <n v="84135781"/>
    <x v="1"/>
    <n v="30000"/>
    <d v="2026-04-13T00:00:00"/>
    <s v="BJ US-IC-Vanilla-FTNG-8 1PT"/>
    <x v="66"/>
    <n v="3.7853439999999999E-3"/>
    <n v="240"/>
    <x v="3"/>
    <x v="12"/>
    <n v="0.95"/>
    <n v="28500"/>
    <n v="107.882304"/>
    <n v="118.75"/>
    <s v="Apr"/>
    <x v="25"/>
    <m/>
    <m/>
  </r>
  <r>
    <n v="65472837"/>
    <x v="13"/>
    <n v="30000"/>
    <d v="2026-05-04T00:00:00"/>
    <s v="PS Twister Club 1-15pk"/>
    <x v="69"/>
    <n v="1.0400000000000001E-3"/>
    <n v="275"/>
    <x v="17"/>
    <x v="35"/>
    <n v="0.96"/>
    <n v="28800"/>
    <n v="29.952000000000005"/>
    <n v="104.72727272727273"/>
    <s v="May"/>
    <x v="24"/>
    <m/>
    <m/>
  </r>
  <r>
    <n v="65472837"/>
    <x v="13"/>
    <n v="30000"/>
    <d v="2026-05-11T00:00:00"/>
    <s v="PS Twister Club 1-15pk"/>
    <x v="69"/>
    <n v="1.0400000000000001E-3"/>
    <n v="275"/>
    <x v="17"/>
    <x v="35"/>
    <n v="0.96"/>
    <n v="28800"/>
    <n v="29.952000000000005"/>
    <n v="104.72727272727273"/>
    <s v="May"/>
    <x v="26"/>
    <m/>
    <m/>
  </r>
  <r>
    <n v="65472837"/>
    <x v="13"/>
    <n v="30000"/>
    <d v="2026-05-18T00:00:00"/>
    <s v="PS Twister Club 1-15pk"/>
    <x v="69"/>
    <n v="1.0400000000000001E-3"/>
    <n v="275"/>
    <x v="17"/>
    <x v="35"/>
    <n v="0.96"/>
    <n v="28800"/>
    <n v="29.952000000000005"/>
    <n v="104.72727272727273"/>
    <s v="May"/>
    <x v="39"/>
    <m/>
    <m/>
  </r>
  <r>
    <n v="65472837"/>
    <x v="13"/>
    <n v="30000"/>
    <d v="2026-05-25T00:00:00"/>
    <s v="PS Twister Club 1-15pk"/>
    <x v="69"/>
    <n v="1.0400000000000001E-3"/>
    <n v="275"/>
    <x v="17"/>
    <x v="35"/>
    <n v="0.96"/>
    <n v="28800"/>
    <n v="29.952000000000005"/>
    <n v="104.72727272727273"/>
    <s v="May"/>
    <x v="46"/>
    <m/>
    <m/>
  </r>
  <r>
    <n v="65472837"/>
    <x v="13"/>
    <n v="30000"/>
    <d v="2026-06-01T00:00:00"/>
    <s v="PS Twister Club 1-15pk"/>
    <x v="69"/>
    <n v="1.0400000000000001E-3"/>
    <n v="275"/>
    <x v="17"/>
    <x v="35"/>
    <n v="0.96"/>
    <n v="28800"/>
    <n v="29.952000000000005"/>
    <n v="104.72727272727273"/>
    <s v="Jun"/>
    <x v="13"/>
    <m/>
    <m/>
  </r>
  <r>
    <n v="65472837"/>
    <x v="13"/>
    <n v="30000"/>
    <d v="2026-06-08T00:00:00"/>
    <s v="PS Twister Club 1-15pk"/>
    <x v="69"/>
    <n v="1.0400000000000001E-3"/>
    <n v="275"/>
    <x v="17"/>
    <x v="35"/>
    <n v="0.96"/>
    <n v="28800"/>
    <n v="29.952000000000005"/>
    <n v="104.72727272727273"/>
    <s v="Jun"/>
    <x v="47"/>
    <m/>
    <m/>
  </r>
  <r>
    <n v="65472837"/>
    <x v="13"/>
    <n v="30000"/>
    <d v="2026-06-15T00:00:00"/>
    <s v="PS Twister Club 1-15pk"/>
    <x v="69"/>
    <n v="1.0400000000000001E-3"/>
    <n v="275"/>
    <x v="17"/>
    <x v="35"/>
    <n v="0.96"/>
    <n v="28800"/>
    <n v="29.952000000000005"/>
    <n v="104.72727272727273"/>
    <s v="Jun"/>
    <x v="28"/>
    <m/>
    <m/>
  </r>
  <r>
    <n v="84141102"/>
    <x v="2"/>
    <n v="30000"/>
    <d v="2026-03-30T00:00:00"/>
    <s v="BJ US-IC-ChocFudgBrownie-FTNG-8 1PT"/>
    <x v="84"/>
    <n v="3.7853439999999999E-3"/>
    <n v="240"/>
    <x v="3"/>
    <x v="4"/>
    <n v="0.95"/>
    <n v="28500"/>
    <n v="107.882304"/>
    <n v="118.75"/>
    <s v="Mar"/>
    <x v="20"/>
    <m/>
    <m/>
  </r>
  <r>
    <n v="69645145"/>
    <x v="15"/>
    <n v="30000"/>
    <d v="2026-04-20T00:00:00"/>
    <s v="GH Giant King Cone 1-12PK"/>
    <x v="69"/>
    <n v="2.8319999999999999E-3"/>
    <n v="240"/>
    <x v="17"/>
    <x v="58"/>
    <n v="0.96"/>
    <n v="28800"/>
    <n v="81.561599999999999"/>
    <n v="120"/>
    <s v="Apr"/>
    <x v="40"/>
    <m/>
    <m/>
  </r>
  <r>
    <n v="64875812"/>
    <x v="8"/>
    <n v="30080"/>
    <d v="2026-04-27T00:00:00"/>
    <s v="KL Vanilla Sandwich 8-6 PK"/>
    <x v="69"/>
    <n v="6.0000000000000001E-3"/>
    <n v="108"/>
    <x v="12"/>
    <x v="27"/>
    <n v="0.96"/>
    <n v="28876.799999999999"/>
    <n v="173.26079999999999"/>
    <n v="267.37777777777779"/>
    <s v="Apr"/>
    <x v="21"/>
    <m/>
    <m/>
  </r>
  <r>
    <n v="68850683"/>
    <x v="0"/>
    <n v="30368"/>
    <d v="2026-03-23T00:00:00"/>
    <s v="BR Homemade Vanilla 6-1.5QT"/>
    <x v="78"/>
    <n v="8.5199999999999998E-3"/>
    <n v="176"/>
    <x v="0"/>
    <x v="0"/>
    <n v="0.94"/>
    <n v="28545.919999999998"/>
    <n v="243.21123839999998"/>
    <n v="162.19272727272727"/>
    <s v="Mar"/>
    <x v="10"/>
    <m/>
    <m/>
  </r>
  <r>
    <n v="65489677"/>
    <x v="12"/>
    <n v="30558"/>
    <d v="2026-06-01T00:00:00"/>
    <s v="GH King Cone Giant VAN CHOC 1-12PK"/>
    <x v="69"/>
    <n v="2.8319999999999999E-3"/>
    <n v="221"/>
    <x v="17"/>
    <x v="34"/>
    <n v="0.96"/>
    <n v="29335.68"/>
    <n v="83.078645760000001"/>
    <n v="132.74063348416288"/>
    <s v="Jun"/>
    <x v="13"/>
    <m/>
    <m/>
  </r>
  <r>
    <n v="64315722"/>
    <x v="1"/>
    <n v="31000"/>
    <d v="2026-04-06T00:00:00"/>
    <s v="BR Pistachio Almond 6 1.5QT"/>
    <x v="89"/>
    <n v="8.5199999999999998E-3"/>
    <n v="176"/>
    <x v="0"/>
    <x v="1"/>
    <n v="0.94"/>
    <n v="29140"/>
    <n v="248.27279999999999"/>
    <n v="165.56818181818181"/>
    <s v="Apr"/>
    <x v="23"/>
    <m/>
    <m/>
  </r>
  <r>
    <n v="64341962"/>
    <x v="1"/>
    <n v="21000"/>
    <d v="2026-03-30T00:00:00"/>
    <s v="BR Chocolate Truffle 6 1.5QT"/>
    <x v="83"/>
    <n v="8.513999999999999E-3"/>
    <n v="176"/>
    <x v="0"/>
    <x v="1"/>
    <n v="0.94"/>
    <n v="19740"/>
    <n v="168.06635999999997"/>
    <n v="112.15909090909091"/>
    <s v="Mar"/>
    <x v="20"/>
    <m/>
    <m/>
  </r>
  <r>
    <n v="64365613"/>
    <x v="7"/>
    <n v="31040"/>
    <d v="2026-09-28T00:00:00"/>
    <s v="PS Spiderman Facepiece 6-6PK"/>
    <x v="70"/>
    <n v="2.1540000000000001E-3"/>
    <n v="195"/>
    <x v="16"/>
    <x v="24"/>
    <n v="0.96"/>
    <n v="29798.399999999998"/>
    <n v="64.185753599999998"/>
    <n v="152.81230769230768"/>
    <s v="Sep"/>
    <x v="17"/>
    <m/>
    <m/>
  </r>
  <r>
    <n v="64771676"/>
    <x v="7"/>
    <n v="31040"/>
    <d v="2026-11-16T00:00:00"/>
    <s v="PS SpongeBob Facepiece IH 6-6PK"/>
    <x v="70"/>
    <n v="2.16E-3"/>
    <n v="195"/>
    <x v="16"/>
    <x v="24"/>
    <n v="0.96"/>
    <n v="29798.399999999998"/>
    <n v="64.364543999999995"/>
    <n v="152.81230769230768"/>
    <s v="Nov"/>
    <x v="42"/>
    <m/>
    <m/>
  </r>
  <r>
    <n v="64771676"/>
    <x v="7"/>
    <n v="31040"/>
    <d v="2026-11-23T00:00:00"/>
    <s v="PS SpongeBob Facepiece IH 6-6PK"/>
    <x v="70"/>
    <n v="2.16E-3"/>
    <n v="195"/>
    <x v="16"/>
    <x v="24"/>
    <n v="0.96"/>
    <n v="29798.399999999998"/>
    <n v="64.364543999999995"/>
    <n v="152.81230769230768"/>
    <s v="Nov"/>
    <x v="43"/>
    <m/>
    <m/>
  </r>
  <r>
    <n v="64979444"/>
    <x v="7"/>
    <n v="31124"/>
    <d v="2026-08-24T00:00:00"/>
    <s v="PS Bluey Facepiece IH 6-6PK"/>
    <x v="70"/>
    <n v="2.16E-3"/>
    <n v="195"/>
    <x v="16"/>
    <x v="24"/>
    <n v="0.96"/>
    <n v="29879.039999999997"/>
    <n v="64.538726400000002"/>
    <n v="153.22584615384613"/>
    <s v="Aug"/>
    <x v="35"/>
    <m/>
    <m/>
  </r>
  <r>
    <n v="64789262"/>
    <x v="0"/>
    <n v="31200"/>
    <d v="2026-03-30T00:00:00"/>
    <s v="GH Cookies+Cream 1-24BK OOH"/>
    <x v="60"/>
    <n v="2.8319999999999999E-3"/>
    <n v="225"/>
    <x v="7"/>
    <x v="8"/>
    <n v="0.96"/>
    <n v="29952"/>
    <n v="84.824063999999993"/>
    <n v="133.12"/>
    <s v="Mar"/>
    <x v="20"/>
    <m/>
    <m/>
  </r>
  <r>
    <n v="68741714"/>
    <x v="0"/>
    <n v="31200"/>
    <d v="2026-04-06T00:00:00"/>
    <s v="GH Strawberry Shortcake 1-24BK"/>
    <x v="60"/>
    <n v="2.8319999999999999E-3"/>
    <n v="225"/>
    <x v="7"/>
    <x v="8"/>
    <n v="0.96"/>
    <n v="29952"/>
    <n v="84.824063999999993"/>
    <n v="133.12"/>
    <s v="Apr"/>
    <x v="23"/>
    <m/>
    <m/>
  </r>
  <r>
    <n v="68741714"/>
    <x v="0"/>
    <n v="31200"/>
    <d v="2026-04-13T00:00:00"/>
    <s v="GH Strawberry Shortcake 1-24BK"/>
    <x v="60"/>
    <n v="2.8319999999999999E-3"/>
    <n v="225"/>
    <x v="7"/>
    <x v="8"/>
    <n v="0.96"/>
    <n v="29952"/>
    <n v="84.824063999999993"/>
    <n v="133.12"/>
    <s v="Apr"/>
    <x v="25"/>
    <m/>
    <m/>
  </r>
  <r>
    <n v="68741714"/>
    <x v="0"/>
    <n v="31200"/>
    <d v="2026-04-27T00:00:00"/>
    <s v="GH Strawberry Shortcake 1-24BK"/>
    <x v="60"/>
    <n v="2.8319999999999999E-3"/>
    <n v="225"/>
    <x v="7"/>
    <x v="8"/>
    <n v="0.96"/>
    <n v="29952"/>
    <n v="84.824063999999993"/>
    <n v="133.12"/>
    <s v="Apr"/>
    <x v="21"/>
    <m/>
    <m/>
  </r>
  <r>
    <n v="69700048"/>
    <x v="0"/>
    <n v="31200"/>
    <d v="2026-04-20T00:00:00"/>
    <s v="GH Reeses Bar 1-24BK"/>
    <x v="60"/>
    <n v="2.7360000000000002E-3"/>
    <n v="225"/>
    <x v="7"/>
    <x v="8"/>
    <n v="0.96"/>
    <n v="29952"/>
    <n v="81.948672000000002"/>
    <n v="133.12"/>
    <s v="Apr"/>
    <x v="40"/>
    <m/>
    <m/>
  </r>
  <r>
    <n v="64369026"/>
    <x v="1"/>
    <n v="31200"/>
    <d v="2026-05-04T00:00:00"/>
    <s v="TAL Strawberry Sorbetto 8 1PT"/>
    <x v="98"/>
    <n v="3.7839999999999996E-3"/>
    <n v="255"/>
    <x v="2"/>
    <x v="3"/>
    <n v="0.96"/>
    <n v="29952"/>
    <n v="113.33836799999999"/>
    <n v="117.45882352941176"/>
    <s v="May"/>
    <x v="24"/>
    <m/>
    <m/>
  </r>
  <r>
    <n v="64369026"/>
    <x v="1"/>
    <n v="31200"/>
    <d v="2026-05-11T00:00:00"/>
    <s v="TAL Strawberry Sorbetto 8 1PT"/>
    <x v="98"/>
    <n v="3.7839999999999996E-3"/>
    <n v="255"/>
    <x v="2"/>
    <x v="3"/>
    <n v="0.96"/>
    <n v="29952"/>
    <n v="113.33836799999999"/>
    <n v="117.45882352941176"/>
    <s v="May"/>
    <x v="26"/>
    <m/>
    <m/>
  </r>
  <r>
    <n v="68860657"/>
    <x v="1"/>
    <n v="31200"/>
    <d v="2026-04-20T00:00:00"/>
    <s v="Talenti Sea Salt Caramel 8 1PT"/>
    <x v="98"/>
    <n v="3.7839999999999996E-3"/>
    <n v="255"/>
    <x v="2"/>
    <x v="3"/>
    <n v="0.96"/>
    <n v="29952"/>
    <n v="113.33836799999999"/>
    <n v="117.45882352941176"/>
    <s v="Apr"/>
    <x v="40"/>
    <m/>
    <m/>
  </r>
  <r>
    <n v="68860662"/>
    <x v="1"/>
    <n v="31200"/>
    <d v="2026-04-06T00:00:00"/>
    <s v="Talenti Vanilla Bean 8 1PT"/>
    <x v="98"/>
    <n v="3.7839999999999996E-3"/>
    <n v="255"/>
    <x v="2"/>
    <x v="3"/>
    <n v="0.96"/>
    <n v="29952"/>
    <n v="113.33836799999999"/>
    <n v="117.45882352941176"/>
    <s v="Apr"/>
    <x v="23"/>
    <m/>
    <m/>
  </r>
  <r>
    <n v="64341108"/>
    <x v="7"/>
    <n v="31200"/>
    <d v="2026-05-18T00:00:00"/>
    <s v="PS SpongeBob Facepiece 1-20PK"/>
    <x v="70"/>
    <n v="2.3599999999999997E-3"/>
    <n v="210"/>
    <x v="16"/>
    <x v="24"/>
    <n v="0.96"/>
    <n v="29952"/>
    <n v="70.686719999999994"/>
    <n v="142.62857142857143"/>
    <s v="May"/>
    <x v="39"/>
    <m/>
    <m/>
  </r>
  <r>
    <n v="64365613"/>
    <x v="7"/>
    <m/>
    <d v="2026-03-16T00:00:00"/>
    <s v="PS Spiderman Facepiece 6-6PK"/>
    <x v="70"/>
    <n v="2.1540000000000001E-3"/>
    <n v="195"/>
    <x v="16"/>
    <x v="24"/>
    <n v="0.96"/>
    <n v="0"/>
    <n v="0"/>
    <n v="0"/>
    <s v="Mar"/>
    <x v="9"/>
    <m/>
    <m/>
  </r>
  <r>
    <n v="68850684"/>
    <x v="0"/>
    <n v="31275"/>
    <d v="2026-04-06T00:00:00"/>
    <s v="BR French Vanilla 6-1.5QT"/>
    <x v="78"/>
    <n v="8.5199999999999998E-3"/>
    <n v="176"/>
    <x v="0"/>
    <x v="0"/>
    <n v="0.94"/>
    <n v="29398.5"/>
    <n v="250.47522000000001"/>
    <n v="167.03693181818181"/>
    <s v="Apr"/>
    <x v="23"/>
    <m/>
    <m/>
  </r>
  <r>
    <n v="84136043"/>
    <x v="3"/>
    <n v="31320"/>
    <d v="2026-05-18T00:00:00"/>
    <s v="BJ US-COR-KaramelSutra-FTNG-8 1PT"/>
    <x v="72"/>
    <n v="3.7853439999999999E-3"/>
    <n v="240"/>
    <x v="3"/>
    <x v="13"/>
    <n v="0.95"/>
    <n v="29754"/>
    <n v="112.629125376"/>
    <n v="123.97499999999999"/>
    <s v="May"/>
    <x v="39"/>
    <m/>
    <m/>
  </r>
  <r>
    <n v="68741742"/>
    <x v="0"/>
    <n v="31680"/>
    <d v="2026-04-20T00:00:00"/>
    <s v="GH Strawberry Shortcake Bar 8-6PK"/>
    <x v="96"/>
    <n v="4.2560000000000002E-3"/>
    <n v="154"/>
    <x v="7"/>
    <x v="8"/>
    <n v="0.96"/>
    <n v="30412.799999999999"/>
    <n v="129.43687679999999"/>
    <n v="197.48571428571429"/>
    <s v="Apr"/>
    <x v="40"/>
    <m/>
    <m/>
  </r>
  <r>
    <n v="68300738"/>
    <x v="0"/>
    <n v="32400"/>
    <d v="2026-04-20T00:00:00"/>
    <s v="KL REESES BAR 12-6 PK"/>
    <x v="85"/>
    <n v="8.4960000000000001E-3"/>
    <n v="132"/>
    <x v="1"/>
    <x v="2"/>
    <n v="0.96"/>
    <n v="31104"/>
    <n v="264.25958400000002"/>
    <n v="235.63636363636363"/>
    <s v="Apr"/>
    <x v="40"/>
    <m/>
    <m/>
  </r>
  <r>
    <n v="68709233"/>
    <x v="0"/>
    <n v="32496"/>
    <d v="2026-03-23T00:00:00"/>
    <s v="KL SAB RF NSA Vanilla Bar 12-6PK"/>
    <x v="75"/>
    <n v="8.4960000000000001E-3"/>
    <n v="132"/>
    <x v="1"/>
    <x v="2"/>
    <n v="0.96"/>
    <n v="31196.16"/>
    <n v="265.04257536"/>
    <n v="236.33454545454546"/>
    <s v="Mar"/>
    <x v="10"/>
    <m/>
    <m/>
  </r>
  <r>
    <n v="69717802"/>
    <x v="1"/>
    <m/>
    <d v="2026-03-23T00:00:00"/>
    <s v="BR Carbsmart IC Bars 8-6PK"/>
    <x v="63"/>
    <n v="4.2560000000000002E-3"/>
    <n v="143"/>
    <x v="5"/>
    <x v="6"/>
    <n v="0.96"/>
    <n v="0"/>
    <n v="0"/>
    <n v="0"/>
    <s v="Mar"/>
    <x v="10"/>
    <m/>
    <m/>
  </r>
  <r>
    <n v="65254774"/>
    <x v="18"/>
    <n v="32644"/>
    <d v="2026-03-30T00:00:00"/>
    <s v="Yasso Choc Chip VAN CRML Cups 1-12ct"/>
    <x v="69"/>
    <n v="1E-3"/>
    <n v="420"/>
    <x v="17"/>
    <x v="46"/>
    <n v="0.96"/>
    <n v="31338.239999999998"/>
    <n v="31.338239999999999"/>
    <n v="74.614857142857133"/>
    <s v="Mar"/>
    <x v="20"/>
    <m/>
    <m/>
  </r>
  <r>
    <n v="64389651"/>
    <x v="1"/>
    <n v="33000"/>
    <d v="2026-04-06T00:00:00"/>
    <s v="BR Strawberry Shortcake 6 1.5QT"/>
    <x v="89"/>
    <n v="8.5199999999999998E-3"/>
    <n v="176"/>
    <x v="0"/>
    <x v="1"/>
    <n v="0.94"/>
    <n v="31020"/>
    <n v="264.29039999999998"/>
    <n v="176.25"/>
    <s v="Apr"/>
    <x v="23"/>
    <m/>
    <m/>
  </r>
  <r>
    <n v="64394585"/>
    <x v="1"/>
    <n v="33000"/>
    <d v="2026-05-25T00:00:00"/>
    <s v="BJ US-SUN-DulceDelish-8 427ML"/>
    <x v="88"/>
    <n v="3.4159999999999998E-3"/>
    <n v="240"/>
    <x v="14"/>
    <x v="21"/>
    <n v="0.96"/>
    <n v="31680"/>
    <n v="108.21888"/>
    <n v="132"/>
    <s v="May"/>
    <x v="46"/>
    <m/>
    <m/>
  </r>
  <r>
    <n v="64984153"/>
    <x v="1"/>
    <n v="33000"/>
    <d v="2026-05-04T00:00:00"/>
    <s v="BJ US-SUN-MochaMoodPie-8 427ml"/>
    <x v="88"/>
    <n v="3.4159999999999998E-3"/>
    <n v="240"/>
    <x v="14"/>
    <x v="21"/>
    <n v="0.96"/>
    <n v="31680"/>
    <n v="108.21888"/>
    <n v="132"/>
    <s v="May"/>
    <x v="24"/>
    <m/>
    <m/>
  </r>
  <r>
    <n v="68354586"/>
    <x v="1"/>
    <n v="33000"/>
    <d v="2026-04-06T00:00:00"/>
    <s v="BJ US-TOP-CHOCCARAMELCD-8 450ml"/>
    <x v="88"/>
    <n v="3.5999999999999999E-3"/>
    <n v="240"/>
    <x v="8"/>
    <x v="9"/>
    <n v="0.96"/>
    <n v="31680"/>
    <n v="114.048"/>
    <n v="132"/>
    <s v="Apr"/>
    <x v="23"/>
    <m/>
    <m/>
  </r>
  <r>
    <n v="68354590"/>
    <x v="1"/>
    <n v="33000"/>
    <d v="2026-03-30T00:00:00"/>
    <s v="BJ US-TOP-THICKMINT-8 450ml"/>
    <x v="88"/>
    <n v="3.5999999999999999E-3"/>
    <n v="240"/>
    <x v="8"/>
    <x v="9"/>
    <n v="0.96"/>
    <n v="31680"/>
    <n v="114.048"/>
    <n v="132"/>
    <s v="Mar"/>
    <x v="20"/>
    <m/>
    <m/>
  </r>
  <r>
    <n v="68649096"/>
    <x v="1"/>
    <n v="33000"/>
    <d v="2026-04-13T00:00:00"/>
    <s v="BJ US-TOP-CHOCMilk+Cookies-8 450ML"/>
    <x v="88"/>
    <n v="3.5999999999999999E-3"/>
    <n v="240"/>
    <x v="8"/>
    <x v="9"/>
    <n v="0.96"/>
    <n v="31680"/>
    <n v="114.048"/>
    <n v="132"/>
    <s v="Apr"/>
    <x v="25"/>
    <m/>
    <m/>
  </r>
  <r>
    <n v="68860129"/>
    <x v="1"/>
    <n v="33000"/>
    <d v="2026-04-27T00:00:00"/>
    <s v="Talenti Caribbean Coconut 8 1PT"/>
    <x v="87"/>
    <n v="3.7839999999999996E-3"/>
    <n v="255"/>
    <x v="2"/>
    <x v="3"/>
    <n v="0.96"/>
    <n v="31680"/>
    <n v="119.87711999999999"/>
    <n v="124.23529411764706"/>
    <s v="Apr"/>
    <x v="21"/>
    <m/>
    <m/>
  </r>
  <r>
    <n v="69568964"/>
    <x v="1"/>
    <n v="33000"/>
    <d v="2026-04-20T00:00:00"/>
    <s v="BR NSA Vanilla 6 1.5QT"/>
    <x v="89"/>
    <n v="8.5199999999999998E-3"/>
    <n v="176"/>
    <x v="0"/>
    <x v="1"/>
    <n v="0.94"/>
    <n v="31020"/>
    <n v="264.29039999999998"/>
    <n v="176.25"/>
    <s v="Apr"/>
    <x v="40"/>
    <m/>
    <m/>
  </r>
  <r>
    <n v="64341108"/>
    <x v="7"/>
    <n v="33000"/>
    <d v="2026-12-14T00:00:00"/>
    <s v="PS SpongeBob Facepiece 1-20PK"/>
    <x v="70"/>
    <n v="2.3599999999999997E-3"/>
    <n v="210"/>
    <x v="16"/>
    <x v="24"/>
    <n v="0.96"/>
    <n v="31680"/>
    <n v="74.764799999999994"/>
    <n v="150.85714285714286"/>
    <s v="Dec"/>
    <x v="27"/>
    <m/>
    <m/>
  </r>
  <r>
    <n v="64973976"/>
    <x v="8"/>
    <n v="33124"/>
    <d v="2026-06-01T00:00:00"/>
    <s v="BR Reeses Mini Cups 1-12PK"/>
    <x v="69"/>
    <n v="1.0644000000000001E-3"/>
    <n v="190"/>
    <x v="23"/>
    <x v="55"/>
    <n v="0.96"/>
    <n v="31799.039999999997"/>
    <n v="33.846898175999996"/>
    <n v="167.36336842105263"/>
    <s v="Jun"/>
    <x v="13"/>
    <m/>
    <m/>
  </r>
  <r>
    <n v="64956417"/>
    <x v="7"/>
    <n v="33280"/>
    <d v="2026-06-22T00:00:00"/>
    <s v="PS Hello Kitty Facepiece IH 6-6PK"/>
    <x v="70"/>
    <n v="2.16E-3"/>
    <n v="143"/>
    <x v="16"/>
    <x v="24"/>
    <n v="0.96"/>
    <n v="31948.799999999999"/>
    <n v="69.009407999999993"/>
    <n v="223.41818181818181"/>
    <s v="Jun"/>
    <x v="49"/>
    <m/>
    <m/>
  </r>
  <r>
    <n v="64977528"/>
    <x v="0"/>
    <n v="33300"/>
    <d v="2026-05-11T00:00:00"/>
    <s v="BR Strawberry Pound Cake 6p 1.5QT"/>
    <x v="74"/>
    <n v="8.513999999999999E-3"/>
    <n v="176"/>
    <x v="0"/>
    <x v="0"/>
    <n v="0.94"/>
    <n v="31302"/>
    <n v="266.50522799999999"/>
    <n v="177.85227272727272"/>
    <s v="May"/>
    <x v="26"/>
    <m/>
    <m/>
  </r>
  <r>
    <n v="64977530"/>
    <x v="0"/>
    <n v="33300"/>
    <d v="2026-05-11T00:00:00"/>
    <s v="BR Hot Fudge Brownie Sundae 6p 1.5QT"/>
    <x v="74"/>
    <n v="8.513999999999999E-3"/>
    <n v="176"/>
    <x v="0"/>
    <x v="0"/>
    <n v="0.94"/>
    <n v="31302"/>
    <n v="266.50522799999999"/>
    <n v="177.85227272727272"/>
    <s v="May"/>
    <x v="26"/>
    <m/>
    <m/>
  </r>
  <r>
    <n v="68817799"/>
    <x v="0"/>
    <n v="33300"/>
    <d v="2026-05-04T00:00:00"/>
    <s v="BR Strawberry 6 1.5QT"/>
    <x v="74"/>
    <n v="8.5199999999999998E-3"/>
    <n v="176"/>
    <x v="0"/>
    <x v="0"/>
    <n v="0.94"/>
    <n v="31302"/>
    <n v="266.69304"/>
    <n v="177.85227272727272"/>
    <s v="May"/>
    <x v="24"/>
    <m/>
    <m/>
  </r>
  <r>
    <n v="62714126"/>
    <x v="5"/>
    <n v="33340"/>
    <d v="2026-05-25T00:00:00"/>
    <s v="PS OCG SF 6-18PK"/>
    <x v="70"/>
    <n v="5.2680000000000001E-3"/>
    <n v="130"/>
    <x v="6"/>
    <x v="22"/>
    <n v="0.96"/>
    <n v="32006.399999999998"/>
    <n v="168.60971519999998"/>
    <n v="246.20307692307691"/>
    <s v="May"/>
    <x v="46"/>
    <m/>
    <m/>
  </r>
  <r>
    <n v="64979101"/>
    <x v="8"/>
    <n v="33400"/>
    <d v="2026-05-11T00:00:00"/>
    <s v="GH Reeses Candy Bar 18-1PK"/>
    <x v="69"/>
    <n v="1.9199999999999998E-3"/>
    <n v="360"/>
    <x v="17"/>
    <x v="25"/>
    <n v="0.96"/>
    <n v="32064"/>
    <n v="61.562879999999993"/>
    <n v="89.066666666666663"/>
    <s v="May"/>
    <x v="26"/>
    <m/>
    <m/>
  </r>
  <r>
    <n v="64979101"/>
    <x v="8"/>
    <n v="33400"/>
    <d v="2026-06-01T00:00:00"/>
    <s v="GH Reeses Candy Bar 18-1PK"/>
    <x v="69"/>
    <n v="1.9199999999999998E-3"/>
    <n v="360"/>
    <x v="17"/>
    <x v="25"/>
    <n v="0.96"/>
    <n v="32064"/>
    <n v="61.562879999999993"/>
    <n v="89.066666666666663"/>
    <s v="Jun"/>
    <x v="13"/>
    <m/>
    <m/>
  </r>
  <r>
    <n v="64979101"/>
    <x v="8"/>
    <n v="33400"/>
    <d v="2026-06-22T00:00:00"/>
    <s v="GH Reeses Candy Bar 18-1PK"/>
    <x v="69"/>
    <n v="1.9199999999999998E-3"/>
    <n v="360"/>
    <x v="17"/>
    <x v="25"/>
    <n v="0.96"/>
    <n v="32064"/>
    <n v="61.562879999999993"/>
    <n v="89.066666666666663"/>
    <s v="Jun"/>
    <x v="49"/>
    <m/>
    <m/>
  </r>
  <r>
    <n v="64979101"/>
    <x v="8"/>
    <n v="33400"/>
    <d v="2026-10-12T00:00:00"/>
    <s v="GH Reeses Candy Bar 18-1PK"/>
    <x v="69"/>
    <n v="1.9199999999999998E-3"/>
    <n v="360"/>
    <x v="17"/>
    <x v="25"/>
    <n v="0.96"/>
    <n v="32064"/>
    <n v="61.562879999999993"/>
    <n v="89.066666666666663"/>
    <s v="Oct"/>
    <x v="36"/>
    <m/>
    <m/>
  </r>
  <r>
    <n v="67789314"/>
    <x v="3"/>
    <n v="33480"/>
    <d v="2026-04-27T00:00:00"/>
    <s v="BJ US-IC-PBHalfBaked-8 1 PT"/>
    <x v="72"/>
    <n v="3.7853439999999999E-3"/>
    <n v="240"/>
    <x v="3"/>
    <x v="13"/>
    <n v="0.95"/>
    <n v="31806"/>
    <n v="120.396651264"/>
    <n v="132.52500000000001"/>
    <s v="Apr"/>
    <x v="21"/>
    <m/>
    <m/>
  </r>
  <r>
    <n v="84161610"/>
    <x v="3"/>
    <n v="33480"/>
    <d v="2026-04-27T00:00:00"/>
    <s v="BJ US-COR-SaltedCaramelCore-FTNG-8 1PT"/>
    <x v="72"/>
    <n v="3.7853439999999999E-3"/>
    <n v="240"/>
    <x v="3"/>
    <x v="13"/>
    <n v="0.95"/>
    <n v="31806"/>
    <n v="120.396651264"/>
    <n v="132.52500000000001"/>
    <s v="Apr"/>
    <x v="21"/>
    <m/>
    <m/>
  </r>
  <r>
    <n v="69986506"/>
    <x v="3"/>
    <n v="33600"/>
    <d v="2026-04-20T00:00:00"/>
    <s v="BJ US-NDO-CherryGarcia-8 1PT"/>
    <x v="77"/>
    <n v="3.7839999999999996E-3"/>
    <n v="240"/>
    <x v="3"/>
    <x v="13"/>
    <n v="0.95"/>
    <n v="31920"/>
    <n v="120.78527999999999"/>
    <n v="133"/>
    <s v="Apr"/>
    <x v="40"/>
    <m/>
    <m/>
  </r>
  <r>
    <n v="84149990"/>
    <x v="3"/>
    <n v="33600"/>
    <d v="2026-03-23T00:00:00"/>
    <s v="BJ AMET-IC-ChocChpCkDgh-FTNG-8 458ML"/>
    <x v="86"/>
    <n v="3.6640000000000002E-3"/>
    <n v="240"/>
    <x v="10"/>
    <x v="18"/>
    <n v="0.96"/>
    <n v="32256"/>
    <n v="118.185984"/>
    <n v="134.4"/>
    <s v="Mar"/>
    <x v="10"/>
    <m/>
    <m/>
  </r>
  <r>
    <n v="84164937"/>
    <x v="3"/>
    <n v="33600"/>
    <d v="2026-05-18T00:00:00"/>
    <s v="BJ US-IC-ChubbyHubby-8 1PT"/>
    <x v="77"/>
    <n v="3.7853439999999999E-3"/>
    <n v="240"/>
    <x v="3"/>
    <x v="13"/>
    <n v="0.95"/>
    <n v="31920"/>
    <n v="120.82818048"/>
    <n v="133"/>
    <s v="May"/>
    <x v="39"/>
    <m/>
    <m/>
  </r>
  <r>
    <n v="64986251"/>
    <x v="1"/>
    <n v="33825"/>
    <d v="2026-05-04T00:00:00"/>
    <s v="BJ US-SUN-StrawBaeShortcake-8 427ML"/>
    <x v="88"/>
    <n v="3.4159999999999998E-3"/>
    <n v="240"/>
    <x v="14"/>
    <x v="21"/>
    <n v="0.96"/>
    <n v="32472"/>
    <n v="110.924352"/>
    <n v="135.30000000000001"/>
    <s v="May"/>
    <x v="24"/>
    <m/>
    <m/>
  </r>
  <r>
    <n v="68862392"/>
    <x v="1"/>
    <m/>
    <d v="2026-03-30T00:00:00"/>
    <s v="Talenti Coffee CHOC Chip 8 1PT"/>
    <x v="98"/>
    <n v="3.7839999999999996E-3"/>
    <n v="255"/>
    <x v="2"/>
    <x v="3"/>
    <n v="0.96"/>
    <n v="0"/>
    <n v="0"/>
    <n v="0"/>
    <s v="Mar"/>
    <x v="20"/>
    <m/>
    <m/>
  </r>
  <r>
    <n v="68860663"/>
    <x v="1"/>
    <n v="34100"/>
    <d v="2026-05-04T00:00:00"/>
    <s v="Talenti Vanilla Caramel Swirl 8 1PT"/>
    <x v="87"/>
    <n v="3.7839999999999996E-3"/>
    <n v="255"/>
    <x v="2"/>
    <x v="3"/>
    <n v="0.96"/>
    <n v="32736"/>
    <n v="123.87302399999999"/>
    <n v="128.37647058823529"/>
    <s v="May"/>
    <x v="24"/>
    <m/>
    <m/>
  </r>
  <r>
    <n v="68862399"/>
    <x v="1"/>
    <n v="34100"/>
    <d v="2026-04-20T00:00:00"/>
    <s v="Talenti Cold Brew Coffee Sorbetto 8 1PT"/>
    <x v="87"/>
    <n v="3.7839999999999996E-3"/>
    <n v="255"/>
    <x v="2"/>
    <x v="3"/>
    <n v="0.96"/>
    <n v="32736"/>
    <n v="123.87302399999999"/>
    <n v="128.37647058823529"/>
    <s v="Apr"/>
    <x v="40"/>
    <m/>
    <m/>
  </r>
  <r>
    <n v="68862511"/>
    <x v="1"/>
    <n v="34100"/>
    <d v="2026-04-20T00:00:00"/>
    <s v="Talenti Belgian Chocolate 8 1PT"/>
    <x v="87"/>
    <n v="3.7839999999999996E-3"/>
    <n v="255"/>
    <x v="2"/>
    <x v="3"/>
    <n v="0.96"/>
    <n v="32736"/>
    <n v="123.87302399999999"/>
    <n v="128.37647058823529"/>
    <s v="Apr"/>
    <x v="40"/>
    <m/>
    <m/>
  </r>
  <r>
    <n v="68867755"/>
    <x v="1"/>
    <n v="34100"/>
    <d v="2026-04-27T00:00:00"/>
    <s v="Talenti LY Salted CAR Truffle 8 323.1g"/>
    <x v="87"/>
    <n v="3.552E-3"/>
    <n v="255"/>
    <x v="2"/>
    <x v="3"/>
    <n v="0.96"/>
    <n v="32736"/>
    <n v="116.278272"/>
    <n v="128.37647058823529"/>
    <s v="Apr"/>
    <x v="21"/>
    <m/>
    <m/>
  </r>
  <r>
    <n v="68769686"/>
    <x v="0"/>
    <n v="34200"/>
    <d v="2026-05-04T00:00:00"/>
    <s v="BR CO-B HA Reeses Chocolate 6 1.5QT"/>
    <x v="82"/>
    <n v="8.513999999999999E-3"/>
    <n v="154"/>
    <x v="0"/>
    <x v="0"/>
    <n v="0.94"/>
    <n v="32147.999999999996"/>
    <n v="273.70807199999996"/>
    <n v="208.75324675324674"/>
    <s v="May"/>
    <x v="24"/>
    <m/>
    <m/>
  </r>
  <r>
    <n v="68817793"/>
    <x v="0"/>
    <n v="34200"/>
    <d v="2026-05-11T00:00:00"/>
    <s v="BR Mint CHOC Chip 6 1.5QT"/>
    <x v="82"/>
    <n v="8.5199999999999998E-3"/>
    <n v="176"/>
    <x v="0"/>
    <x v="0"/>
    <n v="0.94"/>
    <n v="32147.999999999996"/>
    <n v="273.90095999999994"/>
    <n v="182.65909090909088"/>
    <s v="May"/>
    <x v="26"/>
    <m/>
    <m/>
  </r>
  <r>
    <n v="68852591"/>
    <x v="0"/>
    <n v="34320"/>
    <d v="2026-04-06T00:00:00"/>
    <s v="KL Heath Bar 12-6PK"/>
    <x v="79"/>
    <n v="8.5199999999999998E-3"/>
    <n v="132"/>
    <x v="1"/>
    <x v="2"/>
    <n v="0.96"/>
    <n v="32947.199999999997"/>
    <n v="280.71014399999996"/>
    <n v="249.59999999999997"/>
    <s v="Apr"/>
    <x v="23"/>
    <m/>
    <m/>
  </r>
  <r>
    <n v="64987234"/>
    <x v="11"/>
    <n v="34376"/>
    <d v="2026-03-23T00:00:00"/>
    <s v="BJ US-Bar-Cookie Dough 8-4pk"/>
    <x v="69"/>
    <n v="2.3999999999999998E-3"/>
    <n v="165"/>
    <x v="24"/>
    <x v="45"/>
    <n v="0.96"/>
    <n v="33000.959999999999"/>
    <n v="79.202303999999998"/>
    <n v="200.00581818181817"/>
    <s v="Mar"/>
    <x v="10"/>
    <m/>
    <m/>
  </r>
  <r>
    <n v="64958126"/>
    <x v="10"/>
    <n v="34500"/>
    <d v="2026-04-13T00:00:00"/>
    <s v="Yasso Black Raspberry Chip 8-4pk"/>
    <x v="69"/>
    <n v="3.3119999999999998E-3"/>
    <n v="165"/>
    <x v="4"/>
    <x v="30"/>
    <n v="0.96"/>
    <n v="33120"/>
    <n v="109.69344"/>
    <n v="200.72727272727272"/>
    <s v="Apr"/>
    <x v="25"/>
    <m/>
    <m/>
  </r>
  <r>
    <n v="64958129"/>
    <x v="10"/>
    <n v="34500"/>
    <d v="2026-05-11T00:00:00"/>
    <s v="Yasso Chocolate Chip Cookie Dough 8-4pk"/>
    <x v="69"/>
    <n v="3.3119999999999998E-3"/>
    <n v="165"/>
    <x v="4"/>
    <x v="30"/>
    <n v="0.96"/>
    <n v="33120"/>
    <n v="109.69344"/>
    <n v="200.72727272727272"/>
    <s v="May"/>
    <x v="26"/>
    <m/>
    <m/>
  </r>
  <r>
    <n v="64973976"/>
    <x v="8"/>
    <n v="34560"/>
    <d v="2026-08-10T00:00:00"/>
    <s v="BR Reeses Mini Cups 1-12PK"/>
    <x v="69"/>
    <n v="1.0644000000000001E-3"/>
    <n v="190"/>
    <x v="23"/>
    <x v="55"/>
    <n v="0.96"/>
    <n v="33177.599999999999"/>
    <n v="35.314237439999999"/>
    <n v="174.61894736842103"/>
    <s v="Aug"/>
    <x v="34"/>
    <m/>
    <m/>
  </r>
  <r>
    <n v="84137694"/>
    <x v="3"/>
    <n v="34560"/>
    <d v="2026-04-27T00:00:00"/>
    <s v="BJ US-IC-EverythingButThe-FTNG-8 1PT"/>
    <x v="72"/>
    <n v="3.7853439999999999E-3"/>
    <n v="240"/>
    <x v="3"/>
    <x v="13"/>
    <n v="0.95"/>
    <n v="32832"/>
    <n v="124.280414208"/>
    <n v="136.80000000000001"/>
    <s v="Apr"/>
    <x v="21"/>
    <m/>
    <m/>
  </r>
  <r>
    <n v="64771676"/>
    <x v="7"/>
    <n v="34632"/>
    <d v="2026-07-06T00:00:00"/>
    <s v="PS SpongeBob Facepiece IH 6-6PK"/>
    <x v="70"/>
    <n v="2.16E-3"/>
    <n v="195"/>
    <x v="16"/>
    <x v="24"/>
    <n v="0.96"/>
    <n v="33246.720000000001"/>
    <n v="71.812915200000006"/>
    <n v="170.49600000000001"/>
    <s v="Jul"/>
    <x v="30"/>
    <m/>
    <m/>
  </r>
  <r>
    <n v="64979444"/>
    <x v="7"/>
    <n v="34632"/>
    <d v="2026-08-03T00:00:00"/>
    <s v="PS Bluey Facepiece IH 6-6PK"/>
    <x v="70"/>
    <n v="2.16E-3"/>
    <n v="195"/>
    <x v="16"/>
    <x v="24"/>
    <n v="0.96"/>
    <n v="33246.720000000001"/>
    <n v="71.812915200000006"/>
    <n v="170.49600000000001"/>
    <s v="Aug"/>
    <x v="22"/>
    <m/>
    <m/>
  </r>
  <r>
    <n v="64987232"/>
    <x v="11"/>
    <n v="34688"/>
    <d v="2026-03-30T00:00:00"/>
    <s v="BJ US-Bar-CHOCFUDGBrownie 8-4pk"/>
    <x v="69"/>
    <n v="2.3999999999999998E-3"/>
    <n v="165"/>
    <x v="24"/>
    <x v="45"/>
    <n v="0.96"/>
    <n v="33300.479999999996"/>
    <n v="79.921151999999978"/>
    <n v="201.82109090909088"/>
    <s v="Mar"/>
    <x v="20"/>
    <m/>
    <m/>
  </r>
  <r>
    <n v="67881628"/>
    <x v="3"/>
    <n v="34720"/>
    <d v="2026-05-04T00:00:00"/>
    <s v="BJ US-IC- CrmlChcChsck- 8 1PT"/>
    <x v="77"/>
    <n v="3.7853439999999999E-3"/>
    <n v="240"/>
    <x v="3"/>
    <x v="13"/>
    <n v="0.95"/>
    <n v="32984"/>
    <n v="124.85578649599999"/>
    <n v="137.43333333333334"/>
    <s v="May"/>
    <x v="24"/>
    <m/>
    <m/>
  </r>
  <r>
    <n v="69797296"/>
    <x v="3"/>
    <n v="34720"/>
    <d v="2026-05-04T00:00:00"/>
    <s v="BJ US-IC-PB Smore-8 1PT"/>
    <x v="77"/>
    <n v="3.7839999999999996E-3"/>
    <n v="240"/>
    <x v="3"/>
    <x v="13"/>
    <n v="0.95"/>
    <n v="32984"/>
    <n v="124.81145599999999"/>
    <n v="137.43333333333334"/>
    <s v="May"/>
    <x v="24"/>
    <m/>
    <m/>
  </r>
  <r>
    <n v="65489677"/>
    <x v="12"/>
    <n v="34726"/>
    <d v="2026-04-06T00:00:00"/>
    <s v="GH King Cone Giant VAN CHOC 1-12PK"/>
    <x v="69"/>
    <n v="2.8319999999999999E-3"/>
    <n v="221"/>
    <x v="17"/>
    <x v="34"/>
    <n v="0.96"/>
    <n v="33336.959999999999"/>
    <n v="94.41027072"/>
    <n v="150.84597285067872"/>
    <s v="Apr"/>
    <x v="23"/>
    <m/>
    <m/>
  </r>
  <r>
    <n v="68817793"/>
    <x v="0"/>
    <n v="34780"/>
    <d v="2026-05-18T00:00:00"/>
    <s v="BR Mint CHOC Chip 6 1.5QT"/>
    <x v="74"/>
    <n v="8.5199999999999998E-3"/>
    <n v="176"/>
    <x v="0"/>
    <x v="0"/>
    <n v="0.94"/>
    <n v="32693.199999999997"/>
    <n v="278.54606399999994"/>
    <n v="185.75681818181818"/>
    <s v="May"/>
    <x v="39"/>
    <m/>
    <m/>
  </r>
  <r>
    <n v="68881265"/>
    <x v="0"/>
    <n v="34780"/>
    <d v="2026-04-27T00:00:00"/>
    <s v="BR CS Mint Cookie Fudge 6 1.5QT"/>
    <x v="74"/>
    <n v="8.5199999999999998E-3"/>
    <n v="176"/>
    <x v="0"/>
    <x v="0"/>
    <n v="0.94"/>
    <n v="32693.199999999997"/>
    <n v="278.54606399999994"/>
    <n v="185.75681818181818"/>
    <s v="Apr"/>
    <x v="21"/>
    <m/>
    <m/>
  </r>
  <r>
    <n v="68881270"/>
    <x v="0"/>
    <n v="34780"/>
    <d v="2026-05-04T00:00:00"/>
    <s v="BR Cookies and Cream 6 1.5QT"/>
    <x v="74"/>
    <n v="8.5199999999999998E-3"/>
    <n v="176"/>
    <x v="0"/>
    <x v="0"/>
    <n v="0.94"/>
    <n v="32693.199999999997"/>
    <n v="278.54606399999994"/>
    <n v="185.75681818181818"/>
    <s v="May"/>
    <x v="24"/>
    <m/>
    <m/>
  </r>
  <r>
    <n v="68881270"/>
    <x v="0"/>
    <n v="34780"/>
    <d v="2026-05-18T00:00:00"/>
    <s v="BR Cookies and Cream 6 1.5QT"/>
    <x v="74"/>
    <n v="8.5199999999999998E-3"/>
    <n v="176"/>
    <x v="0"/>
    <x v="0"/>
    <n v="0.94"/>
    <n v="32693.199999999997"/>
    <n v="278.54606399999994"/>
    <n v="185.75681818181818"/>
    <s v="May"/>
    <x v="39"/>
    <m/>
    <m/>
  </r>
  <r>
    <n v="68899821"/>
    <x v="0"/>
    <n v="34780"/>
    <d v="2026-05-25T00:00:00"/>
    <s v="BR Double Cookie Crumble 6 1.5QT"/>
    <x v="74"/>
    <n v="8.5199999999999998E-3"/>
    <n v="176"/>
    <x v="0"/>
    <x v="0"/>
    <n v="0.94"/>
    <n v="32693.199999999997"/>
    <n v="278.54606399999994"/>
    <n v="185.75681818181818"/>
    <s v="May"/>
    <x v="46"/>
    <m/>
    <m/>
  </r>
  <r>
    <n v="68709233"/>
    <x v="0"/>
    <n v="35000"/>
    <d v="2026-03-30T00:00:00"/>
    <s v="KL SAB RF NSA Vanilla Bar 12-6PK"/>
    <x v="85"/>
    <n v="8.4960000000000001E-3"/>
    <n v="132"/>
    <x v="1"/>
    <x v="2"/>
    <n v="0.96"/>
    <n v="33600"/>
    <n v="285.46559999999999"/>
    <n v="254.54545454545453"/>
    <s v="Mar"/>
    <x v="20"/>
    <m/>
    <m/>
  </r>
  <r>
    <n v="64393723"/>
    <x v="1"/>
    <n v="35000"/>
    <d v="2026-04-20T00:00:00"/>
    <s v="MG Double Chocolate Bar 8-3PK"/>
    <x v="64"/>
    <n v="2.16E-3"/>
    <n v="210"/>
    <x v="5"/>
    <x v="6"/>
    <n v="0.96"/>
    <n v="33600"/>
    <n v="72.576000000000008"/>
    <n v="160"/>
    <s v="Apr"/>
    <x v="40"/>
    <m/>
    <m/>
  </r>
  <r>
    <n v="69690941"/>
    <x v="1"/>
    <n v="35000"/>
    <d v="2026-05-11T00:00:00"/>
    <s v="MG Mini Classic 6-6PK"/>
    <x v="64"/>
    <n v="1.98E-3"/>
    <n v="176"/>
    <x v="5"/>
    <x v="6"/>
    <n v="0.96"/>
    <n v="33600"/>
    <n v="66.528000000000006"/>
    <n v="190.90909090909091"/>
    <s v="May"/>
    <x v="26"/>
    <m/>
    <m/>
  </r>
  <r>
    <n v="69989759"/>
    <x v="1"/>
    <n v="35000"/>
    <d v="2026-04-06T00:00:00"/>
    <s v="MG Mini Almond 6-6PK"/>
    <x v="64"/>
    <n v="1.98E-3"/>
    <n v="176"/>
    <x v="5"/>
    <x v="6"/>
    <n v="0.96"/>
    <n v="33600"/>
    <n v="66.528000000000006"/>
    <n v="190.90909090909091"/>
    <s v="Apr"/>
    <x v="23"/>
    <m/>
    <m/>
  </r>
  <r>
    <n v="64977526"/>
    <x v="0"/>
    <n v="35100"/>
    <d v="2026-05-04T00:00:00"/>
    <s v="BR Salted Caramel Truffle 6p 1.5QT"/>
    <x v="73"/>
    <n v="8.513999999999999E-3"/>
    <n v="176"/>
    <x v="0"/>
    <x v="0"/>
    <n v="0.94"/>
    <n v="32994"/>
    <n v="280.91091599999999"/>
    <n v="187.46590909090909"/>
    <s v="May"/>
    <x v="24"/>
    <m/>
    <m/>
  </r>
  <r>
    <n v="64979444"/>
    <x v="7"/>
    <n v="35520"/>
    <d v="2026-11-09T00:00:00"/>
    <s v="PS Bluey Facepiece IH 6-6PK"/>
    <x v="70"/>
    <n v="2.16E-3"/>
    <n v="195"/>
    <x v="16"/>
    <x v="24"/>
    <n v="0.96"/>
    <n v="34099.199999999997"/>
    <n v="73.654271999999992"/>
    <n v="174.86769230769229"/>
    <s v="Nov"/>
    <x v="37"/>
    <m/>
    <m/>
  </r>
  <r>
    <n v="64979444"/>
    <x v="7"/>
    <n v="35520"/>
    <d v="2026-11-16T00:00:00"/>
    <s v="PS Bluey Facepiece IH 6-6PK"/>
    <x v="70"/>
    <n v="2.16E-3"/>
    <n v="195"/>
    <x v="16"/>
    <x v="24"/>
    <n v="0.96"/>
    <n v="34099.199999999997"/>
    <n v="73.654271999999992"/>
    <n v="174.86769230769229"/>
    <s v="Nov"/>
    <x v="42"/>
    <m/>
    <m/>
  </r>
  <r>
    <n v="64979444"/>
    <x v="7"/>
    <n v="35520"/>
    <d v="2026-12-14T00:00:00"/>
    <s v="PS Bluey Facepiece IH 6-6PK"/>
    <x v="70"/>
    <n v="2.16E-3"/>
    <n v="195"/>
    <x v="16"/>
    <x v="24"/>
    <n v="0.96"/>
    <n v="34099.199999999997"/>
    <n v="73.654271999999992"/>
    <n v="174.86769230769229"/>
    <s v="Dec"/>
    <x v="27"/>
    <m/>
    <m/>
  </r>
  <r>
    <n v="67430513"/>
    <x v="3"/>
    <n v="35640"/>
    <d v="2026-05-18T00:00:00"/>
    <s v="BJ US-IC-PeanutButterCup-8 1PT"/>
    <x v="72"/>
    <n v="3.7839999999999996E-3"/>
    <n v="240"/>
    <x v="3"/>
    <x v="13"/>
    <n v="0.95"/>
    <n v="33858"/>
    <n v="128.11867199999998"/>
    <n v="141.07499999999999"/>
    <s v="May"/>
    <x v="39"/>
    <m/>
    <m/>
  </r>
  <r>
    <n v="69986507"/>
    <x v="3"/>
    <n v="35640"/>
    <d v="2026-04-20T00:00:00"/>
    <s v="BJ US-NDO-CHOC CHP COOK DGH-8 1PT"/>
    <x v="72"/>
    <n v="3.7839999999999996E-3"/>
    <n v="240"/>
    <x v="3"/>
    <x v="13"/>
    <n v="0.95"/>
    <n v="33858"/>
    <n v="128.11867199999998"/>
    <n v="141.07499999999999"/>
    <s v="Apr"/>
    <x v="40"/>
    <m/>
    <m/>
  </r>
  <r>
    <n v="84161610"/>
    <x v="3"/>
    <n v="35640"/>
    <d v="2026-05-18T00:00:00"/>
    <s v="BJ US-COR-SaltedCaramelCore-FTNG-8 1PT"/>
    <x v="72"/>
    <n v="3.7853439999999999E-3"/>
    <n v="240"/>
    <x v="3"/>
    <x v="13"/>
    <n v="0.95"/>
    <n v="33858"/>
    <n v="128.16417715200001"/>
    <n v="141.07499999999999"/>
    <s v="May"/>
    <x v="39"/>
    <m/>
    <m/>
  </r>
  <r>
    <n v="64341967"/>
    <x v="0"/>
    <n v="35720"/>
    <d v="2026-05-18T00:00:00"/>
    <s v="BR CHOC Peanut Butter 6 1.5QT"/>
    <x v="82"/>
    <n v="8.513999999999999E-3"/>
    <n v="176"/>
    <x v="0"/>
    <x v="0"/>
    <n v="0.94"/>
    <n v="33576.799999999996"/>
    <n v="285.87287519999995"/>
    <n v="190.7772727272727"/>
    <s v="May"/>
    <x v="39"/>
    <m/>
    <m/>
  </r>
  <r>
    <n v="64341968"/>
    <x v="0"/>
    <n v="35720"/>
    <d v="2026-05-04T00:00:00"/>
    <s v="BR CO-B Snickers 6 1.5QT"/>
    <x v="82"/>
    <n v="8.5199999999999998E-3"/>
    <n v="176"/>
    <x v="0"/>
    <x v="0"/>
    <n v="0.94"/>
    <n v="33576.799999999996"/>
    <n v="286.07433599999996"/>
    <n v="190.7772727272727"/>
    <s v="May"/>
    <x v="24"/>
    <m/>
    <m/>
  </r>
  <r>
    <n v="64341968"/>
    <x v="0"/>
    <n v="35720"/>
    <d v="2026-05-11T00:00:00"/>
    <s v="BR CO-B Snickers 6 1.5QT"/>
    <x v="82"/>
    <n v="8.5199999999999998E-3"/>
    <n v="176"/>
    <x v="0"/>
    <x v="0"/>
    <n v="0.94"/>
    <n v="33576.799999999996"/>
    <n v="286.07433599999996"/>
    <n v="190.7772727272727"/>
    <s v="May"/>
    <x v="26"/>
    <m/>
    <m/>
  </r>
  <r>
    <n v="64341968"/>
    <x v="0"/>
    <n v="35720"/>
    <d v="2026-05-18T00:00:00"/>
    <s v="BR CO-B Snickers 6 1.5QT"/>
    <x v="82"/>
    <n v="8.5199999999999998E-3"/>
    <n v="176"/>
    <x v="0"/>
    <x v="0"/>
    <n v="0.94"/>
    <n v="33576.799999999996"/>
    <n v="286.07433599999996"/>
    <n v="190.7772727272727"/>
    <s v="May"/>
    <x v="39"/>
    <m/>
    <m/>
  </r>
  <r>
    <n v="68817800"/>
    <x v="0"/>
    <n v="35720"/>
    <d v="2026-05-18T00:00:00"/>
    <s v="BR Coffee 6 1.5QT"/>
    <x v="78"/>
    <n v="8.513999999999999E-3"/>
    <n v="176"/>
    <x v="0"/>
    <x v="0"/>
    <n v="0.94"/>
    <n v="33576.799999999996"/>
    <n v="285.87287519999995"/>
    <n v="190.7772727272727"/>
    <s v="May"/>
    <x v="39"/>
    <m/>
    <m/>
  </r>
  <r>
    <n v="68851104"/>
    <x v="0"/>
    <n v="35720"/>
    <d v="2026-05-25T00:00:00"/>
    <s v="BR Chocolate 6-1.5QT"/>
    <x v="82"/>
    <n v="8.5199999999999998E-3"/>
    <n v="176"/>
    <x v="0"/>
    <x v="0"/>
    <n v="0.94"/>
    <n v="33576.799999999996"/>
    <n v="286.07433599999996"/>
    <n v="190.7772727272727"/>
    <s v="May"/>
    <x v="46"/>
    <m/>
    <m/>
  </r>
  <r>
    <n v="65434831"/>
    <x v="3"/>
    <n v="35840"/>
    <d v="2026-04-27T00:00:00"/>
    <s v="BJ US-IC-Honey Graham Latte-8 1PT LTD"/>
    <x v="77"/>
    <n v="3.7839999999999996E-3"/>
    <n v="240"/>
    <x v="3"/>
    <x v="13"/>
    <n v="0.95"/>
    <n v="34048"/>
    <n v="128.83763199999999"/>
    <n v="141.86666666666667"/>
    <s v="Apr"/>
    <x v="21"/>
    <m/>
    <m/>
  </r>
  <r>
    <n v="67430513"/>
    <x v="3"/>
    <n v="35840"/>
    <d v="2026-03-23T00:00:00"/>
    <s v="BJ US-IC-PeanutButterCup-8 1PT"/>
    <x v="77"/>
    <n v="3.7839999999999996E-3"/>
    <n v="240"/>
    <x v="3"/>
    <x v="13"/>
    <n v="0.95"/>
    <n v="34048"/>
    <n v="128.83763199999999"/>
    <n v="141.86666666666667"/>
    <s v="Mar"/>
    <x v="10"/>
    <m/>
    <m/>
  </r>
  <r>
    <n v="68689251"/>
    <x v="0"/>
    <n v="35940"/>
    <d v="2026-04-06T00:00:00"/>
    <s v="KL Original Vanilla Bar 12-6PK"/>
    <x v="75"/>
    <n v="9.5760000000000012E-3"/>
    <n v="132"/>
    <x v="1"/>
    <x v="2"/>
    <n v="0.96"/>
    <n v="34502.400000000001"/>
    <n v="330.39498240000006"/>
    <n v="261.38181818181818"/>
    <s v="Apr"/>
    <x v="23"/>
    <m/>
    <m/>
  </r>
  <r>
    <n v="64341968"/>
    <x v="0"/>
    <n v="36000"/>
    <d v="2026-04-20T00:00:00"/>
    <s v="BR CO-B Snickers 6 1.5QT"/>
    <x v="82"/>
    <n v="8.5199999999999998E-3"/>
    <n v="176"/>
    <x v="0"/>
    <x v="0"/>
    <n v="0.94"/>
    <n v="33840"/>
    <n v="288.3168"/>
    <n v="192.27272727272728"/>
    <s v="Apr"/>
    <x v="40"/>
    <m/>
    <m/>
  </r>
  <r>
    <n v="68737750"/>
    <x v="0"/>
    <n v="36000"/>
    <d v="2026-04-20T00:00:00"/>
    <s v="BR CO-B Reeses 6 1.5QT"/>
    <x v="82"/>
    <n v="8.5199999999999998E-3"/>
    <n v="176"/>
    <x v="0"/>
    <x v="0"/>
    <n v="0.94"/>
    <n v="33840"/>
    <n v="288.3168"/>
    <n v="192.27272727272728"/>
    <s v="Apr"/>
    <x v="40"/>
    <m/>
    <m/>
  </r>
  <r>
    <n v="68899821"/>
    <x v="0"/>
    <n v="36000"/>
    <d v="2026-04-20T00:00:00"/>
    <s v="BR Double Cookie Crumble 6 1.5QT"/>
    <x v="74"/>
    <n v="8.5199999999999998E-3"/>
    <n v="176"/>
    <x v="0"/>
    <x v="0"/>
    <n v="0.94"/>
    <n v="33840"/>
    <n v="288.3168"/>
    <n v="192.27272727272728"/>
    <s v="Apr"/>
    <x v="40"/>
    <m/>
    <m/>
  </r>
  <r>
    <n v="64330596"/>
    <x v="1"/>
    <n v="36000"/>
    <d v="2026-05-11T00:00:00"/>
    <s v="MG Mini Double Caramel Bar 6-6PK"/>
    <x v="64"/>
    <n v="1.98E-3"/>
    <n v="176"/>
    <x v="5"/>
    <x v="6"/>
    <n v="0.96"/>
    <n v="34560"/>
    <n v="68.428799999999995"/>
    <n v="196.36363636363637"/>
    <s v="May"/>
    <x v="26"/>
    <m/>
    <m/>
  </r>
  <r>
    <n v="64393722"/>
    <x v="1"/>
    <n v="36000"/>
    <d v="2026-04-20T00:00:00"/>
    <s v="MG Double Raspberry Bar 8-3PK"/>
    <x v="64"/>
    <n v="2.16E-3"/>
    <n v="210"/>
    <x v="5"/>
    <x v="6"/>
    <n v="0.96"/>
    <n v="34560"/>
    <n v="74.649600000000007"/>
    <n v="164.57142857142858"/>
    <s v="Apr"/>
    <x v="40"/>
    <m/>
    <m/>
  </r>
  <r>
    <n v="68821735"/>
    <x v="1"/>
    <n v="36000"/>
    <d v="2026-04-13T00:00:00"/>
    <s v="BR Lactose Free Vanilla 6 1.5QT"/>
    <x v="89"/>
    <n v="8.5199999999999998E-3"/>
    <n v="176"/>
    <x v="0"/>
    <x v="1"/>
    <n v="0.94"/>
    <n v="33840"/>
    <n v="288.3168"/>
    <n v="192.27272727272728"/>
    <s v="Apr"/>
    <x v="25"/>
    <m/>
    <m/>
  </r>
  <r>
    <n v="64360552"/>
    <x v="4"/>
    <n v="36000"/>
    <d v="2026-05-25T00:00:00"/>
    <s v="BR US CarbSmart Vanilla IH 6 1.5QT"/>
    <x v="91"/>
    <n v="8.4600000000000005E-3"/>
    <n v="168"/>
    <x v="0"/>
    <x v="52"/>
    <n v="0.94"/>
    <n v="33840"/>
    <n v="286.28640000000001"/>
    <n v="201.42857142857142"/>
    <s v="May"/>
    <x v="46"/>
    <m/>
    <m/>
  </r>
  <r>
    <n v="64360552"/>
    <x v="4"/>
    <n v="36000"/>
    <d v="2026-06-15T00:00:00"/>
    <s v="BR US CarbSmart Vanilla IH 6 1.5QT"/>
    <x v="91"/>
    <n v="8.4600000000000005E-3"/>
    <n v="168"/>
    <x v="0"/>
    <x v="52"/>
    <n v="0.94"/>
    <n v="33840"/>
    <n v="286.28640000000001"/>
    <n v="201.42857142857142"/>
    <s v="Jun"/>
    <x v="28"/>
    <m/>
    <m/>
  </r>
  <r>
    <n v="64360552"/>
    <x v="4"/>
    <n v="36000"/>
    <d v="2026-06-22T00:00:00"/>
    <s v="BR US CarbSmart Vanilla IH 6 1.5QT"/>
    <x v="91"/>
    <n v="8.4600000000000005E-3"/>
    <n v="168"/>
    <x v="0"/>
    <x v="52"/>
    <n v="0.94"/>
    <n v="33840"/>
    <n v="286.28640000000001"/>
    <n v="201.42857142857142"/>
    <s v="Jun"/>
    <x v="49"/>
    <m/>
    <m/>
  </r>
  <r>
    <n v="64360552"/>
    <x v="4"/>
    <n v="36000"/>
    <d v="2026-07-06T00:00:00"/>
    <s v="BR US CarbSmart Vanilla IH 6 1.5QT"/>
    <x v="91"/>
    <n v="8.4600000000000005E-3"/>
    <n v="168"/>
    <x v="0"/>
    <x v="52"/>
    <n v="0.94"/>
    <n v="33840"/>
    <n v="286.28640000000001"/>
    <n v="201.42857142857142"/>
    <s v="Jul"/>
    <x v="30"/>
    <m/>
    <m/>
  </r>
  <r>
    <n v="64360552"/>
    <x v="4"/>
    <n v="36000"/>
    <d v="2026-07-20T00:00:00"/>
    <s v="BR US CarbSmart Vanilla IH 6 1.5QT"/>
    <x v="91"/>
    <n v="8.4600000000000005E-3"/>
    <n v="168"/>
    <x v="0"/>
    <x v="52"/>
    <n v="0.94"/>
    <n v="33840"/>
    <n v="286.28640000000001"/>
    <n v="201.42857142857142"/>
    <s v="Jul"/>
    <x v="31"/>
    <m/>
    <m/>
  </r>
  <r>
    <n v="64360552"/>
    <x v="4"/>
    <n v="36000"/>
    <d v="2026-07-27T00:00:00"/>
    <s v="BR US CarbSmart Vanilla IH 6 1.5QT"/>
    <x v="91"/>
    <n v="8.4600000000000005E-3"/>
    <n v="168"/>
    <x v="0"/>
    <x v="52"/>
    <n v="0.94"/>
    <n v="33840"/>
    <n v="286.28640000000001"/>
    <n v="201.42857142857142"/>
    <s v="Jul"/>
    <x v="15"/>
    <m/>
    <m/>
  </r>
  <r>
    <n v="64360552"/>
    <x v="4"/>
    <n v="36000"/>
    <d v="2026-08-17T00:00:00"/>
    <s v="BR US CarbSmart Vanilla IH 6 1.5QT"/>
    <x v="91"/>
    <n v="8.4600000000000005E-3"/>
    <n v="168"/>
    <x v="0"/>
    <x v="52"/>
    <n v="0.94"/>
    <n v="33840"/>
    <n v="286.28640000000001"/>
    <n v="201.42857142857142"/>
    <s v="Aug"/>
    <x v="29"/>
    <m/>
    <m/>
  </r>
  <r>
    <n v="64360552"/>
    <x v="4"/>
    <n v="36000"/>
    <d v="2026-09-14T00:00:00"/>
    <s v="BR US CarbSmart Vanilla IH 6 1.5QT"/>
    <x v="91"/>
    <n v="8.4600000000000005E-3"/>
    <n v="168"/>
    <x v="0"/>
    <x v="52"/>
    <n v="0.94"/>
    <n v="33840"/>
    <n v="286.28640000000001"/>
    <n v="201.42857142857142"/>
    <s v="Sep"/>
    <x v="38"/>
    <m/>
    <m/>
  </r>
  <r>
    <n v="64360552"/>
    <x v="4"/>
    <n v="36000"/>
    <d v="2026-10-05T00:00:00"/>
    <s v="BR US CarbSmart Vanilla IH 6 1.5QT"/>
    <x v="91"/>
    <n v="8.4600000000000005E-3"/>
    <n v="168"/>
    <x v="0"/>
    <x v="52"/>
    <n v="0.94"/>
    <n v="33840"/>
    <n v="286.28640000000001"/>
    <n v="201.42857142857142"/>
    <s v="Oct"/>
    <x v="50"/>
    <m/>
    <m/>
  </r>
  <r>
    <n v="84135781"/>
    <x v="2"/>
    <n v="36000"/>
    <d v="2026-04-27T00:00:00"/>
    <s v="BJ US-IC-Vanilla-FTNG-8 1PT"/>
    <x v="84"/>
    <n v="3.7853439999999999E-3"/>
    <n v="240"/>
    <x v="3"/>
    <x v="4"/>
    <n v="0.95"/>
    <n v="34200"/>
    <n v="129.45876480000001"/>
    <n v="142.5"/>
    <s v="Apr"/>
    <x v="21"/>
    <m/>
    <m/>
  </r>
  <r>
    <n v="68851104"/>
    <x v="0"/>
    <m/>
    <d v="2026-03-30T00:00:00"/>
    <s v="BR Chocolate 6-1.5QT"/>
    <x v="78"/>
    <n v="8.5199999999999998E-3"/>
    <n v="176"/>
    <x v="0"/>
    <x v="0"/>
    <n v="0.94"/>
    <n v="0"/>
    <n v="0"/>
    <n v="0"/>
    <s v="Mar"/>
    <x v="20"/>
    <m/>
    <m/>
  </r>
  <r>
    <n v="65468644"/>
    <x v="7"/>
    <n v="36271"/>
    <d v="2026-04-13T00:00:00"/>
    <s v="PS Soccer Ball IH 1-12pk"/>
    <x v="70"/>
    <n v="7.1999999999999994E-4"/>
    <n v="437"/>
    <x v="17"/>
    <x v="56"/>
    <n v="0.96"/>
    <n v="34820.159999999996"/>
    <n v="25.070515199999996"/>
    <n v="79.679999999999993"/>
    <s v="Apr"/>
    <x v="25"/>
    <m/>
    <m/>
  </r>
  <r>
    <n v="62714126"/>
    <x v="5"/>
    <n v="36400"/>
    <d v="2026-06-15T00:00:00"/>
    <s v="PS OCG SF 6-18PK"/>
    <x v="70"/>
    <n v="5.2680000000000001E-3"/>
    <n v="130"/>
    <x v="6"/>
    <x v="22"/>
    <n v="0.96"/>
    <n v="34944"/>
    <n v="184.084992"/>
    <n v="268.8"/>
    <s v="Jun"/>
    <x v="28"/>
    <m/>
    <m/>
  </r>
  <r>
    <n v="64771676"/>
    <x v="7"/>
    <n v="36472"/>
    <d v="2026-06-15T00:00:00"/>
    <s v="PS SpongeBob Facepiece IH 6-6PK"/>
    <x v="70"/>
    <n v="2.16E-3"/>
    <n v="195"/>
    <x v="16"/>
    <x v="24"/>
    <n v="0.96"/>
    <n v="35013.119999999995"/>
    <n v="75.628339199999985"/>
    <n v="179.55446153846151"/>
    <s v="Jun"/>
    <x v="28"/>
    <m/>
    <m/>
  </r>
  <r>
    <n v="65468644"/>
    <x v="7"/>
    <n v="36512"/>
    <d v="2026-05-04T00:00:00"/>
    <s v="PS Soccer Ball IH 1-12pk"/>
    <x v="70"/>
    <n v="7.1999999999999994E-4"/>
    <n v="437"/>
    <x v="17"/>
    <x v="56"/>
    <n v="0.96"/>
    <n v="35051.519999999997"/>
    <n v="25.237094399999997"/>
    <n v="80.209427917620133"/>
    <s v="May"/>
    <x v="24"/>
    <m/>
    <m/>
  </r>
  <r>
    <n v="65489677"/>
    <x v="12"/>
    <n v="36669"/>
    <d v="2026-05-04T00:00:00"/>
    <s v="GH King Cone Giant VAN CHOC 1-12PK"/>
    <x v="69"/>
    <n v="2.8319999999999999E-3"/>
    <n v="221"/>
    <x v="17"/>
    <x v="34"/>
    <n v="0.96"/>
    <n v="35202.239999999998"/>
    <n v="99.692743679999992"/>
    <n v="159.28615384615384"/>
    <s v="May"/>
    <x v="24"/>
    <m/>
    <m/>
  </r>
  <r>
    <n v="84141094"/>
    <x v="3"/>
    <n v="36960"/>
    <d v="2026-05-18T00:00:00"/>
    <s v="BJ US-IC AmericoneDream-FTNG-8 1PT"/>
    <x v="77"/>
    <n v="3.7839999999999996E-3"/>
    <n v="240"/>
    <x v="3"/>
    <x v="13"/>
    <n v="0.95"/>
    <n v="35112"/>
    <n v="132.86380799999998"/>
    <n v="146.30000000000001"/>
    <s v="May"/>
    <x v="39"/>
    <m/>
    <m/>
  </r>
  <r>
    <n v="68851108"/>
    <x v="1"/>
    <n v="37050"/>
    <d v="2026-04-27T00:00:00"/>
    <s v="BR VAN CHOC STRAW 6-1.5QT"/>
    <x v="80"/>
    <n v="8.5199999999999998E-3"/>
    <n v="176"/>
    <x v="0"/>
    <x v="1"/>
    <n v="0.94"/>
    <n v="34827"/>
    <n v="296.72604000000001"/>
    <n v="197.88068181818181"/>
    <s v="Apr"/>
    <x v="21"/>
    <m/>
    <m/>
  </r>
  <r>
    <n v="64956417"/>
    <x v="7"/>
    <m/>
    <d v="2026-03-23T00:00:00"/>
    <s v="PS Hello Kitty Facepiece IH 6-6PK"/>
    <x v="70"/>
    <n v="2.16E-3"/>
    <n v="143"/>
    <x v="16"/>
    <x v="24"/>
    <n v="0.96"/>
    <n v="0"/>
    <n v="0"/>
    <n v="0"/>
    <s v="Mar"/>
    <x v="10"/>
    <m/>
    <m/>
  </r>
  <r>
    <n v="64987232"/>
    <x v="11"/>
    <n v="37188"/>
    <d v="2026-03-23T00:00:00"/>
    <s v="BJ US-Bar-CHOCFUDGBrownie 8-4pk"/>
    <x v="69"/>
    <n v="2.3999999999999998E-3"/>
    <n v="165"/>
    <x v="24"/>
    <x v="45"/>
    <n v="0.96"/>
    <n v="35700.479999999996"/>
    <n v="85.681151999999983"/>
    <n v="216.36654545454542"/>
    <s v="Mar"/>
    <x v="10"/>
    <m/>
    <m/>
  </r>
  <r>
    <n v="64987232"/>
    <x v="11"/>
    <n v="37188"/>
    <d v="2026-04-13T00:00:00"/>
    <s v="BJ US-Bar-CHOCFUDGBrownie 8-4pk"/>
    <x v="69"/>
    <n v="2.3999999999999998E-3"/>
    <n v="165"/>
    <x v="24"/>
    <x v="45"/>
    <n v="0.96"/>
    <n v="35700.479999999996"/>
    <n v="85.681151999999983"/>
    <n v="216.36654545454542"/>
    <s v="Apr"/>
    <x v="25"/>
    <m/>
    <m/>
  </r>
  <r>
    <n v="68710285"/>
    <x v="0"/>
    <n v="37440"/>
    <d v="2026-04-13T00:00:00"/>
    <s v="KL Krunch Bar 12-6PK"/>
    <x v="79"/>
    <n v="9.5760000000000012E-3"/>
    <n v="132"/>
    <x v="1"/>
    <x v="2"/>
    <n v="0.96"/>
    <n v="35942.400000000001"/>
    <n v="344.18442240000007"/>
    <n v="272.29090909090911"/>
    <s v="Apr"/>
    <x v="25"/>
    <m/>
    <m/>
  </r>
  <r>
    <n v="68852591"/>
    <x v="0"/>
    <n v="37440"/>
    <d v="2026-05-04T00:00:00"/>
    <s v="KL Heath Bar 12-6PK"/>
    <x v="79"/>
    <n v="8.5199999999999998E-3"/>
    <n v="132"/>
    <x v="1"/>
    <x v="2"/>
    <n v="0.96"/>
    <n v="35942.400000000001"/>
    <n v="306.22924799999998"/>
    <n v="272.29090909090911"/>
    <s v="May"/>
    <x v="24"/>
    <m/>
    <m/>
  </r>
  <r>
    <n v="68921994"/>
    <x v="0"/>
    <n v="37440"/>
    <d v="2026-04-06T00:00:00"/>
    <s v="KL Dark Chocolate Bar 12-6PK"/>
    <x v="85"/>
    <n v="9.5760000000000012E-3"/>
    <n v="132"/>
    <x v="1"/>
    <x v="2"/>
    <n v="0.96"/>
    <n v="35942.400000000001"/>
    <n v="344.18442240000007"/>
    <n v="272.29090909090911"/>
    <s v="Apr"/>
    <x v="23"/>
    <m/>
    <m/>
  </r>
  <r>
    <n v="68921994"/>
    <x v="0"/>
    <n v="37440"/>
    <d v="2026-04-27T00:00:00"/>
    <s v="KL Dark Chocolate Bar 12-6PK"/>
    <x v="79"/>
    <n v="9.5760000000000012E-3"/>
    <n v="132"/>
    <x v="1"/>
    <x v="2"/>
    <n v="0.96"/>
    <n v="35942.400000000001"/>
    <n v="344.18442240000007"/>
    <n v="272.29090909090911"/>
    <s v="Apr"/>
    <x v="21"/>
    <m/>
    <m/>
  </r>
  <r>
    <n v="64999042"/>
    <x v="11"/>
    <n v="37500"/>
    <d v="2026-03-23T00:00:00"/>
    <s v="Yasso Coffee Chocolate Chip 8-14z"/>
    <x v="69"/>
    <n v="3.3119999999999998E-3"/>
    <n v="240"/>
    <x v="11"/>
    <x v="31"/>
    <n v="0.96"/>
    <n v="36000"/>
    <n v="119.232"/>
    <n v="150"/>
    <s v="Mar"/>
    <x v="10"/>
    <m/>
    <m/>
  </r>
  <r>
    <n v="65489677"/>
    <x v="12"/>
    <n v="37500"/>
    <d v="2026-10-12T00:00:00"/>
    <s v="GH King Cone Giant VAN CHOC 1-12PK"/>
    <x v="69"/>
    <n v="2.8319999999999999E-3"/>
    <n v="221"/>
    <x v="17"/>
    <x v="34"/>
    <n v="0.96"/>
    <n v="36000"/>
    <n v="101.952"/>
    <n v="162.89592760180994"/>
    <s v="Oct"/>
    <x v="36"/>
    <m/>
    <m/>
  </r>
  <r>
    <n v="64958129"/>
    <x v="10"/>
    <m/>
    <d v="2026-03-16T00:00:00"/>
    <s v="Yasso Chocolate Chip Cookie Dough 8-4pk"/>
    <x v="69"/>
    <n v="3.3119999999999998E-3"/>
    <n v="165"/>
    <x v="4"/>
    <x v="30"/>
    <n v="0.96"/>
    <n v="0"/>
    <n v="0"/>
    <n v="0"/>
    <s v="Mar"/>
    <x v="9"/>
    <m/>
    <m/>
  </r>
  <r>
    <n v="67546042"/>
    <x v="3"/>
    <n v="37800"/>
    <d v="2026-05-04T00:00:00"/>
    <s v="BJ US-COR-ChocolateChip-8 1 PT"/>
    <x v="72"/>
    <n v="3.7853439999999999E-3"/>
    <n v="240"/>
    <x v="3"/>
    <x v="13"/>
    <n v="0.95"/>
    <n v="35910"/>
    <n v="135.93170304"/>
    <n v="149.625"/>
    <s v="May"/>
    <x v="24"/>
    <m/>
    <m/>
  </r>
  <r>
    <n v="64341962"/>
    <x v="1"/>
    <n v="38000"/>
    <d v="2026-05-18T00:00:00"/>
    <s v="BR Chocolate Truffle 6 1.5QT"/>
    <x v="83"/>
    <n v="8.513999999999999E-3"/>
    <n v="176"/>
    <x v="0"/>
    <x v="1"/>
    <n v="0.94"/>
    <n v="35720"/>
    <n v="304.12007999999997"/>
    <n v="202.95454545454547"/>
    <s v="May"/>
    <x v="39"/>
    <m/>
    <m/>
  </r>
  <r>
    <n v="64771676"/>
    <x v="7"/>
    <n v="38064"/>
    <d v="2026-05-25T00:00:00"/>
    <s v="PS SpongeBob Facepiece IH 6-6PK"/>
    <x v="70"/>
    <n v="2.16E-3"/>
    <n v="195"/>
    <x v="16"/>
    <x v="24"/>
    <n v="0.96"/>
    <n v="36541.439999999995"/>
    <n v="78.929510399999984"/>
    <n v="187.39199999999997"/>
    <s v="May"/>
    <x v="46"/>
    <m/>
    <m/>
  </r>
  <r>
    <n v="69986511"/>
    <x v="3"/>
    <n v="38080"/>
    <d v="2026-04-13T00:00:00"/>
    <s v="BJ US-NDO-PhishFood-8 1PT"/>
    <x v="77"/>
    <n v="3.7839999999999996E-3"/>
    <n v="240"/>
    <x v="3"/>
    <x v="13"/>
    <n v="0.95"/>
    <n v="36176"/>
    <n v="136.889984"/>
    <n v="150.73333333333332"/>
    <s v="Apr"/>
    <x v="25"/>
    <m/>
    <m/>
  </r>
  <r>
    <n v="84139090"/>
    <x v="3"/>
    <n v="38080"/>
    <d v="2026-05-04T00:00:00"/>
    <s v="BJ US-IC-CoffeeToffeeCrunch-FTNG-8 1PT"/>
    <x v="77"/>
    <n v="3.7853439999999999E-3"/>
    <n v="240"/>
    <x v="3"/>
    <x v="13"/>
    <n v="0.95"/>
    <n v="36176"/>
    <n v="136.93860454399999"/>
    <n v="150.73333333333332"/>
    <s v="May"/>
    <x v="24"/>
    <m/>
    <m/>
  </r>
  <r>
    <n v="64771677"/>
    <x v="7"/>
    <n v="38124"/>
    <d v="2026-04-13T00:00:00"/>
    <s v="PS Minions Facepiece IH 6-6PK"/>
    <x v="70"/>
    <n v="2.16E-3"/>
    <n v="195"/>
    <x v="16"/>
    <x v="24"/>
    <n v="0.96"/>
    <n v="36599.040000000001"/>
    <n v="79.053926400000009"/>
    <n v="187.68738461538462"/>
    <s v="Apr"/>
    <x v="25"/>
    <m/>
    <m/>
  </r>
  <r>
    <n v="64341108"/>
    <x v="7"/>
    <n v="38400"/>
    <d v="2026-08-03T00:00:00"/>
    <s v="PS SpongeBob Facepiece 1-20PK"/>
    <x v="70"/>
    <n v="2.3599999999999997E-3"/>
    <n v="210"/>
    <x v="16"/>
    <x v="24"/>
    <n v="0.96"/>
    <n v="36864"/>
    <n v="86.999039999999994"/>
    <n v="175.54285714285714"/>
    <s v="Aug"/>
    <x v="22"/>
    <m/>
    <m/>
  </r>
  <r>
    <n v="64341108"/>
    <x v="7"/>
    <n v="38400"/>
    <d v="2026-10-26T00:00:00"/>
    <s v="PS SpongeBob Facepiece 1-20PK"/>
    <x v="70"/>
    <n v="2.3599999999999997E-3"/>
    <n v="210"/>
    <x v="16"/>
    <x v="24"/>
    <n v="0.96"/>
    <n v="36864"/>
    <n v="86.999039999999994"/>
    <n v="175.54285714285714"/>
    <s v="Oct"/>
    <x v="33"/>
    <m/>
    <m/>
  </r>
  <r>
    <n v="64341108"/>
    <x v="7"/>
    <n v="38400"/>
    <d v="2026-12-07T00:00:00"/>
    <s v="PS SpongeBob Facepiece 1-20PK"/>
    <x v="70"/>
    <n v="2.3599999999999997E-3"/>
    <n v="210"/>
    <x v="16"/>
    <x v="24"/>
    <n v="0.96"/>
    <n v="36864"/>
    <n v="86.999039999999994"/>
    <n v="175.54285714285714"/>
    <s v="Dec"/>
    <x v="44"/>
    <m/>
    <m/>
  </r>
  <r>
    <n v="64830947"/>
    <x v="13"/>
    <m/>
    <d v="2026-03-30T00:00:00"/>
    <s v="MG Mini Double Caramel RFA 1(3) 6PK"/>
    <x v="69"/>
    <n v="9.8999999999999999E-4"/>
    <n v="296"/>
    <x v="21"/>
    <x v="36"/>
    <n v="0.96"/>
    <n v="0"/>
    <n v="0"/>
    <n v="0"/>
    <s v="Mar"/>
    <x v="20"/>
    <m/>
    <m/>
  </r>
  <r>
    <n v="64987233"/>
    <x v="11"/>
    <n v="38438"/>
    <d v="2026-04-13T00:00:00"/>
    <s v="BJ US-Bar-StrawberryCHSCAKE 8-4pk"/>
    <x v="69"/>
    <n v="2.3999999999999998E-3"/>
    <n v="165"/>
    <x v="24"/>
    <x v="45"/>
    <n v="0.96"/>
    <n v="36900.479999999996"/>
    <n v="88.561151999999979"/>
    <n v="223.6392727272727"/>
    <s v="Apr"/>
    <x v="25"/>
    <m/>
    <m/>
  </r>
  <r>
    <n v="65539504"/>
    <x v="1"/>
    <n v="38500"/>
    <d v="2026-04-27T00:00:00"/>
    <s v="MG Bars Dubai Chocolate 8-3pk"/>
    <x v="99"/>
    <n v="1.9199999999999998E-3"/>
    <n v="210"/>
    <x v="5"/>
    <x v="6"/>
    <n v="0.96"/>
    <n v="36960"/>
    <n v="70.963200000000001"/>
    <n v="176"/>
    <s v="Apr"/>
    <x v="21"/>
    <m/>
    <m/>
  </r>
  <r>
    <n v="68852583"/>
    <x v="0"/>
    <n v="38880"/>
    <d v="2026-04-20T00:00:00"/>
    <s v="KL Cookies and Creme Bar 12-6PK"/>
    <x v="75"/>
    <n v="8.5199999999999998E-3"/>
    <n v="132"/>
    <x v="1"/>
    <x v="2"/>
    <n v="0.96"/>
    <n v="37324.799999999996"/>
    <n v="318.00729599999994"/>
    <n v="282.76363636363635"/>
    <s v="Apr"/>
    <x v="40"/>
    <m/>
    <m/>
  </r>
  <r>
    <n v="84163605"/>
    <x v="3"/>
    <n v="38880"/>
    <d v="2026-04-06T00:00:00"/>
    <s v="BJ US-IC-ChocTherapy-FTNG-8 1PT"/>
    <x v="72"/>
    <n v="3.7853439999999999E-3"/>
    <n v="240"/>
    <x v="3"/>
    <x v="13"/>
    <n v="0.95"/>
    <n v="36936"/>
    <n v="139.81546598399999"/>
    <n v="153.9"/>
    <s v="Apr"/>
    <x v="23"/>
    <m/>
    <m/>
  </r>
  <r>
    <n v="64789262"/>
    <x v="0"/>
    <n v="39000"/>
    <d v="2026-05-11T00:00:00"/>
    <s v="GH Cookies+Cream 1-24BK OOH"/>
    <x v="60"/>
    <n v="2.8319999999999999E-3"/>
    <n v="225"/>
    <x v="7"/>
    <x v="8"/>
    <n v="0.96"/>
    <n v="37440"/>
    <n v="106.03008"/>
    <n v="166.4"/>
    <s v="May"/>
    <x v="26"/>
    <m/>
    <m/>
  </r>
  <r>
    <n v="64789262"/>
    <x v="0"/>
    <n v="39000"/>
    <d v="2026-05-18T00:00:00"/>
    <s v="GH Cookies+Cream 1-24BK OOH"/>
    <x v="60"/>
    <n v="2.8319999999999999E-3"/>
    <n v="225"/>
    <x v="7"/>
    <x v="8"/>
    <n v="0.96"/>
    <n v="37440"/>
    <n v="106.03008"/>
    <n v="166.4"/>
    <s v="May"/>
    <x v="39"/>
    <m/>
    <m/>
  </r>
  <r>
    <n v="68741714"/>
    <x v="0"/>
    <n v="39000"/>
    <d v="2026-05-04T00:00:00"/>
    <s v="GH Strawberry Shortcake 1-24BK"/>
    <x v="60"/>
    <n v="2.8319999999999999E-3"/>
    <n v="225"/>
    <x v="7"/>
    <x v="8"/>
    <n v="0.96"/>
    <n v="37440"/>
    <n v="106.03008"/>
    <n v="166.4"/>
    <s v="May"/>
    <x v="24"/>
    <m/>
    <m/>
  </r>
  <r>
    <n v="68850684"/>
    <x v="0"/>
    <m/>
    <d v="2026-03-30T00:00:00"/>
    <s v="BR French Vanilla 6-1.5QT"/>
    <x v="78"/>
    <n v="8.5199999999999998E-3"/>
    <n v="176"/>
    <x v="0"/>
    <x v="0"/>
    <n v="0.94"/>
    <n v="0"/>
    <n v="0"/>
    <n v="0"/>
    <s v="Mar"/>
    <x v="20"/>
    <m/>
    <m/>
  </r>
  <r>
    <n v="68817793"/>
    <x v="0"/>
    <n v="39000"/>
    <d v="2026-05-04T00:00:00"/>
    <s v="BR Mint CHOC Chip 6 1.5QT"/>
    <x v="73"/>
    <n v="8.5199999999999998E-3"/>
    <n v="176"/>
    <x v="0"/>
    <x v="0"/>
    <n v="0.94"/>
    <n v="36660"/>
    <n v="312.34319999999997"/>
    <n v="208.29545454545453"/>
    <s v="May"/>
    <x v="24"/>
    <m/>
    <m/>
  </r>
  <r>
    <n v="68817799"/>
    <x v="0"/>
    <n v="39000"/>
    <d v="2026-04-06T00:00:00"/>
    <s v="BR Strawberry 6 1.5QT"/>
    <x v="73"/>
    <n v="8.5199999999999998E-3"/>
    <n v="176"/>
    <x v="0"/>
    <x v="0"/>
    <n v="0.94"/>
    <n v="36660"/>
    <n v="312.34319999999997"/>
    <n v="208.29545454545453"/>
    <s v="Apr"/>
    <x v="23"/>
    <m/>
    <m/>
  </r>
  <r>
    <n v="68817799"/>
    <x v="0"/>
    <n v="39000"/>
    <d v="2026-04-27T00:00:00"/>
    <s v="BR Strawberry 6 1.5QT"/>
    <x v="73"/>
    <n v="8.5199999999999998E-3"/>
    <n v="176"/>
    <x v="0"/>
    <x v="0"/>
    <n v="0.94"/>
    <n v="36660"/>
    <n v="312.34319999999997"/>
    <n v="208.29545454545453"/>
    <s v="Apr"/>
    <x v="21"/>
    <m/>
    <m/>
  </r>
  <r>
    <n v="68817799"/>
    <x v="0"/>
    <n v="39000"/>
    <d v="2026-05-18T00:00:00"/>
    <s v="BR Strawberry 6 1.5QT"/>
    <x v="73"/>
    <n v="8.5199999999999998E-3"/>
    <n v="176"/>
    <x v="0"/>
    <x v="0"/>
    <n v="0.94"/>
    <n v="36660"/>
    <n v="312.34319999999997"/>
    <n v="208.29545454545453"/>
    <s v="May"/>
    <x v="39"/>
    <m/>
    <m/>
  </r>
  <r>
    <n v="68881270"/>
    <x v="0"/>
    <n v="39000"/>
    <d v="2026-05-25T00:00:00"/>
    <s v="BR Cookies and Cream 6 1.5QT"/>
    <x v="73"/>
    <n v="8.5199999999999998E-3"/>
    <n v="176"/>
    <x v="0"/>
    <x v="0"/>
    <n v="0.94"/>
    <n v="36660"/>
    <n v="312.34319999999997"/>
    <n v="208.29545454545453"/>
    <s v="May"/>
    <x v="46"/>
    <m/>
    <m/>
  </r>
  <r>
    <n v="68930545"/>
    <x v="0"/>
    <n v="39000"/>
    <d v="2026-04-20T00:00:00"/>
    <s v="BR CS VAN CHOC Straw 6 1.5QT"/>
    <x v="73"/>
    <n v="8.5199999999999998E-3"/>
    <n v="176"/>
    <x v="0"/>
    <x v="0"/>
    <n v="0.94"/>
    <n v="36660"/>
    <n v="312.34319999999997"/>
    <n v="208.29545454545453"/>
    <s v="Apr"/>
    <x v="40"/>
    <m/>
    <m/>
  </r>
  <r>
    <n v="68930545"/>
    <x v="0"/>
    <n v="39000"/>
    <d v="2026-05-18T00:00:00"/>
    <s v="BR CS VAN CHOC Straw 6 1.5QT"/>
    <x v="73"/>
    <n v="8.5199999999999998E-3"/>
    <n v="176"/>
    <x v="0"/>
    <x v="0"/>
    <n v="0.94"/>
    <n v="36660"/>
    <n v="312.34319999999997"/>
    <n v="208.29545454545453"/>
    <s v="May"/>
    <x v="39"/>
    <m/>
    <m/>
  </r>
  <r>
    <n v="69700048"/>
    <x v="0"/>
    <n v="39000"/>
    <d v="2026-05-25T00:00:00"/>
    <s v="GH Reeses Bar 1-24BK"/>
    <x v="60"/>
    <n v="2.7360000000000002E-3"/>
    <n v="225"/>
    <x v="7"/>
    <x v="8"/>
    <n v="0.96"/>
    <n v="37440"/>
    <n v="102.43584"/>
    <n v="166.4"/>
    <s v="May"/>
    <x v="46"/>
    <m/>
    <m/>
  </r>
  <r>
    <n v="64315722"/>
    <x v="1"/>
    <n v="39000"/>
    <d v="2026-05-04T00:00:00"/>
    <s v="BR Pistachio Almond 6 1.5QT"/>
    <x v="83"/>
    <n v="8.5199999999999998E-3"/>
    <n v="176"/>
    <x v="0"/>
    <x v="1"/>
    <n v="0.94"/>
    <n v="36660"/>
    <n v="312.34319999999997"/>
    <n v="208.29545454545453"/>
    <s v="May"/>
    <x v="24"/>
    <m/>
    <m/>
  </r>
  <r>
    <n v="64373718"/>
    <x v="1"/>
    <n v="39000"/>
    <d v="2026-05-18T00:00:00"/>
    <s v="BR Smores 6 1.5QT"/>
    <x v="83"/>
    <n v="8.5199999999999998E-3"/>
    <n v="176"/>
    <x v="0"/>
    <x v="1"/>
    <n v="0.94"/>
    <n v="36660"/>
    <n v="312.34319999999997"/>
    <n v="208.29545454545453"/>
    <s v="May"/>
    <x v="39"/>
    <m/>
    <m/>
  </r>
  <r>
    <n v="64389650"/>
    <x v="1"/>
    <n v="39000"/>
    <d v="2026-04-27T00:00:00"/>
    <s v="BR CS Rocky Road 6p 1.5QT"/>
    <x v="83"/>
    <n v="8.5199999999999998E-3"/>
    <n v="176"/>
    <x v="0"/>
    <x v="1"/>
    <n v="0.94"/>
    <n v="36660"/>
    <n v="312.34319999999997"/>
    <n v="208.29545454545453"/>
    <s v="Apr"/>
    <x v="21"/>
    <m/>
    <m/>
  </r>
  <r>
    <n v="64389650"/>
    <x v="1"/>
    <n v="39000"/>
    <d v="2026-05-18T00:00:00"/>
    <s v="BR CS Rocky Road 6p 1.5QT"/>
    <x v="89"/>
    <n v="8.5199999999999998E-3"/>
    <n v="176"/>
    <x v="0"/>
    <x v="1"/>
    <n v="0.94"/>
    <n v="36660"/>
    <n v="312.34319999999997"/>
    <n v="208.29545454545453"/>
    <s v="May"/>
    <x v="39"/>
    <m/>
    <m/>
  </r>
  <r>
    <n v="64389651"/>
    <x v="1"/>
    <n v="39000"/>
    <d v="2026-05-04T00:00:00"/>
    <s v="BR Strawberry Shortcake 6 1.5QT"/>
    <x v="89"/>
    <n v="8.5199999999999998E-3"/>
    <n v="176"/>
    <x v="0"/>
    <x v="1"/>
    <n v="0.94"/>
    <n v="36660"/>
    <n v="312.34319999999997"/>
    <n v="208.29545454545453"/>
    <s v="May"/>
    <x v="24"/>
    <m/>
    <m/>
  </r>
  <r>
    <n v="64389651"/>
    <x v="1"/>
    <n v="39000"/>
    <d v="2026-05-11T00:00:00"/>
    <s v="BR Strawberry Shortcake 6 1.5QT"/>
    <x v="89"/>
    <n v="8.5199999999999998E-3"/>
    <n v="176"/>
    <x v="0"/>
    <x v="1"/>
    <n v="0.94"/>
    <n v="36660"/>
    <n v="312.34319999999997"/>
    <n v="208.29545454545453"/>
    <s v="May"/>
    <x v="26"/>
    <m/>
    <m/>
  </r>
  <r>
    <n v="64775327"/>
    <x v="1"/>
    <n v="39000"/>
    <d v="2026-05-11T00:00:00"/>
    <s v="BR CS Brownie A La Mode 6 1.5QT"/>
    <x v="83"/>
    <n v="8.5199999999999998E-3"/>
    <n v="176"/>
    <x v="0"/>
    <x v="1"/>
    <n v="0.94"/>
    <n v="36660"/>
    <n v="312.34319999999997"/>
    <n v="208.29545454545453"/>
    <s v="May"/>
    <x v="26"/>
    <m/>
    <m/>
  </r>
  <r>
    <n v="64775327"/>
    <x v="1"/>
    <n v="39000"/>
    <d v="2026-04-27T00:00:00"/>
    <s v="BR CS Brownie A La Mode 6 1.5QT"/>
    <x v="89"/>
    <n v="8.5199999999999998E-3"/>
    <n v="176"/>
    <x v="0"/>
    <x v="1"/>
    <n v="0.94"/>
    <n v="36660"/>
    <n v="312.34319999999997"/>
    <n v="208.29545454545453"/>
    <s v="Apr"/>
    <x v="21"/>
    <m/>
    <m/>
  </r>
  <r>
    <n v="64988055"/>
    <x v="1"/>
    <n v="39000"/>
    <d v="2026-04-27T00:00:00"/>
    <s v="BR CO-B NY Style Cheesecake 6 1.5QT"/>
    <x v="83"/>
    <n v="8.513999999999999E-3"/>
    <n v="176"/>
    <x v="0"/>
    <x v="1"/>
    <n v="0.94"/>
    <n v="36660"/>
    <n v="312.12323999999995"/>
    <n v="208.29545454545453"/>
    <s v="Apr"/>
    <x v="21"/>
    <m/>
    <m/>
  </r>
  <r>
    <n v="64988055"/>
    <x v="1"/>
    <n v="39000"/>
    <d v="2026-05-25T00:00:00"/>
    <s v="BR CO-B NY Style Cheesecake 6 1.5QT"/>
    <x v="83"/>
    <n v="8.513999999999999E-3"/>
    <n v="176"/>
    <x v="0"/>
    <x v="1"/>
    <n v="0.94"/>
    <n v="36660"/>
    <n v="312.12323999999995"/>
    <n v="208.29545454545453"/>
    <s v="May"/>
    <x v="46"/>
    <m/>
    <m/>
  </r>
  <r>
    <n v="64988056"/>
    <x v="1"/>
    <n v="39000"/>
    <d v="2026-04-27T00:00:00"/>
    <s v="BR Butter Pecan 6 1.5QT"/>
    <x v="89"/>
    <n v="8.513999999999999E-3"/>
    <n v="176"/>
    <x v="0"/>
    <x v="1"/>
    <n v="0.94"/>
    <n v="36660"/>
    <n v="312.12323999999995"/>
    <n v="208.29545454545453"/>
    <s v="Apr"/>
    <x v="21"/>
    <m/>
    <m/>
  </r>
  <r>
    <n v="64988056"/>
    <x v="1"/>
    <n v="39000"/>
    <d v="2026-05-04T00:00:00"/>
    <s v="BR Butter Pecan 6 1.5QT"/>
    <x v="89"/>
    <n v="8.513999999999999E-3"/>
    <n v="176"/>
    <x v="0"/>
    <x v="1"/>
    <n v="0.94"/>
    <n v="36660"/>
    <n v="312.12323999999995"/>
    <n v="208.29545454545453"/>
    <s v="May"/>
    <x v="24"/>
    <m/>
    <m/>
  </r>
  <r>
    <n v="64988056"/>
    <x v="1"/>
    <n v="39000"/>
    <d v="2026-05-11T00:00:00"/>
    <s v="BR Butter Pecan 6 1.5QT"/>
    <x v="89"/>
    <n v="8.513999999999999E-3"/>
    <n v="176"/>
    <x v="0"/>
    <x v="1"/>
    <n v="0.94"/>
    <n v="36660"/>
    <n v="312.12323999999995"/>
    <n v="208.29545454545453"/>
    <s v="May"/>
    <x v="26"/>
    <m/>
    <m/>
  </r>
  <r>
    <n v="64988056"/>
    <x v="1"/>
    <n v="39000"/>
    <d v="2026-05-18T00:00:00"/>
    <s v="BR Butter Pecan 6 1.5QT"/>
    <x v="89"/>
    <n v="8.513999999999999E-3"/>
    <n v="176"/>
    <x v="0"/>
    <x v="1"/>
    <n v="0.94"/>
    <n v="36660"/>
    <n v="312.12323999999995"/>
    <n v="208.29545454545453"/>
    <s v="May"/>
    <x v="39"/>
    <m/>
    <m/>
  </r>
  <r>
    <n v="68821728"/>
    <x v="1"/>
    <n v="39000"/>
    <d v="2026-05-04T00:00:00"/>
    <s v="BR Rocky Road 6 1.5QT"/>
    <x v="83"/>
    <n v="8.5199999999999998E-3"/>
    <n v="176"/>
    <x v="0"/>
    <x v="1"/>
    <n v="0.94"/>
    <n v="36660"/>
    <n v="312.34319999999997"/>
    <n v="208.29545454545453"/>
    <s v="May"/>
    <x v="24"/>
    <m/>
    <m/>
  </r>
  <r>
    <n v="68821728"/>
    <x v="1"/>
    <n v="39000"/>
    <d v="2026-05-11T00:00:00"/>
    <s v="BR Rocky Road 6 1.5QT"/>
    <x v="83"/>
    <n v="8.5199999999999998E-3"/>
    <n v="176"/>
    <x v="0"/>
    <x v="1"/>
    <n v="0.94"/>
    <n v="36660"/>
    <n v="312.34319999999997"/>
    <n v="208.29545454545453"/>
    <s v="May"/>
    <x v="26"/>
    <m/>
    <m/>
  </r>
  <r>
    <n v="69999267"/>
    <x v="3"/>
    <n v="39200"/>
    <d v="2026-04-06T00:00:00"/>
    <s v="BJ US-IC-GimmeSmore-8 1PT"/>
    <x v="77"/>
    <n v="3.7839999999999996E-3"/>
    <n v="240"/>
    <x v="3"/>
    <x v="13"/>
    <n v="0.95"/>
    <n v="37240"/>
    <n v="140.91615999999999"/>
    <n v="155.16666666666666"/>
    <s v="Apr"/>
    <x v="23"/>
    <m/>
    <m/>
  </r>
  <r>
    <n v="68689251"/>
    <x v="0"/>
    <n v="24920"/>
    <d v="2026-03-30T00:00:00"/>
    <s v="KL Original Vanilla Bar 12-6PK"/>
    <x v="79"/>
    <n v="9.5760000000000012E-3"/>
    <n v="132"/>
    <x v="1"/>
    <x v="2"/>
    <n v="0.96"/>
    <n v="23923.200000000001"/>
    <n v="229.08856320000004"/>
    <n v="181.23636363636365"/>
    <s v="Mar"/>
    <x v="20"/>
    <m/>
    <m/>
  </r>
  <r>
    <n v="68850683"/>
    <x v="0"/>
    <n v="39600"/>
    <d v="2026-04-06T00:00:00"/>
    <s v="BR Homemade Vanilla 6-1.5QT"/>
    <x v="78"/>
    <n v="8.5199999999999998E-3"/>
    <n v="176"/>
    <x v="0"/>
    <x v="0"/>
    <n v="0.94"/>
    <n v="37224"/>
    <n v="317.14848000000001"/>
    <n v="211.5"/>
    <s v="Apr"/>
    <x v="23"/>
    <m/>
    <m/>
  </r>
  <r>
    <n v="68850684"/>
    <x v="0"/>
    <n v="39600"/>
    <d v="2026-04-27T00:00:00"/>
    <s v="BR French Vanilla 6-1.5QT"/>
    <x v="78"/>
    <n v="8.5199999999999998E-3"/>
    <n v="176"/>
    <x v="0"/>
    <x v="0"/>
    <n v="0.94"/>
    <n v="37224"/>
    <n v="317.14848000000001"/>
    <n v="211.5"/>
    <s v="Apr"/>
    <x v="21"/>
    <m/>
    <m/>
  </r>
  <r>
    <n v="64330611"/>
    <x v="1"/>
    <n v="39600"/>
    <d v="2026-05-18T00:00:00"/>
    <s v="MG Double Caramel Bar 8-3PK"/>
    <x v="99"/>
    <n v="2.16E-3"/>
    <n v="210"/>
    <x v="5"/>
    <x v="6"/>
    <n v="0.96"/>
    <n v="38016"/>
    <n v="82.114559999999997"/>
    <n v="181.02857142857144"/>
    <s v="May"/>
    <x v="39"/>
    <m/>
    <m/>
  </r>
  <r>
    <n v="64367657"/>
    <x v="1"/>
    <n v="39600"/>
    <d v="2026-05-25T00:00:00"/>
    <s v="TAL LYR CHOC Chip CKE Batter 8p 311.3g"/>
    <x v="87"/>
    <n v="3.552E-3"/>
    <n v="255"/>
    <x v="2"/>
    <x v="3"/>
    <n v="0.96"/>
    <n v="38016"/>
    <n v="135.03283200000001"/>
    <n v="149.08235294117648"/>
    <s v="May"/>
    <x v="46"/>
    <m/>
    <m/>
  </r>
  <r>
    <n v="64393723"/>
    <x v="1"/>
    <n v="39600"/>
    <d v="2026-05-18T00:00:00"/>
    <s v="MG Double Chocolate Bar 8-3PK"/>
    <x v="99"/>
    <n v="2.16E-3"/>
    <n v="210"/>
    <x v="5"/>
    <x v="6"/>
    <n v="0.96"/>
    <n v="38016"/>
    <n v="82.114559999999997"/>
    <n v="181.02857142857144"/>
    <s v="May"/>
    <x v="39"/>
    <m/>
    <m/>
  </r>
  <r>
    <n v="64968813"/>
    <x v="1"/>
    <n v="39600"/>
    <d v="2026-05-18T00:00:00"/>
    <s v="TAL Alphonso Mango 8p 473ml"/>
    <x v="87"/>
    <n v="3.7839999999999996E-3"/>
    <n v="240"/>
    <x v="2"/>
    <x v="3"/>
    <n v="0.96"/>
    <n v="38016"/>
    <n v="143.85254399999999"/>
    <n v="158.4"/>
    <s v="May"/>
    <x v="39"/>
    <m/>
    <m/>
  </r>
  <r>
    <n v="68354588"/>
    <x v="1"/>
    <n v="39600"/>
    <d v="2026-04-06T00:00:00"/>
    <s v="BJ US-TOP-SLTDCRMLBRWNIE-8 450ml"/>
    <x v="88"/>
    <n v="3.5999999999999999E-3"/>
    <n v="240"/>
    <x v="8"/>
    <x v="9"/>
    <n v="0.96"/>
    <n v="38016"/>
    <n v="136.85759999999999"/>
    <n v="158.4"/>
    <s v="Apr"/>
    <x v="23"/>
    <m/>
    <m/>
  </r>
  <r>
    <n v="69991979"/>
    <x v="1"/>
    <n v="39600"/>
    <d v="2026-04-27T00:00:00"/>
    <s v="MG Cookie Duet 8-3PK"/>
    <x v="99"/>
    <n v="2.0400000000000001E-3"/>
    <n v="210"/>
    <x v="5"/>
    <x v="6"/>
    <n v="0.96"/>
    <n v="38016"/>
    <n v="77.552640000000011"/>
    <n v="181.02857142857144"/>
    <s v="Apr"/>
    <x v="21"/>
    <m/>
    <m/>
  </r>
  <r>
    <n v="64987232"/>
    <x v="11"/>
    <n v="39700"/>
    <d v="2026-05-11T00:00:00"/>
    <s v="BJ US-Bar-CHOCFUDGBrownie 8-4pk"/>
    <x v="69"/>
    <n v="2.3999999999999998E-3"/>
    <n v="165"/>
    <x v="24"/>
    <x v="45"/>
    <n v="0.96"/>
    <n v="38112"/>
    <n v="91.468799999999987"/>
    <n v="230.98181818181817"/>
    <s v="May"/>
    <x v="26"/>
    <m/>
    <m/>
  </r>
  <r>
    <n v="64988054"/>
    <x v="11"/>
    <n v="39700"/>
    <d v="2026-05-11T00:00:00"/>
    <s v="BJ US-Bar-Caramel Blondie 8-4pk"/>
    <x v="69"/>
    <n v="2.3999999999999998E-3"/>
    <n v="165"/>
    <x v="24"/>
    <x v="45"/>
    <n v="0.96"/>
    <n v="38112"/>
    <n v="91.468799999999987"/>
    <n v="230.98181818181817"/>
    <s v="May"/>
    <x v="26"/>
    <m/>
    <m/>
  </r>
  <r>
    <n v="64987233"/>
    <x v="11"/>
    <n v="39938"/>
    <d v="2026-03-30T00:00:00"/>
    <s v="BJ US-Bar-StrawberryCHSCAKE 8-4pk"/>
    <x v="69"/>
    <n v="2.3999999999999998E-3"/>
    <n v="165"/>
    <x v="24"/>
    <x v="45"/>
    <n v="0.96"/>
    <n v="38340.479999999996"/>
    <n v="92.017151999999982"/>
    <n v="232.36654545454542"/>
    <s v="Mar"/>
    <x v="20"/>
    <m/>
    <m/>
  </r>
  <r>
    <n v="64830947"/>
    <x v="13"/>
    <n v="40000"/>
    <d v="2026-04-13T00:00:00"/>
    <s v="MG Mini Double Caramel RFA 1(3) 6PK"/>
    <x v="69"/>
    <n v="9.8999999999999999E-4"/>
    <n v="296"/>
    <x v="21"/>
    <x v="36"/>
    <n v="0.96"/>
    <n v="38400"/>
    <n v="38.015999999999998"/>
    <n v="129.72972972972974"/>
    <s v="Apr"/>
    <x v="25"/>
    <m/>
    <m/>
  </r>
  <r>
    <n v="68709237"/>
    <x v="0"/>
    <n v="40320"/>
    <d v="2026-05-25T00:00:00"/>
    <s v="KL Chocolate/Chocolate Bar 12-6PK"/>
    <x v="85"/>
    <n v="9.5760000000000012E-3"/>
    <n v="132"/>
    <x v="1"/>
    <x v="2"/>
    <n v="0.96"/>
    <n v="38707.199999999997"/>
    <n v="370.66014720000004"/>
    <n v="293.23636363636359"/>
    <s v="May"/>
    <x v="46"/>
    <m/>
    <m/>
  </r>
  <r>
    <n v="68710285"/>
    <x v="0"/>
    <n v="40320"/>
    <d v="2026-05-18T00:00:00"/>
    <s v="KL Krunch Bar 12-6PK"/>
    <x v="75"/>
    <n v="9.5760000000000012E-3"/>
    <n v="132"/>
    <x v="1"/>
    <x v="2"/>
    <n v="0.96"/>
    <n v="38707.199999999997"/>
    <n v="370.66014720000004"/>
    <n v="293.23636363636359"/>
    <s v="May"/>
    <x v="39"/>
    <m/>
    <m/>
  </r>
  <r>
    <n v="64973976"/>
    <x v="8"/>
    <n v="40320"/>
    <d v="2026-06-22T00:00:00"/>
    <s v="BR Reeses Mini Cups 1-12PK"/>
    <x v="69"/>
    <n v="1.0644000000000001E-3"/>
    <n v="190"/>
    <x v="23"/>
    <x v="55"/>
    <n v="0.96"/>
    <n v="38707.199999999997"/>
    <n v="41.199943679999997"/>
    <n v="203.72210526315789"/>
    <s v="Jun"/>
    <x v="49"/>
    <m/>
    <m/>
  </r>
  <r>
    <n v="84136704"/>
    <x v="3"/>
    <n v="40320"/>
    <d v="2026-05-11T00:00:00"/>
    <s v="BJ US-IC-NewYrkSprFdgChnk-FTNG-8 1PT"/>
    <x v="77"/>
    <n v="3.7853439999999999E-3"/>
    <n v="240"/>
    <x v="3"/>
    <x v="13"/>
    <n v="0.95"/>
    <n v="38304"/>
    <n v="144.993816576"/>
    <n v="159.6"/>
    <s v="May"/>
    <x v="26"/>
    <m/>
    <m/>
  </r>
  <r>
    <n v="64977530"/>
    <x v="0"/>
    <n v="40480"/>
    <d v="2026-03-23T00:00:00"/>
    <s v="BR Hot Fudge Brownie Sundae 6p 1.5QT"/>
    <x v="74"/>
    <n v="8.513999999999999E-3"/>
    <n v="176"/>
    <x v="0"/>
    <x v="0"/>
    <n v="0.94"/>
    <n v="38051.199999999997"/>
    <n v="323.96791679999995"/>
    <n v="216.2"/>
    <s v="Mar"/>
    <x v="10"/>
    <m/>
    <m/>
  </r>
  <r>
    <n v="64958124"/>
    <x v="11"/>
    <n v="40500"/>
    <d v="2026-05-04T00:00:00"/>
    <s v="Yasso Cookies N Cream 8-4pk"/>
    <x v="69"/>
    <n v="3.3119999999999998E-3"/>
    <n v="165"/>
    <x v="4"/>
    <x v="32"/>
    <n v="0.96"/>
    <n v="38880"/>
    <n v="128.77055999999999"/>
    <n v="235.63636363636363"/>
    <s v="May"/>
    <x v="24"/>
    <m/>
    <m/>
  </r>
  <r>
    <n v="64958126"/>
    <x v="11"/>
    <n v="40500"/>
    <d v="2026-05-11T00:00:00"/>
    <s v="Yasso Black Raspberry Chip 8-4pk"/>
    <x v="69"/>
    <n v="3.3119999999999998E-3"/>
    <n v="165"/>
    <x v="4"/>
    <x v="32"/>
    <n v="0.96"/>
    <n v="38880"/>
    <n v="128.77055999999999"/>
    <n v="235.63636363636363"/>
    <s v="May"/>
    <x v="26"/>
    <m/>
    <m/>
  </r>
  <r>
    <n v="65218505"/>
    <x v="11"/>
    <n v="40500"/>
    <d v="2026-05-11T00:00:00"/>
    <s v="Yasso Chocolate Fudge Brownie 8-4pk"/>
    <x v="70"/>
    <n v="3.3119999999999998E-3"/>
    <n v="165"/>
    <x v="4"/>
    <x v="32"/>
    <n v="0.96"/>
    <n v="38880"/>
    <n v="128.77055999999999"/>
    <n v="235.63636363636363"/>
    <s v="May"/>
    <x v="26"/>
    <m/>
    <m/>
  </r>
  <r>
    <n v="64979444"/>
    <x v="7"/>
    <n v="40654"/>
    <d v="2026-07-20T00:00:00"/>
    <s v="PS Bluey Facepiece IH 6-6PK"/>
    <x v="70"/>
    <n v="2.16E-3"/>
    <n v="195"/>
    <x v="16"/>
    <x v="24"/>
    <n v="0.96"/>
    <n v="39027.839999999997"/>
    <n v="84.30013439999999"/>
    <n v="200.1427692307692"/>
    <s v="Jul"/>
    <x v="31"/>
    <m/>
    <m/>
  </r>
  <r>
    <n v="68709237"/>
    <x v="0"/>
    <n v="41040"/>
    <d v="2026-04-13T00:00:00"/>
    <s v="KL Chocolate/Chocolate Bar 12-6PK"/>
    <x v="85"/>
    <n v="9.5760000000000012E-3"/>
    <n v="132"/>
    <x v="1"/>
    <x v="2"/>
    <n v="0.96"/>
    <n v="39398.400000000001"/>
    <n v="377.27907840000006"/>
    <n v="298.4727272727273"/>
    <s v="Apr"/>
    <x v="25"/>
    <m/>
    <m/>
  </r>
  <r>
    <n v="68852591"/>
    <x v="0"/>
    <n v="41160"/>
    <d v="2026-05-18T00:00:00"/>
    <s v="KL Heath Bar 12-6PK"/>
    <x v="79"/>
    <n v="8.5199999999999998E-3"/>
    <n v="132"/>
    <x v="1"/>
    <x v="2"/>
    <n v="0.96"/>
    <n v="39513.599999999999"/>
    <n v="336.65587199999999"/>
    <n v="299.34545454545452"/>
    <s v="May"/>
    <x v="39"/>
    <m/>
    <m/>
  </r>
  <r>
    <n v="64979444"/>
    <x v="7"/>
    <n v="41606"/>
    <d v="2026-08-17T00:00:00"/>
    <s v="PS Bluey Facepiece IH 6-6PK"/>
    <x v="70"/>
    <n v="2.16E-3"/>
    <n v="195"/>
    <x v="16"/>
    <x v="24"/>
    <n v="0.96"/>
    <n v="39941.760000000002"/>
    <n v="86.274201600000012"/>
    <n v="204.82953846153848"/>
    <s v="Aug"/>
    <x v="29"/>
    <m/>
    <m/>
  </r>
  <r>
    <n v="64771676"/>
    <x v="7"/>
    <n v="41736"/>
    <d v="2026-08-10T00:00:00"/>
    <s v="PS SpongeBob Facepiece IH 6-6PK"/>
    <x v="70"/>
    <n v="2.16E-3"/>
    <n v="195"/>
    <x v="16"/>
    <x v="24"/>
    <n v="0.96"/>
    <n v="40066.559999999998"/>
    <n v="86.54376959999999"/>
    <n v="205.46953846153846"/>
    <s v="Aug"/>
    <x v="34"/>
    <m/>
    <m/>
  </r>
  <r>
    <n v="64987233"/>
    <x v="11"/>
    <n v="42000"/>
    <d v="2026-05-11T00:00:00"/>
    <s v="BJ US-Bar-StrawberryCHSCAKE 8-4pk"/>
    <x v="69"/>
    <n v="2.3999999999999998E-3"/>
    <n v="165"/>
    <x v="24"/>
    <x v="45"/>
    <n v="0.96"/>
    <n v="40320"/>
    <n v="96.767999999999986"/>
    <n v="244.36363636363637"/>
    <s v="May"/>
    <x v="26"/>
    <m/>
    <m/>
  </r>
  <r>
    <n v="65459033"/>
    <x v="1"/>
    <n v="42000"/>
    <d v="2026-05-04T00:00:00"/>
    <s v="BR Strawberry Shortcake 8 1PT"/>
    <x v="66"/>
    <n v="3.7839999999999996E-3"/>
    <n v="240"/>
    <x v="17"/>
    <x v="44"/>
    <n v="0.96"/>
    <n v="40320"/>
    <n v="152.57087999999999"/>
    <n v="168"/>
    <s v="May"/>
    <x v="24"/>
    <m/>
    <m/>
  </r>
  <r>
    <n v="65471855"/>
    <x v="1"/>
    <n v="42000"/>
    <d v="2026-04-13T00:00:00"/>
    <s v="BR Creamsicle 8 1PT"/>
    <x v="66"/>
    <n v="3.7839999999999996E-3"/>
    <n v="240"/>
    <x v="17"/>
    <x v="44"/>
    <n v="0.96"/>
    <n v="40320"/>
    <n v="152.57087999999999"/>
    <n v="168"/>
    <s v="Apr"/>
    <x v="25"/>
    <m/>
    <m/>
  </r>
  <r>
    <n v="69999268"/>
    <x v="1"/>
    <n v="42000"/>
    <d v="2026-05-11T00:00:00"/>
    <s v="BJ US-IC-ChurrayForChurros-8 1PT"/>
    <x v="66"/>
    <n v="3.7839999999999996E-3"/>
    <n v="240"/>
    <x v="3"/>
    <x v="12"/>
    <n v="0.95"/>
    <n v="39900"/>
    <n v="150.98159999999999"/>
    <n v="166.25"/>
    <s v="May"/>
    <x v="26"/>
    <m/>
    <m/>
  </r>
  <r>
    <n v="84135781"/>
    <x v="1"/>
    <n v="42000"/>
    <d v="2026-04-20T00:00:00"/>
    <s v="BJ US-IC-Vanilla-FTNG-8 1PT"/>
    <x v="66"/>
    <n v="3.7853439999999999E-3"/>
    <n v="240"/>
    <x v="3"/>
    <x v="12"/>
    <n v="0.95"/>
    <n v="39900"/>
    <n v="151.03522559999999"/>
    <n v="166.25"/>
    <s v="Apr"/>
    <x v="40"/>
    <m/>
    <m/>
  </r>
  <r>
    <n v="84144598"/>
    <x v="1"/>
    <n v="42000"/>
    <d v="2026-05-18T00:00:00"/>
    <s v="BJ US-IC-VanillaCaramelFdg-FTNG-8 1PT"/>
    <x v="66"/>
    <n v="3.7853439999999999E-3"/>
    <n v="240"/>
    <x v="3"/>
    <x v="12"/>
    <n v="0.95"/>
    <n v="39900"/>
    <n v="151.03522559999999"/>
    <n v="166.25"/>
    <s v="May"/>
    <x v="39"/>
    <m/>
    <m/>
  </r>
  <r>
    <n v="68817796"/>
    <x v="0"/>
    <n v="42276"/>
    <d v="2026-05-11T00:00:00"/>
    <s v="BR XCRMY Vanilla 6 1.5QT"/>
    <x v="78"/>
    <n v="8.513999999999999E-3"/>
    <n v="176"/>
    <x v="0"/>
    <x v="0"/>
    <n v="0.94"/>
    <n v="39739.439999999995"/>
    <n v="338.34159215999989"/>
    <n v="225.79227272727269"/>
    <s v="May"/>
    <x v="26"/>
    <m/>
    <m/>
  </r>
  <r>
    <n v="68850683"/>
    <x v="0"/>
    <n v="42276"/>
    <d v="2026-04-27T00:00:00"/>
    <s v="BR Homemade Vanilla 6-1.5QT"/>
    <x v="78"/>
    <n v="8.5199999999999998E-3"/>
    <n v="176"/>
    <x v="0"/>
    <x v="0"/>
    <n v="0.94"/>
    <n v="39739.439999999995"/>
    <n v="338.58002879999992"/>
    <n v="225.79227272727269"/>
    <s v="Apr"/>
    <x v="21"/>
    <m/>
    <m/>
  </r>
  <r>
    <n v="68850683"/>
    <x v="0"/>
    <n v="42276"/>
    <d v="2026-05-04T00:00:00"/>
    <s v="BR Homemade Vanilla 6-1.5QT"/>
    <x v="78"/>
    <n v="8.5199999999999998E-3"/>
    <n v="176"/>
    <x v="0"/>
    <x v="0"/>
    <n v="0.94"/>
    <n v="39739.439999999995"/>
    <n v="338.58002879999992"/>
    <n v="225.79227272727269"/>
    <s v="May"/>
    <x v="24"/>
    <m/>
    <m/>
  </r>
  <r>
    <n v="68850683"/>
    <x v="0"/>
    <n v="42276"/>
    <d v="2026-05-25T00:00:00"/>
    <s v="BR Homemade Vanilla 6-1.5QT"/>
    <x v="78"/>
    <n v="8.5199999999999998E-3"/>
    <n v="176"/>
    <x v="0"/>
    <x v="0"/>
    <n v="0.94"/>
    <n v="39739.439999999995"/>
    <n v="338.58002879999992"/>
    <n v="225.79227272727269"/>
    <s v="May"/>
    <x v="46"/>
    <m/>
    <m/>
  </r>
  <r>
    <n v="68851104"/>
    <x v="0"/>
    <n v="42276"/>
    <d v="2026-05-18T00:00:00"/>
    <s v="BR Chocolate 6-1.5QT"/>
    <x v="78"/>
    <n v="8.5199999999999998E-3"/>
    <n v="176"/>
    <x v="0"/>
    <x v="0"/>
    <n v="0.94"/>
    <n v="39739.439999999995"/>
    <n v="338.58002879999992"/>
    <n v="225.79227272727269"/>
    <s v="May"/>
    <x v="39"/>
    <m/>
    <m/>
  </r>
  <r>
    <n v="68851107"/>
    <x v="0"/>
    <n v="42276"/>
    <d v="2026-05-04T00:00:00"/>
    <s v="BR NAT Vanilla 6-1.5QT"/>
    <x v="78"/>
    <n v="8.5199999999999998E-3"/>
    <n v="176"/>
    <x v="0"/>
    <x v="0"/>
    <n v="0.94"/>
    <n v="39739.439999999995"/>
    <n v="338.58002879999992"/>
    <n v="225.79227272727269"/>
    <s v="May"/>
    <x v="24"/>
    <m/>
    <m/>
  </r>
  <r>
    <n v="68851107"/>
    <x v="0"/>
    <n v="42276"/>
    <d v="2026-05-11T00:00:00"/>
    <s v="BR NAT Vanilla 6-1.5QT"/>
    <x v="78"/>
    <n v="8.5199999999999998E-3"/>
    <n v="176"/>
    <x v="0"/>
    <x v="0"/>
    <n v="0.94"/>
    <n v="39739.439999999995"/>
    <n v="338.58002879999992"/>
    <n v="225.79227272727269"/>
    <s v="May"/>
    <x v="26"/>
    <m/>
    <m/>
  </r>
  <r>
    <n v="64341108"/>
    <x v="7"/>
    <n v="42600"/>
    <d v="2026-09-28T00:00:00"/>
    <s v="PS SpongeBob Facepiece 1-20PK"/>
    <x v="70"/>
    <n v="2.3599999999999997E-3"/>
    <n v="210"/>
    <x v="16"/>
    <x v="24"/>
    <n v="0.96"/>
    <n v="40896"/>
    <n v="96.514559999999989"/>
    <n v="194.74285714285713"/>
    <s v="Sep"/>
    <x v="17"/>
    <m/>
    <m/>
  </r>
  <r>
    <n v="64956417"/>
    <x v="7"/>
    <m/>
    <d v="2026-03-30T00:00:00"/>
    <s v="PS Hello Kitty Facepiece IH 6-6PK"/>
    <x v="70"/>
    <n v="2.16E-3"/>
    <n v="143"/>
    <x v="16"/>
    <x v="24"/>
    <n v="0.96"/>
    <n v="0"/>
    <n v="0"/>
    <n v="0"/>
    <s v="Mar"/>
    <x v="20"/>
    <m/>
    <m/>
  </r>
  <r>
    <n v="68354588"/>
    <x v="1"/>
    <n v="42900"/>
    <d v="2026-05-25T00:00:00"/>
    <s v="BJ US-TOP-SLTDCRMLBRWNIE-8 450ml"/>
    <x v="88"/>
    <n v="3.5999999999999999E-3"/>
    <n v="240"/>
    <x v="8"/>
    <x v="9"/>
    <n v="0.96"/>
    <n v="41184"/>
    <n v="148.26239999999999"/>
    <n v="171.6"/>
    <s v="May"/>
    <x v="46"/>
    <m/>
    <m/>
  </r>
  <r>
    <n v="68821728"/>
    <x v="1"/>
    <n v="43000"/>
    <d v="2026-04-06T00:00:00"/>
    <s v="BR Rocky Road 6 1.5QT"/>
    <x v="83"/>
    <n v="8.5199999999999998E-3"/>
    <n v="176"/>
    <x v="0"/>
    <x v="1"/>
    <n v="0.94"/>
    <n v="40420"/>
    <n v="344.3784"/>
    <n v="229.65909090909091"/>
    <s v="Apr"/>
    <x v="23"/>
    <m/>
    <m/>
  </r>
  <r>
    <n v="69797288"/>
    <x v="3"/>
    <n v="43400"/>
    <d v="2026-04-13T00:00:00"/>
    <s v="BJ US-NDO-Strawberry Chscake-8 1PT"/>
    <x v="86"/>
    <n v="3.7839999999999996E-3"/>
    <n v="240"/>
    <x v="3"/>
    <x v="13"/>
    <n v="0.95"/>
    <n v="41230"/>
    <n v="156.01431999999997"/>
    <n v="171.79166666666666"/>
    <s v="Apr"/>
    <x v="25"/>
    <m/>
    <m/>
  </r>
  <r>
    <n v="64957257"/>
    <x v="16"/>
    <m/>
    <d v="2026-05-18T00:00:00"/>
    <s v="Yasso Vanilla Bean Sandwich 8-3pk"/>
    <x v="69"/>
    <n v="2.4880000000000002E-3"/>
    <n v="180"/>
    <x v="25"/>
    <x v="47"/>
    <n v="0.96"/>
    <n v="0"/>
    <n v="0"/>
    <n v="0"/>
    <s v="May"/>
    <x v="39"/>
    <m/>
    <m/>
  </r>
  <r>
    <n v="68817793"/>
    <x v="0"/>
    <n v="43875"/>
    <d v="2026-04-06T00:00:00"/>
    <s v="BR Mint CHOC Chip 6 1.5QT"/>
    <x v="73"/>
    <n v="8.5199999999999998E-3"/>
    <n v="176"/>
    <x v="0"/>
    <x v="0"/>
    <n v="0.94"/>
    <n v="41242.5"/>
    <n v="351.3861"/>
    <n v="234.33238636363637"/>
    <s v="Apr"/>
    <x v="23"/>
    <m/>
    <m/>
  </r>
  <r>
    <n v="68689251"/>
    <x v="0"/>
    <n v="43880"/>
    <d v="2026-04-13T00:00:00"/>
    <s v="KL Original Vanilla Bar 12-6PK"/>
    <x v="75"/>
    <n v="9.5760000000000012E-3"/>
    <n v="132"/>
    <x v="1"/>
    <x v="2"/>
    <n v="0.96"/>
    <n v="42124.799999999996"/>
    <n v="403.38708480000003"/>
    <n v="319.12727272727267"/>
    <s v="Apr"/>
    <x v="25"/>
    <m/>
    <m/>
  </r>
  <r>
    <n v="64979444"/>
    <x v="7"/>
    <n v="44112"/>
    <d v="2026-04-20T00:00:00"/>
    <s v="PS Bluey Facepiece IH 6-6PK"/>
    <x v="70"/>
    <n v="2.16E-3"/>
    <n v="195"/>
    <x v="16"/>
    <x v="24"/>
    <n v="0.96"/>
    <n v="42347.519999999997"/>
    <n v="91.470643199999998"/>
    <n v="217.16676923076921"/>
    <s v="Apr"/>
    <x v="40"/>
    <m/>
    <m/>
  </r>
  <r>
    <n v="64999073"/>
    <x v="11"/>
    <n v="44375"/>
    <d v="2026-03-23T00:00:00"/>
    <s v="Yasso Cookies n Cream 8-14z"/>
    <x v="69"/>
    <n v="3.3119999999999998E-3"/>
    <n v="240"/>
    <x v="11"/>
    <x v="31"/>
    <n v="0.96"/>
    <n v="42600"/>
    <n v="141.09119999999999"/>
    <n v="177.5"/>
    <s v="Mar"/>
    <x v="10"/>
    <m/>
    <m/>
  </r>
  <r>
    <n v="68842352"/>
    <x v="19"/>
    <n v="44440"/>
    <d v="2026-04-13T00:00:00"/>
    <s v="KL Cones Classic Vanilla 6-4CT"/>
    <x v="70"/>
    <n v="2.6640000000000001E-3"/>
    <n v="220"/>
    <x v="22"/>
    <x v="48"/>
    <n v="0.96"/>
    <n v="42662.400000000001"/>
    <n v="113.65263360000002"/>
    <n v="193.92000000000002"/>
    <s v="Apr"/>
    <x v="25"/>
    <m/>
    <m/>
  </r>
  <r>
    <n v="64328806"/>
    <x v="8"/>
    <n v="44720"/>
    <d v="2026-05-25T00:00:00"/>
    <s v="KL Reeses SW 6-4PK"/>
    <x v="69"/>
    <n v="2.8380000000000002E-3"/>
    <n v="189"/>
    <x v="12"/>
    <x v="27"/>
    <n v="0.96"/>
    <n v="42931.199999999997"/>
    <n v="121.8387456"/>
    <n v="227.14920634920634"/>
    <s v="May"/>
    <x v="46"/>
    <m/>
    <m/>
  </r>
  <r>
    <n v="65489677"/>
    <x v="12"/>
    <n v="45000"/>
    <d v="2026-07-13T00:00:00"/>
    <s v="GH King Cone Giant VAN CHOC 1-12PK"/>
    <x v="69"/>
    <n v="2.8319999999999999E-3"/>
    <n v="221"/>
    <x v="17"/>
    <x v="34"/>
    <n v="0.96"/>
    <n v="43200"/>
    <n v="122.3424"/>
    <n v="195.47511312217193"/>
    <s v="Jul"/>
    <x v="48"/>
    <m/>
    <m/>
  </r>
  <r>
    <n v="64389651"/>
    <x v="1"/>
    <n v="45000"/>
    <d v="2026-04-20T00:00:00"/>
    <s v="BR Strawberry Shortcake 6 1.5QT"/>
    <x v="89"/>
    <n v="8.5199999999999998E-3"/>
    <n v="176"/>
    <x v="0"/>
    <x v="1"/>
    <n v="0.94"/>
    <n v="42300"/>
    <n v="360.39600000000002"/>
    <n v="240.34090909090909"/>
    <s v="Apr"/>
    <x v="40"/>
    <m/>
    <m/>
  </r>
  <r>
    <n v="64976837"/>
    <x v="1"/>
    <n v="45000"/>
    <d v="2026-05-25T00:00:00"/>
    <s v="Yasso Cherry Chocolate Crunch 8-4pk"/>
    <x v="65"/>
    <n v="2.5040000000000001E-3"/>
    <n v="165"/>
    <x v="4"/>
    <x v="5"/>
    <n v="0.96"/>
    <n v="43200"/>
    <n v="108.17280000000001"/>
    <n v="261.81818181818181"/>
    <s v="May"/>
    <x v="46"/>
    <m/>
    <m/>
  </r>
  <r>
    <n v="65431089"/>
    <x v="1"/>
    <n v="45000"/>
    <d v="2026-05-11T00:00:00"/>
    <s v="Talenti Passionfruit Sorbetto 8-1PT"/>
    <x v="98"/>
    <n v="3.7839999999999996E-3"/>
    <n v="255"/>
    <x v="2"/>
    <x v="3"/>
    <n v="0.96"/>
    <n v="43200"/>
    <n v="163.46879999999999"/>
    <n v="169.41176470588235"/>
    <s v="May"/>
    <x v="26"/>
    <m/>
    <m/>
  </r>
  <r>
    <n v="65472837"/>
    <x v="13"/>
    <n v="45000"/>
    <d v="2026-04-27T00:00:00"/>
    <s v="PS Twister Club 1-15pk"/>
    <x v="69"/>
    <n v="1.0400000000000001E-3"/>
    <n v="275"/>
    <x v="17"/>
    <x v="35"/>
    <n v="0.96"/>
    <n v="43200"/>
    <n v="44.928000000000004"/>
    <n v="157.09090909090909"/>
    <s v="Apr"/>
    <x v="21"/>
    <m/>
    <m/>
  </r>
  <r>
    <n v="64875812"/>
    <x v="8"/>
    <n v="45120"/>
    <d v="2026-06-01T00:00:00"/>
    <s v="KL Vanilla Sandwich 8-6 PK"/>
    <x v="69"/>
    <n v="6.0000000000000001E-3"/>
    <n v="108"/>
    <x v="12"/>
    <x v="27"/>
    <n v="0.96"/>
    <n v="43315.199999999997"/>
    <n v="259.89119999999997"/>
    <n v="401.06666666666666"/>
    <s v="Jun"/>
    <x v="13"/>
    <m/>
    <m/>
  </r>
  <r>
    <n v="68300738"/>
    <x v="0"/>
    <n v="45360"/>
    <d v="2026-04-27T00:00:00"/>
    <s v="KL REESES BAR 12-6 PK"/>
    <x v="85"/>
    <n v="8.4960000000000001E-3"/>
    <n v="132"/>
    <x v="1"/>
    <x v="2"/>
    <n v="0.96"/>
    <n v="43545.599999999999"/>
    <n v="369.96341760000001"/>
    <n v="329.89090909090908"/>
    <s v="Apr"/>
    <x v="21"/>
    <m/>
    <m/>
  </r>
  <r>
    <n v="68300738"/>
    <x v="0"/>
    <n v="45360"/>
    <d v="2026-05-11T00:00:00"/>
    <s v="KL REESES BAR 12-6 PK"/>
    <x v="85"/>
    <n v="8.4960000000000001E-3"/>
    <n v="132"/>
    <x v="1"/>
    <x v="2"/>
    <n v="0.96"/>
    <n v="43545.599999999999"/>
    <n v="369.96341760000001"/>
    <n v="329.89090909090908"/>
    <s v="May"/>
    <x v="26"/>
    <m/>
    <m/>
  </r>
  <r>
    <n v="68300738"/>
    <x v="0"/>
    <n v="45360"/>
    <d v="2026-05-18T00:00:00"/>
    <s v="KL REESES BAR 12-6 PK"/>
    <x v="85"/>
    <n v="8.4960000000000001E-3"/>
    <n v="132"/>
    <x v="1"/>
    <x v="2"/>
    <n v="0.96"/>
    <n v="43545.599999999999"/>
    <n v="369.96341760000001"/>
    <n v="329.89090909090908"/>
    <s v="May"/>
    <x v="39"/>
    <m/>
    <m/>
  </r>
  <r>
    <n v="67881629"/>
    <x v="3"/>
    <n v="45360"/>
    <d v="2026-05-04T00:00:00"/>
    <s v="BJ US-COR-BrownieBatter-8 1PT"/>
    <x v="72"/>
    <n v="3.7853439999999999E-3"/>
    <n v="240"/>
    <x v="3"/>
    <x v="13"/>
    <n v="0.95"/>
    <n v="43092"/>
    <n v="163.118043648"/>
    <n v="179.55"/>
    <s v="May"/>
    <x v="24"/>
    <m/>
    <m/>
  </r>
  <r>
    <n v="62714126"/>
    <x v="5"/>
    <n v="45500"/>
    <d v="2026-06-22T00:00:00"/>
    <s v="PS OCG SF 6-18PK"/>
    <x v="70"/>
    <n v="5.2680000000000001E-3"/>
    <n v="130"/>
    <x v="6"/>
    <x v="22"/>
    <n v="0.96"/>
    <n v="43680"/>
    <n v="230.10624000000001"/>
    <n v="336"/>
    <s v="Jun"/>
    <x v="49"/>
    <m/>
    <m/>
  </r>
  <r>
    <n v="64394598"/>
    <x v="1"/>
    <n v="46200"/>
    <d v="2026-04-20T00:00:00"/>
    <s v="BJ US-SUN-ChocolattaChscke-8 427ML"/>
    <x v="88"/>
    <n v="3.4159999999999998E-3"/>
    <n v="240"/>
    <x v="14"/>
    <x v="21"/>
    <n v="0.96"/>
    <n v="44352"/>
    <n v="151.50643199999999"/>
    <n v="184.8"/>
    <s v="Apr"/>
    <x v="40"/>
    <m/>
    <m/>
  </r>
  <r>
    <n v="64984152"/>
    <x v="1"/>
    <n v="46200"/>
    <d v="2026-05-11T00:00:00"/>
    <s v="BJ US-SUN-PBBlondie-8 427ml"/>
    <x v="88"/>
    <n v="3.4159999999999998E-3"/>
    <n v="240"/>
    <x v="14"/>
    <x v="21"/>
    <n v="0.96"/>
    <n v="44352"/>
    <n v="151.50643199999999"/>
    <n v="184.8"/>
    <s v="May"/>
    <x v="26"/>
    <m/>
    <m/>
  </r>
  <r>
    <n v="68649095"/>
    <x v="1"/>
    <n v="46200"/>
    <d v="2026-03-30T00:00:00"/>
    <s v="BJ US-TOP-DirtCake-8 450ML"/>
    <x v="88"/>
    <n v="3.5999999999999999E-3"/>
    <n v="240"/>
    <x v="8"/>
    <x v="9"/>
    <n v="0.96"/>
    <n v="44352"/>
    <n v="159.66720000000001"/>
    <n v="184.8"/>
    <s v="Mar"/>
    <x v="20"/>
    <m/>
    <m/>
  </r>
  <r>
    <n v="64341108"/>
    <x v="7"/>
    <n v="46200"/>
    <d v="2026-04-13T00:00:00"/>
    <s v="PS SpongeBob Facepiece 1-20PK"/>
    <x v="70"/>
    <n v="2.3599999999999997E-3"/>
    <n v="210"/>
    <x v="16"/>
    <x v="24"/>
    <n v="0.96"/>
    <n v="44352"/>
    <n v="104.67071999999999"/>
    <n v="211.2"/>
    <s v="Apr"/>
    <x v="25"/>
    <m/>
    <m/>
  </r>
  <r>
    <n v="64771677"/>
    <x v="7"/>
    <n v="46640"/>
    <d v="2026-04-27T00:00:00"/>
    <s v="PS Minions Facepiece IH 6-6PK"/>
    <x v="70"/>
    <n v="2.16E-3"/>
    <n v="195"/>
    <x v="16"/>
    <x v="24"/>
    <n v="0.96"/>
    <n v="44774.400000000001"/>
    <n v="96.712704000000002"/>
    <n v="229.6123076923077"/>
    <s v="Apr"/>
    <x v="21"/>
    <m/>
    <m/>
  </r>
  <r>
    <n v="68860059"/>
    <x v="1"/>
    <n v="46800"/>
    <d v="2026-04-13T00:00:00"/>
    <s v="Talenti Pacific Coast Pistachio 8 1PT"/>
    <x v="98"/>
    <n v="3.7839999999999996E-3"/>
    <n v="255"/>
    <x v="2"/>
    <x v="3"/>
    <n v="0.96"/>
    <n v="44928"/>
    <n v="170.00755199999998"/>
    <n v="176.18823529411765"/>
    <s v="Apr"/>
    <x v="25"/>
    <m/>
    <m/>
  </r>
  <r>
    <n v="68860059"/>
    <x v="1"/>
    <n v="46800"/>
    <d v="2026-05-04T00:00:00"/>
    <s v="Talenti Pacific Coast Pistachio 8 1PT"/>
    <x v="98"/>
    <n v="3.7839999999999996E-3"/>
    <n v="255"/>
    <x v="2"/>
    <x v="3"/>
    <n v="0.96"/>
    <n v="44928"/>
    <n v="170.00755199999998"/>
    <n v="176.18823529411765"/>
    <s v="May"/>
    <x v="24"/>
    <m/>
    <m/>
  </r>
  <r>
    <n v="64833353"/>
    <x v="5"/>
    <n v="46800"/>
    <d v="2026-06-01T00:00:00"/>
    <s v="PS SF Tropical 6-18PK"/>
    <x v="70"/>
    <n v="5.28E-3"/>
    <n v="130"/>
    <x v="6"/>
    <x v="22"/>
    <n v="0.96"/>
    <n v="44928"/>
    <n v="237.21984"/>
    <n v="345.6"/>
    <s v="Jun"/>
    <x v="13"/>
    <m/>
    <m/>
  </r>
  <r>
    <n v="64341109"/>
    <x v="7"/>
    <n v="46800"/>
    <d v="2026-06-08T00:00:00"/>
    <s v="PS Spiderman Facepiece 1-20PK"/>
    <x v="70"/>
    <n v="2E-3"/>
    <n v="210"/>
    <x v="16"/>
    <x v="24"/>
    <n v="0.96"/>
    <n v="44928"/>
    <n v="89.856000000000009"/>
    <n v="213.94285714285715"/>
    <s v="Jun"/>
    <x v="47"/>
    <m/>
    <m/>
  </r>
  <r>
    <n v="68860061"/>
    <x v="1"/>
    <n v="47300"/>
    <d v="2026-04-13T00:00:00"/>
    <s v="Talenti LYR Cookies and Cream 8 303.3g"/>
    <x v="87"/>
    <n v="3.552E-3"/>
    <n v="255"/>
    <x v="2"/>
    <x v="3"/>
    <n v="0.96"/>
    <n v="45408"/>
    <n v="161.28921600000001"/>
    <n v="178.07058823529411"/>
    <s v="Apr"/>
    <x v="25"/>
    <m/>
    <m/>
  </r>
  <r>
    <n v="68867755"/>
    <x v="1"/>
    <n v="47300"/>
    <d v="2026-04-06T00:00:00"/>
    <s v="Talenti LY Salted CAR Truffle 8 323.1g"/>
    <x v="87"/>
    <n v="3.552E-3"/>
    <n v="255"/>
    <x v="2"/>
    <x v="3"/>
    <n v="0.96"/>
    <n v="45408"/>
    <n v="161.28921600000001"/>
    <n v="178.07058823529411"/>
    <s v="Apr"/>
    <x v="23"/>
    <m/>
    <m/>
  </r>
  <r>
    <n v="68689251"/>
    <x v="0"/>
    <n v="47880"/>
    <d v="2026-05-25T00:00:00"/>
    <s v="KL Original Vanilla Bar 12-6PK"/>
    <x v="79"/>
    <n v="9.5760000000000012E-3"/>
    <n v="132"/>
    <x v="1"/>
    <x v="2"/>
    <n v="0.96"/>
    <n v="45964.799999999996"/>
    <n v="440.15892480000002"/>
    <n v="348.21818181818179"/>
    <s v="May"/>
    <x v="46"/>
    <m/>
    <m/>
  </r>
  <r>
    <n v="68746232"/>
    <x v="0"/>
    <n v="47880"/>
    <d v="2026-05-25T00:00:00"/>
    <s v="KL Mint CHOC Chip 12-6PK"/>
    <x v="75"/>
    <n v="8.5199999999999998E-3"/>
    <n v="132"/>
    <x v="1"/>
    <x v="2"/>
    <n v="0.96"/>
    <n v="45964.799999999996"/>
    <n v="391.62009599999993"/>
    <n v="348.21818181818179"/>
    <s v="May"/>
    <x v="46"/>
    <m/>
    <m/>
  </r>
  <r>
    <n v="69717801"/>
    <x v="1"/>
    <n v="47950"/>
    <d v="2026-04-27T00:00:00"/>
    <s v="BR Carbsmart Fudge Bar 8-6PK"/>
    <x v="63"/>
    <n v="4.2560000000000002E-3"/>
    <n v="143"/>
    <x v="5"/>
    <x v="6"/>
    <n v="0.96"/>
    <n v="46032"/>
    <n v="195.912192"/>
    <n v="321.90209790209792"/>
    <s v="Apr"/>
    <x v="21"/>
    <m/>
    <m/>
  </r>
  <r>
    <n v="69717801"/>
    <x v="1"/>
    <n v="47950"/>
    <d v="2026-05-04T00:00:00"/>
    <s v="BR Carbsmart Fudge Bar 8-6PK"/>
    <x v="63"/>
    <n v="4.2560000000000002E-3"/>
    <n v="143"/>
    <x v="5"/>
    <x v="6"/>
    <n v="0.96"/>
    <n v="46032"/>
    <n v="195.912192"/>
    <n v="321.90209790209792"/>
    <s v="May"/>
    <x v="24"/>
    <m/>
    <m/>
  </r>
  <r>
    <n v="69717803"/>
    <x v="1"/>
    <n v="47950"/>
    <d v="2026-05-11T00:00:00"/>
    <s v="BR Carbsmart Almond Bar 8-6PK"/>
    <x v="63"/>
    <n v="4.2560000000000002E-3"/>
    <n v="143"/>
    <x v="5"/>
    <x v="6"/>
    <n v="0.96"/>
    <n v="46032"/>
    <n v="195.912192"/>
    <n v="321.90209790209792"/>
    <s v="May"/>
    <x v="26"/>
    <m/>
    <m/>
  </r>
  <r>
    <n v="69717803"/>
    <x v="1"/>
    <n v="47950"/>
    <d v="2026-05-18T00:00:00"/>
    <s v="BR Carbsmart Almond Bar 8-6PK"/>
    <x v="63"/>
    <n v="4.2560000000000002E-3"/>
    <n v="143"/>
    <x v="5"/>
    <x v="6"/>
    <n v="0.96"/>
    <n v="46032"/>
    <n v="195.912192"/>
    <n v="321.90209790209792"/>
    <s v="May"/>
    <x v="39"/>
    <m/>
    <m/>
  </r>
  <r>
    <n v="69797468"/>
    <x v="1"/>
    <n v="47950"/>
    <d v="2026-05-25T00:00:00"/>
    <s v="BR Carbsmart Caramel Bar 8-6PK"/>
    <x v="63"/>
    <n v="4.2560000000000002E-3"/>
    <n v="143"/>
    <x v="5"/>
    <x v="6"/>
    <n v="0.96"/>
    <n v="46032"/>
    <n v="195.912192"/>
    <n v="321.90209790209792"/>
    <s v="May"/>
    <x v="46"/>
    <m/>
    <m/>
  </r>
  <r>
    <n v="64977530"/>
    <x v="0"/>
    <n v="48000"/>
    <d v="2026-04-20T00:00:00"/>
    <s v="BR Hot Fudge Brownie Sundae 6p 1.5QT"/>
    <x v="74"/>
    <n v="8.513999999999999E-3"/>
    <n v="176"/>
    <x v="0"/>
    <x v="0"/>
    <n v="0.94"/>
    <n v="45120"/>
    <n v="384.15167999999994"/>
    <n v="256.36363636363637"/>
    <s v="Apr"/>
    <x v="40"/>
    <m/>
    <m/>
  </r>
  <r>
    <n v="69986508"/>
    <x v="3"/>
    <n v="48160"/>
    <d v="2026-04-20T00:00:00"/>
    <s v="BJ US-NDO-CHC FG BRWN-8 1PT"/>
    <x v="77"/>
    <n v="3.7839999999999996E-3"/>
    <n v="240"/>
    <x v="3"/>
    <x v="13"/>
    <n v="0.95"/>
    <n v="45752"/>
    <n v="173.12556799999999"/>
    <n v="190.63333333333333"/>
    <s v="Apr"/>
    <x v="40"/>
    <m/>
    <m/>
  </r>
  <r>
    <n v="64958127"/>
    <x v="1"/>
    <n v="48600"/>
    <d v="2026-04-13T00:00:00"/>
    <s v="Yasso Coffee Chocolate Chip 8-4pk"/>
    <x v="65"/>
    <n v="3.3119999999999998E-3"/>
    <n v="165"/>
    <x v="4"/>
    <x v="5"/>
    <n v="0.96"/>
    <n v="46656"/>
    <n v="154.52467199999998"/>
    <n v="282.76363636363635"/>
    <s v="Apr"/>
    <x v="25"/>
    <m/>
    <m/>
  </r>
  <r>
    <n v="68817796"/>
    <x v="0"/>
    <n v="49350"/>
    <d v="2026-04-06T00:00:00"/>
    <s v="BR XCRMY Vanilla 6 1.5QT"/>
    <x v="82"/>
    <n v="8.513999999999999E-3"/>
    <n v="176"/>
    <x v="0"/>
    <x v="0"/>
    <n v="0.94"/>
    <n v="46389"/>
    <n v="394.95594599999993"/>
    <n v="263.57386363636363"/>
    <s v="Apr"/>
    <x v="23"/>
    <m/>
    <m/>
  </r>
  <r>
    <n v="64977526"/>
    <x v="0"/>
    <n v="22560"/>
    <d v="2026-03-30T00:00:00"/>
    <s v="BR Salted Caramel Truffle 6p 1.5QT"/>
    <x v="74"/>
    <n v="8.513999999999999E-3"/>
    <n v="176"/>
    <x v="0"/>
    <x v="0"/>
    <n v="0.94"/>
    <n v="21206.399999999998"/>
    <n v="180.55128959999996"/>
    <n v="120.49090909090908"/>
    <s v="Mar"/>
    <x v="20"/>
    <m/>
    <m/>
  </r>
  <r>
    <n v="62714126"/>
    <x v="5"/>
    <m/>
    <d v="2026-03-30T00:00:00"/>
    <s v="PS OCG SF 6-18PK"/>
    <x v="70"/>
    <n v="5.2680000000000001E-3"/>
    <n v="130"/>
    <x v="6"/>
    <x v="22"/>
    <n v="0.96"/>
    <n v="0"/>
    <n v="0"/>
    <n v="0"/>
    <s v="Mar"/>
    <x v="20"/>
    <m/>
    <m/>
  </r>
  <r>
    <n v="64833353"/>
    <x v="5"/>
    <n v="49400"/>
    <d v="2026-06-29T00:00:00"/>
    <s v="PS SF Tropical 6-18PK"/>
    <x v="70"/>
    <n v="5.28E-3"/>
    <n v="130"/>
    <x v="6"/>
    <x v="22"/>
    <n v="0.96"/>
    <n v="47424"/>
    <n v="250.39872"/>
    <n v="364.8"/>
    <s v="Jun"/>
    <x v="14"/>
    <m/>
    <m/>
  </r>
  <r>
    <n v="69999266"/>
    <x v="1"/>
    <n v="49495"/>
    <d v="2026-03-23T00:00:00"/>
    <s v="BJ US -IC-LightsCaramelAction-8 1PT"/>
    <x v="66"/>
    <n v="3.7839999999999996E-3"/>
    <n v="240"/>
    <x v="3"/>
    <x v="12"/>
    <n v="0.95"/>
    <n v="47020.25"/>
    <n v="177.92462599999999"/>
    <n v="195.91770833333334"/>
    <s v="Mar"/>
    <x v="10"/>
    <m/>
    <m/>
  </r>
  <r>
    <n v="64898310"/>
    <x v="1"/>
    <n v="49500"/>
    <d v="2026-05-11T00:00:00"/>
    <s v="BR Vanilla 8 1PT"/>
    <x v="88"/>
    <n v="3.7839999999999996E-3"/>
    <n v="240"/>
    <x v="9"/>
    <x v="14"/>
    <n v="0.96"/>
    <n v="47520"/>
    <n v="179.81567999999999"/>
    <n v="198"/>
    <s v="May"/>
    <x v="26"/>
    <m/>
    <m/>
  </r>
  <r>
    <n v="68689251"/>
    <x v="0"/>
    <n v="50000"/>
    <d v="2026-05-11T00:00:00"/>
    <s v="KL Original Vanilla Bar 12-6PK"/>
    <x v="75"/>
    <n v="9.5760000000000012E-3"/>
    <n v="132"/>
    <x v="1"/>
    <x v="2"/>
    <n v="0.96"/>
    <n v="48000"/>
    <n v="459.64800000000008"/>
    <n v="363.63636363636363"/>
    <s v="May"/>
    <x v="26"/>
    <m/>
    <m/>
  </r>
  <r>
    <n v="69717802"/>
    <x v="1"/>
    <n v="50400"/>
    <d v="2026-04-20T00:00:00"/>
    <s v="BR Carbsmart IC Bars 8-6PK"/>
    <x v="63"/>
    <n v="4.2560000000000002E-3"/>
    <n v="143"/>
    <x v="5"/>
    <x v="6"/>
    <n v="0.96"/>
    <n v="48384"/>
    <n v="205.92230400000003"/>
    <n v="338.34965034965035"/>
    <s v="Apr"/>
    <x v="40"/>
    <m/>
    <m/>
  </r>
  <r>
    <n v="69717803"/>
    <x v="1"/>
    <n v="50400"/>
    <d v="2026-04-06T00:00:00"/>
    <s v="BR Carbsmart Almond Bar 8-6PK"/>
    <x v="63"/>
    <n v="4.2560000000000002E-3"/>
    <n v="143"/>
    <x v="5"/>
    <x v="6"/>
    <n v="0.96"/>
    <n v="48384"/>
    <n v="205.92230400000003"/>
    <n v="338.34965034965035"/>
    <s v="Apr"/>
    <x v="23"/>
    <m/>
    <m/>
  </r>
  <r>
    <n v="69797468"/>
    <x v="1"/>
    <n v="50400"/>
    <d v="2026-04-13T00:00:00"/>
    <s v="BR Carbsmart Caramel Bar 8-6PK"/>
    <x v="63"/>
    <n v="4.2560000000000002E-3"/>
    <n v="143"/>
    <x v="5"/>
    <x v="6"/>
    <n v="0.96"/>
    <n v="48384"/>
    <n v="205.92230400000003"/>
    <n v="338.34965034965035"/>
    <s v="Apr"/>
    <x v="25"/>
    <m/>
    <m/>
  </r>
  <r>
    <n v="64958129"/>
    <x v="10"/>
    <n v="51084"/>
    <d v="2026-04-13T00:00:00"/>
    <s v="Yasso Chocolate Chip Cookie Dough 8-4pk"/>
    <x v="69"/>
    <n v="3.3119999999999998E-3"/>
    <n v="165"/>
    <x v="4"/>
    <x v="30"/>
    <n v="0.96"/>
    <n v="49040.639999999999"/>
    <n v="162.42259967999999"/>
    <n v="297.21600000000001"/>
    <s v="Apr"/>
    <x v="25"/>
    <m/>
    <m/>
  </r>
  <r>
    <n v="64975616"/>
    <x v="11"/>
    <n v="51250"/>
    <d v="2026-04-13T00:00:00"/>
    <s v="Yasso Mint Chocolate Chip 8-14z"/>
    <x v="69"/>
    <n v="3.3119999999999998E-3"/>
    <n v="240"/>
    <x v="11"/>
    <x v="31"/>
    <n v="0.96"/>
    <n v="49200"/>
    <n v="162.9504"/>
    <n v="205"/>
    <s v="Apr"/>
    <x v="25"/>
    <m/>
    <m/>
  </r>
  <r>
    <n v="67430513"/>
    <x v="3"/>
    <n v="51520"/>
    <d v="2026-04-13T00:00:00"/>
    <s v="BJ US-IC-PeanutButterCup-8 1PT"/>
    <x v="77"/>
    <n v="3.7839999999999996E-3"/>
    <n v="240"/>
    <x v="3"/>
    <x v="13"/>
    <n v="0.95"/>
    <n v="48944"/>
    <n v="185.20409599999999"/>
    <n v="203.93333333333334"/>
    <s v="Apr"/>
    <x v="25"/>
    <m/>
    <m/>
  </r>
  <r>
    <n v="67826412"/>
    <x v="3"/>
    <n v="51840"/>
    <d v="2026-03-23T00:00:00"/>
    <s v="BJ US-IC-ChunkyMonkey-FTNG-8 1PT"/>
    <x v="72"/>
    <n v="3.7853439999999999E-3"/>
    <n v="240"/>
    <x v="3"/>
    <x v="13"/>
    <n v="0.95"/>
    <n v="49248"/>
    <n v="186.42062131200001"/>
    <n v="205.2"/>
    <s v="Mar"/>
    <x v="10"/>
    <m/>
    <m/>
  </r>
  <r>
    <n v="64979444"/>
    <x v="7"/>
    <n v="51948"/>
    <d v="2026-05-18T00:00:00"/>
    <s v="PS Bluey Facepiece IH 6-6PK"/>
    <x v="70"/>
    <n v="2.16E-3"/>
    <n v="195"/>
    <x v="16"/>
    <x v="24"/>
    <n v="0.96"/>
    <n v="49870.080000000002"/>
    <n v="107.7193728"/>
    <n v="255.744"/>
    <s v="May"/>
    <x v="39"/>
    <m/>
    <m/>
  </r>
  <r>
    <n v="64979444"/>
    <x v="7"/>
    <n v="51948"/>
    <d v="2026-06-08T00:00:00"/>
    <s v="PS Bluey Facepiece IH 6-6PK"/>
    <x v="70"/>
    <n v="2.16E-3"/>
    <n v="195"/>
    <x v="16"/>
    <x v="24"/>
    <n v="0.96"/>
    <n v="49870.080000000002"/>
    <n v="107.7193728"/>
    <n v="255.744"/>
    <s v="Jun"/>
    <x v="47"/>
    <m/>
    <m/>
  </r>
  <r>
    <n v="68881270"/>
    <x v="0"/>
    <n v="52000"/>
    <d v="2026-04-20T00:00:00"/>
    <s v="BR Cookies and Cream 6 1.5QT"/>
    <x v="73"/>
    <n v="8.5199999999999998E-3"/>
    <n v="176"/>
    <x v="0"/>
    <x v="0"/>
    <n v="0.94"/>
    <n v="48880"/>
    <n v="416.45760000000001"/>
    <n v="277.72727272727275"/>
    <s v="Apr"/>
    <x v="40"/>
    <m/>
    <m/>
  </r>
  <r>
    <n v="64369025"/>
    <x v="1"/>
    <n v="52000"/>
    <d v="2026-04-06T00:00:00"/>
    <s v="TAL Lemon Sorbetto 8 1PT"/>
    <x v="98"/>
    <n v="3.7839999999999996E-3"/>
    <n v="255"/>
    <x v="2"/>
    <x v="3"/>
    <n v="0.96"/>
    <n v="49920"/>
    <n v="188.89727999999997"/>
    <n v="195.76470588235293"/>
    <s v="Apr"/>
    <x v="23"/>
    <m/>
    <m/>
  </r>
  <r>
    <n v="64393722"/>
    <x v="1"/>
    <m/>
    <d v="2026-03-30T00:00:00"/>
    <s v="MG Double Raspberry Bar 8-3PK"/>
    <x v="64"/>
    <n v="2.16E-3"/>
    <n v="210"/>
    <x v="5"/>
    <x v="6"/>
    <n v="0.96"/>
    <n v="0"/>
    <n v="0"/>
    <n v="0"/>
    <s v="Mar"/>
    <x v="20"/>
    <m/>
    <m/>
  </r>
  <r>
    <n v="68860662"/>
    <x v="1"/>
    <n v="52000"/>
    <d v="2026-04-13T00:00:00"/>
    <s v="Talenti Vanilla Bean 8 1PT"/>
    <x v="98"/>
    <n v="3.7839999999999996E-3"/>
    <n v="255"/>
    <x v="2"/>
    <x v="3"/>
    <n v="0.96"/>
    <n v="49920"/>
    <n v="188.89727999999997"/>
    <n v="195.76470588235293"/>
    <s v="Apr"/>
    <x v="25"/>
    <m/>
    <m/>
  </r>
  <r>
    <n v="68862402"/>
    <x v="1"/>
    <n v="52000"/>
    <d v="2026-04-13T00:00:00"/>
    <s v="Talenti Double Dark Chocolate 8 1PT"/>
    <x v="98"/>
    <n v="3.7839999999999996E-3"/>
    <n v="255"/>
    <x v="2"/>
    <x v="3"/>
    <n v="0.96"/>
    <n v="49920"/>
    <n v="188.89727999999997"/>
    <n v="195.76470588235293"/>
    <s v="Apr"/>
    <x v="25"/>
    <m/>
    <m/>
  </r>
  <r>
    <n v="64975613"/>
    <x v="11"/>
    <n v="52250"/>
    <d v="2026-04-20T00:00:00"/>
    <s v="Yasso Chocolate Chip Cookie Dough 8-14z"/>
    <x v="69"/>
    <n v="3.3119999999999998E-3"/>
    <n v="240"/>
    <x v="11"/>
    <x v="31"/>
    <n v="0.96"/>
    <n v="50160"/>
    <n v="166.12992"/>
    <n v="209"/>
    <s v="Apr"/>
    <x v="40"/>
    <m/>
    <m/>
  </r>
  <r>
    <n v="64955743"/>
    <x v="10"/>
    <n v="52500"/>
    <d v="2026-05-04T00:00:00"/>
    <s v="Yasso Peanut Butter Chip 8-4pk"/>
    <x v="69"/>
    <n v="3.3119999999999998E-3"/>
    <n v="165"/>
    <x v="4"/>
    <x v="30"/>
    <n v="0.96"/>
    <n v="50400"/>
    <n v="166.9248"/>
    <n v="305.45454545454544"/>
    <s v="May"/>
    <x v="24"/>
    <m/>
    <m/>
  </r>
  <r>
    <n v="64958127"/>
    <x v="10"/>
    <n v="52500"/>
    <d v="2026-05-18T00:00:00"/>
    <s v="Yasso Coffee Chocolate Chip 8-4pk"/>
    <x v="69"/>
    <n v="3.3119999999999998E-3"/>
    <n v="165"/>
    <x v="4"/>
    <x v="30"/>
    <n v="0.96"/>
    <n v="50400"/>
    <n v="166.9248"/>
    <n v="305.45454545454544"/>
    <s v="May"/>
    <x v="39"/>
    <m/>
    <m/>
  </r>
  <r>
    <n v="64958129"/>
    <x v="10"/>
    <n v="52500"/>
    <d v="2026-06-15T00:00:00"/>
    <s v="Yasso Chocolate Chip Cookie Dough 8-4pk"/>
    <x v="69"/>
    <n v="3.3119999999999998E-3"/>
    <n v="165"/>
    <x v="4"/>
    <x v="30"/>
    <n v="0.96"/>
    <n v="50400"/>
    <n v="166.9248"/>
    <n v="305.45454545454544"/>
    <s v="Jun"/>
    <x v="28"/>
    <m/>
    <m/>
  </r>
  <r>
    <n v="64958129"/>
    <x v="10"/>
    <n v="52500"/>
    <d v="2026-08-17T00:00:00"/>
    <s v="Yasso Chocolate Chip Cookie Dough 8-4pk"/>
    <x v="69"/>
    <n v="3.3119999999999998E-3"/>
    <n v="165"/>
    <x v="4"/>
    <x v="30"/>
    <n v="0.96"/>
    <n v="50400"/>
    <n v="166.9248"/>
    <n v="305.45454545454544"/>
    <s v="Aug"/>
    <x v="29"/>
    <m/>
    <m/>
  </r>
  <r>
    <n v="64958129"/>
    <x v="10"/>
    <n v="52500"/>
    <d v="2026-09-14T00:00:00"/>
    <s v="Yasso Chocolate Chip Cookie Dough 8-4pk"/>
    <x v="69"/>
    <n v="3.3119999999999998E-3"/>
    <n v="165"/>
    <x v="4"/>
    <x v="30"/>
    <n v="0.96"/>
    <n v="50400"/>
    <n v="166.9248"/>
    <n v="305.45454545454544"/>
    <s v="Sep"/>
    <x v="38"/>
    <m/>
    <m/>
  </r>
  <r>
    <n v="64976837"/>
    <x v="10"/>
    <n v="52500"/>
    <d v="2026-05-04T00:00:00"/>
    <s v="Yasso Cherry Chocolate Crunch 8-4pk"/>
    <x v="69"/>
    <n v="2.5040000000000001E-3"/>
    <n v="165"/>
    <x v="4"/>
    <x v="30"/>
    <n v="0.96"/>
    <n v="50400"/>
    <n v="126.20160000000001"/>
    <n v="305.45454545454544"/>
    <s v="May"/>
    <x v="24"/>
    <m/>
    <m/>
  </r>
  <r>
    <n v="64976847"/>
    <x v="10"/>
    <n v="52500"/>
    <d v="2026-09-21T00:00:00"/>
    <s v="Yasso Vanilla Chocolate Crunch 8-4pk"/>
    <x v="69"/>
    <n v="2.5040000000000001E-3"/>
    <n v="165"/>
    <x v="4"/>
    <x v="30"/>
    <n v="0.96"/>
    <n v="50400"/>
    <n v="126.20160000000001"/>
    <n v="305.45454545454544"/>
    <s v="Sep"/>
    <x v="45"/>
    <m/>
    <m/>
  </r>
  <r>
    <n v="68851104"/>
    <x v="0"/>
    <n v="52800"/>
    <d v="2026-04-13T00:00:00"/>
    <s v="BR Chocolate 6-1.5QT"/>
    <x v="82"/>
    <n v="8.5199999999999998E-3"/>
    <n v="176"/>
    <x v="0"/>
    <x v="0"/>
    <n v="0.94"/>
    <n v="49632"/>
    <n v="422.86464000000001"/>
    <n v="282"/>
    <s v="Apr"/>
    <x v="25"/>
    <m/>
    <m/>
  </r>
  <r>
    <n v="68899826"/>
    <x v="0"/>
    <n v="52800"/>
    <d v="2026-03-23T00:00:00"/>
    <s v="BR Cherry Vanilla 6 1.5QT"/>
    <x v="73"/>
    <n v="8.5199999999999998E-3"/>
    <n v="176"/>
    <x v="0"/>
    <x v="0"/>
    <n v="0.94"/>
    <n v="49632"/>
    <n v="422.86464000000001"/>
    <n v="282"/>
    <s v="Mar"/>
    <x v="10"/>
    <m/>
    <m/>
  </r>
  <r>
    <n v="64975614"/>
    <x v="11"/>
    <n v="53250"/>
    <d v="2026-04-20T00:00:00"/>
    <s v="Yasso Fudge Brownie 8-14z"/>
    <x v="69"/>
    <n v="3.3119999999999998E-3"/>
    <n v="240"/>
    <x v="11"/>
    <x v="31"/>
    <n v="0.96"/>
    <n v="51120"/>
    <n v="169.30944"/>
    <n v="213"/>
    <s v="Apr"/>
    <x v="40"/>
    <m/>
    <m/>
  </r>
  <r>
    <n v="64999073"/>
    <x v="11"/>
    <n v="53250"/>
    <d v="2026-04-20T00:00:00"/>
    <s v="Yasso Cookies n Cream 8-14z"/>
    <x v="69"/>
    <n v="3.3119999999999998E-3"/>
    <n v="240"/>
    <x v="11"/>
    <x v="31"/>
    <n v="0.96"/>
    <n v="51120"/>
    <n v="169.30944"/>
    <n v="213"/>
    <s v="Apr"/>
    <x v="40"/>
    <m/>
    <m/>
  </r>
  <r>
    <n v="65490430"/>
    <x v="0"/>
    <n v="54000"/>
    <d v="2026-04-20T00:00:00"/>
    <s v="PS SF OCG 1-32PK"/>
    <x v="95"/>
    <n v="1.5608888888888888E-3"/>
    <n v="200"/>
    <x v="6"/>
    <x v="15"/>
    <n v="0.96"/>
    <n v="51840"/>
    <n v="80.916479999999993"/>
    <n v="259.2"/>
    <s v="Apr"/>
    <x v="40"/>
    <m/>
    <m/>
  </r>
  <r>
    <n v="64988056"/>
    <x v="1"/>
    <n v="54000"/>
    <d v="2026-04-20T00:00:00"/>
    <s v="BR Butter Pecan 6 1.5QT"/>
    <x v="83"/>
    <n v="8.513999999999999E-3"/>
    <n v="176"/>
    <x v="0"/>
    <x v="1"/>
    <n v="0.94"/>
    <n v="50760"/>
    <n v="432.17063999999993"/>
    <n v="288.40909090909093"/>
    <s v="Apr"/>
    <x v="40"/>
    <m/>
    <m/>
  </r>
  <r>
    <n v="69988931"/>
    <x v="1"/>
    <n v="54000"/>
    <d v="2026-05-18T00:00:00"/>
    <s v="MG Mini Classic/Almond/White VP 6-6PK"/>
    <x v="64"/>
    <n v="1.98E-3"/>
    <n v="176"/>
    <x v="5"/>
    <x v="6"/>
    <n v="0.96"/>
    <n v="51840"/>
    <n v="102.64319999999999"/>
    <n v="294.54545454545456"/>
    <s v="May"/>
    <x v="39"/>
    <m/>
    <m/>
  </r>
  <r>
    <n v="62714126"/>
    <x v="5"/>
    <n v="54306"/>
    <d v="2026-05-04T00:00:00"/>
    <s v="PS OCG SF 6-18PK"/>
    <x v="70"/>
    <n v="5.2680000000000001E-3"/>
    <n v="130"/>
    <x v="6"/>
    <x v="22"/>
    <n v="0.96"/>
    <n v="52133.759999999995"/>
    <n v="274.64064767999997"/>
    <n v="401.02892307692304"/>
    <s v="May"/>
    <x v="24"/>
    <m/>
    <m/>
  </r>
  <r>
    <n v="68862496"/>
    <x v="1"/>
    <n v="54344"/>
    <d v="2026-03-23T00:00:00"/>
    <s v="Talenti Alphonso Mango SORB (DF) 8 1PT"/>
    <x v="98"/>
    <n v="3.7839999999999996E-3"/>
    <n v="255"/>
    <x v="2"/>
    <x v="3"/>
    <n v="0.96"/>
    <n v="52170.239999999998"/>
    <n v="197.41218815999997"/>
    <n v="204.58917647058823"/>
    <s v="Mar"/>
    <x v="10"/>
    <m/>
    <m/>
  </r>
  <r>
    <n v="64979444"/>
    <x v="7"/>
    <m/>
    <d v="2026-03-30T00:00:00"/>
    <s v="PS Bluey Facepiece IH 6-6PK"/>
    <x v="70"/>
    <n v="2.16E-3"/>
    <n v="195"/>
    <x v="16"/>
    <x v="24"/>
    <n v="0.96"/>
    <n v="0"/>
    <n v="0"/>
    <n v="0"/>
    <s v="Mar"/>
    <x v="20"/>
    <m/>
    <m/>
  </r>
  <r>
    <n v="64328806"/>
    <x v="8"/>
    <n v="55040"/>
    <d v="2026-04-13T00:00:00"/>
    <s v="KL Reeses SW 6-4PK"/>
    <x v="69"/>
    <n v="2.8380000000000002E-3"/>
    <n v="189"/>
    <x v="12"/>
    <x v="27"/>
    <n v="0.96"/>
    <n v="52838.400000000001"/>
    <n v="149.95537920000001"/>
    <n v="279.568253968254"/>
    <s v="Apr"/>
    <x v="25"/>
    <m/>
    <m/>
  </r>
  <r>
    <n v="68851107"/>
    <x v="0"/>
    <n v="55350"/>
    <d v="2026-03-23T00:00:00"/>
    <s v="BR NAT Vanilla 6-1.5QT"/>
    <x v="82"/>
    <n v="8.5199999999999998E-3"/>
    <n v="176"/>
    <x v="0"/>
    <x v="0"/>
    <n v="0.94"/>
    <n v="52029"/>
    <n v="443.28708"/>
    <n v="295.61931818181819"/>
    <s v="Mar"/>
    <x v="10"/>
    <m/>
    <m/>
  </r>
  <r>
    <n v="64975613"/>
    <x v="11"/>
    <n v="56000"/>
    <d v="2026-05-11T00:00:00"/>
    <s v="Yasso Chocolate Chip Cookie Dough 8-14z"/>
    <x v="69"/>
    <n v="3.3119999999999998E-3"/>
    <n v="240"/>
    <x v="11"/>
    <x v="31"/>
    <n v="0.96"/>
    <n v="53760"/>
    <n v="178.05311999999998"/>
    <n v="224"/>
    <s v="May"/>
    <x v="26"/>
    <m/>
    <m/>
  </r>
  <r>
    <n v="64976847"/>
    <x v="11"/>
    <n v="56000"/>
    <d v="2026-05-04T00:00:00"/>
    <s v="Yasso Vanilla Chocolate Crunch 8-4pk"/>
    <x v="69"/>
    <n v="2.5040000000000001E-3"/>
    <n v="165"/>
    <x v="4"/>
    <x v="32"/>
    <n v="0.96"/>
    <n v="53760"/>
    <n v="134.61504000000002"/>
    <n v="325.81818181818181"/>
    <s v="May"/>
    <x v="24"/>
    <m/>
    <m/>
  </r>
  <r>
    <n v="65594416"/>
    <x v="1"/>
    <n v="56000"/>
    <d v="2026-04-06T00:00:00"/>
    <s v="MG Bars Dubai Chocolate 1-12pk"/>
    <x v="99"/>
    <n v="9.5999999999999992E-4"/>
    <n v="432"/>
    <x v="5"/>
    <x v="6"/>
    <n v="0.96"/>
    <n v="53760"/>
    <n v="51.609599999999993"/>
    <n v="124.44444444444444"/>
    <s v="Apr"/>
    <x v="23"/>
    <m/>
    <m/>
  </r>
  <r>
    <n v="84138392"/>
    <x v="3"/>
    <n v="11600"/>
    <d v="2026-03-30T00:00:00"/>
    <s v="BJ US-IC-CoffeeBuzzBuzz-FTNG-8 1PT"/>
    <x v="72"/>
    <n v="3.7839999999999996E-3"/>
    <n v="240"/>
    <x v="3"/>
    <x v="13"/>
    <n v="0.95"/>
    <n v="11020"/>
    <n v="41.699679999999994"/>
    <n v="45.916666666666664"/>
    <s v="Mar"/>
    <x v="20"/>
    <m/>
    <m/>
  </r>
  <r>
    <n v="64341108"/>
    <x v="7"/>
    <n v="56400"/>
    <d v="2026-07-06T00:00:00"/>
    <s v="PS SpongeBob Facepiece 1-20PK"/>
    <x v="70"/>
    <n v="2.3599999999999997E-3"/>
    <n v="210"/>
    <x v="16"/>
    <x v="24"/>
    <n v="0.96"/>
    <n v="54144"/>
    <n v="127.77983999999998"/>
    <n v="257.82857142857142"/>
    <s v="Jul"/>
    <x v="30"/>
    <m/>
    <m/>
  </r>
  <r>
    <n v="64341108"/>
    <x v="7"/>
    <n v="56400"/>
    <d v="2026-08-10T00:00:00"/>
    <s v="PS SpongeBob Facepiece 1-20PK"/>
    <x v="70"/>
    <n v="2.3599999999999997E-3"/>
    <n v="210"/>
    <x v="16"/>
    <x v="24"/>
    <n v="0.96"/>
    <n v="54144"/>
    <n v="127.77983999999998"/>
    <n v="257.82857142857142"/>
    <s v="Aug"/>
    <x v="34"/>
    <m/>
    <m/>
  </r>
  <r>
    <n v="67794169"/>
    <x v="2"/>
    <n v="57480"/>
    <d v="2026-03-23T00:00:00"/>
    <s v="BJ US-IC-TonightDough-8 1PT"/>
    <x v="84"/>
    <n v="3.7853439999999999E-3"/>
    <n v="240"/>
    <x v="3"/>
    <x v="4"/>
    <n v="0.95"/>
    <n v="54606"/>
    <n v="206.70249446399998"/>
    <n v="227.52500000000001"/>
    <s v="Mar"/>
    <x v="10"/>
    <m/>
    <m/>
  </r>
  <r>
    <n v="64973976"/>
    <x v="8"/>
    <n v="57600"/>
    <d v="2026-06-29T00:00:00"/>
    <s v="BR Reeses Mini Cups 1-12PK"/>
    <x v="69"/>
    <n v="1.0644000000000001E-3"/>
    <n v="190"/>
    <x v="23"/>
    <x v="55"/>
    <n v="0.96"/>
    <n v="55296"/>
    <n v="58.857062400000004"/>
    <n v="291.03157894736842"/>
    <s v="Jun"/>
    <x v="14"/>
    <m/>
    <m/>
  </r>
  <r>
    <n v="64396550"/>
    <x v="1"/>
    <m/>
    <d v="2026-03-30T00:00:00"/>
    <s v="MG Double Raspberry Bar OOH 1-12PK"/>
    <x v="99"/>
    <n v="1.08E-3"/>
    <n v="493"/>
    <x v="5"/>
    <x v="6"/>
    <n v="0.96"/>
    <n v="0"/>
    <n v="0"/>
    <n v="0"/>
    <s v="Mar"/>
    <x v="20"/>
    <m/>
    <m/>
  </r>
  <r>
    <n v="84138391"/>
    <x v="3"/>
    <n v="58240"/>
    <d v="2026-04-27T00:00:00"/>
    <s v="BJ US-IC-PhishFood-FTNG-8 1PT"/>
    <x v="77"/>
    <n v="3.7853439999999999E-3"/>
    <n v="240"/>
    <x v="3"/>
    <x v="13"/>
    <n v="0.95"/>
    <n v="55328"/>
    <n v="209.435512832"/>
    <n v="230.53333333333333"/>
    <s v="Apr"/>
    <x v="21"/>
    <m/>
    <m/>
  </r>
  <r>
    <n v="64341108"/>
    <x v="7"/>
    <m/>
    <d v="2026-03-30T00:00:00"/>
    <s v="PS SpongeBob Facepiece 1-20PK"/>
    <x v="70"/>
    <n v="2.3599999999999997E-3"/>
    <n v="210"/>
    <x v="16"/>
    <x v="24"/>
    <n v="0.96"/>
    <n v="0"/>
    <n v="0"/>
    <n v="0"/>
    <s v="Mar"/>
    <x v="20"/>
    <m/>
    <m/>
  </r>
  <r>
    <n v="64833353"/>
    <x v="5"/>
    <n v="59090"/>
    <d v="2026-05-11T00:00:00"/>
    <s v="PS SF Tropical 6-18PK"/>
    <x v="70"/>
    <n v="5.28E-3"/>
    <n v="130"/>
    <x v="6"/>
    <x v="22"/>
    <n v="0.96"/>
    <n v="56726.400000000001"/>
    <n v="299.51539200000002"/>
    <n v="436.35692307692307"/>
    <s v="May"/>
    <x v="26"/>
    <m/>
    <m/>
  </r>
  <r>
    <n v="68850684"/>
    <x v="0"/>
    <n v="59400"/>
    <d v="2026-04-20T00:00:00"/>
    <s v="BR French Vanilla 6-1.5QT"/>
    <x v="78"/>
    <n v="8.5199999999999998E-3"/>
    <n v="176"/>
    <x v="0"/>
    <x v="0"/>
    <n v="0.94"/>
    <n v="55836"/>
    <n v="475.72271999999998"/>
    <n v="317.25"/>
    <s v="Apr"/>
    <x v="40"/>
    <m/>
    <m/>
  </r>
  <r>
    <n v="68851107"/>
    <x v="1"/>
    <n v="59400"/>
    <d v="2026-05-25T00:00:00"/>
    <s v="BR NAT Vanilla 6-1.5QT"/>
    <x v="80"/>
    <n v="8.5199999999999998E-3"/>
    <n v="176"/>
    <x v="0"/>
    <x v="1"/>
    <n v="0.94"/>
    <n v="55836"/>
    <n v="475.72271999999998"/>
    <n v="317.25"/>
    <s v="May"/>
    <x v="46"/>
    <m/>
    <m/>
  </r>
  <r>
    <n v="62714126"/>
    <x v="5"/>
    <n v="59800"/>
    <d v="2026-04-13T00:00:00"/>
    <s v="PS OCG SF 6-18PK"/>
    <x v="70"/>
    <n v="5.2680000000000001E-3"/>
    <n v="130"/>
    <x v="6"/>
    <x v="22"/>
    <n v="0.96"/>
    <n v="57408"/>
    <n v="302.425344"/>
    <n v="441.6"/>
    <s v="Apr"/>
    <x v="25"/>
    <m/>
    <m/>
  </r>
  <r>
    <n v="62714126"/>
    <x v="5"/>
    <n v="59800"/>
    <d v="2026-04-20T00:00:00"/>
    <s v="PS OCG SF 6-18PK"/>
    <x v="70"/>
    <n v="5.2680000000000001E-3"/>
    <n v="130"/>
    <x v="6"/>
    <x v="22"/>
    <n v="0.96"/>
    <n v="57408"/>
    <n v="302.425344"/>
    <n v="441.6"/>
    <s v="Apr"/>
    <x v="40"/>
    <m/>
    <m/>
  </r>
  <r>
    <n v="68737750"/>
    <x v="0"/>
    <n v="60000"/>
    <d v="2026-04-27T00:00:00"/>
    <s v="BR CO-B Reeses 6 1.5QT"/>
    <x v="82"/>
    <n v="8.5199999999999998E-3"/>
    <n v="176"/>
    <x v="0"/>
    <x v="0"/>
    <n v="0.94"/>
    <n v="56400"/>
    <n v="480.52799999999996"/>
    <n v="320.45454545454544"/>
    <s v="Apr"/>
    <x v="21"/>
    <m/>
    <m/>
  </r>
  <r>
    <n v="64976847"/>
    <x v="10"/>
    <n v="60000"/>
    <d v="2026-04-13T00:00:00"/>
    <s v="Yasso Vanilla Chocolate Crunch 8-4pk"/>
    <x v="69"/>
    <n v="2.5040000000000001E-3"/>
    <n v="165"/>
    <x v="4"/>
    <x v="30"/>
    <n v="0.96"/>
    <n v="57600"/>
    <n v="144.2304"/>
    <n v="349.09090909090907"/>
    <s v="Apr"/>
    <x v="25"/>
    <m/>
    <m/>
  </r>
  <r>
    <n v="64976847"/>
    <x v="10"/>
    <n v="60000"/>
    <d v="2026-05-11T00:00:00"/>
    <s v="Yasso Vanilla Chocolate Crunch 8-4pk"/>
    <x v="69"/>
    <n v="2.5040000000000001E-3"/>
    <n v="165"/>
    <x v="4"/>
    <x v="30"/>
    <n v="0.96"/>
    <n v="57600"/>
    <n v="144.2304"/>
    <n v="349.09090909090907"/>
    <s v="May"/>
    <x v="26"/>
    <m/>
    <m/>
  </r>
  <r>
    <n v="64833353"/>
    <x v="5"/>
    <n v="60320"/>
    <d v="2026-06-22T00:00:00"/>
    <s v="PS SF Tropical 6-18PK"/>
    <x v="70"/>
    <n v="5.28E-3"/>
    <n v="130"/>
    <x v="6"/>
    <x v="22"/>
    <n v="0.96"/>
    <n v="57907.199999999997"/>
    <n v="305.75001599999996"/>
    <n v="445.44"/>
    <s v="Jun"/>
    <x v="49"/>
    <m/>
    <m/>
  </r>
  <r>
    <n v="68851108"/>
    <x v="1"/>
    <n v="60450"/>
    <d v="2026-04-20T00:00:00"/>
    <s v="BR VAN CHOC STRAW 6-1.5QT"/>
    <x v="80"/>
    <n v="8.5199999999999998E-3"/>
    <n v="176"/>
    <x v="0"/>
    <x v="1"/>
    <n v="0.94"/>
    <n v="56823"/>
    <n v="484.13195999999999"/>
    <n v="322.85795454545456"/>
    <s v="Apr"/>
    <x v="40"/>
    <m/>
    <m/>
  </r>
  <r>
    <n v="62714126"/>
    <x v="5"/>
    <n v="60504"/>
    <d v="2026-05-11T00:00:00"/>
    <s v="PS OCG SF 6-18PK"/>
    <x v="70"/>
    <n v="5.2680000000000001E-3"/>
    <n v="130"/>
    <x v="6"/>
    <x v="22"/>
    <n v="0.96"/>
    <n v="58083.839999999997"/>
    <n v="305.98566912000001"/>
    <n v="446.79876923076921"/>
    <s v="May"/>
    <x v="26"/>
    <m/>
    <m/>
  </r>
  <r>
    <n v="84141094"/>
    <x v="3"/>
    <n v="61600"/>
    <d v="2026-04-13T00:00:00"/>
    <s v="BJ US-IC AmericoneDream-FTNG-8 1PT"/>
    <x v="86"/>
    <n v="3.7839999999999996E-3"/>
    <n v="240"/>
    <x v="3"/>
    <x v="13"/>
    <n v="0.95"/>
    <n v="58520"/>
    <n v="221.43967999999998"/>
    <n v="243.83333333333334"/>
    <s v="Apr"/>
    <x v="25"/>
    <m/>
    <m/>
  </r>
  <r>
    <n v="68899826"/>
    <x v="0"/>
    <n v="62000"/>
    <d v="2026-05-11T00:00:00"/>
    <s v="BR Cherry Vanilla 6 1.5QT"/>
    <x v="73"/>
    <n v="8.5199999999999998E-3"/>
    <n v="176"/>
    <x v="0"/>
    <x v="0"/>
    <n v="0.94"/>
    <n v="58280"/>
    <n v="496.54559999999998"/>
    <n v="331.13636363636363"/>
    <s v="May"/>
    <x v="26"/>
    <m/>
    <m/>
  </r>
  <r>
    <n v="68860059"/>
    <x v="1"/>
    <n v="62400"/>
    <d v="2026-04-27T00:00:00"/>
    <s v="Talenti Pacific Coast Pistachio 8 1PT"/>
    <x v="98"/>
    <n v="3.7839999999999996E-3"/>
    <n v="255"/>
    <x v="2"/>
    <x v="3"/>
    <n v="0.96"/>
    <n v="59904"/>
    <n v="226.67673599999998"/>
    <n v="234.91764705882352"/>
    <s v="Apr"/>
    <x v="21"/>
    <m/>
    <m/>
  </r>
  <r>
    <n v="64976851"/>
    <x v="1"/>
    <m/>
    <d v="2026-03-23T00:00:00"/>
    <s v="Yasso Caramel Chocolate Crunch 8-4pk"/>
    <x v="65"/>
    <n v="2.5040000000000001E-3"/>
    <n v="165"/>
    <x v="4"/>
    <x v="5"/>
    <n v="0.96"/>
    <n v="0"/>
    <n v="0"/>
    <n v="0"/>
    <s v="Mar"/>
    <x v="10"/>
    <m/>
    <m/>
  </r>
  <r>
    <n v="68821734"/>
    <x v="1"/>
    <n v="64350"/>
    <d v="2026-04-06T00:00:00"/>
    <s v="BR Vanilla Chocolate 6 1.5QT"/>
    <x v="80"/>
    <n v="8.5199999999999998E-3"/>
    <n v="176"/>
    <x v="0"/>
    <x v="1"/>
    <n v="0.94"/>
    <n v="60489"/>
    <n v="515.36627999999996"/>
    <n v="343.6875"/>
    <s v="Apr"/>
    <x v="23"/>
    <m/>
    <m/>
  </r>
  <r>
    <n v="62694914"/>
    <x v="1"/>
    <n v="64800"/>
    <d v="2026-04-06T00:00:00"/>
    <s v="MG Almond Bar 1-12PK"/>
    <x v="99"/>
    <n v="1.08E-3"/>
    <n v="493"/>
    <x v="5"/>
    <x v="6"/>
    <n v="0.96"/>
    <n v="62208"/>
    <n v="67.184640000000002"/>
    <n v="126.18255578093306"/>
    <s v="Apr"/>
    <x v="23"/>
    <m/>
    <m/>
  </r>
  <r>
    <n v="64396550"/>
    <x v="1"/>
    <n v="64800"/>
    <d v="2026-05-11T00:00:00"/>
    <s v="MG Double Raspberry Bar OOH 1-12PK"/>
    <x v="99"/>
    <n v="1.08E-3"/>
    <n v="493"/>
    <x v="5"/>
    <x v="6"/>
    <n v="0.96"/>
    <n v="62208"/>
    <n v="67.184640000000002"/>
    <n v="126.18255578093306"/>
    <s v="May"/>
    <x v="26"/>
    <m/>
    <m/>
  </r>
  <r>
    <n v="68881270"/>
    <x v="0"/>
    <n v="65000"/>
    <d v="2026-04-13T00:00:00"/>
    <s v="BR Cookies and Cream 6 1.5QT"/>
    <x v="73"/>
    <n v="8.5199999999999998E-3"/>
    <n v="176"/>
    <x v="0"/>
    <x v="0"/>
    <n v="0.94"/>
    <n v="61100"/>
    <n v="520.572"/>
    <n v="347.15909090909093"/>
    <s v="Apr"/>
    <x v="25"/>
    <m/>
    <m/>
  </r>
  <r>
    <n v="84135770"/>
    <x v="2"/>
    <n v="65600"/>
    <d v="2026-04-27T00:00:00"/>
    <s v="BJ US-IC-PistachioPistachio-FTNG-8 1PT"/>
    <x v="84"/>
    <n v="3.7853439999999999E-3"/>
    <n v="240"/>
    <x v="3"/>
    <x v="4"/>
    <n v="0.95"/>
    <n v="62320"/>
    <n v="235.90263808"/>
    <n v="259.66666666666669"/>
    <s v="Apr"/>
    <x v="21"/>
    <m/>
    <m/>
  </r>
  <r>
    <n v="64958127"/>
    <x v="1"/>
    <m/>
    <d v="2026-03-30T00:00:00"/>
    <s v="Yasso Coffee Chocolate Chip 8-4pk"/>
    <x v="65"/>
    <n v="3.3119999999999998E-3"/>
    <n v="165"/>
    <x v="4"/>
    <x v="5"/>
    <n v="0.96"/>
    <n v="0"/>
    <n v="0"/>
    <n v="0"/>
    <s v="Mar"/>
    <x v="20"/>
    <m/>
    <m/>
  </r>
  <r>
    <n v="68851108"/>
    <x v="1"/>
    <n v="65800"/>
    <d v="2026-03-23T00:00:00"/>
    <s v="BR VAN CHOC STRAW 6-1.5QT"/>
    <x v="80"/>
    <n v="8.5199999999999998E-3"/>
    <n v="176"/>
    <x v="0"/>
    <x v="1"/>
    <n v="0.94"/>
    <n v="61852"/>
    <n v="526.97903999999994"/>
    <n v="351.43181818181819"/>
    <s v="Mar"/>
    <x v="10"/>
    <m/>
    <m/>
  </r>
  <r>
    <n v="67826412"/>
    <x v="1"/>
    <n v="66000"/>
    <d v="2026-04-27T00:00:00"/>
    <s v="BJ US-IC-ChunkyMonkey-FTNG-8 1PT"/>
    <x v="66"/>
    <n v="3.7853439999999999E-3"/>
    <n v="240"/>
    <x v="3"/>
    <x v="12"/>
    <n v="0.95"/>
    <n v="62700"/>
    <n v="237.34106879999999"/>
    <n v="261.25"/>
    <s v="Apr"/>
    <x v="21"/>
    <m/>
    <m/>
  </r>
  <r>
    <n v="84138391"/>
    <x v="3"/>
    <n v="66080"/>
    <d v="2026-05-11T00:00:00"/>
    <s v="BJ US-IC-PhishFood-FTNG-8 1PT"/>
    <x v="77"/>
    <n v="3.7853439999999999E-3"/>
    <n v="240"/>
    <x v="3"/>
    <x v="13"/>
    <n v="0.95"/>
    <n v="62776"/>
    <n v="237.62875494400001"/>
    <n v="261.56666666666666"/>
    <s v="May"/>
    <x v="26"/>
    <m/>
    <m/>
  </r>
  <r>
    <n v="65594416"/>
    <x v="1"/>
    <m/>
    <d v="2026-03-23T00:00:00"/>
    <s v="MG Bars Dubai Chocolate 1-12pk"/>
    <x v="99"/>
    <n v="9.5999999999999992E-4"/>
    <n v="432"/>
    <x v="5"/>
    <x v="6"/>
    <n v="0.96"/>
    <n v="0"/>
    <n v="0"/>
    <n v="0"/>
    <s v="Mar"/>
    <x v="10"/>
    <m/>
    <m/>
  </r>
  <r>
    <n v="64771676"/>
    <x v="7"/>
    <n v="67672"/>
    <d v="2026-04-13T00:00:00"/>
    <s v="PS SpongeBob Facepiece IH 6-6PK"/>
    <x v="70"/>
    <n v="2.16E-3"/>
    <n v="195"/>
    <x v="16"/>
    <x v="24"/>
    <n v="0.96"/>
    <n v="64965.119999999995"/>
    <n v="140.32465919999999"/>
    <n v="333.15446153846153"/>
    <s v="Apr"/>
    <x v="25"/>
    <m/>
    <m/>
  </r>
  <r>
    <n v="64958124"/>
    <x v="10"/>
    <m/>
    <d v="2026-03-30T00:00:00"/>
    <s v="Yasso Cookies N Cream 8-4pk"/>
    <x v="69"/>
    <n v="3.3119999999999998E-3"/>
    <n v="165"/>
    <x v="4"/>
    <x v="30"/>
    <n v="0.96"/>
    <n v="0"/>
    <n v="0"/>
    <n v="0"/>
    <s v="Mar"/>
    <x v="20"/>
    <m/>
    <m/>
  </r>
  <r>
    <n v="67881629"/>
    <x v="3"/>
    <n v="69120"/>
    <d v="2026-04-06T00:00:00"/>
    <s v="BJ US-COR-BrownieBatter-8 1PT"/>
    <x v="72"/>
    <n v="3.7853439999999999E-3"/>
    <n v="240"/>
    <x v="3"/>
    <x v="13"/>
    <n v="0.95"/>
    <n v="65664"/>
    <n v="248.56082841599999"/>
    <n v="273.60000000000002"/>
    <s v="Apr"/>
    <x v="23"/>
    <m/>
    <m/>
  </r>
  <r>
    <n v="64394583"/>
    <x v="1"/>
    <n v="69300"/>
    <d v="2026-04-13T00:00:00"/>
    <s v="BJ US-SUN-CookieVermontster-8 427ML"/>
    <x v="88"/>
    <n v="3.4159999999999998E-3"/>
    <n v="240"/>
    <x v="14"/>
    <x v="21"/>
    <n v="0.96"/>
    <n v="66528"/>
    <n v="227.259648"/>
    <n v="277.2"/>
    <s v="Apr"/>
    <x v="25"/>
    <m/>
    <m/>
  </r>
  <r>
    <n v="68649095"/>
    <x v="1"/>
    <n v="69300"/>
    <d v="2026-04-27T00:00:00"/>
    <s v="BJ US-TOP-DirtCake-8 450ML"/>
    <x v="88"/>
    <n v="3.5999999999999999E-3"/>
    <n v="240"/>
    <x v="8"/>
    <x v="9"/>
    <n v="0.96"/>
    <n v="66528"/>
    <n v="239.5008"/>
    <n v="277.2"/>
    <s v="Apr"/>
    <x v="21"/>
    <m/>
    <m/>
  </r>
  <r>
    <n v="84144598"/>
    <x v="1"/>
    <n v="69600"/>
    <d v="2026-03-30T00:00:00"/>
    <s v="BJ US-IC-VanillaCaramelFdg-FTNG-8 1PT"/>
    <x v="66"/>
    <n v="3.7853439999999999E-3"/>
    <n v="240"/>
    <x v="3"/>
    <x v="12"/>
    <n v="0.95"/>
    <n v="66120"/>
    <n v="250.28694528"/>
    <n v="275.5"/>
    <s v="Mar"/>
    <x v="20"/>
    <m/>
    <m/>
  </r>
  <r>
    <n v="64976851"/>
    <x v="12"/>
    <m/>
    <d v="2026-03-23T00:00:00"/>
    <s v="Yasso Caramel Chocolate Crunch 8-4pk"/>
    <x v="69"/>
    <n v="2.5040000000000001E-3"/>
    <n v="165"/>
    <x v="4"/>
    <x v="33"/>
    <n v="0.96"/>
    <n v="0"/>
    <n v="0"/>
    <n v="0"/>
    <s v="Mar"/>
    <x v="10"/>
    <m/>
    <m/>
  </r>
  <r>
    <n v="68817801"/>
    <x v="1"/>
    <n v="70200"/>
    <d v="2026-05-04T00:00:00"/>
    <s v="BR XCRMY Chocolate 6 1.5QT"/>
    <x v="80"/>
    <n v="8.5199999999999998E-3"/>
    <n v="176"/>
    <x v="0"/>
    <x v="1"/>
    <n v="0.94"/>
    <n v="65988"/>
    <n v="562.21776"/>
    <n v="374.93181818181819"/>
    <s v="May"/>
    <x v="24"/>
    <m/>
    <m/>
  </r>
  <r>
    <n v="68821734"/>
    <x v="1"/>
    <n v="70200"/>
    <d v="2026-05-18T00:00:00"/>
    <s v="BR Vanilla Chocolate 6 1.5QT"/>
    <x v="80"/>
    <n v="8.5199999999999998E-3"/>
    <n v="176"/>
    <x v="0"/>
    <x v="1"/>
    <n v="0.94"/>
    <n v="65988"/>
    <n v="562.21776"/>
    <n v="374.93181818181819"/>
    <s v="May"/>
    <x v="39"/>
    <m/>
    <m/>
  </r>
  <r>
    <n v="68821735"/>
    <x v="1"/>
    <n v="70200"/>
    <d v="2026-05-11T00:00:00"/>
    <s v="BR Lactose Free Vanilla 6 1.5QT"/>
    <x v="80"/>
    <n v="8.5199999999999998E-3"/>
    <n v="176"/>
    <x v="0"/>
    <x v="1"/>
    <n v="0.94"/>
    <n v="65988"/>
    <n v="562.21776"/>
    <n v="374.93181818181819"/>
    <s v="May"/>
    <x v="26"/>
    <m/>
    <m/>
  </r>
  <r>
    <n v="68851107"/>
    <x v="1"/>
    <n v="70200"/>
    <d v="2026-04-13T00:00:00"/>
    <s v="BR NAT Vanilla 6-1.5QT"/>
    <x v="80"/>
    <n v="8.5199999999999998E-3"/>
    <n v="176"/>
    <x v="0"/>
    <x v="1"/>
    <n v="0.94"/>
    <n v="65988"/>
    <n v="562.21776"/>
    <n v="374.93181818181819"/>
    <s v="Apr"/>
    <x v="25"/>
    <m/>
    <m/>
  </r>
  <r>
    <n v="68851108"/>
    <x v="1"/>
    <n v="70200"/>
    <d v="2026-04-13T00:00:00"/>
    <s v="BR VAN CHOC STRAW 6-1.5QT"/>
    <x v="80"/>
    <n v="8.5199999999999998E-3"/>
    <n v="176"/>
    <x v="0"/>
    <x v="1"/>
    <n v="0.94"/>
    <n v="65988"/>
    <n v="562.21776"/>
    <n v="374.93181818181819"/>
    <s v="Apr"/>
    <x v="25"/>
    <m/>
    <m/>
  </r>
  <r>
    <n v="68851108"/>
    <x v="1"/>
    <n v="70200"/>
    <d v="2026-05-18T00:00:00"/>
    <s v="BR VAN CHOC STRAW 6-1.5QT"/>
    <x v="80"/>
    <n v="8.5199999999999998E-3"/>
    <n v="176"/>
    <x v="0"/>
    <x v="1"/>
    <n v="0.94"/>
    <n v="65988"/>
    <n v="562.21776"/>
    <n v="374.93181818181819"/>
    <s v="May"/>
    <x v="39"/>
    <m/>
    <m/>
  </r>
  <r>
    <n v="68899825"/>
    <x v="1"/>
    <n v="70200"/>
    <d v="2026-05-04T00:00:00"/>
    <s v="BR CHOC Chip 6 1.5QT"/>
    <x v="80"/>
    <n v="8.513999999999999E-3"/>
    <n v="176"/>
    <x v="0"/>
    <x v="1"/>
    <n v="0.94"/>
    <n v="65988"/>
    <n v="561.82183199999997"/>
    <n v="374.93181818181819"/>
    <s v="May"/>
    <x v="24"/>
    <m/>
    <m/>
  </r>
  <r>
    <n v="69568962"/>
    <x v="1"/>
    <n v="70200"/>
    <d v="2026-05-11T00:00:00"/>
    <s v="BR NSA VCS 6 1.5QT"/>
    <x v="80"/>
    <n v="8.5199999999999998E-3"/>
    <n v="176"/>
    <x v="0"/>
    <x v="1"/>
    <n v="0.94"/>
    <n v="65988"/>
    <n v="562.21776"/>
    <n v="374.93181818181819"/>
    <s v="May"/>
    <x v="26"/>
    <m/>
    <m/>
  </r>
  <r>
    <n v="69568964"/>
    <x v="1"/>
    <n v="70200"/>
    <d v="2026-04-27T00:00:00"/>
    <s v="BR NSA Vanilla 6 1.5QT"/>
    <x v="80"/>
    <n v="8.5199999999999998E-3"/>
    <n v="176"/>
    <x v="0"/>
    <x v="1"/>
    <n v="0.94"/>
    <n v="65988"/>
    <n v="562.21776"/>
    <n v="374.93181818181819"/>
    <s v="Apr"/>
    <x v="21"/>
    <m/>
    <m/>
  </r>
  <r>
    <n v="69586720"/>
    <x v="19"/>
    <n v="70400"/>
    <d v="2026-04-06T00:00:00"/>
    <s v="KL Cones Cookies n Cream 6-4CT"/>
    <x v="70"/>
    <n v="2.6640000000000001E-3"/>
    <n v="220"/>
    <x v="22"/>
    <x v="48"/>
    <n v="0.96"/>
    <n v="67584"/>
    <n v="180.04377600000001"/>
    <n v="307.2"/>
    <s v="Apr"/>
    <x v="23"/>
    <m/>
    <m/>
  </r>
  <r>
    <n v="68896054"/>
    <x v="0"/>
    <n v="70560"/>
    <d v="2026-04-13T00:00:00"/>
    <s v="BR Chocolate Chip Cookie Dough 6 1.5QT"/>
    <x v="74"/>
    <n v="8.5199999999999998E-3"/>
    <n v="176"/>
    <x v="0"/>
    <x v="0"/>
    <n v="0.94"/>
    <n v="66326.399999999994"/>
    <n v="565.10092799999995"/>
    <n v="376.85454545454542"/>
    <s v="Apr"/>
    <x v="25"/>
    <m/>
    <m/>
  </r>
  <r>
    <n v="64330596"/>
    <x v="1"/>
    <n v="71000"/>
    <d v="2026-04-13T00:00:00"/>
    <s v="MG Mini Double Caramel Bar 6-6PK"/>
    <x v="64"/>
    <n v="1.98E-3"/>
    <n v="176"/>
    <x v="5"/>
    <x v="6"/>
    <n v="0.96"/>
    <n v="68160"/>
    <n v="134.95679999999999"/>
    <n v="387.27272727272725"/>
    <s v="Apr"/>
    <x v="25"/>
    <m/>
    <m/>
  </r>
  <r>
    <n v="64330596"/>
    <x v="1"/>
    <n v="72000"/>
    <d v="2026-05-25T00:00:00"/>
    <s v="MG Mini Double Caramel Bar 6-6PK"/>
    <x v="64"/>
    <n v="1.98E-3"/>
    <n v="176"/>
    <x v="5"/>
    <x v="6"/>
    <n v="0.96"/>
    <n v="69120"/>
    <n v="136.85759999999999"/>
    <n v="392.72727272727275"/>
    <s v="May"/>
    <x v="46"/>
    <m/>
    <m/>
  </r>
  <r>
    <n v="64330611"/>
    <x v="1"/>
    <n v="72000"/>
    <d v="2026-04-27T00:00:00"/>
    <s v="MG Double Caramel Bar 8-3PK"/>
    <x v="64"/>
    <n v="2.16E-3"/>
    <n v="210"/>
    <x v="5"/>
    <x v="6"/>
    <n v="0.96"/>
    <n v="69120"/>
    <n v="149.29920000000001"/>
    <n v="329.14285714285717"/>
    <s v="Apr"/>
    <x v="21"/>
    <m/>
    <m/>
  </r>
  <r>
    <n v="64330611"/>
    <x v="1"/>
    <n v="72000"/>
    <d v="2026-05-04T00:00:00"/>
    <s v="MG Double Caramel Bar 8-3PK"/>
    <x v="64"/>
    <n v="2.16E-3"/>
    <n v="210"/>
    <x v="5"/>
    <x v="6"/>
    <n v="0.96"/>
    <n v="69120"/>
    <n v="149.29920000000001"/>
    <n v="329.14285714285717"/>
    <s v="May"/>
    <x v="24"/>
    <m/>
    <m/>
  </r>
  <r>
    <n v="64341109"/>
    <x v="7"/>
    <n v="72000"/>
    <d v="2026-04-27T00:00:00"/>
    <s v="PS Spiderman Facepiece 1-20PK"/>
    <x v="70"/>
    <n v="2E-3"/>
    <n v="210"/>
    <x v="16"/>
    <x v="24"/>
    <n v="0.96"/>
    <n v="69120"/>
    <n v="138.24"/>
    <n v="329.14285714285717"/>
    <s v="Apr"/>
    <x v="21"/>
    <m/>
    <m/>
  </r>
  <r>
    <n v="64771676"/>
    <x v="7"/>
    <n v="72000"/>
    <d v="2026-06-22T00:00:00"/>
    <s v="PS SpongeBob Facepiece IH 6-6PK"/>
    <x v="70"/>
    <n v="2.16E-3"/>
    <n v="195"/>
    <x v="16"/>
    <x v="24"/>
    <n v="0.96"/>
    <n v="69120"/>
    <n v="149.29920000000001"/>
    <n v="354.46153846153845"/>
    <s v="Jun"/>
    <x v="49"/>
    <m/>
    <m/>
  </r>
  <r>
    <n v="68850683"/>
    <x v="0"/>
    <n v="72300"/>
    <d v="2026-04-13T00:00:00"/>
    <s v="BR Homemade Vanilla 6-1.5QT"/>
    <x v="78"/>
    <n v="8.5199999999999998E-3"/>
    <n v="176"/>
    <x v="0"/>
    <x v="0"/>
    <n v="0.94"/>
    <n v="67962"/>
    <n v="579.03624000000002"/>
    <n v="386.14772727272725"/>
    <s v="Apr"/>
    <x v="25"/>
    <m/>
    <m/>
  </r>
  <r>
    <n v="67789314"/>
    <x v="3"/>
    <n v="19440"/>
    <d v="2026-03-30T00:00:00"/>
    <s v="BJ US-IC-PBHalfBaked-8 1 PT"/>
    <x v="72"/>
    <n v="3.7853439999999999E-3"/>
    <n v="240"/>
    <x v="3"/>
    <x v="13"/>
    <n v="0.95"/>
    <n v="18468"/>
    <n v="69.907732991999993"/>
    <n v="76.95"/>
    <s v="Mar"/>
    <x v="20"/>
    <m/>
    <m/>
  </r>
  <r>
    <n v="84138391"/>
    <x v="3"/>
    <n v="72800"/>
    <d v="2026-04-06T00:00:00"/>
    <s v="BJ US-IC-PhishFood-FTNG-8 1PT"/>
    <x v="77"/>
    <n v="3.7853439999999999E-3"/>
    <n v="240"/>
    <x v="3"/>
    <x v="13"/>
    <n v="0.95"/>
    <n v="69160"/>
    <n v="261.79439103999999"/>
    <n v="288.16666666666669"/>
    <s v="Apr"/>
    <x v="23"/>
    <m/>
    <m/>
  </r>
  <r>
    <n v="64987234"/>
    <x v="11"/>
    <n v="73292"/>
    <d v="2026-03-30T00:00:00"/>
    <s v="BJ US-Bar-Cookie Dough 8-4pk"/>
    <x v="69"/>
    <n v="2.3999999999999998E-3"/>
    <n v="165"/>
    <x v="24"/>
    <x v="45"/>
    <n v="0.96"/>
    <n v="70360.319999999992"/>
    <n v="168.86476799999997"/>
    <n v="426.42618181818176"/>
    <s v="Mar"/>
    <x v="20"/>
    <m/>
    <m/>
  </r>
  <r>
    <n v="64376316"/>
    <x v="8"/>
    <n v="74115"/>
    <d v="2026-05-11T00:00:00"/>
    <s v="Yasso Cookies n Cream Club 1-15pk"/>
    <x v="69"/>
    <n v="1.5449999999999999E-3"/>
    <n v="240"/>
    <x v="19"/>
    <x v="28"/>
    <n v="0.96"/>
    <n v="71150.399999999994"/>
    <n v="109.92736799999999"/>
    <n v="296.45999999999998"/>
    <s v="May"/>
    <x v="26"/>
    <m/>
    <m/>
  </r>
  <r>
    <n v="64958124"/>
    <x v="1"/>
    <n v="75000"/>
    <d v="2026-05-18T00:00:00"/>
    <s v="Yasso Cookies N Cream 8-4pk"/>
    <x v="65"/>
    <n v="3.3119999999999998E-3"/>
    <n v="165"/>
    <x v="4"/>
    <x v="5"/>
    <n v="0.96"/>
    <n v="72000"/>
    <n v="238.464"/>
    <n v="436.36363636363637"/>
    <s v="May"/>
    <x v="39"/>
    <m/>
    <m/>
  </r>
  <r>
    <n v="64958128"/>
    <x v="1"/>
    <n v="75000"/>
    <d v="2026-04-27T00:00:00"/>
    <s v="Yasso Mint Chocolate Chip 8-4pk"/>
    <x v="65"/>
    <n v="3.3119999999999998E-3"/>
    <n v="165"/>
    <x v="4"/>
    <x v="5"/>
    <n v="0.96"/>
    <n v="72000"/>
    <n v="238.464"/>
    <n v="436.36363636363637"/>
    <s v="Apr"/>
    <x v="21"/>
    <m/>
    <m/>
  </r>
  <r>
    <n v="64976851"/>
    <x v="1"/>
    <n v="75000"/>
    <d v="2026-05-04T00:00:00"/>
    <s v="Yasso Caramel Chocolate Crunch 8-4pk"/>
    <x v="65"/>
    <n v="2.5040000000000001E-3"/>
    <n v="165"/>
    <x v="4"/>
    <x v="5"/>
    <n v="0.96"/>
    <n v="72000"/>
    <n v="180.28800000000001"/>
    <n v="436.36363636363637"/>
    <s v="May"/>
    <x v="24"/>
    <m/>
    <m/>
  </r>
  <r>
    <n v="64976851"/>
    <x v="1"/>
    <n v="75000"/>
    <d v="2026-05-11T00:00:00"/>
    <s v="Yasso Caramel Chocolate Crunch 8-4pk"/>
    <x v="65"/>
    <n v="2.5040000000000001E-3"/>
    <n v="165"/>
    <x v="4"/>
    <x v="5"/>
    <n v="0.96"/>
    <n v="72000"/>
    <n v="180.28800000000001"/>
    <n v="436.36363636363637"/>
    <s v="May"/>
    <x v="26"/>
    <m/>
    <m/>
  </r>
  <r>
    <n v="65594416"/>
    <x v="1"/>
    <m/>
    <d v="2026-03-30T00:00:00"/>
    <s v="MG Bars Dubai Chocolate 1-12pk"/>
    <x v="99"/>
    <n v="9.5999999999999992E-4"/>
    <n v="432"/>
    <x v="5"/>
    <x v="6"/>
    <n v="0.96"/>
    <n v="0"/>
    <n v="0"/>
    <n v="0"/>
    <s v="Mar"/>
    <x v="20"/>
    <m/>
    <m/>
  </r>
  <r>
    <n v="65594416"/>
    <x v="1"/>
    <n v="76800"/>
    <d v="2026-05-11T00:00:00"/>
    <s v="MG Bars Dubai Chocolate 1-12pk"/>
    <x v="99"/>
    <n v="9.5999999999999992E-4"/>
    <n v="432"/>
    <x v="5"/>
    <x v="6"/>
    <n v="0.96"/>
    <n v="73728"/>
    <n v="70.778879999999987"/>
    <n v="170.66666666666666"/>
    <s v="May"/>
    <x v="26"/>
    <m/>
    <m/>
  </r>
  <r>
    <n v="64976846"/>
    <x v="12"/>
    <n v="78000"/>
    <d v="2026-07-13T00:00:00"/>
    <s v="Yasso Strawberry Chocolate Crunch 8-4pk"/>
    <x v="69"/>
    <n v="2.5040000000000001E-3"/>
    <n v="165"/>
    <x v="4"/>
    <x v="33"/>
    <n v="0.96"/>
    <n v="74880"/>
    <n v="187.49952000000002"/>
    <n v="453.81818181818181"/>
    <s v="Jul"/>
    <x v="48"/>
    <m/>
    <m/>
  </r>
  <r>
    <n v="65431090"/>
    <x v="1"/>
    <n v="78000"/>
    <d v="2026-04-20T00:00:00"/>
    <s v="Talenti Hazelnut Chocolate 8-1PT"/>
    <x v="98"/>
    <n v="3.7839999999999996E-3"/>
    <n v="255"/>
    <x v="2"/>
    <x v="3"/>
    <n v="0.96"/>
    <n v="74880"/>
    <n v="283.34591999999998"/>
    <n v="293.64705882352939"/>
    <s v="Apr"/>
    <x v="40"/>
    <m/>
    <m/>
  </r>
  <r>
    <n v="84141102"/>
    <x v="2"/>
    <m/>
    <d v="2026-05-18T00:00:00"/>
    <s v="BJ US-IC-ChocFudgBrownie-FTNG-8 1PT"/>
    <x v="84"/>
    <n v="3.7853439999999999E-3"/>
    <n v="240"/>
    <x v="3"/>
    <x v="4"/>
    <n v="0.95"/>
    <n v="0"/>
    <n v="0"/>
    <n v="0"/>
    <s v="May"/>
    <x v="39"/>
    <m/>
    <m/>
  </r>
  <r>
    <n v="84141103"/>
    <x v="2"/>
    <n v="98000"/>
    <d v="2026-04-27T00:00:00"/>
    <s v="BJ US-IC-HalfBaked-FTNG-8 1PT"/>
    <x v="84"/>
    <n v="3.7853439999999999E-3"/>
    <n v="240"/>
    <x v="3"/>
    <x v="4"/>
    <n v="0.95"/>
    <n v="93100"/>
    <n v="352.41552639999998"/>
    <n v="387.91666666666669"/>
    <s v="Apr"/>
    <x v="21"/>
    <m/>
    <m/>
  </r>
  <r>
    <n v="64979444"/>
    <x v="7"/>
    <m/>
    <d v="2026-03-23T00:00:00"/>
    <s v="PS Bluey Facepiece IH 6-6PK"/>
    <x v="70"/>
    <n v="2.16E-3"/>
    <n v="195"/>
    <x v="16"/>
    <x v="24"/>
    <n v="0.96"/>
    <n v="0"/>
    <n v="0"/>
    <n v="0"/>
    <s v="Mar"/>
    <x v="10"/>
    <m/>
    <m/>
  </r>
  <r>
    <n v="64393722"/>
    <x v="1"/>
    <n v="79200"/>
    <d v="2026-05-25T00:00:00"/>
    <s v="MG Double Raspberry Bar 8-3PK"/>
    <x v="99"/>
    <n v="2.16E-3"/>
    <n v="210"/>
    <x v="5"/>
    <x v="6"/>
    <n v="0.96"/>
    <n v="76032"/>
    <n v="164.22911999999999"/>
    <n v="362.05714285714288"/>
    <s v="May"/>
    <x v="46"/>
    <m/>
    <m/>
  </r>
  <r>
    <n v="84141103"/>
    <x v="2"/>
    <n v="79500"/>
    <d v="2026-03-30T00:00:00"/>
    <s v="BJ US-IC-HalfBaked-FTNG-8 1PT"/>
    <x v="84"/>
    <n v="3.7853439999999999E-3"/>
    <n v="240"/>
    <x v="3"/>
    <x v="4"/>
    <n v="0.95"/>
    <n v="75525"/>
    <n v="285.88810560000002"/>
    <n v="314.6875"/>
    <s v="Mar"/>
    <x v="20"/>
    <m/>
    <m/>
  </r>
  <r>
    <n v="68867755"/>
    <x v="1"/>
    <n v="20900"/>
    <d v="2026-03-30T00:00:00"/>
    <s v="Talenti LY Salted CAR Truffle 8 323.1g"/>
    <x v="87"/>
    <n v="3.552E-3"/>
    <n v="255"/>
    <x v="2"/>
    <x v="3"/>
    <n v="0.96"/>
    <n v="20064"/>
    <n v="71.267328000000006"/>
    <n v="78.682352941176475"/>
    <s v="Mar"/>
    <x v="20"/>
    <m/>
    <m/>
  </r>
  <r>
    <n v="64988056"/>
    <x v="1"/>
    <n v="24000"/>
    <d v="2026-03-30T00:00:00"/>
    <s v="BR Butter Pecan 6 1.5QT"/>
    <x v="83"/>
    <n v="8.513999999999999E-3"/>
    <n v="176"/>
    <x v="0"/>
    <x v="1"/>
    <n v="0.94"/>
    <n v="22560"/>
    <n v="192.07583999999997"/>
    <n v="128.18181818181819"/>
    <s v="Mar"/>
    <x v="20"/>
    <m/>
    <m/>
  </r>
  <r>
    <n v="84137725"/>
    <x v="2"/>
    <n v="81000"/>
    <d v="2026-03-30T00:00:00"/>
    <s v="BJ US-IC-CherryGarcia-FTNG-8 1PT"/>
    <x v="84"/>
    <n v="3.7853439999999999E-3"/>
    <n v="240"/>
    <x v="3"/>
    <x v="4"/>
    <n v="0.95"/>
    <n v="76950"/>
    <n v="291.2822208"/>
    <n v="320.625"/>
    <s v="Mar"/>
    <x v="20"/>
    <m/>
    <m/>
  </r>
  <r>
    <n v="84141102"/>
    <x v="2"/>
    <n v="81000"/>
    <d v="2026-03-23T00:00:00"/>
    <s v="BJ US-IC-ChocFudgBrownie-FTNG-8 1PT"/>
    <x v="84"/>
    <n v="3.7853439999999999E-3"/>
    <n v="240"/>
    <x v="3"/>
    <x v="4"/>
    <n v="0.95"/>
    <n v="76950"/>
    <n v="291.2822208"/>
    <n v="320.625"/>
    <s v="Mar"/>
    <x v="10"/>
    <m/>
    <m/>
  </r>
  <r>
    <n v="68649095"/>
    <x v="1"/>
    <n v="82500"/>
    <d v="2026-05-18T00:00:00"/>
    <s v="BJ US-TOP-DirtCake-8 450ML"/>
    <x v="88"/>
    <n v="3.5999999999999999E-3"/>
    <n v="240"/>
    <x v="8"/>
    <x v="9"/>
    <n v="0.96"/>
    <n v="79200"/>
    <n v="285.12"/>
    <n v="330"/>
    <s v="May"/>
    <x v="39"/>
    <m/>
    <m/>
  </r>
  <r>
    <n v="64341108"/>
    <x v="7"/>
    <n v="82800"/>
    <d v="2026-04-06T00:00:00"/>
    <s v="PS SpongeBob Facepiece 1-20PK"/>
    <x v="70"/>
    <n v="2.3599999999999997E-3"/>
    <n v="210"/>
    <x v="16"/>
    <x v="24"/>
    <n v="0.96"/>
    <n v="79488"/>
    <n v="187.59167999999997"/>
    <n v="378.51428571428573"/>
    <s v="Apr"/>
    <x v="23"/>
    <m/>
    <m/>
  </r>
  <r>
    <n v="64771676"/>
    <x v="7"/>
    <n v="83148"/>
    <d v="2026-04-27T00:00:00"/>
    <s v="PS SpongeBob Facepiece IH 6-6PK"/>
    <x v="70"/>
    <n v="2.16E-3"/>
    <n v="195"/>
    <x v="16"/>
    <x v="24"/>
    <n v="0.96"/>
    <n v="79822.080000000002"/>
    <n v="172.41569280000002"/>
    <n v="409.34399999999999"/>
    <s v="Apr"/>
    <x v="21"/>
    <m/>
    <m/>
  </r>
  <r>
    <n v="68860136"/>
    <x v="1"/>
    <n v="83200"/>
    <d v="2026-04-20T00:00:00"/>
    <s v="Talenti Black Raspberry CHOC Chip 8 1PT"/>
    <x v="98"/>
    <n v="3.7839999999999996E-3"/>
    <n v="255"/>
    <x v="2"/>
    <x v="3"/>
    <n v="0.96"/>
    <n v="79872"/>
    <n v="302.23564799999997"/>
    <n v="313.22352941176473"/>
    <s v="Apr"/>
    <x v="40"/>
    <m/>
    <m/>
  </r>
  <r>
    <n v="68851107"/>
    <x v="1"/>
    <n v="83850"/>
    <d v="2026-04-06T00:00:00"/>
    <s v="BR NAT Vanilla 6-1.5QT"/>
    <x v="80"/>
    <n v="8.5199999999999998E-3"/>
    <n v="176"/>
    <x v="0"/>
    <x v="1"/>
    <n v="0.94"/>
    <n v="78819"/>
    <n v="671.53787999999997"/>
    <n v="447.83522727272725"/>
    <s v="Apr"/>
    <x v="23"/>
    <m/>
    <m/>
  </r>
  <r>
    <n v="69999267"/>
    <x v="1"/>
    <n v="85500"/>
    <d v="2026-04-06T00:00:00"/>
    <s v="BJ US-IC-GimmeSmore-8 1PT"/>
    <x v="66"/>
    <n v="3.7839999999999996E-3"/>
    <n v="240"/>
    <x v="3"/>
    <x v="12"/>
    <n v="0.95"/>
    <n v="81225"/>
    <n v="307.35539999999997"/>
    <n v="338.4375"/>
    <s v="Apr"/>
    <x v="23"/>
    <m/>
    <m/>
  </r>
  <r>
    <n v="84141102"/>
    <x v="2"/>
    <m/>
    <d v="2026-05-04T00:00:00"/>
    <s v="BJ US-IC-ChocFudgBrownie-FTNG-8 1PT"/>
    <x v="84"/>
    <n v="3.7853439999999999E-3"/>
    <n v="240"/>
    <x v="3"/>
    <x v="4"/>
    <n v="0.95"/>
    <n v="0"/>
    <n v="0"/>
    <n v="0"/>
    <s v="May"/>
    <x v="24"/>
    <m/>
    <m/>
  </r>
  <r>
    <n v="84141103"/>
    <x v="2"/>
    <n v="99000"/>
    <d v="2026-05-18T00:00:00"/>
    <s v="BJ US-IC-HalfBaked-FTNG-8 1PT"/>
    <x v="84"/>
    <n v="3.7853439999999999E-3"/>
    <n v="240"/>
    <x v="3"/>
    <x v="4"/>
    <n v="0.95"/>
    <n v="94050"/>
    <n v="356.01160319999997"/>
    <n v="391.875"/>
    <s v="May"/>
    <x v="39"/>
    <m/>
    <m/>
  </r>
  <r>
    <n v="68851107"/>
    <x v="1"/>
    <n v="87750"/>
    <d v="2026-04-20T00:00:00"/>
    <s v="BR NAT Vanilla 6-1.5QT"/>
    <x v="80"/>
    <n v="8.5199999999999998E-3"/>
    <n v="176"/>
    <x v="0"/>
    <x v="1"/>
    <n v="0.94"/>
    <n v="82485"/>
    <n v="702.7722"/>
    <n v="468.66477272727275"/>
    <s v="Apr"/>
    <x v="40"/>
    <m/>
    <m/>
  </r>
  <r>
    <n v="64987234"/>
    <x v="11"/>
    <n v="88214"/>
    <d v="2026-05-04T00:00:00"/>
    <s v="BJ US-Bar-Cookie Dough 8-4pk"/>
    <x v="69"/>
    <n v="2.3999999999999998E-3"/>
    <n v="165"/>
    <x v="24"/>
    <x v="45"/>
    <n v="0.96"/>
    <n v="84685.440000000002"/>
    <n v="203.24505599999998"/>
    <n v="513.24509090909089"/>
    <s v="May"/>
    <x v="24"/>
    <m/>
    <m/>
  </r>
  <r>
    <n v="64979444"/>
    <x v="7"/>
    <n v="88998"/>
    <d v="2026-05-04T00:00:00"/>
    <s v="PS Bluey Facepiece IH 6-6PK"/>
    <x v="70"/>
    <n v="2.16E-3"/>
    <n v="195"/>
    <x v="16"/>
    <x v="24"/>
    <n v="0.96"/>
    <n v="85438.080000000002"/>
    <n v="184.54625280000002"/>
    <n v="438.14400000000001"/>
    <s v="May"/>
    <x v="24"/>
    <m/>
    <m/>
  </r>
  <r>
    <n v="64973976"/>
    <x v="8"/>
    <n v="92160"/>
    <d v="2026-07-06T00:00:00"/>
    <s v="BR Reeses Mini Cups 1-12PK"/>
    <x v="69"/>
    <n v="1.0644000000000001E-3"/>
    <n v="190"/>
    <x v="23"/>
    <x v="55"/>
    <n v="0.96"/>
    <n v="88473.599999999991"/>
    <n v="94.171299840000003"/>
    <n v="465.65052631578942"/>
    <s v="Jul"/>
    <x v="30"/>
    <m/>
    <m/>
  </r>
  <r>
    <n v="64958122"/>
    <x v="1"/>
    <n v="92475"/>
    <d v="2026-04-20T00:00:00"/>
    <s v="Yasso Sea Salt Caramel 8-4pk"/>
    <x v="65"/>
    <n v="3.3119999999999998E-3"/>
    <n v="165"/>
    <x v="4"/>
    <x v="5"/>
    <n v="0.96"/>
    <n v="88776"/>
    <n v="294.02611200000001"/>
    <n v="538.0363636363636"/>
    <s v="Apr"/>
    <x v="40"/>
    <m/>
    <m/>
  </r>
  <r>
    <n v="64958128"/>
    <x v="1"/>
    <n v="92475"/>
    <d v="2026-04-06T00:00:00"/>
    <s v="Yasso Mint Chocolate Chip 8-4pk"/>
    <x v="65"/>
    <n v="3.3119999999999998E-3"/>
    <n v="165"/>
    <x v="4"/>
    <x v="5"/>
    <n v="0.96"/>
    <n v="88776"/>
    <n v="294.02611200000001"/>
    <n v="538.0363636363636"/>
    <s v="Apr"/>
    <x v="23"/>
    <m/>
    <m/>
  </r>
  <r>
    <n v="68860659"/>
    <x v="1"/>
    <n v="93600"/>
    <d v="2026-05-11T00:00:00"/>
    <s v="Talenti Southern Butter Pecan 8 1PT"/>
    <x v="98"/>
    <n v="3.7839999999999996E-3"/>
    <n v="255"/>
    <x v="2"/>
    <x v="3"/>
    <n v="0.96"/>
    <n v="89856"/>
    <n v="340.01510399999995"/>
    <n v="352.37647058823529"/>
    <s v="May"/>
    <x v="26"/>
    <m/>
    <m/>
  </r>
  <r>
    <n v="68862392"/>
    <x v="1"/>
    <n v="93600"/>
    <d v="2026-05-25T00:00:00"/>
    <s v="Talenti Coffee CHOC Chip 8 1PT"/>
    <x v="98"/>
    <n v="3.7839999999999996E-3"/>
    <n v="255"/>
    <x v="2"/>
    <x v="3"/>
    <n v="0.96"/>
    <n v="89856"/>
    <n v="340.01510399999995"/>
    <n v="352.37647058823529"/>
    <s v="May"/>
    <x v="46"/>
    <m/>
    <m/>
  </r>
  <r>
    <n v="68862496"/>
    <x v="1"/>
    <n v="93600"/>
    <d v="2026-05-18T00:00:00"/>
    <s v="Talenti Alphonso Mango SORB (DF) 8 1PT"/>
    <x v="98"/>
    <n v="3.7839999999999996E-3"/>
    <n v="255"/>
    <x v="2"/>
    <x v="3"/>
    <n v="0.96"/>
    <n v="89856"/>
    <n v="340.01510399999995"/>
    <n v="352.37647058823529"/>
    <s v="May"/>
    <x v="39"/>
    <m/>
    <m/>
  </r>
  <r>
    <n v="68867756"/>
    <x v="1"/>
    <n v="93600"/>
    <d v="2026-05-04T00:00:00"/>
    <s v="Talenti Roman Raspberry SORB 8 1PT"/>
    <x v="98"/>
    <n v="3.7839999999999996E-3"/>
    <n v="255"/>
    <x v="2"/>
    <x v="3"/>
    <n v="0.96"/>
    <n v="89856"/>
    <n v="340.01510399999995"/>
    <n v="352.37647058823529"/>
    <s v="May"/>
    <x v="24"/>
    <m/>
    <m/>
  </r>
  <r>
    <n v="68922108"/>
    <x v="1"/>
    <n v="93600"/>
    <d v="2026-04-27T00:00:00"/>
    <s v="Talenti Caramel Cookie Crunch 8 1PT"/>
    <x v="98"/>
    <n v="3.7839999999999996E-3"/>
    <n v="255"/>
    <x v="2"/>
    <x v="3"/>
    <n v="0.96"/>
    <n v="89856"/>
    <n v="340.01510399999995"/>
    <n v="352.37647058823529"/>
    <s v="Apr"/>
    <x v="21"/>
    <m/>
    <m/>
  </r>
  <r>
    <n v="68922108"/>
    <x v="1"/>
    <n v="93600"/>
    <d v="2026-05-18T00:00:00"/>
    <s v="Talenti Caramel Cookie Crunch 8 1PT"/>
    <x v="98"/>
    <n v="3.7839999999999996E-3"/>
    <n v="255"/>
    <x v="2"/>
    <x v="3"/>
    <n v="0.96"/>
    <n v="89856"/>
    <n v="340.01510399999995"/>
    <n v="352.37647058823529"/>
    <s v="May"/>
    <x v="39"/>
    <m/>
    <m/>
  </r>
  <r>
    <n v="65594416"/>
    <x v="1"/>
    <n v="94400"/>
    <d v="2026-04-27T00:00:00"/>
    <s v="MG Bars Dubai Chocolate 1-12pk"/>
    <x v="99"/>
    <n v="9.5999999999999992E-4"/>
    <n v="432"/>
    <x v="5"/>
    <x v="6"/>
    <n v="0.96"/>
    <n v="90624"/>
    <n v="86.999039999999994"/>
    <n v="209.77777777777777"/>
    <s v="Apr"/>
    <x v="21"/>
    <m/>
    <m/>
  </r>
  <r>
    <n v="84141102"/>
    <x v="2"/>
    <n v="94500"/>
    <d v="2026-04-13T00:00:00"/>
    <s v="BJ US-IC-ChocFudgBrownie-FTNG-8 1PT"/>
    <x v="84"/>
    <n v="3.7853439999999999E-3"/>
    <n v="240"/>
    <x v="3"/>
    <x v="4"/>
    <n v="0.95"/>
    <n v="89775"/>
    <n v="339.82925760000001"/>
    <n v="374.0625"/>
    <s v="Apr"/>
    <x v="25"/>
    <m/>
    <m/>
  </r>
  <r>
    <n v="67794167"/>
    <x v="2"/>
    <n v="102000"/>
    <d v="2026-04-13T00:00:00"/>
    <s v="BJ US-IC-Milk+Cookies-8 1PT"/>
    <x v="84"/>
    <n v="3.7853439999999999E-3"/>
    <n v="240"/>
    <x v="3"/>
    <x v="4"/>
    <n v="0.95"/>
    <n v="96900"/>
    <n v="366.7998336"/>
    <n v="403.75"/>
    <s v="Apr"/>
    <x v="25"/>
    <m/>
    <m/>
  </r>
  <r>
    <n v="67794167"/>
    <x v="2"/>
    <n v="102000"/>
    <d v="2026-05-11T00:00:00"/>
    <s v="BJ US-IC-Milk+Cookies-8 1PT"/>
    <x v="84"/>
    <n v="3.7853439999999999E-3"/>
    <n v="240"/>
    <x v="3"/>
    <x v="4"/>
    <n v="0.95"/>
    <n v="96900"/>
    <n v="366.7998336"/>
    <n v="403.75"/>
    <s v="May"/>
    <x v="26"/>
    <m/>
    <m/>
  </r>
  <r>
    <n v="84135718"/>
    <x v="2"/>
    <n v="102000"/>
    <d v="2026-04-06T00:00:00"/>
    <s v="BJ US-IC-ChocChpCookDgh-FTNG-8 1PT"/>
    <x v="84"/>
    <n v="3.7853439999999999E-3"/>
    <n v="240"/>
    <x v="3"/>
    <x v="4"/>
    <n v="0.95"/>
    <n v="96900"/>
    <n v="366.7998336"/>
    <n v="403.75"/>
    <s v="Apr"/>
    <x v="23"/>
    <m/>
    <m/>
  </r>
  <r>
    <n v="84135718"/>
    <x v="2"/>
    <n v="102000"/>
    <d v="2026-04-20T00:00:00"/>
    <s v="BJ US-IC-ChocChpCookDgh-FTNG-8 1PT"/>
    <x v="84"/>
    <n v="3.7853439999999999E-3"/>
    <n v="240"/>
    <x v="3"/>
    <x v="4"/>
    <n v="0.95"/>
    <n v="96900"/>
    <n v="366.7998336"/>
    <n v="403.75"/>
    <s v="Apr"/>
    <x v="40"/>
    <m/>
    <m/>
  </r>
  <r>
    <n v="84137725"/>
    <x v="2"/>
    <n v="102000"/>
    <d v="2026-04-20T00:00:00"/>
    <s v="BJ US-IC-CherryGarcia-FTNG-8 1PT"/>
    <x v="84"/>
    <n v="3.7853439999999999E-3"/>
    <n v="240"/>
    <x v="3"/>
    <x v="4"/>
    <n v="0.95"/>
    <n v="96900"/>
    <n v="366.7998336"/>
    <n v="403.75"/>
    <s v="Apr"/>
    <x v="40"/>
    <m/>
    <m/>
  </r>
  <r>
    <n v="84137725"/>
    <x v="2"/>
    <n v="102000"/>
    <d v="2026-05-04T00:00:00"/>
    <s v="BJ US-IC-CherryGarcia-FTNG-8 1PT"/>
    <x v="84"/>
    <n v="3.7853439999999999E-3"/>
    <n v="240"/>
    <x v="3"/>
    <x v="4"/>
    <n v="0.95"/>
    <n v="96900"/>
    <n v="366.7998336"/>
    <n v="403.75"/>
    <s v="May"/>
    <x v="24"/>
    <m/>
    <m/>
  </r>
  <r>
    <n v="84137725"/>
    <x v="2"/>
    <n v="102000"/>
    <d v="2026-05-18T00:00:00"/>
    <s v="BJ US-IC-CherryGarcia-FTNG-8 1PT"/>
    <x v="84"/>
    <n v="3.7853439999999999E-3"/>
    <n v="240"/>
    <x v="3"/>
    <x v="4"/>
    <n v="0.95"/>
    <n v="96900"/>
    <n v="366.7998336"/>
    <n v="403.75"/>
    <s v="May"/>
    <x v="39"/>
    <m/>
    <m/>
  </r>
  <r>
    <n v="84141102"/>
    <x v="2"/>
    <n v="102000"/>
    <d v="2026-05-11T00:00:00"/>
    <s v="BJ US-IC-ChocFudgBrownie-FTNG-8 1PT"/>
    <x v="84"/>
    <n v="3.7853439999999999E-3"/>
    <n v="240"/>
    <x v="3"/>
    <x v="4"/>
    <n v="0.95"/>
    <n v="96900"/>
    <n v="366.7998336"/>
    <n v="403.75"/>
    <s v="May"/>
    <x v="26"/>
    <m/>
    <m/>
  </r>
  <r>
    <n v="84141103"/>
    <x v="2"/>
    <n v="102000"/>
    <d v="2026-05-04T00:00:00"/>
    <s v="BJ US-IC-HalfBaked-FTNG-8 1PT"/>
    <x v="84"/>
    <n v="3.7853439999999999E-3"/>
    <n v="240"/>
    <x v="3"/>
    <x v="4"/>
    <n v="0.95"/>
    <n v="96900"/>
    <n v="366.7998336"/>
    <n v="403.75"/>
    <s v="May"/>
    <x v="24"/>
    <m/>
    <m/>
  </r>
  <r>
    <n v="64875812"/>
    <x v="8"/>
    <n v="103040"/>
    <d v="2026-05-25T00:00:00"/>
    <s v="KL Vanilla Sandwich 8-6 PK"/>
    <x v="69"/>
    <n v="6.0000000000000001E-3"/>
    <n v="108"/>
    <x v="12"/>
    <x v="27"/>
    <n v="0.96"/>
    <n v="98918.399999999994"/>
    <n v="593.5104"/>
    <n v="915.91111111111104"/>
    <s v="May"/>
    <x v="46"/>
    <m/>
    <m/>
  </r>
  <r>
    <n v="64979444"/>
    <x v="7"/>
    <n v="104832"/>
    <d v="2026-04-13T00:00:00"/>
    <s v="PS Bluey Facepiece IH 6-6PK"/>
    <x v="70"/>
    <n v="2.16E-3"/>
    <n v="195"/>
    <x v="16"/>
    <x v="24"/>
    <n v="0.96"/>
    <n v="100638.72"/>
    <n v="217.3796352"/>
    <n v="516.096"/>
    <s v="Apr"/>
    <x v="25"/>
    <m/>
    <m/>
  </r>
  <r>
    <n v="64958125"/>
    <x v="10"/>
    <n v="105000"/>
    <d v="2026-05-04T00:00:00"/>
    <s v="Yasso Chocolate Fudge 8-4pk"/>
    <x v="69"/>
    <n v="3.3119999999999998E-3"/>
    <n v="165"/>
    <x v="4"/>
    <x v="30"/>
    <n v="0.96"/>
    <n v="100800"/>
    <n v="333.84960000000001"/>
    <n v="610.90909090909088"/>
    <s v="May"/>
    <x v="24"/>
    <m/>
    <m/>
  </r>
  <r>
    <n v="84137725"/>
    <x v="2"/>
    <n v="108000"/>
    <d v="2026-05-25T00:00:00"/>
    <s v="BJ US-IC-CherryGarcia-FTNG-8 1PT"/>
    <x v="84"/>
    <n v="3.7853439999999999E-3"/>
    <n v="240"/>
    <x v="3"/>
    <x v="4"/>
    <n v="0.95"/>
    <n v="102600"/>
    <n v="388.37629440000001"/>
    <n v="427.5"/>
    <s v="May"/>
    <x v="46"/>
    <m/>
    <m/>
  </r>
  <r>
    <n v="84141103"/>
    <x v="2"/>
    <n v="108000"/>
    <d v="2026-05-25T00:00:00"/>
    <s v="BJ US-IC-HalfBaked-FTNG-8 1PT"/>
    <x v="84"/>
    <n v="3.7853439999999999E-3"/>
    <n v="240"/>
    <x v="3"/>
    <x v="4"/>
    <n v="0.95"/>
    <n v="102600"/>
    <n v="388.37629440000001"/>
    <n v="427.5"/>
    <s v="May"/>
    <x v="46"/>
    <m/>
    <m/>
  </r>
  <r>
    <n v="84164936"/>
    <x v="3"/>
    <n v="108000"/>
    <d v="2026-05-11T00:00:00"/>
    <s v="BJ US-IC-MintChocCookie-8 1PT"/>
    <x v="72"/>
    <n v="3.7853439999999999E-3"/>
    <n v="240"/>
    <x v="3"/>
    <x v="13"/>
    <n v="0.95"/>
    <n v="102600"/>
    <n v="388.37629440000001"/>
    <n v="427.5"/>
    <s v="May"/>
    <x v="26"/>
    <m/>
    <m/>
  </r>
  <r>
    <n v="64327161"/>
    <x v="8"/>
    <n v="108800"/>
    <d v="2026-11-09T00:00:00"/>
    <s v="YSO Mint Chocolate Chip Club 1-15pk"/>
    <x v="69"/>
    <n v="1.56E-3"/>
    <n v="240"/>
    <x v="19"/>
    <x v="28"/>
    <n v="0.96"/>
    <n v="104448"/>
    <n v="162.93887999999998"/>
    <n v="435.2"/>
    <s v="Nov"/>
    <x v="37"/>
    <m/>
    <m/>
  </r>
  <r>
    <n v="64367657"/>
    <x v="1"/>
    <n v="26400"/>
    <d v="2026-04-02T00:00:00"/>
    <s v="TAL LYR CHOC Chip CKE Batter 8p 311.3g"/>
    <x v="87"/>
    <n v="3.552E-3"/>
    <n v="255"/>
    <x v="2"/>
    <x v="3"/>
    <n v="0.96"/>
    <n v="25344"/>
    <n v="90.021888000000004"/>
    <n v="99.388235294117649"/>
    <s v="Apr"/>
    <x v="20"/>
    <m/>
    <m/>
  </r>
  <r>
    <n v="65594416"/>
    <x v="1"/>
    <n v="113600"/>
    <d v="2026-04-13T00:00:00"/>
    <s v="MG Bars Dubai Chocolate 1-12pk"/>
    <x v="99"/>
    <n v="9.5999999999999992E-4"/>
    <n v="432"/>
    <x v="5"/>
    <x v="6"/>
    <n v="0.96"/>
    <n v="109056"/>
    <n v="104.69376"/>
    <n v="252.44444444444446"/>
    <s v="Apr"/>
    <x v="25"/>
    <m/>
    <m/>
  </r>
  <r>
    <n v="65594416"/>
    <x v="1"/>
    <n v="113600"/>
    <d v="2026-04-20T00:00:00"/>
    <s v="MG Bars Dubai Chocolate 1-12pk"/>
    <x v="99"/>
    <n v="9.5999999999999992E-4"/>
    <n v="432"/>
    <x v="5"/>
    <x v="6"/>
    <n v="0.96"/>
    <n v="109056"/>
    <n v="104.69376"/>
    <n v="252.44444444444446"/>
    <s v="Apr"/>
    <x v="40"/>
    <m/>
    <m/>
  </r>
  <r>
    <n v="65594416"/>
    <x v="1"/>
    <n v="113600"/>
    <d v="2026-05-04T00:00:00"/>
    <s v="MG Bars Dubai Chocolate 1-12pk"/>
    <x v="99"/>
    <n v="9.5999999999999992E-4"/>
    <n v="432"/>
    <x v="5"/>
    <x v="6"/>
    <n v="0.96"/>
    <n v="109056"/>
    <n v="104.69376"/>
    <n v="252.44444444444446"/>
    <s v="May"/>
    <x v="24"/>
    <m/>
    <m/>
  </r>
  <r>
    <n v="62714126"/>
    <x v="5"/>
    <m/>
    <d v="2026-03-23T00:00:00"/>
    <s v="PS OCG SF 6-18PK"/>
    <x v="70"/>
    <n v="5.2680000000000001E-3"/>
    <n v="130"/>
    <x v="6"/>
    <x v="22"/>
    <n v="0.96"/>
    <n v="0"/>
    <n v="0"/>
    <n v="0"/>
    <s v="Mar"/>
    <x v="10"/>
    <m/>
    <m/>
  </r>
  <r>
    <n v="67794169"/>
    <x v="3"/>
    <n v="114800"/>
    <d v="2026-04-06T00:00:00"/>
    <s v="BJ US-IC-TonightDough-8 1PT"/>
    <x v="86"/>
    <n v="3.7853439999999999E-3"/>
    <n v="240"/>
    <x v="3"/>
    <x v="13"/>
    <n v="0.95"/>
    <n v="109060"/>
    <n v="412.82961663999998"/>
    <n v="454.41666666666669"/>
    <s v="Apr"/>
    <x v="23"/>
    <m/>
    <m/>
  </r>
  <r>
    <n v="64376316"/>
    <x v="8"/>
    <n v="115200"/>
    <d v="2026-04-27T00:00:00"/>
    <s v="Yasso Cookies n Cream Club 1-15pk"/>
    <x v="69"/>
    <n v="1.5449999999999999E-3"/>
    <n v="240"/>
    <x v="19"/>
    <x v="28"/>
    <n v="0.96"/>
    <n v="110592"/>
    <n v="170.86463999999998"/>
    <n v="460.8"/>
    <s v="Apr"/>
    <x v="21"/>
    <m/>
    <m/>
  </r>
  <r>
    <n v="64376316"/>
    <x v="8"/>
    <n v="115200"/>
    <d v="2026-05-25T00:00:00"/>
    <s v="Yasso Cookies n Cream Club 1-15pk"/>
    <x v="69"/>
    <n v="1.5449999999999999E-3"/>
    <n v="240"/>
    <x v="19"/>
    <x v="28"/>
    <n v="0.96"/>
    <n v="110592"/>
    <n v="170.86463999999998"/>
    <n v="460.8"/>
    <s v="May"/>
    <x v="46"/>
    <m/>
    <m/>
  </r>
  <r>
    <n v="64376316"/>
    <x v="8"/>
    <n v="115200"/>
    <d v="2026-07-13T00:00:00"/>
    <s v="Yasso Cookies n Cream Club 1-15pk"/>
    <x v="69"/>
    <n v="1.5449999999999999E-3"/>
    <n v="240"/>
    <x v="19"/>
    <x v="28"/>
    <n v="0.96"/>
    <n v="110592"/>
    <n v="170.86463999999998"/>
    <n v="460.8"/>
    <s v="Jul"/>
    <x v="48"/>
    <m/>
    <m/>
  </r>
  <r>
    <n v="64979444"/>
    <x v="7"/>
    <n v="116656"/>
    <d v="2026-04-06T00:00:00"/>
    <s v="PS Bluey Facepiece IH 6-6PK"/>
    <x v="70"/>
    <n v="2.16E-3"/>
    <n v="195"/>
    <x v="16"/>
    <x v="24"/>
    <n v="0.96"/>
    <n v="111989.75999999999"/>
    <n v="241.89788160000001"/>
    <n v="574.30646153846146"/>
    <s v="Apr"/>
    <x v="23"/>
    <m/>
    <m/>
  </r>
  <r>
    <n v="69999269"/>
    <x v="3"/>
    <n v="128000"/>
    <d v="2026-04-20T00:00:00"/>
    <s v="BJ US-IC-StrawberryChscke-FTNG-8 1PT"/>
    <x v="86"/>
    <n v="3.7839999999999996E-3"/>
    <n v="240"/>
    <x v="3"/>
    <x v="13"/>
    <n v="0.95"/>
    <n v="121600"/>
    <n v="460.13439999999997"/>
    <n v="506.66666666666669"/>
    <s v="Apr"/>
    <x v="40"/>
    <m/>
    <m/>
  </r>
  <r>
    <n v="67794169"/>
    <x v="3"/>
    <n v="128800"/>
    <d v="2026-04-27T00:00:00"/>
    <s v="BJ US-IC-TonightDough-8 1PT"/>
    <x v="86"/>
    <n v="3.7853439999999999E-3"/>
    <n v="240"/>
    <x v="3"/>
    <x v="13"/>
    <n v="0.95"/>
    <n v="122360"/>
    <n v="463.17469183999998"/>
    <n v="509.83333333333331"/>
    <s v="Apr"/>
    <x v="21"/>
    <m/>
    <m/>
  </r>
  <r>
    <n v="84135718"/>
    <x v="3"/>
    <n v="130200"/>
    <d v="2026-05-04T00:00:00"/>
    <s v="BJ US-IC-ChocChpCookDgh-FTNG-8 1PT"/>
    <x v="86"/>
    <n v="3.7853439999999999E-3"/>
    <n v="240"/>
    <x v="3"/>
    <x v="13"/>
    <n v="0.95"/>
    <n v="123690"/>
    <n v="468.20919936000001"/>
    <n v="515.375"/>
    <s v="May"/>
    <x v="24"/>
    <m/>
    <m/>
  </r>
  <r>
    <n v="68867756"/>
    <x v="1"/>
    <n v="134000"/>
    <d v="2026-04-06T00:00:00"/>
    <s v="Talenti Roman Raspberry SORB 8 1PT"/>
    <x v="98"/>
    <n v="3.7839999999999996E-3"/>
    <n v="255"/>
    <x v="2"/>
    <x v="3"/>
    <n v="0.96"/>
    <n v="128640"/>
    <n v="486.77375999999992"/>
    <n v="504.47058823529414"/>
    <s v="Apr"/>
    <x v="23"/>
    <m/>
    <m/>
  </r>
  <r>
    <n v="69999269"/>
    <x v="3"/>
    <n v="140000"/>
    <d v="2026-05-11T00:00:00"/>
    <s v="BJ US-IC-StrawberryChscke-FTNG-8 1PT"/>
    <x v="86"/>
    <n v="3.7839999999999996E-3"/>
    <n v="240"/>
    <x v="3"/>
    <x v="13"/>
    <n v="0.95"/>
    <n v="133000"/>
    <n v="503.27199999999993"/>
    <n v="554.16666666666663"/>
    <s v="May"/>
    <x v="26"/>
    <m/>
    <m/>
  </r>
  <r>
    <n v="64903296"/>
    <x v="21"/>
    <n v="153000"/>
    <d v="2026-05-25T00:00:00"/>
    <s v="MG Mini Classic/Almond/White VP 6-6PK"/>
    <x v="70"/>
    <n v="1.98E-3"/>
    <n v="162"/>
    <x v="5"/>
    <x v="59"/>
    <n v="0.96"/>
    <n v="146880"/>
    <n v="290.82240000000002"/>
    <n v="906.66666666666663"/>
    <s v="May"/>
    <x v="46"/>
    <m/>
    <m/>
  </r>
  <r>
    <n v="64376316"/>
    <x v="8"/>
    <n v="230400"/>
    <d v="2026-06-08T00:00:00"/>
    <s v="Yasso Cookies n Cream Club 1-15pk"/>
    <x v="69"/>
    <n v="1.5449999999999999E-3"/>
    <n v="240"/>
    <x v="19"/>
    <x v="28"/>
    <n v="0.96"/>
    <n v="221184"/>
    <n v="341.72927999999996"/>
    <n v="921.6"/>
    <s v="Jun"/>
    <x v="47"/>
    <m/>
    <m/>
  </r>
  <r>
    <n v="64376316"/>
    <x v="8"/>
    <n v="230400"/>
    <d v="2026-11-16T00:00:00"/>
    <s v="Yasso Cookies n Cream Club 1-15pk"/>
    <x v="69"/>
    <n v="1.5449999999999999E-3"/>
    <n v="240"/>
    <x v="19"/>
    <x v="28"/>
    <n v="0.96"/>
    <n v="221184"/>
    <n v="341.72927999999996"/>
    <n v="921.6"/>
    <s v="Nov"/>
    <x v="42"/>
    <m/>
    <m/>
  </r>
  <r>
    <n v="64376316"/>
    <x v="8"/>
    <n v="345600"/>
    <d v="2026-09-14T00:00:00"/>
    <s v="Yasso Cookies n Cream Club 1-15pk"/>
    <x v="69"/>
    <n v="1.5449999999999999E-3"/>
    <n v="240"/>
    <x v="19"/>
    <x v="28"/>
    <n v="0.96"/>
    <n v="331776"/>
    <n v="512.59392000000003"/>
    <n v="1382.4"/>
    <s v="Sep"/>
    <x v="38"/>
    <m/>
    <m/>
  </r>
  <r>
    <n v="64376316"/>
    <x v="8"/>
    <n v="345600"/>
    <d v="2026-10-12T00:00:00"/>
    <s v="Yasso Cookies n Cream Club 1-15pk"/>
    <x v="69"/>
    <n v="1.5449999999999999E-3"/>
    <n v="240"/>
    <x v="19"/>
    <x v="28"/>
    <n v="0.96"/>
    <n v="331776"/>
    <n v="512.59392000000003"/>
    <n v="1382.4"/>
    <s v="Oct"/>
    <x v="36"/>
    <m/>
    <m/>
  </r>
  <r>
    <n v="64376316"/>
    <x v="8"/>
    <n v="345600"/>
    <d v="2026-12-14T00:00:00"/>
    <s v="Yasso Cookies n Cream Club 1-15pk"/>
    <x v="69"/>
    <n v="1.5449999999999999E-3"/>
    <n v="240"/>
    <x v="19"/>
    <x v="28"/>
    <n v="0.96"/>
    <n v="331776"/>
    <n v="512.59392000000003"/>
    <n v="1382.4"/>
    <s v="Dec"/>
    <x v="27"/>
    <m/>
    <m/>
  </r>
  <r>
    <n v="64376316"/>
    <x v="8"/>
    <n v="460800"/>
    <d v="2026-08-10T00:00:00"/>
    <s v="Yasso Cookies n Cream Club 1-15pk"/>
    <x v="69"/>
    <n v="1.5449999999999999E-3"/>
    <n v="240"/>
    <x v="19"/>
    <x v="28"/>
    <n v="0.96"/>
    <n v="442368"/>
    <n v="683.45855999999992"/>
    <n v="1843.2"/>
    <s v="Aug"/>
    <x v="34"/>
    <m/>
    <m/>
  </r>
  <r>
    <n v="84137721"/>
    <x v="3"/>
    <n v="2990"/>
    <d v="2026-03-23T00:00:00"/>
    <s v="BJ US-IC-CherryGarcia-FTNG-1 2.4G"/>
    <x v="76"/>
    <n v="9.0848256361922702E-3"/>
    <n v="125"/>
    <x v="13"/>
    <x v="20"/>
    <n v="0.85"/>
    <n v="2541.5"/>
    <n v="23.089084354382656"/>
    <n v="20.332000000000001"/>
    <s v="Mar"/>
    <x v="10"/>
    <m/>
    <m/>
  </r>
  <r>
    <n v="64799252"/>
    <x v="3"/>
    <n v="3640"/>
    <d v="2026-11-02T00:00:00"/>
    <s v="BJ US-NDO MochaccinoChip-1 2.4Gal"/>
    <x v="76"/>
    <n v="9.0850000000000011E-3"/>
    <n v="125"/>
    <x v="13"/>
    <x v="20"/>
    <n v="0.85"/>
    <n v="3094"/>
    <n v="28.108990000000002"/>
    <n v="24.751999999999999"/>
    <s v="Nov"/>
    <x v="18"/>
    <m/>
    <m/>
  </r>
  <r>
    <n v="69600859"/>
    <x v="3"/>
    <n v="4680"/>
    <d v="2026-07-06T00:00:00"/>
    <s v="BJ US-IC-ChocolatePBChunk-1 2.4G"/>
    <x v="76"/>
    <n v="9.0850000000000011E-3"/>
    <n v="125"/>
    <x v="13"/>
    <x v="20"/>
    <n v="0.85"/>
    <n v="3978"/>
    <n v="36.140130000000006"/>
    <n v="31.824000000000002"/>
    <s v="Jul"/>
    <x v="30"/>
    <m/>
    <m/>
  </r>
  <r>
    <n v="62735647"/>
    <x v="3"/>
    <n v="5200"/>
    <d v="2026-11-02T00:00:00"/>
    <s v="BJ US-NDO-ChocChpCookDgh-1 2.4g"/>
    <x v="76"/>
    <n v="9.0850000000000011E-3"/>
    <n v="125"/>
    <x v="13"/>
    <x v="20"/>
    <n v="0.85"/>
    <n v="4420"/>
    <n v="40.155700000000003"/>
    <n v="35.36"/>
    <s v="Nov"/>
    <x v="18"/>
    <m/>
    <m/>
  </r>
  <r>
    <n v="84141035"/>
    <x v="3"/>
    <n v="5200"/>
    <d v="2026-07-13T00:00:00"/>
    <s v="BJ US-IC AmericoneDream-FTNG-1 2.4G"/>
    <x v="76"/>
    <n v="9.0848256361922702E-3"/>
    <n v="125"/>
    <x v="13"/>
    <x v="20"/>
    <n v="0.85"/>
    <n v="4420"/>
    <n v="40.154929311969838"/>
    <n v="35.36"/>
    <s v="Jul"/>
    <x v="48"/>
    <m/>
    <m/>
  </r>
  <r>
    <n v="62689431"/>
    <x v="3"/>
    <n v="5720"/>
    <d v="2026-09-28T00:00:00"/>
    <s v="BJ US-IC-Mango-1 2.4GAL"/>
    <x v="76"/>
    <n v="9.0850000000000011E-3"/>
    <n v="125"/>
    <x v="13"/>
    <x v="20"/>
    <n v="0.85"/>
    <n v="4862"/>
    <n v="44.171270000000007"/>
    <n v="38.896000000000001"/>
    <s v="Sep"/>
    <x v="17"/>
    <m/>
    <m/>
  </r>
  <r>
    <n v="62689431"/>
    <x v="3"/>
    <n v="6240"/>
    <d v="2026-05-04T00:00:00"/>
    <s v="BJ US-IC-Mango-1 2.4GAL"/>
    <x v="76"/>
    <n v="9.0850000000000011E-3"/>
    <n v="125"/>
    <x v="13"/>
    <x v="20"/>
    <n v="0.85"/>
    <n v="5304"/>
    <n v="48.186840000000004"/>
    <n v="42.432000000000002"/>
    <s v="May"/>
    <x v="24"/>
    <m/>
    <m/>
  </r>
  <r>
    <n v="64799253"/>
    <x v="3"/>
    <n v="6240"/>
    <d v="2026-05-25T00:00:00"/>
    <s v="BJ US-NDOStrawbSwirl-1 2.4Gal"/>
    <x v="76"/>
    <n v="9.0840000000000001E-3"/>
    <n v="125"/>
    <x v="13"/>
    <x v="20"/>
    <n v="0.85"/>
    <n v="5304"/>
    <n v="48.181536000000001"/>
    <n v="42.432000000000002"/>
    <s v="May"/>
    <x v="46"/>
    <m/>
    <m/>
  </r>
  <r>
    <n v="64924302"/>
    <x v="3"/>
    <n v="6240"/>
    <d v="2026-04-27T00:00:00"/>
    <s v="BJ US-SRB-BerryExtra-1 2.4 G"/>
    <x v="76"/>
    <n v="9.0850000000000011E-3"/>
    <n v="125"/>
    <x v="13"/>
    <x v="20"/>
    <n v="0.85"/>
    <n v="5304"/>
    <n v="48.186840000000004"/>
    <n v="42.432000000000002"/>
    <s v="Apr"/>
    <x v="21"/>
    <m/>
    <m/>
  </r>
  <r>
    <n v="64924302"/>
    <x v="3"/>
    <n v="6240"/>
    <d v="2026-06-15T00:00:00"/>
    <s v="BJ US-SRB-BerryExtra-1 2.4 G"/>
    <x v="76"/>
    <n v="9.0850000000000011E-3"/>
    <n v="125"/>
    <x v="13"/>
    <x v="20"/>
    <n v="0.85"/>
    <n v="5304"/>
    <n v="48.186840000000004"/>
    <n v="42.432000000000002"/>
    <s v="Jun"/>
    <x v="28"/>
    <m/>
    <m/>
  </r>
  <r>
    <n v="65451821"/>
    <x v="3"/>
    <n v="6240"/>
    <d v="2026-11-02T00:00:00"/>
    <s v="BJ US-NDO Key Lime Pie-1 2.4Gal"/>
    <x v="76"/>
    <n v="9.0850000000000011E-3"/>
    <n v="125"/>
    <x v="13"/>
    <x v="20"/>
    <n v="0.85"/>
    <n v="5304"/>
    <n v="48.186840000000004"/>
    <n v="42.432000000000002"/>
    <s v="Nov"/>
    <x v="18"/>
    <m/>
    <m/>
  </r>
  <r>
    <n v="65498063"/>
    <x v="3"/>
    <n v="6240"/>
    <d v="2026-08-03T00:00:00"/>
    <s v="BJ US-IC Black RASP Fudge Chunk-1 2.4gal"/>
    <x v="76"/>
    <n v="9.0850000000000011E-3"/>
    <n v="125"/>
    <x v="13"/>
    <x v="20"/>
    <n v="0.85"/>
    <n v="5304"/>
    <n v="48.186840000000004"/>
    <n v="42.432000000000002"/>
    <s v="Aug"/>
    <x v="22"/>
    <m/>
    <m/>
  </r>
  <r>
    <n v="67278370"/>
    <x v="3"/>
    <n v="6240"/>
    <d v="2026-04-27T00:00:00"/>
    <s v="BJ US-SRB-Lemonade-1 2.4 G"/>
    <x v="76"/>
    <n v="9.0848256361922702E-3"/>
    <n v="125"/>
    <x v="13"/>
    <x v="20"/>
    <n v="0.85"/>
    <n v="5304"/>
    <n v="48.185915174363799"/>
    <n v="42.432000000000002"/>
    <s v="Apr"/>
    <x v="21"/>
    <m/>
    <m/>
  </r>
  <r>
    <n v="67278370"/>
    <x v="3"/>
    <n v="6240"/>
    <d v="2026-11-02T00:00:00"/>
    <s v="BJ US-SRB-Lemonade-1 2.4 G"/>
    <x v="76"/>
    <n v="9.0848256361922702E-3"/>
    <n v="125"/>
    <x v="13"/>
    <x v="20"/>
    <n v="0.85"/>
    <n v="5304"/>
    <n v="48.185915174363799"/>
    <n v="42.432000000000002"/>
    <s v="Nov"/>
    <x v="18"/>
    <m/>
    <m/>
  </r>
  <r>
    <n v="67825196"/>
    <x v="3"/>
    <n v="6240"/>
    <d v="2026-03-23T00:00:00"/>
    <s v="BJ US-IC-TonightDough-FTNG-1 2.4G"/>
    <x v="76"/>
    <n v="9.0848256361922702E-3"/>
    <n v="125"/>
    <x v="13"/>
    <x v="20"/>
    <n v="0.85"/>
    <n v="5304"/>
    <n v="48.185915174363799"/>
    <n v="42.432000000000002"/>
    <s v="Mar"/>
    <x v="10"/>
    <m/>
    <m/>
  </r>
  <r>
    <n v="67825196"/>
    <x v="3"/>
    <n v="6240"/>
    <d v="2026-07-13T00:00:00"/>
    <s v="BJ US-IC-TonightDough-FTNG-1 2.4G"/>
    <x v="76"/>
    <n v="9.0848256361922702E-3"/>
    <n v="125"/>
    <x v="13"/>
    <x v="20"/>
    <n v="0.85"/>
    <n v="5304"/>
    <n v="48.185915174363799"/>
    <n v="42.432000000000002"/>
    <s v="Jul"/>
    <x v="48"/>
    <m/>
    <m/>
  </r>
  <r>
    <n v="67825197"/>
    <x v="3"/>
    <n v="6240"/>
    <d v="2026-08-31T00:00:00"/>
    <s v="BJ US-IC-ChunkyMonkey-FTNG-1 2.4G"/>
    <x v="76"/>
    <n v="9.0848256361922702E-3"/>
    <n v="125"/>
    <x v="13"/>
    <x v="20"/>
    <n v="0.85"/>
    <n v="5304"/>
    <n v="48.185915174363799"/>
    <n v="42.432000000000002"/>
    <s v="Aug"/>
    <x v="16"/>
    <m/>
    <m/>
  </r>
  <r>
    <n v="67825198"/>
    <x v="3"/>
    <n v="6240"/>
    <d v="2026-05-18T00:00:00"/>
    <s v="BJ US-IC-Milk+Cookies-FTNG-1 2.4G"/>
    <x v="76"/>
    <n v="9.0848256361922702E-3"/>
    <n v="125"/>
    <x v="13"/>
    <x v="20"/>
    <n v="0.85"/>
    <n v="5304"/>
    <n v="48.185915174363799"/>
    <n v="42.432000000000002"/>
    <s v="May"/>
    <x v="39"/>
    <m/>
    <m/>
  </r>
  <r>
    <n v="67825198"/>
    <x v="3"/>
    <n v="6240"/>
    <d v="2026-09-28T00:00:00"/>
    <s v="BJ US-IC-Milk+Cookies-FTNG-1 2.4G"/>
    <x v="76"/>
    <n v="9.0848256361922702E-3"/>
    <n v="125"/>
    <x v="13"/>
    <x v="20"/>
    <n v="0.85"/>
    <n v="5304"/>
    <n v="48.185915174363799"/>
    <n v="42.432000000000002"/>
    <s v="Sep"/>
    <x v="17"/>
    <m/>
    <m/>
  </r>
  <r>
    <n v="68354578"/>
    <x v="3"/>
    <n v="6240"/>
    <d v="2026-07-06T00:00:00"/>
    <s v="BJ US-IC-HalfBaked-1 2.4G"/>
    <x v="76"/>
    <n v="9.0848256361922702E-3"/>
    <n v="125"/>
    <x v="13"/>
    <x v="20"/>
    <n v="0.85"/>
    <n v="5304"/>
    <n v="48.185915174363799"/>
    <n v="42.432000000000002"/>
    <s v="Jul"/>
    <x v="30"/>
    <m/>
    <m/>
  </r>
  <r>
    <n v="68354578"/>
    <x v="3"/>
    <n v="6240"/>
    <d v="2026-08-31T00:00:00"/>
    <s v="BJ US-IC-HalfBaked-1 2.4G"/>
    <x v="76"/>
    <n v="9.0848256361922702E-3"/>
    <n v="125"/>
    <x v="13"/>
    <x v="20"/>
    <n v="0.85"/>
    <n v="5304"/>
    <n v="48.185915174363799"/>
    <n v="42.432000000000002"/>
    <s v="Aug"/>
    <x v="16"/>
    <m/>
    <m/>
  </r>
  <r>
    <n v="68499787"/>
    <x v="3"/>
    <n v="6240"/>
    <d v="2026-05-04T00:00:00"/>
    <s v="BJ US-IC-MarshmallowSky-1 2.4gal"/>
    <x v="76"/>
    <n v="9.0850000000000011E-3"/>
    <n v="125"/>
    <x v="13"/>
    <x v="20"/>
    <n v="0.85"/>
    <n v="5304"/>
    <n v="48.186840000000004"/>
    <n v="42.432000000000002"/>
    <s v="May"/>
    <x v="24"/>
    <m/>
    <m/>
  </r>
  <r>
    <n v="68499787"/>
    <x v="3"/>
    <n v="6240"/>
    <d v="2026-08-03T00:00:00"/>
    <s v="BJ US-IC-MarshmallowSky-1 2.4gal"/>
    <x v="76"/>
    <n v="9.0850000000000011E-3"/>
    <n v="125"/>
    <x v="13"/>
    <x v="20"/>
    <n v="0.85"/>
    <n v="5304"/>
    <n v="48.186840000000004"/>
    <n v="42.432000000000002"/>
    <s v="Aug"/>
    <x v="22"/>
    <m/>
    <m/>
  </r>
  <r>
    <n v="68499787"/>
    <x v="3"/>
    <n v="6240"/>
    <d v="2026-11-30T00:00:00"/>
    <s v="BJ US-IC-MarshmallowSky-1 2.4gal"/>
    <x v="76"/>
    <n v="9.0850000000000011E-3"/>
    <n v="125"/>
    <x v="13"/>
    <x v="20"/>
    <n v="0.85"/>
    <n v="5304"/>
    <n v="48.186840000000004"/>
    <n v="42.432000000000002"/>
    <s v="Nov"/>
    <x v="19"/>
    <m/>
    <m/>
  </r>
  <r>
    <n v="69997338"/>
    <x v="3"/>
    <n v="6240"/>
    <d v="2026-07-13T00:00:00"/>
    <s v="BJ US-IC-StrawberryChscke-FTNG-1 2.4G"/>
    <x v="76"/>
    <n v="9.0850000000000011E-3"/>
    <n v="125"/>
    <x v="13"/>
    <x v="20"/>
    <n v="0.85"/>
    <n v="5304"/>
    <n v="48.186840000000004"/>
    <n v="42.432000000000002"/>
    <s v="Jul"/>
    <x v="48"/>
    <m/>
    <m/>
  </r>
  <r>
    <n v="69997338"/>
    <x v="3"/>
    <n v="6240"/>
    <d v="2026-11-30T00:00:00"/>
    <s v="BJ US-IC-StrawberryChscke-FTNG-1 2.4G"/>
    <x v="76"/>
    <n v="9.0850000000000011E-3"/>
    <n v="125"/>
    <x v="13"/>
    <x v="20"/>
    <n v="0.85"/>
    <n v="5304"/>
    <n v="48.186840000000004"/>
    <n v="42.432000000000002"/>
    <s v="Nov"/>
    <x v="19"/>
    <m/>
    <m/>
  </r>
  <r>
    <n v="84135794"/>
    <x v="3"/>
    <n v="6240"/>
    <d v="2026-04-13T00:00:00"/>
    <s v="BJ US-IC-Chocolate-FTNG-1 2.4G"/>
    <x v="76"/>
    <n v="9.0848256361922702E-3"/>
    <n v="125"/>
    <x v="13"/>
    <x v="20"/>
    <n v="0.85"/>
    <n v="5304"/>
    <n v="48.185915174363799"/>
    <n v="42.432000000000002"/>
    <s v="Apr"/>
    <x v="25"/>
    <m/>
    <m/>
  </r>
  <r>
    <n v="84135794"/>
    <x v="3"/>
    <n v="6240"/>
    <d v="2026-07-13T00:00:00"/>
    <s v="BJ US-IC-Chocolate-FTNG-1 2.4G"/>
    <x v="76"/>
    <n v="9.0848256361922702E-3"/>
    <n v="125"/>
    <x v="13"/>
    <x v="20"/>
    <n v="0.85"/>
    <n v="5304"/>
    <n v="48.185915174363799"/>
    <n v="42.432000000000002"/>
    <s v="Jul"/>
    <x v="48"/>
    <m/>
    <m/>
  </r>
  <r>
    <n v="84135794"/>
    <x v="3"/>
    <n v="6240"/>
    <d v="2026-09-28T00:00:00"/>
    <s v="BJ US-IC-Chocolate-FTNG-1 2.4G"/>
    <x v="76"/>
    <n v="9.0848256361922702E-3"/>
    <n v="125"/>
    <x v="13"/>
    <x v="20"/>
    <n v="0.85"/>
    <n v="5304"/>
    <n v="48.185915174363799"/>
    <n v="42.432000000000002"/>
    <s v="Sep"/>
    <x v="17"/>
    <m/>
    <m/>
  </r>
  <r>
    <n v="84135795"/>
    <x v="3"/>
    <n v="6240"/>
    <d v="2026-05-11T00:00:00"/>
    <s v="BJ US-IC-Vanilla-FTNG-1 2.4G"/>
    <x v="76"/>
    <n v="9.0848256361922702E-3"/>
    <n v="125"/>
    <x v="13"/>
    <x v="20"/>
    <n v="0.85"/>
    <n v="5304"/>
    <n v="48.185915174363799"/>
    <n v="42.432000000000002"/>
    <s v="May"/>
    <x v="26"/>
    <m/>
    <m/>
  </r>
  <r>
    <n v="84135795"/>
    <x v="3"/>
    <n v="6240"/>
    <d v="2026-07-06T00:00:00"/>
    <s v="BJ US-IC-Vanilla-FTNG-1 2.4G"/>
    <x v="76"/>
    <n v="9.0848256361922702E-3"/>
    <n v="125"/>
    <x v="13"/>
    <x v="20"/>
    <n v="0.85"/>
    <n v="5304"/>
    <n v="48.185915174363799"/>
    <n v="42.432000000000002"/>
    <s v="Jul"/>
    <x v="30"/>
    <m/>
    <m/>
  </r>
  <r>
    <n v="84135795"/>
    <x v="3"/>
    <n v="6240"/>
    <d v="2026-08-31T00:00:00"/>
    <s v="BJ US-IC-Vanilla-FTNG-1 2.4G"/>
    <x v="76"/>
    <n v="9.0848256361922702E-3"/>
    <n v="125"/>
    <x v="13"/>
    <x v="20"/>
    <n v="0.85"/>
    <n v="5304"/>
    <n v="48.185915174363799"/>
    <n v="42.432000000000002"/>
    <s v="Aug"/>
    <x v="16"/>
    <m/>
    <m/>
  </r>
  <r>
    <n v="84135795"/>
    <x v="3"/>
    <n v="6240"/>
    <d v="2026-10-05T00:00:00"/>
    <s v="BJ US-IC-Vanilla-FTNG-1 2.4G"/>
    <x v="76"/>
    <n v="9.0848256361922702E-3"/>
    <n v="125"/>
    <x v="13"/>
    <x v="20"/>
    <n v="0.85"/>
    <n v="5304"/>
    <n v="48.185915174363799"/>
    <n v="42.432000000000002"/>
    <s v="Oct"/>
    <x v="50"/>
    <m/>
    <m/>
  </r>
  <r>
    <n v="84135799"/>
    <x v="3"/>
    <n v="6240"/>
    <d v="2026-06-15T00:00:00"/>
    <s v="BJ US-IC-ChocChpCookDgh-FTNG-1 2.4G"/>
    <x v="76"/>
    <n v="9.0848256361922702E-3"/>
    <n v="125"/>
    <x v="13"/>
    <x v="20"/>
    <n v="0.85"/>
    <n v="5304"/>
    <n v="48.185915174363799"/>
    <n v="42.432000000000002"/>
    <s v="Jun"/>
    <x v="28"/>
    <m/>
    <m/>
  </r>
  <r>
    <n v="84135799"/>
    <x v="3"/>
    <n v="6240"/>
    <d v="2026-08-03T00:00:00"/>
    <s v="BJ US-IC-ChocChpCookDgh-FTNG-1 2.4G"/>
    <x v="76"/>
    <n v="9.0848256361922702E-3"/>
    <n v="125"/>
    <x v="13"/>
    <x v="20"/>
    <n v="0.85"/>
    <n v="5304"/>
    <n v="48.185915174363799"/>
    <n v="42.432000000000002"/>
    <s v="Aug"/>
    <x v="22"/>
    <m/>
    <m/>
  </r>
  <r>
    <n v="84135799"/>
    <x v="3"/>
    <n v="6240"/>
    <d v="2026-11-02T00:00:00"/>
    <s v="BJ US-IC-ChocChpCookDgh-FTNG-1 2.4G"/>
    <x v="76"/>
    <n v="9.0848256361922702E-3"/>
    <n v="125"/>
    <x v="13"/>
    <x v="20"/>
    <n v="0.85"/>
    <n v="5304"/>
    <n v="48.185915174363799"/>
    <n v="42.432000000000002"/>
    <s v="Nov"/>
    <x v="18"/>
    <m/>
    <m/>
  </r>
  <r>
    <n v="84137721"/>
    <x v="3"/>
    <n v="6240"/>
    <d v="2026-07-06T00:00:00"/>
    <s v="BJ US-IC-CherryGarcia-FTNG-1 2.4G"/>
    <x v="76"/>
    <n v="9.0848256361922702E-3"/>
    <n v="125"/>
    <x v="13"/>
    <x v="20"/>
    <n v="0.85"/>
    <n v="5304"/>
    <n v="48.185915174363799"/>
    <n v="42.432000000000002"/>
    <s v="Jul"/>
    <x v="30"/>
    <m/>
    <m/>
  </r>
  <r>
    <n v="84137721"/>
    <x v="3"/>
    <n v="6240"/>
    <d v="2026-10-05T00:00:00"/>
    <s v="BJ US-IC-CherryGarcia-FTNG-1 2.4G"/>
    <x v="76"/>
    <n v="9.0848256361922702E-3"/>
    <n v="125"/>
    <x v="13"/>
    <x v="20"/>
    <n v="0.85"/>
    <n v="5304"/>
    <n v="48.185915174363799"/>
    <n v="42.432000000000002"/>
    <s v="Oct"/>
    <x v="50"/>
    <m/>
    <m/>
  </r>
  <r>
    <n v="84138346"/>
    <x v="3"/>
    <n v="6240"/>
    <d v="2026-03-23T00:00:00"/>
    <s v="BJ US-IC-PhishFood-FTNG-1 2.4G"/>
    <x v="76"/>
    <n v="9.0848256361922702E-3"/>
    <n v="125"/>
    <x v="13"/>
    <x v="20"/>
    <n v="0.85"/>
    <n v="5304"/>
    <n v="48.185915174363799"/>
    <n v="42.432000000000002"/>
    <s v="Mar"/>
    <x v="10"/>
    <m/>
    <m/>
  </r>
  <r>
    <n v="84138346"/>
    <x v="3"/>
    <n v="6240"/>
    <d v="2026-08-03T00:00:00"/>
    <s v="BJ US-IC-PhishFood-FTNG-1 2.4G"/>
    <x v="76"/>
    <n v="9.0848256361922702E-3"/>
    <n v="125"/>
    <x v="13"/>
    <x v="20"/>
    <n v="0.85"/>
    <n v="5304"/>
    <n v="48.185915174363799"/>
    <n v="42.432000000000002"/>
    <s v="Aug"/>
    <x v="22"/>
    <m/>
    <m/>
  </r>
  <r>
    <n v="84138347"/>
    <x v="3"/>
    <n v="6240"/>
    <d v="2026-05-18T00:00:00"/>
    <s v="BJ US-IC-CoffeeBuzzBuzz-FTNG-1 2.4G"/>
    <x v="76"/>
    <n v="9.0848256361922702E-3"/>
    <n v="125"/>
    <x v="13"/>
    <x v="20"/>
    <n v="0.85"/>
    <n v="5304"/>
    <n v="48.185915174363799"/>
    <n v="42.432000000000002"/>
    <s v="May"/>
    <x v="39"/>
    <m/>
    <m/>
  </r>
  <r>
    <n v="84138347"/>
    <x v="3"/>
    <n v="6240"/>
    <d v="2026-06-15T00:00:00"/>
    <s v="BJ US-IC-CoffeeBuzzBuzz-FTNG-1 2.4G"/>
    <x v="76"/>
    <n v="9.0848256361922702E-3"/>
    <n v="125"/>
    <x v="13"/>
    <x v="20"/>
    <n v="0.85"/>
    <n v="5304"/>
    <n v="48.185915174363799"/>
    <n v="42.432000000000002"/>
    <s v="Jun"/>
    <x v="28"/>
    <m/>
    <m/>
  </r>
  <r>
    <n v="84138347"/>
    <x v="3"/>
    <n v="6240"/>
    <d v="2026-11-30T00:00:00"/>
    <s v="BJ US-IC-CoffeeBuzzBuzz-FTNG-1 2.4G"/>
    <x v="76"/>
    <n v="9.0848256361922702E-3"/>
    <n v="125"/>
    <x v="13"/>
    <x v="20"/>
    <n v="0.85"/>
    <n v="5304"/>
    <n v="48.185915174363799"/>
    <n v="42.432000000000002"/>
    <s v="Nov"/>
    <x v="19"/>
    <m/>
    <m/>
  </r>
  <r>
    <n v="84139000"/>
    <x v="3"/>
    <n v="6240"/>
    <d v="2026-05-11T00:00:00"/>
    <s v="BJ US-IC-SaltCaramelBlondie-FTNG-1 2.4G"/>
    <x v="76"/>
    <n v="9.0848256361922702E-3"/>
    <n v="125"/>
    <x v="13"/>
    <x v="20"/>
    <n v="0.85"/>
    <n v="5304"/>
    <n v="48.185915174363799"/>
    <n v="42.432000000000002"/>
    <s v="May"/>
    <x v="26"/>
    <m/>
    <m/>
  </r>
  <r>
    <n v="84139000"/>
    <x v="3"/>
    <n v="6240"/>
    <d v="2026-08-03T00:00:00"/>
    <s v="BJ US-IC-SaltCaramelBlondie-FTNG-1 2.4G"/>
    <x v="76"/>
    <n v="9.0848256361922702E-3"/>
    <n v="125"/>
    <x v="13"/>
    <x v="20"/>
    <n v="0.85"/>
    <n v="5304"/>
    <n v="48.185915174363799"/>
    <n v="42.432000000000002"/>
    <s v="Aug"/>
    <x v="22"/>
    <m/>
    <m/>
  </r>
  <r>
    <n v="84139000"/>
    <x v="3"/>
    <n v="6240"/>
    <d v="2026-11-30T00:00:00"/>
    <s v="BJ US-IC-SaltCaramelBlondie-FTNG-1 2.4G"/>
    <x v="76"/>
    <n v="9.0848256361922702E-3"/>
    <n v="125"/>
    <x v="13"/>
    <x v="20"/>
    <n v="0.85"/>
    <n v="5304"/>
    <n v="48.185915174363799"/>
    <n v="42.432000000000002"/>
    <s v="Nov"/>
    <x v="19"/>
    <m/>
    <m/>
  </r>
  <r>
    <n v="84139971"/>
    <x v="3"/>
    <n v="6240"/>
    <d v="2026-04-06T00:00:00"/>
    <s v="BJ US-IC-MintChocChunk-FTNG-1 2.4G"/>
    <x v="76"/>
    <n v="9.0848256361922702E-3"/>
    <n v="125"/>
    <x v="13"/>
    <x v="20"/>
    <n v="0.85"/>
    <n v="5304"/>
    <n v="48.185915174363799"/>
    <n v="42.432000000000002"/>
    <s v="Apr"/>
    <x v="23"/>
    <m/>
    <m/>
  </r>
  <r>
    <n v="84139971"/>
    <x v="3"/>
    <n v="6240"/>
    <d v="2026-05-11T00:00:00"/>
    <s v="BJ US-IC-MintChocChunk-FTNG-1 2.4G"/>
    <x v="76"/>
    <n v="9.0848256361922702E-3"/>
    <n v="125"/>
    <x v="13"/>
    <x v="20"/>
    <n v="0.85"/>
    <n v="5304"/>
    <n v="48.185915174363799"/>
    <n v="42.432000000000002"/>
    <s v="May"/>
    <x v="26"/>
    <m/>
    <m/>
  </r>
  <r>
    <n v="84139971"/>
    <x v="3"/>
    <n v="6240"/>
    <d v="2026-10-05T00:00:00"/>
    <s v="BJ US-IC-MintChocChunk-FTNG-1 2.4G"/>
    <x v="76"/>
    <n v="9.0848256361922702E-3"/>
    <n v="125"/>
    <x v="13"/>
    <x v="20"/>
    <n v="0.85"/>
    <n v="5304"/>
    <n v="48.185915174363799"/>
    <n v="42.432000000000002"/>
    <s v="Oct"/>
    <x v="50"/>
    <m/>
    <m/>
  </r>
  <r>
    <n v="84139972"/>
    <x v="3"/>
    <n v="6240"/>
    <d v="2026-04-27T00:00:00"/>
    <s v="BJ US-IC-ButterPecan-FTNG-1 2.4G"/>
    <x v="76"/>
    <n v="9.0848256361922702E-3"/>
    <n v="125"/>
    <x v="13"/>
    <x v="20"/>
    <n v="0.85"/>
    <n v="5304"/>
    <n v="48.185915174363799"/>
    <n v="42.432000000000002"/>
    <s v="Apr"/>
    <x v="21"/>
    <m/>
    <m/>
  </r>
  <r>
    <n v="84139972"/>
    <x v="3"/>
    <n v="6240"/>
    <d v="2026-09-28T00:00:00"/>
    <s v="BJ US-IC-ButterPecan-FTNG-1 2.4G"/>
    <x v="76"/>
    <n v="9.0848256361922702E-3"/>
    <n v="125"/>
    <x v="13"/>
    <x v="20"/>
    <n v="0.85"/>
    <n v="5304"/>
    <n v="48.185915174363799"/>
    <n v="42.432000000000002"/>
    <s v="Sep"/>
    <x v="17"/>
    <m/>
    <m/>
  </r>
  <r>
    <n v="84141037"/>
    <x v="3"/>
    <n v="6240"/>
    <d v="2026-05-18T00:00:00"/>
    <s v="BJ US-IC-ChocFudgBrownie-FTNG-1 2.4G"/>
    <x v="76"/>
    <n v="9.0848256361922702E-3"/>
    <n v="125"/>
    <x v="13"/>
    <x v="20"/>
    <n v="0.85"/>
    <n v="5304"/>
    <n v="48.185915174363799"/>
    <n v="42.432000000000002"/>
    <s v="May"/>
    <x v="39"/>
    <m/>
    <m/>
  </r>
  <r>
    <n v="84141037"/>
    <x v="3"/>
    <n v="6240"/>
    <d v="2026-07-13T00:00:00"/>
    <s v="BJ US-IC-ChocFudgBrownie-FTNG-1 2.4G"/>
    <x v="76"/>
    <n v="9.0848256361922702E-3"/>
    <n v="125"/>
    <x v="13"/>
    <x v="20"/>
    <n v="0.85"/>
    <n v="5304"/>
    <n v="48.185915174363799"/>
    <n v="42.432000000000002"/>
    <s v="Jul"/>
    <x v="48"/>
    <m/>
    <m/>
  </r>
  <r>
    <n v="84141037"/>
    <x v="3"/>
    <n v="6240"/>
    <d v="2026-08-31T00:00:00"/>
    <s v="BJ US-IC-ChocFudgBrownie-FTNG-1 2.4G"/>
    <x v="76"/>
    <n v="9.0848256361922702E-3"/>
    <n v="125"/>
    <x v="13"/>
    <x v="20"/>
    <n v="0.85"/>
    <n v="5304"/>
    <n v="48.185915174363799"/>
    <n v="42.432000000000002"/>
    <s v="Aug"/>
    <x v="16"/>
    <m/>
    <m/>
  </r>
  <r>
    <n v="84141418"/>
    <x v="3"/>
    <n v="6240"/>
    <d v="2026-06-15T00:00:00"/>
    <s v="BJ US-IC-Strawberry-FTNG-1 2.4G"/>
    <x v="76"/>
    <n v="9.0848256361922702E-3"/>
    <n v="125"/>
    <x v="13"/>
    <x v="20"/>
    <n v="0.85"/>
    <n v="5304"/>
    <n v="48.185915174363799"/>
    <n v="42.432000000000002"/>
    <s v="Jun"/>
    <x v="28"/>
    <m/>
    <m/>
  </r>
  <r>
    <n v="84141418"/>
    <x v="3"/>
    <n v="6240"/>
    <d v="2026-11-30T00:00:00"/>
    <s v="BJ US-IC-Strawberry-FTNG-1 2.4G"/>
    <x v="76"/>
    <n v="9.0848256361922702E-3"/>
    <n v="125"/>
    <x v="13"/>
    <x v="20"/>
    <n v="0.85"/>
    <n v="5304"/>
    <n v="48.185915174363799"/>
    <n v="42.432000000000002"/>
    <s v="Nov"/>
    <x v="19"/>
    <m/>
    <m/>
  </r>
  <r>
    <n v="84164939"/>
    <x v="3"/>
    <n v="6240"/>
    <d v="2026-04-06T00:00:00"/>
    <s v="BJ US-IC-SweetCrm+Cookies-FTNG-1 2.4G"/>
    <x v="76"/>
    <n v="9.0848256361922702E-3"/>
    <n v="125"/>
    <x v="13"/>
    <x v="20"/>
    <n v="0.85"/>
    <n v="5304"/>
    <n v="48.185915174363799"/>
    <n v="42.432000000000002"/>
    <s v="Apr"/>
    <x v="23"/>
    <m/>
    <m/>
  </r>
  <r>
    <n v="84164939"/>
    <x v="3"/>
    <n v="6240"/>
    <d v="2026-07-06T00:00:00"/>
    <s v="BJ US-IC-SweetCrm+Cookies-FTNG-1 2.4G"/>
    <x v="76"/>
    <n v="9.0848256361922702E-3"/>
    <n v="125"/>
    <x v="13"/>
    <x v="20"/>
    <n v="0.85"/>
    <n v="5304"/>
    <n v="48.185915174363799"/>
    <n v="42.432000000000002"/>
    <s v="Jul"/>
    <x v="30"/>
    <m/>
    <m/>
  </r>
  <r>
    <n v="84164939"/>
    <x v="3"/>
    <n v="6240"/>
    <d v="2026-08-31T00:00:00"/>
    <s v="BJ US-IC-SweetCrm+Cookies-FTNG-1 2.4G"/>
    <x v="76"/>
    <n v="9.0848256361922702E-3"/>
    <n v="125"/>
    <x v="13"/>
    <x v="20"/>
    <n v="0.85"/>
    <n v="5304"/>
    <n v="48.185915174363799"/>
    <n v="42.432000000000002"/>
    <s v="Aug"/>
    <x v="16"/>
    <m/>
    <m/>
  </r>
  <r>
    <n v="65451950"/>
    <x v="3"/>
    <n v="7280"/>
    <d v="2026-06-15T00:00:00"/>
    <s v="BJ US-IC Honey Graham Latte-1 2.4Gal"/>
    <x v="76"/>
    <n v="9.0850000000000011E-3"/>
    <n v="125"/>
    <x v="13"/>
    <x v="20"/>
    <n v="0.85"/>
    <n v="6188"/>
    <n v="56.217980000000004"/>
    <n v="49.503999999999998"/>
    <s v="Jun"/>
    <x v="28"/>
    <m/>
    <m/>
  </r>
  <r>
    <n v="64365613"/>
    <x v="7"/>
    <m/>
    <d v="2026-03-30T00:00:00"/>
    <s v="PS Spiderman Facepiece 6-6PK"/>
    <x v="70"/>
    <n v="2.1540000000000001E-3"/>
    <n v="195"/>
    <x v="16"/>
    <x v="24"/>
    <n v="0.96"/>
    <n v="0"/>
    <n v="0"/>
    <n v="0"/>
    <s v="Mar"/>
    <x v="20"/>
    <m/>
    <m/>
  </r>
  <r>
    <n v="84161610"/>
    <x v="3"/>
    <n v="23760"/>
    <d v="2026-03-30T00:00:00"/>
    <s v="BJ US-COR-SaltedCaramelCore-FTNG-8 1PT"/>
    <x v="72"/>
    <n v="3.7853439999999999E-3"/>
    <n v="240"/>
    <x v="3"/>
    <x v="13"/>
    <n v="0.95"/>
    <n v="22572"/>
    <n v="85.442784767999996"/>
    <n v="94.05"/>
    <s v="Mar"/>
    <x v="20"/>
    <m/>
    <m/>
  </r>
  <r>
    <n v="65489676"/>
    <x v="12"/>
    <n v="8334"/>
    <d v="2026-03-30T00:00:00"/>
    <s v="GH King Cone GINT Cookies and CRM 1-12PK"/>
    <x v="69"/>
    <n v="2.8319999999999999E-3"/>
    <n v="221"/>
    <x v="17"/>
    <x v="34"/>
    <n v="0.96"/>
    <n v="8000.6399999999994"/>
    <n v="22.657812479999997"/>
    <n v="36.201990950226239"/>
    <s v="Mar"/>
    <x v="20"/>
    <m/>
    <m/>
  </r>
  <r>
    <n v="69717802"/>
    <x v="1"/>
    <m/>
    <d v="2026-03-30T00:00:00"/>
    <s v="BR Carbsmart IC Bars 8-6PK"/>
    <x v="63"/>
    <n v="4.2560000000000002E-3"/>
    <n v="143"/>
    <x v="5"/>
    <x v="6"/>
    <n v="0.96"/>
    <n v="0"/>
    <n v="0"/>
    <n v="0"/>
    <s v="Mar"/>
    <x v="20"/>
    <m/>
    <m/>
  </r>
  <r>
    <n v="64977529"/>
    <x v="0"/>
    <n v="22560"/>
    <d v="2026-03-30T00:00:00"/>
    <s v="BR Chocolate Lava Cake 6p 1.5QT"/>
    <x v="74"/>
    <n v="8.513999999999999E-3"/>
    <n v="176"/>
    <x v="0"/>
    <x v="0"/>
    <n v="0.94"/>
    <n v="21206.399999999998"/>
    <n v="180.55128959999996"/>
    <n v="120.49090909090908"/>
    <s v="Mar"/>
    <x v="20"/>
    <m/>
    <m/>
  </r>
  <r>
    <n v="64413475"/>
    <x v="8"/>
    <n v="10260"/>
    <d v="2026-03-30T00:00:00"/>
    <s v="BJ US-IC-CherryGarcia-FTNG-12 4FOZ"/>
    <x v="69"/>
    <n v="1.4159999999999999E-3"/>
    <n v="468"/>
    <x v="18"/>
    <x v="26"/>
    <n v="0.96"/>
    <n v="9849.6"/>
    <n v="13.947033599999999"/>
    <n v="21.046153846153846"/>
    <s v="Mar"/>
    <x v="20"/>
    <m/>
    <m/>
  </r>
  <r>
    <n v="64413477"/>
    <x v="8"/>
    <n v="10305"/>
    <d v="2026-03-30T00:00:00"/>
    <s v="BJ US-IC-AmericoneDream-FTNG-12 4FOZ"/>
    <x v="69"/>
    <n v="1.4159999999999999E-3"/>
    <n v="468"/>
    <x v="18"/>
    <x v="26"/>
    <n v="0.96"/>
    <n v="9892.7999999999993"/>
    <n v="14.008204799999998"/>
    <n v="21.138461538461538"/>
    <s v="Mar"/>
    <x v="20"/>
    <m/>
    <m/>
  </r>
  <r>
    <n v="69568828"/>
    <x v="1"/>
    <n v="31000"/>
    <d v="2026-03-30T00:00:00"/>
    <s v="BR CS Vanilla 6 1.5QT"/>
    <x v="83"/>
    <n v="8.5199999999999998E-3"/>
    <n v="176"/>
    <x v="0"/>
    <x v="1"/>
    <n v="0.94"/>
    <n v="29140"/>
    <n v="248.27279999999999"/>
    <n v="165.56818181818181"/>
    <s v="Mar"/>
    <x v="20"/>
    <m/>
    <m/>
  </r>
  <r>
    <n v="84135770"/>
    <x v="3"/>
    <n v="28080"/>
    <d v="2026-03-30T00:00:00"/>
    <s v="BJ US-IC-PistachioPistachio-FTNG-8 1PT"/>
    <x v="72"/>
    <n v="3.7853439999999999E-3"/>
    <n v="240"/>
    <x v="3"/>
    <x v="13"/>
    <n v="0.95"/>
    <n v="26676"/>
    <n v="100.977836544"/>
    <n v="111.15"/>
    <s v="Mar"/>
    <x v="20"/>
    <m/>
    <m/>
  </r>
  <r>
    <n v="64330596"/>
    <x v="1"/>
    <m/>
    <d v="2026-03-30T00:00:00"/>
    <s v="MG Mini Double Caramel Bar 6-6PK"/>
    <x v="64"/>
    <n v="1.98E-3"/>
    <n v="176"/>
    <x v="5"/>
    <x v="6"/>
    <n v="0.96"/>
    <n v="0"/>
    <n v="0"/>
    <n v="0"/>
    <s v="Mar"/>
    <x v="20"/>
    <m/>
    <m/>
  </r>
  <r>
    <n v="69717803"/>
    <x v="1"/>
    <m/>
    <d v="2026-03-30T00:00:00"/>
    <s v="BR Carbsmart Almond Bar 8-6PK"/>
    <x v="63"/>
    <n v="4.2560000000000002E-3"/>
    <n v="143"/>
    <x v="5"/>
    <x v="6"/>
    <n v="0.96"/>
    <n v="0"/>
    <n v="0"/>
    <n v="0"/>
    <s v="Mar"/>
    <x v="20"/>
    <m/>
    <m/>
  </r>
  <r>
    <n v="68851107"/>
    <x v="0"/>
    <n v="22750"/>
    <d v="2026-03-30T00:00:00"/>
    <s v="BR NAT Vanilla 6-1.5QT"/>
    <x v="74"/>
    <n v="8.5199999999999998E-3"/>
    <n v="176"/>
    <x v="0"/>
    <x v="0"/>
    <n v="0.94"/>
    <n v="21385"/>
    <n v="182.2002"/>
    <n v="121.50568181818181"/>
    <s v="Mar"/>
    <x v="20"/>
    <m/>
    <m/>
  </r>
  <r>
    <n v="64771677"/>
    <x v="7"/>
    <m/>
    <d v="2026-03-30T00:00:00"/>
    <s v="PS Minions Facepiece IH 6-6PK"/>
    <x v="70"/>
    <n v="2.16E-3"/>
    <n v="195"/>
    <x v="16"/>
    <x v="24"/>
    <n v="0.96"/>
    <n v="0"/>
    <n v="0"/>
    <n v="0"/>
    <s v="Mar"/>
    <x v="20"/>
    <m/>
    <m/>
  </r>
  <r>
    <n v="69629468"/>
    <x v="1"/>
    <m/>
    <d v="2026-03-30T00:00:00"/>
    <s v="PS Fudgesicle NSA 6-18PK"/>
    <x v="68"/>
    <n v="5.2680000000000001E-3"/>
    <n v="130"/>
    <x v="6"/>
    <x v="7"/>
    <n v="0.96"/>
    <n v="0"/>
    <n v="0"/>
    <n v="0"/>
    <s v="Mar"/>
    <x v="20"/>
    <m/>
    <m/>
  </r>
  <r>
    <n v="65489677"/>
    <x v="12"/>
    <n v="15247"/>
    <d v="2026-03-30T00:00:00"/>
    <s v="GH King Cone Giant VAN CHOC 1-12PK"/>
    <x v="69"/>
    <n v="2.8319999999999999E-3"/>
    <n v="221"/>
    <x v="17"/>
    <x v="34"/>
    <n v="0.96"/>
    <n v="14637.119999999999"/>
    <n v="41.452323839999998"/>
    <n v="66.231312217194571"/>
    <s v="Mar"/>
    <x v="20"/>
    <m/>
    <m/>
  </r>
  <r>
    <n v="64976851"/>
    <x v="1"/>
    <m/>
    <d v="2026-03-30T00:00:00"/>
    <s v="Yasso Caramel Chocolate Crunch 8-4pk"/>
    <x v="65"/>
    <n v="2.5040000000000001E-3"/>
    <n v="165"/>
    <x v="4"/>
    <x v="5"/>
    <n v="0.96"/>
    <n v="0"/>
    <n v="0"/>
    <n v="0"/>
    <s v="Mar"/>
    <x v="20"/>
    <m/>
    <m/>
  </r>
  <r>
    <n v="68852591"/>
    <x v="0"/>
    <m/>
    <d v="2026-03-30T00:00:00"/>
    <s v="KL Heath Bar 12-6PK"/>
    <x v="79"/>
    <n v="8.5199999999999998E-3"/>
    <n v="132"/>
    <x v="1"/>
    <x v="2"/>
    <n v="0.96"/>
    <n v="0"/>
    <n v="0"/>
    <n v="0"/>
    <s v="Mar"/>
    <x v="20"/>
    <m/>
    <m/>
  </r>
  <r>
    <n v="68689251"/>
    <x v="0"/>
    <m/>
    <d v="2026-03-30T00:00:00"/>
    <s v="KL Original Vanilla Bar 12-6PK"/>
    <x v="79"/>
    <n v="9.5760000000000012E-3"/>
    <n v="132"/>
    <x v="1"/>
    <x v="2"/>
    <n v="0.96"/>
    <n v="0"/>
    <n v="0"/>
    <n v="0"/>
    <s v="Mar"/>
    <x v="20"/>
    <m/>
    <m/>
  </r>
  <r>
    <n v="64988054"/>
    <x v="11"/>
    <m/>
    <d v="2026-03-30T00:00:00"/>
    <s v="BJ US-Bar-Caramel Blondie 8-4pk"/>
    <x v="69"/>
    <n v="2.3999999999999998E-3"/>
    <n v="165"/>
    <x v="24"/>
    <x v="45"/>
    <n v="0.96"/>
    <n v="0"/>
    <n v="0"/>
    <n v="0"/>
    <s v="Mar"/>
    <x v="20"/>
    <m/>
    <m/>
  </r>
  <r>
    <n v="69629468"/>
    <x v="0"/>
    <m/>
    <d v="2026-03-30T00:00:00"/>
    <s v="PS Fudgesicle NSA 6-18PK"/>
    <x v="94"/>
    <n v="5.2680000000000001E-3"/>
    <n v="130"/>
    <x v="6"/>
    <x v="15"/>
    <n v="0.96"/>
    <n v="0"/>
    <n v="0"/>
    <n v="0"/>
    <s v="Mar"/>
    <x v="20"/>
    <m/>
    <m/>
  </r>
  <r>
    <n v="64341106"/>
    <x v="1"/>
    <m/>
    <d v="2026-03-30T00:00:00"/>
    <s v="PS Jolly Rancher Pop 6-18PK"/>
    <x v="93"/>
    <n v="5.2680000000000001E-3"/>
    <n v="130"/>
    <x v="6"/>
    <x v="7"/>
    <n v="0.96"/>
    <n v="0"/>
    <n v="0"/>
    <n v="0"/>
    <s v="Mar"/>
    <x v="20"/>
    <m/>
    <m/>
  </r>
  <r>
    <n v="69725082"/>
    <x v="0"/>
    <m/>
    <d v="2026-03-30T00:00:00"/>
    <s v="PS OCG 6-18PK"/>
    <x v="92"/>
    <n v="5.2680000000000001E-3"/>
    <n v="130"/>
    <x v="6"/>
    <x v="15"/>
    <n v="0.96"/>
    <n v="0"/>
    <n v="0"/>
    <n v="0"/>
    <s v="Mar"/>
    <x v="20"/>
    <m/>
    <m/>
  </r>
  <r>
    <n v="64413476"/>
    <x v="8"/>
    <n v="20520"/>
    <d v="2026-03-30T00:00:00"/>
    <s v="BJ US-IC-ChocFudgBrownie-FTNG-12 4FOZ"/>
    <x v="69"/>
    <n v="1.4399999999999999E-3"/>
    <n v="468"/>
    <x v="18"/>
    <x v="26"/>
    <n v="0.96"/>
    <n v="19699.2"/>
    <n v="28.366847999999997"/>
    <n v="42.092307692307692"/>
    <s v="Mar"/>
    <x v="20"/>
    <m/>
    <m/>
  </r>
  <r>
    <n v="68852628"/>
    <x v="1"/>
    <n v="34100"/>
    <d v="2026-04-02T00:00:00"/>
    <s v="Talenti LY Mint Fudge Cookie 8 311.8g"/>
    <x v="87"/>
    <n v="3.552E-3"/>
    <n v="255"/>
    <x v="2"/>
    <x v="3"/>
    <n v="0.96"/>
    <n v="32736"/>
    <n v="116.278272"/>
    <n v="128.37647058823529"/>
    <s v="Apr"/>
    <x v="20"/>
    <m/>
    <m/>
  </r>
  <r>
    <n v="64776954"/>
    <x v="0"/>
    <m/>
    <d v="2026-03-30T00:00:00"/>
    <s v="PS Scribblers Natural 6-18PK"/>
    <x v="90"/>
    <n v="3.8340000000000002E-3"/>
    <n v="130"/>
    <x v="6"/>
    <x v="15"/>
    <n v="0.96"/>
    <n v="0"/>
    <n v="0"/>
    <n v="0"/>
    <s v="Mar"/>
    <x v="20"/>
    <m/>
    <m/>
  </r>
  <r>
    <n v="64786654"/>
    <x v="0"/>
    <m/>
    <d v="2026-03-30T00:00:00"/>
    <s v="GH Cookies and Creme Bar 8-6PK"/>
    <x v="96"/>
    <n v="3.8959999999999997E-3"/>
    <n v="154"/>
    <x v="7"/>
    <x v="8"/>
    <n v="0.96"/>
    <n v="0"/>
    <n v="0"/>
    <n v="0"/>
    <s v="Mar"/>
    <x v="20"/>
    <m/>
    <m/>
  </r>
  <r>
    <n v="64977526"/>
    <x v="0"/>
    <m/>
    <d v="2026-03-30T00:00:00"/>
    <s v="BR Salted Caramel Truffle 6p 1.5QT"/>
    <x v="74"/>
    <n v="8.513999999999999E-3"/>
    <n v="176"/>
    <x v="0"/>
    <x v="0"/>
    <n v="0.94"/>
    <n v="0"/>
    <n v="0"/>
    <n v="0"/>
    <s v="Mar"/>
    <x v="20"/>
    <m/>
    <m/>
  </r>
  <r>
    <n v="64977529"/>
    <x v="0"/>
    <m/>
    <d v="2026-03-30T00:00:00"/>
    <s v="BR Chocolate Lava Cake 6p 1.5QT"/>
    <x v="74"/>
    <n v="8.513999999999999E-3"/>
    <n v="176"/>
    <x v="0"/>
    <x v="0"/>
    <n v="0.94"/>
    <n v="0"/>
    <n v="0"/>
    <n v="0"/>
    <s v="Mar"/>
    <x v="20"/>
    <m/>
    <m/>
  </r>
  <r>
    <n v="68851107"/>
    <x v="0"/>
    <m/>
    <d v="2026-03-30T00:00:00"/>
    <s v="BR NAT Vanilla 6-1.5QT"/>
    <x v="74"/>
    <n v="8.5199999999999998E-3"/>
    <n v="176"/>
    <x v="0"/>
    <x v="0"/>
    <n v="0.94"/>
    <n v="0"/>
    <n v="0"/>
    <n v="0"/>
    <s v="Mar"/>
    <x v="20"/>
    <m/>
    <m/>
  </r>
  <r>
    <n v="68851107"/>
    <x v="0"/>
    <n v="13000"/>
    <d v="2026-03-30T00:00:00"/>
    <s v="BR NAT Vanilla 6-1.5QT"/>
    <x v="82"/>
    <n v="8.5199999999999998E-3"/>
    <n v="176"/>
    <x v="0"/>
    <x v="0"/>
    <n v="0.94"/>
    <n v="12220"/>
    <n v="104.1144"/>
    <n v="69.431818181818187"/>
    <s v="Mar"/>
    <x v="20"/>
    <m/>
    <m/>
  </r>
  <r>
    <n v="64988056"/>
    <x v="1"/>
    <n v="21000"/>
    <d v="2026-03-30T00:00:00"/>
    <s v="BR Butter Pecan 6 1.5QT"/>
    <x v="89"/>
    <n v="8.513999999999999E-3"/>
    <n v="176"/>
    <x v="0"/>
    <x v="1"/>
    <n v="0.94"/>
    <n v="19740"/>
    <n v="168.06635999999997"/>
    <n v="112.15909090909091"/>
    <s v="Mar"/>
    <x v="20"/>
    <m/>
    <m/>
  </r>
  <r>
    <n v="64776952"/>
    <x v="0"/>
    <m/>
    <d v="2026-03-30T00:00:00"/>
    <s v="PS Firecracker 6-18PK"/>
    <x v="95"/>
    <n v="5.0940000000000004E-3"/>
    <n v="130"/>
    <x v="6"/>
    <x v="15"/>
    <n v="0.96"/>
    <n v="0"/>
    <n v="0"/>
    <n v="0"/>
    <s v="Mar"/>
    <x v="20"/>
    <m/>
    <m/>
  </r>
  <r>
    <n v="68821735"/>
    <x v="1"/>
    <n v="24000"/>
    <d v="2026-03-30T00:00:00"/>
    <s v="BR Lactose Free Vanilla 6 1.5QT"/>
    <x v="89"/>
    <n v="8.5199999999999998E-3"/>
    <n v="176"/>
    <x v="0"/>
    <x v="1"/>
    <n v="0.94"/>
    <n v="22560"/>
    <n v="192.21119999999999"/>
    <n v="128.18181818181819"/>
    <s v="Mar"/>
    <x v="20"/>
    <m/>
    <m/>
  </r>
  <r>
    <n v="69568829"/>
    <x v="1"/>
    <n v="31000"/>
    <d v="2026-03-30T00:00:00"/>
    <s v="BR CS CHOC 6 1.5QT"/>
    <x v="89"/>
    <n v="8.5199999999999998E-3"/>
    <n v="176"/>
    <x v="0"/>
    <x v="1"/>
    <n v="0.94"/>
    <n v="29140"/>
    <n v="248.27279999999999"/>
    <n v="165.56818181818181"/>
    <s v="Mar"/>
    <x v="20"/>
    <m/>
    <m/>
  </r>
  <r>
    <n v="68852591"/>
    <x v="0"/>
    <m/>
    <d v="2026-03-30T00:00:00"/>
    <s v="KL Heath Bar 12-6PK"/>
    <x v="79"/>
    <n v="8.5199999999999998E-3"/>
    <n v="132"/>
    <x v="1"/>
    <x v="2"/>
    <n v="0.96"/>
    <n v="0"/>
    <n v="0"/>
    <n v="0"/>
    <s v="Mar"/>
    <x v="20"/>
    <m/>
    <m/>
  </r>
  <r>
    <n v="64958129"/>
    <x v="11"/>
    <m/>
    <d v="2026-03-30T00:00:00"/>
    <s v="Yasso Chocolate Chip Cookie Dough 8-4pk"/>
    <x v="69"/>
    <n v="3.3119999999999998E-3"/>
    <n v="165"/>
    <x v="4"/>
    <x v="32"/>
    <n v="0.96"/>
    <n v="0"/>
    <n v="0"/>
    <n v="0"/>
    <s v="Mar"/>
    <x v="20"/>
    <m/>
    <m/>
  </r>
  <r>
    <n v="68817801"/>
    <x v="0"/>
    <n v="26400"/>
    <d v="2026-03-30T00:00:00"/>
    <s v="BR XCRMY Chocolate 6 1.5QT"/>
    <x v="82"/>
    <n v="8.5199999999999998E-3"/>
    <n v="176"/>
    <x v="0"/>
    <x v="0"/>
    <n v="0.94"/>
    <n v="24816"/>
    <n v="211.43232"/>
    <n v="141"/>
    <s v="Mar"/>
    <x v="20"/>
    <m/>
    <m/>
  </r>
  <r>
    <n v="69568829"/>
    <x v="0"/>
    <n v="36150"/>
    <d v="2026-03-30T00:00:00"/>
    <s v="BR CS CHOC 6 1.5QT"/>
    <x v="82"/>
    <n v="8.5199999999999998E-3"/>
    <n v="176"/>
    <x v="0"/>
    <x v="0"/>
    <n v="0.94"/>
    <n v="33981"/>
    <n v="289.51812000000001"/>
    <n v="193.07386363636363"/>
    <s v="Mar"/>
    <x v="20"/>
    <m/>
    <m/>
  </r>
  <r>
    <n v="64977494"/>
    <x v="8"/>
    <n v="26480"/>
    <d v="2026-03-30T00:00:00"/>
    <s v="GH Reeses Candy Bar 8-6PK"/>
    <x v="69"/>
    <n v="2.8399999999999996E-3"/>
    <n v="130"/>
    <x v="17"/>
    <x v="25"/>
    <n v="0.96"/>
    <n v="25420.799999999999"/>
    <n v="72.195071999999982"/>
    <n v="195.54461538461538"/>
    <s v="Mar"/>
    <x v="20"/>
    <m/>
    <m/>
  </r>
  <r>
    <n v="64999042"/>
    <x v="11"/>
    <n v="26875"/>
    <d v="2026-03-30T00:00:00"/>
    <s v="Yasso Coffee Chocolate Chip 8-14z"/>
    <x v="69"/>
    <n v="3.3119999999999998E-3"/>
    <n v="240"/>
    <x v="11"/>
    <x v="31"/>
    <n v="0.96"/>
    <n v="25800"/>
    <n v="85.44959999999999"/>
    <n v="107.5"/>
    <s v="Mar"/>
    <x v="20"/>
    <m/>
    <m/>
  </r>
  <r>
    <n v="84141103"/>
    <x v="3"/>
    <n v="56000"/>
    <d v="2026-03-30T00:00:00"/>
    <s v="BJ US-IC-HalfBaked-FTNG-8 1PT"/>
    <x v="86"/>
    <n v="3.7853439999999999E-3"/>
    <n v="240"/>
    <x v="3"/>
    <x v="13"/>
    <n v="0.95"/>
    <n v="53200"/>
    <n v="201.38030079999999"/>
    <n v="221.66666666666666"/>
    <s v="Mar"/>
    <x v="20"/>
    <m/>
    <m/>
  </r>
  <r>
    <n v="65549173"/>
    <x v="7"/>
    <m/>
    <d v="2026-03-30T00:00:00"/>
    <s v="PS Bluey Facepiece OOH 1-20PK"/>
    <x v="70"/>
    <n v="1.1999999999999999E-3"/>
    <n v="210"/>
    <x v="16"/>
    <x v="24"/>
    <n v="0.96"/>
    <n v="0"/>
    <n v="0"/>
    <n v="0"/>
    <s v="Mar"/>
    <x v="20"/>
    <m/>
    <m/>
  </r>
  <r>
    <n v="64789262"/>
    <x v="0"/>
    <m/>
    <d v="2026-03-30T00:00:00"/>
    <s v="GH Cookies+Cream 1-24BK OOH"/>
    <x v="60"/>
    <n v="2.8319999999999999E-3"/>
    <n v="225"/>
    <x v="7"/>
    <x v="8"/>
    <n v="0.96"/>
    <n v="0"/>
    <n v="0"/>
    <n v="0"/>
    <s v="Mar"/>
    <x v="20"/>
    <m/>
    <m/>
  </r>
  <r>
    <n v="68354590"/>
    <x v="1"/>
    <m/>
    <d v="2026-03-30T00:00:00"/>
    <s v="BJ US-TOP-THICKMINT-8 450ml"/>
    <x v="88"/>
    <n v="3.5999999999999999E-3"/>
    <n v="240"/>
    <x v="8"/>
    <x v="9"/>
    <n v="0.96"/>
    <n v="0"/>
    <n v="0"/>
    <n v="0"/>
    <s v="Mar"/>
    <x v="20"/>
    <m/>
    <m/>
  </r>
  <r>
    <n v="64987232"/>
    <x v="11"/>
    <m/>
    <d v="2026-03-30T00:00:00"/>
    <s v="BJ US-Bar-CHOCFUDGBrownie 8-4pk"/>
    <x v="69"/>
    <n v="2.3999999999999998E-3"/>
    <n v="165"/>
    <x v="24"/>
    <x v="45"/>
    <n v="0.96"/>
    <n v="0"/>
    <n v="0"/>
    <n v="0"/>
    <s v="Mar"/>
    <x v="20"/>
    <m/>
    <m/>
  </r>
  <r>
    <n v="68689251"/>
    <x v="0"/>
    <n v="16500"/>
    <d v="2026-03-30T00:00:00"/>
    <s v="KL Original Vanilla Bar 12-6PK"/>
    <x v="75"/>
    <n v="9.5760000000000012E-3"/>
    <n v="132"/>
    <x v="1"/>
    <x v="2"/>
    <n v="0.96"/>
    <n v="15840"/>
    <n v="151.68384000000003"/>
    <n v="120"/>
    <s v="Mar"/>
    <x v="20"/>
    <m/>
    <m/>
  </r>
  <r>
    <n v="68851107"/>
    <x v="0"/>
    <m/>
    <d v="2026-03-30T00:00:00"/>
    <s v="BR NAT Vanilla 6-1.5QT"/>
    <x v="82"/>
    <n v="8.5199999999999998E-3"/>
    <n v="176"/>
    <x v="0"/>
    <x v="0"/>
    <n v="0.94"/>
    <n v="0"/>
    <n v="0"/>
    <n v="0"/>
    <s v="Mar"/>
    <x v="20"/>
    <m/>
    <m/>
  </r>
  <r>
    <n v="69999269"/>
    <x v="3"/>
    <n v="72800"/>
    <d v="2026-03-30T00:00:00"/>
    <s v="BJ US-IC-StrawberryChscke-FTNG-8 1PT"/>
    <x v="86"/>
    <n v="3.7839999999999996E-3"/>
    <n v="240"/>
    <x v="3"/>
    <x v="13"/>
    <n v="0.95"/>
    <n v="69160"/>
    <n v="261.70143999999999"/>
    <n v="288.16666666666669"/>
    <s v="Mar"/>
    <x v="20"/>
    <m/>
    <m/>
  </r>
  <r>
    <n v="68817801"/>
    <x v="0"/>
    <m/>
    <d v="2026-03-30T00:00:00"/>
    <s v="BR XCRMY Chocolate 6 1.5QT"/>
    <x v="82"/>
    <n v="8.5199999999999998E-3"/>
    <n v="176"/>
    <x v="0"/>
    <x v="0"/>
    <n v="0.94"/>
    <n v="0"/>
    <n v="0"/>
    <n v="0"/>
    <s v="Mar"/>
    <x v="20"/>
    <m/>
    <m/>
  </r>
  <r>
    <n v="68689251"/>
    <x v="0"/>
    <n v="16500"/>
    <d v="2026-03-30T00:00:00"/>
    <s v="KL Original Vanilla Bar 12-6PK"/>
    <x v="75"/>
    <n v="9.5760000000000012E-3"/>
    <n v="132"/>
    <x v="1"/>
    <x v="2"/>
    <n v="0.96"/>
    <n v="15840"/>
    <n v="151.68384000000003"/>
    <n v="120"/>
    <s v="Mar"/>
    <x v="20"/>
    <m/>
    <m/>
  </r>
  <r>
    <n v="64987233"/>
    <x v="11"/>
    <m/>
    <d v="2026-03-30T00:00:00"/>
    <s v="BJ US-Bar-StrawberryCHSCAKE 8-4pk"/>
    <x v="69"/>
    <n v="2.3999999999999998E-3"/>
    <n v="165"/>
    <x v="24"/>
    <x v="45"/>
    <n v="0.96"/>
    <n v="0"/>
    <n v="0"/>
    <n v="0"/>
    <s v="Mar"/>
    <x v="20"/>
    <m/>
    <m/>
  </r>
  <r>
    <n v="64956417"/>
    <x v="7"/>
    <m/>
    <d v="2026-03-30T00:00:00"/>
    <s v="PS Hello Kitty Facepiece IH 6-6PK"/>
    <x v="70"/>
    <n v="2.16E-3"/>
    <n v="143"/>
    <x v="16"/>
    <x v="24"/>
    <n v="0.96"/>
    <n v="0"/>
    <n v="0"/>
    <n v="0"/>
    <s v="Mar"/>
    <x v="20"/>
    <m/>
    <m/>
  </r>
  <r>
    <n v="68649095"/>
    <x v="1"/>
    <m/>
    <d v="2026-03-30T00:00:00"/>
    <s v="BJ US-TOP-DirtCake-8 450ML"/>
    <x v="88"/>
    <n v="3.5999999999999999E-3"/>
    <n v="240"/>
    <x v="8"/>
    <x v="9"/>
    <n v="0.96"/>
    <n v="0"/>
    <n v="0"/>
    <n v="0"/>
    <s v="Mar"/>
    <x v="20"/>
    <m/>
    <m/>
  </r>
  <r>
    <n v="69568829"/>
    <x v="0"/>
    <m/>
    <d v="2026-03-30T00:00:00"/>
    <s v="BR CS CHOC 6 1.5QT"/>
    <x v="82"/>
    <n v="8.5199999999999998E-3"/>
    <n v="176"/>
    <x v="0"/>
    <x v="0"/>
    <n v="0.94"/>
    <n v="0"/>
    <n v="0"/>
    <n v="0"/>
    <s v="Mar"/>
    <x v="20"/>
    <m/>
    <m/>
  </r>
  <r>
    <n v="62714126"/>
    <x v="5"/>
    <m/>
    <d v="2026-03-30T00:00:00"/>
    <s v="PS OCG SF 6-18PK"/>
    <x v="70"/>
    <n v="5.2680000000000001E-3"/>
    <n v="130"/>
    <x v="6"/>
    <x v="22"/>
    <n v="0.96"/>
    <n v="0"/>
    <n v="0"/>
    <n v="0"/>
    <s v="Mar"/>
    <x v="20"/>
    <m/>
    <m/>
  </r>
  <r>
    <n v="64393722"/>
    <x v="1"/>
    <m/>
    <d v="2026-03-30T00:00:00"/>
    <s v="MG Double Raspberry Bar 8-3PK"/>
    <x v="64"/>
    <n v="2.16E-3"/>
    <n v="210"/>
    <x v="5"/>
    <x v="6"/>
    <n v="0.96"/>
    <n v="0"/>
    <n v="0"/>
    <n v="0"/>
    <s v="Mar"/>
    <x v="20"/>
    <m/>
    <m/>
  </r>
  <r>
    <n v="64979444"/>
    <x v="7"/>
    <m/>
    <d v="2026-03-30T00:00:00"/>
    <s v="PS Bluey Facepiece IH 6-6PK"/>
    <x v="70"/>
    <n v="2.16E-3"/>
    <n v="195"/>
    <x v="16"/>
    <x v="24"/>
    <n v="0.96"/>
    <n v="0"/>
    <n v="0"/>
    <n v="0"/>
    <s v="Mar"/>
    <x v="20"/>
    <m/>
    <m/>
  </r>
  <r>
    <n v="64396550"/>
    <x v="1"/>
    <m/>
    <d v="2026-03-30T00:00:00"/>
    <s v="MG Double Raspberry Bar OOH 1-12PK"/>
    <x v="99"/>
    <n v="1.08E-3"/>
    <n v="493"/>
    <x v="5"/>
    <x v="6"/>
    <n v="0.96"/>
    <n v="0"/>
    <n v="0"/>
    <n v="0"/>
    <s v="Mar"/>
    <x v="20"/>
    <m/>
    <m/>
  </r>
  <r>
    <n v="64341108"/>
    <x v="7"/>
    <m/>
    <d v="2026-03-30T00:00:00"/>
    <s v="PS SpongeBob Facepiece 1-20PK"/>
    <x v="70"/>
    <n v="2.3599999999999997E-3"/>
    <n v="210"/>
    <x v="16"/>
    <x v="24"/>
    <n v="0.96"/>
    <n v="0"/>
    <n v="0"/>
    <n v="0"/>
    <s v="Mar"/>
    <x v="20"/>
    <m/>
    <m/>
  </r>
  <r>
    <n v="64958127"/>
    <x v="1"/>
    <m/>
    <d v="2026-03-30T00:00:00"/>
    <s v="Yasso Coffee Chocolate Chip 8-4pk"/>
    <x v="65"/>
    <n v="3.3119999999999998E-3"/>
    <n v="165"/>
    <x v="4"/>
    <x v="5"/>
    <n v="0.96"/>
    <n v="0"/>
    <n v="0"/>
    <n v="0"/>
    <s v="Mar"/>
    <x v="20"/>
    <m/>
    <m/>
  </r>
  <r>
    <n v="64958124"/>
    <x v="10"/>
    <m/>
    <d v="2026-03-30T00:00:00"/>
    <s v="Yasso Cookies N Cream 8-4pk"/>
    <x v="69"/>
    <n v="3.3119999999999998E-3"/>
    <n v="165"/>
    <x v="4"/>
    <x v="30"/>
    <n v="0.96"/>
    <n v="0"/>
    <n v="0"/>
    <n v="0"/>
    <s v="Mar"/>
    <x v="20"/>
    <m/>
    <m/>
  </r>
  <r>
    <n v="84144598"/>
    <x v="1"/>
    <m/>
    <d v="2026-03-30T00:00:00"/>
    <s v="BJ US-IC-VanillaCaramelFdg-FTNG-8 1PT"/>
    <x v="66"/>
    <n v="3.7853439999999999E-3"/>
    <n v="240"/>
    <x v="3"/>
    <x v="12"/>
    <n v="0.95"/>
    <n v="0"/>
    <n v="0"/>
    <n v="0"/>
    <s v="Mar"/>
    <x v="20"/>
    <m/>
    <m/>
  </r>
  <r>
    <n v="64987234"/>
    <x v="11"/>
    <m/>
    <d v="2026-03-30T00:00:00"/>
    <s v="BJ US-Bar-Cookie Dough 8-4pk"/>
    <x v="69"/>
    <n v="2.3999999999999998E-3"/>
    <n v="165"/>
    <x v="24"/>
    <x v="45"/>
    <n v="0.96"/>
    <n v="0"/>
    <n v="0"/>
    <n v="0"/>
    <s v="Mar"/>
    <x v="20"/>
    <m/>
    <m/>
  </r>
  <r>
    <n v="65594416"/>
    <x v="1"/>
    <m/>
    <d v="2026-03-30T00:00:00"/>
    <s v="MG Bars Dubai Chocolate 1-12pk"/>
    <x v="99"/>
    <n v="9.5999999999999992E-4"/>
    <n v="432"/>
    <x v="5"/>
    <x v="6"/>
    <n v="0.96"/>
    <n v="0"/>
    <n v="0"/>
    <n v="0"/>
    <s v="Mar"/>
    <x v="20"/>
    <m/>
    <m/>
  </r>
  <r>
    <n v="68867755"/>
    <x v="1"/>
    <m/>
    <d v="2026-03-30T00:00:00"/>
    <s v="Talenti LY Salted CAR Truffle 8 323.1g"/>
    <x v="87"/>
    <n v="3.552E-3"/>
    <n v="255"/>
    <x v="2"/>
    <x v="3"/>
    <n v="0.96"/>
    <n v="0"/>
    <n v="0"/>
    <n v="0"/>
    <s v="Mar"/>
    <x v="20"/>
    <m/>
    <m/>
  </r>
  <r>
    <m/>
    <x v="22"/>
    <m/>
    <m/>
    <m/>
    <x v="100"/>
    <m/>
    <m/>
    <x v="27"/>
    <x v="60"/>
    <m/>
    <m/>
    <m/>
    <m/>
    <m/>
    <x v="5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F7562-5BB5-47A6-8D86-4B0F3D4A1394}" name="PivotTable1" cacheId="8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C3:O28" firstHeaderRow="1" firstDataRow="3" firstDataCol="1"/>
  <pivotFields count="24">
    <pivotField axis="axisRow" showAll="0">
      <items count="24">
        <item x="0"/>
        <item x="6"/>
        <item x="3"/>
        <item x="8"/>
        <item x="2"/>
        <item x="20"/>
        <item x="7"/>
        <item x="16"/>
        <item x="9"/>
        <item x="22"/>
        <item x="21"/>
        <item x="10"/>
        <item x="11"/>
        <item x="1"/>
        <item x="15"/>
        <item x="4"/>
        <item x="14"/>
        <item x="18"/>
        <item x="19"/>
        <item x="12"/>
        <item x="13"/>
        <item x="5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2"/>
        <item x="3"/>
        <item x="4"/>
        <item x="0"/>
        <item h="1" x="1"/>
        <item t="default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 t="grand">
      <x/>
    </i>
  </rowItems>
  <colFields count="2">
    <field x="23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Sum of 2024 MRF12" fld="22" baseField="0" baseItem="0"/>
    <dataField name="Sum of 2025 MRF8" fld="16" baseField="0" baseItem="4"/>
    <dataField name="Sum of 2026 MRF8" fld="15" baseField="0" baseItem="4"/>
  </dataFields>
  <formats count="1">
    <format dxfId="8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76D2A-402B-4706-8EB8-04688C350DAA}" name="PivotTable2" cacheId="8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C62:F85" firstHeaderRow="0" firstDataRow="1" firstDataCol="1" rowPageCount="1" colPageCount="1"/>
  <pivotFields count="26">
    <pivotField axis="axisRow" showAll="0" sortType="descending">
      <items count="24">
        <item x="0"/>
        <item x="6"/>
        <item x="3"/>
        <item x="8"/>
        <item x="2"/>
        <item x="7"/>
        <item x="16"/>
        <item x="9"/>
        <item x="22"/>
        <item x="21"/>
        <item x="10"/>
        <item x="11"/>
        <item x="1"/>
        <item x="15"/>
        <item x="4"/>
        <item x="14"/>
        <item x="18"/>
        <item x="19"/>
        <item x="12"/>
        <item x="13"/>
        <item h="1" x="5"/>
        <item x="17"/>
        <item x="2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6">
        <item x="2"/>
        <item x="3"/>
        <item x="4"/>
        <item x="0"/>
        <item x="1"/>
        <item t="default"/>
      </items>
    </pivotField>
  </pivotFields>
  <rowFields count="1">
    <field x="0"/>
  </rowFields>
  <rowItems count="23">
    <i>
      <x v="1"/>
    </i>
    <i>
      <x v="4"/>
    </i>
    <i>
      <x v="5"/>
    </i>
    <i>
      <x v="15"/>
    </i>
    <i>
      <x v="13"/>
    </i>
    <i>
      <x v="18"/>
    </i>
    <i>
      <x v="11"/>
    </i>
    <i>
      <x v="14"/>
    </i>
    <i>
      <x v="7"/>
    </i>
    <i>
      <x v="12"/>
    </i>
    <i>
      <x v="3"/>
    </i>
    <i>
      <x v="10"/>
    </i>
    <i>
      <x v="8"/>
    </i>
    <i>
      <x v="19"/>
    </i>
    <i>
      <x/>
    </i>
    <i>
      <x v="21"/>
    </i>
    <i>
      <x v="2"/>
    </i>
    <i>
      <x v="9"/>
    </i>
    <i>
      <x v="6"/>
    </i>
    <i>
      <x v="16"/>
    </i>
    <i>
      <x v="22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5" hier="-1"/>
  </pageFields>
  <dataFields count="3">
    <dataField name="Sum of 2024 MRF12" fld="22" baseField="0" baseItem="0"/>
    <dataField name="Sum of 2025 MRF8" fld="16" baseField="0" baseItem="0"/>
    <dataField name="Sum of 2026 MRF8" fld="15" baseField="0" baseItem="0"/>
  </dataFields>
  <formats count="64">
    <format dxfId="911">
      <pivotArea outline="0" collapsedLevelsAreSubtotals="1" fieldPosition="0"/>
    </format>
    <format dxfId="910">
      <pivotArea type="all" dataOnly="0" outline="0" fieldPosition="0"/>
    </format>
    <format dxfId="909">
      <pivotArea field="0" type="button" dataOnly="0" labelOnly="1" outline="0" axis="axisRow" fieldPosition="0"/>
    </format>
    <format dxfId="908">
      <pivotArea dataOnly="0" labelOnly="1" fieldPosition="0">
        <references count="1">
          <reference field="0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9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6">
      <pivotArea collapsedLevelsAreSubtotals="1" fieldPosition="0">
        <references count="1">
          <reference field="0" count="5">
            <x v="5"/>
            <x v="8"/>
            <x v="11"/>
            <x v="13"/>
            <x v="18"/>
          </reference>
        </references>
      </pivotArea>
    </format>
    <format dxfId="905">
      <pivotArea dataOnly="0" labelOnly="1" fieldPosition="0">
        <references count="1">
          <reference field="0" count="5">
            <x v="5"/>
            <x v="8"/>
            <x v="11"/>
            <x v="13"/>
            <x v="18"/>
          </reference>
        </references>
      </pivotArea>
    </format>
    <format dxfId="904">
      <pivotArea collapsedLevelsAreSubtotals="1" fieldPosition="0">
        <references count="1">
          <reference field="0" count="5">
            <x v="5"/>
            <x v="8"/>
            <x v="11"/>
            <x v="13"/>
            <x v="18"/>
          </reference>
        </references>
      </pivotArea>
    </format>
    <format dxfId="903">
      <pivotArea collapsedLevelsAreSubtotals="1" fieldPosition="0">
        <references count="1">
          <reference field="0" count="2">
            <x v="7"/>
            <x v="10"/>
          </reference>
        </references>
      </pivotArea>
    </format>
    <format dxfId="902">
      <pivotArea collapsedLevelsAreSubtotals="1" fieldPosition="0">
        <references count="1">
          <reference field="0" count="3">
            <x v="1"/>
            <x v="4"/>
            <x v="15"/>
          </reference>
        </references>
      </pivotArea>
    </format>
    <format dxfId="901">
      <pivotArea collapsedLevelsAreSubtotals="1" fieldPosition="0">
        <references count="1">
          <reference field="0" count="1">
            <x v="19"/>
          </reference>
        </references>
      </pivotArea>
    </format>
    <format dxfId="900">
      <pivotArea collapsedLevelsAreSubtotals="1" fieldPosition="0">
        <references count="1">
          <reference field="0" count="1">
            <x v="19"/>
          </reference>
        </references>
      </pivotArea>
    </format>
    <format dxfId="899">
      <pivotArea collapsedLevelsAreSubtotals="1" fieldPosition="0">
        <references count="1">
          <reference field="0" count="5">
            <x v="5"/>
            <x v="8"/>
            <x v="11"/>
            <x v="13"/>
            <x v="18"/>
          </reference>
        </references>
      </pivotArea>
    </format>
    <format dxfId="898">
      <pivotArea collapsedLevelsAreSubtotals="1" fieldPosition="0">
        <references count="1">
          <reference field="0" count="2">
            <x v="7"/>
            <x v="10"/>
          </reference>
        </references>
      </pivotArea>
    </format>
    <format dxfId="897">
      <pivotArea collapsedLevelsAreSubtotals="1" fieldPosition="0">
        <references count="1">
          <reference field="0" count="1">
            <x v="19"/>
          </reference>
        </references>
      </pivotArea>
    </format>
    <format dxfId="896">
      <pivotArea outline="0" collapsedLevelsAreSubtotals="1" fieldPosition="0"/>
    </format>
    <format dxfId="895">
      <pivotArea dataOnly="0" labelOnly="1" fieldPosition="0">
        <references count="1">
          <reference field="0" count="0"/>
        </references>
      </pivotArea>
    </format>
    <format dxfId="894">
      <pivotArea dataOnly="0" labelOnly="1" grandRow="1" outline="0" fieldPosition="0"/>
    </format>
    <format dxfId="893">
      <pivotArea collapsedLevelsAreSubtotals="1" fieldPosition="0">
        <references count="1">
          <reference field="0" count="20">
            <x v="0"/>
            <x v="1"/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892">
      <pivotArea dataOnly="0" labelOnly="1" fieldPosition="0">
        <references count="1">
          <reference field="0" count="20">
            <x v="0"/>
            <x v="1"/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891">
      <pivotArea dataOnly="0" labelOnly="1" fieldPosition="0">
        <references count="1">
          <reference field="0" count="2">
            <x v="1"/>
            <x v="4"/>
          </reference>
        </references>
      </pivotArea>
    </format>
    <format dxfId="890">
      <pivotArea dataOnly="0" labelOnly="1" fieldPosition="0">
        <references count="1">
          <reference field="0" count="1">
            <x v="11"/>
          </reference>
        </references>
      </pivotArea>
    </format>
    <format dxfId="889">
      <pivotArea collapsedLevelsAreSubtotals="1" fieldPosition="0">
        <references count="1">
          <reference field="0" count="1">
            <x v="13"/>
          </reference>
        </references>
      </pivotArea>
    </format>
    <format dxfId="888">
      <pivotArea dataOnly="0" labelOnly="1" fieldPosition="0">
        <references count="1">
          <reference field="0" count="1">
            <x v="13"/>
          </reference>
        </references>
      </pivotArea>
    </format>
    <format dxfId="887">
      <pivotArea collapsedLevelsAreSubtotals="1" fieldPosition="0">
        <references count="1">
          <reference field="0" count="2">
            <x v="1"/>
            <x v="4"/>
          </reference>
        </references>
      </pivotArea>
    </format>
    <format dxfId="886">
      <pivotArea dataOnly="0" labelOnly="1" fieldPosition="0">
        <references count="1">
          <reference field="0" count="2">
            <x v="1"/>
            <x v="4"/>
          </reference>
        </references>
      </pivotArea>
    </format>
    <format dxfId="885">
      <pivotArea collapsedLevelsAreSubtotals="1" fieldPosition="0">
        <references count="1">
          <reference field="0" count="1">
            <x v="15"/>
          </reference>
        </references>
      </pivotArea>
    </format>
    <format dxfId="884">
      <pivotArea dataOnly="0" labelOnly="1" fieldPosition="0">
        <references count="1">
          <reference field="0" count="1">
            <x v="15"/>
          </reference>
        </references>
      </pivotArea>
    </format>
    <format dxfId="883">
      <pivotArea collapsedLevelsAreSubtotals="1" fieldPosition="0">
        <references count="1">
          <reference field="0" count="1">
            <x v="11"/>
          </reference>
        </references>
      </pivotArea>
    </format>
    <format dxfId="882">
      <pivotArea dataOnly="0" labelOnly="1" fieldPosition="0">
        <references count="1">
          <reference field="0" count="1">
            <x v="11"/>
          </reference>
        </references>
      </pivotArea>
    </format>
    <format dxfId="881">
      <pivotArea collapsedLevelsAreSubtotals="1" fieldPosition="0">
        <references count="1">
          <reference field="0" count="1">
            <x v="5"/>
          </reference>
        </references>
      </pivotArea>
    </format>
    <format dxfId="880">
      <pivotArea dataOnly="0" labelOnly="1" fieldPosition="0">
        <references count="1">
          <reference field="0" count="1">
            <x v="5"/>
          </reference>
        </references>
      </pivotArea>
    </format>
    <format dxfId="879">
      <pivotArea collapsedLevelsAreSubtotals="1" fieldPosition="0">
        <references count="1">
          <reference field="0" count="1">
            <x v="18"/>
          </reference>
        </references>
      </pivotArea>
    </format>
    <format dxfId="878">
      <pivotArea dataOnly="0" labelOnly="1" fieldPosition="0">
        <references count="1">
          <reference field="0" count="1">
            <x v="18"/>
          </reference>
        </references>
      </pivotArea>
    </format>
    <format dxfId="877">
      <pivotArea collapsedLevelsAreSubtotals="1" fieldPosition="0">
        <references count="1">
          <reference field="0" count="1">
            <x v="3"/>
          </reference>
        </references>
      </pivotArea>
    </format>
    <format dxfId="876">
      <pivotArea dataOnly="0" labelOnly="1" fieldPosition="0">
        <references count="1">
          <reference field="0" count="1">
            <x v="3"/>
          </reference>
        </references>
      </pivotArea>
    </format>
    <format dxfId="875">
      <pivotArea collapsedLevelsAreSubtotals="1" fieldPosition="0">
        <references count="1">
          <reference field="0" count="1">
            <x v="8"/>
          </reference>
        </references>
      </pivotArea>
    </format>
    <format dxfId="874">
      <pivotArea dataOnly="0" labelOnly="1" fieldPosition="0">
        <references count="1">
          <reference field="0" count="1">
            <x v="8"/>
          </reference>
        </references>
      </pivotArea>
    </format>
    <format dxfId="873">
      <pivotArea collapsedLevelsAreSubtotals="1" fieldPosition="0">
        <references count="1">
          <reference field="0" count="1">
            <x v="8"/>
          </reference>
        </references>
      </pivotArea>
    </format>
    <format dxfId="872">
      <pivotArea dataOnly="0" labelOnly="1" fieldPosition="0">
        <references count="1">
          <reference field="0" count="1">
            <x v="8"/>
          </reference>
        </references>
      </pivotArea>
    </format>
    <format dxfId="871">
      <pivotArea collapsedLevelsAreSubtotals="1" fieldPosition="0">
        <references count="1">
          <reference field="0" count="1">
            <x v="14"/>
          </reference>
        </references>
      </pivotArea>
    </format>
    <format dxfId="870">
      <pivotArea dataOnly="0" labelOnly="1" fieldPosition="0">
        <references count="1">
          <reference field="0" count="1">
            <x v="14"/>
          </reference>
        </references>
      </pivotArea>
    </format>
    <format dxfId="869">
      <pivotArea collapsedLevelsAreSubtotals="1" fieldPosition="0">
        <references count="1">
          <reference field="0" count="1">
            <x v="7"/>
          </reference>
        </references>
      </pivotArea>
    </format>
    <format dxfId="868">
      <pivotArea dataOnly="0" labelOnly="1" fieldPosition="0">
        <references count="1">
          <reference field="0" count="1">
            <x v="7"/>
          </reference>
        </references>
      </pivotArea>
    </format>
    <format dxfId="867">
      <pivotArea collapsedLevelsAreSubtotals="1" fieldPosition="0">
        <references count="1">
          <reference field="0" count="1">
            <x v="10"/>
          </reference>
        </references>
      </pivotArea>
    </format>
    <format dxfId="866">
      <pivotArea dataOnly="0" labelOnly="1" fieldPosition="0">
        <references count="1">
          <reference field="0" count="1">
            <x v="10"/>
          </reference>
        </references>
      </pivotArea>
    </format>
    <format dxfId="865">
      <pivotArea collapsedLevelsAreSubtotals="1" fieldPosition="0">
        <references count="1">
          <reference field="0" count="1">
            <x v="21"/>
          </reference>
        </references>
      </pivotArea>
    </format>
    <format dxfId="864">
      <pivotArea dataOnly="0" labelOnly="1" fieldPosition="0">
        <references count="1">
          <reference field="0" count="1">
            <x v="21"/>
          </reference>
        </references>
      </pivotArea>
    </format>
    <format dxfId="863">
      <pivotArea collapsedLevelsAreSubtotals="1" fieldPosition="0">
        <references count="1">
          <reference field="0" count="1">
            <x v="19"/>
          </reference>
        </references>
      </pivotArea>
    </format>
    <format dxfId="862">
      <pivotArea dataOnly="0" labelOnly="1" fieldPosition="0">
        <references count="1">
          <reference field="0" count="1">
            <x v="19"/>
          </reference>
        </references>
      </pivotArea>
    </format>
    <format dxfId="861">
      <pivotArea collapsedLevelsAreSubtotals="1" fieldPosition="0">
        <references count="1">
          <reference field="0" count="1">
            <x v="12"/>
          </reference>
        </references>
      </pivotArea>
    </format>
    <format dxfId="860">
      <pivotArea dataOnly="0" labelOnly="1" fieldPosition="0">
        <references count="1">
          <reference field="0" count="1">
            <x v="12"/>
          </reference>
        </references>
      </pivotArea>
    </format>
    <format dxfId="859">
      <pivotArea collapsedLevelsAreSubtotals="1" fieldPosition="0">
        <references count="1">
          <reference field="0" count="1">
            <x v="2"/>
          </reference>
        </references>
      </pivotArea>
    </format>
    <format dxfId="858">
      <pivotArea dataOnly="0" labelOnly="1" fieldPosition="0">
        <references count="1">
          <reference field="0" count="1">
            <x v="2"/>
          </reference>
        </references>
      </pivotArea>
    </format>
    <format dxfId="857">
      <pivotArea collapsedLevelsAreSubtotals="1" fieldPosition="0">
        <references count="1">
          <reference field="0" count="1">
            <x v="9"/>
          </reference>
        </references>
      </pivotArea>
    </format>
    <format dxfId="856">
      <pivotArea dataOnly="0" labelOnly="1" fieldPosition="0">
        <references count="1">
          <reference field="0" count="1">
            <x v="9"/>
          </reference>
        </references>
      </pivotArea>
    </format>
    <format dxfId="855">
      <pivotArea collapsedLevelsAreSubtotals="1" fieldPosition="0">
        <references count="1">
          <reference field="0" count="1">
            <x v="0"/>
          </reference>
        </references>
      </pivotArea>
    </format>
    <format dxfId="854">
      <pivotArea dataOnly="0" labelOnly="1" fieldPosition="0">
        <references count="1">
          <reference field="0" count="1">
            <x v="0"/>
          </reference>
        </references>
      </pivotArea>
    </format>
    <format dxfId="853">
      <pivotArea collapsedLevelsAreSubtotals="1" fieldPosition="0">
        <references count="1">
          <reference field="0" count="1">
            <x v="16"/>
          </reference>
        </references>
      </pivotArea>
    </format>
    <format dxfId="852">
      <pivotArea dataOnly="0" labelOnly="1" fieldPosition="0">
        <references count="1">
          <reference field="0" count="1">
            <x v="16"/>
          </reference>
        </references>
      </pivotArea>
    </format>
    <format dxfId="851">
      <pivotArea collapsedLevelsAreSubtotals="1" fieldPosition="0">
        <references count="1">
          <reference field="0" count="1">
            <x v="22"/>
          </reference>
        </references>
      </pivotArea>
    </format>
    <format dxfId="850">
      <pivotArea dataOnly="0" labelOnly="1" fieldPosition="0">
        <references count="1">
          <reference field="0" count="1">
            <x v="22"/>
          </reference>
        </references>
      </pivotArea>
    </format>
    <format dxfId="849">
      <pivotArea collapsedLevelsAreSubtotals="1" fieldPosition="0">
        <references count="1">
          <reference field="0" count="1">
            <x v="6"/>
          </reference>
        </references>
      </pivotArea>
    </format>
    <format dxfId="848">
      <pivotArea dataOnly="0" labelOnly="1" fieldPosition="0">
        <references count="1">
          <reference field="0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7CAA2-CF51-435D-A95D-1ED76207C718}" name="PivotTable3" cacheId="8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C34:F57" firstHeaderRow="0" firstDataRow="1" firstDataCol="1" rowPageCount="1" colPageCount="1"/>
  <pivotFields count="24">
    <pivotField axis="axisRow" showAll="0" sortType="descending">
      <items count="24">
        <item x="0"/>
        <item x="6"/>
        <item x="3"/>
        <item x="8"/>
        <item x="2"/>
        <item x="20"/>
        <item x="7"/>
        <item x="16"/>
        <item x="9"/>
        <item x="22"/>
        <item x="21"/>
        <item x="10"/>
        <item x="11"/>
        <item x="1"/>
        <item x="15"/>
        <item x="4"/>
        <item x="14"/>
        <item x="18"/>
        <item x="19"/>
        <item x="12"/>
        <item x="13"/>
        <item h="1" x="5"/>
        <item x="1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6">
        <item x="2"/>
        <item x="3"/>
        <item x="4"/>
        <item x="0"/>
        <item h="1" x="1"/>
        <item t="default"/>
      </items>
    </pivotField>
  </pivotFields>
  <rowFields count="1">
    <field x="0"/>
  </rowFields>
  <rowItems count="23">
    <i>
      <x v="1"/>
    </i>
    <i>
      <x v="4"/>
    </i>
    <i>
      <x v="16"/>
    </i>
    <i>
      <x v="19"/>
    </i>
    <i>
      <x v="14"/>
    </i>
    <i>
      <x v="12"/>
    </i>
    <i>
      <x v="6"/>
    </i>
    <i>
      <x v="15"/>
    </i>
    <i>
      <x v="9"/>
    </i>
    <i>
      <x v="8"/>
    </i>
    <i>
      <x v="11"/>
    </i>
    <i>
      <x v="13"/>
    </i>
    <i>
      <x v="22"/>
    </i>
    <i>
      <x v="3"/>
    </i>
    <i>
      <x v="20"/>
    </i>
    <i>
      <x v="2"/>
    </i>
    <i>
      <x v="10"/>
    </i>
    <i>
      <x/>
    </i>
    <i>
      <x v="17"/>
    </i>
    <i>
      <x v="5"/>
    </i>
    <i>
      <x v="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3" hier="-1"/>
  </pageFields>
  <dataFields count="3">
    <dataField name="Sum of 2024 MRF12" fld="22" baseField="0" baseItem="0"/>
    <dataField name="Sum of 2025 MRF8" fld="16" baseField="0" baseItem="0"/>
    <dataField name="Sum of 2026 MRF8" fld="15" baseField="0" baseItem="0"/>
  </dataFields>
  <formats count="66">
    <format dxfId="977">
      <pivotArea outline="0" collapsedLevelsAreSubtotals="1" fieldPosition="0"/>
    </format>
    <format dxfId="976">
      <pivotArea type="all" dataOnly="0" outline="0" fieldPosition="0"/>
    </format>
    <format dxfId="975">
      <pivotArea field="0" type="button" dataOnly="0" labelOnly="1" outline="0" axis="axisRow" fieldPosition="0"/>
    </format>
    <format dxfId="974">
      <pivotArea dataOnly="0" labelOnly="1" fieldPosition="0">
        <references count="1">
          <reference field="0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</reference>
        </references>
      </pivotArea>
    </format>
    <format dxfId="9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2">
      <pivotArea collapsedLevelsAreSubtotals="1" fieldPosition="0">
        <references count="1">
          <reference field="0" count="5">
            <x v="6"/>
            <x v="9"/>
            <x v="12"/>
            <x v="14"/>
            <x v="19"/>
          </reference>
        </references>
      </pivotArea>
    </format>
    <format dxfId="971">
      <pivotArea dataOnly="0" labelOnly="1" fieldPosition="0">
        <references count="1">
          <reference field="0" count="5">
            <x v="6"/>
            <x v="9"/>
            <x v="12"/>
            <x v="14"/>
            <x v="19"/>
          </reference>
        </references>
      </pivotArea>
    </format>
    <format dxfId="970">
      <pivotArea dataOnly="0" labelOnly="1" fieldPosition="0">
        <references count="1">
          <reference field="0" count="3">
            <x v="1"/>
            <x v="4"/>
            <x v="16"/>
          </reference>
        </references>
      </pivotArea>
    </format>
    <format dxfId="969">
      <pivotArea dataOnly="0" labelOnly="1" fieldPosition="0">
        <references count="1">
          <reference field="0" count="1">
            <x v="15"/>
          </reference>
        </references>
      </pivotArea>
    </format>
    <format dxfId="968">
      <pivotArea dataOnly="0" labelOnly="1" fieldPosition="0">
        <references count="1">
          <reference field="0" count="5">
            <x v="6"/>
            <x v="9"/>
            <x v="12"/>
            <x v="14"/>
            <x v="19"/>
          </reference>
        </references>
      </pivotArea>
    </format>
    <format dxfId="967">
      <pivotArea dataOnly="0" labelOnly="1" fieldPosition="0">
        <references count="1">
          <reference field="0" count="1">
            <x v="11"/>
          </reference>
        </references>
      </pivotArea>
    </format>
    <format dxfId="966">
      <pivotArea collapsedLevelsAreSubtotals="1" fieldPosition="0">
        <references count="1">
          <reference field="0" count="5">
            <x v="6"/>
            <x v="9"/>
            <x v="12"/>
            <x v="14"/>
            <x v="19"/>
          </reference>
        </references>
      </pivotArea>
    </format>
    <format dxfId="965">
      <pivotArea dataOnly="0" labelOnly="1" fieldPosition="0">
        <references count="1">
          <reference field="0" count="5">
            <x v="6"/>
            <x v="9"/>
            <x v="12"/>
            <x v="14"/>
            <x v="19"/>
          </reference>
        </references>
      </pivotArea>
    </format>
    <format dxfId="964">
      <pivotArea collapsedLevelsAreSubtotals="1" fieldPosition="0">
        <references count="1">
          <reference field="0" count="2">
            <x v="8"/>
            <x v="11"/>
          </reference>
        </references>
      </pivotArea>
    </format>
    <format dxfId="963">
      <pivotArea dataOnly="0" labelOnly="1" fieldPosition="0">
        <references count="1">
          <reference field="0" count="2">
            <x v="8"/>
            <x v="11"/>
          </reference>
        </references>
      </pivotArea>
    </format>
    <format dxfId="962">
      <pivotArea collapsedLevelsAreSubtotals="1" fieldPosition="0">
        <references count="1">
          <reference field="0" count="3">
            <x v="1"/>
            <x v="4"/>
            <x v="16"/>
          </reference>
        </references>
      </pivotArea>
    </format>
    <format dxfId="961">
      <pivotArea dataOnly="0" labelOnly="1" fieldPosition="0">
        <references count="1">
          <reference field="0" count="3">
            <x v="1"/>
            <x v="4"/>
            <x v="16"/>
          </reference>
        </references>
      </pivotArea>
    </format>
    <format dxfId="960">
      <pivotArea collapsedLevelsAreSubtotals="1" fieldPosition="0">
        <references count="1">
          <reference field="0" count="1">
            <x v="20"/>
          </reference>
        </references>
      </pivotArea>
    </format>
    <format dxfId="959">
      <pivotArea dataOnly="0" labelOnly="1" fieldPosition="0">
        <references count="1">
          <reference field="0" count="1">
            <x v="20"/>
          </reference>
        </references>
      </pivotArea>
    </format>
    <format dxfId="958">
      <pivotArea collapsedLevelsAreSubtotals="1" fieldPosition="0">
        <references count="1">
          <reference field="0" count="1">
            <x v="20"/>
          </reference>
        </references>
      </pivotArea>
    </format>
    <format dxfId="957">
      <pivotArea collapsedLevelsAreSubtotals="1" fieldPosition="0">
        <references count="1">
          <reference field="0" count="5">
            <x v="6"/>
            <x v="9"/>
            <x v="12"/>
            <x v="14"/>
            <x v="19"/>
          </reference>
        </references>
      </pivotArea>
    </format>
    <format dxfId="956">
      <pivotArea collapsedLevelsAreSubtotals="1" fieldPosition="0">
        <references count="1">
          <reference field="0" count="2">
            <x v="8"/>
            <x v="11"/>
          </reference>
        </references>
      </pivotArea>
    </format>
    <format dxfId="955">
      <pivotArea collapsedLevelsAreSubtotals="1" fieldPosition="0">
        <references count="1">
          <reference field="0" count="1">
            <x v="20"/>
          </reference>
        </references>
      </pivotArea>
    </format>
    <format dxfId="954">
      <pivotArea outline="0" collapsedLevelsAreSubtotals="1" fieldPosition="0"/>
    </format>
    <format dxfId="953">
      <pivotArea dataOnly="0" labelOnly="1" fieldPosition="0">
        <references count="1">
          <reference field="0" count="0"/>
        </references>
      </pivotArea>
    </format>
    <format dxfId="952">
      <pivotArea dataOnly="0" labelOnly="1" grandRow="1" outline="0" fieldPosition="0"/>
    </format>
    <format dxfId="951">
      <pivotArea collapsedLevelsAreSubtotals="1" fieldPosition="0">
        <references count="1">
          <reference field="0" count="3">
            <x v="1"/>
            <x v="4"/>
            <x v="16"/>
          </reference>
        </references>
      </pivotArea>
    </format>
    <format dxfId="950">
      <pivotArea dataOnly="0" labelOnly="1" fieldPosition="0">
        <references count="1">
          <reference field="0" count="3">
            <x v="1"/>
            <x v="4"/>
            <x v="16"/>
          </reference>
        </references>
      </pivotArea>
    </format>
    <format dxfId="949">
      <pivotArea collapsedLevelsAreSubtotals="1" fieldPosition="0">
        <references count="1">
          <reference field="0" count="1">
            <x v="19"/>
          </reference>
        </references>
      </pivotArea>
    </format>
    <format dxfId="948">
      <pivotArea dataOnly="0" labelOnly="1" fieldPosition="0">
        <references count="1">
          <reference field="0" count="1">
            <x v="19"/>
          </reference>
        </references>
      </pivotArea>
    </format>
    <format dxfId="947">
      <pivotArea collapsedLevelsAreSubtotals="1" fieldPosition="0">
        <references count="1">
          <reference field="0" count="3">
            <x v="1"/>
            <x v="4"/>
            <x v="16"/>
          </reference>
        </references>
      </pivotArea>
    </format>
    <format dxfId="946">
      <pivotArea dataOnly="0" labelOnly="1" fieldPosition="0">
        <references count="1">
          <reference field="0" count="3">
            <x v="1"/>
            <x v="4"/>
            <x v="16"/>
          </reference>
        </references>
      </pivotArea>
    </format>
    <format dxfId="945">
      <pivotArea collapsedLevelsAreSubtotals="1" fieldPosition="0">
        <references count="1">
          <reference field="0" count="1">
            <x v="14"/>
          </reference>
        </references>
      </pivotArea>
    </format>
    <format dxfId="944">
      <pivotArea dataOnly="0" labelOnly="1" fieldPosition="0">
        <references count="1">
          <reference field="0" count="1">
            <x v="14"/>
          </reference>
        </references>
      </pivotArea>
    </format>
    <format dxfId="943">
      <pivotArea collapsedLevelsAreSubtotals="1" fieldPosition="0">
        <references count="1">
          <reference field="0" count="1">
            <x v="12"/>
          </reference>
        </references>
      </pivotArea>
    </format>
    <format dxfId="942">
      <pivotArea dataOnly="0" labelOnly="1" fieldPosition="0">
        <references count="1">
          <reference field="0" count="1">
            <x v="12"/>
          </reference>
        </references>
      </pivotArea>
    </format>
    <format dxfId="941">
      <pivotArea collapsedLevelsAreSubtotals="1" fieldPosition="0">
        <references count="1">
          <reference field="0" count="1">
            <x v="6"/>
          </reference>
        </references>
      </pivotArea>
    </format>
    <format dxfId="940">
      <pivotArea dataOnly="0" labelOnly="1" fieldPosition="0">
        <references count="1">
          <reference field="0" count="1">
            <x v="6"/>
          </reference>
        </references>
      </pivotArea>
    </format>
    <format dxfId="939">
      <pivotArea collapsedLevelsAreSubtotals="1" fieldPosition="0">
        <references count="1">
          <reference field="0" count="1">
            <x v="3"/>
          </reference>
        </references>
      </pivotArea>
    </format>
    <format dxfId="938">
      <pivotArea dataOnly="0" labelOnly="1" fieldPosition="0">
        <references count="1">
          <reference field="0" count="1">
            <x v="3"/>
          </reference>
        </references>
      </pivotArea>
    </format>
    <format dxfId="937">
      <pivotArea collapsedLevelsAreSubtotals="1" fieldPosition="0">
        <references count="1">
          <reference field="0" count="1">
            <x v="9"/>
          </reference>
        </references>
      </pivotArea>
    </format>
    <format dxfId="936">
      <pivotArea dataOnly="0" labelOnly="1" fieldPosition="0">
        <references count="1">
          <reference field="0" count="1">
            <x v="9"/>
          </reference>
        </references>
      </pivotArea>
    </format>
    <format dxfId="935">
      <pivotArea collapsedLevelsAreSubtotals="1" fieldPosition="0">
        <references count="1">
          <reference field="0" count="1">
            <x v="15"/>
          </reference>
        </references>
      </pivotArea>
    </format>
    <format dxfId="934">
      <pivotArea dataOnly="0" labelOnly="1" fieldPosition="0">
        <references count="1">
          <reference field="0" count="1">
            <x v="15"/>
          </reference>
        </references>
      </pivotArea>
    </format>
    <format dxfId="933">
      <pivotArea collapsedLevelsAreSubtotals="1" fieldPosition="0">
        <references count="1">
          <reference field="0" count="1">
            <x v="8"/>
          </reference>
        </references>
      </pivotArea>
    </format>
    <format dxfId="932">
      <pivotArea dataOnly="0" labelOnly="1" fieldPosition="0">
        <references count="1">
          <reference field="0" count="1">
            <x v="8"/>
          </reference>
        </references>
      </pivotArea>
    </format>
    <format dxfId="931">
      <pivotArea collapsedLevelsAreSubtotals="1" fieldPosition="0">
        <references count="1">
          <reference field="0" count="1">
            <x v="11"/>
          </reference>
        </references>
      </pivotArea>
    </format>
    <format dxfId="930">
      <pivotArea dataOnly="0" labelOnly="1" fieldPosition="0">
        <references count="1">
          <reference field="0" count="1">
            <x v="11"/>
          </reference>
        </references>
      </pivotArea>
    </format>
    <format dxfId="929">
      <pivotArea collapsedLevelsAreSubtotals="1" fieldPosition="0">
        <references count="1">
          <reference field="0" count="1">
            <x v="22"/>
          </reference>
        </references>
      </pivotArea>
    </format>
    <format dxfId="928">
      <pivotArea dataOnly="0" labelOnly="1" fieldPosition="0">
        <references count="1">
          <reference field="0" count="1">
            <x v="22"/>
          </reference>
        </references>
      </pivotArea>
    </format>
    <format dxfId="927">
      <pivotArea collapsedLevelsAreSubtotals="1" fieldPosition="0">
        <references count="1">
          <reference field="0" count="1">
            <x v="20"/>
          </reference>
        </references>
      </pivotArea>
    </format>
    <format dxfId="926">
      <pivotArea dataOnly="0" labelOnly="1" fieldPosition="0">
        <references count="1">
          <reference field="0" count="1">
            <x v="20"/>
          </reference>
        </references>
      </pivotArea>
    </format>
    <format dxfId="925">
      <pivotArea collapsedLevelsAreSubtotals="1" fieldPosition="0">
        <references count="1">
          <reference field="0" count="2">
            <x v="2"/>
            <x v="13"/>
          </reference>
        </references>
      </pivotArea>
    </format>
    <format dxfId="924">
      <pivotArea dataOnly="0" labelOnly="1" fieldPosition="0">
        <references count="1">
          <reference field="0" count="2">
            <x v="2"/>
            <x v="13"/>
          </reference>
        </references>
      </pivotArea>
    </format>
    <format dxfId="923">
      <pivotArea collapsedLevelsAreSubtotals="1" fieldPosition="0">
        <references count="1">
          <reference field="0" count="1">
            <x v="10"/>
          </reference>
        </references>
      </pivotArea>
    </format>
    <format dxfId="922">
      <pivotArea dataOnly="0" labelOnly="1" fieldPosition="0">
        <references count="1">
          <reference field="0" count="1">
            <x v="10"/>
          </reference>
        </references>
      </pivotArea>
    </format>
    <format dxfId="921">
      <pivotArea collapsedLevelsAreSubtotals="1" fieldPosition="0">
        <references count="1">
          <reference field="0" count="1">
            <x v="0"/>
          </reference>
        </references>
      </pivotArea>
    </format>
    <format dxfId="920">
      <pivotArea dataOnly="0" labelOnly="1" fieldPosition="0">
        <references count="1">
          <reference field="0" count="1">
            <x v="0"/>
          </reference>
        </references>
      </pivotArea>
    </format>
    <format dxfId="919">
      <pivotArea collapsedLevelsAreSubtotals="1" fieldPosition="0">
        <references count="1">
          <reference field="0" count="1">
            <x v="17"/>
          </reference>
        </references>
      </pivotArea>
    </format>
    <format dxfId="918">
      <pivotArea dataOnly="0" labelOnly="1" fieldPosition="0">
        <references count="1">
          <reference field="0" count="1">
            <x v="17"/>
          </reference>
        </references>
      </pivotArea>
    </format>
    <format dxfId="917">
      <pivotArea collapsedLevelsAreSubtotals="1" fieldPosition="0">
        <references count="1">
          <reference field="0" count="1">
            <x v="7"/>
          </reference>
        </references>
      </pivotArea>
    </format>
    <format dxfId="916">
      <pivotArea dataOnly="0" labelOnly="1" fieldPosition="0">
        <references count="1">
          <reference field="0" count="1">
            <x v="7"/>
          </reference>
        </references>
      </pivotArea>
    </format>
    <format dxfId="915">
      <pivotArea collapsedLevelsAreSubtotals="1" fieldPosition="0">
        <references count="1">
          <reference field="0" count="1">
            <x v="5"/>
          </reference>
        </references>
      </pivotArea>
    </format>
    <format dxfId="914">
      <pivotArea dataOnly="0" labelOnly="1" fieldPosition="0">
        <references count="1">
          <reference field="0" count="1">
            <x v="5"/>
          </reference>
        </references>
      </pivotArea>
    </format>
    <format dxfId="913">
      <pivotArea collapsedLevelsAreSubtotals="1" fieldPosition="0">
        <references count="1">
          <reference field="0" count="1">
            <x v="18"/>
          </reference>
        </references>
      </pivotArea>
    </format>
    <format dxfId="912">
      <pivotArea dataOnly="0" labelOnly="1" fieldPosition="0">
        <references count="1">
          <reference field="0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18CF2-199D-409F-80AA-C3D9D1DB0DB6}" name="PivotTable3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C31" firstHeaderRow="1" firstDataRow="2" firstDataCol="1" rowPageCount="3" colPageCount="1"/>
  <pivotFields count="18">
    <pivotField showAll="0"/>
    <pivotField axis="axisRow" multipleItemSelectionAllowed="1" showAll="0">
      <items count="24">
        <item x="0"/>
        <item x="8"/>
        <item x="9"/>
        <item x="10"/>
        <item x="11"/>
        <item x="12"/>
        <item x="1"/>
        <item x="4"/>
        <item x="13"/>
        <item x="2"/>
        <item x="3"/>
        <item x="15"/>
        <item x="16"/>
        <item x="17"/>
        <item x="18"/>
        <item x="5"/>
        <item x="7"/>
        <item x="6"/>
        <item x="14"/>
        <item x="19"/>
        <item x="20"/>
        <item x="21"/>
        <item x="22"/>
        <item t="default"/>
      </items>
    </pivotField>
    <pivotField showAll="0"/>
    <pivotField showAll="0"/>
    <pivotField showAll="0"/>
    <pivotField axis="axisPage" showAll="0">
      <items count="102"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8"/>
        <item x="24"/>
        <item x="10"/>
        <item x="30"/>
        <item x="25"/>
        <item x="63"/>
        <item x="65"/>
        <item x="59"/>
        <item x="68"/>
        <item x="88"/>
        <item x="66"/>
        <item x="98"/>
        <item x="87"/>
        <item x="80"/>
        <item x="83"/>
        <item x="89"/>
        <item x="71"/>
        <item x="99"/>
        <item x="64"/>
        <item x="93"/>
        <item x="47"/>
        <item x="33"/>
        <item x="81"/>
        <item x="91"/>
        <item x="84"/>
        <item x="77"/>
        <item x="72"/>
        <item x="76"/>
        <item x="86"/>
        <item x="49"/>
        <item x="50"/>
        <item x="51"/>
        <item x="69"/>
        <item x="13"/>
        <item x="11"/>
        <item x="73"/>
        <item x="78"/>
        <item x="74"/>
        <item x="82"/>
        <item x="85"/>
        <item x="60"/>
        <item x="79"/>
        <item x="92"/>
        <item x="96"/>
        <item x="75"/>
        <item x="94"/>
        <item x="90"/>
        <item x="95"/>
        <item x="97"/>
        <item x="62"/>
        <item x="18"/>
        <item x="28"/>
        <item x="61"/>
        <item x="32"/>
        <item x="15"/>
        <item x="29"/>
        <item x="27"/>
        <item x="19"/>
        <item x="14"/>
        <item x="2"/>
        <item x="4"/>
        <item x="20"/>
        <item x="54"/>
        <item x="55"/>
        <item x="56"/>
        <item x="46"/>
        <item x="70"/>
        <item x="53"/>
        <item x="31"/>
        <item x="6"/>
        <item x="0"/>
        <item x="7"/>
        <item x="12"/>
        <item x="17"/>
        <item x="58"/>
        <item x="22"/>
        <item x="8"/>
        <item x="9"/>
        <item x="1"/>
        <item x="3"/>
        <item x="5"/>
        <item x="52"/>
        <item x="21"/>
        <item x="26"/>
        <item x="23"/>
        <item x="67"/>
        <item x="16"/>
        <item x="57"/>
        <item x="100"/>
        <item t="default"/>
      </items>
    </pivotField>
    <pivotField showAll="0"/>
    <pivotField showAll="0"/>
    <pivotField axis="axisPage" showAll="0">
      <items count="29">
        <item x="13"/>
        <item x="0"/>
        <item x="18"/>
        <item x="24"/>
        <item x="3"/>
        <item x="23"/>
        <item x="15"/>
        <item x="1"/>
        <item x="26"/>
        <item x="12"/>
        <item x="16"/>
        <item x="22"/>
        <item x="7"/>
        <item x="5"/>
        <item x="17"/>
        <item x="6"/>
        <item x="9"/>
        <item x="10"/>
        <item x="21"/>
        <item x="14"/>
        <item x="2"/>
        <item x="8"/>
        <item x="19"/>
        <item x="20"/>
        <item x="25"/>
        <item x="4"/>
        <item x="11"/>
        <item x="27"/>
        <item t="default"/>
      </items>
    </pivotField>
    <pivotField axis="axisPage" multipleItemSelectionAllowed="1" showAll="0">
      <items count="62">
        <item x="0"/>
        <item x="2"/>
        <item x="8"/>
        <item x="15"/>
        <item x="26"/>
        <item x="55"/>
        <item x="27"/>
        <item x="25"/>
        <item x="28"/>
        <item x="29"/>
        <item x="30"/>
        <item x="45"/>
        <item x="32"/>
        <item x="31"/>
        <item x="34"/>
        <item x="33"/>
        <item x="1"/>
        <item x="12"/>
        <item x="11"/>
        <item x="10"/>
        <item x="6"/>
        <item x="44"/>
        <item x="7"/>
        <item x="14"/>
        <item x="21"/>
        <item x="3"/>
        <item x="9"/>
        <item x="5"/>
        <item x="17"/>
        <item x="52"/>
        <item x="49"/>
        <item x="19"/>
        <item x="35"/>
        <item x="36"/>
        <item x="37"/>
        <item x="4"/>
        <item x="16"/>
        <item x="20"/>
        <item x="13"/>
        <item x="18"/>
        <item x="51"/>
        <item x="40"/>
        <item x="58"/>
        <item x="41"/>
        <item x="47"/>
        <item x="42"/>
        <item x="43"/>
        <item x="46"/>
        <item x="50"/>
        <item x="22"/>
        <item x="24"/>
        <item x="56"/>
        <item x="23"/>
        <item x="38"/>
        <item x="39"/>
        <item x="53"/>
        <item x="57"/>
        <item x="48"/>
        <item x="54"/>
        <item x="59"/>
        <item x="60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54">
        <item x="0"/>
        <item x="1"/>
        <item x="2"/>
        <item x="3"/>
        <item x="4"/>
        <item x="8"/>
        <item x="7"/>
        <item x="5"/>
        <item x="6"/>
        <item x="11"/>
        <item x="12"/>
        <item x="9"/>
        <item x="10"/>
        <item x="20"/>
        <item x="23"/>
        <item x="25"/>
        <item x="40"/>
        <item x="21"/>
        <item x="24"/>
        <item x="26"/>
        <item x="39"/>
        <item x="46"/>
        <item x="13"/>
        <item x="47"/>
        <item x="28"/>
        <item x="49"/>
        <item x="14"/>
        <item x="30"/>
        <item x="48"/>
        <item x="31"/>
        <item x="15"/>
        <item x="22"/>
        <item x="34"/>
        <item x="29"/>
        <item x="35"/>
        <item x="16"/>
        <item x="32"/>
        <item x="38"/>
        <item x="45"/>
        <item x="17"/>
        <item x="50"/>
        <item x="36"/>
        <item x="41"/>
        <item x="33"/>
        <item x="18"/>
        <item x="37"/>
        <item x="42"/>
        <item x="43"/>
        <item x="19"/>
        <item x="44"/>
        <item x="27"/>
        <item x="51"/>
        <item x="52"/>
        <item t="default"/>
      </items>
    </pivotField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colItems>
  <pageFields count="3">
    <pageField fld="9" hier="-1"/>
    <pageField fld="8" hier="-1"/>
    <pageField fld="5" hier="-1"/>
  </pageFields>
  <dataFields count="1">
    <dataField name="Sum of Case post attain" fld="11" baseField="0" baseItem="0" numFmtId="166"/>
  </dataFields>
  <formats count="31">
    <format dxfId="846">
      <pivotArea outline="0" collapsedLevelsAreSubtotals="1" fieldPosition="0"/>
    </format>
    <format dxfId="845">
      <pivotArea collapsedLevelsAreSubtotals="1" fieldPosition="0">
        <references count="2">
          <reference field="8" count="4">
            <x v="0"/>
            <x v="1"/>
            <x v="2"/>
            <x v="3"/>
          </reference>
          <reference field="15" count="14" selected="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844">
      <pivotArea collapsedLevelsAreSubtotals="1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843">
      <pivotArea dataOnly="0" labelOnly="1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842">
      <pivotArea collapsedLevelsAreSubtotals="1" fieldPosition="0">
        <references count="2">
          <reference field="8" count="2">
            <x v="4"/>
            <x v="5"/>
          </reference>
          <reference field="15" count="6" selected="0">
            <x v="11"/>
            <x v="12"/>
            <x v="13"/>
            <x v="14"/>
            <x v="15"/>
            <x v="16"/>
          </reference>
        </references>
      </pivotArea>
    </format>
    <format dxfId="841">
      <pivotArea collapsedLevelsAreSubtotals="1" fieldPosition="0">
        <references count="1">
          <reference field="8" count="1">
            <x v="6"/>
          </reference>
        </references>
      </pivotArea>
    </format>
    <format dxfId="840">
      <pivotArea dataOnly="0" labelOnly="1" fieldPosition="0">
        <references count="1">
          <reference field="8" count="1">
            <x v="6"/>
          </reference>
        </references>
      </pivotArea>
    </format>
    <format dxfId="839">
      <pivotArea collapsedLevelsAreSubtotals="1" fieldPosition="0">
        <references count="2">
          <reference field="8" count="1">
            <x v="6"/>
          </reference>
          <reference field="15" count="8" selected="0"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838">
      <pivotArea collapsedLevelsAreSubtotals="1" fieldPosition="0">
        <references count="2">
          <reference field="8" count="1">
            <x v="7"/>
          </reference>
          <reference field="15" count="12" selected="0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837">
      <pivotArea collapsedLevelsAreSubtotals="1" fieldPosition="0">
        <references count="2">
          <reference field="8" count="1">
            <x v="8"/>
          </reference>
          <reference field="15" count="10" selected="0"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36">
      <pivotArea collapsedLevelsAreSubtotals="1" fieldPosition="0">
        <references count="2">
          <reference field="8" count="1">
            <x v="8"/>
          </reference>
          <reference field="15" count="10" selected="0"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35">
      <pivotArea collapsedLevelsAreSubtotals="1" fieldPosition="0">
        <references count="2">
          <reference field="8" count="1">
            <x v="9"/>
          </reference>
          <reference field="15" count="10" selected="0"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34">
      <pivotArea collapsedLevelsAreSubtotals="1" fieldPosition="0">
        <references count="2">
          <reference field="8" count="1">
            <x v="9"/>
          </reference>
          <reference field="15" count="10" selected="0"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33">
      <pivotArea collapsedLevelsAreSubtotals="1" fieldPosition="0">
        <references count="2">
          <reference field="8" count="1">
            <x v="10"/>
          </reference>
          <reference field="15" count="11" selected="0"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832">
      <pivotArea collapsedLevelsAreSubtotals="1" fieldPosition="0">
        <references count="2">
          <reference field="8" count="1">
            <x v="11"/>
          </reference>
          <reference field="15" count="9" selected="0"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31">
      <pivotArea collapsedLevelsAreSubtotals="1" fieldPosition="0">
        <references count="2">
          <reference field="8" count="1">
            <x v="11"/>
          </reference>
          <reference field="15" count="9" selected="0"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30">
      <pivotArea collapsedLevelsAreSubtotals="1" fieldPosition="0">
        <references count="2">
          <reference field="8" count="1">
            <x v="12"/>
          </reference>
          <reference field="15" count="3" selected="0">
            <x v="11"/>
            <x v="12"/>
            <x v="13"/>
          </reference>
        </references>
      </pivotArea>
    </format>
    <format dxfId="829">
      <pivotArea collapsedLevelsAreSubtotals="1" fieldPosition="0">
        <references count="2">
          <reference field="8" count="1">
            <x v="12"/>
          </reference>
          <reference field="15" count="3" selected="0">
            <x v="11"/>
            <x v="12"/>
            <x v="13"/>
          </reference>
        </references>
      </pivotArea>
    </format>
    <format dxfId="828">
      <pivotArea collapsedLevelsAreSubtotals="1" fieldPosition="0">
        <references count="2">
          <reference field="8" count="1">
            <x v="12"/>
          </reference>
          <reference field="15" count="5" selected="0">
            <x v="14"/>
            <x v="15"/>
            <x v="16"/>
            <x v="17"/>
            <x v="18"/>
          </reference>
        </references>
      </pivotArea>
    </format>
    <format dxfId="827">
      <pivotArea collapsedLevelsAreSubtotals="1" fieldPosition="0">
        <references count="2">
          <reference field="8" count="1">
            <x v="12"/>
          </reference>
          <reference field="15" count="5" selected="0">
            <x v="9"/>
            <x v="10"/>
            <x v="11"/>
            <x v="12"/>
            <x v="13"/>
          </reference>
        </references>
      </pivotArea>
    </format>
    <format dxfId="826">
      <pivotArea collapsedLevelsAreSubtotals="1" fieldPosition="0">
        <references count="2">
          <reference field="8" count="1">
            <x v="13"/>
          </reference>
          <reference field="15" count="8" selected="0"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825">
      <pivotArea collapsedLevelsAreSubtotals="1" fieldPosition="0">
        <references count="2">
          <reference field="8" count="1">
            <x v="15"/>
          </reference>
          <reference field="15" count="7" selected="0">
            <x v="9"/>
            <x v="10"/>
            <x v="11"/>
            <x v="12"/>
            <x v="13"/>
            <x v="14"/>
            <x v="15"/>
          </reference>
        </references>
      </pivotArea>
    </format>
    <format dxfId="824">
      <pivotArea collapsedLevelsAreSubtotals="1" fieldPosition="0">
        <references count="2">
          <reference field="8" count="2">
            <x v="16"/>
            <x v="17"/>
          </reference>
          <reference field="15" count="7" selected="0">
            <x v="10"/>
            <x v="11"/>
            <x v="12"/>
            <x v="13"/>
            <x v="14"/>
            <x v="15"/>
            <x v="16"/>
          </reference>
        </references>
      </pivotArea>
    </format>
    <format dxfId="823">
      <pivotArea collapsedLevelsAreSubtotals="1" fieldPosition="0">
        <references count="2">
          <reference field="8" count="1">
            <x v="20"/>
          </reference>
          <reference field="15" count="10" selected="0"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822">
      <pivotArea collapsedLevelsAreSubtotals="1" fieldPosition="0">
        <references count="2">
          <reference field="8" count="1">
            <x v="21"/>
          </reference>
          <reference field="15" count="8" selected="0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821">
      <pivotArea collapsedLevelsAreSubtotals="1" fieldPosition="0">
        <references count="2">
          <reference field="8" count="1">
            <x v="22"/>
          </reference>
          <reference field="15" count="8" selected="0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820">
      <pivotArea collapsedLevelsAreSubtotals="1" fieldPosition="0">
        <references count="2">
          <reference field="8" count="2">
            <x v="23"/>
            <x v="24"/>
          </reference>
          <reference field="15" count="8" selected="0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819">
      <pivotArea collapsedLevelsAreSubtotals="1" fieldPosition="0">
        <references count="2">
          <reference field="8" count="1">
            <x v="25"/>
          </reference>
          <reference field="15" count="1" selected="0">
            <x v="18"/>
          </reference>
        </references>
      </pivotArea>
    </format>
    <format dxfId="818">
      <pivotArea collapsedLevelsAreSubtotals="1" fieldPosition="0">
        <references count="2">
          <reference field="8" count="1">
            <x v="25"/>
          </reference>
          <reference field="15" count="1" selected="0">
            <x v="19"/>
          </reference>
        </references>
      </pivotArea>
    </format>
    <format dxfId="817">
      <pivotArea collapsedLevelsAreSubtotals="1" fieldPosition="0">
        <references count="2">
          <reference field="8" count="1">
            <x v="25"/>
          </reference>
          <reference field="15" count="1" selected="0">
            <x v="22"/>
          </reference>
        </references>
      </pivotArea>
    </format>
    <format dxfId="816">
      <pivotArea collapsedLevelsAreSubtotals="1" fieldPosition="0">
        <references count="2">
          <reference field="8" count="1">
            <x v="25"/>
          </reference>
          <reference field="15" count="1" selected="0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D4032-A3CE-4F17-B395-5B2CC7AED99C}" name="PivotTable1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9" firstHeaderRow="1" firstDataRow="2" firstDataCol="1" rowPageCount="2" colPageCount="1"/>
  <pivotFields count="19">
    <pivotField showAll="0"/>
    <pivotField axis="axisPage" multipleItemSelectionAllowed="1" showAll="0">
      <items count="28">
        <item h="1" x="3"/>
        <item x="2"/>
        <item h="1" x="10"/>
        <item h="1" x="13"/>
        <item h="1" x="5"/>
        <item h="1" x="0"/>
        <item h="1" x="25"/>
        <item h="1" x="1"/>
        <item h="1" x="26"/>
        <item h="1" x="14"/>
        <item h="1" x="21"/>
        <item h="1" x="8"/>
        <item h="1" x="4"/>
        <item h="1" x="6"/>
        <item h="1" x="7"/>
        <item h="1" x="9"/>
        <item h="1" x="11"/>
        <item h="1" x="12"/>
        <item h="1" x="15"/>
        <item h="1" x="16"/>
        <item h="1" x="17"/>
        <item h="1" x="18"/>
        <item h="1" x="19"/>
        <item h="1" x="20"/>
        <item h="1" x="22"/>
        <item h="1" x="23"/>
        <item h="1" x="24"/>
        <item t="default"/>
      </items>
    </pivotField>
    <pivotField showAll="0"/>
    <pivotField showAll="0"/>
    <pivotField axis="axisRow" showAll="0">
      <items count="487">
        <item x="117"/>
        <item x="168"/>
        <item x="87"/>
        <item m="1" x="480"/>
        <item x="190"/>
        <item x="177"/>
        <item x="191"/>
        <item x="178"/>
        <item x="207"/>
        <item x="202"/>
        <item x="192"/>
        <item x="245"/>
        <item x="203"/>
        <item x="161"/>
        <item x="221"/>
        <item m="1" x="457"/>
        <item m="1" x="485"/>
        <item x="151"/>
        <item x="317"/>
        <item x="284"/>
        <item m="1" x="465"/>
        <item x="390"/>
        <item x="255"/>
        <item x="115"/>
        <item x="59"/>
        <item x="313"/>
        <item x="333"/>
        <item x="357"/>
        <item x="349"/>
        <item x="316"/>
        <item x="189"/>
        <item x="382"/>
        <item x="138"/>
        <item x="248"/>
        <item x="65"/>
        <item x="108"/>
        <item x="148"/>
        <item x="131"/>
        <item x="222"/>
        <item x="99"/>
        <item m="1" x="482"/>
        <item x="264"/>
        <item x="100"/>
        <item x="278"/>
        <item x="107"/>
        <item x="64"/>
        <item x="272"/>
        <item x="244"/>
        <item x="330"/>
        <item x="231"/>
        <item x="110"/>
        <item m="1" x="455"/>
        <item m="1" x="449"/>
        <item x="271"/>
        <item x="37"/>
        <item x="132"/>
        <item x="393"/>
        <item x="103"/>
        <item x="232"/>
        <item x="130"/>
        <item x="147"/>
        <item x="167"/>
        <item x="251"/>
        <item x="217"/>
        <item x="315"/>
        <item x="198"/>
        <item x="209"/>
        <item x="322"/>
        <item x="219"/>
        <item x="234"/>
        <item x="273"/>
        <item x="214"/>
        <item x="196"/>
        <item x="105"/>
        <item x="239"/>
        <item x="216"/>
        <item x="383"/>
        <item x="85"/>
        <item x="54"/>
        <item x="136"/>
        <item x="385"/>
        <item x="169"/>
        <item x="355"/>
        <item x="318"/>
        <item x="294"/>
        <item x="275"/>
        <item x="274"/>
        <item x="176"/>
        <item x="353"/>
        <item x="329"/>
        <item x="162"/>
        <item m="1" x="459"/>
        <item x="102"/>
        <item x="367"/>
        <item x="113"/>
        <item x="235"/>
        <item x="332"/>
        <item x="223"/>
        <item x="215"/>
        <item x="152"/>
        <item x="119"/>
        <item m="1" x="477"/>
        <item x="141"/>
        <item m="1" x="453"/>
        <item x="276"/>
        <item x="84"/>
        <item x="277"/>
        <item x="374"/>
        <item x="282"/>
        <item x="327"/>
        <item x="175"/>
        <item x="257"/>
        <item x="86"/>
        <item x="314"/>
        <item x="186"/>
        <item x="33"/>
        <item x="350"/>
        <item x="218"/>
        <item x="233"/>
        <item x="265"/>
        <item x="356"/>
        <item x="279"/>
        <item x="213"/>
        <item x="182"/>
        <item x="200"/>
        <item x="187"/>
        <item x="199"/>
        <item x="323"/>
        <item x="285"/>
        <item x="206"/>
        <item x="201"/>
        <item x="194"/>
        <item x="290"/>
        <item x="210"/>
        <item x="180"/>
        <item x="352"/>
        <item x="133"/>
        <item x="361"/>
        <item m="1" x="479"/>
        <item x="140"/>
        <item x="253"/>
        <item x="135"/>
        <item x="204"/>
        <item x="188"/>
        <item x="143"/>
        <item x="60"/>
        <item x="299"/>
        <item x="137"/>
        <item x="351"/>
        <item x="293"/>
        <item x="309"/>
        <item x="241"/>
        <item x="369"/>
        <item x="286"/>
        <item x="53"/>
        <item x="336"/>
        <item x="173"/>
        <item x="370"/>
        <item x="339"/>
        <item x="226"/>
        <item x="312"/>
        <item x="224"/>
        <item x="208"/>
        <item x="46"/>
        <item x="94"/>
        <item x="368"/>
        <item x="69"/>
        <item x="160"/>
        <item x="31"/>
        <item x="129"/>
        <item x="77"/>
        <item x="67"/>
        <item x="146"/>
        <item x="40"/>
        <item x="181"/>
        <item x="13"/>
        <item x="347"/>
        <item x="295"/>
        <item x="36"/>
        <item x="144"/>
        <item x="259"/>
        <item x="109"/>
        <item x="63"/>
        <item x="42"/>
        <item x="91"/>
        <item x="16"/>
        <item x="66"/>
        <item x="378"/>
        <item x="379"/>
        <item x="211"/>
        <item x="93"/>
        <item x="12"/>
        <item x="377"/>
        <item x="142"/>
        <item x="149"/>
        <item x="243"/>
        <item x="50"/>
        <item m="1" x="466"/>
        <item x="38"/>
        <item x="319"/>
        <item x="301"/>
        <item x="51"/>
        <item x="304"/>
        <item x="163"/>
        <item x="396"/>
        <item m="1" x="475"/>
        <item x="39"/>
        <item x="240"/>
        <item x="71"/>
        <item x="89"/>
        <item x="303"/>
        <item m="1" x="462"/>
        <item x="174"/>
        <item x="32"/>
        <item x="2"/>
        <item x="124"/>
        <item x="250"/>
        <item x="48"/>
        <item m="1" x="446"/>
        <item x="11"/>
        <item x="363"/>
        <item x="434"/>
        <item m="1" x="464"/>
        <item x="249"/>
        <item x="311"/>
        <item x="238"/>
        <item x="298"/>
        <item x="134"/>
        <item x="121"/>
        <item m="1" x="448"/>
        <item m="1" x="469"/>
        <item x="15"/>
        <item x="23"/>
        <item x="35"/>
        <item x="49"/>
        <item x="68"/>
        <item x="101"/>
        <item x="220"/>
        <item x="112"/>
        <item m="1" x="473"/>
        <item x="62"/>
        <item x="88"/>
        <item x="73"/>
        <item m="1" x="458"/>
        <item x="193"/>
        <item x="260"/>
        <item x="225"/>
        <item x="164"/>
        <item x="328"/>
        <item x="395"/>
        <item x="118"/>
        <item x="0"/>
        <item x="281"/>
        <item x="4"/>
        <item x="79"/>
        <item x="389"/>
        <item x="24"/>
        <item x="25"/>
        <item x="126"/>
        <item x="227"/>
        <item x="297"/>
        <item x="27"/>
        <item x="258"/>
        <item x="287"/>
        <item x="26"/>
        <item x="74"/>
        <item x="154"/>
        <item x="18"/>
        <item x="78"/>
        <item x="159"/>
        <item x="17"/>
        <item x="120"/>
        <item x="81"/>
        <item x="20"/>
        <item x="19"/>
        <item x="125"/>
        <item x="57"/>
        <item x="6"/>
        <item x="443"/>
        <item x="388"/>
        <item x="252"/>
        <item x="348"/>
        <item x="80"/>
        <item x="111"/>
        <item x="230"/>
        <item x="72"/>
        <item m="1" x="484"/>
        <item x="166"/>
        <item x="153"/>
        <item x="96"/>
        <item x="97"/>
        <item x="5"/>
        <item x="444"/>
        <item x="364"/>
        <item x="345"/>
        <item x="122"/>
        <item x="14"/>
        <item m="1" x="456"/>
        <item m="1" x="472"/>
        <item m="1" x="483"/>
        <item m="1" x="467"/>
        <item m="1" x="476"/>
        <item x="7"/>
        <item x="10"/>
        <item x="30"/>
        <item x="29"/>
        <item x="8"/>
        <item m="1" x="460"/>
        <item x="70"/>
        <item x="9"/>
        <item x="3"/>
        <item x="439"/>
        <item x="123"/>
        <item x="438"/>
        <item m="1" x="468"/>
        <item x="331"/>
        <item x="320"/>
        <item x="344"/>
        <item x="296"/>
        <item x="289"/>
        <item x="229"/>
        <item x="195"/>
        <item x="254"/>
        <item x="325"/>
        <item x="337"/>
        <item x="359"/>
        <item x="310"/>
        <item m="1" x="470"/>
        <item x="291"/>
        <item x="280"/>
        <item x="139"/>
        <item x="384"/>
        <item x="184"/>
        <item x="34"/>
        <item x="283"/>
        <item x="300"/>
        <item x="106"/>
        <item x="246"/>
        <item x="205"/>
        <item x="127"/>
        <item x="268"/>
        <item x="380"/>
        <item x="237"/>
        <item x="92"/>
        <item x="362"/>
        <item x="104"/>
        <item x="44"/>
        <item x="371"/>
        <item x="185"/>
        <item x="150"/>
        <item x="261"/>
        <item x="391"/>
        <item m="1" x="447"/>
        <item x="358"/>
        <item x="307"/>
        <item x="75"/>
        <item x="128"/>
        <item x="386"/>
        <item x="22"/>
        <item x="43"/>
        <item x="95"/>
        <item x="172"/>
        <item x="21"/>
        <item x="212"/>
        <item x="435"/>
        <item x="440"/>
        <item x="394"/>
        <item m="1" x="454"/>
        <item x="236"/>
        <item m="1" x="471"/>
        <item x="365"/>
        <item m="1" x="481"/>
        <item x="321"/>
        <item m="1" x="461"/>
        <item x="340"/>
        <item x="342"/>
        <item m="1" x="478"/>
        <item x="341"/>
        <item x="145"/>
        <item x="442"/>
        <item x="83"/>
        <item x="263"/>
        <item x="98"/>
        <item x="165"/>
        <item x="28"/>
        <item x="302"/>
        <item x="76"/>
        <item x="1"/>
        <item x="41"/>
        <item x="45"/>
        <item x="47"/>
        <item x="52"/>
        <item x="55"/>
        <item x="58"/>
        <item x="56"/>
        <item x="61"/>
        <item x="82"/>
        <item x="90"/>
        <item x="114"/>
        <item x="116"/>
        <item x="155"/>
        <item x="156"/>
        <item x="157"/>
        <item x="158"/>
        <item x="170"/>
        <item x="171"/>
        <item x="179"/>
        <item x="183"/>
        <item x="197"/>
        <item x="228"/>
        <item x="242"/>
        <item x="247"/>
        <item x="256"/>
        <item x="262"/>
        <item x="266"/>
        <item x="267"/>
        <item x="269"/>
        <item x="270"/>
        <item x="288"/>
        <item x="292"/>
        <item x="305"/>
        <item x="306"/>
        <item x="308"/>
        <item x="324"/>
        <item x="326"/>
        <item x="334"/>
        <item x="335"/>
        <item x="338"/>
        <item x="441"/>
        <item x="397"/>
        <item m="1" x="463"/>
        <item x="343"/>
        <item x="387"/>
        <item x="346"/>
        <item x="354"/>
        <item x="437"/>
        <item x="360"/>
        <item x="366"/>
        <item x="372"/>
        <item x="373"/>
        <item x="375"/>
        <item x="376"/>
        <item x="381"/>
        <item x="436"/>
        <item x="392"/>
        <item x="445"/>
        <item x="398"/>
        <item x="399"/>
        <item x="400"/>
        <item x="401"/>
        <item m="1" x="474"/>
        <item m="1" x="452"/>
        <item m="1" x="451"/>
        <item m="1" x="450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axis="axisRow" showAll="0">
      <items count="58">
        <item m="1" x="54"/>
        <item m="1" x="52"/>
        <item m="1" x="55"/>
        <item m="1" x="56"/>
        <item m="1" x="51"/>
        <item m="1" x="53"/>
        <item x="45"/>
        <item x="31"/>
        <item x="29"/>
        <item x="24"/>
        <item x="7"/>
        <item x="4"/>
        <item x="40"/>
        <item x="3"/>
        <item x="8"/>
        <item x="9"/>
        <item x="10"/>
        <item x="25"/>
        <item x="30"/>
        <item x="19"/>
        <item x="17"/>
        <item x="20"/>
        <item x="36"/>
        <item x="41"/>
        <item x="12"/>
        <item x="11"/>
        <item x="16"/>
        <item x="23"/>
        <item x="15"/>
        <item x="18"/>
        <item x="27"/>
        <item x="21"/>
        <item x="22"/>
        <item x="32"/>
        <item x="2"/>
        <item x="13"/>
        <item x="26"/>
        <item x="5"/>
        <item x="14"/>
        <item x="28"/>
        <item x="1"/>
        <item x="0"/>
        <item x="6"/>
        <item x="33"/>
        <item x="34"/>
        <item x="35"/>
        <item x="37"/>
        <item x="38"/>
        <item x="39"/>
        <item x="42"/>
        <item x="43"/>
        <item x="44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axis="axisCol" showAll="0">
      <items count="14">
        <item x="0"/>
        <item x="2"/>
        <item x="3"/>
        <item x="1"/>
        <item x="4"/>
        <item x="5"/>
        <item x="6"/>
        <item x="8"/>
        <item x="9"/>
        <item x="7"/>
        <item x="10"/>
        <item x="11"/>
        <item x="12"/>
        <item t="default"/>
      </items>
    </pivotField>
    <pivotField axis="axisPage" multipleItemSelectionAllowed="1" showAll="0">
      <items count="87">
        <item h="1" x="6"/>
        <item h="1" x="49"/>
        <item h="1" x="8"/>
        <item h="1" x="28"/>
        <item h="1" x="4"/>
        <item h="1" x="3"/>
        <item h="1" x="2"/>
        <item h="1" x="50"/>
        <item h="1" x="12"/>
        <item h="1" x="9"/>
        <item h="1" x="11"/>
        <item h="1" m="1" x="71"/>
        <item x="5"/>
        <item h="1" x="14"/>
        <item h="1" x="7"/>
        <item h="1" m="1" x="83"/>
        <item h="1" x="42"/>
        <item h="1" x="10"/>
        <item h="1" x="19"/>
        <item h="1" x="29"/>
        <item h="1" x="45"/>
        <item h="1" m="1" x="79"/>
        <item h="1" x="40"/>
        <item h="1" x="39"/>
        <item h="1" x="41"/>
        <item h="1" x="16"/>
        <item h="1" x="25"/>
        <item h="1" x="31"/>
        <item h="1" m="1" x="70"/>
        <item h="1" x="24"/>
        <item h="1" x="37"/>
        <item h="1" x="46"/>
        <item h="1" x="0"/>
        <item h="1" x="54"/>
        <item h="1" x="1"/>
        <item h="1" x="53"/>
        <item h="1" x="64"/>
        <item h="1" m="1" x="73"/>
        <item h="1" x="43"/>
        <item h="1" m="1" x="69"/>
        <item h="1" x="22"/>
        <item h="1" m="1" x="81"/>
        <item h="1" m="1" x="76"/>
        <item h="1" x="26"/>
        <item h="1" x="13"/>
        <item h="1" x="30"/>
        <item h="1" x="36"/>
        <item h="1" x="15"/>
        <item h="1" x="51"/>
        <item h="1" x="21"/>
        <item h="1" x="17"/>
        <item h="1" x="18"/>
        <item h="1" x="20"/>
        <item h="1" x="23"/>
        <item h="1" x="27"/>
        <item h="1" x="32"/>
        <item h="1" x="33"/>
        <item h="1" x="34"/>
        <item h="1" x="35"/>
        <item h="1" x="38"/>
        <item h="1" x="44"/>
        <item h="1" m="1" x="68"/>
        <item h="1" x="47"/>
        <item h="1" m="1" x="84"/>
        <item h="1" x="48"/>
        <item h="1" m="1" x="78"/>
        <item h="1" m="1" x="80"/>
        <item h="1" m="1" x="82"/>
        <item h="1" m="1" x="77"/>
        <item h="1" x="52"/>
        <item h="1" m="1" x="74"/>
        <item h="1" x="66"/>
        <item h="1" x="55"/>
        <item h="1" x="56"/>
        <item h="1" m="1" x="85"/>
        <item h="1" x="57"/>
        <item h="1" x="58"/>
        <item h="1" x="59"/>
        <item h="1" x="61"/>
        <item h="1" x="60"/>
        <item h="1" x="62"/>
        <item h="1" x="63"/>
        <item h="1" m="1" x="72"/>
        <item h="1" m="1" x="75"/>
        <item h="1" m="1" x="67"/>
        <item h="1" x="6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5"/>
    <field x="4"/>
  </rowFields>
  <rowItems count="24">
    <i>
      <x v="7"/>
    </i>
    <i r="1">
      <x v="166"/>
    </i>
    <i r="1">
      <x v="167"/>
    </i>
    <i r="1">
      <x v="168"/>
    </i>
    <i>
      <x v="37"/>
    </i>
    <i r="1">
      <x v="277"/>
    </i>
    <i r="1">
      <x v="280"/>
    </i>
    <i r="1">
      <x v="282"/>
    </i>
    <i r="1">
      <x v="283"/>
    </i>
    <i r="1">
      <x v="284"/>
    </i>
    <i r="1">
      <x v="287"/>
    </i>
    <i r="1">
      <x v="288"/>
    </i>
    <i r="1">
      <x v="289"/>
    </i>
    <i r="1">
      <x v="290"/>
    </i>
    <i r="1">
      <x v="291"/>
    </i>
    <i r="1">
      <x v="296"/>
    </i>
    <i r="1">
      <x v="421"/>
    </i>
    <i>
      <x v="38"/>
    </i>
    <i r="1">
      <x v="166"/>
    </i>
    <i r="1">
      <x v="168"/>
    </i>
    <i r="1">
      <x v="295"/>
    </i>
    <i r="1">
      <x v="296"/>
    </i>
    <i r="1">
      <x v="40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pageFields count="2">
    <pageField fld="1" hier="-1"/>
    <pageField fld="10" hier="-1"/>
  </pageFields>
  <dataFields count="1">
    <dataField name="Sum of Cases post Attain" fld="16" baseField="0" baseItem="0"/>
  </dataFields>
  <formats count="1">
    <format dxfId="78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D5228-1D52-4541-8534-94DE94A28168}" name="PivotTable4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O121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2"/>
        <item x="3"/>
        <item x="1"/>
        <item x="4"/>
        <item x="5"/>
        <item x="6"/>
        <item x="8"/>
        <item x="9"/>
        <item x="7"/>
        <item x="10"/>
        <item x="11"/>
        <item x="12"/>
        <item t="default"/>
      </items>
    </pivotField>
    <pivotField axis="axisRow" showAll="0">
      <items count="87">
        <item x="6"/>
        <item x="49"/>
        <item x="8"/>
        <item x="28"/>
        <item x="4"/>
        <item x="3"/>
        <item x="2"/>
        <item x="50"/>
        <item x="12"/>
        <item x="9"/>
        <item x="11"/>
        <item m="1" x="71"/>
        <item x="5"/>
        <item x="14"/>
        <item x="7"/>
        <item m="1" x="83"/>
        <item x="42"/>
        <item x="10"/>
        <item x="19"/>
        <item x="29"/>
        <item x="45"/>
        <item m="1" x="79"/>
        <item x="40"/>
        <item x="39"/>
        <item x="41"/>
        <item x="16"/>
        <item x="25"/>
        <item x="31"/>
        <item m="1" x="70"/>
        <item x="24"/>
        <item x="37"/>
        <item x="46"/>
        <item x="0"/>
        <item m="1" x="69"/>
        <item x="13"/>
        <item m="1" x="73"/>
        <item m="1" x="76"/>
        <item x="54"/>
        <item m="1" x="81"/>
        <item x="43"/>
        <item x="64"/>
        <item x="26"/>
        <item x="1"/>
        <item x="22"/>
        <item x="53"/>
        <item x="30"/>
        <item x="36"/>
        <item x="15"/>
        <item x="51"/>
        <item x="21"/>
        <item x="17"/>
        <item x="18"/>
        <item x="20"/>
        <item x="23"/>
        <item x="27"/>
        <item x="32"/>
        <item x="33"/>
        <item x="34"/>
        <item x="35"/>
        <item x="38"/>
        <item x="44"/>
        <item m="1" x="68"/>
        <item x="47"/>
        <item m="1" x="84"/>
        <item x="48"/>
        <item m="1" x="78"/>
        <item m="1" x="80"/>
        <item m="1" x="82"/>
        <item m="1" x="77"/>
        <item x="52"/>
        <item m="1" x="74"/>
        <item x="66"/>
        <item x="55"/>
        <item x="56"/>
        <item m="1" x="85"/>
        <item x="57"/>
        <item x="58"/>
        <item x="59"/>
        <item x="61"/>
        <item x="60"/>
        <item x="62"/>
        <item x="63"/>
        <item m="1" x="72"/>
        <item m="1" x="75"/>
        <item m="1" x="67"/>
        <item x="6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4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4"/>
    </i>
    <i>
      <x v="69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>
      <x v="81"/>
    </i>
    <i>
      <x v="85"/>
    </i>
    <i t="grand">
      <x/>
    </i>
  </rowItems>
  <colFields count="1">
    <field x="9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Pallets post Attain" fld="18" baseField="0" baseItem="0" numFmtId="166"/>
  </dataFields>
  <formats count="35">
    <format dxfId="815">
      <pivotArea outline="0" collapsedLevelsAreSubtotals="1" fieldPosition="0"/>
    </format>
    <format dxfId="814">
      <pivotArea collapsedLevelsAreSubtotals="1" fieldPosition="0">
        <references count="1">
          <reference field="10" count="1">
            <x v="37"/>
          </reference>
        </references>
      </pivotArea>
    </format>
    <format dxfId="813">
      <pivotArea dataOnly="0" labelOnly="1" fieldPosition="0">
        <references count="1">
          <reference field="10" count="1">
            <x v="37"/>
          </reference>
        </references>
      </pivotArea>
    </format>
    <format dxfId="812">
      <pivotArea collapsedLevelsAreSubtotals="1" fieldPosition="0">
        <references count="1">
          <reference field="10" count="1">
            <x v="0"/>
          </reference>
        </references>
      </pivotArea>
    </format>
    <format dxfId="811">
      <pivotArea dataOnly="0" labelOnly="1" fieldPosition="0">
        <references count="1">
          <reference field="10" count="1">
            <x v="0"/>
          </reference>
        </references>
      </pivotArea>
    </format>
    <format dxfId="810">
      <pivotArea collapsedLevelsAreSubtotals="1" fieldPosition="0">
        <references count="1">
          <reference field="10" count="1">
            <x v="1"/>
          </reference>
        </references>
      </pivotArea>
    </format>
    <format dxfId="809">
      <pivotArea dataOnly="0" labelOnly="1" fieldPosition="0">
        <references count="1">
          <reference field="10" count="1">
            <x v="1"/>
          </reference>
        </references>
      </pivotArea>
    </format>
    <format dxfId="808">
      <pivotArea collapsedLevelsAreSubtotals="1" fieldPosition="0">
        <references count="1">
          <reference field="10" count="6">
            <x v="0"/>
            <x v="1"/>
            <x v="2"/>
            <x v="3"/>
            <x v="4"/>
            <x v="5"/>
          </reference>
        </references>
      </pivotArea>
    </format>
    <format dxfId="807">
      <pivotArea dataOnly="0" labelOnly="1" fieldPosition="0">
        <references count="1">
          <reference field="10" count="6">
            <x v="0"/>
            <x v="1"/>
            <x v="2"/>
            <x v="3"/>
            <x v="4"/>
            <x v="5"/>
          </reference>
        </references>
      </pivotArea>
    </format>
    <format dxfId="806">
      <pivotArea collapsedLevelsAreSubtotals="1" fieldPosition="0">
        <references count="1">
          <reference field="10" count="1">
            <x v="6"/>
          </reference>
        </references>
      </pivotArea>
    </format>
    <format dxfId="805">
      <pivotArea dataOnly="0" labelOnly="1" fieldPosition="0">
        <references count="1">
          <reference field="10" count="1">
            <x v="6"/>
          </reference>
        </references>
      </pivotArea>
    </format>
    <format dxfId="804">
      <pivotArea collapsedLevelsAreSubtotals="1" fieldPosition="0">
        <references count="1">
          <reference field="10" count="1">
            <x v="7"/>
          </reference>
        </references>
      </pivotArea>
    </format>
    <format dxfId="803">
      <pivotArea dataOnly="0" labelOnly="1" fieldPosition="0">
        <references count="1">
          <reference field="10" count="1">
            <x v="7"/>
          </reference>
        </references>
      </pivotArea>
    </format>
    <format dxfId="802">
      <pivotArea collapsedLevelsAreSubtotals="1" fieldPosition="0">
        <references count="1">
          <reference field="10" count="1">
            <x v="8"/>
          </reference>
        </references>
      </pivotArea>
    </format>
    <format dxfId="801">
      <pivotArea dataOnly="0" labelOnly="1" fieldPosition="0">
        <references count="1">
          <reference field="10" count="1">
            <x v="8"/>
          </reference>
        </references>
      </pivotArea>
    </format>
    <format dxfId="800">
      <pivotArea collapsedLevelsAreSubtotals="1" fieldPosition="0">
        <references count="1">
          <reference field="10" count="1">
            <x v="10"/>
          </reference>
        </references>
      </pivotArea>
    </format>
    <format dxfId="799">
      <pivotArea dataOnly="0" labelOnly="1" fieldPosition="0">
        <references count="1">
          <reference field="10" count="1">
            <x v="10"/>
          </reference>
        </references>
      </pivotArea>
    </format>
    <format dxfId="798">
      <pivotArea collapsedLevelsAreSubtotals="1" fieldPosition="0">
        <references count="1">
          <reference field="10" count="1">
            <x v="9"/>
          </reference>
        </references>
      </pivotArea>
    </format>
    <format dxfId="797">
      <pivotArea dataOnly="0" labelOnly="1" fieldPosition="0">
        <references count="1">
          <reference field="10" count="1">
            <x v="9"/>
          </reference>
        </references>
      </pivotArea>
    </format>
    <format dxfId="796">
      <pivotArea collapsedLevelsAreSubtotals="1" fieldPosition="0">
        <references count="1">
          <reference field="10" count="1">
            <x v="12"/>
          </reference>
        </references>
      </pivotArea>
    </format>
    <format dxfId="795">
      <pivotArea dataOnly="0" labelOnly="1" fieldPosition="0">
        <references count="1">
          <reference field="10" count="1">
            <x v="12"/>
          </reference>
        </references>
      </pivotArea>
    </format>
    <format dxfId="794">
      <pivotArea collapsedLevelsAreSubtotals="1" fieldPosition="0">
        <references count="1">
          <reference field="10" count="1">
            <x v="11"/>
          </reference>
        </references>
      </pivotArea>
    </format>
    <format dxfId="793">
      <pivotArea dataOnly="0" labelOnly="1" fieldPosition="0">
        <references count="1">
          <reference field="10" count="1">
            <x v="11"/>
          </reference>
        </references>
      </pivotArea>
    </format>
    <format dxfId="792">
      <pivotArea collapsedLevelsAreSubtotals="1" fieldPosition="0">
        <references count="1">
          <reference field="10" count="1">
            <x v="16"/>
          </reference>
        </references>
      </pivotArea>
    </format>
    <format dxfId="791">
      <pivotArea dataOnly="0" labelOnly="1" fieldPosition="0">
        <references count="1">
          <reference field="10" count="1">
            <x v="16"/>
          </reference>
        </references>
      </pivotArea>
    </format>
    <format dxfId="790">
      <pivotArea collapsedLevelsAreSubtotals="1" fieldPosition="0">
        <references count="1">
          <reference field="10" count="1">
            <x v="14"/>
          </reference>
        </references>
      </pivotArea>
    </format>
    <format dxfId="789">
      <pivotArea dataOnly="0" labelOnly="1" fieldPosition="0">
        <references count="1">
          <reference field="10" count="1">
            <x v="14"/>
          </reference>
        </references>
      </pivotArea>
    </format>
    <format dxfId="788">
      <pivotArea collapsedLevelsAreSubtotals="1" fieldPosition="0">
        <references count="1">
          <reference field="10" count="1">
            <x v="45"/>
          </reference>
        </references>
      </pivotArea>
    </format>
    <format dxfId="787">
      <pivotArea dataOnly="0" labelOnly="1" fieldPosition="0">
        <references count="1">
          <reference field="10" count="1">
            <x v="45"/>
          </reference>
        </references>
      </pivotArea>
    </format>
    <format dxfId="786">
      <pivotArea collapsedLevelsAreSubtotals="1" fieldPosition="0">
        <references count="1">
          <reference field="10" count="1">
            <x v="18"/>
          </reference>
        </references>
      </pivotArea>
    </format>
    <format dxfId="785">
      <pivotArea dataOnly="0" labelOnly="1" fieldPosition="0">
        <references count="1">
          <reference field="10" count="1">
            <x v="18"/>
          </reference>
        </references>
      </pivotArea>
    </format>
    <format dxfId="784">
      <pivotArea collapsedLevelsAreSubtotals="1" fieldPosition="0">
        <references count="1">
          <reference field="10" count="1">
            <x v="17"/>
          </reference>
        </references>
      </pivotArea>
    </format>
    <format dxfId="783">
      <pivotArea dataOnly="0" labelOnly="1" fieldPosition="0">
        <references count="1">
          <reference field="10" count="1">
            <x v="17"/>
          </reference>
        </references>
      </pivotArea>
    </format>
    <format dxfId="782">
      <pivotArea collapsedLevelsAreSubtotals="1" fieldPosition="0">
        <references count="1">
          <reference field="10" count="1">
            <x v="13"/>
          </reference>
        </references>
      </pivotArea>
    </format>
    <format dxfId="781">
      <pivotArea dataOnly="0" labelOnly="1" fieldPosition="0">
        <references count="1">
          <reference field="10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2B4B-B602-4CD7-B9F8-ECE5472846C8}">
  <dimension ref="B1:L30"/>
  <sheetViews>
    <sheetView zoomScale="110" zoomScaleNormal="110" workbookViewId="0">
      <selection activeCell="E24" sqref="E24"/>
    </sheetView>
  </sheetViews>
  <sheetFormatPr defaultColWidth="9.28515625" defaultRowHeight="15"/>
  <cols>
    <col min="1" max="1" width="9.28515625" style="189"/>
    <col min="2" max="2" width="20.28515625" style="189" customWidth="1"/>
    <col min="3" max="3" width="15" style="189" customWidth="1"/>
    <col min="4" max="4" width="9" style="330" bestFit="1" customWidth="1"/>
    <col min="5" max="5" width="14.28515625" style="330" bestFit="1" customWidth="1"/>
    <col min="6" max="6" width="9" style="330" bestFit="1" customWidth="1"/>
    <col min="7" max="8" width="7.5703125" style="189" customWidth="1"/>
    <col min="9" max="9" width="5.28515625" style="189" customWidth="1"/>
    <col min="10" max="12" width="9.28515625" style="330"/>
    <col min="13" max="16384" width="9.28515625" style="189"/>
  </cols>
  <sheetData>
    <row r="1" spans="2:12" ht="15.75" thickBot="1">
      <c r="C1" s="539"/>
      <c r="D1" s="539"/>
      <c r="E1" s="539"/>
      <c r="F1" s="539"/>
      <c r="G1" s="539"/>
      <c r="H1" s="539"/>
      <c r="J1" s="539"/>
      <c r="K1" s="539"/>
      <c r="L1" s="539"/>
    </row>
    <row r="2" spans="2:12" ht="15.75" thickBot="1">
      <c r="C2" s="1091" t="s">
        <v>0</v>
      </c>
      <c r="D2" s="1093"/>
      <c r="E2" s="1093"/>
      <c r="F2" s="1093"/>
      <c r="G2" s="1091" t="s">
        <v>1</v>
      </c>
      <c r="H2" s="1092"/>
      <c r="I2" s="332"/>
      <c r="J2" s="661" t="s">
        <v>2</v>
      </c>
      <c r="K2" s="654"/>
      <c r="L2" s="454"/>
    </row>
    <row r="3" spans="2:12">
      <c r="B3" s="1089" t="s">
        <v>3</v>
      </c>
      <c r="C3" s="453"/>
      <c r="D3" s="457">
        <v>2024</v>
      </c>
      <c r="E3" s="457">
        <v>2025</v>
      </c>
      <c r="F3" s="457">
        <v>2026</v>
      </c>
      <c r="G3" s="455">
        <v>2025</v>
      </c>
      <c r="H3" s="456">
        <v>2026</v>
      </c>
      <c r="I3" s="332"/>
      <c r="J3" s="455">
        <v>2024</v>
      </c>
      <c r="K3" s="457">
        <v>2025</v>
      </c>
      <c r="L3" s="456">
        <v>2026</v>
      </c>
    </row>
    <row r="4" spans="2:12">
      <c r="B4" s="1090"/>
      <c r="C4" s="613" t="s">
        <v>4</v>
      </c>
      <c r="D4" s="675" t="e">
        <f>('Cases post Attain'!#REF!+'Cases post Attain'!#REF!)/1000000</f>
        <v>#REF!</v>
      </c>
      <c r="E4" s="675">
        <f>('Cases post Attain'!Q14+'Cases post Attain'!Q22)/1000000</f>
        <v>23.132218371428575</v>
      </c>
      <c r="F4" s="675">
        <f>('Cases post Attain'!P14+'Cases post Attain'!P22)/1000000</f>
        <v>23.460656628571428</v>
      </c>
      <c r="G4" s="622" t="e">
        <f>E4/D4-1</f>
        <v>#REF!</v>
      </c>
      <c r="H4" s="623">
        <f t="shared" ref="H4:H10" si="0">F4/E4-1</f>
        <v>1.4198303503330179E-2</v>
      </c>
      <c r="I4" s="651"/>
      <c r="J4" s="620" t="e">
        <f t="shared" ref="J4:L10" si="1">D4/D$11</f>
        <v>#REF!</v>
      </c>
      <c r="K4" s="614">
        <f t="shared" si="1"/>
        <v>0.20370898074970131</v>
      </c>
      <c r="L4" s="615">
        <f t="shared" si="1"/>
        <v>0.20629004233652196</v>
      </c>
    </row>
    <row r="5" spans="2:12">
      <c r="B5" s="1090"/>
      <c r="C5" s="613" t="s">
        <v>5</v>
      </c>
      <c r="D5" s="675" t="e">
        <f>'Cases post Attain'!#REF!/1000000</f>
        <v>#REF!</v>
      </c>
      <c r="E5" s="675">
        <f>'Cases post Attain'!Q41/1000000</f>
        <v>41.684951277142858</v>
      </c>
      <c r="F5" s="675">
        <f>'Cases post Attain'!P41/1000000</f>
        <v>41.704269759999995</v>
      </c>
      <c r="G5" s="622" t="e">
        <f t="shared" ref="G5:G10" si="2">E5/D5-1</f>
        <v>#REF!</v>
      </c>
      <c r="H5" s="623">
        <f t="shared" si="0"/>
        <v>4.6344021679911584E-4</v>
      </c>
      <c r="I5" s="651"/>
      <c r="J5" s="620" t="e">
        <f t="shared" si="1"/>
        <v>#REF!</v>
      </c>
      <c r="K5" s="614">
        <f t="shared" si="1"/>
        <v>0.36708969286560117</v>
      </c>
      <c r="L5" s="615">
        <f t="shared" si="1"/>
        <v>0.3667065125503266</v>
      </c>
    </row>
    <row r="6" spans="2:12" ht="15.75" thickBot="1">
      <c r="B6" s="1090"/>
      <c r="C6" s="613" t="s">
        <v>6</v>
      </c>
      <c r="D6" s="675" t="e">
        <f>'Cases post Attain'!#REF!/1000000</f>
        <v>#REF!</v>
      </c>
      <c r="E6" s="675">
        <f>'Cases post Attain'!Q53/1000000</f>
        <v>21.663802175809526</v>
      </c>
      <c r="F6" s="675">
        <f>'Cases post Attain'!P53/1000000</f>
        <v>21.551505642857141</v>
      </c>
      <c r="G6" s="622" t="e">
        <f t="shared" si="2"/>
        <v>#REF!</v>
      </c>
      <c r="H6" s="623">
        <f t="shared" si="0"/>
        <v>-5.1836022153940453E-3</v>
      </c>
      <c r="I6" s="651"/>
      <c r="J6" s="620" t="e">
        <f t="shared" si="1"/>
        <v>#REF!</v>
      </c>
      <c r="K6" s="614">
        <f t="shared" si="1"/>
        <v>0.19077768459284952</v>
      </c>
      <c r="L6" s="615">
        <f t="shared" si="1"/>
        <v>0.18950283795835554</v>
      </c>
    </row>
    <row r="7" spans="2:12" ht="15.75" thickBot="1">
      <c r="B7" s="1090"/>
      <c r="C7" s="677" t="s">
        <v>7</v>
      </c>
      <c r="D7" s="678" t="e">
        <f>SUM(D4:D6)</f>
        <v>#REF!</v>
      </c>
      <c r="E7" s="678">
        <f>SUM(E4:E6)</f>
        <v>86.480971824380958</v>
      </c>
      <c r="F7" s="678">
        <f>SUM(F4:F6)</f>
        <v>86.716432031428553</v>
      </c>
      <c r="G7" s="679" t="e">
        <f t="shared" si="2"/>
        <v>#REF!</v>
      </c>
      <c r="H7" s="680">
        <f t="shared" si="0"/>
        <v>2.7226822511401405E-3</v>
      </c>
      <c r="I7" s="663"/>
      <c r="J7" s="621" t="e">
        <f t="shared" si="1"/>
        <v>#REF!</v>
      </c>
      <c r="K7" s="618">
        <f t="shared" si="1"/>
        <v>0.76157635820815195</v>
      </c>
      <c r="L7" s="619">
        <f t="shared" si="1"/>
        <v>0.76249939284520396</v>
      </c>
    </row>
    <row r="8" spans="2:12">
      <c r="B8" s="1090"/>
      <c r="C8" s="613" t="s">
        <v>8</v>
      </c>
      <c r="D8" s="675" t="e">
        <f>'Cases post Attain'!#REF!/1000000</f>
        <v>#REF!</v>
      </c>
      <c r="E8" s="675">
        <f>'Cases post Attain'!Q185/1000000</f>
        <v>1.0500830000000001</v>
      </c>
      <c r="F8" s="675">
        <f>'Cases post Attain'!P185/1000000</f>
        <v>1.3736613200000001</v>
      </c>
      <c r="G8" s="622" t="e">
        <f t="shared" si="2"/>
        <v>#REF!</v>
      </c>
      <c r="H8" s="623">
        <f t="shared" si="0"/>
        <v>0.30814547040567275</v>
      </c>
      <c r="I8" s="651"/>
      <c r="J8" s="620" t="e">
        <f t="shared" si="1"/>
        <v>#REF!</v>
      </c>
      <c r="K8" s="614">
        <f t="shared" si="1"/>
        <v>9.2473334895021627E-3</v>
      </c>
      <c r="L8" s="615">
        <f t="shared" si="1"/>
        <v>1.207863259520788E-2</v>
      </c>
    </row>
    <row r="9" spans="2:12">
      <c r="B9" s="1090"/>
      <c r="C9" s="613" t="s">
        <v>9</v>
      </c>
      <c r="D9" s="675" t="e">
        <f>'Cases post Attain'!#REF!/1000000</f>
        <v>#REF!</v>
      </c>
      <c r="E9" s="675">
        <f>'Cases post Attain'!Q186/1000000</f>
        <v>6.4899840589340556</v>
      </c>
      <c r="F9" s="675">
        <f>'Cases post Attain'!P186/1000000</f>
        <v>6.7847887233965674</v>
      </c>
      <c r="G9" s="622" t="e">
        <f t="shared" si="2"/>
        <v>#REF!</v>
      </c>
      <c r="H9" s="623">
        <f t="shared" si="0"/>
        <v>4.5424559102989814E-2</v>
      </c>
      <c r="I9" s="651"/>
      <c r="J9" s="620" t="e">
        <f t="shared" si="1"/>
        <v>#REF!</v>
      </c>
      <c r="K9" s="614">
        <f t="shared" si="1"/>
        <v>5.7152669774214099E-2</v>
      </c>
      <c r="L9" s="615">
        <f t="shared" si="1"/>
        <v>5.9658788547687018E-2</v>
      </c>
    </row>
    <row r="10" spans="2:12" ht="15.75" thickBot="1">
      <c r="B10" s="1090"/>
      <c r="C10" s="613" t="s">
        <v>10</v>
      </c>
      <c r="D10" s="675" t="e">
        <f>'Cases post Attain'!#REF!/1000000</f>
        <v>#REF!</v>
      </c>
      <c r="E10" s="675">
        <f>'Cases post Attain'!Q184/1000000</f>
        <v>19.534182326354166</v>
      </c>
      <c r="F10" s="675">
        <f>'Cases post Attain'!P184/1000000</f>
        <v>18.851676720000004</v>
      </c>
      <c r="G10" s="622" t="e">
        <f t="shared" si="2"/>
        <v>#REF!</v>
      </c>
      <c r="H10" s="623">
        <f t="shared" si="0"/>
        <v>-3.4939041468522225E-2</v>
      </c>
      <c r="I10" s="651"/>
      <c r="J10" s="665" t="e">
        <f t="shared" si="1"/>
        <v>#REF!</v>
      </c>
      <c r="K10" s="666">
        <f t="shared" si="1"/>
        <v>0.17202363852813171</v>
      </c>
      <c r="L10" s="667">
        <f t="shared" si="1"/>
        <v>0.1657631860119011</v>
      </c>
    </row>
    <row r="11" spans="2:12" ht="15.75" thickBot="1">
      <c r="B11" s="1090"/>
      <c r="C11" s="655" t="s">
        <v>11</v>
      </c>
      <c r="D11" s="674" t="e">
        <f>SUM(D7:D10)</f>
        <v>#REF!</v>
      </c>
      <c r="E11" s="674">
        <f>SUM(E7:E10)</f>
        <v>113.55522120966918</v>
      </c>
      <c r="F11" s="674">
        <f>SUM(F7:F10)</f>
        <v>113.72655879482512</v>
      </c>
      <c r="G11" s="659" t="e">
        <f>E11/D11-1</f>
        <v>#REF!</v>
      </c>
      <c r="H11" s="660">
        <f>F11/E11-1</f>
        <v>1.5088481474541116E-3</v>
      </c>
      <c r="I11" s="676"/>
      <c r="J11" s="656"/>
      <c r="K11" s="656"/>
      <c r="L11" s="656"/>
    </row>
    <row r="12" spans="2:12" ht="10.5" customHeight="1" thickBot="1">
      <c r="B12" s="683"/>
      <c r="C12" s="684"/>
      <c r="D12" s="685"/>
      <c r="E12" s="685"/>
      <c r="F12" s="685"/>
      <c r="G12" s="686"/>
      <c r="H12" s="687"/>
      <c r="I12" s="688"/>
      <c r="J12" s="689"/>
      <c r="K12" s="689"/>
      <c r="L12" s="689"/>
    </row>
    <row r="13" spans="2:12" ht="15.75" thickBot="1">
      <c r="B13" s="668" t="s">
        <v>12</v>
      </c>
      <c r="C13" s="612"/>
      <c r="D13" s="681">
        <v>110.043143</v>
      </c>
      <c r="E13" s="681">
        <v>114.37354018163673</v>
      </c>
      <c r="F13" s="681">
        <v>115.02552136503103</v>
      </c>
      <c r="G13" s="664">
        <f t="shared" ref="G13" si="3">E13/D13-1</f>
        <v>3.9351812966998967E-2</v>
      </c>
      <c r="H13" s="658">
        <f t="shared" ref="H13" si="4">F13/E13-1</f>
        <v>5.7004546887233776E-3</v>
      </c>
      <c r="I13" s="673"/>
      <c r="J13" s="656"/>
      <c r="K13" s="656"/>
      <c r="L13" s="656"/>
    </row>
    <row r="14" spans="2:12" ht="15.75" thickBot="1"/>
    <row r="15" spans="2:12" ht="15.75" thickBot="1">
      <c r="C15" s="1091" t="s">
        <v>13</v>
      </c>
      <c r="D15" s="1093"/>
      <c r="E15" s="1093"/>
      <c r="F15" s="1092"/>
      <c r="G15" s="1091" t="s">
        <v>1</v>
      </c>
      <c r="H15" s="1092"/>
      <c r="I15" s="332"/>
      <c r="J15" s="653" t="s">
        <v>2</v>
      </c>
      <c r="K15" s="612"/>
      <c r="L15" s="662"/>
    </row>
    <row r="16" spans="2:12">
      <c r="B16" s="1089" t="s">
        <v>3</v>
      </c>
      <c r="C16" s="613"/>
      <c r="D16" s="332">
        <v>2024</v>
      </c>
      <c r="E16" s="332">
        <v>2025</v>
      </c>
      <c r="F16" s="470">
        <v>2026</v>
      </c>
      <c r="G16" s="455">
        <v>2025</v>
      </c>
      <c r="H16" s="456">
        <v>2026</v>
      </c>
      <c r="I16" s="332"/>
      <c r="J16" s="455">
        <v>2024</v>
      </c>
      <c r="K16" s="457">
        <v>2025</v>
      </c>
      <c r="L16" s="456">
        <v>2026</v>
      </c>
    </row>
    <row r="17" spans="2:12">
      <c r="B17" s="1090"/>
      <c r="C17" s="613" t="s">
        <v>4</v>
      </c>
      <c r="D17" s="447">
        <f>'Litons Post Attain'!X14+'Litons Post Attain'!X22</f>
        <v>104785.86943231054</v>
      </c>
      <c r="E17" s="447">
        <f>'Litons Post Attain'!Q14+'Litons Post Attain'!Q22</f>
        <v>90219.037255177798</v>
      </c>
      <c r="F17" s="448">
        <f>'Litons Post Attain'!P14+'Litons Post Attain'!P22</f>
        <v>91781.613346348779</v>
      </c>
      <c r="G17" s="622">
        <f t="shared" ref="G17:G22" si="5">E17/D17-1</f>
        <v>-0.13901523417279671</v>
      </c>
      <c r="H17" s="623">
        <f t="shared" ref="H17:H22" si="6">F17/E17-1</f>
        <v>1.7319804541378048E-2</v>
      </c>
      <c r="I17" s="651"/>
      <c r="J17" s="620">
        <f t="shared" ref="J17:L23" si="7">D17/D$24</f>
        <v>0.19226184294893339</v>
      </c>
      <c r="K17" s="614">
        <f t="shared" si="7"/>
        <v>0.16642088121984203</v>
      </c>
      <c r="L17" s="615">
        <f t="shared" si="7"/>
        <v>0.16881117326673406</v>
      </c>
    </row>
    <row r="18" spans="2:12">
      <c r="B18" s="1090"/>
      <c r="C18" s="613" t="s">
        <v>5</v>
      </c>
      <c r="D18" s="447">
        <f>'Litons Post Attain'!X41</f>
        <v>205930.96219262108</v>
      </c>
      <c r="E18" s="447">
        <f>'Litons Post Attain'!Q41</f>
        <v>205006.33536026717</v>
      </c>
      <c r="F18" s="448">
        <f>'Litons Post Attain'!P41</f>
        <v>203978.37938364409</v>
      </c>
      <c r="G18" s="622">
        <f t="shared" si="5"/>
        <v>-4.4899845196131327E-3</v>
      </c>
      <c r="H18" s="623">
        <f t="shared" si="6"/>
        <v>-5.0142644363483369E-3</v>
      </c>
      <c r="I18" s="651"/>
      <c r="J18" s="620">
        <f t="shared" si="7"/>
        <v>0.37784356350620801</v>
      </c>
      <c r="K18" s="614">
        <f t="shared" si="7"/>
        <v>0.3781611511748656</v>
      </c>
      <c r="L18" s="615">
        <f t="shared" si="7"/>
        <v>0.37517132559938587</v>
      </c>
    </row>
    <row r="19" spans="2:12" ht="15.75" thickBot="1">
      <c r="B19" s="1090"/>
      <c r="C19" s="613" t="s">
        <v>6</v>
      </c>
      <c r="D19" s="447">
        <f>'Litons Post Attain'!X53</f>
        <v>165582.141936</v>
      </c>
      <c r="E19" s="447">
        <f>'Litons Post Attain'!Q53</f>
        <v>166103.4847355638</v>
      </c>
      <c r="F19" s="448">
        <f>'Litons Post Attain'!P53</f>
        <v>164699.16317108952</v>
      </c>
      <c r="G19" s="622">
        <f t="shared" si="5"/>
        <v>3.1485448458887788E-3</v>
      </c>
      <c r="H19" s="623">
        <f t="shared" si="6"/>
        <v>-8.4544979096011774E-3</v>
      </c>
      <c r="I19" s="651"/>
      <c r="J19" s="620">
        <f t="shared" si="7"/>
        <v>0.30381126711566819</v>
      </c>
      <c r="K19" s="614">
        <f t="shared" si="7"/>
        <v>0.30639972609320471</v>
      </c>
      <c r="L19" s="615">
        <f t="shared" si="7"/>
        <v>0.30292623933339202</v>
      </c>
    </row>
    <row r="20" spans="2:12" ht="15.75" thickBot="1">
      <c r="B20" s="1090"/>
      <c r="C20" s="616" t="s">
        <v>7</v>
      </c>
      <c r="D20" s="617">
        <f>SUM(D17:D19)</f>
        <v>476298.97356093163</v>
      </c>
      <c r="E20" s="617">
        <f>SUM(E17:E19)</f>
        <v>461328.85735100874</v>
      </c>
      <c r="F20" s="671">
        <f>SUM(F17:F19)</f>
        <v>460459.15590108233</v>
      </c>
      <c r="G20" s="679">
        <f t="shared" si="5"/>
        <v>-3.1430082870014364E-2</v>
      </c>
      <c r="H20" s="680">
        <f t="shared" si="6"/>
        <v>-1.8852092949925847E-3</v>
      </c>
      <c r="I20" s="663"/>
      <c r="J20" s="669">
        <f t="shared" si="7"/>
        <v>0.8739166735708096</v>
      </c>
      <c r="K20" s="652">
        <f t="shared" si="7"/>
        <v>0.85098175848791224</v>
      </c>
      <c r="L20" s="670">
        <f t="shared" si="7"/>
        <v>0.84690873819951185</v>
      </c>
    </row>
    <row r="21" spans="2:12">
      <c r="B21" s="1090"/>
      <c r="C21" s="613" t="s">
        <v>8</v>
      </c>
      <c r="D21" s="447">
        <f>'Litons Post Attain'!X185</f>
        <v>2692.3498840743305</v>
      </c>
      <c r="E21" s="447">
        <f>'Litons Post Attain'!Q185</f>
        <v>6089.5977600000006</v>
      </c>
      <c r="F21" s="448">
        <f>'Litons Post Attain'!P185</f>
        <v>7235.8502073599993</v>
      </c>
      <c r="G21" s="622">
        <f t="shared" si="5"/>
        <v>1.2618151511513869</v>
      </c>
      <c r="H21" s="623">
        <f t="shared" si="6"/>
        <v>0.18823122520328806</v>
      </c>
      <c r="I21" s="651"/>
      <c r="J21" s="620">
        <f t="shared" si="7"/>
        <v>4.9399423164576588E-3</v>
      </c>
      <c r="K21" s="614">
        <f t="shared" si="7"/>
        <v>1.1233064066369359E-2</v>
      </c>
      <c r="L21" s="615">
        <f t="shared" si="7"/>
        <v>1.3308682627721266E-2</v>
      </c>
    </row>
    <row r="22" spans="2:12">
      <c r="B22" s="1090"/>
      <c r="C22" s="613" t="s">
        <v>9</v>
      </c>
      <c r="D22" s="447">
        <f>'Litons Post Attain'!X186</f>
        <v>25084.336343999999</v>
      </c>
      <c r="E22" s="447">
        <f>'Litons Post Attain'!Q186</f>
        <v>20341.501297344606</v>
      </c>
      <c r="F22" s="448">
        <f>'Litons Post Attain'!P186</f>
        <v>21261.390005733116</v>
      </c>
      <c r="G22" s="622">
        <f t="shared" si="5"/>
        <v>-0.18907556419326388</v>
      </c>
      <c r="H22" s="623">
        <f t="shared" si="6"/>
        <v>4.5222262356249487E-2</v>
      </c>
      <c r="I22" s="651"/>
      <c r="J22" s="620">
        <f t="shared" si="7"/>
        <v>4.6024915007874714E-2</v>
      </c>
      <c r="K22" s="614">
        <f t="shared" si="7"/>
        <v>3.7522574771705015E-2</v>
      </c>
      <c r="L22" s="615">
        <f t="shared" si="7"/>
        <v>3.9105438020633827E-2</v>
      </c>
    </row>
    <row r="23" spans="2:12" ht="15.75" thickBot="1">
      <c r="B23" s="1090"/>
      <c r="C23" s="613" t="s">
        <v>10</v>
      </c>
      <c r="D23" s="447">
        <f>'Litons Post Attain'!X184</f>
        <v>40940.80226656</v>
      </c>
      <c r="E23" s="447">
        <f>'Litons Post Attain'!Q184</f>
        <v>54353.729049172995</v>
      </c>
      <c r="F23" s="448">
        <f>'Litons Post Attain'!P184</f>
        <v>54737.552397912012</v>
      </c>
      <c r="G23" s="622">
        <f>E23/D23-1</f>
        <v>0.32761758539276409</v>
      </c>
      <c r="H23" s="623">
        <f>F23/E23-1</f>
        <v>7.0615826264979198E-3</v>
      </c>
      <c r="I23" s="651"/>
      <c r="J23" s="665">
        <f t="shared" si="7"/>
        <v>7.5118469104857907E-2</v>
      </c>
      <c r="K23" s="666">
        <f t="shared" si="7"/>
        <v>0.10026260267401331</v>
      </c>
      <c r="L23" s="667">
        <f t="shared" si="7"/>
        <v>0.1006771411521331</v>
      </c>
    </row>
    <row r="24" spans="2:12" ht="15.75" thickBot="1">
      <c r="B24" s="1090"/>
      <c r="C24" s="624" t="s">
        <v>11</v>
      </c>
      <c r="D24" s="625">
        <f>SUM(D20:D23)</f>
        <v>545016.46205556602</v>
      </c>
      <c r="E24" s="625">
        <f>SUM(E20:E23)</f>
        <v>542113.68545752636</v>
      </c>
      <c r="F24" s="672">
        <f>SUM(F20:F23)</f>
        <v>543693.94851208746</v>
      </c>
      <c r="G24" s="659">
        <f>E24/D24-1</f>
        <v>-5.326034716624295E-3</v>
      </c>
      <c r="H24" s="660">
        <f>F24/E24-1</f>
        <v>2.9150030647675518E-3</v>
      </c>
      <c r="I24" s="676"/>
      <c r="J24" s="656"/>
      <c r="K24" s="656"/>
      <c r="L24" s="656"/>
    </row>
    <row r="25" spans="2:12" ht="15.75" thickBot="1">
      <c r="B25" s="683"/>
      <c r="C25" s="690"/>
      <c r="D25" s="691"/>
      <c r="E25" s="691"/>
      <c r="F25" s="691"/>
      <c r="G25" s="686"/>
      <c r="H25" s="687"/>
      <c r="I25" s="688"/>
      <c r="J25" s="689"/>
      <c r="K25" s="689"/>
      <c r="L25" s="689"/>
    </row>
    <row r="26" spans="2:12" ht="15.75" thickBot="1">
      <c r="B26" s="668" t="s">
        <v>12</v>
      </c>
      <c r="C26" s="612"/>
      <c r="D26" s="657">
        <v>545782.12438077503</v>
      </c>
      <c r="E26" s="657">
        <v>558648.08502848761</v>
      </c>
      <c r="F26" s="657">
        <v>554103.58073970047</v>
      </c>
      <c r="G26" s="664">
        <f t="shared" ref="G26" si="8">E26/D26-1</f>
        <v>2.3573437225174576E-2</v>
      </c>
      <c r="H26" s="658">
        <f t="shared" ref="H26" si="9">F26/E26-1</f>
        <v>-8.1348247860822953E-3</v>
      </c>
      <c r="I26" s="673"/>
    </row>
    <row r="29" spans="2:12">
      <c r="E29" s="703">
        <f>(E7*1000000)</f>
        <v>86480971.824380964</v>
      </c>
    </row>
    <row r="30" spans="2:12">
      <c r="E30" s="330">
        <f>E20/E29</f>
        <v>5.3344550554755626E-3</v>
      </c>
    </row>
  </sheetData>
  <mergeCells count="6">
    <mergeCell ref="B16:B24"/>
    <mergeCell ref="B3:B11"/>
    <mergeCell ref="G2:H2"/>
    <mergeCell ref="C2:F2"/>
    <mergeCell ref="C15:F15"/>
    <mergeCell ref="G15:H15"/>
  </mergeCells>
  <conditionalFormatting sqref="G4:H13">
    <cfRule type="cellIs" dxfId="779" priority="3" operator="greaterThan">
      <formula>0</formula>
    </cfRule>
    <cfRule type="cellIs" dxfId="778" priority="4" operator="lessThan">
      <formula>0</formula>
    </cfRule>
  </conditionalFormatting>
  <conditionalFormatting sqref="G17:H26">
    <cfRule type="cellIs" dxfId="777" priority="1" operator="greaterThan">
      <formula>0</formula>
    </cfRule>
    <cfRule type="cellIs" dxfId="776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CBA4-5143-4ED3-A0C9-7D6CE6ADAE67}">
  <dimension ref="B3:AR132"/>
  <sheetViews>
    <sheetView topLeftCell="A10" zoomScale="80" zoomScaleNormal="80" workbookViewId="0">
      <selection activeCell="J36" sqref="J36:J53"/>
    </sheetView>
  </sheetViews>
  <sheetFormatPr defaultRowHeight="15"/>
  <cols>
    <col min="2" max="2" width="13.42578125" customWidth="1"/>
    <col min="3" max="3" width="18" bestFit="1" customWidth="1"/>
    <col min="4" max="4" width="19.42578125" bestFit="1" customWidth="1"/>
    <col min="5" max="6" width="18.28515625" bestFit="1" customWidth="1"/>
    <col min="7" max="7" width="19.42578125" bestFit="1" customWidth="1"/>
    <col min="8" max="9" width="18.28515625" bestFit="1" customWidth="1"/>
    <col min="10" max="10" width="19.42578125" bestFit="1" customWidth="1"/>
    <col min="11" max="11" width="18.28515625" bestFit="1" customWidth="1"/>
    <col min="12" max="12" width="18.28515625" style="204" bestFit="1" customWidth="1"/>
    <col min="13" max="13" width="19.42578125" style="204" bestFit="1" customWidth="1"/>
    <col min="14" max="15" width="18.28515625" style="204" bestFit="1" customWidth="1"/>
    <col min="16" max="16" width="18.28515625" bestFit="1" customWidth="1"/>
    <col min="17" max="18" width="17.28515625" bestFit="1" customWidth="1"/>
    <col min="19" max="21" width="8.28515625" bestFit="1" customWidth="1"/>
    <col min="22" max="22" width="8.7109375" bestFit="1" customWidth="1"/>
    <col min="23" max="23" width="8.28515625" customWidth="1"/>
    <col min="24" max="24" width="8.28515625" bestFit="1" customWidth="1"/>
    <col min="25" max="25" width="40.28515625" customWidth="1"/>
    <col min="26" max="26" width="17.7109375" customWidth="1"/>
    <col min="27" max="27" width="16.7109375" customWidth="1"/>
    <col min="28" max="36" width="7.42578125" bestFit="1" customWidth="1"/>
    <col min="37" max="37" width="9.5703125" bestFit="1" customWidth="1"/>
    <col min="38" max="38" width="7.28515625" customWidth="1"/>
  </cols>
  <sheetData>
    <row r="3" spans="3:25">
      <c r="D3" s="57" t="s">
        <v>14</v>
      </c>
      <c r="L3"/>
      <c r="M3"/>
      <c r="N3"/>
      <c r="O3"/>
    </row>
    <row r="4" spans="3:25" ht="15.75" thickBot="1">
      <c r="D4" t="s">
        <v>10</v>
      </c>
      <c r="G4" t="s">
        <v>15</v>
      </c>
      <c r="J4" t="s">
        <v>8</v>
      </c>
      <c r="L4"/>
      <c r="M4" t="s">
        <v>16</v>
      </c>
      <c r="N4"/>
      <c r="O4"/>
      <c r="U4">
        <v>2026</v>
      </c>
    </row>
    <row r="5" spans="3:25" ht="15.75" thickBot="1">
      <c r="C5" s="57" t="s">
        <v>17</v>
      </c>
      <c r="D5" t="s">
        <v>18</v>
      </c>
      <c r="E5" t="s">
        <v>19</v>
      </c>
      <c r="F5" t="s">
        <v>20</v>
      </c>
      <c r="G5" t="s">
        <v>18</v>
      </c>
      <c r="H5" t="s">
        <v>19</v>
      </c>
      <c r="I5" t="s">
        <v>20</v>
      </c>
      <c r="J5" t="s">
        <v>18</v>
      </c>
      <c r="K5" t="s">
        <v>19</v>
      </c>
      <c r="L5" t="s">
        <v>20</v>
      </c>
      <c r="M5" t="s">
        <v>18</v>
      </c>
      <c r="N5" t="s">
        <v>19</v>
      </c>
      <c r="O5" t="s">
        <v>20</v>
      </c>
      <c r="S5" s="642" t="s">
        <v>8</v>
      </c>
      <c r="T5" s="643" t="s">
        <v>16</v>
      </c>
      <c r="U5" s="644" t="s">
        <v>10</v>
      </c>
      <c r="V5" s="642" t="s">
        <v>15</v>
      </c>
      <c r="W5" s="642" t="s">
        <v>8</v>
      </c>
      <c r="X5" s="643" t="s">
        <v>16</v>
      </c>
    </row>
    <row r="6" spans="3:25">
      <c r="C6" s="58" t="s">
        <v>21</v>
      </c>
      <c r="D6" s="50"/>
      <c r="E6" s="50"/>
      <c r="F6" s="50"/>
      <c r="G6" s="50"/>
      <c r="H6" s="50"/>
      <c r="I6" s="50"/>
      <c r="J6" s="50"/>
      <c r="K6" s="50"/>
      <c r="L6" s="50"/>
      <c r="M6" s="50">
        <v>496558</v>
      </c>
      <c r="N6" s="50">
        <v>483586</v>
      </c>
      <c r="O6" s="50">
        <v>526240</v>
      </c>
      <c r="S6" s="154" t="e">
        <f>J6/F6-1</f>
        <v>#DIV/0!</v>
      </c>
      <c r="T6" s="646" t="e">
        <f t="shared" ref="T6" si="0">K6/G6-1</f>
        <v>#DIV/0!</v>
      </c>
      <c r="U6" s="645" t="e">
        <f t="shared" ref="U6" si="1">L6/H6-1</f>
        <v>#DIV/0!</v>
      </c>
      <c r="V6" s="154" t="e">
        <f t="shared" ref="V6" si="2">M6/I6-1</f>
        <v>#DIV/0!</v>
      </c>
      <c r="W6" s="154" t="e">
        <f t="shared" ref="W6" si="3">N6/J6-1</f>
        <v>#DIV/0!</v>
      </c>
      <c r="X6" s="646" t="e">
        <f t="shared" ref="X6" si="4">O6/K6-1</f>
        <v>#DIV/0!</v>
      </c>
      <c r="Y6" t="s">
        <v>22</v>
      </c>
    </row>
    <row r="7" spans="3:25">
      <c r="C7" s="58" t="s">
        <v>23</v>
      </c>
      <c r="D7" s="50"/>
      <c r="E7" s="50"/>
      <c r="F7" s="50"/>
      <c r="G7" s="50"/>
      <c r="H7" s="50"/>
      <c r="I7" s="50"/>
      <c r="J7" s="50"/>
      <c r="K7" s="50">
        <v>0</v>
      </c>
      <c r="L7" s="50">
        <v>0</v>
      </c>
      <c r="M7" s="50">
        <v>25940115</v>
      </c>
      <c r="N7" s="50">
        <v>25174238</v>
      </c>
      <c r="O7" s="50">
        <v>25596140</v>
      </c>
      <c r="S7" s="154" t="e">
        <f t="shared" ref="S7:S28" si="5">J7/F7-1</f>
        <v>#DIV/0!</v>
      </c>
      <c r="T7" s="646" t="e">
        <f t="shared" ref="T7:T28" si="6">K7/G7-1</f>
        <v>#DIV/0!</v>
      </c>
      <c r="U7" s="645" t="e">
        <f t="shared" ref="U7:U28" si="7">L7/H7-1</f>
        <v>#DIV/0!</v>
      </c>
      <c r="V7" s="154" t="e">
        <f t="shared" ref="V7:V28" si="8">M7/I7-1</f>
        <v>#DIV/0!</v>
      </c>
      <c r="W7" s="154" t="e">
        <f t="shared" ref="W7:W28" si="9">N7/J7-1</f>
        <v>#DIV/0!</v>
      </c>
      <c r="X7" s="646" t="e">
        <f t="shared" ref="X7:X28" si="10">O7/K7-1</f>
        <v>#DIV/0!</v>
      </c>
      <c r="Y7" t="s">
        <v>24</v>
      </c>
    </row>
    <row r="8" spans="3:25">
      <c r="C8" s="58" t="s">
        <v>25</v>
      </c>
      <c r="D8" s="50">
        <v>428282.4</v>
      </c>
      <c r="E8" s="50">
        <v>1197580</v>
      </c>
      <c r="F8" s="50">
        <v>1060263</v>
      </c>
      <c r="G8" s="50"/>
      <c r="H8" s="50"/>
      <c r="I8" s="50"/>
      <c r="J8" s="50"/>
      <c r="K8" s="50"/>
      <c r="L8" s="50"/>
      <c r="M8" s="50">
        <v>951586</v>
      </c>
      <c r="N8" s="50">
        <v>0</v>
      </c>
      <c r="O8" s="50">
        <v>0</v>
      </c>
      <c r="S8" s="154">
        <f t="shared" si="5"/>
        <v>-1</v>
      </c>
      <c r="T8" s="646" t="e">
        <f t="shared" si="6"/>
        <v>#DIV/0!</v>
      </c>
      <c r="U8" s="645" t="e">
        <f t="shared" si="7"/>
        <v>#DIV/0!</v>
      </c>
      <c r="V8" s="154" t="e">
        <f t="shared" si="8"/>
        <v>#DIV/0!</v>
      </c>
      <c r="W8" s="154" t="e">
        <f t="shared" si="9"/>
        <v>#DIV/0!</v>
      </c>
      <c r="X8" s="646" t="e">
        <f t="shared" si="10"/>
        <v>#DIV/0!</v>
      </c>
      <c r="Y8" t="s">
        <v>26</v>
      </c>
    </row>
    <row r="9" spans="3:25">
      <c r="C9" s="58" t="s">
        <v>27</v>
      </c>
      <c r="D9" s="50"/>
      <c r="E9" s="50">
        <v>190000</v>
      </c>
      <c r="F9" s="50">
        <v>1987500</v>
      </c>
      <c r="G9" s="50"/>
      <c r="H9" s="50"/>
      <c r="I9" s="50"/>
      <c r="J9" s="50"/>
      <c r="K9" s="50"/>
      <c r="L9" s="50"/>
      <c r="M9" s="50">
        <v>0</v>
      </c>
      <c r="N9" s="50">
        <v>0</v>
      </c>
      <c r="O9" s="50">
        <v>0</v>
      </c>
      <c r="S9" s="154">
        <f t="shared" si="5"/>
        <v>-1</v>
      </c>
      <c r="T9" s="646" t="e">
        <f t="shared" si="6"/>
        <v>#DIV/0!</v>
      </c>
      <c r="U9" s="645" t="e">
        <f t="shared" si="7"/>
        <v>#DIV/0!</v>
      </c>
      <c r="V9" s="154" t="e">
        <f t="shared" si="8"/>
        <v>#DIV/0!</v>
      </c>
      <c r="W9" s="154" t="e">
        <f t="shared" si="9"/>
        <v>#DIV/0!</v>
      </c>
      <c r="X9" s="646" t="e">
        <f t="shared" si="10"/>
        <v>#DIV/0!</v>
      </c>
      <c r="Y9" s="157" t="s">
        <v>28</v>
      </c>
    </row>
    <row r="10" spans="3:25">
      <c r="C10" s="58" t="s">
        <v>29</v>
      </c>
      <c r="D10" s="50"/>
      <c r="E10" s="50">
        <v>607165</v>
      </c>
      <c r="F10" s="50">
        <v>0</v>
      </c>
      <c r="G10" s="50"/>
      <c r="H10" s="50"/>
      <c r="I10" s="50"/>
      <c r="J10" s="50">
        <v>306662</v>
      </c>
      <c r="K10" s="50">
        <v>115851</v>
      </c>
      <c r="L10" s="50">
        <v>0</v>
      </c>
      <c r="M10" s="50">
        <v>26084291</v>
      </c>
      <c r="N10" s="50">
        <v>25610872.16</v>
      </c>
      <c r="O10" s="50">
        <v>24125674.285714284</v>
      </c>
      <c r="S10" s="154" t="e">
        <f t="shared" si="5"/>
        <v>#DIV/0!</v>
      </c>
      <c r="T10" s="646" t="e">
        <f t="shared" si="6"/>
        <v>#DIV/0!</v>
      </c>
      <c r="U10" s="645" t="e">
        <f t="shared" si="7"/>
        <v>#DIV/0!</v>
      </c>
      <c r="V10" s="154" t="e">
        <f t="shared" si="8"/>
        <v>#DIV/0!</v>
      </c>
      <c r="W10" s="154">
        <f t="shared" si="9"/>
        <v>82.514984445415479</v>
      </c>
      <c r="X10" s="646">
        <f t="shared" si="10"/>
        <v>207.24744098639013</v>
      </c>
    </row>
    <row r="11" spans="3:25">
      <c r="C11" s="58" t="s">
        <v>30</v>
      </c>
      <c r="D11" s="50">
        <v>414132</v>
      </c>
      <c r="E11" s="50">
        <v>472047</v>
      </c>
      <c r="F11" s="50">
        <v>338000</v>
      </c>
      <c r="G11" s="50"/>
      <c r="H11" s="50"/>
      <c r="I11" s="50"/>
      <c r="J11" s="50"/>
      <c r="K11" s="50"/>
      <c r="L11" s="50"/>
      <c r="M11" s="50"/>
      <c r="N11" s="50"/>
      <c r="O11" s="50"/>
      <c r="S11" s="154">
        <f t="shared" si="5"/>
        <v>-1</v>
      </c>
      <c r="T11" s="646" t="e">
        <f t="shared" si="6"/>
        <v>#DIV/0!</v>
      </c>
      <c r="U11" s="645" t="e">
        <f t="shared" si="7"/>
        <v>#DIV/0!</v>
      </c>
      <c r="V11" s="154" t="e">
        <f t="shared" si="8"/>
        <v>#DIV/0!</v>
      </c>
      <c r="W11" s="154" t="e">
        <f t="shared" si="9"/>
        <v>#DIV/0!</v>
      </c>
      <c r="X11" s="646" t="e">
        <f t="shared" si="10"/>
        <v>#DIV/0!</v>
      </c>
    </row>
    <row r="12" spans="3:25">
      <c r="C12" s="58" t="s">
        <v>31</v>
      </c>
      <c r="D12" s="50"/>
      <c r="E12" s="50"/>
      <c r="F12" s="50"/>
      <c r="G12" s="50"/>
      <c r="H12" s="50"/>
      <c r="I12" s="50"/>
      <c r="J12" s="50"/>
      <c r="K12" s="50"/>
      <c r="L12" s="50"/>
      <c r="M12" s="50">
        <v>4730331</v>
      </c>
      <c r="N12" s="50">
        <v>4886903</v>
      </c>
      <c r="O12" s="50">
        <v>4799210</v>
      </c>
      <c r="S12" s="154" t="e">
        <f t="shared" si="5"/>
        <v>#DIV/0!</v>
      </c>
      <c r="T12" s="646" t="e">
        <f t="shared" si="6"/>
        <v>#DIV/0!</v>
      </c>
      <c r="U12" s="645" t="e">
        <f t="shared" si="7"/>
        <v>#DIV/0!</v>
      </c>
      <c r="V12" s="154" t="e">
        <f t="shared" si="8"/>
        <v>#DIV/0!</v>
      </c>
      <c r="W12" s="154" t="e">
        <f t="shared" si="9"/>
        <v>#DIV/0!</v>
      </c>
      <c r="X12" s="646" t="e">
        <f t="shared" si="10"/>
        <v>#DIV/0!</v>
      </c>
    </row>
    <row r="13" spans="3:25">
      <c r="C13" s="58" t="s">
        <v>32</v>
      </c>
      <c r="D13" s="50"/>
      <c r="E13" s="50"/>
      <c r="F13" s="50"/>
      <c r="G13" s="50"/>
      <c r="H13" s="50"/>
      <c r="I13" s="50"/>
      <c r="J13" s="50">
        <v>277747</v>
      </c>
      <c r="K13" s="50">
        <v>0</v>
      </c>
      <c r="L13" s="50">
        <v>210808.31999999969</v>
      </c>
      <c r="M13" s="50">
        <v>1279479</v>
      </c>
      <c r="N13" s="50">
        <v>429288</v>
      </c>
      <c r="O13" s="50">
        <v>0</v>
      </c>
      <c r="S13" s="154" t="e">
        <f t="shared" si="5"/>
        <v>#DIV/0!</v>
      </c>
      <c r="T13" s="646" t="e">
        <f t="shared" si="6"/>
        <v>#DIV/0!</v>
      </c>
      <c r="U13" s="645" t="e">
        <f t="shared" si="7"/>
        <v>#DIV/0!</v>
      </c>
      <c r="V13" s="154" t="e">
        <f t="shared" si="8"/>
        <v>#DIV/0!</v>
      </c>
      <c r="W13" s="154">
        <f t="shared" si="9"/>
        <v>0.54560805337231355</v>
      </c>
      <c r="X13" s="646" t="e">
        <f t="shared" si="10"/>
        <v>#DIV/0!</v>
      </c>
    </row>
    <row r="14" spans="3:25">
      <c r="C14" s="58" t="s">
        <v>33</v>
      </c>
      <c r="D14" s="50">
        <v>1152694</v>
      </c>
      <c r="E14" s="50">
        <v>2139398</v>
      </c>
      <c r="F14" s="50">
        <v>2441304</v>
      </c>
      <c r="G14" s="50"/>
      <c r="H14" s="50">
        <v>0</v>
      </c>
      <c r="I14" s="50">
        <v>0</v>
      </c>
      <c r="J14" s="50">
        <v>153328</v>
      </c>
      <c r="K14" s="50">
        <v>366132.4</v>
      </c>
      <c r="L14" s="50">
        <v>417273.59999999998</v>
      </c>
      <c r="M14" s="50">
        <v>1566148</v>
      </c>
      <c r="N14" s="50">
        <v>0</v>
      </c>
      <c r="O14" s="50">
        <v>0</v>
      </c>
      <c r="S14" s="154">
        <f t="shared" si="5"/>
        <v>-0.93719422079347758</v>
      </c>
      <c r="T14" s="646" t="e">
        <f t="shared" si="6"/>
        <v>#DIV/0!</v>
      </c>
      <c r="U14" s="645" t="e">
        <f t="shared" si="7"/>
        <v>#DIV/0!</v>
      </c>
      <c r="V14" s="154" t="e">
        <f t="shared" si="8"/>
        <v>#DIV/0!</v>
      </c>
      <c r="W14" s="154">
        <f t="shared" si="9"/>
        <v>-1</v>
      </c>
      <c r="X14" s="646">
        <f t="shared" si="10"/>
        <v>-1</v>
      </c>
    </row>
    <row r="15" spans="3:25">
      <c r="C15" s="58" t="s">
        <v>34</v>
      </c>
      <c r="D15" s="50"/>
      <c r="E15" s="50"/>
      <c r="F15" s="50"/>
      <c r="G15" s="50">
        <v>3277504</v>
      </c>
      <c r="H15" s="50">
        <v>4737327</v>
      </c>
      <c r="I15" s="50">
        <v>3860663.0199999996</v>
      </c>
      <c r="J15" s="50"/>
      <c r="K15" s="50"/>
      <c r="L15" s="50"/>
      <c r="M15" s="50"/>
      <c r="N15" s="50"/>
      <c r="O15" s="50"/>
      <c r="S15" s="154" t="e">
        <f t="shared" si="5"/>
        <v>#DIV/0!</v>
      </c>
      <c r="T15" s="646">
        <f t="shared" si="6"/>
        <v>-1</v>
      </c>
      <c r="U15" s="645">
        <f t="shared" si="7"/>
        <v>-1</v>
      </c>
      <c r="V15" s="154">
        <f t="shared" si="8"/>
        <v>-1</v>
      </c>
      <c r="W15" s="154" t="e">
        <f t="shared" si="9"/>
        <v>#DIV/0!</v>
      </c>
      <c r="X15" s="646" t="e">
        <f t="shared" si="10"/>
        <v>#DIV/0!</v>
      </c>
    </row>
    <row r="16" spans="3:25">
      <c r="C16" s="58" t="s">
        <v>35</v>
      </c>
      <c r="D16" s="50"/>
      <c r="E16" s="50"/>
      <c r="F16" s="50"/>
      <c r="G16" s="50">
        <v>988955</v>
      </c>
      <c r="H16" s="50">
        <v>741961</v>
      </c>
      <c r="I16" s="50">
        <v>638158</v>
      </c>
      <c r="J16" s="50"/>
      <c r="K16" s="50"/>
      <c r="L16" s="50"/>
      <c r="M16" s="50"/>
      <c r="N16" s="50"/>
      <c r="O16" s="50"/>
      <c r="S16" s="154" t="e">
        <f t="shared" si="5"/>
        <v>#DIV/0!</v>
      </c>
      <c r="T16" s="646">
        <f t="shared" si="6"/>
        <v>-1</v>
      </c>
      <c r="U16" s="645">
        <f t="shared" si="7"/>
        <v>-1</v>
      </c>
      <c r="V16" s="154">
        <f t="shared" si="8"/>
        <v>-1</v>
      </c>
      <c r="W16" s="154" t="e">
        <f t="shared" si="9"/>
        <v>#DIV/0!</v>
      </c>
      <c r="X16" s="646" t="e">
        <f t="shared" si="10"/>
        <v>#DIV/0!</v>
      </c>
    </row>
    <row r="17" spans="3:24">
      <c r="C17" s="58" t="s">
        <v>36</v>
      </c>
      <c r="D17" s="50"/>
      <c r="E17" s="50"/>
      <c r="F17" s="50"/>
      <c r="G17" s="50"/>
      <c r="H17" s="50"/>
      <c r="I17" s="50"/>
      <c r="J17" s="50"/>
      <c r="K17" s="50"/>
      <c r="L17" s="50"/>
      <c r="M17" s="50">
        <v>3656088</v>
      </c>
      <c r="N17" s="50">
        <v>3863294</v>
      </c>
      <c r="O17" s="50">
        <v>2789300</v>
      </c>
      <c r="S17" s="154" t="e">
        <f t="shared" si="5"/>
        <v>#DIV/0!</v>
      </c>
      <c r="T17" s="646" t="e">
        <f t="shared" si="6"/>
        <v>#DIV/0!</v>
      </c>
      <c r="U17" s="645" t="e">
        <f t="shared" si="7"/>
        <v>#DIV/0!</v>
      </c>
      <c r="V17" s="154" t="e">
        <f t="shared" si="8"/>
        <v>#DIV/0!</v>
      </c>
      <c r="W17" s="154" t="e">
        <f t="shared" si="9"/>
        <v>#DIV/0!</v>
      </c>
      <c r="X17" s="646" t="e">
        <f t="shared" si="10"/>
        <v>#DIV/0!</v>
      </c>
    </row>
    <row r="18" spans="3:24">
      <c r="C18" s="58" t="s">
        <v>37</v>
      </c>
      <c r="D18" s="50"/>
      <c r="E18" s="50"/>
      <c r="F18" s="50"/>
      <c r="G18" s="50">
        <v>215076</v>
      </c>
      <c r="H18" s="50">
        <v>108582</v>
      </c>
      <c r="I18" s="50">
        <v>0</v>
      </c>
      <c r="J18" s="50">
        <v>75496</v>
      </c>
      <c r="K18" s="50">
        <v>8403</v>
      </c>
      <c r="L18" s="50">
        <v>0</v>
      </c>
      <c r="M18" s="50">
        <v>6269673</v>
      </c>
      <c r="N18" s="50">
        <v>6988063.5</v>
      </c>
      <c r="O18" s="50">
        <v>6048195</v>
      </c>
      <c r="S18" s="154" t="e">
        <f t="shared" si="5"/>
        <v>#DIV/0!</v>
      </c>
      <c r="T18" s="646">
        <f t="shared" si="6"/>
        <v>-0.96093008982871175</v>
      </c>
      <c r="U18" s="645">
        <f t="shared" si="7"/>
        <v>-1</v>
      </c>
      <c r="V18" s="154" t="e">
        <f t="shared" si="8"/>
        <v>#DIV/0!</v>
      </c>
      <c r="W18" s="154">
        <f t="shared" si="9"/>
        <v>91.562036399279435</v>
      </c>
      <c r="X18" s="646">
        <f t="shared" si="10"/>
        <v>718.76615494466262</v>
      </c>
    </row>
    <row r="19" spans="3:24">
      <c r="C19" s="58" t="s">
        <v>38</v>
      </c>
      <c r="D19" s="50">
        <v>1646147</v>
      </c>
      <c r="E19" s="50">
        <v>761236</v>
      </c>
      <c r="F19" s="50">
        <v>873302.13999999943</v>
      </c>
      <c r="G19" s="50">
        <v>92423</v>
      </c>
      <c r="H19" s="50">
        <v>218262</v>
      </c>
      <c r="I19" s="50">
        <v>329855.99999999977</v>
      </c>
      <c r="J19" s="50"/>
      <c r="K19" s="50"/>
      <c r="L19" s="50"/>
      <c r="M19" s="50">
        <v>168964</v>
      </c>
      <c r="N19" s="50">
        <v>358927</v>
      </c>
      <c r="O19" s="50">
        <v>472340</v>
      </c>
      <c r="S19" s="154">
        <f t="shared" si="5"/>
        <v>-1</v>
      </c>
      <c r="T19" s="646">
        <f t="shared" si="6"/>
        <v>-1</v>
      </c>
      <c r="U19" s="645">
        <f t="shared" si="7"/>
        <v>-1</v>
      </c>
      <c r="V19" s="154">
        <f t="shared" si="8"/>
        <v>-0.48776435778036442</v>
      </c>
      <c r="W19" s="154" t="e">
        <f t="shared" si="9"/>
        <v>#DIV/0!</v>
      </c>
      <c r="X19" s="646" t="e">
        <f t="shared" si="10"/>
        <v>#DIV/0!</v>
      </c>
    </row>
    <row r="20" spans="3:24">
      <c r="C20" s="58" t="s">
        <v>39</v>
      </c>
      <c r="D20" s="50"/>
      <c r="E20" s="50"/>
      <c r="F20" s="50"/>
      <c r="G20" s="50">
        <v>1676859</v>
      </c>
      <c r="H20" s="50">
        <v>3133646.85</v>
      </c>
      <c r="I20" s="50">
        <v>1490517.9051490522</v>
      </c>
      <c r="J20" s="50">
        <v>11427</v>
      </c>
      <c r="K20" s="50">
        <v>17358</v>
      </c>
      <c r="L20" s="50">
        <v>0</v>
      </c>
      <c r="M20" s="50">
        <v>2414254</v>
      </c>
      <c r="N20" s="50">
        <v>5053318.5</v>
      </c>
      <c r="O20" s="50">
        <v>5361705</v>
      </c>
      <c r="S20" s="154" t="e">
        <f t="shared" si="5"/>
        <v>#DIV/0!</v>
      </c>
      <c r="T20" s="646">
        <f t="shared" si="6"/>
        <v>-0.98964850354144263</v>
      </c>
      <c r="U20" s="645">
        <f t="shared" si="7"/>
        <v>-1</v>
      </c>
      <c r="V20" s="154">
        <f t="shared" si="8"/>
        <v>0.61974169626534881</v>
      </c>
      <c r="W20" s="154">
        <f t="shared" si="9"/>
        <v>441.22617484904174</v>
      </c>
      <c r="X20" s="646">
        <f t="shared" si="10"/>
        <v>307.88956100933285</v>
      </c>
    </row>
    <row r="21" spans="3:24">
      <c r="C21" s="58" t="s">
        <v>40</v>
      </c>
      <c r="D21" s="50">
        <v>229128</v>
      </c>
      <c r="E21" s="50">
        <v>8521</v>
      </c>
      <c r="F21" s="50">
        <v>0</v>
      </c>
      <c r="G21" s="50"/>
      <c r="H21" s="50"/>
      <c r="I21" s="50"/>
      <c r="J21" s="50"/>
      <c r="K21" s="50"/>
      <c r="L21" s="50"/>
      <c r="M21" s="50">
        <v>3347105.5714285714</v>
      </c>
      <c r="N21" s="50">
        <v>3907336</v>
      </c>
      <c r="O21" s="50">
        <v>4073579.0354885482</v>
      </c>
      <c r="S21" s="154" t="e">
        <f t="shared" si="5"/>
        <v>#DIV/0!</v>
      </c>
      <c r="T21" s="646" t="e">
        <f t="shared" si="6"/>
        <v>#DIV/0!</v>
      </c>
      <c r="U21" s="645" t="e">
        <f t="shared" si="7"/>
        <v>#DIV/0!</v>
      </c>
      <c r="V21" s="154" t="e">
        <f t="shared" si="8"/>
        <v>#DIV/0!</v>
      </c>
      <c r="W21" s="154" t="e">
        <f t="shared" si="9"/>
        <v>#DIV/0!</v>
      </c>
      <c r="X21" s="646" t="e">
        <f t="shared" si="10"/>
        <v>#DIV/0!</v>
      </c>
    </row>
    <row r="22" spans="3:24">
      <c r="C22" s="58" t="s">
        <v>41</v>
      </c>
      <c r="D22" s="50"/>
      <c r="E22" s="50"/>
      <c r="F22" s="50"/>
      <c r="G22" s="50"/>
      <c r="H22" s="50"/>
      <c r="I22" s="50"/>
      <c r="J22" s="50"/>
      <c r="K22" s="50"/>
      <c r="L22" s="50"/>
      <c r="M22" s="50">
        <v>11399510.539999999</v>
      </c>
      <c r="N22" s="50">
        <v>10546374</v>
      </c>
      <c r="O22" s="50">
        <v>11003808</v>
      </c>
      <c r="S22" s="154" t="e">
        <f t="shared" si="5"/>
        <v>#DIV/0!</v>
      </c>
      <c r="T22" s="646" t="e">
        <f t="shared" si="6"/>
        <v>#DIV/0!</v>
      </c>
      <c r="U22" s="645" t="e">
        <f t="shared" si="7"/>
        <v>#DIV/0!</v>
      </c>
      <c r="V22" s="154" t="e">
        <f t="shared" si="8"/>
        <v>#DIV/0!</v>
      </c>
      <c r="W22" s="154" t="e">
        <f t="shared" si="9"/>
        <v>#DIV/0!</v>
      </c>
      <c r="X22" s="646" t="e">
        <f t="shared" si="10"/>
        <v>#DIV/0!</v>
      </c>
    </row>
    <row r="23" spans="3:24">
      <c r="C23" s="58" t="s">
        <v>42</v>
      </c>
      <c r="D23" s="50">
        <v>335233</v>
      </c>
      <c r="E23" s="50">
        <v>489248</v>
      </c>
      <c r="F23" s="50">
        <v>417600</v>
      </c>
      <c r="G23" s="50"/>
      <c r="H23" s="50"/>
      <c r="I23" s="50"/>
      <c r="J23" s="50"/>
      <c r="K23" s="50"/>
      <c r="L23" s="50"/>
      <c r="M23" s="50"/>
      <c r="N23" s="50"/>
      <c r="O23" s="50"/>
      <c r="S23" s="154">
        <f t="shared" si="5"/>
        <v>-1</v>
      </c>
      <c r="T23" s="646" t="e">
        <f t="shared" si="6"/>
        <v>#DIV/0!</v>
      </c>
      <c r="U23" s="645" t="e">
        <f t="shared" si="7"/>
        <v>#DIV/0!</v>
      </c>
      <c r="V23" s="154" t="e">
        <f t="shared" si="8"/>
        <v>#DIV/0!</v>
      </c>
      <c r="W23" s="154" t="e">
        <f t="shared" si="9"/>
        <v>#DIV/0!</v>
      </c>
      <c r="X23" s="646" t="e">
        <f t="shared" si="10"/>
        <v>#DIV/0!</v>
      </c>
    </row>
    <row r="24" spans="3:24">
      <c r="C24" s="58" t="s">
        <v>43</v>
      </c>
      <c r="D24" s="50">
        <v>168614</v>
      </c>
      <c r="E24" s="50">
        <v>156824</v>
      </c>
      <c r="F24" s="50">
        <v>169253.49999999994</v>
      </c>
      <c r="G24" s="50"/>
      <c r="H24" s="50"/>
      <c r="I24" s="50"/>
      <c r="J24" s="50"/>
      <c r="K24" s="50"/>
      <c r="L24" s="50"/>
      <c r="M24" s="50"/>
      <c r="N24" s="50"/>
      <c r="O24" s="50"/>
      <c r="S24" s="154">
        <f t="shared" si="5"/>
        <v>-1</v>
      </c>
      <c r="T24" s="646" t="e">
        <f t="shared" si="6"/>
        <v>#DIV/0!</v>
      </c>
      <c r="U24" s="645" t="e">
        <f t="shared" si="7"/>
        <v>#DIV/0!</v>
      </c>
      <c r="V24" s="154" t="e">
        <f t="shared" si="8"/>
        <v>#DIV/0!</v>
      </c>
      <c r="W24" s="154" t="e">
        <f t="shared" si="9"/>
        <v>#DIV/0!</v>
      </c>
      <c r="X24" s="646" t="e">
        <f t="shared" si="10"/>
        <v>#DIV/0!</v>
      </c>
    </row>
    <row r="25" spans="3:24">
      <c r="C25" s="58" t="s">
        <v>44</v>
      </c>
      <c r="D25" s="50">
        <v>7019764</v>
      </c>
      <c r="E25" s="50">
        <v>7905382.75</v>
      </c>
      <c r="F25" s="50">
        <v>7006250</v>
      </c>
      <c r="G25" s="50"/>
      <c r="H25" s="50"/>
      <c r="I25" s="50"/>
      <c r="J25" s="50"/>
      <c r="K25" s="50"/>
      <c r="L25" s="50"/>
      <c r="M25" s="50">
        <v>441482</v>
      </c>
      <c r="N25" s="50">
        <v>1474098</v>
      </c>
      <c r="O25" s="50">
        <v>3855100</v>
      </c>
      <c r="S25" s="154">
        <f t="shared" si="5"/>
        <v>-1</v>
      </c>
      <c r="T25" s="646" t="e">
        <f t="shared" si="6"/>
        <v>#DIV/0!</v>
      </c>
      <c r="U25" s="645" t="e">
        <f t="shared" si="7"/>
        <v>#DIV/0!</v>
      </c>
      <c r="V25" s="154" t="e">
        <f>M25/I25-1</f>
        <v>#DIV/0!</v>
      </c>
      <c r="W25" s="154" t="e">
        <f t="shared" si="9"/>
        <v>#DIV/0!</v>
      </c>
      <c r="X25" s="646" t="e">
        <f t="shared" si="10"/>
        <v>#DIV/0!</v>
      </c>
    </row>
    <row r="26" spans="3:24">
      <c r="C26" s="58" t="s">
        <v>45</v>
      </c>
      <c r="D26" s="50"/>
      <c r="E26" s="50">
        <v>238415</v>
      </c>
      <c r="F26" s="50">
        <v>0</v>
      </c>
      <c r="G26" s="50"/>
      <c r="H26" s="50"/>
      <c r="I26" s="50"/>
      <c r="J26" s="50"/>
      <c r="K26" s="50"/>
      <c r="L26" s="50"/>
      <c r="M26" s="50">
        <v>0</v>
      </c>
      <c r="N26" s="50">
        <v>75000</v>
      </c>
      <c r="O26" s="50">
        <v>1680000</v>
      </c>
      <c r="S26" s="154" t="e">
        <f t="shared" si="5"/>
        <v>#DIV/0!</v>
      </c>
      <c r="T26" s="646" t="e">
        <f t="shared" si="6"/>
        <v>#DIV/0!</v>
      </c>
      <c r="U26" s="645" t="e">
        <f t="shared" si="7"/>
        <v>#DIV/0!</v>
      </c>
      <c r="V26" s="154" t="e">
        <f t="shared" si="8"/>
        <v>#DIV/0!</v>
      </c>
      <c r="W26" s="154" t="e">
        <f t="shared" si="9"/>
        <v>#DIV/0!</v>
      </c>
      <c r="X26" s="646" t="e">
        <f t="shared" si="10"/>
        <v>#DIV/0!</v>
      </c>
    </row>
    <row r="27" spans="3:24">
      <c r="C27" s="58" t="s">
        <v>46</v>
      </c>
      <c r="D27" s="50">
        <v>1931563</v>
      </c>
      <c r="E27" s="50">
        <v>2821581</v>
      </c>
      <c r="F27" s="50">
        <v>2142284.1599999997</v>
      </c>
      <c r="G27" s="50"/>
      <c r="H27" s="50"/>
      <c r="I27" s="50"/>
      <c r="J27" s="50"/>
      <c r="K27" s="50"/>
      <c r="L27" s="50"/>
      <c r="M27" s="50"/>
      <c r="N27" s="50"/>
      <c r="O27" s="50"/>
      <c r="S27" s="154">
        <f t="shared" si="5"/>
        <v>-1</v>
      </c>
      <c r="T27" s="646" t="e">
        <f t="shared" si="6"/>
        <v>#DIV/0!</v>
      </c>
      <c r="U27" s="645" t="e">
        <f t="shared" si="7"/>
        <v>#DIV/0!</v>
      </c>
      <c r="V27" s="154" t="e">
        <f t="shared" si="8"/>
        <v>#DIV/0!</v>
      </c>
      <c r="W27" s="154" t="e">
        <f t="shared" si="9"/>
        <v>#DIV/0!</v>
      </c>
      <c r="X27" s="646" t="e">
        <f t="shared" si="10"/>
        <v>#DIV/0!</v>
      </c>
    </row>
    <row r="28" spans="3:24" ht="15.75" thickBot="1">
      <c r="C28" s="58" t="s">
        <v>47</v>
      </c>
      <c r="D28" s="50">
        <v>13325557.4</v>
      </c>
      <c r="E28" s="50">
        <v>16987397.75</v>
      </c>
      <c r="F28" s="50">
        <v>16435756.800000001</v>
      </c>
      <c r="G28" s="50">
        <v>6250817</v>
      </c>
      <c r="H28" s="50">
        <v>8939778.8499999996</v>
      </c>
      <c r="I28" s="50">
        <v>6319194.9251490515</v>
      </c>
      <c r="J28" s="50">
        <v>824660</v>
      </c>
      <c r="K28" s="50">
        <v>507744.4</v>
      </c>
      <c r="L28" s="50">
        <v>628081.91999999969</v>
      </c>
      <c r="M28" s="50">
        <v>88745585.111428559</v>
      </c>
      <c r="N28" s="50">
        <v>88851298.159999996</v>
      </c>
      <c r="O28" s="50">
        <v>90331291.321202829</v>
      </c>
      <c r="S28" s="154">
        <f t="shared" si="5"/>
        <v>-0.94982524930035472</v>
      </c>
      <c r="T28" s="646">
        <f t="shared" si="6"/>
        <v>-0.91877151418766534</v>
      </c>
      <c r="U28" s="645">
        <f t="shared" si="7"/>
        <v>-0.92974301372119517</v>
      </c>
      <c r="V28" s="154">
        <f t="shared" si="8"/>
        <v>13.043811935321067</v>
      </c>
      <c r="W28" s="154">
        <f t="shared" si="9"/>
        <v>106.74294637790119</v>
      </c>
      <c r="X28" s="646">
        <f t="shared" si="10"/>
        <v>176.90701644607569</v>
      </c>
    </row>
    <row r="29" spans="3:24">
      <c r="L29"/>
      <c r="M29"/>
      <c r="N29"/>
      <c r="O29"/>
      <c r="S29" s="154"/>
      <c r="T29" s="154"/>
      <c r="U29" s="154"/>
      <c r="V29" s="154"/>
      <c r="W29" s="154"/>
      <c r="X29" s="154"/>
    </row>
    <row r="30" spans="3:24">
      <c r="C30" s="58"/>
      <c r="D30" s="50"/>
      <c r="E30" s="50"/>
      <c r="F30" s="50"/>
      <c r="G30" s="50"/>
      <c r="H30" s="50"/>
      <c r="I30" s="50"/>
      <c r="J30" s="50"/>
      <c r="K30" s="50"/>
      <c r="L30" s="744"/>
      <c r="M30" s="744"/>
      <c r="N30" s="744"/>
      <c r="O30" s="744"/>
      <c r="Q30" s="154"/>
      <c r="R30" s="154"/>
      <c r="S30" s="154"/>
      <c r="T30" s="154"/>
      <c r="U30" s="154"/>
      <c r="V30" s="154"/>
      <c r="W30" s="154"/>
      <c r="X30" s="154"/>
    </row>
    <row r="31" spans="3:24">
      <c r="C31" s="58"/>
      <c r="D31" s="50"/>
      <c r="E31" s="50"/>
      <c r="F31" s="50"/>
      <c r="G31" s="50"/>
      <c r="H31" s="50"/>
      <c r="I31" s="50"/>
      <c r="J31" s="50"/>
      <c r="K31" s="50"/>
      <c r="L31" s="744"/>
      <c r="M31" s="744"/>
      <c r="N31" s="744"/>
      <c r="O31" s="744"/>
      <c r="Q31" s="154"/>
      <c r="R31" s="154"/>
      <c r="S31" s="154"/>
      <c r="T31" s="154"/>
      <c r="U31" s="154"/>
      <c r="V31" s="154"/>
      <c r="W31" s="154"/>
      <c r="X31" s="154"/>
    </row>
    <row r="32" spans="3:24" ht="14.25" customHeight="1" thickBot="1">
      <c r="C32" s="57" t="s">
        <v>48</v>
      </c>
      <c r="D32" t="s">
        <v>49</v>
      </c>
    </row>
    <row r="33" spans="2:16" ht="15.75" thickBot="1">
      <c r="G33" s="108" t="s">
        <v>12</v>
      </c>
      <c r="H33" s="200"/>
      <c r="I33" s="200"/>
      <c r="J33" s="108" t="s">
        <v>12</v>
      </c>
      <c r="K33" s="254"/>
      <c r="L33" s="772" t="s">
        <v>50</v>
      </c>
      <c r="M33" s="773"/>
      <c r="N33" s="772" t="s">
        <v>51</v>
      </c>
      <c r="O33" s="773"/>
    </row>
    <row r="34" spans="2:16" ht="15.75" thickBot="1">
      <c r="C34" s="57" t="s">
        <v>17</v>
      </c>
      <c r="D34" t="s">
        <v>18</v>
      </c>
      <c r="E34" t="s">
        <v>19</v>
      </c>
      <c r="F34" t="s">
        <v>20</v>
      </c>
      <c r="G34" s="648">
        <v>2024</v>
      </c>
      <c r="H34" s="649">
        <v>2025</v>
      </c>
      <c r="I34" s="649">
        <v>2026</v>
      </c>
      <c r="J34" s="748">
        <v>2025</v>
      </c>
      <c r="K34" s="806">
        <v>2026</v>
      </c>
      <c r="L34" s="748">
        <v>2025</v>
      </c>
      <c r="M34" s="806">
        <v>2026</v>
      </c>
      <c r="N34" s="748">
        <v>25</v>
      </c>
      <c r="O34" s="806">
        <v>26</v>
      </c>
    </row>
    <row r="35" spans="2:16">
      <c r="B35" t="s">
        <v>52</v>
      </c>
      <c r="C35" s="801" t="s">
        <v>23</v>
      </c>
      <c r="D35" s="795">
        <v>25940115</v>
      </c>
      <c r="E35" s="786">
        <v>25174238</v>
      </c>
      <c r="F35" s="796">
        <v>25596140</v>
      </c>
      <c r="G35" s="787" t="e">
        <f>VLOOKUP($C35,#REF!,2,0)</f>
        <v>#REF!</v>
      </c>
      <c r="H35" s="787" t="e">
        <f>VLOOKUP($C35,#REF!,3,0)</f>
        <v>#REF!</v>
      </c>
      <c r="I35" s="788" t="e">
        <f>VLOOKUP($C35,#REF!,4,0)</f>
        <v>#REF!</v>
      </c>
      <c r="J35" s="807" t="e">
        <f t="shared" ref="J35:J57" si="11">H35/G35-1</f>
        <v>#REF!</v>
      </c>
      <c r="K35" s="808" t="e">
        <f t="shared" ref="K35:K57" si="12">I35/H35-1</f>
        <v>#REF!</v>
      </c>
      <c r="L35" s="749">
        <f>E35/D35-1</f>
        <v>-2.9524811281677055E-2</v>
      </c>
      <c r="M35" s="745">
        <f>F35/E35-1</f>
        <v>1.6759275891488734E-2</v>
      </c>
      <c r="N35" s="777" t="e">
        <f>E35/H35-1</f>
        <v>#REF!</v>
      </c>
      <c r="O35" s="778" t="e">
        <f>F35/I35-1</f>
        <v>#REF!</v>
      </c>
      <c r="P35" t="s">
        <v>53</v>
      </c>
    </row>
    <row r="36" spans="2:16">
      <c r="C36" s="802" t="s">
        <v>29</v>
      </c>
      <c r="D36" s="797">
        <v>26390953</v>
      </c>
      <c r="E36" s="783">
        <v>26333888.16</v>
      </c>
      <c r="F36" s="798">
        <v>24125674.285714284</v>
      </c>
      <c r="G36" s="784" t="e">
        <f>VLOOKUP($C36,#REF!,2,0)</f>
        <v>#REF!</v>
      </c>
      <c r="H36" s="784" t="e">
        <f>VLOOKUP($C36,#REF!,3,0)</f>
        <v>#REF!</v>
      </c>
      <c r="I36" s="789" t="e">
        <f>VLOOKUP($C36,#REF!,4,0)</f>
        <v>#REF!</v>
      </c>
      <c r="J36" s="770" t="e">
        <f t="shared" si="11"/>
        <v>#REF!</v>
      </c>
      <c r="K36" s="809" t="e">
        <f t="shared" si="12"/>
        <v>#REF!</v>
      </c>
      <c r="L36" s="750">
        <f>E36/D36-1</f>
        <v>-2.1622879628484526E-3</v>
      </c>
      <c r="M36" s="746">
        <f>F36/E36-1</f>
        <v>-8.3854456313819048E-2</v>
      </c>
      <c r="N36" s="775" t="e">
        <f t="shared" ref="N36:N57" si="13">E36/H36-1</f>
        <v>#REF!</v>
      </c>
      <c r="O36" s="776" t="e">
        <f t="shared" ref="O36:O57" si="14">F36/I36-1</f>
        <v>#REF!</v>
      </c>
    </row>
    <row r="37" spans="2:16" ht="15.75" thickBot="1">
      <c r="B37" s="204"/>
      <c r="C37" s="803" t="s">
        <v>41</v>
      </c>
      <c r="D37" s="799">
        <v>11399510.539999999</v>
      </c>
      <c r="E37" s="790">
        <v>10546374</v>
      </c>
      <c r="F37" s="800">
        <v>11003808</v>
      </c>
      <c r="G37" s="791" t="e">
        <f>VLOOKUP($C37,#REF!,2,0)</f>
        <v>#REF!</v>
      </c>
      <c r="H37" s="791" t="e">
        <f>VLOOKUP($C37,#REF!,3,0)</f>
        <v>#REF!</v>
      </c>
      <c r="I37" s="792" t="e">
        <f>VLOOKUP($C37,#REF!,4,0)</f>
        <v>#REF!</v>
      </c>
      <c r="J37" s="810" t="e">
        <f t="shared" si="11"/>
        <v>#REF!</v>
      </c>
      <c r="K37" s="811" t="e">
        <f t="shared" si="12"/>
        <v>#REF!</v>
      </c>
      <c r="L37" s="751">
        <f>E37/D37-1</f>
        <v>-7.4839751847801672E-2</v>
      </c>
      <c r="M37" s="747">
        <f t="shared" ref="M37:M56" si="15">F37/E37-1</f>
        <v>4.3373580341451889E-2</v>
      </c>
      <c r="N37" s="779" t="e">
        <f t="shared" si="13"/>
        <v>#REF!</v>
      </c>
      <c r="O37" s="780" t="e">
        <f t="shared" si="14"/>
        <v>#REF!</v>
      </c>
      <c r="P37" t="s">
        <v>54</v>
      </c>
    </row>
    <row r="38" spans="2:16">
      <c r="B38" s="204"/>
      <c r="C38" s="793" t="s">
        <v>44</v>
      </c>
      <c r="D38" s="786">
        <v>7461246</v>
      </c>
      <c r="E38" s="786">
        <v>9379480.75</v>
      </c>
      <c r="F38" s="786">
        <v>10861350</v>
      </c>
      <c r="G38" s="784" t="e">
        <f>VLOOKUP($C38,#REF!,2,0)</f>
        <v>#REF!</v>
      </c>
      <c r="H38" s="784" t="e">
        <f>VLOOKUP($C38,#REF!,3,0)</f>
        <v>#REF!</v>
      </c>
      <c r="I38" s="784" t="e">
        <f>VLOOKUP($C38,#REF!,4,0)</f>
        <v>#REF!</v>
      </c>
      <c r="J38" s="812" t="e">
        <f t="shared" si="11"/>
        <v>#REF!</v>
      </c>
      <c r="K38" s="813" t="e">
        <f t="shared" si="12"/>
        <v>#REF!</v>
      </c>
      <c r="L38" s="750">
        <f t="shared" ref="L38:L56" si="16">E38/D38-1</f>
        <v>0.25709308472070225</v>
      </c>
      <c r="M38" s="746">
        <f t="shared" si="15"/>
        <v>0.15799054228028564</v>
      </c>
      <c r="N38" s="750" t="e">
        <f t="shared" si="13"/>
        <v>#REF!</v>
      </c>
      <c r="O38" s="746" t="e">
        <f t="shared" si="14"/>
        <v>#REF!</v>
      </c>
    </row>
    <row r="39" spans="2:16">
      <c r="B39" s="204"/>
      <c r="C39" s="160" t="s">
        <v>39</v>
      </c>
      <c r="D39" s="783">
        <v>4102540</v>
      </c>
      <c r="E39" s="783">
        <v>8204323.3499999996</v>
      </c>
      <c r="F39" s="783">
        <v>6852222.9051490519</v>
      </c>
      <c r="G39" s="784" t="e">
        <f>VLOOKUP($C39,#REF!,2,0)</f>
        <v>#REF!</v>
      </c>
      <c r="H39" s="784" t="e">
        <f>VLOOKUP($C39,#REF!,3,0)</f>
        <v>#REF!</v>
      </c>
      <c r="I39" s="784" t="e">
        <f>VLOOKUP($C39,#REF!,4,0)</f>
        <v>#REF!</v>
      </c>
      <c r="J39" s="812" t="e">
        <f t="shared" si="11"/>
        <v>#REF!</v>
      </c>
      <c r="K39" s="813" t="e">
        <f t="shared" si="12"/>
        <v>#REF!</v>
      </c>
      <c r="L39" s="750">
        <f t="shared" si="16"/>
        <v>0.99981556547894712</v>
      </c>
      <c r="M39" s="746">
        <f t="shared" si="15"/>
        <v>-0.16480340756571321</v>
      </c>
      <c r="N39" s="750" t="e">
        <f t="shared" si="13"/>
        <v>#REF!</v>
      </c>
      <c r="O39" s="746" t="e">
        <f t="shared" si="14"/>
        <v>#REF!</v>
      </c>
    </row>
    <row r="40" spans="2:16">
      <c r="B40" s="204"/>
      <c r="C40" s="160" t="s">
        <v>37</v>
      </c>
      <c r="D40" s="783">
        <v>6560245</v>
      </c>
      <c r="E40" s="783">
        <v>7105048.5</v>
      </c>
      <c r="F40" s="783">
        <v>6048195</v>
      </c>
      <c r="G40" s="784" t="e">
        <f>VLOOKUP($C40,#REF!,2,0)</f>
        <v>#REF!</v>
      </c>
      <c r="H40" s="784" t="e">
        <f>VLOOKUP($C40,#REF!,3,0)</f>
        <v>#REF!</v>
      </c>
      <c r="I40" s="784" t="e">
        <f>VLOOKUP($C40,#REF!,4,0)</f>
        <v>#REF!</v>
      </c>
      <c r="J40" s="812" t="e">
        <f t="shared" si="11"/>
        <v>#REF!</v>
      </c>
      <c r="K40" s="814" t="e">
        <f t="shared" si="12"/>
        <v>#REF!</v>
      </c>
      <c r="L40" s="750">
        <f t="shared" si="16"/>
        <v>8.3046212450907042E-2</v>
      </c>
      <c r="M40" s="746">
        <f t="shared" si="15"/>
        <v>-0.14874683825170232</v>
      </c>
      <c r="N40" s="750" t="e">
        <f t="shared" si="13"/>
        <v>#REF!</v>
      </c>
      <c r="O40" s="746" t="e">
        <f t="shared" si="14"/>
        <v>#REF!</v>
      </c>
    </row>
    <row r="41" spans="2:16" ht="15.75" thickBot="1">
      <c r="B41" s="204"/>
      <c r="C41" s="782" t="s">
        <v>31</v>
      </c>
      <c r="D41" s="790">
        <v>4730331</v>
      </c>
      <c r="E41" s="790">
        <v>4886903</v>
      </c>
      <c r="F41" s="790">
        <v>4799210</v>
      </c>
      <c r="G41" s="784" t="e">
        <f>VLOOKUP($C41,#REF!,2,0)</f>
        <v>#REF!</v>
      </c>
      <c r="H41" s="784" t="e">
        <f>VLOOKUP($C41,#REF!,3,0)</f>
        <v>#REF!</v>
      </c>
      <c r="I41" s="784" t="e">
        <f>VLOOKUP($C41,#REF!,4,0)</f>
        <v>#REF!</v>
      </c>
      <c r="J41" s="770" t="e">
        <f t="shared" si="11"/>
        <v>#REF!</v>
      </c>
      <c r="K41" s="746" t="e">
        <f t="shared" si="12"/>
        <v>#REF!</v>
      </c>
      <c r="L41" s="750">
        <f t="shared" si="16"/>
        <v>3.3099586477140841E-2</v>
      </c>
      <c r="M41" s="746">
        <f t="shared" si="15"/>
        <v>-1.7944493680353335E-2</v>
      </c>
      <c r="N41" s="775" t="e">
        <f t="shared" si="13"/>
        <v>#REF!</v>
      </c>
      <c r="O41" s="776" t="e">
        <f>F41/I41-1</f>
        <v>#REF!</v>
      </c>
    </row>
    <row r="42" spans="2:16" ht="15.75" thickBot="1">
      <c r="B42" s="204"/>
      <c r="C42" s="160" t="s">
        <v>40</v>
      </c>
      <c r="D42" s="783">
        <v>3576233.5714285714</v>
      </c>
      <c r="E42" s="783">
        <v>3915857</v>
      </c>
      <c r="F42" s="783">
        <v>4073579.0354885482</v>
      </c>
      <c r="G42" s="784" t="e">
        <f>VLOOKUP($C42,#REF!,2,0)</f>
        <v>#REF!</v>
      </c>
      <c r="H42" s="784" t="e">
        <f>VLOOKUP($C42,#REF!,3,0)</f>
        <v>#REF!</v>
      </c>
      <c r="I42" s="784" t="e">
        <f>VLOOKUP($C42,#REF!,4,0)</f>
        <v>#REF!</v>
      </c>
      <c r="J42" s="770" t="e">
        <f t="shared" si="11"/>
        <v>#REF!</v>
      </c>
      <c r="K42" s="746" t="e">
        <f t="shared" si="12"/>
        <v>#REF!</v>
      </c>
      <c r="L42" s="750">
        <f t="shared" si="16"/>
        <v>9.496679167847577E-2</v>
      </c>
      <c r="M42" s="746">
        <f t="shared" si="15"/>
        <v>4.027778222967493E-2</v>
      </c>
      <c r="N42" s="750" t="e">
        <f t="shared" si="13"/>
        <v>#REF!</v>
      </c>
      <c r="O42" s="746" t="e">
        <f t="shared" si="14"/>
        <v>#REF!</v>
      </c>
    </row>
    <row r="43" spans="2:16" ht="15.75" thickBot="1">
      <c r="B43" s="204"/>
      <c r="C43" s="804" t="s">
        <v>34</v>
      </c>
      <c r="D43" s="805">
        <v>3277504</v>
      </c>
      <c r="E43" s="805">
        <v>4737327</v>
      </c>
      <c r="F43" s="805">
        <v>3860663.0199999996</v>
      </c>
      <c r="G43" s="784" t="e">
        <f>VLOOKUP($C43,#REF!,2,0)</f>
        <v>#REF!</v>
      </c>
      <c r="H43" s="784" t="e">
        <f>VLOOKUP($C43,#REF!,3,0)</f>
        <v>#REF!</v>
      </c>
      <c r="I43" s="784" t="e">
        <f>VLOOKUP($C43,#REF!,4,0)</f>
        <v>#REF!</v>
      </c>
      <c r="J43" s="770" t="e">
        <f t="shared" si="11"/>
        <v>#REF!</v>
      </c>
      <c r="K43" s="746" t="e">
        <f t="shared" si="12"/>
        <v>#REF!</v>
      </c>
      <c r="L43" s="750">
        <f t="shared" si="16"/>
        <v>0.44540693161625433</v>
      </c>
      <c r="M43" s="746">
        <f t="shared" si="15"/>
        <v>-0.1850545634700751</v>
      </c>
      <c r="N43" s="750" t="e">
        <f t="shared" si="13"/>
        <v>#REF!</v>
      </c>
      <c r="O43" s="746" t="e">
        <f t="shared" si="14"/>
        <v>#REF!</v>
      </c>
    </row>
    <row r="44" spans="2:16">
      <c r="C44" s="160" t="s">
        <v>33</v>
      </c>
      <c r="D44" s="786">
        <v>2872170</v>
      </c>
      <c r="E44" s="786">
        <v>2505530.4</v>
      </c>
      <c r="F44" s="786">
        <v>2858577.6</v>
      </c>
      <c r="G44" s="784" t="e">
        <f>VLOOKUP($C44,#REF!,2,0)</f>
        <v>#REF!</v>
      </c>
      <c r="H44" s="784" t="e">
        <f>VLOOKUP($C44,#REF!,3,0)</f>
        <v>#REF!</v>
      </c>
      <c r="I44" s="784" t="e">
        <f>VLOOKUP($C44,#REF!,4,0)</f>
        <v>#REF!</v>
      </c>
      <c r="J44" s="770" t="e">
        <f t="shared" si="11"/>
        <v>#REF!</v>
      </c>
      <c r="K44" s="746" t="e">
        <f t="shared" si="12"/>
        <v>#REF!</v>
      </c>
      <c r="L44" s="750">
        <f t="shared" si="16"/>
        <v>-0.1276524718244394</v>
      </c>
      <c r="M44" s="746">
        <f t="shared" si="15"/>
        <v>0.14090717079305848</v>
      </c>
      <c r="N44" s="750" t="e">
        <f t="shared" si="13"/>
        <v>#REF!</v>
      </c>
      <c r="O44" s="746" t="e">
        <f t="shared" si="14"/>
        <v>#REF!</v>
      </c>
    </row>
    <row r="45" spans="2:16" ht="15.75" thickBot="1">
      <c r="C45" s="160" t="s">
        <v>36</v>
      </c>
      <c r="D45" s="790">
        <v>3656088</v>
      </c>
      <c r="E45" s="790">
        <v>3863294</v>
      </c>
      <c r="F45" s="790">
        <v>2789300</v>
      </c>
      <c r="G45" s="784" t="e">
        <f>VLOOKUP($C45,#REF!,2,0)</f>
        <v>#REF!</v>
      </c>
      <c r="H45" s="784" t="e">
        <f>VLOOKUP($C45,#REF!,3,0)</f>
        <v>#REF!</v>
      </c>
      <c r="I45" s="784" t="e">
        <f>VLOOKUP($C45,#REF!,4,0)</f>
        <v>#REF!</v>
      </c>
      <c r="J45" s="770" t="e">
        <f t="shared" si="11"/>
        <v>#REF!</v>
      </c>
      <c r="K45" s="746" t="e">
        <f t="shared" si="12"/>
        <v>#REF!</v>
      </c>
      <c r="L45" s="750">
        <f t="shared" si="16"/>
        <v>5.6674237600407906E-2</v>
      </c>
      <c r="M45" s="746">
        <f t="shared" si="15"/>
        <v>-0.27799955167792045</v>
      </c>
      <c r="N45" s="750" t="e">
        <f t="shared" si="13"/>
        <v>#REF!</v>
      </c>
      <c r="O45" s="746" t="e">
        <f t="shared" si="14"/>
        <v>#REF!</v>
      </c>
    </row>
    <row r="46" spans="2:16">
      <c r="C46" s="768" t="s">
        <v>38</v>
      </c>
      <c r="D46" s="769">
        <v>2597792</v>
      </c>
      <c r="E46" s="769">
        <v>1837585</v>
      </c>
      <c r="F46" s="769">
        <v>2241498.1399999992</v>
      </c>
      <c r="G46" s="784" t="e">
        <f>VLOOKUP($C46,#REF!,2,0)</f>
        <v>#REF!</v>
      </c>
      <c r="H46" s="784" t="e">
        <f>VLOOKUP($C46,#REF!,3,0)</f>
        <v>#REF!</v>
      </c>
      <c r="I46" s="784" t="e">
        <f>VLOOKUP($C46,#REF!,4,0)</f>
        <v>#REF!</v>
      </c>
      <c r="J46" s="770" t="e">
        <f t="shared" si="11"/>
        <v>#REF!</v>
      </c>
      <c r="K46" s="746" t="e">
        <f t="shared" si="12"/>
        <v>#REF!</v>
      </c>
      <c r="L46" s="750">
        <f t="shared" si="16"/>
        <v>-0.2926358230374102</v>
      </c>
      <c r="M46" s="746">
        <f t="shared" si="15"/>
        <v>0.21980650690988401</v>
      </c>
      <c r="N46" s="750" t="e">
        <f t="shared" si="13"/>
        <v>#REF!</v>
      </c>
      <c r="O46" s="746" t="e">
        <f t="shared" si="14"/>
        <v>#REF!</v>
      </c>
    </row>
    <row r="47" spans="2:16" ht="15.75" thickBot="1">
      <c r="C47" s="160" t="s">
        <v>46</v>
      </c>
      <c r="D47" s="783">
        <v>1931563</v>
      </c>
      <c r="E47" s="783">
        <v>2821581</v>
      </c>
      <c r="F47" s="783">
        <v>2142284.1599999997</v>
      </c>
      <c r="G47" s="784" t="e">
        <f>VLOOKUP($C47,#REF!,2,0)</f>
        <v>#REF!</v>
      </c>
      <c r="H47" s="784" t="e">
        <f>VLOOKUP($C47,#REF!,3,0)</f>
        <v>#REF!</v>
      </c>
      <c r="I47" s="784" t="e">
        <f>VLOOKUP($C47,#REF!,4,0)</f>
        <v>#REF!</v>
      </c>
      <c r="J47" s="770" t="e">
        <f t="shared" si="11"/>
        <v>#REF!</v>
      </c>
      <c r="K47" s="746" t="e">
        <f t="shared" si="12"/>
        <v>#REF!</v>
      </c>
      <c r="L47" s="750">
        <f t="shared" si="16"/>
        <v>0.46077606580784569</v>
      </c>
      <c r="M47" s="746">
        <f t="shared" si="15"/>
        <v>-0.24075043034383925</v>
      </c>
      <c r="N47" s="750" t="e">
        <f t="shared" si="13"/>
        <v>#REF!</v>
      </c>
      <c r="O47" s="746" t="e">
        <f t="shared" si="14"/>
        <v>#REF!</v>
      </c>
    </row>
    <row r="48" spans="2:16" ht="15.75" thickBot="1">
      <c r="C48" s="160" t="s">
        <v>27</v>
      </c>
      <c r="D48" s="783">
        <v>0</v>
      </c>
      <c r="E48" s="783">
        <v>190000</v>
      </c>
      <c r="F48" s="783">
        <v>1987500</v>
      </c>
      <c r="G48" s="784" t="e">
        <f>VLOOKUP($C48,#REF!,2,0)</f>
        <v>#REF!</v>
      </c>
      <c r="H48" s="784" t="e">
        <f>VLOOKUP($C48,#REF!,3,0)</f>
        <v>#REF!</v>
      </c>
      <c r="I48" s="784" t="e">
        <f>VLOOKUP($C48,#REF!,4,0)</f>
        <v>#REF!</v>
      </c>
      <c r="J48" s="770" t="e">
        <f t="shared" si="11"/>
        <v>#REF!</v>
      </c>
      <c r="K48" s="746" t="e">
        <f t="shared" si="12"/>
        <v>#REF!</v>
      </c>
      <c r="L48" s="750" t="e">
        <f t="shared" si="16"/>
        <v>#DIV/0!</v>
      </c>
      <c r="M48" s="746">
        <f t="shared" si="15"/>
        <v>9.4605263157894743</v>
      </c>
      <c r="N48" s="750" t="e">
        <f t="shared" si="13"/>
        <v>#REF!</v>
      </c>
      <c r="O48" s="746" t="e">
        <f t="shared" si="14"/>
        <v>#REF!</v>
      </c>
    </row>
    <row r="49" spans="2:44" ht="15.75" thickBot="1">
      <c r="C49" s="160" t="s">
        <v>45</v>
      </c>
      <c r="D49" s="805">
        <v>0</v>
      </c>
      <c r="E49" s="805">
        <v>313415</v>
      </c>
      <c r="F49" s="805">
        <v>1680000</v>
      </c>
      <c r="G49" s="815" t="e">
        <f>VLOOKUP($C49,#REF!,2,0)</f>
        <v>#REF!</v>
      </c>
      <c r="H49" s="815" t="e">
        <f>VLOOKUP($C49,#REF!,3,0)</f>
        <v>#REF!</v>
      </c>
      <c r="I49" s="815" t="e">
        <f>VLOOKUP($C49,#REF!,4,0)</f>
        <v>#REF!</v>
      </c>
      <c r="J49" s="770" t="e">
        <f t="shared" si="11"/>
        <v>#REF!</v>
      </c>
      <c r="K49" s="746" t="e">
        <f t="shared" si="12"/>
        <v>#REF!</v>
      </c>
      <c r="L49" s="750" t="e">
        <f t="shared" si="16"/>
        <v>#DIV/0!</v>
      </c>
      <c r="M49" s="746">
        <f t="shared" si="15"/>
        <v>4.3603050268812913</v>
      </c>
      <c r="N49" s="750" t="e">
        <f t="shared" si="13"/>
        <v>#REF!</v>
      </c>
      <c r="O49" s="746" t="e">
        <f t="shared" si="14"/>
        <v>#REF!</v>
      </c>
    </row>
    <row r="50" spans="2:44">
      <c r="C50" s="768" t="s">
        <v>25</v>
      </c>
      <c r="D50" s="769">
        <v>1379868.4</v>
      </c>
      <c r="E50" s="769">
        <v>1197580</v>
      </c>
      <c r="F50" s="769">
        <v>1060263</v>
      </c>
      <c r="G50" s="815" t="e">
        <f>VLOOKUP($C50,#REF!,2,0)</f>
        <v>#REF!</v>
      </c>
      <c r="H50" s="815" t="e">
        <f>VLOOKUP($C50,#REF!,3,0)</f>
        <v>#REF!</v>
      </c>
      <c r="I50" s="815" t="e">
        <f>VLOOKUP($C50,#REF!,4,0)</f>
        <v>#REF!</v>
      </c>
      <c r="J50" s="770" t="e">
        <f t="shared" si="11"/>
        <v>#REF!</v>
      </c>
      <c r="K50" s="746" t="e">
        <f t="shared" si="12"/>
        <v>#REF!</v>
      </c>
      <c r="L50" s="750">
        <f t="shared" si="16"/>
        <v>-0.13210564137855463</v>
      </c>
      <c r="M50" s="746">
        <f t="shared" si="15"/>
        <v>-0.11466206850481808</v>
      </c>
      <c r="N50" s="750" t="e">
        <f t="shared" si="13"/>
        <v>#REF!</v>
      </c>
      <c r="O50" s="746" t="e">
        <f t="shared" si="14"/>
        <v>#REF!</v>
      </c>
    </row>
    <row r="51" spans="2:44">
      <c r="C51" s="160" t="s">
        <v>35</v>
      </c>
      <c r="D51" s="783">
        <v>988955</v>
      </c>
      <c r="E51" s="783">
        <v>741961</v>
      </c>
      <c r="F51" s="783">
        <v>638158</v>
      </c>
      <c r="G51" s="784" t="e">
        <f>VLOOKUP($C51,#REF!,2,0)</f>
        <v>#REF!</v>
      </c>
      <c r="H51" s="784" t="e">
        <f>VLOOKUP($C51,#REF!,3,0)</f>
        <v>#REF!</v>
      </c>
      <c r="I51" s="784" t="e">
        <f>VLOOKUP($C51,#REF!,4,0)</f>
        <v>#REF!</v>
      </c>
      <c r="J51" s="770" t="e">
        <f t="shared" si="11"/>
        <v>#REF!</v>
      </c>
      <c r="K51" s="746" t="e">
        <f t="shared" si="12"/>
        <v>#REF!</v>
      </c>
      <c r="L51" s="750">
        <f t="shared" si="16"/>
        <v>-0.24975251654524222</v>
      </c>
      <c r="M51" s="746">
        <f t="shared" si="15"/>
        <v>-0.13990357983775425</v>
      </c>
      <c r="N51" s="750" t="e">
        <f t="shared" si="13"/>
        <v>#REF!</v>
      </c>
      <c r="O51" s="746" t="e">
        <f t="shared" si="14"/>
        <v>#REF!</v>
      </c>
    </row>
    <row r="52" spans="2:44">
      <c r="C52" s="160" t="s">
        <v>21</v>
      </c>
      <c r="D52" s="783">
        <v>496558</v>
      </c>
      <c r="E52" s="783">
        <v>483586</v>
      </c>
      <c r="F52" s="783">
        <v>526240</v>
      </c>
      <c r="G52" s="784" t="e">
        <f>VLOOKUP($C52,#REF!,2,0)</f>
        <v>#REF!</v>
      </c>
      <c r="H52" s="784" t="e">
        <f>VLOOKUP($C52,#REF!,3,0)</f>
        <v>#REF!</v>
      </c>
      <c r="I52" s="784" t="e">
        <f>VLOOKUP($C52,#REF!,4,0)</f>
        <v>#REF!</v>
      </c>
      <c r="J52" s="770" t="e">
        <f t="shared" si="11"/>
        <v>#REF!</v>
      </c>
      <c r="K52" s="746" t="e">
        <f t="shared" si="12"/>
        <v>#REF!</v>
      </c>
      <c r="L52" s="750">
        <f t="shared" si="16"/>
        <v>-2.6123836490399954E-2</v>
      </c>
      <c r="M52" s="746">
        <f t="shared" si="15"/>
        <v>8.8203546008362554E-2</v>
      </c>
      <c r="N52" s="750" t="e">
        <f t="shared" si="13"/>
        <v>#REF!</v>
      </c>
      <c r="O52" s="746" t="e">
        <f t="shared" si="14"/>
        <v>#REF!</v>
      </c>
    </row>
    <row r="53" spans="2:44">
      <c r="C53" s="160" t="s">
        <v>42</v>
      </c>
      <c r="D53" s="783">
        <v>335233</v>
      </c>
      <c r="E53" s="783">
        <v>489248</v>
      </c>
      <c r="F53" s="783">
        <v>417600</v>
      </c>
      <c r="G53" s="784" t="e">
        <f>VLOOKUP($C53,#REF!,2,0)</f>
        <v>#REF!</v>
      </c>
      <c r="H53" s="784" t="e">
        <f>VLOOKUP($C53,#REF!,3,0)</f>
        <v>#REF!</v>
      </c>
      <c r="I53" s="784" t="e">
        <f>VLOOKUP($C53,#REF!,4,0)</f>
        <v>#REF!</v>
      </c>
      <c r="J53" s="770" t="e">
        <f t="shared" si="11"/>
        <v>#REF!</v>
      </c>
      <c r="K53" s="746" t="e">
        <f t="shared" si="12"/>
        <v>#REF!</v>
      </c>
      <c r="L53" s="750">
        <f t="shared" si="16"/>
        <v>0.45942672708235754</v>
      </c>
      <c r="M53" s="746">
        <f t="shared" si="15"/>
        <v>-0.14644515664857083</v>
      </c>
      <c r="N53" s="750" t="e">
        <f t="shared" si="13"/>
        <v>#REF!</v>
      </c>
      <c r="O53" s="746" t="e">
        <f t="shared" si="14"/>
        <v>#REF!</v>
      </c>
    </row>
    <row r="54" spans="2:44">
      <c r="C54" s="160" t="s">
        <v>30</v>
      </c>
      <c r="D54" s="783">
        <v>414132</v>
      </c>
      <c r="E54" s="783">
        <v>472047</v>
      </c>
      <c r="F54" s="783">
        <v>338000</v>
      </c>
      <c r="G54" s="784" t="e">
        <f>VLOOKUP($C54,#REF!,2,0)</f>
        <v>#REF!</v>
      </c>
      <c r="H54" s="784" t="e">
        <f>VLOOKUP($C54,#REF!,3,0)</f>
        <v>#REF!</v>
      </c>
      <c r="I54" s="784" t="e">
        <f>VLOOKUP($C54,#REF!,4,0)</f>
        <v>#REF!</v>
      </c>
      <c r="J54" s="770" t="e">
        <f t="shared" si="11"/>
        <v>#REF!</v>
      </c>
      <c r="K54" s="746" t="e">
        <f t="shared" si="12"/>
        <v>#REF!</v>
      </c>
      <c r="L54" s="750">
        <f t="shared" si="16"/>
        <v>0.13984671553997274</v>
      </c>
      <c r="M54" s="746">
        <f t="shared" si="15"/>
        <v>-0.28396960472156374</v>
      </c>
      <c r="N54" s="750" t="e">
        <f t="shared" si="13"/>
        <v>#REF!</v>
      </c>
      <c r="O54" s="746" t="e">
        <f t="shared" si="14"/>
        <v>#REF!</v>
      </c>
    </row>
    <row r="55" spans="2:44">
      <c r="C55" s="160" t="s">
        <v>32</v>
      </c>
      <c r="D55" s="783">
        <v>1557226</v>
      </c>
      <c r="E55" s="783">
        <v>429288</v>
      </c>
      <c r="F55" s="783">
        <v>210808.31999999969</v>
      </c>
      <c r="G55" s="784" t="e">
        <f>VLOOKUP($C55,#REF!,2,0)</f>
        <v>#REF!</v>
      </c>
      <c r="H55" s="784" t="e">
        <f>VLOOKUP($C55,#REF!,3,0)</f>
        <v>#REF!</v>
      </c>
      <c r="I55" s="784" t="e">
        <f>VLOOKUP($C55,#REF!,4,0)</f>
        <v>#REF!</v>
      </c>
      <c r="J55" s="770" t="e">
        <f t="shared" si="11"/>
        <v>#REF!</v>
      </c>
      <c r="K55" s="746" t="e">
        <f t="shared" si="12"/>
        <v>#REF!</v>
      </c>
      <c r="L55" s="750">
        <f t="shared" si="16"/>
        <v>-0.72432517823360265</v>
      </c>
      <c r="M55" s="746">
        <f t="shared" si="15"/>
        <v>-0.50893498071224985</v>
      </c>
      <c r="N55" s="750" t="e">
        <f t="shared" si="13"/>
        <v>#REF!</v>
      </c>
      <c r="O55" s="746" t="e">
        <f t="shared" si="14"/>
        <v>#REF!</v>
      </c>
    </row>
    <row r="56" spans="2:44">
      <c r="C56" s="160" t="s">
        <v>43</v>
      </c>
      <c r="D56" s="783">
        <v>168614</v>
      </c>
      <c r="E56" s="783">
        <v>156824</v>
      </c>
      <c r="F56" s="783">
        <v>169253.49999999994</v>
      </c>
      <c r="G56" s="784" t="e">
        <f>VLOOKUP($C56,#REF!,2,0)</f>
        <v>#REF!</v>
      </c>
      <c r="H56" s="784" t="e">
        <f>VLOOKUP($C56,#REF!,3,0)</f>
        <v>#REF!</v>
      </c>
      <c r="I56" s="784" t="e">
        <f>VLOOKUP($C56,#REF!,4,0)</f>
        <v>#REF!</v>
      </c>
      <c r="J56" s="770" t="e">
        <f t="shared" si="11"/>
        <v>#REF!</v>
      </c>
      <c r="K56" s="746" t="e">
        <f t="shared" si="12"/>
        <v>#REF!</v>
      </c>
      <c r="L56" s="750">
        <f t="shared" si="16"/>
        <v>-6.9923019440853107E-2</v>
      </c>
      <c r="M56" s="746">
        <f t="shared" si="15"/>
        <v>7.9257639136866453E-2</v>
      </c>
      <c r="N56" s="750" t="e">
        <f t="shared" si="13"/>
        <v>#REF!</v>
      </c>
      <c r="O56" s="746" t="e">
        <f t="shared" si="14"/>
        <v>#REF!</v>
      </c>
    </row>
    <row r="57" spans="2:44" ht="15.75" thickBot="1">
      <c r="C57" s="58" t="s">
        <v>47</v>
      </c>
      <c r="D57" s="50">
        <v>109836877.51142856</v>
      </c>
      <c r="E57" s="50">
        <v>115785379.16</v>
      </c>
      <c r="F57" s="50">
        <v>114280324.96635188</v>
      </c>
      <c r="G57" s="112" t="e">
        <f>SUM(G35:G56)</f>
        <v>#REF!</v>
      </c>
      <c r="H57" s="112" t="e">
        <f>SUM(H35:H56)</f>
        <v>#REF!</v>
      </c>
      <c r="I57" s="112" t="e">
        <f>SUM(I35:I56)</f>
        <v>#REF!</v>
      </c>
      <c r="J57" s="810" t="e">
        <f t="shared" si="11"/>
        <v>#REF!</v>
      </c>
      <c r="K57" s="747" t="e">
        <f t="shared" si="12"/>
        <v>#REF!</v>
      </c>
      <c r="L57" s="751">
        <f t="shared" ref="L57" si="17">E57/D57-1</f>
        <v>5.4157599736504691E-2</v>
      </c>
      <c r="M57" s="747">
        <f t="shared" ref="M57" si="18">F57/E57-1</f>
        <v>-1.2998654964616274E-2</v>
      </c>
      <c r="N57" s="751" t="e">
        <f t="shared" si="13"/>
        <v>#REF!</v>
      </c>
      <c r="O57" s="747" t="e">
        <f t="shared" si="14"/>
        <v>#REF!</v>
      </c>
    </row>
    <row r="58" spans="2:44">
      <c r="C58" s="58"/>
      <c r="D58" s="50"/>
      <c r="E58" s="50"/>
      <c r="F58" s="50"/>
      <c r="G58" s="647"/>
      <c r="H58" s="112"/>
      <c r="I58" s="112"/>
    </row>
    <row r="59" spans="2:44">
      <c r="G59" s="647"/>
      <c r="H59" s="647"/>
      <c r="I59" s="647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</row>
    <row r="60" spans="2:44" ht="14.25" customHeight="1" thickBot="1">
      <c r="C60" s="57" t="s">
        <v>48</v>
      </c>
      <c r="D60" t="s">
        <v>55</v>
      </c>
    </row>
    <row r="61" spans="2:44" ht="15.75" thickBot="1">
      <c r="G61" s="108" t="s">
        <v>12</v>
      </c>
      <c r="H61" s="200"/>
      <c r="I61" s="200"/>
      <c r="J61" s="108" t="s">
        <v>12</v>
      </c>
      <c r="K61" s="254"/>
      <c r="L61" s="772" t="s">
        <v>50</v>
      </c>
      <c r="M61" s="773"/>
      <c r="N61" s="772" t="s">
        <v>51</v>
      </c>
      <c r="O61" s="773"/>
    </row>
    <row r="62" spans="2:44">
      <c r="C62" s="57" t="s">
        <v>17</v>
      </c>
      <c r="D62" t="s">
        <v>18</v>
      </c>
      <c r="E62" t="s">
        <v>19</v>
      </c>
      <c r="F62" t="s">
        <v>20</v>
      </c>
      <c r="G62" s="648">
        <v>2024</v>
      </c>
      <c r="H62" s="649">
        <v>2025</v>
      </c>
      <c r="I62" s="649">
        <v>2026</v>
      </c>
      <c r="J62" s="648">
        <v>2025</v>
      </c>
      <c r="K62" s="650">
        <v>2026</v>
      </c>
      <c r="L62" s="648">
        <v>2025</v>
      </c>
      <c r="M62" s="650">
        <v>2026</v>
      </c>
      <c r="N62" s="648">
        <v>25</v>
      </c>
      <c r="O62" s="650">
        <v>26</v>
      </c>
    </row>
    <row r="63" spans="2:44">
      <c r="B63" t="s">
        <v>13</v>
      </c>
      <c r="C63" s="160" t="s">
        <v>23</v>
      </c>
      <c r="D63" s="783">
        <v>220972.61415379823</v>
      </c>
      <c r="E63" s="783">
        <v>216373.91977823206</v>
      </c>
      <c r="F63" s="783">
        <v>218079.11280000006</v>
      </c>
      <c r="G63" s="784" t="e">
        <f>VLOOKUP($C63,#REF!,5,0)</f>
        <v>#REF!</v>
      </c>
      <c r="H63" s="784" t="e">
        <f>VLOOKUP($C63,#REF!,6,0)</f>
        <v>#REF!</v>
      </c>
      <c r="I63" s="784" t="e">
        <f>VLOOKUP($C63,#REF!,7,0)</f>
        <v>#REF!</v>
      </c>
      <c r="J63" s="154" t="e">
        <f t="shared" ref="J63:J85" si="19">H63/G63-1</f>
        <v>#REF!</v>
      </c>
      <c r="K63" s="781" t="e">
        <f t="shared" ref="K63:K85" si="20">I63/H63-1</f>
        <v>#REF!</v>
      </c>
      <c r="L63" s="750">
        <f>E63/D63-1</f>
        <v>-2.0811150708320181E-2</v>
      </c>
      <c r="M63" s="746">
        <f>F63/E63-1</f>
        <v>7.8807696579870079E-3</v>
      </c>
      <c r="N63" s="775" t="e">
        <f>E63/H63-1</f>
        <v>#REF!</v>
      </c>
      <c r="O63" s="776" t="e">
        <f>F63/I63-1</f>
        <v>#REF!</v>
      </c>
      <c r="P63" t="s">
        <v>56</v>
      </c>
    </row>
    <row r="64" spans="2:44" ht="15.75" thickBot="1">
      <c r="C64" s="160" t="s">
        <v>29</v>
      </c>
      <c r="D64" s="783">
        <v>99782.115143616</v>
      </c>
      <c r="E64" s="783">
        <v>99621.005407818229</v>
      </c>
      <c r="F64" s="783">
        <v>91323.976403382854</v>
      </c>
      <c r="G64" s="784" t="e">
        <f>VLOOKUP($C64,#REF!,5,0)</f>
        <v>#REF!</v>
      </c>
      <c r="H64" s="784" t="e">
        <f>VLOOKUP($C64,#REF!,6,0)</f>
        <v>#REF!</v>
      </c>
      <c r="I64" s="784" t="e">
        <f>VLOOKUP($C64,#REF!,7,0)</f>
        <v>#REF!</v>
      </c>
      <c r="J64" s="154" t="e">
        <f t="shared" si="19"/>
        <v>#REF!</v>
      </c>
      <c r="K64" s="781" t="e">
        <f t="shared" si="20"/>
        <v>#REF!</v>
      </c>
      <c r="L64" s="750">
        <f t="shared" ref="L64:L84" si="21">E64/D64-1</f>
        <v>-1.6146153603366908E-3</v>
      </c>
      <c r="M64" s="746">
        <f t="shared" ref="M64:M84" si="22">F64/E64-1</f>
        <v>-8.3285939250159702E-2</v>
      </c>
      <c r="N64" s="775" t="e">
        <f t="shared" ref="N64:N84" si="23">E64/H64-1</f>
        <v>#REF!</v>
      </c>
      <c r="O64" s="776" t="e">
        <f t="shared" ref="O64:O84" si="24">F64/I64-1</f>
        <v>#REF!</v>
      </c>
    </row>
    <row r="65" spans="2:16" ht="15.75" thickBot="1">
      <c r="B65" s="204"/>
      <c r="C65" s="804" t="s">
        <v>31</v>
      </c>
      <c r="D65" s="805">
        <v>42644.848848000009</v>
      </c>
      <c r="E65" s="805">
        <v>44175.708672000001</v>
      </c>
      <c r="F65" s="805">
        <v>43382.99794691016</v>
      </c>
      <c r="G65" s="784" t="e">
        <f>VLOOKUP($C65,#REF!,5,0)</f>
        <v>#REF!</v>
      </c>
      <c r="H65" s="784" t="e">
        <f>VLOOKUP($C65,#REF!,6,0)</f>
        <v>#REF!</v>
      </c>
      <c r="I65" s="784" t="e">
        <f>VLOOKUP($C65,#REF!,7,0)</f>
        <v>#REF!</v>
      </c>
      <c r="J65" s="154" t="e">
        <f t="shared" si="19"/>
        <v>#REF!</v>
      </c>
      <c r="K65" s="646" t="e">
        <f t="shared" si="20"/>
        <v>#REF!</v>
      </c>
      <c r="L65" s="750">
        <f t="shared" si="21"/>
        <v>3.5897883691802246E-2</v>
      </c>
      <c r="M65" s="746">
        <f t="shared" si="22"/>
        <v>-1.7944493680353446E-2</v>
      </c>
      <c r="N65" s="775" t="e">
        <f t="shared" si="23"/>
        <v>#REF!</v>
      </c>
      <c r="O65" s="817" t="e">
        <f>F65/I65-1</f>
        <v>#REF!</v>
      </c>
    </row>
    <row r="66" spans="2:16" ht="15.75" thickBot="1">
      <c r="B66" s="204"/>
      <c r="C66" s="160" t="s">
        <v>41</v>
      </c>
      <c r="D66" s="783">
        <v>42779.711747359994</v>
      </c>
      <c r="E66" s="783">
        <v>39342.717344703997</v>
      </c>
      <c r="F66" s="783">
        <v>41137.308168191994</v>
      </c>
      <c r="G66" s="784" t="e">
        <f>VLOOKUP($C66,#REF!,5,0)</f>
        <v>#REF!</v>
      </c>
      <c r="H66" s="784" t="e">
        <f>VLOOKUP($C66,#REF!,6,0)</f>
        <v>#REF!</v>
      </c>
      <c r="I66" s="784" t="e">
        <f>VLOOKUP($C66,#REF!,7,0)</f>
        <v>#REF!</v>
      </c>
      <c r="J66" s="154" t="e">
        <f t="shared" si="19"/>
        <v>#REF!</v>
      </c>
      <c r="K66" s="646" t="e">
        <f t="shared" si="20"/>
        <v>#REF!</v>
      </c>
      <c r="L66" s="750">
        <f t="shared" si="21"/>
        <v>-8.0341691476406463E-2</v>
      </c>
      <c r="M66" s="746">
        <f t="shared" si="22"/>
        <v>4.5614307922977604E-2</v>
      </c>
      <c r="N66" s="750" t="e">
        <f t="shared" si="23"/>
        <v>#REF!</v>
      </c>
      <c r="O66" s="746" t="e">
        <f t="shared" si="24"/>
        <v>#REF!</v>
      </c>
      <c r="P66" t="s">
        <v>57</v>
      </c>
    </row>
    <row r="67" spans="2:16">
      <c r="B67" s="204"/>
      <c r="C67" s="793" t="s">
        <v>39</v>
      </c>
      <c r="D67" s="786">
        <v>20656.302473999993</v>
      </c>
      <c r="E67" s="786">
        <v>41838.211464899992</v>
      </c>
      <c r="F67" s="786">
        <v>34943.131649029587</v>
      </c>
      <c r="G67" s="784" t="e">
        <f>VLOOKUP($C67,#REF!,5,0)</f>
        <v>#REF!</v>
      </c>
      <c r="H67" s="784" t="e">
        <f>VLOOKUP($C67,#REF!,6,0)</f>
        <v>#REF!</v>
      </c>
      <c r="I67" s="784" t="e">
        <f>VLOOKUP($C67,#REF!,7,0)</f>
        <v>#REF!</v>
      </c>
      <c r="J67" s="154" t="e">
        <f t="shared" si="19"/>
        <v>#REF!</v>
      </c>
      <c r="K67" s="646" t="e">
        <f t="shared" si="20"/>
        <v>#REF!</v>
      </c>
      <c r="L67" s="750">
        <f t="shared" si="21"/>
        <v>1.0254453340602261</v>
      </c>
      <c r="M67" s="746">
        <f t="shared" si="22"/>
        <v>-0.1648034075657131</v>
      </c>
      <c r="N67" s="750" t="e">
        <f t="shared" si="23"/>
        <v>#REF!</v>
      </c>
      <c r="O67" s="746" t="e">
        <f t="shared" si="24"/>
        <v>#REF!</v>
      </c>
    </row>
    <row r="68" spans="2:16">
      <c r="B68" s="204"/>
      <c r="C68" s="160" t="s">
        <v>44</v>
      </c>
      <c r="D68" s="783">
        <v>24920.026256000001</v>
      </c>
      <c r="E68" s="783">
        <v>29634.509844000004</v>
      </c>
      <c r="F68" s="783">
        <v>33730.2912</v>
      </c>
      <c r="G68" s="784" t="e">
        <f>VLOOKUP($C68,#REF!,5,0)</f>
        <v>#REF!</v>
      </c>
      <c r="H68" s="784" t="e">
        <f>VLOOKUP($C68,#REF!,6,0)</f>
        <v>#REF!</v>
      </c>
      <c r="I68" s="784" t="e">
        <f>VLOOKUP($C68,#REF!,7,0)</f>
        <v>#REF!</v>
      </c>
      <c r="J68" s="154" t="e">
        <f t="shared" si="19"/>
        <v>#REF!</v>
      </c>
      <c r="K68" s="646" t="e">
        <f t="shared" si="20"/>
        <v>#REF!</v>
      </c>
      <c r="L68" s="750">
        <f t="shared" si="21"/>
        <v>0.18918453534393431</v>
      </c>
      <c r="M68" s="746">
        <f t="shared" si="22"/>
        <v>0.13820985660166918</v>
      </c>
      <c r="N68" s="750" t="e">
        <f t="shared" si="23"/>
        <v>#REF!</v>
      </c>
      <c r="O68" s="746" t="e">
        <f t="shared" si="24"/>
        <v>#REF!</v>
      </c>
    </row>
    <row r="69" spans="2:16" ht="15.75" thickBot="1">
      <c r="B69" s="204"/>
      <c r="C69" s="782" t="s">
        <v>37</v>
      </c>
      <c r="D69" s="790">
        <v>16214.983183999997</v>
      </c>
      <c r="E69" s="790">
        <v>16475.198422000001</v>
      </c>
      <c r="F69" s="790">
        <v>16334.090856000003</v>
      </c>
      <c r="G69" s="784" t="e">
        <f>VLOOKUP($C69,#REF!,5,0)</f>
        <v>#REF!</v>
      </c>
      <c r="H69" s="784" t="e">
        <f>VLOOKUP($C69,#REF!,6,0)</f>
        <v>#REF!</v>
      </c>
      <c r="I69" s="784" t="e">
        <f>VLOOKUP($C69,#REF!,7,0)</f>
        <v>#REF!</v>
      </c>
      <c r="J69" s="785" t="e">
        <f t="shared" si="19"/>
        <v>#REF!</v>
      </c>
      <c r="K69" s="794" t="e">
        <f t="shared" si="20"/>
        <v>#REF!</v>
      </c>
      <c r="L69" s="750">
        <f t="shared" si="21"/>
        <v>1.6047826571708557E-2</v>
      </c>
      <c r="M69" s="746">
        <f t="shared" si="22"/>
        <v>-8.5648477417772373E-3</v>
      </c>
      <c r="N69" s="750" t="e">
        <f t="shared" si="23"/>
        <v>#REF!</v>
      </c>
      <c r="O69" s="746" t="e">
        <f t="shared" si="24"/>
        <v>#REF!</v>
      </c>
    </row>
    <row r="70" spans="2:16" ht="15.75" thickBot="1">
      <c r="B70" s="204"/>
      <c r="C70" s="160" t="s">
        <v>40</v>
      </c>
      <c r="D70" s="783">
        <v>13962.233004086856</v>
      </c>
      <c r="E70" s="783">
        <v>13166.549432</v>
      </c>
      <c r="F70" s="783">
        <v>14505.104270288664</v>
      </c>
      <c r="G70" s="784" t="e">
        <f>VLOOKUP($C70,#REF!,5,0)</f>
        <v>#REF!</v>
      </c>
      <c r="H70" s="784" t="e">
        <f>VLOOKUP($C70,#REF!,6,0)</f>
        <v>#REF!</v>
      </c>
      <c r="I70" s="784" t="e">
        <f>VLOOKUP($C70,#REF!,7,0)</f>
        <v>#REF!</v>
      </c>
      <c r="J70" s="154" t="e">
        <f t="shared" si="19"/>
        <v>#REF!</v>
      </c>
      <c r="K70" s="646" t="e">
        <f t="shared" si="20"/>
        <v>#REF!</v>
      </c>
      <c r="L70" s="750">
        <f t="shared" si="21"/>
        <v>-5.6988274859326116E-2</v>
      </c>
      <c r="M70" s="746">
        <f t="shared" si="22"/>
        <v>0.10166329798112783</v>
      </c>
      <c r="N70" s="750" t="e">
        <f t="shared" si="23"/>
        <v>#REF!</v>
      </c>
      <c r="O70" s="746" t="e">
        <f t="shared" si="24"/>
        <v>#REF!</v>
      </c>
    </row>
    <row r="71" spans="2:16" ht="15.75" thickBot="1">
      <c r="B71" s="204"/>
      <c r="C71" s="160" t="s">
        <v>33</v>
      </c>
      <c r="D71" s="805">
        <v>11712.022361375999</v>
      </c>
      <c r="E71" s="805">
        <v>11309.7790733088</v>
      </c>
      <c r="F71" s="805">
        <v>13780.963367423999</v>
      </c>
      <c r="G71" s="784" t="e">
        <f>VLOOKUP($C71,#REF!,5,0)</f>
        <v>#REF!</v>
      </c>
      <c r="H71" s="784" t="e">
        <f>VLOOKUP($C71,#REF!,6,0)</f>
        <v>#REF!</v>
      </c>
      <c r="I71" s="784" t="e">
        <f>VLOOKUP($C71,#REF!,7,0)</f>
        <v>#REF!</v>
      </c>
      <c r="J71" s="154" t="e">
        <f t="shared" si="19"/>
        <v>#REF!</v>
      </c>
      <c r="K71" s="646" t="e">
        <f t="shared" si="20"/>
        <v>#REF!</v>
      </c>
      <c r="L71" s="750">
        <f t="shared" si="21"/>
        <v>-3.4344477465627077E-2</v>
      </c>
      <c r="M71" s="746">
        <f t="shared" si="22"/>
        <v>0.21849978484082144</v>
      </c>
      <c r="N71" s="750" t="e">
        <f t="shared" si="23"/>
        <v>#REF!</v>
      </c>
      <c r="O71" s="746" t="e">
        <f t="shared" si="24"/>
        <v>#REF!</v>
      </c>
      <c r="P71" t="s">
        <v>58</v>
      </c>
    </row>
    <row r="72" spans="2:16">
      <c r="C72" s="768" t="s">
        <v>38</v>
      </c>
      <c r="D72" s="769">
        <v>7677.9930780000004</v>
      </c>
      <c r="E72" s="769">
        <v>7169.9071089999998</v>
      </c>
      <c r="F72" s="769">
        <v>10571.862102759998</v>
      </c>
      <c r="G72" s="784" t="e">
        <f>VLOOKUP($C72,#REF!,5,0)</f>
        <v>#REF!</v>
      </c>
      <c r="H72" s="784" t="e">
        <f>VLOOKUP($C72,#REF!,6,0)</f>
        <v>#REF!</v>
      </c>
      <c r="I72" s="784" t="e">
        <f>VLOOKUP($C72,#REF!,7,0)</f>
        <v>#REF!</v>
      </c>
      <c r="J72" s="785" t="e">
        <f t="shared" si="19"/>
        <v>#REF!</v>
      </c>
      <c r="K72" s="794" t="e">
        <f t="shared" si="20"/>
        <v>#REF!</v>
      </c>
      <c r="L72" s="750">
        <f t="shared" si="21"/>
        <v>-6.6174319752362876E-2</v>
      </c>
      <c r="M72" s="746">
        <f t="shared" si="22"/>
        <v>0.47447685751600699</v>
      </c>
      <c r="N72" s="750" t="e">
        <f t="shared" si="23"/>
        <v>#REF!</v>
      </c>
      <c r="O72" s="746" t="e">
        <f t="shared" si="24"/>
        <v>#REF!</v>
      </c>
      <c r="P72" t="s">
        <v>59</v>
      </c>
    </row>
    <row r="73" spans="2:16" ht="15.75" thickBot="1">
      <c r="C73" s="160" t="s">
        <v>27</v>
      </c>
      <c r="D73" s="783">
        <v>0</v>
      </c>
      <c r="E73" s="783">
        <v>911.99999999999989</v>
      </c>
      <c r="F73" s="783">
        <v>9540</v>
      </c>
      <c r="G73" s="784" t="e">
        <f>VLOOKUP($C73,#REF!,5,0)</f>
        <v>#REF!</v>
      </c>
      <c r="H73" s="784" t="e">
        <f>VLOOKUP($C73,#REF!,6,0)</f>
        <v>#REF!</v>
      </c>
      <c r="I73" s="784" t="e">
        <f>VLOOKUP($C73,#REF!,7,0)</f>
        <v>#REF!</v>
      </c>
      <c r="J73" s="154" t="e">
        <f t="shared" si="19"/>
        <v>#REF!</v>
      </c>
      <c r="K73" s="646" t="e">
        <f t="shared" si="20"/>
        <v>#REF!</v>
      </c>
      <c r="L73" s="750" t="e">
        <f t="shared" si="21"/>
        <v>#DIV/0!</v>
      </c>
      <c r="M73" s="746">
        <f t="shared" si="22"/>
        <v>9.4605263157894743</v>
      </c>
      <c r="N73" s="750" t="e">
        <f t="shared" si="23"/>
        <v>#REF!</v>
      </c>
      <c r="O73" s="746" t="e">
        <f t="shared" si="24"/>
        <v>#REF!</v>
      </c>
    </row>
    <row r="74" spans="2:16" ht="15.75" thickBot="1">
      <c r="C74" s="160" t="s">
        <v>36</v>
      </c>
      <c r="D74" s="805">
        <v>12757.565884</v>
      </c>
      <c r="E74" s="805">
        <v>13526.835671999997</v>
      </c>
      <c r="F74" s="805">
        <v>9353.5933770491811</v>
      </c>
      <c r="G74" s="784" t="e">
        <f>VLOOKUP($C74,#REF!,5,0)</f>
        <v>#REF!</v>
      </c>
      <c r="H74" s="784" t="e">
        <f>VLOOKUP($C74,#REF!,6,0)</f>
        <v>#REF!</v>
      </c>
      <c r="I74" s="784" t="e">
        <f>VLOOKUP($C74,#REF!,7,0)</f>
        <v>#REF!</v>
      </c>
      <c r="J74" s="154" t="e">
        <f t="shared" si="19"/>
        <v>#REF!</v>
      </c>
      <c r="K74" s="646" t="e">
        <f t="shared" si="20"/>
        <v>#REF!</v>
      </c>
      <c r="L74" s="750">
        <f t="shared" si="21"/>
        <v>6.0299103684409161E-2</v>
      </c>
      <c r="M74" s="746">
        <f t="shared" si="22"/>
        <v>-0.30851578271104885</v>
      </c>
      <c r="N74" s="750" t="e">
        <f t="shared" si="23"/>
        <v>#REF!</v>
      </c>
      <c r="O74" s="746" t="e">
        <f t="shared" si="24"/>
        <v>#REF!</v>
      </c>
    </row>
    <row r="75" spans="2:16" ht="15.75" thickBot="1">
      <c r="C75" s="804" t="s">
        <v>34</v>
      </c>
      <c r="D75" s="805">
        <v>11553.296100000009</v>
      </c>
      <c r="E75" s="805">
        <v>10422.617143777778</v>
      </c>
      <c r="F75" s="805">
        <v>8266.1758323599988</v>
      </c>
      <c r="G75" s="815" t="e">
        <f>VLOOKUP($C75,#REF!,5,0)</f>
        <v>#REF!</v>
      </c>
      <c r="H75" s="815" t="e">
        <f>VLOOKUP($C75,#REF!,6,0)</f>
        <v>#REF!</v>
      </c>
      <c r="I75" s="815" t="e">
        <f>VLOOKUP($C75,#REF!,7,0)</f>
        <v>#REF!</v>
      </c>
      <c r="J75" s="154" t="e">
        <f t="shared" si="19"/>
        <v>#REF!</v>
      </c>
      <c r="K75" s="646" t="e">
        <f t="shared" si="20"/>
        <v>#REF!</v>
      </c>
      <c r="L75" s="750">
        <f t="shared" si="21"/>
        <v>-9.786635315459713E-2</v>
      </c>
      <c r="M75" s="746">
        <f t="shared" si="22"/>
        <v>-0.20690017503954439</v>
      </c>
      <c r="N75" s="750" t="e">
        <f t="shared" si="23"/>
        <v>#REF!</v>
      </c>
      <c r="O75" s="746" t="e">
        <f t="shared" si="24"/>
        <v>#REF!</v>
      </c>
    </row>
    <row r="76" spans="2:16" ht="15.75" thickBot="1">
      <c r="C76" s="160" t="s">
        <v>45</v>
      </c>
      <c r="D76" s="805">
        <v>0</v>
      </c>
      <c r="E76" s="805">
        <v>1038.0304799999999</v>
      </c>
      <c r="F76" s="805">
        <v>5564.1600000000008</v>
      </c>
      <c r="G76" s="784" t="e">
        <f>VLOOKUP($C76,#REF!,5,0)</f>
        <v>#REF!</v>
      </c>
      <c r="H76" s="784" t="e">
        <f>VLOOKUP($C76,#REF!,6,0)</f>
        <v>#REF!</v>
      </c>
      <c r="I76" s="784" t="e">
        <f>VLOOKUP($C76,#REF!,7,0)</f>
        <v>#REF!</v>
      </c>
      <c r="J76" s="154" t="e">
        <f t="shared" si="19"/>
        <v>#REF!</v>
      </c>
      <c r="K76" s="646" t="e">
        <f t="shared" si="20"/>
        <v>#REF!</v>
      </c>
      <c r="L76" s="750" t="e">
        <f t="shared" si="21"/>
        <v>#DIV/0!</v>
      </c>
      <c r="M76" s="746">
        <f t="shared" si="22"/>
        <v>4.3603050268812931</v>
      </c>
      <c r="N76" s="750" t="e">
        <f t="shared" si="23"/>
        <v>#REF!</v>
      </c>
      <c r="O76" s="746" t="e">
        <f t="shared" si="24"/>
        <v>#REF!</v>
      </c>
    </row>
    <row r="77" spans="2:16">
      <c r="C77" s="160" t="s">
        <v>21</v>
      </c>
      <c r="D77" s="783">
        <v>4511.1539999745519</v>
      </c>
      <c r="E77" s="783">
        <v>4393.313321743638</v>
      </c>
      <c r="F77" s="783">
        <v>4780.8133311969832</v>
      </c>
      <c r="G77" s="784" t="e">
        <f>VLOOKUP($C77,#REF!,5,0)</f>
        <v>#REF!</v>
      </c>
      <c r="H77" s="784" t="e">
        <f>VLOOKUP($C77,#REF!,6,0)</f>
        <v>#REF!</v>
      </c>
      <c r="I77" s="784" t="e">
        <f>VLOOKUP($C77,#REF!,7,0)</f>
        <v>#REF!</v>
      </c>
      <c r="J77" s="154" t="e">
        <f t="shared" si="19"/>
        <v>#REF!</v>
      </c>
      <c r="K77" s="646" t="e">
        <f t="shared" si="20"/>
        <v>#REF!</v>
      </c>
      <c r="L77" s="750">
        <f t="shared" si="21"/>
        <v>-2.6122069481906096E-2</v>
      </c>
      <c r="M77" s="746">
        <f t="shared" si="22"/>
        <v>8.8202224852825362E-2</v>
      </c>
      <c r="N77" s="750" t="e">
        <f t="shared" si="23"/>
        <v>#REF!</v>
      </c>
      <c r="O77" s="746" t="e">
        <f t="shared" si="24"/>
        <v>#REF!</v>
      </c>
    </row>
    <row r="78" spans="2:16">
      <c r="C78" s="160" t="s">
        <v>46</v>
      </c>
      <c r="D78" s="783">
        <v>2399.0012460000003</v>
      </c>
      <c r="E78" s="783">
        <v>4273.9514579999995</v>
      </c>
      <c r="F78" s="783">
        <v>3320.5404479999997</v>
      </c>
      <c r="G78" s="784" t="e">
        <f>VLOOKUP($C78,#REF!,5,0)</f>
        <v>#REF!</v>
      </c>
      <c r="H78" s="784" t="e">
        <f>VLOOKUP($C78,#REF!,6,0)</f>
        <v>#REF!</v>
      </c>
      <c r="I78" s="784" t="e">
        <f>VLOOKUP($C78,#REF!,7,0)</f>
        <v>#REF!</v>
      </c>
      <c r="J78" s="785" t="e">
        <f t="shared" si="19"/>
        <v>#REF!</v>
      </c>
      <c r="K78" s="794" t="e">
        <f t="shared" si="20"/>
        <v>#REF!</v>
      </c>
      <c r="L78" s="750">
        <f t="shared" si="21"/>
        <v>0.78155449695001922</v>
      </c>
      <c r="M78" s="746">
        <f t="shared" si="22"/>
        <v>-0.22307483352797586</v>
      </c>
      <c r="N78" s="750" t="e">
        <f t="shared" si="23"/>
        <v>#REF!</v>
      </c>
      <c r="O78" s="746" t="e">
        <f t="shared" si="24"/>
        <v>#REF!</v>
      </c>
    </row>
    <row r="79" spans="2:16">
      <c r="C79" s="768" t="s">
        <v>25</v>
      </c>
      <c r="D79" s="769">
        <v>2317.5917057759998</v>
      </c>
      <c r="E79" s="769">
        <v>3013.4835083520002</v>
      </c>
      <c r="F79" s="769">
        <v>2426.951184</v>
      </c>
      <c r="G79" s="121" t="e">
        <f>VLOOKUP($C79,#REF!,5,0)</f>
        <v>#REF!</v>
      </c>
      <c r="H79" s="121" t="e">
        <f>VLOOKUP($C79,#REF!,6,0)</f>
        <v>#REF!</v>
      </c>
      <c r="I79" s="121" t="e">
        <f>VLOOKUP($C79,#REF!,7,0)</f>
        <v>#REF!</v>
      </c>
      <c r="J79" s="154" t="e">
        <f t="shared" si="19"/>
        <v>#REF!</v>
      </c>
      <c r="K79" s="646" t="e">
        <f t="shared" si="20"/>
        <v>#REF!</v>
      </c>
      <c r="L79" s="750">
        <f t="shared" si="21"/>
        <v>0.30026505567899187</v>
      </c>
      <c r="M79" s="746">
        <f t="shared" si="22"/>
        <v>-0.19463598281736083</v>
      </c>
      <c r="N79" s="750" t="e">
        <f t="shared" si="23"/>
        <v>#REF!</v>
      </c>
      <c r="O79" s="746" t="e">
        <f t="shared" si="24"/>
        <v>#REF!</v>
      </c>
    </row>
    <row r="80" spans="2:16">
      <c r="C80" s="160" t="s">
        <v>35</v>
      </c>
      <c r="D80" s="783">
        <v>4372.8286319999997</v>
      </c>
      <c r="E80" s="783">
        <v>2435.0778959999998</v>
      </c>
      <c r="F80" s="783">
        <v>2069.4707399999998</v>
      </c>
      <c r="G80" s="815" t="e">
        <f>VLOOKUP($C80,#REF!,5,0)</f>
        <v>#REF!</v>
      </c>
      <c r="H80" s="815" t="e">
        <f>VLOOKUP($C80,#REF!,6,0)</f>
        <v>#REF!</v>
      </c>
      <c r="I80" s="815" t="e">
        <f>VLOOKUP($C80,#REF!,7,0)</f>
        <v>#REF!</v>
      </c>
      <c r="J80" s="154" t="e">
        <f t="shared" si="19"/>
        <v>#REF!</v>
      </c>
      <c r="K80" s="646" t="e">
        <f t="shared" si="20"/>
        <v>#REF!</v>
      </c>
      <c r="L80" s="750">
        <f t="shared" si="21"/>
        <v>-0.44313438716068121</v>
      </c>
      <c r="M80" s="746">
        <f t="shared" si="22"/>
        <v>-0.15014187291526382</v>
      </c>
      <c r="N80" s="750" t="e">
        <f t="shared" si="23"/>
        <v>#REF!</v>
      </c>
      <c r="O80" s="746" t="e">
        <f t="shared" si="24"/>
        <v>#REF!</v>
      </c>
    </row>
    <row r="81" spans="3:16">
      <c r="C81" s="160" t="s">
        <v>32</v>
      </c>
      <c r="D81" s="783">
        <v>4399.6810160743307</v>
      </c>
      <c r="E81" s="783">
        <v>1368.0072</v>
      </c>
      <c r="F81" s="783">
        <v>1452.495851519999</v>
      </c>
      <c r="G81" s="784" t="e">
        <f>VLOOKUP($C81,#REF!,5,0)</f>
        <v>#REF!</v>
      </c>
      <c r="H81" s="784" t="e">
        <f>VLOOKUP($C81,#REF!,6,0)</f>
        <v>#REF!</v>
      </c>
      <c r="I81" s="784" t="e">
        <f>VLOOKUP($C81,#REF!,7,0)</f>
        <v>#REF!</v>
      </c>
      <c r="J81" s="154" t="e">
        <f t="shared" si="19"/>
        <v>#REF!</v>
      </c>
      <c r="K81" s="646" t="e">
        <f t="shared" si="20"/>
        <v>#REF!</v>
      </c>
      <c r="L81" s="750">
        <f t="shared" si="21"/>
        <v>-0.68906673120120399</v>
      </c>
      <c r="M81" s="746">
        <f t="shared" si="22"/>
        <v>6.1760385120779304E-2</v>
      </c>
      <c r="N81" s="750" t="e">
        <f t="shared" si="23"/>
        <v>#REF!</v>
      </c>
      <c r="O81" s="746" t="e">
        <f t="shared" si="24"/>
        <v>#REF!</v>
      </c>
    </row>
    <row r="82" spans="3:16">
      <c r="C82" s="160" t="s">
        <v>42</v>
      </c>
      <c r="D82" s="783">
        <v>677.17066</v>
      </c>
      <c r="E82" s="783">
        <v>988.28096000000005</v>
      </c>
      <c r="F82" s="783">
        <v>843.55200000000013</v>
      </c>
      <c r="G82" s="784" t="e">
        <f>VLOOKUP($C82,#REF!,5,0)</f>
        <v>#REF!</v>
      </c>
      <c r="H82" s="784" t="e">
        <f>VLOOKUP($C82,#REF!,6,0)</f>
        <v>#REF!</v>
      </c>
      <c r="I82" s="784" t="e">
        <f>VLOOKUP($C82,#REF!,7,0)</f>
        <v>#REF!</v>
      </c>
      <c r="J82" s="154" t="e">
        <f t="shared" si="19"/>
        <v>#REF!</v>
      </c>
      <c r="K82" s="646" t="e">
        <f t="shared" si="20"/>
        <v>#REF!</v>
      </c>
      <c r="L82" s="750">
        <f t="shared" si="21"/>
        <v>0.45942672708235777</v>
      </c>
      <c r="M82" s="746">
        <f t="shared" si="22"/>
        <v>-0.14644515664857083</v>
      </c>
      <c r="N82" s="750" t="e">
        <f t="shared" si="23"/>
        <v>#REF!</v>
      </c>
      <c r="O82" s="746" t="e">
        <f t="shared" si="24"/>
        <v>#REF!</v>
      </c>
      <c r="P82" t="s">
        <v>60</v>
      </c>
    </row>
    <row r="83" spans="3:16">
      <c r="C83" s="160" t="s">
        <v>30</v>
      </c>
      <c r="D83" s="783">
        <v>724.06356950400004</v>
      </c>
      <c r="E83" s="783">
        <v>827.8283285120001</v>
      </c>
      <c r="F83" s="783">
        <v>595.05582400000003</v>
      </c>
      <c r="G83" s="784" t="e">
        <f>VLOOKUP($C83,#REF!,5,0)</f>
        <v>#REF!</v>
      </c>
      <c r="H83" s="784" t="e">
        <f>VLOOKUP($C83,#REF!,6,0)</f>
        <v>#REF!</v>
      </c>
      <c r="I83" s="784" t="e">
        <f>VLOOKUP($C83,#REF!,7,0)</f>
        <v>#REF!</v>
      </c>
      <c r="J83" s="154" t="e">
        <f t="shared" si="19"/>
        <v>#REF!</v>
      </c>
      <c r="K83" s="646" t="e">
        <f t="shared" si="20"/>
        <v>#REF!</v>
      </c>
      <c r="L83" s="750">
        <f t="shared" si="21"/>
        <v>0.14330890736442004</v>
      </c>
      <c r="M83" s="746">
        <f t="shared" si="22"/>
        <v>-0.28118451192701099</v>
      </c>
      <c r="N83" s="750" t="e">
        <f t="shared" si="23"/>
        <v>#REF!</v>
      </c>
      <c r="O83" s="746" t="e">
        <f t="shared" si="24"/>
        <v>#REF!</v>
      </c>
    </row>
    <row r="84" spans="3:16">
      <c r="C84" s="58" t="s">
        <v>43</v>
      </c>
      <c r="D84" s="50">
        <v>122.75099200000001</v>
      </c>
      <c r="E84" s="50">
        <v>365.81178000000006</v>
      </c>
      <c r="F84" s="50">
        <v>416.64867999999996</v>
      </c>
      <c r="G84" s="784" t="e">
        <f>VLOOKUP($C84,#REF!,5,0)</f>
        <v>#REF!</v>
      </c>
      <c r="H84" s="784" t="e">
        <f>VLOOKUP($C84,#REF!,6,0)</f>
        <v>#REF!</v>
      </c>
      <c r="I84" s="784" t="e">
        <f>VLOOKUP($C84,#REF!,7,0)</f>
        <v>#REF!</v>
      </c>
      <c r="J84" s="771" t="e">
        <f t="shared" si="19"/>
        <v>#REF!</v>
      </c>
      <c r="K84" s="774" t="e">
        <f t="shared" si="20"/>
        <v>#REF!</v>
      </c>
      <c r="L84" s="750">
        <f t="shared" si="21"/>
        <v>1.9801126169310308</v>
      </c>
      <c r="M84" s="746">
        <f t="shared" si="22"/>
        <v>0.13897010096285012</v>
      </c>
      <c r="N84" s="750" t="e">
        <f t="shared" si="23"/>
        <v>#REF!</v>
      </c>
      <c r="O84" s="746" t="e">
        <f t="shared" si="24"/>
        <v>#REF!</v>
      </c>
    </row>
    <row r="85" spans="3:16">
      <c r="C85" s="58" t="s">
        <v>47</v>
      </c>
      <c r="D85" s="50">
        <v>545157.95405556599</v>
      </c>
      <c r="E85" s="50">
        <v>562672.74429634842</v>
      </c>
      <c r="F85" s="50">
        <v>566418.29603211349</v>
      </c>
      <c r="G85" s="784" t="e">
        <f>VLOOKUP($C85,#REF!,5,0)</f>
        <v>#REF!</v>
      </c>
      <c r="H85" s="784" t="e">
        <f>VLOOKUP($C85,#REF!,6,0)</f>
        <v>#REF!</v>
      </c>
      <c r="I85" s="784" t="e">
        <f>VLOOKUP($C85,#REF!,7,0)</f>
        <v>#REF!</v>
      </c>
      <c r="J85" s="771" t="e">
        <f t="shared" si="19"/>
        <v>#REF!</v>
      </c>
      <c r="K85" s="774" t="e">
        <f t="shared" si="20"/>
        <v>#REF!</v>
      </c>
      <c r="L85" s="750">
        <f t="shared" ref="L85" si="25">E85/D85-1</f>
        <v>3.2127918359230678E-2</v>
      </c>
      <c r="M85" s="776">
        <f t="shared" ref="M85" si="26">F85/E85-1</f>
        <v>6.656714357915261E-3</v>
      </c>
      <c r="N85" s="750" t="e">
        <f t="shared" ref="N85" si="27">E85/H85-1</f>
        <v>#REF!</v>
      </c>
      <c r="O85" s="746" t="e">
        <f t="shared" ref="O85" si="28">F85/I85-1</f>
        <v>#REF!</v>
      </c>
    </row>
    <row r="87" spans="3:16">
      <c r="D87" s="816"/>
      <c r="E87" s="816"/>
      <c r="F87" s="816"/>
    </row>
    <row r="88" spans="3:16">
      <c r="C88" t="s">
        <v>23</v>
      </c>
      <c r="D88" s="248">
        <f>VLOOKUP($C88,$C$63:$F$85,2,0)</f>
        <v>220972.61415379823</v>
      </c>
      <c r="E88" s="248">
        <f>VLOOKUP($C88,$C$63:$F$85,3,0)</f>
        <v>216373.91977823206</v>
      </c>
      <c r="F88" s="248">
        <f>VLOOKUP($C88,$C$63:$F$85,4,0)</f>
        <v>218079.11280000006</v>
      </c>
    </row>
    <row r="89" spans="3:16">
      <c r="C89" t="s">
        <v>29</v>
      </c>
      <c r="D89" s="248">
        <f t="shared" ref="D89:D109" si="29">VLOOKUP($C89,$C$63:$F$85,2,0)</f>
        <v>99782.115143616</v>
      </c>
      <c r="E89" s="248">
        <f t="shared" ref="E89:E109" si="30">VLOOKUP($C89,$C$63:$F$85,3,0)</f>
        <v>99621.005407818229</v>
      </c>
      <c r="F89" s="248">
        <f t="shared" ref="F89:F109" si="31">VLOOKUP($C89,$C$63:$F$85,4,0)</f>
        <v>91323.976403382854</v>
      </c>
    </row>
    <row r="90" spans="3:16">
      <c r="C90" t="s">
        <v>41</v>
      </c>
      <c r="D90" s="248">
        <f t="shared" si="29"/>
        <v>42779.711747359994</v>
      </c>
      <c r="E90" s="248">
        <f t="shared" si="30"/>
        <v>39342.717344703997</v>
      </c>
      <c r="F90" s="248">
        <f t="shared" si="31"/>
        <v>41137.308168191994</v>
      </c>
    </row>
    <row r="91" spans="3:16">
      <c r="C91" t="s">
        <v>44</v>
      </c>
      <c r="D91" s="248">
        <f t="shared" si="29"/>
        <v>24920.026256000001</v>
      </c>
      <c r="E91" s="248">
        <f t="shared" si="30"/>
        <v>29634.509844000004</v>
      </c>
      <c r="F91" s="248">
        <f t="shared" si="31"/>
        <v>33730.2912</v>
      </c>
    </row>
    <row r="92" spans="3:16">
      <c r="C92" t="s">
        <v>39</v>
      </c>
      <c r="D92" s="248">
        <f t="shared" si="29"/>
        <v>20656.302473999993</v>
      </c>
      <c r="E92" s="248">
        <f t="shared" si="30"/>
        <v>41838.211464899992</v>
      </c>
      <c r="F92" s="248">
        <f t="shared" si="31"/>
        <v>34943.131649029587</v>
      </c>
    </row>
    <row r="93" spans="3:16">
      <c r="C93" t="s">
        <v>37</v>
      </c>
      <c r="D93" s="248">
        <f t="shared" si="29"/>
        <v>16214.983183999997</v>
      </c>
      <c r="E93" s="248">
        <f t="shared" si="30"/>
        <v>16475.198422000001</v>
      </c>
      <c r="F93" s="248">
        <f t="shared" si="31"/>
        <v>16334.090856000003</v>
      </c>
    </row>
    <row r="94" spans="3:16">
      <c r="C94" t="s">
        <v>31</v>
      </c>
      <c r="D94" s="248">
        <f t="shared" si="29"/>
        <v>42644.848848000009</v>
      </c>
      <c r="E94" s="248">
        <f t="shared" si="30"/>
        <v>44175.708672000001</v>
      </c>
      <c r="F94" s="248">
        <f t="shared" si="31"/>
        <v>43382.99794691016</v>
      </c>
    </row>
    <row r="95" spans="3:16">
      <c r="C95" t="s">
        <v>40</v>
      </c>
      <c r="D95" s="248">
        <f t="shared" si="29"/>
        <v>13962.233004086856</v>
      </c>
      <c r="E95" s="248">
        <f t="shared" si="30"/>
        <v>13166.549432</v>
      </c>
      <c r="F95" s="248">
        <f t="shared" si="31"/>
        <v>14505.104270288664</v>
      </c>
    </row>
    <row r="96" spans="3:16">
      <c r="C96" t="s">
        <v>34</v>
      </c>
      <c r="D96" s="248">
        <f t="shared" si="29"/>
        <v>11553.296100000009</v>
      </c>
      <c r="E96" s="248">
        <f t="shared" si="30"/>
        <v>10422.617143777778</v>
      </c>
      <c r="F96" s="248">
        <f t="shared" si="31"/>
        <v>8266.1758323599988</v>
      </c>
    </row>
    <row r="97" spans="3:6">
      <c r="C97" t="s">
        <v>33</v>
      </c>
      <c r="D97" s="248">
        <f t="shared" si="29"/>
        <v>11712.022361375999</v>
      </c>
      <c r="E97" s="248">
        <f t="shared" si="30"/>
        <v>11309.7790733088</v>
      </c>
      <c r="F97" s="248">
        <f t="shared" si="31"/>
        <v>13780.963367423999</v>
      </c>
    </row>
    <row r="98" spans="3:6">
      <c r="C98" t="s">
        <v>36</v>
      </c>
      <c r="D98" s="248">
        <f t="shared" si="29"/>
        <v>12757.565884</v>
      </c>
      <c r="E98" s="248">
        <f t="shared" si="30"/>
        <v>13526.835671999997</v>
      </c>
      <c r="F98" s="248">
        <f t="shared" si="31"/>
        <v>9353.5933770491811</v>
      </c>
    </row>
    <row r="99" spans="3:6">
      <c r="C99" t="s">
        <v>38</v>
      </c>
      <c r="D99" s="248">
        <f t="shared" si="29"/>
        <v>7677.9930780000004</v>
      </c>
      <c r="E99" s="248">
        <f t="shared" si="30"/>
        <v>7169.9071089999998</v>
      </c>
      <c r="F99" s="248">
        <f t="shared" si="31"/>
        <v>10571.862102759998</v>
      </c>
    </row>
    <row r="100" spans="3:6">
      <c r="C100" t="s">
        <v>46</v>
      </c>
      <c r="D100" s="248">
        <f t="shared" si="29"/>
        <v>2399.0012460000003</v>
      </c>
      <c r="E100" s="248">
        <f t="shared" si="30"/>
        <v>4273.9514579999995</v>
      </c>
      <c r="F100" s="248">
        <f t="shared" si="31"/>
        <v>3320.5404479999997</v>
      </c>
    </row>
    <row r="101" spans="3:6">
      <c r="C101" t="s">
        <v>27</v>
      </c>
      <c r="D101" s="248">
        <f t="shared" si="29"/>
        <v>0</v>
      </c>
      <c r="E101" s="248">
        <f t="shared" si="30"/>
        <v>911.99999999999989</v>
      </c>
      <c r="F101" s="248">
        <f t="shared" si="31"/>
        <v>9540</v>
      </c>
    </row>
    <row r="102" spans="3:6">
      <c r="C102" t="s">
        <v>45</v>
      </c>
      <c r="D102" s="248">
        <f t="shared" si="29"/>
        <v>0</v>
      </c>
      <c r="E102" s="248">
        <f t="shared" si="30"/>
        <v>1038.0304799999999</v>
      </c>
      <c r="F102" s="248">
        <f t="shared" si="31"/>
        <v>5564.1600000000008</v>
      </c>
    </row>
    <row r="103" spans="3:6">
      <c r="C103" t="s">
        <v>25</v>
      </c>
      <c r="D103" s="248">
        <f t="shared" si="29"/>
        <v>2317.5917057759998</v>
      </c>
      <c r="E103" s="248">
        <f t="shared" si="30"/>
        <v>3013.4835083520002</v>
      </c>
      <c r="F103" s="248">
        <f t="shared" si="31"/>
        <v>2426.951184</v>
      </c>
    </row>
    <row r="104" spans="3:6">
      <c r="C104" t="s">
        <v>35</v>
      </c>
      <c r="D104" s="248">
        <f t="shared" si="29"/>
        <v>4372.8286319999997</v>
      </c>
      <c r="E104" s="248">
        <f t="shared" si="30"/>
        <v>2435.0778959999998</v>
      </c>
      <c r="F104" s="248">
        <f t="shared" si="31"/>
        <v>2069.4707399999998</v>
      </c>
    </row>
    <row r="105" spans="3:6">
      <c r="C105" t="s">
        <v>21</v>
      </c>
      <c r="D105" s="248">
        <f t="shared" si="29"/>
        <v>4511.1539999745519</v>
      </c>
      <c r="E105" s="248">
        <f t="shared" si="30"/>
        <v>4393.313321743638</v>
      </c>
      <c r="F105" s="248">
        <f t="shared" si="31"/>
        <v>4780.8133311969832</v>
      </c>
    </row>
    <row r="106" spans="3:6">
      <c r="C106" t="s">
        <v>42</v>
      </c>
      <c r="D106" s="248">
        <f t="shared" si="29"/>
        <v>677.17066</v>
      </c>
      <c r="E106" s="248">
        <f t="shared" si="30"/>
        <v>988.28096000000005</v>
      </c>
      <c r="F106" s="248">
        <f t="shared" si="31"/>
        <v>843.55200000000013</v>
      </c>
    </row>
    <row r="107" spans="3:6">
      <c r="C107" t="s">
        <v>30</v>
      </c>
      <c r="D107" s="248">
        <f t="shared" si="29"/>
        <v>724.06356950400004</v>
      </c>
      <c r="E107" s="248">
        <f t="shared" si="30"/>
        <v>827.8283285120001</v>
      </c>
      <c r="F107" s="248">
        <f t="shared" si="31"/>
        <v>595.05582400000003</v>
      </c>
    </row>
    <row r="108" spans="3:6">
      <c r="C108" t="s">
        <v>32</v>
      </c>
      <c r="D108" s="248">
        <f t="shared" si="29"/>
        <v>4399.6810160743307</v>
      </c>
      <c r="E108" s="248">
        <f t="shared" si="30"/>
        <v>1368.0072</v>
      </c>
      <c r="F108" s="248">
        <f t="shared" si="31"/>
        <v>1452.495851519999</v>
      </c>
    </row>
    <row r="109" spans="3:6">
      <c r="C109" t="s">
        <v>43</v>
      </c>
      <c r="D109" s="248">
        <f t="shared" si="29"/>
        <v>122.75099200000001</v>
      </c>
      <c r="E109" s="248">
        <f t="shared" si="30"/>
        <v>365.81178000000006</v>
      </c>
      <c r="F109" s="248">
        <f t="shared" si="31"/>
        <v>416.64867999999996</v>
      </c>
    </row>
    <row r="110" spans="3:6">
      <c r="D110" s="818"/>
      <c r="E110" s="818"/>
      <c r="F110" s="818"/>
    </row>
    <row r="111" spans="3:6">
      <c r="C111" t="s">
        <v>23</v>
      </c>
      <c r="D111" s="820">
        <f>D88/D35</f>
        <v>8.5185672520649292E-3</v>
      </c>
      <c r="E111" s="820">
        <f t="shared" ref="E111:F111" si="32">E88/E35</f>
        <v>8.595053394594588E-3</v>
      </c>
      <c r="F111" s="820">
        <f t="shared" si="32"/>
        <v>8.5200000000000015E-3</v>
      </c>
    </row>
    <row r="112" spans="3:6">
      <c r="C112" t="s">
        <v>29</v>
      </c>
      <c r="D112" s="820">
        <f t="shared" ref="D112:F112" si="33">D89/D36</f>
        <v>3.7809212552353073E-3</v>
      </c>
      <c r="E112" s="820">
        <f t="shared" si="33"/>
        <v>3.7829964493863873E-3</v>
      </c>
      <c r="F112" s="820">
        <f t="shared" si="33"/>
        <v>3.7853440000000004E-3</v>
      </c>
    </row>
    <row r="113" spans="3:7">
      <c r="C113" t="s">
        <v>41</v>
      </c>
      <c r="D113" s="820">
        <f t="shared" ref="D113:F113" si="34">D90/D37</f>
        <v>3.7527674190263958E-3</v>
      </c>
      <c r="E113" s="820">
        <f t="shared" si="34"/>
        <v>3.7304496639986402E-3</v>
      </c>
      <c r="F113" s="820">
        <f t="shared" si="34"/>
        <v>3.7384611007563922E-3</v>
      </c>
    </row>
    <row r="114" spans="3:7">
      <c r="C114" t="s">
        <v>44</v>
      </c>
      <c r="D114" s="823">
        <f t="shared" ref="D114:F114" si="35">D91/D38</f>
        <v>3.3399282446926427E-3</v>
      </c>
      <c r="E114" s="823">
        <f t="shared" si="35"/>
        <v>3.1595043088072871E-3</v>
      </c>
      <c r="F114" s="823">
        <f t="shared" si="35"/>
        <v>3.1055339529616486E-3</v>
      </c>
    </row>
    <row r="115" spans="3:7">
      <c r="C115" t="s">
        <v>39</v>
      </c>
      <c r="D115" s="823">
        <f t="shared" ref="D115:F115" si="36">D92/D39</f>
        <v>5.0350033086819365E-3</v>
      </c>
      <c r="E115" s="823">
        <f t="shared" si="36"/>
        <v>5.0995322441673386E-3</v>
      </c>
      <c r="F115" s="823">
        <f t="shared" si="36"/>
        <v>5.0995322441673386E-3</v>
      </c>
      <c r="G115" t="s">
        <v>61</v>
      </c>
    </row>
    <row r="116" spans="3:7">
      <c r="C116" t="s">
        <v>37</v>
      </c>
      <c r="D116" s="821">
        <f t="shared" ref="D116:F116" si="37">D93/D40</f>
        <v>2.4717039049608662E-3</v>
      </c>
      <c r="E116" s="821">
        <f t="shared" si="37"/>
        <v>2.3188016833382633E-3</v>
      </c>
      <c r="F116" s="821">
        <f t="shared" si="37"/>
        <v>2.7006554610094421E-3</v>
      </c>
      <c r="G116" t="s">
        <v>62</v>
      </c>
    </row>
    <row r="117" spans="3:7">
      <c r="C117" t="s">
        <v>31</v>
      </c>
      <c r="D117" s="822">
        <f t="shared" ref="D117:F117" si="38">D94/D41</f>
        <v>9.0151934078186082E-3</v>
      </c>
      <c r="E117" s="822">
        <f t="shared" si="38"/>
        <v>9.0396123418042054E-3</v>
      </c>
      <c r="F117" s="822">
        <f t="shared" si="38"/>
        <v>9.0396123418042054E-3</v>
      </c>
    </row>
    <row r="118" spans="3:7">
      <c r="C118" t="s">
        <v>40</v>
      </c>
      <c r="D118" s="820">
        <f t="shared" ref="D118:F118" si="39">D95/D42</f>
        <v>3.9041725673721775E-3</v>
      </c>
      <c r="E118" s="820">
        <f t="shared" si="39"/>
        <v>3.3623672754137853E-3</v>
      </c>
      <c r="F118" s="820">
        <f t="shared" si="39"/>
        <v>3.560776443496463E-3</v>
      </c>
    </row>
    <row r="119" spans="3:7">
      <c r="C119" t="s">
        <v>34</v>
      </c>
      <c r="D119" s="820">
        <f t="shared" ref="D119:F119" si="40">D96/D43</f>
        <v>3.5250288329167589E-3</v>
      </c>
      <c r="E119" s="820">
        <f t="shared" si="40"/>
        <v>2.2001050684864647E-3</v>
      </c>
      <c r="F119" s="820">
        <f t="shared" si="40"/>
        <v>2.1411285547423922E-3</v>
      </c>
    </row>
    <row r="120" spans="3:7">
      <c r="C120" t="s">
        <v>33</v>
      </c>
      <c r="D120" s="821">
        <f t="shared" ref="D120:F120" si="41">D97/D44</f>
        <v>4.0777608433261257E-3</v>
      </c>
      <c r="E120" s="821">
        <f t="shared" si="41"/>
        <v>4.513926102556489E-3</v>
      </c>
      <c r="F120" s="821">
        <f t="shared" si="41"/>
        <v>4.8209163072655435E-3</v>
      </c>
    </row>
    <row r="121" spans="3:7">
      <c r="C121" t="s">
        <v>36</v>
      </c>
      <c r="D121" s="823">
        <f t="shared" ref="D121:F121" si="42">D98/D45</f>
        <v>3.4894033961983409E-3</v>
      </c>
      <c r="E121" s="823">
        <f t="shared" si="42"/>
        <v>3.5013736132947682E-3</v>
      </c>
      <c r="F121" s="823">
        <f t="shared" si="42"/>
        <v>3.3533837798190159E-3</v>
      </c>
    </row>
    <row r="122" spans="3:7">
      <c r="C122" t="s">
        <v>38</v>
      </c>
      <c r="D122" s="819">
        <f t="shared" ref="D122:F122" si="43">D99/D46</f>
        <v>2.9555842338416624E-3</v>
      </c>
      <c r="E122" s="819">
        <f t="shared" si="43"/>
        <v>3.9018097715207731E-3</v>
      </c>
      <c r="F122" s="819">
        <f t="shared" si="43"/>
        <v>4.7164268906152215E-3</v>
      </c>
    </row>
    <row r="123" spans="3:7">
      <c r="C123" t="s">
        <v>46</v>
      </c>
      <c r="D123" s="820">
        <f t="shared" ref="D123:F123" si="44">D100/D47</f>
        <v>1.242E-3</v>
      </c>
      <c r="E123" s="820">
        <f t="shared" si="44"/>
        <v>1.5147364041648988E-3</v>
      </c>
      <c r="F123" s="820">
        <f t="shared" si="44"/>
        <v>1.5500000000000002E-3</v>
      </c>
    </row>
    <row r="124" spans="3:7">
      <c r="C124" t="s">
        <v>27</v>
      </c>
      <c r="D124" s="819" t="e">
        <f t="shared" ref="D124:F124" si="45">D101/D48</f>
        <v>#DIV/0!</v>
      </c>
      <c r="E124" s="820">
        <f t="shared" si="45"/>
        <v>4.7999999999999996E-3</v>
      </c>
      <c r="F124" s="820">
        <f t="shared" si="45"/>
        <v>4.7999999999999996E-3</v>
      </c>
    </row>
    <row r="125" spans="3:7">
      <c r="C125" t="s">
        <v>45</v>
      </c>
      <c r="D125" s="819" t="e">
        <f t="shared" ref="D125:F125" si="46">D102/D49</f>
        <v>#DIV/0!</v>
      </c>
      <c r="E125" s="820">
        <f t="shared" si="46"/>
        <v>3.3119999999999998E-3</v>
      </c>
      <c r="F125" s="820">
        <f t="shared" si="46"/>
        <v>3.3120000000000003E-3</v>
      </c>
    </row>
    <row r="126" spans="3:7">
      <c r="C126" t="s">
        <v>25</v>
      </c>
      <c r="D126" s="820">
        <f t="shared" ref="D126:F126" si="47">D103/D50</f>
        <v>1.6795744476618205E-3</v>
      </c>
      <c r="E126" s="820">
        <f t="shared" si="47"/>
        <v>2.5163108171078344E-3</v>
      </c>
      <c r="F126" s="820">
        <f t="shared" si="47"/>
        <v>2.2890086553996507E-3</v>
      </c>
    </row>
    <row r="127" spans="3:7">
      <c r="C127" t="s">
        <v>35</v>
      </c>
      <c r="D127" s="820">
        <f t="shared" ref="D127:F127" si="48">D104/D51</f>
        <v>4.4216659322213851E-3</v>
      </c>
      <c r="E127" s="820">
        <f t="shared" si="48"/>
        <v>3.2819486415054159E-3</v>
      </c>
      <c r="F127" s="820">
        <f t="shared" si="48"/>
        <v>3.2428814494216162E-3</v>
      </c>
    </row>
    <row r="128" spans="3:7">
      <c r="C128" t="s">
        <v>21</v>
      </c>
      <c r="D128" s="820">
        <f t="shared" ref="D128:F128" si="49">D105/D52</f>
        <v>9.0848480942297815E-3</v>
      </c>
      <c r="E128" s="820">
        <f t="shared" si="49"/>
        <v>9.0848645778489005E-3</v>
      </c>
      <c r="F128" s="820">
        <f t="shared" si="49"/>
        <v>9.0848535481852059E-3</v>
      </c>
    </row>
    <row r="129" spans="3:6">
      <c r="C129" t="s">
        <v>42</v>
      </c>
      <c r="D129" s="820">
        <f t="shared" ref="D129:F129" si="50">D106/D53</f>
        <v>2.0200000000000001E-3</v>
      </c>
      <c r="E129" s="820">
        <f t="shared" si="50"/>
        <v>2.0200000000000001E-3</v>
      </c>
      <c r="F129" s="820">
        <f t="shared" si="50"/>
        <v>2.0200000000000005E-3</v>
      </c>
    </row>
    <row r="130" spans="3:6">
      <c r="C130" t="s">
        <v>30</v>
      </c>
      <c r="D130" s="820">
        <f t="shared" ref="D130:F130" si="51">D107/D54</f>
        <v>1.7483883628987859E-3</v>
      </c>
      <c r="E130" s="820">
        <f t="shared" si="51"/>
        <v>1.7536989505536526E-3</v>
      </c>
      <c r="F130" s="820">
        <f t="shared" si="51"/>
        <v>1.7605201893491126E-3</v>
      </c>
    </row>
    <row r="131" spans="3:6">
      <c r="C131" t="s">
        <v>32</v>
      </c>
      <c r="D131" s="820">
        <f t="shared" ref="D131:F131" si="52">D108/D55</f>
        <v>2.8253323641361824E-3</v>
      </c>
      <c r="E131" s="823">
        <f t="shared" si="52"/>
        <v>3.1866886565662211E-3</v>
      </c>
      <c r="F131" s="823">
        <f t="shared" si="52"/>
        <v>6.8901258333636979E-3</v>
      </c>
    </row>
    <row r="132" spans="3:6">
      <c r="C132" t="s">
        <v>43</v>
      </c>
      <c r="D132" s="819">
        <f t="shared" ref="D132:F132" si="53">D109/D56</f>
        <v>7.2800000000000002E-4</v>
      </c>
      <c r="E132" s="820">
        <f t="shared" si="53"/>
        <v>2.3326262561852783E-3</v>
      </c>
      <c r="F132" s="820">
        <f t="shared" si="53"/>
        <v>2.4616842783162542E-3</v>
      </c>
    </row>
  </sheetData>
  <conditionalFormatting sqref="J35:K57">
    <cfRule type="cellIs" dxfId="775" priority="14" operator="greaterThan">
      <formula>0</formula>
    </cfRule>
  </conditionalFormatting>
  <conditionalFormatting sqref="J63:K85">
    <cfRule type="cellIs" dxfId="774" priority="7" operator="greaterThan">
      <formula>0</formula>
    </cfRule>
  </conditionalFormatting>
  <conditionalFormatting sqref="J35:O57">
    <cfRule type="cellIs" dxfId="773" priority="13" operator="lessThan">
      <formula>0</formula>
    </cfRule>
  </conditionalFormatting>
  <conditionalFormatting sqref="J63:O85">
    <cfRule type="cellIs" dxfId="772" priority="2" operator="lessThan">
      <formula>0</formula>
    </cfRule>
  </conditionalFormatting>
  <conditionalFormatting sqref="K35:K57">
    <cfRule type="cellIs" dxfId="771" priority="16" operator="greaterThan">
      <formula>0</formula>
    </cfRule>
  </conditionalFormatting>
  <conditionalFormatting sqref="K63:K85">
    <cfRule type="cellIs" dxfId="770" priority="9" operator="greaterThan">
      <formula>0</formula>
    </cfRule>
  </conditionalFormatting>
  <conditionalFormatting sqref="L35:O57">
    <cfRule type="cellIs" dxfId="769" priority="12" operator="greaterThan">
      <formula>0</formula>
    </cfRule>
  </conditionalFormatting>
  <conditionalFormatting sqref="L63:O85">
    <cfRule type="cellIs" dxfId="768" priority="1" operator="greaterThan">
      <formula>0</formula>
    </cfRule>
  </conditionalFormatting>
  <conditionalFormatting sqref="S6:X29 Q30:X31">
    <cfRule type="cellIs" dxfId="767" priority="36" operator="lessThan">
      <formula>0</formula>
    </cfRule>
    <cfRule type="cellIs" dxfId="766" priority="37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2F5-CA72-4DE6-90A4-EEA136E3D0B1}">
  <dimension ref="B1:G28"/>
  <sheetViews>
    <sheetView workbookViewId="0">
      <selection activeCell="L11" sqref="L11"/>
    </sheetView>
  </sheetViews>
  <sheetFormatPr defaultRowHeight="15"/>
  <cols>
    <col min="1" max="2" width="9.140625" style="189"/>
    <col min="3" max="5" width="11" style="330" bestFit="1" customWidth="1"/>
    <col min="6" max="7" width="6" style="189" customWidth="1"/>
    <col min="8" max="16384" width="9.140625" style="189"/>
  </cols>
  <sheetData>
    <row r="1" spans="2:7" ht="15.75" thickBot="1"/>
    <row r="2" spans="2:7" ht="15.75" thickBot="1">
      <c r="B2" s="1156" t="s">
        <v>1388</v>
      </c>
      <c r="C2" s="1157"/>
      <c r="D2" s="1157"/>
      <c r="E2" s="1157"/>
      <c r="F2" s="1157"/>
      <c r="G2" s="1158"/>
    </row>
    <row r="3" spans="2:7">
      <c r="B3" s="613"/>
      <c r="C3" s="1161"/>
      <c r="D3" s="1161"/>
      <c r="E3" s="1161"/>
      <c r="F3" s="1143" t="s">
        <v>1383</v>
      </c>
      <c r="G3" s="1120"/>
    </row>
    <row r="4" spans="2:7">
      <c r="B4" s="339"/>
      <c r="C4" s="1161" t="s">
        <v>1311</v>
      </c>
      <c r="D4" s="1161" t="s">
        <v>1327</v>
      </c>
      <c r="E4" s="1161" t="s">
        <v>1381</v>
      </c>
      <c r="F4" s="613" t="s">
        <v>13</v>
      </c>
      <c r="G4" s="1144" t="s">
        <v>1384</v>
      </c>
    </row>
    <row r="5" spans="2:7">
      <c r="B5" s="339" t="s">
        <v>5</v>
      </c>
      <c r="C5" s="469">
        <v>203</v>
      </c>
      <c r="D5" s="469">
        <v>205</v>
      </c>
      <c r="E5" s="1141">
        <f>'Litons Post Attain'!P167/1000</f>
        <v>203.9783793836441</v>
      </c>
      <c r="F5" s="1145">
        <f>E5-D5</f>
        <v>-1.0216206163559036</v>
      </c>
      <c r="G5" s="1146">
        <f>E5/D5-1</f>
        <v>-4.9835152017361217E-3</v>
      </c>
    </row>
    <row r="6" spans="2:7">
      <c r="B6" s="339" t="s">
        <v>6</v>
      </c>
      <c r="C6" s="469">
        <v>161</v>
      </c>
      <c r="D6" s="469">
        <v>166</v>
      </c>
      <c r="E6" s="1141">
        <f>'Litons Post Attain'!P168/1000</f>
        <v>164.69916317108951</v>
      </c>
      <c r="F6" s="1145">
        <f t="shared" ref="F6:F10" si="0">E6-D6</f>
        <v>-1.3008368289104908</v>
      </c>
      <c r="G6" s="1146">
        <f t="shared" ref="G6:G11" si="1">E6/D6-1</f>
        <v>-7.8363664392198107E-3</v>
      </c>
    </row>
    <row r="7" spans="2:7">
      <c r="B7" s="339" t="s">
        <v>4</v>
      </c>
      <c r="C7" s="469">
        <v>89</v>
      </c>
      <c r="D7" s="469">
        <v>90</v>
      </c>
      <c r="E7" s="1141">
        <f>'Litons Post Attain'!P169/1000</f>
        <v>91.781613346348777</v>
      </c>
      <c r="F7" s="1145">
        <f t="shared" si="0"/>
        <v>1.7816133463487773</v>
      </c>
      <c r="G7" s="1146">
        <f t="shared" si="1"/>
        <v>1.9795703848319857E-2</v>
      </c>
    </row>
    <row r="8" spans="2:7">
      <c r="B8" s="1168" t="s">
        <v>1382</v>
      </c>
      <c r="C8" s="1140">
        <v>454</v>
      </c>
      <c r="D8" s="1140">
        <v>461</v>
      </c>
      <c r="E8" s="1142">
        <f>'Litons Post Attain'!P170/1000</f>
        <v>460.45915590108234</v>
      </c>
      <c r="F8" s="1147">
        <f t="shared" si="0"/>
        <v>-0.54084409891765972</v>
      </c>
      <c r="G8" s="1148">
        <f t="shared" si="1"/>
        <v>-1.173197611535004E-3</v>
      </c>
    </row>
    <row r="9" spans="2:7">
      <c r="B9" s="339" t="s">
        <v>10</v>
      </c>
      <c r="C9" s="469">
        <v>48</v>
      </c>
      <c r="D9" s="469">
        <v>54</v>
      </c>
      <c r="E9" s="1141">
        <f>'Litons Post Attain'!P184/1000</f>
        <v>54.737552397912012</v>
      </c>
      <c r="F9" s="1145">
        <f t="shared" si="0"/>
        <v>0.73755239791201177</v>
      </c>
      <c r="G9" s="1146">
        <f t="shared" si="1"/>
        <v>1.3658377739111272E-2</v>
      </c>
    </row>
    <row r="10" spans="2:7">
      <c r="B10" s="339" t="s">
        <v>15</v>
      </c>
      <c r="C10" s="469">
        <v>26.027999999999999</v>
      </c>
      <c r="D10" s="469">
        <f>SUM('Litons Post Attain'!Q185:Q186)/1000</f>
        <v>26.431099057344607</v>
      </c>
      <c r="E10" s="1141">
        <f>SUM('Litons Post Attain'!P185:P186)/1000</f>
        <v>28.497240213093114</v>
      </c>
      <c r="F10" s="1145">
        <f t="shared" si="0"/>
        <v>2.0661411557485074</v>
      </c>
      <c r="G10" s="1146">
        <f t="shared" si="1"/>
        <v>7.8170837741776467E-2</v>
      </c>
    </row>
    <row r="11" spans="2:7" ht="15.75" thickBot="1">
      <c r="B11" s="1169" t="s">
        <v>11</v>
      </c>
      <c r="C11" s="1170">
        <f>SUM(C8:C10)</f>
        <v>528.02800000000002</v>
      </c>
      <c r="D11" s="1170">
        <f>SUM(D8:D10)</f>
        <v>541.43109905734457</v>
      </c>
      <c r="E11" s="1171">
        <f>SUM(E8:E10)</f>
        <v>543.69394851208756</v>
      </c>
      <c r="F11" s="1149">
        <f>E11-D11</f>
        <v>2.2628494547429909</v>
      </c>
      <c r="G11" s="1150">
        <f t="shared" si="1"/>
        <v>4.1793858141556672E-3</v>
      </c>
    </row>
    <row r="13" spans="2:7" ht="15.75" thickBot="1"/>
    <row r="14" spans="2:7">
      <c r="B14" s="1156" t="s">
        <v>1387</v>
      </c>
      <c r="C14" s="1157"/>
      <c r="D14" s="1157"/>
      <c r="E14" s="1157"/>
      <c r="F14" s="1157"/>
      <c r="G14" s="1158"/>
    </row>
    <row r="15" spans="2:7">
      <c r="B15" s="613"/>
      <c r="C15" s="1159" t="s">
        <v>1385</v>
      </c>
      <c r="D15" s="1159" t="s">
        <v>718</v>
      </c>
      <c r="E15" s="1159" t="s">
        <v>836</v>
      </c>
      <c r="F15" s="1160"/>
      <c r="G15" s="1144"/>
    </row>
    <row r="16" spans="2:7">
      <c r="B16" s="613">
        <v>2025</v>
      </c>
      <c r="C16" s="1161">
        <v>113</v>
      </c>
      <c r="D16" s="1161">
        <v>98</v>
      </c>
      <c r="E16" s="1161"/>
      <c r="F16" s="1160"/>
      <c r="G16" s="1144"/>
    </row>
    <row r="17" spans="2:7" ht="39" customHeight="1" thickBot="1">
      <c r="B17" s="1162" t="s">
        <v>1386</v>
      </c>
      <c r="C17" s="336">
        <v>135</v>
      </c>
      <c r="D17" s="336">
        <v>95</v>
      </c>
      <c r="E17" s="1163" t="s">
        <v>1390</v>
      </c>
      <c r="F17" s="1163"/>
      <c r="G17" s="1164"/>
    </row>
    <row r="19" spans="2:7" ht="15.75" thickBot="1"/>
    <row r="20" spans="2:7" ht="15.75" thickBot="1">
      <c r="B20" s="1156" t="s">
        <v>1389</v>
      </c>
      <c r="C20" s="1157"/>
      <c r="D20" s="1157"/>
      <c r="E20" s="1157"/>
      <c r="F20" s="1157"/>
      <c r="G20" s="1158"/>
    </row>
    <row r="21" spans="2:7" ht="15.75" thickBot="1">
      <c r="B21" s="1151">
        <v>2025</v>
      </c>
      <c r="C21" s="1152">
        <v>68.3</v>
      </c>
      <c r="D21" s="1161"/>
      <c r="E21" s="1161"/>
      <c r="F21" s="1160"/>
      <c r="G21" s="1144"/>
    </row>
    <row r="22" spans="2:7">
      <c r="B22" s="613"/>
      <c r="C22" s="1161" t="s">
        <v>1311</v>
      </c>
      <c r="D22" s="1161" t="s">
        <v>1327</v>
      </c>
      <c r="E22" s="1161" t="s">
        <v>1381</v>
      </c>
      <c r="F22" s="1160"/>
      <c r="G22" s="1144"/>
    </row>
    <row r="23" spans="2:7">
      <c r="B23" s="613" t="s">
        <v>12</v>
      </c>
      <c r="C23" s="1161">
        <v>530</v>
      </c>
      <c r="D23" s="1161">
        <v>528</v>
      </c>
      <c r="E23" s="1161">
        <v>527</v>
      </c>
      <c r="F23" s="1160"/>
      <c r="G23" s="1144"/>
    </row>
    <row r="24" spans="2:7">
      <c r="B24" s="613" t="s">
        <v>50</v>
      </c>
      <c r="C24" s="1165">
        <f>C11</f>
        <v>528.02800000000002</v>
      </c>
      <c r="D24" s="1165">
        <f>D11</f>
        <v>541.43109905734457</v>
      </c>
      <c r="E24" s="1165">
        <f>E11</f>
        <v>543.69394851208756</v>
      </c>
      <c r="F24" s="1160"/>
      <c r="G24" s="1144"/>
    </row>
    <row r="25" spans="2:7" ht="15.75" thickBot="1">
      <c r="B25" s="613" t="s">
        <v>1392</v>
      </c>
      <c r="C25" s="1166">
        <v>1459</v>
      </c>
      <c r="D25" s="1166">
        <v>1532</v>
      </c>
      <c r="E25" s="1166">
        <v>1530</v>
      </c>
      <c r="F25" s="1160"/>
      <c r="G25" s="1144"/>
    </row>
    <row r="26" spans="2:7" ht="15.75" thickBot="1">
      <c r="B26" s="1153">
        <v>2026</v>
      </c>
      <c r="C26" s="1154">
        <v>65.099999999999994</v>
      </c>
      <c r="D26" s="1154">
        <v>75.2</v>
      </c>
      <c r="E26" s="1155">
        <v>75.099999999999994</v>
      </c>
      <c r="F26" s="1160"/>
      <c r="G26" s="1144"/>
    </row>
    <row r="27" spans="2:7">
      <c r="B27" s="613" t="s">
        <v>1391</v>
      </c>
      <c r="C27" s="1161">
        <f>C26-C21</f>
        <v>-3.2000000000000028</v>
      </c>
      <c r="D27" s="1161">
        <f>D26-C21</f>
        <v>6.9000000000000057</v>
      </c>
      <c r="E27" s="1161">
        <f>E26-C21</f>
        <v>6.7999999999999972</v>
      </c>
      <c r="F27" s="1160"/>
      <c r="G27" s="1144"/>
    </row>
    <row r="28" spans="2:7" ht="15.75" thickBot="1">
      <c r="B28" s="1162" t="s">
        <v>836</v>
      </c>
      <c r="C28" s="1167" t="s">
        <v>1393</v>
      </c>
      <c r="D28" s="336"/>
      <c r="E28" s="336"/>
      <c r="F28" s="539"/>
      <c r="G28" s="352"/>
    </row>
  </sheetData>
  <mergeCells count="5">
    <mergeCell ref="F3:G3"/>
    <mergeCell ref="B2:G2"/>
    <mergeCell ref="B14:G14"/>
    <mergeCell ref="B20:G20"/>
    <mergeCell ref="E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CDC7-1AB5-49DC-A138-2EA1F437D0E8}">
  <sheetPr codeName="Sheet1">
    <tabColor rgb="FF00B0F0"/>
  </sheetPr>
  <dimension ref="A1:AJ193"/>
  <sheetViews>
    <sheetView showGridLines="0" zoomScale="70" zoomScaleNormal="70" zoomScaleSheetLayoutView="80" workbookViewId="0">
      <pane xSplit="3" ySplit="4" topLeftCell="D90" activePane="bottomRight" state="frozen"/>
      <selection pane="topRight" activeCell="H49" sqref="H49"/>
      <selection pane="bottomLeft" activeCell="H49" sqref="H49"/>
      <selection pane="bottomRight" activeCell="P118" sqref="P118"/>
    </sheetView>
  </sheetViews>
  <sheetFormatPr defaultColWidth="9.42578125" defaultRowHeight="12.75"/>
  <cols>
    <col min="1" max="1" width="13.42578125" style="2" customWidth="1"/>
    <col min="2" max="2" width="11.42578125" style="1" bestFit="1" customWidth="1"/>
    <col min="3" max="3" width="22.7109375" style="1" customWidth="1"/>
    <col min="4" max="4" width="17.5703125" style="2" customWidth="1"/>
    <col min="5" max="5" width="15.7109375" style="2" bestFit="1" customWidth="1"/>
    <col min="6" max="6" width="16" style="2" bestFit="1" customWidth="1"/>
    <col min="7" max="15" width="13.28515625" style="2" customWidth="1"/>
    <col min="16" max="16" width="17.42578125" style="2" customWidth="1"/>
    <col min="17" max="17" width="20.28515625" style="2" customWidth="1"/>
    <col min="18" max="18" width="12.42578125" style="2" customWidth="1"/>
    <col min="19" max="19" width="9.5703125" style="2" customWidth="1"/>
    <col min="20" max="20" width="77.28515625" style="70" customWidth="1"/>
    <col min="21" max="21" width="16.42578125" style="70" bestFit="1" customWidth="1"/>
    <col min="22" max="22" width="11.5703125" style="2" customWidth="1"/>
    <col min="23" max="23" width="11" style="2" customWidth="1"/>
    <col min="24" max="24" width="11.42578125" style="2" customWidth="1"/>
    <col min="25" max="25" width="11.5703125" style="2" customWidth="1"/>
    <col min="26" max="26" width="11" style="2" customWidth="1"/>
    <col min="27" max="27" width="10.5703125" style="2" customWidth="1"/>
    <col min="28" max="28" width="12.5703125" style="2" customWidth="1"/>
    <col min="29" max="29" width="12.42578125" style="2" customWidth="1"/>
    <col min="30" max="16384" width="9.42578125" style="2"/>
  </cols>
  <sheetData>
    <row r="1" spans="1:29" ht="15" customHeight="1">
      <c r="D1" s="15">
        <v>110</v>
      </c>
      <c r="E1" s="15">
        <v>110</v>
      </c>
      <c r="F1" s="15">
        <v>120</v>
      </c>
      <c r="G1" s="15">
        <f>SUM(D1:F1)</f>
        <v>340</v>
      </c>
      <c r="H1" s="15">
        <f>G1*4</f>
        <v>1360</v>
      </c>
      <c r="I1" s="15"/>
      <c r="J1" s="15"/>
      <c r="K1" s="15"/>
      <c r="L1" s="15"/>
      <c r="M1" s="15"/>
      <c r="N1" s="15"/>
      <c r="O1" s="15"/>
      <c r="P1" s="15"/>
    </row>
    <row r="2" spans="1:29" ht="15" customHeight="1">
      <c r="H2" s="844">
        <f>G1*3.5</f>
        <v>1190</v>
      </c>
      <c r="K2" s="13"/>
      <c r="L2" s="13"/>
      <c r="M2" s="13"/>
      <c r="N2" s="13"/>
      <c r="O2" s="13"/>
      <c r="P2" s="13"/>
    </row>
    <row r="3" spans="1:29" ht="19.5" customHeight="1">
      <c r="B3" s="37" t="s">
        <v>63</v>
      </c>
      <c r="C3" s="1096" t="s">
        <v>64</v>
      </c>
      <c r="D3" s="1096"/>
      <c r="E3" s="1096"/>
      <c r="F3" s="1096"/>
      <c r="G3" s="1096"/>
      <c r="H3" s="1096"/>
      <c r="I3" s="1096"/>
      <c r="J3" s="1096"/>
      <c r="K3" s="1096"/>
      <c r="L3" s="1096"/>
      <c r="M3" s="1096"/>
      <c r="N3" s="1096"/>
      <c r="O3" s="1096"/>
      <c r="R3" s="31" t="s">
        <v>65</v>
      </c>
      <c r="S3" s="32"/>
      <c r="T3" s="71" t="s">
        <v>66</v>
      </c>
      <c r="U3" s="752"/>
    </row>
    <row r="4" spans="1:29" s="3" customFormat="1">
      <c r="A4" s="3" t="s">
        <v>67</v>
      </c>
      <c r="B4" s="4" t="s">
        <v>63</v>
      </c>
      <c r="C4" s="4" t="s">
        <v>17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  <c r="N4" s="5" t="s">
        <v>78</v>
      </c>
      <c r="O4" s="5" t="s">
        <v>79</v>
      </c>
      <c r="P4" s="187" t="s">
        <v>1326</v>
      </c>
      <c r="Q4" s="188" t="s">
        <v>1309</v>
      </c>
      <c r="R4" s="5" t="s">
        <v>80</v>
      </c>
      <c r="S4" s="6" t="s">
        <v>81</v>
      </c>
      <c r="T4" s="71" t="s">
        <v>66</v>
      </c>
      <c r="U4" s="187" t="s">
        <v>1186</v>
      </c>
    </row>
    <row r="5" spans="1:29" ht="15" customHeight="1">
      <c r="A5" s="2" t="s">
        <v>21</v>
      </c>
      <c r="B5" s="35">
        <v>5914</v>
      </c>
      <c r="C5" s="35" t="s">
        <v>21</v>
      </c>
      <c r="D5" s="42">
        <f>SUMIFS('2026'!$L:$L,'2026'!$J:$J,$B5&amp;$C5,'2026'!$O:$O,D$4)</f>
        <v>40870</v>
      </c>
      <c r="E5" s="42">
        <f>SUMIFS('2026'!$L:$L,'2026'!$J:$J,$B5&amp;$C5,'2026'!$O:$O,E$4)</f>
        <v>84448</v>
      </c>
      <c r="F5" s="42">
        <f>SUMIFS('2026'!$L:$L,'2026'!$J:$J,$B5&amp;$C5,'2026'!$O:$O,F$4)</f>
        <v>63514</v>
      </c>
      <c r="G5" s="42">
        <f>SUMIFS('2026'!$L:$L,'2026'!$J:$J,$B5&amp;$C5,'2026'!$O:$O,G$4)</f>
        <v>63648</v>
      </c>
      <c r="H5" s="42">
        <f>SUMIFS('2026'!$L:$L,'2026'!$J:$J,$B5&amp;$C5,'2026'!$O:$O,H$4)</f>
        <v>95999</v>
      </c>
      <c r="I5" s="42">
        <f>SUMIFS('2026'!$L:$L,'2026'!$J:$J,$B5&amp;$C5,'2026'!$O:$O,I$4)</f>
        <v>27404</v>
      </c>
      <c r="J5" s="42">
        <f>SUMIFS('2026'!$L:$L,'2026'!$J:$J,$B5&amp;$C5,'2026'!$O:$O,J$4)</f>
        <v>50830</v>
      </c>
      <c r="K5" s="42">
        <f>SUMIFS('2026'!$L:$L,'2026'!$J:$J,$B5&amp;$C5,'2026'!$O:$O,K$4)</f>
        <v>53040</v>
      </c>
      <c r="L5" s="42">
        <f>SUMIFS('2026'!$L:$L,'2026'!$J:$J,$B5&amp;$C5,'2026'!$O:$O,L$4)</f>
        <v>20774</v>
      </c>
      <c r="M5" s="42">
        <f>SUMIFS('2026'!$L:$L,'2026'!$J:$J,$B5&amp;$C5,'2026'!$O:$O,M$4)</f>
        <v>15912</v>
      </c>
      <c r="N5" s="42">
        <f>SUMIFS('2026'!$L:$L,'2026'!$J:$J,$B5&amp;$C5,'2026'!$O:$O,N$4)</f>
        <v>49946</v>
      </c>
      <c r="O5" s="42">
        <f>SUMIFS('2026'!$L:$L,'2026'!$J:$J,$B5&amp;$C5,'2026'!$O:$O,O$4)</f>
        <v>0</v>
      </c>
      <c r="P5" s="61">
        <f t="shared" ref="P5:P12" si="0">SUM(D5:O5)</f>
        <v>566385</v>
      </c>
      <c r="Q5" s="602">
        <v>504816.4</v>
      </c>
      <c r="R5" s="8">
        <f t="shared" ref="R5:R13" si="1">P5-Q5</f>
        <v>61568.599999999977</v>
      </c>
      <c r="S5" s="9">
        <f t="shared" ref="S5:S14" si="2">IF(ISERROR(R5/Q5),"",R5/Q5)</f>
        <v>0.12196236096925531</v>
      </c>
      <c r="T5" s="73" t="s">
        <v>1261</v>
      </c>
      <c r="U5" s="61">
        <v>469585</v>
      </c>
      <c r="V5" s="28"/>
      <c r="W5" s="28"/>
      <c r="X5" s="28"/>
      <c r="Y5" s="28"/>
      <c r="Z5" s="28"/>
      <c r="AA5" s="28"/>
      <c r="AB5" s="28"/>
    </row>
    <row r="6" spans="1:29" ht="15" customHeight="1">
      <c r="A6" s="2" t="s">
        <v>38</v>
      </c>
      <c r="B6" s="35">
        <v>5914</v>
      </c>
      <c r="C6" s="35" t="s">
        <v>86</v>
      </c>
      <c r="D6" s="42">
        <f>SUMIFS('2026'!$L:$L,'2026'!$J:$J,$B6&amp;$C6,'2026'!$O:$O,D$4)</f>
        <v>0</v>
      </c>
      <c r="E6" s="42">
        <f>SUMIFS('2026'!$L:$L,'2026'!$J:$J,$B6&amp;$C6,'2026'!$O:$O,E$4)</f>
        <v>0</v>
      </c>
      <c r="F6" s="42">
        <f>SUMIFS('2026'!$L:$L,'2026'!$J:$J,$B6&amp;$C6,'2026'!$O:$O,F$4)</f>
        <v>0</v>
      </c>
      <c r="G6" s="42">
        <f>SUMIFS('2026'!$L:$L,'2026'!$J:$J,$B6&amp;$C6,'2026'!$O:$O,G$4)</f>
        <v>0</v>
      </c>
      <c r="H6" s="42">
        <f>SUMIFS('2026'!$L:$L,'2026'!$J:$J,$B6&amp;$C6,'2026'!$O:$O,H$4)</f>
        <v>0</v>
      </c>
      <c r="I6" s="42">
        <f>SUMIFS('2026'!$L:$L,'2026'!$J:$J,$B6&amp;$C6,'2026'!$O:$O,I$4)</f>
        <v>0</v>
      </c>
      <c r="J6" s="42">
        <f>SUMIFS('2026'!$L:$L,'2026'!$J:$J,$B6&amp;$C6,'2026'!$O:$O,J$4)</f>
        <v>0</v>
      </c>
      <c r="K6" s="42">
        <f>SUMIFS('2026'!$L:$L,'2026'!$J:$J,$B6&amp;$C6,'2026'!$O:$O,K$4)</f>
        <v>0</v>
      </c>
      <c r="L6" s="42">
        <f>SUMIFS('2026'!$L:$L,'2026'!$J:$J,$B6&amp;$C6,'2026'!$O:$O,L$4)</f>
        <v>0</v>
      </c>
      <c r="M6" s="42">
        <f>SUMIFS('2026'!$L:$L,'2026'!$J:$J,$B6&amp;$C6,'2026'!$O:$O,M$4)</f>
        <v>0</v>
      </c>
      <c r="N6" s="42">
        <f>SUMIFS('2026'!$L:$L,'2026'!$J:$J,$B6&amp;$C6,'2026'!$O:$O,N$4)</f>
        <v>0</v>
      </c>
      <c r="O6" s="42">
        <f>SUMIFS('2026'!$L:$L,'2026'!$J:$J,$B6&amp;$C6,'2026'!$O:$O,O$4)</f>
        <v>0</v>
      </c>
      <c r="P6" s="61">
        <f t="shared" si="0"/>
        <v>0</v>
      </c>
      <c r="Q6" s="602">
        <v>0</v>
      </c>
      <c r="R6" s="8">
        <f t="shared" si="1"/>
        <v>0</v>
      </c>
      <c r="S6" s="9" t="str">
        <f t="shared" si="2"/>
        <v/>
      </c>
      <c r="T6" s="73" t="s">
        <v>1262</v>
      </c>
      <c r="U6" s="61">
        <v>321236</v>
      </c>
      <c r="V6" s="28"/>
      <c r="W6" s="28"/>
      <c r="X6" s="28"/>
      <c r="Y6" s="28"/>
      <c r="Z6" s="28"/>
      <c r="AA6" s="28"/>
      <c r="AB6" s="28"/>
    </row>
    <row r="7" spans="1:29" ht="15" customHeight="1">
      <c r="A7" s="2" t="s">
        <v>29</v>
      </c>
      <c r="B7" s="36">
        <v>5914</v>
      </c>
      <c r="C7" s="36" t="s">
        <v>87</v>
      </c>
      <c r="D7" s="42">
        <f>SUMIFS('2026'!$L:$L,'2026'!$J:$J,$B7&amp;$C7,'2026'!$O:$O,D$4)</f>
        <v>56422</v>
      </c>
      <c r="E7" s="42">
        <f>SUMIFS('2026'!$L:$L,'2026'!$J:$J,$B7&amp;$C7,'2026'!$O:$O,E$4)</f>
        <v>0</v>
      </c>
      <c r="F7" s="42">
        <f>SUMIFS('2026'!$L:$L,'2026'!$J:$J,$B7&amp;$C7,'2026'!$O:$O,F$4)</f>
        <v>76571</v>
      </c>
      <c r="G7" s="42">
        <f>SUMIFS('2026'!$L:$L,'2026'!$J:$J,$B7&amp;$C7,'2026'!$O:$O,G$4)</f>
        <v>32832</v>
      </c>
      <c r="H7" s="42">
        <f>SUMIFS('2026'!$L:$L,'2026'!$J:$J,$B7&amp;$C7,'2026'!$O:$O,H$4)</f>
        <v>62784</v>
      </c>
      <c r="I7" s="42">
        <f>SUMIFS('2026'!$L:$L,'2026'!$J:$J,$B7&amp;$C7,'2026'!$O:$O,I$4)</f>
        <v>0</v>
      </c>
      <c r="J7" s="42">
        <f>SUMIFS('2026'!$L:$L,'2026'!$J:$J,$B7&amp;$C7,'2026'!$O:$O,J$4)</f>
        <v>0</v>
      </c>
      <c r="K7" s="42">
        <f>SUMIFS('2026'!$L:$L,'2026'!$J:$J,$B7&amp;$C7,'2026'!$O:$O,K$4)</f>
        <v>0</v>
      </c>
      <c r="L7" s="42">
        <f>SUMIFS('2026'!$L:$L,'2026'!$J:$J,$B7&amp;$C7,'2026'!$O:$O,L$4)</f>
        <v>0</v>
      </c>
      <c r="M7" s="42">
        <f>SUMIFS('2026'!$L:$L,'2026'!$J:$J,$B7&amp;$C7,'2026'!$O:$O,M$4)</f>
        <v>0</v>
      </c>
      <c r="N7" s="42">
        <f>SUMIFS('2026'!$L:$L,'2026'!$J:$J,$B7&amp;$C7,'2026'!$O:$O,N$4)</f>
        <v>0</v>
      </c>
      <c r="O7" s="42">
        <f>SUMIFS('2026'!$L:$L,'2026'!$J:$J,$B7&amp;$C7,'2026'!$O:$O,O$4)</f>
        <v>0</v>
      </c>
      <c r="P7" s="61">
        <f t="shared" si="0"/>
        <v>228609</v>
      </c>
      <c r="Q7" s="603">
        <v>147967.6</v>
      </c>
      <c r="R7" s="8">
        <f t="shared" si="1"/>
        <v>80641.399999999994</v>
      </c>
      <c r="S7" s="9">
        <f t="shared" si="2"/>
        <v>0.54499363374144061</v>
      </c>
      <c r="T7" s="73"/>
      <c r="U7" s="61">
        <v>446691</v>
      </c>
      <c r="V7" s="28"/>
      <c r="W7" s="28"/>
      <c r="X7" s="28"/>
      <c r="Y7" s="28"/>
      <c r="Z7" s="28"/>
      <c r="AA7" s="28"/>
      <c r="AB7" s="28"/>
    </row>
    <row r="8" spans="1:29" ht="15" customHeight="1">
      <c r="A8" s="2" t="s">
        <v>25</v>
      </c>
      <c r="B8" s="36">
        <v>5914</v>
      </c>
      <c r="C8" s="36" t="s">
        <v>88</v>
      </c>
      <c r="D8" s="42">
        <f>SUMIFS('2026'!$L:$L,'2026'!$J:$J,$B8&amp;$C8,'2026'!$O:$O,D$4)</f>
        <v>0</v>
      </c>
      <c r="E8" s="42">
        <f>SUMIFS('2026'!$L:$L,'2026'!$J:$J,$B8&amp;$C8,'2026'!$O:$O,E$4)</f>
        <v>0</v>
      </c>
      <c r="F8" s="42">
        <f>SUMIFS('2026'!$L:$L,'2026'!$J:$J,$B8&amp;$C8,'2026'!$O:$O,F$4)</f>
        <v>0</v>
      </c>
      <c r="G8" s="42">
        <f>SUMIFS('2026'!$L:$L,'2026'!$J:$J,$B8&amp;$C8,'2026'!$O:$O,G$4)</f>
        <v>0</v>
      </c>
      <c r="H8" s="42">
        <f>SUMIFS('2026'!$L:$L,'2026'!$J:$J,$B8&amp;$C8,'2026'!$O:$O,H$4)</f>
        <v>0</v>
      </c>
      <c r="I8" s="42">
        <f>SUMIFS('2026'!$L:$L,'2026'!$J:$J,$B8&amp;$C8,'2026'!$O:$O,I$4)</f>
        <v>0</v>
      </c>
      <c r="J8" s="42">
        <f>SUMIFS('2026'!$L:$L,'2026'!$J:$J,$B8&amp;$C8,'2026'!$O:$O,J$4)</f>
        <v>0</v>
      </c>
      <c r="K8" s="42">
        <f>SUMIFS('2026'!$L:$L,'2026'!$J:$J,$B8&amp;$C8,'2026'!$O:$O,K$4)</f>
        <v>0</v>
      </c>
      <c r="L8" s="42">
        <f>SUMIFS('2026'!$L:$L,'2026'!$J:$J,$B8&amp;$C8,'2026'!$O:$O,L$4)</f>
        <v>0</v>
      </c>
      <c r="M8" s="42">
        <f>SUMIFS('2026'!$L:$L,'2026'!$J:$J,$B8&amp;$C8,'2026'!$O:$O,M$4)</f>
        <v>0</v>
      </c>
      <c r="N8" s="42">
        <f>SUMIFS('2026'!$L:$L,'2026'!$J:$J,$B8&amp;$C8,'2026'!$O:$O,N$4)</f>
        <v>0</v>
      </c>
      <c r="O8" s="42">
        <f>SUMIFS('2026'!$L:$L,'2026'!$J:$J,$B8&amp;$C8,'2026'!$O:$O,O$4)</f>
        <v>0</v>
      </c>
      <c r="P8" s="61">
        <f t="shared" si="0"/>
        <v>0</v>
      </c>
      <c r="Q8" s="603">
        <v>0</v>
      </c>
      <c r="R8" s="8"/>
      <c r="S8" s="9" t="str">
        <f t="shared" si="2"/>
        <v/>
      </c>
      <c r="T8" s="73"/>
      <c r="U8" s="61">
        <v>0</v>
      </c>
      <c r="V8" s="28"/>
      <c r="W8" s="28"/>
      <c r="X8" s="28"/>
      <c r="Y8" s="28"/>
      <c r="Z8" s="28"/>
      <c r="AA8" s="28"/>
      <c r="AB8" s="28"/>
    </row>
    <row r="9" spans="1:29" ht="15" customHeight="1">
      <c r="A9" s="2" t="s">
        <v>21</v>
      </c>
      <c r="B9" s="36">
        <v>5914</v>
      </c>
      <c r="C9" s="36" t="s">
        <v>89</v>
      </c>
      <c r="D9" s="42">
        <f>SUMIFS('2026'!$L:$L,'2026'!$J:$J,$B9&amp;$C9,'2026'!$O:$O,D$4)</f>
        <v>0</v>
      </c>
      <c r="E9" s="42">
        <f>SUMIFS('2026'!$L:$L,'2026'!$J:$J,$B9&amp;$C9,'2026'!$O:$O,E$4)</f>
        <v>0</v>
      </c>
      <c r="F9" s="42">
        <f>SUMIFS('2026'!$L:$L,'2026'!$J:$J,$B9&amp;$C9,'2026'!$O:$O,F$4)</f>
        <v>0</v>
      </c>
      <c r="G9" s="42">
        <f>SUMIFS('2026'!$L:$L,'2026'!$J:$J,$B9&amp;$C9,'2026'!$O:$O,G$4)</f>
        <v>0</v>
      </c>
      <c r="H9" s="42">
        <f>SUMIFS('2026'!$L:$L,'2026'!$J:$J,$B9&amp;$C9,'2026'!$O:$O,H$4)</f>
        <v>0</v>
      </c>
      <c r="I9" s="42">
        <f>SUMIFS('2026'!$L:$L,'2026'!$J:$J,$B9&amp;$C9,'2026'!$O:$O,I$4)</f>
        <v>0</v>
      </c>
      <c r="J9" s="42">
        <f>SUMIFS('2026'!$L:$L,'2026'!$J:$J,$B9&amp;$C9,'2026'!$O:$O,J$4)</f>
        <v>0</v>
      </c>
      <c r="K9" s="42">
        <f>SUMIFS('2026'!$L:$L,'2026'!$J:$J,$B9&amp;$C9,'2026'!$O:$O,K$4)</f>
        <v>0</v>
      </c>
      <c r="L9" s="42">
        <f>SUMIFS('2026'!$L:$L,'2026'!$J:$J,$B9&amp;$C9,'2026'!$O:$O,L$4)</f>
        <v>0</v>
      </c>
      <c r="M9" s="42">
        <f>SUMIFS('2026'!$L:$L,'2026'!$J:$J,$B9&amp;$C9,'2026'!$O:$O,M$4)</f>
        <v>0</v>
      </c>
      <c r="N9" s="42">
        <f>SUMIFS('2026'!$L:$L,'2026'!$J:$J,$B9&amp;$C9,'2026'!$O:$O,N$4)</f>
        <v>0</v>
      </c>
      <c r="O9" s="42">
        <f>SUMIFS('2026'!$L:$L,'2026'!$J:$J,$B9&amp;$C9,'2026'!$O:$O,O$4)</f>
        <v>0</v>
      </c>
      <c r="P9" s="61">
        <f t="shared" si="0"/>
        <v>0</v>
      </c>
      <c r="Q9" s="604">
        <v>0</v>
      </c>
      <c r="R9" s="8"/>
      <c r="S9" s="9" t="str">
        <f t="shared" si="2"/>
        <v/>
      </c>
      <c r="T9" s="73"/>
      <c r="U9" s="61">
        <v>0</v>
      </c>
      <c r="V9" s="28"/>
      <c r="W9" s="28"/>
      <c r="X9" s="28"/>
      <c r="Y9" s="28"/>
      <c r="Z9" s="28"/>
      <c r="AA9" s="28"/>
      <c r="AB9" s="28"/>
    </row>
    <row r="10" spans="1:29" ht="15" customHeight="1">
      <c r="A10" s="2" t="s">
        <v>25</v>
      </c>
      <c r="B10" s="36">
        <v>5914</v>
      </c>
      <c r="C10" s="36" t="s">
        <v>25</v>
      </c>
      <c r="D10" s="42">
        <f>SUMIFS('2026'!$L:$L,'2026'!$J:$J,$B10&amp;$C10,'2026'!$O:$O,D$4)</f>
        <v>0</v>
      </c>
      <c r="E10" s="42">
        <f>SUMIFS('2026'!$L:$L,'2026'!$J:$J,$B10&amp;$C10,'2026'!$O:$O,E$4)</f>
        <v>0</v>
      </c>
      <c r="F10" s="42">
        <f>SUMIFS('2026'!$L:$L,'2026'!$J:$J,$B10&amp;$C10,'2026'!$O:$O,F$4)</f>
        <v>0</v>
      </c>
      <c r="G10" s="42">
        <f>SUMIFS('2026'!$L:$L,'2026'!$J:$J,$B10&amp;$C10,'2026'!$O:$O,G$4)</f>
        <v>0</v>
      </c>
      <c r="H10" s="42">
        <f>SUMIFS('2026'!$L:$L,'2026'!$J:$J,$B10&amp;$C10,'2026'!$O:$O,H$4)</f>
        <v>0</v>
      </c>
      <c r="I10" s="42">
        <f>SUMIFS('2026'!$L:$L,'2026'!$J:$J,$B10&amp;$C10,'2026'!$O:$O,I$4)</f>
        <v>0</v>
      </c>
      <c r="J10" s="42">
        <f>SUMIFS('2026'!$L:$L,'2026'!$J:$J,$B10&amp;$C10,'2026'!$O:$O,J$4)</f>
        <v>0</v>
      </c>
      <c r="K10" s="42">
        <f>SUMIFS('2026'!$L:$L,'2026'!$J:$J,$B10&amp;$C10,'2026'!$O:$O,K$4)</f>
        <v>0</v>
      </c>
      <c r="L10" s="42">
        <f>SUMIFS('2026'!$L:$L,'2026'!$J:$J,$B10&amp;$C10,'2026'!$O:$O,L$4)</f>
        <v>0</v>
      </c>
      <c r="M10" s="42">
        <f>SUMIFS('2026'!$L:$L,'2026'!$J:$J,$B10&amp;$C10,'2026'!$O:$O,M$4)</f>
        <v>0</v>
      </c>
      <c r="N10" s="42">
        <f>SUMIFS('2026'!$L:$L,'2026'!$J:$J,$B10&amp;$C10,'2026'!$O:$O,N$4)</f>
        <v>0</v>
      </c>
      <c r="O10" s="42">
        <f>SUMIFS('2026'!$L:$L,'2026'!$J:$J,$B10&amp;$C10,'2026'!$O:$O,O$4)</f>
        <v>0</v>
      </c>
      <c r="P10" s="61">
        <f t="shared" si="0"/>
        <v>0</v>
      </c>
      <c r="Q10" s="603">
        <v>0</v>
      </c>
      <c r="R10" s="8">
        <f t="shared" si="1"/>
        <v>0</v>
      </c>
      <c r="S10" s="9" t="str">
        <f t="shared" si="2"/>
        <v/>
      </c>
      <c r="T10" s="73"/>
      <c r="U10" s="61">
        <v>0</v>
      </c>
      <c r="V10" s="28"/>
      <c r="W10" s="28"/>
      <c r="X10" s="28"/>
      <c r="Y10" s="28"/>
      <c r="Z10" s="28"/>
      <c r="AA10" s="28"/>
      <c r="AB10" s="28"/>
    </row>
    <row r="11" spans="1:29" ht="15" customHeight="1">
      <c r="A11" s="2" t="s">
        <v>25</v>
      </c>
      <c r="B11" s="36">
        <v>5914</v>
      </c>
      <c r="C11" s="36" t="s">
        <v>90</v>
      </c>
      <c r="D11" s="42">
        <f>SUMIFS('2026'!$L:$L,'2026'!$J:$J,$B11&amp;$C11,'2026'!$O:$O,D$4)</f>
        <v>0</v>
      </c>
      <c r="E11" s="42">
        <f>SUMIFS('2026'!$L:$L,'2026'!$J:$J,$B11&amp;$C11,'2026'!$O:$O,E$4)</f>
        <v>0</v>
      </c>
      <c r="F11" s="42">
        <f>SUMIFS('2026'!$L:$L,'2026'!$J:$J,$B11&amp;$C11,'2026'!$O:$O,F$4)</f>
        <v>0</v>
      </c>
      <c r="G11" s="42">
        <f>SUMIFS('2026'!$L:$L,'2026'!$J:$J,$B11&amp;$C11,'2026'!$O:$O,G$4)</f>
        <v>0</v>
      </c>
      <c r="H11" s="42">
        <f>SUMIFS('2026'!$L:$L,'2026'!$J:$J,$B11&amp;$C11,'2026'!$O:$O,H$4)</f>
        <v>0</v>
      </c>
      <c r="I11" s="42">
        <f>SUMIFS('2026'!$L:$L,'2026'!$J:$J,$B11&amp;$C11,'2026'!$O:$O,I$4)</f>
        <v>0</v>
      </c>
      <c r="J11" s="42">
        <f>SUMIFS('2026'!$L:$L,'2026'!$J:$J,$B11&amp;$C11,'2026'!$O:$O,J$4)</f>
        <v>0</v>
      </c>
      <c r="K11" s="42">
        <f>SUMIFS('2026'!$L:$L,'2026'!$J:$J,$B11&amp;$C11,'2026'!$O:$O,K$4)</f>
        <v>0</v>
      </c>
      <c r="L11" s="42">
        <f>SUMIFS('2026'!$L:$L,'2026'!$J:$J,$B11&amp;$C11,'2026'!$O:$O,L$4)</f>
        <v>0</v>
      </c>
      <c r="M11" s="42">
        <f>SUMIFS('2026'!$L:$L,'2026'!$J:$J,$B11&amp;$C11,'2026'!$O:$O,M$4)</f>
        <v>0</v>
      </c>
      <c r="N11" s="42">
        <f>SUMIFS('2026'!$L:$L,'2026'!$J:$J,$B11&amp;$C11,'2026'!$O:$O,N$4)</f>
        <v>0</v>
      </c>
      <c r="O11" s="42">
        <f>SUMIFS('2026'!$L:$L,'2026'!$J:$J,$B11&amp;$C11,'2026'!$O:$O,O$4)</f>
        <v>0</v>
      </c>
      <c r="P11" s="61">
        <f t="shared" si="0"/>
        <v>0</v>
      </c>
      <c r="Q11" s="603">
        <v>0</v>
      </c>
      <c r="R11" s="8">
        <f t="shared" si="1"/>
        <v>0</v>
      </c>
      <c r="S11" s="9" t="str">
        <f t="shared" si="2"/>
        <v/>
      </c>
      <c r="T11" s="73"/>
      <c r="U11" s="61">
        <v>0</v>
      </c>
      <c r="V11" s="28"/>
      <c r="W11" s="28"/>
      <c r="X11" s="28"/>
      <c r="Y11" s="28"/>
      <c r="Z11" s="28"/>
      <c r="AA11" s="28"/>
      <c r="AB11" s="28"/>
      <c r="AC11" s="28"/>
    </row>
    <row r="12" spans="1:29" ht="15" customHeight="1">
      <c r="A12" s="2" t="s">
        <v>40</v>
      </c>
      <c r="B12" s="36">
        <v>5914</v>
      </c>
      <c r="C12" s="36" t="s">
        <v>91</v>
      </c>
      <c r="D12" s="42">
        <f>SUMIFS('2026'!$L:$L,'2026'!$J:$J,$B12&amp;$C12,'2026'!$O:$O,D$4)</f>
        <v>0</v>
      </c>
      <c r="E12" s="42">
        <f>SUMIFS('2026'!$L:$L,'2026'!$J:$J,$B12&amp;$C12,'2026'!$O:$O,E$4)</f>
        <v>0</v>
      </c>
      <c r="F12" s="42">
        <f>SUMIFS('2026'!$L:$L,'2026'!$J:$J,$B12&amp;$C12,'2026'!$O:$O,F$4)</f>
        <v>0</v>
      </c>
      <c r="G12" s="42">
        <f>SUMIFS('2026'!$L:$L,'2026'!$J:$J,$B12&amp;$C12,'2026'!$O:$O,G$4)</f>
        <v>0</v>
      </c>
      <c r="H12" s="42">
        <f>SUMIFS('2026'!$L:$L,'2026'!$J:$J,$B12&amp;$C12,'2026'!$O:$O,H$4)</f>
        <v>0</v>
      </c>
      <c r="I12" s="42">
        <f>SUMIFS('2026'!$L:$L,'2026'!$J:$J,$B12&amp;$C12,'2026'!$O:$O,I$4)</f>
        <v>0</v>
      </c>
      <c r="J12" s="42">
        <f>SUMIFS('2026'!$L:$L,'2026'!$J:$J,$B12&amp;$C12,'2026'!$O:$O,J$4)</f>
        <v>0</v>
      </c>
      <c r="K12" s="42">
        <f>SUMIFS('2026'!$L:$L,'2026'!$J:$J,$B12&amp;$C12,'2026'!$O:$O,K$4)</f>
        <v>0</v>
      </c>
      <c r="L12" s="42">
        <f>SUMIFS('2026'!$L:$L,'2026'!$J:$J,$B12&amp;$C12,'2026'!$O:$O,L$4)</f>
        <v>0</v>
      </c>
      <c r="M12" s="42">
        <f>SUMIFS('2026'!$L:$L,'2026'!$J:$J,$B12&amp;$C12,'2026'!$O:$O,M$4)</f>
        <v>0</v>
      </c>
      <c r="N12" s="42">
        <f>SUMIFS('2026'!$L:$L,'2026'!$J:$J,$B12&amp;$C12,'2026'!$O:$O,N$4)</f>
        <v>0</v>
      </c>
      <c r="O12" s="42">
        <f>SUMIFS('2026'!$L:$L,'2026'!$J:$J,$B12&amp;$C12,'2026'!$O:$O,O$4)</f>
        <v>0</v>
      </c>
      <c r="P12" s="61">
        <f t="shared" si="0"/>
        <v>0</v>
      </c>
      <c r="Q12" s="604">
        <v>0</v>
      </c>
      <c r="R12" s="8"/>
      <c r="S12" s="9" t="str">
        <f t="shared" si="2"/>
        <v/>
      </c>
      <c r="T12" s="73"/>
      <c r="U12" s="61">
        <v>0</v>
      </c>
      <c r="V12" s="28"/>
      <c r="W12" s="28"/>
      <c r="X12" s="28"/>
      <c r="Y12" s="28"/>
      <c r="Z12" s="28"/>
      <c r="AA12" s="28"/>
      <c r="AB12" s="28"/>
      <c r="AC12" s="28"/>
    </row>
    <row r="13" spans="1:29" ht="15" customHeight="1">
      <c r="A13" s="2" t="s">
        <v>29</v>
      </c>
      <c r="B13" s="36">
        <v>5914</v>
      </c>
      <c r="C13" s="36" t="s">
        <v>29</v>
      </c>
      <c r="D13" s="42">
        <f>SUMIFS('2026'!$L:$L,'2026'!$J:$J,$B13&amp;$C13,'2026'!$O:$O,D$4)</f>
        <v>1069362</v>
      </c>
      <c r="E13" s="42">
        <f>SUMIFS('2026'!$L:$L,'2026'!$J:$J,$B13&amp;$C13,'2026'!$O:$O,E$4)</f>
        <v>1516469</v>
      </c>
      <c r="F13" s="42">
        <f>SUMIFS('2026'!$L:$L,'2026'!$J:$J,$B13&amp;$C13,'2026'!$O:$O,F$4)</f>
        <v>1784134.4</v>
      </c>
      <c r="G13" s="42">
        <f>SUMIFS('2026'!$L:$L,'2026'!$J:$J,$B13&amp;$C13,'2026'!$O:$O,G$4)</f>
        <v>1248718</v>
      </c>
      <c r="H13" s="42">
        <f>SUMIFS('2026'!$L:$L,'2026'!$J:$J,$B13&amp;$C13,'2026'!$O:$O,H$4)</f>
        <v>1009508</v>
      </c>
      <c r="I13" s="42">
        <f>SUMIFS('2026'!$L:$L,'2026'!$J:$J,$B13&amp;$C13,'2026'!$O:$O,I$4)</f>
        <v>1203110.3999999999</v>
      </c>
      <c r="J13" s="42">
        <f>SUMIFS('2026'!$L:$L,'2026'!$J:$J,$B13&amp;$C13,'2026'!$O:$O,J$4)</f>
        <v>1266432</v>
      </c>
      <c r="K13" s="42">
        <f>SUMIFS('2026'!$L:$L,'2026'!$J:$J,$B13&amp;$C13,'2026'!$O:$O,K$4)</f>
        <v>1393075.2</v>
      </c>
      <c r="L13" s="42">
        <f>SUMIFS('2026'!$L:$L,'2026'!$J:$J,$B13&amp;$C13,'2026'!$O:$O,L$4)</f>
        <v>1266432</v>
      </c>
      <c r="M13" s="42">
        <f>SUMIFS('2026'!$L:$L,'2026'!$J:$J,$B13&amp;$C13,'2026'!$O:$O,M$4)</f>
        <v>1266432</v>
      </c>
      <c r="N13" s="42">
        <f>SUMIFS('2026'!$L:$L,'2026'!$J:$J,$B13&amp;$C13,'2026'!$O:$O,N$4)</f>
        <v>1106265.6000000001</v>
      </c>
      <c r="O13" s="42">
        <f>SUMIFS('2026'!$L:$L,'2026'!$J:$J,$B13&amp;$C13,'2026'!$O:$O,O$4)</f>
        <v>1106265.6000000001</v>
      </c>
      <c r="P13" s="61">
        <f>SUM(D13:O13)</f>
        <v>15236204.199999999</v>
      </c>
      <c r="Q13" s="268">
        <v>15379173.799999999</v>
      </c>
      <c r="R13" s="8">
        <f t="shared" si="1"/>
        <v>-142969.59999999963</v>
      </c>
      <c r="S13" s="9">
        <f t="shared" si="2"/>
        <v>-9.2963121334905287E-3</v>
      </c>
      <c r="T13" s="353"/>
      <c r="U13" s="61">
        <v>15309960</v>
      </c>
      <c r="V13" s="28"/>
      <c r="W13" s="28"/>
      <c r="X13" s="28"/>
      <c r="Y13" s="28"/>
      <c r="Z13" s="28"/>
      <c r="AA13" s="28"/>
      <c r="AB13" s="28"/>
    </row>
    <row r="14" spans="1:29" ht="15" customHeight="1">
      <c r="B14" s="10"/>
      <c r="C14" s="90" t="s">
        <v>92</v>
      </c>
      <c r="D14" s="11">
        <f>SUM(D5:D13)</f>
        <v>1166654</v>
      </c>
      <c r="E14" s="11">
        <f t="shared" ref="E14:R14" si="3">SUM(E5:E13)</f>
        <v>1600917</v>
      </c>
      <c r="F14" s="11">
        <f t="shared" si="3"/>
        <v>1924219.4</v>
      </c>
      <c r="G14" s="11">
        <f t="shared" si="3"/>
        <v>1345198</v>
      </c>
      <c r="H14" s="11">
        <f t="shared" si="3"/>
        <v>1168291</v>
      </c>
      <c r="I14" s="11">
        <f>SUM(I5:I13)</f>
        <v>1230514.3999999999</v>
      </c>
      <c r="J14" s="11">
        <f t="shared" si="3"/>
        <v>1317262</v>
      </c>
      <c r="K14" s="11">
        <f t="shared" si="3"/>
        <v>1446115.2</v>
      </c>
      <c r="L14" s="11">
        <f t="shared" si="3"/>
        <v>1287206</v>
      </c>
      <c r="M14" s="11">
        <f t="shared" si="3"/>
        <v>1282344</v>
      </c>
      <c r="N14" s="11">
        <f t="shared" si="3"/>
        <v>1156211.6000000001</v>
      </c>
      <c r="O14" s="11">
        <f t="shared" si="3"/>
        <v>1106265.6000000001</v>
      </c>
      <c r="P14" s="11">
        <f>SUM(D14:O14)</f>
        <v>16031198.199999999</v>
      </c>
      <c r="Q14" s="11">
        <v>16031957.800000003</v>
      </c>
      <c r="R14" s="11">
        <f t="shared" si="3"/>
        <v>-759.59999999965657</v>
      </c>
      <c r="S14" s="12">
        <f t="shared" si="2"/>
        <v>-4.7380364237214775E-5</v>
      </c>
      <c r="T14" s="74"/>
      <c r="U14" s="11">
        <v>16547472</v>
      </c>
      <c r="V14" s="28"/>
      <c r="W14" s="28"/>
      <c r="X14" s="28"/>
      <c r="Y14" s="28"/>
      <c r="Z14" s="28"/>
      <c r="AA14" s="28"/>
      <c r="AB14" s="28"/>
    </row>
    <row r="15" spans="1:29" ht="15" customHeight="1">
      <c r="D15" s="61">
        <f t="shared" ref="D15:F15" si="4">SUM(D13,D7)</f>
        <v>1125784</v>
      </c>
      <c r="E15" s="61">
        <f t="shared" si="4"/>
        <v>1516469</v>
      </c>
      <c r="F15" s="61">
        <f t="shared" si="4"/>
        <v>1860705.4</v>
      </c>
      <c r="G15" s="61">
        <f>SUM(G13,G7)</f>
        <v>1281550</v>
      </c>
      <c r="H15" s="61">
        <f>SUM(H13,H7)</f>
        <v>1072292</v>
      </c>
      <c r="I15" s="61">
        <f>SUM(I13,I7)</f>
        <v>1203110.3999999999</v>
      </c>
      <c r="J15" s="61">
        <f>SUM(J13,J7)</f>
        <v>1266432</v>
      </c>
      <c r="K15" s="61">
        <f t="shared" ref="K15:O15" si="5">SUM(K13,K7)</f>
        <v>1393075.2</v>
      </c>
      <c r="L15" s="61">
        <f t="shared" si="5"/>
        <v>1266432</v>
      </c>
      <c r="M15" s="61">
        <f t="shared" si="5"/>
        <v>1266432</v>
      </c>
      <c r="N15" s="61">
        <f t="shared" si="5"/>
        <v>1106265.6000000001</v>
      </c>
      <c r="O15" s="61">
        <f t="shared" si="5"/>
        <v>1106265.6000000001</v>
      </c>
      <c r="P15" s="61"/>
      <c r="Q15" s="15"/>
      <c r="R15" s="14"/>
      <c r="S15" s="14"/>
      <c r="U15" s="61"/>
      <c r="V15" s="28"/>
      <c r="W15" s="28"/>
      <c r="X15" s="28"/>
      <c r="Y15" s="28"/>
      <c r="Z15" s="28"/>
      <c r="AA15" s="28"/>
      <c r="AB15" s="28"/>
    </row>
    <row r="16" spans="1:29" s="22" customFormat="1" ht="19.5" customHeight="1">
      <c r="B16" s="37"/>
      <c r="C16" s="1096" t="s">
        <v>93</v>
      </c>
      <c r="D16" s="1096"/>
      <c r="E16" s="1096"/>
      <c r="F16" s="1096"/>
      <c r="G16" s="1096"/>
      <c r="H16" s="1096"/>
      <c r="I16" s="1096"/>
      <c r="J16" s="1096"/>
      <c r="K16" s="1096"/>
      <c r="L16" s="1096"/>
      <c r="M16" s="1096"/>
      <c r="N16" s="1096"/>
      <c r="O16" s="1096"/>
      <c r="P16" s="2"/>
      <c r="Q16" s="2"/>
      <c r="R16" s="31" t="s">
        <v>94</v>
      </c>
      <c r="S16" s="32"/>
      <c r="T16" s="71" t="s">
        <v>66</v>
      </c>
      <c r="U16" s="2"/>
      <c r="V16" s="28"/>
      <c r="W16" s="28"/>
      <c r="X16" s="28"/>
      <c r="Y16" s="28"/>
      <c r="Z16" s="28"/>
      <c r="AA16" s="28"/>
      <c r="AB16" s="28"/>
    </row>
    <row r="17" spans="1:28" s="3" customFormat="1">
      <c r="B17" s="4"/>
      <c r="C17" s="4" t="s">
        <v>17</v>
      </c>
      <c r="D17" s="5" t="s">
        <v>68</v>
      </c>
      <c r="E17" s="5" t="s">
        <v>69</v>
      </c>
      <c r="F17" s="5" t="s">
        <v>70</v>
      </c>
      <c r="G17" s="5" t="s">
        <v>71</v>
      </c>
      <c r="H17" s="5" t="s">
        <v>72</v>
      </c>
      <c r="I17" s="5" t="s">
        <v>73</v>
      </c>
      <c r="J17" s="5" t="s">
        <v>74</v>
      </c>
      <c r="K17" s="5" t="s">
        <v>75</v>
      </c>
      <c r="L17" s="5" t="s">
        <v>76</v>
      </c>
      <c r="M17" s="5" t="s">
        <v>77</v>
      </c>
      <c r="N17" s="5" t="s">
        <v>78</v>
      </c>
      <c r="O17" s="5" t="s">
        <v>79</v>
      </c>
      <c r="P17" s="187" t="str">
        <f>P$4</f>
        <v>2026 MRF3</v>
      </c>
      <c r="Q17" s="188" t="s">
        <v>1309</v>
      </c>
      <c r="R17" s="5" t="str">
        <f t="shared" ref="R17:S17" si="6">R$4</f>
        <v>Difference</v>
      </c>
      <c r="S17" s="6" t="str">
        <f t="shared" si="6"/>
        <v>% change</v>
      </c>
      <c r="T17" s="72"/>
      <c r="U17" s="187" t="s">
        <v>1186</v>
      </c>
      <c r="V17" s="28"/>
      <c r="W17" s="28"/>
      <c r="X17" s="28"/>
      <c r="Y17" s="28"/>
      <c r="Z17" s="28"/>
      <c r="AA17" s="28"/>
      <c r="AB17" s="28"/>
    </row>
    <row r="18" spans="1:28" ht="15" customHeight="1">
      <c r="A18" s="2" t="s">
        <v>38</v>
      </c>
      <c r="B18" s="35">
        <v>5911</v>
      </c>
      <c r="C18" s="35" t="s">
        <v>95</v>
      </c>
      <c r="D18" s="42">
        <f>SUMIFS('2026'!$L:$L,'2026'!$J:$J,$B18&amp;$C18,'2026'!$O:$O,D$4)</f>
        <v>0</v>
      </c>
      <c r="E18" s="42">
        <f>SUMIFS('2026'!$L:$L,'2026'!$J:$J,$B18&amp;$C18,'2026'!$O:$O,E$4)</f>
        <v>0</v>
      </c>
      <c r="F18" s="42">
        <f>SUMIFS('2026'!$L:$L,'2026'!$J:$J,$B18&amp;$C18,'2026'!$O:$O,F$4)</f>
        <v>0</v>
      </c>
      <c r="G18" s="42">
        <f>SUMIFS('2026'!$L:$L,'2026'!$J:$J,$B18&amp;$C18,'2026'!$O:$O,G$4)</f>
        <v>0</v>
      </c>
      <c r="H18" s="42">
        <f>SUMIFS('2026'!$L:$L,'2026'!$J:$J,$B18&amp;$C18,'2026'!$O:$O,H$4)</f>
        <v>0</v>
      </c>
      <c r="I18" s="42">
        <f>SUMIFS('2026'!$L:$L,'2026'!$J:$J,$B18&amp;$C18,'2026'!$O:$O,I$4)</f>
        <v>0</v>
      </c>
      <c r="J18" s="42">
        <f>SUMIFS('2026'!$L:$L,'2026'!$J:$J,$B18&amp;$C18,'2026'!$O:$O,J$4)</f>
        <v>0</v>
      </c>
      <c r="K18" s="42">
        <f>SUMIFS('2026'!$L:$L,'2026'!$J:$J,$B18&amp;$C18,'2026'!$O:$O,K$4)</f>
        <v>0</v>
      </c>
      <c r="L18" s="42">
        <f>SUMIFS('2026'!$L:$L,'2026'!$J:$J,$B18&amp;$C18,'2026'!$O:$O,L$4)</f>
        <v>0</v>
      </c>
      <c r="M18" s="42">
        <f>SUMIFS('2026'!$L:$L,'2026'!$J:$J,$B18&amp;$C18,'2026'!$O:$O,M$4)</f>
        <v>0</v>
      </c>
      <c r="N18" s="42">
        <f>SUMIFS('2026'!$L:$L,'2026'!$J:$J,$B18&amp;$C18,'2026'!$O:$O,N$4)</f>
        <v>0</v>
      </c>
      <c r="O18" s="42">
        <f>SUMIFS('2026'!$L:$L,'2026'!$J:$J,$B18&amp;$C18,'2026'!$O:$O,O$4)</f>
        <v>0</v>
      </c>
      <c r="P18" s="61">
        <f>SUM(D18:O18)</f>
        <v>0</v>
      </c>
      <c r="Q18" s="605">
        <v>0</v>
      </c>
      <c r="R18" s="8"/>
      <c r="S18" s="9" t="str">
        <f>IF(ISERROR(R18/Q18),"",R18/Q18)</f>
        <v/>
      </c>
      <c r="T18" s="75"/>
      <c r="U18" s="61">
        <v>0</v>
      </c>
      <c r="V18" s="28"/>
      <c r="W18" s="28"/>
      <c r="X18" s="28"/>
      <c r="Y18" s="28"/>
      <c r="Z18" s="28"/>
      <c r="AA18" s="28"/>
    </row>
    <row r="19" spans="1:28" ht="15" customHeight="1">
      <c r="A19" s="2" t="s">
        <v>38</v>
      </c>
      <c r="B19" s="35">
        <v>5911</v>
      </c>
      <c r="C19" s="35" t="s">
        <v>96</v>
      </c>
      <c r="D19" s="42">
        <f>SUMIFS('2026'!$L:$L,'2026'!$J:$J,$B19&amp;$C19,'2026'!$O:$O,D$4)</f>
        <v>0</v>
      </c>
      <c r="E19" s="42">
        <f>SUMIFS('2026'!$L:$L,'2026'!$J:$J,$B19&amp;$C19,'2026'!$O:$O,E$4)</f>
        <v>0</v>
      </c>
      <c r="F19" s="42">
        <f>SUMIFS('2026'!$L:$L,'2026'!$J:$J,$B19&amp;$C19,'2026'!$O:$O,F$4)</f>
        <v>0</v>
      </c>
      <c r="G19" s="42">
        <f>SUMIFS('2026'!$L:$L,'2026'!$J:$J,$B19&amp;$C19,'2026'!$O:$O,G$4)</f>
        <v>0</v>
      </c>
      <c r="H19" s="42">
        <f>SUMIFS('2026'!$L:$L,'2026'!$J:$J,$B19&amp;$C19,'2026'!$O:$O,H$4)</f>
        <v>0</v>
      </c>
      <c r="I19" s="42">
        <f>SUMIFS('2026'!$L:$L,'2026'!$J:$J,$B19&amp;$C19,'2026'!$O:$O,I$4)</f>
        <v>0</v>
      </c>
      <c r="J19" s="42">
        <f>SUMIFS('2026'!$L:$L,'2026'!$J:$J,$B19&amp;$C19,'2026'!$O:$O,J$4)</f>
        <v>0</v>
      </c>
      <c r="K19" s="42">
        <f>SUMIFS('2026'!$L:$L,'2026'!$J:$J,$B19&amp;$C19,'2026'!$O:$O,K$4)</f>
        <v>0</v>
      </c>
      <c r="L19" s="42">
        <f>SUMIFS('2026'!$L:$L,'2026'!$J:$J,$B19&amp;$C19,'2026'!$O:$O,L$4)</f>
        <v>0</v>
      </c>
      <c r="M19" s="42">
        <f>SUMIFS('2026'!$L:$L,'2026'!$J:$J,$B19&amp;$C19,'2026'!$O:$O,M$4)</f>
        <v>0</v>
      </c>
      <c r="N19" s="42">
        <f>SUMIFS('2026'!$L:$L,'2026'!$J:$J,$B19&amp;$C19,'2026'!$O:$O,N$4)</f>
        <v>0</v>
      </c>
      <c r="O19" s="42">
        <f>SUMIFS('2026'!$L:$L,'2026'!$J:$J,$B19&amp;$C19,'2026'!$O:$O,O$4)</f>
        <v>0</v>
      </c>
      <c r="P19" s="61">
        <f>SUM(D19:O19)</f>
        <v>0</v>
      </c>
      <c r="Q19" s="605">
        <v>0</v>
      </c>
      <c r="R19" s="8"/>
      <c r="S19" s="9" t="str">
        <f>IF(ISERROR(R19/Q19),"",R19/Q19)</f>
        <v/>
      </c>
      <c r="T19" s="75"/>
      <c r="U19" s="61">
        <v>0</v>
      </c>
    </row>
    <row r="20" spans="1:28" ht="15" customHeight="1">
      <c r="A20" s="2" t="s">
        <v>29</v>
      </c>
      <c r="B20" s="35">
        <v>5911</v>
      </c>
      <c r="C20" s="35" t="s">
        <v>87</v>
      </c>
      <c r="D20" s="42">
        <f>SUMIFS('2026'!$L:$L,'2026'!$J:$J,$B20&amp;$C20,'2026'!$O:$O,D$4)</f>
        <v>11510</v>
      </c>
      <c r="E20" s="42">
        <f>SUMIFS('2026'!$L:$L,'2026'!$J:$J,$B20&amp;$C20,'2026'!$O:$O,E$4)</f>
        <v>8824</v>
      </c>
      <c r="F20" s="42">
        <f>SUMIFS('2026'!$L:$L,'2026'!$J:$J,$B20&amp;$C20,'2026'!$O:$O,F$4)</f>
        <v>13545</v>
      </c>
      <c r="G20" s="42">
        <f>SUMIFS('2026'!$L:$L,'2026'!$J:$J,$B20&amp;$C20,'2026'!$O:$O,G$4)</f>
        <v>11520</v>
      </c>
      <c r="H20" s="42">
        <f>SUMIFS('2026'!$L:$L,'2026'!$J:$J,$B20&amp;$C20,'2026'!$O:$O,H$4)</f>
        <v>0</v>
      </c>
      <c r="I20" s="42">
        <f>SUMIFS('2026'!$L:$L,'2026'!$J:$J,$B20&amp;$C20,'2026'!$O:$O,I$4)</f>
        <v>0</v>
      </c>
      <c r="J20" s="42">
        <f>SUMIFS('2026'!$L:$L,'2026'!$J:$J,$B20&amp;$C20,'2026'!$O:$O,J$4)</f>
        <v>0</v>
      </c>
      <c r="K20" s="42">
        <f>SUMIFS('2026'!$L:$L,'2026'!$J:$J,$B20&amp;$C20,'2026'!$O:$O,K$4)</f>
        <v>0</v>
      </c>
      <c r="L20" s="42">
        <f>SUMIFS('2026'!$L:$L,'2026'!$J:$J,$B20&amp;$C20,'2026'!$O:$O,L$4)</f>
        <v>0</v>
      </c>
      <c r="M20" s="42">
        <f>SUMIFS('2026'!$L:$L,'2026'!$J:$J,$B20&amp;$C20,'2026'!$O:$O,M$4)</f>
        <v>0</v>
      </c>
      <c r="N20" s="42">
        <f>SUMIFS('2026'!$L:$L,'2026'!$J:$J,$B20&amp;$C20,'2026'!$O:$O,N$4)</f>
        <v>0</v>
      </c>
      <c r="O20" s="42">
        <f>SUMIFS('2026'!$L:$L,'2026'!$J:$J,$B20&amp;$C20,'2026'!$O:$O,O$4)</f>
        <v>0</v>
      </c>
      <c r="P20" s="61">
        <f>SUM(D20:O20)</f>
        <v>45399</v>
      </c>
      <c r="Q20" s="605">
        <v>46254</v>
      </c>
      <c r="R20" s="8">
        <f>P20-Q20</f>
        <v>-855</v>
      </c>
      <c r="S20" s="9">
        <f>IF(ISERROR(R20/Q20),"",R20/Q20)</f>
        <v>-1.8484887793488131E-2</v>
      </c>
      <c r="T20" s="73"/>
      <c r="U20" s="61">
        <v>271877</v>
      </c>
    </row>
    <row r="21" spans="1:28" ht="15" customHeight="1">
      <c r="A21" s="2" t="s">
        <v>29</v>
      </c>
      <c r="B21" s="35">
        <v>5911</v>
      </c>
      <c r="C21" s="36" t="s">
        <v>29</v>
      </c>
      <c r="D21" s="42">
        <f>SUMIFS('2026'!$L:$L,'2026'!$J:$J,$B21&amp;$C21,'2026'!$O:$O,D$4)</f>
        <v>626144</v>
      </c>
      <c r="E21" s="42">
        <f>SUMIFS('2026'!$L:$L,'2026'!$J:$J,$B21&amp;$C21,'2026'!$O:$O,E$4)</f>
        <v>736400</v>
      </c>
      <c r="F21" s="42">
        <f>SUMIFS('2026'!$L:$L,'2026'!$J:$J,$B21&amp;$C21,'2026'!$O:$O,F$4)</f>
        <v>941614</v>
      </c>
      <c r="G21" s="42">
        <f>SUMIFS('2026'!$L:$L,'2026'!$J:$J,$B21&amp;$C21,'2026'!$O:$O,G$4)</f>
        <v>702620</v>
      </c>
      <c r="H21" s="42">
        <f>SUMIFS('2026'!$L:$L,'2026'!$J:$J,$B21&amp;$C21,'2026'!$O:$O,H$4)</f>
        <v>783750</v>
      </c>
      <c r="I21" s="42">
        <f>SUMIFS('2026'!$L:$L,'2026'!$J:$J,$B21&amp;$C21,'2026'!$O:$O,I$4)</f>
        <v>721920</v>
      </c>
      <c r="J21" s="42">
        <f>SUMIFS('2026'!$L:$L,'2026'!$J:$J,$B21&amp;$C21,'2026'!$O:$O,J$4)</f>
        <v>763611.42857142864</v>
      </c>
      <c r="K21" s="42">
        <f>SUMIFS('2026'!$L:$L,'2026'!$J:$J,$B21&amp;$C21,'2026'!$O:$O,K$4)</f>
        <v>768000</v>
      </c>
      <c r="L21" s="42">
        <f>SUMIFS('2026'!$L:$L,'2026'!$J:$J,$B21&amp;$C21,'2026'!$O:$O,L$4)</f>
        <v>564000</v>
      </c>
      <c r="M21" s="42">
        <f>SUMIFS('2026'!$L:$L,'2026'!$J:$J,$B21&amp;$C21,'2026'!$O:$O,M$4)</f>
        <v>376000</v>
      </c>
      <c r="N21" s="42">
        <f>SUMIFS('2026'!$L:$L,'2026'!$J:$J,$B21&amp;$C21,'2026'!$O:$O,N$4)</f>
        <v>0</v>
      </c>
      <c r="O21" s="42">
        <f>SUMIFS('2026'!$L:$L,'2026'!$J:$J,$B21&amp;$C21,'2026'!$O:$O,O$4)</f>
        <v>400000</v>
      </c>
      <c r="P21" s="61">
        <f>SUM(D21:O21)</f>
        <v>7384059.4285714291</v>
      </c>
      <c r="Q21" s="605">
        <v>7054006.5714285728</v>
      </c>
      <c r="R21" s="8">
        <f>P21-Q21</f>
        <v>330052.85714285634</v>
      </c>
      <c r="S21" s="9">
        <f>IF(ISERROR(R21/Q21),"",R21/Q21)</f>
        <v>4.6789417305010288E-2</v>
      </c>
      <c r="T21" s="353"/>
      <c r="U21" s="61">
        <v>8237828</v>
      </c>
    </row>
    <row r="22" spans="1:28" ht="15" customHeight="1">
      <c r="B22" s="10"/>
      <c r="C22" s="90" t="s">
        <v>97</v>
      </c>
      <c r="D22" s="11">
        <f t="shared" ref="D22:N22" si="7">SUM(D18:D21)</f>
        <v>637654</v>
      </c>
      <c r="E22" s="11">
        <f t="shared" si="7"/>
        <v>745224</v>
      </c>
      <c r="F22" s="11">
        <f t="shared" si="7"/>
        <v>955159</v>
      </c>
      <c r="G22" s="11">
        <f t="shared" si="7"/>
        <v>714140</v>
      </c>
      <c r="H22" s="11">
        <f t="shared" si="7"/>
        <v>783750</v>
      </c>
      <c r="I22" s="11">
        <f t="shared" si="7"/>
        <v>721920</v>
      </c>
      <c r="J22" s="11">
        <f t="shared" si="7"/>
        <v>763611.42857142864</v>
      </c>
      <c r="K22" s="11">
        <f t="shared" si="7"/>
        <v>768000</v>
      </c>
      <c r="L22" s="11">
        <f t="shared" si="7"/>
        <v>564000</v>
      </c>
      <c r="M22" s="11">
        <f t="shared" si="7"/>
        <v>376000</v>
      </c>
      <c r="N22" s="11">
        <f t="shared" si="7"/>
        <v>0</v>
      </c>
      <c r="O22" s="11">
        <f>SUM(O18:O21)</f>
        <v>400000</v>
      </c>
      <c r="P22" s="11">
        <f>SUM(P18:P21)</f>
        <v>7429458.4285714291</v>
      </c>
      <c r="Q22" s="11">
        <v>7100260.5714285728</v>
      </c>
      <c r="R22" s="11">
        <f t="shared" ref="R22" si="8">SUM(R18:R21)</f>
        <v>329197.85714285634</v>
      </c>
      <c r="S22" s="12">
        <f>IF(ISERROR(R22/Q22),"",R22/Q22)</f>
        <v>4.6364193796992116E-2</v>
      </c>
      <c r="T22" s="74"/>
      <c r="U22" s="11">
        <v>8509705</v>
      </c>
    </row>
    <row r="23" spans="1:28" ht="15" customHeight="1">
      <c r="D23" s="45"/>
      <c r="E23" s="43"/>
      <c r="F23" s="44"/>
      <c r="G23" s="46"/>
      <c r="H23" s="46"/>
      <c r="I23" s="46"/>
      <c r="J23" s="47"/>
      <c r="K23" s="47"/>
      <c r="L23" s="47"/>
      <c r="M23" s="48"/>
      <c r="N23" s="48"/>
      <c r="O23" s="48"/>
      <c r="P23" s="15"/>
      <c r="Q23" s="15"/>
      <c r="U23" s="15"/>
    </row>
    <row r="24" spans="1:28" ht="15" customHeight="1">
      <c r="B24" s="34"/>
      <c r="C24" s="1094" t="s">
        <v>98</v>
      </c>
      <c r="D24" s="1095"/>
      <c r="E24" s="1095"/>
      <c r="F24" s="1095"/>
      <c r="G24" s="1095"/>
      <c r="H24" s="1095"/>
      <c r="I24" s="1095"/>
      <c r="J24" s="1095"/>
      <c r="K24" s="1095"/>
      <c r="L24" s="1095"/>
      <c r="M24" s="1095"/>
      <c r="N24" s="1095"/>
      <c r="O24" s="1095"/>
      <c r="R24" s="31" t="s">
        <v>94</v>
      </c>
      <c r="S24" s="32"/>
      <c r="T24" s="71" t="s">
        <v>66</v>
      </c>
      <c r="U24" s="2"/>
    </row>
    <row r="25" spans="1:28" s="3" customFormat="1">
      <c r="B25" s="4"/>
      <c r="C25" s="4" t="s">
        <v>17</v>
      </c>
      <c r="D25" s="5" t="s">
        <v>68</v>
      </c>
      <c r="E25" s="5" t="s">
        <v>69</v>
      </c>
      <c r="F25" s="5" t="s">
        <v>70</v>
      </c>
      <c r="G25" s="5" t="s">
        <v>71</v>
      </c>
      <c r="H25" s="5" t="s">
        <v>72</v>
      </c>
      <c r="I25" s="5" t="s">
        <v>73</v>
      </c>
      <c r="J25" s="5" t="s">
        <v>74</v>
      </c>
      <c r="K25" s="5" t="s">
        <v>75</v>
      </c>
      <c r="L25" s="5" t="s">
        <v>76</v>
      </c>
      <c r="M25" s="5" t="s">
        <v>77</v>
      </c>
      <c r="N25" s="5" t="s">
        <v>78</v>
      </c>
      <c r="O25" s="5" t="s">
        <v>79</v>
      </c>
      <c r="P25" s="187" t="str">
        <f>P$4</f>
        <v>2026 MRF3</v>
      </c>
      <c r="Q25" s="188" t="s">
        <v>1309</v>
      </c>
      <c r="R25" s="5" t="str">
        <f t="shared" ref="R25:S25" si="9">R$4</f>
        <v>Difference</v>
      </c>
      <c r="S25" s="6" t="str">
        <f t="shared" si="9"/>
        <v>% change</v>
      </c>
      <c r="T25" s="76"/>
      <c r="U25" s="187" t="s">
        <v>1186</v>
      </c>
    </row>
    <row r="26" spans="1:28" ht="15" customHeight="1">
      <c r="A26" s="2" t="s">
        <v>23</v>
      </c>
      <c r="B26" s="36">
        <v>2904</v>
      </c>
      <c r="C26" s="36" t="s">
        <v>23</v>
      </c>
      <c r="D26" s="42">
        <f>SUMIFS('2026'!$L:$L,'2026'!$J:$J,$B26&amp;$C26,'2026'!$O:$O,D$4)</f>
        <v>907813</v>
      </c>
      <c r="E26" s="42">
        <f>SUMIFS('2026'!$L:$L,'2026'!$J:$J,$B26&amp;$C26,'2026'!$O:$O,E$4)</f>
        <v>1057884</v>
      </c>
      <c r="F26" s="42">
        <f>SUMIFS('2026'!$L:$L,'2026'!$J:$J,$B26&amp;$C26,'2026'!$O:$O,F$4)</f>
        <v>1317294.0800000001</v>
      </c>
      <c r="G26" s="42">
        <f>SUMIFS('2026'!$L:$L,'2026'!$J:$J,$B26&amp;$C26,'2026'!$O:$O,G$4)</f>
        <v>1118647</v>
      </c>
      <c r="H26" s="42">
        <f>SUMIFS('2026'!$L:$L,'2026'!$J:$J,$B26&amp;$C26,'2026'!$O:$O,H$4)</f>
        <v>983240</v>
      </c>
      <c r="I26" s="42">
        <f>SUMIFS('2026'!$L:$L,'2026'!$J:$J,$B26&amp;$C26,'2026'!$O:$O,I$4)</f>
        <v>985241.41714285675</v>
      </c>
      <c r="J26" s="42">
        <f>SUMIFS('2026'!$L:$L,'2026'!$J:$J,$B26&amp;$C26,'2026'!$O:$O,J$4)</f>
        <v>1021731.84</v>
      </c>
      <c r="K26" s="42">
        <f>SUMIFS('2026'!$L:$L,'2026'!$J:$J,$B26&amp;$C26,'2026'!$O:$O,K$4)</f>
        <v>1094712.6857142858</v>
      </c>
      <c r="L26" s="42">
        <f>SUMIFS('2026'!$L:$L,'2026'!$J:$J,$B26&amp;$C26,'2026'!$O:$O,L$4)</f>
        <v>1040950</v>
      </c>
      <c r="M26" s="42">
        <f>SUMIFS('2026'!$L:$L,'2026'!$J:$J,$B26&amp;$C26,'2026'!$O:$O,M$4)</f>
        <v>760620.93714285712</v>
      </c>
      <c r="N26" s="42">
        <f>SUMIFS('2026'!$L:$L,'2026'!$J:$J,$B26&amp;$C26,'2026'!$O:$O,N$4)</f>
        <v>646771.84</v>
      </c>
      <c r="O26" s="42">
        <f>SUMIFS('2026'!$L:$L,'2026'!$J:$J,$B26&amp;$C26,'2026'!$O:$O,O$4)</f>
        <v>646771.84</v>
      </c>
      <c r="P26" s="61">
        <f>SUM(D26:O26)</f>
        <v>11581678.639999999</v>
      </c>
      <c r="Q26" s="605">
        <v>11630678.362857142</v>
      </c>
      <c r="R26" s="8">
        <f t="shared" ref="R26:R32" si="10">P26-Q26</f>
        <v>-48999.72285714373</v>
      </c>
      <c r="S26" s="9">
        <f>IF(ISERROR(R26/Q26),"",R26/Q26)</f>
        <v>-4.2129720493024334E-3</v>
      </c>
      <c r="T26" s="843">
        <f>P26/46</f>
        <v>251775.62260869562</v>
      </c>
      <c r="U26" s="61">
        <v>12284789</v>
      </c>
      <c r="V26" s="40"/>
      <c r="W26" s="40"/>
      <c r="X26" s="40"/>
      <c r="Y26" s="40"/>
      <c r="Z26" s="40"/>
      <c r="AA26" s="40"/>
      <c r="AB26" s="40"/>
    </row>
    <row r="27" spans="1:28" ht="15" customHeight="1">
      <c r="A27" s="2" t="s">
        <v>31</v>
      </c>
      <c r="B27" s="36">
        <v>2904</v>
      </c>
      <c r="C27" s="36" t="s">
        <v>31</v>
      </c>
      <c r="D27" s="42">
        <f>SUMIFS('2026'!$L:$L,'2026'!$J:$J,$B27&amp;$C27,'2026'!$O:$O,D$4)</f>
        <v>44810</v>
      </c>
      <c r="E27" s="42">
        <f>SUMIFS('2026'!$L:$L,'2026'!$J:$J,$B27&amp;$C27,'2026'!$O:$O,E$4)</f>
        <v>55315</v>
      </c>
      <c r="F27" s="42">
        <f>SUMIFS('2026'!$L:$L,'2026'!$J:$J,$B27&amp;$C27,'2026'!$O:$O,F$4)</f>
        <v>85838.48000000001</v>
      </c>
      <c r="G27" s="42">
        <f>SUMIFS('2026'!$L:$L,'2026'!$J:$J,$B27&amp;$C27,'2026'!$O:$O,G$4)</f>
        <v>72576</v>
      </c>
      <c r="H27" s="42">
        <f>SUMIFS('2026'!$L:$L,'2026'!$J:$J,$B27&amp;$C27,'2026'!$O:$O,H$4)</f>
        <v>62208</v>
      </c>
      <c r="I27" s="42">
        <f>SUMIFS('2026'!$L:$L,'2026'!$J:$J,$B27&amp;$C27,'2026'!$O:$O,I$4)</f>
        <v>0</v>
      </c>
      <c r="J27" s="42">
        <f>SUMIFS('2026'!$L:$L,'2026'!$J:$J,$B27&amp;$C27,'2026'!$O:$O,J$4)</f>
        <v>0</v>
      </c>
      <c r="K27" s="42">
        <f>SUMIFS('2026'!$L:$L,'2026'!$J:$J,$B27&amp;$C27,'2026'!$O:$O,K$4)</f>
        <v>0</v>
      </c>
      <c r="L27" s="42">
        <f>SUMIFS('2026'!$L:$L,'2026'!$J:$J,$B27&amp;$C27,'2026'!$O:$O,L$4)</f>
        <v>0</v>
      </c>
      <c r="M27" s="42">
        <f>SUMIFS('2026'!$L:$L,'2026'!$J:$J,$B27&amp;$C27,'2026'!$O:$O,M$4)</f>
        <v>0</v>
      </c>
      <c r="N27" s="42">
        <f>SUMIFS('2026'!$L:$L,'2026'!$J:$J,$B27&amp;$C27,'2026'!$O:$O,N$4)</f>
        <v>0</v>
      </c>
      <c r="O27" s="42">
        <f>SUMIFS('2026'!$L:$L,'2026'!$J:$J,$B27&amp;$C27,'2026'!$O:$O,O$4)</f>
        <v>0</v>
      </c>
      <c r="P27" s="61">
        <f t="shared" ref="P27:P40" si="11">SUM(D27:O27)</f>
        <v>320747.48</v>
      </c>
      <c r="Q27" s="605">
        <v>358058.64</v>
      </c>
      <c r="R27" s="8">
        <f t="shared" si="10"/>
        <v>-37311.160000000033</v>
      </c>
      <c r="S27" s="9">
        <f>IF(ISERROR(R27/Q27),"",R27/Q27)</f>
        <v>-0.1042040488116696</v>
      </c>
      <c r="T27" s="79"/>
      <c r="U27" s="61">
        <v>799237</v>
      </c>
      <c r="V27" s="28"/>
      <c r="W27" s="28"/>
      <c r="X27" s="28"/>
      <c r="Y27" s="28"/>
      <c r="Z27" s="28"/>
      <c r="AA27" s="28"/>
      <c r="AB27" s="28"/>
    </row>
    <row r="28" spans="1:28" ht="15" customHeight="1">
      <c r="A28" s="2" t="s">
        <v>27</v>
      </c>
      <c r="B28" s="36">
        <v>2904</v>
      </c>
      <c r="C28" s="36" t="s">
        <v>27</v>
      </c>
      <c r="D28" s="42">
        <f>SUMIFS('2026'!$L:$L,'2026'!$J:$J,$B28&amp;$C28,'2026'!$O:$O,D$4)</f>
        <v>0</v>
      </c>
      <c r="E28" s="42">
        <f>SUMIFS('2026'!$L:$L,'2026'!$J:$J,$B28&amp;$C28,'2026'!$O:$O,E$4)</f>
        <v>0</v>
      </c>
      <c r="F28" s="42">
        <f>SUMIFS('2026'!$L:$L,'2026'!$J:$J,$B28&amp;$C28,'2026'!$O:$O,F$4)</f>
        <v>0</v>
      </c>
      <c r="G28" s="42">
        <f>SUMIFS('2026'!$L:$L,'2026'!$J:$J,$B28&amp;$C28,'2026'!$O:$O,G$4)</f>
        <v>0</v>
      </c>
      <c r="H28" s="42">
        <f>SUMIFS('2026'!$L:$L,'2026'!$J:$J,$B28&amp;$C28,'2026'!$O:$O,H$4)</f>
        <v>0</v>
      </c>
      <c r="I28" s="42">
        <f>SUMIFS('2026'!$L:$L,'2026'!$J:$J,$B28&amp;$C28,'2026'!$O:$O,I$4)</f>
        <v>0</v>
      </c>
      <c r="J28" s="42">
        <f>SUMIFS('2026'!$L:$L,'2026'!$J:$J,$B28&amp;$C28,'2026'!$O:$O,J$4)</f>
        <v>0</v>
      </c>
      <c r="K28" s="42">
        <f>SUMIFS('2026'!$L:$L,'2026'!$J:$J,$B28&amp;$C28,'2026'!$O:$O,K$4)</f>
        <v>0</v>
      </c>
      <c r="L28" s="42">
        <f>SUMIFS('2026'!$L:$L,'2026'!$J:$J,$B28&amp;$C28,'2026'!$O:$O,L$4)</f>
        <v>0</v>
      </c>
      <c r="M28" s="42">
        <f>SUMIFS('2026'!$L:$L,'2026'!$J:$J,$B28&amp;$C28,'2026'!$O:$O,M$4)</f>
        <v>0</v>
      </c>
      <c r="N28" s="42">
        <f>SUMIFS('2026'!$L:$L,'2026'!$J:$J,$B28&amp;$C28,'2026'!$O:$O,N$4)</f>
        <v>0</v>
      </c>
      <c r="O28" s="42">
        <f>SUMIFS('2026'!$L:$L,'2026'!$J:$J,$B28&amp;$C28,'2026'!$O:$O,O$4)</f>
        <v>0</v>
      </c>
      <c r="P28" s="61">
        <f t="shared" si="11"/>
        <v>0</v>
      </c>
      <c r="Q28" s="605">
        <v>0</v>
      </c>
      <c r="R28" s="8"/>
      <c r="S28" s="9" t="str">
        <f>IF(ISERROR(R28/Q28),"",R28/Q28)</f>
        <v/>
      </c>
      <c r="T28" s="79"/>
      <c r="U28" s="61">
        <v>0</v>
      </c>
    </row>
    <row r="29" spans="1:28" ht="15" customHeight="1">
      <c r="A29" s="2" t="s">
        <v>38</v>
      </c>
      <c r="B29" s="36">
        <v>2904</v>
      </c>
      <c r="C29" s="36" t="s">
        <v>38</v>
      </c>
      <c r="D29" s="42">
        <f>SUMIFS('2026'!$L:$L,'2026'!$J:$J,$B29&amp;$C29,'2026'!$O:$O,D$4)</f>
        <v>0</v>
      </c>
      <c r="E29" s="42">
        <f>SUMIFS('2026'!$L:$L,'2026'!$J:$J,$B29&amp;$C29,'2026'!$O:$O,E$4)</f>
        <v>85224</v>
      </c>
      <c r="F29" s="42">
        <f>SUMIFS('2026'!$L:$L,'2026'!$J:$J,$B29&amp;$C29,'2026'!$O:$O,F$4)</f>
        <v>15</v>
      </c>
      <c r="G29" s="42">
        <f>SUMIFS('2026'!$L:$L,'2026'!$J:$J,$B29&amp;$C29,'2026'!$O:$O,G$4)</f>
        <v>40320</v>
      </c>
      <c r="H29" s="42">
        <f>SUMIFS('2026'!$L:$L,'2026'!$J:$J,$B29&amp;$C29,'2026'!$O:$O,H$4)</f>
        <v>63360</v>
      </c>
      <c r="I29" s="42">
        <f>SUMIFS('2026'!$L:$L,'2026'!$J:$J,$B29&amp;$C29,'2026'!$O:$O,I$4)</f>
        <v>0</v>
      </c>
      <c r="J29" s="42">
        <f>SUMIFS('2026'!$L:$L,'2026'!$J:$J,$B29&amp;$C29,'2026'!$O:$O,J$4)</f>
        <v>16703.849999999999</v>
      </c>
      <c r="K29" s="42">
        <f>SUMIFS('2026'!$L:$L,'2026'!$J:$J,$B29&amp;$C29,'2026'!$O:$O,K$4)</f>
        <v>22271.8</v>
      </c>
      <c r="L29" s="42">
        <f>SUMIFS('2026'!$L:$L,'2026'!$J:$J,$B29&amp;$C29,'2026'!$O:$O,L$4)</f>
        <v>21552.649999999998</v>
      </c>
      <c r="M29" s="42">
        <f>SUMIFS('2026'!$L:$L,'2026'!$J:$J,$B29&amp;$C29,'2026'!$O:$O,M$4)</f>
        <v>22271.8</v>
      </c>
      <c r="N29" s="42">
        <f>SUMIFS('2026'!$L:$L,'2026'!$J:$J,$B29&amp;$C29,'2026'!$O:$O,N$4)</f>
        <v>21552.649999999998</v>
      </c>
      <c r="O29" s="42">
        <f>SUMIFS('2026'!$L:$L,'2026'!$J:$J,$B29&amp;$C29,'2026'!$O:$O,O$4)</f>
        <v>22271.8</v>
      </c>
      <c r="P29" s="61">
        <f t="shared" si="11"/>
        <v>315543.55</v>
      </c>
      <c r="Q29" s="605">
        <v>281009.49999999994</v>
      </c>
      <c r="R29" s="8">
        <f t="shared" si="10"/>
        <v>34534.050000000047</v>
      </c>
      <c r="S29" s="9">
        <f>IF(ISERROR(R29/Q29),"",R29/Q29)</f>
        <v>0.12289282034949016</v>
      </c>
      <c r="T29" s="79"/>
      <c r="U29" s="61">
        <v>0</v>
      </c>
    </row>
    <row r="30" spans="1:28" s="68" customFormat="1" ht="15" customHeight="1">
      <c r="A30" s="2" t="s">
        <v>36</v>
      </c>
      <c r="B30" s="36">
        <v>2904</v>
      </c>
      <c r="C30" s="36" t="s">
        <v>36</v>
      </c>
      <c r="D30" s="42">
        <f>SUMIFS('2026'!$L:$L,'2026'!$J:$J,$B30&amp;$C30,'2026'!$O:$O,D$4)</f>
        <v>55878</v>
      </c>
      <c r="E30" s="42">
        <f>SUMIFS('2026'!$L:$L,'2026'!$J:$J,$B30&amp;$C30,'2026'!$O:$O,E$4)</f>
        <v>76823</v>
      </c>
      <c r="F30" s="42">
        <f>SUMIFS('2026'!$L:$L,'2026'!$J:$J,$B30&amp;$C30,'2026'!$O:$O,F$4)</f>
        <v>81797.88</v>
      </c>
      <c r="G30" s="42">
        <f>SUMIFS('2026'!$L:$L,'2026'!$J:$J,$B30&amp;$C30,'2026'!$O:$O,G$4)</f>
        <v>92832</v>
      </c>
      <c r="H30" s="42">
        <f>SUMIFS('2026'!$L:$L,'2026'!$J:$J,$B30&amp;$C30,'2026'!$O:$O,H$4)</f>
        <v>69120</v>
      </c>
      <c r="I30" s="42">
        <f>SUMIFS('2026'!$L:$L,'2026'!$J:$J,$B30&amp;$C30,'2026'!$O:$O,I$4)</f>
        <v>80750</v>
      </c>
      <c r="J30" s="42">
        <f>SUMIFS('2026'!$L:$L,'2026'!$J:$J,$B30&amp;$C30,'2026'!$O:$O,J$4)</f>
        <v>92862.5</v>
      </c>
      <c r="K30" s="42">
        <f>SUMIFS('2026'!$L:$L,'2026'!$J:$J,$B30&amp;$C30,'2026'!$O:$O,K$4)</f>
        <v>88825</v>
      </c>
      <c r="L30" s="42">
        <f>SUMIFS('2026'!$L:$L,'2026'!$J:$J,$B30&amp;$C30,'2026'!$O:$O,L$4)</f>
        <v>84787.5</v>
      </c>
      <c r="M30" s="42">
        <f>SUMIFS('2026'!$L:$L,'2026'!$J:$J,$B30&amp;$C30,'2026'!$O:$O,M$4)</f>
        <v>84787.5</v>
      </c>
      <c r="N30" s="42">
        <f>SUMIFS('2026'!$L:$L,'2026'!$J:$J,$B30&amp;$C30,'2026'!$O:$O,N$4)</f>
        <v>0</v>
      </c>
      <c r="O30" s="42">
        <f>SUMIFS('2026'!$L:$L,'2026'!$J:$J,$B30&amp;$C30,'2026'!$O:$O,O$4)</f>
        <v>0</v>
      </c>
      <c r="P30" s="30">
        <f t="shared" si="11"/>
        <v>808463.38</v>
      </c>
      <c r="Q30" s="641">
        <v>806336.32000000007</v>
      </c>
      <c r="R30" s="29">
        <f t="shared" si="10"/>
        <v>2127.0599999999395</v>
      </c>
      <c r="S30" s="9">
        <f t="shared" ref="S30:S38" si="12">IF(ISERROR(R30/Q30),"",R30/Q30)</f>
        <v>2.6379315271324246E-3</v>
      </c>
      <c r="T30" s="83"/>
      <c r="U30" s="30">
        <v>745276</v>
      </c>
    </row>
    <row r="31" spans="1:28" ht="15.6" customHeight="1">
      <c r="A31" s="2" t="s">
        <v>37</v>
      </c>
      <c r="B31" s="36">
        <v>2904</v>
      </c>
      <c r="C31" s="36" t="s">
        <v>37</v>
      </c>
      <c r="D31" s="42">
        <f>SUMIFS('2026'!$L:$L,'2026'!$J:$J,$B31&amp;$C31,'2026'!$O:$O,D$4)</f>
        <v>543661</v>
      </c>
      <c r="E31" s="42">
        <f>SUMIFS('2026'!$L:$L,'2026'!$J:$J,$B31&amp;$C31,'2026'!$O:$O,E$4)</f>
        <v>675319</v>
      </c>
      <c r="F31" s="42">
        <f>SUMIFS('2026'!$L:$L,'2026'!$J:$J,$B31&amp;$C31,'2026'!$O:$O,F$4)</f>
        <v>705455</v>
      </c>
      <c r="G31" s="42">
        <f>SUMIFS('2026'!$L:$L,'2026'!$J:$J,$B31&amp;$C31,'2026'!$O:$O,G$4)</f>
        <v>955824</v>
      </c>
      <c r="H31" s="42">
        <f>SUMIFS('2026'!$L:$L,'2026'!$J:$J,$B31&amp;$C31,'2026'!$O:$O,H$4)</f>
        <v>839424</v>
      </c>
      <c r="I31" s="42">
        <f>SUMIFS('2026'!$L:$L,'2026'!$J:$J,$B31&amp;$C31,'2026'!$O:$O,I$4)</f>
        <v>694925</v>
      </c>
      <c r="J31" s="42">
        <f>SUMIFS('2026'!$L:$L,'2026'!$J:$J,$B31&amp;$C31,'2026'!$O:$O,J$4)</f>
        <v>711075</v>
      </c>
      <c r="K31" s="42">
        <f>SUMIFS('2026'!$L:$L,'2026'!$J:$J,$B31&amp;$C31,'2026'!$O:$O,K$4)</f>
        <v>676875</v>
      </c>
      <c r="L31" s="42">
        <f>SUMIFS('2026'!$L:$L,'2026'!$J:$J,$B31&amp;$C31,'2026'!$O:$O,L$4)</f>
        <v>568575</v>
      </c>
      <c r="M31" s="42">
        <f>SUMIFS('2026'!$L:$L,'2026'!$J:$J,$B31&amp;$C31,'2026'!$O:$O,M$4)</f>
        <v>140000</v>
      </c>
      <c r="N31" s="42">
        <f>SUMIFS('2026'!$L:$L,'2026'!$J:$J,$B31&amp;$C31,'2026'!$O:$O,N$4)</f>
        <v>0</v>
      </c>
      <c r="O31" s="42">
        <f>SUMIFS('2026'!$L:$L,'2026'!$J:$J,$B31&amp;$C31,'2026'!$O:$O,O$4)</f>
        <v>0</v>
      </c>
      <c r="P31" s="61">
        <f t="shared" si="11"/>
        <v>6511133</v>
      </c>
      <c r="Q31" s="605">
        <v>6678575.96</v>
      </c>
      <c r="R31" s="8">
        <f t="shared" si="10"/>
        <v>-167442.95999999996</v>
      </c>
      <c r="S31" s="9">
        <f t="shared" si="12"/>
        <v>-2.5071656143894477E-2</v>
      </c>
      <c r="T31" s="88"/>
      <c r="U31" s="61">
        <v>7080128</v>
      </c>
    </row>
    <row r="32" spans="1:28" ht="15.6" customHeight="1">
      <c r="A32" s="2" t="s">
        <v>37</v>
      </c>
      <c r="B32" s="36">
        <v>2904</v>
      </c>
      <c r="C32" s="36" t="s">
        <v>99</v>
      </c>
      <c r="D32" s="42">
        <f>SUMIFS('2026'!$L:$L,'2026'!$J:$J,$B32&amp;$C32,'2026'!$O:$O,D$4)</f>
        <v>0</v>
      </c>
      <c r="E32" s="42">
        <f>SUMIFS('2026'!$L:$L,'2026'!$J:$J,$B32&amp;$C32,'2026'!$O:$O,E$4)</f>
        <v>0</v>
      </c>
      <c r="F32" s="42">
        <f>SUMIFS('2026'!$L:$L,'2026'!$J:$J,$B32&amp;$C32,'2026'!$O:$O,F$4)</f>
        <v>0</v>
      </c>
      <c r="G32" s="42">
        <f>SUMIFS('2026'!$L:$L,'2026'!$J:$J,$B32&amp;$C32,'2026'!$O:$O,G$4)</f>
        <v>0</v>
      </c>
      <c r="H32" s="42">
        <f>SUMIFS('2026'!$L:$L,'2026'!$J:$J,$B32&amp;$C32,'2026'!$O:$O,H$4)</f>
        <v>0</v>
      </c>
      <c r="I32" s="42">
        <f>SUMIFS('2026'!$L:$L,'2026'!$J:$J,$B32&amp;$C32,'2026'!$O:$O,I$4)</f>
        <v>0</v>
      </c>
      <c r="J32" s="42">
        <f>SUMIFS('2026'!$L:$L,'2026'!$J:$J,$B32&amp;$C32,'2026'!$O:$O,J$4)</f>
        <v>0</v>
      </c>
      <c r="K32" s="42">
        <f>SUMIFS('2026'!$L:$L,'2026'!$J:$J,$B32&amp;$C32,'2026'!$O:$O,K$4)</f>
        <v>0</v>
      </c>
      <c r="L32" s="42">
        <f>SUMIFS('2026'!$L:$L,'2026'!$J:$J,$B32&amp;$C32,'2026'!$O:$O,L$4)</f>
        <v>0</v>
      </c>
      <c r="M32" s="42">
        <f>SUMIFS('2026'!$L:$L,'2026'!$J:$J,$B32&amp;$C32,'2026'!$O:$O,M$4)</f>
        <v>0</v>
      </c>
      <c r="N32" s="42">
        <f>SUMIFS('2026'!$L:$L,'2026'!$J:$J,$B32&amp;$C32,'2026'!$O:$O,N$4)</f>
        <v>0</v>
      </c>
      <c r="O32" s="42">
        <f>SUMIFS('2026'!$L:$L,'2026'!$J:$J,$B32&amp;$C32,'2026'!$O:$O,O$4)</f>
        <v>0</v>
      </c>
      <c r="P32" s="61">
        <f t="shared" si="11"/>
        <v>0</v>
      </c>
      <c r="Q32" s="605">
        <v>0</v>
      </c>
      <c r="R32" s="8">
        <f t="shared" si="10"/>
        <v>0</v>
      </c>
      <c r="S32" s="9" t="str">
        <f t="shared" si="12"/>
        <v/>
      </c>
      <c r="T32" s="88"/>
      <c r="U32" s="61">
        <v>120379</v>
      </c>
    </row>
    <row r="33" spans="1:28">
      <c r="A33" s="2" t="s">
        <v>44</v>
      </c>
      <c r="B33" s="36">
        <v>2904</v>
      </c>
      <c r="C33" s="36" t="s">
        <v>44</v>
      </c>
      <c r="D33" s="42">
        <f>SUMIFS('2026'!$L:$L,'2026'!$J:$J,$B33&amp;$C33,'2026'!$O:$O,D$4)</f>
        <v>313143</v>
      </c>
      <c r="E33" s="42">
        <f>SUMIFS('2026'!$L:$L,'2026'!$J:$J,$B33&amp;$C33,'2026'!$O:$O,E$4)</f>
        <v>380320</v>
      </c>
      <c r="F33" s="42">
        <f>SUMIFS('2026'!$L:$L,'2026'!$J:$J,$B33&amp;$C33,'2026'!$O:$O,F$4)</f>
        <v>294111</v>
      </c>
      <c r="G33" s="42">
        <f>SUMIFS('2026'!$L:$L,'2026'!$J:$J,$B33&amp;$C33,'2026'!$O:$O,G$4)</f>
        <v>296208</v>
      </c>
      <c r="H33" s="42">
        <f>SUMIFS('2026'!$L:$L,'2026'!$J:$J,$B33&amp;$C33,'2026'!$O:$O,H$4)</f>
        <v>288000</v>
      </c>
      <c r="I33" s="42">
        <f>SUMIFS('2026'!$L:$L,'2026'!$J:$J,$B33&amp;$C33,'2026'!$O:$O,I$4)</f>
        <v>275310</v>
      </c>
      <c r="J33" s="42">
        <f>SUMIFS('2026'!$L:$L,'2026'!$J:$J,$B33&amp;$C33,'2026'!$O:$O,J$4)</f>
        <v>285142.5</v>
      </c>
      <c r="K33" s="42">
        <f>SUMIFS('2026'!$L:$L,'2026'!$J:$J,$B33&amp;$C33,'2026'!$O:$O,K$4)</f>
        <v>304807.5</v>
      </c>
      <c r="L33" s="42">
        <f>SUMIFS('2026'!$L:$L,'2026'!$J:$J,$B33&amp;$C33,'2026'!$O:$O,L$4)</f>
        <v>275310</v>
      </c>
      <c r="M33" s="42">
        <f>SUMIFS('2026'!$L:$L,'2026'!$J:$J,$B33&amp;$C33,'2026'!$O:$O,M$4)</f>
        <v>285142.5</v>
      </c>
      <c r="N33" s="42">
        <f>SUMIFS('2026'!$L:$L,'2026'!$J:$J,$B33&amp;$C33,'2026'!$O:$O,N$4)</f>
        <v>265477.5</v>
      </c>
      <c r="O33" s="42">
        <f>SUMIFS('2026'!$L:$L,'2026'!$J:$J,$B33&amp;$C33,'2026'!$O:$O,O$4)</f>
        <v>265477.5</v>
      </c>
      <c r="P33" s="42">
        <f>SUM(D33:O33)</f>
        <v>3528449.5</v>
      </c>
      <c r="Q33" s="605">
        <v>3402261.5</v>
      </c>
      <c r="R33" s="8">
        <f>P33-Q33</f>
        <v>126188</v>
      </c>
      <c r="S33" s="9">
        <f>IF(ISERROR(R33/Q33),"",R33/Q33)</f>
        <v>3.7089447710001125E-2</v>
      </c>
      <c r="T33" s="78"/>
      <c r="U33" s="61">
        <v>1294124</v>
      </c>
    </row>
    <row r="34" spans="1:28">
      <c r="A34" s="2" t="s">
        <v>40</v>
      </c>
      <c r="B34" s="36">
        <v>2904</v>
      </c>
      <c r="C34" s="36" t="s">
        <v>100</v>
      </c>
      <c r="D34" s="42">
        <f>SUMIFS('2026'!$L:$L,'2026'!$J:$J,$B34&amp;$C34,'2026'!$O:$O,D$4)</f>
        <v>22671</v>
      </c>
      <c r="E34" s="42">
        <f>SUMIFS('2026'!$L:$L,'2026'!$J:$J,$B34&amp;$C34,'2026'!$O:$O,E$4)</f>
        <v>0</v>
      </c>
      <c r="F34" s="42">
        <f>SUMIFS('2026'!$L:$L,'2026'!$J:$J,$B34&amp;$C34,'2026'!$O:$O,F$4)</f>
        <v>69122.16</v>
      </c>
      <c r="G34" s="42">
        <f>SUMIFS('2026'!$L:$L,'2026'!$J:$J,$B34&amp;$C34,'2026'!$O:$O,G$4)</f>
        <v>0</v>
      </c>
      <c r="H34" s="42">
        <f>SUMIFS('2026'!$L:$L,'2026'!$J:$J,$B34&amp;$C34,'2026'!$O:$O,H$4)</f>
        <v>66528</v>
      </c>
      <c r="I34" s="42">
        <f>SUMIFS('2026'!$L:$L,'2026'!$J:$J,$B34&amp;$C34,'2026'!$O:$O,I$4)</f>
        <v>43690.387754377603</v>
      </c>
      <c r="J34" s="42">
        <f>SUMIFS('2026'!$L:$L,'2026'!$J:$J,$B34&amp;$C34,'2026'!$O:$O,J$4)</f>
        <v>48544.875282641784</v>
      </c>
      <c r="K34" s="42">
        <f>SUMIFS('2026'!$L:$L,'2026'!$J:$J,$B34&amp;$C34,'2026'!$O:$O,K$4)</f>
        <v>53399.362810905957</v>
      </c>
      <c r="L34" s="42">
        <f>SUMIFS('2026'!$L:$L,'2026'!$J:$J,$B34&amp;$C34,'2026'!$O:$O,L$4)</f>
        <v>46117.63151850969</v>
      </c>
      <c r="M34" s="42">
        <f>SUMIFS('2026'!$L:$L,'2026'!$J:$J,$B34&amp;$C34,'2026'!$O:$O,M$4)</f>
        <v>90000</v>
      </c>
      <c r="N34" s="42">
        <f>SUMIFS('2026'!$L:$L,'2026'!$J:$J,$B34&amp;$C34,'2026'!$O:$O,N$4)</f>
        <v>43690.387754377603</v>
      </c>
      <c r="O34" s="42">
        <f>SUMIFS('2026'!$L:$L,'2026'!$J:$J,$B34&amp;$C34,'2026'!$O:$O,O$4)</f>
        <v>22500</v>
      </c>
      <c r="P34" s="42">
        <f t="shared" si="11"/>
        <v>506263.80512081267</v>
      </c>
      <c r="Q34" s="605">
        <v>507623.87729253893</v>
      </c>
      <c r="R34" s="8">
        <f>P34-Q34</f>
        <v>-1360.0721717262641</v>
      </c>
      <c r="S34" s="9">
        <f t="shared" ref="S34" si="13">IF(ISERROR(R34/Q34),"",R34/Q34)</f>
        <v>-2.6792911692419602E-3</v>
      </c>
      <c r="T34" s="78"/>
      <c r="U34" s="61">
        <v>366575</v>
      </c>
    </row>
    <row r="35" spans="1:28" ht="15" customHeight="1">
      <c r="A35" s="2" t="s">
        <v>29</v>
      </c>
      <c r="B35" s="36">
        <v>2904</v>
      </c>
      <c r="C35" s="36" t="s">
        <v>29</v>
      </c>
      <c r="D35" s="42">
        <f>SUMIFS('2026'!$L:$L,'2026'!$J:$J,$B35&amp;$C35,'2026'!$O:$O,D$4)</f>
        <v>146152</v>
      </c>
      <c r="E35" s="42">
        <f>SUMIFS('2026'!$L:$L,'2026'!$J:$J,$B35&amp;$C35,'2026'!$O:$O,E$4)</f>
        <v>35832</v>
      </c>
      <c r="F35" s="42">
        <f>SUMIFS('2026'!$L:$L,'2026'!$J:$J,$B35&amp;$C35,'2026'!$O:$O,F$4)</f>
        <v>323036.25</v>
      </c>
      <c r="G35" s="42">
        <f>SUMIFS('2026'!$L:$L,'2026'!$J:$J,$B35&amp;$C35,'2026'!$O:$O,G$4)</f>
        <v>235125</v>
      </c>
      <c r="H35" s="42">
        <f>SUMIFS('2026'!$L:$L,'2026'!$J:$J,$B35&amp;$C35,'2026'!$O:$O,H$4)</f>
        <v>136800</v>
      </c>
      <c r="I35" s="42">
        <f>SUMIFS('2026'!$L:$L,'2026'!$J:$J,$B35&amp;$C35,'2026'!$O:$O,I$4)</f>
        <v>211212</v>
      </c>
      <c r="J35" s="42">
        <f>SUMIFS('2026'!$L:$L,'2026'!$J:$J,$B35&amp;$C35,'2026'!$O:$O,J$4)</f>
        <v>189960</v>
      </c>
      <c r="K35" s="42">
        <f>SUMIFS('2026'!$L:$L,'2026'!$J:$J,$B35&amp;$C35,'2026'!$O:$O,K$4)</f>
        <v>0</v>
      </c>
      <c r="L35" s="42">
        <f>SUMIFS('2026'!$L:$L,'2026'!$J:$J,$B35&amp;$C35,'2026'!$O:$O,L$4)</f>
        <v>0</v>
      </c>
      <c r="M35" s="42">
        <f>SUMIFS('2026'!$L:$L,'2026'!$J:$J,$B35&amp;$C35,'2026'!$O:$O,M$4)</f>
        <v>3716</v>
      </c>
      <c r="N35" s="42">
        <f>SUMIFS('2026'!$L:$L,'2026'!$J:$J,$B35&amp;$C35,'2026'!$O:$O,N$4)</f>
        <v>0</v>
      </c>
      <c r="O35" s="42">
        <f>SUMIFS('2026'!$L:$L,'2026'!$J:$J,$B35&amp;$C35,'2026'!$O:$O,O$4)</f>
        <v>0</v>
      </c>
      <c r="P35" s="42">
        <f t="shared" si="11"/>
        <v>1281833.25</v>
      </c>
      <c r="Q35" s="605">
        <v>1405397</v>
      </c>
      <c r="R35" s="8">
        <f t="shared" ref="R35:R40" si="14">P35-Q35</f>
        <v>-123563.75</v>
      </c>
      <c r="S35" s="9">
        <f t="shared" si="12"/>
        <v>-8.7920886411455262E-2</v>
      </c>
      <c r="T35" s="607"/>
      <c r="U35" s="61">
        <v>1488407</v>
      </c>
    </row>
    <row r="36" spans="1:28" ht="15" customHeight="1">
      <c r="A36" s="2" t="s">
        <v>40</v>
      </c>
      <c r="B36" s="36">
        <v>2904</v>
      </c>
      <c r="C36" s="36" t="s">
        <v>101</v>
      </c>
      <c r="D36" s="42">
        <f>SUMIFS('2026'!$L:$L,'2026'!$J:$J,$B36&amp;$C36,'2026'!$O:$O,D$4)</f>
        <v>33616</v>
      </c>
      <c r="E36" s="42">
        <f>SUMIFS('2026'!$L:$L,'2026'!$J:$J,$B36&amp;$C36,'2026'!$O:$O,E$4)</f>
        <v>81737</v>
      </c>
      <c r="F36" s="42">
        <f>SUMIFS('2026'!$L:$L,'2026'!$J:$J,$B36&amp;$C36,'2026'!$O:$O,F$4)</f>
        <v>45972</v>
      </c>
      <c r="G36" s="42">
        <f>SUMIFS('2026'!$L:$L,'2026'!$J:$J,$B36&amp;$C36,'2026'!$O:$O,G$4)</f>
        <v>110880</v>
      </c>
      <c r="H36" s="42">
        <f>SUMIFS('2026'!$L:$L,'2026'!$J:$J,$B36&amp;$C36,'2026'!$O:$O,H$4)</f>
        <v>149688</v>
      </c>
      <c r="I36" s="42">
        <f>SUMIFS('2026'!$L:$L,'2026'!$J:$J,$B36&amp;$C36,'2026'!$O:$O,I$4)</f>
        <v>95017.103974490019</v>
      </c>
      <c r="J36" s="42">
        <f>SUMIFS('2026'!$L:$L,'2026'!$J:$J,$B36&amp;$C36,'2026'!$O:$O,J$4)</f>
        <v>105574.55997165557</v>
      </c>
      <c r="K36" s="42">
        <f>SUMIFS('2026'!$L:$L,'2026'!$J:$J,$B36&amp;$C36,'2026'!$O:$O,K$4)</f>
        <v>116132.01596882113</v>
      </c>
      <c r="L36" s="42">
        <f>SUMIFS('2026'!$L:$L,'2026'!$J:$J,$B36&amp;$C36,'2026'!$O:$O,L$4)</f>
        <v>100295.8319730728</v>
      </c>
      <c r="M36" s="42">
        <f>SUMIFS('2026'!$L:$L,'2026'!$J:$J,$B36&amp;$C36,'2026'!$O:$O,M$4)</f>
        <v>90000</v>
      </c>
      <c r="N36" s="42">
        <f>SUMIFS('2026'!$L:$L,'2026'!$J:$J,$B36&amp;$C36,'2026'!$O:$O,N$4)</f>
        <v>95017.103974490019</v>
      </c>
      <c r="O36" s="42">
        <f>SUMIFS('2026'!$L:$L,'2026'!$J:$J,$B36&amp;$C36,'2026'!$O:$O,O$4)</f>
        <v>90000</v>
      </c>
      <c r="P36" s="42">
        <f t="shared" si="11"/>
        <v>1113929.6158625295</v>
      </c>
      <c r="Q36" s="605">
        <v>1147569.9864367619</v>
      </c>
      <c r="R36" s="8">
        <f t="shared" ref="R36" si="15">P36-Q36</f>
        <v>-33640.370574232424</v>
      </c>
      <c r="S36" s="9">
        <f t="shared" ref="S36" si="16">IF(ISERROR(R36/Q36),"",R36/Q36)</f>
        <v>-2.9314439181776397E-2</v>
      </c>
      <c r="T36" s="78"/>
      <c r="U36" s="61">
        <v>961930</v>
      </c>
    </row>
    <row r="37" spans="1:28" ht="15" customHeight="1">
      <c r="A37" s="2" t="s">
        <v>45</v>
      </c>
      <c r="B37" s="36">
        <v>2904</v>
      </c>
      <c r="C37" s="36" t="s">
        <v>45</v>
      </c>
      <c r="D37" s="42">
        <f>SUMIFS('2026'!$L:$L,'2026'!$J:$J,$B37&amp;$C37,'2026'!$O:$O,D$4)</f>
        <v>-344</v>
      </c>
      <c r="E37" s="42">
        <f>SUMIFS('2026'!$L:$L,'2026'!$J:$J,$B37&amp;$C37,'2026'!$O:$O,E$4)</f>
        <v>121156</v>
      </c>
      <c r="F37" s="42">
        <f>SUMIFS('2026'!$L:$L,'2026'!$J:$J,$B37&amp;$C37,'2026'!$O:$O,F$4)</f>
        <v>-15</v>
      </c>
      <c r="G37" s="42">
        <f>SUMIFS('2026'!$L:$L,'2026'!$J:$J,$B37&amp;$C37,'2026'!$O:$O,G$4)</f>
        <v>0</v>
      </c>
      <c r="H37" s="42">
        <f>SUMIFS('2026'!$L:$L,'2026'!$J:$J,$B37&amp;$C37,'2026'!$O:$O,H$4)</f>
        <v>0</v>
      </c>
      <c r="I37" s="42">
        <f>SUMIFS('2026'!$L:$L,'2026'!$J:$J,$B37&amp;$C37,'2026'!$O:$O,I$4)</f>
        <v>40500</v>
      </c>
      <c r="J37" s="42">
        <f>SUMIFS('2026'!$L:$L,'2026'!$J:$J,$B37&amp;$C37,'2026'!$O:$O,J$4)</f>
        <v>75000</v>
      </c>
      <c r="K37" s="42">
        <f>SUMIFS('2026'!$L:$L,'2026'!$J:$J,$B37&amp;$C37,'2026'!$O:$O,K$4)</f>
        <v>215000</v>
      </c>
      <c r="L37" s="42">
        <f>SUMIFS('2026'!$L:$L,'2026'!$J:$J,$B37&amp;$C37,'2026'!$O:$O,L$4)</f>
        <v>225000</v>
      </c>
      <c r="M37" s="42">
        <f>SUMIFS('2026'!$L:$L,'2026'!$J:$J,$B37&amp;$C37,'2026'!$O:$O,M$4)</f>
        <v>200000</v>
      </c>
      <c r="N37" s="42">
        <f>SUMIFS('2026'!$L:$L,'2026'!$J:$J,$B37&amp;$C37,'2026'!$O:$O,N$4)</f>
        <v>160000</v>
      </c>
      <c r="O37" s="42">
        <f>SUMIFS('2026'!$L:$L,'2026'!$J:$J,$B37&amp;$C37,'2026'!$O:$O,O$4)</f>
        <v>160000</v>
      </c>
      <c r="P37" s="42">
        <f t="shared" si="11"/>
        <v>1196297</v>
      </c>
      <c r="Q37" s="605">
        <v>733461.12</v>
      </c>
      <c r="R37" s="8">
        <f t="shared" si="14"/>
        <v>462835.88</v>
      </c>
      <c r="S37" s="9">
        <f t="shared" si="12"/>
        <v>0.63102987653933174</v>
      </c>
      <c r="T37" s="78"/>
      <c r="U37" s="61">
        <v>77109</v>
      </c>
    </row>
    <row r="38" spans="1:28" ht="14.1" customHeight="1">
      <c r="A38" s="2" t="s">
        <v>40</v>
      </c>
      <c r="B38" s="36">
        <v>2904</v>
      </c>
      <c r="C38" s="36" t="s">
        <v>102</v>
      </c>
      <c r="D38" s="42">
        <f>SUMIFS('2026'!$L:$L,'2026'!$J:$J,$B38&amp;$C38,'2026'!$O:$O,D$4)</f>
        <v>121965</v>
      </c>
      <c r="E38" s="42">
        <f>SUMIFS('2026'!$L:$L,'2026'!$J:$J,$B38&amp;$C38,'2026'!$O:$O,E$4)</f>
        <v>162834</v>
      </c>
      <c r="F38" s="42">
        <f>SUMIFS('2026'!$L:$L,'2026'!$J:$J,$B38&amp;$C38,'2026'!$O:$O,F$4)</f>
        <v>211985</v>
      </c>
      <c r="G38" s="42">
        <f>SUMIFS('2026'!$L:$L,'2026'!$J:$J,$B38&amp;$C38,'2026'!$O:$O,G$4)</f>
        <v>193248</v>
      </c>
      <c r="H38" s="42">
        <f>SUMIFS('2026'!$L:$L,'2026'!$J:$J,$B38&amp;$C38,'2026'!$O:$O,H$4)</f>
        <v>120384</v>
      </c>
      <c r="I38" s="42">
        <f>SUMIFS('2026'!$L:$L,'2026'!$J:$J,$B38&amp;$C38,'2026'!$O:$O,I$4)</f>
        <v>144960.98827113237</v>
      </c>
      <c r="J38" s="42">
        <f>SUMIFS('2026'!$L:$L,'2026'!$J:$J,$B38&amp;$C38,'2026'!$O:$O,J$4)</f>
        <v>161067.76474570262</v>
      </c>
      <c r="K38" s="42">
        <f>SUMIFS('2026'!$L:$L,'2026'!$J:$J,$B38&amp;$C38,'2026'!$O:$O,K$4)</f>
        <v>177174.54122027289</v>
      </c>
      <c r="L38" s="42">
        <f>SUMIFS('2026'!$L:$L,'2026'!$J:$J,$B38&amp;$C38,'2026'!$O:$O,L$4)</f>
        <v>153014.37650841748</v>
      </c>
      <c r="M38" s="42">
        <f>SUMIFS('2026'!$L:$L,'2026'!$J:$J,$B38&amp;$C38,'2026'!$O:$O,M$4)</f>
        <v>144000</v>
      </c>
      <c r="N38" s="42">
        <f>SUMIFS('2026'!$L:$L,'2026'!$J:$J,$B38&amp;$C38,'2026'!$O:$O,N$4)</f>
        <v>144960.98827113237</v>
      </c>
      <c r="O38" s="42">
        <f>SUMIFS('2026'!$L:$L,'2026'!$J:$J,$B38&amp;$C38,'2026'!$O:$O,O$4)</f>
        <v>193500</v>
      </c>
      <c r="P38" s="42">
        <f t="shared" si="11"/>
        <v>1929094.6590166579</v>
      </c>
      <c r="Q38" s="605">
        <v>2043949.4162706989</v>
      </c>
      <c r="R38" s="8">
        <f t="shared" si="14"/>
        <v>-114854.75725404103</v>
      </c>
      <c r="S38" s="9">
        <f t="shared" si="12"/>
        <v>-5.619256344591933E-2</v>
      </c>
      <c r="T38" s="78"/>
      <c r="U38" s="61">
        <v>2182170</v>
      </c>
    </row>
    <row r="39" spans="1:28" s="66" customFormat="1" ht="15" customHeight="1">
      <c r="A39" s="2" t="s">
        <v>41</v>
      </c>
      <c r="B39" s="36">
        <v>2904</v>
      </c>
      <c r="C39" s="36" t="s">
        <v>41</v>
      </c>
      <c r="D39" s="42">
        <f>SUMIFS('2026'!$L:$L,'2026'!$J:$J,$B39&amp;$C39,'2026'!$O:$O,D$4)</f>
        <v>787404</v>
      </c>
      <c r="E39" s="42">
        <f>SUMIFS('2026'!$L:$L,'2026'!$J:$J,$B39&amp;$C39,'2026'!$O:$O,E$4)</f>
        <v>936622</v>
      </c>
      <c r="F39" s="42">
        <f>SUMIFS('2026'!$L:$L,'2026'!$J:$J,$B39&amp;$C39,'2026'!$O:$O,F$4)</f>
        <v>1043191.24</v>
      </c>
      <c r="G39" s="42">
        <f>SUMIFS('2026'!$L:$L,'2026'!$J:$J,$B39&amp;$C39,'2026'!$O:$O,G$4)</f>
        <v>1240608</v>
      </c>
      <c r="H39" s="42">
        <f>SUMIFS('2026'!$L:$L,'2026'!$J:$J,$B39&amp;$C39,'2026'!$O:$O,H$4)</f>
        <v>912864</v>
      </c>
      <c r="I39" s="42">
        <f>SUMIFS('2026'!$L:$L,'2026'!$J:$J,$B39&amp;$C39,'2026'!$O:$O,I$4)</f>
        <v>1000719.3599999999</v>
      </c>
      <c r="J39" s="42">
        <f>SUMIFS('2026'!$L:$L,'2026'!$J:$J,$B39&amp;$C39,'2026'!$O:$O,J$4)</f>
        <v>1000719.3599999999</v>
      </c>
      <c r="K39" s="42">
        <f>SUMIFS('2026'!$L:$L,'2026'!$J:$J,$B39&amp;$C39,'2026'!$O:$O,K$4)</f>
        <v>1107939.2914285713</v>
      </c>
      <c r="L39" s="42">
        <f>SUMIFS('2026'!$L:$L,'2026'!$J:$J,$B39&amp;$C39,'2026'!$O:$O,L$4)</f>
        <v>806400</v>
      </c>
      <c r="M39" s="42">
        <f>SUMIFS('2026'!$L:$L,'2026'!$J:$J,$B39&amp;$C39,'2026'!$O:$O,M$4)</f>
        <v>952711.67999999993</v>
      </c>
      <c r="N39" s="42">
        <f>SUMIFS('2026'!$L:$L,'2026'!$J:$J,$B39&amp;$C39,'2026'!$O:$O,N$4)</f>
        <v>576000</v>
      </c>
      <c r="O39" s="42">
        <f>SUMIFS('2026'!$L:$L,'2026'!$J:$J,$B39&amp;$C39,'2026'!$O:$O,O$4)</f>
        <v>678950.94857142854</v>
      </c>
      <c r="P39" s="65">
        <f t="shared" si="11"/>
        <v>11044129.879999999</v>
      </c>
      <c r="Q39" s="605">
        <v>11023726.994285714</v>
      </c>
      <c r="R39" s="29">
        <f t="shared" si="14"/>
        <v>20402.885714285076</v>
      </c>
      <c r="S39" s="67">
        <f>IF(ISERROR(R39/Q39),"",R39/Q39)</f>
        <v>1.8508155839546067E-3</v>
      </c>
      <c r="T39" s="83"/>
      <c r="U39" s="30">
        <v>10467549</v>
      </c>
    </row>
    <row r="40" spans="1:28" ht="15" customHeight="1">
      <c r="A40" s="66" t="s">
        <v>39</v>
      </c>
      <c r="B40" s="36">
        <v>2904</v>
      </c>
      <c r="C40" s="36" t="s">
        <v>39</v>
      </c>
      <c r="D40" s="42">
        <f>SUMIFS('2026'!$L:$L,'2026'!$J:$J,$B40&amp;$C40,'2026'!$O:$O,D$4)</f>
        <v>82580</v>
      </c>
      <c r="E40" s="42">
        <f>SUMIFS('2026'!$L:$L,'2026'!$J:$J,$B40&amp;$C40,'2026'!$O:$O,E$4)</f>
        <v>118064</v>
      </c>
      <c r="F40" s="42">
        <f>SUMIFS('2026'!$L:$L,'2026'!$J:$J,$B40&amp;$C40,'2026'!$O:$O,F$4)</f>
        <v>110940</v>
      </c>
      <c r="G40" s="42">
        <f>SUMIFS('2026'!$L:$L,'2026'!$J:$J,$B40&amp;$C40,'2026'!$O:$O,G$4)</f>
        <v>137088</v>
      </c>
      <c r="H40" s="42">
        <f>SUMIFS('2026'!$L:$L,'2026'!$J:$J,$B40&amp;$C40,'2026'!$O:$O,H$4)</f>
        <v>134784</v>
      </c>
      <c r="I40" s="42">
        <f>SUMIFS('2026'!$L:$L,'2026'!$J:$J,$B40&amp;$C40,'2026'!$O:$O,I$4)</f>
        <v>172900</v>
      </c>
      <c r="J40" s="42">
        <f>SUMIFS('2026'!$L:$L,'2026'!$J:$J,$B40&amp;$C40,'2026'!$O:$O,J$4)</f>
        <v>186675</v>
      </c>
      <c r="K40" s="42">
        <f>SUMIFS('2026'!$L:$L,'2026'!$J:$J,$B40&amp;$C40,'2026'!$O:$O,K$4)</f>
        <v>190950</v>
      </c>
      <c r="L40" s="42">
        <f>SUMIFS('2026'!$L:$L,'2026'!$J:$J,$B40&amp;$C40,'2026'!$O:$O,L$4)</f>
        <v>176225</v>
      </c>
      <c r="M40" s="42">
        <f>SUMIFS('2026'!$L:$L,'2026'!$J:$J,$B40&amp;$C40,'2026'!$O:$O,M$4)</f>
        <v>186675</v>
      </c>
      <c r="N40" s="42">
        <f>SUMIFS('2026'!$L:$L,'2026'!$J:$J,$B40&amp;$C40,'2026'!$O:$O,N$4)</f>
        <v>69825</v>
      </c>
      <c r="O40" s="42">
        <f>SUMIFS('2026'!$L:$L,'2026'!$J:$J,$B40&amp;$C40,'2026'!$O:$O,O$4)</f>
        <v>0</v>
      </c>
      <c r="P40" s="61">
        <f t="shared" si="11"/>
        <v>1566706</v>
      </c>
      <c r="Q40" s="641">
        <v>1666302.6</v>
      </c>
      <c r="R40" s="29">
        <f t="shared" si="14"/>
        <v>-99596.600000000093</v>
      </c>
      <c r="S40" s="9">
        <f t="shared" ref="S40" si="17">IF(ISERROR(R40/Q40),"",R40/Q40)</f>
        <v>-5.9771016380818276E-2</v>
      </c>
      <c r="T40" s="79"/>
      <c r="U40" s="61">
        <v>1801702</v>
      </c>
    </row>
    <row r="41" spans="1:28" ht="15" customHeight="1">
      <c r="B41" s="10"/>
      <c r="C41" s="90" t="s">
        <v>103</v>
      </c>
      <c r="D41" s="11">
        <f>SUM(D26:D40)</f>
        <v>3059349</v>
      </c>
      <c r="E41" s="11">
        <f t="shared" ref="E41:P41" si="18">SUM(E26:E40)</f>
        <v>3787130</v>
      </c>
      <c r="F41" s="11">
        <f t="shared" si="18"/>
        <v>4288743.09</v>
      </c>
      <c r="G41" s="11">
        <f t="shared" si="18"/>
        <v>4493356</v>
      </c>
      <c r="H41" s="11">
        <f t="shared" si="18"/>
        <v>3826400</v>
      </c>
      <c r="I41" s="11">
        <f t="shared" si="18"/>
        <v>3745226.2571428572</v>
      </c>
      <c r="J41" s="11">
        <f t="shared" si="18"/>
        <v>3895057.25</v>
      </c>
      <c r="K41" s="11">
        <f t="shared" si="18"/>
        <v>4048087.1971428571</v>
      </c>
      <c r="L41" s="11">
        <f t="shared" si="18"/>
        <v>3498227.9899999998</v>
      </c>
      <c r="M41" s="11">
        <f t="shared" si="18"/>
        <v>2959925.4171428569</v>
      </c>
      <c r="N41" s="11">
        <f t="shared" si="18"/>
        <v>2023295.47</v>
      </c>
      <c r="O41" s="11">
        <f t="shared" si="18"/>
        <v>2079472.0885714288</v>
      </c>
      <c r="P41" s="11">
        <f t="shared" si="18"/>
        <v>41704269.759999998</v>
      </c>
      <c r="Q41" s="11">
        <v>41684951.27714286</v>
      </c>
      <c r="R41" s="11">
        <f>SUM(R26:R40)</f>
        <v>19318.482857141527</v>
      </c>
      <c r="S41" s="12">
        <f>IF(ISERROR(R41/Q41),"",R41/Q41)</f>
        <v>4.6344021679916046E-4</v>
      </c>
      <c r="T41" s="76"/>
      <c r="U41" s="11">
        <v>39669375</v>
      </c>
    </row>
    <row r="42" spans="1:28" ht="15" customHeight="1">
      <c r="B42" s="27"/>
      <c r="D42" s="39">
        <f>SUM(D34,D36,D38)</f>
        <v>178252</v>
      </c>
      <c r="E42" s="39">
        <f t="shared" ref="E42:O42" si="19">SUM(E34,E36,E38)</f>
        <v>244571</v>
      </c>
      <c r="F42" s="39">
        <f t="shared" si="19"/>
        <v>327079.16000000003</v>
      </c>
      <c r="G42" s="39">
        <f t="shared" si="19"/>
        <v>304128</v>
      </c>
      <c r="H42" s="39">
        <f t="shared" si="19"/>
        <v>336600</v>
      </c>
      <c r="I42" s="39">
        <f t="shared" si="19"/>
        <v>283668.47999999998</v>
      </c>
      <c r="J42" s="39">
        <f t="shared" si="19"/>
        <v>315187.19999999995</v>
      </c>
      <c r="K42" s="39">
        <f t="shared" si="19"/>
        <v>346705.91999999998</v>
      </c>
      <c r="L42" s="39">
        <f t="shared" si="19"/>
        <v>299427.83999999997</v>
      </c>
      <c r="M42" s="39">
        <f t="shared" si="19"/>
        <v>324000</v>
      </c>
      <c r="N42" s="39">
        <f t="shared" si="19"/>
        <v>283668.47999999998</v>
      </c>
      <c r="O42" s="39">
        <f t="shared" si="19"/>
        <v>306000</v>
      </c>
      <c r="P42" s="1"/>
      <c r="Q42" s="1"/>
      <c r="R42" s="1"/>
      <c r="S42" s="1"/>
      <c r="U42" s="1"/>
    </row>
    <row r="43" spans="1:28" ht="15" customHeight="1">
      <c r="B43" s="35"/>
      <c r="C43" s="1094" t="s">
        <v>104</v>
      </c>
      <c r="D43" s="1095"/>
      <c r="E43" s="1095"/>
      <c r="F43" s="1095"/>
      <c r="G43" s="1095"/>
      <c r="H43" s="1095"/>
      <c r="I43" s="1095"/>
      <c r="J43" s="1095"/>
      <c r="K43" s="1095"/>
      <c r="L43" s="1095"/>
      <c r="M43" s="1095"/>
      <c r="N43" s="1095"/>
      <c r="O43" s="1095"/>
      <c r="R43" s="31" t="s">
        <v>94</v>
      </c>
      <c r="S43" s="32"/>
      <c r="T43" s="71" t="s">
        <v>66</v>
      </c>
      <c r="U43" s="2"/>
    </row>
    <row r="44" spans="1:28" s="3" customFormat="1">
      <c r="B44" s="4"/>
      <c r="C44" s="4" t="s">
        <v>17</v>
      </c>
      <c r="D44" s="5" t="s">
        <v>68</v>
      </c>
      <c r="E44" s="5" t="s">
        <v>69</v>
      </c>
      <c r="F44" s="5" t="s">
        <v>70</v>
      </c>
      <c r="G44" s="5" t="s">
        <v>71</v>
      </c>
      <c r="H44" s="5" t="s">
        <v>72</v>
      </c>
      <c r="I44" s="5" t="s">
        <v>73</v>
      </c>
      <c r="J44" s="5" t="s">
        <v>74</v>
      </c>
      <c r="K44" s="5" t="s">
        <v>75</v>
      </c>
      <c r="L44" s="5" t="s">
        <v>76</v>
      </c>
      <c r="M44" s="5" t="s">
        <v>77</v>
      </c>
      <c r="N44" s="5" t="s">
        <v>78</v>
      </c>
      <c r="O44" s="5" t="s">
        <v>79</v>
      </c>
      <c r="P44" s="187" t="str">
        <f>P$4</f>
        <v>2026 MRF3</v>
      </c>
      <c r="Q44" s="188" t="s">
        <v>1309</v>
      </c>
      <c r="R44" s="5" t="str">
        <f t="shared" ref="R44:S44" si="20">R$4</f>
        <v>Difference</v>
      </c>
      <c r="S44" s="6" t="str">
        <f t="shared" si="20"/>
        <v>% change</v>
      </c>
      <c r="T44" s="74"/>
      <c r="U44" s="187" t="s">
        <v>1186</v>
      </c>
    </row>
    <row r="45" spans="1:28" ht="25.35" customHeight="1">
      <c r="A45" s="2" t="s">
        <v>23</v>
      </c>
      <c r="B45" s="36">
        <v>1352</v>
      </c>
      <c r="C45" s="36" t="s">
        <v>23</v>
      </c>
      <c r="D45" s="42">
        <f>SUMIFS('2026'!$L:$L,'2026'!$J:$J,$B45&amp;$C45,'2026'!$O:$O,D$4)</f>
        <v>948937</v>
      </c>
      <c r="E45" s="42">
        <f>SUMIFS('2026'!$L:$L,'2026'!$J:$J,$B45&amp;$C45,'2026'!$O:$O,E$4)</f>
        <v>1155184</v>
      </c>
      <c r="F45" s="42">
        <f>SUMIFS('2026'!$L:$L,'2026'!$J:$J,$B45&amp;$C45,'2026'!$O:$O,F$4)</f>
        <v>1577496.3399999996</v>
      </c>
      <c r="G45" s="42">
        <f>SUMIFS('2026'!$L:$L,'2026'!$J:$J,$B45&amp;$C45,'2026'!$O:$O,G$4)</f>
        <v>1188645.0399999998</v>
      </c>
      <c r="H45" s="42">
        <f>SUMIFS('2026'!$L:$L,'2026'!$J:$J,$B45&amp;$C45,'2026'!$O:$O,H$4)</f>
        <v>977502.23999999964</v>
      </c>
      <c r="I45" s="42">
        <f>SUMIFS('2026'!$L:$L,'2026'!$J:$J,$B45&amp;$C45,'2026'!$O:$O,I$4)</f>
        <v>1023799.2685714287</v>
      </c>
      <c r="J45" s="42">
        <f>SUMIFS('2026'!$L:$L,'2026'!$J:$J,$B45&amp;$C45,'2026'!$O:$O,J$4)</f>
        <v>1061717.76</v>
      </c>
      <c r="K45" s="42">
        <f>SUMIFS('2026'!$L:$L,'2026'!$J:$J,$B45&amp;$C45,'2026'!$O:$O,K$4)</f>
        <v>1239290.7428571428</v>
      </c>
      <c r="L45" s="42">
        <f>SUMIFS('2026'!$L:$L,'2026'!$J:$J,$B45&amp;$C45,'2026'!$O:$O,L$4)</f>
        <v>691169.83542857133</v>
      </c>
      <c r="M45" s="42">
        <f>SUMIFS('2026'!$L:$L,'2026'!$J:$J,$B45&amp;$C45,'2026'!$O:$O,M$4)</f>
        <v>926400</v>
      </c>
      <c r="N45" s="42">
        <f>SUMIFS('2026'!$L:$L,'2026'!$J:$J,$B45&amp;$C45,'2026'!$O:$O,N$4)</f>
        <v>569198.68800000008</v>
      </c>
      <c r="O45" s="42">
        <f>SUMIFS('2026'!$L:$L,'2026'!$J:$J,$B45&amp;$C45,'2026'!$O:$O,O$4)</f>
        <v>569198.68800000008</v>
      </c>
      <c r="P45" s="61">
        <f>SUM(D45:O45)</f>
        <v>11928539.602857143</v>
      </c>
      <c r="Q45" s="605">
        <v>11898959.849142857</v>
      </c>
      <c r="R45" s="8">
        <f t="shared" ref="R45:R52" si="21">P45-Q45</f>
        <v>29579.753714285791</v>
      </c>
      <c r="S45" s="9">
        <f t="shared" ref="S45:S53" si="22">IF(ISERROR(R45/Q45),"",R45/Q45)</f>
        <v>2.4859108770264966E-3</v>
      </c>
      <c r="T45" s="843"/>
      <c r="U45" s="61">
        <v>12445043</v>
      </c>
      <c r="V45" s="28"/>
      <c r="W45" s="28"/>
      <c r="X45" s="28"/>
      <c r="Y45" s="28"/>
      <c r="Z45" s="28"/>
      <c r="AA45" s="28"/>
      <c r="AB45" s="28"/>
    </row>
    <row r="46" spans="1:28" ht="15" customHeight="1">
      <c r="A46" s="2" t="s">
        <v>38</v>
      </c>
      <c r="B46" s="36">
        <v>1352</v>
      </c>
      <c r="C46" s="36" t="s">
        <v>105</v>
      </c>
      <c r="D46" s="42">
        <f>SUMIFS('2026'!$L:$L,'2026'!$J:$J,$B46&amp;$C46,'2026'!$O:$O,D$4)</f>
        <v>0</v>
      </c>
      <c r="E46" s="42">
        <f>SUMIFS('2026'!$L:$L,'2026'!$J:$J,$B46&amp;$C46,'2026'!$O:$O,E$4)</f>
        <v>0</v>
      </c>
      <c r="F46" s="42">
        <f>SUMIFS('2026'!$L:$L,'2026'!$J:$J,$B46&amp;$C46,'2026'!$O:$O,F$4)</f>
        <v>0</v>
      </c>
      <c r="G46" s="42">
        <f>SUMIFS('2026'!$L:$L,'2026'!$J:$J,$B46&amp;$C46,'2026'!$O:$O,G$4)</f>
        <v>0</v>
      </c>
      <c r="H46" s="42">
        <f>SUMIFS('2026'!$L:$L,'2026'!$J:$J,$B46&amp;$C46,'2026'!$O:$O,H$4)</f>
        <v>0</v>
      </c>
      <c r="I46" s="42">
        <f>SUMIFS('2026'!$L:$L,'2026'!$J:$J,$B46&amp;$C46,'2026'!$O:$O,I$4)</f>
        <v>0</v>
      </c>
      <c r="J46" s="42">
        <f>SUMIFS('2026'!$L:$L,'2026'!$J:$J,$B46&amp;$C46,'2026'!$O:$O,J$4)</f>
        <v>0</v>
      </c>
      <c r="K46" s="42">
        <f>SUMIFS('2026'!$L:$L,'2026'!$J:$J,$B46&amp;$C46,'2026'!$O:$O,K$4)</f>
        <v>0</v>
      </c>
      <c r="L46" s="42">
        <f>SUMIFS('2026'!$L:$L,'2026'!$J:$J,$B46&amp;$C46,'2026'!$O:$O,L$4)</f>
        <v>0</v>
      </c>
      <c r="M46" s="42">
        <f>SUMIFS('2026'!$L:$L,'2026'!$J:$J,$B46&amp;$C46,'2026'!$O:$O,M$4)</f>
        <v>0</v>
      </c>
      <c r="N46" s="42">
        <f>SUMIFS('2026'!$L:$L,'2026'!$J:$J,$B46&amp;$C46,'2026'!$O:$O,N$4)</f>
        <v>0</v>
      </c>
      <c r="O46" s="42">
        <f>SUMIFS('2026'!$L:$L,'2026'!$J:$J,$B46&amp;$C46,'2026'!$O:$O,O$4)</f>
        <v>0</v>
      </c>
      <c r="P46" s="61">
        <f t="shared" ref="P46:P50" si="23">SUM(D46:O46)</f>
        <v>0</v>
      </c>
      <c r="Q46" s="605">
        <v>0</v>
      </c>
      <c r="R46" s="8">
        <f t="shared" si="21"/>
        <v>0</v>
      </c>
      <c r="S46" s="9" t="str">
        <f t="shared" si="22"/>
        <v/>
      </c>
      <c r="T46" s="75"/>
      <c r="U46" s="61">
        <v>0</v>
      </c>
      <c r="V46" s="28"/>
      <c r="W46" s="28"/>
      <c r="X46" s="28"/>
      <c r="Y46" s="28"/>
      <c r="Z46" s="28"/>
      <c r="AA46" s="28"/>
      <c r="AB46" s="28"/>
    </row>
    <row r="47" spans="1:28" ht="15" customHeight="1">
      <c r="A47" s="2" t="s">
        <v>38</v>
      </c>
      <c r="B47" s="36">
        <v>1352</v>
      </c>
      <c r="C47" s="36" t="s">
        <v>106</v>
      </c>
      <c r="D47" s="42">
        <f>SUMIFS('2026'!$L:$L,'2026'!$J:$J,$B47&amp;$C47,'2026'!$O:$O,D$4)</f>
        <v>0</v>
      </c>
      <c r="E47" s="42">
        <f>SUMIFS('2026'!$L:$L,'2026'!$J:$J,$B47&amp;$C47,'2026'!$O:$O,E$4)</f>
        <v>0</v>
      </c>
      <c r="F47" s="42">
        <f>SUMIFS('2026'!$L:$L,'2026'!$J:$J,$B47&amp;$C47,'2026'!$O:$O,F$4)</f>
        <v>0</v>
      </c>
      <c r="G47" s="42">
        <f>SUMIFS('2026'!$L:$L,'2026'!$J:$J,$B47&amp;$C47,'2026'!$O:$O,G$4)</f>
        <v>0</v>
      </c>
      <c r="H47" s="42">
        <f>SUMIFS('2026'!$L:$L,'2026'!$J:$J,$B47&amp;$C47,'2026'!$O:$O,H$4)</f>
        <v>0</v>
      </c>
      <c r="I47" s="42">
        <f>SUMIFS('2026'!$L:$L,'2026'!$J:$J,$B47&amp;$C47,'2026'!$O:$O,I$4)</f>
        <v>0</v>
      </c>
      <c r="J47" s="42">
        <f>SUMIFS('2026'!$L:$L,'2026'!$J:$J,$B47&amp;$C47,'2026'!$O:$O,J$4)</f>
        <v>0</v>
      </c>
      <c r="K47" s="42">
        <f>SUMIFS('2026'!$L:$L,'2026'!$J:$J,$B47&amp;$C47,'2026'!$O:$O,K$4)</f>
        <v>0</v>
      </c>
      <c r="L47" s="42">
        <f>SUMIFS('2026'!$L:$L,'2026'!$J:$J,$B47&amp;$C47,'2026'!$O:$O,L$4)</f>
        <v>0</v>
      </c>
      <c r="M47" s="42">
        <f>SUMIFS('2026'!$L:$L,'2026'!$J:$J,$B47&amp;$C47,'2026'!$O:$O,M$4)</f>
        <v>0</v>
      </c>
      <c r="N47" s="42">
        <f>SUMIFS('2026'!$L:$L,'2026'!$J:$J,$B47&amp;$C47,'2026'!$O:$O,N$4)</f>
        <v>0</v>
      </c>
      <c r="O47" s="42">
        <f>SUMIFS('2026'!$L:$L,'2026'!$J:$J,$B47&amp;$C47,'2026'!$O:$O,O$4)</f>
        <v>0</v>
      </c>
      <c r="P47" s="61">
        <f>SUM(D47:O47)</f>
        <v>0</v>
      </c>
      <c r="Q47" s="605">
        <v>0</v>
      </c>
      <c r="R47" s="8">
        <f t="shared" si="21"/>
        <v>0</v>
      </c>
      <c r="S47" s="9" t="str">
        <f t="shared" si="22"/>
        <v/>
      </c>
      <c r="T47" s="75"/>
      <c r="U47" s="61">
        <v>0</v>
      </c>
    </row>
    <row r="48" spans="1:28" ht="15" customHeight="1">
      <c r="A48" s="2" t="s">
        <v>31</v>
      </c>
      <c r="B48" s="36">
        <v>1352</v>
      </c>
      <c r="C48" s="36" t="s">
        <v>31</v>
      </c>
      <c r="D48" s="42">
        <f>SUMIFS('2026'!$L:$L,'2026'!$J:$J,$B48&amp;$C48,'2026'!$O:$O,D$4)</f>
        <v>373150</v>
      </c>
      <c r="E48" s="42">
        <f>SUMIFS('2026'!$L:$L,'2026'!$J:$J,$B48&amp;$C48,'2026'!$O:$O,E$4)</f>
        <v>459113</v>
      </c>
      <c r="F48" s="42">
        <f>SUMIFS('2026'!$L:$L,'2026'!$J:$J,$B48&amp;$C48,'2026'!$O:$O,F$4)</f>
        <v>572625.43999999994</v>
      </c>
      <c r="G48" s="42">
        <f>SUMIFS('2026'!$L:$L,'2026'!$J:$J,$B48&amp;$C48,'2026'!$O:$O,G$4)</f>
        <v>479059.20000000001</v>
      </c>
      <c r="H48" s="42">
        <f>SUMIFS('2026'!$L:$L,'2026'!$J:$J,$B48&amp;$C48,'2026'!$O:$O,H$4)</f>
        <v>422976</v>
      </c>
      <c r="I48" s="42">
        <f>SUMIFS('2026'!$L:$L,'2026'!$J:$J,$B48&amp;$C48,'2026'!$O:$O,I$4)</f>
        <v>395580</v>
      </c>
      <c r="J48" s="42">
        <f>SUMIFS('2026'!$L:$L,'2026'!$J:$J,$B48&amp;$C48,'2026'!$O:$O,J$4)</f>
        <v>414105</v>
      </c>
      <c r="K48" s="42">
        <f>SUMIFS('2026'!$L:$L,'2026'!$J:$J,$B48&amp;$C48,'2026'!$O:$O,K$4)</f>
        <v>377311.5</v>
      </c>
      <c r="L48" s="42">
        <f>SUMIFS('2026'!$L:$L,'2026'!$J:$J,$B48&amp;$C48,'2026'!$O:$O,L$4)</f>
        <v>356022</v>
      </c>
      <c r="M48" s="42">
        <f>SUMIFS('2026'!$L:$L,'2026'!$J:$J,$B48&amp;$C48,'2026'!$O:$O,M$4)</f>
        <v>241893</v>
      </c>
      <c r="N48" s="42">
        <f>SUMIFS('2026'!$L:$L,'2026'!$J:$J,$B48&amp;$C48,'2026'!$O:$O,N$4)</f>
        <v>193882.5</v>
      </c>
      <c r="O48" s="42">
        <f>SUMIFS('2026'!$L:$L,'2026'!$J:$J,$B48&amp;$C48,'2026'!$O:$O,O$4)</f>
        <v>45000</v>
      </c>
      <c r="P48" s="42">
        <f t="shared" si="23"/>
        <v>4330717.6399999997</v>
      </c>
      <c r="Q48" s="605">
        <v>4411870.3866666667</v>
      </c>
      <c r="R48" s="8">
        <f t="shared" si="21"/>
        <v>-81152.746666667052</v>
      </c>
      <c r="S48" s="9">
        <f t="shared" si="22"/>
        <v>-1.8394181957820614E-2</v>
      </c>
      <c r="T48" s="82"/>
      <c r="U48" s="42">
        <v>4190845</v>
      </c>
    </row>
    <row r="49" spans="1:36" ht="25.35" customHeight="1">
      <c r="A49" s="2" t="s">
        <v>32</v>
      </c>
      <c r="B49" s="36">
        <v>1352</v>
      </c>
      <c r="C49" s="36" t="s">
        <v>32</v>
      </c>
      <c r="D49" s="42">
        <f>SUMIFS('2026'!$L:$L,'2026'!$J:$J,$B49&amp;$C49,'2026'!$O:$O,D$4)</f>
        <v>0</v>
      </c>
      <c r="E49" s="42">
        <f>SUMIFS('2026'!$L:$L,'2026'!$J:$J,$B49&amp;$C49,'2026'!$O:$O,E$4)</f>
        <v>0</v>
      </c>
      <c r="F49" s="42">
        <f>SUMIFS('2026'!$L:$L,'2026'!$J:$J,$B49&amp;$C49,'2026'!$O:$O,F$4)</f>
        <v>0</v>
      </c>
      <c r="G49" s="42">
        <f>SUMIFS('2026'!$L:$L,'2026'!$J:$J,$B49&amp;$C49,'2026'!$O:$O,G$4)</f>
        <v>0</v>
      </c>
      <c r="H49" s="42">
        <f>SUMIFS('2026'!$L:$L,'2026'!$J:$J,$B49&amp;$C49,'2026'!$O:$O,H$4)</f>
        <v>0</v>
      </c>
      <c r="I49" s="42">
        <f>SUMIFS('2026'!$L:$L,'2026'!$J:$J,$B49&amp;$C49,'2026'!$O:$O,I$4)</f>
        <v>0</v>
      </c>
      <c r="J49" s="42">
        <f>SUMIFS('2026'!$L:$L,'2026'!$J:$J,$B49&amp;$C49,'2026'!$O:$O,J$4)</f>
        <v>0</v>
      </c>
      <c r="K49" s="42">
        <f>SUMIFS('2026'!$L:$L,'2026'!$J:$J,$B49&amp;$C49,'2026'!$O:$O,K$4)</f>
        <v>0</v>
      </c>
      <c r="L49" s="42">
        <f>SUMIFS('2026'!$L:$L,'2026'!$J:$J,$B49&amp;$C49,'2026'!$O:$O,L$4)</f>
        <v>0</v>
      </c>
      <c r="M49" s="42">
        <f>SUMIFS('2026'!$L:$L,'2026'!$J:$J,$B49&amp;$C49,'2026'!$O:$O,M$4)</f>
        <v>0</v>
      </c>
      <c r="N49" s="42">
        <f>SUMIFS('2026'!$L:$L,'2026'!$J:$J,$B49&amp;$C49,'2026'!$O:$O,N$4)</f>
        <v>0</v>
      </c>
      <c r="O49" s="42">
        <f>SUMIFS('2026'!$L:$L,'2026'!$J:$J,$B49&amp;$C49,'2026'!$O:$O,O$4)</f>
        <v>0</v>
      </c>
      <c r="P49" s="42">
        <f>SUM(D49:O49)</f>
        <v>0</v>
      </c>
      <c r="Q49" s="605">
        <v>0</v>
      </c>
      <c r="R49" s="8">
        <f t="shared" si="21"/>
        <v>0</v>
      </c>
      <c r="S49" s="9" t="str">
        <f t="shared" si="22"/>
        <v/>
      </c>
      <c r="T49" s="91"/>
      <c r="U49" s="42">
        <v>419854</v>
      </c>
    </row>
    <row r="50" spans="1:36" ht="15" customHeight="1">
      <c r="A50" s="2" t="s">
        <v>36</v>
      </c>
      <c r="B50" s="36">
        <v>1352</v>
      </c>
      <c r="C50" s="36" t="s">
        <v>36</v>
      </c>
      <c r="D50" s="42">
        <f>SUMIFS('2026'!$L:$L,'2026'!$J:$J,$B50&amp;$C50,'2026'!$O:$O,D$4)</f>
        <v>147490</v>
      </c>
      <c r="E50" s="42">
        <f>SUMIFS('2026'!$L:$L,'2026'!$J:$J,$B50&amp;$C50,'2026'!$O:$O,E$4)</f>
        <v>193235</v>
      </c>
      <c r="F50" s="42">
        <f>SUMIFS('2026'!$L:$L,'2026'!$J:$J,$B50&amp;$C50,'2026'!$O:$O,F$4)</f>
        <v>258555.2</v>
      </c>
      <c r="G50" s="42">
        <f>SUMIFS('2026'!$L:$L,'2026'!$J:$J,$B50&amp;$C50,'2026'!$O:$O,G$4)</f>
        <v>331776</v>
      </c>
      <c r="H50" s="42">
        <f>SUMIFS('2026'!$L:$L,'2026'!$J:$J,$B50&amp;$C50,'2026'!$O:$O,H$4)</f>
        <v>355008</v>
      </c>
      <c r="I50" s="42">
        <f>SUMIFS('2026'!$L:$L,'2026'!$J:$J,$B50&amp;$C50,'2026'!$O:$O,I$4)</f>
        <v>263150</v>
      </c>
      <c r="J50" s="42">
        <f>SUMIFS('2026'!$L:$L,'2026'!$J:$J,$B50&amp;$C50,'2026'!$O:$O,J$4)</f>
        <v>233795</v>
      </c>
      <c r="K50" s="42">
        <f>SUMIFS('2026'!$L:$L,'2026'!$J:$J,$B50&amp;$C50,'2026'!$O:$O,K$4)</f>
        <v>223630</v>
      </c>
      <c r="L50" s="42">
        <f>SUMIFS('2026'!$L:$L,'2026'!$J:$J,$B50&amp;$C50,'2026'!$O:$O,L$4)</f>
        <v>153790</v>
      </c>
      <c r="M50" s="42">
        <f>SUMIFS('2026'!$L:$L,'2026'!$J:$J,$B50&amp;$C50,'2026'!$O:$O,M$4)</f>
        <v>161770</v>
      </c>
      <c r="N50" s="42">
        <f>SUMIFS('2026'!$L:$L,'2026'!$J:$J,$B50&amp;$C50,'2026'!$O:$O,N$4)</f>
        <v>0</v>
      </c>
      <c r="O50" s="42">
        <f>SUMIFS('2026'!$L:$L,'2026'!$J:$J,$B50&amp;$C50,'2026'!$O:$O,O$4)</f>
        <v>0</v>
      </c>
      <c r="P50" s="61">
        <f t="shared" si="23"/>
        <v>2322199.2000000002</v>
      </c>
      <c r="Q50" s="605">
        <v>2270310.58</v>
      </c>
      <c r="R50" s="8">
        <f t="shared" si="21"/>
        <v>51888.620000000112</v>
      </c>
      <c r="S50" s="9">
        <f t="shared" si="22"/>
        <v>2.2855295860005245E-2</v>
      </c>
      <c r="T50" s="82"/>
      <c r="U50" s="61">
        <v>2792362</v>
      </c>
    </row>
    <row r="51" spans="1:36" ht="35.85" customHeight="1">
      <c r="A51" s="2" t="s">
        <v>39</v>
      </c>
      <c r="B51" s="36">
        <v>1352</v>
      </c>
      <c r="C51" s="36" t="s">
        <v>39</v>
      </c>
      <c r="D51" s="42">
        <f>SUMIFS('2026'!$L:$L,'2026'!$J:$J,$B51&amp;$C51,'2026'!$O:$O,D$4)</f>
        <v>158880</v>
      </c>
      <c r="E51" s="42">
        <f>SUMIFS('2026'!$L:$L,'2026'!$J:$J,$B51&amp;$C51,'2026'!$O:$O,E$4)</f>
        <v>290587</v>
      </c>
      <c r="F51" s="42">
        <f>SUMIFS('2026'!$L:$L,'2026'!$J:$J,$B51&amp;$C51,'2026'!$O:$O,F$4)</f>
        <v>262928</v>
      </c>
      <c r="G51" s="42">
        <f>SUMIFS('2026'!$L:$L,'2026'!$J:$J,$B51&amp;$C51,'2026'!$O:$O,G$4)</f>
        <v>263347.20000000001</v>
      </c>
      <c r="H51" s="42">
        <f>SUMIFS('2026'!$L:$L,'2026'!$J:$J,$B51&amp;$C51,'2026'!$O:$O,H$4)</f>
        <v>234432</v>
      </c>
      <c r="I51" s="42">
        <f>SUMIFS('2026'!$L:$L,'2026'!$J:$J,$B51&amp;$C51,'2026'!$O:$O,I$4)</f>
        <v>237500</v>
      </c>
      <c r="J51" s="42">
        <f>SUMIFS('2026'!$L:$L,'2026'!$J:$J,$B51&amp;$C51,'2026'!$O:$O,J$4)</f>
        <v>349600</v>
      </c>
      <c r="K51" s="42">
        <f>SUMIFS('2026'!$L:$L,'2026'!$J:$J,$B51&amp;$C51,'2026'!$O:$O,K$4)</f>
        <v>334400</v>
      </c>
      <c r="L51" s="42">
        <f>SUMIFS('2026'!$L:$L,'2026'!$J:$J,$B51&amp;$C51,'2026'!$O:$O,L$4)</f>
        <v>319200</v>
      </c>
      <c r="M51" s="42">
        <f>SUMIFS('2026'!$L:$L,'2026'!$J:$J,$B51&amp;$C51,'2026'!$O:$O,M$4)</f>
        <v>349600</v>
      </c>
      <c r="N51" s="42">
        <f>SUMIFS('2026'!$L:$L,'2026'!$J:$J,$B51&amp;$C51,'2026'!$O:$O,N$4)</f>
        <v>169575</v>
      </c>
      <c r="O51" s="42">
        <f>SUMIFS('2026'!$L:$L,'2026'!$J:$J,$B51&amp;$C51,'2026'!$O:$O,O$4)</f>
        <v>0</v>
      </c>
      <c r="P51" s="61">
        <f>SUM(D51:O51)</f>
        <v>2970049.2</v>
      </c>
      <c r="Q51" s="605">
        <v>3082661.36</v>
      </c>
      <c r="R51" s="8">
        <f t="shared" si="21"/>
        <v>-112612.15999999968</v>
      </c>
      <c r="S51" s="9">
        <f t="shared" si="22"/>
        <v>-3.6530824131781922E-2</v>
      </c>
      <c r="T51" s="82"/>
      <c r="U51" s="61">
        <v>2907794</v>
      </c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 spans="1:36" ht="15" customHeight="1">
      <c r="A52" s="2" t="s">
        <v>41</v>
      </c>
      <c r="B52" s="36">
        <v>1352</v>
      </c>
      <c r="C52" s="36" t="s">
        <v>107</v>
      </c>
      <c r="D52" s="42">
        <f>SUMIFS('2026'!$L:$L,'2026'!$J:$J,$B52&amp;$C52,'2026'!$O:$O,D$4)</f>
        <v>0</v>
      </c>
      <c r="E52" s="42">
        <f>SUMIFS('2026'!$L:$L,'2026'!$J:$J,$B52&amp;$C52,'2026'!$O:$O,E$4)</f>
        <v>0</v>
      </c>
      <c r="F52" s="42">
        <f>SUMIFS('2026'!$L:$L,'2026'!$J:$J,$B52&amp;$C52,'2026'!$O:$O,F$4)</f>
        <v>0</v>
      </c>
      <c r="G52" s="42">
        <f>SUMIFS('2026'!$L:$L,'2026'!$J:$J,$B52&amp;$C52,'2026'!$O:$O,G$4)</f>
        <v>0</v>
      </c>
      <c r="H52" s="42">
        <f>SUMIFS('2026'!$L:$L,'2026'!$J:$J,$B52&amp;$C52,'2026'!$O:$O,H$4)</f>
        <v>0</v>
      </c>
      <c r="I52" s="42">
        <f>SUMIFS('2026'!$L:$L,'2026'!$J:$J,$B52&amp;$C52,'2026'!$O:$O,I$4)</f>
        <v>0</v>
      </c>
      <c r="J52" s="42">
        <f>SUMIFS('2026'!$L:$L,'2026'!$J:$J,$B52&amp;$C52,'2026'!$O:$O,J$4)</f>
        <v>0</v>
      </c>
      <c r="K52" s="42">
        <f>SUMIFS('2026'!$L:$L,'2026'!$J:$J,$B52&amp;$C52,'2026'!$O:$O,K$4)</f>
        <v>0</v>
      </c>
      <c r="L52" s="42">
        <f>SUMIFS('2026'!$L:$L,'2026'!$J:$J,$B52&amp;$C52,'2026'!$O:$O,L$4)</f>
        <v>0</v>
      </c>
      <c r="M52" s="42">
        <f>SUMIFS('2026'!$L:$L,'2026'!$J:$J,$B52&amp;$C52,'2026'!$O:$O,M$4)</f>
        <v>0</v>
      </c>
      <c r="N52" s="42">
        <f>SUMIFS('2026'!$L:$L,'2026'!$J:$J,$B52&amp;$C52,'2026'!$O:$O,N$4)</f>
        <v>0</v>
      </c>
      <c r="O52" s="42">
        <f>SUMIFS('2026'!$L:$L,'2026'!$J:$J,$B52&amp;$C52,'2026'!$O:$O,O$4)</f>
        <v>0</v>
      </c>
      <c r="P52" s="61">
        <f>SUM(D52:O52)</f>
        <v>0</v>
      </c>
      <c r="Q52" s="605">
        <v>0</v>
      </c>
      <c r="R52" s="8">
        <f t="shared" si="21"/>
        <v>0</v>
      </c>
      <c r="S52" s="9" t="str">
        <f>IF(ISERROR(R52/Q52),"",R52/Q52)</f>
        <v/>
      </c>
      <c r="T52" s="84"/>
      <c r="U52" s="61">
        <v>0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</row>
    <row r="53" spans="1:36" ht="15" customHeight="1">
      <c r="B53" s="10"/>
      <c r="C53" s="90" t="s">
        <v>108</v>
      </c>
      <c r="D53" s="11">
        <f t="shared" ref="D53:R53" si="24">SUM(D45:D52)</f>
        <v>1628457</v>
      </c>
      <c r="E53" s="11">
        <f t="shared" si="24"/>
        <v>2098119</v>
      </c>
      <c r="F53" s="11">
        <f t="shared" si="24"/>
        <v>2671604.9799999995</v>
      </c>
      <c r="G53" s="11">
        <f t="shared" si="24"/>
        <v>2262827.44</v>
      </c>
      <c r="H53" s="11">
        <f t="shared" si="24"/>
        <v>1989918.2399999998</v>
      </c>
      <c r="I53" s="11">
        <f t="shared" si="24"/>
        <v>1920029.2685714287</v>
      </c>
      <c r="J53" s="11">
        <f t="shared" si="24"/>
        <v>2059217.76</v>
      </c>
      <c r="K53" s="11">
        <f t="shared" si="24"/>
        <v>2174632.2428571428</v>
      </c>
      <c r="L53" s="11">
        <f t="shared" si="24"/>
        <v>1520181.8354285713</v>
      </c>
      <c r="M53" s="11">
        <f t="shared" si="24"/>
        <v>1679663</v>
      </c>
      <c r="N53" s="11">
        <f t="shared" si="24"/>
        <v>932656.18800000008</v>
      </c>
      <c r="O53" s="11">
        <f t="shared" si="24"/>
        <v>614198.68800000008</v>
      </c>
      <c r="P53" s="11">
        <f t="shared" si="24"/>
        <v>21551505.642857142</v>
      </c>
      <c r="Q53" s="11">
        <v>21663802.175809525</v>
      </c>
      <c r="R53" s="11">
        <f t="shared" si="24"/>
        <v>-112296.53295238083</v>
      </c>
      <c r="S53" s="12">
        <f t="shared" si="22"/>
        <v>-5.1836022153938718E-3</v>
      </c>
      <c r="T53" s="80"/>
      <c r="U53" s="11">
        <v>22755898</v>
      </c>
    </row>
    <row r="54" spans="1:36" ht="15" customHeight="1"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1"/>
      <c r="S54" s="1"/>
      <c r="U54" s="28"/>
    </row>
    <row r="55" spans="1:36" ht="15" customHeight="1">
      <c r="B55" s="35"/>
      <c r="C55" s="1094" t="s">
        <v>109</v>
      </c>
      <c r="D55" s="1095"/>
      <c r="E55" s="1095"/>
      <c r="F55" s="1095"/>
      <c r="G55" s="1095"/>
      <c r="H55" s="1095"/>
      <c r="I55" s="1095"/>
      <c r="J55" s="1095"/>
      <c r="K55" s="1095"/>
      <c r="L55" s="1095"/>
      <c r="M55" s="1095"/>
      <c r="N55" s="1095"/>
      <c r="O55" s="1095"/>
      <c r="R55" s="31" t="s">
        <v>94</v>
      </c>
      <c r="S55" s="32"/>
      <c r="T55" s="71" t="s">
        <v>66</v>
      </c>
      <c r="U55" s="2"/>
    </row>
    <row r="56" spans="1:36" ht="24.6" customHeight="1">
      <c r="B56" s="4"/>
      <c r="C56" s="4" t="s">
        <v>17</v>
      </c>
      <c r="D56" s="5" t="s">
        <v>68</v>
      </c>
      <c r="E56" s="5" t="s">
        <v>69</v>
      </c>
      <c r="F56" s="5" t="s">
        <v>70</v>
      </c>
      <c r="G56" s="5" t="s">
        <v>71</v>
      </c>
      <c r="H56" s="5" t="s">
        <v>72</v>
      </c>
      <c r="I56" s="5" t="s">
        <v>73</v>
      </c>
      <c r="J56" s="5" t="s">
        <v>74</v>
      </c>
      <c r="K56" s="5" t="s">
        <v>75</v>
      </c>
      <c r="L56" s="5" t="s">
        <v>76</v>
      </c>
      <c r="M56" s="5" t="s">
        <v>77</v>
      </c>
      <c r="N56" s="5" t="s">
        <v>78</v>
      </c>
      <c r="O56" s="5" t="s">
        <v>79</v>
      </c>
      <c r="P56" s="187" t="str">
        <f>P$4</f>
        <v>2026 MRF3</v>
      </c>
      <c r="Q56" s="188" t="s">
        <v>1309</v>
      </c>
      <c r="R56" s="5" t="str">
        <f t="shared" ref="R56:S56" si="25">R$4</f>
        <v>Difference</v>
      </c>
      <c r="S56" s="6" t="str">
        <f t="shared" si="25"/>
        <v>% change</v>
      </c>
      <c r="T56" s="80"/>
      <c r="U56" s="187" t="s">
        <v>1186</v>
      </c>
    </row>
    <row r="57" spans="1:36" ht="15" customHeight="1">
      <c r="A57" s="426" t="s">
        <v>25</v>
      </c>
      <c r="B57" s="36">
        <v>1712</v>
      </c>
      <c r="C57" s="36" t="s">
        <v>25</v>
      </c>
      <c r="D57" s="42">
        <f>SUMIFS('2026'!$L:$L,'2026'!$J:$J,$B57&amp;$C57,'2026'!$O:$O,D$4)</f>
        <v>99137</v>
      </c>
      <c r="E57" s="42">
        <f>SUMIFS('2026'!$L:$L,'2026'!$J:$J,$B57&amp;$C57,'2026'!$O:$O,E$4)</f>
        <v>46867</v>
      </c>
      <c r="F57" s="42">
        <f>SUMIFS('2026'!$L:$L,'2026'!$J:$J,$B57&amp;$C57,'2026'!$O:$O,F$4)</f>
        <v>142438.80000000002</v>
      </c>
      <c r="G57" s="42">
        <f>SUMIFS('2026'!$L:$L,'2026'!$J:$J,$B57&amp;$C57,'2026'!$O:$O,G$4)</f>
        <v>58052.160000000003</v>
      </c>
      <c r="H57" s="42">
        <f>SUMIFS('2026'!$L:$L,'2026'!$J:$J,$B57&amp;$C57,'2026'!$O:$O,H$4)</f>
        <v>0</v>
      </c>
      <c r="I57" s="42">
        <f>SUMIFS('2026'!$L:$L,'2026'!$J:$J,$B57&amp;$C57,'2026'!$O:$O,I$4)</f>
        <v>20511.36</v>
      </c>
      <c r="J57" s="42">
        <f>SUMIFS('2026'!$L:$L,'2026'!$J:$J,$B57&amp;$C57,'2026'!$O:$O,J$4)</f>
        <v>49464</v>
      </c>
      <c r="K57" s="42">
        <f>SUMIFS('2026'!$L:$L,'2026'!$J:$J,$B57&amp;$C57,'2026'!$O:$O,K$4)</f>
        <v>102677.76000000002</v>
      </c>
      <c r="L57" s="42">
        <f>SUMIFS('2026'!$L:$L,'2026'!$J:$J,$B57&amp;$C57,'2026'!$O:$O,L$4)</f>
        <v>38232</v>
      </c>
      <c r="M57" s="42">
        <f>SUMIFS('2026'!$L:$L,'2026'!$J:$J,$B57&amp;$C57,'2026'!$O:$O,M$4)</f>
        <v>67910.399999999994</v>
      </c>
      <c r="N57" s="42">
        <f>SUMIFS('2026'!$L:$L,'2026'!$J:$J,$B57&amp;$C57,'2026'!$O:$O,N$4)</f>
        <v>96249.60000000002</v>
      </c>
      <c r="O57" s="42">
        <f>SUMIFS('2026'!$L:$L,'2026'!$J:$J,$B57&amp;$C57,'2026'!$O:$O,O$4)</f>
        <v>29790.719999999998</v>
      </c>
      <c r="P57" s="61">
        <f>SUM(D57:O57)</f>
        <v>751330.8</v>
      </c>
      <c r="Q57" s="605">
        <v>706803.3600000001</v>
      </c>
      <c r="R57" s="29">
        <f t="shared" ref="R57:R59" si="26">P57-Q57</f>
        <v>44527.439999999944</v>
      </c>
      <c r="S57" s="9">
        <f t="shared" ref="S57:S59" si="27">IF(ISERROR(R57/Q57),"",R57/Q57)</f>
        <v>6.2998342282922851E-2</v>
      </c>
      <c r="T57" s="79"/>
      <c r="U57" s="61">
        <v>1393892</v>
      </c>
    </row>
    <row r="58" spans="1:36" ht="15" customHeight="1">
      <c r="A58" s="2" t="s">
        <v>33</v>
      </c>
      <c r="B58" s="36">
        <v>1712</v>
      </c>
      <c r="C58" s="36" t="s">
        <v>33</v>
      </c>
      <c r="D58" s="42">
        <f>SUMIFS('2026'!$L:$L,'2026'!$J:$J,$B58&amp;$C58,'2026'!$O:$O,D$4)</f>
        <v>57951</v>
      </c>
      <c r="E58" s="42">
        <f>SUMIFS('2026'!$L:$L,'2026'!$J:$J,$B58&amp;$C58,'2026'!$O:$O,E$4)</f>
        <v>33203</v>
      </c>
      <c r="F58" s="42">
        <f>SUMIFS('2026'!$L:$L,'2026'!$J:$J,$B58&amp;$C58,'2026'!$O:$O,F$4)</f>
        <v>99584.52</v>
      </c>
      <c r="G58" s="42">
        <f>SUMIFS('2026'!$L:$L,'2026'!$J:$J,$B58&amp;$C58,'2026'!$O:$O,G$4)</f>
        <v>109608</v>
      </c>
      <c r="H58" s="42">
        <f>SUMIFS('2026'!$L:$L,'2026'!$J:$J,$B58&amp;$C58,'2026'!$O:$O,H$4)</f>
        <v>195417.59999999998</v>
      </c>
      <c r="I58" s="42">
        <f>SUMIFS('2026'!$L:$L,'2026'!$J:$J,$B58&amp;$C58,'2026'!$O:$O,I$4)</f>
        <v>109900.8</v>
      </c>
      <c r="J58" s="42">
        <f>SUMIFS('2026'!$L:$L,'2026'!$J:$J,$B58&amp;$C58,'2026'!$O:$O,J$4)</f>
        <v>28876.799999999999</v>
      </c>
      <c r="K58" s="42">
        <f>SUMIFS('2026'!$L:$L,'2026'!$J:$J,$B58&amp;$C58,'2026'!$O:$O,K$4)</f>
        <v>40857.599999999999</v>
      </c>
      <c r="L58" s="42">
        <f>SUMIFS('2026'!$L:$L,'2026'!$J:$J,$B58&amp;$C58,'2026'!$O:$O,L$4)</f>
        <v>40857.599999999999</v>
      </c>
      <c r="M58" s="42">
        <f>SUMIFS('2026'!$L:$L,'2026'!$J:$J,$B58&amp;$C58,'2026'!$O:$O,M$4)</f>
        <v>55296</v>
      </c>
      <c r="N58" s="42">
        <f>SUMIFS('2026'!$L:$L,'2026'!$J:$J,$B58&amp;$C58,'2026'!$O:$O,N$4)</f>
        <v>84172.800000000003</v>
      </c>
      <c r="O58" s="42">
        <f>SUMIFS('2026'!$L:$L,'2026'!$J:$J,$B58&amp;$C58,'2026'!$O:$O,O$4)</f>
        <v>28876.799999999999</v>
      </c>
      <c r="P58" s="61">
        <f>SUM(D58:O58)</f>
        <v>884602.52000000014</v>
      </c>
      <c r="Q58" s="605">
        <v>958332.55999999994</v>
      </c>
      <c r="R58" s="8">
        <f t="shared" si="26"/>
        <v>-73730.039999999804</v>
      </c>
      <c r="S58" s="9">
        <f t="shared" si="27"/>
        <v>-7.6935755996853331E-2</v>
      </c>
      <c r="T58" s="79" t="s">
        <v>110</v>
      </c>
      <c r="U58" s="61">
        <v>1077035</v>
      </c>
    </row>
    <row r="59" spans="1:36" ht="15" customHeight="1">
      <c r="A59" s="426" t="s">
        <v>33</v>
      </c>
      <c r="B59" s="36">
        <v>1712</v>
      </c>
      <c r="C59" s="36" t="s">
        <v>111</v>
      </c>
      <c r="D59" s="42">
        <f>SUMIFS('2026'!$L:$L,'2026'!$J:$J,$B59&amp;$C59,'2026'!$O:$O,D$4)</f>
        <v>0</v>
      </c>
      <c r="E59" s="42">
        <f>SUMIFS('2026'!$L:$L,'2026'!$J:$J,$B59&amp;$C59,'2026'!$O:$O,E$4)</f>
        <v>0</v>
      </c>
      <c r="F59" s="42">
        <f>SUMIFS('2026'!$L:$L,'2026'!$J:$J,$B59&amp;$C59,'2026'!$O:$O,F$4)</f>
        <v>0</v>
      </c>
      <c r="G59" s="42">
        <f>SUMIFS('2026'!$L:$L,'2026'!$J:$J,$B59&amp;$C59,'2026'!$O:$O,G$4)</f>
        <v>0</v>
      </c>
      <c r="H59" s="42">
        <f>SUMIFS('2026'!$L:$L,'2026'!$J:$J,$B59&amp;$C59,'2026'!$O:$O,H$4)</f>
        <v>0</v>
      </c>
      <c r="I59" s="42">
        <f>SUMIFS('2026'!$L:$L,'2026'!$J:$J,$B59&amp;$C59,'2026'!$O:$O,I$4)</f>
        <v>0</v>
      </c>
      <c r="J59" s="42">
        <f>SUMIFS('2026'!$L:$L,'2026'!$J:$J,$B59&amp;$C59,'2026'!$O:$O,J$4)</f>
        <v>0</v>
      </c>
      <c r="K59" s="42">
        <f>SUMIFS('2026'!$L:$L,'2026'!$J:$J,$B59&amp;$C59,'2026'!$O:$O,K$4)</f>
        <v>0</v>
      </c>
      <c r="L59" s="42">
        <f>SUMIFS('2026'!$L:$L,'2026'!$J:$J,$B59&amp;$C59,'2026'!$O:$O,L$4)</f>
        <v>0</v>
      </c>
      <c r="M59" s="42">
        <f>SUMIFS('2026'!$L:$L,'2026'!$J:$J,$B59&amp;$C59,'2026'!$O:$O,M$4)</f>
        <v>0</v>
      </c>
      <c r="N59" s="42">
        <f>SUMIFS('2026'!$L:$L,'2026'!$J:$J,$B59&amp;$C59,'2026'!$O:$O,N$4)</f>
        <v>0</v>
      </c>
      <c r="O59" s="42">
        <f>SUMIFS('2026'!$L:$L,'2026'!$J:$J,$B59&amp;$C59,'2026'!$O:$O,O$4)</f>
        <v>0</v>
      </c>
      <c r="P59" s="61">
        <f t="shared" ref="P59" si="28">SUM(D59:O59)</f>
        <v>0</v>
      </c>
      <c r="Q59" s="605">
        <v>0</v>
      </c>
      <c r="R59" s="8">
        <f t="shared" si="26"/>
        <v>0</v>
      </c>
      <c r="S59" s="9" t="str">
        <f t="shared" si="27"/>
        <v/>
      </c>
      <c r="T59" s="77"/>
      <c r="U59" s="61">
        <v>0</v>
      </c>
    </row>
    <row r="60" spans="1:36">
      <c r="B60" s="10"/>
      <c r="C60" s="90" t="s">
        <v>112</v>
      </c>
      <c r="D60" s="11">
        <f>SUM(D57:D59)</f>
        <v>157088</v>
      </c>
      <c r="E60" s="11">
        <f t="shared" ref="E60:P60" si="29">SUM(E57:E59)</f>
        <v>80070</v>
      </c>
      <c r="F60" s="11">
        <f t="shared" si="29"/>
        <v>242023.32</v>
      </c>
      <c r="G60" s="11">
        <f t="shared" si="29"/>
        <v>167660.16</v>
      </c>
      <c r="H60" s="11">
        <f t="shared" si="29"/>
        <v>195417.59999999998</v>
      </c>
      <c r="I60" s="11">
        <f t="shared" si="29"/>
        <v>130412.16</v>
      </c>
      <c r="J60" s="11">
        <f t="shared" si="29"/>
        <v>78340.800000000003</v>
      </c>
      <c r="K60" s="11">
        <f t="shared" si="29"/>
        <v>143535.36000000002</v>
      </c>
      <c r="L60" s="11">
        <f t="shared" si="29"/>
        <v>79089.600000000006</v>
      </c>
      <c r="M60" s="11">
        <f t="shared" si="29"/>
        <v>123206.39999999999</v>
      </c>
      <c r="N60" s="11">
        <f t="shared" si="29"/>
        <v>180422.40000000002</v>
      </c>
      <c r="O60" s="11">
        <f t="shared" si="29"/>
        <v>58667.519999999997</v>
      </c>
      <c r="P60" s="11">
        <f t="shared" si="29"/>
        <v>1635933.3200000003</v>
      </c>
      <c r="Q60" s="11">
        <v>1665135.92</v>
      </c>
      <c r="R60" s="11">
        <f>SUM(R57:R59)</f>
        <v>-29202.59999999986</v>
      </c>
      <c r="S60" s="12">
        <f>IF(ISERROR(R60/Q60),"",R60/Q60)</f>
        <v>-1.753766743558079E-2</v>
      </c>
      <c r="T60" s="74"/>
      <c r="U60" s="11">
        <v>2470927</v>
      </c>
    </row>
    <row r="61" spans="1:36">
      <c r="D61" s="1"/>
      <c r="E61" s="1"/>
      <c r="F61" s="1"/>
      <c r="G61" s="28"/>
      <c r="H61" s="28"/>
      <c r="I61" s="28"/>
      <c r="J61" s="28"/>
      <c r="K61" s="28"/>
      <c r="L61" s="28"/>
      <c r="M61" s="28"/>
      <c r="N61" s="28"/>
      <c r="O61" s="28"/>
      <c r="P61" s="1"/>
      <c r="Q61" s="1"/>
      <c r="R61" s="1"/>
      <c r="S61" s="1"/>
      <c r="U61" s="1"/>
    </row>
    <row r="62" spans="1:36">
      <c r="B62" s="4"/>
      <c r="C62" s="4" t="s">
        <v>17</v>
      </c>
      <c r="D62" s="5" t="s">
        <v>68</v>
      </c>
      <c r="E62" s="5" t="s">
        <v>69</v>
      </c>
      <c r="F62" s="5" t="s">
        <v>70</v>
      </c>
      <c r="G62" s="5" t="s">
        <v>71</v>
      </c>
      <c r="H62" s="5" t="s">
        <v>72</v>
      </c>
      <c r="I62" s="5" t="s">
        <v>73</v>
      </c>
      <c r="J62" s="5" t="s">
        <v>74</v>
      </c>
      <c r="K62" s="5" t="s">
        <v>75</v>
      </c>
      <c r="L62" s="5" t="s">
        <v>76</v>
      </c>
      <c r="M62" s="5" t="s">
        <v>77</v>
      </c>
      <c r="N62" s="5" t="s">
        <v>78</v>
      </c>
      <c r="O62" s="5" t="s">
        <v>79</v>
      </c>
      <c r="P62" s="187" t="str">
        <f>P$4</f>
        <v>2026 MRF3</v>
      </c>
      <c r="Q62" s="188" t="s">
        <v>1309</v>
      </c>
      <c r="R62" s="5" t="str">
        <f t="shared" ref="R62:S62" si="30">R$4</f>
        <v>Difference</v>
      </c>
      <c r="S62" s="6" t="str">
        <f t="shared" si="30"/>
        <v>% change</v>
      </c>
      <c r="T62" s="85"/>
      <c r="U62" s="187" t="s">
        <v>1186</v>
      </c>
    </row>
    <row r="63" spans="1:36" ht="15" customHeight="1">
      <c r="A63" s="2" t="s">
        <v>38</v>
      </c>
      <c r="B63" s="52">
        <v>6765</v>
      </c>
      <c r="C63" s="36" t="s">
        <v>113</v>
      </c>
      <c r="D63" s="42">
        <f>SUMIFS('2026'!$L:$L,'2026'!$J:$J,$B63&amp;$C63,'2026'!$O:$O,D$4)</f>
        <v>14446</v>
      </c>
      <c r="E63" s="42">
        <f>SUMIFS('2026'!$L:$L,'2026'!$J:$J,$B63&amp;$C63,'2026'!$O:$O,E$4)</f>
        <v>0</v>
      </c>
      <c r="F63" s="42">
        <f>SUMIFS('2026'!$L:$L,'2026'!$J:$J,$B63&amp;$C63,'2026'!$O:$O,F$4)</f>
        <v>8608.4</v>
      </c>
      <c r="G63" s="42">
        <f>SUMIFS('2026'!$L:$L,'2026'!$J:$J,$B63&amp;$C63,'2026'!$O:$O,G$4)</f>
        <v>0</v>
      </c>
      <c r="H63" s="42">
        <f>SUMIFS('2026'!$L:$L,'2026'!$J:$J,$B63&amp;$C63,'2026'!$O:$O,H$4)</f>
        <v>0</v>
      </c>
      <c r="I63" s="42">
        <f>SUMIFS('2026'!$L:$L,'2026'!$J:$J,$B63&amp;$C63,'2026'!$O:$O,I$4)</f>
        <v>8294.4</v>
      </c>
      <c r="J63" s="42">
        <f>SUMIFS('2026'!$L:$L,'2026'!$J:$J,$B63&amp;$C63,'2026'!$O:$O,J$4)</f>
        <v>8294.4</v>
      </c>
      <c r="K63" s="42">
        <f>SUMIFS('2026'!$L:$L,'2026'!$J:$J,$B63&amp;$C63,'2026'!$O:$O,K$4)</f>
        <v>8294.4</v>
      </c>
      <c r="L63" s="42">
        <f>SUMIFS('2026'!$L:$L,'2026'!$J:$J,$B63&amp;$C63,'2026'!$O:$O,L$4)</f>
        <v>8294.4</v>
      </c>
      <c r="M63" s="42">
        <f>SUMIFS('2026'!$L:$L,'2026'!$J:$J,$B63&amp;$C63,'2026'!$O:$O,M$4)</f>
        <v>8294.4</v>
      </c>
      <c r="N63" s="42">
        <f>SUMIFS('2026'!$L:$L,'2026'!$J:$J,$B63&amp;$C63,'2026'!$O:$O,N$4)</f>
        <v>8294.4</v>
      </c>
      <c r="O63" s="42">
        <f>SUMIFS('2026'!$L:$L,'2026'!$J:$J,$B63&amp;$C63,'2026'!$O:$O,O$4)</f>
        <v>16588.8</v>
      </c>
      <c r="P63" s="61">
        <f>SUM(D63:O63)</f>
        <v>89409.600000000006</v>
      </c>
      <c r="Q63" s="605">
        <v>604175.92000000004</v>
      </c>
      <c r="R63" s="8">
        <f>P63-Q63</f>
        <v>-514766.32000000007</v>
      </c>
      <c r="S63" s="9">
        <f t="shared" ref="S63:S68" si="31">IF(ISERROR(R63/Q63),"",R63/Q63)</f>
        <v>-0.85201396308545374</v>
      </c>
      <c r="T63" s="77"/>
      <c r="U63" s="61">
        <v>48994</v>
      </c>
    </row>
    <row r="64" spans="1:36" ht="15" customHeight="1">
      <c r="A64" s="2" t="s">
        <v>38</v>
      </c>
      <c r="B64" s="52">
        <v>6764</v>
      </c>
      <c r="C64" s="52" t="s">
        <v>38</v>
      </c>
      <c r="D64" s="42">
        <f>SUMIFS('2026'!$L:$L,'2026'!$J:$J,$B64&amp;$C64,'2026'!$O:$O,D$4)</f>
        <v>78968</v>
      </c>
      <c r="E64" s="42">
        <f>SUMIFS('2026'!$L:$L,'2026'!$J:$J,$B64&amp;$C64,'2026'!$O:$O,E$4)</f>
        <v>76376</v>
      </c>
      <c r="F64" s="42">
        <f>SUMIFS('2026'!$L:$L,'2026'!$J:$J,$B64&amp;$C64,'2026'!$O:$O,F$4)</f>
        <v>49393</v>
      </c>
      <c r="G64" s="42">
        <f>SUMIFS('2026'!$L:$L,'2026'!$J:$J,$B64&amp;$C64,'2026'!$O:$O,G$4)</f>
        <v>57600</v>
      </c>
      <c r="H64" s="42">
        <f>SUMIFS('2026'!$L:$L,'2026'!$J:$J,$B64&amp;$C64,'2026'!$O:$O,H$4)</f>
        <v>57600</v>
      </c>
      <c r="I64" s="42">
        <f>SUMIFS('2026'!$L:$L,'2026'!$J:$J,$B64&amp;$C64,'2026'!$O:$O,I$4)</f>
        <v>76800</v>
      </c>
      <c r="J64" s="42">
        <f>SUMIFS('2026'!$L:$L,'2026'!$J:$J,$B64&amp;$C64,'2026'!$O:$O,J$4)</f>
        <v>38400</v>
      </c>
      <c r="K64" s="42">
        <f>SUMIFS('2026'!$L:$L,'2026'!$J:$J,$B64&amp;$C64,'2026'!$O:$O,K$4)</f>
        <v>38400</v>
      </c>
      <c r="L64" s="42">
        <f>SUMIFS('2026'!$L:$L,'2026'!$J:$J,$B64&amp;$C64,'2026'!$O:$O,L$4)</f>
        <v>19200</v>
      </c>
      <c r="M64" s="42">
        <f>SUMIFS('2026'!$L:$L,'2026'!$J:$J,$B64&amp;$C64,'2026'!$O:$O,M$4)</f>
        <v>19200</v>
      </c>
      <c r="N64" s="42">
        <f>SUMIFS('2026'!$L:$L,'2026'!$J:$J,$B64&amp;$C64,'2026'!$O:$O,N$4)</f>
        <v>19200</v>
      </c>
      <c r="O64" s="42">
        <f>SUMIFS('2026'!$L:$L,'2026'!$J:$J,$B64&amp;$C64,'2026'!$O:$O,O$4)</f>
        <v>0</v>
      </c>
      <c r="P64" s="61">
        <f>SUM(D64:O64)</f>
        <v>531137</v>
      </c>
      <c r="Q64" s="605">
        <v>754766.52</v>
      </c>
      <c r="R64" s="8"/>
      <c r="S64" s="9"/>
      <c r="T64" s="77"/>
      <c r="U64" s="61">
        <v>89496</v>
      </c>
    </row>
    <row r="65" spans="1:23" ht="15" customHeight="1">
      <c r="A65" s="2" t="s">
        <v>38</v>
      </c>
      <c r="B65" s="52">
        <v>6765</v>
      </c>
      <c r="C65" s="52" t="s">
        <v>38</v>
      </c>
      <c r="D65" s="42">
        <f>SUMIFS('2026'!$L:$L,'2026'!$J:$J,$B65&amp;$C65,'2026'!$O:$O,D$4)</f>
        <v>0</v>
      </c>
      <c r="E65" s="42">
        <f>SUMIFS('2026'!$L:$L,'2026'!$J:$J,$B65&amp;$C65,'2026'!$O:$O,E$4)</f>
        <v>54383</v>
      </c>
      <c r="F65" s="42">
        <f>SUMIFS('2026'!$L:$L,'2026'!$J:$J,$B65&amp;$C65,'2026'!$O:$O,F$4)</f>
        <v>143910.24</v>
      </c>
      <c r="G65" s="42">
        <f>SUMIFS('2026'!$L:$L,'2026'!$J:$J,$B65&amp;$C65,'2026'!$O:$O,G$4)</f>
        <v>103680</v>
      </c>
      <c r="H65" s="42">
        <f>SUMIFS('2026'!$L:$L,'2026'!$J:$J,$B65&amp;$C65,'2026'!$O:$O,H$4)</f>
        <v>77760</v>
      </c>
      <c r="I65" s="42">
        <f>SUMIFS('2026'!$L:$L,'2026'!$J:$J,$B65&amp;$C65,'2026'!$O:$O,I$4)</f>
        <v>77760</v>
      </c>
      <c r="J65" s="42">
        <f>SUMIFS('2026'!$L:$L,'2026'!$J:$J,$B65&amp;$C65,'2026'!$O:$O,J$4)</f>
        <v>51840</v>
      </c>
      <c r="K65" s="42">
        <f>SUMIFS('2026'!$L:$L,'2026'!$J:$J,$B65&amp;$C65,'2026'!$O:$O,K$4)</f>
        <v>31104</v>
      </c>
      <c r="L65" s="42">
        <f>SUMIFS('2026'!$L:$L,'2026'!$J:$J,$B65&amp;$C65,'2026'!$O:$O,L$4)</f>
        <v>10944</v>
      </c>
      <c r="M65" s="42">
        <f>SUMIFS('2026'!$L:$L,'2026'!$J:$J,$B65&amp;$C65,'2026'!$O:$O,M$4)</f>
        <v>27360</v>
      </c>
      <c r="N65" s="42">
        <f>SUMIFS('2026'!$L:$L,'2026'!$J:$J,$B65&amp;$C65,'2026'!$O:$O,N$4)</f>
        <v>16416</v>
      </c>
      <c r="O65" s="42">
        <f>SUMIFS('2026'!$L:$L,'2026'!$J:$J,$B65&amp;$C65,'2026'!$O:$O,O$4)</f>
        <v>0</v>
      </c>
      <c r="P65" s="61">
        <f>SUM(D65:O65)</f>
        <v>595157.24</v>
      </c>
      <c r="Q65" s="605">
        <v>707621.72</v>
      </c>
      <c r="R65" s="8">
        <f t="shared" ref="R65:R66" si="32">P65-Q65</f>
        <v>-112464.47999999998</v>
      </c>
      <c r="S65" s="9">
        <f t="shared" si="31"/>
        <v>-0.15893305253547049</v>
      </c>
      <c r="T65" s="77"/>
      <c r="U65" s="61">
        <v>8520</v>
      </c>
    </row>
    <row r="66" spans="1:23" ht="15" customHeight="1">
      <c r="A66" s="426" t="s">
        <v>23</v>
      </c>
      <c r="B66" s="52">
        <v>6706</v>
      </c>
      <c r="C66" s="52" t="s">
        <v>23</v>
      </c>
      <c r="D66" s="42">
        <f>SUMIFS('2026'!$L:$L,'2026'!$J:$J,$B66&amp;$C66,'2026'!$O:$O,D$4)</f>
        <v>0</v>
      </c>
      <c r="E66" s="42">
        <f>SUMIFS('2026'!$L:$L,'2026'!$J:$J,$B66&amp;$C66,'2026'!$O:$O,E$4)</f>
        <v>0</v>
      </c>
      <c r="F66" s="42">
        <f>SUMIFS('2026'!$L:$L,'2026'!$J:$J,$B66&amp;$C66,'2026'!$O:$O,F$4)</f>
        <v>0</v>
      </c>
      <c r="G66" s="42">
        <f>SUMIFS('2026'!$L:$L,'2026'!$J:$J,$B66&amp;$C66,'2026'!$O:$O,G$4)</f>
        <v>23500</v>
      </c>
      <c r="H66" s="42">
        <f>SUMIFS('2026'!$L:$L,'2026'!$J:$J,$B66&amp;$C66,'2026'!$O:$O,H$4)</f>
        <v>80000</v>
      </c>
      <c r="I66" s="42">
        <f>SUMIFS('2026'!$L:$L,'2026'!$J:$J,$B66&amp;$C66,'2026'!$O:$O,I$4)</f>
        <v>58500</v>
      </c>
      <c r="J66" s="42">
        <f>SUMIFS('2026'!$L:$L,'2026'!$J:$J,$B66&amp;$C66,'2026'!$O:$O,J$4)</f>
        <v>55000</v>
      </c>
      <c r="K66" s="42">
        <f>SUMIFS('2026'!$L:$L,'2026'!$J:$J,$B66&amp;$C66,'2026'!$O:$O,K$4)</f>
        <v>0</v>
      </c>
      <c r="L66" s="42">
        <f>SUMIFS('2026'!$L:$L,'2026'!$J:$J,$B66&amp;$C66,'2026'!$O:$O,L$4)</f>
        <v>0</v>
      </c>
      <c r="M66" s="42">
        <f>SUMIFS('2026'!$L:$L,'2026'!$J:$J,$B66&amp;$C66,'2026'!$O:$O,M$4)</f>
        <v>0</v>
      </c>
      <c r="N66" s="42">
        <f>SUMIFS('2026'!$L:$L,'2026'!$J:$J,$B66&amp;$C66,'2026'!$O:$O,N$4)</f>
        <v>0</v>
      </c>
      <c r="O66" s="42">
        <f>SUMIFS('2026'!$L:$L,'2026'!$J:$J,$B66&amp;$C66,'2026'!$O:$O,O$4)</f>
        <v>0</v>
      </c>
      <c r="P66" s="61">
        <f t="shared" ref="P66:P67" si="33">SUM(D66:O66)</f>
        <v>217000</v>
      </c>
      <c r="Q66" s="605">
        <v>243500</v>
      </c>
      <c r="R66" s="8">
        <f t="shared" si="32"/>
        <v>-26500</v>
      </c>
      <c r="S66" s="9">
        <f t="shared" si="31"/>
        <v>-0.10882956878850103</v>
      </c>
      <c r="T66" s="77"/>
      <c r="U66" s="61">
        <v>459076</v>
      </c>
    </row>
    <row r="67" spans="1:23" ht="15" customHeight="1">
      <c r="A67" s="2" t="s">
        <v>38</v>
      </c>
      <c r="B67" s="36">
        <v>6706</v>
      </c>
      <c r="C67" s="36" t="s">
        <v>115</v>
      </c>
      <c r="D67" s="42">
        <f>SUMIFS('2026'!$L:$L,'2026'!$J:$J,$B67&amp;$C67,'2026'!$O:$O,D$4)</f>
        <v>0</v>
      </c>
      <c r="E67" s="42">
        <f>SUMIFS('2026'!$L:$L,'2026'!$J:$J,$B67&amp;$C67,'2026'!$O:$O,E$4)</f>
        <v>0</v>
      </c>
      <c r="F67" s="42">
        <f>SUMIFS('2026'!$L:$L,'2026'!$J:$J,$B67&amp;$C67,'2026'!$O:$O,F$4)</f>
        <v>0</v>
      </c>
      <c r="G67" s="42">
        <f>SUMIFS('2026'!$L:$L,'2026'!$J:$J,$B67&amp;$C67,'2026'!$O:$O,G$4)</f>
        <v>0</v>
      </c>
      <c r="H67" s="42">
        <f>SUMIFS('2026'!$L:$L,'2026'!$J:$J,$B67&amp;$C67,'2026'!$O:$O,H$4)</f>
        <v>0</v>
      </c>
      <c r="I67" s="42">
        <f>SUMIFS('2026'!$L:$L,'2026'!$J:$J,$B67&amp;$C67,'2026'!$O:$O,I$4)</f>
        <v>0</v>
      </c>
      <c r="J67" s="42">
        <f>SUMIFS('2026'!$L:$L,'2026'!$J:$J,$B67&amp;$C67,'2026'!$O:$O,J$4)</f>
        <v>0</v>
      </c>
      <c r="K67" s="42">
        <f>SUMIFS('2026'!$L:$L,'2026'!$J:$J,$B67&amp;$C67,'2026'!$O:$O,K$4)</f>
        <v>0</v>
      </c>
      <c r="L67" s="42">
        <f>SUMIFS('2026'!$L:$L,'2026'!$J:$J,$B67&amp;$C67,'2026'!$O:$O,L$4)</f>
        <v>0</v>
      </c>
      <c r="M67" s="42">
        <f>SUMIFS('2026'!$L:$L,'2026'!$J:$J,$B67&amp;$C67,'2026'!$O:$O,M$4)</f>
        <v>0</v>
      </c>
      <c r="N67" s="42">
        <f>SUMIFS('2026'!$L:$L,'2026'!$J:$J,$B67&amp;$C67,'2026'!$O:$O,N$4)</f>
        <v>0</v>
      </c>
      <c r="O67" s="42">
        <f>SUMIFS('2026'!$L:$L,'2026'!$J:$J,$B67&amp;$C67,'2026'!$O:$O,O$4)</f>
        <v>0</v>
      </c>
      <c r="P67" s="61">
        <f t="shared" si="33"/>
        <v>0</v>
      </c>
      <c r="Q67" s="605">
        <v>0</v>
      </c>
      <c r="R67" s="8"/>
      <c r="S67" s="9" t="str">
        <f t="shared" si="31"/>
        <v/>
      </c>
      <c r="U67" s="61">
        <v>371937</v>
      </c>
    </row>
    <row r="68" spans="1:23" ht="15" customHeight="1">
      <c r="A68" s="2" t="s">
        <v>38</v>
      </c>
      <c r="B68" s="36">
        <v>6706</v>
      </c>
      <c r="C68" s="36" t="s">
        <v>113</v>
      </c>
      <c r="D68" s="42">
        <f>SUMIFS('2026'!$L:$L,'2026'!$J:$J,$B68&amp;$C68,'2026'!$O:$O,D$4)</f>
        <v>27971</v>
      </c>
      <c r="E68" s="42">
        <f>SUMIFS('2026'!$L:$L,'2026'!$J:$J,$B68&amp;$C68,'2026'!$O:$O,E$4)</f>
        <v>0</v>
      </c>
      <c r="F68" s="42">
        <f>SUMIFS('2026'!$L:$L,'2026'!$J:$J,$B68&amp;$C68,'2026'!$O:$O,F$4)</f>
        <v>0</v>
      </c>
      <c r="G68" s="42">
        <f>SUMIFS('2026'!$L:$L,'2026'!$J:$J,$B68&amp;$C68,'2026'!$O:$O,G$4)</f>
        <v>3758.3999999999996</v>
      </c>
      <c r="H68" s="42">
        <f>SUMIFS('2026'!$L:$L,'2026'!$J:$J,$B68&amp;$C68,'2026'!$O:$O,H$4)</f>
        <v>0</v>
      </c>
      <c r="I68" s="42">
        <f>SUMIFS('2026'!$L:$L,'2026'!$J:$J,$B68&amp;$C68,'2026'!$O:$O,I$4)</f>
        <v>0</v>
      </c>
      <c r="J68" s="42">
        <f>SUMIFS('2026'!$L:$L,'2026'!$J:$J,$B68&amp;$C68,'2026'!$O:$O,J$4)</f>
        <v>0</v>
      </c>
      <c r="K68" s="42">
        <f>SUMIFS('2026'!$L:$L,'2026'!$J:$J,$B68&amp;$C68,'2026'!$O:$O,K$4)</f>
        <v>0</v>
      </c>
      <c r="L68" s="42">
        <f>SUMIFS('2026'!$L:$L,'2026'!$J:$J,$B68&amp;$C68,'2026'!$O:$O,L$4)</f>
        <v>0</v>
      </c>
      <c r="M68" s="42">
        <f>SUMIFS('2026'!$L:$L,'2026'!$J:$J,$B68&amp;$C68,'2026'!$O:$O,M$4)</f>
        <v>0</v>
      </c>
      <c r="N68" s="42">
        <f>SUMIFS('2026'!$L:$L,'2026'!$J:$J,$B68&amp;$C68,'2026'!$O:$O,N$4)</f>
        <v>0</v>
      </c>
      <c r="O68" s="42">
        <f>SUMIFS('2026'!$L:$L,'2026'!$J:$J,$B68&amp;$C68,'2026'!$O:$O,O$4)</f>
        <v>0</v>
      </c>
      <c r="P68" s="61">
        <f>SUM(D68:O68)</f>
        <v>31729.4</v>
      </c>
      <c r="Q68" s="605">
        <v>32154.68</v>
      </c>
      <c r="R68" s="8"/>
      <c r="S68" s="9">
        <f t="shared" si="31"/>
        <v>0</v>
      </c>
      <c r="U68" s="61">
        <v>154878</v>
      </c>
    </row>
    <row r="69" spans="1:23">
      <c r="B69" s="10"/>
      <c r="C69" s="90" t="s">
        <v>116</v>
      </c>
      <c r="D69" s="11">
        <f>SUM(D63:D68)</f>
        <v>121385</v>
      </c>
      <c r="E69" s="11">
        <f t="shared" ref="E69:P69" si="34">SUM(E63:E68)</f>
        <v>130759</v>
      </c>
      <c r="F69" s="11">
        <f t="shared" si="34"/>
        <v>201911.63999999998</v>
      </c>
      <c r="G69" s="11">
        <f t="shared" si="34"/>
        <v>188538.4</v>
      </c>
      <c r="H69" s="11">
        <f t="shared" si="34"/>
        <v>215360</v>
      </c>
      <c r="I69" s="11">
        <f t="shared" si="34"/>
        <v>221354.4</v>
      </c>
      <c r="J69" s="11">
        <f t="shared" si="34"/>
        <v>153534.39999999999</v>
      </c>
      <c r="K69" s="11">
        <f t="shared" si="34"/>
        <v>77798.399999999994</v>
      </c>
      <c r="L69" s="11">
        <f t="shared" si="34"/>
        <v>38438.400000000001</v>
      </c>
      <c r="M69" s="11">
        <f t="shared" si="34"/>
        <v>54854.400000000001</v>
      </c>
      <c r="N69" s="11">
        <f t="shared" si="34"/>
        <v>43910.400000000001</v>
      </c>
      <c r="O69" s="11">
        <f t="shared" si="34"/>
        <v>16588.8</v>
      </c>
      <c r="P69" s="11">
        <f t="shared" si="34"/>
        <v>1464433.2399999998</v>
      </c>
      <c r="Q69" s="11">
        <v>2342218.8400000003</v>
      </c>
      <c r="R69" s="11">
        <f>SUM(R63:R68)</f>
        <v>-653730.80000000005</v>
      </c>
      <c r="S69" s="12">
        <f>IF(ISERROR(R69/Q69),"",R69/Q69)</f>
        <v>-0.27910748083641918</v>
      </c>
      <c r="T69" s="76"/>
      <c r="U69" s="11">
        <v>1132901</v>
      </c>
    </row>
    <row r="70" spans="1:23">
      <c r="D70" s="1"/>
      <c r="E70" s="1"/>
      <c r="F70" s="1"/>
      <c r="G70" s="28"/>
      <c r="H70" s="28"/>
      <c r="I70" s="28"/>
      <c r="J70" s="28"/>
      <c r="K70" s="28"/>
      <c r="L70" s="28"/>
      <c r="M70" s="28"/>
      <c r="N70" s="28"/>
      <c r="O70" s="28"/>
      <c r="P70" s="1"/>
      <c r="Q70" s="1"/>
      <c r="R70" s="1"/>
      <c r="S70" s="1"/>
      <c r="U70" s="1"/>
    </row>
    <row r="71" spans="1:23" ht="15" customHeight="1">
      <c r="A71" s="2" t="s">
        <v>44</v>
      </c>
      <c r="B71" s="52">
        <v>1715</v>
      </c>
      <c r="C71" s="52" t="s">
        <v>44</v>
      </c>
      <c r="D71" s="42">
        <f>SUMIFS('2026'!$L:$L,'2026'!$J:$J,$B71&amp;$C71,'2026'!$O:$O,D$4)</f>
        <v>159308</v>
      </c>
      <c r="E71" s="42">
        <f>SUMIFS('2026'!$L:$L,'2026'!$J:$J,$B71&amp;$C71,'2026'!$O:$O,E$4)</f>
        <v>94351</v>
      </c>
      <c r="F71" s="42">
        <f>SUMIFS('2026'!$L:$L,'2026'!$J:$J,$B71&amp;$C71,'2026'!$O:$O,F$4)</f>
        <v>145653</v>
      </c>
      <c r="G71" s="42">
        <f>SUMIFS('2026'!$L:$L,'2026'!$J:$J,$B71&amp;$C71,'2026'!$O:$O,G$4)</f>
        <v>184880.64000000001</v>
      </c>
      <c r="H71" s="42">
        <f>SUMIFS('2026'!$L:$L,'2026'!$J:$J,$B71&amp;$C71,'2026'!$O:$O,H$4)</f>
        <v>896880</v>
      </c>
      <c r="I71" s="42">
        <f>SUMIFS('2026'!$L:$L,'2026'!$J:$J,$B71&amp;$C71,'2026'!$O:$O,I$4)</f>
        <v>378000</v>
      </c>
      <c r="J71" s="42">
        <f>SUMIFS('2026'!$L:$L,'2026'!$J:$J,$B71&amp;$C71,'2026'!$O:$O,J$4)</f>
        <v>327600</v>
      </c>
      <c r="K71" s="42">
        <f>SUMIFS('2026'!$L:$L,'2026'!$J:$J,$B71&amp;$C71,'2026'!$O:$O,K$4)</f>
        <v>327600</v>
      </c>
      <c r="L71" s="42">
        <f>SUMIFS('2026'!$L:$L,'2026'!$J:$J,$B71&amp;$C71,'2026'!$O:$O,L$4)</f>
        <v>226800</v>
      </c>
      <c r="M71" s="42">
        <f>SUMIFS('2026'!$L:$L,'2026'!$J:$J,$B71&amp;$C71,'2026'!$O:$O,M$4)</f>
        <v>201600</v>
      </c>
      <c r="N71" s="42">
        <f>SUMIFS('2026'!$L:$L,'2026'!$J:$J,$B71&amp;$C71,'2026'!$O:$O,N$4)</f>
        <v>252000</v>
      </c>
      <c r="O71" s="42">
        <f>SUMIFS('2026'!$L:$L,'2026'!$J:$J,$B71&amp;$C71,'2026'!$O:$O,O$4)</f>
        <v>178000</v>
      </c>
      <c r="P71" s="61">
        <f t="shared" ref="P71:P76" si="35">SUM(D71:O71)</f>
        <v>3372672.64</v>
      </c>
      <c r="Q71" s="605">
        <v>2745970</v>
      </c>
      <c r="R71" s="8">
        <f>P71-Q71</f>
        <v>626702.64000000013</v>
      </c>
      <c r="S71" s="89">
        <f>IF(ISERROR(R71/Q71),"",R71/Q71)</f>
        <v>0.22822632439538673</v>
      </c>
      <c r="T71" s="77"/>
      <c r="U71" s="61">
        <v>2770754</v>
      </c>
      <c r="V71" s="2">
        <v>3.3119999999999998E-3</v>
      </c>
      <c r="W71" s="38" t="e">
        <f>#REF!*V71</f>
        <v>#REF!</v>
      </c>
    </row>
    <row r="72" spans="1:23" ht="15" customHeight="1">
      <c r="A72" s="2" t="s">
        <v>44</v>
      </c>
      <c r="B72" s="52">
        <v>1716</v>
      </c>
      <c r="C72" s="52" t="s">
        <v>44</v>
      </c>
      <c r="D72" s="42">
        <f>SUMIFS('2026'!$L:$L,'2026'!$J:$J,$B72&amp;$C72,'2026'!$O:$O,D$4)</f>
        <v>77542</v>
      </c>
      <c r="E72" s="42">
        <f>SUMIFS('2026'!$L:$L,'2026'!$J:$J,$B72&amp;$C72,'2026'!$O:$O,E$4)</f>
        <v>100071</v>
      </c>
      <c r="F72" s="42">
        <f>SUMIFS('2026'!$L:$L,'2026'!$J:$J,$B72&amp;$C72,'2026'!$O:$O,F$4)</f>
        <v>38332</v>
      </c>
      <c r="G72" s="42">
        <f>SUMIFS('2026'!$L:$L,'2026'!$J:$J,$B72&amp;$C72,'2026'!$O:$O,G$4)</f>
        <v>66290.87999999999</v>
      </c>
      <c r="H72" s="42">
        <f>SUMIFS('2026'!$L:$L,'2026'!$J:$J,$B72&amp;$C72,'2026'!$O:$O,H$4)</f>
        <v>358560</v>
      </c>
      <c r="I72" s="42">
        <f>SUMIFS('2026'!$L:$L,'2026'!$J:$J,$B72&amp;$C72,'2026'!$O:$O,I$4)</f>
        <v>53760</v>
      </c>
      <c r="J72" s="42">
        <f>SUMIFS('2026'!$L:$L,'2026'!$J:$J,$B72&amp;$C72,'2026'!$O:$O,J$4)</f>
        <v>107520</v>
      </c>
      <c r="K72" s="42">
        <f>SUMIFS('2026'!$L:$L,'2026'!$J:$J,$B72&amp;$C72,'2026'!$O:$O,K$4)</f>
        <v>26880</v>
      </c>
      <c r="L72" s="42">
        <f>SUMIFS('2026'!$L:$L,'2026'!$J:$J,$B72&amp;$C72,'2026'!$O:$O,L$4)</f>
        <v>0</v>
      </c>
      <c r="M72" s="42">
        <f>SUMIFS('2026'!$L:$L,'2026'!$J:$J,$B72&amp;$C72,'2026'!$O:$O,M$4)</f>
        <v>131036</v>
      </c>
      <c r="N72" s="42">
        <f>SUMIFS('2026'!$L:$L,'2026'!$J:$J,$B72&amp;$C72,'2026'!$O:$O,N$4)</f>
        <v>166076</v>
      </c>
      <c r="O72" s="42">
        <f>SUMIFS('2026'!$L:$L,'2026'!$J:$J,$B72&amp;$C72,'2026'!$O:$O,O$4)</f>
        <v>52000</v>
      </c>
      <c r="P72" s="61">
        <f t="shared" si="35"/>
        <v>1178067.8799999999</v>
      </c>
      <c r="Q72" s="605">
        <v>1854575.4366666661</v>
      </c>
      <c r="R72" s="8">
        <f t="shared" ref="R72:R76" si="36">P72-Q72</f>
        <v>-676507.55666666618</v>
      </c>
      <c r="S72" s="89">
        <f t="shared" ref="S72:S75" si="37">IF(ISERROR(R72/Q72),"",R72/Q72)</f>
        <v>-0.36477758914061309</v>
      </c>
      <c r="T72" s="77"/>
      <c r="U72" s="61">
        <v>3357307</v>
      </c>
      <c r="V72" s="2">
        <v>3.3119999999999998E-3</v>
      </c>
      <c r="W72" s="38" t="e">
        <f>#REF!*V72</f>
        <v>#REF!</v>
      </c>
    </row>
    <row r="73" spans="1:23" ht="15" customHeight="1">
      <c r="A73" s="2" t="s">
        <v>44</v>
      </c>
      <c r="B73" s="52">
        <v>1717</v>
      </c>
      <c r="C73" s="52" t="s">
        <v>44</v>
      </c>
      <c r="D73" s="42">
        <f>SUMIFS('2026'!$L:$L,'2026'!$J:$J,$B73&amp;$C73,'2026'!$O:$O,D$4)</f>
        <v>240492</v>
      </c>
      <c r="E73" s="42">
        <f>SUMIFS('2026'!$L:$L,'2026'!$J:$J,$B73&amp;$C73,'2026'!$O:$O,E$4)</f>
        <v>184952</v>
      </c>
      <c r="F73" s="42">
        <f>SUMIFS('2026'!$L:$L,'2026'!$J:$J,$B73&amp;$C73,'2026'!$O:$O,F$4)</f>
        <v>102469</v>
      </c>
      <c r="G73" s="42">
        <f>SUMIFS('2026'!$L:$L,'2026'!$J:$J,$B73&amp;$C73,'2026'!$O:$O,G$4)</f>
        <v>0</v>
      </c>
      <c r="H73" s="42">
        <f>SUMIFS('2026'!$L:$L,'2026'!$J:$J,$B73&amp;$C73,'2026'!$O:$O,H$4)</f>
        <v>0</v>
      </c>
      <c r="I73" s="42">
        <f>SUMIFS('2026'!$L:$L,'2026'!$J:$J,$B73&amp;$C73,'2026'!$O:$O,I$4)</f>
        <v>99840</v>
      </c>
      <c r="J73" s="42">
        <f>SUMIFS('2026'!$L:$L,'2026'!$J:$J,$B73&amp;$C73,'2026'!$O:$O,J$4)</f>
        <v>99840</v>
      </c>
      <c r="K73" s="42">
        <f>SUMIFS('2026'!$L:$L,'2026'!$J:$J,$B73&amp;$C73,'2026'!$O:$O,K$4)</f>
        <v>24960</v>
      </c>
      <c r="L73" s="42">
        <f>SUMIFS('2026'!$L:$L,'2026'!$J:$J,$B73&amp;$C73,'2026'!$O:$O,L$4)</f>
        <v>24960</v>
      </c>
      <c r="M73" s="42">
        <f>SUMIFS('2026'!$L:$L,'2026'!$J:$J,$B73&amp;$C73,'2026'!$O:$O,M$4)</f>
        <v>243329</v>
      </c>
      <c r="N73" s="42">
        <f>SUMIFS('2026'!$L:$L,'2026'!$J:$J,$B73&amp;$C73,'2026'!$O:$O,N$4)</f>
        <v>183693</v>
      </c>
      <c r="O73" s="42">
        <f>SUMIFS('2026'!$L:$L,'2026'!$J:$J,$B73&amp;$C73,'2026'!$O:$O,O$4)</f>
        <v>101920</v>
      </c>
      <c r="P73" s="61">
        <f t="shared" si="35"/>
        <v>1306455</v>
      </c>
      <c r="Q73" s="605">
        <v>1392656.1696875</v>
      </c>
      <c r="R73" s="8">
        <f t="shared" si="36"/>
        <v>-86201.169687499991</v>
      </c>
      <c r="S73" s="89">
        <f t="shared" si="37"/>
        <v>-6.1896950276565957E-2</v>
      </c>
      <c r="T73" s="77"/>
      <c r="U73" s="61">
        <v>1973678</v>
      </c>
      <c r="V73" s="2">
        <v>3.3119999999999998E-3</v>
      </c>
      <c r="W73" s="38" t="e">
        <f>#REF!*V73</f>
        <v>#REF!</v>
      </c>
    </row>
    <row r="74" spans="1:23" ht="15" customHeight="1">
      <c r="A74" s="2" t="s">
        <v>46</v>
      </c>
      <c r="B74" s="52">
        <v>1712</v>
      </c>
      <c r="C74" s="52" t="s">
        <v>46</v>
      </c>
      <c r="D74" s="42">
        <f>SUMIFS('2026'!$L:$L,'2026'!$J:$J,$B74&amp;$C74,'2026'!$O:$O,D$4)</f>
        <v>119771</v>
      </c>
      <c r="E74" s="42">
        <f>SUMIFS('2026'!$L:$L,'2026'!$J:$J,$B74&amp;$C74,'2026'!$O:$O,E$4)</f>
        <v>292455</v>
      </c>
      <c r="F74" s="42">
        <f>SUMIFS('2026'!$L:$L,'2026'!$J:$J,$B74&amp;$C74,'2026'!$O:$O,F$4)</f>
        <v>358694</v>
      </c>
      <c r="G74" s="42">
        <f>SUMIFS('2026'!$L:$L,'2026'!$J:$J,$B74&amp;$C74,'2026'!$O:$O,G$4)</f>
        <v>110592</v>
      </c>
      <c r="H74" s="42">
        <f>SUMIFS('2026'!$L:$L,'2026'!$J:$J,$B74&amp;$C74,'2026'!$O:$O,H$4)</f>
        <v>181742.4</v>
      </c>
      <c r="I74" s="42">
        <f>SUMIFS('2026'!$L:$L,'2026'!$J:$J,$B74&amp;$C74,'2026'!$O:$O,I$4)</f>
        <v>221184</v>
      </c>
      <c r="J74" s="42">
        <f>SUMIFS('2026'!$L:$L,'2026'!$J:$J,$B74&amp;$C74,'2026'!$O:$O,J$4)</f>
        <v>110592</v>
      </c>
      <c r="K74" s="42">
        <f>SUMIFS('2026'!$L:$L,'2026'!$J:$J,$B74&amp;$C74,'2026'!$O:$O,K$4)</f>
        <v>442368</v>
      </c>
      <c r="L74" s="42">
        <f>SUMIFS('2026'!$L:$L,'2026'!$J:$J,$B74&amp;$C74,'2026'!$O:$O,L$4)</f>
        <v>331776</v>
      </c>
      <c r="M74" s="42">
        <f>SUMIFS('2026'!$L:$L,'2026'!$J:$J,$B74&amp;$C74,'2026'!$O:$O,M$4)</f>
        <v>331776</v>
      </c>
      <c r="N74" s="42">
        <f>SUMIFS('2026'!$L:$L,'2026'!$J:$J,$B74&amp;$C74,'2026'!$O:$O,N$4)</f>
        <v>344832</v>
      </c>
      <c r="O74" s="42">
        <f>SUMIFS('2026'!$L:$L,'2026'!$J:$J,$B74&amp;$C74,'2026'!$O:$O,O$4)</f>
        <v>331776</v>
      </c>
      <c r="P74" s="61">
        <f t="shared" si="35"/>
        <v>3177558.4</v>
      </c>
      <c r="Q74" s="605">
        <v>3130293.1999999997</v>
      </c>
      <c r="R74" s="8">
        <f t="shared" si="36"/>
        <v>47265.200000000186</v>
      </c>
      <c r="S74" s="89">
        <f t="shared" si="37"/>
        <v>1.5099288462818815E-2</v>
      </c>
      <c r="T74" s="77"/>
      <c r="U74" s="61">
        <v>3325936</v>
      </c>
      <c r="V74" s="2">
        <v>1.242E-3</v>
      </c>
      <c r="W74" s="38" t="e">
        <f>#REF!*V74</f>
        <v>#REF!</v>
      </c>
    </row>
    <row r="75" spans="1:23" ht="15" customHeight="1">
      <c r="A75" s="2" t="s">
        <v>42</v>
      </c>
      <c r="B75" s="52">
        <v>1713</v>
      </c>
      <c r="C75" s="52" t="s">
        <v>42</v>
      </c>
      <c r="D75" s="42">
        <f>SUMIFS('2026'!$L:$L,'2026'!$J:$J,$B75&amp;$C75,'2026'!$O:$O,D$4)</f>
        <v>99</v>
      </c>
      <c r="E75" s="42">
        <f>SUMIFS('2026'!$L:$L,'2026'!$J:$J,$B75&amp;$C75,'2026'!$O:$O,E$4)</f>
        <v>20779</v>
      </c>
      <c r="F75" s="42">
        <f>SUMIFS('2026'!$L:$L,'2026'!$J:$J,$B75&amp;$C75,'2026'!$O:$O,F$4)</f>
        <v>0</v>
      </c>
      <c r="G75" s="42">
        <f>SUMIFS('2026'!$L:$L,'2026'!$J:$J,$B75&amp;$C75,'2026'!$O:$O,G$4)</f>
        <v>3456</v>
      </c>
      <c r="H75" s="42">
        <f>SUMIFS('2026'!$L:$L,'2026'!$J:$J,$B75&amp;$C75,'2026'!$O:$O,H$4)</f>
        <v>0</v>
      </c>
      <c r="I75" s="42">
        <f>SUMIFS('2026'!$L:$L,'2026'!$J:$J,$B75&amp;$C75,'2026'!$O:$O,I$4)</f>
        <v>21120</v>
      </c>
      <c r="J75" s="42">
        <f>SUMIFS('2026'!$L:$L,'2026'!$J:$J,$B75&amp;$C75,'2026'!$O:$O,J$4)</f>
        <v>10560</v>
      </c>
      <c r="K75" s="42">
        <f>SUMIFS('2026'!$L:$L,'2026'!$J:$J,$B75&amp;$C75,'2026'!$O:$O,K$4)</f>
        <v>8448</v>
      </c>
      <c r="L75" s="42">
        <f>SUMIFS('2026'!$L:$L,'2026'!$J:$J,$B75&amp;$C75,'2026'!$O:$O,L$4)</f>
        <v>10560</v>
      </c>
      <c r="M75" s="42">
        <f>SUMIFS('2026'!$L:$L,'2026'!$J:$J,$B75&amp;$C75,'2026'!$O:$O,M$4)</f>
        <v>6336</v>
      </c>
      <c r="N75" s="42">
        <f>SUMIFS('2026'!$L:$L,'2026'!$J:$J,$B75&amp;$C75,'2026'!$O:$O,N$4)</f>
        <v>4224</v>
      </c>
      <c r="O75" s="42">
        <f>SUMIFS('2026'!$L:$L,'2026'!$J:$J,$B75&amp;$C75,'2026'!$O:$O,O$4)</f>
        <v>0</v>
      </c>
      <c r="P75" s="61">
        <f t="shared" si="35"/>
        <v>85582</v>
      </c>
      <c r="Q75" s="605">
        <v>90691.12</v>
      </c>
      <c r="R75" s="8">
        <f t="shared" si="36"/>
        <v>-5109.1199999999953</v>
      </c>
      <c r="S75" s="89">
        <f t="shared" si="37"/>
        <v>-5.6335394248080692E-2</v>
      </c>
      <c r="T75" s="77"/>
      <c r="U75" s="61">
        <v>339395</v>
      </c>
      <c r="V75" s="2">
        <v>2.0200000000000001E-3</v>
      </c>
      <c r="W75" s="38" t="e">
        <f>#REF!*V75</f>
        <v>#REF!</v>
      </c>
    </row>
    <row r="76" spans="1:23" ht="15" customHeight="1">
      <c r="A76" s="2" t="s">
        <v>43</v>
      </c>
      <c r="B76" s="52">
        <v>1714</v>
      </c>
      <c r="C76" s="52" t="s">
        <v>43</v>
      </c>
      <c r="D76" s="42">
        <f>SUMIFS('2026'!$L:$L,'2026'!$J:$J,$B76&amp;$C76,'2026'!$O:$O,D$4)</f>
        <v>0</v>
      </c>
      <c r="E76" s="42">
        <f>SUMIFS('2026'!$L:$L,'2026'!$J:$J,$B76&amp;$C76,'2026'!$O:$O,E$4)</f>
        <v>0</v>
      </c>
      <c r="F76" s="42">
        <f>SUMIFS('2026'!$L:$L,'2026'!$J:$J,$B76&amp;$C76,'2026'!$O:$O,F$4)</f>
        <v>0</v>
      </c>
      <c r="G76" s="42">
        <f>SUMIFS('2026'!$L:$L,'2026'!$J:$J,$B76&amp;$C76,'2026'!$O:$O,G$4)</f>
        <v>0</v>
      </c>
      <c r="H76" s="42">
        <f>SUMIFS('2026'!$L:$L,'2026'!$J:$J,$B76&amp;$C76,'2026'!$O:$O,H$4)</f>
        <v>0</v>
      </c>
      <c r="I76" s="42">
        <f>SUMIFS('2026'!$L:$L,'2026'!$J:$J,$B76&amp;$C76,'2026'!$O:$O,I$4)</f>
        <v>0</v>
      </c>
      <c r="J76" s="42">
        <f>SUMIFS('2026'!$L:$L,'2026'!$J:$J,$B76&amp;$C76,'2026'!$O:$O,J$4)</f>
        <v>0</v>
      </c>
      <c r="K76" s="42">
        <f>SUMIFS('2026'!$L:$L,'2026'!$J:$J,$B76&amp;$C76,'2026'!$O:$O,K$4)</f>
        <v>0</v>
      </c>
      <c r="L76" s="42">
        <f>SUMIFS('2026'!$L:$L,'2026'!$J:$J,$B76&amp;$C76,'2026'!$O:$O,L$4)</f>
        <v>0</v>
      </c>
      <c r="M76" s="42">
        <f>SUMIFS('2026'!$L:$L,'2026'!$J:$J,$B76&amp;$C76,'2026'!$O:$O,M$4)</f>
        <v>0</v>
      </c>
      <c r="N76" s="42">
        <f>SUMIFS('2026'!$L:$L,'2026'!$J:$J,$B76&amp;$C76,'2026'!$O:$O,N$4)</f>
        <v>0</v>
      </c>
      <c r="O76" s="42">
        <f>SUMIFS('2026'!$L:$L,'2026'!$J:$J,$B76&amp;$C76,'2026'!$O:$O,O$4)</f>
        <v>0</v>
      </c>
      <c r="P76" s="61">
        <f t="shared" si="35"/>
        <v>0</v>
      </c>
      <c r="Q76" s="605">
        <v>0</v>
      </c>
      <c r="R76" s="8">
        <f t="shared" si="36"/>
        <v>0</v>
      </c>
      <c r="S76" s="89"/>
      <c r="T76" s="77"/>
      <c r="U76" s="61">
        <v>5670</v>
      </c>
      <c r="V76" s="2">
        <v>7.2800000000000002E-4</v>
      </c>
      <c r="W76" s="38" t="e">
        <f>#REF!*V76</f>
        <v>#REF!</v>
      </c>
    </row>
    <row r="77" spans="1:23" ht="15" customHeight="1">
      <c r="B77" s="10"/>
      <c r="C77" s="90" t="s">
        <v>117</v>
      </c>
      <c r="D77" s="64">
        <f>SUM(D71:D76)</f>
        <v>597212</v>
      </c>
      <c r="E77" s="64">
        <f t="shared" ref="E77:O77" si="38">SUM(E71:E76)</f>
        <v>692608</v>
      </c>
      <c r="F77" s="64">
        <f t="shared" si="38"/>
        <v>645148</v>
      </c>
      <c r="G77" s="64">
        <f t="shared" si="38"/>
        <v>365219.52</v>
      </c>
      <c r="H77" s="64">
        <f t="shared" si="38"/>
        <v>1437182.4</v>
      </c>
      <c r="I77" s="64">
        <f t="shared" si="38"/>
        <v>773904</v>
      </c>
      <c r="J77" s="64">
        <f t="shared" si="38"/>
        <v>656112</v>
      </c>
      <c r="K77" s="64">
        <f t="shared" si="38"/>
        <v>830256</v>
      </c>
      <c r="L77" s="64">
        <f t="shared" si="38"/>
        <v>594096</v>
      </c>
      <c r="M77" s="64">
        <f t="shared" si="38"/>
        <v>914077</v>
      </c>
      <c r="N77" s="64">
        <f t="shared" si="38"/>
        <v>950825</v>
      </c>
      <c r="O77" s="64">
        <f t="shared" si="38"/>
        <v>663696</v>
      </c>
      <c r="P77" s="64">
        <f>SUM(P71:P76)</f>
        <v>9120335.9199999999</v>
      </c>
      <c r="Q77" s="64">
        <v>9214185.9263541643</v>
      </c>
      <c r="R77" s="63">
        <f t="shared" ref="R77" si="39">SUM(R71)</f>
        <v>626702.64000000013</v>
      </c>
      <c r="S77" s="12">
        <f t="shared" ref="S77" si="40">IF(ISERROR(R77/Q77),"",R77/Q77)</f>
        <v>6.8014976581655714E-2</v>
      </c>
      <c r="T77" s="10"/>
      <c r="U77" s="64">
        <v>11772740</v>
      </c>
    </row>
    <row r="78" spans="1:23"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"/>
      <c r="Q78" s="1"/>
      <c r="R78" s="1"/>
      <c r="S78" s="1"/>
      <c r="U78" s="1"/>
    </row>
    <row r="79" spans="1:23">
      <c r="D79" s="5" t="s">
        <v>68</v>
      </c>
      <c r="E79" s="5" t="s">
        <v>69</v>
      </c>
      <c r="F79" s="5" t="s">
        <v>70</v>
      </c>
      <c r="G79" s="5" t="s">
        <v>71</v>
      </c>
      <c r="H79" s="5" t="s">
        <v>72</v>
      </c>
      <c r="I79" s="5" t="s">
        <v>73</v>
      </c>
      <c r="J79" s="5" t="s">
        <v>74</v>
      </c>
      <c r="K79" s="5" t="s">
        <v>75</v>
      </c>
      <c r="L79" s="5" t="s">
        <v>76</v>
      </c>
      <c r="M79" s="5" t="s">
        <v>77</v>
      </c>
      <c r="N79" s="5" t="s">
        <v>78</v>
      </c>
      <c r="O79" s="5" t="s">
        <v>79</v>
      </c>
      <c r="P79" s="187" t="str">
        <f>P$4</f>
        <v>2026 MRF3</v>
      </c>
      <c r="Q79" s="188" t="s">
        <v>1309</v>
      </c>
      <c r="R79" s="5" t="str">
        <f t="shared" ref="R79:S79" si="41">R$4</f>
        <v>Difference</v>
      </c>
      <c r="S79" s="6" t="str">
        <f t="shared" si="41"/>
        <v>% change</v>
      </c>
      <c r="U79" s="187" t="s">
        <v>1186</v>
      </c>
    </row>
    <row r="80" spans="1:23" ht="15" customHeight="1">
      <c r="A80" s="426" t="s">
        <v>30</v>
      </c>
      <c r="B80" s="52" t="s">
        <v>118</v>
      </c>
      <c r="C80" s="52" t="s">
        <v>30</v>
      </c>
      <c r="D80" s="42">
        <f>SUMIFS('2026'!$L:$L,'2026'!$J:$J,$B80&amp;$C80,'2026'!$O:$O,D$4)</f>
        <v>69103</v>
      </c>
      <c r="E80" s="42">
        <f>SUMIFS('2026'!$L:$L,'2026'!$J:$J,$B80&amp;$C80,'2026'!$O:$O,E$4)</f>
        <v>49152</v>
      </c>
      <c r="F80" s="42">
        <f>SUMIFS('2026'!$L:$L,'2026'!$J:$J,$B80&amp;$C80,'2026'!$O:$O,F$4)</f>
        <v>40557</v>
      </c>
      <c r="G80" s="42">
        <f>SUMIFS('2026'!$L:$L,'2026'!$J:$J,$B80&amp;$C80,'2026'!$O:$O,G$4)</f>
        <v>51840</v>
      </c>
      <c r="H80" s="42">
        <f>SUMIFS('2026'!$L:$L,'2026'!$J:$J,$B80&amp;$C80,'2026'!$O:$O,H$4)</f>
        <v>43680</v>
      </c>
      <c r="I80" s="42">
        <f>SUMIFS('2026'!$L:$L,'2026'!$J:$J,$B80&amp;$C80,'2026'!$O:$O,I$4)</f>
        <v>34800</v>
      </c>
      <c r="J80" s="42">
        <f>SUMIFS('2026'!$L:$L,'2026'!$J:$J,$B80&amp;$C80,'2026'!$O:$O,J$4)</f>
        <v>37920</v>
      </c>
      <c r="K80" s="42">
        <f>SUMIFS('2026'!$L:$L,'2026'!$J:$J,$B80&amp;$C80,'2026'!$O:$O,K$4)</f>
        <v>30720</v>
      </c>
      <c r="L80" s="42">
        <f>SUMIFS('2026'!$L:$L,'2026'!$J:$J,$B80&amp;$C80,'2026'!$O:$O,L$4)</f>
        <v>13440</v>
      </c>
      <c r="M80" s="42">
        <f>SUMIFS('2026'!$L:$L,'2026'!$J:$J,$B80&amp;$C80,'2026'!$O:$O,M$4)</f>
        <v>24960</v>
      </c>
      <c r="N80" s="42">
        <f>SUMIFS('2026'!$L:$L,'2026'!$J:$J,$B80&amp;$C80,'2026'!$O:$O,N$4)</f>
        <v>25440</v>
      </c>
      <c r="O80" s="42">
        <f>SUMIFS('2026'!$L:$L,'2026'!$J:$J,$B80&amp;$C80,'2026'!$O:$O,O$4)</f>
        <v>18720</v>
      </c>
      <c r="P80" s="61">
        <f t="shared" ref="P80:P85" si="42">SUM(D80:O80)</f>
        <v>440332</v>
      </c>
      <c r="Q80" s="605">
        <v>417455</v>
      </c>
      <c r="R80" s="8">
        <f>P80-Q80</f>
        <v>22877</v>
      </c>
      <c r="S80" s="89">
        <f>IF(ISERROR(R80/Q80),"",R80/Q80)</f>
        <v>5.4801116287983134E-2</v>
      </c>
      <c r="T80" s="77"/>
      <c r="U80" s="61">
        <v>453288</v>
      </c>
    </row>
    <row r="81" spans="1:21" ht="15" customHeight="1">
      <c r="A81" s="2" t="s">
        <v>33</v>
      </c>
      <c r="B81" s="52">
        <v>6757</v>
      </c>
      <c r="C81" s="52" t="s">
        <v>33</v>
      </c>
      <c r="D81" s="42">
        <f>SUMIFS('2026'!$L:$L,'2026'!$J:$J,$B81&amp;$C81,'2026'!$O:$O,D$4)</f>
        <v>31944</v>
      </c>
      <c r="E81" s="42">
        <f>SUMIFS('2026'!$L:$L,'2026'!$J:$J,$B81&amp;$C81,'2026'!$O:$O,E$4)</f>
        <v>50274</v>
      </c>
      <c r="F81" s="42">
        <f>SUMIFS('2026'!$L:$L,'2026'!$J:$J,$B81&amp;$C81,'2026'!$O:$O,F$4)</f>
        <v>49821.72</v>
      </c>
      <c r="G81" s="42">
        <f>SUMIFS('2026'!$L:$L,'2026'!$J:$J,$B81&amp;$C81,'2026'!$O:$O,G$4)</f>
        <v>46513.919999999998</v>
      </c>
      <c r="H81" s="42">
        <f>SUMIFS('2026'!$L:$L,'2026'!$J:$J,$B81&amp;$C81,'2026'!$O:$O,H$4)</f>
        <v>46513.919999999998</v>
      </c>
      <c r="I81" s="42">
        <f>SUMIFS('2026'!$L:$L,'2026'!$J:$J,$B81&amp;$C81,'2026'!$O:$O,I$4)</f>
        <v>55816.319999999992</v>
      </c>
      <c r="J81" s="42">
        <f>SUMIFS('2026'!$L:$L,'2026'!$J:$J,$B81&amp;$C81,'2026'!$O:$O,J$4)</f>
        <v>46513.919999999998</v>
      </c>
      <c r="K81" s="42">
        <f>SUMIFS('2026'!$L:$L,'2026'!$J:$J,$B81&amp;$C81,'2026'!$O:$O,K$4)</f>
        <v>58142.399999999994</v>
      </c>
      <c r="L81" s="42">
        <f>SUMIFS('2026'!$L:$L,'2026'!$J:$J,$B81&amp;$C81,'2026'!$O:$O,L$4)</f>
        <v>46513.919999999998</v>
      </c>
      <c r="M81" s="42">
        <f>SUMIFS('2026'!$L:$L,'2026'!$J:$J,$B81&amp;$C81,'2026'!$O:$O,M$4)</f>
        <v>23256.959999999999</v>
      </c>
      <c r="N81" s="42">
        <f>SUMIFS('2026'!$L:$L,'2026'!$J:$J,$B81&amp;$C81,'2026'!$O:$O,N$4)</f>
        <v>0</v>
      </c>
      <c r="O81" s="42">
        <f>SUMIFS('2026'!$L:$L,'2026'!$J:$J,$B81&amp;$C81,'2026'!$O:$O,O$4)</f>
        <v>7065.5999999999995</v>
      </c>
      <c r="P81" s="61">
        <f t="shared" si="42"/>
        <v>462376.67999999993</v>
      </c>
      <c r="Q81" s="605">
        <v>453782.95999999996</v>
      </c>
      <c r="R81" s="8">
        <f>P81-Q81</f>
        <v>8593.7199999999721</v>
      </c>
      <c r="S81" s="89">
        <f>IF(ISERROR(R81/Q81),"",R81/Q81)</f>
        <v>1.893795218753911E-2</v>
      </c>
      <c r="T81" s="77" t="s">
        <v>119</v>
      </c>
      <c r="U81" s="61">
        <v>363652</v>
      </c>
    </row>
    <row r="82" spans="1:21" ht="15" customHeight="1">
      <c r="A82" s="2" t="s">
        <v>43</v>
      </c>
      <c r="B82" s="52">
        <v>6757</v>
      </c>
      <c r="C82" s="52" t="s">
        <v>43</v>
      </c>
      <c r="D82" s="42">
        <f>SUMIFS('2026'!$L:$L,'2026'!$J:$J,$B82&amp;$C82,'2026'!$O:$O,D$4)</f>
        <v>0</v>
      </c>
      <c r="E82" s="42">
        <f>SUMIFS('2026'!$L:$L,'2026'!$J:$J,$B82&amp;$C82,'2026'!$O:$O,E$4)</f>
        <v>33793</v>
      </c>
      <c r="F82" s="42">
        <f>SUMIFS('2026'!$L:$L,'2026'!$J:$J,$B82&amp;$C82,'2026'!$O:$O,F$4)</f>
        <v>34332</v>
      </c>
      <c r="G82" s="42">
        <f>SUMIFS('2026'!$L:$L,'2026'!$J:$J,$B82&amp;$C82,'2026'!$O:$O,G$4)</f>
        <v>0</v>
      </c>
      <c r="H82" s="42">
        <f>SUMIFS('2026'!$L:$L,'2026'!$J:$J,$B82&amp;$C82,'2026'!$O:$O,H$4)</f>
        <v>11808</v>
      </c>
      <c r="I82" s="42">
        <f>SUMIFS('2026'!$L:$L,'2026'!$J:$J,$B82&amp;$C82,'2026'!$O:$O,I$4)</f>
        <v>0</v>
      </c>
      <c r="J82" s="42">
        <f>SUMIFS('2026'!$L:$L,'2026'!$J:$J,$B82&amp;$C82,'2026'!$O:$O,J$4)</f>
        <v>0</v>
      </c>
      <c r="K82" s="42">
        <f>SUMIFS('2026'!$L:$L,'2026'!$J:$J,$B82&amp;$C82,'2026'!$O:$O,K$4)</f>
        <v>0</v>
      </c>
      <c r="L82" s="42">
        <f>SUMIFS('2026'!$L:$L,'2026'!$J:$J,$B82&amp;$C82,'2026'!$O:$O,L$4)</f>
        <v>0</v>
      </c>
      <c r="M82" s="42">
        <f>SUMIFS('2026'!$L:$L,'2026'!$J:$J,$B82&amp;$C82,'2026'!$O:$O,M$4)</f>
        <v>7065.5999999999995</v>
      </c>
      <c r="N82" s="42">
        <f>SUMIFS('2026'!$L:$L,'2026'!$J:$J,$B82&amp;$C82,'2026'!$O:$O,N$4)</f>
        <v>0</v>
      </c>
      <c r="O82" s="42">
        <f>SUMIFS('2026'!$L:$L,'2026'!$J:$J,$B82&amp;$C82,'2026'!$O:$O,O$4)</f>
        <v>0</v>
      </c>
      <c r="P82" s="61">
        <f t="shared" si="42"/>
        <v>86998.6</v>
      </c>
      <c r="Q82" s="605">
        <v>78796.84</v>
      </c>
      <c r="R82" s="8">
        <f>P82-Q82</f>
        <v>8201.7600000000093</v>
      </c>
      <c r="S82" s="89">
        <f>IF(ISERROR(R82/Q82),"",R82/Q82)</f>
        <v>0.10408742279512744</v>
      </c>
      <c r="T82" s="77"/>
      <c r="U82" s="61">
        <v>177456</v>
      </c>
    </row>
    <row r="83" spans="1:21" ht="15" customHeight="1">
      <c r="A83" s="2" t="s">
        <v>38</v>
      </c>
      <c r="B83" s="52">
        <v>6757</v>
      </c>
      <c r="C83" s="52" t="s">
        <v>113</v>
      </c>
      <c r="D83" s="42">
        <f>SUMIFS('2026'!$L:$L,'2026'!$J:$J,$B83&amp;$C83,'2026'!$O:$O,D$4)</f>
        <v>0</v>
      </c>
      <c r="E83" s="42">
        <f>SUMIFS('2026'!$L:$L,'2026'!$J:$J,$B83&amp;$C83,'2026'!$O:$O,E$4)</f>
        <v>0</v>
      </c>
      <c r="F83" s="42">
        <f>SUMIFS('2026'!$L:$L,'2026'!$J:$J,$B83&amp;$C83,'2026'!$O:$O,F$4)</f>
        <v>0</v>
      </c>
      <c r="G83" s="42">
        <f>SUMIFS('2026'!$L:$L,'2026'!$J:$J,$B83&amp;$C83,'2026'!$O:$O,G$4)</f>
        <v>0</v>
      </c>
      <c r="H83" s="42">
        <f>SUMIFS('2026'!$L:$L,'2026'!$J:$J,$B83&amp;$C83,'2026'!$O:$O,H$4)</f>
        <v>0</v>
      </c>
      <c r="I83" s="42">
        <f>SUMIFS('2026'!$L:$L,'2026'!$J:$J,$B83&amp;$C83,'2026'!$O:$O,I$4)</f>
        <v>0</v>
      </c>
      <c r="J83" s="42">
        <f>SUMIFS('2026'!$L:$L,'2026'!$J:$J,$B83&amp;$C83,'2026'!$O:$O,J$4)</f>
        <v>0</v>
      </c>
      <c r="K83" s="42">
        <f>SUMIFS('2026'!$L:$L,'2026'!$J:$J,$B83&amp;$C83,'2026'!$O:$O,K$4)</f>
        <v>0</v>
      </c>
      <c r="L83" s="42">
        <f>SUMIFS('2026'!$L:$L,'2026'!$J:$J,$B83&amp;$C83,'2026'!$O:$O,L$4)</f>
        <v>0</v>
      </c>
      <c r="M83" s="42">
        <f>SUMIFS('2026'!$L:$L,'2026'!$J:$J,$B83&amp;$C83,'2026'!$O:$O,M$4)</f>
        <v>0</v>
      </c>
      <c r="N83" s="42">
        <f>SUMIFS('2026'!$L:$L,'2026'!$J:$J,$B83&amp;$C83,'2026'!$O:$O,N$4)</f>
        <v>0</v>
      </c>
      <c r="O83" s="42">
        <f>SUMIFS('2026'!$L:$L,'2026'!$J:$J,$B83&amp;$C83,'2026'!$O:$O,O$4)</f>
        <v>0</v>
      </c>
      <c r="P83" s="61">
        <f t="shared" si="42"/>
        <v>0</v>
      </c>
      <c r="Q83" s="605">
        <v>0</v>
      </c>
      <c r="R83" s="8"/>
      <c r="S83" s="89"/>
      <c r="T83" s="77"/>
      <c r="U83" s="61">
        <v>0</v>
      </c>
    </row>
    <row r="84" spans="1:21" ht="15" customHeight="1">
      <c r="A84" s="2" t="s">
        <v>38</v>
      </c>
      <c r="B84" s="52">
        <v>1717</v>
      </c>
      <c r="C84" s="36" t="s">
        <v>38</v>
      </c>
      <c r="D84" s="42">
        <f>SUMIFS('2026'!$L:$L,'2026'!$J:$J,$B84&amp;$C84,'2026'!$O:$O,D$4)</f>
        <v>69085</v>
      </c>
      <c r="E84" s="42">
        <f>SUMIFS('2026'!$L:$L,'2026'!$J:$J,$B84&amp;$C84,'2026'!$O:$O,E$4)</f>
        <v>38044</v>
      </c>
      <c r="F84" s="42">
        <f>SUMIFS('2026'!$L:$L,'2026'!$J:$J,$B84&amp;$C84,'2026'!$O:$O,F$4)</f>
        <v>93150.84</v>
      </c>
      <c r="G84" s="42">
        <f>SUMIFS('2026'!$L:$L,'2026'!$J:$J,$B84&amp;$C84,'2026'!$O:$O,G$4)</f>
        <v>69340.799999999988</v>
      </c>
      <c r="H84" s="42">
        <f>SUMIFS('2026'!$L:$L,'2026'!$J:$J,$B84&amp;$C84,'2026'!$O:$O,H$4)</f>
        <v>54537.599999999999</v>
      </c>
      <c r="I84" s="42">
        <f>SUMIFS('2026'!$L:$L,'2026'!$J:$J,$B84&amp;$C84,'2026'!$O:$O,I$4)</f>
        <v>51337.919999999998</v>
      </c>
      <c r="J84" s="42">
        <f>SUMIFS('2026'!$L:$L,'2026'!$J:$J,$B84&amp;$C84,'2026'!$O:$O,J$4)</f>
        <v>64800</v>
      </c>
      <c r="K84" s="42">
        <f>SUMIFS('2026'!$L:$L,'2026'!$J:$J,$B84&amp;$C84,'2026'!$O:$O,K$4)</f>
        <v>43200</v>
      </c>
      <c r="L84" s="42">
        <f>SUMIFS('2026'!$L:$L,'2026'!$J:$J,$B84&amp;$C84,'2026'!$O:$O,L$4)</f>
        <v>43200</v>
      </c>
      <c r="M84" s="42">
        <f>SUMIFS('2026'!$L:$L,'2026'!$J:$J,$B84&amp;$C84,'2026'!$O:$O,M$4)</f>
        <v>50400</v>
      </c>
      <c r="N84" s="42">
        <f>SUMIFS('2026'!$L:$L,'2026'!$J:$J,$B84&amp;$C84,'2026'!$O:$O,N$4)</f>
        <v>36000</v>
      </c>
      <c r="O84" s="42">
        <f>SUMIFS('2026'!$L:$L,'2026'!$J:$J,$B84&amp;$C84,'2026'!$O:$O,O$4)</f>
        <v>28800</v>
      </c>
      <c r="P84" s="61">
        <f t="shared" si="42"/>
        <v>641896.15999999992</v>
      </c>
      <c r="Q84" s="605">
        <v>637784.36</v>
      </c>
      <c r="R84" s="8"/>
      <c r="S84" s="89"/>
      <c r="T84" s="77"/>
      <c r="U84" s="61">
        <v>0</v>
      </c>
    </row>
    <row r="85" spans="1:21" ht="15" customHeight="1">
      <c r="A85" s="2" t="s">
        <v>45</v>
      </c>
      <c r="B85" s="52">
        <v>1716</v>
      </c>
      <c r="C85" s="52" t="s">
        <v>45</v>
      </c>
      <c r="D85" s="42">
        <f>SUMIFS('2026'!$L:$L,'2026'!$J:$J,$B85&amp;$C85,'2026'!$O:$O,D$4)</f>
        <v>209681</v>
      </c>
      <c r="E85" s="42">
        <f>SUMIFS('2026'!$L:$L,'2026'!$J:$J,$B85&amp;$C85,'2026'!$O:$O,E$4)</f>
        <v>207121</v>
      </c>
      <c r="F85" s="42">
        <f>SUMIFS('2026'!$L:$L,'2026'!$J:$J,$B85&amp;$C85,'2026'!$O:$O,F$4)</f>
        <v>312901</v>
      </c>
      <c r="G85" s="42">
        <f>SUMIFS('2026'!$L:$L,'2026'!$J:$J,$B85&amp;$C85,'2026'!$O:$O,G$4)</f>
        <v>226200</v>
      </c>
      <c r="H85" s="42">
        <f>SUMIFS('2026'!$L:$L,'2026'!$J:$J,$B85&amp;$C85,'2026'!$O:$O,H$4)</f>
        <v>125760</v>
      </c>
      <c r="I85" s="42">
        <f>SUMIFS('2026'!$L:$L,'2026'!$J:$J,$B85&amp;$C85,'2026'!$O:$O,I$4)</f>
        <v>77760</v>
      </c>
      <c r="J85" s="42">
        <f>SUMIFS('2026'!$L:$L,'2026'!$J:$J,$B85&amp;$C85,'2026'!$O:$O,J$4)</f>
        <v>155520</v>
      </c>
      <c r="K85" s="42">
        <f>SUMIFS('2026'!$L:$L,'2026'!$J:$J,$B85&amp;$C85,'2026'!$O:$O,K$4)</f>
        <v>77760</v>
      </c>
      <c r="L85" s="42">
        <f>SUMIFS('2026'!$L:$L,'2026'!$J:$J,$B85&amp;$C85,'2026'!$O:$O,L$4)</f>
        <v>125760</v>
      </c>
      <c r="M85" s="42">
        <f>SUMIFS('2026'!$L:$L,'2026'!$J:$J,$B85&amp;$C85,'2026'!$O:$O,M$4)</f>
        <v>77760</v>
      </c>
      <c r="N85" s="42">
        <f>SUMIFS('2026'!$L:$L,'2026'!$J:$J,$B85&amp;$C85,'2026'!$O:$O,N$4)</f>
        <v>131520</v>
      </c>
      <c r="O85" s="42">
        <f>SUMIFS('2026'!$L:$L,'2026'!$J:$J,$B85&amp;$C85,'2026'!$O:$O,O$4)</f>
        <v>50880</v>
      </c>
      <c r="P85" s="61">
        <f t="shared" si="42"/>
        <v>1778623</v>
      </c>
      <c r="Q85" s="605">
        <v>1679869.1600000001</v>
      </c>
      <c r="R85" s="8">
        <f t="shared" ref="R85:R90" si="43">P85-Q85</f>
        <v>98753.839999999851</v>
      </c>
      <c r="S85" s="89">
        <f t="shared" ref="S85:S90" si="44">IF(ISERROR(R85/Q85),"",R85/Q85)</f>
        <v>5.8786625977465916E-2</v>
      </c>
      <c r="T85" s="77"/>
      <c r="U85" s="61">
        <v>180934</v>
      </c>
    </row>
    <row r="86" spans="1:21" ht="15" customHeight="1">
      <c r="A86" s="2" t="s">
        <v>40</v>
      </c>
      <c r="B86" s="52">
        <v>1716</v>
      </c>
      <c r="C86" s="52" t="s">
        <v>100</v>
      </c>
      <c r="D86" s="42">
        <f>SUMIFS('2026'!$L:$L,'2026'!$J:$J,$B86&amp;$C86,'2026'!$O:$O,D$4)</f>
        <v>0</v>
      </c>
      <c r="E86" s="42">
        <f>SUMIFS('2026'!$L:$L,'2026'!$J:$J,$B86&amp;$C86,'2026'!$O:$O,E$4)</f>
        <v>0</v>
      </c>
      <c r="F86" s="42">
        <f>SUMIFS('2026'!$L:$L,'2026'!$J:$J,$B86&amp;$C86,'2026'!$O:$O,F$4)</f>
        <v>0</v>
      </c>
      <c r="G86" s="42">
        <f>SUMIFS('2026'!$L:$L,'2026'!$J:$J,$B86&amp;$C86,'2026'!$O:$O,G$4)</f>
        <v>0</v>
      </c>
      <c r="H86" s="42">
        <f>SUMIFS('2026'!$L:$L,'2026'!$J:$J,$B86&amp;$C86,'2026'!$O:$O,H$4)</f>
        <v>0</v>
      </c>
      <c r="I86" s="42">
        <f>SUMIFS('2026'!$L:$L,'2026'!$J:$J,$B86&amp;$C86,'2026'!$O:$O,I$4)</f>
        <v>0</v>
      </c>
      <c r="J86" s="42">
        <f>SUMIFS('2026'!$L:$L,'2026'!$J:$J,$B86&amp;$C86,'2026'!$O:$O,J$4)</f>
        <v>0</v>
      </c>
      <c r="K86" s="42">
        <f>SUMIFS('2026'!$L:$L,'2026'!$J:$J,$B86&amp;$C86,'2026'!$O:$O,K$4)</f>
        <v>0</v>
      </c>
      <c r="L86" s="42">
        <f>SUMIFS('2026'!$L:$L,'2026'!$J:$J,$B86&amp;$C86,'2026'!$O:$O,L$4)</f>
        <v>0</v>
      </c>
      <c r="M86" s="42">
        <f>SUMIFS('2026'!$L:$L,'2026'!$J:$J,$B86&amp;$C86,'2026'!$O:$O,M$4)</f>
        <v>0</v>
      </c>
      <c r="N86" s="42">
        <f>SUMIFS('2026'!$L:$L,'2026'!$J:$J,$B86&amp;$C86,'2026'!$O:$O,N$4)</f>
        <v>0</v>
      </c>
      <c r="O86" s="42">
        <f>SUMIFS('2026'!$L:$L,'2026'!$J:$J,$B86&amp;$C86,'2026'!$O:$O,O$4)</f>
        <v>90000</v>
      </c>
      <c r="P86" s="61">
        <f t="shared" ref="P86:P90" si="45">SUM(D86:O86)</f>
        <v>90000</v>
      </c>
      <c r="Q86" s="605">
        <v>0</v>
      </c>
      <c r="R86" s="8">
        <f t="shared" si="43"/>
        <v>90000</v>
      </c>
      <c r="S86" s="89" t="str">
        <f t="shared" si="44"/>
        <v/>
      </c>
      <c r="T86" s="77"/>
      <c r="U86" s="61">
        <v>0</v>
      </c>
    </row>
    <row r="87" spans="1:21" ht="15" customHeight="1">
      <c r="A87" s="2" t="s">
        <v>120</v>
      </c>
      <c r="B87" s="52">
        <v>1716</v>
      </c>
      <c r="C87" s="52" t="s">
        <v>29</v>
      </c>
      <c r="D87" s="42">
        <f>SUMIFS('2026'!$L:$L,'2026'!$J:$J,$B87&amp;$C87,'2026'!$O:$O,D$4)</f>
        <v>0</v>
      </c>
      <c r="E87" s="42">
        <f>SUMIFS('2026'!$L:$L,'2026'!$J:$J,$B87&amp;$C87,'2026'!$O:$O,E$4)</f>
        <v>0</v>
      </c>
      <c r="F87" s="42">
        <f>SUMIFS('2026'!$L:$L,'2026'!$J:$J,$B87&amp;$C87,'2026'!$O:$O,F$4)</f>
        <v>0</v>
      </c>
      <c r="G87" s="42">
        <f>SUMIFS('2026'!$L:$L,'2026'!$J:$J,$B87&amp;$C87,'2026'!$O:$O,G$4)</f>
        <v>0</v>
      </c>
      <c r="H87" s="42">
        <f>SUMIFS('2026'!$L:$L,'2026'!$J:$J,$B87&amp;$C87,'2026'!$O:$O,H$4)</f>
        <v>0</v>
      </c>
      <c r="I87" s="42">
        <f>SUMIFS('2026'!$L:$L,'2026'!$J:$J,$B87&amp;$C87,'2026'!$O:$O,I$4)</f>
        <v>0</v>
      </c>
      <c r="J87" s="42">
        <f>SUMIFS('2026'!$L:$L,'2026'!$J:$J,$B87&amp;$C87,'2026'!$O:$O,J$4)</f>
        <v>0</v>
      </c>
      <c r="K87" s="42">
        <f>SUMIFS('2026'!$L:$L,'2026'!$J:$J,$B87&amp;$C87,'2026'!$O:$O,K$4)</f>
        <v>0</v>
      </c>
      <c r="L87" s="42">
        <f>SUMIFS('2026'!$L:$L,'2026'!$J:$J,$B87&amp;$C87,'2026'!$O:$O,L$4)</f>
        <v>0</v>
      </c>
      <c r="M87" s="42">
        <f>SUMIFS('2026'!$L:$L,'2026'!$J:$J,$B87&amp;$C87,'2026'!$O:$O,M$4)</f>
        <v>0</v>
      </c>
      <c r="N87" s="42">
        <f>SUMIFS('2026'!$L:$L,'2026'!$J:$J,$B87&amp;$C87,'2026'!$O:$O,N$4)</f>
        <v>0</v>
      </c>
      <c r="O87" s="42">
        <f>SUMIFS('2026'!$L:$L,'2026'!$J:$J,$B87&amp;$C87,'2026'!$O:$O,O$4)</f>
        <v>0</v>
      </c>
      <c r="P87" s="61">
        <f>SUM(D87:O87)</f>
        <v>0</v>
      </c>
      <c r="Q87" s="605">
        <v>0</v>
      </c>
      <c r="R87" s="8">
        <f t="shared" si="43"/>
        <v>0</v>
      </c>
      <c r="S87" s="89" t="str">
        <f t="shared" si="44"/>
        <v/>
      </c>
      <c r="T87" s="77" t="s">
        <v>121</v>
      </c>
      <c r="U87" s="61">
        <v>542888</v>
      </c>
    </row>
    <row r="88" spans="1:21" ht="15" customHeight="1">
      <c r="A88" s="2" t="s">
        <v>27</v>
      </c>
      <c r="B88" s="52">
        <v>1716</v>
      </c>
      <c r="C88" s="52" t="s">
        <v>27</v>
      </c>
      <c r="D88" s="42">
        <f>SUMIFS('2026'!$L:$L,'2026'!$J:$J,$B88&amp;$C88,'2026'!$O:$O,D$4)</f>
        <v>90072</v>
      </c>
      <c r="E88" s="42">
        <f>SUMIFS('2026'!$L:$L,'2026'!$J:$J,$B88&amp;$C88,'2026'!$O:$O,E$4)</f>
        <v>112410</v>
      </c>
      <c r="F88" s="42">
        <f>SUMIFS('2026'!$L:$L,'2026'!$J:$J,$B88&amp;$C88,'2026'!$O:$O,F$4)</f>
        <v>285317.39999999997</v>
      </c>
      <c r="G88" s="42">
        <f>SUMIFS('2026'!$L:$L,'2026'!$J:$J,$B88&amp;$C88,'2026'!$O:$O,G$4)</f>
        <v>132960.95999999999</v>
      </c>
      <c r="H88" s="42">
        <f>SUMIFS('2026'!$L:$L,'2026'!$J:$J,$B88&amp;$C88,'2026'!$O:$O,H$4)</f>
        <v>281869.44</v>
      </c>
      <c r="I88" s="42">
        <f>SUMIFS('2026'!$L:$L,'2026'!$J:$J,$B88&amp;$C88,'2026'!$O:$O,I$4)</f>
        <v>134400</v>
      </c>
      <c r="J88" s="42">
        <f>SUMIFS('2026'!$L:$L,'2026'!$J:$J,$B88&amp;$C88,'2026'!$O:$O,J$4)</f>
        <v>107520</v>
      </c>
      <c r="K88" s="42">
        <f>SUMIFS('2026'!$L:$L,'2026'!$J:$J,$B88&amp;$C88,'2026'!$O:$O,K$4)</f>
        <v>215040</v>
      </c>
      <c r="L88" s="42">
        <f>SUMIFS('2026'!$L:$L,'2026'!$J:$J,$B88&amp;$C88,'2026'!$O:$O,L$4)</f>
        <v>215040</v>
      </c>
      <c r="M88" s="42">
        <f>SUMIFS('2026'!$L:$L,'2026'!$J:$J,$B88&amp;$C88,'2026'!$O:$O,M$4)</f>
        <v>134400</v>
      </c>
      <c r="N88" s="42">
        <f>SUMIFS('2026'!$L:$L,'2026'!$J:$J,$B88&amp;$C88,'2026'!$O:$O,N$4)</f>
        <v>161280</v>
      </c>
      <c r="O88" s="42">
        <f>SUMIFS('2026'!$L:$L,'2026'!$J:$J,$B88&amp;$C88,'2026'!$O:$O,O$4)</f>
        <v>80640</v>
      </c>
      <c r="P88" s="61">
        <f t="shared" ref="P88:P89" si="46">SUM(D88:O88)</f>
        <v>1950949.8</v>
      </c>
      <c r="Q88" s="605">
        <v>1817335.96</v>
      </c>
      <c r="R88" s="8">
        <f t="shared" si="43"/>
        <v>133613.84000000008</v>
      </c>
      <c r="S88" s="89">
        <f t="shared" si="44"/>
        <v>7.3521815966267501E-2</v>
      </c>
      <c r="T88" s="77"/>
      <c r="U88" s="61">
        <v>231638</v>
      </c>
    </row>
    <row r="89" spans="1:21" ht="15" customHeight="1">
      <c r="A89" s="2" t="s">
        <v>33</v>
      </c>
      <c r="B89" s="52" t="s">
        <v>201</v>
      </c>
      <c r="C89" s="52" t="s">
        <v>33</v>
      </c>
      <c r="D89" s="42">
        <f>SUMIFS('2026'!$L:$L,'2026'!$J:$J,$B89&amp;$C89,'2026'!$O:$O,D$4)</f>
        <v>0</v>
      </c>
      <c r="E89" s="42">
        <f>SUMIFS('2026'!$L:$L,'2026'!$J:$J,$B89&amp;$C89,'2026'!$O:$O,E$4)</f>
        <v>0</v>
      </c>
      <c r="F89" s="42">
        <f>SUMIFS('2026'!$L:$L,'2026'!$J:$J,$B89&amp;$C89,'2026'!$O:$O,F$4)</f>
        <v>0</v>
      </c>
      <c r="G89" s="42">
        <f>SUMIFS('2026'!$L:$L,'2026'!$J:$J,$B89&amp;$C89,'2026'!$O:$O,G$4)</f>
        <v>37037.037037037</v>
      </c>
      <c r="H89" s="42">
        <f>SUMIFS('2026'!$L:$L,'2026'!$J:$J,$B89&amp;$C89,'2026'!$O:$O,H$4)</f>
        <v>70000</v>
      </c>
      <c r="I89" s="42">
        <f>SUMIFS('2026'!$L:$L,'2026'!$J:$J,$B89&amp;$C89,'2026'!$O:$O,I$4)</f>
        <v>62037.037037037</v>
      </c>
      <c r="J89" s="42">
        <f>SUMIFS('2026'!$L:$L,'2026'!$J:$J,$B89&amp;$C89,'2026'!$O:$O,J$4)</f>
        <v>62034.537037037</v>
      </c>
      <c r="K89" s="42">
        <f>SUMIFS('2026'!$L:$L,'2026'!$J:$J,$B89&amp;$C89,'2026'!$O:$O,K$4)</f>
        <v>62034.537037037</v>
      </c>
      <c r="L89" s="42">
        <f>SUMIFS('2026'!$L:$L,'2026'!$J:$J,$B89&amp;$C89,'2026'!$O:$O,L$4)</f>
        <v>62037.037037037</v>
      </c>
      <c r="M89" s="42">
        <f>SUMIFS('2026'!$L:$L,'2026'!$J:$J,$B89&amp;$C89,'2026'!$O:$O,M$4)</f>
        <v>49537.037037037</v>
      </c>
      <c r="N89" s="42">
        <f>SUMIFS('2026'!$L:$L,'2026'!$J:$J,$B89&amp;$C89,'2026'!$O:$O,N$4)</f>
        <v>45370.370370370401</v>
      </c>
      <c r="O89" s="42">
        <f>SUMIFS('2026'!$L:$L,'2026'!$J:$J,$B89&amp;$C89,'2026'!$O:$O,O$4)</f>
        <v>45370.370370370401</v>
      </c>
      <c r="P89" s="61">
        <f t="shared" si="46"/>
        <v>495457.9629629628</v>
      </c>
      <c r="Q89" s="605">
        <v>495457.9629629628</v>
      </c>
      <c r="R89" s="8">
        <f t="shared" si="43"/>
        <v>0</v>
      </c>
      <c r="S89" s="89">
        <f t="shared" si="44"/>
        <v>0</v>
      </c>
      <c r="T89" s="77"/>
      <c r="U89" s="61">
        <v>0</v>
      </c>
    </row>
    <row r="90" spans="1:21" ht="15" customHeight="1">
      <c r="A90" s="2" t="s">
        <v>38</v>
      </c>
      <c r="B90" s="36" t="s">
        <v>123</v>
      </c>
      <c r="C90" s="36" t="s">
        <v>38</v>
      </c>
      <c r="D90" s="42">
        <f>SUMIFS('2026'!$L:$L,'2026'!$J:$J,$B90&amp;$C90,'2026'!$O:$O,D$4)</f>
        <v>0</v>
      </c>
      <c r="E90" s="42">
        <f>SUMIFS('2026'!$L:$L,'2026'!$J:$J,$B90&amp;$C90,'2026'!$O:$O,E$4)</f>
        <v>0</v>
      </c>
      <c r="F90" s="42">
        <f>SUMIFS('2026'!$L:$L,'2026'!$J:$J,$B90&amp;$C90,'2026'!$O:$O,F$4)</f>
        <v>0</v>
      </c>
      <c r="G90" s="42">
        <f>SUMIFS('2026'!$L:$L,'2026'!$J:$J,$B90&amp;$C90,'2026'!$O:$O,G$4)</f>
        <v>0</v>
      </c>
      <c r="H90" s="42">
        <f>SUMIFS('2026'!$L:$L,'2026'!$J:$J,$B90&amp;$C90,'2026'!$O:$O,H$4)</f>
        <v>0</v>
      </c>
      <c r="I90" s="42">
        <f>SUMIFS('2026'!$L:$L,'2026'!$J:$J,$B90&amp;$C90,'2026'!$O:$O,I$4)</f>
        <v>0</v>
      </c>
      <c r="J90" s="42">
        <f>SUMIFS('2026'!$L:$L,'2026'!$J:$J,$B90&amp;$C90,'2026'!$O:$O,J$4)</f>
        <v>0</v>
      </c>
      <c r="K90" s="42">
        <f>SUMIFS('2026'!$L:$L,'2026'!$J:$J,$B90&amp;$C90,'2026'!$O:$O,K$4)</f>
        <v>0</v>
      </c>
      <c r="L90" s="42">
        <f>SUMIFS('2026'!$L:$L,'2026'!$J:$J,$B90&amp;$C90,'2026'!$O:$O,L$4)</f>
        <v>0</v>
      </c>
      <c r="M90" s="42">
        <f>SUMIFS('2026'!$L:$L,'2026'!$J:$J,$B90&amp;$C90,'2026'!$O:$O,M$4)</f>
        <v>0</v>
      </c>
      <c r="N90" s="42">
        <f>SUMIFS('2026'!$L:$L,'2026'!$J:$J,$B90&amp;$C90,'2026'!$O:$O,N$4)</f>
        <v>0</v>
      </c>
      <c r="O90" s="42">
        <f>SUMIFS('2026'!$L:$L,'2026'!$J:$J,$B90&amp;$C90,'2026'!$O:$O,O$4)</f>
        <v>0</v>
      </c>
      <c r="P90" s="61">
        <f t="shared" si="45"/>
        <v>0</v>
      </c>
      <c r="Q90" s="605">
        <v>0</v>
      </c>
      <c r="R90" s="8">
        <f t="shared" si="43"/>
        <v>0</v>
      </c>
      <c r="S90" s="89" t="str">
        <f t="shared" si="44"/>
        <v/>
      </c>
      <c r="T90" s="77"/>
      <c r="U90" s="61">
        <v>73993</v>
      </c>
    </row>
    <row r="91" spans="1:21"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28"/>
      <c r="Q91" s="28"/>
      <c r="R91" s="1"/>
      <c r="S91" s="1"/>
      <c r="U91" s="28"/>
    </row>
    <row r="92" spans="1:21">
      <c r="B92" s="35"/>
      <c r="C92" s="1094" t="s">
        <v>124</v>
      </c>
      <c r="D92" s="1095"/>
      <c r="E92" s="1095"/>
      <c r="F92" s="1095"/>
      <c r="G92" s="1095"/>
      <c r="H92" s="1095"/>
      <c r="I92" s="1095"/>
      <c r="J92" s="1095"/>
      <c r="K92" s="1095"/>
      <c r="L92" s="1095"/>
      <c r="M92" s="1095"/>
      <c r="N92" s="1095"/>
      <c r="O92" s="1095"/>
      <c r="P92" s="187" t="str">
        <f>P$4</f>
        <v>2026 MRF3</v>
      </c>
      <c r="Q92" s="188" t="s">
        <v>1309</v>
      </c>
      <c r="R92" s="5" t="str">
        <f t="shared" ref="R92:S92" si="47">R$4</f>
        <v>Difference</v>
      </c>
      <c r="S92" s="6" t="str">
        <f t="shared" si="47"/>
        <v>% change</v>
      </c>
      <c r="T92" s="71" t="s">
        <v>66</v>
      </c>
      <c r="U92" s="187" t="s">
        <v>1186</v>
      </c>
    </row>
    <row r="93" spans="1:21">
      <c r="B93" s="4"/>
      <c r="C93" s="4" t="s">
        <v>17</v>
      </c>
      <c r="D93" s="5" t="s">
        <v>68</v>
      </c>
      <c r="E93" s="5" t="s">
        <v>69</v>
      </c>
      <c r="F93" s="5" t="s">
        <v>70</v>
      </c>
      <c r="G93" s="5" t="s">
        <v>71</v>
      </c>
      <c r="H93" s="5" t="s">
        <v>72</v>
      </c>
      <c r="I93" s="5" t="s">
        <v>73</v>
      </c>
      <c r="J93" s="5" t="s">
        <v>74</v>
      </c>
      <c r="K93" s="5" t="s">
        <v>75</v>
      </c>
      <c r="L93" s="5" t="s">
        <v>76</v>
      </c>
      <c r="M93" s="5" t="s">
        <v>77</v>
      </c>
      <c r="N93" s="5" t="s">
        <v>78</v>
      </c>
      <c r="O93" s="5" t="s">
        <v>79</v>
      </c>
      <c r="P93" s="5" t="s">
        <v>125</v>
      </c>
      <c r="Q93" s="5" t="s">
        <v>125</v>
      </c>
      <c r="R93" s="5" t="s">
        <v>80</v>
      </c>
      <c r="S93" s="6" t="s">
        <v>81</v>
      </c>
      <c r="T93" s="86"/>
      <c r="U93" s="5" t="s">
        <v>125</v>
      </c>
    </row>
    <row r="94" spans="1:21">
      <c r="A94" s="2" t="s">
        <v>38</v>
      </c>
      <c r="B94" s="36" t="s">
        <v>126</v>
      </c>
      <c r="C94" s="36" t="s">
        <v>127</v>
      </c>
      <c r="D94" s="42">
        <f>SUMIFS('2026'!$L:$L,'2026'!$J:$J,$B94&amp;$C94,'2026'!$O:$O,D$4)</f>
        <v>0</v>
      </c>
      <c r="E94" s="42">
        <f>SUMIFS('2026'!$L:$L,'2026'!$J:$J,$B94&amp;$C94,'2026'!$O:$O,E$4)</f>
        <v>0</v>
      </c>
      <c r="F94" s="42">
        <f>SUMIFS('2026'!$L:$L,'2026'!$J:$J,$B94&amp;$C94,'2026'!$O:$O,F$4)</f>
        <v>0</v>
      </c>
      <c r="G94" s="42">
        <f>SUMIFS('2026'!$L:$L,'2026'!$J:$J,$B94&amp;$C94,'2026'!$O:$O,G$4)</f>
        <v>0</v>
      </c>
      <c r="H94" s="42">
        <f>SUMIFS('2026'!$L:$L,'2026'!$J:$J,$B94&amp;$C94,'2026'!$O:$O,H$4)</f>
        <v>0</v>
      </c>
      <c r="I94" s="42">
        <f>SUMIFS('2026'!$L:$L,'2026'!$J:$J,$B94&amp;$C94,'2026'!$O:$O,I$4)</f>
        <v>0</v>
      </c>
      <c r="J94" s="42">
        <f>SUMIFS('2026'!$L:$L,'2026'!$J:$J,$B94&amp;$C94,'2026'!$O:$O,J$4)</f>
        <v>0</v>
      </c>
      <c r="K94" s="42">
        <f>SUMIFS('2026'!$L:$L,'2026'!$J:$J,$B94&amp;$C94,'2026'!$O:$O,K$4)</f>
        <v>0</v>
      </c>
      <c r="L94" s="42">
        <f>SUMIFS('2026'!$L:$L,'2026'!$J:$J,$B94&amp;$C94,'2026'!$O:$O,L$4)</f>
        <v>0</v>
      </c>
      <c r="M94" s="42">
        <f>SUMIFS('2026'!$L:$L,'2026'!$J:$J,$B94&amp;$C94,'2026'!$O:$O,M$4)</f>
        <v>0</v>
      </c>
      <c r="N94" s="42">
        <f>SUMIFS('2026'!$L:$L,'2026'!$J:$J,$B94&amp;$C94,'2026'!$O:$O,N$4)</f>
        <v>0</v>
      </c>
      <c r="O94" s="42">
        <f>SUMIFS('2026'!$L:$L,'2026'!$J:$J,$B94&amp;$C94,'2026'!$O:$O,O$4)</f>
        <v>0</v>
      </c>
      <c r="P94" s="61">
        <f>SUM(D94:O94)</f>
        <v>0</v>
      </c>
      <c r="Q94" s="627">
        <v>0</v>
      </c>
      <c r="R94" s="8"/>
      <c r="S94" s="9" t="str">
        <f t="shared" ref="S94:S118" si="48">IF(ISERROR(R94/Q94),"",R94/Q94)</f>
        <v/>
      </c>
      <c r="T94" s="75"/>
      <c r="U94" s="61">
        <v>0</v>
      </c>
    </row>
    <row r="95" spans="1:21">
      <c r="A95" s="2" t="s">
        <v>37</v>
      </c>
      <c r="B95" s="36" t="s">
        <v>126</v>
      </c>
      <c r="C95" s="36" t="s">
        <v>37</v>
      </c>
      <c r="D95" s="42">
        <f>SUMIFS('2026'!$L:$L,'2026'!$J:$J,$B95&amp;$C95,'2026'!$O:$O,D$4)</f>
        <v>0</v>
      </c>
      <c r="E95" s="42">
        <f>SUMIFS('2026'!$L:$L,'2026'!$J:$J,$B95&amp;$C95,'2026'!$O:$O,E$4)</f>
        <v>0</v>
      </c>
      <c r="F95" s="42">
        <f>SUMIFS('2026'!$L:$L,'2026'!$J:$J,$B95&amp;$C95,'2026'!$O:$O,F$4)</f>
        <v>0</v>
      </c>
      <c r="G95" s="42">
        <f>SUMIFS('2026'!$L:$L,'2026'!$J:$J,$B95&amp;$C95,'2026'!$O:$O,G$4)</f>
        <v>0</v>
      </c>
      <c r="H95" s="42">
        <f>SUMIFS('2026'!$L:$L,'2026'!$J:$J,$B95&amp;$C95,'2026'!$O:$O,H$4)</f>
        <v>0</v>
      </c>
      <c r="I95" s="42">
        <f>SUMIFS('2026'!$L:$L,'2026'!$J:$J,$B95&amp;$C95,'2026'!$O:$O,I$4)</f>
        <v>0</v>
      </c>
      <c r="J95" s="42">
        <f>SUMIFS('2026'!$L:$L,'2026'!$J:$J,$B95&amp;$C95,'2026'!$O:$O,J$4)</f>
        <v>0</v>
      </c>
      <c r="K95" s="42">
        <f>SUMIFS('2026'!$L:$L,'2026'!$J:$J,$B95&amp;$C95,'2026'!$O:$O,K$4)</f>
        <v>0</v>
      </c>
      <c r="L95" s="42">
        <f>SUMIFS('2026'!$L:$L,'2026'!$J:$J,$B95&amp;$C95,'2026'!$O:$O,L$4)</f>
        <v>0</v>
      </c>
      <c r="M95" s="42">
        <f>SUMIFS('2026'!$L:$L,'2026'!$J:$J,$B95&amp;$C95,'2026'!$O:$O,M$4)</f>
        <v>0</v>
      </c>
      <c r="N95" s="42">
        <f>SUMIFS('2026'!$L:$L,'2026'!$J:$J,$B95&amp;$C95,'2026'!$O:$O,N$4)</f>
        <v>0</v>
      </c>
      <c r="O95" s="42">
        <f>SUMIFS('2026'!$L:$L,'2026'!$J:$J,$B95&amp;$C95,'2026'!$O:$O,O$4)</f>
        <v>0</v>
      </c>
      <c r="P95" s="61">
        <f t="shared" ref="P95:P113" si="49">SUM(D95:O95)</f>
        <v>0</v>
      </c>
      <c r="Q95" s="627">
        <v>0</v>
      </c>
      <c r="R95" s="8"/>
      <c r="S95" s="9" t="str">
        <f t="shared" si="48"/>
        <v/>
      </c>
      <c r="T95" s="75"/>
      <c r="U95" s="61">
        <v>0</v>
      </c>
    </row>
    <row r="96" spans="1:21">
      <c r="A96" s="2" t="s">
        <v>39</v>
      </c>
      <c r="B96" s="36" t="s">
        <v>128</v>
      </c>
      <c r="C96" s="36" t="s">
        <v>39</v>
      </c>
      <c r="D96" s="42">
        <f>SUMIFS('2026'!$L:$L,'2026'!$J:$J,$B96&amp;$C96,'2026'!$O:$O,D$4)</f>
        <v>0</v>
      </c>
      <c r="E96" s="42">
        <f>SUMIFS('2026'!$L:$L,'2026'!$J:$J,$B96&amp;$C96,'2026'!$O:$O,E$4)</f>
        <v>0</v>
      </c>
      <c r="F96" s="42">
        <f>SUMIFS('2026'!$L:$L,'2026'!$J:$J,$B96&amp;$C96,'2026'!$O:$O,F$4)</f>
        <v>0</v>
      </c>
      <c r="G96" s="42">
        <f>SUMIFS('2026'!$L:$L,'2026'!$J:$J,$B96&amp;$C96,'2026'!$O:$O,G$4)</f>
        <v>0</v>
      </c>
      <c r="H96" s="42">
        <f>SUMIFS('2026'!$L:$L,'2026'!$J:$J,$B96&amp;$C96,'2026'!$O:$O,H$4)</f>
        <v>0</v>
      </c>
      <c r="I96" s="42">
        <f>SUMIFS('2026'!$L:$L,'2026'!$J:$J,$B96&amp;$C96,'2026'!$O:$O,I$4)</f>
        <v>0</v>
      </c>
      <c r="J96" s="42">
        <f>SUMIFS('2026'!$L:$L,'2026'!$J:$J,$B96&amp;$C96,'2026'!$O:$O,J$4)</f>
        <v>0</v>
      </c>
      <c r="K96" s="42">
        <f>SUMIFS('2026'!$L:$L,'2026'!$J:$J,$B96&amp;$C96,'2026'!$O:$O,K$4)</f>
        <v>0</v>
      </c>
      <c r="L96" s="42">
        <f>SUMIFS('2026'!$L:$L,'2026'!$J:$J,$B96&amp;$C96,'2026'!$O:$O,L$4)</f>
        <v>0</v>
      </c>
      <c r="M96" s="42">
        <f>SUMIFS('2026'!$L:$L,'2026'!$J:$J,$B96&amp;$C96,'2026'!$O:$O,M$4)</f>
        <v>0</v>
      </c>
      <c r="N96" s="42">
        <f>SUMIFS('2026'!$L:$L,'2026'!$J:$J,$B96&amp;$C96,'2026'!$O:$O,N$4)</f>
        <v>0</v>
      </c>
      <c r="O96" s="42">
        <f>SUMIFS('2026'!$L:$L,'2026'!$J:$J,$B96&amp;$C96,'2026'!$O:$O,O$4)</f>
        <v>0</v>
      </c>
      <c r="P96" s="61">
        <f t="shared" si="49"/>
        <v>0</v>
      </c>
      <c r="Q96" s="627">
        <v>0</v>
      </c>
      <c r="R96" s="8"/>
      <c r="S96" s="9" t="str">
        <f t="shared" si="48"/>
        <v/>
      </c>
      <c r="T96" s="78"/>
      <c r="U96" s="61">
        <v>0</v>
      </c>
    </row>
    <row r="97" spans="1:21">
      <c r="A97" s="2" t="s">
        <v>38</v>
      </c>
      <c r="B97" s="36" t="s">
        <v>128</v>
      </c>
      <c r="C97" s="36" t="s">
        <v>38</v>
      </c>
      <c r="D97" s="42">
        <f>SUMIFS('2026'!$L:$L,'2026'!$J:$J,$B97&amp;$C97,'2026'!$O:$O,D$4)</f>
        <v>9538</v>
      </c>
      <c r="E97" s="42">
        <f>SUMIFS('2026'!$L:$L,'2026'!$J:$J,$B97&amp;$C97,'2026'!$O:$O,E$4)</f>
        <v>28742</v>
      </c>
      <c r="F97" s="42">
        <f>SUMIFS('2026'!$L:$L,'2026'!$J:$J,$B97&amp;$C97,'2026'!$O:$O,F$4)</f>
        <v>37631.96</v>
      </c>
      <c r="G97" s="42">
        <f>SUMIFS('2026'!$L:$L,'2026'!$J:$J,$B97&amp;$C97,'2026'!$O:$O,G$4)</f>
        <v>38928</v>
      </c>
      <c r="H97" s="42">
        <f>SUMIFS('2026'!$L:$L,'2026'!$J:$J,$B97&amp;$C97,'2026'!$O:$O,H$4)</f>
        <v>17340.48</v>
      </c>
      <c r="I97" s="42">
        <f>SUMIFS('2026'!$L:$L,'2026'!$J:$J,$B97&amp;$C97,'2026'!$O:$O,I$4)</f>
        <v>22196.159999999996</v>
      </c>
      <c r="J97" s="42">
        <f>SUMIFS('2026'!$L:$L,'2026'!$J:$J,$B97&amp;$C97,'2026'!$O:$O,J$4)</f>
        <v>10984.32</v>
      </c>
      <c r="K97" s="42">
        <f>SUMIFS('2026'!$L:$L,'2026'!$J:$J,$B97&amp;$C97,'2026'!$O:$O,K$4)</f>
        <v>26083.199999999997</v>
      </c>
      <c r="L97" s="42">
        <f>SUMIFS('2026'!$L:$L,'2026'!$J:$J,$B97&amp;$C97,'2026'!$O:$O,L$4)</f>
        <v>7322.88</v>
      </c>
      <c r="M97" s="42">
        <f>SUMIFS('2026'!$L:$L,'2026'!$J:$J,$B97&amp;$C97,'2026'!$O:$O,M$4)</f>
        <v>11210.88</v>
      </c>
      <c r="N97" s="42">
        <f>SUMIFS('2026'!$L:$L,'2026'!$J:$J,$B97&amp;$C97,'2026'!$O:$O,N$4)</f>
        <v>0</v>
      </c>
      <c r="O97" s="42">
        <f>SUMIFS('2026'!$L:$L,'2026'!$J:$J,$B97&amp;$C97,'2026'!$O:$O,O$4)</f>
        <v>0</v>
      </c>
      <c r="P97" s="61">
        <f>SUM(D97:O97)</f>
        <v>209977.88</v>
      </c>
      <c r="Q97" s="627">
        <v>240368.39999999997</v>
      </c>
      <c r="R97" s="8"/>
      <c r="S97" s="9">
        <f t="shared" si="48"/>
        <v>0</v>
      </c>
      <c r="T97" s="75"/>
      <c r="U97" s="61">
        <v>272855</v>
      </c>
    </row>
    <row r="98" spans="1:21">
      <c r="A98" s="2" t="s">
        <v>33</v>
      </c>
      <c r="B98" s="36" t="s">
        <v>128</v>
      </c>
      <c r="C98" s="36" t="s">
        <v>129</v>
      </c>
      <c r="D98" s="42">
        <f>SUMIFS('2026'!$L:$L,'2026'!$J:$J,$B98&amp;$C98,'2026'!$O:$O,D$4)</f>
        <v>0</v>
      </c>
      <c r="E98" s="42">
        <f>SUMIFS('2026'!$L:$L,'2026'!$J:$J,$B98&amp;$C98,'2026'!$O:$O,E$4)</f>
        <v>0</v>
      </c>
      <c r="F98" s="42">
        <f>SUMIFS('2026'!$L:$L,'2026'!$J:$J,$B98&amp;$C98,'2026'!$O:$O,F$4)</f>
        <v>0</v>
      </c>
      <c r="G98" s="42">
        <f>SUMIFS('2026'!$L:$L,'2026'!$J:$J,$B98&amp;$C98,'2026'!$O:$O,G$4)</f>
        <v>0</v>
      </c>
      <c r="H98" s="42">
        <f>SUMIFS('2026'!$L:$L,'2026'!$J:$J,$B98&amp;$C98,'2026'!$O:$O,H$4)</f>
        <v>0</v>
      </c>
      <c r="I98" s="42">
        <f>SUMIFS('2026'!$L:$L,'2026'!$J:$J,$B98&amp;$C98,'2026'!$O:$O,I$4)</f>
        <v>0</v>
      </c>
      <c r="J98" s="42">
        <f>SUMIFS('2026'!$L:$L,'2026'!$J:$J,$B98&amp;$C98,'2026'!$O:$O,J$4)</f>
        <v>0</v>
      </c>
      <c r="K98" s="42">
        <f>SUMIFS('2026'!$L:$L,'2026'!$J:$J,$B98&amp;$C98,'2026'!$O:$O,K$4)</f>
        <v>0</v>
      </c>
      <c r="L98" s="42">
        <f>SUMIFS('2026'!$L:$L,'2026'!$J:$J,$B98&amp;$C98,'2026'!$O:$O,L$4)</f>
        <v>0</v>
      </c>
      <c r="M98" s="42">
        <f>SUMIFS('2026'!$L:$L,'2026'!$J:$J,$B98&amp;$C98,'2026'!$O:$O,M$4)</f>
        <v>0</v>
      </c>
      <c r="N98" s="42">
        <f>SUMIFS('2026'!$L:$L,'2026'!$J:$J,$B98&amp;$C98,'2026'!$O:$O,N$4)</f>
        <v>0</v>
      </c>
      <c r="O98" s="42">
        <f>SUMIFS('2026'!$L:$L,'2026'!$J:$J,$B98&amp;$C98,'2026'!$O:$O,O$4)</f>
        <v>0</v>
      </c>
      <c r="P98" s="61">
        <f t="shared" si="49"/>
        <v>0</v>
      </c>
      <c r="Q98" s="627">
        <v>0</v>
      </c>
      <c r="R98" s="8">
        <f t="shared" ref="R98:R115" si="50">P98-Q98</f>
        <v>0</v>
      </c>
      <c r="S98" s="9" t="str">
        <f t="shared" si="48"/>
        <v/>
      </c>
      <c r="T98" s="75"/>
      <c r="U98" s="61">
        <v>0</v>
      </c>
    </row>
    <row r="99" spans="1:21">
      <c r="A99" s="2" t="s">
        <v>35</v>
      </c>
      <c r="B99" s="36" t="s">
        <v>128</v>
      </c>
      <c r="C99" s="36" t="s">
        <v>35</v>
      </c>
      <c r="D99" s="42">
        <f>SUMIFS('2026'!$L:$L,'2026'!$J:$J,$B99&amp;$C99,'2026'!$O:$O,D$4)</f>
        <v>3888</v>
      </c>
      <c r="E99" s="42">
        <f>SUMIFS('2026'!$L:$L,'2026'!$J:$J,$B99&amp;$C99,'2026'!$O:$O,E$4)</f>
        <v>8625</v>
      </c>
      <c r="F99" s="42">
        <f>SUMIFS('2026'!$L:$L,'2026'!$J:$J,$B99&amp;$C99,'2026'!$O:$O,F$4)</f>
        <v>6158.08</v>
      </c>
      <c r="G99" s="42">
        <f>SUMIFS('2026'!$L:$L,'2026'!$J:$J,$B99&amp;$C99,'2026'!$O:$O,G$4)</f>
        <v>0</v>
      </c>
      <c r="H99" s="42">
        <f>SUMIFS('2026'!$L:$L,'2026'!$J:$J,$B99&amp;$C99,'2026'!$O:$O,H$4)</f>
        <v>7387.2</v>
      </c>
      <c r="I99" s="42">
        <f>SUMIFS('2026'!$L:$L,'2026'!$J:$J,$B99&amp;$C99,'2026'!$O:$O,I$4)</f>
        <v>0</v>
      </c>
      <c r="J99" s="42">
        <f>SUMIFS('2026'!$L:$L,'2026'!$J:$J,$B99&amp;$C99,'2026'!$O:$O,J$4)</f>
        <v>0</v>
      </c>
      <c r="K99" s="42">
        <f>SUMIFS('2026'!$L:$L,'2026'!$J:$J,$B99&amp;$C99,'2026'!$O:$O,K$4)</f>
        <v>0</v>
      </c>
      <c r="L99" s="42">
        <f>SUMIFS('2026'!$L:$L,'2026'!$J:$J,$B99&amp;$C99,'2026'!$O:$O,L$4)</f>
        <v>0</v>
      </c>
      <c r="M99" s="42">
        <f>SUMIFS('2026'!$L:$L,'2026'!$J:$J,$B99&amp;$C99,'2026'!$O:$O,M$4)</f>
        <v>0</v>
      </c>
      <c r="N99" s="42">
        <f>SUMIFS('2026'!$L:$L,'2026'!$J:$J,$B99&amp;$C99,'2026'!$O:$O,N$4)</f>
        <v>0</v>
      </c>
      <c r="O99" s="42">
        <f>SUMIFS('2026'!$L:$L,'2026'!$J:$J,$B99&amp;$C99,'2026'!$O:$O,O$4)</f>
        <v>0</v>
      </c>
      <c r="P99" s="61">
        <f t="shared" si="49"/>
        <v>26058.280000000002</v>
      </c>
      <c r="Q99" s="627">
        <v>34365.479999999996</v>
      </c>
      <c r="R99" s="8"/>
      <c r="S99" s="9"/>
      <c r="T99" s="75"/>
      <c r="U99" s="61">
        <v>106327</v>
      </c>
    </row>
    <row r="100" spans="1:21">
      <c r="A100" s="2" t="s">
        <v>37</v>
      </c>
      <c r="B100" s="36" t="s">
        <v>128</v>
      </c>
      <c r="C100" s="36" t="s">
        <v>37</v>
      </c>
      <c r="D100" s="42">
        <f>SUMIFS('2026'!$L:$L,'2026'!$J:$J,$B100&amp;$C100,'2026'!$O:$O,D$4)</f>
        <v>0</v>
      </c>
      <c r="E100" s="42">
        <f>SUMIFS('2026'!$L:$L,'2026'!$J:$J,$B100&amp;$C100,'2026'!$O:$O,E$4)</f>
        <v>0</v>
      </c>
      <c r="F100" s="42">
        <f>SUMIFS('2026'!$L:$L,'2026'!$J:$J,$B100&amp;$C100,'2026'!$O:$O,F$4)</f>
        <v>0</v>
      </c>
      <c r="G100" s="42">
        <f>SUMIFS('2026'!$L:$L,'2026'!$J:$J,$B100&amp;$C100,'2026'!$O:$O,G$4)</f>
        <v>0</v>
      </c>
      <c r="H100" s="42">
        <f>SUMIFS('2026'!$L:$L,'2026'!$J:$J,$B100&amp;$C100,'2026'!$O:$O,H$4)</f>
        <v>0</v>
      </c>
      <c r="I100" s="42">
        <f>SUMIFS('2026'!$L:$L,'2026'!$J:$J,$B100&amp;$C100,'2026'!$O:$O,I$4)</f>
        <v>0</v>
      </c>
      <c r="J100" s="42">
        <f>SUMIFS('2026'!$L:$L,'2026'!$J:$J,$B100&amp;$C100,'2026'!$O:$O,J$4)</f>
        <v>0</v>
      </c>
      <c r="K100" s="42">
        <f>SUMIFS('2026'!$L:$L,'2026'!$J:$J,$B100&amp;$C100,'2026'!$O:$O,K$4)</f>
        <v>0</v>
      </c>
      <c r="L100" s="42">
        <f>SUMIFS('2026'!$L:$L,'2026'!$J:$J,$B100&amp;$C100,'2026'!$O:$O,L$4)</f>
        <v>0</v>
      </c>
      <c r="M100" s="42">
        <f>SUMIFS('2026'!$L:$L,'2026'!$J:$J,$B100&amp;$C100,'2026'!$O:$O,M$4)</f>
        <v>0</v>
      </c>
      <c r="N100" s="42">
        <f>SUMIFS('2026'!$L:$L,'2026'!$J:$J,$B100&amp;$C100,'2026'!$O:$O,N$4)</f>
        <v>0</v>
      </c>
      <c r="O100" s="42">
        <f>SUMIFS('2026'!$L:$L,'2026'!$J:$J,$B100&amp;$C100,'2026'!$O:$O,O$4)</f>
        <v>0</v>
      </c>
      <c r="P100" s="61">
        <f t="shared" si="49"/>
        <v>0</v>
      </c>
      <c r="Q100" s="627">
        <v>0</v>
      </c>
      <c r="R100" s="8">
        <f t="shared" si="50"/>
        <v>0</v>
      </c>
      <c r="S100" s="9" t="str">
        <f t="shared" si="48"/>
        <v/>
      </c>
      <c r="T100" s="75"/>
      <c r="U100" s="61">
        <v>1986</v>
      </c>
    </row>
    <row r="101" spans="1:21">
      <c r="A101" s="2" t="s">
        <v>23</v>
      </c>
      <c r="B101" s="36">
        <v>3910</v>
      </c>
      <c r="C101" s="36" t="s">
        <v>23</v>
      </c>
      <c r="D101" s="42">
        <f>SUMIFS('2026'!$L:$L,'2026'!$J:$J,$B101&amp;$C101,'2026'!$O:$O,D$4)</f>
        <v>0</v>
      </c>
      <c r="E101" s="42">
        <f>SUMIFS('2026'!$L:$L,'2026'!$J:$J,$B101&amp;$C101,'2026'!$O:$O,E$4)</f>
        <v>0</v>
      </c>
      <c r="F101" s="42">
        <f>SUMIFS('2026'!$L:$L,'2026'!$J:$J,$B101&amp;$C101,'2026'!$O:$O,F$4)</f>
        <v>0</v>
      </c>
      <c r="G101" s="42">
        <f>SUMIFS('2026'!$L:$L,'2026'!$J:$J,$B101&amp;$C101,'2026'!$O:$O,G$4)</f>
        <v>22560</v>
      </c>
      <c r="H101" s="42">
        <f>SUMIFS('2026'!$L:$L,'2026'!$J:$J,$B101&amp;$C101,'2026'!$O:$O,H$4)</f>
        <v>78960</v>
      </c>
      <c r="I101" s="42">
        <f>SUMIFS('2026'!$L:$L,'2026'!$J:$J,$B101&amp;$C101,'2026'!$O:$O,I$4)</f>
        <v>214320</v>
      </c>
      <c r="J101" s="42">
        <f>SUMIFS('2026'!$L:$L,'2026'!$J:$J,$B101&amp;$C101,'2026'!$O:$O,J$4)</f>
        <v>180480</v>
      </c>
      <c r="K101" s="42">
        <f>SUMIFS('2026'!$L:$L,'2026'!$J:$J,$B101&amp;$C101,'2026'!$O:$O,K$4)</f>
        <v>0</v>
      </c>
      <c r="L101" s="42">
        <f>SUMIFS('2026'!$L:$L,'2026'!$J:$J,$B101&amp;$C101,'2026'!$O:$O,L$4)</f>
        <v>0</v>
      </c>
      <c r="M101" s="42">
        <f>SUMIFS('2026'!$L:$L,'2026'!$J:$J,$B101&amp;$C101,'2026'!$O:$O,M$4)</f>
        <v>0</v>
      </c>
      <c r="N101" s="42">
        <f>SUMIFS('2026'!$L:$L,'2026'!$J:$J,$B101&amp;$C101,'2026'!$O:$O,N$4)</f>
        <v>0</v>
      </c>
      <c r="O101" s="42">
        <f>SUMIFS('2026'!$L:$L,'2026'!$J:$J,$B101&amp;$C101,'2026'!$O:$O,O$4)</f>
        <v>0</v>
      </c>
      <c r="P101" s="61">
        <f t="shared" si="49"/>
        <v>496320</v>
      </c>
      <c r="Q101" s="627">
        <v>450000</v>
      </c>
      <c r="R101" s="8">
        <f t="shared" si="50"/>
        <v>46320</v>
      </c>
      <c r="S101" s="9">
        <f t="shared" si="48"/>
        <v>0.10293333333333334</v>
      </c>
      <c r="T101" s="75"/>
      <c r="U101" s="61">
        <v>0</v>
      </c>
    </row>
    <row r="102" spans="1:21">
      <c r="A102" s="2" t="s">
        <v>33</v>
      </c>
      <c r="B102" s="36">
        <v>3910</v>
      </c>
      <c r="C102" s="36" t="s">
        <v>33</v>
      </c>
      <c r="D102" s="42">
        <f>SUMIFS('2026'!$L:$L,'2026'!$J:$J,$B102&amp;$C102,'2026'!$O:$O,D$4)</f>
        <v>54639</v>
      </c>
      <c r="E102" s="42">
        <f>SUMIFS('2026'!$L:$L,'2026'!$J:$J,$B102&amp;$C102,'2026'!$O:$O,E$4)</f>
        <v>15444</v>
      </c>
      <c r="F102" s="42">
        <f>SUMIFS('2026'!$L:$L,'2026'!$J:$J,$B102&amp;$C102,'2026'!$O:$O,F$4)</f>
        <v>0</v>
      </c>
      <c r="G102" s="42">
        <f>SUMIFS('2026'!$L:$L,'2026'!$J:$J,$B102&amp;$C102,'2026'!$O:$O,G$4)</f>
        <v>16024.32</v>
      </c>
      <c r="H102" s="42">
        <f>SUMIFS('2026'!$L:$L,'2026'!$J:$J,$B102&amp;$C102,'2026'!$O:$O,H$4)</f>
        <v>0</v>
      </c>
      <c r="I102" s="42">
        <f>SUMIFS('2026'!$L:$L,'2026'!$J:$J,$B102&amp;$C102,'2026'!$O:$O,I$4)</f>
        <v>36979.199999999997</v>
      </c>
      <c r="J102" s="42">
        <f>SUMIFS('2026'!$L:$L,'2026'!$J:$J,$B102&amp;$C102,'2026'!$O:$O,J$4)</f>
        <v>0</v>
      </c>
      <c r="K102" s="42">
        <f>SUMIFS('2026'!$L:$L,'2026'!$J:$J,$B102&amp;$C102,'2026'!$O:$O,K$4)</f>
        <v>18489.599999999999</v>
      </c>
      <c r="L102" s="42">
        <f>SUMIFS('2026'!$L:$L,'2026'!$J:$J,$B102&amp;$C102,'2026'!$O:$O,L$4)</f>
        <v>18489.599999999999</v>
      </c>
      <c r="M102" s="42">
        <f>SUMIFS('2026'!$L:$L,'2026'!$J:$J,$B102&amp;$C102,'2026'!$O:$O,M$4)</f>
        <v>18489.599999999999</v>
      </c>
      <c r="N102" s="42">
        <f>SUMIFS('2026'!$L:$L,'2026'!$J:$J,$B102&amp;$C102,'2026'!$O:$O,N$4)</f>
        <v>18489.599999999999</v>
      </c>
      <c r="O102" s="42">
        <f>SUMIFS('2026'!$L:$L,'2026'!$J:$J,$B102&amp;$C102,'2026'!$O:$O,O$4)</f>
        <v>0</v>
      </c>
      <c r="P102" s="61">
        <f>SUM(D102:O102)</f>
        <v>197044.92</v>
      </c>
      <c r="Q102" s="627">
        <v>120083</v>
      </c>
      <c r="R102" s="8">
        <f t="shared" si="50"/>
        <v>76961.920000000013</v>
      </c>
      <c r="S102" s="9">
        <f t="shared" si="48"/>
        <v>0.64090603998900775</v>
      </c>
      <c r="T102" s="75" t="s">
        <v>130</v>
      </c>
      <c r="U102" s="61">
        <v>338227</v>
      </c>
    </row>
    <row r="103" spans="1:21">
      <c r="A103" s="2" t="s">
        <v>37</v>
      </c>
      <c r="B103" s="36">
        <v>3910</v>
      </c>
      <c r="C103" s="36" t="s">
        <v>37</v>
      </c>
      <c r="D103" s="42">
        <f>SUMIFS('2026'!$L:$L,'2026'!$J:$J,$B103&amp;$C103,'2026'!$O:$O,D$4)</f>
        <v>0</v>
      </c>
      <c r="E103" s="42">
        <f>SUMIFS('2026'!$L:$L,'2026'!$J:$J,$B103&amp;$C103,'2026'!$O:$O,E$4)</f>
        <v>0</v>
      </c>
      <c r="F103" s="42">
        <f>SUMIFS('2026'!$L:$L,'2026'!$J:$J,$B103&amp;$C103,'2026'!$O:$O,F$4)</f>
        <v>0</v>
      </c>
      <c r="G103" s="42">
        <f>SUMIFS('2026'!$L:$L,'2026'!$J:$J,$B103&amp;$C103,'2026'!$O:$O,G$4)</f>
        <v>0</v>
      </c>
      <c r="H103" s="42">
        <f>SUMIFS('2026'!$L:$L,'2026'!$J:$J,$B103&amp;$C103,'2026'!$O:$O,H$4)</f>
        <v>0</v>
      </c>
      <c r="I103" s="42">
        <f>SUMIFS('2026'!$L:$L,'2026'!$J:$J,$B103&amp;$C103,'2026'!$O:$O,I$4)</f>
        <v>0</v>
      </c>
      <c r="J103" s="42">
        <f>SUMIFS('2026'!$L:$L,'2026'!$J:$J,$B103&amp;$C103,'2026'!$O:$O,J$4)</f>
        <v>0</v>
      </c>
      <c r="K103" s="42">
        <f>SUMIFS('2026'!$L:$L,'2026'!$J:$J,$B103&amp;$C103,'2026'!$O:$O,K$4)</f>
        <v>0</v>
      </c>
      <c r="L103" s="42">
        <f>SUMIFS('2026'!$L:$L,'2026'!$J:$J,$B103&amp;$C103,'2026'!$O:$O,L$4)</f>
        <v>0</v>
      </c>
      <c r="M103" s="42">
        <f>SUMIFS('2026'!$L:$L,'2026'!$J:$J,$B103&amp;$C103,'2026'!$O:$O,M$4)</f>
        <v>0</v>
      </c>
      <c r="N103" s="42">
        <f>SUMIFS('2026'!$L:$L,'2026'!$J:$J,$B103&amp;$C103,'2026'!$O:$O,N$4)</f>
        <v>0</v>
      </c>
      <c r="O103" s="42">
        <f>SUMIFS('2026'!$L:$L,'2026'!$J:$J,$B103&amp;$C103,'2026'!$O:$O,O$4)</f>
        <v>0</v>
      </c>
      <c r="P103" s="61">
        <f t="shared" si="49"/>
        <v>0</v>
      </c>
      <c r="Q103" s="627">
        <v>0</v>
      </c>
      <c r="R103" s="8">
        <f t="shared" si="50"/>
        <v>0</v>
      </c>
      <c r="S103" s="9" t="str">
        <f t="shared" si="48"/>
        <v/>
      </c>
      <c r="T103" s="75"/>
      <c r="U103" s="61">
        <v>0</v>
      </c>
    </row>
    <row r="104" spans="1:21">
      <c r="A104" s="2" t="s">
        <v>39</v>
      </c>
      <c r="B104" s="36">
        <v>3910</v>
      </c>
      <c r="C104" s="36" t="s">
        <v>39</v>
      </c>
      <c r="D104" s="42">
        <f>SUMIFS('2026'!$L:$L,'2026'!$J:$J,$B104&amp;$C104,'2026'!$O:$O,D$4)</f>
        <v>0</v>
      </c>
      <c r="E104" s="42">
        <f>SUMIFS('2026'!$L:$L,'2026'!$J:$J,$B104&amp;$C104,'2026'!$O:$O,E$4)</f>
        <v>0</v>
      </c>
      <c r="F104" s="42">
        <f>SUMIFS('2026'!$L:$L,'2026'!$J:$J,$B104&amp;$C104,'2026'!$O:$O,F$4)</f>
        <v>0</v>
      </c>
      <c r="G104" s="42">
        <f>SUMIFS('2026'!$L:$L,'2026'!$J:$J,$B104&amp;$C104,'2026'!$O:$O,G$4)</f>
        <v>0</v>
      </c>
      <c r="H104" s="42">
        <f>SUMIFS('2026'!$L:$L,'2026'!$J:$J,$B104&amp;$C104,'2026'!$O:$O,H$4)</f>
        <v>0</v>
      </c>
      <c r="I104" s="42">
        <f>SUMIFS('2026'!$L:$L,'2026'!$J:$J,$B104&amp;$C104,'2026'!$O:$O,I$4)</f>
        <v>0</v>
      </c>
      <c r="J104" s="42">
        <f>SUMIFS('2026'!$L:$L,'2026'!$J:$J,$B104&amp;$C104,'2026'!$O:$O,J$4)</f>
        <v>0</v>
      </c>
      <c r="K104" s="42">
        <f>SUMIFS('2026'!$L:$L,'2026'!$J:$J,$B104&amp;$C104,'2026'!$O:$O,K$4)</f>
        <v>0</v>
      </c>
      <c r="L104" s="42">
        <f>SUMIFS('2026'!$L:$L,'2026'!$J:$J,$B104&amp;$C104,'2026'!$O:$O,L$4)</f>
        <v>0</v>
      </c>
      <c r="M104" s="42">
        <f>SUMIFS('2026'!$L:$L,'2026'!$J:$J,$B104&amp;$C104,'2026'!$O:$O,M$4)</f>
        <v>0</v>
      </c>
      <c r="N104" s="42">
        <f>SUMIFS('2026'!$L:$L,'2026'!$J:$J,$B104&amp;$C104,'2026'!$O:$O,N$4)</f>
        <v>0</v>
      </c>
      <c r="O104" s="42">
        <f>SUMIFS('2026'!$L:$L,'2026'!$J:$J,$B104&amp;$C104,'2026'!$O:$O,O$4)</f>
        <v>0</v>
      </c>
      <c r="P104" s="61">
        <f t="shared" si="49"/>
        <v>0</v>
      </c>
      <c r="Q104" s="627">
        <v>0</v>
      </c>
      <c r="R104" s="8">
        <f t="shared" si="50"/>
        <v>0</v>
      </c>
      <c r="S104" s="9" t="str">
        <f t="shared" si="48"/>
        <v/>
      </c>
      <c r="T104" s="75"/>
      <c r="U104" s="61">
        <v>0</v>
      </c>
    </row>
    <row r="105" spans="1:21">
      <c r="A105" s="2" t="s">
        <v>32</v>
      </c>
      <c r="B105" s="36">
        <v>3910</v>
      </c>
      <c r="C105" s="36" t="s">
        <v>32</v>
      </c>
      <c r="D105" s="42">
        <f>SUMIFS('2026'!$L:$L,'2026'!$J:$J,$B105&amp;$C105,'2026'!$O:$O,D$4)</f>
        <v>0</v>
      </c>
      <c r="E105" s="42">
        <f>SUMIFS('2026'!$L:$L,'2026'!$J:$J,$B105&amp;$C105,'2026'!$O:$O,E$4)</f>
        <v>9618</v>
      </c>
      <c r="F105" s="42">
        <f>SUMIFS('2026'!$L:$L,'2026'!$J:$J,$B105&amp;$C105,'2026'!$O:$O,F$4)</f>
        <v>240</v>
      </c>
      <c r="G105" s="42">
        <f>SUMIFS('2026'!$L:$L,'2026'!$J:$J,$B105&amp;$C105,'2026'!$O:$O,G$4)</f>
        <v>18662.399999999998</v>
      </c>
      <c r="H105" s="42">
        <f>SUMIFS('2026'!$L:$L,'2026'!$J:$J,$B105&amp;$C105,'2026'!$O:$O,H$4)</f>
        <v>41472</v>
      </c>
      <c r="I105" s="42">
        <f>SUMIFS('2026'!$L:$L,'2026'!$J:$J,$B105&amp;$C105,'2026'!$O:$O,I$4)</f>
        <v>121472</v>
      </c>
      <c r="J105" s="42">
        <f>SUMIFS('2026'!$L:$L,'2026'!$J:$J,$B105&amp;$C105,'2026'!$O:$O,J$4)</f>
        <v>142208</v>
      </c>
      <c r="K105" s="42">
        <f>SUMIFS('2026'!$L:$L,'2026'!$J:$J,$B105&amp;$C105,'2026'!$O:$O,K$4)</f>
        <v>122208</v>
      </c>
      <c r="L105" s="42">
        <f>SUMIFS('2026'!$L:$L,'2026'!$J:$J,$B105&amp;$C105,'2026'!$O:$O,L$4)</f>
        <v>61472</v>
      </c>
      <c r="M105" s="42">
        <f>SUMIFS('2026'!$L:$L,'2026'!$J:$J,$B105&amp;$C105,'2026'!$O:$O,M$4)</f>
        <v>40736</v>
      </c>
      <c r="N105" s="42">
        <f>SUMIFS('2026'!$L:$L,'2026'!$J:$J,$B105&amp;$C105,'2026'!$O:$O,N$4)</f>
        <v>102208</v>
      </c>
      <c r="O105" s="42">
        <f>SUMIFS('2026'!$L:$L,'2026'!$J:$J,$B105&amp;$C105,'2026'!$O:$O,O$4)</f>
        <v>20000</v>
      </c>
      <c r="P105" s="61">
        <f t="shared" si="49"/>
        <v>680296.4</v>
      </c>
      <c r="Q105" s="627">
        <v>480000</v>
      </c>
      <c r="R105" s="8">
        <f t="shared" si="50"/>
        <v>200296.40000000002</v>
      </c>
      <c r="S105" s="9">
        <f t="shared" si="48"/>
        <v>0.41728416666666673</v>
      </c>
      <c r="T105" s="75" t="s">
        <v>131</v>
      </c>
      <c r="U105" s="61">
        <v>0</v>
      </c>
    </row>
    <row r="106" spans="1:21">
      <c r="A106" s="2" t="s">
        <v>37</v>
      </c>
      <c r="B106" s="36" t="s">
        <v>132</v>
      </c>
      <c r="C106" s="36" t="s">
        <v>37</v>
      </c>
      <c r="D106" s="42">
        <f>SUMIFS('2026'!$L:$L,'2026'!$J:$J,$B106&amp;$C106,'2026'!$O:$O,D$4)</f>
        <v>0</v>
      </c>
      <c r="E106" s="42">
        <f>SUMIFS('2026'!$L:$L,'2026'!$J:$J,$B106&amp;$C106,'2026'!$O:$O,E$4)</f>
        <v>0</v>
      </c>
      <c r="F106" s="42">
        <f>SUMIFS('2026'!$L:$L,'2026'!$J:$J,$B106&amp;$C106,'2026'!$O:$O,F$4)</f>
        <v>0</v>
      </c>
      <c r="G106" s="42">
        <f>SUMIFS('2026'!$L:$L,'2026'!$J:$J,$B106&amp;$C106,'2026'!$O:$O,G$4)</f>
        <v>0</v>
      </c>
      <c r="H106" s="42">
        <f>SUMIFS('2026'!$L:$L,'2026'!$J:$J,$B106&amp;$C106,'2026'!$O:$O,H$4)</f>
        <v>146880</v>
      </c>
      <c r="I106" s="42">
        <f>SUMIFS('2026'!$L:$L,'2026'!$J:$J,$B106&amp;$C106,'2026'!$O:$O,I$4)</f>
        <v>0</v>
      </c>
      <c r="J106" s="42">
        <f>SUMIFS('2026'!$L:$L,'2026'!$J:$J,$B106&amp;$C106,'2026'!$O:$O,J$4)</f>
        <v>0</v>
      </c>
      <c r="K106" s="42">
        <f>SUMIFS('2026'!$L:$L,'2026'!$J:$J,$B106&amp;$C106,'2026'!$O:$O,K$4)</f>
        <v>0</v>
      </c>
      <c r="L106" s="42">
        <f>SUMIFS('2026'!$L:$L,'2026'!$J:$J,$B106&amp;$C106,'2026'!$O:$O,L$4)</f>
        <v>0</v>
      </c>
      <c r="M106" s="42">
        <f>SUMIFS('2026'!$L:$L,'2026'!$J:$J,$B106&amp;$C106,'2026'!$O:$O,M$4)</f>
        <v>0</v>
      </c>
      <c r="N106" s="42">
        <f>SUMIFS('2026'!$L:$L,'2026'!$J:$J,$B106&amp;$C106,'2026'!$O:$O,N$4)</f>
        <v>0</v>
      </c>
      <c r="O106" s="42">
        <f>SUMIFS('2026'!$L:$L,'2026'!$J:$J,$B106&amp;$C106,'2026'!$O:$O,O$4)</f>
        <v>0</v>
      </c>
      <c r="P106" s="61">
        <f t="shared" si="49"/>
        <v>146880</v>
      </c>
      <c r="Q106" s="627">
        <v>146880</v>
      </c>
      <c r="R106" s="8">
        <f t="shared" si="50"/>
        <v>0</v>
      </c>
      <c r="S106" s="9">
        <f t="shared" si="48"/>
        <v>0</v>
      </c>
      <c r="T106" s="75"/>
      <c r="U106" s="61">
        <v>113399</v>
      </c>
    </row>
    <row r="107" spans="1:21">
      <c r="A107" s="2" t="s">
        <v>29</v>
      </c>
      <c r="B107" s="36">
        <v>3910</v>
      </c>
      <c r="C107" s="36" t="s">
        <v>29</v>
      </c>
      <c r="D107" s="42">
        <f>SUMIFS('2026'!$L:$L,'2026'!$J:$J,$B107&amp;$C107,'2026'!$O:$O,D$4)</f>
        <v>0</v>
      </c>
      <c r="E107" s="42">
        <f>SUMIFS('2026'!$L:$L,'2026'!$J:$J,$B107&amp;$C107,'2026'!$O:$O,E$4)</f>
        <v>0</v>
      </c>
      <c r="F107" s="42">
        <f>SUMIFS('2026'!$L:$L,'2026'!$J:$J,$B107&amp;$C107,'2026'!$O:$O,F$4)</f>
        <v>0</v>
      </c>
      <c r="G107" s="42">
        <f>SUMIFS('2026'!$L:$L,'2026'!$J:$J,$B107&amp;$C107,'2026'!$O:$O,G$4)</f>
        <v>0</v>
      </c>
      <c r="H107" s="42">
        <f>SUMIFS('2026'!$L:$L,'2026'!$J:$J,$B107&amp;$C107,'2026'!$O:$O,H$4)</f>
        <v>0</v>
      </c>
      <c r="I107" s="42">
        <f>SUMIFS('2026'!$L:$L,'2026'!$J:$J,$B107&amp;$C107,'2026'!$O:$O,I$4)</f>
        <v>0</v>
      </c>
      <c r="J107" s="42">
        <f>SUMIFS('2026'!$L:$L,'2026'!$J:$J,$B107&amp;$C107,'2026'!$O:$O,J$4)</f>
        <v>0</v>
      </c>
      <c r="K107" s="42">
        <f>SUMIFS('2026'!$L:$L,'2026'!$J:$J,$B107&amp;$C107,'2026'!$O:$O,K$4)</f>
        <v>0</v>
      </c>
      <c r="L107" s="42">
        <f>SUMIFS('2026'!$L:$L,'2026'!$J:$J,$B107&amp;$C107,'2026'!$O:$O,L$4)</f>
        <v>0</v>
      </c>
      <c r="M107" s="42">
        <f>SUMIFS('2026'!$L:$L,'2026'!$J:$J,$B107&amp;$C107,'2026'!$O:$O,M$4)</f>
        <v>0</v>
      </c>
      <c r="N107" s="42">
        <f>SUMIFS('2026'!$L:$L,'2026'!$J:$J,$B107&amp;$C107,'2026'!$O:$O,N$4)</f>
        <v>0</v>
      </c>
      <c r="O107" s="42">
        <f>SUMIFS('2026'!$L:$L,'2026'!$J:$J,$B107&amp;$C107,'2026'!$O:$O,O$4)</f>
        <v>0</v>
      </c>
      <c r="P107" s="61">
        <f t="shared" si="49"/>
        <v>0</v>
      </c>
      <c r="Q107" s="627">
        <v>0</v>
      </c>
      <c r="R107" s="8">
        <f t="shared" si="50"/>
        <v>0</v>
      </c>
      <c r="S107" s="9" t="str">
        <f t="shared" si="48"/>
        <v/>
      </c>
      <c r="T107" s="75"/>
      <c r="U107" s="61">
        <v>115851</v>
      </c>
    </row>
    <row r="108" spans="1:21">
      <c r="A108" s="2" t="s">
        <v>39</v>
      </c>
      <c r="B108" s="36" t="s">
        <v>133</v>
      </c>
      <c r="C108" s="36" t="s">
        <v>39</v>
      </c>
      <c r="D108" s="42">
        <f>SUMIFS('2026'!$L:$L,'2026'!$J:$J,$B108&amp;$C108,'2026'!$O:$O,D$4)</f>
        <v>257396</v>
      </c>
      <c r="E108" s="42">
        <f>SUMIFS('2026'!$L:$L,'2026'!$J:$J,$B108&amp;$C108,'2026'!$O:$O,E$4)</f>
        <v>129090</v>
      </c>
      <c r="F108" s="42">
        <f>SUMIFS('2026'!$L:$L,'2026'!$J:$J,$B108&amp;$C108,'2026'!$O:$O,F$4)</f>
        <v>208000</v>
      </c>
      <c r="G108" s="42">
        <f>SUMIFS('2026'!$L:$L,'2026'!$J:$J,$B108&amp;$C108,'2026'!$O:$O,G$4)</f>
        <v>194688</v>
      </c>
      <c r="H108" s="42">
        <f>SUMIFS('2026'!$L:$L,'2026'!$J:$J,$B108&amp;$C108,'2026'!$O:$O,H$4)</f>
        <v>240881.28</v>
      </c>
      <c r="I108" s="42">
        <f>SUMIFS('2026'!$L:$L,'2026'!$J:$J,$B108&amp;$C108,'2026'!$O:$O,I$4)</f>
        <v>241363.20000000001</v>
      </c>
      <c r="J108" s="42">
        <f>SUMIFS('2026'!$L:$L,'2026'!$J:$J,$B108&amp;$C108,'2026'!$O:$O,J$4)</f>
        <v>217366.75700090337</v>
      </c>
      <c r="K108" s="42">
        <f>SUMIFS('2026'!$L:$L,'2026'!$J:$J,$B108&amp;$C108,'2026'!$O:$O,K$4)</f>
        <v>225129.85546522131</v>
      </c>
      <c r="L108" s="42">
        <f>SUMIFS('2026'!$L:$L,'2026'!$J:$J,$B108&amp;$C108,'2026'!$O:$O,L$4)</f>
        <v>217366.75700090337</v>
      </c>
      <c r="M108" s="42">
        <f>SUMIFS('2026'!$L:$L,'2026'!$J:$J,$B108&amp;$C108,'2026'!$O:$O,M$4)</f>
        <v>232892.9539295393</v>
      </c>
      <c r="N108" s="42">
        <f>SUMIFS('2026'!$L:$L,'2026'!$J:$J,$B108&amp;$C108,'2026'!$O:$O,N$4)</f>
        <v>0</v>
      </c>
      <c r="O108" s="42">
        <f>SUMIFS('2026'!$L:$L,'2026'!$J:$J,$B108&amp;$C108,'2026'!$O:$O,O$4)</f>
        <v>0</v>
      </c>
      <c r="P108" s="61">
        <f t="shared" si="49"/>
        <v>2164174.8033965672</v>
      </c>
      <c r="Q108" s="627">
        <v>2065553.5389340559</v>
      </c>
      <c r="R108" s="8">
        <f t="shared" si="50"/>
        <v>98621.264462511288</v>
      </c>
      <c r="S108" s="9">
        <f t="shared" si="48"/>
        <v>4.7745682986946696E-2</v>
      </c>
      <c r="T108" s="78"/>
      <c r="U108" s="61">
        <v>3262392</v>
      </c>
    </row>
    <row r="109" spans="1:21">
      <c r="A109" s="2" t="s">
        <v>34</v>
      </c>
      <c r="B109" s="36" t="s">
        <v>133</v>
      </c>
      <c r="C109" s="36" t="s">
        <v>34</v>
      </c>
      <c r="D109" s="42">
        <f>SUMIFS('2026'!$L:$L,'2026'!$J:$J,$B109&amp;$C109,'2026'!$O:$O,D$4)</f>
        <v>0</v>
      </c>
      <c r="E109" s="42">
        <f>SUMIFS('2026'!$L:$L,'2026'!$J:$J,$B109&amp;$C109,'2026'!$O:$O,E$4)</f>
        <v>0</v>
      </c>
      <c r="F109" s="42">
        <f>SUMIFS('2026'!$L:$L,'2026'!$J:$J,$B109&amp;$C109,'2026'!$O:$O,F$4)</f>
        <v>0</v>
      </c>
      <c r="G109" s="42">
        <f>SUMIFS('2026'!$L:$L,'2026'!$J:$J,$B109&amp;$C109,'2026'!$O:$O,G$4)</f>
        <v>0</v>
      </c>
      <c r="H109" s="42">
        <f>SUMIFS('2026'!$L:$L,'2026'!$J:$J,$B109&amp;$C109,'2026'!$O:$O,H$4)</f>
        <v>0</v>
      </c>
      <c r="I109" s="42">
        <f>SUMIFS('2026'!$L:$L,'2026'!$J:$J,$B109&amp;$C109,'2026'!$O:$O,I$4)</f>
        <v>0</v>
      </c>
      <c r="J109" s="42">
        <f>SUMIFS('2026'!$L:$L,'2026'!$J:$J,$B109&amp;$C109,'2026'!$O:$O,J$4)</f>
        <v>0</v>
      </c>
      <c r="K109" s="42">
        <f>SUMIFS('2026'!$L:$L,'2026'!$J:$J,$B109&amp;$C109,'2026'!$O:$O,K$4)</f>
        <v>0</v>
      </c>
      <c r="L109" s="42">
        <f>SUMIFS('2026'!$L:$L,'2026'!$J:$J,$B109&amp;$C109,'2026'!$O:$O,L$4)</f>
        <v>0</v>
      </c>
      <c r="M109" s="42">
        <f>SUMIFS('2026'!$L:$L,'2026'!$J:$J,$B109&amp;$C109,'2026'!$O:$O,M$4)</f>
        <v>0</v>
      </c>
      <c r="N109" s="42">
        <f>SUMIFS('2026'!$L:$L,'2026'!$J:$J,$B109&amp;$C109,'2026'!$O:$O,N$4)</f>
        <v>0</v>
      </c>
      <c r="O109" s="42">
        <f>SUMIFS('2026'!$L:$L,'2026'!$J:$J,$B109&amp;$C109,'2026'!$O:$O,O$4)</f>
        <v>0</v>
      </c>
      <c r="P109" s="61">
        <f t="shared" si="49"/>
        <v>0</v>
      </c>
      <c r="Q109" s="627">
        <v>0</v>
      </c>
      <c r="R109" s="8">
        <f t="shared" si="50"/>
        <v>0</v>
      </c>
      <c r="S109" s="9" t="str">
        <f t="shared" si="48"/>
        <v/>
      </c>
      <c r="T109" s="78"/>
      <c r="U109" s="61">
        <v>276924</v>
      </c>
    </row>
    <row r="110" spans="1:21">
      <c r="A110" s="2" t="s">
        <v>38</v>
      </c>
      <c r="B110" s="36" t="s">
        <v>133</v>
      </c>
      <c r="C110" s="36" t="s">
        <v>38</v>
      </c>
      <c r="D110" s="42">
        <f>SUMIFS('2026'!$L:$L,'2026'!$J:$J,$B110&amp;$C110,'2026'!$O:$O,D$4)</f>
        <v>0</v>
      </c>
      <c r="E110" s="42">
        <f>SUMIFS('2026'!$L:$L,'2026'!$J:$J,$B110&amp;$C110,'2026'!$O:$O,E$4)</f>
        <v>0</v>
      </c>
      <c r="F110" s="42">
        <f>SUMIFS('2026'!$L:$L,'2026'!$J:$J,$B110&amp;$C110,'2026'!$O:$O,F$4)</f>
        <v>23120</v>
      </c>
      <c r="G110" s="42">
        <f>SUMIFS('2026'!$L:$L,'2026'!$J:$J,$B110&amp;$C110,'2026'!$O:$O,G$4)</f>
        <v>3264</v>
      </c>
      <c r="H110" s="42">
        <f>SUMIFS('2026'!$L:$L,'2026'!$J:$J,$B110&amp;$C110,'2026'!$O:$O,H$4)</f>
        <v>27903.360000000001</v>
      </c>
      <c r="I110" s="42">
        <f>SUMIFS('2026'!$L:$L,'2026'!$J:$J,$B110&amp;$C110,'2026'!$O:$O,I$4)</f>
        <v>39168</v>
      </c>
      <c r="J110" s="42">
        <f>SUMIFS('2026'!$L:$L,'2026'!$J:$J,$B110&amp;$C110,'2026'!$O:$O,J$4)</f>
        <v>0</v>
      </c>
      <c r="K110" s="42">
        <f>SUMIFS('2026'!$L:$L,'2026'!$J:$J,$B110&amp;$C110,'2026'!$O:$O,K$4)</f>
        <v>0</v>
      </c>
      <c r="L110" s="42">
        <f>SUMIFS('2026'!$L:$L,'2026'!$J:$J,$B110&amp;$C110,'2026'!$O:$O,L$4)</f>
        <v>0</v>
      </c>
      <c r="M110" s="42">
        <f>SUMIFS('2026'!$L:$L,'2026'!$J:$J,$B110&amp;$C110,'2026'!$O:$O,M$4)</f>
        <v>0</v>
      </c>
      <c r="N110" s="42">
        <f>SUMIFS('2026'!$L:$L,'2026'!$J:$J,$B110&amp;$C110,'2026'!$O:$O,N$4)</f>
        <v>0</v>
      </c>
      <c r="O110" s="42">
        <f>SUMIFS('2026'!$L:$L,'2026'!$J:$J,$B110&amp;$C110,'2026'!$O:$O,O$4)</f>
        <v>0</v>
      </c>
      <c r="P110" s="61">
        <f t="shared" si="49"/>
        <v>93455.360000000001</v>
      </c>
      <c r="Q110" s="627">
        <v>193281.6</v>
      </c>
      <c r="R110" s="8">
        <f t="shared" si="50"/>
        <v>-99826.240000000005</v>
      </c>
      <c r="S110" s="9">
        <f t="shared" si="48"/>
        <v>-0.51648082383423977</v>
      </c>
      <c r="T110" s="78"/>
      <c r="U110" s="61">
        <v>0</v>
      </c>
    </row>
    <row r="111" spans="1:21">
      <c r="A111" s="2" t="s">
        <v>38</v>
      </c>
      <c r="B111" s="36" t="s">
        <v>139</v>
      </c>
      <c r="C111" s="36" t="s">
        <v>38</v>
      </c>
      <c r="D111" s="42">
        <f>SUMIFS('2026'!$L:$L,'2026'!$J:$J,$B111&amp;$C111,'2026'!$O:$O,D$4)</f>
        <v>0</v>
      </c>
      <c r="E111" s="42">
        <f>SUMIFS('2026'!$L:$L,'2026'!$J:$J,$B111&amp;$C111,'2026'!$O:$O,E$4)</f>
        <v>0</v>
      </c>
      <c r="F111" s="42">
        <f>SUMIFS('2026'!$L:$L,'2026'!$J:$J,$B111&amp;$C111,'2026'!$O:$O,F$4)</f>
        <v>8390.4</v>
      </c>
      <c r="G111" s="42">
        <f>SUMIFS('2026'!$L:$L,'2026'!$J:$J,$B111&amp;$C111,'2026'!$O:$O,G$4)</f>
        <v>59991.359999999993</v>
      </c>
      <c r="H111" s="42">
        <f>SUMIFS('2026'!$L:$L,'2026'!$J:$J,$B111&amp;$C111,'2026'!$O:$O,H$4)</f>
        <v>35051.519999999997</v>
      </c>
      <c r="I111" s="42">
        <f>SUMIFS('2026'!$L:$L,'2026'!$J:$J,$B111&amp;$C111,'2026'!$O:$O,I$4)</f>
        <v>0</v>
      </c>
      <c r="J111" s="42">
        <f>SUMIFS('2026'!$L:$L,'2026'!$J:$J,$B111&amp;$C111,'2026'!$O:$O,J$4)</f>
        <v>0</v>
      </c>
      <c r="K111" s="42">
        <f>SUMIFS('2026'!$L:$L,'2026'!$J:$J,$B111&amp;$C111,'2026'!$O:$O,K$4)</f>
        <v>0</v>
      </c>
      <c r="L111" s="42">
        <f>SUMIFS('2026'!$L:$L,'2026'!$J:$J,$B111&amp;$C111,'2026'!$O:$O,L$4)</f>
        <v>0</v>
      </c>
      <c r="M111" s="42">
        <f>SUMIFS('2026'!$L:$L,'2026'!$J:$J,$B111&amp;$C111,'2026'!$O:$O,M$4)</f>
        <v>0</v>
      </c>
      <c r="N111" s="42">
        <f>SUMIFS('2026'!$L:$L,'2026'!$J:$J,$B111&amp;$C111,'2026'!$O:$O,N$4)</f>
        <v>0</v>
      </c>
      <c r="O111" s="42">
        <f>SUMIFS('2026'!$L:$L,'2026'!$J:$J,$B111&amp;$C111,'2026'!$O:$O,O$4)</f>
        <v>0</v>
      </c>
      <c r="P111" s="61">
        <f t="shared" si="49"/>
        <v>103433.28</v>
      </c>
      <c r="Q111" s="627">
        <v>52345.919999999998</v>
      </c>
      <c r="R111" s="8">
        <f t="shared" si="50"/>
        <v>51087.360000000001</v>
      </c>
      <c r="S111" s="9">
        <f t="shared" si="48"/>
        <v>0.97595686540612914</v>
      </c>
      <c r="T111" s="75"/>
      <c r="U111" s="61">
        <v>0</v>
      </c>
    </row>
    <row r="112" spans="1:21">
      <c r="A112" s="2" t="s">
        <v>38</v>
      </c>
      <c r="B112" s="36" t="s">
        <v>136</v>
      </c>
      <c r="C112" s="36" t="s">
        <v>135</v>
      </c>
      <c r="D112" s="42">
        <f>SUMIFS('2026'!$L:$L,'2026'!$J:$J,$B112&amp;$C112,'2026'!$O:$O,D$4)</f>
        <v>0</v>
      </c>
      <c r="E112" s="42">
        <f>SUMIFS('2026'!$L:$L,'2026'!$J:$J,$B112&amp;$C112,'2026'!$O:$O,E$4)</f>
        <v>0</v>
      </c>
      <c r="F112" s="42">
        <f>SUMIFS('2026'!$L:$L,'2026'!$J:$J,$B112&amp;$C112,'2026'!$O:$O,F$4)</f>
        <v>0</v>
      </c>
      <c r="G112" s="42">
        <f>SUMIFS('2026'!$L:$L,'2026'!$J:$J,$B112&amp;$C112,'2026'!$O:$O,G$4)</f>
        <v>0</v>
      </c>
      <c r="H112" s="42">
        <f>SUMIFS('2026'!$L:$L,'2026'!$J:$J,$B112&amp;$C112,'2026'!$O:$O,H$4)</f>
        <v>0</v>
      </c>
      <c r="I112" s="42">
        <f>SUMIFS('2026'!$L:$L,'2026'!$J:$J,$B112&amp;$C112,'2026'!$O:$O,I$4)</f>
        <v>0</v>
      </c>
      <c r="J112" s="42">
        <f>SUMIFS('2026'!$L:$L,'2026'!$J:$J,$B112&amp;$C112,'2026'!$O:$O,J$4)</f>
        <v>0</v>
      </c>
      <c r="K112" s="42">
        <f>SUMIFS('2026'!$L:$L,'2026'!$J:$J,$B112&amp;$C112,'2026'!$O:$O,K$4)</f>
        <v>0</v>
      </c>
      <c r="L112" s="42">
        <f>SUMIFS('2026'!$L:$L,'2026'!$J:$J,$B112&amp;$C112,'2026'!$O:$O,L$4)</f>
        <v>0</v>
      </c>
      <c r="M112" s="42">
        <f>SUMIFS('2026'!$L:$L,'2026'!$J:$J,$B112&amp;$C112,'2026'!$O:$O,M$4)</f>
        <v>0</v>
      </c>
      <c r="N112" s="42">
        <f>SUMIFS('2026'!$L:$L,'2026'!$J:$J,$B112&amp;$C112,'2026'!$O:$O,N$4)</f>
        <v>0</v>
      </c>
      <c r="O112" s="42">
        <f>SUMIFS('2026'!$L:$L,'2026'!$J:$J,$B112&amp;$C112,'2026'!$O:$O,O$4)</f>
        <v>0</v>
      </c>
      <c r="P112" s="61">
        <f t="shared" si="49"/>
        <v>0</v>
      </c>
      <c r="Q112" s="627">
        <v>0</v>
      </c>
      <c r="R112" s="8">
        <f t="shared" si="50"/>
        <v>0</v>
      </c>
      <c r="S112" s="9" t="str">
        <f t="shared" si="48"/>
        <v/>
      </c>
      <c r="T112" s="75"/>
      <c r="U112" s="61">
        <v>0</v>
      </c>
    </row>
    <row r="113" spans="1:21">
      <c r="A113" s="2" t="s">
        <v>35</v>
      </c>
      <c r="B113" s="36" t="s">
        <v>137</v>
      </c>
      <c r="C113" s="36" t="s">
        <v>35</v>
      </c>
      <c r="D113" s="42">
        <f>SUMIFS('2026'!$L:$L,'2026'!$J:$J,$B113&amp;$C113,'2026'!$O:$O,D$4)</f>
        <v>0</v>
      </c>
      <c r="E113" s="42">
        <f>SUMIFS('2026'!$L:$L,'2026'!$J:$J,$B113&amp;$C113,'2026'!$O:$O,E$4)</f>
        <v>4800</v>
      </c>
      <c r="F113" s="42">
        <f>SUMIFS('2026'!$L:$L,'2026'!$J:$J,$B113&amp;$C113,'2026'!$O:$O,F$4)</f>
        <v>8448</v>
      </c>
      <c r="G113" s="42">
        <f>SUMIFS('2026'!$L:$L,'2026'!$J:$J,$B113&amp;$C113,'2026'!$O:$O,G$4)</f>
        <v>161280</v>
      </c>
      <c r="H113" s="42">
        <f>SUMIFS('2026'!$L:$L,'2026'!$J:$J,$B113&amp;$C113,'2026'!$O:$O,H$4)</f>
        <v>51744</v>
      </c>
      <c r="I113" s="42">
        <f>SUMIFS('2026'!$L:$L,'2026'!$J:$J,$B113&amp;$C113,'2026'!$O:$O,I$4)</f>
        <v>42240</v>
      </c>
      <c r="J113" s="42">
        <f>SUMIFS('2026'!$L:$L,'2026'!$J:$J,$B113&amp;$C113,'2026'!$O:$O,J$4)</f>
        <v>56448</v>
      </c>
      <c r="K113" s="42">
        <f>SUMIFS('2026'!$L:$L,'2026'!$J:$J,$B113&amp;$C113,'2026'!$O:$O,K$4)</f>
        <v>0</v>
      </c>
      <c r="L113" s="42">
        <f>SUMIFS('2026'!$L:$L,'2026'!$J:$J,$B113&amp;$C113,'2026'!$O:$O,L$4)</f>
        <v>0</v>
      </c>
      <c r="M113" s="42">
        <f>SUMIFS('2026'!$L:$L,'2026'!$J:$J,$B113&amp;$C113,'2026'!$O:$O,M$4)</f>
        <v>24504.959999999999</v>
      </c>
      <c r="N113" s="42">
        <f>SUMIFS('2026'!$L:$L,'2026'!$J:$J,$B113&amp;$C113,'2026'!$O:$O,N$4)</f>
        <v>0</v>
      </c>
      <c r="O113" s="42">
        <f>SUMIFS('2026'!$L:$L,'2026'!$J:$J,$B113&amp;$C113,'2026'!$O:$O,O$4)</f>
        <v>0</v>
      </c>
      <c r="P113" s="61">
        <f t="shared" si="49"/>
        <v>349464.96</v>
      </c>
      <c r="Q113" s="627">
        <v>344718.72000000003</v>
      </c>
      <c r="R113" s="8">
        <f t="shared" si="50"/>
        <v>4746.2399999999907</v>
      </c>
      <c r="S113" s="9">
        <f t="shared" si="48"/>
        <v>1.3768442862633019E-2</v>
      </c>
      <c r="T113" s="75" t="s">
        <v>138</v>
      </c>
      <c r="U113" s="61">
        <v>651901</v>
      </c>
    </row>
    <row r="114" spans="1:21">
      <c r="A114" s="2" t="s">
        <v>38</v>
      </c>
      <c r="B114" s="36" t="s">
        <v>137</v>
      </c>
      <c r="C114" s="36" t="s">
        <v>38</v>
      </c>
      <c r="D114" s="42">
        <f>SUMIFS('2026'!$L:$L,'2026'!$J:$J,$B114&amp;$C114,'2026'!$O:$O,D$4)</f>
        <v>0</v>
      </c>
      <c r="E114" s="42">
        <f>SUMIFS('2026'!$L:$L,'2026'!$J:$J,$B114&amp;$C114,'2026'!$O:$O,E$4)</f>
        <v>0</v>
      </c>
      <c r="F114" s="42">
        <f>SUMIFS('2026'!$L:$L,'2026'!$J:$J,$B114&amp;$C114,'2026'!$O:$O,F$4)</f>
        <v>0</v>
      </c>
      <c r="G114" s="42">
        <f>SUMIFS('2026'!$L:$L,'2026'!$J:$J,$B114&amp;$C114,'2026'!$O:$O,G$4)</f>
        <v>0</v>
      </c>
      <c r="H114" s="42">
        <f>SUMIFS('2026'!$L:$L,'2026'!$J:$J,$B114&amp;$C114,'2026'!$O:$O,H$4)</f>
        <v>0</v>
      </c>
      <c r="I114" s="42">
        <f>SUMIFS('2026'!$L:$L,'2026'!$J:$J,$B114&amp;$C114,'2026'!$O:$O,I$4)</f>
        <v>0</v>
      </c>
      <c r="J114" s="42">
        <f>SUMIFS('2026'!$L:$L,'2026'!$J:$J,$B114&amp;$C114,'2026'!$O:$O,J$4)</f>
        <v>0</v>
      </c>
      <c r="K114" s="42">
        <f>SUMIFS('2026'!$L:$L,'2026'!$J:$J,$B114&amp;$C114,'2026'!$O:$O,K$4)</f>
        <v>0</v>
      </c>
      <c r="L114" s="42">
        <f>SUMIFS('2026'!$L:$L,'2026'!$J:$J,$B114&amp;$C114,'2026'!$O:$O,L$4)</f>
        <v>0</v>
      </c>
      <c r="M114" s="42">
        <f>SUMIFS('2026'!$L:$L,'2026'!$J:$J,$B114&amp;$C114,'2026'!$O:$O,M$4)</f>
        <v>0</v>
      </c>
      <c r="N114" s="42">
        <f>SUMIFS('2026'!$L:$L,'2026'!$J:$J,$B114&amp;$C114,'2026'!$O:$O,N$4)</f>
        <v>0</v>
      </c>
      <c r="O114" s="42">
        <f>SUMIFS('2026'!$L:$L,'2026'!$J:$J,$B114&amp;$C114,'2026'!$O:$O,O$4)</f>
        <v>0</v>
      </c>
      <c r="P114" s="61">
        <f>SUM(D114:O114)</f>
        <v>0</v>
      </c>
      <c r="Q114" s="627">
        <v>19200</v>
      </c>
      <c r="R114" s="8">
        <f t="shared" si="50"/>
        <v>-19200</v>
      </c>
      <c r="S114" s="9">
        <f>IF(ISERROR(R114/Q114),"",R114/Q114)</f>
        <v>-1</v>
      </c>
      <c r="T114" s="60"/>
      <c r="U114" s="61">
        <v>63671</v>
      </c>
    </row>
    <row r="115" spans="1:21">
      <c r="A115" s="2" t="s">
        <v>34</v>
      </c>
      <c r="B115" s="36" t="s">
        <v>139</v>
      </c>
      <c r="C115" s="36" t="s">
        <v>34</v>
      </c>
      <c r="D115" s="42">
        <f>SUMIFS('2026'!$L:$L,'2026'!$J:$J,$B115&amp;$C115,'2026'!$O:$O,D$4)</f>
        <v>195300</v>
      </c>
      <c r="E115" s="42">
        <f>SUMIFS('2026'!$L:$L,'2026'!$J:$J,$B115&amp;$C115,'2026'!$O:$O,E$4)</f>
        <v>437356</v>
      </c>
      <c r="F115" s="42">
        <f>SUMIFS('2026'!$L:$L,'2026'!$J:$J,$B115&amp;$C115,'2026'!$O:$O,F$4)</f>
        <v>322308</v>
      </c>
      <c r="G115" s="42">
        <f>SUMIFS('2026'!$L:$L,'2026'!$J:$J,$B115&amp;$C115,'2026'!$O:$O,G$4)</f>
        <v>831169.91999999993</v>
      </c>
      <c r="H115" s="42">
        <f>SUMIFS('2026'!$L:$L,'2026'!$J:$J,$B115&amp;$C115,'2026'!$O:$O,H$4)</f>
        <v>324119.04000000004</v>
      </c>
      <c r="I115" s="42">
        <f>SUMIFS('2026'!$L:$L,'2026'!$J:$J,$B115&amp;$C115,'2026'!$O:$O,I$4)</f>
        <v>307088.64000000001</v>
      </c>
      <c r="J115" s="42">
        <f>SUMIFS('2026'!$L:$L,'2026'!$J:$J,$B115&amp;$C115,'2026'!$O:$O,J$4)</f>
        <v>245253.12</v>
      </c>
      <c r="K115" s="42">
        <f>SUMIFS('2026'!$L:$L,'2026'!$J:$J,$B115&amp;$C115,'2026'!$O:$O,K$4)</f>
        <v>391336.32</v>
      </c>
      <c r="L115" s="42">
        <f>SUMIFS('2026'!$L:$L,'2026'!$J:$J,$B115&amp;$C115,'2026'!$O:$O,L$4)</f>
        <v>145927.67999999999</v>
      </c>
      <c r="M115" s="42">
        <f>SUMIFS('2026'!$L:$L,'2026'!$J:$J,$B115&amp;$C115,'2026'!$O:$O,M$4)</f>
        <v>150320.64000000001</v>
      </c>
      <c r="N115" s="42">
        <f>SUMIFS('2026'!$L:$L,'2026'!$J:$J,$B115&amp;$C115,'2026'!$O:$O,N$4)</f>
        <v>206154.23999999999</v>
      </c>
      <c r="O115" s="42">
        <f>SUMIFS('2026'!$L:$L,'2026'!$J:$J,$B115&amp;$C115,'2026'!$O:$O,O$4)</f>
        <v>135010.56</v>
      </c>
      <c r="P115" s="61">
        <f>SUM(D115:O115)</f>
        <v>3691344.1600000006</v>
      </c>
      <c r="Q115" s="627">
        <v>3393270.4</v>
      </c>
      <c r="R115" s="8">
        <f t="shared" si="50"/>
        <v>298073.76000000071</v>
      </c>
      <c r="S115" s="9">
        <f>IF(ISERROR(R115/Q115),"",R115/Q115)</f>
        <v>8.7842619320877197E-2</v>
      </c>
      <c r="T115" s="98"/>
      <c r="U115" s="61">
        <v>4719227</v>
      </c>
    </row>
    <row r="116" spans="1:21">
      <c r="B116" s="10"/>
      <c r="C116" s="90" t="s">
        <v>140</v>
      </c>
      <c r="D116" s="11">
        <f t="shared" ref="D116:P116" si="51">SUM(D94:D115)</f>
        <v>520761</v>
      </c>
      <c r="E116" s="11">
        <f t="shared" si="51"/>
        <v>633675</v>
      </c>
      <c r="F116" s="11">
        <f t="shared" si="51"/>
        <v>614296.44000000006</v>
      </c>
      <c r="G116" s="11">
        <f t="shared" si="51"/>
        <v>1346568</v>
      </c>
      <c r="H116" s="11">
        <f t="shared" si="51"/>
        <v>971738.88</v>
      </c>
      <c r="I116" s="11">
        <f t="shared" si="51"/>
        <v>1024827.2000000001</v>
      </c>
      <c r="J116" s="11">
        <f t="shared" si="51"/>
        <v>852740.19700090343</v>
      </c>
      <c r="K116" s="11">
        <f t="shared" si="51"/>
        <v>783246.97546522133</v>
      </c>
      <c r="L116" s="11">
        <f t="shared" si="51"/>
        <v>450578.91700090334</v>
      </c>
      <c r="M116" s="11">
        <f t="shared" si="51"/>
        <v>478155.03392953932</v>
      </c>
      <c r="N116" s="11">
        <f t="shared" si="51"/>
        <v>326851.83999999997</v>
      </c>
      <c r="O116" s="11">
        <f t="shared" si="51"/>
        <v>155010.56</v>
      </c>
      <c r="P116" s="11">
        <f t="shared" si="51"/>
        <v>8158450.0433965679</v>
      </c>
      <c r="Q116" s="11">
        <v>7540067.0589340553</v>
      </c>
      <c r="R116" s="11">
        <f>SUM(R94:R115)</f>
        <v>657080.70446251205</v>
      </c>
      <c r="S116" s="12">
        <f>IF(ISERROR(R116/Q116),"",R116/Q116)</f>
        <v>8.714520697583876E-2</v>
      </c>
      <c r="T116" s="74"/>
      <c r="U116" s="11">
        <v>9922760</v>
      </c>
    </row>
    <row r="117" spans="1:21" ht="15">
      <c r="B11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187" t="str">
        <f>P$4</f>
        <v>2026 MRF3</v>
      </c>
      <c r="Q117" s="188" t="s">
        <v>1309</v>
      </c>
      <c r="R117" s="5" t="str">
        <f t="shared" ref="R117:S117" si="52">R$4</f>
        <v>Difference</v>
      </c>
      <c r="S117" s="6" t="str">
        <f t="shared" si="52"/>
        <v>% change</v>
      </c>
      <c r="U117" s="187" t="s">
        <v>1186</v>
      </c>
    </row>
    <row r="118" spans="1:21" ht="17.25">
      <c r="B118" s="23"/>
      <c r="C118" s="23" t="s">
        <v>141</v>
      </c>
      <c r="D118" s="24">
        <f>SUM(D14,D22,D41,D53,D60,D116,D77,D69,D80,D90,D81,D82,D86,D87,D85,D88,D89,D84,D83,D136)</f>
        <v>8431078</v>
      </c>
      <c r="E118" s="24">
        <f t="shared" ref="E118:O118" si="53">SUM(E14,E22,E41,E53,E60,E116,E77,E69,E80,E90,E81,E82,E86,E87,E85,E88,E89,E84,E83,E136)</f>
        <v>10417126</v>
      </c>
      <c r="F118" s="24">
        <f t="shared" si="53"/>
        <v>12490120.83</v>
      </c>
      <c r="G118" s="24">
        <f t="shared" si="53"/>
        <v>11620200.237037038</v>
      </c>
      <c r="H118" s="24">
        <f t="shared" si="53"/>
        <v>11443027.08</v>
      </c>
      <c r="I118" s="24">
        <f t="shared" si="53"/>
        <v>10431538.962751323</v>
      </c>
      <c r="J118" s="24">
        <f t="shared" si="53"/>
        <v>10360584.292609369</v>
      </c>
      <c r="K118" s="24">
        <f t="shared" si="53"/>
        <v>10799368.312502259</v>
      </c>
      <c r="L118" s="24">
        <f t="shared" si="53"/>
        <v>8559409.6994665116</v>
      </c>
      <c r="M118" s="24">
        <f t="shared" si="53"/>
        <v>8235604.8481094334</v>
      </c>
      <c r="N118" s="24">
        <f t="shared" si="53"/>
        <v>6018583.2683703713</v>
      </c>
      <c r="O118" s="24">
        <f t="shared" si="53"/>
        <v>5415375.2269417979</v>
      </c>
      <c r="P118" s="24">
        <f>SUM(P14,P22,P41,P53,P60,P116,P77,P69,P80,P90,P81,P82,P86,P87,P85,P88,P89,P84,P83,P136)</f>
        <v>114222016.75778809</v>
      </c>
      <c r="Q118" s="24">
        <v>114050679.17263214</v>
      </c>
      <c r="R118" s="11">
        <f>(P118-Q118)</f>
        <v>171337.585155949</v>
      </c>
      <c r="S118" s="12">
        <f t="shared" si="48"/>
        <v>1.5022934225284608E-3</v>
      </c>
      <c r="T118" s="76"/>
      <c r="U118" s="24">
        <v>114805627</v>
      </c>
    </row>
    <row r="119" spans="1:21" ht="17.25">
      <c r="B119" s="23"/>
      <c r="C119" s="23" t="s">
        <v>142</v>
      </c>
      <c r="D119" s="24">
        <f>SUM(D14,D22,D41,D53)</f>
        <v>6492114</v>
      </c>
      <c r="E119" s="24">
        <f t="shared" ref="E119:P119" si="54">SUM(E14,E22,E41,E53)</f>
        <v>8231390</v>
      </c>
      <c r="F119" s="24">
        <f t="shared" si="54"/>
        <v>9839726.4699999988</v>
      </c>
      <c r="G119" s="24">
        <f t="shared" si="54"/>
        <v>8815521.4399999995</v>
      </c>
      <c r="H119" s="24">
        <f t="shared" si="54"/>
        <v>7768359.2400000002</v>
      </c>
      <c r="I119" s="24">
        <f t="shared" si="54"/>
        <v>7617689.925714286</v>
      </c>
      <c r="J119" s="24">
        <f t="shared" si="54"/>
        <v>8035148.4385714289</v>
      </c>
      <c r="K119" s="24">
        <f t="shared" si="54"/>
        <v>8436834.6400000006</v>
      </c>
      <c r="L119" s="24">
        <f t="shared" si="54"/>
        <v>6869615.8254285716</v>
      </c>
      <c r="M119" s="24">
        <f t="shared" si="54"/>
        <v>6297932.4171428569</v>
      </c>
      <c r="N119" s="24">
        <f t="shared" si="54"/>
        <v>4112163.2580000004</v>
      </c>
      <c r="O119" s="24">
        <f t="shared" si="54"/>
        <v>4199936.376571429</v>
      </c>
      <c r="P119" s="24">
        <f t="shared" si="54"/>
        <v>86716432.031428576</v>
      </c>
      <c r="Q119" s="24">
        <v>86480971.824380964</v>
      </c>
      <c r="R119" s="11">
        <f>(P119-Q119)</f>
        <v>235460.20704761147</v>
      </c>
      <c r="S119" s="12">
        <f>IF(ISERROR(R119/Q119),"",R119/Q119)</f>
        <v>2.7226822511403586E-3</v>
      </c>
      <c r="T119" s="76"/>
      <c r="U119" s="24">
        <v>87482450</v>
      </c>
    </row>
    <row r="120" spans="1:21" ht="15" customHeight="1">
      <c r="D120" s="15">
        <f>D118-D119</f>
        <v>1938964</v>
      </c>
      <c r="U120" s="2"/>
    </row>
    <row r="121" spans="1:21" ht="15" customHeight="1">
      <c r="B121" s="35"/>
      <c r="C121" s="1094" t="s">
        <v>143</v>
      </c>
      <c r="D121" s="1095"/>
      <c r="E121" s="1095"/>
      <c r="F121" s="1095"/>
      <c r="G121" s="1095"/>
      <c r="H121" s="1095"/>
      <c r="I121" s="1095"/>
      <c r="J121" s="1095"/>
      <c r="K121" s="1095"/>
      <c r="L121" s="1095"/>
      <c r="M121" s="1095"/>
      <c r="N121" s="1095"/>
      <c r="O121" s="1095"/>
      <c r="R121" s="31" t="s">
        <v>94</v>
      </c>
      <c r="S121" s="32"/>
      <c r="T121" s="71" t="s">
        <v>66</v>
      </c>
      <c r="U121" s="2"/>
    </row>
    <row r="122" spans="1:21" ht="15" customHeight="1">
      <c r="B122" s="4"/>
      <c r="C122" s="4" t="s">
        <v>17</v>
      </c>
      <c r="D122" s="5" t="s">
        <v>68</v>
      </c>
      <c r="E122" s="5" t="s">
        <v>69</v>
      </c>
      <c r="F122" s="5" t="s">
        <v>70</v>
      </c>
      <c r="G122" s="5" t="s">
        <v>71</v>
      </c>
      <c r="H122" s="5" t="s">
        <v>72</v>
      </c>
      <c r="I122" s="5" t="s">
        <v>73</v>
      </c>
      <c r="J122" s="5" t="s">
        <v>74</v>
      </c>
      <c r="K122" s="5" t="s">
        <v>75</v>
      </c>
      <c r="L122" s="5" t="s">
        <v>76</v>
      </c>
      <c r="M122" s="5" t="s">
        <v>77</v>
      </c>
      <c r="N122" s="5" t="s">
        <v>78</v>
      </c>
      <c r="O122" s="5" t="s">
        <v>79</v>
      </c>
      <c r="P122" s="187" t="str">
        <f>P$4</f>
        <v>2026 MRF3</v>
      </c>
      <c r="Q122" s="188" t="s">
        <v>1309</v>
      </c>
      <c r="R122" s="5" t="str">
        <f t="shared" ref="R122:S122" si="55">R$4</f>
        <v>Difference</v>
      </c>
      <c r="S122" s="6" t="str">
        <f t="shared" si="55"/>
        <v>% change</v>
      </c>
      <c r="T122" s="76"/>
      <c r="U122" s="187" t="s">
        <v>1186</v>
      </c>
    </row>
    <row r="123" spans="1:21" ht="15" customHeight="1">
      <c r="A123" s="426" t="s">
        <v>38</v>
      </c>
      <c r="B123" s="36">
        <v>3985</v>
      </c>
      <c r="C123" s="36" t="s">
        <v>144</v>
      </c>
      <c r="D123" s="42">
        <f>SUMIFS('2026'!$L:$L,'2026'!$J:$J,$B123&amp;$C123,'2026'!$O:$O,D$4)</f>
        <v>0</v>
      </c>
      <c r="E123" s="42">
        <f>SUMIFS('2026'!$L:$L,'2026'!$J:$J,$B123&amp;$C123,'2026'!$O:$O,E$4)</f>
        <v>0</v>
      </c>
      <c r="F123" s="42">
        <f>SUMIFS('2026'!$L:$L,'2026'!$J:$J,$B123&amp;$C123,'2026'!$O:$O,F$4)</f>
        <v>0</v>
      </c>
      <c r="G123" s="42">
        <f>SUMIFS('2026'!$L:$L,'2026'!$J:$J,$B123&amp;$C123,'2026'!$O:$O,G$4)</f>
        <v>0</v>
      </c>
      <c r="H123" s="42">
        <f>SUMIFS('2026'!$L:$L,'2026'!$J:$J,$B123&amp;$C123,'2026'!$O:$O,H$4)</f>
        <v>0</v>
      </c>
      <c r="I123" s="42">
        <f>SUMIFS('2026'!$L:$L,'2026'!$J:$J,$B123&amp;$C123,'2026'!$O:$O,I$4)</f>
        <v>0</v>
      </c>
      <c r="J123" s="42">
        <f>SUMIFS('2026'!$L:$L,'2026'!$J:$J,$B123&amp;$C123,'2026'!$O:$O,J$4)</f>
        <v>0</v>
      </c>
      <c r="K123" s="42">
        <f>SUMIFS('2026'!$L:$L,'2026'!$J:$J,$B123&amp;$C123,'2026'!$O:$O,K$4)</f>
        <v>0</v>
      </c>
      <c r="L123" s="42">
        <f>SUMIFS('2026'!$L:$L,'2026'!$J:$J,$B123&amp;$C123,'2026'!$O:$O,L$4)</f>
        <v>0</v>
      </c>
      <c r="M123" s="42">
        <f>SUMIFS('2026'!$L:$L,'2026'!$J:$J,$B123&amp;$C123,'2026'!$O:$O,M$4)</f>
        <v>0</v>
      </c>
      <c r="N123" s="42">
        <f>SUMIFS('2026'!$L:$L,'2026'!$J:$J,$B123&amp;$C123,'2026'!$O:$O,N$4)</f>
        <v>0</v>
      </c>
      <c r="O123" s="42">
        <f>SUMIFS('2026'!$L:$L,'2026'!$J:$J,$B123&amp;$C123,'2026'!$O:$O,O$4)</f>
        <v>0</v>
      </c>
      <c r="P123" s="61">
        <f>SUM(D123:O123)</f>
        <v>0</v>
      </c>
      <c r="Q123" s="7">
        <v>0</v>
      </c>
      <c r="R123" s="8"/>
      <c r="S123" s="96" t="str">
        <f>IF(ISERROR(R123/Q123),"",R123/Q123)</f>
        <v/>
      </c>
      <c r="T123" s="77"/>
      <c r="U123" s="61">
        <v>3000</v>
      </c>
    </row>
    <row r="124" spans="1:21" ht="15" customHeight="1">
      <c r="A124" s="2" t="s">
        <v>38</v>
      </c>
      <c r="B124" s="36">
        <v>3985</v>
      </c>
      <c r="C124" s="36" t="s">
        <v>145</v>
      </c>
      <c r="D124" s="42">
        <f>SUMIFS('2026'!$L:$L,'2026'!$J:$J,$B124&amp;$C124,'2026'!$O:$O,D$4)</f>
        <v>0</v>
      </c>
      <c r="E124" s="42">
        <f>SUMIFS('2026'!$L:$L,'2026'!$J:$J,$B124&amp;$C124,'2026'!$O:$O,E$4)</f>
        <v>0</v>
      </c>
      <c r="F124" s="42">
        <f>SUMIFS('2026'!$L:$L,'2026'!$J:$J,$B124&amp;$C124,'2026'!$O:$O,F$4)</f>
        <v>0</v>
      </c>
      <c r="G124" s="42">
        <f>SUMIFS('2026'!$L:$L,'2026'!$J:$J,$B124&amp;$C124,'2026'!$O:$O,G$4)</f>
        <v>0</v>
      </c>
      <c r="H124" s="42">
        <f>SUMIFS('2026'!$L:$L,'2026'!$J:$J,$B124&amp;$C124,'2026'!$O:$O,H$4)</f>
        <v>0</v>
      </c>
      <c r="I124" s="42">
        <f>SUMIFS('2026'!$L:$L,'2026'!$J:$J,$B124&amp;$C124,'2026'!$O:$O,I$4)</f>
        <v>0</v>
      </c>
      <c r="J124" s="42">
        <f>SUMIFS('2026'!$L:$L,'2026'!$J:$J,$B124&amp;$C124,'2026'!$O:$O,J$4)</f>
        <v>0</v>
      </c>
      <c r="K124" s="42">
        <f>SUMIFS('2026'!$L:$L,'2026'!$J:$J,$B124&amp;$C124,'2026'!$O:$O,K$4)</f>
        <v>0</v>
      </c>
      <c r="L124" s="42">
        <f>SUMIFS('2026'!$L:$L,'2026'!$J:$J,$B124&amp;$C124,'2026'!$O:$O,L$4)</f>
        <v>0</v>
      </c>
      <c r="M124" s="42">
        <f>SUMIFS('2026'!$L:$L,'2026'!$J:$J,$B124&amp;$C124,'2026'!$O:$O,M$4)</f>
        <v>0</v>
      </c>
      <c r="N124" s="42">
        <f>SUMIFS('2026'!$L:$L,'2026'!$J:$J,$B124&amp;$C124,'2026'!$O:$O,N$4)</f>
        <v>0</v>
      </c>
      <c r="O124" s="42">
        <f>SUMIFS('2026'!$L:$L,'2026'!$J:$J,$B124&amp;$C124,'2026'!$O:$O,O$4)</f>
        <v>0</v>
      </c>
      <c r="P124" s="61">
        <f t="shared" ref="P124:P135" si="56">SUM(D124:O124)</f>
        <v>0</v>
      </c>
      <c r="Q124" s="7">
        <v>0</v>
      </c>
      <c r="R124" s="8"/>
      <c r="S124" s="9" t="str">
        <f>IF(ISERROR(R124/Q124),"",R124/Q124)</f>
        <v/>
      </c>
      <c r="T124" s="77"/>
      <c r="U124" s="61">
        <v>0</v>
      </c>
    </row>
    <row r="125" spans="1:21" ht="15" customHeight="1">
      <c r="A125" s="2" t="s">
        <v>38</v>
      </c>
      <c r="B125" s="36">
        <v>3985</v>
      </c>
      <c r="C125" s="36" t="s">
        <v>38</v>
      </c>
      <c r="D125" s="42">
        <f>SUMIFS('2026'!$L:$L,'2026'!$J:$J,$B125&amp;$C125,'2026'!$O:$O,D$4)</f>
        <v>19976</v>
      </c>
      <c r="E125" s="42">
        <f>SUMIFS('2026'!$L:$L,'2026'!$J:$J,$B125&amp;$C125,'2026'!$O:$O,E$4)</f>
        <v>57987</v>
      </c>
      <c r="F125" s="42">
        <f>SUMIFS('2026'!$L:$L,'2026'!$J:$J,$B125&amp;$C125,'2026'!$O:$O,F$4)</f>
        <v>49344</v>
      </c>
      <c r="G125" s="42">
        <f>SUMIFS('2026'!$L:$L,'2026'!$J:$J,$B125&amp;$C125,'2026'!$O:$O,G$4)</f>
        <v>115200</v>
      </c>
      <c r="H125" s="42">
        <f>SUMIFS('2026'!$L:$L,'2026'!$J:$J,$B125&amp;$C125,'2026'!$O:$O,H$4)</f>
        <v>144000</v>
      </c>
      <c r="I125" s="42">
        <f>SUMIFS('2026'!$L:$L,'2026'!$J:$J,$B125&amp;$C125,'2026'!$O:$O,I$4)</f>
        <v>151200</v>
      </c>
      <c r="J125" s="42">
        <f>SUMIFS('2026'!$L:$L,'2026'!$J:$J,$B125&amp;$C125,'2026'!$O:$O,J$4)</f>
        <v>72000</v>
      </c>
      <c r="K125" s="42">
        <f>SUMIFS('2026'!$L:$L,'2026'!$J:$J,$B125&amp;$C125,'2026'!$O:$O,K$4)</f>
        <v>36000</v>
      </c>
      <c r="L125" s="42">
        <f>SUMIFS('2026'!$L:$L,'2026'!$J:$J,$B125&amp;$C125,'2026'!$O:$O,L$4)</f>
        <v>21600</v>
      </c>
      <c r="M125" s="42">
        <f>SUMIFS('2026'!$L:$L,'2026'!$J:$J,$B125&amp;$C125,'2026'!$O:$O,M$4)</f>
        <v>0</v>
      </c>
      <c r="N125" s="42">
        <f>SUMIFS('2026'!$L:$L,'2026'!$J:$J,$B125&amp;$C125,'2026'!$O:$O,N$4)</f>
        <v>0</v>
      </c>
      <c r="O125" s="42">
        <f>SUMIFS('2026'!$L:$L,'2026'!$J:$J,$B125&amp;$C125,'2026'!$O:$O,O$4)</f>
        <v>0</v>
      </c>
      <c r="P125" s="61">
        <f t="shared" si="56"/>
        <v>667307</v>
      </c>
      <c r="Q125" s="7">
        <v>681696.44</v>
      </c>
      <c r="R125" s="8"/>
      <c r="S125" s="9">
        <f t="shared" ref="S125:S135" si="57">IF(ISERROR(R125/Q125),"",R125/Q125)</f>
        <v>0</v>
      </c>
      <c r="T125" s="77"/>
      <c r="U125" s="61">
        <v>152948</v>
      </c>
    </row>
    <row r="126" spans="1:21" ht="15" customHeight="1">
      <c r="A126" s="2" t="s">
        <v>38</v>
      </c>
      <c r="B126" s="36">
        <v>3985</v>
      </c>
      <c r="C126" s="36" t="s">
        <v>146</v>
      </c>
      <c r="D126" s="42">
        <f>SUMIFS('2026'!$L:$L,'2026'!$J:$J,$B126&amp;$C126,'2026'!$O:$O,D$4)</f>
        <v>0</v>
      </c>
      <c r="E126" s="42">
        <f>SUMIFS('2026'!$L:$L,'2026'!$J:$J,$B126&amp;$C126,'2026'!$O:$O,E$4)</f>
        <v>0</v>
      </c>
      <c r="F126" s="42">
        <f>SUMIFS('2026'!$L:$L,'2026'!$J:$J,$B126&amp;$C126,'2026'!$O:$O,F$4)</f>
        <v>0</v>
      </c>
      <c r="G126" s="42">
        <f>SUMIFS('2026'!$L:$L,'2026'!$J:$J,$B126&amp;$C126,'2026'!$O:$O,G$4)</f>
        <v>0</v>
      </c>
      <c r="H126" s="42">
        <f>SUMIFS('2026'!$L:$L,'2026'!$J:$J,$B126&amp;$C126,'2026'!$O:$O,H$4)</f>
        <v>0</v>
      </c>
      <c r="I126" s="42">
        <f>SUMIFS('2026'!$L:$L,'2026'!$J:$J,$B126&amp;$C126,'2026'!$O:$O,I$4)</f>
        <v>0</v>
      </c>
      <c r="J126" s="42">
        <f>SUMIFS('2026'!$L:$L,'2026'!$J:$J,$B126&amp;$C126,'2026'!$O:$O,J$4)</f>
        <v>0</v>
      </c>
      <c r="K126" s="42">
        <f>SUMIFS('2026'!$L:$L,'2026'!$J:$J,$B126&amp;$C126,'2026'!$O:$O,K$4)</f>
        <v>0</v>
      </c>
      <c r="L126" s="42">
        <f>SUMIFS('2026'!$L:$L,'2026'!$J:$J,$B126&amp;$C126,'2026'!$O:$O,L$4)</f>
        <v>0</v>
      </c>
      <c r="M126" s="42">
        <f>SUMIFS('2026'!$L:$L,'2026'!$J:$J,$B126&amp;$C126,'2026'!$O:$O,M$4)</f>
        <v>0</v>
      </c>
      <c r="N126" s="42">
        <f>SUMIFS('2026'!$L:$L,'2026'!$J:$J,$B126&amp;$C126,'2026'!$O:$O,N$4)</f>
        <v>0</v>
      </c>
      <c r="O126" s="42">
        <f>SUMIFS('2026'!$L:$L,'2026'!$J:$J,$B126&amp;$C126,'2026'!$O:$O,O$4)</f>
        <v>0</v>
      </c>
      <c r="P126" s="61">
        <f t="shared" si="56"/>
        <v>0</v>
      </c>
      <c r="Q126" s="7">
        <v>0</v>
      </c>
      <c r="R126" s="8"/>
      <c r="S126" s="9" t="str">
        <f t="shared" si="57"/>
        <v/>
      </c>
      <c r="T126" s="77"/>
      <c r="U126" s="61">
        <v>0</v>
      </c>
    </row>
    <row r="127" spans="1:21" ht="15" customHeight="1">
      <c r="A127" s="2" t="s">
        <v>38</v>
      </c>
      <c r="B127" s="36">
        <v>3985</v>
      </c>
      <c r="C127" s="36" t="s">
        <v>147</v>
      </c>
      <c r="D127" s="42">
        <f>SUMIFS('2026'!$L:$L,'2026'!$J:$J,$B127&amp;$C127,'2026'!$O:$O,D$4)</f>
        <v>0</v>
      </c>
      <c r="E127" s="42">
        <f>SUMIFS('2026'!$L:$L,'2026'!$J:$J,$B127&amp;$C127,'2026'!$O:$O,E$4)</f>
        <v>0</v>
      </c>
      <c r="F127" s="42">
        <f>SUMIFS('2026'!$L:$L,'2026'!$J:$J,$B127&amp;$C127,'2026'!$O:$O,F$4)</f>
        <v>0</v>
      </c>
      <c r="G127" s="42">
        <f>SUMIFS('2026'!$L:$L,'2026'!$J:$J,$B127&amp;$C127,'2026'!$O:$O,G$4)</f>
        <v>0</v>
      </c>
      <c r="H127" s="42">
        <f>SUMIFS('2026'!$L:$L,'2026'!$J:$J,$B127&amp;$C127,'2026'!$O:$O,H$4)</f>
        <v>0</v>
      </c>
      <c r="I127" s="42">
        <f>SUMIFS('2026'!$L:$L,'2026'!$J:$J,$B127&amp;$C127,'2026'!$O:$O,I$4)</f>
        <v>0</v>
      </c>
      <c r="J127" s="42">
        <f>SUMIFS('2026'!$L:$L,'2026'!$J:$J,$B127&amp;$C127,'2026'!$O:$O,J$4)</f>
        <v>0</v>
      </c>
      <c r="K127" s="42">
        <f>SUMIFS('2026'!$L:$L,'2026'!$J:$J,$B127&amp;$C127,'2026'!$O:$O,K$4)</f>
        <v>0</v>
      </c>
      <c r="L127" s="42">
        <f>SUMIFS('2026'!$L:$L,'2026'!$J:$J,$B127&amp;$C127,'2026'!$O:$O,L$4)</f>
        <v>0</v>
      </c>
      <c r="M127" s="42">
        <f>SUMIFS('2026'!$L:$L,'2026'!$J:$J,$B127&amp;$C127,'2026'!$O:$O,M$4)</f>
        <v>0</v>
      </c>
      <c r="N127" s="42">
        <f>SUMIFS('2026'!$L:$L,'2026'!$J:$J,$B127&amp;$C127,'2026'!$O:$O,N$4)</f>
        <v>0</v>
      </c>
      <c r="O127" s="42">
        <f>SUMIFS('2026'!$L:$L,'2026'!$J:$J,$B127&amp;$C127,'2026'!$O:$O,O$4)</f>
        <v>0</v>
      </c>
      <c r="P127" s="61">
        <f t="shared" si="56"/>
        <v>0</v>
      </c>
      <c r="Q127" s="7">
        <v>0</v>
      </c>
      <c r="R127" s="8"/>
      <c r="S127" s="9" t="str">
        <f t="shared" si="57"/>
        <v/>
      </c>
      <c r="T127" s="77"/>
      <c r="U127" s="61">
        <v>0</v>
      </c>
    </row>
    <row r="128" spans="1:21" ht="15" customHeight="1">
      <c r="A128" s="2" t="s">
        <v>38</v>
      </c>
      <c r="B128" s="36">
        <v>3985</v>
      </c>
      <c r="C128" s="36" t="s">
        <v>148</v>
      </c>
      <c r="D128" s="42">
        <f>SUMIFS('2026'!$L:$L,'2026'!$J:$J,$B128&amp;$C128,'2026'!$O:$O,D$4)</f>
        <v>0</v>
      </c>
      <c r="E128" s="42">
        <f>SUMIFS('2026'!$L:$L,'2026'!$J:$J,$B128&amp;$C128,'2026'!$O:$O,E$4)</f>
        <v>0</v>
      </c>
      <c r="F128" s="42">
        <f>SUMIFS('2026'!$L:$L,'2026'!$J:$J,$B128&amp;$C128,'2026'!$O:$O,F$4)</f>
        <v>0</v>
      </c>
      <c r="G128" s="42">
        <f>SUMIFS('2026'!$L:$L,'2026'!$J:$J,$B128&amp;$C128,'2026'!$O:$O,G$4)</f>
        <v>0</v>
      </c>
      <c r="H128" s="42">
        <f>SUMIFS('2026'!$L:$L,'2026'!$J:$J,$B128&amp;$C128,'2026'!$O:$O,H$4)</f>
        <v>0</v>
      </c>
      <c r="I128" s="42">
        <f>SUMIFS('2026'!$L:$L,'2026'!$J:$J,$B128&amp;$C128,'2026'!$O:$O,I$4)</f>
        <v>0</v>
      </c>
      <c r="J128" s="42">
        <f>SUMIFS('2026'!$L:$L,'2026'!$J:$J,$B128&amp;$C128,'2026'!$O:$O,J$4)</f>
        <v>0</v>
      </c>
      <c r="K128" s="42">
        <f>SUMIFS('2026'!$L:$L,'2026'!$J:$J,$B128&amp;$C128,'2026'!$O:$O,K$4)</f>
        <v>0</v>
      </c>
      <c r="L128" s="42">
        <f>SUMIFS('2026'!$L:$L,'2026'!$J:$J,$B128&amp;$C128,'2026'!$O:$O,L$4)</f>
        <v>0</v>
      </c>
      <c r="M128" s="42">
        <f>SUMIFS('2026'!$L:$L,'2026'!$J:$J,$B128&amp;$C128,'2026'!$O:$O,M$4)</f>
        <v>0</v>
      </c>
      <c r="N128" s="42">
        <f>SUMIFS('2026'!$L:$L,'2026'!$J:$J,$B128&amp;$C128,'2026'!$O:$O,N$4)</f>
        <v>0</v>
      </c>
      <c r="O128" s="42">
        <f>SUMIFS('2026'!$L:$L,'2026'!$J:$J,$B128&amp;$C128,'2026'!$O:$O,O$4)</f>
        <v>0</v>
      </c>
      <c r="P128" s="61">
        <f t="shared" si="56"/>
        <v>0</v>
      </c>
      <c r="Q128" s="7">
        <v>0</v>
      </c>
      <c r="R128" s="8"/>
      <c r="S128" s="9" t="str">
        <f t="shared" si="57"/>
        <v/>
      </c>
      <c r="T128" s="77"/>
      <c r="U128" s="61">
        <v>0</v>
      </c>
    </row>
    <row r="129" spans="1:21" ht="15" customHeight="1">
      <c r="A129" s="2" t="s">
        <v>38</v>
      </c>
      <c r="B129" s="36">
        <v>3985</v>
      </c>
      <c r="C129" s="36" t="s">
        <v>149</v>
      </c>
      <c r="D129" s="42">
        <f>SUMIFS('2026'!$L:$L,'2026'!$J:$J,$B129&amp;$C129,'2026'!$O:$O,D$4)</f>
        <v>0</v>
      </c>
      <c r="E129" s="42">
        <f>SUMIFS('2026'!$L:$L,'2026'!$J:$J,$B129&amp;$C129,'2026'!$O:$O,E$4)</f>
        <v>0</v>
      </c>
      <c r="F129" s="42">
        <f>SUMIFS('2026'!$L:$L,'2026'!$J:$J,$B129&amp;$C129,'2026'!$O:$O,F$4)</f>
        <v>0</v>
      </c>
      <c r="G129" s="42">
        <f>SUMIFS('2026'!$L:$L,'2026'!$J:$J,$B129&amp;$C129,'2026'!$O:$O,G$4)</f>
        <v>0</v>
      </c>
      <c r="H129" s="42">
        <f>SUMIFS('2026'!$L:$L,'2026'!$J:$J,$B129&amp;$C129,'2026'!$O:$O,H$4)</f>
        <v>0</v>
      </c>
      <c r="I129" s="42">
        <f>SUMIFS('2026'!$L:$L,'2026'!$J:$J,$B129&amp;$C129,'2026'!$O:$O,I$4)</f>
        <v>0</v>
      </c>
      <c r="J129" s="42">
        <f>SUMIFS('2026'!$L:$L,'2026'!$J:$J,$B129&amp;$C129,'2026'!$O:$O,J$4)</f>
        <v>0</v>
      </c>
      <c r="K129" s="42">
        <f>SUMIFS('2026'!$L:$L,'2026'!$J:$J,$B129&amp;$C129,'2026'!$O:$O,K$4)</f>
        <v>0</v>
      </c>
      <c r="L129" s="42">
        <f>SUMIFS('2026'!$L:$L,'2026'!$J:$J,$B129&amp;$C129,'2026'!$O:$O,L$4)</f>
        <v>0</v>
      </c>
      <c r="M129" s="42">
        <f>SUMIFS('2026'!$L:$L,'2026'!$J:$J,$B129&amp;$C129,'2026'!$O:$O,M$4)</f>
        <v>0</v>
      </c>
      <c r="N129" s="42">
        <f>SUMIFS('2026'!$L:$L,'2026'!$J:$J,$B129&amp;$C129,'2026'!$O:$O,N$4)</f>
        <v>0</v>
      </c>
      <c r="O129" s="42">
        <f>SUMIFS('2026'!$L:$L,'2026'!$J:$J,$B129&amp;$C129,'2026'!$O:$O,O$4)</f>
        <v>0</v>
      </c>
      <c r="P129" s="61">
        <f t="shared" si="56"/>
        <v>0</v>
      </c>
      <c r="Q129" s="7">
        <v>0</v>
      </c>
      <c r="R129" s="8"/>
      <c r="S129" s="9" t="str">
        <f t="shared" si="57"/>
        <v/>
      </c>
      <c r="T129" s="77"/>
      <c r="U129" s="61">
        <v>0</v>
      </c>
    </row>
    <row r="130" spans="1:21" ht="15" customHeight="1">
      <c r="A130" s="426" t="s">
        <v>38</v>
      </c>
      <c r="B130" s="36">
        <v>3985</v>
      </c>
      <c r="C130" s="36" t="s">
        <v>150</v>
      </c>
      <c r="D130" s="42">
        <f>SUMIFS('2026'!$L:$L,'2026'!$J:$J,$B130&amp;$C130,'2026'!$O:$O,D$4)</f>
        <v>7828</v>
      </c>
      <c r="E130" s="42">
        <f>SUMIFS('2026'!$L:$L,'2026'!$J:$J,$B130&amp;$C130,'2026'!$O:$O,E$4)</f>
        <v>9983</v>
      </c>
      <c r="F130" s="42">
        <f>SUMIFS('2026'!$L:$L,'2026'!$J:$J,$B130&amp;$C130,'2026'!$O:$O,F$4)</f>
        <v>81591</v>
      </c>
      <c r="G130" s="42">
        <f>SUMIFS('2026'!$L:$L,'2026'!$J:$J,$B130&amp;$C130,'2026'!$O:$O,G$4)</f>
        <v>57600</v>
      </c>
      <c r="H130" s="42">
        <f>SUMIFS('2026'!$L:$L,'2026'!$J:$J,$B130&amp;$C130,'2026'!$O:$O,H$4)</f>
        <v>76800</v>
      </c>
      <c r="I130" s="42">
        <f>SUMIFS('2026'!$L:$L,'2026'!$J:$J,$B130&amp;$C130,'2026'!$O:$O,I$4)</f>
        <v>96000</v>
      </c>
      <c r="J130" s="42">
        <f>SUMIFS('2026'!$L:$L,'2026'!$J:$J,$B130&amp;$C130,'2026'!$O:$O,J$4)</f>
        <v>38400</v>
      </c>
      <c r="K130" s="42">
        <f>SUMIFS('2026'!$L:$L,'2026'!$J:$J,$B130&amp;$C130,'2026'!$O:$O,K$4)</f>
        <v>4800</v>
      </c>
      <c r="L130" s="42">
        <f>SUMIFS('2026'!$L:$L,'2026'!$J:$J,$B130&amp;$C130,'2026'!$O:$O,L$4)</f>
        <v>0</v>
      </c>
      <c r="M130" s="42">
        <f>SUMIFS('2026'!$L:$L,'2026'!$J:$J,$B130&amp;$C130,'2026'!$O:$O,M$4)</f>
        <v>0</v>
      </c>
      <c r="N130" s="42">
        <f>SUMIFS('2026'!$L:$L,'2026'!$J:$J,$B130&amp;$C130,'2026'!$O:$O,N$4)</f>
        <v>4800</v>
      </c>
      <c r="O130" s="42">
        <f>SUMIFS('2026'!$L:$L,'2026'!$J:$J,$B130&amp;$C130,'2026'!$O:$O,O$4)</f>
        <v>0</v>
      </c>
      <c r="P130" s="61">
        <f t="shared" si="56"/>
        <v>377802</v>
      </c>
      <c r="Q130" s="7">
        <v>411231.92</v>
      </c>
      <c r="R130" s="8">
        <f t="shared" ref="R130:R133" si="58">P130-Q130</f>
        <v>-33429.919999999984</v>
      </c>
      <c r="S130" s="9">
        <f t="shared" si="57"/>
        <v>-8.1292133159313079E-2</v>
      </c>
      <c r="T130" s="77"/>
      <c r="U130" s="61">
        <v>525629</v>
      </c>
    </row>
    <row r="131" spans="1:21" ht="15" customHeight="1">
      <c r="A131" s="2" t="s">
        <v>38</v>
      </c>
      <c r="B131" s="36">
        <v>3985</v>
      </c>
      <c r="C131" s="36" t="s">
        <v>151</v>
      </c>
      <c r="D131" s="42">
        <f>SUMIFS('2026'!$L:$L,'2026'!$J:$J,$B131&amp;$C131,'2026'!$O:$O,D$4)</f>
        <v>0</v>
      </c>
      <c r="E131" s="42">
        <f>SUMIFS('2026'!$L:$L,'2026'!$J:$J,$B131&amp;$C131,'2026'!$O:$O,E$4)</f>
        <v>0</v>
      </c>
      <c r="F131" s="42">
        <f>SUMIFS('2026'!$L:$L,'2026'!$J:$J,$B131&amp;$C131,'2026'!$O:$O,F$4)</f>
        <v>0</v>
      </c>
      <c r="G131" s="42">
        <f>SUMIFS('2026'!$L:$L,'2026'!$J:$J,$B131&amp;$C131,'2026'!$O:$O,G$4)</f>
        <v>0</v>
      </c>
      <c r="H131" s="42">
        <f>SUMIFS('2026'!$L:$L,'2026'!$J:$J,$B131&amp;$C131,'2026'!$O:$O,H$4)</f>
        <v>0</v>
      </c>
      <c r="I131" s="42">
        <f>SUMIFS('2026'!$L:$L,'2026'!$J:$J,$B131&amp;$C131,'2026'!$O:$O,I$4)</f>
        <v>0</v>
      </c>
      <c r="J131" s="42">
        <f>SUMIFS('2026'!$L:$L,'2026'!$J:$J,$B131&amp;$C131,'2026'!$O:$O,J$4)</f>
        <v>0</v>
      </c>
      <c r="K131" s="42">
        <f>SUMIFS('2026'!$L:$L,'2026'!$J:$J,$B131&amp;$C131,'2026'!$O:$O,K$4)</f>
        <v>0</v>
      </c>
      <c r="L131" s="42">
        <f>SUMIFS('2026'!$L:$L,'2026'!$J:$J,$B131&amp;$C131,'2026'!$O:$O,L$4)</f>
        <v>0</v>
      </c>
      <c r="M131" s="42">
        <f>SUMIFS('2026'!$L:$L,'2026'!$J:$J,$B131&amp;$C131,'2026'!$O:$O,M$4)</f>
        <v>0</v>
      </c>
      <c r="N131" s="42">
        <f>SUMIFS('2026'!$L:$L,'2026'!$J:$J,$B131&amp;$C131,'2026'!$O:$O,N$4)</f>
        <v>0</v>
      </c>
      <c r="O131" s="42">
        <f>SUMIFS('2026'!$L:$L,'2026'!$J:$J,$B131&amp;$C131,'2026'!$O:$O,O$4)</f>
        <v>0</v>
      </c>
      <c r="P131" s="61">
        <f t="shared" si="56"/>
        <v>0</v>
      </c>
      <c r="Q131" s="7">
        <v>0</v>
      </c>
      <c r="R131" s="8"/>
      <c r="S131" s="9" t="str">
        <f t="shared" si="57"/>
        <v/>
      </c>
      <c r="T131" s="77"/>
      <c r="U131" s="61">
        <v>0</v>
      </c>
    </row>
    <row r="132" spans="1:21" ht="15" customHeight="1">
      <c r="A132" s="2" t="s">
        <v>38</v>
      </c>
      <c r="B132" s="36">
        <v>3985</v>
      </c>
      <c r="C132" s="36" t="s">
        <v>152</v>
      </c>
      <c r="D132" s="42">
        <f>SUMIFS('2026'!$L:$L,'2026'!$J:$J,$B132&amp;$C132,'2026'!$O:$O,D$4)</f>
        <v>0</v>
      </c>
      <c r="E132" s="42">
        <f>SUMIFS('2026'!$L:$L,'2026'!$J:$J,$B132&amp;$C132,'2026'!$O:$O,E$4)</f>
        <v>0</v>
      </c>
      <c r="F132" s="42">
        <f>SUMIFS('2026'!$L:$L,'2026'!$J:$J,$B132&amp;$C132,'2026'!$O:$O,F$4)</f>
        <v>0</v>
      </c>
      <c r="G132" s="42">
        <f>SUMIFS('2026'!$L:$L,'2026'!$J:$J,$B132&amp;$C132,'2026'!$O:$O,G$4)</f>
        <v>0</v>
      </c>
      <c r="H132" s="42">
        <f>SUMIFS('2026'!$L:$L,'2026'!$J:$J,$B132&amp;$C132,'2026'!$O:$O,H$4)</f>
        <v>0</v>
      </c>
      <c r="I132" s="42">
        <f>SUMIFS('2026'!$L:$L,'2026'!$J:$J,$B132&amp;$C132,'2026'!$O:$O,I$4)</f>
        <v>0</v>
      </c>
      <c r="J132" s="42">
        <f>SUMIFS('2026'!$L:$L,'2026'!$J:$J,$B132&amp;$C132,'2026'!$O:$O,J$4)</f>
        <v>0</v>
      </c>
      <c r="K132" s="42">
        <f>SUMIFS('2026'!$L:$L,'2026'!$J:$J,$B132&amp;$C132,'2026'!$O:$O,K$4)</f>
        <v>0</v>
      </c>
      <c r="L132" s="42">
        <f>SUMIFS('2026'!$L:$L,'2026'!$J:$J,$B132&amp;$C132,'2026'!$O:$O,L$4)</f>
        <v>0</v>
      </c>
      <c r="M132" s="42">
        <f>SUMIFS('2026'!$L:$L,'2026'!$J:$J,$B132&amp;$C132,'2026'!$O:$O,M$4)</f>
        <v>0</v>
      </c>
      <c r="N132" s="42">
        <f>SUMIFS('2026'!$L:$L,'2026'!$J:$J,$B132&amp;$C132,'2026'!$O:$O,N$4)</f>
        <v>0</v>
      </c>
      <c r="O132" s="42">
        <f>SUMIFS('2026'!$L:$L,'2026'!$J:$J,$B132&amp;$C132,'2026'!$O:$O,O$4)</f>
        <v>0</v>
      </c>
      <c r="P132" s="61">
        <f t="shared" si="56"/>
        <v>0</v>
      </c>
      <c r="Q132" s="7">
        <v>0</v>
      </c>
      <c r="R132" s="8"/>
      <c r="S132" s="9" t="str">
        <f t="shared" si="57"/>
        <v/>
      </c>
      <c r="T132" s="77"/>
      <c r="U132" s="61">
        <v>0</v>
      </c>
    </row>
    <row r="133" spans="1:21" ht="15" customHeight="1">
      <c r="A133" s="2" t="s">
        <v>38</v>
      </c>
      <c r="B133" s="36">
        <v>3985</v>
      </c>
      <c r="C133" s="36" t="s">
        <v>46</v>
      </c>
      <c r="D133" s="42">
        <f>SUMIFS('2026'!$L:$L,'2026'!$J:$J,$B133&amp;$C133,'2026'!$O:$O,D$4)</f>
        <v>44829</v>
      </c>
      <c r="E133" s="42">
        <f>SUMIFS('2026'!$L:$L,'2026'!$J:$J,$B133&amp;$C133,'2026'!$O:$O,E$4)</f>
        <v>89860</v>
      </c>
      <c r="F133" s="42">
        <f>SUMIFS('2026'!$L:$L,'2026'!$J:$J,$B133&amp;$C133,'2026'!$O:$O,F$4)</f>
        <v>0</v>
      </c>
      <c r="G133" s="42">
        <f>SUMIFS('2026'!$L:$L,'2026'!$J:$J,$B133&amp;$C133,'2026'!$O:$O,G$4)</f>
        <v>0</v>
      </c>
      <c r="H133" s="42">
        <f>SUMIFS('2026'!$L:$L,'2026'!$J:$J,$B133&amp;$C133,'2026'!$O:$O,H$4)</f>
        <v>0</v>
      </c>
      <c r="I133" s="42">
        <f>SUMIFS('2026'!$L:$L,'2026'!$J:$J,$B133&amp;$C133,'2026'!$O:$O,I$4)</f>
        <v>0</v>
      </c>
      <c r="J133" s="42">
        <f>SUMIFS('2026'!$L:$L,'2026'!$J:$J,$B133&amp;$C133,'2026'!$O:$O,J$4)</f>
        <v>0</v>
      </c>
      <c r="K133" s="42">
        <f>SUMIFS('2026'!$L:$L,'2026'!$J:$J,$B133&amp;$C133,'2026'!$O:$O,K$4)</f>
        <v>0</v>
      </c>
      <c r="L133" s="42">
        <f>SUMIFS('2026'!$L:$L,'2026'!$J:$J,$B133&amp;$C133,'2026'!$O:$O,L$4)</f>
        <v>0</v>
      </c>
      <c r="M133" s="42">
        <f>SUMIFS('2026'!$L:$L,'2026'!$J:$J,$B133&amp;$C133,'2026'!$O:$O,M$4)</f>
        <v>0</v>
      </c>
      <c r="N133" s="42">
        <f>SUMIFS('2026'!$L:$L,'2026'!$J:$J,$B133&amp;$C133,'2026'!$O:$O,N$4)</f>
        <v>0</v>
      </c>
      <c r="O133" s="42">
        <f>SUMIFS('2026'!$L:$L,'2026'!$J:$J,$B133&amp;$C133,'2026'!$O:$O,O$4)</f>
        <v>0</v>
      </c>
      <c r="P133" s="61">
        <f t="shared" si="56"/>
        <v>134689</v>
      </c>
      <c r="Q133" s="7">
        <v>134689</v>
      </c>
      <c r="R133" s="8">
        <f t="shared" si="58"/>
        <v>0</v>
      </c>
      <c r="S133" s="9">
        <f t="shared" si="57"/>
        <v>0</v>
      </c>
      <c r="T133" s="77"/>
      <c r="U133" s="61">
        <v>0</v>
      </c>
    </row>
    <row r="134" spans="1:21" ht="15" customHeight="1">
      <c r="A134" s="2" t="s">
        <v>38</v>
      </c>
      <c r="B134" s="36">
        <v>3985</v>
      </c>
      <c r="C134" s="36" t="s">
        <v>154</v>
      </c>
      <c r="D134" s="42">
        <f>SUMIFS('2026'!$L:$L,'2026'!$J:$J,$B134&amp;$C134,'2026'!$O:$O,D$4)</f>
        <v>0</v>
      </c>
      <c r="E134" s="42">
        <f>SUMIFS('2026'!$L:$L,'2026'!$J:$J,$B134&amp;$C134,'2026'!$O:$O,E$4)</f>
        <v>0</v>
      </c>
      <c r="F134" s="42">
        <f>SUMIFS('2026'!$L:$L,'2026'!$J:$J,$B134&amp;$C134,'2026'!$O:$O,F$4)</f>
        <v>0</v>
      </c>
      <c r="G134" s="42">
        <f>SUMIFS('2026'!$L:$L,'2026'!$J:$J,$B134&amp;$C134,'2026'!$O:$O,G$4)</f>
        <v>0</v>
      </c>
      <c r="H134" s="42">
        <f>SUMIFS('2026'!$L:$L,'2026'!$J:$J,$B134&amp;$C134,'2026'!$O:$O,H$4)</f>
        <v>0</v>
      </c>
      <c r="I134" s="42">
        <f>SUMIFS('2026'!$L:$L,'2026'!$J:$J,$B134&amp;$C134,'2026'!$O:$O,I$4)</f>
        <v>0</v>
      </c>
      <c r="J134" s="42">
        <f>SUMIFS('2026'!$L:$L,'2026'!$J:$J,$B134&amp;$C134,'2026'!$O:$O,J$4)</f>
        <v>0</v>
      </c>
      <c r="K134" s="42">
        <f>SUMIFS('2026'!$L:$L,'2026'!$J:$J,$B134&amp;$C134,'2026'!$O:$O,K$4)</f>
        <v>0</v>
      </c>
      <c r="L134" s="42">
        <f>SUMIFS('2026'!$L:$L,'2026'!$J:$J,$B134&amp;$C134,'2026'!$O:$O,L$4)</f>
        <v>0</v>
      </c>
      <c r="M134" s="42">
        <f>SUMIFS('2026'!$L:$L,'2026'!$J:$J,$B134&amp;$C134,'2026'!$O:$O,M$4)</f>
        <v>0</v>
      </c>
      <c r="N134" s="42">
        <f>SUMIFS('2026'!$L:$L,'2026'!$J:$J,$B134&amp;$C134,'2026'!$O:$O,N$4)</f>
        <v>0</v>
      </c>
      <c r="O134" s="42">
        <f>SUMIFS('2026'!$L:$L,'2026'!$J:$J,$B134&amp;$C134,'2026'!$O:$O,O$4)</f>
        <v>0</v>
      </c>
      <c r="P134" s="61">
        <f t="shared" si="56"/>
        <v>0</v>
      </c>
      <c r="Q134" s="7">
        <v>0</v>
      </c>
      <c r="R134" s="8"/>
      <c r="S134" s="9" t="str">
        <f t="shared" si="57"/>
        <v/>
      </c>
      <c r="T134" s="77"/>
      <c r="U134" s="61">
        <v>0</v>
      </c>
    </row>
    <row r="135" spans="1:21" ht="15" customHeight="1">
      <c r="A135" s="2" t="s">
        <v>38</v>
      </c>
      <c r="B135" s="36">
        <v>1421</v>
      </c>
      <c r="C135" s="36" t="s">
        <v>154</v>
      </c>
      <c r="D135" s="42">
        <f>SUMIFS('2026'!$L:$L,'2026'!$J:$J,$B135&amp;$C135,'2026'!$O:$O,D$4)</f>
        <v>0</v>
      </c>
      <c r="E135" s="42">
        <f>SUMIFS('2026'!$L:$L,'2026'!$J:$J,$B135&amp;$C135,'2026'!$O:$O,E$4)</f>
        <v>0</v>
      </c>
      <c r="F135" s="42">
        <f>SUMIFS('2026'!$L:$L,'2026'!$J:$J,$B135&amp;$C135,'2026'!$O:$O,F$4)</f>
        <v>0</v>
      </c>
      <c r="G135" s="42">
        <f>SUMIFS('2026'!$L:$L,'2026'!$J:$J,$B135&amp;$C135,'2026'!$O:$O,G$4)</f>
        <v>0</v>
      </c>
      <c r="H135" s="42">
        <f>SUMIFS('2026'!$L:$L,'2026'!$J:$J,$B135&amp;$C135,'2026'!$O:$O,H$4)</f>
        <v>0</v>
      </c>
      <c r="I135" s="42">
        <f>SUMIFS('2026'!$L:$L,'2026'!$J:$J,$B135&amp;$C135,'2026'!$O:$O,I$4)</f>
        <v>0</v>
      </c>
      <c r="J135" s="42">
        <f>SUMIFS('2026'!$L:$L,'2026'!$J:$J,$B135&amp;$C135,'2026'!$O:$O,J$4)</f>
        <v>0</v>
      </c>
      <c r="K135" s="42">
        <f>SUMIFS('2026'!$L:$L,'2026'!$J:$J,$B135&amp;$C135,'2026'!$O:$O,K$4)</f>
        <v>0</v>
      </c>
      <c r="L135" s="42">
        <f>SUMIFS('2026'!$L:$L,'2026'!$J:$J,$B135&amp;$C135,'2026'!$O:$O,L$4)</f>
        <v>0</v>
      </c>
      <c r="M135" s="42">
        <f>SUMIFS('2026'!$L:$L,'2026'!$J:$J,$B135&amp;$C135,'2026'!$O:$O,M$4)</f>
        <v>0</v>
      </c>
      <c r="N135" s="42">
        <f>SUMIFS('2026'!$L:$L,'2026'!$J:$J,$B135&amp;$C135,'2026'!$O:$O,N$4)</f>
        <v>0</v>
      </c>
      <c r="O135" s="42">
        <f>SUMIFS('2026'!$L:$L,'2026'!$J:$J,$B135&amp;$C135,'2026'!$O:$O,O$4)</f>
        <v>0</v>
      </c>
      <c r="P135" s="61">
        <f t="shared" si="56"/>
        <v>0</v>
      </c>
      <c r="Q135" s="7">
        <v>0</v>
      </c>
      <c r="R135" s="8"/>
      <c r="S135" s="9" t="str">
        <f t="shared" si="57"/>
        <v/>
      </c>
      <c r="U135" s="61">
        <v>0</v>
      </c>
    </row>
    <row r="136" spans="1:21" ht="15" customHeight="1">
      <c r="B136" s="10"/>
      <c r="C136" s="90" t="s">
        <v>155</v>
      </c>
      <c r="D136" s="11">
        <f t="shared" ref="D136:O136" si="59">SUM(D123:D135)</f>
        <v>72633</v>
      </c>
      <c r="E136" s="11">
        <f t="shared" si="59"/>
        <v>157830</v>
      </c>
      <c r="F136" s="11">
        <f t="shared" si="59"/>
        <v>130935</v>
      </c>
      <c r="G136" s="11">
        <f t="shared" si="59"/>
        <v>172800</v>
      </c>
      <c r="H136" s="11">
        <f t="shared" si="59"/>
        <v>220800</v>
      </c>
      <c r="I136" s="11">
        <f t="shared" si="59"/>
        <v>247200</v>
      </c>
      <c r="J136" s="11">
        <f t="shared" si="59"/>
        <v>110400</v>
      </c>
      <c r="K136" s="11">
        <f t="shared" si="59"/>
        <v>40800</v>
      </c>
      <c r="L136" s="11">
        <f t="shared" si="59"/>
        <v>21600</v>
      </c>
      <c r="M136" s="11">
        <f t="shared" si="59"/>
        <v>0</v>
      </c>
      <c r="N136" s="11">
        <f t="shared" si="59"/>
        <v>4800</v>
      </c>
      <c r="O136" s="11">
        <f t="shared" si="59"/>
        <v>0</v>
      </c>
      <c r="P136" s="11">
        <f>SUM(P123:P135)</f>
        <v>1179798</v>
      </c>
      <c r="Q136" s="11">
        <v>1227617.3599999999</v>
      </c>
      <c r="R136" s="11">
        <f>SUM(R123:R135)</f>
        <v>-33429.919999999984</v>
      </c>
      <c r="S136" s="12">
        <f>IF(ISERROR(R136/Q136),"",R136/Q136)</f>
        <v>-2.7231547132894884E-2</v>
      </c>
      <c r="T136" s="76"/>
      <c r="U136" s="11">
        <v>681577</v>
      </c>
    </row>
    <row r="137" spans="1:21" ht="15" customHeight="1"/>
    <row r="138" spans="1:21" ht="15" customHeight="1"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</row>
    <row r="139" spans="1:21" ht="15" customHeight="1">
      <c r="D139" s="13"/>
      <c r="E139" s="13"/>
      <c r="F139" s="13"/>
      <c r="G139" s="13"/>
      <c r="H139" s="13"/>
      <c r="I139" s="56"/>
      <c r="J139" s="13"/>
      <c r="K139" s="13"/>
      <c r="L139" s="13"/>
      <c r="M139" s="13"/>
      <c r="N139" s="13"/>
      <c r="O139" s="13"/>
    </row>
    <row r="140" spans="1:21" s="116" customFormat="1" ht="15" customHeight="1">
      <c r="B140" s="114"/>
      <c r="C140" s="114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T140" s="117"/>
      <c r="U140" s="117"/>
    </row>
    <row r="141" spans="1:21" s="116" customFormat="1" ht="15" customHeight="1">
      <c r="B141" s="114"/>
      <c r="C141" s="114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T141" s="117"/>
      <c r="U141" s="117"/>
    </row>
    <row r="142" spans="1:21" s="116" customFormat="1" ht="15" customHeight="1">
      <c r="B142" s="114"/>
      <c r="C142" s="114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2"/>
      <c r="Q142" s="2"/>
      <c r="R142" s="31" t="s">
        <v>94</v>
      </c>
      <c r="S142" s="32"/>
      <c r="T142" s="71" t="s">
        <v>66</v>
      </c>
      <c r="U142" s="752"/>
    </row>
    <row r="143" spans="1:21" ht="15" customHeight="1">
      <c r="D143" s="5" t="str">
        <f t="shared" ref="D143:O143" si="60">D4</f>
        <v>Jan</v>
      </c>
      <c r="E143" s="5" t="str">
        <f t="shared" si="60"/>
        <v>Feb</v>
      </c>
      <c r="F143" s="5" t="str">
        <f t="shared" si="60"/>
        <v>Mar</v>
      </c>
      <c r="G143" s="5" t="str">
        <f t="shared" si="60"/>
        <v>Apr</v>
      </c>
      <c r="H143" s="5" t="str">
        <f t="shared" si="60"/>
        <v>May</v>
      </c>
      <c r="I143" s="5" t="str">
        <f t="shared" si="60"/>
        <v>Jun</v>
      </c>
      <c r="J143" s="5" t="str">
        <f t="shared" si="60"/>
        <v>Jul</v>
      </c>
      <c r="K143" s="5" t="str">
        <f t="shared" si="60"/>
        <v>Aug</v>
      </c>
      <c r="L143" s="5" t="str">
        <f t="shared" si="60"/>
        <v>Sep</v>
      </c>
      <c r="M143" s="5" t="str">
        <f t="shared" si="60"/>
        <v>Oct</v>
      </c>
      <c r="N143" s="5" t="str">
        <f t="shared" si="60"/>
        <v>Nov</v>
      </c>
      <c r="O143" s="5" t="str">
        <f t="shared" si="60"/>
        <v>Dec</v>
      </c>
      <c r="P143" s="187" t="str">
        <f>P$4</f>
        <v>2026 MRF3</v>
      </c>
      <c r="Q143" s="188" t="s">
        <v>1309</v>
      </c>
      <c r="R143" s="5" t="str">
        <f t="shared" ref="R143:S143" si="61">R$4</f>
        <v>Difference</v>
      </c>
      <c r="S143" s="6" t="str">
        <f t="shared" si="61"/>
        <v>% change</v>
      </c>
      <c r="T143" s="76"/>
      <c r="U143" s="187" t="s">
        <v>1186</v>
      </c>
    </row>
    <row r="144" spans="1:21" ht="35.85" customHeight="1">
      <c r="C144" s="166" t="s">
        <v>23</v>
      </c>
      <c r="D144" s="847">
        <f t="shared" ref="D144:P144" si="62">SUMIF($A$5:$A$135,"=48oz",D$5:D$136)</f>
        <v>1856750</v>
      </c>
      <c r="E144" s="847">
        <f t="shared" si="62"/>
        <v>2213068</v>
      </c>
      <c r="F144" s="165">
        <f t="shared" si="62"/>
        <v>2894790.42</v>
      </c>
      <c r="G144" s="165">
        <f t="shared" si="62"/>
        <v>2353352.04</v>
      </c>
      <c r="H144" s="165">
        <f t="shared" si="62"/>
        <v>2119702.2399999998</v>
      </c>
      <c r="I144" s="165">
        <f t="shared" si="62"/>
        <v>2281860.6857142854</v>
      </c>
      <c r="J144" s="165">
        <f t="shared" si="62"/>
        <v>2318929.6</v>
      </c>
      <c r="K144" s="165">
        <f t="shared" si="62"/>
        <v>2334003.4285714286</v>
      </c>
      <c r="L144" s="165">
        <f t="shared" si="62"/>
        <v>1732119.8354285713</v>
      </c>
      <c r="M144" s="165">
        <f t="shared" si="62"/>
        <v>1687020.9371428571</v>
      </c>
      <c r="N144" s="165">
        <f t="shared" si="62"/>
        <v>1215970.5279999999</v>
      </c>
      <c r="O144" s="165">
        <f t="shared" si="62"/>
        <v>1215970.5279999999</v>
      </c>
      <c r="P144" s="165">
        <f t="shared" si="62"/>
        <v>24223538.242857143</v>
      </c>
      <c r="Q144" s="165">
        <v>24223138.211999997</v>
      </c>
      <c r="R144" s="8">
        <f t="shared" ref="R144:R164" si="63">P144-Q144</f>
        <v>400.03085714578629</v>
      </c>
      <c r="S144" s="9">
        <f t="shared" ref="S144:S164" si="64">IF(ISERROR(R144/Q144),"",R144/Q144)</f>
        <v>1.6514410876275865E-5</v>
      </c>
      <c r="T144" s="161"/>
      <c r="U144" s="165">
        <v>24729832</v>
      </c>
    </row>
    <row r="145" spans="3:21" ht="15" customHeight="1">
      <c r="C145" s="166" t="s">
        <v>120</v>
      </c>
      <c r="D145" s="165">
        <f t="shared" ref="D145:P145" si="65">SUMIF($A$5:$A$135,"=BJ Pts",D$5:D$136)</f>
        <v>1909590</v>
      </c>
      <c r="E145" s="165">
        <f t="shared" si="65"/>
        <v>2297525</v>
      </c>
      <c r="F145" s="165">
        <f t="shared" si="65"/>
        <v>3138900.65</v>
      </c>
      <c r="G145" s="165">
        <f t="shared" si="65"/>
        <v>2230815</v>
      </c>
      <c r="H145" s="165">
        <f t="shared" si="65"/>
        <v>1992842</v>
      </c>
      <c r="I145" s="165">
        <f t="shared" si="65"/>
        <v>2136242.4</v>
      </c>
      <c r="J145" s="165">
        <f t="shared" si="65"/>
        <v>2220003.4285714286</v>
      </c>
      <c r="K145" s="165">
        <f t="shared" si="65"/>
        <v>2161075.2000000002</v>
      </c>
      <c r="L145" s="165">
        <f t="shared" si="65"/>
        <v>1830432</v>
      </c>
      <c r="M145" s="165">
        <f t="shared" si="65"/>
        <v>1646148</v>
      </c>
      <c r="N145" s="165">
        <f t="shared" si="65"/>
        <v>1106265.6000000001</v>
      </c>
      <c r="O145" s="165">
        <f t="shared" si="65"/>
        <v>1506265.6</v>
      </c>
      <c r="P145" s="165">
        <f t="shared" si="65"/>
        <v>24176104.878571428</v>
      </c>
      <c r="Q145" s="165">
        <v>24032798.971428573</v>
      </c>
      <c r="R145" s="8">
        <f t="shared" si="63"/>
        <v>143305.90714285523</v>
      </c>
      <c r="S145" s="9">
        <f t="shared" si="64"/>
        <v>5.9629303816515359E-3</v>
      </c>
      <c r="U145" s="165">
        <v>26413502</v>
      </c>
    </row>
    <row r="146" spans="3:21" ht="15" customHeight="1">
      <c r="C146" s="166" t="s">
        <v>41</v>
      </c>
      <c r="D146" s="165">
        <f t="shared" ref="D146:P146" si="66">SUMIF($A$5:$A$135,"=TALENTI",D$5:D$136)</f>
        <v>787404</v>
      </c>
      <c r="E146" s="165">
        <f t="shared" si="66"/>
        <v>936622</v>
      </c>
      <c r="F146" s="165">
        <f t="shared" si="66"/>
        <v>1043191.24</v>
      </c>
      <c r="G146" s="165">
        <f t="shared" si="66"/>
        <v>1240608</v>
      </c>
      <c r="H146" s="165">
        <f t="shared" si="66"/>
        <v>912864</v>
      </c>
      <c r="I146" s="165">
        <f t="shared" si="66"/>
        <v>1000719.3599999999</v>
      </c>
      <c r="J146" s="165">
        <f t="shared" si="66"/>
        <v>1000719.3599999999</v>
      </c>
      <c r="K146" s="165">
        <f t="shared" si="66"/>
        <v>1107939.2914285713</v>
      </c>
      <c r="L146" s="165">
        <f t="shared" si="66"/>
        <v>806400</v>
      </c>
      <c r="M146" s="165">
        <f t="shared" si="66"/>
        <v>952711.67999999993</v>
      </c>
      <c r="N146" s="165">
        <f t="shared" si="66"/>
        <v>576000</v>
      </c>
      <c r="O146" s="165">
        <f t="shared" si="66"/>
        <v>678950.94857142854</v>
      </c>
      <c r="P146" s="165">
        <f t="shared" si="66"/>
        <v>11044129.879999999</v>
      </c>
      <c r="Q146" s="165">
        <v>11023726.994285714</v>
      </c>
      <c r="R146" s="8">
        <f t="shared" si="63"/>
        <v>20402.885714285076</v>
      </c>
      <c r="S146" s="9">
        <f t="shared" si="64"/>
        <v>1.8508155839546067E-3</v>
      </c>
      <c r="U146" s="165">
        <v>10467549</v>
      </c>
    </row>
    <row r="147" spans="3:21" ht="15" customHeight="1">
      <c r="C147" s="166" t="s">
        <v>156</v>
      </c>
      <c r="D147" s="165">
        <f t="shared" ref="D147:P147" si="67">SUMIF($A$5:$A$135,"=MG Sticks",D$5:D$136)</f>
        <v>543661</v>
      </c>
      <c r="E147" s="165">
        <f t="shared" si="67"/>
        <v>675319</v>
      </c>
      <c r="F147" s="165">
        <f t="shared" si="67"/>
        <v>705455</v>
      </c>
      <c r="G147" s="165">
        <f t="shared" si="67"/>
        <v>955824</v>
      </c>
      <c r="H147" s="165">
        <f t="shared" si="67"/>
        <v>986304</v>
      </c>
      <c r="I147" s="165">
        <f t="shared" si="67"/>
        <v>694925</v>
      </c>
      <c r="J147" s="165">
        <f t="shared" si="67"/>
        <v>711075</v>
      </c>
      <c r="K147" s="165">
        <f t="shared" si="67"/>
        <v>676875</v>
      </c>
      <c r="L147" s="165">
        <f t="shared" si="67"/>
        <v>568575</v>
      </c>
      <c r="M147" s="165">
        <f t="shared" si="67"/>
        <v>140000</v>
      </c>
      <c r="N147" s="165">
        <f t="shared" si="67"/>
        <v>0</v>
      </c>
      <c r="O147" s="165">
        <f t="shared" si="67"/>
        <v>0</v>
      </c>
      <c r="P147" s="165">
        <f t="shared" si="67"/>
        <v>6658013</v>
      </c>
      <c r="Q147" s="165">
        <v>6825455.96</v>
      </c>
      <c r="R147" s="8">
        <f t="shared" si="63"/>
        <v>-167442.95999999996</v>
      </c>
      <c r="S147" s="9">
        <f t="shared" si="64"/>
        <v>-2.4532128107086923E-2</v>
      </c>
      <c r="U147" s="165">
        <v>7315892</v>
      </c>
    </row>
    <row r="148" spans="3:21" ht="15" customHeight="1">
      <c r="C148" s="166" t="s">
        <v>39</v>
      </c>
      <c r="D148" s="165">
        <f t="shared" ref="D148:P148" si="68">SUMIF($A$5:$A$135,"=PG",D$5:D$136)</f>
        <v>498856</v>
      </c>
      <c r="E148" s="165">
        <f t="shared" si="68"/>
        <v>537741</v>
      </c>
      <c r="F148" s="165">
        <f t="shared" si="68"/>
        <v>581868</v>
      </c>
      <c r="G148" s="165">
        <f t="shared" si="68"/>
        <v>595123.19999999995</v>
      </c>
      <c r="H148" s="165">
        <f t="shared" si="68"/>
        <v>610097.28</v>
      </c>
      <c r="I148" s="165">
        <f t="shared" si="68"/>
        <v>651763.19999999995</v>
      </c>
      <c r="J148" s="165">
        <f t="shared" si="68"/>
        <v>753641.75700090337</v>
      </c>
      <c r="K148" s="165">
        <f t="shared" si="68"/>
        <v>750479.85546522134</v>
      </c>
      <c r="L148" s="165">
        <f t="shared" si="68"/>
        <v>712791.75700090337</v>
      </c>
      <c r="M148" s="165">
        <f t="shared" si="68"/>
        <v>769167.9539295393</v>
      </c>
      <c r="N148" s="165">
        <f t="shared" si="68"/>
        <v>239400</v>
      </c>
      <c r="O148" s="165">
        <f t="shared" si="68"/>
        <v>0</v>
      </c>
      <c r="P148" s="165">
        <f t="shared" si="68"/>
        <v>6700930.003396567</v>
      </c>
      <c r="Q148" s="165">
        <v>6814517.4989340557</v>
      </c>
      <c r="R148" s="8">
        <f t="shared" si="63"/>
        <v>-113587.49553748872</v>
      </c>
      <c r="S148" s="9">
        <f t="shared" si="64"/>
        <v>-1.6668457532797644E-2</v>
      </c>
      <c r="U148" s="165">
        <v>7971888</v>
      </c>
    </row>
    <row r="149" spans="3:21" ht="15" customHeight="1">
      <c r="C149" s="166" t="s">
        <v>36</v>
      </c>
      <c r="D149" s="165">
        <f t="shared" ref="D149:P149" si="69">SUMIF($A$5:$A$135,"=MBG",D$5:D$136)</f>
        <v>203368</v>
      </c>
      <c r="E149" s="165">
        <f t="shared" si="69"/>
        <v>270058</v>
      </c>
      <c r="F149" s="165">
        <f t="shared" si="69"/>
        <v>340353.08</v>
      </c>
      <c r="G149" s="165">
        <f t="shared" si="69"/>
        <v>424608</v>
      </c>
      <c r="H149" s="165">
        <f t="shared" si="69"/>
        <v>424128</v>
      </c>
      <c r="I149" s="165">
        <f t="shared" si="69"/>
        <v>343900</v>
      </c>
      <c r="J149" s="165">
        <f t="shared" si="69"/>
        <v>326657.5</v>
      </c>
      <c r="K149" s="165">
        <f t="shared" si="69"/>
        <v>312455</v>
      </c>
      <c r="L149" s="165">
        <f t="shared" si="69"/>
        <v>238577.5</v>
      </c>
      <c r="M149" s="165">
        <f t="shared" si="69"/>
        <v>246557.5</v>
      </c>
      <c r="N149" s="165">
        <f t="shared" si="69"/>
        <v>0</v>
      </c>
      <c r="O149" s="165">
        <f t="shared" si="69"/>
        <v>0</v>
      </c>
      <c r="P149" s="165">
        <f t="shared" si="69"/>
        <v>3130662.58</v>
      </c>
      <c r="Q149" s="165">
        <v>3076646.9000000004</v>
      </c>
      <c r="R149" s="8">
        <f t="shared" si="63"/>
        <v>54015.679999999702</v>
      </c>
      <c r="S149" s="9">
        <f t="shared" si="64"/>
        <v>1.7556671842972847E-2</v>
      </c>
      <c r="U149" s="165">
        <v>3537638</v>
      </c>
    </row>
    <row r="150" spans="3:21" ht="15" customHeight="1">
      <c r="C150" s="166" t="s">
        <v>40</v>
      </c>
      <c r="D150" s="165">
        <f t="shared" ref="D150:P150" si="70">SUMIF($A$5:$A$135,"=SP1",D$5:D$136)</f>
        <v>178252</v>
      </c>
      <c r="E150" s="165">
        <f t="shared" si="70"/>
        <v>244571</v>
      </c>
      <c r="F150" s="165">
        <f t="shared" si="70"/>
        <v>327079.16000000003</v>
      </c>
      <c r="G150" s="165">
        <f t="shared" si="70"/>
        <v>304128</v>
      </c>
      <c r="H150" s="165">
        <f t="shared" si="70"/>
        <v>336600</v>
      </c>
      <c r="I150" s="165">
        <f t="shared" si="70"/>
        <v>283668.47999999998</v>
      </c>
      <c r="J150" s="165">
        <f t="shared" si="70"/>
        <v>315187.19999999995</v>
      </c>
      <c r="K150" s="165">
        <f t="shared" si="70"/>
        <v>346705.91999999998</v>
      </c>
      <c r="L150" s="165">
        <f t="shared" si="70"/>
        <v>299427.83999999997</v>
      </c>
      <c r="M150" s="165">
        <f t="shared" si="70"/>
        <v>324000</v>
      </c>
      <c r="N150" s="165">
        <f t="shared" si="70"/>
        <v>283668.47999999998</v>
      </c>
      <c r="O150" s="165">
        <f t="shared" si="70"/>
        <v>396000</v>
      </c>
      <c r="P150" s="165">
        <f t="shared" si="70"/>
        <v>3639288.08</v>
      </c>
      <c r="Q150" s="165">
        <v>3699143.28</v>
      </c>
      <c r="R150" s="8">
        <f t="shared" si="63"/>
        <v>-59855.199999999721</v>
      </c>
      <c r="S150" s="9">
        <f t="shared" si="64"/>
        <v>-1.618082768613378E-2</v>
      </c>
      <c r="U150" s="165">
        <v>3519195</v>
      </c>
    </row>
    <row r="151" spans="3:21" ht="15" customHeight="1">
      <c r="C151" s="166" t="s">
        <v>31</v>
      </c>
      <c r="D151" s="165">
        <f t="shared" ref="D151:P151" si="71">SUMIF($A$5:$A$135,"=EDF",D$5:D$136)</f>
        <v>417960</v>
      </c>
      <c r="E151" s="165">
        <f t="shared" si="71"/>
        <v>514428</v>
      </c>
      <c r="F151" s="165">
        <f t="shared" si="71"/>
        <v>658463.91999999993</v>
      </c>
      <c r="G151" s="165">
        <f t="shared" si="71"/>
        <v>551635.19999999995</v>
      </c>
      <c r="H151" s="165">
        <f t="shared" si="71"/>
        <v>485184</v>
      </c>
      <c r="I151" s="165">
        <f t="shared" si="71"/>
        <v>395580</v>
      </c>
      <c r="J151" s="165">
        <f t="shared" si="71"/>
        <v>414105</v>
      </c>
      <c r="K151" s="165">
        <f t="shared" si="71"/>
        <v>377311.5</v>
      </c>
      <c r="L151" s="165">
        <f t="shared" si="71"/>
        <v>356022</v>
      </c>
      <c r="M151" s="165">
        <f t="shared" si="71"/>
        <v>241893</v>
      </c>
      <c r="N151" s="165">
        <f t="shared" si="71"/>
        <v>193882.5</v>
      </c>
      <c r="O151" s="165">
        <f t="shared" si="71"/>
        <v>45000</v>
      </c>
      <c r="P151" s="165">
        <f t="shared" si="71"/>
        <v>4651465.1199999992</v>
      </c>
      <c r="Q151" s="165">
        <v>4769929.0266666664</v>
      </c>
      <c r="R151" s="8">
        <f t="shared" si="63"/>
        <v>-118463.9066666672</v>
      </c>
      <c r="S151" s="9">
        <f t="shared" si="64"/>
        <v>-2.4835570090117765E-2</v>
      </c>
      <c r="U151" s="165">
        <v>4990082</v>
      </c>
    </row>
    <row r="152" spans="3:21" ht="15" customHeight="1">
      <c r="C152" s="166" t="s">
        <v>32</v>
      </c>
      <c r="D152" s="165">
        <f t="shared" ref="D152:P152" si="72">SUMIF($A$5:$A$135,"=EFW",D$5:D$136)</f>
        <v>0</v>
      </c>
      <c r="E152" s="165">
        <f t="shared" si="72"/>
        <v>9618</v>
      </c>
      <c r="F152" s="165">
        <f t="shared" si="72"/>
        <v>240</v>
      </c>
      <c r="G152" s="165">
        <f t="shared" si="72"/>
        <v>18662.399999999998</v>
      </c>
      <c r="H152" s="165">
        <f t="shared" si="72"/>
        <v>41472</v>
      </c>
      <c r="I152" s="165">
        <f t="shared" si="72"/>
        <v>121472</v>
      </c>
      <c r="J152" s="165">
        <f t="shared" si="72"/>
        <v>142208</v>
      </c>
      <c r="K152" s="165">
        <f t="shared" si="72"/>
        <v>122208</v>
      </c>
      <c r="L152" s="165">
        <f t="shared" si="72"/>
        <v>61472</v>
      </c>
      <c r="M152" s="165">
        <f t="shared" si="72"/>
        <v>40736</v>
      </c>
      <c r="N152" s="165">
        <f t="shared" si="72"/>
        <v>102208</v>
      </c>
      <c r="O152" s="165">
        <f t="shared" si="72"/>
        <v>20000</v>
      </c>
      <c r="P152" s="165">
        <f t="shared" si="72"/>
        <v>680296.4</v>
      </c>
      <c r="Q152" s="165">
        <v>480000</v>
      </c>
      <c r="R152" s="8">
        <f t="shared" si="63"/>
        <v>200296.40000000002</v>
      </c>
      <c r="S152" s="9">
        <f t="shared" si="64"/>
        <v>0.41728416666666673</v>
      </c>
      <c r="U152" s="165">
        <v>419854</v>
      </c>
    </row>
    <row r="153" spans="3:21" ht="15" customHeight="1">
      <c r="C153" s="166" t="s">
        <v>33</v>
      </c>
      <c r="D153" s="165">
        <f t="shared" ref="D153:P153" si="73">SUMIF($A$5:$A$135,"=ESS",D$5:D$136)</f>
        <v>144534</v>
      </c>
      <c r="E153" s="165">
        <f t="shared" si="73"/>
        <v>98921</v>
      </c>
      <c r="F153" s="165">
        <f t="shared" si="73"/>
        <v>149406.24</v>
      </c>
      <c r="G153" s="165">
        <f t="shared" si="73"/>
        <v>209183.27703703698</v>
      </c>
      <c r="H153" s="165">
        <f t="shared" si="73"/>
        <v>311931.51999999996</v>
      </c>
      <c r="I153" s="165">
        <f t="shared" si="73"/>
        <v>264733.35703703697</v>
      </c>
      <c r="J153" s="165">
        <f t="shared" si="73"/>
        <v>137425.25703703699</v>
      </c>
      <c r="K153" s="165">
        <f t="shared" si="73"/>
        <v>179524.137037037</v>
      </c>
      <c r="L153" s="165">
        <f t="shared" si="73"/>
        <v>167898.15703703699</v>
      </c>
      <c r="M153" s="165">
        <f t="shared" si="73"/>
        <v>146579.59703703699</v>
      </c>
      <c r="N153" s="165">
        <f t="shared" si="73"/>
        <v>148032.77037037042</v>
      </c>
      <c r="O153" s="165">
        <f t="shared" si="73"/>
        <v>81312.770370370403</v>
      </c>
      <c r="P153" s="165">
        <f t="shared" si="73"/>
        <v>2039482.0829629628</v>
      </c>
      <c r="Q153" s="165">
        <v>2027656.4829629627</v>
      </c>
      <c r="R153" s="8">
        <f t="shared" si="63"/>
        <v>11825.600000000093</v>
      </c>
      <c r="S153" s="9">
        <f t="shared" si="64"/>
        <v>5.8321515993279326E-3</v>
      </c>
      <c r="U153" s="165">
        <v>2237990</v>
      </c>
    </row>
    <row r="154" spans="3:21" ht="15" customHeight="1">
      <c r="C154" s="166" t="s">
        <v>35</v>
      </c>
      <c r="D154" s="165">
        <f t="shared" ref="D154:P154" si="74">SUMIF($A$5:$A$135,"=KL Mini Cones",$P$5:$P$136)</f>
        <v>375523.24000000005</v>
      </c>
      <c r="E154" s="165">
        <f t="shared" si="74"/>
        <v>375523.24000000005</v>
      </c>
      <c r="F154" s="165">
        <f t="shared" si="74"/>
        <v>375523.24000000005</v>
      </c>
      <c r="G154" s="165">
        <f t="shared" si="74"/>
        <v>375523.24000000005</v>
      </c>
      <c r="H154" s="165">
        <f t="shared" si="74"/>
        <v>375523.24000000005</v>
      </c>
      <c r="I154" s="165">
        <f t="shared" si="74"/>
        <v>375523.24000000005</v>
      </c>
      <c r="J154" s="165">
        <f t="shared" si="74"/>
        <v>375523.24000000005</v>
      </c>
      <c r="K154" s="165">
        <f t="shared" si="74"/>
        <v>375523.24000000005</v>
      </c>
      <c r="L154" s="165">
        <f t="shared" si="74"/>
        <v>375523.24000000005</v>
      </c>
      <c r="M154" s="165">
        <f t="shared" si="74"/>
        <v>375523.24000000005</v>
      </c>
      <c r="N154" s="165">
        <f t="shared" si="74"/>
        <v>375523.24000000005</v>
      </c>
      <c r="O154" s="165">
        <f t="shared" si="74"/>
        <v>375523.24000000005</v>
      </c>
      <c r="P154" s="165">
        <f t="shared" si="74"/>
        <v>375523.24000000005</v>
      </c>
      <c r="Q154" s="165">
        <v>379084.2</v>
      </c>
      <c r="R154" s="8">
        <f t="shared" si="63"/>
        <v>-3560.9599999999627</v>
      </c>
      <c r="S154" s="9">
        <f t="shared" si="64"/>
        <v>-9.3935859104651749E-3</v>
      </c>
      <c r="U154" s="165">
        <v>758228</v>
      </c>
    </row>
    <row r="155" spans="3:21" ht="15" customHeight="1">
      <c r="C155" s="166" t="s">
        <v>157</v>
      </c>
      <c r="D155" s="165">
        <f t="shared" ref="D155:P155" si="75">SUMIF($A$5:$A$135,"=MG PTS",$P$5:$P$136)</f>
        <v>0</v>
      </c>
      <c r="E155" s="165">
        <f t="shared" si="75"/>
        <v>0</v>
      </c>
      <c r="F155" s="165">
        <f t="shared" si="75"/>
        <v>0</v>
      </c>
      <c r="G155" s="165">
        <f t="shared" si="75"/>
        <v>0</v>
      </c>
      <c r="H155" s="165">
        <f t="shared" si="75"/>
        <v>0</v>
      </c>
      <c r="I155" s="165">
        <f t="shared" si="75"/>
        <v>0</v>
      </c>
      <c r="J155" s="165">
        <f t="shared" si="75"/>
        <v>0</v>
      </c>
      <c r="K155" s="165">
        <f t="shared" si="75"/>
        <v>0</v>
      </c>
      <c r="L155" s="165">
        <f t="shared" si="75"/>
        <v>0</v>
      </c>
      <c r="M155" s="165">
        <f t="shared" si="75"/>
        <v>0</v>
      </c>
      <c r="N155" s="165">
        <f t="shared" si="75"/>
        <v>0</v>
      </c>
      <c r="O155" s="165">
        <f t="shared" si="75"/>
        <v>0</v>
      </c>
      <c r="P155" s="165">
        <f t="shared" si="75"/>
        <v>0</v>
      </c>
      <c r="Q155" s="165">
        <v>0</v>
      </c>
      <c r="R155" s="8">
        <f t="shared" si="63"/>
        <v>0</v>
      </c>
      <c r="S155" s="9" t="str">
        <f t="shared" si="64"/>
        <v/>
      </c>
      <c r="U155" s="165">
        <v>0</v>
      </c>
    </row>
    <row r="156" spans="3:21" ht="15" customHeight="1">
      <c r="C156" s="166" t="s">
        <v>21</v>
      </c>
      <c r="D156" s="165">
        <f t="shared" ref="D156:P156" si="76">SUMIF($A$5:$A$135,"=2.4 Gal",D$5:D$136)</f>
        <v>40870</v>
      </c>
      <c r="E156" s="165">
        <f t="shared" si="76"/>
        <v>84448</v>
      </c>
      <c r="F156" s="165">
        <f t="shared" si="76"/>
        <v>63514</v>
      </c>
      <c r="G156" s="165">
        <f t="shared" si="76"/>
        <v>63648</v>
      </c>
      <c r="H156" s="165">
        <f t="shared" si="76"/>
        <v>95999</v>
      </c>
      <c r="I156" s="165">
        <f t="shared" si="76"/>
        <v>27404</v>
      </c>
      <c r="J156" s="165">
        <f t="shared" si="76"/>
        <v>50830</v>
      </c>
      <c r="K156" s="165">
        <f t="shared" si="76"/>
        <v>53040</v>
      </c>
      <c r="L156" s="165">
        <f t="shared" si="76"/>
        <v>20774</v>
      </c>
      <c r="M156" s="165">
        <f t="shared" si="76"/>
        <v>15912</v>
      </c>
      <c r="N156" s="165">
        <f t="shared" si="76"/>
        <v>49946</v>
      </c>
      <c r="O156" s="165">
        <f t="shared" si="76"/>
        <v>0</v>
      </c>
      <c r="P156" s="165">
        <f t="shared" si="76"/>
        <v>566385</v>
      </c>
      <c r="Q156" s="165">
        <v>504816.4</v>
      </c>
      <c r="R156" s="8">
        <f t="shared" si="63"/>
        <v>61568.599999999977</v>
      </c>
      <c r="S156" s="9">
        <f t="shared" si="64"/>
        <v>0.12196236096925531</v>
      </c>
      <c r="U156" s="165">
        <v>469585</v>
      </c>
    </row>
    <row r="157" spans="3:21" ht="15" customHeight="1">
      <c r="C157" s="166" t="s">
        <v>25</v>
      </c>
      <c r="D157" s="165">
        <f t="shared" ref="D157:P157" si="77">SUMIF($A$5:$A$135,"=B&amp;J Cups",D$5:D$136)</f>
        <v>99137</v>
      </c>
      <c r="E157" s="165">
        <f t="shared" si="77"/>
        <v>46867</v>
      </c>
      <c r="F157" s="165">
        <f t="shared" si="77"/>
        <v>142438.80000000002</v>
      </c>
      <c r="G157" s="165">
        <f t="shared" si="77"/>
        <v>58052.160000000003</v>
      </c>
      <c r="H157" s="165">
        <f t="shared" si="77"/>
        <v>0</v>
      </c>
      <c r="I157" s="165">
        <f t="shared" si="77"/>
        <v>20511.36</v>
      </c>
      <c r="J157" s="165">
        <f t="shared" si="77"/>
        <v>49464</v>
      </c>
      <c r="K157" s="165">
        <f t="shared" si="77"/>
        <v>102677.76000000002</v>
      </c>
      <c r="L157" s="165">
        <f t="shared" si="77"/>
        <v>38232</v>
      </c>
      <c r="M157" s="165">
        <f t="shared" si="77"/>
        <v>67910.399999999994</v>
      </c>
      <c r="N157" s="165">
        <f t="shared" si="77"/>
        <v>96249.60000000002</v>
      </c>
      <c r="O157" s="165">
        <f t="shared" si="77"/>
        <v>29790.719999999998</v>
      </c>
      <c r="P157" s="165">
        <f t="shared" si="77"/>
        <v>751330.8</v>
      </c>
      <c r="Q157" s="165">
        <v>706803.3600000001</v>
      </c>
      <c r="R157" s="8">
        <f t="shared" si="63"/>
        <v>44527.439999999944</v>
      </c>
      <c r="S157" s="9">
        <f t="shared" si="64"/>
        <v>6.2998342282922851E-2</v>
      </c>
      <c r="U157" s="165">
        <v>1393892</v>
      </c>
    </row>
    <row r="158" spans="3:21" ht="15" customHeight="1">
      <c r="C158" s="166" t="s">
        <v>135</v>
      </c>
      <c r="D158" s="165">
        <f t="shared" ref="D158:P158" si="78">SUMIF($A$5:$A$135,"=MG Stick ND",D$5:D$136)</f>
        <v>0</v>
      </c>
      <c r="E158" s="165">
        <f t="shared" si="78"/>
        <v>0</v>
      </c>
      <c r="F158" s="165">
        <f t="shared" si="78"/>
        <v>0</v>
      </c>
      <c r="G158" s="165">
        <f t="shared" si="78"/>
        <v>0</v>
      </c>
      <c r="H158" s="165">
        <f t="shared" si="78"/>
        <v>0</v>
      </c>
      <c r="I158" s="165">
        <f t="shared" si="78"/>
        <v>0</v>
      </c>
      <c r="J158" s="165">
        <f t="shared" si="78"/>
        <v>0</v>
      </c>
      <c r="K158" s="165">
        <f t="shared" si="78"/>
        <v>0</v>
      </c>
      <c r="L158" s="165">
        <f t="shared" si="78"/>
        <v>0</v>
      </c>
      <c r="M158" s="165">
        <f t="shared" si="78"/>
        <v>0</v>
      </c>
      <c r="N158" s="165">
        <f t="shared" si="78"/>
        <v>0</v>
      </c>
      <c r="O158" s="165">
        <f t="shared" si="78"/>
        <v>0</v>
      </c>
      <c r="P158" s="165">
        <f t="shared" si="78"/>
        <v>0</v>
      </c>
      <c r="Q158" s="165">
        <v>0</v>
      </c>
      <c r="R158" s="8">
        <f t="shared" si="63"/>
        <v>0</v>
      </c>
      <c r="S158" s="9" t="str">
        <f t="shared" si="64"/>
        <v/>
      </c>
      <c r="U158" s="165">
        <v>0</v>
      </c>
    </row>
    <row r="159" spans="3:21" ht="15">
      <c r="C159" s="166" t="s">
        <v>38</v>
      </c>
      <c r="D159" s="165">
        <f t="shared" ref="D159:P159" si="79">SUMIF($A$5:$A$135,"=Other",D$5:D$136)</f>
        <v>272641</v>
      </c>
      <c r="E159" s="165">
        <f t="shared" si="79"/>
        <v>440599</v>
      </c>
      <c r="F159" s="165">
        <f t="shared" si="79"/>
        <v>495154.84</v>
      </c>
      <c r="G159" s="165">
        <f t="shared" si="79"/>
        <v>549682.55999999994</v>
      </c>
      <c r="H159" s="165">
        <f t="shared" si="79"/>
        <v>554352.96</v>
      </c>
      <c r="I159" s="165">
        <f t="shared" si="79"/>
        <v>522756.48</v>
      </c>
      <c r="J159" s="165">
        <f t="shared" si="79"/>
        <v>301422.57</v>
      </c>
      <c r="K159" s="165">
        <f t="shared" si="79"/>
        <v>210153.40000000002</v>
      </c>
      <c r="L159" s="165">
        <f t="shared" si="79"/>
        <v>132113.93</v>
      </c>
      <c r="M159" s="165">
        <f t="shared" si="79"/>
        <v>138737.07999999999</v>
      </c>
      <c r="N159" s="165">
        <f t="shared" si="79"/>
        <v>106263.04999999999</v>
      </c>
      <c r="O159" s="165">
        <f t="shared" si="79"/>
        <v>67660.600000000006</v>
      </c>
      <c r="P159" s="165">
        <f t="shared" si="79"/>
        <v>3791537.4699999997</v>
      </c>
      <c r="Q159" s="165">
        <v>4750325.9800000004</v>
      </c>
      <c r="R159" s="8">
        <f t="shared" si="63"/>
        <v>-958788.51000000071</v>
      </c>
      <c r="S159" s="9">
        <f t="shared" si="64"/>
        <v>-0.20183636113326281</v>
      </c>
      <c r="U159" s="165">
        <v>2078637</v>
      </c>
    </row>
    <row r="160" spans="3:21" ht="15">
      <c r="C160" s="166" t="s">
        <v>44</v>
      </c>
      <c r="D160" s="165">
        <f t="shared" ref="D160:P160" si="80">SUMIF($A$5:$A$135,"=Yasso Sticks",D$5:D$136)</f>
        <v>790485</v>
      </c>
      <c r="E160" s="165">
        <f t="shared" si="80"/>
        <v>759694</v>
      </c>
      <c r="F160" s="165">
        <f t="shared" si="80"/>
        <v>580565</v>
      </c>
      <c r="G160" s="165">
        <f t="shared" si="80"/>
        <v>547379.52</v>
      </c>
      <c r="H160" s="165">
        <f t="shared" si="80"/>
        <v>1543440</v>
      </c>
      <c r="I160" s="165">
        <f t="shared" si="80"/>
        <v>806910</v>
      </c>
      <c r="J160" s="165">
        <f t="shared" si="80"/>
        <v>820102.5</v>
      </c>
      <c r="K160" s="165">
        <f t="shared" si="80"/>
        <v>684247.5</v>
      </c>
      <c r="L160" s="165">
        <f t="shared" si="80"/>
        <v>527070</v>
      </c>
      <c r="M160" s="165">
        <f t="shared" si="80"/>
        <v>861107.5</v>
      </c>
      <c r="N160" s="165">
        <f t="shared" si="80"/>
        <v>867246.5</v>
      </c>
      <c r="O160" s="165">
        <f t="shared" si="80"/>
        <v>597397.5</v>
      </c>
      <c r="P160" s="165">
        <f t="shared" si="80"/>
        <v>9385645.0199999996</v>
      </c>
      <c r="Q160" s="165">
        <v>9395463.1063541658</v>
      </c>
      <c r="R160" s="8">
        <f t="shared" ref="R160" si="81">P160-Q160</f>
        <v>-9818.0863541662693</v>
      </c>
      <c r="S160" s="9">
        <f t="shared" ref="S160" si="82">IF(ISERROR(R160/Q160),"",R160/Q160)</f>
        <v>-1.044981630285609E-3</v>
      </c>
      <c r="U160" s="165">
        <v>9395863</v>
      </c>
    </row>
    <row r="161" spans="2:21" ht="15">
      <c r="C161" s="166" t="s">
        <v>30</v>
      </c>
      <c r="D161" s="165">
        <f t="shared" ref="D161:P161" si="83">SUMIF($A$5:$A$135,"=Dough Bites",D$5:D$136)</f>
        <v>69103</v>
      </c>
      <c r="E161" s="165">
        <f t="shared" si="83"/>
        <v>49152</v>
      </c>
      <c r="F161" s="165">
        <f t="shared" si="83"/>
        <v>40557</v>
      </c>
      <c r="G161" s="165">
        <f t="shared" si="83"/>
        <v>51840</v>
      </c>
      <c r="H161" s="165">
        <f t="shared" si="83"/>
        <v>43680</v>
      </c>
      <c r="I161" s="165">
        <f t="shared" si="83"/>
        <v>34800</v>
      </c>
      <c r="J161" s="165">
        <f t="shared" si="83"/>
        <v>37920</v>
      </c>
      <c r="K161" s="165">
        <f t="shared" si="83"/>
        <v>30720</v>
      </c>
      <c r="L161" s="165">
        <f t="shared" si="83"/>
        <v>13440</v>
      </c>
      <c r="M161" s="165">
        <f t="shared" si="83"/>
        <v>24960</v>
      </c>
      <c r="N161" s="165">
        <f t="shared" si="83"/>
        <v>25440</v>
      </c>
      <c r="O161" s="165">
        <f t="shared" si="83"/>
        <v>18720</v>
      </c>
      <c r="P161" s="165">
        <f t="shared" si="83"/>
        <v>440332</v>
      </c>
      <c r="Q161" s="165">
        <v>417455</v>
      </c>
      <c r="R161" s="8">
        <f t="shared" si="63"/>
        <v>22877</v>
      </c>
      <c r="S161" s="9">
        <f t="shared" si="64"/>
        <v>5.4801116287983134E-2</v>
      </c>
      <c r="U161" s="165">
        <v>453288</v>
      </c>
    </row>
    <row r="162" spans="2:21" ht="15">
      <c r="C162" s="166" t="s">
        <v>27</v>
      </c>
      <c r="D162" s="165"/>
      <c r="E162" s="165"/>
      <c r="F162" s="165"/>
      <c r="G162" s="165"/>
      <c r="H162" s="165"/>
      <c r="I162" s="165">
        <f t="shared" ref="I162:P162" si="84">SUMIF($A$5:$A$135,"=BJ Bars",I$5:I$136)</f>
        <v>134400</v>
      </c>
      <c r="J162" s="165">
        <f t="shared" si="84"/>
        <v>107520</v>
      </c>
      <c r="K162" s="165">
        <f t="shared" si="84"/>
        <v>215040</v>
      </c>
      <c r="L162" s="165">
        <f t="shared" si="84"/>
        <v>215040</v>
      </c>
      <c r="M162" s="165">
        <f t="shared" si="84"/>
        <v>134400</v>
      </c>
      <c r="N162" s="165">
        <f t="shared" si="84"/>
        <v>161280</v>
      </c>
      <c r="O162" s="165">
        <f t="shared" si="84"/>
        <v>80640</v>
      </c>
      <c r="P162" s="165">
        <f t="shared" si="84"/>
        <v>1950949.8</v>
      </c>
      <c r="Q162" s="165">
        <v>1817335.96</v>
      </c>
      <c r="R162" s="8">
        <f t="shared" si="63"/>
        <v>133613.84000000008</v>
      </c>
      <c r="S162" s="9">
        <f t="shared" si="64"/>
        <v>7.3521815966267501E-2</v>
      </c>
      <c r="U162" s="165">
        <v>231638</v>
      </c>
    </row>
    <row r="163" spans="2:21" ht="15">
      <c r="C163" s="166" t="s">
        <v>45</v>
      </c>
      <c r="D163" s="165"/>
      <c r="E163" s="165"/>
      <c r="F163" s="165"/>
      <c r="G163" s="165"/>
      <c r="H163" s="165"/>
      <c r="I163" s="165">
        <f t="shared" ref="I163:P163" si="85">SUMIF($A$5:$A$135,"=YS PTS",I$5:I$136)</f>
        <v>118260</v>
      </c>
      <c r="J163" s="165">
        <f t="shared" si="85"/>
        <v>230520</v>
      </c>
      <c r="K163" s="165">
        <f t="shared" si="85"/>
        <v>292760</v>
      </c>
      <c r="L163" s="165">
        <f t="shared" si="85"/>
        <v>350760</v>
      </c>
      <c r="M163" s="165">
        <f t="shared" si="85"/>
        <v>277760</v>
      </c>
      <c r="N163" s="165">
        <f t="shared" si="85"/>
        <v>291520</v>
      </c>
      <c r="O163" s="165">
        <f t="shared" si="85"/>
        <v>210880</v>
      </c>
      <c r="P163" s="165">
        <f t="shared" si="85"/>
        <v>2974920</v>
      </c>
      <c r="Q163" s="165">
        <v>2413330.2800000003</v>
      </c>
      <c r="R163" s="8">
        <f t="shared" si="63"/>
        <v>561589.71999999974</v>
      </c>
      <c r="S163" s="9">
        <f t="shared" si="64"/>
        <v>0.23270321706650102</v>
      </c>
      <c r="U163" s="165">
        <v>258043</v>
      </c>
    </row>
    <row r="164" spans="2:21" ht="15">
      <c r="C164" s="166" t="s">
        <v>34</v>
      </c>
      <c r="D164" s="165">
        <f t="shared" ref="D164:P164" si="86">SUMIF($A$5:$A$135,"=Facepieces",D$5:D$136)</f>
        <v>195300</v>
      </c>
      <c r="E164" s="165">
        <f t="shared" si="86"/>
        <v>437356</v>
      </c>
      <c r="F164" s="165">
        <f t="shared" si="86"/>
        <v>322308</v>
      </c>
      <c r="G164" s="165">
        <f t="shared" si="86"/>
        <v>831169.91999999993</v>
      </c>
      <c r="H164" s="165">
        <f t="shared" si="86"/>
        <v>324119.04000000004</v>
      </c>
      <c r="I164" s="165">
        <f t="shared" si="86"/>
        <v>307088.64000000001</v>
      </c>
      <c r="J164" s="165">
        <f t="shared" si="86"/>
        <v>245253.12</v>
      </c>
      <c r="K164" s="165">
        <f t="shared" si="86"/>
        <v>391336.32</v>
      </c>
      <c r="L164" s="165">
        <f t="shared" si="86"/>
        <v>145927.67999999999</v>
      </c>
      <c r="M164" s="165">
        <f t="shared" si="86"/>
        <v>150320.64000000001</v>
      </c>
      <c r="N164" s="165">
        <f t="shared" si="86"/>
        <v>206154.23999999999</v>
      </c>
      <c r="O164" s="165">
        <f t="shared" si="86"/>
        <v>135010.56</v>
      </c>
      <c r="P164" s="165">
        <f t="shared" si="86"/>
        <v>3691344.1600000006</v>
      </c>
      <c r="Q164" s="165">
        <v>3393270.4</v>
      </c>
      <c r="R164" s="8">
        <f t="shared" si="63"/>
        <v>298073.76000000071</v>
      </c>
      <c r="S164" s="9">
        <f t="shared" si="64"/>
        <v>8.7842619320877197E-2</v>
      </c>
      <c r="U164" s="165">
        <v>4996151</v>
      </c>
    </row>
    <row r="165" spans="2:21" ht="14.25" customHeight="1">
      <c r="C165" s="51"/>
      <c r="R165" s="31" t="s">
        <v>94</v>
      </c>
      <c r="S165" s="32"/>
      <c r="T165" s="71" t="s">
        <v>66</v>
      </c>
      <c r="U165" s="2"/>
    </row>
    <row r="166" spans="2:21">
      <c r="C166" s="162"/>
      <c r="D166" s="5" t="str">
        <f>D143</f>
        <v>Jan</v>
      </c>
      <c r="E166" s="5" t="str">
        <f t="shared" ref="E166:O166" si="87">E143</f>
        <v>Feb</v>
      </c>
      <c r="F166" s="5" t="str">
        <f t="shared" si="87"/>
        <v>Mar</v>
      </c>
      <c r="G166" s="5" t="str">
        <f t="shared" si="87"/>
        <v>Apr</v>
      </c>
      <c r="H166" s="5" t="str">
        <f t="shared" si="87"/>
        <v>May</v>
      </c>
      <c r="I166" s="5" t="str">
        <f t="shared" si="87"/>
        <v>Jun</v>
      </c>
      <c r="J166" s="5" t="str">
        <f t="shared" si="87"/>
        <v>Jul</v>
      </c>
      <c r="K166" s="5" t="str">
        <f t="shared" si="87"/>
        <v>Aug</v>
      </c>
      <c r="L166" s="5" t="str">
        <f t="shared" si="87"/>
        <v>Sep</v>
      </c>
      <c r="M166" s="5" t="str">
        <f t="shared" si="87"/>
        <v>Oct</v>
      </c>
      <c r="N166" s="5" t="str">
        <f t="shared" si="87"/>
        <v>Nov</v>
      </c>
      <c r="O166" s="5" t="str">
        <f t="shared" si="87"/>
        <v>Dec</v>
      </c>
      <c r="P166" s="187" t="str">
        <f>P$4</f>
        <v>2026 MRF3</v>
      </c>
      <c r="Q166" s="188" t="s">
        <v>1309</v>
      </c>
      <c r="R166" s="5" t="str">
        <f t="shared" ref="R166:S166" si="88">R$4</f>
        <v>Difference</v>
      </c>
      <c r="S166" s="6" t="str">
        <f t="shared" si="88"/>
        <v>% change</v>
      </c>
      <c r="U166" s="187" t="s">
        <v>1186</v>
      </c>
    </row>
    <row r="167" spans="2:21">
      <c r="C167" s="163" t="s">
        <v>5</v>
      </c>
      <c r="D167" s="164">
        <f t="shared" ref="D167:N167" si="89">D41</f>
        <v>3059349</v>
      </c>
      <c r="E167" s="164">
        <f t="shared" si="89"/>
        <v>3787130</v>
      </c>
      <c r="F167" s="164">
        <f t="shared" si="89"/>
        <v>4288743.09</v>
      </c>
      <c r="G167" s="164">
        <f t="shared" si="89"/>
        <v>4493356</v>
      </c>
      <c r="H167" s="164">
        <f t="shared" si="89"/>
        <v>3826400</v>
      </c>
      <c r="I167" s="164">
        <f t="shared" si="89"/>
        <v>3745226.2571428572</v>
      </c>
      <c r="J167" s="164">
        <f t="shared" si="89"/>
        <v>3895057.25</v>
      </c>
      <c r="K167" s="164">
        <f t="shared" si="89"/>
        <v>4048087.1971428571</v>
      </c>
      <c r="L167" s="164">
        <f t="shared" si="89"/>
        <v>3498227.9899999998</v>
      </c>
      <c r="M167" s="164">
        <f t="shared" si="89"/>
        <v>2959925.4171428569</v>
      </c>
      <c r="N167" s="164">
        <f t="shared" si="89"/>
        <v>2023295.47</v>
      </c>
      <c r="O167" s="164">
        <f>O41</f>
        <v>2079472.0885714288</v>
      </c>
      <c r="P167" s="164">
        <f>P41</f>
        <v>41704269.759999998</v>
      </c>
      <c r="Q167" s="164">
        <v>41684951.27714286</v>
      </c>
      <c r="R167" s="8">
        <f t="shared" ref="R167:R170" si="90">P167-Q167</f>
        <v>19318.482857137918</v>
      </c>
      <c r="S167" s="9">
        <f t="shared" ref="S167:S170" si="91">IF(ISERROR(R167/Q167),"",R167/Q167)</f>
        <v>4.6344021679907389E-4</v>
      </c>
      <c r="U167" s="164">
        <v>39669375</v>
      </c>
    </row>
    <row r="168" spans="2:21">
      <c r="C168" s="163" t="s">
        <v>6</v>
      </c>
      <c r="D168" s="164">
        <f t="shared" ref="D168:P168" si="92">D53</f>
        <v>1628457</v>
      </c>
      <c r="E168" s="164">
        <f t="shared" si="92"/>
        <v>2098119</v>
      </c>
      <c r="F168" s="164">
        <f t="shared" si="92"/>
        <v>2671604.9799999995</v>
      </c>
      <c r="G168" s="164">
        <f t="shared" si="92"/>
        <v>2262827.44</v>
      </c>
      <c r="H168" s="164">
        <f t="shared" si="92"/>
        <v>1989918.2399999998</v>
      </c>
      <c r="I168" s="164">
        <f t="shared" si="92"/>
        <v>1920029.2685714287</v>
      </c>
      <c r="J168" s="164">
        <f t="shared" si="92"/>
        <v>2059217.76</v>
      </c>
      <c r="K168" s="164">
        <f t="shared" si="92"/>
        <v>2174632.2428571428</v>
      </c>
      <c r="L168" s="164">
        <f t="shared" si="92"/>
        <v>1520181.8354285713</v>
      </c>
      <c r="M168" s="164">
        <f t="shared" si="92"/>
        <v>1679663</v>
      </c>
      <c r="N168" s="164">
        <f t="shared" si="92"/>
        <v>932656.18800000008</v>
      </c>
      <c r="O168" s="164">
        <f t="shared" si="92"/>
        <v>614198.68800000008</v>
      </c>
      <c r="P168" s="164">
        <f t="shared" si="92"/>
        <v>21551505.642857142</v>
      </c>
      <c r="Q168" s="164">
        <v>21663802.175809525</v>
      </c>
      <c r="R168" s="8">
        <f t="shared" si="90"/>
        <v>-112296.53295238316</v>
      </c>
      <c r="S168" s="9">
        <f t="shared" si="91"/>
        <v>-5.1836022153939794E-3</v>
      </c>
      <c r="U168" s="164">
        <v>22755898</v>
      </c>
    </row>
    <row r="169" spans="2:21">
      <c r="C169" s="163" t="s">
        <v>4</v>
      </c>
      <c r="D169" s="164">
        <f t="shared" ref="D169:P169" si="93">SUM(D14,D22)</f>
        <v>1804308</v>
      </c>
      <c r="E169" s="164">
        <f t="shared" si="93"/>
        <v>2346141</v>
      </c>
      <c r="F169" s="164">
        <f t="shared" si="93"/>
        <v>2879378.4</v>
      </c>
      <c r="G169" s="164">
        <f t="shared" si="93"/>
        <v>2059338</v>
      </c>
      <c r="H169" s="164">
        <f t="shared" si="93"/>
        <v>1952041</v>
      </c>
      <c r="I169" s="164">
        <f t="shared" si="93"/>
        <v>1952434.4</v>
      </c>
      <c r="J169" s="164">
        <f t="shared" si="93"/>
        <v>2080873.4285714286</v>
      </c>
      <c r="K169" s="164">
        <f t="shared" si="93"/>
        <v>2214115.2000000002</v>
      </c>
      <c r="L169" s="164">
        <f t="shared" si="93"/>
        <v>1851206</v>
      </c>
      <c r="M169" s="164">
        <f t="shared" si="93"/>
        <v>1658344</v>
      </c>
      <c r="N169" s="164">
        <f t="shared" si="93"/>
        <v>1156211.6000000001</v>
      </c>
      <c r="O169" s="164">
        <f t="shared" si="93"/>
        <v>1506265.6</v>
      </c>
      <c r="P169" s="164">
        <f t="shared" si="93"/>
        <v>23460656.628571428</v>
      </c>
      <c r="Q169" s="164">
        <v>23132218.371428575</v>
      </c>
      <c r="R169" s="8">
        <f t="shared" si="90"/>
        <v>328438.25714285299</v>
      </c>
      <c r="S169" s="9">
        <f t="shared" si="91"/>
        <v>1.4198303503330175E-2</v>
      </c>
      <c r="U169" s="164">
        <v>25057177</v>
      </c>
    </row>
    <row r="170" spans="2:21">
      <c r="C170" s="411" t="s">
        <v>7</v>
      </c>
      <c r="D170" s="412">
        <f t="shared" ref="D170:O170" si="94">D119</f>
        <v>6492114</v>
      </c>
      <c r="E170" s="412">
        <f t="shared" si="94"/>
        <v>8231390</v>
      </c>
      <c r="F170" s="412">
        <f t="shared" si="94"/>
        <v>9839726.4699999988</v>
      </c>
      <c r="G170" s="412">
        <f t="shared" si="94"/>
        <v>8815521.4399999995</v>
      </c>
      <c r="H170" s="412">
        <f t="shared" si="94"/>
        <v>7768359.2400000002</v>
      </c>
      <c r="I170" s="412">
        <f t="shared" si="94"/>
        <v>7617689.925714286</v>
      </c>
      <c r="J170" s="412">
        <f t="shared" si="94"/>
        <v>8035148.4385714289</v>
      </c>
      <c r="K170" s="412">
        <f t="shared" si="94"/>
        <v>8436834.6400000006</v>
      </c>
      <c r="L170" s="412">
        <f t="shared" si="94"/>
        <v>6869615.8254285716</v>
      </c>
      <c r="M170" s="412">
        <f t="shared" si="94"/>
        <v>6297932.4171428569</v>
      </c>
      <c r="N170" s="412">
        <f t="shared" si="94"/>
        <v>4112163.2580000004</v>
      </c>
      <c r="O170" s="412">
        <f t="shared" si="94"/>
        <v>4199936.376571429</v>
      </c>
      <c r="P170" s="412">
        <f>P119</f>
        <v>86716432.031428576</v>
      </c>
      <c r="Q170" s="412">
        <v>86480971.824380964</v>
      </c>
      <c r="R170" s="413">
        <f t="shared" si="90"/>
        <v>235460.20704761147</v>
      </c>
      <c r="S170" s="414">
        <f t="shared" si="91"/>
        <v>2.7226822511403586E-3</v>
      </c>
      <c r="U170" s="412">
        <v>87482450</v>
      </c>
    </row>
    <row r="171" spans="2:21">
      <c r="B171" s="1" t="s">
        <v>158</v>
      </c>
      <c r="C171" s="1">
        <v>1712</v>
      </c>
      <c r="D171" s="165">
        <f>SUMIF($B$5:$B$135,"=1712",D$5:D$136)</f>
        <v>276859</v>
      </c>
      <c r="E171" s="165">
        <f t="shared" ref="E171:O171" si="95">SUMIF($B$5:$B$135,"=1712",E$5:E$136)</f>
        <v>372525</v>
      </c>
      <c r="F171" s="165">
        <f t="shared" si="95"/>
        <v>600717.32000000007</v>
      </c>
      <c r="G171" s="165">
        <f t="shared" si="95"/>
        <v>278252.16000000003</v>
      </c>
      <c r="H171" s="165">
        <f t="shared" si="95"/>
        <v>377160</v>
      </c>
      <c r="I171" s="165">
        <f t="shared" si="95"/>
        <v>351596.16000000003</v>
      </c>
      <c r="J171" s="165">
        <f t="shared" si="95"/>
        <v>188932.8</v>
      </c>
      <c r="K171" s="165">
        <f t="shared" si="95"/>
        <v>585903.35999999999</v>
      </c>
      <c r="L171" s="165">
        <f t="shared" si="95"/>
        <v>410865.6</v>
      </c>
      <c r="M171" s="165">
        <f t="shared" si="95"/>
        <v>454982.40000000002</v>
      </c>
      <c r="N171" s="165">
        <f t="shared" si="95"/>
        <v>525254.40000000002</v>
      </c>
      <c r="O171" s="165">
        <f t="shared" si="95"/>
        <v>390443.52000000002</v>
      </c>
      <c r="P171" s="165">
        <f>SUMIF($B$5:$B$135,"=1712",P$5:P$136)</f>
        <v>4813491.7200000007</v>
      </c>
      <c r="Q171" s="165">
        <v>4795429.1199999992</v>
      </c>
      <c r="R171" s="8">
        <f t="shared" ref="R171:R179" si="96">P171-Q171</f>
        <v>18062.60000000149</v>
      </c>
      <c r="S171" s="9">
        <f t="shared" ref="S171:S179" si="97">IF(ISERROR(R171/Q171),"",R171/Q171)</f>
        <v>3.7666285014346106E-3</v>
      </c>
      <c r="T171" s="70">
        <v>1</v>
      </c>
      <c r="U171" s="165">
        <v>5796863</v>
      </c>
    </row>
    <row r="172" spans="2:21">
      <c r="B172" s="1" t="s">
        <v>159</v>
      </c>
      <c r="C172" s="1">
        <v>1713</v>
      </c>
      <c r="D172" s="165">
        <f>SUMIF($B$5:$B$135,"=1713",D$5:D$136)</f>
        <v>99</v>
      </c>
      <c r="E172" s="165">
        <f t="shared" ref="E172:P172" si="98">SUMIF($B$5:$B$135,"=1713",E$5:E$136)</f>
        <v>20779</v>
      </c>
      <c r="F172" s="165">
        <f t="shared" si="98"/>
        <v>0</v>
      </c>
      <c r="G172" s="165">
        <f t="shared" si="98"/>
        <v>3456</v>
      </c>
      <c r="H172" s="165">
        <f t="shared" si="98"/>
        <v>0</v>
      </c>
      <c r="I172" s="165">
        <f t="shared" si="98"/>
        <v>21120</v>
      </c>
      <c r="J172" s="165">
        <f t="shared" si="98"/>
        <v>10560</v>
      </c>
      <c r="K172" s="165">
        <f t="shared" si="98"/>
        <v>8448</v>
      </c>
      <c r="L172" s="165">
        <f t="shared" si="98"/>
        <v>10560</v>
      </c>
      <c r="M172" s="165">
        <f t="shared" si="98"/>
        <v>6336</v>
      </c>
      <c r="N172" s="165">
        <f t="shared" si="98"/>
        <v>4224</v>
      </c>
      <c r="O172" s="165">
        <f t="shared" si="98"/>
        <v>0</v>
      </c>
      <c r="P172" s="165">
        <f t="shared" si="98"/>
        <v>85582</v>
      </c>
      <c r="Q172" s="165">
        <v>90691.12</v>
      </c>
      <c r="R172" s="8">
        <f t="shared" si="96"/>
        <v>-5109.1199999999953</v>
      </c>
      <c r="S172" s="9">
        <f t="shared" si="97"/>
        <v>-5.6335394248080692E-2</v>
      </c>
      <c r="U172" s="165">
        <v>339395</v>
      </c>
    </row>
    <row r="173" spans="2:21">
      <c r="B173" s="1" t="s">
        <v>160</v>
      </c>
      <c r="C173" s="1">
        <v>1714</v>
      </c>
      <c r="D173" s="165">
        <f>SUMIF($B$5:$B$135,"=1714",D$5:D$136)</f>
        <v>0</v>
      </c>
      <c r="E173" s="165">
        <f t="shared" ref="E173:P173" si="99">SUMIF($B$5:$B$135,"=1714",E$5:E$136)</f>
        <v>0</v>
      </c>
      <c r="F173" s="165">
        <f t="shared" si="99"/>
        <v>0</v>
      </c>
      <c r="G173" s="165">
        <f t="shared" si="99"/>
        <v>0</v>
      </c>
      <c r="H173" s="165">
        <f t="shared" si="99"/>
        <v>0</v>
      </c>
      <c r="I173" s="165">
        <f t="shared" si="99"/>
        <v>0</v>
      </c>
      <c r="J173" s="165">
        <f t="shared" si="99"/>
        <v>0</v>
      </c>
      <c r="K173" s="165">
        <f t="shared" si="99"/>
        <v>0</v>
      </c>
      <c r="L173" s="165">
        <f t="shared" si="99"/>
        <v>0</v>
      </c>
      <c r="M173" s="165">
        <f t="shared" si="99"/>
        <v>0</v>
      </c>
      <c r="N173" s="165">
        <f t="shared" si="99"/>
        <v>0</v>
      </c>
      <c r="O173" s="165">
        <f t="shared" si="99"/>
        <v>0</v>
      </c>
      <c r="P173" s="165">
        <f t="shared" si="99"/>
        <v>0</v>
      </c>
      <c r="Q173" s="165">
        <v>0</v>
      </c>
      <c r="R173" s="8">
        <f t="shared" si="96"/>
        <v>0</v>
      </c>
      <c r="S173" s="9" t="str">
        <f t="shared" si="97"/>
        <v/>
      </c>
      <c r="U173" s="165">
        <v>5670</v>
      </c>
    </row>
    <row r="174" spans="2:21">
      <c r="B174" s="1" t="s">
        <v>161</v>
      </c>
      <c r="C174" s="1">
        <v>1715</v>
      </c>
      <c r="D174" s="165">
        <f>SUMIF($B$5:$B$135,"=1715",D$5:D$136)</f>
        <v>159308</v>
      </c>
      <c r="E174" s="165">
        <f t="shared" ref="E174:P174" si="100">SUMIF($B$5:$B$135,"=1715",E$5:E$136)</f>
        <v>94351</v>
      </c>
      <c r="F174" s="165">
        <f t="shared" si="100"/>
        <v>145653</v>
      </c>
      <c r="G174" s="165">
        <f t="shared" si="100"/>
        <v>184880.64000000001</v>
      </c>
      <c r="H174" s="165">
        <f t="shared" si="100"/>
        <v>896880</v>
      </c>
      <c r="I174" s="165">
        <f t="shared" si="100"/>
        <v>378000</v>
      </c>
      <c r="J174" s="165">
        <f t="shared" si="100"/>
        <v>327600</v>
      </c>
      <c r="K174" s="165">
        <f t="shared" si="100"/>
        <v>327600</v>
      </c>
      <c r="L174" s="165">
        <f t="shared" si="100"/>
        <v>226800</v>
      </c>
      <c r="M174" s="165">
        <f t="shared" si="100"/>
        <v>201600</v>
      </c>
      <c r="N174" s="165">
        <f t="shared" si="100"/>
        <v>252000</v>
      </c>
      <c r="O174" s="165">
        <f t="shared" si="100"/>
        <v>178000</v>
      </c>
      <c r="P174" s="165">
        <f t="shared" si="100"/>
        <v>3372672.64</v>
      </c>
      <c r="Q174" s="165">
        <v>2745970</v>
      </c>
      <c r="R174" s="8">
        <f t="shared" si="96"/>
        <v>626702.64000000013</v>
      </c>
      <c r="S174" s="9">
        <f t="shared" si="97"/>
        <v>0.22822632439538673</v>
      </c>
      <c r="U174" s="165">
        <v>2770754</v>
      </c>
    </row>
    <row r="175" spans="2:21">
      <c r="B175" s="1" t="s">
        <v>162</v>
      </c>
      <c r="C175" s="1">
        <v>1716</v>
      </c>
      <c r="D175" s="165">
        <f>SUMIF($B$5:$B$135,"=1716",D$5:D$136)</f>
        <v>377295</v>
      </c>
      <c r="E175" s="165">
        <f t="shared" ref="E175:P175" si="101">SUMIF($B$5:$B$135,"=1716",E$5:E$136)</f>
        <v>419602</v>
      </c>
      <c r="F175" s="165">
        <f t="shared" si="101"/>
        <v>636550.39999999991</v>
      </c>
      <c r="G175" s="165">
        <f t="shared" si="101"/>
        <v>425451.83999999997</v>
      </c>
      <c r="H175" s="165">
        <f t="shared" si="101"/>
        <v>766189.44</v>
      </c>
      <c r="I175" s="165">
        <f t="shared" si="101"/>
        <v>265920</v>
      </c>
      <c r="J175" s="165">
        <f t="shared" si="101"/>
        <v>370560</v>
      </c>
      <c r="K175" s="165">
        <f t="shared" si="101"/>
        <v>319680</v>
      </c>
      <c r="L175" s="165">
        <f t="shared" si="101"/>
        <v>340800</v>
      </c>
      <c r="M175" s="165">
        <f t="shared" si="101"/>
        <v>343196</v>
      </c>
      <c r="N175" s="165">
        <f t="shared" si="101"/>
        <v>458876</v>
      </c>
      <c r="O175" s="165">
        <f t="shared" si="101"/>
        <v>273520</v>
      </c>
      <c r="P175" s="165">
        <f t="shared" si="101"/>
        <v>4997640.68</v>
      </c>
      <c r="Q175" s="165">
        <v>5351780.5566666666</v>
      </c>
      <c r="R175" s="8">
        <f t="shared" si="96"/>
        <v>-354139.87666666694</v>
      </c>
      <c r="S175" s="9">
        <f t="shared" si="97"/>
        <v>-6.6172346365270515E-2</v>
      </c>
      <c r="U175" s="165">
        <v>4312767</v>
      </c>
    </row>
    <row r="176" spans="2:21">
      <c r="B176" s="1" t="s">
        <v>163</v>
      </c>
      <c r="C176" s="1">
        <v>1717</v>
      </c>
      <c r="D176" s="165">
        <f>SUMIF($B$5:$B$135,"=1717",D$5:D$136)</f>
        <v>309577</v>
      </c>
      <c r="E176" s="165">
        <f t="shared" ref="E176:P176" si="102">SUMIF($B$5:$B$135,"=1717",E$5:E$136)</f>
        <v>222996</v>
      </c>
      <c r="F176" s="165">
        <f t="shared" si="102"/>
        <v>195619.84</v>
      </c>
      <c r="G176" s="165">
        <f t="shared" si="102"/>
        <v>69340.799999999988</v>
      </c>
      <c r="H176" s="165">
        <f t="shared" si="102"/>
        <v>54537.599999999999</v>
      </c>
      <c r="I176" s="165">
        <f t="shared" si="102"/>
        <v>151177.91999999998</v>
      </c>
      <c r="J176" s="165">
        <f t="shared" si="102"/>
        <v>164640</v>
      </c>
      <c r="K176" s="165">
        <f t="shared" si="102"/>
        <v>68160</v>
      </c>
      <c r="L176" s="165">
        <f t="shared" si="102"/>
        <v>68160</v>
      </c>
      <c r="M176" s="165">
        <f t="shared" si="102"/>
        <v>293729</v>
      </c>
      <c r="N176" s="165">
        <f t="shared" si="102"/>
        <v>219693</v>
      </c>
      <c r="O176" s="165">
        <f t="shared" si="102"/>
        <v>130720</v>
      </c>
      <c r="P176" s="165">
        <f t="shared" si="102"/>
        <v>1948351.16</v>
      </c>
      <c r="Q176" s="165">
        <v>2030440.5296875001</v>
      </c>
      <c r="R176" s="8">
        <f t="shared" si="96"/>
        <v>-82089.369687500177</v>
      </c>
      <c r="S176" s="9">
        <f t="shared" si="97"/>
        <v>-4.0429339587766379E-2</v>
      </c>
      <c r="U176" s="165">
        <v>1973678</v>
      </c>
    </row>
    <row r="177" spans="2:21">
      <c r="C177" s="1" t="s">
        <v>118</v>
      </c>
      <c r="D177" s="165">
        <f>SUMIF($B$5:$B$135,"=Rhino",D$5:D$136)</f>
        <v>69103</v>
      </c>
      <c r="E177" s="165">
        <f t="shared" ref="E177:P177" si="103">SUMIF($B$5:$B$135,"=Rhino",E$5:E$136)</f>
        <v>49152</v>
      </c>
      <c r="F177" s="165">
        <f t="shared" si="103"/>
        <v>40557</v>
      </c>
      <c r="G177" s="165">
        <f t="shared" si="103"/>
        <v>51840</v>
      </c>
      <c r="H177" s="165">
        <f t="shared" si="103"/>
        <v>43680</v>
      </c>
      <c r="I177" s="165">
        <f t="shared" si="103"/>
        <v>34800</v>
      </c>
      <c r="J177" s="165">
        <f t="shared" si="103"/>
        <v>37920</v>
      </c>
      <c r="K177" s="165">
        <f t="shared" si="103"/>
        <v>30720</v>
      </c>
      <c r="L177" s="165">
        <f t="shared" si="103"/>
        <v>13440</v>
      </c>
      <c r="M177" s="165">
        <f t="shared" si="103"/>
        <v>24960</v>
      </c>
      <c r="N177" s="165">
        <f t="shared" si="103"/>
        <v>25440</v>
      </c>
      <c r="O177" s="165">
        <f t="shared" si="103"/>
        <v>18720</v>
      </c>
      <c r="P177" s="165">
        <f t="shared" si="103"/>
        <v>440332</v>
      </c>
      <c r="Q177" s="165">
        <v>417455</v>
      </c>
      <c r="R177" s="8">
        <f t="shared" si="96"/>
        <v>22877</v>
      </c>
      <c r="S177" s="9">
        <f t="shared" si="97"/>
        <v>5.4801116287983134E-2</v>
      </c>
      <c r="U177" s="165">
        <v>453288</v>
      </c>
    </row>
    <row r="178" spans="2:21">
      <c r="B178" s="1" t="s">
        <v>164</v>
      </c>
      <c r="C178" s="1">
        <v>6757</v>
      </c>
      <c r="D178" s="165">
        <f>SUMIF($B$5:$B$135,"=6757",D$5:D$136)</f>
        <v>31944</v>
      </c>
      <c r="E178" s="165">
        <f t="shared" ref="E178:P178" si="104">SUMIF($B$5:$B$135,"=6757",E$5:E$136)</f>
        <v>84067</v>
      </c>
      <c r="F178" s="165">
        <f t="shared" si="104"/>
        <v>84153.72</v>
      </c>
      <c r="G178" s="165">
        <f t="shared" si="104"/>
        <v>46513.919999999998</v>
      </c>
      <c r="H178" s="165">
        <f t="shared" si="104"/>
        <v>58321.919999999998</v>
      </c>
      <c r="I178" s="165">
        <f t="shared" si="104"/>
        <v>55816.319999999992</v>
      </c>
      <c r="J178" s="165">
        <f t="shared" si="104"/>
        <v>46513.919999999998</v>
      </c>
      <c r="K178" s="165">
        <f t="shared" si="104"/>
        <v>58142.399999999994</v>
      </c>
      <c r="L178" s="165">
        <f t="shared" si="104"/>
        <v>46513.919999999998</v>
      </c>
      <c r="M178" s="165">
        <f t="shared" si="104"/>
        <v>30322.559999999998</v>
      </c>
      <c r="N178" s="165">
        <f t="shared" si="104"/>
        <v>0</v>
      </c>
      <c r="O178" s="165">
        <f t="shared" si="104"/>
        <v>7065.5999999999995</v>
      </c>
      <c r="P178" s="165">
        <f t="shared" si="104"/>
        <v>549375.27999999991</v>
      </c>
      <c r="Q178" s="165">
        <v>532579.79999999993</v>
      </c>
      <c r="R178" s="8">
        <f t="shared" si="96"/>
        <v>16795.479999999981</v>
      </c>
      <c r="S178" s="9">
        <f t="shared" si="97"/>
        <v>3.1536081541207503E-2</v>
      </c>
      <c r="U178" s="165">
        <v>541108</v>
      </c>
    </row>
    <row r="179" spans="2:21">
      <c r="B179" s="1" t="s">
        <v>165</v>
      </c>
      <c r="C179" s="1">
        <v>6706</v>
      </c>
      <c r="D179" s="165">
        <f>SUMIF($B$5:$B$135,"=6706",D$5:D$136)</f>
        <v>27971</v>
      </c>
      <c r="E179" s="165">
        <f t="shared" ref="E179:P179" si="105">SUMIF($B$5:$B$135,"=6706",E$5:E$136)</f>
        <v>0</v>
      </c>
      <c r="F179" s="165">
        <f t="shared" si="105"/>
        <v>0</v>
      </c>
      <c r="G179" s="165">
        <f t="shared" si="105"/>
        <v>27258.400000000001</v>
      </c>
      <c r="H179" s="165">
        <f t="shared" si="105"/>
        <v>80000</v>
      </c>
      <c r="I179" s="165">
        <f t="shared" si="105"/>
        <v>58500</v>
      </c>
      <c r="J179" s="165">
        <f t="shared" si="105"/>
        <v>55000</v>
      </c>
      <c r="K179" s="165">
        <f t="shared" si="105"/>
        <v>0</v>
      </c>
      <c r="L179" s="165">
        <f t="shared" si="105"/>
        <v>0</v>
      </c>
      <c r="M179" s="165">
        <f t="shared" si="105"/>
        <v>0</v>
      </c>
      <c r="N179" s="165">
        <f t="shared" si="105"/>
        <v>0</v>
      </c>
      <c r="O179" s="165">
        <f t="shared" si="105"/>
        <v>0</v>
      </c>
      <c r="P179" s="165">
        <f t="shared" si="105"/>
        <v>248729.4</v>
      </c>
      <c r="Q179" s="165">
        <v>275654.68</v>
      </c>
      <c r="R179" s="8">
        <f t="shared" si="96"/>
        <v>-26925.279999999999</v>
      </c>
      <c r="S179" s="9">
        <f t="shared" si="97"/>
        <v>-9.7677572533867371E-2</v>
      </c>
      <c r="U179" s="165">
        <v>994411</v>
      </c>
    </row>
    <row r="180" spans="2:21">
      <c r="C180" s="1" t="s">
        <v>123</v>
      </c>
      <c r="D180" s="165">
        <f>SUMIF($B$5:$B$135,"=Glacier point",D$5:D$136)</f>
        <v>0</v>
      </c>
      <c r="E180" s="165">
        <f t="shared" ref="E180:P180" si="106">SUMIF($B$5:$B$135,"=Glacier point",E$5:E$136)</f>
        <v>0</v>
      </c>
      <c r="F180" s="165">
        <f t="shared" si="106"/>
        <v>0</v>
      </c>
      <c r="G180" s="165">
        <f t="shared" si="106"/>
        <v>0</v>
      </c>
      <c r="H180" s="165">
        <f t="shared" si="106"/>
        <v>0</v>
      </c>
      <c r="I180" s="165">
        <f t="shared" si="106"/>
        <v>0</v>
      </c>
      <c r="J180" s="165">
        <f t="shared" si="106"/>
        <v>0</v>
      </c>
      <c r="K180" s="165">
        <f t="shared" si="106"/>
        <v>0</v>
      </c>
      <c r="L180" s="165">
        <f t="shared" si="106"/>
        <v>0</v>
      </c>
      <c r="M180" s="165">
        <f t="shared" si="106"/>
        <v>0</v>
      </c>
      <c r="N180" s="165">
        <f t="shared" si="106"/>
        <v>0</v>
      </c>
      <c r="O180" s="165">
        <f t="shared" si="106"/>
        <v>0</v>
      </c>
      <c r="P180" s="165">
        <f t="shared" si="106"/>
        <v>0</v>
      </c>
      <c r="Q180" s="165">
        <v>0</v>
      </c>
      <c r="R180" s="8"/>
      <c r="S180" s="9"/>
      <c r="U180" s="165">
        <v>73993</v>
      </c>
    </row>
    <row r="181" spans="2:21">
      <c r="B181" s="1" t="s">
        <v>166</v>
      </c>
      <c r="C181" s="1">
        <v>6765</v>
      </c>
      <c r="D181" s="165">
        <f t="shared" ref="D181:P181" si="107">SUMIF($B$5:$B$135,"=6765",D$5:D$136)</f>
        <v>14446</v>
      </c>
      <c r="E181" s="165">
        <f t="shared" si="107"/>
        <v>54383</v>
      </c>
      <c r="F181" s="165">
        <f t="shared" si="107"/>
        <v>152518.63999999998</v>
      </c>
      <c r="G181" s="165">
        <f t="shared" si="107"/>
        <v>103680</v>
      </c>
      <c r="H181" s="165">
        <f t="shared" si="107"/>
        <v>77760</v>
      </c>
      <c r="I181" s="165">
        <f t="shared" si="107"/>
        <v>86054.399999999994</v>
      </c>
      <c r="J181" s="165">
        <f t="shared" si="107"/>
        <v>60134.400000000001</v>
      </c>
      <c r="K181" s="165">
        <f t="shared" si="107"/>
        <v>39398.400000000001</v>
      </c>
      <c r="L181" s="165">
        <f t="shared" si="107"/>
        <v>19238.400000000001</v>
      </c>
      <c r="M181" s="165">
        <f t="shared" si="107"/>
        <v>35654.400000000001</v>
      </c>
      <c r="N181" s="165">
        <f t="shared" si="107"/>
        <v>24710.400000000001</v>
      </c>
      <c r="O181" s="165">
        <f t="shared" si="107"/>
        <v>16588.8</v>
      </c>
      <c r="P181" s="165">
        <f t="shared" si="107"/>
        <v>684566.84</v>
      </c>
      <c r="Q181" s="165">
        <v>1311797.6400000001</v>
      </c>
      <c r="R181" s="8"/>
      <c r="S181" s="9"/>
      <c r="U181" s="165">
        <v>48994</v>
      </c>
    </row>
    <row r="182" spans="2:21">
      <c r="B182" s="1" t="s">
        <v>166</v>
      </c>
      <c r="C182" s="1">
        <v>6764</v>
      </c>
      <c r="D182" s="165">
        <f t="shared" ref="D182:P182" si="108">SUMIF($B$5:$B$135,"=6764",D$5:D$136)</f>
        <v>78968</v>
      </c>
      <c r="E182" s="165">
        <f t="shared" si="108"/>
        <v>76376</v>
      </c>
      <c r="F182" s="165">
        <f t="shared" si="108"/>
        <v>49393</v>
      </c>
      <c r="G182" s="165">
        <f t="shared" si="108"/>
        <v>57600</v>
      </c>
      <c r="H182" s="165">
        <f t="shared" si="108"/>
        <v>57600</v>
      </c>
      <c r="I182" s="165">
        <f t="shared" si="108"/>
        <v>76800</v>
      </c>
      <c r="J182" s="165">
        <f t="shared" si="108"/>
        <v>38400</v>
      </c>
      <c r="K182" s="165">
        <f t="shared" si="108"/>
        <v>38400</v>
      </c>
      <c r="L182" s="165">
        <f t="shared" si="108"/>
        <v>19200</v>
      </c>
      <c r="M182" s="165">
        <f t="shared" si="108"/>
        <v>19200</v>
      </c>
      <c r="N182" s="165">
        <f t="shared" si="108"/>
        <v>19200</v>
      </c>
      <c r="O182" s="165">
        <f t="shared" si="108"/>
        <v>0</v>
      </c>
      <c r="P182" s="165">
        <f t="shared" si="108"/>
        <v>531137</v>
      </c>
      <c r="Q182" s="165">
        <v>754766.52</v>
      </c>
      <c r="R182" s="8"/>
      <c r="S182" s="9"/>
      <c r="U182" s="165">
        <v>89496</v>
      </c>
    </row>
    <row r="183" spans="2:21">
      <c r="C183" s="1" t="s">
        <v>167</v>
      </c>
      <c r="D183" s="165">
        <f t="shared" ref="D183:P183" si="109">SUMIF($B$5:$B$135,"=3985",D$5:D$136)</f>
        <v>72633</v>
      </c>
      <c r="E183" s="165">
        <f t="shared" si="109"/>
        <v>157830</v>
      </c>
      <c r="F183" s="165">
        <f t="shared" si="109"/>
        <v>130935</v>
      </c>
      <c r="G183" s="165">
        <f t="shared" si="109"/>
        <v>172800</v>
      </c>
      <c r="H183" s="165">
        <f t="shared" si="109"/>
        <v>220800</v>
      </c>
      <c r="I183" s="165">
        <f t="shared" si="109"/>
        <v>247200</v>
      </c>
      <c r="J183" s="165">
        <f t="shared" si="109"/>
        <v>110400</v>
      </c>
      <c r="K183" s="165">
        <f t="shared" si="109"/>
        <v>40800</v>
      </c>
      <c r="L183" s="165">
        <f t="shared" si="109"/>
        <v>21600</v>
      </c>
      <c r="M183" s="165">
        <f t="shared" si="109"/>
        <v>0</v>
      </c>
      <c r="N183" s="165">
        <f t="shared" si="109"/>
        <v>4800</v>
      </c>
      <c r="O183" s="165">
        <f t="shared" si="109"/>
        <v>0</v>
      </c>
      <c r="P183" s="165">
        <f t="shared" si="109"/>
        <v>1179798</v>
      </c>
      <c r="Q183" s="165">
        <v>1227617.3599999999</v>
      </c>
      <c r="R183" s="8"/>
      <c r="S183" s="9"/>
      <c r="U183" s="165">
        <v>681577</v>
      </c>
    </row>
    <row r="184" spans="2:21">
      <c r="C184" s="415" t="s">
        <v>168</v>
      </c>
      <c r="D184" s="416">
        <f>SUM(D171:D183)</f>
        <v>1418203</v>
      </c>
      <c r="E184" s="416">
        <f t="shared" ref="E184:P184" si="110">SUM(E171:E183)</f>
        <v>1552061</v>
      </c>
      <c r="F184" s="416">
        <f t="shared" si="110"/>
        <v>2036097.92</v>
      </c>
      <c r="G184" s="416">
        <f t="shared" si="110"/>
        <v>1421073.7599999998</v>
      </c>
      <c r="H184" s="416">
        <f t="shared" si="110"/>
        <v>2632928.96</v>
      </c>
      <c r="I184" s="416">
        <f t="shared" si="110"/>
        <v>1726984.8</v>
      </c>
      <c r="J184" s="416">
        <f t="shared" si="110"/>
        <v>1410661.1199999999</v>
      </c>
      <c r="K184" s="416">
        <f t="shared" si="110"/>
        <v>1517252.1599999997</v>
      </c>
      <c r="L184" s="416">
        <f t="shared" si="110"/>
        <v>1177177.92</v>
      </c>
      <c r="M184" s="416">
        <f t="shared" si="110"/>
        <v>1409980.3599999999</v>
      </c>
      <c r="N184" s="416">
        <f t="shared" si="110"/>
        <v>1534197.7999999998</v>
      </c>
      <c r="O184" s="416">
        <f t="shared" si="110"/>
        <v>1015057.92</v>
      </c>
      <c r="P184" s="416">
        <f t="shared" si="110"/>
        <v>18851676.720000003</v>
      </c>
      <c r="Q184" s="416">
        <v>19534182.326354165</v>
      </c>
      <c r="R184" s="413">
        <f t="shared" ref="R184:R186" si="111">P184-Q184</f>
        <v>-682505.6063541621</v>
      </c>
      <c r="S184" s="414">
        <f t="shared" ref="S184:S186" si="112">IF(ISERROR(R184/Q184),"",R184/Q184)</f>
        <v>-3.4939041468522225E-2</v>
      </c>
      <c r="U184" s="416">
        <v>18081994</v>
      </c>
    </row>
    <row r="185" spans="2:21">
      <c r="C185" s="1">
        <v>3910</v>
      </c>
      <c r="D185" s="165">
        <f>SUMIF($B$5:$B$135,"=3910",D$5:D$136)</f>
        <v>54639</v>
      </c>
      <c r="E185" s="165">
        <f t="shared" ref="E185:P185" si="113">SUMIF($B$5:$B$135,"=3910",E$5:E$136)</f>
        <v>25062</v>
      </c>
      <c r="F185" s="165">
        <f t="shared" si="113"/>
        <v>240</v>
      </c>
      <c r="G185" s="165">
        <f>SUMIF($B$5:$B$135,"=3910",G$5:G$136)</f>
        <v>57246.720000000001</v>
      </c>
      <c r="H185" s="165">
        <f t="shared" si="113"/>
        <v>120432</v>
      </c>
      <c r="I185" s="165">
        <f t="shared" si="113"/>
        <v>372771.2</v>
      </c>
      <c r="J185" s="165">
        <f t="shared" si="113"/>
        <v>322688</v>
      </c>
      <c r="K185" s="165">
        <f t="shared" si="113"/>
        <v>140697.60000000001</v>
      </c>
      <c r="L185" s="165">
        <f t="shared" si="113"/>
        <v>79961.600000000006</v>
      </c>
      <c r="M185" s="165">
        <f t="shared" si="113"/>
        <v>59225.599999999999</v>
      </c>
      <c r="N185" s="165">
        <f t="shared" si="113"/>
        <v>120697.60000000001</v>
      </c>
      <c r="O185" s="165">
        <f t="shared" si="113"/>
        <v>20000</v>
      </c>
      <c r="P185" s="165">
        <f t="shared" si="113"/>
        <v>1373661.32</v>
      </c>
      <c r="Q185" s="165">
        <v>1050083</v>
      </c>
      <c r="R185" s="8">
        <f t="shared" si="111"/>
        <v>323578.32000000007</v>
      </c>
      <c r="S185" s="9">
        <f t="shared" si="112"/>
        <v>0.30814547040567275</v>
      </c>
      <c r="U185" s="165">
        <v>454078</v>
      </c>
    </row>
    <row r="186" spans="2:21">
      <c r="C186" s="1" t="s">
        <v>140</v>
      </c>
      <c r="D186" s="15">
        <f t="shared" ref="D186:P186" si="114">D116-D185</f>
        <v>466122</v>
      </c>
      <c r="E186" s="15">
        <f t="shared" si="114"/>
        <v>608613</v>
      </c>
      <c r="F186" s="15">
        <f t="shared" si="114"/>
        <v>614056.44000000006</v>
      </c>
      <c r="G186" s="15">
        <f t="shared" si="114"/>
        <v>1289321.28</v>
      </c>
      <c r="H186" s="15">
        <f t="shared" si="114"/>
        <v>851306.88</v>
      </c>
      <c r="I186" s="15">
        <f t="shared" si="114"/>
        <v>652056</v>
      </c>
      <c r="J186" s="15">
        <f t="shared" si="114"/>
        <v>530052.19700090343</v>
      </c>
      <c r="K186" s="15">
        <f t="shared" si="114"/>
        <v>642549.37546522135</v>
      </c>
      <c r="L186" s="15">
        <f t="shared" si="114"/>
        <v>370617.31700090331</v>
      </c>
      <c r="M186" s="15">
        <f t="shared" si="114"/>
        <v>418929.43392953934</v>
      </c>
      <c r="N186" s="15">
        <f t="shared" si="114"/>
        <v>206154.23999999996</v>
      </c>
      <c r="O186" s="15">
        <f t="shared" si="114"/>
        <v>135010.56</v>
      </c>
      <c r="P186" s="15">
        <f t="shared" si="114"/>
        <v>6784788.7233965676</v>
      </c>
      <c r="Q186" s="15">
        <v>6489984.0589340553</v>
      </c>
      <c r="R186" s="8">
        <f t="shared" si="111"/>
        <v>294804.66446251236</v>
      </c>
      <c r="S186" s="9">
        <f t="shared" si="112"/>
        <v>4.5424559102989912E-2</v>
      </c>
      <c r="U186" s="15">
        <v>9922760</v>
      </c>
    </row>
    <row r="187" spans="2:21">
      <c r="C187" s="417" t="s">
        <v>169</v>
      </c>
      <c r="D187" s="418">
        <f t="shared" ref="D187:P187" si="115">SUM(D184:D186,D170)</f>
        <v>8431078</v>
      </c>
      <c r="E187" s="418">
        <f t="shared" si="115"/>
        <v>10417126</v>
      </c>
      <c r="F187" s="418">
        <f t="shared" si="115"/>
        <v>12490120.829999998</v>
      </c>
      <c r="G187" s="418">
        <f t="shared" si="115"/>
        <v>11583163.199999999</v>
      </c>
      <c r="H187" s="418">
        <f t="shared" si="115"/>
        <v>11373027.08</v>
      </c>
      <c r="I187" s="418">
        <f t="shared" si="115"/>
        <v>10369501.925714286</v>
      </c>
      <c r="J187" s="418">
        <f t="shared" si="115"/>
        <v>10298549.755572332</v>
      </c>
      <c r="K187" s="418">
        <f t="shared" si="115"/>
        <v>10737333.775465222</v>
      </c>
      <c r="L187" s="418">
        <f t="shared" si="115"/>
        <v>8497372.6624294743</v>
      </c>
      <c r="M187" s="418">
        <f t="shared" si="115"/>
        <v>8186067.8110723961</v>
      </c>
      <c r="N187" s="418">
        <f t="shared" si="115"/>
        <v>5973212.898</v>
      </c>
      <c r="O187" s="418">
        <f t="shared" si="115"/>
        <v>5370004.8565714285</v>
      </c>
      <c r="P187" s="418">
        <f t="shared" si="115"/>
        <v>113726558.79482514</v>
      </c>
      <c r="Q187" s="418">
        <v>113555221.20966919</v>
      </c>
      <c r="R187" s="419">
        <f t="shared" ref="R187" si="116">P187-Q187</f>
        <v>171337.585155949</v>
      </c>
      <c r="S187" s="420">
        <f t="shared" ref="S187" si="117">IF(ISERROR(R187/Q187),"",R187/Q187)</f>
        <v>1.5088481474540923E-3</v>
      </c>
      <c r="U187" s="418">
        <v>115941282</v>
      </c>
    </row>
    <row r="192" spans="2:21"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 spans="6:17"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</row>
  </sheetData>
  <autoFilter ref="A4:AJ119" xr:uid="{DBECCDC7-1AB5-49DC-A138-2EA1F437D0E8}"/>
  <mergeCells count="7">
    <mergeCell ref="C121:O121"/>
    <mergeCell ref="C43:O43"/>
    <mergeCell ref="C55:O55"/>
    <mergeCell ref="C92:O92"/>
    <mergeCell ref="C3:O3"/>
    <mergeCell ref="C16:O16"/>
    <mergeCell ref="C24:O2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2567-4DBA-4BB6-AF45-A78E7C45D3D1}">
  <sheetPr codeName="Sheet2">
    <tabColor rgb="FF00B0F0"/>
  </sheetPr>
  <dimension ref="A1:AI193"/>
  <sheetViews>
    <sheetView showGridLines="0" tabSelected="1" topLeftCell="A148" zoomScale="80" zoomScaleNormal="80" workbookViewId="0">
      <pane xSplit="3" topLeftCell="D1" activePane="topRight" state="frozen"/>
      <selection activeCell="H49" sqref="H49"/>
      <selection pane="topRight" activeCell="I184" sqref="I184"/>
    </sheetView>
  </sheetViews>
  <sheetFormatPr defaultColWidth="9.42578125" defaultRowHeight="12.75"/>
  <cols>
    <col min="1" max="1" width="15.5703125" style="2" customWidth="1"/>
    <col min="2" max="2" width="10.5703125" style="1" customWidth="1"/>
    <col min="3" max="3" width="13.28515625" style="1" customWidth="1"/>
    <col min="4" max="7" width="10.5703125" style="13" customWidth="1"/>
    <col min="8" max="8" width="10.42578125" style="13" customWidth="1"/>
    <col min="9" max="14" width="10.5703125" style="13" customWidth="1"/>
    <col min="15" max="15" width="11.7109375" style="13" customWidth="1"/>
    <col min="16" max="16" width="12.28515625" style="2" customWidth="1"/>
    <col min="17" max="17" width="12.42578125" style="2" customWidth="1"/>
    <col min="18" max="18" width="12.5703125" style="2" customWidth="1"/>
    <col min="19" max="19" width="10.7109375" style="2" customWidth="1"/>
    <col min="20" max="20" width="53.5703125" style="70" customWidth="1"/>
    <col min="21" max="21" width="16.42578125" style="70" customWidth="1"/>
    <col min="22" max="22" width="16.42578125" style="70" hidden="1" customWidth="1"/>
    <col min="23" max="23" width="12" style="70" hidden="1" customWidth="1"/>
    <col min="24" max="24" width="11" style="2" hidden="1" customWidth="1"/>
    <col min="25" max="25" width="9.42578125" style="2" hidden="1" customWidth="1"/>
    <col min="26" max="26" width="12.42578125" style="2" hidden="1" customWidth="1"/>
    <col min="27" max="27" width="26.28515625" style="2" hidden="1" customWidth="1"/>
    <col min="28" max="28" width="12.42578125" style="2" hidden="1" customWidth="1"/>
    <col min="29" max="29" width="12.85546875" style="2" bestFit="1" customWidth="1"/>
    <col min="30" max="30" width="12" style="2" bestFit="1" customWidth="1"/>
    <col min="31" max="31" width="10.85546875" style="2" bestFit="1" customWidth="1"/>
    <col min="32" max="16384" width="9.42578125" style="2"/>
  </cols>
  <sheetData>
    <row r="1" spans="1:31" ht="13.5" thickBot="1"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R1" s="1"/>
      <c r="S1" s="1"/>
    </row>
    <row r="2" spans="1:31" ht="13.5" thickBot="1"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609"/>
      <c r="Q2" s="610"/>
      <c r="R2" s="610"/>
      <c r="S2" s="610"/>
      <c r="T2" s="611"/>
      <c r="U2" s="753"/>
      <c r="V2" s="753"/>
      <c r="W2" s="753"/>
      <c r="AB2" s="610"/>
    </row>
    <row r="3" spans="1:31" ht="15" customHeight="1">
      <c r="B3" s="35"/>
      <c r="C3" s="1094" t="s">
        <v>64</v>
      </c>
      <c r="D3" s="1095"/>
      <c r="E3" s="1095"/>
      <c r="F3" s="1095"/>
      <c r="G3" s="1095"/>
      <c r="H3" s="1095"/>
      <c r="I3" s="1095"/>
      <c r="J3" s="1095"/>
      <c r="K3" s="1095"/>
      <c r="L3" s="1095"/>
      <c r="M3" s="1095"/>
      <c r="N3" s="1095"/>
      <c r="O3" s="1095"/>
      <c r="R3" s="390"/>
      <c r="S3" s="391"/>
      <c r="T3" s="392"/>
      <c r="U3" s="754"/>
      <c r="V3" s="754"/>
      <c r="W3" s="754"/>
    </row>
    <row r="4" spans="1:31" s="3" customFormat="1" ht="25.5">
      <c r="A4" s="3" t="s">
        <v>67</v>
      </c>
      <c r="B4" s="4" t="s">
        <v>170</v>
      </c>
      <c r="C4" s="4" t="s">
        <v>17</v>
      </c>
      <c r="D4" s="180" t="s">
        <v>68</v>
      </c>
      <c r="E4" s="180" t="s">
        <v>69</v>
      </c>
      <c r="F4" s="180" t="s">
        <v>70</v>
      </c>
      <c r="G4" s="180" t="s">
        <v>71</v>
      </c>
      <c r="H4" s="180" t="s">
        <v>72</v>
      </c>
      <c r="I4" s="180" t="s">
        <v>73</v>
      </c>
      <c r="J4" s="180" t="s">
        <v>74</v>
      </c>
      <c r="K4" s="180" t="s">
        <v>75</v>
      </c>
      <c r="L4" s="180" t="s">
        <v>76</v>
      </c>
      <c r="M4" s="180" t="s">
        <v>77</v>
      </c>
      <c r="N4" s="180" t="s">
        <v>78</v>
      </c>
      <c r="O4" s="180" t="s">
        <v>79</v>
      </c>
      <c r="P4" s="187" t="s">
        <v>1326</v>
      </c>
      <c r="Q4" s="188" t="s">
        <v>1309</v>
      </c>
      <c r="R4" s="5" t="s">
        <v>80</v>
      </c>
      <c r="S4" s="6" t="s">
        <v>81</v>
      </c>
      <c r="T4" s="389" t="s">
        <v>66</v>
      </c>
      <c r="U4" s="187" t="s">
        <v>1186</v>
      </c>
      <c r="V4" s="187" t="s">
        <v>82</v>
      </c>
      <c r="W4" s="188" t="s">
        <v>83</v>
      </c>
      <c r="X4" s="628" t="s">
        <v>84</v>
      </c>
      <c r="Y4" s="3" t="s">
        <v>171</v>
      </c>
      <c r="Z4" s="3" t="s">
        <v>172</v>
      </c>
      <c r="AA4" s="3" t="s">
        <v>48</v>
      </c>
      <c r="AB4" s="188" t="s">
        <v>85</v>
      </c>
    </row>
    <row r="5" spans="1:31">
      <c r="A5" s="15" t="s">
        <v>21</v>
      </c>
      <c r="B5" s="35">
        <v>5914</v>
      </c>
      <c r="C5" s="35" t="s">
        <v>21</v>
      </c>
      <c r="D5" s="61">
        <f>SUMIFS('2026'!$M:$M,'2026'!$J:$J,$B5&amp;$C5,'2026'!$O:$O,D$4)</f>
        <v>371.2985229264844</v>
      </c>
      <c r="E5" s="61">
        <f>SUMIFS('2026'!$M:$M,'2026'!$J:$J,$B5&amp;$C5,'2026'!$O:$O,E$4)</f>
        <v>767.19669759566455</v>
      </c>
      <c r="F5" s="61">
        <f>SUMIFS('2026'!$M:$M,'2026'!$J:$J,$B5&amp;$C5,'2026'!$O:$O,F$4)</f>
        <v>577.01471237983014</v>
      </c>
      <c r="G5" s="61">
        <f>SUMIFS('2026'!$M:$M,'2026'!$J:$J,$B5&amp;$C5,'2026'!$O:$O,G$4)</f>
        <v>578.23283174363803</v>
      </c>
      <c r="H5" s="61">
        <f>SUMIFS('2026'!$M:$M,'2026'!$J:$J,$B5&amp;$C5,'2026'!$O:$O,H$4)</f>
        <v>874.45591409236556</v>
      </c>
      <c r="I5" s="61">
        <f>SUMIFS('2026'!$M:$M,'2026'!$J:$J,$B5&amp;$C5,'2026'!$O:$O,I$4)</f>
        <v>248.96256552309143</v>
      </c>
      <c r="J5" s="61">
        <f>SUMIFS('2026'!$M:$M,'2026'!$J:$J,$B5&amp;$C5,'2026'!$O:$O,J$4)</f>
        <v>461.78330553251647</v>
      </c>
      <c r="K5" s="61">
        <f>SUMIFS('2026'!$M:$M,'2026'!$J:$J,$B5&amp;$C5,'2026'!$O:$O,K$4)</f>
        <v>481.86100139491043</v>
      </c>
      <c r="L5" s="61">
        <f>SUMIFS('2026'!$M:$M,'2026'!$J:$J,$B5&amp;$C5,'2026'!$O:$O,L$4)</f>
        <v>188.72901552309139</v>
      </c>
      <c r="M5" s="61">
        <f>SUMIFS('2026'!$M:$M,'2026'!$J:$J,$B5&amp;$C5,'2026'!$O:$O,M$4)</f>
        <v>144.5577455230914</v>
      </c>
      <c r="N5" s="61">
        <f>SUMIFS('2026'!$M:$M,'2026'!$J:$J,$B5&amp;$C5,'2026'!$O:$O,N$4)</f>
        <v>453.75478587181902</v>
      </c>
      <c r="O5" s="61">
        <f>SUMIFS('2026'!$M:$M,'2026'!$J:$J,$B5&amp;$C5,'2026'!$O:$O,O$4)</f>
        <v>0</v>
      </c>
      <c r="P5" s="61">
        <f t="shared" ref="P5:P12" si="0">SUM(D5:O5)</f>
        <v>5147.8470981065029</v>
      </c>
      <c r="Q5" s="7">
        <v>4586.1812148248828</v>
      </c>
      <c r="R5" s="8">
        <f t="shared" ref="R5:R13" si="1">P5-Q5</f>
        <v>561.66588328162015</v>
      </c>
      <c r="S5" s="9">
        <f>IF(ISERROR(R5/Q5),"",R5/Q5)</f>
        <v>0.12246918666581007</v>
      </c>
      <c r="T5" s="353"/>
      <c r="U5" s="61">
        <v>4266.1069153147964</v>
      </c>
      <c r="V5" s="61">
        <v>4393.313321743638</v>
      </c>
      <c r="W5" s="7">
        <v>4725.0633403157399</v>
      </c>
      <c r="X5" s="626">
        <v>4511.1539999745519</v>
      </c>
      <c r="Y5" s="14">
        <f t="shared" ref="Y5:Y13" si="2">P5/V5-1</f>
        <v>0.17174595142770333</v>
      </c>
      <c r="Z5" s="15">
        <f>P5-V5</f>
        <v>754.53377636286496</v>
      </c>
      <c r="AA5" s="15" t="s">
        <v>16</v>
      </c>
      <c r="AB5" s="7">
        <v>4780.8133311969832</v>
      </c>
    </row>
    <row r="6" spans="1:31" ht="15" customHeight="1">
      <c r="A6" s="2" t="s">
        <v>38</v>
      </c>
      <c r="B6" s="35">
        <v>5914</v>
      </c>
      <c r="C6" s="35" t="s">
        <v>86</v>
      </c>
      <c r="D6" s="61">
        <f>SUMIFS('2026'!$M:$M,'2026'!$J:$J,$B6&amp;$C6,'2026'!$O:$O,D$4)</f>
        <v>0</v>
      </c>
      <c r="E6" s="61">
        <f>SUMIFS('2026'!$M:$M,'2026'!$J:$J,$B6&amp;$C6,'2026'!$O:$O,E$4)</f>
        <v>0</v>
      </c>
      <c r="F6" s="61">
        <f>SUMIFS('2026'!$M:$M,'2026'!$J:$J,$B6&amp;$C6,'2026'!$O:$O,F$4)</f>
        <v>0</v>
      </c>
      <c r="G6" s="61">
        <f>SUMIFS('2026'!$M:$M,'2026'!$J:$J,$B6&amp;$C6,'2026'!$O:$O,G$4)</f>
        <v>0</v>
      </c>
      <c r="H6" s="61">
        <f>SUMIFS('2026'!$M:$M,'2026'!$J:$J,$B6&amp;$C6,'2026'!$O:$O,H$4)</f>
        <v>0</v>
      </c>
      <c r="I6" s="61">
        <f>SUMIFS('2026'!$M:$M,'2026'!$J:$J,$B6&amp;$C6,'2026'!$O:$O,I$4)</f>
        <v>0</v>
      </c>
      <c r="J6" s="61">
        <f>SUMIFS('2026'!$M:$M,'2026'!$J:$J,$B6&amp;$C6,'2026'!$O:$O,J$4)</f>
        <v>0</v>
      </c>
      <c r="K6" s="61">
        <f>SUMIFS('2026'!$M:$M,'2026'!$J:$J,$B6&amp;$C6,'2026'!$O:$O,K$4)</f>
        <v>0</v>
      </c>
      <c r="L6" s="61">
        <f>SUMIFS('2026'!$M:$M,'2026'!$J:$J,$B6&amp;$C6,'2026'!$O:$O,L$4)</f>
        <v>0</v>
      </c>
      <c r="M6" s="61">
        <f>SUMIFS('2026'!$M:$M,'2026'!$J:$J,$B6&amp;$C6,'2026'!$O:$O,M$4)</f>
        <v>0</v>
      </c>
      <c r="N6" s="61">
        <f>SUMIFS('2026'!$M:$M,'2026'!$J:$J,$B6&amp;$C6,'2026'!$O:$O,N$4)</f>
        <v>0</v>
      </c>
      <c r="O6" s="61">
        <f>SUMIFS('2026'!$M:$M,'2026'!$J:$J,$B6&amp;$C6,'2026'!$O:$O,O$4)</f>
        <v>0</v>
      </c>
      <c r="P6" s="61">
        <f t="shared" si="0"/>
        <v>0</v>
      </c>
      <c r="Q6" s="7">
        <v>0</v>
      </c>
      <c r="R6" s="8">
        <f t="shared" si="1"/>
        <v>0</v>
      </c>
      <c r="S6" s="9" t="str">
        <f t="shared" ref="S6:S13" si="3">IF(ISERROR(R6/Q6),"",R6/Q6)</f>
        <v/>
      </c>
      <c r="T6" s="353"/>
      <c r="U6" s="61">
        <v>1595.9004480000003</v>
      </c>
      <c r="V6" s="61">
        <v>1783.1493360000002</v>
      </c>
      <c r="W6" s="7">
        <v>2310.8502959999996</v>
      </c>
      <c r="X6" s="626">
        <v>839.41315200000008</v>
      </c>
      <c r="Y6" s="14">
        <f t="shared" si="2"/>
        <v>-1</v>
      </c>
      <c r="Z6" s="15">
        <f t="shared" ref="Z6:Z14" si="4">P6-V6</f>
        <v>-1783.1493360000002</v>
      </c>
      <c r="AA6" s="15" t="s">
        <v>16</v>
      </c>
      <c r="AB6" s="7">
        <v>2346.5851199999997</v>
      </c>
    </row>
    <row r="7" spans="1:31" ht="15" customHeight="1">
      <c r="A7" s="2" t="s">
        <v>29</v>
      </c>
      <c r="B7" s="36">
        <v>5914</v>
      </c>
      <c r="C7" s="36" t="s">
        <v>87</v>
      </c>
      <c r="D7" s="61">
        <f>SUMIFS('2026'!$M:$M,'2026'!$J:$J,$B7&amp;$C7,'2026'!$O:$O,D$4)</f>
        <v>209.90621919999998</v>
      </c>
      <c r="E7" s="61">
        <f>SUMIFS('2026'!$M:$M,'2026'!$J:$J,$B7&amp;$C7,'2026'!$O:$O,E$4)</f>
        <v>0</v>
      </c>
      <c r="F7" s="61">
        <f>SUMIFS('2026'!$M:$M,'2026'!$J:$J,$B7&amp;$C7,'2026'!$O:$O,F$4)</f>
        <v>281.916224</v>
      </c>
      <c r="G7" s="61">
        <f>SUMIFS('2026'!$M:$M,'2026'!$J:$J,$B7&amp;$C7,'2026'!$O:$O,G$4)</f>
        <v>120.296448</v>
      </c>
      <c r="H7" s="61">
        <f>SUMIFS('2026'!$M:$M,'2026'!$J:$J,$B7&amp;$C7,'2026'!$O:$O,H$4)</f>
        <v>234.07980134399997</v>
      </c>
      <c r="I7" s="61">
        <f>SUMIFS('2026'!$M:$M,'2026'!$J:$J,$B7&amp;$C7,'2026'!$O:$O,I$4)</f>
        <v>0</v>
      </c>
      <c r="J7" s="61">
        <f>SUMIFS('2026'!$M:$M,'2026'!$J:$J,$B7&amp;$C7,'2026'!$O:$O,J$4)</f>
        <v>0</v>
      </c>
      <c r="K7" s="61">
        <f>SUMIFS('2026'!$M:$M,'2026'!$J:$J,$B7&amp;$C7,'2026'!$O:$O,K$4)</f>
        <v>0</v>
      </c>
      <c r="L7" s="61">
        <f>SUMIFS('2026'!$M:$M,'2026'!$J:$J,$B7&amp;$C7,'2026'!$O:$O,L$4)</f>
        <v>0</v>
      </c>
      <c r="M7" s="61">
        <f>SUMIFS('2026'!$M:$M,'2026'!$J:$J,$B7&amp;$C7,'2026'!$O:$O,M$4)</f>
        <v>0</v>
      </c>
      <c r="N7" s="61">
        <f>SUMIFS('2026'!$M:$M,'2026'!$J:$J,$B7&amp;$C7,'2026'!$O:$O,N$4)</f>
        <v>0</v>
      </c>
      <c r="O7" s="61">
        <f>SUMIFS('2026'!$M:$M,'2026'!$J:$J,$B7&amp;$C7,'2026'!$O:$O,O$4)</f>
        <v>0</v>
      </c>
      <c r="P7" s="61">
        <f t="shared" si="0"/>
        <v>846.19869254399998</v>
      </c>
      <c r="Q7" s="7">
        <v>546.61953759999994</v>
      </c>
      <c r="R7" s="8">
        <f t="shared" si="1"/>
        <v>299.57915494400004</v>
      </c>
      <c r="S7" s="9">
        <f t="shared" si="3"/>
        <v>0.54805789829492557</v>
      </c>
      <c r="T7" s="73"/>
      <c r="U7" s="61">
        <v>1649.0903267840001</v>
      </c>
      <c r="V7" s="61">
        <v>1861.049266944</v>
      </c>
      <c r="W7" s="7">
        <v>1431.472212416</v>
      </c>
      <c r="X7" s="626">
        <v>1311.5091606400001</v>
      </c>
      <c r="Y7" s="14">
        <f t="shared" si="2"/>
        <v>-0.54531096646703525</v>
      </c>
      <c r="Z7" s="15">
        <f t="shared" si="4"/>
        <v>-1014.8505744</v>
      </c>
      <c r="AA7" s="15" t="s">
        <v>16</v>
      </c>
      <c r="AB7" s="7">
        <v>0</v>
      </c>
    </row>
    <row r="8" spans="1:31" ht="15" customHeight="1">
      <c r="A8" s="2" t="s">
        <v>25</v>
      </c>
      <c r="B8" s="36">
        <v>5914</v>
      </c>
      <c r="C8" s="36" t="s">
        <v>88</v>
      </c>
      <c r="D8" s="61">
        <f>SUMIFS('2026'!$M:$M,'2026'!$J:$J,$B8&amp;$C8,'2026'!$O:$O,D$4)</f>
        <v>0</v>
      </c>
      <c r="E8" s="61">
        <f>SUMIFS('2026'!$M:$M,'2026'!$J:$J,$B8&amp;$C8,'2026'!$O:$O,E$4)</f>
        <v>0</v>
      </c>
      <c r="F8" s="61">
        <f>SUMIFS('2026'!$M:$M,'2026'!$J:$J,$B8&amp;$C8,'2026'!$O:$O,F$4)</f>
        <v>0</v>
      </c>
      <c r="G8" s="61">
        <f>SUMIFS('2026'!$M:$M,'2026'!$J:$J,$B8&amp;$C8,'2026'!$O:$O,G$4)</f>
        <v>0</v>
      </c>
      <c r="H8" s="61">
        <f>SUMIFS('2026'!$M:$M,'2026'!$J:$J,$B8&amp;$C8,'2026'!$O:$O,H$4)</f>
        <v>0</v>
      </c>
      <c r="I8" s="61">
        <f>SUMIFS('2026'!$M:$M,'2026'!$J:$J,$B8&amp;$C8,'2026'!$O:$O,I$4)</f>
        <v>0</v>
      </c>
      <c r="J8" s="61">
        <f>SUMIFS('2026'!$M:$M,'2026'!$J:$J,$B8&amp;$C8,'2026'!$O:$O,J$4)</f>
        <v>0</v>
      </c>
      <c r="K8" s="61">
        <f>SUMIFS('2026'!$M:$M,'2026'!$J:$J,$B8&amp;$C8,'2026'!$O:$O,K$4)</f>
        <v>0</v>
      </c>
      <c r="L8" s="61">
        <f>SUMIFS('2026'!$M:$M,'2026'!$J:$J,$B8&amp;$C8,'2026'!$O:$O,L$4)</f>
        <v>0</v>
      </c>
      <c r="M8" s="61">
        <f>SUMIFS('2026'!$M:$M,'2026'!$J:$J,$B8&amp;$C8,'2026'!$O:$O,M$4)</f>
        <v>0</v>
      </c>
      <c r="N8" s="61">
        <f>SUMIFS('2026'!$M:$M,'2026'!$J:$J,$B8&amp;$C8,'2026'!$O:$O,N$4)</f>
        <v>0</v>
      </c>
      <c r="O8" s="61">
        <f>SUMIFS('2026'!$M:$M,'2026'!$J:$J,$B8&amp;$C8,'2026'!$O:$O,O$4)</f>
        <v>0</v>
      </c>
      <c r="P8" s="61">
        <f t="shared" si="0"/>
        <v>0</v>
      </c>
      <c r="Q8" s="7">
        <v>0</v>
      </c>
      <c r="R8" s="8">
        <f t="shared" si="1"/>
        <v>0</v>
      </c>
      <c r="S8" s="9" t="str">
        <f t="shared" si="3"/>
        <v/>
      </c>
      <c r="T8" s="73"/>
      <c r="U8" s="61">
        <v>0</v>
      </c>
      <c r="V8" s="61">
        <v>0</v>
      </c>
      <c r="W8" s="7">
        <v>0</v>
      </c>
      <c r="X8" s="626">
        <v>66.428640000000001</v>
      </c>
      <c r="Y8" s="14" t="e">
        <f t="shared" si="2"/>
        <v>#DIV/0!</v>
      </c>
      <c r="Z8" s="15">
        <f t="shared" si="4"/>
        <v>0</v>
      </c>
      <c r="AA8" s="15" t="s">
        <v>16</v>
      </c>
      <c r="AB8" s="7">
        <v>0</v>
      </c>
    </row>
    <row r="9" spans="1:31" ht="15" customHeight="1">
      <c r="A9" s="2" t="s">
        <v>21</v>
      </c>
      <c r="B9" s="36">
        <v>5914</v>
      </c>
      <c r="C9" s="36" t="s">
        <v>89</v>
      </c>
      <c r="D9" s="61">
        <f>SUMIFS('2026'!$M:$M,'2026'!$J:$J,$B9&amp;$C9,'2026'!$O:$O,D$4)</f>
        <v>0</v>
      </c>
      <c r="E9" s="61">
        <f>SUMIFS('2026'!$M:$M,'2026'!$J:$J,$B9&amp;$C9,'2026'!$O:$O,E$4)</f>
        <v>0</v>
      </c>
      <c r="F9" s="61">
        <f>SUMIFS('2026'!$M:$M,'2026'!$J:$J,$B9&amp;$C9,'2026'!$O:$O,F$4)</f>
        <v>0</v>
      </c>
      <c r="G9" s="61">
        <f>SUMIFS('2026'!$M:$M,'2026'!$J:$J,$B9&amp;$C9,'2026'!$O:$O,G$4)</f>
        <v>0</v>
      </c>
      <c r="H9" s="61">
        <f>SUMIFS('2026'!$M:$M,'2026'!$J:$J,$B9&amp;$C9,'2026'!$O:$O,H$4)</f>
        <v>0</v>
      </c>
      <c r="I9" s="61">
        <f>SUMIFS('2026'!$M:$M,'2026'!$J:$J,$B9&amp;$C9,'2026'!$O:$O,I$4)</f>
        <v>0</v>
      </c>
      <c r="J9" s="61">
        <f>SUMIFS('2026'!$M:$M,'2026'!$J:$J,$B9&amp;$C9,'2026'!$O:$O,J$4)</f>
        <v>0</v>
      </c>
      <c r="K9" s="61">
        <f>SUMIFS('2026'!$M:$M,'2026'!$J:$J,$B9&amp;$C9,'2026'!$O:$O,K$4)</f>
        <v>0</v>
      </c>
      <c r="L9" s="61">
        <f>SUMIFS('2026'!$M:$M,'2026'!$J:$J,$B9&amp;$C9,'2026'!$O:$O,L$4)</f>
        <v>0</v>
      </c>
      <c r="M9" s="61">
        <f>SUMIFS('2026'!$M:$M,'2026'!$J:$J,$B9&amp;$C9,'2026'!$O:$O,M$4)</f>
        <v>0</v>
      </c>
      <c r="N9" s="61">
        <f>SUMIFS('2026'!$M:$M,'2026'!$J:$J,$B9&amp;$C9,'2026'!$O:$O,N$4)</f>
        <v>0</v>
      </c>
      <c r="O9" s="61">
        <f>SUMIFS('2026'!$M:$M,'2026'!$J:$J,$B9&amp;$C9,'2026'!$O:$O,O$4)</f>
        <v>0</v>
      </c>
      <c r="P9" s="61">
        <f t="shared" si="0"/>
        <v>0</v>
      </c>
      <c r="Q9" s="7">
        <v>0</v>
      </c>
      <c r="R9" s="8">
        <f t="shared" si="1"/>
        <v>0</v>
      </c>
      <c r="S9" s="9" t="str">
        <f t="shared" si="3"/>
        <v/>
      </c>
      <c r="T9" s="73"/>
      <c r="U9" s="61">
        <v>0</v>
      </c>
      <c r="V9" s="61">
        <v>0</v>
      </c>
      <c r="W9" s="7">
        <v>0</v>
      </c>
      <c r="X9" s="626">
        <v>0</v>
      </c>
      <c r="Y9" s="14" t="e">
        <f t="shared" si="2"/>
        <v>#DIV/0!</v>
      </c>
      <c r="Z9" s="15">
        <f t="shared" si="4"/>
        <v>0</v>
      </c>
      <c r="AA9" s="15" t="s">
        <v>16</v>
      </c>
      <c r="AB9" s="7">
        <v>0</v>
      </c>
    </row>
    <row r="10" spans="1:31" ht="15" customHeight="1">
      <c r="A10" s="2" t="s">
        <v>25</v>
      </c>
      <c r="B10" s="36">
        <v>5914</v>
      </c>
      <c r="C10" s="36" t="s">
        <v>25</v>
      </c>
      <c r="D10" s="61">
        <f>SUMIFS('2026'!$M:$M,'2026'!$J:$J,$B10&amp;$C10,'2026'!$O:$O,D$4)</f>
        <v>0</v>
      </c>
      <c r="E10" s="61">
        <f>SUMIFS('2026'!$M:$M,'2026'!$J:$J,$B10&amp;$C10,'2026'!$O:$O,E$4)</f>
        <v>0</v>
      </c>
      <c r="F10" s="61">
        <f>SUMIFS('2026'!$M:$M,'2026'!$J:$J,$B10&amp;$C10,'2026'!$O:$O,F$4)</f>
        <v>0</v>
      </c>
      <c r="G10" s="61">
        <f>SUMIFS('2026'!$M:$M,'2026'!$J:$J,$B10&amp;$C10,'2026'!$O:$O,G$4)</f>
        <v>0</v>
      </c>
      <c r="H10" s="61">
        <f>SUMIFS('2026'!$M:$M,'2026'!$J:$J,$B10&amp;$C10,'2026'!$O:$O,H$4)</f>
        <v>0</v>
      </c>
      <c r="I10" s="61">
        <f>SUMIFS('2026'!$M:$M,'2026'!$J:$J,$B10&amp;$C10,'2026'!$O:$O,I$4)</f>
        <v>0</v>
      </c>
      <c r="J10" s="61">
        <f>SUMIFS('2026'!$M:$M,'2026'!$J:$J,$B10&amp;$C10,'2026'!$O:$O,J$4)</f>
        <v>0</v>
      </c>
      <c r="K10" s="61">
        <f>SUMIFS('2026'!$M:$M,'2026'!$J:$J,$B10&amp;$C10,'2026'!$O:$O,K$4)</f>
        <v>0</v>
      </c>
      <c r="L10" s="61">
        <f>SUMIFS('2026'!$M:$M,'2026'!$J:$J,$B10&amp;$C10,'2026'!$O:$O,L$4)</f>
        <v>0</v>
      </c>
      <c r="M10" s="61">
        <f>SUMIFS('2026'!$M:$M,'2026'!$J:$J,$B10&amp;$C10,'2026'!$O:$O,M$4)</f>
        <v>0</v>
      </c>
      <c r="N10" s="61">
        <f>SUMIFS('2026'!$M:$M,'2026'!$J:$J,$B10&amp;$C10,'2026'!$O:$O,N$4)</f>
        <v>0</v>
      </c>
      <c r="O10" s="61">
        <f>SUMIFS('2026'!$M:$M,'2026'!$J:$J,$B10&amp;$C10,'2026'!$O:$O,O$4)</f>
        <v>0</v>
      </c>
      <c r="P10" s="61">
        <f t="shared" si="0"/>
        <v>0</v>
      </c>
      <c r="Q10" s="7">
        <v>0</v>
      </c>
      <c r="R10" s="8">
        <f>P10-Q10</f>
        <v>0</v>
      </c>
      <c r="S10" s="41" t="str">
        <f>IF(ISERROR(R10/Q10),"",R10/Q10)</f>
        <v/>
      </c>
      <c r="T10" s="73"/>
      <c r="U10" s="61">
        <v>0</v>
      </c>
      <c r="V10" s="61">
        <v>0</v>
      </c>
      <c r="W10" s="7">
        <v>0</v>
      </c>
      <c r="X10" s="626">
        <v>1215.7807454879999</v>
      </c>
      <c r="Y10" s="14" t="e">
        <f t="shared" si="2"/>
        <v>#DIV/0!</v>
      </c>
      <c r="Z10" s="15">
        <f t="shared" si="4"/>
        <v>0</v>
      </c>
      <c r="AA10" s="15" t="s">
        <v>16</v>
      </c>
      <c r="AB10" s="7">
        <v>0</v>
      </c>
      <c r="AD10" s="13"/>
      <c r="AE10" s="15"/>
    </row>
    <row r="11" spans="1:31" ht="15" customHeight="1">
      <c r="A11" s="2" t="s">
        <v>25</v>
      </c>
      <c r="B11" s="36">
        <v>5914</v>
      </c>
      <c r="C11" s="36" t="s">
        <v>90</v>
      </c>
      <c r="D11" s="61">
        <f>SUMIFS('2026'!$M:$M,'2026'!$J:$J,$B11&amp;$C11,'2026'!$O:$O,D$4)</f>
        <v>0</v>
      </c>
      <c r="E11" s="61">
        <f>SUMIFS('2026'!$M:$M,'2026'!$J:$J,$B11&amp;$C11,'2026'!$O:$O,E$4)</f>
        <v>0</v>
      </c>
      <c r="F11" s="61">
        <f>SUMIFS('2026'!$M:$M,'2026'!$J:$J,$B11&amp;$C11,'2026'!$O:$O,F$4)</f>
        <v>0</v>
      </c>
      <c r="G11" s="61">
        <f>SUMIFS('2026'!$M:$M,'2026'!$J:$J,$B11&amp;$C11,'2026'!$O:$O,G$4)</f>
        <v>0</v>
      </c>
      <c r="H11" s="61">
        <f>SUMIFS('2026'!$M:$M,'2026'!$J:$J,$B11&amp;$C11,'2026'!$O:$O,H$4)</f>
        <v>0</v>
      </c>
      <c r="I11" s="61">
        <f>SUMIFS('2026'!$M:$M,'2026'!$J:$J,$B11&amp;$C11,'2026'!$O:$O,I$4)</f>
        <v>0</v>
      </c>
      <c r="J11" s="61">
        <f>SUMIFS('2026'!$M:$M,'2026'!$J:$J,$B11&amp;$C11,'2026'!$O:$O,J$4)</f>
        <v>0</v>
      </c>
      <c r="K11" s="61">
        <f>SUMIFS('2026'!$M:$M,'2026'!$J:$J,$B11&amp;$C11,'2026'!$O:$O,K$4)</f>
        <v>0</v>
      </c>
      <c r="L11" s="61">
        <f>SUMIFS('2026'!$M:$M,'2026'!$J:$J,$B11&amp;$C11,'2026'!$O:$O,L$4)</f>
        <v>0</v>
      </c>
      <c r="M11" s="61">
        <f>SUMIFS('2026'!$M:$M,'2026'!$J:$J,$B11&amp;$C11,'2026'!$O:$O,M$4)</f>
        <v>0</v>
      </c>
      <c r="N11" s="61">
        <f>SUMIFS('2026'!$M:$M,'2026'!$J:$J,$B11&amp;$C11,'2026'!$O:$O,N$4)</f>
        <v>0</v>
      </c>
      <c r="O11" s="61">
        <f>SUMIFS('2026'!$M:$M,'2026'!$J:$J,$B11&amp;$C11,'2026'!$O:$O,O$4)</f>
        <v>0</v>
      </c>
      <c r="P11" s="61">
        <f t="shared" si="0"/>
        <v>0</v>
      </c>
      <c r="Q11" s="7">
        <v>0</v>
      </c>
      <c r="R11" s="8">
        <f t="shared" ref="R11:R12" si="5">P11-Q11</f>
        <v>0</v>
      </c>
      <c r="S11" s="9" t="str">
        <f>IF(ISERROR(R11/Q11),"",R11/Q11)</f>
        <v/>
      </c>
      <c r="T11" s="73"/>
      <c r="U11" s="61">
        <v>0</v>
      </c>
      <c r="V11" s="61">
        <v>0</v>
      </c>
      <c r="W11" s="7">
        <v>0</v>
      </c>
      <c r="X11" s="626">
        <v>90.575711232000003</v>
      </c>
      <c r="Y11" s="14" t="e">
        <f t="shared" si="2"/>
        <v>#DIV/0!</v>
      </c>
      <c r="Z11" s="15">
        <f t="shared" si="4"/>
        <v>0</v>
      </c>
      <c r="AA11" s="15" t="s">
        <v>16</v>
      </c>
      <c r="AB11" s="7">
        <v>0</v>
      </c>
    </row>
    <row r="12" spans="1:31" ht="15" customHeight="1">
      <c r="A12" s="2" t="s">
        <v>40</v>
      </c>
      <c r="B12" s="36">
        <v>5914</v>
      </c>
      <c r="C12" s="36" t="s">
        <v>91</v>
      </c>
      <c r="D12" s="61">
        <f>SUMIFS('2026'!$M:$M,'2026'!$J:$J,$B12&amp;$C12,'2026'!$O:$O,D$4)</f>
        <v>0</v>
      </c>
      <c r="E12" s="61">
        <f>SUMIFS('2026'!$M:$M,'2026'!$J:$J,$B12&amp;$C12,'2026'!$O:$O,E$4)</f>
        <v>0</v>
      </c>
      <c r="F12" s="61">
        <f>SUMIFS('2026'!$M:$M,'2026'!$J:$J,$B12&amp;$C12,'2026'!$O:$O,F$4)</f>
        <v>0</v>
      </c>
      <c r="G12" s="61">
        <f>SUMIFS('2026'!$M:$M,'2026'!$J:$J,$B12&amp;$C12,'2026'!$O:$O,G$4)</f>
        <v>0</v>
      </c>
      <c r="H12" s="61">
        <f>SUMIFS('2026'!$M:$M,'2026'!$J:$J,$B12&amp;$C12,'2026'!$O:$O,H$4)</f>
        <v>0</v>
      </c>
      <c r="I12" s="61">
        <f>SUMIFS('2026'!$M:$M,'2026'!$J:$J,$B12&amp;$C12,'2026'!$O:$O,I$4)</f>
        <v>0</v>
      </c>
      <c r="J12" s="61">
        <f>SUMIFS('2026'!$M:$M,'2026'!$J:$J,$B12&amp;$C12,'2026'!$O:$O,J$4)</f>
        <v>0</v>
      </c>
      <c r="K12" s="61">
        <f>SUMIFS('2026'!$M:$M,'2026'!$J:$J,$B12&amp;$C12,'2026'!$O:$O,K$4)</f>
        <v>0</v>
      </c>
      <c r="L12" s="61">
        <f>SUMIFS('2026'!$M:$M,'2026'!$J:$J,$B12&amp;$C12,'2026'!$O:$O,L$4)</f>
        <v>0</v>
      </c>
      <c r="M12" s="61">
        <f>SUMIFS('2026'!$M:$M,'2026'!$J:$J,$B12&amp;$C12,'2026'!$O:$O,M$4)</f>
        <v>0</v>
      </c>
      <c r="N12" s="61">
        <f>SUMIFS('2026'!$M:$M,'2026'!$J:$J,$B12&amp;$C12,'2026'!$O:$O,N$4)</f>
        <v>0</v>
      </c>
      <c r="O12" s="61">
        <f>SUMIFS('2026'!$M:$M,'2026'!$J:$J,$B12&amp;$C12,'2026'!$O:$O,O$4)</f>
        <v>0</v>
      </c>
      <c r="P12" s="61">
        <f t="shared" si="0"/>
        <v>0</v>
      </c>
      <c r="Q12" s="7">
        <v>0</v>
      </c>
      <c r="R12" s="8">
        <f t="shared" si="5"/>
        <v>0</v>
      </c>
      <c r="S12" s="9" t="str">
        <f>IF(ISERROR(R12/Q12),"",R12/Q12)</f>
        <v/>
      </c>
      <c r="T12" s="73"/>
      <c r="U12" s="61">
        <v>0</v>
      </c>
      <c r="V12" s="61">
        <v>0</v>
      </c>
      <c r="W12" s="7">
        <v>0</v>
      </c>
      <c r="X12" s="626">
        <v>0</v>
      </c>
      <c r="Y12" s="14" t="e">
        <f t="shared" si="2"/>
        <v>#DIV/0!</v>
      </c>
      <c r="Z12" s="15">
        <f t="shared" si="4"/>
        <v>0</v>
      </c>
      <c r="AA12" s="15" t="s">
        <v>16</v>
      </c>
      <c r="AB12" s="7">
        <v>0</v>
      </c>
    </row>
    <row r="13" spans="1:31" ht="26.25" customHeight="1">
      <c r="A13" s="2" t="s">
        <v>29</v>
      </c>
      <c r="B13" s="36">
        <v>5914</v>
      </c>
      <c r="C13" s="36" t="s">
        <v>29</v>
      </c>
      <c r="D13" s="61">
        <f>SUMIFS('2026'!$M:$M,'2026'!$J:$J,$B13&amp;$C13,'2026'!$O:$O,D$4)</f>
        <v>4047.3508252800011</v>
      </c>
      <c r="E13" s="61">
        <f>SUMIFS('2026'!$M:$M,'2026'!$J:$J,$B13&amp;$C13,'2026'!$O:$O,E$4)</f>
        <v>5739.5714935039987</v>
      </c>
      <c r="F13" s="61">
        <f>SUMIFS('2026'!$M:$M,'2026'!$J:$J,$B13&amp;$C13,'2026'!$O:$O,F$4)</f>
        <v>6752.8083524287986</v>
      </c>
      <c r="G13" s="61">
        <f>SUMIFS('2026'!$M:$M,'2026'!$J:$J,$B13&amp;$C13,'2026'!$O:$O,G$4)</f>
        <v>4725.9195884799992</v>
      </c>
      <c r="H13" s="61">
        <f>SUMIFS('2026'!$M:$M,'2026'!$J:$J,$B13&amp;$C13,'2026'!$O:$O,H$4)</f>
        <v>3820.7457820159998</v>
      </c>
      <c r="I13" s="61">
        <f>SUMIFS('2026'!$M:$M,'2026'!$J:$J,$B13&amp;$C13,'2026'!$O:$O,I$4)</f>
        <v>4554.1867339775999</v>
      </c>
      <c r="J13" s="61">
        <f>SUMIFS('2026'!$M:$M,'2026'!$J:$J,$B13&amp;$C13,'2026'!$O:$O,J$4)</f>
        <v>4793.8807726080004</v>
      </c>
      <c r="K13" s="61">
        <f>SUMIFS('2026'!$M:$M,'2026'!$J:$J,$B13&amp;$C13,'2026'!$O:$O,K$4)</f>
        <v>5273.2688498688003</v>
      </c>
      <c r="L13" s="61">
        <f>SUMIFS('2026'!$M:$M,'2026'!$J:$J,$B13&amp;$C13,'2026'!$O:$O,L$4)</f>
        <v>4793.8807726080004</v>
      </c>
      <c r="M13" s="61">
        <f>SUMIFS('2026'!$M:$M,'2026'!$J:$J,$B13&amp;$C13,'2026'!$O:$O,M$4)</f>
        <v>4793.8807726080004</v>
      </c>
      <c r="N13" s="61">
        <f>SUMIFS('2026'!$M:$M,'2026'!$J:$J,$B13&amp;$C13,'2026'!$O:$O,N$4)</f>
        <v>4187.5958513664</v>
      </c>
      <c r="O13" s="61">
        <f>SUMIFS('2026'!$M:$M,'2026'!$J:$J,$B13&amp;$C13,'2026'!$O:$O,O$4)</f>
        <v>4187.5958513664</v>
      </c>
      <c r="P13" s="61">
        <f>SUM(D13:O13)</f>
        <v>57670.68564611199</v>
      </c>
      <c r="Q13" s="7">
        <v>58212.487675635202</v>
      </c>
      <c r="R13" s="8">
        <f t="shared" si="1"/>
        <v>-541.8020295232127</v>
      </c>
      <c r="S13" s="9">
        <f t="shared" si="3"/>
        <v>-9.3073161989258805E-3</v>
      </c>
      <c r="T13" s="845"/>
      <c r="U13" s="61">
        <v>57943.937466431991</v>
      </c>
      <c r="V13" s="61">
        <v>56361.536970815992</v>
      </c>
      <c r="W13" s="7">
        <v>56669.025709670394</v>
      </c>
      <c r="X13" s="626">
        <v>64060.535033727996</v>
      </c>
      <c r="Y13" s="14">
        <f t="shared" si="2"/>
        <v>2.3227696504690254E-2</v>
      </c>
      <c r="Z13" s="15">
        <f t="shared" si="4"/>
        <v>1309.1486752959972</v>
      </c>
      <c r="AA13" s="15" t="s">
        <v>16</v>
      </c>
      <c r="AB13" s="7">
        <v>56967.889209753594</v>
      </c>
    </row>
    <row r="14" spans="1:31" ht="15" customHeight="1">
      <c r="B14" s="10"/>
      <c r="C14" s="10" t="s">
        <v>92</v>
      </c>
      <c r="D14" s="11">
        <f>SUM(D5:D13)</f>
        <v>4628.5555674064854</v>
      </c>
      <c r="E14" s="11">
        <f t="shared" ref="E14:P14" si="6">SUM(E5:E13)</f>
        <v>6506.7681910996635</v>
      </c>
      <c r="F14" s="11">
        <f t="shared" si="6"/>
        <v>7611.7392888086288</v>
      </c>
      <c r="G14" s="11">
        <f t="shared" si="6"/>
        <v>5424.448868223637</v>
      </c>
      <c r="H14" s="11">
        <f t="shared" si="6"/>
        <v>4929.2814974523653</v>
      </c>
      <c r="I14" s="11">
        <f t="shared" si="6"/>
        <v>4803.1492995006911</v>
      </c>
      <c r="J14" s="11">
        <f t="shared" si="6"/>
        <v>5255.6640781405167</v>
      </c>
      <c r="K14" s="11">
        <f t="shared" si="6"/>
        <v>5755.1298512637104</v>
      </c>
      <c r="L14" s="11">
        <f t="shared" si="6"/>
        <v>4982.6097881310916</v>
      </c>
      <c r="M14" s="11">
        <f t="shared" si="6"/>
        <v>4938.4385181310918</v>
      </c>
      <c r="N14" s="11">
        <f t="shared" si="6"/>
        <v>4641.350637238219</v>
      </c>
      <c r="O14" s="11">
        <f t="shared" si="6"/>
        <v>4187.5958513664</v>
      </c>
      <c r="P14" s="11">
        <f t="shared" si="6"/>
        <v>63664.731436762493</v>
      </c>
      <c r="Q14" s="11">
        <v>63345.288428060085</v>
      </c>
      <c r="R14" s="11">
        <f>SUM(R5:R13)</f>
        <v>319.4430087024075</v>
      </c>
      <c r="S14" s="12">
        <f>IF(ISERROR(R14/Q14),"",R14/Q14)</f>
        <v>5.042885061060101E-3</v>
      </c>
      <c r="T14" s="393" t="s">
        <v>173</v>
      </c>
      <c r="U14" s="11">
        <v>65455.035156530786</v>
      </c>
      <c r="V14" s="11">
        <v>64399.048895503627</v>
      </c>
      <c r="W14" s="11">
        <v>65136.411558402135</v>
      </c>
      <c r="X14" s="269">
        <v>72095.396443062549</v>
      </c>
      <c r="Y14" s="14">
        <f>P14/V14-1</f>
        <v>-1.140261341332327E-2</v>
      </c>
      <c r="Z14" s="15">
        <f t="shared" si="4"/>
        <v>-734.31745874113403</v>
      </c>
      <c r="AA14" s="15"/>
      <c r="AB14" s="11">
        <v>64095.287660950577</v>
      </c>
    </row>
    <row r="15" spans="1:31" ht="15" customHeight="1">
      <c r="C15" s="27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19"/>
      <c r="R15" s="20"/>
      <c r="S15" s="21"/>
      <c r="U15" s="61"/>
      <c r="V15" s="61"/>
      <c r="W15" s="19"/>
      <c r="X15" s="19"/>
      <c r="AA15" s="15"/>
      <c r="AB15" s="19"/>
    </row>
    <row r="16" spans="1:31" ht="15" customHeight="1">
      <c r="A16" s="22"/>
      <c r="B16" s="35"/>
      <c r="C16" s="1094" t="s">
        <v>93</v>
      </c>
      <c r="D16" s="1095"/>
      <c r="E16" s="1095"/>
      <c r="F16" s="1095"/>
      <c r="G16" s="1095"/>
      <c r="H16" s="1095"/>
      <c r="I16" s="1095"/>
      <c r="J16" s="1095"/>
      <c r="K16" s="1095"/>
      <c r="L16" s="1095"/>
      <c r="M16" s="1095"/>
      <c r="N16" s="1095"/>
      <c r="O16" s="1095"/>
      <c r="R16" s="31" t="s">
        <v>1372</v>
      </c>
      <c r="S16" s="32"/>
      <c r="T16" s="71" t="s">
        <v>66</v>
      </c>
      <c r="U16" s="2"/>
      <c r="V16" s="2"/>
      <c r="W16" s="2"/>
      <c r="AA16" s="15"/>
    </row>
    <row r="17" spans="1:30" s="3" customFormat="1">
      <c r="B17" s="4"/>
      <c r="C17" s="4" t="s">
        <v>17</v>
      </c>
      <c r="D17" s="180" t="s">
        <v>68</v>
      </c>
      <c r="E17" s="180" t="s">
        <v>69</v>
      </c>
      <c r="F17" s="180" t="s">
        <v>70</v>
      </c>
      <c r="G17" s="180" t="s">
        <v>71</v>
      </c>
      <c r="H17" s="180" t="s">
        <v>72</v>
      </c>
      <c r="I17" s="180" t="s">
        <v>73</v>
      </c>
      <c r="J17" s="180" t="s">
        <v>74</v>
      </c>
      <c r="K17" s="180" t="s">
        <v>75</v>
      </c>
      <c r="L17" s="180" t="s">
        <v>76</v>
      </c>
      <c r="M17" s="180" t="s">
        <v>77</v>
      </c>
      <c r="N17" s="180" t="s">
        <v>78</v>
      </c>
      <c r="O17" s="180" t="s">
        <v>79</v>
      </c>
      <c r="P17" s="187" t="str">
        <f>P$4</f>
        <v>2026 MRF3</v>
      </c>
      <c r="Q17" s="188" t="s">
        <v>1309</v>
      </c>
      <c r="R17" s="5" t="str">
        <f t="shared" ref="R17:S17" si="7">R$4</f>
        <v>Difference</v>
      </c>
      <c r="S17" s="6" t="str">
        <f t="shared" si="7"/>
        <v>% change</v>
      </c>
      <c r="T17" s="72"/>
      <c r="U17" s="187" t="s">
        <v>1186</v>
      </c>
      <c r="V17" s="187" t="s">
        <v>82</v>
      </c>
      <c r="W17" s="188" t="s">
        <v>83</v>
      </c>
      <c r="X17" s="628" t="s">
        <v>84</v>
      </c>
      <c r="AA17" s="15"/>
      <c r="AB17" s="188" t="s">
        <v>85</v>
      </c>
    </row>
    <row r="18" spans="1:30" ht="15" customHeight="1">
      <c r="A18" s="2" t="s">
        <v>38</v>
      </c>
      <c r="B18" s="35">
        <v>5911</v>
      </c>
      <c r="C18" s="35" t="s">
        <v>95</v>
      </c>
      <c r="D18" s="61">
        <f>SUMIFS('2026'!$M:$M,'2026'!$J:$J,$B18&amp;$C18,'2026'!$O:$O,D$4)</f>
        <v>0</v>
      </c>
      <c r="E18" s="61">
        <f>SUMIFS('2026'!$M:$M,'2026'!$J:$J,$B18&amp;$C18,'2026'!$O:$O,E$4)</f>
        <v>0</v>
      </c>
      <c r="F18" s="61">
        <f>SUMIFS('2026'!$M:$M,'2026'!$J:$J,$B18&amp;$C18,'2026'!$O:$O,F$4)</f>
        <v>0</v>
      </c>
      <c r="G18" s="61">
        <f>SUMIFS('2026'!$M:$M,'2026'!$J:$J,$B18&amp;$C18,'2026'!$O:$O,G$4)</f>
        <v>0</v>
      </c>
      <c r="H18" s="61">
        <f>SUMIFS('2026'!$M:$M,'2026'!$J:$J,$B18&amp;$C18,'2026'!$O:$O,H$4)</f>
        <v>0</v>
      </c>
      <c r="I18" s="61">
        <f>SUMIFS('2026'!$M:$M,'2026'!$J:$J,$B18&amp;$C18,'2026'!$O:$O,I$4)</f>
        <v>0</v>
      </c>
      <c r="J18" s="61">
        <f>SUMIFS('2026'!$M:$M,'2026'!$J:$J,$B18&amp;$C18,'2026'!$O:$O,J$4)</f>
        <v>0</v>
      </c>
      <c r="K18" s="61">
        <f>SUMIFS('2026'!$M:$M,'2026'!$J:$J,$B18&amp;$C18,'2026'!$O:$O,K$4)</f>
        <v>0</v>
      </c>
      <c r="L18" s="61">
        <f>SUMIFS('2026'!$M:$M,'2026'!$J:$J,$B18&amp;$C18,'2026'!$O:$O,L$4)</f>
        <v>0</v>
      </c>
      <c r="M18" s="61">
        <f>SUMIFS('2026'!$M:$M,'2026'!$J:$J,$B18&amp;$C18,'2026'!$O:$O,M$4)</f>
        <v>0</v>
      </c>
      <c r="N18" s="61">
        <f>SUMIFS('2026'!$M:$M,'2026'!$J:$J,$B18&amp;$C18,'2026'!$O:$O,N$4)</f>
        <v>0</v>
      </c>
      <c r="O18" s="61">
        <f>SUMIFS('2026'!$M:$M,'2026'!$J:$J,$B18&amp;$C18,'2026'!$O:$O,O$4)</f>
        <v>0</v>
      </c>
      <c r="P18" s="61">
        <f>SUM(D18:O18)</f>
        <v>0</v>
      </c>
      <c r="Q18" s="61">
        <v>0</v>
      </c>
      <c r="R18" s="8">
        <f t="shared" ref="R18:R19" si="8">P18-Q18</f>
        <v>0</v>
      </c>
      <c r="S18" s="9" t="str">
        <f>IF(ISERROR(R18/Q18),"",R18/Q18)</f>
        <v/>
      </c>
      <c r="T18" s="75"/>
      <c r="U18" s="61">
        <v>0</v>
      </c>
      <c r="V18" s="61">
        <v>0</v>
      </c>
      <c r="W18" s="61">
        <v>0</v>
      </c>
      <c r="X18" s="626">
        <v>0</v>
      </c>
      <c r="Y18" s="14" t="e">
        <f t="shared" ref="Y18:Y22" si="9">P18/V18-1</f>
        <v>#DIV/0!</v>
      </c>
      <c r="Z18" s="15">
        <f t="shared" ref="Z18:Z22" si="10">P18-V18</f>
        <v>0</v>
      </c>
      <c r="AA18" s="15" t="s">
        <v>16</v>
      </c>
      <c r="AB18" s="61">
        <v>0</v>
      </c>
    </row>
    <row r="19" spans="1:30" ht="15" customHeight="1">
      <c r="A19" s="2" t="s">
        <v>38</v>
      </c>
      <c r="B19" s="35">
        <v>5911</v>
      </c>
      <c r="C19" s="35" t="s">
        <v>96</v>
      </c>
      <c r="D19" s="61">
        <f>SUMIFS('2026'!$M:$M,'2026'!$J:$J,$B19&amp;$C19,'2026'!$O:$O,D$4)</f>
        <v>0</v>
      </c>
      <c r="E19" s="61">
        <f>SUMIFS('2026'!$M:$M,'2026'!$J:$J,$B19&amp;$C19,'2026'!$O:$O,E$4)</f>
        <v>0</v>
      </c>
      <c r="F19" s="61">
        <f>SUMIFS('2026'!$M:$M,'2026'!$J:$J,$B19&amp;$C19,'2026'!$O:$O,F$4)</f>
        <v>0</v>
      </c>
      <c r="G19" s="61">
        <f>SUMIFS('2026'!$M:$M,'2026'!$J:$J,$B19&amp;$C19,'2026'!$O:$O,G$4)</f>
        <v>0</v>
      </c>
      <c r="H19" s="61">
        <f>SUMIFS('2026'!$M:$M,'2026'!$J:$J,$B19&amp;$C19,'2026'!$O:$O,H$4)</f>
        <v>0</v>
      </c>
      <c r="I19" s="61">
        <f>SUMIFS('2026'!$M:$M,'2026'!$J:$J,$B19&amp;$C19,'2026'!$O:$O,I$4)</f>
        <v>0</v>
      </c>
      <c r="J19" s="61">
        <f>SUMIFS('2026'!$M:$M,'2026'!$J:$J,$B19&amp;$C19,'2026'!$O:$O,J$4)</f>
        <v>0</v>
      </c>
      <c r="K19" s="61">
        <f>SUMIFS('2026'!$M:$M,'2026'!$J:$J,$B19&amp;$C19,'2026'!$O:$O,K$4)</f>
        <v>0</v>
      </c>
      <c r="L19" s="61">
        <f>SUMIFS('2026'!$M:$M,'2026'!$J:$J,$B19&amp;$C19,'2026'!$O:$O,L$4)</f>
        <v>0</v>
      </c>
      <c r="M19" s="61">
        <f>SUMIFS('2026'!$M:$M,'2026'!$J:$J,$B19&amp;$C19,'2026'!$O:$O,M$4)</f>
        <v>0</v>
      </c>
      <c r="N19" s="61">
        <f>SUMIFS('2026'!$M:$M,'2026'!$J:$J,$B19&amp;$C19,'2026'!$O:$O,N$4)</f>
        <v>0</v>
      </c>
      <c r="O19" s="61">
        <f>SUMIFS('2026'!$M:$M,'2026'!$J:$J,$B19&amp;$C19,'2026'!$O:$O,O$4)</f>
        <v>0</v>
      </c>
      <c r="P19" s="61">
        <f t="shared" ref="P19:P21" si="11">SUM(D19:O19)</f>
        <v>0</v>
      </c>
      <c r="Q19" s="61">
        <v>0</v>
      </c>
      <c r="R19" s="8">
        <f t="shared" si="8"/>
        <v>0</v>
      </c>
      <c r="S19" s="9" t="str">
        <f>IF(ISERROR(R19/Q19),"",R19/Q19)</f>
        <v/>
      </c>
      <c r="T19" s="75"/>
      <c r="U19" s="61">
        <v>0</v>
      </c>
      <c r="V19" s="61">
        <v>0</v>
      </c>
      <c r="W19" s="61">
        <v>0</v>
      </c>
      <c r="X19" s="626">
        <v>0</v>
      </c>
      <c r="Y19" s="14" t="e">
        <f t="shared" si="9"/>
        <v>#DIV/0!</v>
      </c>
      <c r="Z19" s="15">
        <f t="shared" si="10"/>
        <v>0</v>
      </c>
      <c r="AA19" s="15" t="s">
        <v>16</v>
      </c>
      <c r="AB19" s="61">
        <v>0</v>
      </c>
    </row>
    <row r="20" spans="1:30" ht="15" customHeight="1">
      <c r="A20" s="2" t="s">
        <v>29</v>
      </c>
      <c r="B20" s="35">
        <v>5911</v>
      </c>
      <c r="C20" s="35" t="s">
        <v>87</v>
      </c>
      <c r="D20" s="61">
        <f>SUMIFS('2026'!$M:$M,'2026'!$J:$J,$B20&amp;$C20,'2026'!$O:$O,D$4)</f>
        <v>40.483959999999996</v>
      </c>
      <c r="E20" s="61">
        <f>SUMIFS('2026'!$M:$M,'2026'!$J:$J,$B20&amp;$C20,'2026'!$O:$O,E$4)</f>
        <v>33.390015999999996</v>
      </c>
      <c r="F20" s="61">
        <f>SUMIFS('2026'!$M:$M,'2026'!$J:$J,$B20&amp;$C20,'2026'!$O:$O,F$4)</f>
        <v>51.254279999999994</v>
      </c>
      <c r="G20" s="61">
        <f>SUMIFS('2026'!$M:$M,'2026'!$J:$J,$B20&amp;$C20,'2026'!$O:$O,G$4)</f>
        <v>40.59648</v>
      </c>
      <c r="H20" s="61">
        <f>SUMIFS('2026'!$M:$M,'2026'!$J:$J,$B20&amp;$C20,'2026'!$O:$O,H$4)</f>
        <v>0</v>
      </c>
      <c r="I20" s="61">
        <f>SUMIFS('2026'!$M:$M,'2026'!$J:$J,$B20&amp;$C20,'2026'!$O:$O,I$4)</f>
        <v>0</v>
      </c>
      <c r="J20" s="61">
        <f>SUMIFS('2026'!$M:$M,'2026'!$J:$J,$B20&amp;$C20,'2026'!$O:$O,J$4)</f>
        <v>0</v>
      </c>
      <c r="K20" s="61">
        <f>SUMIFS('2026'!$M:$M,'2026'!$J:$J,$B20&amp;$C20,'2026'!$O:$O,K$4)</f>
        <v>0</v>
      </c>
      <c r="L20" s="61">
        <f>SUMIFS('2026'!$M:$M,'2026'!$J:$J,$B20&amp;$C20,'2026'!$O:$O,L$4)</f>
        <v>0</v>
      </c>
      <c r="M20" s="61">
        <f>SUMIFS('2026'!$M:$M,'2026'!$J:$J,$B20&amp;$C20,'2026'!$O:$O,M$4)</f>
        <v>0</v>
      </c>
      <c r="N20" s="61">
        <f>SUMIFS('2026'!$M:$M,'2026'!$J:$J,$B20&amp;$C20,'2026'!$O:$O,N$4)</f>
        <v>0</v>
      </c>
      <c r="O20" s="61">
        <f>SUMIFS('2026'!$M:$M,'2026'!$J:$J,$B20&amp;$C20,'2026'!$O:$O,O$4)</f>
        <v>0</v>
      </c>
      <c r="P20" s="49">
        <f t="shared" si="11"/>
        <v>165.72473600000001</v>
      </c>
      <c r="Q20" s="49">
        <v>171.95525599999999</v>
      </c>
      <c r="R20" s="8">
        <f>P20-Q20</f>
        <v>-6.2305199999999843</v>
      </c>
      <c r="S20" s="9"/>
      <c r="T20" s="73"/>
      <c r="U20" s="49">
        <v>1016.053568</v>
      </c>
      <c r="V20" s="49">
        <v>1978.4505839999997</v>
      </c>
      <c r="W20" s="49">
        <v>1709.5617679999996</v>
      </c>
      <c r="X20" s="629">
        <v>1079.6825359999998</v>
      </c>
      <c r="Y20" s="14">
        <f t="shared" si="9"/>
        <v>-0.91623508954924693</v>
      </c>
      <c r="Z20" s="15">
        <f t="shared" si="10"/>
        <v>-1812.7258479999996</v>
      </c>
      <c r="AA20" s="15" t="s">
        <v>16</v>
      </c>
      <c r="AB20" s="49">
        <v>0</v>
      </c>
    </row>
    <row r="21" spans="1:30" ht="15" customHeight="1">
      <c r="A21" s="2" t="s">
        <v>29</v>
      </c>
      <c r="B21" s="35">
        <v>5911</v>
      </c>
      <c r="C21" s="36" t="s">
        <v>29</v>
      </c>
      <c r="D21" s="61">
        <f>SUMIFS('2026'!$M:$M,'2026'!$J:$J,$B21&amp;$C21,'2026'!$O:$O,D$4)</f>
        <v>2370.170433536</v>
      </c>
      <c r="E21" s="61">
        <f>SUMIFS('2026'!$M:$M,'2026'!$J:$J,$B21&amp;$C21,'2026'!$O:$O,E$4)</f>
        <v>2787.5273215999991</v>
      </c>
      <c r="F21" s="61">
        <f>SUMIFS('2026'!$M:$M,'2026'!$J:$J,$B21&amp;$C21,'2026'!$O:$O,F$4)</f>
        <v>3564.306092416</v>
      </c>
      <c r="G21" s="61">
        <f>SUMIFS('2026'!$M:$M,'2026'!$J:$J,$B21&amp;$C21,'2026'!$O:$O,G$4)</f>
        <v>2659.6373340800001</v>
      </c>
      <c r="H21" s="61">
        <f>SUMIFS('2026'!$M:$M,'2026'!$J:$J,$B21&amp;$C21,'2026'!$O:$O,H$4)</f>
        <v>2966.7633599999999</v>
      </c>
      <c r="I21" s="61">
        <f>SUMIFS('2026'!$M:$M,'2026'!$J:$J,$B21&amp;$C21,'2026'!$O:$O,I$4)</f>
        <v>2732.7155404800001</v>
      </c>
      <c r="J21" s="61">
        <f>SUMIFS('2026'!$M:$M,'2026'!$J:$J,$B21&amp;$C21,'2026'!$O:$O,J$4)</f>
        <v>2890.531939474286</v>
      </c>
      <c r="K21" s="61">
        <f>SUMIFS('2026'!$M:$M,'2026'!$J:$J,$B21&amp;$C21,'2026'!$O:$O,K$4)</f>
        <v>2907.1441919999997</v>
      </c>
      <c r="L21" s="61">
        <f>SUMIFS('2026'!$M:$M,'2026'!$J:$J,$B21&amp;$C21,'2026'!$O:$O,L$4)</f>
        <v>2134.9340160000002</v>
      </c>
      <c r="M21" s="61">
        <f>SUMIFS('2026'!$M:$M,'2026'!$J:$J,$B21&amp;$C21,'2026'!$O:$O,M$4)</f>
        <v>1423.289344</v>
      </c>
      <c r="N21" s="61">
        <f>SUMIFS('2026'!$M:$M,'2026'!$J:$J,$B21&amp;$C21,'2026'!$O:$O,N$4)</f>
        <v>0</v>
      </c>
      <c r="O21" s="61">
        <f>SUMIFS('2026'!$M:$M,'2026'!$J:$J,$B21&amp;$C21,'2026'!$O:$O,O$4)</f>
        <v>1514.1376</v>
      </c>
      <c r="P21" s="61">
        <f t="shared" si="11"/>
        <v>27951.157173586289</v>
      </c>
      <c r="Q21" s="61">
        <v>26701.793571117712</v>
      </c>
      <c r="R21" s="8">
        <f>P21-Q21</f>
        <v>1249.3636024685766</v>
      </c>
      <c r="S21" s="9">
        <f>IF(ISERROR(R21/Q21),"",R21/Q21)</f>
        <v>4.6789501204891511E-2</v>
      </c>
      <c r="T21" s="73" t="s">
        <v>1263</v>
      </c>
      <c r="U21" s="61">
        <v>31182.785131328001</v>
      </c>
      <c r="V21" s="61">
        <v>31464.710371210236</v>
      </c>
      <c r="W21" s="61">
        <v>30988.983630079998</v>
      </c>
      <c r="X21" s="626">
        <v>31610.790453247999</v>
      </c>
      <c r="Y21" s="14">
        <f t="shared" si="9"/>
        <v>-0.11166647193545431</v>
      </c>
      <c r="Z21" s="15">
        <f t="shared" si="10"/>
        <v>-3513.5531976239472</v>
      </c>
      <c r="AA21" s="15" t="s">
        <v>16</v>
      </c>
      <c r="AB21" s="61">
        <v>30472.32202752</v>
      </c>
    </row>
    <row r="22" spans="1:30" ht="15" customHeight="1">
      <c r="B22" s="10"/>
      <c r="C22" s="10" t="s">
        <v>97</v>
      </c>
      <c r="D22" s="11">
        <f t="shared" ref="D22:O22" si="12">SUM(D18:D21)</f>
        <v>2410.654393536</v>
      </c>
      <c r="E22" s="11">
        <f t="shared" si="12"/>
        <v>2820.917337599999</v>
      </c>
      <c r="F22" s="11">
        <f t="shared" si="12"/>
        <v>3615.5603724160001</v>
      </c>
      <c r="G22" s="11">
        <f t="shared" si="12"/>
        <v>2700.2338140800002</v>
      </c>
      <c r="H22" s="11">
        <f t="shared" si="12"/>
        <v>2966.7633599999999</v>
      </c>
      <c r="I22" s="11">
        <f t="shared" si="12"/>
        <v>2732.7155404800001</v>
      </c>
      <c r="J22" s="11">
        <f t="shared" si="12"/>
        <v>2890.531939474286</v>
      </c>
      <c r="K22" s="11">
        <f t="shared" si="12"/>
        <v>2907.1441919999997</v>
      </c>
      <c r="L22" s="11">
        <f t="shared" si="12"/>
        <v>2134.9340160000002</v>
      </c>
      <c r="M22" s="11">
        <f t="shared" si="12"/>
        <v>1423.289344</v>
      </c>
      <c r="N22" s="11">
        <f t="shared" si="12"/>
        <v>0</v>
      </c>
      <c r="O22" s="11">
        <f t="shared" si="12"/>
        <v>1514.1376</v>
      </c>
      <c r="P22" s="11">
        <f>SUM(P18:P21)</f>
        <v>28116.881909586289</v>
      </c>
      <c r="Q22" s="11">
        <v>26873.748827117714</v>
      </c>
      <c r="R22" s="11">
        <f>SUM(R18:R21)</f>
        <v>1243.1330824685765</v>
      </c>
      <c r="S22" s="12">
        <f>IF(ISERROR(R22/Q22),"",R22/Q22)</f>
        <v>4.6258268262675657E-2</v>
      </c>
      <c r="T22" s="74"/>
      <c r="U22" s="11">
        <v>32198.838699328</v>
      </c>
      <c r="V22" s="11">
        <v>33443.160955210238</v>
      </c>
      <c r="W22" s="11">
        <v>32698.545398079998</v>
      </c>
      <c r="X22" s="269">
        <v>32690.472989247999</v>
      </c>
      <c r="Y22" s="14">
        <f t="shared" si="9"/>
        <v>-0.15926362501311786</v>
      </c>
      <c r="Z22" s="15">
        <f t="shared" si="10"/>
        <v>-5326.2790456239491</v>
      </c>
      <c r="AB22" s="11">
        <v>30472.32202752</v>
      </c>
    </row>
    <row r="23" spans="1:30" s="825" customFormat="1" ht="30.75" customHeight="1">
      <c r="B23" s="826"/>
      <c r="C23" s="826"/>
      <c r="D23" s="827"/>
      <c r="E23" s="828"/>
      <c r="F23" s="828"/>
      <c r="G23" s="828"/>
      <c r="H23" s="828"/>
      <c r="I23" s="828"/>
      <c r="J23" s="828"/>
      <c r="K23" s="829"/>
      <c r="L23" s="828"/>
      <c r="M23" s="828"/>
      <c r="N23" s="828"/>
      <c r="O23" s="828"/>
      <c r="P23" s="830">
        <f>P22+P14</f>
        <v>91781.613346348779</v>
      </c>
      <c r="Q23" s="830">
        <v>90219.037255177798</v>
      </c>
      <c r="R23" s="831">
        <f>P23-Q23</f>
        <v>1562.5760911709804</v>
      </c>
      <c r="S23" s="1018">
        <f>IF(ISERROR(R23/Q23),"",R23/Q23)</f>
        <v>1.731980454137801E-2</v>
      </c>
      <c r="T23" s="832"/>
      <c r="U23" s="830">
        <v>97653.873855858779</v>
      </c>
      <c r="V23" s="830">
        <v>97842.209850713873</v>
      </c>
      <c r="W23" s="830">
        <f>W22+W14</f>
        <v>97834.956956482129</v>
      </c>
      <c r="X23" s="830">
        <f>X22+X14</f>
        <v>104785.86943231054</v>
      </c>
      <c r="Y23" s="833">
        <f t="shared" ref="Y23" si="13">P23/V23-1</f>
        <v>-6.1942555402338728E-2</v>
      </c>
      <c r="Z23" s="830">
        <f t="shared" ref="Z23" si="14">P23-V23</f>
        <v>-6060.596504365094</v>
      </c>
      <c r="AB23" s="830">
        <v>94567.609688470577</v>
      </c>
    </row>
    <row r="24" spans="1:30" ht="15" customHeight="1">
      <c r="B24" s="35"/>
      <c r="C24" s="1094" t="s">
        <v>174</v>
      </c>
      <c r="D24" s="1095"/>
      <c r="E24" s="1095"/>
      <c r="F24" s="1095"/>
      <c r="G24" s="1095"/>
      <c r="H24" s="1095"/>
      <c r="I24" s="1095"/>
      <c r="J24" s="1095"/>
      <c r="K24" s="1095"/>
      <c r="L24" s="1095"/>
      <c r="M24" s="1095"/>
      <c r="N24" s="1095"/>
      <c r="O24" s="1095"/>
      <c r="R24" s="31" t="s">
        <v>1372</v>
      </c>
      <c r="S24" s="32"/>
      <c r="T24" s="71" t="s">
        <v>66</v>
      </c>
      <c r="U24" s="2"/>
      <c r="V24" s="2"/>
      <c r="W24" s="2"/>
    </row>
    <row r="25" spans="1:30" s="3" customFormat="1" ht="13.5" thickBot="1">
      <c r="B25" s="4"/>
      <c r="C25" s="4" t="s">
        <v>17</v>
      </c>
      <c r="D25" s="180" t="s">
        <v>68</v>
      </c>
      <c r="E25" s="180" t="s">
        <v>69</v>
      </c>
      <c r="F25" s="180" t="s">
        <v>70</v>
      </c>
      <c r="G25" s="180" t="s">
        <v>71</v>
      </c>
      <c r="H25" s="180" t="s">
        <v>72</v>
      </c>
      <c r="I25" s="180" t="s">
        <v>73</v>
      </c>
      <c r="J25" s="180" t="s">
        <v>74</v>
      </c>
      <c r="K25" s="180" t="s">
        <v>75</v>
      </c>
      <c r="L25" s="180" t="s">
        <v>76</v>
      </c>
      <c r="M25" s="180" t="s">
        <v>77</v>
      </c>
      <c r="N25" s="180" t="s">
        <v>78</v>
      </c>
      <c r="O25" s="180" t="s">
        <v>79</v>
      </c>
      <c r="P25" s="187" t="str">
        <f>P$4</f>
        <v>2026 MRF3</v>
      </c>
      <c r="Q25" s="188" t="s">
        <v>1309</v>
      </c>
      <c r="R25" s="5" t="str">
        <f t="shared" ref="R25:S25" si="15">R$4</f>
        <v>Difference</v>
      </c>
      <c r="S25" s="6" t="str">
        <f t="shared" si="15"/>
        <v>% change</v>
      </c>
      <c r="T25" s="72"/>
      <c r="U25" s="187" t="s">
        <v>1186</v>
      </c>
      <c r="V25" s="187" t="s">
        <v>82</v>
      </c>
      <c r="W25" s="188" t="s">
        <v>83</v>
      </c>
      <c r="X25" s="630" t="s">
        <v>84</v>
      </c>
      <c r="Y25" s="3" t="s">
        <v>175</v>
      </c>
      <c r="Z25" s="15"/>
      <c r="AB25" s="188" t="s">
        <v>85</v>
      </c>
    </row>
    <row r="26" spans="1:30" ht="15" customHeight="1" thickBot="1">
      <c r="A26" s="2" t="s">
        <v>23</v>
      </c>
      <c r="B26" s="36">
        <v>2904</v>
      </c>
      <c r="C26" s="36" t="s">
        <v>23</v>
      </c>
      <c r="D26" s="61">
        <f>SUMIFS('2026'!$M:$M,'2026'!$J:$J,$B26&amp;$C26,'2026'!$O:$O,D$4)</f>
        <v>7733.7312540000012</v>
      </c>
      <c r="E26" s="61">
        <f>SUMIFS('2026'!$M:$M,'2026'!$J:$J,$B26&amp;$C26,'2026'!$O:$O,E$4)</f>
        <v>9012.3946139999989</v>
      </c>
      <c r="F26" s="61">
        <f>SUMIFS('2026'!$M:$M,'2026'!$J:$J,$B26&amp;$C26,'2026'!$O:$O,F$4)</f>
        <v>11222.1376836</v>
      </c>
      <c r="G26" s="61">
        <f>SUMIFS('2026'!$M:$M,'2026'!$J:$J,$B26&amp;$C26,'2026'!$O:$O,G$4)</f>
        <v>9529.7162399999979</v>
      </c>
      <c r="H26" s="61">
        <f>SUMIFS('2026'!$M:$M,'2026'!$J:$J,$B26&amp;$C26,'2026'!$O:$O,H$4)</f>
        <v>8375.7147119999972</v>
      </c>
      <c r="I26" s="61">
        <f>SUMIFS('2026'!$M:$M,'2026'!$J:$J,$B26&amp;$C26,'2026'!$O:$O,I$4)</f>
        <v>8394.2568740571387</v>
      </c>
      <c r="J26" s="61">
        <f>SUMIFS('2026'!$M:$M,'2026'!$J:$J,$B26&amp;$C26,'2026'!$O:$O,J$4)</f>
        <v>8705.1552768000001</v>
      </c>
      <c r="K26" s="61">
        <f>SUMIFS('2026'!$M:$M,'2026'!$J:$J,$B26&amp;$C26,'2026'!$O:$O,K$4)</f>
        <v>9326.9520822857157</v>
      </c>
      <c r="L26" s="61">
        <f>SUMIFS('2026'!$M:$M,'2026'!$J:$J,$B26&amp;$C26,'2026'!$O:$O,L$4)</f>
        <v>8868.8940000000002</v>
      </c>
      <c r="M26" s="61">
        <f>SUMIFS('2026'!$M:$M,'2026'!$J:$J,$B26&amp;$C26,'2026'!$O:$O,M$4)</f>
        <v>6480.4903844571418</v>
      </c>
      <c r="N26" s="61">
        <f>SUMIFS('2026'!$M:$M,'2026'!$J:$J,$B26&amp;$C26,'2026'!$O:$O,N$4)</f>
        <v>5510.4960767999992</v>
      </c>
      <c r="O26" s="61">
        <f>SUMIFS('2026'!$M:$M,'2026'!$J:$J,$B26&amp;$C26,'2026'!$O:$O,O$4)</f>
        <v>5510.4960767999992</v>
      </c>
      <c r="P26" s="61">
        <f t="shared" ref="P26:P40" si="16">SUM(D26:O26)</f>
        <v>98670.435274799995</v>
      </c>
      <c r="Q26" s="605">
        <v>99088.629265542855</v>
      </c>
      <c r="R26" s="8">
        <f>P26-Q26</f>
        <v>-418.19399074286048</v>
      </c>
      <c r="S26" s="9">
        <f t="shared" ref="S26:S40" si="17">IF(ISERROR(R26/Q26),"",R26/Q26)</f>
        <v>-4.2204034291579767E-3</v>
      </c>
      <c r="T26" s="81"/>
      <c r="U26" s="61">
        <v>104658.28284623203</v>
      </c>
      <c r="V26" s="61">
        <v>110052.08021423205</v>
      </c>
      <c r="W26" s="605">
        <v>106954.047096232</v>
      </c>
      <c r="X26" s="631">
        <v>113929.03514779823</v>
      </c>
      <c r="Y26" s="14">
        <f>P26/V26-1</f>
        <v>-0.10342053432589426</v>
      </c>
      <c r="Z26" s="15">
        <f t="shared" ref="Z26:Z41" si="18">P26-V26</f>
        <v>-11381.644939432052</v>
      </c>
      <c r="AA26" s="15" t="s">
        <v>16</v>
      </c>
      <c r="AB26" s="605">
        <v>107373.2583</v>
      </c>
    </row>
    <row r="27" spans="1:30" ht="15" customHeight="1">
      <c r="A27" s="2" t="s">
        <v>31</v>
      </c>
      <c r="B27" s="36">
        <v>2904</v>
      </c>
      <c r="C27" s="36" t="s">
        <v>31</v>
      </c>
      <c r="D27" s="61">
        <f>SUMIFS('2026'!$M:$M,'2026'!$J:$J,$B27&amp;$C27,'2026'!$O:$O,D$4)</f>
        <v>381.78120000000001</v>
      </c>
      <c r="E27" s="61">
        <f>SUMIFS('2026'!$M:$M,'2026'!$J:$J,$B27&amp;$C27,'2026'!$O:$O,E$4)</f>
        <v>471.28379999999993</v>
      </c>
      <c r="F27" s="61">
        <f>SUMIFS('2026'!$M:$M,'2026'!$J:$J,$B27&amp;$C27,'2026'!$O:$O,F$4)</f>
        <v>731.34384959999988</v>
      </c>
      <c r="G27" s="61">
        <f>SUMIFS('2026'!$M:$M,'2026'!$J:$J,$B27&amp;$C27,'2026'!$O:$O,G$4)</f>
        <v>618.34751999999992</v>
      </c>
      <c r="H27" s="61">
        <f>SUMIFS('2026'!$M:$M,'2026'!$J:$J,$B27&amp;$C27,'2026'!$O:$O,H$4)</f>
        <v>530.01215999999999</v>
      </c>
      <c r="I27" s="61">
        <f>SUMIFS('2026'!$M:$M,'2026'!$J:$J,$B27&amp;$C27,'2026'!$O:$O,I$4)</f>
        <v>0</v>
      </c>
      <c r="J27" s="61">
        <f>SUMIFS('2026'!$M:$M,'2026'!$J:$J,$B27&amp;$C27,'2026'!$O:$O,J$4)</f>
        <v>0</v>
      </c>
      <c r="K27" s="61">
        <f>SUMIFS('2026'!$M:$M,'2026'!$J:$J,$B27&amp;$C27,'2026'!$O:$O,K$4)</f>
        <v>0</v>
      </c>
      <c r="L27" s="61">
        <f>SUMIFS('2026'!$M:$M,'2026'!$J:$J,$B27&amp;$C27,'2026'!$O:$O,L$4)</f>
        <v>0</v>
      </c>
      <c r="M27" s="61">
        <f>SUMIFS('2026'!$M:$M,'2026'!$J:$J,$B27&amp;$C27,'2026'!$O:$O,M$4)</f>
        <v>0</v>
      </c>
      <c r="N27" s="61">
        <f>SUMIFS('2026'!$M:$M,'2026'!$J:$J,$B27&amp;$C27,'2026'!$O:$O,N$4)</f>
        <v>0</v>
      </c>
      <c r="O27" s="61">
        <f>SUMIFS('2026'!$M:$M,'2026'!$J:$J,$B27&amp;$C27,'2026'!$O:$O,O$4)</f>
        <v>0</v>
      </c>
      <c r="P27" s="61">
        <f t="shared" si="16"/>
        <v>2732.7685296</v>
      </c>
      <c r="Q27" s="7">
        <v>3050.6596127999996</v>
      </c>
      <c r="R27" s="8">
        <f>P27-Q27</f>
        <v>-317.89108319999968</v>
      </c>
      <c r="S27" s="9">
        <f t="shared" si="17"/>
        <v>-0.10420404881166942</v>
      </c>
      <c r="T27" s="846"/>
      <c r="U27" s="61">
        <v>7044.5690639999993</v>
      </c>
      <c r="V27" s="61">
        <v>7455.3213599999999</v>
      </c>
      <c r="W27" s="7">
        <v>8270.5362000000005</v>
      </c>
      <c r="X27" s="632">
        <v>7219.6764240000011</v>
      </c>
      <c r="Y27" s="14">
        <f t="shared" ref="Y27:Y41" si="19">P27/V27-1</f>
        <v>-0.63344725228584919</v>
      </c>
      <c r="Z27" s="15">
        <f t="shared" si="18"/>
        <v>-4722.5528303999999</v>
      </c>
      <c r="AA27" s="15" t="s">
        <v>16</v>
      </c>
      <c r="AB27" s="7">
        <v>4648.6692000000003</v>
      </c>
    </row>
    <row r="28" spans="1:30" ht="15" customHeight="1">
      <c r="A28" s="2" t="s">
        <v>27</v>
      </c>
      <c r="B28" s="36">
        <v>2904</v>
      </c>
      <c r="C28" s="36" t="s">
        <v>27</v>
      </c>
      <c r="D28" s="61">
        <f>SUMIFS('2026'!$M:$M,'2026'!$J:$J,$B28&amp;$C28,'2026'!$O:$O,D$4)</f>
        <v>0</v>
      </c>
      <c r="E28" s="61">
        <f>SUMIFS('2026'!$M:$M,'2026'!$J:$J,$B28&amp;$C28,'2026'!$O:$O,E$4)</f>
        <v>0</v>
      </c>
      <c r="F28" s="61">
        <f>SUMIFS('2026'!$M:$M,'2026'!$J:$J,$B28&amp;$C28,'2026'!$O:$O,F$4)</f>
        <v>0</v>
      </c>
      <c r="G28" s="61">
        <f>SUMIFS('2026'!$M:$M,'2026'!$J:$J,$B28&amp;$C28,'2026'!$O:$O,G$4)</f>
        <v>0</v>
      </c>
      <c r="H28" s="61">
        <f>SUMIFS('2026'!$M:$M,'2026'!$J:$J,$B28&amp;$C28,'2026'!$O:$O,H$4)</f>
        <v>0</v>
      </c>
      <c r="I28" s="61">
        <f>SUMIFS('2026'!$M:$M,'2026'!$J:$J,$B28&amp;$C28,'2026'!$O:$O,I$4)</f>
        <v>0</v>
      </c>
      <c r="J28" s="61">
        <f>SUMIFS('2026'!$M:$M,'2026'!$J:$J,$B28&amp;$C28,'2026'!$O:$O,J$4)</f>
        <v>0</v>
      </c>
      <c r="K28" s="61">
        <f>SUMIFS('2026'!$M:$M,'2026'!$J:$J,$B28&amp;$C28,'2026'!$O:$O,K$4)</f>
        <v>0</v>
      </c>
      <c r="L28" s="61">
        <f>SUMIFS('2026'!$M:$M,'2026'!$J:$J,$B28&amp;$C28,'2026'!$O:$O,L$4)</f>
        <v>0</v>
      </c>
      <c r="M28" s="61">
        <f>SUMIFS('2026'!$M:$M,'2026'!$J:$J,$B28&amp;$C28,'2026'!$O:$O,M$4)</f>
        <v>0</v>
      </c>
      <c r="N28" s="61">
        <f>SUMIFS('2026'!$M:$M,'2026'!$J:$J,$B28&amp;$C28,'2026'!$O:$O,N$4)</f>
        <v>0</v>
      </c>
      <c r="O28" s="61">
        <f>SUMIFS('2026'!$M:$M,'2026'!$J:$J,$B28&amp;$C28,'2026'!$O:$O,O$4)</f>
        <v>0</v>
      </c>
      <c r="P28" s="61">
        <f t="shared" si="16"/>
        <v>0</v>
      </c>
      <c r="Q28" s="7">
        <v>0</v>
      </c>
      <c r="R28" s="8"/>
      <c r="S28" s="9" t="str">
        <f t="shared" si="17"/>
        <v/>
      </c>
      <c r="T28" s="79" t="s">
        <v>1319</v>
      </c>
      <c r="U28" s="61">
        <v>0</v>
      </c>
      <c r="V28" s="61">
        <v>0</v>
      </c>
      <c r="W28" s="7">
        <v>0</v>
      </c>
      <c r="X28" s="633">
        <v>0</v>
      </c>
      <c r="Y28" s="14" t="e">
        <f t="shared" si="19"/>
        <v>#DIV/0!</v>
      </c>
      <c r="Z28" s="15">
        <f t="shared" si="18"/>
        <v>0</v>
      </c>
      <c r="AA28" s="15" t="s">
        <v>16</v>
      </c>
      <c r="AB28" s="7">
        <v>0</v>
      </c>
    </row>
    <row r="29" spans="1:30">
      <c r="A29" s="2" t="s">
        <v>38</v>
      </c>
      <c r="B29" s="36">
        <v>2904</v>
      </c>
      <c r="C29" s="36" t="s">
        <v>38</v>
      </c>
      <c r="D29" s="61">
        <f>SUMIFS('2026'!$M:$M,'2026'!$J:$J,$B29&amp;$C29,'2026'!$O:$O,D$4)</f>
        <v>0</v>
      </c>
      <c r="E29" s="61">
        <f>SUMIFS('2026'!$M:$M,'2026'!$J:$J,$B29&amp;$C29,'2026'!$O:$O,E$4)</f>
        <v>322.48761599999989</v>
      </c>
      <c r="F29" s="61">
        <f>SUMIFS('2026'!$M:$M,'2026'!$J:$J,$B29&amp;$C29,'2026'!$O:$O,F$4)</f>
        <v>5.6759999999999991E-2</v>
      </c>
      <c r="G29" s="61">
        <f>SUMIFS('2026'!$M:$M,'2026'!$J:$J,$B29&amp;$C29,'2026'!$O:$O,G$4)</f>
        <v>152.57087999999999</v>
      </c>
      <c r="H29" s="61">
        <f>SUMIFS('2026'!$M:$M,'2026'!$J:$J,$B29&amp;$C29,'2026'!$O:$O,H$4)</f>
        <v>239.75423999999998</v>
      </c>
      <c r="I29" s="61">
        <f>SUMIFS('2026'!$M:$M,'2026'!$J:$J,$B29&amp;$C29,'2026'!$O:$O,I$4)</f>
        <v>0</v>
      </c>
      <c r="J29" s="61">
        <f>SUMIFS('2026'!$M:$M,'2026'!$J:$J,$B29&amp;$C29,'2026'!$O:$O,J$4)</f>
        <v>63.207368399999993</v>
      </c>
      <c r="K29" s="61">
        <f>SUMIFS('2026'!$M:$M,'2026'!$J:$J,$B29&amp;$C29,'2026'!$O:$O,K$4)</f>
        <v>84.276491199999981</v>
      </c>
      <c r="L29" s="61">
        <f>SUMIFS('2026'!$M:$M,'2026'!$J:$J,$B29&amp;$C29,'2026'!$O:$O,L$4)</f>
        <v>81.555227599999981</v>
      </c>
      <c r="M29" s="61">
        <f>SUMIFS('2026'!$M:$M,'2026'!$J:$J,$B29&amp;$C29,'2026'!$O:$O,M$4)</f>
        <v>84.276491199999981</v>
      </c>
      <c r="N29" s="61">
        <f>SUMIFS('2026'!$M:$M,'2026'!$J:$J,$B29&amp;$C29,'2026'!$O:$O,N$4)</f>
        <v>81.555227599999981</v>
      </c>
      <c r="O29" s="61">
        <f>SUMIFS('2026'!$M:$M,'2026'!$J:$J,$B29&amp;$C29,'2026'!$O:$O,O$4)</f>
        <v>84.276491199999981</v>
      </c>
      <c r="P29" s="61">
        <f t="shared" si="16"/>
        <v>1194.0167931999997</v>
      </c>
      <c r="Q29" s="7">
        <v>1063.3399479999998</v>
      </c>
      <c r="R29" s="8">
        <f t="shared" ref="R29:R36" si="20">P29-Q29</f>
        <v>130.67684519999989</v>
      </c>
      <c r="S29" s="9">
        <f t="shared" si="17"/>
        <v>0.12289282034948988</v>
      </c>
      <c r="T29" s="91" t="s">
        <v>1367</v>
      </c>
      <c r="U29" s="61">
        <v>0</v>
      </c>
      <c r="V29" s="61">
        <v>0</v>
      </c>
      <c r="W29" s="7">
        <v>0</v>
      </c>
      <c r="X29" s="633">
        <v>6672.1278773759996</v>
      </c>
      <c r="Y29" s="14" t="e">
        <f t="shared" si="19"/>
        <v>#DIV/0!</v>
      </c>
      <c r="Z29" s="15">
        <f t="shared" si="18"/>
        <v>1194.0167931999997</v>
      </c>
      <c r="AA29" s="15" t="s">
        <v>16</v>
      </c>
      <c r="AB29" s="7">
        <v>0</v>
      </c>
    </row>
    <row r="30" spans="1:30" ht="15" customHeight="1" thickBot="1">
      <c r="A30" s="2" t="s">
        <v>36</v>
      </c>
      <c r="B30" s="358">
        <v>2904</v>
      </c>
      <c r="C30" s="358" t="s">
        <v>36</v>
      </c>
      <c r="D30" s="359">
        <f>SUMIFS('2026'!$M:$M,'2026'!$J:$J,$B30&amp;$C30,'2026'!$O:$O,D$4)</f>
        <v>237.81676800000002</v>
      </c>
      <c r="E30" s="359">
        <f>SUMIFS('2026'!$M:$M,'2026'!$J:$J,$B30&amp;$C30,'2026'!$O:$O,E$4)</f>
        <v>314.05683199999999</v>
      </c>
      <c r="F30" s="359">
        <f>SUMIFS('2026'!$M:$M,'2026'!$J:$J,$B30&amp;$C30,'2026'!$O:$O,F$4)</f>
        <v>336.87833728000004</v>
      </c>
      <c r="G30" s="359">
        <f>SUMIFS('2026'!$M:$M,'2026'!$J:$J,$B30&amp;$C30,'2026'!$O:$O,G$4)</f>
        <v>369.850368</v>
      </c>
      <c r="H30" s="359">
        <f>SUMIFS('2026'!$M:$M,'2026'!$J:$J,$B30&amp;$C30,'2026'!$O:$O,H$4)</f>
        <v>294.17472000000004</v>
      </c>
      <c r="I30" s="359">
        <f>SUMIFS('2026'!$M:$M,'2026'!$J:$J,$B30&amp;$C30,'2026'!$O:$O,I$4)</f>
        <v>315.24799999999999</v>
      </c>
      <c r="J30" s="359">
        <f>SUMIFS('2026'!$M:$M,'2026'!$J:$J,$B30&amp;$C30,'2026'!$O:$O,J$4)</f>
        <v>362.53519999999997</v>
      </c>
      <c r="K30" s="359">
        <f>SUMIFS('2026'!$M:$M,'2026'!$J:$J,$B30&amp;$C30,'2026'!$O:$O,K$4)</f>
        <v>346.77280000000002</v>
      </c>
      <c r="L30" s="359">
        <f>SUMIFS('2026'!$M:$M,'2026'!$J:$J,$B30&amp;$C30,'2026'!$O:$O,L$4)</f>
        <v>331.0104</v>
      </c>
      <c r="M30" s="359">
        <f>SUMIFS('2026'!$M:$M,'2026'!$J:$J,$B30&amp;$C30,'2026'!$O:$O,M$4)</f>
        <v>331.0104</v>
      </c>
      <c r="N30" s="359">
        <f>SUMIFS('2026'!$M:$M,'2026'!$J:$J,$B30&amp;$C30,'2026'!$O:$O,N$4)</f>
        <v>0</v>
      </c>
      <c r="O30" s="359">
        <f>SUMIFS('2026'!$M:$M,'2026'!$J:$J,$B30&amp;$C30,'2026'!$O:$O,O$4)</f>
        <v>0</v>
      </c>
      <c r="P30" s="359">
        <f t="shared" si="16"/>
        <v>3239.3538252800004</v>
      </c>
      <c r="Q30" s="360">
        <v>3207.1574732800004</v>
      </c>
      <c r="R30" s="377">
        <f t="shared" si="20"/>
        <v>32.196351999999933</v>
      </c>
      <c r="S30" s="361">
        <f t="shared" si="17"/>
        <v>1.0038905874825135E-2</v>
      </c>
      <c r="T30" s="378"/>
      <c r="U30" s="359">
        <v>2988.0056320000003</v>
      </c>
      <c r="V30" s="359">
        <v>3249.8886079999993</v>
      </c>
      <c r="W30" s="360">
        <v>3455.3092799999999</v>
      </c>
      <c r="X30" s="634">
        <v>4006.9251520000003</v>
      </c>
      <c r="Y30" s="14">
        <f t="shared" si="19"/>
        <v>-3.2415827096554661E-3</v>
      </c>
      <c r="Z30" s="15">
        <f t="shared" si="18"/>
        <v>-10.53478271999893</v>
      </c>
      <c r="AA30" s="15" t="s">
        <v>16</v>
      </c>
      <c r="AB30" s="360">
        <v>3716.7739200000001</v>
      </c>
    </row>
    <row r="31" spans="1:30" ht="33" customHeight="1">
      <c r="A31" s="2" t="s">
        <v>37</v>
      </c>
      <c r="B31" s="366">
        <v>2904</v>
      </c>
      <c r="C31" s="367" t="s">
        <v>37</v>
      </c>
      <c r="D31" s="368">
        <f>SUMIFS('2026'!$M:$M,'2026'!$J:$J,$B31&amp;$C31,'2026'!$O:$O,D$4)</f>
        <v>1424.1781560000002</v>
      </c>
      <c r="E31" s="368">
        <f>SUMIFS('2026'!$M:$M,'2026'!$J:$J,$B31&amp;$C31,'2026'!$O:$O,E$4)</f>
        <v>1540.2365400000001</v>
      </c>
      <c r="F31" s="368">
        <f>SUMIFS('2026'!$M:$M,'2026'!$J:$J,$B31&amp;$C31,'2026'!$O:$O,F$4)</f>
        <v>1432.075060000001</v>
      </c>
      <c r="G31" s="368">
        <f>SUMIFS('2026'!$M:$M,'2026'!$J:$J,$B31&amp;$C31,'2026'!$O:$O,G$4)</f>
        <v>1926.706944</v>
      </c>
      <c r="H31" s="368">
        <f>SUMIFS('2026'!$M:$M,'2026'!$J:$J,$B31&amp;$C31,'2026'!$O:$O,H$4)</f>
        <v>1878.521088</v>
      </c>
      <c r="I31" s="368">
        <f>SUMIFS('2026'!$M:$M,'2026'!$J:$J,$B31&amp;$C31,'2026'!$O:$O,I$4)</f>
        <v>1855.4032000000002</v>
      </c>
      <c r="J31" s="368">
        <f>SUMIFS('2026'!$M:$M,'2026'!$J:$J,$B31&amp;$C31,'2026'!$O:$O,J$4)</f>
        <v>1904.2256000000002</v>
      </c>
      <c r="K31" s="368">
        <f>SUMIFS('2026'!$M:$M,'2026'!$J:$J,$B31&amp;$C31,'2026'!$O:$O,K$4)</f>
        <v>1870.2004000000002</v>
      </c>
      <c r="L31" s="368">
        <f>SUMIFS('2026'!$M:$M,'2026'!$J:$J,$B31&amp;$C31,'2026'!$O:$O,L$4)</f>
        <v>1585.4797000000001</v>
      </c>
      <c r="M31" s="368">
        <f>SUMIFS('2026'!$M:$M,'2026'!$J:$J,$B31&amp;$C31,'2026'!$O:$O,M$4)</f>
        <v>512</v>
      </c>
      <c r="N31" s="368">
        <f>SUMIFS('2026'!$M:$M,'2026'!$J:$J,$B31&amp;$C31,'2026'!$O:$O,N$4)</f>
        <v>0</v>
      </c>
      <c r="O31" s="368">
        <f>SUMIFS('2026'!$M:$M,'2026'!$J:$J,$B31&amp;$C31,'2026'!$O:$O,O$4)</f>
        <v>0</v>
      </c>
      <c r="P31" s="368">
        <f t="shared" si="16"/>
        <v>15929.026688</v>
      </c>
      <c r="Q31" s="369">
        <v>16972.212873600001</v>
      </c>
      <c r="R31" s="205">
        <f t="shared" si="20"/>
        <v>-1043.1861856000014</v>
      </c>
      <c r="S31" s="370">
        <f t="shared" si="17"/>
        <v>-6.1464359030204037E-2</v>
      </c>
      <c r="T31" s="713" t="s">
        <v>1370</v>
      </c>
      <c r="U31" s="368">
        <v>18530.169020000008</v>
      </c>
      <c r="V31" s="368">
        <v>16217.467690000001</v>
      </c>
      <c r="W31" s="369">
        <v>16493.611934639997</v>
      </c>
      <c r="X31" s="633">
        <v>14708.682883999998</v>
      </c>
      <c r="Y31" s="14">
        <f t="shared" si="19"/>
        <v>-1.7785822516412919E-2</v>
      </c>
      <c r="Z31" s="15">
        <f t="shared" si="18"/>
        <v>-288.44100200000139</v>
      </c>
      <c r="AA31" s="15" t="s">
        <v>16</v>
      </c>
      <c r="AB31" s="369">
        <v>15353.303545360002</v>
      </c>
      <c r="AC31" s="15"/>
      <c r="AD31" s="14"/>
    </row>
    <row r="32" spans="1:30" ht="15" customHeight="1">
      <c r="A32" s="2" t="s">
        <v>37</v>
      </c>
      <c r="B32" s="371">
        <v>2904</v>
      </c>
      <c r="C32" s="52" t="s">
        <v>99</v>
      </c>
      <c r="D32" s="320">
        <f>SUMIFS('2026'!$M:$M,'2026'!$J:$J,$B32&amp;$C32,'2026'!$O:$O,D$4)</f>
        <v>0</v>
      </c>
      <c r="E32" s="320">
        <f>SUMIFS('2026'!$M:$M,'2026'!$J:$J,$B32&amp;$C32,'2026'!$O:$O,E$4)</f>
        <v>0</v>
      </c>
      <c r="F32" s="320">
        <f>SUMIFS('2026'!$M:$M,'2026'!$J:$J,$B32&amp;$C32,'2026'!$O:$O,F$4)</f>
        <v>0</v>
      </c>
      <c r="G32" s="320">
        <f>SUMIFS('2026'!$M:$M,'2026'!$J:$J,$B32&amp;$C32,'2026'!$O:$O,G$4)</f>
        <v>0</v>
      </c>
      <c r="H32" s="320">
        <f>SUMIFS('2026'!$M:$M,'2026'!$J:$J,$B32&amp;$C32,'2026'!$O:$O,H$4)</f>
        <v>0</v>
      </c>
      <c r="I32" s="320">
        <f>SUMIFS('2026'!$M:$M,'2026'!$J:$J,$B32&amp;$C32,'2026'!$O:$O,I$4)</f>
        <v>0</v>
      </c>
      <c r="J32" s="320">
        <f>SUMIFS('2026'!$M:$M,'2026'!$J:$J,$B32&amp;$C32,'2026'!$O:$O,J$4)</f>
        <v>0</v>
      </c>
      <c r="K32" s="320">
        <f>SUMIFS('2026'!$M:$M,'2026'!$J:$J,$B32&amp;$C32,'2026'!$O:$O,K$4)</f>
        <v>0</v>
      </c>
      <c r="L32" s="320">
        <f>SUMIFS('2026'!$M:$M,'2026'!$J:$J,$B32&amp;$C32,'2026'!$O:$O,L$4)</f>
        <v>0</v>
      </c>
      <c r="M32" s="320">
        <f>SUMIFS('2026'!$M:$M,'2026'!$J:$J,$B32&amp;$C32,'2026'!$O:$O,M$4)</f>
        <v>0</v>
      </c>
      <c r="N32" s="320">
        <f>SUMIFS('2026'!$M:$M,'2026'!$J:$J,$B32&amp;$C32,'2026'!$O:$O,N$4)</f>
        <v>0</v>
      </c>
      <c r="O32" s="320">
        <f>SUMIFS('2026'!$M:$M,'2026'!$J:$J,$B32&amp;$C32,'2026'!$O:$O,O$4)</f>
        <v>0</v>
      </c>
      <c r="P32" s="320">
        <f t="shared" si="16"/>
        <v>0</v>
      </c>
      <c r="Q32" s="365">
        <v>0</v>
      </c>
      <c r="R32" s="15">
        <f t="shared" si="20"/>
        <v>0</v>
      </c>
      <c r="S32" s="62" t="str">
        <f t="shared" si="17"/>
        <v/>
      </c>
      <c r="T32" s="714"/>
      <c r="U32" s="320">
        <v>238.35041999999996</v>
      </c>
      <c r="V32" s="320">
        <v>238.35042000000001</v>
      </c>
      <c r="W32" s="365">
        <v>238.35042000000001</v>
      </c>
      <c r="X32" s="633">
        <v>996.92603999999994</v>
      </c>
      <c r="Y32" s="14">
        <f t="shared" si="19"/>
        <v>-1</v>
      </c>
      <c r="Z32" s="15">
        <f t="shared" si="18"/>
        <v>-238.35042000000001</v>
      </c>
      <c r="AA32" s="15" t="s">
        <v>16</v>
      </c>
      <c r="AB32" s="365">
        <v>0</v>
      </c>
    </row>
    <row r="33" spans="1:35" ht="39.6" customHeight="1" thickBot="1">
      <c r="A33" s="2" t="s">
        <v>44</v>
      </c>
      <c r="B33" s="372">
        <v>2904</v>
      </c>
      <c r="C33" s="373" t="s">
        <v>44</v>
      </c>
      <c r="D33" s="203">
        <f>SUMIFS('2026'!$M:$M,'2026'!$J:$J,$B33&amp;$C33,'2026'!$O:$O,D$4)</f>
        <v>1017.5065279999997</v>
      </c>
      <c r="E33" s="203">
        <f>SUMIFS('2026'!$M:$M,'2026'!$J:$J,$B33&amp;$C33,'2026'!$O:$O,E$4)</f>
        <v>1159.8552719999998</v>
      </c>
      <c r="F33" s="203">
        <f>SUMIFS('2026'!$M:$M,'2026'!$J:$J,$B33&amp;$C33,'2026'!$O:$O,F$4)</f>
        <v>952.21337600000004</v>
      </c>
      <c r="G33" s="203">
        <f>SUMIFS('2026'!$M:$M,'2026'!$J:$J,$B33&amp;$C33,'2026'!$O:$O,G$4)</f>
        <v>981.04089599999998</v>
      </c>
      <c r="H33" s="203">
        <f>SUMIFS('2026'!$M:$M,'2026'!$J:$J,$B33&amp;$C33,'2026'!$O:$O,H$4)</f>
        <v>779.32799999999997</v>
      </c>
      <c r="I33" s="203">
        <f>SUMIFS('2026'!$M:$M,'2026'!$J:$J,$B33&amp;$C33,'2026'!$O:$O,I$4)</f>
        <v>911.82671999999991</v>
      </c>
      <c r="J33" s="203">
        <f>SUMIFS('2026'!$M:$M,'2026'!$J:$J,$B33&amp;$C33,'2026'!$O:$O,J$4)</f>
        <v>944.39195999999993</v>
      </c>
      <c r="K33" s="203">
        <f>SUMIFS('2026'!$M:$M,'2026'!$J:$J,$B33&amp;$C33,'2026'!$O:$O,K$4)</f>
        <v>1009.52244</v>
      </c>
      <c r="L33" s="203">
        <f>SUMIFS('2026'!$M:$M,'2026'!$J:$J,$B33&amp;$C33,'2026'!$O:$O,L$4)</f>
        <v>911.82671999999991</v>
      </c>
      <c r="M33" s="203">
        <f>SUMIFS('2026'!$M:$M,'2026'!$J:$J,$B33&amp;$C33,'2026'!$O:$O,M$4)</f>
        <v>944.39195999999993</v>
      </c>
      <c r="N33" s="203">
        <f>SUMIFS('2026'!$M:$M,'2026'!$J:$J,$B33&amp;$C33,'2026'!$O:$O,N$4)</f>
        <v>879.26148000000001</v>
      </c>
      <c r="O33" s="203">
        <f>SUMIFS('2026'!$M:$M,'2026'!$J:$J,$B33&amp;$C33,'2026'!$O:$O,O$4)</f>
        <v>879.26148000000001</v>
      </c>
      <c r="P33" s="203">
        <f t="shared" si="16"/>
        <v>11370.426831999997</v>
      </c>
      <c r="Q33" s="374">
        <v>10997.898543999998</v>
      </c>
      <c r="R33" s="379">
        <f t="shared" si="20"/>
        <v>372.52828799999952</v>
      </c>
      <c r="S33" s="376">
        <f t="shared" si="17"/>
        <v>3.3872679085881881E-2</v>
      </c>
      <c r="T33" s="715"/>
      <c r="U33" s="203">
        <v>4251.70496</v>
      </c>
      <c r="V33" s="203">
        <v>4882.212575999999</v>
      </c>
      <c r="W33" s="374">
        <v>5596.4890240000004</v>
      </c>
      <c r="X33" s="633">
        <v>1670.567888</v>
      </c>
      <c r="Y33" s="14">
        <f t="shared" si="19"/>
        <v>1.3289495602659311</v>
      </c>
      <c r="Z33" s="15">
        <f t="shared" si="18"/>
        <v>6488.2142559999984</v>
      </c>
      <c r="AA33" s="15" t="s">
        <v>16</v>
      </c>
      <c r="AB33" s="374">
        <v>12768.091199999999</v>
      </c>
    </row>
    <row r="34" spans="1:35" ht="15" customHeight="1">
      <c r="A34" s="2" t="s">
        <v>40</v>
      </c>
      <c r="B34" s="371">
        <v>2904</v>
      </c>
      <c r="C34" s="52" t="s">
        <v>100</v>
      </c>
      <c r="D34" s="320">
        <f>SUMIFS('2026'!$M:$M,'2026'!$J:$J,$B34&amp;$C34,'2026'!$O:$O,D$4)</f>
        <v>85.787064000000001</v>
      </c>
      <c r="E34" s="320">
        <f>SUMIFS('2026'!$M:$M,'2026'!$J:$J,$B34&amp;$C34,'2026'!$O:$O,E$4)</f>
        <v>0</v>
      </c>
      <c r="F34" s="320">
        <f>SUMIFS('2026'!$M:$M,'2026'!$J:$J,$B34&amp;$C34,'2026'!$O:$O,F$4)</f>
        <v>261.55825343999999</v>
      </c>
      <c r="G34" s="320">
        <f>SUMIFS('2026'!$M:$M,'2026'!$J:$J,$B34&amp;$C34,'2026'!$O:$O,G$4)</f>
        <v>0</v>
      </c>
      <c r="H34" s="320">
        <f>SUMIFS('2026'!$M:$M,'2026'!$J:$J,$B34&amp;$C34,'2026'!$O:$O,H$4)</f>
        <v>251.74195199999997</v>
      </c>
      <c r="I34" s="320">
        <f>SUMIFS('2026'!$M:$M,'2026'!$J:$J,$B34&amp;$C34,'2026'!$O:$O,I$4)</f>
        <v>165.32442726256483</v>
      </c>
      <c r="J34" s="320">
        <f>SUMIFS('2026'!$M:$M,'2026'!$J:$J,$B34&amp;$C34,'2026'!$O:$O,J$4)</f>
        <v>183.69380806951648</v>
      </c>
      <c r="K34" s="320">
        <f>SUMIFS('2026'!$M:$M,'2026'!$J:$J,$B34&amp;$C34,'2026'!$O:$O,K$4)</f>
        <v>202.06318887646813</v>
      </c>
      <c r="L34" s="320">
        <f>SUMIFS('2026'!$M:$M,'2026'!$J:$J,$B34&amp;$C34,'2026'!$O:$O,L$4)</f>
        <v>174.50911766604065</v>
      </c>
      <c r="M34" s="320">
        <f>SUMIFS('2026'!$M:$M,'2026'!$J:$J,$B34&amp;$C34,'2026'!$O:$O,M$4)</f>
        <v>340.55999999999995</v>
      </c>
      <c r="N34" s="320">
        <f>SUMIFS('2026'!$M:$M,'2026'!$J:$J,$B34&amp;$C34,'2026'!$O:$O,N$4)</f>
        <v>165.32442726256483</v>
      </c>
      <c r="O34" s="320">
        <f>SUMIFS('2026'!$M:$M,'2026'!$J:$J,$B34&amp;$C34,'2026'!$O:$O,O$4)</f>
        <v>85.139999999999986</v>
      </c>
      <c r="P34" s="320">
        <f t="shared" si="16"/>
        <v>1915.7022385771547</v>
      </c>
      <c r="Q34" s="365">
        <v>1920.8487516749669</v>
      </c>
      <c r="R34" s="357">
        <f t="shared" si="20"/>
        <v>-5.1465130978122033</v>
      </c>
      <c r="S34" s="62">
        <f t="shared" si="17"/>
        <v>-2.6792911692419714E-3</v>
      </c>
      <c r="T34" s="1028"/>
      <c r="U34" s="320">
        <v>1387.1197999999997</v>
      </c>
      <c r="V34" s="320">
        <v>1332.1836879999998</v>
      </c>
      <c r="W34" s="365">
        <v>1062.7628879999997</v>
      </c>
      <c r="X34" s="632">
        <v>3799.6374589440002</v>
      </c>
      <c r="Y34" s="14">
        <f t="shared" si="19"/>
        <v>0.43801658572564284</v>
      </c>
      <c r="Z34" s="15">
        <f t="shared" si="18"/>
        <v>583.51855057715488</v>
      </c>
      <c r="AA34" s="15" t="s">
        <v>16</v>
      </c>
      <c r="AB34" s="365">
        <v>1802.6182702886665</v>
      </c>
    </row>
    <row r="35" spans="1:35" ht="29.85" customHeight="1">
      <c r="A35" s="2" t="s">
        <v>29</v>
      </c>
      <c r="B35" s="371">
        <v>2904</v>
      </c>
      <c r="C35" s="52" t="s">
        <v>29</v>
      </c>
      <c r="D35" s="320">
        <f>SUMIFS('2026'!$M:$M,'2026'!$J:$J,$B35&amp;$C35,'2026'!$O:$O,D$4)</f>
        <v>553.18106214400007</v>
      </c>
      <c r="E35" s="320">
        <f>SUMIFS('2026'!$M:$M,'2026'!$J:$J,$B35&amp;$C35,'2026'!$O:$O,E$4)</f>
        <v>135.58853260799998</v>
      </c>
      <c r="F35" s="320">
        <f>SUMIFS('2026'!$M:$M,'2026'!$J:$J,$B35&amp;$C35,'2026'!$O:$O,F$4)</f>
        <v>1222.6022222880001</v>
      </c>
      <c r="G35" s="320">
        <f>SUMIFS('2026'!$M:$M,'2026'!$J:$J,$B35&amp;$C35,'2026'!$O:$O,G$4)</f>
        <v>889.91984159999993</v>
      </c>
      <c r="H35" s="320">
        <f>SUMIFS('2026'!$M:$M,'2026'!$J:$J,$B35&amp;$C35,'2026'!$O:$O,H$4)</f>
        <v>517.75845119999997</v>
      </c>
      <c r="I35" s="842">
        <f>SUMIFS('2026'!$M:$M,'2026'!$J:$J,$B35&amp;$C35,'2026'!$O:$O,I$4)</f>
        <v>799.51007692799999</v>
      </c>
      <c r="J35" s="842">
        <f>SUMIFS('2026'!$M:$M,'2026'!$J:$J,$B35&amp;$C35,'2026'!$O:$O,J$4)</f>
        <v>719.06394623999995</v>
      </c>
      <c r="K35" s="842">
        <f>SUMIFS('2026'!$M:$M,'2026'!$J:$J,$B35&amp;$C35,'2026'!$O:$O,K$4)</f>
        <v>0</v>
      </c>
      <c r="L35" s="842">
        <f>SUMIFS('2026'!$M:$M,'2026'!$J:$J,$B35&amp;$C35,'2026'!$O:$O,L$4)</f>
        <v>0</v>
      </c>
      <c r="M35" s="842">
        <f>SUMIFS('2026'!$M:$M,'2026'!$J:$J,$B35&amp;$C35,'2026'!$O:$O,M$4)</f>
        <v>14.066338304</v>
      </c>
      <c r="N35" s="842">
        <f>SUMIFS('2026'!$M:$M,'2026'!$J:$J,$B35&amp;$C35,'2026'!$O:$O,N$4)</f>
        <v>0</v>
      </c>
      <c r="O35" s="842">
        <f>SUMIFS('2026'!$M:$M,'2026'!$J:$J,$B35&amp;$C35,'2026'!$O:$O,O$4)</f>
        <v>0</v>
      </c>
      <c r="P35" s="320">
        <f t="shared" si="16"/>
        <v>4851.6904713119993</v>
      </c>
      <c r="Q35" s="365">
        <v>5319.494816383999</v>
      </c>
      <c r="R35" s="357">
        <f t="shared" si="20"/>
        <v>-467.80434507199971</v>
      </c>
      <c r="S35" s="62">
        <f t="shared" si="17"/>
        <v>-8.7941498435371399E-2</v>
      </c>
      <c r="T35" s="1029"/>
      <c r="U35" s="320">
        <v>5633.6246362879992</v>
      </c>
      <c r="V35" s="320">
        <v>5218.5582453759998</v>
      </c>
      <c r="W35" s="365">
        <v>6863.2057224038399</v>
      </c>
      <c r="X35" s="633">
        <v>559.18895199999997</v>
      </c>
      <c r="Y35" s="14">
        <f t="shared" si="19"/>
        <v>-7.0300599670238495E-2</v>
      </c>
      <c r="Z35" s="15">
        <f t="shared" si="18"/>
        <v>-366.86777406400051</v>
      </c>
      <c r="AA35" s="15" t="s">
        <v>16</v>
      </c>
      <c r="AB35" s="365">
        <v>4220.1903513599991</v>
      </c>
      <c r="AC35" s="15"/>
    </row>
    <row r="36" spans="1:35" ht="15" customHeight="1">
      <c r="A36" s="2" t="s">
        <v>40</v>
      </c>
      <c r="B36" s="371">
        <v>2904</v>
      </c>
      <c r="C36" s="52" t="s">
        <v>101</v>
      </c>
      <c r="D36" s="320">
        <f>SUMIFS('2026'!$M:$M,'2026'!$J:$J,$B36&amp;$C36,'2026'!$O:$O,D$4)</f>
        <v>114.83225599999999</v>
      </c>
      <c r="E36" s="320">
        <f>SUMIFS('2026'!$M:$M,'2026'!$J:$J,$B36&amp;$C36,'2026'!$O:$O,E$4)</f>
        <v>279.21359200000001</v>
      </c>
      <c r="F36" s="320">
        <f>SUMIFS('2026'!$M:$M,'2026'!$J:$J,$B36&amp;$C36,'2026'!$O:$O,F$4)</f>
        <v>157.04035200000001</v>
      </c>
      <c r="G36" s="320">
        <f>SUMIFS('2026'!$M:$M,'2026'!$J:$J,$B36&amp;$C36,'2026'!$O:$O,G$4)</f>
        <v>378.76607999999999</v>
      </c>
      <c r="H36" s="320">
        <f>SUMIFS('2026'!$M:$M,'2026'!$J:$J,$B36&amp;$C36,'2026'!$O:$O,H$4)</f>
        <v>511.33420799999999</v>
      </c>
      <c r="I36" s="320">
        <f>SUMIFS('2026'!$M:$M,'2026'!$J:$J,$B36&amp;$C36,'2026'!$O:$O,I$4)</f>
        <v>324.57842717685787</v>
      </c>
      <c r="J36" s="320">
        <f>SUMIFS('2026'!$M:$M,'2026'!$J:$J,$B36&amp;$C36,'2026'!$O:$O,J$4)</f>
        <v>360.64269686317539</v>
      </c>
      <c r="K36" s="320">
        <f>SUMIFS('2026'!$M:$M,'2026'!$J:$J,$B36&amp;$C36,'2026'!$O:$O,K$4)</f>
        <v>396.70696654949296</v>
      </c>
      <c r="L36" s="320">
        <f>SUMIFS('2026'!$M:$M,'2026'!$J:$J,$B36&amp;$C36,'2026'!$O:$O,L$4)</f>
        <v>342.61056202001663</v>
      </c>
      <c r="M36" s="320">
        <f>SUMIFS('2026'!$M:$M,'2026'!$J:$J,$B36&amp;$C36,'2026'!$O:$O,M$4)</f>
        <v>307.44</v>
      </c>
      <c r="N36" s="320">
        <f>SUMIFS('2026'!$M:$M,'2026'!$J:$J,$B36&amp;$C36,'2026'!$O:$O,N$4)</f>
        <v>324.57842717685787</v>
      </c>
      <c r="O36" s="320">
        <f>SUMIFS('2026'!$M:$M,'2026'!$J:$J,$B36&amp;$C36,'2026'!$O:$O,O$4)</f>
        <v>307.44</v>
      </c>
      <c r="P36" s="320">
        <f t="shared" si="16"/>
        <v>3805.1835677864005</v>
      </c>
      <c r="Q36" s="365">
        <v>3920.0990736679787</v>
      </c>
      <c r="R36" s="357">
        <f t="shared" si="20"/>
        <v>-114.91550588157816</v>
      </c>
      <c r="S36" s="62">
        <f t="shared" si="17"/>
        <v>-2.9314439181776449E-2</v>
      </c>
      <c r="T36" s="1029"/>
      <c r="U36" s="320">
        <v>3285.9528799999998</v>
      </c>
      <c r="V36" s="320">
        <v>3349.8628239999994</v>
      </c>
      <c r="W36" s="365">
        <v>2829.8144000000002</v>
      </c>
      <c r="X36" s="633">
        <v>0</v>
      </c>
      <c r="Y36" s="14">
        <f t="shared" si="19"/>
        <v>0.13592220568683233</v>
      </c>
      <c r="Z36" s="15">
        <f t="shared" si="18"/>
        <v>455.32074378640118</v>
      </c>
      <c r="AA36" s="15" t="s">
        <v>16</v>
      </c>
      <c r="AB36" s="365">
        <v>4593.6659999999983</v>
      </c>
    </row>
    <row r="37" spans="1:35" ht="15" customHeight="1">
      <c r="A37" s="2" t="s">
        <v>45</v>
      </c>
      <c r="B37" s="371">
        <v>2904</v>
      </c>
      <c r="C37" s="52" t="s">
        <v>45</v>
      </c>
      <c r="D37" s="320">
        <f>SUMIFS('2026'!$M:$M,'2026'!$J:$J,$B37&amp;$C37,'2026'!$O:$O,D$4)</f>
        <v>-1.1393279999999999</v>
      </c>
      <c r="E37" s="320">
        <f>SUMIFS('2026'!$M:$M,'2026'!$J:$J,$B37&amp;$C37,'2026'!$O:$O,E$4)</f>
        <v>401.26867200000004</v>
      </c>
      <c r="F37" s="320">
        <f>SUMIFS('2026'!$M:$M,'2026'!$J:$J,$B37&amp;$C37,'2026'!$O:$O,F$4)</f>
        <v>-4.9679999999999995E-2</v>
      </c>
      <c r="G37" s="320">
        <f>SUMIFS('2026'!$M:$M,'2026'!$J:$J,$B37&amp;$C37,'2026'!$O:$O,G$4)</f>
        <v>0</v>
      </c>
      <c r="H37" s="320">
        <f>SUMIFS('2026'!$M:$M,'2026'!$J:$J,$B37&amp;$C37,'2026'!$O:$O,H$4)</f>
        <v>0</v>
      </c>
      <c r="I37" s="842">
        <f>SUMIFS('2026'!$M:$M,'2026'!$J:$J,$B37&amp;$C37,'2026'!$O:$O,I$4)</f>
        <v>134.136</v>
      </c>
      <c r="J37" s="842">
        <f>SUMIFS('2026'!$M:$M,'2026'!$J:$J,$B37&amp;$C37,'2026'!$O:$O,J$4)</f>
        <v>248.39999999999998</v>
      </c>
      <c r="K37" s="842">
        <f>SUMIFS('2026'!$M:$M,'2026'!$J:$J,$B37&amp;$C37,'2026'!$O:$O,K$4)</f>
        <v>712.07999999999993</v>
      </c>
      <c r="L37" s="842">
        <f>SUMIFS('2026'!$M:$M,'2026'!$J:$J,$B37&amp;$C37,'2026'!$O:$O,L$4)</f>
        <v>745.19999999999993</v>
      </c>
      <c r="M37" s="842">
        <f>SUMIFS('2026'!$M:$M,'2026'!$J:$J,$B37&amp;$C37,'2026'!$O:$O,M$4)</f>
        <v>662.4</v>
      </c>
      <c r="N37" s="842">
        <f>SUMIFS('2026'!$M:$M,'2026'!$J:$J,$B37&amp;$C37,'2026'!$O:$O,N$4)</f>
        <v>529.91999999999996</v>
      </c>
      <c r="O37" s="842">
        <f>SUMIFS('2026'!$M:$M,'2026'!$J:$J,$B37&amp;$C37,'2026'!$O:$O,O$4)</f>
        <v>529.91999999999996</v>
      </c>
      <c r="P37" s="320">
        <f t="shared" si="16"/>
        <v>3962.1356639999999</v>
      </c>
      <c r="Q37" s="365">
        <v>2429.2232294400001</v>
      </c>
      <c r="R37" s="357">
        <f t="shared" ref="R37:R40" si="21">P37-Q37</f>
        <v>1532.9124345599998</v>
      </c>
      <c r="S37" s="62">
        <f t="shared" si="17"/>
        <v>0.63102987653933162</v>
      </c>
      <c r="T37" s="1029"/>
      <c r="U37" s="320">
        <v>255.385008</v>
      </c>
      <c r="V37" s="320">
        <v>248.39999999999998</v>
      </c>
      <c r="W37" s="365">
        <v>331.2</v>
      </c>
      <c r="X37" s="633" t="s">
        <v>176</v>
      </c>
      <c r="Y37" s="14">
        <f t="shared" si="19"/>
        <v>14.950626666666668</v>
      </c>
      <c r="Z37" s="15">
        <f t="shared" si="18"/>
        <v>3713.7356639999998</v>
      </c>
      <c r="AA37" s="15" t="s">
        <v>16</v>
      </c>
      <c r="AB37" s="365">
        <v>5216.3999999999996</v>
      </c>
    </row>
    <row r="38" spans="1:35" ht="23.1" customHeight="1" thickBot="1">
      <c r="A38" s="2" t="s">
        <v>40</v>
      </c>
      <c r="B38" s="372">
        <v>2904</v>
      </c>
      <c r="C38" s="373" t="s">
        <v>102</v>
      </c>
      <c r="D38" s="203">
        <f>SUMIFS('2026'!$M:$M,'2026'!$J:$J,$B38&amp;$C38,'2026'!$O:$O,D$4)</f>
        <v>439.07399999999996</v>
      </c>
      <c r="E38" s="203">
        <f>SUMIFS('2026'!$M:$M,'2026'!$J:$J,$B38&amp;$C38,'2026'!$O:$O,E$4)</f>
        <v>586.20240000000013</v>
      </c>
      <c r="F38" s="203">
        <f>SUMIFS('2026'!$M:$M,'2026'!$J:$J,$B38&amp;$C38,'2026'!$O:$O,F$4)</f>
        <v>763.14600000000007</v>
      </c>
      <c r="G38" s="203">
        <f>SUMIFS('2026'!$M:$M,'2026'!$J:$J,$B38&amp;$C38,'2026'!$O:$O,G$4)</f>
        <v>695.69280000000003</v>
      </c>
      <c r="H38" s="203">
        <f>SUMIFS('2026'!$M:$M,'2026'!$J:$J,$B38&amp;$C38,'2026'!$O:$O,H$4)</f>
        <v>433.38239999999996</v>
      </c>
      <c r="I38" s="203">
        <f>SUMIFS('2026'!$M:$M,'2026'!$J:$J,$B38&amp;$C38,'2026'!$O:$O,I$4)</f>
        <v>521.85955777607649</v>
      </c>
      <c r="J38" s="203">
        <f>SUMIFS('2026'!$M:$M,'2026'!$J:$J,$B38&amp;$C38,'2026'!$O:$O,J$4)</f>
        <v>579.8439530845294</v>
      </c>
      <c r="K38" s="203">
        <f>SUMIFS('2026'!$M:$M,'2026'!$J:$J,$B38&amp;$C38,'2026'!$O:$O,K$4)</f>
        <v>637.82834839298243</v>
      </c>
      <c r="L38" s="203">
        <f>SUMIFS('2026'!$M:$M,'2026'!$J:$J,$B38&amp;$C38,'2026'!$O:$O,L$4)</f>
        <v>550.85175543030289</v>
      </c>
      <c r="M38" s="203">
        <f>SUMIFS('2026'!$M:$M,'2026'!$J:$J,$B38&amp;$C38,'2026'!$O:$O,M$4)</f>
        <v>518.4</v>
      </c>
      <c r="N38" s="203">
        <f>SUMIFS('2026'!$M:$M,'2026'!$J:$J,$B38&amp;$C38,'2026'!$O:$O,N$4)</f>
        <v>521.85955777607649</v>
      </c>
      <c r="O38" s="203">
        <f>SUMIFS('2026'!$M:$M,'2026'!$J:$J,$B38&amp;$C38,'2026'!$O:$O,O$4)</f>
        <v>696.6</v>
      </c>
      <c r="P38" s="203">
        <f t="shared" si="16"/>
        <v>6944.740772459967</v>
      </c>
      <c r="Q38" s="374">
        <v>7358.2178985745168</v>
      </c>
      <c r="R38" s="375">
        <f t="shared" si="21"/>
        <v>-413.47712611454972</v>
      </c>
      <c r="S38" s="376">
        <f t="shared" si="17"/>
        <v>-5.6192563445919601E-2</v>
      </c>
      <c r="T38" s="1030"/>
      <c r="U38" s="203">
        <v>7855.8119999999999</v>
      </c>
      <c r="V38" s="203">
        <v>8411.9040000000005</v>
      </c>
      <c r="W38" s="374">
        <v>8926.7939999999981</v>
      </c>
      <c r="X38" s="633">
        <v>8435.986457142857</v>
      </c>
      <c r="Y38" s="14">
        <f t="shared" si="19"/>
        <v>-0.17441511785441599</v>
      </c>
      <c r="Z38" s="15">
        <f t="shared" si="18"/>
        <v>-1467.1632275400334</v>
      </c>
      <c r="AA38" s="15" t="s">
        <v>16</v>
      </c>
      <c r="AB38" s="374">
        <v>8108.82</v>
      </c>
      <c r="AC38" s="15"/>
      <c r="AD38" s="14"/>
    </row>
    <row r="39" spans="1:35" ht="15" customHeight="1" thickBot="1">
      <c r="A39" s="2" t="s">
        <v>41</v>
      </c>
      <c r="B39" s="362">
        <v>2904</v>
      </c>
      <c r="C39" s="362" t="s">
        <v>41</v>
      </c>
      <c r="D39" s="235">
        <f>SUMIFS('2026'!$M:$M,'2026'!$J:$J,$B39&amp;$C39,'2026'!$O:$O,D$4)</f>
        <v>2929.5300640000005</v>
      </c>
      <c r="E39" s="235">
        <f>SUMIFS('2026'!$M:$M,'2026'!$J:$J,$B39&amp;$C39,'2026'!$O:$O,E$4)</f>
        <v>3495.6158719999999</v>
      </c>
      <c r="F39" s="235">
        <f>SUMIFS('2026'!$M:$M,'2026'!$J:$J,$B39&amp;$C39,'2026'!$O:$O,F$4)</f>
        <v>3895.6502361599983</v>
      </c>
      <c r="G39" s="235">
        <f>SUMIFS('2026'!$M:$M,'2026'!$J:$J,$B39&amp;$C39,'2026'!$O:$O,G$4)</f>
        <v>4635.4176000000007</v>
      </c>
      <c r="H39" s="235">
        <f>SUMIFS('2026'!$M:$M,'2026'!$J:$J,$B39&amp;$C39,'2026'!$O:$O,H$4)</f>
        <v>3426.1032960000002</v>
      </c>
      <c r="I39" s="235">
        <f>SUMIFS('2026'!$M:$M,'2026'!$J:$J,$B39&amp;$C39,'2026'!$O:$O,I$4)</f>
        <v>3717.1425484799993</v>
      </c>
      <c r="J39" s="235">
        <f>SUMIFS('2026'!$M:$M,'2026'!$J:$J,$B39&amp;$C39,'2026'!$O:$O,J$4)</f>
        <v>3717.1425484799993</v>
      </c>
      <c r="K39" s="235">
        <f>SUMIFS('2026'!$M:$M,'2026'!$J:$J,$B39&amp;$C39,'2026'!$O:$O,K$4)</f>
        <v>4115.4078215314275</v>
      </c>
      <c r="L39" s="235">
        <f>SUMIFS('2026'!$M:$M,'2026'!$J:$J,$B39&amp;$C39,'2026'!$O:$O,L$4)</f>
        <v>2996.8512000000001</v>
      </c>
      <c r="M39" s="235">
        <f>SUMIFS('2026'!$M:$M,'2026'!$J:$J,$B39&amp;$C39,'2026'!$O:$O,M$4)</f>
        <v>3535.4814873599998</v>
      </c>
      <c r="N39" s="235">
        <f>SUMIFS('2026'!$M:$M,'2026'!$J:$J,$B39&amp;$C39,'2026'!$O:$O,N$4)</f>
        <v>2140.6079999999997</v>
      </c>
      <c r="O39" s="235">
        <f>SUMIFS('2026'!$M:$M,'2026'!$J:$J,$B39&amp;$C39,'2026'!$O:$O,O$4)</f>
        <v>2504.5408446171427</v>
      </c>
      <c r="P39" s="235">
        <f t="shared" si="16"/>
        <v>41109.491518628558</v>
      </c>
      <c r="Q39" s="363">
        <v>40900.471776502862</v>
      </c>
      <c r="R39" s="356">
        <f t="shared" si="21"/>
        <v>209.01974212569621</v>
      </c>
      <c r="S39" s="364">
        <f t="shared" si="17"/>
        <v>5.1104481940420334E-3</v>
      </c>
      <c r="T39" s="385"/>
      <c r="U39" s="235">
        <v>39046.117957567985</v>
      </c>
      <c r="V39" s="235">
        <v>39342.717344703997</v>
      </c>
      <c r="W39" s="363">
        <v>41144.271504704004</v>
      </c>
      <c r="X39" s="634">
        <v>42779.711747359994</v>
      </c>
      <c r="Y39" s="14">
        <f t="shared" si="19"/>
        <v>4.4907273649779755E-2</v>
      </c>
      <c r="Z39" s="15">
        <f t="shared" si="18"/>
        <v>1766.7741739245612</v>
      </c>
      <c r="AA39" s="15" t="s">
        <v>16</v>
      </c>
      <c r="AB39" s="363">
        <v>41819.292168191991</v>
      </c>
    </row>
    <row r="40" spans="1:35" ht="15" customHeight="1">
      <c r="A40" s="66" t="s">
        <v>39</v>
      </c>
      <c r="B40" s="36">
        <v>2904</v>
      </c>
      <c r="C40" s="36" t="s">
        <v>39</v>
      </c>
      <c r="D40" s="61">
        <f>SUMIFS('2026'!$M:$M,'2026'!$J:$J,$B40&amp;$C40,'2026'!$O:$O,D$4)</f>
        <v>435.0314400000002</v>
      </c>
      <c r="E40" s="61">
        <f>SUMIFS('2026'!$M:$M,'2026'!$J:$J,$B40&amp;$C40,'2026'!$O:$O,E$4)</f>
        <v>621.96115200000008</v>
      </c>
      <c r="F40" s="61">
        <f>SUMIFS('2026'!$M:$M,'2026'!$J:$J,$B40&amp;$C40,'2026'!$O:$O,F$4)</f>
        <v>584.4319200000001</v>
      </c>
      <c r="G40" s="61">
        <f>SUMIFS('2026'!$M:$M,'2026'!$J:$J,$B40&amp;$C40,'2026'!$O:$O,G$4)</f>
        <v>722.17958400000009</v>
      </c>
      <c r="H40" s="61">
        <f>SUMIFS('2026'!$M:$M,'2026'!$J:$J,$B40&amp;$C40,'2026'!$O:$O,H$4)</f>
        <v>710.04211200000009</v>
      </c>
      <c r="I40" s="61">
        <f>SUMIFS('2026'!$M:$M,'2026'!$J:$J,$B40&amp;$C40,'2026'!$O:$O,I$4)</f>
        <v>910.83720000000005</v>
      </c>
      <c r="J40" s="61">
        <f>SUMIFS('2026'!$M:$M,'2026'!$J:$J,$B40&amp;$C40,'2026'!$O:$O,J$4)</f>
        <v>983.40390000000002</v>
      </c>
      <c r="K40" s="61">
        <f>SUMIFS('2026'!$M:$M,'2026'!$J:$J,$B40&amp;$C40,'2026'!$O:$O,K$4)</f>
        <v>1005.9246000000001</v>
      </c>
      <c r="L40" s="61">
        <f>SUMIFS('2026'!$M:$M,'2026'!$J:$J,$B40&amp;$C40,'2026'!$O:$O,L$4)</f>
        <v>928.35329999999999</v>
      </c>
      <c r="M40" s="61">
        <f>SUMIFS('2026'!$M:$M,'2026'!$J:$J,$B40&amp;$C40,'2026'!$O:$O,M$4)</f>
        <v>983.40390000000002</v>
      </c>
      <c r="N40" s="61">
        <f>SUMIFS('2026'!$M:$M,'2026'!$J:$J,$B40&amp;$C40,'2026'!$O:$O,N$4)</f>
        <v>367.8381</v>
      </c>
      <c r="O40" s="61">
        <f>SUMIFS('2026'!$M:$M,'2026'!$J:$J,$B40&amp;$C40,'2026'!$O:$O,O$4)</f>
        <v>0</v>
      </c>
      <c r="P40" s="61">
        <f t="shared" si="16"/>
        <v>8253.4072080000005</v>
      </c>
      <c r="Q40" s="7">
        <v>8778.0820968000007</v>
      </c>
      <c r="R40" s="354">
        <f t="shared" si="21"/>
        <v>-524.67488880000019</v>
      </c>
      <c r="S40" s="9">
        <f t="shared" si="17"/>
        <v>-5.9771016380818241E-2</v>
      </c>
      <c r="T40" s="79"/>
      <c r="U40" s="61">
        <v>9491.3661360000006</v>
      </c>
      <c r="V40" s="61">
        <v>10854.005454</v>
      </c>
      <c r="W40" s="7">
        <v>10753.95033</v>
      </c>
      <c r="X40" s="635">
        <v>1152.4961640000001</v>
      </c>
      <c r="Y40" s="14">
        <f t="shared" si="19"/>
        <v>-0.23959802277799735</v>
      </c>
      <c r="Z40" s="15">
        <f t="shared" si="18"/>
        <v>-2600.5982459999996</v>
      </c>
      <c r="AA40" s="15" t="s">
        <v>16</v>
      </c>
      <c r="AB40" s="7">
        <v>11561.875148160001</v>
      </c>
    </row>
    <row r="41" spans="1:35" ht="15" customHeight="1">
      <c r="B41" s="10"/>
      <c r="C41" s="10" t="s">
        <v>177</v>
      </c>
      <c r="D41" s="11">
        <f t="shared" ref="D41:O41" si="22">SUM(D26:D40)</f>
        <v>15351.310464144004</v>
      </c>
      <c r="E41" s="11">
        <f t="shared" si="22"/>
        <v>18340.164894607999</v>
      </c>
      <c r="F41" s="11">
        <f t="shared" si="22"/>
        <v>21559.084370368</v>
      </c>
      <c r="G41" s="11">
        <f t="shared" si="22"/>
        <v>20900.2087536</v>
      </c>
      <c r="H41" s="11">
        <f t="shared" si="22"/>
        <v>17947.867339199998</v>
      </c>
      <c r="I41" s="11">
        <f t="shared" si="22"/>
        <v>18050.12303168064</v>
      </c>
      <c r="J41" s="11">
        <f t="shared" si="22"/>
        <v>18771.706257937221</v>
      </c>
      <c r="K41" s="11">
        <f t="shared" si="22"/>
        <v>19707.735138836084</v>
      </c>
      <c r="L41" s="11">
        <f t="shared" si="22"/>
        <v>17517.141982716359</v>
      </c>
      <c r="M41" s="11">
        <f t="shared" si="22"/>
        <v>14713.920961321141</v>
      </c>
      <c r="N41" s="11">
        <f t="shared" si="22"/>
        <v>10521.4412966155</v>
      </c>
      <c r="O41" s="11">
        <f t="shared" si="22"/>
        <v>10597.674892617142</v>
      </c>
      <c r="P41" s="11">
        <f>SUM(P26:P40)</f>
        <v>203978.37938364409</v>
      </c>
      <c r="Q41" s="11">
        <v>205006.33536026717</v>
      </c>
      <c r="R41" s="64">
        <f>P41-Q41</f>
        <v>-1027.9559766230814</v>
      </c>
      <c r="S41" s="1017">
        <f>P41/Q41-1</f>
        <v>-5.0142644363483369E-3</v>
      </c>
      <c r="T41" s="76"/>
      <c r="U41" s="11">
        <v>204666.46036008801</v>
      </c>
      <c r="V41" s="11">
        <v>210852.95242431201</v>
      </c>
      <c r="W41" s="11">
        <v>212920.34279997984</v>
      </c>
      <c r="X41" s="11">
        <v>205930.96219262108</v>
      </c>
      <c r="Y41" s="14">
        <f t="shared" si="19"/>
        <v>-3.2603636617967835E-2</v>
      </c>
      <c r="Z41" s="15">
        <f t="shared" si="18"/>
        <v>-6874.5730406679213</v>
      </c>
      <c r="AB41" s="11">
        <v>221182.95810336067</v>
      </c>
      <c r="AC41" s="833"/>
    </row>
    <row r="42" spans="1:35" ht="15" customHeight="1"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13"/>
      <c r="U42" s="13"/>
      <c r="V42" s="13"/>
      <c r="W42" s="2"/>
    </row>
    <row r="43" spans="1:35" ht="15" customHeight="1">
      <c r="B43" s="35"/>
      <c r="C43" s="1094" t="s">
        <v>178</v>
      </c>
      <c r="D43" s="1095"/>
      <c r="E43" s="1095"/>
      <c r="F43" s="1095"/>
      <c r="G43" s="1095"/>
      <c r="H43" s="1095"/>
      <c r="I43" s="1095"/>
      <c r="J43" s="1095"/>
      <c r="K43" s="1095"/>
      <c r="L43" s="1095"/>
      <c r="M43" s="1095"/>
      <c r="N43" s="1095"/>
      <c r="O43" s="1095"/>
      <c r="R43" s="31" t="s">
        <v>1372</v>
      </c>
      <c r="S43" s="32"/>
      <c r="T43" s="71" t="s">
        <v>66</v>
      </c>
      <c r="U43" s="2"/>
      <c r="V43" s="2"/>
      <c r="W43" s="2"/>
    </row>
    <row r="44" spans="1:35" s="3" customFormat="1">
      <c r="B44" s="4"/>
      <c r="C44" s="4" t="s">
        <v>17</v>
      </c>
      <c r="D44" s="180" t="s">
        <v>68</v>
      </c>
      <c r="E44" s="180" t="s">
        <v>69</v>
      </c>
      <c r="F44" s="180" t="s">
        <v>70</v>
      </c>
      <c r="G44" s="180" t="s">
        <v>71</v>
      </c>
      <c r="H44" s="180" t="s">
        <v>72</v>
      </c>
      <c r="I44" s="180" t="s">
        <v>73</v>
      </c>
      <c r="J44" s="180" t="s">
        <v>74</v>
      </c>
      <c r="K44" s="180" t="s">
        <v>75</v>
      </c>
      <c r="L44" s="180" t="s">
        <v>76</v>
      </c>
      <c r="M44" s="180" t="s">
        <v>77</v>
      </c>
      <c r="N44" s="180" t="s">
        <v>78</v>
      </c>
      <c r="O44" s="180" t="s">
        <v>79</v>
      </c>
      <c r="P44" s="187" t="str">
        <f>P$4</f>
        <v>2026 MRF3</v>
      </c>
      <c r="Q44" s="188" t="s">
        <v>1309</v>
      </c>
      <c r="R44" s="5" t="str">
        <f t="shared" ref="R44:S44" si="23">R$4</f>
        <v>Difference</v>
      </c>
      <c r="S44" s="6" t="str">
        <f t="shared" si="23"/>
        <v>% change</v>
      </c>
      <c r="T44" s="72"/>
      <c r="U44" s="187" t="s">
        <v>1186</v>
      </c>
      <c r="V44" s="187" t="s">
        <v>82</v>
      </c>
      <c r="W44" s="188" t="s">
        <v>83</v>
      </c>
      <c r="X44" s="628" t="s">
        <v>84</v>
      </c>
      <c r="AB44" s="188" t="s">
        <v>85</v>
      </c>
    </row>
    <row r="45" spans="1:35">
      <c r="A45" s="2" t="s">
        <v>23</v>
      </c>
      <c r="B45" s="36">
        <v>1352</v>
      </c>
      <c r="C45" s="36" t="s">
        <v>23</v>
      </c>
      <c r="D45" s="61">
        <f>SUMIFS('2026'!$M:$M,'2026'!$J:$J,$B45&amp;$C45,'2026'!$O:$O,D$4)</f>
        <v>8083.4906999999985</v>
      </c>
      <c r="E45" s="61">
        <f>SUMIFS('2026'!$M:$M,'2026'!$J:$J,$B45&amp;$C45,'2026'!$O:$O,E$4)</f>
        <v>9840.8243520000015</v>
      </c>
      <c r="F45" s="61">
        <f>SUMIFS('2026'!$M:$M,'2026'!$J:$J,$B45&amp;$C45,'2026'!$O:$O,F$4)</f>
        <v>13439.113102800004</v>
      </c>
      <c r="G45" s="61">
        <f>SUMIFS('2026'!$M:$M,'2026'!$J:$J,$B45&amp;$C45,'2026'!$O:$O,G$4)</f>
        <v>10126.515829199998</v>
      </c>
      <c r="H45" s="61">
        <f>SUMIFS('2026'!$M:$M,'2026'!$J:$J,$B45&amp;$C45,'2026'!$O:$O,H$4)</f>
        <v>8326.9112505600006</v>
      </c>
      <c r="I45" s="61">
        <f>SUMIFS('2026'!$M:$M,'2026'!$J:$J,$B45&amp;$C45,'2026'!$O:$O,I$4)</f>
        <v>8722.7697682285725</v>
      </c>
      <c r="J45" s="61">
        <f>SUMIFS('2026'!$M:$M,'2026'!$J:$J,$B45&amp;$C45,'2026'!$O:$O,J$4)</f>
        <v>9045.8353152</v>
      </c>
      <c r="K45" s="61">
        <f>SUMIFS('2026'!$M:$M,'2026'!$J:$J,$B45&amp;$C45,'2026'!$O:$O,K$4)</f>
        <v>10558.757129142856</v>
      </c>
      <c r="L45" s="61">
        <f>SUMIFS('2026'!$M:$M,'2026'!$J:$J,$B45&amp;$C45,'2026'!$O:$O,L$4)</f>
        <v>5888.7669978514286</v>
      </c>
      <c r="M45" s="61">
        <f>SUMIFS('2026'!$M:$M,'2026'!$J:$J,$B45&amp;$C45,'2026'!$O:$O,M$4)</f>
        <v>7892.9279999999999</v>
      </c>
      <c r="N45" s="61">
        <f>SUMIFS('2026'!$M:$M,'2026'!$J:$J,$B45&amp;$C45,'2026'!$O:$O,N$4)</f>
        <v>4849.5728217599999</v>
      </c>
      <c r="O45" s="61">
        <f>SUMIFS('2026'!$M:$M,'2026'!$J:$J,$B45&amp;$C45,'2026'!$O:$O,O$4)</f>
        <v>4849.5728217599999</v>
      </c>
      <c r="P45" s="61">
        <f t="shared" ref="P45:P51" si="24">SUM(D45:O45)</f>
        <v>101625.05808850286</v>
      </c>
      <c r="Q45" s="605">
        <v>101374.21138321713</v>
      </c>
      <c r="R45" s="8">
        <f>P45-Q45</f>
        <v>250.84670528573042</v>
      </c>
      <c r="S45" s="9">
        <f t="shared" ref="S45:S52" si="25">IF(ISERROR(R45/Q45),"",R45/Q45)</f>
        <v>2.4744627046959103E-3</v>
      </c>
      <c r="T45" s="81" t="s">
        <v>1313</v>
      </c>
      <c r="U45" s="61">
        <v>106024.09341599996</v>
      </c>
      <c r="V45" s="61">
        <v>106321.83956400001</v>
      </c>
      <c r="W45" s="605">
        <v>103087.08268799998</v>
      </c>
      <c r="X45" s="627">
        <v>107043.579006</v>
      </c>
      <c r="Y45" s="14">
        <f>P45/V45-1</f>
        <v>-4.4175133676745082E-2</v>
      </c>
      <c r="Z45" s="15">
        <f t="shared" ref="Z45:Z53" si="26">P45-V45</f>
        <v>-4696.7814754971478</v>
      </c>
      <c r="AA45" s="15" t="s">
        <v>16</v>
      </c>
      <c r="AB45" s="605">
        <v>104182.296768</v>
      </c>
    </row>
    <row r="46" spans="1:35" ht="15" customHeight="1">
      <c r="A46" s="2" t="s">
        <v>38</v>
      </c>
      <c r="B46" s="36">
        <v>1352</v>
      </c>
      <c r="C46" s="36" t="s">
        <v>105</v>
      </c>
      <c r="D46" s="61">
        <f>SUMIFS('2026'!$M:$M,'2026'!$J:$J,$B46&amp;$C46,'2026'!$O:$O,D$4)</f>
        <v>0</v>
      </c>
      <c r="E46" s="61">
        <f>SUMIFS('2026'!$M:$M,'2026'!$J:$J,$B46&amp;$C46,'2026'!$O:$O,E$4)</f>
        <v>0</v>
      </c>
      <c r="F46" s="61">
        <f>SUMIFS('2026'!$M:$M,'2026'!$J:$J,$B46&amp;$C46,'2026'!$O:$O,F$4)</f>
        <v>0</v>
      </c>
      <c r="G46" s="61">
        <f>SUMIFS('2026'!$M:$M,'2026'!$J:$J,$B46&amp;$C46,'2026'!$O:$O,G$4)</f>
        <v>0</v>
      </c>
      <c r="H46" s="61">
        <f>SUMIFS('2026'!$M:$M,'2026'!$J:$J,$B46&amp;$C46,'2026'!$O:$O,H$4)</f>
        <v>0</v>
      </c>
      <c r="I46" s="61">
        <f>SUMIFS('2026'!$M:$M,'2026'!$J:$J,$B46&amp;$C46,'2026'!$O:$O,I$4)</f>
        <v>0</v>
      </c>
      <c r="J46" s="61">
        <f>SUMIFS('2026'!$M:$M,'2026'!$J:$J,$B46&amp;$C46,'2026'!$O:$O,J$4)</f>
        <v>0</v>
      </c>
      <c r="K46" s="61">
        <f>SUMIFS('2026'!$M:$M,'2026'!$J:$J,$B46&amp;$C46,'2026'!$O:$O,K$4)</f>
        <v>0</v>
      </c>
      <c r="L46" s="61">
        <f>SUMIFS('2026'!$M:$M,'2026'!$J:$J,$B46&amp;$C46,'2026'!$O:$O,L$4)</f>
        <v>0</v>
      </c>
      <c r="M46" s="61">
        <f>SUMIFS('2026'!$M:$M,'2026'!$J:$J,$B46&amp;$C46,'2026'!$O:$O,M$4)</f>
        <v>0</v>
      </c>
      <c r="N46" s="61">
        <f>SUMIFS('2026'!$M:$M,'2026'!$J:$J,$B46&amp;$C46,'2026'!$O:$O,N$4)</f>
        <v>0</v>
      </c>
      <c r="O46" s="61">
        <f>SUMIFS('2026'!$M:$M,'2026'!$J:$J,$B46&amp;$C46,'2026'!$O:$O,O$4)</f>
        <v>0</v>
      </c>
      <c r="P46" s="61">
        <f t="shared" si="24"/>
        <v>0</v>
      </c>
      <c r="Q46" s="7">
        <v>0</v>
      </c>
      <c r="R46" s="8"/>
      <c r="S46" s="9" t="str">
        <f t="shared" si="25"/>
        <v/>
      </c>
      <c r="T46" s="990"/>
      <c r="U46" s="61">
        <v>0</v>
      </c>
      <c r="V46" s="61">
        <v>0</v>
      </c>
      <c r="W46" s="7">
        <v>0</v>
      </c>
      <c r="X46" s="627">
        <v>0</v>
      </c>
      <c r="Y46" s="14" t="e">
        <f t="shared" ref="Y46:Y53" si="27">P46/V46-1</f>
        <v>#DIV/0!</v>
      </c>
      <c r="Z46" s="15">
        <f t="shared" si="26"/>
        <v>0</v>
      </c>
      <c r="AA46" s="15" t="s">
        <v>16</v>
      </c>
      <c r="AB46" s="7">
        <v>0</v>
      </c>
    </row>
    <row r="47" spans="1:35" ht="15" customHeight="1">
      <c r="A47" s="2" t="s">
        <v>38</v>
      </c>
      <c r="B47" s="36">
        <v>1352</v>
      </c>
      <c r="C47" s="36" t="s">
        <v>106</v>
      </c>
      <c r="D47" s="61">
        <f>SUMIFS('2026'!$M:$M,'2026'!$J:$J,$B47&amp;$C47,'2026'!$O:$O,D$4)</f>
        <v>0</v>
      </c>
      <c r="E47" s="61">
        <f>SUMIFS('2026'!$M:$M,'2026'!$J:$J,$B47&amp;$C47,'2026'!$O:$O,E$4)</f>
        <v>0</v>
      </c>
      <c r="F47" s="61">
        <f>SUMIFS('2026'!$M:$M,'2026'!$J:$J,$B47&amp;$C47,'2026'!$O:$O,F$4)</f>
        <v>0</v>
      </c>
      <c r="G47" s="61">
        <f>SUMIFS('2026'!$M:$M,'2026'!$J:$J,$B47&amp;$C47,'2026'!$O:$O,G$4)</f>
        <v>0</v>
      </c>
      <c r="H47" s="61">
        <f>SUMIFS('2026'!$M:$M,'2026'!$J:$J,$B47&amp;$C47,'2026'!$O:$O,H$4)</f>
        <v>0</v>
      </c>
      <c r="I47" s="61">
        <f>SUMIFS('2026'!$M:$M,'2026'!$J:$J,$B47&amp;$C47,'2026'!$O:$O,I$4)</f>
        <v>0</v>
      </c>
      <c r="J47" s="61">
        <f>SUMIFS('2026'!$M:$M,'2026'!$J:$J,$B47&amp;$C47,'2026'!$O:$O,J$4)</f>
        <v>0</v>
      </c>
      <c r="K47" s="61">
        <f>SUMIFS('2026'!$M:$M,'2026'!$J:$J,$B47&amp;$C47,'2026'!$O:$O,K$4)</f>
        <v>0</v>
      </c>
      <c r="L47" s="61">
        <f>SUMIFS('2026'!$M:$M,'2026'!$J:$J,$B47&amp;$C47,'2026'!$O:$O,L$4)</f>
        <v>0</v>
      </c>
      <c r="M47" s="61">
        <f>SUMIFS('2026'!$M:$M,'2026'!$J:$J,$B47&amp;$C47,'2026'!$O:$O,M$4)</f>
        <v>0</v>
      </c>
      <c r="N47" s="61">
        <f>SUMIFS('2026'!$M:$M,'2026'!$J:$J,$B47&amp;$C47,'2026'!$O:$O,N$4)</f>
        <v>0</v>
      </c>
      <c r="O47" s="61">
        <f>SUMIFS('2026'!$M:$M,'2026'!$J:$J,$B47&amp;$C47,'2026'!$O:$O,O$4)</f>
        <v>0</v>
      </c>
      <c r="P47" s="61">
        <f t="shared" si="24"/>
        <v>0</v>
      </c>
      <c r="Q47" s="7">
        <v>0</v>
      </c>
      <c r="R47" s="8"/>
      <c r="S47" s="9" t="str">
        <f t="shared" si="25"/>
        <v/>
      </c>
      <c r="T47" s="990"/>
      <c r="U47" s="61">
        <v>0</v>
      </c>
      <c r="V47" s="61">
        <v>0</v>
      </c>
      <c r="W47" s="7">
        <v>0</v>
      </c>
      <c r="X47" s="627">
        <v>0</v>
      </c>
      <c r="Y47" s="14" t="e">
        <f t="shared" si="27"/>
        <v>#DIV/0!</v>
      </c>
      <c r="Z47" s="15">
        <f t="shared" si="26"/>
        <v>0</v>
      </c>
      <c r="AA47" s="15" t="s">
        <v>16</v>
      </c>
      <c r="AB47" s="7">
        <v>0</v>
      </c>
    </row>
    <row r="48" spans="1:35" ht="52.5" customHeight="1">
      <c r="A48" s="2" t="s">
        <v>31</v>
      </c>
      <c r="B48" s="36">
        <v>1352</v>
      </c>
      <c r="C48" s="36" t="s">
        <v>31</v>
      </c>
      <c r="D48" s="61">
        <f>SUMIFS('2026'!$M:$M,'2026'!$J:$J,$B48&amp;$C48,'2026'!$O:$O,D$4)</f>
        <v>3466.153944000001</v>
      </c>
      <c r="E48" s="61">
        <f>SUMIFS('2026'!$M:$M,'2026'!$J:$J,$B48&amp;$C48,'2026'!$O:$O,E$4)</f>
        <v>4208.1738479999995</v>
      </c>
      <c r="F48" s="61">
        <f>SUMIFS('2026'!$M:$M,'2026'!$J:$J,$B48&amp;$C48,'2026'!$O:$O,F$4)</f>
        <v>5113.4374742399987</v>
      </c>
      <c r="G48" s="61">
        <f>SUMIFS('2026'!$M:$M,'2026'!$J:$J,$B48&amp;$C48,'2026'!$O:$O,G$4)</f>
        <v>4420.8013824</v>
      </c>
      <c r="H48" s="61">
        <f>SUMIFS('2026'!$M:$M,'2026'!$J:$J,$B48&amp;$C48,'2026'!$O:$O,H$4)</f>
        <v>3815.0949888000005</v>
      </c>
      <c r="I48" s="61">
        <f>SUMIFS('2026'!$M:$M,'2026'!$J:$J,$B48&amp;$C48,'2026'!$O:$O,I$4)</f>
        <v>3788.0740800000008</v>
      </c>
      <c r="J48" s="61">
        <f>SUMIFS('2026'!$M:$M,'2026'!$J:$J,$B48&amp;$C48,'2026'!$O:$O,J$4)</f>
        <v>3965.4694800000002</v>
      </c>
      <c r="K48" s="61">
        <f>SUMIFS('2026'!$M:$M,'2026'!$J:$J,$B48&amp;$C48,'2026'!$O:$O,K$4)</f>
        <v>3613.1349240000009</v>
      </c>
      <c r="L48" s="61">
        <f>SUMIFS('2026'!$M:$M,'2026'!$J:$J,$B48&amp;$C48,'2026'!$O:$O,L$4)</f>
        <v>3409.2666720000007</v>
      </c>
      <c r="M48" s="61">
        <f>SUMIFS('2026'!$M:$M,'2026'!$J:$J,$B48&amp;$C48,'2026'!$O:$O,M$4)</f>
        <v>2316.3673680000002</v>
      </c>
      <c r="N48" s="61">
        <f>SUMIFS('2026'!$M:$M,'2026'!$J:$J,$B48&amp;$C48,'2026'!$O:$O,N$4)</f>
        <v>1856.6188200000001</v>
      </c>
      <c r="O48" s="61">
        <f>SUMIFS('2026'!$M:$M,'2026'!$J:$J,$B48&amp;$C48,'2026'!$O:$O,O$4)</f>
        <v>430.92000000000007</v>
      </c>
      <c r="P48" s="61">
        <f>SUM(D48:O48)</f>
        <v>40403.512981440006</v>
      </c>
      <c r="Q48" s="7">
        <v>41403.048078719999</v>
      </c>
      <c r="R48" s="8">
        <f t="shared" ref="R48:R51" si="28">P48-Q48</f>
        <v>-999.53509727999335</v>
      </c>
      <c r="S48" s="9">
        <f t="shared" si="25"/>
        <v>-2.4141582411506709E-2</v>
      </c>
      <c r="T48" s="991" t="s">
        <v>1371</v>
      </c>
      <c r="U48" s="61">
        <v>38052.409608000002</v>
      </c>
      <c r="V48" s="61">
        <v>36720.387311999999</v>
      </c>
      <c r="W48" s="7">
        <v>38520.095159999997</v>
      </c>
      <c r="X48" s="627">
        <v>35425.172424000004</v>
      </c>
      <c r="Y48" s="14">
        <f t="shared" si="27"/>
        <v>0.10030192868462429</v>
      </c>
      <c r="Z48" s="15">
        <f t="shared" si="26"/>
        <v>3683.1256694400072</v>
      </c>
      <c r="AA48" s="15" t="s">
        <v>16</v>
      </c>
      <c r="AB48" s="7">
        <v>41657.898240000002</v>
      </c>
      <c r="AI48" s="2">
        <v>340</v>
      </c>
    </row>
    <row r="49" spans="1:35" ht="53.85" customHeight="1">
      <c r="A49" s="2" t="s">
        <v>32</v>
      </c>
      <c r="B49" s="36">
        <v>1352</v>
      </c>
      <c r="C49" s="36" t="s">
        <v>32</v>
      </c>
      <c r="D49" s="61">
        <f>SUMIFS('2026'!$M:$M,'2026'!$J:$J,$B49&amp;$C49,'2026'!$O:$O,D$4)</f>
        <v>0</v>
      </c>
      <c r="E49" s="61">
        <f>SUMIFS('2026'!$M:$M,'2026'!$J:$J,$B49&amp;$C49,'2026'!$O:$O,E$4)</f>
        <v>0</v>
      </c>
      <c r="F49" s="61">
        <f>SUMIFS('2026'!$M:$M,'2026'!$J:$J,$B49&amp;$C49,'2026'!$O:$O,F$4)</f>
        <v>0</v>
      </c>
      <c r="G49" s="61">
        <f>SUMIFS('2026'!$M:$M,'2026'!$J:$J,$B49&amp;$C49,'2026'!$O:$O,G$4)</f>
        <v>0</v>
      </c>
      <c r="H49" s="61">
        <f>SUMIFS('2026'!$M:$M,'2026'!$J:$J,$B49&amp;$C49,'2026'!$O:$O,H$4)</f>
        <v>0</v>
      </c>
      <c r="I49" s="61">
        <f>SUMIFS('2026'!$M:$M,'2026'!$J:$J,$B49&amp;$C49,'2026'!$O:$O,I$4)</f>
        <v>0</v>
      </c>
      <c r="J49" s="61">
        <f>SUMIFS('2026'!$M:$M,'2026'!$J:$J,$B49&amp;$C49,'2026'!$O:$O,J$4)</f>
        <v>0</v>
      </c>
      <c r="K49" s="61">
        <f>SUMIFS('2026'!$M:$M,'2026'!$J:$J,$B49&amp;$C49,'2026'!$O:$O,K$4)</f>
        <v>0</v>
      </c>
      <c r="L49" s="61">
        <f>SUMIFS('2026'!$M:$M,'2026'!$J:$J,$B49&amp;$C49,'2026'!$O:$O,L$4)</f>
        <v>0</v>
      </c>
      <c r="M49" s="61">
        <f>SUMIFS('2026'!$M:$M,'2026'!$J:$J,$B49&amp;$C49,'2026'!$O:$O,M$4)</f>
        <v>0</v>
      </c>
      <c r="N49" s="61">
        <f>SUMIFS('2026'!$M:$M,'2026'!$J:$J,$B49&amp;$C49,'2026'!$O:$O,N$4)</f>
        <v>0</v>
      </c>
      <c r="O49" s="61">
        <f>SUMIFS('2026'!$M:$M,'2026'!$J:$J,$B49&amp;$C49,'2026'!$O:$O,O$4)</f>
        <v>0</v>
      </c>
      <c r="P49" s="61">
        <f t="shared" si="24"/>
        <v>0</v>
      </c>
      <c r="Q49" s="7">
        <v>0</v>
      </c>
      <c r="R49" s="8">
        <f t="shared" si="28"/>
        <v>0</v>
      </c>
      <c r="S49" s="9" t="str">
        <f t="shared" si="25"/>
        <v/>
      </c>
      <c r="T49" s="991"/>
      <c r="U49" s="61">
        <v>1316.0332319999998</v>
      </c>
      <c r="V49" s="61">
        <v>1368.0072</v>
      </c>
      <c r="W49" s="7">
        <v>1335.95964</v>
      </c>
      <c r="X49" s="627">
        <v>3481.0499519999998</v>
      </c>
      <c r="Y49" s="14">
        <f t="shared" si="27"/>
        <v>-1</v>
      </c>
      <c r="Z49" s="15">
        <f t="shared" si="26"/>
        <v>-1368.0072</v>
      </c>
      <c r="AA49" s="15" t="s">
        <v>16</v>
      </c>
      <c r="AB49" s="7">
        <v>0</v>
      </c>
      <c r="AI49" s="2">
        <v>188</v>
      </c>
    </row>
    <row r="50" spans="1:35" ht="15" customHeight="1">
      <c r="A50" s="2" t="s">
        <v>36</v>
      </c>
      <c r="B50" s="36">
        <v>1352</v>
      </c>
      <c r="C50" s="36" t="s">
        <v>36</v>
      </c>
      <c r="D50" s="61">
        <f>SUMIFS('2026'!$M:$M,'2026'!$J:$J,$B50&amp;$C50,'2026'!$O:$O,D$4)</f>
        <v>526.95611199999973</v>
      </c>
      <c r="E50" s="61">
        <f>SUMIFS('2026'!$M:$M,'2026'!$J:$J,$B50&amp;$C50,'2026'!$O:$O,E$4)</f>
        <v>637.71868000000006</v>
      </c>
      <c r="F50" s="61">
        <f>SUMIFS('2026'!$M:$M,'2026'!$J:$J,$B50&amp;$C50,'2026'!$O:$O,F$4)</f>
        <v>855.18061888</v>
      </c>
      <c r="G50" s="61">
        <f>SUMIFS('2026'!$M:$M,'2026'!$J:$J,$B50&amp;$C50,'2026'!$O:$O,G$4)</f>
        <v>1229.432832</v>
      </c>
      <c r="H50" s="61">
        <f>SUMIFS('2026'!$M:$M,'2026'!$J:$J,$B50&amp;$C50,'2026'!$O:$O,H$4)</f>
        <v>1275.8138880000001</v>
      </c>
      <c r="I50" s="61">
        <f>SUMIFS('2026'!$M:$M,'2026'!$J:$J,$B50&amp;$C50,'2026'!$O:$O,I$4)</f>
        <v>944.10239999999999</v>
      </c>
      <c r="J50" s="61">
        <f>SUMIFS('2026'!$M:$M,'2026'!$J:$J,$B50&amp;$C50,'2026'!$O:$O,J$4)</f>
        <v>792.78791999999999</v>
      </c>
      <c r="K50" s="61">
        <f>SUMIFS('2026'!$M:$M,'2026'!$J:$J,$B50&amp;$C50,'2026'!$O:$O,K$4)</f>
        <v>758.31888000000004</v>
      </c>
      <c r="L50" s="61">
        <f>SUMIFS('2026'!$M:$M,'2026'!$J:$J,$B50&amp;$C50,'2026'!$O:$O,L$4)</f>
        <v>554.85023999999999</v>
      </c>
      <c r="M50" s="61">
        <f>SUMIFS('2026'!$M:$M,'2026'!$J:$J,$B50&amp;$C50,'2026'!$O:$O,M$4)</f>
        <v>588.81312000000003</v>
      </c>
      <c r="N50" s="61">
        <f>SUMIFS('2026'!$M:$M,'2026'!$J:$J,$B50&amp;$C50,'2026'!$O:$O,N$4)</f>
        <v>0</v>
      </c>
      <c r="O50" s="61">
        <f>SUMIFS('2026'!$M:$M,'2026'!$J:$J,$B50&amp;$C50,'2026'!$O:$O,O$4)</f>
        <v>0</v>
      </c>
      <c r="P50" s="61">
        <f t="shared" si="24"/>
        <v>8163.9746908799989</v>
      </c>
      <c r="Q50" s="7">
        <v>7985.6938716799987</v>
      </c>
      <c r="R50" s="8">
        <f t="shared" si="28"/>
        <v>178.28081920000022</v>
      </c>
      <c r="S50" s="9">
        <f t="shared" si="25"/>
        <v>2.2325025484916845E-2</v>
      </c>
      <c r="T50" s="992"/>
      <c r="U50" s="61">
        <v>9749.9469520000002</v>
      </c>
      <c r="V50" s="61">
        <v>10276.947063999998</v>
      </c>
      <c r="W50" s="7">
        <v>9716.3970639999989</v>
      </c>
      <c r="X50" s="627">
        <v>8750.6407319999998</v>
      </c>
      <c r="Y50" s="14">
        <f t="shared" si="27"/>
        <v>-0.20560311928838404</v>
      </c>
      <c r="Z50" s="15">
        <f t="shared" si="26"/>
        <v>-2112.9723731199992</v>
      </c>
      <c r="AA50" s="15" t="s">
        <v>16</v>
      </c>
      <c r="AB50" s="7">
        <v>7164.9519839999994</v>
      </c>
    </row>
    <row r="51" spans="1:35" ht="31.35" customHeight="1">
      <c r="A51" s="2" t="s">
        <v>39</v>
      </c>
      <c r="B51" s="36">
        <v>1352</v>
      </c>
      <c r="C51" s="36" t="s">
        <v>39</v>
      </c>
      <c r="D51" s="61">
        <f>SUMIFS('2026'!$M:$M,'2026'!$J:$J,$B51&amp;$C51,'2026'!$O:$O,D$4)</f>
        <v>790.79786999999999</v>
      </c>
      <c r="E51" s="61">
        <f>SUMIFS('2026'!$M:$M,'2026'!$J:$J,$B51&amp;$C51,'2026'!$O:$O,E$4)</f>
        <v>1273.7339926666662</v>
      </c>
      <c r="F51" s="61">
        <f>SUMIFS('2026'!$M:$M,'2026'!$J:$J,$B51&amp;$C51,'2026'!$O:$O,F$4)</f>
        <v>1288.1502000000003</v>
      </c>
      <c r="G51" s="61">
        <f>SUMIFS('2026'!$M:$M,'2026'!$J:$J,$B51&amp;$C51,'2026'!$O:$O,G$4)</f>
        <v>1159.0108416</v>
      </c>
      <c r="H51" s="61">
        <f>SUMIFS('2026'!$M:$M,'2026'!$J:$J,$B51&amp;$C51,'2026'!$O:$O,H$4)</f>
        <v>1148.259456</v>
      </c>
      <c r="I51" s="61">
        <f>SUMIFS('2026'!$M:$M,'2026'!$J:$J,$B51&amp;$C51,'2026'!$O:$O,I$4)</f>
        <v>1251.1500000000001</v>
      </c>
      <c r="J51" s="61">
        <f>SUMIFS('2026'!$M:$M,'2026'!$J:$J,$B51&amp;$C51,'2026'!$O:$O,J$4)</f>
        <v>1732.02765</v>
      </c>
      <c r="K51" s="61">
        <f>SUMIFS('2026'!$M:$M,'2026'!$J:$J,$B51&amp;$C51,'2026'!$O:$O,K$4)</f>
        <v>1656.7221000000002</v>
      </c>
      <c r="L51" s="61">
        <f>SUMIFS('2026'!$M:$M,'2026'!$J:$J,$B51&amp;$C51,'2026'!$O:$O,L$4)</f>
        <v>1581.4165500000001</v>
      </c>
      <c r="M51" s="61">
        <f>SUMIFS('2026'!$M:$M,'2026'!$J:$J,$B51&amp;$C51,'2026'!$O:$O,M$4)</f>
        <v>1732.02765</v>
      </c>
      <c r="N51" s="61">
        <f>SUMIFS('2026'!$M:$M,'2026'!$J:$J,$B51&amp;$C51,'2026'!$O:$O,N$4)</f>
        <v>893.3211</v>
      </c>
      <c r="O51" s="61">
        <f>SUMIFS('2026'!$M:$M,'2026'!$J:$J,$B51&amp;$C51,'2026'!$O:$O,O$4)</f>
        <v>0</v>
      </c>
      <c r="P51" s="61">
        <f t="shared" si="24"/>
        <v>14506.617410266666</v>
      </c>
      <c r="Q51" s="7">
        <v>15340.531401946668</v>
      </c>
      <c r="R51" s="8">
        <f t="shared" si="28"/>
        <v>-833.91399168000135</v>
      </c>
      <c r="S51" s="9">
        <f t="shared" si="25"/>
        <v>-5.4360176308767251E-2</v>
      </c>
      <c r="T51" s="993"/>
      <c r="U51" s="61">
        <v>14553.698735999997</v>
      </c>
      <c r="V51" s="61">
        <v>14906.472240000001</v>
      </c>
      <c r="W51" s="7">
        <v>16355.432094</v>
      </c>
      <c r="X51" s="627">
        <v>10881.699822</v>
      </c>
      <c r="Y51" s="14">
        <f t="shared" si="27"/>
        <v>-2.6824242738021198E-2</v>
      </c>
      <c r="Z51" s="15">
        <f t="shared" si="26"/>
        <v>-399.85482973333455</v>
      </c>
      <c r="AA51" s="15" t="s">
        <v>16</v>
      </c>
      <c r="AB51" s="7">
        <v>17272.375179264</v>
      </c>
    </row>
    <row r="52" spans="1:35" ht="15" customHeight="1">
      <c r="A52" s="2" t="s">
        <v>41</v>
      </c>
      <c r="B52" s="36">
        <v>1352</v>
      </c>
      <c r="C52" s="36" t="s">
        <v>107</v>
      </c>
      <c r="D52" s="61">
        <f>SUMIFS('2026'!$M:$M,'2026'!$J:$J,$B52&amp;$C52,'2026'!$O:$O,D$4)</f>
        <v>0</v>
      </c>
      <c r="E52" s="61">
        <f>SUMIFS('2026'!$M:$M,'2026'!$J:$J,$B52&amp;$C52,'2026'!$O:$O,E$4)</f>
        <v>0</v>
      </c>
      <c r="F52" s="61">
        <f>SUMIFS('2026'!$M:$M,'2026'!$J:$J,$B52&amp;$C52,'2026'!$O:$O,F$4)</f>
        <v>0</v>
      </c>
      <c r="G52" s="61">
        <f>SUMIFS('2026'!$M:$M,'2026'!$J:$J,$B52&amp;$C52,'2026'!$O:$O,G$4)</f>
        <v>0</v>
      </c>
      <c r="H52" s="61">
        <f>SUMIFS('2026'!$M:$M,'2026'!$J:$J,$B52&amp;$C52,'2026'!$O:$O,H$4)</f>
        <v>0</v>
      </c>
      <c r="I52" s="61">
        <f>SUMIFS('2026'!$M:$M,'2026'!$J:$J,$B52&amp;$C52,'2026'!$O:$O,I$4)</f>
        <v>0</v>
      </c>
      <c r="J52" s="61">
        <f>SUMIFS('2026'!$M:$M,'2026'!$J:$J,$B52&amp;$C52,'2026'!$O:$O,J$4)</f>
        <v>0</v>
      </c>
      <c r="K52" s="61">
        <f>SUMIFS('2026'!$M:$M,'2026'!$J:$J,$B52&amp;$C52,'2026'!$O:$O,K$4)</f>
        <v>0</v>
      </c>
      <c r="L52" s="61">
        <f>SUMIFS('2026'!$M:$M,'2026'!$J:$J,$B52&amp;$C52,'2026'!$O:$O,L$4)</f>
        <v>0</v>
      </c>
      <c r="M52" s="61">
        <f>SUMIFS('2026'!$M:$M,'2026'!$J:$J,$B52&amp;$C52,'2026'!$O:$O,M$4)</f>
        <v>0</v>
      </c>
      <c r="N52" s="61">
        <f>SUMIFS('2026'!$M:$M,'2026'!$J:$J,$B52&amp;$C52,'2026'!$O:$O,N$4)</f>
        <v>0</v>
      </c>
      <c r="O52" s="61">
        <f>SUMIFS('2026'!$M:$M,'2026'!$J:$J,$B52&amp;$C52,'2026'!$O:$O,O$4)</f>
        <v>0</v>
      </c>
      <c r="P52" s="61">
        <f>SUM(D52:O52)</f>
        <v>0</v>
      </c>
      <c r="Q52" s="7">
        <v>0</v>
      </c>
      <c r="R52" s="8"/>
      <c r="S52" s="9" t="str">
        <f t="shared" si="25"/>
        <v/>
      </c>
      <c r="T52" s="84"/>
      <c r="U52" s="61">
        <v>0</v>
      </c>
      <c r="V52" s="61">
        <v>0</v>
      </c>
      <c r="W52" s="7">
        <v>0</v>
      </c>
      <c r="X52" s="627">
        <v>0</v>
      </c>
      <c r="Y52" s="14" t="e">
        <f t="shared" si="27"/>
        <v>#DIV/0!</v>
      </c>
      <c r="Z52" s="15">
        <f t="shared" si="26"/>
        <v>0</v>
      </c>
      <c r="AA52" s="15" t="s">
        <v>16</v>
      </c>
      <c r="AB52" s="7">
        <v>0</v>
      </c>
    </row>
    <row r="53" spans="1:35" ht="15" customHeight="1">
      <c r="B53" s="10"/>
      <c r="C53" s="10" t="s">
        <v>108</v>
      </c>
      <c r="D53" s="11">
        <f t="shared" ref="D53:O53" si="29">SUM(D45:D52)</f>
        <v>12867.398626</v>
      </c>
      <c r="E53" s="11">
        <f t="shared" si="29"/>
        <v>15960.450872666668</v>
      </c>
      <c r="F53" s="11">
        <f t="shared" si="29"/>
        <v>20695.881395920002</v>
      </c>
      <c r="G53" s="11">
        <f t="shared" si="29"/>
        <v>16935.760885199998</v>
      </c>
      <c r="H53" s="11">
        <f t="shared" si="29"/>
        <v>14566.079583360002</v>
      </c>
      <c r="I53" s="11">
        <f t="shared" si="29"/>
        <v>14706.096248228572</v>
      </c>
      <c r="J53" s="11">
        <f t="shared" si="29"/>
        <v>15536.1203652</v>
      </c>
      <c r="K53" s="11">
        <f t="shared" si="29"/>
        <v>16586.933033142857</v>
      </c>
      <c r="L53" s="11">
        <f t="shared" si="29"/>
        <v>11434.300459851429</v>
      </c>
      <c r="M53" s="11">
        <f t="shared" si="29"/>
        <v>12530.136138</v>
      </c>
      <c r="N53" s="11">
        <f t="shared" si="29"/>
        <v>7599.5127417600006</v>
      </c>
      <c r="O53" s="11">
        <f t="shared" si="29"/>
        <v>5280.49282176</v>
      </c>
      <c r="P53" s="11">
        <f>SUM(P45:P52)</f>
        <v>164699.16317108952</v>
      </c>
      <c r="Q53" s="11">
        <v>166103.4847355638</v>
      </c>
      <c r="R53" s="11">
        <f>SUM(R45:R52)</f>
        <v>-1404.3215644742641</v>
      </c>
      <c r="S53" s="12">
        <f>IF(ISERROR(R53/Q53),"",R53/Q53)</f>
        <v>-8.4544979096009901E-3</v>
      </c>
      <c r="T53" s="80"/>
      <c r="U53" s="11">
        <v>169696.18194399995</v>
      </c>
      <c r="V53" s="11">
        <v>169593.65338</v>
      </c>
      <c r="W53" s="11">
        <v>169014.96664599993</v>
      </c>
      <c r="X53" s="11">
        <v>165582.141936</v>
      </c>
      <c r="Y53" s="14">
        <f t="shared" si="27"/>
        <v>-2.8860102435222856E-2</v>
      </c>
      <c r="Z53" s="15">
        <f t="shared" si="26"/>
        <v>-4894.4902089104871</v>
      </c>
      <c r="AB53" s="11">
        <v>170277.52217126399</v>
      </c>
      <c r="AC53" s="833"/>
    </row>
    <row r="54" spans="1:35" ht="15" customHeight="1">
      <c r="D54" s="181"/>
      <c r="P54" s="13"/>
      <c r="U54" s="13"/>
      <c r="V54" s="13"/>
      <c r="W54" s="2"/>
    </row>
    <row r="55" spans="1:35" ht="15" customHeight="1">
      <c r="B55" s="35"/>
      <c r="C55" s="1094" t="s">
        <v>158</v>
      </c>
      <c r="D55" s="1095"/>
      <c r="E55" s="1095"/>
      <c r="F55" s="1095"/>
      <c r="G55" s="1095"/>
      <c r="H55" s="1095"/>
      <c r="I55" s="1095"/>
      <c r="J55" s="1095"/>
      <c r="K55" s="1095"/>
      <c r="L55" s="1095"/>
      <c r="M55" s="1095"/>
      <c r="N55" s="1095"/>
      <c r="O55" s="1095"/>
      <c r="P55" s="33">
        <f>P3</f>
        <v>0</v>
      </c>
      <c r="Q55" s="33">
        <v>0</v>
      </c>
      <c r="R55" s="31" t="s">
        <v>1372</v>
      </c>
      <c r="S55" s="32"/>
      <c r="T55" s="71" t="s">
        <v>66</v>
      </c>
      <c r="U55" s="33">
        <v>0</v>
      </c>
      <c r="V55" s="33">
        <v>0</v>
      </c>
      <c r="W55" s="33">
        <v>0</v>
      </c>
      <c r="X55" s="636"/>
      <c r="AB55" s="33">
        <v>0</v>
      </c>
    </row>
    <row r="56" spans="1:35" ht="15" customHeight="1">
      <c r="B56" s="4"/>
      <c r="C56" s="4" t="s">
        <v>17</v>
      </c>
      <c r="D56" s="180" t="s">
        <v>68</v>
      </c>
      <c r="E56" s="180" t="s">
        <v>69</v>
      </c>
      <c r="F56" s="180" t="s">
        <v>70</v>
      </c>
      <c r="G56" s="180" t="s">
        <v>71</v>
      </c>
      <c r="H56" s="180" t="s">
        <v>72</v>
      </c>
      <c r="I56" s="180" t="s">
        <v>73</v>
      </c>
      <c r="J56" s="180" t="s">
        <v>74</v>
      </c>
      <c r="K56" s="180" t="s">
        <v>75</v>
      </c>
      <c r="L56" s="180" t="s">
        <v>76</v>
      </c>
      <c r="M56" s="180" t="s">
        <v>77</v>
      </c>
      <c r="N56" s="180" t="s">
        <v>78</v>
      </c>
      <c r="O56" s="180" t="s">
        <v>79</v>
      </c>
      <c r="P56" s="5" t="s">
        <v>125</v>
      </c>
      <c r="Q56" s="5" t="s">
        <v>125</v>
      </c>
      <c r="R56" s="5" t="s">
        <v>80</v>
      </c>
      <c r="S56" s="6" t="s">
        <v>81</v>
      </c>
      <c r="T56" s="80"/>
      <c r="U56" s="5" t="s">
        <v>125</v>
      </c>
      <c r="V56" s="5" t="s">
        <v>125</v>
      </c>
      <c r="W56" s="5" t="s">
        <v>125</v>
      </c>
      <c r="X56" s="637" t="s">
        <v>84</v>
      </c>
      <c r="AB56" s="5" t="s">
        <v>125</v>
      </c>
    </row>
    <row r="57" spans="1:35" ht="15" customHeight="1">
      <c r="A57" s="2" t="s">
        <v>25</v>
      </c>
      <c r="B57" s="36">
        <v>1712</v>
      </c>
      <c r="C57" s="36" t="s">
        <v>25</v>
      </c>
      <c r="D57" s="61">
        <f>SUMIFS('2026'!$M:$M,'2026'!$J:$J,$B57&amp;$C57,'2026'!$O:$O,D$4)</f>
        <v>168.33962399999999</v>
      </c>
      <c r="E57" s="61">
        <f>SUMIFS('2026'!$M:$M,'2026'!$J:$J,$B57&amp;$C57,'2026'!$O:$O,E$4)</f>
        <v>90.16091999999999</v>
      </c>
      <c r="F57" s="61">
        <f>SUMIFS('2026'!$M:$M,'2026'!$J:$J,$B57&amp;$C57,'2026'!$O:$O,F$4)</f>
        <v>275.94071039999994</v>
      </c>
      <c r="G57" s="61">
        <f>SUMIFS('2026'!$M:$M,'2026'!$J:$J,$B57&amp;$C57,'2026'!$O:$O,G$4)</f>
        <v>160.02282239999997</v>
      </c>
      <c r="H57" s="61">
        <f>SUMIFS('2026'!$M:$M,'2026'!$J:$J,$B57&amp;$C57,'2026'!$O:$O,H$4)</f>
        <v>0</v>
      </c>
      <c r="I57" s="61">
        <f>SUMIFS('2026'!$M:$M,'2026'!$J:$J,$B57&amp;$C57,'2026'!$O:$O,I$4)</f>
        <v>37.897113599999997</v>
      </c>
      <c r="J57" s="61">
        <f>SUMIFS('2026'!$M:$M,'2026'!$J:$J,$B57&amp;$C57,'2026'!$O:$O,J$4)</f>
        <v>70.515878399999991</v>
      </c>
      <c r="K57" s="61">
        <f>SUMIFS('2026'!$M:$M,'2026'!$J:$J,$B57&amp;$C57,'2026'!$O:$O,K$4)</f>
        <v>187.63799039999995</v>
      </c>
      <c r="L57" s="61">
        <f>SUMIFS('2026'!$M:$M,'2026'!$J:$J,$B57&amp;$C57,'2026'!$O:$O,L$4)</f>
        <v>67.133836799999997</v>
      </c>
      <c r="M57" s="61">
        <f>SUMIFS('2026'!$M:$M,'2026'!$J:$J,$B57&amp;$C57,'2026'!$O:$O,M$4)</f>
        <v>109.1584512</v>
      </c>
      <c r="N57" s="61">
        <f>SUMIFS('2026'!$M:$M,'2026'!$J:$J,$B57&amp;$C57,'2026'!$O:$O,N$4)</f>
        <v>161.80922879999997</v>
      </c>
      <c r="O57" s="61">
        <f>SUMIFS('2026'!$M:$M,'2026'!$J:$J,$B57&amp;$C57,'2026'!$O:$O,O$4)</f>
        <v>71.699903999999989</v>
      </c>
      <c r="P57" s="61">
        <f t="shared" ref="P57:P59" si="30">SUM(D57:O57)</f>
        <v>1400.31648</v>
      </c>
      <c r="Q57" s="7">
        <v>1338.3819110399997</v>
      </c>
      <c r="R57" s="8">
        <f t="shared" ref="R57:R59" si="31">P57-Q57</f>
        <v>61.934568960000206</v>
      </c>
      <c r="S57" s="9">
        <f t="shared" ref="S57:S59" si="32">IF(ISERROR(R57/Q57),"",R57/Q57)</f>
        <v>4.6275706843552214E-2</v>
      </c>
      <c r="T57" s="79" t="s">
        <v>179</v>
      </c>
      <c r="U57" s="61">
        <v>2472.385968</v>
      </c>
      <c r="V57" s="61">
        <v>3013.4835083520002</v>
      </c>
      <c r="W57" s="7">
        <v>3221.9392523519991</v>
      </c>
      <c r="X57" s="626">
        <v>944.80660905599996</v>
      </c>
      <c r="Y57" s="14">
        <f t="shared" ref="Y57:Y60" si="33">P57/V57-1</f>
        <v>-0.5353163619050969</v>
      </c>
      <c r="Z57" s="15">
        <f>P57-V57</f>
        <v>-1613.1670283520002</v>
      </c>
      <c r="AA57" s="2" t="s">
        <v>10</v>
      </c>
      <c r="AB57" s="7">
        <v>2537.1111840000003</v>
      </c>
    </row>
    <row r="58" spans="1:35" ht="15" customHeight="1">
      <c r="A58" s="2" t="s">
        <v>33</v>
      </c>
      <c r="B58" s="36">
        <v>1712</v>
      </c>
      <c r="C58" s="36" t="s">
        <v>33</v>
      </c>
      <c r="D58" s="61">
        <f>SUMIFS('2026'!$M:$M,'2026'!$J:$J,$B58&amp;$C58,'2026'!$O:$O,D$4)</f>
        <v>194.03912400000002</v>
      </c>
      <c r="E58" s="61">
        <f>SUMIFS('2026'!$M:$M,'2026'!$J:$J,$B58&amp;$C58,'2026'!$O:$O,E$4)</f>
        <v>151.84491600000001</v>
      </c>
      <c r="F58" s="61">
        <f>SUMIFS('2026'!$M:$M,'2026'!$J:$J,$B58&amp;$C58,'2026'!$O:$O,F$4)</f>
        <v>361.54438776000006</v>
      </c>
      <c r="G58" s="61">
        <f>SUMIFS('2026'!$M:$M,'2026'!$J:$J,$B58&amp;$C58,'2026'!$O:$O,G$4)</f>
        <v>490.57297920000008</v>
      </c>
      <c r="H58" s="61">
        <f>SUMIFS('2026'!$M:$M,'2026'!$J:$J,$B58&amp;$C58,'2026'!$O:$O,H$4)</f>
        <v>987.12345600000003</v>
      </c>
      <c r="I58" s="61">
        <f>SUMIFS('2026'!$M:$M,'2026'!$J:$J,$B58&amp;$C58,'2026'!$O:$O,I$4)</f>
        <v>494.51535359999997</v>
      </c>
      <c r="J58" s="61">
        <f>SUMIFS('2026'!$M:$M,'2026'!$J:$J,$B58&amp;$C58,'2026'!$O:$O,J$4)</f>
        <v>173.26079999999999</v>
      </c>
      <c r="K58" s="61">
        <f>SUMIFS('2026'!$M:$M,'2026'!$J:$J,$B58&amp;$C58,'2026'!$O:$O,K$4)</f>
        <v>161.6080896</v>
      </c>
      <c r="L58" s="61">
        <f>SUMIFS('2026'!$M:$M,'2026'!$J:$J,$B58&amp;$C58,'2026'!$O:$O,L$4)</f>
        <v>161.6080896</v>
      </c>
      <c r="M58" s="61">
        <f>SUMIFS('2026'!$M:$M,'2026'!$J:$J,$B58&amp;$C58,'2026'!$O:$O,M$4)</f>
        <v>248.23848959999998</v>
      </c>
      <c r="N58" s="61">
        <f>SUMIFS('2026'!$M:$M,'2026'!$J:$J,$B58&amp;$C58,'2026'!$O:$O,N$4)</f>
        <v>421.4992896</v>
      </c>
      <c r="O58" s="61">
        <f>SUMIFS('2026'!$M:$M,'2026'!$J:$J,$B58&amp;$C58,'2026'!$O:$O,O$4)</f>
        <v>173.26079999999999</v>
      </c>
      <c r="P58" s="61">
        <f t="shared" si="30"/>
        <v>4019.1157749599997</v>
      </c>
      <c r="Q58" s="7">
        <v>4321.0178409600003</v>
      </c>
      <c r="R58" s="8">
        <f t="shared" si="31"/>
        <v>-301.90206600000056</v>
      </c>
      <c r="S58" s="9">
        <f t="shared" si="32"/>
        <v>-6.9868275742394764E-2</v>
      </c>
      <c r="T58" s="79"/>
      <c r="U58" s="61">
        <v>4403.6899260000009</v>
      </c>
      <c r="V58" s="61">
        <v>4475.1087156000003</v>
      </c>
      <c r="W58" s="7">
        <v>4821.0957072000001</v>
      </c>
      <c r="X58" s="626">
        <v>845.43807600000014</v>
      </c>
      <c r="Y58" s="14">
        <f t="shared" si="33"/>
        <v>-0.10189538838474077</v>
      </c>
      <c r="Z58" s="15">
        <f t="shared" ref="Z58:Z60" si="34">P58-V58</f>
        <v>-455.9929406400006</v>
      </c>
      <c r="AA58" s="2" t="s">
        <v>10</v>
      </c>
      <c r="AB58" s="7">
        <v>9614.8143359999995</v>
      </c>
    </row>
    <row r="59" spans="1:35" ht="15" customHeight="1">
      <c r="A59" s="2" t="s">
        <v>33</v>
      </c>
      <c r="B59" s="36">
        <v>1712</v>
      </c>
      <c r="C59" s="36" t="s">
        <v>111</v>
      </c>
      <c r="D59" s="61">
        <f>SUMIFS('2026'!$M:$M,'2026'!$J:$J,$B59&amp;$C59,'2026'!$O:$O,D$4)</f>
        <v>0</v>
      </c>
      <c r="E59" s="61">
        <f>SUMIFS('2026'!$M:$M,'2026'!$J:$J,$B59&amp;$C59,'2026'!$O:$O,E$4)</f>
        <v>0</v>
      </c>
      <c r="F59" s="61">
        <f>SUMIFS('2026'!$M:$M,'2026'!$J:$J,$B59&amp;$C59,'2026'!$O:$O,F$4)</f>
        <v>0</v>
      </c>
      <c r="G59" s="61">
        <f>SUMIFS('2026'!$M:$M,'2026'!$J:$J,$B59&amp;$C59,'2026'!$O:$O,G$4)</f>
        <v>0</v>
      </c>
      <c r="H59" s="61">
        <f>SUMIFS('2026'!$M:$M,'2026'!$J:$J,$B59&amp;$C59,'2026'!$O:$O,H$4)</f>
        <v>0</v>
      </c>
      <c r="I59" s="61">
        <f>SUMIFS('2026'!$M:$M,'2026'!$J:$J,$B59&amp;$C59,'2026'!$O:$O,I$4)</f>
        <v>0</v>
      </c>
      <c r="J59" s="61">
        <f>SUMIFS('2026'!$M:$M,'2026'!$J:$J,$B59&amp;$C59,'2026'!$O:$O,J$4)</f>
        <v>0</v>
      </c>
      <c r="K59" s="61">
        <f>SUMIFS('2026'!$M:$M,'2026'!$J:$J,$B59&amp;$C59,'2026'!$O:$O,K$4)</f>
        <v>0</v>
      </c>
      <c r="L59" s="61">
        <f>SUMIFS('2026'!$M:$M,'2026'!$J:$J,$B59&amp;$C59,'2026'!$O:$O,L$4)</f>
        <v>0</v>
      </c>
      <c r="M59" s="61">
        <f>SUMIFS('2026'!$M:$M,'2026'!$J:$J,$B59&amp;$C59,'2026'!$O:$O,M$4)</f>
        <v>0</v>
      </c>
      <c r="N59" s="61">
        <f>SUMIFS('2026'!$M:$M,'2026'!$J:$J,$B59&amp;$C59,'2026'!$O:$O,N$4)</f>
        <v>0</v>
      </c>
      <c r="O59" s="61">
        <f>SUMIFS('2026'!$M:$M,'2026'!$J:$J,$B59&amp;$C59,'2026'!$O:$O,O$4)</f>
        <v>0</v>
      </c>
      <c r="P59" s="61">
        <f t="shared" si="30"/>
        <v>0</v>
      </c>
      <c r="Q59" s="7">
        <v>0</v>
      </c>
      <c r="R59" s="8">
        <f t="shared" si="31"/>
        <v>0</v>
      </c>
      <c r="S59" s="9" t="str">
        <f t="shared" si="32"/>
        <v/>
      </c>
      <c r="T59" s="77"/>
      <c r="U59" s="61">
        <v>0</v>
      </c>
      <c r="V59" s="61">
        <v>0</v>
      </c>
      <c r="W59" s="7">
        <v>0</v>
      </c>
      <c r="X59" s="627">
        <v>0</v>
      </c>
      <c r="Y59" s="14" t="e">
        <f t="shared" si="33"/>
        <v>#DIV/0!</v>
      </c>
      <c r="Z59" s="15">
        <f t="shared" si="34"/>
        <v>0</v>
      </c>
      <c r="AA59" s="2" t="s">
        <v>10</v>
      </c>
      <c r="AB59" s="7">
        <v>0</v>
      </c>
    </row>
    <row r="60" spans="1:35" ht="15" customHeight="1">
      <c r="B60" s="10"/>
      <c r="C60" s="10" t="s">
        <v>112</v>
      </c>
      <c r="D60" s="11">
        <f t="shared" ref="D60:P60" si="35">SUM(D57:D59)</f>
        <v>362.37874799999997</v>
      </c>
      <c r="E60" s="11">
        <f t="shared" si="35"/>
        <v>242.00583599999999</v>
      </c>
      <c r="F60" s="11">
        <f t="shared" si="35"/>
        <v>637.48509816000001</v>
      </c>
      <c r="G60" s="11">
        <f t="shared" si="35"/>
        <v>650.59580160000007</v>
      </c>
      <c r="H60" s="11">
        <f t="shared" si="35"/>
        <v>987.12345600000003</v>
      </c>
      <c r="I60" s="11">
        <f t="shared" si="35"/>
        <v>532.41246719999992</v>
      </c>
      <c r="J60" s="11">
        <f t="shared" si="35"/>
        <v>243.77667839999998</v>
      </c>
      <c r="K60" s="11">
        <f t="shared" si="35"/>
        <v>349.24607999999995</v>
      </c>
      <c r="L60" s="11">
        <f t="shared" si="35"/>
        <v>228.74192640000001</v>
      </c>
      <c r="M60" s="11">
        <f t="shared" si="35"/>
        <v>357.39694079999998</v>
      </c>
      <c r="N60" s="11">
        <f t="shared" si="35"/>
        <v>583.30851839999991</v>
      </c>
      <c r="O60" s="11">
        <f t="shared" si="35"/>
        <v>244.96070399999996</v>
      </c>
      <c r="P60" s="11">
        <f t="shared" si="35"/>
        <v>5419.4322549600001</v>
      </c>
      <c r="Q60" s="11">
        <v>5659.3997520000003</v>
      </c>
      <c r="R60" s="11">
        <f>SUM(R57:R59)</f>
        <v>-239.96749704000035</v>
      </c>
      <c r="S60" s="12">
        <f>IF(ISERROR(R60/Q60),"",R60/Q60)</f>
        <v>-4.2401581007808678E-2</v>
      </c>
      <c r="T60" s="74"/>
      <c r="U60" s="11">
        <v>6876.0758940000014</v>
      </c>
      <c r="V60" s="11">
        <v>7488.5922239520005</v>
      </c>
      <c r="W60" s="11">
        <v>8043.0349595519992</v>
      </c>
      <c r="X60" s="269">
        <v>1790.244685056</v>
      </c>
      <c r="Y60" s="14">
        <f t="shared" si="33"/>
        <v>-0.27630827091557542</v>
      </c>
      <c r="Z60" s="15">
        <f t="shared" si="34"/>
        <v>-2069.1599689920004</v>
      </c>
      <c r="AB60" s="11">
        <v>12151.925520000001</v>
      </c>
    </row>
    <row r="61" spans="1:35" ht="15" customHeight="1"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R61" s="31" t="s">
        <v>1372</v>
      </c>
      <c r="S61" s="32"/>
      <c r="T61" s="71" t="s">
        <v>66</v>
      </c>
      <c r="U61" s="2"/>
      <c r="V61" s="2"/>
      <c r="W61" s="2"/>
    </row>
    <row r="62" spans="1:35" ht="21.75" customHeight="1">
      <c r="B62" s="4"/>
      <c r="C62" s="4" t="s">
        <v>17</v>
      </c>
      <c r="D62" s="180" t="s">
        <v>68</v>
      </c>
      <c r="E62" s="180" t="s">
        <v>69</v>
      </c>
      <c r="F62" s="180" t="s">
        <v>70</v>
      </c>
      <c r="G62" s="180" t="s">
        <v>71</v>
      </c>
      <c r="H62" s="180" t="s">
        <v>72</v>
      </c>
      <c r="I62" s="180" t="s">
        <v>73</v>
      </c>
      <c r="J62" s="180" t="s">
        <v>74</v>
      </c>
      <c r="K62" s="180" t="s">
        <v>75</v>
      </c>
      <c r="L62" s="180" t="s">
        <v>76</v>
      </c>
      <c r="M62" s="180" t="s">
        <v>77</v>
      </c>
      <c r="N62" s="180" t="s">
        <v>78</v>
      </c>
      <c r="O62" s="180" t="s">
        <v>79</v>
      </c>
      <c r="P62" s="187" t="str">
        <f>P$4</f>
        <v>2026 MRF3</v>
      </c>
      <c r="Q62" s="188" t="s">
        <v>1309</v>
      </c>
      <c r="R62" s="5" t="str">
        <f t="shared" ref="R62:S62" si="36">R$4</f>
        <v>Difference</v>
      </c>
      <c r="S62" s="6" t="str">
        <f t="shared" si="36"/>
        <v>% change</v>
      </c>
      <c r="T62" s="72"/>
      <c r="U62" s="187" t="s">
        <v>1186</v>
      </c>
      <c r="V62" s="187" t="s">
        <v>82</v>
      </c>
      <c r="W62" s="188" t="s">
        <v>83</v>
      </c>
      <c r="X62" s="628" t="s">
        <v>84</v>
      </c>
      <c r="Z62" s="15" t="e">
        <f t="shared" ref="Z62:Z69" si="37">P62-V62</f>
        <v>#VALUE!</v>
      </c>
      <c r="AB62" s="188" t="s">
        <v>85</v>
      </c>
    </row>
    <row r="63" spans="1:35" ht="15" customHeight="1">
      <c r="A63" s="2" t="s">
        <v>38</v>
      </c>
      <c r="B63" s="36">
        <v>6765</v>
      </c>
      <c r="C63" s="36" t="s">
        <v>113</v>
      </c>
      <c r="D63" s="61">
        <f>SUMIFS('2026'!$M:$M,'2026'!$J:$J,$B63&amp;$C63,'2026'!$O:$O,D$4)</f>
        <v>76.881612000000004</v>
      </c>
      <c r="E63" s="61">
        <f>SUMIFS('2026'!$M:$M,'2026'!$J:$J,$B63&amp;$C63,'2026'!$O:$O,E$4)</f>
        <v>0</v>
      </c>
      <c r="F63" s="61">
        <f>SUMIFS('2026'!$M:$M,'2026'!$J:$J,$B63&amp;$C63,'2026'!$O:$O,F$4)</f>
        <v>45.813904800000003</v>
      </c>
      <c r="G63" s="61">
        <f>SUMIFS('2026'!$M:$M,'2026'!$J:$J,$B63&amp;$C63,'2026'!$O:$O,G$4)</f>
        <v>0</v>
      </c>
      <c r="H63" s="61">
        <f>SUMIFS('2026'!$M:$M,'2026'!$J:$J,$B63&amp;$C63,'2026'!$O:$O,H$4)</f>
        <v>0</v>
      </c>
      <c r="I63" s="61">
        <f>SUMIFS('2026'!$M:$M,'2026'!$J:$J,$B63&amp;$C63,'2026'!$O:$O,I$4)</f>
        <v>44.142796799999999</v>
      </c>
      <c r="J63" s="61">
        <f>SUMIFS('2026'!$M:$M,'2026'!$J:$J,$B63&amp;$C63,'2026'!$O:$O,J$4)</f>
        <v>44.142796799999999</v>
      </c>
      <c r="K63" s="61">
        <f>SUMIFS('2026'!$M:$M,'2026'!$J:$J,$B63&amp;$C63,'2026'!$O:$O,K$4)</f>
        <v>44.142796799999999</v>
      </c>
      <c r="L63" s="61">
        <f>SUMIFS('2026'!$M:$M,'2026'!$J:$J,$B63&amp;$C63,'2026'!$O:$O,L$4)</f>
        <v>44.142796799999999</v>
      </c>
      <c r="M63" s="61">
        <f>SUMIFS('2026'!$M:$M,'2026'!$J:$J,$B63&amp;$C63,'2026'!$O:$O,M$4)</f>
        <v>44.142796799999999</v>
      </c>
      <c r="N63" s="61">
        <f>SUMIFS('2026'!$M:$M,'2026'!$J:$J,$B63&amp;$C63,'2026'!$O:$O,N$4)</f>
        <v>44.142796799999999</v>
      </c>
      <c r="O63" s="61">
        <f>SUMIFS('2026'!$M:$M,'2026'!$J:$J,$B63&amp;$C63,'2026'!$O:$O,O$4)</f>
        <v>88.285593599999999</v>
      </c>
      <c r="P63" s="61">
        <f t="shared" ref="P63:P65" si="38">SUM(D63:O63)</f>
        <v>475.83789119999994</v>
      </c>
      <c r="Q63" s="7">
        <v>1248.4130462400003</v>
      </c>
      <c r="R63" s="8">
        <f t="shared" ref="R63:R71" si="39">P63-Q63</f>
        <v>-772.57515504000037</v>
      </c>
      <c r="S63" s="9">
        <f t="shared" ref="S63:S71" si="40">IF(ISERROR(R63/Q63),"",R63/Q63)</f>
        <v>-0.61884578775178645</v>
      </c>
      <c r="T63" s="77"/>
      <c r="U63" s="61">
        <v>413.95904999999999</v>
      </c>
      <c r="V63" s="61">
        <v>901.7568</v>
      </c>
      <c r="W63" s="7">
        <v>0</v>
      </c>
      <c r="X63" s="626">
        <v>3197.7178799999997</v>
      </c>
      <c r="Y63" s="14">
        <f t="shared" ref="Y63:Y69" si="41">P63/V63-1</f>
        <v>-0.47232126089872573</v>
      </c>
      <c r="Z63" s="15">
        <f t="shared" si="37"/>
        <v>-425.91890880000005</v>
      </c>
      <c r="AA63" s="2" t="s">
        <v>10</v>
      </c>
      <c r="AB63" s="7">
        <v>0</v>
      </c>
    </row>
    <row r="64" spans="1:35" ht="15" customHeight="1">
      <c r="A64" s="2" t="s">
        <v>38</v>
      </c>
      <c r="B64" s="36">
        <v>6764</v>
      </c>
      <c r="C64" s="36" t="s">
        <v>38</v>
      </c>
      <c r="D64" s="61">
        <f>SUMIFS('2026'!$M:$M,'2026'!$J:$J,$B64&amp;$C64,'2026'!$O:$O,D$4)</f>
        <v>335.45606400000003</v>
      </c>
      <c r="E64" s="61">
        <f>SUMIFS('2026'!$M:$M,'2026'!$J:$J,$B64&amp;$C64,'2026'!$O:$O,E$4)</f>
        <v>324.44524799999999</v>
      </c>
      <c r="F64" s="61">
        <f>SUMIFS('2026'!$M:$M,'2026'!$J:$J,$B64&amp;$C64,'2026'!$O:$O,F$4)</f>
        <v>209.82146399999999</v>
      </c>
      <c r="G64" s="61">
        <f>SUMIFS('2026'!$M:$M,'2026'!$J:$J,$B64&amp;$C64,'2026'!$O:$O,G$4)</f>
        <v>244.6848</v>
      </c>
      <c r="H64" s="61">
        <f>SUMIFS('2026'!$M:$M,'2026'!$J:$J,$B64&amp;$C64,'2026'!$O:$O,H$4)</f>
        <v>244.6848</v>
      </c>
      <c r="I64" s="61">
        <f>SUMIFS('2026'!$M:$M,'2026'!$J:$J,$B64&amp;$C64,'2026'!$O:$O,I$4)</f>
        <v>326.24639999999999</v>
      </c>
      <c r="J64" s="61">
        <f>SUMIFS('2026'!$M:$M,'2026'!$J:$J,$B64&amp;$C64,'2026'!$O:$O,J$4)</f>
        <v>163.1232</v>
      </c>
      <c r="K64" s="61">
        <f>SUMIFS('2026'!$M:$M,'2026'!$J:$J,$B64&amp;$C64,'2026'!$O:$O,K$4)</f>
        <v>163.1232</v>
      </c>
      <c r="L64" s="61">
        <f>SUMIFS('2026'!$M:$M,'2026'!$J:$J,$B64&amp;$C64,'2026'!$O:$O,L$4)</f>
        <v>81.561599999999999</v>
      </c>
      <c r="M64" s="61">
        <f>SUMIFS('2026'!$M:$M,'2026'!$J:$J,$B64&amp;$C64,'2026'!$O:$O,M$4)</f>
        <v>81.561599999999999</v>
      </c>
      <c r="N64" s="61">
        <f>SUMIFS('2026'!$M:$M,'2026'!$J:$J,$B64&amp;$C64,'2026'!$O:$O,N$4)</f>
        <v>81.561599999999999</v>
      </c>
      <c r="O64" s="61">
        <f>SUMIFS('2026'!$M:$M,'2026'!$J:$J,$B64&amp;$C64,'2026'!$O:$O,O$4)</f>
        <v>0</v>
      </c>
      <c r="P64" s="61">
        <f t="shared" si="38"/>
        <v>2256.269976</v>
      </c>
      <c r="Q64" s="7">
        <v>3206.2481769599999</v>
      </c>
      <c r="R64" s="8"/>
      <c r="S64" s="9"/>
      <c r="T64" s="77"/>
      <c r="U64" s="61">
        <v>705.99590399999988</v>
      </c>
      <c r="V64" s="61">
        <v>1191.96504</v>
      </c>
      <c r="W64" s="7"/>
      <c r="X64" s="626"/>
      <c r="Y64" s="14">
        <f t="shared" si="41"/>
        <v>0.89289945617868116</v>
      </c>
      <c r="Z64" s="15">
        <f t="shared" si="37"/>
        <v>1064.304936</v>
      </c>
      <c r="AB64" s="7">
        <v>0</v>
      </c>
    </row>
    <row r="65" spans="1:28" ht="15" customHeight="1">
      <c r="A65" s="2" t="s">
        <v>38</v>
      </c>
      <c r="B65" s="52">
        <v>6765</v>
      </c>
      <c r="C65" s="52" t="s">
        <v>38</v>
      </c>
      <c r="D65" s="61">
        <f>SUMIFS('2026'!$M:$M,'2026'!$J:$J,$B65&amp;$C65,'2026'!$O:$O,D$4)</f>
        <v>0</v>
      </c>
      <c r="E65" s="61">
        <f>SUMIFS('2026'!$M:$M,'2026'!$J:$J,$B65&amp;$C65,'2026'!$O:$O,E$4)</f>
        <v>54.382999999999996</v>
      </c>
      <c r="F65" s="61">
        <f>SUMIFS('2026'!$M:$M,'2026'!$J:$J,$B65&amp;$C65,'2026'!$O:$O,F$4)</f>
        <v>143.91023999999999</v>
      </c>
      <c r="G65" s="61">
        <f>SUMIFS('2026'!$M:$M,'2026'!$J:$J,$B65&amp;$C65,'2026'!$O:$O,G$4)</f>
        <v>103.68</v>
      </c>
      <c r="H65" s="61">
        <f>SUMIFS('2026'!$M:$M,'2026'!$J:$J,$B65&amp;$C65,'2026'!$O:$O,H$4)</f>
        <v>77.760000000000005</v>
      </c>
      <c r="I65" s="61">
        <f>SUMIFS('2026'!$M:$M,'2026'!$J:$J,$B65&amp;$C65,'2026'!$O:$O,I$4)</f>
        <v>77.760000000000005</v>
      </c>
      <c r="J65" s="61">
        <f>SUMIFS('2026'!$M:$M,'2026'!$J:$J,$B65&amp;$C65,'2026'!$O:$O,J$4)</f>
        <v>51.84</v>
      </c>
      <c r="K65" s="61">
        <f>SUMIFS('2026'!$M:$M,'2026'!$J:$J,$B65&amp;$C65,'2026'!$O:$O,K$4)</f>
        <v>31.103999999999999</v>
      </c>
      <c r="L65" s="61">
        <f>SUMIFS('2026'!$M:$M,'2026'!$J:$J,$B65&amp;$C65,'2026'!$O:$O,L$4)</f>
        <v>10.944000000000001</v>
      </c>
      <c r="M65" s="61">
        <f>SUMIFS('2026'!$M:$M,'2026'!$J:$J,$B65&amp;$C65,'2026'!$O:$O,M$4)</f>
        <v>27.36</v>
      </c>
      <c r="N65" s="61">
        <f>SUMIFS('2026'!$M:$M,'2026'!$J:$J,$B65&amp;$C65,'2026'!$O:$O,N$4)</f>
        <v>16.416</v>
      </c>
      <c r="O65" s="61">
        <f>SUMIFS('2026'!$M:$M,'2026'!$J:$J,$B65&amp;$C65,'2026'!$O:$O,O$4)</f>
        <v>0</v>
      </c>
      <c r="P65" s="61">
        <f t="shared" si="38"/>
        <v>595.15724</v>
      </c>
      <c r="Q65" s="7">
        <v>707.62171999999998</v>
      </c>
      <c r="R65" s="8">
        <f t="shared" si="39"/>
        <v>-112.46447999999998</v>
      </c>
      <c r="S65" s="9">
        <f t="shared" si="40"/>
        <v>-0.15893305253547049</v>
      </c>
      <c r="T65" s="77"/>
      <c r="U65" s="61">
        <v>72.590400000000002</v>
      </c>
      <c r="V65" s="61">
        <v>72.598919999999993</v>
      </c>
      <c r="W65" s="7">
        <v>72.598919999999993</v>
      </c>
      <c r="X65" s="626">
        <v>1726.6090879999999</v>
      </c>
      <c r="Y65" s="14">
        <f t="shared" si="41"/>
        <v>7.1978800786568176</v>
      </c>
      <c r="Z65" s="15">
        <f t="shared" si="37"/>
        <v>522.55831999999998</v>
      </c>
      <c r="AA65" s="2" t="s">
        <v>10</v>
      </c>
      <c r="AB65" s="7">
        <v>0</v>
      </c>
    </row>
    <row r="66" spans="1:28" ht="15" customHeight="1">
      <c r="A66" s="2" t="s">
        <v>33</v>
      </c>
      <c r="B66" s="36">
        <v>6706</v>
      </c>
      <c r="C66" s="36" t="s">
        <v>23</v>
      </c>
      <c r="D66" s="61">
        <f>SUMIFS('2026'!$M:$M,'2026'!$J:$J,$B66&amp;$C66,'2026'!$O:$O,D$4)</f>
        <v>0</v>
      </c>
      <c r="E66" s="61">
        <f>SUMIFS('2026'!$M:$M,'2026'!$J:$J,$B66&amp;$C66,'2026'!$O:$O,E$4)</f>
        <v>0</v>
      </c>
      <c r="F66" s="61">
        <f>SUMIFS('2026'!$M:$M,'2026'!$J:$J,$B66&amp;$C66,'2026'!$O:$O,F$4)</f>
        <v>0</v>
      </c>
      <c r="G66" s="61">
        <f>SUMIFS('2026'!$M:$M,'2026'!$J:$J,$B66&amp;$C66,'2026'!$O:$O,G$4)</f>
        <v>200.22</v>
      </c>
      <c r="H66" s="61">
        <f>SUMIFS('2026'!$M:$M,'2026'!$J:$J,$B66&amp;$C66,'2026'!$O:$O,H$4)</f>
        <v>681.6</v>
      </c>
      <c r="I66" s="61">
        <f>SUMIFS('2026'!$M:$M,'2026'!$J:$J,$B66&amp;$C66,'2026'!$O:$O,I$4)</f>
        <v>498.41999999999996</v>
      </c>
      <c r="J66" s="61">
        <f>SUMIFS('2026'!$M:$M,'2026'!$J:$J,$B66&amp;$C66,'2026'!$O:$O,J$4)</f>
        <v>468.59999999999997</v>
      </c>
      <c r="K66" s="61">
        <f>SUMIFS('2026'!$M:$M,'2026'!$J:$J,$B66&amp;$C66,'2026'!$O:$O,K$4)</f>
        <v>0</v>
      </c>
      <c r="L66" s="61">
        <f>SUMIFS('2026'!$M:$M,'2026'!$J:$J,$B66&amp;$C66,'2026'!$O:$O,L$4)</f>
        <v>0</v>
      </c>
      <c r="M66" s="61">
        <f>SUMIFS('2026'!$M:$M,'2026'!$J:$J,$B66&amp;$C66,'2026'!$O:$O,M$4)</f>
        <v>0</v>
      </c>
      <c r="N66" s="61">
        <f>SUMIFS('2026'!$M:$M,'2026'!$J:$J,$B66&amp;$C66,'2026'!$O:$O,N$4)</f>
        <v>0</v>
      </c>
      <c r="O66" s="61">
        <f>SUMIFS('2026'!$M:$M,'2026'!$J:$J,$B66&amp;$C66,'2026'!$O:$O,O$4)</f>
        <v>0</v>
      </c>
      <c r="P66" s="61">
        <f>SUM(D66:O66)</f>
        <v>1848.84</v>
      </c>
      <c r="Q66" s="7">
        <v>0</v>
      </c>
      <c r="R66" s="8">
        <f>P66-Q66</f>
        <v>1848.84</v>
      </c>
      <c r="S66" s="9" t="str">
        <f t="shared" si="40"/>
        <v/>
      </c>
      <c r="T66" s="77"/>
      <c r="U66" s="61">
        <v>1950.1548479999999</v>
      </c>
      <c r="V66" s="61">
        <v>2155.0273920000004</v>
      </c>
      <c r="W66" s="7">
        <v>2153.7827280000001</v>
      </c>
      <c r="X66" s="626">
        <v>3618.7395119999996</v>
      </c>
      <c r="Y66" s="14">
        <f t="shared" si="41"/>
        <v>-0.14208051050146486</v>
      </c>
      <c r="Z66" s="15">
        <f t="shared" si="37"/>
        <v>-306.1873920000005</v>
      </c>
      <c r="AA66" s="2" t="s">
        <v>10</v>
      </c>
      <c r="AB66" s="7">
        <v>0</v>
      </c>
    </row>
    <row r="67" spans="1:28" ht="15" customHeight="1">
      <c r="A67" s="2" t="s">
        <v>38</v>
      </c>
      <c r="B67" s="36">
        <v>6706</v>
      </c>
      <c r="C67" s="36" t="s">
        <v>115</v>
      </c>
      <c r="D67" s="61">
        <f>SUMIFS('2026'!$M:$M,'2026'!$J:$J,$B67&amp;$C67,'2026'!$O:$O,D$4)</f>
        <v>0</v>
      </c>
      <c r="E67" s="61">
        <f>SUMIFS('2026'!$M:$M,'2026'!$J:$J,$B67&amp;$C67,'2026'!$O:$O,E$4)</f>
        <v>0</v>
      </c>
      <c r="F67" s="61">
        <f>SUMIFS('2026'!$M:$M,'2026'!$J:$J,$B67&amp;$C67,'2026'!$O:$O,F$4)</f>
        <v>0</v>
      </c>
      <c r="G67" s="61">
        <f>SUMIFS('2026'!$M:$M,'2026'!$J:$J,$B67&amp;$C67,'2026'!$O:$O,G$4)</f>
        <v>0</v>
      </c>
      <c r="H67" s="61">
        <f>SUMIFS('2026'!$M:$M,'2026'!$J:$J,$B67&amp;$C67,'2026'!$O:$O,H$4)</f>
        <v>0</v>
      </c>
      <c r="I67" s="61">
        <f>SUMIFS('2026'!$M:$M,'2026'!$J:$J,$B67&amp;$C67,'2026'!$O:$O,I$4)</f>
        <v>0</v>
      </c>
      <c r="J67" s="61">
        <f>SUMIFS('2026'!$M:$M,'2026'!$J:$J,$B67&amp;$C67,'2026'!$O:$O,J$4)</f>
        <v>0</v>
      </c>
      <c r="K67" s="61">
        <f>SUMIFS('2026'!$M:$M,'2026'!$J:$J,$B67&amp;$C67,'2026'!$O:$O,K$4)</f>
        <v>0</v>
      </c>
      <c r="L67" s="61">
        <f>SUMIFS('2026'!$M:$M,'2026'!$J:$J,$B67&amp;$C67,'2026'!$O:$O,L$4)</f>
        <v>0</v>
      </c>
      <c r="M67" s="61">
        <f>SUMIFS('2026'!$M:$M,'2026'!$J:$J,$B67&amp;$C67,'2026'!$O:$O,M$4)</f>
        <v>0</v>
      </c>
      <c r="N67" s="61">
        <f>SUMIFS('2026'!$M:$M,'2026'!$J:$J,$B67&amp;$C67,'2026'!$O:$O,N$4)</f>
        <v>0</v>
      </c>
      <c r="O67" s="61">
        <f>SUMIFS('2026'!$M:$M,'2026'!$J:$J,$B67&amp;$C67,'2026'!$O:$O,O$4)</f>
        <v>0</v>
      </c>
      <c r="P67" s="61">
        <f t="shared" ref="P67:P68" si="42">SUM(D67:O67)</f>
        <v>0</v>
      </c>
      <c r="Q67" s="7">
        <v>0</v>
      </c>
      <c r="R67" s="8">
        <f>P67-Q67</f>
        <v>0</v>
      </c>
      <c r="S67" s="9" t="str">
        <f t="shared" si="40"/>
        <v/>
      </c>
      <c r="U67" s="61">
        <v>1053.3255839999999</v>
      </c>
      <c r="V67" s="61">
        <v>1291.3240319999998</v>
      </c>
      <c r="W67" s="7">
        <v>1643.8655519999998</v>
      </c>
      <c r="X67" s="626">
        <v>2590.9769759999999</v>
      </c>
      <c r="Y67" s="14">
        <f t="shared" si="41"/>
        <v>-1</v>
      </c>
      <c r="Z67" s="15">
        <f t="shared" si="37"/>
        <v>-1291.3240319999998</v>
      </c>
      <c r="AA67" s="2" t="s">
        <v>10</v>
      </c>
      <c r="AB67" s="7">
        <v>0</v>
      </c>
    </row>
    <row r="68" spans="1:28" ht="15" customHeight="1">
      <c r="A68" s="2" t="s">
        <v>38</v>
      </c>
      <c r="B68" s="36">
        <v>6706</v>
      </c>
      <c r="C68" s="36" t="s">
        <v>113</v>
      </c>
      <c r="D68" s="61">
        <f>SUMIFS('2026'!$M:$M,'2026'!$J:$J,$B68&amp;$C68,'2026'!$O:$O,D$4)</f>
        <v>148.86166200000002</v>
      </c>
      <c r="E68" s="61">
        <f>SUMIFS('2026'!$M:$M,'2026'!$J:$J,$B68&amp;$C68,'2026'!$O:$O,E$4)</f>
        <v>0</v>
      </c>
      <c r="F68" s="61">
        <f>SUMIFS('2026'!$M:$M,'2026'!$J:$J,$B68&amp;$C68,'2026'!$O:$O,F$4)</f>
        <v>0</v>
      </c>
      <c r="G68" s="61">
        <f>SUMIFS('2026'!$M:$M,'2026'!$J:$J,$B68&amp;$C68,'2026'!$O:$O,G$4)</f>
        <v>20.002204800000001</v>
      </c>
      <c r="H68" s="61">
        <f>SUMIFS('2026'!$M:$M,'2026'!$J:$J,$B68&amp;$C68,'2026'!$O:$O,H$4)</f>
        <v>0</v>
      </c>
      <c r="I68" s="61">
        <f>SUMIFS('2026'!$M:$M,'2026'!$J:$J,$B68&amp;$C68,'2026'!$O:$O,I$4)</f>
        <v>0</v>
      </c>
      <c r="J68" s="61">
        <f>SUMIFS('2026'!$M:$M,'2026'!$J:$J,$B68&amp;$C68,'2026'!$O:$O,J$4)</f>
        <v>0</v>
      </c>
      <c r="K68" s="61">
        <f>SUMIFS('2026'!$M:$M,'2026'!$J:$J,$B68&amp;$C68,'2026'!$O:$O,K$4)</f>
        <v>0</v>
      </c>
      <c r="L68" s="61">
        <f>SUMIFS('2026'!$M:$M,'2026'!$J:$J,$B68&amp;$C68,'2026'!$O:$O,L$4)</f>
        <v>0</v>
      </c>
      <c r="M68" s="61">
        <f>SUMIFS('2026'!$M:$M,'2026'!$J:$J,$B68&amp;$C68,'2026'!$O:$O,M$4)</f>
        <v>0</v>
      </c>
      <c r="N68" s="61">
        <f>SUMIFS('2026'!$M:$M,'2026'!$J:$J,$B68&amp;$C68,'2026'!$O:$O,N$4)</f>
        <v>0</v>
      </c>
      <c r="O68" s="61">
        <f>SUMIFS('2026'!$M:$M,'2026'!$J:$J,$B68&amp;$C68,'2026'!$O:$O,O$4)</f>
        <v>0</v>
      </c>
      <c r="P68" s="61">
        <f t="shared" si="42"/>
        <v>168.86386680000004</v>
      </c>
      <c r="Q68" s="7">
        <v>171.12720696000002</v>
      </c>
      <c r="R68" s="8">
        <f>P68-Q68</f>
        <v>-2.2633401599999843</v>
      </c>
      <c r="S68" s="9">
        <f t="shared" si="40"/>
        <v>-1.3226068491429458E-2</v>
      </c>
      <c r="U68" s="61">
        <v>824.26071600000012</v>
      </c>
      <c r="V68" s="61">
        <v>66.978018000000006</v>
      </c>
      <c r="W68" s="7">
        <v>66.978018000000006</v>
      </c>
      <c r="X68" s="626">
        <v>190.06929000000002</v>
      </c>
      <c r="Y68" s="14">
        <f t="shared" si="41"/>
        <v>1.5211833948266436</v>
      </c>
      <c r="Z68" s="15">
        <f t="shared" si="37"/>
        <v>101.88584880000003</v>
      </c>
      <c r="AA68" s="2" t="s">
        <v>10</v>
      </c>
      <c r="AB68" s="7">
        <v>0</v>
      </c>
    </row>
    <row r="69" spans="1:28" ht="15" customHeight="1">
      <c r="B69" s="10"/>
      <c r="C69" s="10" t="s">
        <v>116</v>
      </c>
      <c r="D69" s="182">
        <f>SUM(D63:D68)</f>
        <v>561.19933800000013</v>
      </c>
      <c r="E69" s="182">
        <f t="shared" ref="E69:N69" si="43">SUM(E63:E68)</f>
        <v>378.82824799999997</v>
      </c>
      <c r="F69" s="182">
        <f t="shared" si="43"/>
        <v>399.54560879999997</v>
      </c>
      <c r="G69" s="182">
        <f t="shared" si="43"/>
        <v>568.58700479999993</v>
      </c>
      <c r="H69" s="182">
        <f t="shared" si="43"/>
        <v>1004.0448</v>
      </c>
      <c r="I69" s="182">
        <f t="shared" si="43"/>
        <v>946.56919679999987</v>
      </c>
      <c r="J69" s="182">
        <f t="shared" si="43"/>
        <v>727.70599679999987</v>
      </c>
      <c r="K69" s="182">
        <f t="shared" si="43"/>
        <v>238.36999679999997</v>
      </c>
      <c r="L69" s="182">
        <f t="shared" si="43"/>
        <v>136.6483968</v>
      </c>
      <c r="M69" s="182">
        <f t="shared" si="43"/>
        <v>153.0643968</v>
      </c>
      <c r="N69" s="182">
        <f t="shared" si="43"/>
        <v>142.12039680000001</v>
      </c>
      <c r="O69" s="182">
        <f>SUM(O63:O68)</f>
        <v>88.285593599999999</v>
      </c>
      <c r="P69" s="64">
        <f>SUM(P63:P68)</f>
        <v>5344.9689740000003</v>
      </c>
      <c r="Q69" s="64">
        <v>5333.4101501600007</v>
      </c>
      <c r="R69" s="64">
        <f>P69-Q69</f>
        <v>11.558823839999604</v>
      </c>
      <c r="S69" s="12">
        <f>IF(ISERROR(R69/Q69),"",R69/Q69)</f>
        <v>2.1672482547873883E-3</v>
      </c>
      <c r="T69" s="76"/>
      <c r="U69" s="64">
        <v>5020.2865019999999</v>
      </c>
      <c r="V69" s="64">
        <v>5679.6502019999998</v>
      </c>
      <c r="W69" s="64">
        <v>3937.2252179999996</v>
      </c>
      <c r="X69" s="269">
        <v>11324.112745999999</v>
      </c>
      <c r="Y69" s="14">
        <f t="shared" si="41"/>
        <v>-5.8926380339786921E-2</v>
      </c>
      <c r="Z69" s="15">
        <f t="shared" si="37"/>
        <v>-334.68122799999946</v>
      </c>
      <c r="AB69" s="64">
        <v>0</v>
      </c>
    </row>
    <row r="70" spans="1:28" ht="15" customHeight="1"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R70" s="1"/>
      <c r="S70" s="1"/>
      <c r="U70" s="2"/>
      <c r="V70" s="2"/>
      <c r="W70" s="2"/>
    </row>
    <row r="71" spans="1:28" ht="15" customHeight="1">
      <c r="A71" s="2" t="s">
        <v>44</v>
      </c>
      <c r="B71" s="36">
        <v>1715</v>
      </c>
      <c r="C71" s="36" t="s">
        <v>44</v>
      </c>
      <c r="D71" s="61">
        <f>SUMIFS('2026'!$M:$M,'2026'!$J:$J,$B71&amp;$C71,'2026'!$O:$O,D$4)</f>
        <v>440.79072000000002</v>
      </c>
      <c r="E71" s="61">
        <f>SUMIFS('2026'!$M:$M,'2026'!$J:$J,$B71&amp;$C71,'2026'!$O:$O,E$4)</f>
        <v>281.74207200000001</v>
      </c>
      <c r="F71" s="61">
        <f>SUMIFS('2026'!$M:$M,'2026'!$J:$J,$B71&amp;$C71,'2026'!$O:$O,F$4)</f>
        <v>482.402736</v>
      </c>
      <c r="G71" s="61">
        <f>SUMIFS('2026'!$M:$M,'2026'!$J:$J,$B71&amp;$C71,'2026'!$O:$O,G$4)</f>
        <v>547.16755968000007</v>
      </c>
      <c r="H71" s="61">
        <f>SUMIFS('2026'!$M:$M,'2026'!$J:$J,$B71&amp;$C71,'2026'!$O:$O,H$4)</f>
        <v>2761.0329599999991</v>
      </c>
      <c r="I71" s="61">
        <f>SUMIFS('2026'!$M:$M,'2026'!$J:$J,$B71&amp;$C71,'2026'!$O:$O,I$4)</f>
        <v>1150.1280000000002</v>
      </c>
      <c r="J71" s="61">
        <f>SUMIFS('2026'!$M:$M,'2026'!$J:$J,$B71&amp;$C71,'2026'!$O:$O,J$4)</f>
        <v>1023.9264000000002</v>
      </c>
      <c r="K71" s="61">
        <f>SUMIFS('2026'!$M:$M,'2026'!$J:$J,$B71&amp;$C71,'2026'!$O:$O,K$4)</f>
        <v>1023.9264000000002</v>
      </c>
      <c r="L71" s="61">
        <f>SUMIFS('2026'!$M:$M,'2026'!$J:$J,$B71&amp;$C71,'2026'!$O:$O,L$4)</f>
        <v>649.35360000000003</v>
      </c>
      <c r="M71" s="61">
        <f>SUMIFS('2026'!$M:$M,'2026'!$J:$J,$B71&amp;$C71,'2026'!$O:$O,M$4)</f>
        <v>626.97600000000011</v>
      </c>
      <c r="N71" s="61">
        <f>SUMIFS('2026'!$M:$M,'2026'!$J:$J,$B71&amp;$C71,'2026'!$O:$O,N$4)</f>
        <v>773.53920000000016</v>
      </c>
      <c r="O71" s="61">
        <f>SUMIFS('2026'!$M:$M,'2026'!$J:$J,$B71&amp;$C71,'2026'!$O:$O,O$4)</f>
        <v>548.81280000000004</v>
      </c>
      <c r="P71" s="61">
        <f t="shared" ref="P71" si="44">SUM(D71:O71)</f>
        <v>10309.798447680001</v>
      </c>
      <c r="Q71" s="7">
        <v>8769.456071999999</v>
      </c>
      <c r="R71" s="8">
        <f t="shared" si="39"/>
        <v>1540.3423756800021</v>
      </c>
      <c r="S71" s="9">
        <f t="shared" si="40"/>
        <v>0.17564856509152968</v>
      </c>
      <c r="T71" s="77"/>
      <c r="U71" s="61">
        <v>8519.6247680000015</v>
      </c>
      <c r="V71" s="61">
        <v>9488.0396039999996</v>
      </c>
      <c r="W71" s="7">
        <v>10404.38608</v>
      </c>
      <c r="X71" s="627">
        <v>7749.8194560000002</v>
      </c>
      <c r="Y71" s="14">
        <f t="shared" ref="Y71:Y77" si="45">P71/V71-1</f>
        <v>8.6609971920180717E-2</v>
      </c>
      <c r="Z71" s="15">
        <f>P71-V71</f>
        <v>821.75884368000152</v>
      </c>
      <c r="AA71" s="2" t="s">
        <v>10</v>
      </c>
      <c r="AB71" s="7">
        <v>7638.3</v>
      </c>
    </row>
    <row r="72" spans="1:28" ht="15" customHeight="1">
      <c r="A72" s="2" t="s">
        <v>44</v>
      </c>
      <c r="B72" s="36">
        <v>1716</v>
      </c>
      <c r="C72" s="36" t="s">
        <v>44</v>
      </c>
      <c r="D72" s="61">
        <f>SUMIFS('2026'!$M:$M,'2026'!$J:$J,$B72&amp;$C72,'2026'!$O:$O,D$4)</f>
        <v>256.81910399999998</v>
      </c>
      <c r="E72" s="61">
        <f>SUMIFS('2026'!$M:$M,'2026'!$J:$J,$B72&amp;$C72,'2026'!$O:$O,E$4)</f>
        <v>304.290392</v>
      </c>
      <c r="F72" s="61">
        <f>SUMIFS('2026'!$M:$M,'2026'!$J:$J,$B72&amp;$C72,'2026'!$O:$O,F$4)</f>
        <v>126.95558399999999</v>
      </c>
      <c r="G72" s="61">
        <f>SUMIFS('2026'!$M:$M,'2026'!$J:$J,$B72&amp;$C72,'2026'!$O:$O,G$4)</f>
        <v>203.42900735999996</v>
      </c>
      <c r="H72" s="61">
        <f>SUMIFS('2026'!$M:$M,'2026'!$J:$J,$B72&amp;$C72,'2026'!$O:$O,H$4)</f>
        <v>1100.6745599999999</v>
      </c>
      <c r="I72" s="61">
        <f>SUMIFS('2026'!$M:$M,'2026'!$J:$J,$B72&amp;$C72,'2026'!$O:$O,I$4)</f>
        <v>156.33408</v>
      </c>
      <c r="J72" s="61">
        <f>SUMIFS('2026'!$M:$M,'2026'!$J:$J,$B72&amp;$C72,'2026'!$O:$O,J$4)</f>
        <v>334.38719999999995</v>
      </c>
      <c r="K72" s="61">
        <f>SUMIFS('2026'!$M:$M,'2026'!$J:$J,$B72&amp;$C72,'2026'!$O:$O,K$4)</f>
        <v>67.307520000000011</v>
      </c>
      <c r="L72" s="61">
        <f>SUMIFS('2026'!$M:$M,'2026'!$J:$J,$B72&amp;$C72,'2026'!$O:$O,L$4)</f>
        <v>0</v>
      </c>
      <c r="M72" s="61">
        <f>SUMIFS('2026'!$M:$M,'2026'!$J:$J,$B72&amp;$C72,'2026'!$O:$O,M$4)</f>
        <v>433.99123199999997</v>
      </c>
      <c r="N72" s="61">
        <f>SUMIFS('2026'!$M:$M,'2026'!$J:$J,$B72&amp;$C72,'2026'!$O:$O,N$4)</f>
        <v>550.04371200000003</v>
      </c>
      <c r="O72" s="61">
        <f>SUMIFS('2026'!$M:$M,'2026'!$J:$J,$B72&amp;$C72,'2026'!$O:$O,O$4)</f>
        <v>172.22399999999999</v>
      </c>
      <c r="P72" s="61">
        <f t="shared" ref="P72:P76" si="46">SUM(D72:O72)</f>
        <v>3706.45639136</v>
      </c>
      <c r="Q72" s="7">
        <v>6043.5362542399989</v>
      </c>
      <c r="R72" s="8">
        <f t="shared" ref="R72:R76" si="47">P72-Q72</f>
        <v>-2337.0798628799989</v>
      </c>
      <c r="S72" s="9">
        <f t="shared" ref="S72:S76" si="48">IF(ISERROR(R72/Q72),"",R72/Q72)</f>
        <v>-0.38670734559428849</v>
      </c>
      <c r="T72" s="77"/>
      <c r="U72" s="61">
        <v>10547.617263999999</v>
      </c>
      <c r="V72" s="61">
        <v>9297.3645760000018</v>
      </c>
      <c r="W72" s="7">
        <v>9465.1163599999982</v>
      </c>
      <c r="X72" s="627">
        <v>7749.8194560000002</v>
      </c>
      <c r="Y72" s="14">
        <f t="shared" si="45"/>
        <v>-0.60134333110613314</v>
      </c>
      <c r="Z72" s="15">
        <f t="shared" ref="Z72:Z77" si="49">P72-V72</f>
        <v>-5590.9081846400022</v>
      </c>
      <c r="AA72" s="2" t="s">
        <v>10</v>
      </c>
      <c r="AB72" s="7">
        <v>13040.999999999998</v>
      </c>
    </row>
    <row r="73" spans="1:28" ht="15" customHeight="1">
      <c r="A73" s="2" t="s">
        <v>44</v>
      </c>
      <c r="B73" s="36">
        <v>1717</v>
      </c>
      <c r="C73" s="36" t="s">
        <v>44</v>
      </c>
      <c r="D73" s="61">
        <f>SUMIFS('2026'!$M:$M,'2026'!$J:$J,$B73&amp;$C73,'2026'!$O:$O,D$4)</f>
        <v>624.32389599999999</v>
      </c>
      <c r="E73" s="61">
        <f>SUMIFS('2026'!$M:$M,'2026'!$J:$J,$B73&amp;$C73,'2026'!$O:$O,E$4)</f>
        <v>463.11980800000003</v>
      </c>
      <c r="F73" s="61">
        <f>SUMIFS('2026'!$M:$M,'2026'!$J:$J,$B73&amp;$C73,'2026'!$O:$O,F$4)</f>
        <v>283.11951999999997</v>
      </c>
      <c r="G73" s="61">
        <f>SUMIFS('2026'!$M:$M,'2026'!$J:$J,$B73&amp;$C73,'2026'!$O:$O,G$4)</f>
        <v>0</v>
      </c>
      <c r="H73" s="61">
        <f>SUMIFS('2026'!$M:$M,'2026'!$J:$J,$B73&amp;$C73,'2026'!$O:$O,H$4)</f>
        <v>0</v>
      </c>
      <c r="I73" s="61">
        <f>SUMIFS('2026'!$M:$M,'2026'!$J:$J,$B73&amp;$C73,'2026'!$O:$O,I$4)</f>
        <v>270.16704000000004</v>
      </c>
      <c r="J73" s="61">
        <f>SUMIFS('2026'!$M:$M,'2026'!$J:$J,$B73&amp;$C73,'2026'!$O:$O,J$4)</f>
        <v>249.99936000000002</v>
      </c>
      <c r="K73" s="61">
        <f>SUMIFS('2026'!$M:$M,'2026'!$J:$J,$B73&amp;$C73,'2026'!$O:$O,K$4)</f>
        <v>62.499840000000006</v>
      </c>
      <c r="L73" s="61">
        <f>SUMIFS('2026'!$M:$M,'2026'!$J:$J,$B73&amp;$C73,'2026'!$O:$O,L$4)</f>
        <v>62.499840000000006</v>
      </c>
      <c r="M73" s="61">
        <f>SUMIFS('2026'!$M:$M,'2026'!$J:$J,$B73&amp;$C73,'2026'!$O:$O,M$4)</f>
        <v>805.90564799999993</v>
      </c>
      <c r="N73" s="61">
        <f>SUMIFS('2026'!$M:$M,'2026'!$J:$J,$B73&amp;$C73,'2026'!$O:$O,N$4)</f>
        <v>608.39121599999999</v>
      </c>
      <c r="O73" s="61">
        <f>SUMIFS('2026'!$M:$M,'2026'!$J:$J,$B73&amp;$C73,'2026'!$O:$O,O$4)</f>
        <v>297.22368</v>
      </c>
      <c r="P73" s="61">
        <f t="shared" si="46"/>
        <v>3727.2498479999999</v>
      </c>
      <c r="Q73" s="7">
        <v>4275.6365456849999</v>
      </c>
      <c r="R73" s="8">
        <f t="shared" si="47"/>
        <v>-548.38669768499994</v>
      </c>
      <c r="S73" s="9">
        <f t="shared" si="48"/>
        <v>-0.1282584924666797</v>
      </c>
      <c r="T73" s="77"/>
      <c r="U73" s="61">
        <v>5525.6500479999995</v>
      </c>
      <c r="V73" s="61">
        <v>5966.8930879999998</v>
      </c>
      <c r="W73" s="7">
        <v>3161.1767199999995</v>
      </c>
      <c r="X73" s="627">
        <v>7749.8194560000002</v>
      </c>
      <c r="Y73" s="14">
        <f t="shared" si="45"/>
        <v>-0.37534495875318086</v>
      </c>
      <c r="Z73" s="15">
        <f t="shared" si="49"/>
        <v>-2239.6432399999999</v>
      </c>
      <c r="AA73" s="2" t="s">
        <v>10</v>
      </c>
      <c r="AB73" s="7">
        <v>2670.2999999999997</v>
      </c>
    </row>
    <row r="74" spans="1:28" ht="15" customHeight="1">
      <c r="A74" s="36" t="s">
        <v>46</v>
      </c>
      <c r="B74" s="36">
        <v>1712</v>
      </c>
      <c r="C74" s="36" t="s">
        <v>46</v>
      </c>
      <c r="D74" s="61">
        <f>SUMIFS('2026'!$M:$M,'2026'!$J:$J,$B74&amp;$C74,'2026'!$O:$O,D$4)</f>
        <v>185.04619499999998</v>
      </c>
      <c r="E74" s="61">
        <f>SUMIFS('2026'!$M:$M,'2026'!$J:$J,$B74&amp;$C74,'2026'!$O:$O,E$4)</f>
        <v>454.44491999999997</v>
      </c>
      <c r="F74" s="61">
        <f>SUMIFS('2026'!$M:$M,'2026'!$J:$J,$B74&amp;$C74,'2026'!$O:$O,F$4)</f>
        <v>557.78065500000002</v>
      </c>
      <c r="G74" s="61">
        <f>SUMIFS('2026'!$M:$M,'2026'!$J:$J,$B74&amp;$C74,'2026'!$O:$O,G$4)</f>
        <v>170.86463999999998</v>
      </c>
      <c r="H74" s="61">
        <f>SUMIFS('2026'!$M:$M,'2026'!$J:$J,$B74&amp;$C74,'2026'!$O:$O,H$4)</f>
        <v>280.79200799999995</v>
      </c>
      <c r="I74" s="61">
        <f>SUMIFS('2026'!$M:$M,'2026'!$J:$J,$B74&amp;$C74,'2026'!$O:$O,I$4)</f>
        <v>341.72927999999996</v>
      </c>
      <c r="J74" s="61">
        <f>SUMIFS('2026'!$M:$M,'2026'!$J:$J,$B74&amp;$C74,'2026'!$O:$O,J$4)</f>
        <v>170.86463999999998</v>
      </c>
      <c r="K74" s="61">
        <f>SUMIFS('2026'!$M:$M,'2026'!$J:$J,$B74&amp;$C74,'2026'!$O:$O,K$4)</f>
        <v>683.45855999999992</v>
      </c>
      <c r="L74" s="61">
        <f>SUMIFS('2026'!$M:$M,'2026'!$J:$J,$B74&amp;$C74,'2026'!$O:$O,L$4)</f>
        <v>512.59392000000003</v>
      </c>
      <c r="M74" s="61">
        <f>SUMIFS('2026'!$M:$M,'2026'!$J:$J,$B74&amp;$C74,'2026'!$O:$O,M$4)</f>
        <v>512.59392000000003</v>
      </c>
      <c r="N74" s="61">
        <f>SUMIFS('2026'!$M:$M,'2026'!$J:$J,$B74&amp;$C74,'2026'!$O:$O,N$4)</f>
        <v>534.62015999999994</v>
      </c>
      <c r="O74" s="61">
        <f>SUMIFS('2026'!$M:$M,'2026'!$J:$J,$B74&amp;$C74,'2026'!$O:$O,O$4)</f>
        <v>512.59392000000003</v>
      </c>
      <c r="P74" s="61">
        <f t="shared" si="46"/>
        <v>4917.382818000001</v>
      </c>
      <c r="Q74" s="7">
        <v>4736.6241149999996</v>
      </c>
      <c r="R74" s="8">
        <f t="shared" si="47"/>
        <v>180.75870300000133</v>
      </c>
      <c r="S74" s="9">
        <f>IF(ISERROR(R74/Q74),"",R74/Q74)</f>
        <v>3.8161926851567649E-2</v>
      </c>
      <c r="T74" s="77"/>
      <c r="U74" s="61">
        <v>5075.7425430000003</v>
      </c>
      <c r="V74" s="61">
        <v>4273.9514579999995</v>
      </c>
      <c r="W74" s="7">
        <v>5066.9956894999996</v>
      </c>
      <c r="X74" s="627">
        <v>2399.0012460000003</v>
      </c>
      <c r="Y74" s="14">
        <f t="shared" si="45"/>
        <v>0.15054718480614082</v>
      </c>
      <c r="Z74" s="15">
        <f t="shared" si="49"/>
        <v>643.4313600000014</v>
      </c>
      <c r="AA74" s="2" t="s">
        <v>10</v>
      </c>
      <c r="AB74" s="7">
        <v>3320.5404479999997</v>
      </c>
    </row>
    <row r="75" spans="1:28" ht="15" customHeight="1">
      <c r="A75" s="2" t="s">
        <v>42</v>
      </c>
      <c r="B75" s="36">
        <v>1713</v>
      </c>
      <c r="C75" s="36" t="s">
        <v>42</v>
      </c>
      <c r="D75" s="61">
        <f>SUMIFS('2026'!$M:$M,'2026'!$J:$J,$B75&amp;$C75,'2026'!$O:$O,D$4)</f>
        <v>0.19998000000000002</v>
      </c>
      <c r="E75" s="61">
        <f>SUMIFS('2026'!$M:$M,'2026'!$J:$J,$B75&amp;$C75,'2026'!$O:$O,E$4)</f>
        <v>41.973579999999998</v>
      </c>
      <c r="F75" s="61">
        <f>SUMIFS('2026'!$M:$M,'2026'!$J:$J,$B75&amp;$C75,'2026'!$O:$O,F$4)</f>
        <v>0</v>
      </c>
      <c r="G75" s="61">
        <f>SUMIFS('2026'!$M:$M,'2026'!$J:$J,$B75&amp;$C75,'2026'!$O:$O,G$4)</f>
        <v>6.9811200000000007</v>
      </c>
      <c r="H75" s="61">
        <f>SUMIFS('2026'!$M:$M,'2026'!$J:$J,$B75&amp;$C75,'2026'!$O:$O,H$4)</f>
        <v>0</v>
      </c>
      <c r="I75" s="61">
        <f>SUMIFS('2026'!$M:$M,'2026'!$J:$J,$B75&amp;$C75,'2026'!$O:$O,I$4)</f>
        <v>42.662399999999998</v>
      </c>
      <c r="J75" s="61">
        <f>SUMIFS('2026'!$M:$M,'2026'!$J:$J,$B75&amp;$C75,'2026'!$O:$O,J$4)</f>
        <v>21.331199999999999</v>
      </c>
      <c r="K75" s="61">
        <f>SUMIFS('2026'!$M:$M,'2026'!$J:$J,$B75&amp;$C75,'2026'!$O:$O,K$4)</f>
        <v>17.064959999999999</v>
      </c>
      <c r="L75" s="61">
        <f>SUMIFS('2026'!$M:$M,'2026'!$J:$J,$B75&amp;$C75,'2026'!$O:$O,L$4)</f>
        <v>21.331199999999999</v>
      </c>
      <c r="M75" s="61">
        <f>SUMIFS('2026'!$M:$M,'2026'!$J:$J,$B75&amp;$C75,'2026'!$O:$O,M$4)</f>
        <v>12.798719999999999</v>
      </c>
      <c r="N75" s="61">
        <f>SUMIFS('2026'!$M:$M,'2026'!$J:$J,$B75&amp;$C75,'2026'!$O:$O,N$4)</f>
        <v>8.5324799999999996</v>
      </c>
      <c r="O75" s="61">
        <f>SUMIFS('2026'!$M:$M,'2026'!$J:$J,$B75&amp;$C75,'2026'!$O:$O,O$4)</f>
        <v>0</v>
      </c>
      <c r="P75" s="61">
        <f t="shared" si="46"/>
        <v>172.87563999999998</v>
      </c>
      <c r="Q75" s="7">
        <v>183.19606240000005</v>
      </c>
      <c r="R75" s="8">
        <f t="shared" si="47"/>
        <v>-10.320422400000069</v>
      </c>
      <c r="S75" s="9">
        <f t="shared" si="48"/>
        <v>-5.6335394248081101E-2</v>
      </c>
      <c r="T75" s="77"/>
      <c r="U75" s="61">
        <v>685.57789999999989</v>
      </c>
      <c r="V75" s="61">
        <v>988.28096000000005</v>
      </c>
      <c r="W75" s="7">
        <v>1129.5537000000002</v>
      </c>
      <c r="X75" s="627">
        <v>677.17066</v>
      </c>
      <c r="Y75" s="14">
        <f t="shared" si="45"/>
        <v>-0.82507439989534959</v>
      </c>
      <c r="Z75" s="15">
        <f t="shared" si="49"/>
        <v>-815.40532000000007</v>
      </c>
      <c r="AA75" s="2" t="s">
        <v>10</v>
      </c>
      <c r="AB75" s="7">
        <v>1235.028</v>
      </c>
    </row>
    <row r="76" spans="1:28" ht="15" customHeight="1">
      <c r="A76" s="2" t="s">
        <v>43</v>
      </c>
      <c r="B76" s="36">
        <v>1714</v>
      </c>
      <c r="C76" s="36" t="s">
        <v>43</v>
      </c>
      <c r="D76" s="61">
        <f>SUMIFS('2026'!$M:$M,'2026'!$J:$J,$B76&amp;$C76,'2026'!$O:$O,D$4)</f>
        <v>0</v>
      </c>
      <c r="E76" s="61">
        <f>SUMIFS('2026'!$M:$M,'2026'!$J:$J,$B76&amp;$C76,'2026'!$O:$O,E$4)</f>
        <v>0</v>
      </c>
      <c r="F76" s="61">
        <f>SUMIFS('2026'!$M:$M,'2026'!$J:$J,$B76&amp;$C76,'2026'!$O:$O,F$4)</f>
        <v>0</v>
      </c>
      <c r="G76" s="61">
        <f>SUMIFS('2026'!$M:$M,'2026'!$J:$J,$B76&amp;$C76,'2026'!$O:$O,G$4)</f>
        <v>0</v>
      </c>
      <c r="H76" s="61">
        <f>SUMIFS('2026'!$M:$M,'2026'!$J:$J,$B76&amp;$C76,'2026'!$O:$O,H$4)</f>
        <v>0</v>
      </c>
      <c r="I76" s="61">
        <f>SUMIFS('2026'!$M:$M,'2026'!$J:$J,$B76&amp;$C76,'2026'!$O:$O,I$4)</f>
        <v>0</v>
      </c>
      <c r="J76" s="61">
        <f>SUMIFS('2026'!$M:$M,'2026'!$J:$J,$B76&amp;$C76,'2026'!$O:$O,J$4)</f>
        <v>0</v>
      </c>
      <c r="K76" s="61">
        <f>SUMIFS('2026'!$M:$M,'2026'!$J:$J,$B76&amp;$C76,'2026'!$O:$O,K$4)</f>
        <v>0</v>
      </c>
      <c r="L76" s="61">
        <f>SUMIFS('2026'!$M:$M,'2026'!$J:$J,$B76&amp;$C76,'2026'!$O:$O,L$4)</f>
        <v>0</v>
      </c>
      <c r="M76" s="61">
        <f>SUMIFS('2026'!$M:$M,'2026'!$J:$J,$B76&amp;$C76,'2026'!$O:$O,M$4)</f>
        <v>0</v>
      </c>
      <c r="N76" s="61">
        <f>SUMIFS('2026'!$M:$M,'2026'!$J:$J,$B76&amp;$C76,'2026'!$O:$O,N$4)</f>
        <v>0</v>
      </c>
      <c r="O76" s="61">
        <f>SUMIFS('2026'!$M:$M,'2026'!$J:$J,$B76&amp;$C76,'2026'!$O:$O,O$4)</f>
        <v>0</v>
      </c>
      <c r="P76" s="61">
        <f t="shared" si="46"/>
        <v>0</v>
      </c>
      <c r="Q76" s="7">
        <v>0</v>
      </c>
      <c r="R76" s="8">
        <f t="shared" si="47"/>
        <v>0</v>
      </c>
      <c r="S76" s="9" t="str">
        <f t="shared" si="48"/>
        <v/>
      </c>
      <c r="T76" s="77"/>
      <c r="U76" s="61">
        <v>12.303900000000001</v>
      </c>
      <c r="V76" s="61">
        <v>12.303900000000001</v>
      </c>
      <c r="W76" s="7">
        <v>4.1277600000000003</v>
      </c>
      <c r="X76" s="627">
        <v>122.75099200000001</v>
      </c>
      <c r="Y76" s="14">
        <f t="shared" si="45"/>
        <v>-1</v>
      </c>
      <c r="Z76" s="15">
        <f t="shared" si="49"/>
        <v>-12.303900000000001</v>
      </c>
      <c r="AA76" s="2" t="s">
        <v>10</v>
      </c>
      <c r="AB76" s="7">
        <v>0</v>
      </c>
    </row>
    <row r="77" spans="1:28" ht="15" customHeight="1">
      <c r="B77" s="10"/>
      <c r="C77" s="10" t="s">
        <v>117</v>
      </c>
      <c r="D77" s="64">
        <f t="shared" ref="D77:O77" si="50">SUM(D71:D76)</f>
        <v>1507.179895</v>
      </c>
      <c r="E77" s="64">
        <f t="shared" si="50"/>
        <v>1545.570772</v>
      </c>
      <c r="F77" s="64">
        <f t="shared" si="50"/>
        <v>1450.258495</v>
      </c>
      <c r="G77" s="64">
        <f t="shared" si="50"/>
        <v>928.44232704000012</v>
      </c>
      <c r="H77" s="64">
        <f t="shared" si="50"/>
        <v>4142.4995279999994</v>
      </c>
      <c r="I77" s="64">
        <f t="shared" si="50"/>
        <v>1961.0208000000002</v>
      </c>
      <c r="J77" s="64">
        <f t="shared" si="50"/>
        <v>1800.5088000000003</v>
      </c>
      <c r="K77" s="64">
        <f t="shared" si="50"/>
        <v>1854.25728</v>
      </c>
      <c r="L77" s="64">
        <f t="shared" si="50"/>
        <v>1245.7785600000002</v>
      </c>
      <c r="M77" s="64">
        <f t="shared" si="50"/>
        <v>2392.2655199999999</v>
      </c>
      <c r="N77" s="64">
        <f t="shared" si="50"/>
        <v>2475.1267680000001</v>
      </c>
      <c r="O77" s="64">
        <f t="shared" si="50"/>
        <v>1530.8544000000002</v>
      </c>
      <c r="P77" s="64">
        <f>SUM(P71:P76)</f>
        <v>22833.76314504</v>
      </c>
      <c r="Q77" s="64">
        <v>24008.449049324994</v>
      </c>
      <c r="R77" s="64">
        <f>P77-Q77</f>
        <v>-1174.6859042849937</v>
      </c>
      <c r="S77" s="12">
        <f>IF(ISERROR(R77/Q77),"",R77/Q77)</f>
        <v>-4.892802120918429E-2</v>
      </c>
      <c r="T77" s="10"/>
      <c r="U77" s="64">
        <v>30366.516423000001</v>
      </c>
      <c r="V77" s="64">
        <v>30026.833586000001</v>
      </c>
      <c r="W77" s="64">
        <v>29231.356309499995</v>
      </c>
      <c r="X77" s="64">
        <f>SUM(X71:X76)</f>
        <v>26448.381266</v>
      </c>
      <c r="Y77" s="14">
        <f t="shared" si="45"/>
        <v>-0.23955474427092993</v>
      </c>
      <c r="Z77" s="15">
        <f t="shared" si="49"/>
        <v>-7193.0704409600003</v>
      </c>
      <c r="AB77" s="64">
        <v>27905.168447999997</v>
      </c>
    </row>
    <row r="78" spans="1:28" s="54" customFormat="1" ht="15" customHeight="1">
      <c r="A78" s="2"/>
      <c r="B78" s="53"/>
      <c r="C78" s="55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2"/>
      <c r="Q78" s="2"/>
      <c r="R78" s="31" t="s">
        <v>1372</v>
      </c>
      <c r="S78" s="32"/>
      <c r="T78" s="71" t="s">
        <v>66</v>
      </c>
      <c r="U78" s="2"/>
      <c r="V78" s="2"/>
      <c r="W78" s="2"/>
      <c r="X78" s="2"/>
      <c r="AA78" s="2"/>
      <c r="AB78" s="2"/>
    </row>
    <row r="79" spans="1:28" s="54" customFormat="1" ht="15" customHeight="1">
      <c r="A79" s="2"/>
      <c r="B79" s="53"/>
      <c r="C79" s="55"/>
      <c r="D79" s="180" t="s">
        <v>68</v>
      </c>
      <c r="E79" s="180" t="s">
        <v>69</v>
      </c>
      <c r="F79" s="180" t="s">
        <v>70</v>
      </c>
      <c r="G79" s="180" t="s">
        <v>71</v>
      </c>
      <c r="H79" s="180" t="s">
        <v>72</v>
      </c>
      <c r="I79" s="180" t="s">
        <v>73</v>
      </c>
      <c r="J79" s="180" t="s">
        <v>74</v>
      </c>
      <c r="K79" s="180" t="s">
        <v>75</v>
      </c>
      <c r="L79" s="180" t="s">
        <v>76</v>
      </c>
      <c r="M79" s="180" t="s">
        <v>77</v>
      </c>
      <c r="N79" s="180" t="s">
        <v>78</v>
      </c>
      <c r="O79" s="180" t="s">
        <v>79</v>
      </c>
      <c r="P79" s="187" t="str">
        <f>P$4</f>
        <v>2026 MRF3</v>
      </c>
      <c r="Q79" s="229" t="s">
        <v>1309</v>
      </c>
      <c r="R79" s="5" t="str">
        <f t="shared" ref="R79:S79" si="51">R$4</f>
        <v>Difference</v>
      </c>
      <c r="S79" s="6" t="str">
        <f t="shared" si="51"/>
        <v>% change</v>
      </c>
      <c r="T79" s="72"/>
      <c r="U79" s="187" t="s">
        <v>1186</v>
      </c>
      <c r="V79" s="187" t="s">
        <v>82</v>
      </c>
      <c r="W79" s="229" t="s">
        <v>83</v>
      </c>
      <c r="X79" s="638" t="s">
        <v>84</v>
      </c>
      <c r="AA79" s="2"/>
      <c r="AB79" s="229" t="s">
        <v>85</v>
      </c>
    </row>
    <row r="80" spans="1:28" ht="15" customHeight="1">
      <c r="A80" s="2" t="s">
        <v>30</v>
      </c>
      <c r="B80" s="36" t="s">
        <v>118</v>
      </c>
      <c r="C80" s="36" t="s">
        <v>30</v>
      </c>
      <c r="D80" s="61">
        <f>SUMIFS('2026'!$M:$M,'2026'!$J:$J,$B80&amp;$C80,'2026'!$O:$O,D$4)</f>
        <v>120.967962176</v>
      </c>
      <c r="E80" s="61">
        <f>SUMIFS('2026'!$M:$M,'2026'!$J:$J,$B80&amp;$C80,'2026'!$O:$O,E$4)</f>
        <v>86.299631616000013</v>
      </c>
      <c r="F80" s="61">
        <f>SUMIFS('2026'!$M:$M,'2026'!$J:$J,$B80&amp;$C80,'2026'!$O:$O,F$4)</f>
        <v>70.689622080000007</v>
      </c>
      <c r="G80" s="61">
        <f>SUMIFS('2026'!$M:$M,'2026'!$J:$J,$B80&amp;$C80,'2026'!$O:$O,G$4)</f>
        <v>92.547141119999992</v>
      </c>
      <c r="H80" s="61">
        <f>SUMIFS('2026'!$M:$M,'2026'!$J:$J,$B80&amp;$C80,'2026'!$O:$O,H$4)</f>
        <v>75.614315519999991</v>
      </c>
      <c r="I80" s="61">
        <f>SUMIFS('2026'!$M:$M,'2026'!$J:$J,$B80&amp;$C80,'2026'!$O:$O,I$4)</f>
        <v>61.581734400000002</v>
      </c>
      <c r="J80" s="61">
        <f>SUMIFS('2026'!$M:$M,'2026'!$J:$J,$B80&amp;$C80,'2026'!$O:$O,J$4)</f>
        <v>67.746854400000004</v>
      </c>
      <c r="K80" s="61">
        <f>SUMIFS('2026'!$M:$M,'2026'!$J:$J,$B80&amp;$C80,'2026'!$O:$O,K$4)</f>
        <v>51.600522240000004</v>
      </c>
      <c r="L80" s="61">
        <f>SUMIFS('2026'!$M:$M,'2026'!$J:$J,$B80&amp;$C80,'2026'!$O:$O,L$4)</f>
        <v>24.407040000000002</v>
      </c>
      <c r="M80" s="61">
        <f>SUMIFS('2026'!$M:$M,'2026'!$J:$J,$B80&amp;$C80,'2026'!$O:$O,M$4)</f>
        <v>43.712294400000005</v>
      </c>
      <c r="N80" s="61">
        <f>SUMIFS('2026'!$M:$M,'2026'!$J:$J,$B80&amp;$C80,'2026'!$O:$O,N$4)</f>
        <v>44.105541120000005</v>
      </c>
      <c r="O80" s="61">
        <f>SUMIFS('2026'!$M:$M,'2026'!$J:$J,$B80&amp;$C80,'2026'!$O:$O,O$4)</f>
        <v>31.902021120000004</v>
      </c>
      <c r="P80" s="61">
        <f t="shared" ref="P80" si="52">SUM(D80:O80)</f>
        <v>771.1746801920001</v>
      </c>
      <c r="Q80" s="7">
        <v>730.62335084799986</v>
      </c>
      <c r="R80" s="8">
        <f t="shared" ref="R80" si="53">P80-Q80</f>
        <v>40.551329344000237</v>
      </c>
      <c r="S80" s="9">
        <f t="shared" ref="S80" si="54">IF(ISERROR(R80/Q80),"",R80/Q80)</f>
        <v>5.5502372456251545E-2</v>
      </c>
      <c r="T80" s="77"/>
      <c r="U80" s="61">
        <v>793.48547430400004</v>
      </c>
      <c r="V80" s="61">
        <v>827.8283285120001</v>
      </c>
      <c r="W80" s="7">
        <v>878.69085651200021</v>
      </c>
      <c r="X80" s="626">
        <v>724.06356950400004</v>
      </c>
      <c r="Y80" s="14">
        <f t="shared" ref="Y80:Y90" si="55">P80/V80-1</f>
        <v>-6.8436469698776148E-2</v>
      </c>
      <c r="Z80" s="15">
        <f t="shared" ref="Z80:Z90" si="56">P80-V80</f>
        <v>-56.653648320000002</v>
      </c>
      <c r="AA80" s="2" t="s">
        <v>10</v>
      </c>
      <c r="AB80" s="7">
        <v>688.1392800000001</v>
      </c>
    </row>
    <row r="81" spans="1:28" ht="15" customHeight="1">
      <c r="A81" s="2" t="s">
        <v>33</v>
      </c>
      <c r="B81" s="36">
        <v>6757</v>
      </c>
      <c r="C81" s="36" t="s">
        <v>33</v>
      </c>
      <c r="D81" s="61">
        <f>SUMIFS('2026'!$M:$M,'2026'!$J:$J,$B81&amp;$C81,'2026'!$O:$O,D$4)</f>
        <v>191.66399999999999</v>
      </c>
      <c r="E81" s="61">
        <f>SUMIFS('2026'!$M:$M,'2026'!$J:$J,$B81&amp;$C81,'2026'!$O:$O,E$4)</f>
        <v>301.64400000000001</v>
      </c>
      <c r="F81" s="61">
        <f>SUMIFS('2026'!$M:$M,'2026'!$J:$J,$B81&amp;$C81,'2026'!$O:$O,F$4)</f>
        <v>298.93031999999999</v>
      </c>
      <c r="G81" s="61">
        <f>SUMIFS('2026'!$M:$M,'2026'!$J:$J,$B81&amp;$C81,'2026'!$O:$O,G$4)</f>
        <v>279.08352000000002</v>
      </c>
      <c r="H81" s="61">
        <f>SUMIFS('2026'!$M:$M,'2026'!$J:$J,$B81&amp;$C81,'2026'!$O:$O,H$4)</f>
        <v>279.08352000000002</v>
      </c>
      <c r="I81" s="61">
        <f>SUMIFS('2026'!$M:$M,'2026'!$J:$J,$B81&amp;$C81,'2026'!$O:$O,I$4)</f>
        <v>334.89792</v>
      </c>
      <c r="J81" s="61">
        <f>SUMIFS('2026'!$M:$M,'2026'!$J:$J,$B81&amp;$C81,'2026'!$O:$O,J$4)</f>
        <v>279.08352000000002</v>
      </c>
      <c r="K81" s="61">
        <f>SUMIFS('2026'!$M:$M,'2026'!$J:$J,$B81&amp;$C81,'2026'!$O:$O,K$4)</f>
        <v>348.85440000000006</v>
      </c>
      <c r="L81" s="61">
        <f>SUMIFS('2026'!$M:$M,'2026'!$J:$J,$B81&amp;$C81,'2026'!$O:$O,L$4)</f>
        <v>279.08352000000002</v>
      </c>
      <c r="M81" s="61">
        <f>SUMIFS('2026'!$M:$M,'2026'!$J:$J,$B81&amp;$C81,'2026'!$O:$O,M$4)</f>
        <v>139.54176000000001</v>
      </c>
      <c r="N81" s="61">
        <f>SUMIFS('2026'!$M:$M,'2026'!$J:$J,$B81&amp;$C81,'2026'!$O:$O,N$4)</f>
        <v>0</v>
      </c>
      <c r="O81" s="61">
        <f>SUMIFS('2026'!$M:$M,'2026'!$J:$J,$B81&amp;$C81,'2026'!$O:$O,O$4)</f>
        <v>17.579212800000001</v>
      </c>
      <c r="P81" s="61">
        <f t="shared" ref="P81:P90" si="57">SUM(D81:O81)</f>
        <v>2749.4456928000004</v>
      </c>
      <c r="Q81" s="7">
        <v>2722.6977600000009</v>
      </c>
      <c r="R81" s="8">
        <f t="shared" ref="R81:R82" si="58">P81-Q81</f>
        <v>26.747932799999489</v>
      </c>
      <c r="S81" s="9">
        <f t="shared" ref="S81:S82" si="59">IF(ISERROR(R81/Q81),"",R81/Q81)</f>
        <v>9.8240550945322257E-3</v>
      </c>
      <c r="T81" s="77"/>
      <c r="U81" s="61">
        <v>2158.982152</v>
      </c>
      <c r="V81" s="61">
        <v>3141.7139999999999</v>
      </c>
      <c r="W81" s="7">
        <v>3228.8843999999999</v>
      </c>
      <c r="X81" s="7">
        <v>0</v>
      </c>
      <c r="Y81" s="14">
        <f t="shared" si="55"/>
        <v>-0.12485805748072532</v>
      </c>
      <c r="Z81" s="15">
        <f t="shared" si="56"/>
        <v>-392.26830719999953</v>
      </c>
      <c r="AA81" s="2" t="s">
        <v>10</v>
      </c>
      <c r="AB81" s="7">
        <v>2610.5471999999995</v>
      </c>
    </row>
    <row r="82" spans="1:28" ht="15" customHeight="1">
      <c r="A82" s="2" t="s">
        <v>43</v>
      </c>
      <c r="B82" s="36">
        <v>6757</v>
      </c>
      <c r="C82" s="36" t="s">
        <v>43</v>
      </c>
      <c r="D82" s="61">
        <f>SUMIFS('2026'!$M:$M,'2026'!$J:$J,$B82&amp;$C82,'2026'!$O:$O,D$4)</f>
        <v>0</v>
      </c>
      <c r="E82" s="61">
        <f>SUMIFS('2026'!$M:$M,'2026'!$J:$J,$B82&amp;$C82,'2026'!$O:$O,E$4)</f>
        <v>84.07698400000001</v>
      </c>
      <c r="F82" s="61">
        <f>SUMIFS('2026'!$M:$M,'2026'!$J:$J,$B82&amp;$C82,'2026'!$O:$O,F$4)</f>
        <v>85.418016000000009</v>
      </c>
      <c r="G82" s="61">
        <f>SUMIFS('2026'!$M:$M,'2026'!$J:$J,$B82&amp;$C82,'2026'!$O:$O,G$4)</f>
        <v>0</v>
      </c>
      <c r="H82" s="61">
        <f>SUMIFS('2026'!$M:$M,'2026'!$J:$J,$B82&amp;$C82,'2026'!$O:$O,H$4)</f>
        <v>29.378304000000004</v>
      </c>
      <c r="I82" s="61">
        <f>SUMIFS('2026'!$M:$M,'2026'!$J:$J,$B82&amp;$C82,'2026'!$O:$O,I$4)</f>
        <v>0</v>
      </c>
      <c r="J82" s="61">
        <f>SUMIFS('2026'!$M:$M,'2026'!$J:$J,$B82&amp;$C82,'2026'!$O:$O,J$4)</f>
        <v>0</v>
      </c>
      <c r="K82" s="61">
        <f>SUMIFS('2026'!$M:$M,'2026'!$J:$J,$B82&amp;$C82,'2026'!$O:$O,K$4)</f>
        <v>0</v>
      </c>
      <c r="L82" s="61">
        <f>SUMIFS('2026'!$M:$M,'2026'!$J:$J,$B82&amp;$C82,'2026'!$O:$O,L$4)</f>
        <v>0</v>
      </c>
      <c r="M82" s="61">
        <f>SUMIFS('2026'!$M:$M,'2026'!$J:$J,$B82&amp;$C82,'2026'!$O:$O,M$4)</f>
        <v>17.579212800000001</v>
      </c>
      <c r="N82" s="61">
        <f>SUMIFS('2026'!$M:$M,'2026'!$J:$J,$B82&amp;$C82,'2026'!$O:$O,N$4)</f>
        <v>0</v>
      </c>
      <c r="O82" s="61">
        <f>SUMIFS('2026'!$M:$M,'2026'!$J:$J,$B82&amp;$C82,'2026'!$O:$O,O$4)</f>
        <v>0</v>
      </c>
      <c r="P82" s="61">
        <f t="shared" si="57"/>
        <v>216.45251680000001</v>
      </c>
      <c r="Q82" s="7">
        <v>196.04653791999999</v>
      </c>
      <c r="R82" s="8">
        <f t="shared" si="58"/>
        <v>20.405978880000021</v>
      </c>
      <c r="S82" s="9">
        <f t="shared" si="59"/>
        <v>0.10408742279512742</v>
      </c>
      <c r="T82" s="77"/>
      <c r="U82" s="61">
        <v>421.19541600000008</v>
      </c>
      <c r="V82" s="61">
        <v>353.50788000000006</v>
      </c>
      <c r="W82" s="7">
        <v>1678.7443520000002</v>
      </c>
      <c r="X82" s="7">
        <v>0</v>
      </c>
      <c r="Y82" s="14">
        <f t="shared" si="55"/>
        <v>-0.38770101305803994</v>
      </c>
      <c r="Z82" s="15">
        <f t="shared" si="56"/>
        <v>-137.05536320000004</v>
      </c>
      <c r="AA82" s="2" t="s">
        <v>10</v>
      </c>
      <c r="AB82" s="7">
        <v>3766.4255999999996</v>
      </c>
    </row>
    <row r="83" spans="1:28" ht="15" customHeight="1">
      <c r="A83" s="2" t="s">
        <v>38</v>
      </c>
      <c r="B83" s="36">
        <v>6757</v>
      </c>
      <c r="C83" s="36" t="s">
        <v>113</v>
      </c>
      <c r="D83" s="61">
        <f>SUMIFS('2026'!$M:$M,'2026'!$J:$J,$B83&amp;$C83,'2026'!$O:$O,D$4)</f>
        <v>0</v>
      </c>
      <c r="E83" s="61">
        <f>SUMIFS('2026'!$M:$M,'2026'!$J:$J,$B83&amp;$C83,'2026'!$O:$O,E$4)</f>
        <v>0</v>
      </c>
      <c r="F83" s="61">
        <f>SUMIFS('2026'!$M:$M,'2026'!$J:$J,$B83&amp;$C83,'2026'!$O:$O,F$4)</f>
        <v>0</v>
      </c>
      <c r="G83" s="61">
        <f>SUMIFS('2026'!$M:$M,'2026'!$J:$J,$B83&amp;$C83,'2026'!$O:$O,G$4)</f>
        <v>0</v>
      </c>
      <c r="H83" s="61">
        <f>SUMIFS('2026'!$M:$M,'2026'!$J:$J,$B83&amp;$C83,'2026'!$O:$O,H$4)</f>
        <v>0</v>
      </c>
      <c r="I83" s="61">
        <f>SUMIFS('2026'!$M:$M,'2026'!$J:$J,$B83&amp;$C83,'2026'!$O:$O,I$4)</f>
        <v>0</v>
      </c>
      <c r="J83" s="61">
        <f>SUMIFS('2026'!$M:$M,'2026'!$J:$J,$B83&amp;$C83,'2026'!$O:$O,J$4)</f>
        <v>0</v>
      </c>
      <c r="K83" s="61">
        <f>SUMIFS('2026'!$M:$M,'2026'!$J:$J,$B83&amp;$C83,'2026'!$O:$O,K$4)</f>
        <v>0</v>
      </c>
      <c r="L83" s="61">
        <f>SUMIFS('2026'!$M:$M,'2026'!$J:$J,$B83&amp;$C83,'2026'!$O:$O,L$4)</f>
        <v>0</v>
      </c>
      <c r="M83" s="61">
        <f>SUMIFS('2026'!$M:$M,'2026'!$J:$J,$B83&amp;$C83,'2026'!$O:$O,M$4)</f>
        <v>0</v>
      </c>
      <c r="N83" s="61">
        <f>SUMIFS('2026'!$M:$M,'2026'!$J:$J,$B83&amp;$C83,'2026'!$O:$O,N$4)</f>
        <v>0</v>
      </c>
      <c r="O83" s="61">
        <f>SUMIFS('2026'!$M:$M,'2026'!$J:$J,$B83&amp;$C83,'2026'!$O:$O,O$4)</f>
        <v>0</v>
      </c>
      <c r="P83" s="61">
        <f t="shared" si="57"/>
        <v>0</v>
      </c>
      <c r="Q83" s="7">
        <v>0</v>
      </c>
      <c r="R83" s="8"/>
      <c r="S83" s="9"/>
      <c r="T83" s="77"/>
      <c r="U83" s="61">
        <v>0</v>
      </c>
      <c r="V83" s="61">
        <v>0</v>
      </c>
      <c r="W83" s="7">
        <v>299.79408000000001</v>
      </c>
      <c r="X83" s="7"/>
      <c r="Y83" s="14" t="e">
        <f t="shared" si="55"/>
        <v>#DIV/0!</v>
      </c>
      <c r="Z83" s="15">
        <f t="shared" si="56"/>
        <v>0</v>
      </c>
      <c r="AA83" s="2" t="s">
        <v>10</v>
      </c>
      <c r="AB83" s="7">
        <v>105.57294275999971</v>
      </c>
    </row>
    <row r="84" spans="1:28" ht="15" customHeight="1">
      <c r="A84" s="2" t="s">
        <v>38</v>
      </c>
      <c r="B84" s="36">
        <v>1717</v>
      </c>
      <c r="C84" s="36" t="s">
        <v>38</v>
      </c>
      <c r="D84" s="61">
        <f>SUMIFS('2026'!$M:$M,'2026'!$J:$J,$B84&amp;$C84,'2026'!$O:$O,D$4)</f>
        <v>196.11169199999998</v>
      </c>
      <c r="E84" s="61">
        <f>SUMIFS('2026'!$M:$M,'2026'!$J:$J,$B84&amp;$C84,'2026'!$O:$O,E$4)</f>
        <v>107.74060799999998</v>
      </c>
      <c r="F84" s="61">
        <f>SUMIFS('2026'!$M:$M,'2026'!$J:$J,$B84&amp;$C84,'2026'!$O:$O,F$4)</f>
        <v>263.80317887999996</v>
      </c>
      <c r="G84" s="61">
        <f>SUMIFS('2026'!$M:$M,'2026'!$J:$J,$B84&amp;$C84,'2026'!$O:$O,G$4)</f>
        <v>196.37314559999999</v>
      </c>
      <c r="H84" s="61">
        <f>SUMIFS('2026'!$M:$M,'2026'!$J:$J,$B84&amp;$C84,'2026'!$O:$O,H$4)</f>
        <v>154.45048320000001</v>
      </c>
      <c r="I84" s="61">
        <f>SUMIFS('2026'!$M:$M,'2026'!$J:$J,$B84&amp;$C84,'2026'!$O:$O,I$4)</f>
        <v>145.38898943999999</v>
      </c>
      <c r="J84" s="61">
        <f>SUMIFS('2026'!$M:$M,'2026'!$J:$J,$B84&amp;$C84,'2026'!$O:$O,J$4)</f>
        <v>183.5136</v>
      </c>
      <c r="K84" s="61">
        <f>SUMIFS('2026'!$M:$M,'2026'!$J:$J,$B84&amp;$C84,'2026'!$O:$O,K$4)</f>
        <v>122.3424</v>
      </c>
      <c r="L84" s="61">
        <f>SUMIFS('2026'!$M:$M,'2026'!$J:$J,$B84&amp;$C84,'2026'!$O:$O,L$4)</f>
        <v>122.3424</v>
      </c>
      <c r="M84" s="61">
        <f>SUMIFS('2026'!$M:$M,'2026'!$J:$J,$B84&amp;$C84,'2026'!$O:$O,M$4)</f>
        <v>142.7328</v>
      </c>
      <c r="N84" s="61">
        <f>SUMIFS('2026'!$M:$M,'2026'!$J:$J,$B84&amp;$C84,'2026'!$O:$O,N$4)</f>
        <v>101.952</v>
      </c>
      <c r="O84" s="61">
        <f>SUMIFS('2026'!$M:$M,'2026'!$J:$J,$B84&amp;$C84,'2026'!$O:$O,O$4)</f>
        <v>81.561599999999999</v>
      </c>
      <c r="P84" s="61">
        <f t="shared" si="57"/>
        <v>1818.3128971199999</v>
      </c>
      <c r="Q84" s="7">
        <v>1806.6682795199999</v>
      </c>
      <c r="R84" s="8">
        <f t="shared" ref="R84" si="60">P84-Q84</f>
        <v>11.644617599999947</v>
      </c>
      <c r="S84" s="9">
        <f t="shared" ref="S84" si="61">IF(ISERROR(R84/Q84),"",R84/Q84)</f>
        <v>6.4453545412850874E-3</v>
      </c>
      <c r="T84" s="77"/>
      <c r="U84" s="61">
        <v>0</v>
      </c>
      <c r="V84" s="61">
        <v>0</v>
      </c>
      <c r="W84" s="7">
        <v>0</v>
      </c>
      <c r="X84" s="7"/>
      <c r="Y84" s="14" t="e">
        <f t="shared" si="55"/>
        <v>#DIV/0!</v>
      </c>
      <c r="Z84" s="15">
        <f t="shared" si="56"/>
        <v>1818.3128971199999</v>
      </c>
      <c r="AA84" s="2" t="s">
        <v>10</v>
      </c>
      <c r="AB84" s="7">
        <v>1359.36</v>
      </c>
    </row>
    <row r="85" spans="1:28" ht="15" customHeight="1">
      <c r="A85" s="2" t="s">
        <v>45</v>
      </c>
      <c r="B85" s="36">
        <v>1716</v>
      </c>
      <c r="C85" s="36" t="s">
        <v>45</v>
      </c>
      <c r="D85" s="61">
        <f>SUMIFS('2026'!$M:$M,'2026'!$J:$J,$B85&amp;$C85,'2026'!$O:$O,D$4)</f>
        <v>694.46347199999991</v>
      </c>
      <c r="E85" s="61">
        <f>SUMIFS('2026'!$M:$M,'2026'!$J:$J,$B85&amp;$C85,'2026'!$O:$O,E$4)</f>
        <v>685.98475199999996</v>
      </c>
      <c r="F85" s="61">
        <f>SUMIFS('2026'!$M:$M,'2026'!$J:$J,$B85&amp;$C85,'2026'!$O:$O,F$4)</f>
        <v>1036.3281119999999</v>
      </c>
      <c r="G85" s="61">
        <f>SUMIFS('2026'!$M:$M,'2026'!$J:$J,$B85&amp;$C85,'2026'!$O:$O,G$4)</f>
        <v>749.17439999999999</v>
      </c>
      <c r="H85" s="61">
        <f>SUMIFS('2026'!$M:$M,'2026'!$J:$J,$B85&amp;$C85,'2026'!$O:$O,H$4)</f>
        <v>416.51711999999998</v>
      </c>
      <c r="I85" s="61">
        <f>SUMIFS('2026'!$M:$M,'2026'!$J:$J,$B85&amp;$C85,'2026'!$O:$O,I$4)</f>
        <v>257.54111999999998</v>
      </c>
      <c r="J85" s="61">
        <f>SUMIFS('2026'!$M:$M,'2026'!$J:$J,$B85&amp;$C85,'2026'!$O:$O,J$4)</f>
        <v>515.08223999999996</v>
      </c>
      <c r="K85" s="61">
        <f>SUMIFS('2026'!$M:$M,'2026'!$J:$J,$B85&amp;$C85,'2026'!$O:$O,K$4)</f>
        <v>257.54111999999998</v>
      </c>
      <c r="L85" s="61">
        <f>SUMIFS('2026'!$M:$M,'2026'!$J:$J,$B85&amp;$C85,'2026'!$O:$O,L$4)</f>
        <v>416.51711999999998</v>
      </c>
      <c r="M85" s="61">
        <f>SUMIFS('2026'!$M:$M,'2026'!$J:$J,$B85&amp;$C85,'2026'!$O:$O,M$4)</f>
        <v>257.54111999999998</v>
      </c>
      <c r="N85" s="61">
        <f>SUMIFS('2026'!$M:$M,'2026'!$J:$J,$B85&amp;$C85,'2026'!$O:$O,N$4)</f>
        <v>435.59424000000001</v>
      </c>
      <c r="O85" s="61">
        <f>SUMIFS('2026'!$M:$M,'2026'!$J:$J,$B85&amp;$C85,'2026'!$O:$O,O$4)</f>
        <v>168.51455999999999</v>
      </c>
      <c r="P85" s="61">
        <f t="shared" si="57"/>
        <v>5890.799375999999</v>
      </c>
      <c r="Q85" s="7">
        <v>5563.7266579200004</v>
      </c>
      <c r="R85" s="8">
        <f t="shared" ref="R85:R90" si="62">P85-Q85</f>
        <v>327.07271807999859</v>
      </c>
      <c r="S85" s="9">
        <f t="shared" ref="S85:S90" si="63">IF(ISERROR(R85/Q85),"",R85/Q85)</f>
        <v>5.8786625977465749E-2</v>
      </c>
      <c r="T85" s="77"/>
      <c r="U85" s="61">
        <v>599.25340800000004</v>
      </c>
      <c r="V85" s="61">
        <v>789.63048000000003</v>
      </c>
      <c r="W85" s="7">
        <v>1052.2223999999999</v>
      </c>
      <c r="X85" s="7"/>
      <c r="Y85" s="14">
        <f t="shared" si="55"/>
        <v>6.4601975546840578</v>
      </c>
      <c r="Z85" s="15">
        <f t="shared" si="56"/>
        <v>5101.1688959999992</v>
      </c>
      <c r="AA85" s="2" t="s">
        <v>10</v>
      </c>
      <c r="AB85" s="7">
        <v>0</v>
      </c>
    </row>
    <row r="86" spans="1:28" ht="15" customHeight="1">
      <c r="A86" s="2" t="s">
        <v>40</v>
      </c>
      <c r="B86" s="36">
        <v>1716</v>
      </c>
      <c r="C86" s="36" t="s">
        <v>100</v>
      </c>
      <c r="D86" s="61">
        <f>SUMIFS('2026'!$M:$M,'2026'!$J:$J,$B86&amp;$C86,'2026'!$O:$O,D$4)</f>
        <v>0</v>
      </c>
      <c r="E86" s="61">
        <f>SUMIFS('2026'!$M:$M,'2026'!$J:$J,$B86&amp;$C86,'2026'!$O:$O,E$4)</f>
        <v>0</v>
      </c>
      <c r="F86" s="61">
        <f>SUMIFS('2026'!$M:$M,'2026'!$J:$J,$B86&amp;$C86,'2026'!$O:$O,F$4)</f>
        <v>0</v>
      </c>
      <c r="G86" s="61">
        <f>SUMIFS('2026'!$M:$M,'2026'!$J:$J,$B86&amp;$C86,'2026'!$O:$O,G$4)</f>
        <v>0</v>
      </c>
      <c r="H86" s="61">
        <f>SUMIFS('2026'!$M:$M,'2026'!$J:$J,$B86&amp;$C86,'2026'!$O:$O,H$4)</f>
        <v>0</v>
      </c>
      <c r="I86" s="61">
        <f>SUMIFS('2026'!$M:$M,'2026'!$J:$J,$B86&amp;$C86,'2026'!$O:$O,I$4)</f>
        <v>0</v>
      </c>
      <c r="J86" s="61">
        <f>SUMIFS('2026'!$M:$M,'2026'!$J:$J,$B86&amp;$C86,'2026'!$O:$O,J$4)</f>
        <v>0</v>
      </c>
      <c r="K86" s="61">
        <f>SUMIFS('2026'!$M:$M,'2026'!$J:$J,$B86&amp;$C86,'2026'!$O:$O,K$4)</f>
        <v>0</v>
      </c>
      <c r="L86" s="61">
        <f>SUMIFS('2026'!$M:$M,'2026'!$J:$J,$B86&amp;$C86,'2026'!$O:$O,L$4)</f>
        <v>0</v>
      </c>
      <c r="M86" s="61">
        <f>SUMIFS('2026'!$M:$M,'2026'!$J:$J,$B86&amp;$C86,'2026'!$O:$O,M$4)</f>
        <v>0</v>
      </c>
      <c r="N86" s="61">
        <f>SUMIFS('2026'!$M:$M,'2026'!$J:$J,$B86&amp;$C86,'2026'!$O:$O,N$4)</f>
        <v>0</v>
      </c>
      <c r="O86" s="61">
        <f>SUMIFS('2026'!$M:$M,'2026'!$J:$J,$B86&amp;$C86,'2026'!$O:$O,O$4)</f>
        <v>340.55999999999995</v>
      </c>
      <c r="P86" s="61">
        <f t="shared" si="57"/>
        <v>340.55999999999995</v>
      </c>
      <c r="Q86" s="7">
        <v>0</v>
      </c>
      <c r="R86" s="8">
        <f t="shared" si="62"/>
        <v>340.55999999999995</v>
      </c>
      <c r="S86" s="9" t="str">
        <f t="shared" si="63"/>
        <v/>
      </c>
      <c r="T86" s="77"/>
      <c r="U86" s="61">
        <v>0</v>
      </c>
      <c r="V86" s="61">
        <v>0</v>
      </c>
      <c r="W86" s="7">
        <v>0</v>
      </c>
      <c r="X86" s="7">
        <v>0</v>
      </c>
      <c r="Y86" s="14" t="e">
        <f t="shared" si="55"/>
        <v>#DIV/0!</v>
      </c>
      <c r="Z86" s="15">
        <f t="shared" si="56"/>
        <v>340.55999999999995</v>
      </c>
      <c r="AA86" s="2" t="s">
        <v>10</v>
      </c>
      <c r="AB86" s="7">
        <v>0</v>
      </c>
    </row>
    <row r="87" spans="1:28" ht="15" customHeight="1">
      <c r="A87" s="2" t="s">
        <v>120</v>
      </c>
      <c r="B87" s="36">
        <v>1716</v>
      </c>
      <c r="C87" s="36" t="s">
        <v>29</v>
      </c>
      <c r="D87" s="61">
        <f>SUMIFS('2026'!$M:$M,'2026'!$J:$J,$B87&amp;$C87,'2026'!$O:$O,D$4)</f>
        <v>0</v>
      </c>
      <c r="E87" s="61">
        <f>SUMIFS('2026'!$M:$M,'2026'!$J:$J,$B87&amp;$C87,'2026'!$O:$O,E$4)</f>
        <v>0</v>
      </c>
      <c r="F87" s="61">
        <f>SUMIFS('2026'!$M:$M,'2026'!$J:$J,$B87&amp;$C87,'2026'!$O:$O,F$4)</f>
        <v>0</v>
      </c>
      <c r="G87" s="61">
        <f>SUMIFS('2026'!$M:$M,'2026'!$J:$J,$B87&amp;$C87,'2026'!$O:$O,G$4)</f>
        <v>0</v>
      </c>
      <c r="H87" s="61">
        <f>SUMIFS('2026'!$M:$M,'2026'!$J:$J,$B87&amp;$C87,'2026'!$O:$O,H$4)</f>
        <v>0</v>
      </c>
      <c r="I87" s="61">
        <f>SUMIFS('2026'!$M:$M,'2026'!$J:$J,$B87&amp;$C87,'2026'!$O:$O,I$4)</f>
        <v>0</v>
      </c>
      <c r="J87" s="61">
        <f>SUMIFS('2026'!$M:$M,'2026'!$J:$J,$B87&amp;$C87,'2026'!$O:$O,J$4)</f>
        <v>0</v>
      </c>
      <c r="K87" s="61">
        <f>SUMIFS('2026'!$M:$M,'2026'!$J:$J,$B87&amp;$C87,'2026'!$O:$O,K$4)</f>
        <v>0</v>
      </c>
      <c r="L87" s="61">
        <f>SUMIFS('2026'!$M:$M,'2026'!$J:$J,$B87&amp;$C87,'2026'!$O:$O,L$4)</f>
        <v>0</v>
      </c>
      <c r="M87" s="61">
        <f>SUMIFS('2026'!$M:$M,'2026'!$J:$J,$B87&amp;$C87,'2026'!$O:$O,M$4)</f>
        <v>0</v>
      </c>
      <c r="N87" s="61">
        <f>SUMIFS('2026'!$M:$M,'2026'!$J:$J,$B87&amp;$C87,'2026'!$O:$O,N$4)</f>
        <v>0</v>
      </c>
      <c r="O87" s="61">
        <f>SUMIFS('2026'!$M:$M,'2026'!$J:$J,$B87&amp;$C87,'2026'!$O:$O,O$4)</f>
        <v>0</v>
      </c>
      <c r="P87" s="61">
        <f t="shared" si="57"/>
        <v>0</v>
      </c>
      <c r="Q87" s="7">
        <v>0</v>
      </c>
      <c r="R87" s="8">
        <f t="shared" si="62"/>
        <v>0</v>
      </c>
      <c r="S87" s="9" t="str">
        <f t="shared" si="63"/>
        <v/>
      </c>
      <c r="T87" s="77"/>
      <c r="U87" s="61">
        <v>2054.5863973759997</v>
      </c>
      <c r="V87" s="61">
        <v>2298.3197854719997</v>
      </c>
      <c r="W87" s="7">
        <v>2298.3197854719997</v>
      </c>
      <c r="X87" s="7">
        <v>0</v>
      </c>
      <c r="Y87" s="14">
        <f t="shared" si="55"/>
        <v>-1</v>
      </c>
      <c r="Z87" s="15">
        <f t="shared" si="56"/>
        <v>-2298.3197854719997</v>
      </c>
      <c r="AA87" s="2" t="s">
        <v>10</v>
      </c>
      <c r="AB87" s="7">
        <v>0</v>
      </c>
    </row>
    <row r="88" spans="1:28" ht="15" customHeight="1">
      <c r="A88" s="2" t="s">
        <v>27</v>
      </c>
      <c r="B88" s="36">
        <v>1716</v>
      </c>
      <c r="C88" s="36" t="s">
        <v>27</v>
      </c>
      <c r="D88" s="61">
        <f>SUMIFS('2026'!$M:$M,'2026'!$J:$J,$B88&amp;$C88,'2026'!$O:$O,D$4)</f>
        <v>216.1728</v>
      </c>
      <c r="E88" s="61">
        <f>SUMIFS('2026'!$M:$M,'2026'!$J:$J,$B88&amp;$C88,'2026'!$O:$O,E$4)</f>
        <v>520.60799999999995</v>
      </c>
      <c r="F88" s="61">
        <f>SUMIFS('2026'!$M:$M,'2026'!$J:$J,$B88&amp;$C88,'2026'!$O:$O,F$4)</f>
        <v>684.76175999999987</v>
      </c>
      <c r="G88" s="61">
        <f>SUMIFS('2026'!$M:$M,'2026'!$J:$J,$B88&amp;$C88,'2026'!$O:$O,G$4)</f>
        <v>770.69030399999997</v>
      </c>
      <c r="H88" s="61">
        <f>SUMIFS('2026'!$M:$M,'2026'!$J:$J,$B88&amp;$C88,'2026'!$O:$O,H$4)</f>
        <v>1128.0706559999999</v>
      </c>
      <c r="I88" s="61">
        <f>SUMIFS('2026'!$M:$M,'2026'!$J:$J,$B88&amp;$C88,'2026'!$O:$O,I$4)</f>
        <v>774.14400000000001</v>
      </c>
      <c r="J88" s="61">
        <f>SUMIFS('2026'!$M:$M,'2026'!$J:$J,$B88&amp;$C88,'2026'!$O:$O,J$4)</f>
        <v>258.048</v>
      </c>
      <c r="K88" s="61">
        <f>SUMIFS('2026'!$M:$M,'2026'!$J:$J,$B88&amp;$C88,'2026'!$O:$O,K$4)</f>
        <v>516.096</v>
      </c>
      <c r="L88" s="61">
        <f>SUMIFS('2026'!$M:$M,'2026'!$J:$J,$B88&amp;$C88,'2026'!$O:$O,L$4)</f>
        <v>967.68000000000006</v>
      </c>
      <c r="M88" s="61">
        <f>SUMIFS('2026'!$M:$M,'2026'!$J:$J,$B88&amp;$C88,'2026'!$O:$O,M$4)</f>
        <v>322.56</v>
      </c>
      <c r="N88" s="61">
        <f>SUMIFS('2026'!$M:$M,'2026'!$J:$J,$B88&amp;$C88,'2026'!$O:$O,N$4)</f>
        <v>387.072</v>
      </c>
      <c r="O88" s="61">
        <f>SUMIFS('2026'!$M:$M,'2026'!$J:$J,$B88&amp;$C88,'2026'!$O:$O,O$4)</f>
        <v>193.536</v>
      </c>
      <c r="P88" s="61">
        <f t="shared" si="57"/>
        <v>6739.4395200000008</v>
      </c>
      <c r="Q88" s="7">
        <v>5967.1823039999999</v>
      </c>
      <c r="R88" s="8">
        <f t="shared" si="62"/>
        <v>772.25721600000088</v>
      </c>
      <c r="S88" s="9">
        <f t="shared" si="63"/>
        <v>0.12941739947886816</v>
      </c>
      <c r="T88" s="77"/>
      <c r="U88" s="61">
        <v>555.93119999999999</v>
      </c>
      <c r="V88" s="61">
        <v>911.99999999999989</v>
      </c>
      <c r="W88" s="7">
        <v>1125.5999999999997</v>
      </c>
      <c r="X88" s="7"/>
      <c r="Y88" s="14">
        <f t="shared" si="55"/>
        <v>6.3897363157894755</v>
      </c>
      <c r="Z88" s="15">
        <f t="shared" si="56"/>
        <v>5827.4395200000008</v>
      </c>
      <c r="AA88" s="2" t="s">
        <v>10</v>
      </c>
      <c r="AB88" s="7">
        <v>772.95779999999991</v>
      </c>
    </row>
    <row r="89" spans="1:28" ht="15" customHeight="1">
      <c r="A89" s="2" t="s">
        <v>33</v>
      </c>
      <c r="B89" s="36" t="s">
        <v>201</v>
      </c>
      <c r="C89" s="36" t="s">
        <v>33</v>
      </c>
      <c r="D89" s="61">
        <f>SUMIFS('2026'!$M:$M,'2026'!$J:$J,$B89&amp;$C89,'2026'!$O:$O,D$4)</f>
        <v>0</v>
      </c>
      <c r="E89" s="61">
        <f>SUMIFS('2026'!$M:$M,'2026'!$J:$J,$B89&amp;$C89,'2026'!$O:$O,E$4)</f>
        <v>0</v>
      </c>
      <c r="F89" s="61">
        <f>SUMIFS('2026'!$M:$M,'2026'!$J:$J,$B89&amp;$C89,'2026'!$O:$O,F$4)</f>
        <v>0</v>
      </c>
      <c r="G89" s="61">
        <f>SUMIFS('2026'!$M:$M,'2026'!$J:$J,$B89&amp;$C89,'2026'!$O:$O,G$4)</f>
        <v>222.222222222222</v>
      </c>
      <c r="H89" s="61">
        <f>SUMIFS('2026'!$M:$M,'2026'!$J:$J,$B89&amp;$C89,'2026'!$O:$O,H$4)</f>
        <v>420</v>
      </c>
      <c r="I89" s="61">
        <f>SUMIFS('2026'!$M:$M,'2026'!$J:$J,$B89&amp;$C89,'2026'!$O:$O,I$4)</f>
        <v>372.222222222222</v>
      </c>
      <c r="J89" s="61">
        <f>SUMIFS('2026'!$M:$M,'2026'!$J:$J,$B89&amp;$C89,'2026'!$O:$O,J$4)</f>
        <v>372.20722222222201</v>
      </c>
      <c r="K89" s="61">
        <f>SUMIFS('2026'!$M:$M,'2026'!$J:$J,$B89&amp;$C89,'2026'!$O:$O,K$4)</f>
        <v>372.20722222222201</v>
      </c>
      <c r="L89" s="61">
        <f>SUMIFS('2026'!$M:$M,'2026'!$J:$J,$B89&amp;$C89,'2026'!$O:$O,L$4)</f>
        <v>372.222222222222</v>
      </c>
      <c r="M89" s="61">
        <f>SUMIFS('2026'!$M:$M,'2026'!$J:$J,$B89&amp;$C89,'2026'!$O:$O,M$4)</f>
        <v>297.222222222222</v>
      </c>
      <c r="N89" s="61">
        <f>SUMIFS('2026'!$M:$M,'2026'!$J:$J,$B89&amp;$C89,'2026'!$O:$O,N$4)</f>
        <v>272.2222222222224</v>
      </c>
      <c r="O89" s="61">
        <f>SUMIFS('2026'!$M:$M,'2026'!$J:$J,$B89&amp;$C89,'2026'!$O:$O,O$4)</f>
        <v>272.2222222222224</v>
      </c>
      <c r="P89" s="61">
        <f t="shared" si="57"/>
        <v>2972.7477777777776</v>
      </c>
      <c r="Q89" s="7">
        <v>2972.7477777777776</v>
      </c>
      <c r="R89" s="8">
        <f t="shared" si="62"/>
        <v>0</v>
      </c>
      <c r="S89" s="9">
        <f t="shared" si="63"/>
        <v>0</v>
      </c>
      <c r="T89" s="77"/>
      <c r="U89" s="61">
        <v>0</v>
      </c>
      <c r="V89" s="61">
        <v>0</v>
      </c>
      <c r="W89" s="7">
        <v>0</v>
      </c>
      <c r="X89" s="7"/>
      <c r="Y89" s="14" t="e">
        <f t="shared" si="55"/>
        <v>#DIV/0!</v>
      </c>
      <c r="Z89" s="15">
        <f t="shared" si="56"/>
        <v>2972.7477777777776</v>
      </c>
      <c r="AA89" s="2" t="s">
        <v>10</v>
      </c>
      <c r="AB89" s="7">
        <v>0</v>
      </c>
    </row>
    <row r="90" spans="1:28" ht="15" customHeight="1">
      <c r="A90" s="2" t="s">
        <v>38</v>
      </c>
      <c r="B90" s="36" t="s">
        <v>123</v>
      </c>
      <c r="C90" s="36" t="s">
        <v>38</v>
      </c>
      <c r="D90" s="61">
        <f>SUMIFS('2026'!$M:$M,'2026'!$J:$J,$B90&amp;$C90,'2026'!$O:$O,D$4)</f>
        <v>0</v>
      </c>
      <c r="E90" s="61">
        <f>SUMIFS('2026'!$M:$M,'2026'!$J:$J,$B90&amp;$C90,'2026'!$O:$O,E$4)</f>
        <v>0</v>
      </c>
      <c r="F90" s="61">
        <f>SUMIFS('2026'!$M:$M,'2026'!$J:$J,$B90&amp;$C90,'2026'!$O:$O,F$4)</f>
        <v>0</v>
      </c>
      <c r="G90" s="61">
        <f>SUMIFS('2026'!$M:$M,'2026'!$J:$J,$B90&amp;$C90,'2026'!$O:$O,G$4)</f>
        <v>0</v>
      </c>
      <c r="H90" s="61">
        <f>SUMIFS('2026'!$M:$M,'2026'!$J:$J,$B90&amp;$C90,'2026'!$O:$O,H$4)</f>
        <v>0</v>
      </c>
      <c r="I90" s="61">
        <f>SUMIFS('2026'!$M:$M,'2026'!$J:$J,$B90&amp;$C90,'2026'!$O:$O,I$4)</f>
        <v>0</v>
      </c>
      <c r="J90" s="61">
        <f>SUMIFS('2026'!$M:$M,'2026'!$J:$J,$B90&amp;$C90,'2026'!$O:$O,J$4)</f>
        <v>0</v>
      </c>
      <c r="K90" s="61">
        <f>SUMIFS('2026'!$M:$M,'2026'!$J:$J,$B90&amp;$C90,'2026'!$O:$O,K$4)</f>
        <v>0</v>
      </c>
      <c r="L90" s="61">
        <f>SUMIFS('2026'!$M:$M,'2026'!$J:$J,$B90&amp;$C90,'2026'!$O:$O,L$4)</f>
        <v>0</v>
      </c>
      <c r="M90" s="61">
        <f>SUMIFS('2026'!$M:$M,'2026'!$J:$J,$B90&amp;$C90,'2026'!$O:$O,M$4)</f>
        <v>0</v>
      </c>
      <c r="N90" s="61">
        <f>SUMIFS('2026'!$M:$M,'2026'!$J:$J,$B90&amp;$C90,'2026'!$O:$O,N$4)</f>
        <v>0</v>
      </c>
      <c r="O90" s="61">
        <f>SUMIFS('2026'!$M:$M,'2026'!$J:$J,$B90&amp;$C90,'2026'!$O:$O,O$4)</f>
        <v>0</v>
      </c>
      <c r="P90" s="61">
        <f t="shared" si="57"/>
        <v>0</v>
      </c>
      <c r="Q90" s="7">
        <v>0</v>
      </c>
      <c r="R90" s="8">
        <f t="shared" si="62"/>
        <v>0</v>
      </c>
      <c r="S90" s="9" t="str">
        <f t="shared" si="63"/>
        <v/>
      </c>
      <c r="T90" s="77"/>
      <c r="U90" s="61">
        <v>836.12090000000012</v>
      </c>
      <c r="V90" s="61">
        <v>836.12090000000012</v>
      </c>
      <c r="W90" s="7">
        <v>836.12090000000012</v>
      </c>
      <c r="X90" s="7">
        <v>0</v>
      </c>
      <c r="Y90" s="14">
        <f t="shared" si="55"/>
        <v>-1</v>
      </c>
      <c r="Z90" s="15">
        <f t="shared" si="56"/>
        <v>-836.12090000000012</v>
      </c>
      <c r="AA90" s="2" t="s">
        <v>10</v>
      </c>
      <c r="AB90" s="7">
        <v>0</v>
      </c>
    </row>
    <row r="91" spans="1:28" s="54" customFormat="1" ht="15" customHeight="1">
      <c r="A91" s="2"/>
      <c r="B91" s="53"/>
      <c r="C91" s="55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313"/>
      <c r="Q91" s="313"/>
      <c r="R91" s="53"/>
      <c r="S91" s="53"/>
      <c r="T91" s="70"/>
      <c r="U91" s="313"/>
      <c r="V91" s="313"/>
      <c r="W91" s="313"/>
      <c r="X91" s="313"/>
      <c r="AA91" s="2"/>
      <c r="AB91" s="313"/>
    </row>
    <row r="92" spans="1:28" ht="15" customHeight="1">
      <c r="B92" s="35"/>
      <c r="C92" s="1094" t="s">
        <v>124</v>
      </c>
      <c r="D92" s="1095"/>
      <c r="E92" s="1095"/>
      <c r="F92" s="1095"/>
      <c r="G92" s="1095"/>
      <c r="H92" s="1095"/>
      <c r="I92" s="1095"/>
      <c r="J92" s="1095"/>
      <c r="K92" s="1095"/>
      <c r="L92" s="1095"/>
      <c r="M92" s="1095"/>
      <c r="N92" s="1095"/>
      <c r="O92" s="1095"/>
      <c r="R92" s="31" t="s">
        <v>1372</v>
      </c>
      <c r="S92" s="32"/>
      <c r="T92" s="71" t="s">
        <v>66</v>
      </c>
      <c r="U92" s="2"/>
      <c r="V92" s="2"/>
      <c r="W92" s="2"/>
    </row>
    <row r="93" spans="1:28" s="3" customFormat="1">
      <c r="A93" s="2"/>
      <c r="B93" s="4"/>
      <c r="C93" s="4" t="s">
        <v>17</v>
      </c>
      <c r="D93" s="180" t="s">
        <v>68</v>
      </c>
      <c r="E93" s="180" t="s">
        <v>69</v>
      </c>
      <c r="F93" s="180" t="s">
        <v>70</v>
      </c>
      <c r="G93" s="180" t="s">
        <v>71</v>
      </c>
      <c r="H93" s="180" t="s">
        <v>72</v>
      </c>
      <c r="I93" s="180" t="s">
        <v>73</v>
      </c>
      <c r="J93" s="180" t="s">
        <v>74</v>
      </c>
      <c r="K93" s="180" t="s">
        <v>75</v>
      </c>
      <c r="L93" s="180" t="s">
        <v>76</v>
      </c>
      <c r="M93" s="180" t="s">
        <v>77</v>
      </c>
      <c r="N93" s="180" t="s">
        <v>78</v>
      </c>
      <c r="O93" s="180" t="s">
        <v>79</v>
      </c>
      <c r="P93" s="187" t="str">
        <f>P$4</f>
        <v>2026 MRF3</v>
      </c>
      <c r="Q93" s="229" t="s">
        <v>1309</v>
      </c>
      <c r="R93" s="5" t="str">
        <f t="shared" ref="R93:S93" si="64">R$4</f>
        <v>Difference</v>
      </c>
      <c r="S93" s="6" t="str">
        <f t="shared" si="64"/>
        <v>% change</v>
      </c>
      <c r="T93" s="72"/>
      <c r="U93" s="187" t="s">
        <v>1186</v>
      </c>
      <c r="V93" s="187" t="s">
        <v>82</v>
      </c>
      <c r="W93" s="229" t="s">
        <v>83</v>
      </c>
      <c r="X93" s="229">
        <v>2024</v>
      </c>
      <c r="AA93" s="2"/>
      <c r="AB93" s="229" t="s">
        <v>85</v>
      </c>
    </row>
    <row r="94" spans="1:28" ht="15" customHeight="1">
      <c r="A94" s="2" t="s">
        <v>38</v>
      </c>
      <c r="B94" s="36" t="s">
        <v>126</v>
      </c>
      <c r="C94" s="36" t="s">
        <v>127</v>
      </c>
      <c r="D94" s="30">
        <f>SUMIFS('2026'!$M:$M,'2026'!$J:$J,$B94&amp;$C94,'2026'!$O:$O,D$4)</f>
        <v>0</v>
      </c>
      <c r="E94" s="30">
        <f>SUMIFS('2026'!$M:$M,'2026'!$J:$J,$B94&amp;$C94,'2026'!$O:$O,E$4)</f>
        <v>0</v>
      </c>
      <c r="F94" s="30">
        <f>SUMIFS('2026'!$M:$M,'2026'!$J:$J,$B94&amp;$C94,'2026'!$O:$O,F$4)</f>
        <v>0</v>
      </c>
      <c r="G94" s="30">
        <f>SUMIFS('2026'!$M:$M,'2026'!$J:$J,$B94&amp;$C94,'2026'!$O:$O,G$4)</f>
        <v>0</v>
      </c>
      <c r="H94" s="30">
        <f>SUMIFS('2026'!$M:$M,'2026'!$J:$J,$B94&amp;$C94,'2026'!$O:$O,H$4)</f>
        <v>0</v>
      </c>
      <c r="I94" s="61">
        <f>SUMIFS('2026'!$M:$M,'2026'!$J:$J,$B94&amp;$C94,'2026'!$O:$O,I$4)</f>
        <v>0</v>
      </c>
      <c r="J94" s="30">
        <f>SUMIFS('2026'!$M:$M,'2026'!$J:$J,$B94&amp;$C94,'2026'!$O:$O,J$4)</f>
        <v>0</v>
      </c>
      <c r="K94" s="30">
        <f>SUMIFS('2026'!$M:$M,'2026'!$J:$J,$B94&amp;$C94,'2026'!$O:$O,K$4)</f>
        <v>0</v>
      </c>
      <c r="L94" s="30">
        <f>SUMIFS('2026'!$M:$M,'2026'!$J:$J,$B94&amp;$C94,'2026'!$O:$O,L$4)</f>
        <v>0</v>
      </c>
      <c r="M94" s="30">
        <f>SUMIFS('2026'!$M:$M,'2026'!$J:$J,$B94&amp;$C94,'2026'!$O:$O,M$4)</f>
        <v>0</v>
      </c>
      <c r="N94" s="30">
        <f>SUMIFS('2026'!$M:$M,'2026'!$J:$J,$B94&amp;$C94,'2026'!$O:$O,N$4)</f>
        <v>0</v>
      </c>
      <c r="O94" s="30">
        <f>SUMIFS('2026'!$M:$M,'2026'!$J:$J,$B94&amp;$C94,'2026'!$O:$O,O$4)</f>
        <v>0</v>
      </c>
      <c r="P94" s="61">
        <f>SUM(D94:O94)</f>
        <v>0</v>
      </c>
      <c r="Q94" s="7">
        <v>0</v>
      </c>
      <c r="R94" s="8">
        <f t="shared" ref="R94:R114" si="65">P94-Q94</f>
        <v>0</v>
      </c>
      <c r="S94" s="9" t="str">
        <f t="shared" ref="S94:S99" si="66">IF(ISERROR(R94/Q94),"",R94/Q94)</f>
        <v/>
      </c>
      <c r="T94" s="75"/>
      <c r="U94" s="61">
        <v>0</v>
      </c>
      <c r="V94" s="61">
        <v>0</v>
      </c>
      <c r="W94" s="7">
        <v>0</v>
      </c>
      <c r="X94" s="627">
        <v>0</v>
      </c>
      <c r="Y94" s="14" t="e">
        <f t="shared" ref="Y94:Y119" si="67">P94/V94-1</f>
        <v>#DIV/0!</v>
      </c>
      <c r="Z94" s="15">
        <f t="shared" ref="Z94:Z116" si="68">P94-V94</f>
        <v>0</v>
      </c>
      <c r="AA94" s="2" t="s">
        <v>15</v>
      </c>
      <c r="AB94" s="7">
        <v>0</v>
      </c>
    </row>
    <row r="95" spans="1:28" ht="15" customHeight="1">
      <c r="A95" s="2" t="s">
        <v>37</v>
      </c>
      <c r="B95" s="36" t="s">
        <v>126</v>
      </c>
      <c r="C95" s="36" t="s">
        <v>37</v>
      </c>
      <c r="D95" s="30">
        <f>SUMIFS('2026'!$M:$M,'2026'!$J:$J,$B95&amp;$C95,'2026'!$O:$O,D$4)</f>
        <v>0</v>
      </c>
      <c r="E95" s="30">
        <f>SUMIFS('2026'!$M:$M,'2026'!$J:$J,$B95&amp;$C95,'2026'!$O:$O,E$4)</f>
        <v>0</v>
      </c>
      <c r="F95" s="30">
        <f>SUMIFS('2026'!$M:$M,'2026'!$J:$J,$B95&amp;$C95,'2026'!$O:$O,F$4)</f>
        <v>0</v>
      </c>
      <c r="G95" s="30">
        <f>SUMIFS('2026'!$M:$M,'2026'!$J:$J,$B95&amp;$C95,'2026'!$O:$O,G$4)</f>
        <v>0</v>
      </c>
      <c r="H95" s="30">
        <f>SUMIFS('2026'!$M:$M,'2026'!$J:$J,$B95&amp;$C95,'2026'!$O:$O,H$4)</f>
        <v>0</v>
      </c>
      <c r="I95" s="61">
        <f>SUMIFS('2026'!$M:$M,'2026'!$J:$J,$B95&amp;$C95,'2026'!$O:$O,I$4)</f>
        <v>0</v>
      </c>
      <c r="J95" s="30">
        <f>SUMIFS('2026'!$M:$M,'2026'!$J:$J,$B95&amp;$C95,'2026'!$O:$O,J$4)</f>
        <v>0</v>
      </c>
      <c r="K95" s="30">
        <f>SUMIFS('2026'!$M:$M,'2026'!$J:$J,$B95&amp;$C95,'2026'!$O:$O,K$4)</f>
        <v>0</v>
      </c>
      <c r="L95" s="30">
        <f>SUMIFS('2026'!$M:$M,'2026'!$J:$J,$B95&amp;$C95,'2026'!$O:$O,L$4)</f>
        <v>0</v>
      </c>
      <c r="M95" s="30">
        <f>SUMIFS('2026'!$M:$M,'2026'!$J:$J,$B95&amp;$C95,'2026'!$O:$O,M$4)</f>
        <v>0</v>
      </c>
      <c r="N95" s="30">
        <f>SUMIFS('2026'!$M:$M,'2026'!$J:$J,$B95&amp;$C95,'2026'!$O:$O,N$4)</f>
        <v>0</v>
      </c>
      <c r="O95" s="30">
        <f>SUMIFS('2026'!$M:$M,'2026'!$J:$J,$B95&amp;$C95,'2026'!$O:$O,O$4)</f>
        <v>0</v>
      </c>
      <c r="P95" s="61">
        <f t="shared" ref="P95:P113" si="69">SUM(D95:O95)</f>
        <v>0</v>
      </c>
      <c r="Q95" s="7">
        <v>0</v>
      </c>
      <c r="R95" s="8">
        <f t="shared" si="65"/>
        <v>0</v>
      </c>
      <c r="S95" s="9" t="str">
        <f t="shared" si="66"/>
        <v/>
      </c>
      <c r="T95" s="75"/>
      <c r="U95" s="61">
        <v>0</v>
      </c>
      <c r="V95" s="61">
        <v>0</v>
      </c>
      <c r="W95" s="7">
        <v>0</v>
      </c>
      <c r="X95" s="627">
        <v>0</v>
      </c>
      <c r="Y95" s="14" t="e">
        <f t="shared" si="67"/>
        <v>#DIV/0!</v>
      </c>
      <c r="Z95" s="15">
        <f t="shared" si="68"/>
        <v>0</v>
      </c>
      <c r="AA95" s="2" t="s">
        <v>15</v>
      </c>
      <c r="AB95" s="7">
        <v>0</v>
      </c>
    </row>
    <row r="96" spans="1:28" ht="15" customHeight="1">
      <c r="A96" s="2" t="s">
        <v>39</v>
      </c>
      <c r="B96" s="36" t="s">
        <v>128</v>
      </c>
      <c r="C96" s="36" t="s">
        <v>39</v>
      </c>
      <c r="D96" s="30">
        <f>SUMIFS('2026'!$M:$M,'2026'!$J:$J,$B96&amp;$C96,'2026'!$O:$O,D$4)</f>
        <v>0</v>
      </c>
      <c r="E96" s="30">
        <f>SUMIFS('2026'!$M:$M,'2026'!$J:$J,$B96&amp;$C96,'2026'!$O:$O,E$4)</f>
        <v>0</v>
      </c>
      <c r="F96" s="30">
        <f>SUMIFS('2026'!$M:$M,'2026'!$J:$J,$B96&amp;$C96,'2026'!$O:$O,F$4)</f>
        <v>0</v>
      </c>
      <c r="G96" s="30">
        <f>SUMIFS('2026'!$M:$M,'2026'!$J:$J,$B96&amp;$C96,'2026'!$O:$O,G$4)</f>
        <v>0</v>
      </c>
      <c r="H96" s="30">
        <f>SUMIFS('2026'!$M:$M,'2026'!$J:$J,$B96&amp;$C96,'2026'!$O:$O,H$4)</f>
        <v>0</v>
      </c>
      <c r="I96" s="61">
        <f>SUMIFS('2026'!$M:$M,'2026'!$J:$J,$B96&amp;$C96,'2026'!$O:$O,I$4)</f>
        <v>0</v>
      </c>
      <c r="J96" s="30">
        <f>SUMIFS('2026'!$M:$M,'2026'!$J:$J,$B96&amp;$C96,'2026'!$O:$O,J$4)</f>
        <v>0</v>
      </c>
      <c r="K96" s="30">
        <f>SUMIFS('2026'!$M:$M,'2026'!$J:$J,$B96&amp;$C96,'2026'!$O:$O,K$4)</f>
        <v>0</v>
      </c>
      <c r="L96" s="30">
        <f>SUMIFS('2026'!$M:$M,'2026'!$J:$J,$B96&amp;$C96,'2026'!$O:$O,L$4)</f>
        <v>0</v>
      </c>
      <c r="M96" s="30">
        <f>SUMIFS('2026'!$M:$M,'2026'!$J:$J,$B96&amp;$C96,'2026'!$O:$O,M$4)</f>
        <v>0</v>
      </c>
      <c r="N96" s="30">
        <f>SUMIFS('2026'!$M:$M,'2026'!$J:$J,$B96&amp;$C96,'2026'!$O:$O,N$4)</f>
        <v>0</v>
      </c>
      <c r="O96" s="30">
        <f>SUMIFS('2026'!$M:$M,'2026'!$J:$J,$B96&amp;$C96,'2026'!$O:$O,O$4)</f>
        <v>0</v>
      </c>
      <c r="P96" s="61">
        <f t="shared" si="69"/>
        <v>0</v>
      </c>
      <c r="Q96" s="7">
        <v>0</v>
      </c>
      <c r="R96" s="8">
        <f t="shared" si="65"/>
        <v>0</v>
      </c>
      <c r="S96" s="9" t="str">
        <f t="shared" si="66"/>
        <v/>
      </c>
      <c r="T96" s="78"/>
      <c r="U96" s="61">
        <v>0</v>
      </c>
      <c r="V96" s="61">
        <v>0</v>
      </c>
      <c r="W96" s="7">
        <v>0</v>
      </c>
      <c r="X96" s="627">
        <v>0</v>
      </c>
      <c r="Y96" s="14" t="e">
        <f t="shared" si="67"/>
        <v>#DIV/0!</v>
      </c>
      <c r="Z96" s="15">
        <f t="shared" si="68"/>
        <v>0</v>
      </c>
      <c r="AA96" s="2" t="s">
        <v>15</v>
      </c>
      <c r="AB96" s="7">
        <v>0</v>
      </c>
    </row>
    <row r="97" spans="1:28" ht="15" customHeight="1">
      <c r="A97" s="2" t="s">
        <v>38</v>
      </c>
      <c r="B97" s="36" t="s">
        <v>128</v>
      </c>
      <c r="C97" s="36" t="s">
        <v>38</v>
      </c>
      <c r="D97" s="30">
        <f>SUMIFS('2026'!$M:$M,'2026'!$J:$J,$B97&amp;$C97,'2026'!$O:$O,D$4)</f>
        <v>19.839040000000001</v>
      </c>
      <c r="E97" s="30">
        <f>SUMIFS('2026'!$M:$M,'2026'!$J:$J,$B97&amp;$C97,'2026'!$O:$O,E$4)</f>
        <v>59.783360000000009</v>
      </c>
      <c r="F97" s="30">
        <f>SUMIFS('2026'!$M:$M,'2026'!$J:$J,$B97&amp;$C97,'2026'!$O:$O,F$4)</f>
        <v>55.001496320000015</v>
      </c>
      <c r="G97" s="30">
        <f>SUMIFS('2026'!$M:$M,'2026'!$J:$J,$B97&amp;$C97,'2026'!$O:$O,G$4)</f>
        <v>20.358766079999999</v>
      </c>
      <c r="H97" s="30">
        <f>SUMIFS('2026'!$M:$M,'2026'!$J:$J,$B97&amp;$C97,'2026'!$O:$O,H$4)</f>
        <v>9.0904550400000002</v>
      </c>
      <c r="I97" s="61">
        <f>SUMIFS('2026'!$M:$M,'2026'!$J:$J,$B97&amp;$C97,'2026'!$O:$O,I$4)</f>
        <v>11.631697920000002</v>
      </c>
      <c r="J97" s="30">
        <f>SUMIFS('2026'!$M:$M,'2026'!$J:$J,$B97&amp;$C97,'2026'!$O:$O,J$4)</f>
        <v>5.7118464000000007</v>
      </c>
      <c r="K97" s="30">
        <f>SUMIFS('2026'!$M:$M,'2026'!$J:$J,$B97&amp;$C97,'2026'!$O:$O,K$4)</f>
        <v>13.742638079999999</v>
      </c>
      <c r="L97" s="30">
        <f>SUMIFS('2026'!$M:$M,'2026'!$J:$J,$B97&amp;$C97,'2026'!$O:$O,L$4)</f>
        <v>3.8078976000000004</v>
      </c>
      <c r="M97" s="30">
        <f>SUMIFS('2026'!$M:$M,'2026'!$J:$J,$B97&amp;$C97,'2026'!$O:$O,M$4)</f>
        <v>5.8296576</v>
      </c>
      <c r="N97" s="30">
        <f>SUMIFS('2026'!$M:$M,'2026'!$J:$J,$B97&amp;$C97,'2026'!$O:$O,N$4)</f>
        <v>0</v>
      </c>
      <c r="O97" s="30">
        <f>SUMIFS('2026'!$M:$M,'2026'!$J:$J,$B97&amp;$C97,'2026'!$O:$O,O$4)</f>
        <v>0</v>
      </c>
      <c r="P97" s="61">
        <f t="shared" si="69"/>
        <v>204.79685504000003</v>
      </c>
      <c r="Q97" s="7">
        <v>168.06437376</v>
      </c>
      <c r="R97" s="8">
        <f t="shared" si="65"/>
        <v>36.73248128000003</v>
      </c>
      <c r="S97" s="9">
        <f t="shared" si="66"/>
        <v>0.21856197395204593</v>
      </c>
      <c r="T97" s="75"/>
      <c r="U97" s="61">
        <v>567.53840000000014</v>
      </c>
      <c r="V97" s="61">
        <v>275.29872000000006</v>
      </c>
      <c r="W97" s="7">
        <v>341.91484000000008</v>
      </c>
      <c r="X97" s="627"/>
      <c r="Y97" s="14">
        <f t="shared" si="67"/>
        <v>-0.25609223668021419</v>
      </c>
      <c r="Z97" s="15">
        <f t="shared" si="68"/>
        <v>-70.501864960000034</v>
      </c>
      <c r="AA97" s="2" t="s">
        <v>15</v>
      </c>
      <c r="AB97" s="7">
        <v>146.0738399999999</v>
      </c>
    </row>
    <row r="98" spans="1:28" ht="15" customHeight="1">
      <c r="A98" s="2" t="s">
        <v>33</v>
      </c>
      <c r="B98" s="36" t="s">
        <v>128</v>
      </c>
      <c r="C98" s="36" t="s">
        <v>129</v>
      </c>
      <c r="D98" s="30">
        <f>SUMIFS('2026'!$M:$M,'2026'!$J:$J,$B98&amp;$C98,'2026'!$O:$O,D$4)</f>
        <v>0</v>
      </c>
      <c r="E98" s="30">
        <f>SUMIFS('2026'!$M:$M,'2026'!$J:$J,$B98&amp;$C98,'2026'!$O:$O,E$4)</f>
        <v>0</v>
      </c>
      <c r="F98" s="30">
        <f>SUMIFS('2026'!$M:$M,'2026'!$J:$J,$B98&amp;$C98,'2026'!$O:$O,F$4)</f>
        <v>0</v>
      </c>
      <c r="G98" s="30">
        <f>SUMIFS('2026'!$M:$M,'2026'!$J:$J,$B98&amp;$C98,'2026'!$O:$O,G$4)</f>
        <v>0</v>
      </c>
      <c r="H98" s="30">
        <f>SUMIFS('2026'!$M:$M,'2026'!$J:$J,$B98&amp;$C98,'2026'!$O:$O,H$4)</f>
        <v>0</v>
      </c>
      <c r="I98" s="61">
        <f>SUMIFS('2026'!$M:$M,'2026'!$J:$J,$B98&amp;$C98,'2026'!$O:$O,I$4)</f>
        <v>0</v>
      </c>
      <c r="J98" s="30">
        <f>SUMIFS('2026'!$M:$M,'2026'!$J:$J,$B98&amp;$C98,'2026'!$O:$O,J$4)</f>
        <v>0</v>
      </c>
      <c r="K98" s="30">
        <f>SUMIFS('2026'!$M:$M,'2026'!$J:$J,$B98&amp;$C98,'2026'!$O:$O,K$4)</f>
        <v>0</v>
      </c>
      <c r="L98" s="30">
        <f>SUMIFS('2026'!$M:$M,'2026'!$J:$J,$B98&amp;$C98,'2026'!$O:$O,L$4)</f>
        <v>0</v>
      </c>
      <c r="M98" s="30">
        <f>SUMIFS('2026'!$M:$M,'2026'!$J:$J,$B98&amp;$C98,'2026'!$O:$O,M$4)</f>
        <v>0</v>
      </c>
      <c r="N98" s="30">
        <f>SUMIFS('2026'!$M:$M,'2026'!$J:$J,$B98&amp;$C98,'2026'!$O:$O,N$4)</f>
        <v>0</v>
      </c>
      <c r="O98" s="30">
        <f>SUMIFS('2026'!$M:$M,'2026'!$J:$J,$B98&amp;$C98,'2026'!$O:$O,O$4)</f>
        <v>0</v>
      </c>
      <c r="P98" s="61">
        <f t="shared" si="69"/>
        <v>0</v>
      </c>
      <c r="Q98" s="7">
        <v>0</v>
      </c>
      <c r="R98" s="8">
        <f t="shared" si="65"/>
        <v>0</v>
      </c>
      <c r="S98" s="9" t="str">
        <f t="shared" si="66"/>
        <v/>
      </c>
      <c r="T98" s="75"/>
      <c r="U98" s="61">
        <v>0</v>
      </c>
      <c r="V98" s="61">
        <v>0</v>
      </c>
      <c r="W98" s="7">
        <v>0</v>
      </c>
      <c r="X98" s="627">
        <v>141.49199999999999</v>
      </c>
      <c r="Y98" s="14" t="e">
        <f t="shared" si="67"/>
        <v>#DIV/0!</v>
      </c>
      <c r="Z98" s="15">
        <f t="shared" si="68"/>
        <v>0</v>
      </c>
      <c r="AA98" s="2" t="s">
        <v>15</v>
      </c>
      <c r="AB98" s="7">
        <v>0</v>
      </c>
    </row>
    <row r="99" spans="1:28" ht="15" customHeight="1">
      <c r="A99" s="2" t="s">
        <v>35</v>
      </c>
      <c r="B99" s="36" t="s">
        <v>128</v>
      </c>
      <c r="C99" s="36" t="s">
        <v>35</v>
      </c>
      <c r="D99" s="30">
        <f>SUMIFS('2026'!$M:$M,'2026'!$J:$J,$B99&amp;$C99,'2026'!$O:$O,D$4)</f>
        <v>20.715264000000001</v>
      </c>
      <c r="E99" s="30">
        <f>SUMIFS('2026'!$M:$M,'2026'!$J:$J,$B99&amp;$C99,'2026'!$O:$O,E$4)</f>
        <v>45.954000000000008</v>
      </c>
      <c r="F99" s="30">
        <f>SUMIFS('2026'!$M:$M,'2026'!$J:$J,$B99&amp;$C99,'2026'!$O:$O,F$4)</f>
        <v>32.80378176</v>
      </c>
      <c r="G99" s="30">
        <f>SUMIFS('2026'!$M:$M,'2026'!$J:$J,$B99&amp;$C99,'2026'!$O:$O,G$4)</f>
        <v>0</v>
      </c>
      <c r="H99" s="30">
        <f>SUMIFS('2026'!$M:$M,'2026'!$J:$J,$B99&amp;$C99,'2026'!$O:$O,H$4)</f>
        <v>39.314678399999998</v>
      </c>
      <c r="I99" s="61">
        <f>SUMIFS('2026'!$M:$M,'2026'!$J:$J,$B99&amp;$C99,'2026'!$O:$O,I$4)</f>
        <v>0</v>
      </c>
      <c r="J99" s="30">
        <f>SUMIFS('2026'!$M:$M,'2026'!$J:$J,$B99&amp;$C99,'2026'!$O:$O,J$4)</f>
        <v>0</v>
      </c>
      <c r="K99" s="30">
        <f>SUMIFS('2026'!$M:$M,'2026'!$J:$J,$B99&amp;$C99,'2026'!$O:$O,K$4)</f>
        <v>0</v>
      </c>
      <c r="L99" s="30">
        <f>SUMIFS('2026'!$M:$M,'2026'!$J:$J,$B99&amp;$C99,'2026'!$O:$O,L$4)</f>
        <v>0</v>
      </c>
      <c r="M99" s="30">
        <f>SUMIFS('2026'!$M:$M,'2026'!$J:$J,$B99&amp;$C99,'2026'!$O:$O,M$4)</f>
        <v>0</v>
      </c>
      <c r="N99" s="30">
        <f>SUMIFS('2026'!$M:$M,'2026'!$J:$J,$B99&amp;$C99,'2026'!$O:$O,N$4)</f>
        <v>0</v>
      </c>
      <c r="O99" s="30">
        <f>SUMIFS('2026'!$M:$M,'2026'!$J:$J,$B99&amp;$C99,'2026'!$O:$O,O$4)</f>
        <v>0</v>
      </c>
      <c r="P99" s="61">
        <f t="shared" si="69"/>
        <v>138.78772416000001</v>
      </c>
      <c r="Q99" s="7">
        <v>182.96816256</v>
      </c>
      <c r="R99" s="8">
        <f t="shared" si="65"/>
        <v>-44.180438399999986</v>
      </c>
      <c r="S99" s="9">
        <f t="shared" si="66"/>
        <v>-0.24146516957840727</v>
      </c>
      <c r="T99" s="75"/>
      <c r="U99" s="61">
        <v>566.51025599999991</v>
      </c>
      <c r="V99" s="61">
        <v>164.62987200000001</v>
      </c>
      <c r="W99" s="7">
        <v>522.08200199999999</v>
      </c>
      <c r="X99" s="626">
        <v>761.56300799999997</v>
      </c>
      <c r="Y99" s="14">
        <f t="shared" si="67"/>
        <v>-0.15697119560416106</v>
      </c>
      <c r="Z99" s="15">
        <f t="shared" si="68"/>
        <v>-25.842147839999996</v>
      </c>
      <c r="AA99" s="2" t="s">
        <v>15</v>
      </c>
      <c r="AB99" s="7">
        <v>0</v>
      </c>
    </row>
    <row r="100" spans="1:28" ht="15" customHeight="1">
      <c r="A100" s="2" t="s">
        <v>37</v>
      </c>
      <c r="B100" s="36" t="s">
        <v>128</v>
      </c>
      <c r="C100" s="36" t="s">
        <v>37</v>
      </c>
      <c r="D100" s="30">
        <f>SUMIFS('2026'!$M:$M,'2026'!$J:$J,$B100&amp;$C100,'2026'!$O:$O,D$4)</f>
        <v>0</v>
      </c>
      <c r="E100" s="30">
        <f>SUMIFS('2026'!$M:$M,'2026'!$J:$J,$B100&amp;$C100,'2026'!$O:$O,E$4)</f>
        <v>0</v>
      </c>
      <c r="F100" s="30">
        <f>SUMIFS('2026'!$M:$M,'2026'!$J:$J,$B100&amp;$C100,'2026'!$O:$O,F$4)</f>
        <v>0</v>
      </c>
      <c r="G100" s="30">
        <f>SUMIFS('2026'!$M:$M,'2026'!$J:$J,$B100&amp;$C100,'2026'!$O:$O,G$4)</f>
        <v>0</v>
      </c>
      <c r="H100" s="30">
        <f>SUMIFS('2026'!$M:$M,'2026'!$J:$J,$B100&amp;$C100,'2026'!$O:$O,H$4)</f>
        <v>0</v>
      </c>
      <c r="I100" s="61">
        <f>SUMIFS('2026'!$M:$M,'2026'!$J:$J,$B100&amp;$C100,'2026'!$O:$O,I$4)</f>
        <v>0</v>
      </c>
      <c r="J100" s="30">
        <f>SUMIFS('2026'!$M:$M,'2026'!$J:$J,$B100&amp;$C100,'2026'!$O:$O,J$4)</f>
        <v>0</v>
      </c>
      <c r="K100" s="30">
        <f>SUMIFS('2026'!$M:$M,'2026'!$J:$J,$B100&amp;$C100,'2026'!$O:$O,K$4)</f>
        <v>0</v>
      </c>
      <c r="L100" s="30">
        <f>SUMIFS('2026'!$M:$M,'2026'!$J:$J,$B100&amp;$C100,'2026'!$O:$O,L$4)</f>
        <v>0</v>
      </c>
      <c r="M100" s="30">
        <f>SUMIFS('2026'!$M:$M,'2026'!$J:$J,$B100&amp;$C100,'2026'!$O:$O,M$4)</f>
        <v>0</v>
      </c>
      <c r="N100" s="30">
        <f>SUMIFS('2026'!$M:$M,'2026'!$J:$J,$B100&amp;$C100,'2026'!$O:$O,N$4)</f>
        <v>0</v>
      </c>
      <c r="O100" s="30">
        <f>SUMIFS('2026'!$M:$M,'2026'!$J:$J,$B100&amp;$C100,'2026'!$O:$O,O$4)</f>
        <v>0</v>
      </c>
      <c r="P100" s="61">
        <f t="shared" si="69"/>
        <v>0</v>
      </c>
      <c r="Q100" s="7">
        <v>0</v>
      </c>
      <c r="R100" s="8">
        <f t="shared" si="65"/>
        <v>0</v>
      </c>
      <c r="S100" s="9" t="str">
        <f t="shared" ref="S100" si="70">IF(ISERROR(R100/Q100),"",R100/Q100)</f>
        <v/>
      </c>
      <c r="T100" s="75"/>
      <c r="U100" s="61">
        <v>3.04488</v>
      </c>
      <c r="V100" s="61">
        <v>3.04488</v>
      </c>
      <c r="W100" s="7">
        <v>3.04488</v>
      </c>
      <c r="X100" s="626">
        <v>390.48677999999995</v>
      </c>
      <c r="Y100" s="14">
        <f t="shared" si="67"/>
        <v>-1</v>
      </c>
      <c r="Z100" s="15">
        <f t="shared" si="68"/>
        <v>-3.04488</v>
      </c>
      <c r="AA100" s="2" t="s">
        <v>15</v>
      </c>
      <c r="AB100" s="7">
        <v>0</v>
      </c>
    </row>
    <row r="101" spans="1:28" ht="15" customHeight="1">
      <c r="A101" s="2" t="s">
        <v>23</v>
      </c>
      <c r="B101" s="36">
        <v>3910</v>
      </c>
      <c r="C101" s="36" t="s">
        <v>23</v>
      </c>
      <c r="D101" s="30">
        <f>SUMIFS('2026'!$M:$M,'2026'!$J:$J,$B101&amp;$C101,'2026'!$O:$O,D$4)</f>
        <v>0</v>
      </c>
      <c r="E101" s="30">
        <f>SUMIFS('2026'!$M:$M,'2026'!$J:$J,$B101&amp;$C101,'2026'!$O:$O,E$4)</f>
        <v>0</v>
      </c>
      <c r="F101" s="30">
        <f>SUMIFS('2026'!$M:$M,'2026'!$J:$J,$B101&amp;$C101,'2026'!$O:$O,F$4)</f>
        <v>0</v>
      </c>
      <c r="G101" s="30">
        <f>SUMIFS('2026'!$M:$M,'2026'!$J:$J,$B101&amp;$C101,'2026'!$O:$O,G$4)</f>
        <v>190.85760000000002</v>
      </c>
      <c r="H101" s="30">
        <f>SUMIFS('2026'!$M:$M,'2026'!$J:$J,$B101&amp;$C101,'2026'!$O:$O,H$4)</f>
        <v>668.00160000000005</v>
      </c>
      <c r="I101" s="61">
        <f>SUMIFS('2026'!$M:$M,'2026'!$J:$J,$B101&amp;$C101,'2026'!$O:$O,I$4)</f>
        <v>1813.1472000000001</v>
      </c>
      <c r="J101" s="30">
        <f>SUMIFS('2026'!$M:$M,'2026'!$J:$J,$B101&amp;$C101,'2026'!$O:$O,J$4)</f>
        <v>1526.8607999999999</v>
      </c>
      <c r="K101" s="30">
        <f>SUMIFS('2026'!$M:$M,'2026'!$J:$J,$B101&amp;$C101,'2026'!$O:$O,K$4)</f>
        <v>0</v>
      </c>
      <c r="L101" s="30">
        <f>SUMIFS('2026'!$M:$M,'2026'!$J:$J,$B101&amp;$C101,'2026'!$O:$O,L$4)</f>
        <v>0</v>
      </c>
      <c r="M101" s="30">
        <f>SUMIFS('2026'!$M:$M,'2026'!$J:$J,$B101&amp;$C101,'2026'!$O:$O,M$4)</f>
        <v>0</v>
      </c>
      <c r="N101" s="30">
        <f>SUMIFS('2026'!$M:$M,'2026'!$J:$J,$B101&amp;$C101,'2026'!$O:$O,N$4)</f>
        <v>0</v>
      </c>
      <c r="O101" s="30">
        <f>SUMIFS('2026'!$M:$M,'2026'!$J:$J,$B101&amp;$C101,'2026'!$O:$O,O$4)</f>
        <v>0</v>
      </c>
      <c r="P101" s="61">
        <f t="shared" si="69"/>
        <v>4198.8672000000006</v>
      </c>
      <c r="Q101" s="7">
        <v>3834</v>
      </c>
      <c r="R101" s="8">
        <f t="shared" si="65"/>
        <v>364.86720000000059</v>
      </c>
      <c r="S101" s="9">
        <f t="shared" ref="S101:S115" si="71">IF(ISERROR(R101/Q101),"",R101/Q101)</f>
        <v>9.5166197183098752E-2</v>
      </c>
      <c r="T101" s="75"/>
      <c r="U101" s="61">
        <v>0</v>
      </c>
      <c r="V101" s="61">
        <v>0</v>
      </c>
      <c r="W101" s="7">
        <v>0</v>
      </c>
      <c r="X101" s="627">
        <v>0</v>
      </c>
      <c r="Y101" s="14" t="e">
        <f t="shared" si="67"/>
        <v>#DIV/0!</v>
      </c>
      <c r="Z101" s="15">
        <f t="shared" si="68"/>
        <v>4198.8672000000006</v>
      </c>
      <c r="AA101" s="2" t="s">
        <v>8</v>
      </c>
      <c r="AB101" s="7">
        <v>5112</v>
      </c>
    </row>
    <row r="102" spans="1:28" ht="15" customHeight="1">
      <c r="A102" s="2" t="s">
        <v>33</v>
      </c>
      <c r="B102" s="36">
        <v>3910</v>
      </c>
      <c r="C102" s="36" t="s">
        <v>33</v>
      </c>
      <c r="D102" s="30">
        <f>SUMIFS('2026'!$M:$M,'2026'!$J:$J,$B102&amp;$C102,'2026'!$O:$O,D$4)</f>
        <v>174.40768800000001</v>
      </c>
      <c r="E102" s="30">
        <f>SUMIFS('2026'!$M:$M,'2026'!$J:$J,$B102&amp;$C102,'2026'!$O:$O,E$4)</f>
        <v>43.830072000000001</v>
      </c>
      <c r="F102" s="30">
        <f>SUMIFS('2026'!$M:$M,'2026'!$J:$J,$B102&amp;$C102,'2026'!$O:$O,F$4)</f>
        <v>0</v>
      </c>
      <c r="G102" s="30">
        <f>SUMIFS('2026'!$M:$M,'2026'!$J:$J,$B102&amp;$C102,'2026'!$O:$O,G$4)</f>
        <v>45.477020160000002</v>
      </c>
      <c r="H102" s="30">
        <f>SUMIFS('2026'!$M:$M,'2026'!$J:$J,$B102&amp;$C102,'2026'!$O:$O,H$4)</f>
        <v>0</v>
      </c>
      <c r="I102" s="61">
        <f>SUMIFS('2026'!$M:$M,'2026'!$J:$J,$B102&amp;$C102,'2026'!$O:$O,I$4)</f>
        <v>111.492288</v>
      </c>
      <c r="J102" s="30">
        <f>SUMIFS('2026'!$M:$M,'2026'!$J:$J,$B102&amp;$C102,'2026'!$O:$O,J$4)</f>
        <v>0</v>
      </c>
      <c r="K102" s="30">
        <f>SUMIFS('2026'!$M:$M,'2026'!$J:$J,$B102&amp;$C102,'2026'!$O:$O,K$4)</f>
        <v>52.473484800000001</v>
      </c>
      <c r="L102" s="30">
        <f>SUMIFS('2026'!$M:$M,'2026'!$J:$J,$B102&amp;$C102,'2026'!$O:$O,L$4)</f>
        <v>52.473484800000001</v>
      </c>
      <c r="M102" s="30">
        <f>SUMIFS('2026'!$M:$M,'2026'!$J:$J,$B102&amp;$C102,'2026'!$O:$O,M$4)</f>
        <v>59.018803199999994</v>
      </c>
      <c r="N102" s="30">
        <f>SUMIFS('2026'!$M:$M,'2026'!$J:$J,$B102&amp;$C102,'2026'!$O:$O,N$4)</f>
        <v>59.018803199999994</v>
      </c>
      <c r="O102" s="30">
        <f>SUMIFS('2026'!$M:$M,'2026'!$J:$J,$B102&amp;$C102,'2026'!$O:$O,O$4)</f>
        <v>0</v>
      </c>
      <c r="P102" s="61">
        <f t="shared" si="69"/>
        <v>598.19164416000001</v>
      </c>
      <c r="Q102" s="7">
        <v>377.83776</v>
      </c>
      <c r="R102" s="8">
        <f t="shared" si="65"/>
        <v>220.35388416000001</v>
      </c>
      <c r="S102" s="9">
        <f t="shared" si="71"/>
        <v>0.58319709538824283</v>
      </c>
      <c r="T102" s="75"/>
      <c r="U102" s="61">
        <v>1414.4450340000001</v>
      </c>
      <c r="V102" s="61">
        <v>1537.9289657087998</v>
      </c>
      <c r="W102" s="7">
        <v>1897.9767605376001</v>
      </c>
      <c r="X102" s="627">
        <v>434.22489599999994</v>
      </c>
      <c r="Y102" s="14">
        <f t="shared" si="67"/>
        <v>-0.61104078439389697</v>
      </c>
      <c r="Z102" s="15">
        <f t="shared" si="68"/>
        <v>-939.73732154879974</v>
      </c>
      <c r="AA102" s="2" t="s">
        <v>8</v>
      </c>
      <c r="AB102" s="7">
        <v>1555.601831424</v>
      </c>
    </row>
    <row r="103" spans="1:28" ht="15" customHeight="1">
      <c r="A103" s="2" t="s">
        <v>37</v>
      </c>
      <c r="B103" s="36">
        <v>3910</v>
      </c>
      <c r="C103" s="36" t="s">
        <v>37</v>
      </c>
      <c r="D103" s="30">
        <f>SUMIFS('2026'!$M:$M,'2026'!$J:$J,$B103&amp;$C103,'2026'!$O:$O,D$4)</f>
        <v>0</v>
      </c>
      <c r="E103" s="30">
        <f>SUMIFS('2026'!$M:$M,'2026'!$J:$J,$B103&amp;$C103,'2026'!$O:$O,E$4)</f>
        <v>0</v>
      </c>
      <c r="F103" s="30">
        <f>SUMIFS('2026'!$M:$M,'2026'!$J:$J,$B103&amp;$C103,'2026'!$O:$O,F$4)</f>
        <v>0</v>
      </c>
      <c r="G103" s="30">
        <f>SUMIFS('2026'!$M:$M,'2026'!$J:$J,$B103&amp;$C103,'2026'!$O:$O,G$4)</f>
        <v>0</v>
      </c>
      <c r="H103" s="30">
        <f>SUMIFS('2026'!$M:$M,'2026'!$J:$J,$B103&amp;$C103,'2026'!$O:$O,H$4)</f>
        <v>0</v>
      </c>
      <c r="I103" s="61">
        <f>SUMIFS('2026'!$M:$M,'2026'!$J:$J,$B103&amp;$C103,'2026'!$O:$O,I$4)</f>
        <v>0</v>
      </c>
      <c r="J103" s="30">
        <f>SUMIFS('2026'!$M:$M,'2026'!$J:$J,$B103&amp;$C103,'2026'!$O:$O,J$4)</f>
        <v>0</v>
      </c>
      <c r="K103" s="30">
        <f>SUMIFS('2026'!$M:$M,'2026'!$J:$J,$B103&amp;$C103,'2026'!$O:$O,K$4)</f>
        <v>0</v>
      </c>
      <c r="L103" s="30">
        <f>SUMIFS('2026'!$M:$M,'2026'!$J:$J,$B103&amp;$C103,'2026'!$O:$O,L$4)</f>
        <v>0</v>
      </c>
      <c r="M103" s="30">
        <f>SUMIFS('2026'!$M:$M,'2026'!$J:$J,$B103&amp;$C103,'2026'!$O:$O,M$4)</f>
        <v>0</v>
      </c>
      <c r="N103" s="30">
        <f>SUMIFS('2026'!$M:$M,'2026'!$J:$J,$B103&amp;$C103,'2026'!$O:$O,N$4)</f>
        <v>0</v>
      </c>
      <c r="O103" s="30">
        <f>SUMIFS('2026'!$M:$M,'2026'!$J:$J,$B103&amp;$C103,'2026'!$O:$O,O$4)</f>
        <v>0</v>
      </c>
      <c r="P103" s="61">
        <f t="shared" si="69"/>
        <v>0</v>
      </c>
      <c r="Q103" s="7">
        <v>0</v>
      </c>
      <c r="R103" s="8">
        <f t="shared" si="65"/>
        <v>0</v>
      </c>
      <c r="S103" s="9" t="str">
        <f t="shared" si="71"/>
        <v/>
      </c>
      <c r="T103" s="75"/>
      <c r="U103" s="61">
        <v>0</v>
      </c>
      <c r="V103" s="61">
        <v>16.335432000000001</v>
      </c>
      <c r="W103" s="7">
        <v>16.335432000000001</v>
      </c>
      <c r="X103" s="626">
        <v>118.88748000000001</v>
      </c>
      <c r="Y103" s="14">
        <f t="shared" si="67"/>
        <v>-1</v>
      </c>
      <c r="Z103" s="15">
        <f t="shared" si="68"/>
        <v>-16.335432000000001</v>
      </c>
      <c r="AA103" s="2" t="s">
        <v>8</v>
      </c>
      <c r="AB103" s="7">
        <v>0</v>
      </c>
    </row>
    <row r="104" spans="1:28" ht="15" customHeight="1">
      <c r="A104" s="2" t="s">
        <v>39</v>
      </c>
      <c r="B104" s="36">
        <v>3910</v>
      </c>
      <c r="C104" s="36" t="s">
        <v>39</v>
      </c>
      <c r="D104" s="30">
        <f>SUMIFS('2026'!$M:$M,'2026'!$J:$J,$B104&amp;$C104,'2026'!$O:$O,D$4)</f>
        <v>0</v>
      </c>
      <c r="E104" s="30">
        <f>SUMIFS('2026'!$M:$M,'2026'!$J:$J,$B104&amp;$C104,'2026'!$O:$O,E$4)</f>
        <v>0</v>
      </c>
      <c r="F104" s="30">
        <f>SUMIFS('2026'!$M:$M,'2026'!$J:$J,$B104&amp;$C104,'2026'!$O:$O,F$4)</f>
        <v>0</v>
      </c>
      <c r="G104" s="30">
        <f>SUMIFS('2026'!$M:$M,'2026'!$J:$J,$B104&amp;$C104,'2026'!$O:$O,G$4)</f>
        <v>0</v>
      </c>
      <c r="H104" s="30">
        <f>SUMIFS('2026'!$M:$M,'2026'!$J:$J,$B104&amp;$C104,'2026'!$O:$O,H$4)</f>
        <v>0</v>
      </c>
      <c r="I104" s="61">
        <f>SUMIFS('2026'!$M:$M,'2026'!$J:$J,$B104&amp;$C104,'2026'!$O:$O,I$4)</f>
        <v>0</v>
      </c>
      <c r="J104" s="30">
        <f>SUMIFS('2026'!$M:$M,'2026'!$J:$J,$B104&amp;$C104,'2026'!$O:$O,J$4)</f>
        <v>0</v>
      </c>
      <c r="K104" s="30">
        <f>SUMIFS('2026'!$M:$M,'2026'!$J:$J,$B104&amp;$C104,'2026'!$O:$O,K$4)</f>
        <v>0</v>
      </c>
      <c r="L104" s="30">
        <f>SUMIFS('2026'!$M:$M,'2026'!$J:$J,$B104&amp;$C104,'2026'!$O:$O,L$4)</f>
        <v>0</v>
      </c>
      <c r="M104" s="30">
        <f>SUMIFS('2026'!$M:$M,'2026'!$J:$J,$B104&amp;$C104,'2026'!$O:$O,M$4)</f>
        <v>0</v>
      </c>
      <c r="N104" s="30">
        <f>SUMIFS('2026'!$M:$M,'2026'!$J:$J,$B104&amp;$C104,'2026'!$O:$O,N$4)</f>
        <v>0</v>
      </c>
      <c r="O104" s="30">
        <f>SUMIFS('2026'!$M:$M,'2026'!$J:$J,$B104&amp;$C104,'2026'!$O:$O,O$4)</f>
        <v>0</v>
      </c>
      <c r="P104" s="61">
        <f t="shared" si="69"/>
        <v>0</v>
      </c>
      <c r="Q104" s="7">
        <v>0</v>
      </c>
      <c r="R104" s="8">
        <f t="shared" si="65"/>
        <v>0</v>
      </c>
      <c r="S104" s="9" t="str">
        <f t="shared" si="71"/>
        <v/>
      </c>
      <c r="T104" s="75"/>
      <c r="U104" s="61">
        <v>0</v>
      </c>
      <c r="V104" s="61">
        <v>91.441944000000007</v>
      </c>
      <c r="W104" s="7">
        <v>91.441944000000007</v>
      </c>
      <c r="X104" s="626">
        <v>60.197435999999996</v>
      </c>
      <c r="Y104" s="14">
        <f t="shared" si="67"/>
        <v>-1</v>
      </c>
      <c r="Z104" s="15">
        <f t="shared" si="68"/>
        <v>-91.441944000000007</v>
      </c>
      <c r="AA104" s="2" t="s">
        <v>8</v>
      </c>
      <c r="AB104" s="7">
        <v>0</v>
      </c>
    </row>
    <row r="105" spans="1:28" ht="15" customHeight="1">
      <c r="A105" s="2" t="s">
        <v>32</v>
      </c>
      <c r="B105" s="36">
        <v>3910</v>
      </c>
      <c r="C105" s="36" t="s">
        <v>32</v>
      </c>
      <c r="D105" s="30">
        <f>SUMIFS('2026'!$M:$M,'2026'!$J:$J,$B105&amp;$C105,'2026'!$O:$O,D$4)</f>
        <v>0</v>
      </c>
      <c r="E105" s="30">
        <f>SUMIFS('2026'!$M:$M,'2026'!$J:$J,$B105&amp;$C105,'2026'!$O:$O,E$4)</f>
        <v>37.625615999999994</v>
      </c>
      <c r="F105" s="30">
        <f>SUMIFS('2026'!$M:$M,'2026'!$J:$J,$B105&amp;$C105,'2026'!$O:$O,F$4)</f>
        <v>0.93887999999999994</v>
      </c>
      <c r="G105" s="30">
        <f>SUMIFS('2026'!$M:$M,'2026'!$J:$J,$B105&amp;$C105,'2026'!$O:$O,G$4)</f>
        <v>69.202483199999989</v>
      </c>
      <c r="H105" s="30">
        <f>SUMIFS('2026'!$M:$M,'2026'!$J:$J,$B105&amp;$C105,'2026'!$O:$O,H$4)</f>
        <v>147.35001599999998</v>
      </c>
      <c r="I105" s="61">
        <f>SUMIFS('2026'!$M:$M,'2026'!$J:$J,$B105&amp;$C105,'2026'!$O:$O,I$4)</f>
        <v>475.198464</v>
      </c>
      <c r="J105" s="30">
        <f>SUMIFS('2026'!$M:$M,'2026'!$J:$J,$B105&amp;$C105,'2026'!$O:$O,J$4)</f>
        <v>526.54079999999999</v>
      </c>
      <c r="K105" s="30">
        <f>SUMIFS('2026'!$M:$M,'2026'!$J:$J,$B105&amp;$C105,'2026'!$O:$O,K$4)</f>
        <v>398.49292800000001</v>
      </c>
      <c r="L105" s="30">
        <f>SUMIFS('2026'!$M:$M,'2026'!$J:$J,$B105&amp;$C105,'2026'!$O:$O,L$4)</f>
        <v>208.130304</v>
      </c>
      <c r="M105" s="30">
        <f>SUMIFS('2026'!$M:$M,'2026'!$J:$J,$B105&amp;$C105,'2026'!$O:$O,M$4)</f>
        <v>144.47078399999998</v>
      </c>
      <c r="N105" s="30">
        <f>SUMIFS('2026'!$M:$M,'2026'!$J:$J,$B105&amp;$C105,'2026'!$O:$O,N$4)</f>
        <v>352.601088</v>
      </c>
      <c r="O105" s="30">
        <f>SUMIFS('2026'!$M:$M,'2026'!$J:$J,$B105&amp;$C105,'2026'!$O:$O,O$4)</f>
        <v>78.239999999999995</v>
      </c>
      <c r="P105" s="61">
        <f t="shared" si="69"/>
        <v>2438.7913631999995</v>
      </c>
      <c r="Q105" s="7">
        <v>1877.76</v>
      </c>
      <c r="R105" s="8">
        <f t="shared" si="65"/>
        <v>561.03136319999953</v>
      </c>
      <c r="S105" s="9">
        <f t="shared" si="71"/>
        <v>0.29877692740286271</v>
      </c>
      <c r="T105" s="75"/>
      <c r="U105" s="61">
        <v>0</v>
      </c>
      <c r="V105" s="61">
        <v>0</v>
      </c>
      <c r="W105" s="7">
        <v>0</v>
      </c>
      <c r="X105" s="626">
        <v>918.63106407433099</v>
      </c>
      <c r="Y105" s="14" t="e">
        <f t="shared" si="67"/>
        <v>#DIV/0!</v>
      </c>
      <c r="Z105" s="15">
        <f t="shared" si="68"/>
        <v>2438.7913631999995</v>
      </c>
      <c r="AA105" s="2" t="s">
        <v>8</v>
      </c>
      <c r="AB105" s="7">
        <v>3223.7857890417267</v>
      </c>
    </row>
    <row r="106" spans="1:28" ht="15" customHeight="1">
      <c r="A106" s="2" t="s">
        <v>37</v>
      </c>
      <c r="B106" s="36" t="s">
        <v>180</v>
      </c>
      <c r="C106" s="36" t="s">
        <v>37</v>
      </c>
      <c r="D106" s="30">
        <f>SUMIFS('2026'!$M:$M,'2026'!$J:$J,$B106&amp;$C106,'2026'!$O:$O,D$4)</f>
        <v>0</v>
      </c>
      <c r="E106" s="30">
        <f>SUMIFS('2026'!$M:$M,'2026'!$J:$J,$B106&amp;$C106,'2026'!$O:$O,E$4)</f>
        <v>0</v>
      </c>
      <c r="F106" s="30">
        <f>SUMIFS('2026'!$M:$M,'2026'!$J:$J,$B106&amp;$C106,'2026'!$O:$O,F$4)</f>
        <v>0</v>
      </c>
      <c r="G106" s="30">
        <f>SUMIFS('2026'!$M:$M,'2026'!$J:$J,$B106&amp;$C106,'2026'!$O:$O,G$4)</f>
        <v>0</v>
      </c>
      <c r="H106" s="30">
        <f>SUMIFS('2026'!$M:$M,'2026'!$J:$J,$B106&amp;$C106,'2026'!$O:$O,H$4)</f>
        <v>0</v>
      </c>
      <c r="I106" s="61">
        <f>SUMIFS('2026'!$M:$M,'2026'!$J:$J,$B106&amp;$C106,'2026'!$O:$O,I$4)</f>
        <v>0</v>
      </c>
      <c r="J106" s="30">
        <f>SUMIFS('2026'!$M:$M,'2026'!$J:$J,$B106&amp;$C106,'2026'!$O:$O,J$4)</f>
        <v>0</v>
      </c>
      <c r="K106" s="30">
        <f>SUMIFS('2026'!$M:$M,'2026'!$J:$J,$B106&amp;$C106,'2026'!$O:$O,K$4)</f>
        <v>0</v>
      </c>
      <c r="L106" s="30">
        <f>SUMIFS('2026'!$M:$M,'2026'!$J:$J,$B106&amp;$C106,'2026'!$O:$O,L$4)</f>
        <v>0</v>
      </c>
      <c r="M106" s="30">
        <f>SUMIFS('2026'!$M:$M,'2026'!$J:$J,$B106&amp;$C106,'2026'!$O:$O,M$4)</f>
        <v>0</v>
      </c>
      <c r="N106" s="30">
        <f>SUMIFS('2026'!$M:$M,'2026'!$J:$J,$B106&amp;$C106,'2026'!$O:$O,N$4)</f>
        <v>0</v>
      </c>
      <c r="O106" s="30">
        <f>SUMIFS('2026'!$M:$M,'2026'!$J:$J,$B106&amp;$C106,'2026'!$O:$O,O$4)</f>
        <v>0</v>
      </c>
      <c r="P106" s="61">
        <f t="shared" si="69"/>
        <v>0</v>
      </c>
      <c r="Q106" s="7">
        <v>0</v>
      </c>
      <c r="R106" s="8">
        <f t="shared" si="65"/>
        <v>0</v>
      </c>
      <c r="S106" s="9" t="str">
        <f t="shared" si="71"/>
        <v/>
      </c>
      <c r="T106" s="75"/>
      <c r="U106" s="61">
        <v>224.53001999999998</v>
      </c>
      <c r="V106" s="61">
        <v>0</v>
      </c>
      <c r="W106" s="7">
        <v>0</v>
      </c>
      <c r="X106" s="627">
        <v>0</v>
      </c>
      <c r="Y106" s="14" t="e">
        <f t="shared" si="67"/>
        <v>#DIV/0!</v>
      </c>
      <c r="Z106" s="15">
        <f t="shared" si="68"/>
        <v>0</v>
      </c>
      <c r="AA106" s="2" t="s">
        <v>15</v>
      </c>
      <c r="AB106" s="7">
        <v>0</v>
      </c>
    </row>
    <row r="107" spans="1:28" ht="15" customHeight="1">
      <c r="A107" s="2" t="s">
        <v>29</v>
      </c>
      <c r="B107" s="36">
        <v>3910</v>
      </c>
      <c r="C107" s="36" t="s">
        <v>29</v>
      </c>
      <c r="D107" s="30">
        <f>SUMIFS('2026'!$M:$M,'2026'!$J:$J,$B107&amp;$C107,'2026'!$O:$O,D$4)</f>
        <v>0</v>
      </c>
      <c r="E107" s="30">
        <f>SUMIFS('2026'!$M:$M,'2026'!$J:$J,$B107&amp;$C107,'2026'!$O:$O,E$4)</f>
        <v>0</v>
      </c>
      <c r="F107" s="30">
        <f>SUMIFS('2026'!$M:$M,'2026'!$J:$J,$B107&amp;$C107,'2026'!$O:$O,F$4)</f>
        <v>0</v>
      </c>
      <c r="G107" s="30">
        <f>SUMIFS('2026'!$M:$M,'2026'!$J:$J,$B107&amp;$C107,'2026'!$O:$O,G$4)</f>
        <v>0</v>
      </c>
      <c r="H107" s="30">
        <f>SUMIFS('2026'!$M:$M,'2026'!$J:$J,$B107&amp;$C107,'2026'!$O:$O,H$4)</f>
        <v>0</v>
      </c>
      <c r="I107" s="61">
        <f>SUMIFS('2026'!$M:$M,'2026'!$J:$J,$B107&amp;$C107,'2026'!$O:$O,I$4)</f>
        <v>0</v>
      </c>
      <c r="J107" s="30">
        <f>SUMIFS('2026'!$M:$M,'2026'!$J:$J,$B107&amp;$C107,'2026'!$O:$O,J$4)</f>
        <v>0</v>
      </c>
      <c r="K107" s="30">
        <f>SUMIFS('2026'!$M:$M,'2026'!$J:$J,$B107&amp;$C107,'2026'!$O:$O,K$4)</f>
        <v>0</v>
      </c>
      <c r="L107" s="30">
        <f>SUMIFS('2026'!$M:$M,'2026'!$J:$J,$B107&amp;$C107,'2026'!$O:$O,L$4)</f>
        <v>0</v>
      </c>
      <c r="M107" s="30">
        <f>SUMIFS('2026'!$M:$M,'2026'!$J:$J,$B107&amp;$C107,'2026'!$O:$O,M$4)</f>
        <v>0</v>
      </c>
      <c r="N107" s="30">
        <f>SUMIFS('2026'!$M:$M,'2026'!$J:$J,$B107&amp;$C107,'2026'!$O:$O,N$4)</f>
        <v>0</v>
      </c>
      <c r="O107" s="30">
        <f>SUMIFS('2026'!$M:$M,'2026'!$J:$J,$B107&amp;$C107,'2026'!$O:$O,O$4)</f>
        <v>0</v>
      </c>
      <c r="P107" s="61">
        <f>SUM(D107:O107)</f>
        <v>0</v>
      </c>
      <c r="Q107" s="7">
        <v>0</v>
      </c>
      <c r="R107" s="8">
        <f t="shared" si="65"/>
        <v>0</v>
      </c>
      <c r="S107" s="9" t="str">
        <f t="shared" si="71"/>
        <v/>
      </c>
      <c r="T107" s="75"/>
      <c r="U107" s="61">
        <v>438.38018399999999</v>
      </c>
      <c r="V107" s="61">
        <v>438.38018399999999</v>
      </c>
      <c r="W107" s="7">
        <v>438.38018399999999</v>
      </c>
      <c r="X107" s="626">
        <v>1160.4090079999999</v>
      </c>
      <c r="Y107" s="14">
        <f t="shared" si="67"/>
        <v>-1</v>
      </c>
      <c r="Z107" s="15">
        <f t="shared" si="68"/>
        <v>-438.38018399999999</v>
      </c>
      <c r="AA107" s="2" t="s">
        <v>8</v>
      </c>
      <c r="AB107" s="7">
        <v>0</v>
      </c>
    </row>
    <row r="108" spans="1:28" ht="15" customHeight="1">
      <c r="A108" s="2" t="s">
        <v>39</v>
      </c>
      <c r="B108" s="36" t="s">
        <v>133</v>
      </c>
      <c r="C108" s="36" t="s">
        <v>39</v>
      </c>
      <c r="D108" s="30">
        <f>SUMIFS('2026'!$M:$M,'2026'!$J:$J,$B108&amp;$C108,'2026'!$O:$O,D$4)</f>
        <v>1356.8669160000011</v>
      </c>
      <c r="E108" s="30">
        <f>SUMIFS('2026'!$M:$M,'2026'!$J:$J,$B108&amp;$C108,'2026'!$O:$O,E$4)</f>
        <v>680.97119999999995</v>
      </c>
      <c r="F108" s="30">
        <f>SUMIFS('2026'!$M:$M,'2026'!$J:$J,$B108&amp;$C108,'2026'!$O:$O,F$4)</f>
        <v>1096.5552000000007</v>
      </c>
      <c r="G108" s="30">
        <f>SUMIFS('2026'!$M:$M,'2026'!$J:$J,$B108&amp;$C108,'2026'!$O:$O,G$4)</f>
        <v>1026.215424</v>
      </c>
      <c r="H108" s="30">
        <f>SUMIFS('2026'!$M:$M,'2026'!$J:$J,$B108&amp;$C108,'2026'!$O:$O,H$4)</f>
        <v>1269.6432998400001</v>
      </c>
      <c r="I108" s="61">
        <f>SUMIFS('2026'!$M:$M,'2026'!$J:$J,$B108&amp;$C108,'2026'!$O:$O,I$4)</f>
        <v>1273.3044479999999</v>
      </c>
      <c r="J108" s="30">
        <f>SUMIFS('2026'!$M:$M,'2026'!$J:$J,$B108&amp;$C108,'2026'!$O:$O,J$4)</f>
        <v>1145.0880758807589</v>
      </c>
      <c r="K108" s="30">
        <f>SUMIFS('2026'!$M:$M,'2026'!$J:$J,$B108&amp;$C108,'2026'!$O:$O,K$4)</f>
        <v>1185.9840785907859</v>
      </c>
      <c r="L108" s="30">
        <f>SUMIFS('2026'!$M:$M,'2026'!$J:$J,$B108&amp;$C108,'2026'!$O:$O,L$4)</f>
        <v>1145.0880758807589</v>
      </c>
      <c r="M108" s="30">
        <f>SUMIFS('2026'!$M:$M,'2026'!$J:$J,$B108&amp;$C108,'2026'!$O:$O,M$4)</f>
        <v>1226.8800813008131</v>
      </c>
      <c r="N108" s="30">
        <f>SUMIFS('2026'!$M:$M,'2026'!$J:$J,$B108&amp;$C108,'2026'!$O:$O,N$4)</f>
        <v>0</v>
      </c>
      <c r="O108" s="30">
        <f>SUMIFS('2026'!$M:$M,'2026'!$J:$J,$B108&amp;$C108,'2026'!$O:$O,O$4)</f>
        <v>0</v>
      </c>
      <c r="P108" s="61">
        <f t="shared" ref="P108" si="72">SUM(D108:O108)</f>
        <v>11406.596799493116</v>
      </c>
      <c r="Q108" s="7">
        <v>10883.944912704606</v>
      </c>
      <c r="R108" s="8">
        <f t="shared" si="65"/>
        <v>522.65188678850973</v>
      </c>
      <c r="S108" s="9">
        <f t="shared" si="71"/>
        <v>4.802044580163474E-2</v>
      </c>
      <c r="T108" s="78"/>
      <c r="U108" s="61">
        <v>17197.636332000027</v>
      </c>
      <c r="V108" s="61">
        <v>15986.291826899991</v>
      </c>
      <c r="W108" s="7">
        <v>16111.312525199994</v>
      </c>
      <c r="X108" s="639">
        <v>8561.9090519999918</v>
      </c>
      <c r="Y108" s="14">
        <f t="shared" si="67"/>
        <v>-0.28647638095162653</v>
      </c>
      <c r="Z108" s="15">
        <f t="shared" si="68"/>
        <v>-4579.6950274068749</v>
      </c>
      <c r="AA108" s="2" t="s">
        <v>15</v>
      </c>
      <c r="AB108" s="7">
        <v>11935.08943089431</v>
      </c>
    </row>
    <row r="109" spans="1:28" ht="15" customHeight="1">
      <c r="A109" s="2" t="s">
        <v>38</v>
      </c>
      <c r="B109" s="36" t="s">
        <v>133</v>
      </c>
      <c r="C109" s="36" t="s">
        <v>38</v>
      </c>
      <c r="D109" s="30">
        <f>SUMIFS('2026'!$M:$M,'2026'!$J:$J,$B109&amp;$C109,'2026'!$O:$O,D$4)</f>
        <v>0</v>
      </c>
      <c r="E109" s="30">
        <f>SUMIFS('2026'!$M:$M,'2026'!$J:$J,$B109&amp;$C109,'2026'!$O:$O,E$4)</f>
        <v>0</v>
      </c>
      <c r="F109" s="30">
        <f>SUMIFS('2026'!$M:$M,'2026'!$J:$J,$B109&amp;$C109,'2026'!$O:$O,F$4)</f>
        <v>81.289920000000009</v>
      </c>
      <c r="G109" s="30">
        <f>SUMIFS('2026'!$M:$M,'2026'!$J:$J,$B109&amp;$C109,'2026'!$O:$O,G$4)</f>
        <v>11.476224</v>
      </c>
      <c r="H109" s="30">
        <f>SUMIFS('2026'!$M:$M,'2026'!$J:$J,$B109&amp;$C109,'2026'!$O:$O,H$4)</f>
        <v>98.108213759999998</v>
      </c>
      <c r="I109" s="61">
        <f>SUMIFS('2026'!$M:$M,'2026'!$J:$J,$B109&amp;$C109,'2026'!$O:$O,I$4)</f>
        <v>137.714688</v>
      </c>
      <c r="J109" s="30">
        <f>SUMIFS('2026'!$M:$M,'2026'!$J:$J,$B109&amp;$C109,'2026'!$O:$O,J$4)</f>
        <v>0</v>
      </c>
      <c r="K109" s="30">
        <f>SUMIFS('2026'!$M:$M,'2026'!$J:$J,$B109&amp;$C109,'2026'!$O:$O,K$4)</f>
        <v>0</v>
      </c>
      <c r="L109" s="30">
        <f>SUMIFS('2026'!$M:$M,'2026'!$J:$J,$B109&amp;$C109,'2026'!$O:$O,L$4)</f>
        <v>0</v>
      </c>
      <c r="M109" s="30">
        <f>SUMIFS('2026'!$M:$M,'2026'!$J:$J,$B109&amp;$C109,'2026'!$O:$O,M$4)</f>
        <v>0</v>
      </c>
      <c r="N109" s="30">
        <f>SUMIFS('2026'!$M:$M,'2026'!$J:$J,$B109&amp;$C109,'2026'!$O:$O,N$4)</f>
        <v>0</v>
      </c>
      <c r="O109" s="30">
        <f>SUMIFS('2026'!$M:$M,'2026'!$J:$J,$B109&amp;$C109,'2026'!$O:$O,O$4)</f>
        <v>0</v>
      </c>
      <c r="P109" s="61">
        <f>SUM(D109:O109)</f>
        <v>328.58904575999998</v>
      </c>
      <c r="Q109" s="7">
        <v>536.73784703999991</v>
      </c>
      <c r="R109" s="8">
        <f t="shared" si="65"/>
        <v>-208.14880127999993</v>
      </c>
      <c r="S109" s="9">
        <f t="shared" si="71"/>
        <v>-0.38780347319999559</v>
      </c>
      <c r="T109" s="78"/>
      <c r="U109" s="61">
        <v>0</v>
      </c>
      <c r="V109" s="61">
        <v>0</v>
      </c>
      <c r="W109" s="7">
        <v>0</v>
      </c>
      <c r="X109" s="627">
        <v>0</v>
      </c>
      <c r="Y109" s="14" t="e">
        <f t="shared" si="67"/>
        <v>#DIV/0!</v>
      </c>
      <c r="Z109" s="15">
        <f t="shared" si="68"/>
        <v>328.58904575999998</v>
      </c>
      <c r="AA109" s="2" t="s">
        <v>15</v>
      </c>
      <c r="AB109" s="7">
        <v>0</v>
      </c>
    </row>
    <row r="110" spans="1:28" ht="15" customHeight="1">
      <c r="A110" s="2" t="s">
        <v>35</v>
      </c>
      <c r="B110" s="36" t="s">
        <v>139</v>
      </c>
      <c r="C110" s="36" t="s">
        <v>38</v>
      </c>
      <c r="D110" s="30">
        <f>SUMIFS('2026'!$M:$M,'2026'!$J:$J,$B110&amp;$C110,'2026'!$O:$O,D$4)</f>
        <v>0</v>
      </c>
      <c r="E110" s="30">
        <f>SUMIFS('2026'!$M:$M,'2026'!$J:$J,$B110&amp;$C110,'2026'!$O:$O,E$4)</f>
        <v>0</v>
      </c>
      <c r="F110" s="30">
        <f>SUMIFS('2026'!$M:$M,'2026'!$J:$J,$B110&amp;$C110,'2026'!$O:$O,F$4)</f>
        <v>6.0410879999999993</v>
      </c>
      <c r="G110" s="30">
        <f>SUMIFS('2026'!$M:$M,'2026'!$J:$J,$B110&amp;$C110,'2026'!$O:$O,G$4)</f>
        <v>43.193779199999994</v>
      </c>
      <c r="H110" s="30">
        <f>SUMIFS('2026'!$M:$M,'2026'!$J:$J,$B110&amp;$C110,'2026'!$O:$O,H$4)</f>
        <v>25.237094399999997</v>
      </c>
      <c r="I110" s="61">
        <f>SUMIFS('2026'!$M:$M,'2026'!$J:$J,$B110&amp;$C110,'2026'!$O:$O,I$4)</f>
        <v>0</v>
      </c>
      <c r="J110" s="30">
        <f>SUMIFS('2026'!$M:$M,'2026'!$J:$J,$B110&amp;$C110,'2026'!$O:$O,J$4)</f>
        <v>0</v>
      </c>
      <c r="K110" s="30">
        <f>SUMIFS('2026'!$M:$M,'2026'!$J:$J,$B110&amp;$C110,'2026'!$O:$O,K$4)</f>
        <v>0</v>
      </c>
      <c r="L110" s="30">
        <f>SUMIFS('2026'!$M:$M,'2026'!$J:$J,$B110&amp;$C110,'2026'!$O:$O,L$4)</f>
        <v>0</v>
      </c>
      <c r="M110" s="30">
        <f>SUMIFS('2026'!$M:$M,'2026'!$J:$J,$B110&amp;$C110,'2026'!$O:$O,M$4)</f>
        <v>0</v>
      </c>
      <c r="N110" s="30">
        <f>SUMIFS('2026'!$M:$M,'2026'!$J:$J,$B110&amp;$C110,'2026'!$O:$O,N$4)</f>
        <v>0</v>
      </c>
      <c r="O110" s="30">
        <f>SUMIFS('2026'!$M:$M,'2026'!$J:$J,$B110&amp;$C110,'2026'!$O:$O,O$4)</f>
        <v>0</v>
      </c>
      <c r="P110" s="61">
        <f>SUM(D110:O110)</f>
        <v>74.471961599999986</v>
      </c>
      <c r="Q110" s="7">
        <v>37.689062399999997</v>
      </c>
      <c r="R110" s="8">
        <f t="shared" si="65"/>
        <v>36.782899199999989</v>
      </c>
      <c r="S110" s="9">
        <f t="shared" si="71"/>
        <v>0.9759568654061288</v>
      </c>
      <c r="T110" s="78"/>
      <c r="U110" s="61">
        <v>0</v>
      </c>
      <c r="V110" s="61">
        <v>0</v>
      </c>
      <c r="W110" s="7">
        <v>0</v>
      </c>
      <c r="X110" s="627">
        <v>0</v>
      </c>
      <c r="Y110" s="14" t="e">
        <f t="shared" si="67"/>
        <v>#DIV/0!</v>
      </c>
      <c r="Z110" s="15">
        <f t="shared" si="68"/>
        <v>74.471961599999986</v>
      </c>
      <c r="AA110" s="2" t="s">
        <v>15</v>
      </c>
      <c r="AB110" s="7">
        <v>0</v>
      </c>
    </row>
    <row r="111" spans="1:28" ht="15" customHeight="1">
      <c r="A111" s="2" t="s">
        <v>38</v>
      </c>
      <c r="B111" s="36" t="s">
        <v>134</v>
      </c>
      <c r="C111" s="36" t="s">
        <v>37</v>
      </c>
      <c r="D111" s="30">
        <f>SUMIFS('2026'!$M:$M,'2026'!$J:$J,$B111&amp;$C111,'2026'!$O:$O,D$4)</f>
        <v>0</v>
      </c>
      <c r="E111" s="30">
        <f>SUMIFS('2026'!$M:$M,'2026'!$J:$J,$B111&amp;$C111,'2026'!$O:$O,E$4)</f>
        <v>0</v>
      </c>
      <c r="F111" s="30">
        <f>SUMIFS('2026'!$M:$M,'2026'!$J:$J,$B111&amp;$C111,'2026'!$O:$O,F$4)</f>
        <v>0</v>
      </c>
      <c r="G111" s="30">
        <f>SUMIFS('2026'!$M:$M,'2026'!$J:$J,$B111&amp;$C111,'2026'!$O:$O,G$4)</f>
        <v>0</v>
      </c>
      <c r="H111" s="30">
        <f>SUMIFS('2026'!$M:$M,'2026'!$J:$J,$B111&amp;$C111,'2026'!$O:$O,H$4)</f>
        <v>0</v>
      </c>
      <c r="I111" s="61">
        <f>SUMIFS('2026'!$M:$M,'2026'!$J:$J,$B111&amp;$C111,'2026'!$O:$O,I$4)</f>
        <v>0</v>
      </c>
      <c r="J111" s="30">
        <f>SUMIFS('2026'!$M:$M,'2026'!$J:$J,$B111&amp;$C111,'2026'!$O:$O,J$4)</f>
        <v>0</v>
      </c>
      <c r="K111" s="30">
        <f>SUMIFS('2026'!$M:$M,'2026'!$J:$J,$B111&amp;$C111,'2026'!$O:$O,K$4)</f>
        <v>0</v>
      </c>
      <c r="L111" s="30">
        <f>SUMIFS('2026'!$M:$M,'2026'!$J:$J,$B111&amp;$C111,'2026'!$O:$O,L$4)</f>
        <v>0</v>
      </c>
      <c r="M111" s="30">
        <f>SUMIFS('2026'!$M:$M,'2026'!$J:$J,$B111&amp;$C111,'2026'!$O:$O,M$4)</f>
        <v>0</v>
      </c>
      <c r="N111" s="30">
        <f>SUMIFS('2026'!$M:$M,'2026'!$J:$J,$B111&amp;$C111,'2026'!$O:$O,N$4)</f>
        <v>0</v>
      </c>
      <c r="O111" s="30">
        <f>SUMIFS('2026'!$M:$M,'2026'!$J:$J,$B111&amp;$C111,'2026'!$O:$O,O$4)</f>
        <v>0</v>
      </c>
      <c r="P111" s="61">
        <f t="shared" si="69"/>
        <v>0</v>
      </c>
      <c r="Q111" s="7">
        <v>0</v>
      </c>
      <c r="R111" s="8">
        <f t="shared" si="65"/>
        <v>0</v>
      </c>
      <c r="S111" s="9" t="str">
        <f t="shared" si="71"/>
        <v/>
      </c>
      <c r="T111" s="75"/>
      <c r="U111" s="61">
        <v>0</v>
      </c>
      <c r="V111" s="61">
        <v>0</v>
      </c>
      <c r="W111" s="7">
        <v>0</v>
      </c>
      <c r="X111" s="627">
        <v>0</v>
      </c>
      <c r="Y111" s="14" t="e">
        <f t="shared" si="67"/>
        <v>#DIV/0!</v>
      </c>
      <c r="Z111" s="15">
        <f t="shared" si="68"/>
        <v>0</v>
      </c>
      <c r="AA111" s="2" t="s">
        <v>15</v>
      </c>
      <c r="AB111" s="7">
        <v>0</v>
      </c>
    </row>
    <row r="112" spans="1:28" ht="15" customHeight="1">
      <c r="A112" s="2" t="s">
        <v>182</v>
      </c>
      <c r="B112" s="36" t="s">
        <v>136</v>
      </c>
      <c r="C112" s="36" t="s">
        <v>135</v>
      </c>
      <c r="D112" s="30">
        <f>SUMIFS('2026'!$M:$M,'2026'!$J:$J,$B112&amp;$C112,'2026'!$O:$O,D$4)</f>
        <v>0</v>
      </c>
      <c r="E112" s="30">
        <f>SUMIFS('2026'!$M:$M,'2026'!$J:$J,$B112&amp;$C112,'2026'!$O:$O,E$4)</f>
        <v>0</v>
      </c>
      <c r="F112" s="30">
        <f>SUMIFS('2026'!$M:$M,'2026'!$J:$J,$B112&amp;$C112,'2026'!$O:$O,F$4)</f>
        <v>0</v>
      </c>
      <c r="G112" s="30">
        <f>SUMIFS('2026'!$M:$M,'2026'!$J:$J,$B112&amp;$C112,'2026'!$O:$O,G$4)</f>
        <v>0</v>
      </c>
      <c r="H112" s="30">
        <f>SUMIFS('2026'!$M:$M,'2026'!$J:$J,$B112&amp;$C112,'2026'!$O:$O,H$4)</f>
        <v>0</v>
      </c>
      <c r="I112" s="61">
        <f>SUMIFS('2026'!$M:$M,'2026'!$J:$J,$B112&amp;$C112,'2026'!$O:$O,I$4)</f>
        <v>0</v>
      </c>
      <c r="J112" s="30">
        <f>SUMIFS('2026'!$M:$M,'2026'!$J:$J,$B112&amp;$C112,'2026'!$O:$O,J$4)</f>
        <v>0</v>
      </c>
      <c r="K112" s="30">
        <f>SUMIFS('2026'!$M:$M,'2026'!$J:$J,$B112&amp;$C112,'2026'!$O:$O,K$4)</f>
        <v>0</v>
      </c>
      <c r="L112" s="30">
        <f>SUMIFS('2026'!$M:$M,'2026'!$J:$J,$B112&amp;$C112,'2026'!$O:$O,L$4)</f>
        <v>0</v>
      </c>
      <c r="M112" s="30">
        <f>SUMIFS('2026'!$M:$M,'2026'!$J:$J,$B112&amp;$C112,'2026'!$O:$O,M$4)</f>
        <v>0</v>
      </c>
      <c r="N112" s="30">
        <f>SUMIFS('2026'!$M:$M,'2026'!$J:$J,$B112&amp;$C112,'2026'!$O:$O,N$4)</f>
        <v>0</v>
      </c>
      <c r="O112" s="30">
        <f>SUMIFS('2026'!$M:$M,'2026'!$J:$J,$B112&amp;$C112,'2026'!$O:$O,O$4)</f>
        <v>0</v>
      </c>
      <c r="P112" s="61">
        <f t="shared" si="69"/>
        <v>0</v>
      </c>
      <c r="Q112" s="7">
        <v>0</v>
      </c>
      <c r="R112" s="8">
        <f t="shared" si="65"/>
        <v>0</v>
      </c>
      <c r="S112" s="9" t="str">
        <f t="shared" si="71"/>
        <v/>
      </c>
      <c r="T112" s="75"/>
      <c r="U112" s="61">
        <v>0</v>
      </c>
      <c r="V112" s="61">
        <v>0</v>
      </c>
      <c r="W112" s="7">
        <v>0</v>
      </c>
      <c r="X112" s="640">
        <v>51.747300000000003</v>
      </c>
      <c r="Y112" s="14" t="e">
        <f t="shared" si="67"/>
        <v>#DIV/0!</v>
      </c>
      <c r="Z112" s="15">
        <f t="shared" si="68"/>
        <v>0</v>
      </c>
      <c r="AA112" s="2" t="s">
        <v>15</v>
      </c>
      <c r="AB112" s="7">
        <v>0</v>
      </c>
    </row>
    <row r="113" spans="1:28" ht="15" customHeight="1">
      <c r="A113" s="2" t="s">
        <v>35</v>
      </c>
      <c r="B113" s="36" t="s">
        <v>137</v>
      </c>
      <c r="C113" s="36" t="s">
        <v>35</v>
      </c>
      <c r="D113" s="30">
        <f>SUMIFS('2026'!$M:$M,'2026'!$J:$J,$B113&amp;$C113,'2026'!$O:$O,D$4)</f>
        <v>0</v>
      </c>
      <c r="E113" s="30">
        <f>SUMIFS('2026'!$M:$M,'2026'!$J:$J,$B113&amp;$C113,'2026'!$O:$O,E$4)</f>
        <v>25.5456</v>
      </c>
      <c r="F113" s="30">
        <f>SUMIFS('2026'!$M:$M,'2026'!$J:$J,$B113&amp;$C113,'2026'!$O:$O,F$4)</f>
        <v>22.505472000000001</v>
      </c>
      <c r="G113" s="30">
        <f>SUMIFS('2026'!$M:$M,'2026'!$J:$J,$B113&amp;$C113,'2026'!$O:$O,G$4)</f>
        <v>454.14604800000006</v>
      </c>
      <c r="H113" s="30">
        <f>SUMIFS('2026'!$M:$M,'2026'!$J:$J,$B113&amp;$C113,'2026'!$O:$O,H$4)</f>
        <v>255.733632</v>
      </c>
      <c r="I113" s="61">
        <f>SUMIFS('2026'!$M:$M,'2026'!$J:$J,$B113&amp;$C113,'2026'!$O:$O,I$4)</f>
        <v>112.52736000000002</v>
      </c>
      <c r="J113" s="30">
        <f>SUMIFS('2026'!$M:$M,'2026'!$J:$J,$B113&amp;$C113,'2026'!$O:$O,J$4)</f>
        <v>173.97504000000001</v>
      </c>
      <c r="K113" s="30">
        <f>SUMIFS('2026'!$M:$M,'2026'!$J:$J,$B113&amp;$C113,'2026'!$O:$O,K$4)</f>
        <v>0</v>
      </c>
      <c r="L113" s="30">
        <f>SUMIFS('2026'!$M:$M,'2026'!$J:$J,$B113&amp;$C113,'2026'!$O:$O,L$4)</f>
        <v>0</v>
      </c>
      <c r="M113" s="30">
        <f>SUMIFS('2026'!$M:$M,'2026'!$J:$J,$B113&amp;$C113,'2026'!$O:$O,M$4)</f>
        <v>65.281213440000002</v>
      </c>
      <c r="N113" s="30">
        <f>SUMIFS('2026'!$M:$M,'2026'!$J:$J,$B113&amp;$C113,'2026'!$O:$O,N$4)</f>
        <v>0</v>
      </c>
      <c r="O113" s="30">
        <f>SUMIFS('2026'!$M:$M,'2026'!$J:$J,$B113&amp;$C113,'2026'!$O:$O,O$4)</f>
        <v>0</v>
      </c>
      <c r="P113" s="61">
        <f t="shared" si="69"/>
        <v>1109.7143654400002</v>
      </c>
      <c r="Q113" s="7">
        <v>1097.1388108800004</v>
      </c>
      <c r="R113" s="8">
        <f t="shared" si="65"/>
        <v>12.575554559999773</v>
      </c>
      <c r="S113" s="9">
        <f t="shared" si="71"/>
        <v>1.1462136272358361E-2</v>
      </c>
      <c r="T113" s="75"/>
      <c r="U113" s="61">
        <v>2707.3428599999997</v>
      </c>
      <c r="V113" s="61">
        <v>2270.4480239999998</v>
      </c>
      <c r="W113" s="7">
        <v>1903.0294319999998</v>
      </c>
      <c r="X113" s="639">
        <v>3611.2656239999997</v>
      </c>
      <c r="Y113" s="14">
        <f t="shared" si="67"/>
        <v>-0.51123551223826635</v>
      </c>
      <c r="Z113" s="15">
        <f t="shared" si="68"/>
        <v>-1160.7336585599996</v>
      </c>
      <c r="AA113" s="2" t="s">
        <v>15</v>
      </c>
      <c r="AB113" s="7">
        <v>2069.4707399999998</v>
      </c>
    </row>
    <row r="114" spans="1:28" ht="15" customHeight="1">
      <c r="A114" s="2" t="s">
        <v>38</v>
      </c>
      <c r="B114" s="36" t="s">
        <v>137</v>
      </c>
      <c r="C114" s="36" t="s">
        <v>38</v>
      </c>
      <c r="D114" s="30">
        <f>SUMIFS('2026'!$M:$M,'2026'!$J:$J,$B114&amp;$C114,'2026'!$O:$O,D$4)</f>
        <v>0</v>
      </c>
      <c r="E114" s="30">
        <f>SUMIFS('2026'!$M:$M,'2026'!$J:$J,$B114&amp;$C114,'2026'!$O:$O,E$4)</f>
        <v>0</v>
      </c>
      <c r="F114" s="30">
        <f>SUMIFS('2026'!$M:$M,'2026'!$J:$J,$B114&amp;$C114,'2026'!$O:$O,F$4)</f>
        <v>0</v>
      </c>
      <c r="G114" s="30">
        <f>SUMIFS('2026'!$M:$M,'2026'!$J:$J,$B114&amp;$C114,'2026'!$O:$O,G$4)</f>
        <v>0</v>
      </c>
      <c r="H114" s="30">
        <f>SUMIFS('2026'!$M:$M,'2026'!$J:$J,$B114&amp;$C114,'2026'!$O:$O,H$4)</f>
        <v>0</v>
      </c>
      <c r="I114" s="61">
        <f>SUMIFS('2026'!$M:$M,'2026'!$J:$J,$B114&amp;$C114,'2026'!$O:$O,I$4)</f>
        <v>0</v>
      </c>
      <c r="J114" s="30">
        <f>SUMIFS('2026'!$M:$M,'2026'!$J:$J,$B114&amp;$C114,'2026'!$O:$O,J$4)</f>
        <v>0</v>
      </c>
      <c r="K114" s="30">
        <f>SUMIFS('2026'!$M:$M,'2026'!$J:$J,$B114&amp;$C114,'2026'!$O:$O,K$4)</f>
        <v>0</v>
      </c>
      <c r="L114" s="30">
        <f>SUMIFS('2026'!$M:$M,'2026'!$J:$J,$B114&amp;$C114,'2026'!$O:$O,L$4)</f>
        <v>0</v>
      </c>
      <c r="M114" s="30">
        <f>SUMIFS('2026'!$M:$M,'2026'!$J:$J,$B114&amp;$C114,'2026'!$O:$O,M$4)</f>
        <v>0</v>
      </c>
      <c r="N114" s="30">
        <f>SUMIFS('2026'!$M:$M,'2026'!$J:$J,$B114&amp;$C114,'2026'!$O:$O,N$4)</f>
        <v>0</v>
      </c>
      <c r="O114" s="30">
        <f>SUMIFS('2026'!$M:$M,'2026'!$J:$J,$B114&amp;$C114,'2026'!$O:$O,O$4)</f>
        <v>0</v>
      </c>
      <c r="P114" s="61">
        <f>SUM(D114:O114)</f>
        <v>0</v>
      </c>
      <c r="Q114" s="7">
        <v>73.727999999999994</v>
      </c>
      <c r="R114" s="8">
        <f t="shared" si="65"/>
        <v>-73.727999999999994</v>
      </c>
      <c r="S114" s="9">
        <f t="shared" si="71"/>
        <v>-1</v>
      </c>
      <c r="T114" s="75"/>
      <c r="U114" s="61">
        <v>244.49663999999993</v>
      </c>
      <c r="V114" s="61">
        <v>247.82975999999996</v>
      </c>
      <c r="W114" s="7">
        <v>236.16767999999996</v>
      </c>
      <c r="X114" s="639">
        <v>154.06847999999994</v>
      </c>
      <c r="Y114" s="14">
        <f t="shared" si="67"/>
        <v>-1</v>
      </c>
      <c r="Z114" s="15">
        <f t="shared" si="68"/>
        <v>-247.82975999999996</v>
      </c>
      <c r="AA114" s="2" t="s">
        <v>15</v>
      </c>
      <c r="AB114" s="7">
        <v>127.488</v>
      </c>
    </row>
    <row r="115" spans="1:28" ht="15" customHeight="1">
      <c r="A115" s="2" t="s">
        <v>34</v>
      </c>
      <c r="B115" s="36" t="s">
        <v>139</v>
      </c>
      <c r="C115" s="36" t="s">
        <v>34</v>
      </c>
      <c r="D115" s="30">
        <f>SUMIFS('2026'!$M:$M,'2026'!$J:$J,$B115&amp;$C115,'2026'!$O:$O,D$4)</f>
        <v>439.58999999999986</v>
      </c>
      <c r="E115" s="30">
        <f>SUMIFS('2026'!$M:$M,'2026'!$J:$J,$B115&amp;$C115,'2026'!$O:$O,E$4)</f>
        <v>960.77257200000054</v>
      </c>
      <c r="F115" s="30">
        <f>SUMIFS('2026'!$M:$M,'2026'!$J:$J,$B115&amp;$C115,'2026'!$O:$O,F$4)</f>
        <v>690.8397599999995</v>
      </c>
      <c r="G115" s="30">
        <f>SUMIFS('2026'!$M:$M,'2026'!$J:$J,$B115&amp;$C115,'2026'!$O:$O,G$4)</f>
        <v>1769.1311231999998</v>
      </c>
      <c r="H115" s="30">
        <f>SUMIFS('2026'!$M:$M,'2026'!$J:$J,$B115&amp;$C115,'2026'!$O:$O,H$4)</f>
        <v>688.39280640000004</v>
      </c>
      <c r="I115" s="61">
        <f>SUMIFS('2026'!$M:$M,'2026'!$J:$J,$B115&amp;$C115,'2026'!$O:$O,I$4)</f>
        <v>661.65258240000003</v>
      </c>
      <c r="J115" s="30">
        <f>SUMIFS('2026'!$M:$M,'2026'!$J:$J,$B115&amp;$C115,'2026'!$O:$O,J$4)</f>
        <v>526.1239296</v>
      </c>
      <c r="K115" s="30">
        <f>SUMIFS('2026'!$M:$M,'2026'!$J:$J,$B115&amp;$C115,'2026'!$O:$O,K$4)</f>
        <v>857.70040319999998</v>
      </c>
      <c r="L115" s="30">
        <f>SUMIFS('2026'!$M:$M,'2026'!$J:$J,$B115&amp;$C115,'2026'!$O:$O,L$4)</f>
        <v>320.1830784</v>
      </c>
      <c r="M115" s="30">
        <f>SUMIFS('2026'!$M:$M,'2026'!$J:$J,$B115&amp;$C115,'2026'!$O:$O,M$4)</f>
        <v>331.87855103999999</v>
      </c>
      <c r="N115" s="30">
        <f>SUMIFS('2026'!$M:$M,'2026'!$J:$J,$B115&amp;$C115,'2026'!$O:$O,N$4)</f>
        <v>446.83683839999998</v>
      </c>
      <c r="O115" s="30">
        <f>SUMIFS('2026'!$M:$M,'2026'!$J:$J,$B115&amp;$C115,'2026'!$O:$O,O$4)</f>
        <v>305.33160959999998</v>
      </c>
      <c r="P115" s="61">
        <f>SUM(D115:O115)</f>
        <v>7998.4332542399998</v>
      </c>
      <c r="Q115" s="7">
        <v>7361.2301280000001</v>
      </c>
      <c r="R115" s="8">
        <f t="shared" ref="R115" si="73">P115-Q115</f>
        <v>637.20312623999962</v>
      </c>
      <c r="S115" s="9">
        <f t="shared" si="71"/>
        <v>8.6562044000806651E-2</v>
      </c>
      <c r="T115" s="98"/>
      <c r="U115" s="61">
        <v>10251.323261999996</v>
      </c>
      <c r="V115" s="61">
        <v>10422.617143777778</v>
      </c>
      <c r="W115" s="7">
        <v>9878.3231179999984</v>
      </c>
      <c r="X115" s="639">
        <v>11553.296100000009</v>
      </c>
      <c r="Y115" s="14">
        <f t="shared" si="67"/>
        <v>-0.23258878802671912</v>
      </c>
      <c r="Z115" s="15">
        <f t="shared" si="68"/>
        <v>-2424.1838895377778</v>
      </c>
      <c r="AA115" s="2" t="s">
        <v>15</v>
      </c>
      <c r="AB115" s="7">
        <v>10028.76080230986</v>
      </c>
    </row>
    <row r="116" spans="1:28" ht="15" customHeight="1">
      <c r="B116" s="10"/>
      <c r="C116" s="10" t="s">
        <v>183</v>
      </c>
      <c r="D116" s="11">
        <f t="shared" ref="D116:P116" si="74">SUM(D94:D115)</f>
        <v>2011.418908000001</v>
      </c>
      <c r="E116" s="11">
        <f t="shared" si="74"/>
        <v>1854.4824200000007</v>
      </c>
      <c r="F116" s="11">
        <f t="shared" si="74"/>
        <v>1985.9755980800001</v>
      </c>
      <c r="G116" s="11">
        <f t="shared" si="74"/>
        <v>3630.05846784</v>
      </c>
      <c r="H116" s="11">
        <f t="shared" si="74"/>
        <v>3200.8717958400002</v>
      </c>
      <c r="I116" s="11">
        <f t="shared" si="74"/>
        <v>4596.6687283199999</v>
      </c>
      <c r="J116" s="11">
        <f t="shared" si="74"/>
        <v>3904.3004918807583</v>
      </c>
      <c r="K116" s="11">
        <f t="shared" si="74"/>
        <v>2508.393532670786</v>
      </c>
      <c r="L116" s="11">
        <f t="shared" si="74"/>
        <v>1729.682840680759</v>
      </c>
      <c r="M116" s="11">
        <f t="shared" si="74"/>
        <v>1833.3590905808132</v>
      </c>
      <c r="N116" s="11">
        <f t="shared" si="74"/>
        <v>858.45672960000002</v>
      </c>
      <c r="O116" s="11">
        <f t="shared" si="74"/>
        <v>383.57160959999999</v>
      </c>
      <c r="P116" s="11">
        <f t="shared" si="74"/>
        <v>28497.240213093115</v>
      </c>
      <c r="Q116" s="11">
        <v>26431.099057344607</v>
      </c>
      <c r="R116" s="11">
        <f>SUM(R94:R115)</f>
        <v>2066.1411557485089</v>
      </c>
      <c r="S116" s="12">
        <f>IF(ISERROR(R116/Q116),"",R116/Q116)</f>
        <v>7.8170837741776564E-2</v>
      </c>
      <c r="T116" s="74"/>
      <c r="U116" s="11">
        <v>33615.247868000028</v>
      </c>
      <c r="V116" s="11">
        <v>31454.246752386571</v>
      </c>
      <c r="W116" s="11">
        <v>31440.008797737588</v>
      </c>
      <c r="X116" s="11">
        <v>27776.68622807433</v>
      </c>
      <c r="Y116" s="14">
        <f t="shared" si="67"/>
        <v>-9.400977116290643E-2</v>
      </c>
      <c r="Z116" s="15">
        <f t="shared" si="68"/>
        <v>-2957.0065392934557</v>
      </c>
      <c r="AB116" s="11">
        <v>34198.270433669895</v>
      </c>
    </row>
    <row r="117" spans="1:28" ht="15" customHeight="1">
      <c r="B117" s="16"/>
      <c r="C117" s="16"/>
      <c r="D117" s="184"/>
      <c r="E117" s="184"/>
      <c r="F117" s="184"/>
      <c r="G117" s="184"/>
      <c r="H117" s="185"/>
      <c r="I117" s="185"/>
      <c r="J117" s="185"/>
      <c r="K117" s="184"/>
      <c r="L117" s="184"/>
      <c r="M117" s="184"/>
      <c r="N117" s="184"/>
      <c r="O117" s="184"/>
      <c r="P117" s="17"/>
      <c r="Q117" s="13"/>
      <c r="R117" s="15"/>
      <c r="S117" s="14"/>
      <c r="U117" s="17"/>
      <c r="V117" s="17"/>
      <c r="W117" s="13"/>
      <c r="X117" s="13"/>
      <c r="AB117" s="13"/>
    </row>
    <row r="118" spans="1:28" s="25" customFormat="1" ht="30" customHeight="1">
      <c r="A118" s="2"/>
      <c r="B118" s="23"/>
      <c r="C118" s="23" t="s">
        <v>141</v>
      </c>
      <c r="D118" s="186">
        <f>SUM(D14,D22,D41,D53,D60,D116,D77,D69,D80,D90,D81,D82,D86,D87,D85,D88,D89,D84,D83,D136)</f>
        <v>41241.912410262492</v>
      </c>
      <c r="E118" s="186">
        <f t="shared" ref="E118:O118" si="75">SUM(E14,E22,E41,E53,E60,E116,E77,E69,E80,E90,E81,E82,E86,E87,E85,E88,E89,E84,E83,E136)</f>
        <v>49774.299310590315</v>
      </c>
      <c r="F118" s="186">
        <f t="shared" si="75"/>
        <v>60756.312870512629</v>
      </c>
      <c r="G118" s="186">
        <f t="shared" si="75"/>
        <v>54425.533855325855</v>
      </c>
      <c r="H118" s="186">
        <f t="shared" si="75"/>
        <v>52606.954558572361</v>
      </c>
      <c r="I118" s="186">
        <f>SUM(I14,I22,I41,I53,I60,I116,I77,I69,I80,I90,I81,I82,I86,I87,I85,I88,I89,I84,I83,I136)</f>
        <v>50693.715298272131</v>
      </c>
      <c r="J118" s="186">
        <f t="shared" si="75"/>
        <v>51052.408844455007</v>
      </c>
      <c r="K118" s="186">
        <f t="shared" si="75"/>
        <v>51811.290769175655</v>
      </c>
      <c r="L118" s="186">
        <f t="shared" si="75"/>
        <v>41714.691872801857</v>
      </c>
      <c r="M118" s="186">
        <f t="shared" si="75"/>
        <v>39562.760319055269</v>
      </c>
      <c r="N118" s="186">
        <f t="shared" si="75"/>
        <v>28093.367091755939</v>
      </c>
      <c r="O118" s="186">
        <f t="shared" si="75"/>
        <v>24933.449089085767</v>
      </c>
      <c r="P118" s="186">
        <f>SUM(P14,P22,P41,P53,P60,P116,P77,P69,P80,P90,P81,P82,P86,P87,P85,P88,P89,P84,P83,P136)</f>
        <v>546666.6962898653</v>
      </c>
      <c r="Q118" s="186">
        <v>545086.43323530408</v>
      </c>
      <c r="R118" s="24">
        <f>P118-Q118</f>
        <v>1580.2630545612192</v>
      </c>
      <c r="S118" s="97">
        <f>R118/Q118</f>
        <v>2.8991054596272585E-3</v>
      </c>
      <c r="T118" s="76"/>
      <c r="U118" s="186">
        <v>555314.19779462658</v>
      </c>
      <c r="V118" s="186">
        <v>562097.25979334861</v>
      </c>
      <c r="W118" s="186">
        <f>SUM(W14,W22,W41,W53,W60,W116,W77,W69,W80,W90,W81,W82,W86,W87,W85,W88,W89,W84,W83,W136)</f>
        <v>564117.66707023547</v>
      </c>
      <c r="X118" s="186">
        <f t="shared" ref="X118" si="76">SUM(X14,X22,X41,X53,X60,X116,X77,X69,X80,X90,X81,X82,X86,X87,X85,X88,X89,X83,X84)</f>
        <v>544362.46205556591</v>
      </c>
      <c r="Y118" s="14">
        <f t="shared" si="67"/>
        <v>-2.745176788293946E-2</v>
      </c>
      <c r="Z118" s="186">
        <f>SUM(Z14,Z22,Z41,Z53,Z60,Z116,Z77,Z69,Z80,Z90,Z81,Z82,Z86,Z87,Z85,Z88,Z89,Z84,Z83,Z136)</f>
        <v>-16006.048006483172</v>
      </c>
      <c r="AB118" s="186">
        <v>569586.457187525</v>
      </c>
    </row>
    <row r="119" spans="1:28" ht="15" customHeight="1">
      <c r="B119" s="23"/>
      <c r="C119" s="23" t="s">
        <v>142</v>
      </c>
      <c r="D119" s="186">
        <f>SUM(D14,D22,D41,D53)</f>
        <v>35257.919051086494</v>
      </c>
      <c r="E119" s="186">
        <f t="shared" ref="E119:P119" si="77">SUM(E14,E22,E41,E53)</f>
        <v>43628.301295974328</v>
      </c>
      <c r="F119" s="186">
        <f>SUM(F14,F22,F41,F53)</f>
        <v>53482.265427512626</v>
      </c>
      <c r="G119" s="186">
        <f t="shared" si="77"/>
        <v>45960.652321103633</v>
      </c>
      <c r="H119" s="186">
        <f t="shared" si="77"/>
        <v>40409.991780012366</v>
      </c>
      <c r="I119" s="186">
        <f t="shared" si="77"/>
        <v>40292.0841198899</v>
      </c>
      <c r="J119" s="186">
        <f t="shared" si="77"/>
        <v>42454.022640752024</v>
      </c>
      <c r="K119" s="186">
        <f t="shared" si="77"/>
        <v>44956.942215242656</v>
      </c>
      <c r="L119" s="186">
        <f t="shared" si="77"/>
        <v>36068.986246698878</v>
      </c>
      <c r="M119" s="186">
        <f t="shared" si="77"/>
        <v>33605.784961452235</v>
      </c>
      <c r="N119" s="186">
        <f t="shared" si="77"/>
        <v>22762.304675613719</v>
      </c>
      <c r="O119" s="186">
        <f t="shared" si="77"/>
        <v>21579.90116574354</v>
      </c>
      <c r="P119" s="24">
        <f t="shared" si="77"/>
        <v>460459.15590108233</v>
      </c>
      <c r="Q119" s="24">
        <v>461328.85735100874</v>
      </c>
      <c r="R119" s="24">
        <f>P119-Q119</f>
        <v>-869.70144992641872</v>
      </c>
      <c r="S119" s="97">
        <f>R119/Q119</f>
        <v>-1.8852092949925604E-3</v>
      </c>
      <c r="T119" s="76"/>
      <c r="U119" s="24">
        <v>472016.51615994674</v>
      </c>
      <c r="V119" s="24">
        <v>478288.81565502589</v>
      </c>
      <c r="W119" s="24">
        <v>479770.26640246192</v>
      </c>
      <c r="X119" s="24">
        <v>476274.76352893165</v>
      </c>
      <c r="Y119" s="14">
        <f t="shared" si="67"/>
        <v>-3.7278019410772689E-2</v>
      </c>
      <c r="Z119" s="15">
        <f t="shared" ref="Z119" si="78">P119-V119</f>
        <v>-17829.659753943561</v>
      </c>
      <c r="AB119" s="24">
        <v>486028.0899630952</v>
      </c>
    </row>
    <row r="120" spans="1:28" ht="15" customHeight="1">
      <c r="U120" s="2"/>
      <c r="V120" s="2"/>
      <c r="W120" s="2"/>
    </row>
    <row r="121" spans="1:28" ht="15" customHeight="1">
      <c r="B121" s="35"/>
      <c r="C121" s="1094" t="s">
        <v>143</v>
      </c>
      <c r="D121" s="1095"/>
      <c r="E121" s="1095"/>
      <c r="F121" s="1095"/>
      <c r="G121" s="1095"/>
      <c r="H121" s="1095"/>
      <c r="I121" s="1095"/>
      <c r="J121" s="1095"/>
      <c r="K121" s="1095"/>
      <c r="L121" s="1095"/>
      <c r="M121" s="1095"/>
      <c r="N121" s="1095"/>
      <c r="O121" s="1095"/>
      <c r="R121" s="31" t="s">
        <v>1372</v>
      </c>
      <c r="S121" s="32"/>
      <c r="T121" s="71" t="s">
        <v>66</v>
      </c>
      <c r="U121" s="2"/>
      <c r="V121" s="2"/>
      <c r="W121" s="2"/>
    </row>
    <row r="122" spans="1:28" ht="24.75" customHeight="1">
      <c r="B122" s="4"/>
      <c r="C122" s="4" t="s">
        <v>17</v>
      </c>
      <c r="D122" s="180" t="s">
        <v>68</v>
      </c>
      <c r="E122" s="180" t="s">
        <v>69</v>
      </c>
      <c r="F122" s="180" t="s">
        <v>70</v>
      </c>
      <c r="G122" s="180" t="s">
        <v>71</v>
      </c>
      <c r="H122" s="180" t="s">
        <v>72</v>
      </c>
      <c r="I122" s="180" t="s">
        <v>73</v>
      </c>
      <c r="J122" s="180" t="s">
        <v>74</v>
      </c>
      <c r="K122" s="180" t="s">
        <v>75</v>
      </c>
      <c r="L122" s="180" t="s">
        <v>76</v>
      </c>
      <c r="M122" s="180" t="s">
        <v>77</v>
      </c>
      <c r="N122" s="180" t="s">
        <v>78</v>
      </c>
      <c r="O122" s="180" t="s">
        <v>79</v>
      </c>
      <c r="P122" s="187" t="str">
        <f>P$4</f>
        <v>2026 MRF3</v>
      </c>
      <c r="Q122" s="188" t="s">
        <v>1309</v>
      </c>
      <c r="R122" s="5" t="str">
        <f t="shared" ref="R122:S122" si="79">R$4</f>
        <v>Difference</v>
      </c>
      <c r="S122" s="6" t="str">
        <f t="shared" si="79"/>
        <v>% change</v>
      </c>
      <c r="T122" s="72"/>
      <c r="U122" s="187" t="s">
        <v>1186</v>
      </c>
      <c r="V122" s="187" t="s">
        <v>82</v>
      </c>
      <c r="W122" s="188" t="s">
        <v>83</v>
      </c>
      <c r="X122" s="188">
        <v>2024</v>
      </c>
      <c r="AB122" s="188" t="s">
        <v>85</v>
      </c>
    </row>
    <row r="123" spans="1:28" ht="15" customHeight="1">
      <c r="A123" s="2" t="s">
        <v>38</v>
      </c>
      <c r="B123" s="36">
        <v>3985</v>
      </c>
      <c r="C123" s="36" t="s">
        <v>144</v>
      </c>
      <c r="D123" s="30">
        <f>SUMIFS('2026'!$M:$M,'2026'!$J:$J,$B123&amp;$C123,'2026'!$O:$O,D$4)</f>
        <v>0</v>
      </c>
      <c r="E123" s="30">
        <f>SUMIFS('2026'!$M:$M,'2026'!$J:$J,$B123&amp;$C123,'2026'!$O:$O,E$4)</f>
        <v>0</v>
      </c>
      <c r="F123" s="30">
        <f>SUMIFS('2026'!$M:$M,'2026'!$J:$J,$B123&amp;$C123,'2026'!$O:$O,F$4)</f>
        <v>0</v>
      </c>
      <c r="G123" s="30">
        <f>SUMIFS('2026'!$M:$M,'2026'!$J:$J,$B123&amp;$C123,'2026'!$O:$O,G$4)</f>
        <v>0</v>
      </c>
      <c r="H123" s="30">
        <f>SUMIFS('2026'!$M:$M,'2026'!$J:$J,$B123&amp;$C123,'2026'!$O:$O,H$4)</f>
        <v>0</v>
      </c>
      <c r="I123" s="61">
        <f>SUMIFS('2026'!$M:$M,'2026'!$J:$J,$B123&amp;$C123,'2026'!$O:$O,I$4)</f>
        <v>0</v>
      </c>
      <c r="J123" s="30">
        <f>SUMIFS('2026'!$M:$M,'2026'!$J:$J,$B123&amp;$C123,'2026'!$O:$O,J$4)</f>
        <v>0</v>
      </c>
      <c r="K123" s="30">
        <f>SUMIFS('2026'!$M:$M,'2026'!$J:$J,$B123&amp;$C123,'2026'!$O:$O,K$4)</f>
        <v>0</v>
      </c>
      <c r="L123" s="30">
        <f>SUMIFS('2026'!$M:$M,'2026'!$J:$J,$B123&amp;$C123,'2026'!$O:$O,L$4)</f>
        <v>0</v>
      </c>
      <c r="M123" s="30">
        <f>SUMIFS('2026'!$M:$M,'2026'!$J:$J,$B123&amp;$C123,'2026'!$O:$O,M$4)</f>
        <v>0</v>
      </c>
      <c r="N123" s="30">
        <f>SUMIFS('2026'!$M:$M,'2026'!$J:$J,$B123&amp;$C123,'2026'!$O:$O,N$4)</f>
        <v>0</v>
      </c>
      <c r="O123" s="30">
        <f>SUMIFS('2026'!$M:$M,'2026'!$J:$J,$B123&amp;$C123,'2026'!$O:$O,O$4)</f>
        <v>0</v>
      </c>
      <c r="P123" s="61">
        <f t="shared" ref="P123:P135" si="80">SUM(D123:O123)</f>
        <v>0</v>
      </c>
      <c r="Q123" s="7">
        <v>0</v>
      </c>
      <c r="R123" s="8"/>
      <c r="S123" s="9" t="str">
        <f t="shared" ref="S123:S136" si="81">IF(ISERROR(R123/Q123),"",R123/Q123)</f>
        <v/>
      </c>
      <c r="T123" s="77"/>
      <c r="U123" s="61">
        <v>25.541999999999998</v>
      </c>
      <c r="V123" s="61">
        <v>25.541999999999998</v>
      </c>
      <c r="W123" s="7">
        <v>58.617943999999994</v>
      </c>
      <c r="X123" s="627">
        <v>0</v>
      </c>
      <c r="Y123" s="14">
        <f t="shared" ref="Y123:Y136" si="82">P123/V123-1</f>
        <v>-1</v>
      </c>
      <c r="Z123" s="15">
        <f t="shared" ref="Z123:Z136" si="83">P123-V123</f>
        <v>-25.541999999999998</v>
      </c>
      <c r="AA123" s="2" t="s">
        <v>10</v>
      </c>
      <c r="AB123" s="7">
        <v>0</v>
      </c>
    </row>
    <row r="124" spans="1:28" ht="15" customHeight="1">
      <c r="A124" s="2" t="s">
        <v>38</v>
      </c>
      <c r="B124" s="36">
        <v>3985</v>
      </c>
      <c r="C124" s="36" t="s">
        <v>145</v>
      </c>
      <c r="D124" s="30">
        <f>SUMIFS('2026'!$M:$M,'2026'!$J:$J,$B124&amp;$C124,'2026'!$O:$O,D$4)</f>
        <v>0</v>
      </c>
      <c r="E124" s="30">
        <f>SUMIFS('2026'!$M:$M,'2026'!$J:$J,$B124&amp;$C124,'2026'!$O:$O,E$4)</f>
        <v>0</v>
      </c>
      <c r="F124" s="30">
        <f>SUMIFS('2026'!$M:$M,'2026'!$J:$J,$B124&amp;$C124,'2026'!$O:$O,F$4)</f>
        <v>0</v>
      </c>
      <c r="G124" s="30">
        <f>SUMIFS('2026'!$M:$M,'2026'!$J:$J,$B124&amp;$C124,'2026'!$O:$O,G$4)</f>
        <v>0</v>
      </c>
      <c r="H124" s="30">
        <f>SUMIFS('2026'!$M:$M,'2026'!$J:$J,$B124&amp;$C124,'2026'!$O:$O,H$4)</f>
        <v>0</v>
      </c>
      <c r="I124" s="61">
        <f>SUMIFS('2026'!$M:$M,'2026'!$J:$J,$B124&amp;$C124,'2026'!$O:$O,I$4)</f>
        <v>0</v>
      </c>
      <c r="J124" s="30">
        <f>SUMIFS('2026'!$M:$M,'2026'!$J:$J,$B124&amp;$C124,'2026'!$O:$O,J$4)</f>
        <v>0</v>
      </c>
      <c r="K124" s="30">
        <f>SUMIFS('2026'!$M:$M,'2026'!$J:$J,$B124&amp;$C124,'2026'!$O:$O,K$4)</f>
        <v>0</v>
      </c>
      <c r="L124" s="30">
        <f>SUMIFS('2026'!$M:$M,'2026'!$J:$J,$B124&amp;$C124,'2026'!$O:$O,L$4)</f>
        <v>0</v>
      </c>
      <c r="M124" s="30">
        <f>SUMIFS('2026'!$M:$M,'2026'!$J:$J,$B124&amp;$C124,'2026'!$O:$O,M$4)</f>
        <v>0</v>
      </c>
      <c r="N124" s="30">
        <f>SUMIFS('2026'!$M:$M,'2026'!$J:$J,$B124&amp;$C124,'2026'!$O:$O,N$4)</f>
        <v>0</v>
      </c>
      <c r="O124" s="30">
        <f>SUMIFS('2026'!$M:$M,'2026'!$J:$J,$B124&amp;$C124,'2026'!$O:$O,O$4)</f>
        <v>0</v>
      </c>
      <c r="P124" s="61">
        <f t="shared" si="80"/>
        <v>0</v>
      </c>
      <c r="Q124" s="7">
        <v>0</v>
      </c>
      <c r="R124" s="8"/>
      <c r="S124" s="9" t="str">
        <f t="shared" si="81"/>
        <v/>
      </c>
      <c r="T124" s="77"/>
      <c r="U124" s="61">
        <v>0</v>
      </c>
      <c r="V124" s="61">
        <v>0</v>
      </c>
      <c r="W124" s="7">
        <v>0</v>
      </c>
      <c r="X124" s="627">
        <v>0</v>
      </c>
      <c r="Y124" s="14" t="e">
        <f t="shared" si="82"/>
        <v>#DIV/0!</v>
      </c>
      <c r="Z124" s="15">
        <f t="shared" si="83"/>
        <v>0</v>
      </c>
      <c r="AA124" s="2" t="s">
        <v>10</v>
      </c>
      <c r="AB124" s="7">
        <v>0</v>
      </c>
    </row>
    <row r="125" spans="1:28" ht="15" customHeight="1">
      <c r="A125" s="2" t="s">
        <v>38</v>
      </c>
      <c r="B125" s="36">
        <v>3985</v>
      </c>
      <c r="C125" s="36" t="s">
        <v>38</v>
      </c>
      <c r="D125" s="30">
        <f>SUMIFS('2026'!$M:$M,'2026'!$J:$J,$B125&amp;$C125,'2026'!$O:$O,D$4)</f>
        <v>1.7778639999999999</v>
      </c>
      <c r="E125" s="30">
        <f>SUMIFS('2026'!$M:$M,'2026'!$J:$J,$B125&amp;$C125,'2026'!$O:$O,E$4)</f>
        <v>133.885323</v>
      </c>
      <c r="F125" s="30">
        <f>SUMIFS('2026'!$M:$M,'2026'!$J:$J,$B125&amp;$C125,'2026'!$O:$O,F$4)</f>
        <v>280.07654400000001</v>
      </c>
      <c r="G125" s="30">
        <f>SUMIFS('2026'!$M:$M,'2026'!$J:$J,$B125&amp;$C125,'2026'!$O:$O,G$4)</f>
        <v>320.08320000000003</v>
      </c>
      <c r="H125" s="30">
        <f>SUMIFS('2026'!$M:$M,'2026'!$J:$J,$B125&amp;$C125,'2026'!$O:$O,H$4)</f>
        <v>283.27680000000004</v>
      </c>
      <c r="I125" s="61">
        <f>SUMIFS('2026'!$M:$M,'2026'!$J:$J,$B125&amp;$C125,'2026'!$O:$O,I$4)</f>
        <v>324.14400000000001</v>
      </c>
      <c r="J125" s="30">
        <f>SUMIFS('2026'!$M:$M,'2026'!$J:$J,$B125&amp;$C125,'2026'!$O:$O,J$4)</f>
        <v>208.39680000000001</v>
      </c>
      <c r="K125" s="30">
        <f>SUMIFS('2026'!$M:$M,'2026'!$J:$J,$B125&amp;$C125,'2026'!$O:$O,K$4)</f>
        <v>204.33600000000001</v>
      </c>
      <c r="L125" s="30">
        <f>SUMIFS('2026'!$M:$M,'2026'!$J:$J,$B125&amp;$C125,'2026'!$O:$O,L$4)</f>
        <v>122.60160000000002</v>
      </c>
      <c r="M125" s="30">
        <f>SUMIFS('2026'!$M:$M,'2026'!$J:$J,$B125&amp;$C125,'2026'!$O:$O,M$4)</f>
        <v>0</v>
      </c>
      <c r="N125" s="30">
        <f>SUMIFS('2026'!$M:$M,'2026'!$J:$J,$B125&amp;$C125,'2026'!$O:$O,N$4)</f>
        <v>0</v>
      </c>
      <c r="O125" s="30">
        <f>SUMIFS('2026'!$M:$M,'2026'!$J:$J,$B125&amp;$C125,'2026'!$O:$O,O$4)</f>
        <v>0</v>
      </c>
      <c r="P125" s="61">
        <f t="shared" si="80"/>
        <v>1878.578131</v>
      </c>
      <c r="Q125" s="7">
        <v>1598.78752588</v>
      </c>
      <c r="R125" s="8"/>
      <c r="S125" s="9">
        <f t="shared" si="81"/>
        <v>0</v>
      </c>
      <c r="T125" s="77"/>
      <c r="U125" s="61">
        <v>365.99563600000005</v>
      </c>
      <c r="V125" s="61">
        <v>303.54844799999995</v>
      </c>
      <c r="W125" s="7">
        <v>0</v>
      </c>
      <c r="X125" s="627">
        <v>0</v>
      </c>
      <c r="Y125" s="14">
        <f t="shared" si="82"/>
        <v>5.1887258636222722</v>
      </c>
      <c r="Z125" s="15">
        <f t="shared" si="83"/>
        <v>1575.029683</v>
      </c>
      <c r="AA125" s="2" t="s">
        <v>10</v>
      </c>
      <c r="AB125" s="7">
        <v>0</v>
      </c>
    </row>
    <row r="126" spans="1:28" ht="15" customHeight="1">
      <c r="A126" s="2" t="s">
        <v>38</v>
      </c>
      <c r="B126" s="36">
        <v>3985</v>
      </c>
      <c r="C126" s="36" t="s">
        <v>146</v>
      </c>
      <c r="D126" s="30">
        <f>SUMIFS('2026'!$M:$M,'2026'!$J:$J,$B126&amp;$C126,'2026'!$O:$O,D$4)</f>
        <v>0</v>
      </c>
      <c r="E126" s="30">
        <f>SUMIFS('2026'!$M:$M,'2026'!$J:$J,$B126&amp;$C126,'2026'!$O:$O,E$4)</f>
        <v>0</v>
      </c>
      <c r="F126" s="30">
        <f>SUMIFS('2026'!$M:$M,'2026'!$J:$J,$B126&amp;$C126,'2026'!$O:$O,F$4)</f>
        <v>0</v>
      </c>
      <c r="G126" s="30">
        <f>SUMIFS('2026'!$M:$M,'2026'!$J:$J,$B126&amp;$C126,'2026'!$O:$O,G$4)</f>
        <v>0</v>
      </c>
      <c r="H126" s="30">
        <f>SUMIFS('2026'!$M:$M,'2026'!$J:$J,$B126&amp;$C126,'2026'!$O:$O,H$4)</f>
        <v>0</v>
      </c>
      <c r="I126" s="61">
        <f>SUMIFS('2026'!$M:$M,'2026'!$J:$J,$B126&amp;$C126,'2026'!$O:$O,I$4)</f>
        <v>0</v>
      </c>
      <c r="J126" s="30">
        <f>SUMIFS('2026'!$M:$M,'2026'!$J:$J,$B126&amp;$C126,'2026'!$O:$O,J$4)</f>
        <v>0</v>
      </c>
      <c r="K126" s="30">
        <f>SUMIFS('2026'!$M:$M,'2026'!$J:$J,$B126&amp;$C126,'2026'!$O:$O,K$4)</f>
        <v>0</v>
      </c>
      <c r="L126" s="30">
        <f>SUMIFS('2026'!$M:$M,'2026'!$J:$J,$B126&amp;$C126,'2026'!$O:$O,L$4)</f>
        <v>0</v>
      </c>
      <c r="M126" s="30">
        <f>SUMIFS('2026'!$M:$M,'2026'!$J:$J,$B126&amp;$C126,'2026'!$O:$O,M$4)</f>
        <v>0</v>
      </c>
      <c r="N126" s="30">
        <f>SUMIFS('2026'!$M:$M,'2026'!$J:$J,$B126&amp;$C126,'2026'!$O:$O,N$4)</f>
        <v>0</v>
      </c>
      <c r="O126" s="30">
        <f>SUMIFS('2026'!$M:$M,'2026'!$J:$J,$B126&amp;$C126,'2026'!$O:$O,O$4)</f>
        <v>0</v>
      </c>
      <c r="P126" s="61">
        <f t="shared" si="80"/>
        <v>0</v>
      </c>
      <c r="Q126" s="7">
        <v>0</v>
      </c>
      <c r="R126" s="8"/>
      <c r="S126" s="9" t="str">
        <f t="shared" si="81"/>
        <v/>
      </c>
      <c r="T126" s="77"/>
      <c r="U126" s="61">
        <v>0</v>
      </c>
      <c r="V126" s="61">
        <v>0</v>
      </c>
      <c r="W126" s="7">
        <v>0</v>
      </c>
      <c r="X126" s="627">
        <v>0</v>
      </c>
      <c r="Y126" s="14" t="e">
        <f t="shared" si="82"/>
        <v>#DIV/0!</v>
      </c>
      <c r="Z126" s="15">
        <f t="shared" si="83"/>
        <v>0</v>
      </c>
      <c r="AA126" s="2" t="s">
        <v>10</v>
      </c>
      <c r="AB126" s="7">
        <v>0</v>
      </c>
    </row>
    <row r="127" spans="1:28" ht="15" customHeight="1">
      <c r="A127" s="2" t="s">
        <v>38</v>
      </c>
      <c r="B127" s="36">
        <v>3985</v>
      </c>
      <c r="C127" s="36" t="s">
        <v>147</v>
      </c>
      <c r="D127" s="30">
        <f>SUMIFS('2026'!$M:$M,'2026'!$J:$J,$B127&amp;$C127,'2026'!$O:$O,D$4)</f>
        <v>0</v>
      </c>
      <c r="E127" s="30">
        <f>SUMIFS('2026'!$M:$M,'2026'!$J:$J,$B127&amp;$C127,'2026'!$O:$O,E$4)</f>
        <v>0</v>
      </c>
      <c r="F127" s="30">
        <f>SUMIFS('2026'!$M:$M,'2026'!$J:$J,$B127&amp;$C127,'2026'!$O:$O,F$4)</f>
        <v>0</v>
      </c>
      <c r="G127" s="30">
        <f>SUMIFS('2026'!$M:$M,'2026'!$J:$J,$B127&amp;$C127,'2026'!$O:$O,G$4)</f>
        <v>0</v>
      </c>
      <c r="H127" s="30">
        <f>SUMIFS('2026'!$M:$M,'2026'!$J:$J,$B127&amp;$C127,'2026'!$O:$O,H$4)</f>
        <v>0</v>
      </c>
      <c r="I127" s="61">
        <f>SUMIFS('2026'!$M:$M,'2026'!$J:$J,$B127&amp;$C127,'2026'!$O:$O,I$4)</f>
        <v>0</v>
      </c>
      <c r="J127" s="30">
        <f>SUMIFS('2026'!$M:$M,'2026'!$J:$J,$B127&amp;$C127,'2026'!$O:$O,J$4)</f>
        <v>0</v>
      </c>
      <c r="K127" s="30">
        <f>SUMIFS('2026'!$M:$M,'2026'!$J:$J,$B127&amp;$C127,'2026'!$O:$O,K$4)</f>
        <v>0</v>
      </c>
      <c r="L127" s="30">
        <f>SUMIFS('2026'!$M:$M,'2026'!$J:$J,$B127&amp;$C127,'2026'!$O:$O,L$4)</f>
        <v>0</v>
      </c>
      <c r="M127" s="30">
        <f>SUMIFS('2026'!$M:$M,'2026'!$J:$J,$B127&amp;$C127,'2026'!$O:$O,M$4)</f>
        <v>0</v>
      </c>
      <c r="N127" s="30">
        <f>SUMIFS('2026'!$M:$M,'2026'!$J:$J,$B127&amp;$C127,'2026'!$O:$O,N$4)</f>
        <v>0</v>
      </c>
      <c r="O127" s="30">
        <f>SUMIFS('2026'!$M:$M,'2026'!$J:$J,$B127&amp;$C127,'2026'!$O:$O,O$4)</f>
        <v>0</v>
      </c>
      <c r="P127" s="61">
        <f t="shared" si="80"/>
        <v>0</v>
      </c>
      <c r="Q127" s="7">
        <v>0</v>
      </c>
      <c r="R127" s="8"/>
      <c r="S127" s="9" t="str">
        <f t="shared" si="81"/>
        <v/>
      </c>
      <c r="T127" s="77"/>
      <c r="U127" s="61">
        <v>0</v>
      </c>
      <c r="V127" s="61">
        <v>0</v>
      </c>
      <c r="W127" s="7">
        <v>0</v>
      </c>
      <c r="X127" s="627">
        <v>0</v>
      </c>
      <c r="Y127" s="14" t="e">
        <f t="shared" si="82"/>
        <v>#DIV/0!</v>
      </c>
      <c r="Z127" s="15">
        <f t="shared" si="83"/>
        <v>0</v>
      </c>
      <c r="AA127" s="2" t="s">
        <v>10</v>
      </c>
      <c r="AB127" s="7">
        <v>0</v>
      </c>
    </row>
    <row r="128" spans="1:28" ht="15" customHeight="1">
      <c r="A128" s="2" t="s">
        <v>38</v>
      </c>
      <c r="B128" s="36">
        <v>3985</v>
      </c>
      <c r="C128" s="36" t="s">
        <v>148</v>
      </c>
      <c r="D128" s="30">
        <f>SUMIFS('2026'!$M:$M,'2026'!$J:$J,$B128&amp;$C128,'2026'!$O:$O,D$4)</f>
        <v>0</v>
      </c>
      <c r="E128" s="30">
        <f>SUMIFS('2026'!$M:$M,'2026'!$J:$J,$B128&amp;$C128,'2026'!$O:$O,E$4)</f>
        <v>0</v>
      </c>
      <c r="F128" s="30">
        <f>SUMIFS('2026'!$M:$M,'2026'!$J:$J,$B128&amp;$C128,'2026'!$O:$O,F$4)</f>
        <v>0</v>
      </c>
      <c r="G128" s="30">
        <f>SUMIFS('2026'!$M:$M,'2026'!$J:$J,$B128&amp;$C128,'2026'!$O:$O,G$4)</f>
        <v>0</v>
      </c>
      <c r="H128" s="30">
        <f>SUMIFS('2026'!$M:$M,'2026'!$J:$J,$B128&amp;$C128,'2026'!$O:$O,H$4)</f>
        <v>0</v>
      </c>
      <c r="I128" s="61">
        <f>SUMIFS('2026'!$M:$M,'2026'!$J:$J,$B128&amp;$C128,'2026'!$O:$O,I$4)</f>
        <v>0</v>
      </c>
      <c r="J128" s="30">
        <f>SUMIFS('2026'!$M:$M,'2026'!$J:$J,$B128&amp;$C128,'2026'!$O:$O,J$4)</f>
        <v>0</v>
      </c>
      <c r="K128" s="30">
        <f>SUMIFS('2026'!$M:$M,'2026'!$J:$J,$B128&amp;$C128,'2026'!$O:$O,K$4)</f>
        <v>0</v>
      </c>
      <c r="L128" s="30">
        <f>SUMIFS('2026'!$M:$M,'2026'!$J:$J,$B128&amp;$C128,'2026'!$O:$O,L$4)</f>
        <v>0</v>
      </c>
      <c r="M128" s="30">
        <f>SUMIFS('2026'!$M:$M,'2026'!$J:$J,$B128&amp;$C128,'2026'!$O:$O,M$4)</f>
        <v>0</v>
      </c>
      <c r="N128" s="30">
        <f>SUMIFS('2026'!$M:$M,'2026'!$J:$J,$B128&amp;$C128,'2026'!$O:$O,N$4)</f>
        <v>0</v>
      </c>
      <c r="O128" s="30">
        <f>SUMIFS('2026'!$M:$M,'2026'!$J:$J,$B128&amp;$C128,'2026'!$O:$O,O$4)</f>
        <v>0</v>
      </c>
      <c r="P128" s="61">
        <f t="shared" si="80"/>
        <v>0</v>
      </c>
      <c r="Q128" s="7">
        <v>0</v>
      </c>
      <c r="R128" s="8"/>
      <c r="S128" s="9" t="str">
        <f t="shared" si="81"/>
        <v/>
      </c>
      <c r="T128" s="77"/>
      <c r="U128" s="61">
        <v>0</v>
      </c>
      <c r="V128" s="61">
        <v>0</v>
      </c>
      <c r="W128" s="7">
        <v>0</v>
      </c>
      <c r="X128" s="627">
        <v>0</v>
      </c>
      <c r="Y128" s="14" t="e">
        <f t="shared" si="82"/>
        <v>#DIV/0!</v>
      </c>
      <c r="Z128" s="15">
        <f t="shared" si="83"/>
        <v>0</v>
      </c>
      <c r="AA128" s="2" t="s">
        <v>10</v>
      </c>
      <c r="AB128" s="7">
        <v>0</v>
      </c>
    </row>
    <row r="129" spans="1:28" ht="15" customHeight="1">
      <c r="A129" s="2" t="s">
        <v>38</v>
      </c>
      <c r="B129" s="36">
        <v>3985</v>
      </c>
      <c r="C129" s="36" t="s">
        <v>149</v>
      </c>
      <c r="D129" s="30">
        <f>SUMIFS('2026'!$M:$M,'2026'!$J:$J,$B129&amp;$C129,'2026'!$O:$O,D$4)</f>
        <v>0</v>
      </c>
      <c r="E129" s="30">
        <f>SUMIFS('2026'!$M:$M,'2026'!$J:$J,$B129&amp;$C129,'2026'!$O:$O,E$4)</f>
        <v>0</v>
      </c>
      <c r="F129" s="30">
        <f>SUMIFS('2026'!$M:$M,'2026'!$J:$J,$B129&amp;$C129,'2026'!$O:$O,F$4)</f>
        <v>0</v>
      </c>
      <c r="G129" s="30">
        <f>SUMIFS('2026'!$M:$M,'2026'!$J:$J,$B129&amp;$C129,'2026'!$O:$O,G$4)</f>
        <v>0</v>
      </c>
      <c r="H129" s="30">
        <f>SUMIFS('2026'!$M:$M,'2026'!$J:$J,$B129&amp;$C129,'2026'!$O:$O,H$4)</f>
        <v>0</v>
      </c>
      <c r="I129" s="61">
        <f>SUMIFS('2026'!$M:$M,'2026'!$J:$J,$B129&amp;$C129,'2026'!$O:$O,I$4)</f>
        <v>0</v>
      </c>
      <c r="J129" s="30">
        <f>SUMIFS('2026'!$M:$M,'2026'!$J:$J,$B129&amp;$C129,'2026'!$O:$O,J$4)</f>
        <v>0</v>
      </c>
      <c r="K129" s="30">
        <f>SUMIFS('2026'!$M:$M,'2026'!$J:$J,$B129&amp;$C129,'2026'!$O:$O,K$4)</f>
        <v>0</v>
      </c>
      <c r="L129" s="30">
        <f>SUMIFS('2026'!$M:$M,'2026'!$J:$J,$B129&amp;$C129,'2026'!$O:$O,L$4)</f>
        <v>0</v>
      </c>
      <c r="M129" s="30">
        <f>SUMIFS('2026'!$M:$M,'2026'!$J:$J,$B129&amp;$C129,'2026'!$O:$O,M$4)</f>
        <v>0</v>
      </c>
      <c r="N129" s="30">
        <f>SUMIFS('2026'!$M:$M,'2026'!$J:$J,$B129&amp;$C129,'2026'!$O:$O,N$4)</f>
        <v>0</v>
      </c>
      <c r="O129" s="30">
        <f>SUMIFS('2026'!$M:$M,'2026'!$J:$J,$B129&amp;$C129,'2026'!$O:$O,O$4)</f>
        <v>0</v>
      </c>
      <c r="P129" s="61">
        <f t="shared" si="80"/>
        <v>0</v>
      </c>
      <c r="Q129" s="7">
        <v>0</v>
      </c>
      <c r="R129" s="8"/>
      <c r="S129" s="9" t="str">
        <f t="shared" si="81"/>
        <v/>
      </c>
      <c r="T129" s="77"/>
      <c r="U129" s="61">
        <v>0</v>
      </c>
      <c r="V129" s="61">
        <v>0</v>
      </c>
      <c r="W129" s="7">
        <v>0</v>
      </c>
      <c r="X129" s="627">
        <v>0</v>
      </c>
      <c r="Y129" s="14" t="e">
        <f t="shared" si="82"/>
        <v>#DIV/0!</v>
      </c>
      <c r="Z129" s="15">
        <f t="shared" si="83"/>
        <v>0</v>
      </c>
      <c r="AA129" s="2" t="s">
        <v>10</v>
      </c>
      <c r="AB129" s="7">
        <v>0</v>
      </c>
    </row>
    <row r="130" spans="1:28" ht="15" customHeight="1">
      <c r="A130" s="2" t="s">
        <v>38</v>
      </c>
      <c r="B130" s="36">
        <v>3985</v>
      </c>
      <c r="C130" s="36" t="s">
        <v>150</v>
      </c>
      <c r="D130" s="30">
        <f>SUMIFS('2026'!$M:$M,'2026'!$J:$J,$B130&amp;$C130,'2026'!$O:$O,D$4)</f>
        <v>50.725440000000006</v>
      </c>
      <c r="E130" s="30">
        <f>SUMIFS('2026'!$M:$M,'2026'!$J:$J,$B130&amp;$C130,'2026'!$O:$O,E$4)</f>
        <v>64.689840000000004</v>
      </c>
      <c r="F130" s="30">
        <f>SUMIFS('2026'!$M:$M,'2026'!$J:$J,$B130&amp;$C130,'2026'!$O:$O,F$4)</f>
        <v>80.775089999999992</v>
      </c>
      <c r="G130" s="30">
        <f>SUMIFS('2026'!$M:$M,'2026'!$J:$J,$B130&amp;$C130,'2026'!$O:$O,G$4)</f>
        <v>57.024000000000001</v>
      </c>
      <c r="H130" s="30">
        <f>SUMIFS('2026'!$M:$M,'2026'!$J:$J,$B130&amp;$C130,'2026'!$O:$O,H$4)</f>
        <v>76.031999999999996</v>
      </c>
      <c r="I130" s="61">
        <f>SUMIFS('2026'!$M:$M,'2026'!$J:$J,$B130&amp;$C130,'2026'!$O:$O,I$4)</f>
        <v>95.039999999999992</v>
      </c>
      <c r="J130" s="30">
        <f>SUMIFS('2026'!$M:$M,'2026'!$J:$J,$B130&amp;$C130,'2026'!$O:$O,J$4)</f>
        <v>38.015999999999998</v>
      </c>
      <c r="K130" s="30">
        <f>SUMIFS('2026'!$M:$M,'2026'!$J:$J,$B130&amp;$C130,'2026'!$O:$O,K$4)</f>
        <v>31.104000000000003</v>
      </c>
      <c r="L130" s="30">
        <f>SUMIFS('2026'!$M:$M,'2026'!$J:$J,$B130&amp;$C130,'2026'!$O:$O,L$4)</f>
        <v>0</v>
      </c>
      <c r="M130" s="30">
        <f>SUMIFS('2026'!$M:$M,'2026'!$J:$J,$B130&amp;$C130,'2026'!$O:$O,M$4)</f>
        <v>0</v>
      </c>
      <c r="N130" s="30">
        <f>SUMIFS('2026'!$M:$M,'2026'!$J:$J,$B130&amp;$C130,'2026'!$O:$O,N$4)</f>
        <v>31.104000000000003</v>
      </c>
      <c r="O130" s="30">
        <f>SUMIFS('2026'!$M:$M,'2026'!$J:$J,$B130&amp;$C130,'2026'!$O:$O,O$4)</f>
        <v>0</v>
      </c>
      <c r="P130" s="61">
        <f t="shared" si="80"/>
        <v>524.51037000000008</v>
      </c>
      <c r="Q130" s="7">
        <v>556.62284160000002</v>
      </c>
      <c r="R130" s="8">
        <f t="shared" ref="R130:R133" si="84">P130-Q130</f>
        <v>-32.112471599999935</v>
      </c>
      <c r="S130" s="9">
        <f t="shared" si="81"/>
        <v>-5.769161665678927E-2</v>
      </c>
      <c r="T130" s="77"/>
      <c r="U130" s="61">
        <v>692.95086000000015</v>
      </c>
      <c r="V130" s="61">
        <v>246.39405500000001</v>
      </c>
      <c r="W130" s="7">
        <v>238.78066500000006</v>
      </c>
      <c r="X130" s="640">
        <v>278</v>
      </c>
      <c r="Y130" s="14">
        <f t="shared" si="82"/>
        <v>1.12874604462352</v>
      </c>
      <c r="Z130" s="15">
        <f t="shared" si="83"/>
        <v>278.1163150000001</v>
      </c>
      <c r="AA130" s="2" t="s">
        <v>10</v>
      </c>
      <c r="AB130" s="7">
        <v>191.755</v>
      </c>
    </row>
    <row r="131" spans="1:28" ht="15" customHeight="1">
      <c r="A131" s="2" t="s">
        <v>38</v>
      </c>
      <c r="B131" s="36">
        <v>3985</v>
      </c>
      <c r="C131" s="36" t="s">
        <v>151</v>
      </c>
      <c r="D131" s="30">
        <f>SUMIFS('2026'!$M:$M,'2026'!$J:$J,$B131&amp;$C131,'2026'!$O:$O,D$4)</f>
        <v>0</v>
      </c>
      <c r="E131" s="30">
        <f>SUMIFS('2026'!$M:$M,'2026'!$J:$J,$B131&amp;$C131,'2026'!$O:$O,E$4)</f>
        <v>0</v>
      </c>
      <c r="F131" s="30">
        <f>SUMIFS('2026'!$M:$M,'2026'!$J:$J,$B131&amp;$C131,'2026'!$O:$O,F$4)</f>
        <v>0</v>
      </c>
      <c r="G131" s="30">
        <f>SUMIFS('2026'!$M:$M,'2026'!$J:$J,$B131&amp;$C131,'2026'!$O:$O,G$4)</f>
        <v>0</v>
      </c>
      <c r="H131" s="30">
        <f>SUMIFS('2026'!$M:$M,'2026'!$J:$J,$B131&amp;$C131,'2026'!$O:$O,H$4)</f>
        <v>0</v>
      </c>
      <c r="I131" s="61">
        <f>SUMIFS('2026'!$M:$M,'2026'!$J:$J,$B131&amp;$C131,'2026'!$O:$O,I$4)</f>
        <v>0</v>
      </c>
      <c r="J131" s="30">
        <f>SUMIFS('2026'!$M:$M,'2026'!$J:$J,$B131&amp;$C131,'2026'!$O:$O,J$4)</f>
        <v>0</v>
      </c>
      <c r="K131" s="30">
        <f>SUMIFS('2026'!$M:$M,'2026'!$J:$J,$B131&amp;$C131,'2026'!$O:$O,K$4)</f>
        <v>0</v>
      </c>
      <c r="L131" s="30">
        <f>SUMIFS('2026'!$M:$M,'2026'!$J:$J,$B131&amp;$C131,'2026'!$O:$O,L$4)</f>
        <v>0</v>
      </c>
      <c r="M131" s="30">
        <f>SUMIFS('2026'!$M:$M,'2026'!$J:$J,$B131&amp;$C131,'2026'!$O:$O,M$4)</f>
        <v>0</v>
      </c>
      <c r="N131" s="30">
        <f>SUMIFS('2026'!$M:$M,'2026'!$J:$J,$B131&amp;$C131,'2026'!$O:$O,N$4)</f>
        <v>0</v>
      </c>
      <c r="O131" s="30">
        <f>SUMIFS('2026'!$M:$M,'2026'!$J:$J,$B131&amp;$C131,'2026'!$O:$O,O$4)</f>
        <v>0</v>
      </c>
      <c r="P131" s="61">
        <f t="shared" si="80"/>
        <v>0</v>
      </c>
      <c r="Q131" s="7">
        <v>0</v>
      </c>
      <c r="R131" s="8"/>
      <c r="S131" s="9" t="str">
        <f t="shared" si="81"/>
        <v/>
      </c>
      <c r="T131" s="77"/>
      <c r="U131" s="61">
        <v>0</v>
      </c>
      <c r="V131" s="61">
        <v>0</v>
      </c>
      <c r="W131" s="7">
        <v>0</v>
      </c>
      <c r="X131" s="627">
        <v>0</v>
      </c>
      <c r="Y131" s="14" t="e">
        <f t="shared" si="82"/>
        <v>#DIV/0!</v>
      </c>
      <c r="Z131" s="15">
        <f t="shared" si="83"/>
        <v>0</v>
      </c>
      <c r="AA131" s="2" t="s">
        <v>10</v>
      </c>
      <c r="AB131" s="7">
        <v>0</v>
      </c>
    </row>
    <row r="132" spans="1:28" ht="15" customHeight="1">
      <c r="A132" s="2" t="s">
        <v>38</v>
      </c>
      <c r="B132" s="36">
        <v>3985</v>
      </c>
      <c r="C132" s="36" t="s">
        <v>152</v>
      </c>
      <c r="D132" s="30">
        <f>SUMIFS('2026'!$M:$M,'2026'!$J:$J,$B132&amp;$C132,'2026'!$O:$O,D$4)</f>
        <v>0</v>
      </c>
      <c r="E132" s="30">
        <f>SUMIFS('2026'!$M:$M,'2026'!$J:$J,$B132&amp;$C132,'2026'!$O:$O,E$4)</f>
        <v>0</v>
      </c>
      <c r="F132" s="30">
        <f>SUMIFS('2026'!$M:$M,'2026'!$J:$J,$B132&amp;$C132,'2026'!$O:$O,F$4)</f>
        <v>0</v>
      </c>
      <c r="G132" s="30">
        <f>SUMIFS('2026'!$M:$M,'2026'!$J:$J,$B132&amp;$C132,'2026'!$O:$O,G$4)</f>
        <v>0</v>
      </c>
      <c r="H132" s="30">
        <f>SUMIFS('2026'!$M:$M,'2026'!$J:$J,$B132&amp;$C132,'2026'!$O:$O,H$4)</f>
        <v>0</v>
      </c>
      <c r="I132" s="61">
        <f>SUMIFS('2026'!$M:$M,'2026'!$J:$J,$B132&amp;$C132,'2026'!$O:$O,I$4)</f>
        <v>0</v>
      </c>
      <c r="J132" s="30">
        <f>SUMIFS('2026'!$M:$M,'2026'!$J:$J,$B132&amp;$C132,'2026'!$O:$O,J$4)</f>
        <v>0</v>
      </c>
      <c r="K132" s="30">
        <f>SUMIFS('2026'!$M:$M,'2026'!$J:$J,$B132&amp;$C132,'2026'!$O:$O,K$4)</f>
        <v>0</v>
      </c>
      <c r="L132" s="30">
        <f>SUMIFS('2026'!$M:$M,'2026'!$J:$J,$B132&amp;$C132,'2026'!$O:$O,L$4)</f>
        <v>0</v>
      </c>
      <c r="M132" s="30">
        <f>SUMIFS('2026'!$M:$M,'2026'!$J:$J,$B132&amp;$C132,'2026'!$O:$O,M$4)</f>
        <v>0</v>
      </c>
      <c r="N132" s="30">
        <f>SUMIFS('2026'!$M:$M,'2026'!$J:$J,$B132&amp;$C132,'2026'!$O:$O,N$4)</f>
        <v>0</v>
      </c>
      <c r="O132" s="30">
        <f>SUMIFS('2026'!$M:$M,'2026'!$J:$J,$B132&amp;$C132,'2026'!$O:$O,O$4)</f>
        <v>0</v>
      </c>
      <c r="P132" s="61">
        <f t="shared" si="80"/>
        <v>0</v>
      </c>
      <c r="Q132" s="7">
        <v>0</v>
      </c>
      <c r="R132" s="8"/>
      <c r="S132" s="9" t="str">
        <f t="shared" si="81"/>
        <v/>
      </c>
      <c r="T132" s="77"/>
      <c r="U132" s="61">
        <v>0</v>
      </c>
      <c r="V132" s="61">
        <v>0</v>
      </c>
      <c r="W132" s="7">
        <v>0</v>
      </c>
      <c r="X132" s="627">
        <v>0</v>
      </c>
      <c r="Y132" s="14" t="e">
        <f t="shared" si="82"/>
        <v>#DIV/0!</v>
      </c>
      <c r="Z132" s="15">
        <f t="shared" si="83"/>
        <v>0</v>
      </c>
      <c r="AA132" s="2" t="s">
        <v>10</v>
      </c>
      <c r="AB132" s="7">
        <v>0</v>
      </c>
    </row>
    <row r="133" spans="1:28" ht="15" customHeight="1">
      <c r="A133" s="2" t="s">
        <v>38</v>
      </c>
      <c r="B133" s="36">
        <v>3985</v>
      </c>
      <c r="C133" s="36" t="s">
        <v>46</v>
      </c>
      <c r="D133" s="30">
        <f>SUMIFS('2026'!$M:$M,'2026'!$J:$J,$B133&amp;$C133,'2026'!$O:$O,D$4)</f>
        <v>69.933239999999998</v>
      </c>
      <c r="E133" s="30">
        <f>SUMIFS('2026'!$M:$M,'2026'!$J:$J,$B133&amp;$C133,'2026'!$O:$O,E$4)</f>
        <v>140.1816</v>
      </c>
      <c r="F133" s="30">
        <f>SUMIFS('2026'!$M:$M,'2026'!$J:$J,$B133&amp;$C133,'2026'!$O:$O,F$4)</f>
        <v>0</v>
      </c>
      <c r="G133" s="30">
        <f>SUMIFS('2026'!$M:$M,'2026'!$J:$J,$B133&amp;$C133,'2026'!$O:$O,G$4)</f>
        <v>0</v>
      </c>
      <c r="H133" s="30">
        <f>SUMIFS('2026'!$M:$M,'2026'!$J:$J,$B133&amp;$C133,'2026'!$O:$O,H$4)</f>
        <v>0</v>
      </c>
      <c r="I133" s="61">
        <f>SUMIFS('2026'!$M:$M,'2026'!$J:$J,$B133&amp;$C133,'2026'!$O:$O,I$4)</f>
        <v>0</v>
      </c>
      <c r="J133" s="30">
        <f>SUMIFS('2026'!$M:$M,'2026'!$J:$J,$B133&amp;$C133,'2026'!$O:$O,J$4)</f>
        <v>0</v>
      </c>
      <c r="K133" s="30">
        <f>SUMIFS('2026'!$M:$M,'2026'!$J:$J,$B133&amp;$C133,'2026'!$O:$O,K$4)</f>
        <v>0</v>
      </c>
      <c r="L133" s="30">
        <f>SUMIFS('2026'!$M:$M,'2026'!$J:$J,$B133&amp;$C133,'2026'!$O:$O,L$4)</f>
        <v>0</v>
      </c>
      <c r="M133" s="30">
        <f>SUMIFS('2026'!$M:$M,'2026'!$J:$J,$B133&amp;$C133,'2026'!$O:$O,M$4)</f>
        <v>0</v>
      </c>
      <c r="N133" s="30">
        <f>SUMIFS('2026'!$M:$M,'2026'!$J:$J,$B133&amp;$C133,'2026'!$O:$O,N$4)</f>
        <v>0</v>
      </c>
      <c r="O133" s="30">
        <f>SUMIFS('2026'!$M:$M,'2026'!$J:$J,$B133&amp;$C133,'2026'!$O:$O,O$4)</f>
        <v>0</v>
      </c>
      <c r="P133" s="61">
        <f t="shared" si="80"/>
        <v>210.11484000000002</v>
      </c>
      <c r="Q133" s="7">
        <v>210.11484000000002</v>
      </c>
      <c r="R133" s="8">
        <f t="shared" si="84"/>
        <v>0</v>
      </c>
      <c r="S133" s="9">
        <f>IF(ISERROR(R133/Q133),"",R133/Q133)</f>
        <v>0</v>
      </c>
      <c r="T133" s="77"/>
      <c r="U133" s="61">
        <v>0</v>
      </c>
      <c r="V133" s="61">
        <v>0</v>
      </c>
      <c r="W133" s="7">
        <v>0</v>
      </c>
      <c r="X133" s="640">
        <v>376</v>
      </c>
      <c r="Y133" s="14" t="e">
        <f t="shared" si="82"/>
        <v>#DIV/0!</v>
      </c>
      <c r="Z133" s="15">
        <f t="shared" si="83"/>
        <v>210.11484000000002</v>
      </c>
      <c r="AA133" s="2" t="s">
        <v>10</v>
      </c>
      <c r="AB133" s="7">
        <v>0</v>
      </c>
    </row>
    <row r="134" spans="1:28" ht="15" customHeight="1">
      <c r="A134" s="2" t="s">
        <v>38</v>
      </c>
      <c r="B134" s="36">
        <v>3985</v>
      </c>
      <c r="C134" s="36" t="s">
        <v>154</v>
      </c>
      <c r="D134" s="30">
        <f>SUMIFS('2026'!$M:$M,'2026'!$J:$J,$B134&amp;$C134,'2026'!$O:$O,D$4)</f>
        <v>0</v>
      </c>
      <c r="E134" s="30">
        <f>SUMIFS('2026'!$M:$M,'2026'!$J:$J,$B134&amp;$C134,'2026'!$O:$O,E$4)</f>
        <v>0</v>
      </c>
      <c r="F134" s="30">
        <f>SUMIFS('2026'!$M:$M,'2026'!$J:$J,$B134&amp;$C134,'2026'!$O:$O,F$4)</f>
        <v>0</v>
      </c>
      <c r="G134" s="30">
        <f>SUMIFS('2026'!$M:$M,'2026'!$J:$J,$B134&amp;$C134,'2026'!$O:$O,G$4)</f>
        <v>0</v>
      </c>
      <c r="H134" s="30">
        <f>SUMIFS('2026'!$M:$M,'2026'!$J:$J,$B134&amp;$C134,'2026'!$O:$O,H$4)</f>
        <v>0</v>
      </c>
      <c r="I134" s="61">
        <f>SUMIFS('2026'!$M:$M,'2026'!$J:$J,$B134&amp;$C134,'2026'!$O:$O,I$4)</f>
        <v>0</v>
      </c>
      <c r="J134" s="30">
        <f>SUMIFS('2026'!$M:$M,'2026'!$J:$J,$B134&amp;$C134,'2026'!$O:$O,J$4)</f>
        <v>0</v>
      </c>
      <c r="K134" s="30">
        <f>SUMIFS('2026'!$M:$M,'2026'!$J:$J,$B134&amp;$C134,'2026'!$O:$O,K$4)</f>
        <v>0</v>
      </c>
      <c r="L134" s="30">
        <f>SUMIFS('2026'!$M:$M,'2026'!$J:$J,$B134&amp;$C134,'2026'!$O:$O,L$4)</f>
        <v>0</v>
      </c>
      <c r="M134" s="30">
        <f>SUMIFS('2026'!$M:$M,'2026'!$J:$J,$B134&amp;$C134,'2026'!$O:$O,M$4)</f>
        <v>0</v>
      </c>
      <c r="N134" s="30">
        <f>SUMIFS('2026'!$M:$M,'2026'!$J:$J,$B134&amp;$C134,'2026'!$O:$O,N$4)</f>
        <v>0</v>
      </c>
      <c r="O134" s="30">
        <f>SUMIFS('2026'!$M:$M,'2026'!$J:$J,$B134&amp;$C134,'2026'!$O:$O,O$4)</f>
        <v>0</v>
      </c>
      <c r="P134" s="61">
        <f t="shared" si="80"/>
        <v>0</v>
      </c>
      <c r="Q134" s="7">
        <v>0</v>
      </c>
      <c r="R134" s="8"/>
      <c r="S134" s="9" t="str">
        <f t="shared" ref="S134:S135" si="85">IF(ISERROR(R134/Q134),"",R134/Q134)</f>
        <v/>
      </c>
      <c r="T134" s="77"/>
      <c r="U134" s="61">
        <v>0</v>
      </c>
      <c r="V134" s="61">
        <v>0</v>
      </c>
      <c r="W134" s="7">
        <v>0</v>
      </c>
      <c r="X134" s="627">
        <v>0</v>
      </c>
      <c r="Y134" s="14" t="e">
        <f t="shared" si="82"/>
        <v>#DIV/0!</v>
      </c>
      <c r="Z134" s="15">
        <f t="shared" si="83"/>
        <v>0</v>
      </c>
      <c r="AA134" s="2" t="s">
        <v>10</v>
      </c>
      <c r="AB134" s="7">
        <v>0</v>
      </c>
    </row>
    <row r="135" spans="1:28" ht="15" customHeight="1">
      <c r="A135" s="2" t="s">
        <v>38</v>
      </c>
      <c r="B135" s="36">
        <v>1421</v>
      </c>
      <c r="C135" s="36" t="s">
        <v>154</v>
      </c>
      <c r="D135" s="30">
        <f>SUMIFS('2026'!$M:$M,'2026'!$J:$J,$B135&amp;$C135,'2026'!$O:$O,D$4)</f>
        <v>0</v>
      </c>
      <c r="E135" s="30">
        <f>SUMIFS('2026'!$M:$M,'2026'!$J:$J,$B135&amp;$C135,'2026'!$O:$O,E$4)</f>
        <v>0</v>
      </c>
      <c r="F135" s="30">
        <f>SUMIFS('2026'!$M:$M,'2026'!$J:$J,$B135&amp;$C135,'2026'!$O:$O,F$4)</f>
        <v>0</v>
      </c>
      <c r="G135" s="30">
        <f>SUMIFS('2026'!$M:$M,'2026'!$J:$J,$B135&amp;$C135,'2026'!$O:$O,G$4)</f>
        <v>0</v>
      </c>
      <c r="H135" s="30">
        <f>SUMIFS('2026'!$M:$M,'2026'!$J:$J,$B135&amp;$C135,'2026'!$O:$O,H$4)</f>
        <v>0</v>
      </c>
      <c r="I135" s="61">
        <f>SUMIFS('2026'!$M:$M,'2026'!$J:$J,$B135&amp;$C135,'2026'!$O:$O,I$4)</f>
        <v>0</v>
      </c>
      <c r="J135" s="30">
        <f>SUMIFS('2026'!$M:$M,'2026'!$J:$J,$B135&amp;$C135,'2026'!$O:$O,J$4)</f>
        <v>0</v>
      </c>
      <c r="K135" s="30">
        <f>SUMIFS('2026'!$M:$M,'2026'!$J:$J,$B135&amp;$C135,'2026'!$O:$O,K$4)</f>
        <v>0</v>
      </c>
      <c r="L135" s="30">
        <f>SUMIFS('2026'!$M:$M,'2026'!$J:$J,$B135&amp;$C135,'2026'!$O:$O,L$4)</f>
        <v>0</v>
      </c>
      <c r="M135" s="30">
        <f>SUMIFS('2026'!$M:$M,'2026'!$J:$J,$B135&amp;$C135,'2026'!$O:$O,M$4)</f>
        <v>0</v>
      </c>
      <c r="N135" s="30">
        <f>SUMIFS('2026'!$M:$M,'2026'!$J:$J,$B135&amp;$C135,'2026'!$O:$O,N$4)</f>
        <v>0</v>
      </c>
      <c r="O135" s="30">
        <f>SUMIFS('2026'!$M:$M,'2026'!$J:$J,$B135&amp;$C135,'2026'!$O:$O,O$4)</f>
        <v>0</v>
      </c>
      <c r="P135" s="61">
        <f t="shared" si="80"/>
        <v>0</v>
      </c>
      <c r="Q135" s="7">
        <v>0</v>
      </c>
      <c r="R135" s="8"/>
      <c r="S135" s="9" t="str">
        <f t="shared" si="85"/>
        <v/>
      </c>
      <c r="U135" s="61">
        <v>0</v>
      </c>
      <c r="V135" s="61">
        <v>0</v>
      </c>
      <c r="W135" s="7">
        <v>0</v>
      </c>
      <c r="X135" s="627">
        <v>0</v>
      </c>
      <c r="Y135" s="14" t="e">
        <f t="shared" si="82"/>
        <v>#DIV/0!</v>
      </c>
      <c r="Z135" s="15">
        <f t="shared" si="83"/>
        <v>0</v>
      </c>
      <c r="AA135" s="2" t="s">
        <v>10</v>
      </c>
      <c r="AB135" s="7">
        <v>0</v>
      </c>
    </row>
    <row r="136" spans="1:28" ht="15" customHeight="1">
      <c r="B136" s="10"/>
      <c r="C136" s="10" t="s">
        <v>155</v>
      </c>
      <c r="D136" s="11">
        <f t="shared" ref="D136:O136" si="86">SUM(D123:D134)</f>
        <v>122.436544</v>
      </c>
      <c r="E136" s="11">
        <f t="shared" si="86"/>
        <v>338.75676299999998</v>
      </c>
      <c r="F136" s="11">
        <f t="shared" si="86"/>
        <v>360.85163399999999</v>
      </c>
      <c r="G136" s="11">
        <f t="shared" si="86"/>
        <v>377.10720000000003</v>
      </c>
      <c r="H136" s="11">
        <f t="shared" si="86"/>
        <v>359.30880000000002</v>
      </c>
      <c r="I136" s="11">
        <f t="shared" si="86"/>
        <v>419.18399999999997</v>
      </c>
      <c r="J136" s="11">
        <f t="shared" si="86"/>
        <v>246.4128</v>
      </c>
      <c r="K136" s="11">
        <f t="shared" si="86"/>
        <v>235.44000000000003</v>
      </c>
      <c r="L136" s="11">
        <f t="shared" si="86"/>
        <v>122.60160000000002</v>
      </c>
      <c r="M136" s="11">
        <f t="shared" si="86"/>
        <v>0</v>
      </c>
      <c r="N136" s="11">
        <f t="shared" si="86"/>
        <v>31.104000000000003</v>
      </c>
      <c r="O136" s="11">
        <f t="shared" si="86"/>
        <v>0</v>
      </c>
      <c r="P136" s="11">
        <f>SUM(P123:P135)</f>
        <v>2613.2033410000004</v>
      </c>
      <c r="Q136" s="11">
        <v>2365.5252074800001</v>
      </c>
      <c r="R136" s="11">
        <f>SUM(R123:R135)</f>
        <v>-32.112471599999935</v>
      </c>
      <c r="S136" s="12">
        <f t="shared" si="81"/>
        <v>-1.3575197380462258E-2</v>
      </c>
      <c r="T136" s="76"/>
      <c r="U136" s="11">
        <v>1084.4884960000002</v>
      </c>
      <c r="V136" s="11">
        <v>575.4845029999999</v>
      </c>
      <c r="W136" s="11">
        <v>297.39860900000008</v>
      </c>
      <c r="X136" s="11">
        <v>689.22648931200001</v>
      </c>
      <c r="Y136" s="14">
        <f t="shared" si="82"/>
        <v>3.5408752579389624</v>
      </c>
      <c r="Z136" s="15">
        <f t="shared" si="83"/>
        <v>2037.7188380000005</v>
      </c>
      <c r="AB136" s="11">
        <v>191.755</v>
      </c>
    </row>
    <row r="137" spans="1:28" ht="15" customHeight="1">
      <c r="Q137" s="230"/>
      <c r="U137" s="2"/>
      <c r="V137" s="2"/>
      <c r="W137" s="230"/>
      <c r="AB137" s="230"/>
    </row>
    <row r="138" spans="1:28" ht="15" customHeight="1">
      <c r="U138" s="2"/>
      <c r="V138" s="2"/>
      <c r="W138" s="2"/>
    </row>
    <row r="139" spans="1:28" ht="15" customHeight="1">
      <c r="Q139" s="230"/>
      <c r="U139" s="2"/>
      <c r="V139" s="2"/>
      <c r="W139" s="230"/>
      <c r="AB139" s="230"/>
    </row>
    <row r="140" spans="1:28" ht="15" customHeight="1">
      <c r="A140" s="116"/>
      <c r="U140" s="2"/>
      <c r="V140" s="2"/>
      <c r="W140" s="2"/>
      <c r="X140" s="116"/>
    </row>
    <row r="141" spans="1:28" ht="15" customHeight="1">
      <c r="A141" s="116"/>
      <c r="Q141" s="230"/>
      <c r="U141" s="2"/>
      <c r="V141" s="2"/>
      <c r="W141" s="230"/>
      <c r="X141" s="116"/>
      <c r="AB141" s="230"/>
    </row>
    <row r="142" spans="1:28" ht="15" customHeight="1">
      <c r="A142" s="116"/>
      <c r="R142" s="207" t="s">
        <v>94</v>
      </c>
      <c r="S142" s="208"/>
      <c r="T142" s="209" t="s">
        <v>66</v>
      </c>
      <c r="U142" s="2"/>
      <c r="V142" s="2"/>
      <c r="W142" s="2"/>
      <c r="X142" s="116"/>
    </row>
    <row r="143" spans="1:28" ht="13.5" thickBot="1">
      <c r="D143" s="59" t="str">
        <f t="shared" ref="D143:O143" si="87">D4</f>
        <v>Jan</v>
      </c>
      <c r="E143" s="59" t="str">
        <f t="shared" si="87"/>
        <v>Feb</v>
      </c>
      <c r="F143" s="59" t="str">
        <f t="shared" si="87"/>
        <v>Mar</v>
      </c>
      <c r="G143" s="59" t="str">
        <f t="shared" si="87"/>
        <v>Apr</v>
      </c>
      <c r="H143" s="59" t="str">
        <f t="shared" si="87"/>
        <v>May</v>
      </c>
      <c r="I143" s="59" t="str">
        <f t="shared" si="87"/>
        <v>Jun</v>
      </c>
      <c r="J143" s="59" t="str">
        <f t="shared" si="87"/>
        <v>Jul</v>
      </c>
      <c r="K143" s="59" t="str">
        <f t="shared" si="87"/>
        <v>Aug</v>
      </c>
      <c r="L143" s="59" t="str">
        <f t="shared" si="87"/>
        <v>Sep</v>
      </c>
      <c r="M143" s="59" t="str">
        <f t="shared" si="87"/>
        <v>Oct</v>
      </c>
      <c r="N143" s="59" t="str">
        <f t="shared" si="87"/>
        <v>Nov</v>
      </c>
      <c r="O143" s="59" t="str">
        <f t="shared" si="87"/>
        <v>Dec</v>
      </c>
      <c r="P143" s="210" t="str">
        <f>P$4</f>
        <v>2026 MRF3</v>
      </c>
      <c r="Q143" s="211" t="s">
        <v>1309</v>
      </c>
      <c r="R143" s="59" t="str">
        <f t="shared" ref="R143:S143" si="88">R$4</f>
        <v>Difference</v>
      </c>
      <c r="S143" s="59" t="str">
        <f t="shared" si="88"/>
        <v>% change</v>
      </c>
      <c r="T143" s="76"/>
      <c r="U143" s="210" t="s">
        <v>1186</v>
      </c>
      <c r="V143" s="210" t="s">
        <v>82</v>
      </c>
      <c r="W143" s="211" t="s">
        <v>83</v>
      </c>
      <c r="AB143" s="211" t="s">
        <v>85</v>
      </c>
    </row>
    <row r="144" spans="1:28" ht="35.85" customHeight="1">
      <c r="C144" s="219" t="s">
        <v>23</v>
      </c>
      <c r="D144" s="231">
        <f t="shared" ref="D144:P144" si="89">SUMIF($A$5:$A$135,"=48oz",D$5:D$136)</f>
        <v>15817.221954000001</v>
      </c>
      <c r="E144" s="231">
        <f t="shared" si="89"/>
        <v>18853.218966</v>
      </c>
      <c r="F144" s="231">
        <f t="shared" si="89"/>
        <v>24661.250786400004</v>
      </c>
      <c r="G144" s="231">
        <f t="shared" si="89"/>
        <v>19847.089669199995</v>
      </c>
      <c r="H144" s="231">
        <f t="shared" si="89"/>
        <v>17370.627562559999</v>
      </c>
      <c r="I144" s="231">
        <f t="shared" si="89"/>
        <v>18930.173842285709</v>
      </c>
      <c r="J144" s="231">
        <f t="shared" si="89"/>
        <v>19277.851392</v>
      </c>
      <c r="K144" s="231">
        <f t="shared" si="89"/>
        <v>19885.70921142857</v>
      </c>
      <c r="L144" s="231">
        <f t="shared" si="89"/>
        <v>14757.660997851428</v>
      </c>
      <c r="M144" s="231">
        <f t="shared" si="89"/>
        <v>14373.418384457142</v>
      </c>
      <c r="N144" s="231">
        <f t="shared" si="89"/>
        <v>10360.068898559999</v>
      </c>
      <c r="O144" s="231">
        <f t="shared" si="89"/>
        <v>10360.068898559999</v>
      </c>
      <c r="P144" s="231">
        <f t="shared" si="89"/>
        <v>204494.36056330285</v>
      </c>
      <c r="Q144" s="237">
        <v>204296.84064875997</v>
      </c>
      <c r="R144" s="205">
        <f t="shared" ref="R144:R164" si="90">P144-Q144</f>
        <v>197.51991454287781</v>
      </c>
      <c r="S144" s="220">
        <f t="shared" ref="S144:S164" si="91">IF(ISERROR(R144/Q144),"",R144/Q144)</f>
        <v>9.6682804254651458E-4</v>
      </c>
      <c r="T144" s="242" t="s">
        <v>184</v>
      </c>
      <c r="U144" s="231">
        <v>210682.37626223199</v>
      </c>
      <c r="V144" s="231">
        <v>216373.91977823206</v>
      </c>
      <c r="W144" s="237">
        <v>210041.12978423198</v>
      </c>
      <c r="X144" s="231">
        <f t="shared" ref="X144" si="92">SUMIF($A$5:$A$135,"=48oz",X$5:X$136)</f>
        <v>220972.61415379823</v>
      </c>
      <c r="Y144" s="762">
        <f t="shared" ref="Y144" si="93">P144/V144-1</f>
        <v>-5.4902916336242891E-2</v>
      </c>
      <c r="Z144" s="763">
        <f t="shared" ref="Z144" si="94">P144-V144</f>
        <v>-11879.559214929206</v>
      </c>
      <c r="AB144" s="237">
        <v>216667.55506799999</v>
      </c>
    </row>
    <row r="145" spans="3:28" ht="15" customHeight="1">
      <c r="C145" s="213" t="s">
        <v>120</v>
      </c>
      <c r="D145" s="212">
        <f t="shared" ref="D145:P145" si="95">SUMIF($A$5:$A$135,"=BJ Pts",D$5:D$136)</f>
        <v>7221.0925001600008</v>
      </c>
      <c r="E145" s="212">
        <f t="shared" si="95"/>
        <v>8696.0773637119983</v>
      </c>
      <c r="F145" s="212">
        <f t="shared" si="95"/>
        <v>11872.887171132797</v>
      </c>
      <c r="G145" s="212">
        <f t="shared" si="95"/>
        <v>8436.3696921599985</v>
      </c>
      <c r="H145" s="212">
        <f t="shared" si="95"/>
        <v>7539.3473945599999</v>
      </c>
      <c r="I145" s="212">
        <f t="shared" si="95"/>
        <v>8086.4123513855993</v>
      </c>
      <c r="J145" s="212">
        <f t="shared" si="95"/>
        <v>8403.4766583222863</v>
      </c>
      <c r="K145" s="212">
        <f t="shared" si="95"/>
        <v>8180.4130418688001</v>
      </c>
      <c r="L145" s="212">
        <f t="shared" si="95"/>
        <v>6928.8147886080005</v>
      </c>
      <c r="M145" s="212">
        <f t="shared" si="95"/>
        <v>6231.2364549120002</v>
      </c>
      <c r="N145" s="212">
        <f t="shared" si="95"/>
        <v>4187.5958513664</v>
      </c>
      <c r="O145" s="212">
        <f t="shared" si="95"/>
        <v>5701.7334513664</v>
      </c>
      <c r="P145" s="212">
        <f t="shared" si="95"/>
        <v>91485.456719554277</v>
      </c>
      <c r="Q145" s="238">
        <v>90952.350856736928</v>
      </c>
      <c r="R145" s="15">
        <f t="shared" si="90"/>
        <v>533.10586281734868</v>
      </c>
      <c r="S145" s="214">
        <f t="shared" si="91"/>
        <v>5.8613753003159564E-3</v>
      </c>
      <c r="T145" s="226"/>
      <c r="U145" s="212">
        <v>99918.457710207993</v>
      </c>
      <c r="V145" s="212">
        <v>99621.005407818229</v>
      </c>
      <c r="W145" s="238">
        <v>100398.94901204224</v>
      </c>
      <c r="X145" s="212">
        <f t="shared" ref="X145" si="96">SUMIF($A$5:$A$135,"=BJ Pts",X$5:X$136)</f>
        <v>99782.115143616</v>
      </c>
      <c r="Y145" s="764">
        <f t="shared" ref="Y145:Y164" si="97">P145/V145-1</f>
        <v>-8.1664992789015511E-2</v>
      </c>
      <c r="Z145" s="765">
        <f>P145-V145</f>
        <v>-8135.5486882639525</v>
      </c>
      <c r="AB145" s="238">
        <v>91660.401588633584</v>
      </c>
    </row>
    <row r="146" spans="3:28" ht="15" customHeight="1" thickBot="1">
      <c r="C146" s="215" t="s">
        <v>41</v>
      </c>
      <c r="D146" s="216">
        <f t="shared" ref="D146:P146" si="98">SUMIF($A$5:$A$135,"=TALENTI",D$5:D$136)</f>
        <v>2929.5300640000005</v>
      </c>
      <c r="E146" s="216">
        <f t="shared" si="98"/>
        <v>3495.6158719999999</v>
      </c>
      <c r="F146" s="216">
        <f t="shared" si="98"/>
        <v>3895.6502361599983</v>
      </c>
      <c r="G146" s="216">
        <f t="shared" si="98"/>
        <v>4635.4176000000007</v>
      </c>
      <c r="H146" s="216">
        <f t="shared" si="98"/>
        <v>3426.1032960000002</v>
      </c>
      <c r="I146" s="216">
        <f t="shared" si="98"/>
        <v>3717.1425484799993</v>
      </c>
      <c r="J146" s="216">
        <f t="shared" si="98"/>
        <v>3717.1425484799993</v>
      </c>
      <c r="K146" s="216">
        <f t="shared" si="98"/>
        <v>4115.4078215314275</v>
      </c>
      <c r="L146" s="216">
        <f t="shared" si="98"/>
        <v>2996.8512000000001</v>
      </c>
      <c r="M146" s="216">
        <f t="shared" si="98"/>
        <v>3535.4814873599998</v>
      </c>
      <c r="N146" s="216">
        <f t="shared" si="98"/>
        <v>2140.6079999999997</v>
      </c>
      <c r="O146" s="216">
        <f t="shared" si="98"/>
        <v>2504.5408446171427</v>
      </c>
      <c r="P146" s="216">
        <f t="shared" si="98"/>
        <v>41109.491518628558</v>
      </c>
      <c r="Q146" s="239">
        <v>40900.471776502862</v>
      </c>
      <c r="R146" s="217">
        <f t="shared" si="90"/>
        <v>209.01974212569621</v>
      </c>
      <c r="S146" s="218">
        <f t="shared" si="91"/>
        <v>5.1104481940420334E-3</v>
      </c>
      <c r="T146" s="227"/>
      <c r="U146" s="216">
        <v>39046.117957567985</v>
      </c>
      <c r="V146" s="216">
        <v>39342.717344703997</v>
      </c>
      <c r="W146" s="239">
        <v>41144.271504704004</v>
      </c>
      <c r="X146" s="216">
        <f t="shared" ref="X146" si="99">SUMIF($A$5:$A$135,"=TALENTI",X$5:X$136)</f>
        <v>42779.711747359994</v>
      </c>
      <c r="Y146" s="766">
        <f t="shared" si="97"/>
        <v>4.4907273649779755E-2</v>
      </c>
      <c r="Z146" s="767">
        <f t="shared" ref="Z146:Z164" si="100">P146-V146</f>
        <v>1766.7741739245612</v>
      </c>
      <c r="AA146" s="2" t="s">
        <v>185</v>
      </c>
      <c r="AB146" s="239">
        <v>41819.292168191991</v>
      </c>
    </row>
    <row r="147" spans="3:28" ht="15" customHeight="1">
      <c r="C147" s="219" t="s">
        <v>156</v>
      </c>
      <c r="D147" s="231">
        <f t="shared" ref="D147:P147" si="101">SUMIF($A$5:$A$135,"=MG Sticks",D$5:D$136)</f>
        <v>1424.1781560000002</v>
      </c>
      <c r="E147" s="231">
        <f t="shared" si="101"/>
        <v>1540.2365400000001</v>
      </c>
      <c r="F147" s="231">
        <f t="shared" si="101"/>
        <v>1432.075060000001</v>
      </c>
      <c r="G147" s="231">
        <f t="shared" si="101"/>
        <v>1926.706944</v>
      </c>
      <c r="H147" s="231">
        <f t="shared" si="101"/>
        <v>1878.521088</v>
      </c>
      <c r="I147" s="231">
        <f t="shared" si="101"/>
        <v>1855.4032000000002</v>
      </c>
      <c r="J147" s="231">
        <f t="shared" si="101"/>
        <v>1904.2256000000002</v>
      </c>
      <c r="K147" s="231">
        <f t="shared" si="101"/>
        <v>1870.2004000000002</v>
      </c>
      <c r="L147" s="231">
        <f t="shared" si="101"/>
        <v>1585.4797000000001</v>
      </c>
      <c r="M147" s="231">
        <f t="shared" si="101"/>
        <v>512</v>
      </c>
      <c r="N147" s="231">
        <f t="shared" si="101"/>
        <v>0</v>
      </c>
      <c r="O147" s="231">
        <f t="shared" si="101"/>
        <v>0</v>
      </c>
      <c r="P147" s="231">
        <f t="shared" si="101"/>
        <v>15929.026688</v>
      </c>
      <c r="Q147" s="237">
        <v>16972.212873600001</v>
      </c>
      <c r="R147" s="205">
        <f t="shared" si="90"/>
        <v>-1043.1861856000014</v>
      </c>
      <c r="S147" s="220">
        <f t="shared" si="91"/>
        <v>-6.1464359030204037E-2</v>
      </c>
      <c r="T147" s="225"/>
      <c r="U147" s="231">
        <v>18996.094340000007</v>
      </c>
      <c r="V147" s="231">
        <v>16475.198422000001</v>
      </c>
      <c r="W147" s="237">
        <v>16751.342666639997</v>
      </c>
      <c r="X147" s="231">
        <f t="shared" ref="X147" si="102">SUMIF($A$5:$A$135,"=MG Sticks",X$5:X$136)</f>
        <v>16214.983183999997</v>
      </c>
      <c r="Y147" s="762">
        <f t="shared" si="97"/>
        <v>-3.3151147561942373E-2</v>
      </c>
      <c r="Z147" s="763">
        <f t="shared" si="100"/>
        <v>-546.17173400000138</v>
      </c>
      <c r="AB147" s="237">
        <v>15353.303545360002</v>
      </c>
    </row>
    <row r="148" spans="3:28" ht="15" customHeight="1">
      <c r="C148" s="213" t="s">
        <v>39</v>
      </c>
      <c r="D148" s="212">
        <f t="shared" ref="D148:P148" si="103">SUMIF($A$5:$A$135,"=PG",D$5:D$136)</f>
        <v>2582.6962260000009</v>
      </c>
      <c r="E148" s="212">
        <f t="shared" si="103"/>
        <v>2576.6663446666662</v>
      </c>
      <c r="F148" s="212">
        <f t="shared" si="103"/>
        <v>2969.1373200000012</v>
      </c>
      <c r="G148" s="212">
        <f t="shared" si="103"/>
        <v>2907.4058496000002</v>
      </c>
      <c r="H148" s="212">
        <f t="shared" si="103"/>
        <v>3127.9448678400004</v>
      </c>
      <c r="I148" s="212">
        <f t="shared" si="103"/>
        <v>3435.2916479999999</v>
      </c>
      <c r="J148" s="212">
        <f t="shared" si="103"/>
        <v>3860.5196258807591</v>
      </c>
      <c r="K148" s="212">
        <f t="shared" si="103"/>
        <v>3848.6307785907861</v>
      </c>
      <c r="L148" s="212">
        <f t="shared" si="103"/>
        <v>3654.857925880759</v>
      </c>
      <c r="M148" s="212">
        <f t="shared" si="103"/>
        <v>3942.3116313008131</v>
      </c>
      <c r="N148" s="212">
        <f t="shared" si="103"/>
        <v>1261.1592000000001</v>
      </c>
      <c r="O148" s="212">
        <f t="shared" si="103"/>
        <v>0</v>
      </c>
      <c r="P148" s="212">
        <f t="shared" si="103"/>
        <v>34166.621417759787</v>
      </c>
      <c r="Q148" s="238">
        <v>35002.558411451275</v>
      </c>
      <c r="R148" s="15">
        <f t="shared" si="90"/>
        <v>-835.93699369148817</v>
      </c>
      <c r="S148" s="214">
        <f t="shared" si="91"/>
        <v>-2.3882168379383575E-2</v>
      </c>
      <c r="T148" s="226"/>
      <c r="U148" s="212">
        <v>41242.701204000026</v>
      </c>
      <c r="V148" s="212">
        <v>41838.211464899992</v>
      </c>
      <c r="W148" s="238">
        <v>43312.13689319999</v>
      </c>
      <c r="X148" s="212">
        <f t="shared" ref="X148" si="104">SUMIF($A$5:$A$135,"=PG",X$5:X$136)</f>
        <v>20656.302473999993</v>
      </c>
      <c r="Y148" s="764">
        <f t="shared" si="97"/>
        <v>-0.18336324088749001</v>
      </c>
      <c r="Z148" s="765">
        <f t="shared" si="100"/>
        <v>-7671.5900471402056</v>
      </c>
      <c r="AB148" s="238">
        <v>40769.33975831831</v>
      </c>
    </row>
    <row r="149" spans="3:28" ht="15" customHeight="1" thickBot="1">
      <c r="C149" s="215" t="s">
        <v>36</v>
      </c>
      <c r="D149" s="216">
        <f t="shared" ref="D149:P149" si="105">SUMIF($A$5:$A$135,"=MBG",D$5:D$136)</f>
        <v>764.77287999999976</v>
      </c>
      <c r="E149" s="216">
        <f t="shared" si="105"/>
        <v>951.77551200000005</v>
      </c>
      <c r="F149" s="216">
        <f t="shared" si="105"/>
        <v>1192.05895616</v>
      </c>
      <c r="G149" s="216">
        <f t="shared" si="105"/>
        <v>1599.2831999999999</v>
      </c>
      <c r="H149" s="216">
        <f t="shared" si="105"/>
        <v>1569.9886080000001</v>
      </c>
      <c r="I149" s="216">
        <f t="shared" si="105"/>
        <v>1259.3504</v>
      </c>
      <c r="J149" s="216">
        <f t="shared" si="105"/>
        <v>1155.32312</v>
      </c>
      <c r="K149" s="216">
        <f t="shared" si="105"/>
        <v>1105.09168</v>
      </c>
      <c r="L149" s="216">
        <f t="shared" si="105"/>
        <v>885.86063999999999</v>
      </c>
      <c r="M149" s="216">
        <f t="shared" si="105"/>
        <v>919.82352000000003</v>
      </c>
      <c r="N149" s="216">
        <f t="shared" si="105"/>
        <v>0</v>
      </c>
      <c r="O149" s="216">
        <f t="shared" si="105"/>
        <v>0</v>
      </c>
      <c r="P149" s="216">
        <f t="shared" si="105"/>
        <v>11403.32851616</v>
      </c>
      <c r="Q149" s="239">
        <v>11192.85134496</v>
      </c>
      <c r="R149" s="217">
        <f t="shared" si="90"/>
        <v>210.47717120000016</v>
      </c>
      <c r="S149" s="218">
        <f t="shared" si="91"/>
        <v>1.8804607040079684E-2</v>
      </c>
      <c r="T149" s="227"/>
      <c r="U149" s="216">
        <v>12737.952584000001</v>
      </c>
      <c r="V149" s="216">
        <v>13526.835671999997</v>
      </c>
      <c r="W149" s="239">
        <v>13171.706343999998</v>
      </c>
      <c r="X149" s="216">
        <f t="shared" ref="X149" si="106">SUMIF($A$5:$A$135,"=MBG",X$5:X$136)</f>
        <v>12757.565884</v>
      </c>
      <c r="Y149" s="766">
        <f t="shared" si="97"/>
        <v>-0.15698476771145908</v>
      </c>
      <c r="Z149" s="767">
        <f t="shared" si="100"/>
        <v>-2123.5071558399977</v>
      </c>
      <c r="AB149" s="239">
        <v>10881.725903999999</v>
      </c>
    </row>
    <row r="150" spans="3:28" ht="15" customHeight="1">
      <c r="C150" s="219" t="s">
        <v>40</v>
      </c>
      <c r="D150" s="231">
        <f t="shared" ref="D150:P150" si="107">SUMIF($A$5:$A$135,"=SP1",D$5:D$136)</f>
        <v>639.69331999999997</v>
      </c>
      <c r="E150" s="231">
        <f t="shared" si="107"/>
        <v>865.41599200000019</v>
      </c>
      <c r="F150" s="231">
        <f t="shared" si="107"/>
        <v>1181.7446054400002</v>
      </c>
      <c r="G150" s="231">
        <f t="shared" si="107"/>
        <v>1074.4588800000001</v>
      </c>
      <c r="H150" s="231">
        <f t="shared" si="107"/>
        <v>1196.45856</v>
      </c>
      <c r="I150" s="231">
        <f t="shared" si="107"/>
        <v>1011.7624122154991</v>
      </c>
      <c r="J150" s="231">
        <f t="shared" si="107"/>
        <v>1124.1804580172213</v>
      </c>
      <c r="K150" s="231">
        <f t="shared" si="107"/>
        <v>1236.5985038189435</v>
      </c>
      <c r="L150" s="231">
        <f t="shared" si="107"/>
        <v>1067.9714351163602</v>
      </c>
      <c r="M150" s="231">
        <f t="shared" si="107"/>
        <v>1166.4000000000001</v>
      </c>
      <c r="N150" s="231">
        <f t="shared" si="107"/>
        <v>1011.7624122154991</v>
      </c>
      <c r="O150" s="231">
        <f t="shared" si="107"/>
        <v>1429.74</v>
      </c>
      <c r="P150" s="231">
        <f t="shared" si="107"/>
        <v>13006.186578823521</v>
      </c>
      <c r="Q150" s="237">
        <v>13199.165723917464</v>
      </c>
      <c r="R150" s="205">
        <f t="shared" si="90"/>
        <v>-192.97914509394286</v>
      </c>
      <c r="S150" s="220">
        <f t="shared" si="91"/>
        <v>-1.4620556263208078E-2</v>
      </c>
      <c r="T150" s="225"/>
      <c r="U150" s="231">
        <v>12601.475079999998</v>
      </c>
      <c r="V150" s="231">
        <v>13166.549432</v>
      </c>
      <c r="W150" s="237">
        <v>12891.970207999999</v>
      </c>
      <c r="X150" s="231">
        <f t="shared" ref="X150" si="108">SUMIF($A$5:$A$135,"=SP1",X$5:X$136)</f>
        <v>12235.623916086857</v>
      </c>
      <c r="Y150" s="762">
        <f t="shared" si="97"/>
        <v>-1.2179565648895996E-2</v>
      </c>
      <c r="Z150" s="763">
        <f t="shared" si="100"/>
        <v>-160.36285317647889</v>
      </c>
      <c r="AB150" s="237">
        <v>14505.104270288664</v>
      </c>
    </row>
    <row r="151" spans="3:28" ht="15" customHeight="1">
      <c r="C151" s="213" t="s">
        <v>31</v>
      </c>
      <c r="D151" s="212">
        <f t="shared" ref="D151:P151" si="109">SUMIF($A$5:$A$135,"=EDF",D$5:D$136)</f>
        <v>3847.9351440000009</v>
      </c>
      <c r="E151" s="212">
        <f t="shared" si="109"/>
        <v>4679.4576479999996</v>
      </c>
      <c r="F151" s="212">
        <f t="shared" si="109"/>
        <v>5844.7813238399985</v>
      </c>
      <c r="G151" s="212">
        <f t="shared" si="109"/>
        <v>5039.1489024000002</v>
      </c>
      <c r="H151" s="212">
        <f t="shared" si="109"/>
        <v>4345.1071488000007</v>
      </c>
      <c r="I151" s="212">
        <f t="shared" si="109"/>
        <v>3788.0740800000008</v>
      </c>
      <c r="J151" s="212">
        <f t="shared" si="109"/>
        <v>3965.4694800000002</v>
      </c>
      <c r="K151" s="212">
        <f t="shared" si="109"/>
        <v>3613.1349240000009</v>
      </c>
      <c r="L151" s="212">
        <f t="shared" si="109"/>
        <v>3409.2666720000007</v>
      </c>
      <c r="M151" s="212">
        <f t="shared" si="109"/>
        <v>2316.3673680000002</v>
      </c>
      <c r="N151" s="212">
        <f t="shared" si="109"/>
        <v>1856.6188200000001</v>
      </c>
      <c r="O151" s="212">
        <f t="shared" si="109"/>
        <v>430.92000000000007</v>
      </c>
      <c r="P151" s="212">
        <f t="shared" si="109"/>
        <v>43136.281511040004</v>
      </c>
      <c r="Q151" s="238">
        <v>44453.707691520001</v>
      </c>
      <c r="R151" s="15">
        <f t="shared" si="90"/>
        <v>-1317.4261804799971</v>
      </c>
      <c r="S151" s="214">
        <f t="shared" si="91"/>
        <v>-2.9635912253305918E-2</v>
      </c>
      <c r="T151" s="226"/>
      <c r="U151" s="212">
        <v>45096.978671999997</v>
      </c>
      <c r="V151" s="212">
        <v>44175.708672000001</v>
      </c>
      <c r="W151" s="238">
        <v>46790.631359999999</v>
      </c>
      <c r="X151" s="212">
        <f t="shared" ref="X151" si="110">SUMIF($A$5:$A$135,"=EDF",X$5:X$136)</f>
        <v>42644.848848000009</v>
      </c>
      <c r="Y151" s="764">
        <f t="shared" si="97"/>
        <v>-2.3529382826150802E-2</v>
      </c>
      <c r="Z151" s="765">
        <f t="shared" si="100"/>
        <v>-1039.4271609599964</v>
      </c>
      <c r="AB151" s="238">
        <v>46306.567439999999</v>
      </c>
    </row>
    <row r="152" spans="3:28" ht="15" customHeight="1" thickBot="1">
      <c r="C152" s="215" t="s">
        <v>32</v>
      </c>
      <c r="D152" s="216">
        <f t="shared" ref="D152:P152" si="111">SUMIF($A$5:$A$135,"=EFW",D$5:D$136)</f>
        <v>0</v>
      </c>
      <c r="E152" s="216">
        <f t="shared" si="111"/>
        <v>37.625615999999994</v>
      </c>
      <c r="F152" s="216">
        <f t="shared" si="111"/>
        <v>0.93887999999999994</v>
      </c>
      <c r="G152" s="216">
        <f t="shared" si="111"/>
        <v>69.202483199999989</v>
      </c>
      <c r="H152" s="216">
        <f t="shared" si="111"/>
        <v>147.35001599999998</v>
      </c>
      <c r="I152" s="216">
        <f t="shared" si="111"/>
        <v>475.198464</v>
      </c>
      <c r="J152" s="216">
        <f t="shared" si="111"/>
        <v>526.54079999999999</v>
      </c>
      <c r="K152" s="216">
        <f t="shared" si="111"/>
        <v>398.49292800000001</v>
      </c>
      <c r="L152" s="216">
        <f t="shared" si="111"/>
        <v>208.130304</v>
      </c>
      <c r="M152" s="216">
        <f t="shared" si="111"/>
        <v>144.47078399999998</v>
      </c>
      <c r="N152" s="216">
        <f t="shared" si="111"/>
        <v>352.601088</v>
      </c>
      <c r="O152" s="216">
        <f t="shared" si="111"/>
        <v>78.239999999999995</v>
      </c>
      <c r="P152" s="216">
        <f t="shared" si="111"/>
        <v>2438.7913631999995</v>
      </c>
      <c r="Q152" s="239">
        <v>1877.76</v>
      </c>
      <c r="R152" s="217">
        <f t="shared" si="90"/>
        <v>561.03136319999953</v>
      </c>
      <c r="S152" s="218">
        <f t="shared" si="91"/>
        <v>0.29877692740286271</v>
      </c>
      <c r="T152" s="227"/>
      <c r="U152" s="216">
        <v>1316.0332319999998</v>
      </c>
      <c r="V152" s="216">
        <v>1368.0072</v>
      </c>
      <c r="W152" s="239">
        <v>1335.95964</v>
      </c>
      <c r="X152" s="216">
        <f t="shared" ref="X152" si="112">SUMIF($A$5:$A$135,"=EFW",X$5:X$136)</f>
        <v>4399.6810160743307</v>
      </c>
      <c r="Y152" s="766">
        <f t="shared" si="97"/>
        <v>0.78273284175697277</v>
      </c>
      <c r="Z152" s="767">
        <f t="shared" si="100"/>
        <v>1070.7841631999995</v>
      </c>
      <c r="AB152" s="239">
        <v>3223.7857890417267</v>
      </c>
    </row>
    <row r="153" spans="3:28" ht="15" customHeight="1">
      <c r="C153" s="219" t="s">
        <v>33</v>
      </c>
      <c r="D153" s="231">
        <f t="shared" ref="D153:P153" si="113">SUMIF($A$5:$A$135,"=ESS",D$5:D$136)</f>
        <v>560.11081200000001</v>
      </c>
      <c r="E153" s="231">
        <f t="shared" si="113"/>
        <v>497.31898799999999</v>
      </c>
      <c r="F153" s="231">
        <f t="shared" si="113"/>
        <v>660.47470776</v>
      </c>
      <c r="G153" s="231">
        <f t="shared" si="113"/>
        <v>1237.575741582222</v>
      </c>
      <c r="H153" s="231">
        <f t="shared" si="113"/>
        <v>2367.8069760000003</v>
      </c>
      <c r="I153" s="231">
        <f t="shared" si="113"/>
        <v>1811.5477838222216</v>
      </c>
      <c r="J153" s="231">
        <f t="shared" si="113"/>
        <v>1293.1515422222219</v>
      </c>
      <c r="K153" s="231">
        <f t="shared" si="113"/>
        <v>935.14319662222215</v>
      </c>
      <c r="L153" s="231">
        <f t="shared" si="113"/>
        <v>865.38731662222199</v>
      </c>
      <c r="M153" s="231">
        <f t="shared" si="113"/>
        <v>744.02127502222197</v>
      </c>
      <c r="N153" s="231">
        <f t="shared" si="113"/>
        <v>752.74031502222238</v>
      </c>
      <c r="O153" s="231">
        <f t="shared" si="113"/>
        <v>463.06223502222235</v>
      </c>
      <c r="P153" s="231">
        <f t="shared" si="113"/>
        <v>12188.340889697778</v>
      </c>
      <c r="Q153" s="237">
        <v>10394.301138737779</v>
      </c>
      <c r="R153" s="205">
        <f t="shared" si="90"/>
        <v>1794.0397509599989</v>
      </c>
      <c r="S153" s="220">
        <f t="shared" si="91"/>
        <v>0.17259840050947919</v>
      </c>
      <c r="T153" s="225"/>
      <c r="U153" s="231">
        <v>9927.2719600000019</v>
      </c>
      <c r="V153" s="231">
        <v>11309.7790733088</v>
      </c>
      <c r="W153" s="237">
        <v>12101.739595737599</v>
      </c>
      <c r="X153" s="231">
        <f t="shared" ref="X153" si="114">SUMIF($A$5:$A$135,"=ESS",X$5:X$136)</f>
        <v>5039.8944839999995</v>
      </c>
      <c r="Y153" s="762">
        <f t="shared" si="97"/>
        <v>7.7681607279349363E-2</v>
      </c>
      <c r="Z153" s="763">
        <f t="shared" si="100"/>
        <v>878.5618163889776</v>
      </c>
      <c r="AB153" s="237">
        <v>13780.963367423999</v>
      </c>
    </row>
    <row r="154" spans="3:28" ht="15" customHeight="1">
      <c r="C154" s="213" t="s">
        <v>35</v>
      </c>
      <c r="D154" s="212">
        <f t="shared" ref="D154:P154" si="115">SUMIF($A$5:$A$135,"=KL Mini Cones",$P$5:$P$136)</f>
        <v>1322.9740512000001</v>
      </c>
      <c r="E154" s="212">
        <f t="shared" si="115"/>
        <v>1322.9740512000001</v>
      </c>
      <c r="F154" s="212">
        <f t="shared" si="115"/>
        <v>1322.9740512000001</v>
      </c>
      <c r="G154" s="212">
        <f t="shared" si="115"/>
        <v>1322.9740512000001</v>
      </c>
      <c r="H154" s="212">
        <f t="shared" si="115"/>
        <v>1322.9740512000001</v>
      </c>
      <c r="I154" s="212">
        <f t="shared" si="115"/>
        <v>1322.9740512000001</v>
      </c>
      <c r="J154" s="212">
        <f t="shared" si="115"/>
        <v>1322.9740512000001</v>
      </c>
      <c r="K154" s="212">
        <f t="shared" si="115"/>
        <v>1322.9740512000001</v>
      </c>
      <c r="L154" s="212">
        <f t="shared" si="115"/>
        <v>1322.9740512000001</v>
      </c>
      <c r="M154" s="212">
        <f t="shared" si="115"/>
        <v>1322.9740512000001</v>
      </c>
      <c r="N154" s="212">
        <f t="shared" si="115"/>
        <v>1322.9740512000001</v>
      </c>
      <c r="O154" s="212">
        <f t="shared" si="115"/>
        <v>1322.9740512000001</v>
      </c>
      <c r="P154" s="212">
        <f t="shared" si="115"/>
        <v>1322.9740512000001</v>
      </c>
      <c r="Q154" s="238">
        <v>1317.7960358400005</v>
      </c>
      <c r="R154" s="15">
        <f t="shared" si="90"/>
        <v>5.1780153599995629</v>
      </c>
      <c r="S154" s="214">
        <f t="shared" si="91"/>
        <v>3.9292995419423528E-3</v>
      </c>
      <c r="T154" s="226"/>
      <c r="U154" s="212">
        <v>3273.8531159999998</v>
      </c>
      <c r="V154" s="212">
        <v>2435.0778959999998</v>
      </c>
      <c r="W154" s="238">
        <v>2425.1114339999999</v>
      </c>
      <c r="X154" s="212">
        <f t="shared" ref="X154" si="116">SUMIF($A$5:$A$135,"=KL Mini Cones",$P$5:$P$136)</f>
        <v>1322.9740512000001</v>
      </c>
      <c r="Y154" s="764">
        <f t="shared" si="97"/>
        <v>-0.45670154808057928</v>
      </c>
      <c r="Z154" s="765">
        <f t="shared" si="100"/>
        <v>-1112.1038447999997</v>
      </c>
      <c r="AB154" s="238">
        <v>2069.4707399999998</v>
      </c>
    </row>
    <row r="155" spans="3:28" ht="15" customHeight="1" thickBot="1">
      <c r="C155" s="215" t="s">
        <v>157</v>
      </c>
      <c r="D155" s="216">
        <f t="shared" ref="D155:P155" si="117">SUMIF($A$5:$A$135,"=MG PTS",$P$5:$P$136)</f>
        <v>0</v>
      </c>
      <c r="E155" s="216">
        <f t="shared" si="117"/>
        <v>0</v>
      </c>
      <c r="F155" s="216">
        <f t="shared" si="117"/>
        <v>0</v>
      </c>
      <c r="G155" s="216">
        <f t="shared" si="117"/>
        <v>0</v>
      </c>
      <c r="H155" s="216">
        <f t="shared" si="117"/>
        <v>0</v>
      </c>
      <c r="I155" s="216">
        <f t="shared" si="117"/>
        <v>0</v>
      </c>
      <c r="J155" s="216">
        <f t="shared" si="117"/>
        <v>0</v>
      </c>
      <c r="K155" s="216">
        <f t="shared" si="117"/>
        <v>0</v>
      </c>
      <c r="L155" s="216">
        <f t="shared" si="117"/>
        <v>0</v>
      </c>
      <c r="M155" s="216">
        <f t="shared" si="117"/>
        <v>0</v>
      </c>
      <c r="N155" s="216">
        <f t="shared" si="117"/>
        <v>0</v>
      </c>
      <c r="O155" s="216">
        <f t="shared" si="117"/>
        <v>0</v>
      </c>
      <c r="P155" s="216">
        <f t="shared" si="117"/>
        <v>0</v>
      </c>
      <c r="Q155" s="240">
        <v>0</v>
      </c>
      <c r="R155" s="217">
        <f t="shared" si="90"/>
        <v>0</v>
      </c>
      <c r="S155" s="218" t="str">
        <f t="shared" si="91"/>
        <v/>
      </c>
      <c r="T155" s="227"/>
      <c r="U155" s="216">
        <v>0</v>
      </c>
      <c r="V155" s="216">
        <v>0</v>
      </c>
      <c r="W155" s="240">
        <v>0</v>
      </c>
      <c r="X155" s="216">
        <f t="shared" ref="X155" si="118">SUMIF($A$5:$A$135,"=MG PTS",$P$5:$P$136)</f>
        <v>0</v>
      </c>
      <c r="Y155" s="766" t="e">
        <f t="shared" si="97"/>
        <v>#DIV/0!</v>
      </c>
      <c r="Z155" s="767">
        <f t="shared" si="100"/>
        <v>0</v>
      </c>
      <c r="AB155" s="240">
        <v>0</v>
      </c>
    </row>
    <row r="156" spans="3:28" ht="15" customHeight="1">
      <c r="C156" s="219" t="s">
        <v>21</v>
      </c>
      <c r="D156" s="231">
        <f t="shared" ref="D156:P156" si="119">SUMIF($A$5:$A$135,"=2.4 Gal",D$5:D$136)</f>
        <v>371.2985229264844</v>
      </c>
      <c r="E156" s="231">
        <f t="shared" si="119"/>
        <v>767.19669759566455</v>
      </c>
      <c r="F156" s="231">
        <f t="shared" si="119"/>
        <v>577.01471237983014</v>
      </c>
      <c r="G156" s="231">
        <f t="shared" si="119"/>
        <v>578.23283174363803</v>
      </c>
      <c r="H156" s="231">
        <f t="shared" si="119"/>
        <v>874.45591409236556</v>
      </c>
      <c r="I156" s="231">
        <f t="shared" si="119"/>
        <v>248.96256552309143</v>
      </c>
      <c r="J156" s="231">
        <f t="shared" si="119"/>
        <v>461.78330553251647</v>
      </c>
      <c r="K156" s="231">
        <f t="shared" si="119"/>
        <v>481.86100139491043</v>
      </c>
      <c r="L156" s="231">
        <f t="shared" si="119"/>
        <v>188.72901552309139</v>
      </c>
      <c r="M156" s="231">
        <f t="shared" si="119"/>
        <v>144.5577455230914</v>
      </c>
      <c r="N156" s="231">
        <f t="shared" si="119"/>
        <v>453.75478587181902</v>
      </c>
      <c r="O156" s="231">
        <f t="shared" si="119"/>
        <v>0</v>
      </c>
      <c r="P156" s="231">
        <f t="shared" si="119"/>
        <v>5147.8470981065029</v>
      </c>
      <c r="Q156" s="237">
        <v>4586.1812148248828</v>
      </c>
      <c r="R156" s="205">
        <f t="shared" si="90"/>
        <v>561.66588328162015</v>
      </c>
      <c r="S156" s="220">
        <f t="shared" si="91"/>
        <v>0.12246918666581007</v>
      </c>
      <c r="T156" s="225"/>
      <c r="U156" s="231">
        <v>4266.1069153147964</v>
      </c>
      <c r="V156" s="231">
        <v>4393.313321743638</v>
      </c>
      <c r="W156" s="237">
        <v>4725.0633403157399</v>
      </c>
      <c r="X156" s="231">
        <f t="shared" ref="X156" si="120">SUMIF($A$5:$A$135,"=2.4 Gal",X$5:X$136)</f>
        <v>4511.1539999745519</v>
      </c>
      <c r="Y156" s="762">
        <f t="shared" si="97"/>
        <v>0.17174595142770333</v>
      </c>
      <c r="Z156" s="763">
        <f t="shared" si="100"/>
        <v>754.53377636286496</v>
      </c>
      <c r="AB156" s="237">
        <v>4780.8133311969832</v>
      </c>
    </row>
    <row r="157" spans="3:28" ht="15" customHeight="1">
      <c r="C157" s="213" t="s">
        <v>25</v>
      </c>
      <c r="D157" s="212">
        <f t="shared" ref="D157:P157" si="121">SUMIF($A$5:$A$135,"=B&amp;J Cups",D$5:D$136)</f>
        <v>168.33962399999999</v>
      </c>
      <c r="E157" s="212">
        <f t="shared" si="121"/>
        <v>90.16091999999999</v>
      </c>
      <c r="F157" s="212">
        <f t="shared" si="121"/>
        <v>275.94071039999994</v>
      </c>
      <c r="G157" s="212">
        <f t="shared" si="121"/>
        <v>160.02282239999997</v>
      </c>
      <c r="H157" s="212">
        <f t="shared" si="121"/>
        <v>0</v>
      </c>
      <c r="I157" s="212">
        <f t="shared" si="121"/>
        <v>37.897113599999997</v>
      </c>
      <c r="J157" s="212">
        <f t="shared" si="121"/>
        <v>70.515878399999991</v>
      </c>
      <c r="K157" s="212">
        <f t="shared" si="121"/>
        <v>187.63799039999995</v>
      </c>
      <c r="L157" s="212">
        <f t="shared" si="121"/>
        <v>67.133836799999997</v>
      </c>
      <c r="M157" s="212">
        <f t="shared" si="121"/>
        <v>109.1584512</v>
      </c>
      <c r="N157" s="212">
        <f t="shared" si="121"/>
        <v>161.80922879999997</v>
      </c>
      <c r="O157" s="212">
        <f t="shared" si="121"/>
        <v>71.699903999999989</v>
      </c>
      <c r="P157" s="212">
        <f t="shared" si="121"/>
        <v>1400.31648</v>
      </c>
      <c r="Q157" s="238">
        <v>1338.3819110399997</v>
      </c>
      <c r="R157" s="15">
        <f t="shared" si="90"/>
        <v>61.934568960000206</v>
      </c>
      <c r="S157" s="214">
        <f t="shared" si="91"/>
        <v>4.6275706843552214E-2</v>
      </c>
      <c r="T157" s="226"/>
      <c r="U157" s="212">
        <v>2472.385968</v>
      </c>
      <c r="V157" s="212">
        <v>3013.4835083520002</v>
      </c>
      <c r="W157" s="238">
        <v>3221.9392523519991</v>
      </c>
      <c r="X157" s="212">
        <f t="shared" ref="X157" si="122">SUMIF($A$5:$A$135,"=B&amp;J Cups",X$5:X$136)</f>
        <v>2317.5917057759998</v>
      </c>
      <c r="Y157" s="764">
        <f t="shared" si="97"/>
        <v>-0.5353163619050969</v>
      </c>
      <c r="Z157" s="765">
        <f t="shared" si="100"/>
        <v>-1613.1670283520002</v>
      </c>
      <c r="AB157" s="238">
        <v>2537.1111840000003</v>
      </c>
    </row>
    <row r="158" spans="3:28" ht="15" customHeight="1" thickBot="1">
      <c r="C158" s="215" t="s">
        <v>135</v>
      </c>
      <c r="D158" s="216">
        <f t="shared" ref="D158:O158" si="123">SUMIF($A$5:$A$135,"=MG Stick ND",D$5:D$136)</f>
        <v>0</v>
      </c>
      <c r="E158" s="216">
        <f t="shared" si="123"/>
        <v>0</v>
      </c>
      <c r="F158" s="216">
        <f t="shared" si="123"/>
        <v>0</v>
      </c>
      <c r="G158" s="216">
        <f t="shared" si="123"/>
        <v>0</v>
      </c>
      <c r="H158" s="216">
        <f t="shared" si="123"/>
        <v>0</v>
      </c>
      <c r="I158" s="216">
        <f t="shared" si="123"/>
        <v>0</v>
      </c>
      <c r="J158" s="216">
        <f t="shared" si="123"/>
        <v>0</v>
      </c>
      <c r="K158" s="216">
        <f t="shared" si="123"/>
        <v>0</v>
      </c>
      <c r="L158" s="216">
        <f t="shared" si="123"/>
        <v>0</v>
      </c>
      <c r="M158" s="216">
        <f t="shared" si="123"/>
        <v>0</v>
      </c>
      <c r="N158" s="216">
        <f t="shared" si="123"/>
        <v>0</v>
      </c>
      <c r="O158" s="216">
        <f t="shared" si="123"/>
        <v>0</v>
      </c>
      <c r="P158" s="216">
        <f>SUMIF($A$5:$A$135,"=MG Sticks ND",P$5:P$136)</f>
        <v>0</v>
      </c>
      <c r="Q158" s="240">
        <v>0</v>
      </c>
      <c r="R158" s="217">
        <f t="shared" si="90"/>
        <v>0</v>
      </c>
      <c r="S158" s="218" t="str">
        <f t="shared" si="91"/>
        <v/>
      </c>
      <c r="T158" s="227"/>
      <c r="U158" s="216">
        <v>0</v>
      </c>
      <c r="V158" s="216">
        <v>0</v>
      </c>
      <c r="W158" s="240">
        <v>0</v>
      </c>
      <c r="X158" s="216">
        <f>SUMIF($A$5:$A$135,"=MG Sticks ND",X$5:X$136)</f>
        <v>0</v>
      </c>
      <c r="Y158" s="766" t="e">
        <f t="shared" si="97"/>
        <v>#DIV/0!</v>
      </c>
      <c r="Z158" s="767">
        <f t="shared" si="100"/>
        <v>0</v>
      </c>
      <c r="AB158" s="240">
        <v>0</v>
      </c>
    </row>
    <row r="159" spans="3:28" ht="15.75" thickBot="1">
      <c r="C159" s="219" t="s">
        <v>38</v>
      </c>
      <c r="D159" s="231">
        <f>SUMIF($A$5:$A$135,"=Other",D$5:D$136)</f>
        <v>899.58661400000005</v>
      </c>
      <c r="E159" s="231">
        <f t="shared" ref="E159:P159" si="124">SUMIF($A$5:$A$135,"=Other",E$5:E$136)</f>
        <v>1207.596595</v>
      </c>
      <c r="F159" s="231">
        <f t="shared" si="124"/>
        <v>1160.5485980000001</v>
      </c>
      <c r="G159" s="231">
        <f t="shared" si="124"/>
        <v>1126.25322048</v>
      </c>
      <c r="H159" s="231">
        <f t="shared" si="124"/>
        <v>1183.1569919999999</v>
      </c>
      <c r="I159" s="231">
        <f t="shared" si="124"/>
        <v>1162.0685721599998</v>
      </c>
      <c r="J159" s="231">
        <f t="shared" si="124"/>
        <v>757.95161159999998</v>
      </c>
      <c r="K159" s="231">
        <f t="shared" si="124"/>
        <v>694.17152608000004</v>
      </c>
      <c r="L159" s="231">
        <f t="shared" si="124"/>
        <v>466.95552199999997</v>
      </c>
      <c r="M159" s="231">
        <f t="shared" si="124"/>
        <v>385.90334560000002</v>
      </c>
      <c r="N159" s="231">
        <f t="shared" si="124"/>
        <v>356.73162439999993</v>
      </c>
      <c r="O159" s="231">
        <f t="shared" si="124"/>
        <v>254.12368479999998</v>
      </c>
      <c r="P159" s="231">
        <f t="shared" si="124"/>
        <v>9655.0479061200003</v>
      </c>
      <c r="Q159" s="237">
        <v>11347.473805959999</v>
      </c>
      <c r="R159" s="205">
        <f t="shared" si="90"/>
        <v>-1692.4258998399982</v>
      </c>
      <c r="S159" s="220">
        <f t="shared" si="91"/>
        <v>-0.14914560974364979</v>
      </c>
      <c r="T159" s="225"/>
      <c r="U159" s="231">
        <v>12401.828680999999</v>
      </c>
      <c r="V159" s="231">
        <v>11443.858566999999</v>
      </c>
      <c r="W159" s="237">
        <v>11100.085664499999</v>
      </c>
      <c r="X159" s="231">
        <f t="shared" ref="X159" si="125">SUMIF($A$5:$A$135,"=Other",X$5:X$136)</f>
        <v>16076.730043375999</v>
      </c>
      <c r="Y159" s="762">
        <f t="shared" si="97"/>
        <v>-0.15631184625422501</v>
      </c>
      <c r="Z159" s="205">
        <f t="shared" si="100"/>
        <v>-1788.810660879999</v>
      </c>
      <c r="AB159" s="237">
        <v>4964.9741827600001</v>
      </c>
    </row>
    <row r="160" spans="3:28" ht="15">
      <c r="C160" s="213" t="s">
        <v>44</v>
      </c>
      <c r="D160" s="231">
        <f t="shared" ref="D160:P160" si="126">SUMIF($A$5:$A$135,"=Yasso Sticks",D$5:D$136)</f>
        <v>2339.4402479999994</v>
      </c>
      <c r="E160" s="231">
        <f t="shared" si="126"/>
        <v>2209.0075439999996</v>
      </c>
      <c r="F160" s="231">
        <f t="shared" si="126"/>
        <v>1844.6912160000002</v>
      </c>
      <c r="G160" s="231">
        <f t="shared" si="126"/>
        <v>1731.6374630400001</v>
      </c>
      <c r="H160" s="231">
        <f t="shared" si="126"/>
        <v>4641.0355199999995</v>
      </c>
      <c r="I160" s="231">
        <f t="shared" si="126"/>
        <v>2488.4558400000005</v>
      </c>
      <c r="J160" s="231">
        <f t="shared" si="126"/>
        <v>2552.7049200000001</v>
      </c>
      <c r="K160" s="231">
        <f t="shared" si="126"/>
        <v>2163.2561999999998</v>
      </c>
      <c r="L160" s="231">
        <f t="shared" si="126"/>
        <v>1623.6801599999999</v>
      </c>
      <c r="M160" s="231">
        <f t="shared" si="126"/>
        <v>2811.2648399999998</v>
      </c>
      <c r="N160" s="231">
        <f t="shared" si="126"/>
        <v>2811.2356080000004</v>
      </c>
      <c r="O160" s="231">
        <f t="shared" si="126"/>
        <v>1897.52196</v>
      </c>
      <c r="P160" s="231">
        <f t="shared" si="126"/>
        <v>29113.931519039998</v>
      </c>
      <c r="Q160" s="231">
        <v>30086.527415924997</v>
      </c>
      <c r="R160" s="231">
        <f>SUMIF($A$5:$A$135,"=Yasso Sticks",R$5:R$136)</f>
        <v>-972.59589688499727</v>
      </c>
      <c r="S160" s="231">
        <f>SUMIF($A$5:$A$135,"=Yasso Sticks",S$5:S$136)</f>
        <v>-0.3054445938835566</v>
      </c>
      <c r="T160" s="226"/>
      <c r="U160" s="231"/>
      <c r="V160" s="231"/>
      <c r="W160" s="231">
        <f>SUMIF($A$5:$A$135,"=Yasso Sticks",W$5:W$136)</f>
        <v>28627.168183999998</v>
      </c>
      <c r="X160" s="231">
        <f>SUMIF($A$5:$A$135,"=Yasso Sticks",X$5:X$136)</f>
        <v>24920.026256000001</v>
      </c>
      <c r="Y160" s="762" t="e">
        <f t="shared" ref="Y160" si="127">P160/V160-1</f>
        <v>#DIV/0!</v>
      </c>
      <c r="Z160" s="205">
        <f t="shared" ref="Z160" si="128">P160-V160</f>
        <v>29113.931519039998</v>
      </c>
      <c r="AB160" s="231">
        <v>36117.691200000001</v>
      </c>
    </row>
    <row r="161" spans="1:33" ht="15.75" thickBot="1">
      <c r="C161" s="213" t="s">
        <v>30</v>
      </c>
      <c r="D161" s="212">
        <f t="shared" ref="D161:P161" si="129">SUMIF($A$5:$A$135,"=Dough Bites",D$5:D$136)</f>
        <v>120.967962176</v>
      </c>
      <c r="E161" s="212">
        <f t="shared" si="129"/>
        <v>86.299631616000013</v>
      </c>
      <c r="F161" s="212">
        <f t="shared" si="129"/>
        <v>70.689622080000007</v>
      </c>
      <c r="G161" s="212">
        <f t="shared" si="129"/>
        <v>92.547141119999992</v>
      </c>
      <c r="H161" s="212">
        <f t="shared" si="129"/>
        <v>75.614315519999991</v>
      </c>
      <c r="I161" s="212">
        <f t="shared" si="129"/>
        <v>61.581734400000002</v>
      </c>
      <c r="J161" s="212">
        <f t="shared" si="129"/>
        <v>67.746854400000004</v>
      </c>
      <c r="K161" s="212">
        <f t="shared" si="129"/>
        <v>51.600522240000004</v>
      </c>
      <c r="L161" s="212">
        <f t="shared" si="129"/>
        <v>24.407040000000002</v>
      </c>
      <c r="M161" s="212">
        <f t="shared" si="129"/>
        <v>43.712294400000005</v>
      </c>
      <c r="N161" s="212">
        <f t="shared" si="129"/>
        <v>44.105541120000005</v>
      </c>
      <c r="O161" s="212">
        <f t="shared" si="129"/>
        <v>31.902021120000004</v>
      </c>
      <c r="P161" s="212">
        <f t="shared" si="129"/>
        <v>771.1746801920001</v>
      </c>
      <c r="Q161" s="241">
        <v>730.62335084799986</v>
      </c>
      <c r="R161" s="15">
        <f t="shared" si="90"/>
        <v>40.551329344000237</v>
      </c>
      <c r="S161" s="214">
        <f t="shared" si="91"/>
        <v>5.5502372456251545E-2</v>
      </c>
      <c r="T161" s="226"/>
      <c r="U161" s="212">
        <v>793.48547430400004</v>
      </c>
      <c r="V161" s="212">
        <v>827.8283285120001</v>
      </c>
      <c r="W161" s="241">
        <v>878.69085651200021</v>
      </c>
      <c r="X161" s="212">
        <f t="shared" ref="X161" si="130">SUMIF($A$5:$A$135,"=Dough Bites",X$5:X$136)</f>
        <v>724.06356950400004</v>
      </c>
      <c r="Y161" s="764">
        <f>P161/V161-1</f>
        <v>-6.8436469698776148E-2</v>
      </c>
      <c r="Z161" s="15">
        <f t="shared" si="100"/>
        <v>-56.653648320000002</v>
      </c>
      <c r="AB161" s="241">
        <v>0</v>
      </c>
    </row>
    <row r="162" spans="1:33" ht="15.75" thickBot="1">
      <c r="C162" s="213" t="s">
        <v>27</v>
      </c>
      <c r="D162" s="231">
        <f t="shared" ref="D162:P162" si="131">SUMIF($A$5:$A$135,"=BJ Bars",D$5:D$136)</f>
        <v>216.1728</v>
      </c>
      <c r="E162" s="231">
        <f t="shared" si="131"/>
        <v>520.60799999999995</v>
      </c>
      <c r="F162" s="231">
        <f t="shared" si="131"/>
        <v>684.76175999999987</v>
      </c>
      <c r="G162" s="231">
        <f t="shared" si="131"/>
        <v>770.69030399999997</v>
      </c>
      <c r="H162" s="231">
        <f t="shared" si="131"/>
        <v>1128.0706559999999</v>
      </c>
      <c r="I162" s="231">
        <f t="shared" si="131"/>
        <v>774.14400000000001</v>
      </c>
      <c r="J162" s="231">
        <f t="shared" si="131"/>
        <v>258.048</v>
      </c>
      <c r="K162" s="231">
        <f t="shared" si="131"/>
        <v>516.096</v>
      </c>
      <c r="L162" s="231">
        <f t="shared" si="131"/>
        <v>967.68000000000006</v>
      </c>
      <c r="M162" s="231">
        <f t="shared" si="131"/>
        <v>322.56</v>
      </c>
      <c r="N162" s="231">
        <f t="shared" si="131"/>
        <v>387.072</v>
      </c>
      <c r="O162" s="231">
        <f t="shared" si="131"/>
        <v>193.536</v>
      </c>
      <c r="P162" s="231">
        <f t="shared" si="131"/>
        <v>6739.4395200000008</v>
      </c>
      <c r="Q162" s="231">
        <v>5967.1823039999999</v>
      </c>
      <c r="R162" s="231">
        <f>SUMIF($A$5:$A$135,"=BJ Bars",R$5:R$136)</f>
        <v>772.25721600000088</v>
      </c>
      <c r="S162" s="231">
        <f>SUMIF($A$5:$A$135,"=BJ Bars",S$5:S$136)</f>
        <v>0.12941739947886816</v>
      </c>
      <c r="T162" s="226"/>
      <c r="U162" s="231"/>
      <c r="V162" s="231"/>
      <c r="W162" s="231">
        <f>SUMIF($A$5:$A$135,"=BJ Bars",W$5:W$136)</f>
        <v>1125.5999999999997</v>
      </c>
      <c r="X162" s="231">
        <f>SUMIF($A$5:$A$135,"=BJ Bars",X$5:X$136)</f>
        <v>0</v>
      </c>
      <c r="Y162" s="762" t="e">
        <f t="shared" si="97"/>
        <v>#DIV/0!</v>
      </c>
      <c r="Z162" s="205">
        <f t="shared" si="100"/>
        <v>6739.4395200000008</v>
      </c>
      <c r="AA162" s="62"/>
      <c r="AB162" s="231">
        <v>772.95779999999991</v>
      </c>
    </row>
    <row r="163" spans="1:33" ht="15">
      <c r="C163" s="213" t="s">
        <v>45</v>
      </c>
      <c r="D163" s="231">
        <f>SUMIF($A$5:$A$135,"=Yasso Sticks",D$5:D$136)</f>
        <v>2339.4402479999994</v>
      </c>
      <c r="E163" s="231">
        <f>SUMIF($A$5:$A$135,"=Yasso Sticks",E$5:E$136)</f>
        <v>2209.0075439999996</v>
      </c>
      <c r="F163" s="231">
        <f>SUMIF($A$5:$A$135,"=Yasso Sticks",F$5:F$136)</f>
        <v>1844.6912160000002</v>
      </c>
      <c r="G163" s="231">
        <f>SUMIF($A$5:$A$135,"=Yasso Sticks",G$5:G$136)</f>
        <v>1731.6374630400001</v>
      </c>
      <c r="H163" s="231">
        <f t="shared" ref="H163:P163" si="132">SUMIF($A$5:$A$135,"=YS PTS",H$5:H$136)</f>
        <v>416.51711999999998</v>
      </c>
      <c r="I163" s="231">
        <f t="shared" si="132"/>
        <v>391.67711999999995</v>
      </c>
      <c r="J163" s="231">
        <f t="shared" si="132"/>
        <v>763.48223999999993</v>
      </c>
      <c r="K163" s="231">
        <f t="shared" si="132"/>
        <v>969.62111999999991</v>
      </c>
      <c r="L163" s="231">
        <f t="shared" si="132"/>
        <v>1161.7171199999998</v>
      </c>
      <c r="M163" s="231">
        <f t="shared" si="132"/>
        <v>919.94111999999996</v>
      </c>
      <c r="N163" s="231">
        <f t="shared" si="132"/>
        <v>965.51423999999997</v>
      </c>
      <c r="O163" s="231">
        <f t="shared" si="132"/>
        <v>698.43455999999992</v>
      </c>
      <c r="P163" s="231">
        <f t="shared" si="132"/>
        <v>9852.9350399999985</v>
      </c>
      <c r="Q163" s="231">
        <v>7992.9498873600005</v>
      </c>
      <c r="R163" s="231">
        <f>SUMIF($A$5:$A$135,"=YS PTS",R$5:R$136)</f>
        <v>1859.9851526399984</v>
      </c>
      <c r="S163" s="231">
        <f>SUMIF($A$5:$A$135,"=YS PTS",S$5:S$136)</f>
        <v>0.68981650251679738</v>
      </c>
      <c r="T163" s="226"/>
      <c r="U163" s="231"/>
      <c r="V163" s="231"/>
      <c r="W163" s="231">
        <f>SUMIF($A$5:$A$135,"=BJ Bars",W$5:W$136)</f>
        <v>1125.5999999999997</v>
      </c>
      <c r="X163" s="231">
        <f>SUMIF($A$5:$A$135,"=YS PTS",X$5:X$136)</f>
        <v>0</v>
      </c>
      <c r="Y163" s="762" t="e">
        <f t="shared" si="97"/>
        <v>#DIV/0!</v>
      </c>
      <c r="Z163" s="205">
        <f t="shared" si="100"/>
        <v>9852.9350399999985</v>
      </c>
      <c r="AB163" s="231">
        <v>5216.3999999999996</v>
      </c>
    </row>
    <row r="164" spans="1:33" ht="15.75" thickBot="1">
      <c r="C164" s="215" t="s">
        <v>34</v>
      </c>
      <c r="D164" s="216">
        <f t="shared" ref="D164:P164" si="133">SUMIF($A$5:$A$135,"=Facepieces",D$5:D$136)</f>
        <v>439.58999999999986</v>
      </c>
      <c r="E164" s="216">
        <f t="shared" si="133"/>
        <v>960.77257200000054</v>
      </c>
      <c r="F164" s="216">
        <f t="shared" si="133"/>
        <v>690.8397599999995</v>
      </c>
      <c r="G164" s="216">
        <f t="shared" si="133"/>
        <v>1769.1311231999998</v>
      </c>
      <c r="H164" s="216">
        <f t="shared" si="133"/>
        <v>688.39280640000004</v>
      </c>
      <c r="I164" s="216">
        <f t="shared" si="133"/>
        <v>661.65258240000003</v>
      </c>
      <c r="J164" s="216">
        <f t="shared" si="133"/>
        <v>526.1239296</v>
      </c>
      <c r="K164" s="216">
        <f t="shared" si="133"/>
        <v>857.70040319999998</v>
      </c>
      <c r="L164" s="216">
        <f t="shared" si="133"/>
        <v>320.1830784</v>
      </c>
      <c r="M164" s="216">
        <f t="shared" si="133"/>
        <v>331.87855103999999</v>
      </c>
      <c r="N164" s="216">
        <f t="shared" si="133"/>
        <v>446.83683839999998</v>
      </c>
      <c r="O164" s="216">
        <f t="shared" si="133"/>
        <v>305.33160959999998</v>
      </c>
      <c r="P164" s="216">
        <f t="shared" si="133"/>
        <v>7998.4332542399998</v>
      </c>
      <c r="Q164" s="239">
        <v>7361.2301280000001</v>
      </c>
      <c r="R164" s="217">
        <f t="shared" si="90"/>
        <v>637.20312623999962</v>
      </c>
      <c r="S164" s="218">
        <f t="shared" si="91"/>
        <v>8.6562044000806651E-2</v>
      </c>
      <c r="T164" s="227"/>
      <c r="U164" s="216">
        <v>10251.323261999996</v>
      </c>
      <c r="V164" s="216">
        <v>10422.617143777778</v>
      </c>
      <c r="W164" s="239">
        <v>9878.3231179999984</v>
      </c>
      <c r="X164" s="216">
        <f t="shared" ref="X164" si="134">SUMIF($A$5:$A$135,"=Facepieces",X$5:X$136)</f>
        <v>11553.296100000009</v>
      </c>
      <c r="Y164" s="766">
        <f t="shared" si="97"/>
        <v>-0.23258878802671912</v>
      </c>
      <c r="Z164" s="217">
        <f t="shared" si="100"/>
        <v>-2424.1838895377778</v>
      </c>
      <c r="AB164" s="239">
        <v>10028.76080230986</v>
      </c>
    </row>
    <row r="165" spans="1:33" ht="15.75" thickBot="1">
      <c r="C165" s="22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R165" s="222" t="s">
        <v>186</v>
      </c>
      <c r="S165" s="223"/>
      <c r="T165" s="224" t="s">
        <v>66</v>
      </c>
      <c r="U165" s="2"/>
      <c r="V165" s="2"/>
      <c r="W165" s="2"/>
    </row>
    <row r="166" spans="1:33" ht="13.5" thickBot="1">
      <c r="A166" s="22" t="s">
        <v>65</v>
      </c>
      <c r="C166" s="22" t="s">
        <v>187</v>
      </c>
      <c r="D166" s="59" t="str">
        <f>D143</f>
        <v>Jan</v>
      </c>
      <c r="E166" s="59" t="str">
        <f t="shared" ref="E166:O166" si="135">E143</f>
        <v>Feb</v>
      </c>
      <c r="F166" s="59" t="str">
        <f t="shared" si="135"/>
        <v>Mar</v>
      </c>
      <c r="G166" s="59" t="str">
        <f t="shared" si="135"/>
        <v>Apr</v>
      </c>
      <c r="H166" s="59" t="str">
        <f t="shared" si="135"/>
        <v>May</v>
      </c>
      <c r="I166" s="59" t="str">
        <f t="shared" si="135"/>
        <v>Jun</v>
      </c>
      <c r="J166" s="59" t="str">
        <f t="shared" si="135"/>
        <v>Jul</v>
      </c>
      <c r="K166" s="59" t="str">
        <f t="shared" si="135"/>
        <v>Aug</v>
      </c>
      <c r="L166" s="59" t="str">
        <f t="shared" si="135"/>
        <v>Sep</v>
      </c>
      <c r="M166" s="59" t="str">
        <f t="shared" si="135"/>
        <v>Oct</v>
      </c>
      <c r="N166" s="59" t="str">
        <f t="shared" si="135"/>
        <v>Nov</v>
      </c>
      <c r="O166" s="59" t="str">
        <f t="shared" si="135"/>
        <v>Dec</v>
      </c>
      <c r="P166" s="210" t="str">
        <f>P$4</f>
        <v>2026 MRF3</v>
      </c>
      <c r="Q166" s="211" t="s">
        <v>1309</v>
      </c>
      <c r="R166" s="59" t="str">
        <f t="shared" ref="R166:S166" si="136">R$4</f>
        <v>Difference</v>
      </c>
      <c r="S166" s="59" t="str">
        <f t="shared" si="136"/>
        <v>% change</v>
      </c>
      <c r="T166" s="70" t="s">
        <v>188</v>
      </c>
      <c r="U166" s="210" t="s">
        <v>1186</v>
      </c>
      <c r="V166" s="210" t="s">
        <v>82</v>
      </c>
      <c r="W166" s="211" t="s">
        <v>83</v>
      </c>
      <c r="X166" s="692">
        <v>2024</v>
      </c>
      <c r="Y166" s="1097" t="s">
        <v>189</v>
      </c>
      <c r="Z166" s="1098"/>
      <c r="AB166" s="211" t="s">
        <v>85</v>
      </c>
    </row>
    <row r="167" spans="1:33" ht="33" customHeight="1">
      <c r="A167" s="835">
        <f>P167/U167-1</f>
        <v>-3.3619625571933431E-3</v>
      </c>
      <c r="C167" s="739" t="s">
        <v>5</v>
      </c>
      <c r="D167" s="430">
        <f t="shared" ref="D167:P167" si="137">D41</f>
        <v>15351.310464144004</v>
      </c>
      <c r="E167" s="430">
        <f t="shared" si="137"/>
        <v>18340.164894607999</v>
      </c>
      <c r="F167" s="430">
        <f t="shared" si="137"/>
        <v>21559.084370368</v>
      </c>
      <c r="G167" s="430">
        <f t="shared" si="137"/>
        <v>20900.2087536</v>
      </c>
      <c r="H167" s="430">
        <f t="shared" si="137"/>
        <v>17947.867339199998</v>
      </c>
      <c r="I167" s="1081">
        <f t="shared" si="137"/>
        <v>18050.12303168064</v>
      </c>
      <c r="J167" s="1081">
        <f t="shared" si="137"/>
        <v>18771.706257937221</v>
      </c>
      <c r="K167" s="1081">
        <f t="shared" si="137"/>
        <v>19707.735138836084</v>
      </c>
      <c r="L167" s="1081">
        <f t="shared" si="137"/>
        <v>17517.141982716359</v>
      </c>
      <c r="M167" s="430">
        <f t="shared" si="137"/>
        <v>14713.920961321141</v>
      </c>
      <c r="N167" s="1081">
        <f t="shared" si="137"/>
        <v>10521.4412966155</v>
      </c>
      <c r="O167" s="1081">
        <f t="shared" si="137"/>
        <v>10597.674892617142</v>
      </c>
      <c r="P167" s="430">
        <f t="shared" si="137"/>
        <v>203978.37938364409</v>
      </c>
      <c r="Q167" s="431">
        <v>205006.33536026717</v>
      </c>
      <c r="R167" s="432">
        <f t="shared" ref="R167:R186" si="138">P167-Q167</f>
        <v>-1027.9559766230814</v>
      </c>
      <c r="S167" s="704">
        <f t="shared" ref="S167:S170" si="139">P167/Q167-1</f>
        <v>-5.0142644363483369E-3</v>
      </c>
      <c r="T167" s="722"/>
      <c r="U167" s="430">
        <v>204666.46036008801</v>
      </c>
      <c r="V167" s="430">
        <v>210852.95242431201</v>
      </c>
      <c r="W167" s="431">
        <v>212920.34279997984</v>
      </c>
      <c r="X167" s="716">
        <f t="shared" ref="X167" si="140">X41</f>
        <v>205930.96219262108</v>
      </c>
      <c r="Y167" s="14">
        <f t="shared" ref="Y167:Y186" si="141">P167/V167-1</f>
        <v>-3.2603636617967835E-2</v>
      </c>
      <c r="Z167" s="15">
        <f t="shared" ref="Z167:Z187" si="142">P167-V167</f>
        <v>-6874.5730406679213</v>
      </c>
      <c r="AB167" s="431">
        <v>221182.95810336067</v>
      </c>
      <c r="AC167" s="14"/>
      <c r="AD167" s="38"/>
    </row>
    <row r="168" spans="1:33" ht="15">
      <c r="A168" s="835">
        <f>P168/U168-1</f>
        <v>-2.9446854464642347E-2</v>
      </c>
      <c r="C168" s="740" t="s">
        <v>6</v>
      </c>
      <c r="D168" s="433">
        <f t="shared" ref="D168:P168" si="143">D53</f>
        <v>12867.398626</v>
      </c>
      <c r="E168" s="433">
        <f t="shared" si="143"/>
        <v>15960.450872666668</v>
      </c>
      <c r="F168" s="433">
        <f t="shared" si="143"/>
        <v>20695.881395920002</v>
      </c>
      <c r="G168" s="433">
        <f t="shared" si="143"/>
        <v>16935.760885199998</v>
      </c>
      <c r="H168" s="433">
        <f t="shared" si="143"/>
        <v>14566.079583360002</v>
      </c>
      <c r="I168" s="433">
        <f t="shared" si="143"/>
        <v>14706.096248228572</v>
      </c>
      <c r="J168" s="433">
        <f t="shared" si="143"/>
        <v>15536.1203652</v>
      </c>
      <c r="K168" s="433">
        <f t="shared" si="143"/>
        <v>16586.933033142857</v>
      </c>
      <c r="L168" s="433">
        <f t="shared" si="143"/>
        <v>11434.300459851429</v>
      </c>
      <c r="M168" s="433">
        <f t="shared" si="143"/>
        <v>12530.136138</v>
      </c>
      <c r="N168" s="433">
        <f t="shared" si="143"/>
        <v>7599.5127417600006</v>
      </c>
      <c r="O168" s="433">
        <f t="shared" si="143"/>
        <v>5280.49282176</v>
      </c>
      <c r="P168" s="433">
        <f t="shared" si="143"/>
        <v>164699.16317108952</v>
      </c>
      <c r="Q168" s="434">
        <v>166103.4847355638</v>
      </c>
      <c r="R168" s="20">
        <f t="shared" si="138"/>
        <v>-1404.3215644742886</v>
      </c>
      <c r="S168" s="21">
        <f t="shared" si="139"/>
        <v>-8.4544979096011774E-3</v>
      </c>
      <c r="T168" s="723"/>
      <c r="U168" s="433">
        <v>169696.18194399995</v>
      </c>
      <c r="V168" s="433">
        <v>169593.65338</v>
      </c>
      <c r="W168" s="434">
        <v>169014.96664599993</v>
      </c>
      <c r="X168" s="717">
        <f t="shared" ref="X168" si="144">X53</f>
        <v>165582.141936</v>
      </c>
      <c r="Y168" s="14">
        <f t="shared" si="141"/>
        <v>-2.8860102435222856E-2</v>
      </c>
      <c r="Z168" s="15">
        <f t="shared" si="142"/>
        <v>-4894.4902089104871</v>
      </c>
      <c r="AB168" s="434">
        <v>170277.52217126399</v>
      </c>
      <c r="AC168" s="14"/>
    </row>
    <row r="169" spans="1:33" ht="15.75" thickBot="1">
      <c r="A169" s="835">
        <f>P169/U169-1</f>
        <v>-6.0133410766455619E-2</v>
      </c>
      <c r="C169" s="741" t="s">
        <v>4</v>
      </c>
      <c r="D169" s="216">
        <f t="shared" ref="D169:P169" si="145">SUM(D14,D22)</f>
        <v>7039.2099609424858</v>
      </c>
      <c r="E169" s="216">
        <f t="shared" si="145"/>
        <v>9327.6855286996615</v>
      </c>
      <c r="F169" s="216">
        <f t="shared" si="145"/>
        <v>11227.299661224628</v>
      </c>
      <c r="G169" s="216">
        <f t="shared" si="145"/>
        <v>8124.6826823036372</v>
      </c>
      <c r="H169" s="216">
        <f t="shared" si="145"/>
        <v>7896.0448574523652</v>
      </c>
      <c r="I169" s="216">
        <f t="shared" si="145"/>
        <v>7535.8648399806916</v>
      </c>
      <c r="J169" s="216">
        <f t="shared" si="145"/>
        <v>8146.1960176148023</v>
      </c>
      <c r="K169" s="216">
        <f t="shared" si="145"/>
        <v>8662.2740432637111</v>
      </c>
      <c r="L169" s="216">
        <f t="shared" si="145"/>
        <v>7117.5438041310917</v>
      </c>
      <c r="M169" s="216">
        <f t="shared" si="145"/>
        <v>6361.7278621310916</v>
      </c>
      <c r="N169" s="216">
        <f t="shared" si="145"/>
        <v>4641.350637238219</v>
      </c>
      <c r="O169" s="216">
        <f t="shared" si="145"/>
        <v>5701.7334513664</v>
      </c>
      <c r="P169" s="216">
        <f t="shared" si="145"/>
        <v>91781.613346348779</v>
      </c>
      <c r="Q169" s="239">
        <v>90219.037255177798</v>
      </c>
      <c r="R169" s="217">
        <f t="shared" si="138"/>
        <v>1562.5760911709804</v>
      </c>
      <c r="S169" s="376">
        <f t="shared" si="139"/>
        <v>1.7319804541378048E-2</v>
      </c>
      <c r="T169" s="723"/>
      <c r="U169" s="216">
        <v>97653.873855858779</v>
      </c>
      <c r="V169" s="216">
        <v>97842.209850713873</v>
      </c>
      <c r="W169" s="239">
        <v>97834.956956482129</v>
      </c>
      <c r="X169" s="718">
        <f t="shared" ref="X169" si="146">SUM(X14,X22)</f>
        <v>104785.86943231054</v>
      </c>
      <c r="Y169" s="14">
        <f t="shared" si="141"/>
        <v>-6.1942555402338728E-2</v>
      </c>
      <c r="Z169" s="15">
        <f t="shared" si="142"/>
        <v>-6060.596504365094</v>
      </c>
      <c r="AB169" s="239">
        <v>94567.609688470577</v>
      </c>
      <c r="AC169" s="14"/>
      <c r="AG169" s="2">
        <f>P169/U169-1</f>
        <v>-6.0133410766455619E-2</v>
      </c>
    </row>
    <row r="170" spans="1:33" ht="13.5" thickBot="1">
      <c r="A170" s="838">
        <f>P170/U170-1</f>
        <v>-2.4485075973375681E-2</v>
      </c>
      <c r="C170" s="428" t="s">
        <v>7</v>
      </c>
      <c r="D170" s="429">
        <f t="shared" ref="D170:O170" si="147">D119</f>
        <v>35257.919051086494</v>
      </c>
      <c r="E170" s="429">
        <f t="shared" si="147"/>
        <v>43628.301295974328</v>
      </c>
      <c r="F170" s="429">
        <f t="shared" si="147"/>
        <v>53482.265427512626</v>
      </c>
      <c r="G170" s="429">
        <f t="shared" si="147"/>
        <v>45960.652321103633</v>
      </c>
      <c r="H170" s="429">
        <f t="shared" si="147"/>
        <v>40409.991780012366</v>
      </c>
      <c r="I170" s="429">
        <f t="shared" si="147"/>
        <v>40292.0841198899</v>
      </c>
      <c r="J170" s="429">
        <f t="shared" si="147"/>
        <v>42454.022640752024</v>
      </c>
      <c r="K170" s="429">
        <f t="shared" si="147"/>
        <v>44956.942215242656</v>
      </c>
      <c r="L170" s="429">
        <f t="shared" si="147"/>
        <v>36068.986246698878</v>
      </c>
      <c r="M170" s="429">
        <f t="shared" si="147"/>
        <v>33605.784961452235</v>
      </c>
      <c r="N170" s="429">
        <f t="shared" si="147"/>
        <v>22762.304675613719</v>
      </c>
      <c r="O170" s="429">
        <f t="shared" si="147"/>
        <v>21579.90116574354</v>
      </c>
      <c r="P170" s="429">
        <f>P119</f>
        <v>460459.15590108233</v>
      </c>
      <c r="Q170" s="429">
        <v>461328.85735100874</v>
      </c>
      <c r="R170" s="724">
        <f t="shared" si="138"/>
        <v>-869.70144992641872</v>
      </c>
      <c r="S170" s="725">
        <f t="shared" si="139"/>
        <v>-1.8852092949925847E-3</v>
      </c>
      <c r="T170" s="726"/>
      <c r="U170" s="429">
        <v>472016.51615994674</v>
      </c>
      <c r="V170" s="429">
        <v>478288.81565502589</v>
      </c>
      <c r="W170" s="429">
        <v>479770.26640246192</v>
      </c>
      <c r="X170" s="429">
        <f>X119</f>
        <v>476274.76352893165</v>
      </c>
      <c r="Y170" s="760">
        <f t="shared" si="141"/>
        <v>-3.7278019410772689E-2</v>
      </c>
      <c r="Z170" s="416">
        <f t="shared" si="142"/>
        <v>-17829.659753943561</v>
      </c>
      <c r="AB170" s="429">
        <v>486028.0899630952</v>
      </c>
      <c r="AC170" s="14">
        <f>P170/U170-1</f>
        <v>-2.4485075973375681E-2</v>
      </c>
      <c r="AE170" s="14"/>
    </row>
    <row r="171" spans="1:33">
      <c r="A171" s="836"/>
      <c r="B171" s="421">
        <v>1712</v>
      </c>
      <c r="C171" s="742" t="s">
        <v>158</v>
      </c>
      <c r="D171" s="165">
        <f>SUMIF($B$5:$B$135,"=1712",D$5:D$136)</f>
        <v>547.42494299999998</v>
      </c>
      <c r="E171" s="165">
        <f t="shared" ref="E171:P171" si="148">SUMIF($B$5:$B$135,"=1712",E$5:E$136)</f>
        <v>696.45075599999996</v>
      </c>
      <c r="F171" s="165">
        <f t="shared" si="148"/>
        <v>1195.26575316</v>
      </c>
      <c r="G171" s="165">
        <f t="shared" si="148"/>
        <v>821.46044160000008</v>
      </c>
      <c r="H171" s="165">
        <f t="shared" si="148"/>
        <v>1267.9154639999999</v>
      </c>
      <c r="I171" s="165">
        <f t="shared" si="148"/>
        <v>874.14174719999983</v>
      </c>
      <c r="J171" s="165">
        <f t="shared" si="148"/>
        <v>414.64131839999993</v>
      </c>
      <c r="K171" s="165">
        <f t="shared" si="148"/>
        <v>1032.7046399999999</v>
      </c>
      <c r="L171" s="165">
        <f t="shared" si="148"/>
        <v>741.33584640000004</v>
      </c>
      <c r="M171" s="165">
        <f t="shared" si="148"/>
        <v>869.99086080000006</v>
      </c>
      <c r="N171" s="165">
        <f t="shared" si="148"/>
        <v>1117.9286783999999</v>
      </c>
      <c r="O171" s="165">
        <f t="shared" si="148"/>
        <v>757.55462399999999</v>
      </c>
      <c r="P171" s="165">
        <f t="shared" si="148"/>
        <v>10336.815072960002</v>
      </c>
      <c r="Q171" s="165">
        <v>10396.023867</v>
      </c>
      <c r="R171" s="8">
        <f t="shared" si="138"/>
        <v>-59.208794039997883</v>
      </c>
      <c r="S171" s="422">
        <f>P171/Q171-1</f>
        <v>-5.695330714653668E-3</v>
      </c>
      <c r="T171" s="727"/>
      <c r="U171" s="165">
        <v>11951.818437000002</v>
      </c>
      <c r="V171" s="165">
        <v>11762.543681952</v>
      </c>
      <c r="W171" s="165">
        <v>13110.030649051998</v>
      </c>
      <c r="X171" s="716">
        <f t="shared" ref="X171" si="149">SUMIF($B$5:$B$135,"=1712",X$5:X$136)</f>
        <v>4189.2459310560007</v>
      </c>
      <c r="Y171" s="14">
        <f t="shared" si="141"/>
        <v>-0.12120920844524319</v>
      </c>
      <c r="Z171" s="15">
        <f t="shared" si="142"/>
        <v>-1425.728608991998</v>
      </c>
      <c r="AB171" s="165">
        <v>15472.465968</v>
      </c>
    </row>
    <row r="172" spans="1:33">
      <c r="A172" s="836"/>
      <c r="B172" s="421">
        <v>1713</v>
      </c>
      <c r="C172" s="742" t="s">
        <v>159</v>
      </c>
      <c r="D172" s="165">
        <f>SUMIF($B$5:$B$135,"=1713",D$5:D$136)</f>
        <v>0.19998000000000002</v>
      </c>
      <c r="E172" s="165">
        <f t="shared" ref="E172:P172" si="150">SUMIF($B$5:$B$135,"=1713",E$5:E$136)</f>
        <v>41.973579999999998</v>
      </c>
      <c r="F172" s="165">
        <f t="shared" si="150"/>
        <v>0</v>
      </c>
      <c r="G172" s="165">
        <f t="shared" si="150"/>
        <v>6.9811200000000007</v>
      </c>
      <c r="H172" s="165">
        <f t="shared" si="150"/>
        <v>0</v>
      </c>
      <c r="I172" s="165">
        <f t="shared" si="150"/>
        <v>42.662399999999998</v>
      </c>
      <c r="J172" s="165">
        <f t="shared" si="150"/>
        <v>21.331199999999999</v>
      </c>
      <c r="K172" s="165">
        <f t="shared" si="150"/>
        <v>17.064959999999999</v>
      </c>
      <c r="L172" s="165">
        <f t="shared" si="150"/>
        <v>21.331199999999999</v>
      </c>
      <c r="M172" s="165">
        <f t="shared" si="150"/>
        <v>12.798719999999999</v>
      </c>
      <c r="N172" s="165">
        <f t="shared" si="150"/>
        <v>8.5324799999999996</v>
      </c>
      <c r="O172" s="165">
        <f t="shared" si="150"/>
        <v>0</v>
      </c>
      <c r="P172" s="165">
        <f t="shared" si="150"/>
        <v>172.87563999999998</v>
      </c>
      <c r="Q172" s="165">
        <v>183.19606240000005</v>
      </c>
      <c r="R172" s="8">
        <f t="shared" si="138"/>
        <v>-10.320422400000069</v>
      </c>
      <c r="S172" s="422">
        <f t="shared" ref="S172:S187" si="151">P172/Q172-1</f>
        <v>-5.6335394248081094E-2</v>
      </c>
      <c r="T172" s="727"/>
      <c r="U172" s="165">
        <v>685.57789999999989</v>
      </c>
      <c r="V172" s="165">
        <v>988.28096000000005</v>
      </c>
      <c r="W172" s="165">
        <v>1129.5537000000002</v>
      </c>
      <c r="X172" s="717">
        <f t="shared" ref="X172" si="152">SUMIF($B$5:$B$135,"=1713",X$5:X$136)</f>
        <v>677.17066</v>
      </c>
      <c r="Y172" s="14">
        <f t="shared" si="141"/>
        <v>-0.82507439989534959</v>
      </c>
      <c r="Z172" s="15">
        <f t="shared" si="142"/>
        <v>-815.40532000000007</v>
      </c>
      <c r="AB172" s="165">
        <v>1235.028</v>
      </c>
    </row>
    <row r="173" spans="1:33">
      <c r="A173" s="836"/>
      <c r="B173" s="421">
        <v>1714</v>
      </c>
      <c r="C173" s="742" t="s">
        <v>160</v>
      </c>
      <c r="D173" s="165">
        <f>SUMIF($B$5:$B$135,"=1714",D$5:D$136)</f>
        <v>0</v>
      </c>
      <c r="E173" s="165">
        <f t="shared" ref="E173:P173" si="153">SUMIF($B$5:$B$135,"=1714",E$5:E$136)</f>
        <v>0</v>
      </c>
      <c r="F173" s="165">
        <f t="shared" si="153"/>
        <v>0</v>
      </c>
      <c r="G173" s="165">
        <f t="shared" si="153"/>
        <v>0</v>
      </c>
      <c r="H173" s="165">
        <f t="shared" si="153"/>
        <v>0</v>
      </c>
      <c r="I173" s="165">
        <f t="shared" si="153"/>
        <v>0</v>
      </c>
      <c r="J173" s="165">
        <f t="shared" si="153"/>
        <v>0</v>
      </c>
      <c r="K173" s="165">
        <f t="shared" si="153"/>
        <v>0</v>
      </c>
      <c r="L173" s="165">
        <f t="shared" si="153"/>
        <v>0</v>
      </c>
      <c r="M173" s="165">
        <f t="shared" si="153"/>
        <v>0</v>
      </c>
      <c r="N173" s="165">
        <f t="shared" si="153"/>
        <v>0</v>
      </c>
      <c r="O173" s="165">
        <f t="shared" si="153"/>
        <v>0</v>
      </c>
      <c r="P173" s="165">
        <f t="shared" si="153"/>
        <v>0</v>
      </c>
      <c r="Q173" s="165">
        <v>0</v>
      </c>
      <c r="R173" s="8">
        <f t="shared" si="138"/>
        <v>0</v>
      </c>
      <c r="S173" s="422" t="e">
        <f t="shared" si="151"/>
        <v>#DIV/0!</v>
      </c>
      <c r="T173" s="727"/>
      <c r="U173" s="165">
        <v>12.303900000000001</v>
      </c>
      <c r="V173" s="165">
        <v>12.303900000000001</v>
      </c>
      <c r="W173" s="165">
        <v>4.1277600000000003</v>
      </c>
      <c r="X173" s="717">
        <f t="shared" ref="X173" si="154">SUMIF($B$5:$B$135,"=1714",X$5:X$136)</f>
        <v>122.75099200000001</v>
      </c>
      <c r="Y173" s="14">
        <f t="shared" si="141"/>
        <v>-1</v>
      </c>
      <c r="Z173" s="15">
        <f t="shared" si="142"/>
        <v>-12.303900000000001</v>
      </c>
      <c r="AB173" s="165">
        <v>0</v>
      </c>
    </row>
    <row r="174" spans="1:33">
      <c r="A174" s="836"/>
      <c r="B174" s="421">
        <v>1715</v>
      </c>
      <c r="C174" s="742" t="s">
        <v>161</v>
      </c>
      <c r="D174" s="165">
        <f>SUMIF($B$5:$B$135,"=1715",D$5:D$136)</f>
        <v>440.79072000000002</v>
      </c>
      <c r="E174" s="165">
        <f t="shared" ref="E174:P174" si="155">SUMIF($B$5:$B$135,"=1715",E$5:E$136)</f>
        <v>281.74207200000001</v>
      </c>
      <c r="F174" s="165">
        <f t="shared" si="155"/>
        <v>482.402736</v>
      </c>
      <c r="G174" s="165">
        <f t="shared" si="155"/>
        <v>547.16755968000007</v>
      </c>
      <c r="H174" s="165">
        <f t="shared" si="155"/>
        <v>2761.0329599999991</v>
      </c>
      <c r="I174" s="165">
        <f t="shared" si="155"/>
        <v>1150.1280000000002</v>
      </c>
      <c r="J174" s="165">
        <f t="shared" si="155"/>
        <v>1023.9264000000002</v>
      </c>
      <c r="K174" s="165">
        <f t="shared" si="155"/>
        <v>1023.9264000000002</v>
      </c>
      <c r="L174" s="165">
        <f t="shared" si="155"/>
        <v>649.35360000000003</v>
      </c>
      <c r="M174" s="165">
        <f t="shared" si="155"/>
        <v>626.97600000000011</v>
      </c>
      <c r="N174" s="165">
        <f t="shared" si="155"/>
        <v>773.53920000000016</v>
      </c>
      <c r="O174" s="165">
        <f t="shared" si="155"/>
        <v>548.81280000000004</v>
      </c>
      <c r="P174" s="165">
        <f t="shared" si="155"/>
        <v>10309.798447680001</v>
      </c>
      <c r="Q174" s="165">
        <v>8769.456071999999</v>
      </c>
      <c r="R174" s="8">
        <f t="shared" si="138"/>
        <v>1540.3423756800021</v>
      </c>
      <c r="S174" s="422">
        <f t="shared" si="151"/>
        <v>0.1756485650915296</v>
      </c>
      <c r="T174" s="728"/>
      <c r="U174" s="165">
        <v>8519.6247680000015</v>
      </c>
      <c r="V174" s="165">
        <v>9488.0396039999996</v>
      </c>
      <c r="W174" s="165">
        <v>10404.38608</v>
      </c>
      <c r="X174" s="717">
        <f t="shared" ref="X174" si="156">SUMIF($B$5:$B$135,"=1715",X$5:X$136)</f>
        <v>7749.8194560000002</v>
      </c>
      <c r="Y174" s="14">
        <f t="shared" si="141"/>
        <v>8.6609971920180717E-2</v>
      </c>
      <c r="Z174" s="15">
        <f t="shared" si="142"/>
        <v>821.75884368000152</v>
      </c>
      <c r="AB174" s="165">
        <v>7638.3</v>
      </c>
    </row>
    <row r="175" spans="1:33">
      <c r="A175" s="836"/>
      <c r="B175" s="421">
        <v>1716</v>
      </c>
      <c r="C175" s="742" t="s">
        <v>162</v>
      </c>
      <c r="D175" s="165">
        <f>SUMIF($B$5:$B$135,"=1716",D$5:D$136)</f>
        <v>1167.4553759999999</v>
      </c>
      <c r="E175" s="165">
        <f t="shared" ref="E175:P175" si="157">SUMIF($B$5:$B$135,"=1716",E$5:E$136)</f>
        <v>1510.8831439999999</v>
      </c>
      <c r="F175" s="165">
        <f t="shared" si="157"/>
        <v>1848.0454559999998</v>
      </c>
      <c r="G175" s="165">
        <f t="shared" si="157"/>
        <v>1723.2937113599999</v>
      </c>
      <c r="H175" s="165">
        <f t="shared" si="157"/>
        <v>2645.2623359999998</v>
      </c>
      <c r="I175" s="165">
        <f t="shared" si="157"/>
        <v>1188.0192</v>
      </c>
      <c r="J175" s="165">
        <f t="shared" si="157"/>
        <v>1107.5174399999999</v>
      </c>
      <c r="K175" s="165">
        <f t="shared" si="157"/>
        <v>840.94463999999994</v>
      </c>
      <c r="L175" s="165">
        <f t="shared" si="157"/>
        <v>1384.19712</v>
      </c>
      <c r="M175" s="165">
        <f t="shared" si="157"/>
        <v>1014.0923519999999</v>
      </c>
      <c r="N175" s="165">
        <f t="shared" si="157"/>
        <v>1372.7099520000002</v>
      </c>
      <c r="O175" s="165">
        <f t="shared" si="157"/>
        <v>874.83456000000001</v>
      </c>
      <c r="P175" s="165">
        <f t="shared" si="157"/>
        <v>16677.25528736</v>
      </c>
      <c r="Q175" s="165">
        <v>17574.445216159998</v>
      </c>
      <c r="R175" s="8">
        <f t="shared" si="138"/>
        <v>-897.1899287999986</v>
      </c>
      <c r="S175" s="422">
        <f t="shared" si="151"/>
        <v>-5.1050825090911967E-2</v>
      </c>
      <c r="T175" s="729"/>
      <c r="U175" s="165">
        <v>13757.388269375999</v>
      </c>
      <c r="V175" s="165">
        <v>13297.314841472002</v>
      </c>
      <c r="W175" s="165">
        <v>13941.258545471999</v>
      </c>
      <c r="X175" s="717">
        <f t="shared" ref="X175" si="158">SUMIF($B$5:$B$135,"=1716",X$5:X$136)</f>
        <v>7749.8194560000002</v>
      </c>
      <c r="Y175" s="14">
        <f t="shared" si="141"/>
        <v>0.25418217784439867</v>
      </c>
      <c r="Z175" s="15">
        <f t="shared" si="142"/>
        <v>3379.9404458879981</v>
      </c>
      <c r="AB175" s="165">
        <v>13813.957799999998</v>
      </c>
    </row>
    <row r="176" spans="1:33">
      <c r="A176" s="836"/>
      <c r="B176" s="421">
        <v>1717</v>
      </c>
      <c r="C176" s="742" t="s">
        <v>163</v>
      </c>
      <c r="D176" s="165">
        <f>SUMIF($B$5:$B$135,"=1717",D$5:D$136)</f>
        <v>820.43558799999994</v>
      </c>
      <c r="E176" s="165">
        <f t="shared" ref="E176:O176" si="159">SUMIF($B$5:$B$135,"=1717",E$5:E$136)</f>
        <v>570.86041599999999</v>
      </c>
      <c r="F176" s="165">
        <f t="shared" si="159"/>
        <v>546.92269887999987</v>
      </c>
      <c r="G176" s="165">
        <f t="shared" si="159"/>
        <v>196.37314559999999</v>
      </c>
      <c r="H176" s="165">
        <f t="shared" si="159"/>
        <v>154.45048320000001</v>
      </c>
      <c r="I176" s="165">
        <f t="shared" si="159"/>
        <v>415.55602944000003</v>
      </c>
      <c r="J176" s="165">
        <f t="shared" si="159"/>
        <v>433.51296000000002</v>
      </c>
      <c r="K176" s="165">
        <f t="shared" si="159"/>
        <v>184.84224</v>
      </c>
      <c r="L176" s="165">
        <f t="shared" si="159"/>
        <v>184.84224</v>
      </c>
      <c r="M176" s="165">
        <f t="shared" si="159"/>
        <v>948.63844799999993</v>
      </c>
      <c r="N176" s="165">
        <f t="shared" si="159"/>
        <v>710.34321599999998</v>
      </c>
      <c r="O176" s="165">
        <f t="shared" si="159"/>
        <v>378.78528</v>
      </c>
      <c r="P176" s="165">
        <f>SUMIF($B$5:$B$135,"=1717",P$5:P$136)</f>
        <v>5545.5627451199998</v>
      </c>
      <c r="Q176" s="165">
        <v>6082.3048252049994</v>
      </c>
      <c r="R176" s="8">
        <f t="shared" si="138"/>
        <v>-536.74208008499954</v>
      </c>
      <c r="S176" s="422">
        <f t="shared" si="151"/>
        <v>-8.8246494628277494E-2</v>
      </c>
      <c r="T176" s="727"/>
      <c r="U176" s="165">
        <v>5525.6500479999995</v>
      </c>
      <c r="V176" s="165">
        <v>5966.8930879999998</v>
      </c>
      <c r="W176" s="165">
        <v>3161.1767199999995</v>
      </c>
      <c r="X176" s="717">
        <f t="shared" ref="X176" si="160">SUMIF($B$5:$B$135,"=1717",X$5:X$136)</f>
        <v>7749.8194560000002</v>
      </c>
      <c r="Y176" s="14">
        <f t="shared" si="141"/>
        <v>-7.0611344407583876E-2</v>
      </c>
      <c r="Z176" s="15">
        <f t="shared" si="142"/>
        <v>-421.33034287999999</v>
      </c>
      <c r="AB176" s="165">
        <v>4029.66</v>
      </c>
    </row>
    <row r="177" spans="1:31">
      <c r="A177" s="836"/>
      <c r="B177" s="421" t="s">
        <v>118</v>
      </c>
      <c r="C177" s="742" t="s">
        <v>118</v>
      </c>
      <c r="D177" s="165">
        <f>SUMIF($B$5:$B$135,"=Rhino",D$5:D$136)</f>
        <v>120.967962176</v>
      </c>
      <c r="E177" s="165">
        <f t="shared" ref="E177:P177" si="161">SUMIF($B$5:$B$135,"=Rhino",E$5:E$136)</f>
        <v>86.299631616000013</v>
      </c>
      <c r="F177" s="165">
        <f t="shared" si="161"/>
        <v>70.689622080000007</v>
      </c>
      <c r="G177" s="165">
        <f t="shared" si="161"/>
        <v>92.547141119999992</v>
      </c>
      <c r="H177" s="165">
        <f t="shared" si="161"/>
        <v>75.614315519999991</v>
      </c>
      <c r="I177" s="165">
        <f t="shared" si="161"/>
        <v>61.581734400000002</v>
      </c>
      <c r="J177" s="165">
        <f t="shared" si="161"/>
        <v>67.746854400000004</v>
      </c>
      <c r="K177" s="165">
        <f t="shared" si="161"/>
        <v>51.600522240000004</v>
      </c>
      <c r="L177" s="165">
        <f t="shared" si="161"/>
        <v>24.407040000000002</v>
      </c>
      <c r="M177" s="165">
        <f t="shared" si="161"/>
        <v>43.712294400000005</v>
      </c>
      <c r="N177" s="165">
        <f t="shared" si="161"/>
        <v>44.105541120000005</v>
      </c>
      <c r="O177" s="165">
        <f t="shared" si="161"/>
        <v>31.902021120000004</v>
      </c>
      <c r="P177" s="165">
        <f t="shared" si="161"/>
        <v>771.1746801920001</v>
      </c>
      <c r="Q177" s="165">
        <v>730.62335084799986</v>
      </c>
      <c r="R177" s="8">
        <f t="shared" si="138"/>
        <v>40.551329344000237</v>
      </c>
      <c r="S177" s="422">
        <f t="shared" si="151"/>
        <v>5.5502372456251559E-2</v>
      </c>
      <c r="T177" s="727"/>
      <c r="U177" s="165">
        <v>793.48547430400004</v>
      </c>
      <c r="V177" s="165">
        <v>827.8283285120001</v>
      </c>
      <c r="W177" s="165">
        <v>878.69085651200021</v>
      </c>
      <c r="X177" s="717">
        <f t="shared" ref="X177" si="162">SUMIF($B$5:$B$135,"=Rhino",X$5:X$136)</f>
        <v>724.06356950400004</v>
      </c>
      <c r="Y177" s="14">
        <f t="shared" si="141"/>
        <v>-6.8436469698776148E-2</v>
      </c>
      <c r="Z177" s="15">
        <f t="shared" si="142"/>
        <v>-56.653648320000002</v>
      </c>
      <c r="AB177" s="165">
        <v>688.1392800000001</v>
      </c>
    </row>
    <row r="178" spans="1:31">
      <c r="A178" s="836"/>
      <c r="B178" s="421">
        <v>6757</v>
      </c>
      <c r="C178" s="742" t="s">
        <v>164</v>
      </c>
      <c r="D178" s="165">
        <f>SUMIF($B$5:$B$135,"=6757",D$5:D$136)</f>
        <v>191.66399999999999</v>
      </c>
      <c r="E178" s="165">
        <f t="shared" ref="E178:P178" si="163">SUMIF($B$5:$B$135,"=6757",E$5:E$136)</f>
        <v>385.72098400000004</v>
      </c>
      <c r="F178" s="165">
        <f t="shared" si="163"/>
        <v>384.34833600000002</v>
      </c>
      <c r="G178" s="165">
        <f t="shared" si="163"/>
        <v>279.08352000000002</v>
      </c>
      <c r="H178" s="165">
        <f t="shared" si="163"/>
        <v>308.46182400000004</v>
      </c>
      <c r="I178" s="165">
        <f t="shared" si="163"/>
        <v>334.89792</v>
      </c>
      <c r="J178" s="165">
        <f t="shared" si="163"/>
        <v>279.08352000000002</v>
      </c>
      <c r="K178" s="165">
        <f t="shared" si="163"/>
        <v>348.85440000000006</v>
      </c>
      <c r="L178" s="165">
        <f t="shared" si="163"/>
        <v>279.08352000000002</v>
      </c>
      <c r="M178" s="165">
        <f t="shared" si="163"/>
        <v>157.1209728</v>
      </c>
      <c r="N178" s="165">
        <f t="shared" si="163"/>
        <v>0</v>
      </c>
      <c r="O178" s="165">
        <f t="shared" si="163"/>
        <v>17.579212800000001</v>
      </c>
      <c r="P178" s="165">
        <f t="shared" si="163"/>
        <v>2965.8982096000004</v>
      </c>
      <c r="Q178" s="165">
        <v>2918.7442979200009</v>
      </c>
      <c r="R178" s="8">
        <f t="shared" si="138"/>
        <v>47.15391167999951</v>
      </c>
      <c r="S178" s="422">
        <f t="shared" si="151"/>
        <v>1.6155547340547471E-2</v>
      </c>
      <c r="T178" s="727"/>
      <c r="U178" s="165">
        <v>2580.1775680000001</v>
      </c>
      <c r="V178" s="165">
        <v>3495.2218800000001</v>
      </c>
      <c r="W178" s="165">
        <v>5207.4228320000002</v>
      </c>
      <c r="X178" s="717">
        <f t="shared" ref="X178" si="164">SUMIF($B$5:$B$135,"=6757",X$5:X$136)</f>
        <v>0</v>
      </c>
      <c r="Y178" s="14">
        <f t="shared" si="141"/>
        <v>-0.15144207966562617</v>
      </c>
      <c r="Z178" s="15">
        <f t="shared" si="142"/>
        <v>-529.32367039999963</v>
      </c>
      <c r="AB178" s="165">
        <v>6482.5457427599995</v>
      </c>
    </row>
    <row r="179" spans="1:31">
      <c r="A179" s="836"/>
      <c r="B179" s="421">
        <v>6706</v>
      </c>
      <c r="C179" s="742" t="s">
        <v>165</v>
      </c>
      <c r="D179" s="165">
        <f>SUMIF($B$5:$B$135,"=6706",D$5:D$136)</f>
        <v>148.86166200000002</v>
      </c>
      <c r="E179" s="165">
        <f t="shared" ref="E179:P179" si="165">SUMIF($B$5:$B$135,"=6706",E$5:E$136)</f>
        <v>0</v>
      </c>
      <c r="F179" s="165">
        <f t="shared" si="165"/>
        <v>0</v>
      </c>
      <c r="G179" s="165">
        <f t="shared" si="165"/>
        <v>220.22220479999999</v>
      </c>
      <c r="H179" s="165">
        <f t="shared" si="165"/>
        <v>681.6</v>
      </c>
      <c r="I179" s="165">
        <f t="shared" si="165"/>
        <v>498.41999999999996</v>
      </c>
      <c r="J179" s="165">
        <f t="shared" si="165"/>
        <v>468.59999999999997</v>
      </c>
      <c r="K179" s="165">
        <f t="shared" si="165"/>
        <v>0</v>
      </c>
      <c r="L179" s="165">
        <f t="shared" si="165"/>
        <v>0</v>
      </c>
      <c r="M179" s="165">
        <f t="shared" si="165"/>
        <v>0</v>
      </c>
      <c r="N179" s="165">
        <f t="shared" si="165"/>
        <v>0</v>
      </c>
      <c r="O179" s="165">
        <f t="shared" si="165"/>
        <v>0</v>
      </c>
      <c r="P179" s="165">
        <f t="shared" si="165"/>
        <v>2017.7038668</v>
      </c>
      <c r="Q179" s="165">
        <v>171.12720696000002</v>
      </c>
      <c r="R179" s="8">
        <f t="shared" si="138"/>
        <v>1846.57665984</v>
      </c>
      <c r="S179" s="422">
        <f t="shared" si="151"/>
        <v>10.790666736421558</v>
      </c>
      <c r="T179" s="727"/>
      <c r="U179" s="165">
        <v>3900.3315480000001</v>
      </c>
      <c r="V179" s="165">
        <v>3585.9283619999997</v>
      </c>
      <c r="W179" s="165">
        <v>3937.2252179999996</v>
      </c>
      <c r="X179" s="717">
        <f t="shared" ref="X179" si="166">SUMIF($B$5:$B$135,"=6706",X$5:X$136)</f>
        <v>6399.7857780000004</v>
      </c>
      <c r="Y179" s="14">
        <f t="shared" si="141"/>
        <v>-0.43732733531947776</v>
      </c>
      <c r="Z179" s="15">
        <f t="shared" si="142"/>
        <v>-1568.2244951999996</v>
      </c>
      <c r="AB179" s="165">
        <v>0</v>
      </c>
    </row>
    <row r="180" spans="1:31" ht="13.5" thickBot="1">
      <c r="A180" s="835"/>
      <c r="C180" s="743" t="s">
        <v>123</v>
      </c>
      <c r="D180" s="165">
        <f>SUMIF($B$5:$B$135,"=Glacier Point",D$5:D$136)</f>
        <v>0</v>
      </c>
      <c r="E180" s="165">
        <f t="shared" ref="E180:P180" si="167">SUMIF($B$5:$B$135,"=Glacier Point",E$5:E$136)</f>
        <v>0</v>
      </c>
      <c r="F180" s="165">
        <f t="shared" si="167"/>
        <v>0</v>
      </c>
      <c r="G180" s="165">
        <f t="shared" si="167"/>
        <v>0</v>
      </c>
      <c r="H180" s="165">
        <f t="shared" si="167"/>
        <v>0</v>
      </c>
      <c r="I180" s="165">
        <f t="shared" si="167"/>
        <v>0</v>
      </c>
      <c r="J180" s="165">
        <f t="shared" si="167"/>
        <v>0</v>
      </c>
      <c r="K180" s="165">
        <f t="shared" si="167"/>
        <v>0</v>
      </c>
      <c r="L180" s="165">
        <f t="shared" si="167"/>
        <v>0</v>
      </c>
      <c r="M180" s="165">
        <f t="shared" si="167"/>
        <v>0</v>
      </c>
      <c r="N180" s="165">
        <f t="shared" si="167"/>
        <v>0</v>
      </c>
      <c r="O180" s="165">
        <f t="shared" si="167"/>
        <v>0</v>
      </c>
      <c r="P180" s="165">
        <f t="shared" si="167"/>
        <v>0</v>
      </c>
      <c r="Q180" s="165">
        <v>0</v>
      </c>
      <c r="R180" s="8">
        <f t="shared" ref="R180:R185" si="168">P180-Q180</f>
        <v>0</v>
      </c>
      <c r="S180" s="422" t="e">
        <f t="shared" si="151"/>
        <v>#DIV/0!</v>
      </c>
      <c r="T180" s="730"/>
      <c r="U180" s="165">
        <v>836.12090000000012</v>
      </c>
      <c r="V180" s="165">
        <v>836.12090000000012</v>
      </c>
      <c r="W180" s="165">
        <v>836.12090000000012</v>
      </c>
      <c r="X180" s="719">
        <f t="shared" ref="X180" si="169">SUMIF($B$5:$B$135,"=Glacier Point",X$5:X$136)</f>
        <v>0</v>
      </c>
      <c r="Y180" s="14">
        <f t="shared" si="141"/>
        <v>-1</v>
      </c>
      <c r="Z180" s="15">
        <f t="shared" si="142"/>
        <v>-836.12090000000012</v>
      </c>
      <c r="AB180" s="165">
        <v>0</v>
      </c>
    </row>
    <row r="181" spans="1:31">
      <c r="A181" s="835"/>
      <c r="B181" s="1">
        <v>6765</v>
      </c>
      <c r="C181" s="743" t="s">
        <v>166</v>
      </c>
      <c r="D181" s="165">
        <f t="shared" ref="D181:P181" si="170">SUMIF($B$5:$B$135,"=6765",D$5:D$136)</f>
        <v>76.881612000000004</v>
      </c>
      <c r="E181" s="165">
        <f t="shared" si="170"/>
        <v>54.382999999999996</v>
      </c>
      <c r="F181" s="165">
        <f t="shared" si="170"/>
        <v>189.72414479999998</v>
      </c>
      <c r="G181" s="165">
        <f t="shared" si="170"/>
        <v>103.68</v>
      </c>
      <c r="H181" s="165">
        <f t="shared" si="170"/>
        <v>77.760000000000005</v>
      </c>
      <c r="I181" s="165">
        <f t="shared" si="170"/>
        <v>121.9027968</v>
      </c>
      <c r="J181" s="165">
        <f t="shared" si="170"/>
        <v>95.982796800000003</v>
      </c>
      <c r="K181" s="165">
        <f t="shared" si="170"/>
        <v>75.246796799999998</v>
      </c>
      <c r="L181" s="165">
        <f t="shared" si="170"/>
        <v>55.086796800000002</v>
      </c>
      <c r="M181" s="165">
        <f t="shared" si="170"/>
        <v>71.502796799999999</v>
      </c>
      <c r="N181" s="165">
        <f t="shared" si="170"/>
        <v>60.558796799999996</v>
      </c>
      <c r="O181" s="165">
        <f t="shared" si="170"/>
        <v>88.285593599999999</v>
      </c>
      <c r="P181" s="165">
        <f t="shared" si="170"/>
        <v>1070.9951311999998</v>
      </c>
      <c r="Q181" s="165">
        <v>1956.0347662400004</v>
      </c>
      <c r="R181" s="8">
        <f t="shared" si="168"/>
        <v>-885.03963504000058</v>
      </c>
      <c r="S181" s="422">
        <f t="shared" si="151"/>
        <v>-0.45246620884007771</v>
      </c>
      <c r="T181" s="730"/>
      <c r="U181" s="165">
        <v>413.95904999999999</v>
      </c>
      <c r="V181" s="165">
        <v>901.7568</v>
      </c>
      <c r="W181" s="165">
        <f>SUMIF($B$5:$B$135,"=6765",W$5:W$136)</f>
        <v>72.598919999999993</v>
      </c>
      <c r="X181" s="165">
        <f>SUMIF($B$5:$B$135,"=6765",X$5:X$136)</f>
        <v>4924.3269679999994</v>
      </c>
      <c r="Y181" s="14">
        <f t="shared" si="141"/>
        <v>0.18767624618965972</v>
      </c>
      <c r="Z181" s="15">
        <f t="shared" si="142"/>
        <v>169.23833119999983</v>
      </c>
      <c r="AB181" s="165">
        <v>0</v>
      </c>
    </row>
    <row r="182" spans="1:31">
      <c r="A182" s="835"/>
      <c r="B182" s="1">
        <v>6764</v>
      </c>
      <c r="C182" s="743" t="s">
        <v>166</v>
      </c>
      <c r="D182" s="165">
        <f t="shared" ref="D182:P182" si="171">SUMIF($B$5:$B$135,"=6764",D$5:D$136)</f>
        <v>335.45606400000003</v>
      </c>
      <c r="E182" s="165">
        <f t="shared" si="171"/>
        <v>324.44524799999999</v>
      </c>
      <c r="F182" s="165">
        <f t="shared" si="171"/>
        <v>209.82146399999999</v>
      </c>
      <c r="G182" s="165">
        <f t="shared" si="171"/>
        <v>244.6848</v>
      </c>
      <c r="H182" s="165">
        <f t="shared" si="171"/>
        <v>244.6848</v>
      </c>
      <c r="I182" s="165">
        <f t="shared" si="171"/>
        <v>326.24639999999999</v>
      </c>
      <c r="J182" s="165">
        <f t="shared" si="171"/>
        <v>163.1232</v>
      </c>
      <c r="K182" s="165">
        <f t="shared" si="171"/>
        <v>163.1232</v>
      </c>
      <c r="L182" s="165">
        <f t="shared" si="171"/>
        <v>81.561599999999999</v>
      </c>
      <c r="M182" s="165">
        <f t="shared" si="171"/>
        <v>81.561599999999999</v>
      </c>
      <c r="N182" s="165">
        <f t="shared" si="171"/>
        <v>81.561599999999999</v>
      </c>
      <c r="O182" s="165">
        <f t="shared" si="171"/>
        <v>0</v>
      </c>
      <c r="P182" s="165">
        <f t="shared" si="171"/>
        <v>2256.269976</v>
      </c>
      <c r="Q182" s="165">
        <v>3206.2481769599999</v>
      </c>
      <c r="R182" s="8">
        <f t="shared" si="168"/>
        <v>-949.97820095999987</v>
      </c>
      <c r="S182" s="422">
        <f t="shared" si="151"/>
        <v>-0.29628966584262373</v>
      </c>
      <c r="T182" s="730"/>
      <c r="U182" s="165">
        <v>705.99590399999988</v>
      </c>
      <c r="V182" s="165">
        <v>1191.96504</v>
      </c>
      <c r="W182" s="165">
        <f>SUMIF($B$5:$B$135,"=6764",W$5:W$136)</f>
        <v>0</v>
      </c>
      <c r="X182" s="165">
        <f>SUMIF($B$5:$B$135,"=6764",X$5:X$136)</f>
        <v>0</v>
      </c>
      <c r="Y182" s="14">
        <f t="shared" si="141"/>
        <v>0.89289945617868116</v>
      </c>
      <c r="Z182" s="15">
        <f t="shared" si="142"/>
        <v>1064.304936</v>
      </c>
      <c r="AB182" s="165">
        <v>0</v>
      </c>
    </row>
    <row r="183" spans="1:31" ht="13.5" thickBot="1">
      <c r="A183" s="835"/>
      <c r="C183" s="743" t="s">
        <v>167</v>
      </c>
      <c r="D183" s="165">
        <f t="shared" ref="D183:P183" si="172">SUMIF($B$5:$B$135,"=3985",D$5:D$136)</f>
        <v>122.436544</v>
      </c>
      <c r="E183" s="165">
        <f t="shared" si="172"/>
        <v>338.75676299999998</v>
      </c>
      <c r="F183" s="165">
        <f t="shared" si="172"/>
        <v>360.85163399999999</v>
      </c>
      <c r="G183" s="165">
        <f t="shared" si="172"/>
        <v>377.10720000000003</v>
      </c>
      <c r="H183" s="165">
        <f t="shared" si="172"/>
        <v>359.30880000000002</v>
      </c>
      <c r="I183" s="165">
        <f t="shared" si="172"/>
        <v>419.18399999999997</v>
      </c>
      <c r="J183" s="165">
        <f t="shared" si="172"/>
        <v>246.4128</v>
      </c>
      <c r="K183" s="165">
        <f t="shared" si="172"/>
        <v>235.44000000000003</v>
      </c>
      <c r="L183" s="165">
        <f t="shared" si="172"/>
        <v>122.60160000000002</v>
      </c>
      <c r="M183" s="165">
        <f t="shared" si="172"/>
        <v>0</v>
      </c>
      <c r="N183" s="165">
        <f t="shared" si="172"/>
        <v>31.104000000000003</v>
      </c>
      <c r="O183" s="165">
        <f t="shared" si="172"/>
        <v>0</v>
      </c>
      <c r="P183" s="165">
        <f t="shared" si="172"/>
        <v>2613.2033410000004</v>
      </c>
      <c r="Q183" s="165">
        <v>2365.5252074800001</v>
      </c>
      <c r="R183" s="8">
        <f t="shared" ref="R183" si="173">P183-Q183</f>
        <v>247.6781335200003</v>
      </c>
      <c r="S183" s="422">
        <f t="shared" ref="S183" si="174">P183/Q183-1</f>
        <v>0.10470323154317707</v>
      </c>
      <c r="T183" s="730"/>
      <c r="U183" s="165">
        <v>1084.4884960000002</v>
      </c>
      <c r="V183" s="165">
        <v>575.4845029999999</v>
      </c>
      <c r="W183" s="165">
        <f>SUMIF($B$5:$B$135,"=3985",W$5:W$136)</f>
        <v>297.39860900000008</v>
      </c>
      <c r="X183" s="165">
        <f>SUMIF($B$5:$B$135,"=3985",X$5:X$136)</f>
        <v>654</v>
      </c>
      <c r="Y183" s="14"/>
      <c r="Z183" s="15"/>
      <c r="AB183" s="165"/>
    </row>
    <row r="184" spans="1:31" ht="13.5" thickBot="1">
      <c r="A184" s="837">
        <f>P184/U184-1</f>
        <v>7.8212937839466479E-2</v>
      </c>
      <c r="C184" s="731" t="s">
        <v>168</v>
      </c>
      <c r="D184" s="416">
        <f>SUM(D171:D183)</f>
        <v>3972.5744511760004</v>
      </c>
      <c r="E184" s="416">
        <f t="shared" ref="E184:P184" si="175">SUM(E171:E183)</f>
        <v>4291.5155946160003</v>
      </c>
      <c r="F184" s="416">
        <f t="shared" si="175"/>
        <v>5288.0718449199994</v>
      </c>
      <c r="G184" s="416">
        <f t="shared" si="175"/>
        <v>4612.6008441600006</v>
      </c>
      <c r="H184" s="416">
        <f t="shared" si="175"/>
        <v>8576.0909827199994</v>
      </c>
      <c r="I184" s="416">
        <f t="shared" si="175"/>
        <v>5432.7402278400004</v>
      </c>
      <c r="J184" s="416">
        <f t="shared" si="175"/>
        <v>4321.8784895999997</v>
      </c>
      <c r="K184" s="416">
        <f t="shared" si="175"/>
        <v>3973.7477990399998</v>
      </c>
      <c r="L184" s="416">
        <f t="shared" si="175"/>
        <v>3543.8005632000004</v>
      </c>
      <c r="M184" s="416">
        <f t="shared" si="175"/>
        <v>3826.3940447999998</v>
      </c>
      <c r="N184" s="416">
        <f t="shared" si="175"/>
        <v>4200.3834643199998</v>
      </c>
      <c r="O184" s="416">
        <f t="shared" si="175"/>
        <v>2697.7540915200002</v>
      </c>
      <c r="P184" s="416">
        <f t="shared" si="175"/>
        <v>54737.552397912012</v>
      </c>
      <c r="Q184" s="416">
        <v>54353.729049172995</v>
      </c>
      <c r="R184" s="423">
        <f t="shared" ref="R184" si="176">SUM(R171:R180)</f>
        <v>1971.1630512190059</v>
      </c>
      <c r="S184" s="424">
        <f t="shared" si="151"/>
        <v>7.0615826264979198E-3</v>
      </c>
      <c r="T184" s="726"/>
      <c r="U184" s="416">
        <v>50766.922262679996</v>
      </c>
      <c r="V184" s="416">
        <v>52929.681888936</v>
      </c>
      <c r="W184" s="416">
        <f t="shared" ref="W184:X184" si="177">SUM(W171:W183)</f>
        <v>52979.990790036012</v>
      </c>
      <c r="X184" s="416">
        <f t="shared" si="177"/>
        <v>40940.80226656</v>
      </c>
      <c r="Y184" s="760">
        <f t="shared" si="141"/>
        <v>3.4156081133635441E-2</v>
      </c>
      <c r="Z184" s="416">
        <f t="shared" si="142"/>
        <v>1807.8705089760115</v>
      </c>
      <c r="AB184" s="423">
        <v>49360.096790759992</v>
      </c>
      <c r="AC184" s="14">
        <f>P184/U184-1</f>
        <v>7.8212937839466479E-2</v>
      </c>
      <c r="AE184" s="14"/>
    </row>
    <row r="185" spans="1:31">
      <c r="A185" s="14">
        <f>P185/U185-1</f>
        <v>2.905306413721318</v>
      </c>
      <c r="C185" s="732">
        <v>3910</v>
      </c>
      <c r="D185" s="165">
        <f>SUMIF($B$5:$B$135,"=3910",D$5:D$136)</f>
        <v>174.40768800000001</v>
      </c>
      <c r="E185" s="165">
        <f t="shared" ref="E185:P185" si="178">SUMIF($B$5:$B$135,"=3910",E$5:E$136)</f>
        <v>81.455687999999995</v>
      </c>
      <c r="F185" s="165">
        <f t="shared" si="178"/>
        <v>0.93887999999999994</v>
      </c>
      <c r="G185" s="165">
        <f t="shared" si="178"/>
        <v>305.53710336</v>
      </c>
      <c r="H185" s="165">
        <f t="shared" si="178"/>
        <v>815.35161600000004</v>
      </c>
      <c r="I185" s="165">
        <f t="shared" si="178"/>
        <v>2399.8379519999999</v>
      </c>
      <c r="J185" s="165">
        <f t="shared" si="178"/>
        <v>2053.4016000000001</v>
      </c>
      <c r="K185" s="165">
        <f t="shared" si="178"/>
        <v>450.9664128</v>
      </c>
      <c r="L185" s="165">
        <f t="shared" si="178"/>
        <v>260.60378880000002</v>
      </c>
      <c r="M185" s="165">
        <f t="shared" si="178"/>
        <v>203.48958719999996</v>
      </c>
      <c r="N185" s="165">
        <f t="shared" si="178"/>
        <v>411.61989119999998</v>
      </c>
      <c r="O185" s="165">
        <f t="shared" si="178"/>
        <v>78.239999999999995</v>
      </c>
      <c r="P185" s="165">
        <f t="shared" si="178"/>
        <v>7235.8502073599993</v>
      </c>
      <c r="Q185" s="165">
        <v>6089.5977600000006</v>
      </c>
      <c r="R185" s="8">
        <f t="shared" si="168"/>
        <v>1146.2524473599988</v>
      </c>
      <c r="S185" s="422">
        <f t="shared" si="151"/>
        <v>0.18823122520328806</v>
      </c>
      <c r="T185" s="824"/>
      <c r="U185" s="165">
        <v>1852.8252179999999</v>
      </c>
      <c r="V185" s="165">
        <v>2084.0865257087999</v>
      </c>
      <c r="W185" s="165">
        <v>2444.1343205376002</v>
      </c>
      <c r="X185" s="720">
        <f t="shared" ref="X185" si="179">SUMIF($B$5:$B$135,"=3910",X$5:X$136)</f>
        <v>2692.3498840743305</v>
      </c>
      <c r="Y185" s="14">
        <f t="shared" si="141"/>
        <v>2.4719528762842895</v>
      </c>
      <c r="Z185" s="15">
        <f t="shared" si="142"/>
        <v>5151.7636816511995</v>
      </c>
      <c r="AA185" s="2" t="s">
        <v>190</v>
      </c>
      <c r="AB185" s="165">
        <v>9891.3876204657263</v>
      </c>
    </row>
    <row r="186" spans="1:31" ht="13.5" thickBot="1">
      <c r="A186" s="14">
        <f>P186/U186-1</f>
        <v>-0.33061182895212515</v>
      </c>
      <c r="C186" s="732" t="s">
        <v>140</v>
      </c>
      <c r="D186" s="8">
        <f>D116-D185</f>
        <v>1837.011220000001</v>
      </c>
      <c r="E186" s="8">
        <f t="shared" ref="E186:P186" si="180">E116-E185</f>
        <v>1773.0267320000007</v>
      </c>
      <c r="F186" s="8">
        <f t="shared" si="180"/>
        <v>1985.0367180800001</v>
      </c>
      <c r="G186" s="8">
        <f t="shared" si="180"/>
        <v>3324.5213644800001</v>
      </c>
      <c r="H186" s="8">
        <f t="shared" si="180"/>
        <v>2385.5201798400003</v>
      </c>
      <c r="I186" s="8">
        <f t="shared" si="180"/>
        <v>2196.83077632</v>
      </c>
      <c r="J186" s="8">
        <f t="shared" si="180"/>
        <v>1850.8988918807581</v>
      </c>
      <c r="K186" s="8">
        <f t="shared" si="180"/>
        <v>2057.4271198707861</v>
      </c>
      <c r="L186" s="8">
        <f t="shared" si="180"/>
        <v>1469.0790518807589</v>
      </c>
      <c r="M186" s="8">
        <f t="shared" si="180"/>
        <v>1629.8695033808133</v>
      </c>
      <c r="N186" s="8">
        <f t="shared" si="180"/>
        <v>446.83683840000003</v>
      </c>
      <c r="O186" s="8">
        <f t="shared" si="180"/>
        <v>305.33160959999998</v>
      </c>
      <c r="P186" s="8">
        <f t="shared" si="180"/>
        <v>21261.390005733116</v>
      </c>
      <c r="Q186" s="8">
        <v>20341.501297344606</v>
      </c>
      <c r="R186" s="8">
        <f t="shared" si="138"/>
        <v>919.88870838850926</v>
      </c>
      <c r="S186" s="422">
        <f t="shared" si="151"/>
        <v>4.5222262356249487E-2</v>
      </c>
      <c r="T186" s="733"/>
      <c r="U186" s="8">
        <v>31762.42265000003</v>
      </c>
      <c r="V186" s="8">
        <v>29370.16022667777</v>
      </c>
      <c r="W186" s="8">
        <v>31440.008797737588</v>
      </c>
      <c r="X186" s="721">
        <f t="shared" ref="X186" si="181">X116-X185</f>
        <v>25084.336343999999</v>
      </c>
      <c r="Y186" s="14">
        <f t="shared" si="141"/>
        <v>-0.27608872945743157</v>
      </c>
      <c r="Z186" s="15">
        <f t="shared" si="142"/>
        <v>-8108.7702209446543</v>
      </c>
      <c r="AA186" s="2" t="s">
        <v>191</v>
      </c>
      <c r="AB186" s="8">
        <v>24306.882813204167</v>
      </c>
      <c r="AC186" s="14">
        <f>P186/U186-1</f>
        <v>-0.33061182895212515</v>
      </c>
    </row>
    <row r="187" spans="1:31" ht="13.5" thickBot="1">
      <c r="A187" s="838">
        <f>P187/U187-1</f>
        <v>-2.2833874506855256E-2</v>
      </c>
      <c r="C187" s="734" t="s">
        <v>169</v>
      </c>
      <c r="D187" s="735">
        <f>SUM(D184:D186,D170)</f>
        <v>41241.912410262492</v>
      </c>
      <c r="E187" s="735">
        <f t="shared" ref="E187:O187" si="182">SUM(E184:E186,E170)</f>
        <v>49774.29931059033</v>
      </c>
      <c r="F187" s="735">
        <f t="shared" si="182"/>
        <v>60756.312870512629</v>
      </c>
      <c r="G187" s="735">
        <f t="shared" si="182"/>
        <v>54203.311633103636</v>
      </c>
      <c r="H187" s="735">
        <f t="shared" si="182"/>
        <v>52186.954558572368</v>
      </c>
      <c r="I187" s="735">
        <f t="shared" si="182"/>
        <v>50321.493076049897</v>
      </c>
      <c r="J187" s="735">
        <f t="shared" si="182"/>
        <v>50680.20162223278</v>
      </c>
      <c r="K187" s="735">
        <f t="shared" si="182"/>
        <v>51439.083546953443</v>
      </c>
      <c r="L187" s="735">
        <f t="shared" si="182"/>
        <v>41342.469650579638</v>
      </c>
      <c r="M187" s="735">
        <f t="shared" si="182"/>
        <v>39265.53809683305</v>
      </c>
      <c r="N187" s="735">
        <f t="shared" si="182"/>
        <v>27821.144869533717</v>
      </c>
      <c r="O187" s="735">
        <f t="shared" si="182"/>
        <v>24661.226866863541</v>
      </c>
      <c r="P187" s="735">
        <f>SUM(P184:P186,P170)</f>
        <v>543693.94851208746</v>
      </c>
      <c r="Q187" s="735">
        <v>542113.68545752636</v>
      </c>
      <c r="R187" s="736">
        <f t="shared" ref="R187" si="183">P187-Q187</f>
        <v>1580.2630545611028</v>
      </c>
      <c r="S187" s="737">
        <f t="shared" si="151"/>
        <v>2.9150030647675518E-3</v>
      </c>
      <c r="T187" s="738"/>
      <c r="U187" s="757">
        <v>556398.68629062676</v>
      </c>
      <c r="V187" s="757">
        <v>562672.74429634842</v>
      </c>
      <c r="W187" s="735">
        <v>566264.40278177313</v>
      </c>
      <c r="X187" s="758">
        <f t="shared" ref="X187" si="184">SUM(X184:X186,X170)</f>
        <v>544992.25202356593</v>
      </c>
      <c r="Y187" s="761">
        <f>P187/V187-1</f>
        <v>-3.3729722963558362E-2</v>
      </c>
      <c r="Z187" s="759">
        <f t="shared" si="142"/>
        <v>-18978.795784260961</v>
      </c>
      <c r="AB187" s="735">
        <v>569586.45718752511</v>
      </c>
      <c r="AC187" s="835">
        <f>P187/U187-1</f>
        <v>-2.2833874506855256E-2</v>
      </c>
      <c r="AE187" s="14"/>
    </row>
    <row r="189" spans="1:31">
      <c r="P189" s="13">
        <v>527000</v>
      </c>
    </row>
    <row r="190" spans="1:31">
      <c r="P190" s="15">
        <f>P187-P189</f>
        <v>16693.94851208746</v>
      </c>
    </row>
    <row r="191" spans="1:31">
      <c r="P191" s="14">
        <f>P190/P187</f>
        <v>3.0704679641502978E-2</v>
      </c>
    </row>
    <row r="192" spans="1:31">
      <c r="C192" s="28">
        <f>SUM(P185:P186)</f>
        <v>28497.240213093115</v>
      </c>
      <c r="U192" s="28">
        <f>SUM(U185:U186)</f>
        <v>33615.247868000028</v>
      </c>
    </row>
    <row r="193" spans="3:3">
      <c r="C193" s="1">
        <f>C192/U192-1</f>
        <v>-0.15225256333091008</v>
      </c>
    </row>
  </sheetData>
  <mergeCells count="8">
    <mergeCell ref="Y166:Z166"/>
    <mergeCell ref="C3:O3"/>
    <mergeCell ref="C16:O16"/>
    <mergeCell ref="C24:O24"/>
    <mergeCell ref="C121:O121"/>
    <mergeCell ref="C43:O43"/>
    <mergeCell ref="C55:O55"/>
    <mergeCell ref="C92:O9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0389-31D5-419C-B62F-B3418E7476D9}">
  <sheetPr codeName="Sheet3">
    <tabColor rgb="FF00B0F0"/>
  </sheetPr>
  <dimension ref="A1:AK234"/>
  <sheetViews>
    <sheetView showGridLines="0" zoomScale="70" zoomScaleNormal="70" workbookViewId="0">
      <pane xSplit="3" ySplit="4" topLeftCell="D162" activePane="bottomRight" state="frozen"/>
      <selection pane="topRight" activeCell="C184" sqref="C184"/>
      <selection pane="bottomLeft" activeCell="C184" sqref="C184"/>
      <selection pane="bottomRight" activeCell="O199" sqref="K199:O201"/>
    </sheetView>
  </sheetViews>
  <sheetFormatPr defaultColWidth="9.42578125" defaultRowHeight="12.75"/>
  <cols>
    <col min="1" max="1" width="16" style="2" bestFit="1" customWidth="1"/>
    <col min="2" max="2" width="11.42578125" style="1" bestFit="1" customWidth="1"/>
    <col min="3" max="3" width="15" style="1" customWidth="1"/>
    <col min="4" max="7" width="14.42578125" style="2" customWidth="1"/>
    <col min="8" max="8" width="15" style="2" customWidth="1"/>
    <col min="9" max="9" width="14.42578125" style="2" customWidth="1"/>
    <col min="10" max="13" width="15.42578125" style="2" customWidth="1"/>
    <col min="14" max="15" width="14.42578125" style="2" customWidth="1"/>
    <col min="16" max="16" width="17.42578125" style="2" bestFit="1" customWidth="1"/>
    <col min="17" max="17" width="17.5703125" style="2" customWidth="1"/>
    <col min="18" max="18" width="12.42578125" style="2" customWidth="1"/>
    <col min="19" max="19" width="9.42578125" style="2" customWidth="1"/>
    <col min="20" max="20" width="16.42578125" style="2" customWidth="1"/>
    <col min="21" max="21" width="10.5703125" style="2" customWidth="1"/>
    <col min="22" max="22" width="15.42578125" style="2" customWidth="1"/>
    <col min="23" max="23" width="17.140625" style="2" customWidth="1"/>
    <col min="24" max="24" width="11" style="2" customWidth="1"/>
    <col min="25" max="25" width="11.42578125" style="2" customWidth="1"/>
    <col min="26" max="26" width="11.5703125" style="2" customWidth="1"/>
    <col min="27" max="27" width="11" style="2" customWidth="1"/>
    <col min="28" max="28" width="10.5703125" style="2" customWidth="1"/>
    <col min="29" max="29" width="12.5703125" style="2" customWidth="1"/>
    <col min="30" max="30" width="12.42578125" style="2" customWidth="1"/>
    <col min="31" max="16384" width="9.42578125" style="2"/>
  </cols>
  <sheetData>
    <row r="1" spans="1:30" ht="15" customHeight="1"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30" ht="15" customHeight="1">
      <c r="K2" s="13"/>
      <c r="L2" s="13"/>
      <c r="M2" s="13"/>
      <c r="N2" s="13"/>
      <c r="O2" s="13"/>
      <c r="P2" s="13"/>
    </row>
    <row r="3" spans="1:30" ht="19.5" customHeight="1">
      <c r="B3" s="37" t="s">
        <v>63</v>
      </c>
      <c r="C3" s="1096" t="s">
        <v>64</v>
      </c>
      <c r="D3" s="1096"/>
      <c r="E3" s="1096"/>
      <c r="F3" s="1096"/>
      <c r="G3" s="1096"/>
      <c r="H3" s="1096"/>
      <c r="I3" s="1096"/>
      <c r="J3" s="1096"/>
      <c r="K3" s="1096"/>
      <c r="L3" s="1096"/>
      <c r="M3" s="1096"/>
      <c r="N3" s="1096"/>
      <c r="O3" s="1096"/>
      <c r="R3" s="31" t="s">
        <v>94</v>
      </c>
      <c r="S3" s="32"/>
      <c r="T3" s="222"/>
    </row>
    <row r="4" spans="1:30" s="3" customFormat="1">
      <c r="A4" s="3" t="s">
        <v>67</v>
      </c>
      <c r="B4" s="4"/>
      <c r="C4" s="4" t="s">
        <v>17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  <c r="N4" s="5" t="s">
        <v>78</v>
      </c>
      <c r="O4" s="5" t="s">
        <v>79</v>
      </c>
      <c r="P4" s="187" t="s">
        <v>1326</v>
      </c>
      <c r="Q4" s="188" t="s">
        <v>1309</v>
      </c>
      <c r="R4" s="5" t="s">
        <v>80</v>
      </c>
      <c r="S4" s="6" t="s">
        <v>81</v>
      </c>
      <c r="T4" s="187" t="s">
        <v>1186</v>
      </c>
    </row>
    <row r="5" spans="1:30" ht="15" customHeight="1">
      <c r="A5" s="2" t="s">
        <v>21</v>
      </c>
      <c r="B5" s="35">
        <v>5914</v>
      </c>
      <c r="C5" s="35" t="s">
        <v>21</v>
      </c>
      <c r="D5" s="42">
        <f>SUMIFS('2026'!$N:$N,'2026'!$J:$J,$B5&amp;$C5,'2026'!$O:$O,D$4)</f>
        <v>326.96000000000004</v>
      </c>
      <c r="E5" s="42">
        <f>SUMIFS('2026'!$N:$N,'2026'!$J:$J,$B5&amp;$C5,'2026'!$O:$O,E$4)</f>
        <v>675.58400000000006</v>
      </c>
      <c r="F5" s="42">
        <f>SUMIFS('2026'!$N:$N,'2026'!$J:$J,$B5&amp;$C5,'2026'!$O:$O,F$4)</f>
        <v>508.11200000000014</v>
      </c>
      <c r="G5" s="42">
        <f>SUMIFS('2026'!$N:$N,'2026'!$J:$J,$B5&amp;$C5,'2026'!$O:$O,G$4)</f>
        <v>509.18400000000014</v>
      </c>
      <c r="H5" s="42">
        <f>SUMIFS('2026'!$N:$N,'2026'!$J:$J,$B5&amp;$C5,'2026'!$O:$O,H$4)</f>
        <v>774.31600000000026</v>
      </c>
      <c r="I5" s="42">
        <f>SUMIFS('2026'!$N:$N,'2026'!$J:$J,$B5&amp;$C5,'2026'!$O:$O,I$4)</f>
        <v>219.232</v>
      </c>
      <c r="J5" s="42">
        <f>SUMIFS('2026'!$N:$N,'2026'!$J:$J,$B5&amp;$C5,'2026'!$O:$O,J$4)</f>
        <v>406.6400000000001</v>
      </c>
      <c r="K5" s="42">
        <f>SUMIFS('2026'!$N:$N,'2026'!$J:$J,$B5&amp;$C5,'2026'!$O:$O,K$4)</f>
        <v>424.32000000000011</v>
      </c>
      <c r="L5" s="42">
        <f>SUMIFS('2026'!$N:$N,'2026'!$J:$J,$B5&amp;$C5,'2026'!$O:$O,L$4)</f>
        <v>166.19200000000001</v>
      </c>
      <c r="M5" s="42">
        <f>SUMIFS('2026'!$N:$N,'2026'!$J:$J,$B5&amp;$C5,'2026'!$O:$O,M$4)</f>
        <v>127.29600000000001</v>
      </c>
      <c r="N5" s="42">
        <f>SUMIFS('2026'!$N:$N,'2026'!$J:$J,$B5&amp;$C5,'2026'!$O:$O,N$4)</f>
        <v>399.5680000000001</v>
      </c>
      <c r="O5" s="42">
        <f>SUMIFS('2026'!$N:$N,'2026'!$J:$J,$B5&amp;$C5,'2026'!$O:$O,O$4)</f>
        <v>0</v>
      </c>
      <c r="P5" s="61">
        <f t="shared" ref="P5:Q13" si="0">SUM(D5:O5)</f>
        <v>4537.4040000000014</v>
      </c>
      <c r="Q5" s="61">
        <f t="shared" si="0"/>
        <v>8747.8480000000018</v>
      </c>
      <c r="R5" s="8">
        <f t="shared" ref="R5:R13" si="1">P5-Q5</f>
        <v>-4210.4440000000004</v>
      </c>
      <c r="S5" s="9">
        <f t="shared" ref="S5:S14" si="2">IF(ISERROR(R5/Q5),"",R5/Q5)</f>
        <v>-0.48131197524236813</v>
      </c>
      <c r="T5" s="61">
        <v>3756.6799999999994</v>
      </c>
      <c r="U5" s="28"/>
      <c r="V5" s="28"/>
      <c r="W5" s="28"/>
      <c r="X5" s="28"/>
      <c r="Y5" s="28"/>
      <c r="Z5" s="28"/>
      <c r="AA5" s="28"/>
      <c r="AB5" s="28"/>
      <c r="AC5" s="28"/>
    </row>
    <row r="6" spans="1:30" ht="15" customHeight="1">
      <c r="A6" s="2" t="s">
        <v>38</v>
      </c>
      <c r="B6" s="35">
        <v>5914</v>
      </c>
      <c r="C6" s="35" t="s">
        <v>86</v>
      </c>
      <c r="D6" s="42">
        <f>SUMIFS('2026'!$N:$N,'2026'!$J:$J,$B6&amp;$C6,'2026'!$O:$O,D$4)</f>
        <v>0</v>
      </c>
      <c r="E6" s="42">
        <f>SUMIFS('2026'!$N:$N,'2026'!$J:$J,$B6&amp;$C6,'2026'!$O:$O,E$4)</f>
        <v>0</v>
      </c>
      <c r="F6" s="42">
        <f>SUMIFS('2026'!$N:$N,'2026'!$J:$J,$B6&amp;$C6,'2026'!$O:$O,F$4)</f>
        <v>0</v>
      </c>
      <c r="G6" s="42">
        <f>SUMIFS('2026'!$N:$N,'2026'!$J:$J,$B6&amp;$C6,'2026'!$O:$O,G$4)</f>
        <v>0</v>
      </c>
      <c r="H6" s="42">
        <f>SUMIFS('2026'!$N:$N,'2026'!$J:$J,$B6&amp;$C6,'2026'!$O:$O,H$4)</f>
        <v>0</v>
      </c>
      <c r="I6" s="42">
        <f>SUMIFS('2026'!$N:$N,'2026'!$J:$J,$B6&amp;$C6,'2026'!$O:$O,I$4)</f>
        <v>0</v>
      </c>
      <c r="J6" s="42">
        <f>SUMIFS('2026'!$N:$N,'2026'!$J:$J,$B6&amp;$C6,'2026'!$O:$O,J$4)</f>
        <v>0</v>
      </c>
      <c r="K6" s="42">
        <f>SUMIFS('2026'!$N:$N,'2026'!$J:$J,$B6&amp;$C6,'2026'!$O:$O,K$4)</f>
        <v>0</v>
      </c>
      <c r="L6" s="42">
        <f>SUMIFS('2026'!$N:$N,'2026'!$J:$J,$B6&amp;$C6,'2026'!$O:$O,L$4)</f>
        <v>0</v>
      </c>
      <c r="M6" s="42">
        <f>SUMIFS('2026'!$N:$N,'2026'!$J:$J,$B6&amp;$C6,'2026'!$O:$O,M$4)</f>
        <v>0</v>
      </c>
      <c r="N6" s="42">
        <f>SUMIFS('2026'!$N:$N,'2026'!$J:$J,$B6&amp;$C6,'2026'!$O:$O,N$4)</f>
        <v>0</v>
      </c>
      <c r="O6" s="42">
        <f>SUMIFS('2026'!$N:$N,'2026'!$J:$J,$B6&amp;$C6,'2026'!$O:$O,O$4)</f>
        <v>0</v>
      </c>
      <c r="P6" s="61">
        <f t="shared" si="0"/>
        <v>0</v>
      </c>
      <c r="Q6" s="61">
        <f t="shared" si="0"/>
        <v>0</v>
      </c>
      <c r="R6" s="8">
        <f t="shared" si="1"/>
        <v>0</v>
      </c>
      <c r="S6" s="9" t="str">
        <f t="shared" si="2"/>
        <v/>
      </c>
      <c r="T6" s="61">
        <v>1765.032967032967</v>
      </c>
      <c r="U6" s="28"/>
      <c r="V6" s="28"/>
      <c r="W6" s="28"/>
      <c r="X6" s="28"/>
      <c r="Y6" s="28"/>
      <c r="Z6" s="28"/>
      <c r="AA6" s="28"/>
      <c r="AB6" s="28"/>
      <c r="AC6" s="28"/>
    </row>
    <row r="7" spans="1:30" ht="15" customHeight="1">
      <c r="A7" s="2" t="s">
        <v>29</v>
      </c>
      <c r="B7" s="36">
        <v>5914</v>
      </c>
      <c r="C7" s="36" t="s">
        <v>87</v>
      </c>
      <c r="D7" s="42">
        <f>SUMIFS('2026'!$N:$N,'2026'!$J:$J,$B7&amp;$C7,'2026'!$O:$O,D$4)</f>
        <v>235.09166666666664</v>
      </c>
      <c r="E7" s="42">
        <f>SUMIFS('2026'!$N:$N,'2026'!$J:$J,$B7&amp;$C7,'2026'!$O:$O,E$4)</f>
        <v>0</v>
      </c>
      <c r="F7" s="42">
        <f>SUMIFS('2026'!$N:$N,'2026'!$J:$J,$B7&amp;$C7,'2026'!$O:$O,F$4)</f>
        <v>319.04583333333335</v>
      </c>
      <c r="G7" s="42">
        <f>SUMIFS('2026'!$N:$N,'2026'!$J:$J,$B7&amp;$C7,'2026'!$O:$O,G$4)</f>
        <v>136.80000000000001</v>
      </c>
      <c r="H7" s="42">
        <f>SUMIFS('2026'!$N:$N,'2026'!$J:$J,$B7&amp;$C7,'2026'!$O:$O,H$4)</f>
        <v>261.60000000000002</v>
      </c>
      <c r="I7" s="42">
        <f>SUMIFS('2026'!$N:$N,'2026'!$J:$J,$B7&amp;$C7,'2026'!$O:$O,I$4)</f>
        <v>0</v>
      </c>
      <c r="J7" s="42">
        <f>SUMIFS('2026'!$N:$N,'2026'!$J:$J,$B7&amp;$C7,'2026'!$O:$O,J$4)</f>
        <v>0</v>
      </c>
      <c r="K7" s="42">
        <f>SUMIFS('2026'!$N:$N,'2026'!$J:$J,$B7&amp;$C7,'2026'!$O:$O,K$4)</f>
        <v>0</v>
      </c>
      <c r="L7" s="42">
        <f>SUMIFS('2026'!$N:$N,'2026'!$J:$J,$B7&amp;$C7,'2026'!$O:$O,L$4)</f>
        <v>0</v>
      </c>
      <c r="M7" s="42">
        <f>SUMIFS('2026'!$N:$N,'2026'!$J:$J,$B7&amp;$C7,'2026'!$O:$O,M$4)</f>
        <v>0</v>
      </c>
      <c r="N7" s="42">
        <f>SUMIFS('2026'!$N:$N,'2026'!$J:$J,$B7&amp;$C7,'2026'!$O:$O,N$4)</f>
        <v>0</v>
      </c>
      <c r="O7" s="42">
        <f>SUMIFS('2026'!$N:$N,'2026'!$J:$J,$B7&amp;$C7,'2026'!$O:$O,O$4)</f>
        <v>0</v>
      </c>
      <c r="P7" s="61">
        <f t="shared" si="0"/>
        <v>952.53750000000002</v>
      </c>
      <c r="Q7" s="61">
        <f t="shared" si="0"/>
        <v>1669.9833333333336</v>
      </c>
      <c r="R7" s="8">
        <f t="shared" si="1"/>
        <v>-717.44583333333355</v>
      </c>
      <c r="S7" s="9">
        <f t="shared" si="2"/>
        <v>-0.42961257098374245</v>
      </c>
      <c r="T7" s="61">
        <v>1861.2124999999999</v>
      </c>
      <c r="U7" s="28"/>
      <c r="V7" s="28"/>
      <c r="W7" s="28"/>
      <c r="X7" s="28"/>
      <c r="Y7" s="28"/>
      <c r="Z7" s="28"/>
      <c r="AA7" s="28"/>
      <c r="AB7" s="28"/>
      <c r="AC7" s="28"/>
    </row>
    <row r="8" spans="1:30" ht="15" customHeight="1">
      <c r="A8" s="2" t="s">
        <v>25</v>
      </c>
      <c r="B8" s="36">
        <v>5914</v>
      </c>
      <c r="C8" s="36" t="s">
        <v>88</v>
      </c>
      <c r="D8" s="42">
        <f>SUMIFS('2026'!$N:$N,'2026'!$J:$J,$B8&amp;$C8,'2026'!$O:$O,D$4)</f>
        <v>0</v>
      </c>
      <c r="E8" s="42">
        <f>SUMIFS('2026'!$N:$N,'2026'!$J:$J,$B8&amp;$C8,'2026'!$O:$O,E$4)</f>
        <v>0</v>
      </c>
      <c r="F8" s="42">
        <f>SUMIFS('2026'!$N:$N,'2026'!$J:$J,$B8&amp;$C8,'2026'!$O:$O,F$4)</f>
        <v>0</v>
      </c>
      <c r="G8" s="42">
        <f>SUMIFS('2026'!$N:$N,'2026'!$J:$J,$B8&amp;$C8,'2026'!$O:$O,G$4)</f>
        <v>0</v>
      </c>
      <c r="H8" s="42">
        <f>SUMIFS('2026'!$N:$N,'2026'!$J:$J,$B8&amp;$C8,'2026'!$O:$O,H$4)</f>
        <v>0</v>
      </c>
      <c r="I8" s="42">
        <f>SUMIFS('2026'!$N:$N,'2026'!$J:$J,$B8&amp;$C8,'2026'!$O:$O,I$4)</f>
        <v>0</v>
      </c>
      <c r="J8" s="42">
        <f>SUMIFS('2026'!$N:$N,'2026'!$J:$J,$B8&amp;$C8,'2026'!$O:$O,J$4)</f>
        <v>0</v>
      </c>
      <c r="K8" s="42">
        <f>SUMIFS('2026'!$N:$N,'2026'!$J:$J,$B8&amp;$C8,'2026'!$O:$O,K$4)</f>
        <v>0</v>
      </c>
      <c r="L8" s="42">
        <f>SUMIFS('2026'!$N:$N,'2026'!$J:$J,$B8&amp;$C8,'2026'!$O:$O,L$4)</f>
        <v>0</v>
      </c>
      <c r="M8" s="42">
        <f>SUMIFS('2026'!$N:$N,'2026'!$J:$J,$B8&amp;$C8,'2026'!$O:$O,M$4)</f>
        <v>0</v>
      </c>
      <c r="N8" s="42">
        <f>SUMIFS('2026'!$N:$N,'2026'!$J:$J,$B8&amp;$C8,'2026'!$O:$O,N$4)</f>
        <v>0</v>
      </c>
      <c r="O8" s="42">
        <f>SUMIFS('2026'!$N:$N,'2026'!$J:$J,$B8&amp;$C8,'2026'!$O:$O,O$4)</f>
        <v>0</v>
      </c>
      <c r="P8" s="61">
        <f t="shared" si="0"/>
        <v>0</v>
      </c>
      <c r="Q8" s="61">
        <f t="shared" si="0"/>
        <v>0</v>
      </c>
      <c r="R8" s="8">
        <f t="shared" si="1"/>
        <v>0</v>
      </c>
      <c r="S8" s="9" t="str">
        <f t="shared" si="2"/>
        <v/>
      </c>
      <c r="T8" s="61">
        <v>0</v>
      </c>
      <c r="U8" s="28"/>
      <c r="V8" s="28"/>
      <c r="W8" s="28"/>
      <c r="X8" s="28"/>
      <c r="Y8" s="28"/>
      <c r="Z8" s="28"/>
      <c r="AA8" s="28"/>
      <c r="AB8" s="28"/>
      <c r="AC8" s="28"/>
    </row>
    <row r="9" spans="1:30" ht="15" customHeight="1">
      <c r="A9" s="2" t="s">
        <v>21</v>
      </c>
      <c r="B9" s="36">
        <v>5914</v>
      </c>
      <c r="C9" s="36" t="s">
        <v>89</v>
      </c>
      <c r="D9" s="42">
        <f>SUMIFS('2026'!$N:$N,'2026'!$J:$J,$B9&amp;$C9,'2026'!$O:$O,D$4)</f>
        <v>0</v>
      </c>
      <c r="E9" s="42">
        <f>SUMIFS('2026'!$N:$N,'2026'!$J:$J,$B9&amp;$C9,'2026'!$O:$O,E$4)</f>
        <v>0</v>
      </c>
      <c r="F9" s="42">
        <f>SUMIFS('2026'!$N:$N,'2026'!$J:$J,$B9&amp;$C9,'2026'!$O:$O,F$4)</f>
        <v>0</v>
      </c>
      <c r="G9" s="42">
        <f>SUMIFS('2026'!$N:$N,'2026'!$J:$J,$B9&amp;$C9,'2026'!$O:$O,G$4)</f>
        <v>0</v>
      </c>
      <c r="H9" s="42">
        <f>SUMIFS('2026'!$N:$N,'2026'!$J:$J,$B9&amp;$C9,'2026'!$O:$O,H$4)</f>
        <v>0</v>
      </c>
      <c r="I9" s="42">
        <f>SUMIFS('2026'!$N:$N,'2026'!$J:$J,$B9&amp;$C9,'2026'!$O:$O,I$4)</f>
        <v>0</v>
      </c>
      <c r="J9" s="42">
        <f>SUMIFS('2026'!$N:$N,'2026'!$J:$J,$B9&amp;$C9,'2026'!$O:$O,J$4)</f>
        <v>0</v>
      </c>
      <c r="K9" s="42">
        <f>SUMIFS('2026'!$N:$N,'2026'!$J:$J,$B9&amp;$C9,'2026'!$O:$O,K$4)</f>
        <v>0</v>
      </c>
      <c r="L9" s="42">
        <f>SUMIFS('2026'!$N:$N,'2026'!$J:$J,$B9&amp;$C9,'2026'!$O:$O,L$4)</f>
        <v>0</v>
      </c>
      <c r="M9" s="42">
        <f>SUMIFS('2026'!$N:$N,'2026'!$J:$J,$B9&amp;$C9,'2026'!$O:$O,M$4)</f>
        <v>0</v>
      </c>
      <c r="N9" s="42">
        <f>SUMIFS('2026'!$N:$N,'2026'!$J:$J,$B9&amp;$C9,'2026'!$O:$O,N$4)</f>
        <v>0</v>
      </c>
      <c r="O9" s="42">
        <f>SUMIFS('2026'!$N:$N,'2026'!$J:$J,$B9&amp;$C9,'2026'!$O:$O,O$4)</f>
        <v>0</v>
      </c>
      <c r="P9" s="61">
        <f t="shared" si="0"/>
        <v>0</v>
      </c>
      <c r="Q9" s="61">
        <f t="shared" si="0"/>
        <v>0</v>
      </c>
      <c r="R9" s="8">
        <f t="shared" si="1"/>
        <v>0</v>
      </c>
      <c r="S9" s="9" t="str">
        <f t="shared" si="2"/>
        <v/>
      </c>
      <c r="T9" s="61">
        <v>0</v>
      </c>
      <c r="U9" s="28"/>
      <c r="V9" s="28"/>
      <c r="W9" s="28"/>
      <c r="X9" s="28"/>
      <c r="Y9" s="28"/>
      <c r="Z9" s="28"/>
      <c r="AA9" s="28"/>
      <c r="AB9" s="28"/>
      <c r="AC9" s="28"/>
    </row>
    <row r="10" spans="1:30" ht="15" customHeight="1">
      <c r="A10" s="2" t="s">
        <v>25</v>
      </c>
      <c r="B10" s="36">
        <v>5914</v>
      </c>
      <c r="C10" s="36" t="s">
        <v>25</v>
      </c>
      <c r="D10" s="42">
        <f>SUMIFS('2026'!$N:$N,'2026'!$J:$J,$B10&amp;$C10,'2026'!$O:$O,D$4)</f>
        <v>0</v>
      </c>
      <c r="E10" s="42">
        <f>SUMIFS('2026'!$N:$N,'2026'!$J:$J,$B10&amp;$C10,'2026'!$O:$O,E$4)</f>
        <v>0</v>
      </c>
      <c r="F10" s="42">
        <f>SUMIFS('2026'!$N:$N,'2026'!$J:$J,$B10&amp;$C10,'2026'!$O:$O,F$4)</f>
        <v>0</v>
      </c>
      <c r="G10" s="42">
        <f>SUMIFS('2026'!$N:$N,'2026'!$J:$J,$B10&amp;$C10,'2026'!$O:$O,G$4)</f>
        <v>0</v>
      </c>
      <c r="H10" s="42">
        <f>SUMIFS('2026'!$N:$N,'2026'!$J:$J,$B10&amp;$C10,'2026'!$O:$O,H$4)</f>
        <v>0</v>
      </c>
      <c r="I10" s="42">
        <f>SUMIFS('2026'!$N:$N,'2026'!$J:$J,$B10&amp;$C10,'2026'!$O:$O,I$4)</f>
        <v>0</v>
      </c>
      <c r="J10" s="42">
        <f>SUMIFS('2026'!$N:$N,'2026'!$J:$J,$B10&amp;$C10,'2026'!$O:$O,J$4)</f>
        <v>0</v>
      </c>
      <c r="K10" s="42">
        <f>SUMIFS('2026'!$N:$N,'2026'!$J:$J,$B10&amp;$C10,'2026'!$O:$O,K$4)</f>
        <v>0</v>
      </c>
      <c r="L10" s="42">
        <f>SUMIFS('2026'!$N:$N,'2026'!$J:$J,$B10&amp;$C10,'2026'!$O:$O,L$4)</f>
        <v>0</v>
      </c>
      <c r="M10" s="42">
        <f>SUMIFS('2026'!$N:$N,'2026'!$J:$J,$B10&amp;$C10,'2026'!$O:$O,M$4)</f>
        <v>0</v>
      </c>
      <c r="N10" s="42">
        <f>SUMIFS('2026'!$N:$N,'2026'!$J:$J,$B10&amp;$C10,'2026'!$O:$O,N$4)</f>
        <v>0</v>
      </c>
      <c r="O10" s="42">
        <f>SUMIFS('2026'!$N:$N,'2026'!$J:$J,$B10&amp;$C10,'2026'!$O:$O,O$4)</f>
        <v>0</v>
      </c>
      <c r="P10" s="61">
        <f t="shared" si="0"/>
        <v>0</v>
      </c>
      <c r="Q10" s="61">
        <f t="shared" si="0"/>
        <v>0</v>
      </c>
      <c r="R10" s="8">
        <f t="shared" si="1"/>
        <v>0</v>
      </c>
      <c r="S10" s="9" t="str">
        <f t="shared" si="2"/>
        <v/>
      </c>
      <c r="T10" s="61">
        <v>0</v>
      </c>
      <c r="U10" s="28"/>
      <c r="V10" s="28"/>
      <c r="W10" s="28"/>
      <c r="X10" s="28"/>
      <c r="Y10" s="28"/>
      <c r="Z10" s="28"/>
      <c r="AA10" s="28"/>
      <c r="AB10" s="28"/>
      <c r="AC10" s="28"/>
    </row>
    <row r="11" spans="1:30" ht="15" customHeight="1">
      <c r="A11" s="2" t="s">
        <v>25</v>
      </c>
      <c r="B11" s="36">
        <v>5914</v>
      </c>
      <c r="C11" s="36" t="s">
        <v>90</v>
      </c>
      <c r="D11" s="42">
        <f>SUMIFS('2026'!$N:$N,'2026'!$J:$J,$B11&amp;$C11,'2026'!$O:$O,D$4)</f>
        <v>0</v>
      </c>
      <c r="E11" s="42">
        <f>SUMIFS('2026'!$N:$N,'2026'!$J:$J,$B11&amp;$C11,'2026'!$O:$O,E$4)</f>
        <v>0</v>
      </c>
      <c r="F11" s="42">
        <f>SUMIFS('2026'!$N:$N,'2026'!$J:$J,$B11&amp;$C11,'2026'!$O:$O,F$4)</f>
        <v>0</v>
      </c>
      <c r="G11" s="42">
        <f>SUMIFS('2026'!$N:$N,'2026'!$J:$J,$B11&amp;$C11,'2026'!$O:$O,G$4)</f>
        <v>0</v>
      </c>
      <c r="H11" s="42">
        <f>SUMIFS('2026'!$N:$N,'2026'!$J:$J,$B11&amp;$C11,'2026'!$O:$O,H$4)</f>
        <v>0</v>
      </c>
      <c r="I11" s="42">
        <f>SUMIFS('2026'!$N:$N,'2026'!$J:$J,$B11&amp;$C11,'2026'!$O:$O,I$4)</f>
        <v>0</v>
      </c>
      <c r="J11" s="42">
        <f>SUMIFS('2026'!$N:$N,'2026'!$J:$J,$B11&amp;$C11,'2026'!$O:$O,J$4)</f>
        <v>0</v>
      </c>
      <c r="K11" s="42">
        <f>SUMIFS('2026'!$N:$N,'2026'!$J:$J,$B11&amp;$C11,'2026'!$O:$O,K$4)</f>
        <v>0</v>
      </c>
      <c r="L11" s="42">
        <f>SUMIFS('2026'!$N:$N,'2026'!$J:$J,$B11&amp;$C11,'2026'!$O:$O,L$4)</f>
        <v>0</v>
      </c>
      <c r="M11" s="42">
        <f>SUMIFS('2026'!$N:$N,'2026'!$J:$J,$B11&amp;$C11,'2026'!$O:$O,M$4)</f>
        <v>0</v>
      </c>
      <c r="N11" s="42">
        <f>SUMIFS('2026'!$N:$N,'2026'!$J:$J,$B11&amp;$C11,'2026'!$O:$O,N$4)</f>
        <v>0</v>
      </c>
      <c r="O11" s="42">
        <f>SUMIFS('2026'!$N:$N,'2026'!$J:$J,$B11&amp;$C11,'2026'!$O:$O,O$4)</f>
        <v>0</v>
      </c>
      <c r="P11" s="61">
        <f t="shared" si="0"/>
        <v>0</v>
      </c>
      <c r="Q11" s="61">
        <f t="shared" si="0"/>
        <v>0</v>
      </c>
      <c r="R11" s="8">
        <f t="shared" si="1"/>
        <v>0</v>
      </c>
      <c r="S11" s="9" t="str">
        <f t="shared" si="2"/>
        <v/>
      </c>
      <c r="T11" s="61">
        <v>0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15" customHeight="1">
      <c r="A12" s="2" t="s">
        <v>40</v>
      </c>
      <c r="B12" s="36">
        <v>5914</v>
      </c>
      <c r="C12" s="36" t="s">
        <v>91</v>
      </c>
      <c r="D12" s="42">
        <f>SUMIFS('2026'!$N:$N,'2026'!$J:$J,$B12&amp;$C12,'2026'!$O:$O,D$4)</f>
        <v>0</v>
      </c>
      <c r="E12" s="42">
        <f>SUMIFS('2026'!$N:$N,'2026'!$J:$J,$B12&amp;$C12,'2026'!$O:$O,E$4)</f>
        <v>0</v>
      </c>
      <c r="F12" s="42">
        <f>SUMIFS('2026'!$N:$N,'2026'!$J:$J,$B12&amp;$C12,'2026'!$O:$O,F$4)</f>
        <v>0</v>
      </c>
      <c r="G12" s="42">
        <f>SUMIFS('2026'!$N:$N,'2026'!$J:$J,$B12&amp;$C12,'2026'!$O:$O,G$4)</f>
        <v>0</v>
      </c>
      <c r="H12" s="42">
        <f>SUMIFS('2026'!$N:$N,'2026'!$J:$J,$B12&amp;$C12,'2026'!$O:$O,H$4)</f>
        <v>0</v>
      </c>
      <c r="I12" s="42">
        <f>SUMIFS('2026'!$N:$N,'2026'!$J:$J,$B12&amp;$C12,'2026'!$O:$O,I$4)</f>
        <v>0</v>
      </c>
      <c r="J12" s="42">
        <f>SUMIFS('2026'!$N:$N,'2026'!$J:$J,$B12&amp;$C12,'2026'!$O:$O,J$4)</f>
        <v>0</v>
      </c>
      <c r="K12" s="42">
        <f>SUMIFS('2026'!$N:$N,'2026'!$J:$J,$B12&amp;$C12,'2026'!$O:$O,K$4)</f>
        <v>0</v>
      </c>
      <c r="L12" s="42">
        <f>SUMIFS('2026'!$N:$N,'2026'!$J:$J,$B12&amp;$C12,'2026'!$O:$O,L$4)</f>
        <v>0</v>
      </c>
      <c r="M12" s="42">
        <f>SUMIFS('2026'!$N:$N,'2026'!$J:$J,$B12&amp;$C12,'2026'!$O:$O,M$4)</f>
        <v>0</v>
      </c>
      <c r="N12" s="42">
        <f>SUMIFS('2026'!$N:$N,'2026'!$J:$J,$B12&amp;$C12,'2026'!$O:$O,N$4)</f>
        <v>0</v>
      </c>
      <c r="O12" s="42">
        <f>SUMIFS('2026'!$N:$N,'2026'!$J:$J,$B12&amp;$C12,'2026'!$O:$O,O$4)</f>
        <v>0</v>
      </c>
      <c r="P12" s="61">
        <f t="shared" si="0"/>
        <v>0</v>
      </c>
      <c r="Q12" s="61">
        <f t="shared" si="0"/>
        <v>0</v>
      </c>
      <c r="R12" s="8">
        <f t="shared" si="1"/>
        <v>0</v>
      </c>
      <c r="S12" s="9" t="str">
        <f t="shared" si="2"/>
        <v/>
      </c>
      <c r="T12" s="61">
        <v>0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" customHeight="1">
      <c r="A13" s="2" t="s">
        <v>29</v>
      </c>
      <c r="B13" s="36">
        <v>5914</v>
      </c>
      <c r="C13" s="36" t="s">
        <v>29</v>
      </c>
      <c r="D13" s="42">
        <f>SUMIFS('2026'!$N:$N,'2026'!$J:$J,$B13&amp;$C13,'2026'!$O:$O,D$4)</f>
        <v>4455.6750000000002</v>
      </c>
      <c r="E13" s="42">
        <f>SUMIFS('2026'!$N:$N,'2026'!$J:$J,$B13&amp;$C13,'2026'!$O:$O,E$4)</f>
        <v>6318.6208333333325</v>
      </c>
      <c r="F13" s="42">
        <f>SUMIFS('2026'!$N:$N,'2026'!$J:$J,$B13&amp;$C13,'2026'!$O:$O,F$4)</f>
        <v>7433.8933333333343</v>
      </c>
      <c r="G13" s="42">
        <f>SUMIFS('2026'!$N:$N,'2026'!$J:$J,$B13&amp;$C13,'2026'!$O:$O,G$4)</f>
        <v>5202.9916666666668</v>
      </c>
      <c r="H13" s="42">
        <f>SUMIFS('2026'!$N:$N,'2026'!$J:$J,$B13&amp;$C13,'2026'!$O:$O,H$4)</f>
        <v>4206.2833333333338</v>
      </c>
      <c r="I13" s="42">
        <f>SUMIFS('2026'!$N:$N,'2026'!$J:$J,$B13&amp;$C13,'2026'!$O:$O,I$4)</f>
        <v>5012.96</v>
      </c>
      <c r="J13" s="42">
        <f>SUMIFS('2026'!$N:$N,'2026'!$J:$J,$B13&amp;$C13,'2026'!$O:$O,J$4)</f>
        <v>5276.8</v>
      </c>
      <c r="K13" s="42">
        <f>SUMIFS('2026'!$N:$N,'2026'!$J:$J,$B13&amp;$C13,'2026'!$O:$O,K$4)</f>
        <v>5804.48</v>
      </c>
      <c r="L13" s="42">
        <f>SUMIFS('2026'!$N:$N,'2026'!$J:$J,$B13&amp;$C13,'2026'!$O:$O,L$4)</f>
        <v>5276.8</v>
      </c>
      <c r="M13" s="42">
        <f>SUMIFS('2026'!$N:$N,'2026'!$J:$J,$B13&amp;$C13,'2026'!$O:$O,M$4)</f>
        <v>5276.8</v>
      </c>
      <c r="N13" s="42">
        <f>SUMIFS('2026'!$N:$N,'2026'!$J:$J,$B13&amp;$C13,'2026'!$O:$O,N$4)</f>
        <v>4609.4400000000005</v>
      </c>
      <c r="O13" s="42">
        <f>SUMIFS('2026'!$N:$N,'2026'!$J:$J,$B13&amp;$C13,'2026'!$O:$O,O$4)</f>
        <v>4609.4400000000005</v>
      </c>
      <c r="P13" s="61">
        <f t="shared" si="0"/>
        <v>63484.184166666673</v>
      </c>
      <c r="Q13" s="61">
        <f t="shared" si="0"/>
        <v>122512.69333333336</v>
      </c>
      <c r="R13" s="8">
        <f t="shared" si="1"/>
        <v>-59028.509166666685</v>
      </c>
      <c r="S13" s="9">
        <f t="shared" si="2"/>
        <v>-0.48181545569373391</v>
      </c>
      <c r="T13" s="61">
        <v>63791.500000000007</v>
      </c>
      <c r="U13" s="28"/>
      <c r="V13" s="28"/>
      <c r="W13" s="28"/>
      <c r="X13" s="28"/>
      <c r="Y13" s="28"/>
      <c r="Z13" s="28"/>
      <c r="AA13" s="28"/>
      <c r="AB13" s="28"/>
      <c r="AC13" s="28"/>
    </row>
    <row r="14" spans="1:30" ht="15" customHeight="1">
      <c r="B14" s="10"/>
      <c r="C14" s="90" t="s">
        <v>92</v>
      </c>
      <c r="D14" s="11">
        <f t="shared" ref="D14:R14" si="3">SUM(D5:D13)</f>
        <v>5017.7266666666674</v>
      </c>
      <c r="E14" s="11">
        <f t="shared" si="3"/>
        <v>6994.2048333333323</v>
      </c>
      <c r="F14" s="11">
        <f t="shared" si="3"/>
        <v>8261.051166666668</v>
      </c>
      <c r="G14" s="11">
        <f t="shared" si="3"/>
        <v>5848.9756666666672</v>
      </c>
      <c r="H14" s="11">
        <f t="shared" si="3"/>
        <v>5242.1993333333339</v>
      </c>
      <c r="I14" s="11">
        <f>SUM(I5:I13)</f>
        <v>5232.192</v>
      </c>
      <c r="J14" s="11">
        <f t="shared" si="3"/>
        <v>5683.4400000000005</v>
      </c>
      <c r="K14" s="11">
        <f t="shared" si="3"/>
        <v>6228.7999999999993</v>
      </c>
      <c r="L14" s="11">
        <f t="shared" si="3"/>
        <v>5442.9920000000002</v>
      </c>
      <c r="M14" s="11">
        <f t="shared" si="3"/>
        <v>5404.0960000000005</v>
      </c>
      <c r="N14" s="11">
        <f t="shared" si="3"/>
        <v>5009.0080000000007</v>
      </c>
      <c r="O14" s="11">
        <f t="shared" si="3"/>
        <v>4609.4400000000005</v>
      </c>
      <c r="P14" s="11">
        <f>SUM(P5:P13)</f>
        <v>68974.125666666674</v>
      </c>
      <c r="Q14" s="11">
        <f>SUM(Q5:Q13)</f>
        <v>132930.52466666669</v>
      </c>
      <c r="R14" s="11">
        <f t="shared" si="3"/>
        <v>-63956.399000000019</v>
      </c>
      <c r="S14" s="12">
        <f t="shared" si="2"/>
        <v>-0.48112650695072112</v>
      </c>
      <c r="T14" s="11">
        <v>71174.425467032968</v>
      </c>
      <c r="U14" s="28"/>
      <c r="V14" s="28"/>
      <c r="W14" s="28"/>
      <c r="X14" s="28"/>
      <c r="Y14" s="28"/>
      <c r="Z14" s="28"/>
      <c r="AA14" s="28"/>
      <c r="AB14" s="28"/>
      <c r="AC14" s="28"/>
    </row>
    <row r="15" spans="1:30" ht="15" customHeight="1"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14"/>
      <c r="S15" s="14"/>
      <c r="T15" s="61"/>
      <c r="U15" s="28"/>
      <c r="V15" s="28"/>
      <c r="W15" s="28"/>
      <c r="X15" s="28"/>
      <c r="Y15" s="28"/>
      <c r="Z15" s="28"/>
      <c r="AA15" s="28"/>
      <c r="AB15" s="28"/>
      <c r="AC15" s="28"/>
    </row>
    <row r="16" spans="1:30" s="22" customFormat="1" ht="19.5" customHeight="1">
      <c r="B16" s="37"/>
      <c r="C16" s="1096" t="s">
        <v>93</v>
      </c>
      <c r="D16" s="1096"/>
      <c r="E16" s="1096"/>
      <c r="F16" s="1096"/>
      <c r="G16" s="1096"/>
      <c r="H16" s="1096"/>
      <c r="I16" s="1096"/>
      <c r="J16" s="1096"/>
      <c r="K16" s="1096"/>
      <c r="L16" s="1096"/>
      <c r="M16" s="1096"/>
      <c r="N16" s="1096"/>
      <c r="O16" s="1096"/>
      <c r="P16" s="2"/>
      <c r="Q16" s="2"/>
      <c r="R16" s="31" t="s">
        <v>94</v>
      </c>
      <c r="S16" s="32"/>
      <c r="T16" s="2"/>
      <c r="U16" s="28"/>
      <c r="V16" s="28"/>
      <c r="W16" s="28"/>
      <c r="X16" s="28"/>
      <c r="Y16" s="28"/>
      <c r="Z16" s="28"/>
      <c r="AA16" s="28"/>
      <c r="AB16" s="28"/>
      <c r="AC16" s="28"/>
    </row>
    <row r="17" spans="1:29" s="3" customFormat="1">
      <c r="B17" s="4"/>
      <c r="C17" s="4" t="s">
        <v>17</v>
      </c>
      <c r="D17" s="5" t="s">
        <v>68</v>
      </c>
      <c r="E17" s="5" t="s">
        <v>69</v>
      </c>
      <c r="F17" s="5" t="s">
        <v>70</v>
      </c>
      <c r="G17" s="5" t="s">
        <v>71</v>
      </c>
      <c r="H17" s="5" t="s">
        <v>72</v>
      </c>
      <c r="I17" s="5" t="s">
        <v>73</v>
      </c>
      <c r="J17" s="5" t="s">
        <v>74</v>
      </c>
      <c r="K17" s="5" t="s">
        <v>75</v>
      </c>
      <c r="L17" s="5" t="s">
        <v>76</v>
      </c>
      <c r="M17" s="5" t="s">
        <v>77</v>
      </c>
      <c r="N17" s="5" t="s">
        <v>78</v>
      </c>
      <c r="O17" s="5" t="s">
        <v>79</v>
      </c>
      <c r="P17" s="187" t="str">
        <f>P$4</f>
        <v>2026 MRF3</v>
      </c>
      <c r="Q17" s="188" t="str">
        <f>Q$4</f>
        <v>2026 MRF2</v>
      </c>
      <c r="R17" s="5" t="str">
        <f t="shared" ref="R17:S17" si="4">R$4</f>
        <v>Difference</v>
      </c>
      <c r="S17" s="6" t="str">
        <f t="shared" si="4"/>
        <v>% change</v>
      </c>
      <c r="T17" s="187" t="s">
        <v>1186</v>
      </c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5" customHeight="1">
      <c r="A18" s="2" t="s">
        <v>38</v>
      </c>
      <c r="B18" s="35">
        <v>5911</v>
      </c>
      <c r="C18" s="35" t="s">
        <v>95</v>
      </c>
      <c r="D18" s="42">
        <f>SUMIFS('2026'!$N:$N,'2026'!$J:$J,$B18&amp;$C18,'2026'!$O:$O,D$4)</f>
        <v>0</v>
      </c>
      <c r="E18" s="42">
        <f>SUMIFS('2026'!$N:$N,'2026'!$J:$J,$B18&amp;$C18,'2026'!$O:$O,E$4)</f>
        <v>0</v>
      </c>
      <c r="F18" s="42">
        <f>SUMIFS('2026'!$N:$N,'2026'!$J:$J,$B18&amp;$C18,'2026'!$O:$O,F$4)</f>
        <v>0</v>
      </c>
      <c r="G18" s="42">
        <f>SUMIFS('2026'!$N:$N,'2026'!$J:$J,$B18&amp;$C18,'2026'!$O:$O,G$4)</f>
        <v>0</v>
      </c>
      <c r="H18" s="42">
        <f>SUMIFS('2026'!$N:$N,'2026'!$J:$J,$B18&amp;$C18,'2026'!$O:$O,H$4)</f>
        <v>0</v>
      </c>
      <c r="I18" s="42">
        <f>SUMIFS('2026'!$N:$N,'2026'!$J:$J,$B18&amp;$C18,'2026'!$O:$O,I$4)</f>
        <v>0</v>
      </c>
      <c r="J18" s="42">
        <f>SUMIFS('2026'!$N:$N,'2026'!$J:$J,$B18&amp;$C18,'2026'!$O:$O,J$4)</f>
        <v>0</v>
      </c>
      <c r="K18" s="42">
        <f>SUMIFS('2026'!$N:$N,'2026'!$J:$J,$B18&amp;$C18,'2026'!$O:$O,K$4)</f>
        <v>0</v>
      </c>
      <c r="L18" s="42">
        <f>SUMIFS('2026'!$N:$N,'2026'!$J:$J,$B18&amp;$C18,'2026'!$O:$O,L$4)</f>
        <v>0</v>
      </c>
      <c r="M18" s="42">
        <f>SUMIFS('2026'!$N:$N,'2026'!$J:$J,$B18&amp;$C18,'2026'!$O:$O,M$4)</f>
        <v>0</v>
      </c>
      <c r="N18" s="42">
        <f>SUMIFS('2026'!$N:$N,'2026'!$J:$J,$B18&amp;$C18,'2026'!$O:$O,N$4)</f>
        <v>0</v>
      </c>
      <c r="O18" s="42">
        <f>SUMIFS('2026'!$N:$N,'2026'!$J:$J,$B18&amp;$C18,'2026'!$O:$O,O$4)</f>
        <v>0</v>
      </c>
      <c r="P18" s="61">
        <f t="shared" ref="P18:Q21" si="5">SUM(D18:O18)</f>
        <v>0</v>
      </c>
      <c r="Q18" s="61">
        <f t="shared" si="5"/>
        <v>0</v>
      </c>
      <c r="R18" s="8">
        <f>P18-Q18</f>
        <v>0</v>
      </c>
      <c r="S18" s="9" t="str">
        <f>IF(ISERROR(R18/Q18),"",R18/Q18)</f>
        <v/>
      </c>
      <c r="T18" s="61">
        <v>0</v>
      </c>
      <c r="U18" s="28"/>
      <c r="V18" s="28"/>
      <c r="W18" s="28"/>
      <c r="X18" s="28"/>
      <c r="Y18" s="28"/>
      <c r="Z18" s="28"/>
      <c r="AA18" s="28"/>
      <c r="AB18" s="28"/>
    </row>
    <row r="19" spans="1:29" ht="15" customHeight="1">
      <c r="A19" s="2" t="s">
        <v>38</v>
      </c>
      <c r="B19" s="35">
        <v>5911</v>
      </c>
      <c r="C19" s="35" t="s">
        <v>96</v>
      </c>
      <c r="D19" s="42">
        <f>SUMIFS('2026'!$N:$N,'2026'!$J:$J,$B19&amp;$C19,'2026'!$O:$O,D$4)</f>
        <v>0</v>
      </c>
      <c r="E19" s="42">
        <f>SUMIFS('2026'!$N:$N,'2026'!$J:$J,$B19&amp;$C19,'2026'!$O:$O,E$4)</f>
        <v>0</v>
      </c>
      <c r="F19" s="42">
        <f>SUMIFS('2026'!$N:$N,'2026'!$J:$J,$B19&amp;$C19,'2026'!$O:$O,F$4)</f>
        <v>0</v>
      </c>
      <c r="G19" s="42">
        <f>SUMIFS('2026'!$N:$N,'2026'!$J:$J,$B19&amp;$C19,'2026'!$O:$O,G$4)</f>
        <v>0</v>
      </c>
      <c r="H19" s="42">
        <f>SUMIFS('2026'!$N:$N,'2026'!$J:$J,$B19&amp;$C19,'2026'!$O:$O,H$4)</f>
        <v>0</v>
      </c>
      <c r="I19" s="42">
        <f>SUMIFS('2026'!$N:$N,'2026'!$J:$J,$B19&amp;$C19,'2026'!$O:$O,I$4)</f>
        <v>0</v>
      </c>
      <c r="J19" s="42">
        <f>SUMIFS('2026'!$N:$N,'2026'!$J:$J,$B19&amp;$C19,'2026'!$O:$O,J$4)</f>
        <v>0</v>
      </c>
      <c r="K19" s="42">
        <f>SUMIFS('2026'!$N:$N,'2026'!$J:$J,$B19&amp;$C19,'2026'!$O:$O,K$4)</f>
        <v>0</v>
      </c>
      <c r="L19" s="42">
        <f>SUMIFS('2026'!$N:$N,'2026'!$J:$J,$B19&amp;$C19,'2026'!$O:$O,L$4)</f>
        <v>0</v>
      </c>
      <c r="M19" s="42">
        <f>SUMIFS('2026'!$N:$N,'2026'!$J:$J,$B19&amp;$C19,'2026'!$O:$O,M$4)</f>
        <v>0</v>
      </c>
      <c r="N19" s="42">
        <f>SUMIFS('2026'!$N:$N,'2026'!$J:$J,$B19&amp;$C19,'2026'!$O:$O,N$4)</f>
        <v>0</v>
      </c>
      <c r="O19" s="42">
        <f>SUMIFS('2026'!$N:$N,'2026'!$J:$J,$B19&amp;$C19,'2026'!$O:$O,O$4)</f>
        <v>0</v>
      </c>
      <c r="P19" s="61">
        <f t="shared" si="5"/>
        <v>0</v>
      </c>
      <c r="Q19" s="61">
        <f t="shared" si="5"/>
        <v>0</v>
      </c>
      <c r="R19" s="8">
        <f>P19-Q19</f>
        <v>0</v>
      </c>
      <c r="S19" s="9" t="str">
        <f>IF(ISERROR(R19/Q19),"",R19/Q19)</f>
        <v/>
      </c>
      <c r="T19" s="61">
        <v>0</v>
      </c>
    </row>
    <row r="20" spans="1:29" ht="15" customHeight="1">
      <c r="A20" s="2" t="s">
        <v>29</v>
      </c>
      <c r="B20" s="35">
        <v>5911</v>
      </c>
      <c r="C20" s="35" t="s">
        <v>87</v>
      </c>
      <c r="D20" s="42">
        <f>SUMIFS('2026'!$N:$N,'2026'!$J:$J,$B20&amp;$C20,'2026'!$O:$O,D$4)</f>
        <v>47.958333333333329</v>
      </c>
      <c r="E20" s="42">
        <f>SUMIFS('2026'!$N:$N,'2026'!$J:$J,$B20&amp;$C20,'2026'!$O:$O,E$4)</f>
        <v>36.766666666666666</v>
      </c>
      <c r="F20" s="42">
        <f>SUMIFS('2026'!$N:$N,'2026'!$J:$J,$B20&amp;$C20,'2026'!$O:$O,F$4)</f>
        <v>56.4375</v>
      </c>
      <c r="G20" s="42">
        <f>SUMIFS('2026'!$N:$N,'2026'!$J:$J,$B20&amp;$C20,'2026'!$O:$O,G$4)</f>
        <v>48</v>
      </c>
      <c r="H20" s="42">
        <f>SUMIFS('2026'!$N:$N,'2026'!$J:$J,$B20&amp;$C20,'2026'!$O:$O,H$4)</f>
        <v>0</v>
      </c>
      <c r="I20" s="42">
        <f>SUMIFS('2026'!$N:$N,'2026'!$J:$J,$B20&amp;$C20,'2026'!$O:$O,I$4)</f>
        <v>0</v>
      </c>
      <c r="J20" s="42">
        <f>SUMIFS('2026'!$N:$N,'2026'!$J:$J,$B20&amp;$C20,'2026'!$O:$O,J$4)</f>
        <v>0</v>
      </c>
      <c r="K20" s="42">
        <f>SUMIFS('2026'!$N:$N,'2026'!$J:$J,$B20&amp;$C20,'2026'!$O:$O,K$4)</f>
        <v>0</v>
      </c>
      <c r="L20" s="42">
        <f>SUMIFS('2026'!$N:$N,'2026'!$J:$J,$B20&amp;$C20,'2026'!$O:$O,L$4)</f>
        <v>0</v>
      </c>
      <c r="M20" s="42">
        <f>SUMIFS('2026'!$N:$N,'2026'!$J:$J,$B20&amp;$C20,'2026'!$O:$O,M$4)</f>
        <v>0</v>
      </c>
      <c r="N20" s="42">
        <f>SUMIFS('2026'!$N:$N,'2026'!$J:$J,$B20&amp;$C20,'2026'!$O:$O,N$4)</f>
        <v>0</v>
      </c>
      <c r="O20" s="42">
        <f>SUMIFS('2026'!$N:$N,'2026'!$J:$J,$B20&amp;$C20,'2026'!$O:$O,O$4)</f>
        <v>0</v>
      </c>
      <c r="P20" s="61">
        <f t="shared" si="5"/>
        <v>189.16249999999999</v>
      </c>
      <c r="Q20" s="61">
        <f t="shared" si="5"/>
        <v>330.36666666666667</v>
      </c>
      <c r="R20" s="8">
        <f>P20-Q20</f>
        <v>-141.20416666666668</v>
      </c>
      <c r="S20" s="9">
        <f>IF(ISERROR(R20/Q20),"",R20/Q20)</f>
        <v>-0.42741650691151251</v>
      </c>
      <c r="T20" s="61">
        <v>1132.8208333333332</v>
      </c>
    </row>
    <row r="21" spans="1:29" ht="15" customHeight="1">
      <c r="A21" s="2" t="s">
        <v>29</v>
      </c>
      <c r="B21" s="35">
        <v>5911</v>
      </c>
      <c r="C21" s="36" t="s">
        <v>29</v>
      </c>
      <c r="D21" s="42">
        <f>SUMIFS('2026'!$N:$N,'2026'!$J:$J,$B21&amp;$C21,'2026'!$O:$O,D$4)</f>
        <v>2608.9333333333338</v>
      </c>
      <c r="E21" s="42">
        <f>SUMIFS('2026'!$N:$N,'2026'!$J:$J,$B21&amp;$C21,'2026'!$O:$O,E$4)</f>
        <v>3068.3333333333339</v>
      </c>
      <c r="F21" s="42">
        <f>SUMIFS('2026'!$N:$N,'2026'!$J:$J,$B21&amp;$C21,'2026'!$O:$O,F$4)</f>
        <v>3923.3916666666669</v>
      </c>
      <c r="G21" s="42">
        <f>SUMIFS('2026'!$N:$N,'2026'!$J:$J,$B21&amp;$C21,'2026'!$O:$O,G$4)</f>
        <v>2927.5833333333335</v>
      </c>
      <c r="H21" s="42">
        <f>SUMIFS('2026'!$N:$N,'2026'!$J:$J,$B21&amp;$C21,'2026'!$O:$O,H$4)</f>
        <v>3265.625</v>
      </c>
      <c r="I21" s="42">
        <f>SUMIFS('2026'!$N:$N,'2026'!$J:$J,$B21&amp;$C21,'2026'!$O:$O,I$4)</f>
        <v>3008</v>
      </c>
      <c r="J21" s="42">
        <f>SUMIFS('2026'!$N:$N,'2026'!$J:$J,$B21&amp;$C21,'2026'!$O:$O,J$4)</f>
        <v>3181.7142857142858</v>
      </c>
      <c r="K21" s="42">
        <f>SUMIFS('2026'!$N:$N,'2026'!$J:$J,$B21&amp;$C21,'2026'!$O:$O,K$4)</f>
        <v>3200</v>
      </c>
      <c r="L21" s="42">
        <f>SUMIFS('2026'!$N:$N,'2026'!$J:$J,$B21&amp;$C21,'2026'!$O:$O,L$4)</f>
        <v>2350</v>
      </c>
      <c r="M21" s="42">
        <f>SUMIFS('2026'!$N:$N,'2026'!$J:$J,$B21&amp;$C21,'2026'!$O:$O,M$4)</f>
        <v>1566.6666666666667</v>
      </c>
      <c r="N21" s="42">
        <f>SUMIFS('2026'!$N:$N,'2026'!$J:$J,$B21&amp;$C21,'2026'!$O:$O,N$4)</f>
        <v>0</v>
      </c>
      <c r="O21" s="42">
        <f>SUMIFS('2026'!$N:$N,'2026'!$J:$J,$B21&amp;$C21,'2026'!$O:$O,O$4)</f>
        <v>1666.6666666666667</v>
      </c>
      <c r="P21" s="61">
        <f t="shared" si="5"/>
        <v>30766.914285714291</v>
      </c>
      <c r="Q21" s="61">
        <f t="shared" si="5"/>
        <v>58924.895238095247</v>
      </c>
      <c r="R21" s="8">
        <f>P21-Q21</f>
        <v>-28157.980952380956</v>
      </c>
      <c r="S21" s="9">
        <f>IF(ISERROR(R21/Q21),"",R21/Q21)</f>
        <v>-0.4778622149195893</v>
      </c>
      <c r="T21" s="61">
        <v>34324.283333333333</v>
      </c>
    </row>
    <row r="22" spans="1:29" ht="15" customHeight="1">
      <c r="B22" s="10"/>
      <c r="C22" s="90" t="s">
        <v>97</v>
      </c>
      <c r="D22" s="11">
        <f t="shared" ref="D22:N22" si="6">SUM(D18:D21)</f>
        <v>2656.8916666666673</v>
      </c>
      <c r="E22" s="11">
        <f t="shared" si="6"/>
        <v>3105.1000000000008</v>
      </c>
      <c r="F22" s="11">
        <f t="shared" si="6"/>
        <v>3979.8291666666669</v>
      </c>
      <c r="G22" s="11">
        <f t="shared" si="6"/>
        <v>2975.5833333333335</v>
      </c>
      <c r="H22" s="11">
        <f t="shared" si="6"/>
        <v>3265.625</v>
      </c>
      <c r="I22" s="11">
        <f t="shared" si="6"/>
        <v>3008</v>
      </c>
      <c r="J22" s="11">
        <f t="shared" si="6"/>
        <v>3181.7142857142858</v>
      </c>
      <c r="K22" s="11">
        <f t="shared" si="6"/>
        <v>3200</v>
      </c>
      <c r="L22" s="11">
        <f t="shared" si="6"/>
        <v>2350</v>
      </c>
      <c r="M22" s="11">
        <f t="shared" si="6"/>
        <v>1566.6666666666667</v>
      </c>
      <c r="N22" s="11">
        <f t="shared" si="6"/>
        <v>0</v>
      </c>
      <c r="O22" s="11">
        <f>SUM(O18:O21)</f>
        <v>1666.6666666666667</v>
      </c>
      <c r="P22" s="11">
        <f>SUM(P18:P21)</f>
        <v>30956.076785714289</v>
      </c>
      <c r="Q22" s="11">
        <f>SUM(Q18:Q21)</f>
        <v>59255.261904761916</v>
      </c>
      <c r="R22" s="11">
        <f t="shared" ref="R22" si="7">SUM(R18:R21)</f>
        <v>-28299.185119047623</v>
      </c>
      <c r="S22" s="12">
        <f>IF(ISERROR(R22/Q22),"",R22/Q22)</f>
        <v>-0.4775809642784386</v>
      </c>
      <c r="T22" s="11">
        <v>35457.104166666664</v>
      </c>
    </row>
    <row r="23" spans="1:29" ht="15" customHeight="1">
      <c r="D23" s="45"/>
      <c r="E23" s="43"/>
      <c r="F23" s="44"/>
      <c r="G23" s="46"/>
      <c r="H23" s="46"/>
      <c r="I23" s="46"/>
      <c r="J23" s="47"/>
      <c r="K23" s="47"/>
      <c r="L23" s="47"/>
      <c r="M23" s="48"/>
      <c r="N23" s="48"/>
      <c r="O23" s="48"/>
      <c r="P23" s="15"/>
      <c r="Q23" s="15"/>
      <c r="T23" s="15"/>
    </row>
    <row r="24" spans="1:29" ht="15" customHeight="1">
      <c r="B24" s="34"/>
      <c r="C24" s="1094" t="s">
        <v>98</v>
      </c>
      <c r="D24" s="1095"/>
      <c r="E24" s="1095"/>
      <c r="F24" s="1095"/>
      <c r="G24" s="1095"/>
      <c r="H24" s="1095"/>
      <c r="I24" s="1095"/>
      <c r="J24" s="1095"/>
      <c r="K24" s="1095"/>
      <c r="L24" s="1095"/>
      <c r="M24" s="1095"/>
      <c r="N24" s="1095"/>
      <c r="O24" s="1095"/>
      <c r="R24" s="31" t="s">
        <v>94</v>
      </c>
      <c r="S24" s="32"/>
    </row>
    <row r="25" spans="1:29" s="3" customFormat="1">
      <c r="B25" s="4"/>
      <c r="C25" s="4" t="s">
        <v>17</v>
      </c>
      <c r="D25" s="5" t="s">
        <v>68</v>
      </c>
      <c r="E25" s="5" t="s">
        <v>69</v>
      </c>
      <c r="F25" s="5" t="s">
        <v>70</v>
      </c>
      <c r="G25" s="5" t="s">
        <v>71</v>
      </c>
      <c r="H25" s="5" t="s">
        <v>72</v>
      </c>
      <c r="I25" s="5" t="s">
        <v>73</v>
      </c>
      <c r="J25" s="5" t="s">
        <v>74</v>
      </c>
      <c r="K25" s="5" t="s">
        <v>75</v>
      </c>
      <c r="L25" s="5" t="s">
        <v>76</v>
      </c>
      <c r="M25" s="5" t="s">
        <v>77</v>
      </c>
      <c r="N25" s="5" t="s">
        <v>78</v>
      </c>
      <c r="O25" s="5" t="s">
        <v>79</v>
      </c>
      <c r="P25" s="187" t="str">
        <f>P$4</f>
        <v>2026 MRF3</v>
      </c>
      <c r="Q25" s="188" t="str">
        <f>Q$4</f>
        <v>2026 MRF2</v>
      </c>
      <c r="R25" s="5" t="str">
        <f t="shared" ref="R25:S25" si="8">R$4</f>
        <v>Difference</v>
      </c>
      <c r="S25" s="6" t="str">
        <f t="shared" si="8"/>
        <v>% change</v>
      </c>
      <c r="T25" s="187" t="s">
        <v>1186</v>
      </c>
    </row>
    <row r="26" spans="1:29" ht="15" customHeight="1">
      <c r="A26" s="2" t="s">
        <v>23</v>
      </c>
      <c r="B26" s="36">
        <v>2904</v>
      </c>
      <c r="C26" s="36" t="s">
        <v>23</v>
      </c>
      <c r="D26" s="42">
        <f>SUMIFS('2026'!$N:$N,'2026'!$J:$J,$B26&amp;$C26,'2026'!$O:$O,D$4)</f>
        <v>5177.8173701298674</v>
      </c>
      <c r="E26" s="42">
        <f>SUMIFS('2026'!$N:$N,'2026'!$J:$J,$B26&amp;$C26,'2026'!$O:$O,E$4)</f>
        <v>6048.2970779220786</v>
      </c>
      <c r="F26" s="42">
        <f>SUMIFS('2026'!$N:$N,'2026'!$J:$J,$B26&amp;$C26,'2026'!$O:$O,F$4)</f>
        <v>7508.0312987012976</v>
      </c>
      <c r="G26" s="42">
        <f>SUMIFS('2026'!$N:$N,'2026'!$J:$J,$B26&amp;$C26,'2026'!$O:$O,G$4)</f>
        <v>6385.2475649350645</v>
      </c>
      <c r="H26" s="42">
        <f>SUMIFS('2026'!$N:$N,'2026'!$J:$J,$B26&amp;$C26,'2026'!$O:$O,H$4)</f>
        <v>5607.1915584415574</v>
      </c>
      <c r="I26" s="42">
        <f>SUMIFS('2026'!$N:$N,'2026'!$J:$J,$B26&amp;$C26,'2026'!$O:$O,I$4)</f>
        <v>5597.9625974025957</v>
      </c>
      <c r="J26" s="42">
        <f>SUMIFS('2026'!$N:$N,'2026'!$J:$J,$B26&amp;$C26,'2026'!$O:$O,J$4)</f>
        <v>5805.2945454545452</v>
      </c>
      <c r="K26" s="42">
        <f>SUMIFS('2026'!$N:$N,'2026'!$J:$J,$B26&amp;$C26,'2026'!$O:$O,K$4)</f>
        <v>6219.9584415584422</v>
      </c>
      <c r="L26" s="42">
        <f>SUMIFS('2026'!$N:$N,'2026'!$J:$J,$B26&amp;$C26,'2026'!$O:$O,L$4)</f>
        <v>5914.488636363636</v>
      </c>
      <c r="M26" s="42">
        <f>SUMIFS('2026'!$N:$N,'2026'!$J:$J,$B26&amp;$C26,'2026'!$O:$O,M$4)</f>
        <v>4321.7098701298701</v>
      </c>
      <c r="N26" s="42">
        <f>SUMIFS('2026'!$N:$N,'2026'!$J:$J,$B26&amp;$C26,'2026'!$O:$O,N$4)</f>
        <v>3674.84</v>
      </c>
      <c r="O26" s="42">
        <f>SUMIFS('2026'!$N:$N,'2026'!$J:$J,$B26&amp;$C26,'2026'!$O:$O,O$4)</f>
        <v>3674.84</v>
      </c>
      <c r="P26" s="42">
        <f t="shared" ref="P26:Q40" si="9">SUM(D26:O26)</f>
        <v>65935.678961038953</v>
      </c>
      <c r="Q26" s="42">
        <f t="shared" si="9"/>
        <v>126693.54055194803</v>
      </c>
      <c r="R26" s="8">
        <f t="shared" ref="R26:R32" si="10">P26-Q26</f>
        <v>-60757.861590909073</v>
      </c>
      <c r="S26" s="9">
        <f>IF(ISERROR(R26/Q26),"",R26/Q26)</f>
        <v>-0.47956558263518245</v>
      </c>
      <c r="T26" s="42">
        <v>70032.997564935067</v>
      </c>
      <c r="U26" s="40"/>
      <c r="V26" s="40"/>
      <c r="W26" s="1033">
        <f>X26*V27</f>
        <v>21.821846435100547</v>
      </c>
      <c r="X26" s="1038">
        <v>25.67</v>
      </c>
      <c r="Y26" s="40"/>
      <c r="Z26" s="40"/>
      <c r="AA26" s="40"/>
      <c r="AB26" s="40"/>
      <c r="AC26" s="40"/>
    </row>
    <row r="27" spans="1:29" ht="15" customHeight="1">
      <c r="A27" s="2" t="s">
        <v>31</v>
      </c>
      <c r="B27" s="36">
        <v>2904</v>
      </c>
      <c r="C27" s="36" t="s">
        <v>31</v>
      </c>
      <c r="D27" s="42">
        <f>SUMIFS('2026'!$N:$N,'2026'!$J:$J,$B27&amp;$C27,'2026'!$O:$O,D$4)</f>
        <v>339.46969696969694</v>
      </c>
      <c r="E27" s="42">
        <f>SUMIFS('2026'!$N:$N,'2026'!$J:$J,$B27&amp;$C27,'2026'!$O:$O,E$4)</f>
        <v>419.05303030303025</v>
      </c>
      <c r="F27" s="42">
        <f>SUMIFS('2026'!$N:$N,'2026'!$J:$J,$B27&amp;$C27,'2026'!$O:$O,F$4)</f>
        <v>650.29151515151511</v>
      </c>
      <c r="G27" s="42">
        <f>SUMIFS('2026'!$N:$N,'2026'!$J:$J,$B27&amp;$C27,'2026'!$O:$O,G$4)</f>
        <v>549.81818181818187</v>
      </c>
      <c r="H27" s="42">
        <f>SUMIFS('2026'!$N:$N,'2026'!$J:$J,$B27&amp;$C27,'2026'!$O:$O,H$4)</f>
        <v>471.27272727272725</v>
      </c>
      <c r="I27" s="42">
        <f>SUMIFS('2026'!$N:$N,'2026'!$J:$J,$B27&amp;$C27,'2026'!$O:$O,I$4)</f>
        <v>0</v>
      </c>
      <c r="J27" s="42">
        <f>SUMIFS('2026'!$N:$N,'2026'!$J:$J,$B27&amp;$C27,'2026'!$O:$O,J$4)</f>
        <v>0</v>
      </c>
      <c r="K27" s="42">
        <f>SUMIFS('2026'!$N:$N,'2026'!$J:$J,$B27&amp;$C27,'2026'!$O:$O,K$4)</f>
        <v>0</v>
      </c>
      <c r="L27" s="42">
        <f>SUMIFS('2026'!$N:$N,'2026'!$J:$J,$B27&amp;$C27,'2026'!$O:$O,L$4)</f>
        <v>0</v>
      </c>
      <c r="M27" s="42">
        <f>SUMIFS('2026'!$N:$N,'2026'!$J:$J,$B27&amp;$C27,'2026'!$O:$O,M$4)</f>
        <v>0</v>
      </c>
      <c r="N27" s="42">
        <f>SUMIFS('2026'!$N:$N,'2026'!$J:$J,$B27&amp;$C27,'2026'!$O:$O,N$4)</f>
        <v>0</v>
      </c>
      <c r="O27" s="42">
        <f>SUMIFS('2026'!$N:$N,'2026'!$J:$J,$B27&amp;$C27,'2026'!$O:$O,O$4)</f>
        <v>0</v>
      </c>
      <c r="P27" s="42">
        <f t="shared" si="9"/>
        <v>2429.9051515151514</v>
      </c>
      <c r="Q27" s="42">
        <f t="shared" si="9"/>
        <v>4520.3406060606058</v>
      </c>
      <c r="R27" s="8">
        <f t="shared" si="10"/>
        <v>-2090.4354545454544</v>
      </c>
      <c r="S27" s="9">
        <f>IF(ISERROR(R27/Q27),"",R27/Q27)</f>
        <v>-0.46245087189729067</v>
      </c>
      <c r="T27" s="42">
        <v>6054.825757575758</v>
      </c>
      <c r="U27" s="28"/>
      <c r="V27" s="1042">
        <f>W27/X27</f>
        <v>0.85009140767824487</v>
      </c>
      <c r="W27" s="1034">
        <v>13.95</v>
      </c>
      <c r="X27" s="1039">
        <v>16.41</v>
      </c>
      <c r="Y27" s="28"/>
      <c r="Z27" s="28"/>
      <c r="AA27" s="28"/>
      <c r="AB27" s="28"/>
      <c r="AC27" s="28"/>
    </row>
    <row r="28" spans="1:29" ht="15" customHeight="1">
      <c r="A28" s="2" t="s">
        <v>27</v>
      </c>
      <c r="B28" s="36">
        <v>2904</v>
      </c>
      <c r="C28" s="36" t="s">
        <v>27</v>
      </c>
      <c r="D28" s="42">
        <f>SUMIFS('2026'!$N:$N,'2026'!$J:$J,$B28&amp;$C28,'2026'!$O:$O,D$4)</f>
        <v>0</v>
      </c>
      <c r="E28" s="42">
        <f>SUMIFS('2026'!$N:$N,'2026'!$J:$J,$B28&amp;$C28,'2026'!$O:$O,E$4)</f>
        <v>0</v>
      </c>
      <c r="F28" s="42">
        <f>SUMIFS('2026'!$N:$N,'2026'!$J:$J,$B28&amp;$C28,'2026'!$O:$O,F$4)</f>
        <v>0</v>
      </c>
      <c r="G28" s="42">
        <f>SUMIFS('2026'!$N:$N,'2026'!$J:$J,$B28&amp;$C28,'2026'!$O:$O,G$4)</f>
        <v>0</v>
      </c>
      <c r="H28" s="42">
        <f>SUMIFS('2026'!$N:$N,'2026'!$J:$J,$B28&amp;$C28,'2026'!$O:$O,H$4)</f>
        <v>0</v>
      </c>
      <c r="I28" s="42">
        <f>SUMIFS('2026'!$N:$N,'2026'!$J:$J,$B28&amp;$C28,'2026'!$O:$O,I$4)</f>
        <v>0</v>
      </c>
      <c r="J28" s="42">
        <f>SUMIFS('2026'!$N:$N,'2026'!$J:$J,$B28&amp;$C28,'2026'!$O:$O,J$4)</f>
        <v>0</v>
      </c>
      <c r="K28" s="42">
        <f>SUMIFS('2026'!$N:$N,'2026'!$J:$J,$B28&amp;$C28,'2026'!$O:$O,K$4)</f>
        <v>0</v>
      </c>
      <c r="L28" s="42">
        <f>SUMIFS('2026'!$N:$N,'2026'!$J:$J,$B28&amp;$C28,'2026'!$O:$O,L$4)</f>
        <v>0</v>
      </c>
      <c r="M28" s="42">
        <f>SUMIFS('2026'!$N:$N,'2026'!$J:$J,$B28&amp;$C28,'2026'!$O:$O,M$4)</f>
        <v>0</v>
      </c>
      <c r="N28" s="42">
        <f>SUMIFS('2026'!$N:$N,'2026'!$J:$J,$B28&amp;$C28,'2026'!$O:$O,N$4)</f>
        <v>0</v>
      </c>
      <c r="O28" s="42">
        <f>SUMIFS('2026'!$N:$N,'2026'!$J:$J,$B28&amp;$C28,'2026'!$O:$O,O$4)</f>
        <v>0</v>
      </c>
      <c r="P28" s="42">
        <f t="shared" si="9"/>
        <v>0</v>
      </c>
      <c r="Q28" s="42">
        <f t="shared" si="9"/>
        <v>0</v>
      </c>
      <c r="R28" s="8">
        <f t="shared" si="10"/>
        <v>0</v>
      </c>
      <c r="S28" s="9" t="str">
        <f>IF(ISERROR(R28/Q28),"",R28/Q28)</f>
        <v/>
      </c>
      <c r="T28" s="42">
        <v>0</v>
      </c>
      <c r="V28" s="1042">
        <f>W28/X28</f>
        <v>0.8501783590963139</v>
      </c>
      <c r="W28" s="1035">
        <v>7.15</v>
      </c>
      <c r="X28" s="1040">
        <v>8.41</v>
      </c>
    </row>
    <row r="29" spans="1:29" ht="15" customHeight="1">
      <c r="A29" s="2" t="s">
        <v>38</v>
      </c>
      <c r="B29" s="36">
        <v>2904</v>
      </c>
      <c r="C29" s="36" t="s">
        <v>38</v>
      </c>
      <c r="D29" s="42">
        <f>SUMIFS('2026'!$N:$N,'2026'!$J:$J,$B29&amp;$C29,'2026'!$O:$O,D$4)</f>
        <v>0</v>
      </c>
      <c r="E29" s="42">
        <f>SUMIFS('2026'!$N:$N,'2026'!$J:$J,$B29&amp;$C29,'2026'!$O:$O,E$4)</f>
        <v>355.1</v>
      </c>
      <c r="F29" s="42">
        <f>SUMIFS('2026'!$N:$N,'2026'!$J:$J,$B29&amp;$C29,'2026'!$O:$O,F$4)</f>
        <v>6.25E-2</v>
      </c>
      <c r="G29" s="42">
        <f>SUMIFS('2026'!$N:$N,'2026'!$J:$J,$B29&amp;$C29,'2026'!$O:$O,G$4)</f>
        <v>168</v>
      </c>
      <c r="H29" s="42">
        <f>SUMIFS('2026'!$N:$N,'2026'!$J:$J,$B29&amp;$C29,'2026'!$O:$O,H$4)</f>
        <v>264</v>
      </c>
      <c r="I29" s="42">
        <f>SUMIFS('2026'!$N:$N,'2026'!$J:$J,$B29&amp;$C29,'2026'!$O:$O,I$4)</f>
        <v>0</v>
      </c>
      <c r="J29" s="42">
        <f>SUMIFS('2026'!$N:$N,'2026'!$J:$J,$B29&amp;$C29,'2026'!$O:$O,J$4)</f>
        <v>69.599374999999995</v>
      </c>
      <c r="K29" s="42">
        <f>SUMIFS('2026'!$N:$N,'2026'!$J:$J,$B29&amp;$C29,'2026'!$O:$O,K$4)</f>
        <v>92.79916666666665</v>
      </c>
      <c r="L29" s="42">
        <f>SUMIFS('2026'!$N:$N,'2026'!$J:$J,$B29&amp;$C29,'2026'!$O:$O,L$4)</f>
        <v>89.802708333333314</v>
      </c>
      <c r="M29" s="42">
        <f>SUMIFS('2026'!$N:$N,'2026'!$J:$J,$B29&amp;$C29,'2026'!$O:$O,M$4)</f>
        <v>92.79916666666665</v>
      </c>
      <c r="N29" s="42">
        <f>SUMIFS('2026'!$N:$N,'2026'!$J:$J,$B29&amp;$C29,'2026'!$O:$O,N$4)</f>
        <v>89.802708333333314</v>
      </c>
      <c r="O29" s="42">
        <f>SUMIFS('2026'!$N:$N,'2026'!$J:$J,$B29&amp;$C29,'2026'!$O:$O,O$4)</f>
        <v>92.79916666666665</v>
      </c>
      <c r="P29" s="42">
        <f t="shared" si="9"/>
        <v>1314.7647916666667</v>
      </c>
      <c r="Q29" s="42">
        <f t="shared" si="9"/>
        <v>2629.5295833333334</v>
      </c>
      <c r="R29" s="8">
        <f t="shared" si="10"/>
        <v>-1314.7647916666667</v>
      </c>
      <c r="S29" s="9">
        <f>IF(ISERROR(R29/Q29),"",R29/Q29)</f>
        <v>-0.5</v>
      </c>
      <c r="T29" s="42">
        <v>0</v>
      </c>
      <c r="W29" s="1036"/>
      <c r="X29" s="1040"/>
    </row>
    <row r="30" spans="1:29" s="68" customFormat="1" ht="15" customHeight="1">
      <c r="A30" s="2" t="s">
        <v>36</v>
      </c>
      <c r="B30" s="36">
        <v>2904</v>
      </c>
      <c r="C30" s="36" t="s">
        <v>36</v>
      </c>
      <c r="D30" s="42">
        <f>SUMIFS('2026'!$N:$N,'2026'!$J:$J,$B30&amp;$C30,'2026'!$O:$O,D$4)</f>
        <v>362.84415584415581</v>
      </c>
      <c r="E30" s="42">
        <f>SUMIFS('2026'!$N:$N,'2026'!$J:$J,$B30&amp;$C30,'2026'!$O:$O,E$4)</f>
        <v>498.85064935064923</v>
      </c>
      <c r="F30" s="42">
        <f>SUMIFS('2026'!$N:$N,'2026'!$J:$J,$B30&amp;$C30,'2026'!$O:$O,F$4)</f>
        <v>531.15506493506484</v>
      </c>
      <c r="G30" s="42">
        <f>SUMIFS('2026'!$N:$N,'2026'!$J:$J,$B30&amp;$C30,'2026'!$O:$O,G$4)</f>
        <v>602.80519480519479</v>
      </c>
      <c r="H30" s="42">
        <f>SUMIFS('2026'!$N:$N,'2026'!$J:$J,$B30&amp;$C30,'2026'!$O:$O,H$4)</f>
        <v>448.83116883116884</v>
      </c>
      <c r="I30" s="42">
        <f>SUMIFS('2026'!$N:$N,'2026'!$J:$J,$B30&amp;$C30,'2026'!$O:$O,I$4)</f>
        <v>524.35064935064941</v>
      </c>
      <c r="J30" s="42">
        <f>SUMIFS('2026'!$N:$N,'2026'!$J:$J,$B30&amp;$C30,'2026'!$O:$O,J$4)</f>
        <v>603.0032467532468</v>
      </c>
      <c r="K30" s="42">
        <f>SUMIFS('2026'!$N:$N,'2026'!$J:$J,$B30&amp;$C30,'2026'!$O:$O,K$4)</f>
        <v>576.78571428571433</v>
      </c>
      <c r="L30" s="42">
        <f>SUMIFS('2026'!$N:$N,'2026'!$J:$J,$B30&amp;$C30,'2026'!$O:$O,L$4)</f>
        <v>550.56818181818187</v>
      </c>
      <c r="M30" s="42">
        <f>SUMIFS('2026'!$N:$N,'2026'!$J:$J,$B30&amp;$C30,'2026'!$O:$O,M$4)</f>
        <v>550.56818181818187</v>
      </c>
      <c r="N30" s="42">
        <f>SUMIFS('2026'!$N:$N,'2026'!$J:$J,$B30&amp;$C30,'2026'!$O:$O,N$4)</f>
        <v>0</v>
      </c>
      <c r="O30" s="42">
        <f>SUMIFS('2026'!$N:$N,'2026'!$J:$J,$B30&amp;$C30,'2026'!$O:$O,O$4)</f>
        <v>0</v>
      </c>
      <c r="P30" s="65">
        <f t="shared" si="9"/>
        <v>5249.7622077922078</v>
      </c>
      <c r="Q30" s="65">
        <f t="shared" si="9"/>
        <v>10136.68025974026</v>
      </c>
      <c r="R30" s="29">
        <f t="shared" si="10"/>
        <v>-4886.9180519480524</v>
      </c>
      <c r="S30" s="9">
        <f t="shared" ref="S30:S40" si="11">IF(ISERROR(R30/Q30),"",R30/Q30)</f>
        <v>-0.48210241683930488</v>
      </c>
      <c r="T30" s="65">
        <v>4839.454545454546</v>
      </c>
      <c r="W30" s="1037"/>
      <c r="X30" s="1041"/>
    </row>
    <row r="31" spans="1:29" ht="15.6" customHeight="1">
      <c r="A31" s="2" t="s">
        <v>37</v>
      </c>
      <c r="B31" s="36">
        <v>2904</v>
      </c>
      <c r="C31" s="36" t="s">
        <v>37</v>
      </c>
      <c r="D31" s="42">
        <f>SUMIFS('2026'!$N:$N,'2026'!$J:$J,$B31&amp;$C31,'2026'!$O:$O,D$4)</f>
        <v>3044.144111542616</v>
      </c>
      <c r="E31" s="42">
        <f>SUMIFS('2026'!$N:$N,'2026'!$J:$J,$B31&amp;$C31,'2026'!$O:$O,E$4)</f>
        <v>3334.6144816897104</v>
      </c>
      <c r="F31" s="42">
        <f>SUMIFS('2026'!$N:$N,'2026'!$J:$J,$B31&amp;$C31,'2026'!$O:$O,F$4)</f>
        <v>2948.5017202033932</v>
      </c>
      <c r="G31" s="42">
        <f>SUMIFS('2026'!$N:$N,'2026'!$J:$J,$B31&amp;$C31,'2026'!$O:$O,G$4)</f>
        <v>4038.4421184404955</v>
      </c>
      <c r="H31" s="42">
        <f>SUMIFS('2026'!$N:$N,'2026'!$J:$J,$B31&amp;$C31,'2026'!$O:$O,H$4)</f>
        <v>3964.7046559030332</v>
      </c>
      <c r="I31" s="42">
        <f>SUMIFS('2026'!$N:$N,'2026'!$J:$J,$B31&amp;$C31,'2026'!$O:$O,I$4)</f>
        <v>3908.1206293706291</v>
      </c>
      <c r="J31" s="42">
        <f>SUMIFS('2026'!$N:$N,'2026'!$J:$J,$B31&amp;$C31,'2026'!$O:$O,J$4)</f>
        <v>3999.8622211122211</v>
      </c>
      <c r="K31" s="42">
        <f>SUMIFS('2026'!$N:$N,'2026'!$J:$J,$B31&amp;$C31,'2026'!$O:$O,K$4)</f>
        <v>3805.5044955044955</v>
      </c>
      <c r="L31" s="42">
        <f>SUMIFS('2026'!$N:$N,'2026'!$J:$J,$B31&amp;$C31,'2026'!$O:$O,L$4)</f>
        <v>3291.1604020979021</v>
      </c>
      <c r="M31" s="42">
        <f>SUMIFS('2026'!$N:$N,'2026'!$J:$J,$B31&amp;$C31,'2026'!$O:$O,M$4)</f>
        <v>889.77688977688979</v>
      </c>
      <c r="N31" s="42">
        <f>SUMIFS('2026'!$N:$N,'2026'!$J:$J,$B31&amp;$C31,'2026'!$O:$O,N$4)</f>
        <v>0</v>
      </c>
      <c r="O31" s="42">
        <f>SUMIFS('2026'!$N:$N,'2026'!$J:$J,$B31&amp;$C31,'2026'!$O:$O,O$4)</f>
        <v>0</v>
      </c>
      <c r="P31" s="42">
        <f t="shared" si="9"/>
        <v>33224.831725641379</v>
      </c>
      <c r="Q31" s="42">
        <f t="shared" si="9"/>
        <v>63405.519339740145</v>
      </c>
      <c r="R31" s="8">
        <f t="shared" si="10"/>
        <v>-30180.687614098766</v>
      </c>
      <c r="S31" s="9">
        <f t="shared" si="11"/>
        <v>-0.47599464413159803</v>
      </c>
      <c r="T31" s="42">
        <v>36852.003262516722</v>
      </c>
      <c r="W31" s="1036"/>
      <c r="X31" s="1040"/>
    </row>
    <row r="32" spans="1:29" ht="15.6" customHeight="1">
      <c r="A32" s="2" t="s">
        <v>37</v>
      </c>
      <c r="B32" s="36">
        <v>2904</v>
      </c>
      <c r="C32" s="36" t="s">
        <v>99</v>
      </c>
      <c r="D32" s="42">
        <f>SUMIFS('2026'!$N:$N,'2026'!$J:$J,$B32&amp;$C32,'2026'!$O:$O,D$4)</f>
        <v>0</v>
      </c>
      <c r="E32" s="42">
        <f>SUMIFS('2026'!$N:$N,'2026'!$J:$J,$B32&amp;$C32,'2026'!$O:$O,E$4)</f>
        <v>0</v>
      </c>
      <c r="F32" s="42">
        <f>SUMIFS('2026'!$N:$N,'2026'!$J:$J,$B32&amp;$C32,'2026'!$O:$O,F$4)</f>
        <v>0</v>
      </c>
      <c r="G32" s="42">
        <f>SUMIFS('2026'!$N:$N,'2026'!$J:$J,$B32&amp;$C32,'2026'!$O:$O,G$4)</f>
        <v>0</v>
      </c>
      <c r="H32" s="42">
        <f>SUMIFS('2026'!$N:$N,'2026'!$J:$J,$B32&amp;$C32,'2026'!$O:$O,H$4)</f>
        <v>0</v>
      </c>
      <c r="I32" s="42">
        <f>SUMIFS('2026'!$N:$N,'2026'!$J:$J,$B32&amp;$C32,'2026'!$O:$O,I$4)</f>
        <v>0</v>
      </c>
      <c r="J32" s="42">
        <f>SUMIFS('2026'!$N:$N,'2026'!$J:$J,$B32&amp;$C32,'2026'!$O:$O,J$4)</f>
        <v>0</v>
      </c>
      <c r="K32" s="42">
        <f>SUMIFS('2026'!$N:$N,'2026'!$J:$J,$B32&amp;$C32,'2026'!$O:$O,K$4)</f>
        <v>0</v>
      </c>
      <c r="L32" s="42">
        <f>SUMIFS('2026'!$N:$N,'2026'!$J:$J,$B32&amp;$C32,'2026'!$O:$O,L$4)</f>
        <v>0</v>
      </c>
      <c r="M32" s="42">
        <f>SUMIFS('2026'!$N:$N,'2026'!$J:$J,$B32&amp;$C32,'2026'!$O:$O,M$4)</f>
        <v>0</v>
      </c>
      <c r="N32" s="42">
        <f>SUMIFS('2026'!$N:$N,'2026'!$J:$J,$B32&amp;$C32,'2026'!$O:$O,N$4)</f>
        <v>0</v>
      </c>
      <c r="O32" s="42">
        <f>SUMIFS('2026'!$N:$N,'2026'!$J:$J,$B32&amp;$C32,'2026'!$O:$O,O$4)</f>
        <v>0</v>
      </c>
      <c r="P32" s="42">
        <f t="shared" si="9"/>
        <v>0</v>
      </c>
      <c r="Q32" s="42">
        <f t="shared" si="9"/>
        <v>0</v>
      </c>
      <c r="R32" s="8">
        <f t="shared" si="10"/>
        <v>0</v>
      </c>
      <c r="S32" s="9" t="str">
        <f t="shared" si="11"/>
        <v/>
      </c>
      <c r="T32" s="42">
        <v>683.97159090909099</v>
      </c>
      <c r="W32" s="1036">
        <f>SUM(W26:W28)</f>
        <v>42.921846435100541</v>
      </c>
      <c r="X32" s="1036">
        <f>SUM(X26:X28)</f>
        <v>50.489999999999995</v>
      </c>
    </row>
    <row r="33" spans="1:29">
      <c r="A33" s="2" t="s">
        <v>44</v>
      </c>
      <c r="B33" s="36">
        <v>2904</v>
      </c>
      <c r="C33" s="36" t="s">
        <v>44</v>
      </c>
      <c r="D33" s="42">
        <f>SUMIFS('2026'!$N:$N,'2026'!$J:$J,$B33&amp;$C33,'2026'!$O:$O,D$4)</f>
        <v>1897.8363636363638</v>
      </c>
      <c r="E33" s="840">
        <f>SUMIFS('2026'!$N:$N,'2026'!$J:$J,$B33&amp;$C33,'2026'!$O:$O,E$4)</f>
        <v>2304.9696969696965</v>
      </c>
      <c r="F33" s="42">
        <f>SUMIFS('2026'!$N:$N,'2026'!$J:$J,$B33&amp;$C33,'2026'!$O:$O,F$4)</f>
        <v>1782.4909090909091</v>
      </c>
      <c r="G33" s="42">
        <f>SUMIFS('2026'!$N:$N,'2026'!$J:$J,$B33&amp;$C33,'2026'!$O:$O,G$4)</f>
        <v>1795.1999999999998</v>
      </c>
      <c r="H33" s="42">
        <f>SUMIFS('2026'!$N:$N,'2026'!$J:$J,$B33&amp;$C33,'2026'!$O:$O,H$4)</f>
        <v>1745.4545454545455</v>
      </c>
      <c r="I33" s="42">
        <f>SUMIFS('2026'!$N:$N,'2026'!$J:$J,$B33&amp;$C33,'2026'!$O:$O,I$4)</f>
        <v>1668.5454545454545</v>
      </c>
      <c r="J33" s="42">
        <f>SUMIFS('2026'!$N:$N,'2026'!$J:$J,$B33&amp;$C33,'2026'!$O:$O,J$4)</f>
        <v>1728.1363636363637</v>
      </c>
      <c r="K33" s="42">
        <f>SUMIFS('2026'!$N:$N,'2026'!$J:$J,$B33&amp;$C33,'2026'!$O:$O,K$4)</f>
        <v>1847.3181818181818</v>
      </c>
      <c r="L33" s="42">
        <f>SUMIFS('2026'!$N:$N,'2026'!$J:$J,$B33&amp;$C33,'2026'!$O:$O,L$4)</f>
        <v>1668.5454545454545</v>
      </c>
      <c r="M33" s="42">
        <f>SUMIFS('2026'!$N:$N,'2026'!$J:$J,$B33&amp;$C33,'2026'!$O:$O,M$4)</f>
        <v>1728.1363636363637</v>
      </c>
      <c r="N33" s="42">
        <f>SUMIFS('2026'!$N:$N,'2026'!$J:$J,$B33&amp;$C33,'2026'!$O:$O,N$4)</f>
        <v>1608.9545454545455</v>
      </c>
      <c r="O33" s="42">
        <f>SUMIFS('2026'!$N:$N,'2026'!$J:$J,$B33&amp;$C33,'2026'!$O:$O,O$4)</f>
        <v>1608.9545454545455</v>
      </c>
      <c r="P33" s="42">
        <f t="shared" si="9"/>
        <v>21384.542424242423</v>
      </c>
      <c r="Q33" s="42">
        <f t="shared" si="9"/>
        <v>40871.248484848482</v>
      </c>
      <c r="R33" s="8">
        <f>P33-Q33</f>
        <v>-19486.706060606059</v>
      </c>
      <c r="S33" s="9">
        <f t="shared" si="11"/>
        <v>-0.47678274540182058</v>
      </c>
      <c r="T33" s="42">
        <v>7843.1757575757583</v>
      </c>
      <c r="X33" s="1040"/>
    </row>
    <row r="34" spans="1:29">
      <c r="A34" s="2" t="s">
        <v>40</v>
      </c>
      <c r="B34" s="36">
        <v>2904</v>
      </c>
      <c r="C34" s="36" t="s">
        <v>100</v>
      </c>
      <c r="D34" s="42">
        <f>SUMIFS('2026'!$N:$N,'2026'!$J:$J,$B34&amp;$C34,'2026'!$O:$O,D$4)</f>
        <v>94.462500000000006</v>
      </c>
      <c r="E34" s="42">
        <f>SUMIFS('2026'!$N:$N,'2026'!$J:$J,$B34&amp;$C34,'2026'!$O:$O,E$4)</f>
        <v>0</v>
      </c>
      <c r="F34" s="42">
        <f>SUMIFS('2026'!$N:$N,'2026'!$J:$J,$B34&amp;$C34,'2026'!$O:$O,F$4)</f>
        <v>288.00900000000001</v>
      </c>
      <c r="G34" s="42">
        <f>SUMIFS('2026'!$N:$N,'2026'!$J:$J,$B34&amp;$C34,'2026'!$O:$O,G$4)</f>
        <v>0</v>
      </c>
      <c r="H34" s="42">
        <f>SUMIFS('2026'!$N:$N,'2026'!$J:$J,$B34&amp;$C34,'2026'!$O:$O,H$4)</f>
        <v>277.2</v>
      </c>
      <c r="I34" s="42">
        <f>SUMIFS('2026'!$N:$N,'2026'!$J:$J,$B34&amp;$C34,'2026'!$O:$O,I$4)</f>
        <v>182.04328230990669</v>
      </c>
      <c r="J34" s="42">
        <f>SUMIFS('2026'!$N:$N,'2026'!$J:$J,$B34&amp;$C34,'2026'!$O:$O,J$4)</f>
        <v>202.2703136776741</v>
      </c>
      <c r="K34" s="42">
        <f>SUMIFS('2026'!$N:$N,'2026'!$J:$J,$B34&amp;$C34,'2026'!$O:$O,K$4)</f>
        <v>222.49734504544148</v>
      </c>
      <c r="L34" s="42">
        <f>SUMIFS('2026'!$N:$N,'2026'!$J:$J,$B34&amp;$C34,'2026'!$O:$O,L$4)</f>
        <v>192.15679799379038</v>
      </c>
      <c r="M34" s="42">
        <f>SUMIFS('2026'!$N:$N,'2026'!$J:$J,$B34&amp;$C34,'2026'!$O:$O,M$4)</f>
        <v>375</v>
      </c>
      <c r="N34" s="42">
        <f>SUMIFS('2026'!$N:$N,'2026'!$J:$J,$B34&amp;$C34,'2026'!$O:$O,N$4)</f>
        <v>182.04328230990669</v>
      </c>
      <c r="O34" s="42">
        <f>SUMIFS('2026'!$N:$N,'2026'!$J:$J,$B34&amp;$C34,'2026'!$O:$O,O$4)</f>
        <v>93.75</v>
      </c>
      <c r="P34" s="42">
        <f t="shared" si="9"/>
        <v>2109.4325213367192</v>
      </c>
      <c r="Q34" s="42">
        <f t="shared" si="9"/>
        <v>4124.4025426734388</v>
      </c>
      <c r="R34" s="8">
        <f>P34-Q34</f>
        <v>-2014.9700213367196</v>
      </c>
      <c r="S34" s="9"/>
      <c r="T34" s="42">
        <v>1527.3958333333335</v>
      </c>
    </row>
    <row r="35" spans="1:29" ht="15" customHeight="1">
      <c r="A35" s="2" t="s">
        <v>29</v>
      </c>
      <c r="B35" s="36">
        <v>2904</v>
      </c>
      <c r="C35" s="36" t="s">
        <v>29</v>
      </c>
      <c r="D35" s="42">
        <f>SUMIFS('2026'!$N:$N,'2026'!$J:$J,$B35&amp;$C35,'2026'!$O:$O,D$4)</f>
        <v>608.9666666666667</v>
      </c>
      <c r="E35" s="42">
        <f>SUMIFS('2026'!$N:$N,'2026'!$J:$J,$B35&amp;$C35,'2026'!$O:$O,E$4)</f>
        <v>149.29999999999998</v>
      </c>
      <c r="F35" s="42">
        <f>SUMIFS('2026'!$N:$N,'2026'!$J:$J,$B35&amp;$C35,'2026'!$O:$O,F$4)</f>
        <v>1345.9843749999998</v>
      </c>
      <c r="G35" s="42">
        <f>SUMIFS('2026'!$N:$N,'2026'!$J:$J,$B35&amp;$C35,'2026'!$O:$O,G$4)</f>
        <v>979.6875</v>
      </c>
      <c r="H35" s="42">
        <f>SUMIFS('2026'!$N:$N,'2026'!$J:$J,$B35&amp;$C35,'2026'!$O:$O,H$4)</f>
        <v>570</v>
      </c>
      <c r="I35" s="42">
        <f>SUMIFS('2026'!$N:$N,'2026'!$J:$J,$B35&amp;$C35,'2026'!$O:$O,I$4)</f>
        <v>880.05</v>
      </c>
      <c r="J35" s="42">
        <f>SUMIFS('2026'!$N:$N,'2026'!$J:$J,$B35&amp;$C35,'2026'!$O:$O,J$4)</f>
        <v>791.5</v>
      </c>
      <c r="K35" s="42">
        <f>SUMIFS('2026'!$N:$N,'2026'!$J:$J,$B35&amp;$C35,'2026'!$O:$O,K$4)</f>
        <v>0</v>
      </c>
      <c r="L35" s="42">
        <f>SUMIFS('2026'!$N:$N,'2026'!$J:$J,$B35&amp;$C35,'2026'!$O:$O,L$4)</f>
        <v>0</v>
      </c>
      <c r="M35" s="42">
        <f>SUMIFS('2026'!$N:$N,'2026'!$J:$J,$B35&amp;$C35,'2026'!$O:$O,M$4)</f>
        <v>15.483333333333333</v>
      </c>
      <c r="N35" s="42">
        <f>SUMIFS('2026'!$N:$N,'2026'!$J:$J,$B35&amp;$C35,'2026'!$O:$O,N$4)</f>
        <v>0</v>
      </c>
      <c r="O35" s="42">
        <f>SUMIFS('2026'!$N:$N,'2026'!$J:$J,$B35&amp;$C35,'2026'!$O:$O,O$4)</f>
        <v>0</v>
      </c>
      <c r="P35" s="42">
        <f t="shared" si="9"/>
        <v>5340.9718750000002</v>
      </c>
      <c r="Q35" s="42">
        <f t="shared" si="9"/>
        <v>10072.977083333333</v>
      </c>
      <c r="R35" s="841">
        <f t="shared" ref="R35:R40" si="12">P35-Q35</f>
        <v>-4732.005208333333</v>
      </c>
      <c r="S35" s="9">
        <f t="shared" si="11"/>
        <v>-0.46977225989751042</v>
      </c>
      <c r="T35" s="42">
        <v>6201.695833333335</v>
      </c>
    </row>
    <row r="36" spans="1:29" ht="15" customHeight="1">
      <c r="A36" s="2" t="s">
        <v>40</v>
      </c>
      <c r="B36" s="36">
        <v>2904</v>
      </c>
      <c r="C36" s="36" t="s">
        <v>101</v>
      </c>
      <c r="D36" s="42">
        <f>SUMIFS('2026'!$N:$N,'2026'!$J:$J,$B36&amp;$C36,'2026'!$O:$O,D$4)</f>
        <v>140.06666666666666</v>
      </c>
      <c r="E36" s="42">
        <f>SUMIFS('2026'!$N:$N,'2026'!$J:$J,$B36&amp;$C36,'2026'!$O:$O,E$4)</f>
        <v>340.57083333333327</v>
      </c>
      <c r="F36" s="42">
        <f>SUMIFS('2026'!$N:$N,'2026'!$J:$J,$B36&amp;$C36,'2026'!$O:$O,F$4)</f>
        <v>191.55</v>
      </c>
      <c r="G36" s="42">
        <f>SUMIFS('2026'!$N:$N,'2026'!$J:$J,$B36&amp;$C36,'2026'!$O:$O,G$4)</f>
        <v>462</v>
      </c>
      <c r="H36" s="42">
        <f>SUMIFS('2026'!$N:$N,'2026'!$J:$J,$B36&amp;$C36,'2026'!$O:$O,H$4)</f>
        <v>623.70000000000005</v>
      </c>
      <c r="I36" s="42">
        <f>SUMIFS('2026'!$N:$N,'2026'!$J:$J,$B36&amp;$C36,'2026'!$O:$O,I$4)</f>
        <v>395.90459989370839</v>
      </c>
      <c r="J36" s="42">
        <f>SUMIFS('2026'!$N:$N,'2026'!$J:$J,$B36&amp;$C36,'2026'!$O:$O,J$4)</f>
        <v>439.8939998818982</v>
      </c>
      <c r="K36" s="42">
        <f>SUMIFS('2026'!$N:$N,'2026'!$J:$J,$B36&amp;$C36,'2026'!$O:$O,K$4)</f>
        <v>483.88339987008806</v>
      </c>
      <c r="L36" s="42">
        <f>SUMIFS('2026'!$N:$N,'2026'!$J:$J,$B36&amp;$C36,'2026'!$O:$O,L$4)</f>
        <v>417.89929988780329</v>
      </c>
      <c r="M36" s="42">
        <f>SUMIFS('2026'!$N:$N,'2026'!$J:$J,$B36&amp;$C36,'2026'!$O:$O,M$4)</f>
        <v>375</v>
      </c>
      <c r="N36" s="42">
        <f>SUMIFS('2026'!$N:$N,'2026'!$J:$J,$B36&amp;$C36,'2026'!$O:$O,N$4)</f>
        <v>395.90459989370839</v>
      </c>
      <c r="O36" s="42">
        <f>SUMIFS('2026'!$N:$N,'2026'!$J:$J,$B36&amp;$C36,'2026'!$O:$O,O$4)</f>
        <v>375</v>
      </c>
      <c r="P36" s="42">
        <f t="shared" si="9"/>
        <v>4641.3733994272061</v>
      </c>
      <c r="Q36" s="42">
        <f t="shared" si="9"/>
        <v>9142.6801321877465</v>
      </c>
      <c r="R36" s="8">
        <f t="shared" si="12"/>
        <v>-4501.3067327605404</v>
      </c>
      <c r="S36" s="9">
        <f t="shared" si="11"/>
        <v>-0.49233995586406076</v>
      </c>
      <c r="T36" s="42">
        <v>4008.041666666667</v>
      </c>
    </row>
    <row r="37" spans="1:29" ht="15" customHeight="1">
      <c r="A37" s="2" t="s">
        <v>45</v>
      </c>
      <c r="B37" s="36">
        <v>2904</v>
      </c>
      <c r="C37" s="36" t="s">
        <v>45</v>
      </c>
      <c r="D37" s="42">
        <f>SUMIFS('2026'!$N:$N,'2026'!$J:$J,$B37&amp;$C37,'2026'!$O:$O,D$4)</f>
        <v>-1.4333333333333333</v>
      </c>
      <c r="E37" s="42">
        <f>SUMIFS('2026'!$N:$N,'2026'!$J:$J,$B37&amp;$C37,'2026'!$O:$O,E$4)</f>
        <v>504.81666666666666</v>
      </c>
      <c r="F37" s="42">
        <f>SUMIFS('2026'!$N:$N,'2026'!$J:$J,$B37&amp;$C37,'2026'!$O:$O,F$4)</f>
        <v>-6.25E-2</v>
      </c>
      <c r="G37" s="42">
        <f>SUMIFS('2026'!$N:$N,'2026'!$J:$J,$B37&amp;$C37,'2026'!$O:$O,G$4)</f>
        <v>0</v>
      </c>
      <c r="H37" s="42">
        <f>SUMIFS('2026'!$N:$N,'2026'!$J:$J,$B37&amp;$C37,'2026'!$O:$O,H$4)</f>
        <v>0</v>
      </c>
      <c r="I37" s="42">
        <f>SUMIFS('2026'!$N:$N,'2026'!$J:$J,$B37&amp;$C37,'2026'!$O:$O,I$4)</f>
        <v>168.75</v>
      </c>
      <c r="J37" s="42">
        <f>SUMIFS('2026'!$N:$N,'2026'!$J:$J,$B37&amp;$C37,'2026'!$O:$O,J$4)</f>
        <v>312.5</v>
      </c>
      <c r="K37" s="42">
        <f>SUMIFS('2026'!$N:$N,'2026'!$J:$J,$B37&amp;$C37,'2026'!$O:$O,K$4)</f>
        <v>895.83333333333337</v>
      </c>
      <c r="L37" s="42">
        <f>SUMIFS('2026'!$N:$N,'2026'!$J:$J,$B37&amp;$C37,'2026'!$O:$O,L$4)</f>
        <v>937.5</v>
      </c>
      <c r="M37" s="42">
        <f>SUMIFS('2026'!$N:$N,'2026'!$J:$J,$B37&amp;$C37,'2026'!$O:$O,M$4)</f>
        <v>833.33333333333337</v>
      </c>
      <c r="N37" s="42">
        <f>SUMIFS('2026'!$N:$N,'2026'!$J:$J,$B37&amp;$C37,'2026'!$O:$O,N$4)</f>
        <v>666.66666666666663</v>
      </c>
      <c r="O37" s="42">
        <f>SUMIFS('2026'!$N:$N,'2026'!$J:$J,$B37&amp;$C37,'2026'!$O:$O,O$4)</f>
        <v>666.66666666666663</v>
      </c>
      <c r="P37" s="42">
        <f t="shared" si="9"/>
        <v>4984.5708333333341</v>
      </c>
      <c r="Q37" s="42">
        <f t="shared" si="9"/>
        <v>9970.5750000000007</v>
      </c>
      <c r="R37" s="841">
        <f t="shared" si="12"/>
        <v>-4986.0041666666666</v>
      </c>
      <c r="S37" s="9">
        <f t="shared" si="11"/>
        <v>-0.50007187816817644</v>
      </c>
      <c r="T37" s="42">
        <v>321.28750000000002</v>
      </c>
    </row>
    <row r="38" spans="1:29" ht="14.1" customHeight="1">
      <c r="A38" s="2" t="s">
        <v>40</v>
      </c>
      <c r="B38" s="36">
        <v>2904</v>
      </c>
      <c r="C38" s="36" t="s">
        <v>102</v>
      </c>
      <c r="D38" s="42">
        <f>SUMIFS('2026'!$N:$N,'2026'!$J:$J,$B38&amp;$C38,'2026'!$O:$O,D$4)</f>
        <v>508.18750000000006</v>
      </c>
      <c r="E38" s="42">
        <f>SUMIFS('2026'!$N:$N,'2026'!$J:$J,$B38&amp;$C38,'2026'!$O:$O,E$4)</f>
        <v>678.47499999999991</v>
      </c>
      <c r="F38" s="42">
        <f>SUMIFS('2026'!$N:$N,'2026'!$J:$J,$B38&amp;$C38,'2026'!$O:$O,F$4)</f>
        <v>883.27083333333348</v>
      </c>
      <c r="G38" s="42">
        <f>SUMIFS('2026'!$N:$N,'2026'!$J:$J,$B38&amp;$C38,'2026'!$O:$O,G$4)</f>
        <v>805.2</v>
      </c>
      <c r="H38" s="42">
        <f>SUMIFS('2026'!$N:$N,'2026'!$J:$J,$B38&amp;$C38,'2026'!$O:$O,H$4)</f>
        <v>501.6</v>
      </c>
      <c r="I38" s="42">
        <f>SUMIFS('2026'!$N:$N,'2026'!$J:$J,$B38&amp;$C38,'2026'!$O:$O,I$4)</f>
        <v>604.00411779638489</v>
      </c>
      <c r="J38" s="42">
        <f>SUMIFS('2026'!$N:$N,'2026'!$J:$J,$B38&amp;$C38,'2026'!$O:$O,J$4)</f>
        <v>671.11568644042757</v>
      </c>
      <c r="K38" s="42">
        <f>SUMIFS('2026'!$N:$N,'2026'!$J:$J,$B38&amp;$C38,'2026'!$O:$O,K$4)</f>
        <v>738.22725508447036</v>
      </c>
      <c r="L38" s="42">
        <f>SUMIFS('2026'!$N:$N,'2026'!$J:$J,$B38&amp;$C38,'2026'!$O:$O,L$4)</f>
        <v>637.55990211840617</v>
      </c>
      <c r="M38" s="42">
        <f>SUMIFS('2026'!$N:$N,'2026'!$J:$J,$B38&amp;$C38,'2026'!$O:$O,M$4)</f>
        <v>600</v>
      </c>
      <c r="N38" s="42">
        <f>SUMIFS('2026'!$N:$N,'2026'!$J:$J,$B38&amp;$C38,'2026'!$O:$O,N$4)</f>
        <v>604.00411779638489</v>
      </c>
      <c r="O38" s="42">
        <f>SUMIFS('2026'!$N:$N,'2026'!$J:$J,$B38&amp;$C38,'2026'!$O:$O,O$4)</f>
        <v>806.25</v>
      </c>
      <c r="P38" s="42">
        <f t="shared" si="9"/>
        <v>8037.894412569407</v>
      </c>
      <c r="Q38" s="42">
        <f t="shared" si="9"/>
        <v>15567.601325138814</v>
      </c>
      <c r="R38" s="8">
        <f t="shared" si="12"/>
        <v>-7529.706912569407</v>
      </c>
      <c r="S38" s="9">
        <f t="shared" si="11"/>
        <v>-0.4836780410357962</v>
      </c>
      <c r="T38" s="42">
        <v>9092.3750000000018</v>
      </c>
    </row>
    <row r="39" spans="1:29" s="66" customFormat="1" ht="15" customHeight="1">
      <c r="A39" s="2" t="s">
        <v>41</v>
      </c>
      <c r="B39" s="36">
        <v>2904</v>
      </c>
      <c r="C39" s="36" t="s">
        <v>41</v>
      </c>
      <c r="D39" s="42">
        <f>SUMIFS('2026'!$N:$N,'2026'!$J:$J,$B39&amp;$C39,'2026'!$O:$O,D$4)</f>
        <v>3087.8588235294119</v>
      </c>
      <c r="E39" s="42">
        <f>SUMIFS('2026'!$N:$N,'2026'!$J:$J,$B39&amp;$C39,'2026'!$O:$O,E$4)</f>
        <v>3673.027450980393</v>
      </c>
      <c r="F39" s="42">
        <f>SUMIFS('2026'!$N:$N,'2026'!$J:$J,$B39&amp;$C39,'2026'!$O:$O,F$4)</f>
        <v>4093.77912745098</v>
      </c>
      <c r="G39" s="42">
        <f>SUMIFS('2026'!$N:$N,'2026'!$J:$J,$B39&amp;$C39,'2026'!$O:$O,G$4)</f>
        <v>4868.7999999999993</v>
      </c>
      <c r="H39" s="840">
        <f>SUMIFS('2026'!$N:$N,'2026'!$J:$J,$B39&amp;$C39,'2026'!$O:$O,H$4)</f>
        <v>3598.9647058823534</v>
      </c>
      <c r="I39" s="840">
        <f>SUMIFS('2026'!$N:$N,'2026'!$J:$J,$B39&amp;$C39,'2026'!$O:$O,I$4)</f>
        <v>3924.3896470588234</v>
      </c>
      <c r="J39" s="42">
        <f>SUMIFS('2026'!$N:$N,'2026'!$J:$J,$B39&amp;$C39,'2026'!$O:$O,J$4)</f>
        <v>3924.3896470588234</v>
      </c>
      <c r="K39" s="840">
        <f>SUMIFS('2026'!$N:$N,'2026'!$J:$J,$B39&amp;$C39,'2026'!$O:$O,K$4)</f>
        <v>4344.8599663865543</v>
      </c>
      <c r="L39" s="42">
        <f>SUMIFS('2026'!$N:$N,'2026'!$J:$J,$B39&amp;$C39,'2026'!$O:$O,L$4)</f>
        <v>3162.3529411764707</v>
      </c>
      <c r="M39" s="42">
        <f>SUMIFS('2026'!$N:$N,'2026'!$J:$J,$B39&amp;$C39,'2026'!$O:$O,M$4)</f>
        <v>3736.1242352941176</v>
      </c>
      <c r="N39" s="42">
        <f>SUMIFS('2026'!$N:$N,'2026'!$J:$J,$B39&amp;$C39,'2026'!$O:$O,N$4)</f>
        <v>2258.8235294117649</v>
      </c>
      <c r="O39" s="42">
        <f>SUMIFS('2026'!$N:$N,'2026'!$J:$J,$B39&amp;$C39,'2026'!$O:$O,O$4)</f>
        <v>2662.5527394957981</v>
      </c>
      <c r="P39" s="65">
        <f t="shared" si="9"/>
        <v>43335.922813725483</v>
      </c>
      <c r="Q39" s="42">
        <f t="shared" si="9"/>
        <v>83583.986803921551</v>
      </c>
      <c r="R39" s="29">
        <f t="shared" si="12"/>
        <v>-40248.063990196068</v>
      </c>
      <c r="S39" s="67">
        <f t="shared" si="11"/>
        <v>-0.48152840668647945</v>
      </c>
      <c r="T39" s="65">
        <v>41067.068872549025</v>
      </c>
    </row>
    <row r="40" spans="1:29" ht="15" customHeight="1">
      <c r="A40" s="66" t="s">
        <v>39</v>
      </c>
      <c r="B40" s="36">
        <v>2904</v>
      </c>
      <c r="C40" s="36" t="s">
        <v>39</v>
      </c>
      <c r="D40" s="42">
        <f>SUMIFS('2026'!$N:$N,'2026'!$J:$J,$B40&amp;$C40,'2026'!$O:$O,D$4)</f>
        <v>635.23076923076951</v>
      </c>
      <c r="E40" s="42">
        <f>SUMIFS('2026'!$N:$N,'2026'!$J:$J,$B40&amp;$C40,'2026'!$O:$O,E$4)</f>
        <v>908.18461538461509</v>
      </c>
      <c r="F40" s="42">
        <f>SUMIFS('2026'!$N:$N,'2026'!$J:$J,$B40&amp;$C40,'2026'!$O:$O,F$4)</f>
        <v>853.38461538461524</v>
      </c>
      <c r="G40" s="42">
        <f>SUMIFS('2026'!$N:$N,'2026'!$J:$J,$B40&amp;$C40,'2026'!$O:$O,G$4)</f>
        <v>1054.523076923077</v>
      </c>
      <c r="H40" s="42">
        <f>SUMIFS('2026'!$N:$N,'2026'!$J:$J,$B40&amp;$C40,'2026'!$O:$O,H$4)</f>
        <v>1036.8000000000002</v>
      </c>
      <c r="I40" s="42">
        <f>SUMIFS('2026'!$N:$N,'2026'!$J:$J,$B40&amp;$C40,'2026'!$O:$O,I$4)</f>
        <v>1330</v>
      </c>
      <c r="J40" s="42">
        <f>SUMIFS('2026'!$N:$N,'2026'!$J:$J,$B40&amp;$C40,'2026'!$O:$O,J$4)</f>
        <v>1435.9615384615386</v>
      </c>
      <c r="K40" s="42">
        <f>SUMIFS('2026'!$N:$N,'2026'!$J:$J,$B40&amp;$C40,'2026'!$O:$O,K$4)</f>
        <v>1468.8461538461538</v>
      </c>
      <c r="L40" s="42">
        <f>SUMIFS('2026'!$N:$N,'2026'!$J:$J,$B40&amp;$C40,'2026'!$O:$O,L$4)</f>
        <v>1355.5769230769231</v>
      </c>
      <c r="M40" s="42">
        <f>SUMIFS('2026'!$N:$N,'2026'!$J:$J,$B40&amp;$C40,'2026'!$O:$O,M$4)</f>
        <v>1435.9615384615386</v>
      </c>
      <c r="N40" s="42">
        <f>SUMIFS('2026'!$N:$N,'2026'!$J:$J,$B40&amp;$C40,'2026'!$O:$O,N$4)</f>
        <v>537.11538461538464</v>
      </c>
      <c r="O40" s="42">
        <f>SUMIFS('2026'!$N:$N,'2026'!$J:$J,$B40&amp;$C40,'2026'!$O:$O,O$4)</f>
        <v>0</v>
      </c>
      <c r="P40" s="61">
        <f t="shared" si="9"/>
        <v>12051.584615384618</v>
      </c>
      <c r="Q40" s="65">
        <f t="shared" si="9"/>
        <v>23467.938461538466</v>
      </c>
      <c r="R40" s="8">
        <f t="shared" si="12"/>
        <v>-11416.353846153848</v>
      </c>
      <c r="S40" s="9">
        <f t="shared" si="11"/>
        <v>-0.48646598698322291</v>
      </c>
      <c r="T40" s="61">
        <v>13859.246153846154</v>
      </c>
    </row>
    <row r="41" spans="1:29" ht="15" customHeight="1">
      <c r="B41" s="10"/>
      <c r="C41" s="90" t="s">
        <v>103</v>
      </c>
      <c r="D41" s="11">
        <f t="shared" ref="D41:R41" si="13">SUM(D26:D40)</f>
        <v>15895.451290882882</v>
      </c>
      <c r="E41" s="11">
        <f t="shared" si="13"/>
        <v>19215.259502600176</v>
      </c>
      <c r="F41" s="11">
        <f t="shared" si="13"/>
        <v>21076.448459251107</v>
      </c>
      <c r="G41" s="11">
        <f t="shared" si="13"/>
        <v>21709.723636922015</v>
      </c>
      <c r="H41" s="11">
        <f t="shared" si="13"/>
        <v>19109.719361785388</v>
      </c>
      <c r="I41" s="11">
        <f t="shared" si="13"/>
        <v>19184.120977728151</v>
      </c>
      <c r="J41" s="11">
        <f t="shared" si="13"/>
        <v>19983.526937476741</v>
      </c>
      <c r="K41" s="11">
        <f t="shared" si="13"/>
        <v>20696.513453399541</v>
      </c>
      <c r="L41" s="11">
        <f t="shared" si="13"/>
        <v>18217.6112474119</v>
      </c>
      <c r="M41" s="11">
        <f t="shared" si="13"/>
        <v>14953.892912450297</v>
      </c>
      <c r="N41" s="11">
        <f t="shared" si="13"/>
        <v>10018.154834481695</v>
      </c>
      <c r="O41" s="11">
        <f t="shared" si="13"/>
        <v>9980.8131182836769</v>
      </c>
      <c r="P41" s="11">
        <f>SUM(P26:P40)</f>
        <v>210041.23573267352</v>
      </c>
      <c r="Q41" s="11">
        <f>SUM(Q26:Q40)</f>
        <v>404187.02017446415</v>
      </c>
      <c r="R41" s="11">
        <f t="shared" si="13"/>
        <v>-194145.78444179066</v>
      </c>
      <c r="S41" s="12">
        <f>IF(ISERROR(R41/Q41),"",R41/Q41)</f>
        <v>-0.4803365144135236</v>
      </c>
      <c r="T41" s="11">
        <v>202383.53933869544</v>
      </c>
    </row>
    <row r="42" spans="1:29" ht="14.85" customHeight="1">
      <c r="B42" s="27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1"/>
      <c r="Q42" s="1"/>
      <c r="R42" s="1"/>
      <c r="S42" s="1"/>
      <c r="T42" s="1"/>
    </row>
    <row r="43" spans="1:29" ht="15" customHeight="1">
      <c r="B43" s="35"/>
      <c r="C43" s="1094" t="s">
        <v>104</v>
      </c>
      <c r="D43" s="1095"/>
      <c r="E43" s="1095"/>
      <c r="F43" s="1095"/>
      <c r="G43" s="1095"/>
      <c r="H43" s="1095"/>
      <c r="I43" s="1095"/>
      <c r="J43" s="1095"/>
      <c r="K43" s="1095"/>
      <c r="L43" s="1095"/>
      <c r="M43" s="1095"/>
      <c r="N43" s="1095"/>
      <c r="O43" s="1095"/>
      <c r="R43" s="31" t="s">
        <v>94</v>
      </c>
      <c r="S43" s="32"/>
    </row>
    <row r="44" spans="1:29" s="3" customFormat="1">
      <c r="B44" s="4"/>
      <c r="C44" s="4" t="s">
        <v>17</v>
      </c>
      <c r="D44" s="5" t="s">
        <v>68</v>
      </c>
      <c r="E44" s="5" t="s">
        <v>69</v>
      </c>
      <c r="F44" s="5" t="s">
        <v>70</v>
      </c>
      <c r="G44" s="5" t="s">
        <v>71</v>
      </c>
      <c r="H44" s="5" t="s">
        <v>72</v>
      </c>
      <c r="I44" s="5" t="s">
        <v>73</v>
      </c>
      <c r="J44" s="5" t="s">
        <v>74</v>
      </c>
      <c r="K44" s="5" t="s">
        <v>75</v>
      </c>
      <c r="L44" s="5" t="s">
        <v>76</v>
      </c>
      <c r="M44" s="5" t="s">
        <v>77</v>
      </c>
      <c r="N44" s="5" t="s">
        <v>78</v>
      </c>
      <c r="O44" s="5" t="s">
        <v>79</v>
      </c>
      <c r="P44" s="187" t="str">
        <f>P$4</f>
        <v>2026 MRF3</v>
      </c>
      <c r="Q44" s="188" t="str">
        <f>Q$4</f>
        <v>2026 MRF2</v>
      </c>
      <c r="R44" s="5" t="str">
        <f t="shared" ref="R44:S44" si="14">R$4</f>
        <v>Difference</v>
      </c>
      <c r="S44" s="6" t="str">
        <f t="shared" si="14"/>
        <v>% change</v>
      </c>
      <c r="T44" s="187" t="s">
        <v>1186</v>
      </c>
    </row>
    <row r="45" spans="1:29" ht="25.35" customHeight="1">
      <c r="A45" s="2" t="s">
        <v>23</v>
      </c>
      <c r="B45" s="36">
        <v>1352</v>
      </c>
      <c r="C45" s="36" t="s">
        <v>23</v>
      </c>
      <c r="D45" s="42">
        <f>SUMIFS('2026'!$N:$N,'2026'!$J:$J,$B45&amp;$C45,'2026'!$O:$O,D$4)</f>
        <v>5403.2426948051952</v>
      </c>
      <c r="E45" s="42">
        <f>SUMIFS('2026'!$N:$N,'2026'!$J:$J,$B45&amp;$C45,'2026'!$O:$O,E$4)</f>
        <v>6574.1834415584408</v>
      </c>
      <c r="F45" s="42">
        <f>SUMIFS('2026'!$N:$N,'2026'!$J:$J,$B45&amp;$C45,'2026'!$O:$O,F$4)</f>
        <v>8987.0887824675301</v>
      </c>
      <c r="G45" s="42">
        <f>SUMIFS('2026'!$N:$N,'2026'!$J:$J,$B45&amp;$C45,'2026'!$O:$O,G$4)</f>
        <v>6766.1398376623374</v>
      </c>
      <c r="H45" s="42">
        <f>SUMIFS('2026'!$N:$N,'2026'!$J:$J,$B45&amp;$C45,'2026'!$O:$O,H$4)</f>
        <v>5588.7822077922074</v>
      </c>
      <c r="I45" s="42">
        <f>SUMIFS('2026'!$N:$N,'2026'!$J:$J,$B45&amp;$C45,'2026'!$O:$O,I$4)</f>
        <v>6015.8594805194807</v>
      </c>
      <c r="J45" s="42">
        <f>SUMIFS('2026'!$N:$N,'2026'!$J:$J,$B45&amp;$C45,'2026'!$O:$O,J$4)</f>
        <v>6238.6690909090912</v>
      </c>
      <c r="K45" s="42">
        <f>SUMIFS('2026'!$N:$N,'2026'!$J:$J,$B45&amp;$C45,'2026'!$O:$O,K$4)</f>
        <v>7336.4421578421579</v>
      </c>
      <c r="L45" s="42">
        <f>SUMIFS('2026'!$N:$N,'2026'!$J:$J,$B45&amp;$C45,'2026'!$O:$O,L$4)</f>
        <v>4061.3240649350646</v>
      </c>
      <c r="M45" s="42">
        <f>SUMIFS('2026'!$N:$N,'2026'!$J:$J,$B45&amp;$C45,'2026'!$O:$O,M$4)</f>
        <v>5432.3426573426577</v>
      </c>
      <c r="N45" s="42">
        <f>SUMIFS('2026'!$N:$N,'2026'!$J:$J,$B45&amp;$C45,'2026'!$O:$O,N$4)</f>
        <v>3344.6198181818186</v>
      </c>
      <c r="O45" s="42">
        <f>SUMIFS('2026'!$N:$N,'2026'!$J:$J,$B45&amp;$C45,'2026'!$O:$O,O$4)</f>
        <v>3344.6198181818186</v>
      </c>
      <c r="P45" s="42">
        <f t="shared" ref="P45:Q52" si="15">SUM(D45:O45)</f>
        <v>69093.314052197806</v>
      </c>
      <c r="Q45" s="42">
        <f t="shared" si="15"/>
        <v>132783.38540959041</v>
      </c>
      <c r="R45" s="8">
        <f t="shared" ref="R45:R52" si="16">P45-Q45</f>
        <v>-63690.071357392604</v>
      </c>
      <c r="S45" s="9">
        <f t="shared" ref="S45:S53" si="17">IF(ISERROR(R45/Q45),"",R45/Q45)</f>
        <v>-0.47965392026216952</v>
      </c>
      <c r="T45" s="42">
        <v>70912.016233766233</v>
      </c>
      <c r="U45" s="28"/>
      <c r="V45" s="28"/>
      <c r="W45" s="28"/>
      <c r="X45" s="28"/>
      <c r="Y45" s="28"/>
      <c r="Z45" s="28"/>
      <c r="AA45" s="28"/>
      <c r="AB45" s="28"/>
      <c r="AC45" s="28"/>
    </row>
    <row r="46" spans="1:29" ht="15" customHeight="1">
      <c r="A46" s="2" t="s">
        <v>38</v>
      </c>
      <c r="B46" s="36">
        <v>1352</v>
      </c>
      <c r="C46" s="36" t="s">
        <v>105</v>
      </c>
      <c r="D46" s="42">
        <f>SUMIFS('2026'!$N:$N,'2026'!$J:$J,$B46&amp;$C46,'2026'!$O:$O,D$4)</f>
        <v>0</v>
      </c>
      <c r="E46" s="42">
        <f>SUMIFS('2026'!$N:$N,'2026'!$J:$J,$B46&amp;$C46,'2026'!$O:$O,E$4)</f>
        <v>0</v>
      </c>
      <c r="F46" s="42">
        <f>SUMIFS('2026'!$N:$N,'2026'!$J:$J,$B46&amp;$C46,'2026'!$O:$O,F$4)</f>
        <v>0</v>
      </c>
      <c r="G46" s="42">
        <f>SUMIFS('2026'!$N:$N,'2026'!$J:$J,$B46&amp;$C46,'2026'!$O:$O,G$4)</f>
        <v>0</v>
      </c>
      <c r="H46" s="42">
        <f>SUMIFS('2026'!$N:$N,'2026'!$J:$J,$B46&amp;$C46,'2026'!$O:$O,H$4)</f>
        <v>0</v>
      </c>
      <c r="I46" s="42">
        <f>SUMIFS('2026'!$N:$N,'2026'!$J:$J,$B46&amp;$C46,'2026'!$O:$O,I$4)</f>
        <v>0</v>
      </c>
      <c r="J46" s="42">
        <f>SUMIFS('2026'!$N:$N,'2026'!$J:$J,$B46&amp;$C46,'2026'!$O:$O,J$4)</f>
        <v>0</v>
      </c>
      <c r="K46" s="42">
        <f>SUMIFS('2026'!$N:$N,'2026'!$J:$J,$B46&amp;$C46,'2026'!$O:$O,K$4)</f>
        <v>0</v>
      </c>
      <c r="L46" s="42">
        <f>SUMIFS('2026'!$N:$N,'2026'!$J:$J,$B46&amp;$C46,'2026'!$O:$O,L$4)</f>
        <v>0</v>
      </c>
      <c r="M46" s="42">
        <f>SUMIFS('2026'!$N:$N,'2026'!$J:$J,$B46&amp;$C46,'2026'!$O:$O,M$4)</f>
        <v>0</v>
      </c>
      <c r="N46" s="42">
        <f>SUMIFS('2026'!$N:$N,'2026'!$J:$J,$B46&amp;$C46,'2026'!$O:$O,N$4)</f>
        <v>0</v>
      </c>
      <c r="O46" s="42">
        <f>SUMIFS('2026'!$N:$N,'2026'!$J:$J,$B46&amp;$C46,'2026'!$O:$O,O$4)</f>
        <v>0</v>
      </c>
      <c r="P46" s="42">
        <f t="shared" si="15"/>
        <v>0</v>
      </c>
      <c r="Q46" s="42">
        <f t="shared" si="15"/>
        <v>0</v>
      </c>
      <c r="R46" s="8">
        <f t="shared" si="16"/>
        <v>0</v>
      </c>
      <c r="S46" s="9" t="str">
        <f t="shared" si="17"/>
        <v/>
      </c>
      <c r="T46" s="42">
        <v>0</v>
      </c>
      <c r="U46" s="28"/>
      <c r="V46" s="28"/>
      <c r="W46" s="28"/>
      <c r="X46" s="28"/>
      <c r="Y46" s="28"/>
      <c r="Z46" s="28"/>
      <c r="AA46" s="28"/>
      <c r="AB46" s="28"/>
      <c r="AC46" s="28"/>
    </row>
    <row r="47" spans="1:29" ht="15" customHeight="1">
      <c r="A47" s="2" t="s">
        <v>38</v>
      </c>
      <c r="B47" s="36">
        <v>1352</v>
      </c>
      <c r="C47" s="36" t="s">
        <v>106</v>
      </c>
      <c r="D47" s="42">
        <f>SUMIFS('2026'!$N:$N,'2026'!$J:$J,$B47&amp;$C47,'2026'!$O:$O,D$4)</f>
        <v>0</v>
      </c>
      <c r="E47" s="42">
        <f>SUMIFS('2026'!$N:$N,'2026'!$J:$J,$B47&amp;$C47,'2026'!$O:$O,E$4)</f>
        <v>0</v>
      </c>
      <c r="F47" s="42">
        <f>SUMIFS('2026'!$N:$N,'2026'!$J:$J,$B47&amp;$C47,'2026'!$O:$O,F$4)</f>
        <v>0</v>
      </c>
      <c r="G47" s="42">
        <f>SUMIFS('2026'!$N:$N,'2026'!$J:$J,$B47&amp;$C47,'2026'!$O:$O,G$4)</f>
        <v>0</v>
      </c>
      <c r="H47" s="42">
        <f>SUMIFS('2026'!$N:$N,'2026'!$J:$J,$B47&amp;$C47,'2026'!$O:$O,H$4)</f>
        <v>0</v>
      </c>
      <c r="I47" s="42">
        <f>SUMIFS('2026'!$N:$N,'2026'!$J:$J,$B47&amp;$C47,'2026'!$O:$O,I$4)</f>
        <v>0</v>
      </c>
      <c r="J47" s="42">
        <f>SUMIFS('2026'!$N:$N,'2026'!$J:$J,$B47&amp;$C47,'2026'!$O:$O,J$4)</f>
        <v>0</v>
      </c>
      <c r="K47" s="42">
        <f>SUMIFS('2026'!$N:$N,'2026'!$J:$J,$B47&amp;$C47,'2026'!$O:$O,K$4)</f>
        <v>0</v>
      </c>
      <c r="L47" s="42">
        <f>SUMIFS('2026'!$N:$N,'2026'!$J:$J,$B47&amp;$C47,'2026'!$O:$O,L$4)</f>
        <v>0</v>
      </c>
      <c r="M47" s="42">
        <f>SUMIFS('2026'!$N:$N,'2026'!$J:$J,$B47&amp;$C47,'2026'!$O:$O,M$4)</f>
        <v>0</v>
      </c>
      <c r="N47" s="42">
        <f>SUMIFS('2026'!$N:$N,'2026'!$J:$J,$B47&amp;$C47,'2026'!$O:$O,N$4)</f>
        <v>0</v>
      </c>
      <c r="O47" s="42">
        <f>SUMIFS('2026'!$N:$N,'2026'!$J:$J,$B47&amp;$C47,'2026'!$O:$O,O$4)</f>
        <v>0</v>
      </c>
      <c r="P47" s="42">
        <f t="shared" si="15"/>
        <v>0</v>
      </c>
      <c r="Q47" s="42">
        <f t="shared" si="15"/>
        <v>0</v>
      </c>
      <c r="R47" s="8">
        <f t="shared" si="16"/>
        <v>0</v>
      </c>
      <c r="S47" s="9" t="str">
        <f t="shared" si="17"/>
        <v/>
      </c>
      <c r="T47" s="42">
        <v>0</v>
      </c>
    </row>
    <row r="48" spans="1:29" ht="15" customHeight="1">
      <c r="A48" s="2" t="s">
        <v>31</v>
      </c>
      <c r="B48" s="36">
        <v>1352</v>
      </c>
      <c r="C48" s="36" t="s">
        <v>31</v>
      </c>
      <c r="D48" s="42">
        <f>SUMIFS('2026'!$N:$N,'2026'!$J:$J,$B48&amp;$C48,'2026'!$O:$O,D$4)</f>
        <v>2826.8939393939399</v>
      </c>
      <c r="E48" s="42">
        <f>SUMIFS('2026'!$N:$N,'2026'!$J:$J,$B48&amp;$C48,'2026'!$O:$O,E$4)</f>
        <v>3478.1287878787862</v>
      </c>
      <c r="F48" s="42">
        <f>SUMIFS('2026'!$N:$N,'2026'!$J:$J,$B48&amp;$C48,'2026'!$O:$O,F$4)</f>
        <v>4338.0715151515151</v>
      </c>
      <c r="G48" s="42">
        <f>SUMIFS('2026'!$N:$N,'2026'!$J:$J,$B48&amp;$C48,'2026'!$O:$O,G$4)</f>
        <v>3629.2363636363639</v>
      </c>
      <c r="H48" s="42">
        <f>SUMIFS('2026'!$N:$N,'2026'!$J:$J,$B48&amp;$C48,'2026'!$O:$O,H$4)</f>
        <v>3204.363636363636</v>
      </c>
      <c r="I48" s="42">
        <f>SUMIFS('2026'!$N:$N,'2026'!$J:$J,$B48&amp;$C48,'2026'!$O:$O,I$4)</f>
        <v>2996.818181818182</v>
      </c>
      <c r="J48" s="42">
        <f>SUMIFS('2026'!$N:$N,'2026'!$J:$J,$B48&amp;$C48,'2026'!$O:$O,J$4)</f>
        <v>3137.159090909091</v>
      </c>
      <c r="K48" s="42">
        <f>SUMIFS('2026'!$N:$N,'2026'!$J:$J,$B48&amp;$C48,'2026'!$O:$O,K$4)</f>
        <v>2858.4204545454545</v>
      </c>
      <c r="L48" s="42">
        <f>SUMIFS('2026'!$N:$N,'2026'!$J:$J,$B48&amp;$C48,'2026'!$O:$O,L$4)</f>
        <v>2697.1363636363635</v>
      </c>
      <c r="M48" s="42">
        <f>SUMIFS('2026'!$N:$N,'2026'!$J:$J,$B48&amp;$C48,'2026'!$O:$O,M$4)</f>
        <v>1832.5227272727273</v>
      </c>
      <c r="N48" s="42">
        <f>SUMIFS('2026'!$N:$N,'2026'!$J:$J,$B48&amp;$C48,'2026'!$O:$O,N$4)</f>
        <v>1468.8068181818182</v>
      </c>
      <c r="O48" s="42">
        <f>SUMIFS('2026'!$N:$N,'2026'!$J:$J,$B48&amp;$C48,'2026'!$O:$O,O$4)</f>
        <v>340.90909090909093</v>
      </c>
      <c r="P48" s="42">
        <f t="shared" si="15"/>
        <v>32808.46696969698</v>
      </c>
      <c r="Q48" s="42">
        <f t="shared" si="15"/>
        <v>62790.040000000015</v>
      </c>
      <c r="R48" s="8">
        <f t="shared" si="16"/>
        <v>-29981.573030303036</v>
      </c>
      <c r="S48" s="9">
        <f t="shared" si="17"/>
        <v>-0.47748931248177306</v>
      </c>
      <c r="T48" s="42">
        <v>31748.825757575767</v>
      </c>
    </row>
    <row r="49" spans="1:37" ht="25.35" customHeight="1">
      <c r="A49" s="2" t="s">
        <v>32</v>
      </c>
      <c r="B49" s="36">
        <v>1352</v>
      </c>
      <c r="C49" s="36" t="s">
        <v>32</v>
      </c>
      <c r="D49" s="42">
        <f>SUMIFS('2026'!$N:$N,'2026'!$J:$J,$B49&amp;$C49,'2026'!$O:$O,D$4)</f>
        <v>0</v>
      </c>
      <c r="E49" s="42">
        <f>SUMIFS('2026'!$N:$N,'2026'!$J:$J,$B49&amp;$C49,'2026'!$O:$O,E$4)</f>
        <v>0</v>
      </c>
      <c r="F49" s="42">
        <f>SUMIFS('2026'!$N:$N,'2026'!$J:$J,$B49&amp;$C49,'2026'!$O:$O,F$4)</f>
        <v>0</v>
      </c>
      <c r="G49" s="42">
        <f>SUMIFS('2026'!$N:$N,'2026'!$J:$J,$B49&amp;$C49,'2026'!$O:$O,G$4)</f>
        <v>0</v>
      </c>
      <c r="H49" s="42">
        <f>SUMIFS('2026'!$N:$N,'2026'!$J:$J,$B49&amp;$C49,'2026'!$O:$O,H$4)</f>
        <v>0</v>
      </c>
      <c r="I49" s="42">
        <f>SUMIFS('2026'!$N:$N,'2026'!$J:$J,$B49&amp;$C49,'2026'!$O:$O,I$4)</f>
        <v>0</v>
      </c>
      <c r="J49" s="42">
        <f>SUMIFS('2026'!$N:$N,'2026'!$J:$J,$B49&amp;$C49,'2026'!$O:$O,J$4)</f>
        <v>0</v>
      </c>
      <c r="K49" s="42">
        <f>SUMIFS('2026'!$N:$N,'2026'!$J:$J,$B49&amp;$C49,'2026'!$O:$O,K$4)</f>
        <v>0</v>
      </c>
      <c r="L49" s="42">
        <f>SUMIFS('2026'!$N:$N,'2026'!$J:$J,$B49&amp;$C49,'2026'!$O:$O,L$4)</f>
        <v>0</v>
      </c>
      <c r="M49" s="42">
        <f>SUMIFS('2026'!$N:$N,'2026'!$J:$J,$B49&amp;$C49,'2026'!$O:$O,M$4)</f>
        <v>0</v>
      </c>
      <c r="N49" s="42">
        <f>SUMIFS('2026'!$N:$N,'2026'!$J:$J,$B49&amp;$C49,'2026'!$O:$O,N$4)</f>
        <v>0</v>
      </c>
      <c r="O49" s="42">
        <f>SUMIFS('2026'!$N:$N,'2026'!$J:$J,$B49&amp;$C49,'2026'!$O:$O,O$4)</f>
        <v>0</v>
      </c>
      <c r="P49" s="42">
        <f t="shared" si="15"/>
        <v>0</v>
      </c>
      <c r="Q49" s="42">
        <f t="shared" si="15"/>
        <v>0</v>
      </c>
      <c r="R49" s="8">
        <f t="shared" si="16"/>
        <v>0</v>
      </c>
      <c r="S49" s="9" t="str">
        <f t="shared" si="17"/>
        <v/>
      </c>
      <c r="T49" s="42">
        <v>1281.6511387163559</v>
      </c>
    </row>
    <row r="50" spans="1:37" ht="15" customHeight="1">
      <c r="A50" s="2" t="s">
        <v>36</v>
      </c>
      <c r="B50" s="36">
        <v>1352</v>
      </c>
      <c r="C50" s="36" t="s">
        <v>36</v>
      </c>
      <c r="D50" s="42">
        <f>SUMIFS('2026'!$N:$N,'2026'!$J:$J,$B50&amp;$C50,'2026'!$O:$O,D$4)</f>
        <v>815.84323232323197</v>
      </c>
      <c r="E50" s="42">
        <f>SUMIFS('2026'!$N:$N,'2026'!$J:$J,$B50&amp;$C50,'2026'!$O:$O,E$4)</f>
        <v>1018.782251082251</v>
      </c>
      <c r="F50" s="42">
        <f>SUMIFS('2026'!$N:$N,'2026'!$J:$J,$B50&amp;$C50,'2026'!$O:$O,F$4)</f>
        <v>1352.0903757575757</v>
      </c>
      <c r="G50" s="42">
        <f>SUMIFS('2026'!$N:$N,'2026'!$J:$J,$B50&amp;$C50,'2026'!$O:$O,G$4)</f>
        <v>1908.8955844155842</v>
      </c>
      <c r="H50" s="42">
        <f>SUMIFS('2026'!$N:$N,'2026'!$J:$J,$B50&amp;$C50,'2026'!$O:$O,H$4)</f>
        <v>1998.3792207792212</v>
      </c>
      <c r="I50" s="42">
        <f>SUMIFS('2026'!$N:$N,'2026'!$J:$J,$B50&amp;$C50,'2026'!$O:$O,I$4)</f>
        <v>1455.7070707070707</v>
      </c>
      <c r="J50" s="42">
        <f>SUMIFS('2026'!$N:$N,'2026'!$J:$J,$B50&amp;$C50,'2026'!$O:$O,J$4)</f>
        <v>1227.1313131313132</v>
      </c>
      <c r="K50" s="42">
        <f>SUMIFS('2026'!$N:$N,'2026'!$J:$J,$B50&amp;$C50,'2026'!$O:$O,K$4)</f>
        <v>1173.7777777777778</v>
      </c>
      <c r="L50" s="42">
        <f>SUMIFS('2026'!$N:$N,'2026'!$J:$J,$B50&amp;$C50,'2026'!$O:$O,L$4)</f>
        <v>855.20202020202021</v>
      </c>
      <c r="M50" s="42">
        <f>SUMIFS('2026'!$N:$N,'2026'!$J:$J,$B50&amp;$C50,'2026'!$O:$O,M$4)</f>
        <v>907.02020202020196</v>
      </c>
      <c r="N50" s="42">
        <f>SUMIFS('2026'!$N:$N,'2026'!$J:$J,$B50&amp;$C50,'2026'!$O:$O,N$4)</f>
        <v>0</v>
      </c>
      <c r="O50" s="42">
        <f>SUMIFS('2026'!$N:$N,'2026'!$J:$J,$B50&amp;$C50,'2026'!$O:$O,O$4)</f>
        <v>0</v>
      </c>
      <c r="P50" s="42">
        <f t="shared" si="15"/>
        <v>12712.829048196247</v>
      </c>
      <c r="Q50" s="42">
        <f t="shared" si="15"/>
        <v>24609.81486406926</v>
      </c>
      <c r="R50" s="8">
        <f t="shared" si="16"/>
        <v>-11896.985815873013</v>
      </c>
      <c r="S50" s="9">
        <f t="shared" si="17"/>
        <v>-0.48342443377104843</v>
      </c>
      <c r="T50" s="42">
        <v>15345.128638028635</v>
      </c>
    </row>
    <row r="51" spans="1:37" ht="35.85" customHeight="1">
      <c r="A51" s="2" t="s">
        <v>39</v>
      </c>
      <c r="B51" s="36">
        <v>1352</v>
      </c>
      <c r="C51" s="36" t="s">
        <v>39</v>
      </c>
      <c r="D51" s="42">
        <f>SUMIFS('2026'!$N:$N,'2026'!$J:$J,$B51&amp;$C51,'2026'!$O:$O,D$4)</f>
        <v>1222.1538461538464</v>
      </c>
      <c r="E51" s="42">
        <f>SUMIFS('2026'!$N:$N,'2026'!$J:$J,$B51&amp;$C51,'2026'!$O:$O,E$4)</f>
        <v>2070.4588461538469</v>
      </c>
      <c r="F51" s="42">
        <f>SUMIFS('2026'!$N:$N,'2026'!$J:$J,$B51&amp;$C51,'2026'!$O:$O,F$4)</f>
        <v>2022.5230769230773</v>
      </c>
      <c r="G51" s="42">
        <f>SUMIFS('2026'!$N:$N,'2026'!$J:$J,$B51&amp;$C51,'2026'!$O:$O,G$4)</f>
        <v>1886.1784615384613</v>
      </c>
      <c r="H51" s="42">
        <f>SUMIFS('2026'!$N:$N,'2026'!$J:$J,$B51&amp;$C51,'2026'!$O:$O,H$4)</f>
        <v>1803.323076923077</v>
      </c>
      <c r="I51" s="42">
        <f>SUMIFS('2026'!$N:$N,'2026'!$J:$J,$B51&amp;$C51,'2026'!$O:$O,I$4)</f>
        <v>1826.9230769230769</v>
      </c>
      <c r="J51" s="42">
        <f>SUMIFS('2026'!$N:$N,'2026'!$J:$J,$B51&amp;$C51,'2026'!$O:$O,J$4)</f>
        <v>2689.2307692307691</v>
      </c>
      <c r="K51" s="42">
        <f>SUMIFS('2026'!$N:$N,'2026'!$J:$J,$B51&amp;$C51,'2026'!$O:$O,K$4)</f>
        <v>2572.3076923076924</v>
      </c>
      <c r="L51" s="42">
        <f>SUMIFS('2026'!$N:$N,'2026'!$J:$J,$B51&amp;$C51,'2026'!$O:$O,L$4)</f>
        <v>2455.3846153846152</v>
      </c>
      <c r="M51" s="42">
        <f>SUMIFS('2026'!$N:$N,'2026'!$J:$J,$B51&amp;$C51,'2026'!$O:$O,M$4)</f>
        <v>2689.2307692307691</v>
      </c>
      <c r="N51" s="42">
        <f>SUMIFS('2026'!$N:$N,'2026'!$J:$J,$B51&amp;$C51,'2026'!$O:$O,N$4)</f>
        <v>1304.4230769230769</v>
      </c>
      <c r="O51" s="42">
        <f>SUMIFS('2026'!$N:$N,'2026'!$J:$J,$B51&amp;$C51,'2026'!$O:$O,O$4)</f>
        <v>0</v>
      </c>
      <c r="P51" s="42">
        <f t="shared" si="15"/>
        <v>22542.137307692308</v>
      </c>
      <c r="Q51" s="42">
        <f t="shared" si="15"/>
        <v>43862.120769230773</v>
      </c>
      <c r="R51" s="8">
        <f t="shared" si="16"/>
        <v>-21319.983461538464</v>
      </c>
      <c r="S51" s="9">
        <f t="shared" si="17"/>
        <v>-0.48606823125831178</v>
      </c>
      <c r="T51" s="42">
        <v>22367.646153846155</v>
      </c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 spans="1:37" ht="15" customHeight="1">
      <c r="A52" s="2" t="s">
        <v>41</v>
      </c>
      <c r="B52" s="36">
        <v>1352</v>
      </c>
      <c r="C52" s="36" t="s">
        <v>107</v>
      </c>
      <c r="D52" s="42">
        <f>SUMIFS('2026'!$N:$N,'2026'!$J:$J,$B52&amp;$C52,'2026'!$O:$O,D$4)</f>
        <v>0</v>
      </c>
      <c r="E52" s="42">
        <f>SUMIFS('2026'!$N:$N,'2026'!$J:$J,$B52&amp;$C52,'2026'!$O:$O,E$4)</f>
        <v>0</v>
      </c>
      <c r="F52" s="42">
        <f>SUMIFS('2026'!$N:$N,'2026'!$J:$J,$B52&amp;$C52,'2026'!$O:$O,F$4)</f>
        <v>0</v>
      </c>
      <c r="G52" s="42">
        <f>SUMIFS('2026'!$N:$N,'2026'!$J:$J,$B52&amp;$C52,'2026'!$O:$O,G$4)</f>
        <v>0</v>
      </c>
      <c r="H52" s="42">
        <f>SUMIFS('2026'!$N:$N,'2026'!$J:$J,$B52&amp;$C52,'2026'!$O:$O,H$4)</f>
        <v>0</v>
      </c>
      <c r="I52" s="42">
        <f>SUMIFS('2026'!$N:$N,'2026'!$J:$J,$B52&amp;$C52,'2026'!$O:$O,I$4)</f>
        <v>0</v>
      </c>
      <c r="J52" s="42">
        <f>SUMIFS('2026'!$N:$N,'2026'!$J:$J,$B52&amp;$C52,'2026'!$O:$O,J$4)</f>
        <v>0</v>
      </c>
      <c r="K52" s="42">
        <f>SUMIFS('2026'!$N:$N,'2026'!$J:$J,$B52&amp;$C52,'2026'!$O:$O,K$4)</f>
        <v>0</v>
      </c>
      <c r="L52" s="42">
        <f>SUMIFS('2026'!$N:$N,'2026'!$J:$J,$B52&amp;$C52,'2026'!$O:$O,L$4)</f>
        <v>0</v>
      </c>
      <c r="M52" s="42">
        <f>SUMIFS('2026'!$N:$N,'2026'!$J:$J,$B52&amp;$C52,'2026'!$O:$O,M$4)</f>
        <v>0</v>
      </c>
      <c r="N52" s="42">
        <f>SUMIFS('2026'!$N:$N,'2026'!$J:$J,$B52&amp;$C52,'2026'!$O:$O,N$4)</f>
        <v>0</v>
      </c>
      <c r="O52" s="42">
        <f>SUMIFS('2026'!$N:$N,'2026'!$J:$J,$B52&amp;$C52,'2026'!$O:$O,O$4)</f>
        <v>0</v>
      </c>
      <c r="P52" s="61">
        <f t="shared" si="15"/>
        <v>0</v>
      </c>
      <c r="Q52" s="61">
        <f t="shared" si="15"/>
        <v>0</v>
      </c>
      <c r="R52" s="8">
        <f t="shared" si="16"/>
        <v>0</v>
      </c>
      <c r="S52" s="9" t="str">
        <f>IF(ISERROR(R52/Q52),"",R52/Q52)</f>
        <v/>
      </c>
      <c r="T52" s="61">
        <v>0</v>
      </c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</row>
    <row r="53" spans="1:37" ht="15" customHeight="1">
      <c r="B53" s="10"/>
      <c r="C53" s="90" t="s">
        <v>108</v>
      </c>
      <c r="D53" s="11">
        <f t="shared" ref="D53:R53" si="18">SUM(D45:D52)</f>
        <v>10268.133712676212</v>
      </c>
      <c r="E53" s="11">
        <f t="shared" si="18"/>
        <v>13141.553326673326</v>
      </c>
      <c r="F53" s="11">
        <f t="shared" si="18"/>
        <v>16699.773750299697</v>
      </c>
      <c r="G53" s="11">
        <f t="shared" si="18"/>
        <v>14190.450247252746</v>
      </c>
      <c r="H53" s="11">
        <f t="shared" si="18"/>
        <v>12594.848141858141</v>
      </c>
      <c r="I53" s="11">
        <f t="shared" si="18"/>
        <v>12295.30780996781</v>
      </c>
      <c r="J53" s="11">
        <f t="shared" si="18"/>
        <v>13292.190264180264</v>
      </c>
      <c r="K53" s="11">
        <f t="shared" si="18"/>
        <v>13940.948082473082</v>
      </c>
      <c r="L53" s="11">
        <f t="shared" si="18"/>
        <v>10069.047064158065</v>
      </c>
      <c r="M53" s="11">
        <f t="shared" si="18"/>
        <v>10861.116355866356</v>
      </c>
      <c r="N53" s="11">
        <f t="shared" si="18"/>
        <v>6117.8497132867142</v>
      </c>
      <c r="O53" s="11">
        <f t="shared" si="18"/>
        <v>3685.5289090909096</v>
      </c>
      <c r="P53" s="11">
        <f>SUM(P45:P52)</f>
        <v>137156.74737778335</v>
      </c>
      <c r="Q53" s="11">
        <f>SUM(Q45:Q52)</f>
        <v>264045.36104289046</v>
      </c>
      <c r="R53" s="11">
        <f t="shared" si="18"/>
        <v>-126888.61366510713</v>
      </c>
      <c r="S53" s="12">
        <f t="shared" si="17"/>
        <v>-0.48055611794859693</v>
      </c>
      <c r="T53" s="11">
        <v>141655.26792193315</v>
      </c>
    </row>
    <row r="54" spans="1:37" ht="15" customHeight="1"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1"/>
      <c r="S54" s="1"/>
      <c r="T54" s="28"/>
    </row>
    <row r="55" spans="1:37" ht="15" customHeight="1">
      <c r="B55" s="35"/>
      <c r="C55" s="1094" t="s">
        <v>109</v>
      </c>
      <c r="D55" s="1095"/>
      <c r="E55" s="1095"/>
      <c r="F55" s="1095"/>
      <c r="G55" s="1095"/>
      <c r="H55" s="1095"/>
      <c r="I55" s="1095"/>
      <c r="J55" s="1095"/>
      <c r="K55" s="1095"/>
      <c r="L55" s="1095"/>
      <c r="M55" s="1095"/>
      <c r="N55" s="1095"/>
      <c r="O55" s="1095"/>
      <c r="R55" s="31" t="s">
        <v>94</v>
      </c>
      <c r="S55" s="32"/>
    </row>
    <row r="56" spans="1:37" ht="24.6" customHeight="1">
      <c r="B56" s="4"/>
      <c r="C56" s="4" t="s">
        <v>17</v>
      </c>
      <c r="D56" s="5" t="s">
        <v>68</v>
      </c>
      <c r="E56" s="5" t="s">
        <v>69</v>
      </c>
      <c r="F56" s="5" t="s">
        <v>70</v>
      </c>
      <c r="G56" s="5" t="s">
        <v>71</v>
      </c>
      <c r="H56" s="5" t="s">
        <v>72</v>
      </c>
      <c r="I56" s="5" t="s">
        <v>73</v>
      </c>
      <c r="J56" s="5" t="s">
        <v>74</v>
      </c>
      <c r="K56" s="5" t="s">
        <v>75</v>
      </c>
      <c r="L56" s="5" t="s">
        <v>76</v>
      </c>
      <c r="M56" s="5" t="s">
        <v>77</v>
      </c>
      <c r="N56" s="5" t="s">
        <v>78</v>
      </c>
      <c r="O56" s="5" t="s">
        <v>79</v>
      </c>
      <c r="P56" s="187" t="str">
        <f>P$4</f>
        <v>2026 MRF3</v>
      </c>
      <c r="Q56" s="188" t="str">
        <f>Q$4</f>
        <v>2026 MRF2</v>
      </c>
      <c r="R56" s="5" t="str">
        <f t="shared" ref="R56:S56" si="19">R$4</f>
        <v>Difference</v>
      </c>
      <c r="S56" s="6" t="str">
        <f t="shared" si="19"/>
        <v>% change</v>
      </c>
      <c r="T56" s="187" t="s">
        <v>1186</v>
      </c>
    </row>
    <row r="57" spans="1:37" ht="15" customHeight="1">
      <c r="A57" s="2" t="s">
        <v>25</v>
      </c>
      <c r="B57" s="36">
        <v>1712</v>
      </c>
      <c r="C57" s="36" t="s">
        <v>25</v>
      </c>
      <c r="D57" s="42">
        <f>SUMIFS('2026'!$N:$N,'2026'!$J:$J,$B57&amp;$C57,'2026'!$O:$O,D$4)</f>
        <v>268.91094017094014</v>
      </c>
      <c r="E57" s="42">
        <f>SUMIFS('2026'!$N:$N,'2026'!$J:$J,$B57&amp;$C57,'2026'!$O:$O,E$4)</f>
        <v>154.55683760683763</v>
      </c>
      <c r="F57" s="42">
        <f>SUMIFS('2026'!$N:$N,'2026'!$J:$J,$B57&amp;$C57,'2026'!$O:$O,F$4)</f>
        <v>469.39529914529913</v>
      </c>
      <c r="G57" s="42">
        <f>SUMIFS('2026'!$N:$N,'2026'!$J:$J,$B57&amp;$C57,'2026'!$O:$O,G$4)</f>
        <v>299.17366153846154</v>
      </c>
      <c r="H57" s="42">
        <f>SUMIFS('2026'!$N:$N,'2026'!$J:$J,$B57&amp;$C57,'2026'!$O:$O,H$4)</f>
        <v>0</v>
      </c>
      <c r="I57" s="42">
        <f>SUMIFS('2026'!$N:$N,'2026'!$J:$J,$B57&amp;$C57,'2026'!$O:$O,I$4)</f>
        <v>56.792123076923076</v>
      </c>
      <c r="J57" s="42">
        <f>SUMIFS('2026'!$N:$N,'2026'!$J:$J,$B57&amp;$C57,'2026'!$O:$O,J$4)</f>
        <v>105.69230769230769</v>
      </c>
      <c r="K57" s="42">
        <f>SUMIFS('2026'!$N:$N,'2026'!$J:$J,$B57&amp;$C57,'2026'!$O:$O,K$4)</f>
        <v>310.3428923076923</v>
      </c>
      <c r="L57" s="42">
        <f>SUMIFS('2026'!$N:$N,'2026'!$J:$J,$B57&amp;$C57,'2026'!$O:$O,L$4)</f>
        <v>110.93538461538462</v>
      </c>
      <c r="M57" s="42">
        <f>SUMIFS('2026'!$N:$N,'2026'!$J:$J,$B57&amp;$C57,'2026'!$O:$O,M$4)</f>
        <v>174.35076923076923</v>
      </c>
      <c r="N57" s="42">
        <f>SUMIFS('2026'!$N:$N,'2026'!$J:$J,$B57&amp;$C57,'2026'!$O:$O,N$4)</f>
        <v>264.1476923076923</v>
      </c>
      <c r="O57" s="42">
        <f>SUMIFS('2026'!$N:$N,'2026'!$J:$J,$B57&amp;$C57,'2026'!$O:$O,O$4)</f>
        <v>118.82732307692309</v>
      </c>
      <c r="P57" s="61">
        <f t="shared" ref="P57:Q59" si="20">SUM(D57:O57)</f>
        <v>2333.1252307692307</v>
      </c>
      <c r="Q57" s="61">
        <f t="shared" si="20"/>
        <v>4397.3395213675212</v>
      </c>
      <c r="R57" s="29">
        <f t="shared" ref="R57" si="21">P57-Q57</f>
        <v>-2064.2142905982905</v>
      </c>
      <c r="S57" s="9">
        <f t="shared" ref="S57" si="22">IF(ISERROR(R57/Q57),"",R57/Q57)</f>
        <v>-0.46942345037672778</v>
      </c>
      <c r="T57" s="61">
        <v>4050.1107692307692</v>
      </c>
    </row>
    <row r="58" spans="1:37" ht="15" customHeight="1">
      <c r="A58" s="2" t="s">
        <v>33</v>
      </c>
      <c r="B58" s="36">
        <v>1712</v>
      </c>
      <c r="C58" s="36" t="s">
        <v>33</v>
      </c>
      <c r="D58" s="42">
        <f>SUMIFS('2026'!$N:$N,'2026'!$J:$J,$B58&amp;$C58,'2026'!$O:$O,D$4)</f>
        <v>343.73412698412699</v>
      </c>
      <c r="E58" s="42">
        <f>SUMIFS('2026'!$N:$N,'2026'!$J:$J,$B58&amp;$C58,'2026'!$O:$O,E$4)</f>
        <v>247.98280423280423</v>
      </c>
      <c r="F58" s="42">
        <f>SUMIFS('2026'!$N:$N,'2026'!$J:$J,$B58&amp;$C58,'2026'!$O:$O,F$4)</f>
        <v>625.94984126984127</v>
      </c>
      <c r="G58" s="42">
        <f>SUMIFS('2026'!$N:$N,'2026'!$J:$J,$B58&amp;$C58,'2026'!$O:$O,G$4)</f>
        <v>805.21269841269839</v>
      </c>
      <c r="H58" s="42">
        <f>SUMIFS('2026'!$N:$N,'2026'!$J:$J,$B58&amp;$C58,'2026'!$O:$O,H$4)</f>
        <v>1612.6845598845598</v>
      </c>
      <c r="I58" s="42">
        <f>SUMIFS('2026'!$N:$N,'2026'!$J:$J,$B58&amp;$C58,'2026'!$O:$O,I$4)</f>
        <v>810.66666666666674</v>
      </c>
      <c r="J58" s="42">
        <f>SUMIFS('2026'!$N:$N,'2026'!$J:$J,$B58&amp;$C58,'2026'!$O:$O,J$4)</f>
        <v>267.37777777777779</v>
      </c>
      <c r="K58" s="42">
        <f>SUMIFS('2026'!$N:$N,'2026'!$J:$J,$B58&amp;$C58,'2026'!$O:$O,K$4)</f>
        <v>273.47301587301592</v>
      </c>
      <c r="L58" s="42">
        <f>SUMIFS('2026'!$N:$N,'2026'!$J:$J,$B58&amp;$C58,'2026'!$O:$O,L$4)</f>
        <v>273.47301587301592</v>
      </c>
      <c r="M58" s="42">
        <f>SUMIFS('2026'!$N:$N,'2026'!$J:$J,$B58&amp;$C58,'2026'!$O:$O,M$4)</f>
        <v>407.16190476190479</v>
      </c>
      <c r="N58" s="42">
        <f>SUMIFS('2026'!$N:$N,'2026'!$J:$J,$B58&amp;$C58,'2026'!$O:$O,N$4)</f>
        <v>674.53968253968264</v>
      </c>
      <c r="O58" s="42">
        <f>SUMIFS('2026'!$N:$N,'2026'!$J:$J,$B58&amp;$C58,'2026'!$O:$O,O$4)</f>
        <v>267.37777777777779</v>
      </c>
      <c r="P58" s="61">
        <f t="shared" si="20"/>
        <v>6609.6338720538733</v>
      </c>
      <c r="Q58" s="61">
        <f t="shared" si="20"/>
        <v>12875.533617123619</v>
      </c>
      <c r="R58" s="29">
        <f t="shared" ref="R58:R59" si="23">P58-Q58</f>
        <v>-6265.8997450697461</v>
      </c>
      <c r="S58" s="9">
        <f t="shared" ref="S58:S59" si="24">IF(ISERROR(R58/Q58),"",R58/Q58)</f>
        <v>-0.48665165510006581</v>
      </c>
      <c r="T58" s="61">
        <v>7460.8564213564223</v>
      </c>
    </row>
    <row r="59" spans="1:37" ht="15" customHeight="1">
      <c r="B59" s="36"/>
      <c r="C59" s="36"/>
      <c r="D59" s="42">
        <f>SUMIFS('2026'!$N:$N,'2026'!$J:$J,$B59&amp;$C59,'2026'!$O:$O,D$4)</f>
        <v>0</v>
      </c>
      <c r="E59" s="42">
        <f>SUMIFS('2026'!$N:$N,'2026'!$J:$J,$B59&amp;$C59,'2026'!$O:$O,E$4)</f>
        <v>0</v>
      </c>
      <c r="F59" s="42">
        <f>SUMIFS('2026'!$N:$N,'2026'!$J:$J,$B59&amp;$C59,'2026'!$O:$O,F$4)</f>
        <v>0</v>
      </c>
      <c r="G59" s="42">
        <f>SUMIFS('2026'!$N:$N,'2026'!$J:$J,$B59&amp;$C59,'2026'!$O:$O,G$4)</f>
        <v>0</v>
      </c>
      <c r="H59" s="42">
        <f>SUMIFS('2026'!$N:$N,'2026'!$J:$J,$B59&amp;$C59,'2026'!$O:$O,H$4)</f>
        <v>0</v>
      </c>
      <c r="I59" s="42">
        <f>SUMIFS('2026'!$N:$N,'2026'!$J:$J,$B59&amp;$C59,'2026'!$O:$O,I$4)</f>
        <v>0</v>
      </c>
      <c r="J59" s="42">
        <f>SUMIFS('2026'!$N:$N,'2026'!$J:$J,$B59&amp;$C59,'2026'!$O:$O,J$4)</f>
        <v>0</v>
      </c>
      <c r="K59" s="42">
        <f>SUMIFS('2026'!$N:$N,'2026'!$J:$J,$B59&amp;$C59,'2026'!$O:$O,K$4)</f>
        <v>0</v>
      </c>
      <c r="L59" s="42">
        <f>SUMIFS('2026'!$N:$N,'2026'!$J:$J,$B59&amp;$C59,'2026'!$O:$O,L$4)</f>
        <v>0</v>
      </c>
      <c r="M59" s="42">
        <f>SUMIFS('2026'!$N:$N,'2026'!$J:$J,$B59&amp;$C59,'2026'!$O:$O,M$4)</f>
        <v>0</v>
      </c>
      <c r="N59" s="42">
        <f>SUMIFS('2026'!$N:$N,'2026'!$J:$J,$B59&amp;$C59,'2026'!$O:$O,N$4)</f>
        <v>0</v>
      </c>
      <c r="O59" s="42">
        <f>SUMIFS('2026'!$N:$N,'2026'!$J:$J,$B59&amp;$C59,'2026'!$O:$O,O$4)</f>
        <v>0</v>
      </c>
      <c r="P59" s="61">
        <f t="shared" si="20"/>
        <v>0</v>
      </c>
      <c r="Q59" s="61">
        <f t="shared" si="20"/>
        <v>0</v>
      </c>
      <c r="R59" s="29">
        <f t="shared" si="23"/>
        <v>0</v>
      </c>
      <c r="S59" s="9" t="str">
        <f t="shared" si="24"/>
        <v/>
      </c>
      <c r="T59" s="61">
        <v>0</v>
      </c>
    </row>
    <row r="60" spans="1:37">
      <c r="B60" s="10"/>
      <c r="C60" s="90" t="s">
        <v>112</v>
      </c>
      <c r="D60" s="11">
        <f t="shared" ref="D60:O60" si="25">SUM(D57:D59)</f>
        <v>612.64506715506718</v>
      </c>
      <c r="E60" s="11">
        <f t="shared" si="25"/>
        <v>402.53964183964183</v>
      </c>
      <c r="F60" s="11">
        <f t="shared" si="25"/>
        <v>1095.3451404151403</v>
      </c>
      <c r="G60" s="11">
        <f t="shared" si="25"/>
        <v>1104.3863599511599</v>
      </c>
      <c r="H60" s="11">
        <f t="shared" si="25"/>
        <v>1612.6845598845598</v>
      </c>
      <c r="I60" s="11">
        <f t="shared" si="25"/>
        <v>867.45878974358982</v>
      </c>
      <c r="J60" s="11">
        <f t="shared" si="25"/>
        <v>373.07008547008547</v>
      </c>
      <c r="K60" s="11">
        <f t="shared" si="25"/>
        <v>583.81590818070822</v>
      </c>
      <c r="L60" s="11">
        <f t="shared" si="25"/>
        <v>384.40840048840056</v>
      </c>
      <c r="M60" s="11">
        <f t="shared" si="25"/>
        <v>581.51267399267408</v>
      </c>
      <c r="N60" s="11">
        <f t="shared" si="25"/>
        <v>938.68737484737494</v>
      </c>
      <c r="O60" s="11">
        <f t="shared" si="25"/>
        <v>386.2051008547009</v>
      </c>
      <c r="P60" s="11">
        <f>SUM(P57:P59)</f>
        <v>8942.7591028231036</v>
      </c>
      <c r="Q60" s="11">
        <f>SUM(Q57:Q59)</f>
        <v>17272.873138491141</v>
      </c>
      <c r="R60" s="11">
        <f>SUM(R57:R59)</f>
        <v>-8330.1140356680371</v>
      </c>
      <c r="S60" s="12">
        <f>IF(ISERROR(R60/Q60),"",R60/Q60)</f>
        <v>-0.48226568729350999</v>
      </c>
      <c r="T60" s="11">
        <v>11510.967190587191</v>
      </c>
    </row>
    <row r="61" spans="1:37">
      <c r="D61" s="1"/>
      <c r="E61" s="1"/>
      <c r="F61" s="1"/>
      <c r="G61" s="28"/>
      <c r="H61" s="28"/>
      <c r="I61" s="28"/>
      <c r="J61" s="28"/>
      <c r="K61" s="28"/>
      <c r="L61" s="28"/>
      <c r="M61" s="28"/>
      <c r="N61" s="28"/>
      <c r="O61" s="28"/>
      <c r="R61" s="31" t="s">
        <v>94</v>
      </c>
      <c r="S61" s="32"/>
    </row>
    <row r="62" spans="1:37" ht="15" customHeight="1">
      <c r="B62" s="4"/>
      <c r="C62" s="4" t="s">
        <v>17</v>
      </c>
      <c r="D62" s="5" t="s">
        <v>68</v>
      </c>
      <c r="E62" s="5" t="s">
        <v>69</v>
      </c>
      <c r="F62" s="5" t="s">
        <v>70</v>
      </c>
      <c r="G62" s="5" t="s">
        <v>71</v>
      </c>
      <c r="H62" s="5" t="s">
        <v>72</v>
      </c>
      <c r="I62" s="5" t="s">
        <v>73</v>
      </c>
      <c r="J62" s="5" t="s">
        <v>74</v>
      </c>
      <c r="K62" s="5" t="s">
        <v>75</v>
      </c>
      <c r="L62" s="5" t="s">
        <v>76</v>
      </c>
      <c r="M62" s="5" t="s">
        <v>77</v>
      </c>
      <c r="N62" s="5" t="s">
        <v>78</v>
      </c>
      <c r="O62" s="5" t="s">
        <v>79</v>
      </c>
      <c r="P62" s="187" t="str">
        <f>P$4</f>
        <v>2026 MRF3</v>
      </c>
      <c r="Q62" s="188" t="str">
        <f>Q$4</f>
        <v>2026 MRF2</v>
      </c>
      <c r="R62" s="5" t="str">
        <f t="shared" ref="R62:S62" si="26">R$4</f>
        <v>Difference</v>
      </c>
      <c r="S62" s="6" t="str">
        <f t="shared" si="26"/>
        <v>% change</v>
      </c>
      <c r="T62" s="187" t="s">
        <v>1186</v>
      </c>
    </row>
    <row r="63" spans="1:37" ht="15" customHeight="1">
      <c r="A63" s="2" t="s">
        <v>38</v>
      </c>
      <c r="B63" s="52">
        <v>6765</v>
      </c>
      <c r="C63" s="36" t="s">
        <v>113</v>
      </c>
      <c r="D63" s="42">
        <f>SUMIFS('2026'!$N:$N,'2026'!$J:$J,$B63&amp;$C63,'2026'!$O:$O,D$4)</f>
        <v>120.38333333333333</v>
      </c>
      <c r="E63" s="42">
        <f>SUMIFS('2026'!$N:$N,'2026'!$J:$J,$B63&amp;$C63,'2026'!$O:$O,E$4)</f>
        <v>0</v>
      </c>
      <c r="F63" s="42">
        <f>SUMIFS('2026'!$N:$N,'2026'!$J:$J,$B63&amp;$C63,'2026'!$O:$O,F$4)</f>
        <v>71.736666666666665</v>
      </c>
      <c r="G63" s="42">
        <f>SUMIFS('2026'!$N:$N,'2026'!$J:$J,$B63&amp;$C63,'2026'!$O:$O,G$4)</f>
        <v>0</v>
      </c>
      <c r="H63" s="42">
        <f>SUMIFS('2026'!$N:$N,'2026'!$J:$J,$B63&amp;$C63,'2026'!$O:$O,H$4)</f>
        <v>0</v>
      </c>
      <c r="I63" s="42">
        <f>SUMIFS('2026'!$N:$N,'2026'!$J:$J,$B63&amp;$C63,'2026'!$O:$O,I$4)</f>
        <v>69.11999999999999</v>
      </c>
      <c r="J63" s="42">
        <f>SUMIFS('2026'!$N:$N,'2026'!$J:$J,$B63&amp;$C63,'2026'!$O:$O,J$4)</f>
        <v>69.11999999999999</v>
      </c>
      <c r="K63" s="42">
        <f>SUMIFS('2026'!$N:$N,'2026'!$J:$J,$B63&amp;$C63,'2026'!$O:$O,K$4)</f>
        <v>69.11999999999999</v>
      </c>
      <c r="L63" s="42">
        <f>SUMIFS('2026'!$N:$N,'2026'!$J:$J,$B63&amp;$C63,'2026'!$O:$O,L$4)</f>
        <v>69.11999999999999</v>
      </c>
      <c r="M63" s="42">
        <f>SUMIFS('2026'!$N:$N,'2026'!$J:$J,$B63&amp;$C63,'2026'!$O:$O,M$4)</f>
        <v>69.11999999999999</v>
      </c>
      <c r="N63" s="42">
        <f>SUMIFS('2026'!$N:$N,'2026'!$J:$J,$B63&amp;$C63,'2026'!$O:$O,N$4)</f>
        <v>69.11999999999999</v>
      </c>
      <c r="O63" s="42">
        <f>SUMIFS('2026'!$N:$N,'2026'!$J:$J,$B63&amp;$C63,'2026'!$O:$O,O$4)</f>
        <v>138.23999999999998</v>
      </c>
      <c r="P63" s="61">
        <f t="shared" ref="P63:Q69" si="27">SUM(D63:O63)</f>
        <v>745.08</v>
      </c>
      <c r="Q63" s="61">
        <f t="shared" si="27"/>
        <v>1369.7766666666666</v>
      </c>
      <c r="R63" s="29">
        <f t="shared" ref="R63:R68" si="28">P63-Q63</f>
        <v>-624.6966666666666</v>
      </c>
      <c r="S63" s="9">
        <f t="shared" ref="S63:S68" si="29">IF(ISERROR(R63/Q63),"",R63/Q63)</f>
        <v>-0.45605731347932627</v>
      </c>
      <c r="T63" s="61">
        <v>408.2833333333333</v>
      </c>
    </row>
    <row r="64" spans="1:37" ht="15" customHeight="1">
      <c r="A64" s="2" t="s">
        <v>38</v>
      </c>
      <c r="B64" s="52">
        <v>6764</v>
      </c>
      <c r="C64" s="52" t="s">
        <v>38</v>
      </c>
      <c r="D64" s="42">
        <f>SUMIFS('2026'!$N:$N,'2026'!$J:$J,$B64&amp;$C64,'2026'!$O:$O,D$4)</f>
        <v>243.72839506172841</v>
      </c>
      <c r="E64" s="42">
        <f>SUMIFS('2026'!$N:$N,'2026'!$J:$J,$B64&amp;$C64,'2026'!$O:$O,E$4)</f>
        <v>235.72839506172841</v>
      </c>
      <c r="F64" s="42">
        <f>SUMIFS('2026'!$N:$N,'2026'!$J:$J,$B64&amp;$C64,'2026'!$O:$O,F$4)</f>
        <v>152.44753086419752</v>
      </c>
      <c r="G64" s="42">
        <f>SUMIFS('2026'!$N:$N,'2026'!$J:$J,$B64&amp;$C64,'2026'!$O:$O,G$4)</f>
        <v>177.77777777777777</v>
      </c>
      <c r="H64" s="42">
        <f>SUMIFS('2026'!$N:$N,'2026'!$J:$J,$B64&amp;$C64,'2026'!$O:$O,H$4)</f>
        <v>177.77777777777777</v>
      </c>
      <c r="I64" s="42">
        <f>SUMIFS('2026'!$N:$N,'2026'!$J:$J,$B64&amp;$C64,'2026'!$O:$O,I$4)</f>
        <v>237.03703703703704</v>
      </c>
      <c r="J64" s="42">
        <f>SUMIFS('2026'!$N:$N,'2026'!$J:$J,$B64&amp;$C64,'2026'!$O:$O,J$4)</f>
        <v>118.51851851851852</v>
      </c>
      <c r="K64" s="42">
        <f>SUMIFS('2026'!$N:$N,'2026'!$J:$J,$B64&amp;$C64,'2026'!$O:$O,K$4)</f>
        <v>118.51851851851852</v>
      </c>
      <c r="L64" s="42">
        <f>SUMIFS('2026'!$N:$N,'2026'!$J:$J,$B64&amp;$C64,'2026'!$O:$O,L$4)</f>
        <v>59.25925925925926</v>
      </c>
      <c r="M64" s="42">
        <f>SUMIFS('2026'!$N:$N,'2026'!$J:$J,$B64&amp;$C64,'2026'!$O:$O,M$4)</f>
        <v>59.25925925925926</v>
      </c>
      <c r="N64" s="42">
        <f>SUMIFS('2026'!$N:$N,'2026'!$J:$J,$B64&amp;$C64,'2026'!$O:$O,N$4)</f>
        <v>59.25925925925926</v>
      </c>
      <c r="O64" s="42">
        <f>SUMIFS('2026'!$N:$N,'2026'!$J:$J,$B64&amp;$C64,'2026'!$O:$O,O$4)</f>
        <v>0</v>
      </c>
      <c r="P64" s="61">
        <f t="shared" si="27"/>
        <v>1639.3117283950619</v>
      </c>
      <c r="Q64" s="61">
        <f t="shared" si="27"/>
        <v>3034.8950617283954</v>
      </c>
      <c r="R64" s="29"/>
      <c r="S64" s="9"/>
      <c r="T64" s="61">
        <v>276.22222222222223</v>
      </c>
    </row>
    <row r="65" spans="1:20" ht="15" customHeight="1">
      <c r="A65" s="2" t="s">
        <v>38</v>
      </c>
      <c r="B65" s="52">
        <v>6765</v>
      </c>
      <c r="C65" s="52" t="s">
        <v>38</v>
      </c>
      <c r="D65" s="42">
        <f>SUMIFS('2026'!$N:$N,'2026'!$J:$J,$B65&amp;$C65,'2026'!$O:$O,D$4)</f>
        <v>0</v>
      </c>
      <c r="E65" s="42">
        <f>SUMIFS('2026'!$N:$N,'2026'!$J:$J,$B65&amp;$C65,'2026'!$O:$O,E$4)</f>
        <v>129.48333333333335</v>
      </c>
      <c r="F65" s="42">
        <f>SUMIFS('2026'!$N:$N,'2026'!$J:$J,$B65&amp;$C65,'2026'!$O:$O,F$4)</f>
        <v>342.64342857142856</v>
      </c>
      <c r="G65" s="42">
        <f>SUMIFS('2026'!$N:$N,'2026'!$J:$J,$B65&amp;$C65,'2026'!$O:$O,G$4)</f>
        <v>246.85714285714286</v>
      </c>
      <c r="H65" s="42">
        <f>SUMIFS('2026'!$N:$N,'2026'!$J:$J,$B65&amp;$C65,'2026'!$O:$O,H$4)</f>
        <v>185.14285714285714</v>
      </c>
      <c r="I65" s="42">
        <f>SUMIFS('2026'!$N:$N,'2026'!$J:$J,$B65&amp;$C65,'2026'!$O:$O,I$4)</f>
        <v>185.14285714285714</v>
      </c>
      <c r="J65" s="42">
        <f>SUMIFS('2026'!$N:$N,'2026'!$J:$J,$B65&amp;$C65,'2026'!$O:$O,J$4)</f>
        <v>123.42857142857143</v>
      </c>
      <c r="K65" s="42">
        <f>SUMIFS('2026'!$N:$N,'2026'!$J:$J,$B65&amp;$C65,'2026'!$O:$O,K$4)</f>
        <v>74.057142857142864</v>
      </c>
      <c r="L65" s="42">
        <f>SUMIFS('2026'!$N:$N,'2026'!$J:$J,$B65&amp;$C65,'2026'!$O:$O,L$4)</f>
        <v>26.057142857142857</v>
      </c>
      <c r="M65" s="42">
        <f>SUMIFS('2026'!$N:$N,'2026'!$J:$J,$B65&amp;$C65,'2026'!$O:$O,M$4)</f>
        <v>65.142857142857139</v>
      </c>
      <c r="N65" s="42">
        <f>SUMIFS('2026'!$N:$N,'2026'!$J:$J,$B65&amp;$C65,'2026'!$O:$O,N$4)</f>
        <v>39.085714285714289</v>
      </c>
      <c r="O65" s="42">
        <f>SUMIFS('2026'!$N:$N,'2026'!$J:$J,$B65&amp;$C65,'2026'!$O:$O,O$4)</f>
        <v>0</v>
      </c>
      <c r="P65" s="61">
        <f t="shared" si="27"/>
        <v>1417.0410476190477</v>
      </c>
      <c r="Q65" s="61">
        <f t="shared" si="27"/>
        <v>2834.0820952380955</v>
      </c>
      <c r="R65" s="29">
        <f t="shared" si="28"/>
        <v>-1417.0410476190477</v>
      </c>
      <c r="S65" s="9">
        <f t="shared" si="29"/>
        <v>-0.5</v>
      </c>
      <c r="T65" s="61">
        <v>35.5</v>
      </c>
    </row>
    <row r="66" spans="1:20" ht="15" customHeight="1">
      <c r="A66" s="2" t="s">
        <v>33</v>
      </c>
      <c r="B66" s="52">
        <v>6706</v>
      </c>
      <c r="C66" s="52" t="s">
        <v>23</v>
      </c>
      <c r="D66" s="42">
        <f>SUMIFS('2026'!$N:$N,'2026'!$J:$J,$B66&amp;$C66,'2026'!$O:$O,D$4)</f>
        <v>0</v>
      </c>
      <c r="E66" s="42">
        <f>SUMIFS('2026'!$N:$N,'2026'!$J:$J,$B66&amp;$C66,'2026'!$O:$O,E$4)</f>
        <v>0</v>
      </c>
      <c r="F66" s="42">
        <f>SUMIFS('2026'!$N:$N,'2026'!$J:$J,$B66&amp;$C66,'2026'!$O:$O,F$4)</f>
        <v>0</v>
      </c>
      <c r="G66" s="42">
        <f>SUMIFS('2026'!$N:$N,'2026'!$J:$J,$B66&amp;$C66,'2026'!$O:$O,G$4)</f>
        <v>150.64102564102564</v>
      </c>
      <c r="H66" s="42">
        <f>SUMIFS('2026'!$N:$N,'2026'!$J:$J,$B66&amp;$C66,'2026'!$O:$O,H$4)</f>
        <v>454.54545454545456</v>
      </c>
      <c r="I66" s="42">
        <f>SUMIFS('2026'!$N:$N,'2026'!$J:$J,$B66&amp;$C66,'2026'!$O:$O,I$4)</f>
        <v>349.50466200466201</v>
      </c>
      <c r="J66" s="42">
        <f>SUMIFS('2026'!$N:$N,'2026'!$J:$J,$B66&amp;$C66,'2026'!$O:$O,J$4)</f>
        <v>312.5</v>
      </c>
      <c r="K66" s="42">
        <f>SUMIFS('2026'!$N:$N,'2026'!$J:$J,$B66&amp;$C66,'2026'!$O:$O,K$4)</f>
        <v>0</v>
      </c>
      <c r="L66" s="42">
        <f>SUMIFS('2026'!$N:$N,'2026'!$J:$J,$B66&amp;$C66,'2026'!$O:$O,L$4)</f>
        <v>0</v>
      </c>
      <c r="M66" s="42">
        <f>SUMIFS('2026'!$N:$N,'2026'!$J:$J,$B66&amp;$C66,'2026'!$O:$O,M$4)</f>
        <v>0</v>
      </c>
      <c r="N66" s="42">
        <f>SUMIFS('2026'!$N:$N,'2026'!$J:$J,$B66&amp;$C66,'2026'!$O:$O,N$4)</f>
        <v>0</v>
      </c>
      <c r="O66" s="42">
        <f>SUMIFS('2026'!$N:$N,'2026'!$J:$J,$B66&amp;$C66,'2026'!$O:$O,O$4)</f>
        <v>0</v>
      </c>
      <c r="P66" s="61">
        <f t="shared" si="27"/>
        <v>1267.1911421911423</v>
      </c>
      <c r="Q66" s="61">
        <f t="shared" si="27"/>
        <v>2534.3822843822845</v>
      </c>
      <c r="R66" s="29">
        <f t="shared" si="28"/>
        <v>-1267.1911421911423</v>
      </c>
      <c r="S66" s="9">
        <f t="shared" si="29"/>
        <v>-0.5</v>
      </c>
      <c r="T66" s="61">
        <v>1484.4984567901236</v>
      </c>
    </row>
    <row r="67" spans="1:20" ht="15" customHeight="1">
      <c r="A67" s="2" t="s">
        <v>38</v>
      </c>
      <c r="B67" s="36">
        <v>6706</v>
      </c>
      <c r="C67" s="36" t="s">
        <v>115</v>
      </c>
      <c r="D67" s="42">
        <f>SUMIFS('2026'!$N:$N,'2026'!$J:$J,$B67&amp;$C67,'2026'!$O:$O,D$4)</f>
        <v>0</v>
      </c>
      <c r="E67" s="42">
        <f>SUMIFS('2026'!$N:$N,'2026'!$J:$J,$B67&amp;$C67,'2026'!$O:$O,E$4)</f>
        <v>0</v>
      </c>
      <c r="F67" s="42">
        <f>SUMIFS('2026'!$N:$N,'2026'!$J:$J,$B67&amp;$C67,'2026'!$O:$O,F$4)</f>
        <v>0</v>
      </c>
      <c r="G67" s="42">
        <f>SUMIFS('2026'!$N:$N,'2026'!$J:$J,$B67&amp;$C67,'2026'!$O:$O,G$4)</f>
        <v>0</v>
      </c>
      <c r="H67" s="42">
        <f>SUMIFS('2026'!$N:$N,'2026'!$J:$J,$B67&amp;$C67,'2026'!$O:$O,H$4)</f>
        <v>0</v>
      </c>
      <c r="I67" s="42">
        <f>SUMIFS('2026'!$N:$N,'2026'!$J:$J,$B67&amp;$C67,'2026'!$O:$O,I$4)</f>
        <v>0</v>
      </c>
      <c r="J67" s="42">
        <f>SUMIFS('2026'!$N:$N,'2026'!$J:$J,$B67&amp;$C67,'2026'!$O:$O,J$4)</f>
        <v>0</v>
      </c>
      <c r="K67" s="42">
        <f>SUMIFS('2026'!$N:$N,'2026'!$J:$J,$B67&amp;$C67,'2026'!$O:$O,K$4)</f>
        <v>0</v>
      </c>
      <c r="L67" s="42">
        <f>SUMIFS('2026'!$N:$N,'2026'!$J:$J,$B67&amp;$C67,'2026'!$O:$O,L$4)</f>
        <v>0</v>
      </c>
      <c r="M67" s="42">
        <f>SUMIFS('2026'!$N:$N,'2026'!$J:$J,$B67&amp;$C67,'2026'!$O:$O,M$4)</f>
        <v>0</v>
      </c>
      <c r="N67" s="42">
        <f>SUMIFS('2026'!$N:$N,'2026'!$J:$J,$B67&amp;$C67,'2026'!$O:$O,N$4)</f>
        <v>0</v>
      </c>
      <c r="O67" s="42">
        <f>SUMIFS('2026'!$N:$N,'2026'!$J:$J,$B67&amp;$C67,'2026'!$O:$O,O$4)</f>
        <v>0</v>
      </c>
      <c r="P67" s="61">
        <f t="shared" si="27"/>
        <v>0</v>
      </c>
      <c r="Q67" s="61">
        <f t="shared" si="27"/>
        <v>0</v>
      </c>
      <c r="R67" s="29">
        <f t="shared" si="28"/>
        <v>0</v>
      </c>
      <c r="S67" s="9" t="str">
        <f t="shared" si="29"/>
        <v/>
      </c>
      <c r="T67" s="61">
        <v>1549.7375000000002</v>
      </c>
    </row>
    <row r="68" spans="1:20" ht="15" customHeight="1">
      <c r="A68" s="2" t="s">
        <v>38</v>
      </c>
      <c r="B68" s="36">
        <v>6706</v>
      </c>
      <c r="C68" s="36" t="s">
        <v>113</v>
      </c>
      <c r="D68" s="42">
        <f>SUMIFS('2026'!$N:$N,'2026'!$J:$J,$B68&amp;$C68,'2026'!$O:$O,D$4)</f>
        <v>233.09166666666667</v>
      </c>
      <c r="E68" s="42">
        <f>SUMIFS('2026'!$N:$N,'2026'!$J:$J,$B68&amp;$C68,'2026'!$O:$O,E$4)</f>
        <v>0</v>
      </c>
      <c r="F68" s="42">
        <f>SUMIFS('2026'!$N:$N,'2026'!$J:$J,$B68&amp;$C68,'2026'!$O:$O,F$4)</f>
        <v>0</v>
      </c>
      <c r="G68" s="42">
        <f>SUMIFS('2026'!$N:$N,'2026'!$J:$J,$B68&amp;$C68,'2026'!$O:$O,G$4)</f>
        <v>31.319999999999997</v>
      </c>
      <c r="H68" s="42">
        <f>SUMIFS('2026'!$N:$N,'2026'!$J:$J,$B68&amp;$C68,'2026'!$O:$O,H$4)</f>
        <v>0</v>
      </c>
      <c r="I68" s="42">
        <f>SUMIFS('2026'!$N:$N,'2026'!$J:$J,$B68&amp;$C68,'2026'!$O:$O,I$4)</f>
        <v>0</v>
      </c>
      <c r="J68" s="42">
        <f>SUMIFS('2026'!$N:$N,'2026'!$J:$J,$B68&amp;$C68,'2026'!$O:$O,J$4)</f>
        <v>0</v>
      </c>
      <c r="K68" s="42">
        <f>SUMIFS('2026'!$N:$N,'2026'!$J:$J,$B68&amp;$C68,'2026'!$O:$O,K$4)</f>
        <v>0</v>
      </c>
      <c r="L68" s="42">
        <f>SUMIFS('2026'!$N:$N,'2026'!$J:$J,$B68&amp;$C68,'2026'!$O:$O,L$4)</f>
        <v>0</v>
      </c>
      <c r="M68" s="42">
        <f>SUMIFS('2026'!$N:$N,'2026'!$J:$J,$B68&amp;$C68,'2026'!$O:$O,M$4)</f>
        <v>0</v>
      </c>
      <c r="N68" s="42">
        <f>SUMIFS('2026'!$N:$N,'2026'!$J:$J,$B68&amp;$C68,'2026'!$O:$O,N$4)</f>
        <v>0</v>
      </c>
      <c r="O68" s="42">
        <f>SUMIFS('2026'!$N:$N,'2026'!$J:$J,$B68&amp;$C68,'2026'!$O:$O,O$4)</f>
        <v>0</v>
      </c>
      <c r="P68" s="61">
        <f t="shared" si="27"/>
        <v>264.41166666666669</v>
      </c>
      <c r="Q68" s="61">
        <f t="shared" si="27"/>
        <v>295.73166666666668</v>
      </c>
      <c r="R68" s="29">
        <f t="shared" si="28"/>
        <v>-31.319999999999993</v>
      </c>
      <c r="S68" s="9">
        <f t="shared" si="29"/>
        <v>-0.10590681868134962</v>
      </c>
      <c r="T68" s="61">
        <v>1290.6499999999999</v>
      </c>
    </row>
    <row r="69" spans="1:20">
      <c r="B69" s="10"/>
      <c r="C69" s="90" t="s">
        <v>116</v>
      </c>
      <c r="D69" s="11">
        <f>SUM(D63:D68)</f>
        <v>597.20339506172843</v>
      </c>
      <c r="E69" s="11">
        <f t="shared" ref="E69:O69" si="30">SUM(E63:E68)</f>
        <v>365.21172839506175</v>
      </c>
      <c r="F69" s="11">
        <f t="shared" si="30"/>
        <v>566.8276261022927</v>
      </c>
      <c r="G69" s="11">
        <f t="shared" si="30"/>
        <v>606.59594627594629</v>
      </c>
      <c r="H69" s="11">
        <f t="shared" si="30"/>
        <v>817.46608946608944</v>
      </c>
      <c r="I69" s="11">
        <f t="shared" si="30"/>
        <v>840.80455618455619</v>
      </c>
      <c r="J69" s="11">
        <f t="shared" si="30"/>
        <v>623.56708994708993</v>
      </c>
      <c r="K69" s="11">
        <f t="shared" si="30"/>
        <v>261.69566137566136</v>
      </c>
      <c r="L69" s="11">
        <f t="shared" si="30"/>
        <v>154.43640211640209</v>
      </c>
      <c r="M69" s="11">
        <f t="shared" si="30"/>
        <v>193.52211640211638</v>
      </c>
      <c r="N69" s="11">
        <f t="shared" si="30"/>
        <v>167.46497354497353</v>
      </c>
      <c r="O69" s="11">
        <f t="shared" si="30"/>
        <v>138.23999999999998</v>
      </c>
      <c r="P69" s="11">
        <f t="shared" si="27"/>
        <v>5333.0355848719182</v>
      </c>
      <c r="Q69" s="11">
        <f t="shared" si="27"/>
        <v>10068.867774682109</v>
      </c>
      <c r="R69" s="11">
        <f>SUM(R63:R68)</f>
        <v>-3340.2488564768569</v>
      </c>
      <c r="S69" s="12">
        <f>IF(ISERROR(R69/Q69),"",R69/Q69)</f>
        <v>-0.33174026427040992</v>
      </c>
      <c r="T69" s="11">
        <v>5044.8915123456791</v>
      </c>
    </row>
    <row r="70" spans="1:20">
      <c r="D70" s="1"/>
      <c r="E70" s="1"/>
      <c r="F70" s="1"/>
      <c r="G70" s="28"/>
      <c r="H70" s="28"/>
      <c r="I70" s="28"/>
      <c r="J70" s="28"/>
      <c r="K70" s="28"/>
      <c r="L70" s="28"/>
      <c r="M70" s="28"/>
      <c r="N70" s="28"/>
      <c r="O70" s="28"/>
      <c r="P70" s="1"/>
      <c r="Q70" s="1"/>
      <c r="R70" s="1"/>
      <c r="S70" s="1"/>
      <c r="T70" s="1"/>
    </row>
    <row r="71" spans="1:20" ht="15" customHeight="1">
      <c r="A71" s="2" t="s">
        <v>44</v>
      </c>
      <c r="B71" s="52">
        <v>1715</v>
      </c>
      <c r="C71" s="52" t="s">
        <v>44</v>
      </c>
      <c r="D71" s="42">
        <f>SUMIFS('2026'!$N:$N,'2026'!$J:$J,$B71&amp;$C71,'2026'!$O:$O,D$4)</f>
        <v>965.50303030303019</v>
      </c>
      <c r="E71" s="42">
        <f>SUMIFS('2026'!$N:$N,'2026'!$J:$J,$B71&amp;$C71,'2026'!$O:$O,E$4)</f>
        <v>571.82424242424236</v>
      </c>
      <c r="F71" s="42">
        <f>SUMIFS('2026'!$N:$N,'2026'!$J:$J,$B71&amp;$C71,'2026'!$O:$O,F$4)</f>
        <v>882.74545454545455</v>
      </c>
      <c r="G71" s="42">
        <f>SUMIFS('2026'!$N:$N,'2026'!$J:$J,$B71&amp;$C71,'2026'!$O:$O,G$4)</f>
        <v>1120.4887272727271</v>
      </c>
      <c r="H71" s="42">
        <f>SUMIFS('2026'!$N:$N,'2026'!$J:$J,$B71&amp;$C71,'2026'!$O:$O,H$4)</f>
        <v>5435.6363636363612</v>
      </c>
      <c r="I71" s="42">
        <f>SUMIFS('2026'!$N:$N,'2026'!$J:$J,$B71&amp;$C71,'2026'!$O:$O,I$4)</f>
        <v>2290.909090909091</v>
      </c>
      <c r="J71" s="42">
        <f>SUMIFS('2026'!$N:$N,'2026'!$J:$J,$B71&amp;$C71,'2026'!$O:$O,J$4)</f>
        <v>1985.4545454545455</v>
      </c>
      <c r="K71" s="42">
        <f>SUMIFS('2026'!$N:$N,'2026'!$J:$J,$B71&amp;$C71,'2026'!$O:$O,K$4)</f>
        <v>1985.4545454545455</v>
      </c>
      <c r="L71" s="42">
        <f>SUMIFS('2026'!$N:$N,'2026'!$J:$J,$B71&amp;$C71,'2026'!$O:$O,L$4)</f>
        <v>1374.5454545454545</v>
      </c>
      <c r="M71" s="42">
        <f>SUMIFS('2026'!$N:$N,'2026'!$J:$J,$B71&amp;$C71,'2026'!$O:$O,M$4)</f>
        <v>1221.8181818181818</v>
      </c>
      <c r="N71" s="42">
        <f>SUMIFS('2026'!$N:$N,'2026'!$J:$J,$B71&amp;$C71,'2026'!$O:$O,N$4)</f>
        <v>1527.2727272727273</v>
      </c>
      <c r="O71" s="42">
        <f>SUMIFS('2026'!$N:$N,'2026'!$J:$J,$B71&amp;$C71,'2026'!$O:$O,O$4)</f>
        <v>1078.7878787878788</v>
      </c>
      <c r="P71" s="61">
        <f t="shared" ref="P71:Q76" si="31">SUM(D71:O71)</f>
        <v>20440.440242424243</v>
      </c>
      <c r="Q71" s="61">
        <f t="shared" si="31"/>
        <v>39915.377454545451</v>
      </c>
      <c r="R71" s="29">
        <f t="shared" ref="R71:R76" si="32">P71-Q71</f>
        <v>-19474.937212121207</v>
      </c>
      <c r="S71" s="9">
        <f t="shared" ref="S71:S76" si="33">IF(ISERROR(R71/Q71),"",R71/Q71)</f>
        <v>-0.48790562570274421</v>
      </c>
      <c r="T71" s="61">
        <v>15590.338680926914</v>
      </c>
    </row>
    <row r="72" spans="1:20" ht="15" customHeight="1">
      <c r="A72" s="2" t="s">
        <v>44</v>
      </c>
      <c r="B72" s="52">
        <v>1716</v>
      </c>
      <c r="C72" s="52" t="s">
        <v>44</v>
      </c>
      <c r="D72" s="42">
        <f>SUMIFS('2026'!$N:$N,'2026'!$J:$J,$B72&amp;$C72,'2026'!$O:$O,D$4)</f>
        <v>469.95151515151514</v>
      </c>
      <c r="E72" s="42">
        <f>SUMIFS('2026'!$N:$N,'2026'!$J:$J,$B72&amp;$C72,'2026'!$O:$O,E$4)</f>
        <v>606.4909090909091</v>
      </c>
      <c r="F72" s="42">
        <f>SUMIFS('2026'!$N:$N,'2026'!$J:$J,$B72&amp;$C72,'2026'!$O:$O,F$4)</f>
        <v>232.31515151515151</v>
      </c>
      <c r="G72" s="42">
        <f>SUMIFS('2026'!$N:$N,'2026'!$J:$J,$B72&amp;$C72,'2026'!$O:$O,G$4)</f>
        <v>401.76290909090903</v>
      </c>
      <c r="H72" s="42">
        <f>SUMIFS('2026'!$N:$N,'2026'!$J:$J,$B72&amp;$C72,'2026'!$O:$O,H$4)</f>
        <v>2173.090909090909</v>
      </c>
      <c r="I72" s="42">
        <f>SUMIFS('2026'!$N:$N,'2026'!$J:$J,$B72&amp;$C72,'2026'!$O:$O,I$4)</f>
        <v>325.81818181818181</v>
      </c>
      <c r="J72" s="42">
        <f>SUMIFS('2026'!$N:$N,'2026'!$J:$J,$B72&amp;$C72,'2026'!$O:$O,J$4)</f>
        <v>651.63636363636363</v>
      </c>
      <c r="K72" s="42">
        <f>SUMIFS('2026'!$N:$N,'2026'!$J:$J,$B72&amp;$C72,'2026'!$O:$O,K$4)</f>
        <v>162.90909090909091</v>
      </c>
      <c r="L72" s="42">
        <f>SUMIFS('2026'!$N:$N,'2026'!$J:$J,$B72&amp;$C72,'2026'!$O:$O,L$4)</f>
        <v>0</v>
      </c>
      <c r="M72" s="42">
        <f>SUMIFS('2026'!$N:$N,'2026'!$J:$J,$B72&amp;$C72,'2026'!$O:$O,M$4)</f>
        <v>794.15757575757573</v>
      </c>
      <c r="N72" s="42">
        <f>SUMIFS('2026'!$N:$N,'2026'!$J:$J,$B72&amp;$C72,'2026'!$O:$O,N$4)</f>
        <v>1006.5212121212121</v>
      </c>
      <c r="O72" s="42">
        <f>SUMIFS('2026'!$N:$N,'2026'!$J:$J,$B72&amp;$C72,'2026'!$O:$O,O$4)</f>
        <v>315.15151515151513</v>
      </c>
      <c r="P72" s="61">
        <f t="shared" si="31"/>
        <v>7139.8053333333328</v>
      </c>
      <c r="Q72" s="61">
        <f t="shared" si="31"/>
        <v>13809.65915151515</v>
      </c>
      <c r="R72" s="29">
        <f t="shared" si="32"/>
        <v>-6669.8538181818176</v>
      </c>
      <c r="S72" s="9">
        <f t="shared" si="33"/>
        <v>-0.4829846808673785</v>
      </c>
      <c r="T72" s="61">
        <v>18895.725846702317</v>
      </c>
    </row>
    <row r="73" spans="1:20" ht="15" customHeight="1">
      <c r="A73" s="2" t="s">
        <v>44</v>
      </c>
      <c r="B73" s="52">
        <v>1717</v>
      </c>
      <c r="C73" s="52" t="s">
        <v>44</v>
      </c>
      <c r="D73" s="42">
        <f>SUMIFS('2026'!$N:$N,'2026'!$J:$J,$B73&amp;$C73,'2026'!$O:$O,D$4)</f>
        <v>1457.5272727272727</v>
      </c>
      <c r="E73" s="42">
        <f>SUMIFS('2026'!$N:$N,'2026'!$J:$J,$B73&amp;$C73,'2026'!$O:$O,E$4)</f>
        <v>1120.9212121212122</v>
      </c>
      <c r="F73" s="42">
        <f>SUMIFS('2026'!$N:$N,'2026'!$J:$J,$B73&amp;$C73,'2026'!$O:$O,F$4)</f>
        <v>621.0242424242424</v>
      </c>
      <c r="G73" s="42">
        <f>SUMIFS('2026'!$N:$N,'2026'!$J:$J,$B73&amp;$C73,'2026'!$O:$O,G$4)</f>
        <v>0</v>
      </c>
      <c r="H73" s="42">
        <f>SUMIFS('2026'!$N:$N,'2026'!$J:$J,$B73&amp;$C73,'2026'!$O:$O,H$4)</f>
        <v>0</v>
      </c>
      <c r="I73" s="42">
        <f>SUMIFS('2026'!$N:$N,'2026'!$J:$J,$B73&amp;$C73,'2026'!$O:$O,I$4)</f>
        <v>605.09090909090912</v>
      </c>
      <c r="J73" s="42">
        <f>SUMIFS('2026'!$N:$N,'2026'!$J:$J,$B73&amp;$C73,'2026'!$O:$O,J$4)</f>
        <v>605.09090909090912</v>
      </c>
      <c r="K73" s="42">
        <f>SUMIFS('2026'!$N:$N,'2026'!$J:$J,$B73&amp;$C73,'2026'!$O:$O,K$4)</f>
        <v>151.27272727272728</v>
      </c>
      <c r="L73" s="42">
        <f>SUMIFS('2026'!$N:$N,'2026'!$J:$J,$B73&amp;$C73,'2026'!$O:$O,L$4)</f>
        <v>151.27272727272728</v>
      </c>
      <c r="M73" s="42">
        <f>SUMIFS('2026'!$N:$N,'2026'!$J:$J,$B73&amp;$C73,'2026'!$O:$O,M$4)</f>
        <v>1474.7212121212121</v>
      </c>
      <c r="N73" s="42">
        <f>SUMIFS('2026'!$N:$N,'2026'!$J:$J,$B73&amp;$C73,'2026'!$O:$O,N$4)</f>
        <v>1113.2909090909091</v>
      </c>
      <c r="O73" s="42">
        <f>SUMIFS('2026'!$N:$N,'2026'!$J:$J,$B73&amp;$C73,'2026'!$O:$O,O$4)</f>
        <v>617.69696969696963</v>
      </c>
      <c r="P73" s="61">
        <f t="shared" si="31"/>
        <v>7917.909090909091</v>
      </c>
      <c r="Q73" s="61">
        <f t="shared" si="31"/>
        <v>14378.290909090909</v>
      </c>
      <c r="R73" s="29">
        <f t="shared" si="32"/>
        <v>-6460.3818181818178</v>
      </c>
      <c r="S73" s="9">
        <f t="shared" si="33"/>
        <v>-0.44931500266816388</v>
      </c>
      <c r="T73" s="61">
        <v>11406.484848484846</v>
      </c>
    </row>
    <row r="74" spans="1:20" ht="15" customHeight="1">
      <c r="A74" s="52" t="s">
        <v>46</v>
      </c>
      <c r="B74" s="52">
        <v>1712</v>
      </c>
      <c r="C74" s="52" t="s">
        <v>46</v>
      </c>
      <c r="D74" s="42">
        <f>SUMIFS('2026'!$N:$N,'2026'!$J:$J,$B74&amp;$C74,'2026'!$O:$O,D$4)</f>
        <v>499.04583333333335</v>
      </c>
      <c r="E74" s="42">
        <f>SUMIFS('2026'!$N:$N,'2026'!$J:$J,$B74&amp;$C74,'2026'!$O:$O,E$4)</f>
        <v>1218.5625</v>
      </c>
      <c r="F74" s="42">
        <f>SUMIFS('2026'!$N:$N,'2026'!$J:$J,$B74&amp;$C74,'2026'!$O:$O,F$4)</f>
        <v>1494.5583333333334</v>
      </c>
      <c r="G74" s="42">
        <f>SUMIFS('2026'!$N:$N,'2026'!$J:$J,$B74&amp;$C74,'2026'!$O:$O,G$4)</f>
        <v>460.8</v>
      </c>
      <c r="H74" s="42">
        <f>SUMIFS('2026'!$N:$N,'2026'!$J:$J,$B74&amp;$C74,'2026'!$O:$O,H$4)</f>
        <v>757.26</v>
      </c>
      <c r="I74" s="42">
        <f>SUMIFS('2026'!$N:$N,'2026'!$J:$J,$B74&amp;$C74,'2026'!$O:$O,I$4)</f>
        <v>921.6</v>
      </c>
      <c r="J74" s="42">
        <f>SUMIFS('2026'!$N:$N,'2026'!$J:$J,$B74&amp;$C74,'2026'!$O:$O,J$4)</f>
        <v>460.8</v>
      </c>
      <c r="K74" s="42">
        <f>SUMIFS('2026'!$N:$N,'2026'!$J:$J,$B74&amp;$C74,'2026'!$O:$O,K$4)</f>
        <v>1843.2</v>
      </c>
      <c r="L74" s="42">
        <f>SUMIFS('2026'!$N:$N,'2026'!$J:$J,$B74&amp;$C74,'2026'!$O:$O,L$4)</f>
        <v>1382.4</v>
      </c>
      <c r="M74" s="42">
        <f>SUMIFS('2026'!$N:$N,'2026'!$J:$J,$B74&amp;$C74,'2026'!$O:$O,M$4)</f>
        <v>1382.4</v>
      </c>
      <c r="N74" s="42">
        <f>SUMIFS('2026'!$N:$N,'2026'!$J:$J,$B74&amp;$C74,'2026'!$O:$O,N$4)</f>
        <v>1436.8000000000002</v>
      </c>
      <c r="O74" s="42">
        <f>SUMIFS('2026'!$N:$N,'2026'!$J:$J,$B74&amp;$C74,'2026'!$O:$O,O$4)</f>
        <v>1382.4</v>
      </c>
      <c r="P74" s="61">
        <f t="shared" si="31"/>
        <v>13239.826666666666</v>
      </c>
      <c r="Q74" s="61">
        <f t="shared" si="31"/>
        <v>25980.607499999998</v>
      </c>
      <c r="R74" s="29">
        <f t="shared" si="32"/>
        <v>-12740.780833333332</v>
      </c>
      <c r="S74" s="9">
        <f t="shared" si="33"/>
        <v>-0.4903958013042356</v>
      </c>
      <c r="T74" s="61">
        <v>13858.066666666668</v>
      </c>
    </row>
    <row r="75" spans="1:20" ht="15" customHeight="1">
      <c r="A75" s="2" t="s">
        <v>42</v>
      </c>
      <c r="B75" s="52">
        <v>1713</v>
      </c>
      <c r="C75" s="52" t="s">
        <v>42</v>
      </c>
      <c r="D75" s="42">
        <f>SUMIFS('2026'!$N:$N,'2026'!$J:$J,$B75&amp;$C75,'2026'!$O:$O,D$4)</f>
        <v>0.495</v>
      </c>
      <c r="E75" s="42">
        <f>SUMIFS('2026'!$N:$N,'2026'!$J:$J,$B75&amp;$C75,'2026'!$O:$O,E$4)</f>
        <v>103.895</v>
      </c>
      <c r="F75" s="42">
        <f>SUMIFS('2026'!$N:$N,'2026'!$J:$J,$B75&amp;$C75,'2026'!$O:$O,F$4)</f>
        <v>0</v>
      </c>
      <c r="G75" s="42">
        <f>SUMIFS('2026'!$N:$N,'2026'!$J:$J,$B75&amp;$C75,'2026'!$O:$O,G$4)</f>
        <v>17.28</v>
      </c>
      <c r="H75" s="42">
        <f>SUMIFS('2026'!$N:$N,'2026'!$J:$J,$B75&amp;$C75,'2026'!$O:$O,H$4)</f>
        <v>0</v>
      </c>
      <c r="I75" s="42">
        <f>SUMIFS('2026'!$N:$N,'2026'!$J:$J,$B75&amp;$C75,'2026'!$O:$O,I$4)</f>
        <v>105.6</v>
      </c>
      <c r="J75" s="42">
        <f>SUMIFS('2026'!$N:$N,'2026'!$J:$J,$B75&amp;$C75,'2026'!$O:$O,J$4)</f>
        <v>52.800000000000004</v>
      </c>
      <c r="K75" s="42">
        <f>SUMIFS('2026'!$N:$N,'2026'!$J:$J,$B75&amp;$C75,'2026'!$O:$O,K$4)</f>
        <v>42.24</v>
      </c>
      <c r="L75" s="42">
        <f>SUMIFS('2026'!$N:$N,'2026'!$J:$J,$B75&amp;$C75,'2026'!$O:$O,L$4)</f>
        <v>52.800000000000004</v>
      </c>
      <c r="M75" s="42">
        <f>SUMIFS('2026'!$N:$N,'2026'!$J:$J,$B75&amp;$C75,'2026'!$O:$O,M$4)</f>
        <v>31.68</v>
      </c>
      <c r="N75" s="42">
        <f>SUMIFS('2026'!$N:$N,'2026'!$J:$J,$B75&amp;$C75,'2026'!$O:$O,N$4)</f>
        <v>21.12</v>
      </c>
      <c r="O75" s="42">
        <f>SUMIFS('2026'!$N:$N,'2026'!$J:$J,$B75&amp;$C75,'2026'!$O:$O,O$4)</f>
        <v>0</v>
      </c>
      <c r="P75" s="61">
        <f t="shared" si="31"/>
        <v>427.91</v>
      </c>
      <c r="Q75" s="61">
        <f t="shared" si="31"/>
        <v>855.32500000000005</v>
      </c>
      <c r="R75" s="29">
        <f t="shared" si="32"/>
        <v>-427.41500000000002</v>
      </c>
      <c r="S75" s="9">
        <f t="shared" si="33"/>
        <v>-0.49971063630783619</v>
      </c>
      <c r="T75" s="61">
        <v>1696.9750000000001</v>
      </c>
    </row>
    <row r="76" spans="1:20" ht="15" customHeight="1">
      <c r="A76" s="2" t="s">
        <v>43</v>
      </c>
      <c r="B76" s="52">
        <v>1714</v>
      </c>
      <c r="C76" s="52" t="s">
        <v>43</v>
      </c>
      <c r="D76" s="42">
        <f>SUMIFS('2026'!$N:$N,'2026'!$J:$J,$B76&amp;$C76,'2026'!$O:$O,D$4)</f>
        <v>0</v>
      </c>
      <c r="E76" s="42">
        <f>SUMIFS('2026'!$N:$N,'2026'!$J:$J,$B76&amp;$C76,'2026'!$O:$O,E$4)</f>
        <v>0</v>
      </c>
      <c r="F76" s="42">
        <f>SUMIFS('2026'!$N:$N,'2026'!$J:$J,$B76&amp;$C76,'2026'!$O:$O,F$4)</f>
        <v>0</v>
      </c>
      <c r="G76" s="42">
        <f>SUMIFS('2026'!$N:$N,'2026'!$J:$J,$B76&amp;$C76,'2026'!$O:$O,G$4)</f>
        <v>0</v>
      </c>
      <c r="H76" s="42">
        <f>SUMIFS('2026'!$N:$N,'2026'!$J:$J,$B76&amp;$C76,'2026'!$O:$O,H$4)</f>
        <v>0</v>
      </c>
      <c r="I76" s="42">
        <f>SUMIFS('2026'!$N:$N,'2026'!$J:$J,$B76&amp;$C76,'2026'!$O:$O,I$4)</f>
        <v>0</v>
      </c>
      <c r="J76" s="42">
        <f>SUMIFS('2026'!$N:$N,'2026'!$J:$J,$B76&amp;$C76,'2026'!$O:$O,J$4)</f>
        <v>0</v>
      </c>
      <c r="K76" s="42">
        <f>SUMIFS('2026'!$N:$N,'2026'!$J:$J,$B76&amp;$C76,'2026'!$O:$O,K$4)</f>
        <v>0</v>
      </c>
      <c r="L76" s="42">
        <f>SUMIFS('2026'!$N:$N,'2026'!$J:$J,$B76&amp;$C76,'2026'!$O:$O,L$4)</f>
        <v>0</v>
      </c>
      <c r="M76" s="42">
        <f>SUMIFS('2026'!$N:$N,'2026'!$J:$J,$B76&amp;$C76,'2026'!$O:$O,M$4)</f>
        <v>0</v>
      </c>
      <c r="N76" s="42">
        <f>SUMIFS('2026'!$N:$N,'2026'!$J:$J,$B76&amp;$C76,'2026'!$O:$O,N$4)</f>
        <v>0</v>
      </c>
      <c r="O76" s="42">
        <f>SUMIFS('2026'!$N:$N,'2026'!$J:$J,$B76&amp;$C76,'2026'!$O:$O,O$4)</f>
        <v>0</v>
      </c>
      <c r="P76" s="61">
        <f t="shared" si="31"/>
        <v>0</v>
      </c>
      <c r="Q76" s="61">
        <f t="shared" si="31"/>
        <v>0</v>
      </c>
      <c r="R76" s="29">
        <f t="shared" si="32"/>
        <v>0</v>
      </c>
      <c r="S76" s="9" t="str">
        <f t="shared" si="33"/>
        <v/>
      </c>
      <c r="T76" s="61">
        <v>30</v>
      </c>
    </row>
    <row r="77" spans="1:20" ht="15" customHeight="1">
      <c r="B77" s="10"/>
      <c r="C77" s="90" t="s">
        <v>117</v>
      </c>
      <c r="D77" s="64">
        <f t="shared" ref="D77:O77" si="34">SUM(D71:D76)</f>
        <v>3392.5226515151517</v>
      </c>
      <c r="E77" s="64">
        <f t="shared" si="34"/>
        <v>3621.6938636363634</v>
      </c>
      <c r="F77" s="64">
        <f t="shared" si="34"/>
        <v>3230.6431818181818</v>
      </c>
      <c r="G77" s="64">
        <f t="shared" si="34"/>
        <v>2000.3316363636361</v>
      </c>
      <c r="H77" s="64">
        <f t="shared" si="34"/>
        <v>8365.9872727272705</v>
      </c>
      <c r="I77" s="64">
        <f t="shared" si="34"/>
        <v>4249.0181818181827</v>
      </c>
      <c r="J77" s="64">
        <f t="shared" si="34"/>
        <v>3755.7818181818184</v>
      </c>
      <c r="K77" s="64">
        <f t="shared" si="34"/>
        <v>4185.0763636363636</v>
      </c>
      <c r="L77" s="64">
        <f t="shared" si="34"/>
        <v>2961.0181818181818</v>
      </c>
      <c r="M77" s="64">
        <f t="shared" si="34"/>
        <v>4904.7769696969699</v>
      </c>
      <c r="N77" s="64">
        <f t="shared" si="34"/>
        <v>5105.0048484848485</v>
      </c>
      <c r="O77" s="64">
        <f t="shared" si="34"/>
        <v>3394.0363636363636</v>
      </c>
      <c r="P77" s="64">
        <f>SUM(P71:P76)</f>
        <v>49165.89133333334</v>
      </c>
      <c r="Q77" s="64">
        <f>SUM(Q71:Q76)</f>
        <v>94939.260015151507</v>
      </c>
      <c r="R77" s="63">
        <f t="shared" ref="R77" si="35">SUM(R71)</f>
        <v>-19474.937212121207</v>
      </c>
      <c r="S77" s="12">
        <f t="shared" ref="S77" si="36">IF(ISERROR(R77/Q77),"",R77/Q77)</f>
        <v>-0.20513049300166414</v>
      </c>
      <c r="T77" s="64">
        <v>61477.591042780747</v>
      </c>
    </row>
    <row r="78" spans="1:20"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R78" s="31" t="s">
        <v>94</v>
      </c>
      <c r="S78" s="32"/>
    </row>
    <row r="79" spans="1:20">
      <c r="D79" s="5" t="s">
        <v>68</v>
      </c>
      <c r="E79" s="5" t="s">
        <v>69</v>
      </c>
      <c r="F79" s="5" t="s">
        <v>70</v>
      </c>
      <c r="G79" s="5" t="s">
        <v>71</v>
      </c>
      <c r="H79" s="5" t="s">
        <v>72</v>
      </c>
      <c r="I79" s="5" t="s">
        <v>73</v>
      </c>
      <c r="J79" s="5" t="s">
        <v>74</v>
      </c>
      <c r="K79" s="5" t="s">
        <v>75</v>
      </c>
      <c r="L79" s="5" t="s">
        <v>76</v>
      </c>
      <c r="M79" s="5" t="s">
        <v>77</v>
      </c>
      <c r="N79" s="5" t="s">
        <v>78</v>
      </c>
      <c r="O79" s="5" t="s">
        <v>79</v>
      </c>
      <c r="P79" s="187" t="str">
        <f>P$4</f>
        <v>2026 MRF3</v>
      </c>
      <c r="Q79" s="188" t="str">
        <f>Q$4</f>
        <v>2026 MRF2</v>
      </c>
      <c r="R79" s="5" t="str">
        <f t="shared" ref="R79:S79" si="37">R$4</f>
        <v>Difference</v>
      </c>
      <c r="S79" s="6" t="str">
        <f t="shared" si="37"/>
        <v>% change</v>
      </c>
      <c r="T79" s="187" t="s">
        <v>1186</v>
      </c>
    </row>
    <row r="80" spans="1:20" ht="15" customHeight="1">
      <c r="A80" s="2" t="s">
        <v>38</v>
      </c>
      <c r="B80" s="52" t="s">
        <v>118</v>
      </c>
      <c r="C80" s="52" t="s">
        <v>30</v>
      </c>
      <c r="D80" s="42">
        <f>SUMIFS('2026'!$N:$N,'2026'!$J:$J,$B80&amp;$C80,'2026'!$O:$O,D$4)</f>
        <v>269.93359375</v>
      </c>
      <c r="E80" s="42">
        <f>SUMIFS('2026'!$N:$N,'2026'!$J:$J,$B80&amp;$C80,'2026'!$O:$O,E$4)</f>
        <v>192</v>
      </c>
      <c r="F80" s="42">
        <f>SUMIFS('2026'!$N:$N,'2026'!$J:$J,$B80&amp;$C80,'2026'!$O:$O,F$4)</f>
        <v>158.42578125</v>
      </c>
      <c r="G80" s="42">
        <f>SUMIFS('2026'!$N:$N,'2026'!$J:$J,$B80&amp;$C80,'2026'!$O:$O,G$4)</f>
        <v>202.5</v>
      </c>
      <c r="H80" s="42">
        <f>SUMIFS('2026'!$N:$N,'2026'!$J:$J,$B80&amp;$C80,'2026'!$O:$O,H$4)</f>
        <v>170.625</v>
      </c>
      <c r="I80" s="42">
        <f>SUMIFS('2026'!$N:$N,'2026'!$J:$J,$B80&amp;$C80,'2026'!$O:$O,I$4)</f>
        <v>135.9375</v>
      </c>
      <c r="J80" s="42">
        <f>SUMIFS('2026'!$N:$N,'2026'!$J:$J,$B80&amp;$C80,'2026'!$O:$O,J$4)</f>
        <v>148.125</v>
      </c>
      <c r="K80" s="42">
        <f>SUMIFS('2026'!$N:$N,'2026'!$J:$J,$B80&amp;$C80,'2026'!$O:$O,K$4)</f>
        <v>120</v>
      </c>
      <c r="L80" s="42">
        <f>SUMIFS('2026'!$N:$N,'2026'!$J:$J,$B80&amp;$C80,'2026'!$O:$O,L$4)</f>
        <v>52.5</v>
      </c>
      <c r="M80" s="42">
        <f>SUMIFS('2026'!$N:$N,'2026'!$J:$J,$B80&amp;$C80,'2026'!$O:$O,M$4)</f>
        <v>97.5</v>
      </c>
      <c r="N80" s="42">
        <f>SUMIFS('2026'!$N:$N,'2026'!$J:$J,$B80&amp;$C80,'2026'!$O:$O,N$4)</f>
        <v>99.375</v>
      </c>
      <c r="O80" s="42">
        <f>SUMIFS('2026'!$N:$N,'2026'!$J:$J,$B80&amp;$C80,'2026'!$O:$O,O$4)</f>
        <v>73.125</v>
      </c>
      <c r="P80" s="61">
        <f t="shared" ref="P80:Q83" si="38">SUM(D80:O80)</f>
        <v>1720.046875</v>
      </c>
      <c r="Q80" s="61">
        <f t="shared" si="38"/>
        <v>3170.16015625</v>
      </c>
      <c r="R80" s="29">
        <f t="shared" ref="R80:R82" si="39">P80-Q80</f>
        <v>-1450.11328125</v>
      </c>
      <c r="S80" s="9">
        <f t="shared" ref="S80:S82" si="40">IF(ISERROR(R80/Q80),"",R80/Q80)</f>
        <v>-0.45742587433353749</v>
      </c>
      <c r="T80" s="61">
        <v>1770.65625</v>
      </c>
    </row>
    <row r="81" spans="1:20" ht="15" customHeight="1">
      <c r="A81" s="2" t="s">
        <v>33</v>
      </c>
      <c r="B81" s="52">
        <v>6757</v>
      </c>
      <c r="C81" s="52" t="s">
        <v>33</v>
      </c>
      <c r="D81" s="42">
        <f>SUMIFS('2026'!$N:$N,'2026'!$J:$J,$B81&amp;$C81,'2026'!$O:$O,D$4)</f>
        <v>295.77777777777783</v>
      </c>
      <c r="E81" s="42">
        <f>SUMIFS('2026'!$N:$N,'2026'!$J:$J,$B81&amp;$C81,'2026'!$O:$O,E$4)</f>
        <v>465.50000000000006</v>
      </c>
      <c r="F81" s="42">
        <f>SUMIFS('2026'!$N:$N,'2026'!$J:$J,$B81&amp;$C81,'2026'!$O:$O,F$4)</f>
        <v>461.3122222222222</v>
      </c>
      <c r="G81" s="42">
        <f>SUMIFS('2026'!$N:$N,'2026'!$J:$J,$B81&amp;$C81,'2026'!$O:$O,G$4)</f>
        <v>430.68444444444441</v>
      </c>
      <c r="H81" s="42">
        <f>SUMIFS('2026'!$N:$N,'2026'!$J:$J,$B81&amp;$C81,'2026'!$O:$O,H$4)</f>
        <v>430.68444444444441</v>
      </c>
      <c r="I81" s="42">
        <f>SUMIFS('2026'!$N:$N,'2026'!$J:$J,$B81&amp;$C81,'2026'!$O:$O,I$4)</f>
        <v>516.81777777777768</v>
      </c>
      <c r="J81" s="42">
        <f>SUMIFS('2026'!$N:$N,'2026'!$J:$J,$B81&amp;$C81,'2026'!$O:$O,J$4)</f>
        <v>430.68444444444441</v>
      </c>
      <c r="K81" s="42">
        <f>SUMIFS('2026'!$N:$N,'2026'!$J:$J,$B81&amp;$C81,'2026'!$O:$O,K$4)</f>
        <v>538.3555555555555</v>
      </c>
      <c r="L81" s="42">
        <f>SUMIFS('2026'!$N:$N,'2026'!$J:$J,$B81&amp;$C81,'2026'!$O:$O,L$4)</f>
        <v>430.68444444444441</v>
      </c>
      <c r="M81" s="42">
        <f>SUMIFS('2026'!$N:$N,'2026'!$J:$J,$B81&amp;$C81,'2026'!$O:$O,M$4)</f>
        <v>215.3422222222222</v>
      </c>
      <c r="N81" s="42">
        <f>SUMIFS('2026'!$N:$N,'2026'!$J:$J,$B81&amp;$C81,'2026'!$O:$O,N$4)</f>
        <v>0</v>
      </c>
      <c r="O81" s="42">
        <f>SUMIFS('2026'!$N:$N,'2026'!$J:$J,$B81&amp;$C81,'2026'!$O:$O,O$4)</f>
        <v>39.25333333333333</v>
      </c>
      <c r="P81" s="61">
        <f t="shared" si="38"/>
        <v>4255.0966666666664</v>
      </c>
      <c r="Q81" s="61">
        <f t="shared" si="38"/>
        <v>8214.4155555555553</v>
      </c>
      <c r="R81" s="29">
        <f t="shared" si="39"/>
        <v>-3959.318888888889</v>
      </c>
      <c r="S81" s="9">
        <f t="shared" si="40"/>
        <v>-0.4819964198440303</v>
      </c>
      <c r="T81" s="61">
        <v>3342.9666666666662</v>
      </c>
    </row>
    <row r="82" spans="1:20" ht="15" customHeight="1">
      <c r="A82" s="2" t="s">
        <v>43</v>
      </c>
      <c r="B82" s="52">
        <v>6757</v>
      </c>
      <c r="C82" s="52" t="s">
        <v>43</v>
      </c>
      <c r="D82" s="42">
        <f>SUMIFS('2026'!$N:$N,'2026'!$J:$J,$B82&amp;$C82,'2026'!$O:$O,D$4)</f>
        <v>0</v>
      </c>
      <c r="E82" s="42">
        <f>SUMIFS('2026'!$N:$N,'2026'!$J:$J,$B82&amp;$C82,'2026'!$O:$O,E$4)</f>
        <v>187.73888888888888</v>
      </c>
      <c r="F82" s="42">
        <f>SUMIFS('2026'!$N:$N,'2026'!$J:$J,$B82&amp;$C82,'2026'!$O:$O,F$4)</f>
        <v>190.73333333333332</v>
      </c>
      <c r="G82" s="42">
        <f>SUMIFS('2026'!$N:$N,'2026'!$J:$J,$B82&amp;$C82,'2026'!$O:$O,G$4)</f>
        <v>0</v>
      </c>
      <c r="H82" s="42">
        <f>SUMIFS('2026'!$N:$N,'2026'!$J:$J,$B82&amp;$C82,'2026'!$O:$O,H$4)</f>
        <v>65.599999999999994</v>
      </c>
      <c r="I82" s="42">
        <f>SUMIFS('2026'!$N:$N,'2026'!$J:$J,$B82&amp;$C82,'2026'!$O:$O,I$4)</f>
        <v>0</v>
      </c>
      <c r="J82" s="42">
        <f>SUMIFS('2026'!$N:$N,'2026'!$J:$J,$B82&amp;$C82,'2026'!$O:$O,J$4)</f>
        <v>0</v>
      </c>
      <c r="K82" s="42">
        <f>SUMIFS('2026'!$N:$N,'2026'!$J:$J,$B82&amp;$C82,'2026'!$O:$O,K$4)</f>
        <v>0</v>
      </c>
      <c r="L82" s="42">
        <f>SUMIFS('2026'!$N:$N,'2026'!$J:$J,$B82&amp;$C82,'2026'!$O:$O,L$4)</f>
        <v>0</v>
      </c>
      <c r="M82" s="42">
        <f>SUMIFS('2026'!$N:$N,'2026'!$J:$J,$B82&amp;$C82,'2026'!$O:$O,M$4)</f>
        <v>39.25333333333333</v>
      </c>
      <c r="N82" s="42">
        <f>SUMIFS('2026'!$N:$N,'2026'!$J:$J,$B82&amp;$C82,'2026'!$O:$O,N$4)</f>
        <v>0</v>
      </c>
      <c r="O82" s="42">
        <f>SUMIFS('2026'!$N:$N,'2026'!$J:$J,$B82&amp;$C82,'2026'!$O:$O,O$4)</f>
        <v>0</v>
      </c>
      <c r="P82" s="61">
        <f t="shared" si="38"/>
        <v>483.32555555555552</v>
      </c>
      <c r="Q82" s="61">
        <f t="shared" si="38"/>
        <v>966.65111111111105</v>
      </c>
      <c r="R82" s="29">
        <f t="shared" si="39"/>
        <v>-483.32555555555552</v>
      </c>
      <c r="S82" s="9">
        <f t="shared" si="40"/>
        <v>-0.5</v>
      </c>
      <c r="T82" s="61">
        <v>968.9661375661376</v>
      </c>
    </row>
    <row r="83" spans="1:20" ht="15" customHeight="1">
      <c r="A83" s="2" t="s">
        <v>38</v>
      </c>
      <c r="B83" s="52">
        <v>6757</v>
      </c>
      <c r="C83" s="52" t="s">
        <v>113</v>
      </c>
      <c r="D83" s="42">
        <f>SUMIFS('2026'!$N:$N,'2026'!$J:$J,$B83&amp;$C83,'2026'!$O:$O,D$4)</f>
        <v>0</v>
      </c>
      <c r="E83" s="42">
        <f>SUMIFS('2026'!$N:$N,'2026'!$J:$J,$B83&amp;$C83,'2026'!$O:$O,E$4)</f>
        <v>0</v>
      </c>
      <c r="F83" s="42">
        <f>SUMIFS('2026'!$N:$N,'2026'!$J:$J,$B83&amp;$C83,'2026'!$O:$O,F$4)</f>
        <v>0</v>
      </c>
      <c r="G83" s="42">
        <f>SUMIFS('2026'!$N:$N,'2026'!$J:$J,$B83&amp;$C83,'2026'!$O:$O,G$4)</f>
        <v>0</v>
      </c>
      <c r="H83" s="42">
        <f>SUMIFS('2026'!$N:$N,'2026'!$J:$J,$B83&amp;$C83,'2026'!$O:$O,H$4)</f>
        <v>0</v>
      </c>
      <c r="I83" s="42">
        <f>SUMIFS('2026'!$N:$N,'2026'!$J:$J,$B83&amp;$C83,'2026'!$O:$O,I$4)</f>
        <v>0</v>
      </c>
      <c r="J83" s="42">
        <f>SUMIFS('2026'!$N:$N,'2026'!$J:$J,$B83&amp;$C83,'2026'!$O:$O,J$4)</f>
        <v>0</v>
      </c>
      <c r="K83" s="42">
        <f>SUMIFS('2026'!$N:$N,'2026'!$J:$J,$B83&amp;$C83,'2026'!$O:$O,K$4)</f>
        <v>0</v>
      </c>
      <c r="L83" s="42">
        <f>SUMIFS('2026'!$N:$N,'2026'!$J:$J,$B83&amp;$C83,'2026'!$O:$O,L$4)</f>
        <v>0</v>
      </c>
      <c r="M83" s="42">
        <f>SUMIFS('2026'!$N:$N,'2026'!$J:$J,$B83&amp;$C83,'2026'!$O:$O,M$4)</f>
        <v>0</v>
      </c>
      <c r="N83" s="42">
        <f>SUMIFS('2026'!$N:$N,'2026'!$J:$J,$B83&amp;$C83,'2026'!$O:$O,N$4)</f>
        <v>0</v>
      </c>
      <c r="O83" s="42">
        <f>SUMIFS('2026'!$N:$N,'2026'!$J:$J,$B83&amp;$C83,'2026'!$O:$O,O$4)</f>
        <v>0</v>
      </c>
      <c r="P83" s="61">
        <f t="shared" si="38"/>
        <v>0</v>
      </c>
      <c r="Q83" s="61">
        <f t="shared" si="38"/>
        <v>0</v>
      </c>
      <c r="R83" s="29"/>
      <c r="S83" s="9"/>
      <c r="T83" s="61">
        <v>0</v>
      </c>
    </row>
    <row r="84" spans="1:20" ht="15" customHeight="1">
      <c r="A84" s="2" t="s">
        <v>38</v>
      </c>
      <c r="B84" s="52">
        <v>1717</v>
      </c>
      <c r="C84" s="36" t="s">
        <v>38</v>
      </c>
      <c r="D84" s="42">
        <f>SUMIFS('2026'!$N:$N,'2026'!$J:$J,$B84&amp;$C84,'2026'!$O:$O,D$4)</f>
        <v>298.69534313725489</v>
      </c>
      <c r="E84" s="42">
        <f>SUMIFS('2026'!$N:$N,'2026'!$J:$J,$B84&amp;$C84,'2026'!$O:$O,E$4)</f>
        <v>172.1447963800905</v>
      </c>
      <c r="F84" s="42">
        <f>SUMIFS('2026'!$N:$N,'2026'!$J:$J,$B84&amp;$C84,'2026'!$O:$O,F$4)</f>
        <v>421.49701357466057</v>
      </c>
      <c r="G84" s="42">
        <f>SUMIFS('2026'!$N:$N,'2026'!$J:$J,$B84&amp;$C84,'2026'!$O:$O,G$4)</f>
        <v>313.75927601809951</v>
      </c>
      <c r="H84" s="42">
        <f>SUMIFS('2026'!$N:$N,'2026'!$J:$J,$B84&amp;$C84,'2026'!$O:$O,H$4)</f>
        <v>246.77647058823527</v>
      </c>
      <c r="I84" s="42">
        <f>SUMIFS('2026'!$N:$N,'2026'!$J:$J,$B84&amp;$C84,'2026'!$O:$O,I$4)</f>
        <v>232.29828054298639</v>
      </c>
      <c r="J84" s="42">
        <f>SUMIFS('2026'!$N:$N,'2026'!$J:$J,$B84&amp;$C84,'2026'!$O:$O,J$4)</f>
        <v>293.2126696832579</v>
      </c>
      <c r="K84" s="42">
        <f>SUMIFS('2026'!$N:$N,'2026'!$J:$J,$B84&amp;$C84,'2026'!$O:$O,K$4)</f>
        <v>195.47511312217193</v>
      </c>
      <c r="L84" s="42">
        <f>SUMIFS('2026'!$N:$N,'2026'!$J:$J,$B84&amp;$C84,'2026'!$O:$O,L$4)</f>
        <v>195.47511312217193</v>
      </c>
      <c r="M84" s="42">
        <f>SUMIFS('2026'!$N:$N,'2026'!$J:$J,$B84&amp;$C84,'2026'!$O:$O,M$4)</f>
        <v>228.05429864253392</v>
      </c>
      <c r="N84" s="42">
        <f>SUMIFS('2026'!$N:$N,'2026'!$J:$J,$B84&amp;$C84,'2026'!$O:$O,N$4)</f>
        <v>162.89592760180994</v>
      </c>
      <c r="O84" s="42">
        <f>SUMIFS('2026'!$N:$N,'2026'!$J:$J,$B84&amp;$C84,'2026'!$O:$O,O$4)</f>
        <v>130.31674208144796</v>
      </c>
      <c r="P84" s="61"/>
      <c r="Q84" s="61"/>
      <c r="R84" s="29"/>
      <c r="S84" s="9"/>
      <c r="T84" s="61">
        <v>0</v>
      </c>
    </row>
    <row r="85" spans="1:20" ht="15" customHeight="1">
      <c r="A85" s="2" t="s">
        <v>45</v>
      </c>
      <c r="B85" s="52">
        <v>1716</v>
      </c>
      <c r="C85" s="52" t="s">
        <v>45</v>
      </c>
      <c r="D85" s="42">
        <f>SUMIFS('2026'!$N:$N,'2026'!$J:$J,$B85&amp;$C85,'2026'!$O:$O,D$4)</f>
        <v>873.67083333333346</v>
      </c>
      <c r="E85" s="42">
        <f>SUMIFS('2026'!$N:$N,'2026'!$J:$J,$B85&amp;$C85,'2026'!$O:$O,E$4)</f>
        <v>863.00416666666661</v>
      </c>
      <c r="F85" s="42">
        <f>SUMIFS('2026'!$N:$N,'2026'!$J:$J,$B85&amp;$C85,'2026'!$O:$O,F$4)</f>
        <v>1303.7541666666666</v>
      </c>
      <c r="G85" s="42">
        <f>SUMIFS('2026'!$N:$N,'2026'!$J:$J,$B85&amp;$C85,'2026'!$O:$O,G$4)</f>
        <v>942.5</v>
      </c>
      <c r="H85" s="42">
        <f>SUMIFS('2026'!$N:$N,'2026'!$J:$J,$B85&amp;$C85,'2026'!$O:$O,H$4)</f>
        <v>524</v>
      </c>
      <c r="I85" s="42">
        <f>SUMIFS('2026'!$N:$N,'2026'!$J:$J,$B85&amp;$C85,'2026'!$O:$O,I$4)</f>
        <v>324</v>
      </c>
      <c r="J85" s="42">
        <f>SUMIFS('2026'!$N:$N,'2026'!$J:$J,$B85&amp;$C85,'2026'!$O:$O,J$4)</f>
        <v>648</v>
      </c>
      <c r="K85" s="42">
        <f>SUMIFS('2026'!$N:$N,'2026'!$J:$J,$B85&amp;$C85,'2026'!$O:$O,K$4)</f>
        <v>324</v>
      </c>
      <c r="L85" s="42">
        <f>SUMIFS('2026'!$N:$N,'2026'!$J:$J,$B85&amp;$C85,'2026'!$O:$O,L$4)</f>
        <v>524</v>
      </c>
      <c r="M85" s="42">
        <f>SUMIFS('2026'!$N:$N,'2026'!$J:$J,$B85&amp;$C85,'2026'!$O:$O,M$4)</f>
        <v>324</v>
      </c>
      <c r="N85" s="42">
        <f>SUMIFS('2026'!$N:$N,'2026'!$J:$J,$B85&amp;$C85,'2026'!$O:$O,N$4)</f>
        <v>548</v>
      </c>
      <c r="O85" s="42">
        <f>SUMIFS('2026'!$N:$N,'2026'!$J:$J,$B85&amp;$C85,'2026'!$O:$O,O$4)</f>
        <v>212</v>
      </c>
      <c r="P85" s="61">
        <f t="shared" ref="P85:Q90" si="41">SUM(D85:O85)</f>
        <v>7410.9291666666668</v>
      </c>
      <c r="Q85" s="61">
        <f t="shared" si="41"/>
        <v>13948.1875</v>
      </c>
      <c r="R85" s="29">
        <f t="shared" ref="R85:R90" si="42">P85-Q85</f>
        <v>-6537.2583333333332</v>
      </c>
      <c r="S85" s="9">
        <f t="shared" ref="S85:S90" si="43">IF(ISERROR(R85/Q85),"",R85/Q85)</f>
        <v>-0.46868156406223627</v>
      </c>
      <c r="T85" s="61">
        <v>753.89166666666665</v>
      </c>
    </row>
    <row r="86" spans="1:20" ht="15" customHeight="1">
      <c r="A86" s="2" t="s">
        <v>40</v>
      </c>
      <c r="B86" s="52">
        <v>1716</v>
      </c>
      <c r="C86" s="52" t="s">
        <v>100</v>
      </c>
      <c r="D86" s="42">
        <f>SUMIFS('2026'!$N:$N,'2026'!$J:$J,$B86&amp;$C86,'2026'!$O:$O,D$4)</f>
        <v>0</v>
      </c>
      <c r="E86" s="42">
        <f>SUMIFS('2026'!$N:$N,'2026'!$J:$J,$B86&amp;$C86,'2026'!$O:$O,E$4)</f>
        <v>0</v>
      </c>
      <c r="F86" s="42">
        <f>SUMIFS('2026'!$N:$N,'2026'!$J:$J,$B86&amp;$C86,'2026'!$O:$O,F$4)</f>
        <v>0</v>
      </c>
      <c r="G86" s="42">
        <f>SUMIFS('2026'!$N:$N,'2026'!$J:$J,$B86&amp;$C86,'2026'!$O:$O,G$4)</f>
        <v>0</v>
      </c>
      <c r="H86" s="42">
        <f>SUMIFS('2026'!$N:$N,'2026'!$J:$J,$B86&amp;$C86,'2026'!$O:$O,H$4)</f>
        <v>0</v>
      </c>
      <c r="I86" s="42">
        <f>SUMIFS('2026'!$N:$N,'2026'!$J:$J,$B86&amp;$C86,'2026'!$O:$O,I$4)</f>
        <v>0</v>
      </c>
      <c r="J86" s="42">
        <f>SUMIFS('2026'!$N:$N,'2026'!$J:$J,$B86&amp;$C86,'2026'!$O:$O,J$4)</f>
        <v>0</v>
      </c>
      <c r="K86" s="42">
        <f>SUMIFS('2026'!$N:$N,'2026'!$J:$J,$B86&amp;$C86,'2026'!$O:$O,K$4)</f>
        <v>0</v>
      </c>
      <c r="L86" s="42">
        <f>SUMIFS('2026'!$N:$N,'2026'!$J:$J,$B86&amp;$C86,'2026'!$O:$O,L$4)</f>
        <v>0</v>
      </c>
      <c r="M86" s="42">
        <f>SUMIFS('2026'!$N:$N,'2026'!$J:$J,$B86&amp;$C86,'2026'!$O:$O,M$4)</f>
        <v>0</v>
      </c>
      <c r="N86" s="42">
        <f>SUMIFS('2026'!$N:$N,'2026'!$J:$J,$B86&amp;$C86,'2026'!$O:$O,N$4)</f>
        <v>0</v>
      </c>
      <c r="O86" s="42">
        <f>SUMIFS('2026'!$N:$N,'2026'!$J:$J,$B86&amp;$C86,'2026'!$O:$O,O$4)</f>
        <v>375</v>
      </c>
      <c r="P86" s="61">
        <f t="shared" si="41"/>
        <v>375</v>
      </c>
      <c r="Q86" s="61">
        <f t="shared" si="41"/>
        <v>750</v>
      </c>
      <c r="R86" s="29">
        <f t="shared" si="42"/>
        <v>-375</v>
      </c>
      <c r="S86" s="9">
        <f t="shared" si="43"/>
        <v>-0.5</v>
      </c>
      <c r="T86" s="61">
        <v>0</v>
      </c>
    </row>
    <row r="87" spans="1:20" ht="15" customHeight="1">
      <c r="A87" s="2" t="s">
        <v>120</v>
      </c>
      <c r="B87" s="52">
        <v>1716</v>
      </c>
      <c r="C87" s="52" t="s">
        <v>29</v>
      </c>
      <c r="D87" s="42">
        <f>SUMIFS('2026'!$N:$N,'2026'!$J:$J,$B87&amp;$C87,'2026'!$O:$O,D$4)</f>
        <v>0</v>
      </c>
      <c r="E87" s="42">
        <f>SUMIFS('2026'!$N:$N,'2026'!$J:$J,$B87&amp;$C87,'2026'!$O:$O,E$4)</f>
        <v>0</v>
      </c>
      <c r="F87" s="42">
        <f>SUMIFS('2026'!$N:$N,'2026'!$J:$J,$B87&amp;$C87,'2026'!$O:$O,F$4)</f>
        <v>0</v>
      </c>
      <c r="G87" s="42">
        <f>SUMIFS('2026'!$N:$N,'2026'!$J:$J,$B87&amp;$C87,'2026'!$O:$O,G$4)</f>
        <v>0</v>
      </c>
      <c r="H87" s="42">
        <f>SUMIFS('2026'!$N:$N,'2026'!$J:$J,$B87&amp;$C87,'2026'!$O:$O,H$4)</f>
        <v>0</v>
      </c>
      <c r="I87" s="42">
        <f>SUMIFS('2026'!$N:$N,'2026'!$J:$J,$B87&amp;$C87,'2026'!$O:$O,I$4)</f>
        <v>0</v>
      </c>
      <c r="J87" s="42">
        <f>SUMIFS('2026'!$N:$N,'2026'!$J:$J,$B87&amp;$C87,'2026'!$O:$O,J$4)</f>
        <v>0</v>
      </c>
      <c r="K87" s="42">
        <f>SUMIFS('2026'!$N:$N,'2026'!$J:$J,$B87&amp;$C87,'2026'!$O:$O,K$4)</f>
        <v>0</v>
      </c>
      <c r="L87" s="42">
        <f>SUMIFS('2026'!$N:$N,'2026'!$J:$J,$B87&amp;$C87,'2026'!$O:$O,L$4)</f>
        <v>0</v>
      </c>
      <c r="M87" s="42">
        <f>SUMIFS('2026'!$N:$N,'2026'!$J:$J,$B87&amp;$C87,'2026'!$O:$O,M$4)</f>
        <v>0</v>
      </c>
      <c r="N87" s="42">
        <f>SUMIFS('2026'!$N:$N,'2026'!$J:$J,$B87&amp;$C87,'2026'!$O:$O,N$4)</f>
        <v>0</v>
      </c>
      <c r="O87" s="42">
        <f>SUMIFS('2026'!$N:$N,'2026'!$J:$J,$B87&amp;$C87,'2026'!$O:$O,O$4)</f>
        <v>0</v>
      </c>
      <c r="P87" s="61">
        <f t="shared" si="41"/>
        <v>0</v>
      </c>
      <c r="Q87" s="61">
        <f t="shared" si="41"/>
        <v>0</v>
      </c>
      <c r="R87" s="29">
        <f t="shared" si="42"/>
        <v>0</v>
      </c>
      <c r="S87" s="9" t="str">
        <f t="shared" si="43"/>
        <v/>
      </c>
      <c r="T87" s="61">
        <v>2262.0333333333338</v>
      </c>
    </row>
    <row r="88" spans="1:20" ht="15" customHeight="1">
      <c r="A88" s="2" t="s">
        <v>27</v>
      </c>
      <c r="B88" s="52">
        <v>1716</v>
      </c>
      <c r="C88" s="52" t="s">
        <v>27</v>
      </c>
      <c r="D88" s="42">
        <f>SUMIFS('2026'!$N:$N,'2026'!$J:$J,$B88&amp;$C88,'2026'!$O:$O,D$4)</f>
        <v>545.89090909090908</v>
      </c>
      <c r="E88" s="42">
        <f>SUMIFS('2026'!$N:$N,'2026'!$J:$J,$B88&amp;$C88,'2026'!$O:$O,E$4)</f>
        <v>681.27272727272725</v>
      </c>
      <c r="F88" s="42">
        <f>SUMIFS('2026'!$N:$N,'2026'!$J:$J,$B88&amp;$C88,'2026'!$O:$O,F$4)</f>
        <v>1729.1963636363635</v>
      </c>
      <c r="G88" s="42">
        <f>SUMIFS('2026'!$N:$N,'2026'!$J:$J,$B88&amp;$C88,'2026'!$O:$O,G$4)</f>
        <v>805.82399999999996</v>
      </c>
      <c r="H88" s="42">
        <f>SUMIFS('2026'!$N:$N,'2026'!$J:$J,$B88&amp;$C88,'2026'!$O:$O,H$4)</f>
        <v>1708.2996363636362</v>
      </c>
      <c r="I88" s="42">
        <f>SUMIFS('2026'!$N:$N,'2026'!$J:$J,$B88&amp;$C88,'2026'!$O:$O,I$4)</f>
        <v>814.5454545454545</v>
      </c>
      <c r="J88" s="42">
        <f>SUMIFS('2026'!$N:$N,'2026'!$J:$J,$B88&amp;$C88,'2026'!$O:$O,J$4)</f>
        <v>651.63636363636363</v>
      </c>
      <c r="K88" s="42">
        <f>SUMIFS('2026'!$N:$N,'2026'!$J:$J,$B88&amp;$C88,'2026'!$O:$O,K$4)</f>
        <v>1303.2727272727273</v>
      </c>
      <c r="L88" s="42">
        <f>SUMIFS('2026'!$N:$N,'2026'!$J:$J,$B88&amp;$C88,'2026'!$O:$O,L$4)</f>
        <v>1303.2727272727273</v>
      </c>
      <c r="M88" s="42">
        <f>SUMIFS('2026'!$N:$N,'2026'!$J:$J,$B88&amp;$C88,'2026'!$O:$O,M$4)</f>
        <v>814.5454545454545</v>
      </c>
      <c r="N88" s="42">
        <f>SUMIFS('2026'!$N:$N,'2026'!$J:$J,$B88&amp;$C88,'2026'!$O:$O,N$4)</f>
        <v>977.45454545454538</v>
      </c>
      <c r="O88" s="42">
        <f>SUMIFS('2026'!$N:$N,'2026'!$J:$J,$B88&amp;$C88,'2026'!$O:$O,O$4)</f>
        <v>488.72727272727275</v>
      </c>
      <c r="P88" s="61">
        <f t="shared" si="41"/>
        <v>11823.938181818183</v>
      </c>
      <c r="Q88" s="61">
        <f t="shared" si="41"/>
        <v>23101.985454545455</v>
      </c>
      <c r="R88" s="29">
        <f t="shared" si="42"/>
        <v>-11278.047272727272</v>
      </c>
      <c r="S88" s="9">
        <f t="shared" si="43"/>
        <v>-0.48818519494428336</v>
      </c>
      <c r="T88" s="61">
        <v>1403.8666666666668</v>
      </c>
    </row>
    <row r="89" spans="1:20" ht="15" customHeight="1">
      <c r="A89" s="2" t="s">
        <v>33</v>
      </c>
      <c r="B89" s="52" t="s">
        <v>201</v>
      </c>
      <c r="C89" s="52" t="s">
        <v>33</v>
      </c>
      <c r="D89" s="42">
        <f>SUMIFS('2026'!$N:$N,'2026'!$J:$J,$B89&amp;$C89,'2026'!$O:$O,D$4)</f>
        <v>0</v>
      </c>
      <c r="E89" s="42">
        <f>SUMIFS('2026'!$N:$N,'2026'!$J:$J,$B89&amp;$C89,'2026'!$O:$O,E$4)</f>
        <v>0</v>
      </c>
      <c r="F89" s="42">
        <f>SUMIFS('2026'!$N:$N,'2026'!$J:$J,$B89&amp;$C89,'2026'!$O:$O,F$4)</f>
        <v>0</v>
      </c>
      <c r="G89" s="42">
        <f>SUMIFS('2026'!$N:$N,'2026'!$J:$J,$B89&amp;$C89,'2026'!$O:$O,G$4)</f>
        <v>342.93552812071295</v>
      </c>
      <c r="H89" s="42">
        <f>SUMIFS('2026'!$N:$N,'2026'!$J:$J,$B89&amp;$C89,'2026'!$O:$O,H$4)</f>
        <v>648.14814814814815</v>
      </c>
      <c r="I89" s="42">
        <f>SUMIFS('2026'!$N:$N,'2026'!$J:$J,$B89&amp;$C89,'2026'!$O:$O,I$4)</f>
        <v>574.41700960219441</v>
      </c>
      <c r="J89" s="42">
        <f>SUMIFS('2026'!$N:$N,'2026'!$J:$J,$B89&amp;$C89,'2026'!$O:$O,J$4)</f>
        <v>574.39386145404626</v>
      </c>
      <c r="K89" s="42">
        <f>SUMIFS('2026'!$N:$N,'2026'!$J:$J,$B89&amp;$C89,'2026'!$O:$O,K$4)</f>
        <v>574.39386145404626</v>
      </c>
      <c r="L89" s="42">
        <f>SUMIFS('2026'!$N:$N,'2026'!$J:$J,$B89&amp;$C89,'2026'!$O:$O,L$4)</f>
        <v>574.41700960219441</v>
      </c>
      <c r="M89" s="42">
        <f>SUMIFS('2026'!$N:$N,'2026'!$J:$J,$B89&amp;$C89,'2026'!$O:$O,M$4)</f>
        <v>458.67626886145371</v>
      </c>
      <c r="N89" s="42">
        <f>SUMIFS('2026'!$N:$N,'2026'!$J:$J,$B89&amp;$C89,'2026'!$O:$O,N$4)</f>
        <v>420.09602194787408</v>
      </c>
      <c r="O89" s="42">
        <f>SUMIFS('2026'!$N:$N,'2026'!$J:$J,$B89&amp;$C89,'2026'!$O:$O,O$4)</f>
        <v>420.09602194787408</v>
      </c>
      <c r="P89" s="61">
        <f t="shared" si="41"/>
        <v>4587.5737311385437</v>
      </c>
      <c r="Q89" s="61">
        <f t="shared" si="41"/>
        <v>9175.1474622770875</v>
      </c>
      <c r="R89" s="29">
        <f t="shared" si="42"/>
        <v>-4587.5737311385437</v>
      </c>
      <c r="S89" s="9">
        <f t="shared" si="43"/>
        <v>-0.5</v>
      </c>
      <c r="T89" s="61">
        <v>0</v>
      </c>
    </row>
    <row r="90" spans="1:20" ht="15" customHeight="1">
      <c r="A90" s="2" t="s">
        <v>38</v>
      </c>
      <c r="B90" s="36" t="s">
        <v>123</v>
      </c>
      <c r="C90" s="36" t="s">
        <v>38</v>
      </c>
      <c r="D90" s="42">
        <f>SUMIFS('2026'!$N:$N,'2026'!$J:$J,$B90&amp;$C90,'2026'!$O:$O,D$4)</f>
        <v>0</v>
      </c>
      <c r="E90" s="42">
        <f>SUMIFS('2026'!$N:$N,'2026'!$J:$J,$B90&amp;$C90,'2026'!$O:$O,E$4)</f>
        <v>0</v>
      </c>
      <c r="F90" s="42">
        <f>SUMIFS('2026'!$N:$N,'2026'!$J:$J,$B90&amp;$C90,'2026'!$O:$O,F$4)</f>
        <v>0</v>
      </c>
      <c r="G90" s="42">
        <f>SUMIFS('2026'!$N:$N,'2026'!$J:$J,$B90&amp;$C90,'2026'!$O:$O,G$4)</f>
        <v>0</v>
      </c>
      <c r="H90" s="42">
        <f>SUMIFS('2026'!$N:$N,'2026'!$J:$J,$B90&amp;$C90,'2026'!$O:$O,H$4)</f>
        <v>0</v>
      </c>
      <c r="I90" s="42">
        <f>SUMIFS('2026'!$N:$N,'2026'!$J:$J,$B90&amp;$C90,'2026'!$O:$O,I$4)</f>
        <v>0</v>
      </c>
      <c r="J90" s="42">
        <f>SUMIFS('2026'!$N:$N,'2026'!$J:$J,$B90&amp;$C90,'2026'!$O:$O,J$4)</f>
        <v>0</v>
      </c>
      <c r="K90" s="42">
        <f>SUMIFS('2026'!$N:$N,'2026'!$J:$J,$B90&amp;$C90,'2026'!$O:$O,K$4)</f>
        <v>0</v>
      </c>
      <c r="L90" s="42">
        <f>SUMIFS('2026'!$N:$N,'2026'!$J:$J,$B90&amp;$C90,'2026'!$O:$O,L$4)</f>
        <v>0</v>
      </c>
      <c r="M90" s="42">
        <f>SUMIFS('2026'!$N:$N,'2026'!$J:$J,$B90&amp;$C90,'2026'!$O:$O,M$4)</f>
        <v>0</v>
      </c>
      <c r="N90" s="42">
        <f>SUMIFS('2026'!$N:$N,'2026'!$J:$J,$B90&amp;$C90,'2026'!$O:$O,N$4)</f>
        <v>0</v>
      </c>
      <c r="O90" s="42">
        <f>SUMIFS('2026'!$N:$N,'2026'!$J:$J,$B90&amp;$C90,'2026'!$O:$O,O$4)</f>
        <v>0</v>
      </c>
      <c r="P90" s="61">
        <f t="shared" si="41"/>
        <v>0</v>
      </c>
      <c r="Q90" s="61">
        <f t="shared" si="41"/>
        <v>0</v>
      </c>
      <c r="R90" s="29">
        <f t="shared" si="42"/>
        <v>0</v>
      </c>
      <c r="S90" s="9" t="str">
        <f t="shared" si="43"/>
        <v/>
      </c>
      <c r="T90" s="61">
        <v>616.60833333333335</v>
      </c>
    </row>
    <row r="91" spans="1:20"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"/>
      <c r="Q91" s="1"/>
      <c r="R91" s="1"/>
      <c r="S91" s="1"/>
      <c r="T91" s="1"/>
    </row>
    <row r="92" spans="1:20">
      <c r="B92" s="35"/>
      <c r="C92" s="1094" t="s">
        <v>124</v>
      </c>
      <c r="D92" s="1095"/>
      <c r="E92" s="1095"/>
      <c r="F92" s="1095"/>
      <c r="G92" s="1095"/>
      <c r="H92" s="1095"/>
      <c r="I92" s="1095"/>
      <c r="J92" s="1095"/>
      <c r="K92" s="1095"/>
      <c r="L92" s="1095"/>
      <c r="M92" s="1095"/>
      <c r="N92" s="1095"/>
      <c r="O92" s="1095"/>
      <c r="R92" s="31" t="s">
        <v>94</v>
      </c>
      <c r="S92" s="32"/>
    </row>
    <row r="93" spans="1:20">
      <c r="B93" s="4"/>
      <c r="C93" s="4" t="s">
        <v>17</v>
      </c>
      <c r="D93" s="5" t="s">
        <v>68</v>
      </c>
      <c r="E93" s="5" t="s">
        <v>69</v>
      </c>
      <c r="F93" s="5" t="s">
        <v>70</v>
      </c>
      <c r="G93" s="5" t="s">
        <v>71</v>
      </c>
      <c r="H93" s="5" t="s">
        <v>72</v>
      </c>
      <c r="I93" s="5" t="s">
        <v>73</v>
      </c>
      <c r="J93" s="5" t="s">
        <v>74</v>
      </c>
      <c r="K93" s="5" t="s">
        <v>75</v>
      </c>
      <c r="L93" s="5" t="s">
        <v>76</v>
      </c>
      <c r="M93" s="5" t="s">
        <v>77</v>
      </c>
      <c r="N93" s="5" t="s">
        <v>78</v>
      </c>
      <c r="O93" s="5" t="s">
        <v>79</v>
      </c>
      <c r="P93" s="187" t="str">
        <f>P$4</f>
        <v>2026 MRF3</v>
      </c>
      <c r="Q93" s="188" t="str">
        <f>Q$4</f>
        <v>2026 MRF2</v>
      </c>
      <c r="R93" s="5" t="str">
        <f t="shared" ref="R93:S93" si="44">R$4</f>
        <v>Difference</v>
      </c>
      <c r="S93" s="6" t="str">
        <f t="shared" si="44"/>
        <v>% change</v>
      </c>
      <c r="T93" s="187" t="s">
        <v>1186</v>
      </c>
    </row>
    <row r="94" spans="1:20">
      <c r="A94" s="2" t="s">
        <v>38</v>
      </c>
      <c r="B94" s="36" t="s">
        <v>126</v>
      </c>
      <c r="C94" s="36" t="s">
        <v>127</v>
      </c>
      <c r="D94" s="42">
        <f>SUMIFS('2026'!$N:$N,'2026'!$J:$J,$B94&amp;$C94,'2026'!$O:$O,D$4)</f>
        <v>0</v>
      </c>
      <c r="E94" s="42">
        <f>SUMIFS('2026'!$N:$N,'2026'!$J:$J,$B94&amp;$C94,'2026'!$O:$O,E$4)</f>
        <v>0</v>
      </c>
      <c r="F94" s="42">
        <f>SUMIFS('2026'!$N:$N,'2026'!$J:$J,$B94&amp;$C94,'2026'!$O:$O,F$4)</f>
        <v>0</v>
      </c>
      <c r="G94" s="42">
        <f>SUMIFS('2026'!$N:$N,'2026'!$J:$J,$B94&amp;$C94,'2026'!$O:$O,G$4)</f>
        <v>0</v>
      </c>
      <c r="H94" s="42">
        <f>SUMIFS('2026'!$N:$N,'2026'!$J:$J,$B94&amp;$C94,'2026'!$O:$O,H$4)</f>
        <v>0</v>
      </c>
      <c r="I94" s="42">
        <f>SUMIFS('2026'!$N:$N,'2026'!$J:$J,$B94&amp;$C94,'2026'!$O:$O,I$4)</f>
        <v>0</v>
      </c>
      <c r="J94" s="42">
        <f>SUMIFS('2026'!$N:$N,'2026'!$J:$J,$B94&amp;$C94,'2026'!$O:$O,J$4)</f>
        <v>0</v>
      </c>
      <c r="K94" s="42">
        <f>SUMIFS('2026'!$N:$N,'2026'!$J:$J,$B94&amp;$C94,'2026'!$O:$O,K$4)</f>
        <v>0</v>
      </c>
      <c r="L94" s="42">
        <f>SUMIFS('2026'!$N:$N,'2026'!$J:$J,$B94&amp;$C94,'2026'!$O:$O,L$4)</f>
        <v>0</v>
      </c>
      <c r="M94" s="42">
        <f>SUMIFS('2026'!$N:$N,'2026'!$J:$J,$B94&amp;$C94,'2026'!$O:$O,M$4)</f>
        <v>0</v>
      </c>
      <c r="N94" s="42">
        <f>SUMIFS('2026'!$N:$N,'2026'!$J:$J,$B94&amp;$C94,'2026'!$O:$O,N$4)</f>
        <v>0</v>
      </c>
      <c r="O94" s="42">
        <f>SUMIFS('2026'!$N:$N,'2026'!$J:$J,$B94&amp;$C94,'2026'!$O:$O,O$4)</f>
        <v>0</v>
      </c>
      <c r="P94" s="61">
        <f t="shared" ref="P94:Q115" si="45">SUM(D94:O94)</f>
        <v>0</v>
      </c>
      <c r="Q94" s="61">
        <f t="shared" si="45"/>
        <v>0</v>
      </c>
      <c r="R94" s="29">
        <f t="shared" ref="R94:R115" si="46">P94-Q94</f>
        <v>0</v>
      </c>
      <c r="S94" s="9" t="str">
        <f t="shared" ref="S94:S115" si="47">IF(ISERROR(R94/Q94),"",R94/Q94)</f>
        <v/>
      </c>
      <c r="T94" s="61">
        <v>0</v>
      </c>
    </row>
    <row r="95" spans="1:20">
      <c r="A95" s="2" t="s">
        <v>37</v>
      </c>
      <c r="B95" s="36" t="s">
        <v>126</v>
      </c>
      <c r="C95" s="36" t="s">
        <v>37</v>
      </c>
      <c r="D95" s="42">
        <f>SUMIFS('2026'!$N:$N,'2026'!$J:$J,$B95&amp;$C95,'2026'!$O:$O,D$4)</f>
        <v>0</v>
      </c>
      <c r="E95" s="42">
        <f>SUMIFS('2026'!$N:$N,'2026'!$J:$J,$B95&amp;$C95,'2026'!$O:$O,E$4)</f>
        <v>0</v>
      </c>
      <c r="F95" s="42">
        <f>SUMIFS('2026'!$N:$N,'2026'!$J:$J,$B95&amp;$C95,'2026'!$O:$O,F$4)</f>
        <v>0</v>
      </c>
      <c r="G95" s="42">
        <f>SUMIFS('2026'!$N:$N,'2026'!$J:$J,$B95&amp;$C95,'2026'!$O:$O,G$4)</f>
        <v>0</v>
      </c>
      <c r="H95" s="42">
        <f>SUMIFS('2026'!$N:$N,'2026'!$J:$J,$B95&amp;$C95,'2026'!$O:$O,H$4)</f>
        <v>0</v>
      </c>
      <c r="I95" s="42">
        <f>SUMIFS('2026'!$N:$N,'2026'!$J:$J,$B95&amp;$C95,'2026'!$O:$O,I$4)</f>
        <v>0</v>
      </c>
      <c r="J95" s="42">
        <f>SUMIFS('2026'!$N:$N,'2026'!$J:$J,$B95&amp;$C95,'2026'!$O:$O,J$4)</f>
        <v>0</v>
      </c>
      <c r="K95" s="42">
        <f>SUMIFS('2026'!$N:$N,'2026'!$J:$J,$B95&amp;$C95,'2026'!$O:$O,K$4)</f>
        <v>0</v>
      </c>
      <c r="L95" s="42">
        <f>SUMIFS('2026'!$N:$N,'2026'!$J:$J,$B95&amp;$C95,'2026'!$O:$O,L$4)</f>
        <v>0</v>
      </c>
      <c r="M95" s="42">
        <f>SUMIFS('2026'!$N:$N,'2026'!$J:$J,$B95&amp;$C95,'2026'!$O:$O,M$4)</f>
        <v>0</v>
      </c>
      <c r="N95" s="42">
        <f>SUMIFS('2026'!$N:$N,'2026'!$J:$J,$B95&amp;$C95,'2026'!$O:$O,N$4)</f>
        <v>0</v>
      </c>
      <c r="O95" s="42">
        <f>SUMIFS('2026'!$N:$N,'2026'!$J:$J,$B95&amp;$C95,'2026'!$O:$O,O$4)</f>
        <v>0</v>
      </c>
      <c r="P95" s="61">
        <f t="shared" si="45"/>
        <v>0</v>
      </c>
      <c r="Q95" s="61">
        <f t="shared" si="45"/>
        <v>0</v>
      </c>
      <c r="R95" s="29">
        <f t="shared" si="46"/>
        <v>0</v>
      </c>
      <c r="S95" s="9" t="str">
        <f t="shared" si="47"/>
        <v/>
      </c>
      <c r="T95" s="61">
        <v>0</v>
      </c>
    </row>
    <row r="96" spans="1:20">
      <c r="A96" s="2" t="s">
        <v>39</v>
      </c>
      <c r="B96" s="36" t="s">
        <v>128</v>
      </c>
      <c r="C96" s="36" t="s">
        <v>39</v>
      </c>
      <c r="D96" s="42">
        <f>SUMIFS('2026'!$N:$N,'2026'!$J:$J,$B96&amp;$C96,'2026'!$O:$O,D$4)</f>
        <v>0</v>
      </c>
      <c r="E96" s="42">
        <f>SUMIFS('2026'!$N:$N,'2026'!$J:$J,$B96&amp;$C96,'2026'!$O:$O,E$4)</f>
        <v>0</v>
      </c>
      <c r="F96" s="42">
        <f>SUMIFS('2026'!$N:$N,'2026'!$J:$J,$B96&amp;$C96,'2026'!$O:$O,F$4)</f>
        <v>0</v>
      </c>
      <c r="G96" s="42">
        <f>SUMIFS('2026'!$N:$N,'2026'!$J:$J,$B96&amp;$C96,'2026'!$O:$O,G$4)</f>
        <v>0</v>
      </c>
      <c r="H96" s="42">
        <f>SUMIFS('2026'!$N:$N,'2026'!$J:$J,$B96&amp;$C96,'2026'!$O:$O,H$4)</f>
        <v>0</v>
      </c>
      <c r="I96" s="42">
        <f>SUMIFS('2026'!$N:$N,'2026'!$J:$J,$B96&amp;$C96,'2026'!$O:$O,I$4)</f>
        <v>0</v>
      </c>
      <c r="J96" s="42">
        <f>SUMIFS('2026'!$N:$N,'2026'!$J:$J,$B96&amp;$C96,'2026'!$O:$O,J$4)</f>
        <v>0</v>
      </c>
      <c r="K96" s="42">
        <f>SUMIFS('2026'!$N:$N,'2026'!$J:$J,$B96&amp;$C96,'2026'!$O:$O,K$4)</f>
        <v>0</v>
      </c>
      <c r="L96" s="42">
        <f>SUMIFS('2026'!$N:$N,'2026'!$J:$J,$B96&amp;$C96,'2026'!$O:$O,L$4)</f>
        <v>0</v>
      </c>
      <c r="M96" s="42">
        <f>SUMIFS('2026'!$N:$N,'2026'!$J:$J,$B96&amp;$C96,'2026'!$O:$O,M$4)</f>
        <v>0</v>
      </c>
      <c r="N96" s="42">
        <f>SUMIFS('2026'!$N:$N,'2026'!$J:$J,$B96&amp;$C96,'2026'!$O:$O,N$4)</f>
        <v>0</v>
      </c>
      <c r="O96" s="42">
        <f>SUMIFS('2026'!$N:$N,'2026'!$J:$J,$B96&amp;$C96,'2026'!$O:$O,O$4)</f>
        <v>0</v>
      </c>
      <c r="P96" s="61">
        <f t="shared" si="45"/>
        <v>0</v>
      </c>
      <c r="Q96" s="61">
        <f t="shared" si="45"/>
        <v>0</v>
      </c>
      <c r="R96" s="29">
        <f t="shared" si="46"/>
        <v>0</v>
      </c>
      <c r="S96" s="9" t="str">
        <f t="shared" si="47"/>
        <v/>
      </c>
      <c r="T96" s="61">
        <v>0</v>
      </c>
    </row>
    <row r="97" spans="1:20">
      <c r="A97" s="2" t="s">
        <v>38</v>
      </c>
      <c r="B97" s="36" t="s">
        <v>128</v>
      </c>
      <c r="C97" s="36" t="s">
        <v>38</v>
      </c>
      <c r="D97" s="42">
        <f>SUMIFS('2026'!$N:$N,'2026'!$J:$J,$B97&amp;$C97,'2026'!$O:$O,D$4)</f>
        <v>70.651851851851845</v>
      </c>
      <c r="E97" s="42">
        <f>SUMIFS('2026'!$N:$N,'2026'!$J:$J,$B97&amp;$C97,'2026'!$O:$O,E$4)</f>
        <v>212.90370370370371</v>
      </c>
      <c r="F97" s="42">
        <f>SUMIFS('2026'!$N:$N,'2026'!$J:$J,$B97&amp;$C97,'2026'!$O:$O,F$4)</f>
        <v>278.75525925925928</v>
      </c>
      <c r="G97" s="42">
        <f>SUMIFS('2026'!$N:$N,'2026'!$J:$J,$B97&amp;$C97,'2026'!$O:$O,G$4)</f>
        <v>288.35555555555555</v>
      </c>
      <c r="H97" s="42">
        <f>SUMIFS('2026'!$N:$N,'2026'!$J:$J,$B97&amp;$C97,'2026'!$O:$O,H$4)</f>
        <v>128.44800000000001</v>
      </c>
      <c r="I97" s="42">
        <f>SUMIFS('2026'!$N:$N,'2026'!$J:$J,$B97&amp;$C97,'2026'!$O:$O,I$4)</f>
        <v>164.416</v>
      </c>
      <c r="J97" s="42">
        <f>SUMIFS('2026'!$N:$N,'2026'!$J:$J,$B97&amp;$C97,'2026'!$O:$O,J$4)</f>
        <v>81.365333333333339</v>
      </c>
      <c r="K97" s="42">
        <f>SUMIFS('2026'!$N:$N,'2026'!$J:$J,$B97&amp;$C97,'2026'!$O:$O,K$4)</f>
        <v>193.20888888888888</v>
      </c>
      <c r="L97" s="42">
        <f>SUMIFS('2026'!$N:$N,'2026'!$J:$J,$B97&amp;$C97,'2026'!$O:$O,L$4)</f>
        <v>54.24355555555556</v>
      </c>
      <c r="M97" s="42">
        <f>SUMIFS('2026'!$N:$N,'2026'!$J:$J,$B97&amp;$C97,'2026'!$O:$O,M$4)</f>
        <v>83.043555555555557</v>
      </c>
      <c r="N97" s="42">
        <f>SUMIFS('2026'!$N:$N,'2026'!$J:$J,$B97&amp;$C97,'2026'!$O:$O,N$4)</f>
        <v>0</v>
      </c>
      <c r="O97" s="42">
        <f>SUMIFS('2026'!$N:$N,'2026'!$J:$J,$B97&amp;$C97,'2026'!$O:$O,O$4)</f>
        <v>0</v>
      </c>
      <c r="P97" s="61">
        <f t="shared" si="45"/>
        <v>1555.3917037037038</v>
      </c>
      <c r="Q97" s="61">
        <f t="shared" si="45"/>
        <v>3040.1315555555557</v>
      </c>
      <c r="R97" s="29">
        <f t="shared" si="46"/>
        <v>-1484.7398518518519</v>
      </c>
      <c r="S97" s="9">
        <f t="shared" si="47"/>
        <v>-0.48838013247769785</v>
      </c>
      <c r="T97" s="61">
        <v>2021.1481481481483</v>
      </c>
    </row>
    <row r="98" spans="1:20">
      <c r="A98" s="2" t="s">
        <v>33</v>
      </c>
      <c r="B98" s="36" t="s">
        <v>128</v>
      </c>
      <c r="C98" s="36" t="s">
        <v>129</v>
      </c>
      <c r="D98" s="42">
        <f>SUMIFS('2026'!$N:$N,'2026'!$J:$J,$B98&amp;$C98,'2026'!$O:$O,D$4)</f>
        <v>0</v>
      </c>
      <c r="E98" s="42">
        <f>SUMIFS('2026'!$N:$N,'2026'!$J:$J,$B98&amp;$C98,'2026'!$O:$O,E$4)</f>
        <v>0</v>
      </c>
      <c r="F98" s="42">
        <f>SUMIFS('2026'!$N:$N,'2026'!$J:$J,$B98&amp;$C98,'2026'!$O:$O,F$4)</f>
        <v>0</v>
      </c>
      <c r="G98" s="42">
        <f>SUMIFS('2026'!$N:$N,'2026'!$J:$J,$B98&amp;$C98,'2026'!$O:$O,G$4)</f>
        <v>0</v>
      </c>
      <c r="H98" s="42">
        <f>SUMIFS('2026'!$N:$N,'2026'!$J:$J,$B98&amp;$C98,'2026'!$O:$O,H$4)</f>
        <v>0</v>
      </c>
      <c r="I98" s="42">
        <f>SUMIFS('2026'!$N:$N,'2026'!$J:$J,$B98&amp;$C98,'2026'!$O:$O,I$4)</f>
        <v>0</v>
      </c>
      <c r="J98" s="42">
        <f>SUMIFS('2026'!$N:$N,'2026'!$J:$J,$B98&amp;$C98,'2026'!$O:$O,J$4)</f>
        <v>0</v>
      </c>
      <c r="K98" s="42">
        <f>SUMIFS('2026'!$N:$N,'2026'!$J:$J,$B98&amp;$C98,'2026'!$O:$O,K$4)</f>
        <v>0</v>
      </c>
      <c r="L98" s="42">
        <f>SUMIFS('2026'!$N:$N,'2026'!$J:$J,$B98&amp;$C98,'2026'!$O:$O,L$4)</f>
        <v>0</v>
      </c>
      <c r="M98" s="42">
        <f>SUMIFS('2026'!$N:$N,'2026'!$J:$J,$B98&amp;$C98,'2026'!$O:$O,M$4)</f>
        <v>0</v>
      </c>
      <c r="N98" s="42">
        <f>SUMIFS('2026'!$N:$N,'2026'!$J:$J,$B98&amp;$C98,'2026'!$O:$O,N$4)</f>
        <v>0</v>
      </c>
      <c r="O98" s="42">
        <f>SUMIFS('2026'!$N:$N,'2026'!$J:$J,$B98&amp;$C98,'2026'!$O:$O,O$4)</f>
        <v>0</v>
      </c>
      <c r="P98" s="61">
        <f t="shared" si="45"/>
        <v>0</v>
      </c>
      <c r="Q98" s="61">
        <f t="shared" si="45"/>
        <v>0</v>
      </c>
      <c r="R98" s="29">
        <f t="shared" si="46"/>
        <v>0</v>
      </c>
      <c r="S98" s="9" t="str">
        <f t="shared" si="47"/>
        <v/>
      </c>
      <c r="T98" s="61">
        <v>0</v>
      </c>
    </row>
    <row r="99" spans="1:20">
      <c r="A99" s="2" t="s">
        <v>35</v>
      </c>
      <c r="B99" s="36" t="s">
        <v>128</v>
      </c>
      <c r="C99" s="36" t="s">
        <v>35</v>
      </c>
      <c r="D99" s="42">
        <f>SUMIFS('2026'!$N:$N,'2026'!$J:$J,$B99&amp;$C99,'2026'!$O:$O,D$4)</f>
        <v>36</v>
      </c>
      <c r="E99" s="42">
        <f>SUMIFS('2026'!$N:$N,'2026'!$J:$J,$B99&amp;$C99,'2026'!$O:$O,E$4)</f>
        <v>79.861111111111114</v>
      </c>
      <c r="F99" s="42">
        <f>SUMIFS('2026'!$N:$N,'2026'!$J:$J,$B99&amp;$C99,'2026'!$O:$O,F$4)</f>
        <v>57.019259259259265</v>
      </c>
      <c r="G99" s="42">
        <f>SUMIFS('2026'!$N:$N,'2026'!$J:$J,$B99&amp;$C99,'2026'!$O:$O,G$4)</f>
        <v>0</v>
      </c>
      <c r="H99" s="42">
        <f>SUMIFS('2026'!$N:$N,'2026'!$J:$J,$B99&amp;$C99,'2026'!$O:$O,H$4)</f>
        <v>68.400000000000006</v>
      </c>
      <c r="I99" s="42">
        <f>SUMIFS('2026'!$N:$N,'2026'!$J:$J,$B99&amp;$C99,'2026'!$O:$O,I$4)</f>
        <v>0</v>
      </c>
      <c r="J99" s="42">
        <f>SUMIFS('2026'!$N:$N,'2026'!$J:$J,$B99&amp;$C99,'2026'!$O:$O,J$4)</f>
        <v>0</v>
      </c>
      <c r="K99" s="42">
        <f>SUMIFS('2026'!$N:$N,'2026'!$J:$J,$B99&amp;$C99,'2026'!$O:$O,K$4)</f>
        <v>0</v>
      </c>
      <c r="L99" s="42">
        <f>SUMIFS('2026'!$N:$N,'2026'!$J:$J,$B99&amp;$C99,'2026'!$O:$O,L$4)</f>
        <v>0</v>
      </c>
      <c r="M99" s="42">
        <f>SUMIFS('2026'!$N:$N,'2026'!$J:$J,$B99&amp;$C99,'2026'!$O:$O,M$4)</f>
        <v>0</v>
      </c>
      <c r="N99" s="42">
        <f>SUMIFS('2026'!$N:$N,'2026'!$J:$J,$B99&amp;$C99,'2026'!$O:$O,N$4)</f>
        <v>0</v>
      </c>
      <c r="O99" s="42">
        <f>SUMIFS('2026'!$N:$N,'2026'!$J:$J,$B99&amp;$C99,'2026'!$O:$O,O$4)</f>
        <v>0</v>
      </c>
      <c r="P99" s="61">
        <f t="shared" si="45"/>
        <v>241.28037037037038</v>
      </c>
      <c r="Q99" s="61">
        <f t="shared" si="45"/>
        <v>446.56074074074075</v>
      </c>
      <c r="R99" s="29">
        <f t="shared" si="46"/>
        <v>-205.28037037037038</v>
      </c>
      <c r="S99" s="9">
        <f t="shared" si="47"/>
        <v>-0.45969193357628757</v>
      </c>
      <c r="T99" s="61">
        <v>984.50925925925924</v>
      </c>
    </row>
    <row r="100" spans="1:20">
      <c r="A100" s="2" t="s">
        <v>37</v>
      </c>
      <c r="B100" s="36" t="s">
        <v>128</v>
      </c>
      <c r="C100" s="36" t="s">
        <v>37</v>
      </c>
      <c r="D100" s="42">
        <f>SUMIFS('2026'!$N:$N,'2026'!$J:$J,$B100&amp;$C100,'2026'!$O:$O,D$4)</f>
        <v>0</v>
      </c>
      <c r="E100" s="42">
        <f>SUMIFS('2026'!$N:$N,'2026'!$J:$J,$B100&amp;$C100,'2026'!$O:$O,E$4)</f>
        <v>0</v>
      </c>
      <c r="F100" s="42">
        <f>SUMIFS('2026'!$N:$N,'2026'!$J:$J,$B100&amp;$C100,'2026'!$O:$O,F$4)</f>
        <v>0</v>
      </c>
      <c r="G100" s="42">
        <f>SUMIFS('2026'!$N:$N,'2026'!$J:$J,$B100&amp;$C100,'2026'!$O:$O,G$4)</f>
        <v>0</v>
      </c>
      <c r="H100" s="42">
        <f>SUMIFS('2026'!$N:$N,'2026'!$J:$J,$B100&amp;$C100,'2026'!$O:$O,H$4)</f>
        <v>0</v>
      </c>
      <c r="I100" s="42">
        <f>SUMIFS('2026'!$N:$N,'2026'!$J:$J,$B100&amp;$C100,'2026'!$O:$O,I$4)</f>
        <v>0</v>
      </c>
      <c r="J100" s="42">
        <f>SUMIFS('2026'!$N:$N,'2026'!$J:$J,$B100&amp;$C100,'2026'!$O:$O,J$4)</f>
        <v>0</v>
      </c>
      <c r="K100" s="42">
        <f>SUMIFS('2026'!$N:$N,'2026'!$J:$J,$B100&amp;$C100,'2026'!$O:$O,K$4)</f>
        <v>0</v>
      </c>
      <c r="L100" s="42">
        <f>SUMIFS('2026'!$N:$N,'2026'!$J:$J,$B100&amp;$C100,'2026'!$O:$O,L$4)</f>
        <v>0</v>
      </c>
      <c r="M100" s="42">
        <f>SUMIFS('2026'!$N:$N,'2026'!$J:$J,$B100&amp;$C100,'2026'!$O:$O,M$4)</f>
        <v>0</v>
      </c>
      <c r="N100" s="42">
        <f>SUMIFS('2026'!$N:$N,'2026'!$J:$J,$B100&amp;$C100,'2026'!$O:$O,N$4)</f>
        <v>0</v>
      </c>
      <c r="O100" s="42">
        <f>SUMIFS('2026'!$N:$N,'2026'!$J:$J,$B100&amp;$C100,'2026'!$O:$O,O$4)</f>
        <v>0</v>
      </c>
      <c r="P100" s="61">
        <f t="shared" si="45"/>
        <v>0</v>
      </c>
      <c r="Q100" s="61">
        <f t="shared" si="45"/>
        <v>0</v>
      </c>
      <c r="R100" s="29">
        <f t="shared" si="46"/>
        <v>0</v>
      </c>
      <c r="S100" s="9" t="str">
        <f t="shared" si="47"/>
        <v/>
      </c>
      <c r="T100" s="61">
        <v>8.25</v>
      </c>
    </row>
    <row r="101" spans="1:20">
      <c r="A101" s="2" t="s">
        <v>23</v>
      </c>
      <c r="B101" s="36">
        <v>3910</v>
      </c>
      <c r="C101" s="36" t="s">
        <v>23</v>
      </c>
      <c r="D101" s="42">
        <f>SUMIFS('2026'!$N:$N,'2026'!$J:$J,$B101&amp;$C101,'2026'!$O:$O,D$4)</f>
        <v>0</v>
      </c>
      <c r="E101" s="42">
        <f>SUMIFS('2026'!$N:$N,'2026'!$J:$J,$B101&amp;$C101,'2026'!$O:$O,E$4)</f>
        <v>0</v>
      </c>
      <c r="F101" s="42">
        <f>SUMIFS('2026'!$N:$N,'2026'!$J:$J,$B101&amp;$C101,'2026'!$O:$O,F$4)</f>
        <v>0</v>
      </c>
      <c r="G101" s="42">
        <f>SUMIFS('2026'!$N:$N,'2026'!$J:$J,$B101&amp;$C101,'2026'!$O:$O,G$4)</f>
        <v>134.28571428571428</v>
      </c>
      <c r="H101" s="42">
        <f>SUMIFS('2026'!$N:$N,'2026'!$J:$J,$B101&amp;$C101,'2026'!$O:$O,H$4)</f>
        <v>470</v>
      </c>
      <c r="I101" s="42">
        <f>SUMIFS('2026'!$N:$N,'2026'!$J:$J,$B101&amp;$C101,'2026'!$O:$O,I$4)</f>
        <v>1275.7142857142853</v>
      </c>
      <c r="J101" s="42">
        <f>SUMIFS('2026'!$N:$N,'2026'!$J:$J,$B101&amp;$C101,'2026'!$O:$O,J$4)</f>
        <v>1074.2857142857142</v>
      </c>
      <c r="K101" s="42">
        <f>SUMIFS('2026'!$N:$N,'2026'!$J:$J,$B101&amp;$C101,'2026'!$O:$O,K$4)</f>
        <v>0</v>
      </c>
      <c r="L101" s="42">
        <f>SUMIFS('2026'!$N:$N,'2026'!$J:$J,$B101&amp;$C101,'2026'!$O:$O,L$4)</f>
        <v>0</v>
      </c>
      <c r="M101" s="42">
        <f>SUMIFS('2026'!$N:$N,'2026'!$J:$J,$B101&amp;$C101,'2026'!$O:$O,M$4)</f>
        <v>0</v>
      </c>
      <c r="N101" s="42">
        <f>SUMIFS('2026'!$N:$N,'2026'!$J:$J,$B101&amp;$C101,'2026'!$O:$O,N$4)</f>
        <v>0</v>
      </c>
      <c r="O101" s="42">
        <f>SUMIFS('2026'!$N:$N,'2026'!$J:$J,$B101&amp;$C101,'2026'!$O:$O,O$4)</f>
        <v>0</v>
      </c>
      <c r="P101" s="61">
        <f t="shared" si="45"/>
        <v>2954.2857142857138</v>
      </c>
      <c r="Q101" s="61">
        <f t="shared" si="45"/>
        <v>5908.5714285714275</v>
      </c>
      <c r="R101" s="29">
        <f t="shared" si="46"/>
        <v>-2954.2857142857138</v>
      </c>
      <c r="S101" s="9">
        <f t="shared" si="47"/>
        <v>-0.5</v>
      </c>
      <c r="T101" s="61">
        <v>0</v>
      </c>
    </row>
    <row r="102" spans="1:20">
      <c r="A102" s="2" t="s">
        <v>33</v>
      </c>
      <c r="B102" s="36">
        <v>3910</v>
      </c>
      <c r="C102" s="36" t="s">
        <v>33</v>
      </c>
      <c r="D102" s="42">
        <f>SUMIFS('2026'!$N:$N,'2026'!$J:$J,$B102&amp;$C102,'2026'!$O:$O,D$4)</f>
        <v>195.13928571428573</v>
      </c>
      <c r="E102" s="42">
        <f>SUMIFS('2026'!$N:$N,'2026'!$J:$J,$B102&amp;$C102,'2026'!$O:$O,E$4)</f>
        <v>81.714285714285708</v>
      </c>
      <c r="F102" s="42">
        <f>SUMIFS('2026'!$N:$N,'2026'!$J:$J,$B102&amp;$C102,'2026'!$O:$O,F$4)</f>
        <v>0</v>
      </c>
      <c r="G102" s="42">
        <f>SUMIFS('2026'!$N:$N,'2026'!$J:$J,$B102&amp;$C102,'2026'!$O:$O,G$4)</f>
        <v>84.784761904761908</v>
      </c>
      <c r="H102" s="42">
        <f>SUMIFS('2026'!$N:$N,'2026'!$J:$J,$B102&amp;$C102,'2026'!$O:$O,H$4)</f>
        <v>0</v>
      </c>
      <c r="I102" s="42">
        <f>SUMIFS('2026'!$N:$N,'2026'!$J:$J,$B102&amp;$C102,'2026'!$O:$O,I$4)</f>
        <v>163.86285714285714</v>
      </c>
      <c r="J102" s="42">
        <f>SUMIFS('2026'!$N:$N,'2026'!$J:$J,$B102&amp;$C102,'2026'!$O:$O,J$4)</f>
        <v>0</v>
      </c>
      <c r="K102" s="42">
        <f>SUMIFS('2026'!$N:$N,'2026'!$J:$J,$B102&amp;$C102,'2026'!$O:$O,K$4)</f>
        <v>97.828571428571422</v>
      </c>
      <c r="L102" s="42">
        <f>SUMIFS('2026'!$N:$N,'2026'!$J:$J,$B102&amp;$C102,'2026'!$O:$O,L$4)</f>
        <v>97.828571428571422</v>
      </c>
      <c r="M102" s="42">
        <f>SUMIFS('2026'!$N:$N,'2026'!$J:$J,$B102&amp;$C102,'2026'!$O:$O,M$4)</f>
        <v>66.034285714285716</v>
      </c>
      <c r="N102" s="42">
        <f>SUMIFS('2026'!$N:$N,'2026'!$J:$J,$B102&amp;$C102,'2026'!$O:$O,N$4)</f>
        <v>66.034285714285716</v>
      </c>
      <c r="O102" s="42">
        <f>SUMIFS('2026'!$N:$N,'2026'!$J:$J,$B102&amp;$C102,'2026'!$O:$O,O$4)</f>
        <v>0</v>
      </c>
      <c r="P102" s="61">
        <f t="shared" si="45"/>
        <v>853.22690476190473</v>
      </c>
      <c r="Q102" s="61">
        <f t="shared" si="45"/>
        <v>1511.3145238095237</v>
      </c>
      <c r="R102" s="29">
        <f t="shared" si="46"/>
        <v>-658.087619047619</v>
      </c>
      <c r="S102" s="9">
        <f t="shared" si="47"/>
        <v>-0.43544054442671398</v>
      </c>
      <c r="T102" s="61">
        <v>2172.7325396825399</v>
      </c>
    </row>
    <row r="103" spans="1:20">
      <c r="A103" s="2" t="s">
        <v>37</v>
      </c>
      <c r="B103" s="36">
        <v>3910</v>
      </c>
      <c r="C103" s="36" t="s">
        <v>37</v>
      </c>
      <c r="D103" s="42">
        <f>SUMIFS('2026'!$N:$N,'2026'!$J:$J,$B103&amp;$C103,'2026'!$O:$O,D$4)</f>
        <v>0</v>
      </c>
      <c r="E103" s="42">
        <f>SUMIFS('2026'!$N:$N,'2026'!$J:$J,$B103&amp;$C103,'2026'!$O:$O,E$4)</f>
        <v>0</v>
      </c>
      <c r="F103" s="42">
        <f>SUMIFS('2026'!$N:$N,'2026'!$J:$J,$B103&amp;$C103,'2026'!$O:$O,F$4)</f>
        <v>0</v>
      </c>
      <c r="G103" s="42">
        <f>SUMIFS('2026'!$N:$N,'2026'!$J:$J,$B103&amp;$C103,'2026'!$O:$O,G$4)</f>
        <v>0</v>
      </c>
      <c r="H103" s="42">
        <f>SUMIFS('2026'!$N:$N,'2026'!$J:$J,$B103&amp;$C103,'2026'!$O:$O,H$4)</f>
        <v>0</v>
      </c>
      <c r="I103" s="42">
        <f>SUMIFS('2026'!$N:$N,'2026'!$J:$J,$B103&amp;$C103,'2026'!$O:$O,I$4)</f>
        <v>0</v>
      </c>
      <c r="J103" s="42">
        <f>SUMIFS('2026'!$N:$N,'2026'!$J:$J,$B103&amp;$C103,'2026'!$O:$O,J$4)</f>
        <v>0</v>
      </c>
      <c r="K103" s="42">
        <f>SUMIFS('2026'!$N:$N,'2026'!$J:$J,$B103&amp;$C103,'2026'!$O:$O,K$4)</f>
        <v>0</v>
      </c>
      <c r="L103" s="42">
        <f>SUMIFS('2026'!$N:$N,'2026'!$J:$J,$B103&amp;$C103,'2026'!$O:$O,L$4)</f>
        <v>0</v>
      </c>
      <c r="M103" s="42">
        <f>SUMIFS('2026'!$N:$N,'2026'!$J:$J,$B103&amp;$C103,'2026'!$O:$O,M$4)</f>
        <v>0</v>
      </c>
      <c r="N103" s="42">
        <f>SUMIFS('2026'!$N:$N,'2026'!$J:$J,$B103&amp;$C103,'2026'!$O:$O,N$4)</f>
        <v>0</v>
      </c>
      <c r="O103" s="42">
        <f>SUMIFS('2026'!$N:$N,'2026'!$J:$J,$B103&amp;$C103,'2026'!$O:$O,O$4)</f>
        <v>0</v>
      </c>
      <c r="P103" s="61">
        <f t="shared" si="45"/>
        <v>0</v>
      </c>
      <c r="Q103" s="61">
        <f t="shared" si="45"/>
        <v>0</v>
      </c>
      <c r="R103" s="29">
        <f t="shared" si="46"/>
        <v>0</v>
      </c>
      <c r="S103" s="9" t="str">
        <f t="shared" si="47"/>
        <v/>
      </c>
      <c r="T103" s="61">
        <v>0</v>
      </c>
    </row>
    <row r="104" spans="1:20">
      <c r="A104" s="2" t="s">
        <v>39</v>
      </c>
      <c r="B104" s="36">
        <v>3910</v>
      </c>
      <c r="C104" s="36" t="s">
        <v>39</v>
      </c>
      <c r="D104" s="42">
        <f>SUMIFS('2026'!$N:$N,'2026'!$J:$J,$B104&amp;$C104,'2026'!$O:$O,D$4)</f>
        <v>0</v>
      </c>
      <c r="E104" s="42">
        <f>SUMIFS('2026'!$N:$N,'2026'!$J:$J,$B104&amp;$C104,'2026'!$O:$O,E$4)</f>
        <v>0</v>
      </c>
      <c r="F104" s="42">
        <f>SUMIFS('2026'!$N:$N,'2026'!$J:$J,$B104&amp;$C104,'2026'!$O:$O,F$4)</f>
        <v>0</v>
      </c>
      <c r="G104" s="42">
        <f>SUMIFS('2026'!$N:$N,'2026'!$J:$J,$B104&amp;$C104,'2026'!$O:$O,G$4)</f>
        <v>0</v>
      </c>
      <c r="H104" s="42">
        <f>SUMIFS('2026'!$N:$N,'2026'!$J:$J,$B104&amp;$C104,'2026'!$O:$O,H$4)</f>
        <v>0</v>
      </c>
      <c r="I104" s="42">
        <f>SUMIFS('2026'!$N:$N,'2026'!$J:$J,$B104&amp;$C104,'2026'!$O:$O,I$4)</f>
        <v>0</v>
      </c>
      <c r="J104" s="42">
        <f>SUMIFS('2026'!$N:$N,'2026'!$J:$J,$B104&amp;$C104,'2026'!$O:$O,J$4)</f>
        <v>0</v>
      </c>
      <c r="K104" s="42">
        <f>SUMIFS('2026'!$N:$N,'2026'!$J:$J,$B104&amp;$C104,'2026'!$O:$O,K$4)</f>
        <v>0</v>
      </c>
      <c r="L104" s="42">
        <f>SUMIFS('2026'!$N:$N,'2026'!$J:$J,$B104&amp;$C104,'2026'!$O:$O,L$4)</f>
        <v>0</v>
      </c>
      <c r="M104" s="42">
        <f>SUMIFS('2026'!$N:$N,'2026'!$J:$J,$B104&amp;$C104,'2026'!$O:$O,M$4)</f>
        <v>0</v>
      </c>
      <c r="N104" s="42">
        <f>SUMIFS('2026'!$N:$N,'2026'!$J:$J,$B104&amp;$C104,'2026'!$O:$O,N$4)</f>
        <v>0</v>
      </c>
      <c r="O104" s="42">
        <f>SUMIFS('2026'!$N:$N,'2026'!$J:$J,$B104&amp;$C104,'2026'!$O:$O,O$4)</f>
        <v>0</v>
      </c>
      <c r="P104" s="61">
        <f t="shared" si="45"/>
        <v>0</v>
      </c>
      <c r="Q104" s="61">
        <f t="shared" si="45"/>
        <v>0</v>
      </c>
      <c r="R104" s="29">
        <f t="shared" si="46"/>
        <v>0</v>
      </c>
      <c r="S104" s="9" t="str">
        <f t="shared" si="47"/>
        <v/>
      </c>
      <c r="T104" s="61">
        <v>0</v>
      </c>
    </row>
    <row r="105" spans="1:20">
      <c r="A105" s="2" t="s">
        <v>32</v>
      </c>
      <c r="B105" s="36">
        <v>3910</v>
      </c>
      <c r="C105" s="36" t="s">
        <v>32</v>
      </c>
      <c r="D105" s="42">
        <f>SUMIFS('2026'!$N:$N,'2026'!$J:$J,$B105&amp;$C105,'2026'!$O:$O,D$4)</f>
        <v>0</v>
      </c>
      <c r="E105" s="42">
        <f>SUMIFS('2026'!$N:$N,'2026'!$J:$J,$B105&amp;$C105,'2026'!$O:$O,E$4)</f>
        <v>34.847826086956523</v>
      </c>
      <c r="F105" s="42">
        <f>SUMIFS('2026'!$N:$N,'2026'!$J:$J,$B105&amp;$C105,'2026'!$O:$O,F$4)</f>
        <v>0.86956521739130432</v>
      </c>
      <c r="G105" s="42">
        <f>SUMIFS('2026'!$N:$N,'2026'!$J:$J,$B105&amp;$C105,'2026'!$O:$O,G$4)</f>
        <v>64.874534161490686</v>
      </c>
      <c r="H105" s="42">
        <f>SUMIFS('2026'!$N:$N,'2026'!$J:$J,$B105&amp;$C105,'2026'!$O:$O,H$4)</f>
        <v>139.52795031055899</v>
      </c>
      <c r="I105" s="42">
        <f>SUMIFS('2026'!$N:$N,'2026'!$J:$J,$B105&amp;$C105,'2026'!$O:$O,I$4)</f>
        <v>398.70807453416148</v>
      </c>
      <c r="J105" s="42">
        <f>SUMIFS('2026'!$N:$N,'2026'!$J:$J,$B105&amp;$C105,'2026'!$O:$O,J$4)</f>
        <v>452.3726708074534</v>
      </c>
      <c r="K105" s="42">
        <f>SUMIFS('2026'!$N:$N,'2026'!$J:$J,$B105&amp;$C105,'2026'!$O:$O,K$4)</f>
        <v>400.99378881987576</v>
      </c>
      <c r="L105" s="42">
        <f>SUMIFS('2026'!$N:$N,'2026'!$J:$J,$B105&amp;$C105,'2026'!$O:$O,L$4)</f>
        <v>212.3726708074534</v>
      </c>
      <c r="M105" s="42">
        <f>SUMIFS('2026'!$N:$N,'2026'!$J:$J,$B105&amp;$C105,'2026'!$O:$O,M$4)</f>
        <v>126.50931677018633</v>
      </c>
      <c r="N105" s="42">
        <f>SUMIFS('2026'!$N:$N,'2026'!$J:$J,$B105&amp;$C105,'2026'!$O:$O,N$4)</f>
        <v>338.88198757763973</v>
      </c>
      <c r="O105" s="42">
        <f>SUMIFS('2026'!$N:$N,'2026'!$J:$J,$B105&amp;$C105,'2026'!$O:$O,O$4)</f>
        <v>62.111801242236027</v>
      </c>
      <c r="P105" s="61">
        <f t="shared" si="45"/>
        <v>2232.0701863354038</v>
      </c>
      <c r="Q105" s="61">
        <f t="shared" si="45"/>
        <v>4464.1403726708077</v>
      </c>
      <c r="R105" s="29">
        <f t="shared" si="46"/>
        <v>-2232.0701863354038</v>
      </c>
      <c r="S105" s="9">
        <f t="shared" si="47"/>
        <v>-0.5</v>
      </c>
      <c r="T105" s="61">
        <v>0</v>
      </c>
    </row>
    <row r="106" spans="1:20">
      <c r="A106" s="2" t="s">
        <v>37</v>
      </c>
      <c r="B106" s="36" t="s">
        <v>180</v>
      </c>
      <c r="C106" s="36" t="s">
        <v>37</v>
      </c>
      <c r="D106" s="42">
        <f>SUMIFS('2026'!$N:$N,'2026'!$J:$J,$B106&amp;$C106,'2026'!$O:$O,D$4)</f>
        <v>0</v>
      </c>
      <c r="E106" s="42">
        <f>SUMIFS('2026'!$N:$N,'2026'!$J:$J,$B106&amp;$C106,'2026'!$O:$O,E$4)</f>
        <v>0</v>
      </c>
      <c r="F106" s="42">
        <f>SUMIFS('2026'!$N:$N,'2026'!$J:$J,$B106&amp;$C106,'2026'!$O:$O,F$4)</f>
        <v>0</v>
      </c>
      <c r="G106" s="42">
        <f>SUMIFS('2026'!$N:$N,'2026'!$J:$J,$B106&amp;$C106,'2026'!$O:$O,G$4)</f>
        <v>0</v>
      </c>
      <c r="H106" s="42">
        <f>SUMIFS('2026'!$N:$N,'2026'!$J:$J,$B106&amp;$C106,'2026'!$O:$O,H$4)</f>
        <v>0</v>
      </c>
      <c r="I106" s="42">
        <f>SUMIFS('2026'!$N:$N,'2026'!$J:$J,$B106&amp;$C106,'2026'!$O:$O,I$4)</f>
        <v>0</v>
      </c>
      <c r="J106" s="42">
        <f>SUMIFS('2026'!$N:$N,'2026'!$J:$J,$B106&amp;$C106,'2026'!$O:$O,J$4)</f>
        <v>0</v>
      </c>
      <c r="K106" s="42">
        <f>SUMIFS('2026'!$N:$N,'2026'!$J:$J,$B106&amp;$C106,'2026'!$O:$O,K$4)</f>
        <v>0</v>
      </c>
      <c r="L106" s="42">
        <f>SUMIFS('2026'!$N:$N,'2026'!$J:$J,$B106&amp;$C106,'2026'!$O:$O,L$4)</f>
        <v>0</v>
      </c>
      <c r="M106" s="42">
        <f>SUMIFS('2026'!$N:$N,'2026'!$J:$J,$B106&amp;$C106,'2026'!$O:$O,M$4)</f>
        <v>0</v>
      </c>
      <c r="N106" s="42">
        <f>SUMIFS('2026'!$N:$N,'2026'!$J:$J,$B106&amp;$C106,'2026'!$O:$O,N$4)</f>
        <v>0</v>
      </c>
      <c r="O106" s="42">
        <f>SUMIFS('2026'!$N:$N,'2026'!$J:$J,$B106&amp;$C106,'2026'!$O:$O,O$4)</f>
        <v>0</v>
      </c>
      <c r="P106" s="61">
        <f t="shared" si="45"/>
        <v>0</v>
      </c>
      <c r="Q106" s="61">
        <f t="shared" si="45"/>
        <v>0</v>
      </c>
      <c r="R106" s="29">
        <f t="shared" si="46"/>
        <v>0</v>
      </c>
      <c r="S106" s="9" t="str">
        <f t="shared" si="47"/>
        <v/>
      </c>
      <c r="T106" s="61">
        <v>699.99382716049377</v>
      </c>
    </row>
    <row r="107" spans="1:20">
      <c r="A107" s="2" t="s">
        <v>29</v>
      </c>
      <c r="B107" s="36">
        <v>3910</v>
      </c>
      <c r="C107" s="36" t="s">
        <v>29</v>
      </c>
      <c r="D107" s="42">
        <f>SUMIFS('2026'!$N:$N,'2026'!$J:$J,$B107&amp;$C107,'2026'!$O:$O,D$4)</f>
        <v>0</v>
      </c>
      <c r="E107" s="42">
        <f>SUMIFS('2026'!$N:$N,'2026'!$J:$J,$B107&amp;$C107,'2026'!$O:$O,E$4)</f>
        <v>0</v>
      </c>
      <c r="F107" s="42">
        <f>SUMIFS('2026'!$N:$N,'2026'!$J:$J,$B107&amp;$C107,'2026'!$O:$O,F$4)</f>
        <v>0</v>
      </c>
      <c r="G107" s="42">
        <f>SUMIFS('2026'!$N:$N,'2026'!$J:$J,$B107&amp;$C107,'2026'!$O:$O,G$4)</f>
        <v>0</v>
      </c>
      <c r="H107" s="42">
        <f>SUMIFS('2026'!$N:$N,'2026'!$J:$J,$B107&amp;$C107,'2026'!$O:$O,H$4)</f>
        <v>0</v>
      </c>
      <c r="I107" s="42">
        <f>SUMIFS('2026'!$N:$N,'2026'!$J:$J,$B107&amp;$C107,'2026'!$O:$O,I$4)</f>
        <v>0</v>
      </c>
      <c r="J107" s="42">
        <f>SUMIFS('2026'!$N:$N,'2026'!$J:$J,$B107&amp;$C107,'2026'!$O:$O,J$4)</f>
        <v>0</v>
      </c>
      <c r="K107" s="42">
        <f>SUMIFS('2026'!$N:$N,'2026'!$J:$J,$B107&amp;$C107,'2026'!$O:$O,K$4)</f>
        <v>0</v>
      </c>
      <c r="L107" s="42">
        <f>SUMIFS('2026'!$N:$N,'2026'!$J:$J,$B107&amp;$C107,'2026'!$O:$O,L$4)</f>
        <v>0</v>
      </c>
      <c r="M107" s="42">
        <f>SUMIFS('2026'!$N:$N,'2026'!$J:$J,$B107&amp;$C107,'2026'!$O:$O,M$4)</f>
        <v>0</v>
      </c>
      <c r="N107" s="42">
        <f>SUMIFS('2026'!$N:$N,'2026'!$J:$J,$B107&amp;$C107,'2026'!$O:$O,N$4)</f>
        <v>0</v>
      </c>
      <c r="O107" s="42">
        <f>SUMIFS('2026'!$N:$N,'2026'!$J:$J,$B107&amp;$C107,'2026'!$O:$O,O$4)</f>
        <v>0</v>
      </c>
      <c r="P107" s="61">
        <f t="shared" si="45"/>
        <v>0</v>
      </c>
      <c r="Q107" s="61">
        <f t="shared" si="45"/>
        <v>0</v>
      </c>
      <c r="R107" s="29">
        <f t="shared" si="46"/>
        <v>0</v>
      </c>
      <c r="S107" s="9" t="str">
        <f t="shared" si="47"/>
        <v/>
      </c>
      <c r="T107" s="61">
        <v>482.71250000000003</v>
      </c>
    </row>
    <row r="108" spans="1:20">
      <c r="A108" s="2" t="s">
        <v>39</v>
      </c>
      <c r="B108" s="36" t="s">
        <v>133</v>
      </c>
      <c r="C108" s="36" t="s">
        <v>39</v>
      </c>
      <c r="D108" s="42">
        <f>SUMIFS('2026'!$N:$N,'2026'!$J:$J,$B108&amp;$C108,'2026'!$O:$O,D$4)</f>
        <v>1979.9692307692308</v>
      </c>
      <c r="E108" s="42">
        <f>SUMIFS('2026'!$N:$N,'2026'!$J:$J,$B108&amp;$C108,'2026'!$O:$O,E$4)</f>
        <v>993</v>
      </c>
      <c r="F108" s="42">
        <f>SUMIFS('2026'!$N:$N,'2026'!$J:$J,$B108&amp;$C108,'2026'!$O:$O,F$4)</f>
        <v>1600</v>
      </c>
      <c r="G108" s="42">
        <f>SUMIFS('2026'!$N:$N,'2026'!$J:$J,$B108&amp;$C108,'2026'!$O:$O,G$4)</f>
        <v>1497.6</v>
      </c>
      <c r="H108" s="42">
        <f>SUMIFS('2026'!$N:$N,'2026'!$J:$J,$B108&amp;$C108,'2026'!$O:$O,H$4)</f>
        <v>1852.9329230769231</v>
      </c>
      <c r="I108" s="42">
        <f>SUMIFS('2026'!$N:$N,'2026'!$J:$J,$B108&amp;$C108,'2026'!$O:$O,I$4)</f>
        <v>1856.64</v>
      </c>
      <c r="J108" s="42">
        <f>SUMIFS('2026'!$N:$N,'2026'!$J:$J,$B108&amp;$C108,'2026'!$O:$O,J$4)</f>
        <v>1672.0519769300258</v>
      </c>
      <c r="K108" s="42">
        <f>SUMIFS('2026'!$N:$N,'2026'!$J:$J,$B108&amp;$C108,'2026'!$O:$O,K$4)</f>
        <v>1731.7681189632408</v>
      </c>
      <c r="L108" s="42">
        <f>SUMIFS('2026'!$N:$N,'2026'!$J:$J,$B108&amp;$C108,'2026'!$O:$O,L$4)</f>
        <v>1672.0519769300258</v>
      </c>
      <c r="M108" s="42">
        <f>SUMIFS('2026'!$N:$N,'2026'!$J:$J,$B108&amp;$C108,'2026'!$O:$O,M$4)</f>
        <v>1791.4842609964562</v>
      </c>
      <c r="N108" s="42">
        <f>SUMIFS('2026'!$N:$N,'2026'!$J:$J,$B108&amp;$C108,'2026'!$O:$O,N$4)</f>
        <v>0</v>
      </c>
      <c r="O108" s="42">
        <f>SUMIFS('2026'!$N:$N,'2026'!$J:$J,$B108&amp;$C108,'2026'!$O:$O,O$4)</f>
        <v>0</v>
      </c>
      <c r="P108" s="61">
        <f t="shared" si="45"/>
        <v>16647.498487665904</v>
      </c>
      <c r="Q108" s="61">
        <f t="shared" si="45"/>
        <v>31315.027744562576</v>
      </c>
      <c r="R108" s="29">
        <f t="shared" si="46"/>
        <v>-14667.529256896672</v>
      </c>
      <c r="S108" s="9">
        <f t="shared" si="47"/>
        <v>-0.46838627691918577</v>
      </c>
      <c r="T108" s="61">
        <v>25095.323076923079</v>
      </c>
    </row>
    <row r="109" spans="1:20">
      <c r="A109" s="2" t="s">
        <v>38</v>
      </c>
      <c r="B109" s="36" t="s">
        <v>133</v>
      </c>
      <c r="C109" s="36" t="s">
        <v>38</v>
      </c>
      <c r="D109" s="42">
        <f>SUMIFS('2026'!$N:$N,'2026'!$J:$J,$B109&amp;$C109,'2026'!$O:$O,D$4)</f>
        <v>0</v>
      </c>
      <c r="E109" s="42">
        <f>SUMIFS('2026'!$N:$N,'2026'!$J:$J,$B109&amp;$C109,'2026'!$O:$O,E$4)</f>
        <v>0</v>
      </c>
      <c r="F109" s="42">
        <f>SUMIFS('2026'!$N:$N,'2026'!$J:$J,$B109&amp;$C109,'2026'!$O:$O,F$4)</f>
        <v>136</v>
      </c>
      <c r="G109" s="42">
        <f>SUMIFS('2026'!$N:$N,'2026'!$J:$J,$B109&amp;$C109,'2026'!$O:$O,G$4)</f>
        <v>19.2</v>
      </c>
      <c r="H109" s="42">
        <f>SUMIFS('2026'!$N:$N,'2026'!$J:$J,$B109&amp;$C109,'2026'!$O:$O,H$4)</f>
        <v>164.13741176470586</v>
      </c>
      <c r="I109" s="42">
        <f>SUMIFS('2026'!$N:$N,'2026'!$J:$J,$B109&amp;$C109,'2026'!$O:$O,I$4)</f>
        <v>230.4</v>
      </c>
      <c r="J109" s="42">
        <f>SUMIFS('2026'!$N:$N,'2026'!$J:$J,$B109&amp;$C109,'2026'!$O:$O,J$4)</f>
        <v>0</v>
      </c>
      <c r="K109" s="42">
        <f>SUMIFS('2026'!$N:$N,'2026'!$J:$J,$B109&amp;$C109,'2026'!$O:$O,K$4)</f>
        <v>0</v>
      </c>
      <c r="L109" s="42">
        <f>SUMIFS('2026'!$N:$N,'2026'!$J:$J,$B109&amp;$C109,'2026'!$O:$O,L$4)</f>
        <v>0</v>
      </c>
      <c r="M109" s="42">
        <f>SUMIFS('2026'!$N:$N,'2026'!$J:$J,$B109&amp;$C109,'2026'!$O:$O,M$4)</f>
        <v>0</v>
      </c>
      <c r="N109" s="42">
        <f>SUMIFS('2026'!$N:$N,'2026'!$J:$J,$B109&amp;$C109,'2026'!$O:$O,N$4)</f>
        <v>0</v>
      </c>
      <c r="O109" s="42">
        <f>SUMIFS('2026'!$N:$N,'2026'!$J:$J,$B109&amp;$C109,'2026'!$O:$O,O$4)</f>
        <v>0</v>
      </c>
      <c r="P109" s="61">
        <f t="shared" si="45"/>
        <v>549.73741176470583</v>
      </c>
      <c r="Q109" s="61">
        <f t="shared" si="45"/>
        <v>1099.4748235294117</v>
      </c>
      <c r="R109" s="29">
        <f t="shared" si="46"/>
        <v>-549.73741176470583</v>
      </c>
      <c r="S109" s="9">
        <f t="shared" si="47"/>
        <v>-0.5</v>
      </c>
      <c r="T109" s="61">
        <v>0</v>
      </c>
    </row>
    <row r="110" spans="1:20">
      <c r="A110" s="2" t="s">
        <v>35</v>
      </c>
      <c r="B110" s="36" t="s">
        <v>139</v>
      </c>
      <c r="C110" s="36" t="s">
        <v>38</v>
      </c>
      <c r="D110" s="42">
        <f>SUMIFS('2026'!$N:$N,'2026'!$J:$J,$B110&amp;$C110,'2026'!$O:$O,D$4)</f>
        <v>0</v>
      </c>
      <c r="E110" s="42">
        <f>SUMIFS('2026'!$N:$N,'2026'!$J:$J,$B110&amp;$C110,'2026'!$O:$O,E$4)</f>
        <v>0</v>
      </c>
      <c r="F110" s="42">
        <f>SUMIFS('2026'!$N:$N,'2026'!$J:$J,$B110&amp;$C110,'2026'!$O:$O,F$4)</f>
        <v>19.2</v>
      </c>
      <c r="G110" s="42">
        <f>SUMIFS('2026'!$N:$N,'2026'!$J:$J,$B110&amp;$C110,'2026'!$O:$O,G$4)</f>
        <v>137.27999999999997</v>
      </c>
      <c r="H110" s="42">
        <f>SUMIFS('2026'!$N:$N,'2026'!$J:$J,$B110&amp;$C110,'2026'!$O:$O,H$4)</f>
        <v>80.209427917620133</v>
      </c>
      <c r="I110" s="42">
        <f>SUMIFS('2026'!$N:$N,'2026'!$J:$J,$B110&amp;$C110,'2026'!$O:$O,I$4)</f>
        <v>0</v>
      </c>
      <c r="J110" s="42">
        <f>SUMIFS('2026'!$N:$N,'2026'!$J:$J,$B110&amp;$C110,'2026'!$O:$O,J$4)</f>
        <v>0</v>
      </c>
      <c r="K110" s="42">
        <f>SUMIFS('2026'!$N:$N,'2026'!$J:$J,$B110&amp;$C110,'2026'!$O:$O,K$4)</f>
        <v>0</v>
      </c>
      <c r="L110" s="42">
        <f>SUMIFS('2026'!$N:$N,'2026'!$J:$J,$B110&amp;$C110,'2026'!$O:$O,L$4)</f>
        <v>0</v>
      </c>
      <c r="M110" s="42">
        <f>SUMIFS('2026'!$N:$N,'2026'!$J:$J,$B110&amp;$C110,'2026'!$O:$O,M$4)</f>
        <v>0</v>
      </c>
      <c r="N110" s="42">
        <f>SUMIFS('2026'!$N:$N,'2026'!$J:$J,$B110&amp;$C110,'2026'!$O:$O,N$4)</f>
        <v>0</v>
      </c>
      <c r="O110" s="42">
        <f>SUMIFS('2026'!$N:$N,'2026'!$J:$J,$B110&amp;$C110,'2026'!$O:$O,O$4)</f>
        <v>0</v>
      </c>
      <c r="P110" s="61">
        <f t="shared" si="45"/>
        <v>236.68942791762009</v>
      </c>
      <c r="Q110" s="61">
        <f t="shared" si="45"/>
        <v>473.37885583524019</v>
      </c>
      <c r="R110" s="29">
        <f t="shared" si="46"/>
        <v>-236.68942791762009</v>
      </c>
      <c r="S110" s="9">
        <f t="shared" si="47"/>
        <v>-0.5</v>
      </c>
      <c r="T110" s="61">
        <v>0</v>
      </c>
    </row>
    <row r="111" spans="1:20">
      <c r="A111" s="2" t="s">
        <v>38</v>
      </c>
      <c r="B111" s="36" t="s">
        <v>134</v>
      </c>
      <c r="C111" s="36" t="s">
        <v>37</v>
      </c>
      <c r="D111" s="42">
        <f>SUMIFS('2026'!$N:$N,'2026'!$J:$J,$B111&amp;$C111,'2026'!$O:$O,D$4)</f>
        <v>0</v>
      </c>
      <c r="E111" s="42">
        <f>SUMIFS('2026'!$N:$N,'2026'!$J:$J,$B111&amp;$C111,'2026'!$O:$O,E$4)</f>
        <v>0</v>
      </c>
      <c r="F111" s="42">
        <f>SUMIFS('2026'!$N:$N,'2026'!$J:$J,$B111&amp;$C111,'2026'!$O:$O,F$4)</f>
        <v>0</v>
      </c>
      <c r="G111" s="42">
        <f>SUMIFS('2026'!$N:$N,'2026'!$J:$J,$B111&amp;$C111,'2026'!$O:$O,G$4)</f>
        <v>0</v>
      </c>
      <c r="H111" s="42">
        <f>SUMIFS('2026'!$N:$N,'2026'!$J:$J,$B111&amp;$C111,'2026'!$O:$O,H$4)</f>
        <v>0</v>
      </c>
      <c r="I111" s="42">
        <f>SUMIFS('2026'!$N:$N,'2026'!$J:$J,$B111&amp;$C111,'2026'!$O:$O,I$4)</f>
        <v>0</v>
      </c>
      <c r="J111" s="42">
        <f>SUMIFS('2026'!$N:$N,'2026'!$J:$J,$B111&amp;$C111,'2026'!$O:$O,J$4)</f>
        <v>0</v>
      </c>
      <c r="K111" s="42">
        <f>SUMIFS('2026'!$N:$N,'2026'!$J:$J,$B111&amp;$C111,'2026'!$O:$O,K$4)</f>
        <v>0</v>
      </c>
      <c r="L111" s="42">
        <f>SUMIFS('2026'!$N:$N,'2026'!$J:$J,$B111&amp;$C111,'2026'!$O:$O,L$4)</f>
        <v>0</v>
      </c>
      <c r="M111" s="42">
        <f>SUMIFS('2026'!$N:$N,'2026'!$J:$J,$B111&amp;$C111,'2026'!$O:$O,M$4)</f>
        <v>0</v>
      </c>
      <c r="N111" s="42">
        <f>SUMIFS('2026'!$N:$N,'2026'!$J:$J,$B111&amp;$C111,'2026'!$O:$O,N$4)</f>
        <v>0</v>
      </c>
      <c r="O111" s="42">
        <f>SUMIFS('2026'!$N:$N,'2026'!$J:$J,$B111&amp;$C111,'2026'!$O:$O,O$4)</f>
        <v>0</v>
      </c>
      <c r="P111" s="61">
        <f t="shared" si="45"/>
        <v>0</v>
      </c>
      <c r="Q111" s="61">
        <f t="shared" si="45"/>
        <v>0</v>
      </c>
      <c r="R111" s="29">
        <f t="shared" si="46"/>
        <v>0</v>
      </c>
      <c r="S111" s="9" t="str">
        <f t="shared" si="47"/>
        <v/>
      </c>
      <c r="T111" s="61">
        <v>0</v>
      </c>
    </row>
    <row r="112" spans="1:20">
      <c r="A112" s="2" t="s">
        <v>38</v>
      </c>
      <c r="B112" s="36" t="s">
        <v>136</v>
      </c>
      <c r="C112" s="36" t="s">
        <v>135</v>
      </c>
      <c r="D112" s="42">
        <f>SUMIFS('2026'!$N:$N,'2026'!$J:$J,$B112&amp;$C112,'2026'!$O:$O,D$4)</f>
        <v>0</v>
      </c>
      <c r="E112" s="42">
        <f>SUMIFS('2026'!$N:$N,'2026'!$J:$J,$B112&amp;$C112,'2026'!$O:$O,E$4)</f>
        <v>0</v>
      </c>
      <c r="F112" s="42">
        <f>SUMIFS('2026'!$N:$N,'2026'!$J:$J,$B112&amp;$C112,'2026'!$O:$O,F$4)</f>
        <v>0</v>
      </c>
      <c r="G112" s="42">
        <f>SUMIFS('2026'!$N:$N,'2026'!$J:$J,$B112&amp;$C112,'2026'!$O:$O,G$4)</f>
        <v>0</v>
      </c>
      <c r="H112" s="42">
        <f>SUMIFS('2026'!$N:$N,'2026'!$J:$J,$B112&amp;$C112,'2026'!$O:$O,H$4)</f>
        <v>0</v>
      </c>
      <c r="I112" s="42">
        <f>SUMIFS('2026'!$N:$N,'2026'!$J:$J,$B112&amp;$C112,'2026'!$O:$O,I$4)</f>
        <v>0</v>
      </c>
      <c r="J112" s="42">
        <f>SUMIFS('2026'!$N:$N,'2026'!$J:$J,$B112&amp;$C112,'2026'!$O:$O,J$4)</f>
        <v>0</v>
      </c>
      <c r="K112" s="42">
        <f>SUMIFS('2026'!$N:$N,'2026'!$J:$J,$B112&amp;$C112,'2026'!$O:$O,K$4)</f>
        <v>0</v>
      </c>
      <c r="L112" s="42">
        <f>SUMIFS('2026'!$N:$N,'2026'!$J:$J,$B112&amp;$C112,'2026'!$O:$O,L$4)</f>
        <v>0</v>
      </c>
      <c r="M112" s="42">
        <f>SUMIFS('2026'!$N:$N,'2026'!$J:$J,$B112&amp;$C112,'2026'!$O:$O,M$4)</f>
        <v>0</v>
      </c>
      <c r="N112" s="42">
        <f>SUMIFS('2026'!$N:$N,'2026'!$J:$J,$B112&amp;$C112,'2026'!$O:$O,N$4)</f>
        <v>0</v>
      </c>
      <c r="O112" s="42">
        <f>SUMIFS('2026'!$N:$N,'2026'!$J:$J,$B112&amp;$C112,'2026'!$O:$O,O$4)</f>
        <v>0</v>
      </c>
      <c r="P112" s="61">
        <f t="shared" si="45"/>
        <v>0</v>
      </c>
      <c r="Q112" s="61">
        <f t="shared" si="45"/>
        <v>0</v>
      </c>
      <c r="R112" s="29">
        <f t="shared" si="46"/>
        <v>0</v>
      </c>
      <c r="S112" s="9" t="str">
        <f t="shared" si="47"/>
        <v/>
      </c>
      <c r="T112" s="61">
        <v>0</v>
      </c>
    </row>
    <row r="113" spans="1:23">
      <c r="A113" s="2" t="s">
        <v>35</v>
      </c>
      <c r="B113" s="36" t="s">
        <v>137</v>
      </c>
      <c r="C113" s="36" t="s">
        <v>35</v>
      </c>
      <c r="D113" s="42">
        <f>SUMIFS('2026'!$N:$N,'2026'!$J:$J,$B113&amp;$C113,'2026'!$O:$O,D$4)</f>
        <v>0</v>
      </c>
      <c r="E113" s="42">
        <f>SUMIFS('2026'!$N:$N,'2026'!$J:$J,$B113&amp;$C113,'2026'!$O:$O,E$4)</f>
        <v>40</v>
      </c>
      <c r="F113" s="42">
        <f>SUMIFS('2026'!$N:$N,'2026'!$J:$J,$B113&amp;$C113,'2026'!$O:$O,F$4)</f>
        <v>38.4</v>
      </c>
      <c r="G113" s="42">
        <f>SUMIFS('2026'!$N:$N,'2026'!$J:$J,$B113&amp;$C113,'2026'!$O:$O,G$4)</f>
        <v>768</v>
      </c>
      <c r="H113" s="42">
        <f>SUMIFS('2026'!$N:$N,'2026'!$J:$J,$B113&amp;$C113,'2026'!$O:$O,H$4)</f>
        <v>403.20000000000005</v>
      </c>
      <c r="I113" s="42">
        <f>SUMIFS('2026'!$N:$N,'2026'!$J:$J,$B113&amp;$C113,'2026'!$O:$O,I$4)</f>
        <v>192</v>
      </c>
      <c r="J113" s="42">
        <f>SUMIFS('2026'!$N:$N,'2026'!$J:$J,$B113&amp;$C113,'2026'!$O:$O,J$4)</f>
        <v>307.2</v>
      </c>
      <c r="K113" s="42">
        <f>SUMIFS('2026'!$N:$N,'2026'!$J:$J,$B113&amp;$C113,'2026'!$O:$O,K$4)</f>
        <v>0</v>
      </c>
      <c r="L113" s="42">
        <f>SUMIFS('2026'!$N:$N,'2026'!$J:$J,$B113&amp;$C113,'2026'!$O:$O,L$4)</f>
        <v>0</v>
      </c>
      <c r="M113" s="42">
        <f>SUMIFS('2026'!$N:$N,'2026'!$J:$J,$B113&amp;$C113,'2026'!$O:$O,M$4)</f>
        <v>111.38618181818181</v>
      </c>
      <c r="N113" s="42">
        <f>SUMIFS('2026'!$N:$N,'2026'!$J:$J,$B113&amp;$C113,'2026'!$O:$O,N$4)</f>
        <v>0</v>
      </c>
      <c r="O113" s="42">
        <f>SUMIFS('2026'!$N:$N,'2026'!$J:$J,$B113&amp;$C113,'2026'!$O:$O,O$4)</f>
        <v>0</v>
      </c>
      <c r="P113" s="61">
        <f t="shared" si="45"/>
        <v>1860.1861818181817</v>
      </c>
      <c r="Q113" s="61">
        <f t="shared" si="45"/>
        <v>3720.3723636363634</v>
      </c>
      <c r="R113" s="29">
        <f t="shared" si="46"/>
        <v>-1860.1861818181817</v>
      </c>
      <c r="S113" s="9">
        <f t="shared" si="47"/>
        <v>-0.5</v>
      </c>
      <c r="T113" s="61">
        <v>4413.424494949496</v>
      </c>
    </row>
    <row r="114" spans="1:23">
      <c r="A114" s="2" t="s">
        <v>38</v>
      </c>
      <c r="B114" s="36" t="s">
        <v>137</v>
      </c>
      <c r="C114" s="36" t="s">
        <v>38</v>
      </c>
      <c r="D114" s="42">
        <f>SUMIFS('2026'!$N:$N,'2026'!$J:$J,$B114&amp;$C114,'2026'!$O:$O,D$4)</f>
        <v>0</v>
      </c>
      <c r="E114" s="42">
        <f>SUMIFS('2026'!$N:$N,'2026'!$J:$J,$B114&amp;$C114,'2026'!$O:$O,E$4)</f>
        <v>0</v>
      </c>
      <c r="F114" s="42">
        <f>SUMIFS('2026'!$N:$N,'2026'!$J:$J,$B114&amp;$C114,'2026'!$O:$O,F$4)</f>
        <v>0</v>
      </c>
      <c r="G114" s="42">
        <f>SUMIFS('2026'!$N:$N,'2026'!$J:$J,$B114&amp;$C114,'2026'!$O:$O,G$4)</f>
        <v>0</v>
      </c>
      <c r="H114" s="42">
        <f>SUMIFS('2026'!$N:$N,'2026'!$J:$J,$B114&amp;$C114,'2026'!$O:$O,H$4)</f>
        <v>0</v>
      </c>
      <c r="I114" s="42">
        <f>SUMIFS('2026'!$N:$N,'2026'!$J:$J,$B114&amp;$C114,'2026'!$O:$O,I$4)</f>
        <v>0</v>
      </c>
      <c r="J114" s="42">
        <f>SUMIFS('2026'!$N:$N,'2026'!$J:$J,$B114&amp;$C114,'2026'!$O:$O,J$4)</f>
        <v>0</v>
      </c>
      <c r="K114" s="42">
        <f>SUMIFS('2026'!$N:$N,'2026'!$J:$J,$B114&amp;$C114,'2026'!$O:$O,K$4)</f>
        <v>0</v>
      </c>
      <c r="L114" s="42">
        <f>SUMIFS('2026'!$N:$N,'2026'!$J:$J,$B114&amp;$C114,'2026'!$O:$O,L$4)</f>
        <v>0</v>
      </c>
      <c r="M114" s="42">
        <f>SUMIFS('2026'!$N:$N,'2026'!$J:$J,$B114&amp;$C114,'2026'!$O:$O,M$4)</f>
        <v>0</v>
      </c>
      <c r="N114" s="42">
        <f>SUMIFS('2026'!$N:$N,'2026'!$J:$J,$B114&amp;$C114,'2026'!$O:$O,N$4)</f>
        <v>0</v>
      </c>
      <c r="O114" s="42">
        <f>SUMIFS('2026'!$N:$N,'2026'!$J:$J,$B114&amp;$C114,'2026'!$O:$O,O$4)</f>
        <v>0</v>
      </c>
      <c r="P114" s="61">
        <f t="shared" si="45"/>
        <v>0</v>
      </c>
      <c r="Q114" s="61">
        <f t="shared" si="45"/>
        <v>0</v>
      </c>
      <c r="R114" s="29">
        <f t="shared" si="46"/>
        <v>0</v>
      </c>
      <c r="S114" s="9" t="str">
        <f t="shared" si="47"/>
        <v/>
      </c>
      <c r="T114" s="61">
        <v>578.82727272727266</v>
      </c>
    </row>
    <row r="115" spans="1:23">
      <c r="A115" s="2" t="s">
        <v>34</v>
      </c>
      <c r="B115" s="36" t="s">
        <v>139</v>
      </c>
      <c r="C115" s="36" t="s">
        <v>34</v>
      </c>
      <c r="D115" s="42">
        <f>SUMIFS('2026'!$N:$N,'2026'!$J:$J,$B115&amp;$C115,'2026'!$O:$O,D$4)</f>
        <v>1000</v>
      </c>
      <c r="E115" s="42">
        <f>SUMIFS('2026'!$N:$N,'2026'!$J:$J,$B115&amp;$C115,'2026'!$O:$O,E$4)</f>
        <v>2304.8015318015314</v>
      </c>
      <c r="F115" s="42">
        <f>SUMIFS('2026'!$N:$N,'2026'!$J:$J,$B115&amp;$C115,'2026'!$O:$O,F$4)</f>
        <v>1773.9948717948719</v>
      </c>
      <c r="G115" s="42">
        <f>SUMIFS('2026'!$N:$N,'2026'!$J:$J,$B115&amp;$C115,'2026'!$O:$O,G$4)</f>
        <v>4232.5035604395607</v>
      </c>
      <c r="H115" s="42">
        <f>SUMIFS('2026'!$N:$N,'2026'!$J:$J,$B115&amp;$C115,'2026'!$O:$O,H$4)</f>
        <v>1640.3467252747253</v>
      </c>
      <c r="I115" s="42">
        <f>SUMIFS('2026'!$N:$N,'2026'!$J:$J,$B115&amp;$C115,'2026'!$O:$O,I$4)</f>
        <v>1667.3638041958038</v>
      </c>
      <c r="J115" s="42">
        <f>SUMIFS('2026'!$N:$N,'2026'!$J:$J,$B115&amp;$C115,'2026'!$O:$O,J$4)</f>
        <v>1249.7256343656343</v>
      </c>
      <c r="K115" s="42">
        <f>SUMIFS('2026'!$N:$N,'2026'!$J:$J,$B115&amp;$C115,'2026'!$O:$O,K$4)</f>
        <v>2053.3111688311692</v>
      </c>
      <c r="L115" s="42">
        <f>SUMIFS('2026'!$N:$N,'2026'!$J:$J,$B115&amp;$C115,'2026'!$O:$O,L$4)</f>
        <v>738.53084515484522</v>
      </c>
      <c r="M115" s="42">
        <f>SUMIFS('2026'!$N:$N,'2026'!$J:$J,$B115&amp;$C115,'2026'!$O:$O,M$4)</f>
        <v>742.28606593406607</v>
      </c>
      <c r="N115" s="42">
        <f>SUMIFS('2026'!$N:$N,'2026'!$J:$J,$B115&amp;$C115,'2026'!$O:$O,N$4)</f>
        <v>1089.8835564435565</v>
      </c>
      <c r="O115" s="42">
        <f>SUMIFS('2026'!$N:$N,'2026'!$J:$J,$B115&amp;$C115,'2026'!$O:$O,O$4)</f>
        <v>667.25415384615394</v>
      </c>
      <c r="P115" s="61">
        <f t="shared" si="45"/>
        <v>19160.001918081918</v>
      </c>
      <c r="Q115" s="61">
        <f t="shared" si="45"/>
        <v>37320.003836163836</v>
      </c>
      <c r="R115" s="29">
        <f t="shared" si="46"/>
        <v>-18160.001918081918</v>
      </c>
      <c r="S115" s="9">
        <f t="shared" si="47"/>
        <v>-0.48660235936215285</v>
      </c>
      <c r="T115" s="61">
        <v>23940.111794871798</v>
      </c>
    </row>
    <row r="116" spans="1:23">
      <c r="B116" s="10"/>
      <c r="C116" s="90" t="s">
        <v>140</v>
      </c>
      <c r="D116" s="11">
        <f t="shared" ref="D116:O116" si="48">SUM(D94:D115)</f>
        <v>3281.7603683353682</v>
      </c>
      <c r="E116" s="11">
        <f t="shared" si="48"/>
        <v>3747.1284584175883</v>
      </c>
      <c r="F116" s="11">
        <f t="shared" si="48"/>
        <v>3904.2389555307814</v>
      </c>
      <c r="G116" s="11">
        <f t="shared" si="48"/>
        <v>7226.8841263470831</v>
      </c>
      <c r="H116" s="11">
        <f t="shared" si="48"/>
        <v>4947.2024383445332</v>
      </c>
      <c r="I116" s="11">
        <f t="shared" si="48"/>
        <v>5949.1050215871073</v>
      </c>
      <c r="J116" s="11">
        <f t="shared" si="48"/>
        <v>4837.0013297221612</v>
      </c>
      <c r="K116" s="11">
        <f t="shared" si="48"/>
        <v>4477.1105369317465</v>
      </c>
      <c r="L116" s="11">
        <f t="shared" si="48"/>
        <v>2775.0276198764514</v>
      </c>
      <c r="M116" s="11">
        <f t="shared" si="48"/>
        <v>2920.7436667887314</v>
      </c>
      <c r="N116" s="11">
        <f t="shared" si="48"/>
        <v>1494.799829735482</v>
      </c>
      <c r="O116" s="11">
        <f t="shared" si="48"/>
        <v>729.36595508838991</v>
      </c>
      <c r="P116" s="11">
        <f>SUM(P94:P115)</f>
        <v>46290.368306705423</v>
      </c>
      <c r="Q116" s="11">
        <f>SUM(Q94:Q115)</f>
        <v>89298.976245075479</v>
      </c>
      <c r="R116" s="11">
        <f>SUM(R94:R115)</f>
        <v>-43008.607938370056</v>
      </c>
      <c r="S116" s="12">
        <f>IF(ISERROR(R116/Q116),"",R116/Q116)</f>
        <v>-0.48162487126767961</v>
      </c>
      <c r="T116" s="11">
        <v>60397.032913722083</v>
      </c>
    </row>
    <row r="117" spans="1:23" ht="15">
      <c r="B11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1"/>
      <c r="Q117" s="1"/>
      <c r="R117" s="1"/>
      <c r="S117" s="1"/>
      <c r="T117" s="1"/>
    </row>
    <row r="118" spans="1:23" ht="17.25">
      <c r="B118" s="23"/>
      <c r="C118" s="23" t="s">
        <v>141</v>
      </c>
      <c r="D118" s="24">
        <f>SUM(D14,D22,D41,D53,D60,D116,D77,D69,D80,D90,D81,D82,D86,D87,D85,D88,D89,D84,D83,D136)</f>
        <v>44587.197442715682</v>
      </c>
      <c r="E118" s="24">
        <f t="shared" ref="E118:O118" si="49">SUM(E14,E22,E41,E53,E60,E116,E77,E69,E80,E90,E81,E82,E86,E87,E85,E88,E89,E84,E83,E136)</f>
        <v>54334.515267437193</v>
      </c>
      <c r="F118" s="24">
        <f t="shared" si="49"/>
        <v>63868.721597704054</v>
      </c>
      <c r="G118" s="24">
        <f t="shared" si="49"/>
        <v>59607.546978108621</v>
      </c>
      <c r="H118" s="24">
        <f t="shared" si="49"/>
        <v>60728.23444731233</v>
      </c>
      <c r="I118" s="24">
        <f t="shared" si="49"/>
        <v>55342.256774731221</v>
      </c>
      <c r="J118" s="24">
        <f t="shared" si="49"/>
        <v>55063.164788731199</v>
      </c>
      <c r="K118" s="24">
        <f t="shared" si="49"/>
        <v>57164.4572634016</v>
      </c>
      <c r="L118" s="24">
        <f t="shared" si="49"/>
        <v>45659.890210310929</v>
      </c>
      <c r="M118" s="24">
        <f t="shared" si="49"/>
        <v>43563.698939468806</v>
      </c>
      <c r="N118" s="24">
        <f t="shared" si="49"/>
        <v>31218.791069385319</v>
      </c>
      <c r="O118" s="24">
        <f t="shared" si="49"/>
        <v>26328.814483710637</v>
      </c>
      <c r="P118" s="24">
        <f>SUM(P14,P22,P41,P53,P60,P116,P77,P69,P80,P90,P81,P82,P86,P87,P85,P88,P89,P84,P83,P136)</f>
        <v>594576.68821852282</v>
      </c>
      <c r="Q118" s="24">
        <f>SUM(Q14,Q22,Q41,Q53,Q60,Q116,Q77,Q69,Q80,Q90,Q81,Q82,Q86,Q87,Q85,Q88,Q89,Q84,Q83,Q136)</f>
        <v>1144864.8743374671</v>
      </c>
      <c r="R118" s="11">
        <f>(P118-Q118)</f>
        <v>-550288.18611894432</v>
      </c>
      <c r="S118" s="12">
        <f t="shared" ref="S118" si="50">IF(ISERROR(R118/Q118),"",R118/Q118)</f>
        <v>-0.48065776010238404</v>
      </c>
      <c r="T118" s="24">
        <v>600219.80860799667</v>
      </c>
      <c r="W118" s="24">
        <f>SUM(W14,W22,W41,W53,W60,W116,W77,W69,W80,W90,W81,W82,W86,W87,W85,W88,W89,W84,W83,W136)</f>
        <v>0</v>
      </c>
    </row>
    <row r="119" spans="1:23" ht="17.25">
      <c r="B119" s="23"/>
      <c r="C119" s="23" t="s">
        <v>142</v>
      </c>
      <c r="D119" s="24">
        <f>SUM(D14,D22,D41,D53)</f>
        <v>33838.203336892431</v>
      </c>
      <c r="E119" s="24">
        <f t="shared" ref="E119:O119" si="51">SUM(E14,E22,E41,E53)</f>
        <v>42456.117662606834</v>
      </c>
      <c r="F119" s="24">
        <f t="shared" si="51"/>
        <v>50017.102542884139</v>
      </c>
      <c r="G119" s="24">
        <f t="shared" si="51"/>
        <v>44724.732884174766</v>
      </c>
      <c r="H119" s="24">
        <f t="shared" si="51"/>
        <v>40212.391836976865</v>
      </c>
      <c r="I119" s="24">
        <f t="shared" si="51"/>
        <v>39719.62078769596</v>
      </c>
      <c r="J119" s="24">
        <f t="shared" si="51"/>
        <v>42140.871487371296</v>
      </c>
      <c r="K119" s="24">
        <f t="shared" si="51"/>
        <v>44066.261535872618</v>
      </c>
      <c r="L119" s="24">
        <f t="shared" si="51"/>
        <v>36079.65031156996</v>
      </c>
      <c r="M119" s="24">
        <f t="shared" si="51"/>
        <v>32785.771934983321</v>
      </c>
      <c r="N119" s="24">
        <f t="shared" si="51"/>
        <v>21145.012547768412</v>
      </c>
      <c r="O119" s="24">
        <f t="shared" si="51"/>
        <v>19942.448694041253</v>
      </c>
      <c r="P119" s="24">
        <f>SUM(P14,P22,P41,P53)</f>
        <v>447128.18556283781</v>
      </c>
      <c r="Q119" s="24">
        <f>SUM(Q14,Q22,Q41,Q53)</f>
        <v>860418.1677887832</v>
      </c>
      <c r="R119" s="11">
        <f>(P119-Q119)</f>
        <v>-413289.98222594539</v>
      </c>
      <c r="S119" s="12">
        <f>IF(ISERROR(R119/Q119),"",R119/Q119)</f>
        <v>-0.48033618733094963</v>
      </c>
      <c r="T119" s="24">
        <v>450670.33689432818</v>
      </c>
    </row>
    <row r="120" spans="1:23" ht="15" customHeight="1"/>
    <row r="121" spans="1:23" ht="15" customHeight="1">
      <c r="B121" s="35"/>
      <c r="C121" s="1094" t="s">
        <v>143</v>
      </c>
      <c r="D121" s="1095"/>
      <c r="E121" s="1095"/>
      <c r="F121" s="1095"/>
      <c r="G121" s="1095"/>
      <c r="H121" s="1095"/>
      <c r="I121" s="1095"/>
      <c r="J121" s="1095"/>
      <c r="K121" s="1095"/>
      <c r="L121" s="1095"/>
      <c r="M121" s="1095"/>
      <c r="N121" s="1095"/>
      <c r="O121" s="1095"/>
      <c r="R121" s="31" t="s">
        <v>94</v>
      </c>
      <c r="S121" s="32"/>
    </row>
    <row r="122" spans="1:23" ht="15" customHeight="1">
      <c r="B122" s="4"/>
      <c r="C122" s="4" t="s">
        <v>17</v>
      </c>
      <c r="D122" s="5" t="s">
        <v>68</v>
      </c>
      <c r="E122" s="5" t="s">
        <v>69</v>
      </c>
      <c r="F122" s="5" t="s">
        <v>70</v>
      </c>
      <c r="G122" s="5" t="s">
        <v>71</v>
      </c>
      <c r="H122" s="5" t="s">
        <v>72</v>
      </c>
      <c r="I122" s="5" t="s">
        <v>73</v>
      </c>
      <c r="J122" s="5" t="s">
        <v>74</v>
      </c>
      <c r="K122" s="5" t="s">
        <v>75</v>
      </c>
      <c r="L122" s="5" t="s">
        <v>76</v>
      </c>
      <c r="M122" s="5" t="s">
        <v>77</v>
      </c>
      <c r="N122" s="5" t="s">
        <v>78</v>
      </c>
      <c r="O122" s="5" t="s">
        <v>79</v>
      </c>
      <c r="P122" s="187" t="str">
        <f>P$4</f>
        <v>2026 MRF3</v>
      </c>
      <c r="Q122" s="188" t="str">
        <f>Q$4</f>
        <v>2026 MRF2</v>
      </c>
      <c r="R122" s="5" t="str">
        <f t="shared" ref="R122:S122" si="52">R$4</f>
        <v>Difference</v>
      </c>
      <c r="S122" s="6" t="str">
        <f t="shared" si="52"/>
        <v>% change</v>
      </c>
      <c r="T122" s="187" t="s">
        <v>1186</v>
      </c>
    </row>
    <row r="123" spans="1:23" ht="15" customHeight="1">
      <c r="A123" s="2" t="s">
        <v>38</v>
      </c>
      <c r="B123" s="36">
        <v>3985</v>
      </c>
      <c r="C123" s="36" t="s">
        <v>144</v>
      </c>
      <c r="D123" s="42">
        <f>SUMIFS('2026'!$N:$N,'2026'!$J:$J,$B123&amp;$C123,'2026'!$O:$O,D$4)</f>
        <v>0</v>
      </c>
      <c r="E123" s="42">
        <f>SUMIFS('2026'!$N:$N,'2026'!$J:$J,$B123&amp;$C123,'2026'!$O:$O,E$4)</f>
        <v>0</v>
      </c>
      <c r="F123" s="42">
        <f>SUMIFS('2026'!$N:$N,'2026'!$J:$J,$B123&amp;$C123,'2026'!$O:$O,F$4)</f>
        <v>0</v>
      </c>
      <c r="G123" s="42">
        <f>SUMIFS('2026'!$N:$N,'2026'!$J:$J,$B123&amp;$C123,'2026'!$O:$O,G$4)</f>
        <v>0</v>
      </c>
      <c r="H123" s="42">
        <f>SUMIFS('2026'!$N:$N,'2026'!$J:$J,$B123&amp;$C123,'2026'!$O:$O,H$4)</f>
        <v>0</v>
      </c>
      <c r="I123" s="42">
        <f>SUMIFS('2026'!$N:$N,'2026'!$J:$J,$B123&amp;$C123,'2026'!$O:$O,I$4)</f>
        <v>0</v>
      </c>
      <c r="J123" s="42">
        <f>SUMIFS('2026'!$N:$N,'2026'!$J:$J,$B123&amp;$C123,'2026'!$O:$O,J$4)</f>
        <v>0</v>
      </c>
      <c r="K123" s="42">
        <f>SUMIFS('2026'!$N:$N,'2026'!$J:$J,$B123&amp;$C123,'2026'!$O:$O,K$4)</f>
        <v>0</v>
      </c>
      <c r="L123" s="42">
        <f>SUMIFS('2026'!$N:$N,'2026'!$J:$J,$B123&amp;$C123,'2026'!$O:$O,L$4)</f>
        <v>0</v>
      </c>
      <c r="M123" s="42">
        <f>SUMIFS('2026'!$N:$N,'2026'!$J:$J,$B123&amp;$C123,'2026'!$O:$O,M$4)</f>
        <v>0</v>
      </c>
      <c r="N123" s="42">
        <f>SUMIFS('2026'!$N:$N,'2026'!$J:$J,$B123&amp;$C123,'2026'!$O:$O,N$4)</f>
        <v>0</v>
      </c>
      <c r="O123" s="42">
        <f>SUMIFS('2026'!$N:$N,'2026'!$J:$J,$B123&amp;$C123,'2026'!$O:$O,O$4)</f>
        <v>0</v>
      </c>
      <c r="P123" s="61">
        <f t="shared" ref="P123:Q135" si="53">SUM(D123:O123)</f>
        <v>0</v>
      </c>
      <c r="Q123" s="61">
        <f t="shared" si="53"/>
        <v>0</v>
      </c>
      <c r="R123" s="8">
        <f t="shared" ref="R123:R135" si="54">P123-Q123</f>
        <v>0</v>
      </c>
      <c r="S123" s="96" t="str">
        <f>IF(ISERROR(R123/Q123),"",R123/Q123)</f>
        <v/>
      </c>
      <c r="T123" s="61">
        <v>50</v>
      </c>
    </row>
    <row r="124" spans="1:23" ht="15" customHeight="1">
      <c r="A124" s="2" t="s">
        <v>38</v>
      </c>
      <c r="B124" s="36">
        <v>3985</v>
      </c>
      <c r="C124" s="36" t="s">
        <v>145</v>
      </c>
      <c r="D124" s="42">
        <f>SUMIFS('2026'!$N:$N,'2026'!$J:$J,$B124&amp;$C124,'2026'!$O:$O,D$4)</f>
        <v>0</v>
      </c>
      <c r="E124" s="42">
        <f>SUMIFS('2026'!$N:$N,'2026'!$J:$J,$B124&amp;$C124,'2026'!$O:$O,E$4)</f>
        <v>0</v>
      </c>
      <c r="F124" s="42">
        <f>SUMIFS('2026'!$N:$N,'2026'!$J:$J,$B124&amp;$C124,'2026'!$O:$O,F$4)</f>
        <v>0</v>
      </c>
      <c r="G124" s="42">
        <f>SUMIFS('2026'!$N:$N,'2026'!$J:$J,$B124&amp;$C124,'2026'!$O:$O,G$4)</f>
        <v>0</v>
      </c>
      <c r="H124" s="42">
        <f>SUMIFS('2026'!$N:$N,'2026'!$J:$J,$B124&amp;$C124,'2026'!$O:$O,H$4)</f>
        <v>0</v>
      </c>
      <c r="I124" s="42">
        <f>SUMIFS('2026'!$N:$N,'2026'!$J:$J,$B124&amp;$C124,'2026'!$O:$O,I$4)</f>
        <v>0</v>
      </c>
      <c r="J124" s="42">
        <f>SUMIFS('2026'!$N:$N,'2026'!$J:$J,$B124&amp;$C124,'2026'!$O:$O,J$4)</f>
        <v>0</v>
      </c>
      <c r="K124" s="42">
        <f>SUMIFS('2026'!$N:$N,'2026'!$J:$J,$B124&amp;$C124,'2026'!$O:$O,K$4)</f>
        <v>0</v>
      </c>
      <c r="L124" s="42">
        <f>SUMIFS('2026'!$N:$N,'2026'!$J:$J,$B124&amp;$C124,'2026'!$O:$O,L$4)</f>
        <v>0</v>
      </c>
      <c r="M124" s="42">
        <f>SUMIFS('2026'!$N:$N,'2026'!$J:$J,$B124&amp;$C124,'2026'!$O:$O,M$4)</f>
        <v>0</v>
      </c>
      <c r="N124" s="42">
        <f>SUMIFS('2026'!$N:$N,'2026'!$J:$J,$B124&amp;$C124,'2026'!$O:$O,N$4)</f>
        <v>0</v>
      </c>
      <c r="O124" s="42">
        <f>SUMIFS('2026'!$N:$N,'2026'!$J:$J,$B124&amp;$C124,'2026'!$O:$O,O$4)</f>
        <v>0</v>
      </c>
      <c r="P124" s="61">
        <f t="shared" si="53"/>
        <v>0</v>
      </c>
      <c r="Q124" s="61">
        <f t="shared" si="53"/>
        <v>0</v>
      </c>
      <c r="R124" s="8">
        <f t="shared" si="54"/>
        <v>0</v>
      </c>
      <c r="S124" s="9" t="str">
        <f>IF(ISERROR(R124/Q124),"",R124/Q124)</f>
        <v/>
      </c>
      <c r="T124" s="61">
        <v>0</v>
      </c>
    </row>
    <row r="125" spans="1:23" ht="15" customHeight="1">
      <c r="A125" s="2" t="s">
        <v>38</v>
      </c>
      <c r="B125" s="36">
        <v>3985</v>
      </c>
      <c r="C125" s="36" t="s">
        <v>38</v>
      </c>
      <c r="D125" s="42">
        <f>SUMIFS('2026'!$N:$N,'2026'!$J:$J,$B125&amp;$C125,'2026'!$O:$O,D$4)</f>
        <v>133.17333333333335</v>
      </c>
      <c r="E125" s="42">
        <f>SUMIFS('2026'!$N:$N,'2026'!$J:$J,$B125&amp;$C125,'2026'!$O:$O,E$4)</f>
        <v>472.98</v>
      </c>
      <c r="F125" s="42">
        <f>SUMIFS('2026'!$N:$N,'2026'!$J:$J,$B125&amp;$C125,'2026'!$O:$O,F$4)</f>
        <v>514</v>
      </c>
      <c r="G125" s="42">
        <f>SUMIFS('2026'!$N:$N,'2026'!$J:$J,$B125&amp;$C125,'2026'!$O:$O,G$4)</f>
        <v>711.81818181818187</v>
      </c>
      <c r="H125" s="42">
        <f>SUMIFS('2026'!$N:$N,'2026'!$J:$J,$B125&amp;$C125,'2026'!$O:$O,H$4)</f>
        <v>718.90909090909099</v>
      </c>
      <c r="I125" s="42">
        <f>SUMIFS('2026'!$N:$N,'2026'!$J:$J,$B125&amp;$C125,'2026'!$O:$O,I$4)</f>
        <v>793.90909090909099</v>
      </c>
      <c r="J125" s="42">
        <f>SUMIFS('2026'!$N:$N,'2026'!$J:$J,$B125&amp;$C125,'2026'!$O:$O,J$4)</f>
        <v>457.09090909090912</v>
      </c>
      <c r="K125" s="42">
        <f>SUMIFS('2026'!$N:$N,'2026'!$J:$J,$B125&amp;$C125,'2026'!$O:$O,K$4)</f>
        <v>375</v>
      </c>
      <c r="L125" s="42">
        <f>SUMIFS('2026'!$N:$N,'2026'!$J:$J,$B125&amp;$C125,'2026'!$O:$O,L$4)</f>
        <v>225</v>
      </c>
      <c r="M125" s="42">
        <f>SUMIFS('2026'!$N:$N,'2026'!$J:$J,$B125&amp;$C125,'2026'!$O:$O,M$4)</f>
        <v>0</v>
      </c>
      <c r="N125" s="42">
        <f>SUMIFS('2026'!$N:$N,'2026'!$J:$J,$B125&amp;$C125,'2026'!$O:$O,N$4)</f>
        <v>0</v>
      </c>
      <c r="O125" s="42">
        <f>SUMIFS('2026'!$N:$N,'2026'!$J:$J,$B125&amp;$C125,'2026'!$O:$O,O$4)</f>
        <v>0</v>
      </c>
      <c r="P125" s="61">
        <f t="shared" si="53"/>
        <v>4401.8806060606057</v>
      </c>
      <c r="Q125" s="61">
        <f t="shared" si="53"/>
        <v>8670.5878787878792</v>
      </c>
      <c r="R125" s="8">
        <f t="shared" si="54"/>
        <v>-4268.7072727272734</v>
      </c>
      <c r="S125" s="9">
        <f t="shared" ref="S125:S135" si="55">IF(ISERROR(R125/Q125),"",R125/Q125)</f>
        <v>-0.49232039769419017</v>
      </c>
      <c r="T125" s="61">
        <v>1256.1733333333334</v>
      </c>
    </row>
    <row r="126" spans="1:23" ht="15" customHeight="1">
      <c r="A126" s="2" t="s">
        <v>38</v>
      </c>
      <c r="B126" s="36">
        <v>3985</v>
      </c>
      <c r="C126" s="36" t="s">
        <v>146</v>
      </c>
      <c r="D126" s="42">
        <f>SUMIFS('2026'!$N:$N,'2026'!$J:$J,$B126&amp;$C126,'2026'!$O:$O,D$4)</f>
        <v>0</v>
      </c>
      <c r="E126" s="42">
        <f>SUMIFS('2026'!$N:$N,'2026'!$J:$J,$B126&amp;$C126,'2026'!$O:$O,E$4)</f>
        <v>0</v>
      </c>
      <c r="F126" s="42">
        <f>SUMIFS('2026'!$N:$N,'2026'!$J:$J,$B126&amp;$C126,'2026'!$O:$O,F$4)</f>
        <v>0</v>
      </c>
      <c r="G126" s="42">
        <f>SUMIFS('2026'!$N:$N,'2026'!$J:$J,$B126&amp;$C126,'2026'!$O:$O,G$4)</f>
        <v>0</v>
      </c>
      <c r="H126" s="42">
        <f>SUMIFS('2026'!$N:$N,'2026'!$J:$J,$B126&amp;$C126,'2026'!$O:$O,H$4)</f>
        <v>0</v>
      </c>
      <c r="I126" s="42">
        <f>SUMIFS('2026'!$N:$N,'2026'!$J:$J,$B126&amp;$C126,'2026'!$O:$O,I$4)</f>
        <v>0</v>
      </c>
      <c r="J126" s="42">
        <f>SUMIFS('2026'!$N:$N,'2026'!$J:$J,$B126&amp;$C126,'2026'!$O:$O,J$4)</f>
        <v>0</v>
      </c>
      <c r="K126" s="42">
        <f>SUMIFS('2026'!$N:$N,'2026'!$J:$J,$B126&amp;$C126,'2026'!$O:$O,K$4)</f>
        <v>0</v>
      </c>
      <c r="L126" s="42">
        <f>SUMIFS('2026'!$N:$N,'2026'!$J:$J,$B126&amp;$C126,'2026'!$O:$O,L$4)</f>
        <v>0</v>
      </c>
      <c r="M126" s="42">
        <f>SUMIFS('2026'!$N:$N,'2026'!$J:$J,$B126&amp;$C126,'2026'!$O:$O,M$4)</f>
        <v>0</v>
      </c>
      <c r="N126" s="42">
        <f>SUMIFS('2026'!$N:$N,'2026'!$J:$J,$B126&amp;$C126,'2026'!$O:$O,N$4)</f>
        <v>0</v>
      </c>
      <c r="O126" s="42">
        <f>SUMIFS('2026'!$N:$N,'2026'!$J:$J,$B126&amp;$C126,'2026'!$O:$O,O$4)</f>
        <v>0</v>
      </c>
      <c r="P126" s="61">
        <f t="shared" si="53"/>
        <v>0</v>
      </c>
      <c r="Q126" s="61">
        <f t="shared" si="53"/>
        <v>0</v>
      </c>
      <c r="R126" s="8">
        <f t="shared" si="54"/>
        <v>0</v>
      </c>
      <c r="S126" s="9" t="str">
        <f t="shared" si="55"/>
        <v/>
      </c>
      <c r="T126" s="61">
        <v>0</v>
      </c>
    </row>
    <row r="127" spans="1:23" ht="15" customHeight="1">
      <c r="A127" s="2" t="s">
        <v>38</v>
      </c>
      <c r="B127" s="36">
        <v>3985</v>
      </c>
      <c r="C127" s="36" t="s">
        <v>147</v>
      </c>
      <c r="D127" s="42">
        <f>SUMIFS('2026'!$N:$N,'2026'!$J:$J,$B127&amp;$C127,'2026'!$O:$O,D$4)</f>
        <v>0</v>
      </c>
      <c r="E127" s="42">
        <f>SUMIFS('2026'!$N:$N,'2026'!$J:$J,$B127&amp;$C127,'2026'!$O:$O,E$4)</f>
        <v>0</v>
      </c>
      <c r="F127" s="42">
        <f>SUMIFS('2026'!$N:$N,'2026'!$J:$J,$B127&amp;$C127,'2026'!$O:$O,F$4)</f>
        <v>0</v>
      </c>
      <c r="G127" s="42">
        <f>SUMIFS('2026'!$N:$N,'2026'!$J:$J,$B127&amp;$C127,'2026'!$O:$O,G$4)</f>
        <v>0</v>
      </c>
      <c r="H127" s="42">
        <f>SUMIFS('2026'!$N:$N,'2026'!$J:$J,$B127&amp;$C127,'2026'!$O:$O,H$4)</f>
        <v>0</v>
      </c>
      <c r="I127" s="42">
        <f>SUMIFS('2026'!$N:$N,'2026'!$J:$J,$B127&amp;$C127,'2026'!$O:$O,I$4)</f>
        <v>0</v>
      </c>
      <c r="J127" s="42">
        <f>SUMIFS('2026'!$N:$N,'2026'!$J:$J,$B127&amp;$C127,'2026'!$O:$O,J$4)</f>
        <v>0</v>
      </c>
      <c r="K127" s="42">
        <f>SUMIFS('2026'!$N:$N,'2026'!$J:$J,$B127&amp;$C127,'2026'!$O:$O,K$4)</f>
        <v>0</v>
      </c>
      <c r="L127" s="42">
        <f>SUMIFS('2026'!$N:$N,'2026'!$J:$J,$B127&amp;$C127,'2026'!$O:$O,L$4)</f>
        <v>0</v>
      </c>
      <c r="M127" s="42">
        <f>SUMIFS('2026'!$N:$N,'2026'!$J:$J,$B127&amp;$C127,'2026'!$O:$O,M$4)</f>
        <v>0</v>
      </c>
      <c r="N127" s="42">
        <f>SUMIFS('2026'!$N:$N,'2026'!$J:$J,$B127&amp;$C127,'2026'!$O:$O,N$4)</f>
        <v>0</v>
      </c>
      <c r="O127" s="42">
        <f>SUMIFS('2026'!$N:$N,'2026'!$J:$J,$B127&amp;$C127,'2026'!$O:$O,O$4)</f>
        <v>0</v>
      </c>
      <c r="P127" s="61">
        <f t="shared" si="53"/>
        <v>0</v>
      </c>
      <c r="Q127" s="61">
        <f t="shared" si="53"/>
        <v>0</v>
      </c>
      <c r="R127" s="8">
        <f t="shared" si="54"/>
        <v>0</v>
      </c>
      <c r="S127" s="9" t="str">
        <f t="shared" si="55"/>
        <v/>
      </c>
      <c r="T127" s="61">
        <v>0</v>
      </c>
    </row>
    <row r="128" spans="1:23" ht="15" customHeight="1">
      <c r="A128" s="2" t="s">
        <v>38</v>
      </c>
      <c r="B128" s="36">
        <v>3985</v>
      </c>
      <c r="C128" s="36" t="s">
        <v>148</v>
      </c>
      <c r="D128" s="42">
        <f>SUMIFS('2026'!$N:$N,'2026'!$J:$J,$B128&amp;$C128,'2026'!$O:$O,D$4)</f>
        <v>0</v>
      </c>
      <c r="E128" s="42">
        <f>SUMIFS('2026'!$N:$N,'2026'!$J:$J,$B128&amp;$C128,'2026'!$O:$O,E$4)</f>
        <v>0</v>
      </c>
      <c r="F128" s="42">
        <f>SUMIFS('2026'!$N:$N,'2026'!$J:$J,$B128&amp;$C128,'2026'!$O:$O,F$4)</f>
        <v>0</v>
      </c>
      <c r="G128" s="42">
        <f>SUMIFS('2026'!$N:$N,'2026'!$J:$J,$B128&amp;$C128,'2026'!$O:$O,G$4)</f>
        <v>0</v>
      </c>
      <c r="H128" s="42">
        <f>SUMIFS('2026'!$N:$N,'2026'!$J:$J,$B128&amp;$C128,'2026'!$O:$O,H$4)</f>
        <v>0</v>
      </c>
      <c r="I128" s="42">
        <f>SUMIFS('2026'!$N:$N,'2026'!$J:$J,$B128&amp;$C128,'2026'!$O:$O,I$4)</f>
        <v>0</v>
      </c>
      <c r="J128" s="42">
        <f>SUMIFS('2026'!$N:$N,'2026'!$J:$J,$B128&amp;$C128,'2026'!$O:$O,J$4)</f>
        <v>0</v>
      </c>
      <c r="K128" s="42">
        <f>SUMIFS('2026'!$N:$N,'2026'!$J:$J,$B128&amp;$C128,'2026'!$O:$O,K$4)</f>
        <v>0</v>
      </c>
      <c r="L128" s="42">
        <f>SUMIFS('2026'!$N:$N,'2026'!$J:$J,$B128&amp;$C128,'2026'!$O:$O,L$4)</f>
        <v>0</v>
      </c>
      <c r="M128" s="42">
        <f>SUMIFS('2026'!$N:$N,'2026'!$J:$J,$B128&amp;$C128,'2026'!$O:$O,M$4)</f>
        <v>0</v>
      </c>
      <c r="N128" s="42">
        <f>SUMIFS('2026'!$N:$N,'2026'!$J:$J,$B128&amp;$C128,'2026'!$O:$O,N$4)</f>
        <v>0</v>
      </c>
      <c r="O128" s="42">
        <f>SUMIFS('2026'!$N:$N,'2026'!$J:$J,$B128&amp;$C128,'2026'!$O:$O,O$4)</f>
        <v>0</v>
      </c>
      <c r="P128" s="61">
        <f t="shared" si="53"/>
        <v>0</v>
      </c>
      <c r="Q128" s="61">
        <f t="shared" si="53"/>
        <v>0</v>
      </c>
      <c r="R128" s="8">
        <f t="shared" si="54"/>
        <v>0</v>
      </c>
      <c r="S128" s="9" t="str">
        <f t="shared" si="55"/>
        <v/>
      </c>
      <c r="T128" s="61">
        <v>0</v>
      </c>
    </row>
    <row r="129" spans="1:20" ht="15" customHeight="1">
      <c r="A129" s="2" t="s">
        <v>38</v>
      </c>
      <c r="B129" s="36">
        <v>3985</v>
      </c>
      <c r="C129" s="36" t="s">
        <v>149</v>
      </c>
      <c r="D129" s="42">
        <f>SUMIFS('2026'!$N:$N,'2026'!$J:$J,$B129&amp;$C129,'2026'!$O:$O,D$4)</f>
        <v>0</v>
      </c>
      <c r="E129" s="42">
        <f>SUMIFS('2026'!$N:$N,'2026'!$J:$J,$B129&amp;$C129,'2026'!$O:$O,E$4)</f>
        <v>0</v>
      </c>
      <c r="F129" s="42">
        <f>SUMIFS('2026'!$N:$N,'2026'!$J:$J,$B129&amp;$C129,'2026'!$O:$O,F$4)</f>
        <v>0</v>
      </c>
      <c r="G129" s="42">
        <f>SUMIFS('2026'!$N:$N,'2026'!$J:$J,$B129&amp;$C129,'2026'!$O:$O,G$4)</f>
        <v>0</v>
      </c>
      <c r="H129" s="42">
        <f>SUMIFS('2026'!$N:$N,'2026'!$J:$J,$B129&amp;$C129,'2026'!$O:$O,H$4)</f>
        <v>0</v>
      </c>
      <c r="I129" s="42">
        <f>SUMIFS('2026'!$N:$N,'2026'!$J:$J,$B129&amp;$C129,'2026'!$O:$O,I$4)</f>
        <v>0</v>
      </c>
      <c r="J129" s="42">
        <f>SUMIFS('2026'!$N:$N,'2026'!$J:$J,$B129&amp;$C129,'2026'!$O:$O,J$4)</f>
        <v>0</v>
      </c>
      <c r="K129" s="42">
        <f>SUMIFS('2026'!$N:$N,'2026'!$J:$J,$B129&amp;$C129,'2026'!$O:$O,K$4)</f>
        <v>0</v>
      </c>
      <c r="L129" s="42">
        <f>SUMIFS('2026'!$N:$N,'2026'!$J:$J,$B129&amp;$C129,'2026'!$O:$O,L$4)</f>
        <v>0</v>
      </c>
      <c r="M129" s="42">
        <f>SUMIFS('2026'!$N:$N,'2026'!$J:$J,$B129&amp;$C129,'2026'!$O:$O,M$4)</f>
        <v>0</v>
      </c>
      <c r="N129" s="42">
        <f>SUMIFS('2026'!$N:$N,'2026'!$J:$J,$B129&amp;$C129,'2026'!$O:$O,N$4)</f>
        <v>0</v>
      </c>
      <c r="O129" s="42">
        <f>SUMIFS('2026'!$N:$N,'2026'!$J:$J,$B129&amp;$C129,'2026'!$O:$O,O$4)</f>
        <v>0</v>
      </c>
      <c r="P129" s="61">
        <f t="shared" si="53"/>
        <v>0</v>
      </c>
      <c r="Q129" s="61">
        <f t="shared" si="53"/>
        <v>0</v>
      </c>
      <c r="R129" s="8">
        <f t="shared" si="54"/>
        <v>0</v>
      </c>
      <c r="S129" s="9" t="str">
        <f t="shared" si="55"/>
        <v/>
      </c>
      <c r="T129" s="61">
        <v>0</v>
      </c>
    </row>
    <row r="130" spans="1:20" ht="15" customHeight="1">
      <c r="A130" s="2" t="s">
        <v>38</v>
      </c>
      <c r="B130" s="36">
        <v>3985</v>
      </c>
      <c r="C130" s="36" t="s">
        <v>150</v>
      </c>
      <c r="D130" s="42">
        <f>SUMIFS('2026'!$N:$N,'2026'!$J:$J,$B130&amp;$C130,'2026'!$O:$O,D$4)</f>
        <v>260.93333333333334</v>
      </c>
      <c r="E130" s="42">
        <f>SUMIFS('2026'!$N:$N,'2026'!$J:$J,$B130&amp;$C130,'2026'!$O:$O,E$4)</f>
        <v>332.76666666666665</v>
      </c>
      <c r="F130" s="42">
        <f>SUMIFS('2026'!$N:$N,'2026'!$J:$J,$B130&amp;$C130,'2026'!$O:$O,F$4)</f>
        <v>275.64527027027026</v>
      </c>
      <c r="G130" s="42">
        <f>SUMIFS('2026'!$N:$N,'2026'!$J:$J,$B130&amp;$C130,'2026'!$O:$O,G$4)</f>
        <v>194.59459459459461</v>
      </c>
      <c r="H130" s="42">
        <f>SUMIFS('2026'!$N:$N,'2026'!$J:$J,$B130&amp;$C130,'2026'!$O:$O,H$4)</f>
        <v>259.45945945945948</v>
      </c>
      <c r="I130" s="42">
        <f>SUMIFS('2026'!$N:$N,'2026'!$J:$J,$B130&amp;$C130,'2026'!$O:$O,I$4)</f>
        <v>324.32432432432438</v>
      </c>
      <c r="J130" s="42">
        <f>SUMIFS('2026'!$N:$N,'2026'!$J:$J,$B130&amp;$C130,'2026'!$O:$O,J$4)</f>
        <v>129.72972972972974</v>
      </c>
      <c r="K130" s="42">
        <f>SUMIFS('2026'!$N:$N,'2026'!$J:$J,$B130&amp;$C130,'2026'!$O:$O,K$4)</f>
        <v>160</v>
      </c>
      <c r="L130" s="42">
        <f>SUMIFS('2026'!$N:$N,'2026'!$J:$J,$B130&amp;$C130,'2026'!$O:$O,L$4)</f>
        <v>0</v>
      </c>
      <c r="M130" s="42">
        <f>SUMIFS('2026'!$N:$N,'2026'!$J:$J,$B130&amp;$C130,'2026'!$O:$O,M$4)</f>
        <v>0</v>
      </c>
      <c r="N130" s="42">
        <f>SUMIFS('2026'!$N:$N,'2026'!$J:$J,$B130&amp;$C130,'2026'!$O:$O,N$4)</f>
        <v>160</v>
      </c>
      <c r="O130" s="42">
        <f>SUMIFS('2026'!$N:$N,'2026'!$J:$J,$B130&amp;$C130,'2026'!$O:$O,O$4)</f>
        <v>0</v>
      </c>
      <c r="P130" s="61">
        <f t="shared" si="53"/>
        <v>2097.4533783783786</v>
      </c>
      <c r="Q130" s="61">
        <f t="shared" si="53"/>
        <v>3933.9734234234238</v>
      </c>
      <c r="R130" s="8">
        <f t="shared" si="54"/>
        <v>-1836.5200450450452</v>
      </c>
      <c r="S130" s="9">
        <f t="shared" si="55"/>
        <v>-0.46683590542583486</v>
      </c>
      <c r="T130" s="61">
        <v>2717.4076576576581</v>
      </c>
    </row>
    <row r="131" spans="1:20" ht="15" customHeight="1">
      <c r="A131" s="2" t="s">
        <v>38</v>
      </c>
      <c r="B131" s="36">
        <v>3985</v>
      </c>
      <c r="C131" s="36" t="s">
        <v>151</v>
      </c>
      <c r="D131" s="42">
        <f>SUMIFS('2026'!$N:$N,'2026'!$J:$J,$B131&amp;$C131,'2026'!$O:$O,D$4)</f>
        <v>0</v>
      </c>
      <c r="E131" s="42">
        <f>SUMIFS('2026'!$N:$N,'2026'!$J:$J,$B131&amp;$C131,'2026'!$O:$O,E$4)</f>
        <v>0</v>
      </c>
      <c r="F131" s="42">
        <f>SUMIFS('2026'!$N:$N,'2026'!$J:$J,$B131&amp;$C131,'2026'!$O:$O,F$4)</f>
        <v>0</v>
      </c>
      <c r="G131" s="42">
        <f>SUMIFS('2026'!$N:$N,'2026'!$J:$J,$B131&amp;$C131,'2026'!$O:$O,G$4)</f>
        <v>0</v>
      </c>
      <c r="H131" s="42">
        <f>SUMIFS('2026'!$N:$N,'2026'!$J:$J,$B131&amp;$C131,'2026'!$O:$O,H$4)</f>
        <v>0</v>
      </c>
      <c r="I131" s="42">
        <f>SUMIFS('2026'!$N:$N,'2026'!$J:$J,$B131&amp;$C131,'2026'!$O:$O,I$4)</f>
        <v>0</v>
      </c>
      <c r="J131" s="42">
        <f>SUMIFS('2026'!$N:$N,'2026'!$J:$J,$B131&amp;$C131,'2026'!$O:$O,J$4)</f>
        <v>0</v>
      </c>
      <c r="K131" s="42">
        <f>SUMIFS('2026'!$N:$N,'2026'!$J:$J,$B131&amp;$C131,'2026'!$O:$O,K$4)</f>
        <v>0</v>
      </c>
      <c r="L131" s="42">
        <f>SUMIFS('2026'!$N:$N,'2026'!$J:$J,$B131&amp;$C131,'2026'!$O:$O,L$4)</f>
        <v>0</v>
      </c>
      <c r="M131" s="42">
        <f>SUMIFS('2026'!$N:$N,'2026'!$J:$J,$B131&amp;$C131,'2026'!$O:$O,M$4)</f>
        <v>0</v>
      </c>
      <c r="N131" s="42">
        <f>SUMIFS('2026'!$N:$N,'2026'!$J:$J,$B131&amp;$C131,'2026'!$O:$O,N$4)</f>
        <v>0</v>
      </c>
      <c r="O131" s="42">
        <f>SUMIFS('2026'!$N:$N,'2026'!$J:$J,$B131&amp;$C131,'2026'!$O:$O,O$4)</f>
        <v>0</v>
      </c>
      <c r="P131" s="61">
        <f t="shared" si="53"/>
        <v>0</v>
      </c>
      <c r="Q131" s="61">
        <f t="shared" si="53"/>
        <v>0</v>
      </c>
      <c r="R131" s="8">
        <f t="shared" si="54"/>
        <v>0</v>
      </c>
      <c r="S131" s="9" t="str">
        <f t="shared" si="55"/>
        <v/>
      </c>
      <c r="T131" s="61">
        <v>0</v>
      </c>
    </row>
    <row r="132" spans="1:20" ht="15" customHeight="1">
      <c r="A132" s="2" t="s">
        <v>38</v>
      </c>
      <c r="B132" s="36">
        <v>3985</v>
      </c>
      <c r="C132" s="36" t="s">
        <v>152</v>
      </c>
      <c r="D132" s="42">
        <f>SUMIFS('2026'!$N:$N,'2026'!$J:$J,$B132&amp;$C132,'2026'!$O:$O,D$4)</f>
        <v>0</v>
      </c>
      <c r="E132" s="42">
        <f>SUMIFS('2026'!$N:$N,'2026'!$J:$J,$B132&amp;$C132,'2026'!$O:$O,E$4)</f>
        <v>0</v>
      </c>
      <c r="F132" s="42">
        <f>SUMIFS('2026'!$N:$N,'2026'!$J:$J,$B132&amp;$C132,'2026'!$O:$O,F$4)</f>
        <v>0</v>
      </c>
      <c r="G132" s="42">
        <f>SUMIFS('2026'!$N:$N,'2026'!$J:$J,$B132&amp;$C132,'2026'!$O:$O,G$4)</f>
        <v>0</v>
      </c>
      <c r="H132" s="42">
        <f>SUMIFS('2026'!$N:$N,'2026'!$J:$J,$B132&amp;$C132,'2026'!$O:$O,H$4)</f>
        <v>0</v>
      </c>
      <c r="I132" s="42">
        <f>SUMIFS('2026'!$N:$N,'2026'!$J:$J,$B132&amp;$C132,'2026'!$O:$O,I$4)</f>
        <v>0</v>
      </c>
      <c r="J132" s="42">
        <f>SUMIFS('2026'!$N:$N,'2026'!$J:$J,$B132&amp;$C132,'2026'!$O:$O,J$4)</f>
        <v>0</v>
      </c>
      <c r="K132" s="42">
        <f>SUMIFS('2026'!$N:$N,'2026'!$J:$J,$B132&amp;$C132,'2026'!$O:$O,K$4)</f>
        <v>0</v>
      </c>
      <c r="L132" s="42">
        <f>SUMIFS('2026'!$N:$N,'2026'!$J:$J,$B132&amp;$C132,'2026'!$O:$O,L$4)</f>
        <v>0</v>
      </c>
      <c r="M132" s="42">
        <f>SUMIFS('2026'!$N:$N,'2026'!$J:$J,$B132&amp;$C132,'2026'!$O:$O,M$4)</f>
        <v>0</v>
      </c>
      <c r="N132" s="42">
        <f>SUMIFS('2026'!$N:$N,'2026'!$J:$J,$B132&amp;$C132,'2026'!$O:$O,N$4)</f>
        <v>0</v>
      </c>
      <c r="O132" s="42">
        <f>SUMIFS('2026'!$N:$N,'2026'!$J:$J,$B132&amp;$C132,'2026'!$O:$O,O$4)</f>
        <v>0</v>
      </c>
      <c r="P132" s="61">
        <f t="shared" si="53"/>
        <v>0</v>
      </c>
      <c r="Q132" s="61">
        <f t="shared" si="53"/>
        <v>0</v>
      </c>
      <c r="R132" s="8">
        <f t="shared" si="54"/>
        <v>0</v>
      </c>
      <c r="S132" s="9" t="str">
        <f t="shared" si="55"/>
        <v/>
      </c>
      <c r="T132" s="61">
        <v>0</v>
      </c>
    </row>
    <row r="133" spans="1:20" ht="15" customHeight="1">
      <c r="A133" s="2" t="s">
        <v>38</v>
      </c>
      <c r="B133" s="36">
        <v>3985</v>
      </c>
      <c r="C133" s="36" t="s">
        <v>46</v>
      </c>
      <c r="D133" s="42">
        <f>SUMIFS('2026'!$N:$N,'2026'!$J:$J,$B133&amp;$C133,'2026'!$O:$O,D$4)</f>
        <v>186.78749999999999</v>
      </c>
      <c r="E133" s="42">
        <f>SUMIFS('2026'!$N:$N,'2026'!$J:$J,$B133&amp;$C133,'2026'!$O:$O,E$4)</f>
        <v>374.41666666666669</v>
      </c>
      <c r="F133" s="42">
        <f>SUMIFS('2026'!$N:$N,'2026'!$J:$J,$B133&amp;$C133,'2026'!$O:$O,F$4)</f>
        <v>0</v>
      </c>
      <c r="G133" s="42">
        <f>SUMIFS('2026'!$N:$N,'2026'!$J:$J,$B133&amp;$C133,'2026'!$O:$O,G$4)</f>
        <v>0</v>
      </c>
      <c r="H133" s="42">
        <f>SUMIFS('2026'!$N:$N,'2026'!$J:$J,$B133&amp;$C133,'2026'!$O:$O,H$4)</f>
        <v>0</v>
      </c>
      <c r="I133" s="42">
        <f>SUMIFS('2026'!$N:$N,'2026'!$J:$J,$B133&amp;$C133,'2026'!$O:$O,I$4)</f>
        <v>0</v>
      </c>
      <c r="J133" s="42">
        <f>SUMIFS('2026'!$N:$N,'2026'!$J:$J,$B133&amp;$C133,'2026'!$O:$O,J$4)</f>
        <v>0</v>
      </c>
      <c r="K133" s="42">
        <f>SUMIFS('2026'!$N:$N,'2026'!$J:$J,$B133&amp;$C133,'2026'!$O:$O,K$4)</f>
        <v>0</v>
      </c>
      <c r="L133" s="42">
        <f>SUMIFS('2026'!$N:$N,'2026'!$J:$J,$B133&amp;$C133,'2026'!$O:$O,L$4)</f>
        <v>0</v>
      </c>
      <c r="M133" s="42">
        <f>SUMIFS('2026'!$N:$N,'2026'!$J:$J,$B133&amp;$C133,'2026'!$O:$O,M$4)</f>
        <v>0</v>
      </c>
      <c r="N133" s="42">
        <f>SUMIFS('2026'!$N:$N,'2026'!$J:$J,$B133&amp;$C133,'2026'!$O:$O,N$4)</f>
        <v>0</v>
      </c>
      <c r="O133" s="42">
        <f>SUMIFS('2026'!$N:$N,'2026'!$J:$J,$B133&amp;$C133,'2026'!$O:$O,O$4)</f>
        <v>0</v>
      </c>
      <c r="P133" s="61">
        <f t="shared" si="53"/>
        <v>561.20416666666665</v>
      </c>
      <c r="Q133" s="61">
        <f t="shared" si="53"/>
        <v>935.62083333333339</v>
      </c>
      <c r="R133" s="8">
        <f t="shared" si="54"/>
        <v>-374.41666666666674</v>
      </c>
      <c r="S133" s="9">
        <f t="shared" si="55"/>
        <v>-0.40017991618755822</v>
      </c>
      <c r="T133" s="61">
        <v>0</v>
      </c>
    </row>
    <row r="134" spans="1:20" ht="15" customHeight="1">
      <c r="A134" s="2" t="s">
        <v>38</v>
      </c>
      <c r="B134" s="36">
        <v>3985</v>
      </c>
      <c r="C134" s="36" t="s">
        <v>154</v>
      </c>
      <c r="D134" s="42">
        <f>SUMIFS('2026'!$N:$N,'2026'!$J:$J,$B134&amp;$C134,'2026'!$O:$O,D$4)</f>
        <v>0</v>
      </c>
      <c r="E134" s="42">
        <f>SUMIFS('2026'!$N:$N,'2026'!$J:$J,$B134&amp;$C134,'2026'!$O:$O,E$4)</f>
        <v>0</v>
      </c>
      <c r="F134" s="42">
        <f>SUMIFS('2026'!$N:$N,'2026'!$J:$J,$B134&amp;$C134,'2026'!$O:$O,F$4)</f>
        <v>0</v>
      </c>
      <c r="G134" s="42">
        <f>SUMIFS('2026'!$N:$N,'2026'!$J:$J,$B134&amp;$C134,'2026'!$O:$O,G$4)</f>
        <v>0</v>
      </c>
      <c r="H134" s="42">
        <f>SUMIFS('2026'!$N:$N,'2026'!$J:$J,$B134&amp;$C134,'2026'!$O:$O,H$4)</f>
        <v>0</v>
      </c>
      <c r="I134" s="42">
        <f>SUMIFS('2026'!$N:$N,'2026'!$J:$J,$B134&amp;$C134,'2026'!$O:$O,I$4)</f>
        <v>0</v>
      </c>
      <c r="J134" s="42">
        <f>SUMIFS('2026'!$N:$N,'2026'!$J:$J,$B134&amp;$C134,'2026'!$O:$O,J$4)</f>
        <v>0</v>
      </c>
      <c r="K134" s="42">
        <f>SUMIFS('2026'!$N:$N,'2026'!$J:$J,$B134&amp;$C134,'2026'!$O:$O,K$4)</f>
        <v>0</v>
      </c>
      <c r="L134" s="42">
        <f>SUMIFS('2026'!$N:$N,'2026'!$J:$J,$B134&amp;$C134,'2026'!$O:$O,L$4)</f>
        <v>0</v>
      </c>
      <c r="M134" s="42">
        <f>SUMIFS('2026'!$N:$N,'2026'!$J:$J,$B134&amp;$C134,'2026'!$O:$O,M$4)</f>
        <v>0</v>
      </c>
      <c r="N134" s="42">
        <f>SUMIFS('2026'!$N:$N,'2026'!$J:$J,$B134&amp;$C134,'2026'!$O:$O,N$4)</f>
        <v>0</v>
      </c>
      <c r="O134" s="42">
        <f>SUMIFS('2026'!$N:$N,'2026'!$J:$J,$B134&amp;$C134,'2026'!$O:$O,O$4)</f>
        <v>0</v>
      </c>
      <c r="P134" s="61">
        <f t="shared" si="53"/>
        <v>0</v>
      </c>
      <c r="Q134" s="61">
        <f t="shared" si="53"/>
        <v>0</v>
      </c>
      <c r="R134" s="8">
        <f t="shared" si="54"/>
        <v>0</v>
      </c>
      <c r="S134" s="9" t="str">
        <f t="shared" si="55"/>
        <v/>
      </c>
      <c r="T134" s="61">
        <v>0</v>
      </c>
    </row>
    <row r="135" spans="1:20" ht="15" customHeight="1">
      <c r="A135" s="2" t="s">
        <v>38</v>
      </c>
      <c r="B135" s="36">
        <v>1421</v>
      </c>
      <c r="C135" s="36" t="s">
        <v>154</v>
      </c>
      <c r="D135" s="42">
        <f>SUMIFS('2026'!$N:$N,'2026'!$J:$J,$B135&amp;$C135,'2026'!$O:$O,D$4)</f>
        <v>0</v>
      </c>
      <c r="E135" s="42">
        <f>SUMIFS('2026'!$N:$N,'2026'!$J:$J,$B135&amp;$C135,'2026'!$O:$O,E$4)</f>
        <v>0</v>
      </c>
      <c r="F135" s="42">
        <f>SUMIFS('2026'!$N:$N,'2026'!$J:$J,$B135&amp;$C135,'2026'!$O:$O,F$4)</f>
        <v>0</v>
      </c>
      <c r="G135" s="42">
        <f>SUMIFS('2026'!$N:$N,'2026'!$J:$J,$B135&amp;$C135,'2026'!$O:$O,G$4)</f>
        <v>0</v>
      </c>
      <c r="H135" s="42">
        <f>SUMIFS('2026'!$N:$N,'2026'!$J:$J,$B135&amp;$C135,'2026'!$O:$O,H$4)</f>
        <v>0</v>
      </c>
      <c r="I135" s="42">
        <f>SUMIFS('2026'!$N:$N,'2026'!$J:$J,$B135&amp;$C135,'2026'!$O:$O,I$4)</f>
        <v>0</v>
      </c>
      <c r="J135" s="42">
        <f>SUMIFS('2026'!$N:$N,'2026'!$J:$J,$B135&amp;$C135,'2026'!$O:$O,J$4)</f>
        <v>0</v>
      </c>
      <c r="K135" s="42">
        <f>SUMIFS('2026'!$N:$N,'2026'!$J:$J,$B135&amp;$C135,'2026'!$O:$O,K$4)</f>
        <v>0</v>
      </c>
      <c r="L135" s="42">
        <f>SUMIFS('2026'!$N:$N,'2026'!$J:$J,$B135&amp;$C135,'2026'!$O:$O,L$4)</f>
        <v>0</v>
      </c>
      <c r="M135" s="42">
        <f>SUMIFS('2026'!$N:$N,'2026'!$J:$J,$B135&amp;$C135,'2026'!$O:$O,M$4)</f>
        <v>0</v>
      </c>
      <c r="N135" s="42">
        <f>SUMIFS('2026'!$N:$N,'2026'!$J:$J,$B135&amp;$C135,'2026'!$O:$O,N$4)</f>
        <v>0</v>
      </c>
      <c r="O135" s="42">
        <f>SUMIFS('2026'!$N:$N,'2026'!$J:$J,$B135&amp;$C135,'2026'!$O:$O,O$4)</f>
        <v>0</v>
      </c>
      <c r="P135" s="61">
        <f t="shared" si="53"/>
        <v>0</v>
      </c>
      <c r="Q135" s="61">
        <f t="shared" si="53"/>
        <v>0</v>
      </c>
      <c r="R135" s="8">
        <f t="shared" si="54"/>
        <v>0</v>
      </c>
      <c r="S135" s="9" t="str">
        <f t="shared" si="55"/>
        <v/>
      </c>
      <c r="T135" s="61">
        <v>0</v>
      </c>
    </row>
    <row r="136" spans="1:20" ht="15" customHeight="1">
      <c r="B136" s="10"/>
      <c r="C136" s="90" t="s">
        <v>155</v>
      </c>
      <c r="D136" s="11">
        <f t="shared" ref="D136:O136" si="56">SUM(D123:D135)</f>
        <v>580.89416666666671</v>
      </c>
      <c r="E136" s="11">
        <f t="shared" si="56"/>
        <v>1180.1633333333334</v>
      </c>
      <c r="F136" s="11">
        <f t="shared" si="56"/>
        <v>789.6452702702702</v>
      </c>
      <c r="G136" s="11">
        <f t="shared" si="56"/>
        <v>906.41277641277645</v>
      </c>
      <c r="H136" s="11">
        <f t="shared" si="56"/>
        <v>978.36855036855047</v>
      </c>
      <c r="I136" s="11">
        <f t="shared" si="56"/>
        <v>1118.2334152334154</v>
      </c>
      <c r="J136" s="11">
        <f t="shared" si="56"/>
        <v>586.82063882063881</v>
      </c>
      <c r="K136" s="11">
        <f t="shared" si="56"/>
        <v>535</v>
      </c>
      <c r="L136" s="11">
        <f t="shared" si="56"/>
        <v>225</v>
      </c>
      <c r="M136" s="11">
        <f t="shared" si="56"/>
        <v>0</v>
      </c>
      <c r="N136" s="11">
        <f t="shared" si="56"/>
        <v>160</v>
      </c>
      <c r="O136" s="11">
        <f t="shared" si="56"/>
        <v>0</v>
      </c>
      <c r="P136" s="11">
        <f>SUM(P123:P135)</f>
        <v>7060.5381511056512</v>
      </c>
      <c r="Q136" s="11">
        <f>SUM(Q123:Q135)</f>
        <v>13540.182135544637</v>
      </c>
      <c r="R136" s="11">
        <f>SUM(R123:R135)</f>
        <v>-6479.6439844389852</v>
      </c>
      <c r="S136" s="12">
        <f>IF(ISERROR(R136/Q136),"",R136/Q136)</f>
        <v>-0.47854924842030933</v>
      </c>
      <c r="T136" s="11">
        <v>4023.5809909909913</v>
      </c>
    </row>
    <row r="137" spans="1:20" ht="15" customHeight="1"/>
    <row r="138" spans="1:20" ht="15" customHeight="1"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20" ht="15" customHeight="1">
      <c r="I139" s="92"/>
      <c r="J139" s="92"/>
    </row>
    <row r="140" spans="1:20" ht="15" customHeight="1">
      <c r="I140" s="92"/>
    </row>
    <row r="141" spans="1:20" ht="15" customHeight="1"/>
    <row r="142" spans="1:20" ht="15" customHeight="1">
      <c r="R142" s="31" t="s">
        <v>94</v>
      </c>
      <c r="S142" s="32"/>
    </row>
    <row r="143" spans="1:20" ht="15" customHeight="1">
      <c r="D143" s="5" t="str">
        <f t="shared" ref="D143:O143" si="57">D4</f>
        <v>Jan</v>
      </c>
      <c r="E143" s="5" t="str">
        <f t="shared" si="57"/>
        <v>Feb</v>
      </c>
      <c r="F143" s="5" t="str">
        <f t="shared" si="57"/>
        <v>Mar</v>
      </c>
      <c r="G143" s="5" t="str">
        <f t="shared" si="57"/>
        <v>Apr</v>
      </c>
      <c r="H143" s="5" t="str">
        <f t="shared" si="57"/>
        <v>May</v>
      </c>
      <c r="I143" s="5" t="str">
        <f t="shared" si="57"/>
        <v>Jun</v>
      </c>
      <c r="J143" s="5" t="str">
        <f t="shared" si="57"/>
        <v>Jul</v>
      </c>
      <c r="K143" s="5" t="str">
        <f t="shared" si="57"/>
        <v>Aug</v>
      </c>
      <c r="L143" s="5" t="str">
        <f t="shared" si="57"/>
        <v>Sep</v>
      </c>
      <c r="M143" s="5" t="str">
        <f t="shared" si="57"/>
        <v>Oct</v>
      </c>
      <c r="N143" s="5" t="str">
        <f t="shared" si="57"/>
        <v>Nov</v>
      </c>
      <c r="O143" s="5" t="str">
        <f t="shared" si="57"/>
        <v>Dec</v>
      </c>
      <c r="P143" s="187" t="str">
        <f>P$4</f>
        <v>2026 MRF3</v>
      </c>
      <c r="Q143" s="188" t="str">
        <f>Q$4</f>
        <v>2026 MRF2</v>
      </c>
      <c r="R143" s="5" t="str">
        <f t="shared" ref="R143:S143" si="58">R$4</f>
        <v>Difference</v>
      </c>
      <c r="S143" s="6" t="str">
        <f t="shared" si="58"/>
        <v>% change</v>
      </c>
      <c r="T143" s="187" t="s">
        <v>1186</v>
      </c>
    </row>
    <row r="144" spans="1:20" ht="35.85" customHeight="1">
      <c r="C144" s="166" t="s">
        <v>23</v>
      </c>
      <c r="D144" s="980">
        <f t="shared" ref="D144:O144" si="59">SUMIF($A$5:$A$135,"=48oz",D$5:D$136)</f>
        <v>10581.060064935064</v>
      </c>
      <c r="E144" s="980">
        <f t="shared" si="59"/>
        <v>12622.480519480519</v>
      </c>
      <c r="F144" s="980">
        <f t="shared" si="59"/>
        <v>16495.120081168829</v>
      </c>
      <c r="G144" s="165">
        <f t="shared" si="59"/>
        <v>13285.673116883116</v>
      </c>
      <c r="H144" s="165">
        <f t="shared" si="59"/>
        <v>11665.973766233765</v>
      </c>
      <c r="I144" s="165">
        <f t="shared" si="59"/>
        <v>12889.536363636362</v>
      </c>
      <c r="J144" s="165">
        <f t="shared" si="59"/>
        <v>13118.24935064935</v>
      </c>
      <c r="K144" s="165">
        <f t="shared" si="59"/>
        <v>13556.4005994006</v>
      </c>
      <c r="L144" s="165">
        <f t="shared" si="59"/>
        <v>9975.8127012987006</v>
      </c>
      <c r="M144" s="165">
        <f t="shared" si="59"/>
        <v>9754.0525274725278</v>
      </c>
      <c r="N144" s="165">
        <f t="shared" si="59"/>
        <v>7019.4598181818183</v>
      </c>
      <c r="O144" s="165">
        <f t="shared" si="59"/>
        <v>7019.4598181818183</v>
      </c>
      <c r="P144" s="165">
        <f>SUMIF($A$5:$A$135,"=48oz",P$5:P$136)</f>
        <v>137983.27872752247</v>
      </c>
      <c r="Q144" s="165">
        <f>SUMIF($A$5:$A$135,"=48oz",Q$5:Q$136)</f>
        <v>265385.49739010987</v>
      </c>
      <c r="R144" s="8">
        <f t="shared" ref="R144:R164" si="60">P144-Q144</f>
        <v>-127402.2186625874</v>
      </c>
      <c r="S144" s="9">
        <f t="shared" ref="S144:S164" si="61">IF(ISERROR(R144/Q144),"",R144/Q144)</f>
        <v>-0.48006473569770625</v>
      </c>
      <c r="T144" s="165">
        <v>140945.01379870129</v>
      </c>
    </row>
    <row r="145" spans="3:20" ht="15" customHeight="1">
      <c r="C145" s="166" t="s">
        <v>120</v>
      </c>
      <c r="D145" s="980">
        <f t="shared" ref="D145:O145" si="62">SUMIF($A$5:$A$135,"=BJ Pts",D$5:D$136)</f>
        <v>7956.625</v>
      </c>
      <c r="E145" s="980">
        <f t="shared" si="62"/>
        <v>9573.0208333333321</v>
      </c>
      <c r="F145" s="980">
        <f t="shared" si="62"/>
        <v>13078.752708333335</v>
      </c>
      <c r="G145" s="165">
        <f t="shared" si="62"/>
        <v>9295.0625</v>
      </c>
      <c r="H145" s="165">
        <f t="shared" si="62"/>
        <v>8303.508333333335</v>
      </c>
      <c r="I145" s="165">
        <f t="shared" si="62"/>
        <v>8901.01</v>
      </c>
      <c r="J145" s="165">
        <f t="shared" si="62"/>
        <v>9250.0142857142855</v>
      </c>
      <c r="K145" s="165">
        <f t="shared" si="62"/>
        <v>9004.48</v>
      </c>
      <c r="L145" s="165">
        <f t="shared" si="62"/>
        <v>7626.8</v>
      </c>
      <c r="M145" s="165">
        <f t="shared" si="62"/>
        <v>6858.9500000000007</v>
      </c>
      <c r="N145" s="165">
        <f t="shared" si="62"/>
        <v>4609.4400000000005</v>
      </c>
      <c r="O145" s="165">
        <f t="shared" si="62"/>
        <v>6276.1066666666675</v>
      </c>
      <c r="P145" s="165">
        <f>SUMIF($A$5:$A$135,"=BJ Pts",P$5:P$136)</f>
        <v>100733.77032738096</v>
      </c>
      <c r="Q145" s="165">
        <f>SUMIF($A$5:$A$135,"=BJ Pts",Q$5:Q$136)</f>
        <v>193510.91565476195</v>
      </c>
      <c r="R145" s="8">
        <f t="shared" si="60"/>
        <v>-92777.145327380989</v>
      </c>
      <c r="S145" s="9">
        <f t="shared" si="61"/>
        <v>-0.47944140522234108</v>
      </c>
      <c r="T145" s="165">
        <v>110056.25833333335</v>
      </c>
    </row>
    <row r="146" spans="3:20" ht="15" customHeight="1">
      <c r="C146" s="166" t="s">
        <v>41</v>
      </c>
      <c r="D146" s="980">
        <f t="shared" ref="D146:O146" si="63">SUMIF($A$5:$A$135,"=TALENTI",D$5:D$136)</f>
        <v>3087.8588235294119</v>
      </c>
      <c r="E146" s="980">
        <f t="shared" si="63"/>
        <v>3673.027450980393</v>
      </c>
      <c r="F146" s="980">
        <f t="shared" si="63"/>
        <v>4093.77912745098</v>
      </c>
      <c r="G146" s="165">
        <f t="shared" si="63"/>
        <v>4868.7999999999993</v>
      </c>
      <c r="H146" s="165">
        <f t="shared" si="63"/>
        <v>3598.9647058823534</v>
      </c>
      <c r="I146" s="165">
        <f t="shared" si="63"/>
        <v>3924.3896470588234</v>
      </c>
      <c r="J146" s="165">
        <f t="shared" si="63"/>
        <v>3924.3896470588234</v>
      </c>
      <c r="K146" s="165">
        <f t="shared" si="63"/>
        <v>4344.8599663865543</v>
      </c>
      <c r="L146" s="165">
        <f t="shared" si="63"/>
        <v>3162.3529411764707</v>
      </c>
      <c r="M146" s="165">
        <f t="shared" si="63"/>
        <v>3736.1242352941176</v>
      </c>
      <c r="N146" s="165">
        <f t="shared" si="63"/>
        <v>2258.8235294117649</v>
      </c>
      <c r="O146" s="165">
        <f t="shared" si="63"/>
        <v>2662.5527394957981</v>
      </c>
      <c r="P146" s="165">
        <f>SUMIF($A$5:$A$135,"=TALENTI",P$5:P$136)</f>
        <v>43335.922813725483</v>
      </c>
      <c r="Q146" s="165">
        <f>SUMIF($A$5:$A$135,"=TALENTI",Q$5:Q$136)</f>
        <v>83583.986803921551</v>
      </c>
      <c r="R146" s="8">
        <f t="shared" si="60"/>
        <v>-40248.063990196068</v>
      </c>
      <c r="S146" s="9">
        <f t="shared" si="61"/>
        <v>-0.48152840668647945</v>
      </c>
      <c r="T146" s="165">
        <v>41067.068872549025</v>
      </c>
    </row>
    <row r="147" spans="3:20" ht="15" customHeight="1">
      <c r="C147" s="166" t="s">
        <v>156</v>
      </c>
      <c r="D147" s="980">
        <f t="shared" ref="D147:O147" si="64">SUMIF($A$5:$A$135,"=MG Sticks",D$5:D$136)</f>
        <v>3044.144111542616</v>
      </c>
      <c r="E147" s="980">
        <f t="shared" si="64"/>
        <v>3334.6144816897104</v>
      </c>
      <c r="F147" s="980">
        <f t="shared" si="64"/>
        <v>2948.5017202033932</v>
      </c>
      <c r="G147" s="165">
        <f t="shared" si="64"/>
        <v>4038.4421184404955</v>
      </c>
      <c r="H147" s="165">
        <f t="shared" si="64"/>
        <v>3964.7046559030332</v>
      </c>
      <c r="I147" s="165">
        <f t="shared" si="64"/>
        <v>3908.1206293706291</v>
      </c>
      <c r="J147" s="165">
        <f t="shared" si="64"/>
        <v>3999.8622211122211</v>
      </c>
      <c r="K147" s="165">
        <f t="shared" si="64"/>
        <v>3805.5044955044955</v>
      </c>
      <c r="L147" s="165">
        <f t="shared" si="64"/>
        <v>3291.1604020979021</v>
      </c>
      <c r="M147" s="165">
        <f t="shared" si="64"/>
        <v>889.77688977688979</v>
      </c>
      <c r="N147" s="165">
        <f t="shared" si="64"/>
        <v>0</v>
      </c>
      <c r="O147" s="165">
        <f t="shared" si="64"/>
        <v>0</v>
      </c>
      <c r="P147" s="165">
        <f>SUMIF($A$5:$A$135,"=MG Sticks",P$5:P$136)</f>
        <v>33224.831725641379</v>
      </c>
      <c r="Q147" s="165">
        <f>SUMIF($A$5:$A$135,"=MG Sticks",Q$5:Q$136)</f>
        <v>63405.519339740145</v>
      </c>
      <c r="R147" s="8">
        <f t="shared" si="60"/>
        <v>-30180.687614098766</v>
      </c>
      <c r="S147" s="9">
        <f t="shared" si="61"/>
        <v>-0.47599464413159803</v>
      </c>
      <c r="T147" s="165">
        <v>38244.218680586302</v>
      </c>
    </row>
    <row r="148" spans="3:20" ht="15" customHeight="1">
      <c r="C148" s="166" t="s">
        <v>39</v>
      </c>
      <c r="D148" s="980">
        <f t="shared" ref="D148:O148" si="65">SUMIF($A$5:$A$135,"=PG",D$5:D$136)</f>
        <v>3837.3538461538465</v>
      </c>
      <c r="E148" s="980">
        <f t="shared" si="65"/>
        <v>3971.6434615384619</v>
      </c>
      <c r="F148" s="980">
        <f t="shared" si="65"/>
        <v>4475.9076923076927</v>
      </c>
      <c r="G148" s="165">
        <f t="shared" si="65"/>
        <v>4438.3015384615383</v>
      </c>
      <c r="H148" s="165">
        <f t="shared" si="65"/>
        <v>4693.0560000000005</v>
      </c>
      <c r="I148" s="165">
        <f t="shared" si="65"/>
        <v>5013.5630769230775</v>
      </c>
      <c r="J148" s="165">
        <f t="shared" si="65"/>
        <v>5797.244284622333</v>
      </c>
      <c r="K148" s="165">
        <f t="shared" si="65"/>
        <v>5772.921965117087</v>
      </c>
      <c r="L148" s="165">
        <f t="shared" si="65"/>
        <v>5483.0135153915635</v>
      </c>
      <c r="M148" s="165">
        <f t="shared" si="65"/>
        <v>5916.6765686887638</v>
      </c>
      <c r="N148" s="165">
        <f t="shared" si="65"/>
        <v>1841.5384615384614</v>
      </c>
      <c r="O148" s="165">
        <f t="shared" si="65"/>
        <v>0</v>
      </c>
      <c r="P148" s="165">
        <f>SUMIF($A$5:$A$135,"=PG",P$5:P$136)</f>
        <v>51241.220410742826</v>
      </c>
      <c r="Q148" s="165">
        <f>SUMIF($A$5:$A$135,"=PG",Q$5:Q$136)</f>
        <v>98645.086975331826</v>
      </c>
      <c r="R148" s="8">
        <f t="shared" si="60"/>
        <v>-47403.866564589</v>
      </c>
      <c r="S148" s="9">
        <f t="shared" si="61"/>
        <v>-0.48054969606791753</v>
      </c>
      <c r="T148" s="165">
        <v>61322.215384615389</v>
      </c>
    </row>
    <row r="149" spans="3:20" ht="15" customHeight="1">
      <c r="C149" s="166" t="s">
        <v>36</v>
      </c>
      <c r="D149" s="980">
        <f t="shared" ref="D149:O149" si="66">SUMIF($A$5:$A$135,"=MBG",D$5:D$136)</f>
        <v>1178.6873881673878</v>
      </c>
      <c r="E149" s="980">
        <f t="shared" si="66"/>
        <v>1517.6329004329002</v>
      </c>
      <c r="F149" s="980">
        <f t="shared" si="66"/>
        <v>1883.2454406926404</v>
      </c>
      <c r="G149" s="165">
        <f t="shared" si="66"/>
        <v>2511.7007792207787</v>
      </c>
      <c r="H149" s="165">
        <f t="shared" si="66"/>
        <v>2447.2103896103899</v>
      </c>
      <c r="I149" s="165">
        <f t="shared" si="66"/>
        <v>1980.05772005772</v>
      </c>
      <c r="J149" s="165">
        <f t="shared" si="66"/>
        <v>1830.1345598845601</v>
      </c>
      <c r="K149" s="165">
        <f t="shared" si="66"/>
        <v>1750.563492063492</v>
      </c>
      <c r="L149" s="165">
        <f t="shared" si="66"/>
        <v>1405.7702020202021</v>
      </c>
      <c r="M149" s="165">
        <f t="shared" si="66"/>
        <v>1457.5883838383838</v>
      </c>
      <c r="N149" s="165">
        <f t="shared" si="66"/>
        <v>0</v>
      </c>
      <c r="O149" s="165">
        <f t="shared" si="66"/>
        <v>0</v>
      </c>
      <c r="P149" s="165">
        <f>SUMIF($A$5:$A$135,"=MBG",P$5:P$136)</f>
        <v>17962.591255988453</v>
      </c>
      <c r="Q149" s="165">
        <f>SUMIF($A$5:$A$135,"=MBG",Q$5:Q$136)</f>
        <v>34746.495123809524</v>
      </c>
      <c r="R149" s="8">
        <f t="shared" si="60"/>
        <v>-16783.903867821071</v>
      </c>
      <c r="S149" s="9">
        <f t="shared" si="61"/>
        <v>-0.48303875852848677</v>
      </c>
      <c r="T149" s="165">
        <v>20184.583183483181</v>
      </c>
    </row>
    <row r="150" spans="3:20" ht="15" customHeight="1">
      <c r="C150" s="166" t="s">
        <v>40</v>
      </c>
      <c r="D150" s="980">
        <f t="shared" ref="D150:O150" si="67">SUMIF($A$5:$A$135,"=SP1",D$5:D$136)</f>
        <v>742.7166666666667</v>
      </c>
      <c r="E150" s="980">
        <f t="shared" si="67"/>
        <v>1019.0458333333331</v>
      </c>
      <c r="F150" s="980">
        <f t="shared" si="67"/>
        <v>1362.8298333333335</v>
      </c>
      <c r="G150" s="165">
        <f t="shared" si="67"/>
        <v>1267.2</v>
      </c>
      <c r="H150" s="165">
        <f t="shared" si="67"/>
        <v>1402.5</v>
      </c>
      <c r="I150" s="165">
        <f t="shared" si="67"/>
        <v>1181.952</v>
      </c>
      <c r="J150" s="165">
        <f t="shared" si="67"/>
        <v>1313.2799999999997</v>
      </c>
      <c r="K150" s="165">
        <f t="shared" si="67"/>
        <v>1444.6079999999997</v>
      </c>
      <c r="L150" s="165">
        <f t="shared" si="67"/>
        <v>1247.616</v>
      </c>
      <c r="M150" s="165">
        <f t="shared" si="67"/>
        <v>1350</v>
      </c>
      <c r="N150" s="165">
        <f t="shared" si="67"/>
        <v>1181.952</v>
      </c>
      <c r="O150" s="165">
        <f t="shared" si="67"/>
        <v>1650</v>
      </c>
      <c r="P150" s="165">
        <f>SUMIF($A$5:$A$135,"=SP1",P$5:P$136)</f>
        <v>15163.700333333332</v>
      </c>
      <c r="Q150" s="165">
        <f>SUMIF($A$5:$A$135,"=SP1",Q$5:Q$136)</f>
        <v>29584.684000000001</v>
      </c>
      <c r="R150" s="8">
        <f t="shared" si="60"/>
        <v>-14420.983666666669</v>
      </c>
      <c r="S150" s="9">
        <f t="shared" si="61"/>
        <v>-0.48744761534943787</v>
      </c>
      <c r="T150" s="165">
        <v>14663.312500000002</v>
      </c>
    </row>
    <row r="151" spans="3:20" ht="15" customHeight="1">
      <c r="C151" s="166" t="s">
        <v>31</v>
      </c>
      <c r="D151" s="980">
        <f t="shared" ref="D151:O151" si="68">SUMIF($A$5:$A$135,"=EDF",D$5:D$136)</f>
        <v>3166.3636363636369</v>
      </c>
      <c r="E151" s="980">
        <f t="shared" si="68"/>
        <v>3897.1818181818162</v>
      </c>
      <c r="F151" s="980">
        <f t="shared" si="68"/>
        <v>4988.3630303030304</v>
      </c>
      <c r="G151" s="165">
        <f t="shared" si="68"/>
        <v>4179.0545454545454</v>
      </c>
      <c r="H151" s="165">
        <f t="shared" si="68"/>
        <v>3675.6363636363631</v>
      </c>
      <c r="I151" s="165">
        <f t="shared" si="68"/>
        <v>2996.818181818182</v>
      </c>
      <c r="J151" s="165">
        <f t="shared" si="68"/>
        <v>3137.159090909091</v>
      </c>
      <c r="K151" s="165">
        <f t="shared" si="68"/>
        <v>2858.4204545454545</v>
      </c>
      <c r="L151" s="165">
        <f t="shared" si="68"/>
        <v>2697.1363636363635</v>
      </c>
      <c r="M151" s="165">
        <f t="shared" si="68"/>
        <v>1832.5227272727273</v>
      </c>
      <c r="N151" s="165">
        <f t="shared" si="68"/>
        <v>1468.8068181818182</v>
      </c>
      <c r="O151" s="165">
        <f t="shared" si="68"/>
        <v>340.90909090909093</v>
      </c>
      <c r="P151" s="165">
        <f>SUMIF($A$5:$A$135,"=EDF",P$5:P$136)</f>
        <v>35238.372121212131</v>
      </c>
      <c r="Q151" s="165">
        <f>SUMIF($A$5:$A$135,"=EDF",Q$5:Q$136)</f>
        <v>67310.380606060615</v>
      </c>
      <c r="R151" s="8">
        <f t="shared" si="60"/>
        <v>-32072.008484848484</v>
      </c>
      <c r="S151" s="9">
        <f t="shared" si="61"/>
        <v>-0.47647938098214715</v>
      </c>
      <c r="T151" s="165">
        <v>37803.651515151527</v>
      </c>
    </row>
    <row r="152" spans="3:20" ht="15" customHeight="1">
      <c r="C152" s="166" t="s">
        <v>32</v>
      </c>
      <c r="D152" s="980">
        <f t="shared" ref="D152:O152" si="69">SUMIF($A$5:$A$135,"=EFW",D$5:D$136)</f>
        <v>0</v>
      </c>
      <c r="E152" s="980">
        <f t="shared" si="69"/>
        <v>34.847826086956523</v>
      </c>
      <c r="F152" s="980">
        <f t="shared" si="69"/>
        <v>0.86956521739130432</v>
      </c>
      <c r="G152" s="165">
        <f t="shared" si="69"/>
        <v>64.874534161490686</v>
      </c>
      <c r="H152" s="165">
        <f t="shared" si="69"/>
        <v>139.52795031055899</v>
      </c>
      <c r="I152" s="165">
        <f t="shared" si="69"/>
        <v>398.70807453416148</v>
      </c>
      <c r="J152" s="165">
        <f t="shared" si="69"/>
        <v>452.3726708074534</v>
      </c>
      <c r="K152" s="165">
        <f t="shared" si="69"/>
        <v>400.99378881987576</v>
      </c>
      <c r="L152" s="165">
        <f t="shared" si="69"/>
        <v>212.3726708074534</v>
      </c>
      <c r="M152" s="165">
        <f t="shared" si="69"/>
        <v>126.50931677018633</v>
      </c>
      <c r="N152" s="165">
        <f t="shared" si="69"/>
        <v>338.88198757763973</v>
      </c>
      <c r="O152" s="165">
        <f t="shared" si="69"/>
        <v>62.111801242236027</v>
      </c>
      <c r="P152" s="165">
        <f>SUMIF($A$5:$A$135,"=EFW",P$5:P$136)</f>
        <v>2232.0701863354038</v>
      </c>
      <c r="Q152" s="165">
        <f>SUMIF($A$5:$A$135,"=EFW",Q$5:Q$136)</f>
        <v>4464.1403726708077</v>
      </c>
      <c r="R152" s="8">
        <f t="shared" si="60"/>
        <v>-2232.0701863354038</v>
      </c>
      <c r="S152" s="9">
        <f t="shared" si="61"/>
        <v>-0.5</v>
      </c>
      <c r="T152" s="165">
        <v>1281.6511387163559</v>
      </c>
    </row>
    <row r="153" spans="3:20" ht="15" customHeight="1">
      <c r="C153" s="166" t="s">
        <v>33</v>
      </c>
      <c r="D153" s="980">
        <f t="shared" ref="D153:O153" si="70">SUMIF($A$5:$A$135,"=ESS",D$5:D$136)</f>
        <v>834.65119047619055</v>
      </c>
      <c r="E153" s="980">
        <f t="shared" si="70"/>
        <v>795.19708994708992</v>
      </c>
      <c r="F153" s="980">
        <f t="shared" si="70"/>
        <v>1087.2620634920636</v>
      </c>
      <c r="G153" s="165">
        <f t="shared" si="70"/>
        <v>1814.2584585236432</v>
      </c>
      <c r="H153" s="165">
        <f t="shared" si="70"/>
        <v>3146.0626070226072</v>
      </c>
      <c r="I153" s="165">
        <f t="shared" si="70"/>
        <v>2415.2689731941582</v>
      </c>
      <c r="J153" s="165">
        <f t="shared" si="70"/>
        <v>1584.9560836762685</v>
      </c>
      <c r="K153" s="165">
        <f t="shared" si="70"/>
        <v>1484.0510043111892</v>
      </c>
      <c r="L153" s="165">
        <f t="shared" si="70"/>
        <v>1376.4030413482262</v>
      </c>
      <c r="M153" s="165">
        <f t="shared" si="70"/>
        <v>1147.2146815598664</v>
      </c>
      <c r="N153" s="165">
        <f t="shared" si="70"/>
        <v>1160.6699902018424</v>
      </c>
      <c r="O153" s="165">
        <f t="shared" si="70"/>
        <v>726.72713305898515</v>
      </c>
      <c r="P153" s="165">
        <f>SUMIF($A$5:$A$135,"=ESS",P$5:P$136)</f>
        <v>17572.722316812131</v>
      </c>
      <c r="Q153" s="165">
        <f>SUMIF($A$5:$A$135,"=ESS",Q$5:Q$136)</f>
        <v>34310.793443148075</v>
      </c>
      <c r="R153" s="8">
        <f t="shared" si="60"/>
        <v>-16738.071126335944</v>
      </c>
      <c r="S153" s="9">
        <f t="shared" si="61"/>
        <v>-0.4878369004806144</v>
      </c>
      <c r="T153" s="165">
        <v>14461.05408449575</v>
      </c>
    </row>
    <row r="154" spans="3:20" ht="15" customHeight="1">
      <c r="C154" s="166" t="s">
        <v>35</v>
      </c>
      <c r="D154" s="980">
        <f t="shared" ref="D154:O154" si="71">SUMIF($A$5:$A$135,"=KL Mini Cones",$P$5:$P$136)</f>
        <v>2338.1559801061721</v>
      </c>
      <c r="E154" s="980">
        <f t="shared" si="71"/>
        <v>2338.1559801061721</v>
      </c>
      <c r="F154" s="980">
        <f t="shared" si="71"/>
        <v>2338.1559801061721</v>
      </c>
      <c r="G154" s="165">
        <f t="shared" si="71"/>
        <v>2338.1559801061721</v>
      </c>
      <c r="H154" s="165">
        <f t="shared" si="71"/>
        <v>2338.1559801061721</v>
      </c>
      <c r="I154" s="165">
        <f t="shared" si="71"/>
        <v>2338.1559801061721</v>
      </c>
      <c r="J154" s="165">
        <f t="shared" si="71"/>
        <v>2338.1559801061721</v>
      </c>
      <c r="K154" s="165">
        <f t="shared" si="71"/>
        <v>2338.1559801061721</v>
      </c>
      <c r="L154" s="165">
        <f t="shared" si="71"/>
        <v>2338.1559801061721</v>
      </c>
      <c r="M154" s="165">
        <f t="shared" si="71"/>
        <v>2338.1559801061721</v>
      </c>
      <c r="N154" s="165">
        <f t="shared" si="71"/>
        <v>2338.1559801061721</v>
      </c>
      <c r="O154" s="165">
        <f t="shared" si="71"/>
        <v>2338.1559801061721</v>
      </c>
      <c r="P154" s="165">
        <f>SUMIF($A$5:$A$135,"=KL Mini Cones",$P$5:$P$136)</f>
        <v>2338.1559801061721</v>
      </c>
      <c r="Q154" s="165">
        <f>SUMIF($A$5:$A$135,"=KL Mini Cones",$P$5:$P$136)</f>
        <v>2338.1559801061721</v>
      </c>
      <c r="R154" s="8">
        <f t="shared" si="60"/>
        <v>0</v>
      </c>
      <c r="S154" s="9">
        <f t="shared" si="61"/>
        <v>0</v>
      </c>
      <c r="T154" s="165">
        <v>5397.9337542087551</v>
      </c>
    </row>
    <row r="155" spans="3:20" ht="15" customHeight="1">
      <c r="C155" s="166" t="s">
        <v>157</v>
      </c>
      <c r="D155" s="980">
        <f t="shared" ref="D155:O155" si="72">SUMIF($A$5:$A$135,"=MG PTS",$P$5:$P$136)</f>
        <v>0</v>
      </c>
      <c r="E155" s="980">
        <f t="shared" si="72"/>
        <v>0</v>
      </c>
      <c r="F155" s="980">
        <f t="shared" si="72"/>
        <v>0</v>
      </c>
      <c r="G155" s="165">
        <f t="shared" si="72"/>
        <v>0</v>
      </c>
      <c r="H155" s="165">
        <f t="shared" si="72"/>
        <v>0</v>
      </c>
      <c r="I155" s="165">
        <f t="shared" si="72"/>
        <v>0</v>
      </c>
      <c r="J155" s="165">
        <f t="shared" si="72"/>
        <v>0</v>
      </c>
      <c r="K155" s="165">
        <f t="shared" si="72"/>
        <v>0</v>
      </c>
      <c r="L155" s="165">
        <f t="shared" si="72"/>
        <v>0</v>
      </c>
      <c r="M155" s="165">
        <f t="shared" si="72"/>
        <v>0</v>
      </c>
      <c r="N155" s="165">
        <f t="shared" si="72"/>
        <v>0</v>
      </c>
      <c r="O155" s="165">
        <f t="shared" si="72"/>
        <v>0</v>
      </c>
      <c r="P155" s="165">
        <f>SUMIF($A$5:$A$135,"=MG PTS",$P$5:$P$136)</f>
        <v>0</v>
      </c>
      <c r="Q155" s="165">
        <f>SUMIF($A$5:$A$135,"=MG PTS",$P$5:$P$136)</f>
        <v>0</v>
      </c>
      <c r="R155" s="8">
        <f t="shared" si="60"/>
        <v>0</v>
      </c>
      <c r="S155" s="9" t="str">
        <f t="shared" si="61"/>
        <v/>
      </c>
      <c r="T155" s="165">
        <v>0</v>
      </c>
    </row>
    <row r="156" spans="3:20" ht="15" customHeight="1">
      <c r="C156" s="166" t="s">
        <v>21</v>
      </c>
      <c r="D156" s="980">
        <f t="shared" ref="D156:O156" si="73">SUMIF($A$5:$A$135,"=2.4 Gal",D$5:D$136)</f>
        <v>326.96000000000004</v>
      </c>
      <c r="E156" s="980">
        <f t="shared" si="73"/>
        <v>675.58400000000006</v>
      </c>
      <c r="F156" s="980">
        <f t="shared" si="73"/>
        <v>508.11200000000014</v>
      </c>
      <c r="G156" s="165">
        <f t="shared" si="73"/>
        <v>509.18400000000014</v>
      </c>
      <c r="H156" s="165">
        <f t="shared" si="73"/>
        <v>774.31600000000026</v>
      </c>
      <c r="I156" s="165">
        <f t="shared" si="73"/>
        <v>219.232</v>
      </c>
      <c r="J156" s="165">
        <f t="shared" si="73"/>
        <v>406.6400000000001</v>
      </c>
      <c r="K156" s="165">
        <f t="shared" si="73"/>
        <v>424.32000000000011</v>
      </c>
      <c r="L156" s="165">
        <f t="shared" si="73"/>
        <v>166.19200000000001</v>
      </c>
      <c r="M156" s="165">
        <f t="shared" si="73"/>
        <v>127.29600000000001</v>
      </c>
      <c r="N156" s="165">
        <f t="shared" si="73"/>
        <v>399.5680000000001</v>
      </c>
      <c r="O156" s="165">
        <f t="shared" si="73"/>
        <v>0</v>
      </c>
      <c r="P156" s="165">
        <f>SUMIF($A$5:$A$135,"=2.4 Gal",P$5:P$136)</f>
        <v>4537.4040000000014</v>
      </c>
      <c r="Q156" s="165">
        <f>SUMIF($A$5:$A$135,"=2.4 Gal",Q$5:Q$136)</f>
        <v>8747.8480000000018</v>
      </c>
      <c r="R156" s="8">
        <f t="shared" si="60"/>
        <v>-4210.4440000000004</v>
      </c>
      <c r="S156" s="9">
        <f t="shared" si="61"/>
        <v>-0.48131197524236813</v>
      </c>
      <c r="T156" s="165">
        <v>3756.6799999999994</v>
      </c>
    </row>
    <row r="157" spans="3:20" ht="15" customHeight="1">
      <c r="C157" s="166" t="s">
        <v>25</v>
      </c>
      <c r="D157" s="980">
        <f t="shared" ref="D157:O157" si="74">SUMIF($A$5:$A$135,"=B&amp;J Cups",D$5:D$136)</f>
        <v>268.91094017094014</v>
      </c>
      <c r="E157" s="980">
        <f t="shared" si="74"/>
        <v>154.55683760683763</v>
      </c>
      <c r="F157" s="980">
        <f t="shared" si="74"/>
        <v>469.39529914529913</v>
      </c>
      <c r="G157" s="165">
        <f t="shared" si="74"/>
        <v>299.17366153846154</v>
      </c>
      <c r="H157" s="165">
        <f t="shared" si="74"/>
        <v>0</v>
      </c>
      <c r="I157" s="165">
        <f t="shared" si="74"/>
        <v>56.792123076923076</v>
      </c>
      <c r="J157" s="165">
        <f t="shared" si="74"/>
        <v>105.69230769230769</v>
      </c>
      <c r="K157" s="165">
        <f t="shared" si="74"/>
        <v>310.3428923076923</v>
      </c>
      <c r="L157" s="165">
        <f t="shared" si="74"/>
        <v>110.93538461538462</v>
      </c>
      <c r="M157" s="165">
        <f t="shared" si="74"/>
        <v>174.35076923076923</v>
      </c>
      <c r="N157" s="165">
        <f t="shared" si="74"/>
        <v>264.1476923076923</v>
      </c>
      <c r="O157" s="165">
        <f t="shared" si="74"/>
        <v>118.82732307692309</v>
      </c>
      <c r="P157" s="165">
        <f>SUMIF($A$5:$A$135,"=B&amp;J Cups",P$5:P$136)</f>
        <v>2333.1252307692307</v>
      </c>
      <c r="Q157" s="165">
        <f>SUMIF($A$5:$A$135,"=B&amp;J Cups",Q$5:Q$136)</f>
        <v>4397.3395213675212</v>
      </c>
      <c r="R157" s="8">
        <f t="shared" si="60"/>
        <v>-2064.2142905982905</v>
      </c>
      <c r="S157" s="9">
        <f t="shared" si="61"/>
        <v>-0.46942345037672778</v>
      </c>
      <c r="T157" s="165">
        <v>4050.1107692307692</v>
      </c>
    </row>
    <row r="158" spans="3:20" ht="15" customHeight="1">
      <c r="C158" s="166" t="s">
        <v>135</v>
      </c>
      <c r="D158" s="980">
        <f t="shared" ref="D158:O158" si="75">SUMIF($A$5:$A$135,"=MG Stick ND",D$5:D$136)</f>
        <v>0</v>
      </c>
      <c r="E158" s="980">
        <f t="shared" si="75"/>
        <v>0</v>
      </c>
      <c r="F158" s="980">
        <f t="shared" si="75"/>
        <v>0</v>
      </c>
      <c r="G158" s="165">
        <f t="shared" si="75"/>
        <v>0</v>
      </c>
      <c r="H158" s="165">
        <f t="shared" si="75"/>
        <v>0</v>
      </c>
      <c r="I158" s="165">
        <f t="shared" si="75"/>
        <v>0</v>
      </c>
      <c r="J158" s="165">
        <f t="shared" si="75"/>
        <v>0</v>
      </c>
      <c r="K158" s="165">
        <f t="shared" si="75"/>
        <v>0</v>
      </c>
      <c r="L158" s="165">
        <f t="shared" si="75"/>
        <v>0</v>
      </c>
      <c r="M158" s="165">
        <f t="shared" si="75"/>
        <v>0</v>
      </c>
      <c r="N158" s="165">
        <f t="shared" si="75"/>
        <v>0</v>
      </c>
      <c r="O158" s="165">
        <f t="shared" si="75"/>
        <v>0</v>
      </c>
      <c r="P158" s="165">
        <f>SUMIF($A$5:$A$135,"=MG Stick ND",P$5:P$136)</f>
        <v>0</v>
      </c>
      <c r="Q158" s="165">
        <f>SUMIF($A$5:$A$135,"=MG Stick ND",Q$5:Q$136)</f>
        <v>0</v>
      </c>
      <c r="R158" s="8">
        <f t="shared" si="60"/>
        <v>0</v>
      </c>
      <c r="S158" s="9" t="str">
        <f t="shared" si="61"/>
        <v/>
      </c>
      <c r="T158" s="165">
        <v>0</v>
      </c>
    </row>
    <row r="159" spans="3:20" ht="15">
      <c r="C159" s="166" t="s">
        <v>38</v>
      </c>
      <c r="D159" s="980">
        <f t="shared" ref="D159:O159" si="76">SUMIF($A$5:$A$135,"=Other",D$5:D$136)</f>
        <v>1817.3783504675018</v>
      </c>
      <c r="E159" s="980">
        <f t="shared" si="76"/>
        <v>2477.5235618121892</v>
      </c>
      <c r="F159" s="980">
        <f t="shared" si="76"/>
        <v>2351.2134504564829</v>
      </c>
      <c r="G159" s="165">
        <f t="shared" si="76"/>
        <v>2354.1825286213525</v>
      </c>
      <c r="H159" s="165">
        <f t="shared" si="76"/>
        <v>2315.2760676421267</v>
      </c>
      <c r="I159" s="165">
        <f t="shared" si="76"/>
        <v>2372.5850899562956</v>
      </c>
      <c r="J159" s="165">
        <f t="shared" si="76"/>
        <v>1490.1901067843201</v>
      </c>
      <c r="K159" s="165">
        <f t="shared" si="76"/>
        <v>1398.1788300533888</v>
      </c>
      <c r="L159" s="165">
        <f t="shared" si="76"/>
        <v>771.45777912746291</v>
      </c>
      <c r="M159" s="165">
        <f t="shared" si="76"/>
        <v>694.91913726687255</v>
      </c>
      <c r="N159" s="165">
        <f t="shared" si="76"/>
        <v>679.53860948011675</v>
      </c>
      <c r="O159" s="165">
        <f t="shared" si="76"/>
        <v>434.48090874811459</v>
      </c>
      <c r="P159" s="165">
        <f>SUMIF($A$5:$A$135,"=Other",P$5:P$136)</f>
        <v>16266.323375921504</v>
      </c>
      <c r="Q159" s="165">
        <f>SUMIF($A$5:$A$135,"=Other",Q$5:Q$136)</f>
        <v>31013.963744512759</v>
      </c>
      <c r="R159" s="8">
        <f t="shared" si="60"/>
        <v>-14747.640368591256</v>
      </c>
      <c r="S159" s="9">
        <f t="shared" si="61"/>
        <v>-0.47551614137681858</v>
      </c>
      <c r="T159" s="165">
        <v>26388.157434454937</v>
      </c>
    </row>
    <row r="160" spans="3:20" ht="15">
      <c r="C160" s="166" t="s">
        <v>44</v>
      </c>
      <c r="D160" s="980"/>
      <c r="E160" s="980"/>
      <c r="F160" s="980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8"/>
      <c r="S160" s="9"/>
      <c r="T160" s="165"/>
    </row>
    <row r="161" spans="3:20" ht="15">
      <c r="C161" s="166" t="s">
        <v>30</v>
      </c>
      <c r="D161" s="980">
        <f t="shared" ref="D161:O161" si="77">SUMIF($A$5:$A$135,"=Dough Bites",D$5:D$136)</f>
        <v>0</v>
      </c>
      <c r="E161" s="980">
        <f t="shared" si="77"/>
        <v>0</v>
      </c>
      <c r="F161" s="980">
        <f t="shared" si="77"/>
        <v>0</v>
      </c>
      <c r="G161" s="165">
        <f t="shared" si="77"/>
        <v>0</v>
      </c>
      <c r="H161" s="165">
        <f t="shared" si="77"/>
        <v>0</v>
      </c>
      <c r="I161" s="165">
        <f t="shared" si="77"/>
        <v>0</v>
      </c>
      <c r="J161" s="165">
        <f t="shared" si="77"/>
        <v>0</v>
      </c>
      <c r="K161" s="165">
        <f t="shared" si="77"/>
        <v>0</v>
      </c>
      <c r="L161" s="165">
        <f t="shared" si="77"/>
        <v>0</v>
      </c>
      <c r="M161" s="165">
        <f t="shared" si="77"/>
        <v>0</v>
      </c>
      <c r="N161" s="165">
        <f t="shared" si="77"/>
        <v>0</v>
      </c>
      <c r="O161" s="165">
        <f t="shared" si="77"/>
        <v>0</v>
      </c>
      <c r="P161" s="165">
        <f>SUMIF($A$5:$A$135,"=Dough Bites",P$5:P$136)</f>
        <v>0</v>
      </c>
      <c r="Q161" s="165">
        <f>SUMIF($A$5:$A$135,"=Dough Bites",Q$5:Q$136)</f>
        <v>0</v>
      </c>
      <c r="R161" s="8">
        <f t="shared" si="60"/>
        <v>0</v>
      </c>
      <c r="S161" s="9" t="str">
        <f t="shared" si="61"/>
        <v/>
      </c>
      <c r="T161" s="165">
        <v>1770.65625</v>
      </c>
    </row>
    <row r="162" spans="3:20" ht="15">
      <c r="C162" s="166" t="s">
        <v>27</v>
      </c>
      <c r="D162" s="980">
        <f t="shared" ref="D162:O162" si="78">SUMIF($A$5:$A$135,"=BJ Bars",D$5:D$136)</f>
        <v>545.89090909090908</v>
      </c>
      <c r="E162" s="980">
        <f t="shared" si="78"/>
        <v>681.27272727272725</v>
      </c>
      <c r="F162" s="980">
        <f t="shared" si="78"/>
        <v>1729.1963636363635</v>
      </c>
      <c r="G162" s="165">
        <f t="shared" si="78"/>
        <v>805.82399999999996</v>
      </c>
      <c r="H162" s="165">
        <f t="shared" si="78"/>
        <v>1708.2996363636362</v>
      </c>
      <c r="I162" s="165">
        <f t="shared" si="78"/>
        <v>814.5454545454545</v>
      </c>
      <c r="J162" s="165">
        <f t="shared" si="78"/>
        <v>651.63636363636363</v>
      </c>
      <c r="K162" s="165">
        <f t="shared" si="78"/>
        <v>1303.2727272727273</v>
      </c>
      <c r="L162" s="165">
        <f t="shared" si="78"/>
        <v>1303.2727272727273</v>
      </c>
      <c r="M162" s="165">
        <f t="shared" si="78"/>
        <v>814.5454545454545</v>
      </c>
      <c r="N162" s="165">
        <f t="shared" si="78"/>
        <v>977.45454545454538</v>
      </c>
      <c r="O162" s="165">
        <f t="shared" si="78"/>
        <v>488.72727272727275</v>
      </c>
      <c r="P162" s="165">
        <f>SUMIF($A$5:$A$135,"=BJ Bars",P$5:P$136)</f>
        <v>11823.938181818183</v>
      </c>
      <c r="Q162" s="165">
        <f>SUMIF($A$5:$A$135,"=BJ Bars",Q$5:Q$136)</f>
        <v>23101.985454545455</v>
      </c>
      <c r="R162" s="8"/>
      <c r="S162" s="9"/>
      <c r="T162" s="165"/>
    </row>
    <row r="163" spans="3:20" ht="15">
      <c r="C163" s="166" t="s">
        <v>45</v>
      </c>
      <c r="D163" s="980">
        <f t="shared" ref="D163:O163" si="79">SUMIF($A$5:$A$135,"=YS PTS",D$5:D$136)</f>
        <v>872.23750000000018</v>
      </c>
      <c r="E163" s="980">
        <f t="shared" si="79"/>
        <v>1367.8208333333332</v>
      </c>
      <c r="F163" s="980">
        <f t="shared" si="79"/>
        <v>1303.6916666666666</v>
      </c>
      <c r="G163" s="165">
        <f t="shared" si="79"/>
        <v>942.5</v>
      </c>
      <c r="H163" s="165">
        <f t="shared" si="79"/>
        <v>524</v>
      </c>
      <c r="I163" s="165">
        <f t="shared" si="79"/>
        <v>492.75</v>
      </c>
      <c r="J163" s="165">
        <f t="shared" si="79"/>
        <v>960.5</v>
      </c>
      <c r="K163" s="165">
        <f t="shared" si="79"/>
        <v>1219.8333333333335</v>
      </c>
      <c r="L163" s="165">
        <f t="shared" si="79"/>
        <v>1461.5</v>
      </c>
      <c r="M163" s="165">
        <f t="shared" si="79"/>
        <v>1157.3333333333335</v>
      </c>
      <c r="N163" s="165">
        <f t="shared" si="79"/>
        <v>1214.6666666666665</v>
      </c>
      <c r="O163" s="165">
        <f t="shared" si="79"/>
        <v>878.66666666666663</v>
      </c>
      <c r="P163" s="165">
        <f>SUMIF($A$5:$A$135,"=YS PTS",P$5:P$136)</f>
        <v>12395.5</v>
      </c>
      <c r="Q163" s="165">
        <f>SUMIF($A$5:$A$135,"=YS PTS",Q$5:Q$136)</f>
        <v>23918.762500000001</v>
      </c>
      <c r="R163" s="8"/>
      <c r="S163" s="9"/>
      <c r="T163" s="165"/>
    </row>
    <row r="164" spans="3:20" ht="15">
      <c r="C164" s="166" t="s">
        <v>34</v>
      </c>
      <c r="D164" s="980">
        <f t="shared" ref="D164:O164" si="80">SUMIF($A$5:$A$135,"=Facepieces",D$5:D$136)</f>
        <v>1000</v>
      </c>
      <c r="E164" s="980">
        <f t="shared" si="80"/>
        <v>2304.8015318015314</v>
      </c>
      <c r="F164" s="980">
        <f t="shared" si="80"/>
        <v>1773.9948717948719</v>
      </c>
      <c r="G164" s="165">
        <f t="shared" si="80"/>
        <v>4232.5035604395607</v>
      </c>
      <c r="H164" s="165">
        <f t="shared" si="80"/>
        <v>1640.3467252747253</v>
      </c>
      <c r="I164" s="165">
        <f t="shared" si="80"/>
        <v>1667.3638041958038</v>
      </c>
      <c r="J164" s="165">
        <f t="shared" si="80"/>
        <v>1249.7256343656343</v>
      </c>
      <c r="K164" s="165">
        <f t="shared" si="80"/>
        <v>2053.3111688311692</v>
      </c>
      <c r="L164" s="165">
        <f t="shared" si="80"/>
        <v>738.53084515484522</v>
      </c>
      <c r="M164" s="165">
        <f t="shared" si="80"/>
        <v>742.28606593406607</v>
      </c>
      <c r="N164" s="165">
        <f t="shared" si="80"/>
        <v>1089.8835564435565</v>
      </c>
      <c r="O164" s="165">
        <f t="shared" si="80"/>
        <v>667.25415384615394</v>
      </c>
      <c r="P164" s="165">
        <f>SUMIF($A$5:$A$135,"=Facepieces",P$5:P$136)</f>
        <v>19160.001918081918</v>
      </c>
      <c r="Q164" s="165">
        <f>SUMIF($A$5:$A$135,"=Facepieces",Q$5:Q$136)</f>
        <v>37320.003836163836</v>
      </c>
      <c r="R164" s="8">
        <f t="shared" si="60"/>
        <v>-18160.001918081918</v>
      </c>
      <c r="S164" s="9">
        <f t="shared" si="61"/>
        <v>-0.48660235936215285</v>
      </c>
      <c r="T164" s="165">
        <v>23940.111794871798</v>
      </c>
    </row>
    <row r="165" spans="3:20" ht="15">
      <c r="C165" s="51"/>
      <c r="R165" s="31" t="s">
        <v>94</v>
      </c>
      <c r="S165" s="32"/>
    </row>
    <row r="166" spans="3:20">
      <c r="C166" s="162"/>
      <c r="D166" s="5" t="str">
        <f>D143</f>
        <v>Jan</v>
      </c>
      <c r="E166" s="5" t="str">
        <f t="shared" ref="E166:O166" si="81">E143</f>
        <v>Feb</v>
      </c>
      <c r="F166" s="5" t="str">
        <f t="shared" si="81"/>
        <v>Mar</v>
      </c>
      <c r="G166" s="5" t="str">
        <f t="shared" si="81"/>
        <v>Apr</v>
      </c>
      <c r="H166" s="5" t="str">
        <f t="shared" si="81"/>
        <v>May</v>
      </c>
      <c r="I166" s="5" t="str">
        <f t="shared" si="81"/>
        <v>Jun</v>
      </c>
      <c r="J166" s="5" t="str">
        <f t="shared" si="81"/>
        <v>Jul</v>
      </c>
      <c r="K166" s="5" t="str">
        <f t="shared" si="81"/>
        <v>Aug</v>
      </c>
      <c r="L166" s="5" t="str">
        <f t="shared" si="81"/>
        <v>Sep</v>
      </c>
      <c r="M166" s="5" t="str">
        <f t="shared" si="81"/>
        <v>Oct</v>
      </c>
      <c r="N166" s="5" t="str">
        <f t="shared" si="81"/>
        <v>Nov</v>
      </c>
      <c r="O166" s="5" t="str">
        <f t="shared" si="81"/>
        <v>Dec</v>
      </c>
      <c r="P166" s="187" t="str">
        <f>P$4</f>
        <v>2026 MRF3</v>
      </c>
      <c r="Q166" s="188" t="str">
        <f>Q$4</f>
        <v>2026 MRF2</v>
      </c>
      <c r="R166" s="5" t="str">
        <f t="shared" ref="R166:S166" si="82">R$4</f>
        <v>Difference</v>
      </c>
      <c r="S166" s="6" t="str">
        <f t="shared" si="82"/>
        <v>% change</v>
      </c>
      <c r="T166" s="187" t="s">
        <v>1186</v>
      </c>
    </row>
    <row r="167" spans="3:20">
      <c r="C167" s="163" t="s">
        <v>5</v>
      </c>
      <c r="D167" s="164">
        <f t="shared" ref="D167:O167" si="83">D41</f>
        <v>15895.451290882882</v>
      </c>
      <c r="E167" s="164">
        <f t="shared" si="83"/>
        <v>19215.259502600176</v>
      </c>
      <c r="F167" s="164">
        <f t="shared" si="83"/>
        <v>21076.448459251107</v>
      </c>
      <c r="G167" s="164">
        <f t="shared" si="83"/>
        <v>21709.723636922015</v>
      </c>
      <c r="H167" s="164">
        <f t="shared" si="83"/>
        <v>19109.719361785388</v>
      </c>
      <c r="I167" s="164">
        <f t="shared" si="83"/>
        <v>19184.120977728151</v>
      </c>
      <c r="J167" s="164">
        <f t="shared" si="83"/>
        <v>19983.526937476741</v>
      </c>
      <c r="K167" s="164">
        <f t="shared" si="83"/>
        <v>20696.513453399541</v>
      </c>
      <c r="L167" s="164">
        <f t="shared" si="83"/>
        <v>18217.6112474119</v>
      </c>
      <c r="M167" s="164">
        <f t="shared" si="83"/>
        <v>14953.892912450297</v>
      </c>
      <c r="N167" s="164">
        <f t="shared" si="83"/>
        <v>10018.154834481695</v>
      </c>
      <c r="O167" s="164">
        <f t="shared" si="83"/>
        <v>9980.8131182836769</v>
      </c>
      <c r="P167" s="164">
        <f>P41</f>
        <v>210041.23573267352</v>
      </c>
      <c r="Q167" s="164">
        <f>Q41</f>
        <v>404187.02017446415</v>
      </c>
      <c r="R167" s="8">
        <f t="shared" ref="R167:R187" si="84">P167-Q167</f>
        <v>-194145.78444179063</v>
      </c>
      <c r="S167" s="9">
        <f t="shared" ref="S167:S187" si="85">IF(ISERROR(R167/Q167),"",R167/Q167)</f>
        <v>-0.48033651441352354</v>
      </c>
      <c r="T167" s="164">
        <v>202383.53933869544</v>
      </c>
    </row>
    <row r="168" spans="3:20">
      <c r="C168" s="163" t="s">
        <v>6</v>
      </c>
      <c r="D168" s="164">
        <f t="shared" ref="D168:O168" si="86">D53</f>
        <v>10268.133712676212</v>
      </c>
      <c r="E168" s="164">
        <f t="shared" si="86"/>
        <v>13141.553326673326</v>
      </c>
      <c r="F168" s="164">
        <f t="shared" si="86"/>
        <v>16699.773750299697</v>
      </c>
      <c r="G168" s="164">
        <f t="shared" si="86"/>
        <v>14190.450247252746</v>
      </c>
      <c r="H168" s="164">
        <f t="shared" si="86"/>
        <v>12594.848141858141</v>
      </c>
      <c r="I168" s="164">
        <f t="shared" si="86"/>
        <v>12295.30780996781</v>
      </c>
      <c r="J168" s="164">
        <f t="shared" si="86"/>
        <v>13292.190264180264</v>
      </c>
      <c r="K168" s="164">
        <f t="shared" si="86"/>
        <v>13940.948082473082</v>
      </c>
      <c r="L168" s="164">
        <f t="shared" si="86"/>
        <v>10069.047064158065</v>
      </c>
      <c r="M168" s="164">
        <f t="shared" si="86"/>
        <v>10861.116355866356</v>
      </c>
      <c r="N168" s="164">
        <f t="shared" si="86"/>
        <v>6117.8497132867142</v>
      </c>
      <c r="O168" s="164">
        <f t="shared" si="86"/>
        <v>3685.5289090909096</v>
      </c>
      <c r="P168" s="164">
        <f>P53</f>
        <v>137156.74737778335</v>
      </c>
      <c r="Q168" s="164">
        <f>Q53</f>
        <v>264045.36104289046</v>
      </c>
      <c r="R168" s="8">
        <f t="shared" si="84"/>
        <v>-126888.61366510711</v>
      </c>
      <c r="S168" s="9">
        <f t="shared" si="85"/>
        <v>-0.48055611794859687</v>
      </c>
      <c r="T168" s="164">
        <v>141655.26792193315</v>
      </c>
    </row>
    <row r="169" spans="3:20">
      <c r="C169" s="163" t="s">
        <v>4</v>
      </c>
      <c r="D169" s="164">
        <f t="shared" ref="D169:O169" si="87">SUM(D14,D22)</f>
        <v>7674.6183333333347</v>
      </c>
      <c r="E169" s="164">
        <f t="shared" si="87"/>
        <v>10099.304833333334</v>
      </c>
      <c r="F169" s="164">
        <f t="shared" si="87"/>
        <v>12240.880333333334</v>
      </c>
      <c r="G169" s="164">
        <f t="shared" si="87"/>
        <v>8824.5590000000011</v>
      </c>
      <c r="H169" s="164">
        <f t="shared" si="87"/>
        <v>8507.8243333333339</v>
      </c>
      <c r="I169" s="164">
        <f t="shared" si="87"/>
        <v>8240.1919999999991</v>
      </c>
      <c r="J169" s="164">
        <f t="shared" si="87"/>
        <v>8865.1542857142867</v>
      </c>
      <c r="K169" s="164">
        <f t="shared" si="87"/>
        <v>9428.7999999999993</v>
      </c>
      <c r="L169" s="164">
        <f t="shared" si="87"/>
        <v>7792.9920000000002</v>
      </c>
      <c r="M169" s="164">
        <f t="shared" si="87"/>
        <v>6970.7626666666674</v>
      </c>
      <c r="N169" s="164">
        <f t="shared" si="87"/>
        <v>5009.0080000000007</v>
      </c>
      <c r="O169" s="164">
        <f t="shared" si="87"/>
        <v>6276.1066666666675</v>
      </c>
      <c r="P169" s="164">
        <f>SUM(P14,P22)</f>
        <v>99930.202452380967</v>
      </c>
      <c r="Q169" s="164">
        <f>SUM(Q14,Q22)</f>
        <v>192185.78657142862</v>
      </c>
      <c r="R169" s="8">
        <f t="shared" si="84"/>
        <v>-92255.584119047649</v>
      </c>
      <c r="S169" s="9">
        <f t="shared" si="85"/>
        <v>-0.48003333526831615</v>
      </c>
      <c r="T169" s="164">
        <v>106631.52963369963</v>
      </c>
    </row>
    <row r="170" spans="3:20">
      <c r="C170" s="163" t="s">
        <v>7</v>
      </c>
      <c r="D170" s="164">
        <f>D119</f>
        <v>33838.203336892431</v>
      </c>
      <c r="E170" s="164">
        <f t="shared" ref="E170:O170" si="88">E119</f>
        <v>42456.117662606834</v>
      </c>
      <c r="F170" s="164">
        <f t="shared" si="88"/>
        <v>50017.102542884139</v>
      </c>
      <c r="G170" s="164">
        <f t="shared" si="88"/>
        <v>44724.732884174766</v>
      </c>
      <c r="H170" s="164">
        <f t="shared" si="88"/>
        <v>40212.391836976865</v>
      </c>
      <c r="I170" s="164">
        <f t="shared" si="88"/>
        <v>39719.62078769596</v>
      </c>
      <c r="J170" s="164">
        <f t="shared" si="88"/>
        <v>42140.871487371296</v>
      </c>
      <c r="K170" s="164">
        <f t="shared" si="88"/>
        <v>44066.261535872618</v>
      </c>
      <c r="L170" s="164">
        <f t="shared" si="88"/>
        <v>36079.65031156996</v>
      </c>
      <c r="M170" s="164">
        <f t="shared" si="88"/>
        <v>32785.771934983321</v>
      </c>
      <c r="N170" s="164">
        <f t="shared" si="88"/>
        <v>21145.012547768412</v>
      </c>
      <c r="O170" s="164">
        <f t="shared" si="88"/>
        <v>19942.448694041253</v>
      </c>
      <c r="P170" s="164">
        <f>P119</f>
        <v>447128.18556283781</v>
      </c>
      <c r="Q170" s="164">
        <f>Q119</f>
        <v>860418.1677887832</v>
      </c>
      <c r="R170" s="8">
        <f t="shared" si="84"/>
        <v>-413289.98222594539</v>
      </c>
      <c r="S170" s="9">
        <f t="shared" si="85"/>
        <v>-0.48033618733094963</v>
      </c>
      <c r="T170" s="164">
        <v>450670.33689432818</v>
      </c>
    </row>
    <row r="171" spans="3:20">
      <c r="C171" s="162">
        <v>1712</v>
      </c>
      <c r="D171" s="980">
        <f>SUMIF($B$5:$B$135,"=1712",D$5:D$136)</f>
        <v>1111.6909004884005</v>
      </c>
      <c r="E171" s="980">
        <f t="shared" ref="E171:O171" si="89">SUMIF($B$5:$B$135,"=1712",E$5:E$136)</f>
        <v>1621.1021418396417</v>
      </c>
      <c r="F171" s="980">
        <f t="shared" si="89"/>
        <v>2589.9034737484735</v>
      </c>
      <c r="G171" s="165">
        <f t="shared" si="89"/>
        <v>1565.1863599511598</v>
      </c>
      <c r="H171" s="165">
        <f>SUMIF($B$5:$B$135,"=1712",H$5:H$136)</f>
        <v>2369.9445598845596</v>
      </c>
      <c r="I171" s="165">
        <f t="shared" si="89"/>
        <v>1789.0587897435898</v>
      </c>
      <c r="J171" s="165">
        <f t="shared" si="89"/>
        <v>833.87008547008554</v>
      </c>
      <c r="K171" s="165">
        <f t="shared" si="89"/>
        <v>2427.0159081807083</v>
      </c>
      <c r="L171" s="165">
        <f t="shared" si="89"/>
        <v>1766.8084004884006</v>
      </c>
      <c r="M171" s="165">
        <f t="shared" si="89"/>
        <v>1963.9126739926742</v>
      </c>
      <c r="N171" s="165">
        <f t="shared" si="89"/>
        <v>2375.4873748473751</v>
      </c>
      <c r="O171" s="165">
        <f t="shared" si="89"/>
        <v>1768.605100854701</v>
      </c>
      <c r="P171" s="165">
        <f>SUMIF($B$5:$B$135,"=1712",P$5:P$136)</f>
        <v>22182.585769489771</v>
      </c>
      <c r="Q171" s="165">
        <f>SUMIF($B$5:$B$135,"=1712",Q$5:Q$136)</f>
        <v>43253.480638491135</v>
      </c>
      <c r="R171" s="8">
        <f t="shared" si="84"/>
        <v>-21070.894869001364</v>
      </c>
      <c r="S171" s="9">
        <f t="shared" si="85"/>
        <v>-0.48714911627829649</v>
      </c>
      <c r="T171" s="165">
        <v>25369.03385725386</v>
      </c>
    </row>
    <row r="172" spans="3:20">
      <c r="C172" s="162">
        <v>1713</v>
      </c>
      <c r="D172" s="980">
        <f>SUMIF($B$5:$B$135,"=1713",D$5:D$136)</f>
        <v>0.495</v>
      </c>
      <c r="E172" s="980">
        <f t="shared" ref="E172:O172" si="90">SUMIF($B$5:$B$135,"=1713",E$5:E$136)</f>
        <v>103.895</v>
      </c>
      <c r="F172" s="980">
        <f t="shared" si="90"/>
        <v>0</v>
      </c>
      <c r="G172" s="165">
        <f t="shared" si="90"/>
        <v>17.28</v>
      </c>
      <c r="H172" s="165">
        <f t="shared" si="90"/>
        <v>0</v>
      </c>
      <c r="I172" s="165">
        <f t="shared" si="90"/>
        <v>105.6</v>
      </c>
      <c r="J172" s="165">
        <f t="shared" si="90"/>
        <v>52.800000000000004</v>
      </c>
      <c r="K172" s="165">
        <f t="shared" si="90"/>
        <v>42.24</v>
      </c>
      <c r="L172" s="165">
        <f t="shared" si="90"/>
        <v>52.800000000000004</v>
      </c>
      <c r="M172" s="165">
        <f t="shared" si="90"/>
        <v>31.68</v>
      </c>
      <c r="N172" s="165">
        <f t="shared" si="90"/>
        <v>21.12</v>
      </c>
      <c r="O172" s="165">
        <f t="shared" si="90"/>
        <v>0</v>
      </c>
      <c r="P172" s="165">
        <f>SUMIF($B$5:$B$135,"=1713",P$5:P$136)</f>
        <v>427.91</v>
      </c>
      <c r="Q172" s="165">
        <f>SUMIF($B$5:$B$135,"=1713",Q$5:Q$136)</f>
        <v>855.32500000000005</v>
      </c>
      <c r="R172" s="8">
        <f t="shared" si="84"/>
        <v>-427.41500000000002</v>
      </c>
      <c r="S172" s="9">
        <f t="shared" si="85"/>
        <v>-0.49971063630783619</v>
      </c>
      <c r="T172" s="165">
        <v>1696.9750000000001</v>
      </c>
    </row>
    <row r="173" spans="3:20">
      <c r="C173" s="162">
        <v>1714</v>
      </c>
      <c r="D173" s="980">
        <f>SUMIF($B$5:$B$135,"=1714",D$5:D$136)</f>
        <v>0</v>
      </c>
      <c r="E173" s="980">
        <f t="shared" ref="E173:O173" si="91">SUMIF($B$5:$B$135,"=1714",E$5:E$136)</f>
        <v>0</v>
      </c>
      <c r="F173" s="980">
        <f t="shared" si="91"/>
        <v>0</v>
      </c>
      <c r="G173" s="165">
        <f t="shared" si="91"/>
        <v>0</v>
      </c>
      <c r="H173" s="165">
        <f t="shared" si="91"/>
        <v>0</v>
      </c>
      <c r="I173" s="165">
        <f t="shared" si="91"/>
        <v>0</v>
      </c>
      <c r="J173" s="165">
        <f t="shared" si="91"/>
        <v>0</v>
      </c>
      <c r="K173" s="165">
        <f t="shared" si="91"/>
        <v>0</v>
      </c>
      <c r="L173" s="165">
        <f t="shared" si="91"/>
        <v>0</v>
      </c>
      <c r="M173" s="165">
        <f t="shared" si="91"/>
        <v>0</v>
      </c>
      <c r="N173" s="165">
        <f t="shared" si="91"/>
        <v>0</v>
      </c>
      <c r="O173" s="165">
        <f t="shared" si="91"/>
        <v>0</v>
      </c>
      <c r="P173" s="165">
        <f>SUMIF($B$5:$B$135,"=1714",P$5:P$136)</f>
        <v>0</v>
      </c>
      <c r="Q173" s="165">
        <f>SUMIF($B$5:$B$135,"=1714",Q$5:Q$136)</f>
        <v>0</v>
      </c>
      <c r="R173" s="8">
        <f t="shared" si="84"/>
        <v>0</v>
      </c>
      <c r="S173" s="9" t="str">
        <f t="shared" si="85"/>
        <v/>
      </c>
      <c r="T173" s="165">
        <v>30</v>
      </c>
    </row>
    <row r="174" spans="3:20">
      <c r="C174" s="162">
        <v>1715</v>
      </c>
      <c r="D174" s="980">
        <f>SUMIF($B$5:$B$135,"=1715",D$5:D$136)</f>
        <v>965.50303030303019</v>
      </c>
      <c r="E174" s="980">
        <f t="shared" ref="E174:O174" si="92">SUMIF($B$5:$B$135,"=1715",E$5:E$136)</f>
        <v>571.82424242424236</v>
      </c>
      <c r="F174" s="989">
        <f t="shared" si="92"/>
        <v>882.74545454545455</v>
      </c>
      <c r="G174" s="165">
        <f t="shared" si="92"/>
        <v>1120.4887272727271</v>
      </c>
      <c r="H174" s="165">
        <f t="shared" si="92"/>
        <v>5435.6363636363612</v>
      </c>
      <c r="I174" s="165">
        <f t="shared" si="92"/>
        <v>2290.909090909091</v>
      </c>
      <c r="J174" s="165">
        <f t="shared" si="92"/>
        <v>1985.4545454545455</v>
      </c>
      <c r="K174" s="165">
        <f t="shared" si="92"/>
        <v>1985.4545454545455</v>
      </c>
      <c r="L174" s="165">
        <f t="shared" si="92"/>
        <v>1374.5454545454545</v>
      </c>
      <c r="M174" s="165">
        <f t="shared" si="92"/>
        <v>1221.8181818181818</v>
      </c>
      <c r="N174" s="165">
        <f t="shared" si="92"/>
        <v>1527.2727272727273</v>
      </c>
      <c r="O174" s="165">
        <f t="shared" si="92"/>
        <v>1078.7878787878788</v>
      </c>
      <c r="P174" s="165">
        <f>SUMIF($B$5:$B$135,"=1715",P$5:P$136)</f>
        <v>20440.440242424243</v>
      </c>
      <c r="Q174" s="165">
        <f>SUMIF($B$5:$B$135,"=1715",Q$5:Q$136)</f>
        <v>39915.377454545451</v>
      </c>
      <c r="R174" s="8">
        <f t="shared" si="84"/>
        <v>-19474.937212121207</v>
      </c>
      <c r="S174" s="9">
        <f t="shared" si="85"/>
        <v>-0.48790562570274421</v>
      </c>
      <c r="T174" s="165">
        <v>15590.338680926914</v>
      </c>
    </row>
    <row r="175" spans="3:20">
      <c r="C175" s="162">
        <v>1716</v>
      </c>
      <c r="D175" s="980">
        <f>SUMIF($B$5:$B$135,"=1716",D$5:D$136)</f>
        <v>1889.5132575757575</v>
      </c>
      <c r="E175" s="980">
        <f t="shared" ref="E175:O175" si="93">SUMIF($B$5:$B$135,"=1716",E$5:E$136)</f>
        <v>2150.7678030303032</v>
      </c>
      <c r="F175" s="980">
        <f t="shared" si="93"/>
        <v>3265.2656818181813</v>
      </c>
      <c r="G175" s="165">
        <f t="shared" si="93"/>
        <v>2150.0869090909091</v>
      </c>
      <c r="H175" s="165">
        <f t="shared" si="93"/>
        <v>4405.3905454545456</v>
      </c>
      <c r="I175" s="165">
        <f t="shared" si="93"/>
        <v>1464.3636363636363</v>
      </c>
      <c r="J175" s="165">
        <f t="shared" si="93"/>
        <v>1951.272727272727</v>
      </c>
      <c r="K175" s="165">
        <f t="shared" si="93"/>
        <v>1790.181818181818</v>
      </c>
      <c r="L175" s="165">
        <f t="shared" si="93"/>
        <v>1827.2727272727273</v>
      </c>
      <c r="M175" s="165">
        <f t="shared" si="93"/>
        <v>1932.7030303030301</v>
      </c>
      <c r="N175" s="165">
        <f t="shared" si="93"/>
        <v>2531.9757575757576</v>
      </c>
      <c r="O175" s="165">
        <f t="shared" si="93"/>
        <v>1390.878787878788</v>
      </c>
      <c r="P175" s="165">
        <f>SUMIF($B$5:$B$135,"=1716",P$5:P$136)</f>
        <v>26749.672681818181</v>
      </c>
      <c r="Q175" s="165">
        <f>SUMIF($B$5:$B$135,"=1716",Q$5:Q$136)</f>
        <v>51609.83210606061</v>
      </c>
      <c r="R175" s="8">
        <f t="shared" si="84"/>
        <v>-24860.159424242429</v>
      </c>
      <c r="S175" s="9">
        <f t="shared" si="85"/>
        <v>-0.48169425107126185</v>
      </c>
      <c r="T175" s="165">
        <v>23315.517513368985</v>
      </c>
    </row>
    <row r="176" spans="3:20">
      <c r="C176" s="162">
        <v>1717</v>
      </c>
      <c r="D176" s="980">
        <f>SUMIF($B$5:$B$135,"=1717",D$5:D$136)</f>
        <v>1756.2226158645276</v>
      </c>
      <c r="E176" s="980">
        <f t="shared" ref="E176:O176" si="94">SUMIF($B$5:$B$135,"=1717",E$5:E$136)</f>
        <v>1293.0660085013028</v>
      </c>
      <c r="F176" s="980">
        <f t="shared" si="94"/>
        <v>1042.5212559989029</v>
      </c>
      <c r="G176" s="165">
        <f t="shared" si="94"/>
        <v>313.75927601809951</v>
      </c>
      <c r="H176" s="165">
        <f t="shared" si="94"/>
        <v>246.77647058823527</v>
      </c>
      <c r="I176" s="165">
        <f t="shared" si="94"/>
        <v>837.38918963389551</v>
      </c>
      <c r="J176" s="165">
        <f t="shared" si="94"/>
        <v>898.30357877416702</v>
      </c>
      <c r="K176" s="165">
        <f t="shared" si="94"/>
        <v>346.74784039489919</v>
      </c>
      <c r="L176" s="165">
        <f t="shared" si="94"/>
        <v>346.74784039489919</v>
      </c>
      <c r="M176" s="165">
        <f t="shared" si="94"/>
        <v>1702.7755107637461</v>
      </c>
      <c r="N176" s="165">
        <f t="shared" si="94"/>
        <v>1276.186836692719</v>
      </c>
      <c r="O176" s="165">
        <f t="shared" si="94"/>
        <v>748.01371177841759</v>
      </c>
      <c r="P176" s="165">
        <f>SUMIF($B$5:$B$135,"=1717",P$5:P$136)</f>
        <v>7917.909090909091</v>
      </c>
      <c r="Q176" s="165">
        <f>SUMIF($B$5:$B$135,"=1717",Q$5:Q$136)</f>
        <v>14378.290909090909</v>
      </c>
      <c r="R176" s="8">
        <f t="shared" si="84"/>
        <v>-6460.3818181818178</v>
      </c>
      <c r="S176" s="9">
        <f t="shared" si="85"/>
        <v>-0.44931500266816388</v>
      </c>
      <c r="T176" s="165">
        <v>11406.484848484846</v>
      </c>
    </row>
    <row r="177" spans="2:21">
      <c r="C177" s="162" t="s">
        <v>118</v>
      </c>
      <c r="D177" s="980">
        <f>SUMIF($B$5:$B$135,"=Rhino",D$5:D$136)</f>
        <v>269.93359375</v>
      </c>
      <c r="E177" s="980">
        <f t="shared" ref="E177:O177" si="95">SUMIF($B$5:$B$135,"=Rhino",E$5:E$136)</f>
        <v>192</v>
      </c>
      <c r="F177" s="980">
        <f t="shared" si="95"/>
        <v>158.42578125</v>
      </c>
      <c r="G177" s="165">
        <f t="shared" si="95"/>
        <v>202.5</v>
      </c>
      <c r="H177" s="165">
        <f t="shared" si="95"/>
        <v>170.625</v>
      </c>
      <c r="I177" s="165">
        <f t="shared" si="95"/>
        <v>135.9375</v>
      </c>
      <c r="J177" s="165">
        <f t="shared" si="95"/>
        <v>148.125</v>
      </c>
      <c r="K177" s="165">
        <f t="shared" si="95"/>
        <v>120</v>
      </c>
      <c r="L177" s="165">
        <f t="shared" si="95"/>
        <v>52.5</v>
      </c>
      <c r="M177" s="165">
        <f t="shared" si="95"/>
        <v>97.5</v>
      </c>
      <c r="N177" s="165">
        <f t="shared" si="95"/>
        <v>99.375</v>
      </c>
      <c r="O177" s="165">
        <f t="shared" si="95"/>
        <v>73.125</v>
      </c>
      <c r="P177" s="165">
        <f>SUMIF($B$5:$B$135,"=Rhino",P$5:P$136)</f>
        <v>1720.046875</v>
      </c>
      <c r="Q177" s="165">
        <f>SUMIF($B$5:$B$135,"=Rhino",Q$5:Q$136)</f>
        <v>3170.16015625</v>
      </c>
      <c r="R177" s="8">
        <f t="shared" si="84"/>
        <v>-1450.11328125</v>
      </c>
      <c r="S177" s="9">
        <f t="shared" si="85"/>
        <v>-0.45742587433353749</v>
      </c>
      <c r="T177" s="165">
        <v>1770.65625</v>
      </c>
    </row>
    <row r="178" spans="2:21">
      <c r="B178" s="421" t="s">
        <v>164</v>
      </c>
      <c r="C178" s="162">
        <v>6757</v>
      </c>
      <c r="D178" s="980">
        <f>SUMIF($B$5:$B$135,"=6757",D$5:D$136)</f>
        <v>295.77777777777783</v>
      </c>
      <c r="E178" s="980">
        <f t="shared" ref="E178:O178" si="96">SUMIF($B$5:$B$135,"=6757",E$5:E$136)</f>
        <v>653.23888888888894</v>
      </c>
      <c r="F178" s="980">
        <f t="shared" si="96"/>
        <v>652.04555555555555</v>
      </c>
      <c r="G178" s="165">
        <f t="shared" si="96"/>
        <v>430.68444444444441</v>
      </c>
      <c r="H178" s="165">
        <f t="shared" si="96"/>
        <v>496.28444444444438</v>
      </c>
      <c r="I178" s="165">
        <f t="shared" si="96"/>
        <v>516.81777777777768</v>
      </c>
      <c r="J178" s="165">
        <f t="shared" si="96"/>
        <v>430.68444444444441</v>
      </c>
      <c r="K178" s="165">
        <f t="shared" si="96"/>
        <v>538.3555555555555</v>
      </c>
      <c r="L178" s="165">
        <f t="shared" si="96"/>
        <v>430.68444444444441</v>
      </c>
      <c r="M178" s="165">
        <f t="shared" si="96"/>
        <v>254.59555555555553</v>
      </c>
      <c r="N178" s="165">
        <f t="shared" si="96"/>
        <v>0</v>
      </c>
      <c r="O178" s="165">
        <f t="shared" si="96"/>
        <v>39.25333333333333</v>
      </c>
      <c r="P178" s="165">
        <f>SUMIF($B$5:$B$135,"=6757",P$5:P$136)</f>
        <v>4738.4222222222215</v>
      </c>
      <c r="Q178" s="165">
        <f>SUMIF($B$5:$B$135,"=6757",Q$5:Q$136)</f>
        <v>9181.0666666666657</v>
      </c>
      <c r="R178" s="8">
        <f t="shared" si="84"/>
        <v>-4442.6444444444442</v>
      </c>
      <c r="S178" s="9">
        <f t="shared" si="85"/>
        <v>-0.4838919709159914</v>
      </c>
      <c r="T178" s="165">
        <v>4311.9328042328034</v>
      </c>
    </row>
    <row r="179" spans="2:21">
      <c r="C179" s="162">
        <v>6706</v>
      </c>
      <c r="D179" s="980">
        <f>SUMIF($B$5:$B$135,"=6706",D$5:D$136)</f>
        <v>233.09166666666667</v>
      </c>
      <c r="E179" s="980">
        <f t="shared" ref="E179:O179" si="97">SUMIF($B$5:$B$135,"=6706",E$5:E$136)</f>
        <v>0</v>
      </c>
      <c r="F179" s="980">
        <f t="shared" si="97"/>
        <v>0</v>
      </c>
      <c r="G179" s="165">
        <f t="shared" si="97"/>
        <v>181.96102564102563</v>
      </c>
      <c r="H179" s="165">
        <f t="shared" si="97"/>
        <v>454.54545454545456</v>
      </c>
      <c r="I179" s="165">
        <f t="shared" si="97"/>
        <v>349.50466200466201</v>
      </c>
      <c r="J179" s="165">
        <f t="shared" si="97"/>
        <v>312.5</v>
      </c>
      <c r="K179" s="165">
        <f t="shared" si="97"/>
        <v>0</v>
      </c>
      <c r="L179" s="165">
        <f t="shared" si="97"/>
        <v>0</v>
      </c>
      <c r="M179" s="165">
        <f t="shared" si="97"/>
        <v>0</v>
      </c>
      <c r="N179" s="165">
        <f t="shared" si="97"/>
        <v>0</v>
      </c>
      <c r="O179" s="165">
        <f t="shared" si="97"/>
        <v>0</v>
      </c>
      <c r="P179" s="165">
        <f>SUMIF($B$5:$B$135,"=6706",P$5:P$136)</f>
        <v>1531.6028088578089</v>
      </c>
      <c r="Q179" s="165">
        <f>SUMIF($B$5:$B$135,"=6706",Q$5:Q$136)</f>
        <v>2830.1139510489511</v>
      </c>
      <c r="R179" s="8">
        <f t="shared" si="84"/>
        <v>-1298.5111421911422</v>
      </c>
      <c r="S179" s="9">
        <f t="shared" si="85"/>
        <v>-0.45881938489079677</v>
      </c>
      <c r="T179" s="165">
        <v>4360.3859567901236</v>
      </c>
    </row>
    <row r="180" spans="2:21">
      <c r="C180" s="1" t="s">
        <v>123</v>
      </c>
      <c r="D180" s="980">
        <f>SUMIF($B$5:$B$135,"=Glacier Point",D$5:D$136)</f>
        <v>0</v>
      </c>
      <c r="E180" s="980">
        <f t="shared" ref="E180:O180" si="98">SUMIF($B$5:$B$135,"=Glacier Point",E$5:E$136)</f>
        <v>0</v>
      </c>
      <c r="F180" s="980">
        <f t="shared" si="98"/>
        <v>0</v>
      </c>
      <c r="G180" s="165">
        <f t="shared" si="98"/>
        <v>0</v>
      </c>
      <c r="H180" s="165">
        <f t="shared" si="98"/>
        <v>0</v>
      </c>
      <c r="I180" s="165">
        <f t="shared" si="98"/>
        <v>0</v>
      </c>
      <c r="J180" s="165">
        <f t="shared" si="98"/>
        <v>0</v>
      </c>
      <c r="K180" s="165">
        <f t="shared" si="98"/>
        <v>0</v>
      </c>
      <c r="L180" s="165">
        <f t="shared" si="98"/>
        <v>0</v>
      </c>
      <c r="M180" s="165">
        <f t="shared" si="98"/>
        <v>0</v>
      </c>
      <c r="N180" s="165">
        <f t="shared" si="98"/>
        <v>0</v>
      </c>
      <c r="O180" s="165">
        <f t="shared" si="98"/>
        <v>0</v>
      </c>
      <c r="P180" s="165">
        <f>SUMIF($B$5:$B$135,"=Glacier Point",P$5:P$136)</f>
        <v>0</v>
      </c>
      <c r="Q180" s="165">
        <f>SUMIF($B$5:$B$135,"=Glacier Point",Q$5:Q$136)</f>
        <v>0</v>
      </c>
      <c r="R180" s="8">
        <f t="shared" ref="R180" si="99">P180-Q180</f>
        <v>0</v>
      </c>
      <c r="S180" s="9" t="str">
        <f t="shared" ref="S180" si="100">IF(ISERROR(R180/Q180),"",R180/Q180)</f>
        <v/>
      </c>
      <c r="T180" s="165">
        <v>616.60833333333335</v>
      </c>
      <c r="U180" s="165">
        <f t="shared" ref="U180" si="101">SUMIF($B$5:$B$135,"=Glacier Point",U$5:U$136)</f>
        <v>0</v>
      </c>
    </row>
    <row r="181" spans="2:21">
      <c r="B181" s="1">
        <v>6765</v>
      </c>
      <c r="C181" s="1" t="s">
        <v>166</v>
      </c>
      <c r="D181" s="980">
        <f t="shared" ref="D181:O181" si="102">SUMIF($B$5:$B$135,"=6765",D$5:D$136)</f>
        <v>120.38333333333333</v>
      </c>
      <c r="E181" s="980">
        <f t="shared" si="102"/>
        <v>129.48333333333335</v>
      </c>
      <c r="F181" s="980">
        <f t="shared" si="102"/>
        <v>414.38009523809524</v>
      </c>
      <c r="G181" s="165">
        <f t="shared" si="102"/>
        <v>246.85714285714286</v>
      </c>
      <c r="H181" s="165">
        <f t="shared" si="102"/>
        <v>185.14285714285714</v>
      </c>
      <c r="I181" s="165">
        <f t="shared" si="102"/>
        <v>254.26285714285711</v>
      </c>
      <c r="J181" s="165">
        <f t="shared" si="102"/>
        <v>192.54857142857142</v>
      </c>
      <c r="K181" s="165">
        <f t="shared" si="102"/>
        <v>143.17714285714285</v>
      </c>
      <c r="L181" s="165">
        <f t="shared" si="102"/>
        <v>95.177142857142854</v>
      </c>
      <c r="M181" s="165">
        <f t="shared" si="102"/>
        <v>134.26285714285711</v>
      </c>
      <c r="N181" s="165">
        <f t="shared" si="102"/>
        <v>108.20571428571428</v>
      </c>
      <c r="O181" s="165">
        <f t="shared" si="102"/>
        <v>138.23999999999998</v>
      </c>
      <c r="P181" s="165">
        <f>SUMIF($B$5:$B$135,"=6765",P$5:P$136)</f>
        <v>2162.1210476190477</v>
      </c>
      <c r="Q181" s="165">
        <f>SUMIF($B$5:$B$135,"=6765",Q$5:Q$136)</f>
        <v>4203.8587619047621</v>
      </c>
      <c r="R181" s="15"/>
      <c r="S181" s="9"/>
      <c r="T181" s="165">
        <v>408.2833333333333</v>
      </c>
      <c r="U181" s="212"/>
    </row>
    <row r="182" spans="2:21">
      <c r="B182" s="1">
        <v>6764</v>
      </c>
      <c r="C182" s="1" t="s">
        <v>166</v>
      </c>
      <c r="D182" s="980">
        <f t="shared" ref="D182:O182" si="103">SUMIF($B$5:$B$135,"=6764",D$5:D$136)</f>
        <v>243.72839506172841</v>
      </c>
      <c r="E182" s="980">
        <f t="shared" si="103"/>
        <v>235.72839506172841</v>
      </c>
      <c r="F182" s="980">
        <f t="shared" si="103"/>
        <v>152.44753086419752</v>
      </c>
      <c r="G182" s="165">
        <f t="shared" si="103"/>
        <v>177.77777777777777</v>
      </c>
      <c r="H182" s="165">
        <f t="shared" si="103"/>
        <v>177.77777777777777</v>
      </c>
      <c r="I182" s="165">
        <f t="shared" si="103"/>
        <v>237.03703703703704</v>
      </c>
      <c r="J182" s="165">
        <f t="shared" si="103"/>
        <v>118.51851851851852</v>
      </c>
      <c r="K182" s="165">
        <f t="shared" si="103"/>
        <v>118.51851851851852</v>
      </c>
      <c r="L182" s="165">
        <f t="shared" si="103"/>
        <v>59.25925925925926</v>
      </c>
      <c r="M182" s="165">
        <f t="shared" si="103"/>
        <v>59.25925925925926</v>
      </c>
      <c r="N182" s="165">
        <f t="shared" si="103"/>
        <v>59.25925925925926</v>
      </c>
      <c r="O182" s="165">
        <f t="shared" si="103"/>
        <v>0</v>
      </c>
      <c r="P182" s="165">
        <f>SUMIF($B$5:$B$135,"=6764",P$5:P$136)</f>
        <v>1639.3117283950619</v>
      </c>
      <c r="Q182" s="165">
        <f>SUMIF($B$5:$B$135,"=6764",Q$5:Q$136)</f>
        <v>3034.8950617283954</v>
      </c>
      <c r="R182" s="15"/>
      <c r="S182" s="9"/>
      <c r="T182" s="165">
        <v>276.22222222222223</v>
      </c>
      <c r="U182" s="212"/>
    </row>
    <row r="183" spans="2:21">
      <c r="C183" s="1" t="s">
        <v>167</v>
      </c>
      <c r="D183" s="980">
        <f t="shared" ref="D183:O183" si="104">SUMIF($B$5:$B$135,"=3985",D$5:D$136)</f>
        <v>580.89416666666671</v>
      </c>
      <c r="E183" s="980">
        <f t="shared" si="104"/>
        <v>1180.1633333333334</v>
      </c>
      <c r="F183" s="847">
        <f t="shared" si="104"/>
        <v>789.6452702702702</v>
      </c>
      <c r="G183" s="165">
        <f t="shared" si="104"/>
        <v>906.41277641277645</v>
      </c>
      <c r="H183" s="165">
        <f t="shared" si="104"/>
        <v>978.36855036855047</v>
      </c>
      <c r="I183" s="165">
        <f t="shared" si="104"/>
        <v>1118.2334152334154</v>
      </c>
      <c r="J183" s="165">
        <f t="shared" si="104"/>
        <v>586.82063882063881</v>
      </c>
      <c r="K183" s="165">
        <f t="shared" si="104"/>
        <v>535</v>
      </c>
      <c r="L183" s="165">
        <f t="shared" si="104"/>
        <v>225</v>
      </c>
      <c r="M183" s="165">
        <f t="shared" si="104"/>
        <v>0</v>
      </c>
      <c r="N183" s="165">
        <f t="shared" si="104"/>
        <v>160</v>
      </c>
      <c r="O183" s="165">
        <f t="shared" si="104"/>
        <v>0</v>
      </c>
      <c r="P183" s="165">
        <f>SUMIF($B$5:$B$135,"=3985",P$5:P$136)</f>
        <v>7060.5381511056512</v>
      </c>
      <c r="Q183" s="165">
        <f>SUMIF($B$5:$B$135,"=3985",Q$5:Q$136)</f>
        <v>13540.182135544637</v>
      </c>
      <c r="R183" s="15"/>
      <c r="S183" s="9"/>
      <c r="T183" s="165">
        <v>4023.5809909909913</v>
      </c>
      <c r="U183" s="212"/>
    </row>
    <row r="184" spans="2:21">
      <c r="C184" s="415" t="s">
        <v>168</v>
      </c>
      <c r="D184" s="416">
        <f>SUM(D171:D183)</f>
        <v>7467.233737487888</v>
      </c>
      <c r="E184" s="416">
        <f t="shared" ref="E184:O184" si="105">SUM(E171:E183)</f>
        <v>8131.2691464127747</v>
      </c>
      <c r="F184" s="416">
        <f t="shared" si="105"/>
        <v>9947.380099289132</v>
      </c>
      <c r="G184" s="416">
        <f t="shared" si="105"/>
        <v>7312.9944394660624</v>
      </c>
      <c r="H184" s="416">
        <f t="shared" si="105"/>
        <v>14920.492023842782</v>
      </c>
      <c r="I184" s="416">
        <f t="shared" si="105"/>
        <v>9099.1139558459618</v>
      </c>
      <c r="J184" s="416">
        <f t="shared" si="105"/>
        <v>7510.898110183698</v>
      </c>
      <c r="K184" s="416">
        <f t="shared" si="105"/>
        <v>8046.6913291431874</v>
      </c>
      <c r="L184" s="416">
        <f t="shared" si="105"/>
        <v>6230.7952692623276</v>
      </c>
      <c r="M184" s="416">
        <f t="shared" si="105"/>
        <v>7398.5070688353035</v>
      </c>
      <c r="N184" s="416">
        <f t="shared" si="105"/>
        <v>8158.8826699335523</v>
      </c>
      <c r="O184" s="416">
        <f t="shared" si="105"/>
        <v>5236.9038126331188</v>
      </c>
      <c r="P184" s="416">
        <f>SUM(P171:P183)</f>
        <v>96570.560617841053</v>
      </c>
      <c r="Q184" s="416">
        <f>SUM(Q171:Q183)</f>
        <v>185972.58284133152</v>
      </c>
      <c r="R184" s="416">
        <f t="shared" ref="R184" si="106">SUM(R171:R180)</f>
        <v>-79485.05719143241</v>
      </c>
      <c r="S184" s="414">
        <f t="shared" si="85"/>
        <v>-0.42740201795900012</v>
      </c>
      <c r="T184" s="416">
        <v>93176.019790937411</v>
      </c>
      <c r="U184" s="416">
        <f t="shared" ref="U184" si="107">SUM(U171:U180)</f>
        <v>0</v>
      </c>
    </row>
    <row r="185" spans="2:21">
      <c r="C185" s="1">
        <v>3910</v>
      </c>
      <c r="D185" s="165">
        <f>SUMIF($B$5:$B$135,"=3910",D$5:D$136)</f>
        <v>195.13928571428573</v>
      </c>
      <c r="E185" s="165">
        <f t="shared" ref="E185:O185" si="108">SUMIF($B$5:$B$135,"=3910",E$5:E$136)</f>
        <v>116.56211180124222</v>
      </c>
      <c r="F185" s="165">
        <f t="shared" si="108"/>
        <v>0.86956521739130432</v>
      </c>
      <c r="G185" s="165">
        <f t="shared" si="108"/>
        <v>283.94501035196686</v>
      </c>
      <c r="H185" s="165">
        <f t="shared" si="108"/>
        <v>609.52795031055894</v>
      </c>
      <c r="I185" s="165">
        <f t="shared" si="108"/>
        <v>1838.2852173913038</v>
      </c>
      <c r="J185" s="165">
        <f t="shared" si="108"/>
        <v>1526.6583850931677</v>
      </c>
      <c r="K185" s="165">
        <f t="shared" si="108"/>
        <v>498.82236024844718</v>
      </c>
      <c r="L185" s="165">
        <f t="shared" si="108"/>
        <v>310.20124223602483</v>
      </c>
      <c r="M185" s="165">
        <f t="shared" si="108"/>
        <v>192.54360248447205</v>
      </c>
      <c r="N185" s="165">
        <f t="shared" si="108"/>
        <v>404.91627329192545</v>
      </c>
      <c r="O185" s="165">
        <f t="shared" si="108"/>
        <v>62.111801242236027</v>
      </c>
      <c r="P185" s="165">
        <f>SUMIF($B$5:$B$135,"=3910",P$5:P$136)</f>
        <v>6039.5828053830228</v>
      </c>
      <c r="Q185" s="165">
        <f>SUMIF($B$5:$B$135,"=3910",Q$5:Q$136)</f>
        <v>11884.02632505176</v>
      </c>
      <c r="R185" s="8"/>
      <c r="S185" s="96"/>
      <c r="T185" s="165">
        <v>2655.44503968254</v>
      </c>
    </row>
    <row r="186" spans="2:21">
      <c r="C186" s="1" t="s">
        <v>140</v>
      </c>
      <c r="D186" s="15">
        <f>D116-D185</f>
        <v>3086.6210826210827</v>
      </c>
      <c r="E186" s="15">
        <f t="shared" ref="E186:O186" si="109">E116-E185</f>
        <v>3630.566346616346</v>
      </c>
      <c r="F186" s="15">
        <f t="shared" si="109"/>
        <v>3903.3693903133899</v>
      </c>
      <c r="G186" s="15">
        <f t="shared" si="109"/>
        <v>6942.9391159951165</v>
      </c>
      <c r="H186" s="15">
        <f t="shared" si="109"/>
        <v>4337.6744880339738</v>
      </c>
      <c r="I186" s="15">
        <f t="shared" si="109"/>
        <v>4110.819804195804</v>
      </c>
      <c r="J186" s="15">
        <f t="shared" si="109"/>
        <v>3310.3429446289938</v>
      </c>
      <c r="K186" s="15">
        <f t="shared" si="109"/>
        <v>3978.2881766832993</v>
      </c>
      <c r="L186" s="15">
        <f t="shared" si="109"/>
        <v>2464.8263776404265</v>
      </c>
      <c r="M186" s="15">
        <f t="shared" si="109"/>
        <v>2728.2000643042593</v>
      </c>
      <c r="N186" s="15">
        <f t="shared" si="109"/>
        <v>1089.8835564435567</v>
      </c>
      <c r="O186" s="15">
        <f t="shared" si="109"/>
        <v>667.25415384615394</v>
      </c>
      <c r="P186" s="15">
        <f>P116-P185</f>
        <v>40250.785501322403</v>
      </c>
      <c r="Q186" s="15">
        <f>Q116-Q185</f>
        <v>77414.949920023719</v>
      </c>
      <c r="R186" s="8">
        <f t="shared" si="84"/>
        <v>-37164.164418701315</v>
      </c>
      <c r="S186" s="9">
        <f t="shared" si="85"/>
        <v>-0.48006443790372638</v>
      </c>
      <c r="T186" s="15">
        <v>60397.032913722083</v>
      </c>
    </row>
    <row r="187" spans="2:21">
      <c r="C187" s="417" t="s">
        <v>169</v>
      </c>
      <c r="D187" s="418">
        <f>SUM(D184:D186,D170)</f>
        <v>44587.197442715689</v>
      </c>
      <c r="E187" s="418">
        <f t="shared" ref="E187:O187" si="110">SUM(E184:E186,E170)</f>
        <v>54334.515267437193</v>
      </c>
      <c r="F187" s="418">
        <f t="shared" si="110"/>
        <v>63868.721597704054</v>
      </c>
      <c r="G187" s="418">
        <f t="shared" si="110"/>
        <v>59264.611449987911</v>
      </c>
      <c r="H187" s="418">
        <f t="shared" si="110"/>
        <v>60080.086299164177</v>
      </c>
      <c r="I187" s="418">
        <f t="shared" si="110"/>
        <v>54767.839765129029</v>
      </c>
      <c r="J187" s="418">
        <f t="shared" si="110"/>
        <v>54488.770927277154</v>
      </c>
      <c r="K187" s="418">
        <f t="shared" si="110"/>
        <v>56590.063401947555</v>
      </c>
      <c r="L187" s="418">
        <f t="shared" si="110"/>
        <v>45085.473200708737</v>
      </c>
      <c r="M187" s="418">
        <f t="shared" si="110"/>
        <v>43105.022670607359</v>
      </c>
      <c r="N187" s="418">
        <f t="shared" si="110"/>
        <v>30798.695047437446</v>
      </c>
      <c r="O187" s="418">
        <f t="shared" si="110"/>
        <v>25908.718461762761</v>
      </c>
      <c r="P187" s="418">
        <f>SUM(P184:P186,P170)</f>
        <v>589989.11448738421</v>
      </c>
      <c r="Q187" s="418">
        <f>SUM(Q184:Q186,Q170)</f>
        <v>1135689.7268751902</v>
      </c>
      <c r="R187" s="419">
        <f t="shared" si="84"/>
        <v>-545700.61238780594</v>
      </c>
      <c r="S187" s="420">
        <f t="shared" si="85"/>
        <v>-0.48050149567636025</v>
      </c>
      <c r="T187" s="418">
        <v>606898.8346386702</v>
      </c>
    </row>
    <row r="188" spans="2:21">
      <c r="C188" s="163"/>
      <c r="D188" s="164"/>
      <c r="E188" s="164"/>
      <c r="F188" s="164"/>
      <c r="G188" s="164">
        <f>G187*3%</f>
        <v>1777.9383434996373</v>
      </c>
      <c r="H188" s="164">
        <f t="shared" ref="H188:J188" si="111">H187*3%</f>
        <v>1802.4025889749253</v>
      </c>
      <c r="I188" s="164">
        <f t="shared" si="111"/>
        <v>1643.0351929538708</v>
      </c>
      <c r="J188" s="164">
        <f t="shared" si="111"/>
        <v>1634.6631278183145</v>
      </c>
      <c r="K188" s="164"/>
      <c r="L188" s="164"/>
      <c r="M188" s="164"/>
      <c r="N188" s="164"/>
      <c r="O188" s="164"/>
      <c r="P188" s="164"/>
      <c r="Q188" s="164"/>
      <c r="R188" s="8"/>
      <c r="S188" s="9"/>
      <c r="T188" s="62"/>
    </row>
    <row r="189" spans="2:21">
      <c r="C189" s="163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8"/>
      <c r="S189" s="9"/>
      <c r="T189" s="62"/>
    </row>
    <row r="190" spans="2:21">
      <c r="C190" s="163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8"/>
      <c r="S190" s="9"/>
      <c r="T190" s="62"/>
    </row>
    <row r="191" spans="2:21">
      <c r="C191" s="863"/>
      <c r="D191" s="864"/>
      <c r="E191" s="864"/>
      <c r="F191" s="864"/>
      <c r="G191" s="864"/>
      <c r="H191" s="864"/>
      <c r="I191" s="164"/>
      <c r="J191" s="164"/>
      <c r="K191" s="164"/>
      <c r="L191" s="164"/>
      <c r="M191" s="164"/>
      <c r="N191" s="164"/>
      <c r="O191" s="164"/>
      <c r="P191" s="164"/>
      <c r="Q191" s="164"/>
      <c r="R191" s="8"/>
      <c r="S191" s="9"/>
      <c r="T191" s="62"/>
    </row>
    <row r="192" spans="2:21">
      <c r="C192" s="860"/>
      <c r="D192" s="861" t="s">
        <v>68</v>
      </c>
      <c r="E192" s="861" t="s">
        <v>69</v>
      </c>
      <c r="F192" s="861" t="s">
        <v>70</v>
      </c>
      <c r="G192" s="861" t="s">
        <v>71</v>
      </c>
      <c r="H192" s="861" t="s">
        <v>72</v>
      </c>
    </row>
    <row r="193" spans="2:18">
      <c r="C193" s="860" t="s">
        <v>192</v>
      </c>
      <c r="D193" s="862">
        <f>D197/31</f>
        <v>1422.1984390123341</v>
      </c>
      <c r="E193" s="862">
        <f>E197/31</f>
        <v>1713.4178312076515</v>
      </c>
      <c r="F193" s="862">
        <f t="shared" ref="F193:O193" si="112">F197/31</f>
        <v>2012.0697827216361</v>
      </c>
      <c r="G193" s="862">
        <f t="shared" si="112"/>
        <v>1896.8971435479971</v>
      </c>
      <c r="H193" s="862">
        <f t="shared" si="112"/>
        <v>1913.639558037554</v>
      </c>
      <c r="I193" s="15">
        <f t="shared" si="112"/>
        <v>1736.9754762944849</v>
      </c>
      <c r="J193" s="15">
        <f t="shared" si="112"/>
        <v>1742.8377718476499</v>
      </c>
      <c r="K193" s="15">
        <f t="shared" si="112"/>
        <v>1766.0278516757276</v>
      </c>
      <c r="L193" s="15">
        <f t="shared" si="112"/>
        <v>1409.7765548615721</v>
      </c>
      <c r="M193" s="15">
        <f t="shared" si="112"/>
        <v>1345.89105389056</v>
      </c>
      <c r="N193" s="15">
        <f t="shared" si="112"/>
        <v>947.15790475604672</v>
      </c>
      <c r="O193" s="15">
        <f t="shared" si="112"/>
        <v>791.17156328266969</v>
      </c>
    </row>
    <row r="194" spans="2:18">
      <c r="C194" s="860" t="s">
        <v>193</v>
      </c>
      <c r="D194" s="862">
        <f>D198/31</f>
        <v>1153.4296685137135</v>
      </c>
      <c r="E194" s="862">
        <f>E198/31</f>
        <v>1299.7922433631772</v>
      </c>
      <c r="F194" s="862">
        <f t="shared" ref="F194:O194" si="113">F198/31</f>
        <v>1758.398284340085</v>
      </c>
      <c r="G194" s="862">
        <f t="shared" si="113"/>
        <v>1692.3005597239855</v>
      </c>
      <c r="H194" s="862">
        <f t="shared" si="113"/>
        <v>1978.5223848013982</v>
      </c>
      <c r="I194" s="15">
        <f t="shared" si="113"/>
        <v>2151.3827233882243</v>
      </c>
      <c r="J194" s="15">
        <f t="shared" si="113"/>
        <v>1931.5095875814338</v>
      </c>
      <c r="K194" s="15">
        <f t="shared" si="113"/>
        <v>1794.8883152214362</v>
      </c>
      <c r="L194" s="15">
        <f t="shared" si="113"/>
        <v>1591.8076329751811</v>
      </c>
      <c r="M194" s="15">
        <f t="shared" si="113"/>
        <v>1305.2200552511715</v>
      </c>
      <c r="N194" s="15">
        <f t="shared" si="113"/>
        <v>1270.0000986171556</v>
      </c>
      <c r="O194" s="15">
        <f t="shared" si="113"/>
        <v>1132.6891408832071</v>
      </c>
    </row>
    <row r="195" spans="2:18">
      <c r="C195" s="860" t="s">
        <v>194</v>
      </c>
      <c r="D195" s="862">
        <f>D193-D194</f>
        <v>268.7687704986206</v>
      </c>
      <c r="E195" s="862">
        <f>E193-E194</f>
        <v>413.62558784447424</v>
      </c>
      <c r="F195" s="862">
        <f>F193-F194</f>
        <v>253.67149838155115</v>
      </c>
      <c r="G195" s="862">
        <f>G193-G194</f>
        <v>204.59658382401153</v>
      </c>
      <c r="H195" s="862">
        <f>H193-H194</f>
        <v>-64.88282676384415</v>
      </c>
    </row>
    <row r="196" spans="2:18" ht="13.5" thickBot="1">
      <c r="B196" s="1" t="s">
        <v>195</v>
      </c>
      <c r="D196" s="865" t="str">
        <f t="shared" ref="D196:O196" si="114">D166</f>
        <v>Jan</v>
      </c>
      <c r="E196" s="865" t="str">
        <f t="shared" si="114"/>
        <v>Feb</v>
      </c>
      <c r="F196" s="865" t="str">
        <f t="shared" si="114"/>
        <v>Mar</v>
      </c>
      <c r="G196" s="865" t="str">
        <f t="shared" si="114"/>
        <v>Apr</v>
      </c>
      <c r="H196" s="865" t="str">
        <f t="shared" si="114"/>
        <v>May</v>
      </c>
      <c r="I196" s="202" t="str">
        <f t="shared" si="114"/>
        <v>Jun</v>
      </c>
      <c r="J196" s="202" t="str">
        <f t="shared" si="114"/>
        <v>Jul</v>
      </c>
      <c r="K196" s="202" t="str">
        <f t="shared" si="114"/>
        <v>Aug</v>
      </c>
      <c r="L196" s="202" t="str">
        <f t="shared" si="114"/>
        <v>Sep</v>
      </c>
      <c r="M196" s="202" t="str">
        <f t="shared" si="114"/>
        <v>Oct</v>
      </c>
      <c r="N196" s="202" t="str">
        <f t="shared" si="114"/>
        <v>Nov</v>
      </c>
      <c r="O196" s="202" t="str">
        <f t="shared" si="114"/>
        <v>Dec</v>
      </c>
    </row>
    <row r="197" spans="2:18">
      <c r="C197" s="233" t="s">
        <v>196</v>
      </c>
      <c r="D197" s="205">
        <f>D187-D74</f>
        <v>44088.151609382359</v>
      </c>
      <c r="E197" s="205">
        <f t="shared" ref="E197:N197" si="115">E187-E74</f>
        <v>53115.952767437193</v>
      </c>
      <c r="F197" s="205">
        <f>F187-F74</f>
        <v>62374.16326437072</v>
      </c>
      <c r="G197" s="205">
        <f t="shared" si="115"/>
        <v>58803.811449987908</v>
      </c>
      <c r="H197" s="205">
        <f>H187-H74</f>
        <v>59322.826299164175</v>
      </c>
      <c r="I197" s="205">
        <f t="shared" si="115"/>
        <v>53846.23976512903</v>
      </c>
      <c r="J197" s="205">
        <f t="shared" si="115"/>
        <v>54027.970927277151</v>
      </c>
      <c r="K197" s="205">
        <f t="shared" si="115"/>
        <v>54746.863401947558</v>
      </c>
      <c r="L197" s="205">
        <f t="shared" si="115"/>
        <v>43703.073200708735</v>
      </c>
      <c r="M197" s="205">
        <f t="shared" si="115"/>
        <v>41722.622670607358</v>
      </c>
      <c r="N197" s="205">
        <f t="shared" si="115"/>
        <v>29361.895047437447</v>
      </c>
      <c r="O197" s="205">
        <f>O187-O74</f>
        <v>24526.318461762759</v>
      </c>
      <c r="P197" s="15">
        <f>SUM(D197:O197)</f>
        <v>579639.88886521233</v>
      </c>
      <c r="R197" s="2" t="s">
        <v>197</v>
      </c>
    </row>
    <row r="198" spans="2:18" ht="13.5" thickBot="1">
      <c r="C198" s="234" t="s">
        <v>12</v>
      </c>
      <c r="D198" s="203">
        <f>SUM('MRF3 Demand'!U4:U1202)</f>
        <v>35756.319723925117</v>
      </c>
      <c r="E198" s="203">
        <f>SUM('MRF3 Demand'!V4:V1202)</f>
        <v>40293.559544258496</v>
      </c>
      <c r="F198" s="203">
        <f>SUM('MRF3 Demand'!W4:W1202)</f>
        <v>54510.34681454263</v>
      </c>
      <c r="G198" s="203">
        <f>SUM('MRF3 Demand'!X4:X1202)</f>
        <v>52461.317351443555</v>
      </c>
      <c r="H198" s="203">
        <f>SUM('MRF3 Demand'!Y4:Y1202)</f>
        <v>61334.193928843342</v>
      </c>
      <c r="I198" s="203">
        <f>SUM('MRF3 Demand'!Z4:Z1202)</f>
        <v>66692.864425034961</v>
      </c>
      <c r="J198" s="203">
        <f>SUM('MRF3 Demand'!AA4:AA1202)</f>
        <v>59876.797215024446</v>
      </c>
      <c r="K198" s="203">
        <f>SUM('MRF3 Demand'!AB4:AB1202)</f>
        <v>55641.537771864525</v>
      </c>
      <c r="L198" s="203">
        <f>SUM('MRF3 Demand'!AC4:AC1202)</f>
        <v>49346.036622230618</v>
      </c>
      <c r="M198" s="203">
        <f>SUM('MRF3 Demand'!AD4:AD1202)</f>
        <v>40461.821712786317</v>
      </c>
      <c r="N198" s="203">
        <f>SUM('MRF3 Demand'!AE4:AE1202)</f>
        <v>39370.00305713182</v>
      </c>
      <c r="O198" s="203">
        <f>SUM('MRF3 Demand'!AF4:AF1202)</f>
        <v>35113.363367379417</v>
      </c>
      <c r="P198" s="15">
        <f>SUM(D198:O198)</f>
        <v>590858.16153446515</v>
      </c>
    </row>
    <row r="199" spans="2:18">
      <c r="B199" s="162" t="s">
        <v>198</v>
      </c>
      <c r="C199" s="232">
        <v>100000</v>
      </c>
      <c r="D199" s="388">
        <f>C199+D197-D198</f>
        <v>108331.83188545724</v>
      </c>
      <c r="E199" s="388">
        <f t="shared" ref="E199" si="116">D199+E197-E198</f>
        <v>121154.22510863593</v>
      </c>
      <c r="F199" s="388">
        <f t="shared" ref="F199" si="117">E199+F197-F198</f>
        <v>129018.04155846403</v>
      </c>
      <c r="G199" s="388">
        <f t="shared" ref="G199:I199" si="118">F199+G197-G198</f>
        <v>135360.53565700838</v>
      </c>
      <c r="H199" s="388">
        <f t="shared" si="118"/>
        <v>133349.16802732923</v>
      </c>
      <c r="I199" s="388">
        <f t="shared" si="118"/>
        <v>120502.54336742329</v>
      </c>
      <c r="J199" s="388">
        <f>I199+J197-J198</f>
        <v>114653.71707967599</v>
      </c>
      <c r="K199" s="388">
        <f t="shared" ref="K199:O199" si="119">J199+K197-K198</f>
        <v>113759.042709759</v>
      </c>
      <c r="L199" s="388">
        <f t="shared" si="119"/>
        <v>108116.07928823713</v>
      </c>
      <c r="M199" s="388">
        <f t="shared" si="119"/>
        <v>109376.88024605818</v>
      </c>
      <c r="N199" s="388">
        <f t="shared" si="119"/>
        <v>99368.772236363802</v>
      </c>
      <c r="O199" s="388">
        <f t="shared" si="119"/>
        <v>88781.727330747148</v>
      </c>
    </row>
    <row r="200" spans="2:18">
      <c r="C200" s="387"/>
      <c r="D200" s="387"/>
      <c r="E200" s="387"/>
      <c r="F200" s="387"/>
      <c r="G200" s="387"/>
      <c r="H200" s="387"/>
      <c r="I200" s="387"/>
      <c r="J200" s="387"/>
      <c r="K200" s="387"/>
      <c r="L200" s="387"/>
      <c r="M200" s="387"/>
      <c r="N200" s="387"/>
      <c r="O200" s="387"/>
    </row>
    <row r="201" spans="2:18" ht="20.100000000000001" customHeight="1">
      <c r="C201" s="387"/>
      <c r="D201" s="387"/>
      <c r="E201" s="387"/>
      <c r="F201" s="387"/>
      <c r="G201" s="387"/>
      <c r="H201" s="387"/>
      <c r="I201" s="387"/>
      <c r="J201" s="387"/>
      <c r="K201" s="387"/>
      <c r="L201" s="387"/>
      <c r="M201" s="387"/>
      <c r="N201" s="387"/>
      <c r="O201" s="387"/>
    </row>
    <row r="202" spans="2:18" ht="20.100000000000001" customHeight="1">
      <c r="B202" s="162" t="s">
        <v>1327</v>
      </c>
      <c r="C202" s="42">
        <v>98150</v>
      </c>
      <c r="D202" s="42">
        <v>106607.31941825397</v>
      </c>
      <c r="E202" s="42">
        <v>122458.7794545886</v>
      </c>
      <c r="F202" s="42">
        <v>138878.46303535043</v>
      </c>
      <c r="G202" s="42">
        <v>143306.18049804808</v>
      </c>
      <c r="H202" s="42">
        <v>140173.03050489564</v>
      </c>
      <c r="I202" s="42">
        <v>127397.75634019161</v>
      </c>
      <c r="J202" s="42">
        <v>121614.42698673124</v>
      </c>
      <c r="K202" s="42">
        <v>121197.51787562479</v>
      </c>
      <c r="L202" s="42">
        <v>114845.72721130271</v>
      </c>
      <c r="M202" s="42">
        <v>113242.61924619193</v>
      </c>
      <c r="N202" s="42">
        <v>103517.08801274566</v>
      </c>
      <c r="O202" s="42">
        <v>89480.738545830915</v>
      </c>
    </row>
    <row r="203" spans="2:18" ht="20.100000000000001" customHeight="1">
      <c r="B203" s="162" t="s">
        <v>1311</v>
      </c>
      <c r="C203" s="42">
        <v>98150</v>
      </c>
      <c r="D203" s="42">
        <v>109867.45104771297</v>
      </c>
      <c r="E203" s="42">
        <v>128643.41948806519</v>
      </c>
      <c r="F203" s="42">
        <v>139659.61332104672</v>
      </c>
      <c r="G203" s="42">
        <v>142817.89427380811</v>
      </c>
      <c r="H203" s="42">
        <v>141822.07132634797</v>
      </c>
      <c r="I203" s="42">
        <v>134526.72239063549</v>
      </c>
      <c r="J203" s="42">
        <v>129944.30013100816</v>
      </c>
      <c r="K203" s="42">
        <v>128721.41305057105</v>
      </c>
      <c r="L203" s="42">
        <v>128706.32737939479</v>
      </c>
      <c r="M203" s="42">
        <v>128927.08275359047</v>
      </c>
      <c r="N203" s="42">
        <v>118485.34819414938</v>
      </c>
      <c r="O203" s="42">
        <v>109901.74820018066</v>
      </c>
    </row>
    <row r="204" spans="2:18">
      <c r="B204" s="162" t="s">
        <v>1264</v>
      </c>
      <c r="C204" s="1050">
        <v>98000</v>
      </c>
      <c r="D204" s="1051">
        <v>113121</v>
      </c>
      <c r="E204" s="1051">
        <v>132799</v>
      </c>
      <c r="F204" s="1051">
        <v>137068</v>
      </c>
      <c r="G204" s="1051">
        <v>135200</v>
      </c>
      <c r="H204" s="1051">
        <v>123761</v>
      </c>
      <c r="I204" s="1051">
        <v>105263</v>
      </c>
      <c r="J204" s="1051">
        <v>98144</v>
      </c>
      <c r="K204" s="1051">
        <v>93579</v>
      </c>
      <c r="L204" s="1051">
        <v>93758</v>
      </c>
      <c r="M204" s="1051">
        <v>97635</v>
      </c>
      <c r="N204" s="1051">
        <v>97049</v>
      </c>
      <c r="O204" s="1051">
        <v>85615</v>
      </c>
    </row>
    <row r="205" spans="2:18" ht="10.15" customHeight="1">
      <c r="C205" s="387"/>
      <c r="D205" s="387">
        <f>D199-D203</f>
        <v>-1535.6191622557235</v>
      </c>
      <c r="E205" s="387">
        <f>E199-E203</f>
        <v>-7489.1943794292602</v>
      </c>
      <c r="F205" s="387">
        <f t="shared" ref="F205:O205" si="120">F199-F203</f>
        <v>-10641.571762582695</v>
      </c>
      <c r="G205" s="387">
        <f t="shared" si="120"/>
        <v>-7457.3586167997273</v>
      </c>
      <c r="H205" s="387">
        <f t="shared" si="120"/>
        <v>-8472.9032990187407</v>
      </c>
      <c r="I205" s="387">
        <f t="shared" si="120"/>
        <v>-14024.1790232122</v>
      </c>
      <c r="J205" s="387">
        <f t="shared" si="120"/>
        <v>-15290.583051332171</v>
      </c>
      <c r="K205" s="387">
        <f t="shared" si="120"/>
        <v>-14962.370340812049</v>
      </c>
      <c r="L205" s="387">
        <f t="shared" si="120"/>
        <v>-20590.248091157657</v>
      </c>
      <c r="M205" s="387">
        <f t="shared" si="120"/>
        <v>-19550.202507532289</v>
      </c>
      <c r="N205" s="387">
        <f t="shared" si="120"/>
        <v>-19116.575957785579</v>
      </c>
      <c r="O205" s="387">
        <f t="shared" si="120"/>
        <v>-21120.020869433516</v>
      </c>
    </row>
    <row r="206" spans="2:18">
      <c r="C206" s="236"/>
      <c r="D206" s="834"/>
      <c r="E206" s="834"/>
      <c r="F206" s="834"/>
      <c r="G206" s="834"/>
      <c r="H206" s="834"/>
      <c r="I206" s="834"/>
      <c r="J206" s="834"/>
      <c r="K206" s="834"/>
      <c r="L206" s="834"/>
      <c r="M206" s="834"/>
      <c r="N206" s="834"/>
      <c r="O206" s="834"/>
    </row>
    <row r="207" spans="2:18"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2:18"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3:17" ht="13.5" thickBot="1">
      <c r="C209" s="316" t="s">
        <v>38</v>
      </c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 spans="3:17">
      <c r="C210" s="318"/>
      <c r="D210" s="202" t="str">
        <f>D196</f>
        <v>Jan</v>
      </c>
      <c r="E210" s="202" t="str">
        <f t="shared" ref="E210:O210" si="121">E196</f>
        <v>Feb</v>
      </c>
      <c r="F210" s="202" t="str">
        <f t="shared" si="121"/>
        <v>Mar</v>
      </c>
      <c r="G210" s="202" t="str">
        <f t="shared" si="121"/>
        <v>Apr</v>
      </c>
      <c r="H210" s="202" t="str">
        <f t="shared" si="121"/>
        <v>May</v>
      </c>
      <c r="I210" s="202" t="str">
        <f t="shared" si="121"/>
        <v>Jun</v>
      </c>
      <c r="J210" s="202" t="str">
        <f t="shared" si="121"/>
        <v>Jul</v>
      </c>
      <c r="K210" s="202" t="str">
        <f t="shared" si="121"/>
        <v>Aug</v>
      </c>
      <c r="L210" s="202" t="str">
        <f t="shared" si="121"/>
        <v>Sep</v>
      </c>
      <c r="M210" s="202" t="str">
        <f t="shared" si="121"/>
        <v>Oct</v>
      </c>
      <c r="N210" s="202" t="str">
        <f t="shared" si="121"/>
        <v>Nov</v>
      </c>
      <c r="O210" s="202" t="str">
        <f t="shared" si="121"/>
        <v>Dec</v>
      </c>
    </row>
    <row r="211" spans="3:17">
      <c r="C211" s="319" t="s">
        <v>199</v>
      </c>
      <c r="D211" s="13">
        <v>-1458</v>
      </c>
      <c r="E211" s="13">
        <v>-2535</v>
      </c>
      <c r="F211" s="13">
        <v>-3438.9916666666668</v>
      </c>
      <c r="G211" s="13">
        <v>-3207.7691666666669</v>
      </c>
      <c r="H211" s="13">
        <v>-3833.5791666666664</v>
      </c>
      <c r="I211" s="13">
        <v>-6154.8191666666671</v>
      </c>
      <c r="J211" s="13">
        <v>-8308.8816666666662</v>
      </c>
      <c r="K211" s="13">
        <v>-6688.7275</v>
      </c>
      <c r="L211" s="13">
        <v>-1525.5400000000004</v>
      </c>
      <c r="M211" s="13">
        <v>-1430.9108333333338</v>
      </c>
      <c r="N211" s="13">
        <v>-1341.6191666666671</v>
      </c>
      <c r="O211" s="13">
        <v>-1261.2650000000003</v>
      </c>
      <c r="Q211" s="13"/>
    </row>
    <row r="212" spans="3:17">
      <c r="C212" s="319" t="s">
        <v>200</v>
      </c>
      <c r="D212" s="13">
        <v>-2000</v>
      </c>
      <c r="E212" s="13">
        <v>-2000</v>
      </c>
      <c r="F212" s="13">
        <v>-2000</v>
      </c>
      <c r="G212" s="13">
        <v>-2000</v>
      </c>
      <c r="H212" s="13">
        <v>-2000</v>
      </c>
      <c r="I212" s="13">
        <v>-2000</v>
      </c>
      <c r="J212" s="13">
        <v>-2000</v>
      </c>
      <c r="K212" s="13">
        <v>-2000</v>
      </c>
      <c r="L212" s="13">
        <v>-2000</v>
      </c>
      <c r="M212" s="13">
        <v>-2000</v>
      </c>
      <c r="N212" s="13">
        <v>-2000</v>
      </c>
      <c r="O212" s="13">
        <v>-1000</v>
      </c>
      <c r="Q212" s="13"/>
    </row>
    <row r="213" spans="3:17">
      <c r="C213" s="319" t="s">
        <v>1345</v>
      </c>
      <c r="D213" s="13">
        <v>-2446</v>
      </c>
      <c r="E213" s="13">
        <v>-1240</v>
      </c>
      <c r="F213" s="13">
        <v>-1500</v>
      </c>
      <c r="G213" s="13">
        <v>-1000</v>
      </c>
      <c r="H213" s="13">
        <v>-1000</v>
      </c>
      <c r="I213" s="13">
        <v>-1000</v>
      </c>
      <c r="J213" s="13">
        <v>-2000</v>
      </c>
      <c r="K213" s="13">
        <v>-2000</v>
      </c>
      <c r="L213" s="13">
        <v>-2000</v>
      </c>
      <c r="M213" s="13">
        <v>-2000</v>
      </c>
      <c r="N213" s="13">
        <v>-2000</v>
      </c>
      <c r="O213" s="13">
        <v>-2000</v>
      </c>
      <c r="Q213" s="13"/>
    </row>
    <row r="214" spans="3:17">
      <c r="C214" s="319" t="s">
        <v>1346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Q214" s="13"/>
    </row>
    <row r="215" spans="3:17">
      <c r="C215" s="319" t="s">
        <v>1347</v>
      </c>
      <c r="M215" s="320"/>
      <c r="N215" s="320"/>
      <c r="O215" s="321"/>
      <c r="Q215" s="13"/>
    </row>
    <row r="216" spans="3:17" ht="13.5" thickBot="1">
      <c r="C216" s="322" t="s">
        <v>38</v>
      </c>
      <c r="D216" s="323"/>
      <c r="E216" s="32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Q216" s="13"/>
    </row>
    <row r="217" spans="3:17">
      <c r="C217" s="316" t="s">
        <v>202</v>
      </c>
      <c r="D217" s="317">
        <f>SUM(D211:D216)</f>
        <v>-5904</v>
      </c>
      <c r="E217" s="317">
        <f t="shared" ref="E217:O217" si="122">SUM(E211:E216)</f>
        <v>-5775</v>
      </c>
      <c r="F217" s="317">
        <f t="shared" si="122"/>
        <v>-6938.9916666666668</v>
      </c>
      <c r="G217" s="317">
        <f t="shared" si="122"/>
        <v>-6207.7691666666669</v>
      </c>
      <c r="H217" s="317">
        <f t="shared" si="122"/>
        <v>-6833.5791666666664</v>
      </c>
      <c r="I217" s="317">
        <f t="shared" si="122"/>
        <v>-9154.819166666668</v>
      </c>
      <c r="J217" s="317">
        <f t="shared" si="122"/>
        <v>-12308.881666666666</v>
      </c>
      <c r="K217" s="317">
        <f t="shared" si="122"/>
        <v>-10688.727500000001</v>
      </c>
      <c r="L217" s="317">
        <f t="shared" si="122"/>
        <v>-5525.5400000000009</v>
      </c>
      <c r="M217" s="317">
        <f t="shared" si="122"/>
        <v>-5430.9108333333334</v>
      </c>
      <c r="N217" s="317">
        <f t="shared" si="122"/>
        <v>-5341.6191666666673</v>
      </c>
      <c r="O217" s="317">
        <f t="shared" si="122"/>
        <v>-4261.2650000000003</v>
      </c>
      <c r="Q217" s="13"/>
    </row>
    <row r="219" spans="3:17">
      <c r="D219" s="202" t="s">
        <v>68</v>
      </c>
      <c r="E219" s="202" t="s">
        <v>69</v>
      </c>
      <c r="F219" s="202" t="s">
        <v>70</v>
      </c>
      <c r="G219" s="202" t="s">
        <v>71</v>
      </c>
      <c r="H219" s="202" t="s">
        <v>72</v>
      </c>
      <c r="I219" s="202" t="s">
        <v>73</v>
      </c>
      <c r="J219" s="202" t="s">
        <v>74</v>
      </c>
      <c r="K219" s="202" t="s">
        <v>75</v>
      </c>
      <c r="L219" s="202" t="s">
        <v>76</v>
      </c>
      <c r="M219" s="202" t="s">
        <v>77</v>
      </c>
      <c r="N219" s="202" t="s">
        <v>78</v>
      </c>
      <c r="O219" s="202" t="s">
        <v>79</v>
      </c>
    </row>
    <row r="220" spans="3:17">
      <c r="C220" s="1" t="s">
        <v>1318</v>
      </c>
      <c r="D220" s="13">
        <f>D199+D217</f>
        <v>102427.83188545724</v>
      </c>
      <c r="E220" s="13">
        <f t="shared" ref="E220:N220" si="123">E199+E217</f>
        <v>115379.22510863593</v>
      </c>
      <c r="F220" s="13">
        <f t="shared" si="123"/>
        <v>122079.04989179736</v>
      </c>
      <c r="G220" s="13">
        <f t="shared" si="123"/>
        <v>129152.76649034172</v>
      </c>
      <c r="H220" s="13">
        <f t="shared" si="123"/>
        <v>126515.58886066257</v>
      </c>
      <c r="I220" s="13">
        <f t="shared" si="123"/>
        <v>111347.72420075662</v>
      </c>
      <c r="J220" s="13">
        <f t="shared" si="123"/>
        <v>102344.83541300932</v>
      </c>
      <c r="K220" s="13">
        <f t="shared" si="123"/>
        <v>103070.31520975899</v>
      </c>
      <c r="L220" s="13">
        <f t="shared" si="123"/>
        <v>102590.53928823714</v>
      </c>
      <c r="M220" s="13">
        <f t="shared" si="123"/>
        <v>103945.96941272485</v>
      </c>
      <c r="N220" s="13">
        <f t="shared" si="123"/>
        <v>94027.153069697131</v>
      </c>
      <c r="O220" s="13">
        <f>O199+O217</f>
        <v>84520.462330747148</v>
      </c>
    </row>
    <row r="221" spans="3:17" ht="13.5" thickBot="1"/>
    <row r="222" spans="3:17">
      <c r="C222" s="438" t="s">
        <v>203</v>
      </c>
      <c r="D222" s="440"/>
      <c r="E222" s="440"/>
      <c r="F222" s="440"/>
      <c r="G222" s="440"/>
      <c r="H222" s="440"/>
      <c r="I222" s="440"/>
      <c r="J222" s="440"/>
      <c r="K222" s="440"/>
      <c r="L222" s="440"/>
      <c r="M222" s="440"/>
      <c r="N222" s="440"/>
      <c r="O222" s="435"/>
    </row>
    <row r="223" spans="3:17">
      <c r="C223" s="319" t="s">
        <v>1317</v>
      </c>
      <c r="O223" s="436"/>
    </row>
    <row r="224" spans="3:17" ht="13.5" thickBot="1">
      <c r="C224" s="319" t="s">
        <v>201</v>
      </c>
      <c r="D224" s="323"/>
      <c r="E224" s="323"/>
      <c r="F224" s="323"/>
      <c r="G224" s="323"/>
      <c r="H224" s="323"/>
      <c r="I224" s="323"/>
      <c r="J224" s="323"/>
      <c r="K224" s="323"/>
      <c r="L224" s="323"/>
      <c r="M224" s="323"/>
      <c r="N224" s="323"/>
      <c r="O224" s="437"/>
    </row>
    <row r="227" spans="4:15">
      <c r="D227" s="848"/>
      <c r="E227" s="849"/>
      <c r="F227" s="849"/>
      <c r="G227" s="849"/>
      <c r="H227" s="849"/>
      <c r="I227" s="849"/>
      <c r="J227" s="849"/>
      <c r="K227" s="849"/>
      <c r="L227" s="849"/>
      <c r="M227" s="849"/>
      <c r="N227" s="849"/>
      <c r="O227" s="849"/>
    </row>
    <row r="228" spans="4:15">
      <c r="D228" s="848"/>
      <c r="E228" s="849"/>
      <c r="F228" s="849"/>
      <c r="G228" s="849"/>
      <c r="H228" s="849"/>
      <c r="I228" s="849"/>
      <c r="J228" s="849"/>
      <c r="K228" s="849"/>
      <c r="L228" s="849"/>
      <c r="M228" s="849"/>
      <c r="N228" s="849"/>
      <c r="O228" s="849"/>
    </row>
    <row r="229" spans="4:15">
      <c r="D229" s="848"/>
      <c r="E229" s="849"/>
      <c r="F229" s="849"/>
      <c r="G229" s="849"/>
      <c r="H229" s="849"/>
      <c r="I229" s="849"/>
      <c r="J229" s="849"/>
      <c r="K229" s="849"/>
      <c r="L229" s="849"/>
      <c r="M229" s="849"/>
      <c r="N229" s="849"/>
      <c r="O229" s="849"/>
    </row>
    <row r="233" spans="4:15">
      <c r="D233" s="13">
        <v>40713.971804036293</v>
      </c>
      <c r="E233" s="13">
        <v>43465.606194459637</v>
      </c>
      <c r="F233" s="13">
        <v>53055.791464291658</v>
      </c>
      <c r="G233" s="13">
        <v>56897.98809930541</v>
      </c>
      <c r="H233" s="13">
        <v>60352.413608023955</v>
      </c>
      <c r="I233" s="13">
        <v>65103.466784264012</v>
      </c>
      <c r="J233" s="13">
        <v>61728.63857260278</v>
      </c>
      <c r="K233" s="13">
        <v>58025.342558868484</v>
      </c>
      <c r="L233" s="13">
        <v>45792.397710747588</v>
      </c>
      <c r="M233" s="13">
        <v>44332.775102241685</v>
      </c>
      <c r="N233" s="13">
        <v>42958.045604620456</v>
      </c>
      <c r="O233" s="13">
        <v>38500.923160492261</v>
      </c>
    </row>
    <row r="234" spans="4:15">
      <c r="D234" s="15">
        <f>D198-D233</f>
        <v>-4957.6520801111765</v>
      </c>
      <c r="E234" s="15">
        <f>E198-E233</f>
        <v>-3172.0466502011404</v>
      </c>
    </row>
  </sheetData>
  <mergeCells count="7">
    <mergeCell ref="C121:O121"/>
    <mergeCell ref="C43:O43"/>
    <mergeCell ref="C55:O55"/>
    <mergeCell ref="C92:O92"/>
    <mergeCell ref="C3:O3"/>
    <mergeCell ref="C16:O16"/>
    <mergeCell ref="C24:O2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DACC-A79A-43F1-B965-36F797515227}">
  <sheetPr codeName="Sheet5"/>
  <dimension ref="A1:G15"/>
  <sheetViews>
    <sheetView workbookViewId="0">
      <selection activeCell="H12" sqref="H12"/>
    </sheetView>
  </sheetViews>
  <sheetFormatPr defaultRowHeight="15"/>
  <cols>
    <col min="1" max="1" width="11.5703125" customWidth="1"/>
    <col min="2" max="2" width="10.42578125" bestFit="1" customWidth="1"/>
    <col min="3" max="3" width="29.5703125" customWidth="1"/>
    <col min="7" max="7" width="12.5703125" bestFit="1" customWidth="1"/>
  </cols>
  <sheetData>
    <row r="1" spans="1:7">
      <c r="B1" t="s">
        <v>204</v>
      </c>
      <c r="C1" t="s">
        <v>205</v>
      </c>
    </row>
    <row r="2" spans="1:7">
      <c r="A2" s="283" t="s">
        <v>206</v>
      </c>
      <c r="B2" s="283">
        <v>2</v>
      </c>
    </row>
    <row r="3" spans="1:7">
      <c r="A3" s="283" t="s">
        <v>207</v>
      </c>
      <c r="B3" s="283">
        <v>2</v>
      </c>
    </row>
    <row r="4" spans="1:7">
      <c r="A4" s="283" t="s">
        <v>208</v>
      </c>
      <c r="B4" s="283">
        <v>2</v>
      </c>
    </row>
    <row r="5" spans="1:7">
      <c r="A5" s="283" t="s">
        <v>209</v>
      </c>
      <c r="B5" s="283">
        <v>2</v>
      </c>
    </row>
    <row r="6" spans="1:7">
      <c r="A6" s="283" t="s">
        <v>210</v>
      </c>
      <c r="B6" s="283">
        <v>2</v>
      </c>
    </row>
    <row r="7" spans="1:7">
      <c r="A7" s="283" t="s">
        <v>211</v>
      </c>
      <c r="B7" s="283">
        <v>2</v>
      </c>
      <c r="E7" s="58"/>
    </row>
    <row r="8" spans="1:7" ht="23.85" customHeight="1" thickBot="1">
      <c r="A8" s="283" t="s">
        <v>212</v>
      </c>
      <c r="B8" s="283">
        <v>2</v>
      </c>
    </row>
    <row r="9" spans="1:7" ht="23.85" customHeight="1">
      <c r="A9" s="283" t="s">
        <v>213</v>
      </c>
      <c r="B9" s="283">
        <v>2</v>
      </c>
      <c r="C9" s="1099" t="s">
        <v>214</v>
      </c>
    </row>
    <row r="10" spans="1:7" ht="23.85" customHeight="1">
      <c r="A10" s="283" t="s">
        <v>215</v>
      </c>
      <c r="B10" s="283">
        <v>2</v>
      </c>
      <c r="C10" s="1100"/>
      <c r="G10" s="56">
        <v>120000</v>
      </c>
    </row>
    <row r="11" spans="1:7" ht="23.85" customHeight="1" thickBot="1">
      <c r="A11" s="283" t="s">
        <v>216</v>
      </c>
      <c r="B11" s="283">
        <v>11</v>
      </c>
      <c r="C11" s="1101"/>
      <c r="G11" s="56">
        <v>46</v>
      </c>
    </row>
    <row r="12" spans="1:7">
      <c r="G12" s="56">
        <f>G10*G11</f>
        <v>5520000</v>
      </c>
    </row>
    <row r="14" spans="1:7">
      <c r="A14">
        <v>24.7</v>
      </c>
      <c r="B14" s="283">
        <v>336</v>
      </c>
      <c r="C14" s="56">
        <f>B14/7</f>
        <v>48</v>
      </c>
    </row>
    <row r="15" spans="1:7">
      <c r="A15">
        <v>24.5</v>
      </c>
      <c r="B15">
        <v>239</v>
      </c>
      <c r="C15" s="56">
        <f>B15/5</f>
        <v>47.8</v>
      </c>
    </row>
  </sheetData>
  <mergeCells count="1">
    <mergeCell ref="C9:C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6E70-0B0F-41C2-B389-EF534F4FAEDC}">
  <dimension ref="A2:BC31"/>
  <sheetViews>
    <sheetView zoomScale="70" zoomScaleNormal="70" workbookViewId="0">
      <selection activeCell="N31" sqref="N31:R31"/>
    </sheetView>
  </sheetViews>
  <sheetFormatPr defaultRowHeight="15"/>
  <cols>
    <col min="1" max="1" width="29.140625" bestFit="1" customWidth="1"/>
    <col min="2" max="2" width="21.7109375" bestFit="1" customWidth="1"/>
    <col min="3" max="3" width="14.28515625" bestFit="1" customWidth="1"/>
    <col min="4" max="5" width="14.5703125" bestFit="1" customWidth="1"/>
    <col min="6" max="6" width="13.85546875" bestFit="1" customWidth="1"/>
    <col min="7" max="7" width="14.5703125" bestFit="1" customWidth="1"/>
    <col min="8" max="10" width="15" bestFit="1" customWidth="1"/>
    <col min="11" max="11" width="14.28515625" bestFit="1" customWidth="1"/>
    <col min="12" max="12" width="14.5703125" bestFit="1" customWidth="1"/>
    <col min="13" max="13" width="15" bestFit="1" customWidth="1"/>
    <col min="14" max="15" width="14.5703125" bestFit="1" customWidth="1"/>
    <col min="16" max="16" width="15" bestFit="1" customWidth="1"/>
    <col min="17" max="17" width="14.5703125" bestFit="1" customWidth="1"/>
    <col min="18" max="20" width="15" bestFit="1" customWidth="1"/>
    <col min="21" max="21" width="14.28515625" bestFit="1" customWidth="1"/>
    <col min="22" max="24" width="14.5703125" bestFit="1" customWidth="1"/>
    <col min="25" max="26" width="12.85546875" bestFit="1" customWidth="1"/>
    <col min="27" max="27" width="12.42578125" bestFit="1" customWidth="1"/>
    <col min="28" max="28" width="15" bestFit="1" customWidth="1"/>
    <col min="29" max="30" width="12.85546875" bestFit="1" customWidth="1"/>
    <col min="31" max="31" width="12.42578125" bestFit="1" customWidth="1"/>
    <col min="32" max="33" width="14.5703125" bestFit="1" customWidth="1"/>
    <col min="34" max="35" width="12.42578125" bestFit="1" customWidth="1"/>
    <col min="36" max="36" width="12.85546875" bestFit="1" customWidth="1"/>
    <col min="37" max="37" width="14.5703125" bestFit="1" customWidth="1"/>
    <col min="38" max="39" width="12.85546875" bestFit="1" customWidth="1"/>
    <col min="40" max="40" width="12" bestFit="1" customWidth="1"/>
    <col min="41" max="41" width="15" bestFit="1" customWidth="1"/>
    <col min="42" max="42" width="12.42578125" bestFit="1" customWidth="1"/>
    <col min="43" max="43" width="12.85546875" bestFit="1" customWidth="1"/>
    <col min="44" max="44" width="11.5703125" bestFit="1" customWidth="1"/>
    <col min="45" max="45" width="12.42578125" bestFit="1" customWidth="1"/>
    <col min="46" max="46" width="15" bestFit="1" customWidth="1"/>
    <col min="47" max="47" width="12.85546875" bestFit="1" customWidth="1"/>
    <col min="48" max="48" width="12.42578125" bestFit="1" customWidth="1"/>
    <col min="49" max="49" width="12.85546875" bestFit="1" customWidth="1"/>
    <col min="50" max="50" width="15" bestFit="1" customWidth="1"/>
    <col min="51" max="53" width="12.42578125" bestFit="1" customWidth="1"/>
    <col min="54" max="54" width="9.5703125" bestFit="1" customWidth="1"/>
    <col min="55" max="55" width="16.85546875" bestFit="1" customWidth="1"/>
  </cols>
  <sheetData>
    <row r="2" spans="1:55">
      <c r="A2" s="57" t="s">
        <v>218</v>
      </c>
      <c r="B2" t="s">
        <v>55</v>
      </c>
    </row>
    <row r="3" spans="1:55">
      <c r="A3" s="57" t="s">
        <v>219</v>
      </c>
      <c r="B3" t="s">
        <v>55</v>
      </c>
    </row>
    <row r="4" spans="1:55">
      <c r="A4" s="57" t="s">
        <v>221</v>
      </c>
      <c r="B4" t="s">
        <v>55</v>
      </c>
    </row>
    <row r="6" spans="1:55">
      <c r="A6" s="57" t="s">
        <v>1312</v>
      </c>
      <c r="B6" s="57" t="s">
        <v>14</v>
      </c>
    </row>
    <row r="7" spans="1:55" s="1049" customFormat="1">
      <c r="A7" s="57" t="s">
        <v>17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 t="s">
        <v>228</v>
      </c>
      <c r="BC7" t="s">
        <v>47</v>
      </c>
    </row>
    <row r="8" spans="1:55" s="1049" customFormat="1">
      <c r="A8" s="58">
        <v>1352</v>
      </c>
      <c r="B8" s="50">
        <v>6558</v>
      </c>
      <c r="C8" s="50">
        <v>422199</v>
      </c>
      <c r="D8" s="50">
        <v>378831</v>
      </c>
      <c r="E8" s="50">
        <v>570048</v>
      </c>
      <c r="F8" s="50">
        <v>250821</v>
      </c>
      <c r="G8" s="50">
        <v>514878</v>
      </c>
      <c r="H8" s="50">
        <v>524005</v>
      </c>
      <c r="I8" s="50">
        <v>574789</v>
      </c>
      <c r="J8" s="50">
        <v>484447</v>
      </c>
      <c r="K8" s="50">
        <v>522882</v>
      </c>
      <c r="L8" s="50">
        <v>600074</v>
      </c>
      <c r="M8" s="50">
        <v>540537.56000000006</v>
      </c>
      <c r="N8" s="50">
        <v>540842.22</v>
      </c>
      <c r="O8" s="50">
        <v>467269.20000000007</v>
      </c>
      <c r="P8" s="50">
        <v>533971.20000000007</v>
      </c>
      <c r="Q8" s="50">
        <v>571877.19999999995</v>
      </c>
      <c r="R8" s="50">
        <v>606920.80000000005</v>
      </c>
      <c r="S8" s="50">
        <v>550058.23999999999</v>
      </c>
      <c r="T8" s="50">
        <v>529813.67999999993</v>
      </c>
      <c r="U8" s="50">
        <v>515345.67999999993</v>
      </c>
      <c r="V8" s="50">
        <v>549784.64</v>
      </c>
      <c r="W8" s="50">
        <v>394974.24</v>
      </c>
      <c r="X8" s="50">
        <v>1920029.2685714287</v>
      </c>
      <c r="Y8" s="50"/>
      <c r="Z8" s="50"/>
      <c r="AA8" s="50"/>
      <c r="AB8" s="50">
        <v>2059217.76</v>
      </c>
      <c r="AC8" s="50"/>
      <c r="AD8" s="50"/>
      <c r="AE8" s="50"/>
      <c r="AF8" s="50">
        <v>1239290.7428571428</v>
      </c>
      <c r="AG8" s="50">
        <v>935341.5</v>
      </c>
      <c r="AH8" s="50"/>
      <c r="AI8" s="50"/>
      <c r="AJ8" s="50"/>
      <c r="AK8" s="50">
        <v>1520181.8354285713</v>
      </c>
      <c r="AL8" s="50"/>
      <c r="AM8" s="50"/>
      <c r="AN8" s="50"/>
      <c r="AO8" s="50">
        <v>1485089.8845714284</v>
      </c>
      <c r="AP8" s="50"/>
      <c r="AQ8" s="50"/>
      <c r="AR8" s="50"/>
      <c r="AS8" s="50"/>
      <c r="AT8" s="50">
        <v>932656.18800000008</v>
      </c>
      <c r="AU8" s="50"/>
      <c r="AV8" s="50"/>
      <c r="AW8" s="50"/>
      <c r="AX8" s="50">
        <v>614198.68800000008</v>
      </c>
      <c r="AY8" s="50"/>
      <c r="AZ8" s="50"/>
      <c r="BA8" s="50"/>
      <c r="BB8" s="50"/>
      <c r="BC8" s="50">
        <v>21356932.527428579</v>
      </c>
    </row>
    <row r="9" spans="1:55" s="1049" customFormat="1">
      <c r="A9" s="58">
        <v>1712</v>
      </c>
      <c r="B9" s="50"/>
      <c r="C9" s="50">
        <v>31396</v>
      </c>
      <c r="D9" s="50">
        <v>149533</v>
      </c>
      <c r="E9" s="50">
        <v>67384</v>
      </c>
      <c r="F9" s="50">
        <v>63710</v>
      </c>
      <c r="G9" s="50">
        <v>259517</v>
      </c>
      <c r="H9" s="50">
        <v>45933</v>
      </c>
      <c r="I9" s="50">
        <v>109872</v>
      </c>
      <c r="J9" s="50"/>
      <c r="K9" s="50">
        <v>77268</v>
      </c>
      <c r="L9" s="50">
        <v>282010</v>
      </c>
      <c r="M9" s="50">
        <v>39585</v>
      </c>
      <c r="N9" s="50">
        <v>163796.12</v>
      </c>
      <c r="O9" s="50">
        <v>129724.80000000002</v>
      </c>
      <c r="P9" s="50">
        <v>43449.599999999999</v>
      </c>
      <c r="Q9" s="50">
        <v>62117.760000000002</v>
      </c>
      <c r="R9" s="50">
        <v>37876.799999999996</v>
      </c>
      <c r="S9" s="50">
        <v>160766.39999999999</v>
      </c>
      <c r="T9" s="50">
        <v>27686.400000000001</v>
      </c>
      <c r="U9" s="50">
        <v>103214.39999999999</v>
      </c>
      <c r="V9" s="50">
        <v>43551.360000000001</v>
      </c>
      <c r="W9" s="50">
        <v>323851.2</v>
      </c>
      <c r="X9" s="50">
        <v>143490.23999999999</v>
      </c>
      <c r="Y9" s="50">
        <v>273408</v>
      </c>
      <c r="Z9" s="50">
        <v>725.76</v>
      </c>
      <c r="AA9" s="50">
        <v>98457.600000000006</v>
      </c>
      <c r="AB9" s="50">
        <v>65188.800000000003</v>
      </c>
      <c r="AC9" s="50">
        <v>98366.399999999994</v>
      </c>
      <c r="AD9" s="50">
        <v>163593.60000000001</v>
      </c>
      <c r="AE9" s="50">
        <v>77284.800000000003</v>
      </c>
      <c r="AF9" s="50">
        <v>65227.199999999997</v>
      </c>
      <c r="AG9" s="50">
        <v>77208</v>
      </c>
      <c r="AH9" s="50">
        <v>498182.40000000002</v>
      </c>
      <c r="AI9" s="50">
        <v>54562.559999999998</v>
      </c>
      <c r="AJ9" s="50">
        <v>52473.600000000006</v>
      </c>
      <c r="AK9" s="50">
        <v>29505.599999999999</v>
      </c>
      <c r="AL9" s="50">
        <v>77232</v>
      </c>
      <c r="AM9" s="50">
        <v>334627.20000000001</v>
      </c>
      <c r="AN9" s="50">
        <v>25992</v>
      </c>
      <c r="AO9" s="50">
        <v>29347.200000000001</v>
      </c>
      <c r="AP9" s="50">
        <v>9892.7999999999993</v>
      </c>
      <c r="AQ9" s="50">
        <v>417441.6</v>
      </c>
      <c r="AR9" s="50">
        <v>5702.4</v>
      </c>
      <c r="AS9" s="50">
        <v>67257.600000000006</v>
      </c>
      <c r="AT9" s="50">
        <v>30033.599999999999</v>
      </c>
      <c r="AU9" s="50">
        <v>121737.60000000001</v>
      </c>
      <c r="AV9" s="50">
        <v>289440</v>
      </c>
      <c r="AW9" s="50">
        <v>39926.400000000001</v>
      </c>
      <c r="AX9" s="50">
        <v>57364.799999999996</v>
      </c>
      <c r="AY9" s="50">
        <v>5702.4</v>
      </c>
      <c r="AZ9" s="50">
        <v>350517.12</v>
      </c>
      <c r="BA9" s="50">
        <v>34224</v>
      </c>
      <c r="BB9" s="50"/>
      <c r="BC9" s="50">
        <v>5816356.1199999992</v>
      </c>
    </row>
    <row r="10" spans="1:55" s="1049" customFormat="1">
      <c r="A10" s="58">
        <v>1713</v>
      </c>
      <c r="B10" s="50"/>
      <c r="C10" s="50"/>
      <c r="D10" s="50"/>
      <c r="E10" s="50">
        <v>99</v>
      </c>
      <c r="F10" s="50"/>
      <c r="G10" s="50"/>
      <c r="H10" s="50">
        <v>17600</v>
      </c>
      <c r="I10" s="50">
        <v>3179</v>
      </c>
      <c r="J10" s="50"/>
      <c r="K10" s="50"/>
      <c r="L10" s="50"/>
      <c r="M10" s="50"/>
      <c r="N10" s="50"/>
      <c r="O10" s="50"/>
      <c r="P10" s="50"/>
      <c r="Q10" s="50">
        <v>3456</v>
      </c>
      <c r="R10" s="50"/>
      <c r="S10" s="50"/>
      <c r="T10" s="50"/>
      <c r="U10" s="50"/>
      <c r="V10" s="50"/>
      <c r="W10" s="50"/>
      <c r="X10" s="50">
        <v>14784</v>
      </c>
      <c r="Y10" s="50"/>
      <c r="Z10" s="50">
        <v>2112</v>
      </c>
      <c r="AA10" s="50"/>
      <c r="AB10" s="50">
        <v>4224</v>
      </c>
      <c r="AC10" s="50">
        <v>4224</v>
      </c>
      <c r="AD10" s="50"/>
      <c r="AE10" s="50">
        <v>4224</v>
      </c>
      <c r="AF10" s="50">
        <v>2112</v>
      </c>
      <c r="AG10" s="50">
        <v>2112</v>
      </c>
      <c r="AH10" s="50">
        <v>2112</v>
      </c>
      <c r="AI10" s="50">
        <v>2112</v>
      </c>
      <c r="AJ10" s="50">
        <v>2112</v>
      </c>
      <c r="AK10" s="50"/>
      <c r="AL10" s="50">
        <v>4224</v>
      </c>
      <c r="AM10" s="50">
        <v>2112</v>
      </c>
      <c r="AN10" s="50"/>
      <c r="AO10" s="50">
        <v>4224</v>
      </c>
      <c r="AP10" s="50"/>
      <c r="AQ10" s="50">
        <v>2112</v>
      </c>
      <c r="AR10" s="50"/>
      <c r="AS10" s="50">
        <v>4224</v>
      </c>
      <c r="AT10" s="50">
        <v>2112</v>
      </c>
      <c r="AU10" s="50">
        <v>2112</v>
      </c>
      <c r="AV10" s="50"/>
      <c r="AW10" s="50"/>
      <c r="AX10" s="50"/>
      <c r="AY10" s="50"/>
      <c r="AZ10" s="50"/>
      <c r="BA10" s="50"/>
      <c r="BB10" s="50"/>
      <c r="BC10" s="50">
        <v>85582</v>
      </c>
    </row>
    <row r="11" spans="1:55" s="1049" customFormat="1">
      <c r="A11" s="58">
        <v>1715</v>
      </c>
      <c r="B11" s="50">
        <v>15119</v>
      </c>
      <c r="C11" s="50">
        <v>4950</v>
      </c>
      <c r="D11" s="50">
        <v>105669</v>
      </c>
      <c r="E11" s="50">
        <v>24714</v>
      </c>
      <c r="F11" s="50">
        <v>8856</v>
      </c>
      <c r="G11" s="50">
        <v>12854</v>
      </c>
      <c r="H11" s="50">
        <v>49075</v>
      </c>
      <c r="I11" s="50"/>
      <c r="J11" s="50">
        <v>32422</v>
      </c>
      <c r="K11" s="50">
        <v>62432</v>
      </c>
      <c r="L11" s="50">
        <v>51935</v>
      </c>
      <c r="M11" s="50">
        <v>11880</v>
      </c>
      <c r="N11" s="50">
        <v>19406</v>
      </c>
      <c r="O11" s="50">
        <v>0</v>
      </c>
      <c r="P11" s="50"/>
      <c r="Q11" s="50">
        <v>184880.64000000001</v>
      </c>
      <c r="R11" s="50"/>
      <c r="S11" s="50"/>
      <c r="T11" s="50">
        <v>478800</v>
      </c>
      <c r="U11" s="50">
        <v>241680</v>
      </c>
      <c r="V11" s="50">
        <v>100800</v>
      </c>
      <c r="W11" s="50">
        <v>75600</v>
      </c>
      <c r="X11" s="50">
        <v>100800</v>
      </c>
      <c r="Y11" s="50">
        <v>75600</v>
      </c>
      <c r="Z11" s="50">
        <v>100800</v>
      </c>
      <c r="AA11" s="50">
        <v>75600</v>
      </c>
      <c r="AB11" s="50">
        <v>25200</v>
      </c>
      <c r="AC11" s="50">
        <v>100800</v>
      </c>
      <c r="AD11" s="50">
        <v>75600</v>
      </c>
      <c r="AE11" s="50">
        <v>50400</v>
      </c>
      <c r="AF11" s="50">
        <v>100800</v>
      </c>
      <c r="AG11" s="50">
        <v>25200</v>
      </c>
      <c r="AH11" s="50">
        <v>50400</v>
      </c>
      <c r="AI11" s="50">
        <v>75600</v>
      </c>
      <c r="AJ11" s="50">
        <v>126000</v>
      </c>
      <c r="AK11" s="50">
        <v>50400</v>
      </c>
      <c r="AL11" s="50">
        <v>25200</v>
      </c>
      <c r="AM11" s="50">
        <v>50400</v>
      </c>
      <c r="AN11" s="50">
        <v>100800</v>
      </c>
      <c r="AO11" s="50">
        <v>50400</v>
      </c>
      <c r="AP11" s="50">
        <v>25200</v>
      </c>
      <c r="AQ11" s="50">
        <v>50400</v>
      </c>
      <c r="AR11" s="50">
        <v>100800</v>
      </c>
      <c r="AS11" s="50">
        <v>25200</v>
      </c>
      <c r="AT11" s="50">
        <v>50400</v>
      </c>
      <c r="AU11" s="50">
        <v>75600</v>
      </c>
      <c r="AV11" s="50">
        <v>75600</v>
      </c>
      <c r="AW11" s="50">
        <v>25200</v>
      </c>
      <c r="AX11" s="50">
        <v>25200</v>
      </c>
      <c r="AY11" s="50">
        <v>25200</v>
      </c>
      <c r="AZ11" s="50">
        <v>75600</v>
      </c>
      <c r="BA11" s="50">
        <v>25200</v>
      </c>
      <c r="BB11" s="50"/>
      <c r="BC11" s="50">
        <v>3320672.64</v>
      </c>
    </row>
    <row r="12" spans="1:55" s="1049" customFormat="1">
      <c r="A12" s="58">
        <v>1716</v>
      </c>
      <c r="B12" s="50"/>
      <c r="C12" s="50">
        <v>183565</v>
      </c>
      <c r="D12" s="50">
        <v>52235</v>
      </c>
      <c r="E12" s="50"/>
      <c r="F12" s="50">
        <v>141495</v>
      </c>
      <c r="G12" s="50">
        <v>68921</v>
      </c>
      <c r="H12" s="50"/>
      <c r="I12" s="50">
        <v>63136</v>
      </c>
      <c r="J12" s="50">
        <v>287545</v>
      </c>
      <c r="K12" s="50">
        <v>133169</v>
      </c>
      <c r="L12" s="50">
        <v>13048</v>
      </c>
      <c r="M12" s="50">
        <v>132935</v>
      </c>
      <c r="N12" s="50">
        <v>147301.44</v>
      </c>
      <c r="O12" s="50">
        <v>210096.96</v>
      </c>
      <c r="P12" s="50"/>
      <c r="Q12" s="50">
        <v>166359.35999999999</v>
      </c>
      <c r="R12" s="50">
        <v>209288.64</v>
      </c>
      <c r="S12" s="50">
        <v>49803.839999999997</v>
      </c>
      <c r="T12" s="50">
        <v>257965.44</v>
      </c>
      <c r="U12" s="50">
        <v>481344</v>
      </c>
      <c r="V12" s="50"/>
      <c r="W12" s="50">
        <v>26880</v>
      </c>
      <c r="X12" s="50">
        <v>26880</v>
      </c>
      <c r="Y12" s="50"/>
      <c r="Z12" s="50">
        <v>104640</v>
      </c>
      <c r="AA12" s="50">
        <v>26880</v>
      </c>
      <c r="AB12" s="50">
        <v>107520</v>
      </c>
      <c r="AC12" s="50">
        <v>158400</v>
      </c>
      <c r="AD12" s="50">
        <v>134400</v>
      </c>
      <c r="AE12" s="50"/>
      <c r="AF12" s="50">
        <v>77760</v>
      </c>
      <c r="AG12" s="50">
        <v>107520</v>
      </c>
      <c r="AH12" s="50">
        <v>26880</v>
      </c>
      <c r="AI12" s="50">
        <v>131520</v>
      </c>
      <c r="AJ12" s="50">
        <v>26880</v>
      </c>
      <c r="AK12" s="50">
        <v>26880</v>
      </c>
      <c r="AL12" s="50">
        <v>104640</v>
      </c>
      <c r="AM12" s="50">
        <v>107520</v>
      </c>
      <c r="AN12" s="50">
        <v>74880</v>
      </c>
      <c r="AO12" s="50">
        <v>53760</v>
      </c>
      <c r="AP12" s="50">
        <v>53760</v>
      </c>
      <c r="AQ12" s="50">
        <v>53760</v>
      </c>
      <c r="AR12" s="50">
        <v>26880</v>
      </c>
      <c r="AS12" s="50">
        <v>77760</v>
      </c>
      <c r="AT12" s="50">
        <v>273596</v>
      </c>
      <c r="AU12" s="50"/>
      <c r="AV12" s="50">
        <v>77760</v>
      </c>
      <c r="AW12" s="50">
        <v>80640</v>
      </c>
      <c r="AX12" s="50">
        <v>26880</v>
      </c>
      <c r="AY12" s="50">
        <v>80640</v>
      </c>
      <c r="AZ12" s="50">
        <v>24000</v>
      </c>
      <c r="BA12" s="50">
        <v>26880</v>
      </c>
      <c r="BB12" s="50"/>
      <c r="BC12" s="50">
        <v>4724604.68</v>
      </c>
    </row>
    <row r="13" spans="1:55" s="1049" customFormat="1">
      <c r="A13" s="58">
        <v>1717</v>
      </c>
      <c r="B13" s="50">
        <v>32304</v>
      </c>
      <c r="C13" s="50">
        <v>40374</v>
      </c>
      <c r="D13" s="50"/>
      <c r="E13" s="50">
        <v>47623</v>
      </c>
      <c r="F13" s="50">
        <v>189276</v>
      </c>
      <c r="G13" s="50">
        <v>91040</v>
      </c>
      <c r="H13" s="50">
        <v>103674</v>
      </c>
      <c r="I13" s="50"/>
      <c r="J13" s="50">
        <v>28282</v>
      </c>
      <c r="K13" s="50">
        <v>19571</v>
      </c>
      <c r="L13" s="50">
        <v>50055</v>
      </c>
      <c r="M13" s="50">
        <v>33643.879999999997</v>
      </c>
      <c r="N13" s="50">
        <v>47074.44</v>
      </c>
      <c r="O13" s="50">
        <v>45275.519999999997</v>
      </c>
      <c r="P13" s="50">
        <v>33336.959999999999</v>
      </c>
      <c r="Q13" s="50"/>
      <c r="R13" s="50">
        <v>6000.96</v>
      </c>
      <c r="S13" s="50">
        <v>30002.879999999997</v>
      </c>
      <c r="T13" s="50">
        <v>35202.239999999998</v>
      </c>
      <c r="U13" s="50">
        <v>5333.76</v>
      </c>
      <c r="V13" s="50"/>
      <c r="W13" s="50">
        <v>14001.6</v>
      </c>
      <c r="X13" s="50">
        <v>29335.68</v>
      </c>
      <c r="Y13" s="50"/>
      <c r="Z13" s="50">
        <v>121842.23999999999</v>
      </c>
      <c r="AA13" s="50"/>
      <c r="AB13" s="50">
        <v>0</v>
      </c>
      <c r="AC13" s="50"/>
      <c r="AD13" s="50">
        <v>164640</v>
      </c>
      <c r="AE13" s="50"/>
      <c r="AF13" s="50"/>
      <c r="AG13" s="50">
        <v>0</v>
      </c>
      <c r="AH13" s="50"/>
      <c r="AI13" s="50">
        <v>68160</v>
      </c>
      <c r="AJ13" s="50"/>
      <c r="AK13" s="50">
        <v>0</v>
      </c>
      <c r="AL13" s="50"/>
      <c r="AM13" s="50">
        <v>68160</v>
      </c>
      <c r="AN13" s="50"/>
      <c r="AO13" s="50">
        <v>0</v>
      </c>
      <c r="AP13" s="50"/>
      <c r="AQ13" s="50">
        <v>50400</v>
      </c>
      <c r="AR13" s="50"/>
      <c r="AS13" s="50"/>
      <c r="AT13" s="50">
        <v>183693</v>
      </c>
      <c r="AU13" s="50"/>
      <c r="AV13" s="50">
        <v>36000</v>
      </c>
      <c r="AW13" s="50"/>
      <c r="AX13" s="50">
        <v>0</v>
      </c>
      <c r="AY13" s="50"/>
      <c r="AZ13" s="50">
        <v>78720</v>
      </c>
      <c r="BA13" s="50"/>
      <c r="BB13" s="50"/>
      <c r="BC13" s="50">
        <v>1653022.1600000001</v>
      </c>
    </row>
    <row r="14" spans="1:55">
      <c r="A14" s="58">
        <v>2904</v>
      </c>
      <c r="B14" s="50">
        <v>17523</v>
      </c>
      <c r="C14" s="50">
        <v>764125</v>
      </c>
      <c r="D14" s="50">
        <v>790722</v>
      </c>
      <c r="E14" s="50">
        <v>889761</v>
      </c>
      <c r="F14" s="50">
        <v>597218</v>
      </c>
      <c r="G14" s="50">
        <v>892456</v>
      </c>
      <c r="H14" s="50">
        <v>996159</v>
      </c>
      <c r="I14" s="50">
        <v>935264</v>
      </c>
      <c r="J14" s="50">
        <v>963251</v>
      </c>
      <c r="K14" s="50">
        <v>995528</v>
      </c>
      <c r="L14" s="50">
        <v>1000147</v>
      </c>
      <c r="M14" s="50">
        <v>1049194.8399999999</v>
      </c>
      <c r="N14" s="50">
        <v>746813.25</v>
      </c>
      <c r="O14" s="50">
        <v>708740</v>
      </c>
      <c r="P14" s="50">
        <v>1131641</v>
      </c>
      <c r="Q14" s="50">
        <v>964396</v>
      </c>
      <c r="R14" s="50">
        <v>1053292</v>
      </c>
      <c r="S14" s="50">
        <v>1132347</v>
      </c>
      <c r="T14" s="50">
        <v>1038588</v>
      </c>
      <c r="U14" s="50">
        <v>1090284</v>
      </c>
      <c r="V14" s="50">
        <v>1001828</v>
      </c>
      <c r="W14" s="50">
        <v>695700</v>
      </c>
      <c r="X14" s="50">
        <v>3758157.6571428566</v>
      </c>
      <c r="Y14" s="50"/>
      <c r="Z14" s="50"/>
      <c r="AA14" s="50"/>
      <c r="AB14" s="50">
        <v>3895057.25</v>
      </c>
      <c r="AC14" s="50"/>
      <c r="AD14" s="50"/>
      <c r="AE14" s="50"/>
      <c r="AF14" s="50">
        <v>2746629.6971428576</v>
      </c>
      <c r="AG14" s="50">
        <v>1261457.5</v>
      </c>
      <c r="AH14" s="50"/>
      <c r="AI14" s="50"/>
      <c r="AJ14" s="50"/>
      <c r="AK14" s="50">
        <v>3194487.679142857</v>
      </c>
      <c r="AL14" s="50"/>
      <c r="AM14" s="50"/>
      <c r="AN14" s="50"/>
      <c r="AO14" s="50">
        <v>2624444.64</v>
      </c>
      <c r="AP14" s="50"/>
      <c r="AQ14" s="50"/>
      <c r="AR14" s="50"/>
      <c r="AS14" s="50"/>
      <c r="AT14" s="50">
        <v>1930506.4414285712</v>
      </c>
      <c r="AU14" s="50"/>
      <c r="AV14" s="50"/>
      <c r="AW14" s="50"/>
      <c r="AX14" s="50">
        <v>1869972.0885714286</v>
      </c>
      <c r="AY14" s="50"/>
      <c r="AZ14" s="50"/>
      <c r="BA14" s="50"/>
      <c r="BB14" s="50"/>
      <c r="BC14" s="50">
        <v>40735691.04342857</v>
      </c>
    </row>
    <row r="15" spans="1:55">
      <c r="A15" s="58">
        <v>3910</v>
      </c>
      <c r="B15" s="50"/>
      <c r="C15" s="50"/>
      <c r="D15" s="50">
        <v>15044</v>
      </c>
      <c r="E15" s="50">
        <v>21275</v>
      </c>
      <c r="F15" s="50">
        <v>18320</v>
      </c>
      <c r="G15" s="50"/>
      <c r="H15" s="50">
        <v>15444</v>
      </c>
      <c r="I15" s="50"/>
      <c r="J15" s="50">
        <v>9618</v>
      </c>
      <c r="K15" s="50">
        <v>240</v>
      </c>
      <c r="L15" s="50"/>
      <c r="M15" s="50"/>
      <c r="N15" s="50"/>
      <c r="O15" s="50"/>
      <c r="P15" s="50">
        <v>18662.399999999998</v>
      </c>
      <c r="Q15" s="50"/>
      <c r="R15" s="50">
        <v>27304.32</v>
      </c>
      <c r="S15" s="50">
        <v>11280</v>
      </c>
      <c r="T15" s="50">
        <v>32016</v>
      </c>
      <c r="U15" s="50">
        <v>11280</v>
      </c>
      <c r="V15" s="50">
        <v>11280</v>
      </c>
      <c r="W15" s="50">
        <v>65856</v>
      </c>
      <c r="X15" s="50">
        <v>145856</v>
      </c>
      <c r="Y15" s="50">
        <v>63609.599999999999</v>
      </c>
      <c r="Z15" s="50">
        <v>63609.599999999999</v>
      </c>
      <c r="AA15" s="50">
        <v>45120</v>
      </c>
      <c r="AB15" s="50">
        <v>134576</v>
      </c>
      <c r="AC15" s="50">
        <v>65856</v>
      </c>
      <c r="AD15" s="50">
        <v>65856</v>
      </c>
      <c r="AE15" s="50">
        <v>65856</v>
      </c>
      <c r="AF15" s="50">
        <v>105120</v>
      </c>
      <c r="AG15" s="50">
        <v>52329.599999999999</v>
      </c>
      <c r="AH15" s="50">
        <v>43296</v>
      </c>
      <c r="AI15" s="50">
        <v>65856</v>
      </c>
      <c r="AJ15" s="50">
        <v>43296</v>
      </c>
      <c r="AK15" s="50">
        <v>42560</v>
      </c>
      <c r="AL15" s="50">
        <v>52329.599999999999</v>
      </c>
      <c r="AM15" s="50">
        <v>65856</v>
      </c>
      <c r="AN15" s="50">
        <v>43296</v>
      </c>
      <c r="AO15" s="50">
        <v>53840</v>
      </c>
      <c r="AP15" s="50">
        <v>63609.599999999999</v>
      </c>
      <c r="AQ15" s="50"/>
      <c r="AR15" s="50">
        <v>20736</v>
      </c>
      <c r="AS15" s="50"/>
      <c r="AT15" s="50">
        <v>60736</v>
      </c>
      <c r="AU15" s="50"/>
      <c r="AV15" s="50">
        <v>20736</v>
      </c>
      <c r="AW15" s="50">
        <v>20736</v>
      </c>
      <c r="AX15" s="50">
        <v>38489.599999999999</v>
      </c>
      <c r="AY15" s="50"/>
      <c r="AZ15" s="50"/>
      <c r="BA15" s="50"/>
      <c r="BB15" s="50"/>
      <c r="BC15" s="50">
        <v>1700781.3200000003</v>
      </c>
    </row>
    <row r="16" spans="1:55">
      <c r="A16" s="58">
        <v>3985</v>
      </c>
      <c r="B16" s="50"/>
      <c r="C16" s="50">
        <v>11974</v>
      </c>
      <c r="D16" s="50">
        <v>5840</v>
      </c>
      <c r="E16" s="50">
        <v>54819</v>
      </c>
      <c r="F16" s="50"/>
      <c r="G16" s="50">
        <v>69910</v>
      </c>
      <c r="H16" s="50">
        <v>9982</v>
      </c>
      <c r="I16" s="50">
        <v>57971</v>
      </c>
      <c r="J16" s="50">
        <v>19967</v>
      </c>
      <c r="K16" s="50">
        <v>14976</v>
      </c>
      <c r="L16" s="50">
        <v>80003</v>
      </c>
      <c r="M16" s="50"/>
      <c r="N16" s="50">
        <v>21556</v>
      </c>
      <c r="O16" s="50">
        <v>14400</v>
      </c>
      <c r="P16" s="50">
        <v>14400</v>
      </c>
      <c r="Q16" s="50">
        <v>74400</v>
      </c>
      <c r="R16" s="50">
        <v>14400</v>
      </c>
      <c r="S16" s="50">
        <v>69600</v>
      </c>
      <c r="T16" s="50">
        <v>55200</v>
      </c>
      <c r="U16" s="50">
        <v>55200</v>
      </c>
      <c r="V16" s="50">
        <v>55200</v>
      </c>
      <c r="W16" s="50">
        <v>55200</v>
      </c>
      <c r="X16" s="50">
        <v>55200</v>
      </c>
      <c r="Y16" s="50">
        <v>55200</v>
      </c>
      <c r="Z16" s="50">
        <v>55200</v>
      </c>
      <c r="AA16" s="50">
        <v>40800</v>
      </c>
      <c r="AB16" s="50">
        <v>40800</v>
      </c>
      <c r="AC16" s="50">
        <v>40800</v>
      </c>
      <c r="AD16" s="50">
        <v>40800</v>
      </c>
      <c r="AE16" s="50">
        <v>21600</v>
      </c>
      <c r="AF16" s="50">
        <v>7200</v>
      </c>
      <c r="AG16" s="50">
        <v>12000</v>
      </c>
      <c r="AH16" s="50">
        <v>7200</v>
      </c>
      <c r="AI16" s="50">
        <v>7200</v>
      </c>
      <c r="AJ16" s="50">
        <v>7200</v>
      </c>
      <c r="AK16" s="50">
        <v>7200</v>
      </c>
      <c r="AL16" s="50">
        <v>7200</v>
      </c>
      <c r="AM16" s="50">
        <v>7200</v>
      </c>
      <c r="AN16" s="50">
        <v>7200</v>
      </c>
      <c r="AO16" s="50"/>
      <c r="AP16" s="50"/>
      <c r="AQ16" s="50"/>
      <c r="AR16" s="50"/>
      <c r="AS16" s="50"/>
      <c r="AT16" s="50">
        <v>4800</v>
      </c>
      <c r="AU16" s="50"/>
      <c r="AV16" s="50"/>
      <c r="AW16" s="50"/>
      <c r="AX16" s="50"/>
      <c r="AY16" s="50"/>
      <c r="AZ16" s="50"/>
      <c r="BA16" s="50"/>
      <c r="BB16" s="50"/>
      <c r="BC16" s="50">
        <v>1179798</v>
      </c>
    </row>
    <row r="17" spans="1:55">
      <c r="A17" s="58">
        <v>5911</v>
      </c>
      <c r="B17" s="50">
        <v>4800</v>
      </c>
      <c r="C17" s="50">
        <v>143272</v>
      </c>
      <c r="D17" s="50">
        <v>167811</v>
      </c>
      <c r="E17" s="50">
        <v>119760</v>
      </c>
      <c r="F17" s="50">
        <v>202011</v>
      </c>
      <c r="G17" s="50">
        <v>175787</v>
      </c>
      <c r="H17" s="50">
        <v>192670</v>
      </c>
      <c r="I17" s="50">
        <v>167749</v>
      </c>
      <c r="J17" s="50">
        <v>209018</v>
      </c>
      <c r="K17" s="50">
        <v>139668</v>
      </c>
      <c r="L17" s="50">
        <v>219122</v>
      </c>
      <c r="M17" s="50">
        <v>190067</v>
      </c>
      <c r="N17" s="50">
        <v>205377</v>
      </c>
      <c r="O17" s="50">
        <v>200925</v>
      </c>
      <c r="P17" s="50">
        <v>116850</v>
      </c>
      <c r="Q17" s="50">
        <v>192435</v>
      </c>
      <c r="R17" s="50">
        <v>215235</v>
      </c>
      <c r="S17" s="50">
        <v>189620</v>
      </c>
      <c r="T17" s="50">
        <v>193800</v>
      </c>
      <c r="U17" s="50">
        <v>193800</v>
      </c>
      <c r="V17" s="50">
        <v>190950</v>
      </c>
      <c r="W17" s="50">
        <v>205200</v>
      </c>
      <c r="X17" s="50">
        <v>721920</v>
      </c>
      <c r="Y17" s="50"/>
      <c r="Z17" s="50"/>
      <c r="AA17" s="50"/>
      <c r="AB17" s="50">
        <v>763611.42857142864</v>
      </c>
      <c r="AC17" s="50"/>
      <c r="AD17" s="50"/>
      <c r="AE17" s="50"/>
      <c r="AF17" s="50">
        <v>768000</v>
      </c>
      <c r="AG17" s="50"/>
      <c r="AH17" s="50"/>
      <c r="AI17" s="50"/>
      <c r="AJ17" s="50"/>
      <c r="AK17" s="50">
        <v>192000</v>
      </c>
      <c r="AL17" s="50"/>
      <c r="AM17" s="50"/>
      <c r="AN17" s="50"/>
      <c r="AO17" s="50">
        <v>376000</v>
      </c>
      <c r="AP17" s="50"/>
      <c r="AQ17" s="50"/>
      <c r="AR17" s="50"/>
      <c r="AS17" s="50"/>
      <c r="AT17" s="50">
        <v>0</v>
      </c>
      <c r="AU17" s="50"/>
      <c r="AV17" s="50"/>
      <c r="AW17" s="50"/>
      <c r="AX17" s="50">
        <v>400000</v>
      </c>
      <c r="AY17" s="50"/>
      <c r="AZ17" s="50"/>
      <c r="BA17" s="50"/>
      <c r="BB17" s="50"/>
      <c r="BC17" s="50">
        <v>7057458.4285714291</v>
      </c>
    </row>
    <row r="18" spans="1:55">
      <c r="A18" s="58">
        <v>5914</v>
      </c>
      <c r="B18" s="50"/>
      <c r="C18" s="50">
        <v>204796</v>
      </c>
      <c r="D18" s="50">
        <v>251816</v>
      </c>
      <c r="E18" s="50">
        <v>333478</v>
      </c>
      <c r="F18" s="50">
        <v>376564</v>
      </c>
      <c r="G18" s="50">
        <v>405435</v>
      </c>
      <c r="H18" s="50">
        <v>363856</v>
      </c>
      <c r="I18" s="50">
        <v>404784</v>
      </c>
      <c r="J18" s="50">
        <v>426842</v>
      </c>
      <c r="K18" s="50">
        <v>405540</v>
      </c>
      <c r="L18" s="50">
        <v>454476</v>
      </c>
      <c r="M18" s="50">
        <v>369387</v>
      </c>
      <c r="N18" s="50">
        <v>405158.40000000002</v>
      </c>
      <c r="O18" s="50">
        <v>289658</v>
      </c>
      <c r="P18" s="50">
        <v>339276</v>
      </c>
      <c r="Q18" s="50">
        <v>327436</v>
      </c>
      <c r="R18" s="50">
        <v>322354</v>
      </c>
      <c r="S18" s="50">
        <v>356132</v>
      </c>
      <c r="T18" s="50">
        <v>360648</v>
      </c>
      <c r="U18" s="50">
        <v>381127</v>
      </c>
      <c r="V18" s="50">
        <v>265998</v>
      </c>
      <c r="W18" s="50">
        <v>160518</v>
      </c>
      <c r="X18" s="50">
        <v>1203110.3999999999</v>
      </c>
      <c r="Y18" s="50"/>
      <c r="Z18" s="50">
        <v>27404</v>
      </c>
      <c r="AA18" s="50"/>
      <c r="AB18" s="50">
        <v>1266432</v>
      </c>
      <c r="AC18" s="50">
        <v>25194</v>
      </c>
      <c r="AD18" s="50">
        <v>25636</v>
      </c>
      <c r="AE18" s="50"/>
      <c r="AF18" s="50">
        <v>1393075.2</v>
      </c>
      <c r="AG18" s="50">
        <v>26520</v>
      </c>
      <c r="AH18" s="50"/>
      <c r="AI18" s="50"/>
      <c r="AJ18" s="50"/>
      <c r="AK18" s="50">
        <v>1292952</v>
      </c>
      <c r="AL18" s="50"/>
      <c r="AM18" s="50"/>
      <c r="AN18" s="50"/>
      <c r="AO18" s="50">
        <v>1287206</v>
      </c>
      <c r="AP18" s="50">
        <v>15912</v>
      </c>
      <c r="AQ18" s="50"/>
      <c r="AR18" s="50"/>
      <c r="AS18" s="50"/>
      <c r="AT18" s="50">
        <v>1129691.6000000001</v>
      </c>
      <c r="AU18" s="50"/>
      <c r="AV18" s="50"/>
      <c r="AW18" s="50"/>
      <c r="AX18" s="50">
        <v>1132785.6000000001</v>
      </c>
      <c r="AY18" s="50"/>
      <c r="AZ18" s="50"/>
      <c r="BA18" s="50"/>
      <c r="BB18" s="50"/>
      <c r="BC18" s="50">
        <v>16031198.199999999</v>
      </c>
    </row>
    <row r="19" spans="1:55">
      <c r="A19" s="58">
        <v>6706</v>
      </c>
      <c r="B19" s="50"/>
      <c r="C19" s="50"/>
      <c r="D19" s="50">
        <v>5493</v>
      </c>
      <c r="E19" s="50">
        <v>22478</v>
      </c>
      <c r="F19" s="50"/>
      <c r="G19" s="50"/>
      <c r="H19" s="50"/>
      <c r="I19" s="50"/>
      <c r="J19" s="50"/>
      <c r="K19" s="50"/>
      <c r="L19" s="50"/>
      <c r="M19" s="50"/>
      <c r="N19" s="50"/>
      <c r="O19" s="50">
        <v>0</v>
      </c>
      <c r="P19" s="50"/>
      <c r="Q19" s="50">
        <v>27258.400000000001</v>
      </c>
      <c r="R19" s="50">
        <v>28800</v>
      </c>
      <c r="S19" s="50">
        <v>80000</v>
      </c>
      <c r="T19" s="50"/>
      <c r="U19" s="50"/>
      <c r="V19" s="50"/>
      <c r="W19" s="50"/>
      <c r="X19" s="50">
        <v>58500</v>
      </c>
      <c r="Y19" s="50"/>
      <c r="Z19" s="50"/>
      <c r="AA19" s="50"/>
      <c r="AB19" s="50">
        <v>55000</v>
      </c>
      <c r="AC19" s="50"/>
      <c r="AD19" s="50"/>
      <c r="AE19" s="50"/>
      <c r="AF19" s="50">
        <v>0</v>
      </c>
      <c r="AG19" s="50"/>
      <c r="AH19" s="50"/>
      <c r="AI19" s="50"/>
      <c r="AJ19" s="50"/>
      <c r="AK19" s="50">
        <v>0</v>
      </c>
      <c r="AL19" s="50"/>
      <c r="AM19" s="50"/>
      <c r="AN19" s="50"/>
      <c r="AO19" s="50">
        <v>0</v>
      </c>
      <c r="AP19" s="50"/>
      <c r="AQ19" s="50"/>
      <c r="AR19" s="50"/>
      <c r="AS19" s="50"/>
      <c r="AT19" s="50">
        <v>0</v>
      </c>
      <c r="AU19" s="50"/>
      <c r="AV19" s="50"/>
      <c r="AW19" s="50"/>
      <c r="AX19" s="50">
        <v>0</v>
      </c>
      <c r="AY19" s="50"/>
      <c r="AZ19" s="50"/>
      <c r="BA19" s="50"/>
      <c r="BB19" s="50"/>
      <c r="BC19" s="50">
        <v>277529.40000000002</v>
      </c>
    </row>
    <row r="20" spans="1:55">
      <c r="A20" s="58">
        <v>6757</v>
      </c>
      <c r="B20" s="50"/>
      <c r="C20" s="50"/>
      <c r="D20" s="50">
        <v>12802</v>
      </c>
      <c r="E20" s="50">
        <v>19142</v>
      </c>
      <c r="F20" s="50"/>
      <c r="G20" s="50"/>
      <c r="H20" s="50">
        <v>36734</v>
      </c>
      <c r="I20" s="50">
        <v>33793</v>
      </c>
      <c r="J20" s="50">
        <v>13540</v>
      </c>
      <c r="K20" s="50">
        <v>11411</v>
      </c>
      <c r="L20" s="50">
        <v>47254</v>
      </c>
      <c r="M20" s="50">
        <v>20202</v>
      </c>
      <c r="N20" s="50">
        <v>1365.12</v>
      </c>
      <c r="O20" s="50">
        <v>3921.6</v>
      </c>
      <c r="P20" s="50">
        <v>11628.48</v>
      </c>
      <c r="Q20" s="50">
        <v>11628.48</v>
      </c>
      <c r="R20" s="50">
        <v>11628.48</v>
      </c>
      <c r="S20" s="50">
        <v>11628.48</v>
      </c>
      <c r="T20" s="50">
        <v>11628.48</v>
      </c>
      <c r="U20" s="50">
        <v>23436.48</v>
      </c>
      <c r="V20" s="50">
        <v>11628.48</v>
      </c>
      <c r="W20" s="50">
        <v>11628.48</v>
      </c>
      <c r="X20" s="50">
        <v>11628.48</v>
      </c>
      <c r="Y20" s="50">
        <v>9302.4</v>
      </c>
      <c r="Z20" s="50">
        <v>11628.48</v>
      </c>
      <c r="AA20" s="50">
        <v>11628.48</v>
      </c>
      <c r="AB20" s="50">
        <v>11628.48</v>
      </c>
      <c r="AC20" s="50">
        <v>11628.48</v>
      </c>
      <c r="AD20" s="50">
        <v>11628.48</v>
      </c>
      <c r="AE20" s="50">
        <v>11628.48</v>
      </c>
      <c r="AF20" s="50">
        <v>11628.48</v>
      </c>
      <c r="AG20" s="50">
        <v>11628.48</v>
      </c>
      <c r="AH20" s="50">
        <v>11628.48</v>
      </c>
      <c r="AI20" s="50">
        <v>11628.48</v>
      </c>
      <c r="AJ20" s="50">
        <v>11628.48</v>
      </c>
      <c r="AK20" s="50">
        <v>11628.48</v>
      </c>
      <c r="AL20" s="50">
        <v>11628.48</v>
      </c>
      <c r="AM20" s="50">
        <v>11628.48</v>
      </c>
      <c r="AN20" s="50">
        <v>11628.48</v>
      </c>
      <c r="AO20" s="50">
        <v>11628.48</v>
      </c>
      <c r="AP20" s="50">
        <v>18694.079999999998</v>
      </c>
      <c r="AQ20" s="50">
        <v>11628.48</v>
      </c>
      <c r="AR20" s="50"/>
      <c r="AS20" s="50"/>
      <c r="AT20" s="50"/>
      <c r="AU20" s="50"/>
      <c r="AV20" s="50"/>
      <c r="AW20" s="50"/>
      <c r="AX20" s="50"/>
      <c r="AY20" s="50">
        <v>7065.5999999999995</v>
      </c>
      <c r="AZ20" s="50"/>
      <c r="BA20" s="50"/>
      <c r="BB20" s="50"/>
      <c r="BC20" s="50">
        <v>549375.27999999968</v>
      </c>
    </row>
    <row r="21" spans="1:55">
      <c r="A21" s="58">
        <v>6764</v>
      </c>
      <c r="B21" s="50"/>
      <c r="C21" s="50">
        <v>78968</v>
      </c>
      <c r="D21" s="50"/>
      <c r="E21" s="50"/>
      <c r="F21" s="50"/>
      <c r="G21" s="50"/>
      <c r="H21" s="50">
        <v>19944</v>
      </c>
      <c r="I21" s="50">
        <v>56432</v>
      </c>
      <c r="J21" s="50"/>
      <c r="K21" s="50">
        <v>35062</v>
      </c>
      <c r="L21" s="50">
        <v>14331</v>
      </c>
      <c r="M21" s="50"/>
      <c r="N21" s="50"/>
      <c r="O21" s="50"/>
      <c r="P21" s="50">
        <v>19200</v>
      </c>
      <c r="Q21" s="50">
        <v>19200</v>
      </c>
      <c r="R21" s="50"/>
      <c r="S21" s="50">
        <v>19200</v>
      </c>
      <c r="T21" s="50">
        <v>19200</v>
      </c>
      <c r="U21" s="50">
        <v>19200</v>
      </c>
      <c r="V21" s="50"/>
      <c r="W21" s="50">
        <v>19200</v>
      </c>
      <c r="X21" s="50">
        <v>19200</v>
      </c>
      <c r="Y21" s="50">
        <v>19200</v>
      </c>
      <c r="Z21" s="50"/>
      <c r="AA21" s="50">
        <v>19200</v>
      </c>
      <c r="AB21" s="50">
        <v>19200</v>
      </c>
      <c r="AC21" s="50"/>
      <c r="AD21" s="50"/>
      <c r="AE21" s="50">
        <v>19200</v>
      </c>
      <c r="AF21" s="50">
        <v>19200</v>
      </c>
      <c r="AG21" s="50"/>
      <c r="AH21" s="50"/>
      <c r="AI21" s="50">
        <v>19200</v>
      </c>
      <c r="AJ21" s="50">
        <v>19200</v>
      </c>
      <c r="AK21" s="50"/>
      <c r="AL21" s="50"/>
      <c r="AM21" s="50">
        <v>19200</v>
      </c>
      <c r="AN21" s="50"/>
      <c r="AO21" s="50"/>
      <c r="AP21" s="50">
        <v>19200</v>
      </c>
      <c r="AQ21" s="50"/>
      <c r="AR21" s="50"/>
      <c r="AS21" s="50"/>
      <c r="AT21" s="50">
        <v>19200</v>
      </c>
      <c r="AU21" s="50"/>
      <c r="AV21" s="50"/>
      <c r="AW21" s="50"/>
      <c r="AX21" s="50"/>
      <c r="AY21" s="50">
        <v>0</v>
      </c>
      <c r="AZ21" s="50"/>
      <c r="BA21" s="50"/>
      <c r="BB21" s="50"/>
      <c r="BC21" s="50">
        <v>531137</v>
      </c>
    </row>
    <row r="22" spans="1:55">
      <c r="A22" s="58">
        <v>6765</v>
      </c>
      <c r="B22" s="50"/>
      <c r="C22" s="50"/>
      <c r="D22" s="50"/>
      <c r="E22" s="50">
        <v>7230</v>
      </c>
      <c r="F22" s="50">
        <v>7216</v>
      </c>
      <c r="G22" s="50">
        <v>31756</v>
      </c>
      <c r="H22" s="50">
        <v>22627</v>
      </c>
      <c r="I22" s="50"/>
      <c r="J22" s="50"/>
      <c r="K22" s="50">
        <v>59124</v>
      </c>
      <c r="L22" s="50">
        <v>31172</v>
      </c>
      <c r="M22" s="50">
        <v>29862</v>
      </c>
      <c r="N22" s="50"/>
      <c r="O22" s="50">
        <v>32360.639999999999</v>
      </c>
      <c r="P22" s="50">
        <v>25920</v>
      </c>
      <c r="Q22" s="50">
        <v>25920</v>
      </c>
      <c r="R22" s="50">
        <v>25920</v>
      </c>
      <c r="S22" s="50">
        <v>25920</v>
      </c>
      <c r="T22" s="50">
        <v>25920</v>
      </c>
      <c r="U22" s="50">
        <v>25920</v>
      </c>
      <c r="V22" s="50">
        <v>25920</v>
      </c>
      <c r="W22" s="50"/>
      <c r="X22" s="50">
        <v>25920</v>
      </c>
      <c r="Y22" s="50"/>
      <c r="Z22" s="50">
        <v>25920</v>
      </c>
      <c r="AA22" s="50">
        <v>8294.4</v>
      </c>
      <c r="AB22" s="50">
        <v>25920</v>
      </c>
      <c r="AC22" s="50">
        <v>8294.4</v>
      </c>
      <c r="AD22" s="50">
        <v>25920</v>
      </c>
      <c r="AE22" s="50"/>
      <c r="AF22" s="50">
        <v>25920</v>
      </c>
      <c r="AG22" s="50"/>
      <c r="AH22" s="50">
        <v>15552</v>
      </c>
      <c r="AI22" s="50">
        <v>8294.4</v>
      </c>
      <c r="AJ22" s="50">
        <v>15552</v>
      </c>
      <c r="AK22" s="50"/>
      <c r="AL22" s="50"/>
      <c r="AM22" s="50"/>
      <c r="AN22" s="50">
        <v>8294.4</v>
      </c>
      <c r="AO22" s="50">
        <v>10944</v>
      </c>
      <c r="AP22" s="50">
        <v>10944</v>
      </c>
      <c r="AQ22" s="50">
        <v>5472</v>
      </c>
      <c r="AR22" s="50">
        <v>13766.4</v>
      </c>
      <c r="AS22" s="50">
        <v>5472</v>
      </c>
      <c r="AT22" s="50">
        <v>10944</v>
      </c>
      <c r="AU22" s="50"/>
      <c r="AV22" s="50"/>
      <c r="AW22" s="50">
        <v>8294.4</v>
      </c>
      <c r="AX22" s="50">
        <v>5472</v>
      </c>
      <c r="AY22" s="50">
        <v>8294.4</v>
      </c>
      <c r="AZ22" s="50"/>
      <c r="BA22" s="50">
        <v>8294.4</v>
      </c>
      <c r="BB22" s="50"/>
      <c r="BC22" s="50">
        <v>684566.8400000002</v>
      </c>
    </row>
    <row r="23" spans="1:55">
      <c r="A23" s="58" t="s">
        <v>133</v>
      </c>
      <c r="B23" s="50">
        <v>2600</v>
      </c>
      <c r="C23" s="50">
        <v>88399</v>
      </c>
      <c r="D23" s="50">
        <v>116998</v>
      </c>
      <c r="E23" s="50">
        <v>36400</v>
      </c>
      <c r="F23" s="50">
        <v>12999</v>
      </c>
      <c r="G23" s="50">
        <v>20800</v>
      </c>
      <c r="H23" s="50">
        <v>39000</v>
      </c>
      <c r="I23" s="50">
        <v>56290</v>
      </c>
      <c r="J23" s="50">
        <v>13000</v>
      </c>
      <c r="K23" s="50">
        <v>20800</v>
      </c>
      <c r="L23" s="50">
        <v>75400</v>
      </c>
      <c r="M23" s="50">
        <v>84528</v>
      </c>
      <c r="N23" s="50">
        <v>43864</v>
      </c>
      <c r="O23" s="50">
        <v>6528</v>
      </c>
      <c r="P23" s="50">
        <v>28224</v>
      </c>
      <c r="Q23" s="50">
        <v>97344</v>
      </c>
      <c r="R23" s="50">
        <v>72384</v>
      </c>
      <c r="S23" s="50"/>
      <c r="T23" s="50">
        <v>52133.759999999995</v>
      </c>
      <c r="U23" s="50">
        <v>119543.04000000001</v>
      </c>
      <c r="V23" s="50">
        <v>40133.759999999995</v>
      </c>
      <c r="W23" s="50">
        <v>56974.080000000002</v>
      </c>
      <c r="X23" s="50">
        <v>57408</v>
      </c>
      <c r="Y23" s="50"/>
      <c r="Z23" s="50">
        <v>59424</v>
      </c>
      <c r="AA23" s="50">
        <v>101587.2</v>
      </c>
      <c r="AB23" s="50">
        <v>279478.75700090337</v>
      </c>
      <c r="AC23" s="50"/>
      <c r="AD23" s="50"/>
      <c r="AE23" s="50"/>
      <c r="AF23" s="50"/>
      <c r="AG23" s="50">
        <v>225129.85546522131</v>
      </c>
      <c r="AH23" s="50"/>
      <c r="AI23" s="50"/>
      <c r="AJ23" s="50"/>
      <c r="AK23" s="50">
        <v>217366.75700090337</v>
      </c>
      <c r="AL23" s="50"/>
      <c r="AM23" s="50"/>
      <c r="AN23" s="50"/>
      <c r="AO23" s="50">
        <v>232892.9539295393</v>
      </c>
      <c r="AP23" s="50"/>
      <c r="AQ23" s="50"/>
      <c r="AR23" s="50"/>
      <c r="AS23" s="50"/>
      <c r="AT23" s="50">
        <v>0</v>
      </c>
      <c r="AU23" s="50"/>
      <c r="AV23" s="50"/>
      <c r="AW23" s="50"/>
      <c r="AX23" s="50">
        <v>0</v>
      </c>
      <c r="AY23" s="50"/>
      <c r="AZ23" s="50"/>
      <c r="BA23" s="50"/>
      <c r="BB23" s="50"/>
      <c r="BC23" s="50">
        <v>2257630.1633965671</v>
      </c>
    </row>
    <row r="24" spans="1:55">
      <c r="A24" s="58" t="s">
        <v>139</v>
      </c>
      <c r="B24" s="50"/>
      <c r="C24" s="50"/>
      <c r="D24" s="50">
        <v>24000</v>
      </c>
      <c r="E24" s="50">
        <v>93000</v>
      </c>
      <c r="F24" s="50">
        <v>78300</v>
      </c>
      <c r="G24" s="50">
        <v>56280</v>
      </c>
      <c r="H24" s="50">
        <v>106092</v>
      </c>
      <c r="I24" s="50">
        <v>149700</v>
      </c>
      <c r="J24" s="50">
        <v>125284</v>
      </c>
      <c r="K24" s="50">
        <v>72040</v>
      </c>
      <c r="L24" s="50">
        <v>109268</v>
      </c>
      <c r="M24" s="50">
        <v>111280</v>
      </c>
      <c r="N24" s="50">
        <v>38110.400000000001</v>
      </c>
      <c r="O24" s="50">
        <v>0</v>
      </c>
      <c r="P24" s="50">
        <v>235664.64000000001</v>
      </c>
      <c r="Q24" s="50">
        <v>326907.83999999997</v>
      </c>
      <c r="R24" s="50">
        <v>69803.51999999999</v>
      </c>
      <c r="S24" s="50">
        <v>258785.28000000003</v>
      </c>
      <c r="T24" s="50">
        <v>140841.60000000001</v>
      </c>
      <c r="U24" s="50">
        <v>39131.520000000004</v>
      </c>
      <c r="V24" s="50">
        <v>98542.080000000002</v>
      </c>
      <c r="W24" s="50">
        <v>80655.359999999986</v>
      </c>
      <c r="X24" s="50"/>
      <c r="Y24" s="50">
        <v>107566.08</v>
      </c>
      <c r="Z24" s="50">
        <v>51636.479999999996</v>
      </c>
      <c r="AA24" s="50">
        <v>101068.8</v>
      </c>
      <c r="AB24" s="50">
        <v>46817.279999999999</v>
      </c>
      <c r="AC24" s="50">
        <v>106560</v>
      </c>
      <c r="AD24" s="50">
        <v>72017.279999999999</v>
      </c>
      <c r="AE24" s="50">
        <v>48243.839999999997</v>
      </c>
      <c r="AF24" s="50">
        <v>18432</v>
      </c>
      <c r="AG24" s="50">
        <v>116040.96000000001</v>
      </c>
      <c r="AH24" s="50">
        <v>116288.64</v>
      </c>
      <c r="AI24" s="50">
        <v>65942.399999999994</v>
      </c>
      <c r="AJ24" s="50">
        <v>35139.839999999997</v>
      </c>
      <c r="AK24" s="50">
        <v>57924.479999999996</v>
      </c>
      <c r="AL24" s="50">
        <v>54773.760000000002</v>
      </c>
      <c r="AM24" s="50"/>
      <c r="AN24" s="50"/>
      <c r="AO24" s="50">
        <v>91153.919999999998</v>
      </c>
      <c r="AP24" s="50">
        <v>65145.599999999999</v>
      </c>
      <c r="AQ24" s="50">
        <v>48311.040000000001</v>
      </c>
      <c r="AR24" s="50"/>
      <c r="AS24" s="50">
        <v>36864</v>
      </c>
      <c r="AT24" s="50">
        <v>22464</v>
      </c>
      <c r="AU24" s="50">
        <v>89994.239999999991</v>
      </c>
      <c r="AV24" s="50">
        <v>63897.599999999991</v>
      </c>
      <c r="AW24" s="50">
        <v>29798.399999999998</v>
      </c>
      <c r="AX24" s="50"/>
      <c r="AY24" s="50">
        <v>36864</v>
      </c>
      <c r="AZ24" s="50">
        <v>65779.199999999997</v>
      </c>
      <c r="BA24" s="50">
        <v>32367.360000000001</v>
      </c>
      <c r="BB24" s="50"/>
      <c r="BC24" s="50">
        <v>3794777.439999999</v>
      </c>
    </row>
    <row r="25" spans="1:55">
      <c r="A25" s="58" t="s">
        <v>118</v>
      </c>
      <c r="B25" s="50"/>
      <c r="C25" s="50">
        <v>17920</v>
      </c>
      <c r="D25" s="50">
        <v>23791</v>
      </c>
      <c r="E25" s="50">
        <v>12032</v>
      </c>
      <c r="F25" s="50">
        <v>15360</v>
      </c>
      <c r="G25" s="50">
        <v>13568</v>
      </c>
      <c r="H25" s="50"/>
      <c r="I25" s="50">
        <v>30464</v>
      </c>
      <c r="J25" s="50">
        <v>5120</v>
      </c>
      <c r="K25" s="50"/>
      <c r="L25" s="50">
        <v>23533</v>
      </c>
      <c r="M25" s="50">
        <v>3584</v>
      </c>
      <c r="N25" s="50"/>
      <c r="O25" s="50">
        <v>13440</v>
      </c>
      <c r="P25" s="50">
        <v>19680</v>
      </c>
      <c r="Q25" s="50">
        <v>18720</v>
      </c>
      <c r="R25" s="50">
        <v>6720</v>
      </c>
      <c r="S25" s="50">
        <v>6720</v>
      </c>
      <c r="T25" s="50">
        <v>12960</v>
      </c>
      <c r="U25" s="50">
        <v>17280</v>
      </c>
      <c r="V25" s="50">
        <v>6720</v>
      </c>
      <c r="W25" s="50">
        <v>6720</v>
      </c>
      <c r="X25" s="50">
        <v>12000</v>
      </c>
      <c r="Y25" s="50">
        <v>9360</v>
      </c>
      <c r="Z25" s="50">
        <v>6720</v>
      </c>
      <c r="AA25" s="50">
        <v>6720</v>
      </c>
      <c r="AB25" s="50"/>
      <c r="AC25" s="50">
        <v>12000</v>
      </c>
      <c r="AD25" s="50"/>
      <c r="AE25" s="50">
        <v>6720</v>
      </c>
      <c r="AF25" s="50">
        <v>19200</v>
      </c>
      <c r="AG25" s="50"/>
      <c r="AH25" s="50">
        <v>12000</v>
      </c>
      <c r="AI25" s="50">
        <v>6720</v>
      </c>
      <c r="AJ25" s="50"/>
      <c r="AK25" s="50">
        <v>12000</v>
      </c>
      <c r="AL25" s="50">
        <v>6720</v>
      </c>
      <c r="AM25" s="50"/>
      <c r="AN25" s="50">
        <v>6720</v>
      </c>
      <c r="AO25" s="50"/>
      <c r="AP25" s="50">
        <v>12000</v>
      </c>
      <c r="AQ25" s="50">
        <v>6240</v>
      </c>
      <c r="AR25" s="50">
        <v>6720</v>
      </c>
      <c r="AS25" s="50"/>
      <c r="AT25" s="50">
        <v>6720</v>
      </c>
      <c r="AU25" s="50">
        <v>5280</v>
      </c>
      <c r="AV25" s="50">
        <v>6720</v>
      </c>
      <c r="AW25" s="50"/>
      <c r="AX25" s="50">
        <v>6720</v>
      </c>
      <c r="AY25" s="50">
        <v>5280</v>
      </c>
      <c r="AZ25" s="50">
        <v>6720</v>
      </c>
      <c r="BA25" s="50">
        <v>6720</v>
      </c>
      <c r="BB25" s="50"/>
      <c r="BC25" s="50">
        <v>440332</v>
      </c>
    </row>
    <row r="26" spans="1:55">
      <c r="A26" s="58" t="s">
        <v>128</v>
      </c>
      <c r="B26" s="50"/>
      <c r="C26" s="50"/>
      <c r="D26" s="50">
        <v>3451</v>
      </c>
      <c r="E26" s="50"/>
      <c r="F26" s="50">
        <v>9975</v>
      </c>
      <c r="G26" s="50">
        <v>9017</v>
      </c>
      <c r="H26" s="50">
        <v>5940</v>
      </c>
      <c r="I26" s="50"/>
      <c r="J26" s="50">
        <v>22410</v>
      </c>
      <c r="K26" s="50"/>
      <c r="L26" s="50">
        <v>10359</v>
      </c>
      <c r="M26" s="50">
        <v>5763</v>
      </c>
      <c r="N26" s="50">
        <v>20148.36</v>
      </c>
      <c r="O26" s="50">
        <v>7519.6799999999994</v>
      </c>
      <c r="P26" s="50">
        <v>7212.48</v>
      </c>
      <c r="Q26" s="50">
        <v>11386.56</v>
      </c>
      <c r="R26" s="50">
        <v>10453.44</v>
      </c>
      <c r="S26" s="50">
        <v>9875.52</v>
      </c>
      <c r="T26" s="50">
        <v>6239.04</v>
      </c>
      <c r="U26" s="50">
        <v>9244.7999999999993</v>
      </c>
      <c r="V26" s="50">
        <v>9243.84</v>
      </c>
      <c r="W26" s="50"/>
      <c r="X26" s="50">
        <v>3661.44</v>
      </c>
      <c r="Y26" s="50">
        <v>7398.7199999999993</v>
      </c>
      <c r="Z26" s="50">
        <v>7398.7199999999993</v>
      </c>
      <c r="AA26" s="50">
        <v>3737.2799999999997</v>
      </c>
      <c r="AB26" s="50"/>
      <c r="AC26" s="50">
        <v>3661.44</v>
      </c>
      <c r="AD26" s="50">
        <v>3661.44</v>
      </c>
      <c r="AE26" s="50">
        <v>3661.44</v>
      </c>
      <c r="AF26" s="50"/>
      <c r="AG26" s="50">
        <v>5605.44</v>
      </c>
      <c r="AH26" s="50">
        <v>5605.44</v>
      </c>
      <c r="AI26" s="50"/>
      <c r="AJ26" s="50">
        <v>5605.44</v>
      </c>
      <c r="AK26" s="50">
        <v>9266.8799999999992</v>
      </c>
      <c r="AL26" s="50">
        <v>3661.44</v>
      </c>
      <c r="AM26" s="50">
        <v>3661.44</v>
      </c>
      <c r="AN26" s="50"/>
      <c r="AO26" s="50"/>
      <c r="AP26" s="50">
        <v>5605.44</v>
      </c>
      <c r="AQ26" s="50">
        <v>5605.44</v>
      </c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>
        <v>236036.16</v>
      </c>
    </row>
    <row r="27" spans="1:55">
      <c r="A27" s="58" t="s">
        <v>137</v>
      </c>
      <c r="B27" s="50"/>
      <c r="C27" s="50"/>
      <c r="D27" s="50"/>
      <c r="E27" s="50"/>
      <c r="F27" s="50"/>
      <c r="G27" s="50"/>
      <c r="H27" s="50">
        <v>4800</v>
      </c>
      <c r="I27" s="50"/>
      <c r="J27" s="50"/>
      <c r="K27" s="50"/>
      <c r="L27" s="50"/>
      <c r="M27" s="50"/>
      <c r="N27" s="50"/>
      <c r="O27" s="50">
        <v>8448</v>
      </c>
      <c r="P27" s="50">
        <v>67584</v>
      </c>
      <c r="Q27" s="50">
        <v>54912</v>
      </c>
      <c r="R27" s="50">
        <v>29568</v>
      </c>
      <c r="S27" s="50">
        <v>9216</v>
      </c>
      <c r="T27" s="50">
        <v>34007.040000000001</v>
      </c>
      <c r="U27" s="50">
        <v>9216</v>
      </c>
      <c r="V27" s="50">
        <v>11520</v>
      </c>
      <c r="W27" s="50">
        <v>12576</v>
      </c>
      <c r="X27" s="50">
        <v>4224</v>
      </c>
      <c r="Y27" s="50">
        <v>4224</v>
      </c>
      <c r="Z27" s="50">
        <v>8448</v>
      </c>
      <c r="AA27" s="50">
        <v>12672</v>
      </c>
      <c r="AB27" s="50">
        <v>12672</v>
      </c>
      <c r="AC27" s="50">
        <v>41303.040000000001</v>
      </c>
      <c r="AD27" s="50">
        <v>42071.040000000001</v>
      </c>
      <c r="AE27" s="50"/>
      <c r="AF27" s="50">
        <v>4224</v>
      </c>
      <c r="AG27" s="50"/>
      <c r="AH27" s="50">
        <v>0</v>
      </c>
      <c r="AI27" s="50"/>
      <c r="AJ27" s="50"/>
      <c r="AK27" s="50"/>
      <c r="AL27" s="50"/>
      <c r="AM27" s="50"/>
      <c r="AN27" s="50"/>
      <c r="AO27" s="50"/>
      <c r="AP27" s="50">
        <v>15575.039999999999</v>
      </c>
      <c r="AQ27" s="50">
        <v>15575.039999999999</v>
      </c>
      <c r="AR27" s="50">
        <v>24504.959999999999</v>
      </c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>
        <v>427340.16</v>
      </c>
    </row>
    <row r="28" spans="1:55">
      <c r="A28" s="58" t="s">
        <v>201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>
        <v>37037.037037037</v>
      </c>
      <c r="Q28" s="50"/>
      <c r="R28" s="50"/>
      <c r="S28" s="50"/>
      <c r="T28" s="50">
        <v>70000</v>
      </c>
      <c r="U28" s="50"/>
      <c r="V28" s="50"/>
      <c r="W28" s="50"/>
      <c r="X28" s="50">
        <v>62037.037037037</v>
      </c>
      <c r="Y28" s="50"/>
      <c r="Z28" s="50"/>
      <c r="AA28" s="50"/>
      <c r="AB28" s="50">
        <v>62034.537037037</v>
      </c>
      <c r="AC28" s="50"/>
      <c r="AD28" s="50"/>
      <c r="AE28" s="50"/>
      <c r="AF28" s="50"/>
      <c r="AG28" s="50">
        <v>62034.537037037</v>
      </c>
      <c r="AH28" s="50"/>
      <c r="AI28" s="50"/>
      <c r="AJ28" s="50"/>
      <c r="AK28" s="50">
        <v>62037.037037037</v>
      </c>
      <c r="AL28" s="50"/>
      <c r="AM28" s="50"/>
      <c r="AN28" s="50"/>
      <c r="AO28" s="50">
        <v>49537.037037037</v>
      </c>
      <c r="AP28" s="50"/>
      <c r="AQ28" s="50"/>
      <c r="AR28" s="50"/>
      <c r="AS28" s="50"/>
      <c r="AT28" s="50">
        <v>45370.370370370401</v>
      </c>
      <c r="AU28" s="50"/>
      <c r="AV28" s="50"/>
      <c r="AW28" s="50"/>
      <c r="AX28" s="50">
        <v>45370.370370370401</v>
      </c>
      <c r="AY28" s="50"/>
      <c r="AZ28" s="50"/>
      <c r="BA28" s="50"/>
      <c r="BB28" s="50"/>
      <c r="BC28" s="50">
        <v>495457.9629629628</v>
      </c>
    </row>
    <row r="29" spans="1:55">
      <c r="A29" s="58" t="s">
        <v>132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>
        <v>146880</v>
      </c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>
        <v>146880</v>
      </c>
    </row>
    <row r="30" spans="1:55">
      <c r="A30" s="58" t="s">
        <v>228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</row>
    <row r="31" spans="1:55">
      <c r="A31" s="58" t="s">
        <v>47</v>
      </c>
      <c r="B31" s="50">
        <v>78904</v>
      </c>
      <c r="C31" s="50">
        <v>1991938</v>
      </c>
      <c r="D31" s="50">
        <v>2104036</v>
      </c>
      <c r="E31" s="50">
        <v>2319243</v>
      </c>
      <c r="F31" s="50">
        <v>1972121</v>
      </c>
      <c r="G31" s="50">
        <v>2622219</v>
      </c>
      <c r="H31" s="50">
        <v>2553535</v>
      </c>
      <c r="I31" s="50">
        <v>2643423</v>
      </c>
      <c r="J31" s="50">
        <v>2640746</v>
      </c>
      <c r="K31" s="50">
        <v>2569711</v>
      </c>
      <c r="L31" s="50">
        <v>3062187</v>
      </c>
      <c r="M31" s="50">
        <v>2622449.2799999998</v>
      </c>
      <c r="N31" s="50">
        <v>2400812.75</v>
      </c>
      <c r="O31" s="50">
        <v>2138307.4000000004</v>
      </c>
      <c r="P31" s="50">
        <v>2683737.7970370371</v>
      </c>
      <c r="Q31" s="50">
        <v>3140635.2399999998</v>
      </c>
      <c r="R31" s="50">
        <v>2747949.9600000004</v>
      </c>
      <c r="S31" s="50">
        <v>2970955.64</v>
      </c>
      <c r="T31" s="50">
        <v>3382649.6799999997</v>
      </c>
      <c r="U31" s="50">
        <v>3341580.6799999997</v>
      </c>
      <c r="V31" s="50">
        <v>2423100.1599999997</v>
      </c>
      <c r="W31" s="50">
        <v>2352414.96</v>
      </c>
      <c r="X31" s="50">
        <v>8374142.2027513245</v>
      </c>
      <c r="Y31" s="50">
        <v>624868.79999999993</v>
      </c>
      <c r="Z31" s="50">
        <v>647509.27999999991</v>
      </c>
      <c r="AA31" s="50">
        <v>551765.76000000001</v>
      </c>
      <c r="AB31" s="50">
        <v>8874578.2926093694</v>
      </c>
      <c r="AC31" s="50">
        <v>677087.76</v>
      </c>
      <c r="AD31" s="50">
        <v>825823.84</v>
      </c>
      <c r="AE31" s="50">
        <v>308818.56</v>
      </c>
      <c r="AF31" s="50">
        <v>6603819.3200000012</v>
      </c>
      <c r="AG31" s="50">
        <v>2920127.872502258</v>
      </c>
      <c r="AH31" s="50">
        <v>789144.96</v>
      </c>
      <c r="AI31" s="50">
        <v>516795.83999999997</v>
      </c>
      <c r="AJ31" s="50">
        <v>345087.36000000004</v>
      </c>
      <c r="AK31" s="50">
        <v>6726390.7486093696</v>
      </c>
      <c r="AL31" s="50">
        <v>347609.27999999997</v>
      </c>
      <c r="AM31" s="50">
        <v>670365.11999999988</v>
      </c>
      <c r="AN31" s="50">
        <v>278810.88</v>
      </c>
      <c r="AO31" s="50">
        <v>6360468.1155380048</v>
      </c>
      <c r="AP31" s="50">
        <v>315538.55999999994</v>
      </c>
      <c r="AQ31" s="50">
        <v>666945.6</v>
      </c>
      <c r="AR31" s="50">
        <v>199109.75999999998</v>
      </c>
      <c r="AS31" s="50">
        <v>216777.60000000001</v>
      </c>
      <c r="AT31" s="50">
        <v>4702923.1997989425</v>
      </c>
      <c r="AU31" s="50">
        <v>294723.83999999997</v>
      </c>
      <c r="AV31" s="50">
        <v>570153.6</v>
      </c>
      <c r="AW31" s="50">
        <v>204595.19999999998</v>
      </c>
      <c r="AX31" s="50">
        <v>4222453.1469417997</v>
      </c>
      <c r="AY31" s="50">
        <v>169046.39999999999</v>
      </c>
      <c r="AZ31" s="50">
        <v>601336.31999999995</v>
      </c>
      <c r="BA31" s="50">
        <v>133685.76000000001</v>
      </c>
      <c r="BB31" s="50"/>
      <c r="BC31" s="50">
        <v>113503159.52578813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22A8-A487-4AA2-93F1-D8111CC96B04}">
  <sheetPr codeName="Sheet8" filterMode="1">
    <tabColor rgb="FFFFFF00"/>
  </sheetPr>
  <dimension ref="A1:R7262"/>
  <sheetViews>
    <sheetView zoomScale="90" zoomScaleNormal="90" workbookViewId="0">
      <pane ySplit="1" topLeftCell="A4194" activePane="bottomLeft" state="frozen"/>
      <selection activeCell="B244" sqref="B244:C257"/>
      <selection pane="bottomLeft" activeCell="A4204" sqref="A4204"/>
    </sheetView>
  </sheetViews>
  <sheetFormatPr defaultColWidth="17.42578125" defaultRowHeight="15" customHeight="1"/>
  <cols>
    <col min="1" max="1" width="18.7109375" style="489" bestFit="1" customWidth="1"/>
    <col min="2" max="2" width="10.5703125" style="489" bestFit="1" customWidth="1"/>
    <col min="3" max="3" width="20.5703125" style="488" bestFit="1" customWidth="1"/>
    <col min="4" max="4" width="16.7109375" style="597" bestFit="1" customWidth="1"/>
    <col min="5" max="5" width="42.42578125" style="489" bestFit="1" customWidth="1"/>
    <col min="6" max="6" width="17.28515625" style="489" customWidth="1"/>
    <col min="7" max="7" width="19.5703125" style="174" customWidth="1"/>
    <col min="8" max="8" width="15.5703125" style="174" customWidth="1"/>
    <col min="9" max="9" width="11" style="174" customWidth="1"/>
    <col min="10" max="10" width="17" style="174" customWidth="1"/>
    <col min="11" max="11" width="9.42578125" style="175" customWidth="1"/>
    <col min="12" max="13" width="14.42578125" style="483" customWidth="1"/>
    <col min="14" max="14" width="15.42578125" style="483" customWidth="1"/>
    <col min="15" max="15" width="7.5703125" style="174" customWidth="1"/>
    <col min="16" max="16" width="17.42578125" style="174" customWidth="1"/>
    <col min="17" max="17" width="11.42578125" style="87" customWidth="1"/>
    <col min="18" max="16384" width="17.42578125" style="87"/>
  </cols>
  <sheetData>
    <row r="1" spans="1:18" s="490" customFormat="1" ht="30">
      <c r="A1" s="486" t="s">
        <v>217</v>
      </c>
      <c r="B1" s="486" t="s">
        <v>170</v>
      </c>
      <c r="C1" s="487" t="s">
        <v>250</v>
      </c>
      <c r="D1" s="596" t="s">
        <v>251</v>
      </c>
      <c r="E1" s="486" t="s">
        <v>230</v>
      </c>
      <c r="F1" s="486" t="s">
        <v>221</v>
      </c>
      <c r="G1" s="484" t="s">
        <v>252</v>
      </c>
      <c r="H1" s="170" t="s">
        <v>253</v>
      </c>
      <c r="I1" s="171" t="s">
        <v>219</v>
      </c>
      <c r="J1" s="485" t="s">
        <v>218</v>
      </c>
      <c r="K1" s="172" t="s">
        <v>254</v>
      </c>
      <c r="L1" s="173" t="s">
        <v>255</v>
      </c>
      <c r="M1" s="173" t="s">
        <v>256</v>
      </c>
      <c r="N1" s="173" t="s">
        <v>257</v>
      </c>
      <c r="O1" s="485" t="s">
        <v>229</v>
      </c>
      <c r="P1" s="171" t="s">
        <v>220</v>
      </c>
      <c r="Q1" s="490" t="s">
        <v>258</v>
      </c>
      <c r="R1" s="490" t="s">
        <v>259</v>
      </c>
    </row>
    <row r="2" spans="1:18" ht="15" hidden="1" customHeight="1">
      <c r="A2" s="839">
        <v>68817796</v>
      </c>
      <c r="B2" s="839">
        <v>1352</v>
      </c>
      <c r="C2" s="906">
        <v>46</v>
      </c>
      <c r="D2" s="907">
        <v>46025</v>
      </c>
      <c r="E2" s="839" t="s">
        <v>263</v>
      </c>
      <c r="F2" s="839" t="s">
        <v>264</v>
      </c>
      <c r="G2" s="916">
        <f>VLOOKUP($A2,'Tech Litons'!$A:$I,8,FALSE)</f>
        <v>8.513999999999999E-3</v>
      </c>
      <c r="H2" s="917">
        <f>VLOOKUP($A2,'Tech Litons'!$A:$I,9,FALSE)</f>
        <v>176</v>
      </c>
      <c r="I2" s="917" t="str">
        <f>VLOOKUP($A2,'Tech Litons'!$A:$C,3,0)</f>
        <v>48oz</v>
      </c>
      <c r="J2" s="918" t="str">
        <f t="shared" ref="J2:J64" si="0">B2&amp;I2</f>
        <v>135248oz</v>
      </c>
      <c r="K2" s="919">
        <v>1</v>
      </c>
      <c r="L2" s="920">
        <f t="shared" ref="L2:L64" si="1">C2*$K2</f>
        <v>46</v>
      </c>
      <c r="M2" s="920">
        <f t="shared" ref="M2:M64" si="2">L2*G2</f>
        <v>0.39164399999999994</v>
      </c>
      <c r="N2" s="920">
        <f t="shared" ref="N2:N64" si="3">L2/H2</f>
        <v>0.26136363636363635</v>
      </c>
      <c r="O2" s="918" t="str">
        <f t="shared" ref="O2:O64" si="4">TEXT(D2,"MMM")</f>
        <v>Jan</v>
      </c>
      <c r="P2" s="921">
        <f t="shared" ref="P2:P64" si="5">WEEKNUM(D2)</f>
        <v>1</v>
      </c>
    </row>
    <row r="3" spans="1:18" ht="15" hidden="1" customHeight="1">
      <c r="A3" s="839">
        <v>68851107</v>
      </c>
      <c r="B3" s="839">
        <v>2904</v>
      </c>
      <c r="C3" s="906">
        <v>1056</v>
      </c>
      <c r="D3" s="907">
        <v>46025</v>
      </c>
      <c r="E3" s="839" t="s">
        <v>272</v>
      </c>
      <c r="F3" s="839" t="s">
        <v>273</v>
      </c>
      <c r="G3" s="916">
        <f>VLOOKUP($A3,'Tech Litons'!$A:$I,8,FALSE)</f>
        <v>8.5199999999999998E-3</v>
      </c>
      <c r="H3" s="917">
        <f>VLOOKUP($A3,'Tech Litons'!$A:$I,9,FALSE)</f>
        <v>176</v>
      </c>
      <c r="I3" s="917" t="str">
        <f>VLOOKUP($A3,'Tech Litons'!$A:$C,3,0)</f>
        <v>48oz</v>
      </c>
      <c r="J3" s="918" t="str">
        <f t="shared" si="0"/>
        <v>290448oz</v>
      </c>
      <c r="K3" s="919">
        <v>1</v>
      </c>
      <c r="L3" s="920">
        <f t="shared" si="1"/>
        <v>1056</v>
      </c>
      <c r="M3" s="920">
        <f t="shared" si="2"/>
        <v>8.9971199999999989</v>
      </c>
      <c r="N3" s="920">
        <f t="shared" si="3"/>
        <v>6</v>
      </c>
      <c r="O3" s="918" t="str">
        <f t="shared" si="4"/>
        <v>Jan</v>
      </c>
      <c r="P3" s="921">
        <f t="shared" si="5"/>
        <v>1</v>
      </c>
    </row>
    <row r="4" spans="1:18" ht="15" hidden="1" customHeight="1">
      <c r="A4" s="839">
        <v>68689251</v>
      </c>
      <c r="B4" s="839">
        <v>1352</v>
      </c>
      <c r="C4" s="906">
        <v>1276</v>
      </c>
      <c r="D4" s="907">
        <v>46025</v>
      </c>
      <c r="E4" s="839" t="s">
        <v>262</v>
      </c>
      <c r="F4" s="839" t="s">
        <v>240</v>
      </c>
      <c r="G4" s="916">
        <f>VLOOKUP($A4,'Tech Litons'!$A:$I,8,FALSE)</f>
        <v>9.5760000000000012E-3</v>
      </c>
      <c r="H4" s="917">
        <f>VLOOKUP($A4,'Tech Litons'!$A:$I,9,FALSE)</f>
        <v>132</v>
      </c>
      <c r="I4" s="917" t="str">
        <f>VLOOKUP($A4,'Tech Litons'!$A:$C,3,0)</f>
        <v>EDF</v>
      </c>
      <c r="J4" s="918" t="str">
        <f t="shared" si="0"/>
        <v>1352EDF</v>
      </c>
      <c r="K4" s="919">
        <v>1</v>
      </c>
      <c r="L4" s="920">
        <f t="shared" si="1"/>
        <v>1276</v>
      </c>
      <c r="M4" s="920">
        <f t="shared" si="2"/>
        <v>12.218976000000001</v>
      </c>
      <c r="N4" s="920">
        <f t="shared" si="3"/>
        <v>9.6666666666666661</v>
      </c>
      <c r="O4" s="918" t="str">
        <f t="shared" si="4"/>
        <v>Jan</v>
      </c>
      <c r="P4" s="921">
        <f t="shared" si="5"/>
        <v>1</v>
      </c>
    </row>
    <row r="5" spans="1:18" ht="15" hidden="1" customHeight="1">
      <c r="A5" s="839">
        <v>68851104</v>
      </c>
      <c r="B5" s="839">
        <v>2904</v>
      </c>
      <c r="C5" s="906">
        <v>1408</v>
      </c>
      <c r="D5" s="907">
        <v>46025</v>
      </c>
      <c r="E5" s="839" t="s">
        <v>270</v>
      </c>
      <c r="F5" s="839" t="s">
        <v>271</v>
      </c>
      <c r="G5" s="916">
        <f>VLOOKUP($A5,'Tech Litons'!$A:$I,8,FALSE)</f>
        <v>8.5199999999999998E-3</v>
      </c>
      <c r="H5" s="917">
        <f>VLOOKUP($A5,'Tech Litons'!$A:$I,9,FALSE)</f>
        <v>176</v>
      </c>
      <c r="I5" s="917" t="str">
        <f>VLOOKUP($A5,'Tech Litons'!$A:$C,3,0)</f>
        <v>48oz</v>
      </c>
      <c r="J5" s="918" t="str">
        <f t="shared" si="0"/>
        <v>290448oz</v>
      </c>
      <c r="K5" s="919">
        <v>1</v>
      </c>
      <c r="L5" s="920">
        <f t="shared" si="1"/>
        <v>1408</v>
      </c>
      <c r="M5" s="920">
        <f t="shared" si="2"/>
        <v>11.99616</v>
      </c>
      <c r="N5" s="920">
        <f t="shared" si="3"/>
        <v>8</v>
      </c>
      <c r="O5" s="918" t="str">
        <f t="shared" si="4"/>
        <v>Jan</v>
      </c>
      <c r="P5" s="921">
        <f t="shared" si="5"/>
        <v>1</v>
      </c>
    </row>
    <row r="6" spans="1:18" ht="15" hidden="1" customHeight="1">
      <c r="A6" s="839">
        <v>68921994</v>
      </c>
      <c r="B6" s="839">
        <v>1352</v>
      </c>
      <c r="C6" s="906">
        <v>1452</v>
      </c>
      <c r="D6" s="907">
        <v>46025</v>
      </c>
      <c r="E6" s="839" t="s">
        <v>267</v>
      </c>
      <c r="F6" s="839" t="s">
        <v>241</v>
      </c>
      <c r="G6" s="916">
        <f>VLOOKUP($A6,'Tech Litons'!$A:$I,8,FALSE)</f>
        <v>9.5760000000000012E-3</v>
      </c>
      <c r="H6" s="917">
        <f>VLOOKUP($A6,'Tech Litons'!$A:$I,9,FALSE)</f>
        <v>132</v>
      </c>
      <c r="I6" s="917" t="str">
        <f>VLOOKUP($A6,'Tech Litons'!$A:$C,3,0)</f>
        <v>EDF</v>
      </c>
      <c r="J6" s="918" t="str">
        <f t="shared" si="0"/>
        <v>1352EDF</v>
      </c>
      <c r="K6" s="919">
        <v>1</v>
      </c>
      <c r="L6" s="920">
        <f t="shared" si="1"/>
        <v>1452</v>
      </c>
      <c r="M6" s="920">
        <f t="shared" si="2"/>
        <v>13.904352000000001</v>
      </c>
      <c r="N6" s="920">
        <f t="shared" si="3"/>
        <v>11</v>
      </c>
      <c r="O6" s="918" t="str">
        <f t="shared" si="4"/>
        <v>Jan</v>
      </c>
      <c r="P6" s="921">
        <f t="shared" si="5"/>
        <v>1</v>
      </c>
    </row>
    <row r="7" spans="1:18" ht="15" hidden="1" customHeight="1">
      <c r="A7" s="839">
        <v>64988056</v>
      </c>
      <c r="B7" s="839">
        <v>2904</v>
      </c>
      <c r="C7" s="906">
        <v>1661</v>
      </c>
      <c r="D7" s="907">
        <v>46025</v>
      </c>
      <c r="E7" s="839" t="s">
        <v>268</v>
      </c>
      <c r="F7" s="839" t="s">
        <v>269</v>
      </c>
      <c r="G7" s="916">
        <f>VLOOKUP($A7,'Tech Litons'!$A:$I,8,FALSE)</f>
        <v>8.513999999999999E-3</v>
      </c>
      <c r="H7" s="917">
        <f>VLOOKUP($A7,'Tech Litons'!$A:$I,9,FALSE)</f>
        <v>176</v>
      </c>
      <c r="I7" s="917" t="str">
        <f>VLOOKUP($A7,'Tech Litons'!$A:$C,3,0)</f>
        <v>48oz</v>
      </c>
      <c r="J7" s="918" t="str">
        <f t="shared" si="0"/>
        <v>290448oz</v>
      </c>
      <c r="K7" s="919">
        <v>1</v>
      </c>
      <c r="L7" s="920">
        <f t="shared" si="1"/>
        <v>1661</v>
      </c>
      <c r="M7" s="920">
        <f t="shared" si="2"/>
        <v>14.141753999999999</v>
      </c>
      <c r="N7" s="920">
        <f t="shared" si="3"/>
        <v>9.4375</v>
      </c>
      <c r="O7" s="918" t="str">
        <f t="shared" si="4"/>
        <v>Jan</v>
      </c>
      <c r="P7" s="921">
        <f t="shared" si="5"/>
        <v>1</v>
      </c>
    </row>
    <row r="8" spans="1:18" ht="15" hidden="1" customHeight="1">
      <c r="A8" s="839">
        <v>68851109</v>
      </c>
      <c r="B8" s="839">
        <v>1352</v>
      </c>
      <c r="C8" s="906">
        <v>1848</v>
      </c>
      <c r="D8" s="907">
        <v>46025</v>
      </c>
      <c r="E8" s="839" t="s">
        <v>297</v>
      </c>
      <c r="F8" s="839" t="s">
        <v>290</v>
      </c>
      <c r="G8" s="916">
        <f>VLOOKUP($A8,'Tech Litons'!$A:$I,8,FALSE)</f>
        <v>8.5199999999999998E-3</v>
      </c>
      <c r="H8" s="917">
        <f>VLOOKUP($A8,'Tech Litons'!$A:$I,9,FALSE)</f>
        <v>154</v>
      </c>
      <c r="I8" s="917" t="str">
        <f>VLOOKUP($A8,'Tech Litons'!$A:$C,3,0)</f>
        <v>48oz</v>
      </c>
      <c r="J8" s="918" t="str">
        <f t="shared" si="0"/>
        <v>135248oz</v>
      </c>
      <c r="K8" s="919">
        <v>1</v>
      </c>
      <c r="L8" s="920">
        <f t="shared" si="1"/>
        <v>1848</v>
      </c>
      <c r="M8" s="920">
        <f t="shared" si="2"/>
        <v>15.744959999999999</v>
      </c>
      <c r="N8" s="920">
        <f t="shared" si="3"/>
        <v>12</v>
      </c>
      <c r="O8" s="918" t="str">
        <f t="shared" si="4"/>
        <v>Jan</v>
      </c>
      <c r="P8" s="921">
        <f t="shared" si="5"/>
        <v>1</v>
      </c>
    </row>
    <row r="9" spans="1:18" ht="15" hidden="1" customHeight="1">
      <c r="A9" s="839">
        <v>68896054</v>
      </c>
      <c r="B9" s="839">
        <v>1352</v>
      </c>
      <c r="C9" s="906">
        <v>1936</v>
      </c>
      <c r="D9" s="907">
        <v>46025</v>
      </c>
      <c r="E9" s="839" t="s">
        <v>265</v>
      </c>
      <c r="F9" s="839" t="s">
        <v>266</v>
      </c>
      <c r="G9" s="916">
        <f>VLOOKUP($A9,'Tech Litons'!$A:$I,8,FALSE)</f>
        <v>8.5199999999999998E-3</v>
      </c>
      <c r="H9" s="917">
        <f>VLOOKUP($A9,'Tech Litons'!$A:$I,9,FALSE)</f>
        <v>176</v>
      </c>
      <c r="I9" s="917" t="str">
        <f>VLOOKUP($A9,'Tech Litons'!$A:$C,3,0)</f>
        <v>48oz</v>
      </c>
      <c r="J9" s="918" t="str">
        <f t="shared" si="0"/>
        <v>135248oz</v>
      </c>
      <c r="K9" s="919">
        <v>1</v>
      </c>
      <c r="L9" s="920">
        <f t="shared" si="1"/>
        <v>1936</v>
      </c>
      <c r="M9" s="920">
        <f t="shared" si="2"/>
        <v>16.494720000000001</v>
      </c>
      <c r="N9" s="920">
        <f t="shared" si="3"/>
        <v>11</v>
      </c>
      <c r="O9" s="918" t="str">
        <f t="shared" si="4"/>
        <v>Jan</v>
      </c>
      <c r="P9" s="921">
        <f t="shared" si="5"/>
        <v>1</v>
      </c>
    </row>
    <row r="10" spans="1:18" ht="15" hidden="1" customHeight="1">
      <c r="A10" s="839">
        <v>68922108</v>
      </c>
      <c r="B10" s="839">
        <v>2904</v>
      </c>
      <c r="C10" s="906">
        <v>2295</v>
      </c>
      <c r="D10" s="907">
        <v>46025</v>
      </c>
      <c r="E10" s="839" t="s">
        <v>276</v>
      </c>
      <c r="F10" s="839" t="s">
        <v>277</v>
      </c>
      <c r="G10" s="916">
        <f>VLOOKUP($A10,'Tech Litons'!$A:$I,8,FALSE)</f>
        <v>3.7839999999999996E-3</v>
      </c>
      <c r="H10" s="917">
        <f>VLOOKUP($A10,'Tech Litons'!$A:$I,9,FALSE)</f>
        <v>255</v>
      </c>
      <c r="I10" s="917" t="str">
        <f>VLOOKUP($A10,'Tech Litons'!$A:$C,3,0)</f>
        <v>TALENTI</v>
      </c>
      <c r="J10" s="918" t="str">
        <f t="shared" si="0"/>
        <v>2904TALENTI</v>
      </c>
      <c r="K10" s="919">
        <v>1</v>
      </c>
      <c r="L10" s="920">
        <f t="shared" si="1"/>
        <v>2295</v>
      </c>
      <c r="M10" s="920">
        <f t="shared" si="2"/>
        <v>8.6842799999999993</v>
      </c>
      <c r="N10" s="920">
        <f t="shared" si="3"/>
        <v>9</v>
      </c>
      <c r="O10" s="918" t="str">
        <f t="shared" si="4"/>
        <v>Jan</v>
      </c>
      <c r="P10" s="921">
        <f t="shared" si="5"/>
        <v>1</v>
      </c>
    </row>
    <row r="11" spans="1:18" ht="15" hidden="1" customHeight="1">
      <c r="A11" s="839">
        <v>68867755</v>
      </c>
      <c r="B11" s="839">
        <v>2904</v>
      </c>
      <c r="C11" s="906">
        <v>2550</v>
      </c>
      <c r="D11" s="907">
        <v>46025</v>
      </c>
      <c r="E11" s="839" t="s">
        <v>274</v>
      </c>
      <c r="F11" s="839" t="s">
        <v>275</v>
      </c>
      <c r="G11" s="916">
        <f>VLOOKUP($A11,'Tech Litons'!$A:$I,8,FALSE)</f>
        <v>3.552E-3</v>
      </c>
      <c r="H11" s="917">
        <f>VLOOKUP($A11,'Tech Litons'!$A:$I,9,FALSE)</f>
        <v>255</v>
      </c>
      <c r="I11" s="917" t="str">
        <f>VLOOKUP($A11,'Tech Litons'!$A:$C,3,0)</f>
        <v>Talenti</v>
      </c>
      <c r="J11" s="918" t="str">
        <f t="shared" si="0"/>
        <v>2904Talenti</v>
      </c>
      <c r="K11" s="919">
        <v>1</v>
      </c>
      <c r="L11" s="920">
        <f t="shared" si="1"/>
        <v>2550</v>
      </c>
      <c r="M11" s="920">
        <f t="shared" si="2"/>
        <v>9.0576000000000008</v>
      </c>
      <c r="N11" s="920">
        <f t="shared" si="3"/>
        <v>10</v>
      </c>
      <c r="O11" s="918" t="str">
        <f t="shared" si="4"/>
        <v>Jan</v>
      </c>
      <c r="P11" s="921">
        <f t="shared" si="5"/>
        <v>1</v>
      </c>
    </row>
    <row r="12" spans="1:18" ht="15" hidden="1" customHeight="1">
      <c r="A12" s="839">
        <v>68851107</v>
      </c>
      <c r="B12" s="839">
        <v>2904</v>
      </c>
      <c r="C12" s="906">
        <v>3603</v>
      </c>
      <c r="D12" s="907">
        <v>46025</v>
      </c>
      <c r="E12" s="839" t="s">
        <v>272</v>
      </c>
      <c r="F12" s="839" t="s">
        <v>273</v>
      </c>
      <c r="G12" s="916">
        <f>VLOOKUP($A12,'Tech Litons'!$A:$I,8,FALSE)</f>
        <v>8.5199999999999998E-3</v>
      </c>
      <c r="H12" s="917">
        <f>VLOOKUP($A12,'Tech Litons'!$A:$I,9,FALSE)</f>
        <v>176</v>
      </c>
      <c r="I12" s="917" t="str">
        <f>VLOOKUP($A12,'Tech Litons'!$A:$C,3,0)</f>
        <v>48oz</v>
      </c>
      <c r="J12" s="918" t="str">
        <f t="shared" si="0"/>
        <v>290448oz</v>
      </c>
      <c r="K12" s="919">
        <v>1</v>
      </c>
      <c r="L12" s="920">
        <f t="shared" si="1"/>
        <v>3603</v>
      </c>
      <c r="M12" s="920">
        <f t="shared" si="2"/>
        <v>30.697559999999999</v>
      </c>
      <c r="N12" s="920">
        <f t="shared" si="3"/>
        <v>20.47159090909091</v>
      </c>
      <c r="O12" s="918" t="str">
        <f t="shared" si="4"/>
        <v>Jan</v>
      </c>
      <c r="P12" s="921">
        <f t="shared" si="5"/>
        <v>1</v>
      </c>
    </row>
    <row r="13" spans="1:18" ht="15" hidden="1" customHeight="1">
      <c r="A13" s="839">
        <v>84137725</v>
      </c>
      <c r="B13" s="839">
        <v>5911</v>
      </c>
      <c r="C13" s="906">
        <v>4800</v>
      </c>
      <c r="D13" s="907">
        <v>46025</v>
      </c>
      <c r="E13" s="839" t="s">
        <v>278</v>
      </c>
      <c r="F13" s="839" t="s">
        <v>279</v>
      </c>
      <c r="G13" s="916">
        <f>VLOOKUP($A13,'Tech Litons'!$A:$I,8,FALSE)</f>
        <v>3.7853439999999999E-3</v>
      </c>
      <c r="H13" s="917">
        <f>VLOOKUP($A13,'Tech Litons'!$A:$I,9,FALSE)</f>
        <v>240</v>
      </c>
      <c r="I13" s="917" t="str">
        <f>VLOOKUP($A13,'Tech Litons'!$A:$C,3,0)</f>
        <v>BJ PTS</v>
      </c>
      <c r="J13" s="918" t="str">
        <f t="shared" si="0"/>
        <v>5911BJ PTS</v>
      </c>
      <c r="K13" s="919">
        <v>1</v>
      </c>
      <c r="L13" s="920">
        <f t="shared" si="1"/>
        <v>4800</v>
      </c>
      <c r="M13" s="920">
        <f t="shared" si="2"/>
        <v>18.169651200000001</v>
      </c>
      <c r="N13" s="920">
        <f t="shared" si="3"/>
        <v>20</v>
      </c>
      <c r="O13" s="918" t="str">
        <f t="shared" si="4"/>
        <v>Jan</v>
      </c>
      <c r="P13" s="921">
        <f t="shared" si="5"/>
        <v>1</v>
      </c>
    </row>
    <row r="14" spans="1:18" ht="15" hidden="1" customHeight="1">
      <c r="A14" s="839">
        <v>64958125</v>
      </c>
      <c r="B14" s="839">
        <v>2904</v>
      </c>
      <c r="C14" s="906">
        <v>4950</v>
      </c>
      <c r="D14" s="907">
        <v>46025</v>
      </c>
      <c r="E14" s="839" t="s">
        <v>238</v>
      </c>
      <c r="F14" s="839" t="s">
        <v>234</v>
      </c>
      <c r="G14" s="916">
        <f>VLOOKUP($A14,'Tech Litons'!$A:$I,8,FALSE)</f>
        <v>3.3119999999999998E-3</v>
      </c>
      <c r="H14" s="917">
        <f>VLOOKUP($A14,'Tech Litons'!$A:$I,9,FALSE)</f>
        <v>165</v>
      </c>
      <c r="I14" s="917" t="str">
        <f>VLOOKUP($A14,'Tech Litons'!$A:$C,3,0)</f>
        <v>Yasso Sticks</v>
      </c>
      <c r="J14" s="918" t="str">
        <f t="shared" si="0"/>
        <v>2904Yasso Sticks</v>
      </c>
      <c r="K14" s="919">
        <v>1</v>
      </c>
      <c r="L14" s="920">
        <f t="shared" si="1"/>
        <v>4950</v>
      </c>
      <c r="M14" s="920">
        <f t="shared" si="2"/>
        <v>16.394400000000001</v>
      </c>
      <c r="N14" s="920">
        <f t="shared" si="3"/>
        <v>30</v>
      </c>
      <c r="O14" s="918" t="str">
        <f t="shared" si="4"/>
        <v>Jan</v>
      </c>
      <c r="P14" s="921">
        <f t="shared" si="5"/>
        <v>1</v>
      </c>
    </row>
    <row r="15" spans="1:18" ht="15" hidden="1" customHeight="1">
      <c r="A15" s="839">
        <v>68737750</v>
      </c>
      <c r="B15" s="839">
        <v>1352</v>
      </c>
      <c r="C15" s="906">
        <v>984</v>
      </c>
      <c r="D15" s="907">
        <v>46026</v>
      </c>
      <c r="E15" s="839" t="s">
        <v>407</v>
      </c>
      <c r="F15" s="839" t="s">
        <v>261</v>
      </c>
      <c r="G15" s="916">
        <f>VLOOKUP($A15,'Tech Litons'!$A:$I,8,FALSE)</f>
        <v>8.5199999999999998E-3</v>
      </c>
      <c r="H15" s="917">
        <f>VLOOKUP($A15,'Tech Litons'!$A:$I,9,FALSE)</f>
        <v>176</v>
      </c>
      <c r="I15" s="917" t="str">
        <f>VLOOKUP($A15,'Tech Litons'!$A:$C,3,0)</f>
        <v>48oz</v>
      </c>
      <c r="J15" s="918" t="str">
        <f t="shared" si="0"/>
        <v>135248oz</v>
      </c>
      <c r="K15" s="919">
        <v>1</v>
      </c>
      <c r="L15" s="920">
        <f t="shared" si="1"/>
        <v>984</v>
      </c>
      <c r="M15" s="920">
        <f t="shared" si="2"/>
        <v>8.38368</v>
      </c>
      <c r="N15" s="920">
        <f t="shared" si="3"/>
        <v>5.5909090909090908</v>
      </c>
      <c r="O15" s="918" t="str">
        <f t="shared" si="4"/>
        <v>Jan</v>
      </c>
      <c r="P15" s="921">
        <f t="shared" si="5"/>
        <v>2</v>
      </c>
    </row>
    <row r="16" spans="1:18" ht="15" hidden="1" customHeight="1">
      <c r="A16" s="839">
        <v>64979407</v>
      </c>
      <c r="B16" s="839">
        <v>2904</v>
      </c>
      <c r="C16" s="906">
        <v>1001</v>
      </c>
      <c r="D16" s="907">
        <v>46026</v>
      </c>
      <c r="E16" s="839" t="s">
        <v>284</v>
      </c>
      <c r="F16" s="839" t="s">
        <v>231</v>
      </c>
      <c r="G16" s="916">
        <f>VLOOKUP($A16,'Tech Litons'!$A:$I,8,FALSE)</f>
        <v>4.2560000000000002E-3</v>
      </c>
      <c r="H16" s="917">
        <f>VLOOKUP($A16,'Tech Litons'!$A:$I,9,FALSE)</f>
        <v>143</v>
      </c>
      <c r="I16" s="917" t="str">
        <f>VLOOKUP($A16,'Tech Litons'!$A:$C,3,0)</f>
        <v>MG Sticks</v>
      </c>
      <c r="J16" s="918" t="str">
        <f t="shared" si="0"/>
        <v>2904MG Sticks</v>
      </c>
      <c r="K16" s="919">
        <v>1</v>
      </c>
      <c r="L16" s="920">
        <f t="shared" si="1"/>
        <v>1001</v>
      </c>
      <c r="M16" s="920">
        <f t="shared" si="2"/>
        <v>4.260256</v>
      </c>
      <c r="N16" s="920">
        <f t="shared" si="3"/>
        <v>7</v>
      </c>
      <c r="O16" s="918" t="str">
        <f t="shared" si="4"/>
        <v>Jan</v>
      </c>
      <c r="P16" s="921">
        <f t="shared" si="5"/>
        <v>2</v>
      </c>
    </row>
    <row r="17" spans="1:16" ht="15" hidden="1" customHeight="1">
      <c r="A17" s="839">
        <v>64988056</v>
      </c>
      <c r="B17" s="839">
        <v>2904</v>
      </c>
      <c r="C17" s="906">
        <v>1051</v>
      </c>
      <c r="D17" s="907">
        <v>46026</v>
      </c>
      <c r="E17" s="839" t="s">
        <v>268</v>
      </c>
      <c r="F17" s="839" t="s">
        <v>269</v>
      </c>
      <c r="G17" s="916">
        <f>VLOOKUP($A17,'Tech Litons'!$A:$I,8,FALSE)</f>
        <v>8.513999999999999E-3</v>
      </c>
      <c r="H17" s="917">
        <f>VLOOKUP($A17,'Tech Litons'!$A:$I,9,FALSE)</f>
        <v>176</v>
      </c>
      <c r="I17" s="917" t="str">
        <f>VLOOKUP($A17,'Tech Litons'!$A:$C,3,0)</f>
        <v>48oz</v>
      </c>
      <c r="J17" s="918" t="str">
        <f t="shared" si="0"/>
        <v>290448oz</v>
      </c>
      <c r="K17" s="919">
        <v>1</v>
      </c>
      <c r="L17" s="920">
        <f t="shared" si="1"/>
        <v>1051</v>
      </c>
      <c r="M17" s="920">
        <f t="shared" si="2"/>
        <v>8.9482139999999983</v>
      </c>
      <c r="N17" s="920">
        <f t="shared" si="3"/>
        <v>5.9715909090909092</v>
      </c>
      <c r="O17" s="918" t="str">
        <f t="shared" si="4"/>
        <v>Jan</v>
      </c>
      <c r="P17" s="921">
        <f t="shared" si="5"/>
        <v>2</v>
      </c>
    </row>
    <row r="18" spans="1:16" ht="15" hidden="1" customHeight="1">
      <c r="A18" s="839">
        <v>68851109</v>
      </c>
      <c r="B18" s="839">
        <v>1352</v>
      </c>
      <c r="C18" s="906">
        <v>1903</v>
      </c>
      <c r="D18" s="907">
        <v>46026</v>
      </c>
      <c r="E18" s="839" t="s">
        <v>297</v>
      </c>
      <c r="F18" s="839" t="s">
        <v>290</v>
      </c>
      <c r="G18" s="916">
        <f>VLOOKUP($A18,'Tech Litons'!$A:$I,8,FALSE)</f>
        <v>8.5199999999999998E-3</v>
      </c>
      <c r="H18" s="917">
        <f>VLOOKUP($A18,'Tech Litons'!$A:$I,9,FALSE)</f>
        <v>154</v>
      </c>
      <c r="I18" s="917" t="str">
        <f>VLOOKUP($A18,'Tech Litons'!$A:$C,3,0)</f>
        <v>48oz</v>
      </c>
      <c r="J18" s="918" t="str">
        <f t="shared" si="0"/>
        <v>135248oz</v>
      </c>
      <c r="K18" s="919">
        <v>1</v>
      </c>
      <c r="L18" s="920">
        <f t="shared" si="1"/>
        <v>1903</v>
      </c>
      <c r="M18" s="920">
        <f t="shared" si="2"/>
        <v>16.213560000000001</v>
      </c>
      <c r="N18" s="920">
        <f t="shared" si="3"/>
        <v>12.357142857142858</v>
      </c>
      <c r="O18" s="918" t="str">
        <f t="shared" si="4"/>
        <v>Jan</v>
      </c>
      <c r="P18" s="921">
        <f t="shared" si="5"/>
        <v>2</v>
      </c>
    </row>
    <row r="19" spans="1:16" ht="15" hidden="1" customHeight="1">
      <c r="A19" s="839">
        <v>68689251</v>
      </c>
      <c r="B19" s="839">
        <v>1352</v>
      </c>
      <c r="C19" s="906">
        <v>2376</v>
      </c>
      <c r="D19" s="907">
        <v>46026</v>
      </c>
      <c r="E19" s="839" t="s">
        <v>262</v>
      </c>
      <c r="F19" s="839" t="s">
        <v>240</v>
      </c>
      <c r="G19" s="916">
        <f>VLOOKUP($A19,'Tech Litons'!$A:$I,8,FALSE)</f>
        <v>9.5760000000000012E-3</v>
      </c>
      <c r="H19" s="917">
        <f>VLOOKUP($A19,'Tech Litons'!$A:$I,9,FALSE)</f>
        <v>132</v>
      </c>
      <c r="I19" s="917" t="str">
        <f>VLOOKUP($A19,'Tech Litons'!$A:$C,3,0)</f>
        <v>EDF</v>
      </c>
      <c r="J19" s="918" t="str">
        <f t="shared" si="0"/>
        <v>1352EDF</v>
      </c>
      <c r="K19" s="919">
        <v>1</v>
      </c>
      <c r="L19" s="920">
        <f t="shared" si="1"/>
        <v>2376</v>
      </c>
      <c r="M19" s="920">
        <f t="shared" si="2"/>
        <v>22.752576000000001</v>
      </c>
      <c r="N19" s="920">
        <f t="shared" si="3"/>
        <v>18</v>
      </c>
      <c r="O19" s="918" t="str">
        <f t="shared" si="4"/>
        <v>Jan</v>
      </c>
      <c r="P19" s="921">
        <f t="shared" si="5"/>
        <v>2</v>
      </c>
    </row>
    <row r="20" spans="1:16" ht="15" hidden="1" customHeight="1">
      <c r="A20" s="839">
        <v>68737750</v>
      </c>
      <c r="B20" s="839">
        <v>1352</v>
      </c>
      <c r="C20" s="906">
        <v>2464</v>
      </c>
      <c r="D20" s="907">
        <v>46026</v>
      </c>
      <c r="E20" s="839" t="s">
        <v>407</v>
      </c>
      <c r="F20" s="839" t="s">
        <v>261</v>
      </c>
      <c r="G20" s="916">
        <f>VLOOKUP($A20,'Tech Litons'!$A:$I,8,FALSE)</f>
        <v>8.5199999999999998E-3</v>
      </c>
      <c r="H20" s="917">
        <f>VLOOKUP($A20,'Tech Litons'!$A:$I,9,FALSE)</f>
        <v>176</v>
      </c>
      <c r="I20" s="917" t="str">
        <f>VLOOKUP($A20,'Tech Litons'!$A:$C,3,0)</f>
        <v>48oz</v>
      </c>
      <c r="J20" s="918" t="str">
        <f t="shared" si="0"/>
        <v>135248oz</v>
      </c>
      <c r="K20" s="919">
        <v>1</v>
      </c>
      <c r="L20" s="920">
        <f t="shared" si="1"/>
        <v>2464</v>
      </c>
      <c r="M20" s="920">
        <f t="shared" si="2"/>
        <v>20.993279999999999</v>
      </c>
      <c r="N20" s="920">
        <f t="shared" si="3"/>
        <v>14</v>
      </c>
      <c r="O20" s="918" t="str">
        <f t="shared" si="4"/>
        <v>Jan</v>
      </c>
      <c r="P20" s="921">
        <f t="shared" si="5"/>
        <v>2</v>
      </c>
    </row>
    <row r="21" spans="1:16" ht="15" hidden="1" customHeight="1">
      <c r="A21" s="839">
        <v>68921994</v>
      </c>
      <c r="B21" s="839">
        <v>1352</v>
      </c>
      <c r="C21" s="906">
        <v>2508</v>
      </c>
      <c r="D21" s="907">
        <v>46026</v>
      </c>
      <c r="E21" s="839" t="s">
        <v>267</v>
      </c>
      <c r="F21" s="839" t="s">
        <v>241</v>
      </c>
      <c r="G21" s="916">
        <f>VLOOKUP($A21,'Tech Litons'!$A:$I,8,FALSE)</f>
        <v>9.5760000000000012E-3</v>
      </c>
      <c r="H21" s="917">
        <f>VLOOKUP($A21,'Tech Litons'!$A:$I,9,FALSE)</f>
        <v>132</v>
      </c>
      <c r="I21" s="917" t="str">
        <f>VLOOKUP($A21,'Tech Litons'!$A:$C,3,0)</f>
        <v>EDF</v>
      </c>
      <c r="J21" s="918" t="str">
        <f t="shared" si="0"/>
        <v>1352EDF</v>
      </c>
      <c r="K21" s="919">
        <v>1</v>
      </c>
      <c r="L21" s="920">
        <f t="shared" si="1"/>
        <v>2508</v>
      </c>
      <c r="M21" s="920">
        <f t="shared" si="2"/>
        <v>24.016608000000002</v>
      </c>
      <c r="N21" s="920">
        <f t="shared" si="3"/>
        <v>19</v>
      </c>
      <c r="O21" s="918" t="str">
        <f t="shared" si="4"/>
        <v>Jan</v>
      </c>
      <c r="P21" s="921">
        <f t="shared" si="5"/>
        <v>2</v>
      </c>
    </row>
    <row r="22" spans="1:16" ht="15" hidden="1" customHeight="1">
      <c r="A22" s="839">
        <v>64988056</v>
      </c>
      <c r="B22" s="839">
        <v>2904</v>
      </c>
      <c r="C22" s="906">
        <v>2640</v>
      </c>
      <c r="D22" s="907">
        <v>46026</v>
      </c>
      <c r="E22" s="839" t="s">
        <v>268</v>
      </c>
      <c r="F22" s="839" t="s">
        <v>269</v>
      </c>
      <c r="G22" s="916">
        <f>VLOOKUP($A22,'Tech Litons'!$A:$I,8,FALSE)</f>
        <v>8.513999999999999E-3</v>
      </c>
      <c r="H22" s="917">
        <f>VLOOKUP($A22,'Tech Litons'!$A:$I,9,FALSE)</f>
        <v>176</v>
      </c>
      <c r="I22" s="917" t="str">
        <f>VLOOKUP($A22,'Tech Litons'!$A:$C,3,0)</f>
        <v>48oz</v>
      </c>
      <c r="J22" s="918" t="str">
        <f t="shared" si="0"/>
        <v>290448oz</v>
      </c>
      <c r="K22" s="919">
        <v>1</v>
      </c>
      <c r="L22" s="920">
        <f t="shared" si="1"/>
        <v>2640</v>
      </c>
      <c r="M22" s="920">
        <f t="shared" si="2"/>
        <v>22.476959999999998</v>
      </c>
      <c r="N22" s="920">
        <f t="shared" si="3"/>
        <v>15</v>
      </c>
      <c r="O22" s="918" t="str">
        <f t="shared" si="4"/>
        <v>Jan</v>
      </c>
      <c r="P22" s="921">
        <f t="shared" si="5"/>
        <v>2</v>
      </c>
    </row>
    <row r="23" spans="1:16" ht="15" hidden="1" customHeight="1">
      <c r="A23" s="839">
        <v>64958125</v>
      </c>
      <c r="B23" s="839">
        <v>2904</v>
      </c>
      <c r="C23" s="906">
        <v>2818</v>
      </c>
      <c r="D23" s="907">
        <v>46026</v>
      </c>
      <c r="E23" s="839" t="s">
        <v>238</v>
      </c>
      <c r="F23" s="839" t="s">
        <v>234</v>
      </c>
      <c r="G23" s="916">
        <f>VLOOKUP($A23,'Tech Litons'!$A:$I,8,FALSE)</f>
        <v>3.3119999999999998E-3</v>
      </c>
      <c r="H23" s="917">
        <f>VLOOKUP($A23,'Tech Litons'!$A:$I,9,FALSE)</f>
        <v>165</v>
      </c>
      <c r="I23" s="917" t="str">
        <f>VLOOKUP($A23,'Tech Litons'!$A:$C,3,0)</f>
        <v>Yasso Sticks</v>
      </c>
      <c r="J23" s="918" t="str">
        <f t="shared" si="0"/>
        <v>2904Yasso Sticks</v>
      </c>
      <c r="K23" s="919">
        <v>1</v>
      </c>
      <c r="L23" s="920">
        <f t="shared" si="1"/>
        <v>2818</v>
      </c>
      <c r="M23" s="920">
        <f t="shared" si="2"/>
        <v>9.3332160000000002</v>
      </c>
      <c r="N23" s="920">
        <f t="shared" si="3"/>
        <v>17.078787878787878</v>
      </c>
      <c r="O23" s="918" t="str">
        <f t="shared" si="4"/>
        <v>Jan</v>
      </c>
      <c r="P23" s="921">
        <f t="shared" si="5"/>
        <v>2</v>
      </c>
    </row>
    <row r="24" spans="1:16" ht="15" hidden="1" customHeight="1">
      <c r="A24" s="839">
        <v>84137725</v>
      </c>
      <c r="B24" s="839">
        <v>5911</v>
      </c>
      <c r="C24" s="906">
        <v>2838</v>
      </c>
      <c r="D24" s="907">
        <v>46026</v>
      </c>
      <c r="E24" s="839" t="s">
        <v>278</v>
      </c>
      <c r="F24" s="839" t="s">
        <v>279</v>
      </c>
      <c r="G24" s="916">
        <f>VLOOKUP($A24,'Tech Litons'!$A:$I,8,FALSE)</f>
        <v>3.7853439999999999E-3</v>
      </c>
      <c r="H24" s="917">
        <f>VLOOKUP($A24,'Tech Litons'!$A:$I,9,FALSE)</f>
        <v>240</v>
      </c>
      <c r="I24" s="917" t="str">
        <f>VLOOKUP($A24,'Tech Litons'!$A:$C,3,0)</f>
        <v>BJ PTS</v>
      </c>
      <c r="J24" s="918" t="str">
        <f t="shared" si="0"/>
        <v>5911BJ PTS</v>
      </c>
      <c r="K24" s="919">
        <v>1</v>
      </c>
      <c r="L24" s="920">
        <f t="shared" si="1"/>
        <v>2838</v>
      </c>
      <c r="M24" s="920">
        <f t="shared" si="2"/>
        <v>10.742806271999999</v>
      </c>
      <c r="N24" s="920">
        <f t="shared" si="3"/>
        <v>11.824999999999999</v>
      </c>
      <c r="O24" s="918" t="str">
        <f t="shared" si="4"/>
        <v>Jan</v>
      </c>
      <c r="P24" s="921">
        <f t="shared" si="5"/>
        <v>2</v>
      </c>
    </row>
    <row r="25" spans="1:16" ht="15" hidden="1" customHeight="1">
      <c r="A25" s="839">
        <v>68851104</v>
      </c>
      <c r="B25" s="839">
        <v>1352</v>
      </c>
      <c r="C25" s="906">
        <v>2901</v>
      </c>
      <c r="D25" s="907">
        <v>46026</v>
      </c>
      <c r="E25" s="839" t="s">
        <v>270</v>
      </c>
      <c r="F25" s="839" t="s">
        <v>290</v>
      </c>
      <c r="G25" s="916">
        <f>VLOOKUP($A25,'Tech Litons'!$A:$I,8,FALSE)</f>
        <v>8.5199999999999998E-3</v>
      </c>
      <c r="H25" s="917">
        <f>VLOOKUP($A25,'Tech Litons'!$A:$I,9,FALSE)</f>
        <v>176</v>
      </c>
      <c r="I25" s="917" t="str">
        <f>VLOOKUP($A25,'Tech Litons'!$A:$C,3,0)</f>
        <v>48oz</v>
      </c>
      <c r="J25" s="918" t="str">
        <f t="shared" si="0"/>
        <v>135248oz</v>
      </c>
      <c r="K25" s="919">
        <v>1</v>
      </c>
      <c r="L25" s="920">
        <f t="shared" si="1"/>
        <v>2901</v>
      </c>
      <c r="M25" s="920">
        <f t="shared" si="2"/>
        <v>24.716519999999999</v>
      </c>
      <c r="N25" s="920">
        <f t="shared" si="3"/>
        <v>16.482954545454547</v>
      </c>
      <c r="O25" s="918" t="str">
        <f t="shared" si="4"/>
        <v>Jan</v>
      </c>
      <c r="P25" s="921">
        <f t="shared" si="5"/>
        <v>2</v>
      </c>
    </row>
    <row r="26" spans="1:16" ht="15" hidden="1" customHeight="1">
      <c r="A26" s="839">
        <v>68817796</v>
      </c>
      <c r="B26" s="839">
        <v>1352</v>
      </c>
      <c r="C26" s="906">
        <v>3300</v>
      </c>
      <c r="D26" s="907">
        <v>46026</v>
      </c>
      <c r="E26" s="839" t="s">
        <v>263</v>
      </c>
      <c r="F26" s="839" t="s">
        <v>264</v>
      </c>
      <c r="G26" s="916">
        <f>VLOOKUP($A26,'Tech Litons'!$A:$I,8,FALSE)</f>
        <v>8.513999999999999E-3</v>
      </c>
      <c r="H26" s="917">
        <f>VLOOKUP($A26,'Tech Litons'!$A:$I,9,FALSE)</f>
        <v>176</v>
      </c>
      <c r="I26" s="917" t="str">
        <f>VLOOKUP($A26,'Tech Litons'!$A:$C,3,0)</f>
        <v>48oz</v>
      </c>
      <c r="J26" s="918" t="str">
        <f t="shared" si="0"/>
        <v>135248oz</v>
      </c>
      <c r="K26" s="919">
        <v>1</v>
      </c>
      <c r="L26" s="920">
        <f t="shared" si="1"/>
        <v>3300</v>
      </c>
      <c r="M26" s="920">
        <f t="shared" si="2"/>
        <v>28.096199999999996</v>
      </c>
      <c r="N26" s="920">
        <f t="shared" si="3"/>
        <v>18.75</v>
      </c>
      <c r="O26" s="918" t="str">
        <f t="shared" si="4"/>
        <v>Jan</v>
      </c>
      <c r="P26" s="921">
        <f t="shared" si="5"/>
        <v>2</v>
      </c>
    </row>
    <row r="27" spans="1:16" ht="15" hidden="1" customHeight="1">
      <c r="A27" s="839">
        <v>68851104</v>
      </c>
      <c r="B27" s="839">
        <v>1352</v>
      </c>
      <c r="C27" s="906">
        <v>3344</v>
      </c>
      <c r="D27" s="907">
        <v>46026</v>
      </c>
      <c r="E27" s="839" t="s">
        <v>270</v>
      </c>
      <c r="F27" s="839" t="s">
        <v>290</v>
      </c>
      <c r="G27" s="916">
        <f>VLOOKUP($A27,'Tech Litons'!$A:$I,8,FALSE)</f>
        <v>8.5199999999999998E-3</v>
      </c>
      <c r="H27" s="917">
        <f>VLOOKUP($A27,'Tech Litons'!$A:$I,9,FALSE)</f>
        <v>176</v>
      </c>
      <c r="I27" s="917" t="str">
        <f>VLOOKUP($A27,'Tech Litons'!$A:$C,3,0)</f>
        <v>48oz</v>
      </c>
      <c r="J27" s="918" t="str">
        <f t="shared" si="0"/>
        <v>135248oz</v>
      </c>
      <c r="K27" s="919">
        <v>1</v>
      </c>
      <c r="L27" s="920">
        <f t="shared" si="1"/>
        <v>3344</v>
      </c>
      <c r="M27" s="920">
        <f t="shared" si="2"/>
        <v>28.490880000000001</v>
      </c>
      <c r="N27" s="920">
        <f t="shared" si="3"/>
        <v>19</v>
      </c>
      <c r="O27" s="918" t="str">
        <f t="shared" si="4"/>
        <v>Jan</v>
      </c>
      <c r="P27" s="921">
        <f t="shared" si="5"/>
        <v>2</v>
      </c>
    </row>
    <row r="28" spans="1:16" ht="15" hidden="1" customHeight="1">
      <c r="A28" s="839">
        <v>68896054</v>
      </c>
      <c r="B28" s="839">
        <v>1352</v>
      </c>
      <c r="C28" s="906">
        <v>3344</v>
      </c>
      <c r="D28" s="907">
        <v>46026</v>
      </c>
      <c r="E28" s="839" t="s">
        <v>265</v>
      </c>
      <c r="F28" s="839" t="s">
        <v>266</v>
      </c>
      <c r="G28" s="916">
        <f>VLOOKUP($A28,'Tech Litons'!$A:$I,8,FALSE)</f>
        <v>8.5199999999999998E-3</v>
      </c>
      <c r="H28" s="917">
        <f>VLOOKUP($A28,'Tech Litons'!$A:$I,9,FALSE)</f>
        <v>176</v>
      </c>
      <c r="I28" s="917" t="str">
        <f>VLOOKUP($A28,'Tech Litons'!$A:$C,3,0)</f>
        <v>48oz</v>
      </c>
      <c r="J28" s="918" t="str">
        <f t="shared" si="0"/>
        <v>135248oz</v>
      </c>
      <c r="K28" s="919">
        <v>1</v>
      </c>
      <c r="L28" s="920">
        <f t="shared" si="1"/>
        <v>3344</v>
      </c>
      <c r="M28" s="920">
        <f t="shared" si="2"/>
        <v>28.490880000000001</v>
      </c>
      <c r="N28" s="920">
        <f t="shared" si="3"/>
        <v>19</v>
      </c>
      <c r="O28" s="918" t="str">
        <f t="shared" si="4"/>
        <v>Jan</v>
      </c>
      <c r="P28" s="921">
        <f t="shared" si="5"/>
        <v>2</v>
      </c>
    </row>
    <row r="29" spans="1:16" ht="15" hidden="1" customHeight="1">
      <c r="A29" s="839">
        <v>68689251</v>
      </c>
      <c r="B29" s="839">
        <v>1352</v>
      </c>
      <c r="C29" s="906">
        <v>3982</v>
      </c>
      <c r="D29" s="907">
        <v>46026</v>
      </c>
      <c r="E29" s="839" t="s">
        <v>262</v>
      </c>
      <c r="F29" s="839" t="s">
        <v>240</v>
      </c>
      <c r="G29" s="916">
        <f>VLOOKUP($A29,'Tech Litons'!$A:$I,8,FALSE)</f>
        <v>9.5760000000000012E-3</v>
      </c>
      <c r="H29" s="917">
        <f>VLOOKUP($A29,'Tech Litons'!$A:$I,9,FALSE)</f>
        <v>132</v>
      </c>
      <c r="I29" s="917" t="str">
        <f>VLOOKUP($A29,'Tech Litons'!$A:$C,3,0)</f>
        <v>EDF</v>
      </c>
      <c r="J29" s="918" t="str">
        <f t="shared" si="0"/>
        <v>1352EDF</v>
      </c>
      <c r="K29" s="919">
        <v>1</v>
      </c>
      <c r="L29" s="920">
        <f t="shared" si="1"/>
        <v>3982</v>
      </c>
      <c r="M29" s="920">
        <f t="shared" si="2"/>
        <v>38.131632000000003</v>
      </c>
      <c r="N29" s="920">
        <f t="shared" si="3"/>
        <v>30.166666666666668</v>
      </c>
      <c r="O29" s="918" t="str">
        <f t="shared" si="4"/>
        <v>Jan</v>
      </c>
      <c r="P29" s="921">
        <f t="shared" si="5"/>
        <v>2</v>
      </c>
    </row>
    <row r="30" spans="1:16" ht="15" hidden="1" customHeight="1">
      <c r="A30" s="839">
        <v>68921994</v>
      </c>
      <c r="B30" s="839">
        <v>1352</v>
      </c>
      <c r="C30" s="906">
        <v>4025</v>
      </c>
      <c r="D30" s="907">
        <v>46026</v>
      </c>
      <c r="E30" s="839" t="s">
        <v>267</v>
      </c>
      <c r="F30" s="839" t="s">
        <v>241</v>
      </c>
      <c r="G30" s="916">
        <f>VLOOKUP($A30,'Tech Litons'!$A:$I,8,FALSE)</f>
        <v>9.5760000000000012E-3</v>
      </c>
      <c r="H30" s="917">
        <f>VLOOKUP($A30,'Tech Litons'!$A:$I,9,FALSE)</f>
        <v>132</v>
      </c>
      <c r="I30" s="917" t="str">
        <f>VLOOKUP($A30,'Tech Litons'!$A:$C,3,0)</f>
        <v>EDF</v>
      </c>
      <c r="J30" s="918" t="str">
        <f t="shared" si="0"/>
        <v>1352EDF</v>
      </c>
      <c r="K30" s="919">
        <v>1</v>
      </c>
      <c r="L30" s="920">
        <f t="shared" si="1"/>
        <v>4025</v>
      </c>
      <c r="M30" s="920">
        <f t="shared" si="2"/>
        <v>38.543400000000005</v>
      </c>
      <c r="N30" s="920">
        <f t="shared" si="3"/>
        <v>30.492424242424242</v>
      </c>
      <c r="O30" s="918" t="str">
        <f t="shared" si="4"/>
        <v>Jan</v>
      </c>
      <c r="P30" s="921">
        <f t="shared" si="5"/>
        <v>2</v>
      </c>
    </row>
    <row r="31" spans="1:16" ht="15" hidden="1" customHeight="1">
      <c r="A31" s="839">
        <v>64958125</v>
      </c>
      <c r="B31" s="839">
        <v>2904</v>
      </c>
      <c r="C31" s="906">
        <v>4767</v>
      </c>
      <c r="D31" s="907">
        <v>46026</v>
      </c>
      <c r="E31" s="839" t="s">
        <v>238</v>
      </c>
      <c r="F31" s="839" t="s">
        <v>234</v>
      </c>
      <c r="G31" s="916">
        <f>VLOOKUP($A31,'Tech Litons'!$A:$I,8,FALSE)</f>
        <v>3.3119999999999998E-3</v>
      </c>
      <c r="H31" s="917">
        <f>VLOOKUP($A31,'Tech Litons'!$A:$I,9,FALSE)</f>
        <v>165</v>
      </c>
      <c r="I31" s="917" t="str">
        <f>VLOOKUP($A31,'Tech Litons'!$A:$C,3,0)</f>
        <v>Yasso Sticks</v>
      </c>
      <c r="J31" s="918" t="str">
        <f t="shared" si="0"/>
        <v>2904Yasso Sticks</v>
      </c>
      <c r="K31" s="919">
        <v>1</v>
      </c>
      <c r="L31" s="920">
        <f t="shared" si="1"/>
        <v>4767</v>
      </c>
      <c r="M31" s="920">
        <f t="shared" si="2"/>
        <v>15.788304</v>
      </c>
      <c r="N31" s="920">
        <f t="shared" si="3"/>
        <v>28.890909090909091</v>
      </c>
      <c r="O31" s="918" t="str">
        <f t="shared" si="4"/>
        <v>Jan</v>
      </c>
      <c r="P31" s="921">
        <f t="shared" si="5"/>
        <v>2</v>
      </c>
    </row>
    <row r="32" spans="1:16" ht="15" hidden="1" customHeight="1">
      <c r="A32" s="839">
        <v>68851104</v>
      </c>
      <c r="B32" s="839">
        <v>2904</v>
      </c>
      <c r="C32" s="906">
        <v>4928</v>
      </c>
      <c r="D32" s="907">
        <v>46026</v>
      </c>
      <c r="E32" s="839" t="s">
        <v>270</v>
      </c>
      <c r="F32" s="839" t="s">
        <v>271</v>
      </c>
      <c r="G32" s="916">
        <f>VLOOKUP($A32,'Tech Litons'!$A:$I,8,FALSE)</f>
        <v>8.5199999999999998E-3</v>
      </c>
      <c r="H32" s="917">
        <f>VLOOKUP($A32,'Tech Litons'!$A:$I,9,FALSE)</f>
        <v>176</v>
      </c>
      <c r="I32" s="917" t="str">
        <f>VLOOKUP($A32,'Tech Litons'!$A:$C,3,0)</f>
        <v>48oz</v>
      </c>
      <c r="J32" s="918" t="str">
        <f t="shared" si="0"/>
        <v>290448oz</v>
      </c>
      <c r="K32" s="919">
        <v>1</v>
      </c>
      <c r="L32" s="920">
        <f t="shared" si="1"/>
        <v>4928</v>
      </c>
      <c r="M32" s="920">
        <f t="shared" si="2"/>
        <v>41.986559999999997</v>
      </c>
      <c r="N32" s="920">
        <f t="shared" si="3"/>
        <v>28</v>
      </c>
      <c r="O32" s="918" t="str">
        <f t="shared" si="4"/>
        <v>Jan</v>
      </c>
      <c r="P32" s="921">
        <f t="shared" si="5"/>
        <v>2</v>
      </c>
    </row>
    <row r="33" spans="1:16" ht="15" hidden="1" customHeight="1">
      <c r="A33" s="839">
        <v>68867755</v>
      </c>
      <c r="B33" s="839">
        <v>2904</v>
      </c>
      <c r="C33" s="906">
        <v>5355</v>
      </c>
      <c r="D33" s="907">
        <v>46026</v>
      </c>
      <c r="E33" s="839" t="s">
        <v>274</v>
      </c>
      <c r="F33" s="839" t="s">
        <v>275</v>
      </c>
      <c r="G33" s="916">
        <f>VLOOKUP($A33,'Tech Litons'!$A:$I,8,FALSE)</f>
        <v>3.552E-3</v>
      </c>
      <c r="H33" s="917">
        <f>VLOOKUP($A33,'Tech Litons'!$A:$I,9,FALSE)</f>
        <v>255</v>
      </c>
      <c r="I33" s="917" t="str">
        <f>VLOOKUP($A33,'Tech Litons'!$A:$C,3,0)</f>
        <v>Talenti</v>
      </c>
      <c r="J33" s="918" t="str">
        <f t="shared" si="0"/>
        <v>2904Talenti</v>
      </c>
      <c r="K33" s="919">
        <v>1</v>
      </c>
      <c r="L33" s="920">
        <f t="shared" si="1"/>
        <v>5355</v>
      </c>
      <c r="M33" s="920">
        <f t="shared" si="2"/>
        <v>19.020959999999999</v>
      </c>
      <c r="N33" s="920">
        <f t="shared" si="3"/>
        <v>21</v>
      </c>
      <c r="O33" s="918" t="str">
        <f t="shared" si="4"/>
        <v>Jan</v>
      </c>
      <c r="P33" s="921">
        <f t="shared" si="5"/>
        <v>2</v>
      </c>
    </row>
    <row r="34" spans="1:16" ht="15" hidden="1" customHeight="1">
      <c r="A34" s="839">
        <v>68896054</v>
      </c>
      <c r="B34" s="839">
        <v>1352</v>
      </c>
      <c r="C34" s="906">
        <v>5503</v>
      </c>
      <c r="D34" s="907">
        <v>46026</v>
      </c>
      <c r="E34" s="839" t="s">
        <v>265</v>
      </c>
      <c r="F34" s="839" t="s">
        <v>266</v>
      </c>
      <c r="G34" s="916">
        <f>VLOOKUP($A34,'Tech Litons'!$A:$I,8,FALSE)</f>
        <v>8.5199999999999998E-3</v>
      </c>
      <c r="H34" s="917">
        <f>VLOOKUP($A34,'Tech Litons'!$A:$I,9,FALSE)</f>
        <v>176</v>
      </c>
      <c r="I34" s="917" t="str">
        <f>VLOOKUP($A34,'Tech Litons'!$A:$C,3,0)</f>
        <v>48oz</v>
      </c>
      <c r="J34" s="918" t="str">
        <f t="shared" si="0"/>
        <v>135248oz</v>
      </c>
      <c r="K34" s="919">
        <v>1</v>
      </c>
      <c r="L34" s="920">
        <f t="shared" si="1"/>
        <v>5503</v>
      </c>
      <c r="M34" s="920">
        <f t="shared" si="2"/>
        <v>46.885559999999998</v>
      </c>
      <c r="N34" s="920">
        <f t="shared" si="3"/>
        <v>31.267045454545453</v>
      </c>
      <c r="O34" s="918" t="str">
        <f t="shared" si="4"/>
        <v>Jan</v>
      </c>
      <c r="P34" s="921">
        <f t="shared" si="5"/>
        <v>2</v>
      </c>
    </row>
    <row r="35" spans="1:16" ht="15" hidden="1" customHeight="1">
      <c r="A35" s="839">
        <v>68867755</v>
      </c>
      <c r="B35" s="839">
        <v>2904</v>
      </c>
      <c r="C35" s="906">
        <v>5993</v>
      </c>
      <c r="D35" s="907">
        <v>46026</v>
      </c>
      <c r="E35" s="839" t="s">
        <v>274</v>
      </c>
      <c r="F35" s="839" t="s">
        <v>275</v>
      </c>
      <c r="G35" s="916">
        <f>VLOOKUP($A35,'Tech Litons'!$A:$I,8,FALSE)</f>
        <v>3.552E-3</v>
      </c>
      <c r="H35" s="917">
        <f>VLOOKUP($A35,'Tech Litons'!$A:$I,9,FALSE)</f>
        <v>255</v>
      </c>
      <c r="I35" s="917" t="str">
        <f>VLOOKUP($A35,'Tech Litons'!$A:$C,3,0)</f>
        <v>Talenti</v>
      </c>
      <c r="J35" s="918" t="str">
        <f t="shared" si="0"/>
        <v>2904Talenti</v>
      </c>
      <c r="K35" s="919">
        <v>1</v>
      </c>
      <c r="L35" s="920">
        <f t="shared" si="1"/>
        <v>5993</v>
      </c>
      <c r="M35" s="920">
        <f t="shared" si="2"/>
        <v>21.287136</v>
      </c>
      <c r="N35" s="920">
        <f t="shared" si="3"/>
        <v>23.501960784313727</v>
      </c>
      <c r="O35" s="918" t="str">
        <f t="shared" si="4"/>
        <v>Jan</v>
      </c>
      <c r="P35" s="921">
        <f t="shared" si="5"/>
        <v>2</v>
      </c>
    </row>
    <row r="36" spans="1:16" ht="15" hidden="1" customHeight="1">
      <c r="A36" s="839">
        <v>68851104</v>
      </c>
      <c r="B36" s="839">
        <v>2904</v>
      </c>
      <c r="C36" s="906">
        <v>6416</v>
      </c>
      <c r="D36" s="907">
        <v>46026</v>
      </c>
      <c r="E36" s="839" t="s">
        <v>270</v>
      </c>
      <c r="F36" s="839" t="s">
        <v>271</v>
      </c>
      <c r="G36" s="916">
        <f>VLOOKUP($A36,'Tech Litons'!$A:$I,8,FALSE)</f>
        <v>8.5199999999999998E-3</v>
      </c>
      <c r="H36" s="917">
        <f>VLOOKUP($A36,'Tech Litons'!$A:$I,9,FALSE)</f>
        <v>176</v>
      </c>
      <c r="I36" s="917" t="str">
        <f>VLOOKUP($A36,'Tech Litons'!$A:$C,3,0)</f>
        <v>48oz</v>
      </c>
      <c r="J36" s="918" t="str">
        <f t="shared" si="0"/>
        <v>290448oz</v>
      </c>
      <c r="K36" s="919">
        <v>1</v>
      </c>
      <c r="L36" s="920">
        <f t="shared" si="1"/>
        <v>6416</v>
      </c>
      <c r="M36" s="920">
        <f t="shared" si="2"/>
        <v>54.664319999999996</v>
      </c>
      <c r="N36" s="920">
        <f t="shared" si="3"/>
        <v>36.454545454545453</v>
      </c>
      <c r="O36" s="918" t="str">
        <f t="shared" si="4"/>
        <v>Jan</v>
      </c>
      <c r="P36" s="921">
        <f t="shared" si="5"/>
        <v>2</v>
      </c>
    </row>
    <row r="37" spans="1:16" ht="15" hidden="1" customHeight="1">
      <c r="A37" s="839">
        <v>68851107</v>
      </c>
      <c r="B37" s="839">
        <v>2904</v>
      </c>
      <c r="C37" s="906">
        <v>8272</v>
      </c>
      <c r="D37" s="907">
        <v>46026</v>
      </c>
      <c r="E37" s="839" t="s">
        <v>272</v>
      </c>
      <c r="F37" s="839" t="s">
        <v>273</v>
      </c>
      <c r="G37" s="916">
        <f>VLOOKUP($A37,'Tech Litons'!$A:$I,8,FALSE)</f>
        <v>8.5199999999999998E-3</v>
      </c>
      <c r="H37" s="917">
        <f>VLOOKUP($A37,'Tech Litons'!$A:$I,9,FALSE)</f>
        <v>176</v>
      </c>
      <c r="I37" s="917" t="str">
        <f>VLOOKUP($A37,'Tech Litons'!$A:$C,3,0)</f>
        <v>48oz</v>
      </c>
      <c r="J37" s="918" t="str">
        <f t="shared" si="0"/>
        <v>290448oz</v>
      </c>
      <c r="K37" s="919">
        <v>1</v>
      </c>
      <c r="L37" s="920">
        <f t="shared" si="1"/>
        <v>8272</v>
      </c>
      <c r="M37" s="920">
        <f t="shared" si="2"/>
        <v>70.477440000000001</v>
      </c>
      <c r="N37" s="920">
        <f t="shared" si="3"/>
        <v>47</v>
      </c>
      <c r="O37" s="918" t="str">
        <f t="shared" si="4"/>
        <v>Jan</v>
      </c>
      <c r="P37" s="921">
        <f t="shared" si="5"/>
        <v>2</v>
      </c>
    </row>
    <row r="38" spans="1:16" ht="15" hidden="1" customHeight="1">
      <c r="A38" s="839">
        <v>68851107</v>
      </c>
      <c r="B38" s="839">
        <v>2904</v>
      </c>
      <c r="C38" s="906">
        <v>8272</v>
      </c>
      <c r="D38" s="907">
        <v>46026</v>
      </c>
      <c r="E38" s="839" t="s">
        <v>272</v>
      </c>
      <c r="F38" s="839" t="s">
        <v>273</v>
      </c>
      <c r="G38" s="916">
        <f>VLOOKUP($A38,'Tech Litons'!$A:$I,8,FALSE)</f>
        <v>8.5199999999999998E-3</v>
      </c>
      <c r="H38" s="917">
        <f>VLOOKUP($A38,'Tech Litons'!$A:$I,9,FALSE)</f>
        <v>176</v>
      </c>
      <c r="I38" s="917" t="str">
        <f>VLOOKUP($A38,'Tech Litons'!$A:$C,3,0)</f>
        <v>48oz</v>
      </c>
      <c r="J38" s="918" t="str">
        <f t="shared" si="0"/>
        <v>290448oz</v>
      </c>
      <c r="K38" s="919">
        <v>1</v>
      </c>
      <c r="L38" s="920">
        <f t="shared" si="1"/>
        <v>8272</v>
      </c>
      <c r="M38" s="920">
        <f t="shared" si="2"/>
        <v>70.477440000000001</v>
      </c>
      <c r="N38" s="920">
        <f t="shared" si="3"/>
        <v>47</v>
      </c>
      <c r="O38" s="918" t="str">
        <f t="shared" si="4"/>
        <v>Jan</v>
      </c>
      <c r="P38" s="921">
        <f t="shared" si="5"/>
        <v>2</v>
      </c>
    </row>
    <row r="39" spans="1:16" ht="15" hidden="1" customHeight="1">
      <c r="A39" s="839">
        <v>68922108</v>
      </c>
      <c r="B39" s="839">
        <v>2904</v>
      </c>
      <c r="C39" s="906">
        <v>8760</v>
      </c>
      <c r="D39" s="907">
        <v>46026</v>
      </c>
      <c r="E39" s="839" t="s">
        <v>276</v>
      </c>
      <c r="F39" s="839" t="s">
        <v>277</v>
      </c>
      <c r="G39" s="916">
        <f>VLOOKUP($A39,'Tech Litons'!$A:$I,8,FALSE)</f>
        <v>3.7839999999999996E-3</v>
      </c>
      <c r="H39" s="917">
        <f>VLOOKUP($A39,'Tech Litons'!$A:$I,9,FALSE)</f>
        <v>255</v>
      </c>
      <c r="I39" s="917" t="str">
        <f>VLOOKUP($A39,'Tech Litons'!$A:$C,3,0)</f>
        <v>TALENTI</v>
      </c>
      <c r="J39" s="918" t="str">
        <f t="shared" si="0"/>
        <v>2904TALENTI</v>
      </c>
      <c r="K39" s="919">
        <v>1</v>
      </c>
      <c r="L39" s="920">
        <f t="shared" si="1"/>
        <v>8760</v>
      </c>
      <c r="M39" s="920">
        <f t="shared" si="2"/>
        <v>33.147839999999995</v>
      </c>
      <c r="N39" s="920">
        <f t="shared" si="3"/>
        <v>34.352941176470587</v>
      </c>
      <c r="O39" s="918" t="str">
        <f t="shared" si="4"/>
        <v>Jan</v>
      </c>
      <c r="P39" s="921">
        <f t="shared" si="5"/>
        <v>2</v>
      </c>
    </row>
    <row r="40" spans="1:16" ht="15" hidden="1" customHeight="1">
      <c r="A40" s="839">
        <v>68817796</v>
      </c>
      <c r="B40" s="839">
        <v>1352</v>
      </c>
      <c r="C40" s="906">
        <v>8886</v>
      </c>
      <c r="D40" s="907">
        <v>46026</v>
      </c>
      <c r="E40" s="839" t="s">
        <v>263</v>
      </c>
      <c r="F40" s="839" t="s">
        <v>264</v>
      </c>
      <c r="G40" s="916">
        <f>VLOOKUP($A40,'Tech Litons'!$A:$I,8,FALSE)</f>
        <v>8.513999999999999E-3</v>
      </c>
      <c r="H40" s="917">
        <f>VLOOKUP($A40,'Tech Litons'!$A:$I,9,FALSE)</f>
        <v>176</v>
      </c>
      <c r="I40" s="917" t="str">
        <f>VLOOKUP($A40,'Tech Litons'!$A:$C,3,0)</f>
        <v>48oz</v>
      </c>
      <c r="J40" s="918" t="str">
        <f t="shared" si="0"/>
        <v>135248oz</v>
      </c>
      <c r="K40" s="919">
        <v>1</v>
      </c>
      <c r="L40" s="920">
        <f t="shared" si="1"/>
        <v>8886</v>
      </c>
      <c r="M40" s="920">
        <f t="shared" si="2"/>
        <v>75.65540399999999</v>
      </c>
      <c r="N40" s="920">
        <f t="shared" si="3"/>
        <v>50.488636363636367</v>
      </c>
      <c r="O40" s="918" t="str">
        <f t="shared" si="4"/>
        <v>Jan</v>
      </c>
      <c r="P40" s="921">
        <f t="shared" si="5"/>
        <v>2</v>
      </c>
    </row>
    <row r="41" spans="1:16" ht="15" hidden="1" customHeight="1">
      <c r="A41" s="839">
        <v>68922108</v>
      </c>
      <c r="B41" s="839">
        <v>2904</v>
      </c>
      <c r="C41" s="906">
        <v>11985</v>
      </c>
      <c r="D41" s="907">
        <v>46026</v>
      </c>
      <c r="E41" s="839" t="s">
        <v>276</v>
      </c>
      <c r="F41" s="839" t="s">
        <v>277</v>
      </c>
      <c r="G41" s="916">
        <f>VLOOKUP($A41,'Tech Litons'!$A:$I,8,FALSE)</f>
        <v>3.7839999999999996E-3</v>
      </c>
      <c r="H41" s="917">
        <f>VLOOKUP($A41,'Tech Litons'!$A:$I,9,FALSE)</f>
        <v>255</v>
      </c>
      <c r="I41" s="917" t="str">
        <f>VLOOKUP($A41,'Tech Litons'!$A:$C,3,0)</f>
        <v>TALENTI</v>
      </c>
      <c r="J41" s="918" t="str">
        <f t="shared" si="0"/>
        <v>2904TALENTI</v>
      </c>
      <c r="K41" s="919">
        <v>1</v>
      </c>
      <c r="L41" s="920">
        <f t="shared" si="1"/>
        <v>11985</v>
      </c>
      <c r="M41" s="920">
        <f t="shared" si="2"/>
        <v>45.351239999999997</v>
      </c>
      <c r="N41" s="920">
        <f t="shared" si="3"/>
        <v>47</v>
      </c>
      <c r="O41" s="918" t="str">
        <f t="shared" si="4"/>
        <v>Jan</v>
      </c>
      <c r="P41" s="921">
        <f t="shared" si="5"/>
        <v>2</v>
      </c>
    </row>
    <row r="42" spans="1:16" ht="15" hidden="1" customHeight="1">
      <c r="A42" s="839">
        <v>69629468</v>
      </c>
      <c r="B42" s="839">
        <v>2904</v>
      </c>
      <c r="C42" s="906">
        <v>21</v>
      </c>
      <c r="D42" s="907">
        <v>46027</v>
      </c>
      <c r="E42" s="839" t="s">
        <v>291</v>
      </c>
      <c r="F42" s="839" t="s">
        <v>226</v>
      </c>
      <c r="G42" s="916">
        <f>VLOOKUP($A42,'Tech Litons'!$A:$I,8,FALSE)</f>
        <v>5.2680000000000001E-3</v>
      </c>
      <c r="H42" s="917">
        <f>VLOOKUP($A42,'Tech Litons'!$A:$I,9,FALSE)</f>
        <v>130</v>
      </c>
      <c r="I42" s="917" t="str">
        <f>VLOOKUP($A42,'Tech Litons'!$A:$C,3,0)</f>
        <v>PG</v>
      </c>
      <c r="J42" s="918" t="str">
        <f t="shared" si="0"/>
        <v>2904PG</v>
      </c>
      <c r="K42" s="919">
        <v>1</v>
      </c>
      <c r="L42" s="920">
        <f t="shared" si="1"/>
        <v>21</v>
      </c>
      <c r="M42" s="920">
        <f t="shared" si="2"/>
        <v>0.110628</v>
      </c>
      <c r="N42" s="920">
        <f t="shared" si="3"/>
        <v>0.16153846153846155</v>
      </c>
      <c r="O42" s="918" t="str">
        <f t="shared" si="4"/>
        <v>Jan</v>
      </c>
      <c r="P42" s="921">
        <f t="shared" si="5"/>
        <v>2</v>
      </c>
    </row>
    <row r="43" spans="1:16" ht="15" hidden="1" customHeight="1">
      <c r="A43" s="839">
        <v>68741742</v>
      </c>
      <c r="B43" s="839">
        <v>1352</v>
      </c>
      <c r="C43" s="906">
        <v>154</v>
      </c>
      <c r="D43" s="907">
        <v>46027</v>
      </c>
      <c r="E43" s="839" t="s">
        <v>288</v>
      </c>
      <c r="F43" s="839" t="s">
        <v>289</v>
      </c>
      <c r="G43" s="916">
        <f>VLOOKUP($A43,'Tech Litons'!$A:$I,8,FALSE)</f>
        <v>4.2560000000000002E-3</v>
      </c>
      <c r="H43" s="917">
        <f>VLOOKUP($A43,'Tech Litons'!$A:$I,9,FALSE)</f>
        <v>154</v>
      </c>
      <c r="I43" s="917" t="str">
        <f>VLOOKUP($A43,'Tech Litons'!$A:$C,3,0)</f>
        <v>MBG</v>
      </c>
      <c r="J43" s="918" t="str">
        <f t="shared" si="0"/>
        <v>1352MBG</v>
      </c>
      <c r="K43" s="919">
        <v>1</v>
      </c>
      <c r="L43" s="920">
        <f t="shared" si="1"/>
        <v>154</v>
      </c>
      <c r="M43" s="920">
        <f t="shared" si="2"/>
        <v>0.65542400000000001</v>
      </c>
      <c r="N43" s="920">
        <f t="shared" si="3"/>
        <v>1</v>
      </c>
      <c r="O43" s="918" t="str">
        <f t="shared" si="4"/>
        <v>Jan</v>
      </c>
      <c r="P43" s="921">
        <f t="shared" si="5"/>
        <v>2</v>
      </c>
    </row>
    <row r="44" spans="1:16" ht="15" hidden="1" customHeight="1">
      <c r="A44" s="839">
        <v>64341106</v>
      </c>
      <c r="B44" s="839">
        <v>2904</v>
      </c>
      <c r="C44" s="906">
        <v>169</v>
      </c>
      <c r="D44" s="907">
        <v>46027</v>
      </c>
      <c r="E44" s="839" t="s">
        <v>293</v>
      </c>
      <c r="F44" s="839" t="s">
        <v>227</v>
      </c>
      <c r="G44" s="916">
        <f>VLOOKUP($A44,'Tech Litons'!$A:$I,8,FALSE)</f>
        <v>5.2680000000000001E-3</v>
      </c>
      <c r="H44" s="917">
        <f>VLOOKUP($A44,'Tech Litons'!$A:$I,9,FALSE)</f>
        <v>130</v>
      </c>
      <c r="I44" s="917" t="str">
        <f>VLOOKUP($A44,'Tech Litons'!$A:$C,3,0)</f>
        <v>PG</v>
      </c>
      <c r="J44" s="918" t="str">
        <f t="shared" si="0"/>
        <v>2904PG</v>
      </c>
      <c r="K44" s="919">
        <v>1</v>
      </c>
      <c r="L44" s="920">
        <f t="shared" si="1"/>
        <v>169</v>
      </c>
      <c r="M44" s="920">
        <f t="shared" si="2"/>
        <v>0.89029199999999997</v>
      </c>
      <c r="N44" s="920">
        <f t="shared" si="3"/>
        <v>1.3</v>
      </c>
      <c r="O44" s="918" t="str">
        <f t="shared" si="4"/>
        <v>Jan</v>
      </c>
      <c r="P44" s="921">
        <f t="shared" si="5"/>
        <v>2</v>
      </c>
    </row>
    <row r="45" spans="1:16" ht="15" hidden="1" customHeight="1">
      <c r="A45" s="839">
        <v>69568962</v>
      </c>
      <c r="B45" s="839">
        <v>2904</v>
      </c>
      <c r="C45" s="906">
        <v>176</v>
      </c>
      <c r="D45" s="907">
        <v>46027</v>
      </c>
      <c r="E45" s="839" t="s">
        <v>528</v>
      </c>
      <c r="F45" s="839" t="s">
        <v>273</v>
      </c>
      <c r="G45" s="916">
        <f>VLOOKUP($A45,'Tech Litons'!$A:$I,8,FALSE)</f>
        <v>8.5199999999999998E-3</v>
      </c>
      <c r="H45" s="917">
        <f>VLOOKUP($A45,'Tech Litons'!$A:$I,9,FALSE)</f>
        <v>176</v>
      </c>
      <c r="I45" s="917" t="str">
        <f>VLOOKUP($A45,'Tech Litons'!$A:$C,3,0)</f>
        <v>48oz</v>
      </c>
      <c r="J45" s="918" t="str">
        <f t="shared" si="0"/>
        <v>290448oz</v>
      </c>
      <c r="K45" s="919">
        <v>1</v>
      </c>
      <c r="L45" s="920">
        <f t="shared" si="1"/>
        <v>176</v>
      </c>
      <c r="M45" s="920">
        <f t="shared" si="2"/>
        <v>1.49952</v>
      </c>
      <c r="N45" s="920">
        <f t="shared" si="3"/>
        <v>1</v>
      </c>
      <c r="O45" s="918" t="str">
        <f t="shared" si="4"/>
        <v>Jan</v>
      </c>
      <c r="P45" s="921">
        <f t="shared" si="5"/>
        <v>2</v>
      </c>
    </row>
    <row r="46" spans="1:16" ht="15" hidden="1" customHeight="1">
      <c r="A46" s="839">
        <v>68649095</v>
      </c>
      <c r="B46" s="839">
        <v>2904</v>
      </c>
      <c r="C46" s="906">
        <v>180</v>
      </c>
      <c r="D46" s="907">
        <v>46027</v>
      </c>
      <c r="E46" s="839" t="s">
        <v>294</v>
      </c>
      <c r="F46" s="839" t="s">
        <v>40</v>
      </c>
      <c r="G46" s="916">
        <f>VLOOKUP($A46,'Tech Litons'!$A:$I,8,FALSE)</f>
        <v>3.5999999999999999E-3</v>
      </c>
      <c r="H46" s="917">
        <f>VLOOKUP($A46,'Tech Litons'!$A:$I,9,FALSE)</f>
        <v>240</v>
      </c>
      <c r="I46" s="917" t="str">
        <f>VLOOKUP($A46,'Tech Litons'!$A:$C,3,0)</f>
        <v>Topped</v>
      </c>
      <c r="J46" s="918" t="str">
        <f t="shared" si="0"/>
        <v>2904Topped</v>
      </c>
      <c r="K46" s="919">
        <v>1</v>
      </c>
      <c r="L46" s="920">
        <f t="shared" si="1"/>
        <v>180</v>
      </c>
      <c r="M46" s="920">
        <f t="shared" si="2"/>
        <v>0.64800000000000002</v>
      </c>
      <c r="N46" s="920">
        <f t="shared" si="3"/>
        <v>0.75</v>
      </c>
      <c r="O46" s="918" t="str">
        <f t="shared" si="4"/>
        <v>Jan</v>
      </c>
      <c r="P46" s="921">
        <f t="shared" si="5"/>
        <v>2</v>
      </c>
    </row>
    <row r="47" spans="1:16" ht="15" hidden="1" customHeight="1">
      <c r="A47" s="839">
        <v>68741714</v>
      </c>
      <c r="B47" s="839">
        <v>1352</v>
      </c>
      <c r="C47" s="906">
        <v>225</v>
      </c>
      <c r="D47" s="907">
        <v>46027</v>
      </c>
      <c r="E47" s="839" t="s">
        <v>286</v>
      </c>
      <c r="F47" s="839" t="s">
        <v>287</v>
      </c>
      <c r="G47" s="916">
        <f>VLOOKUP($A47,'Tech Litons'!$A:$I,8,FALSE)</f>
        <v>2.8319999999999999E-3</v>
      </c>
      <c r="H47" s="917">
        <f>VLOOKUP($A47,'Tech Litons'!$A:$I,9,FALSE)</f>
        <v>225</v>
      </c>
      <c r="I47" s="917" t="str">
        <f>VLOOKUP($A47,'Tech Litons'!$A:$C,3,0)</f>
        <v>MBG</v>
      </c>
      <c r="J47" s="918" t="str">
        <f t="shared" si="0"/>
        <v>1352MBG</v>
      </c>
      <c r="K47" s="919">
        <v>1</v>
      </c>
      <c r="L47" s="920">
        <f t="shared" si="1"/>
        <v>225</v>
      </c>
      <c r="M47" s="920">
        <f t="shared" si="2"/>
        <v>0.63719999999999999</v>
      </c>
      <c r="N47" s="920">
        <f t="shared" si="3"/>
        <v>1</v>
      </c>
      <c r="O47" s="918" t="str">
        <f t="shared" si="4"/>
        <v>Jan</v>
      </c>
      <c r="P47" s="921">
        <f t="shared" si="5"/>
        <v>2</v>
      </c>
    </row>
    <row r="48" spans="1:16" ht="15" hidden="1" customHeight="1">
      <c r="A48" s="839">
        <v>68741742</v>
      </c>
      <c r="B48" s="839">
        <v>2904</v>
      </c>
      <c r="C48" s="906">
        <v>278</v>
      </c>
      <c r="D48" s="907">
        <v>46027</v>
      </c>
      <c r="E48" s="839" t="s">
        <v>288</v>
      </c>
      <c r="F48" s="839" t="s">
        <v>295</v>
      </c>
      <c r="G48" s="916">
        <f>VLOOKUP($A48,'Tech Litons'!$A:$I,8,FALSE)</f>
        <v>4.2560000000000002E-3</v>
      </c>
      <c r="H48" s="917">
        <f>VLOOKUP($A48,'Tech Litons'!$A:$I,9,FALSE)</f>
        <v>154</v>
      </c>
      <c r="I48" s="917" t="str">
        <f>VLOOKUP($A48,'Tech Litons'!$A:$C,3,0)</f>
        <v>MBG</v>
      </c>
      <c r="J48" s="918" t="str">
        <f t="shared" si="0"/>
        <v>2904MBG</v>
      </c>
      <c r="K48" s="919">
        <v>1</v>
      </c>
      <c r="L48" s="920">
        <f t="shared" si="1"/>
        <v>278</v>
      </c>
      <c r="M48" s="920">
        <f t="shared" si="2"/>
        <v>1.183168</v>
      </c>
      <c r="N48" s="920">
        <f t="shared" si="3"/>
        <v>1.8051948051948052</v>
      </c>
      <c r="O48" s="918" t="str">
        <f t="shared" si="4"/>
        <v>Jan</v>
      </c>
      <c r="P48" s="921">
        <f t="shared" si="5"/>
        <v>2</v>
      </c>
    </row>
    <row r="49" spans="1:16" ht="15" hidden="1" customHeight="1">
      <c r="A49" s="839">
        <v>68689251</v>
      </c>
      <c r="B49" s="839">
        <v>1352</v>
      </c>
      <c r="C49" s="906">
        <v>924</v>
      </c>
      <c r="D49" s="907">
        <v>46027</v>
      </c>
      <c r="E49" s="839" t="s">
        <v>262</v>
      </c>
      <c r="F49" s="839" t="s">
        <v>242</v>
      </c>
      <c r="G49" s="916">
        <f>VLOOKUP($A49,'Tech Litons'!$A:$I,8,FALSE)</f>
        <v>9.5760000000000012E-3</v>
      </c>
      <c r="H49" s="917">
        <f>VLOOKUP($A49,'Tech Litons'!$A:$I,9,FALSE)</f>
        <v>132</v>
      </c>
      <c r="I49" s="917" t="str">
        <f>VLOOKUP($A49,'Tech Litons'!$A:$C,3,0)</f>
        <v>EDF</v>
      </c>
      <c r="J49" s="918" t="str">
        <f t="shared" si="0"/>
        <v>1352EDF</v>
      </c>
      <c r="K49" s="919">
        <v>1</v>
      </c>
      <c r="L49" s="920">
        <f t="shared" si="1"/>
        <v>924</v>
      </c>
      <c r="M49" s="920">
        <f t="shared" si="2"/>
        <v>8.8482240000000019</v>
      </c>
      <c r="N49" s="920">
        <f t="shared" si="3"/>
        <v>7</v>
      </c>
      <c r="O49" s="918" t="str">
        <f t="shared" si="4"/>
        <v>Jan</v>
      </c>
      <c r="P49" s="921">
        <f t="shared" si="5"/>
        <v>2</v>
      </c>
    </row>
    <row r="50" spans="1:16" ht="15" hidden="1" customHeight="1">
      <c r="A50" s="839">
        <v>68867755</v>
      </c>
      <c r="B50" s="839">
        <v>2904</v>
      </c>
      <c r="C50" s="906">
        <v>1073</v>
      </c>
      <c r="D50" s="907">
        <v>46027</v>
      </c>
      <c r="E50" s="839" t="s">
        <v>274</v>
      </c>
      <c r="F50" s="839" t="s">
        <v>275</v>
      </c>
      <c r="G50" s="916">
        <f>VLOOKUP($A50,'Tech Litons'!$A:$I,8,FALSE)</f>
        <v>3.552E-3</v>
      </c>
      <c r="H50" s="917">
        <f>VLOOKUP($A50,'Tech Litons'!$A:$I,9,FALSE)</f>
        <v>255</v>
      </c>
      <c r="I50" s="917" t="str">
        <f>VLOOKUP($A50,'Tech Litons'!$A:$C,3,0)</f>
        <v>Talenti</v>
      </c>
      <c r="J50" s="918" t="str">
        <f t="shared" si="0"/>
        <v>2904Talenti</v>
      </c>
      <c r="K50" s="919">
        <v>1</v>
      </c>
      <c r="L50" s="920">
        <f t="shared" si="1"/>
        <v>1073</v>
      </c>
      <c r="M50" s="920">
        <f t="shared" si="2"/>
        <v>3.811296</v>
      </c>
      <c r="N50" s="920">
        <f t="shared" si="3"/>
        <v>4.2078431372549021</v>
      </c>
      <c r="O50" s="918" t="str">
        <f t="shared" si="4"/>
        <v>Jan</v>
      </c>
      <c r="P50" s="921">
        <f t="shared" si="5"/>
        <v>2</v>
      </c>
    </row>
    <row r="51" spans="1:16" ht="15" hidden="1" customHeight="1">
      <c r="A51" s="839">
        <v>68746232</v>
      </c>
      <c r="B51" s="839">
        <v>2904</v>
      </c>
      <c r="C51" s="906">
        <v>1124</v>
      </c>
      <c r="D51" s="907">
        <v>46027</v>
      </c>
      <c r="E51" s="839" t="s">
        <v>508</v>
      </c>
      <c r="F51" s="839" t="s">
        <v>243</v>
      </c>
      <c r="G51" s="916">
        <f>VLOOKUP($A51,'Tech Litons'!$A:$I,8,FALSE)</f>
        <v>8.5199999999999998E-3</v>
      </c>
      <c r="H51" s="917">
        <f>VLOOKUP($A51,'Tech Litons'!$A:$I,9,FALSE)</f>
        <v>132</v>
      </c>
      <c r="I51" s="917" t="str">
        <f>VLOOKUP($A51,'Tech Litons'!$A:$C,3,0)</f>
        <v>EDF</v>
      </c>
      <c r="J51" s="918" t="str">
        <f t="shared" si="0"/>
        <v>2904EDF</v>
      </c>
      <c r="K51" s="919">
        <v>1</v>
      </c>
      <c r="L51" s="920">
        <f t="shared" si="1"/>
        <v>1124</v>
      </c>
      <c r="M51" s="920">
        <f t="shared" si="2"/>
        <v>9.5764800000000001</v>
      </c>
      <c r="N51" s="920">
        <f t="shared" si="3"/>
        <v>8.5151515151515156</v>
      </c>
      <c r="O51" s="918" t="str">
        <f t="shared" si="4"/>
        <v>Jan</v>
      </c>
      <c r="P51" s="921">
        <f t="shared" si="5"/>
        <v>2</v>
      </c>
    </row>
    <row r="52" spans="1:16" ht="15" hidden="1" customHeight="1">
      <c r="A52" s="839">
        <v>68746232</v>
      </c>
      <c r="B52" s="839">
        <v>2904</v>
      </c>
      <c r="C52" s="906">
        <v>1337</v>
      </c>
      <c r="D52" s="907">
        <v>46027</v>
      </c>
      <c r="E52" s="839" t="s">
        <v>508</v>
      </c>
      <c r="F52" s="839" t="s">
        <v>243</v>
      </c>
      <c r="G52" s="916">
        <f>VLOOKUP($A52,'Tech Litons'!$A:$I,8,FALSE)</f>
        <v>8.5199999999999998E-3</v>
      </c>
      <c r="H52" s="917">
        <f>VLOOKUP($A52,'Tech Litons'!$A:$I,9,FALSE)</f>
        <v>132</v>
      </c>
      <c r="I52" s="917" t="str">
        <f>VLOOKUP($A52,'Tech Litons'!$A:$C,3,0)</f>
        <v>EDF</v>
      </c>
      <c r="J52" s="918" t="str">
        <f t="shared" si="0"/>
        <v>2904EDF</v>
      </c>
      <c r="K52" s="919">
        <v>1</v>
      </c>
      <c r="L52" s="920">
        <f t="shared" si="1"/>
        <v>1337</v>
      </c>
      <c r="M52" s="920">
        <f t="shared" si="2"/>
        <v>11.39124</v>
      </c>
      <c r="N52" s="920">
        <f t="shared" si="3"/>
        <v>10.128787878787879</v>
      </c>
      <c r="O52" s="918" t="str">
        <f t="shared" si="4"/>
        <v>Jan</v>
      </c>
      <c r="P52" s="921">
        <f t="shared" si="5"/>
        <v>2</v>
      </c>
    </row>
    <row r="53" spans="1:16" ht="15" hidden="1" customHeight="1">
      <c r="A53" s="839">
        <v>84144598</v>
      </c>
      <c r="B53" s="839">
        <v>2904</v>
      </c>
      <c r="C53" s="906">
        <v>1377</v>
      </c>
      <c r="D53" s="907">
        <v>46027</v>
      </c>
      <c r="E53" s="839" t="s">
        <v>364</v>
      </c>
      <c r="F53" s="839" t="s">
        <v>299</v>
      </c>
      <c r="G53" s="916">
        <f>VLOOKUP($A53,'Tech Litons'!$A:$I,8,FALSE)</f>
        <v>3.7853439999999999E-3</v>
      </c>
      <c r="H53" s="917">
        <f>VLOOKUP($A53,'Tech Litons'!$A:$I,9,FALSE)</f>
        <v>240</v>
      </c>
      <c r="I53" s="917" t="str">
        <f>VLOOKUP($A53,'Tech Litons'!$A:$C,3,0)</f>
        <v>BJ PTS</v>
      </c>
      <c r="J53" s="918" t="str">
        <f t="shared" si="0"/>
        <v>2904BJ PTS</v>
      </c>
      <c r="K53" s="919">
        <v>1</v>
      </c>
      <c r="L53" s="920">
        <f t="shared" si="1"/>
        <v>1377</v>
      </c>
      <c r="M53" s="920">
        <f t="shared" si="2"/>
        <v>5.2124186879999996</v>
      </c>
      <c r="N53" s="920">
        <f t="shared" si="3"/>
        <v>5.7374999999999998</v>
      </c>
      <c r="O53" s="918" t="str">
        <f t="shared" si="4"/>
        <v>Jan</v>
      </c>
      <c r="P53" s="921">
        <f t="shared" si="5"/>
        <v>2</v>
      </c>
    </row>
    <row r="54" spans="1:16" ht="15" hidden="1" customHeight="1">
      <c r="A54" s="839">
        <v>68737750</v>
      </c>
      <c r="B54" s="839">
        <v>1352</v>
      </c>
      <c r="C54" s="906">
        <v>1668</v>
      </c>
      <c r="D54" s="907">
        <v>46027</v>
      </c>
      <c r="E54" s="839" t="s">
        <v>407</v>
      </c>
      <c r="F54" s="839" t="s">
        <v>261</v>
      </c>
      <c r="G54" s="916">
        <f>VLOOKUP($A54,'Tech Litons'!$A:$I,8,FALSE)</f>
        <v>8.5199999999999998E-3</v>
      </c>
      <c r="H54" s="917">
        <f>VLOOKUP($A54,'Tech Litons'!$A:$I,9,FALSE)</f>
        <v>176</v>
      </c>
      <c r="I54" s="917" t="str">
        <f>VLOOKUP($A54,'Tech Litons'!$A:$C,3,0)</f>
        <v>48oz</v>
      </c>
      <c r="J54" s="918" t="str">
        <f t="shared" si="0"/>
        <v>135248oz</v>
      </c>
      <c r="K54" s="919">
        <v>1</v>
      </c>
      <c r="L54" s="920">
        <f t="shared" si="1"/>
        <v>1668</v>
      </c>
      <c r="M54" s="920">
        <f t="shared" si="2"/>
        <v>14.211359999999999</v>
      </c>
      <c r="N54" s="920">
        <f t="shared" si="3"/>
        <v>9.4772727272727266</v>
      </c>
      <c r="O54" s="918" t="str">
        <f t="shared" si="4"/>
        <v>Jan</v>
      </c>
      <c r="P54" s="921">
        <f t="shared" si="5"/>
        <v>2</v>
      </c>
    </row>
    <row r="55" spans="1:16" ht="15" hidden="1" customHeight="1">
      <c r="A55" s="839">
        <v>64330596</v>
      </c>
      <c r="B55" s="839">
        <v>2904</v>
      </c>
      <c r="C55" s="906">
        <v>1706</v>
      </c>
      <c r="D55" s="907">
        <v>46027</v>
      </c>
      <c r="E55" s="839" t="s">
        <v>280</v>
      </c>
      <c r="F55" s="839" t="s">
        <v>281</v>
      </c>
      <c r="G55" s="916">
        <f>VLOOKUP($A55,'Tech Litons'!$A:$I,8,FALSE)</f>
        <v>1.98E-3</v>
      </c>
      <c r="H55" s="917">
        <f>VLOOKUP($A55,'Tech Litons'!$A:$I,9,FALSE)</f>
        <v>176</v>
      </c>
      <c r="I55" s="917" t="str">
        <f>VLOOKUP($A55,'Tech Litons'!$A:$C,3,0)</f>
        <v>MG Sticks</v>
      </c>
      <c r="J55" s="918" t="str">
        <f t="shared" si="0"/>
        <v>2904MG Sticks</v>
      </c>
      <c r="K55" s="919">
        <v>1</v>
      </c>
      <c r="L55" s="920">
        <f t="shared" si="1"/>
        <v>1706</v>
      </c>
      <c r="M55" s="920">
        <f t="shared" si="2"/>
        <v>3.3778799999999998</v>
      </c>
      <c r="N55" s="920">
        <f t="shared" si="3"/>
        <v>9.6931818181818183</v>
      </c>
      <c r="O55" s="918" t="str">
        <f t="shared" si="4"/>
        <v>Jan</v>
      </c>
      <c r="P55" s="921">
        <f t="shared" si="5"/>
        <v>2</v>
      </c>
    </row>
    <row r="56" spans="1:16" ht="15" hidden="1" customHeight="1">
      <c r="A56" s="839">
        <v>68921994</v>
      </c>
      <c r="B56" s="839">
        <v>1352</v>
      </c>
      <c r="C56" s="906">
        <v>1848</v>
      </c>
      <c r="D56" s="907">
        <v>46027</v>
      </c>
      <c r="E56" s="839" t="s">
        <v>267</v>
      </c>
      <c r="F56" s="839" t="s">
        <v>241</v>
      </c>
      <c r="G56" s="916">
        <f>VLOOKUP($A56,'Tech Litons'!$A:$I,8,FALSE)</f>
        <v>9.5760000000000012E-3</v>
      </c>
      <c r="H56" s="917">
        <f>VLOOKUP($A56,'Tech Litons'!$A:$I,9,FALSE)</f>
        <v>132</v>
      </c>
      <c r="I56" s="917" t="str">
        <f>VLOOKUP($A56,'Tech Litons'!$A:$C,3,0)</f>
        <v>EDF</v>
      </c>
      <c r="J56" s="918" t="str">
        <f t="shared" si="0"/>
        <v>1352EDF</v>
      </c>
      <c r="K56" s="919">
        <v>1</v>
      </c>
      <c r="L56" s="920">
        <f t="shared" si="1"/>
        <v>1848</v>
      </c>
      <c r="M56" s="920">
        <f t="shared" si="2"/>
        <v>17.696448000000004</v>
      </c>
      <c r="N56" s="920">
        <f t="shared" si="3"/>
        <v>14</v>
      </c>
      <c r="O56" s="918" t="str">
        <f t="shared" si="4"/>
        <v>Jan</v>
      </c>
      <c r="P56" s="921">
        <f t="shared" si="5"/>
        <v>2</v>
      </c>
    </row>
    <row r="57" spans="1:16" ht="15" hidden="1" customHeight="1">
      <c r="A57" s="839">
        <v>68689251</v>
      </c>
      <c r="B57" s="839">
        <v>1352</v>
      </c>
      <c r="C57" s="906">
        <v>1980</v>
      </c>
      <c r="D57" s="907">
        <v>46027</v>
      </c>
      <c r="E57" s="839" t="s">
        <v>262</v>
      </c>
      <c r="F57" s="839" t="s">
        <v>240</v>
      </c>
      <c r="G57" s="916">
        <f>VLOOKUP($A57,'Tech Litons'!$A:$I,8,FALSE)</f>
        <v>9.5760000000000012E-3</v>
      </c>
      <c r="H57" s="917">
        <f>VLOOKUP($A57,'Tech Litons'!$A:$I,9,FALSE)</f>
        <v>132</v>
      </c>
      <c r="I57" s="917" t="str">
        <f>VLOOKUP($A57,'Tech Litons'!$A:$C,3,0)</f>
        <v>EDF</v>
      </c>
      <c r="J57" s="918" t="str">
        <f t="shared" si="0"/>
        <v>1352EDF</v>
      </c>
      <c r="K57" s="919">
        <v>1</v>
      </c>
      <c r="L57" s="920">
        <f t="shared" si="1"/>
        <v>1980</v>
      </c>
      <c r="M57" s="920">
        <f t="shared" si="2"/>
        <v>18.960480000000004</v>
      </c>
      <c r="N57" s="920">
        <f t="shared" si="3"/>
        <v>15</v>
      </c>
      <c r="O57" s="918" t="str">
        <f t="shared" si="4"/>
        <v>Jan</v>
      </c>
      <c r="P57" s="921">
        <f t="shared" si="5"/>
        <v>2</v>
      </c>
    </row>
    <row r="58" spans="1:16" ht="15" hidden="1" customHeight="1">
      <c r="A58" s="839">
        <v>68896054</v>
      </c>
      <c r="B58" s="839">
        <v>1352</v>
      </c>
      <c r="C58" s="906">
        <v>2439</v>
      </c>
      <c r="D58" s="907">
        <v>46027</v>
      </c>
      <c r="E58" s="839" t="s">
        <v>265</v>
      </c>
      <c r="F58" s="839" t="s">
        <v>266</v>
      </c>
      <c r="G58" s="916">
        <f>VLOOKUP($A58,'Tech Litons'!$A:$I,8,FALSE)</f>
        <v>8.5199999999999998E-3</v>
      </c>
      <c r="H58" s="917">
        <f>VLOOKUP($A58,'Tech Litons'!$A:$I,9,FALSE)</f>
        <v>176</v>
      </c>
      <c r="I58" s="917" t="str">
        <f>VLOOKUP($A58,'Tech Litons'!$A:$C,3,0)</f>
        <v>48oz</v>
      </c>
      <c r="J58" s="918" t="str">
        <f t="shared" si="0"/>
        <v>135248oz</v>
      </c>
      <c r="K58" s="919">
        <v>1</v>
      </c>
      <c r="L58" s="920">
        <f t="shared" si="1"/>
        <v>2439</v>
      </c>
      <c r="M58" s="920">
        <f t="shared" si="2"/>
        <v>20.780280000000001</v>
      </c>
      <c r="N58" s="920">
        <f t="shared" si="3"/>
        <v>13.857954545454545</v>
      </c>
      <c r="O58" s="918" t="str">
        <f t="shared" si="4"/>
        <v>Jan</v>
      </c>
      <c r="P58" s="921">
        <f t="shared" si="5"/>
        <v>2</v>
      </c>
    </row>
    <row r="59" spans="1:16" ht="15" hidden="1" customHeight="1">
      <c r="A59" s="839">
        <v>68817796</v>
      </c>
      <c r="B59" s="839">
        <v>1352</v>
      </c>
      <c r="C59" s="906">
        <v>2639</v>
      </c>
      <c r="D59" s="907">
        <v>46027</v>
      </c>
      <c r="E59" s="839" t="s">
        <v>263</v>
      </c>
      <c r="F59" s="839" t="s">
        <v>264</v>
      </c>
      <c r="G59" s="916">
        <f>VLOOKUP($A59,'Tech Litons'!$A:$I,8,FALSE)</f>
        <v>8.513999999999999E-3</v>
      </c>
      <c r="H59" s="917">
        <f>VLOOKUP($A59,'Tech Litons'!$A:$I,9,FALSE)</f>
        <v>176</v>
      </c>
      <c r="I59" s="917" t="str">
        <f>VLOOKUP($A59,'Tech Litons'!$A:$C,3,0)</f>
        <v>48oz</v>
      </c>
      <c r="J59" s="918" t="str">
        <f t="shared" si="0"/>
        <v>135248oz</v>
      </c>
      <c r="K59" s="919">
        <v>1</v>
      </c>
      <c r="L59" s="920">
        <f t="shared" si="1"/>
        <v>2639</v>
      </c>
      <c r="M59" s="920">
        <f t="shared" si="2"/>
        <v>22.468445999999997</v>
      </c>
      <c r="N59" s="920">
        <f t="shared" si="3"/>
        <v>14.994318181818182</v>
      </c>
      <c r="O59" s="918" t="str">
        <f t="shared" si="4"/>
        <v>Jan</v>
      </c>
      <c r="P59" s="921">
        <f t="shared" si="5"/>
        <v>2</v>
      </c>
    </row>
    <row r="60" spans="1:16" ht="15" hidden="1" customHeight="1">
      <c r="A60" s="839">
        <v>68851104</v>
      </c>
      <c r="B60" s="839">
        <v>1352</v>
      </c>
      <c r="C60" s="906">
        <v>2640</v>
      </c>
      <c r="D60" s="907">
        <v>46027</v>
      </c>
      <c r="E60" s="839" t="s">
        <v>270</v>
      </c>
      <c r="F60" s="839" t="s">
        <v>290</v>
      </c>
      <c r="G60" s="916">
        <f>VLOOKUP($A60,'Tech Litons'!$A:$I,8,FALSE)</f>
        <v>8.5199999999999998E-3</v>
      </c>
      <c r="H60" s="917">
        <f>VLOOKUP($A60,'Tech Litons'!$A:$I,9,FALSE)</f>
        <v>176</v>
      </c>
      <c r="I60" s="917" t="str">
        <f>VLOOKUP($A60,'Tech Litons'!$A:$C,3,0)</f>
        <v>48oz</v>
      </c>
      <c r="J60" s="918" t="str">
        <f t="shared" si="0"/>
        <v>135248oz</v>
      </c>
      <c r="K60" s="919">
        <v>1</v>
      </c>
      <c r="L60" s="920">
        <f t="shared" si="1"/>
        <v>2640</v>
      </c>
      <c r="M60" s="920">
        <f t="shared" si="2"/>
        <v>22.492799999999999</v>
      </c>
      <c r="N60" s="920">
        <f t="shared" si="3"/>
        <v>15</v>
      </c>
      <c r="O60" s="918" t="str">
        <f t="shared" si="4"/>
        <v>Jan</v>
      </c>
      <c r="P60" s="921">
        <f t="shared" si="5"/>
        <v>2</v>
      </c>
    </row>
    <row r="61" spans="1:16" ht="15" hidden="1" customHeight="1">
      <c r="A61" s="839">
        <v>64979407</v>
      </c>
      <c r="B61" s="839">
        <v>2904</v>
      </c>
      <c r="C61" s="906">
        <v>2939</v>
      </c>
      <c r="D61" s="907">
        <v>46027</v>
      </c>
      <c r="E61" s="839" t="s">
        <v>284</v>
      </c>
      <c r="F61" s="839" t="s">
        <v>231</v>
      </c>
      <c r="G61" s="916">
        <f>VLOOKUP($A61,'Tech Litons'!$A:$I,8,FALSE)</f>
        <v>4.2560000000000002E-3</v>
      </c>
      <c r="H61" s="917">
        <f>VLOOKUP($A61,'Tech Litons'!$A:$I,9,FALSE)</f>
        <v>143</v>
      </c>
      <c r="I61" s="917" t="str">
        <f>VLOOKUP($A61,'Tech Litons'!$A:$C,3,0)</f>
        <v>MG Sticks</v>
      </c>
      <c r="J61" s="918" t="str">
        <f t="shared" si="0"/>
        <v>2904MG Sticks</v>
      </c>
      <c r="K61" s="919">
        <v>1</v>
      </c>
      <c r="L61" s="920">
        <f t="shared" si="1"/>
        <v>2939</v>
      </c>
      <c r="M61" s="920">
        <f t="shared" si="2"/>
        <v>12.508384000000001</v>
      </c>
      <c r="N61" s="920">
        <f t="shared" si="3"/>
        <v>20.552447552447553</v>
      </c>
      <c r="O61" s="918" t="str">
        <f t="shared" si="4"/>
        <v>Jan</v>
      </c>
      <c r="P61" s="921">
        <f t="shared" si="5"/>
        <v>2</v>
      </c>
    </row>
    <row r="62" spans="1:16" ht="15" hidden="1" customHeight="1">
      <c r="A62" s="839">
        <v>68851104</v>
      </c>
      <c r="B62" s="839">
        <v>1352</v>
      </c>
      <c r="C62" s="906">
        <v>3168</v>
      </c>
      <c r="D62" s="907">
        <v>46027</v>
      </c>
      <c r="E62" s="839" t="s">
        <v>270</v>
      </c>
      <c r="F62" s="839" t="s">
        <v>264</v>
      </c>
      <c r="G62" s="916">
        <f>VLOOKUP($A62,'Tech Litons'!$A:$I,8,FALSE)</f>
        <v>8.5199999999999998E-3</v>
      </c>
      <c r="H62" s="917">
        <f>VLOOKUP($A62,'Tech Litons'!$A:$I,9,FALSE)</f>
        <v>176</v>
      </c>
      <c r="I62" s="917" t="str">
        <f>VLOOKUP($A62,'Tech Litons'!$A:$C,3,0)</f>
        <v>48oz</v>
      </c>
      <c r="J62" s="918" t="str">
        <f t="shared" si="0"/>
        <v>135248oz</v>
      </c>
      <c r="K62" s="919">
        <v>1</v>
      </c>
      <c r="L62" s="920">
        <f t="shared" si="1"/>
        <v>3168</v>
      </c>
      <c r="M62" s="920">
        <f t="shared" si="2"/>
        <v>26.99136</v>
      </c>
      <c r="N62" s="920">
        <f t="shared" si="3"/>
        <v>18</v>
      </c>
      <c r="O62" s="918" t="str">
        <f t="shared" si="4"/>
        <v>Jan</v>
      </c>
      <c r="P62" s="921">
        <f t="shared" si="5"/>
        <v>2</v>
      </c>
    </row>
    <row r="63" spans="1:16" ht="15" hidden="1" customHeight="1">
      <c r="A63" s="839">
        <v>84137725</v>
      </c>
      <c r="B63" s="839">
        <v>5911</v>
      </c>
      <c r="C63" s="906">
        <v>3360</v>
      </c>
      <c r="D63" s="907">
        <v>46027</v>
      </c>
      <c r="E63" s="839" t="s">
        <v>278</v>
      </c>
      <c r="F63" s="839" t="s">
        <v>279</v>
      </c>
      <c r="G63" s="916">
        <f>VLOOKUP($A63,'Tech Litons'!$A:$I,8,FALSE)</f>
        <v>3.7853439999999999E-3</v>
      </c>
      <c r="H63" s="917">
        <f>VLOOKUP($A63,'Tech Litons'!$A:$I,9,FALSE)</f>
        <v>240</v>
      </c>
      <c r="I63" s="917" t="str">
        <f>VLOOKUP($A63,'Tech Litons'!$A:$C,3,0)</f>
        <v>BJ PTS</v>
      </c>
      <c r="J63" s="918" t="str">
        <f t="shared" si="0"/>
        <v>5911BJ PTS</v>
      </c>
      <c r="K63" s="919">
        <v>1</v>
      </c>
      <c r="L63" s="920">
        <f t="shared" si="1"/>
        <v>3360</v>
      </c>
      <c r="M63" s="920">
        <f t="shared" si="2"/>
        <v>12.71875584</v>
      </c>
      <c r="N63" s="920">
        <f t="shared" si="3"/>
        <v>14</v>
      </c>
      <c r="O63" s="918" t="str">
        <f t="shared" si="4"/>
        <v>Jan</v>
      </c>
      <c r="P63" s="921">
        <f t="shared" si="5"/>
        <v>2</v>
      </c>
    </row>
    <row r="64" spans="1:16" ht="15" hidden="1" customHeight="1">
      <c r="A64" s="839">
        <v>64958125</v>
      </c>
      <c r="B64" s="839">
        <v>2904</v>
      </c>
      <c r="C64" s="906">
        <v>3630</v>
      </c>
      <c r="D64" s="907">
        <v>46027</v>
      </c>
      <c r="E64" s="839" t="s">
        <v>238</v>
      </c>
      <c r="F64" s="839" t="s">
        <v>234</v>
      </c>
      <c r="G64" s="916">
        <f>VLOOKUP($A64,'Tech Litons'!$A:$I,8,FALSE)</f>
        <v>3.3119999999999998E-3</v>
      </c>
      <c r="H64" s="917">
        <f>VLOOKUP($A64,'Tech Litons'!$A:$I,9,FALSE)</f>
        <v>165</v>
      </c>
      <c r="I64" s="917" t="str">
        <f>VLOOKUP($A64,'Tech Litons'!$A:$C,3,0)</f>
        <v>Yasso Sticks</v>
      </c>
      <c r="J64" s="918" t="str">
        <f t="shared" si="0"/>
        <v>2904Yasso Sticks</v>
      </c>
      <c r="K64" s="919">
        <v>1</v>
      </c>
      <c r="L64" s="920">
        <f t="shared" si="1"/>
        <v>3630</v>
      </c>
      <c r="M64" s="920">
        <f t="shared" si="2"/>
        <v>12.022559999999999</v>
      </c>
      <c r="N64" s="920">
        <f t="shared" si="3"/>
        <v>22</v>
      </c>
      <c r="O64" s="918" t="str">
        <f t="shared" si="4"/>
        <v>Jan</v>
      </c>
      <c r="P64" s="921">
        <f t="shared" si="5"/>
        <v>2</v>
      </c>
    </row>
    <row r="65" spans="1:16" ht="15" hidden="1" customHeight="1">
      <c r="A65" s="839">
        <v>68851104</v>
      </c>
      <c r="B65" s="839">
        <v>1352</v>
      </c>
      <c r="C65" s="906">
        <v>3739</v>
      </c>
      <c r="D65" s="907">
        <v>46027</v>
      </c>
      <c r="E65" s="839" t="s">
        <v>270</v>
      </c>
      <c r="F65" s="839" t="s">
        <v>264</v>
      </c>
      <c r="G65" s="916">
        <f>VLOOKUP($A65,'Tech Litons'!$A:$I,8,FALSE)</f>
        <v>8.5199999999999998E-3</v>
      </c>
      <c r="H65" s="917">
        <f>VLOOKUP($A65,'Tech Litons'!$A:$I,9,FALSE)</f>
        <v>176</v>
      </c>
      <c r="I65" s="917" t="str">
        <f>VLOOKUP($A65,'Tech Litons'!$A:$C,3,0)</f>
        <v>48oz</v>
      </c>
      <c r="J65" s="918" t="str">
        <f t="shared" ref="J65:J128" si="6">B65&amp;I65</f>
        <v>135248oz</v>
      </c>
      <c r="K65" s="919">
        <v>1</v>
      </c>
      <c r="L65" s="920">
        <f t="shared" ref="L65:L128" si="7">C65*$K65</f>
        <v>3739</v>
      </c>
      <c r="M65" s="920">
        <f t="shared" ref="M65:M128" si="8">L65*G65</f>
        <v>31.856279999999998</v>
      </c>
      <c r="N65" s="920">
        <f t="shared" ref="N65:N128" si="9">L65/H65</f>
        <v>21.244318181818183</v>
      </c>
      <c r="O65" s="918" t="str">
        <f t="shared" ref="O65:O128" si="10">TEXT(D65,"MMM")</f>
        <v>Jan</v>
      </c>
      <c r="P65" s="921">
        <f t="shared" ref="P65:P128" si="11">WEEKNUM(D65)</f>
        <v>2</v>
      </c>
    </row>
    <row r="66" spans="1:16" ht="15" hidden="1" customHeight="1">
      <c r="A66" s="839">
        <v>64988056</v>
      </c>
      <c r="B66" s="839">
        <v>2904</v>
      </c>
      <c r="C66" s="906">
        <v>4036</v>
      </c>
      <c r="D66" s="907">
        <v>46027</v>
      </c>
      <c r="E66" s="839" t="s">
        <v>268</v>
      </c>
      <c r="F66" s="839" t="s">
        <v>269</v>
      </c>
      <c r="G66" s="916">
        <f>VLOOKUP($A66,'Tech Litons'!$A:$I,8,FALSE)</f>
        <v>8.513999999999999E-3</v>
      </c>
      <c r="H66" s="917">
        <f>VLOOKUP($A66,'Tech Litons'!$A:$I,9,FALSE)</f>
        <v>176</v>
      </c>
      <c r="I66" s="917" t="str">
        <f>VLOOKUP($A66,'Tech Litons'!$A:$C,3,0)</f>
        <v>48oz</v>
      </c>
      <c r="J66" s="918" t="str">
        <f t="shared" si="6"/>
        <v>290448oz</v>
      </c>
      <c r="K66" s="919">
        <v>1</v>
      </c>
      <c r="L66" s="920">
        <f t="shared" si="7"/>
        <v>4036</v>
      </c>
      <c r="M66" s="920">
        <f t="shared" si="8"/>
        <v>34.362503999999994</v>
      </c>
      <c r="N66" s="920">
        <f t="shared" si="9"/>
        <v>22.931818181818183</v>
      </c>
      <c r="O66" s="918" t="str">
        <f t="shared" si="10"/>
        <v>Jan</v>
      </c>
      <c r="P66" s="921">
        <f t="shared" si="11"/>
        <v>2</v>
      </c>
    </row>
    <row r="67" spans="1:16" ht="15" hidden="1" customHeight="1">
      <c r="A67" s="839">
        <v>84135781</v>
      </c>
      <c r="B67" s="839">
        <v>5914</v>
      </c>
      <c r="C67" s="906">
        <v>4080</v>
      </c>
      <c r="D67" s="907">
        <v>46027</v>
      </c>
      <c r="E67" s="839" t="s">
        <v>302</v>
      </c>
      <c r="F67" s="839" t="s">
        <v>303</v>
      </c>
      <c r="G67" s="916">
        <f>VLOOKUP($A67,'Tech Litons'!$A:$I,8,FALSE)</f>
        <v>3.7853439999999999E-3</v>
      </c>
      <c r="H67" s="917">
        <f>VLOOKUP($A67,'Tech Litons'!$A:$I,9,FALSE)</f>
        <v>240</v>
      </c>
      <c r="I67" s="917" t="str">
        <f>VLOOKUP($A67,'Tech Litons'!$A:$C,3,0)</f>
        <v>BJ PTS</v>
      </c>
      <c r="J67" s="918" t="str">
        <f t="shared" si="6"/>
        <v>5914BJ PTS</v>
      </c>
      <c r="K67" s="919">
        <v>1</v>
      </c>
      <c r="L67" s="920">
        <f t="shared" si="7"/>
        <v>4080</v>
      </c>
      <c r="M67" s="920">
        <f t="shared" si="8"/>
        <v>15.44420352</v>
      </c>
      <c r="N67" s="920">
        <f t="shared" si="9"/>
        <v>17</v>
      </c>
      <c r="O67" s="918" t="str">
        <f t="shared" si="10"/>
        <v>Jan</v>
      </c>
      <c r="P67" s="921">
        <f t="shared" si="11"/>
        <v>2</v>
      </c>
    </row>
    <row r="68" spans="1:16" ht="15" hidden="1" customHeight="1">
      <c r="A68" s="839">
        <v>68689251</v>
      </c>
      <c r="B68" s="839">
        <v>1352</v>
      </c>
      <c r="C68" s="906">
        <v>4195</v>
      </c>
      <c r="D68" s="907">
        <v>46027</v>
      </c>
      <c r="E68" s="839" t="s">
        <v>262</v>
      </c>
      <c r="F68" s="839" t="s">
        <v>240</v>
      </c>
      <c r="G68" s="916">
        <f>VLOOKUP($A68,'Tech Litons'!$A:$I,8,FALSE)</f>
        <v>9.5760000000000012E-3</v>
      </c>
      <c r="H68" s="917">
        <f>VLOOKUP($A68,'Tech Litons'!$A:$I,9,FALSE)</f>
        <v>132</v>
      </c>
      <c r="I68" s="917" t="str">
        <f>VLOOKUP($A68,'Tech Litons'!$A:$C,3,0)</f>
        <v>EDF</v>
      </c>
      <c r="J68" s="918" t="str">
        <f t="shared" si="6"/>
        <v>1352EDF</v>
      </c>
      <c r="K68" s="919">
        <v>1</v>
      </c>
      <c r="L68" s="920">
        <f t="shared" si="7"/>
        <v>4195</v>
      </c>
      <c r="M68" s="920">
        <f t="shared" si="8"/>
        <v>40.171320000000001</v>
      </c>
      <c r="N68" s="920">
        <f t="shared" si="9"/>
        <v>31.780303030303031</v>
      </c>
      <c r="O68" s="918" t="str">
        <f t="shared" si="10"/>
        <v>Jan</v>
      </c>
      <c r="P68" s="921">
        <f t="shared" si="11"/>
        <v>2</v>
      </c>
    </row>
    <row r="69" spans="1:16" ht="15" hidden="1" customHeight="1">
      <c r="A69" s="839">
        <v>64979407</v>
      </c>
      <c r="B69" s="839">
        <v>2904</v>
      </c>
      <c r="C69" s="906">
        <v>4433</v>
      </c>
      <c r="D69" s="907">
        <v>46027</v>
      </c>
      <c r="E69" s="839" t="s">
        <v>284</v>
      </c>
      <c r="F69" s="839" t="s">
        <v>231</v>
      </c>
      <c r="G69" s="916">
        <f>VLOOKUP($A69,'Tech Litons'!$A:$I,8,FALSE)</f>
        <v>4.2560000000000002E-3</v>
      </c>
      <c r="H69" s="917">
        <f>VLOOKUP($A69,'Tech Litons'!$A:$I,9,FALSE)</f>
        <v>143</v>
      </c>
      <c r="I69" s="917" t="str">
        <f>VLOOKUP($A69,'Tech Litons'!$A:$C,3,0)</f>
        <v>MG Sticks</v>
      </c>
      <c r="J69" s="918" t="str">
        <f t="shared" si="6"/>
        <v>2904MG Sticks</v>
      </c>
      <c r="K69" s="919">
        <v>1</v>
      </c>
      <c r="L69" s="920">
        <f t="shared" si="7"/>
        <v>4433</v>
      </c>
      <c r="M69" s="920">
        <f t="shared" si="8"/>
        <v>18.866848000000001</v>
      </c>
      <c r="N69" s="920">
        <f t="shared" si="9"/>
        <v>31</v>
      </c>
      <c r="O69" s="918" t="str">
        <f t="shared" si="10"/>
        <v>Jan</v>
      </c>
      <c r="P69" s="921">
        <f t="shared" si="11"/>
        <v>2</v>
      </c>
    </row>
    <row r="70" spans="1:16" ht="15" hidden="1" customHeight="1">
      <c r="A70" s="839">
        <v>68921994</v>
      </c>
      <c r="B70" s="839">
        <v>1352</v>
      </c>
      <c r="C70" s="906">
        <v>4753</v>
      </c>
      <c r="D70" s="907">
        <v>46027</v>
      </c>
      <c r="E70" s="839" t="s">
        <v>267</v>
      </c>
      <c r="F70" s="839" t="s">
        <v>241</v>
      </c>
      <c r="G70" s="916">
        <f>VLOOKUP($A70,'Tech Litons'!$A:$I,8,FALSE)</f>
        <v>9.5760000000000012E-3</v>
      </c>
      <c r="H70" s="917">
        <f>VLOOKUP($A70,'Tech Litons'!$A:$I,9,FALSE)</f>
        <v>132</v>
      </c>
      <c r="I70" s="917" t="str">
        <f>VLOOKUP($A70,'Tech Litons'!$A:$C,3,0)</f>
        <v>EDF</v>
      </c>
      <c r="J70" s="918" t="str">
        <f t="shared" si="6"/>
        <v>1352EDF</v>
      </c>
      <c r="K70" s="919">
        <v>1</v>
      </c>
      <c r="L70" s="920">
        <f t="shared" si="7"/>
        <v>4753</v>
      </c>
      <c r="M70" s="920">
        <f t="shared" si="8"/>
        <v>45.514728000000005</v>
      </c>
      <c r="N70" s="920">
        <f t="shared" si="9"/>
        <v>36.007575757575758</v>
      </c>
      <c r="O70" s="918" t="str">
        <f t="shared" si="10"/>
        <v>Jan</v>
      </c>
      <c r="P70" s="921">
        <f t="shared" si="11"/>
        <v>2</v>
      </c>
    </row>
    <row r="71" spans="1:16" ht="15" hidden="1" customHeight="1">
      <c r="A71" s="839">
        <v>64988056</v>
      </c>
      <c r="B71" s="839">
        <v>2904</v>
      </c>
      <c r="C71" s="906">
        <v>5591</v>
      </c>
      <c r="D71" s="907">
        <v>46027</v>
      </c>
      <c r="E71" s="839" t="s">
        <v>268</v>
      </c>
      <c r="F71" s="839" t="s">
        <v>269</v>
      </c>
      <c r="G71" s="916">
        <f>VLOOKUP($A71,'Tech Litons'!$A:$I,8,FALSE)</f>
        <v>8.513999999999999E-3</v>
      </c>
      <c r="H71" s="917">
        <f>VLOOKUP($A71,'Tech Litons'!$A:$I,9,FALSE)</f>
        <v>176</v>
      </c>
      <c r="I71" s="917" t="str">
        <f>VLOOKUP($A71,'Tech Litons'!$A:$C,3,0)</f>
        <v>48oz</v>
      </c>
      <c r="J71" s="918" t="str">
        <f t="shared" si="6"/>
        <v>290448oz</v>
      </c>
      <c r="K71" s="919">
        <v>1</v>
      </c>
      <c r="L71" s="920">
        <f t="shared" si="7"/>
        <v>5591</v>
      </c>
      <c r="M71" s="920">
        <f t="shared" si="8"/>
        <v>47.601773999999992</v>
      </c>
      <c r="N71" s="920">
        <f t="shared" si="9"/>
        <v>31.767045454545453</v>
      </c>
      <c r="O71" s="918" t="str">
        <f t="shared" si="10"/>
        <v>Jan</v>
      </c>
      <c r="P71" s="921">
        <f t="shared" si="11"/>
        <v>2</v>
      </c>
    </row>
    <row r="72" spans="1:16" ht="15" hidden="1" customHeight="1">
      <c r="A72" s="839">
        <v>68867755</v>
      </c>
      <c r="B72" s="839">
        <v>2904</v>
      </c>
      <c r="C72" s="906">
        <v>5670</v>
      </c>
      <c r="D72" s="907">
        <v>46027</v>
      </c>
      <c r="E72" s="839" t="s">
        <v>274</v>
      </c>
      <c r="F72" s="839" t="s">
        <v>275</v>
      </c>
      <c r="G72" s="916">
        <f>VLOOKUP($A72,'Tech Litons'!$A:$I,8,FALSE)</f>
        <v>3.552E-3</v>
      </c>
      <c r="H72" s="917">
        <f>VLOOKUP($A72,'Tech Litons'!$A:$I,9,FALSE)</f>
        <v>255</v>
      </c>
      <c r="I72" s="917" t="str">
        <f>VLOOKUP($A72,'Tech Litons'!$A:$C,3,0)</f>
        <v>Talenti</v>
      </c>
      <c r="J72" s="918" t="str">
        <f t="shared" si="6"/>
        <v>2904Talenti</v>
      </c>
      <c r="K72" s="919">
        <v>1</v>
      </c>
      <c r="L72" s="920">
        <f t="shared" si="7"/>
        <v>5670</v>
      </c>
      <c r="M72" s="920">
        <f t="shared" si="8"/>
        <v>20.13984</v>
      </c>
      <c r="N72" s="920">
        <f t="shared" si="9"/>
        <v>22.235294117647058</v>
      </c>
      <c r="O72" s="918" t="str">
        <f t="shared" si="10"/>
        <v>Jan</v>
      </c>
      <c r="P72" s="921">
        <f t="shared" si="11"/>
        <v>2</v>
      </c>
    </row>
    <row r="73" spans="1:16" ht="15" hidden="1" customHeight="1">
      <c r="A73" s="839">
        <v>64958125</v>
      </c>
      <c r="B73" s="839">
        <v>2904</v>
      </c>
      <c r="C73" s="906">
        <v>5743</v>
      </c>
      <c r="D73" s="907">
        <v>46027</v>
      </c>
      <c r="E73" s="839" t="s">
        <v>238</v>
      </c>
      <c r="F73" s="839" t="s">
        <v>234</v>
      </c>
      <c r="G73" s="916">
        <f>VLOOKUP($A73,'Tech Litons'!$A:$I,8,FALSE)</f>
        <v>3.3119999999999998E-3</v>
      </c>
      <c r="H73" s="917">
        <f>VLOOKUP($A73,'Tech Litons'!$A:$I,9,FALSE)</f>
        <v>165</v>
      </c>
      <c r="I73" s="917" t="str">
        <f>VLOOKUP($A73,'Tech Litons'!$A:$C,3,0)</f>
        <v>Yasso Sticks</v>
      </c>
      <c r="J73" s="918" t="str">
        <f t="shared" si="6"/>
        <v>2904Yasso Sticks</v>
      </c>
      <c r="K73" s="919">
        <v>1</v>
      </c>
      <c r="L73" s="920">
        <f t="shared" si="7"/>
        <v>5743</v>
      </c>
      <c r="M73" s="920">
        <f t="shared" si="8"/>
        <v>19.020816</v>
      </c>
      <c r="N73" s="920">
        <f t="shared" si="9"/>
        <v>34.806060606060605</v>
      </c>
      <c r="O73" s="918" t="str">
        <f t="shared" si="10"/>
        <v>Jan</v>
      </c>
      <c r="P73" s="921">
        <f t="shared" si="11"/>
        <v>2</v>
      </c>
    </row>
    <row r="74" spans="1:16" ht="15" hidden="1" customHeight="1">
      <c r="A74" s="839">
        <v>64330596</v>
      </c>
      <c r="B74" s="839">
        <v>2904</v>
      </c>
      <c r="C74" s="906">
        <v>6133</v>
      </c>
      <c r="D74" s="907">
        <v>46027</v>
      </c>
      <c r="E74" s="839" t="s">
        <v>280</v>
      </c>
      <c r="F74" s="839" t="s">
        <v>281</v>
      </c>
      <c r="G74" s="916">
        <f>VLOOKUP($A74,'Tech Litons'!$A:$I,8,FALSE)</f>
        <v>1.98E-3</v>
      </c>
      <c r="H74" s="917">
        <f>VLOOKUP($A74,'Tech Litons'!$A:$I,9,FALSE)</f>
        <v>176</v>
      </c>
      <c r="I74" s="917" t="str">
        <f>VLOOKUP($A74,'Tech Litons'!$A:$C,3,0)</f>
        <v>MG Sticks</v>
      </c>
      <c r="J74" s="918" t="str">
        <f t="shared" si="6"/>
        <v>2904MG Sticks</v>
      </c>
      <c r="K74" s="919">
        <v>1</v>
      </c>
      <c r="L74" s="920">
        <f t="shared" si="7"/>
        <v>6133</v>
      </c>
      <c r="M74" s="920">
        <f t="shared" si="8"/>
        <v>12.14334</v>
      </c>
      <c r="N74" s="920">
        <f t="shared" si="9"/>
        <v>34.846590909090907</v>
      </c>
      <c r="O74" s="918" t="str">
        <f t="shared" si="10"/>
        <v>Jan</v>
      </c>
      <c r="P74" s="921">
        <f t="shared" si="11"/>
        <v>2</v>
      </c>
    </row>
    <row r="75" spans="1:16" ht="15" hidden="1" customHeight="1">
      <c r="A75" s="839">
        <v>68851104</v>
      </c>
      <c r="B75" s="839">
        <v>2904</v>
      </c>
      <c r="C75" s="906">
        <v>6336</v>
      </c>
      <c r="D75" s="907">
        <v>46027</v>
      </c>
      <c r="E75" s="839" t="s">
        <v>270</v>
      </c>
      <c r="F75" s="839" t="s">
        <v>271</v>
      </c>
      <c r="G75" s="916">
        <f>VLOOKUP($A75,'Tech Litons'!$A:$I,8,FALSE)</f>
        <v>8.5199999999999998E-3</v>
      </c>
      <c r="H75" s="917">
        <f>VLOOKUP($A75,'Tech Litons'!$A:$I,9,FALSE)</f>
        <v>176</v>
      </c>
      <c r="I75" s="917" t="str">
        <f>VLOOKUP($A75,'Tech Litons'!$A:$C,3,0)</f>
        <v>48oz</v>
      </c>
      <c r="J75" s="918" t="str">
        <f t="shared" si="6"/>
        <v>290448oz</v>
      </c>
      <c r="K75" s="919">
        <v>1</v>
      </c>
      <c r="L75" s="920">
        <f t="shared" si="7"/>
        <v>6336</v>
      </c>
      <c r="M75" s="920">
        <f t="shared" si="8"/>
        <v>53.98272</v>
      </c>
      <c r="N75" s="920">
        <f t="shared" si="9"/>
        <v>36</v>
      </c>
      <c r="O75" s="918" t="str">
        <f t="shared" si="10"/>
        <v>Jan</v>
      </c>
      <c r="P75" s="921">
        <f t="shared" si="11"/>
        <v>2</v>
      </c>
    </row>
    <row r="76" spans="1:16" ht="15" hidden="1" customHeight="1">
      <c r="A76" s="839">
        <v>84135781</v>
      </c>
      <c r="B76" s="839">
        <v>5914</v>
      </c>
      <c r="C76" s="906">
        <v>6392</v>
      </c>
      <c r="D76" s="907">
        <v>46027</v>
      </c>
      <c r="E76" s="839" t="s">
        <v>302</v>
      </c>
      <c r="F76" s="839" t="s">
        <v>304</v>
      </c>
      <c r="G76" s="916">
        <f>VLOOKUP($A76,'Tech Litons'!$A:$I,8,FALSE)</f>
        <v>3.7853439999999999E-3</v>
      </c>
      <c r="H76" s="917">
        <f>VLOOKUP($A76,'Tech Litons'!$A:$I,9,FALSE)</f>
        <v>240</v>
      </c>
      <c r="I76" s="917" t="str">
        <f>VLOOKUP($A76,'Tech Litons'!$A:$C,3,0)</f>
        <v>BJ PTS</v>
      </c>
      <c r="J76" s="918" t="str">
        <f t="shared" si="6"/>
        <v>5914BJ PTS</v>
      </c>
      <c r="K76" s="919">
        <v>1</v>
      </c>
      <c r="L76" s="920">
        <f t="shared" si="7"/>
        <v>6392</v>
      </c>
      <c r="M76" s="920">
        <f t="shared" si="8"/>
        <v>24.195918847999998</v>
      </c>
      <c r="N76" s="920">
        <f t="shared" si="9"/>
        <v>26.633333333333333</v>
      </c>
      <c r="O76" s="918" t="str">
        <f t="shared" si="10"/>
        <v>Jan</v>
      </c>
      <c r="P76" s="921">
        <f t="shared" si="11"/>
        <v>2</v>
      </c>
    </row>
    <row r="77" spans="1:16" ht="15" hidden="1" customHeight="1">
      <c r="A77" s="839">
        <v>64393722</v>
      </c>
      <c r="B77" s="839">
        <v>2904</v>
      </c>
      <c r="C77" s="906">
        <v>6510</v>
      </c>
      <c r="D77" s="907">
        <v>46027</v>
      </c>
      <c r="E77" s="839" t="s">
        <v>282</v>
      </c>
      <c r="F77" s="839" t="s">
        <v>283</v>
      </c>
      <c r="G77" s="916">
        <f>VLOOKUP($A77,'Tech Litons'!$A:$I,8,FALSE)</f>
        <v>2.16E-3</v>
      </c>
      <c r="H77" s="917">
        <f>VLOOKUP($A77,'Tech Litons'!$A:$I,9,FALSE)</f>
        <v>210</v>
      </c>
      <c r="I77" s="917" t="str">
        <f>VLOOKUP($A77,'Tech Litons'!$A:$C,3,0)</f>
        <v>MG Sticks</v>
      </c>
      <c r="J77" s="918" t="str">
        <f t="shared" si="6"/>
        <v>2904MG Sticks</v>
      </c>
      <c r="K77" s="919">
        <v>1</v>
      </c>
      <c r="L77" s="920">
        <f t="shared" si="7"/>
        <v>6510</v>
      </c>
      <c r="M77" s="920">
        <f t="shared" si="8"/>
        <v>14.0616</v>
      </c>
      <c r="N77" s="920">
        <f t="shared" si="9"/>
        <v>31</v>
      </c>
      <c r="O77" s="918" t="str">
        <f t="shared" si="10"/>
        <v>Jan</v>
      </c>
      <c r="P77" s="921">
        <f t="shared" si="11"/>
        <v>2</v>
      </c>
    </row>
    <row r="78" spans="1:16" ht="15" hidden="1" customHeight="1">
      <c r="A78" s="839">
        <v>68851104</v>
      </c>
      <c r="B78" s="839">
        <v>2904</v>
      </c>
      <c r="C78" s="906">
        <v>6512</v>
      </c>
      <c r="D78" s="907">
        <v>46027</v>
      </c>
      <c r="E78" s="839" t="s">
        <v>270</v>
      </c>
      <c r="F78" s="839" t="s">
        <v>271</v>
      </c>
      <c r="G78" s="916">
        <f>VLOOKUP($A78,'Tech Litons'!$A:$I,8,FALSE)</f>
        <v>8.5199999999999998E-3</v>
      </c>
      <c r="H78" s="917">
        <f>VLOOKUP($A78,'Tech Litons'!$A:$I,9,FALSE)</f>
        <v>176</v>
      </c>
      <c r="I78" s="917" t="str">
        <f>VLOOKUP($A78,'Tech Litons'!$A:$C,3,0)</f>
        <v>48oz</v>
      </c>
      <c r="J78" s="918" t="str">
        <f t="shared" si="6"/>
        <v>290448oz</v>
      </c>
      <c r="K78" s="919">
        <v>1</v>
      </c>
      <c r="L78" s="920">
        <f t="shared" si="7"/>
        <v>6512</v>
      </c>
      <c r="M78" s="920">
        <f t="shared" si="8"/>
        <v>55.482239999999997</v>
      </c>
      <c r="N78" s="920">
        <f t="shared" si="9"/>
        <v>37</v>
      </c>
      <c r="O78" s="918" t="str">
        <f t="shared" si="10"/>
        <v>Jan</v>
      </c>
      <c r="P78" s="921">
        <f t="shared" si="11"/>
        <v>2</v>
      </c>
    </row>
    <row r="79" spans="1:16" ht="15" hidden="1" customHeight="1">
      <c r="A79" s="839">
        <v>64393722</v>
      </c>
      <c r="B79" s="839">
        <v>2904</v>
      </c>
      <c r="C79" s="906">
        <v>6576</v>
      </c>
      <c r="D79" s="907">
        <v>46027</v>
      </c>
      <c r="E79" s="839" t="s">
        <v>282</v>
      </c>
      <c r="F79" s="839" t="s">
        <v>283</v>
      </c>
      <c r="G79" s="916">
        <f>VLOOKUP($A79,'Tech Litons'!$A:$I,8,FALSE)</f>
        <v>2.16E-3</v>
      </c>
      <c r="H79" s="917">
        <f>VLOOKUP($A79,'Tech Litons'!$A:$I,9,FALSE)</f>
        <v>210</v>
      </c>
      <c r="I79" s="917" t="str">
        <f>VLOOKUP($A79,'Tech Litons'!$A:$C,3,0)</f>
        <v>MG Sticks</v>
      </c>
      <c r="J79" s="918" t="str">
        <f t="shared" si="6"/>
        <v>2904MG Sticks</v>
      </c>
      <c r="K79" s="919">
        <v>1</v>
      </c>
      <c r="L79" s="920">
        <f t="shared" si="7"/>
        <v>6576</v>
      </c>
      <c r="M79" s="920">
        <f t="shared" si="8"/>
        <v>14.20416</v>
      </c>
      <c r="N79" s="920">
        <f t="shared" si="9"/>
        <v>31.314285714285713</v>
      </c>
      <c r="O79" s="918" t="str">
        <f t="shared" si="10"/>
        <v>Jan</v>
      </c>
      <c r="P79" s="921">
        <f t="shared" si="11"/>
        <v>2</v>
      </c>
    </row>
    <row r="80" spans="1:16" ht="15" hidden="1" customHeight="1">
      <c r="A80" s="839">
        <v>68851107</v>
      </c>
      <c r="B80" s="839">
        <v>2904</v>
      </c>
      <c r="C80" s="906">
        <v>7205</v>
      </c>
      <c r="D80" s="907">
        <v>46027</v>
      </c>
      <c r="E80" s="839" t="s">
        <v>272</v>
      </c>
      <c r="F80" s="839" t="s">
        <v>273</v>
      </c>
      <c r="G80" s="916">
        <f>VLOOKUP($A80,'Tech Litons'!$A:$I,8,FALSE)</f>
        <v>8.5199999999999998E-3</v>
      </c>
      <c r="H80" s="917">
        <f>VLOOKUP($A80,'Tech Litons'!$A:$I,9,FALSE)</f>
        <v>176</v>
      </c>
      <c r="I80" s="917" t="str">
        <f>VLOOKUP($A80,'Tech Litons'!$A:$C,3,0)</f>
        <v>48oz</v>
      </c>
      <c r="J80" s="918" t="str">
        <f t="shared" si="6"/>
        <v>290448oz</v>
      </c>
      <c r="K80" s="919">
        <v>1</v>
      </c>
      <c r="L80" s="920">
        <f t="shared" si="7"/>
        <v>7205</v>
      </c>
      <c r="M80" s="920">
        <f t="shared" si="8"/>
        <v>61.386600000000001</v>
      </c>
      <c r="N80" s="920">
        <f t="shared" si="9"/>
        <v>40.9375</v>
      </c>
      <c r="O80" s="918" t="str">
        <f t="shared" si="10"/>
        <v>Jan</v>
      </c>
      <c r="P80" s="921">
        <f t="shared" si="11"/>
        <v>2</v>
      </c>
    </row>
    <row r="81" spans="1:16" ht="15" hidden="1" customHeight="1">
      <c r="A81" s="839">
        <v>68851107</v>
      </c>
      <c r="B81" s="839">
        <v>2904</v>
      </c>
      <c r="C81" s="906">
        <v>7920</v>
      </c>
      <c r="D81" s="907">
        <v>46027</v>
      </c>
      <c r="E81" s="839" t="s">
        <v>272</v>
      </c>
      <c r="F81" s="839" t="s">
        <v>273</v>
      </c>
      <c r="G81" s="916">
        <f>VLOOKUP($A81,'Tech Litons'!$A:$I,8,FALSE)</f>
        <v>8.5199999999999998E-3</v>
      </c>
      <c r="H81" s="917">
        <f>VLOOKUP($A81,'Tech Litons'!$A:$I,9,FALSE)</f>
        <v>176</v>
      </c>
      <c r="I81" s="917" t="str">
        <f>VLOOKUP($A81,'Tech Litons'!$A:$C,3,0)</f>
        <v>48oz</v>
      </c>
      <c r="J81" s="918" t="str">
        <f t="shared" si="6"/>
        <v>290448oz</v>
      </c>
      <c r="K81" s="919">
        <v>1</v>
      </c>
      <c r="L81" s="920">
        <f t="shared" si="7"/>
        <v>7920</v>
      </c>
      <c r="M81" s="920">
        <f t="shared" si="8"/>
        <v>67.478399999999993</v>
      </c>
      <c r="N81" s="920">
        <f t="shared" si="9"/>
        <v>45</v>
      </c>
      <c r="O81" s="918" t="str">
        <f t="shared" si="10"/>
        <v>Jan</v>
      </c>
      <c r="P81" s="921">
        <f t="shared" si="11"/>
        <v>2</v>
      </c>
    </row>
    <row r="82" spans="1:16" ht="15" hidden="1" customHeight="1">
      <c r="A82" s="839">
        <v>68851104</v>
      </c>
      <c r="B82" s="839">
        <v>1352</v>
      </c>
      <c r="C82" s="906">
        <v>9494</v>
      </c>
      <c r="D82" s="907">
        <v>46027</v>
      </c>
      <c r="E82" s="839" t="s">
        <v>270</v>
      </c>
      <c r="F82" s="839" t="s">
        <v>290</v>
      </c>
      <c r="G82" s="916">
        <f>VLOOKUP($A82,'Tech Litons'!$A:$I,8,FALSE)</f>
        <v>8.5199999999999998E-3</v>
      </c>
      <c r="H82" s="917">
        <f>VLOOKUP($A82,'Tech Litons'!$A:$I,9,FALSE)</f>
        <v>176</v>
      </c>
      <c r="I82" s="917" t="str">
        <f>VLOOKUP($A82,'Tech Litons'!$A:$C,3,0)</f>
        <v>48oz</v>
      </c>
      <c r="J82" s="918" t="str">
        <f t="shared" si="6"/>
        <v>135248oz</v>
      </c>
      <c r="K82" s="919">
        <v>1</v>
      </c>
      <c r="L82" s="920">
        <f t="shared" si="7"/>
        <v>9494</v>
      </c>
      <c r="M82" s="920">
        <f t="shared" si="8"/>
        <v>80.88888</v>
      </c>
      <c r="N82" s="920">
        <f t="shared" si="9"/>
        <v>53.94318181818182</v>
      </c>
      <c r="O82" s="918" t="str">
        <f t="shared" si="10"/>
        <v>Jan</v>
      </c>
      <c r="P82" s="921">
        <f t="shared" si="11"/>
        <v>2</v>
      </c>
    </row>
    <row r="83" spans="1:16" ht="15" hidden="1" customHeight="1">
      <c r="A83" s="839">
        <v>68922108</v>
      </c>
      <c r="B83" s="839">
        <v>2904</v>
      </c>
      <c r="C83" s="906">
        <v>9689</v>
      </c>
      <c r="D83" s="907">
        <v>46027</v>
      </c>
      <c r="E83" s="839" t="s">
        <v>276</v>
      </c>
      <c r="F83" s="839" t="s">
        <v>277</v>
      </c>
      <c r="G83" s="916">
        <f>VLOOKUP($A83,'Tech Litons'!$A:$I,8,FALSE)</f>
        <v>3.7839999999999996E-3</v>
      </c>
      <c r="H83" s="917">
        <f>VLOOKUP($A83,'Tech Litons'!$A:$I,9,FALSE)</f>
        <v>255</v>
      </c>
      <c r="I83" s="917" t="str">
        <f>VLOOKUP($A83,'Tech Litons'!$A:$C,3,0)</f>
        <v>TALENTI</v>
      </c>
      <c r="J83" s="918" t="str">
        <f t="shared" si="6"/>
        <v>2904TALENTI</v>
      </c>
      <c r="K83" s="919">
        <v>1</v>
      </c>
      <c r="L83" s="920">
        <f t="shared" si="7"/>
        <v>9689</v>
      </c>
      <c r="M83" s="920">
        <f t="shared" si="8"/>
        <v>36.663175999999993</v>
      </c>
      <c r="N83" s="920">
        <f t="shared" si="9"/>
        <v>37.996078431372545</v>
      </c>
      <c r="O83" s="918" t="str">
        <f t="shared" si="10"/>
        <v>Jan</v>
      </c>
      <c r="P83" s="921">
        <f t="shared" si="11"/>
        <v>2</v>
      </c>
    </row>
    <row r="84" spans="1:16" ht="15" hidden="1" customHeight="1">
      <c r="A84" s="839">
        <v>68922108</v>
      </c>
      <c r="B84" s="839">
        <v>2904</v>
      </c>
      <c r="C84" s="906">
        <v>9811</v>
      </c>
      <c r="D84" s="907">
        <v>46027</v>
      </c>
      <c r="E84" s="839" t="s">
        <v>276</v>
      </c>
      <c r="F84" s="839" t="s">
        <v>277</v>
      </c>
      <c r="G84" s="916">
        <f>VLOOKUP($A84,'Tech Litons'!$A:$I,8,FALSE)</f>
        <v>3.7839999999999996E-3</v>
      </c>
      <c r="H84" s="917">
        <f>VLOOKUP($A84,'Tech Litons'!$A:$I,9,FALSE)</f>
        <v>255</v>
      </c>
      <c r="I84" s="917" t="str">
        <f>VLOOKUP($A84,'Tech Litons'!$A:$C,3,0)</f>
        <v>TALENTI</v>
      </c>
      <c r="J84" s="918" t="str">
        <f t="shared" si="6"/>
        <v>2904TALENTI</v>
      </c>
      <c r="K84" s="919">
        <v>1</v>
      </c>
      <c r="L84" s="920">
        <f t="shared" si="7"/>
        <v>9811</v>
      </c>
      <c r="M84" s="920">
        <f t="shared" si="8"/>
        <v>37.124823999999997</v>
      </c>
      <c r="N84" s="920">
        <f t="shared" si="9"/>
        <v>38.47450980392157</v>
      </c>
      <c r="O84" s="918" t="str">
        <f t="shared" si="10"/>
        <v>Jan</v>
      </c>
      <c r="P84" s="921">
        <f t="shared" si="11"/>
        <v>2</v>
      </c>
    </row>
    <row r="85" spans="1:16" ht="15" hidden="1" customHeight="1">
      <c r="A85" s="839">
        <v>84137725</v>
      </c>
      <c r="B85" s="839">
        <v>5911</v>
      </c>
      <c r="C85" s="906">
        <v>11520</v>
      </c>
      <c r="D85" s="907">
        <v>46027</v>
      </c>
      <c r="E85" s="839" t="s">
        <v>278</v>
      </c>
      <c r="F85" s="839" t="s">
        <v>279</v>
      </c>
      <c r="G85" s="916">
        <f>VLOOKUP($A85,'Tech Litons'!$A:$I,8,FALSE)</f>
        <v>3.7853439999999999E-3</v>
      </c>
      <c r="H85" s="917">
        <f>VLOOKUP($A85,'Tech Litons'!$A:$I,9,FALSE)</f>
        <v>240</v>
      </c>
      <c r="I85" s="917" t="str">
        <f>VLOOKUP($A85,'Tech Litons'!$A:$C,3,0)</f>
        <v>BJ PTS</v>
      </c>
      <c r="J85" s="918" t="str">
        <f t="shared" si="6"/>
        <v>5911BJ PTS</v>
      </c>
      <c r="K85" s="919">
        <v>1</v>
      </c>
      <c r="L85" s="920">
        <f t="shared" si="7"/>
        <v>11520</v>
      </c>
      <c r="M85" s="920">
        <f t="shared" si="8"/>
        <v>43.607162879999997</v>
      </c>
      <c r="N85" s="920">
        <f t="shared" si="9"/>
        <v>48</v>
      </c>
      <c r="O85" s="918" t="str">
        <f t="shared" si="10"/>
        <v>Jan</v>
      </c>
      <c r="P85" s="921">
        <f t="shared" si="11"/>
        <v>2</v>
      </c>
    </row>
    <row r="86" spans="1:16" ht="15" hidden="1" customHeight="1">
      <c r="A86" s="839">
        <v>68851104</v>
      </c>
      <c r="B86" s="839">
        <v>2904</v>
      </c>
      <c r="C86" s="906">
        <v>-860</v>
      </c>
      <c r="D86" s="907">
        <v>46028</v>
      </c>
      <c r="E86" s="839" t="s">
        <v>270</v>
      </c>
      <c r="F86" s="839" t="s">
        <v>271</v>
      </c>
      <c r="G86" s="916">
        <f>VLOOKUP($A86,'Tech Litons'!$A:$I,8,FALSE)</f>
        <v>8.5199999999999998E-3</v>
      </c>
      <c r="H86" s="917">
        <f>VLOOKUP($A86,'Tech Litons'!$A:$I,9,FALSE)</f>
        <v>176</v>
      </c>
      <c r="I86" s="917" t="str">
        <f>VLOOKUP($A86,'Tech Litons'!$A:$C,3,0)</f>
        <v>48oz</v>
      </c>
      <c r="J86" s="918" t="str">
        <f t="shared" si="6"/>
        <v>290448oz</v>
      </c>
      <c r="K86" s="919">
        <v>1</v>
      </c>
      <c r="L86" s="920">
        <f t="shared" si="7"/>
        <v>-860</v>
      </c>
      <c r="M86" s="920">
        <f t="shared" si="8"/>
        <v>-7.3271999999999995</v>
      </c>
      <c r="N86" s="920">
        <f t="shared" si="9"/>
        <v>-4.8863636363636367</v>
      </c>
      <c r="O86" s="918" t="str">
        <f t="shared" si="10"/>
        <v>Jan</v>
      </c>
      <c r="P86" s="921">
        <f t="shared" si="11"/>
        <v>2</v>
      </c>
    </row>
    <row r="87" spans="1:16" ht="15" hidden="1" customHeight="1">
      <c r="A87" s="839">
        <v>69717801</v>
      </c>
      <c r="B87" s="839">
        <v>2904</v>
      </c>
      <c r="C87" s="906">
        <v>-572</v>
      </c>
      <c r="D87" s="907">
        <v>46028</v>
      </c>
      <c r="E87" s="839" t="s">
        <v>509</v>
      </c>
      <c r="F87" s="839" t="s">
        <v>231</v>
      </c>
      <c r="G87" s="916">
        <f>VLOOKUP($A87,'Tech Litons'!$A:$I,8,FALSE)</f>
        <v>4.2560000000000002E-3</v>
      </c>
      <c r="H87" s="917">
        <f>VLOOKUP($A87,'Tech Litons'!$A:$I,9,FALSE)</f>
        <v>143</v>
      </c>
      <c r="I87" s="917" t="str">
        <f>VLOOKUP($A87,'Tech Litons'!$A:$C,3,0)</f>
        <v>MG Sticks</v>
      </c>
      <c r="J87" s="918" t="str">
        <f t="shared" si="6"/>
        <v>2904MG Sticks</v>
      </c>
      <c r="K87" s="919">
        <v>1</v>
      </c>
      <c r="L87" s="920">
        <f t="shared" si="7"/>
        <v>-572</v>
      </c>
      <c r="M87" s="920">
        <f t="shared" si="8"/>
        <v>-2.4344320000000002</v>
      </c>
      <c r="N87" s="920">
        <f t="shared" si="9"/>
        <v>-4</v>
      </c>
      <c r="O87" s="918" t="str">
        <f t="shared" si="10"/>
        <v>Jan</v>
      </c>
      <c r="P87" s="921">
        <f t="shared" si="11"/>
        <v>2</v>
      </c>
    </row>
    <row r="88" spans="1:16" ht="15" hidden="1" customHeight="1">
      <c r="A88" s="839">
        <v>64775327</v>
      </c>
      <c r="B88" s="839">
        <v>2904</v>
      </c>
      <c r="C88" s="906">
        <v>-528</v>
      </c>
      <c r="D88" s="907">
        <v>46028</v>
      </c>
      <c r="E88" s="839" t="s">
        <v>429</v>
      </c>
      <c r="F88" s="839" t="s">
        <v>271</v>
      </c>
      <c r="G88" s="916">
        <f>VLOOKUP($A88,'Tech Litons'!$A:$I,8,FALSE)</f>
        <v>8.5199999999999998E-3</v>
      </c>
      <c r="H88" s="917">
        <f>VLOOKUP($A88,'Tech Litons'!$A:$I,9,FALSE)</f>
        <v>176</v>
      </c>
      <c r="I88" s="917" t="str">
        <f>VLOOKUP($A88,'Tech Litons'!$A:$C,3,0)</f>
        <v>48oz</v>
      </c>
      <c r="J88" s="918" t="str">
        <f t="shared" si="6"/>
        <v>290448oz</v>
      </c>
      <c r="K88" s="919">
        <v>1</v>
      </c>
      <c r="L88" s="920">
        <f t="shared" si="7"/>
        <v>-528</v>
      </c>
      <c r="M88" s="920">
        <f t="shared" si="8"/>
        <v>-4.4985599999999994</v>
      </c>
      <c r="N88" s="920">
        <f t="shared" si="9"/>
        <v>-3</v>
      </c>
      <c r="O88" s="918" t="str">
        <f t="shared" si="10"/>
        <v>Jan</v>
      </c>
      <c r="P88" s="921">
        <f t="shared" si="11"/>
        <v>2</v>
      </c>
    </row>
    <row r="89" spans="1:16" ht="15" hidden="1" customHeight="1">
      <c r="A89" s="839">
        <v>64958128</v>
      </c>
      <c r="B89" s="839">
        <v>2904</v>
      </c>
      <c r="C89" s="906">
        <v>-493</v>
      </c>
      <c r="D89" s="907">
        <v>46028</v>
      </c>
      <c r="E89" s="839" t="s">
        <v>235</v>
      </c>
      <c r="F89" s="839" t="s">
        <v>234</v>
      </c>
      <c r="G89" s="916">
        <f>VLOOKUP($A89,'Tech Litons'!$A:$I,8,FALSE)</f>
        <v>3.3119999999999998E-3</v>
      </c>
      <c r="H89" s="917">
        <f>VLOOKUP($A89,'Tech Litons'!$A:$I,9,FALSE)</f>
        <v>165</v>
      </c>
      <c r="I89" s="917" t="str">
        <f>VLOOKUP($A89,'Tech Litons'!$A:$C,3,0)</f>
        <v>Yasso Sticks</v>
      </c>
      <c r="J89" s="918" t="str">
        <f t="shared" si="6"/>
        <v>2904Yasso Sticks</v>
      </c>
      <c r="K89" s="919">
        <v>1</v>
      </c>
      <c r="L89" s="920">
        <f t="shared" si="7"/>
        <v>-493</v>
      </c>
      <c r="M89" s="920">
        <f t="shared" si="8"/>
        <v>-1.6328159999999998</v>
      </c>
      <c r="N89" s="920">
        <f t="shared" si="9"/>
        <v>-2.9878787878787878</v>
      </c>
      <c r="O89" s="918" t="str">
        <f t="shared" si="10"/>
        <v>Jan</v>
      </c>
      <c r="P89" s="921">
        <f t="shared" si="11"/>
        <v>2</v>
      </c>
    </row>
    <row r="90" spans="1:16" ht="15" hidden="1" customHeight="1">
      <c r="A90" s="839">
        <v>69554197</v>
      </c>
      <c r="B90" s="839">
        <v>2904</v>
      </c>
      <c r="C90" s="906">
        <v>-480</v>
      </c>
      <c r="D90" s="907">
        <v>46028</v>
      </c>
      <c r="E90" s="839" t="s">
        <v>244</v>
      </c>
      <c r="F90" s="839" t="s">
        <v>40</v>
      </c>
      <c r="G90" s="916">
        <f>VLOOKUP($A90,'Tech Litons'!$A:$I,8,FALSE)</f>
        <v>3.7839999999999996E-3</v>
      </c>
      <c r="H90" s="917">
        <f>VLOOKUP($A90,'Tech Litons'!$A:$I,9,FALSE)</f>
        <v>240</v>
      </c>
      <c r="I90" s="917" t="str">
        <f>VLOOKUP($A90,'Tech Litons'!$A:$C,3,0)</f>
        <v>PTS</v>
      </c>
      <c r="J90" s="918" t="str">
        <f t="shared" si="6"/>
        <v>2904PTS</v>
      </c>
      <c r="K90" s="919">
        <v>1</v>
      </c>
      <c r="L90" s="920">
        <f t="shared" si="7"/>
        <v>-480</v>
      </c>
      <c r="M90" s="920">
        <f t="shared" si="8"/>
        <v>-1.8163199999999997</v>
      </c>
      <c r="N90" s="920">
        <f t="shared" si="9"/>
        <v>-2</v>
      </c>
      <c r="O90" s="918" t="str">
        <f t="shared" si="10"/>
        <v>Jan</v>
      </c>
      <c r="P90" s="921">
        <f t="shared" si="11"/>
        <v>2</v>
      </c>
    </row>
    <row r="91" spans="1:16" ht="15" hidden="1" customHeight="1">
      <c r="A91" s="839">
        <v>69717802</v>
      </c>
      <c r="B91" s="839">
        <v>2904</v>
      </c>
      <c r="C91" s="906">
        <v>-429</v>
      </c>
      <c r="D91" s="907">
        <v>46028</v>
      </c>
      <c r="E91" s="839" t="s">
        <v>388</v>
      </c>
      <c r="F91" s="839" t="s">
        <v>281</v>
      </c>
      <c r="G91" s="916">
        <f>VLOOKUP($A91,'Tech Litons'!$A:$I,8,FALSE)</f>
        <v>4.2560000000000002E-3</v>
      </c>
      <c r="H91" s="917">
        <f>VLOOKUP($A91,'Tech Litons'!$A:$I,9,FALSE)</f>
        <v>143</v>
      </c>
      <c r="I91" s="917" t="str">
        <f>VLOOKUP($A91,'Tech Litons'!$A:$C,3,0)</f>
        <v>MG Sticks</v>
      </c>
      <c r="J91" s="918" t="str">
        <f t="shared" si="6"/>
        <v>2904MG Sticks</v>
      </c>
      <c r="K91" s="919">
        <v>1</v>
      </c>
      <c r="L91" s="920">
        <f t="shared" si="7"/>
        <v>-429</v>
      </c>
      <c r="M91" s="920">
        <f t="shared" si="8"/>
        <v>-1.8258240000000001</v>
      </c>
      <c r="N91" s="920">
        <f t="shared" si="9"/>
        <v>-3</v>
      </c>
      <c r="O91" s="918" t="str">
        <f t="shared" si="10"/>
        <v>Jan</v>
      </c>
      <c r="P91" s="921">
        <f t="shared" si="11"/>
        <v>2</v>
      </c>
    </row>
    <row r="92" spans="1:16" ht="15" hidden="1" customHeight="1">
      <c r="A92" s="839">
        <v>68851107</v>
      </c>
      <c r="B92" s="839">
        <v>2904</v>
      </c>
      <c r="C92" s="906">
        <v>-352</v>
      </c>
      <c r="D92" s="907">
        <v>46028</v>
      </c>
      <c r="E92" s="839" t="s">
        <v>272</v>
      </c>
      <c r="F92" s="839" t="s">
        <v>273</v>
      </c>
      <c r="G92" s="916">
        <f>VLOOKUP($A92,'Tech Litons'!$A:$I,8,FALSE)</f>
        <v>8.5199999999999998E-3</v>
      </c>
      <c r="H92" s="917">
        <f>VLOOKUP($A92,'Tech Litons'!$A:$I,9,FALSE)</f>
        <v>176</v>
      </c>
      <c r="I92" s="917" t="str">
        <f>VLOOKUP($A92,'Tech Litons'!$A:$C,3,0)</f>
        <v>48oz</v>
      </c>
      <c r="J92" s="918" t="str">
        <f t="shared" si="6"/>
        <v>290448oz</v>
      </c>
      <c r="K92" s="919">
        <v>1</v>
      </c>
      <c r="L92" s="920">
        <f t="shared" si="7"/>
        <v>-352</v>
      </c>
      <c r="M92" s="920">
        <f t="shared" si="8"/>
        <v>-2.9990399999999999</v>
      </c>
      <c r="N92" s="920">
        <f t="shared" si="9"/>
        <v>-2</v>
      </c>
      <c r="O92" s="918" t="str">
        <f t="shared" si="10"/>
        <v>Jan</v>
      </c>
      <c r="P92" s="921">
        <f t="shared" si="11"/>
        <v>2</v>
      </c>
    </row>
    <row r="93" spans="1:16" ht="15" hidden="1" customHeight="1">
      <c r="A93" s="839">
        <v>69717802</v>
      </c>
      <c r="B93" s="839">
        <v>2904</v>
      </c>
      <c r="C93" s="906">
        <v>-286</v>
      </c>
      <c r="D93" s="907">
        <v>46028</v>
      </c>
      <c r="E93" s="839" t="s">
        <v>388</v>
      </c>
      <c r="F93" s="839" t="s">
        <v>281</v>
      </c>
      <c r="G93" s="916">
        <f>VLOOKUP($A93,'Tech Litons'!$A:$I,8,FALSE)</f>
        <v>4.2560000000000002E-3</v>
      </c>
      <c r="H93" s="917">
        <f>VLOOKUP($A93,'Tech Litons'!$A:$I,9,FALSE)</f>
        <v>143</v>
      </c>
      <c r="I93" s="917" t="str">
        <f>VLOOKUP($A93,'Tech Litons'!$A:$C,3,0)</f>
        <v>MG Sticks</v>
      </c>
      <c r="J93" s="918" t="str">
        <f t="shared" si="6"/>
        <v>2904MG Sticks</v>
      </c>
      <c r="K93" s="919">
        <v>1</v>
      </c>
      <c r="L93" s="920">
        <f t="shared" si="7"/>
        <v>-286</v>
      </c>
      <c r="M93" s="920">
        <f t="shared" si="8"/>
        <v>-1.2172160000000001</v>
      </c>
      <c r="N93" s="920">
        <f t="shared" si="9"/>
        <v>-2</v>
      </c>
      <c r="O93" s="918" t="str">
        <f t="shared" si="10"/>
        <v>Jan</v>
      </c>
      <c r="P93" s="921">
        <f t="shared" si="11"/>
        <v>2</v>
      </c>
    </row>
    <row r="94" spans="1:16" ht="15" hidden="1" customHeight="1">
      <c r="A94" s="839">
        <v>64396550</v>
      </c>
      <c r="B94" s="839">
        <v>2904</v>
      </c>
      <c r="C94" s="906">
        <v>-277</v>
      </c>
      <c r="D94" s="907">
        <v>46028</v>
      </c>
      <c r="E94" s="839" t="s">
        <v>548</v>
      </c>
      <c r="F94" s="839" t="s">
        <v>283</v>
      </c>
      <c r="G94" s="916">
        <f>VLOOKUP($A94,'Tech Litons'!$A:$I,8,FALSE)</f>
        <v>1.08E-3</v>
      </c>
      <c r="H94" s="917">
        <f>VLOOKUP($A94,'Tech Litons'!$A:$I,9,FALSE)</f>
        <v>493</v>
      </c>
      <c r="I94" s="917" t="str">
        <f>VLOOKUP($A94,'Tech Litons'!$A:$C,3,0)</f>
        <v>MG Sticks</v>
      </c>
      <c r="J94" s="918" t="str">
        <f t="shared" si="6"/>
        <v>2904MG Sticks</v>
      </c>
      <c r="K94" s="919">
        <v>1</v>
      </c>
      <c r="L94" s="920">
        <f t="shared" si="7"/>
        <v>-277</v>
      </c>
      <c r="M94" s="920">
        <f t="shared" si="8"/>
        <v>-0.29915999999999998</v>
      </c>
      <c r="N94" s="920">
        <f t="shared" si="9"/>
        <v>-0.56186612576064909</v>
      </c>
      <c r="O94" s="918" t="str">
        <f t="shared" si="10"/>
        <v>Jan</v>
      </c>
      <c r="P94" s="921">
        <f t="shared" si="11"/>
        <v>2</v>
      </c>
    </row>
    <row r="95" spans="1:16" ht="15" hidden="1" customHeight="1">
      <c r="A95" s="839">
        <v>69554197</v>
      </c>
      <c r="B95" s="839">
        <v>2904</v>
      </c>
      <c r="C95" s="906">
        <v>-240</v>
      </c>
      <c r="D95" s="907">
        <v>46028</v>
      </c>
      <c r="E95" s="839" t="s">
        <v>244</v>
      </c>
      <c r="F95" s="839" t="s">
        <v>40</v>
      </c>
      <c r="G95" s="916">
        <f>VLOOKUP($A95,'Tech Litons'!$A:$I,8,FALSE)</f>
        <v>3.7839999999999996E-3</v>
      </c>
      <c r="H95" s="917">
        <f>VLOOKUP($A95,'Tech Litons'!$A:$I,9,FALSE)</f>
        <v>240</v>
      </c>
      <c r="I95" s="917" t="str">
        <f>VLOOKUP($A95,'Tech Litons'!$A:$C,3,0)</f>
        <v>PTS</v>
      </c>
      <c r="J95" s="918" t="str">
        <f t="shared" si="6"/>
        <v>2904PTS</v>
      </c>
      <c r="K95" s="919">
        <v>1</v>
      </c>
      <c r="L95" s="920">
        <f t="shared" si="7"/>
        <v>-240</v>
      </c>
      <c r="M95" s="920">
        <f t="shared" si="8"/>
        <v>-0.90815999999999986</v>
      </c>
      <c r="N95" s="920">
        <f t="shared" si="9"/>
        <v>-1</v>
      </c>
      <c r="O95" s="918" t="str">
        <f t="shared" si="10"/>
        <v>Jan</v>
      </c>
      <c r="P95" s="921">
        <f t="shared" si="11"/>
        <v>2</v>
      </c>
    </row>
    <row r="96" spans="1:16" ht="15" hidden="1" customHeight="1">
      <c r="A96" s="839">
        <v>68851107</v>
      </c>
      <c r="B96" s="839">
        <v>2904</v>
      </c>
      <c r="C96" s="906">
        <v>-222</v>
      </c>
      <c r="D96" s="907">
        <v>46028</v>
      </c>
      <c r="E96" s="839" t="s">
        <v>272</v>
      </c>
      <c r="F96" s="839" t="s">
        <v>273</v>
      </c>
      <c r="G96" s="916">
        <f>VLOOKUP($A96,'Tech Litons'!$A:$I,8,FALSE)</f>
        <v>8.5199999999999998E-3</v>
      </c>
      <c r="H96" s="917">
        <f>VLOOKUP($A96,'Tech Litons'!$A:$I,9,FALSE)</f>
        <v>176</v>
      </c>
      <c r="I96" s="917" t="str">
        <f>VLOOKUP($A96,'Tech Litons'!$A:$C,3,0)</f>
        <v>48oz</v>
      </c>
      <c r="J96" s="918" t="str">
        <f t="shared" si="6"/>
        <v>290448oz</v>
      </c>
      <c r="K96" s="919">
        <v>1</v>
      </c>
      <c r="L96" s="920">
        <f t="shared" si="7"/>
        <v>-222</v>
      </c>
      <c r="M96" s="920">
        <f t="shared" si="8"/>
        <v>-1.89144</v>
      </c>
      <c r="N96" s="920">
        <f t="shared" si="9"/>
        <v>-1.2613636363636365</v>
      </c>
      <c r="O96" s="918" t="str">
        <f t="shared" si="10"/>
        <v>Jan</v>
      </c>
      <c r="P96" s="921">
        <f t="shared" si="11"/>
        <v>2</v>
      </c>
    </row>
    <row r="97" spans="1:16" ht="15" hidden="1" customHeight="1">
      <c r="A97" s="839">
        <v>68852591</v>
      </c>
      <c r="B97" s="839">
        <v>2904</v>
      </c>
      <c r="C97" s="906">
        <v>-216</v>
      </c>
      <c r="D97" s="907">
        <v>46028</v>
      </c>
      <c r="E97" s="839" t="s">
        <v>326</v>
      </c>
      <c r="F97" s="839" t="s">
        <v>243</v>
      </c>
      <c r="G97" s="916">
        <f>VLOOKUP($A97,'Tech Litons'!$A:$I,8,FALSE)</f>
        <v>8.5199999999999998E-3</v>
      </c>
      <c r="H97" s="917">
        <f>VLOOKUP($A97,'Tech Litons'!$A:$I,9,FALSE)</f>
        <v>132</v>
      </c>
      <c r="I97" s="917" t="str">
        <f>VLOOKUP($A97,'Tech Litons'!$A:$C,3,0)</f>
        <v>EDF</v>
      </c>
      <c r="J97" s="918" t="str">
        <f t="shared" si="6"/>
        <v>2904EDF</v>
      </c>
      <c r="K97" s="919">
        <v>1</v>
      </c>
      <c r="L97" s="920">
        <f t="shared" si="7"/>
        <v>-216</v>
      </c>
      <c r="M97" s="920">
        <f t="shared" si="8"/>
        <v>-1.84032</v>
      </c>
      <c r="N97" s="920">
        <f t="shared" si="9"/>
        <v>-1.6363636363636365</v>
      </c>
      <c r="O97" s="918" t="str">
        <f t="shared" si="10"/>
        <v>Jan</v>
      </c>
      <c r="P97" s="921">
        <f t="shared" si="11"/>
        <v>2</v>
      </c>
    </row>
    <row r="98" spans="1:16" ht="15" hidden="1" customHeight="1">
      <c r="A98" s="839">
        <v>64341962</v>
      </c>
      <c r="B98" s="839">
        <v>2904</v>
      </c>
      <c r="C98" s="906">
        <v>-176</v>
      </c>
      <c r="D98" s="907">
        <v>46028</v>
      </c>
      <c r="E98" s="839" t="s">
        <v>443</v>
      </c>
      <c r="F98" s="839" t="s">
        <v>269</v>
      </c>
      <c r="G98" s="916">
        <f>VLOOKUP($A98,'Tech Litons'!$A:$I,8,FALSE)</f>
        <v>8.513999999999999E-3</v>
      </c>
      <c r="H98" s="917">
        <f>VLOOKUP($A98,'Tech Litons'!$A:$I,9,FALSE)</f>
        <v>176</v>
      </c>
      <c r="I98" s="917" t="str">
        <f>VLOOKUP($A98,'Tech Litons'!$A:$C,3,0)</f>
        <v>48oz</v>
      </c>
      <c r="J98" s="918" t="str">
        <f t="shared" si="6"/>
        <v>290448oz</v>
      </c>
      <c r="K98" s="919">
        <v>1</v>
      </c>
      <c r="L98" s="920">
        <f t="shared" si="7"/>
        <v>-176</v>
      </c>
      <c r="M98" s="920">
        <f t="shared" si="8"/>
        <v>-1.4984639999999998</v>
      </c>
      <c r="N98" s="920">
        <f t="shared" si="9"/>
        <v>-1</v>
      </c>
      <c r="O98" s="918" t="str">
        <f t="shared" si="10"/>
        <v>Jan</v>
      </c>
      <c r="P98" s="921">
        <f t="shared" si="11"/>
        <v>2</v>
      </c>
    </row>
    <row r="99" spans="1:16" ht="15" hidden="1" customHeight="1">
      <c r="A99" s="839">
        <v>64775327</v>
      </c>
      <c r="B99" s="839">
        <v>2904</v>
      </c>
      <c r="C99" s="906">
        <v>-176</v>
      </c>
      <c r="D99" s="907">
        <v>46028</v>
      </c>
      <c r="E99" s="839" t="s">
        <v>429</v>
      </c>
      <c r="F99" s="839" t="s">
        <v>271</v>
      </c>
      <c r="G99" s="916">
        <f>VLOOKUP($A99,'Tech Litons'!$A:$I,8,FALSE)</f>
        <v>8.5199999999999998E-3</v>
      </c>
      <c r="H99" s="917">
        <f>VLOOKUP($A99,'Tech Litons'!$A:$I,9,FALSE)</f>
        <v>176</v>
      </c>
      <c r="I99" s="917" t="str">
        <f>VLOOKUP($A99,'Tech Litons'!$A:$C,3,0)</f>
        <v>48oz</v>
      </c>
      <c r="J99" s="918" t="str">
        <f t="shared" si="6"/>
        <v>290448oz</v>
      </c>
      <c r="K99" s="919">
        <v>1</v>
      </c>
      <c r="L99" s="920">
        <f t="shared" si="7"/>
        <v>-176</v>
      </c>
      <c r="M99" s="920">
        <f t="shared" si="8"/>
        <v>-1.49952</v>
      </c>
      <c r="N99" s="920">
        <f t="shared" si="9"/>
        <v>-1</v>
      </c>
      <c r="O99" s="918" t="str">
        <f t="shared" si="10"/>
        <v>Jan</v>
      </c>
      <c r="P99" s="921">
        <f t="shared" si="11"/>
        <v>2</v>
      </c>
    </row>
    <row r="100" spans="1:16" ht="15" hidden="1" customHeight="1">
      <c r="A100" s="839">
        <v>69568962</v>
      </c>
      <c r="B100" s="839">
        <v>2904</v>
      </c>
      <c r="C100" s="906">
        <v>-176</v>
      </c>
      <c r="D100" s="907">
        <v>46028</v>
      </c>
      <c r="E100" s="839" t="s">
        <v>528</v>
      </c>
      <c r="F100" s="839" t="s">
        <v>273</v>
      </c>
      <c r="G100" s="916">
        <f>VLOOKUP($A100,'Tech Litons'!$A:$I,8,FALSE)</f>
        <v>8.5199999999999998E-3</v>
      </c>
      <c r="H100" s="917">
        <f>VLOOKUP($A100,'Tech Litons'!$A:$I,9,FALSE)</f>
        <v>176</v>
      </c>
      <c r="I100" s="917" t="str">
        <f>VLOOKUP($A100,'Tech Litons'!$A:$C,3,0)</f>
        <v>48oz</v>
      </c>
      <c r="J100" s="918" t="str">
        <f t="shared" si="6"/>
        <v>290448oz</v>
      </c>
      <c r="K100" s="919">
        <v>1</v>
      </c>
      <c r="L100" s="920">
        <f t="shared" si="7"/>
        <v>-176</v>
      </c>
      <c r="M100" s="920">
        <f t="shared" si="8"/>
        <v>-1.49952</v>
      </c>
      <c r="N100" s="920">
        <f t="shared" si="9"/>
        <v>-1</v>
      </c>
      <c r="O100" s="918" t="str">
        <f t="shared" si="10"/>
        <v>Jan</v>
      </c>
      <c r="P100" s="921">
        <f t="shared" si="11"/>
        <v>2</v>
      </c>
    </row>
    <row r="101" spans="1:16" ht="15" hidden="1" customHeight="1">
      <c r="A101" s="839">
        <v>68852591</v>
      </c>
      <c r="B101" s="839">
        <v>2904</v>
      </c>
      <c r="C101" s="906">
        <v>-174</v>
      </c>
      <c r="D101" s="907">
        <v>46028</v>
      </c>
      <c r="E101" s="839" t="s">
        <v>326</v>
      </c>
      <c r="F101" s="839" t="s">
        <v>243</v>
      </c>
      <c r="G101" s="916">
        <f>VLOOKUP($A101,'Tech Litons'!$A:$I,8,FALSE)</f>
        <v>8.5199999999999998E-3</v>
      </c>
      <c r="H101" s="917">
        <f>VLOOKUP($A101,'Tech Litons'!$A:$I,9,FALSE)</f>
        <v>132</v>
      </c>
      <c r="I101" s="917" t="str">
        <f>VLOOKUP($A101,'Tech Litons'!$A:$C,3,0)</f>
        <v>EDF</v>
      </c>
      <c r="J101" s="918" t="str">
        <f t="shared" si="6"/>
        <v>2904EDF</v>
      </c>
      <c r="K101" s="919">
        <v>1</v>
      </c>
      <c r="L101" s="920">
        <f t="shared" si="7"/>
        <v>-174</v>
      </c>
      <c r="M101" s="920">
        <f t="shared" si="8"/>
        <v>-1.48248</v>
      </c>
      <c r="N101" s="920">
        <f t="shared" si="9"/>
        <v>-1.3181818181818181</v>
      </c>
      <c r="O101" s="918" t="str">
        <f t="shared" si="10"/>
        <v>Jan</v>
      </c>
      <c r="P101" s="921">
        <f t="shared" si="11"/>
        <v>2</v>
      </c>
    </row>
    <row r="102" spans="1:16" ht="15" hidden="1" customHeight="1">
      <c r="A102" s="839">
        <v>64958128</v>
      </c>
      <c r="B102" s="839">
        <v>2904</v>
      </c>
      <c r="C102" s="906">
        <v>-165</v>
      </c>
      <c r="D102" s="907">
        <v>46028</v>
      </c>
      <c r="E102" s="839" t="s">
        <v>235</v>
      </c>
      <c r="F102" s="839" t="s">
        <v>234</v>
      </c>
      <c r="G102" s="916">
        <f>VLOOKUP($A102,'Tech Litons'!$A:$I,8,FALSE)</f>
        <v>3.3119999999999998E-3</v>
      </c>
      <c r="H102" s="917">
        <f>VLOOKUP($A102,'Tech Litons'!$A:$I,9,FALSE)</f>
        <v>165</v>
      </c>
      <c r="I102" s="917" t="str">
        <f>VLOOKUP($A102,'Tech Litons'!$A:$C,3,0)</f>
        <v>Yasso Sticks</v>
      </c>
      <c r="J102" s="918" t="str">
        <f t="shared" si="6"/>
        <v>2904Yasso Sticks</v>
      </c>
      <c r="K102" s="919">
        <v>1</v>
      </c>
      <c r="L102" s="920">
        <f t="shared" si="7"/>
        <v>-165</v>
      </c>
      <c r="M102" s="920">
        <f t="shared" si="8"/>
        <v>-0.54647999999999997</v>
      </c>
      <c r="N102" s="920">
        <f t="shared" si="9"/>
        <v>-1</v>
      </c>
      <c r="O102" s="918" t="str">
        <f t="shared" si="10"/>
        <v>Jan</v>
      </c>
      <c r="P102" s="921">
        <f t="shared" si="11"/>
        <v>2</v>
      </c>
    </row>
    <row r="103" spans="1:16" ht="15" hidden="1" customHeight="1">
      <c r="A103" s="839">
        <v>69554197</v>
      </c>
      <c r="B103" s="839">
        <v>2904</v>
      </c>
      <c r="C103" s="906">
        <v>-133</v>
      </c>
      <c r="D103" s="907">
        <v>46028</v>
      </c>
      <c r="E103" s="839" t="s">
        <v>244</v>
      </c>
      <c r="F103" s="839" t="s">
        <v>40</v>
      </c>
      <c r="G103" s="916">
        <f>VLOOKUP($A103,'Tech Litons'!$A:$I,8,FALSE)</f>
        <v>3.7839999999999996E-3</v>
      </c>
      <c r="H103" s="917">
        <f>VLOOKUP($A103,'Tech Litons'!$A:$I,9,FALSE)</f>
        <v>240</v>
      </c>
      <c r="I103" s="917" t="str">
        <f>VLOOKUP($A103,'Tech Litons'!$A:$C,3,0)</f>
        <v>PTS</v>
      </c>
      <c r="J103" s="918" t="str">
        <f t="shared" si="6"/>
        <v>2904PTS</v>
      </c>
      <c r="K103" s="919">
        <v>1</v>
      </c>
      <c r="L103" s="920">
        <f t="shared" si="7"/>
        <v>-133</v>
      </c>
      <c r="M103" s="920">
        <f t="shared" si="8"/>
        <v>-0.50327199999999994</v>
      </c>
      <c r="N103" s="920">
        <f t="shared" si="9"/>
        <v>-0.5541666666666667</v>
      </c>
      <c r="O103" s="918" t="str">
        <f t="shared" si="10"/>
        <v>Jan</v>
      </c>
      <c r="P103" s="921">
        <f t="shared" si="11"/>
        <v>2</v>
      </c>
    </row>
    <row r="104" spans="1:16" ht="15" hidden="1" customHeight="1">
      <c r="A104" s="839">
        <v>64389651</v>
      </c>
      <c r="B104" s="839">
        <v>2904</v>
      </c>
      <c r="C104" s="906">
        <v>-117</v>
      </c>
      <c r="D104" s="907">
        <v>46028</v>
      </c>
      <c r="E104" s="839" t="s">
        <v>355</v>
      </c>
      <c r="F104" s="839" t="s">
        <v>269</v>
      </c>
      <c r="G104" s="916">
        <f>VLOOKUP($A104,'Tech Litons'!$A:$I,8,FALSE)</f>
        <v>8.5199999999999998E-3</v>
      </c>
      <c r="H104" s="917">
        <f>VLOOKUP($A104,'Tech Litons'!$A:$I,9,FALSE)</f>
        <v>176</v>
      </c>
      <c r="I104" s="917" t="str">
        <f>VLOOKUP($A104,'Tech Litons'!$A:$C,3,0)</f>
        <v>48oz</v>
      </c>
      <c r="J104" s="918" t="str">
        <f t="shared" si="6"/>
        <v>290448oz</v>
      </c>
      <c r="K104" s="919">
        <v>1</v>
      </c>
      <c r="L104" s="920">
        <f t="shared" si="7"/>
        <v>-117</v>
      </c>
      <c r="M104" s="920">
        <f t="shared" si="8"/>
        <v>-0.99683999999999995</v>
      </c>
      <c r="N104" s="920">
        <f t="shared" si="9"/>
        <v>-0.66477272727272729</v>
      </c>
      <c r="O104" s="918" t="str">
        <f t="shared" si="10"/>
        <v>Jan</v>
      </c>
      <c r="P104" s="921">
        <f t="shared" si="11"/>
        <v>2</v>
      </c>
    </row>
    <row r="105" spans="1:16" ht="15" hidden="1" customHeight="1">
      <c r="A105" s="839">
        <v>69568962</v>
      </c>
      <c r="B105" s="839">
        <v>2904</v>
      </c>
      <c r="C105" s="906">
        <v>-108</v>
      </c>
      <c r="D105" s="907">
        <v>46028</v>
      </c>
      <c r="E105" s="839" t="s">
        <v>528</v>
      </c>
      <c r="F105" s="839" t="s">
        <v>273</v>
      </c>
      <c r="G105" s="916">
        <f>VLOOKUP($A105,'Tech Litons'!$A:$I,8,FALSE)</f>
        <v>8.5199999999999998E-3</v>
      </c>
      <c r="H105" s="917">
        <f>VLOOKUP($A105,'Tech Litons'!$A:$I,9,FALSE)</f>
        <v>176</v>
      </c>
      <c r="I105" s="917" t="str">
        <f>VLOOKUP($A105,'Tech Litons'!$A:$C,3,0)</f>
        <v>48oz</v>
      </c>
      <c r="J105" s="918" t="str">
        <f t="shared" si="6"/>
        <v>290448oz</v>
      </c>
      <c r="K105" s="919">
        <v>1</v>
      </c>
      <c r="L105" s="920">
        <f t="shared" si="7"/>
        <v>-108</v>
      </c>
      <c r="M105" s="920">
        <f t="shared" si="8"/>
        <v>-0.92015999999999998</v>
      </c>
      <c r="N105" s="920">
        <f t="shared" si="9"/>
        <v>-0.61363636363636365</v>
      </c>
      <c r="O105" s="918" t="str">
        <f t="shared" si="10"/>
        <v>Jan</v>
      </c>
      <c r="P105" s="921">
        <f t="shared" si="11"/>
        <v>2</v>
      </c>
    </row>
    <row r="106" spans="1:16" ht="15" hidden="1" customHeight="1">
      <c r="A106" s="839">
        <v>68851107</v>
      </c>
      <c r="B106" s="839">
        <v>2904</v>
      </c>
      <c r="C106" s="906">
        <v>-58</v>
      </c>
      <c r="D106" s="907">
        <v>46028</v>
      </c>
      <c r="E106" s="839" t="s">
        <v>272</v>
      </c>
      <c r="F106" s="839" t="s">
        <v>273</v>
      </c>
      <c r="G106" s="916">
        <f>VLOOKUP($A106,'Tech Litons'!$A:$I,8,FALSE)</f>
        <v>8.5199999999999998E-3</v>
      </c>
      <c r="H106" s="917">
        <f>VLOOKUP($A106,'Tech Litons'!$A:$I,9,FALSE)</f>
        <v>176</v>
      </c>
      <c r="I106" s="917" t="str">
        <f>VLOOKUP($A106,'Tech Litons'!$A:$C,3,0)</f>
        <v>48oz</v>
      </c>
      <c r="J106" s="918" t="str">
        <f t="shared" si="6"/>
        <v>290448oz</v>
      </c>
      <c r="K106" s="919">
        <v>1</v>
      </c>
      <c r="L106" s="920">
        <f t="shared" si="7"/>
        <v>-58</v>
      </c>
      <c r="M106" s="920">
        <f t="shared" si="8"/>
        <v>-0.49415999999999999</v>
      </c>
      <c r="N106" s="920">
        <f t="shared" si="9"/>
        <v>-0.32954545454545453</v>
      </c>
      <c r="O106" s="918" t="str">
        <f t="shared" si="10"/>
        <v>Jan</v>
      </c>
      <c r="P106" s="921">
        <f t="shared" si="11"/>
        <v>2</v>
      </c>
    </row>
    <row r="107" spans="1:16" ht="15" hidden="1" customHeight="1">
      <c r="A107" s="839">
        <v>69717802</v>
      </c>
      <c r="B107" s="839">
        <v>2904</v>
      </c>
      <c r="C107" s="906">
        <v>-39</v>
      </c>
      <c r="D107" s="907">
        <v>46028</v>
      </c>
      <c r="E107" s="839" t="s">
        <v>388</v>
      </c>
      <c r="F107" s="839" t="s">
        <v>281</v>
      </c>
      <c r="G107" s="916">
        <f>VLOOKUP($A107,'Tech Litons'!$A:$I,8,FALSE)</f>
        <v>4.2560000000000002E-3</v>
      </c>
      <c r="H107" s="917">
        <f>VLOOKUP($A107,'Tech Litons'!$A:$I,9,FALSE)</f>
        <v>143</v>
      </c>
      <c r="I107" s="917" t="str">
        <f>VLOOKUP($A107,'Tech Litons'!$A:$C,3,0)</f>
        <v>MG Sticks</v>
      </c>
      <c r="J107" s="918" t="str">
        <f t="shared" si="6"/>
        <v>2904MG Sticks</v>
      </c>
      <c r="K107" s="919">
        <v>1</v>
      </c>
      <c r="L107" s="920">
        <f t="shared" si="7"/>
        <v>-39</v>
      </c>
      <c r="M107" s="920">
        <f t="shared" si="8"/>
        <v>-0.16598400000000002</v>
      </c>
      <c r="N107" s="920">
        <f t="shared" si="9"/>
        <v>-0.27272727272727271</v>
      </c>
      <c r="O107" s="918" t="str">
        <f t="shared" si="10"/>
        <v>Jan</v>
      </c>
      <c r="P107" s="921">
        <f t="shared" si="11"/>
        <v>2</v>
      </c>
    </row>
    <row r="108" spans="1:16" ht="15" hidden="1" customHeight="1">
      <c r="A108" s="839">
        <v>69629468</v>
      </c>
      <c r="B108" s="839">
        <v>2904</v>
      </c>
      <c r="C108" s="906">
        <v>123</v>
      </c>
      <c r="D108" s="907">
        <v>46028</v>
      </c>
      <c r="E108" s="839" t="s">
        <v>291</v>
      </c>
      <c r="F108" s="839" t="s">
        <v>226</v>
      </c>
      <c r="G108" s="916">
        <f>VLOOKUP($A108,'Tech Litons'!$A:$I,8,FALSE)</f>
        <v>5.2680000000000001E-3</v>
      </c>
      <c r="H108" s="917">
        <f>VLOOKUP($A108,'Tech Litons'!$A:$I,9,FALSE)</f>
        <v>130</v>
      </c>
      <c r="I108" s="917" t="str">
        <f>VLOOKUP($A108,'Tech Litons'!$A:$C,3,0)</f>
        <v>PG</v>
      </c>
      <c r="J108" s="918" t="str">
        <f t="shared" si="6"/>
        <v>2904PG</v>
      </c>
      <c r="K108" s="919">
        <v>1</v>
      </c>
      <c r="L108" s="920">
        <f t="shared" si="7"/>
        <v>123</v>
      </c>
      <c r="M108" s="920">
        <f t="shared" si="8"/>
        <v>0.64796399999999998</v>
      </c>
      <c r="N108" s="920">
        <f t="shared" si="9"/>
        <v>0.94615384615384612</v>
      </c>
      <c r="O108" s="918" t="str">
        <f t="shared" si="10"/>
        <v>Jan</v>
      </c>
      <c r="P108" s="921">
        <f t="shared" si="11"/>
        <v>2</v>
      </c>
    </row>
    <row r="109" spans="1:16" ht="15" hidden="1" customHeight="1">
      <c r="A109" s="839">
        <v>69629468</v>
      </c>
      <c r="B109" s="839">
        <v>2904</v>
      </c>
      <c r="C109" s="906">
        <v>306</v>
      </c>
      <c r="D109" s="907">
        <v>46028</v>
      </c>
      <c r="E109" s="839" t="s">
        <v>291</v>
      </c>
      <c r="F109" s="839" t="s">
        <v>226</v>
      </c>
      <c r="G109" s="916">
        <f>VLOOKUP($A109,'Tech Litons'!$A:$I,8,FALSE)</f>
        <v>5.2680000000000001E-3</v>
      </c>
      <c r="H109" s="917">
        <f>VLOOKUP($A109,'Tech Litons'!$A:$I,9,FALSE)</f>
        <v>130</v>
      </c>
      <c r="I109" s="917" t="str">
        <f>VLOOKUP($A109,'Tech Litons'!$A:$C,3,0)</f>
        <v>PG</v>
      </c>
      <c r="J109" s="918" t="str">
        <f t="shared" si="6"/>
        <v>2904PG</v>
      </c>
      <c r="K109" s="919">
        <v>1</v>
      </c>
      <c r="L109" s="920">
        <f t="shared" si="7"/>
        <v>306</v>
      </c>
      <c r="M109" s="920">
        <f t="shared" si="8"/>
        <v>1.6120080000000001</v>
      </c>
      <c r="N109" s="920">
        <f t="shared" si="9"/>
        <v>2.3538461538461539</v>
      </c>
      <c r="O109" s="918" t="str">
        <f t="shared" si="10"/>
        <v>Jan</v>
      </c>
      <c r="P109" s="921">
        <f t="shared" si="11"/>
        <v>2</v>
      </c>
    </row>
    <row r="110" spans="1:16" ht="15" hidden="1" customHeight="1">
      <c r="A110" s="839">
        <v>68689251</v>
      </c>
      <c r="B110" s="839">
        <v>1352</v>
      </c>
      <c r="C110" s="906">
        <v>396</v>
      </c>
      <c r="D110" s="907">
        <v>46028</v>
      </c>
      <c r="E110" s="839" t="s">
        <v>262</v>
      </c>
      <c r="F110" s="839" t="s">
        <v>240</v>
      </c>
      <c r="G110" s="916">
        <f>VLOOKUP($A110,'Tech Litons'!$A:$I,8,FALSE)</f>
        <v>9.5760000000000012E-3</v>
      </c>
      <c r="H110" s="917">
        <f>VLOOKUP($A110,'Tech Litons'!$A:$I,9,FALSE)</f>
        <v>132</v>
      </c>
      <c r="I110" s="917" t="str">
        <f>VLOOKUP($A110,'Tech Litons'!$A:$C,3,0)</f>
        <v>EDF</v>
      </c>
      <c r="J110" s="918" t="str">
        <f t="shared" si="6"/>
        <v>1352EDF</v>
      </c>
      <c r="K110" s="919">
        <v>1</v>
      </c>
      <c r="L110" s="920">
        <f t="shared" si="7"/>
        <v>396</v>
      </c>
      <c r="M110" s="920">
        <f t="shared" si="8"/>
        <v>3.7920960000000004</v>
      </c>
      <c r="N110" s="920">
        <f t="shared" si="9"/>
        <v>3</v>
      </c>
      <c r="O110" s="918" t="str">
        <f t="shared" si="10"/>
        <v>Jan</v>
      </c>
      <c r="P110" s="921">
        <f t="shared" si="11"/>
        <v>2</v>
      </c>
    </row>
    <row r="111" spans="1:16" ht="15" hidden="1" customHeight="1">
      <c r="A111" s="839">
        <v>69725082</v>
      </c>
      <c r="B111" s="839">
        <v>1352</v>
      </c>
      <c r="C111" s="906">
        <v>408</v>
      </c>
      <c r="D111" s="907">
        <v>46028</v>
      </c>
      <c r="E111" s="839" t="s">
        <v>292</v>
      </c>
      <c r="F111" s="839" t="s">
        <v>225</v>
      </c>
      <c r="G111" s="916">
        <f>VLOOKUP($A111,'Tech Litons'!$A:$I,8,FALSE)</f>
        <v>5.2680000000000001E-3</v>
      </c>
      <c r="H111" s="917">
        <f>VLOOKUP($A111,'Tech Litons'!$A:$I,9,FALSE)</f>
        <v>130</v>
      </c>
      <c r="I111" s="917" t="str">
        <f>VLOOKUP($A111,'Tech Litons'!$A:$C,3,0)</f>
        <v>PG</v>
      </c>
      <c r="J111" s="918" t="str">
        <f t="shared" si="6"/>
        <v>1352PG</v>
      </c>
      <c r="K111" s="919">
        <v>1</v>
      </c>
      <c r="L111" s="920">
        <f t="shared" si="7"/>
        <v>408</v>
      </c>
      <c r="M111" s="920">
        <f t="shared" si="8"/>
        <v>2.1493440000000001</v>
      </c>
      <c r="N111" s="920">
        <f t="shared" si="9"/>
        <v>3.1384615384615384</v>
      </c>
      <c r="O111" s="918" t="str">
        <f t="shared" si="10"/>
        <v>Jan</v>
      </c>
      <c r="P111" s="921">
        <f t="shared" si="11"/>
        <v>2</v>
      </c>
    </row>
    <row r="112" spans="1:16" ht="15" hidden="1" customHeight="1">
      <c r="A112" s="839">
        <v>69629468</v>
      </c>
      <c r="B112" s="839">
        <v>1352</v>
      </c>
      <c r="C112" s="906">
        <v>508</v>
      </c>
      <c r="D112" s="907">
        <v>46028</v>
      </c>
      <c r="E112" s="839" t="s">
        <v>291</v>
      </c>
      <c r="F112" s="839" t="s">
        <v>222</v>
      </c>
      <c r="G112" s="916">
        <f>VLOOKUP($A112,'Tech Litons'!$A:$I,8,FALSE)</f>
        <v>5.2680000000000001E-3</v>
      </c>
      <c r="H112" s="917">
        <f>VLOOKUP($A112,'Tech Litons'!$A:$I,9,FALSE)</f>
        <v>130</v>
      </c>
      <c r="I112" s="917" t="str">
        <f>VLOOKUP($A112,'Tech Litons'!$A:$C,3,0)</f>
        <v>PG</v>
      </c>
      <c r="J112" s="918" t="str">
        <f t="shared" si="6"/>
        <v>1352PG</v>
      </c>
      <c r="K112" s="919">
        <v>1</v>
      </c>
      <c r="L112" s="920">
        <f t="shared" si="7"/>
        <v>508</v>
      </c>
      <c r="M112" s="920">
        <f t="shared" si="8"/>
        <v>2.6761439999999999</v>
      </c>
      <c r="N112" s="920">
        <f t="shared" si="9"/>
        <v>3.9076923076923076</v>
      </c>
      <c r="O112" s="918" t="str">
        <f t="shared" si="10"/>
        <v>Jan</v>
      </c>
      <c r="P112" s="921">
        <f t="shared" si="11"/>
        <v>2</v>
      </c>
    </row>
    <row r="113" spans="1:16" ht="15" hidden="1" customHeight="1">
      <c r="A113" s="839">
        <v>68867755</v>
      </c>
      <c r="B113" s="839">
        <v>2904</v>
      </c>
      <c r="C113" s="906">
        <v>510</v>
      </c>
      <c r="D113" s="907">
        <v>46028</v>
      </c>
      <c r="E113" s="839" t="s">
        <v>274</v>
      </c>
      <c r="F113" s="839" t="s">
        <v>275</v>
      </c>
      <c r="G113" s="916">
        <f>VLOOKUP($A113,'Tech Litons'!$A:$I,8,FALSE)</f>
        <v>3.552E-3</v>
      </c>
      <c r="H113" s="917">
        <f>VLOOKUP($A113,'Tech Litons'!$A:$I,9,FALSE)</f>
        <v>255</v>
      </c>
      <c r="I113" s="917" t="str">
        <f>VLOOKUP($A113,'Tech Litons'!$A:$C,3,0)</f>
        <v>Talenti</v>
      </c>
      <c r="J113" s="918" t="str">
        <f t="shared" si="6"/>
        <v>2904Talenti</v>
      </c>
      <c r="K113" s="919">
        <v>1</v>
      </c>
      <c r="L113" s="920">
        <f t="shared" si="7"/>
        <v>510</v>
      </c>
      <c r="M113" s="920">
        <f t="shared" si="8"/>
        <v>1.81152</v>
      </c>
      <c r="N113" s="920">
        <f t="shared" si="9"/>
        <v>2</v>
      </c>
      <c r="O113" s="918" t="str">
        <f t="shared" si="10"/>
        <v>Jan</v>
      </c>
      <c r="P113" s="921">
        <f t="shared" si="11"/>
        <v>2</v>
      </c>
    </row>
    <row r="114" spans="1:16" ht="15" hidden="1" customHeight="1">
      <c r="A114" s="839">
        <v>68851108</v>
      </c>
      <c r="B114" s="839">
        <v>2904</v>
      </c>
      <c r="C114" s="906">
        <v>640</v>
      </c>
      <c r="D114" s="907">
        <v>46028</v>
      </c>
      <c r="E114" s="839" t="s">
        <v>296</v>
      </c>
      <c r="F114" s="839" t="s">
        <v>273</v>
      </c>
      <c r="G114" s="916">
        <f>VLOOKUP($A114,'Tech Litons'!$A:$I,8,FALSE)</f>
        <v>8.5199999999999998E-3</v>
      </c>
      <c r="H114" s="917">
        <f>VLOOKUP($A114,'Tech Litons'!$A:$I,9,FALSE)</f>
        <v>176</v>
      </c>
      <c r="I114" s="917" t="str">
        <f>VLOOKUP($A114,'Tech Litons'!$A:$C,3,0)</f>
        <v>48oz</v>
      </c>
      <c r="J114" s="918" t="str">
        <f t="shared" si="6"/>
        <v>290448oz</v>
      </c>
      <c r="K114" s="919">
        <v>1</v>
      </c>
      <c r="L114" s="920">
        <f t="shared" si="7"/>
        <v>640</v>
      </c>
      <c r="M114" s="920">
        <f t="shared" si="8"/>
        <v>5.4527999999999999</v>
      </c>
      <c r="N114" s="920">
        <f t="shared" si="9"/>
        <v>3.6363636363636362</v>
      </c>
      <c r="O114" s="918" t="str">
        <f t="shared" si="10"/>
        <v>Jan</v>
      </c>
      <c r="P114" s="921">
        <f t="shared" si="11"/>
        <v>2</v>
      </c>
    </row>
    <row r="115" spans="1:16" ht="15" hidden="1" customHeight="1">
      <c r="A115" s="839">
        <v>64776954</v>
      </c>
      <c r="B115" s="839">
        <v>1352</v>
      </c>
      <c r="C115" s="906">
        <v>790</v>
      </c>
      <c r="D115" s="907">
        <v>46028</v>
      </c>
      <c r="E115" s="839" t="s">
        <v>285</v>
      </c>
      <c r="F115" s="839" t="s">
        <v>224</v>
      </c>
      <c r="G115" s="916">
        <f>VLOOKUP($A115,'Tech Litons'!$A:$I,8,FALSE)</f>
        <v>3.8340000000000002E-3</v>
      </c>
      <c r="H115" s="917">
        <f>VLOOKUP($A115,'Tech Litons'!$A:$I,9,FALSE)</f>
        <v>130</v>
      </c>
      <c r="I115" s="917" t="str">
        <f>VLOOKUP($A115,'Tech Litons'!$A:$C,3,0)</f>
        <v>pG</v>
      </c>
      <c r="J115" s="918" t="str">
        <f t="shared" si="6"/>
        <v>1352pG</v>
      </c>
      <c r="K115" s="919">
        <v>1</v>
      </c>
      <c r="L115" s="920">
        <f t="shared" si="7"/>
        <v>790</v>
      </c>
      <c r="M115" s="920">
        <f t="shared" si="8"/>
        <v>3.0288600000000003</v>
      </c>
      <c r="N115" s="920">
        <f t="shared" si="9"/>
        <v>6.0769230769230766</v>
      </c>
      <c r="O115" s="918" t="str">
        <f t="shared" si="10"/>
        <v>Jan</v>
      </c>
      <c r="P115" s="921">
        <f t="shared" si="11"/>
        <v>2</v>
      </c>
    </row>
    <row r="116" spans="1:16" ht="15" hidden="1" customHeight="1">
      <c r="A116" s="839">
        <v>64341106</v>
      </c>
      <c r="B116" s="839">
        <v>2904</v>
      </c>
      <c r="C116" s="906">
        <v>842</v>
      </c>
      <c r="D116" s="907">
        <v>46028</v>
      </c>
      <c r="E116" s="839" t="s">
        <v>293</v>
      </c>
      <c r="F116" s="839" t="s">
        <v>227</v>
      </c>
      <c r="G116" s="916">
        <f>VLOOKUP($A116,'Tech Litons'!$A:$I,8,FALSE)</f>
        <v>5.2680000000000001E-3</v>
      </c>
      <c r="H116" s="917">
        <f>VLOOKUP($A116,'Tech Litons'!$A:$I,9,FALSE)</f>
        <v>130</v>
      </c>
      <c r="I116" s="917" t="str">
        <f>VLOOKUP($A116,'Tech Litons'!$A:$C,3,0)</f>
        <v>PG</v>
      </c>
      <c r="J116" s="918" t="str">
        <f t="shared" si="6"/>
        <v>2904PG</v>
      </c>
      <c r="K116" s="919">
        <v>1</v>
      </c>
      <c r="L116" s="920">
        <f t="shared" si="7"/>
        <v>842</v>
      </c>
      <c r="M116" s="920">
        <f t="shared" si="8"/>
        <v>4.4356559999999998</v>
      </c>
      <c r="N116" s="920">
        <f t="shared" si="9"/>
        <v>6.476923076923077</v>
      </c>
      <c r="O116" s="918" t="str">
        <f t="shared" si="10"/>
        <v>Jan</v>
      </c>
      <c r="P116" s="921">
        <f t="shared" si="11"/>
        <v>2</v>
      </c>
    </row>
    <row r="117" spans="1:16" ht="15" hidden="1" customHeight="1">
      <c r="A117" s="839">
        <v>64341106</v>
      </c>
      <c r="B117" s="839">
        <v>2904</v>
      </c>
      <c r="C117" s="906">
        <v>877</v>
      </c>
      <c r="D117" s="907">
        <v>46028</v>
      </c>
      <c r="E117" s="839" t="s">
        <v>293</v>
      </c>
      <c r="F117" s="839" t="s">
        <v>227</v>
      </c>
      <c r="G117" s="916">
        <f>VLOOKUP($A117,'Tech Litons'!$A:$I,8,FALSE)</f>
        <v>5.2680000000000001E-3</v>
      </c>
      <c r="H117" s="917">
        <f>VLOOKUP($A117,'Tech Litons'!$A:$I,9,FALSE)</f>
        <v>130</v>
      </c>
      <c r="I117" s="917" t="str">
        <f>VLOOKUP($A117,'Tech Litons'!$A:$C,3,0)</f>
        <v>PG</v>
      </c>
      <c r="J117" s="918" t="str">
        <f t="shared" si="6"/>
        <v>2904PG</v>
      </c>
      <c r="K117" s="919">
        <v>1</v>
      </c>
      <c r="L117" s="920">
        <f t="shared" si="7"/>
        <v>877</v>
      </c>
      <c r="M117" s="920">
        <f t="shared" si="8"/>
        <v>4.6200359999999998</v>
      </c>
      <c r="N117" s="920">
        <f t="shared" si="9"/>
        <v>6.7461538461538462</v>
      </c>
      <c r="O117" s="918" t="str">
        <f t="shared" si="10"/>
        <v>Jan</v>
      </c>
      <c r="P117" s="921">
        <f t="shared" si="11"/>
        <v>2</v>
      </c>
    </row>
    <row r="118" spans="1:16" ht="15" hidden="1" customHeight="1">
      <c r="A118" s="839">
        <v>64776954</v>
      </c>
      <c r="B118" s="839">
        <v>1352</v>
      </c>
      <c r="C118" s="906">
        <v>910</v>
      </c>
      <c r="D118" s="907">
        <v>46028</v>
      </c>
      <c r="E118" s="839" t="s">
        <v>285</v>
      </c>
      <c r="F118" s="839" t="s">
        <v>224</v>
      </c>
      <c r="G118" s="916">
        <f>VLOOKUP($A118,'Tech Litons'!$A:$I,8,FALSE)</f>
        <v>3.8340000000000002E-3</v>
      </c>
      <c r="H118" s="917">
        <f>VLOOKUP($A118,'Tech Litons'!$A:$I,9,FALSE)</f>
        <v>130</v>
      </c>
      <c r="I118" s="917" t="str">
        <f>VLOOKUP($A118,'Tech Litons'!$A:$C,3,0)</f>
        <v>pG</v>
      </c>
      <c r="J118" s="918" t="str">
        <f t="shared" si="6"/>
        <v>1352pG</v>
      </c>
      <c r="K118" s="919">
        <v>1</v>
      </c>
      <c r="L118" s="920">
        <f t="shared" si="7"/>
        <v>910</v>
      </c>
      <c r="M118" s="920">
        <f t="shared" si="8"/>
        <v>3.4889400000000004</v>
      </c>
      <c r="N118" s="920">
        <f t="shared" si="9"/>
        <v>7</v>
      </c>
      <c r="O118" s="918" t="str">
        <f t="shared" si="10"/>
        <v>Jan</v>
      </c>
      <c r="P118" s="921">
        <f t="shared" si="11"/>
        <v>2</v>
      </c>
    </row>
    <row r="119" spans="1:16" ht="15" hidden="1" customHeight="1">
      <c r="A119" s="839">
        <v>68741742</v>
      </c>
      <c r="B119" s="839">
        <v>1352</v>
      </c>
      <c r="C119" s="906">
        <v>922</v>
      </c>
      <c r="D119" s="907">
        <v>46028</v>
      </c>
      <c r="E119" s="839" t="s">
        <v>288</v>
      </c>
      <c r="F119" s="839" t="s">
        <v>289</v>
      </c>
      <c r="G119" s="916">
        <f>VLOOKUP($A119,'Tech Litons'!$A:$I,8,FALSE)</f>
        <v>4.2560000000000002E-3</v>
      </c>
      <c r="H119" s="917">
        <f>VLOOKUP($A119,'Tech Litons'!$A:$I,9,FALSE)</f>
        <v>154</v>
      </c>
      <c r="I119" s="917" t="str">
        <f>VLOOKUP($A119,'Tech Litons'!$A:$C,3,0)</f>
        <v>MBG</v>
      </c>
      <c r="J119" s="918" t="str">
        <f t="shared" si="6"/>
        <v>1352MBG</v>
      </c>
      <c r="K119" s="919">
        <v>1</v>
      </c>
      <c r="L119" s="920">
        <f t="shared" si="7"/>
        <v>922</v>
      </c>
      <c r="M119" s="920">
        <f t="shared" si="8"/>
        <v>3.9240320000000004</v>
      </c>
      <c r="N119" s="920">
        <f t="shared" si="9"/>
        <v>5.9870129870129869</v>
      </c>
      <c r="O119" s="918" t="str">
        <f t="shared" si="10"/>
        <v>Jan</v>
      </c>
      <c r="P119" s="921">
        <f t="shared" si="11"/>
        <v>2</v>
      </c>
    </row>
    <row r="120" spans="1:16" ht="15" hidden="1" customHeight="1">
      <c r="A120" s="839">
        <v>68746232</v>
      </c>
      <c r="B120" s="839">
        <v>2904</v>
      </c>
      <c r="C120" s="906">
        <v>929</v>
      </c>
      <c r="D120" s="907">
        <v>46028</v>
      </c>
      <c r="E120" s="839" t="s">
        <v>508</v>
      </c>
      <c r="F120" s="839" t="s">
        <v>243</v>
      </c>
      <c r="G120" s="916">
        <f>VLOOKUP($A120,'Tech Litons'!$A:$I,8,FALSE)</f>
        <v>8.5199999999999998E-3</v>
      </c>
      <c r="H120" s="917">
        <f>VLOOKUP($A120,'Tech Litons'!$A:$I,9,FALSE)</f>
        <v>132</v>
      </c>
      <c r="I120" s="917" t="str">
        <f>VLOOKUP($A120,'Tech Litons'!$A:$C,3,0)</f>
        <v>EDF</v>
      </c>
      <c r="J120" s="918" t="str">
        <f t="shared" si="6"/>
        <v>2904EDF</v>
      </c>
      <c r="K120" s="919">
        <v>1</v>
      </c>
      <c r="L120" s="920">
        <f t="shared" si="7"/>
        <v>929</v>
      </c>
      <c r="M120" s="920">
        <f t="shared" si="8"/>
        <v>7.9150799999999997</v>
      </c>
      <c r="N120" s="920">
        <f t="shared" si="9"/>
        <v>7.0378787878787881</v>
      </c>
      <c r="O120" s="918" t="str">
        <f t="shared" si="10"/>
        <v>Jan</v>
      </c>
      <c r="P120" s="921">
        <f t="shared" si="11"/>
        <v>2</v>
      </c>
    </row>
    <row r="121" spans="1:16" ht="15" hidden="1" customHeight="1">
      <c r="A121" s="839">
        <v>68741742</v>
      </c>
      <c r="B121" s="839">
        <v>2904</v>
      </c>
      <c r="C121" s="906">
        <v>943</v>
      </c>
      <c r="D121" s="907">
        <v>46028</v>
      </c>
      <c r="E121" s="839" t="s">
        <v>288</v>
      </c>
      <c r="F121" s="839" t="s">
        <v>295</v>
      </c>
      <c r="G121" s="916">
        <f>VLOOKUP($A121,'Tech Litons'!$A:$I,8,FALSE)</f>
        <v>4.2560000000000002E-3</v>
      </c>
      <c r="H121" s="917">
        <f>VLOOKUP($A121,'Tech Litons'!$A:$I,9,FALSE)</f>
        <v>154</v>
      </c>
      <c r="I121" s="917" t="str">
        <f>VLOOKUP($A121,'Tech Litons'!$A:$C,3,0)</f>
        <v>MBG</v>
      </c>
      <c r="J121" s="918" t="str">
        <f t="shared" si="6"/>
        <v>2904MBG</v>
      </c>
      <c r="K121" s="919">
        <v>1</v>
      </c>
      <c r="L121" s="920">
        <f t="shared" si="7"/>
        <v>943</v>
      </c>
      <c r="M121" s="920">
        <f t="shared" si="8"/>
        <v>4.0134080000000001</v>
      </c>
      <c r="N121" s="920">
        <f t="shared" si="9"/>
        <v>6.1233766233766236</v>
      </c>
      <c r="O121" s="918" t="str">
        <f t="shared" si="10"/>
        <v>Jan</v>
      </c>
      <c r="P121" s="921">
        <f t="shared" si="11"/>
        <v>2</v>
      </c>
    </row>
    <row r="122" spans="1:16" ht="15" hidden="1" customHeight="1">
      <c r="A122" s="839">
        <v>68741714</v>
      </c>
      <c r="B122" s="839">
        <v>1352</v>
      </c>
      <c r="C122" s="906">
        <v>999</v>
      </c>
      <c r="D122" s="907">
        <v>46028</v>
      </c>
      <c r="E122" s="839" t="s">
        <v>286</v>
      </c>
      <c r="F122" s="839" t="s">
        <v>287</v>
      </c>
      <c r="G122" s="916">
        <f>VLOOKUP($A122,'Tech Litons'!$A:$I,8,FALSE)</f>
        <v>2.8319999999999999E-3</v>
      </c>
      <c r="H122" s="917">
        <f>VLOOKUP($A122,'Tech Litons'!$A:$I,9,FALSE)</f>
        <v>225</v>
      </c>
      <c r="I122" s="917" t="str">
        <f>VLOOKUP($A122,'Tech Litons'!$A:$C,3,0)</f>
        <v>MBG</v>
      </c>
      <c r="J122" s="918" t="str">
        <f t="shared" si="6"/>
        <v>1352MBG</v>
      </c>
      <c r="K122" s="919">
        <v>1</v>
      </c>
      <c r="L122" s="920">
        <f t="shared" si="7"/>
        <v>999</v>
      </c>
      <c r="M122" s="920">
        <f t="shared" si="8"/>
        <v>2.8291679999999997</v>
      </c>
      <c r="N122" s="920">
        <f t="shared" si="9"/>
        <v>4.4400000000000004</v>
      </c>
      <c r="O122" s="918" t="str">
        <f t="shared" si="10"/>
        <v>Jan</v>
      </c>
      <c r="P122" s="921">
        <f t="shared" si="11"/>
        <v>2</v>
      </c>
    </row>
    <row r="123" spans="1:16" ht="15" hidden="1" customHeight="1">
      <c r="A123" s="839">
        <v>69725082</v>
      </c>
      <c r="B123" s="839">
        <v>1352</v>
      </c>
      <c r="C123" s="906">
        <v>1300</v>
      </c>
      <c r="D123" s="907">
        <v>46028</v>
      </c>
      <c r="E123" s="839" t="s">
        <v>292</v>
      </c>
      <c r="F123" s="839" t="s">
        <v>225</v>
      </c>
      <c r="G123" s="916">
        <f>VLOOKUP($A123,'Tech Litons'!$A:$I,8,FALSE)</f>
        <v>5.2680000000000001E-3</v>
      </c>
      <c r="H123" s="917">
        <f>VLOOKUP($A123,'Tech Litons'!$A:$I,9,FALSE)</f>
        <v>130</v>
      </c>
      <c r="I123" s="917" t="str">
        <f>VLOOKUP($A123,'Tech Litons'!$A:$C,3,0)</f>
        <v>PG</v>
      </c>
      <c r="J123" s="918" t="str">
        <f t="shared" si="6"/>
        <v>1352PG</v>
      </c>
      <c r="K123" s="919">
        <v>1</v>
      </c>
      <c r="L123" s="920">
        <f t="shared" si="7"/>
        <v>1300</v>
      </c>
      <c r="M123" s="920">
        <f t="shared" si="8"/>
        <v>6.8483999999999998</v>
      </c>
      <c r="N123" s="920">
        <f t="shared" si="9"/>
        <v>10</v>
      </c>
      <c r="O123" s="918" t="str">
        <f t="shared" si="10"/>
        <v>Jan</v>
      </c>
      <c r="P123" s="921">
        <f t="shared" si="11"/>
        <v>2</v>
      </c>
    </row>
    <row r="124" spans="1:16" ht="15" hidden="1" customHeight="1">
      <c r="A124" s="839">
        <v>68746232</v>
      </c>
      <c r="B124" s="839">
        <v>2904</v>
      </c>
      <c r="C124" s="906">
        <v>1530</v>
      </c>
      <c r="D124" s="907">
        <v>46028</v>
      </c>
      <c r="E124" s="839" t="s">
        <v>508</v>
      </c>
      <c r="F124" s="839" t="s">
        <v>243</v>
      </c>
      <c r="G124" s="916">
        <f>VLOOKUP($A124,'Tech Litons'!$A:$I,8,FALSE)</f>
        <v>8.5199999999999998E-3</v>
      </c>
      <c r="H124" s="917">
        <f>VLOOKUP($A124,'Tech Litons'!$A:$I,9,FALSE)</f>
        <v>132</v>
      </c>
      <c r="I124" s="917" t="str">
        <f>VLOOKUP($A124,'Tech Litons'!$A:$C,3,0)</f>
        <v>EDF</v>
      </c>
      <c r="J124" s="918" t="str">
        <f t="shared" si="6"/>
        <v>2904EDF</v>
      </c>
      <c r="K124" s="919">
        <v>1</v>
      </c>
      <c r="L124" s="920">
        <f t="shared" si="7"/>
        <v>1530</v>
      </c>
      <c r="M124" s="920">
        <f t="shared" si="8"/>
        <v>13.035600000000001</v>
      </c>
      <c r="N124" s="920">
        <f t="shared" si="9"/>
        <v>11.590909090909092</v>
      </c>
      <c r="O124" s="918" t="str">
        <f t="shared" si="10"/>
        <v>Jan</v>
      </c>
      <c r="P124" s="921">
        <f t="shared" si="11"/>
        <v>2</v>
      </c>
    </row>
    <row r="125" spans="1:16" ht="15" hidden="1" customHeight="1">
      <c r="A125" s="839">
        <v>69629468</v>
      </c>
      <c r="B125" s="839">
        <v>1352</v>
      </c>
      <c r="C125" s="906">
        <v>1560</v>
      </c>
      <c r="D125" s="907">
        <v>46028</v>
      </c>
      <c r="E125" s="839" t="s">
        <v>291</v>
      </c>
      <c r="F125" s="839" t="s">
        <v>222</v>
      </c>
      <c r="G125" s="916">
        <f>VLOOKUP($A125,'Tech Litons'!$A:$I,8,FALSE)</f>
        <v>5.2680000000000001E-3</v>
      </c>
      <c r="H125" s="917">
        <f>VLOOKUP($A125,'Tech Litons'!$A:$I,9,FALSE)</f>
        <v>130</v>
      </c>
      <c r="I125" s="917" t="str">
        <f>VLOOKUP($A125,'Tech Litons'!$A:$C,3,0)</f>
        <v>PG</v>
      </c>
      <c r="J125" s="918" t="str">
        <f t="shared" si="6"/>
        <v>1352PG</v>
      </c>
      <c r="K125" s="919">
        <v>1</v>
      </c>
      <c r="L125" s="920">
        <f t="shared" si="7"/>
        <v>1560</v>
      </c>
      <c r="M125" s="920">
        <f t="shared" si="8"/>
        <v>8.2180800000000005</v>
      </c>
      <c r="N125" s="920">
        <f t="shared" si="9"/>
        <v>12</v>
      </c>
      <c r="O125" s="918" t="str">
        <f t="shared" si="10"/>
        <v>Jan</v>
      </c>
      <c r="P125" s="921">
        <f t="shared" si="11"/>
        <v>2</v>
      </c>
    </row>
    <row r="126" spans="1:16" ht="15" hidden="1" customHeight="1">
      <c r="A126" s="839">
        <v>68741714</v>
      </c>
      <c r="B126" s="839">
        <v>1352</v>
      </c>
      <c r="C126" s="906">
        <v>1575</v>
      </c>
      <c r="D126" s="907">
        <v>46028</v>
      </c>
      <c r="E126" s="839" t="s">
        <v>286</v>
      </c>
      <c r="F126" s="839" t="s">
        <v>287</v>
      </c>
      <c r="G126" s="916">
        <f>VLOOKUP($A126,'Tech Litons'!$A:$I,8,FALSE)</f>
        <v>2.8319999999999999E-3</v>
      </c>
      <c r="H126" s="917">
        <f>VLOOKUP($A126,'Tech Litons'!$A:$I,9,FALSE)</f>
        <v>225</v>
      </c>
      <c r="I126" s="917" t="str">
        <f>VLOOKUP($A126,'Tech Litons'!$A:$C,3,0)</f>
        <v>MBG</v>
      </c>
      <c r="J126" s="918" t="str">
        <f t="shared" si="6"/>
        <v>1352MBG</v>
      </c>
      <c r="K126" s="919">
        <v>1</v>
      </c>
      <c r="L126" s="920">
        <f t="shared" si="7"/>
        <v>1575</v>
      </c>
      <c r="M126" s="920">
        <f t="shared" si="8"/>
        <v>4.4603999999999999</v>
      </c>
      <c r="N126" s="920">
        <f t="shared" si="9"/>
        <v>7</v>
      </c>
      <c r="O126" s="918" t="str">
        <f t="shared" si="10"/>
        <v>Jan</v>
      </c>
      <c r="P126" s="921">
        <f t="shared" si="11"/>
        <v>2</v>
      </c>
    </row>
    <row r="127" spans="1:16" ht="15" hidden="1" customHeight="1">
      <c r="A127" s="839">
        <v>68741742</v>
      </c>
      <c r="B127" s="839">
        <v>2904</v>
      </c>
      <c r="C127" s="906">
        <v>1616</v>
      </c>
      <c r="D127" s="907">
        <v>46028</v>
      </c>
      <c r="E127" s="839" t="s">
        <v>288</v>
      </c>
      <c r="F127" s="839" t="s">
        <v>295</v>
      </c>
      <c r="G127" s="916">
        <f>VLOOKUP($A127,'Tech Litons'!$A:$I,8,FALSE)</f>
        <v>4.2560000000000002E-3</v>
      </c>
      <c r="H127" s="917">
        <f>VLOOKUP($A127,'Tech Litons'!$A:$I,9,FALSE)</f>
        <v>154</v>
      </c>
      <c r="I127" s="917" t="str">
        <f>VLOOKUP($A127,'Tech Litons'!$A:$C,3,0)</f>
        <v>MBG</v>
      </c>
      <c r="J127" s="918" t="str">
        <f t="shared" si="6"/>
        <v>2904MBG</v>
      </c>
      <c r="K127" s="919">
        <v>1</v>
      </c>
      <c r="L127" s="920">
        <f t="shared" si="7"/>
        <v>1616</v>
      </c>
      <c r="M127" s="920">
        <f t="shared" si="8"/>
        <v>6.8776960000000003</v>
      </c>
      <c r="N127" s="920">
        <f t="shared" si="9"/>
        <v>10.493506493506494</v>
      </c>
      <c r="O127" s="918" t="str">
        <f t="shared" si="10"/>
        <v>Jan</v>
      </c>
      <c r="P127" s="921">
        <f t="shared" si="11"/>
        <v>2</v>
      </c>
    </row>
    <row r="128" spans="1:16" ht="15" hidden="1" customHeight="1">
      <c r="A128" s="839">
        <v>68741742</v>
      </c>
      <c r="B128" s="839">
        <v>1352</v>
      </c>
      <c r="C128" s="906">
        <v>1858</v>
      </c>
      <c r="D128" s="907">
        <v>46028</v>
      </c>
      <c r="E128" s="839" t="s">
        <v>288</v>
      </c>
      <c r="F128" s="839" t="s">
        <v>289</v>
      </c>
      <c r="G128" s="916">
        <f>VLOOKUP($A128,'Tech Litons'!$A:$I,8,FALSE)</f>
        <v>4.2560000000000002E-3</v>
      </c>
      <c r="H128" s="917">
        <f>VLOOKUP($A128,'Tech Litons'!$A:$I,9,FALSE)</f>
        <v>154</v>
      </c>
      <c r="I128" s="917" t="str">
        <f>VLOOKUP($A128,'Tech Litons'!$A:$C,3,0)</f>
        <v>MBG</v>
      </c>
      <c r="J128" s="918" t="str">
        <f t="shared" si="6"/>
        <v>1352MBG</v>
      </c>
      <c r="K128" s="919">
        <v>1</v>
      </c>
      <c r="L128" s="920">
        <f t="shared" si="7"/>
        <v>1858</v>
      </c>
      <c r="M128" s="920">
        <f t="shared" si="8"/>
        <v>7.907648</v>
      </c>
      <c r="N128" s="920">
        <f t="shared" si="9"/>
        <v>12.064935064935066</v>
      </c>
      <c r="O128" s="918" t="str">
        <f t="shared" si="10"/>
        <v>Jan</v>
      </c>
      <c r="P128" s="921">
        <f t="shared" si="11"/>
        <v>2</v>
      </c>
    </row>
    <row r="129" spans="1:16" ht="15" hidden="1" customHeight="1">
      <c r="A129" s="839">
        <v>84135781</v>
      </c>
      <c r="B129" s="839">
        <v>5914</v>
      </c>
      <c r="C129" s="906">
        <v>1945</v>
      </c>
      <c r="D129" s="907">
        <v>46028</v>
      </c>
      <c r="E129" s="839" t="s">
        <v>302</v>
      </c>
      <c r="F129" s="839" t="s">
        <v>303</v>
      </c>
      <c r="G129" s="916">
        <f>VLOOKUP($A129,'Tech Litons'!$A:$I,8,FALSE)</f>
        <v>3.7853439999999999E-3</v>
      </c>
      <c r="H129" s="917">
        <f>VLOOKUP($A129,'Tech Litons'!$A:$I,9,FALSE)</f>
        <v>240</v>
      </c>
      <c r="I129" s="917" t="str">
        <f>VLOOKUP($A129,'Tech Litons'!$A:$C,3,0)</f>
        <v>BJ PTS</v>
      </c>
      <c r="J129" s="918" t="str">
        <f t="shared" ref="J129:J192" si="12">B129&amp;I129</f>
        <v>5914BJ PTS</v>
      </c>
      <c r="K129" s="919">
        <v>1</v>
      </c>
      <c r="L129" s="920">
        <f t="shared" ref="L129:L192" si="13">C129*$K129</f>
        <v>1945</v>
      </c>
      <c r="M129" s="920">
        <f t="shared" ref="M129:M192" si="14">L129*G129</f>
        <v>7.3624940800000003</v>
      </c>
      <c r="N129" s="920">
        <f t="shared" ref="N129:N192" si="15">L129/H129</f>
        <v>8.1041666666666661</v>
      </c>
      <c r="O129" s="918" t="str">
        <f t="shared" ref="O129:O192" si="16">TEXT(D129,"MMM")</f>
        <v>Jan</v>
      </c>
      <c r="P129" s="921">
        <f t="shared" ref="P129:P192" si="17">WEEKNUM(D129)</f>
        <v>2</v>
      </c>
    </row>
    <row r="130" spans="1:16" ht="15" hidden="1" customHeight="1">
      <c r="A130" s="839">
        <v>68689251</v>
      </c>
      <c r="B130" s="839">
        <v>1352</v>
      </c>
      <c r="C130" s="906">
        <v>1980</v>
      </c>
      <c r="D130" s="907">
        <v>46028</v>
      </c>
      <c r="E130" s="839" t="s">
        <v>262</v>
      </c>
      <c r="F130" s="839" t="s">
        <v>242</v>
      </c>
      <c r="G130" s="916">
        <f>VLOOKUP($A130,'Tech Litons'!$A:$I,8,FALSE)</f>
        <v>9.5760000000000012E-3</v>
      </c>
      <c r="H130" s="917">
        <f>VLOOKUP($A130,'Tech Litons'!$A:$I,9,FALSE)</f>
        <v>132</v>
      </c>
      <c r="I130" s="917" t="str">
        <f>VLOOKUP($A130,'Tech Litons'!$A:$C,3,0)</f>
        <v>EDF</v>
      </c>
      <c r="J130" s="918" t="str">
        <f t="shared" si="12"/>
        <v>1352EDF</v>
      </c>
      <c r="K130" s="919">
        <v>1</v>
      </c>
      <c r="L130" s="920">
        <f t="shared" si="13"/>
        <v>1980</v>
      </c>
      <c r="M130" s="920">
        <f t="shared" si="14"/>
        <v>18.960480000000004</v>
      </c>
      <c r="N130" s="920">
        <f t="shared" si="15"/>
        <v>15</v>
      </c>
      <c r="O130" s="918" t="str">
        <f t="shared" si="16"/>
        <v>Jan</v>
      </c>
      <c r="P130" s="921">
        <f t="shared" si="17"/>
        <v>2</v>
      </c>
    </row>
    <row r="131" spans="1:16" ht="15" hidden="1" customHeight="1">
      <c r="A131" s="839">
        <v>68689251</v>
      </c>
      <c r="B131" s="839">
        <v>1352</v>
      </c>
      <c r="C131" s="906">
        <v>1982</v>
      </c>
      <c r="D131" s="907">
        <v>46028</v>
      </c>
      <c r="E131" s="839" t="s">
        <v>262</v>
      </c>
      <c r="F131" s="839" t="s">
        <v>242</v>
      </c>
      <c r="G131" s="916">
        <f>VLOOKUP($A131,'Tech Litons'!$A:$I,8,FALSE)</f>
        <v>9.5760000000000012E-3</v>
      </c>
      <c r="H131" s="917">
        <f>VLOOKUP($A131,'Tech Litons'!$A:$I,9,FALSE)</f>
        <v>132</v>
      </c>
      <c r="I131" s="917" t="str">
        <f>VLOOKUP($A131,'Tech Litons'!$A:$C,3,0)</f>
        <v>EDF</v>
      </c>
      <c r="J131" s="918" t="str">
        <f t="shared" si="12"/>
        <v>1352EDF</v>
      </c>
      <c r="K131" s="919">
        <v>1</v>
      </c>
      <c r="L131" s="920">
        <f t="shared" si="13"/>
        <v>1982</v>
      </c>
      <c r="M131" s="920">
        <f t="shared" si="14"/>
        <v>18.979632000000002</v>
      </c>
      <c r="N131" s="920">
        <f t="shared" si="15"/>
        <v>15.015151515151516</v>
      </c>
      <c r="O131" s="918" t="str">
        <f t="shared" si="16"/>
        <v>Jan</v>
      </c>
      <c r="P131" s="921">
        <f t="shared" si="17"/>
        <v>2</v>
      </c>
    </row>
    <row r="132" spans="1:16" ht="15" hidden="1" customHeight="1">
      <c r="A132" s="839">
        <v>68862392</v>
      </c>
      <c r="B132" s="839">
        <v>2904</v>
      </c>
      <c r="C132" s="906">
        <v>2290</v>
      </c>
      <c r="D132" s="907">
        <v>46028</v>
      </c>
      <c r="E132" s="839" t="s">
        <v>305</v>
      </c>
      <c r="F132" s="839" t="s">
        <v>277</v>
      </c>
      <c r="G132" s="916">
        <f>VLOOKUP($A132,'Tech Litons'!$A:$I,8,FALSE)</f>
        <v>3.7839999999999996E-3</v>
      </c>
      <c r="H132" s="917">
        <f>VLOOKUP($A132,'Tech Litons'!$A:$I,9,FALSE)</f>
        <v>255</v>
      </c>
      <c r="I132" s="917" t="str">
        <f>VLOOKUP($A132,'Tech Litons'!$A:$C,3,0)</f>
        <v>TALENTI</v>
      </c>
      <c r="J132" s="918" t="str">
        <f t="shared" si="12"/>
        <v>2904TALENTI</v>
      </c>
      <c r="K132" s="919">
        <v>1</v>
      </c>
      <c r="L132" s="920">
        <f t="shared" si="13"/>
        <v>2290</v>
      </c>
      <c r="M132" s="920">
        <f t="shared" si="14"/>
        <v>8.6653599999999997</v>
      </c>
      <c r="N132" s="920">
        <f t="shared" si="15"/>
        <v>8.9803921568627452</v>
      </c>
      <c r="O132" s="918" t="str">
        <f t="shared" si="16"/>
        <v>Jan</v>
      </c>
      <c r="P132" s="921">
        <f t="shared" si="17"/>
        <v>2</v>
      </c>
    </row>
    <row r="133" spans="1:16" ht="15" hidden="1" customHeight="1">
      <c r="A133" s="839">
        <v>68921994</v>
      </c>
      <c r="B133" s="839">
        <v>1352</v>
      </c>
      <c r="C133" s="906">
        <v>2364</v>
      </c>
      <c r="D133" s="907">
        <v>46028</v>
      </c>
      <c r="E133" s="839" t="s">
        <v>267</v>
      </c>
      <c r="F133" s="839" t="s">
        <v>241</v>
      </c>
      <c r="G133" s="916">
        <f>VLOOKUP($A133,'Tech Litons'!$A:$I,8,FALSE)</f>
        <v>9.5760000000000012E-3</v>
      </c>
      <c r="H133" s="917">
        <f>VLOOKUP($A133,'Tech Litons'!$A:$I,9,FALSE)</f>
        <v>132</v>
      </c>
      <c r="I133" s="917" t="str">
        <f>VLOOKUP($A133,'Tech Litons'!$A:$C,3,0)</f>
        <v>EDF</v>
      </c>
      <c r="J133" s="918" t="str">
        <f t="shared" si="12"/>
        <v>1352EDF</v>
      </c>
      <c r="K133" s="919">
        <v>1</v>
      </c>
      <c r="L133" s="920">
        <f t="shared" si="13"/>
        <v>2364</v>
      </c>
      <c r="M133" s="920">
        <f t="shared" si="14"/>
        <v>22.637664000000004</v>
      </c>
      <c r="N133" s="920">
        <f t="shared" si="15"/>
        <v>17.90909090909091</v>
      </c>
      <c r="O133" s="918" t="str">
        <f t="shared" si="16"/>
        <v>Jan</v>
      </c>
      <c r="P133" s="921">
        <f t="shared" si="17"/>
        <v>2</v>
      </c>
    </row>
    <row r="134" spans="1:16" ht="15" hidden="1" customHeight="1">
      <c r="A134" s="839">
        <v>68649095</v>
      </c>
      <c r="B134" s="839">
        <v>2904</v>
      </c>
      <c r="C134" s="906">
        <v>2776</v>
      </c>
      <c r="D134" s="907">
        <v>46028</v>
      </c>
      <c r="E134" s="839" t="s">
        <v>294</v>
      </c>
      <c r="F134" s="839" t="s">
        <v>40</v>
      </c>
      <c r="G134" s="916">
        <f>VLOOKUP($A134,'Tech Litons'!$A:$I,8,FALSE)</f>
        <v>3.5999999999999999E-3</v>
      </c>
      <c r="H134" s="917">
        <f>VLOOKUP($A134,'Tech Litons'!$A:$I,9,FALSE)</f>
        <v>240</v>
      </c>
      <c r="I134" s="917" t="str">
        <f>VLOOKUP($A134,'Tech Litons'!$A:$C,3,0)</f>
        <v>Topped</v>
      </c>
      <c r="J134" s="918" t="str">
        <f t="shared" si="12"/>
        <v>2904Topped</v>
      </c>
      <c r="K134" s="919">
        <v>1</v>
      </c>
      <c r="L134" s="920">
        <f t="shared" si="13"/>
        <v>2776</v>
      </c>
      <c r="M134" s="920">
        <f t="shared" si="14"/>
        <v>9.9935999999999989</v>
      </c>
      <c r="N134" s="920">
        <f t="shared" si="15"/>
        <v>11.566666666666666</v>
      </c>
      <c r="O134" s="918" t="str">
        <f t="shared" si="16"/>
        <v>Jan</v>
      </c>
      <c r="P134" s="921">
        <f t="shared" si="17"/>
        <v>2</v>
      </c>
    </row>
    <row r="135" spans="1:16" ht="15" hidden="1" customHeight="1">
      <c r="A135" s="839">
        <v>68689251</v>
      </c>
      <c r="B135" s="839">
        <v>1352</v>
      </c>
      <c r="C135" s="906">
        <v>2783</v>
      </c>
      <c r="D135" s="907">
        <v>46028</v>
      </c>
      <c r="E135" s="839" t="s">
        <v>262</v>
      </c>
      <c r="F135" s="839" t="s">
        <v>240</v>
      </c>
      <c r="G135" s="916">
        <f>VLOOKUP($A135,'Tech Litons'!$A:$I,8,FALSE)</f>
        <v>9.5760000000000012E-3</v>
      </c>
      <c r="H135" s="917">
        <f>VLOOKUP($A135,'Tech Litons'!$A:$I,9,FALSE)</f>
        <v>132</v>
      </c>
      <c r="I135" s="917" t="str">
        <f>VLOOKUP($A135,'Tech Litons'!$A:$C,3,0)</f>
        <v>EDF</v>
      </c>
      <c r="J135" s="918" t="str">
        <f t="shared" si="12"/>
        <v>1352EDF</v>
      </c>
      <c r="K135" s="919">
        <v>1</v>
      </c>
      <c r="L135" s="920">
        <f t="shared" si="13"/>
        <v>2783</v>
      </c>
      <c r="M135" s="920">
        <f t="shared" si="14"/>
        <v>26.650008000000003</v>
      </c>
      <c r="N135" s="920">
        <f t="shared" si="15"/>
        <v>21.083333333333332</v>
      </c>
      <c r="O135" s="918" t="str">
        <f t="shared" si="16"/>
        <v>Jan</v>
      </c>
      <c r="P135" s="921">
        <f t="shared" si="17"/>
        <v>2</v>
      </c>
    </row>
    <row r="136" spans="1:16" ht="15" hidden="1" customHeight="1">
      <c r="A136" s="839">
        <v>68921994</v>
      </c>
      <c r="B136" s="839">
        <v>1352</v>
      </c>
      <c r="C136" s="906">
        <v>3034</v>
      </c>
      <c r="D136" s="907">
        <v>46028</v>
      </c>
      <c r="E136" s="839" t="s">
        <v>267</v>
      </c>
      <c r="F136" s="839" t="s">
        <v>241</v>
      </c>
      <c r="G136" s="916">
        <f>VLOOKUP($A136,'Tech Litons'!$A:$I,8,FALSE)</f>
        <v>9.5760000000000012E-3</v>
      </c>
      <c r="H136" s="917">
        <f>VLOOKUP($A136,'Tech Litons'!$A:$I,9,FALSE)</f>
        <v>132</v>
      </c>
      <c r="I136" s="917" t="str">
        <f>VLOOKUP($A136,'Tech Litons'!$A:$C,3,0)</f>
        <v>EDF</v>
      </c>
      <c r="J136" s="918" t="str">
        <f t="shared" si="12"/>
        <v>1352EDF</v>
      </c>
      <c r="K136" s="919">
        <v>1</v>
      </c>
      <c r="L136" s="920">
        <f t="shared" si="13"/>
        <v>3034</v>
      </c>
      <c r="M136" s="920">
        <f t="shared" si="14"/>
        <v>29.053584000000004</v>
      </c>
      <c r="N136" s="920">
        <f t="shared" si="15"/>
        <v>22.984848484848484</v>
      </c>
      <c r="O136" s="918" t="str">
        <f t="shared" si="16"/>
        <v>Jan</v>
      </c>
      <c r="P136" s="921">
        <f t="shared" si="17"/>
        <v>2</v>
      </c>
    </row>
    <row r="137" spans="1:16" ht="15" hidden="1" customHeight="1">
      <c r="A137" s="839">
        <v>68737750</v>
      </c>
      <c r="B137" s="839">
        <v>1352</v>
      </c>
      <c r="C137" s="906">
        <v>3069</v>
      </c>
      <c r="D137" s="907">
        <v>46028</v>
      </c>
      <c r="E137" s="839" t="s">
        <v>407</v>
      </c>
      <c r="F137" s="839" t="s">
        <v>261</v>
      </c>
      <c r="G137" s="916">
        <f>VLOOKUP($A137,'Tech Litons'!$A:$I,8,FALSE)</f>
        <v>8.5199999999999998E-3</v>
      </c>
      <c r="H137" s="917">
        <f>VLOOKUP($A137,'Tech Litons'!$A:$I,9,FALSE)</f>
        <v>176</v>
      </c>
      <c r="I137" s="917" t="str">
        <f>VLOOKUP($A137,'Tech Litons'!$A:$C,3,0)</f>
        <v>48oz</v>
      </c>
      <c r="J137" s="918" t="str">
        <f t="shared" si="12"/>
        <v>135248oz</v>
      </c>
      <c r="K137" s="919">
        <v>1</v>
      </c>
      <c r="L137" s="920">
        <f t="shared" si="13"/>
        <v>3069</v>
      </c>
      <c r="M137" s="920">
        <f t="shared" si="14"/>
        <v>26.147880000000001</v>
      </c>
      <c r="N137" s="920">
        <f t="shared" si="15"/>
        <v>17.4375</v>
      </c>
      <c r="O137" s="918" t="str">
        <f t="shared" si="16"/>
        <v>Jan</v>
      </c>
      <c r="P137" s="921">
        <f t="shared" si="17"/>
        <v>2</v>
      </c>
    </row>
    <row r="138" spans="1:16" ht="15" hidden="1" customHeight="1">
      <c r="A138" s="839">
        <v>68737750</v>
      </c>
      <c r="B138" s="839">
        <v>1352</v>
      </c>
      <c r="C138" s="906">
        <v>3069</v>
      </c>
      <c r="D138" s="907">
        <v>46028</v>
      </c>
      <c r="E138" s="839" t="s">
        <v>407</v>
      </c>
      <c r="F138" s="839" t="s">
        <v>261</v>
      </c>
      <c r="G138" s="916">
        <f>VLOOKUP($A138,'Tech Litons'!$A:$I,8,FALSE)</f>
        <v>8.5199999999999998E-3</v>
      </c>
      <c r="H138" s="917">
        <f>VLOOKUP($A138,'Tech Litons'!$A:$I,9,FALSE)</f>
        <v>176</v>
      </c>
      <c r="I138" s="917" t="str">
        <f>VLOOKUP($A138,'Tech Litons'!$A:$C,3,0)</f>
        <v>48oz</v>
      </c>
      <c r="J138" s="918" t="str">
        <f t="shared" si="12"/>
        <v>135248oz</v>
      </c>
      <c r="K138" s="919">
        <v>1</v>
      </c>
      <c r="L138" s="920">
        <f t="shared" si="13"/>
        <v>3069</v>
      </c>
      <c r="M138" s="920">
        <f t="shared" si="14"/>
        <v>26.147880000000001</v>
      </c>
      <c r="N138" s="920">
        <f t="shared" si="15"/>
        <v>17.4375</v>
      </c>
      <c r="O138" s="918" t="str">
        <f t="shared" si="16"/>
        <v>Jan</v>
      </c>
      <c r="P138" s="921">
        <f t="shared" si="17"/>
        <v>2</v>
      </c>
    </row>
    <row r="139" spans="1:16" ht="15" hidden="1" customHeight="1">
      <c r="A139" s="839">
        <v>64979407</v>
      </c>
      <c r="B139" s="839">
        <v>2904</v>
      </c>
      <c r="C139" s="906">
        <v>3114</v>
      </c>
      <c r="D139" s="907">
        <v>46028</v>
      </c>
      <c r="E139" s="839" t="s">
        <v>284</v>
      </c>
      <c r="F139" s="839" t="s">
        <v>231</v>
      </c>
      <c r="G139" s="916">
        <f>VLOOKUP($A139,'Tech Litons'!$A:$I,8,FALSE)</f>
        <v>4.2560000000000002E-3</v>
      </c>
      <c r="H139" s="917">
        <f>VLOOKUP($A139,'Tech Litons'!$A:$I,9,FALSE)</f>
        <v>143</v>
      </c>
      <c r="I139" s="917" t="str">
        <f>VLOOKUP($A139,'Tech Litons'!$A:$C,3,0)</f>
        <v>MG Sticks</v>
      </c>
      <c r="J139" s="918" t="str">
        <f t="shared" si="12"/>
        <v>2904MG Sticks</v>
      </c>
      <c r="K139" s="919">
        <v>1</v>
      </c>
      <c r="L139" s="920">
        <f t="shared" si="13"/>
        <v>3114</v>
      </c>
      <c r="M139" s="920">
        <f t="shared" si="14"/>
        <v>13.253184000000001</v>
      </c>
      <c r="N139" s="920">
        <f t="shared" si="15"/>
        <v>21.776223776223777</v>
      </c>
      <c r="O139" s="918" t="str">
        <f t="shared" si="16"/>
        <v>Jan</v>
      </c>
      <c r="P139" s="921">
        <f t="shared" si="17"/>
        <v>2</v>
      </c>
    </row>
    <row r="140" spans="1:16" ht="15" hidden="1" customHeight="1">
      <c r="A140" s="839">
        <v>68896054</v>
      </c>
      <c r="B140" s="839">
        <v>1352</v>
      </c>
      <c r="C140" s="906">
        <v>3344</v>
      </c>
      <c r="D140" s="907">
        <v>46028</v>
      </c>
      <c r="E140" s="839" t="s">
        <v>265</v>
      </c>
      <c r="F140" s="839" t="s">
        <v>266</v>
      </c>
      <c r="G140" s="916">
        <f>VLOOKUP($A140,'Tech Litons'!$A:$I,8,FALSE)</f>
        <v>8.5199999999999998E-3</v>
      </c>
      <c r="H140" s="917">
        <f>VLOOKUP($A140,'Tech Litons'!$A:$I,9,FALSE)</f>
        <v>176</v>
      </c>
      <c r="I140" s="917" t="str">
        <f>VLOOKUP($A140,'Tech Litons'!$A:$C,3,0)</f>
        <v>48oz</v>
      </c>
      <c r="J140" s="918" t="str">
        <f t="shared" si="12"/>
        <v>135248oz</v>
      </c>
      <c r="K140" s="919">
        <v>1</v>
      </c>
      <c r="L140" s="920">
        <f t="shared" si="13"/>
        <v>3344</v>
      </c>
      <c r="M140" s="920">
        <f t="shared" si="14"/>
        <v>28.490880000000001</v>
      </c>
      <c r="N140" s="920">
        <f t="shared" si="15"/>
        <v>19</v>
      </c>
      <c r="O140" s="918" t="str">
        <f t="shared" si="16"/>
        <v>Jan</v>
      </c>
      <c r="P140" s="921">
        <f t="shared" si="17"/>
        <v>2</v>
      </c>
    </row>
    <row r="141" spans="1:16" ht="15" hidden="1" customHeight="1">
      <c r="A141" s="839">
        <v>68896054</v>
      </c>
      <c r="B141" s="839">
        <v>1352</v>
      </c>
      <c r="C141" s="906">
        <v>3356</v>
      </c>
      <c r="D141" s="907">
        <v>46028</v>
      </c>
      <c r="E141" s="839" t="s">
        <v>265</v>
      </c>
      <c r="F141" s="839" t="s">
        <v>266</v>
      </c>
      <c r="G141" s="916">
        <f>VLOOKUP($A141,'Tech Litons'!$A:$I,8,FALSE)</f>
        <v>8.5199999999999998E-3</v>
      </c>
      <c r="H141" s="917">
        <f>VLOOKUP($A141,'Tech Litons'!$A:$I,9,FALSE)</f>
        <v>176</v>
      </c>
      <c r="I141" s="917" t="str">
        <f>VLOOKUP($A141,'Tech Litons'!$A:$C,3,0)</f>
        <v>48oz</v>
      </c>
      <c r="J141" s="918" t="str">
        <f t="shared" si="12"/>
        <v>135248oz</v>
      </c>
      <c r="K141" s="919">
        <v>1</v>
      </c>
      <c r="L141" s="920">
        <f t="shared" si="13"/>
        <v>3356</v>
      </c>
      <c r="M141" s="920">
        <f t="shared" si="14"/>
        <v>28.593119999999999</v>
      </c>
      <c r="N141" s="920">
        <f t="shared" si="15"/>
        <v>19.068181818181817</v>
      </c>
      <c r="O141" s="918" t="str">
        <f t="shared" si="16"/>
        <v>Jan</v>
      </c>
      <c r="P141" s="921">
        <f t="shared" si="17"/>
        <v>2</v>
      </c>
    </row>
    <row r="142" spans="1:16" ht="15" hidden="1" customHeight="1">
      <c r="A142" s="839">
        <v>68737750</v>
      </c>
      <c r="B142" s="839">
        <v>1352</v>
      </c>
      <c r="C142" s="906">
        <v>3466</v>
      </c>
      <c r="D142" s="907">
        <v>46028</v>
      </c>
      <c r="E142" s="839" t="s">
        <v>407</v>
      </c>
      <c r="F142" s="839" t="s">
        <v>261</v>
      </c>
      <c r="G142" s="916">
        <f>VLOOKUP($A142,'Tech Litons'!$A:$I,8,FALSE)</f>
        <v>8.5199999999999998E-3</v>
      </c>
      <c r="H142" s="917">
        <f>VLOOKUP($A142,'Tech Litons'!$A:$I,9,FALSE)</f>
        <v>176</v>
      </c>
      <c r="I142" s="917" t="str">
        <f>VLOOKUP($A142,'Tech Litons'!$A:$C,3,0)</f>
        <v>48oz</v>
      </c>
      <c r="J142" s="918" t="str">
        <f t="shared" si="12"/>
        <v>135248oz</v>
      </c>
      <c r="K142" s="919">
        <v>1</v>
      </c>
      <c r="L142" s="920">
        <f t="shared" si="13"/>
        <v>3466</v>
      </c>
      <c r="M142" s="920">
        <f t="shared" si="14"/>
        <v>29.53032</v>
      </c>
      <c r="N142" s="920">
        <f t="shared" si="15"/>
        <v>19.693181818181817</v>
      </c>
      <c r="O142" s="918" t="str">
        <f t="shared" si="16"/>
        <v>Jan</v>
      </c>
      <c r="P142" s="921">
        <f t="shared" si="17"/>
        <v>2</v>
      </c>
    </row>
    <row r="143" spans="1:16" ht="15" hidden="1" customHeight="1">
      <c r="A143" s="839">
        <v>64330596</v>
      </c>
      <c r="B143" s="839">
        <v>2904</v>
      </c>
      <c r="C143" s="906">
        <v>3487</v>
      </c>
      <c r="D143" s="907">
        <v>46028</v>
      </c>
      <c r="E143" s="839" t="s">
        <v>280</v>
      </c>
      <c r="F143" s="839" t="s">
        <v>281</v>
      </c>
      <c r="G143" s="916">
        <f>VLOOKUP($A143,'Tech Litons'!$A:$I,8,FALSE)</f>
        <v>1.98E-3</v>
      </c>
      <c r="H143" s="917">
        <f>VLOOKUP($A143,'Tech Litons'!$A:$I,9,FALSE)</f>
        <v>176</v>
      </c>
      <c r="I143" s="917" t="str">
        <f>VLOOKUP($A143,'Tech Litons'!$A:$C,3,0)</f>
        <v>MG Sticks</v>
      </c>
      <c r="J143" s="918" t="str">
        <f t="shared" si="12"/>
        <v>2904MG Sticks</v>
      </c>
      <c r="K143" s="919">
        <v>1</v>
      </c>
      <c r="L143" s="920">
        <f t="shared" si="13"/>
        <v>3487</v>
      </c>
      <c r="M143" s="920">
        <f t="shared" si="14"/>
        <v>6.9042599999999998</v>
      </c>
      <c r="N143" s="920">
        <f t="shared" si="15"/>
        <v>19.8125</v>
      </c>
      <c r="O143" s="918" t="str">
        <f t="shared" si="16"/>
        <v>Jan</v>
      </c>
      <c r="P143" s="921">
        <f t="shared" si="17"/>
        <v>2</v>
      </c>
    </row>
    <row r="144" spans="1:16" ht="15" hidden="1" customHeight="1">
      <c r="A144" s="839">
        <v>68851107</v>
      </c>
      <c r="B144" s="839">
        <v>2904</v>
      </c>
      <c r="C144" s="906">
        <v>3527</v>
      </c>
      <c r="D144" s="907">
        <v>46028</v>
      </c>
      <c r="E144" s="839" t="s">
        <v>272</v>
      </c>
      <c r="F144" s="839" t="s">
        <v>273</v>
      </c>
      <c r="G144" s="916">
        <f>VLOOKUP($A144,'Tech Litons'!$A:$I,8,FALSE)</f>
        <v>8.5199999999999998E-3</v>
      </c>
      <c r="H144" s="917">
        <f>VLOOKUP($A144,'Tech Litons'!$A:$I,9,FALSE)</f>
        <v>176</v>
      </c>
      <c r="I144" s="917" t="str">
        <f>VLOOKUP($A144,'Tech Litons'!$A:$C,3,0)</f>
        <v>48oz</v>
      </c>
      <c r="J144" s="918" t="str">
        <f t="shared" si="12"/>
        <v>290448oz</v>
      </c>
      <c r="K144" s="919">
        <v>1</v>
      </c>
      <c r="L144" s="920">
        <f t="shared" si="13"/>
        <v>3527</v>
      </c>
      <c r="M144" s="920">
        <f t="shared" si="14"/>
        <v>30.050039999999999</v>
      </c>
      <c r="N144" s="920">
        <f t="shared" si="15"/>
        <v>20.039772727272727</v>
      </c>
      <c r="O144" s="918" t="str">
        <f t="shared" si="16"/>
        <v>Jan</v>
      </c>
      <c r="P144" s="921">
        <f t="shared" si="17"/>
        <v>2</v>
      </c>
    </row>
    <row r="145" spans="1:16" ht="15" hidden="1" customHeight="1">
      <c r="A145" s="839">
        <v>64330596</v>
      </c>
      <c r="B145" s="839">
        <v>2904</v>
      </c>
      <c r="C145" s="906">
        <v>4557</v>
      </c>
      <c r="D145" s="907">
        <v>46028</v>
      </c>
      <c r="E145" s="839" t="s">
        <v>280</v>
      </c>
      <c r="F145" s="839" t="s">
        <v>281</v>
      </c>
      <c r="G145" s="916">
        <f>VLOOKUP($A145,'Tech Litons'!$A:$I,8,FALSE)</f>
        <v>1.98E-3</v>
      </c>
      <c r="H145" s="917">
        <f>VLOOKUP($A145,'Tech Litons'!$A:$I,9,FALSE)</f>
        <v>176</v>
      </c>
      <c r="I145" s="917" t="str">
        <f>VLOOKUP($A145,'Tech Litons'!$A:$C,3,0)</f>
        <v>MG Sticks</v>
      </c>
      <c r="J145" s="918" t="str">
        <f t="shared" si="12"/>
        <v>2904MG Sticks</v>
      </c>
      <c r="K145" s="919">
        <v>1</v>
      </c>
      <c r="L145" s="920">
        <f t="shared" si="13"/>
        <v>4557</v>
      </c>
      <c r="M145" s="920">
        <f t="shared" si="14"/>
        <v>9.0228599999999997</v>
      </c>
      <c r="N145" s="920">
        <f t="shared" si="15"/>
        <v>25.892045454545453</v>
      </c>
      <c r="O145" s="918" t="str">
        <f t="shared" si="16"/>
        <v>Jan</v>
      </c>
      <c r="P145" s="921">
        <f t="shared" si="17"/>
        <v>2</v>
      </c>
    </row>
    <row r="146" spans="1:16" ht="15" hidden="1" customHeight="1">
      <c r="A146" s="839">
        <v>84144598</v>
      </c>
      <c r="B146" s="839">
        <v>2904</v>
      </c>
      <c r="C146" s="906">
        <v>4643</v>
      </c>
      <c r="D146" s="907">
        <v>46028</v>
      </c>
      <c r="E146" s="839" t="s">
        <v>364</v>
      </c>
      <c r="F146" s="839" t="s">
        <v>299</v>
      </c>
      <c r="G146" s="916">
        <f>VLOOKUP($A146,'Tech Litons'!$A:$I,8,FALSE)</f>
        <v>3.7853439999999999E-3</v>
      </c>
      <c r="H146" s="917">
        <f>VLOOKUP($A146,'Tech Litons'!$A:$I,9,FALSE)</f>
        <v>240</v>
      </c>
      <c r="I146" s="917" t="str">
        <f>VLOOKUP($A146,'Tech Litons'!$A:$C,3,0)</f>
        <v>BJ PTS</v>
      </c>
      <c r="J146" s="918" t="str">
        <f t="shared" si="12"/>
        <v>2904BJ PTS</v>
      </c>
      <c r="K146" s="919">
        <v>1</v>
      </c>
      <c r="L146" s="920">
        <f t="shared" si="13"/>
        <v>4643</v>
      </c>
      <c r="M146" s="920">
        <f t="shared" si="14"/>
        <v>17.575352192</v>
      </c>
      <c r="N146" s="920">
        <f t="shared" si="15"/>
        <v>19.345833333333335</v>
      </c>
      <c r="O146" s="918" t="str">
        <f t="shared" si="16"/>
        <v>Jan</v>
      </c>
      <c r="P146" s="921">
        <f t="shared" si="17"/>
        <v>2</v>
      </c>
    </row>
    <row r="147" spans="1:16" ht="15" hidden="1" customHeight="1">
      <c r="A147" s="839">
        <v>64979407</v>
      </c>
      <c r="B147" s="839">
        <v>2904</v>
      </c>
      <c r="C147" s="906">
        <v>4806</v>
      </c>
      <c r="D147" s="907">
        <v>46028</v>
      </c>
      <c r="E147" s="839" t="s">
        <v>284</v>
      </c>
      <c r="F147" s="839" t="s">
        <v>231</v>
      </c>
      <c r="G147" s="916">
        <f>VLOOKUP($A147,'Tech Litons'!$A:$I,8,FALSE)</f>
        <v>4.2560000000000002E-3</v>
      </c>
      <c r="H147" s="917">
        <f>VLOOKUP($A147,'Tech Litons'!$A:$I,9,FALSE)</f>
        <v>143</v>
      </c>
      <c r="I147" s="917" t="str">
        <f>VLOOKUP($A147,'Tech Litons'!$A:$C,3,0)</f>
        <v>MG Sticks</v>
      </c>
      <c r="J147" s="918" t="str">
        <f t="shared" si="12"/>
        <v>2904MG Sticks</v>
      </c>
      <c r="K147" s="919">
        <v>1</v>
      </c>
      <c r="L147" s="920">
        <f t="shared" si="13"/>
        <v>4806</v>
      </c>
      <c r="M147" s="920">
        <f t="shared" si="14"/>
        <v>20.454336000000001</v>
      </c>
      <c r="N147" s="920">
        <f t="shared" si="15"/>
        <v>33.608391608391607</v>
      </c>
      <c r="O147" s="918" t="str">
        <f t="shared" si="16"/>
        <v>Jan</v>
      </c>
      <c r="P147" s="921">
        <f t="shared" si="17"/>
        <v>2</v>
      </c>
    </row>
    <row r="148" spans="1:16" ht="15" hidden="1" customHeight="1">
      <c r="A148" s="839">
        <v>68851104</v>
      </c>
      <c r="B148" s="839">
        <v>1352</v>
      </c>
      <c r="C148" s="906">
        <v>4839</v>
      </c>
      <c r="D148" s="907">
        <v>46028</v>
      </c>
      <c r="E148" s="839" t="s">
        <v>270</v>
      </c>
      <c r="F148" s="839" t="s">
        <v>290</v>
      </c>
      <c r="G148" s="916">
        <f>VLOOKUP($A148,'Tech Litons'!$A:$I,8,FALSE)</f>
        <v>8.5199999999999998E-3</v>
      </c>
      <c r="H148" s="917">
        <f>VLOOKUP($A148,'Tech Litons'!$A:$I,9,FALSE)</f>
        <v>176</v>
      </c>
      <c r="I148" s="917" t="str">
        <f>VLOOKUP($A148,'Tech Litons'!$A:$C,3,0)</f>
        <v>48oz</v>
      </c>
      <c r="J148" s="918" t="str">
        <f t="shared" si="12"/>
        <v>135248oz</v>
      </c>
      <c r="K148" s="919">
        <v>1</v>
      </c>
      <c r="L148" s="920">
        <f t="shared" si="13"/>
        <v>4839</v>
      </c>
      <c r="M148" s="920">
        <f t="shared" si="14"/>
        <v>41.228279999999998</v>
      </c>
      <c r="N148" s="920">
        <f t="shared" si="15"/>
        <v>27.494318181818183</v>
      </c>
      <c r="O148" s="918" t="str">
        <f t="shared" si="16"/>
        <v>Jan</v>
      </c>
      <c r="P148" s="921">
        <f t="shared" si="17"/>
        <v>2</v>
      </c>
    </row>
    <row r="149" spans="1:16" ht="15" hidden="1" customHeight="1">
      <c r="A149" s="839">
        <v>68851104</v>
      </c>
      <c r="B149" s="839">
        <v>1352</v>
      </c>
      <c r="C149" s="906">
        <v>5060</v>
      </c>
      <c r="D149" s="907">
        <v>46028</v>
      </c>
      <c r="E149" s="839" t="s">
        <v>270</v>
      </c>
      <c r="F149" s="839" t="s">
        <v>290</v>
      </c>
      <c r="G149" s="916">
        <f>VLOOKUP($A149,'Tech Litons'!$A:$I,8,FALSE)</f>
        <v>8.5199999999999998E-3</v>
      </c>
      <c r="H149" s="917">
        <f>VLOOKUP($A149,'Tech Litons'!$A:$I,9,FALSE)</f>
        <v>176</v>
      </c>
      <c r="I149" s="917" t="str">
        <f>VLOOKUP($A149,'Tech Litons'!$A:$C,3,0)</f>
        <v>48oz</v>
      </c>
      <c r="J149" s="918" t="str">
        <f t="shared" si="12"/>
        <v>135248oz</v>
      </c>
      <c r="K149" s="919">
        <v>1</v>
      </c>
      <c r="L149" s="920">
        <f t="shared" si="13"/>
        <v>5060</v>
      </c>
      <c r="M149" s="920">
        <f t="shared" si="14"/>
        <v>43.111199999999997</v>
      </c>
      <c r="N149" s="920">
        <f t="shared" si="15"/>
        <v>28.75</v>
      </c>
      <c r="O149" s="918" t="str">
        <f t="shared" si="16"/>
        <v>Jan</v>
      </c>
      <c r="P149" s="921">
        <f t="shared" si="17"/>
        <v>2</v>
      </c>
    </row>
    <row r="150" spans="1:16" ht="15" hidden="1" customHeight="1">
      <c r="A150" s="839">
        <v>68851104</v>
      </c>
      <c r="B150" s="839">
        <v>1352</v>
      </c>
      <c r="C150" s="906">
        <v>5101</v>
      </c>
      <c r="D150" s="907">
        <v>46028</v>
      </c>
      <c r="E150" s="839" t="s">
        <v>270</v>
      </c>
      <c r="F150" s="839" t="s">
        <v>264</v>
      </c>
      <c r="G150" s="916">
        <f>VLOOKUP($A150,'Tech Litons'!$A:$I,8,FALSE)</f>
        <v>8.5199999999999998E-3</v>
      </c>
      <c r="H150" s="917">
        <f>VLOOKUP($A150,'Tech Litons'!$A:$I,9,FALSE)</f>
        <v>176</v>
      </c>
      <c r="I150" s="917" t="str">
        <f>VLOOKUP($A150,'Tech Litons'!$A:$C,3,0)</f>
        <v>48oz</v>
      </c>
      <c r="J150" s="918" t="str">
        <f t="shared" si="12"/>
        <v>135248oz</v>
      </c>
      <c r="K150" s="919">
        <v>1</v>
      </c>
      <c r="L150" s="920">
        <f t="shared" si="13"/>
        <v>5101</v>
      </c>
      <c r="M150" s="920">
        <f t="shared" si="14"/>
        <v>43.460520000000002</v>
      </c>
      <c r="N150" s="920">
        <f t="shared" si="15"/>
        <v>28.982954545454547</v>
      </c>
      <c r="O150" s="918" t="str">
        <f t="shared" si="16"/>
        <v>Jan</v>
      </c>
      <c r="P150" s="921">
        <f t="shared" si="17"/>
        <v>2</v>
      </c>
    </row>
    <row r="151" spans="1:16" ht="15" hidden="1" customHeight="1">
      <c r="A151" s="839">
        <v>64958125</v>
      </c>
      <c r="B151" s="839">
        <v>2904</v>
      </c>
      <c r="C151" s="906">
        <v>5166</v>
      </c>
      <c r="D151" s="907">
        <v>46028</v>
      </c>
      <c r="E151" s="839" t="s">
        <v>238</v>
      </c>
      <c r="F151" s="839" t="s">
        <v>234</v>
      </c>
      <c r="G151" s="916">
        <f>VLOOKUP($A151,'Tech Litons'!$A:$I,8,FALSE)</f>
        <v>3.3119999999999998E-3</v>
      </c>
      <c r="H151" s="917">
        <f>VLOOKUP($A151,'Tech Litons'!$A:$I,9,FALSE)</f>
        <v>165</v>
      </c>
      <c r="I151" s="917" t="str">
        <f>VLOOKUP($A151,'Tech Litons'!$A:$C,3,0)</f>
        <v>Yasso Sticks</v>
      </c>
      <c r="J151" s="918" t="str">
        <f t="shared" si="12"/>
        <v>2904Yasso Sticks</v>
      </c>
      <c r="K151" s="919">
        <v>1</v>
      </c>
      <c r="L151" s="920">
        <f t="shared" si="13"/>
        <v>5166</v>
      </c>
      <c r="M151" s="920">
        <f t="shared" si="14"/>
        <v>17.109791999999999</v>
      </c>
      <c r="N151" s="920">
        <f t="shared" si="15"/>
        <v>31.309090909090909</v>
      </c>
      <c r="O151" s="918" t="str">
        <f t="shared" si="16"/>
        <v>Jan</v>
      </c>
      <c r="P151" s="921">
        <f t="shared" si="17"/>
        <v>2</v>
      </c>
    </row>
    <row r="152" spans="1:16" ht="15" hidden="1" customHeight="1">
      <c r="A152" s="839">
        <v>68649095</v>
      </c>
      <c r="B152" s="839">
        <v>2904</v>
      </c>
      <c r="C152" s="906">
        <v>5182</v>
      </c>
      <c r="D152" s="907">
        <v>46028</v>
      </c>
      <c r="E152" s="839" t="s">
        <v>294</v>
      </c>
      <c r="F152" s="839" t="s">
        <v>40</v>
      </c>
      <c r="G152" s="916">
        <f>VLOOKUP($A152,'Tech Litons'!$A:$I,8,FALSE)</f>
        <v>3.5999999999999999E-3</v>
      </c>
      <c r="H152" s="917">
        <f>VLOOKUP($A152,'Tech Litons'!$A:$I,9,FALSE)</f>
        <v>240</v>
      </c>
      <c r="I152" s="917" t="str">
        <f>VLOOKUP($A152,'Tech Litons'!$A:$C,3,0)</f>
        <v>Topped</v>
      </c>
      <c r="J152" s="918" t="str">
        <f t="shared" si="12"/>
        <v>2904Topped</v>
      </c>
      <c r="K152" s="919">
        <v>1</v>
      </c>
      <c r="L152" s="920">
        <f t="shared" si="13"/>
        <v>5182</v>
      </c>
      <c r="M152" s="920">
        <f t="shared" si="14"/>
        <v>18.655200000000001</v>
      </c>
      <c r="N152" s="920">
        <f t="shared" si="15"/>
        <v>21.591666666666665</v>
      </c>
      <c r="O152" s="918" t="str">
        <f t="shared" si="16"/>
        <v>Jan</v>
      </c>
      <c r="P152" s="921">
        <f t="shared" si="17"/>
        <v>2</v>
      </c>
    </row>
    <row r="153" spans="1:16" ht="15" hidden="1" customHeight="1">
      <c r="A153" s="839">
        <v>84144598</v>
      </c>
      <c r="B153" s="839">
        <v>2904</v>
      </c>
      <c r="C153" s="906">
        <v>5820</v>
      </c>
      <c r="D153" s="907">
        <v>46028</v>
      </c>
      <c r="E153" s="839" t="s">
        <v>364</v>
      </c>
      <c r="F153" s="839" t="s">
        <v>299</v>
      </c>
      <c r="G153" s="916">
        <f>VLOOKUP($A153,'Tech Litons'!$A:$I,8,FALSE)</f>
        <v>3.7853439999999999E-3</v>
      </c>
      <c r="H153" s="917">
        <f>VLOOKUP($A153,'Tech Litons'!$A:$I,9,FALSE)</f>
        <v>240</v>
      </c>
      <c r="I153" s="917" t="str">
        <f>VLOOKUP($A153,'Tech Litons'!$A:$C,3,0)</f>
        <v>BJ PTS</v>
      </c>
      <c r="J153" s="918" t="str">
        <f t="shared" si="12"/>
        <v>2904BJ PTS</v>
      </c>
      <c r="K153" s="919">
        <v>1</v>
      </c>
      <c r="L153" s="920">
        <f t="shared" si="13"/>
        <v>5820</v>
      </c>
      <c r="M153" s="920">
        <f t="shared" si="14"/>
        <v>22.030702080000001</v>
      </c>
      <c r="N153" s="920">
        <f t="shared" si="15"/>
        <v>24.25</v>
      </c>
      <c r="O153" s="918" t="str">
        <f t="shared" si="16"/>
        <v>Jan</v>
      </c>
      <c r="P153" s="921">
        <f t="shared" si="17"/>
        <v>2</v>
      </c>
    </row>
    <row r="154" spans="1:16" ht="15" hidden="1" customHeight="1">
      <c r="A154" s="839">
        <v>64988056</v>
      </c>
      <c r="B154" s="839">
        <v>2904</v>
      </c>
      <c r="C154" s="906">
        <v>6132</v>
      </c>
      <c r="D154" s="907">
        <v>46028</v>
      </c>
      <c r="E154" s="839" t="s">
        <v>268</v>
      </c>
      <c r="F154" s="839" t="s">
        <v>269</v>
      </c>
      <c r="G154" s="916">
        <f>VLOOKUP($A154,'Tech Litons'!$A:$I,8,FALSE)</f>
        <v>8.513999999999999E-3</v>
      </c>
      <c r="H154" s="917">
        <f>VLOOKUP($A154,'Tech Litons'!$A:$I,9,FALSE)</f>
        <v>176</v>
      </c>
      <c r="I154" s="917" t="str">
        <f>VLOOKUP($A154,'Tech Litons'!$A:$C,3,0)</f>
        <v>48oz</v>
      </c>
      <c r="J154" s="918" t="str">
        <f t="shared" si="12"/>
        <v>290448oz</v>
      </c>
      <c r="K154" s="919">
        <v>1</v>
      </c>
      <c r="L154" s="920">
        <f t="shared" si="13"/>
        <v>6132</v>
      </c>
      <c r="M154" s="920">
        <f t="shared" si="14"/>
        <v>52.207847999999991</v>
      </c>
      <c r="N154" s="920">
        <f t="shared" si="15"/>
        <v>34.840909090909093</v>
      </c>
      <c r="O154" s="918" t="str">
        <f t="shared" si="16"/>
        <v>Jan</v>
      </c>
      <c r="P154" s="921">
        <f t="shared" si="17"/>
        <v>2</v>
      </c>
    </row>
    <row r="155" spans="1:16" ht="15" hidden="1" customHeight="1">
      <c r="A155" s="839">
        <v>64393722</v>
      </c>
      <c r="B155" s="839">
        <v>2904</v>
      </c>
      <c r="C155" s="906">
        <v>6426</v>
      </c>
      <c r="D155" s="907">
        <v>46028</v>
      </c>
      <c r="E155" s="839" t="s">
        <v>282</v>
      </c>
      <c r="F155" s="839" t="s">
        <v>283</v>
      </c>
      <c r="G155" s="916">
        <f>VLOOKUP($A155,'Tech Litons'!$A:$I,8,FALSE)</f>
        <v>2.16E-3</v>
      </c>
      <c r="H155" s="917">
        <f>VLOOKUP($A155,'Tech Litons'!$A:$I,9,FALSE)</f>
        <v>210</v>
      </c>
      <c r="I155" s="917" t="str">
        <f>VLOOKUP($A155,'Tech Litons'!$A:$C,3,0)</f>
        <v>MG Sticks</v>
      </c>
      <c r="J155" s="918" t="str">
        <f t="shared" si="12"/>
        <v>2904MG Sticks</v>
      </c>
      <c r="K155" s="919">
        <v>1</v>
      </c>
      <c r="L155" s="920">
        <f t="shared" si="13"/>
        <v>6426</v>
      </c>
      <c r="M155" s="920">
        <f t="shared" si="14"/>
        <v>13.88016</v>
      </c>
      <c r="N155" s="920">
        <f t="shared" si="15"/>
        <v>30.6</v>
      </c>
      <c r="O155" s="918" t="str">
        <f t="shared" si="16"/>
        <v>Jan</v>
      </c>
      <c r="P155" s="921">
        <f t="shared" si="17"/>
        <v>2</v>
      </c>
    </row>
    <row r="156" spans="1:16" ht="15" hidden="1" customHeight="1">
      <c r="A156" s="839">
        <v>68851104</v>
      </c>
      <c r="B156" s="839">
        <v>2904</v>
      </c>
      <c r="C156" s="906">
        <v>6512</v>
      </c>
      <c r="D156" s="907">
        <v>46028</v>
      </c>
      <c r="E156" s="839" t="s">
        <v>270</v>
      </c>
      <c r="F156" s="839" t="s">
        <v>271</v>
      </c>
      <c r="G156" s="916">
        <f>VLOOKUP($A156,'Tech Litons'!$A:$I,8,FALSE)</f>
        <v>8.5199999999999998E-3</v>
      </c>
      <c r="H156" s="917">
        <f>VLOOKUP($A156,'Tech Litons'!$A:$I,9,FALSE)</f>
        <v>176</v>
      </c>
      <c r="I156" s="917" t="str">
        <f>VLOOKUP($A156,'Tech Litons'!$A:$C,3,0)</f>
        <v>48oz</v>
      </c>
      <c r="J156" s="918" t="str">
        <f t="shared" si="12"/>
        <v>290448oz</v>
      </c>
      <c r="K156" s="919">
        <v>1</v>
      </c>
      <c r="L156" s="920">
        <f t="shared" si="13"/>
        <v>6512</v>
      </c>
      <c r="M156" s="920">
        <f t="shared" si="14"/>
        <v>55.482239999999997</v>
      </c>
      <c r="N156" s="920">
        <f t="shared" si="15"/>
        <v>37</v>
      </c>
      <c r="O156" s="918" t="str">
        <f t="shared" si="16"/>
        <v>Jan</v>
      </c>
      <c r="P156" s="921">
        <f t="shared" si="17"/>
        <v>2</v>
      </c>
    </row>
    <row r="157" spans="1:16" ht="15" hidden="1" customHeight="1">
      <c r="A157" s="839">
        <v>84161610</v>
      </c>
      <c r="B157" s="839">
        <v>5914</v>
      </c>
      <c r="C157" s="906">
        <v>6609</v>
      </c>
      <c r="D157" s="907">
        <v>46028</v>
      </c>
      <c r="E157" s="839" t="s">
        <v>309</v>
      </c>
      <c r="F157" s="839" t="s">
        <v>301</v>
      </c>
      <c r="G157" s="916">
        <f>VLOOKUP($A157,'Tech Litons'!$A:$I,8,FALSE)</f>
        <v>3.7853439999999999E-3</v>
      </c>
      <c r="H157" s="917">
        <f>VLOOKUP($A157,'Tech Litons'!$A:$I,9,FALSE)</f>
        <v>240</v>
      </c>
      <c r="I157" s="917" t="str">
        <f>VLOOKUP($A157,'Tech Litons'!$A:$C,3,0)</f>
        <v>BJ PTS</v>
      </c>
      <c r="J157" s="918" t="str">
        <f t="shared" si="12"/>
        <v>5914BJ PTS</v>
      </c>
      <c r="K157" s="919">
        <v>1</v>
      </c>
      <c r="L157" s="920">
        <f t="shared" si="13"/>
        <v>6609</v>
      </c>
      <c r="M157" s="920">
        <f t="shared" si="14"/>
        <v>25.017338496000001</v>
      </c>
      <c r="N157" s="920">
        <f t="shared" si="15"/>
        <v>27.537500000000001</v>
      </c>
      <c r="O157" s="918" t="str">
        <f t="shared" si="16"/>
        <v>Jan</v>
      </c>
      <c r="P157" s="921">
        <f t="shared" si="17"/>
        <v>2</v>
      </c>
    </row>
    <row r="158" spans="1:16" ht="15" hidden="1" customHeight="1">
      <c r="A158" s="839">
        <v>68867744</v>
      </c>
      <c r="B158" s="839">
        <v>2904</v>
      </c>
      <c r="C158" s="906">
        <v>6966</v>
      </c>
      <c r="D158" s="907">
        <v>46028</v>
      </c>
      <c r="E158" s="839" t="s">
        <v>306</v>
      </c>
      <c r="F158" s="839" t="s">
        <v>275</v>
      </c>
      <c r="G158" s="916">
        <f>VLOOKUP($A158,'Tech Litons'!$A:$I,8,FALSE)</f>
        <v>3.552E-3</v>
      </c>
      <c r="H158" s="917">
        <f>VLOOKUP($A158,'Tech Litons'!$A:$I,9,FALSE)</f>
        <v>255</v>
      </c>
      <c r="I158" s="917" t="str">
        <f>VLOOKUP($A158,'Tech Litons'!$A:$C,3,0)</f>
        <v>Talenti</v>
      </c>
      <c r="J158" s="918" t="str">
        <f t="shared" si="12"/>
        <v>2904Talenti</v>
      </c>
      <c r="K158" s="919">
        <v>1</v>
      </c>
      <c r="L158" s="920">
        <f t="shared" si="13"/>
        <v>6966</v>
      </c>
      <c r="M158" s="920">
        <f t="shared" si="14"/>
        <v>24.743231999999999</v>
      </c>
      <c r="N158" s="920">
        <f t="shared" si="15"/>
        <v>27.317647058823528</v>
      </c>
      <c r="O158" s="918" t="str">
        <f t="shared" si="16"/>
        <v>Jan</v>
      </c>
      <c r="P158" s="921">
        <f t="shared" si="17"/>
        <v>2</v>
      </c>
    </row>
    <row r="159" spans="1:16" ht="15" hidden="1" customHeight="1">
      <c r="A159" s="839">
        <v>64393722</v>
      </c>
      <c r="B159" s="839">
        <v>2904</v>
      </c>
      <c r="C159" s="906">
        <v>7140</v>
      </c>
      <c r="D159" s="907">
        <v>46028</v>
      </c>
      <c r="E159" s="839" t="s">
        <v>282</v>
      </c>
      <c r="F159" s="839" t="s">
        <v>283</v>
      </c>
      <c r="G159" s="916">
        <f>VLOOKUP($A159,'Tech Litons'!$A:$I,8,FALSE)</f>
        <v>2.16E-3</v>
      </c>
      <c r="H159" s="917">
        <f>VLOOKUP($A159,'Tech Litons'!$A:$I,9,FALSE)</f>
        <v>210</v>
      </c>
      <c r="I159" s="917" t="str">
        <f>VLOOKUP($A159,'Tech Litons'!$A:$C,3,0)</f>
        <v>MG Sticks</v>
      </c>
      <c r="J159" s="918" t="str">
        <f t="shared" si="12"/>
        <v>2904MG Sticks</v>
      </c>
      <c r="K159" s="919">
        <v>1</v>
      </c>
      <c r="L159" s="920">
        <f t="shared" si="13"/>
        <v>7140</v>
      </c>
      <c r="M159" s="920">
        <f t="shared" si="14"/>
        <v>15.4224</v>
      </c>
      <c r="N159" s="920">
        <f t="shared" si="15"/>
        <v>34</v>
      </c>
      <c r="O159" s="918" t="str">
        <f t="shared" si="16"/>
        <v>Jan</v>
      </c>
      <c r="P159" s="921">
        <f t="shared" si="17"/>
        <v>2</v>
      </c>
    </row>
    <row r="160" spans="1:16" ht="15" hidden="1" customHeight="1">
      <c r="A160" s="839">
        <v>64958125</v>
      </c>
      <c r="B160" s="839">
        <v>2904</v>
      </c>
      <c r="C160" s="906">
        <v>7260</v>
      </c>
      <c r="D160" s="907">
        <v>46028</v>
      </c>
      <c r="E160" s="839" t="s">
        <v>238</v>
      </c>
      <c r="F160" s="839" t="s">
        <v>234</v>
      </c>
      <c r="G160" s="916">
        <f>VLOOKUP($A160,'Tech Litons'!$A:$I,8,FALSE)</f>
        <v>3.3119999999999998E-3</v>
      </c>
      <c r="H160" s="917">
        <f>VLOOKUP($A160,'Tech Litons'!$A:$I,9,FALSE)</f>
        <v>165</v>
      </c>
      <c r="I160" s="917" t="str">
        <f>VLOOKUP($A160,'Tech Litons'!$A:$C,3,0)</f>
        <v>Yasso Sticks</v>
      </c>
      <c r="J160" s="918" t="str">
        <f t="shared" si="12"/>
        <v>2904Yasso Sticks</v>
      </c>
      <c r="K160" s="919">
        <v>1</v>
      </c>
      <c r="L160" s="920">
        <f t="shared" si="13"/>
        <v>7260</v>
      </c>
      <c r="M160" s="920">
        <f t="shared" si="14"/>
        <v>24.045119999999997</v>
      </c>
      <c r="N160" s="920">
        <f t="shared" si="15"/>
        <v>44</v>
      </c>
      <c r="O160" s="918" t="str">
        <f t="shared" si="16"/>
        <v>Jan</v>
      </c>
      <c r="P160" s="921">
        <f t="shared" si="17"/>
        <v>2</v>
      </c>
    </row>
    <row r="161" spans="1:16" ht="15" hidden="1" customHeight="1">
      <c r="A161" s="839">
        <v>68851104</v>
      </c>
      <c r="B161" s="839">
        <v>2904</v>
      </c>
      <c r="C161" s="906">
        <v>7392</v>
      </c>
      <c r="D161" s="907">
        <v>46028</v>
      </c>
      <c r="E161" s="839" t="s">
        <v>270</v>
      </c>
      <c r="F161" s="839" t="s">
        <v>271</v>
      </c>
      <c r="G161" s="916">
        <f>VLOOKUP($A161,'Tech Litons'!$A:$I,8,FALSE)</f>
        <v>8.5199999999999998E-3</v>
      </c>
      <c r="H161" s="917">
        <f>VLOOKUP($A161,'Tech Litons'!$A:$I,9,FALSE)</f>
        <v>176</v>
      </c>
      <c r="I161" s="917" t="str">
        <f>VLOOKUP($A161,'Tech Litons'!$A:$C,3,0)</f>
        <v>48oz</v>
      </c>
      <c r="J161" s="918" t="str">
        <f t="shared" si="12"/>
        <v>290448oz</v>
      </c>
      <c r="K161" s="919">
        <v>1</v>
      </c>
      <c r="L161" s="920">
        <f t="shared" si="13"/>
        <v>7392</v>
      </c>
      <c r="M161" s="920">
        <f t="shared" si="14"/>
        <v>62.979839999999996</v>
      </c>
      <c r="N161" s="920">
        <f t="shared" si="15"/>
        <v>42</v>
      </c>
      <c r="O161" s="918" t="str">
        <f t="shared" si="16"/>
        <v>Jan</v>
      </c>
      <c r="P161" s="921">
        <f t="shared" si="17"/>
        <v>2</v>
      </c>
    </row>
    <row r="162" spans="1:16" ht="15" hidden="1" customHeight="1">
      <c r="A162" s="839">
        <v>67430513</v>
      </c>
      <c r="B162" s="839">
        <v>5914</v>
      </c>
      <c r="C162" s="906">
        <v>7440</v>
      </c>
      <c r="D162" s="907">
        <v>46028</v>
      </c>
      <c r="E162" s="839" t="s">
        <v>308</v>
      </c>
      <c r="F162" s="839" t="s">
        <v>303</v>
      </c>
      <c r="G162" s="916">
        <f>VLOOKUP($A162,'Tech Litons'!$A:$I,8,FALSE)</f>
        <v>3.7839999999999996E-3</v>
      </c>
      <c r="H162" s="917">
        <f>VLOOKUP($A162,'Tech Litons'!$A:$I,9,FALSE)</f>
        <v>240</v>
      </c>
      <c r="I162" s="917" t="str">
        <f>VLOOKUP($A162,'Tech Litons'!$A:$C,3,0)</f>
        <v>BJ PTS</v>
      </c>
      <c r="J162" s="918" t="str">
        <f t="shared" si="12"/>
        <v>5914BJ PTS</v>
      </c>
      <c r="K162" s="919">
        <v>1</v>
      </c>
      <c r="L162" s="920">
        <f t="shared" si="13"/>
        <v>7440</v>
      </c>
      <c r="M162" s="920">
        <f t="shared" si="14"/>
        <v>28.152959999999997</v>
      </c>
      <c r="N162" s="920">
        <f t="shared" si="15"/>
        <v>31</v>
      </c>
      <c r="O162" s="918" t="str">
        <f t="shared" si="16"/>
        <v>Jan</v>
      </c>
      <c r="P162" s="921">
        <f t="shared" si="17"/>
        <v>2</v>
      </c>
    </row>
    <row r="163" spans="1:16" ht="15" hidden="1" customHeight="1">
      <c r="A163" s="839">
        <v>68851108</v>
      </c>
      <c r="B163" s="839">
        <v>2904</v>
      </c>
      <c r="C163" s="906">
        <v>7507</v>
      </c>
      <c r="D163" s="907">
        <v>46028</v>
      </c>
      <c r="E163" s="839" t="s">
        <v>296</v>
      </c>
      <c r="F163" s="839" t="s">
        <v>273</v>
      </c>
      <c r="G163" s="916">
        <f>VLOOKUP($A163,'Tech Litons'!$A:$I,8,FALSE)</f>
        <v>8.5199999999999998E-3</v>
      </c>
      <c r="H163" s="917">
        <f>VLOOKUP($A163,'Tech Litons'!$A:$I,9,FALSE)</f>
        <v>176</v>
      </c>
      <c r="I163" s="917" t="str">
        <f>VLOOKUP($A163,'Tech Litons'!$A:$C,3,0)</f>
        <v>48oz</v>
      </c>
      <c r="J163" s="918" t="str">
        <f t="shared" si="12"/>
        <v>290448oz</v>
      </c>
      <c r="K163" s="919">
        <v>1</v>
      </c>
      <c r="L163" s="920">
        <f t="shared" si="13"/>
        <v>7507</v>
      </c>
      <c r="M163" s="920">
        <f t="shared" si="14"/>
        <v>63.95964</v>
      </c>
      <c r="N163" s="920">
        <f t="shared" si="15"/>
        <v>42.653409090909093</v>
      </c>
      <c r="O163" s="918" t="str">
        <f t="shared" si="16"/>
        <v>Jan</v>
      </c>
      <c r="P163" s="921">
        <f t="shared" si="17"/>
        <v>2</v>
      </c>
    </row>
    <row r="164" spans="1:16" ht="15" hidden="1" customHeight="1">
      <c r="A164" s="839">
        <v>68867744</v>
      </c>
      <c r="B164" s="839">
        <v>2904</v>
      </c>
      <c r="C164" s="906">
        <v>7815</v>
      </c>
      <c r="D164" s="907">
        <v>46028</v>
      </c>
      <c r="E164" s="839" t="s">
        <v>306</v>
      </c>
      <c r="F164" s="839" t="s">
        <v>275</v>
      </c>
      <c r="G164" s="916">
        <f>VLOOKUP($A164,'Tech Litons'!$A:$I,8,FALSE)</f>
        <v>3.552E-3</v>
      </c>
      <c r="H164" s="917">
        <f>VLOOKUP($A164,'Tech Litons'!$A:$I,9,FALSE)</f>
        <v>255</v>
      </c>
      <c r="I164" s="917" t="str">
        <f>VLOOKUP($A164,'Tech Litons'!$A:$C,3,0)</f>
        <v>Talenti</v>
      </c>
      <c r="J164" s="918" t="str">
        <f t="shared" si="12"/>
        <v>2904Talenti</v>
      </c>
      <c r="K164" s="919">
        <v>1</v>
      </c>
      <c r="L164" s="920">
        <f t="shared" si="13"/>
        <v>7815</v>
      </c>
      <c r="M164" s="920">
        <f t="shared" si="14"/>
        <v>27.758880000000001</v>
      </c>
      <c r="N164" s="920">
        <f t="shared" si="15"/>
        <v>30.647058823529413</v>
      </c>
      <c r="O164" s="918" t="str">
        <f t="shared" si="16"/>
        <v>Jan</v>
      </c>
      <c r="P164" s="921">
        <f t="shared" si="17"/>
        <v>2</v>
      </c>
    </row>
    <row r="165" spans="1:16" ht="15" hidden="1" customHeight="1">
      <c r="A165" s="839">
        <v>64988056</v>
      </c>
      <c r="B165" s="839">
        <v>2904</v>
      </c>
      <c r="C165" s="906">
        <v>7962</v>
      </c>
      <c r="D165" s="907">
        <v>46028</v>
      </c>
      <c r="E165" s="839" t="s">
        <v>268</v>
      </c>
      <c r="F165" s="839" t="s">
        <v>269</v>
      </c>
      <c r="G165" s="916">
        <f>VLOOKUP($A165,'Tech Litons'!$A:$I,8,FALSE)</f>
        <v>8.513999999999999E-3</v>
      </c>
      <c r="H165" s="917">
        <f>VLOOKUP($A165,'Tech Litons'!$A:$I,9,FALSE)</f>
        <v>176</v>
      </c>
      <c r="I165" s="917" t="str">
        <f>VLOOKUP($A165,'Tech Litons'!$A:$C,3,0)</f>
        <v>48oz</v>
      </c>
      <c r="J165" s="918" t="str">
        <f t="shared" si="12"/>
        <v>290448oz</v>
      </c>
      <c r="K165" s="919">
        <v>1</v>
      </c>
      <c r="L165" s="920">
        <f t="shared" si="13"/>
        <v>7962</v>
      </c>
      <c r="M165" s="920">
        <f t="shared" si="14"/>
        <v>67.788467999999995</v>
      </c>
      <c r="N165" s="920">
        <f t="shared" si="15"/>
        <v>45.238636363636367</v>
      </c>
      <c r="O165" s="918" t="str">
        <f t="shared" si="16"/>
        <v>Jan</v>
      </c>
      <c r="P165" s="921">
        <f t="shared" si="17"/>
        <v>2</v>
      </c>
    </row>
    <row r="166" spans="1:16" ht="15" hidden="1" customHeight="1">
      <c r="A166" s="839">
        <v>68851104</v>
      </c>
      <c r="B166" s="839">
        <v>1352</v>
      </c>
      <c r="C166" s="906">
        <v>8720</v>
      </c>
      <c r="D166" s="907">
        <v>46028</v>
      </c>
      <c r="E166" s="839" t="s">
        <v>270</v>
      </c>
      <c r="F166" s="839" t="s">
        <v>264</v>
      </c>
      <c r="G166" s="916">
        <f>VLOOKUP($A166,'Tech Litons'!$A:$I,8,FALSE)</f>
        <v>8.5199999999999998E-3</v>
      </c>
      <c r="H166" s="917">
        <f>VLOOKUP($A166,'Tech Litons'!$A:$I,9,FALSE)</f>
        <v>176</v>
      </c>
      <c r="I166" s="917" t="str">
        <f>VLOOKUP($A166,'Tech Litons'!$A:$C,3,0)</f>
        <v>48oz</v>
      </c>
      <c r="J166" s="918" t="str">
        <f t="shared" si="12"/>
        <v>135248oz</v>
      </c>
      <c r="K166" s="919">
        <v>1</v>
      </c>
      <c r="L166" s="920">
        <f t="shared" si="13"/>
        <v>8720</v>
      </c>
      <c r="M166" s="920">
        <f t="shared" si="14"/>
        <v>74.294399999999996</v>
      </c>
      <c r="N166" s="920">
        <f t="shared" si="15"/>
        <v>49.545454545454547</v>
      </c>
      <c r="O166" s="918" t="str">
        <f t="shared" si="16"/>
        <v>Jan</v>
      </c>
      <c r="P166" s="921">
        <f t="shared" si="17"/>
        <v>2</v>
      </c>
    </row>
    <row r="167" spans="1:16" ht="15" hidden="1" customHeight="1">
      <c r="A167" s="839">
        <v>68922108</v>
      </c>
      <c r="B167" s="839">
        <v>2904</v>
      </c>
      <c r="C167" s="906">
        <v>8744</v>
      </c>
      <c r="D167" s="907">
        <v>46028</v>
      </c>
      <c r="E167" s="839" t="s">
        <v>276</v>
      </c>
      <c r="F167" s="839" t="s">
        <v>277</v>
      </c>
      <c r="G167" s="916">
        <f>VLOOKUP($A167,'Tech Litons'!$A:$I,8,FALSE)</f>
        <v>3.7839999999999996E-3</v>
      </c>
      <c r="H167" s="917">
        <f>VLOOKUP($A167,'Tech Litons'!$A:$I,9,FALSE)</f>
        <v>255</v>
      </c>
      <c r="I167" s="917" t="str">
        <f>VLOOKUP($A167,'Tech Litons'!$A:$C,3,0)</f>
        <v>TALENTI</v>
      </c>
      <c r="J167" s="918" t="str">
        <f t="shared" si="12"/>
        <v>2904TALENTI</v>
      </c>
      <c r="K167" s="919">
        <v>1</v>
      </c>
      <c r="L167" s="920">
        <f t="shared" si="13"/>
        <v>8744</v>
      </c>
      <c r="M167" s="920">
        <f t="shared" si="14"/>
        <v>33.087295999999995</v>
      </c>
      <c r="N167" s="920">
        <f t="shared" si="15"/>
        <v>34.290196078431372</v>
      </c>
      <c r="O167" s="918" t="str">
        <f t="shared" si="16"/>
        <v>Jan</v>
      </c>
      <c r="P167" s="921">
        <f t="shared" si="17"/>
        <v>2</v>
      </c>
    </row>
    <row r="168" spans="1:16" ht="15" hidden="1" customHeight="1">
      <c r="A168" s="839">
        <v>84137725</v>
      </c>
      <c r="B168" s="839">
        <v>5911</v>
      </c>
      <c r="C168" s="906">
        <v>28080</v>
      </c>
      <c r="D168" s="907">
        <v>46028</v>
      </c>
      <c r="E168" s="839" t="s">
        <v>278</v>
      </c>
      <c r="F168" s="839" t="s">
        <v>279</v>
      </c>
      <c r="G168" s="916">
        <f>VLOOKUP($A168,'Tech Litons'!$A:$I,8,FALSE)</f>
        <v>3.7853439999999999E-3</v>
      </c>
      <c r="H168" s="917">
        <f>VLOOKUP($A168,'Tech Litons'!$A:$I,9,FALSE)</f>
        <v>240</v>
      </c>
      <c r="I168" s="917" t="str">
        <f>VLOOKUP($A168,'Tech Litons'!$A:$C,3,0)</f>
        <v>BJ PTS</v>
      </c>
      <c r="J168" s="918" t="str">
        <f t="shared" si="12"/>
        <v>5911BJ PTS</v>
      </c>
      <c r="K168" s="919">
        <v>1</v>
      </c>
      <c r="L168" s="920">
        <f t="shared" si="13"/>
        <v>28080</v>
      </c>
      <c r="M168" s="920">
        <f t="shared" si="14"/>
        <v>106.29245951999999</v>
      </c>
      <c r="N168" s="920">
        <f t="shared" si="15"/>
        <v>117</v>
      </c>
      <c r="O168" s="918" t="str">
        <f t="shared" si="16"/>
        <v>Jan</v>
      </c>
      <c r="P168" s="921">
        <f t="shared" si="17"/>
        <v>2</v>
      </c>
    </row>
    <row r="169" spans="1:16" ht="15" hidden="1" customHeight="1">
      <c r="A169" s="839">
        <v>69999269</v>
      </c>
      <c r="B169" s="839">
        <v>5914</v>
      </c>
      <c r="C169" s="906">
        <v>33840</v>
      </c>
      <c r="D169" s="907">
        <v>46028</v>
      </c>
      <c r="E169" s="839" t="s">
        <v>300</v>
      </c>
      <c r="F169" s="839" t="s">
        <v>301</v>
      </c>
      <c r="G169" s="916">
        <f>VLOOKUP($A169,'Tech Litons'!$A:$I,8,FALSE)</f>
        <v>3.7839999999999996E-3</v>
      </c>
      <c r="H169" s="917">
        <f>VLOOKUP($A169,'Tech Litons'!$A:$I,9,FALSE)</f>
        <v>240</v>
      </c>
      <c r="I169" s="917" t="str">
        <f>VLOOKUP($A169,'Tech Litons'!$A:$C,3,0)</f>
        <v>BJ PTS</v>
      </c>
      <c r="J169" s="918" t="str">
        <f t="shared" si="12"/>
        <v>5914BJ PTS</v>
      </c>
      <c r="K169" s="919">
        <v>1</v>
      </c>
      <c r="L169" s="920">
        <f t="shared" si="13"/>
        <v>33840</v>
      </c>
      <c r="M169" s="920">
        <f t="shared" si="14"/>
        <v>128.05055999999999</v>
      </c>
      <c r="N169" s="920">
        <f t="shared" si="15"/>
        <v>141</v>
      </c>
      <c r="O169" s="918" t="str">
        <f t="shared" si="16"/>
        <v>Jan</v>
      </c>
      <c r="P169" s="921">
        <f t="shared" si="17"/>
        <v>2</v>
      </c>
    </row>
    <row r="170" spans="1:16" ht="15" hidden="1" customHeight="1">
      <c r="A170" s="839">
        <v>68867744</v>
      </c>
      <c r="B170" s="839">
        <v>2904</v>
      </c>
      <c r="C170" s="906">
        <v>92</v>
      </c>
      <c r="D170" s="907">
        <v>46029</v>
      </c>
      <c r="E170" s="839" t="s">
        <v>306</v>
      </c>
      <c r="F170" s="839" t="s">
        <v>275</v>
      </c>
      <c r="G170" s="916">
        <f>VLOOKUP($A170,'Tech Litons'!$A:$I,8,FALSE)</f>
        <v>3.552E-3</v>
      </c>
      <c r="H170" s="917">
        <f>VLOOKUP($A170,'Tech Litons'!$A:$I,9,FALSE)</f>
        <v>255</v>
      </c>
      <c r="I170" s="917" t="str">
        <f>VLOOKUP($A170,'Tech Litons'!$A:$C,3,0)</f>
        <v>Talenti</v>
      </c>
      <c r="J170" s="918" t="str">
        <f t="shared" si="12"/>
        <v>2904Talenti</v>
      </c>
      <c r="K170" s="919">
        <v>1</v>
      </c>
      <c r="L170" s="920">
        <f t="shared" si="13"/>
        <v>92</v>
      </c>
      <c r="M170" s="920">
        <f t="shared" si="14"/>
        <v>0.32678400000000002</v>
      </c>
      <c r="N170" s="920">
        <f t="shared" si="15"/>
        <v>0.36078431372549019</v>
      </c>
      <c r="O170" s="918" t="str">
        <f t="shared" si="16"/>
        <v>Jan</v>
      </c>
      <c r="P170" s="921">
        <f t="shared" si="17"/>
        <v>2</v>
      </c>
    </row>
    <row r="171" spans="1:16" ht="15" hidden="1" customHeight="1">
      <c r="A171" s="839">
        <v>69629468</v>
      </c>
      <c r="B171" s="839">
        <v>2904</v>
      </c>
      <c r="C171" s="906">
        <v>186</v>
      </c>
      <c r="D171" s="907">
        <v>46029</v>
      </c>
      <c r="E171" s="839" t="s">
        <v>291</v>
      </c>
      <c r="F171" s="839" t="s">
        <v>226</v>
      </c>
      <c r="G171" s="916">
        <f>VLOOKUP($A171,'Tech Litons'!$A:$I,8,FALSE)</f>
        <v>5.2680000000000001E-3</v>
      </c>
      <c r="H171" s="917">
        <f>VLOOKUP($A171,'Tech Litons'!$A:$I,9,FALSE)</f>
        <v>130</v>
      </c>
      <c r="I171" s="917" t="str">
        <f>VLOOKUP($A171,'Tech Litons'!$A:$C,3,0)</f>
        <v>PG</v>
      </c>
      <c r="J171" s="918" t="str">
        <f t="shared" si="12"/>
        <v>2904PG</v>
      </c>
      <c r="K171" s="919">
        <v>1</v>
      </c>
      <c r="L171" s="920">
        <f t="shared" si="13"/>
        <v>186</v>
      </c>
      <c r="M171" s="920">
        <f t="shared" si="14"/>
        <v>0.97984800000000005</v>
      </c>
      <c r="N171" s="920">
        <f t="shared" si="15"/>
        <v>1.4307692307692308</v>
      </c>
      <c r="O171" s="918" t="str">
        <f t="shared" si="16"/>
        <v>Jan</v>
      </c>
      <c r="P171" s="921">
        <f t="shared" si="17"/>
        <v>2</v>
      </c>
    </row>
    <row r="172" spans="1:16" ht="15" hidden="1" customHeight="1">
      <c r="A172" s="839">
        <v>69629468</v>
      </c>
      <c r="B172" s="839">
        <v>2904</v>
      </c>
      <c r="C172" s="906">
        <v>451</v>
      </c>
      <c r="D172" s="907">
        <v>46029</v>
      </c>
      <c r="E172" s="839" t="s">
        <v>291</v>
      </c>
      <c r="F172" s="839" t="s">
        <v>226</v>
      </c>
      <c r="G172" s="916">
        <f>VLOOKUP($A172,'Tech Litons'!$A:$I,8,FALSE)</f>
        <v>5.2680000000000001E-3</v>
      </c>
      <c r="H172" s="917">
        <f>VLOOKUP($A172,'Tech Litons'!$A:$I,9,FALSE)</f>
        <v>130</v>
      </c>
      <c r="I172" s="917" t="str">
        <f>VLOOKUP($A172,'Tech Litons'!$A:$C,3,0)</f>
        <v>PG</v>
      </c>
      <c r="J172" s="918" t="str">
        <f t="shared" si="12"/>
        <v>2904PG</v>
      </c>
      <c r="K172" s="919">
        <v>1</v>
      </c>
      <c r="L172" s="920">
        <f t="shared" si="13"/>
        <v>451</v>
      </c>
      <c r="M172" s="920">
        <f t="shared" si="14"/>
        <v>2.3758680000000001</v>
      </c>
      <c r="N172" s="920">
        <f t="shared" si="15"/>
        <v>3.4692307692307693</v>
      </c>
      <c r="O172" s="918" t="str">
        <f t="shared" si="16"/>
        <v>Jan</v>
      </c>
      <c r="P172" s="921">
        <f t="shared" si="17"/>
        <v>2</v>
      </c>
    </row>
    <row r="173" spans="1:16" ht="15" hidden="1" customHeight="1">
      <c r="A173" s="839">
        <v>68746232</v>
      </c>
      <c r="B173" s="839">
        <v>2904</v>
      </c>
      <c r="C173" s="906">
        <v>463</v>
      </c>
      <c r="D173" s="907">
        <v>46029</v>
      </c>
      <c r="E173" s="839" t="s">
        <v>508</v>
      </c>
      <c r="F173" s="839" t="s">
        <v>243</v>
      </c>
      <c r="G173" s="916">
        <f>VLOOKUP($A173,'Tech Litons'!$A:$I,8,FALSE)</f>
        <v>8.5199999999999998E-3</v>
      </c>
      <c r="H173" s="917">
        <f>VLOOKUP($A173,'Tech Litons'!$A:$I,9,FALSE)</f>
        <v>132</v>
      </c>
      <c r="I173" s="917" t="str">
        <f>VLOOKUP($A173,'Tech Litons'!$A:$C,3,0)</f>
        <v>EDF</v>
      </c>
      <c r="J173" s="918" t="str">
        <f t="shared" si="12"/>
        <v>2904EDF</v>
      </c>
      <c r="K173" s="919">
        <v>1</v>
      </c>
      <c r="L173" s="920">
        <f t="shared" si="13"/>
        <v>463</v>
      </c>
      <c r="M173" s="920">
        <f t="shared" si="14"/>
        <v>3.94476</v>
      </c>
      <c r="N173" s="920">
        <f t="shared" si="15"/>
        <v>3.5075757575757578</v>
      </c>
      <c r="O173" s="918" t="str">
        <f t="shared" si="16"/>
        <v>Jan</v>
      </c>
      <c r="P173" s="921">
        <f t="shared" si="17"/>
        <v>2</v>
      </c>
    </row>
    <row r="174" spans="1:16" ht="15" hidden="1" customHeight="1">
      <c r="A174" s="839">
        <v>68741742</v>
      </c>
      <c r="B174" s="839">
        <v>2904</v>
      </c>
      <c r="C174" s="906">
        <v>558</v>
      </c>
      <c r="D174" s="907">
        <v>46029</v>
      </c>
      <c r="E174" s="839" t="s">
        <v>288</v>
      </c>
      <c r="F174" s="839" t="s">
        <v>295</v>
      </c>
      <c r="G174" s="916">
        <f>VLOOKUP($A174,'Tech Litons'!$A:$I,8,FALSE)</f>
        <v>4.2560000000000002E-3</v>
      </c>
      <c r="H174" s="917">
        <f>VLOOKUP($A174,'Tech Litons'!$A:$I,9,FALSE)</f>
        <v>154</v>
      </c>
      <c r="I174" s="917" t="str">
        <f>VLOOKUP($A174,'Tech Litons'!$A:$C,3,0)</f>
        <v>MBG</v>
      </c>
      <c r="J174" s="918" t="str">
        <f t="shared" si="12"/>
        <v>2904MBG</v>
      </c>
      <c r="K174" s="919">
        <v>1</v>
      </c>
      <c r="L174" s="920">
        <f t="shared" si="13"/>
        <v>558</v>
      </c>
      <c r="M174" s="920">
        <f t="shared" si="14"/>
        <v>2.3748480000000001</v>
      </c>
      <c r="N174" s="920">
        <f t="shared" si="15"/>
        <v>3.6233766233766236</v>
      </c>
      <c r="O174" s="918" t="str">
        <f t="shared" si="16"/>
        <v>Jan</v>
      </c>
      <c r="P174" s="921">
        <f t="shared" si="17"/>
        <v>2</v>
      </c>
    </row>
    <row r="175" spans="1:16" ht="15" hidden="1" customHeight="1">
      <c r="A175" s="839">
        <v>64341106</v>
      </c>
      <c r="B175" s="839">
        <v>2904</v>
      </c>
      <c r="C175" s="906">
        <v>910</v>
      </c>
      <c r="D175" s="907">
        <v>46029</v>
      </c>
      <c r="E175" s="839" t="s">
        <v>293</v>
      </c>
      <c r="F175" s="839" t="s">
        <v>227</v>
      </c>
      <c r="G175" s="916">
        <f>VLOOKUP($A175,'Tech Litons'!$A:$I,8,FALSE)</f>
        <v>5.2680000000000001E-3</v>
      </c>
      <c r="H175" s="917">
        <f>VLOOKUP($A175,'Tech Litons'!$A:$I,9,FALSE)</f>
        <v>130</v>
      </c>
      <c r="I175" s="917" t="str">
        <f>VLOOKUP($A175,'Tech Litons'!$A:$C,3,0)</f>
        <v>PG</v>
      </c>
      <c r="J175" s="918" t="str">
        <f t="shared" si="12"/>
        <v>2904PG</v>
      </c>
      <c r="K175" s="919">
        <v>1</v>
      </c>
      <c r="L175" s="920">
        <f t="shared" si="13"/>
        <v>910</v>
      </c>
      <c r="M175" s="920">
        <f t="shared" si="14"/>
        <v>4.7938799999999997</v>
      </c>
      <c r="N175" s="920">
        <f t="shared" si="15"/>
        <v>7</v>
      </c>
      <c r="O175" s="918" t="str">
        <f t="shared" si="16"/>
        <v>Jan</v>
      </c>
      <c r="P175" s="921">
        <f t="shared" si="17"/>
        <v>2</v>
      </c>
    </row>
    <row r="176" spans="1:16" ht="15" hidden="1" customHeight="1">
      <c r="A176" s="839">
        <v>64341106</v>
      </c>
      <c r="B176" s="839">
        <v>2904</v>
      </c>
      <c r="C176" s="906">
        <v>944</v>
      </c>
      <c r="D176" s="907">
        <v>46029</v>
      </c>
      <c r="E176" s="839" t="s">
        <v>293</v>
      </c>
      <c r="F176" s="839" t="s">
        <v>227</v>
      </c>
      <c r="G176" s="916">
        <f>VLOOKUP($A176,'Tech Litons'!$A:$I,8,FALSE)</f>
        <v>5.2680000000000001E-3</v>
      </c>
      <c r="H176" s="917">
        <f>VLOOKUP($A176,'Tech Litons'!$A:$I,9,FALSE)</f>
        <v>130</v>
      </c>
      <c r="I176" s="917" t="str">
        <f>VLOOKUP($A176,'Tech Litons'!$A:$C,3,0)</f>
        <v>PG</v>
      </c>
      <c r="J176" s="918" t="str">
        <f t="shared" si="12"/>
        <v>2904PG</v>
      </c>
      <c r="K176" s="919">
        <v>1</v>
      </c>
      <c r="L176" s="920">
        <f t="shared" si="13"/>
        <v>944</v>
      </c>
      <c r="M176" s="920">
        <f t="shared" si="14"/>
        <v>4.9729920000000005</v>
      </c>
      <c r="N176" s="920">
        <f t="shared" si="15"/>
        <v>7.2615384615384615</v>
      </c>
      <c r="O176" s="918" t="str">
        <f t="shared" si="16"/>
        <v>Jan</v>
      </c>
      <c r="P176" s="921">
        <f t="shared" si="17"/>
        <v>2</v>
      </c>
    </row>
    <row r="177" spans="1:16" ht="15" hidden="1" customHeight="1">
      <c r="A177" s="839">
        <v>68741742</v>
      </c>
      <c r="B177" s="839">
        <v>2904</v>
      </c>
      <c r="C177" s="906">
        <v>950</v>
      </c>
      <c r="D177" s="907">
        <v>46029</v>
      </c>
      <c r="E177" s="839" t="s">
        <v>288</v>
      </c>
      <c r="F177" s="839" t="s">
        <v>295</v>
      </c>
      <c r="G177" s="916">
        <f>VLOOKUP($A177,'Tech Litons'!$A:$I,8,FALSE)</f>
        <v>4.2560000000000002E-3</v>
      </c>
      <c r="H177" s="917">
        <f>VLOOKUP($A177,'Tech Litons'!$A:$I,9,FALSE)</f>
        <v>154</v>
      </c>
      <c r="I177" s="917" t="str">
        <f>VLOOKUP($A177,'Tech Litons'!$A:$C,3,0)</f>
        <v>MBG</v>
      </c>
      <c r="J177" s="918" t="str">
        <f t="shared" si="12"/>
        <v>2904MBG</v>
      </c>
      <c r="K177" s="919">
        <v>1</v>
      </c>
      <c r="L177" s="920">
        <f t="shared" si="13"/>
        <v>950</v>
      </c>
      <c r="M177" s="920">
        <f t="shared" si="14"/>
        <v>4.0432000000000006</v>
      </c>
      <c r="N177" s="920">
        <f t="shared" si="15"/>
        <v>6.1688311688311686</v>
      </c>
      <c r="O177" s="918" t="str">
        <f t="shared" si="16"/>
        <v>Jan</v>
      </c>
      <c r="P177" s="921">
        <f t="shared" si="17"/>
        <v>2</v>
      </c>
    </row>
    <row r="178" spans="1:16" ht="15" hidden="1" customHeight="1">
      <c r="A178" s="839">
        <v>67826412</v>
      </c>
      <c r="B178" s="839">
        <v>2904</v>
      </c>
      <c r="C178" s="906">
        <v>960</v>
      </c>
      <c r="D178" s="907">
        <v>46029</v>
      </c>
      <c r="E178" s="839" t="s">
        <v>312</v>
      </c>
      <c r="F178" s="839" t="s">
        <v>299</v>
      </c>
      <c r="G178" s="916">
        <f>VLOOKUP($A178,'Tech Litons'!$A:$I,8,FALSE)</f>
        <v>3.7853439999999999E-3</v>
      </c>
      <c r="H178" s="917">
        <f>VLOOKUP($A178,'Tech Litons'!$A:$I,9,FALSE)</f>
        <v>240</v>
      </c>
      <c r="I178" s="917" t="str">
        <f>VLOOKUP($A178,'Tech Litons'!$A:$C,3,0)</f>
        <v>BJ PTS</v>
      </c>
      <c r="J178" s="918" t="str">
        <f t="shared" si="12"/>
        <v>2904BJ PTS</v>
      </c>
      <c r="K178" s="919">
        <v>1</v>
      </c>
      <c r="L178" s="920">
        <f t="shared" si="13"/>
        <v>960</v>
      </c>
      <c r="M178" s="920">
        <f t="shared" si="14"/>
        <v>3.6339302399999998</v>
      </c>
      <c r="N178" s="920">
        <f t="shared" si="15"/>
        <v>4</v>
      </c>
      <c r="O178" s="918" t="str">
        <f t="shared" si="16"/>
        <v>Jan</v>
      </c>
      <c r="P178" s="921">
        <f t="shared" si="17"/>
        <v>2</v>
      </c>
    </row>
    <row r="179" spans="1:16" ht="15" hidden="1" customHeight="1">
      <c r="A179" s="839">
        <v>68921994</v>
      </c>
      <c r="B179" s="839">
        <v>1352</v>
      </c>
      <c r="C179" s="906">
        <v>1056</v>
      </c>
      <c r="D179" s="907">
        <v>46029</v>
      </c>
      <c r="E179" s="839" t="s">
        <v>267</v>
      </c>
      <c r="F179" s="839" t="s">
        <v>241</v>
      </c>
      <c r="G179" s="916">
        <f>VLOOKUP($A179,'Tech Litons'!$A:$I,8,FALSE)</f>
        <v>9.5760000000000012E-3</v>
      </c>
      <c r="H179" s="917">
        <f>VLOOKUP($A179,'Tech Litons'!$A:$I,9,FALSE)</f>
        <v>132</v>
      </c>
      <c r="I179" s="917" t="str">
        <f>VLOOKUP($A179,'Tech Litons'!$A:$C,3,0)</f>
        <v>EDF</v>
      </c>
      <c r="J179" s="918" t="str">
        <f t="shared" si="12"/>
        <v>1352EDF</v>
      </c>
      <c r="K179" s="919">
        <v>1</v>
      </c>
      <c r="L179" s="920">
        <f t="shared" si="13"/>
        <v>1056</v>
      </c>
      <c r="M179" s="920">
        <f t="shared" si="14"/>
        <v>10.112256000000002</v>
      </c>
      <c r="N179" s="920">
        <f t="shared" si="15"/>
        <v>8</v>
      </c>
      <c r="O179" s="918" t="str">
        <f t="shared" si="16"/>
        <v>Jan</v>
      </c>
      <c r="P179" s="921">
        <f t="shared" si="17"/>
        <v>2</v>
      </c>
    </row>
    <row r="180" spans="1:16" ht="15" hidden="1" customHeight="1">
      <c r="A180" s="839">
        <v>68741742</v>
      </c>
      <c r="B180" s="839">
        <v>1352</v>
      </c>
      <c r="C180" s="906">
        <v>1078</v>
      </c>
      <c r="D180" s="907">
        <v>46029</v>
      </c>
      <c r="E180" s="839" t="s">
        <v>288</v>
      </c>
      <c r="F180" s="839" t="s">
        <v>289</v>
      </c>
      <c r="G180" s="916">
        <f>VLOOKUP($A180,'Tech Litons'!$A:$I,8,FALSE)</f>
        <v>4.2560000000000002E-3</v>
      </c>
      <c r="H180" s="917">
        <f>VLOOKUP($A180,'Tech Litons'!$A:$I,9,FALSE)</f>
        <v>154</v>
      </c>
      <c r="I180" s="917" t="str">
        <f>VLOOKUP($A180,'Tech Litons'!$A:$C,3,0)</f>
        <v>MBG</v>
      </c>
      <c r="J180" s="918" t="str">
        <f t="shared" si="12"/>
        <v>1352MBG</v>
      </c>
      <c r="K180" s="919">
        <v>1</v>
      </c>
      <c r="L180" s="920">
        <f t="shared" si="13"/>
        <v>1078</v>
      </c>
      <c r="M180" s="920">
        <f t="shared" si="14"/>
        <v>4.587968</v>
      </c>
      <c r="N180" s="920">
        <f t="shared" si="15"/>
        <v>7</v>
      </c>
      <c r="O180" s="918" t="str">
        <f t="shared" si="16"/>
        <v>Jan</v>
      </c>
      <c r="P180" s="921">
        <f t="shared" si="17"/>
        <v>2</v>
      </c>
    </row>
    <row r="181" spans="1:16" ht="15" hidden="1" customHeight="1">
      <c r="A181" s="839">
        <v>69629468</v>
      </c>
      <c r="B181" s="839">
        <v>2904</v>
      </c>
      <c r="C181" s="906">
        <v>1094</v>
      </c>
      <c r="D181" s="907">
        <v>46029</v>
      </c>
      <c r="E181" s="839" t="s">
        <v>291</v>
      </c>
      <c r="F181" s="839" t="s">
        <v>226</v>
      </c>
      <c r="G181" s="916">
        <f>VLOOKUP($A181,'Tech Litons'!$A:$I,8,FALSE)</f>
        <v>5.2680000000000001E-3</v>
      </c>
      <c r="H181" s="917">
        <f>VLOOKUP($A181,'Tech Litons'!$A:$I,9,FALSE)</f>
        <v>130</v>
      </c>
      <c r="I181" s="917" t="str">
        <f>VLOOKUP($A181,'Tech Litons'!$A:$C,3,0)</f>
        <v>PG</v>
      </c>
      <c r="J181" s="918" t="str">
        <f t="shared" si="12"/>
        <v>2904PG</v>
      </c>
      <c r="K181" s="919">
        <v>1</v>
      </c>
      <c r="L181" s="920">
        <f t="shared" si="13"/>
        <v>1094</v>
      </c>
      <c r="M181" s="920">
        <f t="shared" si="14"/>
        <v>5.7631920000000001</v>
      </c>
      <c r="N181" s="920">
        <f t="shared" si="15"/>
        <v>8.4153846153846157</v>
      </c>
      <c r="O181" s="918" t="str">
        <f t="shared" si="16"/>
        <v>Jan</v>
      </c>
      <c r="P181" s="921">
        <f t="shared" si="17"/>
        <v>2</v>
      </c>
    </row>
    <row r="182" spans="1:16" ht="15" hidden="1" customHeight="1">
      <c r="A182" s="839">
        <v>68746232</v>
      </c>
      <c r="B182" s="839">
        <v>2904</v>
      </c>
      <c r="C182" s="906">
        <v>1188</v>
      </c>
      <c r="D182" s="907">
        <v>46029</v>
      </c>
      <c r="E182" s="839" t="s">
        <v>508</v>
      </c>
      <c r="F182" s="839" t="s">
        <v>243</v>
      </c>
      <c r="G182" s="916">
        <f>VLOOKUP($A182,'Tech Litons'!$A:$I,8,FALSE)</f>
        <v>8.5199999999999998E-3</v>
      </c>
      <c r="H182" s="917">
        <f>VLOOKUP($A182,'Tech Litons'!$A:$I,9,FALSE)</f>
        <v>132</v>
      </c>
      <c r="I182" s="917" t="str">
        <f>VLOOKUP($A182,'Tech Litons'!$A:$C,3,0)</f>
        <v>EDF</v>
      </c>
      <c r="J182" s="918" t="str">
        <f t="shared" si="12"/>
        <v>2904EDF</v>
      </c>
      <c r="K182" s="919">
        <v>1</v>
      </c>
      <c r="L182" s="920">
        <f t="shared" si="13"/>
        <v>1188</v>
      </c>
      <c r="M182" s="920">
        <f t="shared" si="14"/>
        <v>10.12176</v>
      </c>
      <c r="N182" s="920">
        <f t="shared" si="15"/>
        <v>9</v>
      </c>
      <c r="O182" s="918" t="str">
        <f t="shared" si="16"/>
        <v>Jan</v>
      </c>
      <c r="P182" s="921">
        <f t="shared" si="17"/>
        <v>2</v>
      </c>
    </row>
    <row r="183" spans="1:16" ht="15" hidden="1" customHeight="1">
      <c r="A183" s="839">
        <v>68921994</v>
      </c>
      <c r="B183" s="839">
        <v>1352</v>
      </c>
      <c r="C183" s="906">
        <v>1209</v>
      </c>
      <c r="D183" s="907">
        <v>46029</v>
      </c>
      <c r="E183" s="839" t="s">
        <v>267</v>
      </c>
      <c r="F183" s="839" t="s">
        <v>241</v>
      </c>
      <c r="G183" s="916">
        <f>VLOOKUP($A183,'Tech Litons'!$A:$I,8,FALSE)</f>
        <v>9.5760000000000012E-3</v>
      </c>
      <c r="H183" s="917">
        <f>VLOOKUP($A183,'Tech Litons'!$A:$I,9,FALSE)</f>
        <v>132</v>
      </c>
      <c r="I183" s="917" t="str">
        <f>VLOOKUP($A183,'Tech Litons'!$A:$C,3,0)</f>
        <v>EDF</v>
      </c>
      <c r="J183" s="918" t="str">
        <f t="shared" si="12"/>
        <v>1352EDF</v>
      </c>
      <c r="K183" s="919">
        <v>1</v>
      </c>
      <c r="L183" s="920">
        <f t="shared" si="13"/>
        <v>1209</v>
      </c>
      <c r="M183" s="920">
        <f t="shared" si="14"/>
        <v>11.577384000000002</v>
      </c>
      <c r="N183" s="920">
        <f t="shared" si="15"/>
        <v>9.1590909090909083</v>
      </c>
      <c r="O183" s="918" t="str">
        <f t="shared" si="16"/>
        <v>Jan</v>
      </c>
      <c r="P183" s="921">
        <f t="shared" si="17"/>
        <v>2</v>
      </c>
    </row>
    <row r="184" spans="1:16" ht="15" hidden="1" customHeight="1">
      <c r="A184" s="839">
        <v>68821735</v>
      </c>
      <c r="B184" s="839">
        <v>2904</v>
      </c>
      <c r="C184" s="906">
        <v>1408</v>
      </c>
      <c r="D184" s="907">
        <v>46029</v>
      </c>
      <c r="E184" s="839" t="s">
        <v>318</v>
      </c>
      <c r="F184" s="839" t="s">
        <v>271</v>
      </c>
      <c r="G184" s="916">
        <f>VLOOKUP($A184,'Tech Litons'!$A:$I,8,FALSE)</f>
        <v>8.5199999999999998E-3</v>
      </c>
      <c r="H184" s="917">
        <f>VLOOKUP($A184,'Tech Litons'!$A:$I,9,FALSE)</f>
        <v>176</v>
      </c>
      <c r="I184" s="917" t="str">
        <f>VLOOKUP($A184,'Tech Litons'!$A:$C,3,0)</f>
        <v>48oz</v>
      </c>
      <c r="J184" s="918" t="str">
        <f t="shared" si="12"/>
        <v>290448oz</v>
      </c>
      <c r="K184" s="919">
        <v>1</v>
      </c>
      <c r="L184" s="920">
        <f t="shared" si="13"/>
        <v>1408</v>
      </c>
      <c r="M184" s="920">
        <f t="shared" si="14"/>
        <v>11.99616</v>
      </c>
      <c r="N184" s="920">
        <f t="shared" si="15"/>
        <v>8</v>
      </c>
      <c r="O184" s="918" t="str">
        <f t="shared" si="16"/>
        <v>Jan</v>
      </c>
      <c r="P184" s="921">
        <f t="shared" si="17"/>
        <v>2</v>
      </c>
    </row>
    <row r="185" spans="1:16" ht="15" hidden="1" customHeight="1">
      <c r="A185" s="839">
        <v>64979407</v>
      </c>
      <c r="B185" s="839">
        <v>2904</v>
      </c>
      <c r="C185" s="906">
        <v>1528</v>
      </c>
      <c r="D185" s="907">
        <v>46029</v>
      </c>
      <c r="E185" s="839" t="s">
        <v>284</v>
      </c>
      <c r="F185" s="839" t="s">
        <v>231</v>
      </c>
      <c r="G185" s="916">
        <f>VLOOKUP($A185,'Tech Litons'!$A:$I,8,FALSE)</f>
        <v>4.2560000000000002E-3</v>
      </c>
      <c r="H185" s="917">
        <f>VLOOKUP($A185,'Tech Litons'!$A:$I,9,FALSE)</f>
        <v>143</v>
      </c>
      <c r="I185" s="917" t="str">
        <f>VLOOKUP($A185,'Tech Litons'!$A:$C,3,0)</f>
        <v>MG Sticks</v>
      </c>
      <c r="J185" s="918" t="str">
        <f t="shared" si="12"/>
        <v>2904MG Sticks</v>
      </c>
      <c r="K185" s="919">
        <v>1</v>
      </c>
      <c r="L185" s="920">
        <f t="shared" si="13"/>
        <v>1528</v>
      </c>
      <c r="M185" s="920">
        <f t="shared" si="14"/>
        <v>6.5031680000000005</v>
      </c>
      <c r="N185" s="920">
        <f t="shared" si="15"/>
        <v>10.685314685314685</v>
      </c>
      <c r="O185" s="918" t="str">
        <f t="shared" si="16"/>
        <v>Jan</v>
      </c>
      <c r="P185" s="921">
        <f t="shared" si="17"/>
        <v>2</v>
      </c>
    </row>
    <row r="186" spans="1:16" ht="15" hidden="1" customHeight="1">
      <c r="A186" s="839">
        <v>69629468</v>
      </c>
      <c r="B186" s="839">
        <v>1352</v>
      </c>
      <c r="C186" s="906">
        <v>1747</v>
      </c>
      <c r="D186" s="907">
        <v>46029</v>
      </c>
      <c r="E186" s="839" t="s">
        <v>291</v>
      </c>
      <c r="F186" s="839" t="s">
        <v>222</v>
      </c>
      <c r="G186" s="916">
        <f>VLOOKUP($A186,'Tech Litons'!$A:$I,8,FALSE)</f>
        <v>5.2680000000000001E-3</v>
      </c>
      <c r="H186" s="917">
        <f>VLOOKUP($A186,'Tech Litons'!$A:$I,9,FALSE)</f>
        <v>130</v>
      </c>
      <c r="I186" s="917" t="str">
        <f>VLOOKUP($A186,'Tech Litons'!$A:$C,3,0)</f>
        <v>PG</v>
      </c>
      <c r="J186" s="918" t="str">
        <f t="shared" si="12"/>
        <v>1352PG</v>
      </c>
      <c r="K186" s="919">
        <v>1</v>
      </c>
      <c r="L186" s="920">
        <f t="shared" si="13"/>
        <v>1747</v>
      </c>
      <c r="M186" s="920">
        <f t="shared" si="14"/>
        <v>9.2031960000000002</v>
      </c>
      <c r="N186" s="920">
        <f t="shared" si="15"/>
        <v>13.438461538461539</v>
      </c>
      <c r="O186" s="918" t="str">
        <f t="shared" si="16"/>
        <v>Jan</v>
      </c>
      <c r="P186" s="921">
        <f t="shared" si="17"/>
        <v>2</v>
      </c>
    </row>
    <row r="187" spans="1:16" ht="15" hidden="1" customHeight="1">
      <c r="A187" s="839">
        <v>68649095</v>
      </c>
      <c r="B187" s="839">
        <v>2904</v>
      </c>
      <c r="C187" s="906">
        <v>1815</v>
      </c>
      <c r="D187" s="907">
        <v>46029</v>
      </c>
      <c r="E187" s="839" t="s">
        <v>294</v>
      </c>
      <c r="F187" s="839" t="s">
        <v>40</v>
      </c>
      <c r="G187" s="916">
        <f>VLOOKUP($A187,'Tech Litons'!$A:$I,8,FALSE)</f>
        <v>3.5999999999999999E-3</v>
      </c>
      <c r="H187" s="917">
        <f>VLOOKUP($A187,'Tech Litons'!$A:$I,9,FALSE)</f>
        <v>240</v>
      </c>
      <c r="I187" s="917" t="str">
        <f>VLOOKUP($A187,'Tech Litons'!$A:$C,3,0)</f>
        <v>Topped</v>
      </c>
      <c r="J187" s="918" t="str">
        <f t="shared" si="12"/>
        <v>2904Topped</v>
      </c>
      <c r="K187" s="919">
        <v>1</v>
      </c>
      <c r="L187" s="920">
        <f t="shared" si="13"/>
        <v>1815</v>
      </c>
      <c r="M187" s="920">
        <f t="shared" si="14"/>
        <v>6.5339999999999998</v>
      </c>
      <c r="N187" s="920">
        <f t="shared" si="15"/>
        <v>7.5625</v>
      </c>
      <c r="O187" s="918" t="str">
        <f t="shared" si="16"/>
        <v>Jan</v>
      </c>
      <c r="P187" s="921">
        <f t="shared" si="17"/>
        <v>2</v>
      </c>
    </row>
    <row r="188" spans="1:16" ht="15" hidden="1" customHeight="1">
      <c r="A188" s="839">
        <v>64776954</v>
      </c>
      <c r="B188" s="839">
        <v>1352</v>
      </c>
      <c r="C188" s="906">
        <v>1820</v>
      </c>
      <c r="D188" s="907">
        <v>46029</v>
      </c>
      <c r="E188" s="839" t="s">
        <v>285</v>
      </c>
      <c r="F188" s="839" t="s">
        <v>224</v>
      </c>
      <c r="G188" s="916">
        <f>VLOOKUP($A188,'Tech Litons'!$A:$I,8,FALSE)</f>
        <v>3.8340000000000002E-3</v>
      </c>
      <c r="H188" s="917">
        <f>VLOOKUP($A188,'Tech Litons'!$A:$I,9,FALSE)</f>
        <v>130</v>
      </c>
      <c r="I188" s="917" t="str">
        <f>VLOOKUP($A188,'Tech Litons'!$A:$C,3,0)</f>
        <v>pG</v>
      </c>
      <c r="J188" s="918" t="str">
        <f t="shared" si="12"/>
        <v>1352pG</v>
      </c>
      <c r="K188" s="919">
        <v>1</v>
      </c>
      <c r="L188" s="920">
        <f t="shared" si="13"/>
        <v>1820</v>
      </c>
      <c r="M188" s="920">
        <f t="shared" si="14"/>
        <v>6.9778800000000007</v>
      </c>
      <c r="N188" s="920">
        <f t="shared" si="15"/>
        <v>14</v>
      </c>
      <c r="O188" s="918" t="str">
        <f t="shared" si="16"/>
        <v>Jan</v>
      </c>
      <c r="P188" s="921">
        <f t="shared" si="17"/>
        <v>2</v>
      </c>
    </row>
    <row r="189" spans="1:16" ht="15" hidden="1" customHeight="1">
      <c r="A189" s="839">
        <v>69629468</v>
      </c>
      <c r="B189" s="839">
        <v>1352</v>
      </c>
      <c r="C189" s="906">
        <v>1820</v>
      </c>
      <c r="D189" s="907">
        <v>46029</v>
      </c>
      <c r="E189" s="839" t="s">
        <v>291</v>
      </c>
      <c r="F189" s="839" t="s">
        <v>222</v>
      </c>
      <c r="G189" s="916">
        <f>VLOOKUP($A189,'Tech Litons'!$A:$I,8,FALSE)</f>
        <v>5.2680000000000001E-3</v>
      </c>
      <c r="H189" s="917">
        <f>VLOOKUP($A189,'Tech Litons'!$A:$I,9,FALSE)</f>
        <v>130</v>
      </c>
      <c r="I189" s="917" t="str">
        <f>VLOOKUP($A189,'Tech Litons'!$A:$C,3,0)</f>
        <v>PG</v>
      </c>
      <c r="J189" s="918" t="str">
        <f t="shared" si="12"/>
        <v>1352PG</v>
      </c>
      <c r="K189" s="919">
        <v>1</v>
      </c>
      <c r="L189" s="920">
        <f t="shared" si="13"/>
        <v>1820</v>
      </c>
      <c r="M189" s="920">
        <f t="shared" si="14"/>
        <v>9.5877599999999994</v>
      </c>
      <c r="N189" s="920">
        <f t="shared" si="15"/>
        <v>14</v>
      </c>
      <c r="O189" s="918" t="str">
        <f t="shared" si="16"/>
        <v>Jan</v>
      </c>
      <c r="P189" s="921">
        <f t="shared" si="17"/>
        <v>2</v>
      </c>
    </row>
    <row r="190" spans="1:16" ht="15" hidden="1" customHeight="1">
      <c r="A190" s="839">
        <v>69725082</v>
      </c>
      <c r="B190" s="839">
        <v>1352</v>
      </c>
      <c r="C190" s="906">
        <v>1820</v>
      </c>
      <c r="D190" s="907">
        <v>46029</v>
      </c>
      <c r="E190" s="839" t="s">
        <v>292</v>
      </c>
      <c r="F190" s="839" t="s">
        <v>225</v>
      </c>
      <c r="G190" s="916">
        <f>VLOOKUP($A190,'Tech Litons'!$A:$I,8,FALSE)</f>
        <v>5.2680000000000001E-3</v>
      </c>
      <c r="H190" s="917">
        <f>VLOOKUP($A190,'Tech Litons'!$A:$I,9,FALSE)</f>
        <v>130</v>
      </c>
      <c r="I190" s="917" t="str">
        <f>VLOOKUP($A190,'Tech Litons'!$A:$C,3,0)</f>
        <v>PG</v>
      </c>
      <c r="J190" s="918" t="str">
        <f t="shared" si="12"/>
        <v>1352PG</v>
      </c>
      <c r="K190" s="919">
        <v>1</v>
      </c>
      <c r="L190" s="920">
        <f t="shared" si="13"/>
        <v>1820</v>
      </c>
      <c r="M190" s="920">
        <f t="shared" si="14"/>
        <v>9.5877599999999994</v>
      </c>
      <c r="N190" s="920">
        <f t="shared" si="15"/>
        <v>14</v>
      </c>
      <c r="O190" s="918" t="str">
        <f t="shared" si="16"/>
        <v>Jan</v>
      </c>
      <c r="P190" s="921">
        <f t="shared" si="17"/>
        <v>2</v>
      </c>
    </row>
    <row r="191" spans="1:16" ht="15" hidden="1" customHeight="1">
      <c r="A191" s="839">
        <v>68741714</v>
      </c>
      <c r="B191" s="839">
        <v>1352</v>
      </c>
      <c r="C191" s="906">
        <v>2010</v>
      </c>
      <c r="D191" s="907">
        <v>46029</v>
      </c>
      <c r="E191" s="839" t="s">
        <v>286</v>
      </c>
      <c r="F191" s="839" t="s">
        <v>287</v>
      </c>
      <c r="G191" s="916">
        <f>VLOOKUP($A191,'Tech Litons'!$A:$I,8,FALSE)</f>
        <v>2.8319999999999999E-3</v>
      </c>
      <c r="H191" s="917">
        <f>VLOOKUP($A191,'Tech Litons'!$A:$I,9,FALSE)</f>
        <v>225</v>
      </c>
      <c r="I191" s="917" t="str">
        <f>VLOOKUP($A191,'Tech Litons'!$A:$C,3,0)</f>
        <v>MBG</v>
      </c>
      <c r="J191" s="918" t="str">
        <f t="shared" si="12"/>
        <v>1352MBG</v>
      </c>
      <c r="K191" s="919">
        <v>1</v>
      </c>
      <c r="L191" s="920">
        <f t="shared" si="13"/>
        <v>2010</v>
      </c>
      <c r="M191" s="920">
        <f t="shared" si="14"/>
        <v>5.6923199999999996</v>
      </c>
      <c r="N191" s="920">
        <f t="shared" si="15"/>
        <v>8.9333333333333336</v>
      </c>
      <c r="O191" s="918" t="str">
        <f t="shared" si="16"/>
        <v>Jan</v>
      </c>
      <c r="P191" s="921">
        <f t="shared" si="17"/>
        <v>2</v>
      </c>
    </row>
    <row r="192" spans="1:16" ht="15" hidden="1" customHeight="1">
      <c r="A192" s="839">
        <v>64393722</v>
      </c>
      <c r="B192" s="839">
        <v>2904</v>
      </c>
      <c r="C192" s="906">
        <v>2165</v>
      </c>
      <c r="D192" s="907">
        <v>46029</v>
      </c>
      <c r="E192" s="839" t="s">
        <v>282</v>
      </c>
      <c r="F192" s="839" t="s">
        <v>283</v>
      </c>
      <c r="G192" s="916">
        <f>VLOOKUP($A192,'Tech Litons'!$A:$I,8,FALSE)</f>
        <v>2.16E-3</v>
      </c>
      <c r="H192" s="917">
        <f>VLOOKUP($A192,'Tech Litons'!$A:$I,9,FALSE)</f>
        <v>210</v>
      </c>
      <c r="I192" s="917" t="str">
        <f>VLOOKUP($A192,'Tech Litons'!$A:$C,3,0)</f>
        <v>MG Sticks</v>
      </c>
      <c r="J192" s="918" t="str">
        <f t="shared" si="12"/>
        <v>2904MG Sticks</v>
      </c>
      <c r="K192" s="919">
        <v>1</v>
      </c>
      <c r="L192" s="920">
        <f t="shared" si="13"/>
        <v>2165</v>
      </c>
      <c r="M192" s="920">
        <f t="shared" si="14"/>
        <v>4.6764000000000001</v>
      </c>
      <c r="N192" s="920">
        <f t="shared" si="15"/>
        <v>10.30952380952381</v>
      </c>
      <c r="O192" s="918" t="str">
        <f t="shared" si="16"/>
        <v>Jan</v>
      </c>
      <c r="P192" s="921">
        <f t="shared" si="17"/>
        <v>2</v>
      </c>
    </row>
    <row r="193" spans="1:16" ht="15" hidden="1" customHeight="1">
      <c r="A193" s="839">
        <v>68689251</v>
      </c>
      <c r="B193" s="839">
        <v>1352</v>
      </c>
      <c r="C193" s="906">
        <v>2376</v>
      </c>
      <c r="D193" s="907">
        <v>46029</v>
      </c>
      <c r="E193" s="839" t="s">
        <v>262</v>
      </c>
      <c r="F193" s="839" t="s">
        <v>242</v>
      </c>
      <c r="G193" s="916">
        <f>VLOOKUP($A193,'Tech Litons'!$A:$I,8,FALSE)</f>
        <v>9.5760000000000012E-3</v>
      </c>
      <c r="H193" s="917">
        <f>VLOOKUP($A193,'Tech Litons'!$A:$I,9,FALSE)</f>
        <v>132</v>
      </c>
      <c r="I193" s="917" t="str">
        <f>VLOOKUP($A193,'Tech Litons'!$A:$C,3,0)</f>
        <v>EDF</v>
      </c>
      <c r="J193" s="918" t="str">
        <f t="shared" ref="J193:J209" si="18">B193&amp;I193</f>
        <v>1352EDF</v>
      </c>
      <c r="K193" s="919">
        <v>1</v>
      </c>
      <c r="L193" s="920">
        <f t="shared" ref="L193:L209" si="19">C193*$K193</f>
        <v>2376</v>
      </c>
      <c r="M193" s="920">
        <f t="shared" ref="M193:M209" si="20">L193*G193</f>
        <v>22.752576000000001</v>
      </c>
      <c r="N193" s="920">
        <f t="shared" ref="N193:N209" si="21">L193/H193</f>
        <v>18</v>
      </c>
      <c r="O193" s="918" t="str">
        <f t="shared" ref="O193:O209" si="22">TEXT(D193,"MMM")</f>
        <v>Jan</v>
      </c>
      <c r="P193" s="921">
        <f t="shared" ref="P193:P209" si="23">WEEKNUM(D193)</f>
        <v>2</v>
      </c>
    </row>
    <row r="194" spans="1:16" ht="15" hidden="1" customHeight="1">
      <c r="A194" s="839">
        <v>69725082</v>
      </c>
      <c r="B194" s="839">
        <v>1352</v>
      </c>
      <c r="C194" s="906">
        <v>2502</v>
      </c>
      <c r="D194" s="907">
        <v>46029</v>
      </c>
      <c r="E194" s="839" t="s">
        <v>292</v>
      </c>
      <c r="F194" s="839" t="s">
        <v>225</v>
      </c>
      <c r="G194" s="916">
        <f>VLOOKUP($A194,'Tech Litons'!$A:$I,8,FALSE)</f>
        <v>5.2680000000000001E-3</v>
      </c>
      <c r="H194" s="917">
        <f>VLOOKUP($A194,'Tech Litons'!$A:$I,9,FALSE)</f>
        <v>130</v>
      </c>
      <c r="I194" s="917" t="str">
        <f>VLOOKUP($A194,'Tech Litons'!$A:$C,3,0)</f>
        <v>PG</v>
      </c>
      <c r="J194" s="918" t="str">
        <f t="shared" si="18"/>
        <v>1352PG</v>
      </c>
      <c r="K194" s="919">
        <v>1</v>
      </c>
      <c r="L194" s="920">
        <f t="shared" si="19"/>
        <v>2502</v>
      </c>
      <c r="M194" s="920">
        <f t="shared" si="20"/>
        <v>13.180536</v>
      </c>
      <c r="N194" s="920">
        <f t="shared" si="21"/>
        <v>19.246153846153845</v>
      </c>
      <c r="O194" s="918" t="str">
        <f t="shared" si="22"/>
        <v>Jan</v>
      </c>
      <c r="P194" s="921">
        <f t="shared" si="23"/>
        <v>2</v>
      </c>
    </row>
    <row r="195" spans="1:16" ht="15" hidden="1" customHeight="1">
      <c r="A195" s="839">
        <v>68689251</v>
      </c>
      <c r="B195" s="839">
        <v>1352</v>
      </c>
      <c r="C195" s="906">
        <v>2508</v>
      </c>
      <c r="D195" s="907">
        <v>46029</v>
      </c>
      <c r="E195" s="839" t="s">
        <v>262</v>
      </c>
      <c r="F195" s="839" t="s">
        <v>240</v>
      </c>
      <c r="G195" s="916">
        <f>VLOOKUP($A195,'Tech Litons'!$A:$I,8,FALSE)</f>
        <v>9.5760000000000012E-3</v>
      </c>
      <c r="H195" s="917">
        <f>VLOOKUP($A195,'Tech Litons'!$A:$I,9,FALSE)</f>
        <v>132</v>
      </c>
      <c r="I195" s="917" t="str">
        <f>VLOOKUP($A195,'Tech Litons'!$A:$C,3,0)</f>
        <v>EDF</v>
      </c>
      <c r="J195" s="918" t="str">
        <f t="shared" si="18"/>
        <v>1352EDF</v>
      </c>
      <c r="K195" s="919">
        <v>1</v>
      </c>
      <c r="L195" s="920">
        <f t="shared" si="19"/>
        <v>2508</v>
      </c>
      <c r="M195" s="920">
        <f t="shared" si="20"/>
        <v>24.016608000000002</v>
      </c>
      <c r="N195" s="920">
        <f t="shared" si="21"/>
        <v>19</v>
      </c>
      <c r="O195" s="918" t="str">
        <f t="shared" si="22"/>
        <v>Jan</v>
      </c>
      <c r="P195" s="921">
        <f t="shared" si="23"/>
        <v>2</v>
      </c>
    </row>
    <row r="196" spans="1:16" ht="15" hidden="1" customHeight="1">
      <c r="A196" s="839">
        <v>68851104</v>
      </c>
      <c r="B196" s="839">
        <v>2904</v>
      </c>
      <c r="C196" s="906">
        <v>2547</v>
      </c>
      <c r="D196" s="907">
        <v>46029</v>
      </c>
      <c r="E196" s="839" t="s">
        <v>270</v>
      </c>
      <c r="F196" s="839" t="s">
        <v>271</v>
      </c>
      <c r="G196" s="916">
        <f>VLOOKUP($A196,'Tech Litons'!$A:$I,8,FALSE)</f>
        <v>8.5199999999999998E-3</v>
      </c>
      <c r="H196" s="917">
        <f>VLOOKUP($A196,'Tech Litons'!$A:$I,9,FALSE)</f>
        <v>176</v>
      </c>
      <c r="I196" s="917" t="str">
        <f>VLOOKUP($A196,'Tech Litons'!$A:$C,3,0)</f>
        <v>48oz</v>
      </c>
      <c r="J196" s="918" t="str">
        <f t="shared" si="18"/>
        <v>290448oz</v>
      </c>
      <c r="K196" s="919">
        <v>1</v>
      </c>
      <c r="L196" s="920">
        <f t="shared" si="19"/>
        <v>2547</v>
      </c>
      <c r="M196" s="920">
        <f t="shared" si="20"/>
        <v>21.70044</v>
      </c>
      <c r="N196" s="920">
        <f t="shared" si="21"/>
        <v>14.471590909090908</v>
      </c>
      <c r="O196" s="918" t="str">
        <f t="shared" si="22"/>
        <v>Jan</v>
      </c>
      <c r="P196" s="921">
        <f t="shared" si="23"/>
        <v>2</v>
      </c>
    </row>
    <row r="197" spans="1:16" ht="15" hidden="1" customHeight="1">
      <c r="A197" s="839">
        <v>68649095</v>
      </c>
      <c r="B197" s="839">
        <v>2904</v>
      </c>
      <c r="C197" s="906">
        <v>2553</v>
      </c>
      <c r="D197" s="907">
        <v>46029</v>
      </c>
      <c r="E197" s="839" t="s">
        <v>294</v>
      </c>
      <c r="F197" s="839" t="s">
        <v>40</v>
      </c>
      <c r="G197" s="916">
        <f>VLOOKUP($A197,'Tech Litons'!$A:$I,8,FALSE)</f>
        <v>3.5999999999999999E-3</v>
      </c>
      <c r="H197" s="917">
        <f>VLOOKUP($A197,'Tech Litons'!$A:$I,9,FALSE)</f>
        <v>240</v>
      </c>
      <c r="I197" s="917" t="str">
        <f>VLOOKUP($A197,'Tech Litons'!$A:$C,3,0)</f>
        <v>Topped</v>
      </c>
      <c r="J197" s="918" t="str">
        <f t="shared" si="18"/>
        <v>2904Topped</v>
      </c>
      <c r="K197" s="919">
        <v>1</v>
      </c>
      <c r="L197" s="920">
        <f t="shared" si="19"/>
        <v>2553</v>
      </c>
      <c r="M197" s="920">
        <f t="shared" si="20"/>
        <v>9.1907999999999994</v>
      </c>
      <c r="N197" s="920">
        <f t="shared" si="21"/>
        <v>10.637499999999999</v>
      </c>
      <c r="O197" s="918" t="str">
        <f t="shared" si="22"/>
        <v>Jan</v>
      </c>
      <c r="P197" s="921">
        <f t="shared" si="23"/>
        <v>2</v>
      </c>
    </row>
    <row r="198" spans="1:16" ht="15" hidden="1" customHeight="1">
      <c r="A198" s="839">
        <v>64776954</v>
      </c>
      <c r="B198" s="839">
        <v>1352</v>
      </c>
      <c r="C198" s="906">
        <v>2628</v>
      </c>
      <c r="D198" s="907">
        <v>46029</v>
      </c>
      <c r="E198" s="839" t="s">
        <v>285</v>
      </c>
      <c r="F198" s="839" t="s">
        <v>224</v>
      </c>
      <c r="G198" s="916">
        <f>VLOOKUP($A198,'Tech Litons'!$A:$I,8,FALSE)</f>
        <v>3.8340000000000002E-3</v>
      </c>
      <c r="H198" s="917">
        <f>VLOOKUP($A198,'Tech Litons'!$A:$I,9,FALSE)</f>
        <v>130</v>
      </c>
      <c r="I198" s="917" t="str">
        <f>VLOOKUP($A198,'Tech Litons'!$A:$C,3,0)</f>
        <v>pG</v>
      </c>
      <c r="J198" s="918" t="str">
        <f t="shared" si="18"/>
        <v>1352pG</v>
      </c>
      <c r="K198" s="919">
        <v>1</v>
      </c>
      <c r="L198" s="920">
        <f t="shared" si="19"/>
        <v>2628</v>
      </c>
      <c r="M198" s="920">
        <f t="shared" si="20"/>
        <v>10.075752</v>
      </c>
      <c r="N198" s="920">
        <f t="shared" si="21"/>
        <v>20.215384615384615</v>
      </c>
      <c r="O198" s="918" t="str">
        <f t="shared" si="22"/>
        <v>Jan</v>
      </c>
      <c r="P198" s="921">
        <f t="shared" si="23"/>
        <v>2</v>
      </c>
    </row>
    <row r="199" spans="1:16" ht="15" hidden="1" customHeight="1">
      <c r="A199" s="839">
        <v>68741742</v>
      </c>
      <c r="B199" s="839">
        <v>1352</v>
      </c>
      <c r="C199" s="906">
        <v>3251</v>
      </c>
      <c r="D199" s="907">
        <v>46029</v>
      </c>
      <c r="E199" s="839" t="s">
        <v>288</v>
      </c>
      <c r="F199" s="839" t="s">
        <v>289</v>
      </c>
      <c r="G199" s="916">
        <f>VLOOKUP($A199,'Tech Litons'!$A:$I,8,FALSE)</f>
        <v>4.2560000000000002E-3</v>
      </c>
      <c r="H199" s="917">
        <f>VLOOKUP($A199,'Tech Litons'!$A:$I,9,FALSE)</f>
        <v>154</v>
      </c>
      <c r="I199" s="917" t="str">
        <f>VLOOKUP($A199,'Tech Litons'!$A:$C,3,0)</f>
        <v>MBG</v>
      </c>
      <c r="J199" s="918" t="str">
        <f t="shared" si="18"/>
        <v>1352MBG</v>
      </c>
      <c r="K199" s="919">
        <v>1</v>
      </c>
      <c r="L199" s="920">
        <f t="shared" si="19"/>
        <v>3251</v>
      </c>
      <c r="M199" s="920">
        <f t="shared" si="20"/>
        <v>13.836256000000001</v>
      </c>
      <c r="N199" s="920">
        <f t="shared" si="21"/>
        <v>21.11038961038961</v>
      </c>
      <c r="O199" s="918" t="str">
        <f t="shared" si="22"/>
        <v>Jan</v>
      </c>
      <c r="P199" s="921">
        <f t="shared" si="23"/>
        <v>2</v>
      </c>
    </row>
    <row r="200" spans="1:16" ht="15" hidden="1" customHeight="1">
      <c r="A200" s="839">
        <v>68689251</v>
      </c>
      <c r="B200" s="839">
        <v>1352</v>
      </c>
      <c r="C200" s="906">
        <v>3393</v>
      </c>
      <c r="D200" s="907">
        <v>46029</v>
      </c>
      <c r="E200" s="839" t="s">
        <v>262</v>
      </c>
      <c r="F200" s="839" t="s">
        <v>242</v>
      </c>
      <c r="G200" s="916">
        <f>VLOOKUP($A200,'Tech Litons'!$A:$I,8,FALSE)</f>
        <v>9.5760000000000012E-3</v>
      </c>
      <c r="H200" s="917">
        <f>VLOOKUP($A200,'Tech Litons'!$A:$I,9,FALSE)</f>
        <v>132</v>
      </c>
      <c r="I200" s="917" t="str">
        <f>VLOOKUP($A200,'Tech Litons'!$A:$C,3,0)</f>
        <v>EDF</v>
      </c>
      <c r="J200" s="918" t="str">
        <f t="shared" si="18"/>
        <v>1352EDF</v>
      </c>
      <c r="K200" s="919">
        <v>1</v>
      </c>
      <c r="L200" s="920">
        <f t="shared" si="19"/>
        <v>3393</v>
      </c>
      <c r="M200" s="920">
        <f t="shared" si="20"/>
        <v>32.491368000000001</v>
      </c>
      <c r="N200" s="920">
        <f t="shared" si="21"/>
        <v>25.704545454545453</v>
      </c>
      <c r="O200" s="918" t="str">
        <f t="shared" si="22"/>
        <v>Jan</v>
      </c>
      <c r="P200" s="921">
        <f t="shared" si="23"/>
        <v>2</v>
      </c>
    </row>
    <row r="201" spans="1:16" ht="15" hidden="1" customHeight="1">
      <c r="A201" s="839">
        <v>68741714</v>
      </c>
      <c r="B201" s="839">
        <v>1352</v>
      </c>
      <c r="C201" s="906">
        <v>3495</v>
      </c>
      <c r="D201" s="907">
        <v>46029</v>
      </c>
      <c r="E201" s="839" t="s">
        <v>286</v>
      </c>
      <c r="F201" s="839" t="s">
        <v>287</v>
      </c>
      <c r="G201" s="916">
        <f>VLOOKUP($A201,'Tech Litons'!$A:$I,8,FALSE)</f>
        <v>2.8319999999999999E-3</v>
      </c>
      <c r="H201" s="917">
        <f>VLOOKUP($A201,'Tech Litons'!$A:$I,9,FALSE)</f>
        <v>225</v>
      </c>
      <c r="I201" s="917" t="str">
        <f>VLOOKUP($A201,'Tech Litons'!$A:$C,3,0)</f>
        <v>MBG</v>
      </c>
      <c r="J201" s="918" t="str">
        <f t="shared" si="18"/>
        <v>1352MBG</v>
      </c>
      <c r="K201" s="919">
        <v>1</v>
      </c>
      <c r="L201" s="920">
        <f t="shared" si="19"/>
        <v>3495</v>
      </c>
      <c r="M201" s="920">
        <f t="shared" si="20"/>
        <v>9.8978400000000004</v>
      </c>
      <c r="N201" s="920">
        <f t="shared" si="21"/>
        <v>15.533333333333333</v>
      </c>
      <c r="O201" s="918" t="str">
        <f t="shared" si="22"/>
        <v>Jan</v>
      </c>
      <c r="P201" s="921">
        <f t="shared" si="23"/>
        <v>2</v>
      </c>
    </row>
    <row r="202" spans="1:16" ht="15" hidden="1" customHeight="1">
      <c r="A202" s="839">
        <v>64958125</v>
      </c>
      <c r="B202" s="839">
        <v>2904</v>
      </c>
      <c r="C202" s="906">
        <v>3739</v>
      </c>
      <c r="D202" s="907">
        <v>46029</v>
      </c>
      <c r="E202" s="839" t="s">
        <v>238</v>
      </c>
      <c r="F202" s="839" t="s">
        <v>234</v>
      </c>
      <c r="G202" s="916">
        <f>VLOOKUP($A202,'Tech Litons'!$A:$I,8,FALSE)</f>
        <v>3.3119999999999998E-3</v>
      </c>
      <c r="H202" s="917">
        <f>VLOOKUP($A202,'Tech Litons'!$A:$I,9,FALSE)</f>
        <v>165</v>
      </c>
      <c r="I202" s="917" t="str">
        <f>VLOOKUP($A202,'Tech Litons'!$A:$C,3,0)</f>
        <v>Yasso Sticks</v>
      </c>
      <c r="J202" s="918" t="str">
        <f t="shared" si="18"/>
        <v>2904Yasso Sticks</v>
      </c>
      <c r="K202" s="919">
        <v>1</v>
      </c>
      <c r="L202" s="920">
        <f t="shared" si="19"/>
        <v>3739</v>
      </c>
      <c r="M202" s="920">
        <f t="shared" si="20"/>
        <v>12.383567999999999</v>
      </c>
      <c r="N202" s="920">
        <f t="shared" si="21"/>
        <v>22.66060606060606</v>
      </c>
      <c r="O202" s="918" t="str">
        <f t="shared" si="22"/>
        <v>Jan</v>
      </c>
      <c r="P202" s="921">
        <f t="shared" si="23"/>
        <v>2</v>
      </c>
    </row>
    <row r="203" spans="1:16" ht="15" hidden="1" customHeight="1">
      <c r="A203" s="839">
        <v>68896054</v>
      </c>
      <c r="B203" s="839">
        <v>1352</v>
      </c>
      <c r="C203" s="906">
        <v>3811</v>
      </c>
      <c r="D203" s="907">
        <v>46029</v>
      </c>
      <c r="E203" s="839" t="s">
        <v>265</v>
      </c>
      <c r="F203" s="839" t="s">
        <v>266</v>
      </c>
      <c r="G203" s="916">
        <f>VLOOKUP($A203,'Tech Litons'!$A:$I,8,FALSE)</f>
        <v>8.5199999999999998E-3</v>
      </c>
      <c r="H203" s="917">
        <f>VLOOKUP($A203,'Tech Litons'!$A:$I,9,FALSE)</f>
        <v>176</v>
      </c>
      <c r="I203" s="917" t="str">
        <f>VLOOKUP($A203,'Tech Litons'!$A:$C,3,0)</f>
        <v>48oz</v>
      </c>
      <c r="J203" s="918" t="str">
        <f t="shared" si="18"/>
        <v>135248oz</v>
      </c>
      <c r="K203" s="919">
        <v>1</v>
      </c>
      <c r="L203" s="920">
        <f t="shared" si="19"/>
        <v>3811</v>
      </c>
      <c r="M203" s="920">
        <f t="shared" si="20"/>
        <v>32.469720000000002</v>
      </c>
      <c r="N203" s="920">
        <f t="shared" si="21"/>
        <v>21.65340909090909</v>
      </c>
      <c r="O203" s="918" t="str">
        <f t="shared" si="22"/>
        <v>Jan</v>
      </c>
      <c r="P203" s="921">
        <f t="shared" si="23"/>
        <v>2</v>
      </c>
    </row>
    <row r="204" spans="1:16" ht="15" hidden="1" customHeight="1">
      <c r="A204" s="839">
        <v>64979407</v>
      </c>
      <c r="B204" s="839">
        <v>2904</v>
      </c>
      <c r="C204" s="906">
        <v>3960</v>
      </c>
      <c r="D204" s="907">
        <v>46029</v>
      </c>
      <c r="E204" s="839" t="s">
        <v>284</v>
      </c>
      <c r="F204" s="839" t="s">
        <v>231</v>
      </c>
      <c r="G204" s="916">
        <f>VLOOKUP($A204,'Tech Litons'!$A:$I,8,FALSE)</f>
        <v>4.2560000000000002E-3</v>
      </c>
      <c r="H204" s="917">
        <f>VLOOKUP($A204,'Tech Litons'!$A:$I,9,FALSE)</f>
        <v>143</v>
      </c>
      <c r="I204" s="917" t="str">
        <f>VLOOKUP($A204,'Tech Litons'!$A:$C,3,0)</f>
        <v>MG Sticks</v>
      </c>
      <c r="J204" s="918" t="str">
        <f t="shared" si="18"/>
        <v>2904MG Sticks</v>
      </c>
      <c r="K204" s="919">
        <v>1</v>
      </c>
      <c r="L204" s="920">
        <f t="shared" si="19"/>
        <v>3960</v>
      </c>
      <c r="M204" s="920">
        <f t="shared" si="20"/>
        <v>16.853760000000001</v>
      </c>
      <c r="N204" s="920">
        <f t="shared" si="21"/>
        <v>27.692307692307693</v>
      </c>
      <c r="O204" s="918" t="str">
        <f t="shared" si="22"/>
        <v>Jan</v>
      </c>
      <c r="P204" s="921">
        <f t="shared" si="23"/>
        <v>2</v>
      </c>
    </row>
    <row r="205" spans="1:16" ht="15" hidden="1" customHeight="1">
      <c r="A205" s="839">
        <v>68862392</v>
      </c>
      <c r="B205" s="839">
        <v>2904</v>
      </c>
      <c r="C205" s="906">
        <v>4037</v>
      </c>
      <c r="D205" s="907">
        <v>46029</v>
      </c>
      <c r="E205" s="839" t="s">
        <v>305</v>
      </c>
      <c r="F205" s="839" t="s">
        <v>277</v>
      </c>
      <c r="G205" s="916">
        <f>VLOOKUP($A205,'Tech Litons'!$A:$I,8,FALSE)</f>
        <v>3.7839999999999996E-3</v>
      </c>
      <c r="H205" s="917">
        <f>VLOOKUP($A205,'Tech Litons'!$A:$I,9,FALSE)</f>
        <v>255</v>
      </c>
      <c r="I205" s="917" t="str">
        <f>VLOOKUP($A205,'Tech Litons'!$A:$C,3,0)</f>
        <v>TALENTI</v>
      </c>
      <c r="J205" s="918" t="str">
        <f t="shared" si="18"/>
        <v>2904TALENTI</v>
      </c>
      <c r="K205" s="919">
        <v>1</v>
      </c>
      <c r="L205" s="920">
        <f t="shared" si="19"/>
        <v>4037</v>
      </c>
      <c r="M205" s="920">
        <f t="shared" si="20"/>
        <v>15.276007999999999</v>
      </c>
      <c r="N205" s="920">
        <f t="shared" si="21"/>
        <v>15.831372549019608</v>
      </c>
      <c r="O205" s="918" t="str">
        <f t="shared" si="22"/>
        <v>Jan</v>
      </c>
      <c r="P205" s="921">
        <f t="shared" si="23"/>
        <v>2</v>
      </c>
    </row>
    <row r="206" spans="1:16" ht="15" hidden="1" customHeight="1">
      <c r="A206" s="839">
        <v>68689251</v>
      </c>
      <c r="B206" s="839">
        <v>1352</v>
      </c>
      <c r="C206" s="906">
        <v>4098</v>
      </c>
      <c r="D206" s="907">
        <v>46029</v>
      </c>
      <c r="E206" s="839" t="s">
        <v>262</v>
      </c>
      <c r="F206" s="839" t="s">
        <v>240</v>
      </c>
      <c r="G206" s="916">
        <f>VLOOKUP($A206,'Tech Litons'!$A:$I,8,FALSE)</f>
        <v>9.5760000000000012E-3</v>
      </c>
      <c r="H206" s="917">
        <f>VLOOKUP($A206,'Tech Litons'!$A:$I,9,FALSE)</f>
        <v>132</v>
      </c>
      <c r="I206" s="917" t="str">
        <f>VLOOKUP($A206,'Tech Litons'!$A:$C,3,0)</f>
        <v>EDF</v>
      </c>
      <c r="J206" s="918" t="str">
        <f t="shared" si="18"/>
        <v>1352EDF</v>
      </c>
      <c r="K206" s="919">
        <v>1</v>
      </c>
      <c r="L206" s="920">
        <f t="shared" si="19"/>
        <v>4098</v>
      </c>
      <c r="M206" s="920">
        <f t="shared" si="20"/>
        <v>39.242448000000003</v>
      </c>
      <c r="N206" s="920">
        <f t="shared" si="21"/>
        <v>31.045454545454547</v>
      </c>
      <c r="O206" s="918" t="str">
        <f t="shared" si="22"/>
        <v>Jan</v>
      </c>
      <c r="P206" s="921">
        <f t="shared" si="23"/>
        <v>2</v>
      </c>
    </row>
    <row r="207" spans="1:16" ht="15" hidden="1" customHeight="1">
      <c r="A207" s="839">
        <v>68737750</v>
      </c>
      <c r="B207" s="839">
        <v>1352</v>
      </c>
      <c r="C207" s="906">
        <v>4122</v>
      </c>
      <c r="D207" s="907">
        <v>46029</v>
      </c>
      <c r="E207" s="839" t="s">
        <v>407</v>
      </c>
      <c r="F207" s="839" t="s">
        <v>261</v>
      </c>
      <c r="G207" s="916">
        <f>VLOOKUP($A207,'Tech Litons'!$A:$I,8,FALSE)</f>
        <v>8.5199999999999998E-3</v>
      </c>
      <c r="H207" s="917">
        <f>VLOOKUP($A207,'Tech Litons'!$A:$I,9,FALSE)</f>
        <v>176</v>
      </c>
      <c r="I207" s="917" t="str">
        <f>VLOOKUP($A207,'Tech Litons'!$A:$C,3,0)</f>
        <v>48oz</v>
      </c>
      <c r="J207" s="918" t="str">
        <f t="shared" si="18"/>
        <v>135248oz</v>
      </c>
      <c r="K207" s="919">
        <v>1</v>
      </c>
      <c r="L207" s="920">
        <f t="shared" si="19"/>
        <v>4122</v>
      </c>
      <c r="M207" s="920">
        <f t="shared" si="20"/>
        <v>35.119439999999997</v>
      </c>
      <c r="N207" s="920">
        <f t="shared" si="21"/>
        <v>23.420454545454547</v>
      </c>
      <c r="O207" s="918" t="str">
        <f t="shared" si="22"/>
        <v>Jan</v>
      </c>
      <c r="P207" s="921">
        <f t="shared" si="23"/>
        <v>2</v>
      </c>
    </row>
    <row r="208" spans="1:16" ht="15" hidden="1" customHeight="1">
      <c r="A208" s="839">
        <v>64330596</v>
      </c>
      <c r="B208" s="839">
        <v>2904</v>
      </c>
      <c r="C208" s="906">
        <v>4129</v>
      </c>
      <c r="D208" s="907">
        <v>46029</v>
      </c>
      <c r="E208" s="839" t="s">
        <v>280</v>
      </c>
      <c r="F208" s="839" t="s">
        <v>281</v>
      </c>
      <c r="G208" s="916">
        <f>VLOOKUP($A208,'Tech Litons'!$A:$I,8,FALSE)</f>
        <v>1.98E-3</v>
      </c>
      <c r="H208" s="917">
        <f>VLOOKUP($A208,'Tech Litons'!$A:$I,9,FALSE)</f>
        <v>176</v>
      </c>
      <c r="I208" s="917" t="str">
        <f>VLOOKUP($A208,'Tech Litons'!$A:$C,3,0)</f>
        <v>MG Sticks</v>
      </c>
      <c r="J208" s="918" t="str">
        <f t="shared" si="18"/>
        <v>2904MG Sticks</v>
      </c>
      <c r="K208" s="919">
        <v>1</v>
      </c>
      <c r="L208" s="920">
        <f t="shared" si="19"/>
        <v>4129</v>
      </c>
      <c r="M208" s="920">
        <f t="shared" si="20"/>
        <v>8.1754200000000008</v>
      </c>
      <c r="N208" s="920">
        <f t="shared" si="21"/>
        <v>23.460227272727273</v>
      </c>
      <c r="O208" s="918" t="str">
        <f t="shared" si="22"/>
        <v>Jan</v>
      </c>
      <c r="P208" s="921">
        <f t="shared" si="23"/>
        <v>2</v>
      </c>
    </row>
    <row r="209" spans="1:16" ht="15" hidden="1" customHeight="1">
      <c r="A209" s="839">
        <v>68851104</v>
      </c>
      <c r="B209" s="839">
        <v>1352</v>
      </c>
      <c r="C209" s="906">
        <v>4522</v>
      </c>
      <c r="D209" s="907">
        <v>46029</v>
      </c>
      <c r="E209" s="839" t="s">
        <v>270</v>
      </c>
      <c r="F209" s="839" t="s">
        <v>290</v>
      </c>
      <c r="G209" s="916">
        <f>VLOOKUP($A209,'Tech Litons'!$A:$I,8,FALSE)</f>
        <v>8.5199999999999998E-3</v>
      </c>
      <c r="H209" s="917">
        <f>VLOOKUP($A209,'Tech Litons'!$A:$I,9,FALSE)</f>
        <v>176</v>
      </c>
      <c r="I209" s="917" t="str">
        <f>VLOOKUP($A209,'Tech Litons'!$A:$C,3,0)</f>
        <v>48oz</v>
      </c>
      <c r="J209" s="918" t="str">
        <f t="shared" si="18"/>
        <v>135248oz</v>
      </c>
      <c r="K209" s="919">
        <v>1</v>
      </c>
      <c r="L209" s="920">
        <f t="shared" si="19"/>
        <v>4522</v>
      </c>
      <c r="M209" s="920">
        <f t="shared" si="20"/>
        <v>38.527439999999999</v>
      </c>
      <c r="N209" s="920">
        <f t="shared" si="21"/>
        <v>25.693181818181817</v>
      </c>
      <c r="O209" s="918" t="str">
        <f t="shared" si="22"/>
        <v>Jan</v>
      </c>
      <c r="P209" s="921">
        <f t="shared" si="23"/>
        <v>2</v>
      </c>
    </row>
    <row r="210" spans="1:16" ht="15" hidden="1" customHeight="1">
      <c r="A210" s="839">
        <v>64330596</v>
      </c>
      <c r="B210" s="839">
        <v>2904</v>
      </c>
      <c r="C210" s="906">
        <v>4576</v>
      </c>
      <c r="D210" s="907">
        <v>46029</v>
      </c>
      <c r="E210" s="839" t="s">
        <v>280</v>
      </c>
      <c r="F210" s="839" t="s">
        <v>281</v>
      </c>
      <c r="G210" s="916">
        <f>VLOOKUP($A210,'Tech Litons'!$A:$I,8,FALSE)</f>
        <v>1.98E-3</v>
      </c>
      <c r="H210" s="917">
        <f>VLOOKUP($A210,'Tech Litons'!$A:$I,9,FALSE)</f>
        <v>176</v>
      </c>
      <c r="I210" s="917" t="str">
        <f>VLOOKUP($A210,'Tech Litons'!$A:$C,3,0)</f>
        <v>MG Sticks</v>
      </c>
      <c r="J210" s="918" t="str">
        <f t="shared" ref="J210:J273" si="24">B210&amp;I210</f>
        <v>2904MG Sticks</v>
      </c>
      <c r="K210" s="919">
        <v>1</v>
      </c>
      <c r="L210" s="920">
        <f t="shared" ref="L210:L273" si="25">C210*$K210</f>
        <v>4576</v>
      </c>
      <c r="M210" s="920">
        <f t="shared" ref="M210:M273" si="26">L210*G210</f>
        <v>9.0604800000000001</v>
      </c>
      <c r="N210" s="920">
        <f t="shared" ref="N210:N273" si="27">L210/H210</f>
        <v>26</v>
      </c>
      <c r="O210" s="918" t="str">
        <f t="shared" ref="O210:O273" si="28">TEXT(D210,"MMM")</f>
        <v>Jan</v>
      </c>
      <c r="P210" s="921">
        <f t="shared" ref="P210:P273" si="29">WEEKNUM(D210)</f>
        <v>2</v>
      </c>
    </row>
    <row r="211" spans="1:16" ht="15" hidden="1" customHeight="1">
      <c r="A211" s="839">
        <v>64330611</v>
      </c>
      <c r="B211" s="839">
        <v>2904</v>
      </c>
      <c r="C211" s="906">
        <v>4830</v>
      </c>
      <c r="D211" s="907">
        <v>46029</v>
      </c>
      <c r="E211" s="839" t="s">
        <v>354</v>
      </c>
      <c r="F211" s="839" t="s">
        <v>283</v>
      </c>
      <c r="G211" s="916">
        <f>VLOOKUP($A211,'Tech Litons'!$A:$I,8,FALSE)</f>
        <v>2.16E-3</v>
      </c>
      <c r="H211" s="917">
        <f>VLOOKUP($A211,'Tech Litons'!$A:$I,9,FALSE)</f>
        <v>210</v>
      </c>
      <c r="I211" s="917" t="str">
        <f>VLOOKUP($A211,'Tech Litons'!$A:$C,3,0)</f>
        <v>MG Sticks</v>
      </c>
      <c r="J211" s="918" t="str">
        <f t="shared" si="24"/>
        <v>2904MG Sticks</v>
      </c>
      <c r="K211" s="919">
        <v>1</v>
      </c>
      <c r="L211" s="920">
        <f t="shared" si="25"/>
        <v>4830</v>
      </c>
      <c r="M211" s="920">
        <f t="shared" si="26"/>
        <v>10.4328</v>
      </c>
      <c r="N211" s="920">
        <f t="shared" si="27"/>
        <v>23</v>
      </c>
      <c r="O211" s="918" t="str">
        <f t="shared" si="28"/>
        <v>Jan</v>
      </c>
      <c r="P211" s="921">
        <f t="shared" si="29"/>
        <v>2</v>
      </c>
    </row>
    <row r="212" spans="1:16" ht="15" hidden="1" customHeight="1">
      <c r="A212" s="839">
        <v>68867744</v>
      </c>
      <c r="B212" s="839">
        <v>2904</v>
      </c>
      <c r="C212" s="906">
        <v>5175</v>
      </c>
      <c r="D212" s="907">
        <v>46029</v>
      </c>
      <c r="E212" s="839" t="s">
        <v>306</v>
      </c>
      <c r="F212" s="839" t="s">
        <v>275</v>
      </c>
      <c r="G212" s="916">
        <f>VLOOKUP($A212,'Tech Litons'!$A:$I,8,FALSE)</f>
        <v>3.552E-3</v>
      </c>
      <c r="H212" s="917">
        <f>VLOOKUP($A212,'Tech Litons'!$A:$I,9,FALSE)</f>
        <v>255</v>
      </c>
      <c r="I212" s="917" t="str">
        <f>VLOOKUP($A212,'Tech Litons'!$A:$C,3,0)</f>
        <v>Talenti</v>
      </c>
      <c r="J212" s="918" t="str">
        <f t="shared" si="24"/>
        <v>2904Talenti</v>
      </c>
      <c r="K212" s="919">
        <v>1</v>
      </c>
      <c r="L212" s="920">
        <f t="shared" si="25"/>
        <v>5175</v>
      </c>
      <c r="M212" s="920">
        <f t="shared" si="26"/>
        <v>18.381599999999999</v>
      </c>
      <c r="N212" s="920">
        <f t="shared" si="27"/>
        <v>20.294117647058822</v>
      </c>
      <c r="O212" s="918" t="str">
        <f t="shared" si="28"/>
        <v>Jan</v>
      </c>
      <c r="P212" s="921">
        <f t="shared" si="29"/>
        <v>2</v>
      </c>
    </row>
    <row r="213" spans="1:16" ht="15" hidden="1" customHeight="1">
      <c r="A213" s="839">
        <v>68851108</v>
      </c>
      <c r="B213" s="839">
        <v>2904</v>
      </c>
      <c r="C213" s="906">
        <v>5757</v>
      </c>
      <c r="D213" s="907">
        <v>46029</v>
      </c>
      <c r="E213" s="839" t="s">
        <v>296</v>
      </c>
      <c r="F213" s="839" t="s">
        <v>273</v>
      </c>
      <c r="G213" s="916">
        <f>VLOOKUP($A213,'Tech Litons'!$A:$I,8,FALSE)</f>
        <v>8.5199999999999998E-3</v>
      </c>
      <c r="H213" s="917">
        <f>VLOOKUP($A213,'Tech Litons'!$A:$I,9,FALSE)</f>
        <v>176</v>
      </c>
      <c r="I213" s="917" t="str">
        <f>VLOOKUP($A213,'Tech Litons'!$A:$C,3,0)</f>
        <v>48oz</v>
      </c>
      <c r="J213" s="918" t="str">
        <f t="shared" si="24"/>
        <v>290448oz</v>
      </c>
      <c r="K213" s="919">
        <v>1</v>
      </c>
      <c r="L213" s="920">
        <f t="shared" si="25"/>
        <v>5757</v>
      </c>
      <c r="M213" s="920">
        <f t="shared" si="26"/>
        <v>49.049639999999997</v>
      </c>
      <c r="N213" s="920">
        <f t="shared" si="27"/>
        <v>32.710227272727273</v>
      </c>
      <c r="O213" s="918" t="str">
        <f t="shared" si="28"/>
        <v>Jan</v>
      </c>
      <c r="P213" s="921">
        <f t="shared" si="29"/>
        <v>2</v>
      </c>
    </row>
    <row r="214" spans="1:16" ht="15" hidden="1" customHeight="1">
      <c r="A214" s="839">
        <v>68851104</v>
      </c>
      <c r="B214" s="839">
        <v>2904</v>
      </c>
      <c r="C214" s="906">
        <v>6082</v>
      </c>
      <c r="D214" s="907">
        <v>46029</v>
      </c>
      <c r="E214" s="839" t="s">
        <v>270</v>
      </c>
      <c r="F214" s="839" t="s">
        <v>271</v>
      </c>
      <c r="G214" s="916">
        <f>VLOOKUP($A214,'Tech Litons'!$A:$I,8,FALSE)</f>
        <v>8.5199999999999998E-3</v>
      </c>
      <c r="H214" s="917">
        <f>VLOOKUP($A214,'Tech Litons'!$A:$I,9,FALSE)</f>
        <v>176</v>
      </c>
      <c r="I214" s="917" t="str">
        <f>VLOOKUP($A214,'Tech Litons'!$A:$C,3,0)</f>
        <v>48oz</v>
      </c>
      <c r="J214" s="918" t="str">
        <f t="shared" si="24"/>
        <v>290448oz</v>
      </c>
      <c r="K214" s="919">
        <v>1</v>
      </c>
      <c r="L214" s="920">
        <f t="shared" si="25"/>
        <v>6082</v>
      </c>
      <c r="M214" s="920">
        <f t="shared" si="26"/>
        <v>51.818640000000002</v>
      </c>
      <c r="N214" s="920">
        <f t="shared" si="27"/>
        <v>34.55681818181818</v>
      </c>
      <c r="O214" s="918" t="str">
        <f t="shared" si="28"/>
        <v>Jan</v>
      </c>
      <c r="P214" s="921">
        <f t="shared" si="29"/>
        <v>2</v>
      </c>
    </row>
    <row r="215" spans="1:16" ht="15" hidden="1" customHeight="1">
      <c r="A215" s="839">
        <v>64988056</v>
      </c>
      <c r="B215" s="839">
        <v>2904</v>
      </c>
      <c r="C215" s="906">
        <v>6422</v>
      </c>
      <c r="D215" s="907">
        <v>46029</v>
      </c>
      <c r="E215" s="839" t="s">
        <v>268</v>
      </c>
      <c r="F215" s="839" t="s">
        <v>269</v>
      </c>
      <c r="G215" s="916">
        <f>VLOOKUP($A215,'Tech Litons'!$A:$I,8,FALSE)</f>
        <v>8.513999999999999E-3</v>
      </c>
      <c r="H215" s="917">
        <f>VLOOKUP($A215,'Tech Litons'!$A:$I,9,FALSE)</f>
        <v>176</v>
      </c>
      <c r="I215" s="917" t="str">
        <f>VLOOKUP($A215,'Tech Litons'!$A:$C,3,0)</f>
        <v>48oz</v>
      </c>
      <c r="J215" s="918" t="str">
        <f t="shared" si="24"/>
        <v>290448oz</v>
      </c>
      <c r="K215" s="919">
        <v>1</v>
      </c>
      <c r="L215" s="920">
        <f t="shared" si="25"/>
        <v>6422</v>
      </c>
      <c r="M215" s="920">
        <f t="shared" si="26"/>
        <v>54.67690799999999</v>
      </c>
      <c r="N215" s="920">
        <f t="shared" si="27"/>
        <v>36.488636363636367</v>
      </c>
      <c r="O215" s="918" t="str">
        <f t="shared" si="28"/>
        <v>Jan</v>
      </c>
      <c r="P215" s="921">
        <f t="shared" si="29"/>
        <v>2</v>
      </c>
    </row>
    <row r="216" spans="1:16" ht="15" hidden="1" customHeight="1">
      <c r="A216" s="839">
        <v>64988056</v>
      </c>
      <c r="B216" s="839">
        <v>2904</v>
      </c>
      <c r="C216" s="906">
        <v>6512</v>
      </c>
      <c r="D216" s="907">
        <v>46029</v>
      </c>
      <c r="E216" s="839" t="s">
        <v>268</v>
      </c>
      <c r="F216" s="839" t="s">
        <v>269</v>
      </c>
      <c r="G216" s="916">
        <f>VLOOKUP($A216,'Tech Litons'!$A:$I,8,FALSE)</f>
        <v>8.513999999999999E-3</v>
      </c>
      <c r="H216" s="917">
        <f>VLOOKUP($A216,'Tech Litons'!$A:$I,9,FALSE)</f>
        <v>176</v>
      </c>
      <c r="I216" s="917" t="str">
        <f>VLOOKUP($A216,'Tech Litons'!$A:$C,3,0)</f>
        <v>48oz</v>
      </c>
      <c r="J216" s="918" t="str">
        <f t="shared" si="24"/>
        <v>290448oz</v>
      </c>
      <c r="K216" s="919">
        <v>1</v>
      </c>
      <c r="L216" s="920">
        <f t="shared" si="25"/>
        <v>6512</v>
      </c>
      <c r="M216" s="920">
        <f t="shared" si="26"/>
        <v>55.443167999999993</v>
      </c>
      <c r="N216" s="920">
        <f t="shared" si="27"/>
        <v>37</v>
      </c>
      <c r="O216" s="918" t="str">
        <f t="shared" si="28"/>
        <v>Jan</v>
      </c>
      <c r="P216" s="921">
        <f t="shared" si="29"/>
        <v>2</v>
      </c>
    </row>
    <row r="217" spans="1:16" ht="15" hidden="1" customHeight="1">
      <c r="A217" s="839">
        <v>68896054</v>
      </c>
      <c r="B217" s="839">
        <v>1352</v>
      </c>
      <c r="C217" s="906">
        <v>6527</v>
      </c>
      <c r="D217" s="907">
        <v>46029</v>
      </c>
      <c r="E217" s="839" t="s">
        <v>265</v>
      </c>
      <c r="F217" s="839" t="s">
        <v>266</v>
      </c>
      <c r="G217" s="916">
        <f>VLOOKUP($A217,'Tech Litons'!$A:$I,8,FALSE)</f>
        <v>8.5199999999999998E-3</v>
      </c>
      <c r="H217" s="917">
        <f>VLOOKUP($A217,'Tech Litons'!$A:$I,9,FALSE)</f>
        <v>176</v>
      </c>
      <c r="I217" s="917" t="str">
        <f>VLOOKUP($A217,'Tech Litons'!$A:$C,3,0)</f>
        <v>48oz</v>
      </c>
      <c r="J217" s="918" t="str">
        <f t="shared" si="24"/>
        <v>135248oz</v>
      </c>
      <c r="K217" s="919">
        <v>1</v>
      </c>
      <c r="L217" s="920">
        <f t="shared" si="25"/>
        <v>6527</v>
      </c>
      <c r="M217" s="920">
        <f t="shared" si="26"/>
        <v>55.610039999999998</v>
      </c>
      <c r="N217" s="920">
        <f t="shared" si="27"/>
        <v>37.085227272727273</v>
      </c>
      <c r="O217" s="918" t="str">
        <f t="shared" si="28"/>
        <v>Jan</v>
      </c>
      <c r="P217" s="921">
        <f t="shared" si="29"/>
        <v>2</v>
      </c>
    </row>
    <row r="218" spans="1:16" ht="15" hidden="1" customHeight="1">
      <c r="A218" s="839">
        <v>68737750</v>
      </c>
      <c r="B218" s="839">
        <v>1352</v>
      </c>
      <c r="C218" s="906">
        <v>7139</v>
      </c>
      <c r="D218" s="907">
        <v>46029</v>
      </c>
      <c r="E218" s="839" t="s">
        <v>407</v>
      </c>
      <c r="F218" s="839" t="s">
        <v>261</v>
      </c>
      <c r="G218" s="916">
        <f>VLOOKUP($A218,'Tech Litons'!$A:$I,8,FALSE)</f>
        <v>8.5199999999999998E-3</v>
      </c>
      <c r="H218" s="917">
        <f>VLOOKUP($A218,'Tech Litons'!$A:$I,9,FALSE)</f>
        <v>176</v>
      </c>
      <c r="I218" s="917" t="str">
        <f>VLOOKUP($A218,'Tech Litons'!$A:$C,3,0)</f>
        <v>48oz</v>
      </c>
      <c r="J218" s="918" t="str">
        <f t="shared" si="24"/>
        <v>135248oz</v>
      </c>
      <c r="K218" s="919">
        <v>1</v>
      </c>
      <c r="L218" s="920">
        <f t="shared" si="25"/>
        <v>7139</v>
      </c>
      <c r="M218" s="920">
        <f t="shared" si="26"/>
        <v>60.824280000000002</v>
      </c>
      <c r="N218" s="920">
        <f t="shared" si="27"/>
        <v>40.5625</v>
      </c>
      <c r="O218" s="918" t="str">
        <f t="shared" si="28"/>
        <v>Jan</v>
      </c>
      <c r="P218" s="921">
        <f t="shared" si="29"/>
        <v>2</v>
      </c>
    </row>
    <row r="219" spans="1:16" ht="15" hidden="1" customHeight="1">
      <c r="A219" s="839">
        <v>67826412</v>
      </c>
      <c r="B219" s="839">
        <v>2904</v>
      </c>
      <c r="C219" s="906">
        <v>7679</v>
      </c>
      <c r="D219" s="907">
        <v>46029</v>
      </c>
      <c r="E219" s="839" t="s">
        <v>312</v>
      </c>
      <c r="F219" s="839" t="s">
        <v>299</v>
      </c>
      <c r="G219" s="916">
        <f>VLOOKUP($A219,'Tech Litons'!$A:$I,8,FALSE)</f>
        <v>3.7853439999999999E-3</v>
      </c>
      <c r="H219" s="917">
        <f>VLOOKUP($A219,'Tech Litons'!$A:$I,9,FALSE)</f>
        <v>240</v>
      </c>
      <c r="I219" s="917" t="str">
        <f>VLOOKUP($A219,'Tech Litons'!$A:$C,3,0)</f>
        <v>BJ PTS</v>
      </c>
      <c r="J219" s="918" t="str">
        <f t="shared" si="24"/>
        <v>2904BJ PTS</v>
      </c>
      <c r="K219" s="919">
        <v>1</v>
      </c>
      <c r="L219" s="920">
        <f t="shared" si="25"/>
        <v>7679</v>
      </c>
      <c r="M219" s="920">
        <f t="shared" si="26"/>
        <v>29.067656576000001</v>
      </c>
      <c r="N219" s="920">
        <f t="shared" si="27"/>
        <v>31.995833333333334</v>
      </c>
      <c r="O219" s="918" t="str">
        <f t="shared" si="28"/>
        <v>Jan</v>
      </c>
      <c r="P219" s="921">
        <f t="shared" si="29"/>
        <v>2</v>
      </c>
    </row>
    <row r="220" spans="1:16" ht="15" hidden="1" customHeight="1">
      <c r="A220" s="839">
        <v>64958125</v>
      </c>
      <c r="B220" s="839">
        <v>2904</v>
      </c>
      <c r="C220" s="906">
        <v>7920</v>
      </c>
      <c r="D220" s="907">
        <v>46029</v>
      </c>
      <c r="E220" s="839" t="s">
        <v>238</v>
      </c>
      <c r="F220" s="839" t="s">
        <v>234</v>
      </c>
      <c r="G220" s="916">
        <f>VLOOKUP($A220,'Tech Litons'!$A:$I,8,FALSE)</f>
        <v>3.3119999999999998E-3</v>
      </c>
      <c r="H220" s="917">
        <f>VLOOKUP($A220,'Tech Litons'!$A:$I,9,FALSE)</f>
        <v>165</v>
      </c>
      <c r="I220" s="917" t="str">
        <f>VLOOKUP($A220,'Tech Litons'!$A:$C,3,0)</f>
        <v>Yasso Sticks</v>
      </c>
      <c r="J220" s="918" t="str">
        <f t="shared" si="24"/>
        <v>2904Yasso Sticks</v>
      </c>
      <c r="K220" s="919">
        <v>1</v>
      </c>
      <c r="L220" s="920">
        <f t="shared" si="25"/>
        <v>7920</v>
      </c>
      <c r="M220" s="920">
        <f t="shared" si="26"/>
        <v>26.23104</v>
      </c>
      <c r="N220" s="920">
        <f t="shared" si="27"/>
        <v>48</v>
      </c>
      <c r="O220" s="918" t="str">
        <f t="shared" si="28"/>
        <v>Jan</v>
      </c>
      <c r="P220" s="921">
        <f t="shared" si="29"/>
        <v>2</v>
      </c>
    </row>
    <row r="221" spans="1:16" ht="15" hidden="1" customHeight="1">
      <c r="A221" s="839">
        <v>68851108</v>
      </c>
      <c r="B221" s="839">
        <v>2904</v>
      </c>
      <c r="C221" s="906">
        <v>7920</v>
      </c>
      <c r="D221" s="907">
        <v>46029</v>
      </c>
      <c r="E221" s="839" t="s">
        <v>296</v>
      </c>
      <c r="F221" s="839" t="s">
        <v>273</v>
      </c>
      <c r="G221" s="916">
        <f>VLOOKUP($A221,'Tech Litons'!$A:$I,8,FALSE)</f>
        <v>8.5199999999999998E-3</v>
      </c>
      <c r="H221" s="917">
        <f>VLOOKUP($A221,'Tech Litons'!$A:$I,9,FALSE)</f>
        <v>176</v>
      </c>
      <c r="I221" s="917" t="str">
        <f>VLOOKUP($A221,'Tech Litons'!$A:$C,3,0)</f>
        <v>48oz</v>
      </c>
      <c r="J221" s="918" t="str">
        <f t="shared" si="24"/>
        <v>290448oz</v>
      </c>
      <c r="K221" s="919">
        <v>1</v>
      </c>
      <c r="L221" s="920">
        <f t="shared" si="25"/>
        <v>7920</v>
      </c>
      <c r="M221" s="920">
        <f t="shared" si="26"/>
        <v>67.478399999999993</v>
      </c>
      <c r="N221" s="920">
        <f t="shared" si="27"/>
        <v>45</v>
      </c>
      <c r="O221" s="918" t="str">
        <f t="shared" si="28"/>
        <v>Jan</v>
      </c>
      <c r="P221" s="921">
        <f t="shared" si="29"/>
        <v>2</v>
      </c>
    </row>
    <row r="222" spans="1:16" ht="15" hidden="1" customHeight="1">
      <c r="A222" s="839">
        <v>68851104</v>
      </c>
      <c r="B222" s="839">
        <v>1352</v>
      </c>
      <c r="C222" s="906">
        <v>10328</v>
      </c>
      <c r="D222" s="907">
        <v>46029</v>
      </c>
      <c r="E222" s="839" t="s">
        <v>270</v>
      </c>
      <c r="F222" s="839" t="s">
        <v>290</v>
      </c>
      <c r="G222" s="916">
        <f>VLOOKUP($A222,'Tech Litons'!$A:$I,8,FALSE)</f>
        <v>8.5199999999999998E-3</v>
      </c>
      <c r="H222" s="917">
        <f>VLOOKUP($A222,'Tech Litons'!$A:$I,9,FALSE)</f>
        <v>176</v>
      </c>
      <c r="I222" s="917" t="str">
        <f>VLOOKUP($A222,'Tech Litons'!$A:$C,3,0)</f>
        <v>48oz</v>
      </c>
      <c r="J222" s="918" t="str">
        <f t="shared" si="24"/>
        <v>135248oz</v>
      </c>
      <c r="K222" s="919">
        <v>1</v>
      </c>
      <c r="L222" s="920">
        <f t="shared" si="25"/>
        <v>10328</v>
      </c>
      <c r="M222" s="920">
        <f t="shared" si="26"/>
        <v>87.994559999999993</v>
      </c>
      <c r="N222" s="920">
        <f t="shared" si="27"/>
        <v>58.68181818181818</v>
      </c>
      <c r="O222" s="918" t="str">
        <f t="shared" si="28"/>
        <v>Jan</v>
      </c>
      <c r="P222" s="921">
        <f t="shared" si="29"/>
        <v>2</v>
      </c>
    </row>
    <row r="223" spans="1:16" ht="15" hidden="1" customHeight="1">
      <c r="A223" s="839">
        <v>68851104</v>
      </c>
      <c r="B223" s="839">
        <v>1352</v>
      </c>
      <c r="C223" s="906">
        <v>10654</v>
      </c>
      <c r="D223" s="907">
        <v>46029</v>
      </c>
      <c r="E223" s="839" t="s">
        <v>270</v>
      </c>
      <c r="F223" s="839" t="s">
        <v>264</v>
      </c>
      <c r="G223" s="916">
        <f>VLOOKUP($A223,'Tech Litons'!$A:$I,8,FALSE)</f>
        <v>8.5199999999999998E-3</v>
      </c>
      <c r="H223" s="917">
        <f>VLOOKUP($A223,'Tech Litons'!$A:$I,9,FALSE)</f>
        <v>176</v>
      </c>
      <c r="I223" s="917" t="str">
        <f>VLOOKUP($A223,'Tech Litons'!$A:$C,3,0)</f>
        <v>48oz</v>
      </c>
      <c r="J223" s="918" t="str">
        <f t="shared" si="24"/>
        <v>135248oz</v>
      </c>
      <c r="K223" s="919">
        <v>1</v>
      </c>
      <c r="L223" s="920">
        <f t="shared" si="25"/>
        <v>10654</v>
      </c>
      <c r="M223" s="920">
        <f t="shared" si="26"/>
        <v>90.772080000000003</v>
      </c>
      <c r="N223" s="920">
        <f t="shared" si="27"/>
        <v>60.534090909090907</v>
      </c>
      <c r="O223" s="918" t="str">
        <f t="shared" si="28"/>
        <v>Jan</v>
      </c>
      <c r="P223" s="921">
        <f t="shared" si="29"/>
        <v>2</v>
      </c>
    </row>
    <row r="224" spans="1:16" ht="15" hidden="1" customHeight="1">
      <c r="A224" s="839">
        <v>84161610</v>
      </c>
      <c r="B224" s="839">
        <v>5914</v>
      </c>
      <c r="C224" s="906">
        <v>11155</v>
      </c>
      <c r="D224" s="907">
        <v>46029</v>
      </c>
      <c r="E224" s="839" t="s">
        <v>309</v>
      </c>
      <c r="F224" s="839" t="s">
        <v>301</v>
      </c>
      <c r="G224" s="916">
        <f>VLOOKUP($A224,'Tech Litons'!$A:$I,8,FALSE)</f>
        <v>3.7853439999999999E-3</v>
      </c>
      <c r="H224" s="917">
        <f>VLOOKUP($A224,'Tech Litons'!$A:$I,9,FALSE)</f>
        <v>240</v>
      </c>
      <c r="I224" s="917" t="str">
        <f>VLOOKUP($A224,'Tech Litons'!$A:$C,3,0)</f>
        <v>BJ PTS</v>
      </c>
      <c r="J224" s="918" t="str">
        <f t="shared" si="24"/>
        <v>5914BJ PTS</v>
      </c>
      <c r="K224" s="919">
        <v>1</v>
      </c>
      <c r="L224" s="920">
        <f t="shared" si="25"/>
        <v>11155</v>
      </c>
      <c r="M224" s="920">
        <f t="shared" si="26"/>
        <v>42.22551232</v>
      </c>
      <c r="N224" s="920">
        <f t="shared" si="27"/>
        <v>46.479166666666664</v>
      </c>
      <c r="O224" s="918" t="str">
        <f t="shared" si="28"/>
        <v>Jan</v>
      </c>
      <c r="P224" s="921">
        <f t="shared" si="29"/>
        <v>2</v>
      </c>
    </row>
    <row r="225" spans="1:16" ht="15" hidden="1" customHeight="1">
      <c r="A225" s="839">
        <v>68862392</v>
      </c>
      <c r="B225" s="839">
        <v>2904</v>
      </c>
      <c r="C225" s="906">
        <v>11475</v>
      </c>
      <c r="D225" s="907">
        <v>46029</v>
      </c>
      <c r="E225" s="839" t="s">
        <v>305</v>
      </c>
      <c r="F225" s="839" t="s">
        <v>277</v>
      </c>
      <c r="G225" s="916">
        <f>VLOOKUP($A225,'Tech Litons'!$A:$I,8,FALSE)</f>
        <v>3.7839999999999996E-3</v>
      </c>
      <c r="H225" s="917">
        <f>VLOOKUP($A225,'Tech Litons'!$A:$I,9,FALSE)</f>
        <v>255</v>
      </c>
      <c r="I225" s="917" t="str">
        <f>VLOOKUP($A225,'Tech Litons'!$A:$C,3,0)</f>
        <v>TALENTI</v>
      </c>
      <c r="J225" s="918" t="str">
        <f t="shared" si="24"/>
        <v>2904TALENTI</v>
      </c>
      <c r="K225" s="919">
        <v>1</v>
      </c>
      <c r="L225" s="920">
        <f t="shared" si="25"/>
        <v>11475</v>
      </c>
      <c r="M225" s="920">
        <f t="shared" si="26"/>
        <v>43.421399999999998</v>
      </c>
      <c r="N225" s="920">
        <f t="shared" si="27"/>
        <v>45</v>
      </c>
      <c r="O225" s="918" t="str">
        <f t="shared" si="28"/>
        <v>Jan</v>
      </c>
      <c r="P225" s="921">
        <f t="shared" si="29"/>
        <v>2</v>
      </c>
    </row>
    <row r="226" spans="1:16" ht="15" hidden="1" customHeight="1">
      <c r="A226" s="839">
        <v>67430513</v>
      </c>
      <c r="B226" s="839">
        <v>5914</v>
      </c>
      <c r="C226" s="906">
        <v>18720</v>
      </c>
      <c r="D226" s="907">
        <v>46029</v>
      </c>
      <c r="E226" s="839" t="s">
        <v>308</v>
      </c>
      <c r="F226" s="839" t="s">
        <v>303</v>
      </c>
      <c r="G226" s="916">
        <f>VLOOKUP($A226,'Tech Litons'!$A:$I,8,FALSE)</f>
        <v>3.7839999999999996E-3</v>
      </c>
      <c r="H226" s="917">
        <f>VLOOKUP($A226,'Tech Litons'!$A:$I,9,FALSE)</f>
        <v>240</v>
      </c>
      <c r="I226" s="917" t="str">
        <f>VLOOKUP($A226,'Tech Litons'!$A:$C,3,0)</f>
        <v>BJ PTS</v>
      </c>
      <c r="J226" s="918" t="str">
        <f t="shared" si="24"/>
        <v>5914BJ PTS</v>
      </c>
      <c r="K226" s="919">
        <v>1</v>
      </c>
      <c r="L226" s="920">
        <f t="shared" si="25"/>
        <v>18720</v>
      </c>
      <c r="M226" s="920">
        <f t="shared" si="26"/>
        <v>70.836479999999995</v>
      </c>
      <c r="N226" s="920">
        <f t="shared" si="27"/>
        <v>78</v>
      </c>
      <c r="O226" s="918" t="str">
        <f t="shared" si="28"/>
        <v>Jan</v>
      </c>
      <c r="P226" s="921">
        <f t="shared" si="29"/>
        <v>2</v>
      </c>
    </row>
    <row r="227" spans="1:16" ht="15" hidden="1" customHeight="1">
      <c r="A227" s="839">
        <v>84137725</v>
      </c>
      <c r="B227" s="839">
        <v>5911</v>
      </c>
      <c r="C227" s="906">
        <v>22875</v>
      </c>
      <c r="D227" s="907">
        <v>46029</v>
      </c>
      <c r="E227" s="839" t="s">
        <v>278</v>
      </c>
      <c r="F227" s="839" t="s">
        <v>279</v>
      </c>
      <c r="G227" s="916">
        <f>VLOOKUP($A227,'Tech Litons'!$A:$I,8,FALSE)</f>
        <v>3.7853439999999999E-3</v>
      </c>
      <c r="H227" s="917">
        <f>VLOOKUP($A227,'Tech Litons'!$A:$I,9,FALSE)</f>
        <v>240</v>
      </c>
      <c r="I227" s="917" t="str">
        <f>VLOOKUP($A227,'Tech Litons'!$A:$C,3,0)</f>
        <v>BJ PTS</v>
      </c>
      <c r="J227" s="918" t="str">
        <f t="shared" si="24"/>
        <v>5911BJ PTS</v>
      </c>
      <c r="K227" s="919">
        <v>1</v>
      </c>
      <c r="L227" s="920">
        <f t="shared" si="25"/>
        <v>22875</v>
      </c>
      <c r="M227" s="920">
        <f t="shared" si="26"/>
        <v>86.589743999999996</v>
      </c>
      <c r="N227" s="920">
        <f t="shared" si="27"/>
        <v>95.3125</v>
      </c>
      <c r="O227" s="918" t="str">
        <f t="shared" si="28"/>
        <v>Jan</v>
      </c>
      <c r="P227" s="921">
        <f t="shared" si="29"/>
        <v>2</v>
      </c>
    </row>
    <row r="228" spans="1:16" ht="15" hidden="1" customHeight="1">
      <c r="A228" s="839">
        <v>69999269</v>
      </c>
      <c r="B228" s="839">
        <v>5914</v>
      </c>
      <c r="C228" s="906">
        <v>36720</v>
      </c>
      <c r="D228" s="907">
        <v>46029</v>
      </c>
      <c r="E228" s="839" t="s">
        <v>300</v>
      </c>
      <c r="F228" s="839" t="s">
        <v>301</v>
      </c>
      <c r="G228" s="916">
        <f>VLOOKUP($A228,'Tech Litons'!$A:$I,8,FALSE)</f>
        <v>3.7839999999999996E-3</v>
      </c>
      <c r="H228" s="917">
        <f>VLOOKUP($A228,'Tech Litons'!$A:$I,9,FALSE)</f>
        <v>240</v>
      </c>
      <c r="I228" s="917" t="str">
        <f>VLOOKUP($A228,'Tech Litons'!$A:$C,3,0)</f>
        <v>BJ PTS</v>
      </c>
      <c r="J228" s="918" t="str">
        <f t="shared" si="24"/>
        <v>5914BJ PTS</v>
      </c>
      <c r="K228" s="919">
        <v>1</v>
      </c>
      <c r="L228" s="920">
        <f t="shared" si="25"/>
        <v>36720</v>
      </c>
      <c r="M228" s="920">
        <f t="shared" si="26"/>
        <v>138.94847999999999</v>
      </c>
      <c r="N228" s="920">
        <f t="shared" si="27"/>
        <v>153</v>
      </c>
      <c r="O228" s="918" t="str">
        <f t="shared" si="28"/>
        <v>Jan</v>
      </c>
      <c r="P228" s="921">
        <f t="shared" si="29"/>
        <v>2</v>
      </c>
    </row>
    <row r="229" spans="1:16" ht="15" hidden="1" customHeight="1">
      <c r="A229" s="839">
        <v>68867755</v>
      </c>
      <c r="B229" s="839">
        <v>2904</v>
      </c>
      <c r="C229" s="906">
        <v>-135</v>
      </c>
      <c r="D229" s="907">
        <v>46030</v>
      </c>
      <c r="E229" s="839" t="s">
        <v>274</v>
      </c>
      <c r="F229" s="839" t="s">
        <v>275</v>
      </c>
      <c r="G229" s="916">
        <f>VLOOKUP($A229,'Tech Litons'!$A:$I,8,FALSE)</f>
        <v>3.552E-3</v>
      </c>
      <c r="H229" s="917">
        <f>VLOOKUP($A229,'Tech Litons'!$A:$I,9,FALSE)</f>
        <v>255</v>
      </c>
      <c r="I229" s="917" t="str">
        <f>VLOOKUP($A229,'Tech Litons'!$A:$C,3,0)</f>
        <v>Talenti</v>
      </c>
      <c r="J229" s="918" t="str">
        <f t="shared" si="24"/>
        <v>2904Talenti</v>
      </c>
      <c r="K229" s="919">
        <v>1</v>
      </c>
      <c r="L229" s="920">
        <f t="shared" si="25"/>
        <v>-135</v>
      </c>
      <c r="M229" s="920">
        <f t="shared" si="26"/>
        <v>-0.47952</v>
      </c>
      <c r="N229" s="920">
        <f t="shared" si="27"/>
        <v>-0.52941176470588236</v>
      </c>
      <c r="O229" s="918" t="str">
        <f t="shared" si="28"/>
        <v>Jan</v>
      </c>
      <c r="P229" s="921">
        <f t="shared" si="29"/>
        <v>2</v>
      </c>
    </row>
    <row r="230" spans="1:16" ht="15" hidden="1" customHeight="1">
      <c r="A230" s="839">
        <v>68921994</v>
      </c>
      <c r="B230" s="839">
        <v>1352</v>
      </c>
      <c r="C230" s="906">
        <v>4</v>
      </c>
      <c r="D230" s="907">
        <v>46030</v>
      </c>
      <c r="E230" s="839" t="s">
        <v>267</v>
      </c>
      <c r="F230" s="839" t="s">
        <v>241</v>
      </c>
      <c r="G230" s="916">
        <f>VLOOKUP($A230,'Tech Litons'!$A:$I,8,FALSE)</f>
        <v>9.5760000000000012E-3</v>
      </c>
      <c r="H230" s="917">
        <f>VLOOKUP($A230,'Tech Litons'!$A:$I,9,FALSE)</f>
        <v>132</v>
      </c>
      <c r="I230" s="917" t="str">
        <f>VLOOKUP($A230,'Tech Litons'!$A:$C,3,0)</f>
        <v>EDF</v>
      </c>
      <c r="J230" s="918" t="str">
        <f t="shared" si="24"/>
        <v>1352EDF</v>
      </c>
      <c r="K230" s="919">
        <v>1</v>
      </c>
      <c r="L230" s="920">
        <f t="shared" si="25"/>
        <v>4</v>
      </c>
      <c r="M230" s="920">
        <f t="shared" si="26"/>
        <v>3.8304000000000005E-2</v>
      </c>
      <c r="N230" s="920">
        <f t="shared" si="27"/>
        <v>3.0303030303030304E-2</v>
      </c>
      <c r="O230" s="918" t="str">
        <f t="shared" si="28"/>
        <v>Jan</v>
      </c>
      <c r="P230" s="921">
        <f t="shared" si="29"/>
        <v>2</v>
      </c>
    </row>
    <row r="231" spans="1:16" ht="15" hidden="1" customHeight="1">
      <c r="A231" s="839">
        <v>68851108</v>
      </c>
      <c r="B231" s="839">
        <v>2904</v>
      </c>
      <c r="C231" s="906">
        <v>129</v>
      </c>
      <c r="D231" s="907">
        <v>46030</v>
      </c>
      <c r="E231" s="839" t="s">
        <v>296</v>
      </c>
      <c r="F231" s="839" t="s">
        <v>273</v>
      </c>
      <c r="G231" s="916">
        <f>VLOOKUP($A231,'Tech Litons'!$A:$I,8,FALSE)</f>
        <v>8.5199999999999998E-3</v>
      </c>
      <c r="H231" s="917">
        <f>VLOOKUP($A231,'Tech Litons'!$A:$I,9,FALSE)</f>
        <v>176</v>
      </c>
      <c r="I231" s="917" t="str">
        <f>VLOOKUP($A231,'Tech Litons'!$A:$C,3,0)</f>
        <v>48oz</v>
      </c>
      <c r="J231" s="918" t="str">
        <f t="shared" si="24"/>
        <v>290448oz</v>
      </c>
      <c r="K231" s="919">
        <v>1</v>
      </c>
      <c r="L231" s="920">
        <f t="shared" si="25"/>
        <v>129</v>
      </c>
      <c r="M231" s="920">
        <f t="shared" si="26"/>
        <v>1.0990800000000001</v>
      </c>
      <c r="N231" s="920">
        <f t="shared" si="27"/>
        <v>0.73295454545454541</v>
      </c>
      <c r="O231" s="918" t="str">
        <f t="shared" si="28"/>
        <v>Jan</v>
      </c>
      <c r="P231" s="921">
        <f t="shared" si="29"/>
        <v>2</v>
      </c>
    </row>
    <row r="232" spans="1:16" ht="15" hidden="1" customHeight="1">
      <c r="A232" s="839">
        <v>64958128</v>
      </c>
      <c r="B232" s="839">
        <v>2904</v>
      </c>
      <c r="C232" s="906">
        <v>165</v>
      </c>
      <c r="D232" s="907">
        <v>46030</v>
      </c>
      <c r="E232" s="839" t="s">
        <v>235</v>
      </c>
      <c r="F232" s="839" t="s">
        <v>234</v>
      </c>
      <c r="G232" s="916">
        <f>VLOOKUP($A232,'Tech Litons'!$A:$I,8,FALSE)</f>
        <v>3.3119999999999998E-3</v>
      </c>
      <c r="H232" s="917">
        <f>VLOOKUP($A232,'Tech Litons'!$A:$I,9,FALSE)</f>
        <v>165</v>
      </c>
      <c r="I232" s="917" t="str">
        <f>VLOOKUP($A232,'Tech Litons'!$A:$C,3,0)</f>
        <v>Yasso Sticks</v>
      </c>
      <c r="J232" s="918" t="str">
        <f t="shared" si="24"/>
        <v>2904Yasso Sticks</v>
      </c>
      <c r="K232" s="919">
        <v>1</v>
      </c>
      <c r="L232" s="920">
        <f t="shared" si="25"/>
        <v>165</v>
      </c>
      <c r="M232" s="920">
        <f t="shared" si="26"/>
        <v>0.54647999999999997</v>
      </c>
      <c r="N232" s="920">
        <f t="shared" si="27"/>
        <v>1</v>
      </c>
      <c r="O232" s="918" t="str">
        <f t="shared" si="28"/>
        <v>Jan</v>
      </c>
      <c r="P232" s="921">
        <f t="shared" si="29"/>
        <v>2</v>
      </c>
    </row>
    <row r="233" spans="1:16" ht="15" hidden="1" customHeight="1">
      <c r="A233" s="839">
        <v>68817796</v>
      </c>
      <c r="B233" s="839">
        <v>1352</v>
      </c>
      <c r="C233" s="906">
        <v>176</v>
      </c>
      <c r="D233" s="907">
        <v>46030</v>
      </c>
      <c r="E233" s="839" t="s">
        <v>263</v>
      </c>
      <c r="F233" s="839" t="s">
        <v>264</v>
      </c>
      <c r="G233" s="916">
        <f>VLOOKUP($A233,'Tech Litons'!$A:$I,8,FALSE)</f>
        <v>8.513999999999999E-3</v>
      </c>
      <c r="H233" s="917">
        <f>VLOOKUP($A233,'Tech Litons'!$A:$I,9,FALSE)</f>
        <v>176</v>
      </c>
      <c r="I233" s="917" t="str">
        <f>VLOOKUP($A233,'Tech Litons'!$A:$C,3,0)</f>
        <v>48oz</v>
      </c>
      <c r="J233" s="918" t="str">
        <f t="shared" si="24"/>
        <v>135248oz</v>
      </c>
      <c r="K233" s="919">
        <v>1</v>
      </c>
      <c r="L233" s="920">
        <f t="shared" si="25"/>
        <v>176</v>
      </c>
      <c r="M233" s="920">
        <f t="shared" si="26"/>
        <v>1.4984639999999998</v>
      </c>
      <c r="N233" s="920">
        <f t="shared" si="27"/>
        <v>1</v>
      </c>
      <c r="O233" s="918" t="str">
        <f t="shared" si="28"/>
        <v>Jan</v>
      </c>
      <c r="P233" s="921">
        <f t="shared" si="29"/>
        <v>2</v>
      </c>
    </row>
    <row r="234" spans="1:16" ht="15" hidden="1" customHeight="1">
      <c r="A234" s="839">
        <v>68851104</v>
      </c>
      <c r="B234" s="839">
        <v>2904</v>
      </c>
      <c r="C234" s="906">
        <v>176</v>
      </c>
      <c r="D234" s="907">
        <v>46030</v>
      </c>
      <c r="E234" s="839" t="s">
        <v>270</v>
      </c>
      <c r="F234" s="839" t="s">
        <v>271</v>
      </c>
      <c r="G234" s="916">
        <f>VLOOKUP($A234,'Tech Litons'!$A:$I,8,FALSE)</f>
        <v>8.5199999999999998E-3</v>
      </c>
      <c r="H234" s="917">
        <f>VLOOKUP($A234,'Tech Litons'!$A:$I,9,FALSE)</f>
        <v>176</v>
      </c>
      <c r="I234" s="917" t="str">
        <f>VLOOKUP($A234,'Tech Litons'!$A:$C,3,0)</f>
        <v>48oz</v>
      </c>
      <c r="J234" s="918" t="str">
        <f t="shared" si="24"/>
        <v>290448oz</v>
      </c>
      <c r="K234" s="919">
        <v>1</v>
      </c>
      <c r="L234" s="920">
        <f t="shared" si="25"/>
        <v>176</v>
      </c>
      <c r="M234" s="920">
        <f t="shared" si="26"/>
        <v>1.49952</v>
      </c>
      <c r="N234" s="920">
        <f t="shared" si="27"/>
        <v>1</v>
      </c>
      <c r="O234" s="918" t="str">
        <f t="shared" si="28"/>
        <v>Jan</v>
      </c>
      <c r="P234" s="921">
        <f t="shared" si="29"/>
        <v>2</v>
      </c>
    </row>
    <row r="235" spans="1:16" ht="15" hidden="1" customHeight="1">
      <c r="A235" s="839">
        <v>69629468</v>
      </c>
      <c r="B235" s="839">
        <v>2904</v>
      </c>
      <c r="C235" s="906">
        <v>247</v>
      </c>
      <c r="D235" s="907">
        <v>46030</v>
      </c>
      <c r="E235" s="839" t="s">
        <v>291</v>
      </c>
      <c r="F235" s="839" t="s">
        <v>226</v>
      </c>
      <c r="G235" s="916">
        <f>VLOOKUP($A235,'Tech Litons'!$A:$I,8,FALSE)</f>
        <v>5.2680000000000001E-3</v>
      </c>
      <c r="H235" s="917">
        <f>VLOOKUP($A235,'Tech Litons'!$A:$I,9,FALSE)</f>
        <v>130</v>
      </c>
      <c r="I235" s="917" t="str">
        <f>VLOOKUP($A235,'Tech Litons'!$A:$C,3,0)</f>
        <v>PG</v>
      </c>
      <c r="J235" s="918" t="str">
        <f t="shared" si="24"/>
        <v>2904PG</v>
      </c>
      <c r="K235" s="919">
        <v>1</v>
      </c>
      <c r="L235" s="920">
        <f t="shared" si="25"/>
        <v>247</v>
      </c>
      <c r="M235" s="920">
        <f t="shared" si="26"/>
        <v>1.301196</v>
      </c>
      <c r="N235" s="920">
        <f t="shared" si="27"/>
        <v>1.9</v>
      </c>
      <c r="O235" s="918" t="str">
        <f t="shared" si="28"/>
        <v>Jan</v>
      </c>
      <c r="P235" s="921">
        <f t="shared" si="29"/>
        <v>2</v>
      </c>
    </row>
    <row r="236" spans="1:16" ht="15" hidden="1" customHeight="1">
      <c r="A236" s="839">
        <v>68741742</v>
      </c>
      <c r="B236" s="839">
        <v>2904</v>
      </c>
      <c r="C236" s="906">
        <v>308</v>
      </c>
      <c r="D236" s="907">
        <v>46030</v>
      </c>
      <c r="E236" s="839" t="s">
        <v>288</v>
      </c>
      <c r="F236" s="839" t="s">
        <v>295</v>
      </c>
      <c r="G236" s="916">
        <f>VLOOKUP($A236,'Tech Litons'!$A:$I,8,FALSE)</f>
        <v>4.2560000000000002E-3</v>
      </c>
      <c r="H236" s="917">
        <f>VLOOKUP($A236,'Tech Litons'!$A:$I,9,FALSE)</f>
        <v>154</v>
      </c>
      <c r="I236" s="917" t="str">
        <f>VLOOKUP($A236,'Tech Litons'!$A:$C,3,0)</f>
        <v>MBG</v>
      </c>
      <c r="J236" s="918" t="str">
        <f t="shared" si="24"/>
        <v>2904MBG</v>
      </c>
      <c r="K236" s="919">
        <v>1</v>
      </c>
      <c r="L236" s="920">
        <f t="shared" si="25"/>
        <v>308</v>
      </c>
      <c r="M236" s="920">
        <f t="shared" si="26"/>
        <v>1.310848</v>
      </c>
      <c r="N236" s="920">
        <f t="shared" si="27"/>
        <v>2</v>
      </c>
      <c r="O236" s="918" t="str">
        <f t="shared" si="28"/>
        <v>Jan</v>
      </c>
      <c r="P236" s="921">
        <f t="shared" si="29"/>
        <v>2</v>
      </c>
    </row>
    <row r="237" spans="1:16" ht="15" hidden="1" customHeight="1">
      <c r="A237" s="839">
        <v>68746232</v>
      </c>
      <c r="B237" s="839">
        <v>2904</v>
      </c>
      <c r="C237" s="906">
        <v>637</v>
      </c>
      <c r="D237" s="907">
        <v>46030</v>
      </c>
      <c r="E237" s="839" t="s">
        <v>508</v>
      </c>
      <c r="F237" s="839" t="s">
        <v>243</v>
      </c>
      <c r="G237" s="916">
        <f>VLOOKUP($A237,'Tech Litons'!$A:$I,8,FALSE)</f>
        <v>8.5199999999999998E-3</v>
      </c>
      <c r="H237" s="917">
        <f>VLOOKUP($A237,'Tech Litons'!$A:$I,9,FALSE)</f>
        <v>132</v>
      </c>
      <c r="I237" s="917" t="str">
        <f>VLOOKUP($A237,'Tech Litons'!$A:$C,3,0)</f>
        <v>EDF</v>
      </c>
      <c r="J237" s="918" t="str">
        <f t="shared" si="24"/>
        <v>2904EDF</v>
      </c>
      <c r="K237" s="919">
        <v>1</v>
      </c>
      <c r="L237" s="920">
        <f t="shared" si="25"/>
        <v>637</v>
      </c>
      <c r="M237" s="920">
        <f t="shared" si="26"/>
        <v>5.4272400000000003</v>
      </c>
      <c r="N237" s="920">
        <f t="shared" si="27"/>
        <v>4.8257575757575761</v>
      </c>
      <c r="O237" s="918" t="str">
        <f t="shared" si="28"/>
        <v>Jan</v>
      </c>
      <c r="P237" s="921">
        <f t="shared" si="29"/>
        <v>2</v>
      </c>
    </row>
    <row r="238" spans="1:16" ht="15" hidden="1" customHeight="1">
      <c r="A238" s="839">
        <v>64341106</v>
      </c>
      <c r="B238" s="839">
        <v>2904</v>
      </c>
      <c r="C238" s="906">
        <v>859</v>
      </c>
      <c r="D238" s="907">
        <v>46030</v>
      </c>
      <c r="E238" s="839" t="s">
        <v>293</v>
      </c>
      <c r="F238" s="839" t="s">
        <v>227</v>
      </c>
      <c r="G238" s="916">
        <f>VLOOKUP($A238,'Tech Litons'!$A:$I,8,FALSE)</f>
        <v>5.2680000000000001E-3</v>
      </c>
      <c r="H238" s="917">
        <f>VLOOKUP($A238,'Tech Litons'!$A:$I,9,FALSE)</f>
        <v>130</v>
      </c>
      <c r="I238" s="917" t="str">
        <f>VLOOKUP($A238,'Tech Litons'!$A:$C,3,0)</f>
        <v>PG</v>
      </c>
      <c r="J238" s="918" t="str">
        <f t="shared" si="24"/>
        <v>2904PG</v>
      </c>
      <c r="K238" s="919">
        <v>1</v>
      </c>
      <c r="L238" s="920">
        <f t="shared" si="25"/>
        <v>859</v>
      </c>
      <c r="M238" s="920">
        <f t="shared" si="26"/>
        <v>4.5252119999999998</v>
      </c>
      <c r="N238" s="920">
        <f t="shared" si="27"/>
        <v>6.6076923076923073</v>
      </c>
      <c r="O238" s="918" t="str">
        <f t="shared" si="28"/>
        <v>Jan</v>
      </c>
      <c r="P238" s="921">
        <f t="shared" si="29"/>
        <v>2</v>
      </c>
    </row>
    <row r="239" spans="1:16" ht="15" hidden="1" customHeight="1">
      <c r="A239" s="839">
        <v>69725082</v>
      </c>
      <c r="B239" s="839">
        <v>1352</v>
      </c>
      <c r="C239" s="906">
        <v>910</v>
      </c>
      <c r="D239" s="907">
        <v>46030</v>
      </c>
      <c r="E239" s="839" t="s">
        <v>292</v>
      </c>
      <c r="F239" s="839" t="s">
        <v>225</v>
      </c>
      <c r="G239" s="916">
        <f>VLOOKUP($A239,'Tech Litons'!$A:$I,8,FALSE)</f>
        <v>5.2680000000000001E-3</v>
      </c>
      <c r="H239" s="917">
        <f>VLOOKUP($A239,'Tech Litons'!$A:$I,9,FALSE)</f>
        <v>130</v>
      </c>
      <c r="I239" s="917" t="str">
        <f>VLOOKUP($A239,'Tech Litons'!$A:$C,3,0)</f>
        <v>PG</v>
      </c>
      <c r="J239" s="918" t="str">
        <f t="shared" si="24"/>
        <v>1352PG</v>
      </c>
      <c r="K239" s="919">
        <v>1</v>
      </c>
      <c r="L239" s="920">
        <f t="shared" si="25"/>
        <v>910</v>
      </c>
      <c r="M239" s="920">
        <f t="shared" si="26"/>
        <v>4.7938799999999997</v>
      </c>
      <c r="N239" s="920">
        <f t="shared" si="27"/>
        <v>7</v>
      </c>
      <c r="O239" s="918" t="str">
        <f t="shared" si="28"/>
        <v>Jan</v>
      </c>
      <c r="P239" s="921">
        <f t="shared" si="29"/>
        <v>2</v>
      </c>
    </row>
    <row r="240" spans="1:16" ht="15" hidden="1" customHeight="1">
      <c r="A240" s="839">
        <v>68741742</v>
      </c>
      <c r="B240" s="839">
        <v>2904</v>
      </c>
      <c r="C240" s="906">
        <v>1348</v>
      </c>
      <c r="D240" s="908">
        <v>46030</v>
      </c>
      <c r="E240" s="906" t="s">
        <v>288</v>
      </c>
      <c r="F240" s="906" t="s">
        <v>295</v>
      </c>
      <c r="G240" s="916">
        <f>VLOOKUP($A240,'Tech Litons'!$A:$I,8,FALSE)</f>
        <v>4.2560000000000002E-3</v>
      </c>
      <c r="H240" s="917">
        <f>VLOOKUP($A240,'Tech Litons'!$A:$I,9,FALSE)</f>
        <v>154</v>
      </c>
      <c r="I240" s="917" t="str">
        <f>VLOOKUP($A240,'Tech Litons'!$A:$C,3,0)</f>
        <v>MBG</v>
      </c>
      <c r="J240" s="918" t="str">
        <f t="shared" si="24"/>
        <v>2904MBG</v>
      </c>
      <c r="K240" s="919">
        <v>1</v>
      </c>
      <c r="L240" s="920">
        <f t="shared" si="25"/>
        <v>1348</v>
      </c>
      <c r="M240" s="920">
        <f t="shared" si="26"/>
        <v>5.737088</v>
      </c>
      <c r="N240" s="920">
        <f t="shared" si="27"/>
        <v>8.7532467532467528</v>
      </c>
      <c r="O240" s="918" t="str">
        <f t="shared" si="28"/>
        <v>Jan</v>
      </c>
      <c r="P240" s="921">
        <f t="shared" si="29"/>
        <v>2</v>
      </c>
    </row>
    <row r="241" spans="1:16" ht="15" hidden="1" customHeight="1">
      <c r="A241" s="839">
        <v>84141103</v>
      </c>
      <c r="B241" s="839">
        <v>5911</v>
      </c>
      <c r="C241" s="906">
        <v>1440</v>
      </c>
      <c r="D241" s="908">
        <v>46030</v>
      </c>
      <c r="E241" s="906" t="s">
        <v>314</v>
      </c>
      <c r="F241" s="906" t="s">
        <v>301</v>
      </c>
      <c r="G241" s="916">
        <f>VLOOKUP($A241,'Tech Litons'!$A:$I,8,FALSE)</f>
        <v>3.7853439999999999E-3</v>
      </c>
      <c r="H241" s="917">
        <f>VLOOKUP($A241,'Tech Litons'!$A:$I,9,FALSE)</f>
        <v>240</v>
      </c>
      <c r="I241" s="917" t="str">
        <f>VLOOKUP($A241,'Tech Litons'!$A:$C,3,0)</f>
        <v>BJ PTS</v>
      </c>
      <c r="J241" s="918" t="str">
        <f t="shared" si="24"/>
        <v>5911BJ PTS</v>
      </c>
      <c r="K241" s="919">
        <v>1</v>
      </c>
      <c r="L241" s="920">
        <f t="shared" si="25"/>
        <v>1440</v>
      </c>
      <c r="M241" s="920">
        <f t="shared" si="26"/>
        <v>5.4508953599999996</v>
      </c>
      <c r="N241" s="920">
        <f t="shared" si="27"/>
        <v>6</v>
      </c>
      <c r="O241" s="918" t="str">
        <f t="shared" si="28"/>
        <v>Jan</v>
      </c>
      <c r="P241" s="921">
        <f t="shared" si="29"/>
        <v>2</v>
      </c>
    </row>
    <row r="242" spans="1:16" ht="15" hidden="1" customHeight="1">
      <c r="A242" s="839">
        <v>68746232</v>
      </c>
      <c r="B242" s="839">
        <v>2904</v>
      </c>
      <c r="C242" s="906">
        <v>1515</v>
      </c>
      <c r="D242" s="908">
        <v>46030</v>
      </c>
      <c r="E242" s="906" t="s">
        <v>508</v>
      </c>
      <c r="F242" s="906" t="s">
        <v>243</v>
      </c>
      <c r="G242" s="916">
        <f>VLOOKUP($A242,'Tech Litons'!$A:$I,8,FALSE)</f>
        <v>8.5199999999999998E-3</v>
      </c>
      <c r="H242" s="917">
        <f>VLOOKUP($A242,'Tech Litons'!$A:$I,9,FALSE)</f>
        <v>132</v>
      </c>
      <c r="I242" s="917" t="str">
        <f>VLOOKUP($A242,'Tech Litons'!$A:$C,3,0)</f>
        <v>EDF</v>
      </c>
      <c r="J242" s="918" t="str">
        <f t="shared" si="24"/>
        <v>2904EDF</v>
      </c>
      <c r="K242" s="919">
        <v>1</v>
      </c>
      <c r="L242" s="920">
        <f t="shared" si="25"/>
        <v>1515</v>
      </c>
      <c r="M242" s="920">
        <f t="shared" si="26"/>
        <v>12.9078</v>
      </c>
      <c r="N242" s="920">
        <f t="shared" si="27"/>
        <v>11.477272727272727</v>
      </c>
      <c r="O242" s="918" t="str">
        <f t="shared" si="28"/>
        <v>Jan</v>
      </c>
      <c r="P242" s="921">
        <f t="shared" si="29"/>
        <v>2</v>
      </c>
    </row>
    <row r="243" spans="1:16" ht="15" hidden="1" customHeight="1">
      <c r="A243" s="839">
        <v>68741742</v>
      </c>
      <c r="B243" s="839">
        <v>1352</v>
      </c>
      <c r="C243" s="906">
        <v>1540</v>
      </c>
      <c r="D243" s="907">
        <v>46030</v>
      </c>
      <c r="E243" s="839" t="s">
        <v>288</v>
      </c>
      <c r="F243" s="839" t="s">
        <v>289</v>
      </c>
      <c r="G243" s="916">
        <f>VLOOKUP($A243,'Tech Litons'!$A:$I,8,FALSE)</f>
        <v>4.2560000000000002E-3</v>
      </c>
      <c r="H243" s="917">
        <f>VLOOKUP($A243,'Tech Litons'!$A:$I,9,FALSE)</f>
        <v>154</v>
      </c>
      <c r="I243" s="917" t="str">
        <f>VLOOKUP($A243,'Tech Litons'!$A:$C,3,0)</f>
        <v>MBG</v>
      </c>
      <c r="J243" s="918" t="str">
        <f t="shared" si="24"/>
        <v>1352MBG</v>
      </c>
      <c r="K243" s="919">
        <v>1</v>
      </c>
      <c r="L243" s="920">
        <f t="shared" si="25"/>
        <v>1540</v>
      </c>
      <c r="M243" s="920">
        <f t="shared" si="26"/>
        <v>6.5542400000000001</v>
      </c>
      <c r="N243" s="920">
        <f t="shared" si="27"/>
        <v>10</v>
      </c>
      <c r="O243" s="918" t="str">
        <f t="shared" si="28"/>
        <v>Jan</v>
      </c>
      <c r="P243" s="921">
        <f t="shared" si="29"/>
        <v>2</v>
      </c>
    </row>
    <row r="244" spans="1:16" ht="15" hidden="1" customHeight="1">
      <c r="A244" s="839">
        <v>64341106</v>
      </c>
      <c r="B244" s="839">
        <v>2904</v>
      </c>
      <c r="C244" s="906">
        <v>1690</v>
      </c>
      <c r="D244" s="907">
        <v>46030</v>
      </c>
      <c r="E244" s="839" t="s">
        <v>293</v>
      </c>
      <c r="F244" s="839" t="s">
        <v>227</v>
      </c>
      <c r="G244" s="916">
        <f>VLOOKUP($A244,'Tech Litons'!$A:$I,8,FALSE)</f>
        <v>5.2680000000000001E-3</v>
      </c>
      <c r="H244" s="917">
        <f>VLOOKUP($A244,'Tech Litons'!$A:$I,9,FALSE)</f>
        <v>130</v>
      </c>
      <c r="I244" s="917" t="str">
        <f>VLOOKUP($A244,'Tech Litons'!$A:$C,3,0)</f>
        <v>PG</v>
      </c>
      <c r="J244" s="918" t="str">
        <f t="shared" si="24"/>
        <v>2904PG</v>
      </c>
      <c r="K244" s="919">
        <v>1</v>
      </c>
      <c r="L244" s="920">
        <f t="shared" si="25"/>
        <v>1690</v>
      </c>
      <c r="M244" s="920">
        <f t="shared" si="26"/>
        <v>8.9029199999999999</v>
      </c>
      <c r="N244" s="920">
        <f t="shared" si="27"/>
        <v>13</v>
      </c>
      <c r="O244" s="918" t="str">
        <f t="shared" si="28"/>
        <v>Jan</v>
      </c>
      <c r="P244" s="921">
        <f t="shared" si="29"/>
        <v>2</v>
      </c>
    </row>
    <row r="245" spans="1:16" ht="15" hidden="1" customHeight="1">
      <c r="A245" s="839">
        <v>64330596</v>
      </c>
      <c r="B245" s="839">
        <v>2904</v>
      </c>
      <c r="C245" s="906">
        <v>1817</v>
      </c>
      <c r="D245" s="908">
        <v>46030</v>
      </c>
      <c r="E245" s="906" t="s">
        <v>280</v>
      </c>
      <c r="F245" s="906" t="s">
        <v>281</v>
      </c>
      <c r="G245" s="916">
        <f>VLOOKUP($A245,'Tech Litons'!$A:$I,8,FALSE)</f>
        <v>1.98E-3</v>
      </c>
      <c r="H245" s="917">
        <f>VLOOKUP($A245,'Tech Litons'!$A:$I,9,FALSE)</f>
        <v>176</v>
      </c>
      <c r="I245" s="917" t="str">
        <f>VLOOKUP($A245,'Tech Litons'!$A:$C,3,0)</f>
        <v>MG Sticks</v>
      </c>
      <c r="J245" s="918" t="str">
        <f t="shared" si="24"/>
        <v>2904MG Sticks</v>
      </c>
      <c r="K245" s="919">
        <v>1</v>
      </c>
      <c r="L245" s="920">
        <f t="shared" si="25"/>
        <v>1817</v>
      </c>
      <c r="M245" s="920">
        <f t="shared" si="26"/>
        <v>3.5976599999999999</v>
      </c>
      <c r="N245" s="920">
        <f t="shared" si="27"/>
        <v>10.323863636363637</v>
      </c>
      <c r="O245" s="918" t="str">
        <f t="shared" si="28"/>
        <v>Jan</v>
      </c>
      <c r="P245" s="921">
        <f t="shared" si="29"/>
        <v>2</v>
      </c>
    </row>
    <row r="246" spans="1:16" ht="15" hidden="1" customHeight="1">
      <c r="A246" s="839">
        <v>69629468</v>
      </c>
      <c r="B246" s="839">
        <v>1352</v>
      </c>
      <c r="C246" s="906">
        <v>1950</v>
      </c>
      <c r="D246" s="908">
        <v>46030</v>
      </c>
      <c r="E246" s="906" t="s">
        <v>291</v>
      </c>
      <c r="F246" s="906" t="s">
        <v>222</v>
      </c>
      <c r="G246" s="916">
        <f>VLOOKUP($A246,'Tech Litons'!$A:$I,8,FALSE)</f>
        <v>5.2680000000000001E-3</v>
      </c>
      <c r="H246" s="917">
        <f>VLOOKUP($A246,'Tech Litons'!$A:$I,9,FALSE)</f>
        <v>130</v>
      </c>
      <c r="I246" s="917" t="str">
        <f>VLOOKUP($A246,'Tech Litons'!$A:$C,3,0)</f>
        <v>PG</v>
      </c>
      <c r="J246" s="918" t="str">
        <f t="shared" si="24"/>
        <v>1352PG</v>
      </c>
      <c r="K246" s="919">
        <v>1</v>
      </c>
      <c r="L246" s="920">
        <f t="shared" si="25"/>
        <v>1950</v>
      </c>
      <c r="M246" s="920">
        <f t="shared" si="26"/>
        <v>10.272600000000001</v>
      </c>
      <c r="N246" s="920">
        <f t="shared" si="27"/>
        <v>15</v>
      </c>
      <c r="O246" s="918" t="str">
        <f t="shared" si="28"/>
        <v>Jan</v>
      </c>
      <c r="P246" s="921">
        <f t="shared" si="29"/>
        <v>2</v>
      </c>
    </row>
    <row r="247" spans="1:16" ht="15" hidden="1" customHeight="1">
      <c r="A247" s="839">
        <v>64776954</v>
      </c>
      <c r="B247" s="839">
        <v>1352</v>
      </c>
      <c r="C247" s="906">
        <v>2079</v>
      </c>
      <c r="D247" s="907">
        <v>46030</v>
      </c>
      <c r="E247" s="839" t="s">
        <v>285</v>
      </c>
      <c r="F247" s="839" t="s">
        <v>224</v>
      </c>
      <c r="G247" s="916">
        <f>VLOOKUP($A247,'Tech Litons'!$A:$I,8,FALSE)</f>
        <v>3.8340000000000002E-3</v>
      </c>
      <c r="H247" s="917">
        <f>VLOOKUP($A247,'Tech Litons'!$A:$I,9,FALSE)</f>
        <v>130</v>
      </c>
      <c r="I247" s="917" t="str">
        <f>VLOOKUP($A247,'Tech Litons'!$A:$C,3,0)</f>
        <v>pG</v>
      </c>
      <c r="J247" s="918" t="str">
        <f t="shared" si="24"/>
        <v>1352pG</v>
      </c>
      <c r="K247" s="919">
        <v>1</v>
      </c>
      <c r="L247" s="920">
        <f t="shared" si="25"/>
        <v>2079</v>
      </c>
      <c r="M247" s="920">
        <f t="shared" si="26"/>
        <v>7.9708860000000001</v>
      </c>
      <c r="N247" s="920">
        <f t="shared" si="27"/>
        <v>15.992307692307692</v>
      </c>
      <c r="O247" s="918" t="str">
        <f t="shared" si="28"/>
        <v>Jan</v>
      </c>
      <c r="P247" s="921">
        <f t="shared" si="29"/>
        <v>2</v>
      </c>
    </row>
    <row r="248" spans="1:16" ht="15" hidden="1" customHeight="1">
      <c r="A248" s="839">
        <v>68741714</v>
      </c>
      <c r="B248" s="839">
        <v>1352</v>
      </c>
      <c r="C248" s="906">
        <v>2250</v>
      </c>
      <c r="D248" s="907">
        <v>46030</v>
      </c>
      <c r="E248" s="839" t="s">
        <v>286</v>
      </c>
      <c r="F248" s="839" t="s">
        <v>287</v>
      </c>
      <c r="G248" s="916">
        <f>VLOOKUP($A248,'Tech Litons'!$A:$I,8,FALSE)</f>
        <v>2.8319999999999999E-3</v>
      </c>
      <c r="H248" s="917">
        <f>VLOOKUP($A248,'Tech Litons'!$A:$I,9,FALSE)</f>
        <v>225</v>
      </c>
      <c r="I248" s="917" t="str">
        <f>VLOOKUP($A248,'Tech Litons'!$A:$C,3,0)</f>
        <v>MBG</v>
      </c>
      <c r="J248" s="918" t="str">
        <f t="shared" si="24"/>
        <v>1352MBG</v>
      </c>
      <c r="K248" s="919">
        <v>1</v>
      </c>
      <c r="L248" s="920">
        <f t="shared" si="25"/>
        <v>2250</v>
      </c>
      <c r="M248" s="920">
        <f t="shared" si="26"/>
        <v>6.3719999999999999</v>
      </c>
      <c r="N248" s="920">
        <f t="shared" si="27"/>
        <v>10</v>
      </c>
      <c r="O248" s="918" t="str">
        <f t="shared" si="28"/>
        <v>Jan</v>
      </c>
      <c r="P248" s="921">
        <f t="shared" si="29"/>
        <v>2</v>
      </c>
    </row>
    <row r="249" spans="1:16" ht="15" hidden="1" customHeight="1">
      <c r="A249" s="839">
        <v>69629468</v>
      </c>
      <c r="B249" s="839">
        <v>1352</v>
      </c>
      <c r="C249" s="906">
        <v>2351</v>
      </c>
      <c r="D249" s="907">
        <v>46030</v>
      </c>
      <c r="E249" s="839" t="s">
        <v>291</v>
      </c>
      <c r="F249" s="839" t="s">
        <v>222</v>
      </c>
      <c r="G249" s="916">
        <f>VLOOKUP($A249,'Tech Litons'!$A:$I,8,FALSE)</f>
        <v>5.2680000000000001E-3</v>
      </c>
      <c r="H249" s="917">
        <f>VLOOKUP($A249,'Tech Litons'!$A:$I,9,FALSE)</f>
        <v>130</v>
      </c>
      <c r="I249" s="917" t="str">
        <f>VLOOKUP($A249,'Tech Litons'!$A:$C,3,0)</f>
        <v>PG</v>
      </c>
      <c r="J249" s="918" t="str">
        <f t="shared" si="24"/>
        <v>1352PG</v>
      </c>
      <c r="K249" s="919">
        <v>1</v>
      </c>
      <c r="L249" s="920">
        <f t="shared" si="25"/>
        <v>2351</v>
      </c>
      <c r="M249" s="920">
        <f t="shared" si="26"/>
        <v>12.385068</v>
      </c>
      <c r="N249" s="920">
        <f t="shared" si="27"/>
        <v>18.084615384615386</v>
      </c>
      <c r="O249" s="918" t="str">
        <f t="shared" si="28"/>
        <v>Jan</v>
      </c>
      <c r="P249" s="921">
        <f t="shared" si="29"/>
        <v>2</v>
      </c>
    </row>
    <row r="250" spans="1:16" ht="15" hidden="1" customHeight="1">
      <c r="A250" s="839">
        <v>67826412</v>
      </c>
      <c r="B250" s="839">
        <v>2904</v>
      </c>
      <c r="C250" s="906">
        <v>2400</v>
      </c>
      <c r="D250" s="907">
        <v>46030</v>
      </c>
      <c r="E250" s="839" t="s">
        <v>312</v>
      </c>
      <c r="F250" s="839" t="s">
        <v>299</v>
      </c>
      <c r="G250" s="916">
        <f>VLOOKUP($A250,'Tech Litons'!$A:$I,8,FALSE)</f>
        <v>3.7853439999999999E-3</v>
      </c>
      <c r="H250" s="917">
        <f>VLOOKUP($A250,'Tech Litons'!$A:$I,9,FALSE)</f>
        <v>240</v>
      </c>
      <c r="I250" s="917" t="str">
        <f>VLOOKUP($A250,'Tech Litons'!$A:$C,3,0)</f>
        <v>BJ PTS</v>
      </c>
      <c r="J250" s="918" t="str">
        <f t="shared" si="24"/>
        <v>2904BJ PTS</v>
      </c>
      <c r="K250" s="919">
        <v>1</v>
      </c>
      <c r="L250" s="920">
        <f t="shared" si="25"/>
        <v>2400</v>
      </c>
      <c r="M250" s="920">
        <f t="shared" si="26"/>
        <v>9.0848256000000003</v>
      </c>
      <c r="N250" s="920">
        <f t="shared" si="27"/>
        <v>10</v>
      </c>
      <c r="O250" s="918" t="str">
        <f t="shared" si="28"/>
        <v>Jan</v>
      </c>
      <c r="P250" s="921">
        <f t="shared" si="29"/>
        <v>2</v>
      </c>
    </row>
    <row r="251" spans="1:16" ht="15" hidden="1" customHeight="1">
      <c r="A251" s="839">
        <v>64776954</v>
      </c>
      <c r="B251" s="839">
        <v>1352</v>
      </c>
      <c r="C251" s="906">
        <v>2631</v>
      </c>
      <c r="D251" s="907">
        <v>46030</v>
      </c>
      <c r="E251" s="839" t="s">
        <v>285</v>
      </c>
      <c r="F251" s="839" t="s">
        <v>224</v>
      </c>
      <c r="G251" s="916">
        <f>VLOOKUP($A251,'Tech Litons'!$A:$I,8,FALSE)</f>
        <v>3.8340000000000002E-3</v>
      </c>
      <c r="H251" s="917">
        <f>VLOOKUP($A251,'Tech Litons'!$A:$I,9,FALSE)</f>
        <v>130</v>
      </c>
      <c r="I251" s="917" t="str">
        <f>VLOOKUP($A251,'Tech Litons'!$A:$C,3,0)</f>
        <v>pG</v>
      </c>
      <c r="J251" s="918" t="str">
        <f t="shared" si="24"/>
        <v>1352pG</v>
      </c>
      <c r="K251" s="919">
        <v>1</v>
      </c>
      <c r="L251" s="920">
        <f t="shared" si="25"/>
        <v>2631</v>
      </c>
      <c r="M251" s="920">
        <f t="shared" si="26"/>
        <v>10.087254</v>
      </c>
      <c r="N251" s="920">
        <f t="shared" si="27"/>
        <v>20.238461538461539</v>
      </c>
      <c r="O251" s="918" t="str">
        <f t="shared" si="28"/>
        <v>Jan</v>
      </c>
      <c r="P251" s="921">
        <f t="shared" si="29"/>
        <v>2</v>
      </c>
    </row>
    <row r="252" spans="1:16" ht="15" hidden="1" customHeight="1">
      <c r="A252" s="839">
        <v>68689251</v>
      </c>
      <c r="B252" s="839">
        <v>1352</v>
      </c>
      <c r="C252" s="906">
        <v>2772</v>
      </c>
      <c r="D252" s="907">
        <v>46030</v>
      </c>
      <c r="E252" s="839" t="s">
        <v>262</v>
      </c>
      <c r="F252" s="839" t="s">
        <v>240</v>
      </c>
      <c r="G252" s="916">
        <f>VLOOKUP($A252,'Tech Litons'!$A:$I,8,FALSE)</f>
        <v>9.5760000000000012E-3</v>
      </c>
      <c r="H252" s="917">
        <f>VLOOKUP($A252,'Tech Litons'!$A:$I,9,FALSE)</f>
        <v>132</v>
      </c>
      <c r="I252" s="917" t="str">
        <f>VLOOKUP($A252,'Tech Litons'!$A:$C,3,0)</f>
        <v>EDF</v>
      </c>
      <c r="J252" s="918" t="str">
        <f t="shared" si="24"/>
        <v>1352EDF</v>
      </c>
      <c r="K252" s="919">
        <v>1</v>
      </c>
      <c r="L252" s="920">
        <f t="shared" si="25"/>
        <v>2772</v>
      </c>
      <c r="M252" s="920">
        <f t="shared" si="26"/>
        <v>26.544672000000002</v>
      </c>
      <c r="N252" s="920">
        <f t="shared" si="27"/>
        <v>21</v>
      </c>
      <c r="O252" s="918" t="str">
        <f t="shared" si="28"/>
        <v>Jan</v>
      </c>
      <c r="P252" s="921">
        <f t="shared" si="29"/>
        <v>2</v>
      </c>
    </row>
    <row r="253" spans="1:16" ht="15" hidden="1" customHeight="1">
      <c r="A253" s="839">
        <v>68921994</v>
      </c>
      <c r="B253" s="839">
        <v>1352</v>
      </c>
      <c r="C253" s="906">
        <v>2772</v>
      </c>
      <c r="D253" s="907">
        <v>46030</v>
      </c>
      <c r="E253" s="839" t="s">
        <v>267</v>
      </c>
      <c r="F253" s="839" t="s">
        <v>241</v>
      </c>
      <c r="G253" s="916">
        <f>VLOOKUP($A253,'Tech Litons'!$A:$I,8,FALSE)</f>
        <v>9.5760000000000012E-3</v>
      </c>
      <c r="H253" s="917">
        <f>VLOOKUP($A253,'Tech Litons'!$A:$I,9,FALSE)</f>
        <v>132</v>
      </c>
      <c r="I253" s="917" t="str">
        <f>VLOOKUP($A253,'Tech Litons'!$A:$C,3,0)</f>
        <v>EDF</v>
      </c>
      <c r="J253" s="918" t="str">
        <f t="shared" si="24"/>
        <v>1352EDF</v>
      </c>
      <c r="K253" s="919">
        <v>1</v>
      </c>
      <c r="L253" s="920">
        <f t="shared" si="25"/>
        <v>2772</v>
      </c>
      <c r="M253" s="920">
        <f t="shared" si="26"/>
        <v>26.544672000000002</v>
      </c>
      <c r="N253" s="920">
        <f t="shared" si="27"/>
        <v>21</v>
      </c>
      <c r="O253" s="918" t="str">
        <f t="shared" si="28"/>
        <v>Jan</v>
      </c>
      <c r="P253" s="921">
        <f t="shared" si="29"/>
        <v>2</v>
      </c>
    </row>
    <row r="254" spans="1:16" ht="15" hidden="1" customHeight="1">
      <c r="A254" s="839">
        <v>68867744</v>
      </c>
      <c r="B254" s="839">
        <v>2904</v>
      </c>
      <c r="C254" s="906">
        <v>2971</v>
      </c>
      <c r="D254" s="907">
        <v>46030</v>
      </c>
      <c r="E254" s="839" t="s">
        <v>306</v>
      </c>
      <c r="F254" s="839" t="s">
        <v>275</v>
      </c>
      <c r="G254" s="916">
        <f>VLOOKUP($A254,'Tech Litons'!$A:$I,8,FALSE)</f>
        <v>3.552E-3</v>
      </c>
      <c r="H254" s="917">
        <f>VLOOKUP($A254,'Tech Litons'!$A:$I,9,FALSE)</f>
        <v>255</v>
      </c>
      <c r="I254" s="917" t="str">
        <f>VLOOKUP($A254,'Tech Litons'!$A:$C,3,0)</f>
        <v>Talenti</v>
      </c>
      <c r="J254" s="918" t="str">
        <f t="shared" si="24"/>
        <v>2904Talenti</v>
      </c>
      <c r="K254" s="919">
        <v>1</v>
      </c>
      <c r="L254" s="920">
        <f t="shared" si="25"/>
        <v>2971</v>
      </c>
      <c r="M254" s="920">
        <f t="shared" si="26"/>
        <v>10.552992</v>
      </c>
      <c r="N254" s="920">
        <f t="shared" si="27"/>
        <v>11.650980392156862</v>
      </c>
      <c r="O254" s="918" t="str">
        <f t="shared" si="28"/>
        <v>Jan</v>
      </c>
      <c r="P254" s="921">
        <f t="shared" si="29"/>
        <v>2</v>
      </c>
    </row>
    <row r="255" spans="1:16" ht="15" hidden="1" customHeight="1">
      <c r="A255" s="839">
        <v>68741742</v>
      </c>
      <c r="B255" s="839">
        <v>1352</v>
      </c>
      <c r="C255" s="906">
        <v>3118</v>
      </c>
      <c r="D255" s="907">
        <v>46030</v>
      </c>
      <c r="E255" s="839" t="s">
        <v>288</v>
      </c>
      <c r="F255" s="839" t="s">
        <v>289</v>
      </c>
      <c r="G255" s="916">
        <f>VLOOKUP($A255,'Tech Litons'!$A:$I,8,FALSE)</f>
        <v>4.2560000000000002E-3</v>
      </c>
      <c r="H255" s="917">
        <f>VLOOKUP($A255,'Tech Litons'!$A:$I,9,FALSE)</f>
        <v>154</v>
      </c>
      <c r="I255" s="917" t="str">
        <f>VLOOKUP($A255,'Tech Litons'!$A:$C,3,0)</f>
        <v>MBG</v>
      </c>
      <c r="J255" s="918" t="str">
        <f t="shared" si="24"/>
        <v>1352MBG</v>
      </c>
      <c r="K255" s="919">
        <v>1</v>
      </c>
      <c r="L255" s="920">
        <f t="shared" si="25"/>
        <v>3118</v>
      </c>
      <c r="M255" s="920">
        <f t="shared" si="26"/>
        <v>13.270208</v>
      </c>
      <c r="N255" s="920">
        <f t="shared" si="27"/>
        <v>20.246753246753247</v>
      </c>
      <c r="O255" s="918" t="str">
        <f t="shared" si="28"/>
        <v>Jan</v>
      </c>
      <c r="P255" s="921">
        <f t="shared" si="29"/>
        <v>2</v>
      </c>
    </row>
    <row r="256" spans="1:16" ht="15" hidden="1" customHeight="1">
      <c r="A256" s="839">
        <v>69725082</v>
      </c>
      <c r="B256" s="839">
        <v>1352</v>
      </c>
      <c r="C256" s="906">
        <v>3250</v>
      </c>
      <c r="D256" s="907">
        <v>46030</v>
      </c>
      <c r="E256" s="839" t="s">
        <v>292</v>
      </c>
      <c r="F256" s="839" t="s">
        <v>225</v>
      </c>
      <c r="G256" s="916">
        <f>VLOOKUP($A256,'Tech Litons'!$A:$I,8,FALSE)</f>
        <v>5.2680000000000001E-3</v>
      </c>
      <c r="H256" s="917">
        <f>VLOOKUP($A256,'Tech Litons'!$A:$I,9,FALSE)</f>
        <v>130</v>
      </c>
      <c r="I256" s="917" t="str">
        <f>VLOOKUP($A256,'Tech Litons'!$A:$C,3,0)</f>
        <v>PG</v>
      </c>
      <c r="J256" s="918" t="str">
        <f t="shared" si="24"/>
        <v>1352PG</v>
      </c>
      <c r="K256" s="919">
        <v>1</v>
      </c>
      <c r="L256" s="920">
        <f t="shared" si="25"/>
        <v>3250</v>
      </c>
      <c r="M256" s="920">
        <f t="shared" si="26"/>
        <v>17.120999999999999</v>
      </c>
      <c r="N256" s="920">
        <f t="shared" si="27"/>
        <v>25</v>
      </c>
      <c r="O256" s="918" t="str">
        <f t="shared" si="28"/>
        <v>Jan</v>
      </c>
      <c r="P256" s="921">
        <f t="shared" si="29"/>
        <v>2</v>
      </c>
    </row>
    <row r="257" spans="1:16" ht="15" hidden="1" customHeight="1">
      <c r="A257" s="839">
        <v>68689251</v>
      </c>
      <c r="B257" s="839">
        <v>1352</v>
      </c>
      <c r="C257" s="906">
        <v>3602</v>
      </c>
      <c r="D257" s="907">
        <v>46030</v>
      </c>
      <c r="E257" s="839" t="s">
        <v>262</v>
      </c>
      <c r="F257" s="839" t="s">
        <v>242</v>
      </c>
      <c r="G257" s="916">
        <f>VLOOKUP($A257,'Tech Litons'!$A:$I,8,FALSE)</f>
        <v>9.5760000000000012E-3</v>
      </c>
      <c r="H257" s="917">
        <f>VLOOKUP($A257,'Tech Litons'!$A:$I,9,FALSE)</f>
        <v>132</v>
      </c>
      <c r="I257" s="917" t="str">
        <f>VLOOKUP($A257,'Tech Litons'!$A:$C,3,0)</f>
        <v>EDF</v>
      </c>
      <c r="J257" s="918" t="str">
        <f t="shared" si="24"/>
        <v>1352EDF</v>
      </c>
      <c r="K257" s="919">
        <v>1</v>
      </c>
      <c r="L257" s="920">
        <f t="shared" si="25"/>
        <v>3602</v>
      </c>
      <c r="M257" s="920">
        <f t="shared" si="26"/>
        <v>34.492752000000003</v>
      </c>
      <c r="N257" s="920">
        <f t="shared" si="27"/>
        <v>27.287878787878789</v>
      </c>
      <c r="O257" s="918" t="str">
        <f t="shared" si="28"/>
        <v>Jan</v>
      </c>
      <c r="P257" s="921">
        <f t="shared" si="29"/>
        <v>2</v>
      </c>
    </row>
    <row r="258" spans="1:16" ht="15" hidden="1" customHeight="1">
      <c r="A258" s="839">
        <v>68689251</v>
      </c>
      <c r="B258" s="839">
        <v>1352</v>
      </c>
      <c r="C258" s="906">
        <v>3974</v>
      </c>
      <c r="D258" s="907">
        <v>46030</v>
      </c>
      <c r="E258" s="839" t="s">
        <v>262</v>
      </c>
      <c r="F258" s="839" t="s">
        <v>240</v>
      </c>
      <c r="G258" s="916">
        <f>VLOOKUP($A258,'Tech Litons'!$A:$I,8,FALSE)</f>
        <v>9.5760000000000012E-3</v>
      </c>
      <c r="H258" s="917">
        <f>VLOOKUP($A258,'Tech Litons'!$A:$I,9,FALSE)</f>
        <v>132</v>
      </c>
      <c r="I258" s="917" t="str">
        <f>VLOOKUP($A258,'Tech Litons'!$A:$C,3,0)</f>
        <v>EDF</v>
      </c>
      <c r="J258" s="918" t="str">
        <f t="shared" si="24"/>
        <v>1352EDF</v>
      </c>
      <c r="K258" s="919">
        <v>1</v>
      </c>
      <c r="L258" s="920">
        <f t="shared" si="25"/>
        <v>3974</v>
      </c>
      <c r="M258" s="920">
        <f t="shared" si="26"/>
        <v>38.055024000000003</v>
      </c>
      <c r="N258" s="920">
        <f t="shared" si="27"/>
        <v>30.106060606060606</v>
      </c>
      <c r="O258" s="918" t="str">
        <f t="shared" si="28"/>
        <v>Jan</v>
      </c>
      <c r="P258" s="921">
        <f t="shared" si="29"/>
        <v>2</v>
      </c>
    </row>
    <row r="259" spans="1:16" ht="15" hidden="1" customHeight="1">
      <c r="A259" s="839">
        <v>64979407</v>
      </c>
      <c r="B259" s="839">
        <v>2904</v>
      </c>
      <c r="C259" s="906">
        <v>4127</v>
      </c>
      <c r="D259" s="907">
        <v>46030</v>
      </c>
      <c r="E259" s="839" t="s">
        <v>284</v>
      </c>
      <c r="F259" s="839" t="s">
        <v>231</v>
      </c>
      <c r="G259" s="916">
        <f>VLOOKUP($A259,'Tech Litons'!$A:$I,8,FALSE)</f>
        <v>4.2560000000000002E-3</v>
      </c>
      <c r="H259" s="917">
        <f>VLOOKUP($A259,'Tech Litons'!$A:$I,9,FALSE)</f>
        <v>143</v>
      </c>
      <c r="I259" s="917" t="str">
        <f>VLOOKUP($A259,'Tech Litons'!$A:$C,3,0)</f>
        <v>MG Sticks</v>
      </c>
      <c r="J259" s="918" t="str">
        <f t="shared" si="24"/>
        <v>2904MG Sticks</v>
      </c>
      <c r="K259" s="919">
        <v>1</v>
      </c>
      <c r="L259" s="920">
        <f t="shared" si="25"/>
        <v>4127</v>
      </c>
      <c r="M259" s="920">
        <f t="shared" si="26"/>
        <v>17.564512000000001</v>
      </c>
      <c r="N259" s="920">
        <f t="shared" si="27"/>
        <v>28.86013986013986</v>
      </c>
      <c r="O259" s="918" t="str">
        <f t="shared" si="28"/>
        <v>Jan</v>
      </c>
      <c r="P259" s="921">
        <f t="shared" si="29"/>
        <v>2</v>
      </c>
    </row>
    <row r="260" spans="1:16" ht="15" hidden="1" customHeight="1">
      <c r="A260" s="839">
        <v>64979407</v>
      </c>
      <c r="B260" s="839">
        <v>2904</v>
      </c>
      <c r="C260" s="906">
        <v>4134</v>
      </c>
      <c r="D260" s="907">
        <v>46030</v>
      </c>
      <c r="E260" s="839" t="s">
        <v>284</v>
      </c>
      <c r="F260" s="839" t="s">
        <v>231</v>
      </c>
      <c r="G260" s="916">
        <f>VLOOKUP($A260,'Tech Litons'!$A:$I,8,FALSE)</f>
        <v>4.2560000000000002E-3</v>
      </c>
      <c r="H260" s="917">
        <f>VLOOKUP($A260,'Tech Litons'!$A:$I,9,FALSE)</f>
        <v>143</v>
      </c>
      <c r="I260" s="917" t="str">
        <f>VLOOKUP($A260,'Tech Litons'!$A:$C,3,0)</f>
        <v>MG Sticks</v>
      </c>
      <c r="J260" s="918" t="str">
        <f t="shared" si="24"/>
        <v>2904MG Sticks</v>
      </c>
      <c r="K260" s="919">
        <v>1</v>
      </c>
      <c r="L260" s="920">
        <f t="shared" si="25"/>
        <v>4134</v>
      </c>
      <c r="M260" s="920">
        <f t="shared" si="26"/>
        <v>17.594304000000001</v>
      </c>
      <c r="N260" s="920">
        <f t="shared" si="27"/>
        <v>28.90909090909091</v>
      </c>
      <c r="O260" s="918" t="str">
        <f t="shared" si="28"/>
        <v>Jan</v>
      </c>
      <c r="P260" s="921">
        <f t="shared" si="29"/>
        <v>2</v>
      </c>
    </row>
    <row r="261" spans="1:16" ht="15" hidden="1" customHeight="1">
      <c r="A261" s="839">
        <v>64958125</v>
      </c>
      <c r="B261" s="839">
        <v>2904</v>
      </c>
      <c r="C261" s="906">
        <v>4213</v>
      </c>
      <c r="D261" s="907">
        <v>46030</v>
      </c>
      <c r="E261" s="839" t="s">
        <v>238</v>
      </c>
      <c r="F261" s="839" t="s">
        <v>234</v>
      </c>
      <c r="G261" s="916">
        <f>VLOOKUP($A261,'Tech Litons'!$A:$I,8,FALSE)</f>
        <v>3.3119999999999998E-3</v>
      </c>
      <c r="H261" s="917">
        <f>VLOOKUP($A261,'Tech Litons'!$A:$I,9,FALSE)</f>
        <v>165</v>
      </c>
      <c r="I261" s="917" t="str">
        <f>VLOOKUP($A261,'Tech Litons'!$A:$C,3,0)</f>
        <v>Yasso Sticks</v>
      </c>
      <c r="J261" s="918" t="str">
        <f t="shared" si="24"/>
        <v>2904Yasso Sticks</v>
      </c>
      <c r="K261" s="919">
        <v>1</v>
      </c>
      <c r="L261" s="920">
        <f t="shared" si="25"/>
        <v>4213</v>
      </c>
      <c r="M261" s="920">
        <f t="shared" si="26"/>
        <v>13.953455999999999</v>
      </c>
      <c r="N261" s="920">
        <f t="shared" si="27"/>
        <v>25.533333333333335</v>
      </c>
      <c r="O261" s="918" t="str">
        <f t="shared" si="28"/>
        <v>Jan</v>
      </c>
      <c r="P261" s="921">
        <f t="shared" si="29"/>
        <v>2</v>
      </c>
    </row>
    <row r="262" spans="1:16" ht="15" hidden="1" customHeight="1">
      <c r="A262" s="839">
        <v>68850683</v>
      </c>
      <c r="B262" s="839">
        <v>1352</v>
      </c>
      <c r="C262" s="906">
        <v>4334</v>
      </c>
      <c r="D262" s="907">
        <v>46030</v>
      </c>
      <c r="E262" s="839" t="s">
        <v>311</v>
      </c>
      <c r="F262" s="839" t="s">
        <v>264</v>
      </c>
      <c r="G262" s="916">
        <f>VLOOKUP($A262,'Tech Litons'!$A:$I,8,FALSE)</f>
        <v>8.5199999999999998E-3</v>
      </c>
      <c r="H262" s="917">
        <f>VLOOKUP($A262,'Tech Litons'!$A:$I,9,FALSE)</f>
        <v>176</v>
      </c>
      <c r="I262" s="917" t="str">
        <f>VLOOKUP($A262,'Tech Litons'!$A:$C,3,0)</f>
        <v>48oz</v>
      </c>
      <c r="J262" s="918" t="str">
        <f t="shared" si="24"/>
        <v>135248oz</v>
      </c>
      <c r="K262" s="919">
        <v>1</v>
      </c>
      <c r="L262" s="920">
        <f t="shared" si="25"/>
        <v>4334</v>
      </c>
      <c r="M262" s="920">
        <f t="shared" si="26"/>
        <v>36.92568</v>
      </c>
      <c r="N262" s="920">
        <f t="shared" si="27"/>
        <v>24.625</v>
      </c>
      <c r="O262" s="918" t="str">
        <f t="shared" si="28"/>
        <v>Jan</v>
      </c>
      <c r="P262" s="921">
        <f t="shared" si="29"/>
        <v>2</v>
      </c>
    </row>
    <row r="263" spans="1:16" ht="15" hidden="1" customHeight="1">
      <c r="A263" s="839">
        <v>68741714</v>
      </c>
      <c r="B263" s="839">
        <v>1352</v>
      </c>
      <c r="C263" s="906">
        <v>4344</v>
      </c>
      <c r="D263" s="907">
        <v>46030</v>
      </c>
      <c r="E263" s="839" t="s">
        <v>286</v>
      </c>
      <c r="F263" s="839" t="s">
        <v>287</v>
      </c>
      <c r="G263" s="916">
        <f>VLOOKUP($A263,'Tech Litons'!$A:$I,8,FALSE)</f>
        <v>2.8319999999999999E-3</v>
      </c>
      <c r="H263" s="917">
        <f>VLOOKUP($A263,'Tech Litons'!$A:$I,9,FALSE)</f>
        <v>225</v>
      </c>
      <c r="I263" s="917" t="str">
        <f>VLOOKUP($A263,'Tech Litons'!$A:$C,3,0)</f>
        <v>MBG</v>
      </c>
      <c r="J263" s="918" t="str">
        <f t="shared" si="24"/>
        <v>1352MBG</v>
      </c>
      <c r="K263" s="919">
        <v>1</v>
      </c>
      <c r="L263" s="920">
        <f t="shared" si="25"/>
        <v>4344</v>
      </c>
      <c r="M263" s="920">
        <f t="shared" si="26"/>
        <v>12.302208</v>
      </c>
      <c r="N263" s="920">
        <f t="shared" si="27"/>
        <v>19.306666666666668</v>
      </c>
      <c r="O263" s="918" t="str">
        <f t="shared" si="28"/>
        <v>Jan</v>
      </c>
      <c r="P263" s="921">
        <f t="shared" si="29"/>
        <v>2</v>
      </c>
    </row>
    <row r="264" spans="1:16" ht="15" hidden="1" customHeight="1">
      <c r="A264" s="839">
        <v>64988056</v>
      </c>
      <c r="B264" s="839">
        <v>2904</v>
      </c>
      <c r="C264" s="906">
        <v>4426</v>
      </c>
      <c r="D264" s="907">
        <v>46030</v>
      </c>
      <c r="E264" s="839" t="s">
        <v>268</v>
      </c>
      <c r="F264" s="839" t="s">
        <v>269</v>
      </c>
      <c r="G264" s="916">
        <f>VLOOKUP($A264,'Tech Litons'!$A:$I,8,FALSE)</f>
        <v>8.513999999999999E-3</v>
      </c>
      <c r="H264" s="917">
        <f>VLOOKUP($A264,'Tech Litons'!$A:$I,9,FALSE)</f>
        <v>176</v>
      </c>
      <c r="I264" s="917" t="str">
        <f>VLOOKUP($A264,'Tech Litons'!$A:$C,3,0)</f>
        <v>48oz</v>
      </c>
      <c r="J264" s="918" t="str">
        <f t="shared" si="24"/>
        <v>290448oz</v>
      </c>
      <c r="K264" s="919">
        <v>1</v>
      </c>
      <c r="L264" s="920">
        <f t="shared" si="25"/>
        <v>4426</v>
      </c>
      <c r="M264" s="920">
        <f t="shared" si="26"/>
        <v>37.682963999999998</v>
      </c>
      <c r="N264" s="920">
        <f t="shared" si="27"/>
        <v>25.147727272727273</v>
      </c>
      <c r="O264" s="918" t="str">
        <f t="shared" si="28"/>
        <v>Jan</v>
      </c>
      <c r="P264" s="921">
        <f t="shared" si="29"/>
        <v>2</v>
      </c>
    </row>
    <row r="265" spans="1:16" ht="15" hidden="1" customHeight="1">
      <c r="A265" s="839">
        <v>68921994</v>
      </c>
      <c r="B265" s="839">
        <v>1352</v>
      </c>
      <c r="C265" s="906">
        <v>4526</v>
      </c>
      <c r="D265" s="907">
        <v>46030</v>
      </c>
      <c r="E265" s="839" t="s">
        <v>267</v>
      </c>
      <c r="F265" s="839" t="s">
        <v>241</v>
      </c>
      <c r="G265" s="916">
        <f>VLOOKUP($A265,'Tech Litons'!$A:$I,8,FALSE)</f>
        <v>9.5760000000000012E-3</v>
      </c>
      <c r="H265" s="917">
        <f>VLOOKUP($A265,'Tech Litons'!$A:$I,9,FALSE)</f>
        <v>132</v>
      </c>
      <c r="I265" s="917" t="str">
        <f>VLOOKUP($A265,'Tech Litons'!$A:$C,3,0)</f>
        <v>EDF</v>
      </c>
      <c r="J265" s="918" t="str">
        <f t="shared" si="24"/>
        <v>1352EDF</v>
      </c>
      <c r="K265" s="919">
        <v>1</v>
      </c>
      <c r="L265" s="920">
        <f t="shared" si="25"/>
        <v>4526</v>
      </c>
      <c r="M265" s="920">
        <f t="shared" si="26"/>
        <v>43.340976000000005</v>
      </c>
      <c r="N265" s="920">
        <f t="shared" si="27"/>
        <v>34.287878787878789</v>
      </c>
      <c r="O265" s="918" t="str">
        <f t="shared" si="28"/>
        <v>Jan</v>
      </c>
      <c r="P265" s="921">
        <f t="shared" si="29"/>
        <v>2</v>
      </c>
    </row>
    <row r="266" spans="1:16" ht="15" hidden="1" customHeight="1">
      <c r="A266" s="839">
        <v>64369046</v>
      </c>
      <c r="B266" s="839">
        <v>2904</v>
      </c>
      <c r="C266" s="906">
        <v>4590</v>
      </c>
      <c r="D266" s="907">
        <v>46030</v>
      </c>
      <c r="E266" s="839" t="s">
        <v>315</v>
      </c>
      <c r="F266" s="839" t="s">
        <v>275</v>
      </c>
      <c r="G266" s="916">
        <f>VLOOKUP($A266,'Tech Litons'!$A:$I,8,FALSE)</f>
        <v>3.552E-3</v>
      </c>
      <c r="H266" s="917">
        <f>VLOOKUP($A266,'Tech Litons'!$A:$I,9,FALSE)</f>
        <v>255</v>
      </c>
      <c r="I266" s="917" t="str">
        <f>VLOOKUP($A266,'Tech Litons'!$A:$C,3,0)</f>
        <v>Talenti</v>
      </c>
      <c r="J266" s="918" t="str">
        <f t="shared" si="24"/>
        <v>2904Talenti</v>
      </c>
      <c r="K266" s="919">
        <v>1</v>
      </c>
      <c r="L266" s="920">
        <f t="shared" si="25"/>
        <v>4590</v>
      </c>
      <c r="M266" s="920">
        <f t="shared" si="26"/>
        <v>16.30368</v>
      </c>
      <c r="N266" s="920">
        <f t="shared" si="27"/>
        <v>18</v>
      </c>
      <c r="O266" s="918" t="str">
        <f t="shared" si="28"/>
        <v>Jan</v>
      </c>
      <c r="P266" s="921">
        <f t="shared" si="29"/>
        <v>2</v>
      </c>
    </row>
    <row r="267" spans="1:16" ht="15" hidden="1" customHeight="1">
      <c r="A267" s="839">
        <v>68737750</v>
      </c>
      <c r="B267" s="839">
        <v>1352</v>
      </c>
      <c r="C267" s="906">
        <v>5266</v>
      </c>
      <c r="D267" s="907">
        <v>46030</v>
      </c>
      <c r="E267" s="839" t="s">
        <v>407</v>
      </c>
      <c r="F267" s="839" t="s">
        <v>261</v>
      </c>
      <c r="G267" s="916">
        <f>VLOOKUP($A267,'Tech Litons'!$A:$I,8,FALSE)</f>
        <v>8.5199999999999998E-3</v>
      </c>
      <c r="H267" s="917">
        <f>VLOOKUP($A267,'Tech Litons'!$A:$I,9,FALSE)</f>
        <v>176</v>
      </c>
      <c r="I267" s="917" t="str">
        <f>VLOOKUP($A267,'Tech Litons'!$A:$C,3,0)</f>
        <v>48oz</v>
      </c>
      <c r="J267" s="918" t="str">
        <f t="shared" si="24"/>
        <v>135248oz</v>
      </c>
      <c r="K267" s="919">
        <v>1</v>
      </c>
      <c r="L267" s="920">
        <f t="shared" si="25"/>
        <v>5266</v>
      </c>
      <c r="M267" s="920">
        <f t="shared" si="26"/>
        <v>44.866320000000002</v>
      </c>
      <c r="N267" s="920">
        <f t="shared" si="27"/>
        <v>29.920454545454547</v>
      </c>
      <c r="O267" s="918" t="str">
        <f t="shared" si="28"/>
        <v>Jan</v>
      </c>
      <c r="P267" s="921">
        <f t="shared" si="29"/>
        <v>2</v>
      </c>
    </row>
    <row r="268" spans="1:16" ht="15" hidden="1" customHeight="1">
      <c r="A268" s="839">
        <v>68649095</v>
      </c>
      <c r="B268" s="839">
        <v>2904</v>
      </c>
      <c r="C268" s="906">
        <v>5280</v>
      </c>
      <c r="D268" s="907">
        <v>46030</v>
      </c>
      <c r="E268" s="839" t="s">
        <v>294</v>
      </c>
      <c r="F268" s="839" t="s">
        <v>40</v>
      </c>
      <c r="G268" s="916">
        <f>VLOOKUP($A268,'Tech Litons'!$A:$I,8,FALSE)</f>
        <v>3.5999999999999999E-3</v>
      </c>
      <c r="H268" s="917">
        <f>VLOOKUP($A268,'Tech Litons'!$A:$I,9,FALSE)</f>
        <v>240</v>
      </c>
      <c r="I268" s="917" t="str">
        <f>VLOOKUP($A268,'Tech Litons'!$A:$C,3,0)</f>
        <v>Topped</v>
      </c>
      <c r="J268" s="918" t="str">
        <f t="shared" si="24"/>
        <v>2904Topped</v>
      </c>
      <c r="K268" s="919">
        <v>1</v>
      </c>
      <c r="L268" s="920">
        <f t="shared" si="25"/>
        <v>5280</v>
      </c>
      <c r="M268" s="920">
        <f t="shared" si="26"/>
        <v>19.007999999999999</v>
      </c>
      <c r="N268" s="920">
        <f t="shared" si="27"/>
        <v>22</v>
      </c>
      <c r="O268" s="918" t="str">
        <f t="shared" si="28"/>
        <v>Jan</v>
      </c>
      <c r="P268" s="921">
        <f t="shared" si="29"/>
        <v>2</v>
      </c>
    </row>
    <row r="269" spans="1:16" ht="15" hidden="1" customHeight="1">
      <c r="A269" s="839">
        <v>68732322</v>
      </c>
      <c r="B269" s="839">
        <v>5911</v>
      </c>
      <c r="C269" s="906">
        <v>5479</v>
      </c>
      <c r="D269" s="907">
        <v>46030</v>
      </c>
      <c r="E269" s="839" t="s">
        <v>538</v>
      </c>
      <c r="F269" s="839" t="s">
        <v>303</v>
      </c>
      <c r="G269" s="916">
        <f>VLOOKUP($A269,'Tech Litons'!$A:$I,8,FALSE)</f>
        <v>3.6640000000000002E-3</v>
      </c>
      <c r="H269" s="917">
        <f>VLOOKUP($A269,'Tech Litons'!$A:$I,9,FALSE)</f>
        <v>240</v>
      </c>
      <c r="I269" s="917" t="str">
        <f>VLOOKUP($A269,'Tech Litons'!$A:$C,3,0)</f>
        <v>PTS Exports</v>
      </c>
      <c r="J269" s="918" t="str">
        <f t="shared" si="24"/>
        <v>5911PTS Exports</v>
      </c>
      <c r="K269" s="919">
        <v>1</v>
      </c>
      <c r="L269" s="920">
        <f t="shared" si="25"/>
        <v>5479</v>
      </c>
      <c r="M269" s="920">
        <f t="shared" si="26"/>
        <v>20.075056</v>
      </c>
      <c r="N269" s="920">
        <f t="shared" si="27"/>
        <v>22.829166666666666</v>
      </c>
      <c r="O269" s="918" t="str">
        <f t="shared" si="28"/>
        <v>Jan</v>
      </c>
      <c r="P269" s="921">
        <f t="shared" si="29"/>
        <v>2</v>
      </c>
    </row>
    <row r="270" spans="1:16" ht="15" hidden="1" customHeight="1">
      <c r="A270" s="839">
        <v>68896054</v>
      </c>
      <c r="B270" s="839">
        <v>1352</v>
      </c>
      <c r="C270" s="906">
        <v>6097</v>
      </c>
      <c r="D270" s="907">
        <v>46030</v>
      </c>
      <c r="E270" s="839" t="s">
        <v>265</v>
      </c>
      <c r="F270" s="839" t="s">
        <v>266</v>
      </c>
      <c r="G270" s="916">
        <f>VLOOKUP($A270,'Tech Litons'!$A:$I,8,FALSE)</f>
        <v>8.5199999999999998E-3</v>
      </c>
      <c r="H270" s="917">
        <f>VLOOKUP($A270,'Tech Litons'!$A:$I,9,FALSE)</f>
        <v>176</v>
      </c>
      <c r="I270" s="917" t="str">
        <f>VLOOKUP($A270,'Tech Litons'!$A:$C,3,0)</f>
        <v>48oz</v>
      </c>
      <c r="J270" s="918" t="str">
        <f t="shared" si="24"/>
        <v>135248oz</v>
      </c>
      <c r="K270" s="919">
        <v>1</v>
      </c>
      <c r="L270" s="920">
        <f t="shared" si="25"/>
        <v>6097</v>
      </c>
      <c r="M270" s="920">
        <f t="shared" si="26"/>
        <v>51.946439999999996</v>
      </c>
      <c r="N270" s="920">
        <f t="shared" si="27"/>
        <v>34.642045454545453</v>
      </c>
      <c r="O270" s="918" t="str">
        <f t="shared" si="28"/>
        <v>Jan</v>
      </c>
      <c r="P270" s="921">
        <f t="shared" si="29"/>
        <v>2</v>
      </c>
    </row>
    <row r="271" spans="1:16" ht="15" hidden="1" customHeight="1">
      <c r="A271" s="839">
        <v>64330611</v>
      </c>
      <c r="B271" s="839">
        <v>2904</v>
      </c>
      <c r="C271" s="906">
        <v>6426</v>
      </c>
      <c r="D271" s="907">
        <v>46030</v>
      </c>
      <c r="E271" s="839" t="s">
        <v>354</v>
      </c>
      <c r="F271" s="839" t="s">
        <v>283</v>
      </c>
      <c r="G271" s="916">
        <f>VLOOKUP($A271,'Tech Litons'!$A:$I,8,FALSE)</f>
        <v>2.16E-3</v>
      </c>
      <c r="H271" s="917">
        <f>VLOOKUP($A271,'Tech Litons'!$A:$I,9,FALSE)</f>
        <v>210</v>
      </c>
      <c r="I271" s="917" t="str">
        <f>VLOOKUP($A271,'Tech Litons'!$A:$C,3,0)</f>
        <v>MG Sticks</v>
      </c>
      <c r="J271" s="918" t="str">
        <f t="shared" si="24"/>
        <v>2904MG Sticks</v>
      </c>
      <c r="K271" s="919">
        <v>1</v>
      </c>
      <c r="L271" s="920">
        <f t="shared" si="25"/>
        <v>6426</v>
      </c>
      <c r="M271" s="920">
        <f t="shared" si="26"/>
        <v>13.88016</v>
      </c>
      <c r="N271" s="920">
        <f t="shared" si="27"/>
        <v>30.6</v>
      </c>
      <c r="O271" s="918" t="str">
        <f t="shared" si="28"/>
        <v>Jan</v>
      </c>
      <c r="P271" s="921">
        <f t="shared" si="29"/>
        <v>2</v>
      </c>
    </row>
    <row r="272" spans="1:16" ht="15" hidden="1" customHeight="1">
      <c r="A272" s="839">
        <v>68821735</v>
      </c>
      <c r="B272" s="839">
        <v>2904</v>
      </c>
      <c r="C272" s="906">
        <v>6512</v>
      </c>
      <c r="D272" s="907">
        <v>46030</v>
      </c>
      <c r="E272" s="839" t="s">
        <v>318</v>
      </c>
      <c r="F272" s="839" t="s">
        <v>271</v>
      </c>
      <c r="G272" s="916">
        <f>VLOOKUP($A272,'Tech Litons'!$A:$I,8,FALSE)</f>
        <v>8.5199999999999998E-3</v>
      </c>
      <c r="H272" s="917">
        <f>VLOOKUP($A272,'Tech Litons'!$A:$I,9,FALSE)</f>
        <v>176</v>
      </c>
      <c r="I272" s="917" t="str">
        <f>VLOOKUP($A272,'Tech Litons'!$A:$C,3,0)</f>
        <v>48oz</v>
      </c>
      <c r="J272" s="918" t="str">
        <f t="shared" si="24"/>
        <v>290448oz</v>
      </c>
      <c r="K272" s="919">
        <v>1</v>
      </c>
      <c r="L272" s="920">
        <f t="shared" si="25"/>
        <v>6512</v>
      </c>
      <c r="M272" s="920">
        <f t="shared" si="26"/>
        <v>55.482239999999997</v>
      </c>
      <c r="N272" s="920">
        <f t="shared" si="27"/>
        <v>37</v>
      </c>
      <c r="O272" s="918" t="str">
        <f t="shared" si="28"/>
        <v>Jan</v>
      </c>
      <c r="P272" s="921">
        <f t="shared" si="29"/>
        <v>2</v>
      </c>
    </row>
    <row r="273" spans="1:16" ht="15" hidden="1" customHeight="1">
      <c r="A273" s="839">
        <v>68821735</v>
      </c>
      <c r="B273" s="839">
        <v>2904</v>
      </c>
      <c r="C273" s="906">
        <v>6688</v>
      </c>
      <c r="D273" s="907">
        <v>46030</v>
      </c>
      <c r="E273" s="839" t="s">
        <v>318</v>
      </c>
      <c r="F273" s="839" t="s">
        <v>271</v>
      </c>
      <c r="G273" s="916">
        <f>VLOOKUP($A273,'Tech Litons'!$A:$I,8,FALSE)</f>
        <v>8.5199999999999998E-3</v>
      </c>
      <c r="H273" s="917">
        <f>VLOOKUP($A273,'Tech Litons'!$A:$I,9,FALSE)</f>
        <v>176</v>
      </c>
      <c r="I273" s="917" t="str">
        <f>VLOOKUP($A273,'Tech Litons'!$A:$C,3,0)</f>
        <v>48oz</v>
      </c>
      <c r="J273" s="918" t="str">
        <f t="shared" si="24"/>
        <v>290448oz</v>
      </c>
      <c r="K273" s="919">
        <v>1</v>
      </c>
      <c r="L273" s="920">
        <f t="shared" si="25"/>
        <v>6688</v>
      </c>
      <c r="M273" s="920">
        <f t="shared" si="26"/>
        <v>56.981760000000001</v>
      </c>
      <c r="N273" s="920">
        <f t="shared" si="27"/>
        <v>38</v>
      </c>
      <c r="O273" s="918" t="str">
        <f t="shared" si="28"/>
        <v>Jan</v>
      </c>
      <c r="P273" s="921">
        <f t="shared" si="29"/>
        <v>2</v>
      </c>
    </row>
    <row r="274" spans="1:16" ht="15" hidden="1" customHeight="1">
      <c r="A274" s="839">
        <v>64330611</v>
      </c>
      <c r="B274" s="839">
        <v>2904</v>
      </c>
      <c r="C274" s="906">
        <v>6720</v>
      </c>
      <c r="D274" s="907">
        <v>46030</v>
      </c>
      <c r="E274" s="839" t="s">
        <v>354</v>
      </c>
      <c r="F274" s="839" t="s">
        <v>283</v>
      </c>
      <c r="G274" s="916">
        <f>VLOOKUP($A274,'Tech Litons'!$A:$I,8,FALSE)</f>
        <v>2.16E-3</v>
      </c>
      <c r="H274" s="917">
        <f>VLOOKUP($A274,'Tech Litons'!$A:$I,9,FALSE)</f>
        <v>210</v>
      </c>
      <c r="I274" s="917" t="str">
        <f>VLOOKUP($A274,'Tech Litons'!$A:$C,3,0)</f>
        <v>MG Sticks</v>
      </c>
      <c r="J274" s="918" t="str">
        <f t="shared" ref="J274:J337" si="30">B274&amp;I274</f>
        <v>2904MG Sticks</v>
      </c>
      <c r="K274" s="919">
        <v>1</v>
      </c>
      <c r="L274" s="920">
        <f t="shared" ref="L274:L337" si="31">C274*$K274</f>
        <v>6720</v>
      </c>
      <c r="M274" s="920">
        <f t="shared" ref="M274:M337" si="32">L274*G274</f>
        <v>14.5152</v>
      </c>
      <c r="N274" s="920">
        <f t="shared" ref="N274:N337" si="33">L274/H274</f>
        <v>32</v>
      </c>
      <c r="O274" s="918" t="str">
        <f t="shared" ref="O274:O337" si="34">TEXT(D274,"MMM")</f>
        <v>Jan</v>
      </c>
      <c r="P274" s="921">
        <f t="shared" ref="P274:P337" si="35">WEEKNUM(D274)</f>
        <v>2</v>
      </c>
    </row>
    <row r="275" spans="1:16" ht="15" hidden="1" customHeight="1">
      <c r="A275" s="839">
        <v>64330596</v>
      </c>
      <c r="B275" s="839">
        <v>2904</v>
      </c>
      <c r="C275" s="906">
        <v>6912</v>
      </c>
      <c r="D275" s="907">
        <v>46030</v>
      </c>
      <c r="E275" s="839" t="s">
        <v>280</v>
      </c>
      <c r="F275" s="839" t="s">
        <v>281</v>
      </c>
      <c r="G275" s="916">
        <f>VLOOKUP($A275,'Tech Litons'!$A:$I,8,FALSE)</f>
        <v>1.98E-3</v>
      </c>
      <c r="H275" s="917">
        <f>VLOOKUP($A275,'Tech Litons'!$A:$I,9,FALSE)</f>
        <v>176</v>
      </c>
      <c r="I275" s="917" t="str">
        <f>VLOOKUP($A275,'Tech Litons'!$A:$C,3,0)</f>
        <v>MG Sticks</v>
      </c>
      <c r="J275" s="918" t="str">
        <f t="shared" si="30"/>
        <v>2904MG Sticks</v>
      </c>
      <c r="K275" s="919">
        <v>1</v>
      </c>
      <c r="L275" s="920">
        <f t="shared" si="31"/>
        <v>6912</v>
      </c>
      <c r="M275" s="920">
        <f t="shared" si="32"/>
        <v>13.68576</v>
      </c>
      <c r="N275" s="920">
        <f t="shared" si="33"/>
        <v>39.272727272727273</v>
      </c>
      <c r="O275" s="918" t="str">
        <f t="shared" si="34"/>
        <v>Jan</v>
      </c>
      <c r="P275" s="921">
        <f t="shared" si="35"/>
        <v>2</v>
      </c>
    </row>
    <row r="276" spans="1:16" ht="15" hidden="1" customHeight="1">
      <c r="A276" s="839">
        <v>64958125</v>
      </c>
      <c r="B276" s="839">
        <v>2904</v>
      </c>
      <c r="C276" s="906">
        <v>7260</v>
      </c>
      <c r="D276" s="907">
        <v>46030</v>
      </c>
      <c r="E276" s="839" t="s">
        <v>238</v>
      </c>
      <c r="F276" s="839" t="s">
        <v>234</v>
      </c>
      <c r="G276" s="916">
        <f>VLOOKUP($A276,'Tech Litons'!$A:$I,8,FALSE)</f>
        <v>3.3119999999999998E-3</v>
      </c>
      <c r="H276" s="917">
        <f>VLOOKUP($A276,'Tech Litons'!$A:$I,9,FALSE)</f>
        <v>165</v>
      </c>
      <c r="I276" s="917" t="str">
        <f>VLOOKUP($A276,'Tech Litons'!$A:$C,3,0)</f>
        <v>Yasso Sticks</v>
      </c>
      <c r="J276" s="918" t="str">
        <f t="shared" si="30"/>
        <v>2904Yasso Sticks</v>
      </c>
      <c r="K276" s="919">
        <v>1</v>
      </c>
      <c r="L276" s="920">
        <f t="shared" si="31"/>
        <v>7260</v>
      </c>
      <c r="M276" s="920">
        <f t="shared" si="32"/>
        <v>24.045119999999997</v>
      </c>
      <c r="N276" s="920">
        <f t="shared" si="33"/>
        <v>44</v>
      </c>
      <c r="O276" s="918" t="str">
        <f t="shared" si="34"/>
        <v>Jan</v>
      </c>
      <c r="P276" s="921">
        <f t="shared" si="35"/>
        <v>2</v>
      </c>
    </row>
    <row r="277" spans="1:16" ht="15" hidden="1" customHeight="1">
      <c r="A277" s="839">
        <v>67826412</v>
      </c>
      <c r="B277" s="839">
        <v>2904</v>
      </c>
      <c r="C277" s="906">
        <v>7920</v>
      </c>
      <c r="D277" s="907">
        <v>46030</v>
      </c>
      <c r="E277" s="839" t="s">
        <v>312</v>
      </c>
      <c r="F277" s="839" t="s">
        <v>299</v>
      </c>
      <c r="G277" s="916">
        <f>VLOOKUP($A277,'Tech Litons'!$A:$I,8,FALSE)</f>
        <v>3.7853439999999999E-3</v>
      </c>
      <c r="H277" s="917">
        <f>VLOOKUP($A277,'Tech Litons'!$A:$I,9,FALSE)</f>
        <v>240</v>
      </c>
      <c r="I277" s="917" t="str">
        <f>VLOOKUP($A277,'Tech Litons'!$A:$C,3,0)</f>
        <v>BJ PTS</v>
      </c>
      <c r="J277" s="918" t="str">
        <f t="shared" si="30"/>
        <v>2904BJ PTS</v>
      </c>
      <c r="K277" s="919">
        <v>1</v>
      </c>
      <c r="L277" s="920">
        <f t="shared" si="31"/>
        <v>7920</v>
      </c>
      <c r="M277" s="920">
        <f t="shared" si="32"/>
        <v>29.979924480000001</v>
      </c>
      <c r="N277" s="920">
        <f t="shared" si="33"/>
        <v>33</v>
      </c>
      <c r="O277" s="918" t="str">
        <f t="shared" si="34"/>
        <v>Jan</v>
      </c>
      <c r="P277" s="921">
        <f t="shared" si="35"/>
        <v>2</v>
      </c>
    </row>
    <row r="278" spans="1:16" ht="15" hidden="1" customHeight="1">
      <c r="A278" s="839">
        <v>68851104</v>
      </c>
      <c r="B278" s="839">
        <v>1352</v>
      </c>
      <c r="C278" s="906">
        <v>8135</v>
      </c>
      <c r="D278" s="907">
        <v>46030</v>
      </c>
      <c r="E278" s="839" t="s">
        <v>270</v>
      </c>
      <c r="F278" s="839" t="s">
        <v>290</v>
      </c>
      <c r="G278" s="916">
        <f>VLOOKUP($A278,'Tech Litons'!$A:$I,8,FALSE)</f>
        <v>8.5199999999999998E-3</v>
      </c>
      <c r="H278" s="917">
        <f>VLOOKUP($A278,'Tech Litons'!$A:$I,9,FALSE)</f>
        <v>176</v>
      </c>
      <c r="I278" s="917" t="str">
        <f>VLOOKUP($A278,'Tech Litons'!$A:$C,3,0)</f>
        <v>48oz</v>
      </c>
      <c r="J278" s="918" t="str">
        <f t="shared" si="30"/>
        <v>135248oz</v>
      </c>
      <c r="K278" s="919">
        <v>1</v>
      </c>
      <c r="L278" s="920">
        <f t="shared" si="31"/>
        <v>8135</v>
      </c>
      <c r="M278" s="920">
        <f t="shared" si="32"/>
        <v>69.310199999999995</v>
      </c>
      <c r="N278" s="920">
        <f t="shared" si="33"/>
        <v>46.221590909090907</v>
      </c>
      <c r="O278" s="918" t="str">
        <f t="shared" si="34"/>
        <v>Jan</v>
      </c>
      <c r="P278" s="921">
        <f t="shared" si="35"/>
        <v>2</v>
      </c>
    </row>
    <row r="279" spans="1:16" ht="15" hidden="1" customHeight="1">
      <c r="A279" s="839">
        <v>68851108</v>
      </c>
      <c r="B279" s="839">
        <v>2904</v>
      </c>
      <c r="C279" s="906">
        <v>8987</v>
      </c>
      <c r="D279" s="907">
        <v>46030</v>
      </c>
      <c r="E279" s="839" t="s">
        <v>296</v>
      </c>
      <c r="F279" s="839" t="s">
        <v>273</v>
      </c>
      <c r="G279" s="916">
        <f>VLOOKUP($A279,'Tech Litons'!$A:$I,8,FALSE)</f>
        <v>8.5199999999999998E-3</v>
      </c>
      <c r="H279" s="917">
        <f>VLOOKUP($A279,'Tech Litons'!$A:$I,9,FALSE)</f>
        <v>176</v>
      </c>
      <c r="I279" s="917" t="str">
        <f>VLOOKUP($A279,'Tech Litons'!$A:$C,3,0)</f>
        <v>48oz</v>
      </c>
      <c r="J279" s="918" t="str">
        <f t="shared" si="30"/>
        <v>290448oz</v>
      </c>
      <c r="K279" s="919">
        <v>1</v>
      </c>
      <c r="L279" s="920">
        <f t="shared" si="31"/>
        <v>8987</v>
      </c>
      <c r="M279" s="920">
        <f t="shared" si="32"/>
        <v>76.569239999999994</v>
      </c>
      <c r="N279" s="920">
        <f t="shared" si="33"/>
        <v>51.0625</v>
      </c>
      <c r="O279" s="918" t="str">
        <f t="shared" si="34"/>
        <v>Jan</v>
      </c>
      <c r="P279" s="921">
        <f t="shared" si="35"/>
        <v>2</v>
      </c>
    </row>
    <row r="280" spans="1:16" ht="15" hidden="1" customHeight="1">
      <c r="A280" s="839">
        <v>68851108</v>
      </c>
      <c r="B280" s="839">
        <v>2904</v>
      </c>
      <c r="C280" s="906">
        <v>9152</v>
      </c>
      <c r="D280" s="907">
        <v>46030</v>
      </c>
      <c r="E280" s="839" t="s">
        <v>296</v>
      </c>
      <c r="F280" s="839" t="s">
        <v>273</v>
      </c>
      <c r="G280" s="916">
        <f>VLOOKUP($A280,'Tech Litons'!$A:$I,8,FALSE)</f>
        <v>8.5199999999999998E-3</v>
      </c>
      <c r="H280" s="917">
        <f>VLOOKUP($A280,'Tech Litons'!$A:$I,9,FALSE)</f>
        <v>176</v>
      </c>
      <c r="I280" s="917" t="str">
        <f>VLOOKUP($A280,'Tech Litons'!$A:$C,3,0)</f>
        <v>48oz</v>
      </c>
      <c r="J280" s="918" t="str">
        <f t="shared" si="30"/>
        <v>290448oz</v>
      </c>
      <c r="K280" s="919">
        <v>1</v>
      </c>
      <c r="L280" s="920">
        <f t="shared" si="31"/>
        <v>9152</v>
      </c>
      <c r="M280" s="920">
        <f t="shared" si="32"/>
        <v>77.975039999999993</v>
      </c>
      <c r="N280" s="920">
        <f t="shared" si="33"/>
        <v>52</v>
      </c>
      <c r="O280" s="918" t="str">
        <f t="shared" si="34"/>
        <v>Jan</v>
      </c>
      <c r="P280" s="921">
        <f t="shared" si="35"/>
        <v>2</v>
      </c>
    </row>
    <row r="281" spans="1:16" ht="15" hidden="1" customHeight="1">
      <c r="A281" s="839">
        <v>68862392</v>
      </c>
      <c r="B281" s="839">
        <v>2904</v>
      </c>
      <c r="C281" s="906">
        <v>9790</v>
      </c>
      <c r="D281" s="907">
        <v>46030</v>
      </c>
      <c r="E281" s="839" t="s">
        <v>305</v>
      </c>
      <c r="F281" s="839" t="s">
        <v>277</v>
      </c>
      <c r="G281" s="916">
        <f>VLOOKUP($A281,'Tech Litons'!$A:$I,8,FALSE)</f>
        <v>3.7839999999999996E-3</v>
      </c>
      <c r="H281" s="917">
        <f>VLOOKUP($A281,'Tech Litons'!$A:$I,9,FALSE)</f>
        <v>255</v>
      </c>
      <c r="I281" s="917" t="str">
        <f>VLOOKUP($A281,'Tech Litons'!$A:$C,3,0)</f>
        <v>TALENTI</v>
      </c>
      <c r="J281" s="918" t="str">
        <f t="shared" si="30"/>
        <v>2904TALENTI</v>
      </c>
      <c r="K281" s="919">
        <v>1</v>
      </c>
      <c r="L281" s="920">
        <f t="shared" si="31"/>
        <v>9790</v>
      </c>
      <c r="M281" s="920">
        <f t="shared" si="32"/>
        <v>37.045359999999995</v>
      </c>
      <c r="N281" s="920">
        <f t="shared" si="33"/>
        <v>38.392156862745097</v>
      </c>
      <c r="O281" s="918" t="str">
        <f t="shared" si="34"/>
        <v>Jan</v>
      </c>
      <c r="P281" s="921">
        <f t="shared" si="35"/>
        <v>2</v>
      </c>
    </row>
    <row r="282" spans="1:16" ht="15" hidden="1" customHeight="1">
      <c r="A282" s="839">
        <v>69999269</v>
      </c>
      <c r="B282" s="839">
        <v>5914</v>
      </c>
      <c r="C282" s="906">
        <v>11520</v>
      </c>
      <c r="D282" s="907">
        <v>46030</v>
      </c>
      <c r="E282" s="839" t="s">
        <v>300</v>
      </c>
      <c r="F282" s="839" t="s">
        <v>301</v>
      </c>
      <c r="G282" s="916">
        <f>VLOOKUP($A282,'Tech Litons'!$A:$I,8,FALSE)</f>
        <v>3.7839999999999996E-3</v>
      </c>
      <c r="H282" s="917">
        <f>VLOOKUP($A282,'Tech Litons'!$A:$I,9,FALSE)</f>
        <v>240</v>
      </c>
      <c r="I282" s="917" t="str">
        <f>VLOOKUP($A282,'Tech Litons'!$A:$C,3,0)</f>
        <v>BJ PTS</v>
      </c>
      <c r="J282" s="918" t="str">
        <f t="shared" si="30"/>
        <v>5914BJ PTS</v>
      </c>
      <c r="K282" s="919">
        <v>1</v>
      </c>
      <c r="L282" s="920">
        <f t="shared" si="31"/>
        <v>11520</v>
      </c>
      <c r="M282" s="920">
        <f t="shared" si="32"/>
        <v>43.591679999999997</v>
      </c>
      <c r="N282" s="920">
        <f t="shared" si="33"/>
        <v>48</v>
      </c>
      <c r="O282" s="918" t="str">
        <f t="shared" si="34"/>
        <v>Jan</v>
      </c>
      <c r="P282" s="921">
        <f t="shared" si="35"/>
        <v>2</v>
      </c>
    </row>
    <row r="283" spans="1:16" ht="15" hidden="1" customHeight="1">
      <c r="A283" s="839">
        <v>67430513</v>
      </c>
      <c r="B283" s="839">
        <v>5914</v>
      </c>
      <c r="C283" s="906">
        <v>12720</v>
      </c>
      <c r="D283" s="907">
        <v>46030</v>
      </c>
      <c r="E283" s="839" t="s">
        <v>308</v>
      </c>
      <c r="F283" s="839" t="s">
        <v>303</v>
      </c>
      <c r="G283" s="916">
        <f>VLOOKUP($A283,'Tech Litons'!$A:$I,8,FALSE)</f>
        <v>3.7839999999999996E-3</v>
      </c>
      <c r="H283" s="917">
        <f>VLOOKUP($A283,'Tech Litons'!$A:$I,9,FALSE)</f>
        <v>240</v>
      </c>
      <c r="I283" s="917" t="str">
        <f>VLOOKUP($A283,'Tech Litons'!$A:$C,3,0)</f>
        <v>BJ PTS</v>
      </c>
      <c r="J283" s="918" t="str">
        <f t="shared" si="30"/>
        <v>5914BJ PTS</v>
      </c>
      <c r="K283" s="919">
        <v>1</v>
      </c>
      <c r="L283" s="920">
        <f t="shared" si="31"/>
        <v>12720</v>
      </c>
      <c r="M283" s="920">
        <f t="shared" si="32"/>
        <v>48.132479999999994</v>
      </c>
      <c r="N283" s="920">
        <f t="shared" si="33"/>
        <v>53</v>
      </c>
      <c r="O283" s="918" t="str">
        <f t="shared" si="34"/>
        <v>Jan</v>
      </c>
      <c r="P283" s="921">
        <f t="shared" si="35"/>
        <v>2</v>
      </c>
    </row>
    <row r="284" spans="1:16" ht="15" hidden="1" customHeight="1">
      <c r="A284" s="839">
        <v>68862392</v>
      </c>
      <c r="B284" s="839">
        <v>2904</v>
      </c>
      <c r="C284" s="906">
        <v>13515</v>
      </c>
      <c r="D284" s="907">
        <v>46030</v>
      </c>
      <c r="E284" s="839" t="s">
        <v>305</v>
      </c>
      <c r="F284" s="839" t="s">
        <v>277</v>
      </c>
      <c r="G284" s="916">
        <f>VLOOKUP($A284,'Tech Litons'!$A:$I,8,FALSE)</f>
        <v>3.7839999999999996E-3</v>
      </c>
      <c r="H284" s="917">
        <f>VLOOKUP($A284,'Tech Litons'!$A:$I,9,FALSE)</f>
        <v>255</v>
      </c>
      <c r="I284" s="917" t="str">
        <f>VLOOKUP($A284,'Tech Litons'!$A:$C,3,0)</f>
        <v>TALENTI</v>
      </c>
      <c r="J284" s="918" t="str">
        <f t="shared" si="30"/>
        <v>2904TALENTI</v>
      </c>
      <c r="K284" s="919">
        <v>1</v>
      </c>
      <c r="L284" s="920">
        <f t="shared" si="31"/>
        <v>13515</v>
      </c>
      <c r="M284" s="920">
        <f t="shared" si="32"/>
        <v>51.140759999999993</v>
      </c>
      <c r="N284" s="920">
        <f t="shared" si="33"/>
        <v>53</v>
      </c>
      <c r="O284" s="918" t="str">
        <f t="shared" si="34"/>
        <v>Jan</v>
      </c>
      <c r="P284" s="921">
        <f t="shared" si="35"/>
        <v>2</v>
      </c>
    </row>
    <row r="285" spans="1:16" ht="15" hidden="1" customHeight="1">
      <c r="A285" s="839">
        <v>69999269</v>
      </c>
      <c r="B285" s="839">
        <v>5914</v>
      </c>
      <c r="C285" s="906">
        <v>18161</v>
      </c>
      <c r="D285" s="907">
        <v>46030</v>
      </c>
      <c r="E285" s="839" t="s">
        <v>300</v>
      </c>
      <c r="F285" s="839" t="s">
        <v>301</v>
      </c>
      <c r="G285" s="916">
        <f>VLOOKUP($A285,'Tech Litons'!$A:$I,8,FALSE)</f>
        <v>3.7839999999999996E-3</v>
      </c>
      <c r="H285" s="917">
        <f>VLOOKUP($A285,'Tech Litons'!$A:$I,9,FALSE)</f>
        <v>240</v>
      </c>
      <c r="I285" s="917" t="str">
        <f>VLOOKUP($A285,'Tech Litons'!$A:$C,3,0)</f>
        <v>BJ PTS</v>
      </c>
      <c r="J285" s="918" t="str">
        <f t="shared" si="30"/>
        <v>5914BJ PTS</v>
      </c>
      <c r="K285" s="919">
        <v>1</v>
      </c>
      <c r="L285" s="920">
        <f t="shared" si="31"/>
        <v>18161</v>
      </c>
      <c r="M285" s="920">
        <f t="shared" si="32"/>
        <v>68.721223999999992</v>
      </c>
      <c r="N285" s="920">
        <f t="shared" si="33"/>
        <v>75.670833333333334</v>
      </c>
      <c r="O285" s="918" t="str">
        <f t="shared" si="34"/>
        <v>Jan</v>
      </c>
      <c r="P285" s="921">
        <f t="shared" si="35"/>
        <v>2</v>
      </c>
    </row>
    <row r="286" spans="1:16" ht="15" hidden="1" customHeight="1">
      <c r="A286" s="839">
        <v>84161610</v>
      </c>
      <c r="B286" s="839">
        <v>5914</v>
      </c>
      <c r="C286" s="906">
        <v>21054</v>
      </c>
      <c r="D286" s="907">
        <v>46030</v>
      </c>
      <c r="E286" s="839" t="s">
        <v>309</v>
      </c>
      <c r="F286" s="839" t="s">
        <v>301</v>
      </c>
      <c r="G286" s="916">
        <f>VLOOKUP($A286,'Tech Litons'!$A:$I,8,FALSE)</f>
        <v>3.7853439999999999E-3</v>
      </c>
      <c r="H286" s="917">
        <f>VLOOKUP($A286,'Tech Litons'!$A:$I,9,FALSE)</f>
        <v>240</v>
      </c>
      <c r="I286" s="917" t="str">
        <f>VLOOKUP($A286,'Tech Litons'!$A:$C,3,0)</f>
        <v>BJ PTS</v>
      </c>
      <c r="J286" s="918" t="str">
        <f t="shared" si="30"/>
        <v>5914BJ PTS</v>
      </c>
      <c r="K286" s="919">
        <v>1</v>
      </c>
      <c r="L286" s="920">
        <f t="shared" si="31"/>
        <v>21054</v>
      </c>
      <c r="M286" s="920">
        <f t="shared" si="32"/>
        <v>79.696632575999999</v>
      </c>
      <c r="N286" s="920">
        <f t="shared" si="33"/>
        <v>87.724999999999994</v>
      </c>
      <c r="O286" s="918" t="str">
        <f t="shared" si="34"/>
        <v>Jan</v>
      </c>
      <c r="P286" s="921">
        <f t="shared" si="35"/>
        <v>2</v>
      </c>
    </row>
    <row r="287" spans="1:16" ht="15" hidden="1" customHeight="1">
      <c r="A287" s="839">
        <v>62694914</v>
      </c>
      <c r="B287" s="839">
        <v>2904</v>
      </c>
      <c r="C287" s="906">
        <v>-1477</v>
      </c>
      <c r="D287" s="907">
        <v>46031</v>
      </c>
      <c r="E287" s="839" t="s">
        <v>488</v>
      </c>
      <c r="F287" s="839" t="s">
        <v>283</v>
      </c>
      <c r="G287" s="916">
        <f>VLOOKUP($A287,'Tech Litons'!$A:$I,8,FALSE)</f>
        <v>1.08E-3</v>
      </c>
      <c r="H287" s="917">
        <f>VLOOKUP($A287,'Tech Litons'!$A:$I,9,FALSE)</f>
        <v>493</v>
      </c>
      <c r="I287" s="917" t="str">
        <f>VLOOKUP($A287,'Tech Litons'!$A:$C,3,0)</f>
        <v>MG Sticks</v>
      </c>
      <c r="J287" s="918" t="str">
        <f t="shared" si="30"/>
        <v>2904MG Sticks</v>
      </c>
      <c r="K287" s="919">
        <v>1</v>
      </c>
      <c r="L287" s="920">
        <f t="shared" si="31"/>
        <v>-1477</v>
      </c>
      <c r="M287" s="920">
        <f t="shared" si="32"/>
        <v>-1.5951599999999999</v>
      </c>
      <c r="N287" s="920">
        <f t="shared" si="33"/>
        <v>-2.995943204868154</v>
      </c>
      <c r="O287" s="918" t="str">
        <f t="shared" si="34"/>
        <v>Jan</v>
      </c>
      <c r="P287" s="921">
        <f t="shared" si="35"/>
        <v>2</v>
      </c>
    </row>
    <row r="288" spans="1:16" ht="15" hidden="1" customHeight="1">
      <c r="A288" s="839">
        <v>68649095</v>
      </c>
      <c r="B288" s="839">
        <v>2904</v>
      </c>
      <c r="C288" s="906">
        <v>-402</v>
      </c>
      <c r="D288" s="907">
        <v>46031</v>
      </c>
      <c r="E288" s="839" t="s">
        <v>294</v>
      </c>
      <c r="F288" s="839" t="s">
        <v>40</v>
      </c>
      <c r="G288" s="916">
        <f>VLOOKUP($A288,'Tech Litons'!$A:$I,8,FALSE)</f>
        <v>3.5999999999999999E-3</v>
      </c>
      <c r="H288" s="917">
        <f>VLOOKUP($A288,'Tech Litons'!$A:$I,9,FALSE)</f>
        <v>240</v>
      </c>
      <c r="I288" s="917" t="str">
        <f>VLOOKUP($A288,'Tech Litons'!$A:$C,3,0)</f>
        <v>Topped</v>
      </c>
      <c r="J288" s="918" t="str">
        <f t="shared" si="30"/>
        <v>2904Topped</v>
      </c>
      <c r="K288" s="919">
        <v>1</v>
      </c>
      <c r="L288" s="920">
        <f t="shared" si="31"/>
        <v>-402</v>
      </c>
      <c r="M288" s="920">
        <f t="shared" si="32"/>
        <v>-1.4472</v>
      </c>
      <c r="N288" s="920">
        <f t="shared" si="33"/>
        <v>-1.675</v>
      </c>
      <c r="O288" s="918" t="str">
        <f t="shared" si="34"/>
        <v>Jan</v>
      </c>
      <c r="P288" s="921">
        <f t="shared" si="35"/>
        <v>2</v>
      </c>
    </row>
    <row r="289" spans="1:16" ht="15" hidden="1" customHeight="1">
      <c r="A289" s="839">
        <v>64330596</v>
      </c>
      <c r="B289" s="839">
        <v>2904</v>
      </c>
      <c r="C289" s="906">
        <v>-262</v>
      </c>
      <c r="D289" s="907">
        <v>46031</v>
      </c>
      <c r="E289" s="839" t="s">
        <v>280</v>
      </c>
      <c r="F289" s="839" t="s">
        <v>281</v>
      </c>
      <c r="G289" s="916">
        <f>VLOOKUP($A289,'Tech Litons'!$A:$I,8,FALSE)</f>
        <v>1.98E-3</v>
      </c>
      <c r="H289" s="917">
        <f>VLOOKUP($A289,'Tech Litons'!$A:$I,9,FALSE)</f>
        <v>176</v>
      </c>
      <c r="I289" s="917" t="str">
        <f>VLOOKUP($A289,'Tech Litons'!$A:$C,3,0)</f>
        <v>MG Sticks</v>
      </c>
      <c r="J289" s="918" t="str">
        <f t="shared" si="30"/>
        <v>2904MG Sticks</v>
      </c>
      <c r="K289" s="919">
        <v>1</v>
      </c>
      <c r="L289" s="920">
        <f t="shared" si="31"/>
        <v>-262</v>
      </c>
      <c r="M289" s="920">
        <f t="shared" si="32"/>
        <v>-0.51876</v>
      </c>
      <c r="N289" s="920">
        <f t="shared" si="33"/>
        <v>-1.4886363636363635</v>
      </c>
      <c r="O289" s="918" t="str">
        <f t="shared" si="34"/>
        <v>Jan</v>
      </c>
      <c r="P289" s="921">
        <f t="shared" si="35"/>
        <v>2</v>
      </c>
    </row>
    <row r="290" spans="1:16" ht="15" hidden="1" customHeight="1">
      <c r="A290" s="839">
        <v>64958125</v>
      </c>
      <c r="B290" s="839">
        <v>2904</v>
      </c>
      <c r="C290" s="906">
        <v>-223</v>
      </c>
      <c r="D290" s="907">
        <v>46031</v>
      </c>
      <c r="E290" s="839" t="s">
        <v>238</v>
      </c>
      <c r="F290" s="839" t="s">
        <v>234</v>
      </c>
      <c r="G290" s="916">
        <f>VLOOKUP($A290,'Tech Litons'!$A:$I,8,FALSE)</f>
        <v>3.3119999999999998E-3</v>
      </c>
      <c r="H290" s="917">
        <f>VLOOKUP($A290,'Tech Litons'!$A:$I,9,FALSE)</f>
        <v>165</v>
      </c>
      <c r="I290" s="917" t="str">
        <f>VLOOKUP($A290,'Tech Litons'!$A:$C,3,0)</f>
        <v>Yasso Sticks</v>
      </c>
      <c r="J290" s="918" t="str">
        <f t="shared" si="30"/>
        <v>2904Yasso Sticks</v>
      </c>
      <c r="K290" s="919">
        <v>1</v>
      </c>
      <c r="L290" s="920">
        <f t="shared" si="31"/>
        <v>-223</v>
      </c>
      <c r="M290" s="920">
        <f t="shared" si="32"/>
        <v>-0.73857600000000001</v>
      </c>
      <c r="N290" s="920">
        <f t="shared" si="33"/>
        <v>-1.3515151515151516</v>
      </c>
      <c r="O290" s="918" t="str">
        <f t="shared" si="34"/>
        <v>Jan</v>
      </c>
      <c r="P290" s="921">
        <f t="shared" si="35"/>
        <v>2</v>
      </c>
    </row>
    <row r="291" spans="1:16" ht="15" hidden="1" customHeight="1">
      <c r="A291" s="839">
        <v>64975616</v>
      </c>
      <c r="B291" s="839">
        <v>2904</v>
      </c>
      <c r="C291" s="906">
        <v>-210</v>
      </c>
      <c r="D291" s="907">
        <v>46031</v>
      </c>
      <c r="E291" s="839" t="s">
        <v>385</v>
      </c>
      <c r="F291" s="839" t="s">
        <v>299</v>
      </c>
      <c r="G291" s="916">
        <f>VLOOKUP($A291,'Tech Litons'!$A:$I,8,FALSE)</f>
        <v>3.3119999999999998E-3</v>
      </c>
      <c r="H291" s="917">
        <f>VLOOKUP($A291,'Tech Litons'!$A:$I,9,FALSE)</f>
        <v>240</v>
      </c>
      <c r="I291" s="917" t="str">
        <f>VLOOKUP($A291,'Tech Litons'!$A:$C,3,0)</f>
        <v>YS PTS</v>
      </c>
      <c r="J291" s="918" t="str">
        <f t="shared" si="30"/>
        <v>2904YS PTS</v>
      </c>
      <c r="K291" s="919">
        <v>1</v>
      </c>
      <c r="L291" s="920">
        <f t="shared" si="31"/>
        <v>-210</v>
      </c>
      <c r="M291" s="920">
        <f t="shared" si="32"/>
        <v>-0.69551999999999992</v>
      </c>
      <c r="N291" s="920">
        <f t="shared" si="33"/>
        <v>-0.875</v>
      </c>
      <c r="O291" s="918" t="str">
        <f t="shared" si="34"/>
        <v>Jan</v>
      </c>
      <c r="P291" s="921">
        <f t="shared" si="35"/>
        <v>2</v>
      </c>
    </row>
    <row r="292" spans="1:16" ht="15" hidden="1" customHeight="1">
      <c r="A292" s="839">
        <v>64988056</v>
      </c>
      <c r="B292" s="839">
        <v>2904</v>
      </c>
      <c r="C292" s="906">
        <v>-176</v>
      </c>
      <c r="D292" s="907">
        <v>46031</v>
      </c>
      <c r="E292" s="839" t="s">
        <v>268</v>
      </c>
      <c r="F292" s="839" t="s">
        <v>269</v>
      </c>
      <c r="G292" s="916">
        <f>VLOOKUP($A292,'Tech Litons'!$A:$I,8,FALSE)</f>
        <v>8.513999999999999E-3</v>
      </c>
      <c r="H292" s="917">
        <f>VLOOKUP($A292,'Tech Litons'!$A:$I,9,FALSE)</f>
        <v>176</v>
      </c>
      <c r="I292" s="917" t="str">
        <f>VLOOKUP($A292,'Tech Litons'!$A:$C,3,0)</f>
        <v>48oz</v>
      </c>
      <c r="J292" s="918" t="str">
        <f t="shared" si="30"/>
        <v>290448oz</v>
      </c>
      <c r="K292" s="919">
        <v>1</v>
      </c>
      <c r="L292" s="920">
        <f t="shared" si="31"/>
        <v>-176</v>
      </c>
      <c r="M292" s="920">
        <f t="shared" si="32"/>
        <v>-1.4984639999999998</v>
      </c>
      <c r="N292" s="920">
        <f t="shared" si="33"/>
        <v>-1</v>
      </c>
      <c r="O292" s="918" t="str">
        <f t="shared" si="34"/>
        <v>Jan</v>
      </c>
      <c r="P292" s="921">
        <f t="shared" si="35"/>
        <v>2</v>
      </c>
    </row>
    <row r="293" spans="1:16" ht="15" hidden="1" customHeight="1">
      <c r="A293" s="839">
        <v>64979407</v>
      </c>
      <c r="B293" s="839">
        <v>2904</v>
      </c>
      <c r="C293" s="906">
        <v>-143</v>
      </c>
      <c r="D293" s="907">
        <v>46031</v>
      </c>
      <c r="E293" s="839" t="s">
        <v>284</v>
      </c>
      <c r="F293" s="839" t="s">
        <v>231</v>
      </c>
      <c r="G293" s="916">
        <f>VLOOKUP($A293,'Tech Litons'!$A:$I,8,FALSE)</f>
        <v>4.2560000000000002E-3</v>
      </c>
      <c r="H293" s="917">
        <f>VLOOKUP($A293,'Tech Litons'!$A:$I,9,FALSE)</f>
        <v>143</v>
      </c>
      <c r="I293" s="917" t="str">
        <f>VLOOKUP($A293,'Tech Litons'!$A:$C,3,0)</f>
        <v>MG Sticks</v>
      </c>
      <c r="J293" s="918" t="str">
        <f t="shared" si="30"/>
        <v>2904MG Sticks</v>
      </c>
      <c r="K293" s="919">
        <v>1</v>
      </c>
      <c r="L293" s="920">
        <f t="shared" si="31"/>
        <v>-143</v>
      </c>
      <c r="M293" s="920">
        <f t="shared" si="32"/>
        <v>-0.60860800000000004</v>
      </c>
      <c r="N293" s="920">
        <f t="shared" si="33"/>
        <v>-1</v>
      </c>
      <c r="O293" s="918" t="str">
        <f t="shared" si="34"/>
        <v>Jan</v>
      </c>
      <c r="P293" s="921">
        <f t="shared" si="35"/>
        <v>2</v>
      </c>
    </row>
    <row r="294" spans="1:16" ht="15" hidden="1" customHeight="1">
      <c r="A294" s="839">
        <v>68922108</v>
      </c>
      <c r="B294" s="839">
        <v>2904</v>
      </c>
      <c r="C294" s="906">
        <v>-113</v>
      </c>
      <c r="D294" s="907">
        <v>46031</v>
      </c>
      <c r="E294" s="839" t="s">
        <v>276</v>
      </c>
      <c r="F294" s="839" t="s">
        <v>277</v>
      </c>
      <c r="G294" s="916">
        <f>VLOOKUP($A294,'Tech Litons'!$A:$I,8,FALSE)</f>
        <v>3.7839999999999996E-3</v>
      </c>
      <c r="H294" s="917">
        <f>VLOOKUP($A294,'Tech Litons'!$A:$I,9,FALSE)</f>
        <v>255</v>
      </c>
      <c r="I294" s="917" t="str">
        <f>VLOOKUP($A294,'Tech Litons'!$A:$C,3,0)</f>
        <v>TALENTI</v>
      </c>
      <c r="J294" s="918" t="str">
        <f t="shared" si="30"/>
        <v>2904TALENTI</v>
      </c>
      <c r="K294" s="919">
        <v>1</v>
      </c>
      <c r="L294" s="920">
        <f t="shared" si="31"/>
        <v>-113</v>
      </c>
      <c r="M294" s="920">
        <f t="shared" si="32"/>
        <v>-0.42759199999999997</v>
      </c>
      <c r="N294" s="920">
        <f t="shared" si="33"/>
        <v>-0.44313725490196076</v>
      </c>
      <c r="O294" s="918" t="str">
        <f t="shared" si="34"/>
        <v>Jan</v>
      </c>
      <c r="P294" s="921">
        <f t="shared" si="35"/>
        <v>2</v>
      </c>
    </row>
    <row r="295" spans="1:16" ht="15" hidden="1" customHeight="1">
      <c r="A295" s="839">
        <v>62694914</v>
      </c>
      <c r="B295" s="839">
        <v>2904</v>
      </c>
      <c r="C295" s="906">
        <v>-58</v>
      </c>
      <c r="D295" s="907">
        <v>46031</v>
      </c>
      <c r="E295" s="839" t="s">
        <v>488</v>
      </c>
      <c r="F295" s="839" t="s">
        <v>283</v>
      </c>
      <c r="G295" s="916">
        <f>VLOOKUP($A295,'Tech Litons'!$A:$I,8,FALSE)</f>
        <v>1.08E-3</v>
      </c>
      <c r="H295" s="917">
        <f>VLOOKUP($A295,'Tech Litons'!$A:$I,9,FALSE)</f>
        <v>493</v>
      </c>
      <c r="I295" s="917" t="str">
        <f>VLOOKUP($A295,'Tech Litons'!$A:$C,3,0)</f>
        <v>MG Sticks</v>
      </c>
      <c r="J295" s="918" t="str">
        <f t="shared" si="30"/>
        <v>2904MG Sticks</v>
      </c>
      <c r="K295" s="919">
        <v>1</v>
      </c>
      <c r="L295" s="920">
        <f t="shared" si="31"/>
        <v>-58</v>
      </c>
      <c r="M295" s="920">
        <f t="shared" si="32"/>
        <v>-6.2640000000000001E-2</v>
      </c>
      <c r="N295" s="920">
        <f t="shared" si="33"/>
        <v>-0.11764705882352941</v>
      </c>
      <c r="O295" s="918" t="str">
        <f t="shared" si="34"/>
        <v>Jan</v>
      </c>
      <c r="P295" s="921">
        <f t="shared" si="35"/>
        <v>2</v>
      </c>
    </row>
    <row r="296" spans="1:16" ht="15" hidden="1" customHeight="1">
      <c r="A296" s="839">
        <v>68746232</v>
      </c>
      <c r="B296" s="839">
        <v>2904</v>
      </c>
      <c r="C296" s="906">
        <v>116</v>
      </c>
      <c r="D296" s="907">
        <v>46031</v>
      </c>
      <c r="E296" s="839" t="s">
        <v>508</v>
      </c>
      <c r="F296" s="839" t="s">
        <v>243</v>
      </c>
      <c r="G296" s="916">
        <f>VLOOKUP($A296,'Tech Litons'!$A:$I,8,FALSE)</f>
        <v>8.5199999999999998E-3</v>
      </c>
      <c r="H296" s="917">
        <f>VLOOKUP($A296,'Tech Litons'!$A:$I,9,FALSE)</f>
        <v>132</v>
      </c>
      <c r="I296" s="917" t="str">
        <f>VLOOKUP($A296,'Tech Litons'!$A:$C,3,0)</f>
        <v>EDF</v>
      </c>
      <c r="J296" s="918" t="str">
        <f t="shared" si="30"/>
        <v>2904EDF</v>
      </c>
      <c r="K296" s="919">
        <v>1</v>
      </c>
      <c r="L296" s="920">
        <f t="shared" si="31"/>
        <v>116</v>
      </c>
      <c r="M296" s="920">
        <f t="shared" si="32"/>
        <v>0.98831999999999998</v>
      </c>
      <c r="N296" s="920">
        <f t="shared" si="33"/>
        <v>0.87878787878787878</v>
      </c>
      <c r="O296" s="918" t="str">
        <f t="shared" si="34"/>
        <v>Jan</v>
      </c>
      <c r="P296" s="921">
        <f t="shared" si="35"/>
        <v>2</v>
      </c>
    </row>
    <row r="297" spans="1:16" ht="15" hidden="1" customHeight="1">
      <c r="A297" s="839">
        <v>69629468</v>
      </c>
      <c r="B297" s="839">
        <v>2904</v>
      </c>
      <c r="C297" s="906">
        <v>260</v>
      </c>
      <c r="D297" s="907">
        <v>46031</v>
      </c>
      <c r="E297" s="839" t="s">
        <v>291</v>
      </c>
      <c r="F297" s="839" t="s">
        <v>226</v>
      </c>
      <c r="G297" s="916">
        <f>VLOOKUP($A297,'Tech Litons'!$A:$I,8,FALSE)</f>
        <v>5.2680000000000001E-3</v>
      </c>
      <c r="H297" s="917">
        <f>VLOOKUP($A297,'Tech Litons'!$A:$I,9,FALSE)</f>
        <v>130</v>
      </c>
      <c r="I297" s="917" t="str">
        <f>VLOOKUP($A297,'Tech Litons'!$A:$C,3,0)</f>
        <v>PG</v>
      </c>
      <c r="J297" s="918" t="str">
        <f t="shared" si="30"/>
        <v>2904PG</v>
      </c>
      <c r="K297" s="919">
        <v>1</v>
      </c>
      <c r="L297" s="920">
        <f t="shared" si="31"/>
        <v>260</v>
      </c>
      <c r="M297" s="920">
        <f t="shared" si="32"/>
        <v>1.36968</v>
      </c>
      <c r="N297" s="920">
        <f t="shared" si="33"/>
        <v>2</v>
      </c>
      <c r="O297" s="918" t="str">
        <f t="shared" si="34"/>
        <v>Jan</v>
      </c>
      <c r="P297" s="921">
        <f t="shared" si="35"/>
        <v>2</v>
      </c>
    </row>
    <row r="298" spans="1:16" ht="15" hidden="1" customHeight="1">
      <c r="A298" s="839">
        <v>69629468</v>
      </c>
      <c r="B298" s="839">
        <v>1352</v>
      </c>
      <c r="C298" s="906">
        <v>520</v>
      </c>
      <c r="D298" s="907">
        <v>46031</v>
      </c>
      <c r="E298" s="839" t="s">
        <v>291</v>
      </c>
      <c r="F298" s="839" t="s">
        <v>222</v>
      </c>
      <c r="G298" s="916">
        <f>VLOOKUP($A298,'Tech Litons'!$A:$I,8,FALSE)</f>
        <v>5.2680000000000001E-3</v>
      </c>
      <c r="H298" s="917">
        <f>VLOOKUP($A298,'Tech Litons'!$A:$I,9,FALSE)</f>
        <v>130</v>
      </c>
      <c r="I298" s="917" t="str">
        <f>VLOOKUP($A298,'Tech Litons'!$A:$C,3,0)</f>
        <v>PG</v>
      </c>
      <c r="J298" s="918" t="str">
        <f t="shared" si="30"/>
        <v>1352PG</v>
      </c>
      <c r="K298" s="919">
        <v>1</v>
      </c>
      <c r="L298" s="920">
        <f t="shared" si="31"/>
        <v>520</v>
      </c>
      <c r="M298" s="920">
        <f t="shared" si="32"/>
        <v>2.73936</v>
      </c>
      <c r="N298" s="920">
        <f t="shared" si="33"/>
        <v>4</v>
      </c>
      <c r="O298" s="918" t="str">
        <f t="shared" si="34"/>
        <v>Jan</v>
      </c>
      <c r="P298" s="921">
        <f t="shared" si="35"/>
        <v>2</v>
      </c>
    </row>
    <row r="299" spans="1:16" ht="15" hidden="1" customHeight="1">
      <c r="A299" s="839">
        <v>69629468</v>
      </c>
      <c r="B299" s="839">
        <v>2904</v>
      </c>
      <c r="C299" s="906">
        <v>799</v>
      </c>
      <c r="D299" s="907">
        <v>46031</v>
      </c>
      <c r="E299" s="839" t="s">
        <v>291</v>
      </c>
      <c r="F299" s="839" t="s">
        <v>226</v>
      </c>
      <c r="G299" s="916">
        <f>VLOOKUP($A299,'Tech Litons'!$A:$I,8,FALSE)</f>
        <v>5.2680000000000001E-3</v>
      </c>
      <c r="H299" s="917">
        <f>VLOOKUP($A299,'Tech Litons'!$A:$I,9,FALSE)</f>
        <v>130</v>
      </c>
      <c r="I299" s="917" t="str">
        <f>VLOOKUP($A299,'Tech Litons'!$A:$C,3,0)</f>
        <v>PG</v>
      </c>
      <c r="J299" s="918" t="str">
        <f t="shared" si="30"/>
        <v>2904PG</v>
      </c>
      <c r="K299" s="919">
        <v>1</v>
      </c>
      <c r="L299" s="920">
        <f t="shared" si="31"/>
        <v>799</v>
      </c>
      <c r="M299" s="920">
        <f t="shared" si="32"/>
        <v>4.2091320000000003</v>
      </c>
      <c r="N299" s="920">
        <f t="shared" si="33"/>
        <v>6.1461538461538465</v>
      </c>
      <c r="O299" s="918" t="str">
        <f t="shared" si="34"/>
        <v>Jan</v>
      </c>
      <c r="P299" s="921">
        <f t="shared" si="35"/>
        <v>2</v>
      </c>
    </row>
    <row r="300" spans="1:16" ht="15" hidden="1" customHeight="1">
      <c r="A300" s="839">
        <v>64341106</v>
      </c>
      <c r="B300" s="839">
        <v>2904</v>
      </c>
      <c r="C300" s="906">
        <v>1051</v>
      </c>
      <c r="D300" s="907">
        <v>46031</v>
      </c>
      <c r="E300" s="839" t="s">
        <v>293</v>
      </c>
      <c r="F300" s="839" t="s">
        <v>227</v>
      </c>
      <c r="G300" s="916">
        <f>VLOOKUP($A300,'Tech Litons'!$A:$I,8,FALSE)</f>
        <v>5.2680000000000001E-3</v>
      </c>
      <c r="H300" s="917">
        <f>VLOOKUP($A300,'Tech Litons'!$A:$I,9,FALSE)</f>
        <v>130</v>
      </c>
      <c r="I300" s="917" t="str">
        <f>VLOOKUP($A300,'Tech Litons'!$A:$C,3,0)</f>
        <v>PG</v>
      </c>
      <c r="J300" s="918" t="str">
        <f t="shared" si="30"/>
        <v>2904PG</v>
      </c>
      <c r="K300" s="919">
        <v>1</v>
      </c>
      <c r="L300" s="920">
        <f t="shared" si="31"/>
        <v>1051</v>
      </c>
      <c r="M300" s="920">
        <f t="shared" si="32"/>
        <v>5.5366679999999997</v>
      </c>
      <c r="N300" s="920">
        <f t="shared" si="33"/>
        <v>8.0846153846153843</v>
      </c>
      <c r="O300" s="918" t="str">
        <f t="shared" si="34"/>
        <v>Jan</v>
      </c>
      <c r="P300" s="921">
        <f t="shared" si="35"/>
        <v>2</v>
      </c>
    </row>
    <row r="301" spans="1:16" ht="15" hidden="1" customHeight="1">
      <c r="A301" s="839">
        <v>68741742</v>
      </c>
      <c r="B301" s="839">
        <v>1352</v>
      </c>
      <c r="C301" s="906">
        <v>1078</v>
      </c>
      <c r="D301" s="907">
        <v>46031</v>
      </c>
      <c r="E301" s="839" t="s">
        <v>288</v>
      </c>
      <c r="F301" s="839" t="s">
        <v>289</v>
      </c>
      <c r="G301" s="916">
        <f>VLOOKUP($A301,'Tech Litons'!$A:$I,8,FALSE)</f>
        <v>4.2560000000000002E-3</v>
      </c>
      <c r="H301" s="917">
        <f>VLOOKUP($A301,'Tech Litons'!$A:$I,9,FALSE)</f>
        <v>154</v>
      </c>
      <c r="I301" s="917" t="str">
        <f>VLOOKUP($A301,'Tech Litons'!$A:$C,3,0)</f>
        <v>MBG</v>
      </c>
      <c r="J301" s="918" t="str">
        <f t="shared" si="30"/>
        <v>1352MBG</v>
      </c>
      <c r="K301" s="919">
        <v>1</v>
      </c>
      <c r="L301" s="920">
        <f t="shared" si="31"/>
        <v>1078</v>
      </c>
      <c r="M301" s="920">
        <f t="shared" si="32"/>
        <v>4.587968</v>
      </c>
      <c r="N301" s="920">
        <f t="shared" si="33"/>
        <v>7</v>
      </c>
      <c r="O301" s="918" t="str">
        <f t="shared" si="34"/>
        <v>Jan</v>
      </c>
      <c r="P301" s="921">
        <f t="shared" si="35"/>
        <v>2</v>
      </c>
    </row>
    <row r="302" spans="1:16" ht="15" hidden="1" customHeight="1">
      <c r="A302" s="839">
        <v>64979407</v>
      </c>
      <c r="B302" s="839">
        <v>2904</v>
      </c>
      <c r="C302" s="906">
        <v>1144</v>
      </c>
      <c r="D302" s="907">
        <v>46031</v>
      </c>
      <c r="E302" s="839" t="s">
        <v>284</v>
      </c>
      <c r="F302" s="839" t="s">
        <v>231</v>
      </c>
      <c r="G302" s="916">
        <f>VLOOKUP($A302,'Tech Litons'!$A:$I,8,FALSE)</f>
        <v>4.2560000000000002E-3</v>
      </c>
      <c r="H302" s="917">
        <f>VLOOKUP($A302,'Tech Litons'!$A:$I,9,FALSE)</f>
        <v>143</v>
      </c>
      <c r="I302" s="917" t="str">
        <f>VLOOKUP($A302,'Tech Litons'!$A:$C,3,0)</f>
        <v>MG Sticks</v>
      </c>
      <c r="J302" s="918" t="str">
        <f t="shared" si="30"/>
        <v>2904MG Sticks</v>
      </c>
      <c r="K302" s="919">
        <v>1</v>
      </c>
      <c r="L302" s="920">
        <f t="shared" si="31"/>
        <v>1144</v>
      </c>
      <c r="M302" s="920">
        <f t="shared" si="32"/>
        <v>4.8688640000000003</v>
      </c>
      <c r="N302" s="920">
        <f t="shared" si="33"/>
        <v>8</v>
      </c>
      <c r="O302" s="918" t="str">
        <f t="shared" si="34"/>
        <v>Jan</v>
      </c>
      <c r="P302" s="921">
        <f t="shared" si="35"/>
        <v>2</v>
      </c>
    </row>
    <row r="303" spans="1:16" ht="15" hidden="1" customHeight="1">
      <c r="A303" s="839">
        <v>68746232</v>
      </c>
      <c r="B303" s="839">
        <v>2904</v>
      </c>
      <c r="C303" s="906">
        <v>1229</v>
      </c>
      <c r="D303" s="907">
        <v>46031</v>
      </c>
      <c r="E303" s="839" t="s">
        <v>508</v>
      </c>
      <c r="F303" s="839" t="s">
        <v>243</v>
      </c>
      <c r="G303" s="916">
        <f>VLOOKUP($A303,'Tech Litons'!$A:$I,8,FALSE)</f>
        <v>8.5199999999999998E-3</v>
      </c>
      <c r="H303" s="917">
        <f>VLOOKUP($A303,'Tech Litons'!$A:$I,9,FALSE)</f>
        <v>132</v>
      </c>
      <c r="I303" s="917" t="str">
        <f>VLOOKUP($A303,'Tech Litons'!$A:$C,3,0)</f>
        <v>EDF</v>
      </c>
      <c r="J303" s="918" t="str">
        <f t="shared" si="30"/>
        <v>2904EDF</v>
      </c>
      <c r="K303" s="919">
        <v>1</v>
      </c>
      <c r="L303" s="920">
        <f t="shared" si="31"/>
        <v>1229</v>
      </c>
      <c r="M303" s="920">
        <f t="shared" si="32"/>
        <v>10.471080000000001</v>
      </c>
      <c r="N303" s="920">
        <f t="shared" si="33"/>
        <v>9.3106060606060606</v>
      </c>
      <c r="O303" s="918" t="str">
        <f t="shared" si="34"/>
        <v>Jan</v>
      </c>
      <c r="P303" s="921">
        <f t="shared" si="35"/>
        <v>2</v>
      </c>
    </row>
    <row r="304" spans="1:16" ht="15" hidden="1" customHeight="1">
      <c r="A304" s="839">
        <v>64341106</v>
      </c>
      <c r="B304" s="839">
        <v>2904</v>
      </c>
      <c r="C304" s="906">
        <v>1248</v>
      </c>
      <c r="D304" s="907">
        <v>46031</v>
      </c>
      <c r="E304" s="839" t="s">
        <v>293</v>
      </c>
      <c r="F304" s="839" t="s">
        <v>227</v>
      </c>
      <c r="G304" s="916">
        <f>VLOOKUP($A304,'Tech Litons'!$A:$I,8,FALSE)</f>
        <v>5.2680000000000001E-3</v>
      </c>
      <c r="H304" s="917">
        <f>VLOOKUP($A304,'Tech Litons'!$A:$I,9,FALSE)</f>
        <v>130</v>
      </c>
      <c r="I304" s="917" t="str">
        <f>VLOOKUP($A304,'Tech Litons'!$A:$C,3,0)</f>
        <v>PG</v>
      </c>
      <c r="J304" s="918" t="str">
        <f t="shared" si="30"/>
        <v>2904PG</v>
      </c>
      <c r="K304" s="919">
        <v>1</v>
      </c>
      <c r="L304" s="920">
        <f t="shared" si="31"/>
        <v>1248</v>
      </c>
      <c r="M304" s="920">
        <f t="shared" si="32"/>
        <v>6.5744639999999999</v>
      </c>
      <c r="N304" s="920">
        <f t="shared" si="33"/>
        <v>9.6</v>
      </c>
      <c r="O304" s="918" t="str">
        <f t="shared" si="34"/>
        <v>Jan</v>
      </c>
      <c r="P304" s="921">
        <f t="shared" si="35"/>
        <v>2</v>
      </c>
    </row>
    <row r="305" spans="1:16" ht="15" hidden="1" customHeight="1">
      <c r="A305" s="839">
        <v>69690941</v>
      </c>
      <c r="B305" s="839">
        <v>2904</v>
      </c>
      <c r="C305" s="906">
        <v>1324</v>
      </c>
      <c r="D305" s="907">
        <v>46031</v>
      </c>
      <c r="E305" s="839" t="s">
        <v>321</v>
      </c>
      <c r="F305" s="839" t="s">
        <v>281</v>
      </c>
      <c r="G305" s="916">
        <f>VLOOKUP($A305,'Tech Litons'!$A:$I,8,FALSE)</f>
        <v>1.98E-3</v>
      </c>
      <c r="H305" s="917">
        <f>VLOOKUP($A305,'Tech Litons'!$A:$I,9,FALSE)</f>
        <v>176</v>
      </c>
      <c r="I305" s="917" t="str">
        <f>VLOOKUP($A305,'Tech Litons'!$A:$C,3,0)</f>
        <v>MG Sticks</v>
      </c>
      <c r="J305" s="918" t="str">
        <f t="shared" si="30"/>
        <v>2904MG Sticks</v>
      </c>
      <c r="K305" s="919">
        <v>1</v>
      </c>
      <c r="L305" s="920">
        <f t="shared" si="31"/>
        <v>1324</v>
      </c>
      <c r="M305" s="920">
        <f t="shared" si="32"/>
        <v>2.6215199999999999</v>
      </c>
      <c r="N305" s="920">
        <f t="shared" si="33"/>
        <v>7.5227272727272725</v>
      </c>
      <c r="O305" s="918" t="str">
        <f t="shared" si="34"/>
        <v>Jan</v>
      </c>
      <c r="P305" s="921">
        <f t="shared" si="35"/>
        <v>2</v>
      </c>
    </row>
    <row r="306" spans="1:16" ht="15" hidden="1" customHeight="1">
      <c r="A306" s="839">
        <v>68741742</v>
      </c>
      <c r="B306" s="839">
        <v>2904</v>
      </c>
      <c r="C306" s="906">
        <v>1366</v>
      </c>
      <c r="D306" s="907">
        <v>46031</v>
      </c>
      <c r="E306" s="839" t="s">
        <v>288</v>
      </c>
      <c r="F306" s="839" t="s">
        <v>295</v>
      </c>
      <c r="G306" s="916">
        <f>VLOOKUP($A306,'Tech Litons'!$A:$I,8,FALSE)</f>
        <v>4.2560000000000002E-3</v>
      </c>
      <c r="H306" s="917">
        <f>VLOOKUP($A306,'Tech Litons'!$A:$I,9,FALSE)</f>
        <v>154</v>
      </c>
      <c r="I306" s="917" t="str">
        <f>VLOOKUP($A306,'Tech Litons'!$A:$C,3,0)</f>
        <v>MBG</v>
      </c>
      <c r="J306" s="918" t="str">
        <f t="shared" si="30"/>
        <v>2904MBG</v>
      </c>
      <c r="K306" s="919">
        <v>1</v>
      </c>
      <c r="L306" s="920">
        <f t="shared" si="31"/>
        <v>1366</v>
      </c>
      <c r="M306" s="920">
        <f t="shared" si="32"/>
        <v>5.8136960000000002</v>
      </c>
      <c r="N306" s="920">
        <f t="shared" si="33"/>
        <v>8.8701298701298708</v>
      </c>
      <c r="O306" s="918" t="str">
        <f t="shared" si="34"/>
        <v>Jan</v>
      </c>
      <c r="P306" s="921">
        <f t="shared" si="35"/>
        <v>2</v>
      </c>
    </row>
    <row r="307" spans="1:16" ht="15" hidden="1" customHeight="1">
      <c r="A307" s="839">
        <v>68741742</v>
      </c>
      <c r="B307" s="839">
        <v>2904</v>
      </c>
      <c r="C307" s="906">
        <v>1409</v>
      </c>
      <c r="D307" s="907">
        <v>46031</v>
      </c>
      <c r="E307" s="839" t="s">
        <v>288</v>
      </c>
      <c r="F307" s="839" t="s">
        <v>295</v>
      </c>
      <c r="G307" s="916">
        <f>VLOOKUP($A307,'Tech Litons'!$A:$I,8,FALSE)</f>
        <v>4.2560000000000002E-3</v>
      </c>
      <c r="H307" s="917">
        <f>VLOOKUP($A307,'Tech Litons'!$A:$I,9,FALSE)</f>
        <v>154</v>
      </c>
      <c r="I307" s="917" t="str">
        <f>VLOOKUP($A307,'Tech Litons'!$A:$C,3,0)</f>
        <v>MBG</v>
      </c>
      <c r="J307" s="918" t="str">
        <f t="shared" si="30"/>
        <v>2904MBG</v>
      </c>
      <c r="K307" s="919">
        <v>1</v>
      </c>
      <c r="L307" s="920">
        <f t="shared" si="31"/>
        <v>1409</v>
      </c>
      <c r="M307" s="920">
        <f t="shared" si="32"/>
        <v>5.9967040000000003</v>
      </c>
      <c r="N307" s="920">
        <f t="shared" si="33"/>
        <v>9.1493506493506498</v>
      </c>
      <c r="O307" s="918" t="str">
        <f t="shared" si="34"/>
        <v>Jan</v>
      </c>
      <c r="P307" s="921">
        <f t="shared" si="35"/>
        <v>2</v>
      </c>
    </row>
    <row r="308" spans="1:16" ht="15" hidden="1" customHeight="1">
      <c r="A308" s="839">
        <v>64958125</v>
      </c>
      <c r="B308" s="839">
        <v>2904</v>
      </c>
      <c r="C308" s="906">
        <v>1660</v>
      </c>
      <c r="D308" s="907">
        <v>46031</v>
      </c>
      <c r="E308" s="839" t="s">
        <v>238</v>
      </c>
      <c r="F308" s="839" t="s">
        <v>234</v>
      </c>
      <c r="G308" s="916">
        <f>VLOOKUP($A308,'Tech Litons'!$A:$I,8,FALSE)</f>
        <v>3.3119999999999998E-3</v>
      </c>
      <c r="H308" s="917">
        <f>VLOOKUP($A308,'Tech Litons'!$A:$I,9,FALSE)</f>
        <v>165</v>
      </c>
      <c r="I308" s="917" t="str">
        <f>VLOOKUP($A308,'Tech Litons'!$A:$C,3,0)</f>
        <v>Yasso Sticks</v>
      </c>
      <c r="J308" s="918" t="str">
        <f t="shared" si="30"/>
        <v>2904Yasso Sticks</v>
      </c>
      <c r="K308" s="919">
        <v>1</v>
      </c>
      <c r="L308" s="920">
        <f t="shared" si="31"/>
        <v>1660</v>
      </c>
      <c r="M308" s="920">
        <f t="shared" si="32"/>
        <v>5.4979199999999997</v>
      </c>
      <c r="N308" s="920">
        <f t="shared" si="33"/>
        <v>10.060606060606061</v>
      </c>
      <c r="O308" s="918" t="str">
        <f t="shared" si="34"/>
        <v>Jan</v>
      </c>
      <c r="P308" s="921">
        <f t="shared" si="35"/>
        <v>2</v>
      </c>
    </row>
    <row r="309" spans="1:16" ht="15" hidden="1" customHeight="1">
      <c r="A309" s="839">
        <v>64776954</v>
      </c>
      <c r="B309" s="839">
        <v>1352</v>
      </c>
      <c r="C309" s="906">
        <v>1690</v>
      </c>
      <c r="D309" s="907">
        <v>46031</v>
      </c>
      <c r="E309" s="839" t="s">
        <v>285</v>
      </c>
      <c r="F309" s="839" t="s">
        <v>224</v>
      </c>
      <c r="G309" s="916">
        <f>VLOOKUP($A309,'Tech Litons'!$A:$I,8,FALSE)</f>
        <v>3.8340000000000002E-3</v>
      </c>
      <c r="H309" s="917">
        <f>VLOOKUP($A309,'Tech Litons'!$A:$I,9,FALSE)</f>
        <v>130</v>
      </c>
      <c r="I309" s="917" t="str">
        <f>VLOOKUP($A309,'Tech Litons'!$A:$C,3,0)</f>
        <v>pG</v>
      </c>
      <c r="J309" s="918" t="str">
        <f t="shared" si="30"/>
        <v>1352pG</v>
      </c>
      <c r="K309" s="919">
        <v>1</v>
      </c>
      <c r="L309" s="920">
        <f t="shared" si="31"/>
        <v>1690</v>
      </c>
      <c r="M309" s="920">
        <f t="shared" si="32"/>
        <v>6.4794600000000004</v>
      </c>
      <c r="N309" s="920">
        <f t="shared" si="33"/>
        <v>13</v>
      </c>
      <c r="O309" s="918" t="str">
        <f t="shared" si="34"/>
        <v>Jan</v>
      </c>
      <c r="P309" s="921">
        <f t="shared" si="35"/>
        <v>2</v>
      </c>
    </row>
    <row r="310" spans="1:16" ht="15" hidden="1" customHeight="1">
      <c r="A310" s="839">
        <v>69725082</v>
      </c>
      <c r="B310" s="839">
        <v>1352</v>
      </c>
      <c r="C310" s="906">
        <v>2210</v>
      </c>
      <c r="D310" s="907">
        <v>46031</v>
      </c>
      <c r="E310" s="839" t="s">
        <v>292</v>
      </c>
      <c r="F310" s="839" t="s">
        <v>225</v>
      </c>
      <c r="G310" s="916">
        <f>VLOOKUP($A310,'Tech Litons'!$A:$I,8,FALSE)</f>
        <v>5.2680000000000001E-3</v>
      </c>
      <c r="H310" s="917">
        <f>VLOOKUP($A310,'Tech Litons'!$A:$I,9,FALSE)</f>
        <v>130</v>
      </c>
      <c r="I310" s="917" t="str">
        <f>VLOOKUP($A310,'Tech Litons'!$A:$C,3,0)</f>
        <v>PG</v>
      </c>
      <c r="J310" s="918" t="str">
        <f t="shared" si="30"/>
        <v>1352PG</v>
      </c>
      <c r="K310" s="919">
        <v>1</v>
      </c>
      <c r="L310" s="920">
        <f t="shared" si="31"/>
        <v>2210</v>
      </c>
      <c r="M310" s="920">
        <f t="shared" si="32"/>
        <v>11.64228</v>
      </c>
      <c r="N310" s="920">
        <f t="shared" si="33"/>
        <v>17</v>
      </c>
      <c r="O310" s="918" t="str">
        <f t="shared" si="34"/>
        <v>Jan</v>
      </c>
      <c r="P310" s="921">
        <f t="shared" si="35"/>
        <v>2</v>
      </c>
    </row>
    <row r="311" spans="1:16" ht="15" hidden="1" customHeight="1">
      <c r="A311" s="839">
        <v>84161610</v>
      </c>
      <c r="B311" s="839">
        <v>5914</v>
      </c>
      <c r="C311" s="906">
        <v>2276</v>
      </c>
      <c r="D311" s="907">
        <v>46031</v>
      </c>
      <c r="E311" s="839" t="s">
        <v>309</v>
      </c>
      <c r="F311" s="839" t="s">
        <v>301</v>
      </c>
      <c r="G311" s="916">
        <f>VLOOKUP($A311,'Tech Litons'!$A:$I,8,FALSE)</f>
        <v>3.7853439999999999E-3</v>
      </c>
      <c r="H311" s="917">
        <f>VLOOKUP($A311,'Tech Litons'!$A:$I,9,FALSE)</f>
        <v>240</v>
      </c>
      <c r="I311" s="917" t="str">
        <f>VLOOKUP($A311,'Tech Litons'!$A:$C,3,0)</f>
        <v>BJ PTS</v>
      </c>
      <c r="J311" s="918" t="str">
        <f t="shared" si="30"/>
        <v>5914BJ PTS</v>
      </c>
      <c r="K311" s="919">
        <v>1</v>
      </c>
      <c r="L311" s="920">
        <f t="shared" si="31"/>
        <v>2276</v>
      </c>
      <c r="M311" s="920">
        <f t="shared" si="32"/>
        <v>8.6154429439999998</v>
      </c>
      <c r="N311" s="920">
        <f t="shared" si="33"/>
        <v>9.4833333333333325</v>
      </c>
      <c r="O311" s="918" t="str">
        <f t="shared" si="34"/>
        <v>Jan</v>
      </c>
      <c r="P311" s="921">
        <f t="shared" si="35"/>
        <v>2</v>
      </c>
    </row>
    <row r="312" spans="1:16" ht="15" hidden="1" customHeight="1">
      <c r="A312" s="839">
        <v>64330611</v>
      </c>
      <c r="B312" s="839">
        <v>2904</v>
      </c>
      <c r="C312" s="906">
        <v>2309</v>
      </c>
      <c r="D312" s="907">
        <v>46031</v>
      </c>
      <c r="E312" s="839" t="s">
        <v>354</v>
      </c>
      <c r="F312" s="839" t="s">
        <v>283</v>
      </c>
      <c r="G312" s="916">
        <f>VLOOKUP($A312,'Tech Litons'!$A:$I,8,FALSE)</f>
        <v>2.16E-3</v>
      </c>
      <c r="H312" s="917">
        <f>VLOOKUP($A312,'Tech Litons'!$A:$I,9,FALSE)</f>
        <v>210</v>
      </c>
      <c r="I312" s="917" t="str">
        <f>VLOOKUP($A312,'Tech Litons'!$A:$C,3,0)</f>
        <v>MG Sticks</v>
      </c>
      <c r="J312" s="918" t="str">
        <f t="shared" si="30"/>
        <v>2904MG Sticks</v>
      </c>
      <c r="K312" s="919">
        <v>1</v>
      </c>
      <c r="L312" s="920">
        <f t="shared" si="31"/>
        <v>2309</v>
      </c>
      <c r="M312" s="920">
        <f t="shared" si="32"/>
        <v>4.9874400000000003</v>
      </c>
      <c r="N312" s="920">
        <f t="shared" si="33"/>
        <v>10.995238095238095</v>
      </c>
      <c r="O312" s="918" t="str">
        <f t="shared" si="34"/>
        <v>Jan</v>
      </c>
      <c r="P312" s="921">
        <f t="shared" si="35"/>
        <v>2</v>
      </c>
    </row>
    <row r="313" spans="1:16" ht="15" hidden="1" customHeight="1">
      <c r="A313" s="839">
        <v>69629468</v>
      </c>
      <c r="B313" s="839">
        <v>1352</v>
      </c>
      <c r="C313" s="906">
        <v>2393</v>
      </c>
      <c r="D313" s="907">
        <v>46031</v>
      </c>
      <c r="E313" s="839" t="s">
        <v>291</v>
      </c>
      <c r="F313" s="839" t="s">
        <v>222</v>
      </c>
      <c r="G313" s="916">
        <f>VLOOKUP($A313,'Tech Litons'!$A:$I,8,FALSE)</f>
        <v>5.2680000000000001E-3</v>
      </c>
      <c r="H313" s="917">
        <f>VLOOKUP($A313,'Tech Litons'!$A:$I,9,FALSE)</f>
        <v>130</v>
      </c>
      <c r="I313" s="917" t="str">
        <f>VLOOKUP($A313,'Tech Litons'!$A:$C,3,0)</f>
        <v>PG</v>
      </c>
      <c r="J313" s="918" t="str">
        <f t="shared" si="30"/>
        <v>1352PG</v>
      </c>
      <c r="K313" s="919">
        <v>1</v>
      </c>
      <c r="L313" s="920">
        <f t="shared" si="31"/>
        <v>2393</v>
      </c>
      <c r="M313" s="920">
        <f t="shared" si="32"/>
        <v>12.606324000000001</v>
      </c>
      <c r="N313" s="920">
        <f t="shared" si="33"/>
        <v>18.407692307692308</v>
      </c>
      <c r="O313" s="918" t="str">
        <f t="shared" si="34"/>
        <v>Jan</v>
      </c>
      <c r="P313" s="921">
        <f t="shared" si="35"/>
        <v>2</v>
      </c>
    </row>
    <row r="314" spans="1:16" ht="15" hidden="1" customHeight="1">
      <c r="A314" s="839">
        <v>67430513</v>
      </c>
      <c r="B314" s="839">
        <v>5914</v>
      </c>
      <c r="C314" s="906">
        <v>2411</v>
      </c>
      <c r="D314" s="907">
        <v>46031</v>
      </c>
      <c r="E314" s="839" t="s">
        <v>308</v>
      </c>
      <c r="F314" s="839" t="s">
        <v>303</v>
      </c>
      <c r="G314" s="916">
        <f>VLOOKUP($A314,'Tech Litons'!$A:$I,8,FALSE)</f>
        <v>3.7839999999999996E-3</v>
      </c>
      <c r="H314" s="917">
        <f>VLOOKUP($A314,'Tech Litons'!$A:$I,9,FALSE)</f>
        <v>240</v>
      </c>
      <c r="I314" s="917" t="str">
        <f>VLOOKUP($A314,'Tech Litons'!$A:$C,3,0)</f>
        <v>BJ PTS</v>
      </c>
      <c r="J314" s="918" t="str">
        <f t="shared" si="30"/>
        <v>5914BJ PTS</v>
      </c>
      <c r="K314" s="919">
        <v>1</v>
      </c>
      <c r="L314" s="920">
        <f t="shared" si="31"/>
        <v>2411</v>
      </c>
      <c r="M314" s="920">
        <f t="shared" si="32"/>
        <v>9.1232239999999987</v>
      </c>
      <c r="N314" s="920">
        <f t="shared" si="33"/>
        <v>10.045833333333333</v>
      </c>
      <c r="O314" s="918" t="str">
        <f t="shared" si="34"/>
        <v>Jan</v>
      </c>
      <c r="P314" s="921">
        <f t="shared" si="35"/>
        <v>2</v>
      </c>
    </row>
    <row r="315" spans="1:16" ht="15" hidden="1" customHeight="1">
      <c r="A315" s="839">
        <v>68741714</v>
      </c>
      <c r="B315" s="839">
        <v>1352</v>
      </c>
      <c r="C315" s="906">
        <v>2474</v>
      </c>
      <c r="D315" s="907">
        <v>46031</v>
      </c>
      <c r="E315" s="839" t="s">
        <v>286</v>
      </c>
      <c r="F315" s="839" t="s">
        <v>287</v>
      </c>
      <c r="G315" s="916">
        <f>VLOOKUP($A315,'Tech Litons'!$A:$I,8,FALSE)</f>
        <v>2.8319999999999999E-3</v>
      </c>
      <c r="H315" s="917">
        <f>VLOOKUP($A315,'Tech Litons'!$A:$I,9,FALSE)</f>
        <v>225</v>
      </c>
      <c r="I315" s="917" t="str">
        <f>VLOOKUP($A315,'Tech Litons'!$A:$C,3,0)</f>
        <v>MBG</v>
      </c>
      <c r="J315" s="918" t="str">
        <f t="shared" si="30"/>
        <v>1352MBG</v>
      </c>
      <c r="K315" s="919">
        <v>1</v>
      </c>
      <c r="L315" s="920">
        <f t="shared" si="31"/>
        <v>2474</v>
      </c>
      <c r="M315" s="920">
        <f t="shared" si="32"/>
        <v>7.0063680000000002</v>
      </c>
      <c r="N315" s="920">
        <f t="shared" si="33"/>
        <v>10.995555555555555</v>
      </c>
      <c r="O315" s="918" t="str">
        <f t="shared" si="34"/>
        <v>Jan</v>
      </c>
      <c r="P315" s="921">
        <f t="shared" si="35"/>
        <v>2</v>
      </c>
    </row>
    <row r="316" spans="1:16" ht="15" hidden="1" customHeight="1">
      <c r="A316" s="839">
        <v>68689251</v>
      </c>
      <c r="B316" s="839">
        <v>1352</v>
      </c>
      <c r="C316" s="906">
        <v>2508</v>
      </c>
      <c r="D316" s="907">
        <v>46031</v>
      </c>
      <c r="E316" s="839" t="s">
        <v>262</v>
      </c>
      <c r="F316" s="839" t="s">
        <v>240</v>
      </c>
      <c r="G316" s="916">
        <f>VLOOKUP($A316,'Tech Litons'!$A:$I,8,FALSE)</f>
        <v>9.5760000000000012E-3</v>
      </c>
      <c r="H316" s="917">
        <f>VLOOKUP($A316,'Tech Litons'!$A:$I,9,FALSE)</f>
        <v>132</v>
      </c>
      <c r="I316" s="917" t="str">
        <f>VLOOKUP($A316,'Tech Litons'!$A:$C,3,0)</f>
        <v>EDF</v>
      </c>
      <c r="J316" s="918" t="str">
        <f t="shared" si="30"/>
        <v>1352EDF</v>
      </c>
      <c r="K316" s="919">
        <v>1</v>
      </c>
      <c r="L316" s="920">
        <f t="shared" si="31"/>
        <v>2508</v>
      </c>
      <c r="M316" s="920">
        <f t="shared" si="32"/>
        <v>24.016608000000002</v>
      </c>
      <c r="N316" s="920">
        <f t="shared" si="33"/>
        <v>19</v>
      </c>
      <c r="O316" s="918" t="str">
        <f t="shared" si="34"/>
        <v>Jan</v>
      </c>
      <c r="P316" s="921">
        <f t="shared" si="35"/>
        <v>2</v>
      </c>
    </row>
    <row r="317" spans="1:16" ht="15" hidden="1" customHeight="1">
      <c r="A317" s="839">
        <v>68921994</v>
      </c>
      <c r="B317" s="839">
        <v>1352</v>
      </c>
      <c r="C317" s="906">
        <v>2636</v>
      </c>
      <c r="D317" s="907">
        <v>46031</v>
      </c>
      <c r="E317" s="839" t="s">
        <v>267</v>
      </c>
      <c r="F317" s="839" t="s">
        <v>241</v>
      </c>
      <c r="G317" s="916">
        <f>VLOOKUP($A317,'Tech Litons'!$A:$I,8,FALSE)</f>
        <v>9.5760000000000012E-3</v>
      </c>
      <c r="H317" s="917">
        <f>VLOOKUP($A317,'Tech Litons'!$A:$I,9,FALSE)</f>
        <v>132</v>
      </c>
      <c r="I317" s="917" t="str">
        <f>VLOOKUP($A317,'Tech Litons'!$A:$C,3,0)</f>
        <v>EDF</v>
      </c>
      <c r="J317" s="918" t="str">
        <f t="shared" si="30"/>
        <v>1352EDF</v>
      </c>
      <c r="K317" s="919">
        <v>1</v>
      </c>
      <c r="L317" s="920">
        <f t="shared" si="31"/>
        <v>2636</v>
      </c>
      <c r="M317" s="920">
        <f t="shared" si="32"/>
        <v>25.242336000000002</v>
      </c>
      <c r="N317" s="920">
        <f t="shared" si="33"/>
        <v>19.969696969696969</v>
      </c>
      <c r="O317" s="918" t="str">
        <f t="shared" si="34"/>
        <v>Jan</v>
      </c>
      <c r="P317" s="921">
        <f t="shared" si="35"/>
        <v>2</v>
      </c>
    </row>
    <row r="318" spans="1:16" ht="15" hidden="1" customHeight="1">
      <c r="A318" s="839">
        <v>64977530</v>
      </c>
      <c r="B318" s="839">
        <v>1352</v>
      </c>
      <c r="C318" s="906">
        <v>2722</v>
      </c>
      <c r="D318" s="907">
        <v>46031</v>
      </c>
      <c r="E318" s="839" t="s">
        <v>310</v>
      </c>
      <c r="F318" s="839" t="s">
        <v>266</v>
      </c>
      <c r="G318" s="916">
        <f>VLOOKUP($A318,'Tech Litons'!$A:$I,8,FALSE)</f>
        <v>8.513999999999999E-3</v>
      </c>
      <c r="H318" s="917">
        <f>VLOOKUP($A318,'Tech Litons'!$A:$I,9,FALSE)</f>
        <v>176</v>
      </c>
      <c r="I318" s="917" t="str">
        <f>VLOOKUP($A318,'Tech Litons'!$A:$C,3,0)</f>
        <v>48oz</v>
      </c>
      <c r="J318" s="918" t="str">
        <f t="shared" si="30"/>
        <v>135248oz</v>
      </c>
      <c r="K318" s="919">
        <v>1</v>
      </c>
      <c r="L318" s="920">
        <f t="shared" si="31"/>
        <v>2722</v>
      </c>
      <c r="M318" s="920">
        <f t="shared" si="32"/>
        <v>23.175107999999998</v>
      </c>
      <c r="N318" s="920">
        <f t="shared" si="33"/>
        <v>15.465909090909092</v>
      </c>
      <c r="O318" s="918" t="str">
        <f t="shared" si="34"/>
        <v>Jan</v>
      </c>
      <c r="P318" s="921">
        <f t="shared" si="35"/>
        <v>2</v>
      </c>
    </row>
    <row r="319" spans="1:16" ht="15" hidden="1" customHeight="1">
      <c r="A319" s="839">
        <v>64776954</v>
      </c>
      <c r="B319" s="839">
        <v>1352</v>
      </c>
      <c r="C319" s="906">
        <v>2745</v>
      </c>
      <c r="D319" s="907">
        <v>46031</v>
      </c>
      <c r="E319" s="839" t="s">
        <v>285</v>
      </c>
      <c r="F319" s="839" t="s">
        <v>224</v>
      </c>
      <c r="G319" s="916">
        <f>VLOOKUP($A319,'Tech Litons'!$A:$I,8,FALSE)</f>
        <v>3.8340000000000002E-3</v>
      </c>
      <c r="H319" s="917">
        <f>VLOOKUP($A319,'Tech Litons'!$A:$I,9,FALSE)</f>
        <v>130</v>
      </c>
      <c r="I319" s="917" t="str">
        <f>VLOOKUP($A319,'Tech Litons'!$A:$C,3,0)</f>
        <v>pG</v>
      </c>
      <c r="J319" s="918" t="str">
        <f t="shared" si="30"/>
        <v>1352pG</v>
      </c>
      <c r="K319" s="919">
        <v>1</v>
      </c>
      <c r="L319" s="920">
        <f t="shared" si="31"/>
        <v>2745</v>
      </c>
      <c r="M319" s="920">
        <f t="shared" si="32"/>
        <v>10.524330000000001</v>
      </c>
      <c r="N319" s="920">
        <f t="shared" si="33"/>
        <v>21.115384615384617</v>
      </c>
      <c r="O319" s="918" t="str">
        <f t="shared" si="34"/>
        <v>Jan</v>
      </c>
      <c r="P319" s="921">
        <f t="shared" si="35"/>
        <v>2</v>
      </c>
    </row>
    <row r="320" spans="1:16" ht="15" hidden="1" customHeight="1">
      <c r="A320" s="839">
        <v>68689251</v>
      </c>
      <c r="B320" s="839">
        <v>1352</v>
      </c>
      <c r="C320" s="906">
        <v>2772</v>
      </c>
      <c r="D320" s="907">
        <v>46031</v>
      </c>
      <c r="E320" s="839" t="s">
        <v>262</v>
      </c>
      <c r="F320" s="839" t="s">
        <v>242</v>
      </c>
      <c r="G320" s="916">
        <f>VLOOKUP($A320,'Tech Litons'!$A:$I,8,FALSE)</f>
        <v>9.5760000000000012E-3</v>
      </c>
      <c r="H320" s="917">
        <f>VLOOKUP($A320,'Tech Litons'!$A:$I,9,FALSE)</f>
        <v>132</v>
      </c>
      <c r="I320" s="917" t="str">
        <f>VLOOKUP($A320,'Tech Litons'!$A:$C,3,0)</f>
        <v>EDF</v>
      </c>
      <c r="J320" s="918" t="str">
        <f t="shared" si="30"/>
        <v>1352EDF</v>
      </c>
      <c r="K320" s="919">
        <v>1</v>
      </c>
      <c r="L320" s="920">
        <f t="shared" si="31"/>
        <v>2772</v>
      </c>
      <c r="M320" s="920">
        <f t="shared" si="32"/>
        <v>26.544672000000002</v>
      </c>
      <c r="N320" s="920">
        <f t="shared" si="33"/>
        <v>21</v>
      </c>
      <c r="O320" s="918" t="str">
        <f t="shared" si="34"/>
        <v>Jan</v>
      </c>
      <c r="P320" s="921">
        <f t="shared" si="35"/>
        <v>2</v>
      </c>
    </row>
    <row r="321" spans="1:16" ht="15" hidden="1" customHeight="1">
      <c r="A321" s="839">
        <v>68851108</v>
      </c>
      <c r="B321" s="839">
        <v>2904</v>
      </c>
      <c r="C321" s="906">
        <v>2992</v>
      </c>
      <c r="D321" s="907">
        <v>46031</v>
      </c>
      <c r="E321" s="839" t="s">
        <v>296</v>
      </c>
      <c r="F321" s="839" t="s">
        <v>273</v>
      </c>
      <c r="G321" s="916">
        <f>VLOOKUP($A321,'Tech Litons'!$A:$I,8,FALSE)</f>
        <v>8.5199999999999998E-3</v>
      </c>
      <c r="H321" s="917">
        <f>VLOOKUP($A321,'Tech Litons'!$A:$I,9,FALSE)</f>
        <v>176</v>
      </c>
      <c r="I321" s="917" t="str">
        <f>VLOOKUP($A321,'Tech Litons'!$A:$C,3,0)</f>
        <v>48oz</v>
      </c>
      <c r="J321" s="918" t="str">
        <f t="shared" si="30"/>
        <v>290448oz</v>
      </c>
      <c r="K321" s="919">
        <v>1</v>
      </c>
      <c r="L321" s="920">
        <f t="shared" si="31"/>
        <v>2992</v>
      </c>
      <c r="M321" s="920">
        <f t="shared" si="32"/>
        <v>25.49184</v>
      </c>
      <c r="N321" s="920">
        <f t="shared" si="33"/>
        <v>17</v>
      </c>
      <c r="O321" s="918" t="str">
        <f t="shared" si="34"/>
        <v>Jan</v>
      </c>
      <c r="P321" s="921">
        <f t="shared" si="35"/>
        <v>2</v>
      </c>
    </row>
    <row r="322" spans="1:16" ht="15" hidden="1" customHeight="1">
      <c r="A322" s="839">
        <v>68851107</v>
      </c>
      <c r="B322" s="839">
        <v>1352</v>
      </c>
      <c r="C322" s="906">
        <v>3014</v>
      </c>
      <c r="D322" s="907">
        <v>46031</v>
      </c>
      <c r="E322" s="839" t="s">
        <v>272</v>
      </c>
      <c r="F322" s="839" t="s">
        <v>290</v>
      </c>
      <c r="G322" s="916">
        <f>VLOOKUP($A322,'Tech Litons'!$A:$I,8,FALSE)</f>
        <v>8.5199999999999998E-3</v>
      </c>
      <c r="H322" s="917">
        <f>VLOOKUP($A322,'Tech Litons'!$A:$I,9,FALSE)</f>
        <v>176</v>
      </c>
      <c r="I322" s="917" t="str">
        <f>VLOOKUP($A322,'Tech Litons'!$A:$C,3,0)</f>
        <v>48oz</v>
      </c>
      <c r="J322" s="918" t="str">
        <f t="shared" si="30"/>
        <v>135248oz</v>
      </c>
      <c r="K322" s="919">
        <v>1</v>
      </c>
      <c r="L322" s="920">
        <f t="shared" si="31"/>
        <v>3014</v>
      </c>
      <c r="M322" s="920">
        <f t="shared" si="32"/>
        <v>25.679279999999999</v>
      </c>
      <c r="N322" s="920">
        <f t="shared" si="33"/>
        <v>17.125</v>
      </c>
      <c r="O322" s="918" t="str">
        <f t="shared" si="34"/>
        <v>Jan</v>
      </c>
      <c r="P322" s="921">
        <f t="shared" si="35"/>
        <v>2</v>
      </c>
    </row>
    <row r="323" spans="1:16" ht="15" hidden="1" customHeight="1">
      <c r="A323" s="839">
        <v>68741742</v>
      </c>
      <c r="B323" s="839">
        <v>1352</v>
      </c>
      <c r="C323" s="906">
        <v>3193</v>
      </c>
      <c r="D323" s="907">
        <v>46031</v>
      </c>
      <c r="E323" s="839" t="s">
        <v>288</v>
      </c>
      <c r="F323" s="839" t="s">
        <v>289</v>
      </c>
      <c r="G323" s="916">
        <f>VLOOKUP($A323,'Tech Litons'!$A:$I,8,FALSE)</f>
        <v>4.2560000000000002E-3</v>
      </c>
      <c r="H323" s="917">
        <f>VLOOKUP($A323,'Tech Litons'!$A:$I,9,FALSE)</f>
        <v>154</v>
      </c>
      <c r="I323" s="917" t="str">
        <f>VLOOKUP($A323,'Tech Litons'!$A:$C,3,0)</f>
        <v>MBG</v>
      </c>
      <c r="J323" s="918" t="str">
        <f t="shared" si="30"/>
        <v>1352MBG</v>
      </c>
      <c r="K323" s="919">
        <v>1</v>
      </c>
      <c r="L323" s="920">
        <f t="shared" si="31"/>
        <v>3193</v>
      </c>
      <c r="M323" s="920">
        <f t="shared" si="32"/>
        <v>13.589408000000001</v>
      </c>
      <c r="N323" s="920">
        <f t="shared" si="33"/>
        <v>20.733766233766232</v>
      </c>
      <c r="O323" s="918" t="str">
        <f t="shared" si="34"/>
        <v>Jan</v>
      </c>
      <c r="P323" s="921">
        <f t="shared" si="35"/>
        <v>2</v>
      </c>
    </row>
    <row r="324" spans="1:16" ht="15" hidden="1" customHeight="1">
      <c r="A324" s="839">
        <v>68689251</v>
      </c>
      <c r="B324" s="839">
        <v>1352</v>
      </c>
      <c r="C324" s="906">
        <v>3235</v>
      </c>
      <c r="D324" s="907">
        <v>46031</v>
      </c>
      <c r="E324" s="839" t="s">
        <v>262</v>
      </c>
      <c r="F324" s="839" t="s">
        <v>242</v>
      </c>
      <c r="G324" s="916">
        <f>VLOOKUP($A324,'Tech Litons'!$A:$I,8,FALSE)</f>
        <v>9.5760000000000012E-3</v>
      </c>
      <c r="H324" s="917">
        <f>VLOOKUP($A324,'Tech Litons'!$A:$I,9,FALSE)</f>
        <v>132</v>
      </c>
      <c r="I324" s="917" t="str">
        <f>VLOOKUP($A324,'Tech Litons'!$A:$C,3,0)</f>
        <v>EDF</v>
      </c>
      <c r="J324" s="918" t="str">
        <f t="shared" si="30"/>
        <v>1352EDF</v>
      </c>
      <c r="K324" s="919">
        <v>1</v>
      </c>
      <c r="L324" s="920">
        <f t="shared" si="31"/>
        <v>3235</v>
      </c>
      <c r="M324" s="920">
        <f t="shared" si="32"/>
        <v>30.978360000000002</v>
      </c>
      <c r="N324" s="920">
        <f t="shared" si="33"/>
        <v>24.507575757575758</v>
      </c>
      <c r="O324" s="918" t="str">
        <f t="shared" si="34"/>
        <v>Jan</v>
      </c>
      <c r="P324" s="921">
        <f t="shared" si="35"/>
        <v>2</v>
      </c>
    </row>
    <row r="325" spans="1:16" ht="15" hidden="1" customHeight="1">
      <c r="A325" s="839">
        <v>69725082</v>
      </c>
      <c r="B325" s="839">
        <v>1352</v>
      </c>
      <c r="C325" s="906">
        <v>3478</v>
      </c>
      <c r="D325" s="907">
        <v>46031</v>
      </c>
      <c r="E325" s="839" t="s">
        <v>292</v>
      </c>
      <c r="F325" s="839" t="s">
        <v>225</v>
      </c>
      <c r="G325" s="916">
        <f>VLOOKUP($A325,'Tech Litons'!$A:$I,8,FALSE)</f>
        <v>5.2680000000000001E-3</v>
      </c>
      <c r="H325" s="917">
        <f>VLOOKUP($A325,'Tech Litons'!$A:$I,9,FALSE)</f>
        <v>130</v>
      </c>
      <c r="I325" s="917" t="str">
        <f>VLOOKUP($A325,'Tech Litons'!$A:$C,3,0)</f>
        <v>PG</v>
      </c>
      <c r="J325" s="918" t="str">
        <f t="shared" si="30"/>
        <v>1352PG</v>
      </c>
      <c r="K325" s="919">
        <v>1</v>
      </c>
      <c r="L325" s="920">
        <f t="shared" si="31"/>
        <v>3478</v>
      </c>
      <c r="M325" s="920">
        <f t="shared" si="32"/>
        <v>18.322104</v>
      </c>
      <c r="N325" s="920">
        <f t="shared" si="33"/>
        <v>26.753846153846155</v>
      </c>
      <c r="O325" s="918" t="str">
        <f t="shared" si="34"/>
        <v>Jan</v>
      </c>
      <c r="P325" s="921">
        <f t="shared" si="35"/>
        <v>2</v>
      </c>
    </row>
    <row r="326" spans="1:16" ht="15" hidden="1" customHeight="1">
      <c r="A326" s="839">
        <v>64977530</v>
      </c>
      <c r="B326" s="839">
        <v>1352</v>
      </c>
      <c r="C326" s="906">
        <v>3522</v>
      </c>
      <c r="D326" s="907">
        <v>46031</v>
      </c>
      <c r="E326" s="839" t="s">
        <v>310</v>
      </c>
      <c r="F326" s="839" t="s">
        <v>266</v>
      </c>
      <c r="G326" s="916">
        <f>VLOOKUP($A326,'Tech Litons'!$A:$I,8,FALSE)</f>
        <v>8.513999999999999E-3</v>
      </c>
      <c r="H326" s="917">
        <f>VLOOKUP($A326,'Tech Litons'!$A:$I,9,FALSE)</f>
        <v>176</v>
      </c>
      <c r="I326" s="917" t="str">
        <f>VLOOKUP($A326,'Tech Litons'!$A:$C,3,0)</f>
        <v>48oz</v>
      </c>
      <c r="J326" s="918" t="str">
        <f t="shared" si="30"/>
        <v>135248oz</v>
      </c>
      <c r="K326" s="919">
        <v>1</v>
      </c>
      <c r="L326" s="920">
        <f t="shared" si="31"/>
        <v>3522</v>
      </c>
      <c r="M326" s="920">
        <f t="shared" si="32"/>
        <v>29.986307999999998</v>
      </c>
      <c r="N326" s="920">
        <f t="shared" si="33"/>
        <v>20.011363636363637</v>
      </c>
      <c r="O326" s="918" t="str">
        <f t="shared" si="34"/>
        <v>Jan</v>
      </c>
      <c r="P326" s="921">
        <f t="shared" si="35"/>
        <v>2</v>
      </c>
    </row>
    <row r="327" spans="1:16" ht="15" hidden="1" customHeight="1">
      <c r="A327" s="839">
        <v>64958122</v>
      </c>
      <c r="B327" s="839">
        <v>2904</v>
      </c>
      <c r="C327" s="906">
        <v>3795</v>
      </c>
      <c r="D327" s="907">
        <v>46031</v>
      </c>
      <c r="E327" s="839" t="s">
        <v>236</v>
      </c>
      <c r="F327" s="839" t="s">
        <v>234</v>
      </c>
      <c r="G327" s="916">
        <f>VLOOKUP($A327,'Tech Litons'!$A:$I,8,FALSE)</f>
        <v>3.3119999999999998E-3</v>
      </c>
      <c r="H327" s="917">
        <f>VLOOKUP($A327,'Tech Litons'!$A:$I,9,FALSE)</f>
        <v>165</v>
      </c>
      <c r="I327" s="917" t="str">
        <f>VLOOKUP($A327,'Tech Litons'!$A:$C,3,0)</f>
        <v>Yasso Sticks</v>
      </c>
      <c r="J327" s="918" t="str">
        <f t="shared" si="30"/>
        <v>2904Yasso Sticks</v>
      </c>
      <c r="K327" s="919">
        <v>1</v>
      </c>
      <c r="L327" s="920">
        <f t="shared" si="31"/>
        <v>3795</v>
      </c>
      <c r="M327" s="920">
        <f t="shared" si="32"/>
        <v>12.569039999999999</v>
      </c>
      <c r="N327" s="920">
        <f t="shared" si="33"/>
        <v>23</v>
      </c>
      <c r="O327" s="918" t="str">
        <f t="shared" si="34"/>
        <v>Jan</v>
      </c>
      <c r="P327" s="921">
        <f t="shared" si="35"/>
        <v>2</v>
      </c>
    </row>
    <row r="328" spans="1:16" ht="15" hidden="1" customHeight="1">
      <c r="A328" s="839">
        <v>67826412</v>
      </c>
      <c r="B328" s="839">
        <v>2904</v>
      </c>
      <c r="C328" s="906">
        <v>3840</v>
      </c>
      <c r="D328" s="907">
        <v>46031</v>
      </c>
      <c r="E328" s="839" t="s">
        <v>312</v>
      </c>
      <c r="F328" s="839" t="s">
        <v>299</v>
      </c>
      <c r="G328" s="916">
        <f>VLOOKUP($A328,'Tech Litons'!$A:$I,8,FALSE)</f>
        <v>3.7853439999999999E-3</v>
      </c>
      <c r="H328" s="917">
        <f>VLOOKUP($A328,'Tech Litons'!$A:$I,9,FALSE)</f>
        <v>240</v>
      </c>
      <c r="I328" s="917" t="str">
        <f>VLOOKUP($A328,'Tech Litons'!$A:$C,3,0)</f>
        <v>BJ PTS</v>
      </c>
      <c r="J328" s="918" t="str">
        <f t="shared" si="30"/>
        <v>2904BJ PTS</v>
      </c>
      <c r="K328" s="919">
        <v>1</v>
      </c>
      <c r="L328" s="920">
        <f t="shared" si="31"/>
        <v>3840</v>
      </c>
      <c r="M328" s="920">
        <f t="shared" si="32"/>
        <v>14.535720959999999</v>
      </c>
      <c r="N328" s="920">
        <f t="shared" si="33"/>
        <v>16</v>
      </c>
      <c r="O328" s="918" t="str">
        <f t="shared" si="34"/>
        <v>Jan</v>
      </c>
      <c r="P328" s="921">
        <f t="shared" si="35"/>
        <v>2</v>
      </c>
    </row>
    <row r="329" spans="1:16" ht="15" hidden="1" customHeight="1">
      <c r="A329" s="839">
        <v>68689251</v>
      </c>
      <c r="B329" s="839">
        <v>1352</v>
      </c>
      <c r="C329" s="906">
        <v>3993</v>
      </c>
      <c r="D329" s="907">
        <v>46031</v>
      </c>
      <c r="E329" s="839" t="s">
        <v>262</v>
      </c>
      <c r="F329" s="839" t="s">
        <v>240</v>
      </c>
      <c r="G329" s="916">
        <f>VLOOKUP($A329,'Tech Litons'!$A:$I,8,FALSE)</f>
        <v>9.5760000000000012E-3</v>
      </c>
      <c r="H329" s="917">
        <f>VLOOKUP($A329,'Tech Litons'!$A:$I,9,FALSE)</f>
        <v>132</v>
      </c>
      <c r="I329" s="917" t="str">
        <f>VLOOKUP($A329,'Tech Litons'!$A:$C,3,0)</f>
        <v>EDF</v>
      </c>
      <c r="J329" s="918" t="str">
        <f t="shared" si="30"/>
        <v>1352EDF</v>
      </c>
      <c r="K329" s="919">
        <v>1</v>
      </c>
      <c r="L329" s="920">
        <f t="shared" si="31"/>
        <v>3993</v>
      </c>
      <c r="M329" s="920">
        <f t="shared" si="32"/>
        <v>38.236968000000005</v>
      </c>
      <c r="N329" s="920">
        <f t="shared" si="33"/>
        <v>30.25</v>
      </c>
      <c r="O329" s="918" t="str">
        <f t="shared" si="34"/>
        <v>Jan</v>
      </c>
      <c r="P329" s="921">
        <f t="shared" si="35"/>
        <v>2</v>
      </c>
    </row>
    <row r="330" spans="1:16" ht="15" hidden="1" customHeight="1">
      <c r="A330" s="839">
        <v>68921994</v>
      </c>
      <c r="B330" s="839">
        <v>1352</v>
      </c>
      <c r="C330" s="906">
        <v>4084</v>
      </c>
      <c r="D330" s="907">
        <v>46031</v>
      </c>
      <c r="E330" s="839" t="s">
        <v>267</v>
      </c>
      <c r="F330" s="839" t="s">
        <v>241</v>
      </c>
      <c r="G330" s="916">
        <f>VLOOKUP($A330,'Tech Litons'!$A:$I,8,FALSE)</f>
        <v>9.5760000000000012E-3</v>
      </c>
      <c r="H330" s="917">
        <f>VLOOKUP($A330,'Tech Litons'!$A:$I,9,FALSE)</f>
        <v>132</v>
      </c>
      <c r="I330" s="917" t="str">
        <f>VLOOKUP($A330,'Tech Litons'!$A:$C,3,0)</f>
        <v>EDF</v>
      </c>
      <c r="J330" s="918" t="str">
        <f t="shared" si="30"/>
        <v>1352EDF</v>
      </c>
      <c r="K330" s="919">
        <v>1</v>
      </c>
      <c r="L330" s="920">
        <f t="shared" si="31"/>
        <v>4084</v>
      </c>
      <c r="M330" s="920">
        <f t="shared" si="32"/>
        <v>39.108384000000008</v>
      </c>
      <c r="N330" s="920">
        <f t="shared" si="33"/>
        <v>30.939393939393938</v>
      </c>
      <c r="O330" s="918" t="str">
        <f t="shared" si="34"/>
        <v>Jan</v>
      </c>
      <c r="P330" s="921">
        <f t="shared" si="35"/>
        <v>2</v>
      </c>
    </row>
    <row r="331" spans="1:16" ht="15" hidden="1" customHeight="1">
      <c r="A331" s="839">
        <v>69690941</v>
      </c>
      <c r="B331" s="839">
        <v>2904</v>
      </c>
      <c r="C331" s="906">
        <v>4192</v>
      </c>
      <c r="D331" s="907">
        <v>46031</v>
      </c>
      <c r="E331" s="839" t="s">
        <v>321</v>
      </c>
      <c r="F331" s="839" t="s">
        <v>281</v>
      </c>
      <c r="G331" s="916">
        <f>VLOOKUP($A331,'Tech Litons'!$A:$I,8,FALSE)</f>
        <v>1.98E-3</v>
      </c>
      <c r="H331" s="917">
        <f>VLOOKUP($A331,'Tech Litons'!$A:$I,9,FALSE)</f>
        <v>176</v>
      </c>
      <c r="I331" s="917" t="str">
        <f>VLOOKUP($A331,'Tech Litons'!$A:$C,3,0)</f>
        <v>MG Sticks</v>
      </c>
      <c r="J331" s="918" t="str">
        <f t="shared" si="30"/>
        <v>2904MG Sticks</v>
      </c>
      <c r="K331" s="919">
        <v>1</v>
      </c>
      <c r="L331" s="920">
        <f t="shared" si="31"/>
        <v>4192</v>
      </c>
      <c r="M331" s="920">
        <f t="shared" si="32"/>
        <v>8.30016</v>
      </c>
      <c r="N331" s="920">
        <f t="shared" si="33"/>
        <v>23.818181818181817</v>
      </c>
      <c r="O331" s="918" t="str">
        <f t="shared" si="34"/>
        <v>Jan</v>
      </c>
      <c r="P331" s="921">
        <f t="shared" si="35"/>
        <v>2</v>
      </c>
    </row>
    <row r="332" spans="1:16" ht="15" hidden="1" customHeight="1">
      <c r="A332" s="839">
        <v>68851107</v>
      </c>
      <c r="B332" s="839">
        <v>1352</v>
      </c>
      <c r="C332" s="906">
        <v>4339</v>
      </c>
      <c r="D332" s="907">
        <v>46031</v>
      </c>
      <c r="E332" s="839" t="s">
        <v>272</v>
      </c>
      <c r="F332" s="839" t="s">
        <v>290</v>
      </c>
      <c r="G332" s="916">
        <f>VLOOKUP($A332,'Tech Litons'!$A:$I,8,FALSE)</f>
        <v>8.5199999999999998E-3</v>
      </c>
      <c r="H332" s="917">
        <f>VLOOKUP($A332,'Tech Litons'!$A:$I,9,FALSE)</f>
        <v>176</v>
      </c>
      <c r="I332" s="917" t="str">
        <f>VLOOKUP($A332,'Tech Litons'!$A:$C,3,0)</f>
        <v>48oz</v>
      </c>
      <c r="J332" s="918" t="str">
        <f t="shared" si="30"/>
        <v>135248oz</v>
      </c>
      <c r="K332" s="919">
        <v>1</v>
      </c>
      <c r="L332" s="920">
        <f t="shared" si="31"/>
        <v>4339</v>
      </c>
      <c r="M332" s="920">
        <f t="shared" si="32"/>
        <v>36.96828</v>
      </c>
      <c r="N332" s="920">
        <f t="shared" si="33"/>
        <v>24.65340909090909</v>
      </c>
      <c r="O332" s="918" t="str">
        <f t="shared" si="34"/>
        <v>Jan</v>
      </c>
      <c r="P332" s="921">
        <f t="shared" si="35"/>
        <v>2</v>
      </c>
    </row>
    <row r="333" spans="1:16" ht="15" hidden="1" customHeight="1">
      <c r="A333" s="839">
        <v>68741714</v>
      </c>
      <c r="B333" s="839">
        <v>1352</v>
      </c>
      <c r="C333" s="906">
        <v>4463</v>
      </c>
      <c r="D333" s="907">
        <v>46031</v>
      </c>
      <c r="E333" s="839" t="s">
        <v>286</v>
      </c>
      <c r="F333" s="839" t="s">
        <v>287</v>
      </c>
      <c r="G333" s="916">
        <f>VLOOKUP($A333,'Tech Litons'!$A:$I,8,FALSE)</f>
        <v>2.8319999999999999E-3</v>
      </c>
      <c r="H333" s="917">
        <f>VLOOKUP($A333,'Tech Litons'!$A:$I,9,FALSE)</f>
        <v>225</v>
      </c>
      <c r="I333" s="917" t="str">
        <f>VLOOKUP($A333,'Tech Litons'!$A:$C,3,0)</f>
        <v>MBG</v>
      </c>
      <c r="J333" s="918" t="str">
        <f t="shared" si="30"/>
        <v>1352MBG</v>
      </c>
      <c r="K333" s="919">
        <v>1</v>
      </c>
      <c r="L333" s="920">
        <f t="shared" si="31"/>
        <v>4463</v>
      </c>
      <c r="M333" s="920">
        <f t="shared" si="32"/>
        <v>12.639215999999999</v>
      </c>
      <c r="N333" s="920">
        <f t="shared" si="33"/>
        <v>19.835555555555555</v>
      </c>
      <c r="O333" s="918" t="str">
        <f t="shared" si="34"/>
        <v>Jan</v>
      </c>
      <c r="P333" s="921">
        <f t="shared" si="35"/>
        <v>2</v>
      </c>
    </row>
    <row r="334" spans="1:16" ht="15" hidden="1" customHeight="1">
      <c r="A334" s="839">
        <v>64373718</v>
      </c>
      <c r="B334" s="839">
        <v>2904</v>
      </c>
      <c r="C334" s="906">
        <v>4512</v>
      </c>
      <c r="D334" s="908">
        <v>46031</v>
      </c>
      <c r="E334" s="906" t="s">
        <v>316</v>
      </c>
      <c r="F334" s="906" t="s">
        <v>269</v>
      </c>
      <c r="G334" s="916">
        <f>VLOOKUP($A334,'Tech Litons'!$A:$I,8,FALSE)</f>
        <v>8.5199999999999998E-3</v>
      </c>
      <c r="H334" s="917">
        <f>VLOOKUP($A334,'Tech Litons'!$A:$I,9,FALSE)</f>
        <v>176</v>
      </c>
      <c r="I334" s="917" t="str">
        <f>VLOOKUP($A334,'Tech Litons'!$A:$C,3,0)</f>
        <v>48oz</v>
      </c>
      <c r="J334" s="918" t="str">
        <f t="shared" si="30"/>
        <v>290448oz</v>
      </c>
      <c r="K334" s="919">
        <v>1</v>
      </c>
      <c r="L334" s="920">
        <f t="shared" si="31"/>
        <v>4512</v>
      </c>
      <c r="M334" s="920">
        <f t="shared" si="32"/>
        <v>38.442239999999998</v>
      </c>
      <c r="N334" s="920">
        <f t="shared" si="33"/>
        <v>25.636363636363637</v>
      </c>
      <c r="O334" s="918" t="str">
        <f t="shared" si="34"/>
        <v>Jan</v>
      </c>
      <c r="P334" s="921">
        <f t="shared" si="35"/>
        <v>2</v>
      </c>
    </row>
    <row r="335" spans="1:16" ht="15" hidden="1" customHeight="1">
      <c r="A335" s="839">
        <v>64369046</v>
      </c>
      <c r="B335" s="839">
        <v>2904</v>
      </c>
      <c r="C335" s="906">
        <v>4845</v>
      </c>
      <c r="D335" s="907">
        <v>46031</v>
      </c>
      <c r="E335" s="839" t="s">
        <v>315</v>
      </c>
      <c r="F335" s="839" t="s">
        <v>275</v>
      </c>
      <c r="G335" s="916">
        <f>VLOOKUP($A335,'Tech Litons'!$A:$I,8,FALSE)</f>
        <v>3.552E-3</v>
      </c>
      <c r="H335" s="917">
        <f>VLOOKUP($A335,'Tech Litons'!$A:$I,9,FALSE)</f>
        <v>255</v>
      </c>
      <c r="I335" s="917" t="str">
        <f>VLOOKUP($A335,'Tech Litons'!$A:$C,3,0)</f>
        <v>Talenti</v>
      </c>
      <c r="J335" s="918" t="str">
        <f t="shared" si="30"/>
        <v>2904Talenti</v>
      </c>
      <c r="K335" s="919">
        <v>1</v>
      </c>
      <c r="L335" s="920">
        <f t="shared" si="31"/>
        <v>4845</v>
      </c>
      <c r="M335" s="920">
        <f t="shared" si="32"/>
        <v>17.209440000000001</v>
      </c>
      <c r="N335" s="920">
        <f t="shared" si="33"/>
        <v>19</v>
      </c>
      <c r="O335" s="918" t="str">
        <f t="shared" si="34"/>
        <v>Jan</v>
      </c>
      <c r="P335" s="921">
        <f t="shared" si="35"/>
        <v>2</v>
      </c>
    </row>
    <row r="336" spans="1:16" ht="15" hidden="1" customHeight="1">
      <c r="A336" s="839">
        <v>64979407</v>
      </c>
      <c r="B336" s="839">
        <v>2904</v>
      </c>
      <c r="C336" s="906">
        <v>4940</v>
      </c>
      <c r="D336" s="907">
        <v>46031</v>
      </c>
      <c r="E336" s="839" t="s">
        <v>284</v>
      </c>
      <c r="F336" s="839" t="s">
        <v>231</v>
      </c>
      <c r="G336" s="916">
        <f>VLOOKUP($A336,'Tech Litons'!$A:$I,8,FALSE)</f>
        <v>4.2560000000000002E-3</v>
      </c>
      <c r="H336" s="917">
        <f>VLOOKUP($A336,'Tech Litons'!$A:$I,9,FALSE)</f>
        <v>143</v>
      </c>
      <c r="I336" s="917" t="str">
        <f>VLOOKUP($A336,'Tech Litons'!$A:$C,3,0)</f>
        <v>MG Sticks</v>
      </c>
      <c r="J336" s="918" t="str">
        <f t="shared" si="30"/>
        <v>2904MG Sticks</v>
      </c>
      <c r="K336" s="919">
        <v>1</v>
      </c>
      <c r="L336" s="920">
        <f t="shared" si="31"/>
        <v>4940</v>
      </c>
      <c r="M336" s="920">
        <f t="shared" si="32"/>
        <v>21.024640000000002</v>
      </c>
      <c r="N336" s="920">
        <f t="shared" si="33"/>
        <v>34.545454545454547</v>
      </c>
      <c r="O336" s="918" t="str">
        <f t="shared" si="34"/>
        <v>Jan</v>
      </c>
      <c r="P336" s="921">
        <f t="shared" si="35"/>
        <v>2</v>
      </c>
    </row>
    <row r="337" spans="1:16" ht="15" hidden="1" customHeight="1">
      <c r="A337" s="839">
        <v>64330611</v>
      </c>
      <c r="B337" s="839">
        <v>2904</v>
      </c>
      <c r="C337" s="906">
        <v>4977</v>
      </c>
      <c r="D337" s="907">
        <v>46031</v>
      </c>
      <c r="E337" s="839" t="s">
        <v>354</v>
      </c>
      <c r="F337" s="839" t="s">
        <v>283</v>
      </c>
      <c r="G337" s="916">
        <f>VLOOKUP($A337,'Tech Litons'!$A:$I,8,FALSE)</f>
        <v>2.16E-3</v>
      </c>
      <c r="H337" s="917">
        <f>VLOOKUP($A337,'Tech Litons'!$A:$I,9,FALSE)</f>
        <v>210</v>
      </c>
      <c r="I337" s="917" t="str">
        <f>VLOOKUP($A337,'Tech Litons'!$A:$C,3,0)</f>
        <v>MG Sticks</v>
      </c>
      <c r="J337" s="918" t="str">
        <f t="shared" si="30"/>
        <v>2904MG Sticks</v>
      </c>
      <c r="K337" s="919">
        <v>1</v>
      </c>
      <c r="L337" s="920">
        <f t="shared" si="31"/>
        <v>4977</v>
      </c>
      <c r="M337" s="920">
        <f t="shared" si="32"/>
        <v>10.75032</v>
      </c>
      <c r="N337" s="920">
        <f t="shared" si="33"/>
        <v>23.7</v>
      </c>
      <c r="O337" s="918" t="str">
        <f t="shared" si="34"/>
        <v>Jan</v>
      </c>
      <c r="P337" s="921">
        <f t="shared" si="35"/>
        <v>2</v>
      </c>
    </row>
    <row r="338" spans="1:16" ht="15" hidden="1" customHeight="1">
      <c r="A338" s="839">
        <v>68821735</v>
      </c>
      <c r="B338" s="839">
        <v>2904</v>
      </c>
      <c r="C338" s="906">
        <v>4982</v>
      </c>
      <c r="D338" s="907">
        <v>46031</v>
      </c>
      <c r="E338" s="839" t="s">
        <v>318</v>
      </c>
      <c r="F338" s="839" t="s">
        <v>271</v>
      </c>
      <c r="G338" s="916">
        <f>VLOOKUP($A338,'Tech Litons'!$A:$I,8,FALSE)</f>
        <v>8.5199999999999998E-3</v>
      </c>
      <c r="H338" s="917">
        <f>VLOOKUP($A338,'Tech Litons'!$A:$I,9,FALSE)</f>
        <v>176</v>
      </c>
      <c r="I338" s="917" t="str">
        <f>VLOOKUP($A338,'Tech Litons'!$A:$C,3,0)</f>
        <v>48oz</v>
      </c>
      <c r="J338" s="918" t="str">
        <f t="shared" ref="J338:J401" si="36">B338&amp;I338</f>
        <v>290448oz</v>
      </c>
      <c r="K338" s="919">
        <v>1</v>
      </c>
      <c r="L338" s="920">
        <f t="shared" ref="L338:L401" si="37">C338*$K338</f>
        <v>4982</v>
      </c>
      <c r="M338" s="920">
        <f t="shared" ref="M338:M401" si="38">L338*G338</f>
        <v>42.446640000000002</v>
      </c>
      <c r="N338" s="920">
        <f t="shared" ref="N338:N401" si="39">L338/H338</f>
        <v>28.306818181818183</v>
      </c>
      <c r="O338" s="918" t="str">
        <f t="shared" ref="O338:O401" si="40">TEXT(D338,"MMM")</f>
        <v>Jan</v>
      </c>
      <c r="P338" s="921">
        <f t="shared" ref="P338:P401" si="41">WEEKNUM(D338)</f>
        <v>2</v>
      </c>
    </row>
    <row r="339" spans="1:16" ht="15" hidden="1" customHeight="1">
      <c r="A339" s="839">
        <v>64369046</v>
      </c>
      <c r="B339" s="839">
        <v>2904</v>
      </c>
      <c r="C339" s="906">
        <v>4998</v>
      </c>
      <c r="D339" s="907">
        <v>46031</v>
      </c>
      <c r="E339" s="839" t="s">
        <v>315</v>
      </c>
      <c r="F339" s="839" t="s">
        <v>275</v>
      </c>
      <c r="G339" s="916">
        <f>VLOOKUP($A339,'Tech Litons'!$A:$I,8,FALSE)</f>
        <v>3.552E-3</v>
      </c>
      <c r="H339" s="917">
        <f>VLOOKUP($A339,'Tech Litons'!$A:$I,9,FALSE)</f>
        <v>255</v>
      </c>
      <c r="I339" s="917" t="str">
        <f>VLOOKUP($A339,'Tech Litons'!$A:$C,3,0)</f>
        <v>Talenti</v>
      </c>
      <c r="J339" s="918" t="str">
        <f t="shared" si="36"/>
        <v>2904Talenti</v>
      </c>
      <c r="K339" s="919">
        <v>1</v>
      </c>
      <c r="L339" s="920">
        <f t="shared" si="37"/>
        <v>4998</v>
      </c>
      <c r="M339" s="920">
        <f t="shared" si="38"/>
        <v>17.752896</v>
      </c>
      <c r="N339" s="920">
        <f t="shared" si="39"/>
        <v>19.600000000000001</v>
      </c>
      <c r="O339" s="918" t="str">
        <f t="shared" si="40"/>
        <v>Jan</v>
      </c>
      <c r="P339" s="921">
        <f t="shared" si="41"/>
        <v>2</v>
      </c>
    </row>
    <row r="340" spans="1:16" ht="15" hidden="1" customHeight="1">
      <c r="A340" s="839">
        <v>67826412</v>
      </c>
      <c r="B340" s="839">
        <v>2904</v>
      </c>
      <c r="C340" s="906">
        <v>5986</v>
      </c>
      <c r="D340" s="907">
        <v>46031</v>
      </c>
      <c r="E340" s="839" t="s">
        <v>312</v>
      </c>
      <c r="F340" s="839" t="s">
        <v>299</v>
      </c>
      <c r="G340" s="916">
        <f>VLOOKUP($A340,'Tech Litons'!$A:$I,8,FALSE)</f>
        <v>3.7853439999999999E-3</v>
      </c>
      <c r="H340" s="917">
        <f>VLOOKUP($A340,'Tech Litons'!$A:$I,9,FALSE)</f>
        <v>240</v>
      </c>
      <c r="I340" s="917" t="str">
        <f>VLOOKUP($A340,'Tech Litons'!$A:$C,3,0)</f>
        <v>BJ PTS</v>
      </c>
      <c r="J340" s="918" t="str">
        <f t="shared" si="36"/>
        <v>2904BJ PTS</v>
      </c>
      <c r="K340" s="919">
        <v>1</v>
      </c>
      <c r="L340" s="920">
        <f t="shared" si="37"/>
        <v>5986</v>
      </c>
      <c r="M340" s="920">
        <f t="shared" si="38"/>
        <v>22.659069184</v>
      </c>
      <c r="N340" s="920">
        <f t="shared" si="39"/>
        <v>24.941666666666666</v>
      </c>
      <c r="O340" s="918" t="str">
        <f t="shared" si="40"/>
        <v>Jan</v>
      </c>
      <c r="P340" s="921">
        <f t="shared" si="41"/>
        <v>2</v>
      </c>
    </row>
    <row r="341" spans="1:16" ht="15" hidden="1" customHeight="1">
      <c r="A341" s="839">
        <v>68851108</v>
      </c>
      <c r="B341" s="839">
        <v>2904</v>
      </c>
      <c r="C341" s="906">
        <v>6290</v>
      </c>
      <c r="D341" s="907">
        <v>46031</v>
      </c>
      <c r="E341" s="839" t="s">
        <v>296</v>
      </c>
      <c r="F341" s="839" t="s">
        <v>273</v>
      </c>
      <c r="G341" s="916">
        <f>VLOOKUP($A341,'Tech Litons'!$A:$I,8,FALSE)</f>
        <v>8.5199999999999998E-3</v>
      </c>
      <c r="H341" s="917">
        <f>VLOOKUP($A341,'Tech Litons'!$A:$I,9,FALSE)</f>
        <v>176</v>
      </c>
      <c r="I341" s="917" t="str">
        <f>VLOOKUP($A341,'Tech Litons'!$A:$C,3,0)</f>
        <v>48oz</v>
      </c>
      <c r="J341" s="918" t="str">
        <f t="shared" si="36"/>
        <v>290448oz</v>
      </c>
      <c r="K341" s="919">
        <v>1</v>
      </c>
      <c r="L341" s="920">
        <f t="shared" si="37"/>
        <v>6290</v>
      </c>
      <c r="M341" s="920">
        <f t="shared" si="38"/>
        <v>53.590800000000002</v>
      </c>
      <c r="N341" s="920">
        <f t="shared" si="39"/>
        <v>35.738636363636367</v>
      </c>
      <c r="O341" s="918" t="str">
        <f t="shared" si="40"/>
        <v>Jan</v>
      </c>
      <c r="P341" s="921">
        <f t="shared" si="41"/>
        <v>2</v>
      </c>
    </row>
    <row r="342" spans="1:16" ht="15" hidden="1" customHeight="1">
      <c r="A342" s="839">
        <v>68821735</v>
      </c>
      <c r="B342" s="839">
        <v>2904</v>
      </c>
      <c r="C342" s="906">
        <v>6743</v>
      </c>
      <c r="D342" s="907">
        <v>46031</v>
      </c>
      <c r="E342" s="839" t="s">
        <v>318</v>
      </c>
      <c r="F342" s="839" t="s">
        <v>271</v>
      </c>
      <c r="G342" s="916">
        <f>VLOOKUP($A342,'Tech Litons'!$A:$I,8,FALSE)</f>
        <v>8.5199999999999998E-3</v>
      </c>
      <c r="H342" s="917">
        <f>VLOOKUP($A342,'Tech Litons'!$A:$I,9,FALSE)</f>
        <v>176</v>
      </c>
      <c r="I342" s="917" t="str">
        <f>VLOOKUP($A342,'Tech Litons'!$A:$C,3,0)</f>
        <v>48oz</v>
      </c>
      <c r="J342" s="918" t="str">
        <f t="shared" si="36"/>
        <v>290448oz</v>
      </c>
      <c r="K342" s="919">
        <v>1</v>
      </c>
      <c r="L342" s="920">
        <f t="shared" si="37"/>
        <v>6743</v>
      </c>
      <c r="M342" s="920">
        <f t="shared" si="38"/>
        <v>57.450359999999996</v>
      </c>
      <c r="N342" s="920">
        <f t="shared" si="39"/>
        <v>38.3125</v>
      </c>
      <c r="O342" s="918" t="str">
        <f t="shared" si="40"/>
        <v>Jan</v>
      </c>
      <c r="P342" s="921">
        <f t="shared" si="41"/>
        <v>2</v>
      </c>
    </row>
    <row r="343" spans="1:16" ht="15" hidden="1" customHeight="1">
      <c r="A343" s="839">
        <v>68649095</v>
      </c>
      <c r="B343" s="839">
        <v>2904</v>
      </c>
      <c r="C343" s="906">
        <v>6861</v>
      </c>
      <c r="D343" s="907">
        <v>46031</v>
      </c>
      <c r="E343" s="839" t="s">
        <v>294</v>
      </c>
      <c r="F343" s="839" t="s">
        <v>40</v>
      </c>
      <c r="G343" s="916">
        <f>VLOOKUP($A343,'Tech Litons'!$A:$I,8,FALSE)</f>
        <v>3.5999999999999999E-3</v>
      </c>
      <c r="H343" s="917">
        <f>VLOOKUP($A343,'Tech Litons'!$A:$I,9,FALSE)</f>
        <v>240</v>
      </c>
      <c r="I343" s="917" t="str">
        <f>VLOOKUP($A343,'Tech Litons'!$A:$C,3,0)</f>
        <v>Topped</v>
      </c>
      <c r="J343" s="918" t="str">
        <f t="shared" si="36"/>
        <v>2904Topped</v>
      </c>
      <c r="K343" s="919">
        <v>1</v>
      </c>
      <c r="L343" s="920">
        <f t="shared" si="37"/>
        <v>6861</v>
      </c>
      <c r="M343" s="920">
        <f t="shared" si="38"/>
        <v>24.6996</v>
      </c>
      <c r="N343" s="920">
        <f t="shared" si="39"/>
        <v>28.587499999999999</v>
      </c>
      <c r="O343" s="918" t="str">
        <f t="shared" si="40"/>
        <v>Jan</v>
      </c>
      <c r="P343" s="921">
        <f t="shared" si="41"/>
        <v>2</v>
      </c>
    </row>
    <row r="344" spans="1:16" ht="15" hidden="1" customHeight="1">
      <c r="A344" s="839">
        <v>64373718</v>
      </c>
      <c r="B344" s="839">
        <v>2904</v>
      </c>
      <c r="C344" s="906">
        <v>6864</v>
      </c>
      <c r="D344" s="907">
        <v>46031</v>
      </c>
      <c r="E344" s="839" t="s">
        <v>316</v>
      </c>
      <c r="F344" s="839" t="s">
        <v>269</v>
      </c>
      <c r="G344" s="916">
        <f>VLOOKUP($A344,'Tech Litons'!$A:$I,8,FALSE)</f>
        <v>8.5199999999999998E-3</v>
      </c>
      <c r="H344" s="917">
        <f>VLOOKUP($A344,'Tech Litons'!$A:$I,9,FALSE)</f>
        <v>176</v>
      </c>
      <c r="I344" s="917" t="str">
        <f>VLOOKUP($A344,'Tech Litons'!$A:$C,3,0)</f>
        <v>48oz</v>
      </c>
      <c r="J344" s="918" t="str">
        <f t="shared" si="36"/>
        <v>290448oz</v>
      </c>
      <c r="K344" s="919">
        <v>1</v>
      </c>
      <c r="L344" s="920">
        <f t="shared" si="37"/>
        <v>6864</v>
      </c>
      <c r="M344" s="920">
        <f t="shared" si="38"/>
        <v>58.481279999999998</v>
      </c>
      <c r="N344" s="920">
        <f t="shared" si="39"/>
        <v>39</v>
      </c>
      <c r="O344" s="918" t="str">
        <f t="shared" si="40"/>
        <v>Jan</v>
      </c>
      <c r="P344" s="921">
        <f t="shared" si="41"/>
        <v>2</v>
      </c>
    </row>
    <row r="345" spans="1:16" ht="15" hidden="1" customHeight="1">
      <c r="A345" s="839">
        <v>68649095</v>
      </c>
      <c r="B345" s="839">
        <v>2904</v>
      </c>
      <c r="C345" s="906">
        <v>7658</v>
      </c>
      <c r="D345" s="907">
        <v>46031</v>
      </c>
      <c r="E345" s="839" t="s">
        <v>294</v>
      </c>
      <c r="F345" s="839" t="s">
        <v>40</v>
      </c>
      <c r="G345" s="916">
        <f>VLOOKUP($A345,'Tech Litons'!$A:$I,8,FALSE)</f>
        <v>3.5999999999999999E-3</v>
      </c>
      <c r="H345" s="917">
        <f>VLOOKUP($A345,'Tech Litons'!$A:$I,9,FALSE)</f>
        <v>240</v>
      </c>
      <c r="I345" s="917" t="str">
        <f>VLOOKUP($A345,'Tech Litons'!$A:$C,3,0)</f>
        <v>Topped</v>
      </c>
      <c r="J345" s="918" t="str">
        <f t="shared" si="36"/>
        <v>2904Topped</v>
      </c>
      <c r="K345" s="919">
        <v>1</v>
      </c>
      <c r="L345" s="920">
        <f t="shared" si="37"/>
        <v>7658</v>
      </c>
      <c r="M345" s="920">
        <f t="shared" si="38"/>
        <v>27.5688</v>
      </c>
      <c r="N345" s="920">
        <f t="shared" si="39"/>
        <v>31.908333333333335</v>
      </c>
      <c r="O345" s="918" t="str">
        <f t="shared" si="40"/>
        <v>Jan</v>
      </c>
      <c r="P345" s="921">
        <f t="shared" si="41"/>
        <v>2</v>
      </c>
    </row>
    <row r="346" spans="1:16" ht="15" hidden="1" customHeight="1">
      <c r="A346" s="839">
        <v>68862392</v>
      </c>
      <c r="B346" s="839">
        <v>2904</v>
      </c>
      <c r="C346" s="906">
        <v>8192</v>
      </c>
      <c r="D346" s="907">
        <v>46031</v>
      </c>
      <c r="E346" s="839" t="s">
        <v>305</v>
      </c>
      <c r="F346" s="839" t="s">
        <v>277</v>
      </c>
      <c r="G346" s="916">
        <f>VLOOKUP($A346,'Tech Litons'!$A:$I,8,FALSE)</f>
        <v>3.7839999999999996E-3</v>
      </c>
      <c r="H346" s="917">
        <f>VLOOKUP($A346,'Tech Litons'!$A:$I,9,FALSE)</f>
        <v>255</v>
      </c>
      <c r="I346" s="917" t="str">
        <f>VLOOKUP($A346,'Tech Litons'!$A:$C,3,0)</f>
        <v>TALENTI</v>
      </c>
      <c r="J346" s="918" t="str">
        <f t="shared" si="36"/>
        <v>2904TALENTI</v>
      </c>
      <c r="K346" s="919">
        <v>1</v>
      </c>
      <c r="L346" s="920">
        <f t="shared" si="37"/>
        <v>8192</v>
      </c>
      <c r="M346" s="920">
        <f t="shared" si="38"/>
        <v>30.998527999999997</v>
      </c>
      <c r="N346" s="920">
        <f t="shared" si="39"/>
        <v>32.125490196078431</v>
      </c>
      <c r="O346" s="918" t="str">
        <f t="shared" si="40"/>
        <v>Jan</v>
      </c>
      <c r="P346" s="921">
        <f t="shared" si="41"/>
        <v>2</v>
      </c>
    </row>
    <row r="347" spans="1:16" ht="15" hidden="1" customHeight="1">
      <c r="A347" s="839">
        <v>84149990</v>
      </c>
      <c r="B347" s="839">
        <v>5914</v>
      </c>
      <c r="C347" s="906">
        <v>9753</v>
      </c>
      <c r="D347" s="907">
        <v>46031</v>
      </c>
      <c r="E347" s="839" t="s">
        <v>340</v>
      </c>
      <c r="F347" s="839" t="s">
        <v>301</v>
      </c>
      <c r="G347" s="916">
        <f>VLOOKUP($A347,'Tech Litons'!$A:$I,8,FALSE)</f>
        <v>3.6640000000000002E-3</v>
      </c>
      <c r="H347" s="917">
        <f>VLOOKUP($A347,'Tech Litons'!$A:$I,9,FALSE)</f>
        <v>240</v>
      </c>
      <c r="I347" s="917" t="str">
        <f>VLOOKUP($A347,'Tech Litons'!$A:$C,3,0)</f>
        <v>PTS Exports</v>
      </c>
      <c r="J347" s="918" t="str">
        <f t="shared" si="36"/>
        <v>5914PTS Exports</v>
      </c>
      <c r="K347" s="919">
        <v>1</v>
      </c>
      <c r="L347" s="920">
        <f t="shared" si="37"/>
        <v>9753</v>
      </c>
      <c r="M347" s="920">
        <f t="shared" si="38"/>
        <v>35.734991999999998</v>
      </c>
      <c r="N347" s="920">
        <f t="shared" si="39"/>
        <v>40.637500000000003</v>
      </c>
      <c r="O347" s="918" t="str">
        <f t="shared" si="40"/>
        <v>Jan</v>
      </c>
      <c r="P347" s="921">
        <f t="shared" si="41"/>
        <v>2</v>
      </c>
    </row>
    <row r="348" spans="1:16" ht="15" hidden="1" customHeight="1">
      <c r="A348" s="839">
        <v>68850683</v>
      </c>
      <c r="B348" s="839">
        <v>1352</v>
      </c>
      <c r="C348" s="906">
        <v>9931</v>
      </c>
      <c r="D348" s="907">
        <v>46031</v>
      </c>
      <c r="E348" s="839" t="s">
        <v>311</v>
      </c>
      <c r="F348" s="839" t="s">
        <v>264</v>
      </c>
      <c r="G348" s="916">
        <f>VLOOKUP($A348,'Tech Litons'!$A:$I,8,FALSE)</f>
        <v>8.5199999999999998E-3</v>
      </c>
      <c r="H348" s="917">
        <f>VLOOKUP($A348,'Tech Litons'!$A:$I,9,FALSE)</f>
        <v>176</v>
      </c>
      <c r="I348" s="917" t="str">
        <f>VLOOKUP($A348,'Tech Litons'!$A:$C,3,0)</f>
        <v>48oz</v>
      </c>
      <c r="J348" s="918" t="str">
        <f t="shared" si="36"/>
        <v>135248oz</v>
      </c>
      <c r="K348" s="919">
        <v>1</v>
      </c>
      <c r="L348" s="920">
        <f t="shared" si="37"/>
        <v>9931</v>
      </c>
      <c r="M348" s="920">
        <f t="shared" si="38"/>
        <v>84.612120000000004</v>
      </c>
      <c r="N348" s="920">
        <f t="shared" si="39"/>
        <v>56.426136363636367</v>
      </c>
      <c r="O348" s="918" t="str">
        <f t="shared" si="40"/>
        <v>Jan</v>
      </c>
      <c r="P348" s="921">
        <f t="shared" si="41"/>
        <v>2</v>
      </c>
    </row>
    <row r="349" spans="1:16" ht="15" hidden="1" customHeight="1">
      <c r="A349" s="839">
        <v>68862392</v>
      </c>
      <c r="B349" s="839">
        <v>2904</v>
      </c>
      <c r="C349" s="906">
        <v>10200</v>
      </c>
      <c r="D349" s="907">
        <v>46031</v>
      </c>
      <c r="E349" s="839" t="s">
        <v>305</v>
      </c>
      <c r="F349" s="839" t="s">
        <v>277</v>
      </c>
      <c r="G349" s="916">
        <f>VLOOKUP($A349,'Tech Litons'!$A:$I,8,FALSE)</f>
        <v>3.7839999999999996E-3</v>
      </c>
      <c r="H349" s="917">
        <f>VLOOKUP($A349,'Tech Litons'!$A:$I,9,FALSE)</f>
        <v>255</v>
      </c>
      <c r="I349" s="917" t="str">
        <f>VLOOKUP($A349,'Tech Litons'!$A:$C,3,0)</f>
        <v>TALENTI</v>
      </c>
      <c r="J349" s="918" t="str">
        <f t="shared" si="36"/>
        <v>2904TALENTI</v>
      </c>
      <c r="K349" s="919">
        <v>1</v>
      </c>
      <c r="L349" s="920">
        <f t="shared" si="37"/>
        <v>10200</v>
      </c>
      <c r="M349" s="920">
        <f t="shared" si="38"/>
        <v>38.596799999999995</v>
      </c>
      <c r="N349" s="920">
        <f t="shared" si="39"/>
        <v>40</v>
      </c>
      <c r="O349" s="918" t="str">
        <f t="shared" si="40"/>
        <v>Jan</v>
      </c>
      <c r="P349" s="921">
        <f t="shared" si="41"/>
        <v>2</v>
      </c>
    </row>
    <row r="350" spans="1:16" ht="15" hidden="1" customHeight="1">
      <c r="A350" s="839">
        <v>84141103</v>
      </c>
      <c r="B350" s="839">
        <v>5911</v>
      </c>
      <c r="C350" s="906">
        <v>31200</v>
      </c>
      <c r="D350" s="907">
        <v>46031</v>
      </c>
      <c r="E350" s="839" t="s">
        <v>314</v>
      </c>
      <c r="F350" s="839" t="s">
        <v>301</v>
      </c>
      <c r="G350" s="916">
        <f>VLOOKUP($A350,'Tech Litons'!$A:$I,8,FALSE)</f>
        <v>3.7853439999999999E-3</v>
      </c>
      <c r="H350" s="917">
        <f>VLOOKUP($A350,'Tech Litons'!$A:$I,9,FALSE)</f>
        <v>240</v>
      </c>
      <c r="I350" s="917" t="str">
        <f>VLOOKUP($A350,'Tech Litons'!$A:$C,3,0)</f>
        <v>BJ PTS</v>
      </c>
      <c r="J350" s="918" t="str">
        <f t="shared" si="36"/>
        <v>5911BJ PTS</v>
      </c>
      <c r="K350" s="919">
        <v>1</v>
      </c>
      <c r="L350" s="920">
        <f t="shared" si="37"/>
        <v>31200</v>
      </c>
      <c r="M350" s="920">
        <f t="shared" si="38"/>
        <v>118.1027328</v>
      </c>
      <c r="N350" s="920">
        <f t="shared" si="39"/>
        <v>130</v>
      </c>
      <c r="O350" s="918" t="str">
        <f t="shared" si="40"/>
        <v>Jan</v>
      </c>
      <c r="P350" s="921">
        <f t="shared" si="41"/>
        <v>2</v>
      </c>
    </row>
    <row r="351" spans="1:16" ht="15" hidden="1" customHeight="1">
      <c r="A351" s="839">
        <v>68649095</v>
      </c>
      <c r="B351" s="839">
        <v>2904</v>
      </c>
      <c r="C351" s="906">
        <v>7</v>
      </c>
      <c r="D351" s="907">
        <v>46032</v>
      </c>
      <c r="E351" s="839" t="s">
        <v>294</v>
      </c>
      <c r="F351" s="839" t="s">
        <v>40</v>
      </c>
      <c r="G351" s="916">
        <f>VLOOKUP($A351,'Tech Litons'!$A:$I,8,FALSE)</f>
        <v>3.5999999999999999E-3</v>
      </c>
      <c r="H351" s="917">
        <f>VLOOKUP($A351,'Tech Litons'!$A:$I,9,FALSE)</f>
        <v>240</v>
      </c>
      <c r="I351" s="917" t="str">
        <f>VLOOKUP($A351,'Tech Litons'!$A:$C,3,0)</f>
        <v>Topped</v>
      </c>
      <c r="J351" s="918" t="str">
        <f t="shared" si="36"/>
        <v>2904Topped</v>
      </c>
      <c r="K351" s="919">
        <v>1</v>
      </c>
      <c r="L351" s="920">
        <f t="shared" si="37"/>
        <v>7</v>
      </c>
      <c r="M351" s="920">
        <f t="shared" si="38"/>
        <v>2.52E-2</v>
      </c>
      <c r="N351" s="920">
        <f t="shared" si="39"/>
        <v>2.9166666666666667E-2</v>
      </c>
      <c r="O351" s="918" t="str">
        <f t="shared" si="40"/>
        <v>Jan</v>
      </c>
      <c r="P351" s="921">
        <f t="shared" si="41"/>
        <v>2</v>
      </c>
    </row>
    <row r="352" spans="1:16" ht="15" hidden="1" customHeight="1">
      <c r="A352" s="839">
        <v>68851108</v>
      </c>
      <c r="B352" s="839">
        <v>2904</v>
      </c>
      <c r="C352" s="906">
        <v>17</v>
      </c>
      <c r="D352" s="907">
        <v>46032</v>
      </c>
      <c r="E352" s="839" t="s">
        <v>296</v>
      </c>
      <c r="F352" s="839" t="s">
        <v>273</v>
      </c>
      <c r="G352" s="916">
        <f>VLOOKUP($A352,'Tech Litons'!$A:$I,8,FALSE)</f>
        <v>8.5199999999999998E-3</v>
      </c>
      <c r="H352" s="917">
        <f>VLOOKUP($A352,'Tech Litons'!$A:$I,9,FALSE)</f>
        <v>176</v>
      </c>
      <c r="I352" s="917" t="str">
        <f>VLOOKUP($A352,'Tech Litons'!$A:$C,3,0)</f>
        <v>48oz</v>
      </c>
      <c r="J352" s="918" t="str">
        <f t="shared" si="36"/>
        <v>290448oz</v>
      </c>
      <c r="K352" s="919">
        <v>1</v>
      </c>
      <c r="L352" s="920">
        <f t="shared" si="37"/>
        <v>17</v>
      </c>
      <c r="M352" s="920">
        <f t="shared" si="38"/>
        <v>0.14484</v>
      </c>
      <c r="N352" s="920">
        <f t="shared" si="39"/>
        <v>9.6590909090909088E-2</v>
      </c>
      <c r="O352" s="918" t="str">
        <f t="shared" si="40"/>
        <v>Jan</v>
      </c>
      <c r="P352" s="921">
        <f t="shared" si="41"/>
        <v>2</v>
      </c>
    </row>
    <row r="353" spans="1:16" ht="15" hidden="1" customHeight="1">
      <c r="A353" s="839">
        <v>64369046</v>
      </c>
      <c r="B353" s="839">
        <v>2904</v>
      </c>
      <c r="C353" s="906">
        <v>193</v>
      </c>
      <c r="D353" s="907">
        <v>46032</v>
      </c>
      <c r="E353" s="839" t="s">
        <v>315</v>
      </c>
      <c r="F353" s="839" t="s">
        <v>275</v>
      </c>
      <c r="G353" s="916">
        <f>VLOOKUP($A353,'Tech Litons'!$A:$I,8,FALSE)</f>
        <v>3.552E-3</v>
      </c>
      <c r="H353" s="917">
        <f>VLOOKUP($A353,'Tech Litons'!$A:$I,9,FALSE)</f>
        <v>255</v>
      </c>
      <c r="I353" s="917" t="str">
        <f>VLOOKUP($A353,'Tech Litons'!$A:$C,3,0)</f>
        <v>Talenti</v>
      </c>
      <c r="J353" s="918" t="str">
        <f t="shared" si="36"/>
        <v>2904Talenti</v>
      </c>
      <c r="K353" s="919">
        <v>1</v>
      </c>
      <c r="L353" s="920">
        <f t="shared" si="37"/>
        <v>193</v>
      </c>
      <c r="M353" s="920">
        <f t="shared" si="38"/>
        <v>0.68553600000000003</v>
      </c>
      <c r="N353" s="920">
        <f t="shared" si="39"/>
        <v>0.75686274509803919</v>
      </c>
      <c r="O353" s="918" t="str">
        <f t="shared" si="40"/>
        <v>Jan</v>
      </c>
      <c r="P353" s="921">
        <f t="shared" si="41"/>
        <v>2</v>
      </c>
    </row>
    <row r="354" spans="1:16" ht="15" hidden="1" customHeight="1">
      <c r="A354" s="839">
        <v>69629468</v>
      </c>
      <c r="B354" s="839">
        <v>2904</v>
      </c>
      <c r="C354" s="906">
        <v>344</v>
      </c>
      <c r="D354" s="907">
        <v>46032</v>
      </c>
      <c r="E354" s="839" t="s">
        <v>291</v>
      </c>
      <c r="F354" s="839" t="s">
        <v>226</v>
      </c>
      <c r="G354" s="916">
        <f>VLOOKUP($A354,'Tech Litons'!$A:$I,8,FALSE)</f>
        <v>5.2680000000000001E-3</v>
      </c>
      <c r="H354" s="917">
        <f>VLOOKUP($A354,'Tech Litons'!$A:$I,9,FALSE)</f>
        <v>130</v>
      </c>
      <c r="I354" s="917" t="str">
        <f>VLOOKUP($A354,'Tech Litons'!$A:$C,3,0)</f>
        <v>PG</v>
      </c>
      <c r="J354" s="918" t="str">
        <f t="shared" si="36"/>
        <v>2904PG</v>
      </c>
      <c r="K354" s="919">
        <v>1</v>
      </c>
      <c r="L354" s="920">
        <f t="shared" si="37"/>
        <v>344</v>
      </c>
      <c r="M354" s="920">
        <f t="shared" si="38"/>
        <v>1.812192</v>
      </c>
      <c r="N354" s="920">
        <f t="shared" si="39"/>
        <v>2.6461538461538461</v>
      </c>
      <c r="O354" s="918" t="str">
        <f t="shared" si="40"/>
        <v>Jan</v>
      </c>
      <c r="P354" s="921">
        <f t="shared" si="41"/>
        <v>2</v>
      </c>
    </row>
    <row r="355" spans="1:16" ht="15" hidden="1" customHeight="1">
      <c r="A355" s="839">
        <v>68746232</v>
      </c>
      <c r="B355" s="839">
        <v>2904</v>
      </c>
      <c r="C355" s="906">
        <v>449</v>
      </c>
      <c r="D355" s="907">
        <v>46032</v>
      </c>
      <c r="E355" s="839" t="s">
        <v>508</v>
      </c>
      <c r="F355" s="839" t="s">
        <v>243</v>
      </c>
      <c r="G355" s="916">
        <f>VLOOKUP($A355,'Tech Litons'!$A:$I,8,FALSE)</f>
        <v>8.5199999999999998E-3</v>
      </c>
      <c r="H355" s="917">
        <f>VLOOKUP($A355,'Tech Litons'!$A:$I,9,FALSE)</f>
        <v>132</v>
      </c>
      <c r="I355" s="917" t="str">
        <f>VLOOKUP($A355,'Tech Litons'!$A:$C,3,0)</f>
        <v>EDF</v>
      </c>
      <c r="J355" s="918" t="str">
        <f t="shared" si="36"/>
        <v>2904EDF</v>
      </c>
      <c r="K355" s="919">
        <v>1</v>
      </c>
      <c r="L355" s="920">
        <f t="shared" si="37"/>
        <v>449</v>
      </c>
      <c r="M355" s="920">
        <f t="shared" si="38"/>
        <v>3.8254799999999998</v>
      </c>
      <c r="N355" s="920">
        <f t="shared" si="39"/>
        <v>3.4015151515151514</v>
      </c>
      <c r="O355" s="918" t="str">
        <f t="shared" si="40"/>
        <v>Jan</v>
      </c>
      <c r="P355" s="921">
        <f t="shared" si="41"/>
        <v>2</v>
      </c>
    </row>
    <row r="356" spans="1:16" ht="15" hidden="1" customHeight="1">
      <c r="A356" s="839">
        <v>68741742</v>
      </c>
      <c r="B356" s="839">
        <v>2904</v>
      </c>
      <c r="C356" s="906">
        <v>703</v>
      </c>
      <c r="D356" s="907">
        <v>46032</v>
      </c>
      <c r="E356" s="839" t="s">
        <v>288</v>
      </c>
      <c r="F356" s="839" t="s">
        <v>295</v>
      </c>
      <c r="G356" s="916">
        <f>VLOOKUP($A356,'Tech Litons'!$A:$I,8,FALSE)</f>
        <v>4.2560000000000002E-3</v>
      </c>
      <c r="H356" s="917">
        <f>VLOOKUP($A356,'Tech Litons'!$A:$I,9,FALSE)</f>
        <v>154</v>
      </c>
      <c r="I356" s="917" t="str">
        <f>VLOOKUP($A356,'Tech Litons'!$A:$C,3,0)</f>
        <v>MBG</v>
      </c>
      <c r="J356" s="918" t="str">
        <f t="shared" si="36"/>
        <v>2904MBG</v>
      </c>
      <c r="K356" s="919">
        <v>1</v>
      </c>
      <c r="L356" s="920">
        <f t="shared" si="37"/>
        <v>703</v>
      </c>
      <c r="M356" s="920">
        <f t="shared" si="38"/>
        <v>2.991968</v>
      </c>
      <c r="N356" s="920">
        <f t="shared" si="39"/>
        <v>4.5649350649350646</v>
      </c>
      <c r="O356" s="918" t="str">
        <f t="shared" si="40"/>
        <v>Jan</v>
      </c>
      <c r="P356" s="921">
        <f t="shared" si="41"/>
        <v>2</v>
      </c>
    </row>
    <row r="357" spans="1:16" ht="15" hidden="1" customHeight="1">
      <c r="A357" s="839">
        <v>64341106</v>
      </c>
      <c r="B357" s="839">
        <v>2904</v>
      </c>
      <c r="C357" s="906">
        <v>733</v>
      </c>
      <c r="D357" s="907">
        <v>46032</v>
      </c>
      <c r="E357" s="839" t="s">
        <v>293</v>
      </c>
      <c r="F357" s="839" t="s">
        <v>227</v>
      </c>
      <c r="G357" s="916">
        <f>VLOOKUP($A357,'Tech Litons'!$A:$I,8,FALSE)</f>
        <v>5.2680000000000001E-3</v>
      </c>
      <c r="H357" s="917">
        <f>VLOOKUP($A357,'Tech Litons'!$A:$I,9,FALSE)</f>
        <v>130</v>
      </c>
      <c r="I357" s="917" t="str">
        <f>VLOOKUP($A357,'Tech Litons'!$A:$C,3,0)</f>
        <v>PG</v>
      </c>
      <c r="J357" s="918" t="str">
        <f t="shared" si="36"/>
        <v>2904PG</v>
      </c>
      <c r="K357" s="919">
        <v>1</v>
      </c>
      <c r="L357" s="920">
        <f t="shared" si="37"/>
        <v>733</v>
      </c>
      <c r="M357" s="920">
        <f t="shared" si="38"/>
        <v>3.8614440000000001</v>
      </c>
      <c r="N357" s="920">
        <f t="shared" si="39"/>
        <v>5.6384615384615389</v>
      </c>
      <c r="O357" s="918" t="str">
        <f t="shared" si="40"/>
        <v>Jan</v>
      </c>
      <c r="P357" s="921">
        <f t="shared" si="41"/>
        <v>2</v>
      </c>
    </row>
    <row r="358" spans="1:16" ht="15" hidden="1" customHeight="1">
      <c r="A358" s="839">
        <v>68746232</v>
      </c>
      <c r="B358" s="839">
        <v>2904</v>
      </c>
      <c r="C358" s="906">
        <v>1289</v>
      </c>
      <c r="D358" s="907">
        <v>46032</v>
      </c>
      <c r="E358" s="839" t="s">
        <v>508</v>
      </c>
      <c r="F358" s="839" t="s">
        <v>243</v>
      </c>
      <c r="G358" s="916">
        <f>VLOOKUP($A358,'Tech Litons'!$A:$I,8,FALSE)</f>
        <v>8.5199999999999998E-3</v>
      </c>
      <c r="H358" s="917">
        <f>VLOOKUP($A358,'Tech Litons'!$A:$I,9,FALSE)</f>
        <v>132</v>
      </c>
      <c r="I358" s="917" t="str">
        <f>VLOOKUP($A358,'Tech Litons'!$A:$C,3,0)</f>
        <v>EDF</v>
      </c>
      <c r="J358" s="918" t="str">
        <f t="shared" si="36"/>
        <v>2904EDF</v>
      </c>
      <c r="K358" s="919">
        <v>1</v>
      </c>
      <c r="L358" s="920">
        <f t="shared" si="37"/>
        <v>1289</v>
      </c>
      <c r="M358" s="920">
        <f t="shared" si="38"/>
        <v>10.982279999999999</v>
      </c>
      <c r="N358" s="920">
        <f t="shared" si="39"/>
        <v>9.7651515151515156</v>
      </c>
      <c r="O358" s="918" t="str">
        <f t="shared" si="40"/>
        <v>Jan</v>
      </c>
      <c r="P358" s="921">
        <f t="shared" si="41"/>
        <v>2</v>
      </c>
    </row>
    <row r="359" spans="1:16" ht="15" hidden="1" customHeight="1">
      <c r="A359" s="839">
        <v>64341106</v>
      </c>
      <c r="B359" s="839">
        <v>2904</v>
      </c>
      <c r="C359" s="906">
        <v>1352</v>
      </c>
      <c r="D359" s="907">
        <v>46032</v>
      </c>
      <c r="E359" s="839" t="s">
        <v>293</v>
      </c>
      <c r="F359" s="839" t="s">
        <v>227</v>
      </c>
      <c r="G359" s="916">
        <f>VLOOKUP($A359,'Tech Litons'!$A:$I,8,FALSE)</f>
        <v>5.2680000000000001E-3</v>
      </c>
      <c r="H359" s="917">
        <f>VLOOKUP($A359,'Tech Litons'!$A:$I,9,FALSE)</f>
        <v>130</v>
      </c>
      <c r="I359" s="917" t="str">
        <f>VLOOKUP($A359,'Tech Litons'!$A:$C,3,0)</f>
        <v>PG</v>
      </c>
      <c r="J359" s="918" t="str">
        <f t="shared" si="36"/>
        <v>2904PG</v>
      </c>
      <c r="K359" s="919">
        <v>1</v>
      </c>
      <c r="L359" s="920">
        <f t="shared" si="37"/>
        <v>1352</v>
      </c>
      <c r="M359" s="920">
        <f t="shared" si="38"/>
        <v>7.1223359999999998</v>
      </c>
      <c r="N359" s="920">
        <f t="shared" si="39"/>
        <v>10.4</v>
      </c>
      <c r="O359" s="918" t="str">
        <f t="shared" si="40"/>
        <v>Jan</v>
      </c>
      <c r="P359" s="921">
        <f t="shared" si="41"/>
        <v>2</v>
      </c>
    </row>
    <row r="360" spans="1:16" ht="15" hidden="1" customHeight="1">
      <c r="A360" s="839">
        <v>68689251</v>
      </c>
      <c r="B360" s="839">
        <v>1352</v>
      </c>
      <c r="C360" s="906">
        <v>1848</v>
      </c>
      <c r="D360" s="907">
        <v>46032</v>
      </c>
      <c r="E360" s="839" t="s">
        <v>262</v>
      </c>
      <c r="F360" s="839" t="s">
        <v>242</v>
      </c>
      <c r="G360" s="916">
        <f>VLOOKUP($A360,'Tech Litons'!$A:$I,8,FALSE)</f>
        <v>9.5760000000000012E-3</v>
      </c>
      <c r="H360" s="917">
        <f>VLOOKUP($A360,'Tech Litons'!$A:$I,9,FALSE)</f>
        <v>132</v>
      </c>
      <c r="I360" s="917" t="str">
        <f>VLOOKUP($A360,'Tech Litons'!$A:$C,3,0)</f>
        <v>EDF</v>
      </c>
      <c r="J360" s="918" t="str">
        <f t="shared" si="36"/>
        <v>1352EDF</v>
      </c>
      <c r="K360" s="919">
        <v>1</v>
      </c>
      <c r="L360" s="920">
        <f t="shared" si="37"/>
        <v>1848</v>
      </c>
      <c r="M360" s="920">
        <f t="shared" si="38"/>
        <v>17.696448000000004</v>
      </c>
      <c r="N360" s="920">
        <f t="shared" si="39"/>
        <v>14</v>
      </c>
      <c r="O360" s="918" t="str">
        <f t="shared" si="40"/>
        <v>Jan</v>
      </c>
      <c r="P360" s="921">
        <f t="shared" si="41"/>
        <v>2</v>
      </c>
    </row>
    <row r="361" spans="1:16" ht="15" hidden="1" customHeight="1">
      <c r="A361" s="839">
        <v>68689251</v>
      </c>
      <c r="B361" s="839">
        <v>1352</v>
      </c>
      <c r="C361" s="906">
        <v>2244</v>
      </c>
      <c r="D361" s="907">
        <v>46032</v>
      </c>
      <c r="E361" s="839" t="s">
        <v>262</v>
      </c>
      <c r="F361" s="839" t="s">
        <v>240</v>
      </c>
      <c r="G361" s="916">
        <f>VLOOKUP($A361,'Tech Litons'!$A:$I,8,FALSE)</f>
        <v>9.5760000000000012E-3</v>
      </c>
      <c r="H361" s="917">
        <f>VLOOKUP($A361,'Tech Litons'!$A:$I,9,FALSE)</f>
        <v>132</v>
      </c>
      <c r="I361" s="917" t="str">
        <f>VLOOKUP($A361,'Tech Litons'!$A:$C,3,0)</f>
        <v>EDF</v>
      </c>
      <c r="J361" s="918" t="str">
        <f t="shared" si="36"/>
        <v>1352EDF</v>
      </c>
      <c r="K361" s="919">
        <v>1</v>
      </c>
      <c r="L361" s="920">
        <f t="shared" si="37"/>
        <v>2244</v>
      </c>
      <c r="M361" s="920">
        <f t="shared" si="38"/>
        <v>21.488544000000001</v>
      </c>
      <c r="N361" s="920">
        <f t="shared" si="39"/>
        <v>17</v>
      </c>
      <c r="O361" s="918" t="str">
        <f t="shared" si="40"/>
        <v>Jan</v>
      </c>
      <c r="P361" s="921">
        <f t="shared" si="41"/>
        <v>2</v>
      </c>
    </row>
    <row r="362" spans="1:16" ht="15" hidden="1" customHeight="1">
      <c r="A362" s="839">
        <v>68921994</v>
      </c>
      <c r="B362" s="839">
        <v>1352</v>
      </c>
      <c r="C362" s="906">
        <v>2244</v>
      </c>
      <c r="D362" s="907">
        <v>46032</v>
      </c>
      <c r="E362" s="839" t="s">
        <v>267</v>
      </c>
      <c r="F362" s="839" t="s">
        <v>241</v>
      </c>
      <c r="G362" s="916">
        <f>VLOOKUP($A362,'Tech Litons'!$A:$I,8,FALSE)</f>
        <v>9.5760000000000012E-3</v>
      </c>
      <c r="H362" s="917">
        <f>VLOOKUP($A362,'Tech Litons'!$A:$I,9,FALSE)</f>
        <v>132</v>
      </c>
      <c r="I362" s="917" t="str">
        <f>VLOOKUP($A362,'Tech Litons'!$A:$C,3,0)</f>
        <v>EDF</v>
      </c>
      <c r="J362" s="918" t="str">
        <f t="shared" si="36"/>
        <v>1352EDF</v>
      </c>
      <c r="K362" s="919">
        <v>1</v>
      </c>
      <c r="L362" s="920">
        <f t="shared" si="37"/>
        <v>2244</v>
      </c>
      <c r="M362" s="920">
        <f t="shared" si="38"/>
        <v>21.488544000000001</v>
      </c>
      <c r="N362" s="920">
        <f t="shared" si="39"/>
        <v>17</v>
      </c>
      <c r="O362" s="918" t="str">
        <f t="shared" si="40"/>
        <v>Jan</v>
      </c>
      <c r="P362" s="921">
        <f t="shared" si="41"/>
        <v>2</v>
      </c>
    </row>
    <row r="363" spans="1:16" ht="15" hidden="1" customHeight="1">
      <c r="A363" s="839">
        <v>64776954</v>
      </c>
      <c r="B363" s="839">
        <v>1352</v>
      </c>
      <c r="C363" s="906">
        <v>2246</v>
      </c>
      <c r="D363" s="907">
        <v>46032</v>
      </c>
      <c r="E363" s="839" t="s">
        <v>285</v>
      </c>
      <c r="F363" s="839" t="s">
        <v>224</v>
      </c>
      <c r="G363" s="916">
        <f>VLOOKUP($A363,'Tech Litons'!$A:$I,8,FALSE)</f>
        <v>3.8340000000000002E-3</v>
      </c>
      <c r="H363" s="917">
        <f>VLOOKUP($A363,'Tech Litons'!$A:$I,9,FALSE)</f>
        <v>130</v>
      </c>
      <c r="I363" s="917" t="str">
        <f>VLOOKUP($A363,'Tech Litons'!$A:$C,3,0)</f>
        <v>pG</v>
      </c>
      <c r="J363" s="918" t="str">
        <f t="shared" si="36"/>
        <v>1352pG</v>
      </c>
      <c r="K363" s="919">
        <v>1</v>
      </c>
      <c r="L363" s="920">
        <f t="shared" si="37"/>
        <v>2246</v>
      </c>
      <c r="M363" s="920">
        <f t="shared" si="38"/>
        <v>8.6111640000000005</v>
      </c>
      <c r="N363" s="920">
        <f t="shared" si="39"/>
        <v>17.276923076923076</v>
      </c>
      <c r="O363" s="918" t="str">
        <f t="shared" si="40"/>
        <v>Jan</v>
      </c>
      <c r="P363" s="921">
        <f t="shared" si="41"/>
        <v>2</v>
      </c>
    </row>
    <row r="364" spans="1:16" ht="15" hidden="1" customHeight="1">
      <c r="A364" s="839">
        <v>69629468</v>
      </c>
      <c r="B364" s="839">
        <v>1352</v>
      </c>
      <c r="C364" s="906">
        <v>2633</v>
      </c>
      <c r="D364" s="907">
        <v>46032</v>
      </c>
      <c r="E364" s="839" t="s">
        <v>291</v>
      </c>
      <c r="F364" s="839" t="s">
        <v>222</v>
      </c>
      <c r="G364" s="916">
        <f>VLOOKUP($A364,'Tech Litons'!$A:$I,8,FALSE)</f>
        <v>5.2680000000000001E-3</v>
      </c>
      <c r="H364" s="917">
        <f>VLOOKUP($A364,'Tech Litons'!$A:$I,9,FALSE)</f>
        <v>130</v>
      </c>
      <c r="I364" s="917" t="str">
        <f>VLOOKUP($A364,'Tech Litons'!$A:$C,3,0)</f>
        <v>PG</v>
      </c>
      <c r="J364" s="918" t="str">
        <f t="shared" si="36"/>
        <v>1352PG</v>
      </c>
      <c r="K364" s="919">
        <v>1</v>
      </c>
      <c r="L364" s="920">
        <f t="shared" si="37"/>
        <v>2633</v>
      </c>
      <c r="M364" s="920">
        <f t="shared" si="38"/>
        <v>13.870644</v>
      </c>
      <c r="N364" s="920">
        <f t="shared" si="39"/>
        <v>20.253846153846155</v>
      </c>
      <c r="O364" s="918" t="str">
        <f t="shared" si="40"/>
        <v>Jan</v>
      </c>
      <c r="P364" s="921">
        <f t="shared" si="41"/>
        <v>2</v>
      </c>
    </row>
    <row r="365" spans="1:16" ht="15" hidden="1" customHeight="1">
      <c r="A365" s="839">
        <v>64977530</v>
      </c>
      <c r="B365" s="839">
        <v>1352</v>
      </c>
      <c r="C365" s="906">
        <v>2794</v>
      </c>
      <c r="D365" s="907">
        <v>46032</v>
      </c>
      <c r="E365" s="839" t="s">
        <v>310</v>
      </c>
      <c r="F365" s="839" t="s">
        <v>266</v>
      </c>
      <c r="G365" s="916">
        <f>VLOOKUP($A365,'Tech Litons'!$A:$I,8,FALSE)</f>
        <v>8.513999999999999E-3</v>
      </c>
      <c r="H365" s="917">
        <f>VLOOKUP($A365,'Tech Litons'!$A:$I,9,FALSE)</f>
        <v>176</v>
      </c>
      <c r="I365" s="917" t="str">
        <f>VLOOKUP($A365,'Tech Litons'!$A:$C,3,0)</f>
        <v>48oz</v>
      </c>
      <c r="J365" s="918" t="str">
        <f t="shared" si="36"/>
        <v>135248oz</v>
      </c>
      <c r="K365" s="919">
        <v>1</v>
      </c>
      <c r="L365" s="920">
        <f t="shared" si="37"/>
        <v>2794</v>
      </c>
      <c r="M365" s="920">
        <f t="shared" si="38"/>
        <v>23.788115999999999</v>
      </c>
      <c r="N365" s="920">
        <f t="shared" si="39"/>
        <v>15.875</v>
      </c>
      <c r="O365" s="918" t="str">
        <f t="shared" si="40"/>
        <v>Jan</v>
      </c>
      <c r="P365" s="921">
        <f t="shared" si="41"/>
        <v>2</v>
      </c>
    </row>
    <row r="366" spans="1:16" ht="15" hidden="1" customHeight="1">
      <c r="A366" s="839">
        <v>68741742</v>
      </c>
      <c r="B366" s="839">
        <v>1352</v>
      </c>
      <c r="C366" s="906">
        <v>2838</v>
      </c>
      <c r="D366" s="907">
        <v>46032</v>
      </c>
      <c r="E366" s="839" t="s">
        <v>288</v>
      </c>
      <c r="F366" s="839" t="s">
        <v>289</v>
      </c>
      <c r="G366" s="916">
        <f>VLOOKUP($A366,'Tech Litons'!$A:$I,8,FALSE)</f>
        <v>4.2560000000000002E-3</v>
      </c>
      <c r="H366" s="917">
        <f>VLOOKUP($A366,'Tech Litons'!$A:$I,9,FALSE)</f>
        <v>154</v>
      </c>
      <c r="I366" s="917" t="str">
        <f>VLOOKUP($A366,'Tech Litons'!$A:$C,3,0)</f>
        <v>MBG</v>
      </c>
      <c r="J366" s="918" t="str">
        <f t="shared" si="36"/>
        <v>1352MBG</v>
      </c>
      <c r="K366" s="919">
        <v>1</v>
      </c>
      <c r="L366" s="920">
        <f t="shared" si="37"/>
        <v>2838</v>
      </c>
      <c r="M366" s="920">
        <f t="shared" si="38"/>
        <v>12.078528</v>
      </c>
      <c r="N366" s="920">
        <f t="shared" si="39"/>
        <v>18.428571428571427</v>
      </c>
      <c r="O366" s="918" t="str">
        <f t="shared" si="40"/>
        <v>Jan</v>
      </c>
      <c r="P366" s="921">
        <f t="shared" si="41"/>
        <v>2</v>
      </c>
    </row>
    <row r="367" spans="1:16" ht="15" hidden="1" customHeight="1">
      <c r="A367" s="839">
        <v>68741714</v>
      </c>
      <c r="B367" s="839">
        <v>1352</v>
      </c>
      <c r="C367" s="906">
        <v>2948</v>
      </c>
      <c r="D367" s="907">
        <v>46032</v>
      </c>
      <c r="E367" s="839" t="s">
        <v>286</v>
      </c>
      <c r="F367" s="839" t="s">
        <v>287</v>
      </c>
      <c r="G367" s="916">
        <f>VLOOKUP($A367,'Tech Litons'!$A:$I,8,FALSE)</f>
        <v>2.8319999999999999E-3</v>
      </c>
      <c r="H367" s="917">
        <f>VLOOKUP($A367,'Tech Litons'!$A:$I,9,FALSE)</f>
        <v>225</v>
      </c>
      <c r="I367" s="917" t="str">
        <f>VLOOKUP($A367,'Tech Litons'!$A:$C,3,0)</f>
        <v>MBG</v>
      </c>
      <c r="J367" s="918" t="str">
        <f t="shared" si="36"/>
        <v>1352MBG</v>
      </c>
      <c r="K367" s="919">
        <v>1</v>
      </c>
      <c r="L367" s="920">
        <f t="shared" si="37"/>
        <v>2948</v>
      </c>
      <c r="M367" s="920">
        <f t="shared" si="38"/>
        <v>8.3487359999999988</v>
      </c>
      <c r="N367" s="920">
        <f t="shared" si="39"/>
        <v>13.102222222222222</v>
      </c>
      <c r="O367" s="918" t="str">
        <f t="shared" si="40"/>
        <v>Jan</v>
      </c>
      <c r="P367" s="921">
        <f t="shared" si="41"/>
        <v>2</v>
      </c>
    </row>
    <row r="368" spans="1:16" ht="15" hidden="1" customHeight="1">
      <c r="A368" s="839">
        <v>64393723</v>
      </c>
      <c r="B368" s="839">
        <v>2904</v>
      </c>
      <c r="C368" s="906">
        <v>2963</v>
      </c>
      <c r="D368" s="907">
        <v>46032</v>
      </c>
      <c r="E368" s="839" t="s">
        <v>317</v>
      </c>
      <c r="F368" s="839" t="s">
        <v>283</v>
      </c>
      <c r="G368" s="916">
        <f>VLOOKUP($A368,'Tech Litons'!$A:$I,8,FALSE)</f>
        <v>2.16E-3</v>
      </c>
      <c r="H368" s="917">
        <f>VLOOKUP($A368,'Tech Litons'!$A:$I,9,FALSE)</f>
        <v>210</v>
      </c>
      <c r="I368" s="917" t="str">
        <f>VLOOKUP($A368,'Tech Litons'!$A:$C,3,0)</f>
        <v>MG Sticks</v>
      </c>
      <c r="J368" s="918" t="str">
        <f t="shared" si="36"/>
        <v>2904MG Sticks</v>
      </c>
      <c r="K368" s="919">
        <v>1</v>
      </c>
      <c r="L368" s="920">
        <f t="shared" si="37"/>
        <v>2963</v>
      </c>
      <c r="M368" s="920">
        <f t="shared" si="38"/>
        <v>6.40008</v>
      </c>
      <c r="N368" s="920">
        <f t="shared" si="39"/>
        <v>14.109523809523809</v>
      </c>
      <c r="O368" s="918" t="str">
        <f t="shared" si="40"/>
        <v>Jan</v>
      </c>
      <c r="P368" s="921">
        <f t="shared" si="41"/>
        <v>2</v>
      </c>
    </row>
    <row r="369" spans="1:16" ht="15" hidden="1" customHeight="1">
      <c r="A369" s="839">
        <v>69725082</v>
      </c>
      <c r="B369" s="839">
        <v>1352</v>
      </c>
      <c r="C369" s="906">
        <v>3016</v>
      </c>
      <c r="D369" s="907">
        <v>46032</v>
      </c>
      <c r="E369" s="839" t="s">
        <v>292</v>
      </c>
      <c r="F369" s="839" t="s">
        <v>225</v>
      </c>
      <c r="G369" s="916">
        <f>VLOOKUP($A369,'Tech Litons'!$A:$I,8,FALSE)</f>
        <v>5.2680000000000001E-3</v>
      </c>
      <c r="H369" s="917">
        <f>VLOOKUP($A369,'Tech Litons'!$A:$I,9,FALSE)</f>
        <v>130</v>
      </c>
      <c r="I369" s="917" t="str">
        <f>VLOOKUP($A369,'Tech Litons'!$A:$C,3,0)</f>
        <v>PG</v>
      </c>
      <c r="J369" s="918" t="str">
        <f t="shared" si="36"/>
        <v>1352PG</v>
      </c>
      <c r="K369" s="919">
        <v>1</v>
      </c>
      <c r="L369" s="920">
        <f t="shared" si="37"/>
        <v>3016</v>
      </c>
      <c r="M369" s="920">
        <f t="shared" si="38"/>
        <v>15.888288000000001</v>
      </c>
      <c r="N369" s="920">
        <f t="shared" si="39"/>
        <v>23.2</v>
      </c>
      <c r="O369" s="918" t="str">
        <f t="shared" si="40"/>
        <v>Jan</v>
      </c>
      <c r="P369" s="921">
        <f t="shared" si="41"/>
        <v>2</v>
      </c>
    </row>
    <row r="370" spans="1:16" ht="15" hidden="1" customHeight="1">
      <c r="A370" s="839">
        <v>68921994</v>
      </c>
      <c r="B370" s="839">
        <v>1352</v>
      </c>
      <c r="C370" s="906">
        <v>3613</v>
      </c>
      <c r="D370" s="907">
        <v>46032</v>
      </c>
      <c r="E370" s="839" t="s">
        <v>267</v>
      </c>
      <c r="F370" s="839" t="s">
        <v>241</v>
      </c>
      <c r="G370" s="916">
        <f>VLOOKUP($A370,'Tech Litons'!$A:$I,8,FALSE)</f>
        <v>9.5760000000000012E-3</v>
      </c>
      <c r="H370" s="917">
        <f>VLOOKUP($A370,'Tech Litons'!$A:$I,9,FALSE)</f>
        <v>132</v>
      </c>
      <c r="I370" s="917" t="str">
        <f>VLOOKUP($A370,'Tech Litons'!$A:$C,3,0)</f>
        <v>EDF</v>
      </c>
      <c r="J370" s="918" t="str">
        <f t="shared" si="36"/>
        <v>1352EDF</v>
      </c>
      <c r="K370" s="919">
        <v>1</v>
      </c>
      <c r="L370" s="920">
        <f t="shared" si="37"/>
        <v>3613</v>
      </c>
      <c r="M370" s="920">
        <f t="shared" si="38"/>
        <v>34.598088000000004</v>
      </c>
      <c r="N370" s="920">
        <f t="shared" si="39"/>
        <v>27.371212121212121</v>
      </c>
      <c r="O370" s="918" t="str">
        <f t="shared" si="40"/>
        <v>Jan</v>
      </c>
      <c r="P370" s="921">
        <f t="shared" si="41"/>
        <v>2</v>
      </c>
    </row>
    <row r="371" spans="1:16" ht="15" hidden="1" customHeight="1">
      <c r="A371" s="839">
        <v>68689251</v>
      </c>
      <c r="B371" s="839">
        <v>1352</v>
      </c>
      <c r="C371" s="906">
        <v>3825</v>
      </c>
      <c r="D371" s="907">
        <v>46032</v>
      </c>
      <c r="E371" s="839" t="s">
        <v>262</v>
      </c>
      <c r="F371" s="839" t="s">
        <v>242</v>
      </c>
      <c r="G371" s="916">
        <f>VLOOKUP($A371,'Tech Litons'!$A:$I,8,FALSE)</f>
        <v>9.5760000000000012E-3</v>
      </c>
      <c r="H371" s="917">
        <f>VLOOKUP($A371,'Tech Litons'!$A:$I,9,FALSE)</f>
        <v>132</v>
      </c>
      <c r="I371" s="917" t="str">
        <f>VLOOKUP($A371,'Tech Litons'!$A:$C,3,0)</f>
        <v>EDF</v>
      </c>
      <c r="J371" s="918" t="str">
        <f t="shared" si="36"/>
        <v>1352EDF</v>
      </c>
      <c r="K371" s="919">
        <v>1</v>
      </c>
      <c r="L371" s="920">
        <f t="shared" si="37"/>
        <v>3825</v>
      </c>
      <c r="M371" s="920">
        <f t="shared" si="38"/>
        <v>36.628200000000007</v>
      </c>
      <c r="N371" s="920">
        <f t="shared" si="39"/>
        <v>28.977272727272727</v>
      </c>
      <c r="O371" s="918" t="str">
        <f t="shared" si="40"/>
        <v>Jan</v>
      </c>
      <c r="P371" s="921">
        <f t="shared" si="41"/>
        <v>2</v>
      </c>
    </row>
    <row r="372" spans="1:16" ht="15" hidden="1" customHeight="1">
      <c r="A372" s="839">
        <v>64373718</v>
      </c>
      <c r="B372" s="839">
        <v>2904</v>
      </c>
      <c r="C372" s="906">
        <v>4176</v>
      </c>
      <c r="D372" s="907">
        <v>46032</v>
      </c>
      <c r="E372" s="839" t="s">
        <v>316</v>
      </c>
      <c r="F372" s="839" t="s">
        <v>269</v>
      </c>
      <c r="G372" s="916">
        <f>VLOOKUP($A372,'Tech Litons'!$A:$I,8,FALSE)</f>
        <v>8.5199999999999998E-3</v>
      </c>
      <c r="H372" s="917">
        <f>VLOOKUP($A372,'Tech Litons'!$A:$I,9,FALSE)</f>
        <v>176</v>
      </c>
      <c r="I372" s="917" t="str">
        <f>VLOOKUP($A372,'Tech Litons'!$A:$C,3,0)</f>
        <v>48oz</v>
      </c>
      <c r="J372" s="918" t="str">
        <f t="shared" si="36"/>
        <v>290448oz</v>
      </c>
      <c r="K372" s="919">
        <v>1</v>
      </c>
      <c r="L372" s="920">
        <f t="shared" si="37"/>
        <v>4176</v>
      </c>
      <c r="M372" s="920">
        <f t="shared" si="38"/>
        <v>35.579520000000002</v>
      </c>
      <c r="N372" s="920">
        <f t="shared" si="39"/>
        <v>23.727272727272727</v>
      </c>
      <c r="O372" s="918" t="str">
        <f t="shared" si="40"/>
        <v>Jan</v>
      </c>
      <c r="P372" s="921">
        <f t="shared" si="41"/>
        <v>2</v>
      </c>
    </row>
    <row r="373" spans="1:16" ht="15" hidden="1" customHeight="1">
      <c r="A373" s="839">
        <v>68689251</v>
      </c>
      <c r="B373" s="839">
        <v>1352</v>
      </c>
      <c r="C373" s="906">
        <v>4184</v>
      </c>
      <c r="D373" s="907">
        <v>46032</v>
      </c>
      <c r="E373" s="839" t="s">
        <v>262</v>
      </c>
      <c r="F373" s="839" t="s">
        <v>240</v>
      </c>
      <c r="G373" s="916">
        <f>VLOOKUP($A373,'Tech Litons'!$A:$I,8,FALSE)</f>
        <v>9.5760000000000012E-3</v>
      </c>
      <c r="H373" s="917">
        <f>VLOOKUP($A373,'Tech Litons'!$A:$I,9,FALSE)</f>
        <v>132</v>
      </c>
      <c r="I373" s="917" t="str">
        <f>VLOOKUP($A373,'Tech Litons'!$A:$C,3,0)</f>
        <v>EDF</v>
      </c>
      <c r="J373" s="918" t="str">
        <f t="shared" si="36"/>
        <v>1352EDF</v>
      </c>
      <c r="K373" s="919">
        <v>1</v>
      </c>
      <c r="L373" s="920">
        <f t="shared" si="37"/>
        <v>4184</v>
      </c>
      <c r="M373" s="920">
        <f t="shared" si="38"/>
        <v>40.065984000000007</v>
      </c>
      <c r="N373" s="920">
        <f t="shared" si="39"/>
        <v>31.696969696969695</v>
      </c>
      <c r="O373" s="918" t="str">
        <f t="shared" si="40"/>
        <v>Jan</v>
      </c>
      <c r="P373" s="921">
        <f t="shared" si="41"/>
        <v>2</v>
      </c>
    </row>
    <row r="374" spans="1:16" ht="15" hidden="1" customHeight="1">
      <c r="A374" s="839">
        <v>69568828</v>
      </c>
      <c r="B374" s="839">
        <v>2904</v>
      </c>
      <c r="C374" s="906">
        <v>4224</v>
      </c>
      <c r="D374" s="907">
        <v>46032</v>
      </c>
      <c r="E374" s="839" t="s">
        <v>320</v>
      </c>
      <c r="F374" s="839" t="s">
        <v>273</v>
      </c>
      <c r="G374" s="916">
        <f>VLOOKUP($A374,'Tech Litons'!$A:$I,8,FALSE)</f>
        <v>8.5199999999999998E-3</v>
      </c>
      <c r="H374" s="917">
        <f>VLOOKUP($A374,'Tech Litons'!$A:$I,9,FALSE)</f>
        <v>176</v>
      </c>
      <c r="I374" s="917" t="str">
        <f>VLOOKUP($A374,'Tech Litons'!$A:$C,3,0)</f>
        <v>48oz</v>
      </c>
      <c r="J374" s="918" t="str">
        <f t="shared" si="36"/>
        <v>290448oz</v>
      </c>
      <c r="K374" s="919">
        <v>1</v>
      </c>
      <c r="L374" s="920">
        <f t="shared" si="37"/>
        <v>4224</v>
      </c>
      <c r="M374" s="920">
        <f t="shared" si="38"/>
        <v>35.988479999999996</v>
      </c>
      <c r="N374" s="920">
        <f t="shared" si="39"/>
        <v>24</v>
      </c>
      <c r="O374" s="918" t="str">
        <f t="shared" si="40"/>
        <v>Jan</v>
      </c>
      <c r="P374" s="921">
        <f t="shared" si="41"/>
        <v>2</v>
      </c>
    </row>
    <row r="375" spans="1:16" ht="15" hidden="1" customHeight="1">
      <c r="A375" s="839">
        <v>69690941</v>
      </c>
      <c r="B375" s="839">
        <v>2904</v>
      </c>
      <c r="C375" s="906">
        <v>4550</v>
      </c>
      <c r="D375" s="907">
        <v>46032</v>
      </c>
      <c r="E375" s="839" t="s">
        <v>321</v>
      </c>
      <c r="F375" s="839" t="s">
        <v>281</v>
      </c>
      <c r="G375" s="916">
        <f>VLOOKUP($A375,'Tech Litons'!$A:$I,8,FALSE)</f>
        <v>1.98E-3</v>
      </c>
      <c r="H375" s="917">
        <f>VLOOKUP($A375,'Tech Litons'!$A:$I,9,FALSE)</f>
        <v>176</v>
      </c>
      <c r="I375" s="917" t="str">
        <f>VLOOKUP($A375,'Tech Litons'!$A:$C,3,0)</f>
        <v>MG Sticks</v>
      </c>
      <c r="J375" s="918" t="str">
        <f t="shared" si="36"/>
        <v>2904MG Sticks</v>
      </c>
      <c r="K375" s="919">
        <v>1</v>
      </c>
      <c r="L375" s="920">
        <f t="shared" si="37"/>
        <v>4550</v>
      </c>
      <c r="M375" s="920">
        <f t="shared" si="38"/>
        <v>9.0090000000000003</v>
      </c>
      <c r="N375" s="920">
        <f t="shared" si="39"/>
        <v>25.852272727272727</v>
      </c>
      <c r="O375" s="918" t="str">
        <f t="shared" si="40"/>
        <v>Jan</v>
      </c>
      <c r="P375" s="921">
        <f t="shared" si="41"/>
        <v>2</v>
      </c>
    </row>
    <row r="376" spans="1:16" ht="15" hidden="1" customHeight="1">
      <c r="A376" s="839">
        <v>64958122</v>
      </c>
      <c r="B376" s="839">
        <v>2904</v>
      </c>
      <c r="C376" s="906">
        <v>5106</v>
      </c>
      <c r="D376" s="907">
        <v>46032</v>
      </c>
      <c r="E376" s="839" t="s">
        <v>236</v>
      </c>
      <c r="F376" s="839" t="s">
        <v>234</v>
      </c>
      <c r="G376" s="916">
        <f>VLOOKUP($A376,'Tech Litons'!$A:$I,8,FALSE)</f>
        <v>3.3119999999999998E-3</v>
      </c>
      <c r="H376" s="917">
        <f>VLOOKUP($A376,'Tech Litons'!$A:$I,9,FALSE)</f>
        <v>165</v>
      </c>
      <c r="I376" s="917" t="str">
        <f>VLOOKUP($A376,'Tech Litons'!$A:$C,3,0)</f>
        <v>Yasso Sticks</v>
      </c>
      <c r="J376" s="918" t="str">
        <f t="shared" si="36"/>
        <v>2904Yasso Sticks</v>
      </c>
      <c r="K376" s="919">
        <v>1</v>
      </c>
      <c r="L376" s="920">
        <f t="shared" si="37"/>
        <v>5106</v>
      </c>
      <c r="M376" s="920">
        <f t="shared" si="38"/>
        <v>16.911072000000001</v>
      </c>
      <c r="N376" s="920">
        <f t="shared" si="39"/>
        <v>30.945454545454545</v>
      </c>
      <c r="O376" s="918" t="str">
        <f t="shared" si="40"/>
        <v>Jan</v>
      </c>
      <c r="P376" s="921">
        <f t="shared" si="41"/>
        <v>2</v>
      </c>
    </row>
    <row r="377" spans="1:16" ht="15" hidden="1" customHeight="1">
      <c r="A377" s="839">
        <v>68860059</v>
      </c>
      <c r="B377" s="839">
        <v>2904</v>
      </c>
      <c r="C377" s="906">
        <v>5298</v>
      </c>
      <c r="D377" s="907">
        <v>46032</v>
      </c>
      <c r="E377" s="839" t="s">
        <v>319</v>
      </c>
      <c r="F377" s="839" t="s">
        <v>277</v>
      </c>
      <c r="G377" s="916">
        <f>VLOOKUP($A377,'Tech Litons'!$A:$I,8,FALSE)</f>
        <v>3.7839999999999996E-3</v>
      </c>
      <c r="H377" s="917">
        <f>VLOOKUP($A377,'Tech Litons'!$A:$I,9,FALSE)</f>
        <v>255</v>
      </c>
      <c r="I377" s="917" t="str">
        <f>VLOOKUP($A377,'Tech Litons'!$A:$C,3,0)</f>
        <v>Talenti</v>
      </c>
      <c r="J377" s="918" t="str">
        <f t="shared" si="36"/>
        <v>2904Talenti</v>
      </c>
      <c r="K377" s="919">
        <v>1</v>
      </c>
      <c r="L377" s="920">
        <f t="shared" si="37"/>
        <v>5298</v>
      </c>
      <c r="M377" s="920">
        <f t="shared" si="38"/>
        <v>20.047631999999997</v>
      </c>
      <c r="N377" s="920">
        <f t="shared" si="39"/>
        <v>20.776470588235295</v>
      </c>
      <c r="O377" s="918" t="str">
        <f t="shared" si="40"/>
        <v>Jan</v>
      </c>
      <c r="P377" s="921">
        <f t="shared" si="41"/>
        <v>2</v>
      </c>
    </row>
    <row r="378" spans="1:16" ht="15" hidden="1" customHeight="1">
      <c r="A378" s="839">
        <v>68851107</v>
      </c>
      <c r="B378" s="839">
        <v>1352</v>
      </c>
      <c r="C378" s="906">
        <v>5365</v>
      </c>
      <c r="D378" s="907">
        <v>46032</v>
      </c>
      <c r="E378" s="839" t="s">
        <v>272</v>
      </c>
      <c r="F378" s="839" t="s">
        <v>290</v>
      </c>
      <c r="G378" s="916">
        <f>VLOOKUP($A378,'Tech Litons'!$A:$I,8,FALSE)</f>
        <v>8.5199999999999998E-3</v>
      </c>
      <c r="H378" s="917">
        <f>VLOOKUP($A378,'Tech Litons'!$A:$I,9,FALSE)</f>
        <v>176</v>
      </c>
      <c r="I378" s="917" t="str">
        <f>VLOOKUP($A378,'Tech Litons'!$A:$C,3,0)</f>
        <v>48oz</v>
      </c>
      <c r="J378" s="918" t="str">
        <f t="shared" si="36"/>
        <v>135248oz</v>
      </c>
      <c r="K378" s="919">
        <v>1</v>
      </c>
      <c r="L378" s="920">
        <f t="shared" si="37"/>
        <v>5365</v>
      </c>
      <c r="M378" s="920">
        <f t="shared" si="38"/>
        <v>45.709800000000001</v>
      </c>
      <c r="N378" s="920">
        <f t="shared" si="39"/>
        <v>30.482954545454547</v>
      </c>
      <c r="O378" s="918" t="str">
        <f t="shared" si="40"/>
        <v>Jan</v>
      </c>
      <c r="P378" s="921">
        <f t="shared" si="41"/>
        <v>2</v>
      </c>
    </row>
    <row r="379" spans="1:16" ht="15" hidden="1" customHeight="1">
      <c r="A379" s="839">
        <v>69690941</v>
      </c>
      <c r="B379" s="839">
        <v>2904</v>
      </c>
      <c r="C379" s="906">
        <v>5744</v>
      </c>
      <c r="D379" s="907">
        <v>46032</v>
      </c>
      <c r="E379" s="839" t="s">
        <v>321</v>
      </c>
      <c r="F379" s="839" t="s">
        <v>281</v>
      </c>
      <c r="G379" s="916">
        <f>VLOOKUP($A379,'Tech Litons'!$A:$I,8,FALSE)</f>
        <v>1.98E-3</v>
      </c>
      <c r="H379" s="917">
        <f>VLOOKUP($A379,'Tech Litons'!$A:$I,9,FALSE)</f>
        <v>176</v>
      </c>
      <c r="I379" s="917" t="str">
        <f>VLOOKUP($A379,'Tech Litons'!$A:$C,3,0)</f>
        <v>MG Sticks</v>
      </c>
      <c r="J379" s="918" t="str">
        <f t="shared" si="36"/>
        <v>2904MG Sticks</v>
      </c>
      <c r="K379" s="919">
        <v>1</v>
      </c>
      <c r="L379" s="920">
        <f t="shared" si="37"/>
        <v>5744</v>
      </c>
      <c r="M379" s="920">
        <f t="shared" si="38"/>
        <v>11.37312</v>
      </c>
      <c r="N379" s="920">
        <f t="shared" si="39"/>
        <v>32.636363636363633</v>
      </c>
      <c r="O379" s="918" t="str">
        <f t="shared" si="40"/>
        <v>Jan</v>
      </c>
      <c r="P379" s="921">
        <f t="shared" si="41"/>
        <v>2</v>
      </c>
    </row>
    <row r="380" spans="1:16" ht="15" hidden="1" customHeight="1">
      <c r="A380" s="839">
        <v>69568828</v>
      </c>
      <c r="B380" s="839">
        <v>2904</v>
      </c>
      <c r="C380" s="906">
        <v>6732</v>
      </c>
      <c r="D380" s="907">
        <v>46032</v>
      </c>
      <c r="E380" s="839" t="s">
        <v>320</v>
      </c>
      <c r="F380" s="839" t="s">
        <v>271</v>
      </c>
      <c r="G380" s="916">
        <f>VLOOKUP($A380,'Tech Litons'!$A:$I,8,FALSE)</f>
        <v>8.5199999999999998E-3</v>
      </c>
      <c r="H380" s="917">
        <f>VLOOKUP($A380,'Tech Litons'!$A:$I,9,FALSE)</f>
        <v>176</v>
      </c>
      <c r="I380" s="917" t="str">
        <f>VLOOKUP($A380,'Tech Litons'!$A:$C,3,0)</f>
        <v>48oz</v>
      </c>
      <c r="J380" s="918" t="str">
        <f t="shared" si="36"/>
        <v>290448oz</v>
      </c>
      <c r="K380" s="919">
        <v>1</v>
      </c>
      <c r="L380" s="920">
        <f t="shared" si="37"/>
        <v>6732</v>
      </c>
      <c r="M380" s="920">
        <f t="shared" si="38"/>
        <v>57.356639999999999</v>
      </c>
      <c r="N380" s="920">
        <f t="shared" si="39"/>
        <v>38.25</v>
      </c>
      <c r="O380" s="918" t="str">
        <f t="shared" si="40"/>
        <v>Jan</v>
      </c>
      <c r="P380" s="921">
        <f t="shared" si="41"/>
        <v>2</v>
      </c>
    </row>
    <row r="381" spans="1:16" ht="15" hidden="1" customHeight="1">
      <c r="A381" s="839">
        <v>69568828</v>
      </c>
      <c r="B381" s="839">
        <v>2904</v>
      </c>
      <c r="C381" s="906">
        <v>6846</v>
      </c>
      <c r="D381" s="907">
        <v>46032</v>
      </c>
      <c r="E381" s="839" t="s">
        <v>320</v>
      </c>
      <c r="F381" s="839" t="s">
        <v>271</v>
      </c>
      <c r="G381" s="916">
        <f>VLOOKUP($A381,'Tech Litons'!$A:$I,8,FALSE)</f>
        <v>8.5199999999999998E-3</v>
      </c>
      <c r="H381" s="917">
        <f>VLOOKUP($A381,'Tech Litons'!$A:$I,9,FALSE)</f>
        <v>176</v>
      </c>
      <c r="I381" s="917" t="str">
        <f>VLOOKUP($A381,'Tech Litons'!$A:$C,3,0)</f>
        <v>48oz</v>
      </c>
      <c r="J381" s="918" t="str">
        <f t="shared" si="36"/>
        <v>290448oz</v>
      </c>
      <c r="K381" s="919">
        <v>1</v>
      </c>
      <c r="L381" s="920">
        <f t="shared" si="37"/>
        <v>6846</v>
      </c>
      <c r="M381" s="920">
        <f t="shared" si="38"/>
        <v>58.327919999999999</v>
      </c>
      <c r="N381" s="920">
        <f t="shared" si="39"/>
        <v>38.897727272727273</v>
      </c>
      <c r="O381" s="918" t="str">
        <f t="shared" si="40"/>
        <v>Jan</v>
      </c>
      <c r="P381" s="921">
        <f t="shared" si="41"/>
        <v>2</v>
      </c>
    </row>
    <row r="382" spans="1:16" ht="15" hidden="1" customHeight="1">
      <c r="A382" s="839">
        <v>64393723</v>
      </c>
      <c r="B382" s="839">
        <v>2904</v>
      </c>
      <c r="C382" s="906">
        <v>7087</v>
      </c>
      <c r="D382" s="907">
        <v>46032</v>
      </c>
      <c r="E382" s="839" t="s">
        <v>317</v>
      </c>
      <c r="F382" s="839" t="s">
        <v>283</v>
      </c>
      <c r="G382" s="916">
        <f>VLOOKUP($A382,'Tech Litons'!$A:$I,8,FALSE)</f>
        <v>2.16E-3</v>
      </c>
      <c r="H382" s="917">
        <f>VLOOKUP($A382,'Tech Litons'!$A:$I,9,FALSE)</f>
        <v>210</v>
      </c>
      <c r="I382" s="917" t="str">
        <f>VLOOKUP($A382,'Tech Litons'!$A:$C,3,0)</f>
        <v>MG Sticks</v>
      </c>
      <c r="J382" s="918" t="str">
        <f t="shared" si="36"/>
        <v>2904MG Sticks</v>
      </c>
      <c r="K382" s="919">
        <v>1</v>
      </c>
      <c r="L382" s="920">
        <f t="shared" si="37"/>
        <v>7087</v>
      </c>
      <c r="M382" s="920">
        <f t="shared" si="38"/>
        <v>15.307920000000001</v>
      </c>
      <c r="N382" s="920">
        <f t="shared" si="39"/>
        <v>33.747619047619047</v>
      </c>
      <c r="O382" s="918" t="str">
        <f t="shared" si="40"/>
        <v>Jan</v>
      </c>
      <c r="P382" s="921">
        <f t="shared" si="41"/>
        <v>2</v>
      </c>
    </row>
    <row r="383" spans="1:16" ht="15" hidden="1" customHeight="1">
      <c r="A383" s="839">
        <v>64373718</v>
      </c>
      <c r="B383" s="839">
        <v>2904</v>
      </c>
      <c r="C383" s="906">
        <v>7237</v>
      </c>
      <c r="D383" s="907">
        <v>46032</v>
      </c>
      <c r="E383" s="839" t="s">
        <v>316</v>
      </c>
      <c r="F383" s="839" t="s">
        <v>269</v>
      </c>
      <c r="G383" s="916">
        <f>VLOOKUP($A383,'Tech Litons'!$A:$I,8,FALSE)</f>
        <v>8.5199999999999998E-3</v>
      </c>
      <c r="H383" s="917">
        <f>VLOOKUP($A383,'Tech Litons'!$A:$I,9,FALSE)</f>
        <v>176</v>
      </c>
      <c r="I383" s="917" t="str">
        <f>VLOOKUP($A383,'Tech Litons'!$A:$C,3,0)</f>
        <v>48oz</v>
      </c>
      <c r="J383" s="918" t="str">
        <f t="shared" si="36"/>
        <v>290448oz</v>
      </c>
      <c r="K383" s="919">
        <v>1</v>
      </c>
      <c r="L383" s="920">
        <f t="shared" si="37"/>
        <v>7237</v>
      </c>
      <c r="M383" s="920">
        <f t="shared" si="38"/>
        <v>61.659239999999997</v>
      </c>
      <c r="N383" s="920">
        <f t="shared" si="39"/>
        <v>41.11931818181818</v>
      </c>
      <c r="O383" s="918" t="str">
        <f t="shared" si="40"/>
        <v>Jan</v>
      </c>
      <c r="P383" s="921">
        <f t="shared" si="41"/>
        <v>2</v>
      </c>
    </row>
    <row r="384" spans="1:16" ht="15" hidden="1" customHeight="1">
      <c r="A384" s="839">
        <v>64369046</v>
      </c>
      <c r="B384" s="839">
        <v>2904</v>
      </c>
      <c r="C384" s="906">
        <v>7541</v>
      </c>
      <c r="D384" s="907">
        <v>46032</v>
      </c>
      <c r="E384" s="839" t="s">
        <v>315</v>
      </c>
      <c r="F384" s="839" t="s">
        <v>275</v>
      </c>
      <c r="G384" s="916">
        <f>VLOOKUP($A384,'Tech Litons'!$A:$I,8,FALSE)</f>
        <v>3.552E-3</v>
      </c>
      <c r="H384" s="917">
        <f>VLOOKUP($A384,'Tech Litons'!$A:$I,9,FALSE)</f>
        <v>255</v>
      </c>
      <c r="I384" s="917" t="str">
        <f>VLOOKUP($A384,'Tech Litons'!$A:$C,3,0)</f>
        <v>Talenti</v>
      </c>
      <c r="J384" s="918" t="str">
        <f t="shared" si="36"/>
        <v>2904Talenti</v>
      </c>
      <c r="K384" s="919">
        <v>1</v>
      </c>
      <c r="L384" s="920">
        <f t="shared" si="37"/>
        <v>7541</v>
      </c>
      <c r="M384" s="920">
        <f t="shared" si="38"/>
        <v>26.785632</v>
      </c>
      <c r="N384" s="920">
        <f t="shared" si="39"/>
        <v>29.572549019607845</v>
      </c>
      <c r="O384" s="918" t="str">
        <f t="shared" si="40"/>
        <v>Jan</v>
      </c>
      <c r="P384" s="921">
        <f t="shared" si="41"/>
        <v>2</v>
      </c>
    </row>
    <row r="385" spans="1:16" ht="15" hidden="1" customHeight="1">
      <c r="A385" s="839">
        <v>68851107</v>
      </c>
      <c r="B385" s="839">
        <v>1352</v>
      </c>
      <c r="C385" s="906">
        <v>8223</v>
      </c>
      <c r="D385" s="907">
        <v>46032</v>
      </c>
      <c r="E385" s="839" t="s">
        <v>272</v>
      </c>
      <c r="F385" s="839" t="s">
        <v>290</v>
      </c>
      <c r="G385" s="916">
        <f>VLOOKUP($A385,'Tech Litons'!$A:$I,8,FALSE)</f>
        <v>8.5199999999999998E-3</v>
      </c>
      <c r="H385" s="917">
        <f>VLOOKUP($A385,'Tech Litons'!$A:$I,9,FALSE)</f>
        <v>176</v>
      </c>
      <c r="I385" s="917" t="str">
        <f>VLOOKUP($A385,'Tech Litons'!$A:$C,3,0)</f>
        <v>48oz</v>
      </c>
      <c r="J385" s="918" t="str">
        <f t="shared" si="36"/>
        <v>135248oz</v>
      </c>
      <c r="K385" s="919">
        <v>1</v>
      </c>
      <c r="L385" s="920">
        <f t="shared" si="37"/>
        <v>8223</v>
      </c>
      <c r="M385" s="920">
        <f t="shared" si="38"/>
        <v>70.059960000000004</v>
      </c>
      <c r="N385" s="920">
        <f t="shared" si="39"/>
        <v>46.721590909090907</v>
      </c>
      <c r="O385" s="918" t="str">
        <f t="shared" si="40"/>
        <v>Jan</v>
      </c>
      <c r="P385" s="921">
        <f t="shared" si="41"/>
        <v>2</v>
      </c>
    </row>
    <row r="386" spans="1:16" ht="15" hidden="1" customHeight="1">
      <c r="A386" s="839">
        <v>64977530</v>
      </c>
      <c r="B386" s="839">
        <v>1352</v>
      </c>
      <c r="C386" s="906">
        <v>8404</v>
      </c>
      <c r="D386" s="907">
        <v>46032</v>
      </c>
      <c r="E386" s="839" t="s">
        <v>310</v>
      </c>
      <c r="F386" s="839" t="s">
        <v>266</v>
      </c>
      <c r="G386" s="916">
        <f>VLOOKUP($A386,'Tech Litons'!$A:$I,8,FALSE)</f>
        <v>8.513999999999999E-3</v>
      </c>
      <c r="H386" s="917">
        <f>VLOOKUP($A386,'Tech Litons'!$A:$I,9,FALSE)</f>
        <v>176</v>
      </c>
      <c r="I386" s="917" t="str">
        <f>VLOOKUP($A386,'Tech Litons'!$A:$C,3,0)</f>
        <v>48oz</v>
      </c>
      <c r="J386" s="918" t="str">
        <f t="shared" si="36"/>
        <v>135248oz</v>
      </c>
      <c r="K386" s="919">
        <v>1</v>
      </c>
      <c r="L386" s="920">
        <f t="shared" si="37"/>
        <v>8404</v>
      </c>
      <c r="M386" s="920">
        <f t="shared" si="38"/>
        <v>71.551655999999994</v>
      </c>
      <c r="N386" s="920">
        <f t="shared" si="39"/>
        <v>47.75</v>
      </c>
      <c r="O386" s="918" t="str">
        <f t="shared" si="40"/>
        <v>Jan</v>
      </c>
      <c r="P386" s="921">
        <f t="shared" si="41"/>
        <v>2</v>
      </c>
    </row>
    <row r="387" spans="1:16" ht="15" hidden="1" customHeight="1">
      <c r="A387" s="839">
        <v>69568828</v>
      </c>
      <c r="B387" s="839">
        <v>2904</v>
      </c>
      <c r="C387" s="906">
        <v>8800</v>
      </c>
      <c r="D387" s="907">
        <v>46032</v>
      </c>
      <c r="E387" s="839" t="s">
        <v>320</v>
      </c>
      <c r="F387" s="839" t="s">
        <v>273</v>
      </c>
      <c r="G387" s="916">
        <f>VLOOKUP($A387,'Tech Litons'!$A:$I,8,FALSE)</f>
        <v>8.5199999999999998E-3</v>
      </c>
      <c r="H387" s="917">
        <f>VLOOKUP($A387,'Tech Litons'!$A:$I,9,FALSE)</f>
        <v>176</v>
      </c>
      <c r="I387" s="917" t="str">
        <f>VLOOKUP($A387,'Tech Litons'!$A:$C,3,0)</f>
        <v>48oz</v>
      </c>
      <c r="J387" s="918" t="str">
        <f t="shared" si="36"/>
        <v>290448oz</v>
      </c>
      <c r="K387" s="919">
        <v>1</v>
      </c>
      <c r="L387" s="920">
        <f t="shared" si="37"/>
        <v>8800</v>
      </c>
      <c r="M387" s="920">
        <f t="shared" si="38"/>
        <v>74.975999999999999</v>
      </c>
      <c r="N387" s="920">
        <f t="shared" si="39"/>
        <v>50</v>
      </c>
      <c r="O387" s="918" t="str">
        <f t="shared" si="40"/>
        <v>Jan</v>
      </c>
      <c r="P387" s="921">
        <f t="shared" si="41"/>
        <v>2</v>
      </c>
    </row>
    <row r="388" spans="1:16" ht="15" hidden="1" customHeight="1">
      <c r="A388" s="839">
        <v>64958122</v>
      </c>
      <c r="B388" s="839">
        <v>2904</v>
      </c>
      <c r="C388" s="906">
        <v>8910</v>
      </c>
      <c r="D388" s="907">
        <v>46032</v>
      </c>
      <c r="E388" s="839" t="s">
        <v>236</v>
      </c>
      <c r="F388" s="839" t="s">
        <v>234</v>
      </c>
      <c r="G388" s="916">
        <f>VLOOKUP($A388,'Tech Litons'!$A:$I,8,FALSE)</f>
        <v>3.3119999999999998E-3</v>
      </c>
      <c r="H388" s="917">
        <f>VLOOKUP($A388,'Tech Litons'!$A:$I,9,FALSE)</f>
        <v>165</v>
      </c>
      <c r="I388" s="917" t="str">
        <f>VLOOKUP($A388,'Tech Litons'!$A:$C,3,0)</f>
        <v>Yasso Sticks</v>
      </c>
      <c r="J388" s="918" t="str">
        <f t="shared" si="36"/>
        <v>2904Yasso Sticks</v>
      </c>
      <c r="K388" s="919">
        <v>1</v>
      </c>
      <c r="L388" s="920">
        <f t="shared" si="37"/>
        <v>8910</v>
      </c>
      <c r="M388" s="920">
        <f t="shared" si="38"/>
        <v>29.509919999999997</v>
      </c>
      <c r="N388" s="920">
        <f t="shared" si="39"/>
        <v>54</v>
      </c>
      <c r="O388" s="918" t="str">
        <f t="shared" si="40"/>
        <v>Jan</v>
      </c>
      <c r="P388" s="921">
        <f t="shared" si="41"/>
        <v>2</v>
      </c>
    </row>
    <row r="389" spans="1:16" ht="15" hidden="1" customHeight="1">
      <c r="A389" s="839">
        <v>68860059</v>
      </c>
      <c r="B389" s="839">
        <v>2904</v>
      </c>
      <c r="C389" s="906">
        <v>13606</v>
      </c>
      <c r="D389" s="907">
        <v>46032</v>
      </c>
      <c r="E389" s="839" t="s">
        <v>319</v>
      </c>
      <c r="F389" s="839" t="s">
        <v>277</v>
      </c>
      <c r="G389" s="916">
        <f>VLOOKUP($A389,'Tech Litons'!$A:$I,8,FALSE)</f>
        <v>3.7839999999999996E-3</v>
      </c>
      <c r="H389" s="917">
        <f>VLOOKUP($A389,'Tech Litons'!$A:$I,9,FALSE)</f>
        <v>255</v>
      </c>
      <c r="I389" s="917" t="str">
        <f>VLOOKUP($A389,'Tech Litons'!$A:$C,3,0)</f>
        <v>Talenti</v>
      </c>
      <c r="J389" s="918" t="str">
        <f t="shared" si="36"/>
        <v>2904Talenti</v>
      </c>
      <c r="K389" s="919">
        <v>1</v>
      </c>
      <c r="L389" s="920">
        <f t="shared" si="37"/>
        <v>13606</v>
      </c>
      <c r="M389" s="920">
        <f t="shared" si="38"/>
        <v>51.485103999999993</v>
      </c>
      <c r="N389" s="920">
        <f t="shared" si="39"/>
        <v>53.356862745098042</v>
      </c>
      <c r="O389" s="918" t="str">
        <f t="shared" si="40"/>
        <v>Jan</v>
      </c>
      <c r="P389" s="921">
        <f t="shared" si="41"/>
        <v>2</v>
      </c>
    </row>
    <row r="390" spans="1:16" ht="15" hidden="1" customHeight="1">
      <c r="A390" s="839">
        <v>84141103</v>
      </c>
      <c r="B390" s="839">
        <v>5911</v>
      </c>
      <c r="C390" s="906">
        <v>36480</v>
      </c>
      <c r="D390" s="907">
        <v>46032</v>
      </c>
      <c r="E390" s="839" t="s">
        <v>314</v>
      </c>
      <c r="F390" s="839" t="s">
        <v>301</v>
      </c>
      <c r="G390" s="916">
        <f>VLOOKUP($A390,'Tech Litons'!$A:$I,8,FALSE)</f>
        <v>3.7853439999999999E-3</v>
      </c>
      <c r="H390" s="917">
        <f>VLOOKUP($A390,'Tech Litons'!$A:$I,9,FALSE)</f>
        <v>240</v>
      </c>
      <c r="I390" s="917" t="str">
        <f>VLOOKUP($A390,'Tech Litons'!$A:$C,3,0)</f>
        <v>BJ PTS</v>
      </c>
      <c r="J390" s="918" t="str">
        <f t="shared" si="36"/>
        <v>5911BJ PTS</v>
      </c>
      <c r="K390" s="919">
        <v>1</v>
      </c>
      <c r="L390" s="920">
        <f t="shared" si="37"/>
        <v>36480</v>
      </c>
      <c r="M390" s="920">
        <f t="shared" si="38"/>
        <v>138.08934912000001</v>
      </c>
      <c r="N390" s="920">
        <f t="shared" si="39"/>
        <v>152</v>
      </c>
      <c r="O390" s="918" t="str">
        <f t="shared" si="40"/>
        <v>Jan</v>
      </c>
      <c r="P390" s="921">
        <f t="shared" si="41"/>
        <v>2</v>
      </c>
    </row>
    <row r="391" spans="1:16" ht="15" hidden="1" customHeight="1">
      <c r="A391" s="839">
        <v>64369046</v>
      </c>
      <c r="B391" s="839">
        <v>2904</v>
      </c>
      <c r="C391" s="906">
        <v>13</v>
      </c>
      <c r="D391" s="907">
        <v>46033</v>
      </c>
      <c r="E391" s="839" t="s">
        <v>315</v>
      </c>
      <c r="F391" s="839" t="s">
        <v>275</v>
      </c>
      <c r="G391" s="916">
        <f>VLOOKUP($A391,'Tech Litons'!$A:$I,8,FALSE)</f>
        <v>3.552E-3</v>
      </c>
      <c r="H391" s="917">
        <f>VLOOKUP($A391,'Tech Litons'!$A:$I,9,FALSE)</f>
        <v>255</v>
      </c>
      <c r="I391" s="917" t="str">
        <f>VLOOKUP($A391,'Tech Litons'!$A:$C,3,0)</f>
        <v>Talenti</v>
      </c>
      <c r="J391" s="918" t="str">
        <f t="shared" si="36"/>
        <v>2904Talenti</v>
      </c>
      <c r="K391" s="919">
        <v>1</v>
      </c>
      <c r="L391" s="920">
        <f t="shared" si="37"/>
        <v>13</v>
      </c>
      <c r="M391" s="920">
        <f t="shared" si="38"/>
        <v>4.6176000000000002E-2</v>
      </c>
      <c r="N391" s="920">
        <f t="shared" si="39"/>
        <v>5.0980392156862744E-2</v>
      </c>
      <c r="O391" s="918" t="str">
        <f t="shared" si="40"/>
        <v>Jan</v>
      </c>
      <c r="P391" s="921">
        <f t="shared" si="41"/>
        <v>3</v>
      </c>
    </row>
    <row r="392" spans="1:16" ht="15" hidden="1" customHeight="1">
      <c r="A392" s="839">
        <v>68746232</v>
      </c>
      <c r="B392" s="839">
        <v>2904</v>
      </c>
      <c r="C392" s="906">
        <v>178</v>
      </c>
      <c r="D392" s="907">
        <v>46033</v>
      </c>
      <c r="E392" s="839" t="s">
        <v>508</v>
      </c>
      <c r="F392" s="839" t="s">
        <v>243</v>
      </c>
      <c r="G392" s="916">
        <f>VLOOKUP($A392,'Tech Litons'!$A:$I,8,FALSE)</f>
        <v>8.5199999999999998E-3</v>
      </c>
      <c r="H392" s="917">
        <f>VLOOKUP($A392,'Tech Litons'!$A:$I,9,FALSE)</f>
        <v>132</v>
      </c>
      <c r="I392" s="917" t="str">
        <f>VLOOKUP($A392,'Tech Litons'!$A:$C,3,0)</f>
        <v>EDF</v>
      </c>
      <c r="J392" s="918" t="str">
        <f t="shared" si="36"/>
        <v>2904EDF</v>
      </c>
      <c r="K392" s="919">
        <v>1</v>
      </c>
      <c r="L392" s="920">
        <f t="shared" si="37"/>
        <v>178</v>
      </c>
      <c r="M392" s="920">
        <f t="shared" si="38"/>
        <v>1.5165599999999999</v>
      </c>
      <c r="N392" s="920">
        <f t="shared" si="39"/>
        <v>1.3484848484848484</v>
      </c>
      <c r="O392" s="918" t="str">
        <f t="shared" si="40"/>
        <v>Jan</v>
      </c>
      <c r="P392" s="921">
        <f t="shared" si="41"/>
        <v>3</v>
      </c>
    </row>
    <row r="393" spans="1:16" ht="15" hidden="1" customHeight="1">
      <c r="A393" s="839">
        <v>64341106</v>
      </c>
      <c r="B393" s="839">
        <v>2904</v>
      </c>
      <c r="C393" s="906">
        <v>260</v>
      </c>
      <c r="D393" s="907">
        <v>46033</v>
      </c>
      <c r="E393" s="839" t="s">
        <v>293</v>
      </c>
      <c r="F393" s="839" t="s">
        <v>227</v>
      </c>
      <c r="G393" s="916">
        <f>VLOOKUP($A393,'Tech Litons'!$A:$I,8,FALSE)</f>
        <v>5.2680000000000001E-3</v>
      </c>
      <c r="H393" s="917">
        <f>VLOOKUP($A393,'Tech Litons'!$A:$I,9,FALSE)</f>
        <v>130</v>
      </c>
      <c r="I393" s="917" t="str">
        <f>VLOOKUP($A393,'Tech Litons'!$A:$C,3,0)</f>
        <v>PG</v>
      </c>
      <c r="J393" s="918" t="str">
        <f t="shared" si="36"/>
        <v>2904PG</v>
      </c>
      <c r="K393" s="919">
        <v>1</v>
      </c>
      <c r="L393" s="920">
        <f t="shared" si="37"/>
        <v>260</v>
      </c>
      <c r="M393" s="920">
        <f t="shared" si="38"/>
        <v>1.36968</v>
      </c>
      <c r="N393" s="920">
        <f t="shared" si="39"/>
        <v>2</v>
      </c>
      <c r="O393" s="918" t="str">
        <f t="shared" si="40"/>
        <v>Jan</v>
      </c>
      <c r="P393" s="921">
        <f t="shared" si="41"/>
        <v>3</v>
      </c>
    </row>
    <row r="394" spans="1:16" ht="15" hidden="1" customHeight="1">
      <c r="A394" s="839">
        <v>68746232</v>
      </c>
      <c r="B394" s="839">
        <v>2904</v>
      </c>
      <c r="C394" s="906">
        <v>384</v>
      </c>
      <c r="D394" s="907">
        <v>46033</v>
      </c>
      <c r="E394" s="839" t="s">
        <v>508</v>
      </c>
      <c r="F394" s="839" t="s">
        <v>243</v>
      </c>
      <c r="G394" s="916">
        <f>VLOOKUP($A394,'Tech Litons'!$A:$I,8,FALSE)</f>
        <v>8.5199999999999998E-3</v>
      </c>
      <c r="H394" s="917">
        <f>VLOOKUP($A394,'Tech Litons'!$A:$I,9,FALSE)</f>
        <v>132</v>
      </c>
      <c r="I394" s="917" t="str">
        <f>VLOOKUP($A394,'Tech Litons'!$A:$C,3,0)</f>
        <v>EDF</v>
      </c>
      <c r="J394" s="918" t="str">
        <f t="shared" si="36"/>
        <v>2904EDF</v>
      </c>
      <c r="K394" s="919">
        <v>1</v>
      </c>
      <c r="L394" s="920">
        <f t="shared" si="37"/>
        <v>384</v>
      </c>
      <c r="M394" s="920">
        <f t="shared" si="38"/>
        <v>3.2716799999999999</v>
      </c>
      <c r="N394" s="920">
        <f t="shared" si="39"/>
        <v>2.9090909090909092</v>
      </c>
      <c r="O394" s="918" t="str">
        <f t="shared" si="40"/>
        <v>Jan</v>
      </c>
      <c r="P394" s="921">
        <f t="shared" si="41"/>
        <v>3</v>
      </c>
    </row>
    <row r="395" spans="1:16" ht="15" hidden="1" customHeight="1">
      <c r="A395" s="839">
        <v>64393719</v>
      </c>
      <c r="B395" s="839">
        <v>2904</v>
      </c>
      <c r="C395" s="906">
        <v>703</v>
      </c>
      <c r="D395" s="907">
        <v>46033</v>
      </c>
      <c r="E395" s="839" t="s">
        <v>331</v>
      </c>
      <c r="F395" s="839" t="s">
        <v>231</v>
      </c>
      <c r="G395" s="916">
        <f>VLOOKUP($A395,'Tech Litons'!$A:$I,8,FALSE)</f>
        <v>4.2560000000000002E-3</v>
      </c>
      <c r="H395" s="917">
        <f>VLOOKUP($A395,'Tech Litons'!$A:$I,9,FALSE)</f>
        <v>143</v>
      </c>
      <c r="I395" s="917" t="str">
        <f>VLOOKUP($A395,'Tech Litons'!$A:$C,3,0)</f>
        <v>MG Sticks</v>
      </c>
      <c r="J395" s="918" t="str">
        <f t="shared" si="36"/>
        <v>2904MG Sticks</v>
      </c>
      <c r="K395" s="919">
        <v>1</v>
      </c>
      <c r="L395" s="920">
        <f t="shared" si="37"/>
        <v>703</v>
      </c>
      <c r="M395" s="920">
        <f t="shared" si="38"/>
        <v>2.991968</v>
      </c>
      <c r="N395" s="920">
        <f t="shared" si="39"/>
        <v>4.9160839160839158</v>
      </c>
      <c r="O395" s="918" t="str">
        <f t="shared" si="40"/>
        <v>Jan</v>
      </c>
      <c r="P395" s="921">
        <f t="shared" si="41"/>
        <v>3</v>
      </c>
    </row>
    <row r="396" spans="1:16" ht="15" hidden="1" customHeight="1">
      <c r="A396" s="839">
        <v>69690941</v>
      </c>
      <c r="B396" s="839">
        <v>2904</v>
      </c>
      <c r="C396" s="906">
        <v>704</v>
      </c>
      <c r="D396" s="907">
        <v>46033</v>
      </c>
      <c r="E396" s="839" t="s">
        <v>321</v>
      </c>
      <c r="F396" s="839" t="s">
        <v>281</v>
      </c>
      <c r="G396" s="916">
        <f>VLOOKUP($A396,'Tech Litons'!$A:$I,8,FALSE)</f>
        <v>1.98E-3</v>
      </c>
      <c r="H396" s="917">
        <f>VLOOKUP($A396,'Tech Litons'!$A:$I,9,FALSE)</f>
        <v>176</v>
      </c>
      <c r="I396" s="917" t="str">
        <f>VLOOKUP($A396,'Tech Litons'!$A:$C,3,0)</f>
        <v>MG Sticks</v>
      </c>
      <c r="J396" s="918" t="str">
        <f t="shared" si="36"/>
        <v>2904MG Sticks</v>
      </c>
      <c r="K396" s="919">
        <v>1</v>
      </c>
      <c r="L396" s="920">
        <f t="shared" si="37"/>
        <v>704</v>
      </c>
      <c r="M396" s="920">
        <f t="shared" si="38"/>
        <v>1.39392</v>
      </c>
      <c r="N396" s="920">
        <f t="shared" si="39"/>
        <v>4</v>
      </c>
      <c r="O396" s="918" t="str">
        <f t="shared" si="40"/>
        <v>Jan</v>
      </c>
      <c r="P396" s="921">
        <f t="shared" si="41"/>
        <v>3</v>
      </c>
    </row>
    <row r="397" spans="1:16" ht="15" hidden="1" customHeight="1">
      <c r="A397" s="839">
        <v>64369043</v>
      </c>
      <c r="B397" s="839">
        <v>2904</v>
      </c>
      <c r="C397" s="906">
        <v>823</v>
      </c>
      <c r="D397" s="907">
        <v>46033</v>
      </c>
      <c r="E397" s="839" t="s">
        <v>329</v>
      </c>
      <c r="F397" s="839" t="s">
        <v>275</v>
      </c>
      <c r="G397" s="916">
        <f>VLOOKUP($A397,'Tech Litons'!$A:$I,8,FALSE)</f>
        <v>3.552E-3</v>
      </c>
      <c r="H397" s="917">
        <f>VLOOKUP($A397,'Tech Litons'!$A:$I,9,FALSE)</f>
        <v>255</v>
      </c>
      <c r="I397" s="917" t="str">
        <f>VLOOKUP($A397,'Tech Litons'!$A:$C,3,0)</f>
        <v>Talenti</v>
      </c>
      <c r="J397" s="918" t="str">
        <f t="shared" si="36"/>
        <v>2904Talenti</v>
      </c>
      <c r="K397" s="919">
        <v>1</v>
      </c>
      <c r="L397" s="920">
        <f t="shared" si="37"/>
        <v>823</v>
      </c>
      <c r="M397" s="920">
        <f t="shared" si="38"/>
        <v>2.9232960000000001</v>
      </c>
      <c r="N397" s="920">
        <f t="shared" si="39"/>
        <v>3.2274509803921569</v>
      </c>
      <c r="O397" s="918" t="str">
        <f t="shared" si="40"/>
        <v>Jan</v>
      </c>
      <c r="P397" s="921">
        <f t="shared" si="41"/>
        <v>3</v>
      </c>
    </row>
    <row r="398" spans="1:16" ht="15" hidden="1" customHeight="1">
      <c r="A398" s="839">
        <v>68817801</v>
      </c>
      <c r="B398" s="839">
        <v>2904</v>
      </c>
      <c r="C398" s="906">
        <v>1056</v>
      </c>
      <c r="D398" s="907">
        <v>46033</v>
      </c>
      <c r="E398" s="839" t="s">
        <v>333</v>
      </c>
      <c r="F398" s="839" t="s">
        <v>269</v>
      </c>
      <c r="G398" s="916">
        <f>VLOOKUP($A398,'Tech Litons'!$A:$I,8,FALSE)</f>
        <v>8.5199999999999998E-3</v>
      </c>
      <c r="H398" s="917">
        <f>VLOOKUP($A398,'Tech Litons'!$A:$I,9,FALSE)</f>
        <v>176</v>
      </c>
      <c r="I398" s="917" t="str">
        <f>VLOOKUP($A398,'Tech Litons'!$A:$C,3,0)</f>
        <v>48oz</v>
      </c>
      <c r="J398" s="918" t="str">
        <f t="shared" si="36"/>
        <v>290448oz</v>
      </c>
      <c r="K398" s="919">
        <v>1</v>
      </c>
      <c r="L398" s="920">
        <f t="shared" si="37"/>
        <v>1056</v>
      </c>
      <c r="M398" s="920">
        <f t="shared" si="38"/>
        <v>8.9971199999999989</v>
      </c>
      <c r="N398" s="920">
        <f t="shared" si="39"/>
        <v>6</v>
      </c>
      <c r="O398" s="918" t="str">
        <f t="shared" si="40"/>
        <v>Jan</v>
      </c>
      <c r="P398" s="921">
        <f t="shared" si="41"/>
        <v>3</v>
      </c>
    </row>
    <row r="399" spans="1:16" ht="15" hidden="1" customHeight="1">
      <c r="A399" s="839">
        <v>64958122</v>
      </c>
      <c r="B399" s="839">
        <v>2904</v>
      </c>
      <c r="C399" s="906">
        <v>1313</v>
      </c>
      <c r="D399" s="907">
        <v>46033</v>
      </c>
      <c r="E399" s="839" t="s">
        <v>236</v>
      </c>
      <c r="F399" s="839" t="s">
        <v>234</v>
      </c>
      <c r="G399" s="916">
        <f>VLOOKUP($A399,'Tech Litons'!$A:$I,8,FALSE)</f>
        <v>3.3119999999999998E-3</v>
      </c>
      <c r="H399" s="917">
        <f>VLOOKUP($A399,'Tech Litons'!$A:$I,9,FALSE)</f>
        <v>165</v>
      </c>
      <c r="I399" s="917" t="str">
        <f>VLOOKUP($A399,'Tech Litons'!$A:$C,3,0)</f>
        <v>Yasso Sticks</v>
      </c>
      <c r="J399" s="918" t="str">
        <f t="shared" si="36"/>
        <v>2904Yasso Sticks</v>
      </c>
      <c r="K399" s="919">
        <v>1</v>
      </c>
      <c r="L399" s="920">
        <f t="shared" si="37"/>
        <v>1313</v>
      </c>
      <c r="M399" s="920">
        <f t="shared" si="38"/>
        <v>4.3486560000000001</v>
      </c>
      <c r="N399" s="920">
        <f t="shared" si="39"/>
        <v>7.957575757575758</v>
      </c>
      <c r="O399" s="918" t="str">
        <f t="shared" si="40"/>
        <v>Jan</v>
      </c>
      <c r="P399" s="921">
        <f t="shared" si="41"/>
        <v>3</v>
      </c>
    </row>
    <row r="400" spans="1:16" ht="15" hidden="1" customHeight="1">
      <c r="A400" s="839">
        <v>68860059</v>
      </c>
      <c r="B400" s="839">
        <v>2904</v>
      </c>
      <c r="C400" s="906">
        <v>1314</v>
      </c>
      <c r="D400" s="907">
        <v>46033</v>
      </c>
      <c r="E400" s="839" t="s">
        <v>319</v>
      </c>
      <c r="F400" s="839" t="s">
        <v>277</v>
      </c>
      <c r="G400" s="916">
        <f>VLOOKUP($A400,'Tech Litons'!$A:$I,8,FALSE)</f>
        <v>3.7839999999999996E-3</v>
      </c>
      <c r="H400" s="917">
        <f>VLOOKUP($A400,'Tech Litons'!$A:$I,9,FALSE)</f>
        <v>255</v>
      </c>
      <c r="I400" s="917" t="str">
        <f>VLOOKUP($A400,'Tech Litons'!$A:$C,3,0)</f>
        <v>Talenti</v>
      </c>
      <c r="J400" s="918" t="str">
        <f t="shared" si="36"/>
        <v>2904Talenti</v>
      </c>
      <c r="K400" s="919">
        <v>1</v>
      </c>
      <c r="L400" s="920">
        <f t="shared" si="37"/>
        <v>1314</v>
      </c>
      <c r="M400" s="920">
        <f t="shared" si="38"/>
        <v>4.9721759999999993</v>
      </c>
      <c r="N400" s="920">
        <f t="shared" si="39"/>
        <v>5.1529411764705886</v>
      </c>
      <c r="O400" s="918" t="str">
        <f t="shared" si="40"/>
        <v>Jan</v>
      </c>
      <c r="P400" s="921">
        <f t="shared" si="41"/>
        <v>3</v>
      </c>
    </row>
    <row r="401" spans="1:16" ht="15" hidden="1" customHeight="1">
      <c r="A401" s="839">
        <v>68300738</v>
      </c>
      <c r="B401" s="839">
        <v>1352</v>
      </c>
      <c r="C401" s="906">
        <v>1320</v>
      </c>
      <c r="D401" s="907">
        <v>46033</v>
      </c>
      <c r="E401" s="839" t="s">
        <v>325</v>
      </c>
      <c r="F401" s="839" t="s">
        <v>240</v>
      </c>
      <c r="G401" s="916">
        <f>VLOOKUP($A401,'Tech Litons'!$A:$I,8,FALSE)</f>
        <v>8.4960000000000001E-3</v>
      </c>
      <c r="H401" s="917">
        <f>VLOOKUP($A401,'Tech Litons'!$A:$I,9,FALSE)</f>
        <v>132</v>
      </c>
      <c r="I401" s="917" t="str">
        <f>VLOOKUP($A401,'Tech Litons'!$A:$C,3,0)</f>
        <v>EDF</v>
      </c>
      <c r="J401" s="918" t="str">
        <f t="shared" si="36"/>
        <v>1352EDF</v>
      </c>
      <c r="K401" s="919">
        <v>1</v>
      </c>
      <c r="L401" s="920">
        <f t="shared" si="37"/>
        <v>1320</v>
      </c>
      <c r="M401" s="920">
        <f t="shared" si="38"/>
        <v>11.21472</v>
      </c>
      <c r="N401" s="920">
        <f t="shared" si="39"/>
        <v>10</v>
      </c>
      <c r="O401" s="918" t="str">
        <f t="shared" si="40"/>
        <v>Jan</v>
      </c>
      <c r="P401" s="921">
        <f t="shared" si="41"/>
        <v>3</v>
      </c>
    </row>
    <row r="402" spans="1:16" ht="15" hidden="1" customHeight="1">
      <c r="A402" s="839">
        <v>68921994</v>
      </c>
      <c r="B402" s="839">
        <v>1352</v>
      </c>
      <c r="C402" s="906">
        <v>1321</v>
      </c>
      <c r="D402" s="907">
        <v>46033</v>
      </c>
      <c r="E402" s="839" t="s">
        <v>267</v>
      </c>
      <c r="F402" s="839" t="s">
        <v>241</v>
      </c>
      <c r="G402" s="916">
        <f>VLOOKUP($A402,'Tech Litons'!$A:$I,8,FALSE)</f>
        <v>9.5760000000000012E-3</v>
      </c>
      <c r="H402" s="917">
        <f>VLOOKUP($A402,'Tech Litons'!$A:$I,9,FALSE)</f>
        <v>132</v>
      </c>
      <c r="I402" s="917" t="str">
        <f>VLOOKUP($A402,'Tech Litons'!$A:$C,3,0)</f>
        <v>EDF</v>
      </c>
      <c r="J402" s="918" t="str">
        <f t="shared" ref="J402:J465" si="42">B402&amp;I402</f>
        <v>1352EDF</v>
      </c>
      <c r="K402" s="919">
        <v>1</v>
      </c>
      <c r="L402" s="920">
        <f t="shared" ref="L402:L465" si="43">C402*$K402</f>
        <v>1321</v>
      </c>
      <c r="M402" s="920">
        <f t="shared" ref="M402:M465" si="44">L402*G402</f>
        <v>12.649896000000002</v>
      </c>
      <c r="N402" s="920">
        <f t="shared" ref="N402:N465" si="45">L402/H402</f>
        <v>10.007575757575758</v>
      </c>
      <c r="O402" s="918" t="str">
        <f t="shared" ref="O402:O465" si="46">TEXT(D402,"MMM")</f>
        <v>Jan</v>
      </c>
      <c r="P402" s="921">
        <f t="shared" ref="P402:P465" si="47">WEEKNUM(D402)</f>
        <v>3</v>
      </c>
    </row>
    <row r="403" spans="1:16" ht="15" hidden="1" customHeight="1">
      <c r="A403" s="839">
        <v>68689251</v>
      </c>
      <c r="B403" s="839">
        <v>1352</v>
      </c>
      <c r="C403" s="906">
        <v>1328</v>
      </c>
      <c r="D403" s="907">
        <v>46033</v>
      </c>
      <c r="E403" s="839" t="s">
        <v>262</v>
      </c>
      <c r="F403" s="839" t="s">
        <v>240</v>
      </c>
      <c r="G403" s="916">
        <f>VLOOKUP($A403,'Tech Litons'!$A:$I,8,FALSE)</f>
        <v>9.5760000000000012E-3</v>
      </c>
      <c r="H403" s="917">
        <f>VLOOKUP($A403,'Tech Litons'!$A:$I,9,FALSE)</f>
        <v>132</v>
      </c>
      <c r="I403" s="917" t="str">
        <f>VLOOKUP($A403,'Tech Litons'!$A:$C,3,0)</f>
        <v>EDF</v>
      </c>
      <c r="J403" s="918" t="str">
        <f t="shared" si="42"/>
        <v>1352EDF</v>
      </c>
      <c r="K403" s="919">
        <v>1</v>
      </c>
      <c r="L403" s="920">
        <f t="shared" si="43"/>
        <v>1328</v>
      </c>
      <c r="M403" s="920">
        <f t="shared" si="44"/>
        <v>12.716928000000001</v>
      </c>
      <c r="N403" s="920">
        <f t="shared" si="45"/>
        <v>10.060606060606061</v>
      </c>
      <c r="O403" s="918" t="str">
        <f t="shared" si="46"/>
        <v>Jan</v>
      </c>
      <c r="P403" s="921">
        <f t="shared" si="47"/>
        <v>3</v>
      </c>
    </row>
    <row r="404" spans="1:16" ht="15" hidden="1" customHeight="1">
      <c r="A404" s="839">
        <v>69568828</v>
      </c>
      <c r="B404" s="839">
        <v>2904</v>
      </c>
      <c r="C404" s="906">
        <v>1584</v>
      </c>
      <c r="D404" s="907">
        <v>46033</v>
      </c>
      <c r="E404" s="839" t="s">
        <v>320</v>
      </c>
      <c r="F404" s="839" t="s">
        <v>273</v>
      </c>
      <c r="G404" s="916">
        <f>VLOOKUP($A404,'Tech Litons'!$A:$I,8,FALSE)</f>
        <v>8.5199999999999998E-3</v>
      </c>
      <c r="H404" s="917">
        <f>VLOOKUP($A404,'Tech Litons'!$A:$I,9,FALSE)</f>
        <v>176</v>
      </c>
      <c r="I404" s="917" t="str">
        <f>VLOOKUP($A404,'Tech Litons'!$A:$C,3,0)</f>
        <v>48oz</v>
      </c>
      <c r="J404" s="918" t="str">
        <f t="shared" si="42"/>
        <v>290448oz</v>
      </c>
      <c r="K404" s="919">
        <v>1</v>
      </c>
      <c r="L404" s="920">
        <f t="shared" si="43"/>
        <v>1584</v>
      </c>
      <c r="M404" s="920">
        <f t="shared" si="44"/>
        <v>13.49568</v>
      </c>
      <c r="N404" s="920">
        <f t="shared" si="45"/>
        <v>9</v>
      </c>
      <c r="O404" s="918" t="str">
        <f t="shared" si="46"/>
        <v>Jan</v>
      </c>
      <c r="P404" s="921">
        <f t="shared" si="47"/>
        <v>3</v>
      </c>
    </row>
    <row r="405" spans="1:16" ht="15" hidden="1" customHeight="1">
      <c r="A405" s="839">
        <v>64341106</v>
      </c>
      <c r="B405" s="839">
        <v>2904</v>
      </c>
      <c r="C405" s="906">
        <v>1798</v>
      </c>
      <c r="D405" s="907">
        <v>46033</v>
      </c>
      <c r="E405" s="839" t="s">
        <v>293</v>
      </c>
      <c r="F405" s="839" t="s">
        <v>227</v>
      </c>
      <c r="G405" s="916">
        <f>VLOOKUP($A405,'Tech Litons'!$A:$I,8,FALSE)</f>
        <v>5.2680000000000001E-3</v>
      </c>
      <c r="H405" s="917">
        <f>VLOOKUP($A405,'Tech Litons'!$A:$I,9,FALSE)</f>
        <v>130</v>
      </c>
      <c r="I405" s="917" t="str">
        <f>VLOOKUP($A405,'Tech Litons'!$A:$C,3,0)</f>
        <v>PG</v>
      </c>
      <c r="J405" s="918" t="str">
        <f t="shared" si="42"/>
        <v>2904PG</v>
      </c>
      <c r="K405" s="919">
        <v>1</v>
      </c>
      <c r="L405" s="920">
        <f t="shared" si="43"/>
        <v>1798</v>
      </c>
      <c r="M405" s="920">
        <f t="shared" si="44"/>
        <v>9.4718640000000001</v>
      </c>
      <c r="N405" s="920">
        <f t="shared" si="45"/>
        <v>13.830769230769231</v>
      </c>
      <c r="O405" s="918" t="str">
        <f t="shared" si="46"/>
        <v>Jan</v>
      </c>
      <c r="P405" s="921">
        <f t="shared" si="47"/>
        <v>3</v>
      </c>
    </row>
    <row r="406" spans="1:16" ht="15" hidden="1" customHeight="1">
      <c r="A406" s="839">
        <v>68852591</v>
      </c>
      <c r="B406" s="839">
        <v>1352</v>
      </c>
      <c r="C406" s="906">
        <v>2772</v>
      </c>
      <c r="D406" s="907">
        <v>46033</v>
      </c>
      <c r="E406" s="839" t="s">
        <v>326</v>
      </c>
      <c r="F406" s="839" t="s">
        <v>241</v>
      </c>
      <c r="G406" s="916">
        <f>VLOOKUP($A406,'Tech Litons'!$A:$I,8,FALSE)</f>
        <v>8.5199999999999998E-3</v>
      </c>
      <c r="H406" s="917">
        <f>VLOOKUP($A406,'Tech Litons'!$A:$I,9,FALSE)</f>
        <v>132</v>
      </c>
      <c r="I406" s="917" t="str">
        <f>VLOOKUP($A406,'Tech Litons'!$A:$C,3,0)</f>
        <v>EDF</v>
      </c>
      <c r="J406" s="918" t="str">
        <f t="shared" si="42"/>
        <v>1352EDF</v>
      </c>
      <c r="K406" s="919">
        <v>1</v>
      </c>
      <c r="L406" s="920">
        <f t="shared" si="43"/>
        <v>2772</v>
      </c>
      <c r="M406" s="920">
        <f t="shared" si="44"/>
        <v>23.617439999999998</v>
      </c>
      <c r="N406" s="920">
        <f t="shared" si="45"/>
        <v>21</v>
      </c>
      <c r="O406" s="918" t="str">
        <f t="shared" si="46"/>
        <v>Jan</v>
      </c>
      <c r="P406" s="921">
        <f t="shared" si="47"/>
        <v>3</v>
      </c>
    </row>
    <row r="407" spans="1:16" ht="15" hidden="1" customHeight="1">
      <c r="A407" s="839">
        <v>64977530</v>
      </c>
      <c r="B407" s="839">
        <v>1352</v>
      </c>
      <c r="C407" s="906">
        <v>3168</v>
      </c>
      <c r="D407" s="907">
        <v>46033</v>
      </c>
      <c r="E407" s="839" t="s">
        <v>310</v>
      </c>
      <c r="F407" s="839" t="s">
        <v>266</v>
      </c>
      <c r="G407" s="916">
        <f>VLOOKUP($A407,'Tech Litons'!$A:$I,8,FALSE)</f>
        <v>8.513999999999999E-3</v>
      </c>
      <c r="H407" s="917">
        <f>VLOOKUP($A407,'Tech Litons'!$A:$I,9,FALSE)</f>
        <v>176</v>
      </c>
      <c r="I407" s="917" t="str">
        <f>VLOOKUP($A407,'Tech Litons'!$A:$C,3,0)</f>
        <v>48oz</v>
      </c>
      <c r="J407" s="918" t="str">
        <f t="shared" si="42"/>
        <v>135248oz</v>
      </c>
      <c r="K407" s="919">
        <v>1</v>
      </c>
      <c r="L407" s="920">
        <f t="shared" si="43"/>
        <v>3168</v>
      </c>
      <c r="M407" s="920">
        <f t="shared" si="44"/>
        <v>26.972351999999997</v>
      </c>
      <c r="N407" s="920">
        <f t="shared" si="45"/>
        <v>18</v>
      </c>
      <c r="O407" s="918" t="str">
        <f t="shared" si="46"/>
        <v>Jan</v>
      </c>
      <c r="P407" s="921">
        <f t="shared" si="47"/>
        <v>3</v>
      </c>
    </row>
    <row r="408" spans="1:16" ht="15" hidden="1" customHeight="1">
      <c r="A408" s="839">
        <v>64393723</v>
      </c>
      <c r="B408" s="839">
        <v>2904</v>
      </c>
      <c r="C408" s="906">
        <v>3294</v>
      </c>
      <c r="D408" s="907">
        <v>46033</v>
      </c>
      <c r="E408" s="839" t="s">
        <v>317</v>
      </c>
      <c r="F408" s="839" t="s">
        <v>283</v>
      </c>
      <c r="G408" s="916">
        <f>VLOOKUP($A408,'Tech Litons'!$A:$I,8,FALSE)</f>
        <v>2.16E-3</v>
      </c>
      <c r="H408" s="917">
        <f>VLOOKUP($A408,'Tech Litons'!$A:$I,9,FALSE)</f>
        <v>210</v>
      </c>
      <c r="I408" s="917" t="str">
        <f>VLOOKUP($A408,'Tech Litons'!$A:$C,3,0)</f>
        <v>MG Sticks</v>
      </c>
      <c r="J408" s="918" t="str">
        <f t="shared" si="42"/>
        <v>2904MG Sticks</v>
      </c>
      <c r="K408" s="919">
        <v>1</v>
      </c>
      <c r="L408" s="920">
        <f t="shared" si="43"/>
        <v>3294</v>
      </c>
      <c r="M408" s="920">
        <f t="shared" si="44"/>
        <v>7.1150400000000005</v>
      </c>
      <c r="N408" s="920">
        <f t="shared" si="45"/>
        <v>15.685714285714285</v>
      </c>
      <c r="O408" s="918" t="str">
        <f t="shared" si="46"/>
        <v>Jan</v>
      </c>
      <c r="P408" s="921">
        <f t="shared" si="47"/>
        <v>3</v>
      </c>
    </row>
    <row r="409" spans="1:16" ht="15" hidden="1" customHeight="1">
      <c r="A409" s="839">
        <v>68851107</v>
      </c>
      <c r="B409" s="839">
        <v>1352</v>
      </c>
      <c r="C409" s="906">
        <v>3500</v>
      </c>
      <c r="D409" s="907">
        <v>46033</v>
      </c>
      <c r="E409" s="839" t="s">
        <v>272</v>
      </c>
      <c r="F409" s="839" t="s">
        <v>290</v>
      </c>
      <c r="G409" s="916">
        <f>VLOOKUP($A409,'Tech Litons'!$A:$I,8,FALSE)</f>
        <v>8.5199999999999998E-3</v>
      </c>
      <c r="H409" s="917">
        <f>VLOOKUP($A409,'Tech Litons'!$A:$I,9,FALSE)</f>
        <v>176</v>
      </c>
      <c r="I409" s="917" t="str">
        <f>VLOOKUP($A409,'Tech Litons'!$A:$C,3,0)</f>
        <v>48oz</v>
      </c>
      <c r="J409" s="918" t="str">
        <f t="shared" si="42"/>
        <v>135248oz</v>
      </c>
      <c r="K409" s="919">
        <v>1</v>
      </c>
      <c r="L409" s="920">
        <f t="shared" si="43"/>
        <v>3500</v>
      </c>
      <c r="M409" s="920">
        <f t="shared" si="44"/>
        <v>29.82</v>
      </c>
      <c r="N409" s="920">
        <f t="shared" si="45"/>
        <v>19.886363636363637</v>
      </c>
      <c r="O409" s="918" t="str">
        <f t="shared" si="46"/>
        <v>Jan</v>
      </c>
      <c r="P409" s="921">
        <f t="shared" si="47"/>
        <v>3</v>
      </c>
    </row>
    <row r="410" spans="1:16" ht="15" hidden="1" customHeight="1">
      <c r="A410" s="839">
        <v>64393719</v>
      </c>
      <c r="B410" s="839">
        <v>2904</v>
      </c>
      <c r="C410" s="906">
        <v>3708</v>
      </c>
      <c r="D410" s="907">
        <v>46033</v>
      </c>
      <c r="E410" s="839" t="s">
        <v>331</v>
      </c>
      <c r="F410" s="839" t="s">
        <v>231</v>
      </c>
      <c r="G410" s="916">
        <f>VLOOKUP($A410,'Tech Litons'!$A:$I,8,FALSE)</f>
        <v>4.2560000000000002E-3</v>
      </c>
      <c r="H410" s="917">
        <f>VLOOKUP($A410,'Tech Litons'!$A:$I,9,FALSE)</f>
        <v>143</v>
      </c>
      <c r="I410" s="917" t="str">
        <f>VLOOKUP($A410,'Tech Litons'!$A:$C,3,0)</f>
        <v>MG Sticks</v>
      </c>
      <c r="J410" s="918" t="str">
        <f t="shared" si="42"/>
        <v>2904MG Sticks</v>
      </c>
      <c r="K410" s="919">
        <v>1</v>
      </c>
      <c r="L410" s="920">
        <f t="shared" si="43"/>
        <v>3708</v>
      </c>
      <c r="M410" s="920">
        <f t="shared" si="44"/>
        <v>15.781248000000001</v>
      </c>
      <c r="N410" s="920">
        <f t="shared" si="45"/>
        <v>25.93006993006993</v>
      </c>
      <c r="O410" s="918" t="str">
        <f t="shared" si="46"/>
        <v>Jan</v>
      </c>
      <c r="P410" s="921">
        <f t="shared" si="47"/>
        <v>3</v>
      </c>
    </row>
    <row r="411" spans="1:16" ht="15" hidden="1" customHeight="1">
      <c r="A411" s="839">
        <v>64369043</v>
      </c>
      <c r="B411" s="839">
        <v>2904</v>
      </c>
      <c r="C411" s="906">
        <v>4132</v>
      </c>
      <c r="D411" s="907">
        <v>46033</v>
      </c>
      <c r="E411" s="839" t="s">
        <v>329</v>
      </c>
      <c r="F411" s="839" t="s">
        <v>275</v>
      </c>
      <c r="G411" s="916">
        <f>VLOOKUP($A411,'Tech Litons'!$A:$I,8,FALSE)</f>
        <v>3.552E-3</v>
      </c>
      <c r="H411" s="917">
        <f>VLOOKUP($A411,'Tech Litons'!$A:$I,9,FALSE)</f>
        <v>255</v>
      </c>
      <c r="I411" s="917" t="str">
        <f>VLOOKUP($A411,'Tech Litons'!$A:$C,3,0)</f>
        <v>Talenti</v>
      </c>
      <c r="J411" s="918" t="str">
        <f t="shared" si="42"/>
        <v>2904Talenti</v>
      </c>
      <c r="K411" s="919">
        <v>1</v>
      </c>
      <c r="L411" s="920">
        <f t="shared" si="43"/>
        <v>4132</v>
      </c>
      <c r="M411" s="920">
        <f t="shared" si="44"/>
        <v>14.676864</v>
      </c>
      <c r="N411" s="920">
        <f t="shared" si="45"/>
        <v>16.20392156862745</v>
      </c>
      <c r="O411" s="918" t="str">
        <f t="shared" si="46"/>
        <v>Jan</v>
      </c>
      <c r="P411" s="921">
        <f t="shared" si="47"/>
        <v>3</v>
      </c>
    </row>
    <row r="412" spans="1:16" ht="15" hidden="1" customHeight="1">
      <c r="A412" s="839">
        <v>68689251</v>
      </c>
      <c r="B412" s="839">
        <v>1352</v>
      </c>
      <c r="C412" s="906">
        <v>4173</v>
      </c>
      <c r="D412" s="907">
        <v>46033</v>
      </c>
      <c r="E412" s="839" t="s">
        <v>262</v>
      </c>
      <c r="F412" s="839" t="s">
        <v>242</v>
      </c>
      <c r="G412" s="916">
        <f>VLOOKUP($A412,'Tech Litons'!$A:$I,8,FALSE)</f>
        <v>9.5760000000000012E-3</v>
      </c>
      <c r="H412" s="917">
        <f>VLOOKUP($A412,'Tech Litons'!$A:$I,9,FALSE)</f>
        <v>132</v>
      </c>
      <c r="I412" s="917" t="str">
        <f>VLOOKUP($A412,'Tech Litons'!$A:$C,3,0)</f>
        <v>EDF</v>
      </c>
      <c r="J412" s="918" t="str">
        <f t="shared" si="42"/>
        <v>1352EDF</v>
      </c>
      <c r="K412" s="919">
        <v>1</v>
      </c>
      <c r="L412" s="920">
        <f t="shared" si="43"/>
        <v>4173</v>
      </c>
      <c r="M412" s="920">
        <f t="shared" si="44"/>
        <v>39.960648000000006</v>
      </c>
      <c r="N412" s="920">
        <f t="shared" si="45"/>
        <v>31.613636363636363</v>
      </c>
      <c r="O412" s="918" t="str">
        <f t="shared" si="46"/>
        <v>Jan</v>
      </c>
      <c r="P412" s="921">
        <f t="shared" si="47"/>
        <v>3</v>
      </c>
    </row>
    <row r="413" spans="1:16" ht="15" hidden="1" customHeight="1">
      <c r="A413" s="839">
        <v>69690941</v>
      </c>
      <c r="B413" s="839">
        <v>2904</v>
      </c>
      <c r="C413" s="906">
        <v>4448</v>
      </c>
      <c r="D413" s="907">
        <v>46033</v>
      </c>
      <c r="E413" s="839" t="s">
        <v>321</v>
      </c>
      <c r="F413" s="839" t="s">
        <v>281</v>
      </c>
      <c r="G413" s="916">
        <f>VLOOKUP($A413,'Tech Litons'!$A:$I,8,FALSE)</f>
        <v>1.98E-3</v>
      </c>
      <c r="H413" s="917">
        <f>VLOOKUP($A413,'Tech Litons'!$A:$I,9,FALSE)</f>
        <v>176</v>
      </c>
      <c r="I413" s="917" t="str">
        <f>VLOOKUP($A413,'Tech Litons'!$A:$C,3,0)</f>
        <v>MG Sticks</v>
      </c>
      <c r="J413" s="918" t="str">
        <f t="shared" si="42"/>
        <v>2904MG Sticks</v>
      </c>
      <c r="K413" s="919">
        <v>1</v>
      </c>
      <c r="L413" s="920">
        <f t="shared" si="43"/>
        <v>4448</v>
      </c>
      <c r="M413" s="920">
        <f t="shared" si="44"/>
        <v>8.8070400000000006</v>
      </c>
      <c r="N413" s="920">
        <f t="shared" si="45"/>
        <v>25.272727272727273</v>
      </c>
      <c r="O413" s="918" t="str">
        <f t="shared" si="46"/>
        <v>Jan</v>
      </c>
      <c r="P413" s="921">
        <f t="shared" si="47"/>
        <v>3</v>
      </c>
    </row>
    <row r="414" spans="1:16" ht="15" hidden="1" customHeight="1">
      <c r="A414" s="839">
        <v>64958122</v>
      </c>
      <c r="B414" s="839">
        <v>2904</v>
      </c>
      <c r="C414" s="906">
        <v>6435</v>
      </c>
      <c r="D414" s="907">
        <v>46033</v>
      </c>
      <c r="E414" s="839" t="s">
        <v>236</v>
      </c>
      <c r="F414" s="839" t="s">
        <v>234</v>
      </c>
      <c r="G414" s="916">
        <f>VLOOKUP($A414,'Tech Litons'!$A:$I,8,FALSE)</f>
        <v>3.3119999999999998E-3</v>
      </c>
      <c r="H414" s="917">
        <f>VLOOKUP($A414,'Tech Litons'!$A:$I,9,FALSE)</f>
        <v>165</v>
      </c>
      <c r="I414" s="917" t="str">
        <f>VLOOKUP($A414,'Tech Litons'!$A:$C,3,0)</f>
        <v>Yasso Sticks</v>
      </c>
      <c r="J414" s="918" t="str">
        <f t="shared" si="42"/>
        <v>2904Yasso Sticks</v>
      </c>
      <c r="K414" s="919">
        <v>1</v>
      </c>
      <c r="L414" s="920">
        <f t="shared" si="43"/>
        <v>6435</v>
      </c>
      <c r="M414" s="920">
        <f t="shared" si="44"/>
        <v>21.312719999999999</v>
      </c>
      <c r="N414" s="920">
        <f t="shared" si="45"/>
        <v>39</v>
      </c>
      <c r="O414" s="918" t="str">
        <f t="shared" si="46"/>
        <v>Jan</v>
      </c>
      <c r="P414" s="921">
        <f t="shared" si="47"/>
        <v>3</v>
      </c>
    </row>
    <row r="415" spans="1:16" ht="15" hidden="1" customHeight="1">
      <c r="A415" s="839">
        <v>64977530</v>
      </c>
      <c r="B415" s="839">
        <v>1352</v>
      </c>
      <c r="C415" s="906">
        <v>7045</v>
      </c>
      <c r="D415" s="907">
        <v>46033</v>
      </c>
      <c r="E415" s="839" t="s">
        <v>310</v>
      </c>
      <c r="F415" s="839" t="s">
        <v>266</v>
      </c>
      <c r="G415" s="916">
        <f>VLOOKUP($A415,'Tech Litons'!$A:$I,8,FALSE)</f>
        <v>8.513999999999999E-3</v>
      </c>
      <c r="H415" s="917">
        <f>VLOOKUP($A415,'Tech Litons'!$A:$I,9,FALSE)</f>
        <v>176</v>
      </c>
      <c r="I415" s="917" t="str">
        <f>VLOOKUP($A415,'Tech Litons'!$A:$C,3,0)</f>
        <v>48oz</v>
      </c>
      <c r="J415" s="918" t="str">
        <f t="shared" si="42"/>
        <v>135248oz</v>
      </c>
      <c r="K415" s="919">
        <v>1</v>
      </c>
      <c r="L415" s="920">
        <f t="shared" si="43"/>
        <v>7045</v>
      </c>
      <c r="M415" s="920">
        <f t="shared" si="44"/>
        <v>59.981129999999993</v>
      </c>
      <c r="N415" s="920">
        <f t="shared" si="45"/>
        <v>40.028409090909093</v>
      </c>
      <c r="O415" s="918" t="str">
        <f t="shared" si="46"/>
        <v>Jan</v>
      </c>
      <c r="P415" s="921">
        <f t="shared" si="47"/>
        <v>3</v>
      </c>
    </row>
    <row r="416" spans="1:16" ht="15" hidden="1" customHeight="1">
      <c r="A416" s="839">
        <v>69568828</v>
      </c>
      <c r="B416" s="839">
        <v>2904</v>
      </c>
      <c r="C416" s="906">
        <v>7419</v>
      </c>
      <c r="D416" s="907">
        <v>46033</v>
      </c>
      <c r="E416" s="839" t="s">
        <v>320</v>
      </c>
      <c r="F416" s="839" t="s">
        <v>271</v>
      </c>
      <c r="G416" s="916">
        <f>VLOOKUP($A416,'Tech Litons'!$A:$I,8,FALSE)</f>
        <v>8.5199999999999998E-3</v>
      </c>
      <c r="H416" s="917">
        <f>VLOOKUP($A416,'Tech Litons'!$A:$I,9,FALSE)</f>
        <v>176</v>
      </c>
      <c r="I416" s="917" t="str">
        <f>VLOOKUP($A416,'Tech Litons'!$A:$C,3,0)</f>
        <v>48oz</v>
      </c>
      <c r="J416" s="918" t="str">
        <f t="shared" si="42"/>
        <v>290448oz</v>
      </c>
      <c r="K416" s="919">
        <v>1</v>
      </c>
      <c r="L416" s="920">
        <f t="shared" si="43"/>
        <v>7419</v>
      </c>
      <c r="M416" s="920">
        <f t="shared" si="44"/>
        <v>63.209879999999998</v>
      </c>
      <c r="N416" s="920">
        <f t="shared" si="45"/>
        <v>42.153409090909093</v>
      </c>
      <c r="O416" s="918" t="str">
        <f t="shared" si="46"/>
        <v>Jan</v>
      </c>
      <c r="P416" s="921">
        <f t="shared" si="47"/>
        <v>3</v>
      </c>
    </row>
    <row r="417" spans="1:16" ht="15" hidden="1" customHeight="1">
      <c r="A417" s="839">
        <v>68817801</v>
      </c>
      <c r="B417" s="839">
        <v>2904</v>
      </c>
      <c r="C417" s="906">
        <v>7568</v>
      </c>
      <c r="D417" s="907">
        <v>46033</v>
      </c>
      <c r="E417" s="839" t="s">
        <v>333</v>
      </c>
      <c r="F417" s="839" t="s">
        <v>269</v>
      </c>
      <c r="G417" s="916">
        <f>VLOOKUP($A417,'Tech Litons'!$A:$I,8,FALSE)</f>
        <v>8.5199999999999998E-3</v>
      </c>
      <c r="H417" s="917">
        <f>VLOOKUP($A417,'Tech Litons'!$A:$I,9,FALSE)</f>
        <v>176</v>
      </c>
      <c r="I417" s="917" t="str">
        <f>VLOOKUP($A417,'Tech Litons'!$A:$C,3,0)</f>
        <v>48oz</v>
      </c>
      <c r="J417" s="918" t="str">
        <f t="shared" si="42"/>
        <v>290448oz</v>
      </c>
      <c r="K417" s="919">
        <v>1</v>
      </c>
      <c r="L417" s="920">
        <f t="shared" si="43"/>
        <v>7568</v>
      </c>
      <c r="M417" s="920">
        <f t="shared" si="44"/>
        <v>64.47936</v>
      </c>
      <c r="N417" s="920">
        <f t="shared" si="45"/>
        <v>43</v>
      </c>
      <c r="O417" s="918" t="str">
        <f t="shared" si="46"/>
        <v>Jan</v>
      </c>
      <c r="P417" s="921">
        <f t="shared" si="47"/>
        <v>3</v>
      </c>
    </row>
    <row r="418" spans="1:16" ht="15" hidden="1" customHeight="1">
      <c r="A418" s="839">
        <v>68851107</v>
      </c>
      <c r="B418" s="839">
        <v>1352</v>
      </c>
      <c r="C418" s="906">
        <v>7918</v>
      </c>
      <c r="D418" s="907">
        <v>46033</v>
      </c>
      <c r="E418" s="839" t="s">
        <v>272</v>
      </c>
      <c r="F418" s="839" t="s">
        <v>290</v>
      </c>
      <c r="G418" s="916">
        <f>VLOOKUP($A418,'Tech Litons'!$A:$I,8,FALSE)</f>
        <v>8.5199999999999998E-3</v>
      </c>
      <c r="H418" s="917">
        <f>VLOOKUP($A418,'Tech Litons'!$A:$I,9,FALSE)</f>
        <v>176</v>
      </c>
      <c r="I418" s="917" t="str">
        <f>VLOOKUP($A418,'Tech Litons'!$A:$C,3,0)</f>
        <v>48oz</v>
      </c>
      <c r="J418" s="918" t="str">
        <f t="shared" si="42"/>
        <v>135248oz</v>
      </c>
      <c r="K418" s="919">
        <v>1</v>
      </c>
      <c r="L418" s="920">
        <f t="shared" si="43"/>
        <v>7918</v>
      </c>
      <c r="M418" s="920">
        <f t="shared" si="44"/>
        <v>67.461359999999999</v>
      </c>
      <c r="N418" s="920">
        <f t="shared" si="45"/>
        <v>44.988636363636367</v>
      </c>
      <c r="O418" s="918" t="str">
        <f t="shared" si="46"/>
        <v>Jan</v>
      </c>
      <c r="P418" s="921">
        <f t="shared" si="47"/>
        <v>3</v>
      </c>
    </row>
    <row r="419" spans="1:16" ht="15" hidden="1" customHeight="1">
      <c r="A419" s="839">
        <v>84141103</v>
      </c>
      <c r="B419" s="839">
        <v>5911</v>
      </c>
      <c r="C419" s="906">
        <v>8297</v>
      </c>
      <c r="D419" s="907">
        <v>46033</v>
      </c>
      <c r="E419" s="839" t="s">
        <v>314</v>
      </c>
      <c r="F419" s="839" t="s">
        <v>301</v>
      </c>
      <c r="G419" s="916">
        <f>VLOOKUP($A419,'Tech Litons'!$A:$I,8,FALSE)</f>
        <v>3.7853439999999999E-3</v>
      </c>
      <c r="H419" s="917">
        <f>VLOOKUP($A419,'Tech Litons'!$A:$I,9,FALSE)</f>
        <v>240</v>
      </c>
      <c r="I419" s="917" t="str">
        <f>VLOOKUP($A419,'Tech Litons'!$A:$C,3,0)</f>
        <v>BJ PTS</v>
      </c>
      <c r="J419" s="918" t="str">
        <f t="shared" si="42"/>
        <v>5911BJ PTS</v>
      </c>
      <c r="K419" s="919">
        <v>1</v>
      </c>
      <c r="L419" s="920">
        <f t="shared" si="43"/>
        <v>8297</v>
      </c>
      <c r="M419" s="920">
        <f t="shared" si="44"/>
        <v>31.406999167999999</v>
      </c>
      <c r="N419" s="920">
        <f t="shared" si="45"/>
        <v>34.570833333333333</v>
      </c>
      <c r="O419" s="918" t="str">
        <f t="shared" si="46"/>
        <v>Jan</v>
      </c>
      <c r="P419" s="921">
        <f t="shared" si="47"/>
        <v>3</v>
      </c>
    </row>
    <row r="420" spans="1:16" ht="15" hidden="1" customHeight="1">
      <c r="A420" s="839">
        <v>68860059</v>
      </c>
      <c r="B420" s="839">
        <v>2904</v>
      </c>
      <c r="C420" s="906">
        <v>12709</v>
      </c>
      <c r="D420" s="907">
        <v>46033</v>
      </c>
      <c r="E420" s="839" t="s">
        <v>319</v>
      </c>
      <c r="F420" s="839" t="s">
        <v>277</v>
      </c>
      <c r="G420" s="916">
        <f>VLOOKUP($A420,'Tech Litons'!$A:$I,8,FALSE)</f>
        <v>3.7839999999999996E-3</v>
      </c>
      <c r="H420" s="917">
        <f>VLOOKUP($A420,'Tech Litons'!$A:$I,9,FALSE)</f>
        <v>255</v>
      </c>
      <c r="I420" s="917" t="str">
        <f>VLOOKUP($A420,'Tech Litons'!$A:$C,3,0)</f>
        <v>Talenti</v>
      </c>
      <c r="J420" s="918" t="str">
        <f t="shared" si="42"/>
        <v>2904Talenti</v>
      </c>
      <c r="K420" s="919">
        <v>1</v>
      </c>
      <c r="L420" s="920">
        <f t="shared" si="43"/>
        <v>12709</v>
      </c>
      <c r="M420" s="920">
        <f t="shared" si="44"/>
        <v>48.090855999999995</v>
      </c>
      <c r="N420" s="920">
        <f t="shared" si="45"/>
        <v>49.839215686274507</v>
      </c>
      <c r="O420" s="918" t="str">
        <f t="shared" si="46"/>
        <v>Jan</v>
      </c>
      <c r="P420" s="921">
        <f t="shared" si="47"/>
        <v>3</v>
      </c>
    </row>
    <row r="421" spans="1:16" ht="15" hidden="1" customHeight="1">
      <c r="A421" s="839">
        <v>69568828</v>
      </c>
      <c r="B421" s="839">
        <v>2904</v>
      </c>
      <c r="C421" s="906">
        <v>12892</v>
      </c>
      <c r="D421" s="907">
        <v>46033</v>
      </c>
      <c r="E421" s="839" t="s">
        <v>320</v>
      </c>
      <c r="F421" s="839" t="s">
        <v>273</v>
      </c>
      <c r="G421" s="916">
        <f>VLOOKUP($A421,'Tech Litons'!$A:$I,8,FALSE)</f>
        <v>8.5199999999999998E-3</v>
      </c>
      <c r="H421" s="917">
        <f>VLOOKUP($A421,'Tech Litons'!$A:$I,9,FALSE)</f>
        <v>176</v>
      </c>
      <c r="I421" s="917" t="str">
        <f>VLOOKUP($A421,'Tech Litons'!$A:$C,3,0)</f>
        <v>48oz</v>
      </c>
      <c r="J421" s="918" t="str">
        <f t="shared" si="42"/>
        <v>290448oz</v>
      </c>
      <c r="K421" s="919">
        <v>1</v>
      </c>
      <c r="L421" s="920">
        <f t="shared" si="43"/>
        <v>12892</v>
      </c>
      <c r="M421" s="920">
        <f t="shared" si="44"/>
        <v>109.83984</v>
      </c>
      <c r="N421" s="920">
        <f t="shared" si="45"/>
        <v>73.25</v>
      </c>
      <c r="O421" s="918" t="str">
        <f t="shared" si="46"/>
        <v>Jan</v>
      </c>
      <c r="P421" s="921">
        <f t="shared" si="47"/>
        <v>3</v>
      </c>
    </row>
    <row r="422" spans="1:16" ht="15" hidden="1" customHeight="1">
      <c r="A422" s="839">
        <v>67826412</v>
      </c>
      <c r="B422" s="839">
        <v>5911</v>
      </c>
      <c r="C422" s="906">
        <v>17750</v>
      </c>
      <c r="D422" s="907">
        <v>46033</v>
      </c>
      <c r="E422" s="839" t="s">
        <v>312</v>
      </c>
      <c r="F422" s="839" t="s">
        <v>303</v>
      </c>
      <c r="G422" s="916">
        <f>VLOOKUP($A422,'Tech Litons'!$A:$I,8,FALSE)</f>
        <v>3.7853439999999999E-3</v>
      </c>
      <c r="H422" s="917">
        <f>VLOOKUP($A422,'Tech Litons'!$A:$I,9,FALSE)</f>
        <v>240</v>
      </c>
      <c r="I422" s="917" t="str">
        <f>VLOOKUP($A422,'Tech Litons'!$A:$C,3,0)</f>
        <v>BJ PTS</v>
      </c>
      <c r="J422" s="918" t="str">
        <f t="shared" si="42"/>
        <v>5911BJ PTS</v>
      </c>
      <c r="K422" s="919">
        <v>1</v>
      </c>
      <c r="L422" s="920">
        <f t="shared" si="43"/>
        <v>17750</v>
      </c>
      <c r="M422" s="920">
        <f t="shared" si="44"/>
        <v>67.189856000000006</v>
      </c>
      <c r="N422" s="920">
        <f t="shared" si="45"/>
        <v>73.958333333333329</v>
      </c>
      <c r="O422" s="918" t="str">
        <f t="shared" si="46"/>
        <v>Jan</v>
      </c>
      <c r="P422" s="921">
        <f t="shared" si="47"/>
        <v>3</v>
      </c>
    </row>
    <row r="423" spans="1:16" ht="15" hidden="1" customHeight="1">
      <c r="A423" s="839">
        <v>67430513</v>
      </c>
      <c r="B423" s="839">
        <v>5914</v>
      </c>
      <c r="C423" s="906">
        <v>-240</v>
      </c>
      <c r="D423" s="907">
        <v>46034</v>
      </c>
      <c r="E423" s="839" t="s">
        <v>308</v>
      </c>
      <c r="F423" s="839" t="s">
        <v>303</v>
      </c>
      <c r="G423" s="916">
        <f>VLOOKUP($A423,'Tech Litons'!$A:$I,8,FALSE)</f>
        <v>3.7839999999999996E-3</v>
      </c>
      <c r="H423" s="917">
        <f>VLOOKUP($A423,'Tech Litons'!$A:$I,9,FALSE)</f>
        <v>240</v>
      </c>
      <c r="I423" s="917" t="str">
        <f>VLOOKUP($A423,'Tech Litons'!$A:$C,3,0)</f>
        <v>BJ PTS</v>
      </c>
      <c r="J423" s="918" t="str">
        <f t="shared" si="42"/>
        <v>5914BJ PTS</v>
      </c>
      <c r="K423" s="919">
        <v>1</v>
      </c>
      <c r="L423" s="920">
        <f t="shared" si="43"/>
        <v>-240</v>
      </c>
      <c r="M423" s="920">
        <f t="shared" si="44"/>
        <v>-0.90815999999999986</v>
      </c>
      <c r="N423" s="920">
        <f t="shared" si="45"/>
        <v>-1</v>
      </c>
      <c r="O423" s="918" t="str">
        <f t="shared" si="46"/>
        <v>Jan</v>
      </c>
      <c r="P423" s="921">
        <f t="shared" si="47"/>
        <v>3</v>
      </c>
    </row>
    <row r="424" spans="1:16" ht="15" hidden="1" customHeight="1">
      <c r="A424" s="839">
        <v>67826412</v>
      </c>
      <c r="B424" s="839">
        <v>5911</v>
      </c>
      <c r="C424" s="906">
        <v>-230</v>
      </c>
      <c r="D424" s="907">
        <v>46034</v>
      </c>
      <c r="E424" s="839" t="s">
        <v>312</v>
      </c>
      <c r="F424" s="839" t="s">
        <v>303</v>
      </c>
      <c r="G424" s="916">
        <f>VLOOKUP($A424,'Tech Litons'!$A:$I,8,FALSE)</f>
        <v>3.7853439999999999E-3</v>
      </c>
      <c r="H424" s="917">
        <f>VLOOKUP($A424,'Tech Litons'!$A:$I,9,FALSE)</f>
        <v>240</v>
      </c>
      <c r="I424" s="917" t="str">
        <f>VLOOKUP($A424,'Tech Litons'!$A:$C,3,0)</f>
        <v>BJ PTS</v>
      </c>
      <c r="J424" s="918" t="str">
        <f t="shared" si="42"/>
        <v>5911BJ PTS</v>
      </c>
      <c r="K424" s="919">
        <v>1</v>
      </c>
      <c r="L424" s="920">
        <f t="shared" si="43"/>
        <v>-230</v>
      </c>
      <c r="M424" s="920">
        <f t="shared" si="44"/>
        <v>-0.87062912000000003</v>
      </c>
      <c r="N424" s="920">
        <f t="shared" si="45"/>
        <v>-0.95833333333333337</v>
      </c>
      <c r="O424" s="918" t="str">
        <f t="shared" si="46"/>
        <v>Jan</v>
      </c>
      <c r="P424" s="921">
        <f t="shared" si="47"/>
        <v>3</v>
      </c>
    </row>
    <row r="425" spans="1:16" ht="15" hidden="1" customHeight="1">
      <c r="A425" s="839">
        <v>84161610</v>
      </c>
      <c r="B425" s="839">
        <v>5914</v>
      </c>
      <c r="C425" s="906">
        <v>-204</v>
      </c>
      <c r="D425" s="907">
        <v>46034</v>
      </c>
      <c r="E425" s="839" t="s">
        <v>309</v>
      </c>
      <c r="F425" s="839" t="s">
        <v>301</v>
      </c>
      <c r="G425" s="916">
        <f>VLOOKUP($A425,'Tech Litons'!$A:$I,8,FALSE)</f>
        <v>3.7853439999999999E-3</v>
      </c>
      <c r="H425" s="917">
        <f>VLOOKUP($A425,'Tech Litons'!$A:$I,9,FALSE)</f>
        <v>240</v>
      </c>
      <c r="I425" s="917" t="str">
        <f>VLOOKUP($A425,'Tech Litons'!$A:$C,3,0)</f>
        <v>BJ PTS</v>
      </c>
      <c r="J425" s="918" t="str">
        <f t="shared" si="42"/>
        <v>5914BJ PTS</v>
      </c>
      <c r="K425" s="919">
        <v>1</v>
      </c>
      <c r="L425" s="920">
        <f t="shared" si="43"/>
        <v>-204</v>
      </c>
      <c r="M425" s="920">
        <f t="shared" si="44"/>
        <v>-0.77221017599999997</v>
      </c>
      <c r="N425" s="920">
        <f t="shared" si="45"/>
        <v>-0.85</v>
      </c>
      <c r="O425" s="918" t="str">
        <f t="shared" si="46"/>
        <v>Jan</v>
      </c>
      <c r="P425" s="921">
        <f t="shared" si="47"/>
        <v>3</v>
      </c>
    </row>
    <row r="426" spans="1:16" ht="15" hidden="1" customHeight="1">
      <c r="A426" s="839">
        <v>68746232</v>
      </c>
      <c r="B426" s="839">
        <v>2904</v>
      </c>
      <c r="C426" s="906">
        <v>31</v>
      </c>
      <c r="D426" s="907">
        <v>46034</v>
      </c>
      <c r="E426" s="839" t="s">
        <v>508</v>
      </c>
      <c r="F426" s="839" t="s">
        <v>243</v>
      </c>
      <c r="G426" s="916">
        <f>VLOOKUP($A426,'Tech Litons'!$A:$I,8,FALSE)</f>
        <v>8.5199999999999998E-3</v>
      </c>
      <c r="H426" s="917">
        <f>VLOOKUP($A426,'Tech Litons'!$A:$I,9,FALSE)</f>
        <v>132</v>
      </c>
      <c r="I426" s="917" t="str">
        <f>VLOOKUP($A426,'Tech Litons'!$A:$C,3,0)</f>
        <v>EDF</v>
      </c>
      <c r="J426" s="918" t="str">
        <f t="shared" si="42"/>
        <v>2904EDF</v>
      </c>
      <c r="K426" s="919">
        <v>1</v>
      </c>
      <c r="L426" s="920">
        <f t="shared" si="43"/>
        <v>31</v>
      </c>
      <c r="M426" s="920">
        <f t="shared" si="44"/>
        <v>0.26412000000000002</v>
      </c>
      <c r="N426" s="920">
        <f t="shared" si="45"/>
        <v>0.23484848484848486</v>
      </c>
      <c r="O426" s="918" t="str">
        <f t="shared" si="46"/>
        <v>Jan</v>
      </c>
      <c r="P426" s="921">
        <f t="shared" si="47"/>
        <v>3</v>
      </c>
    </row>
    <row r="427" spans="1:16" ht="15" hidden="1" customHeight="1">
      <c r="A427" s="839">
        <v>68741742</v>
      </c>
      <c r="B427" s="839">
        <v>2904</v>
      </c>
      <c r="C427" s="906">
        <v>44</v>
      </c>
      <c r="D427" s="907">
        <v>46034</v>
      </c>
      <c r="E427" s="839" t="s">
        <v>288</v>
      </c>
      <c r="F427" s="839" t="s">
        <v>295</v>
      </c>
      <c r="G427" s="916">
        <f>VLOOKUP($A427,'Tech Litons'!$A:$I,8,FALSE)</f>
        <v>4.2560000000000002E-3</v>
      </c>
      <c r="H427" s="917">
        <f>VLOOKUP($A427,'Tech Litons'!$A:$I,9,FALSE)</f>
        <v>154</v>
      </c>
      <c r="I427" s="917" t="str">
        <f>VLOOKUP($A427,'Tech Litons'!$A:$C,3,0)</f>
        <v>MBG</v>
      </c>
      <c r="J427" s="918" t="str">
        <f t="shared" si="42"/>
        <v>2904MBG</v>
      </c>
      <c r="K427" s="919">
        <v>1</v>
      </c>
      <c r="L427" s="920">
        <f t="shared" si="43"/>
        <v>44</v>
      </c>
      <c r="M427" s="920">
        <f t="shared" si="44"/>
        <v>0.18726400000000001</v>
      </c>
      <c r="N427" s="920">
        <f t="shared" si="45"/>
        <v>0.2857142857142857</v>
      </c>
      <c r="O427" s="918" t="str">
        <f t="shared" si="46"/>
        <v>Jan</v>
      </c>
      <c r="P427" s="921">
        <f t="shared" si="47"/>
        <v>3</v>
      </c>
    </row>
    <row r="428" spans="1:16" ht="15" hidden="1" customHeight="1">
      <c r="A428" s="839">
        <v>68851108</v>
      </c>
      <c r="B428" s="839">
        <v>2904</v>
      </c>
      <c r="C428" s="906">
        <v>73</v>
      </c>
      <c r="D428" s="907">
        <v>46034</v>
      </c>
      <c r="E428" s="839" t="s">
        <v>296</v>
      </c>
      <c r="F428" s="839" t="s">
        <v>273</v>
      </c>
      <c r="G428" s="916">
        <f>VLOOKUP($A428,'Tech Litons'!$A:$I,8,FALSE)</f>
        <v>8.5199999999999998E-3</v>
      </c>
      <c r="H428" s="917">
        <f>VLOOKUP($A428,'Tech Litons'!$A:$I,9,FALSE)</f>
        <v>176</v>
      </c>
      <c r="I428" s="917" t="str">
        <f>VLOOKUP($A428,'Tech Litons'!$A:$C,3,0)</f>
        <v>48oz</v>
      </c>
      <c r="J428" s="918" t="str">
        <f t="shared" si="42"/>
        <v>290448oz</v>
      </c>
      <c r="K428" s="919">
        <v>1</v>
      </c>
      <c r="L428" s="920">
        <f t="shared" si="43"/>
        <v>73</v>
      </c>
      <c r="M428" s="920">
        <f t="shared" si="44"/>
        <v>0.62195999999999996</v>
      </c>
      <c r="N428" s="920">
        <f t="shared" si="45"/>
        <v>0.41477272727272729</v>
      </c>
      <c r="O428" s="918" t="str">
        <f t="shared" si="46"/>
        <v>Jan</v>
      </c>
      <c r="P428" s="921">
        <f t="shared" si="47"/>
        <v>3</v>
      </c>
    </row>
    <row r="429" spans="1:16" ht="15" hidden="1" customHeight="1">
      <c r="A429" s="839">
        <v>64341106</v>
      </c>
      <c r="B429" s="839">
        <v>2904</v>
      </c>
      <c r="C429" s="906">
        <v>76</v>
      </c>
      <c r="D429" s="907">
        <v>46034</v>
      </c>
      <c r="E429" s="839" t="s">
        <v>293</v>
      </c>
      <c r="F429" s="839" t="s">
        <v>227</v>
      </c>
      <c r="G429" s="916">
        <f>VLOOKUP($A429,'Tech Litons'!$A:$I,8,FALSE)</f>
        <v>5.2680000000000001E-3</v>
      </c>
      <c r="H429" s="917">
        <f>VLOOKUP($A429,'Tech Litons'!$A:$I,9,FALSE)</f>
        <v>130</v>
      </c>
      <c r="I429" s="917" t="str">
        <f>VLOOKUP($A429,'Tech Litons'!$A:$C,3,0)</f>
        <v>PG</v>
      </c>
      <c r="J429" s="918" t="str">
        <f t="shared" si="42"/>
        <v>2904PG</v>
      </c>
      <c r="K429" s="919">
        <v>1</v>
      </c>
      <c r="L429" s="920">
        <f t="shared" si="43"/>
        <v>76</v>
      </c>
      <c r="M429" s="920">
        <f t="shared" si="44"/>
        <v>0.400368</v>
      </c>
      <c r="N429" s="920">
        <f t="shared" si="45"/>
        <v>0.58461538461538465</v>
      </c>
      <c r="O429" s="918" t="str">
        <f t="shared" si="46"/>
        <v>Jan</v>
      </c>
      <c r="P429" s="921">
        <f t="shared" si="47"/>
        <v>3</v>
      </c>
    </row>
    <row r="430" spans="1:16" ht="15" hidden="1" customHeight="1">
      <c r="A430" s="839">
        <v>68860059</v>
      </c>
      <c r="B430" s="839">
        <v>2904</v>
      </c>
      <c r="C430" s="906">
        <v>90</v>
      </c>
      <c r="D430" s="907">
        <v>46034</v>
      </c>
      <c r="E430" s="839" t="s">
        <v>319</v>
      </c>
      <c r="F430" s="839" t="s">
        <v>277</v>
      </c>
      <c r="G430" s="916">
        <f>VLOOKUP($A430,'Tech Litons'!$A:$I,8,FALSE)</f>
        <v>3.7839999999999996E-3</v>
      </c>
      <c r="H430" s="917">
        <f>VLOOKUP($A430,'Tech Litons'!$A:$I,9,FALSE)</f>
        <v>255</v>
      </c>
      <c r="I430" s="917" t="str">
        <f>VLOOKUP($A430,'Tech Litons'!$A:$C,3,0)</f>
        <v>Talenti</v>
      </c>
      <c r="J430" s="918" t="str">
        <f t="shared" si="42"/>
        <v>2904Talenti</v>
      </c>
      <c r="K430" s="919">
        <v>1</v>
      </c>
      <c r="L430" s="920">
        <f t="shared" si="43"/>
        <v>90</v>
      </c>
      <c r="M430" s="920">
        <f t="shared" si="44"/>
        <v>0.34055999999999997</v>
      </c>
      <c r="N430" s="920">
        <f t="shared" si="45"/>
        <v>0.35294117647058826</v>
      </c>
      <c r="O430" s="918" t="str">
        <f t="shared" si="46"/>
        <v>Jan</v>
      </c>
      <c r="P430" s="921">
        <f t="shared" si="47"/>
        <v>3</v>
      </c>
    </row>
    <row r="431" spans="1:16" ht="15" hidden="1" customHeight="1">
      <c r="A431" s="839">
        <v>69568828</v>
      </c>
      <c r="B431" s="839">
        <v>2904</v>
      </c>
      <c r="C431" s="906">
        <v>99</v>
      </c>
      <c r="D431" s="907">
        <v>46034</v>
      </c>
      <c r="E431" s="839" t="s">
        <v>320</v>
      </c>
      <c r="F431" s="839" t="s">
        <v>273</v>
      </c>
      <c r="G431" s="916">
        <f>VLOOKUP($A431,'Tech Litons'!$A:$I,8,FALSE)</f>
        <v>8.5199999999999998E-3</v>
      </c>
      <c r="H431" s="917">
        <f>VLOOKUP($A431,'Tech Litons'!$A:$I,9,FALSE)</f>
        <v>176</v>
      </c>
      <c r="I431" s="917" t="str">
        <f>VLOOKUP($A431,'Tech Litons'!$A:$C,3,0)</f>
        <v>48oz</v>
      </c>
      <c r="J431" s="918" t="str">
        <f t="shared" si="42"/>
        <v>290448oz</v>
      </c>
      <c r="K431" s="919">
        <v>1</v>
      </c>
      <c r="L431" s="920">
        <f t="shared" si="43"/>
        <v>99</v>
      </c>
      <c r="M431" s="920">
        <f t="shared" si="44"/>
        <v>0.84348000000000001</v>
      </c>
      <c r="N431" s="920">
        <f t="shared" si="45"/>
        <v>0.5625</v>
      </c>
      <c r="O431" s="918" t="str">
        <f t="shared" si="46"/>
        <v>Jan</v>
      </c>
      <c r="P431" s="921">
        <f t="shared" si="47"/>
        <v>3</v>
      </c>
    </row>
    <row r="432" spans="1:16" ht="15" hidden="1" customHeight="1">
      <c r="A432" s="839">
        <v>68817801</v>
      </c>
      <c r="B432" s="839">
        <v>2904</v>
      </c>
      <c r="C432" s="906">
        <v>110</v>
      </c>
      <c r="D432" s="907">
        <v>46034</v>
      </c>
      <c r="E432" s="839" t="s">
        <v>333</v>
      </c>
      <c r="F432" s="839" t="s">
        <v>269</v>
      </c>
      <c r="G432" s="916">
        <f>VLOOKUP($A432,'Tech Litons'!$A:$I,8,FALSE)</f>
        <v>8.5199999999999998E-3</v>
      </c>
      <c r="H432" s="917">
        <f>VLOOKUP($A432,'Tech Litons'!$A:$I,9,FALSE)</f>
        <v>176</v>
      </c>
      <c r="I432" s="917" t="str">
        <f>VLOOKUP($A432,'Tech Litons'!$A:$C,3,0)</f>
        <v>48oz</v>
      </c>
      <c r="J432" s="918" t="str">
        <f t="shared" si="42"/>
        <v>290448oz</v>
      </c>
      <c r="K432" s="919">
        <v>1</v>
      </c>
      <c r="L432" s="920">
        <f t="shared" si="43"/>
        <v>110</v>
      </c>
      <c r="M432" s="920">
        <f t="shared" si="44"/>
        <v>0.93720000000000003</v>
      </c>
      <c r="N432" s="920">
        <f t="shared" si="45"/>
        <v>0.625</v>
      </c>
      <c r="O432" s="918" t="str">
        <f t="shared" si="46"/>
        <v>Jan</v>
      </c>
      <c r="P432" s="921">
        <f t="shared" si="47"/>
        <v>3</v>
      </c>
    </row>
    <row r="433" spans="1:16" ht="15" hidden="1" customHeight="1">
      <c r="A433" s="839">
        <v>68746232</v>
      </c>
      <c r="B433" s="839">
        <v>2904</v>
      </c>
      <c r="C433" s="906">
        <v>132</v>
      </c>
      <c r="D433" s="907">
        <v>46034</v>
      </c>
      <c r="E433" s="839" t="s">
        <v>508</v>
      </c>
      <c r="F433" s="839" t="s">
        <v>243</v>
      </c>
      <c r="G433" s="916">
        <f>VLOOKUP($A433,'Tech Litons'!$A:$I,8,FALSE)</f>
        <v>8.5199999999999998E-3</v>
      </c>
      <c r="H433" s="917">
        <f>VLOOKUP($A433,'Tech Litons'!$A:$I,9,FALSE)</f>
        <v>132</v>
      </c>
      <c r="I433" s="917" t="str">
        <f>VLOOKUP($A433,'Tech Litons'!$A:$C,3,0)</f>
        <v>EDF</v>
      </c>
      <c r="J433" s="918" t="str">
        <f t="shared" si="42"/>
        <v>2904EDF</v>
      </c>
      <c r="K433" s="919">
        <v>1</v>
      </c>
      <c r="L433" s="920">
        <f t="shared" si="43"/>
        <v>132</v>
      </c>
      <c r="M433" s="920">
        <f t="shared" si="44"/>
        <v>1.1246399999999999</v>
      </c>
      <c r="N433" s="920">
        <f t="shared" si="45"/>
        <v>1</v>
      </c>
      <c r="O433" s="918" t="str">
        <f t="shared" si="46"/>
        <v>Jan</v>
      </c>
      <c r="P433" s="921">
        <f t="shared" si="47"/>
        <v>3</v>
      </c>
    </row>
    <row r="434" spans="1:16" ht="15" hidden="1" customHeight="1">
      <c r="A434" s="839">
        <v>64979407</v>
      </c>
      <c r="B434" s="839">
        <v>2904</v>
      </c>
      <c r="C434" s="906">
        <v>143</v>
      </c>
      <c r="D434" s="907">
        <v>46034</v>
      </c>
      <c r="E434" s="839" t="s">
        <v>284</v>
      </c>
      <c r="F434" s="839" t="s">
        <v>231</v>
      </c>
      <c r="G434" s="916">
        <f>VLOOKUP($A434,'Tech Litons'!$A:$I,8,FALSE)</f>
        <v>4.2560000000000002E-3</v>
      </c>
      <c r="H434" s="917">
        <f>VLOOKUP($A434,'Tech Litons'!$A:$I,9,FALSE)</f>
        <v>143</v>
      </c>
      <c r="I434" s="917" t="str">
        <f>VLOOKUP($A434,'Tech Litons'!$A:$C,3,0)</f>
        <v>MG Sticks</v>
      </c>
      <c r="J434" s="918" t="str">
        <f t="shared" si="42"/>
        <v>2904MG Sticks</v>
      </c>
      <c r="K434" s="919">
        <v>1</v>
      </c>
      <c r="L434" s="920">
        <f t="shared" si="43"/>
        <v>143</v>
      </c>
      <c r="M434" s="920">
        <f t="shared" si="44"/>
        <v>0.60860800000000004</v>
      </c>
      <c r="N434" s="920">
        <f t="shared" si="45"/>
        <v>1</v>
      </c>
      <c r="O434" s="918" t="str">
        <f t="shared" si="46"/>
        <v>Jan</v>
      </c>
      <c r="P434" s="921">
        <f t="shared" si="47"/>
        <v>3</v>
      </c>
    </row>
    <row r="435" spans="1:16" ht="15" hidden="1" customHeight="1">
      <c r="A435" s="839">
        <v>64958122</v>
      </c>
      <c r="B435" s="839">
        <v>2904</v>
      </c>
      <c r="C435" s="906">
        <v>165</v>
      </c>
      <c r="D435" s="907">
        <v>46034</v>
      </c>
      <c r="E435" s="839" t="s">
        <v>236</v>
      </c>
      <c r="F435" s="839" t="s">
        <v>234</v>
      </c>
      <c r="G435" s="916">
        <f>VLOOKUP($A435,'Tech Litons'!$A:$I,8,FALSE)</f>
        <v>3.3119999999999998E-3</v>
      </c>
      <c r="H435" s="917">
        <f>VLOOKUP($A435,'Tech Litons'!$A:$I,9,FALSE)</f>
        <v>165</v>
      </c>
      <c r="I435" s="917" t="str">
        <f>VLOOKUP($A435,'Tech Litons'!$A:$C,3,0)</f>
        <v>Yasso Sticks</v>
      </c>
      <c r="J435" s="918" t="str">
        <f t="shared" si="42"/>
        <v>2904Yasso Sticks</v>
      </c>
      <c r="K435" s="919">
        <v>1</v>
      </c>
      <c r="L435" s="920">
        <f t="shared" si="43"/>
        <v>165</v>
      </c>
      <c r="M435" s="920">
        <f t="shared" si="44"/>
        <v>0.54647999999999997</v>
      </c>
      <c r="N435" s="920">
        <f t="shared" si="45"/>
        <v>1</v>
      </c>
      <c r="O435" s="918" t="str">
        <f t="shared" si="46"/>
        <v>Jan</v>
      </c>
      <c r="P435" s="921">
        <f t="shared" si="47"/>
        <v>3</v>
      </c>
    </row>
    <row r="436" spans="1:16" ht="15" hidden="1" customHeight="1">
      <c r="A436" s="839">
        <v>64958125</v>
      </c>
      <c r="B436" s="839">
        <v>2904</v>
      </c>
      <c r="C436" s="906">
        <v>165</v>
      </c>
      <c r="D436" s="907">
        <v>46034</v>
      </c>
      <c r="E436" s="839" t="s">
        <v>238</v>
      </c>
      <c r="F436" s="839" t="s">
        <v>234</v>
      </c>
      <c r="G436" s="916">
        <f>VLOOKUP($A436,'Tech Litons'!$A:$I,8,FALSE)</f>
        <v>3.3119999999999998E-3</v>
      </c>
      <c r="H436" s="917">
        <f>VLOOKUP($A436,'Tech Litons'!$A:$I,9,FALSE)</f>
        <v>165</v>
      </c>
      <c r="I436" s="917" t="str">
        <f>VLOOKUP($A436,'Tech Litons'!$A:$C,3,0)</f>
        <v>Yasso Sticks</v>
      </c>
      <c r="J436" s="918" t="str">
        <f t="shared" si="42"/>
        <v>2904Yasso Sticks</v>
      </c>
      <c r="K436" s="919">
        <v>1</v>
      </c>
      <c r="L436" s="920">
        <f t="shared" si="43"/>
        <v>165</v>
      </c>
      <c r="M436" s="920">
        <f t="shared" si="44"/>
        <v>0.54647999999999997</v>
      </c>
      <c r="N436" s="920">
        <f t="shared" si="45"/>
        <v>1</v>
      </c>
      <c r="O436" s="918" t="str">
        <f t="shared" si="46"/>
        <v>Jan</v>
      </c>
      <c r="P436" s="921">
        <f t="shared" si="47"/>
        <v>3</v>
      </c>
    </row>
    <row r="437" spans="1:16" ht="15" hidden="1" customHeight="1">
      <c r="A437" s="839">
        <v>68649095</v>
      </c>
      <c r="B437" s="839">
        <v>2904</v>
      </c>
      <c r="C437" s="906">
        <v>175</v>
      </c>
      <c r="D437" s="907">
        <v>46034</v>
      </c>
      <c r="E437" s="839" t="s">
        <v>294</v>
      </c>
      <c r="F437" s="839" t="s">
        <v>40</v>
      </c>
      <c r="G437" s="916">
        <f>VLOOKUP($A437,'Tech Litons'!$A:$I,8,FALSE)</f>
        <v>3.5999999999999999E-3</v>
      </c>
      <c r="H437" s="917">
        <f>VLOOKUP($A437,'Tech Litons'!$A:$I,9,FALSE)</f>
        <v>240</v>
      </c>
      <c r="I437" s="917" t="str">
        <f>VLOOKUP($A437,'Tech Litons'!$A:$C,3,0)</f>
        <v>Topped</v>
      </c>
      <c r="J437" s="918" t="str">
        <f t="shared" si="42"/>
        <v>2904Topped</v>
      </c>
      <c r="K437" s="919">
        <v>1</v>
      </c>
      <c r="L437" s="920">
        <f t="shared" si="43"/>
        <v>175</v>
      </c>
      <c r="M437" s="920">
        <f t="shared" si="44"/>
        <v>0.63</v>
      </c>
      <c r="N437" s="920">
        <f t="shared" si="45"/>
        <v>0.72916666666666663</v>
      </c>
      <c r="O437" s="918" t="str">
        <f t="shared" si="46"/>
        <v>Jan</v>
      </c>
      <c r="P437" s="921">
        <f t="shared" si="47"/>
        <v>3</v>
      </c>
    </row>
    <row r="438" spans="1:16" ht="15" hidden="1" customHeight="1">
      <c r="A438" s="839">
        <v>64373718</v>
      </c>
      <c r="B438" s="839">
        <v>2904</v>
      </c>
      <c r="C438" s="906">
        <v>176</v>
      </c>
      <c r="D438" s="907">
        <v>46034</v>
      </c>
      <c r="E438" s="839" t="s">
        <v>316</v>
      </c>
      <c r="F438" s="839" t="s">
        <v>269</v>
      </c>
      <c r="G438" s="916">
        <f>VLOOKUP($A438,'Tech Litons'!$A:$I,8,FALSE)</f>
        <v>8.5199999999999998E-3</v>
      </c>
      <c r="H438" s="917">
        <f>VLOOKUP($A438,'Tech Litons'!$A:$I,9,FALSE)</f>
        <v>176</v>
      </c>
      <c r="I438" s="917" t="str">
        <f>VLOOKUP($A438,'Tech Litons'!$A:$C,3,0)</f>
        <v>48oz</v>
      </c>
      <c r="J438" s="918" t="str">
        <f t="shared" si="42"/>
        <v>290448oz</v>
      </c>
      <c r="K438" s="919">
        <v>1</v>
      </c>
      <c r="L438" s="920">
        <f t="shared" si="43"/>
        <v>176</v>
      </c>
      <c r="M438" s="920">
        <f t="shared" si="44"/>
        <v>1.49952</v>
      </c>
      <c r="N438" s="920">
        <f t="shared" si="45"/>
        <v>1</v>
      </c>
      <c r="O438" s="918" t="str">
        <f t="shared" si="46"/>
        <v>Jan</v>
      </c>
      <c r="P438" s="921">
        <f t="shared" si="47"/>
        <v>3</v>
      </c>
    </row>
    <row r="439" spans="1:16" ht="15" hidden="1" customHeight="1">
      <c r="A439" s="839">
        <v>64341106</v>
      </c>
      <c r="B439" s="839">
        <v>2904</v>
      </c>
      <c r="C439" s="906">
        <v>177</v>
      </c>
      <c r="D439" s="907">
        <v>46034</v>
      </c>
      <c r="E439" s="839" t="s">
        <v>293</v>
      </c>
      <c r="F439" s="839" t="s">
        <v>227</v>
      </c>
      <c r="G439" s="916">
        <f>VLOOKUP($A439,'Tech Litons'!$A:$I,8,FALSE)</f>
        <v>5.2680000000000001E-3</v>
      </c>
      <c r="H439" s="917">
        <f>VLOOKUP($A439,'Tech Litons'!$A:$I,9,FALSE)</f>
        <v>130</v>
      </c>
      <c r="I439" s="917" t="str">
        <f>VLOOKUP($A439,'Tech Litons'!$A:$C,3,0)</f>
        <v>PG</v>
      </c>
      <c r="J439" s="918" t="str">
        <f t="shared" si="42"/>
        <v>2904PG</v>
      </c>
      <c r="K439" s="919">
        <v>1</v>
      </c>
      <c r="L439" s="920">
        <f t="shared" si="43"/>
        <v>177</v>
      </c>
      <c r="M439" s="920">
        <f t="shared" si="44"/>
        <v>0.93243600000000004</v>
      </c>
      <c r="N439" s="920">
        <f t="shared" si="45"/>
        <v>1.3615384615384616</v>
      </c>
      <c r="O439" s="918" t="str">
        <f t="shared" si="46"/>
        <v>Jan</v>
      </c>
      <c r="P439" s="921">
        <f t="shared" si="47"/>
        <v>3</v>
      </c>
    </row>
    <row r="440" spans="1:16" ht="15" hidden="1" customHeight="1">
      <c r="A440" s="839">
        <v>69690941</v>
      </c>
      <c r="B440" s="839">
        <v>2904</v>
      </c>
      <c r="C440" s="906">
        <v>214</v>
      </c>
      <c r="D440" s="907">
        <v>46034</v>
      </c>
      <c r="E440" s="839" t="s">
        <v>321</v>
      </c>
      <c r="F440" s="839" t="s">
        <v>281</v>
      </c>
      <c r="G440" s="916">
        <f>VLOOKUP($A440,'Tech Litons'!$A:$I,8,FALSE)</f>
        <v>1.98E-3</v>
      </c>
      <c r="H440" s="917">
        <f>VLOOKUP($A440,'Tech Litons'!$A:$I,9,FALSE)</f>
        <v>176</v>
      </c>
      <c r="I440" s="917" t="str">
        <f>VLOOKUP($A440,'Tech Litons'!$A:$C,3,0)</f>
        <v>MG Sticks</v>
      </c>
      <c r="J440" s="918" t="str">
        <f t="shared" si="42"/>
        <v>2904MG Sticks</v>
      </c>
      <c r="K440" s="919">
        <v>1</v>
      </c>
      <c r="L440" s="920">
        <f t="shared" si="43"/>
        <v>214</v>
      </c>
      <c r="M440" s="920">
        <f t="shared" si="44"/>
        <v>0.42371999999999999</v>
      </c>
      <c r="N440" s="920">
        <f t="shared" si="45"/>
        <v>1.2159090909090908</v>
      </c>
      <c r="O440" s="918" t="str">
        <f t="shared" si="46"/>
        <v>Jan</v>
      </c>
      <c r="P440" s="921">
        <f t="shared" si="47"/>
        <v>3</v>
      </c>
    </row>
    <row r="441" spans="1:16" ht="15" hidden="1" customHeight="1">
      <c r="A441" s="839">
        <v>68860059</v>
      </c>
      <c r="B441" s="839">
        <v>2904</v>
      </c>
      <c r="C441" s="906">
        <v>242</v>
      </c>
      <c r="D441" s="907">
        <v>46034</v>
      </c>
      <c r="E441" s="839" t="s">
        <v>319</v>
      </c>
      <c r="F441" s="839" t="s">
        <v>277</v>
      </c>
      <c r="G441" s="916">
        <f>VLOOKUP($A441,'Tech Litons'!$A:$I,8,FALSE)</f>
        <v>3.7839999999999996E-3</v>
      </c>
      <c r="H441" s="917">
        <f>VLOOKUP($A441,'Tech Litons'!$A:$I,9,FALSE)</f>
        <v>255</v>
      </c>
      <c r="I441" s="917" t="str">
        <f>VLOOKUP($A441,'Tech Litons'!$A:$C,3,0)</f>
        <v>Talenti</v>
      </c>
      <c r="J441" s="918" t="str">
        <f t="shared" si="42"/>
        <v>2904Talenti</v>
      </c>
      <c r="K441" s="919">
        <v>1</v>
      </c>
      <c r="L441" s="920">
        <f t="shared" si="43"/>
        <v>242</v>
      </c>
      <c r="M441" s="920">
        <f t="shared" si="44"/>
        <v>0.91572799999999988</v>
      </c>
      <c r="N441" s="920">
        <f t="shared" si="45"/>
        <v>0.94901960784313721</v>
      </c>
      <c r="O441" s="918" t="str">
        <f t="shared" si="46"/>
        <v>Jan</v>
      </c>
      <c r="P441" s="921">
        <f t="shared" si="47"/>
        <v>3</v>
      </c>
    </row>
    <row r="442" spans="1:16" ht="15" hidden="1" customHeight="1">
      <c r="A442" s="839">
        <v>69568828</v>
      </c>
      <c r="B442" s="839">
        <v>2904</v>
      </c>
      <c r="C442" s="906">
        <v>246</v>
      </c>
      <c r="D442" s="907">
        <v>46034</v>
      </c>
      <c r="E442" s="839" t="s">
        <v>320</v>
      </c>
      <c r="F442" s="839" t="s">
        <v>271</v>
      </c>
      <c r="G442" s="916">
        <f>VLOOKUP($A442,'Tech Litons'!$A:$I,8,FALSE)</f>
        <v>8.5199999999999998E-3</v>
      </c>
      <c r="H442" s="917">
        <f>VLOOKUP($A442,'Tech Litons'!$A:$I,9,FALSE)</f>
        <v>176</v>
      </c>
      <c r="I442" s="917" t="str">
        <f>VLOOKUP($A442,'Tech Litons'!$A:$C,3,0)</f>
        <v>48oz</v>
      </c>
      <c r="J442" s="918" t="str">
        <f t="shared" si="42"/>
        <v>290448oz</v>
      </c>
      <c r="K442" s="919">
        <v>1</v>
      </c>
      <c r="L442" s="920">
        <f t="shared" si="43"/>
        <v>246</v>
      </c>
      <c r="M442" s="920">
        <f t="shared" si="44"/>
        <v>2.09592</v>
      </c>
      <c r="N442" s="920">
        <f t="shared" si="45"/>
        <v>1.3977272727272727</v>
      </c>
      <c r="O442" s="918" t="str">
        <f t="shared" si="46"/>
        <v>Jan</v>
      </c>
      <c r="P442" s="921">
        <f t="shared" si="47"/>
        <v>3</v>
      </c>
    </row>
    <row r="443" spans="1:16" ht="15" hidden="1" customHeight="1">
      <c r="A443" s="839">
        <v>68689251</v>
      </c>
      <c r="B443" s="839">
        <v>1352</v>
      </c>
      <c r="C443" s="906">
        <v>264</v>
      </c>
      <c r="D443" s="907">
        <v>46034</v>
      </c>
      <c r="E443" s="839" t="s">
        <v>262</v>
      </c>
      <c r="F443" s="839" t="s">
        <v>242</v>
      </c>
      <c r="G443" s="916">
        <f>VLOOKUP($A443,'Tech Litons'!$A:$I,8,FALSE)</f>
        <v>9.5760000000000012E-3</v>
      </c>
      <c r="H443" s="917">
        <f>VLOOKUP($A443,'Tech Litons'!$A:$I,9,FALSE)</f>
        <v>132</v>
      </c>
      <c r="I443" s="917" t="str">
        <f>VLOOKUP($A443,'Tech Litons'!$A:$C,3,0)</f>
        <v>EDF</v>
      </c>
      <c r="J443" s="918" t="str">
        <f t="shared" si="42"/>
        <v>1352EDF</v>
      </c>
      <c r="K443" s="919">
        <v>1</v>
      </c>
      <c r="L443" s="920">
        <f t="shared" si="43"/>
        <v>264</v>
      </c>
      <c r="M443" s="920">
        <f t="shared" si="44"/>
        <v>2.5280640000000005</v>
      </c>
      <c r="N443" s="920">
        <f t="shared" si="45"/>
        <v>2</v>
      </c>
      <c r="O443" s="918" t="str">
        <f t="shared" si="46"/>
        <v>Jan</v>
      </c>
      <c r="P443" s="921">
        <f t="shared" si="47"/>
        <v>3</v>
      </c>
    </row>
    <row r="444" spans="1:16" ht="15" hidden="1" customHeight="1">
      <c r="A444" s="839">
        <v>68817801</v>
      </c>
      <c r="B444" s="839">
        <v>2904</v>
      </c>
      <c r="C444" s="906">
        <v>271</v>
      </c>
      <c r="D444" s="907">
        <v>46034</v>
      </c>
      <c r="E444" s="839" t="s">
        <v>333</v>
      </c>
      <c r="F444" s="839" t="s">
        <v>269</v>
      </c>
      <c r="G444" s="916">
        <f>VLOOKUP($A444,'Tech Litons'!$A:$I,8,FALSE)</f>
        <v>8.5199999999999998E-3</v>
      </c>
      <c r="H444" s="917">
        <f>VLOOKUP($A444,'Tech Litons'!$A:$I,9,FALSE)</f>
        <v>176</v>
      </c>
      <c r="I444" s="917" t="str">
        <f>VLOOKUP($A444,'Tech Litons'!$A:$C,3,0)</f>
        <v>48oz</v>
      </c>
      <c r="J444" s="918" t="str">
        <f t="shared" si="42"/>
        <v>290448oz</v>
      </c>
      <c r="K444" s="919">
        <v>1</v>
      </c>
      <c r="L444" s="920">
        <f t="shared" si="43"/>
        <v>271</v>
      </c>
      <c r="M444" s="920">
        <f t="shared" si="44"/>
        <v>2.3089200000000001</v>
      </c>
      <c r="N444" s="920">
        <f t="shared" si="45"/>
        <v>1.5397727272727273</v>
      </c>
      <c r="O444" s="918" t="str">
        <f t="shared" si="46"/>
        <v>Jan</v>
      </c>
      <c r="P444" s="921">
        <f t="shared" si="47"/>
        <v>3</v>
      </c>
    </row>
    <row r="445" spans="1:16" ht="15" hidden="1" customHeight="1">
      <c r="A445" s="839">
        <v>64341106</v>
      </c>
      <c r="B445" s="839">
        <v>2904</v>
      </c>
      <c r="C445" s="906">
        <v>303</v>
      </c>
      <c r="D445" s="907">
        <v>46034</v>
      </c>
      <c r="E445" s="839" t="s">
        <v>293</v>
      </c>
      <c r="F445" s="839" t="s">
        <v>227</v>
      </c>
      <c r="G445" s="916">
        <f>VLOOKUP($A445,'Tech Litons'!$A:$I,8,FALSE)</f>
        <v>5.2680000000000001E-3</v>
      </c>
      <c r="H445" s="917">
        <f>VLOOKUP($A445,'Tech Litons'!$A:$I,9,FALSE)</f>
        <v>130</v>
      </c>
      <c r="I445" s="917" t="str">
        <f>VLOOKUP($A445,'Tech Litons'!$A:$C,3,0)</f>
        <v>PG</v>
      </c>
      <c r="J445" s="918" t="str">
        <f t="shared" si="42"/>
        <v>2904PG</v>
      </c>
      <c r="K445" s="919">
        <v>1</v>
      </c>
      <c r="L445" s="920">
        <f t="shared" si="43"/>
        <v>303</v>
      </c>
      <c r="M445" s="920">
        <f t="shared" si="44"/>
        <v>1.596204</v>
      </c>
      <c r="N445" s="920">
        <f t="shared" si="45"/>
        <v>2.3307692307692309</v>
      </c>
      <c r="O445" s="918" t="str">
        <f t="shared" si="46"/>
        <v>Jan</v>
      </c>
      <c r="P445" s="921">
        <f t="shared" si="47"/>
        <v>3</v>
      </c>
    </row>
    <row r="446" spans="1:16" ht="15" hidden="1" customHeight="1">
      <c r="A446" s="839">
        <v>64369043</v>
      </c>
      <c r="B446" s="839">
        <v>2904</v>
      </c>
      <c r="C446" s="906">
        <v>389</v>
      </c>
      <c r="D446" s="907">
        <v>46034</v>
      </c>
      <c r="E446" s="839" t="s">
        <v>329</v>
      </c>
      <c r="F446" s="839" t="s">
        <v>275</v>
      </c>
      <c r="G446" s="916">
        <f>VLOOKUP($A446,'Tech Litons'!$A:$I,8,FALSE)</f>
        <v>3.552E-3</v>
      </c>
      <c r="H446" s="917">
        <f>VLOOKUP($A446,'Tech Litons'!$A:$I,9,FALSE)</f>
        <v>255</v>
      </c>
      <c r="I446" s="917" t="str">
        <f>VLOOKUP($A446,'Tech Litons'!$A:$C,3,0)</f>
        <v>Talenti</v>
      </c>
      <c r="J446" s="918" t="str">
        <f t="shared" si="42"/>
        <v>2904Talenti</v>
      </c>
      <c r="K446" s="919">
        <v>1</v>
      </c>
      <c r="L446" s="920">
        <f t="shared" si="43"/>
        <v>389</v>
      </c>
      <c r="M446" s="920">
        <f t="shared" si="44"/>
        <v>1.3817280000000001</v>
      </c>
      <c r="N446" s="920">
        <f t="shared" si="45"/>
        <v>1.5254901960784313</v>
      </c>
      <c r="O446" s="918" t="str">
        <f t="shared" si="46"/>
        <v>Jan</v>
      </c>
      <c r="P446" s="921">
        <f t="shared" si="47"/>
        <v>3</v>
      </c>
    </row>
    <row r="447" spans="1:16" ht="15" hidden="1" customHeight="1">
      <c r="A447" s="839">
        <v>69629468</v>
      </c>
      <c r="B447" s="839">
        <v>2904</v>
      </c>
      <c r="C447" s="906">
        <v>390</v>
      </c>
      <c r="D447" s="907">
        <v>46034</v>
      </c>
      <c r="E447" s="839" t="s">
        <v>291</v>
      </c>
      <c r="F447" s="839" t="s">
        <v>226</v>
      </c>
      <c r="G447" s="916">
        <f>VLOOKUP($A447,'Tech Litons'!$A:$I,8,FALSE)</f>
        <v>5.2680000000000001E-3</v>
      </c>
      <c r="H447" s="917">
        <f>VLOOKUP($A447,'Tech Litons'!$A:$I,9,FALSE)</f>
        <v>130</v>
      </c>
      <c r="I447" s="917" t="str">
        <f>VLOOKUP($A447,'Tech Litons'!$A:$C,3,0)</f>
        <v>PG</v>
      </c>
      <c r="J447" s="918" t="str">
        <f t="shared" si="42"/>
        <v>2904PG</v>
      </c>
      <c r="K447" s="919">
        <v>1</v>
      </c>
      <c r="L447" s="920">
        <f t="shared" si="43"/>
        <v>390</v>
      </c>
      <c r="M447" s="920">
        <f t="shared" si="44"/>
        <v>2.0545200000000001</v>
      </c>
      <c r="N447" s="920">
        <f t="shared" si="45"/>
        <v>3</v>
      </c>
      <c r="O447" s="918" t="str">
        <f t="shared" si="46"/>
        <v>Jan</v>
      </c>
      <c r="P447" s="921">
        <f t="shared" si="47"/>
        <v>3</v>
      </c>
    </row>
    <row r="448" spans="1:16" ht="15" hidden="1" customHeight="1">
      <c r="A448" s="839">
        <v>69700048</v>
      </c>
      <c r="B448" s="839">
        <v>1352</v>
      </c>
      <c r="C448" s="906">
        <v>450</v>
      </c>
      <c r="D448" s="907">
        <v>46034</v>
      </c>
      <c r="E448" s="839" t="s">
        <v>328</v>
      </c>
      <c r="F448" s="839" t="s">
        <v>287</v>
      </c>
      <c r="G448" s="916">
        <f>VLOOKUP($A448,'Tech Litons'!$A:$I,8,FALSE)</f>
        <v>2.7360000000000002E-3</v>
      </c>
      <c r="H448" s="917">
        <f>VLOOKUP($A448,'Tech Litons'!$A:$I,9,FALSE)</f>
        <v>225</v>
      </c>
      <c r="I448" s="917" t="str">
        <f>VLOOKUP($A448,'Tech Litons'!$A:$C,3,0)</f>
        <v>MBG</v>
      </c>
      <c r="J448" s="918" t="str">
        <f t="shared" si="42"/>
        <v>1352MBG</v>
      </c>
      <c r="K448" s="919">
        <v>1</v>
      </c>
      <c r="L448" s="920">
        <f t="shared" si="43"/>
        <v>450</v>
      </c>
      <c r="M448" s="920">
        <f t="shared" si="44"/>
        <v>1.2312000000000001</v>
      </c>
      <c r="N448" s="920">
        <f t="shared" si="45"/>
        <v>2</v>
      </c>
      <c r="O448" s="918" t="str">
        <f t="shared" si="46"/>
        <v>Jan</v>
      </c>
      <c r="P448" s="921">
        <f t="shared" si="47"/>
        <v>3</v>
      </c>
    </row>
    <row r="449" spans="1:16" ht="15" hidden="1" customHeight="1">
      <c r="A449" s="839">
        <v>64341106</v>
      </c>
      <c r="B449" s="839">
        <v>2904</v>
      </c>
      <c r="C449" s="906">
        <v>520</v>
      </c>
      <c r="D449" s="907">
        <v>46034</v>
      </c>
      <c r="E449" s="839" t="s">
        <v>293</v>
      </c>
      <c r="F449" s="839" t="s">
        <v>227</v>
      </c>
      <c r="G449" s="916">
        <f>VLOOKUP($A449,'Tech Litons'!$A:$I,8,FALSE)</f>
        <v>5.2680000000000001E-3</v>
      </c>
      <c r="H449" s="917">
        <f>VLOOKUP($A449,'Tech Litons'!$A:$I,9,FALSE)</f>
        <v>130</v>
      </c>
      <c r="I449" s="917" t="str">
        <f>VLOOKUP($A449,'Tech Litons'!$A:$C,3,0)</f>
        <v>PG</v>
      </c>
      <c r="J449" s="918" t="str">
        <f t="shared" si="42"/>
        <v>2904PG</v>
      </c>
      <c r="K449" s="919">
        <v>1</v>
      </c>
      <c r="L449" s="920">
        <f t="shared" si="43"/>
        <v>520</v>
      </c>
      <c r="M449" s="920">
        <f t="shared" si="44"/>
        <v>2.73936</v>
      </c>
      <c r="N449" s="920">
        <f t="shared" si="45"/>
        <v>4</v>
      </c>
      <c r="O449" s="918" t="str">
        <f t="shared" si="46"/>
        <v>Jan</v>
      </c>
      <c r="P449" s="921">
        <f t="shared" si="47"/>
        <v>3</v>
      </c>
    </row>
    <row r="450" spans="1:16" ht="15" hidden="1" customHeight="1">
      <c r="A450" s="839">
        <v>64874633</v>
      </c>
      <c r="B450" s="839">
        <v>3910</v>
      </c>
      <c r="C450" s="906">
        <v>560</v>
      </c>
      <c r="D450" s="907">
        <v>46034</v>
      </c>
      <c r="E450" s="839" t="s">
        <v>341</v>
      </c>
      <c r="F450" s="839" t="s">
        <v>342</v>
      </c>
      <c r="G450" s="916">
        <f>VLOOKUP($A450,'Tech Litons'!$A:$I,8,FALSE)</f>
        <v>3.192E-3</v>
      </c>
      <c r="H450" s="917">
        <f>VLOOKUP($A450,'Tech Litons'!$A:$I,9,FALSE)</f>
        <v>280</v>
      </c>
      <c r="I450" s="917" t="str">
        <f>VLOOKUP($A450,'Tech Litons'!$A:$C,3,0)</f>
        <v>ESS</v>
      </c>
      <c r="J450" s="918" t="str">
        <f t="shared" si="42"/>
        <v>3910ESS</v>
      </c>
      <c r="K450" s="919">
        <v>1</v>
      </c>
      <c r="L450" s="920">
        <f t="shared" si="43"/>
        <v>560</v>
      </c>
      <c r="M450" s="920">
        <f t="shared" si="44"/>
        <v>1.78752</v>
      </c>
      <c r="N450" s="920">
        <f t="shared" si="45"/>
        <v>2</v>
      </c>
      <c r="O450" s="918" t="str">
        <f t="shared" si="46"/>
        <v>Jan</v>
      </c>
      <c r="P450" s="921">
        <f t="shared" si="47"/>
        <v>3</v>
      </c>
    </row>
    <row r="451" spans="1:16" ht="15" hidden="1" customHeight="1">
      <c r="A451" s="839">
        <v>68741742</v>
      </c>
      <c r="B451" s="839">
        <v>2904</v>
      </c>
      <c r="C451" s="906">
        <v>663</v>
      </c>
      <c r="D451" s="907">
        <v>46034</v>
      </c>
      <c r="E451" s="839" t="s">
        <v>288</v>
      </c>
      <c r="F451" s="839" t="s">
        <v>295</v>
      </c>
      <c r="G451" s="916">
        <f>VLOOKUP($A451,'Tech Litons'!$A:$I,8,FALSE)</f>
        <v>4.2560000000000002E-3</v>
      </c>
      <c r="H451" s="917">
        <f>VLOOKUP($A451,'Tech Litons'!$A:$I,9,FALSE)</f>
        <v>154</v>
      </c>
      <c r="I451" s="917" t="str">
        <f>VLOOKUP($A451,'Tech Litons'!$A:$C,3,0)</f>
        <v>MBG</v>
      </c>
      <c r="J451" s="918" t="str">
        <f t="shared" si="42"/>
        <v>2904MBG</v>
      </c>
      <c r="K451" s="919">
        <v>1</v>
      </c>
      <c r="L451" s="920">
        <f t="shared" si="43"/>
        <v>663</v>
      </c>
      <c r="M451" s="920">
        <f t="shared" si="44"/>
        <v>2.8217280000000002</v>
      </c>
      <c r="N451" s="920">
        <f t="shared" si="45"/>
        <v>4.3051948051948052</v>
      </c>
      <c r="O451" s="918" t="str">
        <f t="shared" si="46"/>
        <v>Jan</v>
      </c>
      <c r="P451" s="921">
        <f t="shared" si="47"/>
        <v>3</v>
      </c>
    </row>
    <row r="452" spans="1:16" ht="15" hidden="1" customHeight="1">
      <c r="A452" s="839">
        <v>67826412</v>
      </c>
      <c r="B452" s="839">
        <v>2904</v>
      </c>
      <c r="C452" s="906">
        <v>720</v>
      </c>
      <c r="D452" s="907">
        <v>46034</v>
      </c>
      <c r="E452" s="839" t="s">
        <v>312</v>
      </c>
      <c r="F452" s="839" t="s">
        <v>299</v>
      </c>
      <c r="G452" s="916">
        <f>VLOOKUP($A452,'Tech Litons'!$A:$I,8,FALSE)</f>
        <v>3.7853439999999999E-3</v>
      </c>
      <c r="H452" s="917">
        <f>VLOOKUP($A452,'Tech Litons'!$A:$I,9,FALSE)</f>
        <v>240</v>
      </c>
      <c r="I452" s="917" t="str">
        <f>VLOOKUP($A452,'Tech Litons'!$A:$C,3,0)</f>
        <v>BJ PTS</v>
      </c>
      <c r="J452" s="918" t="str">
        <f t="shared" si="42"/>
        <v>2904BJ PTS</v>
      </c>
      <c r="K452" s="919">
        <v>1</v>
      </c>
      <c r="L452" s="920">
        <f t="shared" si="43"/>
        <v>720</v>
      </c>
      <c r="M452" s="920">
        <f t="shared" si="44"/>
        <v>2.7254476799999998</v>
      </c>
      <c r="N452" s="920">
        <f t="shared" si="45"/>
        <v>3</v>
      </c>
      <c r="O452" s="918" t="str">
        <f t="shared" si="46"/>
        <v>Jan</v>
      </c>
      <c r="P452" s="921">
        <f t="shared" si="47"/>
        <v>3</v>
      </c>
    </row>
    <row r="453" spans="1:16" ht="15" hidden="1" customHeight="1">
      <c r="A453" s="839">
        <v>64369046</v>
      </c>
      <c r="B453" s="839">
        <v>2904</v>
      </c>
      <c r="C453" s="906">
        <v>750</v>
      </c>
      <c r="D453" s="907">
        <v>46034</v>
      </c>
      <c r="E453" s="839" t="s">
        <v>315</v>
      </c>
      <c r="F453" s="839" t="s">
        <v>275</v>
      </c>
      <c r="G453" s="916">
        <f>VLOOKUP($A453,'Tech Litons'!$A:$I,8,FALSE)</f>
        <v>3.552E-3</v>
      </c>
      <c r="H453" s="917">
        <f>VLOOKUP($A453,'Tech Litons'!$A:$I,9,FALSE)</f>
        <v>255</v>
      </c>
      <c r="I453" s="917" t="str">
        <f>VLOOKUP($A453,'Tech Litons'!$A:$C,3,0)</f>
        <v>Talenti</v>
      </c>
      <c r="J453" s="918" t="str">
        <f t="shared" si="42"/>
        <v>2904Talenti</v>
      </c>
      <c r="K453" s="919">
        <v>1</v>
      </c>
      <c r="L453" s="920">
        <f t="shared" si="43"/>
        <v>750</v>
      </c>
      <c r="M453" s="920">
        <f t="shared" si="44"/>
        <v>2.6640000000000001</v>
      </c>
      <c r="N453" s="920">
        <f t="shared" si="45"/>
        <v>2.9411764705882355</v>
      </c>
      <c r="O453" s="918" t="str">
        <f t="shared" si="46"/>
        <v>Jan</v>
      </c>
      <c r="P453" s="921">
        <f t="shared" si="47"/>
        <v>3</v>
      </c>
    </row>
    <row r="454" spans="1:16" ht="15" hidden="1" customHeight="1">
      <c r="A454" s="839">
        <v>64369043</v>
      </c>
      <c r="B454" s="839">
        <v>2904</v>
      </c>
      <c r="C454" s="906">
        <v>770</v>
      </c>
      <c r="D454" s="907">
        <v>46034</v>
      </c>
      <c r="E454" s="839" t="s">
        <v>329</v>
      </c>
      <c r="F454" s="839" t="s">
        <v>275</v>
      </c>
      <c r="G454" s="916">
        <f>VLOOKUP($A454,'Tech Litons'!$A:$I,8,FALSE)</f>
        <v>3.552E-3</v>
      </c>
      <c r="H454" s="917">
        <f>VLOOKUP($A454,'Tech Litons'!$A:$I,9,FALSE)</f>
        <v>255</v>
      </c>
      <c r="I454" s="917" t="str">
        <f>VLOOKUP($A454,'Tech Litons'!$A:$C,3,0)</f>
        <v>Talenti</v>
      </c>
      <c r="J454" s="918" t="str">
        <f t="shared" si="42"/>
        <v>2904Talenti</v>
      </c>
      <c r="K454" s="919">
        <v>1</v>
      </c>
      <c r="L454" s="920">
        <f t="shared" si="43"/>
        <v>770</v>
      </c>
      <c r="M454" s="920">
        <f t="shared" si="44"/>
        <v>2.7350400000000001</v>
      </c>
      <c r="N454" s="920">
        <f t="shared" si="45"/>
        <v>3.0196078431372548</v>
      </c>
      <c r="O454" s="918" t="str">
        <f t="shared" si="46"/>
        <v>Jan</v>
      </c>
      <c r="P454" s="921">
        <f t="shared" si="47"/>
        <v>3</v>
      </c>
    </row>
    <row r="455" spans="1:16" ht="15" hidden="1" customHeight="1">
      <c r="A455" s="839">
        <v>64958122</v>
      </c>
      <c r="B455" s="839">
        <v>2904</v>
      </c>
      <c r="C455" s="906">
        <v>825</v>
      </c>
      <c r="D455" s="907">
        <v>46034</v>
      </c>
      <c r="E455" s="839" t="s">
        <v>236</v>
      </c>
      <c r="F455" s="839" t="s">
        <v>234</v>
      </c>
      <c r="G455" s="916">
        <f>VLOOKUP($A455,'Tech Litons'!$A:$I,8,FALSE)</f>
        <v>3.3119999999999998E-3</v>
      </c>
      <c r="H455" s="917">
        <f>VLOOKUP($A455,'Tech Litons'!$A:$I,9,FALSE)</f>
        <v>165</v>
      </c>
      <c r="I455" s="917" t="str">
        <f>VLOOKUP($A455,'Tech Litons'!$A:$C,3,0)</f>
        <v>Yasso Sticks</v>
      </c>
      <c r="J455" s="918" t="str">
        <f t="shared" si="42"/>
        <v>2904Yasso Sticks</v>
      </c>
      <c r="K455" s="919">
        <v>1</v>
      </c>
      <c r="L455" s="920">
        <f t="shared" si="43"/>
        <v>825</v>
      </c>
      <c r="M455" s="920">
        <f t="shared" si="44"/>
        <v>2.7323999999999997</v>
      </c>
      <c r="N455" s="920">
        <f t="shared" si="45"/>
        <v>5</v>
      </c>
      <c r="O455" s="918" t="str">
        <f t="shared" si="46"/>
        <v>Jan</v>
      </c>
      <c r="P455" s="921">
        <f t="shared" si="47"/>
        <v>3</v>
      </c>
    </row>
    <row r="456" spans="1:16" ht="15" hidden="1" customHeight="1">
      <c r="A456" s="839">
        <v>69568828</v>
      </c>
      <c r="B456" s="839">
        <v>2904</v>
      </c>
      <c r="C456" s="906">
        <v>1048</v>
      </c>
      <c r="D456" s="907">
        <v>46034</v>
      </c>
      <c r="E456" s="839" t="s">
        <v>320</v>
      </c>
      <c r="F456" s="839" t="s">
        <v>273</v>
      </c>
      <c r="G456" s="916">
        <f>VLOOKUP($A456,'Tech Litons'!$A:$I,8,FALSE)</f>
        <v>8.5199999999999998E-3</v>
      </c>
      <c r="H456" s="917">
        <f>VLOOKUP($A456,'Tech Litons'!$A:$I,9,FALSE)</f>
        <v>176</v>
      </c>
      <c r="I456" s="917" t="str">
        <f>VLOOKUP($A456,'Tech Litons'!$A:$C,3,0)</f>
        <v>48oz</v>
      </c>
      <c r="J456" s="918" t="str">
        <f t="shared" si="42"/>
        <v>290448oz</v>
      </c>
      <c r="K456" s="919">
        <v>1</v>
      </c>
      <c r="L456" s="920">
        <f t="shared" si="43"/>
        <v>1048</v>
      </c>
      <c r="M456" s="920">
        <f t="shared" si="44"/>
        <v>8.92896</v>
      </c>
      <c r="N456" s="920">
        <f t="shared" si="45"/>
        <v>5.9545454545454541</v>
      </c>
      <c r="O456" s="918" t="str">
        <f t="shared" si="46"/>
        <v>Jan</v>
      </c>
      <c r="P456" s="921">
        <f t="shared" si="47"/>
        <v>3</v>
      </c>
    </row>
    <row r="457" spans="1:16" ht="15" hidden="1" customHeight="1">
      <c r="A457" s="839">
        <v>64977526</v>
      </c>
      <c r="B457" s="839">
        <v>1352</v>
      </c>
      <c r="C457" s="906">
        <v>1055</v>
      </c>
      <c r="D457" s="907">
        <v>46034</v>
      </c>
      <c r="E457" s="839" t="s">
        <v>323</v>
      </c>
      <c r="F457" s="839" t="s">
        <v>266</v>
      </c>
      <c r="G457" s="916">
        <f>VLOOKUP($A457,'Tech Litons'!$A:$I,8,FALSE)</f>
        <v>8.513999999999999E-3</v>
      </c>
      <c r="H457" s="917">
        <f>VLOOKUP($A457,'Tech Litons'!$A:$I,9,FALSE)</f>
        <v>176</v>
      </c>
      <c r="I457" s="917" t="str">
        <f>VLOOKUP($A457,'Tech Litons'!$A:$C,3,0)</f>
        <v>48oz</v>
      </c>
      <c r="J457" s="918" t="str">
        <f t="shared" si="42"/>
        <v>135248oz</v>
      </c>
      <c r="K457" s="919">
        <v>1</v>
      </c>
      <c r="L457" s="920">
        <f t="shared" si="43"/>
        <v>1055</v>
      </c>
      <c r="M457" s="920">
        <f t="shared" si="44"/>
        <v>8.9822699999999998</v>
      </c>
      <c r="N457" s="920">
        <f t="shared" si="45"/>
        <v>5.9943181818181817</v>
      </c>
      <c r="O457" s="918" t="str">
        <f t="shared" si="46"/>
        <v>Jan</v>
      </c>
      <c r="P457" s="921">
        <f t="shared" si="47"/>
        <v>3</v>
      </c>
    </row>
    <row r="458" spans="1:16" ht="15" hidden="1" customHeight="1">
      <c r="A458" s="839">
        <v>68860059</v>
      </c>
      <c r="B458" s="839">
        <v>2904</v>
      </c>
      <c r="C458" s="906">
        <v>1174</v>
      </c>
      <c r="D458" s="907">
        <v>46034</v>
      </c>
      <c r="E458" s="839" t="s">
        <v>319</v>
      </c>
      <c r="F458" s="839" t="s">
        <v>277</v>
      </c>
      <c r="G458" s="916">
        <f>VLOOKUP($A458,'Tech Litons'!$A:$I,8,FALSE)</f>
        <v>3.7839999999999996E-3</v>
      </c>
      <c r="H458" s="917">
        <f>VLOOKUP($A458,'Tech Litons'!$A:$I,9,FALSE)</f>
        <v>255</v>
      </c>
      <c r="I458" s="917" t="str">
        <f>VLOOKUP($A458,'Tech Litons'!$A:$C,3,0)</f>
        <v>Talenti</v>
      </c>
      <c r="J458" s="918" t="str">
        <f t="shared" si="42"/>
        <v>2904Talenti</v>
      </c>
      <c r="K458" s="919">
        <v>1</v>
      </c>
      <c r="L458" s="920">
        <f t="shared" si="43"/>
        <v>1174</v>
      </c>
      <c r="M458" s="920">
        <f t="shared" si="44"/>
        <v>4.4424159999999997</v>
      </c>
      <c r="N458" s="920">
        <f t="shared" si="45"/>
        <v>4.6039215686274506</v>
      </c>
      <c r="O458" s="918" t="str">
        <f t="shared" si="46"/>
        <v>Jan</v>
      </c>
      <c r="P458" s="921">
        <f t="shared" si="47"/>
        <v>3</v>
      </c>
    </row>
    <row r="459" spans="1:16" ht="15" hidden="1" customHeight="1">
      <c r="A459" s="839">
        <v>69629468</v>
      </c>
      <c r="B459" s="839">
        <v>1352</v>
      </c>
      <c r="C459" s="906">
        <v>1300</v>
      </c>
      <c r="D459" s="907">
        <v>46034</v>
      </c>
      <c r="E459" s="839" t="s">
        <v>291</v>
      </c>
      <c r="F459" s="839" t="s">
        <v>222</v>
      </c>
      <c r="G459" s="916">
        <f>VLOOKUP($A459,'Tech Litons'!$A:$I,8,FALSE)</f>
        <v>5.2680000000000001E-3</v>
      </c>
      <c r="H459" s="917">
        <f>VLOOKUP($A459,'Tech Litons'!$A:$I,9,FALSE)</f>
        <v>130</v>
      </c>
      <c r="I459" s="917" t="str">
        <f>VLOOKUP($A459,'Tech Litons'!$A:$C,3,0)</f>
        <v>PG</v>
      </c>
      <c r="J459" s="918" t="str">
        <f t="shared" si="42"/>
        <v>1352PG</v>
      </c>
      <c r="K459" s="919">
        <v>1</v>
      </c>
      <c r="L459" s="920">
        <f t="shared" si="43"/>
        <v>1300</v>
      </c>
      <c r="M459" s="920">
        <f t="shared" si="44"/>
        <v>6.8483999999999998</v>
      </c>
      <c r="N459" s="920">
        <f t="shared" si="45"/>
        <v>10</v>
      </c>
      <c r="O459" s="918" t="str">
        <f t="shared" si="46"/>
        <v>Jan</v>
      </c>
      <c r="P459" s="921">
        <f t="shared" si="47"/>
        <v>3</v>
      </c>
    </row>
    <row r="460" spans="1:16" ht="15" hidden="1" customHeight="1">
      <c r="A460" s="839">
        <v>84138391</v>
      </c>
      <c r="B460" s="839">
        <v>5914</v>
      </c>
      <c r="C460" s="906">
        <v>1680</v>
      </c>
      <c r="D460" s="907">
        <v>46034</v>
      </c>
      <c r="E460" s="839" t="s">
        <v>339</v>
      </c>
      <c r="F460" s="839" t="s">
        <v>279</v>
      </c>
      <c r="G460" s="916">
        <f>VLOOKUP($A460,'Tech Litons'!$A:$I,8,FALSE)</f>
        <v>3.7853439999999999E-3</v>
      </c>
      <c r="H460" s="917">
        <f>VLOOKUP($A460,'Tech Litons'!$A:$I,9,FALSE)</f>
        <v>240</v>
      </c>
      <c r="I460" s="917" t="str">
        <f>VLOOKUP($A460,'Tech Litons'!$A:$C,3,0)</f>
        <v>BJ PTS</v>
      </c>
      <c r="J460" s="918" t="str">
        <f t="shared" si="42"/>
        <v>5914BJ PTS</v>
      </c>
      <c r="K460" s="919">
        <v>1</v>
      </c>
      <c r="L460" s="920">
        <f t="shared" si="43"/>
        <v>1680</v>
      </c>
      <c r="M460" s="920">
        <f t="shared" si="44"/>
        <v>6.35937792</v>
      </c>
      <c r="N460" s="920">
        <f t="shared" si="45"/>
        <v>7</v>
      </c>
      <c r="O460" s="918" t="str">
        <f t="shared" si="46"/>
        <v>Jan</v>
      </c>
      <c r="P460" s="921">
        <f t="shared" si="47"/>
        <v>3</v>
      </c>
    </row>
    <row r="461" spans="1:16" ht="15" hidden="1" customHeight="1">
      <c r="A461" s="839">
        <v>64776954</v>
      </c>
      <c r="B461" s="839">
        <v>1352</v>
      </c>
      <c r="C461" s="906">
        <v>1690</v>
      </c>
      <c r="D461" s="907">
        <v>46034</v>
      </c>
      <c r="E461" s="839" t="s">
        <v>285</v>
      </c>
      <c r="F461" s="839" t="s">
        <v>224</v>
      </c>
      <c r="G461" s="916">
        <f>VLOOKUP($A461,'Tech Litons'!$A:$I,8,FALSE)</f>
        <v>3.8340000000000002E-3</v>
      </c>
      <c r="H461" s="917">
        <f>VLOOKUP($A461,'Tech Litons'!$A:$I,9,FALSE)</f>
        <v>130</v>
      </c>
      <c r="I461" s="917" t="str">
        <f>VLOOKUP($A461,'Tech Litons'!$A:$C,3,0)</f>
        <v>pG</v>
      </c>
      <c r="J461" s="918" t="str">
        <f t="shared" si="42"/>
        <v>1352pG</v>
      </c>
      <c r="K461" s="919">
        <v>1</v>
      </c>
      <c r="L461" s="920">
        <f t="shared" si="43"/>
        <v>1690</v>
      </c>
      <c r="M461" s="920">
        <f t="shared" si="44"/>
        <v>6.4794600000000004</v>
      </c>
      <c r="N461" s="920">
        <f t="shared" si="45"/>
        <v>13</v>
      </c>
      <c r="O461" s="918" t="str">
        <f t="shared" si="46"/>
        <v>Jan</v>
      </c>
      <c r="P461" s="921">
        <f t="shared" si="47"/>
        <v>3</v>
      </c>
    </row>
    <row r="462" spans="1:16" ht="15" hidden="1" customHeight="1">
      <c r="A462" s="839">
        <v>68851108</v>
      </c>
      <c r="B462" s="839">
        <v>2904</v>
      </c>
      <c r="C462" s="906">
        <v>1936</v>
      </c>
      <c r="D462" s="907">
        <v>46034</v>
      </c>
      <c r="E462" s="839" t="s">
        <v>296</v>
      </c>
      <c r="F462" s="839" t="s">
        <v>273</v>
      </c>
      <c r="G462" s="916">
        <f>VLOOKUP($A462,'Tech Litons'!$A:$I,8,FALSE)</f>
        <v>8.5199999999999998E-3</v>
      </c>
      <c r="H462" s="917">
        <f>VLOOKUP($A462,'Tech Litons'!$A:$I,9,FALSE)</f>
        <v>176</v>
      </c>
      <c r="I462" s="917" t="str">
        <f>VLOOKUP($A462,'Tech Litons'!$A:$C,3,0)</f>
        <v>48oz</v>
      </c>
      <c r="J462" s="918" t="str">
        <f t="shared" si="42"/>
        <v>290448oz</v>
      </c>
      <c r="K462" s="919">
        <v>1</v>
      </c>
      <c r="L462" s="920">
        <f t="shared" si="43"/>
        <v>1936</v>
      </c>
      <c r="M462" s="920">
        <f t="shared" si="44"/>
        <v>16.494720000000001</v>
      </c>
      <c r="N462" s="920">
        <f t="shared" si="45"/>
        <v>11</v>
      </c>
      <c r="O462" s="918" t="str">
        <f t="shared" si="46"/>
        <v>Jan</v>
      </c>
      <c r="P462" s="921">
        <f t="shared" si="47"/>
        <v>3</v>
      </c>
    </row>
    <row r="463" spans="1:16" ht="15" hidden="1" customHeight="1">
      <c r="A463" s="839">
        <v>69991979</v>
      </c>
      <c r="B463" s="839">
        <v>2904</v>
      </c>
      <c r="C463" s="906">
        <v>2171</v>
      </c>
      <c r="D463" s="907">
        <v>46034</v>
      </c>
      <c r="E463" s="839" t="s">
        <v>334</v>
      </c>
      <c r="F463" s="839" t="s">
        <v>283</v>
      </c>
      <c r="G463" s="916">
        <f>VLOOKUP($A463,'Tech Litons'!$A:$I,8,FALSE)</f>
        <v>2.0400000000000001E-3</v>
      </c>
      <c r="H463" s="917">
        <f>VLOOKUP($A463,'Tech Litons'!$A:$I,9,FALSE)</f>
        <v>210</v>
      </c>
      <c r="I463" s="917" t="str">
        <f>VLOOKUP($A463,'Tech Litons'!$A:$C,3,0)</f>
        <v>MG Sticks</v>
      </c>
      <c r="J463" s="918" t="str">
        <f t="shared" si="42"/>
        <v>2904MG Sticks</v>
      </c>
      <c r="K463" s="919">
        <v>1</v>
      </c>
      <c r="L463" s="920">
        <f t="shared" si="43"/>
        <v>2171</v>
      </c>
      <c r="M463" s="920">
        <f t="shared" si="44"/>
        <v>4.4288400000000001</v>
      </c>
      <c r="N463" s="920">
        <f t="shared" si="45"/>
        <v>10.338095238095239</v>
      </c>
      <c r="O463" s="918" t="str">
        <f t="shared" si="46"/>
        <v>Jan</v>
      </c>
      <c r="P463" s="921">
        <f t="shared" si="47"/>
        <v>3</v>
      </c>
    </row>
    <row r="464" spans="1:16" ht="15" hidden="1" customHeight="1">
      <c r="A464" s="839">
        <v>68689251</v>
      </c>
      <c r="B464" s="839">
        <v>1352</v>
      </c>
      <c r="C464" s="906">
        <v>2376</v>
      </c>
      <c r="D464" s="907">
        <v>46034</v>
      </c>
      <c r="E464" s="839" t="s">
        <v>262</v>
      </c>
      <c r="F464" s="839" t="s">
        <v>242</v>
      </c>
      <c r="G464" s="916">
        <f>VLOOKUP($A464,'Tech Litons'!$A:$I,8,FALSE)</f>
        <v>9.5760000000000012E-3</v>
      </c>
      <c r="H464" s="917">
        <f>VLOOKUP($A464,'Tech Litons'!$A:$I,9,FALSE)</f>
        <v>132</v>
      </c>
      <c r="I464" s="917" t="str">
        <f>VLOOKUP($A464,'Tech Litons'!$A:$C,3,0)</f>
        <v>EDF</v>
      </c>
      <c r="J464" s="918" t="str">
        <f t="shared" si="42"/>
        <v>1352EDF</v>
      </c>
      <c r="K464" s="919">
        <v>1</v>
      </c>
      <c r="L464" s="920">
        <f t="shared" si="43"/>
        <v>2376</v>
      </c>
      <c r="M464" s="920">
        <f t="shared" si="44"/>
        <v>22.752576000000001</v>
      </c>
      <c r="N464" s="920">
        <f t="shared" si="45"/>
        <v>18</v>
      </c>
      <c r="O464" s="918" t="str">
        <f t="shared" si="46"/>
        <v>Jan</v>
      </c>
      <c r="P464" s="921">
        <f t="shared" si="47"/>
        <v>3</v>
      </c>
    </row>
    <row r="465" spans="1:16" ht="15" hidden="1" customHeight="1">
      <c r="A465" s="839">
        <v>69690941</v>
      </c>
      <c r="B465" s="839">
        <v>2904</v>
      </c>
      <c r="C465" s="906">
        <v>2464</v>
      </c>
      <c r="D465" s="907">
        <v>46034</v>
      </c>
      <c r="E465" s="839" t="s">
        <v>321</v>
      </c>
      <c r="F465" s="839" t="s">
        <v>281</v>
      </c>
      <c r="G465" s="916">
        <f>VLOOKUP($A465,'Tech Litons'!$A:$I,8,FALSE)</f>
        <v>1.98E-3</v>
      </c>
      <c r="H465" s="917">
        <f>VLOOKUP($A465,'Tech Litons'!$A:$I,9,FALSE)</f>
        <v>176</v>
      </c>
      <c r="I465" s="917" t="str">
        <f>VLOOKUP($A465,'Tech Litons'!$A:$C,3,0)</f>
        <v>MG Sticks</v>
      </c>
      <c r="J465" s="918" t="str">
        <f t="shared" si="42"/>
        <v>2904MG Sticks</v>
      </c>
      <c r="K465" s="919">
        <v>1</v>
      </c>
      <c r="L465" s="920">
        <f t="shared" si="43"/>
        <v>2464</v>
      </c>
      <c r="M465" s="920">
        <f t="shared" si="44"/>
        <v>4.8787200000000004</v>
      </c>
      <c r="N465" s="920">
        <f t="shared" si="45"/>
        <v>14</v>
      </c>
      <c r="O465" s="918" t="str">
        <f t="shared" si="46"/>
        <v>Jan</v>
      </c>
      <c r="P465" s="921">
        <f t="shared" si="47"/>
        <v>3</v>
      </c>
    </row>
    <row r="466" spans="1:16" ht="15" hidden="1" customHeight="1">
      <c r="A466" s="839">
        <v>68300738</v>
      </c>
      <c r="B466" s="839">
        <v>1352</v>
      </c>
      <c r="C466" s="906">
        <v>2508</v>
      </c>
      <c r="D466" s="907">
        <v>46034</v>
      </c>
      <c r="E466" s="839" t="s">
        <v>325</v>
      </c>
      <c r="F466" s="839" t="s">
        <v>240</v>
      </c>
      <c r="G466" s="916">
        <f>VLOOKUP($A466,'Tech Litons'!$A:$I,8,FALSE)</f>
        <v>8.4960000000000001E-3</v>
      </c>
      <c r="H466" s="917">
        <f>VLOOKUP($A466,'Tech Litons'!$A:$I,9,FALSE)</f>
        <v>132</v>
      </c>
      <c r="I466" s="917" t="str">
        <f>VLOOKUP($A466,'Tech Litons'!$A:$C,3,0)</f>
        <v>EDF</v>
      </c>
      <c r="J466" s="918" t="str">
        <f t="shared" ref="J466:J529" si="48">B466&amp;I466</f>
        <v>1352EDF</v>
      </c>
      <c r="K466" s="919">
        <v>1</v>
      </c>
      <c r="L466" s="920">
        <f t="shared" ref="L466:L529" si="49">C466*$K466</f>
        <v>2508</v>
      </c>
      <c r="M466" s="920">
        <f t="shared" ref="M466:M529" si="50">L466*G466</f>
        <v>21.307967999999999</v>
      </c>
      <c r="N466" s="920">
        <f t="shared" ref="N466:N529" si="51">L466/H466</f>
        <v>19</v>
      </c>
      <c r="O466" s="918" t="str">
        <f t="shared" ref="O466:O529" si="52">TEXT(D466,"MMM")</f>
        <v>Jan</v>
      </c>
      <c r="P466" s="921">
        <f t="shared" ref="P466:P529" si="53">WEEKNUM(D466)</f>
        <v>3</v>
      </c>
    </row>
    <row r="467" spans="1:16" ht="15" hidden="1" customHeight="1">
      <c r="A467" s="839">
        <v>68852591</v>
      </c>
      <c r="B467" s="839">
        <v>1352</v>
      </c>
      <c r="C467" s="906">
        <v>2508</v>
      </c>
      <c r="D467" s="907">
        <v>46034</v>
      </c>
      <c r="E467" s="839" t="s">
        <v>326</v>
      </c>
      <c r="F467" s="839" t="s">
        <v>241</v>
      </c>
      <c r="G467" s="916">
        <f>VLOOKUP($A467,'Tech Litons'!$A:$I,8,FALSE)</f>
        <v>8.5199999999999998E-3</v>
      </c>
      <c r="H467" s="917">
        <f>VLOOKUP($A467,'Tech Litons'!$A:$I,9,FALSE)</f>
        <v>132</v>
      </c>
      <c r="I467" s="917" t="str">
        <f>VLOOKUP($A467,'Tech Litons'!$A:$C,3,0)</f>
        <v>EDF</v>
      </c>
      <c r="J467" s="918" t="str">
        <f t="shared" si="48"/>
        <v>1352EDF</v>
      </c>
      <c r="K467" s="919">
        <v>1</v>
      </c>
      <c r="L467" s="920">
        <f t="shared" si="49"/>
        <v>2508</v>
      </c>
      <c r="M467" s="920">
        <f t="shared" si="50"/>
        <v>21.36816</v>
      </c>
      <c r="N467" s="920">
        <f t="shared" si="51"/>
        <v>19</v>
      </c>
      <c r="O467" s="918" t="str">
        <f t="shared" si="52"/>
        <v>Jan</v>
      </c>
      <c r="P467" s="921">
        <f t="shared" si="53"/>
        <v>3</v>
      </c>
    </row>
    <row r="468" spans="1:16" ht="15" hidden="1" customHeight="1">
      <c r="A468" s="839">
        <v>68300738</v>
      </c>
      <c r="B468" s="839">
        <v>1352</v>
      </c>
      <c r="C468" s="906">
        <v>2788</v>
      </c>
      <c r="D468" s="907">
        <v>46034</v>
      </c>
      <c r="E468" s="839" t="s">
        <v>325</v>
      </c>
      <c r="F468" s="839" t="s">
        <v>240</v>
      </c>
      <c r="G468" s="916">
        <f>VLOOKUP($A468,'Tech Litons'!$A:$I,8,FALSE)</f>
        <v>8.4960000000000001E-3</v>
      </c>
      <c r="H468" s="917">
        <f>VLOOKUP($A468,'Tech Litons'!$A:$I,9,FALSE)</f>
        <v>132</v>
      </c>
      <c r="I468" s="917" t="str">
        <f>VLOOKUP($A468,'Tech Litons'!$A:$C,3,0)</f>
        <v>EDF</v>
      </c>
      <c r="J468" s="918" t="str">
        <f t="shared" si="48"/>
        <v>1352EDF</v>
      </c>
      <c r="K468" s="919">
        <v>1</v>
      </c>
      <c r="L468" s="920">
        <f t="shared" si="49"/>
        <v>2788</v>
      </c>
      <c r="M468" s="920">
        <f t="shared" si="50"/>
        <v>23.686848000000001</v>
      </c>
      <c r="N468" s="920">
        <f t="shared" si="51"/>
        <v>21.121212121212121</v>
      </c>
      <c r="O468" s="918" t="str">
        <f t="shared" si="52"/>
        <v>Jan</v>
      </c>
      <c r="P468" s="921">
        <f t="shared" si="53"/>
        <v>3</v>
      </c>
    </row>
    <row r="469" spans="1:16" ht="15" hidden="1" customHeight="1">
      <c r="A469" s="839">
        <v>68852591</v>
      </c>
      <c r="B469" s="839">
        <v>1352</v>
      </c>
      <c r="C469" s="906">
        <v>3708</v>
      </c>
      <c r="D469" s="907">
        <v>46034</v>
      </c>
      <c r="E469" s="839" t="s">
        <v>326</v>
      </c>
      <c r="F469" s="839" t="s">
        <v>241</v>
      </c>
      <c r="G469" s="916">
        <f>VLOOKUP($A469,'Tech Litons'!$A:$I,8,FALSE)</f>
        <v>8.5199999999999998E-3</v>
      </c>
      <c r="H469" s="917">
        <f>VLOOKUP($A469,'Tech Litons'!$A:$I,9,FALSE)</f>
        <v>132</v>
      </c>
      <c r="I469" s="917" t="str">
        <f>VLOOKUP($A469,'Tech Litons'!$A:$C,3,0)</f>
        <v>EDF</v>
      </c>
      <c r="J469" s="918" t="str">
        <f t="shared" si="48"/>
        <v>1352EDF</v>
      </c>
      <c r="K469" s="919">
        <v>1</v>
      </c>
      <c r="L469" s="920">
        <f t="shared" si="49"/>
        <v>3708</v>
      </c>
      <c r="M469" s="920">
        <f t="shared" si="50"/>
        <v>31.59216</v>
      </c>
      <c r="N469" s="920">
        <f t="shared" si="51"/>
        <v>28.09090909090909</v>
      </c>
      <c r="O469" s="918" t="str">
        <f t="shared" si="52"/>
        <v>Jan</v>
      </c>
      <c r="P469" s="921">
        <f t="shared" si="53"/>
        <v>3</v>
      </c>
    </row>
    <row r="470" spans="1:16" ht="15" hidden="1" customHeight="1">
      <c r="A470" s="839">
        <v>68626039</v>
      </c>
      <c r="B470" s="839">
        <v>2904</v>
      </c>
      <c r="C470" s="906">
        <v>3837</v>
      </c>
      <c r="D470" s="907">
        <v>46034</v>
      </c>
      <c r="E470" s="839" t="s">
        <v>246</v>
      </c>
      <c r="F470" s="839" t="s">
        <v>40</v>
      </c>
      <c r="G470" s="916">
        <f>VLOOKUP($A470,'Tech Litons'!$A:$I,8,FALSE)</f>
        <v>3.7839999999999996E-3</v>
      </c>
      <c r="H470" s="917">
        <f>VLOOKUP($A470,'Tech Litons'!$A:$I,9,FALSE)</f>
        <v>240</v>
      </c>
      <c r="I470" s="917" t="str">
        <f>VLOOKUP($A470,'Tech Litons'!$A:$C,3,0)</f>
        <v>PTS</v>
      </c>
      <c r="J470" s="918" t="str">
        <f t="shared" si="48"/>
        <v>2904PTS</v>
      </c>
      <c r="K470" s="919">
        <v>1</v>
      </c>
      <c r="L470" s="920">
        <f t="shared" si="49"/>
        <v>3837</v>
      </c>
      <c r="M470" s="920">
        <f t="shared" si="50"/>
        <v>14.519207999999999</v>
      </c>
      <c r="N470" s="920">
        <f t="shared" si="51"/>
        <v>15.987500000000001</v>
      </c>
      <c r="O470" s="918" t="str">
        <f t="shared" si="52"/>
        <v>Jan</v>
      </c>
      <c r="P470" s="921">
        <f t="shared" si="53"/>
        <v>3</v>
      </c>
    </row>
    <row r="471" spans="1:16" ht="15" hidden="1" customHeight="1">
      <c r="A471" s="839">
        <v>69568828</v>
      </c>
      <c r="B471" s="839">
        <v>2904</v>
      </c>
      <c r="C471" s="906">
        <v>4224</v>
      </c>
      <c r="D471" s="907">
        <v>46034</v>
      </c>
      <c r="E471" s="839" t="s">
        <v>320</v>
      </c>
      <c r="F471" s="839" t="s">
        <v>273</v>
      </c>
      <c r="G471" s="916">
        <f>VLOOKUP($A471,'Tech Litons'!$A:$I,8,FALSE)</f>
        <v>8.5199999999999998E-3</v>
      </c>
      <c r="H471" s="917">
        <f>VLOOKUP($A471,'Tech Litons'!$A:$I,9,FALSE)</f>
        <v>176</v>
      </c>
      <c r="I471" s="917" t="str">
        <f>VLOOKUP($A471,'Tech Litons'!$A:$C,3,0)</f>
        <v>48oz</v>
      </c>
      <c r="J471" s="918" t="str">
        <f t="shared" si="48"/>
        <v>290448oz</v>
      </c>
      <c r="K471" s="919">
        <v>1</v>
      </c>
      <c r="L471" s="920">
        <f t="shared" si="49"/>
        <v>4224</v>
      </c>
      <c r="M471" s="920">
        <f t="shared" si="50"/>
        <v>35.988479999999996</v>
      </c>
      <c r="N471" s="920">
        <f t="shared" si="51"/>
        <v>24</v>
      </c>
      <c r="O471" s="918" t="str">
        <f t="shared" si="52"/>
        <v>Jan</v>
      </c>
      <c r="P471" s="921">
        <f t="shared" si="53"/>
        <v>3</v>
      </c>
    </row>
    <row r="472" spans="1:16" ht="15" hidden="1" customHeight="1">
      <c r="A472" s="839">
        <v>64389650</v>
      </c>
      <c r="B472" s="839">
        <v>2904</v>
      </c>
      <c r="C472" s="906">
        <v>4752</v>
      </c>
      <c r="D472" s="907">
        <v>46034</v>
      </c>
      <c r="E472" s="839" t="s">
        <v>330</v>
      </c>
      <c r="F472" s="839" t="s">
        <v>271</v>
      </c>
      <c r="G472" s="916">
        <f>VLOOKUP($A472,'Tech Litons'!$A:$I,8,FALSE)</f>
        <v>8.5199999999999998E-3</v>
      </c>
      <c r="H472" s="917">
        <f>VLOOKUP($A472,'Tech Litons'!$A:$I,9,FALSE)</f>
        <v>176</v>
      </c>
      <c r="I472" s="917" t="str">
        <f>VLOOKUP($A472,'Tech Litons'!$A:$C,3,0)</f>
        <v>48oz</v>
      </c>
      <c r="J472" s="918" t="str">
        <f t="shared" si="48"/>
        <v>290448oz</v>
      </c>
      <c r="K472" s="919">
        <v>1</v>
      </c>
      <c r="L472" s="920">
        <f t="shared" si="49"/>
        <v>4752</v>
      </c>
      <c r="M472" s="920">
        <f t="shared" si="50"/>
        <v>40.48704</v>
      </c>
      <c r="N472" s="920">
        <f t="shared" si="51"/>
        <v>27</v>
      </c>
      <c r="O472" s="918" t="str">
        <f t="shared" si="52"/>
        <v>Jan</v>
      </c>
      <c r="P472" s="921">
        <f t="shared" si="53"/>
        <v>3</v>
      </c>
    </row>
    <row r="473" spans="1:16" ht="15" hidden="1" customHeight="1">
      <c r="A473" s="839">
        <v>68817801</v>
      </c>
      <c r="B473" s="839">
        <v>2904</v>
      </c>
      <c r="C473" s="906">
        <v>4752</v>
      </c>
      <c r="D473" s="907">
        <v>46034</v>
      </c>
      <c r="E473" s="839" t="s">
        <v>333</v>
      </c>
      <c r="F473" s="839" t="s">
        <v>269</v>
      </c>
      <c r="G473" s="916">
        <f>VLOOKUP($A473,'Tech Litons'!$A:$I,8,FALSE)</f>
        <v>8.5199999999999998E-3</v>
      </c>
      <c r="H473" s="917">
        <f>VLOOKUP($A473,'Tech Litons'!$A:$I,9,FALSE)</f>
        <v>176</v>
      </c>
      <c r="I473" s="917" t="str">
        <f>VLOOKUP($A473,'Tech Litons'!$A:$C,3,0)</f>
        <v>48oz</v>
      </c>
      <c r="J473" s="918" t="str">
        <f t="shared" si="48"/>
        <v>290448oz</v>
      </c>
      <c r="K473" s="919">
        <v>1</v>
      </c>
      <c r="L473" s="920">
        <f t="shared" si="49"/>
        <v>4752</v>
      </c>
      <c r="M473" s="920">
        <f t="shared" si="50"/>
        <v>40.48704</v>
      </c>
      <c r="N473" s="920">
        <f t="shared" si="51"/>
        <v>27</v>
      </c>
      <c r="O473" s="918" t="str">
        <f t="shared" si="52"/>
        <v>Jan</v>
      </c>
      <c r="P473" s="921">
        <f t="shared" si="53"/>
        <v>3</v>
      </c>
    </row>
    <row r="474" spans="1:16" ht="15" hidden="1" customHeight="1">
      <c r="A474" s="839">
        <v>64977530</v>
      </c>
      <c r="B474" s="839">
        <v>1352</v>
      </c>
      <c r="C474" s="906">
        <v>4756</v>
      </c>
      <c r="D474" s="907">
        <v>46034</v>
      </c>
      <c r="E474" s="839" t="s">
        <v>310</v>
      </c>
      <c r="F474" s="839" t="s">
        <v>266</v>
      </c>
      <c r="G474" s="916">
        <f>VLOOKUP($A474,'Tech Litons'!$A:$I,8,FALSE)</f>
        <v>8.513999999999999E-3</v>
      </c>
      <c r="H474" s="917">
        <f>VLOOKUP($A474,'Tech Litons'!$A:$I,9,FALSE)</f>
        <v>176</v>
      </c>
      <c r="I474" s="917" t="str">
        <f>VLOOKUP($A474,'Tech Litons'!$A:$C,3,0)</f>
        <v>48oz</v>
      </c>
      <c r="J474" s="918" t="str">
        <f t="shared" si="48"/>
        <v>135248oz</v>
      </c>
      <c r="K474" s="919">
        <v>1</v>
      </c>
      <c r="L474" s="920">
        <f t="shared" si="49"/>
        <v>4756</v>
      </c>
      <c r="M474" s="920">
        <f t="shared" si="50"/>
        <v>40.492583999999994</v>
      </c>
      <c r="N474" s="920">
        <f t="shared" si="51"/>
        <v>27.022727272727273</v>
      </c>
      <c r="O474" s="918" t="str">
        <f t="shared" si="52"/>
        <v>Jan</v>
      </c>
      <c r="P474" s="921">
        <f t="shared" si="53"/>
        <v>3</v>
      </c>
    </row>
    <row r="475" spans="1:16" ht="15" hidden="1" customHeight="1">
      <c r="A475" s="839">
        <v>67473913</v>
      </c>
      <c r="B475" s="839">
        <v>5914</v>
      </c>
      <c r="C475" s="906">
        <v>4800</v>
      </c>
      <c r="D475" s="907">
        <v>46034</v>
      </c>
      <c r="E475" s="839" t="s">
        <v>468</v>
      </c>
      <c r="F475" s="839" t="s">
        <v>279</v>
      </c>
      <c r="G475" s="916">
        <f>VLOOKUP($A475,'Tech Litons'!$A:$I,8,FALSE)</f>
        <v>3.7853439999999999E-3</v>
      </c>
      <c r="H475" s="917">
        <f>VLOOKUP($A475,'Tech Litons'!$A:$I,9,FALSE)</f>
        <v>240</v>
      </c>
      <c r="I475" s="917" t="str">
        <f>VLOOKUP($A475,'Tech Litons'!$A:$C,3,0)</f>
        <v>PTS Exports</v>
      </c>
      <c r="J475" s="918" t="str">
        <f t="shared" si="48"/>
        <v>5914PTS Exports</v>
      </c>
      <c r="K475" s="919">
        <v>1</v>
      </c>
      <c r="L475" s="920">
        <f t="shared" si="49"/>
        <v>4800</v>
      </c>
      <c r="M475" s="920">
        <f t="shared" si="50"/>
        <v>18.169651200000001</v>
      </c>
      <c r="N475" s="920">
        <f t="shared" si="51"/>
        <v>20</v>
      </c>
      <c r="O475" s="918" t="str">
        <f t="shared" si="52"/>
        <v>Jan</v>
      </c>
      <c r="P475" s="921">
        <f t="shared" si="53"/>
        <v>3</v>
      </c>
    </row>
    <row r="476" spans="1:16" ht="15" hidden="1" customHeight="1">
      <c r="A476" s="839">
        <v>68851107</v>
      </c>
      <c r="B476" s="839">
        <v>1352</v>
      </c>
      <c r="C476" s="906">
        <v>5102</v>
      </c>
      <c r="D476" s="907">
        <v>46034</v>
      </c>
      <c r="E476" s="839" t="s">
        <v>272</v>
      </c>
      <c r="F476" s="839" t="s">
        <v>290</v>
      </c>
      <c r="G476" s="916">
        <f>VLOOKUP($A476,'Tech Litons'!$A:$I,8,FALSE)</f>
        <v>8.5199999999999998E-3</v>
      </c>
      <c r="H476" s="917">
        <f>VLOOKUP($A476,'Tech Litons'!$A:$I,9,FALSE)</f>
        <v>176</v>
      </c>
      <c r="I476" s="917" t="str">
        <f>VLOOKUP($A476,'Tech Litons'!$A:$C,3,0)</f>
        <v>48oz</v>
      </c>
      <c r="J476" s="918" t="str">
        <f t="shared" si="48"/>
        <v>135248oz</v>
      </c>
      <c r="K476" s="919">
        <v>1</v>
      </c>
      <c r="L476" s="920">
        <f t="shared" si="49"/>
        <v>5102</v>
      </c>
      <c r="M476" s="920">
        <f t="shared" si="50"/>
        <v>43.46904</v>
      </c>
      <c r="N476" s="920">
        <f t="shared" si="51"/>
        <v>28.988636363636363</v>
      </c>
      <c r="O476" s="918" t="str">
        <f t="shared" si="52"/>
        <v>Jan</v>
      </c>
      <c r="P476" s="921">
        <f t="shared" si="53"/>
        <v>3</v>
      </c>
    </row>
    <row r="477" spans="1:16" ht="15" hidden="1" customHeight="1">
      <c r="A477" s="839">
        <v>68851107</v>
      </c>
      <c r="B477" s="839">
        <v>1352</v>
      </c>
      <c r="C477" s="906">
        <v>6421</v>
      </c>
      <c r="D477" s="907">
        <v>46034</v>
      </c>
      <c r="E477" s="839" t="s">
        <v>272</v>
      </c>
      <c r="F477" s="839" t="s">
        <v>290</v>
      </c>
      <c r="G477" s="916">
        <f>VLOOKUP($A477,'Tech Litons'!$A:$I,8,FALSE)</f>
        <v>8.5199999999999998E-3</v>
      </c>
      <c r="H477" s="917">
        <f>VLOOKUP($A477,'Tech Litons'!$A:$I,9,FALSE)</f>
        <v>176</v>
      </c>
      <c r="I477" s="917" t="str">
        <f>VLOOKUP($A477,'Tech Litons'!$A:$C,3,0)</f>
        <v>48oz</v>
      </c>
      <c r="J477" s="918" t="str">
        <f t="shared" si="48"/>
        <v>135248oz</v>
      </c>
      <c r="K477" s="919">
        <v>1</v>
      </c>
      <c r="L477" s="920">
        <f t="shared" si="49"/>
        <v>6421</v>
      </c>
      <c r="M477" s="920">
        <f t="shared" si="50"/>
        <v>54.706919999999997</v>
      </c>
      <c r="N477" s="920">
        <f t="shared" si="51"/>
        <v>36.482954545454547</v>
      </c>
      <c r="O477" s="918" t="str">
        <f t="shared" si="52"/>
        <v>Jan</v>
      </c>
      <c r="P477" s="921">
        <f t="shared" si="53"/>
        <v>3</v>
      </c>
    </row>
    <row r="478" spans="1:16" ht="15" hidden="1" customHeight="1">
      <c r="A478" s="839">
        <v>64369043</v>
      </c>
      <c r="B478" s="839">
        <v>2904</v>
      </c>
      <c r="C478" s="906">
        <v>6630</v>
      </c>
      <c r="D478" s="907">
        <v>46034</v>
      </c>
      <c r="E478" s="839" t="s">
        <v>329</v>
      </c>
      <c r="F478" s="839" t="s">
        <v>275</v>
      </c>
      <c r="G478" s="916">
        <f>VLOOKUP($A478,'Tech Litons'!$A:$I,8,FALSE)</f>
        <v>3.552E-3</v>
      </c>
      <c r="H478" s="917">
        <f>VLOOKUP($A478,'Tech Litons'!$A:$I,9,FALSE)</f>
        <v>255</v>
      </c>
      <c r="I478" s="917" t="str">
        <f>VLOOKUP($A478,'Tech Litons'!$A:$C,3,0)</f>
        <v>Talenti</v>
      </c>
      <c r="J478" s="918" t="str">
        <f t="shared" si="48"/>
        <v>2904Talenti</v>
      </c>
      <c r="K478" s="919">
        <v>1</v>
      </c>
      <c r="L478" s="920">
        <f t="shared" si="49"/>
        <v>6630</v>
      </c>
      <c r="M478" s="920">
        <f t="shared" si="50"/>
        <v>23.549759999999999</v>
      </c>
      <c r="N478" s="920">
        <f t="shared" si="51"/>
        <v>26</v>
      </c>
      <c r="O478" s="918" t="str">
        <f t="shared" si="52"/>
        <v>Jan</v>
      </c>
      <c r="P478" s="921">
        <f t="shared" si="53"/>
        <v>3</v>
      </c>
    </row>
    <row r="479" spans="1:16" ht="15" hidden="1" customHeight="1">
      <c r="A479" s="839">
        <v>67881629</v>
      </c>
      <c r="B479" s="839">
        <v>5914</v>
      </c>
      <c r="C479" s="906">
        <v>11426</v>
      </c>
      <c r="D479" s="907">
        <v>46034</v>
      </c>
      <c r="E479" s="839" t="s">
        <v>337</v>
      </c>
      <c r="F479" s="839" t="s">
        <v>279</v>
      </c>
      <c r="G479" s="916">
        <f>VLOOKUP($A479,'Tech Litons'!$A:$I,8,FALSE)</f>
        <v>3.7853439999999999E-3</v>
      </c>
      <c r="H479" s="917">
        <f>VLOOKUP($A479,'Tech Litons'!$A:$I,9,FALSE)</f>
        <v>240</v>
      </c>
      <c r="I479" s="917" t="str">
        <f>VLOOKUP($A479,'Tech Litons'!$A:$C,3,0)</f>
        <v>BJ PTS</v>
      </c>
      <c r="J479" s="918" t="str">
        <f t="shared" si="48"/>
        <v>5914BJ PTS</v>
      </c>
      <c r="K479" s="919">
        <v>1</v>
      </c>
      <c r="L479" s="920">
        <f t="shared" si="49"/>
        <v>11426</v>
      </c>
      <c r="M479" s="920">
        <f t="shared" si="50"/>
        <v>43.251340544000001</v>
      </c>
      <c r="N479" s="920">
        <f t="shared" si="51"/>
        <v>47.608333333333334</v>
      </c>
      <c r="O479" s="918" t="str">
        <f t="shared" si="52"/>
        <v>Jan</v>
      </c>
      <c r="P479" s="921">
        <f t="shared" si="53"/>
        <v>3</v>
      </c>
    </row>
    <row r="480" spans="1:16" ht="15" hidden="1" customHeight="1">
      <c r="A480" s="839">
        <v>67826412</v>
      </c>
      <c r="B480" s="839">
        <v>5911</v>
      </c>
      <c r="C480" s="906">
        <v>13920</v>
      </c>
      <c r="D480" s="907">
        <v>46034</v>
      </c>
      <c r="E480" s="839" t="s">
        <v>312</v>
      </c>
      <c r="F480" s="839" t="s">
        <v>303</v>
      </c>
      <c r="G480" s="916">
        <f>VLOOKUP($A480,'Tech Litons'!$A:$I,8,FALSE)</f>
        <v>3.7853439999999999E-3</v>
      </c>
      <c r="H480" s="917">
        <f>VLOOKUP($A480,'Tech Litons'!$A:$I,9,FALSE)</f>
        <v>240</v>
      </c>
      <c r="I480" s="917" t="str">
        <f>VLOOKUP($A480,'Tech Litons'!$A:$C,3,0)</f>
        <v>BJ PTS</v>
      </c>
      <c r="J480" s="918" t="str">
        <f t="shared" si="48"/>
        <v>5911BJ PTS</v>
      </c>
      <c r="K480" s="919">
        <v>1</v>
      </c>
      <c r="L480" s="920">
        <f t="shared" si="49"/>
        <v>13920</v>
      </c>
      <c r="M480" s="920">
        <f t="shared" si="50"/>
        <v>52.691988479999999</v>
      </c>
      <c r="N480" s="920">
        <f t="shared" si="51"/>
        <v>58</v>
      </c>
      <c r="O480" s="918" t="str">
        <f t="shared" si="52"/>
        <v>Jan</v>
      </c>
      <c r="P480" s="921">
        <f t="shared" si="53"/>
        <v>3</v>
      </c>
    </row>
    <row r="481" spans="1:16" ht="15" hidden="1" customHeight="1">
      <c r="A481" s="839">
        <v>68860059</v>
      </c>
      <c r="B481" s="839">
        <v>2904</v>
      </c>
      <c r="C481" s="906">
        <v>15045</v>
      </c>
      <c r="D481" s="907">
        <v>46034</v>
      </c>
      <c r="E481" s="839" t="s">
        <v>319</v>
      </c>
      <c r="F481" s="839" t="s">
        <v>277</v>
      </c>
      <c r="G481" s="916">
        <f>VLOOKUP($A481,'Tech Litons'!$A:$I,8,FALSE)</f>
        <v>3.7839999999999996E-3</v>
      </c>
      <c r="H481" s="917">
        <f>VLOOKUP($A481,'Tech Litons'!$A:$I,9,FALSE)</f>
        <v>255</v>
      </c>
      <c r="I481" s="917" t="str">
        <f>VLOOKUP($A481,'Tech Litons'!$A:$C,3,0)</f>
        <v>Talenti</v>
      </c>
      <c r="J481" s="918" t="str">
        <f t="shared" si="48"/>
        <v>2904Talenti</v>
      </c>
      <c r="K481" s="919">
        <v>1</v>
      </c>
      <c r="L481" s="920">
        <f t="shared" si="49"/>
        <v>15045</v>
      </c>
      <c r="M481" s="920">
        <f t="shared" si="50"/>
        <v>56.930279999999996</v>
      </c>
      <c r="N481" s="920">
        <f t="shared" si="51"/>
        <v>59</v>
      </c>
      <c r="O481" s="918" t="str">
        <f t="shared" si="52"/>
        <v>Jan</v>
      </c>
      <c r="P481" s="921">
        <f t="shared" si="53"/>
        <v>3</v>
      </c>
    </row>
    <row r="482" spans="1:16" ht="15" hidden="1" customHeight="1">
      <c r="A482" s="839">
        <v>84135718</v>
      </c>
      <c r="B482" s="839">
        <v>5914</v>
      </c>
      <c r="C482" s="906">
        <v>18480</v>
      </c>
      <c r="D482" s="907">
        <v>46034</v>
      </c>
      <c r="E482" s="839" t="s">
        <v>338</v>
      </c>
      <c r="F482" s="839" t="s">
        <v>301</v>
      </c>
      <c r="G482" s="916">
        <f>VLOOKUP($A482,'Tech Litons'!$A:$I,8,FALSE)</f>
        <v>3.7853439999999999E-3</v>
      </c>
      <c r="H482" s="917">
        <f>VLOOKUP($A482,'Tech Litons'!$A:$I,9,FALSE)</f>
        <v>240</v>
      </c>
      <c r="I482" s="917" t="str">
        <f>VLOOKUP($A482,'Tech Litons'!$A:$C,3,0)</f>
        <v>BJ PTS</v>
      </c>
      <c r="J482" s="918" t="str">
        <f t="shared" si="48"/>
        <v>5914BJ PTS</v>
      </c>
      <c r="K482" s="919">
        <v>1</v>
      </c>
      <c r="L482" s="920">
        <f t="shared" si="49"/>
        <v>18480</v>
      </c>
      <c r="M482" s="920">
        <f t="shared" si="50"/>
        <v>69.95315712</v>
      </c>
      <c r="N482" s="920">
        <f t="shared" si="51"/>
        <v>77</v>
      </c>
      <c r="O482" s="918" t="str">
        <f t="shared" si="52"/>
        <v>Jan</v>
      </c>
      <c r="P482" s="921">
        <f t="shared" si="53"/>
        <v>3</v>
      </c>
    </row>
    <row r="483" spans="1:16" ht="15" hidden="1" customHeight="1">
      <c r="A483" s="839">
        <v>68741714</v>
      </c>
      <c r="B483" s="839">
        <v>1352</v>
      </c>
      <c r="C483" s="906">
        <v>21</v>
      </c>
      <c r="D483" s="907">
        <v>46035</v>
      </c>
      <c r="E483" s="839" t="s">
        <v>286</v>
      </c>
      <c r="F483" s="839" t="s">
        <v>287</v>
      </c>
      <c r="G483" s="916">
        <f>VLOOKUP($A483,'Tech Litons'!$A:$I,8,FALSE)</f>
        <v>2.8319999999999999E-3</v>
      </c>
      <c r="H483" s="917">
        <f>VLOOKUP($A483,'Tech Litons'!$A:$I,9,FALSE)</f>
        <v>225</v>
      </c>
      <c r="I483" s="917" t="str">
        <f>VLOOKUP($A483,'Tech Litons'!$A:$C,3,0)</f>
        <v>MBG</v>
      </c>
      <c r="J483" s="918" t="str">
        <f t="shared" si="48"/>
        <v>1352MBG</v>
      </c>
      <c r="K483" s="919">
        <v>1</v>
      </c>
      <c r="L483" s="920">
        <f t="shared" si="49"/>
        <v>21</v>
      </c>
      <c r="M483" s="920">
        <f t="shared" si="50"/>
        <v>5.9471999999999997E-2</v>
      </c>
      <c r="N483" s="920">
        <f t="shared" si="51"/>
        <v>9.3333333333333338E-2</v>
      </c>
      <c r="O483" s="918" t="str">
        <f t="shared" si="52"/>
        <v>Jan</v>
      </c>
      <c r="P483" s="921">
        <f t="shared" si="53"/>
        <v>3</v>
      </c>
    </row>
    <row r="484" spans="1:16" ht="15" hidden="1" customHeight="1">
      <c r="A484" s="839">
        <v>64341967</v>
      </c>
      <c r="B484" s="839">
        <v>1352</v>
      </c>
      <c r="C484" s="906">
        <v>47</v>
      </c>
      <c r="D484" s="907">
        <v>46035</v>
      </c>
      <c r="E484" s="839" t="s">
        <v>260</v>
      </c>
      <c r="F484" s="839" t="s">
        <v>261</v>
      </c>
      <c r="G484" s="916">
        <f>VLOOKUP($A484,'Tech Litons'!$A:$I,8,FALSE)</f>
        <v>8.513999999999999E-3</v>
      </c>
      <c r="H484" s="917">
        <f>VLOOKUP($A484,'Tech Litons'!$A:$I,9,FALSE)</f>
        <v>176</v>
      </c>
      <c r="I484" s="917" t="str">
        <f>VLOOKUP($A484,'Tech Litons'!$A:$C,3,0)</f>
        <v>48oz</v>
      </c>
      <c r="J484" s="918" t="str">
        <f t="shared" si="48"/>
        <v>135248oz</v>
      </c>
      <c r="K484" s="919">
        <v>1</v>
      </c>
      <c r="L484" s="920">
        <f t="shared" si="49"/>
        <v>47</v>
      </c>
      <c r="M484" s="920">
        <f t="shared" si="50"/>
        <v>0.40015799999999996</v>
      </c>
      <c r="N484" s="920">
        <f t="shared" si="51"/>
        <v>0.26704545454545453</v>
      </c>
      <c r="O484" s="918" t="str">
        <f t="shared" si="52"/>
        <v>Jan</v>
      </c>
      <c r="P484" s="921">
        <f t="shared" si="53"/>
        <v>3</v>
      </c>
    </row>
    <row r="485" spans="1:16" ht="15" hidden="1" customHeight="1">
      <c r="A485" s="839">
        <v>68851104</v>
      </c>
      <c r="B485" s="839">
        <v>1352</v>
      </c>
      <c r="C485" s="906">
        <v>80</v>
      </c>
      <c r="D485" s="907">
        <v>46035</v>
      </c>
      <c r="E485" s="839" t="s">
        <v>270</v>
      </c>
      <c r="F485" s="839" t="s">
        <v>290</v>
      </c>
      <c r="G485" s="916">
        <f>VLOOKUP($A485,'Tech Litons'!$A:$I,8,FALSE)</f>
        <v>8.5199999999999998E-3</v>
      </c>
      <c r="H485" s="917">
        <f>VLOOKUP($A485,'Tech Litons'!$A:$I,9,FALSE)</f>
        <v>176</v>
      </c>
      <c r="I485" s="917" t="str">
        <f>VLOOKUP($A485,'Tech Litons'!$A:$C,3,0)</f>
        <v>48oz</v>
      </c>
      <c r="J485" s="918" t="str">
        <f t="shared" si="48"/>
        <v>135248oz</v>
      </c>
      <c r="K485" s="919">
        <v>1</v>
      </c>
      <c r="L485" s="920">
        <f t="shared" si="49"/>
        <v>80</v>
      </c>
      <c r="M485" s="920">
        <f t="shared" si="50"/>
        <v>0.68159999999999998</v>
      </c>
      <c r="N485" s="920">
        <f t="shared" si="51"/>
        <v>0.45454545454545453</v>
      </c>
      <c r="O485" s="918" t="str">
        <f t="shared" si="52"/>
        <v>Jan</v>
      </c>
      <c r="P485" s="921">
        <f t="shared" si="53"/>
        <v>3</v>
      </c>
    </row>
    <row r="486" spans="1:16" ht="15" hidden="1" customHeight="1">
      <c r="A486" s="839">
        <v>64958128</v>
      </c>
      <c r="B486" s="839">
        <v>2904</v>
      </c>
      <c r="C486" s="906">
        <v>165</v>
      </c>
      <c r="D486" s="907">
        <v>46035</v>
      </c>
      <c r="E486" s="839" t="s">
        <v>235</v>
      </c>
      <c r="F486" s="839" t="s">
        <v>234</v>
      </c>
      <c r="G486" s="916">
        <f>VLOOKUP($A486,'Tech Litons'!$A:$I,8,FALSE)</f>
        <v>3.3119999999999998E-3</v>
      </c>
      <c r="H486" s="917">
        <f>VLOOKUP($A486,'Tech Litons'!$A:$I,9,FALSE)</f>
        <v>165</v>
      </c>
      <c r="I486" s="917" t="str">
        <f>VLOOKUP($A486,'Tech Litons'!$A:$C,3,0)</f>
        <v>Yasso Sticks</v>
      </c>
      <c r="J486" s="918" t="str">
        <f t="shared" si="48"/>
        <v>2904Yasso Sticks</v>
      </c>
      <c r="K486" s="919">
        <v>1</v>
      </c>
      <c r="L486" s="920">
        <f t="shared" si="49"/>
        <v>165</v>
      </c>
      <c r="M486" s="920">
        <f t="shared" si="50"/>
        <v>0.54647999999999997</v>
      </c>
      <c r="N486" s="920">
        <f t="shared" si="51"/>
        <v>1</v>
      </c>
      <c r="O486" s="918" t="str">
        <f t="shared" si="52"/>
        <v>Jan</v>
      </c>
      <c r="P486" s="921">
        <f t="shared" si="53"/>
        <v>3</v>
      </c>
    </row>
    <row r="487" spans="1:16" ht="15" hidden="1" customHeight="1">
      <c r="A487" s="839">
        <v>68741742</v>
      </c>
      <c r="B487" s="839">
        <v>2904</v>
      </c>
      <c r="C487" s="906">
        <v>308</v>
      </c>
      <c r="D487" s="907">
        <v>46035</v>
      </c>
      <c r="E487" s="839" t="s">
        <v>288</v>
      </c>
      <c r="F487" s="839" t="s">
        <v>295</v>
      </c>
      <c r="G487" s="916">
        <f>VLOOKUP($A487,'Tech Litons'!$A:$I,8,FALSE)</f>
        <v>4.2560000000000002E-3</v>
      </c>
      <c r="H487" s="917">
        <f>VLOOKUP($A487,'Tech Litons'!$A:$I,9,FALSE)</f>
        <v>154</v>
      </c>
      <c r="I487" s="917" t="str">
        <f>VLOOKUP($A487,'Tech Litons'!$A:$C,3,0)</f>
        <v>MBG</v>
      </c>
      <c r="J487" s="918" t="str">
        <f t="shared" si="48"/>
        <v>2904MBG</v>
      </c>
      <c r="K487" s="919">
        <v>1</v>
      </c>
      <c r="L487" s="920">
        <f t="shared" si="49"/>
        <v>308</v>
      </c>
      <c r="M487" s="920">
        <f t="shared" si="50"/>
        <v>1.310848</v>
      </c>
      <c r="N487" s="920">
        <f t="shared" si="51"/>
        <v>2</v>
      </c>
      <c r="O487" s="918" t="str">
        <f t="shared" si="52"/>
        <v>Jan</v>
      </c>
      <c r="P487" s="921">
        <f t="shared" si="53"/>
        <v>3</v>
      </c>
    </row>
    <row r="488" spans="1:16" ht="15" hidden="1" customHeight="1">
      <c r="A488" s="839">
        <v>64874633</v>
      </c>
      <c r="B488" s="839">
        <v>3910</v>
      </c>
      <c r="C488" s="906">
        <v>560</v>
      </c>
      <c r="D488" s="907">
        <v>46035</v>
      </c>
      <c r="E488" s="839" t="s">
        <v>341</v>
      </c>
      <c r="F488" s="839" t="s">
        <v>342</v>
      </c>
      <c r="G488" s="916">
        <f>VLOOKUP($A488,'Tech Litons'!$A:$I,8,FALSE)</f>
        <v>3.192E-3</v>
      </c>
      <c r="H488" s="917">
        <f>VLOOKUP($A488,'Tech Litons'!$A:$I,9,FALSE)</f>
        <v>280</v>
      </c>
      <c r="I488" s="917" t="str">
        <f>VLOOKUP($A488,'Tech Litons'!$A:$C,3,0)</f>
        <v>ESS</v>
      </c>
      <c r="J488" s="918" t="str">
        <f t="shared" si="48"/>
        <v>3910ESS</v>
      </c>
      <c r="K488" s="919">
        <v>1</v>
      </c>
      <c r="L488" s="920">
        <f t="shared" si="49"/>
        <v>560</v>
      </c>
      <c r="M488" s="920">
        <f t="shared" si="50"/>
        <v>1.78752</v>
      </c>
      <c r="N488" s="920">
        <f t="shared" si="51"/>
        <v>2</v>
      </c>
      <c r="O488" s="918" t="str">
        <f t="shared" si="52"/>
        <v>Jan</v>
      </c>
      <c r="P488" s="921">
        <f t="shared" si="53"/>
        <v>3</v>
      </c>
    </row>
    <row r="489" spans="1:16" ht="15" hidden="1" customHeight="1">
      <c r="A489" s="839">
        <v>69629468</v>
      </c>
      <c r="B489" s="839">
        <v>2904</v>
      </c>
      <c r="C489" s="906">
        <v>1040</v>
      </c>
      <c r="D489" s="907">
        <v>46035</v>
      </c>
      <c r="E489" s="839" t="s">
        <v>291</v>
      </c>
      <c r="F489" s="839" t="s">
        <v>226</v>
      </c>
      <c r="G489" s="916">
        <f>VLOOKUP($A489,'Tech Litons'!$A:$I,8,FALSE)</f>
        <v>5.2680000000000001E-3</v>
      </c>
      <c r="H489" s="917">
        <f>VLOOKUP($A489,'Tech Litons'!$A:$I,9,FALSE)</f>
        <v>130</v>
      </c>
      <c r="I489" s="917" t="str">
        <f>VLOOKUP($A489,'Tech Litons'!$A:$C,3,0)</f>
        <v>PG</v>
      </c>
      <c r="J489" s="918" t="str">
        <f t="shared" si="48"/>
        <v>2904PG</v>
      </c>
      <c r="K489" s="919">
        <v>1</v>
      </c>
      <c r="L489" s="920">
        <f t="shared" si="49"/>
        <v>1040</v>
      </c>
      <c r="M489" s="920">
        <f t="shared" si="50"/>
        <v>5.47872</v>
      </c>
      <c r="N489" s="920">
        <f t="shared" si="51"/>
        <v>8</v>
      </c>
      <c r="O489" s="918" t="str">
        <f t="shared" si="52"/>
        <v>Jan</v>
      </c>
      <c r="P489" s="921">
        <f t="shared" si="53"/>
        <v>3</v>
      </c>
    </row>
    <row r="490" spans="1:16" ht="15" hidden="1" customHeight="1">
      <c r="A490" s="839">
        <v>68741742</v>
      </c>
      <c r="B490" s="839">
        <v>1352</v>
      </c>
      <c r="C490" s="906">
        <v>1076</v>
      </c>
      <c r="D490" s="907">
        <v>46035</v>
      </c>
      <c r="E490" s="839" t="s">
        <v>288</v>
      </c>
      <c r="F490" s="839" t="s">
        <v>289</v>
      </c>
      <c r="G490" s="916">
        <f>VLOOKUP($A490,'Tech Litons'!$A:$I,8,FALSE)</f>
        <v>4.2560000000000002E-3</v>
      </c>
      <c r="H490" s="917">
        <f>VLOOKUP($A490,'Tech Litons'!$A:$I,9,FALSE)</f>
        <v>154</v>
      </c>
      <c r="I490" s="917" t="str">
        <f>VLOOKUP($A490,'Tech Litons'!$A:$C,3,0)</f>
        <v>MBG</v>
      </c>
      <c r="J490" s="918" t="str">
        <f t="shared" si="48"/>
        <v>1352MBG</v>
      </c>
      <c r="K490" s="919">
        <v>1</v>
      </c>
      <c r="L490" s="920">
        <f t="shared" si="49"/>
        <v>1076</v>
      </c>
      <c r="M490" s="920">
        <f t="shared" si="50"/>
        <v>4.5794560000000004</v>
      </c>
      <c r="N490" s="920">
        <f t="shared" si="51"/>
        <v>6.9870129870129869</v>
      </c>
      <c r="O490" s="918" t="str">
        <f t="shared" si="52"/>
        <v>Jan</v>
      </c>
      <c r="P490" s="921">
        <f t="shared" si="53"/>
        <v>3</v>
      </c>
    </row>
    <row r="491" spans="1:16" ht="15" hidden="1" customHeight="1">
      <c r="A491" s="839">
        <v>68741742</v>
      </c>
      <c r="B491" s="839">
        <v>2904</v>
      </c>
      <c r="C491" s="906">
        <v>1078</v>
      </c>
      <c r="D491" s="907">
        <v>46035</v>
      </c>
      <c r="E491" s="839" t="s">
        <v>288</v>
      </c>
      <c r="F491" s="839" t="s">
        <v>295</v>
      </c>
      <c r="G491" s="916">
        <f>VLOOKUP($A491,'Tech Litons'!$A:$I,8,FALSE)</f>
        <v>4.2560000000000002E-3</v>
      </c>
      <c r="H491" s="917">
        <f>VLOOKUP($A491,'Tech Litons'!$A:$I,9,FALSE)</f>
        <v>154</v>
      </c>
      <c r="I491" s="917" t="str">
        <f>VLOOKUP($A491,'Tech Litons'!$A:$C,3,0)</f>
        <v>MBG</v>
      </c>
      <c r="J491" s="918" t="str">
        <f t="shared" si="48"/>
        <v>2904MBG</v>
      </c>
      <c r="K491" s="919">
        <v>1</v>
      </c>
      <c r="L491" s="920">
        <f t="shared" si="49"/>
        <v>1078</v>
      </c>
      <c r="M491" s="920">
        <f t="shared" si="50"/>
        <v>4.587968</v>
      </c>
      <c r="N491" s="920">
        <f t="shared" si="51"/>
        <v>7</v>
      </c>
      <c r="O491" s="918" t="str">
        <f t="shared" si="52"/>
        <v>Jan</v>
      </c>
      <c r="P491" s="921">
        <f t="shared" si="53"/>
        <v>3</v>
      </c>
    </row>
    <row r="492" spans="1:16" ht="15" hidden="1" customHeight="1">
      <c r="A492" s="839">
        <v>68746232</v>
      </c>
      <c r="B492" s="839">
        <v>2904</v>
      </c>
      <c r="C492" s="906">
        <v>1140</v>
      </c>
      <c r="D492" s="907">
        <v>46035</v>
      </c>
      <c r="E492" s="839" t="s">
        <v>508</v>
      </c>
      <c r="F492" s="839" t="s">
        <v>243</v>
      </c>
      <c r="G492" s="916">
        <f>VLOOKUP($A492,'Tech Litons'!$A:$I,8,FALSE)</f>
        <v>8.5199999999999998E-3</v>
      </c>
      <c r="H492" s="917">
        <f>VLOOKUP($A492,'Tech Litons'!$A:$I,9,FALSE)</f>
        <v>132</v>
      </c>
      <c r="I492" s="917" t="str">
        <f>VLOOKUP($A492,'Tech Litons'!$A:$C,3,0)</f>
        <v>EDF</v>
      </c>
      <c r="J492" s="918" t="str">
        <f t="shared" si="48"/>
        <v>2904EDF</v>
      </c>
      <c r="K492" s="919">
        <v>1</v>
      </c>
      <c r="L492" s="920">
        <f t="shared" si="49"/>
        <v>1140</v>
      </c>
      <c r="M492" s="920">
        <f t="shared" si="50"/>
        <v>9.7127999999999997</v>
      </c>
      <c r="N492" s="920">
        <f t="shared" si="51"/>
        <v>8.6363636363636367</v>
      </c>
      <c r="O492" s="918" t="str">
        <f t="shared" si="52"/>
        <v>Jan</v>
      </c>
      <c r="P492" s="921">
        <f t="shared" si="53"/>
        <v>3</v>
      </c>
    </row>
    <row r="493" spans="1:16" ht="15" hidden="1" customHeight="1">
      <c r="A493" s="839">
        <v>69629468</v>
      </c>
      <c r="B493" s="839">
        <v>2904</v>
      </c>
      <c r="C493" s="906">
        <v>1170</v>
      </c>
      <c r="D493" s="907">
        <v>46035</v>
      </c>
      <c r="E493" s="839" t="s">
        <v>291</v>
      </c>
      <c r="F493" s="839" t="s">
        <v>226</v>
      </c>
      <c r="G493" s="916">
        <f>VLOOKUP($A493,'Tech Litons'!$A:$I,8,FALSE)</f>
        <v>5.2680000000000001E-3</v>
      </c>
      <c r="H493" s="917">
        <f>VLOOKUP($A493,'Tech Litons'!$A:$I,9,FALSE)</f>
        <v>130</v>
      </c>
      <c r="I493" s="917" t="str">
        <f>VLOOKUP($A493,'Tech Litons'!$A:$C,3,0)</f>
        <v>PG</v>
      </c>
      <c r="J493" s="918" t="str">
        <f t="shared" si="48"/>
        <v>2904PG</v>
      </c>
      <c r="K493" s="919">
        <v>1</v>
      </c>
      <c r="L493" s="920">
        <f t="shared" si="49"/>
        <v>1170</v>
      </c>
      <c r="M493" s="920">
        <f t="shared" si="50"/>
        <v>6.1635600000000004</v>
      </c>
      <c r="N493" s="920">
        <f t="shared" si="51"/>
        <v>9</v>
      </c>
      <c r="O493" s="918" t="str">
        <f t="shared" si="52"/>
        <v>Jan</v>
      </c>
      <c r="P493" s="921">
        <f t="shared" si="53"/>
        <v>3</v>
      </c>
    </row>
    <row r="494" spans="1:16" ht="15" hidden="1" customHeight="1">
      <c r="A494" s="839">
        <v>68689251</v>
      </c>
      <c r="B494" s="839">
        <v>1352</v>
      </c>
      <c r="C494" s="906">
        <v>1188</v>
      </c>
      <c r="D494" s="907">
        <v>46035</v>
      </c>
      <c r="E494" s="839" t="s">
        <v>262</v>
      </c>
      <c r="F494" s="839" t="s">
        <v>242</v>
      </c>
      <c r="G494" s="916">
        <f>VLOOKUP($A494,'Tech Litons'!$A:$I,8,FALSE)</f>
        <v>9.5760000000000012E-3</v>
      </c>
      <c r="H494" s="917">
        <f>VLOOKUP($A494,'Tech Litons'!$A:$I,9,FALSE)</f>
        <v>132</v>
      </c>
      <c r="I494" s="917" t="str">
        <f>VLOOKUP($A494,'Tech Litons'!$A:$C,3,0)</f>
        <v>EDF</v>
      </c>
      <c r="J494" s="918" t="str">
        <f t="shared" si="48"/>
        <v>1352EDF</v>
      </c>
      <c r="K494" s="919">
        <v>1</v>
      </c>
      <c r="L494" s="920">
        <f t="shared" si="49"/>
        <v>1188</v>
      </c>
      <c r="M494" s="920">
        <f t="shared" si="50"/>
        <v>11.376288000000001</v>
      </c>
      <c r="N494" s="920">
        <f t="shared" si="51"/>
        <v>9</v>
      </c>
      <c r="O494" s="918" t="str">
        <f t="shared" si="52"/>
        <v>Jan</v>
      </c>
      <c r="P494" s="921">
        <f t="shared" si="53"/>
        <v>3</v>
      </c>
    </row>
    <row r="495" spans="1:16" ht="15" hidden="1" customHeight="1">
      <c r="A495" s="839">
        <v>68746232</v>
      </c>
      <c r="B495" s="839">
        <v>2904</v>
      </c>
      <c r="C495" s="906">
        <v>1188</v>
      </c>
      <c r="D495" s="907">
        <v>46035</v>
      </c>
      <c r="E495" s="839" t="s">
        <v>508</v>
      </c>
      <c r="F495" s="839" t="s">
        <v>243</v>
      </c>
      <c r="G495" s="916">
        <f>VLOOKUP($A495,'Tech Litons'!$A:$I,8,FALSE)</f>
        <v>8.5199999999999998E-3</v>
      </c>
      <c r="H495" s="917">
        <f>VLOOKUP($A495,'Tech Litons'!$A:$I,9,FALSE)</f>
        <v>132</v>
      </c>
      <c r="I495" s="917" t="str">
        <f>VLOOKUP($A495,'Tech Litons'!$A:$C,3,0)</f>
        <v>EDF</v>
      </c>
      <c r="J495" s="918" t="str">
        <f t="shared" si="48"/>
        <v>2904EDF</v>
      </c>
      <c r="K495" s="919">
        <v>1</v>
      </c>
      <c r="L495" s="920">
        <f t="shared" si="49"/>
        <v>1188</v>
      </c>
      <c r="M495" s="920">
        <f t="shared" si="50"/>
        <v>10.12176</v>
      </c>
      <c r="N495" s="920">
        <f t="shared" si="51"/>
        <v>9</v>
      </c>
      <c r="O495" s="918" t="str">
        <f t="shared" si="52"/>
        <v>Jan</v>
      </c>
      <c r="P495" s="921">
        <f t="shared" si="53"/>
        <v>3</v>
      </c>
    </row>
    <row r="496" spans="1:16" ht="15" hidden="1" customHeight="1">
      <c r="A496" s="839">
        <v>64341106</v>
      </c>
      <c r="B496" s="839">
        <v>2904</v>
      </c>
      <c r="C496" s="906">
        <v>1300</v>
      </c>
      <c r="D496" s="907">
        <v>46035</v>
      </c>
      <c r="E496" s="839" t="s">
        <v>293</v>
      </c>
      <c r="F496" s="839" t="s">
        <v>227</v>
      </c>
      <c r="G496" s="916">
        <f>VLOOKUP($A496,'Tech Litons'!$A:$I,8,FALSE)</f>
        <v>5.2680000000000001E-3</v>
      </c>
      <c r="H496" s="917">
        <f>VLOOKUP($A496,'Tech Litons'!$A:$I,9,FALSE)</f>
        <v>130</v>
      </c>
      <c r="I496" s="917" t="str">
        <f>VLOOKUP($A496,'Tech Litons'!$A:$C,3,0)</f>
        <v>PG</v>
      </c>
      <c r="J496" s="918" t="str">
        <f t="shared" si="48"/>
        <v>2904PG</v>
      </c>
      <c r="K496" s="919">
        <v>1</v>
      </c>
      <c r="L496" s="920">
        <f t="shared" si="49"/>
        <v>1300</v>
      </c>
      <c r="M496" s="920">
        <f t="shared" si="50"/>
        <v>6.8483999999999998</v>
      </c>
      <c r="N496" s="920">
        <f t="shared" si="51"/>
        <v>10</v>
      </c>
      <c r="O496" s="918" t="str">
        <f t="shared" si="52"/>
        <v>Jan</v>
      </c>
      <c r="P496" s="921">
        <f t="shared" si="53"/>
        <v>3</v>
      </c>
    </row>
    <row r="497" spans="1:16" ht="15" hidden="1" customHeight="1">
      <c r="A497" s="839">
        <v>64341106</v>
      </c>
      <c r="B497" s="839">
        <v>2904</v>
      </c>
      <c r="C497" s="906">
        <v>1430</v>
      </c>
      <c r="D497" s="907">
        <v>46035</v>
      </c>
      <c r="E497" s="839" t="s">
        <v>293</v>
      </c>
      <c r="F497" s="839" t="s">
        <v>227</v>
      </c>
      <c r="G497" s="916">
        <f>VLOOKUP($A497,'Tech Litons'!$A:$I,8,FALSE)</f>
        <v>5.2680000000000001E-3</v>
      </c>
      <c r="H497" s="917">
        <f>VLOOKUP($A497,'Tech Litons'!$A:$I,9,FALSE)</f>
        <v>130</v>
      </c>
      <c r="I497" s="917" t="str">
        <f>VLOOKUP($A497,'Tech Litons'!$A:$C,3,0)</f>
        <v>PG</v>
      </c>
      <c r="J497" s="918" t="str">
        <f t="shared" si="48"/>
        <v>2904PG</v>
      </c>
      <c r="K497" s="919">
        <v>1</v>
      </c>
      <c r="L497" s="920">
        <f t="shared" si="49"/>
        <v>1430</v>
      </c>
      <c r="M497" s="920">
        <f t="shared" si="50"/>
        <v>7.5332400000000002</v>
      </c>
      <c r="N497" s="920">
        <f t="shared" si="51"/>
        <v>11</v>
      </c>
      <c r="O497" s="918" t="str">
        <f t="shared" si="52"/>
        <v>Jan</v>
      </c>
      <c r="P497" s="921">
        <f t="shared" si="53"/>
        <v>3</v>
      </c>
    </row>
    <row r="498" spans="1:16" ht="15" hidden="1" customHeight="1">
      <c r="A498" s="839">
        <v>69725082</v>
      </c>
      <c r="B498" s="839">
        <v>1352</v>
      </c>
      <c r="C498" s="906">
        <v>1566</v>
      </c>
      <c r="D498" s="907">
        <v>46035</v>
      </c>
      <c r="E498" s="839" t="s">
        <v>292</v>
      </c>
      <c r="F498" s="839" t="s">
        <v>223</v>
      </c>
      <c r="G498" s="916">
        <f>VLOOKUP($A498,'Tech Litons'!$A:$I,8,FALSE)</f>
        <v>5.2680000000000001E-3</v>
      </c>
      <c r="H498" s="917">
        <f>VLOOKUP($A498,'Tech Litons'!$A:$I,9,FALSE)</f>
        <v>130</v>
      </c>
      <c r="I498" s="917" t="str">
        <f>VLOOKUP($A498,'Tech Litons'!$A:$C,3,0)</f>
        <v>PG</v>
      </c>
      <c r="J498" s="918" t="str">
        <f t="shared" si="48"/>
        <v>1352PG</v>
      </c>
      <c r="K498" s="919">
        <v>1</v>
      </c>
      <c r="L498" s="920">
        <f t="shared" si="49"/>
        <v>1566</v>
      </c>
      <c r="M498" s="920">
        <f t="shared" si="50"/>
        <v>8.2496880000000008</v>
      </c>
      <c r="N498" s="920">
        <f t="shared" si="51"/>
        <v>12.046153846153846</v>
      </c>
      <c r="O498" s="918" t="str">
        <f t="shared" si="52"/>
        <v>Jan</v>
      </c>
      <c r="P498" s="921">
        <f t="shared" si="53"/>
        <v>3</v>
      </c>
    </row>
    <row r="499" spans="1:16" ht="15" hidden="1" customHeight="1">
      <c r="A499" s="839">
        <v>69700048</v>
      </c>
      <c r="B499" s="839">
        <v>1352</v>
      </c>
      <c r="C499" s="906">
        <v>1575</v>
      </c>
      <c r="D499" s="907">
        <v>46035</v>
      </c>
      <c r="E499" s="839" t="s">
        <v>328</v>
      </c>
      <c r="F499" s="839" t="s">
        <v>287</v>
      </c>
      <c r="G499" s="916">
        <f>VLOOKUP($A499,'Tech Litons'!$A:$I,8,FALSE)</f>
        <v>2.7360000000000002E-3</v>
      </c>
      <c r="H499" s="917">
        <f>VLOOKUP($A499,'Tech Litons'!$A:$I,9,FALSE)</f>
        <v>225</v>
      </c>
      <c r="I499" s="917" t="str">
        <f>VLOOKUP($A499,'Tech Litons'!$A:$C,3,0)</f>
        <v>MBG</v>
      </c>
      <c r="J499" s="918" t="str">
        <f t="shared" si="48"/>
        <v>1352MBG</v>
      </c>
      <c r="K499" s="919">
        <v>1</v>
      </c>
      <c r="L499" s="920">
        <f t="shared" si="49"/>
        <v>1575</v>
      </c>
      <c r="M499" s="920">
        <f t="shared" si="50"/>
        <v>4.3092000000000006</v>
      </c>
      <c r="N499" s="920">
        <f t="shared" si="51"/>
        <v>7</v>
      </c>
      <c r="O499" s="918" t="str">
        <f t="shared" si="52"/>
        <v>Jan</v>
      </c>
      <c r="P499" s="921">
        <f t="shared" si="53"/>
        <v>3</v>
      </c>
    </row>
    <row r="500" spans="1:16" ht="15" hidden="1" customHeight="1">
      <c r="A500" s="839">
        <v>69629468</v>
      </c>
      <c r="B500" s="839">
        <v>1352</v>
      </c>
      <c r="C500" s="906">
        <v>1690</v>
      </c>
      <c r="D500" s="907">
        <v>46035</v>
      </c>
      <c r="E500" s="839" t="s">
        <v>291</v>
      </c>
      <c r="F500" s="839" t="s">
        <v>222</v>
      </c>
      <c r="G500" s="916">
        <f>VLOOKUP($A500,'Tech Litons'!$A:$I,8,FALSE)</f>
        <v>5.2680000000000001E-3</v>
      </c>
      <c r="H500" s="917">
        <f>VLOOKUP($A500,'Tech Litons'!$A:$I,9,FALSE)</f>
        <v>130</v>
      </c>
      <c r="I500" s="917" t="str">
        <f>VLOOKUP($A500,'Tech Litons'!$A:$C,3,0)</f>
        <v>PG</v>
      </c>
      <c r="J500" s="918" t="str">
        <f t="shared" si="48"/>
        <v>1352PG</v>
      </c>
      <c r="K500" s="919">
        <v>1</v>
      </c>
      <c r="L500" s="920">
        <f t="shared" si="49"/>
        <v>1690</v>
      </c>
      <c r="M500" s="920">
        <f t="shared" si="50"/>
        <v>8.9029199999999999</v>
      </c>
      <c r="N500" s="920">
        <f t="shared" si="51"/>
        <v>13</v>
      </c>
      <c r="O500" s="918" t="str">
        <f t="shared" si="52"/>
        <v>Jan</v>
      </c>
      <c r="P500" s="921">
        <f t="shared" si="53"/>
        <v>3</v>
      </c>
    </row>
    <row r="501" spans="1:16" ht="15" hidden="1" customHeight="1">
      <c r="A501" s="839">
        <v>69725082</v>
      </c>
      <c r="B501" s="839">
        <v>1352</v>
      </c>
      <c r="C501" s="906">
        <v>1999</v>
      </c>
      <c r="D501" s="907">
        <v>46035</v>
      </c>
      <c r="E501" s="839" t="s">
        <v>292</v>
      </c>
      <c r="F501" s="839" t="s">
        <v>223</v>
      </c>
      <c r="G501" s="916">
        <f>VLOOKUP($A501,'Tech Litons'!$A:$I,8,FALSE)</f>
        <v>5.2680000000000001E-3</v>
      </c>
      <c r="H501" s="917">
        <f>VLOOKUP($A501,'Tech Litons'!$A:$I,9,FALSE)</f>
        <v>130</v>
      </c>
      <c r="I501" s="917" t="str">
        <f>VLOOKUP($A501,'Tech Litons'!$A:$C,3,0)</f>
        <v>PG</v>
      </c>
      <c r="J501" s="918" t="str">
        <f t="shared" si="48"/>
        <v>1352PG</v>
      </c>
      <c r="K501" s="919">
        <v>1</v>
      </c>
      <c r="L501" s="920">
        <f t="shared" si="49"/>
        <v>1999</v>
      </c>
      <c r="M501" s="920">
        <f t="shared" si="50"/>
        <v>10.530732</v>
      </c>
      <c r="N501" s="920">
        <f t="shared" si="51"/>
        <v>15.376923076923077</v>
      </c>
      <c r="O501" s="918" t="str">
        <f t="shared" si="52"/>
        <v>Jan</v>
      </c>
      <c r="P501" s="921">
        <f t="shared" si="53"/>
        <v>3</v>
      </c>
    </row>
    <row r="502" spans="1:16" ht="15" hidden="1" customHeight="1">
      <c r="A502" s="839">
        <v>64776954</v>
      </c>
      <c r="B502" s="839">
        <v>1352</v>
      </c>
      <c r="C502" s="906">
        <v>2080</v>
      </c>
      <c r="D502" s="907">
        <v>46035</v>
      </c>
      <c r="E502" s="839" t="s">
        <v>285</v>
      </c>
      <c r="F502" s="839" t="s">
        <v>224</v>
      </c>
      <c r="G502" s="916">
        <f>VLOOKUP($A502,'Tech Litons'!$A:$I,8,FALSE)</f>
        <v>3.8340000000000002E-3</v>
      </c>
      <c r="H502" s="917">
        <f>VLOOKUP($A502,'Tech Litons'!$A:$I,9,FALSE)</f>
        <v>130</v>
      </c>
      <c r="I502" s="917" t="str">
        <f>VLOOKUP($A502,'Tech Litons'!$A:$C,3,0)</f>
        <v>pG</v>
      </c>
      <c r="J502" s="918" t="str">
        <f t="shared" si="48"/>
        <v>1352pG</v>
      </c>
      <c r="K502" s="919">
        <v>1</v>
      </c>
      <c r="L502" s="920">
        <f t="shared" si="49"/>
        <v>2080</v>
      </c>
      <c r="M502" s="920">
        <f t="shared" si="50"/>
        <v>7.9747200000000005</v>
      </c>
      <c r="N502" s="920">
        <f t="shared" si="51"/>
        <v>16</v>
      </c>
      <c r="O502" s="918" t="str">
        <f t="shared" si="52"/>
        <v>Jan</v>
      </c>
      <c r="P502" s="921">
        <f t="shared" si="53"/>
        <v>3</v>
      </c>
    </row>
    <row r="503" spans="1:16" ht="15" hidden="1" customHeight="1">
      <c r="A503" s="839">
        <v>69999267</v>
      </c>
      <c r="B503" s="839">
        <v>2904</v>
      </c>
      <c r="C503" s="906">
        <v>2089</v>
      </c>
      <c r="D503" s="907">
        <v>46035</v>
      </c>
      <c r="E503" s="839" t="s">
        <v>335</v>
      </c>
      <c r="F503" s="839" t="s">
        <v>299</v>
      </c>
      <c r="G503" s="916">
        <f>VLOOKUP($A503,'Tech Litons'!$A:$I,8,FALSE)</f>
        <v>3.7839999999999996E-3</v>
      </c>
      <c r="H503" s="917">
        <f>VLOOKUP($A503,'Tech Litons'!$A:$I,9,FALSE)</f>
        <v>240</v>
      </c>
      <c r="I503" s="917" t="str">
        <f>VLOOKUP($A503,'Tech Litons'!$A:$C,3,0)</f>
        <v>BJ PTS</v>
      </c>
      <c r="J503" s="918" t="str">
        <f t="shared" si="48"/>
        <v>2904BJ PTS</v>
      </c>
      <c r="K503" s="919">
        <v>1</v>
      </c>
      <c r="L503" s="920">
        <f t="shared" si="49"/>
        <v>2089</v>
      </c>
      <c r="M503" s="920">
        <f t="shared" si="50"/>
        <v>7.9047759999999991</v>
      </c>
      <c r="N503" s="920">
        <f t="shared" si="51"/>
        <v>8.7041666666666675</v>
      </c>
      <c r="O503" s="918" t="str">
        <f t="shared" si="52"/>
        <v>Jan</v>
      </c>
      <c r="P503" s="921">
        <f t="shared" si="53"/>
        <v>3</v>
      </c>
    </row>
    <row r="504" spans="1:16" ht="15" hidden="1" customHeight="1">
      <c r="A504" s="839">
        <v>68860059</v>
      </c>
      <c r="B504" s="839">
        <v>2904</v>
      </c>
      <c r="C504" s="906">
        <v>2206</v>
      </c>
      <c r="D504" s="907">
        <v>46035</v>
      </c>
      <c r="E504" s="839" t="s">
        <v>319</v>
      </c>
      <c r="F504" s="839" t="s">
        <v>277</v>
      </c>
      <c r="G504" s="916">
        <f>VLOOKUP($A504,'Tech Litons'!$A:$I,8,FALSE)</f>
        <v>3.7839999999999996E-3</v>
      </c>
      <c r="H504" s="917">
        <f>VLOOKUP($A504,'Tech Litons'!$A:$I,9,FALSE)</f>
        <v>255</v>
      </c>
      <c r="I504" s="917" t="str">
        <f>VLOOKUP($A504,'Tech Litons'!$A:$C,3,0)</f>
        <v>Talenti</v>
      </c>
      <c r="J504" s="918" t="str">
        <f t="shared" si="48"/>
        <v>2904Talenti</v>
      </c>
      <c r="K504" s="919">
        <v>1</v>
      </c>
      <c r="L504" s="920">
        <f t="shared" si="49"/>
        <v>2206</v>
      </c>
      <c r="M504" s="920">
        <f t="shared" si="50"/>
        <v>8.3475039999999989</v>
      </c>
      <c r="N504" s="920">
        <f t="shared" si="51"/>
        <v>8.6509803921568622</v>
      </c>
      <c r="O504" s="918" t="str">
        <f t="shared" si="52"/>
        <v>Jan</v>
      </c>
      <c r="P504" s="921">
        <f t="shared" si="53"/>
        <v>3</v>
      </c>
    </row>
    <row r="505" spans="1:16" ht="15" hidden="1" customHeight="1">
      <c r="A505" s="839">
        <v>69629468</v>
      </c>
      <c r="B505" s="839">
        <v>1352</v>
      </c>
      <c r="C505" s="906">
        <v>2288</v>
      </c>
      <c r="D505" s="907">
        <v>46035</v>
      </c>
      <c r="E505" s="839" t="s">
        <v>291</v>
      </c>
      <c r="F505" s="839" t="s">
        <v>222</v>
      </c>
      <c r="G505" s="916">
        <f>VLOOKUP($A505,'Tech Litons'!$A:$I,8,FALSE)</f>
        <v>5.2680000000000001E-3</v>
      </c>
      <c r="H505" s="917">
        <f>VLOOKUP($A505,'Tech Litons'!$A:$I,9,FALSE)</f>
        <v>130</v>
      </c>
      <c r="I505" s="917" t="str">
        <f>VLOOKUP($A505,'Tech Litons'!$A:$C,3,0)</f>
        <v>PG</v>
      </c>
      <c r="J505" s="918" t="str">
        <f t="shared" si="48"/>
        <v>1352PG</v>
      </c>
      <c r="K505" s="919">
        <v>1</v>
      </c>
      <c r="L505" s="920">
        <f t="shared" si="49"/>
        <v>2288</v>
      </c>
      <c r="M505" s="920">
        <f t="shared" si="50"/>
        <v>12.053184</v>
      </c>
      <c r="N505" s="920">
        <f t="shared" si="51"/>
        <v>17.600000000000001</v>
      </c>
      <c r="O505" s="918" t="str">
        <f t="shared" si="52"/>
        <v>Jan</v>
      </c>
      <c r="P505" s="921">
        <f t="shared" si="53"/>
        <v>3</v>
      </c>
    </row>
    <row r="506" spans="1:16" ht="15" hidden="1" customHeight="1">
      <c r="A506" s="839">
        <v>64776954</v>
      </c>
      <c r="B506" s="839">
        <v>1352</v>
      </c>
      <c r="C506" s="906">
        <v>2318</v>
      </c>
      <c r="D506" s="907">
        <v>46035</v>
      </c>
      <c r="E506" s="839" t="s">
        <v>285</v>
      </c>
      <c r="F506" s="839" t="s">
        <v>224</v>
      </c>
      <c r="G506" s="916">
        <f>VLOOKUP($A506,'Tech Litons'!$A:$I,8,FALSE)</f>
        <v>3.8340000000000002E-3</v>
      </c>
      <c r="H506" s="917">
        <f>VLOOKUP($A506,'Tech Litons'!$A:$I,9,FALSE)</f>
        <v>130</v>
      </c>
      <c r="I506" s="917" t="str">
        <f>VLOOKUP($A506,'Tech Litons'!$A:$C,3,0)</f>
        <v>pG</v>
      </c>
      <c r="J506" s="918" t="str">
        <f t="shared" si="48"/>
        <v>1352pG</v>
      </c>
      <c r="K506" s="919">
        <v>1</v>
      </c>
      <c r="L506" s="920">
        <f t="shared" si="49"/>
        <v>2318</v>
      </c>
      <c r="M506" s="920">
        <f t="shared" si="50"/>
        <v>8.8872119999999999</v>
      </c>
      <c r="N506" s="920">
        <f t="shared" si="51"/>
        <v>17.830769230769231</v>
      </c>
      <c r="O506" s="918" t="str">
        <f t="shared" si="52"/>
        <v>Jan</v>
      </c>
      <c r="P506" s="921">
        <f t="shared" si="53"/>
        <v>3</v>
      </c>
    </row>
    <row r="507" spans="1:16" ht="15" hidden="1" customHeight="1">
      <c r="A507" s="839">
        <v>68300738</v>
      </c>
      <c r="B507" s="839">
        <v>1352</v>
      </c>
      <c r="C507" s="906">
        <v>2376</v>
      </c>
      <c r="D507" s="907">
        <v>46035</v>
      </c>
      <c r="E507" s="839" t="s">
        <v>325</v>
      </c>
      <c r="F507" s="839" t="s">
        <v>240</v>
      </c>
      <c r="G507" s="916">
        <f>VLOOKUP($A507,'Tech Litons'!$A:$I,8,FALSE)</f>
        <v>8.4960000000000001E-3</v>
      </c>
      <c r="H507" s="917">
        <f>VLOOKUP($A507,'Tech Litons'!$A:$I,9,FALSE)</f>
        <v>132</v>
      </c>
      <c r="I507" s="917" t="str">
        <f>VLOOKUP($A507,'Tech Litons'!$A:$C,3,0)</f>
        <v>EDF</v>
      </c>
      <c r="J507" s="918" t="str">
        <f t="shared" si="48"/>
        <v>1352EDF</v>
      </c>
      <c r="K507" s="919">
        <v>1</v>
      </c>
      <c r="L507" s="920">
        <f t="shared" si="49"/>
        <v>2376</v>
      </c>
      <c r="M507" s="920">
        <f t="shared" si="50"/>
        <v>20.186496000000002</v>
      </c>
      <c r="N507" s="920">
        <f t="shared" si="51"/>
        <v>18</v>
      </c>
      <c r="O507" s="918" t="str">
        <f t="shared" si="52"/>
        <v>Jan</v>
      </c>
      <c r="P507" s="921">
        <f t="shared" si="53"/>
        <v>3</v>
      </c>
    </row>
    <row r="508" spans="1:16" ht="15" hidden="1" customHeight="1">
      <c r="A508" s="839">
        <v>64393719</v>
      </c>
      <c r="B508" s="839">
        <v>2904</v>
      </c>
      <c r="C508" s="906">
        <v>2430</v>
      </c>
      <c r="D508" s="907">
        <v>46035</v>
      </c>
      <c r="E508" s="839" t="s">
        <v>331</v>
      </c>
      <c r="F508" s="839" t="s">
        <v>231</v>
      </c>
      <c r="G508" s="916">
        <f>VLOOKUP($A508,'Tech Litons'!$A:$I,8,FALSE)</f>
        <v>4.2560000000000002E-3</v>
      </c>
      <c r="H508" s="917">
        <f>VLOOKUP($A508,'Tech Litons'!$A:$I,9,FALSE)</f>
        <v>143</v>
      </c>
      <c r="I508" s="917" t="str">
        <f>VLOOKUP($A508,'Tech Litons'!$A:$C,3,0)</f>
        <v>MG Sticks</v>
      </c>
      <c r="J508" s="918" t="str">
        <f t="shared" si="48"/>
        <v>2904MG Sticks</v>
      </c>
      <c r="K508" s="919">
        <v>1</v>
      </c>
      <c r="L508" s="920">
        <f t="shared" si="49"/>
        <v>2430</v>
      </c>
      <c r="M508" s="920">
        <f t="shared" si="50"/>
        <v>10.342080000000001</v>
      </c>
      <c r="N508" s="920">
        <f t="shared" si="51"/>
        <v>16.993006993006993</v>
      </c>
      <c r="O508" s="918" t="str">
        <f t="shared" si="52"/>
        <v>Jan</v>
      </c>
      <c r="P508" s="921">
        <f t="shared" si="53"/>
        <v>3</v>
      </c>
    </row>
    <row r="509" spans="1:16" ht="15" hidden="1" customHeight="1">
      <c r="A509" s="839">
        <v>69991979</v>
      </c>
      <c r="B509" s="839">
        <v>2904</v>
      </c>
      <c r="C509" s="906">
        <v>2604</v>
      </c>
      <c r="D509" s="907">
        <v>46035</v>
      </c>
      <c r="E509" s="839" t="s">
        <v>334</v>
      </c>
      <c r="F509" s="839" t="s">
        <v>283</v>
      </c>
      <c r="G509" s="916">
        <f>VLOOKUP($A509,'Tech Litons'!$A:$I,8,FALSE)</f>
        <v>2.0400000000000001E-3</v>
      </c>
      <c r="H509" s="917">
        <f>VLOOKUP($A509,'Tech Litons'!$A:$I,9,FALSE)</f>
        <v>210</v>
      </c>
      <c r="I509" s="917" t="str">
        <f>VLOOKUP($A509,'Tech Litons'!$A:$C,3,0)</f>
        <v>MG Sticks</v>
      </c>
      <c r="J509" s="918" t="str">
        <f t="shared" si="48"/>
        <v>2904MG Sticks</v>
      </c>
      <c r="K509" s="919">
        <v>1</v>
      </c>
      <c r="L509" s="920">
        <f t="shared" si="49"/>
        <v>2604</v>
      </c>
      <c r="M509" s="920">
        <f t="shared" si="50"/>
        <v>5.3121600000000004</v>
      </c>
      <c r="N509" s="920">
        <f t="shared" si="51"/>
        <v>12.4</v>
      </c>
      <c r="O509" s="918" t="str">
        <f t="shared" si="52"/>
        <v>Jan</v>
      </c>
      <c r="P509" s="921">
        <f t="shared" si="53"/>
        <v>3</v>
      </c>
    </row>
    <row r="510" spans="1:16" ht="15" hidden="1" customHeight="1">
      <c r="A510" s="839">
        <v>68852591</v>
      </c>
      <c r="B510" s="839">
        <v>1352</v>
      </c>
      <c r="C510" s="906">
        <v>2772</v>
      </c>
      <c r="D510" s="907">
        <v>46035</v>
      </c>
      <c r="E510" s="839" t="s">
        <v>326</v>
      </c>
      <c r="F510" s="839" t="s">
        <v>241</v>
      </c>
      <c r="G510" s="916">
        <f>VLOOKUP($A510,'Tech Litons'!$A:$I,8,FALSE)</f>
        <v>8.5199999999999998E-3</v>
      </c>
      <c r="H510" s="917">
        <f>VLOOKUP($A510,'Tech Litons'!$A:$I,9,FALSE)</f>
        <v>132</v>
      </c>
      <c r="I510" s="917" t="str">
        <f>VLOOKUP($A510,'Tech Litons'!$A:$C,3,0)</f>
        <v>EDF</v>
      </c>
      <c r="J510" s="918" t="str">
        <f t="shared" si="48"/>
        <v>1352EDF</v>
      </c>
      <c r="K510" s="919">
        <v>1</v>
      </c>
      <c r="L510" s="920">
        <f t="shared" si="49"/>
        <v>2772</v>
      </c>
      <c r="M510" s="920">
        <f t="shared" si="50"/>
        <v>23.617439999999998</v>
      </c>
      <c r="N510" s="920">
        <f t="shared" si="51"/>
        <v>21</v>
      </c>
      <c r="O510" s="918" t="str">
        <f t="shared" si="52"/>
        <v>Jan</v>
      </c>
      <c r="P510" s="921">
        <f t="shared" si="53"/>
        <v>3</v>
      </c>
    </row>
    <row r="511" spans="1:16" ht="15" hidden="1" customHeight="1">
      <c r="A511" s="839">
        <v>69700048</v>
      </c>
      <c r="B511" s="839">
        <v>1352</v>
      </c>
      <c r="C511" s="906">
        <v>2839</v>
      </c>
      <c r="D511" s="907">
        <v>46035</v>
      </c>
      <c r="E511" s="839" t="s">
        <v>328</v>
      </c>
      <c r="F511" s="839" t="s">
        <v>287</v>
      </c>
      <c r="G511" s="916">
        <f>VLOOKUP($A511,'Tech Litons'!$A:$I,8,FALSE)</f>
        <v>2.7360000000000002E-3</v>
      </c>
      <c r="H511" s="917">
        <f>VLOOKUP($A511,'Tech Litons'!$A:$I,9,FALSE)</f>
        <v>225</v>
      </c>
      <c r="I511" s="917" t="str">
        <f>VLOOKUP($A511,'Tech Litons'!$A:$C,3,0)</f>
        <v>MBG</v>
      </c>
      <c r="J511" s="918" t="str">
        <f t="shared" si="48"/>
        <v>1352MBG</v>
      </c>
      <c r="K511" s="919">
        <v>1</v>
      </c>
      <c r="L511" s="920">
        <f t="shared" si="49"/>
        <v>2839</v>
      </c>
      <c r="M511" s="920">
        <f t="shared" si="50"/>
        <v>7.7675040000000006</v>
      </c>
      <c r="N511" s="920">
        <f t="shared" si="51"/>
        <v>12.617777777777778</v>
      </c>
      <c r="O511" s="918" t="str">
        <f t="shared" si="52"/>
        <v>Jan</v>
      </c>
      <c r="P511" s="921">
        <f t="shared" si="53"/>
        <v>3</v>
      </c>
    </row>
    <row r="512" spans="1:16" ht="15" hidden="1" customHeight="1">
      <c r="A512" s="839">
        <v>64393719</v>
      </c>
      <c r="B512" s="839">
        <v>2904</v>
      </c>
      <c r="C512" s="906">
        <v>2860</v>
      </c>
      <c r="D512" s="907">
        <v>46035</v>
      </c>
      <c r="E512" s="839" t="s">
        <v>331</v>
      </c>
      <c r="F512" s="839" t="s">
        <v>231</v>
      </c>
      <c r="G512" s="916">
        <f>VLOOKUP($A512,'Tech Litons'!$A:$I,8,FALSE)</f>
        <v>4.2560000000000002E-3</v>
      </c>
      <c r="H512" s="917">
        <f>VLOOKUP($A512,'Tech Litons'!$A:$I,9,FALSE)</f>
        <v>143</v>
      </c>
      <c r="I512" s="917" t="str">
        <f>VLOOKUP($A512,'Tech Litons'!$A:$C,3,0)</f>
        <v>MG Sticks</v>
      </c>
      <c r="J512" s="918" t="str">
        <f t="shared" si="48"/>
        <v>2904MG Sticks</v>
      </c>
      <c r="K512" s="919">
        <v>1</v>
      </c>
      <c r="L512" s="920">
        <f t="shared" si="49"/>
        <v>2860</v>
      </c>
      <c r="M512" s="920">
        <f t="shared" si="50"/>
        <v>12.17216</v>
      </c>
      <c r="N512" s="920">
        <f t="shared" si="51"/>
        <v>20</v>
      </c>
      <c r="O512" s="918" t="str">
        <f t="shared" si="52"/>
        <v>Jan</v>
      </c>
      <c r="P512" s="921">
        <f t="shared" si="53"/>
        <v>3</v>
      </c>
    </row>
    <row r="513" spans="1:16" ht="15" hidden="1" customHeight="1">
      <c r="A513" s="839">
        <v>68741742</v>
      </c>
      <c r="B513" s="839">
        <v>1352</v>
      </c>
      <c r="C513" s="906">
        <v>2873</v>
      </c>
      <c r="D513" s="907">
        <v>46035</v>
      </c>
      <c r="E513" s="839" t="s">
        <v>288</v>
      </c>
      <c r="F513" s="839" t="s">
        <v>289</v>
      </c>
      <c r="G513" s="916">
        <f>VLOOKUP($A513,'Tech Litons'!$A:$I,8,FALSE)</f>
        <v>4.2560000000000002E-3</v>
      </c>
      <c r="H513" s="917">
        <f>VLOOKUP($A513,'Tech Litons'!$A:$I,9,FALSE)</f>
        <v>154</v>
      </c>
      <c r="I513" s="917" t="str">
        <f>VLOOKUP($A513,'Tech Litons'!$A:$C,3,0)</f>
        <v>MBG</v>
      </c>
      <c r="J513" s="918" t="str">
        <f t="shared" si="48"/>
        <v>1352MBG</v>
      </c>
      <c r="K513" s="919">
        <v>1</v>
      </c>
      <c r="L513" s="920">
        <f t="shared" si="49"/>
        <v>2873</v>
      </c>
      <c r="M513" s="920">
        <f t="shared" si="50"/>
        <v>12.227488000000001</v>
      </c>
      <c r="N513" s="920">
        <f t="shared" si="51"/>
        <v>18.655844155844157</v>
      </c>
      <c r="O513" s="918" t="str">
        <f t="shared" si="52"/>
        <v>Jan</v>
      </c>
      <c r="P513" s="921">
        <f t="shared" si="53"/>
        <v>3</v>
      </c>
    </row>
    <row r="514" spans="1:16" ht="15" hidden="1" customHeight="1">
      <c r="A514" s="839">
        <v>69690941</v>
      </c>
      <c r="B514" s="839">
        <v>2904</v>
      </c>
      <c r="C514" s="906">
        <v>2967</v>
      </c>
      <c r="D514" s="907">
        <v>46035</v>
      </c>
      <c r="E514" s="839" t="s">
        <v>321</v>
      </c>
      <c r="F514" s="839" t="s">
        <v>281</v>
      </c>
      <c r="G514" s="916">
        <f>VLOOKUP($A514,'Tech Litons'!$A:$I,8,FALSE)</f>
        <v>1.98E-3</v>
      </c>
      <c r="H514" s="917">
        <f>VLOOKUP($A514,'Tech Litons'!$A:$I,9,FALSE)</f>
        <v>176</v>
      </c>
      <c r="I514" s="917" t="str">
        <f>VLOOKUP($A514,'Tech Litons'!$A:$C,3,0)</f>
        <v>MG Sticks</v>
      </c>
      <c r="J514" s="918" t="str">
        <f t="shared" si="48"/>
        <v>2904MG Sticks</v>
      </c>
      <c r="K514" s="919">
        <v>1</v>
      </c>
      <c r="L514" s="920">
        <f t="shared" si="49"/>
        <v>2967</v>
      </c>
      <c r="M514" s="920">
        <f t="shared" si="50"/>
        <v>5.8746599999999995</v>
      </c>
      <c r="N514" s="920">
        <f t="shared" si="51"/>
        <v>16.857954545454547</v>
      </c>
      <c r="O514" s="918" t="str">
        <f t="shared" si="52"/>
        <v>Jan</v>
      </c>
      <c r="P514" s="921">
        <f t="shared" si="53"/>
        <v>3</v>
      </c>
    </row>
    <row r="515" spans="1:16" ht="15" hidden="1" customHeight="1">
      <c r="A515" s="839">
        <v>64977526</v>
      </c>
      <c r="B515" s="839">
        <v>1352</v>
      </c>
      <c r="C515" s="906">
        <v>3319</v>
      </c>
      <c r="D515" s="907">
        <v>46035</v>
      </c>
      <c r="E515" s="839" t="s">
        <v>323</v>
      </c>
      <c r="F515" s="839" t="s">
        <v>266</v>
      </c>
      <c r="G515" s="916">
        <f>VLOOKUP($A515,'Tech Litons'!$A:$I,8,FALSE)</f>
        <v>8.513999999999999E-3</v>
      </c>
      <c r="H515" s="917">
        <f>VLOOKUP($A515,'Tech Litons'!$A:$I,9,FALSE)</f>
        <v>176</v>
      </c>
      <c r="I515" s="917" t="str">
        <f>VLOOKUP($A515,'Tech Litons'!$A:$C,3,0)</f>
        <v>48oz</v>
      </c>
      <c r="J515" s="918" t="str">
        <f t="shared" si="48"/>
        <v>135248oz</v>
      </c>
      <c r="K515" s="919">
        <v>1</v>
      </c>
      <c r="L515" s="920">
        <f t="shared" si="49"/>
        <v>3319</v>
      </c>
      <c r="M515" s="920">
        <f t="shared" si="50"/>
        <v>28.257965999999996</v>
      </c>
      <c r="N515" s="920">
        <f t="shared" si="51"/>
        <v>18.857954545454547</v>
      </c>
      <c r="O515" s="918" t="str">
        <f t="shared" si="52"/>
        <v>Jan</v>
      </c>
      <c r="P515" s="921">
        <f t="shared" si="53"/>
        <v>3</v>
      </c>
    </row>
    <row r="516" spans="1:16" ht="15" hidden="1" customHeight="1">
      <c r="A516" s="839">
        <v>64874633</v>
      </c>
      <c r="B516" s="839">
        <v>3910</v>
      </c>
      <c r="C516" s="906">
        <v>3920</v>
      </c>
      <c r="D516" s="907">
        <v>46035</v>
      </c>
      <c r="E516" s="839" t="s">
        <v>341</v>
      </c>
      <c r="F516" s="839" t="s">
        <v>342</v>
      </c>
      <c r="G516" s="916">
        <f>VLOOKUP($A516,'Tech Litons'!$A:$I,8,FALSE)</f>
        <v>3.192E-3</v>
      </c>
      <c r="H516" s="917">
        <f>VLOOKUP($A516,'Tech Litons'!$A:$I,9,FALSE)</f>
        <v>280</v>
      </c>
      <c r="I516" s="917" t="str">
        <f>VLOOKUP($A516,'Tech Litons'!$A:$C,3,0)</f>
        <v>ESS</v>
      </c>
      <c r="J516" s="918" t="str">
        <f t="shared" si="48"/>
        <v>3910ESS</v>
      </c>
      <c r="K516" s="919">
        <v>1</v>
      </c>
      <c r="L516" s="920">
        <f t="shared" si="49"/>
        <v>3920</v>
      </c>
      <c r="M516" s="920">
        <f t="shared" si="50"/>
        <v>12.512639999999999</v>
      </c>
      <c r="N516" s="920">
        <f t="shared" si="51"/>
        <v>14</v>
      </c>
      <c r="O516" s="918" t="str">
        <f t="shared" si="52"/>
        <v>Jan</v>
      </c>
      <c r="P516" s="921">
        <f t="shared" si="53"/>
        <v>3</v>
      </c>
    </row>
    <row r="517" spans="1:16" ht="15" hidden="1" customHeight="1">
      <c r="A517" s="839">
        <v>68300738</v>
      </c>
      <c r="B517" s="839">
        <v>1352</v>
      </c>
      <c r="C517" s="906">
        <v>4088</v>
      </c>
      <c r="D517" s="907">
        <v>46035</v>
      </c>
      <c r="E517" s="839" t="s">
        <v>325</v>
      </c>
      <c r="F517" s="839" t="s">
        <v>240</v>
      </c>
      <c r="G517" s="916">
        <f>VLOOKUP($A517,'Tech Litons'!$A:$I,8,FALSE)</f>
        <v>8.4960000000000001E-3</v>
      </c>
      <c r="H517" s="917">
        <f>VLOOKUP($A517,'Tech Litons'!$A:$I,9,FALSE)</f>
        <v>132</v>
      </c>
      <c r="I517" s="917" t="str">
        <f>VLOOKUP($A517,'Tech Litons'!$A:$C,3,0)</f>
        <v>EDF</v>
      </c>
      <c r="J517" s="918" t="str">
        <f t="shared" si="48"/>
        <v>1352EDF</v>
      </c>
      <c r="K517" s="919">
        <v>1</v>
      </c>
      <c r="L517" s="920">
        <f t="shared" si="49"/>
        <v>4088</v>
      </c>
      <c r="M517" s="920">
        <f t="shared" si="50"/>
        <v>34.731648</v>
      </c>
      <c r="N517" s="920">
        <f t="shared" si="51"/>
        <v>30.969696969696969</v>
      </c>
      <c r="O517" s="918" t="str">
        <f t="shared" si="52"/>
        <v>Jan</v>
      </c>
      <c r="P517" s="921">
        <f t="shared" si="53"/>
        <v>3</v>
      </c>
    </row>
    <row r="518" spans="1:16" ht="15" hidden="1" customHeight="1">
      <c r="A518" s="839">
        <v>68817801</v>
      </c>
      <c r="B518" s="839">
        <v>2904</v>
      </c>
      <c r="C518" s="906">
        <v>4400</v>
      </c>
      <c r="D518" s="907">
        <v>46035</v>
      </c>
      <c r="E518" s="839" t="s">
        <v>333</v>
      </c>
      <c r="F518" s="839" t="s">
        <v>269</v>
      </c>
      <c r="G518" s="916">
        <f>VLOOKUP($A518,'Tech Litons'!$A:$I,8,FALSE)</f>
        <v>8.5199999999999998E-3</v>
      </c>
      <c r="H518" s="917">
        <f>VLOOKUP($A518,'Tech Litons'!$A:$I,9,FALSE)</f>
        <v>176</v>
      </c>
      <c r="I518" s="917" t="str">
        <f>VLOOKUP($A518,'Tech Litons'!$A:$C,3,0)</f>
        <v>48oz</v>
      </c>
      <c r="J518" s="918" t="str">
        <f t="shared" si="48"/>
        <v>290448oz</v>
      </c>
      <c r="K518" s="919">
        <v>1</v>
      </c>
      <c r="L518" s="920">
        <f t="shared" si="49"/>
        <v>4400</v>
      </c>
      <c r="M518" s="920">
        <f t="shared" si="50"/>
        <v>37.488</v>
      </c>
      <c r="N518" s="920">
        <f t="shared" si="51"/>
        <v>25</v>
      </c>
      <c r="O518" s="918" t="str">
        <f t="shared" si="52"/>
        <v>Jan</v>
      </c>
      <c r="P518" s="921">
        <f t="shared" si="53"/>
        <v>3</v>
      </c>
    </row>
    <row r="519" spans="1:16" ht="15" hidden="1" customHeight="1">
      <c r="A519" s="839">
        <v>68852591</v>
      </c>
      <c r="B519" s="839">
        <v>1352</v>
      </c>
      <c r="C519" s="906">
        <v>4529</v>
      </c>
      <c r="D519" s="907">
        <v>46035</v>
      </c>
      <c r="E519" s="839" t="s">
        <v>326</v>
      </c>
      <c r="F519" s="839" t="s">
        <v>241</v>
      </c>
      <c r="G519" s="916">
        <f>VLOOKUP($A519,'Tech Litons'!$A:$I,8,FALSE)</f>
        <v>8.5199999999999998E-3</v>
      </c>
      <c r="H519" s="917">
        <f>VLOOKUP($A519,'Tech Litons'!$A:$I,9,FALSE)</f>
        <v>132</v>
      </c>
      <c r="I519" s="917" t="str">
        <f>VLOOKUP($A519,'Tech Litons'!$A:$C,3,0)</f>
        <v>EDF</v>
      </c>
      <c r="J519" s="918" t="str">
        <f t="shared" si="48"/>
        <v>1352EDF</v>
      </c>
      <c r="K519" s="919">
        <v>1</v>
      </c>
      <c r="L519" s="920">
        <f t="shared" si="49"/>
        <v>4529</v>
      </c>
      <c r="M519" s="920">
        <f t="shared" si="50"/>
        <v>38.58708</v>
      </c>
      <c r="N519" s="920">
        <f t="shared" si="51"/>
        <v>34.310606060606062</v>
      </c>
      <c r="O519" s="918" t="str">
        <f t="shared" si="52"/>
        <v>Jan</v>
      </c>
      <c r="P519" s="921">
        <f t="shared" si="53"/>
        <v>3</v>
      </c>
    </row>
    <row r="520" spans="1:16" ht="15" hidden="1" customHeight="1">
      <c r="A520" s="839">
        <v>64330596</v>
      </c>
      <c r="B520" s="839">
        <v>2904</v>
      </c>
      <c r="C520" s="906">
        <v>5104</v>
      </c>
      <c r="D520" s="907">
        <v>46035</v>
      </c>
      <c r="E520" s="839" t="s">
        <v>280</v>
      </c>
      <c r="F520" s="839" t="s">
        <v>281</v>
      </c>
      <c r="G520" s="916">
        <f>VLOOKUP($A520,'Tech Litons'!$A:$I,8,FALSE)</f>
        <v>1.98E-3</v>
      </c>
      <c r="H520" s="917">
        <f>VLOOKUP($A520,'Tech Litons'!$A:$I,9,FALSE)</f>
        <v>176</v>
      </c>
      <c r="I520" s="917" t="str">
        <f>VLOOKUP($A520,'Tech Litons'!$A:$C,3,0)</f>
        <v>MG Sticks</v>
      </c>
      <c r="J520" s="918" t="str">
        <f t="shared" si="48"/>
        <v>2904MG Sticks</v>
      </c>
      <c r="K520" s="919">
        <v>1</v>
      </c>
      <c r="L520" s="920">
        <f t="shared" si="49"/>
        <v>5104</v>
      </c>
      <c r="M520" s="920">
        <f t="shared" si="50"/>
        <v>10.105919999999999</v>
      </c>
      <c r="N520" s="920">
        <f t="shared" si="51"/>
        <v>29</v>
      </c>
      <c r="O520" s="918" t="str">
        <f t="shared" si="52"/>
        <v>Jan</v>
      </c>
      <c r="P520" s="921">
        <f t="shared" si="53"/>
        <v>3</v>
      </c>
    </row>
    <row r="521" spans="1:16" ht="15" hidden="1" customHeight="1">
      <c r="A521" s="839">
        <v>64389650</v>
      </c>
      <c r="B521" s="839">
        <v>2904</v>
      </c>
      <c r="C521" s="906">
        <v>5104</v>
      </c>
      <c r="D521" s="907">
        <v>46035</v>
      </c>
      <c r="E521" s="839" t="s">
        <v>330</v>
      </c>
      <c r="F521" s="839" t="s">
        <v>271</v>
      </c>
      <c r="G521" s="916">
        <f>VLOOKUP($A521,'Tech Litons'!$A:$I,8,FALSE)</f>
        <v>8.5199999999999998E-3</v>
      </c>
      <c r="H521" s="917">
        <f>VLOOKUP($A521,'Tech Litons'!$A:$I,9,FALSE)</f>
        <v>176</v>
      </c>
      <c r="I521" s="917" t="str">
        <f>VLOOKUP($A521,'Tech Litons'!$A:$C,3,0)</f>
        <v>48oz</v>
      </c>
      <c r="J521" s="918" t="str">
        <f t="shared" si="48"/>
        <v>290448oz</v>
      </c>
      <c r="K521" s="919">
        <v>1</v>
      </c>
      <c r="L521" s="920">
        <f t="shared" si="49"/>
        <v>5104</v>
      </c>
      <c r="M521" s="920">
        <f t="shared" si="50"/>
        <v>43.486080000000001</v>
      </c>
      <c r="N521" s="920">
        <f t="shared" si="51"/>
        <v>29</v>
      </c>
      <c r="O521" s="918" t="str">
        <f t="shared" si="52"/>
        <v>Jan</v>
      </c>
      <c r="P521" s="921">
        <f t="shared" si="53"/>
        <v>3</v>
      </c>
    </row>
    <row r="522" spans="1:16" ht="15" hidden="1" customHeight="1">
      <c r="A522" s="839">
        <v>64389650</v>
      </c>
      <c r="B522" s="839">
        <v>2904</v>
      </c>
      <c r="C522" s="906">
        <v>5632</v>
      </c>
      <c r="D522" s="907">
        <v>46035</v>
      </c>
      <c r="E522" s="839" t="s">
        <v>330</v>
      </c>
      <c r="F522" s="839" t="s">
        <v>271</v>
      </c>
      <c r="G522" s="916">
        <f>VLOOKUP($A522,'Tech Litons'!$A:$I,8,FALSE)</f>
        <v>8.5199999999999998E-3</v>
      </c>
      <c r="H522" s="917">
        <f>VLOOKUP($A522,'Tech Litons'!$A:$I,9,FALSE)</f>
        <v>176</v>
      </c>
      <c r="I522" s="917" t="str">
        <f>VLOOKUP($A522,'Tech Litons'!$A:$C,3,0)</f>
        <v>48oz</v>
      </c>
      <c r="J522" s="918" t="str">
        <f t="shared" si="48"/>
        <v>290448oz</v>
      </c>
      <c r="K522" s="919">
        <v>1</v>
      </c>
      <c r="L522" s="920">
        <f t="shared" si="49"/>
        <v>5632</v>
      </c>
      <c r="M522" s="920">
        <f t="shared" si="50"/>
        <v>47.984639999999999</v>
      </c>
      <c r="N522" s="920">
        <f t="shared" si="51"/>
        <v>32</v>
      </c>
      <c r="O522" s="918" t="str">
        <f t="shared" si="52"/>
        <v>Jan</v>
      </c>
      <c r="P522" s="921">
        <f t="shared" si="53"/>
        <v>3</v>
      </c>
    </row>
    <row r="523" spans="1:16" ht="15" hidden="1" customHeight="1">
      <c r="A523" s="839">
        <v>69999267</v>
      </c>
      <c r="B523" s="839">
        <v>2904</v>
      </c>
      <c r="C523" s="906">
        <v>5760</v>
      </c>
      <c r="D523" s="907">
        <v>46035</v>
      </c>
      <c r="E523" s="839" t="s">
        <v>335</v>
      </c>
      <c r="F523" s="839" t="s">
        <v>299</v>
      </c>
      <c r="G523" s="916">
        <f>VLOOKUP($A523,'Tech Litons'!$A:$I,8,FALSE)</f>
        <v>3.7839999999999996E-3</v>
      </c>
      <c r="H523" s="917">
        <f>VLOOKUP($A523,'Tech Litons'!$A:$I,9,FALSE)</f>
        <v>240</v>
      </c>
      <c r="I523" s="917" t="str">
        <f>VLOOKUP($A523,'Tech Litons'!$A:$C,3,0)</f>
        <v>BJ PTS</v>
      </c>
      <c r="J523" s="918" t="str">
        <f t="shared" si="48"/>
        <v>2904BJ PTS</v>
      </c>
      <c r="K523" s="919">
        <v>1</v>
      </c>
      <c r="L523" s="920">
        <f t="shared" si="49"/>
        <v>5760</v>
      </c>
      <c r="M523" s="920">
        <f t="shared" si="50"/>
        <v>21.795839999999998</v>
      </c>
      <c r="N523" s="920">
        <f t="shared" si="51"/>
        <v>24</v>
      </c>
      <c r="O523" s="918" t="str">
        <f t="shared" si="52"/>
        <v>Jan</v>
      </c>
      <c r="P523" s="921">
        <f t="shared" si="53"/>
        <v>3</v>
      </c>
    </row>
    <row r="524" spans="1:16" ht="15" hidden="1" customHeight="1">
      <c r="A524" s="839">
        <v>68817801</v>
      </c>
      <c r="B524" s="839">
        <v>2904</v>
      </c>
      <c r="C524" s="906">
        <v>5984</v>
      </c>
      <c r="D524" s="907">
        <v>46035</v>
      </c>
      <c r="E524" s="839" t="s">
        <v>333</v>
      </c>
      <c r="F524" s="839" t="s">
        <v>269</v>
      </c>
      <c r="G524" s="916">
        <f>VLOOKUP($A524,'Tech Litons'!$A:$I,8,FALSE)</f>
        <v>8.5199999999999998E-3</v>
      </c>
      <c r="H524" s="917">
        <f>VLOOKUP($A524,'Tech Litons'!$A:$I,9,FALSE)</f>
        <v>176</v>
      </c>
      <c r="I524" s="917" t="str">
        <f>VLOOKUP($A524,'Tech Litons'!$A:$C,3,0)</f>
        <v>48oz</v>
      </c>
      <c r="J524" s="918" t="str">
        <f t="shared" si="48"/>
        <v>290448oz</v>
      </c>
      <c r="K524" s="919">
        <v>1</v>
      </c>
      <c r="L524" s="920">
        <f t="shared" si="49"/>
        <v>5984</v>
      </c>
      <c r="M524" s="920">
        <f t="shared" si="50"/>
        <v>50.98368</v>
      </c>
      <c r="N524" s="920">
        <f t="shared" si="51"/>
        <v>34</v>
      </c>
      <c r="O524" s="918" t="str">
        <f t="shared" si="52"/>
        <v>Jan</v>
      </c>
      <c r="P524" s="921">
        <f t="shared" si="53"/>
        <v>3</v>
      </c>
    </row>
    <row r="525" spans="1:16" ht="15" hidden="1" customHeight="1">
      <c r="A525" s="839">
        <v>64958122</v>
      </c>
      <c r="B525" s="839">
        <v>2904</v>
      </c>
      <c r="C525" s="906">
        <v>6069</v>
      </c>
      <c r="D525" s="907">
        <v>46035</v>
      </c>
      <c r="E525" s="839" t="s">
        <v>236</v>
      </c>
      <c r="F525" s="839" t="s">
        <v>234</v>
      </c>
      <c r="G525" s="916">
        <f>VLOOKUP($A525,'Tech Litons'!$A:$I,8,FALSE)</f>
        <v>3.3119999999999998E-3</v>
      </c>
      <c r="H525" s="917">
        <f>VLOOKUP($A525,'Tech Litons'!$A:$I,9,FALSE)</f>
        <v>165</v>
      </c>
      <c r="I525" s="917" t="str">
        <f>VLOOKUP($A525,'Tech Litons'!$A:$C,3,0)</f>
        <v>Yasso Sticks</v>
      </c>
      <c r="J525" s="918" t="str">
        <f t="shared" si="48"/>
        <v>2904Yasso Sticks</v>
      </c>
      <c r="K525" s="919">
        <v>1</v>
      </c>
      <c r="L525" s="920">
        <f t="shared" si="49"/>
        <v>6069</v>
      </c>
      <c r="M525" s="920">
        <f t="shared" si="50"/>
        <v>20.100528000000001</v>
      </c>
      <c r="N525" s="920">
        <f t="shared" si="51"/>
        <v>36.781818181818181</v>
      </c>
      <c r="O525" s="918" t="str">
        <f t="shared" si="52"/>
        <v>Jan</v>
      </c>
      <c r="P525" s="921">
        <f t="shared" si="53"/>
        <v>3</v>
      </c>
    </row>
    <row r="526" spans="1:16" ht="15" hidden="1" customHeight="1">
      <c r="A526" s="839">
        <v>68626039</v>
      </c>
      <c r="B526" s="839">
        <v>2904</v>
      </c>
      <c r="C526" s="906">
        <v>6314</v>
      </c>
      <c r="D526" s="907">
        <v>46035</v>
      </c>
      <c r="E526" s="839" t="s">
        <v>246</v>
      </c>
      <c r="F526" s="839" t="s">
        <v>40</v>
      </c>
      <c r="G526" s="916">
        <f>VLOOKUP($A526,'Tech Litons'!$A:$I,8,FALSE)</f>
        <v>3.7839999999999996E-3</v>
      </c>
      <c r="H526" s="917">
        <f>VLOOKUP($A526,'Tech Litons'!$A:$I,9,FALSE)</f>
        <v>240</v>
      </c>
      <c r="I526" s="917" t="str">
        <f>VLOOKUP($A526,'Tech Litons'!$A:$C,3,0)</f>
        <v>PTS</v>
      </c>
      <c r="J526" s="918" t="str">
        <f t="shared" si="48"/>
        <v>2904PTS</v>
      </c>
      <c r="K526" s="919">
        <v>1</v>
      </c>
      <c r="L526" s="920">
        <f t="shared" si="49"/>
        <v>6314</v>
      </c>
      <c r="M526" s="920">
        <f t="shared" si="50"/>
        <v>23.892175999999999</v>
      </c>
      <c r="N526" s="920">
        <f t="shared" si="51"/>
        <v>26.308333333333334</v>
      </c>
      <c r="O526" s="918" t="str">
        <f t="shared" si="52"/>
        <v>Jan</v>
      </c>
      <c r="P526" s="921">
        <f t="shared" si="53"/>
        <v>3</v>
      </c>
    </row>
    <row r="527" spans="1:16" ht="15" hidden="1" customHeight="1">
      <c r="A527" s="839">
        <v>68851108</v>
      </c>
      <c r="B527" s="839">
        <v>2904</v>
      </c>
      <c r="C527" s="906">
        <v>6688</v>
      </c>
      <c r="D527" s="907">
        <v>46035</v>
      </c>
      <c r="E527" s="839" t="s">
        <v>296</v>
      </c>
      <c r="F527" s="839" t="s">
        <v>273</v>
      </c>
      <c r="G527" s="916">
        <f>VLOOKUP($A527,'Tech Litons'!$A:$I,8,FALSE)</f>
        <v>8.5199999999999998E-3</v>
      </c>
      <c r="H527" s="917">
        <f>VLOOKUP($A527,'Tech Litons'!$A:$I,9,FALSE)</f>
        <v>176</v>
      </c>
      <c r="I527" s="917" t="str">
        <f>VLOOKUP($A527,'Tech Litons'!$A:$C,3,0)</f>
        <v>48oz</v>
      </c>
      <c r="J527" s="918" t="str">
        <f t="shared" si="48"/>
        <v>290448oz</v>
      </c>
      <c r="K527" s="919">
        <v>1</v>
      </c>
      <c r="L527" s="920">
        <f t="shared" si="49"/>
        <v>6688</v>
      </c>
      <c r="M527" s="920">
        <f t="shared" si="50"/>
        <v>56.981760000000001</v>
      </c>
      <c r="N527" s="920">
        <f t="shared" si="51"/>
        <v>38</v>
      </c>
      <c r="O527" s="918" t="str">
        <f t="shared" si="52"/>
        <v>Jan</v>
      </c>
      <c r="P527" s="921">
        <f t="shared" si="53"/>
        <v>3</v>
      </c>
    </row>
    <row r="528" spans="1:16" ht="15" hidden="1" customHeight="1">
      <c r="A528" s="839">
        <v>64369043</v>
      </c>
      <c r="B528" s="839">
        <v>2904</v>
      </c>
      <c r="C528" s="906">
        <v>6697</v>
      </c>
      <c r="D528" s="907">
        <v>46035</v>
      </c>
      <c r="E528" s="839" t="s">
        <v>329</v>
      </c>
      <c r="F528" s="839" t="s">
        <v>275</v>
      </c>
      <c r="G528" s="916">
        <f>VLOOKUP($A528,'Tech Litons'!$A:$I,8,FALSE)</f>
        <v>3.552E-3</v>
      </c>
      <c r="H528" s="917">
        <f>VLOOKUP($A528,'Tech Litons'!$A:$I,9,FALSE)</f>
        <v>255</v>
      </c>
      <c r="I528" s="917" t="str">
        <f>VLOOKUP($A528,'Tech Litons'!$A:$C,3,0)</f>
        <v>Talenti</v>
      </c>
      <c r="J528" s="918" t="str">
        <f t="shared" si="48"/>
        <v>2904Talenti</v>
      </c>
      <c r="K528" s="919">
        <v>1</v>
      </c>
      <c r="L528" s="920">
        <f t="shared" si="49"/>
        <v>6697</v>
      </c>
      <c r="M528" s="920">
        <f t="shared" si="50"/>
        <v>23.787744</v>
      </c>
      <c r="N528" s="920">
        <f t="shared" si="51"/>
        <v>26.262745098039215</v>
      </c>
      <c r="O528" s="918" t="str">
        <f t="shared" si="52"/>
        <v>Jan</v>
      </c>
      <c r="P528" s="921">
        <f t="shared" si="53"/>
        <v>3</v>
      </c>
    </row>
    <row r="529" spans="1:16" ht="15" hidden="1" customHeight="1">
      <c r="A529" s="839">
        <v>64977526</v>
      </c>
      <c r="B529" s="839">
        <v>1352</v>
      </c>
      <c r="C529" s="906">
        <v>7053</v>
      </c>
      <c r="D529" s="907">
        <v>46035</v>
      </c>
      <c r="E529" s="839" t="s">
        <v>323</v>
      </c>
      <c r="F529" s="839" t="s">
        <v>266</v>
      </c>
      <c r="G529" s="916">
        <f>VLOOKUP($A529,'Tech Litons'!$A:$I,8,FALSE)</f>
        <v>8.513999999999999E-3</v>
      </c>
      <c r="H529" s="917">
        <f>VLOOKUP($A529,'Tech Litons'!$A:$I,9,FALSE)</f>
        <v>176</v>
      </c>
      <c r="I529" s="917" t="str">
        <f>VLOOKUP($A529,'Tech Litons'!$A:$C,3,0)</f>
        <v>48oz</v>
      </c>
      <c r="J529" s="918" t="str">
        <f t="shared" si="48"/>
        <v>135248oz</v>
      </c>
      <c r="K529" s="919">
        <v>1</v>
      </c>
      <c r="L529" s="920">
        <f t="shared" si="49"/>
        <v>7053</v>
      </c>
      <c r="M529" s="920">
        <f t="shared" si="50"/>
        <v>60.049241999999992</v>
      </c>
      <c r="N529" s="920">
        <f t="shared" si="51"/>
        <v>40.073863636363633</v>
      </c>
      <c r="O529" s="918" t="str">
        <f t="shared" si="52"/>
        <v>Jan</v>
      </c>
      <c r="P529" s="921">
        <f t="shared" si="53"/>
        <v>3</v>
      </c>
    </row>
    <row r="530" spans="1:16" ht="15" hidden="1" customHeight="1">
      <c r="A530" s="839">
        <v>64958122</v>
      </c>
      <c r="B530" s="839">
        <v>2904</v>
      </c>
      <c r="C530" s="906">
        <v>7260</v>
      </c>
      <c r="D530" s="907">
        <v>46035</v>
      </c>
      <c r="E530" s="839" t="s">
        <v>236</v>
      </c>
      <c r="F530" s="839" t="s">
        <v>234</v>
      </c>
      <c r="G530" s="916">
        <f>VLOOKUP($A530,'Tech Litons'!$A:$I,8,FALSE)</f>
        <v>3.3119999999999998E-3</v>
      </c>
      <c r="H530" s="917">
        <f>VLOOKUP($A530,'Tech Litons'!$A:$I,9,FALSE)</f>
        <v>165</v>
      </c>
      <c r="I530" s="917" t="str">
        <f>VLOOKUP($A530,'Tech Litons'!$A:$C,3,0)</f>
        <v>Yasso Sticks</v>
      </c>
      <c r="J530" s="918" t="str">
        <f t="shared" ref="J530:J593" si="54">B530&amp;I530</f>
        <v>2904Yasso Sticks</v>
      </c>
      <c r="K530" s="919">
        <v>1</v>
      </c>
      <c r="L530" s="920">
        <f t="shared" ref="L530:L593" si="55">C530*$K530</f>
        <v>7260</v>
      </c>
      <c r="M530" s="920">
        <f t="shared" ref="M530:M593" si="56">L530*G530</f>
        <v>24.045119999999997</v>
      </c>
      <c r="N530" s="920">
        <f t="shared" ref="N530:N593" si="57">L530/H530</f>
        <v>44</v>
      </c>
      <c r="O530" s="918" t="str">
        <f t="shared" ref="O530:O593" si="58">TEXT(D530,"MMM")</f>
        <v>Jan</v>
      </c>
      <c r="P530" s="921">
        <f t="shared" ref="P530:P593" si="59">WEEKNUM(D530)</f>
        <v>3</v>
      </c>
    </row>
    <row r="531" spans="1:16" ht="15" hidden="1" customHeight="1">
      <c r="A531" s="839">
        <v>64369043</v>
      </c>
      <c r="B531" s="839">
        <v>2904</v>
      </c>
      <c r="C531" s="906">
        <v>7813</v>
      </c>
      <c r="D531" s="907">
        <v>46035</v>
      </c>
      <c r="E531" s="839" t="s">
        <v>329</v>
      </c>
      <c r="F531" s="839" t="s">
        <v>275</v>
      </c>
      <c r="G531" s="916">
        <f>VLOOKUP($A531,'Tech Litons'!$A:$I,8,FALSE)</f>
        <v>3.552E-3</v>
      </c>
      <c r="H531" s="917">
        <f>VLOOKUP($A531,'Tech Litons'!$A:$I,9,FALSE)</f>
        <v>255</v>
      </c>
      <c r="I531" s="917" t="str">
        <f>VLOOKUP($A531,'Tech Litons'!$A:$C,3,0)</f>
        <v>Talenti</v>
      </c>
      <c r="J531" s="918" t="str">
        <f t="shared" si="54"/>
        <v>2904Talenti</v>
      </c>
      <c r="K531" s="919">
        <v>1</v>
      </c>
      <c r="L531" s="920">
        <f t="shared" si="55"/>
        <v>7813</v>
      </c>
      <c r="M531" s="920">
        <f t="shared" si="56"/>
        <v>27.751776</v>
      </c>
      <c r="N531" s="920">
        <f t="shared" si="57"/>
        <v>30.639215686274511</v>
      </c>
      <c r="O531" s="918" t="str">
        <f t="shared" si="58"/>
        <v>Jan</v>
      </c>
      <c r="P531" s="921">
        <f t="shared" si="59"/>
        <v>3</v>
      </c>
    </row>
    <row r="532" spans="1:16" ht="15" hidden="1" customHeight="1">
      <c r="A532" s="839">
        <v>68626039</v>
      </c>
      <c r="B532" s="839">
        <v>2904</v>
      </c>
      <c r="C532" s="906">
        <v>8398</v>
      </c>
      <c r="D532" s="907">
        <v>46035</v>
      </c>
      <c r="E532" s="839" t="s">
        <v>246</v>
      </c>
      <c r="F532" s="839" t="s">
        <v>40</v>
      </c>
      <c r="G532" s="916">
        <f>VLOOKUP($A532,'Tech Litons'!$A:$I,8,FALSE)</f>
        <v>3.7839999999999996E-3</v>
      </c>
      <c r="H532" s="917">
        <f>VLOOKUP($A532,'Tech Litons'!$A:$I,9,FALSE)</f>
        <v>240</v>
      </c>
      <c r="I532" s="917" t="str">
        <f>VLOOKUP($A532,'Tech Litons'!$A:$C,3,0)</f>
        <v>PTS</v>
      </c>
      <c r="J532" s="918" t="str">
        <f t="shared" si="54"/>
        <v>2904PTS</v>
      </c>
      <c r="K532" s="919">
        <v>1</v>
      </c>
      <c r="L532" s="920">
        <f t="shared" si="55"/>
        <v>8398</v>
      </c>
      <c r="M532" s="920">
        <f t="shared" si="56"/>
        <v>31.778031999999996</v>
      </c>
      <c r="N532" s="920">
        <f t="shared" si="57"/>
        <v>34.991666666666667</v>
      </c>
      <c r="O532" s="918" t="str">
        <f t="shared" si="58"/>
        <v>Jan</v>
      </c>
      <c r="P532" s="921">
        <f t="shared" si="59"/>
        <v>3</v>
      </c>
    </row>
    <row r="533" spans="1:16" ht="15" hidden="1" customHeight="1">
      <c r="A533" s="839">
        <v>68851108</v>
      </c>
      <c r="B533" s="839">
        <v>2904</v>
      </c>
      <c r="C533" s="906">
        <v>8448</v>
      </c>
      <c r="D533" s="907">
        <v>46035</v>
      </c>
      <c r="E533" s="839" t="s">
        <v>296</v>
      </c>
      <c r="F533" s="839" t="s">
        <v>273</v>
      </c>
      <c r="G533" s="916">
        <f>VLOOKUP($A533,'Tech Litons'!$A:$I,8,FALSE)</f>
        <v>8.5199999999999998E-3</v>
      </c>
      <c r="H533" s="917">
        <f>VLOOKUP($A533,'Tech Litons'!$A:$I,9,FALSE)</f>
        <v>176</v>
      </c>
      <c r="I533" s="917" t="str">
        <f>VLOOKUP($A533,'Tech Litons'!$A:$C,3,0)</f>
        <v>48oz</v>
      </c>
      <c r="J533" s="918" t="str">
        <f t="shared" si="54"/>
        <v>290448oz</v>
      </c>
      <c r="K533" s="919">
        <v>1</v>
      </c>
      <c r="L533" s="920">
        <f t="shared" si="55"/>
        <v>8448</v>
      </c>
      <c r="M533" s="920">
        <f t="shared" si="56"/>
        <v>71.976959999999991</v>
      </c>
      <c r="N533" s="920">
        <f t="shared" si="57"/>
        <v>48</v>
      </c>
      <c r="O533" s="918" t="str">
        <f t="shared" si="58"/>
        <v>Jan</v>
      </c>
      <c r="P533" s="921">
        <f t="shared" si="59"/>
        <v>3</v>
      </c>
    </row>
    <row r="534" spans="1:16" ht="15" hidden="1" customHeight="1">
      <c r="A534" s="839">
        <v>68851107</v>
      </c>
      <c r="B534" s="839">
        <v>1352</v>
      </c>
      <c r="C534" s="906">
        <v>8743</v>
      </c>
      <c r="D534" s="907">
        <v>46035</v>
      </c>
      <c r="E534" s="839" t="s">
        <v>272</v>
      </c>
      <c r="F534" s="839" t="s">
        <v>290</v>
      </c>
      <c r="G534" s="916">
        <f>VLOOKUP($A534,'Tech Litons'!$A:$I,8,FALSE)</f>
        <v>8.5199999999999998E-3</v>
      </c>
      <c r="H534" s="917">
        <f>VLOOKUP($A534,'Tech Litons'!$A:$I,9,FALSE)</f>
        <v>176</v>
      </c>
      <c r="I534" s="917" t="str">
        <f>VLOOKUP($A534,'Tech Litons'!$A:$C,3,0)</f>
        <v>48oz</v>
      </c>
      <c r="J534" s="918" t="str">
        <f t="shared" si="54"/>
        <v>135248oz</v>
      </c>
      <c r="K534" s="919">
        <v>1</v>
      </c>
      <c r="L534" s="920">
        <f t="shared" si="55"/>
        <v>8743</v>
      </c>
      <c r="M534" s="920">
        <f t="shared" si="56"/>
        <v>74.490359999999995</v>
      </c>
      <c r="N534" s="920">
        <f t="shared" si="57"/>
        <v>49.676136363636367</v>
      </c>
      <c r="O534" s="918" t="str">
        <f t="shared" si="58"/>
        <v>Jan</v>
      </c>
      <c r="P534" s="921">
        <f t="shared" si="59"/>
        <v>3</v>
      </c>
    </row>
    <row r="535" spans="1:16" ht="15" hidden="1" customHeight="1">
      <c r="A535" s="839">
        <v>69991979</v>
      </c>
      <c r="B535" s="839">
        <v>2904</v>
      </c>
      <c r="C535" s="906">
        <v>9240</v>
      </c>
      <c r="D535" s="907">
        <v>46035</v>
      </c>
      <c r="E535" s="839" t="s">
        <v>334</v>
      </c>
      <c r="F535" s="839" t="s">
        <v>283</v>
      </c>
      <c r="G535" s="916">
        <f>VLOOKUP($A535,'Tech Litons'!$A:$I,8,FALSE)</f>
        <v>2.0400000000000001E-3</v>
      </c>
      <c r="H535" s="917">
        <f>VLOOKUP($A535,'Tech Litons'!$A:$I,9,FALSE)</f>
        <v>210</v>
      </c>
      <c r="I535" s="917" t="str">
        <f>VLOOKUP($A535,'Tech Litons'!$A:$C,3,0)</f>
        <v>MG Sticks</v>
      </c>
      <c r="J535" s="918" t="str">
        <f t="shared" si="54"/>
        <v>2904MG Sticks</v>
      </c>
      <c r="K535" s="919">
        <v>1</v>
      </c>
      <c r="L535" s="920">
        <f t="shared" si="55"/>
        <v>9240</v>
      </c>
      <c r="M535" s="920">
        <f t="shared" si="56"/>
        <v>18.849600000000002</v>
      </c>
      <c r="N535" s="920">
        <f t="shared" si="57"/>
        <v>44</v>
      </c>
      <c r="O535" s="918" t="str">
        <f t="shared" si="58"/>
        <v>Jan</v>
      </c>
      <c r="P535" s="921">
        <f t="shared" si="59"/>
        <v>3</v>
      </c>
    </row>
    <row r="536" spans="1:16" ht="15" hidden="1" customHeight="1">
      <c r="A536" s="839">
        <v>68860059</v>
      </c>
      <c r="B536" s="839">
        <v>2904</v>
      </c>
      <c r="C536" s="906">
        <v>14025</v>
      </c>
      <c r="D536" s="907">
        <v>46035</v>
      </c>
      <c r="E536" s="839" t="s">
        <v>319</v>
      </c>
      <c r="F536" s="839" t="s">
        <v>277</v>
      </c>
      <c r="G536" s="916">
        <f>VLOOKUP($A536,'Tech Litons'!$A:$I,8,FALSE)</f>
        <v>3.7839999999999996E-3</v>
      </c>
      <c r="H536" s="917">
        <f>VLOOKUP($A536,'Tech Litons'!$A:$I,9,FALSE)</f>
        <v>255</v>
      </c>
      <c r="I536" s="917" t="str">
        <f>VLOOKUP($A536,'Tech Litons'!$A:$C,3,0)</f>
        <v>Talenti</v>
      </c>
      <c r="J536" s="918" t="str">
        <f t="shared" si="54"/>
        <v>2904Talenti</v>
      </c>
      <c r="K536" s="919">
        <v>1</v>
      </c>
      <c r="L536" s="920">
        <f t="shared" si="55"/>
        <v>14025</v>
      </c>
      <c r="M536" s="920">
        <f t="shared" si="56"/>
        <v>53.070599999999992</v>
      </c>
      <c r="N536" s="920">
        <f t="shared" si="57"/>
        <v>55</v>
      </c>
      <c r="O536" s="918" t="str">
        <f t="shared" si="58"/>
        <v>Jan</v>
      </c>
      <c r="P536" s="921">
        <f t="shared" si="59"/>
        <v>3</v>
      </c>
    </row>
    <row r="537" spans="1:16" ht="15" hidden="1" customHeight="1">
      <c r="A537" s="839">
        <v>67881629</v>
      </c>
      <c r="B537" s="839">
        <v>5914</v>
      </c>
      <c r="C537" s="906">
        <v>19920</v>
      </c>
      <c r="D537" s="907">
        <v>46035</v>
      </c>
      <c r="E537" s="839" t="s">
        <v>337</v>
      </c>
      <c r="F537" s="839" t="s">
        <v>279</v>
      </c>
      <c r="G537" s="916">
        <f>VLOOKUP($A537,'Tech Litons'!$A:$I,8,FALSE)</f>
        <v>3.7853439999999999E-3</v>
      </c>
      <c r="H537" s="917">
        <f>VLOOKUP($A537,'Tech Litons'!$A:$I,9,FALSE)</f>
        <v>240</v>
      </c>
      <c r="I537" s="917" t="str">
        <f>VLOOKUP($A537,'Tech Litons'!$A:$C,3,0)</f>
        <v>BJ PTS</v>
      </c>
      <c r="J537" s="918" t="str">
        <f t="shared" si="54"/>
        <v>5914BJ PTS</v>
      </c>
      <c r="K537" s="919">
        <v>1</v>
      </c>
      <c r="L537" s="920">
        <f t="shared" si="55"/>
        <v>19920</v>
      </c>
      <c r="M537" s="920">
        <f t="shared" si="56"/>
        <v>75.404052480000004</v>
      </c>
      <c r="N537" s="920">
        <f t="shared" si="57"/>
        <v>83</v>
      </c>
      <c r="O537" s="918" t="str">
        <f t="shared" si="58"/>
        <v>Jan</v>
      </c>
      <c r="P537" s="921">
        <f t="shared" si="59"/>
        <v>3</v>
      </c>
    </row>
    <row r="538" spans="1:16" ht="15" hidden="1" customHeight="1">
      <c r="A538" s="839">
        <v>84138391</v>
      </c>
      <c r="B538" s="839">
        <v>5914</v>
      </c>
      <c r="C538" s="906">
        <v>24520</v>
      </c>
      <c r="D538" s="907">
        <v>46035</v>
      </c>
      <c r="E538" s="839" t="s">
        <v>339</v>
      </c>
      <c r="F538" s="839" t="s">
        <v>279</v>
      </c>
      <c r="G538" s="916">
        <f>VLOOKUP($A538,'Tech Litons'!$A:$I,8,FALSE)</f>
        <v>3.7853439999999999E-3</v>
      </c>
      <c r="H538" s="917">
        <f>VLOOKUP($A538,'Tech Litons'!$A:$I,9,FALSE)</f>
        <v>240</v>
      </c>
      <c r="I538" s="917" t="str">
        <f>VLOOKUP($A538,'Tech Litons'!$A:$C,3,0)</f>
        <v>BJ PTS</v>
      </c>
      <c r="J538" s="918" t="str">
        <f t="shared" si="54"/>
        <v>5914BJ PTS</v>
      </c>
      <c r="K538" s="919">
        <v>1</v>
      </c>
      <c r="L538" s="920">
        <f t="shared" si="55"/>
        <v>24520</v>
      </c>
      <c r="M538" s="920">
        <f t="shared" si="56"/>
        <v>92.816634879999995</v>
      </c>
      <c r="N538" s="920">
        <f t="shared" si="57"/>
        <v>102.16666666666667</v>
      </c>
      <c r="O538" s="918" t="str">
        <f t="shared" si="58"/>
        <v>Jan</v>
      </c>
      <c r="P538" s="921">
        <f t="shared" si="59"/>
        <v>3</v>
      </c>
    </row>
    <row r="539" spans="1:16" ht="15" hidden="1" customHeight="1">
      <c r="A539" s="839">
        <v>67826412</v>
      </c>
      <c r="B539" s="839">
        <v>5911</v>
      </c>
      <c r="C539" s="906">
        <v>28560</v>
      </c>
      <c r="D539" s="907">
        <v>46035</v>
      </c>
      <c r="E539" s="839" t="s">
        <v>312</v>
      </c>
      <c r="F539" s="839" t="s">
        <v>303</v>
      </c>
      <c r="G539" s="916">
        <f>VLOOKUP($A539,'Tech Litons'!$A:$I,8,FALSE)</f>
        <v>3.7853439999999999E-3</v>
      </c>
      <c r="H539" s="917">
        <f>VLOOKUP($A539,'Tech Litons'!$A:$I,9,FALSE)</f>
        <v>240</v>
      </c>
      <c r="I539" s="917" t="str">
        <f>VLOOKUP($A539,'Tech Litons'!$A:$C,3,0)</f>
        <v>BJ PTS</v>
      </c>
      <c r="J539" s="918" t="str">
        <f t="shared" si="54"/>
        <v>5911BJ PTS</v>
      </c>
      <c r="K539" s="919">
        <v>1</v>
      </c>
      <c r="L539" s="920">
        <f t="shared" si="55"/>
        <v>28560</v>
      </c>
      <c r="M539" s="920">
        <f t="shared" si="56"/>
        <v>108.10942464</v>
      </c>
      <c r="N539" s="920">
        <f t="shared" si="57"/>
        <v>119</v>
      </c>
      <c r="O539" s="918" t="str">
        <f t="shared" si="58"/>
        <v>Jan</v>
      </c>
      <c r="P539" s="921">
        <f t="shared" si="59"/>
        <v>3</v>
      </c>
    </row>
    <row r="540" spans="1:16" ht="15" hidden="1" customHeight="1">
      <c r="A540" s="839">
        <v>84135718</v>
      </c>
      <c r="B540" s="839">
        <v>5914</v>
      </c>
      <c r="C540" s="906">
        <v>32640</v>
      </c>
      <c r="D540" s="907">
        <v>46035</v>
      </c>
      <c r="E540" s="839" t="s">
        <v>338</v>
      </c>
      <c r="F540" s="839" t="s">
        <v>301</v>
      </c>
      <c r="G540" s="916">
        <f>VLOOKUP($A540,'Tech Litons'!$A:$I,8,FALSE)</f>
        <v>3.7853439999999999E-3</v>
      </c>
      <c r="H540" s="917">
        <f>VLOOKUP($A540,'Tech Litons'!$A:$I,9,FALSE)</f>
        <v>240</v>
      </c>
      <c r="I540" s="917" t="str">
        <f>VLOOKUP($A540,'Tech Litons'!$A:$C,3,0)</f>
        <v>BJ PTS</v>
      </c>
      <c r="J540" s="918" t="str">
        <f t="shared" si="54"/>
        <v>5914BJ PTS</v>
      </c>
      <c r="K540" s="919">
        <v>1</v>
      </c>
      <c r="L540" s="920">
        <f t="shared" si="55"/>
        <v>32640</v>
      </c>
      <c r="M540" s="920">
        <f t="shared" si="56"/>
        <v>123.55362816</v>
      </c>
      <c r="N540" s="920">
        <f t="shared" si="57"/>
        <v>136</v>
      </c>
      <c r="O540" s="918" t="str">
        <f t="shared" si="58"/>
        <v>Jan</v>
      </c>
      <c r="P540" s="921">
        <f t="shared" si="59"/>
        <v>3</v>
      </c>
    </row>
    <row r="541" spans="1:16" ht="15" hidden="1" customHeight="1">
      <c r="A541" s="839">
        <v>69568828</v>
      </c>
      <c r="B541" s="839">
        <v>1352</v>
      </c>
      <c r="C541" s="906">
        <v>-154</v>
      </c>
      <c r="D541" s="907">
        <v>46036</v>
      </c>
      <c r="E541" s="839" t="s">
        <v>320</v>
      </c>
      <c r="F541" s="839" t="s">
        <v>264</v>
      </c>
      <c r="G541" s="916">
        <f>VLOOKUP($A541,'Tech Litons'!$A:$I,8,FALSE)</f>
        <v>8.5199999999999998E-3</v>
      </c>
      <c r="H541" s="917">
        <f>VLOOKUP($A541,'Tech Litons'!$A:$I,9,FALSE)</f>
        <v>176</v>
      </c>
      <c r="I541" s="917" t="str">
        <f>VLOOKUP($A541,'Tech Litons'!$A:$C,3,0)</f>
        <v>48oz</v>
      </c>
      <c r="J541" s="918" t="str">
        <f t="shared" si="54"/>
        <v>135248oz</v>
      </c>
      <c r="K541" s="919">
        <v>1</v>
      </c>
      <c r="L541" s="920">
        <f t="shared" si="55"/>
        <v>-154</v>
      </c>
      <c r="M541" s="920">
        <f t="shared" si="56"/>
        <v>-1.3120799999999999</v>
      </c>
      <c r="N541" s="920">
        <f t="shared" si="57"/>
        <v>-0.875</v>
      </c>
      <c r="O541" s="918" t="str">
        <f t="shared" si="58"/>
        <v>Jan</v>
      </c>
      <c r="P541" s="921">
        <f t="shared" si="59"/>
        <v>3</v>
      </c>
    </row>
    <row r="542" spans="1:16" ht="15" hidden="1" customHeight="1">
      <c r="A542" s="839">
        <v>64975616</v>
      </c>
      <c r="B542" s="839">
        <v>2904</v>
      </c>
      <c r="C542" s="906">
        <v>-134</v>
      </c>
      <c r="D542" s="907">
        <v>46036</v>
      </c>
      <c r="E542" s="839" t="s">
        <v>385</v>
      </c>
      <c r="F542" s="839" t="s">
        <v>299</v>
      </c>
      <c r="G542" s="916">
        <f>VLOOKUP($A542,'Tech Litons'!$A:$I,8,FALSE)</f>
        <v>3.3119999999999998E-3</v>
      </c>
      <c r="H542" s="917">
        <f>VLOOKUP($A542,'Tech Litons'!$A:$I,9,FALSE)</f>
        <v>240</v>
      </c>
      <c r="I542" s="917" t="str">
        <f>VLOOKUP($A542,'Tech Litons'!$A:$C,3,0)</f>
        <v>YS PTS</v>
      </c>
      <c r="J542" s="918" t="str">
        <f t="shared" si="54"/>
        <v>2904YS PTS</v>
      </c>
      <c r="K542" s="919">
        <v>1</v>
      </c>
      <c r="L542" s="920">
        <f t="shared" si="55"/>
        <v>-134</v>
      </c>
      <c r="M542" s="920">
        <f t="shared" si="56"/>
        <v>-0.44380799999999998</v>
      </c>
      <c r="N542" s="920">
        <f t="shared" si="57"/>
        <v>-0.55833333333333335</v>
      </c>
      <c r="O542" s="918" t="str">
        <f t="shared" si="58"/>
        <v>Jan</v>
      </c>
      <c r="P542" s="921">
        <f t="shared" si="59"/>
        <v>3</v>
      </c>
    </row>
    <row r="543" spans="1:16" ht="15" hidden="1" customHeight="1">
      <c r="A543" s="839">
        <v>68741742</v>
      </c>
      <c r="B543" s="839">
        <v>1352</v>
      </c>
      <c r="C543" s="906">
        <v>-114</v>
      </c>
      <c r="D543" s="907">
        <v>46036</v>
      </c>
      <c r="E543" s="839" t="s">
        <v>288</v>
      </c>
      <c r="F543" s="839" t="s">
        <v>289</v>
      </c>
      <c r="G543" s="916">
        <f>VLOOKUP($A543,'Tech Litons'!$A:$I,8,FALSE)</f>
        <v>4.2560000000000002E-3</v>
      </c>
      <c r="H543" s="917">
        <f>VLOOKUP($A543,'Tech Litons'!$A:$I,9,FALSE)</f>
        <v>154</v>
      </c>
      <c r="I543" s="917" t="str">
        <f>VLOOKUP($A543,'Tech Litons'!$A:$C,3,0)</f>
        <v>MBG</v>
      </c>
      <c r="J543" s="918" t="str">
        <f t="shared" si="54"/>
        <v>1352MBG</v>
      </c>
      <c r="K543" s="919">
        <v>1</v>
      </c>
      <c r="L543" s="920">
        <f t="shared" si="55"/>
        <v>-114</v>
      </c>
      <c r="M543" s="920">
        <f t="shared" si="56"/>
        <v>-0.485184</v>
      </c>
      <c r="N543" s="920">
        <f t="shared" si="57"/>
        <v>-0.74025974025974028</v>
      </c>
      <c r="O543" s="918" t="str">
        <f t="shared" si="58"/>
        <v>Jan</v>
      </c>
      <c r="P543" s="921">
        <f t="shared" si="59"/>
        <v>3</v>
      </c>
    </row>
    <row r="544" spans="1:16" ht="15" hidden="1" customHeight="1">
      <c r="A544" s="839">
        <v>69690941</v>
      </c>
      <c r="B544" s="839">
        <v>2904</v>
      </c>
      <c r="C544" s="906">
        <v>-24</v>
      </c>
      <c r="D544" s="907">
        <v>46036</v>
      </c>
      <c r="E544" s="839" t="s">
        <v>321</v>
      </c>
      <c r="F544" s="839" t="s">
        <v>281</v>
      </c>
      <c r="G544" s="916">
        <f>VLOOKUP($A544,'Tech Litons'!$A:$I,8,FALSE)</f>
        <v>1.98E-3</v>
      </c>
      <c r="H544" s="917">
        <f>VLOOKUP($A544,'Tech Litons'!$A:$I,9,FALSE)</f>
        <v>176</v>
      </c>
      <c r="I544" s="917" t="str">
        <f>VLOOKUP($A544,'Tech Litons'!$A:$C,3,0)</f>
        <v>MG Sticks</v>
      </c>
      <c r="J544" s="918" t="str">
        <f t="shared" si="54"/>
        <v>2904MG Sticks</v>
      </c>
      <c r="K544" s="919">
        <v>1</v>
      </c>
      <c r="L544" s="920">
        <f t="shared" si="55"/>
        <v>-24</v>
      </c>
      <c r="M544" s="920">
        <f t="shared" si="56"/>
        <v>-4.752E-2</v>
      </c>
      <c r="N544" s="920">
        <f t="shared" si="57"/>
        <v>-0.13636363636363635</v>
      </c>
      <c r="O544" s="918" t="str">
        <f t="shared" si="58"/>
        <v>Jan</v>
      </c>
      <c r="P544" s="921">
        <f t="shared" si="59"/>
        <v>3</v>
      </c>
    </row>
    <row r="545" spans="1:16" ht="15" hidden="1" customHeight="1">
      <c r="A545" s="839">
        <v>69717802</v>
      </c>
      <c r="B545" s="839">
        <v>2904</v>
      </c>
      <c r="C545" s="906">
        <v>-6</v>
      </c>
      <c r="D545" s="907">
        <v>46036</v>
      </c>
      <c r="E545" s="839" t="s">
        <v>388</v>
      </c>
      <c r="F545" s="839" t="s">
        <v>281</v>
      </c>
      <c r="G545" s="916">
        <f>VLOOKUP($A545,'Tech Litons'!$A:$I,8,FALSE)</f>
        <v>4.2560000000000002E-3</v>
      </c>
      <c r="H545" s="917">
        <f>VLOOKUP($A545,'Tech Litons'!$A:$I,9,FALSE)</f>
        <v>143</v>
      </c>
      <c r="I545" s="917" t="str">
        <f>VLOOKUP($A545,'Tech Litons'!$A:$C,3,0)</f>
        <v>MG Sticks</v>
      </c>
      <c r="J545" s="918" t="str">
        <f t="shared" si="54"/>
        <v>2904MG Sticks</v>
      </c>
      <c r="K545" s="919">
        <v>1</v>
      </c>
      <c r="L545" s="920">
        <f t="shared" si="55"/>
        <v>-6</v>
      </c>
      <c r="M545" s="920">
        <f t="shared" si="56"/>
        <v>-2.5536000000000003E-2</v>
      </c>
      <c r="N545" s="920">
        <f t="shared" si="57"/>
        <v>-4.195804195804196E-2</v>
      </c>
      <c r="O545" s="918" t="str">
        <f t="shared" si="58"/>
        <v>Jan</v>
      </c>
      <c r="P545" s="921">
        <f t="shared" si="59"/>
        <v>3</v>
      </c>
    </row>
    <row r="546" spans="1:16" ht="15" hidden="1" customHeight="1">
      <c r="A546" s="839">
        <v>68922108</v>
      </c>
      <c r="B546" s="839">
        <v>2904</v>
      </c>
      <c r="C546" s="906">
        <v>-3</v>
      </c>
      <c r="D546" s="907">
        <v>46036</v>
      </c>
      <c r="E546" s="839" t="s">
        <v>276</v>
      </c>
      <c r="F546" s="839" t="s">
        <v>277</v>
      </c>
      <c r="G546" s="916">
        <f>VLOOKUP($A546,'Tech Litons'!$A:$I,8,FALSE)</f>
        <v>3.7839999999999996E-3</v>
      </c>
      <c r="H546" s="917">
        <f>VLOOKUP($A546,'Tech Litons'!$A:$I,9,FALSE)</f>
        <v>255</v>
      </c>
      <c r="I546" s="917" t="str">
        <f>VLOOKUP($A546,'Tech Litons'!$A:$C,3,0)</f>
        <v>TALENTI</v>
      </c>
      <c r="J546" s="918" t="str">
        <f t="shared" si="54"/>
        <v>2904TALENTI</v>
      </c>
      <c r="K546" s="919">
        <v>1</v>
      </c>
      <c r="L546" s="920">
        <f t="shared" si="55"/>
        <v>-3</v>
      </c>
      <c r="M546" s="920">
        <f t="shared" si="56"/>
        <v>-1.1351999999999999E-2</v>
      </c>
      <c r="N546" s="920">
        <f t="shared" si="57"/>
        <v>-1.1764705882352941E-2</v>
      </c>
      <c r="O546" s="918" t="str">
        <f t="shared" si="58"/>
        <v>Jan</v>
      </c>
      <c r="P546" s="921">
        <f t="shared" si="59"/>
        <v>3</v>
      </c>
    </row>
    <row r="547" spans="1:16" ht="15" hidden="1" customHeight="1">
      <c r="A547" s="839">
        <v>69629468</v>
      </c>
      <c r="B547" s="839">
        <v>2904</v>
      </c>
      <c r="C547" s="906">
        <v>59</v>
      </c>
      <c r="D547" s="907">
        <v>46036</v>
      </c>
      <c r="E547" s="839" t="s">
        <v>291</v>
      </c>
      <c r="F547" s="839" t="s">
        <v>226</v>
      </c>
      <c r="G547" s="916">
        <f>VLOOKUP($A547,'Tech Litons'!$A:$I,8,FALSE)</f>
        <v>5.2680000000000001E-3</v>
      </c>
      <c r="H547" s="917">
        <f>VLOOKUP($A547,'Tech Litons'!$A:$I,9,FALSE)</f>
        <v>130</v>
      </c>
      <c r="I547" s="917" t="str">
        <f>VLOOKUP($A547,'Tech Litons'!$A:$C,3,0)</f>
        <v>PG</v>
      </c>
      <c r="J547" s="918" t="str">
        <f t="shared" si="54"/>
        <v>2904PG</v>
      </c>
      <c r="K547" s="919">
        <v>1</v>
      </c>
      <c r="L547" s="920">
        <f t="shared" si="55"/>
        <v>59</v>
      </c>
      <c r="M547" s="920">
        <f t="shared" si="56"/>
        <v>0.31081200000000003</v>
      </c>
      <c r="N547" s="920">
        <f t="shared" si="57"/>
        <v>0.45384615384615384</v>
      </c>
      <c r="O547" s="918" t="str">
        <f t="shared" si="58"/>
        <v>Jan</v>
      </c>
      <c r="P547" s="921">
        <f t="shared" si="59"/>
        <v>3</v>
      </c>
    </row>
    <row r="548" spans="1:16" ht="15" hidden="1" customHeight="1">
      <c r="A548" s="839">
        <v>68689251</v>
      </c>
      <c r="B548" s="839">
        <v>1352</v>
      </c>
      <c r="C548" s="906">
        <v>67</v>
      </c>
      <c r="D548" s="907">
        <v>46036</v>
      </c>
      <c r="E548" s="839" t="s">
        <v>262</v>
      </c>
      <c r="F548" s="839" t="s">
        <v>240</v>
      </c>
      <c r="G548" s="916">
        <f>VLOOKUP($A548,'Tech Litons'!$A:$I,8,FALSE)</f>
        <v>9.5760000000000012E-3</v>
      </c>
      <c r="H548" s="917">
        <f>VLOOKUP($A548,'Tech Litons'!$A:$I,9,FALSE)</f>
        <v>132</v>
      </c>
      <c r="I548" s="917" t="str">
        <f>VLOOKUP($A548,'Tech Litons'!$A:$C,3,0)</f>
        <v>EDF</v>
      </c>
      <c r="J548" s="918" t="str">
        <f t="shared" si="54"/>
        <v>1352EDF</v>
      </c>
      <c r="K548" s="919">
        <v>1</v>
      </c>
      <c r="L548" s="920">
        <f t="shared" si="55"/>
        <v>67</v>
      </c>
      <c r="M548" s="920">
        <f t="shared" si="56"/>
        <v>0.64159200000000005</v>
      </c>
      <c r="N548" s="920">
        <f t="shared" si="57"/>
        <v>0.50757575757575757</v>
      </c>
      <c r="O548" s="918" t="str">
        <f t="shared" si="58"/>
        <v>Jan</v>
      </c>
      <c r="P548" s="921">
        <f t="shared" si="59"/>
        <v>3</v>
      </c>
    </row>
    <row r="549" spans="1:16" ht="15" hidden="1" customHeight="1">
      <c r="A549" s="839">
        <v>64341106</v>
      </c>
      <c r="B549" s="839">
        <v>2904</v>
      </c>
      <c r="C549" s="906">
        <v>78</v>
      </c>
      <c r="D549" s="907">
        <v>46036</v>
      </c>
      <c r="E549" s="839" t="s">
        <v>293</v>
      </c>
      <c r="F549" s="839" t="s">
        <v>227</v>
      </c>
      <c r="G549" s="916">
        <f>VLOOKUP($A549,'Tech Litons'!$A:$I,8,FALSE)</f>
        <v>5.2680000000000001E-3</v>
      </c>
      <c r="H549" s="917">
        <f>VLOOKUP($A549,'Tech Litons'!$A:$I,9,FALSE)</f>
        <v>130</v>
      </c>
      <c r="I549" s="917" t="str">
        <f>VLOOKUP($A549,'Tech Litons'!$A:$C,3,0)</f>
        <v>PG</v>
      </c>
      <c r="J549" s="918" t="str">
        <f t="shared" si="54"/>
        <v>2904PG</v>
      </c>
      <c r="K549" s="919">
        <v>1</v>
      </c>
      <c r="L549" s="920">
        <f t="shared" si="55"/>
        <v>78</v>
      </c>
      <c r="M549" s="920">
        <f t="shared" si="56"/>
        <v>0.41090399999999999</v>
      </c>
      <c r="N549" s="920">
        <f t="shared" si="57"/>
        <v>0.6</v>
      </c>
      <c r="O549" s="918" t="str">
        <f t="shared" si="58"/>
        <v>Jan</v>
      </c>
      <c r="P549" s="921">
        <f t="shared" si="59"/>
        <v>3</v>
      </c>
    </row>
    <row r="550" spans="1:16" ht="15" hidden="1" customHeight="1">
      <c r="A550" s="839">
        <v>68851107</v>
      </c>
      <c r="B550" s="839">
        <v>1352</v>
      </c>
      <c r="C550" s="906">
        <v>100</v>
      </c>
      <c r="D550" s="907">
        <v>46036</v>
      </c>
      <c r="E550" s="839" t="s">
        <v>272</v>
      </c>
      <c r="F550" s="839" t="s">
        <v>290</v>
      </c>
      <c r="G550" s="916">
        <f>VLOOKUP($A550,'Tech Litons'!$A:$I,8,FALSE)</f>
        <v>8.5199999999999998E-3</v>
      </c>
      <c r="H550" s="917">
        <f>VLOOKUP($A550,'Tech Litons'!$A:$I,9,FALSE)</f>
        <v>176</v>
      </c>
      <c r="I550" s="917" t="str">
        <f>VLOOKUP($A550,'Tech Litons'!$A:$C,3,0)</f>
        <v>48oz</v>
      </c>
      <c r="J550" s="918" t="str">
        <f t="shared" si="54"/>
        <v>135248oz</v>
      </c>
      <c r="K550" s="919">
        <v>1</v>
      </c>
      <c r="L550" s="920">
        <f t="shared" si="55"/>
        <v>100</v>
      </c>
      <c r="M550" s="920">
        <f t="shared" si="56"/>
        <v>0.85199999999999998</v>
      </c>
      <c r="N550" s="920">
        <f t="shared" si="57"/>
        <v>0.56818181818181823</v>
      </c>
      <c r="O550" s="918" t="str">
        <f t="shared" si="58"/>
        <v>Jan</v>
      </c>
      <c r="P550" s="921">
        <f t="shared" si="59"/>
        <v>3</v>
      </c>
    </row>
    <row r="551" spans="1:16" ht="15" hidden="1" customHeight="1">
      <c r="A551" s="839">
        <v>64776954</v>
      </c>
      <c r="B551" s="839">
        <v>1352</v>
      </c>
      <c r="C551" s="906">
        <v>130</v>
      </c>
      <c r="D551" s="907">
        <v>46036</v>
      </c>
      <c r="E551" s="839" t="s">
        <v>285</v>
      </c>
      <c r="F551" s="839" t="s">
        <v>224</v>
      </c>
      <c r="G551" s="916">
        <f>VLOOKUP($A551,'Tech Litons'!$A:$I,8,FALSE)</f>
        <v>3.8340000000000002E-3</v>
      </c>
      <c r="H551" s="917">
        <f>VLOOKUP($A551,'Tech Litons'!$A:$I,9,FALSE)</f>
        <v>130</v>
      </c>
      <c r="I551" s="917" t="str">
        <f>VLOOKUP($A551,'Tech Litons'!$A:$C,3,0)</f>
        <v>pG</v>
      </c>
      <c r="J551" s="918" t="str">
        <f t="shared" si="54"/>
        <v>1352pG</v>
      </c>
      <c r="K551" s="919">
        <v>1</v>
      </c>
      <c r="L551" s="920">
        <f t="shared" si="55"/>
        <v>130</v>
      </c>
      <c r="M551" s="920">
        <f t="shared" si="56"/>
        <v>0.49842000000000003</v>
      </c>
      <c r="N551" s="920">
        <f t="shared" si="57"/>
        <v>1</v>
      </c>
      <c r="O551" s="918" t="str">
        <f t="shared" si="58"/>
        <v>Jan</v>
      </c>
      <c r="P551" s="921">
        <f t="shared" si="59"/>
        <v>3</v>
      </c>
    </row>
    <row r="552" spans="1:16" ht="15" hidden="1" customHeight="1">
      <c r="A552" s="839">
        <v>68689251</v>
      </c>
      <c r="B552" s="839">
        <v>1352</v>
      </c>
      <c r="C552" s="906">
        <v>132</v>
      </c>
      <c r="D552" s="907">
        <v>46036</v>
      </c>
      <c r="E552" s="839" t="s">
        <v>262</v>
      </c>
      <c r="F552" s="839" t="s">
        <v>240</v>
      </c>
      <c r="G552" s="916">
        <f>VLOOKUP($A552,'Tech Litons'!$A:$I,8,FALSE)</f>
        <v>9.5760000000000012E-3</v>
      </c>
      <c r="H552" s="917">
        <f>VLOOKUP($A552,'Tech Litons'!$A:$I,9,FALSE)</f>
        <v>132</v>
      </c>
      <c r="I552" s="917" t="str">
        <f>VLOOKUP($A552,'Tech Litons'!$A:$C,3,0)</f>
        <v>EDF</v>
      </c>
      <c r="J552" s="918" t="str">
        <f t="shared" si="54"/>
        <v>1352EDF</v>
      </c>
      <c r="K552" s="919">
        <v>1</v>
      </c>
      <c r="L552" s="920">
        <f t="shared" si="55"/>
        <v>132</v>
      </c>
      <c r="M552" s="920">
        <f t="shared" si="56"/>
        <v>1.2640320000000003</v>
      </c>
      <c r="N552" s="920">
        <f t="shared" si="57"/>
        <v>1</v>
      </c>
      <c r="O552" s="918" t="str">
        <f t="shared" si="58"/>
        <v>Jan</v>
      </c>
      <c r="P552" s="921">
        <f t="shared" si="59"/>
        <v>3</v>
      </c>
    </row>
    <row r="553" spans="1:16" ht="15" hidden="1" customHeight="1">
      <c r="A553" s="839">
        <v>68689251</v>
      </c>
      <c r="B553" s="839">
        <v>1352</v>
      </c>
      <c r="C553" s="906">
        <v>132</v>
      </c>
      <c r="D553" s="907">
        <v>46036</v>
      </c>
      <c r="E553" s="839" t="s">
        <v>262</v>
      </c>
      <c r="F553" s="839" t="s">
        <v>242</v>
      </c>
      <c r="G553" s="916">
        <f>VLOOKUP($A553,'Tech Litons'!$A:$I,8,FALSE)</f>
        <v>9.5760000000000012E-3</v>
      </c>
      <c r="H553" s="917">
        <f>VLOOKUP($A553,'Tech Litons'!$A:$I,9,FALSE)</f>
        <v>132</v>
      </c>
      <c r="I553" s="917" t="str">
        <f>VLOOKUP($A553,'Tech Litons'!$A:$C,3,0)</f>
        <v>EDF</v>
      </c>
      <c r="J553" s="918" t="str">
        <f t="shared" si="54"/>
        <v>1352EDF</v>
      </c>
      <c r="K553" s="919">
        <v>1</v>
      </c>
      <c r="L553" s="920">
        <f t="shared" si="55"/>
        <v>132</v>
      </c>
      <c r="M553" s="920">
        <f t="shared" si="56"/>
        <v>1.2640320000000003</v>
      </c>
      <c r="N553" s="920">
        <f t="shared" si="57"/>
        <v>1</v>
      </c>
      <c r="O553" s="918" t="str">
        <f t="shared" si="58"/>
        <v>Jan</v>
      </c>
      <c r="P553" s="921">
        <f t="shared" si="59"/>
        <v>3</v>
      </c>
    </row>
    <row r="554" spans="1:16" ht="15" hidden="1" customHeight="1">
      <c r="A554" s="839">
        <v>64776954</v>
      </c>
      <c r="B554" s="839">
        <v>1352</v>
      </c>
      <c r="C554" s="906">
        <v>136</v>
      </c>
      <c r="D554" s="907">
        <v>46036</v>
      </c>
      <c r="E554" s="839" t="s">
        <v>285</v>
      </c>
      <c r="F554" s="839" t="s">
        <v>224</v>
      </c>
      <c r="G554" s="916">
        <f>VLOOKUP($A554,'Tech Litons'!$A:$I,8,FALSE)</f>
        <v>3.8340000000000002E-3</v>
      </c>
      <c r="H554" s="917">
        <f>VLOOKUP($A554,'Tech Litons'!$A:$I,9,FALSE)</f>
        <v>130</v>
      </c>
      <c r="I554" s="917" t="str">
        <f>VLOOKUP($A554,'Tech Litons'!$A:$C,3,0)</f>
        <v>pG</v>
      </c>
      <c r="J554" s="918" t="str">
        <f t="shared" si="54"/>
        <v>1352pG</v>
      </c>
      <c r="K554" s="919">
        <v>1</v>
      </c>
      <c r="L554" s="920">
        <f t="shared" si="55"/>
        <v>136</v>
      </c>
      <c r="M554" s="920">
        <f t="shared" si="56"/>
        <v>0.521424</v>
      </c>
      <c r="N554" s="920">
        <f t="shared" si="57"/>
        <v>1.0461538461538462</v>
      </c>
      <c r="O554" s="918" t="str">
        <f t="shared" si="58"/>
        <v>Jan</v>
      </c>
      <c r="P554" s="921">
        <f t="shared" si="59"/>
        <v>3</v>
      </c>
    </row>
    <row r="555" spans="1:16" ht="15" hidden="1" customHeight="1">
      <c r="A555" s="839">
        <v>68741742</v>
      </c>
      <c r="B555" s="839">
        <v>1352</v>
      </c>
      <c r="C555" s="906">
        <v>154</v>
      </c>
      <c r="D555" s="907">
        <v>46036</v>
      </c>
      <c r="E555" s="839" t="s">
        <v>288</v>
      </c>
      <c r="F555" s="839" t="s">
        <v>289</v>
      </c>
      <c r="G555" s="916">
        <f>VLOOKUP($A555,'Tech Litons'!$A:$I,8,FALSE)</f>
        <v>4.2560000000000002E-3</v>
      </c>
      <c r="H555" s="917">
        <f>VLOOKUP($A555,'Tech Litons'!$A:$I,9,FALSE)</f>
        <v>154</v>
      </c>
      <c r="I555" s="917" t="str">
        <f>VLOOKUP($A555,'Tech Litons'!$A:$C,3,0)</f>
        <v>MBG</v>
      </c>
      <c r="J555" s="918" t="str">
        <f t="shared" si="54"/>
        <v>1352MBG</v>
      </c>
      <c r="K555" s="919">
        <v>1</v>
      </c>
      <c r="L555" s="920">
        <f t="shared" si="55"/>
        <v>154</v>
      </c>
      <c r="M555" s="920">
        <f t="shared" si="56"/>
        <v>0.65542400000000001</v>
      </c>
      <c r="N555" s="920">
        <f t="shared" si="57"/>
        <v>1</v>
      </c>
      <c r="O555" s="918" t="str">
        <f t="shared" si="58"/>
        <v>Jan</v>
      </c>
      <c r="P555" s="921">
        <f t="shared" si="59"/>
        <v>3</v>
      </c>
    </row>
    <row r="556" spans="1:16" ht="15" hidden="1" customHeight="1">
      <c r="A556" s="839">
        <v>68851107</v>
      </c>
      <c r="B556" s="839">
        <v>1352</v>
      </c>
      <c r="C556" s="906">
        <v>176</v>
      </c>
      <c r="D556" s="907">
        <v>46036</v>
      </c>
      <c r="E556" s="839" t="s">
        <v>272</v>
      </c>
      <c r="F556" s="839" t="s">
        <v>290</v>
      </c>
      <c r="G556" s="916">
        <f>VLOOKUP($A556,'Tech Litons'!$A:$I,8,FALSE)</f>
        <v>8.5199999999999998E-3</v>
      </c>
      <c r="H556" s="917">
        <f>VLOOKUP($A556,'Tech Litons'!$A:$I,9,FALSE)</f>
        <v>176</v>
      </c>
      <c r="I556" s="917" t="str">
        <f>VLOOKUP($A556,'Tech Litons'!$A:$C,3,0)</f>
        <v>48oz</v>
      </c>
      <c r="J556" s="918" t="str">
        <f t="shared" si="54"/>
        <v>135248oz</v>
      </c>
      <c r="K556" s="919">
        <v>1</v>
      </c>
      <c r="L556" s="920">
        <f t="shared" si="55"/>
        <v>176</v>
      </c>
      <c r="M556" s="920">
        <f t="shared" si="56"/>
        <v>1.49952</v>
      </c>
      <c r="N556" s="920">
        <f t="shared" si="57"/>
        <v>1</v>
      </c>
      <c r="O556" s="918" t="str">
        <f t="shared" si="58"/>
        <v>Jan</v>
      </c>
      <c r="P556" s="921">
        <f t="shared" si="59"/>
        <v>3</v>
      </c>
    </row>
    <row r="557" spans="1:16" ht="15" hidden="1" customHeight="1">
      <c r="A557" s="839">
        <v>68860059</v>
      </c>
      <c r="B557" s="839">
        <v>2904</v>
      </c>
      <c r="C557" s="906">
        <v>186</v>
      </c>
      <c r="D557" s="907">
        <v>46036</v>
      </c>
      <c r="E557" s="839" t="s">
        <v>319</v>
      </c>
      <c r="F557" s="839" t="s">
        <v>277</v>
      </c>
      <c r="G557" s="916">
        <f>VLOOKUP($A557,'Tech Litons'!$A:$I,8,FALSE)</f>
        <v>3.7839999999999996E-3</v>
      </c>
      <c r="H557" s="917">
        <f>VLOOKUP($A557,'Tech Litons'!$A:$I,9,FALSE)</f>
        <v>255</v>
      </c>
      <c r="I557" s="917" t="str">
        <f>VLOOKUP($A557,'Tech Litons'!$A:$C,3,0)</f>
        <v>Talenti</v>
      </c>
      <c r="J557" s="918" t="str">
        <f t="shared" si="54"/>
        <v>2904Talenti</v>
      </c>
      <c r="K557" s="919">
        <v>1</v>
      </c>
      <c r="L557" s="920">
        <f t="shared" si="55"/>
        <v>186</v>
      </c>
      <c r="M557" s="920">
        <f t="shared" si="56"/>
        <v>0.70382399999999989</v>
      </c>
      <c r="N557" s="920">
        <f t="shared" si="57"/>
        <v>0.72941176470588232</v>
      </c>
      <c r="O557" s="918" t="str">
        <f t="shared" si="58"/>
        <v>Jan</v>
      </c>
      <c r="P557" s="921">
        <f t="shared" si="59"/>
        <v>3</v>
      </c>
    </row>
    <row r="558" spans="1:16" ht="15" hidden="1" customHeight="1">
      <c r="A558" s="839">
        <v>69629468</v>
      </c>
      <c r="B558" s="839">
        <v>2904</v>
      </c>
      <c r="C558" s="906">
        <v>203</v>
      </c>
      <c r="D558" s="907">
        <v>46036</v>
      </c>
      <c r="E558" s="839" t="s">
        <v>291</v>
      </c>
      <c r="F558" s="839" t="s">
        <v>226</v>
      </c>
      <c r="G558" s="916">
        <f>VLOOKUP($A558,'Tech Litons'!$A:$I,8,FALSE)</f>
        <v>5.2680000000000001E-3</v>
      </c>
      <c r="H558" s="917">
        <f>VLOOKUP($A558,'Tech Litons'!$A:$I,9,FALSE)</f>
        <v>130</v>
      </c>
      <c r="I558" s="917" t="str">
        <f>VLOOKUP($A558,'Tech Litons'!$A:$C,3,0)</f>
        <v>PG</v>
      </c>
      <c r="J558" s="918" t="str">
        <f t="shared" si="54"/>
        <v>2904PG</v>
      </c>
      <c r="K558" s="919">
        <v>1</v>
      </c>
      <c r="L558" s="920">
        <f t="shared" si="55"/>
        <v>203</v>
      </c>
      <c r="M558" s="920">
        <f t="shared" si="56"/>
        <v>1.069404</v>
      </c>
      <c r="N558" s="920">
        <f t="shared" si="57"/>
        <v>1.5615384615384615</v>
      </c>
      <c r="O558" s="918" t="str">
        <f t="shared" si="58"/>
        <v>Jan</v>
      </c>
      <c r="P558" s="921">
        <f t="shared" si="59"/>
        <v>3</v>
      </c>
    </row>
    <row r="559" spans="1:16" ht="15" hidden="1" customHeight="1">
      <c r="A559" s="839">
        <v>67789314</v>
      </c>
      <c r="B559" s="839">
        <v>5914</v>
      </c>
      <c r="C559" s="906">
        <v>240</v>
      </c>
      <c r="D559" s="907">
        <v>46036</v>
      </c>
      <c r="E559" s="839" t="s">
        <v>344</v>
      </c>
      <c r="F559" s="839" t="s">
        <v>303</v>
      </c>
      <c r="G559" s="916">
        <f>VLOOKUP($A559,'Tech Litons'!$A:$I,8,FALSE)</f>
        <v>3.7853439999999999E-3</v>
      </c>
      <c r="H559" s="917">
        <f>VLOOKUP($A559,'Tech Litons'!$A:$I,9,FALSE)</f>
        <v>240</v>
      </c>
      <c r="I559" s="917" t="str">
        <f>VLOOKUP($A559,'Tech Litons'!$A:$C,3,0)</f>
        <v>BJ PTS</v>
      </c>
      <c r="J559" s="918" t="str">
        <f t="shared" si="54"/>
        <v>5914BJ PTS</v>
      </c>
      <c r="K559" s="919">
        <v>1</v>
      </c>
      <c r="L559" s="920">
        <f t="shared" si="55"/>
        <v>240</v>
      </c>
      <c r="M559" s="920">
        <f t="shared" si="56"/>
        <v>0.90848255999999994</v>
      </c>
      <c r="N559" s="920">
        <f t="shared" si="57"/>
        <v>1</v>
      </c>
      <c r="O559" s="918" t="str">
        <f t="shared" si="58"/>
        <v>Jan</v>
      </c>
      <c r="P559" s="921">
        <f t="shared" si="59"/>
        <v>3</v>
      </c>
    </row>
    <row r="560" spans="1:16" ht="15" hidden="1" customHeight="1">
      <c r="A560" s="839">
        <v>65279190</v>
      </c>
      <c r="B560" s="839">
        <v>1352</v>
      </c>
      <c r="C560" s="906">
        <v>262</v>
      </c>
      <c r="D560" s="907">
        <v>46036</v>
      </c>
      <c r="E560" s="839" t="s">
        <v>1187</v>
      </c>
      <c r="F560" s="839" t="s">
        <v>287</v>
      </c>
      <c r="G560" s="916">
        <f>VLOOKUP($A560,'Tech Litons'!$A:$I,8,FALSE)</f>
        <v>2.712E-3</v>
      </c>
      <c r="H560" s="917">
        <f>VLOOKUP($A560,'Tech Litons'!$A:$I,9,FALSE)</f>
        <v>210</v>
      </c>
      <c r="I560" s="917" t="str">
        <f>VLOOKUP($A560,'Tech Litons'!$A:$C,3,0)</f>
        <v>MBG</v>
      </c>
      <c r="J560" s="918" t="str">
        <f t="shared" si="54"/>
        <v>1352MBG</v>
      </c>
      <c r="K560" s="919">
        <v>1</v>
      </c>
      <c r="L560" s="920">
        <f t="shared" si="55"/>
        <v>262</v>
      </c>
      <c r="M560" s="920">
        <f t="shared" si="56"/>
        <v>0.71054399999999995</v>
      </c>
      <c r="N560" s="920">
        <f t="shared" si="57"/>
        <v>1.2476190476190476</v>
      </c>
      <c r="O560" s="918" t="str">
        <f t="shared" si="58"/>
        <v>Jan</v>
      </c>
      <c r="P560" s="921">
        <f t="shared" si="59"/>
        <v>3</v>
      </c>
    </row>
    <row r="561" spans="1:16" ht="15" hidden="1" customHeight="1">
      <c r="A561" s="839">
        <v>64874633</v>
      </c>
      <c r="B561" s="839">
        <v>3910</v>
      </c>
      <c r="C561" s="906">
        <v>272</v>
      </c>
      <c r="D561" s="907">
        <v>46036</v>
      </c>
      <c r="E561" s="839" t="s">
        <v>341</v>
      </c>
      <c r="F561" s="839" t="s">
        <v>342</v>
      </c>
      <c r="G561" s="916">
        <f>VLOOKUP($A561,'Tech Litons'!$A:$I,8,FALSE)</f>
        <v>3.192E-3</v>
      </c>
      <c r="H561" s="917">
        <f>VLOOKUP($A561,'Tech Litons'!$A:$I,9,FALSE)</f>
        <v>280</v>
      </c>
      <c r="I561" s="917" t="str">
        <f>VLOOKUP($A561,'Tech Litons'!$A:$C,3,0)</f>
        <v>ESS</v>
      </c>
      <c r="J561" s="918" t="str">
        <f t="shared" si="54"/>
        <v>3910ESS</v>
      </c>
      <c r="K561" s="919">
        <v>1</v>
      </c>
      <c r="L561" s="920">
        <f t="shared" si="55"/>
        <v>272</v>
      </c>
      <c r="M561" s="920">
        <f t="shared" si="56"/>
        <v>0.868224</v>
      </c>
      <c r="N561" s="920">
        <f t="shared" si="57"/>
        <v>0.97142857142857142</v>
      </c>
      <c r="O561" s="918" t="str">
        <f t="shared" si="58"/>
        <v>Jan</v>
      </c>
      <c r="P561" s="921">
        <f t="shared" si="59"/>
        <v>3</v>
      </c>
    </row>
    <row r="562" spans="1:16" ht="15" hidden="1" customHeight="1">
      <c r="A562" s="839">
        <v>68689251</v>
      </c>
      <c r="B562" s="839">
        <v>1352</v>
      </c>
      <c r="C562" s="906">
        <v>392</v>
      </c>
      <c r="D562" s="907">
        <v>46036</v>
      </c>
      <c r="E562" s="839" t="s">
        <v>262</v>
      </c>
      <c r="F562" s="839" t="s">
        <v>242</v>
      </c>
      <c r="G562" s="916">
        <f>VLOOKUP($A562,'Tech Litons'!$A:$I,8,FALSE)</f>
        <v>9.5760000000000012E-3</v>
      </c>
      <c r="H562" s="917">
        <f>VLOOKUP($A562,'Tech Litons'!$A:$I,9,FALSE)</f>
        <v>132</v>
      </c>
      <c r="I562" s="917" t="str">
        <f>VLOOKUP($A562,'Tech Litons'!$A:$C,3,0)</f>
        <v>EDF</v>
      </c>
      <c r="J562" s="918" t="str">
        <f t="shared" si="54"/>
        <v>1352EDF</v>
      </c>
      <c r="K562" s="919">
        <v>1</v>
      </c>
      <c r="L562" s="920">
        <f t="shared" si="55"/>
        <v>392</v>
      </c>
      <c r="M562" s="920">
        <f t="shared" si="56"/>
        <v>3.7537920000000007</v>
      </c>
      <c r="N562" s="920">
        <f t="shared" si="57"/>
        <v>2.9696969696969697</v>
      </c>
      <c r="O562" s="918" t="str">
        <f t="shared" si="58"/>
        <v>Jan</v>
      </c>
      <c r="P562" s="921">
        <f t="shared" si="59"/>
        <v>3</v>
      </c>
    </row>
    <row r="563" spans="1:16" ht="15" hidden="1" customHeight="1">
      <c r="A563" s="839">
        <v>68867755</v>
      </c>
      <c r="B563" s="839">
        <v>2904</v>
      </c>
      <c r="C563" s="906">
        <v>479</v>
      </c>
      <c r="D563" s="907">
        <v>46036</v>
      </c>
      <c r="E563" s="839" t="s">
        <v>274</v>
      </c>
      <c r="F563" s="839" t="s">
        <v>275</v>
      </c>
      <c r="G563" s="916">
        <f>VLOOKUP($A563,'Tech Litons'!$A:$I,8,FALSE)</f>
        <v>3.552E-3</v>
      </c>
      <c r="H563" s="917">
        <f>VLOOKUP($A563,'Tech Litons'!$A:$I,9,FALSE)</f>
        <v>255</v>
      </c>
      <c r="I563" s="917" t="str">
        <f>VLOOKUP($A563,'Tech Litons'!$A:$C,3,0)</f>
        <v>Talenti</v>
      </c>
      <c r="J563" s="918" t="str">
        <f t="shared" si="54"/>
        <v>2904Talenti</v>
      </c>
      <c r="K563" s="919">
        <v>1</v>
      </c>
      <c r="L563" s="920">
        <f t="shared" si="55"/>
        <v>479</v>
      </c>
      <c r="M563" s="920">
        <f t="shared" si="56"/>
        <v>1.701408</v>
      </c>
      <c r="N563" s="920">
        <f t="shared" si="57"/>
        <v>1.8784313725490196</v>
      </c>
      <c r="O563" s="918" t="str">
        <f t="shared" si="58"/>
        <v>Jan</v>
      </c>
      <c r="P563" s="921">
        <f t="shared" si="59"/>
        <v>3</v>
      </c>
    </row>
    <row r="564" spans="1:16" ht="15" hidden="1" customHeight="1">
      <c r="A564" s="839">
        <v>68741742</v>
      </c>
      <c r="B564" s="839">
        <v>2904</v>
      </c>
      <c r="C564" s="906">
        <v>681</v>
      </c>
      <c r="D564" s="907">
        <v>46036</v>
      </c>
      <c r="E564" s="839" t="s">
        <v>288</v>
      </c>
      <c r="F564" s="839" t="s">
        <v>295</v>
      </c>
      <c r="G564" s="916">
        <f>VLOOKUP($A564,'Tech Litons'!$A:$I,8,FALSE)</f>
        <v>4.2560000000000002E-3</v>
      </c>
      <c r="H564" s="917">
        <f>VLOOKUP($A564,'Tech Litons'!$A:$I,9,FALSE)</f>
        <v>154</v>
      </c>
      <c r="I564" s="917" t="str">
        <f>VLOOKUP($A564,'Tech Litons'!$A:$C,3,0)</f>
        <v>MBG</v>
      </c>
      <c r="J564" s="918" t="str">
        <f t="shared" si="54"/>
        <v>2904MBG</v>
      </c>
      <c r="K564" s="919">
        <v>1</v>
      </c>
      <c r="L564" s="920">
        <f t="shared" si="55"/>
        <v>681</v>
      </c>
      <c r="M564" s="920">
        <f t="shared" si="56"/>
        <v>2.898336</v>
      </c>
      <c r="N564" s="920">
        <f t="shared" si="57"/>
        <v>4.4220779220779223</v>
      </c>
      <c r="O564" s="918" t="str">
        <f t="shared" si="58"/>
        <v>Jan</v>
      </c>
      <c r="P564" s="921">
        <f t="shared" si="59"/>
        <v>3</v>
      </c>
    </row>
    <row r="565" spans="1:16" ht="15" hidden="1" customHeight="1">
      <c r="A565" s="839">
        <v>69629468</v>
      </c>
      <c r="B565" s="839">
        <v>2904</v>
      </c>
      <c r="C565" s="906">
        <v>858</v>
      </c>
      <c r="D565" s="907">
        <v>46036</v>
      </c>
      <c r="E565" s="839" t="s">
        <v>291</v>
      </c>
      <c r="F565" s="839" t="s">
        <v>226</v>
      </c>
      <c r="G565" s="916">
        <f>VLOOKUP($A565,'Tech Litons'!$A:$I,8,FALSE)</f>
        <v>5.2680000000000001E-3</v>
      </c>
      <c r="H565" s="917">
        <f>VLOOKUP($A565,'Tech Litons'!$A:$I,9,FALSE)</f>
        <v>130</v>
      </c>
      <c r="I565" s="917" t="str">
        <f>VLOOKUP($A565,'Tech Litons'!$A:$C,3,0)</f>
        <v>PG</v>
      </c>
      <c r="J565" s="918" t="str">
        <f t="shared" si="54"/>
        <v>2904PG</v>
      </c>
      <c r="K565" s="919">
        <v>1</v>
      </c>
      <c r="L565" s="920">
        <f t="shared" si="55"/>
        <v>858</v>
      </c>
      <c r="M565" s="920">
        <f t="shared" si="56"/>
        <v>4.5199439999999997</v>
      </c>
      <c r="N565" s="920">
        <f t="shared" si="57"/>
        <v>6.6</v>
      </c>
      <c r="O565" s="918" t="str">
        <f t="shared" si="58"/>
        <v>Jan</v>
      </c>
      <c r="P565" s="921">
        <f t="shared" si="59"/>
        <v>3</v>
      </c>
    </row>
    <row r="566" spans="1:16" ht="15" hidden="1" customHeight="1">
      <c r="A566" s="839">
        <v>64341106</v>
      </c>
      <c r="B566" s="839">
        <v>2904</v>
      </c>
      <c r="C566" s="906">
        <v>1021</v>
      </c>
      <c r="D566" s="907">
        <v>46036</v>
      </c>
      <c r="E566" s="839" t="s">
        <v>293</v>
      </c>
      <c r="F566" s="839" t="s">
        <v>227</v>
      </c>
      <c r="G566" s="916">
        <f>VLOOKUP($A566,'Tech Litons'!$A:$I,8,FALSE)</f>
        <v>5.2680000000000001E-3</v>
      </c>
      <c r="H566" s="917">
        <f>VLOOKUP($A566,'Tech Litons'!$A:$I,9,FALSE)</f>
        <v>130</v>
      </c>
      <c r="I566" s="917" t="str">
        <f>VLOOKUP($A566,'Tech Litons'!$A:$C,3,0)</f>
        <v>PG</v>
      </c>
      <c r="J566" s="918" t="str">
        <f t="shared" si="54"/>
        <v>2904PG</v>
      </c>
      <c r="K566" s="919">
        <v>1</v>
      </c>
      <c r="L566" s="920">
        <f t="shared" si="55"/>
        <v>1021</v>
      </c>
      <c r="M566" s="920">
        <f t="shared" si="56"/>
        <v>5.378628</v>
      </c>
      <c r="N566" s="920">
        <f t="shared" si="57"/>
        <v>7.8538461538461535</v>
      </c>
      <c r="O566" s="918" t="str">
        <f t="shared" si="58"/>
        <v>Jan</v>
      </c>
      <c r="P566" s="921">
        <f t="shared" si="59"/>
        <v>3</v>
      </c>
    </row>
    <row r="567" spans="1:16" ht="15" hidden="1" customHeight="1">
      <c r="A567" s="839">
        <v>68300738</v>
      </c>
      <c r="B567" s="839">
        <v>1352</v>
      </c>
      <c r="C567" s="906">
        <v>1165</v>
      </c>
      <c r="D567" s="907">
        <v>46036</v>
      </c>
      <c r="E567" s="839" t="s">
        <v>325</v>
      </c>
      <c r="F567" s="839" t="s">
        <v>240</v>
      </c>
      <c r="G567" s="916">
        <f>VLOOKUP($A567,'Tech Litons'!$A:$I,8,FALSE)</f>
        <v>8.4960000000000001E-3</v>
      </c>
      <c r="H567" s="917">
        <f>VLOOKUP($A567,'Tech Litons'!$A:$I,9,FALSE)</f>
        <v>132</v>
      </c>
      <c r="I567" s="917" t="str">
        <f>VLOOKUP($A567,'Tech Litons'!$A:$C,3,0)</f>
        <v>EDF</v>
      </c>
      <c r="J567" s="918" t="str">
        <f t="shared" si="54"/>
        <v>1352EDF</v>
      </c>
      <c r="K567" s="919">
        <v>1</v>
      </c>
      <c r="L567" s="920">
        <f t="shared" si="55"/>
        <v>1165</v>
      </c>
      <c r="M567" s="920">
        <f t="shared" si="56"/>
        <v>9.8978400000000004</v>
      </c>
      <c r="N567" s="920">
        <f t="shared" si="57"/>
        <v>8.8257575757575761</v>
      </c>
      <c r="O567" s="918" t="str">
        <f t="shared" si="58"/>
        <v>Jan</v>
      </c>
      <c r="P567" s="921">
        <f t="shared" si="59"/>
        <v>3</v>
      </c>
    </row>
    <row r="568" spans="1:16" ht="15" hidden="1" customHeight="1">
      <c r="A568" s="839">
        <v>68741742</v>
      </c>
      <c r="B568" s="839">
        <v>1352</v>
      </c>
      <c r="C568" s="906">
        <v>1694</v>
      </c>
      <c r="D568" s="907">
        <v>46036</v>
      </c>
      <c r="E568" s="839" t="s">
        <v>288</v>
      </c>
      <c r="F568" s="839" t="s">
        <v>289</v>
      </c>
      <c r="G568" s="916">
        <f>VLOOKUP($A568,'Tech Litons'!$A:$I,8,FALSE)</f>
        <v>4.2560000000000002E-3</v>
      </c>
      <c r="H568" s="917">
        <f>VLOOKUP($A568,'Tech Litons'!$A:$I,9,FALSE)</f>
        <v>154</v>
      </c>
      <c r="I568" s="917" t="str">
        <f>VLOOKUP($A568,'Tech Litons'!$A:$C,3,0)</f>
        <v>MBG</v>
      </c>
      <c r="J568" s="918" t="str">
        <f t="shared" si="54"/>
        <v>1352MBG</v>
      </c>
      <c r="K568" s="919">
        <v>1</v>
      </c>
      <c r="L568" s="920">
        <f t="shared" si="55"/>
        <v>1694</v>
      </c>
      <c r="M568" s="920">
        <f t="shared" si="56"/>
        <v>7.2096640000000001</v>
      </c>
      <c r="N568" s="920">
        <f t="shared" si="57"/>
        <v>11</v>
      </c>
      <c r="O568" s="918" t="str">
        <f t="shared" si="58"/>
        <v>Jan</v>
      </c>
      <c r="P568" s="921">
        <f t="shared" si="59"/>
        <v>3</v>
      </c>
    </row>
    <row r="569" spans="1:16" ht="15" hidden="1" customHeight="1">
      <c r="A569" s="839">
        <v>68741742</v>
      </c>
      <c r="B569" s="839">
        <v>2904</v>
      </c>
      <c r="C569" s="906">
        <v>1694</v>
      </c>
      <c r="D569" s="907">
        <v>46036</v>
      </c>
      <c r="E569" s="839" t="s">
        <v>288</v>
      </c>
      <c r="F569" s="839" t="s">
        <v>295</v>
      </c>
      <c r="G569" s="916">
        <f>VLOOKUP($A569,'Tech Litons'!$A:$I,8,FALSE)</f>
        <v>4.2560000000000002E-3</v>
      </c>
      <c r="H569" s="917">
        <f>VLOOKUP($A569,'Tech Litons'!$A:$I,9,FALSE)</f>
        <v>154</v>
      </c>
      <c r="I569" s="917" t="str">
        <f>VLOOKUP($A569,'Tech Litons'!$A:$C,3,0)</f>
        <v>MBG</v>
      </c>
      <c r="J569" s="918" t="str">
        <f t="shared" si="54"/>
        <v>2904MBG</v>
      </c>
      <c r="K569" s="919">
        <v>1</v>
      </c>
      <c r="L569" s="920">
        <f t="shared" si="55"/>
        <v>1694</v>
      </c>
      <c r="M569" s="920">
        <f t="shared" si="56"/>
        <v>7.2096640000000001</v>
      </c>
      <c r="N569" s="920">
        <f t="shared" si="57"/>
        <v>11</v>
      </c>
      <c r="O569" s="918" t="str">
        <f t="shared" si="58"/>
        <v>Jan</v>
      </c>
      <c r="P569" s="921">
        <f t="shared" si="59"/>
        <v>3</v>
      </c>
    </row>
    <row r="570" spans="1:16" ht="15" hidden="1" customHeight="1">
      <c r="A570" s="839">
        <v>67803006</v>
      </c>
      <c r="B570" s="839">
        <v>5914</v>
      </c>
      <c r="C570" s="906">
        <v>1920</v>
      </c>
      <c r="D570" s="907">
        <v>46036</v>
      </c>
      <c r="E570" s="839" t="s">
        <v>346</v>
      </c>
      <c r="F570" s="839" t="s">
        <v>279</v>
      </c>
      <c r="G570" s="916">
        <f>VLOOKUP($A570,'Tech Litons'!$A:$I,8,FALSE)</f>
        <v>3.7839999999999996E-3</v>
      </c>
      <c r="H570" s="917">
        <f>VLOOKUP($A570,'Tech Litons'!$A:$I,9,FALSE)</f>
        <v>240</v>
      </c>
      <c r="I570" s="917" t="str">
        <f>VLOOKUP($A570,'Tech Litons'!$A:$C,3,0)</f>
        <v>PTS Exports</v>
      </c>
      <c r="J570" s="918" t="str">
        <f t="shared" si="54"/>
        <v>5914PTS Exports</v>
      </c>
      <c r="K570" s="919">
        <v>1</v>
      </c>
      <c r="L570" s="920">
        <f t="shared" si="55"/>
        <v>1920</v>
      </c>
      <c r="M570" s="920">
        <f t="shared" si="56"/>
        <v>7.2652799999999989</v>
      </c>
      <c r="N570" s="920">
        <f t="shared" si="57"/>
        <v>8</v>
      </c>
      <c r="O570" s="918" t="str">
        <f t="shared" si="58"/>
        <v>Jan</v>
      </c>
      <c r="P570" s="921">
        <f t="shared" si="59"/>
        <v>3</v>
      </c>
    </row>
    <row r="571" spans="1:16" ht="15" hidden="1" customHeight="1">
      <c r="A571" s="839">
        <v>68746232</v>
      </c>
      <c r="B571" s="839">
        <v>2904</v>
      </c>
      <c r="C571" s="906">
        <v>1956</v>
      </c>
      <c r="D571" s="907">
        <v>46036</v>
      </c>
      <c r="E571" s="839" t="s">
        <v>508</v>
      </c>
      <c r="F571" s="839" t="s">
        <v>243</v>
      </c>
      <c r="G571" s="916">
        <f>VLOOKUP($A571,'Tech Litons'!$A:$I,8,FALSE)</f>
        <v>8.5199999999999998E-3</v>
      </c>
      <c r="H571" s="917">
        <f>VLOOKUP($A571,'Tech Litons'!$A:$I,9,FALSE)</f>
        <v>132</v>
      </c>
      <c r="I571" s="917" t="str">
        <f>VLOOKUP($A571,'Tech Litons'!$A:$C,3,0)</f>
        <v>EDF</v>
      </c>
      <c r="J571" s="918" t="str">
        <f t="shared" si="54"/>
        <v>2904EDF</v>
      </c>
      <c r="K571" s="919">
        <v>1</v>
      </c>
      <c r="L571" s="920">
        <f t="shared" si="55"/>
        <v>1956</v>
      </c>
      <c r="M571" s="920">
        <f t="shared" si="56"/>
        <v>16.665119999999998</v>
      </c>
      <c r="N571" s="920">
        <f t="shared" si="57"/>
        <v>14.818181818181818</v>
      </c>
      <c r="O571" s="918" t="str">
        <f t="shared" si="58"/>
        <v>Jan</v>
      </c>
      <c r="P571" s="921">
        <f t="shared" si="59"/>
        <v>3</v>
      </c>
    </row>
    <row r="572" spans="1:16" ht="15" hidden="1" customHeight="1">
      <c r="A572" s="839">
        <v>68746232</v>
      </c>
      <c r="B572" s="839">
        <v>2904</v>
      </c>
      <c r="C572" s="906">
        <v>1980</v>
      </c>
      <c r="D572" s="907">
        <v>46036</v>
      </c>
      <c r="E572" s="839" t="s">
        <v>508</v>
      </c>
      <c r="F572" s="839" t="s">
        <v>243</v>
      </c>
      <c r="G572" s="916">
        <f>VLOOKUP($A572,'Tech Litons'!$A:$I,8,FALSE)</f>
        <v>8.5199999999999998E-3</v>
      </c>
      <c r="H572" s="917">
        <f>VLOOKUP($A572,'Tech Litons'!$A:$I,9,FALSE)</f>
        <v>132</v>
      </c>
      <c r="I572" s="917" t="str">
        <f>VLOOKUP($A572,'Tech Litons'!$A:$C,3,0)</f>
        <v>EDF</v>
      </c>
      <c r="J572" s="918" t="str">
        <f t="shared" si="54"/>
        <v>2904EDF</v>
      </c>
      <c r="K572" s="919">
        <v>1</v>
      </c>
      <c r="L572" s="920">
        <f t="shared" si="55"/>
        <v>1980</v>
      </c>
      <c r="M572" s="920">
        <f t="shared" si="56"/>
        <v>16.869599999999998</v>
      </c>
      <c r="N572" s="920">
        <f t="shared" si="57"/>
        <v>15</v>
      </c>
      <c r="O572" s="918" t="str">
        <f t="shared" si="58"/>
        <v>Jan</v>
      </c>
      <c r="P572" s="921">
        <f t="shared" si="59"/>
        <v>3</v>
      </c>
    </row>
    <row r="573" spans="1:16" ht="15" hidden="1" customHeight="1">
      <c r="A573" s="839">
        <v>69629468</v>
      </c>
      <c r="B573" s="839">
        <v>1352</v>
      </c>
      <c r="C573" s="906">
        <v>2080</v>
      </c>
      <c r="D573" s="907">
        <v>46036</v>
      </c>
      <c r="E573" s="839" t="s">
        <v>291</v>
      </c>
      <c r="F573" s="839" t="s">
        <v>222</v>
      </c>
      <c r="G573" s="916">
        <f>VLOOKUP($A573,'Tech Litons'!$A:$I,8,FALSE)</f>
        <v>5.2680000000000001E-3</v>
      </c>
      <c r="H573" s="917">
        <f>VLOOKUP($A573,'Tech Litons'!$A:$I,9,FALSE)</f>
        <v>130</v>
      </c>
      <c r="I573" s="917" t="str">
        <f>VLOOKUP($A573,'Tech Litons'!$A:$C,3,0)</f>
        <v>PG</v>
      </c>
      <c r="J573" s="918" t="str">
        <f t="shared" si="54"/>
        <v>1352PG</v>
      </c>
      <c r="K573" s="919">
        <v>1</v>
      </c>
      <c r="L573" s="920">
        <f t="shared" si="55"/>
        <v>2080</v>
      </c>
      <c r="M573" s="920">
        <f t="shared" si="56"/>
        <v>10.95744</v>
      </c>
      <c r="N573" s="920">
        <f t="shared" si="57"/>
        <v>16</v>
      </c>
      <c r="O573" s="918" t="str">
        <f t="shared" si="58"/>
        <v>Jan</v>
      </c>
      <c r="P573" s="921">
        <f t="shared" si="59"/>
        <v>3</v>
      </c>
    </row>
    <row r="574" spans="1:16" ht="15" hidden="1" customHeight="1">
      <c r="A574" s="839">
        <v>69725082</v>
      </c>
      <c r="B574" s="839">
        <v>1352</v>
      </c>
      <c r="C574" s="906">
        <v>2210</v>
      </c>
      <c r="D574" s="907">
        <v>46036</v>
      </c>
      <c r="E574" s="839" t="s">
        <v>292</v>
      </c>
      <c r="F574" s="839" t="s">
        <v>223</v>
      </c>
      <c r="G574" s="916">
        <f>VLOOKUP($A574,'Tech Litons'!$A:$I,8,FALSE)</f>
        <v>5.2680000000000001E-3</v>
      </c>
      <c r="H574" s="917">
        <f>VLOOKUP($A574,'Tech Litons'!$A:$I,9,FALSE)</f>
        <v>130</v>
      </c>
      <c r="I574" s="917" t="str">
        <f>VLOOKUP($A574,'Tech Litons'!$A:$C,3,0)</f>
        <v>PG</v>
      </c>
      <c r="J574" s="918" t="str">
        <f t="shared" si="54"/>
        <v>1352PG</v>
      </c>
      <c r="K574" s="919">
        <v>1</v>
      </c>
      <c r="L574" s="920">
        <f t="shared" si="55"/>
        <v>2210</v>
      </c>
      <c r="M574" s="920">
        <f t="shared" si="56"/>
        <v>11.64228</v>
      </c>
      <c r="N574" s="920">
        <f t="shared" si="57"/>
        <v>17</v>
      </c>
      <c r="O574" s="918" t="str">
        <f t="shared" si="58"/>
        <v>Jan</v>
      </c>
      <c r="P574" s="921">
        <f t="shared" si="59"/>
        <v>3</v>
      </c>
    </row>
    <row r="575" spans="1:16" ht="15" hidden="1" customHeight="1">
      <c r="A575" s="839">
        <v>68689251</v>
      </c>
      <c r="B575" s="839">
        <v>1352</v>
      </c>
      <c r="C575" s="906">
        <v>2376</v>
      </c>
      <c r="D575" s="907">
        <v>46036</v>
      </c>
      <c r="E575" s="839" t="s">
        <v>262</v>
      </c>
      <c r="F575" s="839" t="s">
        <v>242</v>
      </c>
      <c r="G575" s="916">
        <f>VLOOKUP($A575,'Tech Litons'!$A:$I,8,FALSE)</f>
        <v>9.5760000000000012E-3</v>
      </c>
      <c r="H575" s="917">
        <f>VLOOKUP($A575,'Tech Litons'!$A:$I,9,FALSE)</f>
        <v>132</v>
      </c>
      <c r="I575" s="917" t="str">
        <f>VLOOKUP($A575,'Tech Litons'!$A:$C,3,0)</f>
        <v>EDF</v>
      </c>
      <c r="J575" s="918" t="str">
        <f t="shared" si="54"/>
        <v>1352EDF</v>
      </c>
      <c r="K575" s="919">
        <v>1</v>
      </c>
      <c r="L575" s="920">
        <f t="shared" si="55"/>
        <v>2376</v>
      </c>
      <c r="M575" s="920">
        <f t="shared" si="56"/>
        <v>22.752576000000001</v>
      </c>
      <c r="N575" s="920">
        <f t="shared" si="57"/>
        <v>18</v>
      </c>
      <c r="O575" s="918" t="str">
        <f t="shared" si="58"/>
        <v>Jan</v>
      </c>
      <c r="P575" s="921">
        <f t="shared" si="59"/>
        <v>3</v>
      </c>
    </row>
    <row r="576" spans="1:16" ht="15" hidden="1" customHeight="1">
      <c r="A576" s="839">
        <v>67881629</v>
      </c>
      <c r="B576" s="839">
        <v>5914</v>
      </c>
      <c r="C576" s="906">
        <v>2440</v>
      </c>
      <c r="D576" s="907">
        <v>46036</v>
      </c>
      <c r="E576" s="839" t="s">
        <v>337</v>
      </c>
      <c r="F576" s="839" t="s">
        <v>279</v>
      </c>
      <c r="G576" s="916">
        <f>VLOOKUP($A576,'Tech Litons'!$A:$I,8,FALSE)</f>
        <v>3.7853439999999999E-3</v>
      </c>
      <c r="H576" s="917">
        <f>VLOOKUP($A576,'Tech Litons'!$A:$I,9,FALSE)</f>
        <v>240</v>
      </c>
      <c r="I576" s="917" t="str">
        <f>VLOOKUP($A576,'Tech Litons'!$A:$C,3,0)</f>
        <v>BJ PTS</v>
      </c>
      <c r="J576" s="918" t="str">
        <f t="shared" si="54"/>
        <v>5914BJ PTS</v>
      </c>
      <c r="K576" s="919">
        <v>1</v>
      </c>
      <c r="L576" s="920">
        <f t="shared" si="55"/>
        <v>2440</v>
      </c>
      <c r="M576" s="920">
        <f t="shared" si="56"/>
        <v>9.236239359999999</v>
      </c>
      <c r="N576" s="920">
        <f t="shared" si="57"/>
        <v>10.166666666666666</v>
      </c>
      <c r="O576" s="918" t="str">
        <f t="shared" si="58"/>
        <v>Jan</v>
      </c>
      <c r="P576" s="921">
        <f t="shared" si="59"/>
        <v>3</v>
      </c>
    </row>
    <row r="577" spans="1:16" ht="15" hidden="1" customHeight="1">
      <c r="A577" s="839">
        <v>68741742</v>
      </c>
      <c r="B577" s="839">
        <v>1352</v>
      </c>
      <c r="C577" s="906">
        <v>2592</v>
      </c>
      <c r="D577" s="907">
        <v>46036</v>
      </c>
      <c r="E577" s="839" t="s">
        <v>288</v>
      </c>
      <c r="F577" s="839" t="s">
        <v>289</v>
      </c>
      <c r="G577" s="916">
        <f>VLOOKUP($A577,'Tech Litons'!$A:$I,8,FALSE)</f>
        <v>4.2560000000000002E-3</v>
      </c>
      <c r="H577" s="917">
        <f>VLOOKUP($A577,'Tech Litons'!$A:$I,9,FALSE)</f>
        <v>154</v>
      </c>
      <c r="I577" s="917" t="str">
        <f>VLOOKUP($A577,'Tech Litons'!$A:$C,3,0)</f>
        <v>MBG</v>
      </c>
      <c r="J577" s="918" t="str">
        <f t="shared" si="54"/>
        <v>1352MBG</v>
      </c>
      <c r="K577" s="919">
        <v>1</v>
      </c>
      <c r="L577" s="920">
        <f t="shared" si="55"/>
        <v>2592</v>
      </c>
      <c r="M577" s="920">
        <f t="shared" si="56"/>
        <v>11.031552000000001</v>
      </c>
      <c r="N577" s="920">
        <f t="shared" si="57"/>
        <v>16.831168831168831</v>
      </c>
      <c r="O577" s="918" t="str">
        <f t="shared" si="58"/>
        <v>Jan</v>
      </c>
      <c r="P577" s="921">
        <f t="shared" si="59"/>
        <v>3</v>
      </c>
    </row>
    <row r="578" spans="1:16" ht="15" hidden="1" customHeight="1">
      <c r="A578" s="839">
        <v>69700048</v>
      </c>
      <c r="B578" s="839">
        <v>1352</v>
      </c>
      <c r="C578" s="906">
        <v>2700</v>
      </c>
      <c r="D578" s="907">
        <v>46036</v>
      </c>
      <c r="E578" s="839" t="s">
        <v>328</v>
      </c>
      <c r="F578" s="839" t="s">
        <v>287</v>
      </c>
      <c r="G578" s="916">
        <f>VLOOKUP($A578,'Tech Litons'!$A:$I,8,FALSE)</f>
        <v>2.7360000000000002E-3</v>
      </c>
      <c r="H578" s="917">
        <f>VLOOKUP($A578,'Tech Litons'!$A:$I,9,FALSE)</f>
        <v>225</v>
      </c>
      <c r="I578" s="917" t="str">
        <f>VLOOKUP($A578,'Tech Litons'!$A:$C,3,0)</f>
        <v>MBG</v>
      </c>
      <c r="J578" s="918" t="str">
        <f t="shared" si="54"/>
        <v>1352MBG</v>
      </c>
      <c r="K578" s="919">
        <v>1</v>
      </c>
      <c r="L578" s="920">
        <f t="shared" si="55"/>
        <v>2700</v>
      </c>
      <c r="M578" s="920">
        <f t="shared" si="56"/>
        <v>7.3872</v>
      </c>
      <c r="N578" s="920">
        <f t="shared" si="57"/>
        <v>12</v>
      </c>
      <c r="O578" s="918" t="str">
        <f t="shared" si="58"/>
        <v>Jan</v>
      </c>
      <c r="P578" s="921">
        <f t="shared" si="59"/>
        <v>3</v>
      </c>
    </row>
    <row r="579" spans="1:16" ht="15" hidden="1" customHeight="1">
      <c r="A579" s="839">
        <v>69725082</v>
      </c>
      <c r="B579" s="839">
        <v>1352</v>
      </c>
      <c r="C579" s="906">
        <v>2718</v>
      </c>
      <c r="D579" s="907">
        <v>46036</v>
      </c>
      <c r="E579" s="839" t="s">
        <v>292</v>
      </c>
      <c r="F579" s="839" t="s">
        <v>223</v>
      </c>
      <c r="G579" s="916">
        <f>VLOOKUP($A579,'Tech Litons'!$A:$I,8,FALSE)</f>
        <v>5.2680000000000001E-3</v>
      </c>
      <c r="H579" s="917">
        <f>VLOOKUP($A579,'Tech Litons'!$A:$I,9,FALSE)</f>
        <v>130</v>
      </c>
      <c r="I579" s="917" t="str">
        <f>VLOOKUP($A579,'Tech Litons'!$A:$C,3,0)</f>
        <v>PG</v>
      </c>
      <c r="J579" s="918" t="str">
        <f t="shared" si="54"/>
        <v>1352PG</v>
      </c>
      <c r="K579" s="919">
        <v>1</v>
      </c>
      <c r="L579" s="920">
        <f t="shared" si="55"/>
        <v>2718</v>
      </c>
      <c r="M579" s="920">
        <f t="shared" si="56"/>
        <v>14.318424</v>
      </c>
      <c r="N579" s="920">
        <f t="shared" si="57"/>
        <v>20.907692307692308</v>
      </c>
      <c r="O579" s="918" t="str">
        <f t="shared" si="58"/>
        <v>Jan</v>
      </c>
      <c r="P579" s="921">
        <f t="shared" si="59"/>
        <v>3</v>
      </c>
    </row>
    <row r="580" spans="1:16" ht="15" hidden="1" customHeight="1">
      <c r="A580" s="839">
        <v>68852591</v>
      </c>
      <c r="B580" s="839">
        <v>1352</v>
      </c>
      <c r="C580" s="906">
        <v>2904</v>
      </c>
      <c r="D580" s="907">
        <v>46036</v>
      </c>
      <c r="E580" s="839" t="s">
        <v>326</v>
      </c>
      <c r="F580" s="839" t="s">
        <v>241</v>
      </c>
      <c r="G580" s="916">
        <f>VLOOKUP($A580,'Tech Litons'!$A:$I,8,FALSE)</f>
        <v>8.5199999999999998E-3</v>
      </c>
      <c r="H580" s="917">
        <f>VLOOKUP($A580,'Tech Litons'!$A:$I,9,FALSE)</f>
        <v>132</v>
      </c>
      <c r="I580" s="917" t="str">
        <f>VLOOKUP($A580,'Tech Litons'!$A:$C,3,0)</f>
        <v>EDF</v>
      </c>
      <c r="J580" s="918" t="str">
        <f t="shared" si="54"/>
        <v>1352EDF</v>
      </c>
      <c r="K580" s="919">
        <v>1</v>
      </c>
      <c r="L580" s="920">
        <f t="shared" si="55"/>
        <v>2904</v>
      </c>
      <c r="M580" s="920">
        <f t="shared" si="56"/>
        <v>24.742079999999998</v>
      </c>
      <c r="N580" s="920">
        <f t="shared" si="57"/>
        <v>22</v>
      </c>
      <c r="O580" s="918" t="str">
        <f t="shared" si="58"/>
        <v>Jan</v>
      </c>
      <c r="P580" s="921">
        <f t="shared" si="59"/>
        <v>3</v>
      </c>
    </row>
    <row r="581" spans="1:16" ht="15" hidden="1" customHeight="1">
      <c r="A581" s="839">
        <v>69629468</v>
      </c>
      <c r="B581" s="839">
        <v>1352</v>
      </c>
      <c r="C581" s="906">
        <v>3025</v>
      </c>
      <c r="D581" s="907">
        <v>46036</v>
      </c>
      <c r="E581" s="839" t="s">
        <v>291</v>
      </c>
      <c r="F581" s="839" t="s">
        <v>222</v>
      </c>
      <c r="G581" s="916">
        <f>VLOOKUP($A581,'Tech Litons'!$A:$I,8,FALSE)</f>
        <v>5.2680000000000001E-3</v>
      </c>
      <c r="H581" s="917">
        <f>VLOOKUP($A581,'Tech Litons'!$A:$I,9,FALSE)</f>
        <v>130</v>
      </c>
      <c r="I581" s="917" t="str">
        <f>VLOOKUP($A581,'Tech Litons'!$A:$C,3,0)</f>
        <v>PG</v>
      </c>
      <c r="J581" s="918" t="str">
        <f t="shared" si="54"/>
        <v>1352PG</v>
      </c>
      <c r="K581" s="919">
        <v>1</v>
      </c>
      <c r="L581" s="920">
        <f t="shared" si="55"/>
        <v>3025</v>
      </c>
      <c r="M581" s="920">
        <f t="shared" si="56"/>
        <v>15.935700000000001</v>
      </c>
      <c r="N581" s="920">
        <f t="shared" si="57"/>
        <v>23.26923076923077</v>
      </c>
      <c r="O581" s="918" t="str">
        <f t="shared" si="58"/>
        <v>Jan</v>
      </c>
      <c r="P581" s="921">
        <f t="shared" si="59"/>
        <v>3</v>
      </c>
    </row>
    <row r="582" spans="1:16" ht="15" hidden="1" customHeight="1">
      <c r="A582" s="839">
        <v>84135718</v>
      </c>
      <c r="B582" s="839">
        <v>5914</v>
      </c>
      <c r="C582" s="906">
        <v>3360</v>
      </c>
      <c r="D582" s="907">
        <v>46036</v>
      </c>
      <c r="E582" s="839" t="s">
        <v>338</v>
      </c>
      <c r="F582" s="839" t="s">
        <v>301</v>
      </c>
      <c r="G582" s="916">
        <f>VLOOKUP($A582,'Tech Litons'!$A:$I,8,FALSE)</f>
        <v>3.7853439999999999E-3</v>
      </c>
      <c r="H582" s="917">
        <f>VLOOKUP($A582,'Tech Litons'!$A:$I,9,FALSE)</f>
        <v>240</v>
      </c>
      <c r="I582" s="917" t="str">
        <f>VLOOKUP($A582,'Tech Litons'!$A:$C,3,0)</f>
        <v>BJ PTS</v>
      </c>
      <c r="J582" s="918" t="str">
        <f t="shared" si="54"/>
        <v>5914BJ PTS</v>
      </c>
      <c r="K582" s="919">
        <v>1</v>
      </c>
      <c r="L582" s="920">
        <f t="shared" si="55"/>
        <v>3360</v>
      </c>
      <c r="M582" s="920">
        <f t="shared" si="56"/>
        <v>12.71875584</v>
      </c>
      <c r="N582" s="920">
        <f t="shared" si="57"/>
        <v>14</v>
      </c>
      <c r="O582" s="918" t="str">
        <f t="shared" si="58"/>
        <v>Jan</v>
      </c>
      <c r="P582" s="921">
        <f t="shared" si="59"/>
        <v>3</v>
      </c>
    </row>
    <row r="583" spans="1:16" ht="15" hidden="1" customHeight="1">
      <c r="A583" s="839">
        <v>68852591</v>
      </c>
      <c r="B583" s="839">
        <v>1352</v>
      </c>
      <c r="C583" s="906">
        <v>3563</v>
      </c>
      <c r="D583" s="907">
        <v>46036</v>
      </c>
      <c r="E583" s="839" t="s">
        <v>326</v>
      </c>
      <c r="F583" s="839" t="s">
        <v>241</v>
      </c>
      <c r="G583" s="916">
        <f>VLOOKUP($A583,'Tech Litons'!$A:$I,8,FALSE)</f>
        <v>8.5199999999999998E-3</v>
      </c>
      <c r="H583" s="917">
        <f>VLOOKUP($A583,'Tech Litons'!$A:$I,9,FALSE)</f>
        <v>132</v>
      </c>
      <c r="I583" s="917" t="str">
        <f>VLOOKUP($A583,'Tech Litons'!$A:$C,3,0)</f>
        <v>EDF</v>
      </c>
      <c r="J583" s="918" t="str">
        <f t="shared" si="54"/>
        <v>1352EDF</v>
      </c>
      <c r="K583" s="919">
        <v>1</v>
      </c>
      <c r="L583" s="920">
        <f t="shared" si="55"/>
        <v>3563</v>
      </c>
      <c r="M583" s="920">
        <f t="shared" si="56"/>
        <v>30.356759999999998</v>
      </c>
      <c r="N583" s="920">
        <f t="shared" si="57"/>
        <v>26.992424242424242</v>
      </c>
      <c r="O583" s="918" t="str">
        <f t="shared" si="58"/>
        <v>Jan</v>
      </c>
      <c r="P583" s="921">
        <f t="shared" si="59"/>
        <v>3</v>
      </c>
    </row>
    <row r="584" spans="1:16" ht="15" hidden="1" customHeight="1">
      <c r="A584" s="839">
        <v>64393719</v>
      </c>
      <c r="B584" s="839">
        <v>2904</v>
      </c>
      <c r="C584" s="906">
        <v>3574</v>
      </c>
      <c r="D584" s="907">
        <v>46036</v>
      </c>
      <c r="E584" s="839" t="s">
        <v>331</v>
      </c>
      <c r="F584" s="839" t="s">
        <v>231</v>
      </c>
      <c r="G584" s="916">
        <f>VLOOKUP($A584,'Tech Litons'!$A:$I,8,FALSE)</f>
        <v>4.2560000000000002E-3</v>
      </c>
      <c r="H584" s="917">
        <f>VLOOKUP($A584,'Tech Litons'!$A:$I,9,FALSE)</f>
        <v>143</v>
      </c>
      <c r="I584" s="917" t="str">
        <f>VLOOKUP($A584,'Tech Litons'!$A:$C,3,0)</f>
        <v>MG Sticks</v>
      </c>
      <c r="J584" s="918" t="str">
        <f t="shared" si="54"/>
        <v>2904MG Sticks</v>
      </c>
      <c r="K584" s="919">
        <v>1</v>
      </c>
      <c r="L584" s="920">
        <f t="shared" si="55"/>
        <v>3574</v>
      </c>
      <c r="M584" s="920">
        <f t="shared" si="56"/>
        <v>15.210944000000001</v>
      </c>
      <c r="N584" s="920">
        <f t="shared" si="57"/>
        <v>24.993006993006993</v>
      </c>
      <c r="O584" s="918" t="str">
        <f t="shared" si="58"/>
        <v>Jan</v>
      </c>
      <c r="P584" s="921">
        <f t="shared" si="59"/>
        <v>3</v>
      </c>
    </row>
    <row r="585" spans="1:16" ht="15" hidden="1" customHeight="1">
      <c r="A585" s="839">
        <v>64977526</v>
      </c>
      <c r="B585" s="839">
        <v>1352</v>
      </c>
      <c r="C585" s="906">
        <v>3653</v>
      </c>
      <c r="D585" s="907">
        <v>46036</v>
      </c>
      <c r="E585" s="839" t="s">
        <v>323</v>
      </c>
      <c r="F585" s="839" t="s">
        <v>266</v>
      </c>
      <c r="G585" s="916">
        <f>VLOOKUP($A585,'Tech Litons'!$A:$I,8,FALSE)</f>
        <v>8.513999999999999E-3</v>
      </c>
      <c r="H585" s="917">
        <f>VLOOKUP($A585,'Tech Litons'!$A:$I,9,FALSE)</f>
        <v>176</v>
      </c>
      <c r="I585" s="917" t="str">
        <f>VLOOKUP($A585,'Tech Litons'!$A:$C,3,0)</f>
        <v>48oz</v>
      </c>
      <c r="J585" s="918" t="str">
        <f t="shared" si="54"/>
        <v>135248oz</v>
      </c>
      <c r="K585" s="919">
        <v>1</v>
      </c>
      <c r="L585" s="920">
        <f t="shared" si="55"/>
        <v>3653</v>
      </c>
      <c r="M585" s="920">
        <f t="shared" si="56"/>
        <v>31.101641999999995</v>
      </c>
      <c r="N585" s="920">
        <f t="shared" si="57"/>
        <v>20.755681818181817</v>
      </c>
      <c r="O585" s="918" t="str">
        <f t="shared" si="58"/>
        <v>Jan</v>
      </c>
      <c r="P585" s="921">
        <f t="shared" si="59"/>
        <v>3</v>
      </c>
    </row>
    <row r="586" spans="1:16" ht="15" hidden="1" customHeight="1">
      <c r="A586" s="839">
        <v>68689251</v>
      </c>
      <c r="B586" s="839">
        <v>1352</v>
      </c>
      <c r="C586" s="906">
        <v>3749</v>
      </c>
      <c r="D586" s="907">
        <v>46036</v>
      </c>
      <c r="E586" s="839" t="s">
        <v>262</v>
      </c>
      <c r="F586" s="839" t="s">
        <v>242</v>
      </c>
      <c r="G586" s="916">
        <f>VLOOKUP($A586,'Tech Litons'!$A:$I,8,FALSE)</f>
        <v>9.5760000000000012E-3</v>
      </c>
      <c r="H586" s="917">
        <f>VLOOKUP($A586,'Tech Litons'!$A:$I,9,FALSE)</f>
        <v>132</v>
      </c>
      <c r="I586" s="917" t="str">
        <f>VLOOKUP($A586,'Tech Litons'!$A:$C,3,0)</f>
        <v>EDF</v>
      </c>
      <c r="J586" s="918" t="str">
        <f t="shared" si="54"/>
        <v>1352EDF</v>
      </c>
      <c r="K586" s="919">
        <v>1</v>
      </c>
      <c r="L586" s="920">
        <f t="shared" si="55"/>
        <v>3749</v>
      </c>
      <c r="M586" s="920">
        <f t="shared" si="56"/>
        <v>35.900424000000001</v>
      </c>
      <c r="N586" s="920">
        <f t="shared" si="57"/>
        <v>28.401515151515152</v>
      </c>
      <c r="O586" s="918" t="str">
        <f t="shared" si="58"/>
        <v>Jan</v>
      </c>
      <c r="P586" s="921">
        <f t="shared" si="59"/>
        <v>3</v>
      </c>
    </row>
    <row r="587" spans="1:16" ht="15" hidden="1" customHeight="1">
      <c r="A587" s="839">
        <v>69700048</v>
      </c>
      <c r="B587" s="839">
        <v>1352</v>
      </c>
      <c r="C587" s="906">
        <v>3944</v>
      </c>
      <c r="D587" s="907">
        <v>46036</v>
      </c>
      <c r="E587" s="839" t="s">
        <v>328</v>
      </c>
      <c r="F587" s="839" t="s">
        <v>287</v>
      </c>
      <c r="G587" s="916">
        <f>VLOOKUP($A587,'Tech Litons'!$A:$I,8,FALSE)</f>
        <v>2.7360000000000002E-3</v>
      </c>
      <c r="H587" s="917">
        <f>VLOOKUP($A587,'Tech Litons'!$A:$I,9,FALSE)</f>
        <v>225</v>
      </c>
      <c r="I587" s="917" t="str">
        <f>VLOOKUP($A587,'Tech Litons'!$A:$C,3,0)</f>
        <v>MBG</v>
      </c>
      <c r="J587" s="918" t="str">
        <f t="shared" si="54"/>
        <v>1352MBG</v>
      </c>
      <c r="K587" s="919">
        <v>1</v>
      </c>
      <c r="L587" s="920">
        <f t="shared" si="55"/>
        <v>3944</v>
      </c>
      <c r="M587" s="920">
        <f t="shared" si="56"/>
        <v>10.790784</v>
      </c>
      <c r="N587" s="920">
        <f t="shared" si="57"/>
        <v>17.52888888888889</v>
      </c>
      <c r="O587" s="918" t="str">
        <f t="shared" si="58"/>
        <v>Jan</v>
      </c>
      <c r="P587" s="921">
        <f t="shared" si="59"/>
        <v>3</v>
      </c>
    </row>
    <row r="588" spans="1:16" ht="15" hidden="1" customHeight="1">
      <c r="A588" s="839">
        <v>64369043</v>
      </c>
      <c r="B588" s="839">
        <v>2904</v>
      </c>
      <c r="C588" s="906">
        <v>4187</v>
      </c>
      <c r="D588" s="907">
        <v>46036</v>
      </c>
      <c r="E588" s="839" t="s">
        <v>329</v>
      </c>
      <c r="F588" s="839" t="s">
        <v>275</v>
      </c>
      <c r="G588" s="916">
        <f>VLOOKUP($A588,'Tech Litons'!$A:$I,8,FALSE)</f>
        <v>3.552E-3</v>
      </c>
      <c r="H588" s="917">
        <f>VLOOKUP($A588,'Tech Litons'!$A:$I,9,FALSE)</f>
        <v>255</v>
      </c>
      <c r="I588" s="917" t="str">
        <f>VLOOKUP($A588,'Tech Litons'!$A:$C,3,0)</f>
        <v>Talenti</v>
      </c>
      <c r="J588" s="918" t="str">
        <f t="shared" si="54"/>
        <v>2904Talenti</v>
      </c>
      <c r="K588" s="919">
        <v>1</v>
      </c>
      <c r="L588" s="920">
        <f t="shared" si="55"/>
        <v>4187</v>
      </c>
      <c r="M588" s="920">
        <f t="shared" si="56"/>
        <v>14.872224000000001</v>
      </c>
      <c r="N588" s="920">
        <f t="shared" si="57"/>
        <v>16.419607843137253</v>
      </c>
      <c r="O588" s="918" t="str">
        <f t="shared" si="58"/>
        <v>Jan</v>
      </c>
      <c r="P588" s="921">
        <f t="shared" si="59"/>
        <v>3</v>
      </c>
    </row>
    <row r="589" spans="1:16" ht="15" hidden="1" customHeight="1">
      <c r="A589" s="839">
        <v>64393719</v>
      </c>
      <c r="B589" s="839">
        <v>2904</v>
      </c>
      <c r="C589" s="906">
        <v>4199</v>
      </c>
      <c r="D589" s="907">
        <v>46036</v>
      </c>
      <c r="E589" s="839" t="s">
        <v>331</v>
      </c>
      <c r="F589" s="839" t="s">
        <v>231</v>
      </c>
      <c r="G589" s="916">
        <f>VLOOKUP($A589,'Tech Litons'!$A:$I,8,FALSE)</f>
        <v>4.2560000000000002E-3</v>
      </c>
      <c r="H589" s="917">
        <f>VLOOKUP($A589,'Tech Litons'!$A:$I,9,FALSE)</f>
        <v>143</v>
      </c>
      <c r="I589" s="917" t="str">
        <f>VLOOKUP($A589,'Tech Litons'!$A:$C,3,0)</f>
        <v>MG Sticks</v>
      </c>
      <c r="J589" s="918" t="str">
        <f t="shared" si="54"/>
        <v>2904MG Sticks</v>
      </c>
      <c r="K589" s="919">
        <v>1</v>
      </c>
      <c r="L589" s="920">
        <f t="shared" si="55"/>
        <v>4199</v>
      </c>
      <c r="M589" s="920">
        <f t="shared" si="56"/>
        <v>17.870944000000001</v>
      </c>
      <c r="N589" s="920">
        <f t="shared" si="57"/>
        <v>29.363636363636363</v>
      </c>
      <c r="O589" s="918" t="str">
        <f t="shared" si="58"/>
        <v>Jan</v>
      </c>
      <c r="P589" s="921">
        <f t="shared" si="59"/>
        <v>3</v>
      </c>
    </row>
    <row r="590" spans="1:16" ht="15" hidden="1" customHeight="1">
      <c r="A590" s="839">
        <v>69999267</v>
      </c>
      <c r="B590" s="839">
        <v>2904</v>
      </c>
      <c r="C590" s="906">
        <v>4389</v>
      </c>
      <c r="D590" s="907">
        <v>46036</v>
      </c>
      <c r="E590" s="839" t="s">
        <v>335</v>
      </c>
      <c r="F590" s="839" t="s">
        <v>299</v>
      </c>
      <c r="G590" s="916">
        <f>VLOOKUP($A590,'Tech Litons'!$A:$I,8,FALSE)</f>
        <v>3.7839999999999996E-3</v>
      </c>
      <c r="H590" s="917">
        <f>VLOOKUP($A590,'Tech Litons'!$A:$I,9,FALSE)</f>
        <v>240</v>
      </c>
      <c r="I590" s="917" t="str">
        <f>VLOOKUP($A590,'Tech Litons'!$A:$C,3,0)</f>
        <v>BJ PTS</v>
      </c>
      <c r="J590" s="918" t="str">
        <f t="shared" si="54"/>
        <v>2904BJ PTS</v>
      </c>
      <c r="K590" s="919">
        <v>1</v>
      </c>
      <c r="L590" s="920">
        <f t="shared" si="55"/>
        <v>4389</v>
      </c>
      <c r="M590" s="920">
        <f t="shared" si="56"/>
        <v>16.607975999999997</v>
      </c>
      <c r="N590" s="920">
        <f t="shared" si="57"/>
        <v>18.287500000000001</v>
      </c>
      <c r="O590" s="918" t="str">
        <f t="shared" si="58"/>
        <v>Jan</v>
      </c>
      <c r="P590" s="921">
        <f t="shared" si="59"/>
        <v>3</v>
      </c>
    </row>
    <row r="591" spans="1:16" ht="15" hidden="1" customHeight="1">
      <c r="A591" s="839">
        <v>68300738</v>
      </c>
      <c r="B591" s="839">
        <v>1352</v>
      </c>
      <c r="C591" s="906">
        <v>4703</v>
      </c>
      <c r="D591" s="907">
        <v>46036</v>
      </c>
      <c r="E591" s="839" t="s">
        <v>325</v>
      </c>
      <c r="F591" s="839" t="s">
        <v>240</v>
      </c>
      <c r="G591" s="916">
        <f>VLOOKUP($A591,'Tech Litons'!$A:$I,8,FALSE)</f>
        <v>8.4960000000000001E-3</v>
      </c>
      <c r="H591" s="917">
        <f>VLOOKUP($A591,'Tech Litons'!$A:$I,9,FALSE)</f>
        <v>132</v>
      </c>
      <c r="I591" s="917" t="str">
        <f>VLOOKUP($A591,'Tech Litons'!$A:$C,3,0)</f>
        <v>EDF</v>
      </c>
      <c r="J591" s="918" t="str">
        <f t="shared" si="54"/>
        <v>1352EDF</v>
      </c>
      <c r="K591" s="919">
        <v>1</v>
      </c>
      <c r="L591" s="920">
        <f t="shared" si="55"/>
        <v>4703</v>
      </c>
      <c r="M591" s="920">
        <f t="shared" si="56"/>
        <v>39.956688</v>
      </c>
      <c r="N591" s="920">
        <f t="shared" si="57"/>
        <v>35.628787878787875</v>
      </c>
      <c r="O591" s="918" t="str">
        <f t="shared" si="58"/>
        <v>Jan</v>
      </c>
      <c r="P591" s="921">
        <f t="shared" si="59"/>
        <v>3</v>
      </c>
    </row>
    <row r="592" spans="1:16" ht="15" hidden="1" customHeight="1">
      <c r="A592" s="839">
        <v>64874633</v>
      </c>
      <c r="B592" s="839">
        <v>3910</v>
      </c>
      <c r="C592" s="906">
        <v>4760</v>
      </c>
      <c r="D592" s="907">
        <v>46036</v>
      </c>
      <c r="E592" s="839" t="s">
        <v>341</v>
      </c>
      <c r="F592" s="839" t="s">
        <v>342</v>
      </c>
      <c r="G592" s="916">
        <f>VLOOKUP($A592,'Tech Litons'!$A:$I,8,FALSE)</f>
        <v>3.192E-3</v>
      </c>
      <c r="H592" s="917">
        <f>VLOOKUP($A592,'Tech Litons'!$A:$I,9,FALSE)</f>
        <v>280</v>
      </c>
      <c r="I592" s="917" t="str">
        <f>VLOOKUP($A592,'Tech Litons'!$A:$C,3,0)</f>
        <v>ESS</v>
      </c>
      <c r="J592" s="918" t="str">
        <f t="shared" si="54"/>
        <v>3910ESS</v>
      </c>
      <c r="K592" s="919">
        <v>1</v>
      </c>
      <c r="L592" s="920">
        <f t="shared" si="55"/>
        <v>4760</v>
      </c>
      <c r="M592" s="920">
        <f t="shared" si="56"/>
        <v>15.19392</v>
      </c>
      <c r="N592" s="920">
        <f t="shared" si="57"/>
        <v>17</v>
      </c>
      <c r="O592" s="918" t="str">
        <f t="shared" si="58"/>
        <v>Jan</v>
      </c>
      <c r="P592" s="921">
        <f t="shared" si="59"/>
        <v>3</v>
      </c>
    </row>
    <row r="593" spans="1:16" ht="15" hidden="1" customHeight="1">
      <c r="A593" s="839">
        <v>64958122</v>
      </c>
      <c r="B593" s="839">
        <v>2904</v>
      </c>
      <c r="C593" s="906">
        <v>4765</v>
      </c>
      <c r="D593" s="907">
        <v>46036</v>
      </c>
      <c r="E593" s="839" t="s">
        <v>236</v>
      </c>
      <c r="F593" s="839" t="s">
        <v>234</v>
      </c>
      <c r="G593" s="916">
        <f>VLOOKUP($A593,'Tech Litons'!$A:$I,8,FALSE)</f>
        <v>3.3119999999999998E-3</v>
      </c>
      <c r="H593" s="917">
        <f>VLOOKUP($A593,'Tech Litons'!$A:$I,9,FALSE)</f>
        <v>165</v>
      </c>
      <c r="I593" s="917" t="str">
        <f>VLOOKUP($A593,'Tech Litons'!$A:$C,3,0)</f>
        <v>Yasso Sticks</v>
      </c>
      <c r="J593" s="918" t="str">
        <f t="shared" si="54"/>
        <v>2904Yasso Sticks</v>
      </c>
      <c r="K593" s="919">
        <v>1</v>
      </c>
      <c r="L593" s="920">
        <f t="shared" si="55"/>
        <v>4765</v>
      </c>
      <c r="M593" s="920">
        <f t="shared" si="56"/>
        <v>15.78168</v>
      </c>
      <c r="N593" s="920">
        <f t="shared" si="57"/>
        <v>28.878787878787879</v>
      </c>
      <c r="O593" s="918" t="str">
        <f t="shared" si="58"/>
        <v>Jan</v>
      </c>
      <c r="P593" s="921">
        <f t="shared" si="59"/>
        <v>3</v>
      </c>
    </row>
    <row r="594" spans="1:16" ht="15" hidden="1" customHeight="1">
      <c r="A594" s="839">
        <v>64389650</v>
      </c>
      <c r="B594" s="839">
        <v>2904</v>
      </c>
      <c r="C594" s="906">
        <v>4829</v>
      </c>
      <c r="D594" s="907">
        <v>46036</v>
      </c>
      <c r="E594" s="839" t="s">
        <v>330</v>
      </c>
      <c r="F594" s="839" t="s">
        <v>271</v>
      </c>
      <c r="G594" s="916">
        <f>VLOOKUP($A594,'Tech Litons'!$A:$I,8,FALSE)</f>
        <v>8.5199999999999998E-3</v>
      </c>
      <c r="H594" s="917">
        <f>VLOOKUP($A594,'Tech Litons'!$A:$I,9,FALSE)</f>
        <v>176</v>
      </c>
      <c r="I594" s="917" t="str">
        <f>VLOOKUP($A594,'Tech Litons'!$A:$C,3,0)</f>
        <v>48oz</v>
      </c>
      <c r="J594" s="918" t="str">
        <f t="shared" ref="J594:J657" si="60">B594&amp;I594</f>
        <v>290448oz</v>
      </c>
      <c r="K594" s="919">
        <v>1</v>
      </c>
      <c r="L594" s="920">
        <f t="shared" ref="L594:L657" si="61">C594*$K594</f>
        <v>4829</v>
      </c>
      <c r="M594" s="920">
        <f t="shared" ref="M594:M657" si="62">L594*G594</f>
        <v>41.143079999999998</v>
      </c>
      <c r="N594" s="920">
        <f t="shared" ref="N594:N657" si="63">L594/H594</f>
        <v>27.4375</v>
      </c>
      <c r="O594" s="918" t="str">
        <f t="shared" ref="O594:O657" si="64">TEXT(D594,"MMM")</f>
        <v>Jan</v>
      </c>
      <c r="P594" s="921">
        <f t="shared" ref="P594:P657" si="65">WEEKNUM(D594)</f>
        <v>3</v>
      </c>
    </row>
    <row r="595" spans="1:16" ht="15" hidden="1" customHeight="1">
      <c r="A595" s="839">
        <v>68626039</v>
      </c>
      <c r="B595" s="839">
        <v>2904</v>
      </c>
      <c r="C595" s="906">
        <v>5005</v>
      </c>
      <c r="D595" s="907">
        <v>46036</v>
      </c>
      <c r="E595" s="839" t="s">
        <v>246</v>
      </c>
      <c r="F595" s="839" t="s">
        <v>40</v>
      </c>
      <c r="G595" s="916">
        <f>VLOOKUP($A595,'Tech Litons'!$A:$I,8,FALSE)</f>
        <v>3.7839999999999996E-3</v>
      </c>
      <c r="H595" s="917">
        <f>VLOOKUP($A595,'Tech Litons'!$A:$I,9,FALSE)</f>
        <v>240</v>
      </c>
      <c r="I595" s="917" t="str">
        <f>VLOOKUP($A595,'Tech Litons'!$A:$C,3,0)</f>
        <v>PTS</v>
      </c>
      <c r="J595" s="918" t="str">
        <f t="shared" si="60"/>
        <v>2904PTS</v>
      </c>
      <c r="K595" s="919">
        <v>1</v>
      </c>
      <c r="L595" s="920">
        <f t="shared" si="61"/>
        <v>5005</v>
      </c>
      <c r="M595" s="920">
        <f t="shared" si="62"/>
        <v>18.93892</v>
      </c>
      <c r="N595" s="920">
        <f t="shared" si="63"/>
        <v>20.854166666666668</v>
      </c>
      <c r="O595" s="918" t="str">
        <f t="shared" si="64"/>
        <v>Jan</v>
      </c>
      <c r="P595" s="921">
        <f t="shared" si="65"/>
        <v>3</v>
      </c>
    </row>
    <row r="596" spans="1:16" ht="15" hidden="1" customHeight="1">
      <c r="A596" s="839">
        <v>64330596</v>
      </c>
      <c r="B596" s="839">
        <v>2904</v>
      </c>
      <c r="C596" s="906">
        <v>5104</v>
      </c>
      <c r="D596" s="907">
        <v>46036</v>
      </c>
      <c r="E596" s="839" t="s">
        <v>280</v>
      </c>
      <c r="F596" s="839" t="s">
        <v>281</v>
      </c>
      <c r="G596" s="916">
        <f>VLOOKUP($A596,'Tech Litons'!$A:$I,8,FALSE)</f>
        <v>1.98E-3</v>
      </c>
      <c r="H596" s="917">
        <f>VLOOKUP($A596,'Tech Litons'!$A:$I,9,FALSE)</f>
        <v>176</v>
      </c>
      <c r="I596" s="917" t="str">
        <f>VLOOKUP($A596,'Tech Litons'!$A:$C,3,0)</f>
        <v>MG Sticks</v>
      </c>
      <c r="J596" s="918" t="str">
        <f t="shared" si="60"/>
        <v>2904MG Sticks</v>
      </c>
      <c r="K596" s="919">
        <v>1</v>
      </c>
      <c r="L596" s="920">
        <f t="shared" si="61"/>
        <v>5104</v>
      </c>
      <c r="M596" s="920">
        <f t="shared" si="62"/>
        <v>10.105919999999999</v>
      </c>
      <c r="N596" s="920">
        <f t="shared" si="63"/>
        <v>29</v>
      </c>
      <c r="O596" s="918" t="str">
        <f t="shared" si="64"/>
        <v>Jan</v>
      </c>
      <c r="P596" s="921">
        <f t="shared" si="65"/>
        <v>3</v>
      </c>
    </row>
    <row r="597" spans="1:16" ht="15" hidden="1" customHeight="1">
      <c r="A597" s="839">
        <v>68817801</v>
      </c>
      <c r="B597" s="839">
        <v>2904</v>
      </c>
      <c r="C597" s="906">
        <v>5225</v>
      </c>
      <c r="D597" s="907">
        <v>46036</v>
      </c>
      <c r="E597" s="839" t="s">
        <v>333</v>
      </c>
      <c r="F597" s="839" t="s">
        <v>269</v>
      </c>
      <c r="G597" s="916">
        <f>VLOOKUP($A597,'Tech Litons'!$A:$I,8,FALSE)</f>
        <v>8.5199999999999998E-3</v>
      </c>
      <c r="H597" s="917">
        <f>VLOOKUP($A597,'Tech Litons'!$A:$I,9,FALSE)</f>
        <v>176</v>
      </c>
      <c r="I597" s="917" t="str">
        <f>VLOOKUP($A597,'Tech Litons'!$A:$C,3,0)</f>
        <v>48oz</v>
      </c>
      <c r="J597" s="918" t="str">
        <f t="shared" si="60"/>
        <v>290448oz</v>
      </c>
      <c r="K597" s="919">
        <v>1</v>
      </c>
      <c r="L597" s="920">
        <f t="shared" si="61"/>
        <v>5225</v>
      </c>
      <c r="M597" s="920">
        <f t="shared" si="62"/>
        <v>44.516999999999996</v>
      </c>
      <c r="N597" s="920">
        <f t="shared" si="63"/>
        <v>29.6875</v>
      </c>
      <c r="O597" s="918" t="str">
        <f t="shared" si="64"/>
        <v>Jan</v>
      </c>
      <c r="P597" s="921">
        <f t="shared" si="65"/>
        <v>3</v>
      </c>
    </row>
    <row r="598" spans="1:16" ht="15" hidden="1" customHeight="1">
      <c r="A598" s="839">
        <v>68851107</v>
      </c>
      <c r="B598" s="839">
        <v>1352</v>
      </c>
      <c r="C598" s="906">
        <v>5280</v>
      </c>
      <c r="D598" s="907">
        <v>46036</v>
      </c>
      <c r="E598" s="839" t="s">
        <v>272</v>
      </c>
      <c r="F598" s="839" t="s">
        <v>290</v>
      </c>
      <c r="G598" s="916">
        <f>VLOOKUP($A598,'Tech Litons'!$A:$I,8,FALSE)</f>
        <v>8.5199999999999998E-3</v>
      </c>
      <c r="H598" s="917">
        <f>VLOOKUP($A598,'Tech Litons'!$A:$I,9,FALSE)</f>
        <v>176</v>
      </c>
      <c r="I598" s="917" t="str">
        <f>VLOOKUP($A598,'Tech Litons'!$A:$C,3,0)</f>
        <v>48oz</v>
      </c>
      <c r="J598" s="918" t="str">
        <f t="shared" si="60"/>
        <v>135248oz</v>
      </c>
      <c r="K598" s="919">
        <v>1</v>
      </c>
      <c r="L598" s="920">
        <f t="shared" si="61"/>
        <v>5280</v>
      </c>
      <c r="M598" s="920">
        <f t="shared" si="62"/>
        <v>44.985599999999998</v>
      </c>
      <c r="N598" s="920">
        <f t="shared" si="63"/>
        <v>30</v>
      </c>
      <c r="O598" s="918" t="str">
        <f t="shared" si="64"/>
        <v>Jan</v>
      </c>
      <c r="P598" s="921">
        <f t="shared" si="65"/>
        <v>3</v>
      </c>
    </row>
    <row r="599" spans="1:16" ht="15" hidden="1" customHeight="1">
      <c r="A599" s="839">
        <v>64330596</v>
      </c>
      <c r="B599" s="839">
        <v>2904</v>
      </c>
      <c r="C599" s="906">
        <v>5338</v>
      </c>
      <c r="D599" s="907">
        <v>46036</v>
      </c>
      <c r="E599" s="839" t="s">
        <v>280</v>
      </c>
      <c r="F599" s="839" t="s">
        <v>281</v>
      </c>
      <c r="G599" s="916">
        <f>VLOOKUP($A599,'Tech Litons'!$A:$I,8,FALSE)</f>
        <v>1.98E-3</v>
      </c>
      <c r="H599" s="917">
        <f>VLOOKUP($A599,'Tech Litons'!$A:$I,9,FALSE)</f>
        <v>176</v>
      </c>
      <c r="I599" s="917" t="str">
        <f>VLOOKUP($A599,'Tech Litons'!$A:$C,3,0)</f>
        <v>MG Sticks</v>
      </c>
      <c r="J599" s="918" t="str">
        <f t="shared" si="60"/>
        <v>2904MG Sticks</v>
      </c>
      <c r="K599" s="919">
        <v>1</v>
      </c>
      <c r="L599" s="920">
        <f t="shared" si="61"/>
        <v>5338</v>
      </c>
      <c r="M599" s="920">
        <f t="shared" si="62"/>
        <v>10.569240000000001</v>
      </c>
      <c r="N599" s="920">
        <f t="shared" si="63"/>
        <v>30.329545454545453</v>
      </c>
      <c r="O599" s="918" t="str">
        <f t="shared" si="64"/>
        <v>Jan</v>
      </c>
      <c r="P599" s="921">
        <f t="shared" si="65"/>
        <v>3</v>
      </c>
    </row>
    <row r="600" spans="1:16" ht="15" hidden="1" customHeight="1">
      <c r="A600" s="839">
        <v>68817801</v>
      </c>
      <c r="B600" s="839">
        <v>2904</v>
      </c>
      <c r="C600" s="906">
        <v>5377</v>
      </c>
      <c r="D600" s="907">
        <v>46036</v>
      </c>
      <c r="E600" s="839" t="s">
        <v>333</v>
      </c>
      <c r="F600" s="839" t="s">
        <v>269</v>
      </c>
      <c r="G600" s="916">
        <f>VLOOKUP($A600,'Tech Litons'!$A:$I,8,FALSE)</f>
        <v>8.5199999999999998E-3</v>
      </c>
      <c r="H600" s="917">
        <f>VLOOKUP($A600,'Tech Litons'!$A:$I,9,FALSE)</f>
        <v>176</v>
      </c>
      <c r="I600" s="917" t="str">
        <f>VLOOKUP($A600,'Tech Litons'!$A:$C,3,0)</f>
        <v>48oz</v>
      </c>
      <c r="J600" s="918" t="str">
        <f t="shared" si="60"/>
        <v>290448oz</v>
      </c>
      <c r="K600" s="919">
        <v>1</v>
      </c>
      <c r="L600" s="920">
        <f t="shared" si="61"/>
        <v>5377</v>
      </c>
      <c r="M600" s="920">
        <f t="shared" si="62"/>
        <v>45.812039999999996</v>
      </c>
      <c r="N600" s="920">
        <f t="shared" si="63"/>
        <v>30.551136363636363</v>
      </c>
      <c r="O600" s="918" t="str">
        <f t="shared" si="64"/>
        <v>Jan</v>
      </c>
      <c r="P600" s="921">
        <f t="shared" si="65"/>
        <v>3</v>
      </c>
    </row>
    <row r="601" spans="1:16" ht="15" hidden="1" customHeight="1">
      <c r="A601" s="839">
        <v>68922108</v>
      </c>
      <c r="B601" s="839">
        <v>2904</v>
      </c>
      <c r="C601" s="906">
        <v>5640</v>
      </c>
      <c r="D601" s="907">
        <v>46036</v>
      </c>
      <c r="E601" s="839" t="s">
        <v>276</v>
      </c>
      <c r="F601" s="839" t="s">
        <v>277</v>
      </c>
      <c r="G601" s="916">
        <f>VLOOKUP($A601,'Tech Litons'!$A:$I,8,FALSE)</f>
        <v>3.7839999999999996E-3</v>
      </c>
      <c r="H601" s="917">
        <f>VLOOKUP($A601,'Tech Litons'!$A:$I,9,FALSE)</f>
        <v>255</v>
      </c>
      <c r="I601" s="917" t="str">
        <f>VLOOKUP($A601,'Tech Litons'!$A:$C,3,0)</f>
        <v>TALENTI</v>
      </c>
      <c r="J601" s="918" t="str">
        <f t="shared" si="60"/>
        <v>2904TALENTI</v>
      </c>
      <c r="K601" s="919">
        <v>1</v>
      </c>
      <c r="L601" s="920">
        <f t="shared" si="61"/>
        <v>5640</v>
      </c>
      <c r="M601" s="920">
        <f t="shared" si="62"/>
        <v>21.341759999999997</v>
      </c>
      <c r="N601" s="920">
        <f t="shared" si="63"/>
        <v>22.117647058823529</v>
      </c>
      <c r="O601" s="918" t="str">
        <f t="shared" si="64"/>
        <v>Jan</v>
      </c>
      <c r="P601" s="921">
        <f t="shared" si="65"/>
        <v>3</v>
      </c>
    </row>
    <row r="602" spans="1:16" ht="15" hidden="1" customHeight="1">
      <c r="A602" s="839">
        <v>64389650</v>
      </c>
      <c r="B602" s="839">
        <v>2904</v>
      </c>
      <c r="C602" s="906">
        <v>5973</v>
      </c>
      <c r="D602" s="907">
        <v>46036</v>
      </c>
      <c r="E602" s="839" t="s">
        <v>330</v>
      </c>
      <c r="F602" s="839" t="s">
        <v>271</v>
      </c>
      <c r="G602" s="916">
        <f>VLOOKUP($A602,'Tech Litons'!$A:$I,8,FALSE)</f>
        <v>8.5199999999999998E-3</v>
      </c>
      <c r="H602" s="917">
        <f>VLOOKUP($A602,'Tech Litons'!$A:$I,9,FALSE)</f>
        <v>176</v>
      </c>
      <c r="I602" s="917" t="str">
        <f>VLOOKUP($A602,'Tech Litons'!$A:$C,3,0)</f>
        <v>48oz</v>
      </c>
      <c r="J602" s="918" t="str">
        <f t="shared" si="60"/>
        <v>290448oz</v>
      </c>
      <c r="K602" s="919">
        <v>1</v>
      </c>
      <c r="L602" s="920">
        <f t="shared" si="61"/>
        <v>5973</v>
      </c>
      <c r="M602" s="920">
        <f t="shared" si="62"/>
        <v>50.889960000000002</v>
      </c>
      <c r="N602" s="920">
        <f t="shared" si="63"/>
        <v>33.9375</v>
      </c>
      <c r="O602" s="918" t="str">
        <f t="shared" si="64"/>
        <v>Jan</v>
      </c>
      <c r="P602" s="921">
        <f t="shared" si="65"/>
        <v>3</v>
      </c>
    </row>
    <row r="603" spans="1:16" ht="15" hidden="1" customHeight="1">
      <c r="A603" s="839">
        <v>64958122</v>
      </c>
      <c r="B603" s="839">
        <v>2904</v>
      </c>
      <c r="C603" s="906">
        <v>6735</v>
      </c>
      <c r="D603" s="907">
        <v>46036</v>
      </c>
      <c r="E603" s="839" t="s">
        <v>236</v>
      </c>
      <c r="F603" s="839" t="s">
        <v>234</v>
      </c>
      <c r="G603" s="916">
        <f>VLOOKUP($A603,'Tech Litons'!$A:$I,8,FALSE)</f>
        <v>3.3119999999999998E-3</v>
      </c>
      <c r="H603" s="917">
        <f>VLOOKUP($A603,'Tech Litons'!$A:$I,9,FALSE)</f>
        <v>165</v>
      </c>
      <c r="I603" s="917" t="str">
        <f>VLOOKUP($A603,'Tech Litons'!$A:$C,3,0)</f>
        <v>Yasso Sticks</v>
      </c>
      <c r="J603" s="918" t="str">
        <f t="shared" si="60"/>
        <v>2904Yasso Sticks</v>
      </c>
      <c r="K603" s="919">
        <v>1</v>
      </c>
      <c r="L603" s="920">
        <f t="shared" si="61"/>
        <v>6735</v>
      </c>
      <c r="M603" s="920">
        <f t="shared" si="62"/>
        <v>22.306319999999999</v>
      </c>
      <c r="N603" s="920">
        <f t="shared" si="63"/>
        <v>40.81818181818182</v>
      </c>
      <c r="O603" s="918" t="str">
        <f t="shared" si="64"/>
        <v>Jan</v>
      </c>
      <c r="P603" s="921">
        <f t="shared" si="65"/>
        <v>3</v>
      </c>
    </row>
    <row r="604" spans="1:16" ht="15" hidden="1" customHeight="1">
      <c r="A604" s="839">
        <v>69991979</v>
      </c>
      <c r="B604" s="839">
        <v>2904</v>
      </c>
      <c r="C604" s="906">
        <v>7440</v>
      </c>
      <c r="D604" s="907">
        <v>46036</v>
      </c>
      <c r="E604" s="839" t="s">
        <v>334</v>
      </c>
      <c r="F604" s="839" t="s">
        <v>283</v>
      </c>
      <c r="G604" s="916">
        <f>VLOOKUP($A604,'Tech Litons'!$A:$I,8,FALSE)</f>
        <v>2.0400000000000001E-3</v>
      </c>
      <c r="H604" s="917">
        <f>VLOOKUP($A604,'Tech Litons'!$A:$I,9,FALSE)</f>
        <v>210</v>
      </c>
      <c r="I604" s="917" t="str">
        <f>VLOOKUP($A604,'Tech Litons'!$A:$C,3,0)</f>
        <v>MG Sticks</v>
      </c>
      <c r="J604" s="918" t="str">
        <f t="shared" si="60"/>
        <v>2904MG Sticks</v>
      </c>
      <c r="K604" s="919">
        <v>1</v>
      </c>
      <c r="L604" s="920">
        <f t="shared" si="61"/>
        <v>7440</v>
      </c>
      <c r="M604" s="920">
        <f t="shared" si="62"/>
        <v>15.177600000000002</v>
      </c>
      <c r="N604" s="920">
        <f t="shared" si="63"/>
        <v>35.428571428571431</v>
      </c>
      <c r="O604" s="918" t="str">
        <f t="shared" si="64"/>
        <v>Jan</v>
      </c>
      <c r="P604" s="921">
        <f t="shared" si="65"/>
        <v>3</v>
      </c>
    </row>
    <row r="605" spans="1:16" ht="15" hidden="1" customHeight="1">
      <c r="A605" s="839">
        <v>69991979</v>
      </c>
      <c r="B605" s="839">
        <v>2904</v>
      </c>
      <c r="C605" s="906">
        <v>7476</v>
      </c>
      <c r="D605" s="907">
        <v>46036</v>
      </c>
      <c r="E605" s="839" t="s">
        <v>334</v>
      </c>
      <c r="F605" s="839" t="s">
        <v>283</v>
      </c>
      <c r="G605" s="916">
        <f>VLOOKUP($A605,'Tech Litons'!$A:$I,8,FALSE)</f>
        <v>2.0400000000000001E-3</v>
      </c>
      <c r="H605" s="917">
        <f>VLOOKUP($A605,'Tech Litons'!$A:$I,9,FALSE)</f>
        <v>210</v>
      </c>
      <c r="I605" s="917" t="str">
        <f>VLOOKUP($A605,'Tech Litons'!$A:$C,3,0)</f>
        <v>MG Sticks</v>
      </c>
      <c r="J605" s="918" t="str">
        <f t="shared" si="60"/>
        <v>2904MG Sticks</v>
      </c>
      <c r="K605" s="919">
        <v>1</v>
      </c>
      <c r="L605" s="920">
        <f t="shared" si="61"/>
        <v>7476</v>
      </c>
      <c r="M605" s="920">
        <f t="shared" si="62"/>
        <v>15.251040000000001</v>
      </c>
      <c r="N605" s="920">
        <f t="shared" si="63"/>
        <v>35.6</v>
      </c>
      <c r="O605" s="918" t="str">
        <f t="shared" si="64"/>
        <v>Jan</v>
      </c>
      <c r="P605" s="921">
        <f t="shared" si="65"/>
        <v>3</v>
      </c>
    </row>
    <row r="606" spans="1:16" ht="15" hidden="1" customHeight="1">
      <c r="A606" s="839">
        <v>68851107</v>
      </c>
      <c r="B606" s="839">
        <v>1352</v>
      </c>
      <c r="C606" s="906">
        <v>7533</v>
      </c>
      <c r="D606" s="907">
        <v>46036</v>
      </c>
      <c r="E606" s="839" t="s">
        <v>272</v>
      </c>
      <c r="F606" s="839" t="s">
        <v>290</v>
      </c>
      <c r="G606" s="916">
        <f>VLOOKUP($A606,'Tech Litons'!$A:$I,8,FALSE)</f>
        <v>8.5199999999999998E-3</v>
      </c>
      <c r="H606" s="917">
        <f>VLOOKUP($A606,'Tech Litons'!$A:$I,9,FALSE)</f>
        <v>176</v>
      </c>
      <c r="I606" s="917" t="str">
        <f>VLOOKUP($A606,'Tech Litons'!$A:$C,3,0)</f>
        <v>48oz</v>
      </c>
      <c r="J606" s="918" t="str">
        <f t="shared" si="60"/>
        <v>135248oz</v>
      </c>
      <c r="K606" s="919">
        <v>1</v>
      </c>
      <c r="L606" s="920">
        <f t="shared" si="61"/>
        <v>7533</v>
      </c>
      <c r="M606" s="920">
        <f t="shared" si="62"/>
        <v>64.181160000000006</v>
      </c>
      <c r="N606" s="920">
        <f t="shared" si="63"/>
        <v>42.801136363636367</v>
      </c>
      <c r="O606" s="918" t="str">
        <f t="shared" si="64"/>
        <v>Jan</v>
      </c>
      <c r="P606" s="921">
        <f t="shared" si="65"/>
        <v>3</v>
      </c>
    </row>
    <row r="607" spans="1:16" ht="15" hidden="1" customHeight="1">
      <c r="A607" s="839">
        <v>64977526</v>
      </c>
      <c r="B607" s="839">
        <v>1352</v>
      </c>
      <c r="C607" s="906">
        <v>7900</v>
      </c>
      <c r="D607" s="907">
        <v>46036</v>
      </c>
      <c r="E607" s="839" t="s">
        <v>323</v>
      </c>
      <c r="F607" s="839" t="s">
        <v>266</v>
      </c>
      <c r="G607" s="916">
        <f>VLOOKUP($A607,'Tech Litons'!$A:$I,8,FALSE)</f>
        <v>8.513999999999999E-3</v>
      </c>
      <c r="H607" s="917">
        <f>VLOOKUP($A607,'Tech Litons'!$A:$I,9,FALSE)</f>
        <v>176</v>
      </c>
      <c r="I607" s="917" t="str">
        <f>VLOOKUP($A607,'Tech Litons'!$A:$C,3,0)</f>
        <v>48oz</v>
      </c>
      <c r="J607" s="918" t="str">
        <f t="shared" si="60"/>
        <v>135248oz</v>
      </c>
      <c r="K607" s="919">
        <v>1</v>
      </c>
      <c r="L607" s="920">
        <f t="shared" si="61"/>
        <v>7900</v>
      </c>
      <c r="M607" s="920">
        <f t="shared" si="62"/>
        <v>67.260599999999997</v>
      </c>
      <c r="N607" s="920">
        <f t="shared" si="63"/>
        <v>44.886363636363633</v>
      </c>
      <c r="O607" s="918" t="str">
        <f t="shared" si="64"/>
        <v>Jan</v>
      </c>
      <c r="P607" s="921">
        <f t="shared" si="65"/>
        <v>3</v>
      </c>
    </row>
    <row r="608" spans="1:16" ht="15" hidden="1" customHeight="1">
      <c r="A608" s="839">
        <v>69999267</v>
      </c>
      <c r="B608" s="839">
        <v>2904</v>
      </c>
      <c r="C608" s="906">
        <v>8218</v>
      </c>
      <c r="D608" s="907">
        <v>46036</v>
      </c>
      <c r="E608" s="839" t="s">
        <v>335</v>
      </c>
      <c r="F608" s="839" t="s">
        <v>299</v>
      </c>
      <c r="G608" s="916">
        <f>VLOOKUP($A608,'Tech Litons'!$A:$I,8,FALSE)</f>
        <v>3.7839999999999996E-3</v>
      </c>
      <c r="H608" s="917">
        <f>VLOOKUP($A608,'Tech Litons'!$A:$I,9,FALSE)</f>
        <v>240</v>
      </c>
      <c r="I608" s="917" t="str">
        <f>VLOOKUP($A608,'Tech Litons'!$A:$C,3,0)</f>
        <v>BJ PTS</v>
      </c>
      <c r="J608" s="918" t="str">
        <f t="shared" si="60"/>
        <v>2904BJ PTS</v>
      </c>
      <c r="K608" s="919">
        <v>1</v>
      </c>
      <c r="L608" s="920">
        <f t="shared" si="61"/>
        <v>8218</v>
      </c>
      <c r="M608" s="920">
        <f t="shared" si="62"/>
        <v>31.096911999999996</v>
      </c>
      <c r="N608" s="920">
        <f t="shared" si="63"/>
        <v>34.241666666666667</v>
      </c>
      <c r="O608" s="918" t="str">
        <f t="shared" si="64"/>
        <v>Jan</v>
      </c>
      <c r="P608" s="921">
        <f t="shared" si="65"/>
        <v>3</v>
      </c>
    </row>
    <row r="609" spans="1:16" ht="15" hidden="1" customHeight="1">
      <c r="A609" s="839">
        <v>68851108</v>
      </c>
      <c r="B609" s="839">
        <v>2904</v>
      </c>
      <c r="C609" s="906">
        <v>8624</v>
      </c>
      <c r="D609" s="907">
        <v>46036</v>
      </c>
      <c r="E609" s="839" t="s">
        <v>296</v>
      </c>
      <c r="F609" s="839" t="s">
        <v>273</v>
      </c>
      <c r="G609" s="916">
        <f>VLOOKUP($A609,'Tech Litons'!$A:$I,8,FALSE)</f>
        <v>8.5199999999999998E-3</v>
      </c>
      <c r="H609" s="917">
        <f>VLOOKUP($A609,'Tech Litons'!$A:$I,9,FALSE)</f>
        <v>176</v>
      </c>
      <c r="I609" s="917" t="str">
        <f>VLOOKUP($A609,'Tech Litons'!$A:$C,3,0)</f>
        <v>48oz</v>
      </c>
      <c r="J609" s="918" t="str">
        <f t="shared" si="60"/>
        <v>290448oz</v>
      </c>
      <c r="K609" s="919">
        <v>1</v>
      </c>
      <c r="L609" s="920">
        <f t="shared" si="61"/>
        <v>8624</v>
      </c>
      <c r="M609" s="920">
        <f t="shared" si="62"/>
        <v>73.476479999999995</v>
      </c>
      <c r="N609" s="920">
        <f t="shared" si="63"/>
        <v>49</v>
      </c>
      <c r="O609" s="918" t="str">
        <f t="shared" si="64"/>
        <v>Jan</v>
      </c>
      <c r="P609" s="921">
        <f t="shared" si="65"/>
        <v>3</v>
      </c>
    </row>
    <row r="610" spans="1:16" ht="15" hidden="1" customHeight="1">
      <c r="A610" s="839">
        <v>68851108</v>
      </c>
      <c r="B610" s="839">
        <v>2904</v>
      </c>
      <c r="C610" s="906">
        <v>8725</v>
      </c>
      <c r="D610" s="907">
        <v>46036</v>
      </c>
      <c r="E610" s="839" t="s">
        <v>296</v>
      </c>
      <c r="F610" s="839" t="s">
        <v>273</v>
      </c>
      <c r="G610" s="916">
        <f>VLOOKUP($A610,'Tech Litons'!$A:$I,8,FALSE)</f>
        <v>8.5199999999999998E-3</v>
      </c>
      <c r="H610" s="917">
        <f>VLOOKUP($A610,'Tech Litons'!$A:$I,9,FALSE)</f>
        <v>176</v>
      </c>
      <c r="I610" s="917" t="str">
        <f>VLOOKUP($A610,'Tech Litons'!$A:$C,3,0)</f>
        <v>48oz</v>
      </c>
      <c r="J610" s="918" t="str">
        <f t="shared" si="60"/>
        <v>290448oz</v>
      </c>
      <c r="K610" s="919">
        <v>1</v>
      </c>
      <c r="L610" s="920">
        <f t="shared" si="61"/>
        <v>8725</v>
      </c>
      <c r="M610" s="920">
        <f t="shared" si="62"/>
        <v>74.337000000000003</v>
      </c>
      <c r="N610" s="920">
        <f t="shared" si="63"/>
        <v>49.573863636363633</v>
      </c>
      <c r="O610" s="918" t="str">
        <f t="shared" si="64"/>
        <v>Jan</v>
      </c>
      <c r="P610" s="921">
        <f t="shared" si="65"/>
        <v>3</v>
      </c>
    </row>
    <row r="611" spans="1:16" ht="15" hidden="1" customHeight="1">
      <c r="A611" s="839">
        <v>84138391</v>
      </c>
      <c r="B611" s="839">
        <v>5914</v>
      </c>
      <c r="C611" s="906">
        <v>13295</v>
      </c>
      <c r="D611" s="907">
        <v>46036</v>
      </c>
      <c r="E611" s="839" t="s">
        <v>339</v>
      </c>
      <c r="F611" s="839" t="s">
        <v>279</v>
      </c>
      <c r="G611" s="916">
        <f>VLOOKUP($A611,'Tech Litons'!$A:$I,8,FALSE)</f>
        <v>3.7853439999999999E-3</v>
      </c>
      <c r="H611" s="917">
        <f>VLOOKUP($A611,'Tech Litons'!$A:$I,9,FALSE)</f>
        <v>240</v>
      </c>
      <c r="I611" s="917" t="str">
        <f>VLOOKUP($A611,'Tech Litons'!$A:$C,3,0)</f>
        <v>BJ PTS</v>
      </c>
      <c r="J611" s="918" t="str">
        <f t="shared" si="60"/>
        <v>5914BJ PTS</v>
      </c>
      <c r="K611" s="919">
        <v>1</v>
      </c>
      <c r="L611" s="920">
        <f t="shared" si="61"/>
        <v>13295</v>
      </c>
      <c r="M611" s="920">
        <f t="shared" si="62"/>
        <v>50.326148480000001</v>
      </c>
      <c r="N611" s="920">
        <f t="shared" si="63"/>
        <v>55.395833333333336</v>
      </c>
      <c r="O611" s="918" t="str">
        <f t="shared" si="64"/>
        <v>Jan</v>
      </c>
      <c r="P611" s="921">
        <f t="shared" si="65"/>
        <v>3</v>
      </c>
    </row>
    <row r="612" spans="1:16" ht="15" hidden="1" customHeight="1">
      <c r="A612" s="839">
        <v>68922108</v>
      </c>
      <c r="B612" s="839">
        <v>2904</v>
      </c>
      <c r="C612" s="906">
        <v>15045</v>
      </c>
      <c r="D612" s="907">
        <v>46036</v>
      </c>
      <c r="E612" s="839" t="s">
        <v>276</v>
      </c>
      <c r="F612" s="839" t="s">
        <v>277</v>
      </c>
      <c r="G612" s="916">
        <f>VLOOKUP($A612,'Tech Litons'!$A:$I,8,FALSE)</f>
        <v>3.7839999999999996E-3</v>
      </c>
      <c r="H612" s="917">
        <f>VLOOKUP($A612,'Tech Litons'!$A:$I,9,FALSE)</f>
        <v>255</v>
      </c>
      <c r="I612" s="917" t="str">
        <f>VLOOKUP($A612,'Tech Litons'!$A:$C,3,0)</f>
        <v>TALENTI</v>
      </c>
      <c r="J612" s="918" t="str">
        <f t="shared" si="60"/>
        <v>2904TALENTI</v>
      </c>
      <c r="K612" s="919">
        <v>1</v>
      </c>
      <c r="L612" s="920">
        <f t="shared" si="61"/>
        <v>15045</v>
      </c>
      <c r="M612" s="920">
        <f t="shared" si="62"/>
        <v>56.930279999999996</v>
      </c>
      <c r="N612" s="920">
        <f t="shared" si="63"/>
        <v>59</v>
      </c>
      <c r="O612" s="918" t="str">
        <f t="shared" si="64"/>
        <v>Jan</v>
      </c>
      <c r="P612" s="921">
        <f t="shared" si="65"/>
        <v>3</v>
      </c>
    </row>
    <row r="613" spans="1:16" ht="15" hidden="1" customHeight="1">
      <c r="A613" s="839">
        <v>67826412</v>
      </c>
      <c r="B613" s="839">
        <v>5911</v>
      </c>
      <c r="C613" s="906">
        <v>28560</v>
      </c>
      <c r="D613" s="907">
        <v>46036</v>
      </c>
      <c r="E613" s="839" t="s">
        <v>312</v>
      </c>
      <c r="F613" s="839" t="s">
        <v>303</v>
      </c>
      <c r="G613" s="916">
        <f>VLOOKUP($A613,'Tech Litons'!$A:$I,8,FALSE)</f>
        <v>3.7853439999999999E-3</v>
      </c>
      <c r="H613" s="917">
        <f>VLOOKUP($A613,'Tech Litons'!$A:$I,9,FALSE)</f>
        <v>240</v>
      </c>
      <c r="I613" s="917" t="str">
        <f>VLOOKUP($A613,'Tech Litons'!$A:$C,3,0)</f>
        <v>BJ PTS</v>
      </c>
      <c r="J613" s="918" t="str">
        <f t="shared" si="60"/>
        <v>5911BJ PTS</v>
      </c>
      <c r="K613" s="919">
        <v>1</v>
      </c>
      <c r="L613" s="920">
        <f t="shared" si="61"/>
        <v>28560</v>
      </c>
      <c r="M613" s="920">
        <f t="shared" si="62"/>
        <v>108.10942464</v>
      </c>
      <c r="N613" s="920">
        <f t="shared" si="63"/>
        <v>119</v>
      </c>
      <c r="O613" s="918" t="str">
        <f t="shared" si="64"/>
        <v>Jan</v>
      </c>
      <c r="P613" s="921">
        <f t="shared" si="65"/>
        <v>3</v>
      </c>
    </row>
    <row r="614" spans="1:16" ht="15" hidden="1" customHeight="1">
      <c r="A614" s="839">
        <v>84138391</v>
      </c>
      <c r="B614" s="839">
        <v>5914</v>
      </c>
      <c r="C614" s="906">
        <v>-40</v>
      </c>
      <c r="D614" s="907">
        <v>46037</v>
      </c>
      <c r="E614" s="839" t="s">
        <v>339</v>
      </c>
      <c r="F614" s="839" t="s">
        <v>279</v>
      </c>
      <c r="G614" s="916">
        <f>VLOOKUP($A614,'Tech Litons'!$A:$I,8,FALSE)</f>
        <v>3.7853439999999999E-3</v>
      </c>
      <c r="H614" s="917">
        <f>VLOOKUP($A614,'Tech Litons'!$A:$I,9,FALSE)</f>
        <v>240</v>
      </c>
      <c r="I614" s="917" t="str">
        <f>VLOOKUP($A614,'Tech Litons'!$A:$C,3,0)</f>
        <v>BJ PTS</v>
      </c>
      <c r="J614" s="918" t="str">
        <f t="shared" si="60"/>
        <v>5914BJ PTS</v>
      </c>
      <c r="K614" s="919">
        <v>1</v>
      </c>
      <c r="L614" s="920">
        <f t="shared" si="61"/>
        <v>-40</v>
      </c>
      <c r="M614" s="920">
        <f t="shared" si="62"/>
        <v>-0.15141376000000001</v>
      </c>
      <c r="N614" s="920">
        <f t="shared" si="63"/>
        <v>-0.16666666666666666</v>
      </c>
      <c r="O614" s="918" t="str">
        <f t="shared" si="64"/>
        <v>Jan</v>
      </c>
      <c r="P614" s="921">
        <f t="shared" si="65"/>
        <v>3</v>
      </c>
    </row>
    <row r="615" spans="1:16" ht="15" hidden="1" customHeight="1">
      <c r="A615" s="839">
        <v>64341106</v>
      </c>
      <c r="B615" s="839">
        <v>2904</v>
      </c>
      <c r="C615" s="906">
        <v>12</v>
      </c>
      <c r="D615" s="907">
        <v>46037</v>
      </c>
      <c r="E615" s="839" t="s">
        <v>293</v>
      </c>
      <c r="F615" s="839" t="s">
        <v>227</v>
      </c>
      <c r="G615" s="916">
        <f>VLOOKUP($A615,'Tech Litons'!$A:$I,8,FALSE)</f>
        <v>5.2680000000000001E-3</v>
      </c>
      <c r="H615" s="917">
        <f>VLOOKUP($A615,'Tech Litons'!$A:$I,9,FALSE)</f>
        <v>130</v>
      </c>
      <c r="I615" s="917" t="str">
        <f>VLOOKUP($A615,'Tech Litons'!$A:$C,3,0)</f>
        <v>PG</v>
      </c>
      <c r="J615" s="918" t="str">
        <f t="shared" si="60"/>
        <v>2904PG</v>
      </c>
      <c r="K615" s="919">
        <v>1</v>
      </c>
      <c r="L615" s="920">
        <f t="shared" si="61"/>
        <v>12</v>
      </c>
      <c r="M615" s="920">
        <f t="shared" si="62"/>
        <v>6.3215999999999994E-2</v>
      </c>
      <c r="N615" s="920">
        <f t="shared" si="63"/>
        <v>9.2307692307692313E-2</v>
      </c>
      <c r="O615" s="918" t="str">
        <f t="shared" si="64"/>
        <v>Jan</v>
      </c>
      <c r="P615" s="921">
        <f t="shared" si="65"/>
        <v>3</v>
      </c>
    </row>
    <row r="616" spans="1:16" ht="15" hidden="1" customHeight="1">
      <c r="A616" s="839">
        <v>64341106</v>
      </c>
      <c r="B616" s="839">
        <v>2904</v>
      </c>
      <c r="C616" s="906">
        <v>13</v>
      </c>
      <c r="D616" s="907">
        <v>46037</v>
      </c>
      <c r="E616" s="839" t="s">
        <v>293</v>
      </c>
      <c r="F616" s="839" t="s">
        <v>227</v>
      </c>
      <c r="G616" s="916">
        <f>VLOOKUP($A616,'Tech Litons'!$A:$I,8,FALSE)</f>
        <v>5.2680000000000001E-3</v>
      </c>
      <c r="H616" s="917">
        <f>VLOOKUP($A616,'Tech Litons'!$A:$I,9,FALSE)</f>
        <v>130</v>
      </c>
      <c r="I616" s="917" t="str">
        <f>VLOOKUP($A616,'Tech Litons'!$A:$C,3,0)</f>
        <v>PG</v>
      </c>
      <c r="J616" s="918" t="str">
        <f t="shared" si="60"/>
        <v>2904PG</v>
      </c>
      <c r="K616" s="919">
        <v>1</v>
      </c>
      <c r="L616" s="920">
        <f t="shared" si="61"/>
        <v>13</v>
      </c>
      <c r="M616" s="920">
        <f t="shared" si="62"/>
        <v>6.8484000000000003E-2</v>
      </c>
      <c r="N616" s="920">
        <f t="shared" si="63"/>
        <v>0.1</v>
      </c>
      <c r="O616" s="918" t="str">
        <f t="shared" si="64"/>
        <v>Jan</v>
      </c>
      <c r="P616" s="921">
        <f t="shared" si="65"/>
        <v>3</v>
      </c>
    </row>
    <row r="617" spans="1:16" ht="15" hidden="1" customHeight="1">
      <c r="A617" s="839">
        <v>69568828</v>
      </c>
      <c r="B617" s="839">
        <v>2904</v>
      </c>
      <c r="C617" s="906">
        <v>13</v>
      </c>
      <c r="D617" s="907">
        <v>46037</v>
      </c>
      <c r="E617" s="839" t="s">
        <v>320</v>
      </c>
      <c r="F617" s="839" t="s">
        <v>273</v>
      </c>
      <c r="G617" s="916">
        <f>VLOOKUP($A617,'Tech Litons'!$A:$I,8,FALSE)</f>
        <v>8.5199999999999998E-3</v>
      </c>
      <c r="H617" s="917">
        <f>VLOOKUP($A617,'Tech Litons'!$A:$I,9,FALSE)</f>
        <v>176</v>
      </c>
      <c r="I617" s="917" t="str">
        <f>VLOOKUP($A617,'Tech Litons'!$A:$C,3,0)</f>
        <v>48oz</v>
      </c>
      <c r="J617" s="918" t="str">
        <f t="shared" si="60"/>
        <v>290448oz</v>
      </c>
      <c r="K617" s="919">
        <v>1</v>
      </c>
      <c r="L617" s="920">
        <f t="shared" si="61"/>
        <v>13</v>
      </c>
      <c r="M617" s="920">
        <f t="shared" si="62"/>
        <v>0.11076</v>
      </c>
      <c r="N617" s="920">
        <f t="shared" si="63"/>
        <v>7.3863636363636367E-2</v>
      </c>
      <c r="O617" s="918" t="str">
        <f t="shared" si="64"/>
        <v>Jan</v>
      </c>
      <c r="P617" s="921">
        <f t="shared" si="65"/>
        <v>3</v>
      </c>
    </row>
    <row r="618" spans="1:16" ht="15" hidden="1" customHeight="1">
      <c r="A618" s="839">
        <v>64341106</v>
      </c>
      <c r="B618" s="839">
        <v>2904</v>
      </c>
      <c r="C618" s="906">
        <v>39</v>
      </c>
      <c r="D618" s="907">
        <v>46037</v>
      </c>
      <c r="E618" s="839" t="s">
        <v>293</v>
      </c>
      <c r="F618" s="839" t="s">
        <v>227</v>
      </c>
      <c r="G618" s="916">
        <f>VLOOKUP($A618,'Tech Litons'!$A:$I,8,FALSE)</f>
        <v>5.2680000000000001E-3</v>
      </c>
      <c r="H618" s="917">
        <f>VLOOKUP($A618,'Tech Litons'!$A:$I,9,FALSE)</f>
        <v>130</v>
      </c>
      <c r="I618" s="917" t="str">
        <f>VLOOKUP($A618,'Tech Litons'!$A:$C,3,0)</f>
        <v>PG</v>
      </c>
      <c r="J618" s="918" t="str">
        <f t="shared" si="60"/>
        <v>2904PG</v>
      </c>
      <c r="K618" s="919">
        <v>1</v>
      </c>
      <c r="L618" s="920">
        <f t="shared" si="61"/>
        <v>39</v>
      </c>
      <c r="M618" s="920">
        <f t="shared" si="62"/>
        <v>0.205452</v>
      </c>
      <c r="N618" s="920">
        <f t="shared" si="63"/>
        <v>0.3</v>
      </c>
      <c r="O618" s="918" t="str">
        <f t="shared" si="64"/>
        <v>Jan</v>
      </c>
      <c r="P618" s="921">
        <f t="shared" si="65"/>
        <v>3</v>
      </c>
    </row>
    <row r="619" spans="1:16" ht="15" hidden="1" customHeight="1">
      <c r="A619" s="839">
        <v>69629468</v>
      </c>
      <c r="B619" s="839">
        <v>2904</v>
      </c>
      <c r="C619" s="906">
        <v>85</v>
      </c>
      <c r="D619" s="907">
        <v>46037</v>
      </c>
      <c r="E619" s="839" t="s">
        <v>291</v>
      </c>
      <c r="F619" s="839" t="s">
        <v>226</v>
      </c>
      <c r="G619" s="916">
        <f>VLOOKUP($A619,'Tech Litons'!$A:$I,8,FALSE)</f>
        <v>5.2680000000000001E-3</v>
      </c>
      <c r="H619" s="917">
        <f>VLOOKUP($A619,'Tech Litons'!$A:$I,9,FALSE)</f>
        <v>130</v>
      </c>
      <c r="I619" s="917" t="str">
        <f>VLOOKUP($A619,'Tech Litons'!$A:$C,3,0)</f>
        <v>PG</v>
      </c>
      <c r="J619" s="918" t="str">
        <f t="shared" si="60"/>
        <v>2904PG</v>
      </c>
      <c r="K619" s="919">
        <v>1</v>
      </c>
      <c r="L619" s="920">
        <f t="shared" si="61"/>
        <v>85</v>
      </c>
      <c r="M619" s="920">
        <f t="shared" si="62"/>
        <v>0.44778000000000001</v>
      </c>
      <c r="N619" s="920">
        <f t="shared" si="63"/>
        <v>0.65384615384615385</v>
      </c>
      <c r="O619" s="918" t="str">
        <f t="shared" si="64"/>
        <v>Jan</v>
      </c>
      <c r="P619" s="921">
        <f t="shared" si="65"/>
        <v>3</v>
      </c>
    </row>
    <row r="620" spans="1:16" ht="15" hidden="1" customHeight="1">
      <c r="A620" s="839">
        <v>68746232</v>
      </c>
      <c r="B620" s="839">
        <v>2904</v>
      </c>
      <c r="C620" s="906">
        <v>132</v>
      </c>
      <c r="D620" s="907">
        <v>46037</v>
      </c>
      <c r="E620" s="839" t="s">
        <v>508</v>
      </c>
      <c r="F620" s="839" t="s">
        <v>243</v>
      </c>
      <c r="G620" s="916">
        <f>VLOOKUP($A620,'Tech Litons'!$A:$I,8,FALSE)</f>
        <v>8.5199999999999998E-3</v>
      </c>
      <c r="H620" s="917">
        <f>VLOOKUP($A620,'Tech Litons'!$A:$I,9,FALSE)</f>
        <v>132</v>
      </c>
      <c r="I620" s="917" t="str">
        <f>VLOOKUP($A620,'Tech Litons'!$A:$C,3,0)</f>
        <v>EDF</v>
      </c>
      <c r="J620" s="918" t="str">
        <f t="shared" si="60"/>
        <v>2904EDF</v>
      </c>
      <c r="K620" s="919">
        <v>1</v>
      </c>
      <c r="L620" s="920">
        <f t="shared" si="61"/>
        <v>132</v>
      </c>
      <c r="M620" s="920">
        <f t="shared" si="62"/>
        <v>1.1246399999999999</v>
      </c>
      <c r="N620" s="920">
        <f t="shared" si="63"/>
        <v>1</v>
      </c>
      <c r="O620" s="918" t="str">
        <f t="shared" si="64"/>
        <v>Jan</v>
      </c>
      <c r="P620" s="921">
        <f t="shared" si="65"/>
        <v>3</v>
      </c>
    </row>
    <row r="621" spans="1:16" ht="15" hidden="1" customHeight="1">
      <c r="A621" s="839">
        <v>64874633</v>
      </c>
      <c r="B621" s="839">
        <v>3910</v>
      </c>
      <c r="C621" s="906">
        <v>280</v>
      </c>
      <c r="D621" s="907">
        <v>46037</v>
      </c>
      <c r="E621" s="839" t="s">
        <v>341</v>
      </c>
      <c r="F621" s="839" t="s">
        <v>342</v>
      </c>
      <c r="G621" s="916">
        <f>VLOOKUP($A621,'Tech Litons'!$A:$I,8,FALSE)</f>
        <v>3.192E-3</v>
      </c>
      <c r="H621" s="917">
        <f>VLOOKUP($A621,'Tech Litons'!$A:$I,9,FALSE)</f>
        <v>280</v>
      </c>
      <c r="I621" s="917" t="str">
        <f>VLOOKUP($A621,'Tech Litons'!$A:$C,3,0)</f>
        <v>ESS</v>
      </c>
      <c r="J621" s="918" t="str">
        <f t="shared" si="60"/>
        <v>3910ESS</v>
      </c>
      <c r="K621" s="919">
        <v>1</v>
      </c>
      <c r="L621" s="920">
        <f t="shared" si="61"/>
        <v>280</v>
      </c>
      <c r="M621" s="920">
        <f t="shared" si="62"/>
        <v>0.89376</v>
      </c>
      <c r="N621" s="920">
        <f t="shared" si="63"/>
        <v>1</v>
      </c>
      <c r="O621" s="918" t="str">
        <f t="shared" si="64"/>
        <v>Jan</v>
      </c>
      <c r="P621" s="921">
        <f t="shared" si="65"/>
        <v>3</v>
      </c>
    </row>
    <row r="622" spans="1:16" ht="15" hidden="1" customHeight="1">
      <c r="A622" s="839">
        <v>64389651</v>
      </c>
      <c r="B622" s="839">
        <v>2904</v>
      </c>
      <c r="C622" s="906">
        <v>352</v>
      </c>
      <c r="D622" s="907">
        <v>46037</v>
      </c>
      <c r="E622" s="839" t="s">
        <v>355</v>
      </c>
      <c r="F622" s="839" t="s">
        <v>269</v>
      </c>
      <c r="G622" s="916">
        <f>VLOOKUP($A622,'Tech Litons'!$A:$I,8,FALSE)</f>
        <v>8.5199999999999998E-3</v>
      </c>
      <c r="H622" s="917">
        <f>VLOOKUP($A622,'Tech Litons'!$A:$I,9,FALSE)</f>
        <v>176</v>
      </c>
      <c r="I622" s="917" t="str">
        <f>VLOOKUP($A622,'Tech Litons'!$A:$C,3,0)</f>
        <v>48oz</v>
      </c>
      <c r="J622" s="918" t="str">
        <f t="shared" si="60"/>
        <v>290448oz</v>
      </c>
      <c r="K622" s="919">
        <v>1</v>
      </c>
      <c r="L622" s="920">
        <f t="shared" si="61"/>
        <v>352</v>
      </c>
      <c r="M622" s="920">
        <f t="shared" si="62"/>
        <v>2.9990399999999999</v>
      </c>
      <c r="N622" s="920">
        <f t="shared" si="63"/>
        <v>2</v>
      </c>
      <c r="O622" s="918" t="str">
        <f t="shared" si="64"/>
        <v>Jan</v>
      </c>
      <c r="P622" s="921">
        <f t="shared" si="65"/>
        <v>3</v>
      </c>
    </row>
    <row r="623" spans="1:16" ht="15" hidden="1" customHeight="1">
      <c r="A623" s="839">
        <v>68741742</v>
      </c>
      <c r="B623" s="839">
        <v>2904</v>
      </c>
      <c r="C623" s="906">
        <v>370</v>
      </c>
      <c r="D623" s="907">
        <v>46037</v>
      </c>
      <c r="E623" s="839" t="s">
        <v>288</v>
      </c>
      <c r="F623" s="839" t="s">
        <v>295</v>
      </c>
      <c r="G623" s="916">
        <f>VLOOKUP($A623,'Tech Litons'!$A:$I,8,FALSE)</f>
        <v>4.2560000000000002E-3</v>
      </c>
      <c r="H623" s="917">
        <f>VLOOKUP($A623,'Tech Litons'!$A:$I,9,FALSE)</f>
        <v>154</v>
      </c>
      <c r="I623" s="917" t="str">
        <f>VLOOKUP($A623,'Tech Litons'!$A:$C,3,0)</f>
        <v>MBG</v>
      </c>
      <c r="J623" s="918" t="str">
        <f t="shared" si="60"/>
        <v>2904MBG</v>
      </c>
      <c r="K623" s="919">
        <v>1</v>
      </c>
      <c r="L623" s="920">
        <f t="shared" si="61"/>
        <v>370</v>
      </c>
      <c r="M623" s="920">
        <f t="shared" si="62"/>
        <v>1.5747200000000001</v>
      </c>
      <c r="N623" s="920">
        <f t="shared" si="63"/>
        <v>2.4025974025974026</v>
      </c>
      <c r="O623" s="918" t="str">
        <f t="shared" si="64"/>
        <v>Jan</v>
      </c>
      <c r="P623" s="921">
        <f t="shared" si="65"/>
        <v>3</v>
      </c>
    </row>
    <row r="624" spans="1:16" ht="15" hidden="1" customHeight="1">
      <c r="A624" s="839">
        <v>69629468</v>
      </c>
      <c r="B624" s="839">
        <v>2904</v>
      </c>
      <c r="C624" s="906">
        <v>409</v>
      </c>
      <c r="D624" s="907">
        <v>46037</v>
      </c>
      <c r="E624" s="839" t="s">
        <v>291</v>
      </c>
      <c r="F624" s="839" t="s">
        <v>226</v>
      </c>
      <c r="G624" s="916">
        <f>VLOOKUP($A624,'Tech Litons'!$A:$I,8,FALSE)</f>
        <v>5.2680000000000001E-3</v>
      </c>
      <c r="H624" s="917">
        <f>VLOOKUP($A624,'Tech Litons'!$A:$I,9,FALSE)</f>
        <v>130</v>
      </c>
      <c r="I624" s="917" t="str">
        <f>VLOOKUP($A624,'Tech Litons'!$A:$C,3,0)</f>
        <v>PG</v>
      </c>
      <c r="J624" s="918" t="str">
        <f t="shared" si="60"/>
        <v>2904PG</v>
      </c>
      <c r="K624" s="919">
        <v>1</v>
      </c>
      <c r="L624" s="920">
        <f t="shared" si="61"/>
        <v>409</v>
      </c>
      <c r="M624" s="920">
        <f t="shared" si="62"/>
        <v>2.1546120000000002</v>
      </c>
      <c r="N624" s="920">
        <f t="shared" si="63"/>
        <v>3.1461538461538461</v>
      </c>
      <c r="O624" s="918" t="str">
        <f t="shared" si="64"/>
        <v>Jan</v>
      </c>
      <c r="P624" s="921">
        <f t="shared" si="65"/>
        <v>3</v>
      </c>
    </row>
    <row r="625" spans="1:16" ht="15" hidden="1" customHeight="1">
      <c r="A625" s="839">
        <v>62694914</v>
      </c>
      <c r="B625" s="839">
        <v>2904</v>
      </c>
      <c r="C625" s="906">
        <v>493</v>
      </c>
      <c r="D625" s="907">
        <v>46037</v>
      </c>
      <c r="E625" s="839" t="s">
        <v>488</v>
      </c>
      <c r="F625" s="839" t="s">
        <v>283</v>
      </c>
      <c r="G625" s="916">
        <f>VLOOKUP($A625,'Tech Litons'!$A:$I,8,FALSE)</f>
        <v>1.08E-3</v>
      </c>
      <c r="H625" s="917">
        <f>VLOOKUP($A625,'Tech Litons'!$A:$I,9,FALSE)</f>
        <v>493</v>
      </c>
      <c r="I625" s="917" t="str">
        <f>VLOOKUP($A625,'Tech Litons'!$A:$C,3,0)</f>
        <v>MG Sticks</v>
      </c>
      <c r="J625" s="918" t="str">
        <f t="shared" si="60"/>
        <v>2904MG Sticks</v>
      </c>
      <c r="K625" s="919">
        <v>1</v>
      </c>
      <c r="L625" s="920">
        <f t="shared" si="61"/>
        <v>493</v>
      </c>
      <c r="M625" s="920">
        <f t="shared" si="62"/>
        <v>0.53244000000000002</v>
      </c>
      <c r="N625" s="920">
        <f t="shared" si="63"/>
        <v>1</v>
      </c>
      <c r="O625" s="918" t="str">
        <f t="shared" si="64"/>
        <v>Jan</v>
      </c>
      <c r="P625" s="921">
        <f t="shared" si="65"/>
        <v>3</v>
      </c>
    </row>
    <row r="626" spans="1:16" ht="15" hidden="1" customHeight="1">
      <c r="A626" s="839">
        <v>64341106</v>
      </c>
      <c r="B626" s="839">
        <v>2904</v>
      </c>
      <c r="C626" s="906">
        <v>524</v>
      </c>
      <c r="D626" s="907">
        <v>46037</v>
      </c>
      <c r="E626" s="839" t="s">
        <v>293</v>
      </c>
      <c r="F626" s="839" t="s">
        <v>227</v>
      </c>
      <c r="G626" s="916">
        <f>VLOOKUP($A626,'Tech Litons'!$A:$I,8,FALSE)</f>
        <v>5.2680000000000001E-3</v>
      </c>
      <c r="H626" s="917">
        <f>VLOOKUP($A626,'Tech Litons'!$A:$I,9,FALSE)</f>
        <v>130</v>
      </c>
      <c r="I626" s="917" t="str">
        <f>VLOOKUP($A626,'Tech Litons'!$A:$C,3,0)</f>
        <v>PG</v>
      </c>
      <c r="J626" s="918" t="str">
        <f t="shared" si="60"/>
        <v>2904PG</v>
      </c>
      <c r="K626" s="919">
        <v>1</v>
      </c>
      <c r="L626" s="920">
        <f t="shared" si="61"/>
        <v>524</v>
      </c>
      <c r="M626" s="920">
        <f t="shared" si="62"/>
        <v>2.7604320000000002</v>
      </c>
      <c r="N626" s="920">
        <f t="shared" si="63"/>
        <v>4.0307692307692307</v>
      </c>
      <c r="O626" s="918" t="str">
        <f t="shared" si="64"/>
        <v>Jan</v>
      </c>
      <c r="P626" s="921">
        <f t="shared" si="65"/>
        <v>3</v>
      </c>
    </row>
    <row r="627" spans="1:16" ht="15" hidden="1" customHeight="1">
      <c r="A627" s="839">
        <v>68741742</v>
      </c>
      <c r="B627" s="839">
        <v>2904</v>
      </c>
      <c r="C627" s="906">
        <v>885</v>
      </c>
      <c r="D627" s="907">
        <v>46037</v>
      </c>
      <c r="E627" s="839" t="s">
        <v>288</v>
      </c>
      <c r="F627" s="839" t="s">
        <v>295</v>
      </c>
      <c r="G627" s="916">
        <f>VLOOKUP($A627,'Tech Litons'!$A:$I,8,FALSE)</f>
        <v>4.2560000000000002E-3</v>
      </c>
      <c r="H627" s="917">
        <f>VLOOKUP($A627,'Tech Litons'!$A:$I,9,FALSE)</f>
        <v>154</v>
      </c>
      <c r="I627" s="917" t="str">
        <f>VLOOKUP($A627,'Tech Litons'!$A:$C,3,0)</f>
        <v>MBG</v>
      </c>
      <c r="J627" s="918" t="str">
        <f t="shared" si="60"/>
        <v>2904MBG</v>
      </c>
      <c r="K627" s="919">
        <v>1</v>
      </c>
      <c r="L627" s="920">
        <f t="shared" si="61"/>
        <v>885</v>
      </c>
      <c r="M627" s="920">
        <f t="shared" si="62"/>
        <v>3.7665600000000001</v>
      </c>
      <c r="N627" s="920">
        <f t="shared" si="63"/>
        <v>5.7467532467532472</v>
      </c>
      <c r="O627" s="918" t="str">
        <f t="shared" si="64"/>
        <v>Jan</v>
      </c>
      <c r="P627" s="921">
        <f t="shared" si="65"/>
        <v>3</v>
      </c>
    </row>
    <row r="628" spans="1:16" ht="15" hidden="1" customHeight="1">
      <c r="A628" s="839">
        <v>68300738</v>
      </c>
      <c r="B628" s="839">
        <v>1352</v>
      </c>
      <c r="C628" s="906">
        <v>1056</v>
      </c>
      <c r="D628" s="907">
        <v>46037</v>
      </c>
      <c r="E628" s="839" t="s">
        <v>325</v>
      </c>
      <c r="F628" s="839" t="s">
        <v>240</v>
      </c>
      <c r="G628" s="916">
        <f>VLOOKUP($A628,'Tech Litons'!$A:$I,8,FALSE)</f>
        <v>8.4960000000000001E-3</v>
      </c>
      <c r="H628" s="917">
        <f>VLOOKUP($A628,'Tech Litons'!$A:$I,9,FALSE)</f>
        <v>132</v>
      </c>
      <c r="I628" s="917" t="str">
        <f>VLOOKUP($A628,'Tech Litons'!$A:$C,3,0)</f>
        <v>EDF</v>
      </c>
      <c r="J628" s="918" t="str">
        <f t="shared" si="60"/>
        <v>1352EDF</v>
      </c>
      <c r="K628" s="919">
        <v>1</v>
      </c>
      <c r="L628" s="920">
        <f t="shared" si="61"/>
        <v>1056</v>
      </c>
      <c r="M628" s="920">
        <f t="shared" si="62"/>
        <v>8.9717760000000002</v>
      </c>
      <c r="N628" s="920">
        <f t="shared" si="63"/>
        <v>8</v>
      </c>
      <c r="O628" s="918" t="str">
        <f t="shared" si="64"/>
        <v>Jan</v>
      </c>
      <c r="P628" s="921">
        <f t="shared" si="65"/>
        <v>3</v>
      </c>
    </row>
    <row r="629" spans="1:16" ht="15" hidden="1" customHeight="1">
      <c r="A629" s="839">
        <v>69629468</v>
      </c>
      <c r="B629" s="839">
        <v>2904</v>
      </c>
      <c r="C629" s="906">
        <v>1075</v>
      </c>
      <c r="D629" s="907">
        <v>46037</v>
      </c>
      <c r="E629" s="839" t="s">
        <v>291</v>
      </c>
      <c r="F629" s="839" t="s">
        <v>226</v>
      </c>
      <c r="G629" s="916">
        <f>VLOOKUP($A629,'Tech Litons'!$A:$I,8,FALSE)</f>
        <v>5.2680000000000001E-3</v>
      </c>
      <c r="H629" s="917">
        <f>VLOOKUP($A629,'Tech Litons'!$A:$I,9,FALSE)</f>
        <v>130</v>
      </c>
      <c r="I629" s="917" t="str">
        <f>VLOOKUP($A629,'Tech Litons'!$A:$C,3,0)</f>
        <v>PG</v>
      </c>
      <c r="J629" s="918" t="str">
        <f t="shared" si="60"/>
        <v>2904PG</v>
      </c>
      <c r="K629" s="919">
        <v>1</v>
      </c>
      <c r="L629" s="920">
        <f t="shared" si="61"/>
        <v>1075</v>
      </c>
      <c r="M629" s="920">
        <f t="shared" si="62"/>
        <v>5.6631</v>
      </c>
      <c r="N629" s="920">
        <f t="shared" si="63"/>
        <v>8.2692307692307701</v>
      </c>
      <c r="O629" s="918" t="str">
        <f t="shared" si="64"/>
        <v>Jan</v>
      </c>
      <c r="P629" s="921">
        <f t="shared" si="65"/>
        <v>3</v>
      </c>
    </row>
    <row r="630" spans="1:16" ht="15" hidden="1" customHeight="1">
      <c r="A630" s="839">
        <v>68817801</v>
      </c>
      <c r="B630" s="839">
        <v>2904</v>
      </c>
      <c r="C630" s="906">
        <v>1128</v>
      </c>
      <c r="D630" s="907">
        <v>46037</v>
      </c>
      <c r="E630" s="839" t="s">
        <v>333</v>
      </c>
      <c r="F630" s="839" t="s">
        <v>269</v>
      </c>
      <c r="G630" s="916">
        <f>VLOOKUP($A630,'Tech Litons'!$A:$I,8,FALSE)</f>
        <v>8.5199999999999998E-3</v>
      </c>
      <c r="H630" s="917">
        <f>VLOOKUP($A630,'Tech Litons'!$A:$I,9,FALSE)</f>
        <v>176</v>
      </c>
      <c r="I630" s="917" t="str">
        <f>VLOOKUP($A630,'Tech Litons'!$A:$C,3,0)</f>
        <v>48oz</v>
      </c>
      <c r="J630" s="918" t="str">
        <f t="shared" si="60"/>
        <v>290448oz</v>
      </c>
      <c r="K630" s="919">
        <v>1</v>
      </c>
      <c r="L630" s="920">
        <f t="shared" si="61"/>
        <v>1128</v>
      </c>
      <c r="M630" s="920">
        <f t="shared" si="62"/>
        <v>9.6105599999999995</v>
      </c>
      <c r="N630" s="920">
        <f t="shared" si="63"/>
        <v>6.4090909090909092</v>
      </c>
      <c r="O630" s="918" t="str">
        <f t="shared" si="64"/>
        <v>Jan</v>
      </c>
      <c r="P630" s="921">
        <f t="shared" si="65"/>
        <v>3</v>
      </c>
    </row>
    <row r="631" spans="1:16" ht="15" hidden="1" customHeight="1">
      <c r="A631" s="839">
        <v>69991979</v>
      </c>
      <c r="B631" s="839">
        <v>2904</v>
      </c>
      <c r="C631" s="906">
        <v>1208</v>
      </c>
      <c r="D631" s="907">
        <v>46037</v>
      </c>
      <c r="E631" s="839" t="s">
        <v>334</v>
      </c>
      <c r="F631" s="839" t="s">
        <v>283</v>
      </c>
      <c r="G631" s="916">
        <f>VLOOKUP($A631,'Tech Litons'!$A:$I,8,FALSE)</f>
        <v>2.0400000000000001E-3</v>
      </c>
      <c r="H631" s="917">
        <f>VLOOKUP($A631,'Tech Litons'!$A:$I,9,FALSE)</f>
        <v>210</v>
      </c>
      <c r="I631" s="917" t="str">
        <f>VLOOKUP($A631,'Tech Litons'!$A:$C,3,0)</f>
        <v>MG Sticks</v>
      </c>
      <c r="J631" s="918" t="str">
        <f t="shared" si="60"/>
        <v>2904MG Sticks</v>
      </c>
      <c r="K631" s="919">
        <v>1</v>
      </c>
      <c r="L631" s="920">
        <f t="shared" si="61"/>
        <v>1208</v>
      </c>
      <c r="M631" s="920">
        <f t="shared" si="62"/>
        <v>2.4643200000000003</v>
      </c>
      <c r="N631" s="920">
        <f t="shared" si="63"/>
        <v>5.7523809523809524</v>
      </c>
      <c r="O631" s="918" t="str">
        <f t="shared" si="64"/>
        <v>Jan</v>
      </c>
      <c r="P631" s="921">
        <f t="shared" si="65"/>
        <v>3</v>
      </c>
    </row>
    <row r="632" spans="1:16" ht="15" hidden="1" customHeight="1">
      <c r="A632" s="839">
        <v>69725082</v>
      </c>
      <c r="B632" s="839">
        <v>1352</v>
      </c>
      <c r="C632" s="906">
        <v>1300</v>
      </c>
      <c r="D632" s="907">
        <v>46037</v>
      </c>
      <c r="E632" s="839" t="s">
        <v>292</v>
      </c>
      <c r="F632" s="839" t="s">
        <v>223</v>
      </c>
      <c r="G632" s="916">
        <f>VLOOKUP($A632,'Tech Litons'!$A:$I,8,FALSE)</f>
        <v>5.2680000000000001E-3</v>
      </c>
      <c r="H632" s="917">
        <f>VLOOKUP($A632,'Tech Litons'!$A:$I,9,FALSE)</f>
        <v>130</v>
      </c>
      <c r="I632" s="917" t="str">
        <f>VLOOKUP($A632,'Tech Litons'!$A:$C,3,0)</f>
        <v>PG</v>
      </c>
      <c r="J632" s="918" t="str">
        <f t="shared" si="60"/>
        <v>1352PG</v>
      </c>
      <c r="K632" s="919">
        <v>1</v>
      </c>
      <c r="L632" s="920">
        <f t="shared" si="61"/>
        <v>1300</v>
      </c>
      <c r="M632" s="920">
        <f t="shared" si="62"/>
        <v>6.8483999999999998</v>
      </c>
      <c r="N632" s="920">
        <f t="shared" si="63"/>
        <v>10</v>
      </c>
      <c r="O632" s="918" t="str">
        <f t="shared" si="64"/>
        <v>Jan</v>
      </c>
      <c r="P632" s="921">
        <f t="shared" si="65"/>
        <v>3</v>
      </c>
    </row>
    <row r="633" spans="1:16" ht="15" hidden="1" customHeight="1">
      <c r="A633" s="839">
        <v>68746232</v>
      </c>
      <c r="B633" s="839">
        <v>2904</v>
      </c>
      <c r="C633" s="906">
        <v>1574</v>
      </c>
      <c r="D633" s="907">
        <v>46037</v>
      </c>
      <c r="E633" s="839" t="s">
        <v>508</v>
      </c>
      <c r="F633" s="839" t="s">
        <v>243</v>
      </c>
      <c r="G633" s="916">
        <f>VLOOKUP($A633,'Tech Litons'!$A:$I,8,FALSE)</f>
        <v>8.5199999999999998E-3</v>
      </c>
      <c r="H633" s="917">
        <f>VLOOKUP($A633,'Tech Litons'!$A:$I,9,FALSE)</f>
        <v>132</v>
      </c>
      <c r="I633" s="917" t="str">
        <f>VLOOKUP($A633,'Tech Litons'!$A:$C,3,0)</f>
        <v>EDF</v>
      </c>
      <c r="J633" s="918" t="str">
        <f t="shared" si="60"/>
        <v>2904EDF</v>
      </c>
      <c r="K633" s="919">
        <v>1</v>
      </c>
      <c r="L633" s="920">
        <f t="shared" si="61"/>
        <v>1574</v>
      </c>
      <c r="M633" s="920">
        <f t="shared" si="62"/>
        <v>13.41048</v>
      </c>
      <c r="N633" s="920">
        <f t="shared" si="63"/>
        <v>11.924242424242424</v>
      </c>
      <c r="O633" s="918" t="str">
        <f t="shared" si="64"/>
        <v>Jan</v>
      </c>
      <c r="P633" s="921">
        <f t="shared" si="65"/>
        <v>3</v>
      </c>
    </row>
    <row r="634" spans="1:16" ht="15" hidden="1" customHeight="1">
      <c r="A634" s="839">
        <v>68300738</v>
      </c>
      <c r="B634" s="839">
        <v>1352</v>
      </c>
      <c r="C634" s="906">
        <v>1696</v>
      </c>
      <c r="D634" s="907">
        <v>46037</v>
      </c>
      <c r="E634" s="839" t="s">
        <v>325</v>
      </c>
      <c r="F634" s="839" t="s">
        <v>240</v>
      </c>
      <c r="G634" s="916">
        <f>VLOOKUP($A634,'Tech Litons'!$A:$I,8,FALSE)</f>
        <v>8.4960000000000001E-3</v>
      </c>
      <c r="H634" s="917">
        <f>VLOOKUP($A634,'Tech Litons'!$A:$I,9,FALSE)</f>
        <v>132</v>
      </c>
      <c r="I634" s="917" t="str">
        <f>VLOOKUP($A634,'Tech Litons'!$A:$C,3,0)</f>
        <v>EDF</v>
      </c>
      <c r="J634" s="918" t="str">
        <f t="shared" si="60"/>
        <v>1352EDF</v>
      </c>
      <c r="K634" s="919">
        <v>1</v>
      </c>
      <c r="L634" s="920">
        <f t="shared" si="61"/>
        <v>1696</v>
      </c>
      <c r="M634" s="920">
        <f t="shared" si="62"/>
        <v>14.409216000000001</v>
      </c>
      <c r="N634" s="920">
        <f t="shared" si="63"/>
        <v>12.848484848484848</v>
      </c>
      <c r="O634" s="918" t="str">
        <f t="shared" si="64"/>
        <v>Jan</v>
      </c>
      <c r="P634" s="921">
        <f t="shared" si="65"/>
        <v>3</v>
      </c>
    </row>
    <row r="635" spans="1:16" ht="15" hidden="1" customHeight="1">
      <c r="A635" s="839">
        <v>69700048</v>
      </c>
      <c r="B635" s="839">
        <v>1352</v>
      </c>
      <c r="C635" s="906">
        <v>1800</v>
      </c>
      <c r="D635" s="907">
        <v>46037</v>
      </c>
      <c r="E635" s="839" t="s">
        <v>328</v>
      </c>
      <c r="F635" s="839" t="s">
        <v>287</v>
      </c>
      <c r="G635" s="916">
        <f>VLOOKUP($A635,'Tech Litons'!$A:$I,8,FALSE)</f>
        <v>2.7360000000000002E-3</v>
      </c>
      <c r="H635" s="917">
        <f>VLOOKUP($A635,'Tech Litons'!$A:$I,9,FALSE)</f>
        <v>225</v>
      </c>
      <c r="I635" s="917" t="str">
        <f>VLOOKUP($A635,'Tech Litons'!$A:$C,3,0)</f>
        <v>MBG</v>
      </c>
      <c r="J635" s="918" t="str">
        <f t="shared" si="60"/>
        <v>1352MBG</v>
      </c>
      <c r="K635" s="919">
        <v>1</v>
      </c>
      <c r="L635" s="920">
        <f t="shared" si="61"/>
        <v>1800</v>
      </c>
      <c r="M635" s="920">
        <f t="shared" si="62"/>
        <v>4.9248000000000003</v>
      </c>
      <c r="N635" s="920">
        <f t="shared" si="63"/>
        <v>8</v>
      </c>
      <c r="O635" s="918" t="str">
        <f t="shared" si="64"/>
        <v>Jan</v>
      </c>
      <c r="P635" s="921">
        <f t="shared" si="65"/>
        <v>3</v>
      </c>
    </row>
    <row r="636" spans="1:16" ht="15" hidden="1" customHeight="1">
      <c r="A636" s="839">
        <v>69629468</v>
      </c>
      <c r="B636" s="839">
        <v>1352</v>
      </c>
      <c r="C636" s="906">
        <v>1950</v>
      </c>
      <c r="D636" s="907">
        <v>46037</v>
      </c>
      <c r="E636" s="839" t="s">
        <v>291</v>
      </c>
      <c r="F636" s="839" t="s">
        <v>222</v>
      </c>
      <c r="G636" s="916">
        <f>VLOOKUP($A636,'Tech Litons'!$A:$I,8,FALSE)</f>
        <v>5.2680000000000001E-3</v>
      </c>
      <c r="H636" s="917">
        <f>VLOOKUP($A636,'Tech Litons'!$A:$I,9,FALSE)</f>
        <v>130</v>
      </c>
      <c r="I636" s="917" t="str">
        <f>VLOOKUP($A636,'Tech Litons'!$A:$C,3,0)</f>
        <v>PG</v>
      </c>
      <c r="J636" s="918" t="str">
        <f t="shared" si="60"/>
        <v>1352PG</v>
      </c>
      <c r="K636" s="919">
        <v>1</v>
      </c>
      <c r="L636" s="920">
        <f t="shared" si="61"/>
        <v>1950</v>
      </c>
      <c r="M636" s="920">
        <f t="shared" si="62"/>
        <v>10.272600000000001</v>
      </c>
      <c r="N636" s="920">
        <f t="shared" si="63"/>
        <v>15</v>
      </c>
      <c r="O636" s="918" t="str">
        <f t="shared" si="64"/>
        <v>Jan</v>
      </c>
      <c r="P636" s="921">
        <f t="shared" si="65"/>
        <v>3</v>
      </c>
    </row>
    <row r="637" spans="1:16" ht="15" hidden="1" customHeight="1">
      <c r="A637" s="839">
        <v>69725082</v>
      </c>
      <c r="B637" s="839">
        <v>1352</v>
      </c>
      <c r="C637" s="906">
        <v>2229</v>
      </c>
      <c r="D637" s="907">
        <v>46037</v>
      </c>
      <c r="E637" s="839" t="s">
        <v>292</v>
      </c>
      <c r="F637" s="839" t="s">
        <v>223</v>
      </c>
      <c r="G637" s="916">
        <f>VLOOKUP($A637,'Tech Litons'!$A:$I,8,FALSE)</f>
        <v>5.2680000000000001E-3</v>
      </c>
      <c r="H637" s="917">
        <f>VLOOKUP($A637,'Tech Litons'!$A:$I,9,FALSE)</f>
        <v>130</v>
      </c>
      <c r="I637" s="917" t="str">
        <f>VLOOKUP($A637,'Tech Litons'!$A:$C,3,0)</f>
        <v>PG</v>
      </c>
      <c r="J637" s="918" t="str">
        <f t="shared" si="60"/>
        <v>1352PG</v>
      </c>
      <c r="K637" s="919">
        <v>1</v>
      </c>
      <c r="L637" s="920">
        <f t="shared" si="61"/>
        <v>2229</v>
      </c>
      <c r="M637" s="920">
        <f t="shared" si="62"/>
        <v>11.742372</v>
      </c>
      <c r="N637" s="920">
        <f t="shared" si="63"/>
        <v>17.146153846153847</v>
      </c>
      <c r="O637" s="918" t="str">
        <f t="shared" si="64"/>
        <v>Jan</v>
      </c>
      <c r="P637" s="921">
        <f t="shared" si="65"/>
        <v>3</v>
      </c>
    </row>
    <row r="638" spans="1:16" ht="15" hidden="1" customHeight="1">
      <c r="A638" s="839">
        <v>68741742</v>
      </c>
      <c r="B638" s="839">
        <v>1352</v>
      </c>
      <c r="C638" s="906">
        <v>2310</v>
      </c>
      <c r="D638" s="907">
        <v>46037</v>
      </c>
      <c r="E638" s="839" t="s">
        <v>288</v>
      </c>
      <c r="F638" s="839" t="s">
        <v>289</v>
      </c>
      <c r="G638" s="916">
        <f>VLOOKUP($A638,'Tech Litons'!$A:$I,8,FALSE)</f>
        <v>4.2560000000000002E-3</v>
      </c>
      <c r="H638" s="917">
        <f>VLOOKUP($A638,'Tech Litons'!$A:$I,9,FALSE)</f>
        <v>154</v>
      </c>
      <c r="I638" s="917" t="str">
        <f>VLOOKUP($A638,'Tech Litons'!$A:$C,3,0)</f>
        <v>MBG</v>
      </c>
      <c r="J638" s="918" t="str">
        <f t="shared" si="60"/>
        <v>1352MBG</v>
      </c>
      <c r="K638" s="919">
        <v>1</v>
      </c>
      <c r="L638" s="920">
        <f t="shared" si="61"/>
        <v>2310</v>
      </c>
      <c r="M638" s="920">
        <f t="shared" si="62"/>
        <v>9.8313600000000001</v>
      </c>
      <c r="N638" s="920">
        <f t="shared" si="63"/>
        <v>15</v>
      </c>
      <c r="O638" s="918" t="str">
        <f t="shared" si="64"/>
        <v>Jan</v>
      </c>
      <c r="P638" s="921">
        <f t="shared" si="65"/>
        <v>3</v>
      </c>
    </row>
    <row r="639" spans="1:16" ht="15" hidden="1" customHeight="1">
      <c r="A639" s="839">
        <v>67794167</v>
      </c>
      <c r="B639" s="839">
        <v>5911</v>
      </c>
      <c r="C639" s="906">
        <v>2400</v>
      </c>
      <c r="D639" s="907">
        <v>46037</v>
      </c>
      <c r="E639" s="839" t="s">
        <v>343</v>
      </c>
      <c r="F639" s="839" t="s">
        <v>303</v>
      </c>
      <c r="G639" s="916">
        <f>VLOOKUP($A639,'Tech Litons'!$A:$I,8,FALSE)</f>
        <v>3.7853439999999999E-3</v>
      </c>
      <c r="H639" s="917">
        <f>VLOOKUP($A639,'Tech Litons'!$A:$I,9,FALSE)</f>
        <v>240</v>
      </c>
      <c r="I639" s="917" t="str">
        <f>VLOOKUP($A639,'Tech Litons'!$A:$C,3,0)</f>
        <v>BJ PTS</v>
      </c>
      <c r="J639" s="918" t="str">
        <f t="shared" si="60"/>
        <v>5911BJ PTS</v>
      </c>
      <c r="K639" s="919">
        <v>1</v>
      </c>
      <c r="L639" s="920">
        <f t="shared" si="61"/>
        <v>2400</v>
      </c>
      <c r="M639" s="920">
        <f t="shared" si="62"/>
        <v>9.0848256000000003</v>
      </c>
      <c r="N639" s="920">
        <f t="shared" si="63"/>
        <v>10</v>
      </c>
      <c r="O639" s="918" t="str">
        <f t="shared" si="64"/>
        <v>Jan</v>
      </c>
      <c r="P639" s="921">
        <f t="shared" si="65"/>
        <v>3</v>
      </c>
    </row>
    <row r="640" spans="1:16" ht="15" hidden="1" customHeight="1">
      <c r="A640" s="839">
        <v>64874633</v>
      </c>
      <c r="B640" s="839">
        <v>3910</v>
      </c>
      <c r="C640" s="906">
        <v>2732</v>
      </c>
      <c r="D640" s="907">
        <v>46037</v>
      </c>
      <c r="E640" s="839" t="s">
        <v>341</v>
      </c>
      <c r="F640" s="839" t="s">
        <v>342</v>
      </c>
      <c r="G640" s="916">
        <f>VLOOKUP($A640,'Tech Litons'!$A:$I,8,FALSE)</f>
        <v>3.192E-3</v>
      </c>
      <c r="H640" s="917">
        <f>VLOOKUP($A640,'Tech Litons'!$A:$I,9,FALSE)</f>
        <v>280</v>
      </c>
      <c r="I640" s="917" t="str">
        <f>VLOOKUP($A640,'Tech Litons'!$A:$C,3,0)</f>
        <v>ESS</v>
      </c>
      <c r="J640" s="918" t="str">
        <f t="shared" si="60"/>
        <v>3910ESS</v>
      </c>
      <c r="K640" s="919">
        <v>1</v>
      </c>
      <c r="L640" s="920">
        <f t="shared" si="61"/>
        <v>2732</v>
      </c>
      <c r="M640" s="920">
        <f t="shared" si="62"/>
        <v>8.7205440000000003</v>
      </c>
      <c r="N640" s="920">
        <f t="shared" si="63"/>
        <v>9.757142857142858</v>
      </c>
      <c r="O640" s="918" t="str">
        <f t="shared" si="64"/>
        <v>Jan</v>
      </c>
      <c r="P640" s="921">
        <f t="shared" si="65"/>
        <v>3</v>
      </c>
    </row>
    <row r="641" spans="1:16" ht="15" hidden="1" customHeight="1">
      <c r="A641" s="839">
        <v>68689251</v>
      </c>
      <c r="B641" s="839">
        <v>1352</v>
      </c>
      <c r="C641" s="906">
        <v>2772</v>
      </c>
      <c r="D641" s="907">
        <v>46037</v>
      </c>
      <c r="E641" s="839" t="s">
        <v>262</v>
      </c>
      <c r="F641" s="839" t="s">
        <v>242</v>
      </c>
      <c r="G641" s="916">
        <f>VLOOKUP($A641,'Tech Litons'!$A:$I,8,FALSE)</f>
        <v>9.5760000000000012E-3</v>
      </c>
      <c r="H641" s="917">
        <f>VLOOKUP($A641,'Tech Litons'!$A:$I,9,FALSE)</f>
        <v>132</v>
      </c>
      <c r="I641" s="917" t="str">
        <f>VLOOKUP($A641,'Tech Litons'!$A:$C,3,0)</f>
        <v>EDF</v>
      </c>
      <c r="J641" s="918" t="str">
        <f t="shared" si="60"/>
        <v>1352EDF</v>
      </c>
      <c r="K641" s="919">
        <v>1</v>
      </c>
      <c r="L641" s="920">
        <f t="shared" si="61"/>
        <v>2772</v>
      </c>
      <c r="M641" s="920">
        <f t="shared" si="62"/>
        <v>26.544672000000002</v>
      </c>
      <c r="N641" s="920">
        <f t="shared" si="63"/>
        <v>21</v>
      </c>
      <c r="O641" s="918" t="str">
        <f t="shared" si="64"/>
        <v>Jan</v>
      </c>
      <c r="P641" s="921">
        <f t="shared" si="65"/>
        <v>3</v>
      </c>
    </row>
    <row r="642" spans="1:16" ht="15" hidden="1" customHeight="1">
      <c r="A642" s="839">
        <v>68867755</v>
      </c>
      <c r="B642" s="839">
        <v>2904</v>
      </c>
      <c r="C642" s="906">
        <v>2972</v>
      </c>
      <c r="D642" s="907">
        <v>46037</v>
      </c>
      <c r="E642" s="839" t="s">
        <v>274</v>
      </c>
      <c r="F642" s="839" t="s">
        <v>275</v>
      </c>
      <c r="G642" s="916">
        <f>VLOOKUP($A642,'Tech Litons'!$A:$I,8,FALSE)</f>
        <v>3.552E-3</v>
      </c>
      <c r="H642" s="917">
        <f>VLOOKUP($A642,'Tech Litons'!$A:$I,9,FALSE)</f>
        <v>255</v>
      </c>
      <c r="I642" s="917" t="str">
        <f>VLOOKUP($A642,'Tech Litons'!$A:$C,3,0)</f>
        <v>Talenti</v>
      </c>
      <c r="J642" s="918" t="str">
        <f t="shared" si="60"/>
        <v>2904Talenti</v>
      </c>
      <c r="K642" s="919">
        <v>1</v>
      </c>
      <c r="L642" s="920">
        <f t="shared" si="61"/>
        <v>2972</v>
      </c>
      <c r="M642" s="920">
        <f t="shared" si="62"/>
        <v>10.556544000000001</v>
      </c>
      <c r="N642" s="920">
        <f t="shared" si="63"/>
        <v>11.654901960784313</v>
      </c>
      <c r="O642" s="918" t="str">
        <f t="shared" si="64"/>
        <v>Jan</v>
      </c>
      <c r="P642" s="921">
        <f t="shared" si="65"/>
        <v>3</v>
      </c>
    </row>
    <row r="643" spans="1:16" ht="15" hidden="1" customHeight="1">
      <c r="A643" s="839">
        <v>68851107</v>
      </c>
      <c r="B643" s="839">
        <v>1352</v>
      </c>
      <c r="C643" s="906">
        <v>2990</v>
      </c>
      <c r="D643" s="907">
        <v>46037</v>
      </c>
      <c r="E643" s="839" t="s">
        <v>272</v>
      </c>
      <c r="F643" s="839" t="s">
        <v>290</v>
      </c>
      <c r="G643" s="916">
        <f>VLOOKUP($A643,'Tech Litons'!$A:$I,8,FALSE)</f>
        <v>8.5199999999999998E-3</v>
      </c>
      <c r="H643" s="917">
        <f>VLOOKUP($A643,'Tech Litons'!$A:$I,9,FALSE)</f>
        <v>176</v>
      </c>
      <c r="I643" s="917" t="str">
        <f>VLOOKUP($A643,'Tech Litons'!$A:$C,3,0)</f>
        <v>48oz</v>
      </c>
      <c r="J643" s="918" t="str">
        <f t="shared" si="60"/>
        <v>135248oz</v>
      </c>
      <c r="K643" s="919">
        <v>1</v>
      </c>
      <c r="L643" s="920">
        <f t="shared" si="61"/>
        <v>2990</v>
      </c>
      <c r="M643" s="920">
        <f t="shared" si="62"/>
        <v>25.474799999999998</v>
      </c>
      <c r="N643" s="920">
        <f t="shared" si="63"/>
        <v>16.988636363636363</v>
      </c>
      <c r="O643" s="918" t="str">
        <f t="shared" si="64"/>
        <v>Jan</v>
      </c>
      <c r="P643" s="921">
        <f t="shared" si="65"/>
        <v>3</v>
      </c>
    </row>
    <row r="644" spans="1:16" ht="15" hidden="1" customHeight="1">
      <c r="A644" s="839">
        <v>68741742</v>
      </c>
      <c r="B644" s="839">
        <v>1352</v>
      </c>
      <c r="C644" s="906">
        <v>3247</v>
      </c>
      <c r="D644" s="907">
        <v>46037</v>
      </c>
      <c r="E644" s="839" t="s">
        <v>288</v>
      </c>
      <c r="F644" s="839" t="s">
        <v>289</v>
      </c>
      <c r="G644" s="916">
        <f>VLOOKUP($A644,'Tech Litons'!$A:$I,8,FALSE)</f>
        <v>4.2560000000000002E-3</v>
      </c>
      <c r="H644" s="917">
        <f>VLOOKUP($A644,'Tech Litons'!$A:$I,9,FALSE)</f>
        <v>154</v>
      </c>
      <c r="I644" s="917" t="str">
        <f>VLOOKUP($A644,'Tech Litons'!$A:$C,3,0)</f>
        <v>MBG</v>
      </c>
      <c r="J644" s="918" t="str">
        <f t="shared" si="60"/>
        <v>1352MBG</v>
      </c>
      <c r="K644" s="919">
        <v>1</v>
      </c>
      <c r="L644" s="920">
        <f t="shared" si="61"/>
        <v>3247</v>
      </c>
      <c r="M644" s="920">
        <f t="shared" si="62"/>
        <v>13.819232000000001</v>
      </c>
      <c r="N644" s="920">
        <f t="shared" si="63"/>
        <v>21.084415584415584</v>
      </c>
      <c r="O644" s="918" t="str">
        <f t="shared" si="64"/>
        <v>Jan</v>
      </c>
      <c r="P644" s="921">
        <f t="shared" si="65"/>
        <v>3</v>
      </c>
    </row>
    <row r="645" spans="1:16" ht="15" hidden="1" customHeight="1">
      <c r="A645" s="839">
        <v>64977526</v>
      </c>
      <c r="B645" s="839">
        <v>1352</v>
      </c>
      <c r="C645" s="906">
        <v>3287</v>
      </c>
      <c r="D645" s="907">
        <v>46037</v>
      </c>
      <c r="E645" s="839" t="s">
        <v>323</v>
      </c>
      <c r="F645" s="839" t="s">
        <v>266</v>
      </c>
      <c r="G645" s="916">
        <f>VLOOKUP($A645,'Tech Litons'!$A:$I,8,FALSE)</f>
        <v>8.513999999999999E-3</v>
      </c>
      <c r="H645" s="917">
        <f>VLOOKUP($A645,'Tech Litons'!$A:$I,9,FALSE)</f>
        <v>176</v>
      </c>
      <c r="I645" s="917" t="str">
        <f>VLOOKUP($A645,'Tech Litons'!$A:$C,3,0)</f>
        <v>48oz</v>
      </c>
      <c r="J645" s="918" t="str">
        <f t="shared" si="60"/>
        <v>135248oz</v>
      </c>
      <c r="K645" s="919">
        <v>1</v>
      </c>
      <c r="L645" s="920">
        <f t="shared" si="61"/>
        <v>3287</v>
      </c>
      <c r="M645" s="920">
        <f t="shared" si="62"/>
        <v>27.985517999999995</v>
      </c>
      <c r="N645" s="920">
        <f t="shared" si="63"/>
        <v>18.676136363636363</v>
      </c>
      <c r="O645" s="918" t="str">
        <f t="shared" si="64"/>
        <v>Jan</v>
      </c>
      <c r="P645" s="921">
        <f t="shared" si="65"/>
        <v>3</v>
      </c>
    </row>
    <row r="646" spans="1:16" ht="15" hidden="1" customHeight="1">
      <c r="A646" s="839">
        <v>69700048</v>
      </c>
      <c r="B646" s="839">
        <v>1352</v>
      </c>
      <c r="C646" s="906">
        <v>3318</v>
      </c>
      <c r="D646" s="907">
        <v>46037</v>
      </c>
      <c r="E646" s="839" t="s">
        <v>328</v>
      </c>
      <c r="F646" s="839" t="s">
        <v>287</v>
      </c>
      <c r="G646" s="916">
        <f>VLOOKUP($A646,'Tech Litons'!$A:$I,8,FALSE)</f>
        <v>2.7360000000000002E-3</v>
      </c>
      <c r="H646" s="917">
        <f>VLOOKUP($A646,'Tech Litons'!$A:$I,9,FALSE)</f>
        <v>225</v>
      </c>
      <c r="I646" s="917" t="str">
        <f>VLOOKUP($A646,'Tech Litons'!$A:$C,3,0)</f>
        <v>MBG</v>
      </c>
      <c r="J646" s="918" t="str">
        <f t="shared" si="60"/>
        <v>1352MBG</v>
      </c>
      <c r="K646" s="919">
        <v>1</v>
      </c>
      <c r="L646" s="920">
        <f t="shared" si="61"/>
        <v>3318</v>
      </c>
      <c r="M646" s="920">
        <f t="shared" si="62"/>
        <v>9.0780480000000008</v>
      </c>
      <c r="N646" s="920">
        <f t="shared" si="63"/>
        <v>14.746666666666666</v>
      </c>
      <c r="O646" s="918" t="str">
        <f t="shared" si="64"/>
        <v>Jan</v>
      </c>
      <c r="P646" s="921">
        <f t="shared" si="65"/>
        <v>3</v>
      </c>
    </row>
    <row r="647" spans="1:16" ht="15" hidden="1" customHeight="1">
      <c r="A647" s="839">
        <v>69629468</v>
      </c>
      <c r="B647" s="839">
        <v>1352</v>
      </c>
      <c r="C647" s="906">
        <v>3411</v>
      </c>
      <c r="D647" s="907">
        <v>46037</v>
      </c>
      <c r="E647" s="839" t="s">
        <v>291</v>
      </c>
      <c r="F647" s="839" t="s">
        <v>222</v>
      </c>
      <c r="G647" s="916">
        <f>VLOOKUP($A647,'Tech Litons'!$A:$I,8,FALSE)</f>
        <v>5.2680000000000001E-3</v>
      </c>
      <c r="H647" s="917">
        <f>VLOOKUP($A647,'Tech Litons'!$A:$I,9,FALSE)</f>
        <v>130</v>
      </c>
      <c r="I647" s="917" t="str">
        <f>VLOOKUP($A647,'Tech Litons'!$A:$C,3,0)</f>
        <v>PG</v>
      </c>
      <c r="J647" s="918" t="str">
        <f t="shared" si="60"/>
        <v>1352PG</v>
      </c>
      <c r="K647" s="919">
        <v>1</v>
      </c>
      <c r="L647" s="920">
        <f t="shared" si="61"/>
        <v>3411</v>
      </c>
      <c r="M647" s="920">
        <f t="shared" si="62"/>
        <v>17.969148000000001</v>
      </c>
      <c r="N647" s="920">
        <f t="shared" si="63"/>
        <v>26.238461538461539</v>
      </c>
      <c r="O647" s="918" t="str">
        <f t="shared" si="64"/>
        <v>Jan</v>
      </c>
      <c r="P647" s="921">
        <f t="shared" si="65"/>
        <v>3</v>
      </c>
    </row>
    <row r="648" spans="1:16" ht="15" hidden="1" customHeight="1">
      <c r="A648" s="839">
        <v>64393719</v>
      </c>
      <c r="B648" s="839">
        <v>2904</v>
      </c>
      <c r="C648" s="906">
        <v>3432</v>
      </c>
      <c r="D648" s="907">
        <v>46037</v>
      </c>
      <c r="E648" s="839" t="s">
        <v>331</v>
      </c>
      <c r="F648" s="839" t="s">
        <v>231</v>
      </c>
      <c r="G648" s="916">
        <f>VLOOKUP($A648,'Tech Litons'!$A:$I,8,FALSE)</f>
        <v>4.2560000000000002E-3</v>
      </c>
      <c r="H648" s="917">
        <f>VLOOKUP($A648,'Tech Litons'!$A:$I,9,FALSE)</f>
        <v>143</v>
      </c>
      <c r="I648" s="917" t="str">
        <f>VLOOKUP($A648,'Tech Litons'!$A:$C,3,0)</f>
        <v>MG Sticks</v>
      </c>
      <c r="J648" s="918" t="str">
        <f t="shared" si="60"/>
        <v>2904MG Sticks</v>
      </c>
      <c r="K648" s="919">
        <v>1</v>
      </c>
      <c r="L648" s="920">
        <f t="shared" si="61"/>
        <v>3432</v>
      </c>
      <c r="M648" s="920">
        <f t="shared" si="62"/>
        <v>14.606592000000001</v>
      </c>
      <c r="N648" s="920">
        <f t="shared" si="63"/>
        <v>24</v>
      </c>
      <c r="O648" s="918" t="str">
        <f t="shared" si="64"/>
        <v>Jan</v>
      </c>
      <c r="P648" s="921">
        <f t="shared" si="65"/>
        <v>3</v>
      </c>
    </row>
    <row r="649" spans="1:16" ht="15" hidden="1" customHeight="1">
      <c r="A649" s="839">
        <v>68850683</v>
      </c>
      <c r="B649" s="839">
        <v>1352</v>
      </c>
      <c r="C649" s="906">
        <v>3492</v>
      </c>
      <c r="D649" s="907">
        <v>46037</v>
      </c>
      <c r="E649" s="839" t="s">
        <v>311</v>
      </c>
      <c r="F649" s="839" t="s">
        <v>264</v>
      </c>
      <c r="G649" s="916">
        <f>VLOOKUP($A649,'Tech Litons'!$A:$I,8,FALSE)</f>
        <v>8.5199999999999998E-3</v>
      </c>
      <c r="H649" s="917">
        <f>VLOOKUP($A649,'Tech Litons'!$A:$I,9,FALSE)</f>
        <v>176</v>
      </c>
      <c r="I649" s="917" t="str">
        <f>VLOOKUP($A649,'Tech Litons'!$A:$C,3,0)</f>
        <v>48oz</v>
      </c>
      <c r="J649" s="918" t="str">
        <f t="shared" si="60"/>
        <v>135248oz</v>
      </c>
      <c r="K649" s="919">
        <v>1</v>
      </c>
      <c r="L649" s="920">
        <f t="shared" si="61"/>
        <v>3492</v>
      </c>
      <c r="M649" s="920">
        <f t="shared" si="62"/>
        <v>29.751839999999998</v>
      </c>
      <c r="N649" s="920">
        <f t="shared" si="63"/>
        <v>19.84090909090909</v>
      </c>
      <c r="O649" s="918" t="str">
        <f t="shared" si="64"/>
        <v>Jan</v>
      </c>
      <c r="P649" s="921">
        <f t="shared" si="65"/>
        <v>3</v>
      </c>
    </row>
    <row r="650" spans="1:16" ht="15" hidden="1" customHeight="1">
      <c r="A650" s="839">
        <v>64389650</v>
      </c>
      <c r="B650" s="839">
        <v>2904</v>
      </c>
      <c r="C650" s="906">
        <v>3527</v>
      </c>
      <c r="D650" s="907">
        <v>46037</v>
      </c>
      <c r="E650" s="839" t="s">
        <v>330</v>
      </c>
      <c r="F650" s="839" t="s">
        <v>271</v>
      </c>
      <c r="G650" s="916">
        <f>VLOOKUP($A650,'Tech Litons'!$A:$I,8,FALSE)</f>
        <v>8.5199999999999998E-3</v>
      </c>
      <c r="H650" s="917">
        <f>VLOOKUP($A650,'Tech Litons'!$A:$I,9,FALSE)</f>
        <v>176</v>
      </c>
      <c r="I650" s="917" t="str">
        <f>VLOOKUP($A650,'Tech Litons'!$A:$C,3,0)</f>
        <v>48oz</v>
      </c>
      <c r="J650" s="918" t="str">
        <f t="shared" si="60"/>
        <v>290448oz</v>
      </c>
      <c r="K650" s="919">
        <v>1</v>
      </c>
      <c r="L650" s="920">
        <f t="shared" si="61"/>
        <v>3527</v>
      </c>
      <c r="M650" s="920">
        <f t="shared" si="62"/>
        <v>30.050039999999999</v>
      </c>
      <c r="N650" s="920">
        <f t="shared" si="63"/>
        <v>20.039772727272727</v>
      </c>
      <c r="O650" s="918" t="str">
        <f t="shared" si="64"/>
        <v>Jan</v>
      </c>
      <c r="P650" s="921">
        <f t="shared" si="65"/>
        <v>3</v>
      </c>
    </row>
    <row r="651" spans="1:16" ht="15" hidden="1" customHeight="1">
      <c r="A651" s="839">
        <v>68354588</v>
      </c>
      <c r="B651" s="839">
        <v>2904</v>
      </c>
      <c r="C651" s="906">
        <v>3762</v>
      </c>
      <c r="D651" s="907">
        <v>46037</v>
      </c>
      <c r="E651" s="839" t="s">
        <v>332</v>
      </c>
      <c r="F651" s="839" t="s">
        <v>40</v>
      </c>
      <c r="G651" s="916">
        <f>VLOOKUP($A651,'Tech Litons'!$A:$I,8,FALSE)</f>
        <v>3.5999999999999999E-3</v>
      </c>
      <c r="H651" s="917">
        <f>VLOOKUP($A651,'Tech Litons'!$A:$I,9,FALSE)</f>
        <v>240</v>
      </c>
      <c r="I651" s="917" t="str">
        <f>VLOOKUP($A651,'Tech Litons'!$A:$C,3,0)</f>
        <v>Topped</v>
      </c>
      <c r="J651" s="918" t="str">
        <f t="shared" si="60"/>
        <v>2904Topped</v>
      </c>
      <c r="K651" s="919">
        <v>1</v>
      </c>
      <c r="L651" s="920">
        <f t="shared" si="61"/>
        <v>3762</v>
      </c>
      <c r="M651" s="920">
        <f t="shared" si="62"/>
        <v>13.543199999999999</v>
      </c>
      <c r="N651" s="920">
        <f t="shared" si="63"/>
        <v>15.675000000000001</v>
      </c>
      <c r="O651" s="918" t="str">
        <f t="shared" si="64"/>
        <v>Jan</v>
      </c>
      <c r="P651" s="921">
        <f t="shared" si="65"/>
        <v>3</v>
      </c>
    </row>
    <row r="652" spans="1:16" ht="15" hidden="1" customHeight="1">
      <c r="A652" s="839">
        <v>68852591</v>
      </c>
      <c r="B652" s="839">
        <v>1352</v>
      </c>
      <c r="C652" s="906">
        <v>3861</v>
      </c>
      <c r="D652" s="907">
        <v>46037</v>
      </c>
      <c r="E652" s="839" t="s">
        <v>326</v>
      </c>
      <c r="F652" s="839" t="s">
        <v>241</v>
      </c>
      <c r="G652" s="916">
        <f>VLOOKUP($A652,'Tech Litons'!$A:$I,8,FALSE)</f>
        <v>8.5199999999999998E-3</v>
      </c>
      <c r="H652" s="917">
        <f>VLOOKUP($A652,'Tech Litons'!$A:$I,9,FALSE)</f>
        <v>132</v>
      </c>
      <c r="I652" s="917" t="str">
        <f>VLOOKUP($A652,'Tech Litons'!$A:$C,3,0)</f>
        <v>EDF</v>
      </c>
      <c r="J652" s="918" t="str">
        <f t="shared" si="60"/>
        <v>1352EDF</v>
      </c>
      <c r="K652" s="919">
        <v>1</v>
      </c>
      <c r="L652" s="920">
        <f t="shared" si="61"/>
        <v>3861</v>
      </c>
      <c r="M652" s="920">
        <f t="shared" si="62"/>
        <v>32.895719999999997</v>
      </c>
      <c r="N652" s="920">
        <f t="shared" si="63"/>
        <v>29.25</v>
      </c>
      <c r="O652" s="918" t="str">
        <f t="shared" si="64"/>
        <v>Jan</v>
      </c>
      <c r="P652" s="921">
        <f t="shared" si="65"/>
        <v>3</v>
      </c>
    </row>
    <row r="653" spans="1:16" ht="15" hidden="1" customHeight="1">
      <c r="A653" s="839">
        <v>68689251</v>
      </c>
      <c r="B653" s="839">
        <v>1352</v>
      </c>
      <c r="C653" s="906">
        <v>3924</v>
      </c>
      <c r="D653" s="907">
        <v>46037</v>
      </c>
      <c r="E653" s="839" t="s">
        <v>262</v>
      </c>
      <c r="F653" s="839" t="s">
        <v>242</v>
      </c>
      <c r="G653" s="916">
        <f>VLOOKUP($A653,'Tech Litons'!$A:$I,8,FALSE)</f>
        <v>9.5760000000000012E-3</v>
      </c>
      <c r="H653" s="917">
        <f>VLOOKUP($A653,'Tech Litons'!$A:$I,9,FALSE)</f>
        <v>132</v>
      </c>
      <c r="I653" s="917" t="str">
        <f>VLOOKUP($A653,'Tech Litons'!$A:$C,3,0)</f>
        <v>EDF</v>
      </c>
      <c r="J653" s="918" t="str">
        <f t="shared" si="60"/>
        <v>1352EDF</v>
      </c>
      <c r="K653" s="919">
        <v>1</v>
      </c>
      <c r="L653" s="920">
        <f t="shared" si="61"/>
        <v>3924</v>
      </c>
      <c r="M653" s="920">
        <f t="shared" si="62"/>
        <v>37.576224000000003</v>
      </c>
      <c r="N653" s="920">
        <f t="shared" si="63"/>
        <v>29.727272727272727</v>
      </c>
      <c r="O653" s="918" t="str">
        <f t="shared" si="64"/>
        <v>Jan</v>
      </c>
      <c r="P653" s="921">
        <f t="shared" si="65"/>
        <v>3</v>
      </c>
    </row>
    <row r="654" spans="1:16" ht="15" hidden="1" customHeight="1">
      <c r="A654" s="839">
        <v>68354588</v>
      </c>
      <c r="B654" s="839">
        <v>2904</v>
      </c>
      <c r="C654" s="906">
        <v>5176</v>
      </c>
      <c r="D654" s="907">
        <v>46037</v>
      </c>
      <c r="E654" s="839" t="s">
        <v>332</v>
      </c>
      <c r="F654" s="839" t="s">
        <v>40</v>
      </c>
      <c r="G654" s="916">
        <f>VLOOKUP($A654,'Tech Litons'!$A:$I,8,FALSE)</f>
        <v>3.5999999999999999E-3</v>
      </c>
      <c r="H654" s="917">
        <f>VLOOKUP($A654,'Tech Litons'!$A:$I,9,FALSE)</f>
        <v>240</v>
      </c>
      <c r="I654" s="917" t="str">
        <f>VLOOKUP($A654,'Tech Litons'!$A:$C,3,0)</f>
        <v>Topped</v>
      </c>
      <c r="J654" s="918" t="str">
        <f t="shared" si="60"/>
        <v>2904Topped</v>
      </c>
      <c r="K654" s="919">
        <v>1</v>
      </c>
      <c r="L654" s="920">
        <f t="shared" si="61"/>
        <v>5176</v>
      </c>
      <c r="M654" s="920">
        <f t="shared" si="62"/>
        <v>18.633599999999998</v>
      </c>
      <c r="N654" s="920">
        <f t="shared" si="63"/>
        <v>21.566666666666666</v>
      </c>
      <c r="O654" s="918" t="str">
        <f t="shared" si="64"/>
        <v>Jan</v>
      </c>
      <c r="P654" s="921">
        <f t="shared" si="65"/>
        <v>3</v>
      </c>
    </row>
    <row r="655" spans="1:16" ht="15" hidden="1" customHeight="1">
      <c r="A655" s="839">
        <v>64393719</v>
      </c>
      <c r="B655" s="839">
        <v>2904</v>
      </c>
      <c r="C655" s="906">
        <v>5272</v>
      </c>
      <c r="D655" s="907">
        <v>46037</v>
      </c>
      <c r="E655" s="839" t="s">
        <v>331</v>
      </c>
      <c r="F655" s="839" t="s">
        <v>231</v>
      </c>
      <c r="G655" s="916">
        <f>VLOOKUP($A655,'Tech Litons'!$A:$I,8,FALSE)</f>
        <v>4.2560000000000002E-3</v>
      </c>
      <c r="H655" s="917">
        <f>VLOOKUP($A655,'Tech Litons'!$A:$I,9,FALSE)</f>
        <v>143</v>
      </c>
      <c r="I655" s="917" t="str">
        <f>VLOOKUP($A655,'Tech Litons'!$A:$C,3,0)</f>
        <v>MG Sticks</v>
      </c>
      <c r="J655" s="918" t="str">
        <f t="shared" si="60"/>
        <v>2904MG Sticks</v>
      </c>
      <c r="K655" s="919">
        <v>1</v>
      </c>
      <c r="L655" s="920">
        <f t="shared" si="61"/>
        <v>5272</v>
      </c>
      <c r="M655" s="920">
        <f t="shared" si="62"/>
        <v>22.437632000000001</v>
      </c>
      <c r="N655" s="920">
        <f t="shared" si="63"/>
        <v>36.867132867132867</v>
      </c>
      <c r="O655" s="918" t="str">
        <f t="shared" si="64"/>
        <v>Jan</v>
      </c>
      <c r="P655" s="921">
        <f t="shared" si="65"/>
        <v>3</v>
      </c>
    </row>
    <row r="656" spans="1:16" ht="15" hidden="1" customHeight="1">
      <c r="A656" s="839">
        <v>67794169</v>
      </c>
      <c r="B656" s="839">
        <v>5914</v>
      </c>
      <c r="C656" s="906">
        <v>5520</v>
      </c>
      <c r="D656" s="907">
        <v>46037</v>
      </c>
      <c r="E656" s="839" t="s">
        <v>352</v>
      </c>
      <c r="F656" s="839" t="s">
        <v>279</v>
      </c>
      <c r="G656" s="916">
        <f>VLOOKUP($A656,'Tech Litons'!$A:$I,8,FALSE)</f>
        <v>3.7853439999999999E-3</v>
      </c>
      <c r="H656" s="917">
        <f>VLOOKUP($A656,'Tech Litons'!$A:$I,9,FALSE)</f>
        <v>240</v>
      </c>
      <c r="I656" s="917" t="str">
        <f>VLOOKUP($A656,'Tech Litons'!$A:$C,3,0)</f>
        <v>BJ PTS</v>
      </c>
      <c r="J656" s="918" t="str">
        <f t="shared" si="60"/>
        <v>5914BJ PTS</v>
      </c>
      <c r="K656" s="919">
        <v>1</v>
      </c>
      <c r="L656" s="920">
        <f t="shared" si="61"/>
        <v>5520</v>
      </c>
      <c r="M656" s="920">
        <f t="shared" si="62"/>
        <v>20.895098879999999</v>
      </c>
      <c r="N656" s="920">
        <f t="shared" si="63"/>
        <v>23</v>
      </c>
      <c r="O656" s="918" t="str">
        <f t="shared" si="64"/>
        <v>Jan</v>
      </c>
      <c r="P656" s="921">
        <f t="shared" si="65"/>
        <v>3</v>
      </c>
    </row>
    <row r="657" spans="1:16" ht="15" hidden="1" customHeight="1">
      <c r="A657" s="839">
        <v>64330596</v>
      </c>
      <c r="B657" s="839">
        <v>2904</v>
      </c>
      <c r="C657" s="906">
        <v>5632</v>
      </c>
      <c r="D657" s="907">
        <v>46037</v>
      </c>
      <c r="E657" s="839" t="s">
        <v>280</v>
      </c>
      <c r="F657" s="839" t="s">
        <v>281</v>
      </c>
      <c r="G657" s="916">
        <f>VLOOKUP($A657,'Tech Litons'!$A:$I,8,FALSE)</f>
        <v>1.98E-3</v>
      </c>
      <c r="H657" s="917">
        <f>VLOOKUP($A657,'Tech Litons'!$A:$I,9,FALSE)</f>
        <v>176</v>
      </c>
      <c r="I657" s="917" t="str">
        <f>VLOOKUP($A657,'Tech Litons'!$A:$C,3,0)</f>
        <v>MG Sticks</v>
      </c>
      <c r="J657" s="918" t="str">
        <f t="shared" si="60"/>
        <v>2904MG Sticks</v>
      </c>
      <c r="K657" s="919">
        <v>1</v>
      </c>
      <c r="L657" s="920">
        <f t="shared" si="61"/>
        <v>5632</v>
      </c>
      <c r="M657" s="920">
        <f t="shared" si="62"/>
        <v>11.15136</v>
      </c>
      <c r="N657" s="920">
        <f t="shared" si="63"/>
        <v>32</v>
      </c>
      <c r="O657" s="918" t="str">
        <f t="shared" si="64"/>
        <v>Jan</v>
      </c>
      <c r="P657" s="921">
        <f t="shared" si="65"/>
        <v>3</v>
      </c>
    </row>
    <row r="658" spans="1:16" ht="15" hidden="1" customHeight="1">
      <c r="A658" s="839">
        <v>69999267</v>
      </c>
      <c r="B658" s="839">
        <v>2904</v>
      </c>
      <c r="C658" s="906">
        <v>5809</v>
      </c>
      <c r="D658" s="907">
        <v>46037</v>
      </c>
      <c r="E658" s="839" t="s">
        <v>335</v>
      </c>
      <c r="F658" s="839" t="s">
        <v>299</v>
      </c>
      <c r="G658" s="916">
        <f>VLOOKUP($A658,'Tech Litons'!$A:$I,8,FALSE)</f>
        <v>3.7839999999999996E-3</v>
      </c>
      <c r="H658" s="917">
        <f>VLOOKUP($A658,'Tech Litons'!$A:$I,9,FALSE)</f>
        <v>240</v>
      </c>
      <c r="I658" s="917" t="str">
        <f>VLOOKUP($A658,'Tech Litons'!$A:$C,3,0)</f>
        <v>BJ PTS</v>
      </c>
      <c r="J658" s="918" t="str">
        <f t="shared" ref="J658:J721" si="66">B658&amp;I658</f>
        <v>2904BJ PTS</v>
      </c>
      <c r="K658" s="919">
        <v>1</v>
      </c>
      <c r="L658" s="920">
        <f t="shared" ref="L658:L721" si="67">C658*$K658</f>
        <v>5809</v>
      </c>
      <c r="M658" s="920">
        <f t="shared" ref="M658:M721" si="68">L658*G658</f>
        <v>21.981255999999998</v>
      </c>
      <c r="N658" s="920">
        <f t="shared" ref="N658:N721" si="69">L658/H658</f>
        <v>24.204166666666666</v>
      </c>
      <c r="O658" s="918" t="str">
        <f t="shared" ref="O658:O721" si="70">TEXT(D658,"MMM")</f>
        <v>Jan</v>
      </c>
      <c r="P658" s="921">
        <f t="shared" ref="P658:P721" si="71">WEEKNUM(D658)</f>
        <v>3</v>
      </c>
    </row>
    <row r="659" spans="1:16" ht="15" hidden="1" customHeight="1">
      <c r="A659" s="839">
        <v>68867755</v>
      </c>
      <c r="B659" s="839">
        <v>2904</v>
      </c>
      <c r="C659" s="906">
        <v>6032</v>
      </c>
      <c r="D659" s="907">
        <v>46037</v>
      </c>
      <c r="E659" s="839" t="s">
        <v>274</v>
      </c>
      <c r="F659" s="839" t="s">
        <v>275</v>
      </c>
      <c r="G659" s="916">
        <f>VLOOKUP($A659,'Tech Litons'!$A:$I,8,FALSE)</f>
        <v>3.552E-3</v>
      </c>
      <c r="H659" s="917">
        <f>VLOOKUP($A659,'Tech Litons'!$A:$I,9,FALSE)</f>
        <v>255</v>
      </c>
      <c r="I659" s="917" t="str">
        <f>VLOOKUP($A659,'Tech Litons'!$A:$C,3,0)</f>
        <v>Talenti</v>
      </c>
      <c r="J659" s="918" t="str">
        <f t="shared" si="66"/>
        <v>2904Talenti</v>
      </c>
      <c r="K659" s="919">
        <v>1</v>
      </c>
      <c r="L659" s="920">
        <f t="shared" si="67"/>
        <v>6032</v>
      </c>
      <c r="M659" s="920">
        <f t="shared" si="68"/>
        <v>21.425664000000001</v>
      </c>
      <c r="N659" s="920">
        <f t="shared" si="69"/>
        <v>23.654901960784315</v>
      </c>
      <c r="O659" s="918" t="str">
        <f t="shared" si="70"/>
        <v>Jan</v>
      </c>
      <c r="P659" s="921">
        <f t="shared" si="71"/>
        <v>3</v>
      </c>
    </row>
    <row r="660" spans="1:16" ht="15" hidden="1" customHeight="1">
      <c r="A660" s="839">
        <v>64977526</v>
      </c>
      <c r="B660" s="839">
        <v>1352</v>
      </c>
      <c r="C660" s="906">
        <v>6164</v>
      </c>
      <c r="D660" s="907">
        <v>46037</v>
      </c>
      <c r="E660" s="839" t="s">
        <v>323</v>
      </c>
      <c r="F660" s="839" t="s">
        <v>266</v>
      </c>
      <c r="G660" s="916">
        <f>VLOOKUP($A660,'Tech Litons'!$A:$I,8,FALSE)</f>
        <v>8.513999999999999E-3</v>
      </c>
      <c r="H660" s="917">
        <f>VLOOKUP($A660,'Tech Litons'!$A:$I,9,FALSE)</f>
        <v>176</v>
      </c>
      <c r="I660" s="917" t="str">
        <f>VLOOKUP($A660,'Tech Litons'!$A:$C,3,0)</f>
        <v>48oz</v>
      </c>
      <c r="J660" s="918" t="str">
        <f t="shared" si="66"/>
        <v>135248oz</v>
      </c>
      <c r="K660" s="919">
        <v>1</v>
      </c>
      <c r="L660" s="920">
        <f t="shared" si="67"/>
        <v>6164</v>
      </c>
      <c r="M660" s="920">
        <f t="shared" si="68"/>
        <v>52.480295999999996</v>
      </c>
      <c r="N660" s="920">
        <f t="shared" si="69"/>
        <v>35.022727272727273</v>
      </c>
      <c r="O660" s="918" t="str">
        <f t="shared" si="70"/>
        <v>Jan</v>
      </c>
      <c r="P660" s="921">
        <f t="shared" si="71"/>
        <v>3</v>
      </c>
    </row>
    <row r="661" spans="1:16" ht="15" hidden="1" customHeight="1">
      <c r="A661" s="839">
        <v>64330596</v>
      </c>
      <c r="B661" s="839">
        <v>2904</v>
      </c>
      <c r="C661" s="906">
        <v>6239</v>
      </c>
      <c r="D661" s="907">
        <v>46037</v>
      </c>
      <c r="E661" s="839" t="s">
        <v>280</v>
      </c>
      <c r="F661" s="839" t="s">
        <v>281</v>
      </c>
      <c r="G661" s="916">
        <f>VLOOKUP($A661,'Tech Litons'!$A:$I,8,FALSE)</f>
        <v>1.98E-3</v>
      </c>
      <c r="H661" s="917">
        <f>VLOOKUP($A661,'Tech Litons'!$A:$I,9,FALSE)</f>
        <v>176</v>
      </c>
      <c r="I661" s="917" t="str">
        <f>VLOOKUP($A661,'Tech Litons'!$A:$C,3,0)</f>
        <v>MG Sticks</v>
      </c>
      <c r="J661" s="918" t="str">
        <f t="shared" si="66"/>
        <v>2904MG Sticks</v>
      </c>
      <c r="K661" s="919">
        <v>1</v>
      </c>
      <c r="L661" s="920">
        <f t="shared" si="67"/>
        <v>6239</v>
      </c>
      <c r="M661" s="920">
        <f t="shared" si="68"/>
        <v>12.35322</v>
      </c>
      <c r="N661" s="920">
        <f t="shared" si="69"/>
        <v>35.448863636363633</v>
      </c>
      <c r="O661" s="918" t="str">
        <f t="shared" si="70"/>
        <v>Jan</v>
      </c>
      <c r="P661" s="921">
        <f t="shared" si="71"/>
        <v>3</v>
      </c>
    </row>
    <row r="662" spans="1:16" ht="15" hidden="1" customHeight="1">
      <c r="A662" s="839">
        <v>64958122</v>
      </c>
      <c r="B662" s="839">
        <v>2904</v>
      </c>
      <c r="C662" s="906">
        <v>6435</v>
      </c>
      <c r="D662" s="907">
        <v>46037</v>
      </c>
      <c r="E662" s="839" t="s">
        <v>236</v>
      </c>
      <c r="F662" s="839" t="s">
        <v>234</v>
      </c>
      <c r="G662" s="916">
        <f>VLOOKUP($A662,'Tech Litons'!$A:$I,8,FALSE)</f>
        <v>3.3119999999999998E-3</v>
      </c>
      <c r="H662" s="917">
        <f>VLOOKUP($A662,'Tech Litons'!$A:$I,9,FALSE)</f>
        <v>165</v>
      </c>
      <c r="I662" s="917" t="str">
        <f>VLOOKUP($A662,'Tech Litons'!$A:$C,3,0)</f>
        <v>Yasso Sticks</v>
      </c>
      <c r="J662" s="918" t="str">
        <f t="shared" si="66"/>
        <v>2904Yasso Sticks</v>
      </c>
      <c r="K662" s="919">
        <v>1</v>
      </c>
      <c r="L662" s="920">
        <f t="shared" si="67"/>
        <v>6435</v>
      </c>
      <c r="M662" s="920">
        <f t="shared" si="68"/>
        <v>21.312719999999999</v>
      </c>
      <c r="N662" s="920">
        <f t="shared" si="69"/>
        <v>39</v>
      </c>
      <c r="O662" s="918" t="str">
        <f t="shared" si="70"/>
        <v>Jan</v>
      </c>
      <c r="P662" s="921">
        <f t="shared" si="71"/>
        <v>3</v>
      </c>
    </row>
    <row r="663" spans="1:16" ht="15" hidden="1" customHeight="1">
      <c r="A663" s="839">
        <v>68817801</v>
      </c>
      <c r="B663" s="839">
        <v>2904</v>
      </c>
      <c r="C663" s="906">
        <v>6930</v>
      </c>
      <c r="D663" s="907">
        <v>46037</v>
      </c>
      <c r="E663" s="839" t="s">
        <v>333</v>
      </c>
      <c r="F663" s="839" t="s">
        <v>269</v>
      </c>
      <c r="G663" s="916">
        <f>VLOOKUP($A663,'Tech Litons'!$A:$I,8,FALSE)</f>
        <v>8.5199999999999998E-3</v>
      </c>
      <c r="H663" s="917">
        <f>VLOOKUP($A663,'Tech Litons'!$A:$I,9,FALSE)</f>
        <v>176</v>
      </c>
      <c r="I663" s="917" t="str">
        <f>VLOOKUP($A663,'Tech Litons'!$A:$C,3,0)</f>
        <v>48oz</v>
      </c>
      <c r="J663" s="918" t="str">
        <f t="shared" si="66"/>
        <v>290448oz</v>
      </c>
      <c r="K663" s="919">
        <v>1</v>
      </c>
      <c r="L663" s="920">
        <f t="shared" si="67"/>
        <v>6930</v>
      </c>
      <c r="M663" s="920">
        <f t="shared" si="68"/>
        <v>59.043599999999998</v>
      </c>
      <c r="N663" s="920">
        <f t="shared" si="69"/>
        <v>39.375</v>
      </c>
      <c r="O663" s="918" t="str">
        <f t="shared" si="70"/>
        <v>Jan</v>
      </c>
      <c r="P663" s="921">
        <f t="shared" si="71"/>
        <v>3</v>
      </c>
    </row>
    <row r="664" spans="1:16" ht="15" hidden="1" customHeight="1">
      <c r="A664" s="839">
        <v>64389650</v>
      </c>
      <c r="B664" s="839">
        <v>2904</v>
      </c>
      <c r="C664" s="906">
        <v>7392</v>
      </c>
      <c r="D664" s="907">
        <v>46037</v>
      </c>
      <c r="E664" s="839" t="s">
        <v>330</v>
      </c>
      <c r="F664" s="839" t="s">
        <v>271</v>
      </c>
      <c r="G664" s="916">
        <f>VLOOKUP($A664,'Tech Litons'!$A:$I,8,FALSE)</f>
        <v>8.5199999999999998E-3</v>
      </c>
      <c r="H664" s="917">
        <f>VLOOKUP($A664,'Tech Litons'!$A:$I,9,FALSE)</f>
        <v>176</v>
      </c>
      <c r="I664" s="917" t="str">
        <f>VLOOKUP($A664,'Tech Litons'!$A:$C,3,0)</f>
        <v>48oz</v>
      </c>
      <c r="J664" s="918" t="str">
        <f t="shared" si="66"/>
        <v>290448oz</v>
      </c>
      <c r="K664" s="919">
        <v>1</v>
      </c>
      <c r="L664" s="920">
        <f t="shared" si="67"/>
        <v>7392</v>
      </c>
      <c r="M664" s="920">
        <f t="shared" si="68"/>
        <v>62.979839999999996</v>
      </c>
      <c r="N664" s="920">
        <f t="shared" si="69"/>
        <v>42</v>
      </c>
      <c r="O664" s="918" t="str">
        <f t="shared" si="70"/>
        <v>Jan</v>
      </c>
      <c r="P664" s="921">
        <f t="shared" si="71"/>
        <v>3</v>
      </c>
    </row>
    <row r="665" spans="1:16" ht="15" hidden="1" customHeight="1">
      <c r="A665" s="839">
        <v>69991979</v>
      </c>
      <c r="B665" s="839">
        <v>2904</v>
      </c>
      <c r="C665" s="906">
        <v>7733</v>
      </c>
      <c r="D665" s="907">
        <v>46037</v>
      </c>
      <c r="E665" s="839" t="s">
        <v>334</v>
      </c>
      <c r="F665" s="839" t="s">
        <v>283</v>
      </c>
      <c r="G665" s="916">
        <f>VLOOKUP($A665,'Tech Litons'!$A:$I,8,FALSE)</f>
        <v>2.0400000000000001E-3</v>
      </c>
      <c r="H665" s="917">
        <f>VLOOKUP($A665,'Tech Litons'!$A:$I,9,FALSE)</f>
        <v>210</v>
      </c>
      <c r="I665" s="917" t="str">
        <f>VLOOKUP($A665,'Tech Litons'!$A:$C,3,0)</f>
        <v>MG Sticks</v>
      </c>
      <c r="J665" s="918" t="str">
        <f t="shared" si="66"/>
        <v>2904MG Sticks</v>
      </c>
      <c r="K665" s="919">
        <v>1</v>
      </c>
      <c r="L665" s="920">
        <f t="shared" si="67"/>
        <v>7733</v>
      </c>
      <c r="M665" s="920">
        <f t="shared" si="68"/>
        <v>15.775320000000001</v>
      </c>
      <c r="N665" s="920">
        <f t="shared" si="69"/>
        <v>36.823809523809523</v>
      </c>
      <c r="O665" s="918" t="str">
        <f t="shared" si="70"/>
        <v>Jan</v>
      </c>
      <c r="P665" s="921">
        <f t="shared" si="71"/>
        <v>3</v>
      </c>
    </row>
    <row r="666" spans="1:16" ht="15" hidden="1" customHeight="1">
      <c r="A666" s="839">
        <v>68851107</v>
      </c>
      <c r="B666" s="839">
        <v>1352</v>
      </c>
      <c r="C666" s="906">
        <v>8366</v>
      </c>
      <c r="D666" s="907">
        <v>46037</v>
      </c>
      <c r="E666" s="839" t="s">
        <v>272</v>
      </c>
      <c r="F666" s="839" t="s">
        <v>290</v>
      </c>
      <c r="G666" s="916">
        <f>VLOOKUP($A666,'Tech Litons'!$A:$I,8,FALSE)</f>
        <v>8.5199999999999998E-3</v>
      </c>
      <c r="H666" s="917">
        <f>VLOOKUP($A666,'Tech Litons'!$A:$I,9,FALSE)</f>
        <v>176</v>
      </c>
      <c r="I666" s="917" t="str">
        <f>VLOOKUP($A666,'Tech Litons'!$A:$C,3,0)</f>
        <v>48oz</v>
      </c>
      <c r="J666" s="918" t="str">
        <f t="shared" si="66"/>
        <v>135248oz</v>
      </c>
      <c r="K666" s="919">
        <v>1</v>
      </c>
      <c r="L666" s="920">
        <f t="shared" si="67"/>
        <v>8366</v>
      </c>
      <c r="M666" s="920">
        <f t="shared" si="68"/>
        <v>71.278319999999994</v>
      </c>
      <c r="N666" s="920">
        <f t="shared" si="69"/>
        <v>47.534090909090907</v>
      </c>
      <c r="O666" s="918" t="str">
        <f t="shared" si="70"/>
        <v>Jan</v>
      </c>
      <c r="P666" s="921">
        <f t="shared" si="71"/>
        <v>3</v>
      </c>
    </row>
    <row r="667" spans="1:16" ht="15" hidden="1" customHeight="1">
      <c r="A667" s="839">
        <v>68851108</v>
      </c>
      <c r="B667" s="839">
        <v>2904</v>
      </c>
      <c r="C667" s="906">
        <v>8448</v>
      </c>
      <c r="D667" s="907">
        <v>46037</v>
      </c>
      <c r="E667" s="839" t="s">
        <v>296</v>
      </c>
      <c r="F667" s="839" t="s">
        <v>273</v>
      </c>
      <c r="G667" s="916">
        <f>VLOOKUP($A667,'Tech Litons'!$A:$I,8,FALSE)</f>
        <v>8.5199999999999998E-3</v>
      </c>
      <c r="H667" s="917">
        <f>VLOOKUP($A667,'Tech Litons'!$A:$I,9,FALSE)</f>
        <v>176</v>
      </c>
      <c r="I667" s="917" t="str">
        <f>VLOOKUP($A667,'Tech Litons'!$A:$C,3,0)</f>
        <v>48oz</v>
      </c>
      <c r="J667" s="918" t="str">
        <f t="shared" si="66"/>
        <v>290448oz</v>
      </c>
      <c r="K667" s="919">
        <v>1</v>
      </c>
      <c r="L667" s="920">
        <f t="shared" si="67"/>
        <v>8448</v>
      </c>
      <c r="M667" s="920">
        <f t="shared" si="68"/>
        <v>71.976959999999991</v>
      </c>
      <c r="N667" s="920">
        <f t="shared" si="69"/>
        <v>48</v>
      </c>
      <c r="O667" s="918" t="str">
        <f t="shared" si="70"/>
        <v>Jan</v>
      </c>
      <c r="P667" s="921">
        <f t="shared" si="71"/>
        <v>3</v>
      </c>
    </row>
    <row r="668" spans="1:16" ht="15" hidden="1" customHeight="1">
      <c r="A668" s="839">
        <v>64958122</v>
      </c>
      <c r="B668" s="839">
        <v>2904</v>
      </c>
      <c r="C668" s="906">
        <v>9900</v>
      </c>
      <c r="D668" s="907">
        <v>46037</v>
      </c>
      <c r="E668" s="839" t="s">
        <v>236</v>
      </c>
      <c r="F668" s="839" t="s">
        <v>234</v>
      </c>
      <c r="G668" s="916">
        <f>VLOOKUP($A668,'Tech Litons'!$A:$I,8,FALSE)</f>
        <v>3.3119999999999998E-3</v>
      </c>
      <c r="H668" s="917">
        <f>VLOOKUP($A668,'Tech Litons'!$A:$I,9,FALSE)</f>
        <v>165</v>
      </c>
      <c r="I668" s="917" t="str">
        <f>VLOOKUP($A668,'Tech Litons'!$A:$C,3,0)</f>
        <v>Yasso Sticks</v>
      </c>
      <c r="J668" s="918" t="str">
        <f t="shared" si="66"/>
        <v>2904Yasso Sticks</v>
      </c>
      <c r="K668" s="919">
        <v>1</v>
      </c>
      <c r="L668" s="920">
        <f t="shared" si="67"/>
        <v>9900</v>
      </c>
      <c r="M668" s="920">
        <f t="shared" si="68"/>
        <v>32.788800000000002</v>
      </c>
      <c r="N668" s="920">
        <f t="shared" si="69"/>
        <v>60</v>
      </c>
      <c r="O668" s="918" t="str">
        <f t="shared" si="70"/>
        <v>Jan</v>
      </c>
      <c r="P668" s="921">
        <f t="shared" si="71"/>
        <v>3</v>
      </c>
    </row>
    <row r="669" spans="1:16" ht="15" hidden="1" customHeight="1">
      <c r="A669" s="839">
        <v>68851108</v>
      </c>
      <c r="B669" s="839">
        <v>2904</v>
      </c>
      <c r="C669" s="906">
        <v>11611</v>
      </c>
      <c r="D669" s="907">
        <v>46037</v>
      </c>
      <c r="E669" s="839" t="s">
        <v>296</v>
      </c>
      <c r="F669" s="839" t="s">
        <v>273</v>
      </c>
      <c r="G669" s="916">
        <f>VLOOKUP($A669,'Tech Litons'!$A:$I,8,FALSE)</f>
        <v>8.5199999999999998E-3</v>
      </c>
      <c r="H669" s="917">
        <f>VLOOKUP($A669,'Tech Litons'!$A:$I,9,FALSE)</f>
        <v>176</v>
      </c>
      <c r="I669" s="917" t="str">
        <f>VLOOKUP($A669,'Tech Litons'!$A:$C,3,0)</f>
        <v>48oz</v>
      </c>
      <c r="J669" s="918" t="str">
        <f t="shared" si="66"/>
        <v>290448oz</v>
      </c>
      <c r="K669" s="919">
        <v>1</v>
      </c>
      <c r="L669" s="920">
        <f t="shared" si="67"/>
        <v>11611</v>
      </c>
      <c r="M669" s="920">
        <f t="shared" si="68"/>
        <v>98.925719999999998</v>
      </c>
      <c r="N669" s="920">
        <f t="shared" si="69"/>
        <v>65.971590909090907</v>
      </c>
      <c r="O669" s="918" t="str">
        <f t="shared" si="70"/>
        <v>Jan</v>
      </c>
      <c r="P669" s="921">
        <f t="shared" si="71"/>
        <v>3</v>
      </c>
    </row>
    <row r="670" spans="1:16" ht="15" hidden="1" customHeight="1">
      <c r="A670" s="839">
        <v>68922108</v>
      </c>
      <c r="B670" s="839">
        <v>2904</v>
      </c>
      <c r="C670" s="906">
        <v>14781</v>
      </c>
      <c r="D670" s="907">
        <v>46037</v>
      </c>
      <c r="E670" s="839" t="s">
        <v>276</v>
      </c>
      <c r="F670" s="839" t="s">
        <v>277</v>
      </c>
      <c r="G670" s="916">
        <f>VLOOKUP($A670,'Tech Litons'!$A:$I,8,FALSE)</f>
        <v>3.7839999999999996E-3</v>
      </c>
      <c r="H670" s="917">
        <f>VLOOKUP($A670,'Tech Litons'!$A:$I,9,FALSE)</f>
        <v>255</v>
      </c>
      <c r="I670" s="917" t="str">
        <f>VLOOKUP($A670,'Tech Litons'!$A:$C,3,0)</f>
        <v>TALENTI</v>
      </c>
      <c r="J670" s="918" t="str">
        <f t="shared" si="66"/>
        <v>2904TALENTI</v>
      </c>
      <c r="K670" s="919">
        <v>1</v>
      </c>
      <c r="L670" s="920">
        <f t="shared" si="67"/>
        <v>14781</v>
      </c>
      <c r="M670" s="920">
        <f t="shared" si="68"/>
        <v>55.931303999999997</v>
      </c>
      <c r="N670" s="920">
        <f t="shared" si="69"/>
        <v>57.964705882352938</v>
      </c>
      <c r="O670" s="918" t="str">
        <f t="shared" si="70"/>
        <v>Jan</v>
      </c>
      <c r="P670" s="921">
        <f t="shared" si="71"/>
        <v>3</v>
      </c>
    </row>
    <row r="671" spans="1:16" ht="15" hidden="1" customHeight="1">
      <c r="A671" s="839">
        <v>67881628</v>
      </c>
      <c r="B671" s="839">
        <v>5914</v>
      </c>
      <c r="C671" s="906">
        <v>15120</v>
      </c>
      <c r="D671" s="907">
        <v>46037</v>
      </c>
      <c r="E671" s="839" t="s">
        <v>345</v>
      </c>
      <c r="F671" s="839" t="s">
        <v>303</v>
      </c>
      <c r="G671" s="916">
        <f>VLOOKUP($A671,'Tech Litons'!$A:$I,8,FALSE)</f>
        <v>3.7853439999999999E-3</v>
      </c>
      <c r="H671" s="917">
        <f>VLOOKUP($A671,'Tech Litons'!$A:$I,9,FALSE)</f>
        <v>240</v>
      </c>
      <c r="I671" s="917" t="str">
        <f>VLOOKUP($A671,'Tech Litons'!$A:$C,3,0)</f>
        <v>BJ PTS</v>
      </c>
      <c r="J671" s="918" t="str">
        <f t="shared" si="66"/>
        <v>5914BJ PTS</v>
      </c>
      <c r="K671" s="919">
        <v>1</v>
      </c>
      <c r="L671" s="920">
        <f t="shared" si="67"/>
        <v>15120</v>
      </c>
      <c r="M671" s="920">
        <f t="shared" si="68"/>
        <v>57.23440128</v>
      </c>
      <c r="N671" s="920">
        <f t="shared" si="69"/>
        <v>63</v>
      </c>
      <c r="O671" s="918" t="str">
        <f t="shared" si="70"/>
        <v>Jan</v>
      </c>
      <c r="P671" s="921">
        <f t="shared" si="71"/>
        <v>3</v>
      </c>
    </row>
    <row r="672" spans="1:16" ht="15" hidden="1" customHeight="1">
      <c r="A672" s="839">
        <v>67789314</v>
      </c>
      <c r="B672" s="839">
        <v>5914</v>
      </c>
      <c r="C672" s="906">
        <v>15600</v>
      </c>
      <c r="D672" s="907">
        <v>46037</v>
      </c>
      <c r="E672" s="839" t="s">
        <v>344</v>
      </c>
      <c r="F672" s="839" t="s">
        <v>303</v>
      </c>
      <c r="G672" s="916">
        <f>VLOOKUP($A672,'Tech Litons'!$A:$I,8,FALSE)</f>
        <v>3.7853439999999999E-3</v>
      </c>
      <c r="H672" s="917">
        <f>VLOOKUP($A672,'Tech Litons'!$A:$I,9,FALSE)</f>
        <v>240</v>
      </c>
      <c r="I672" s="917" t="str">
        <f>VLOOKUP($A672,'Tech Litons'!$A:$C,3,0)</f>
        <v>BJ PTS</v>
      </c>
      <c r="J672" s="918" t="str">
        <f t="shared" si="66"/>
        <v>5914BJ PTS</v>
      </c>
      <c r="K672" s="919">
        <v>1</v>
      </c>
      <c r="L672" s="920">
        <f t="shared" si="67"/>
        <v>15600</v>
      </c>
      <c r="M672" s="920">
        <f t="shared" si="68"/>
        <v>59.051366399999999</v>
      </c>
      <c r="N672" s="920">
        <f t="shared" si="69"/>
        <v>65</v>
      </c>
      <c r="O672" s="918" t="str">
        <f t="shared" si="70"/>
        <v>Jan</v>
      </c>
      <c r="P672" s="921">
        <f t="shared" si="71"/>
        <v>3</v>
      </c>
    </row>
    <row r="673" spans="1:16" ht="15" hidden="1" customHeight="1">
      <c r="A673" s="839">
        <v>68922108</v>
      </c>
      <c r="B673" s="839">
        <v>2904</v>
      </c>
      <c r="C673" s="906">
        <v>16501</v>
      </c>
      <c r="D673" s="907">
        <v>46037</v>
      </c>
      <c r="E673" s="839" t="s">
        <v>276</v>
      </c>
      <c r="F673" s="839" t="s">
        <v>277</v>
      </c>
      <c r="G673" s="916">
        <f>VLOOKUP($A673,'Tech Litons'!$A:$I,8,FALSE)</f>
        <v>3.7839999999999996E-3</v>
      </c>
      <c r="H673" s="917">
        <f>VLOOKUP($A673,'Tech Litons'!$A:$I,9,FALSE)</f>
        <v>255</v>
      </c>
      <c r="I673" s="917" t="str">
        <f>VLOOKUP($A673,'Tech Litons'!$A:$C,3,0)</f>
        <v>TALENTI</v>
      </c>
      <c r="J673" s="918" t="str">
        <f t="shared" si="66"/>
        <v>2904TALENTI</v>
      </c>
      <c r="K673" s="919">
        <v>1</v>
      </c>
      <c r="L673" s="920">
        <f t="shared" si="67"/>
        <v>16501</v>
      </c>
      <c r="M673" s="920">
        <f t="shared" si="68"/>
        <v>62.439783999999996</v>
      </c>
      <c r="N673" s="920">
        <f t="shared" si="69"/>
        <v>64.709803921568621</v>
      </c>
      <c r="O673" s="918" t="str">
        <f t="shared" si="70"/>
        <v>Jan</v>
      </c>
      <c r="P673" s="921">
        <f t="shared" si="71"/>
        <v>3</v>
      </c>
    </row>
    <row r="674" spans="1:16" ht="15" hidden="1" customHeight="1">
      <c r="A674" s="839">
        <v>67803006</v>
      </c>
      <c r="B674" s="839">
        <v>5914</v>
      </c>
      <c r="C674" s="906">
        <v>20489</v>
      </c>
      <c r="D674" s="907">
        <v>46037</v>
      </c>
      <c r="E674" s="839" t="s">
        <v>346</v>
      </c>
      <c r="F674" s="839" t="s">
        <v>279</v>
      </c>
      <c r="G674" s="916">
        <f>VLOOKUP($A674,'Tech Litons'!$A:$I,8,FALSE)</f>
        <v>3.7839999999999996E-3</v>
      </c>
      <c r="H674" s="917">
        <f>VLOOKUP($A674,'Tech Litons'!$A:$I,9,FALSE)</f>
        <v>240</v>
      </c>
      <c r="I674" s="917" t="str">
        <f>VLOOKUP($A674,'Tech Litons'!$A:$C,3,0)</f>
        <v>PTS Exports</v>
      </c>
      <c r="J674" s="918" t="str">
        <f t="shared" si="66"/>
        <v>5914PTS Exports</v>
      </c>
      <c r="K674" s="919">
        <v>1</v>
      </c>
      <c r="L674" s="920">
        <f t="shared" si="67"/>
        <v>20489</v>
      </c>
      <c r="M674" s="920">
        <f t="shared" si="68"/>
        <v>77.53037599999999</v>
      </c>
      <c r="N674" s="920">
        <f t="shared" si="69"/>
        <v>85.370833333333337</v>
      </c>
      <c r="O674" s="918" t="str">
        <f t="shared" si="70"/>
        <v>Jan</v>
      </c>
      <c r="P674" s="921">
        <f t="shared" si="71"/>
        <v>3</v>
      </c>
    </row>
    <row r="675" spans="1:16" ht="15" hidden="1" customHeight="1">
      <c r="A675" s="839">
        <v>67803006</v>
      </c>
      <c r="B675" s="839">
        <v>5914</v>
      </c>
      <c r="C675" s="906">
        <v>-796</v>
      </c>
      <c r="D675" s="907">
        <v>46038</v>
      </c>
      <c r="E675" s="839" t="s">
        <v>346</v>
      </c>
      <c r="F675" s="839" t="s">
        <v>279</v>
      </c>
      <c r="G675" s="916">
        <f>VLOOKUP($A675,'Tech Litons'!$A:$I,8,FALSE)</f>
        <v>3.7839999999999996E-3</v>
      </c>
      <c r="H675" s="917">
        <f>VLOOKUP($A675,'Tech Litons'!$A:$I,9,FALSE)</f>
        <v>240</v>
      </c>
      <c r="I675" s="917" t="str">
        <f>VLOOKUP($A675,'Tech Litons'!$A:$C,3,0)</f>
        <v>PTS Exports</v>
      </c>
      <c r="J675" s="918" t="str">
        <f t="shared" si="66"/>
        <v>5914PTS Exports</v>
      </c>
      <c r="K675" s="919">
        <v>1</v>
      </c>
      <c r="L675" s="920">
        <f t="shared" si="67"/>
        <v>-796</v>
      </c>
      <c r="M675" s="920">
        <f t="shared" si="68"/>
        <v>-3.0120639999999996</v>
      </c>
      <c r="N675" s="920">
        <f t="shared" si="69"/>
        <v>-3.3166666666666669</v>
      </c>
      <c r="O675" s="918" t="str">
        <f t="shared" si="70"/>
        <v>Jan</v>
      </c>
      <c r="P675" s="921">
        <f t="shared" si="71"/>
        <v>3</v>
      </c>
    </row>
    <row r="676" spans="1:16" ht="15" hidden="1" customHeight="1">
      <c r="A676" s="839">
        <v>68817801</v>
      </c>
      <c r="B676" s="839">
        <v>2904</v>
      </c>
      <c r="C676" s="906">
        <v>8</v>
      </c>
      <c r="D676" s="907">
        <v>46038</v>
      </c>
      <c r="E676" s="839" t="s">
        <v>333</v>
      </c>
      <c r="F676" s="839" t="s">
        <v>269</v>
      </c>
      <c r="G676" s="916">
        <f>VLOOKUP($A676,'Tech Litons'!$A:$I,8,FALSE)</f>
        <v>8.5199999999999998E-3</v>
      </c>
      <c r="H676" s="917">
        <f>VLOOKUP($A676,'Tech Litons'!$A:$I,9,FALSE)</f>
        <v>176</v>
      </c>
      <c r="I676" s="917" t="str">
        <f>VLOOKUP($A676,'Tech Litons'!$A:$C,3,0)</f>
        <v>48oz</v>
      </c>
      <c r="J676" s="918" t="str">
        <f t="shared" si="66"/>
        <v>290448oz</v>
      </c>
      <c r="K676" s="919">
        <v>1</v>
      </c>
      <c r="L676" s="920">
        <f t="shared" si="67"/>
        <v>8</v>
      </c>
      <c r="M676" s="920">
        <f t="shared" si="68"/>
        <v>6.8159999999999998E-2</v>
      </c>
      <c r="N676" s="920">
        <f t="shared" si="69"/>
        <v>4.5454545454545456E-2</v>
      </c>
      <c r="O676" s="918" t="str">
        <f t="shared" si="70"/>
        <v>Jan</v>
      </c>
      <c r="P676" s="921">
        <f t="shared" si="71"/>
        <v>3</v>
      </c>
    </row>
    <row r="677" spans="1:16" ht="15" hidden="1" customHeight="1">
      <c r="A677" s="839">
        <v>64341106</v>
      </c>
      <c r="B677" s="839">
        <v>2904</v>
      </c>
      <c r="C677" s="906">
        <v>39</v>
      </c>
      <c r="D677" s="907">
        <v>46038</v>
      </c>
      <c r="E677" s="839" t="s">
        <v>293</v>
      </c>
      <c r="F677" s="839" t="s">
        <v>227</v>
      </c>
      <c r="G677" s="916">
        <f>VLOOKUP($A677,'Tech Litons'!$A:$I,8,FALSE)</f>
        <v>5.2680000000000001E-3</v>
      </c>
      <c r="H677" s="917">
        <f>VLOOKUP($A677,'Tech Litons'!$A:$I,9,FALSE)</f>
        <v>130</v>
      </c>
      <c r="I677" s="917" t="str">
        <f>VLOOKUP($A677,'Tech Litons'!$A:$C,3,0)</f>
        <v>PG</v>
      </c>
      <c r="J677" s="918" t="str">
        <f t="shared" si="66"/>
        <v>2904PG</v>
      </c>
      <c r="K677" s="919">
        <v>1</v>
      </c>
      <c r="L677" s="920">
        <f t="shared" si="67"/>
        <v>39</v>
      </c>
      <c r="M677" s="920">
        <f t="shared" si="68"/>
        <v>0.205452</v>
      </c>
      <c r="N677" s="920">
        <f t="shared" si="69"/>
        <v>0.3</v>
      </c>
      <c r="O677" s="918" t="str">
        <f t="shared" si="70"/>
        <v>Jan</v>
      </c>
      <c r="P677" s="921">
        <f t="shared" si="71"/>
        <v>3</v>
      </c>
    </row>
    <row r="678" spans="1:16" ht="15" hidden="1" customHeight="1">
      <c r="A678" s="839">
        <v>68851108</v>
      </c>
      <c r="B678" s="839">
        <v>2904</v>
      </c>
      <c r="C678" s="906">
        <v>68</v>
      </c>
      <c r="D678" s="907">
        <v>46038</v>
      </c>
      <c r="E678" s="839" t="s">
        <v>296</v>
      </c>
      <c r="F678" s="839" t="s">
        <v>273</v>
      </c>
      <c r="G678" s="916">
        <f>VLOOKUP($A678,'Tech Litons'!$A:$I,8,FALSE)</f>
        <v>8.5199999999999998E-3</v>
      </c>
      <c r="H678" s="917">
        <f>VLOOKUP($A678,'Tech Litons'!$A:$I,9,FALSE)</f>
        <v>176</v>
      </c>
      <c r="I678" s="917" t="str">
        <f>VLOOKUP($A678,'Tech Litons'!$A:$C,3,0)</f>
        <v>48oz</v>
      </c>
      <c r="J678" s="918" t="str">
        <f t="shared" si="66"/>
        <v>290448oz</v>
      </c>
      <c r="K678" s="919">
        <v>1</v>
      </c>
      <c r="L678" s="920">
        <f t="shared" si="67"/>
        <v>68</v>
      </c>
      <c r="M678" s="920">
        <f t="shared" si="68"/>
        <v>0.57935999999999999</v>
      </c>
      <c r="N678" s="920">
        <f t="shared" si="69"/>
        <v>0.38636363636363635</v>
      </c>
      <c r="O678" s="918" t="str">
        <f t="shared" si="70"/>
        <v>Jan</v>
      </c>
      <c r="P678" s="921">
        <f t="shared" si="71"/>
        <v>3</v>
      </c>
    </row>
    <row r="679" spans="1:16" ht="15" hidden="1" customHeight="1">
      <c r="A679" s="839">
        <v>68741742</v>
      </c>
      <c r="B679" s="839">
        <v>1352</v>
      </c>
      <c r="C679" s="906">
        <v>83</v>
      </c>
      <c r="D679" s="907">
        <v>46038</v>
      </c>
      <c r="E679" s="839" t="s">
        <v>288</v>
      </c>
      <c r="F679" s="839" t="s">
        <v>289</v>
      </c>
      <c r="G679" s="916">
        <f>VLOOKUP($A679,'Tech Litons'!$A:$I,8,FALSE)</f>
        <v>4.2560000000000002E-3</v>
      </c>
      <c r="H679" s="917">
        <f>VLOOKUP($A679,'Tech Litons'!$A:$I,9,FALSE)</f>
        <v>154</v>
      </c>
      <c r="I679" s="917" t="str">
        <f>VLOOKUP($A679,'Tech Litons'!$A:$C,3,0)</f>
        <v>MBG</v>
      </c>
      <c r="J679" s="918" t="str">
        <f t="shared" si="66"/>
        <v>1352MBG</v>
      </c>
      <c r="K679" s="919">
        <v>1</v>
      </c>
      <c r="L679" s="920">
        <f t="shared" si="67"/>
        <v>83</v>
      </c>
      <c r="M679" s="920">
        <f t="shared" si="68"/>
        <v>0.35324800000000001</v>
      </c>
      <c r="N679" s="920">
        <f t="shared" si="69"/>
        <v>0.53896103896103897</v>
      </c>
      <c r="O679" s="918" t="str">
        <f t="shared" si="70"/>
        <v>Jan</v>
      </c>
      <c r="P679" s="921">
        <f t="shared" si="71"/>
        <v>3</v>
      </c>
    </row>
    <row r="680" spans="1:16" ht="15" hidden="1" customHeight="1">
      <c r="A680" s="839">
        <v>68741742</v>
      </c>
      <c r="B680" s="839">
        <v>1352</v>
      </c>
      <c r="C680" s="906">
        <v>100</v>
      </c>
      <c r="D680" s="907">
        <v>46038</v>
      </c>
      <c r="E680" s="839" t="s">
        <v>288</v>
      </c>
      <c r="F680" s="839" t="s">
        <v>289</v>
      </c>
      <c r="G680" s="916">
        <f>VLOOKUP($A680,'Tech Litons'!$A:$I,8,FALSE)</f>
        <v>4.2560000000000002E-3</v>
      </c>
      <c r="H680" s="917">
        <f>VLOOKUP($A680,'Tech Litons'!$A:$I,9,FALSE)</f>
        <v>154</v>
      </c>
      <c r="I680" s="917" t="str">
        <f>VLOOKUP($A680,'Tech Litons'!$A:$C,3,0)</f>
        <v>MBG</v>
      </c>
      <c r="J680" s="918" t="str">
        <f t="shared" si="66"/>
        <v>1352MBG</v>
      </c>
      <c r="K680" s="919">
        <v>1</v>
      </c>
      <c r="L680" s="920">
        <f t="shared" si="67"/>
        <v>100</v>
      </c>
      <c r="M680" s="920">
        <f t="shared" si="68"/>
        <v>0.42560000000000003</v>
      </c>
      <c r="N680" s="920">
        <f t="shared" si="69"/>
        <v>0.64935064935064934</v>
      </c>
      <c r="O680" s="918" t="str">
        <f t="shared" si="70"/>
        <v>Jan</v>
      </c>
      <c r="P680" s="921">
        <f t="shared" si="71"/>
        <v>3</v>
      </c>
    </row>
    <row r="681" spans="1:16" ht="15" hidden="1" customHeight="1">
      <c r="A681" s="839">
        <v>64330596</v>
      </c>
      <c r="B681" s="839">
        <v>2904</v>
      </c>
      <c r="C681" s="906">
        <v>176</v>
      </c>
      <c r="D681" s="907">
        <v>46038</v>
      </c>
      <c r="E681" s="839" t="s">
        <v>280</v>
      </c>
      <c r="F681" s="839" t="s">
        <v>281</v>
      </c>
      <c r="G681" s="916">
        <f>VLOOKUP($A681,'Tech Litons'!$A:$I,8,FALSE)</f>
        <v>1.98E-3</v>
      </c>
      <c r="H681" s="917">
        <f>VLOOKUP($A681,'Tech Litons'!$A:$I,9,FALSE)</f>
        <v>176</v>
      </c>
      <c r="I681" s="917" t="str">
        <f>VLOOKUP($A681,'Tech Litons'!$A:$C,3,0)</f>
        <v>MG Sticks</v>
      </c>
      <c r="J681" s="918" t="str">
        <f t="shared" si="66"/>
        <v>2904MG Sticks</v>
      </c>
      <c r="K681" s="919">
        <v>1</v>
      </c>
      <c r="L681" s="920">
        <f t="shared" si="67"/>
        <v>176</v>
      </c>
      <c r="M681" s="920">
        <f t="shared" si="68"/>
        <v>0.34848000000000001</v>
      </c>
      <c r="N681" s="920">
        <f t="shared" si="69"/>
        <v>1</v>
      </c>
      <c r="O681" s="918" t="str">
        <f t="shared" si="70"/>
        <v>Jan</v>
      </c>
      <c r="P681" s="921">
        <f t="shared" si="71"/>
        <v>3</v>
      </c>
    </row>
    <row r="682" spans="1:16" ht="15" hidden="1" customHeight="1">
      <c r="A682" s="839">
        <v>68851107</v>
      </c>
      <c r="B682" s="839">
        <v>2904</v>
      </c>
      <c r="C682" s="906">
        <v>176</v>
      </c>
      <c r="D682" s="907">
        <v>46038</v>
      </c>
      <c r="E682" s="839" t="s">
        <v>272</v>
      </c>
      <c r="F682" s="839" t="s">
        <v>273</v>
      </c>
      <c r="G682" s="916">
        <f>VLOOKUP($A682,'Tech Litons'!$A:$I,8,FALSE)</f>
        <v>8.5199999999999998E-3</v>
      </c>
      <c r="H682" s="917">
        <f>VLOOKUP($A682,'Tech Litons'!$A:$I,9,FALSE)</f>
        <v>176</v>
      </c>
      <c r="I682" s="917" t="str">
        <f>VLOOKUP($A682,'Tech Litons'!$A:$C,3,0)</f>
        <v>48oz</v>
      </c>
      <c r="J682" s="918" t="str">
        <f t="shared" si="66"/>
        <v>290448oz</v>
      </c>
      <c r="K682" s="919">
        <v>1</v>
      </c>
      <c r="L682" s="920">
        <f t="shared" si="67"/>
        <v>176</v>
      </c>
      <c r="M682" s="920">
        <f t="shared" si="68"/>
        <v>1.49952</v>
      </c>
      <c r="N682" s="920">
        <f t="shared" si="69"/>
        <v>1</v>
      </c>
      <c r="O682" s="918" t="str">
        <f t="shared" si="70"/>
        <v>Jan</v>
      </c>
      <c r="P682" s="921">
        <f t="shared" si="71"/>
        <v>3</v>
      </c>
    </row>
    <row r="683" spans="1:16" ht="15" hidden="1" customHeight="1">
      <c r="A683" s="839">
        <v>69700048</v>
      </c>
      <c r="B683" s="839">
        <v>1352</v>
      </c>
      <c r="C683" s="906">
        <v>225</v>
      </c>
      <c r="D683" s="907">
        <v>46038</v>
      </c>
      <c r="E683" s="839" t="s">
        <v>328</v>
      </c>
      <c r="F683" s="839" t="s">
        <v>287</v>
      </c>
      <c r="G683" s="916">
        <f>VLOOKUP($A683,'Tech Litons'!$A:$I,8,FALSE)</f>
        <v>2.7360000000000002E-3</v>
      </c>
      <c r="H683" s="917">
        <f>VLOOKUP($A683,'Tech Litons'!$A:$I,9,FALSE)</f>
        <v>225</v>
      </c>
      <c r="I683" s="917" t="str">
        <f>VLOOKUP($A683,'Tech Litons'!$A:$C,3,0)</f>
        <v>MBG</v>
      </c>
      <c r="J683" s="918" t="str">
        <f t="shared" si="66"/>
        <v>1352MBG</v>
      </c>
      <c r="K683" s="919">
        <v>1</v>
      </c>
      <c r="L683" s="920">
        <f t="shared" si="67"/>
        <v>225</v>
      </c>
      <c r="M683" s="920">
        <f t="shared" si="68"/>
        <v>0.61560000000000004</v>
      </c>
      <c r="N683" s="920">
        <f t="shared" si="69"/>
        <v>1</v>
      </c>
      <c r="O683" s="918" t="str">
        <f t="shared" si="70"/>
        <v>Jan</v>
      </c>
      <c r="P683" s="921">
        <f t="shared" si="71"/>
        <v>3</v>
      </c>
    </row>
    <row r="684" spans="1:16" ht="15" hidden="1" customHeight="1">
      <c r="A684" s="839">
        <v>68746232</v>
      </c>
      <c r="B684" s="839">
        <v>2904</v>
      </c>
      <c r="C684" s="906">
        <v>232</v>
      </c>
      <c r="D684" s="907">
        <v>46038</v>
      </c>
      <c r="E684" s="839" t="s">
        <v>508</v>
      </c>
      <c r="F684" s="839" t="s">
        <v>243</v>
      </c>
      <c r="G684" s="916">
        <f>VLOOKUP($A684,'Tech Litons'!$A:$I,8,FALSE)</f>
        <v>8.5199999999999998E-3</v>
      </c>
      <c r="H684" s="917">
        <f>VLOOKUP($A684,'Tech Litons'!$A:$I,9,FALSE)</f>
        <v>132</v>
      </c>
      <c r="I684" s="917" t="str">
        <f>VLOOKUP($A684,'Tech Litons'!$A:$C,3,0)</f>
        <v>EDF</v>
      </c>
      <c r="J684" s="918" t="str">
        <f t="shared" si="66"/>
        <v>2904EDF</v>
      </c>
      <c r="K684" s="919">
        <v>1</v>
      </c>
      <c r="L684" s="920">
        <f t="shared" si="67"/>
        <v>232</v>
      </c>
      <c r="M684" s="920">
        <f t="shared" si="68"/>
        <v>1.97664</v>
      </c>
      <c r="N684" s="920">
        <f t="shared" si="69"/>
        <v>1.7575757575757576</v>
      </c>
      <c r="O684" s="918" t="str">
        <f t="shared" si="70"/>
        <v>Jan</v>
      </c>
      <c r="P684" s="921">
        <f t="shared" si="71"/>
        <v>3</v>
      </c>
    </row>
    <row r="685" spans="1:16" ht="15" hidden="1" customHeight="1">
      <c r="A685" s="839">
        <v>69999267</v>
      </c>
      <c r="B685" s="839">
        <v>2904</v>
      </c>
      <c r="C685" s="906">
        <v>240</v>
      </c>
      <c r="D685" s="907">
        <v>46038</v>
      </c>
      <c r="E685" s="839" t="s">
        <v>335</v>
      </c>
      <c r="F685" s="839" t="s">
        <v>299</v>
      </c>
      <c r="G685" s="916">
        <f>VLOOKUP($A685,'Tech Litons'!$A:$I,8,FALSE)</f>
        <v>3.7839999999999996E-3</v>
      </c>
      <c r="H685" s="917">
        <f>VLOOKUP($A685,'Tech Litons'!$A:$I,9,FALSE)</f>
        <v>240</v>
      </c>
      <c r="I685" s="917" t="str">
        <f>VLOOKUP($A685,'Tech Litons'!$A:$C,3,0)</f>
        <v>BJ PTS</v>
      </c>
      <c r="J685" s="918" t="str">
        <f t="shared" si="66"/>
        <v>2904BJ PTS</v>
      </c>
      <c r="K685" s="919">
        <v>1</v>
      </c>
      <c r="L685" s="920">
        <f t="shared" si="67"/>
        <v>240</v>
      </c>
      <c r="M685" s="920">
        <f t="shared" si="68"/>
        <v>0.90815999999999986</v>
      </c>
      <c r="N685" s="920">
        <f t="shared" si="69"/>
        <v>1</v>
      </c>
      <c r="O685" s="918" t="str">
        <f t="shared" si="70"/>
        <v>Jan</v>
      </c>
      <c r="P685" s="921">
        <f t="shared" si="71"/>
        <v>3</v>
      </c>
    </row>
    <row r="686" spans="1:16" ht="15" hidden="1" customHeight="1">
      <c r="A686" s="839">
        <v>64874633</v>
      </c>
      <c r="B686" s="839">
        <v>3910</v>
      </c>
      <c r="C686" s="906">
        <v>280</v>
      </c>
      <c r="D686" s="907">
        <v>46038</v>
      </c>
      <c r="E686" s="839" t="s">
        <v>341</v>
      </c>
      <c r="F686" s="839" t="s">
        <v>342</v>
      </c>
      <c r="G686" s="916">
        <f>VLOOKUP($A686,'Tech Litons'!$A:$I,8,FALSE)</f>
        <v>3.192E-3</v>
      </c>
      <c r="H686" s="917">
        <f>VLOOKUP($A686,'Tech Litons'!$A:$I,9,FALSE)</f>
        <v>280</v>
      </c>
      <c r="I686" s="917" t="str">
        <f>VLOOKUP($A686,'Tech Litons'!$A:$C,3,0)</f>
        <v>ESS</v>
      </c>
      <c r="J686" s="918" t="str">
        <f t="shared" si="66"/>
        <v>3910ESS</v>
      </c>
      <c r="K686" s="919">
        <v>1</v>
      </c>
      <c r="L686" s="920">
        <f t="shared" si="67"/>
        <v>280</v>
      </c>
      <c r="M686" s="920">
        <f t="shared" si="68"/>
        <v>0.89376</v>
      </c>
      <c r="N686" s="920">
        <f t="shared" si="69"/>
        <v>1</v>
      </c>
      <c r="O686" s="918" t="str">
        <f t="shared" si="70"/>
        <v>Jan</v>
      </c>
      <c r="P686" s="921">
        <f t="shared" si="71"/>
        <v>3</v>
      </c>
    </row>
    <row r="687" spans="1:16" ht="15" hidden="1" customHeight="1">
      <c r="A687" s="839">
        <v>68746232</v>
      </c>
      <c r="B687" s="839">
        <v>2904</v>
      </c>
      <c r="C687" s="906">
        <v>504</v>
      </c>
      <c r="D687" s="907">
        <v>46038</v>
      </c>
      <c r="E687" s="839" t="s">
        <v>508</v>
      </c>
      <c r="F687" s="839" t="s">
        <v>243</v>
      </c>
      <c r="G687" s="916">
        <f>VLOOKUP($A687,'Tech Litons'!$A:$I,8,FALSE)</f>
        <v>8.5199999999999998E-3</v>
      </c>
      <c r="H687" s="917">
        <f>VLOOKUP($A687,'Tech Litons'!$A:$I,9,FALSE)</f>
        <v>132</v>
      </c>
      <c r="I687" s="917" t="str">
        <f>VLOOKUP($A687,'Tech Litons'!$A:$C,3,0)</f>
        <v>EDF</v>
      </c>
      <c r="J687" s="918" t="str">
        <f t="shared" si="66"/>
        <v>2904EDF</v>
      </c>
      <c r="K687" s="919">
        <v>1</v>
      </c>
      <c r="L687" s="920">
        <f t="shared" si="67"/>
        <v>504</v>
      </c>
      <c r="M687" s="920">
        <f t="shared" si="68"/>
        <v>4.2940800000000001</v>
      </c>
      <c r="N687" s="920">
        <f t="shared" si="69"/>
        <v>3.8181818181818183</v>
      </c>
      <c r="O687" s="918" t="str">
        <f t="shared" si="70"/>
        <v>Jan</v>
      </c>
      <c r="P687" s="921">
        <f t="shared" si="71"/>
        <v>3</v>
      </c>
    </row>
    <row r="688" spans="1:16" ht="15" hidden="1" customHeight="1">
      <c r="A688" s="839">
        <v>68689251</v>
      </c>
      <c r="B688" s="839">
        <v>1352</v>
      </c>
      <c r="C688" s="906">
        <v>528</v>
      </c>
      <c r="D688" s="907">
        <v>46038</v>
      </c>
      <c r="E688" s="839" t="s">
        <v>262</v>
      </c>
      <c r="F688" s="839" t="s">
        <v>242</v>
      </c>
      <c r="G688" s="916">
        <f>VLOOKUP($A688,'Tech Litons'!$A:$I,8,FALSE)</f>
        <v>9.5760000000000012E-3</v>
      </c>
      <c r="H688" s="917">
        <f>VLOOKUP($A688,'Tech Litons'!$A:$I,9,FALSE)</f>
        <v>132</v>
      </c>
      <c r="I688" s="917" t="str">
        <f>VLOOKUP($A688,'Tech Litons'!$A:$C,3,0)</f>
        <v>EDF</v>
      </c>
      <c r="J688" s="918" t="str">
        <f t="shared" si="66"/>
        <v>1352EDF</v>
      </c>
      <c r="K688" s="919">
        <v>1</v>
      </c>
      <c r="L688" s="920">
        <f t="shared" si="67"/>
        <v>528</v>
      </c>
      <c r="M688" s="920">
        <f t="shared" si="68"/>
        <v>5.0561280000000011</v>
      </c>
      <c r="N688" s="920">
        <f t="shared" si="69"/>
        <v>4</v>
      </c>
      <c r="O688" s="918" t="str">
        <f t="shared" si="70"/>
        <v>Jan</v>
      </c>
      <c r="P688" s="921">
        <f t="shared" si="71"/>
        <v>3</v>
      </c>
    </row>
    <row r="689" spans="1:16" ht="15" hidden="1" customHeight="1">
      <c r="A689" s="839">
        <v>64330596</v>
      </c>
      <c r="B689" s="839">
        <v>2904</v>
      </c>
      <c r="C689" s="906">
        <v>630</v>
      </c>
      <c r="D689" s="907">
        <v>46038</v>
      </c>
      <c r="E689" s="839" t="s">
        <v>280</v>
      </c>
      <c r="F689" s="839" t="s">
        <v>281</v>
      </c>
      <c r="G689" s="916">
        <f>VLOOKUP($A689,'Tech Litons'!$A:$I,8,FALSE)</f>
        <v>1.98E-3</v>
      </c>
      <c r="H689" s="917">
        <f>VLOOKUP($A689,'Tech Litons'!$A:$I,9,FALSE)</f>
        <v>176</v>
      </c>
      <c r="I689" s="917" t="str">
        <f>VLOOKUP($A689,'Tech Litons'!$A:$C,3,0)</f>
        <v>MG Sticks</v>
      </c>
      <c r="J689" s="918" t="str">
        <f t="shared" si="66"/>
        <v>2904MG Sticks</v>
      </c>
      <c r="K689" s="919">
        <v>1</v>
      </c>
      <c r="L689" s="920">
        <f t="shared" si="67"/>
        <v>630</v>
      </c>
      <c r="M689" s="920">
        <f t="shared" si="68"/>
        <v>1.2474000000000001</v>
      </c>
      <c r="N689" s="920">
        <f t="shared" si="69"/>
        <v>3.5795454545454546</v>
      </c>
      <c r="O689" s="918" t="str">
        <f t="shared" si="70"/>
        <v>Jan</v>
      </c>
      <c r="P689" s="921">
        <f t="shared" si="71"/>
        <v>3</v>
      </c>
    </row>
    <row r="690" spans="1:16" ht="15" hidden="1" customHeight="1">
      <c r="A690" s="839">
        <v>69629468</v>
      </c>
      <c r="B690" s="839">
        <v>2904</v>
      </c>
      <c r="C690" s="906">
        <v>882</v>
      </c>
      <c r="D690" s="907">
        <v>46038</v>
      </c>
      <c r="E690" s="839" t="s">
        <v>291</v>
      </c>
      <c r="F690" s="839" t="s">
        <v>226</v>
      </c>
      <c r="G690" s="916">
        <f>VLOOKUP($A690,'Tech Litons'!$A:$I,8,FALSE)</f>
        <v>5.2680000000000001E-3</v>
      </c>
      <c r="H690" s="917">
        <f>VLOOKUP($A690,'Tech Litons'!$A:$I,9,FALSE)</f>
        <v>130</v>
      </c>
      <c r="I690" s="917" t="str">
        <f>VLOOKUP($A690,'Tech Litons'!$A:$C,3,0)</f>
        <v>PG</v>
      </c>
      <c r="J690" s="918" t="str">
        <f t="shared" si="66"/>
        <v>2904PG</v>
      </c>
      <c r="K690" s="919">
        <v>1</v>
      </c>
      <c r="L690" s="920">
        <f t="shared" si="67"/>
        <v>882</v>
      </c>
      <c r="M690" s="920">
        <f t="shared" si="68"/>
        <v>4.6463760000000001</v>
      </c>
      <c r="N690" s="920">
        <f t="shared" si="69"/>
        <v>6.7846153846153845</v>
      </c>
      <c r="O690" s="918" t="str">
        <f t="shared" si="70"/>
        <v>Jan</v>
      </c>
      <c r="P690" s="921">
        <f t="shared" si="71"/>
        <v>3</v>
      </c>
    </row>
    <row r="691" spans="1:16" ht="15" hidden="1" customHeight="1">
      <c r="A691" s="839">
        <v>68737750</v>
      </c>
      <c r="B691" s="839">
        <v>1352</v>
      </c>
      <c r="C691" s="906">
        <v>1009</v>
      </c>
      <c r="D691" s="907">
        <v>46038</v>
      </c>
      <c r="E691" s="839" t="s">
        <v>407</v>
      </c>
      <c r="F691" s="839" t="s">
        <v>261</v>
      </c>
      <c r="G691" s="916">
        <f>VLOOKUP($A691,'Tech Litons'!$A:$I,8,FALSE)</f>
        <v>8.5199999999999998E-3</v>
      </c>
      <c r="H691" s="917">
        <f>VLOOKUP($A691,'Tech Litons'!$A:$I,9,FALSE)</f>
        <v>176</v>
      </c>
      <c r="I691" s="917" t="str">
        <f>VLOOKUP($A691,'Tech Litons'!$A:$C,3,0)</f>
        <v>48oz</v>
      </c>
      <c r="J691" s="918" t="str">
        <f t="shared" si="66"/>
        <v>135248oz</v>
      </c>
      <c r="K691" s="919">
        <v>1</v>
      </c>
      <c r="L691" s="920">
        <f t="shared" si="67"/>
        <v>1009</v>
      </c>
      <c r="M691" s="920">
        <f t="shared" si="68"/>
        <v>8.5966799999999992</v>
      </c>
      <c r="N691" s="920">
        <f t="shared" si="69"/>
        <v>5.7329545454545459</v>
      </c>
      <c r="O691" s="918" t="str">
        <f t="shared" si="70"/>
        <v>Jan</v>
      </c>
      <c r="P691" s="921">
        <f t="shared" si="71"/>
        <v>3</v>
      </c>
    </row>
    <row r="692" spans="1:16" ht="15" hidden="1" customHeight="1">
      <c r="A692" s="839">
        <v>69629468</v>
      </c>
      <c r="B692" s="839">
        <v>1352</v>
      </c>
      <c r="C692" s="906">
        <v>1040</v>
      </c>
      <c r="D692" s="907">
        <v>46038</v>
      </c>
      <c r="E692" s="839" t="s">
        <v>291</v>
      </c>
      <c r="F692" s="839" t="s">
        <v>222</v>
      </c>
      <c r="G692" s="916">
        <f>VLOOKUP($A692,'Tech Litons'!$A:$I,8,FALSE)</f>
        <v>5.2680000000000001E-3</v>
      </c>
      <c r="H692" s="917">
        <f>VLOOKUP($A692,'Tech Litons'!$A:$I,9,FALSE)</f>
        <v>130</v>
      </c>
      <c r="I692" s="917" t="str">
        <f>VLOOKUP($A692,'Tech Litons'!$A:$C,3,0)</f>
        <v>PG</v>
      </c>
      <c r="J692" s="918" t="str">
        <f t="shared" si="66"/>
        <v>1352PG</v>
      </c>
      <c r="K692" s="919">
        <v>1</v>
      </c>
      <c r="L692" s="920">
        <f t="shared" si="67"/>
        <v>1040</v>
      </c>
      <c r="M692" s="920">
        <f t="shared" si="68"/>
        <v>5.47872</v>
      </c>
      <c r="N692" s="920">
        <f t="shared" si="69"/>
        <v>8</v>
      </c>
      <c r="O692" s="918" t="str">
        <f t="shared" si="70"/>
        <v>Jan</v>
      </c>
      <c r="P692" s="921">
        <f t="shared" si="71"/>
        <v>3</v>
      </c>
    </row>
    <row r="693" spans="1:16" ht="15" hidden="1" customHeight="1">
      <c r="A693" s="839">
        <v>69629468</v>
      </c>
      <c r="B693" s="839">
        <v>2904</v>
      </c>
      <c r="C693" s="906">
        <v>1430</v>
      </c>
      <c r="D693" s="907">
        <v>46038</v>
      </c>
      <c r="E693" s="839" t="s">
        <v>291</v>
      </c>
      <c r="F693" s="839" t="s">
        <v>226</v>
      </c>
      <c r="G693" s="916">
        <f>VLOOKUP($A693,'Tech Litons'!$A:$I,8,FALSE)</f>
        <v>5.2680000000000001E-3</v>
      </c>
      <c r="H693" s="917">
        <f>VLOOKUP($A693,'Tech Litons'!$A:$I,9,FALSE)</f>
        <v>130</v>
      </c>
      <c r="I693" s="917" t="str">
        <f>VLOOKUP($A693,'Tech Litons'!$A:$C,3,0)</f>
        <v>PG</v>
      </c>
      <c r="J693" s="918" t="str">
        <f t="shared" si="66"/>
        <v>2904PG</v>
      </c>
      <c r="K693" s="919">
        <v>1</v>
      </c>
      <c r="L693" s="920">
        <f t="shared" si="67"/>
        <v>1430</v>
      </c>
      <c r="M693" s="920">
        <f t="shared" si="68"/>
        <v>7.5332400000000002</v>
      </c>
      <c r="N693" s="920">
        <f t="shared" si="69"/>
        <v>11</v>
      </c>
      <c r="O693" s="918" t="str">
        <f t="shared" si="70"/>
        <v>Jan</v>
      </c>
      <c r="P693" s="921">
        <f t="shared" si="71"/>
        <v>3</v>
      </c>
    </row>
    <row r="694" spans="1:16" ht="15" hidden="1" customHeight="1">
      <c r="A694" s="839">
        <v>69725082</v>
      </c>
      <c r="B694" s="839">
        <v>1352</v>
      </c>
      <c r="C694" s="906">
        <v>1560</v>
      </c>
      <c r="D694" s="907">
        <v>46038</v>
      </c>
      <c r="E694" s="839" t="s">
        <v>292</v>
      </c>
      <c r="F694" s="839" t="s">
        <v>223</v>
      </c>
      <c r="G694" s="916">
        <f>VLOOKUP($A694,'Tech Litons'!$A:$I,8,FALSE)</f>
        <v>5.2680000000000001E-3</v>
      </c>
      <c r="H694" s="917">
        <f>VLOOKUP($A694,'Tech Litons'!$A:$I,9,FALSE)</f>
        <v>130</v>
      </c>
      <c r="I694" s="917" t="str">
        <f>VLOOKUP($A694,'Tech Litons'!$A:$C,3,0)</f>
        <v>PG</v>
      </c>
      <c r="J694" s="918" t="str">
        <f t="shared" si="66"/>
        <v>1352PG</v>
      </c>
      <c r="K694" s="919">
        <v>1</v>
      </c>
      <c r="L694" s="920">
        <f t="shared" si="67"/>
        <v>1560</v>
      </c>
      <c r="M694" s="920">
        <f t="shared" si="68"/>
        <v>8.2180800000000005</v>
      </c>
      <c r="N694" s="920">
        <f t="shared" si="69"/>
        <v>12</v>
      </c>
      <c r="O694" s="918" t="str">
        <f t="shared" si="70"/>
        <v>Jan</v>
      </c>
      <c r="P694" s="921">
        <f t="shared" si="71"/>
        <v>3</v>
      </c>
    </row>
    <row r="695" spans="1:16" ht="15" hidden="1" customHeight="1">
      <c r="A695" s="839">
        <v>68741742</v>
      </c>
      <c r="B695" s="839">
        <v>2904</v>
      </c>
      <c r="C695" s="906">
        <v>1569</v>
      </c>
      <c r="D695" s="907">
        <v>46038</v>
      </c>
      <c r="E695" s="839" t="s">
        <v>288</v>
      </c>
      <c r="F695" s="839" t="s">
        <v>295</v>
      </c>
      <c r="G695" s="916">
        <f>VLOOKUP($A695,'Tech Litons'!$A:$I,8,FALSE)</f>
        <v>4.2560000000000002E-3</v>
      </c>
      <c r="H695" s="917">
        <f>VLOOKUP($A695,'Tech Litons'!$A:$I,9,FALSE)</f>
        <v>154</v>
      </c>
      <c r="I695" s="917" t="str">
        <f>VLOOKUP($A695,'Tech Litons'!$A:$C,3,0)</f>
        <v>MBG</v>
      </c>
      <c r="J695" s="918" t="str">
        <f t="shared" si="66"/>
        <v>2904MBG</v>
      </c>
      <c r="K695" s="919">
        <v>1</v>
      </c>
      <c r="L695" s="920">
        <f t="shared" si="67"/>
        <v>1569</v>
      </c>
      <c r="M695" s="920">
        <f t="shared" si="68"/>
        <v>6.677664</v>
      </c>
      <c r="N695" s="920">
        <f t="shared" si="69"/>
        <v>10.188311688311689</v>
      </c>
      <c r="O695" s="918" t="str">
        <f t="shared" si="70"/>
        <v>Jan</v>
      </c>
      <c r="P695" s="921">
        <f t="shared" si="71"/>
        <v>3</v>
      </c>
    </row>
    <row r="696" spans="1:16" ht="15" hidden="1" customHeight="1">
      <c r="A696" s="839">
        <v>64874633</v>
      </c>
      <c r="B696" s="839">
        <v>3910</v>
      </c>
      <c r="C696" s="906">
        <v>1680</v>
      </c>
      <c r="D696" s="907">
        <v>46038</v>
      </c>
      <c r="E696" s="839" t="s">
        <v>341</v>
      </c>
      <c r="F696" s="839" t="s">
        <v>342</v>
      </c>
      <c r="G696" s="916">
        <f>VLOOKUP($A696,'Tech Litons'!$A:$I,8,FALSE)</f>
        <v>3.192E-3</v>
      </c>
      <c r="H696" s="917">
        <f>VLOOKUP($A696,'Tech Litons'!$A:$I,9,FALSE)</f>
        <v>280</v>
      </c>
      <c r="I696" s="917" t="str">
        <f>VLOOKUP($A696,'Tech Litons'!$A:$C,3,0)</f>
        <v>ESS</v>
      </c>
      <c r="J696" s="918" t="str">
        <f t="shared" si="66"/>
        <v>3910ESS</v>
      </c>
      <c r="K696" s="919">
        <v>1</v>
      </c>
      <c r="L696" s="920">
        <f t="shared" si="67"/>
        <v>1680</v>
      </c>
      <c r="M696" s="920">
        <f t="shared" si="68"/>
        <v>5.3625600000000002</v>
      </c>
      <c r="N696" s="920">
        <f t="shared" si="69"/>
        <v>6</v>
      </c>
      <c r="O696" s="918" t="str">
        <f t="shared" si="70"/>
        <v>Jan</v>
      </c>
      <c r="P696" s="921">
        <f t="shared" si="71"/>
        <v>3</v>
      </c>
    </row>
    <row r="697" spans="1:16" ht="15" hidden="1" customHeight="1">
      <c r="A697" s="839">
        <v>68741742</v>
      </c>
      <c r="B697" s="839">
        <v>2904</v>
      </c>
      <c r="C697" s="906">
        <v>1727</v>
      </c>
      <c r="D697" s="907">
        <v>46038</v>
      </c>
      <c r="E697" s="839" t="s">
        <v>288</v>
      </c>
      <c r="F697" s="839" t="s">
        <v>295</v>
      </c>
      <c r="G697" s="916">
        <f>VLOOKUP($A697,'Tech Litons'!$A:$I,8,FALSE)</f>
        <v>4.2560000000000002E-3</v>
      </c>
      <c r="H697" s="917">
        <f>VLOOKUP($A697,'Tech Litons'!$A:$I,9,FALSE)</f>
        <v>154</v>
      </c>
      <c r="I697" s="917" t="str">
        <f>VLOOKUP($A697,'Tech Litons'!$A:$C,3,0)</f>
        <v>MBG</v>
      </c>
      <c r="J697" s="918" t="str">
        <f t="shared" si="66"/>
        <v>2904MBG</v>
      </c>
      <c r="K697" s="919">
        <v>1</v>
      </c>
      <c r="L697" s="920">
        <f t="shared" si="67"/>
        <v>1727</v>
      </c>
      <c r="M697" s="920">
        <f t="shared" si="68"/>
        <v>7.3501120000000002</v>
      </c>
      <c r="N697" s="920">
        <f t="shared" si="69"/>
        <v>11.214285714285714</v>
      </c>
      <c r="O697" s="918" t="str">
        <f t="shared" si="70"/>
        <v>Jan</v>
      </c>
      <c r="P697" s="921">
        <f t="shared" si="71"/>
        <v>3</v>
      </c>
    </row>
    <row r="698" spans="1:16" ht="15" hidden="1" customHeight="1">
      <c r="A698" s="839">
        <v>64341106</v>
      </c>
      <c r="B698" s="839">
        <v>2904</v>
      </c>
      <c r="C698" s="906">
        <v>1769</v>
      </c>
      <c r="D698" s="907">
        <v>46038</v>
      </c>
      <c r="E698" s="839" t="s">
        <v>293</v>
      </c>
      <c r="F698" s="839" t="s">
        <v>227</v>
      </c>
      <c r="G698" s="916">
        <f>VLOOKUP($A698,'Tech Litons'!$A:$I,8,FALSE)</f>
        <v>5.2680000000000001E-3</v>
      </c>
      <c r="H698" s="917">
        <f>VLOOKUP($A698,'Tech Litons'!$A:$I,9,FALSE)</f>
        <v>130</v>
      </c>
      <c r="I698" s="917" t="str">
        <f>VLOOKUP($A698,'Tech Litons'!$A:$C,3,0)</f>
        <v>PG</v>
      </c>
      <c r="J698" s="918" t="str">
        <f t="shared" si="66"/>
        <v>2904PG</v>
      </c>
      <c r="K698" s="919">
        <v>1</v>
      </c>
      <c r="L698" s="920">
        <f t="shared" si="67"/>
        <v>1769</v>
      </c>
      <c r="M698" s="920">
        <f t="shared" si="68"/>
        <v>9.3190919999999995</v>
      </c>
      <c r="N698" s="920">
        <f t="shared" si="69"/>
        <v>13.607692307692307</v>
      </c>
      <c r="O698" s="918" t="str">
        <f t="shared" si="70"/>
        <v>Jan</v>
      </c>
      <c r="P698" s="921">
        <f t="shared" si="71"/>
        <v>3</v>
      </c>
    </row>
    <row r="699" spans="1:16" ht="15" hidden="1" customHeight="1">
      <c r="A699" s="839">
        <v>64977526</v>
      </c>
      <c r="B699" s="839">
        <v>1352</v>
      </c>
      <c r="C699" s="906">
        <v>2193</v>
      </c>
      <c r="D699" s="907">
        <v>46038</v>
      </c>
      <c r="E699" s="839" t="s">
        <v>323</v>
      </c>
      <c r="F699" s="839" t="s">
        <v>266</v>
      </c>
      <c r="G699" s="916">
        <f>VLOOKUP($A699,'Tech Litons'!$A:$I,8,FALSE)</f>
        <v>8.513999999999999E-3</v>
      </c>
      <c r="H699" s="917">
        <f>VLOOKUP($A699,'Tech Litons'!$A:$I,9,FALSE)</f>
        <v>176</v>
      </c>
      <c r="I699" s="917" t="str">
        <f>VLOOKUP($A699,'Tech Litons'!$A:$C,3,0)</f>
        <v>48oz</v>
      </c>
      <c r="J699" s="918" t="str">
        <f t="shared" si="66"/>
        <v>135248oz</v>
      </c>
      <c r="K699" s="919">
        <v>1</v>
      </c>
      <c r="L699" s="920">
        <f t="shared" si="67"/>
        <v>2193</v>
      </c>
      <c r="M699" s="920">
        <f t="shared" si="68"/>
        <v>18.671201999999997</v>
      </c>
      <c r="N699" s="920">
        <f t="shared" si="69"/>
        <v>12.460227272727273</v>
      </c>
      <c r="O699" s="918" t="str">
        <f t="shared" si="70"/>
        <v>Jan</v>
      </c>
      <c r="P699" s="921">
        <f t="shared" si="71"/>
        <v>3</v>
      </c>
    </row>
    <row r="700" spans="1:16" ht="15" hidden="1" customHeight="1">
      <c r="A700" s="839">
        <v>68741742</v>
      </c>
      <c r="B700" s="839">
        <v>1352</v>
      </c>
      <c r="C700" s="906">
        <v>2310</v>
      </c>
      <c r="D700" s="907">
        <v>46038</v>
      </c>
      <c r="E700" s="839" t="s">
        <v>288</v>
      </c>
      <c r="F700" s="839" t="s">
        <v>289</v>
      </c>
      <c r="G700" s="916">
        <f>VLOOKUP($A700,'Tech Litons'!$A:$I,8,FALSE)</f>
        <v>4.2560000000000002E-3</v>
      </c>
      <c r="H700" s="917">
        <f>VLOOKUP($A700,'Tech Litons'!$A:$I,9,FALSE)</f>
        <v>154</v>
      </c>
      <c r="I700" s="917" t="str">
        <f>VLOOKUP($A700,'Tech Litons'!$A:$C,3,0)</f>
        <v>MBG</v>
      </c>
      <c r="J700" s="918" t="str">
        <f t="shared" si="66"/>
        <v>1352MBG</v>
      </c>
      <c r="K700" s="919">
        <v>1</v>
      </c>
      <c r="L700" s="920">
        <f t="shared" si="67"/>
        <v>2310</v>
      </c>
      <c r="M700" s="920">
        <f t="shared" si="68"/>
        <v>9.8313600000000001</v>
      </c>
      <c r="N700" s="920">
        <f t="shared" si="69"/>
        <v>15</v>
      </c>
      <c r="O700" s="918" t="str">
        <f t="shared" si="70"/>
        <v>Jan</v>
      </c>
      <c r="P700" s="921">
        <f t="shared" si="71"/>
        <v>3</v>
      </c>
    </row>
    <row r="701" spans="1:16" ht="15" hidden="1" customHeight="1">
      <c r="A701" s="839">
        <v>68817795</v>
      </c>
      <c r="B701" s="839">
        <v>1352</v>
      </c>
      <c r="C701" s="906">
        <v>2618</v>
      </c>
      <c r="D701" s="907">
        <v>46038</v>
      </c>
      <c r="E701" s="839" t="s">
        <v>348</v>
      </c>
      <c r="F701" s="839" t="s">
        <v>266</v>
      </c>
      <c r="G701" s="916">
        <f>VLOOKUP($A701,'Tech Litons'!$A:$I,8,FALSE)</f>
        <v>8.5199999999999998E-3</v>
      </c>
      <c r="H701" s="917">
        <f>VLOOKUP($A701,'Tech Litons'!$A:$I,9,FALSE)</f>
        <v>154</v>
      </c>
      <c r="I701" s="917" t="str">
        <f>VLOOKUP($A701,'Tech Litons'!$A:$C,3,0)</f>
        <v>48oz</v>
      </c>
      <c r="J701" s="918" t="str">
        <f t="shared" si="66"/>
        <v>135248oz</v>
      </c>
      <c r="K701" s="919">
        <v>1</v>
      </c>
      <c r="L701" s="920">
        <f t="shared" si="67"/>
        <v>2618</v>
      </c>
      <c r="M701" s="920">
        <f t="shared" si="68"/>
        <v>22.30536</v>
      </c>
      <c r="N701" s="920">
        <f t="shared" si="69"/>
        <v>17</v>
      </c>
      <c r="O701" s="918" t="str">
        <f t="shared" si="70"/>
        <v>Jan</v>
      </c>
      <c r="P701" s="921">
        <f t="shared" si="71"/>
        <v>3</v>
      </c>
    </row>
    <row r="702" spans="1:16" ht="15" hidden="1" customHeight="1">
      <c r="A702" s="839">
        <v>68852591</v>
      </c>
      <c r="B702" s="839">
        <v>1352</v>
      </c>
      <c r="C702" s="906">
        <v>2678</v>
      </c>
      <c r="D702" s="907">
        <v>46038</v>
      </c>
      <c r="E702" s="839" t="s">
        <v>326</v>
      </c>
      <c r="F702" s="839" t="s">
        <v>241</v>
      </c>
      <c r="G702" s="916">
        <f>VLOOKUP($A702,'Tech Litons'!$A:$I,8,FALSE)</f>
        <v>8.5199999999999998E-3</v>
      </c>
      <c r="H702" s="917">
        <f>VLOOKUP($A702,'Tech Litons'!$A:$I,9,FALSE)</f>
        <v>132</v>
      </c>
      <c r="I702" s="917" t="str">
        <f>VLOOKUP($A702,'Tech Litons'!$A:$C,3,0)</f>
        <v>EDF</v>
      </c>
      <c r="J702" s="918" t="str">
        <f t="shared" si="66"/>
        <v>1352EDF</v>
      </c>
      <c r="K702" s="919">
        <v>1</v>
      </c>
      <c r="L702" s="920">
        <f t="shared" si="67"/>
        <v>2678</v>
      </c>
      <c r="M702" s="920">
        <f t="shared" si="68"/>
        <v>22.816559999999999</v>
      </c>
      <c r="N702" s="920">
        <f t="shared" si="69"/>
        <v>20.287878787878789</v>
      </c>
      <c r="O702" s="918" t="str">
        <f t="shared" si="70"/>
        <v>Jan</v>
      </c>
      <c r="P702" s="921">
        <f t="shared" si="71"/>
        <v>3</v>
      </c>
    </row>
    <row r="703" spans="1:16" ht="15" hidden="1" customHeight="1">
      <c r="A703" s="839">
        <v>69629468</v>
      </c>
      <c r="B703" s="839">
        <v>1352</v>
      </c>
      <c r="C703" s="906">
        <v>2698</v>
      </c>
      <c r="D703" s="907">
        <v>46038</v>
      </c>
      <c r="E703" s="839" t="s">
        <v>291</v>
      </c>
      <c r="F703" s="839" t="s">
        <v>222</v>
      </c>
      <c r="G703" s="916">
        <f>VLOOKUP($A703,'Tech Litons'!$A:$I,8,FALSE)</f>
        <v>5.2680000000000001E-3</v>
      </c>
      <c r="H703" s="917">
        <f>VLOOKUP($A703,'Tech Litons'!$A:$I,9,FALSE)</f>
        <v>130</v>
      </c>
      <c r="I703" s="917" t="str">
        <f>VLOOKUP($A703,'Tech Litons'!$A:$C,3,0)</f>
        <v>PG</v>
      </c>
      <c r="J703" s="918" t="str">
        <f t="shared" si="66"/>
        <v>1352PG</v>
      </c>
      <c r="K703" s="919">
        <v>1</v>
      </c>
      <c r="L703" s="920">
        <f t="shared" si="67"/>
        <v>2698</v>
      </c>
      <c r="M703" s="920">
        <f t="shared" si="68"/>
        <v>14.213064000000001</v>
      </c>
      <c r="N703" s="920">
        <f t="shared" si="69"/>
        <v>20.753846153846155</v>
      </c>
      <c r="O703" s="918" t="str">
        <f t="shared" si="70"/>
        <v>Jan</v>
      </c>
      <c r="P703" s="921">
        <f t="shared" si="71"/>
        <v>3</v>
      </c>
    </row>
    <row r="704" spans="1:16" ht="15" hidden="1" customHeight="1">
      <c r="A704" s="839">
        <v>69725082</v>
      </c>
      <c r="B704" s="839">
        <v>1352</v>
      </c>
      <c r="C704" s="906">
        <v>2748</v>
      </c>
      <c r="D704" s="907">
        <v>46038</v>
      </c>
      <c r="E704" s="839" t="s">
        <v>292</v>
      </c>
      <c r="F704" s="839" t="s">
        <v>223</v>
      </c>
      <c r="G704" s="916">
        <f>VLOOKUP($A704,'Tech Litons'!$A:$I,8,FALSE)</f>
        <v>5.2680000000000001E-3</v>
      </c>
      <c r="H704" s="917">
        <f>VLOOKUP($A704,'Tech Litons'!$A:$I,9,FALSE)</f>
        <v>130</v>
      </c>
      <c r="I704" s="917" t="str">
        <f>VLOOKUP($A704,'Tech Litons'!$A:$C,3,0)</f>
        <v>PG</v>
      </c>
      <c r="J704" s="918" t="str">
        <f t="shared" si="66"/>
        <v>1352PG</v>
      </c>
      <c r="K704" s="919">
        <v>1</v>
      </c>
      <c r="L704" s="920">
        <f t="shared" si="67"/>
        <v>2748</v>
      </c>
      <c r="M704" s="920">
        <f t="shared" si="68"/>
        <v>14.476464</v>
      </c>
      <c r="N704" s="920">
        <f t="shared" si="69"/>
        <v>21.138461538461538</v>
      </c>
      <c r="O704" s="918" t="str">
        <f t="shared" si="70"/>
        <v>Jan</v>
      </c>
      <c r="P704" s="921">
        <f t="shared" si="71"/>
        <v>3</v>
      </c>
    </row>
    <row r="705" spans="1:16" ht="15" hidden="1" customHeight="1">
      <c r="A705" s="839">
        <v>69999268</v>
      </c>
      <c r="B705" s="839">
        <v>2904</v>
      </c>
      <c r="C705" s="906">
        <v>2791</v>
      </c>
      <c r="D705" s="907">
        <v>46038</v>
      </c>
      <c r="E705" s="839" t="s">
        <v>351</v>
      </c>
      <c r="F705" s="839" t="s">
        <v>299</v>
      </c>
      <c r="G705" s="916">
        <f>VLOOKUP($A705,'Tech Litons'!$A:$I,8,FALSE)</f>
        <v>3.7839999999999996E-3</v>
      </c>
      <c r="H705" s="917">
        <f>VLOOKUP($A705,'Tech Litons'!$A:$I,9,FALSE)</f>
        <v>240</v>
      </c>
      <c r="I705" s="917" t="str">
        <f>VLOOKUP($A705,'Tech Litons'!$A:$C,3,0)</f>
        <v>BJ PTS</v>
      </c>
      <c r="J705" s="918" t="str">
        <f t="shared" si="66"/>
        <v>2904BJ PTS</v>
      </c>
      <c r="K705" s="919">
        <v>1</v>
      </c>
      <c r="L705" s="920">
        <f t="shared" si="67"/>
        <v>2791</v>
      </c>
      <c r="M705" s="920">
        <f t="shared" si="68"/>
        <v>10.561143999999999</v>
      </c>
      <c r="N705" s="920">
        <f t="shared" si="69"/>
        <v>11.629166666666666</v>
      </c>
      <c r="O705" s="918" t="str">
        <f t="shared" si="70"/>
        <v>Jan</v>
      </c>
      <c r="P705" s="921">
        <f t="shared" si="71"/>
        <v>3</v>
      </c>
    </row>
    <row r="706" spans="1:16" ht="15" hidden="1" customHeight="1">
      <c r="A706" s="839">
        <v>68852591</v>
      </c>
      <c r="B706" s="839">
        <v>1352</v>
      </c>
      <c r="C706" s="906">
        <v>3020</v>
      </c>
      <c r="D706" s="907">
        <v>46038</v>
      </c>
      <c r="E706" s="839" t="s">
        <v>326</v>
      </c>
      <c r="F706" s="839" t="s">
        <v>241</v>
      </c>
      <c r="G706" s="916">
        <f>VLOOKUP($A706,'Tech Litons'!$A:$I,8,FALSE)</f>
        <v>8.5199999999999998E-3</v>
      </c>
      <c r="H706" s="917">
        <f>VLOOKUP($A706,'Tech Litons'!$A:$I,9,FALSE)</f>
        <v>132</v>
      </c>
      <c r="I706" s="917" t="str">
        <f>VLOOKUP($A706,'Tech Litons'!$A:$C,3,0)</f>
        <v>EDF</v>
      </c>
      <c r="J706" s="918" t="str">
        <f t="shared" si="66"/>
        <v>1352EDF</v>
      </c>
      <c r="K706" s="919">
        <v>1</v>
      </c>
      <c r="L706" s="920">
        <f t="shared" si="67"/>
        <v>3020</v>
      </c>
      <c r="M706" s="920">
        <f t="shared" si="68"/>
        <v>25.730399999999999</v>
      </c>
      <c r="N706" s="920">
        <f t="shared" si="69"/>
        <v>22.878787878787879</v>
      </c>
      <c r="O706" s="918" t="str">
        <f t="shared" si="70"/>
        <v>Jan</v>
      </c>
      <c r="P706" s="921">
        <f t="shared" si="71"/>
        <v>3</v>
      </c>
    </row>
    <row r="707" spans="1:16" ht="15" hidden="1" customHeight="1">
      <c r="A707" s="839">
        <v>68300738</v>
      </c>
      <c r="B707" s="839">
        <v>1352</v>
      </c>
      <c r="C707" s="906">
        <v>3036</v>
      </c>
      <c r="D707" s="907">
        <v>46038</v>
      </c>
      <c r="E707" s="839" t="s">
        <v>325</v>
      </c>
      <c r="F707" s="839" t="s">
        <v>240</v>
      </c>
      <c r="G707" s="916">
        <f>VLOOKUP($A707,'Tech Litons'!$A:$I,8,FALSE)</f>
        <v>8.4960000000000001E-3</v>
      </c>
      <c r="H707" s="917">
        <f>VLOOKUP($A707,'Tech Litons'!$A:$I,9,FALSE)</f>
        <v>132</v>
      </c>
      <c r="I707" s="917" t="str">
        <f>VLOOKUP($A707,'Tech Litons'!$A:$C,3,0)</f>
        <v>EDF</v>
      </c>
      <c r="J707" s="918" t="str">
        <f t="shared" si="66"/>
        <v>1352EDF</v>
      </c>
      <c r="K707" s="919">
        <v>1</v>
      </c>
      <c r="L707" s="920">
        <f t="shared" si="67"/>
        <v>3036</v>
      </c>
      <c r="M707" s="920">
        <f t="shared" si="68"/>
        <v>25.793856000000002</v>
      </c>
      <c r="N707" s="920">
        <f t="shared" si="69"/>
        <v>23</v>
      </c>
      <c r="O707" s="918" t="str">
        <f t="shared" si="70"/>
        <v>Jan</v>
      </c>
      <c r="P707" s="921">
        <f t="shared" si="71"/>
        <v>3</v>
      </c>
    </row>
    <row r="708" spans="1:16" ht="15" hidden="1" customHeight="1">
      <c r="A708" s="839">
        <v>68922108</v>
      </c>
      <c r="B708" s="839">
        <v>2904</v>
      </c>
      <c r="C708" s="906">
        <v>3641</v>
      </c>
      <c r="D708" s="907">
        <v>46038</v>
      </c>
      <c r="E708" s="839" t="s">
        <v>276</v>
      </c>
      <c r="F708" s="839" t="s">
        <v>277</v>
      </c>
      <c r="G708" s="916">
        <f>VLOOKUP($A708,'Tech Litons'!$A:$I,8,FALSE)</f>
        <v>3.7839999999999996E-3</v>
      </c>
      <c r="H708" s="917">
        <f>VLOOKUP($A708,'Tech Litons'!$A:$I,9,FALSE)</f>
        <v>255</v>
      </c>
      <c r="I708" s="917" t="str">
        <f>VLOOKUP($A708,'Tech Litons'!$A:$C,3,0)</f>
        <v>TALENTI</v>
      </c>
      <c r="J708" s="918" t="str">
        <f t="shared" si="66"/>
        <v>2904TALENTI</v>
      </c>
      <c r="K708" s="919">
        <v>1</v>
      </c>
      <c r="L708" s="920">
        <f t="shared" si="67"/>
        <v>3641</v>
      </c>
      <c r="M708" s="920">
        <f t="shared" si="68"/>
        <v>13.777543999999999</v>
      </c>
      <c r="N708" s="920">
        <f t="shared" si="69"/>
        <v>14.27843137254902</v>
      </c>
      <c r="O708" s="918" t="str">
        <f t="shared" si="70"/>
        <v>Jan</v>
      </c>
      <c r="P708" s="921">
        <f t="shared" si="71"/>
        <v>3</v>
      </c>
    </row>
    <row r="709" spans="1:16" ht="15" hidden="1" customHeight="1">
      <c r="A709" s="839">
        <v>68862496</v>
      </c>
      <c r="B709" s="839">
        <v>2904</v>
      </c>
      <c r="C709" s="906">
        <v>3663</v>
      </c>
      <c r="D709" s="907">
        <v>46038</v>
      </c>
      <c r="E709" s="839" t="s">
        <v>356</v>
      </c>
      <c r="F709" s="839" t="s">
        <v>277</v>
      </c>
      <c r="G709" s="916">
        <f>VLOOKUP($A709,'Tech Litons'!$A:$I,8,FALSE)</f>
        <v>3.7839999999999996E-3</v>
      </c>
      <c r="H709" s="917">
        <f>VLOOKUP($A709,'Tech Litons'!$A:$I,9,FALSE)</f>
        <v>255</v>
      </c>
      <c r="I709" s="917" t="str">
        <f>VLOOKUP($A709,'Tech Litons'!$A:$C,3,0)</f>
        <v>TALENTI</v>
      </c>
      <c r="J709" s="918" t="str">
        <f t="shared" si="66"/>
        <v>2904TALENTI</v>
      </c>
      <c r="K709" s="919">
        <v>1</v>
      </c>
      <c r="L709" s="920">
        <f t="shared" si="67"/>
        <v>3663</v>
      </c>
      <c r="M709" s="920">
        <f t="shared" si="68"/>
        <v>13.860791999999998</v>
      </c>
      <c r="N709" s="920">
        <f t="shared" si="69"/>
        <v>14.364705882352942</v>
      </c>
      <c r="O709" s="918" t="str">
        <f t="shared" si="70"/>
        <v>Jan</v>
      </c>
      <c r="P709" s="921">
        <f t="shared" si="71"/>
        <v>3</v>
      </c>
    </row>
    <row r="710" spans="1:16" ht="15" hidden="1" customHeight="1">
      <c r="A710" s="839">
        <v>68741742</v>
      </c>
      <c r="B710" s="839">
        <v>1352</v>
      </c>
      <c r="C710" s="906">
        <v>3693</v>
      </c>
      <c r="D710" s="907">
        <v>46038</v>
      </c>
      <c r="E710" s="839" t="s">
        <v>288</v>
      </c>
      <c r="F710" s="839" t="s">
        <v>289</v>
      </c>
      <c r="G710" s="916">
        <f>VLOOKUP($A710,'Tech Litons'!$A:$I,8,FALSE)</f>
        <v>4.2560000000000002E-3</v>
      </c>
      <c r="H710" s="917">
        <f>VLOOKUP($A710,'Tech Litons'!$A:$I,9,FALSE)</f>
        <v>154</v>
      </c>
      <c r="I710" s="917" t="str">
        <f>VLOOKUP($A710,'Tech Litons'!$A:$C,3,0)</f>
        <v>MBG</v>
      </c>
      <c r="J710" s="918" t="str">
        <f t="shared" si="66"/>
        <v>1352MBG</v>
      </c>
      <c r="K710" s="919">
        <v>1</v>
      </c>
      <c r="L710" s="920">
        <f t="shared" si="67"/>
        <v>3693</v>
      </c>
      <c r="M710" s="920">
        <f t="shared" si="68"/>
        <v>15.717408000000001</v>
      </c>
      <c r="N710" s="920">
        <f t="shared" si="69"/>
        <v>23.980519480519479</v>
      </c>
      <c r="O710" s="918" t="str">
        <f t="shared" si="70"/>
        <v>Jan</v>
      </c>
      <c r="P710" s="921">
        <f t="shared" si="71"/>
        <v>3</v>
      </c>
    </row>
    <row r="711" spans="1:16" ht="15" hidden="1" customHeight="1">
      <c r="A711" s="839">
        <v>64393719</v>
      </c>
      <c r="B711" s="839">
        <v>2904</v>
      </c>
      <c r="C711" s="906">
        <v>4004</v>
      </c>
      <c r="D711" s="907">
        <v>46038</v>
      </c>
      <c r="E711" s="839" t="s">
        <v>331</v>
      </c>
      <c r="F711" s="839" t="s">
        <v>231</v>
      </c>
      <c r="G711" s="916">
        <f>VLOOKUP($A711,'Tech Litons'!$A:$I,8,FALSE)</f>
        <v>4.2560000000000002E-3</v>
      </c>
      <c r="H711" s="917">
        <f>VLOOKUP($A711,'Tech Litons'!$A:$I,9,FALSE)</f>
        <v>143</v>
      </c>
      <c r="I711" s="917" t="str">
        <f>VLOOKUP($A711,'Tech Litons'!$A:$C,3,0)</f>
        <v>MG Sticks</v>
      </c>
      <c r="J711" s="918" t="str">
        <f t="shared" si="66"/>
        <v>2904MG Sticks</v>
      </c>
      <c r="K711" s="919">
        <v>1</v>
      </c>
      <c r="L711" s="920">
        <f t="shared" si="67"/>
        <v>4004</v>
      </c>
      <c r="M711" s="920">
        <f t="shared" si="68"/>
        <v>17.041024</v>
      </c>
      <c r="N711" s="920">
        <f t="shared" si="69"/>
        <v>28</v>
      </c>
      <c r="O711" s="918" t="str">
        <f t="shared" si="70"/>
        <v>Jan</v>
      </c>
      <c r="P711" s="921">
        <f t="shared" si="71"/>
        <v>3</v>
      </c>
    </row>
    <row r="712" spans="1:16" ht="15" hidden="1" customHeight="1">
      <c r="A712" s="839">
        <v>64389651</v>
      </c>
      <c r="B712" s="839">
        <v>2904</v>
      </c>
      <c r="C712" s="906">
        <v>4048</v>
      </c>
      <c r="D712" s="907">
        <v>46038</v>
      </c>
      <c r="E712" s="839" t="s">
        <v>355</v>
      </c>
      <c r="F712" s="839" t="s">
        <v>269</v>
      </c>
      <c r="G712" s="916">
        <f>VLOOKUP($A712,'Tech Litons'!$A:$I,8,FALSE)</f>
        <v>8.5199999999999998E-3</v>
      </c>
      <c r="H712" s="917">
        <f>VLOOKUP($A712,'Tech Litons'!$A:$I,9,FALSE)</f>
        <v>176</v>
      </c>
      <c r="I712" s="917" t="str">
        <f>VLOOKUP($A712,'Tech Litons'!$A:$C,3,0)</f>
        <v>48oz</v>
      </c>
      <c r="J712" s="918" t="str">
        <f t="shared" si="66"/>
        <v>290448oz</v>
      </c>
      <c r="K712" s="919">
        <v>1</v>
      </c>
      <c r="L712" s="920">
        <f t="shared" si="67"/>
        <v>4048</v>
      </c>
      <c r="M712" s="920">
        <f t="shared" si="68"/>
        <v>34.488959999999999</v>
      </c>
      <c r="N712" s="920">
        <f t="shared" si="69"/>
        <v>23</v>
      </c>
      <c r="O712" s="918" t="str">
        <f t="shared" si="70"/>
        <v>Jan</v>
      </c>
      <c r="P712" s="921">
        <f t="shared" si="71"/>
        <v>3</v>
      </c>
    </row>
    <row r="713" spans="1:16" ht="15" hidden="1" customHeight="1">
      <c r="A713" s="839">
        <v>64389651</v>
      </c>
      <c r="B713" s="839">
        <v>2904</v>
      </c>
      <c r="C713" s="906">
        <v>4048</v>
      </c>
      <c r="D713" s="907">
        <v>46038</v>
      </c>
      <c r="E713" s="839" t="s">
        <v>355</v>
      </c>
      <c r="F713" s="839" t="s">
        <v>269</v>
      </c>
      <c r="G713" s="916">
        <f>VLOOKUP($A713,'Tech Litons'!$A:$I,8,FALSE)</f>
        <v>8.5199999999999998E-3</v>
      </c>
      <c r="H713" s="917">
        <f>VLOOKUP($A713,'Tech Litons'!$A:$I,9,FALSE)</f>
        <v>176</v>
      </c>
      <c r="I713" s="917" t="str">
        <f>VLOOKUP($A713,'Tech Litons'!$A:$C,3,0)</f>
        <v>48oz</v>
      </c>
      <c r="J713" s="918" t="str">
        <f t="shared" si="66"/>
        <v>290448oz</v>
      </c>
      <c r="K713" s="919">
        <v>1</v>
      </c>
      <c r="L713" s="920">
        <f t="shared" si="67"/>
        <v>4048</v>
      </c>
      <c r="M713" s="920">
        <f t="shared" si="68"/>
        <v>34.488959999999999</v>
      </c>
      <c r="N713" s="920">
        <f t="shared" si="69"/>
        <v>23</v>
      </c>
      <c r="O713" s="918" t="str">
        <f t="shared" si="70"/>
        <v>Jan</v>
      </c>
      <c r="P713" s="921">
        <f t="shared" si="71"/>
        <v>3</v>
      </c>
    </row>
    <row r="714" spans="1:16" ht="15" hidden="1" customHeight="1">
      <c r="A714" s="839">
        <v>69700048</v>
      </c>
      <c r="B714" s="839">
        <v>1352</v>
      </c>
      <c r="C714" s="906">
        <v>4241</v>
      </c>
      <c r="D714" s="907">
        <v>46038</v>
      </c>
      <c r="E714" s="839" t="s">
        <v>328</v>
      </c>
      <c r="F714" s="839" t="s">
        <v>287</v>
      </c>
      <c r="G714" s="916">
        <f>VLOOKUP($A714,'Tech Litons'!$A:$I,8,FALSE)</f>
        <v>2.7360000000000002E-3</v>
      </c>
      <c r="H714" s="917">
        <f>VLOOKUP($A714,'Tech Litons'!$A:$I,9,FALSE)</f>
        <v>225</v>
      </c>
      <c r="I714" s="917" t="str">
        <f>VLOOKUP($A714,'Tech Litons'!$A:$C,3,0)</f>
        <v>MBG</v>
      </c>
      <c r="J714" s="918" t="str">
        <f t="shared" si="66"/>
        <v>1352MBG</v>
      </c>
      <c r="K714" s="919">
        <v>1</v>
      </c>
      <c r="L714" s="920">
        <f t="shared" si="67"/>
        <v>4241</v>
      </c>
      <c r="M714" s="920">
        <f t="shared" si="68"/>
        <v>11.603376000000001</v>
      </c>
      <c r="N714" s="920">
        <f t="shared" si="69"/>
        <v>18.84888888888889</v>
      </c>
      <c r="O714" s="918" t="str">
        <f t="shared" si="70"/>
        <v>Jan</v>
      </c>
      <c r="P714" s="921">
        <f t="shared" si="71"/>
        <v>3</v>
      </c>
    </row>
    <row r="715" spans="1:16" ht="15" hidden="1" customHeight="1">
      <c r="A715" s="839">
        <v>68300738</v>
      </c>
      <c r="B715" s="839">
        <v>1352</v>
      </c>
      <c r="C715" s="906">
        <v>4596</v>
      </c>
      <c r="D715" s="907">
        <v>46038</v>
      </c>
      <c r="E715" s="839" t="s">
        <v>325</v>
      </c>
      <c r="F715" s="839" t="s">
        <v>240</v>
      </c>
      <c r="G715" s="916">
        <f>VLOOKUP($A715,'Tech Litons'!$A:$I,8,FALSE)</f>
        <v>8.4960000000000001E-3</v>
      </c>
      <c r="H715" s="917">
        <f>VLOOKUP($A715,'Tech Litons'!$A:$I,9,FALSE)</f>
        <v>132</v>
      </c>
      <c r="I715" s="917" t="str">
        <f>VLOOKUP($A715,'Tech Litons'!$A:$C,3,0)</f>
        <v>EDF</v>
      </c>
      <c r="J715" s="918" t="str">
        <f t="shared" si="66"/>
        <v>1352EDF</v>
      </c>
      <c r="K715" s="919">
        <v>1</v>
      </c>
      <c r="L715" s="920">
        <f t="shared" si="67"/>
        <v>4596</v>
      </c>
      <c r="M715" s="920">
        <f t="shared" si="68"/>
        <v>39.047615999999998</v>
      </c>
      <c r="N715" s="920">
        <f t="shared" si="69"/>
        <v>34.81818181818182</v>
      </c>
      <c r="O715" s="918" t="str">
        <f t="shared" si="70"/>
        <v>Jan</v>
      </c>
      <c r="P715" s="921">
        <f t="shared" si="71"/>
        <v>3</v>
      </c>
    </row>
    <row r="716" spans="1:16" ht="15" hidden="1" customHeight="1">
      <c r="A716" s="839">
        <v>64330596</v>
      </c>
      <c r="B716" s="839">
        <v>2904</v>
      </c>
      <c r="C716" s="906">
        <v>4751</v>
      </c>
      <c r="D716" s="907">
        <v>46038</v>
      </c>
      <c r="E716" s="839" t="s">
        <v>280</v>
      </c>
      <c r="F716" s="839" t="s">
        <v>281</v>
      </c>
      <c r="G716" s="916">
        <f>VLOOKUP($A716,'Tech Litons'!$A:$I,8,FALSE)</f>
        <v>1.98E-3</v>
      </c>
      <c r="H716" s="917">
        <f>VLOOKUP($A716,'Tech Litons'!$A:$I,9,FALSE)</f>
        <v>176</v>
      </c>
      <c r="I716" s="917" t="str">
        <f>VLOOKUP($A716,'Tech Litons'!$A:$C,3,0)</f>
        <v>MG Sticks</v>
      </c>
      <c r="J716" s="918" t="str">
        <f t="shared" si="66"/>
        <v>2904MG Sticks</v>
      </c>
      <c r="K716" s="919">
        <v>1</v>
      </c>
      <c r="L716" s="920">
        <f t="shared" si="67"/>
        <v>4751</v>
      </c>
      <c r="M716" s="920">
        <f t="shared" si="68"/>
        <v>9.4069800000000008</v>
      </c>
      <c r="N716" s="920">
        <f t="shared" si="69"/>
        <v>26.994318181818183</v>
      </c>
      <c r="O716" s="918" t="str">
        <f t="shared" si="70"/>
        <v>Jan</v>
      </c>
      <c r="P716" s="921">
        <f t="shared" si="71"/>
        <v>3</v>
      </c>
    </row>
    <row r="717" spans="1:16" ht="15" hidden="1" customHeight="1">
      <c r="A717" s="839">
        <v>68851107</v>
      </c>
      <c r="B717" s="839">
        <v>1352</v>
      </c>
      <c r="C717" s="906">
        <v>4752</v>
      </c>
      <c r="D717" s="907">
        <v>46038</v>
      </c>
      <c r="E717" s="839" t="s">
        <v>272</v>
      </c>
      <c r="F717" s="839" t="s">
        <v>290</v>
      </c>
      <c r="G717" s="916">
        <f>VLOOKUP($A717,'Tech Litons'!$A:$I,8,FALSE)</f>
        <v>8.5199999999999998E-3</v>
      </c>
      <c r="H717" s="917">
        <f>VLOOKUP($A717,'Tech Litons'!$A:$I,9,FALSE)</f>
        <v>176</v>
      </c>
      <c r="I717" s="917" t="str">
        <f>VLOOKUP($A717,'Tech Litons'!$A:$C,3,0)</f>
        <v>48oz</v>
      </c>
      <c r="J717" s="918" t="str">
        <f t="shared" si="66"/>
        <v>135248oz</v>
      </c>
      <c r="K717" s="919">
        <v>1</v>
      </c>
      <c r="L717" s="920">
        <f t="shared" si="67"/>
        <v>4752</v>
      </c>
      <c r="M717" s="920">
        <f t="shared" si="68"/>
        <v>40.48704</v>
      </c>
      <c r="N717" s="920">
        <f t="shared" si="69"/>
        <v>27</v>
      </c>
      <c r="O717" s="918" t="str">
        <f t="shared" si="70"/>
        <v>Jan</v>
      </c>
      <c r="P717" s="921">
        <f t="shared" si="71"/>
        <v>3</v>
      </c>
    </row>
    <row r="718" spans="1:16" ht="15" hidden="1" customHeight="1">
      <c r="A718" s="839">
        <v>68851108</v>
      </c>
      <c r="B718" s="839">
        <v>2904</v>
      </c>
      <c r="C718" s="906">
        <v>4880</v>
      </c>
      <c r="D718" s="907">
        <v>46038</v>
      </c>
      <c r="E718" s="839" t="s">
        <v>296</v>
      </c>
      <c r="F718" s="839" t="s">
        <v>273</v>
      </c>
      <c r="G718" s="916">
        <f>VLOOKUP($A718,'Tech Litons'!$A:$I,8,FALSE)</f>
        <v>8.5199999999999998E-3</v>
      </c>
      <c r="H718" s="917">
        <f>VLOOKUP($A718,'Tech Litons'!$A:$I,9,FALSE)</f>
        <v>176</v>
      </c>
      <c r="I718" s="917" t="str">
        <f>VLOOKUP($A718,'Tech Litons'!$A:$C,3,0)</f>
        <v>48oz</v>
      </c>
      <c r="J718" s="918" t="str">
        <f t="shared" si="66"/>
        <v>290448oz</v>
      </c>
      <c r="K718" s="919">
        <v>1</v>
      </c>
      <c r="L718" s="920">
        <f t="shared" si="67"/>
        <v>4880</v>
      </c>
      <c r="M718" s="920">
        <f t="shared" si="68"/>
        <v>41.577599999999997</v>
      </c>
      <c r="N718" s="920">
        <f t="shared" si="69"/>
        <v>27.727272727272727</v>
      </c>
      <c r="O718" s="918" t="str">
        <f t="shared" si="70"/>
        <v>Jan</v>
      </c>
      <c r="P718" s="921">
        <f t="shared" si="71"/>
        <v>3</v>
      </c>
    </row>
    <row r="719" spans="1:16" ht="15" hidden="1" customHeight="1">
      <c r="A719" s="839">
        <v>68354588</v>
      </c>
      <c r="B719" s="839">
        <v>2904</v>
      </c>
      <c r="C719" s="906">
        <v>5052</v>
      </c>
      <c r="D719" s="907">
        <v>46038</v>
      </c>
      <c r="E719" s="839" t="s">
        <v>332</v>
      </c>
      <c r="F719" s="839" t="s">
        <v>40</v>
      </c>
      <c r="G719" s="916">
        <f>VLOOKUP($A719,'Tech Litons'!$A:$I,8,FALSE)</f>
        <v>3.5999999999999999E-3</v>
      </c>
      <c r="H719" s="917">
        <f>VLOOKUP($A719,'Tech Litons'!$A:$I,9,FALSE)</f>
        <v>240</v>
      </c>
      <c r="I719" s="917" t="str">
        <f>VLOOKUP($A719,'Tech Litons'!$A:$C,3,0)</f>
        <v>Topped</v>
      </c>
      <c r="J719" s="918" t="str">
        <f t="shared" si="66"/>
        <v>2904Topped</v>
      </c>
      <c r="K719" s="919">
        <v>1</v>
      </c>
      <c r="L719" s="920">
        <f t="shared" si="67"/>
        <v>5052</v>
      </c>
      <c r="M719" s="920">
        <f t="shared" si="68"/>
        <v>18.187200000000001</v>
      </c>
      <c r="N719" s="920">
        <f t="shared" si="69"/>
        <v>21.05</v>
      </c>
      <c r="O719" s="918" t="str">
        <f t="shared" si="70"/>
        <v>Jan</v>
      </c>
      <c r="P719" s="921">
        <f t="shared" si="71"/>
        <v>3</v>
      </c>
    </row>
    <row r="720" spans="1:16" ht="15" hidden="1" customHeight="1">
      <c r="A720" s="839">
        <v>64393719</v>
      </c>
      <c r="B720" s="839">
        <v>2904</v>
      </c>
      <c r="C720" s="906">
        <v>5148</v>
      </c>
      <c r="D720" s="907">
        <v>46038</v>
      </c>
      <c r="E720" s="839" t="s">
        <v>331</v>
      </c>
      <c r="F720" s="839" t="s">
        <v>231</v>
      </c>
      <c r="G720" s="916">
        <f>VLOOKUP($A720,'Tech Litons'!$A:$I,8,FALSE)</f>
        <v>4.2560000000000002E-3</v>
      </c>
      <c r="H720" s="917">
        <f>VLOOKUP($A720,'Tech Litons'!$A:$I,9,FALSE)</f>
        <v>143</v>
      </c>
      <c r="I720" s="917" t="str">
        <f>VLOOKUP($A720,'Tech Litons'!$A:$C,3,0)</f>
        <v>MG Sticks</v>
      </c>
      <c r="J720" s="918" t="str">
        <f t="shared" si="66"/>
        <v>2904MG Sticks</v>
      </c>
      <c r="K720" s="919">
        <v>1</v>
      </c>
      <c r="L720" s="920">
        <f t="shared" si="67"/>
        <v>5148</v>
      </c>
      <c r="M720" s="920">
        <f t="shared" si="68"/>
        <v>21.909888000000002</v>
      </c>
      <c r="N720" s="920">
        <f t="shared" si="69"/>
        <v>36</v>
      </c>
      <c r="O720" s="918" t="str">
        <f t="shared" si="70"/>
        <v>Jan</v>
      </c>
      <c r="P720" s="921">
        <f t="shared" si="71"/>
        <v>3</v>
      </c>
    </row>
    <row r="721" spans="1:16" ht="15" hidden="1" customHeight="1">
      <c r="A721" s="839">
        <v>69999268</v>
      </c>
      <c r="B721" s="839">
        <v>2904</v>
      </c>
      <c r="C721" s="906">
        <v>5219</v>
      </c>
      <c r="D721" s="907">
        <v>46038</v>
      </c>
      <c r="E721" s="839" t="s">
        <v>351</v>
      </c>
      <c r="F721" s="839" t="s">
        <v>299</v>
      </c>
      <c r="G721" s="916">
        <f>VLOOKUP($A721,'Tech Litons'!$A:$I,8,FALSE)</f>
        <v>3.7839999999999996E-3</v>
      </c>
      <c r="H721" s="917">
        <f>VLOOKUP($A721,'Tech Litons'!$A:$I,9,FALSE)</f>
        <v>240</v>
      </c>
      <c r="I721" s="917" t="str">
        <f>VLOOKUP($A721,'Tech Litons'!$A:$C,3,0)</f>
        <v>BJ PTS</v>
      </c>
      <c r="J721" s="918" t="str">
        <f t="shared" si="66"/>
        <v>2904BJ PTS</v>
      </c>
      <c r="K721" s="919">
        <v>1</v>
      </c>
      <c r="L721" s="920">
        <f t="shared" si="67"/>
        <v>5219</v>
      </c>
      <c r="M721" s="920">
        <f t="shared" si="68"/>
        <v>19.748695999999999</v>
      </c>
      <c r="N721" s="920">
        <f t="shared" si="69"/>
        <v>21.745833333333334</v>
      </c>
      <c r="O721" s="918" t="str">
        <f t="shared" si="70"/>
        <v>Jan</v>
      </c>
      <c r="P721" s="921">
        <f t="shared" si="71"/>
        <v>3</v>
      </c>
    </row>
    <row r="722" spans="1:16" ht="15" hidden="1" customHeight="1">
      <c r="A722" s="839">
        <v>68867755</v>
      </c>
      <c r="B722" s="839">
        <v>2904</v>
      </c>
      <c r="C722" s="906">
        <v>5282</v>
      </c>
      <c r="D722" s="907">
        <v>46038</v>
      </c>
      <c r="E722" s="839" t="s">
        <v>274</v>
      </c>
      <c r="F722" s="839" t="s">
        <v>275</v>
      </c>
      <c r="G722" s="916">
        <f>VLOOKUP($A722,'Tech Litons'!$A:$I,8,FALSE)</f>
        <v>3.552E-3</v>
      </c>
      <c r="H722" s="917">
        <f>VLOOKUP($A722,'Tech Litons'!$A:$I,9,FALSE)</f>
        <v>255</v>
      </c>
      <c r="I722" s="917" t="str">
        <f>VLOOKUP($A722,'Tech Litons'!$A:$C,3,0)</f>
        <v>Talenti</v>
      </c>
      <c r="J722" s="918" t="str">
        <f t="shared" ref="J722:J785" si="72">B722&amp;I722</f>
        <v>2904Talenti</v>
      </c>
      <c r="K722" s="919">
        <v>1</v>
      </c>
      <c r="L722" s="920">
        <f t="shared" ref="L722:L785" si="73">C722*$K722</f>
        <v>5282</v>
      </c>
      <c r="M722" s="920">
        <f t="shared" ref="M722:M785" si="74">L722*G722</f>
        <v>18.761664</v>
      </c>
      <c r="N722" s="920">
        <f t="shared" ref="N722:N785" si="75">L722/H722</f>
        <v>20.713725490196079</v>
      </c>
      <c r="O722" s="918" t="str">
        <f t="shared" ref="O722:O785" si="76">TEXT(D722,"MMM")</f>
        <v>Jan</v>
      </c>
      <c r="P722" s="921">
        <f t="shared" ref="P722:P785" si="77">WEEKNUM(D722)</f>
        <v>3</v>
      </c>
    </row>
    <row r="723" spans="1:16" ht="15" hidden="1" customHeight="1">
      <c r="A723" s="839">
        <v>68689251</v>
      </c>
      <c r="B723" s="839">
        <v>1352</v>
      </c>
      <c r="C723" s="906">
        <v>5436</v>
      </c>
      <c r="D723" s="907">
        <v>46038</v>
      </c>
      <c r="E723" s="839" t="s">
        <v>262</v>
      </c>
      <c r="F723" s="839" t="s">
        <v>242</v>
      </c>
      <c r="G723" s="916">
        <f>VLOOKUP($A723,'Tech Litons'!$A:$I,8,FALSE)</f>
        <v>9.5760000000000012E-3</v>
      </c>
      <c r="H723" s="917">
        <f>VLOOKUP($A723,'Tech Litons'!$A:$I,9,FALSE)</f>
        <v>132</v>
      </c>
      <c r="I723" s="917" t="str">
        <f>VLOOKUP($A723,'Tech Litons'!$A:$C,3,0)</f>
        <v>EDF</v>
      </c>
      <c r="J723" s="918" t="str">
        <f t="shared" si="72"/>
        <v>1352EDF</v>
      </c>
      <c r="K723" s="919">
        <v>1</v>
      </c>
      <c r="L723" s="920">
        <f t="shared" si="73"/>
        <v>5436</v>
      </c>
      <c r="M723" s="920">
        <f t="shared" si="74"/>
        <v>52.055136000000005</v>
      </c>
      <c r="N723" s="920">
        <f t="shared" si="75"/>
        <v>41.18181818181818</v>
      </c>
      <c r="O723" s="918" t="str">
        <f t="shared" si="76"/>
        <v>Jan</v>
      </c>
      <c r="P723" s="921">
        <f t="shared" si="77"/>
        <v>3</v>
      </c>
    </row>
    <row r="724" spans="1:16" ht="15" hidden="1" customHeight="1">
      <c r="A724" s="839">
        <v>68851104</v>
      </c>
      <c r="B724" s="839">
        <v>1352</v>
      </c>
      <c r="C724" s="906">
        <v>5632</v>
      </c>
      <c r="D724" s="907">
        <v>46038</v>
      </c>
      <c r="E724" s="839" t="s">
        <v>270</v>
      </c>
      <c r="F724" s="839" t="s">
        <v>264</v>
      </c>
      <c r="G724" s="916">
        <f>VLOOKUP($A724,'Tech Litons'!$A:$I,8,FALSE)</f>
        <v>8.5199999999999998E-3</v>
      </c>
      <c r="H724" s="917">
        <f>VLOOKUP($A724,'Tech Litons'!$A:$I,9,FALSE)</f>
        <v>176</v>
      </c>
      <c r="I724" s="917" t="str">
        <f>VLOOKUP($A724,'Tech Litons'!$A:$C,3,0)</f>
        <v>48oz</v>
      </c>
      <c r="J724" s="918" t="str">
        <f t="shared" si="72"/>
        <v>135248oz</v>
      </c>
      <c r="K724" s="919">
        <v>1</v>
      </c>
      <c r="L724" s="920">
        <f t="shared" si="73"/>
        <v>5632</v>
      </c>
      <c r="M724" s="920">
        <f t="shared" si="74"/>
        <v>47.984639999999999</v>
      </c>
      <c r="N724" s="920">
        <f t="shared" si="75"/>
        <v>32</v>
      </c>
      <c r="O724" s="918" t="str">
        <f t="shared" si="76"/>
        <v>Jan</v>
      </c>
      <c r="P724" s="921">
        <f t="shared" si="77"/>
        <v>3</v>
      </c>
    </row>
    <row r="725" spans="1:16" ht="15" hidden="1" customHeight="1">
      <c r="A725" s="839">
        <v>68851104</v>
      </c>
      <c r="B725" s="839">
        <v>1352</v>
      </c>
      <c r="C725" s="906">
        <v>5753</v>
      </c>
      <c r="D725" s="907">
        <v>46038</v>
      </c>
      <c r="E725" s="839" t="s">
        <v>270</v>
      </c>
      <c r="F725" s="839" t="s">
        <v>264</v>
      </c>
      <c r="G725" s="916">
        <f>VLOOKUP($A725,'Tech Litons'!$A:$I,8,FALSE)</f>
        <v>8.5199999999999998E-3</v>
      </c>
      <c r="H725" s="917">
        <f>VLOOKUP($A725,'Tech Litons'!$A:$I,9,FALSE)</f>
        <v>176</v>
      </c>
      <c r="I725" s="917" t="str">
        <f>VLOOKUP($A725,'Tech Litons'!$A:$C,3,0)</f>
        <v>48oz</v>
      </c>
      <c r="J725" s="918" t="str">
        <f t="shared" si="72"/>
        <v>135248oz</v>
      </c>
      <c r="K725" s="919">
        <v>1</v>
      </c>
      <c r="L725" s="920">
        <f t="shared" si="73"/>
        <v>5753</v>
      </c>
      <c r="M725" s="920">
        <f t="shared" si="74"/>
        <v>49.015560000000001</v>
      </c>
      <c r="N725" s="920">
        <f t="shared" si="75"/>
        <v>32.6875</v>
      </c>
      <c r="O725" s="918" t="str">
        <f t="shared" si="76"/>
        <v>Jan</v>
      </c>
      <c r="P725" s="921">
        <f t="shared" si="77"/>
        <v>3</v>
      </c>
    </row>
    <row r="726" spans="1:16" ht="15" hidden="1" customHeight="1">
      <c r="A726" s="839">
        <v>64958122</v>
      </c>
      <c r="B726" s="839">
        <v>2904</v>
      </c>
      <c r="C726" s="906">
        <v>6060</v>
      </c>
      <c r="D726" s="907">
        <v>46038</v>
      </c>
      <c r="E726" s="839" t="s">
        <v>236</v>
      </c>
      <c r="F726" s="839" t="s">
        <v>234</v>
      </c>
      <c r="G726" s="916">
        <f>VLOOKUP($A726,'Tech Litons'!$A:$I,8,FALSE)</f>
        <v>3.3119999999999998E-3</v>
      </c>
      <c r="H726" s="917">
        <f>VLOOKUP($A726,'Tech Litons'!$A:$I,9,FALSE)</f>
        <v>165</v>
      </c>
      <c r="I726" s="917" t="str">
        <f>VLOOKUP($A726,'Tech Litons'!$A:$C,3,0)</f>
        <v>Yasso Sticks</v>
      </c>
      <c r="J726" s="918" t="str">
        <f t="shared" si="72"/>
        <v>2904Yasso Sticks</v>
      </c>
      <c r="K726" s="919">
        <v>1</v>
      </c>
      <c r="L726" s="920">
        <f t="shared" si="73"/>
        <v>6060</v>
      </c>
      <c r="M726" s="920">
        <f t="shared" si="74"/>
        <v>20.070719999999998</v>
      </c>
      <c r="N726" s="920">
        <f t="shared" si="75"/>
        <v>36.727272727272727</v>
      </c>
      <c r="O726" s="918" t="str">
        <f t="shared" si="76"/>
        <v>Jan</v>
      </c>
      <c r="P726" s="921">
        <f t="shared" si="77"/>
        <v>3</v>
      </c>
    </row>
    <row r="727" spans="1:16" ht="15" hidden="1" customHeight="1">
      <c r="A727" s="839">
        <v>68867755</v>
      </c>
      <c r="B727" s="839">
        <v>2904</v>
      </c>
      <c r="C727" s="906">
        <v>6340</v>
      </c>
      <c r="D727" s="907">
        <v>46038</v>
      </c>
      <c r="E727" s="839" t="s">
        <v>274</v>
      </c>
      <c r="F727" s="839" t="s">
        <v>275</v>
      </c>
      <c r="G727" s="916">
        <f>VLOOKUP($A727,'Tech Litons'!$A:$I,8,FALSE)</f>
        <v>3.552E-3</v>
      </c>
      <c r="H727" s="917">
        <f>VLOOKUP($A727,'Tech Litons'!$A:$I,9,FALSE)</f>
        <v>255</v>
      </c>
      <c r="I727" s="917" t="str">
        <f>VLOOKUP($A727,'Tech Litons'!$A:$C,3,0)</f>
        <v>Talenti</v>
      </c>
      <c r="J727" s="918" t="str">
        <f t="shared" si="72"/>
        <v>2904Talenti</v>
      </c>
      <c r="K727" s="919">
        <v>1</v>
      </c>
      <c r="L727" s="920">
        <f t="shared" si="73"/>
        <v>6340</v>
      </c>
      <c r="M727" s="920">
        <f t="shared" si="74"/>
        <v>22.519680000000001</v>
      </c>
      <c r="N727" s="920">
        <f t="shared" si="75"/>
        <v>24.862745098039216</v>
      </c>
      <c r="O727" s="918" t="str">
        <f t="shared" si="76"/>
        <v>Jan</v>
      </c>
      <c r="P727" s="921">
        <f t="shared" si="77"/>
        <v>3</v>
      </c>
    </row>
    <row r="728" spans="1:16" ht="15" hidden="1" customHeight="1">
      <c r="A728" s="839">
        <v>69568828</v>
      </c>
      <c r="B728" s="839">
        <v>2904</v>
      </c>
      <c r="C728" s="906">
        <v>6864</v>
      </c>
      <c r="D728" s="907">
        <v>46038</v>
      </c>
      <c r="E728" s="839" t="s">
        <v>320</v>
      </c>
      <c r="F728" s="839" t="s">
        <v>271</v>
      </c>
      <c r="G728" s="916">
        <f>VLOOKUP($A728,'Tech Litons'!$A:$I,8,FALSE)</f>
        <v>8.5199999999999998E-3</v>
      </c>
      <c r="H728" s="917">
        <f>VLOOKUP($A728,'Tech Litons'!$A:$I,9,FALSE)</f>
        <v>176</v>
      </c>
      <c r="I728" s="917" t="str">
        <f>VLOOKUP($A728,'Tech Litons'!$A:$C,3,0)</f>
        <v>48oz</v>
      </c>
      <c r="J728" s="918" t="str">
        <f t="shared" si="72"/>
        <v>290448oz</v>
      </c>
      <c r="K728" s="919">
        <v>1</v>
      </c>
      <c r="L728" s="920">
        <f t="shared" si="73"/>
        <v>6864</v>
      </c>
      <c r="M728" s="920">
        <f t="shared" si="74"/>
        <v>58.481279999999998</v>
      </c>
      <c r="N728" s="920">
        <f t="shared" si="75"/>
        <v>39</v>
      </c>
      <c r="O728" s="918" t="str">
        <f t="shared" si="76"/>
        <v>Jan</v>
      </c>
      <c r="P728" s="921">
        <f t="shared" si="77"/>
        <v>3</v>
      </c>
    </row>
    <row r="729" spans="1:16" ht="15" hidden="1" customHeight="1">
      <c r="A729" s="839">
        <v>69568828</v>
      </c>
      <c r="B729" s="839">
        <v>2904</v>
      </c>
      <c r="C729" s="906">
        <v>6864</v>
      </c>
      <c r="D729" s="907">
        <v>46038</v>
      </c>
      <c r="E729" s="839" t="s">
        <v>320</v>
      </c>
      <c r="F729" s="839" t="s">
        <v>271</v>
      </c>
      <c r="G729" s="916">
        <f>VLOOKUP($A729,'Tech Litons'!$A:$I,8,FALSE)</f>
        <v>8.5199999999999998E-3</v>
      </c>
      <c r="H729" s="917">
        <f>VLOOKUP($A729,'Tech Litons'!$A:$I,9,FALSE)</f>
        <v>176</v>
      </c>
      <c r="I729" s="917" t="str">
        <f>VLOOKUP($A729,'Tech Litons'!$A:$C,3,0)</f>
        <v>48oz</v>
      </c>
      <c r="J729" s="918" t="str">
        <f t="shared" si="72"/>
        <v>290448oz</v>
      </c>
      <c r="K729" s="919">
        <v>1</v>
      </c>
      <c r="L729" s="920">
        <f t="shared" si="73"/>
        <v>6864</v>
      </c>
      <c r="M729" s="920">
        <f t="shared" si="74"/>
        <v>58.481279999999998</v>
      </c>
      <c r="N729" s="920">
        <f t="shared" si="75"/>
        <v>39</v>
      </c>
      <c r="O729" s="918" t="str">
        <f t="shared" si="76"/>
        <v>Jan</v>
      </c>
      <c r="P729" s="921">
        <f t="shared" si="77"/>
        <v>3</v>
      </c>
    </row>
    <row r="730" spans="1:16" ht="15" hidden="1" customHeight="1">
      <c r="A730" s="839">
        <v>64330611</v>
      </c>
      <c r="B730" s="839">
        <v>2904</v>
      </c>
      <c r="C730" s="906">
        <v>7340</v>
      </c>
      <c r="D730" s="907">
        <v>46038</v>
      </c>
      <c r="E730" s="839" t="s">
        <v>354</v>
      </c>
      <c r="F730" s="839" t="s">
        <v>283</v>
      </c>
      <c r="G730" s="916">
        <f>VLOOKUP($A730,'Tech Litons'!$A:$I,8,FALSE)</f>
        <v>2.16E-3</v>
      </c>
      <c r="H730" s="917">
        <f>VLOOKUP($A730,'Tech Litons'!$A:$I,9,FALSE)</f>
        <v>210</v>
      </c>
      <c r="I730" s="917" t="str">
        <f>VLOOKUP($A730,'Tech Litons'!$A:$C,3,0)</f>
        <v>MG Sticks</v>
      </c>
      <c r="J730" s="918" t="str">
        <f t="shared" si="72"/>
        <v>2904MG Sticks</v>
      </c>
      <c r="K730" s="919">
        <v>1</v>
      </c>
      <c r="L730" s="920">
        <f t="shared" si="73"/>
        <v>7340</v>
      </c>
      <c r="M730" s="920">
        <f t="shared" si="74"/>
        <v>15.8544</v>
      </c>
      <c r="N730" s="920">
        <f t="shared" si="75"/>
        <v>34.952380952380949</v>
      </c>
      <c r="O730" s="918" t="str">
        <f t="shared" si="76"/>
        <v>Jan</v>
      </c>
      <c r="P730" s="921">
        <f t="shared" si="77"/>
        <v>3</v>
      </c>
    </row>
    <row r="731" spans="1:16" ht="15" hidden="1" customHeight="1">
      <c r="A731" s="839">
        <v>64958122</v>
      </c>
      <c r="B731" s="839">
        <v>2904</v>
      </c>
      <c r="C731" s="906">
        <v>7755</v>
      </c>
      <c r="D731" s="907">
        <v>46038</v>
      </c>
      <c r="E731" s="839" t="s">
        <v>236</v>
      </c>
      <c r="F731" s="839" t="s">
        <v>234</v>
      </c>
      <c r="G731" s="916">
        <f>VLOOKUP($A731,'Tech Litons'!$A:$I,8,FALSE)</f>
        <v>3.3119999999999998E-3</v>
      </c>
      <c r="H731" s="917">
        <f>VLOOKUP($A731,'Tech Litons'!$A:$I,9,FALSE)</f>
        <v>165</v>
      </c>
      <c r="I731" s="917" t="str">
        <f>VLOOKUP($A731,'Tech Litons'!$A:$C,3,0)</f>
        <v>Yasso Sticks</v>
      </c>
      <c r="J731" s="918" t="str">
        <f t="shared" si="72"/>
        <v>2904Yasso Sticks</v>
      </c>
      <c r="K731" s="919">
        <v>1</v>
      </c>
      <c r="L731" s="920">
        <f t="shared" si="73"/>
        <v>7755</v>
      </c>
      <c r="M731" s="920">
        <f t="shared" si="74"/>
        <v>25.684559999999998</v>
      </c>
      <c r="N731" s="920">
        <f t="shared" si="75"/>
        <v>47</v>
      </c>
      <c r="O731" s="918" t="str">
        <f t="shared" si="76"/>
        <v>Jan</v>
      </c>
      <c r="P731" s="921">
        <f t="shared" si="77"/>
        <v>3</v>
      </c>
    </row>
    <row r="732" spans="1:16" ht="15" hidden="1" customHeight="1">
      <c r="A732" s="839">
        <v>68354588</v>
      </c>
      <c r="B732" s="839">
        <v>2904</v>
      </c>
      <c r="C732" s="906">
        <v>8483</v>
      </c>
      <c r="D732" s="907">
        <v>46038</v>
      </c>
      <c r="E732" s="839" t="s">
        <v>332</v>
      </c>
      <c r="F732" s="839" t="s">
        <v>40</v>
      </c>
      <c r="G732" s="916">
        <f>VLOOKUP($A732,'Tech Litons'!$A:$I,8,FALSE)</f>
        <v>3.5999999999999999E-3</v>
      </c>
      <c r="H732" s="917">
        <f>VLOOKUP($A732,'Tech Litons'!$A:$I,9,FALSE)</f>
        <v>240</v>
      </c>
      <c r="I732" s="917" t="str">
        <f>VLOOKUP($A732,'Tech Litons'!$A:$C,3,0)</f>
        <v>Topped</v>
      </c>
      <c r="J732" s="918" t="str">
        <f t="shared" si="72"/>
        <v>2904Topped</v>
      </c>
      <c r="K732" s="919">
        <v>1</v>
      </c>
      <c r="L732" s="920">
        <f t="shared" si="73"/>
        <v>8483</v>
      </c>
      <c r="M732" s="920">
        <f t="shared" si="74"/>
        <v>30.538799999999998</v>
      </c>
      <c r="N732" s="920">
        <f t="shared" si="75"/>
        <v>35.345833333333331</v>
      </c>
      <c r="O732" s="918" t="str">
        <f t="shared" si="76"/>
        <v>Jan</v>
      </c>
      <c r="P732" s="921">
        <f t="shared" si="77"/>
        <v>3</v>
      </c>
    </row>
    <row r="733" spans="1:16" ht="15" hidden="1" customHeight="1">
      <c r="A733" s="839">
        <v>68851107</v>
      </c>
      <c r="B733" s="839">
        <v>1352</v>
      </c>
      <c r="C733" s="906">
        <v>9165</v>
      </c>
      <c r="D733" s="907">
        <v>46038</v>
      </c>
      <c r="E733" s="839" t="s">
        <v>272</v>
      </c>
      <c r="F733" s="839" t="s">
        <v>290</v>
      </c>
      <c r="G733" s="916">
        <f>VLOOKUP($A733,'Tech Litons'!$A:$I,8,FALSE)</f>
        <v>8.5199999999999998E-3</v>
      </c>
      <c r="H733" s="917">
        <f>VLOOKUP($A733,'Tech Litons'!$A:$I,9,FALSE)</f>
        <v>176</v>
      </c>
      <c r="I733" s="917" t="str">
        <f>VLOOKUP($A733,'Tech Litons'!$A:$C,3,0)</f>
        <v>48oz</v>
      </c>
      <c r="J733" s="918" t="str">
        <f t="shared" si="72"/>
        <v>135248oz</v>
      </c>
      <c r="K733" s="919">
        <v>1</v>
      </c>
      <c r="L733" s="920">
        <f t="shared" si="73"/>
        <v>9165</v>
      </c>
      <c r="M733" s="920">
        <f t="shared" si="74"/>
        <v>78.085799999999992</v>
      </c>
      <c r="N733" s="920">
        <f t="shared" si="75"/>
        <v>52.073863636363633</v>
      </c>
      <c r="O733" s="918" t="str">
        <f t="shared" si="76"/>
        <v>Jan</v>
      </c>
      <c r="P733" s="921">
        <f t="shared" si="77"/>
        <v>3</v>
      </c>
    </row>
    <row r="734" spans="1:16" ht="15" hidden="1" customHeight="1">
      <c r="A734" s="839">
        <v>68851108</v>
      </c>
      <c r="B734" s="839">
        <v>2904</v>
      </c>
      <c r="C734" s="906">
        <v>10560</v>
      </c>
      <c r="D734" s="907">
        <v>46038</v>
      </c>
      <c r="E734" s="839" t="s">
        <v>296</v>
      </c>
      <c r="F734" s="839" t="s">
        <v>273</v>
      </c>
      <c r="G734" s="916">
        <f>VLOOKUP($A734,'Tech Litons'!$A:$I,8,FALSE)</f>
        <v>8.5199999999999998E-3</v>
      </c>
      <c r="H734" s="917">
        <f>VLOOKUP($A734,'Tech Litons'!$A:$I,9,FALSE)</f>
        <v>176</v>
      </c>
      <c r="I734" s="917" t="str">
        <f>VLOOKUP($A734,'Tech Litons'!$A:$C,3,0)</f>
        <v>48oz</v>
      </c>
      <c r="J734" s="918" t="str">
        <f t="shared" si="72"/>
        <v>290448oz</v>
      </c>
      <c r="K734" s="919">
        <v>1</v>
      </c>
      <c r="L734" s="920">
        <f t="shared" si="73"/>
        <v>10560</v>
      </c>
      <c r="M734" s="920">
        <f t="shared" si="74"/>
        <v>89.971199999999996</v>
      </c>
      <c r="N734" s="920">
        <f t="shared" si="75"/>
        <v>60</v>
      </c>
      <c r="O734" s="918" t="str">
        <f t="shared" si="76"/>
        <v>Jan</v>
      </c>
      <c r="P734" s="921">
        <f t="shared" si="77"/>
        <v>3</v>
      </c>
    </row>
    <row r="735" spans="1:16" ht="15" hidden="1" customHeight="1">
      <c r="A735" s="839">
        <v>67881628</v>
      </c>
      <c r="B735" s="839">
        <v>5914</v>
      </c>
      <c r="C735" s="906">
        <v>14848</v>
      </c>
      <c r="D735" s="907">
        <v>46038</v>
      </c>
      <c r="E735" s="839" t="s">
        <v>345</v>
      </c>
      <c r="F735" s="839" t="s">
        <v>303</v>
      </c>
      <c r="G735" s="916">
        <f>VLOOKUP($A735,'Tech Litons'!$A:$I,8,FALSE)</f>
        <v>3.7853439999999999E-3</v>
      </c>
      <c r="H735" s="917">
        <f>VLOOKUP($A735,'Tech Litons'!$A:$I,9,FALSE)</f>
        <v>240</v>
      </c>
      <c r="I735" s="917" t="str">
        <f>VLOOKUP($A735,'Tech Litons'!$A:$C,3,0)</f>
        <v>BJ PTS</v>
      </c>
      <c r="J735" s="918" t="str">
        <f t="shared" si="72"/>
        <v>5914BJ PTS</v>
      </c>
      <c r="K735" s="919">
        <v>1</v>
      </c>
      <c r="L735" s="920">
        <f t="shared" si="73"/>
        <v>14848</v>
      </c>
      <c r="M735" s="920">
        <f t="shared" si="74"/>
        <v>56.204787711999998</v>
      </c>
      <c r="N735" s="920">
        <f t="shared" si="75"/>
        <v>61.866666666666667</v>
      </c>
      <c r="O735" s="918" t="str">
        <f t="shared" si="76"/>
        <v>Jan</v>
      </c>
      <c r="P735" s="921">
        <f t="shared" si="77"/>
        <v>3</v>
      </c>
    </row>
    <row r="736" spans="1:16" ht="15" hidden="1" customHeight="1">
      <c r="A736" s="839">
        <v>67789314</v>
      </c>
      <c r="B736" s="839">
        <v>5914</v>
      </c>
      <c r="C736" s="906">
        <v>18036</v>
      </c>
      <c r="D736" s="907">
        <v>46038</v>
      </c>
      <c r="E736" s="839" t="s">
        <v>344</v>
      </c>
      <c r="F736" s="839" t="s">
        <v>303</v>
      </c>
      <c r="G736" s="916">
        <f>VLOOKUP($A736,'Tech Litons'!$A:$I,8,FALSE)</f>
        <v>3.7853439999999999E-3</v>
      </c>
      <c r="H736" s="917">
        <f>VLOOKUP($A736,'Tech Litons'!$A:$I,9,FALSE)</f>
        <v>240</v>
      </c>
      <c r="I736" s="917" t="str">
        <f>VLOOKUP($A736,'Tech Litons'!$A:$C,3,0)</f>
        <v>BJ PTS</v>
      </c>
      <c r="J736" s="918" t="str">
        <f t="shared" si="72"/>
        <v>5914BJ PTS</v>
      </c>
      <c r="K736" s="919">
        <v>1</v>
      </c>
      <c r="L736" s="920">
        <f t="shared" si="73"/>
        <v>18036</v>
      </c>
      <c r="M736" s="920">
        <f t="shared" si="74"/>
        <v>68.272464384000003</v>
      </c>
      <c r="N736" s="920">
        <f t="shared" si="75"/>
        <v>75.150000000000006</v>
      </c>
      <c r="O736" s="918" t="str">
        <f t="shared" si="76"/>
        <v>Jan</v>
      </c>
      <c r="P736" s="921">
        <f t="shared" si="77"/>
        <v>3</v>
      </c>
    </row>
    <row r="737" spans="1:16" ht="15" hidden="1" customHeight="1">
      <c r="A737" s="839">
        <v>67794169</v>
      </c>
      <c r="B737" s="839">
        <v>5914</v>
      </c>
      <c r="C737" s="906">
        <v>28762</v>
      </c>
      <c r="D737" s="907">
        <v>46038</v>
      </c>
      <c r="E737" s="839" t="s">
        <v>352</v>
      </c>
      <c r="F737" s="839" t="s">
        <v>279</v>
      </c>
      <c r="G737" s="916">
        <f>VLOOKUP($A737,'Tech Litons'!$A:$I,8,FALSE)</f>
        <v>3.7853439999999999E-3</v>
      </c>
      <c r="H737" s="917">
        <f>VLOOKUP($A737,'Tech Litons'!$A:$I,9,FALSE)</f>
        <v>240</v>
      </c>
      <c r="I737" s="917" t="str">
        <f>VLOOKUP($A737,'Tech Litons'!$A:$C,3,0)</f>
        <v>BJ PTS</v>
      </c>
      <c r="J737" s="918" t="str">
        <f t="shared" si="72"/>
        <v>5914BJ PTS</v>
      </c>
      <c r="K737" s="919">
        <v>1</v>
      </c>
      <c r="L737" s="920">
        <f t="shared" si="73"/>
        <v>28762</v>
      </c>
      <c r="M737" s="920">
        <f t="shared" si="74"/>
        <v>108.874064128</v>
      </c>
      <c r="N737" s="920">
        <f t="shared" si="75"/>
        <v>119.84166666666667</v>
      </c>
      <c r="O737" s="918" t="str">
        <f t="shared" si="76"/>
        <v>Jan</v>
      </c>
      <c r="P737" s="921">
        <f t="shared" si="77"/>
        <v>3</v>
      </c>
    </row>
    <row r="738" spans="1:16" ht="15" hidden="1" customHeight="1">
      <c r="A738" s="839">
        <v>67794167</v>
      </c>
      <c r="B738" s="839">
        <v>5911</v>
      </c>
      <c r="C738" s="906">
        <v>37920</v>
      </c>
      <c r="D738" s="907">
        <v>46038</v>
      </c>
      <c r="E738" s="839" t="s">
        <v>343</v>
      </c>
      <c r="F738" s="839" t="s">
        <v>303</v>
      </c>
      <c r="G738" s="916">
        <f>VLOOKUP($A738,'Tech Litons'!$A:$I,8,FALSE)</f>
        <v>3.7853439999999999E-3</v>
      </c>
      <c r="H738" s="917">
        <f>VLOOKUP($A738,'Tech Litons'!$A:$I,9,FALSE)</f>
        <v>240</v>
      </c>
      <c r="I738" s="917" t="str">
        <f>VLOOKUP($A738,'Tech Litons'!$A:$C,3,0)</f>
        <v>BJ PTS</v>
      </c>
      <c r="J738" s="918" t="str">
        <f t="shared" si="72"/>
        <v>5911BJ PTS</v>
      </c>
      <c r="K738" s="919">
        <v>1</v>
      </c>
      <c r="L738" s="920">
        <f t="shared" si="73"/>
        <v>37920</v>
      </c>
      <c r="M738" s="920">
        <f t="shared" si="74"/>
        <v>143.54024447999998</v>
      </c>
      <c r="N738" s="920">
        <f t="shared" si="75"/>
        <v>158</v>
      </c>
      <c r="O738" s="918" t="str">
        <f t="shared" si="76"/>
        <v>Jan</v>
      </c>
      <c r="P738" s="921">
        <f t="shared" si="77"/>
        <v>3</v>
      </c>
    </row>
    <row r="739" spans="1:16" ht="15" hidden="1" customHeight="1">
      <c r="A739" s="839">
        <v>69629468</v>
      </c>
      <c r="B739" s="839">
        <v>1352</v>
      </c>
      <c r="C739" s="906">
        <v>33</v>
      </c>
      <c r="D739" s="907">
        <v>46039</v>
      </c>
      <c r="E739" s="839" t="s">
        <v>291</v>
      </c>
      <c r="F739" s="839" t="s">
        <v>222</v>
      </c>
      <c r="G739" s="916">
        <f>VLOOKUP($A739,'Tech Litons'!$A:$I,8,FALSE)</f>
        <v>5.2680000000000001E-3</v>
      </c>
      <c r="H739" s="917">
        <f>VLOOKUP($A739,'Tech Litons'!$A:$I,9,FALSE)</f>
        <v>130</v>
      </c>
      <c r="I739" s="917" t="str">
        <f>VLOOKUP($A739,'Tech Litons'!$A:$C,3,0)</f>
        <v>PG</v>
      </c>
      <c r="J739" s="918" t="str">
        <f t="shared" si="72"/>
        <v>1352PG</v>
      </c>
      <c r="K739" s="919">
        <v>1</v>
      </c>
      <c r="L739" s="920">
        <f t="shared" si="73"/>
        <v>33</v>
      </c>
      <c r="M739" s="920">
        <f t="shared" si="74"/>
        <v>0.173844</v>
      </c>
      <c r="N739" s="920">
        <f t="shared" si="75"/>
        <v>0.25384615384615383</v>
      </c>
      <c r="O739" s="918" t="str">
        <f t="shared" si="76"/>
        <v>Jan</v>
      </c>
      <c r="P739" s="921">
        <f t="shared" si="77"/>
        <v>3</v>
      </c>
    </row>
    <row r="740" spans="1:16" ht="15" hidden="1" customHeight="1">
      <c r="A740" s="839">
        <v>68746232</v>
      </c>
      <c r="B740" s="839">
        <v>2904</v>
      </c>
      <c r="C740" s="906">
        <v>42</v>
      </c>
      <c r="D740" s="907">
        <v>46039</v>
      </c>
      <c r="E740" s="839" t="s">
        <v>508</v>
      </c>
      <c r="F740" s="839" t="s">
        <v>243</v>
      </c>
      <c r="G740" s="916">
        <f>VLOOKUP($A740,'Tech Litons'!$A:$I,8,FALSE)</f>
        <v>8.5199999999999998E-3</v>
      </c>
      <c r="H740" s="917">
        <f>VLOOKUP($A740,'Tech Litons'!$A:$I,9,FALSE)</f>
        <v>132</v>
      </c>
      <c r="I740" s="917" t="str">
        <f>VLOOKUP($A740,'Tech Litons'!$A:$C,3,0)</f>
        <v>EDF</v>
      </c>
      <c r="J740" s="918" t="str">
        <f t="shared" si="72"/>
        <v>2904EDF</v>
      </c>
      <c r="K740" s="919">
        <v>1</v>
      </c>
      <c r="L740" s="920">
        <f t="shared" si="73"/>
        <v>42</v>
      </c>
      <c r="M740" s="920">
        <f t="shared" si="74"/>
        <v>0.35783999999999999</v>
      </c>
      <c r="N740" s="920">
        <f t="shared" si="75"/>
        <v>0.31818181818181818</v>
      </c>
      <c r="O740" s="918" t="str">
        <f t="shared" si="76"/>
        <v>Jan</v>
      </c>
      <c r="P740" s="921">
        <f t="shared" si="77"/>
        <v>3</v>
      </c>
    </row>
    <row r="741" spans="1:16" ht="15" hidden="1" customHeight="1">
      <c r="A741" s="839">
        <v>64958122</v>
      </c>
      <c r="B741" s="839">
        <v>2904</v>
      </c>
      <c r="C741" s="906">
        <v>76</v>
      </c>
      <c r="D741" s="907">
        <v>46039</v>
      </c>
      <c r="E741" s="839" t="s">
        <v>236</v>
      </c>
      <c r="F741" s="839" t="s">
        <v>234</v>
      </c>
      <c r="G741" s="916">
        <f>VLOOKUP($A741,'Tech Litons'!$A:$I,8,FALSE)</f>
        <v>3.3119999999999998E-3</v>
      </c>
      <c r="H741" s="917">
        <f>VLOOKUP($A741,'Tech Litons'!$A:$I,9,FALSE)</f>
        <v>165</v>
      </c>
      <c r="I741" s="917" t="str">
        <f>VLOOKUP($A741,'Tech Litons'!$A:$C,3,0)</f>
        <v>Yasso Sticks</v>
      </c>
      <c r="J741" s="918" t="str">
        <f t="shared" si="72"/>
        <v>2904Yasso Sticks</v>
      </c>
      <c r="K741" s="919">
        <v>1</v>
      </c>
      <c r="L741" s="920">
        <f t="shared" si="73"/>
        <v>76</v>
      </c>
      <c r="M741" s="920">
        <f t="shared" si="74"/>
        <v>0.25171199999999999</v>
      </c>
      <c r="N741" s="920">
        <f t="shared" si="75"/>
        <v>0.46060606060606063</v>
      </c>
      <c r="O741" s="918" t="str">
        <f t="shared" si="76"/>
        <v>Jan</v>
      </c>
      <c r="P741" s="921">
        <f t="shared" si="77"/>
        <v>3</v>
      </c>
    </row>
    <row r="742" spans="1:16" ht="15" hidden="1" customHeight="1">
      <c r="A742" s="839">
        <v>69700048</v>
      </c>
      <c r="B742" s="839">
        <v>1352</v>
      </c>
      <c r="C742" s="906">
        <v>465</v>
      </c>
      <c r="D742" s="907">
        <v>46039</v>
      </c>
      <c r="E742" s="839" t="s">
        <v>328</v>
      </c>
      <c r="F742" s="839" t="s">
        <v>287</v>
      </c>
      <c r="G742" s="916">
        <f>VLOOKUP($A742,'Tech Litons'!$A:$I,8,FALSE)</f>
        <v>2.7360000000000002E-3</v>
      </c>
      <c r="H742" s="917">
        <f>VLOOKUP($A742,'Tech Litons'!$A:$I,9,FALSE)</f>
        <v>225</v>
      </c>
      <c r="I742" s="917" t="str">
        <f>VLOOKUP($A742,'Tech Litons'!$A:$C,3,0)</f>
        <v>MBG</v>
      </c>
      <c r="J742" s="918" t="str">
        <f t="shared" si="72"/>
        <v>1352MBG</v>
      </c>
      <c r="K742" s="919">
        <v>1</v>
      </c>
      <c r="L742" s="920">
        <f t="shared" si="73"/>
        <v>465</v>
      </c>
      <c r="M742" s="920">
        <f t="shared" si="74"/>
        <v>1.27224</v>
      </c>
      <c r="N742" s="920">
        <f t="shared" si="75"/>
        <v>2.0666666666666669</v>
      </c>
      <c r="O742" s="918" t="str">
        <f t="shared" si="76"/>
        <v>Jan</v>
      </c>
      <c r="P742" s="921">
        <f t="shared" si="77"/>
        <v>3</v>
      </c>
    </row>
    <row r="743" spans="1:16" ht="15" hidden="1" customHeight="1">
      <c r="A743" s="839">
        <v>64958128</v>
      </c>
      <c r="B743" s="839">
        <v>2904</v>
      </c>
      <c r="C743" s="906">
        <v>495</v>
      </c>
      <c r="D743" s="907">
        <v>46039</v>
      </c>
      <c r="E743" s="839" t="s">
        <v>235</v>
      </c>
      <c r="F743" s="839" t="s">
        <v>234</v>
      </c>
      <c r="G743" s="916">
        <f>VLOOKUP($A743,'Tech Litons'!$A:$I,8,FALSE)</f>
        <v>3.3119999999999998E-3</v>
      </c>
      <c r="H743" s="917">
        <f>VLOOKUP($A743,'Tech Litons'!$A:$I,9,FALSE)</f>
        <v>165</v>
      </c>
      <c r="I743" s="917" t="str">
        <f>VLOOKUP($A743,'Tech Litons'!$A:$C,3,0)</f>
        <v>Yasso Sticks</v>
      </c>
      <c r="J743" s="918" t="str">
        <f t="shared" si="72"/>
        <v>2904Yasso Sticks</v>
      </c>
      <c r="K743" s="919">
        <v>1</v>
      </c>
      <c r="L743" s="920">
        <f t="shared" si="73"/>
        <v>495</v>
      </c>
      <c r="M743" s="920">
        <f t="shared" si="74"/>
        <v>1.63944</v>
      </c>
      <c r="N743" s="920">
        <f t="shared" si="75"/>
        <v>3</v>
      </c>
      <c r="O743" s="918" t="str">
        <f t="shared" si="76"/>
        <v>Jan</v>
      </c>
      <c r="P743" s="921">
        <f t="shared" si="77"/>
        <v>3</v>
      </c>
    </row>
    <row r="744" spans="1:16" ht="15" hidden="1" customHeight="1">
      <c r="A744" s="839">
        <v>69717803</v>
      </c>
      <c r="B744" s="839">
        <v>2904</v>
      </c>
      <c r="C744" s="906">
        <v>572</v>
      </c>
      <c r="D744" s="907">
        <v>46039</v>
      </c>
      <c r="E744" s="839" t="s">
        <v>362</v>
      </c>
      <c r="F744" s="839" t="s">
        <v>231</v>
      </c>
      <c r="G744" s="916">
        <f>VLOOKUP($A744,'Tech Litons'!$A:$I,8,FALSE)</f>
        <v>4.2560000000000002E-3</v>
      </c>
      <c r="H744" s="917">
        <f>VLOOKUP($A744,'Tech Litons'!$A:$I,9,FALSE)</f>
        <v>143</v>
      </c>
      <c r="I744" s="917" t="str">
        <f>VLOOKUP($A744,'Tech Litons'!$A:$C,3,0)</f>
        <v>MG Sticks</v>
      </c>
      <c r="J744" s="918" t="str">
        <f t="shared" si="72"/>
        <v>2904MG Sticks</v>
      </c>
      <c r="K744" s="919">
        <v>1</v>
      </c>
      <c r="L744" s="920">
        <f t="shared" si="73"/>
        <v>572</v>
      </c>
      <c r="M744" s="920">
        <f t="shared" si="74"/>
        <v>2.4344320000000002</v>
      </c>
      <c r="N744" s="920">
        <f t="shared" si="75"/>
        <v>4</v>
      </c>
      <c r="O744" s="918" t="str">
        <f t="shared" si="76"/>
        <v>Jan</v>
      </c>
      <c r="P744" s="921">
        <f t="shared" si="77"/>
        <v>3</v>
      </c>
    </row>
    <row r="745" spans="1:16" ht="15" hidden="1" customHeight="1">
      <c r="A745" s="839">
        <v>69629468</v>
      </c>
      <c r="B745" s="839">
        <v>2904</v>
      </c>
      <c r="C745" s="906">
        <v>819</v>
      </c>
      <c r="D745" s="907">
        <v>46039</v>
      </c>
      <c r="E745" s="839" t="s">
        <v>291</v>
      </c>
      <c r="F745" s="839" t="s">
        <v>226</v>
      </c>
      <c r="G745" s="916">
        <f>VLOOKUP($A745,'Tech Litons'!$A:$I,8,FALSE)</f>
        <v>5.2680000000000001E-3</v>
      </c>
      <c r="H745" s="917">
        <f>VLOOKUP($A745,'Tech Litons'!$A:$I,9,FALSE)</f>
        <v>130</v>
      </c>
      <c r="I745" s="917" t="str">
        <f>VLOOKUP($A745,'Tech Litons'!$A:$C,3,0)</f>
        <v>PG</v>
      </c>
      <c r="J745" s="918" t="str">
        <f t="shared" si="72"/>
        <v>2904PG</v>
      </c>
      <c r="K745" s="919">
        <v>1</v>
      </c>
      <c r="L745" s="920">
        <f t="shared" si="73"/>
        <v>819</v>
      </c>
      <c r="M745" s="920">
        <f t="shared" si="74"/>
        <v>4.3144920000000004</v>
      </c>
      <c r="N745" s="920">
        <f t="shared" si="75"/>
        <v>6.3</v>
      </c>
      <c r="O745" s="918" t="str">
        <f t="shared" si="76"/>
        <v>Jan</v>
      </c>
      <c r="P745" s="921">
        <f t="shared" si="77"/>
        <v>3</v>
      </c>
    </row>
    <row r="746" spans="1:16" ht="15" hidden="1" customHeight="1">
      <c r="A746" s="839">
        <v>68741742</v>
      </c>
      <c r="B746" s="839">
        <v>1352</v>
      </c>
      <c r="C746" s="906">
        <v>1051</v>
      </c>
      <c r="D746" s="907">
        <v>46039</v>
      </c>
      <c r="E746" s="839" t="s">
        <v>288</v>
      </c>
      <c r="F746" s="839" t="s">
        <v>289</v>
      </c>
      <c r="G746" s="916">
        <f>VLOOKUP($A746,'Tech Litons'!$A:$I,8,FALSE)</f>
        <v>4.2560000000000002E-3</v>
      </c>
      <c r="H746" s="917">
        <f>VLOOKUP($A746,'Tech Litons'!$A:$I,9,FALSE)</f>
        <v>154</v>
      </c>
      <c r="I746" s="917" t="str">
        <f>VLOOKUP($A746,'Tech Litons'!$A:$C,3,0)</f>
        <v>MBG</v>
      </c>
      <c r="J746" s="918" t="str">
        <f t="shared" si="72"/>
        <v>1352MBG</v>
      </c>
      <c r="K746" s="919">
        <v>1</v>
      </c>
      <c r="L746" s="920">
        <f t="shared" si="73"/>
        <v>1051</v>
      </c>
      <c r="M746" s="920">
        <f t="shared" si="74"/>
        <v>4.4730560000000006</v>
      </c>
      <c r="N746" s="920">
        <f t="shared" si="75"/>
        <v>6.8246753246753249</v>
      </c>
      <c r="O746" s="918" t="str">
        <f t="shared" si="76"/>
        <v>Jan</v>
      </c>
      <c r="P746" s="921">
        <f t="shared" si="77"/>
        <v>3</v>
      </c>
    </row>
    <row r="747" spans="1:16" ht="15" hidden="1" customHeight="1">
      <c r="A747" s="839">
        <v>68741742</v>
      </c>
      <c r="B747" s="839">
        <v>2904</v>
      </c>
      <c r="C747" s="906">
        <v>1694</v>
      </c>
      <c r="D747" s="907">
        <v>46039</v>
      </c>
      <c r="E747" s="839" t="s">
        <v>288</v>
      </c>
      <c r="F747" s="839" t="s">
        <v>295</v>
      </c>
      <c r="G747" s="916">
        <f>VLOOKUP($A747,'Tech Litons'!$A:$I,8,FALSE)</f>
        <v>4.2560000000000002E-3</v>
      </c>
      <c r="H747" s="917">
        <f>VLOOKUP($A747,'Tech Litons'!$A:$I,9,FALSE)</f>
        <v>154</v>
      </c>
      <c r="I747" s="917" t="str">
        <f>VLOOKUP($A747,'Tech Litons'!$A:$C,3,0)</f>
        <v>MBG</v>
      </c>
      <c r="J747" s="918" t="str">
        <f t="shared" si="72"/>
        <v>2904MBG</v>
      </c>
      <c r="K747" s="919">
        <v>1</v>
      </c>
      <c r="L747" s="920">
        <f t="shared" si="73"/>
        <v>1694</v>
      </c>
      <c r="M747" s="920">
        <f t="shared" si="74"/>
        <v>7.2096640000000001</v>
      </c>
      <c r="N747" s="920">
        <f t="shared" si="75"/>
        <v>11</v>
      </c>
      <c r="O747" s="918" t="str">
        <f t="shared" si="76"/>
        <v>Jan</v>
      </c>
      <c r="P747" s="921">
        <f t="shared" si="77"/>
        <v>3</v>
      </c>
    </row>
    <row r="748" spans="1:16" ht="15" hidden="1" customHeight="1">
      <c r="A748" s="839">
        <v>64341106</v>
      </c>
      <c r="B748" s="839">
        <v>2904</v>
      </c>
      <c r="C748" s="906">
        <v>1989</v>
      </c>
      <c r="D748" s="907">
        <v>46039</v>
      </c>
      <c r="E748" s="839" t="s">
        <v>293</v>
      </c>
      <c r="F748" s="839" t="s">
        <v>227</v>
      </c>
      <c r="G748" s="916">
        <f>VLOOKUP($A748,'Tech Litons'!$A:$I,8,FALSE)</f>
        <v>5.2680000000000001E-3</v>
      </c>
      <c r="H748" s="917">
        <f>VLOOKUP($A748,'Tech Litons'!$A:$I,9,FALSE)</f>
        <v>130</v>
      </c>
      <c r="I748" s="917" t="str">
        <f>VLOOKUP($A748,'Tech Litons'!$A:$C,3,0)</f>
        <v>PG</v>
      </c>
      <c r="J748" s="918" t="str">
        <f t="shared" si="72"/>
        <v>2904PG</v>
      </c>
      <c r="K748" s="919">
        <v>1</v>
      </c>
      <c r="L748" s="920">
        <f t="shared" si="73"/>
        <v>1989</v>
      </c>
      <c r="M748" s="920">
        <f t="shared" si="74"/>
        <v>10.478052</v>
      </c>
      <c r="N748" s="920">
        <f t="shared" si="75"/>
        <v>15.3</v>
      </c>
      <c r="O748" s="918" t="str">
        <f t="shared" si="76"/>
        <v>Jan</v>
      </c>
      <c r="P748" s="921">
        <f t="shared" si="77"/>
        <v>3</v>
      </c>
    </row>
    <row r="749" spans="1:16" ht="15" hidden="1" customHeight="1">
      <c r="A749" s="839">
        <v>64341106</v>
      </c>
      <c r="B749" s="839">
        <v>2904</v>
      </c>
      <c r="C749" s="906">
        <v>2078</v>
      </c>
      <c r="D749" s="907">
        <v>46039</v>
      </c>
      <c r="E749" s="839" t="s">
        <v>293</v>
      </c>
      <c r="F749" s="839" t="s">
        <v>227</v>
      </c>
      <c r="G749" s="916">
        <f>VLOOKUP($A749,'Tech Litons'!$A:$I,8,FALSE)</f>
        <v>5.2680000000000001E-3</v>
      </c>
      <c r="H749" s="917">
        <f>VLOOKUP($A749,'Tech Litons'!$A:$I,9,FALSE)</f>
        <v>130</v>
      </c>
      <c r="I749" s="917" t="str">
        <f>VLOOKUP($A749,'Tech Litons'!$A:$C,3,0)</f>
        <v>PG</v>
      </c>
      <c r="J749" s="918" t="str">
        <f t="shared" si="72"/>
        <v>2904PG</v>
      </c>
      <c r="K749" s="919">
        <v>1</v>
      </c>
      <c r="L749" s="920">
        <f t="shared" si="73"/>
        <v>2078</v>
      </c>
      <c r="M749" s="920">
        <f t="shared" si="74"/>
        <v>10.946904</v>
      </c>
      <c r="N749" s="920">
        <f t="shared" si="75"/>
        <v>15.984615384615385</v>
      </c>
      <c r="O749" s="918" t="str">
        <f t="shared" si="76"/>
        <v>Jan</v>
      </c>
      <c r="P749" s="921">
        <f t="shared" si="77"/>
        <v>3</v>
      </c>
    </row>
    <row r="750" spans="1:16" ht="15" hidden="1" customHeight="1">
      <c r="A750" s="839">
        <v>68851106</v>
      </c>
      <c r="B750" s="839">
        <v>2904</v>
      </c>
      <c r="C750" s="906">
        <v>2310</v>
      </c>
      <c r="D750" s="907">
        <v>46039</v>
      </c>
      <c r="E750" s="839" t="s">
        <v>359</v>
      </c>
      <c r="F750" s="839" t="s">
        <v>273</v>
      </c>
      <c r="G750" s="916">
        <f>VLOOKUP($A750,'Tech Litons'!$A:$I,8,FALSE)</f>
        <v>8.5199999999999998E-3</v>
      </c>
      <c r="H750" s="917">
        <f>VLOOKUP($A750,'Tech Litons'!$A:$I,9,FALSE)</f>
        <v>154</v>
      </c>
      <c r="I750" s="917" t="str">
        <f>VLOOKUP($A750,'Tech Litons'!$A:$C,3,0)</f>
        <v>48oz</v>
      </c>
      <c r="J750" s="918" t="str">
        <f t="shared" si="72"/>
        <v>290448oz</v>
      </c>
      <c r="K750" s="919">
        <v>1</v>
      </c>
      <c r="L750" s="920">
        <f t="shared" si="73"/>
        <v>2310</v>
      </c>
      <c r="M750" s="920">
        <f t="shared" si="74"/>
        <v>19.6812</v>
      </c>
      <c r="N750" s="920">
        <f t="shared" si="75"/>
        <v>15</v>
      </c>
      <c r="O750" s="918" t="str">
        <f t="shared" si="76"/>
        <v>Jan</v>
      </c>
      <c r="P750" s="921">
        <f t="shared" si="77"/>
        <v>3</v>
      </c>
    </row>
    <row r="751" spans="1:16" ht="15" hidden="1" customHeight="1">
      <c r="A751" s="839">
        <v>68737750</v>
      </c>
      <c r="B751" s="839">
        <v>1352</v>
      </c>
      <c r="C751" s="906">
        <v>2490</v>
      </c>
      <c r="D751" s="907">
        <v>46039</v>
      </c>
      <c r="E751" s="839" t="s">
        <v>407</v>
      </c>
      <c r="F751" s="839" t="s">
        <v>261</v>
      </c>
      <c r="G751" s="916">
        <f>VLOOKUP($A751,'Tech Litons'!$A:$I,8,FALSE)</f>
        <v>8.5199999999999998E-3</v>
      </c>
      <c r="H751" s="917">
        <f>VLOOKUP($A751,'Tech Litons'!$A:$I,9,FALSE)</f>
        <v>176</v>
      </c>
      <c r="I751" s="917" t="str">
        <f>VLOOKUP($A751,'Tech Litons'!$A:$C,3,0)</f>
        <v>48oz</v>
      </c>
      <c r="J751" s="918" t="str">
        <f t="shared" si="72"/>
        <v>135248oz</v>
      </c>
      <c r="K751" s="919">
        <v>1</v>
      </c>
      <c r="L751" s="920">
        <f t="shared" si="73"/>
        <v>2490</v>
      </c>
      <c r="M751" s="920">
        <f t="shared" si="74"/>
        <v>21.2148</v>
      </c>
      <c r="N751" s="920">
        <f t="shared" si="75"/>
        <v>14.147727272727273</v>
      </c>
      <c r="O751" s="918" t="str">
        <f t="shared" si="76"/>
        <v>Jan</v>
      </c>
      <c r="P751" s="921">
        <f t="shared" si="77"/>
        <v>3</v>
      </c>
    </row>
    <row r="752" spans="1:16" ht="15" hidden="1" customHeight="1">
      <c r="A752" s="839">
        <v>68300738</v>
      </c>
      <c r="B752" s="839">
        <v>1352</v>
      </c>
      <c r="C752" s="906">
        <v>2640</v>
      </c>
      <c r="D752" s="907">
        <v>46039</v>
      </c>
      <c r="E752" s="839" t="s">
        <v>325</v>
      </c>
      <c r="F752" s="839" t="s">
        <v>240</v>
      </c>
      <c r="G752" s="916">
        <f>VLOOKUP($A752,'Tech Litons'!$A:$I,8,FALSE)</f>
        <v>8.4960000000000001E-3</v>
      </c>
      <c r="H752" s="917">
        <f>VLOOKUP($A752,'Tech Litons'!$A:$I,9,FALSE)</f>
        <v>132</v>
      </c>
      <c r="I752" s="917" t="str">
        <f>VLOOKUP($A752,'Tech Litons'!$A:$C,3,0)</f>
        <v>EDF</v>
      </c>
      <c r="J752" s="918" t="str">
        <f t="shared" si="72"/>
        <v>1352EDF</v>
      </c>
      <c r="K752" s="919">
        <v>1</v>
      </c>
      <c r="L752" s="920">
        <f t="shared" si="73"/>
        <v>2640</v>
      </c>
      <c r="M752" s="920">
        <f t="shared" si="74"/>
        <v>22.42944</v>
      </c>
      <c r="N752" s="920">
        <f t="shared" si="75"/>
        <v>20</v>
      </c>
      <c r="O752" s="918" t="str">
        <f t="shared" si="76"/>
        <v>Jan</v>
      </c>
      <c r="P752" s="921">
        <f t="shared" si="77"/>
        <v>3</v>
      </c>
    </row>
    <row r="753" spans="1:16" ht="15" hidden="1" customHeight="1">
      <c r="A753" s="839">
        <v>68851107</v>
      </c>
      <c r="B753" s="839">
        <v>1352</v>
      </c>
      <c r="C753" s="906">
        <v>2773</v>
      </c>
      <c r="D753" s="907">
        <v>46039</v>
      </c>
      <c r="E753" s="839" t="s">
        <v>272</v>
      </c>
      <c r="F753" s="839" t="s">
        <v>290</v>
      </c>
      <c r="G753" s="916">
        <f>VLOOKUP($A753,'Tech Litons'!$A:$I,8,FALSE)</f>
        <v>8.5199999999999998E-3</v>
      </c>
      <c r="H753" s="917">
        <f>VLOOKUP($A753,'Tech Litons'!$A:$I,9,FALSE)</f>
        <v>176</v>
      </c>
      <c r="I753" s="917" t="str">
        <f>VLOOKUP($A753,'Tech Litons'!$A:$C,3,0)</f>
        <v>48oz</v>
      </c>
      <c r="J753" s="918" t="str">
        <f t="shared" si="72"/>
        <v>135248oz</v>
      </c>
      <c r="K753" s="919">
        <v>1</v>
      </c>
      <c r="L753" s="920">
        <f t="shared" si="73"/>
        <v>2773</v>
      </c>
      <c r="M753" s="920">
        <f t="shared" si="74"/>
        <v>23.625959999999999</v>
      </c>
      <c r="N753" s="920">
        <f t="shared" si="75"/>
        <v>15.755681818181818</v>
      </c>
      <c r="O753" s="918" t="str">
        <f t="shared" si="76"/>
        <v>Jan</v>
      </c>
      <c r="P753" s="921">
        <f t="shared" si="77"/>
        <v>3</v>
      </c>
    </row>
    <row r="754" spans="1:16" ht="15" hidden="1" customHeight="1">
      <c r="A754" s="839">
        <v>69725082</v>
      </c>
      <c r="B754" s="839">
        <v>1352</v>
      </c>
      <c r="C754" s="906">
        <v>2780</v>
      </c>
      <c r="D754" s="907">
        <v>46039</v>
      </c>
      <c r="E754" s="839" t="s">
        <v>292</v>
      </c>
      <c r="F754" s="839" t="s">
        <v>223</v>
      </c>
      <c r="G754" s="916">
        <f>VLOOKUP($A754,'Tech Litons'!$A:$I,8,FALSE)</f>
        <v>5.2680000000000001E-3</v>
      </c>
      <c r="H754" s="917">
        <f>VLOOKUP($A754,'Tech Litons'!$A:$I,9,FALSE)</f>
        <v>130</v>
      </c>
      <c r="I754" s="917" t="str">
        <f>VLOOKUP($A754,'Tech Litons'!$A:$C,3,0)</f>
        <v>PG</v>
      </c>
      <c r="J754" s="918" t="str">
        <f t="shared" si="72"/>
        <v>1352PG</v>
      </c>
      <c r="K754" s="919">
        <v>1</v>
      </c>
      <c r="L754" s="920">
        <f t="shared" si="73"/>
        <v>2780</v>
      </c>
      <c r="M754" s="920">
        <f t="shared" si="74"/>
        <v>14.64504</v>
      </c>
      <c r="N754" s="920">
        <f t="shared" si="75"/>
        <v>21.384615384615383</v>
      </c>
      <c r="O754" s="918" t="str">
        <f t="shared" si="76"/>
        <v>Jan</v>
      </c>
      <c r="P754" s="921">
        <f t="shared" si="77"/>
        <v>3</v>
      </c>
    </row>
    <row r="755" spans="1:16" ht="15" hidden="1" customHeight="1">
      <c r="A755" s="839">
        <v>68689251</v>
      </c>
      <c r="B755" s="839">
        <v>1352</v>
      </c>
      <c r="C755" s="906">
        <v>3036</v>
      </c>
      <c r="D755" s="907">
        <v>46039</v>
      </c>
      <c r="E755" s="839" t="s">
        <v>262</v>
      </c>
      <c r="F755" s="839" t="s">
        <v>242</v>
      </c>
      <c r="G755" s="916">
        <f>VLOOKUP($A755,'Tech Litons'!$A:$I,8,FALSE)</f>
        <v>9.5760000000000012E-3</v>
      </c>
      <c r="H755" s="917">
        <f>VLOOKUP($A755,'Tech Litons'!$A:$I,9,FALSE)</f>
        <v>132</v>
      </c>
      <c r="I755" s="917" t="str">
        <f>VLOOKUP($A755,'Tech Litons'!$A:$C,3,0)</f>
        <v>EDF</v>
      </c>
      <c r="J755" s="918" t="str">
        <f t="shared" si="72"/>
        <v>1352EDF</v>
      </c>
      <c r="K755" s="919">
        <v>1</v>
      </c>
      <c r="L755" s="920">
        <f t="shared" si="73"/>
        <v>3036</v>
      </c>
      <c r="M755" s="920">
        <f t="shared" si="74"/>
        <v>29.072736000000003</v>
      </c>
      <c r="N755" s="920">
        <f t="shared" si="75"/>
        <v>23</v>
      </c>
      <c r="O755" s="918" t="str">
        <f t="shared" si="76"/>
        <v>Jan</v>
      </c>
      <c r="P755" s="921">
        <f t="shared" si="77"/>
        <v>3</v>
      </c>
    </row>
    <row r="756" spans="1:16" ht="15" hidden="1" customHeight="1">
      <c r="A756" s="839">
        <v>68852591</v>
      </c>
      <c r="B756" s="839">
        <v>1352</v>
      </c>
      <c r="C756" s="906">
        <v>3106</v>
      </c>
      <c r="D756" s="907">
        <v>46039</v>
      </c>
      <c r="E756" s="839" t="s">
        <v>326</v>
      </c>
      <c r="F756" s="839" t="s">
        <v>241</v>
      </c>
      <c r="G756" s="916">
        <f>VLOOKUP($A756,'Tech Litons'!$A:$I,8,FALSE)</f>
        <v>8.5199999999999998E-3</v>
      </c>
      <c r="H756" s="917">
        <f>VLOOKUP($A756,'Tech Litons'!$A:$I,9,FALSE)</f>
        <v>132</v>
      </c>
      <c r="I756" s="917" t="str">
        <f>VLOOKUP($A756,'Tech Litons'!$A:$C,3,0)</f>
        <v>EDF</v>
      </c>
      <c r="J756" s="918" t="str">
        <f t="shared" si="72"/>
        <v>1352EDF</v>
      </c>
      <c r="K756" s="919">
        <v>1</v>
      </c>
      <c r="L756" s="920">
        <f t="shared" si="73"/>
        <v>3106</v>
      </c>
      <c r="M756" s="920">
        <f t="shared" si="74"/>
        <v>26.46312</v>
      </c>
      <c r="N756" s="920">
        <f t="shared" si="75"/>
        <v>23.530303030303031</v>
      </c>
      <c r="O756" s="918" t="str">
        <f t="shared" si="76"/>
        <v>Jan</v>
      </c>
      <c r="P756" s="921">
        <f t="shared" si="77"/>
        <v>3</v>
      </c>
    </row>
    <row r="757" spans="1:16" ht="15" hidden="1" customHeight="1">
      <c r="A757" s="839">
        <v>69989759</v>
      </c>
      <c r="B757" s="839">
        <v>2904</v>
      </c>
      <c r="C757" s="906">
        <v>3168</v>
      </c>
      <c r="D757" s="907">
        <v>46039</v>
      </c>
      <c r="E757" s="839" t="s">
        <v>357</v>
      </c>
      <c r="F757" s="839" t="s">
        <v>281</v>
      </c>
      <c r="G757" s="916">
        <f>VLOOKUP($A757,'Tech Litons'!$A:$I,8,FALSE)</f>
        <v>1.98E-3</v>
      </c>
      <c r="H757" s="917">
        <f>VLOOKUP($A757,'Tech Litons'!$A:$I,9,FALSE)</f>
        <v>176</v>
      </c>
      <c r="I757" s="917" t="str">
        <f>VLOOKUP($A757,'Tech Litons'!$A:$C,3,0)</f>
        <v>MG Sticks</v>
      </c>
      <c r="J757" s="918" t="str">
        <f t="shared" si="72"/>
        <v>2904MG Sticks</v>
      </c>
      <c r="K757" s="919">
        <v>1</v>
      </c>
      <c r="L757" s="920">
        <f t="shared" si="73"/>
        <v>3168</v>
      </c>
      <c r="M757" s="920">
        <f t="shared" si="74"/>
        <v>6.27264</v>
      </c>
      <c r="N757" s="920">
        <f t="shared" si="75"/>
        <v>18</v>
      </c>
      <c r="O757" s="918" t="str">
        <f t="shared" si="76"/>
        <v>Jan</v>
      </c>
      <c r="P757" s="921">
        <f t="shared" si="77"/>
        <v>3</v>
      </c>
    </row>
    <row r="758" spans="1:16" ht="15" hidden="1" customHeight="1">
      <c r="A758" s="839">
        <v>68689251</v>
      </c>
      <c r="B758" s="839">
        <v>1352</v>
      </c>
      <c r="C758" s="906">
        <v>3518</v>
      </c>
      <c r="D758" s="907">
        <v>46039</v>
      </c>
      <c r="E758" s="839" t="s">
        <v>262</v>
      </c>
      <c r="F758" s="839" t="s">
        <v>242</v>
      </c>
      <c r="G758" s="916">
        <f>VLOOKUP($A758,'Tech Litons'!$A:$I,8,FALSE)</f>
        <v>9.5760000000000012E-3</v>
      </c>
      <c r="H758" s="917">
        <f>VLOOKUP($A758,'Tech Litons'!$A:$I,9,FALSE)</f>
        <v>132</v>
      </c>
      <c r="I758" s="917" t="str">
        <f>VLOOKUP($A758,'Tech Litons'!$A:$C,3,0)</f>
        <v>EDF</v>
      </c>
      <c r="J758" s="918" t="str">
        <f t="shared" si="72"/>
        <v>1352EDF</v>
      </c>
      <c r="K758" s="919">
        <v>1</v>
      </c>
      <c r="L758" s="920">
        <f t="shared" si="73"/>
        <v>3518</v>
      </c>
      <c r="M758" s="920">
        <f t="shared" si="74"/>
        <v>33.688368000000004</v>
      </c>
      <c r="N758" s="920">
        <f t="shared" si="75"/>
        <v>26.651515151515152</v>
      </c>
      <c r="O758" s="918" t="str">
        <f t="shared" si="76"/>
        <v>Jan</v>
      </c>
      <c r="P758" s="921">
        <f t="shared" si="77"/>
        <v>3</v>
      </c>
    </row>
    <row r="759" spans="1:16" ht="15" hidden="1" customHeight="1">
      <c r="A759" s="839">
        <v>68817795</v>
      </c>
      <c r="B759" s="839">
        <v>1352</v>
      </c>
      <c r="C759" s="906">
        <v>3616</v>
      </c>
      <c r="D759" s="907">
        <v>46039</v>
      </c>
      <c r="E759" s="839" t="s">
        <v>348</v>
      </c>
      <c r="F759" s="839" t="s">
        <v>266</v>
      </c>
      <c r="G759" s="916">
        <f>VLOOKUP($A759,'Tech Litons'!$A:$I,8,FALSE)</f>
        <v>8.5199999999999998E-3</v>
      </c>
      <c r="H759" s="917">
        <f>VLOOKUP($A759,'Tech Litons'!$A:$I,9,FALSE)</f>
        <v>154</v>
      </c>
      <c r="I759" s="917" t="str">
        <f>VLOOKUP($A759,'Tech Litons'!$A:$C,3,0)</f>
        <v>48oz</v>
      </c>
      <c r="J759" s="918" t="str">
        <f t="shared" si="72"/>
        <v>135248oz</v>
      </c>
      <c r="K759" s="919">
        <v>1</v>
      </c>
      <c r="L759" s="920">
        <f t="shared" si="73"/>
        <v>3616</v>
      </c>
      <c r="M759" s="920">
        <f t="shared" si="74"/>
        <v>30.808319999999998</v>
      </c>
      <c r="N759" s="920">
        <f t="shared" si="75"/>
        <v>23.480519480519479</v>
      </c>
      <c r="O759" s="918" t="str">
        <f t="shared" si="76"/>
        <v>Jan</v>
      </c>
      <c r="P759" s="921">
        <f t="shared" si="77"/>
        <v>3</v>
      </c>
    </row>
    <row r="760" spans="1:16" ht="15" hidden="1" customHeight="1">
      <c r="A760" s="839">
        <v>64393719</v>
      </c>
      <c r="B760" s="839">
        <v>2904</v>
      </c>
      <c r="C760" s="906">
        <v>3724</v>
      </c>
      <c r="D760" s="907">
        <v>46039</v>
      </c>
      <c r="E760" s="839" t="s">
        <v>331</v>
      </c>
      <c r="F760" s="839" t="s">
        <v>231</v>
      </c>
      <c r="G760" s="916">
        <f>VLOOKUP($A760,'Tech Litons'!$A:$I,8,FALSE)</f>
        <v>4.2560000000000002E-3</v>
      </c>
      <c r="H760" s="917">
        <f>VLOOKUP($A760,'Tech Litons'!$A:$I,9,FALSE)</f>
        <v>143</v>
      </c>
      <c r="I760" s="917" t="str">
        <f>VLOOKUP($A760,'Tech Litons'!$A:$C,3,0)</f>
        <v>MG Sticks</v>
      </c>
      <c r="J760" s="918" t="str">
        <f t="shared" si="72"/>
        <v>2904MG Sticks</v>
      </c>
      <c r="K760" s="919">
        <v>1</v>
      </c>
      <c r="L760" s="920">
        <f t="shared" si="73"/>
        <v>3724</v>
      </c>
      <c r="M760" s="920">
        <f t="shared" si="74"/>
        <v>15.849344</v>
      </c>
      <c r="N760" s="920">
        <f t="shared" si="75"/>
        <v>26.041958041958043</v>
      </c>
      <c r="O760" s="918" t="str">
        <f t="shared" si="76"/>
        <v>Jan</v>
      </c>
      <c r="P760" s="921">
        <f t="shared" si="77"/>
        <v>3</v>
      </c>
    </row>
    <row r="761" spans="1:16" ht="15" hidden="1" customHeight="1">
      <c r="A761" s="839">
        <v>69568828</v>
      </c>
      <c r="B761" s="839">
        <v>2904</v>
      </c>
      <c r="C761" s="906">
        <v>4400</v>
      </c>
      <c r="D761" s="907">
        <v>46039</v>
      </c>
      <c r="E761" s="839" t="s">
        <v>320</v>
      </c>
      <c r="F761" s="839" t="s">
        <v>271</v>
      </c>
      <c r="G761" s="916">
        <f>VLOOKUP($A761,'Tech Litons'!$A:$I,8,FALSE)</f>
        <v>8.5199999999999998E-3</v>
      </c>
      <c r="H761" s="917">
        <f>VLOOKUP($A761,'Tech Litons'!$A:$I,9,FALSE)</f>
        <v>176</v>
      </c>
      <c r="I761" s="917" t="str">
        <f>VLOOKUP($A761,'Tech Litons'!$A:$C,3,0)</f>
        <v>48oz</v>
      </c>
      <c r="J761" s="918" t="str">
        <f t="shared" si="72"/>
        <v>290448oz</v>
      </c>
      <c r="K761" s="919">
        <v>1</v>
      </c>
      <c r="L761" s="920">
        <f t="shared" si="73"/>
        <v>4400</v>
      </c>
      <c r="M761" s="920">
        <f t="shared" si="74"/>
        <v>37.488</v>
      </c>
      <c r="N761" s="920">
        <f t="shared" si="75"/>
        <v>25</v>
      </c>
      <c r="O761" s="918" t="str">
        <f t="shared" si="76"/>
        <v>Jan</v>
      </c>
      <c r="P761" s="921">
        <f t="shared" si="77"/>
        <v>3</v>
      </c>
    </row>
    <row r="762" spans="1:16" ht="15" hidden="1" customHeight="1">
      <c r="A762" s="839">
        <v>68851104</v>
      </c>
      <c r="B762" s="839">
        <v>1352</v>
      </c>
      <c r="C762" s="906">
        <v>4576</v>
      </c>
      <c r="D762" s="907">
        <v>46039</v>
      </c>
      <c r="E762" s="839" t="s">
        <v>270</v>
      </c>
      <c r="F762" s="839" t="s">
        <v>264</v>
      </c>
      <c r="G762" s="916">
        <f>VLOOKUP($A762,'Tech Litons'!$A:$I,8,FALSE)</f>
        <v>8.5199999999999998E-3</v>
      </c>
      <c r="H762" s="917">
        <f>VLOOKUP($A762,'Tech Litons'!$A:$I,9,FALSE)</f>
        <v>176</v>
      </c>
      <c r="I762" s="917" t="str">
        <f>VLOOKUP($A762,'Tech Litons'!$A:$C,3,0)</f>
        <v>48oz</v>
      </c>
      <c r="J762" s="918" t="str">
        <f t="shared" si="72"/>
        <v>135248oz</v>
      </c>
      <c r="K762" s="919">
        <v>1</v>
      </c>
      <c r="L762" s="920">
        <f t="shared" si="73"/>
        <v>4576</v>
      </c>
      <c r="M762" s="920">
        <f t="shared" si="74"/>
        <v>38.987519999999996</v>
      </c>
      <c r="N762" s="920">
        <f t="shared" si="75"/>
        <v>26</v>
      </c>
      <c r="O762" s="918" t="str">
        <f t="shared" si="76"/>
        <v>Jan</v>
      </c>
      <c r="P762" s="921">
        <f t="shared" si="77"/>
        <v>3</v>
      </c>
    </row>
    <row r="763" spans="1:16" ht="15" hidden="1" customHeight="1">
      <c r="A763" s="839">
        <v>68867755</v>
      </c>
      <c r="B763" s="839">
        <v>2904</v>
      </c>
      <c r="C763" s="906">
        <v>4748</v>
      </c>
      <c r="D763" s="907">
        <v>46039</v>
      </c>
      <c r="E763" s="839" t="s">
        <v>274</v>
      </c>
      <c r="F763" s="839" t="s">
        <v>275</v>
      </c>
      <c r="G763" s="916">
        <f>VLOOKUP($A763,'Tech Litons'!$A:$I,8,FALSE)</f>
        <v>3.552E-3</v>
      </c>
      <c r="H763" s="917">
        <f>VLOOKUP($A763,'Tech Litons'!$A:$I,9,FALSE)</f>
        <v>255</v>
      </c>
      <c r="I763" s="917" t="str">
        <f>VLOOKUP($A763,'Tech Litons'!$A:$C,3,0)</f>
        <v>Talenti</v>
      </c>
      <c r="J763" s="918" t="str">
        <f t="shared" si="72"/>
        <v>2904Talenti</v>
      </c>
      <c r="K763" s="919">
        <v>1</v>
      </c>
      <c r="L763" s="920">
        <f t="shared" si="73"/>
        <v>4748</v>
      </c>
      <c r="M763" s="920">
        <f t="shared" si="74"/>
        <v>16.864896000000002</v>
      </c>
      <c r="N763" s="920">
        <f t="shared" si="75"/>
        <v>18.619607843137256</v>
      </c>
      <c r="O763" s="918" t="str">
        <f t="shared" si="76"/>
        <v>Jan</v>
      </c>
      <c r="P763" s="921">
        <f t="shared" si="77"/>
        <v>3</v>
      </c>
    </row>
    <row r="764" spans="1:16" ht="15" hidden="1" customHeight="1">
      <c r="A764" s="839">
        <v>68300738</v>
      </c>
      <c r="B764" s="839">
        <v>1352</v>
      </c>
      <c r="C764" s="906">
        <v>4884</v>
      </c>
      <c r="D764" s="907">
        <v>46039</v>
      </c>
      <c r="E764" s="839" t="s">
        <v>325</v>
      </c>
      <c r="F764" s="839" t="s">
        <v>240</v>
      </c>
      <c r="G764" s="916">
        <f>VLOOKUP($A764,'Tech Litons'!$A:$I,8,FALSE)</f>
        <v>8.4960000000000001E-3</v>
      </c>
      <c r="H764" s="917">
        <f>VLOOKUP($A764,'Tech Litons'!$A:$I,9,FALSE)</f>
        <v>132</v>
      </c>
      <c r="I764" s="917" t="str">
        <f>VLOOKUP($A764,'Tech Litons'!$A:$C,3,0)</f>
        <v>EDF</v>
      </c>
      <c r="J764" s="918" t="str">
        <f t="shared" si="72"/>
        <v>1352EDF</v>
      </c>
      <c r="K764" s="919">
        <v>1</v>
      </c>
      <c r="L764" s="920">
        <f t="shared" si="73"/>
        <v>4884</v>
      </c>
      <c r="M764" s="920">
        <f t="shared" si="74"/>
        <v>41.494464000000001</v>
      </c>
      <c r="N764" s="920">
        <f t="shared" si="75"/>
        <v>37</v>
      </c>
      <c r="O764" s="918" t="str">
        <f t="shared" si="76"/>
        <v>Jan</v>
      </c>
      <c r="P764" s="921">
        <f t="shared" si="77"/>
        <v>3</v>
      </c>
    </row>
    <row r="765" spans="1:16" ht="15" hidden="1" customHeight="1">
      <c r="A765" s="839">
        <v>69989759</v>
      </c>
      <c r="B765" s="839">
        <v>2904</v>
      </c>
      <c r="C765" s="906">
        <v>5200</v>
      </c>
      <c r="D765" s="907">
        <v>46039</v>
      </c>
      <c r="E765" s="839" t="s">
        <v>357</v>
      </c>
      <c r="F765" s="839" t="s">
        <v>281</v>
      </c>
      <c r="G765" s="916">
        <f>VLOOKUP($A765,'Tech Litons'!$A:$I,8,FALSE)</f>
        <v>1.98E-3</v>
      </c>
      <c r="H765" s="917">
        <f>VLOOKUP($A765,'Tech Litons'!$A:$I,9,FALSE)</f>
        <v>176</v>
      </c>
      <c r="I765" s="917" t="str">
        <f>VLOOKUP($A765,'Tech Litons'!$A:$C,3,0)</f>
        <v>MG Sticks</v>
      </c>
      <c r="J765" s="918" t="str">
        <f t="shared" si="72"/>
        <v>2904MG Sticks</v>
      </c>
      <c r="K765" s="919">
        <v>1</v>
      </c>
      <c r="L765" s="920">
        <f t="shared" si="73"/>
        <v>5200</v>
      </c>
      <c r="M765" s="920">
        <f t="shared" si="74"/>
        <v>10.295999999999999</v>
      </c>
      <c r="N765" s="920">
        <f t="shared" si="75"/>
        <v>29.545454545454547</v>
      </c>
      <c r="O765" s="918" t="str">
        <f t="shared" si="76"/>
        <v>Jan</v>
      </c>
      <c r="P765" s="921">
        <f t="shared" si="77"/>
        <v>3</v>
      </c>
    </row>
    <row r="766" spans="1:16" ht="15" hidden="1" customHeight="1">
      <c r="A766" s="839">
        <v>64389651</v>
      </c>
      <c r="B766" s="839">
        <v>2904</v>
      </c>
      <c r="C766" s="906">
        <v>5280</v>
      </c>
      <c r="D766" s="907">
        <v>46039</v>
      </c>
      <c r="E766" s="839" t="s">
        <v>355</v>
      </c>
      <c r="F766" s="839" t="s">
        <v>269</v>
      </c>
      <c r="G766" s="916">
        <f>VLOOKUP($A766,'Tech Litons'!$A:$I,8,FALSE)</f>
        <v>8.5199999999999998E-3</v>
      </c>
      <c r="H766" s="917">
        <f>VLOOKUP($A766,'Tech Litons'!$A:$I,9,FALSE)</f>
        <v>176</v>
      </c>
      <c r="I766" s="917" t="str">
        <f>VLOOKUP($A766,'Tech Litons'!$A:$C,3,0)</f>
        <v>48oz</v>
      </c>
      <c r="J766" s="918" t="str">
        <f t="shared" si="72"/>
        <v>290448oz</v>
      </c>
      <c r="K766" s="919">
        <v>1</v>
      </c>
      <c r="L766" s="920">
        <f t="shared" si="73"/>
        <v>5280</v>
      </c>
      <c r="M766" s="920">
        <f t="shared" si="74"/>
        <v>44.985599999999998</v>
      </c>
      <c r="N766" s="920">
        <f t="shared" si="75"/>
        <v>30</v>
      </c>
      <c r="O766" s="918" t="str">
        <f t="shared" si="76"/>
        <v>Jan</v>
      </c>
      <c r="P766" s="921">
        <f t="shared" si="77"/>
        <v>3</v>
      </c>
    </row>
    <row r="767" spans="1:16" ht="15" hidden="1" customHeight="1">
      <c r="A767" s="839">
        <v>69999268</v>
      </c>
      <c r="B767" s="839">
        <v>2904</v>
      </c>
      <c r="C767" s="906">
        <v>5280</v>
      </c>
      <c r="D767" s="907">
        <v>46039</v>
      </c>
      <c r="E767" s="839" t="s">
        <v>351</v>
      </c>
      <c r="F767" s="839" t="s">
        <v>299</v>
      </c>
      <c r="G767" s="916">
        <f>VLOOKUP($A767,'Tech Litons'!$A:$I,8,FALSE)</f>
        <v>3.7839999999999996E-3</v>
      </c>
      <c r="H767" s="917">
        <f>VLOOKUP($A767,'Tech Litons'!$A:$I,9,FALSE)</f>
        <v>240</v>
      </c>
      <c r="I767" s="917" t="str">
        <f>VLOOKUP($A767,'Tech Litons'!$A:$C,3,0)</f>
        <v>BJ PTS</v>
      </c>
      <c r="J767" s="918" t="str">
        <f t="shared" si="72"/>
        <v>2904BJ PTS</v>
      </c>
      <c r="K767" s="919">
        <v>1</v>
      </c>
      <c r="L767" s="920">
        <f t="shared" si="73"/>
        <v>5280</v>
      </c>
      <c r="M767" s="920">
        <f t="shared" si="74"/>
        <v>19.979519999999997</v>
      </c>
      <c r="N767" s="920">
        <f t="shared" si="75"/>
        <v>22</v>
      </c>
      <c r="O767" s="918" t="str">
        <f t="shared" si="76"/>
        <v>Jan</v>
      </c>
      <c r="P767" s="921">
        <f t="shared" si="77"/>
        <v>3</v>
      </c>
    </row>
    <row r="768" spans="1:16" ht="15" hidden="1" customHeight="1">
      <c r="A768" s="839">
        <v>69568828</v>
      </c>
      <c r="B768" s="839">
        <v>2904</v>
      </c>
      <c r="C768" s="906">
        <v>5632</v>
      </c>
      <c r="D768" s="907">
        <v>46039</v>
      </c>
      <c r="E768" s="839" t="s">
        <v>320</v>
      </c>
      <c r="F768" s="839" t="s">
        <v>271</v>
      </c>
      <c r="G768" s="916">
        <f>VLOOKUP($A768,'Tech Litons'!$A:$I,8,FALSE)</f>
        <v>8.5199999999999998E-3</v>
      </c>
      <c r="H768" s="917">
        <f>VLOOKUP($A768,'Tech Litons'!$A:$I,9,FALSE)</f>
        <v>176</v>
      </c>
      <c r="I768" s="917" t="str">
        <f>VLOOKUP($A768,'Tech Litons'!$A:$C,3,0)</f>
        <v>48oz</v>
      </c>
      <c r="J768" s="918" t="str">
        <f t="shared" si="72"/>
        <v>290448oz</v>
      </c>
      <c r="K768" s="919">
        <v>1</v>
      </c>
      <c r="L768" s="920">
        <f t="shared" si="73"/>
        <v>5632</v>
      </c>
      <c r="M768" s="920">
        <f t="shared" si="74"/>
        <v>47.984639999999999</v>
      </c>
      <c r="N768" s="920">
        <f t="shared" si="75"/>
        <v>32</v>
      </c>
      <c r="O768" s="918" t="str">
        <f t="shared" si="76"/>
        <v>Jan</v>
      </c>
      <c r="P768" s="921">
        <f t="shared" si="77"/>
        <v>3</v>
      </c>
    </row>
    <row r="769" spans="1:16" ht="15" hidden="1" customHeight="1">
      <c r="A769" s="839">
        <v>68817793</v>
      </c>
      <c r="B769" s="839">
        <v>1352</v>
      </c>
      <c r="C769" s="906">
        <v>6093</v>
      </c>
      <c r="D769" s="907">
        <v>46039</v>
      </c>
      <c r="E769" s="839" t="s">
        <v>353</v>
      </c>
      <c r="F769" s="839" t="s">
        <v>266</v>
      </c>
      <c r="G769" s="916">
        <f>VLOOKUP($A769,'Tech Litons'!$A:$I,8,FALSE)</f>
        <v>8.5199999999999998E-3</v>
      </c>
      <c r="H769" s="917">
        <f>VLOOKUP($A769,'Tech Litons'!$A:$I,9,FALSE)</f>
        <v>176</v>
      </c>
      <c r="I769" s="917" t="str">
        <f>VLOOKUP($A769,'Tech Litons'!$A:$C,3,0)</f>
        <v>48oz</v>
      </c>
      <c r="J769" s="918" t="str">
        <f t="shared" si="72"/>
        <v>135248oz</v>
      </c>
      <c r="K769" s="919">
        <v>1</v>
      </c>
      <c r="L769" s="920">
        <f t="shared" si="73"/>
        <v>6093</v>
      </c>
      <c r="M769" s="920">
        <f t="shared" si="74"/>
        <v>51.91236</v>
      </c>
      <c r="N769" s="920">
        <f t="shared" si="75"/>
        <v>34.61931818181818</v>
      </c>
      <c r="O769" s="918" t="str">
        <f t="shared" si="76"/>
        <v>Jan</v>
      </c>
      <c r="P769" s="921">
        <f t="shared" si="77"/>
        <v>3</v>
      </c>
    </row>
    <row r="770" spans="1:16" ht="15" hidden="1" customHeight="1">
      <c r="A770" s="839">
        <v>64389651</v>
      </c>
      <c r="B770" s="839">
        <v>2904</v>
      </c>
      <c r="C770" s="906">
        <v>6160</v>
      </c>
      <c r="D770" s="907">
        <v>46039</v>
      </c>
      <c r="E770" s="839" t="s">
        <v>355</v>
      </c>
      <c r="F770" s="839" t="s">
        <v>269</v>
      </c>
      <c r="G770" s="916">
        <f>VLOOKUP($A770,'Tech Litons'!$A:$I,8,FALSE)</f>
        <v>8.5199999999999998E-3</v>
      </c>
      <c r="H770" s="917">
        <f>VLOOKUP($A770,'Tech Litons'!$A:$I,9,FALSE)</f>
        <v>176</v>
      </c>
      <c r="I770" s="917" t="str">
        <f>VLOOKUP($A770,'Tech Litons'!$A:$C,3,0)</f>
        <v>48oz</v>
      </c>
      <c r="J770" s="918" t="str">
        <f t="shared" si="72"/>
        <v>290448oz</v>
      </c>
      <c r="K770" s="919">
        <v>1</v>
      </c>
      <c r="L770" s="920">
        <f t="shared" si="73"/>
        <v>6160</v>
      </c>
      <c r="M770" s="920">
        <f t="shared" si="74"/>
        <v>52.483199999999997</v>
      </c>
      <c r="N770" s="920">
        <f t="shared" si="75"/>
        <v>35</v>
      </c>
      <c r="O770" s="918" t="str">
        <f t="shared" si="76"/>
        <v>Jan</v>
      </c>
      <c r="P770" s="921">
        <f t="shared" si="77"/>
        <v>3</v>
      </c>
    </row>
    <row r="771" spans="1:16" ht="15" hidden="1" customHeight="1">
      <c r="A771" s="839">
        <v>68851107</v>
      </c>
      <c r="B771" s="839">
        <v>1352</v>
      </c>
      <c r="C771" s="906">
        <v>6229</v>
      </c>
      <c r="D771" s="907">
        <v>46039</v>
      </c>
      <c r="E771" s="839" t="s">
        <v>272</v>
      </c>
      <c r="F771" s="839" t="s">
        <v>290</v>
      </c>
      <c r="G771" s="916">
        <f>VLOOKUP($A771,'Tech Litons'!$A:$I,8,FALSE)</f>
        <v>8.5199999999999998E-3</v>
      </c>
      <c r="H771" s="917">
        <f>VLOOKUP($A771,'Tech Litons'!$A:$I,9,FALSE)</f>
        <v>176</v>
      </c>
      <c r="I771" s="917" t="str">
        <f>VLOOKUP($A771,'Tech Litons'!$A:$C,3,0)</f>
        <v>48oz</v>
      </c>
      <c r="J771" s="918" t="str">
        <f t="shared" si="72"/>
        <v>135248oz</v>
      </c>
      <c r="K771" s="919">
        <v>1</v>
      </c>
      <c r="L771" s="920">
        <f t="shared" si="73"/>
        <v>6229</v>
      </c>
      <c r="M771" s="920">
        <f t="shared" si="74"/>
        <v>53.071080000000002</v>
      </c>
      <c r="N771" s="920">
        <f t="shared" si="75"/>
        <v>35.392045454545453</v>
      </c>
      <c r="O771" s="918" t="str">
        <f t="shared" si="76"/>
        <v>Jan</v>
      </c>
      <c r="P771" s="921">
        <f t="shared" si="77"/>
        <v>3</v>
      </c>
    </row>
    <row r="772" spans="1:16" ht="15" hidden="1" customHeight="1">
      <c r="A772" s="839">
        <v>64330611</v>
      </c>
      <c r="B772" s="839">
        <v>2904</v>
      </c>
      <c r="C772" s="906">
        <v>6271</v>
      </c>
      <c r="D772" s="907">
        <v>46039</v>
      </c>
      <c r="E772" s="839" t="s">
        <v>354</v>
      </c>
      <c r="F772" s="839" t="s">
        <v>283</v>
      </c>
      <c r="G772" s="916">
        <f>VLOOKUP($A772,'Tech Litons'!$A:$I,8,FALSE)</f>
        <v>2.16E-3</v>
      </c>
      <c r="H772" s="917">
        <f>VLOOKUP($A772,'Tech Litons'!$A:$I,9,FALSE)</f>
        <v>210</v>
      </c>
      <c r="I772" s="917" t="str">
        <f>VLOOKUP($A772,'Tech Litons'!$A:$C,3,0)</f>
        <v>MG Sticks</v>
      </c>
      <c r="J772" s="918" t="str">
        <f t="shared" si="72"/>
        <v>2904MG Sticks</v>
      </c>
      <c r="K772" s="919">
        <v>1</v>
      </c>
      <c r="L772" s="920">
        <f t="shared" si="73"/>
        <v>6271</v>
      </c>
      <c r="M772" s="920">
        <f t="shared" si="74"/>
        <v>13.545360000000001</v>
      </c>
      <c r="N772" s="920">
        <f t="shared" si="75"/>
        <v>29.861904761904761</v>
      </c>
      <c r="O772" s="918" t="str">
        <f t="shared" si="76"/>
        <v>Jan</v>
      </c>
      <c r="P772" s="921">
        <f t="shared" si="77"/>
        <v>3</v>
      </c>
    </row>
    <row r="773" spans="1:16" ht="15" hidden="1" customHeight="1">
      <c r="A773" s="839">
        <v>68851106</v>
      </c>
      <c r="B773" s="839">
        <v>2904</v>
      </c>
      <c r="C773" s="906">
        <v>6930</v>
      </c>
      <c r="D773" s="907">
        <v>46039</v>
      </c>
      <c r="E773" s="839" t="s">
        <v>359</v>
      </c>
      <c r="F773" s="839" t="s">
        <v>273</v>
      </c>
      <c r="G773" s="916">
        <f>VLOOKUP($A773,'Tech Litons'!$A:$I,8,FALSE)</f>
        <v>8.5199999999999998E-3</v>
      </c>
      <c r="H773" s="917">
        <f>VLOOKUP($A773,'Tech Litons'!$A:$I,9,FALSE)</f>
        <v>154</v>
      </c>
      <c r="I773" s="917" t="str">
        <f>VLOOKUP($A773,'Tech Litons'!$A:$C,3,0)</f>
        <v>48oz</v>
      </c>
      <c r="J773" s="918" t="str">
        <f t="shared" si="72"/>
        <v>290448oz</v>
      </c>
      <c r="K773" s="919">
        <v>1</v>
      </c>
      <c r="L773" s="920">
        <f t="shared" si="73"/>
        <v>6930</v>
      </c>
      <c r="M773" s="920">
        <f t="shared" si="74"/>
        <v>59.043599999999998</v>
      </c>
      <c r="N773" s="920">
        <f t="shared" si="75"/>
        <v>45</v>
      </c>
      <c r="O773" s="918" t="str">
        <f t="shared" si="76"/>
        <v>Jan</v>
      </c>
      <c r="P773" s="921">
        <f t="shared" si="77"/>
        <v>3</v>
      </c>
    </row>
    <row r="774" spans="1:16" ht="15" hidden="1" customHeight="1">
      <c r="A774" s="839">
        <v>64330611</v>
      </c>
      <c r="B774" s="839">
        <v>2904</v>
      </c>
      <c r="C774" s="906">
        <v>7140</v>
      </c>
      <c r="D774" s="907">
        <v>46039</v>
      </c>
      <c r="E774" s="839" t="s">
        <v>354</v>
      </c>
      <c r="F774" s="839" t="s">
        <v>283</v>
      </c>
      <c r="G774" s="916">
        <f>VLOOKUP($A774,'Tech Litons'!$A:$I,8,FALSE)</f>
        <v>2.16E-3</v>
      </c>
      <c r="H774" s="917">
        <f>VLOOKUP($A774,'Tech Litons'!$A:$I,9,FALSE)</f>
        <v>210</v>
      </c>
      <c r="I774" s="917" t="str">
        <f>VLOOKUP($A774,'Tech Litons'!$A:$C,3,0)</f>
        <v>MG Sticks</v>
      </c>
      <c r="J774" s="918" t="str">
        <f t="shared" si="72"/>
        <v>2904MG Sticks</v>
      </c>
      <c r="K774" s="919">
        <v>1</v>
      </c>
      <c r="L774" s="920">
        <f t="shared" si="73"/>
        <v>7140</v>
      </c>
      <c r="M774" s="920">
        <f t="shared" si="74"/>
        <v>15.4224</v>
      </c>
      <c r="N774" s="920">
        <f t="shared" si="75"/>
        <v>34</v>
      </c>
      <c r="O774" s="918" t="str">
        <f t="shared" si="76"/>
        <v>Jan</v>
      </c>
      <c r="P774" s="921">
        <f t="shared" si="77"/>
        <v>3</v>
      </c>
    </row>
    <row r="775" spans="1:16" ht="15" hidden="1" customHeight="1">
      <c r="A775" s="839">
        <v>68867755</v>
      </c>
      <c r="B775" s="839">
        <v>2904</v>
      </c>
      <c r="C775" s="906">
        <v>7192</v>
      </c>
      <c r="D775" s="907">
        <v>46039</v>
      </c>
      <c r="E775" s="839" t="s">
        <v>274</v>
      </c>
      <c r="F775" s="839" t="s">
        <v>275</v>
      </c>
      <c r="G775" s="916">
        <f>VLOOKUP($A775,'Tech Litons'!$A:$I,8,FALSE)</f>
        <v>3.552E-3</v>
      </c>
      <c r="H775" s="917">
        <f>VLOOKUP($A775,'Tech Litons'!$A:$I,9,FALSE)</f>
        <v>255</v>
      </c>
      <c r="I775" s="917" t="str">
        <f>VLOOKUP($A775,'Tech Litons'!$A:$C,3,0)</f>
        <v>Talenti</v>
      </c>
      <c r="J775" s="918" t="str">
        <f t="shared" si="72"/>
        <v>2904Talenti</v>
      </c>
      <c r="K775" s="919">
        <v>1</v>
      </c>
      <c r="L775" s="920">
        <f t="shared" si="73"/>
        <v>7192</v>
      </c>
      <c r="M775" s="920">
        <f t="shared" si="74"/>
        <v>25.545984000000001</v>
      </c>
      <c r="N775" s="920">
        <f t="shared" si="75"/>
        <v>28.20392156862745</v>
      </c>
      <c r="O775" s="918" t="str">
        <f t="shared" si="76"/>
        <v>Jan</v>
      </c>
      <c r="P775" s="921">
        <f t="shared" si="77"/>
        <v>3</v>
      </c>
    </row>
    <row r="776" spans="1:16" ht="15" hidden="1" customHeight="1">
      <c r="A776" s="839">
        <v>68354588</v>
      </c>
      <c r="B776" s="839">
        <v>2904</v>
      </c>
      <c r="C776" s="906">
        <v>7558</v>
      </c>
      <c r="D776" s="907">
        <v>46039</v>
      </c>
      <c r="E776" s="839" t="s">
        <v>332</v>
      </c>
      <c r="F776" s="839" t="s">
        <v>40</v>
      </c>
      <c r="G776" s="916">
        <f>VLOOKUP($A776,'Tech Litons'!$A:$I,8,FALSE)</f>
        <v>3.5999999999999999E-3</v>
      </c>
      <c r="H776" s="917">
        <f>VLOOKUP($A776,'Tech Litons'!$A:$I,9,FALSE)</f>
        <v>240</v>
      </c>
      <c r="I776" s="917" t="str">
        <f>VLOOKUP($A776,'Tech Litons'!$A:$C,3,0)</f>
        <v>Topped</v>
      </c>
      <c r="J776" s="918" t="str">
        <f t="shared" si="72"/>
        <v>2904Topped</v>
      </c>
      <c r="K776" s="919">
        <v>1</v>
      </c>
      <c r="L776" s="920">
        <f t="shared" si="73"/>
        <v>7558</v>
      </c>
      <c r="M776" s="920">
        <f t="shared" si="74"/>
        <v>27.2088</v>
      </c>
      <c r="N776" s="920">
        <f t="shared" si="75"/>
        <v>31.491666666666667</v>
      </c>
      <c r="O776" s="918" t="str">
        <f t="shared" si="76"/>
        <v>Jan</v>
      </c>
      <c r="P776" s="921">
        <f t="shared" si="77"/>
        <v>3</v>
      </c>
    </row>
    <row r="777" spans="1:16" ht="15" hidden="1" customHeight="1">
      <c r="A777" s="839">
        <v>68737750</v>
      </c>
      <c r="B777" s="839">
        <v>1352</v>
      </c>
      <c r="C777" s="906">
        <v>8598</v>
      </c>
      <c r="D777" s="907">
        <v>46039</v>
      </c>
      <c r="E777" s="839" t="s">
        <v>407</v>
      </c>
      <c r="F777" s="839" t="s">
        <v>261</v>
      </c>
      <c r="G777" s="916">
        <f>VLOOKUP($A777,'Tech Litons'!$A:$I,8,FALSE)</f>
        <v>8.5199999999999998E-3</v>
      </c>
      <c r="H777" s="917">
        <f>VLOOKUP($A777,'Tech Litons'!$A:$I,9,FALSE)</f>
        <v>176</v>
      </c>
      <c r="I777" s="917" t="str">
        <f>VLOOKUP($A777,'Tech Litons'!$A:$C,3,0)</f>
        <v>48oz</v>
      </c>
      <c r="J777" s="918" t="str">
        <f t="shared" si="72"/>
        <v>135248oz</v>
      </c>
      <c r="K777" s="919">
        <v>1</v>
      </c>
      <c r="L777" s="920">
        <f t="shared" si="73"/>
        <v>8598</v>
      </c>
      <c r="M777" s="920">
        <f t="shared" si="74"/>
        <v>73.254959999999997</v>
      </c>
      <c r="N777" s="920">
        <f t="shared" si="75"/>
        <v>48.852272727272727</v>
      </c>
      <c r="O777" s="918" t="str">
        <f t="shared" si="76"/>
        <v>Jan</v>
      </c>
      <c r="P777" s="921">
        <f t="shared" si="77"/>
        <v>3</v>
      </c>
    </row>
    <row r="778" spans="1:16" ht="15" hidden="1" customHeight="1">
      <c r="A778" s="839">
        <v>68851104</v>
      </c>
      <c r="B778" s="839">
        <v>1352</v>
      </c>
      <c r="C778" s="906">
        <v>9463</v>
      </c>
      <c r="D778" s="907">
        <v>46039</v>
      </c>
      <c r="E778" s="839" t="s">
        <v>270</v>
      </c>
      <c r="F778" s="839" t="s">
        <v>264</v>
      </c>
      <c r="G778" s="916">
        <f>VLOOKUP($A778,'Tech Litons'!$A:$I,8,FALSE)</f>
        <v>8.5199999999999998E-3</v>
      </c>
      <c r="H778" s="917">
        <f>VLOOKUP($A778,'Tech Litons'!$A:$I,9,FALSE)</f>
        <v>176</v>
      </c>
      <c r="I778" s="917" t="str">
        <f>VLOOKUP($A778,'Tech Litons'!$A:$C,3,0)</f>
        <v>48oz</v>
      </c>
      <c r="J778" s="918" t="str">
        <f t="shared" si="72"/>
        <v>135248oz</v>
      </c>
      <c r="K778" s="919">
        <v>1</v>
      </c>
      <c r="L778" s="920">
        <f t="shared" si="73"/>
        <v>9463</v>
      </c>
      <c r="M778" s="920">
        <f t="shared" si="74"/>
        <v>80.624759999999995</v>
      </c>
      <c r="N778" s="920">
        <f t="shared" si="75"/>
        <v>53.767045454545453</v>
      </c>
      <c r="O778" s="918" t="str">
        <f t="shared" si="76"/>
        <v>Jan</v>
      </c>
      <c r="P778" s="921">
        <f t="shared" si="77"/>
        <v>3</v>
      </c>
    </row>
    <row r="779" spans="1:16" ht="15" hidden="1" customHeight="1">
      <c r="A779" s="839">
        <v>68862496</v>
      </c>
      <c r="B779" s="839">
        <v>2904</v>
      </c>
      <c r="C779" s="906">
        <v>15516</v>
      </c>
      <c r="D779" s="907">
        <v>46039</v>
      </c>
      <c r="E779" s="839" t="s">
        <v>356</v>
      </c>
      <c r="F779" s="839" t="s">
        <v>277</v>
      </c>
      <c r="G779" s="916">
        <f>VLOOKUP($A779,'Tech Litons'!$A:$I,8,FALSE)</f>
        <v>3.7839999999999996E-3</v>
      </c>
      <c r="H779" s="917">
        <f>VLOOKUP($A779,'Tech Litons'!$A:$I,9,FALSE)</f>
        <v>255</v>
      </c>
      <c r="I779" s="917" t="str">
        <f>VLOOKUP($A779,'Tech Litons'!$A:$C,3,0)</f>
        <v>TALENTI</v>
      </c>
      <c r="J779" s="918" t="str">
        <f t="shared" si="72"/>
        <v>2904TALENTI</v>
      </c>
      <c r="K779" s="919">
        <v>1</v>
      </c>
      <c r="L779" s="920">
        <f t="shared" si="73"/>
        <v>15516</v>
      </c>
      <c r="M779" s="920">
        <f t="shared" si="74"/>
        <v>58.712543999999994</v>
      </c>
      <c r="N779" s="920">
        <f t="shared" si="75"/>
        <v>60.847058823529409</v>
      </c>
      <c r="O779" s="918" t="str">
        <f t="shared" si="76"/>
        <v>Jan</v>
      </c>
      <c r="P779" s="921">
        <f t="shared" si="77"/>
        <v>3</v>
      </c>
    </row>
    <row r="780" spans="1:16" ht="15" hidden="1" customHeight="1">
      <c r="A780" s="839">
        <v>68862496</v>
      </c>
      <c r="B780" s="839">
        <v>2904</v>
      </c>
      <c r="C780" s="906">
        <v>17775</v>
      </c>
      <c r="D780" s="907">
        <v>46039</v>
      </c>
      <c r="E780" s="839" t="s">
        <v>356</v>
      </c>
      <c r="F780" s="839" t="s">
        <v>277</v>
      </c>
      <c r="G780" s="916">
        <f>VLOOKUP($A780,'Tech Litons'!$A:$I,8,FALSE)</f>
        <v>3.7839999999999996E-3</v>
      </c>
      <c r="H780" s="917">
        <f>VLOOKUP($A780,'Tech Litons'!$A:$I,9,FALSE)</f>
        <v>255</v>
      </c>
      <c r="I780" s="917" t="str">
        <f>VLOOKUP($A780,'Tech Litons'!$A:$C,3,0)</f>
        <v>TALENTI</v>
      </c>
      <c r="J780" s="918" t="str">
        <f t="shared" si="72"/>
        <v>2904TALENTI</v>
      </c>
      <c r="K780" s="919">
        <v>1</v>
      </c>
      <c r="L780" s="920">
        <f t="shared" si="73"/>
        <v>17775</v>
      </c>
      <c r="M780" s="920">
        <f t="shared" si="74"/>
        <v>67.260599999999997</v>
      </c>
      <c r="N780" s="920">
        <f t="shared" si="75"/>
        <v>69.705882352941174</v>
      </c>
      <c r="O780" s="918" t="str">
        <f t="shared" si="76"/>
        <v>Jan</v>
      </c>
      <c r="P780" s="921">
        <f t="shared" si="77"/>
        <v>3</v>
      </c>
    </row>
    <row r="781" spans="1:16" ht="15" hidden="1" customHeight="1">
      <c r="A781" s="839">
        <v>67794167</v>
      </c>
      <c r="B781" s="839">
        <v>5911</v>
      </c>
      <c r="C781" s="906">
        <v>30634</v>
      </c>
      <c r="D781" s="907">
        <v>46039</v>
      </c>
      <c r="E781" s="839" t="s">
        <v>343</v>
      </c>
      <c r="F781" s="839" t="s">
        <v>303</v>
      </c>
      <c r="G781" s="916">
        <f>VLOOKUP($A781,'Tech Litons'!$A:$I,8,FALSE)</f>
        <v>3.7853439999999999E-3</v>
      </c>
      <c r="H781" s="917">
        <f>VLOOKUP($A781,'Tech Litons'!$A:$I,9,FALSE)</f>
        <v>240</v>
      </c>
      <c r="I781" s="917" t="str">
        <f>VLOOKUP($A781,'Tech Litons'!$A:$C,3,0)</f>
        <v>BJ PTS</v>
      </c>
      <c r="J781" s="918" t="str">
        <f t="shared" si="72"/>
        <v>5911BJ PTS</v>
      </c>
      <c r="K781" s="919">
        <v>1</v>
      </c>
      <c r="L781" s="920">
        <f t="shared" si="73"/>
        <v>30634</v>
      </c>
      <c r="M781" s="920">
        <f t="shared" si="74"/>
        <v>115.96022809599999</v>
      </c>
      <c r="N781" s="920">
        <f t="shared" si="75"/>
        <v>127.64166666666667</v>
      </c>
      <c r="O781" s="918" t="str">
        <f t="shared" si="76"/>
        <v>Jan</v>
      </c>
      <c r="P781" s="921">
        <f t="shared" si="77"/>
        <v>3</v>
      </c>
    </row>
    <row r="782" spans="1:16" ht="15" hidden="1" customHeight="1">
      <c r="A782" s="839">
        <v>68689251</v>
      </c>
      <c r="B782" s="839">
        <v>1352</v>
      </c>
      <c r="C782" s="906">
        <v>43</v>
      </c>
      <c r="D782" s="907">
        <v>46040</v>
      </c>
      <c r="E782" s="839" t="s">
        <v>262</v>
      </c>
      <c r="F782" s="839" t="s">
        <v>242</v>
      </c>
      <c r="G782" s="916">
        <f>VLOOKUP($A782,'Tech Litons'!$A:$I,8,FALSE)</f>
        <v>9.5760000000000012E-3</v>
      </c>
      <c r="H782" s="917">
        <f>VLOOKUP($A782,'Tech Litons'!$A:$I,9,FALSE)</f>
        <v>132</v>
      </c>
      <c r="I782" s="917" t="str">
        <f>VLOOKUP($A782,'Tech Litons'!$A:$C,3,0)</f>
        <v>EDF</v>
      </c>
      <c r="J782" s="918" t="str">
        <f t="shared" si="72"/>
        <v>1352EDF</v>
      </c>
      <c r="K782" s="919">
        <v>1</v>
      </c>
      <c r="L782" s="920">
        <f t="shared" si="73"/>
        <v>43</v>
      </c>
      <c r="M782" s="920">
        <f t="shared" si="74"/>
        <v>0.41176800000000002</v>
      </c>
      <c r="N782" s="920">
        <f t="shared" si="75"/>
        <v>0.32575757575757575</v>
      </c>
      <c r="O782" s="918" t="str">
        <f t="shared" si="76"/>
        <v>Jan</v>
      </c>
      <c r="P782" s="921">
        <f t="shared" si="77"/>
        <v>4</v>
      </c>
    </row>
    <row r="783" spans="1:16" ht="15" hidden="1" customHeight="1">
      <c r="A783" s="839">
        <v>64341106</v>
      </c>
      <c r="B783" s="839">
        <v>2904</v>
      </c>
      <c r="C783" s="906">
        <v>630</v>
      </c>
      <c r="D783" s="907">
        <v>46040</v>
      </c>
      <c r="E783" s="839" t="s">
        <v>293</v>
      </c>
      <c r="F783" s="839" t="s">
        <v>227</v>
      </c>
      <c r="G783" s="916">
        <f>VLOOKUP($A783,'Tech Litons'!$A:$I,8,FALSE)</f>
        <v>5.2680000000000001E-3</v>
      </c>
      <c r="H783" s="917">
        <f>VLOOKUP($A783,'Tech Litons'!$A:$I,9,FALSE)</f>
        <v>130</v>
      </c>
      <c r="I783" s="917" t="str">
        <f>VLOOKUP($A783,'Tech Litons'!$A:$C,3,0)</f>
        <v>PG</v>
      </c>
      <c r="J783" s="918" t="str">
        <f t="shared" si="72"/>
        <v>2904PG</v>
      </c>
      <c r="K783" s="919">
        <v>1</v>
      </c>
      <c r="L783" s="920">
        <f t="shared" si="73"/>
        <v>630</v>
      </c>
      <c r="M783" s="920">
        <f t="shared" si="74"/>
        <v>3.3188400000000002</v>
      </c>
      <c r="N783" s="920">
        <f t="shared" si="75"/>
        <v>4.8461538461538458</v>
      </c>
      <c r="O783" s="918" t="str">
        <f t="shared" si="76"/>
        <v>Jan</v>
      </c>
      <c r="P783" s="921">
        <f t="shared" si="77"/>
        <v>4</v>
      </c>
    </row>
    <row r="784" spans="1:16" ht="15" hidden="1" customHeight="1">
      <c r="A784" s="839">
        <v>68851106</v>
      </c>
      <c r="B784" s="839">
        <v>2904</v>
      </c>
      <c r="C784" s="906">
        <v>643</v>
      </c>
      <c r="D784" s="907">
        <v>46040</v>
      </c>
      <c r="E784" s="839" t="s">
        <v>359</v>
      </c>
      <c r="F784" s="839" t="s">
        <v>273</v>
      </c>
      <c r="G784" s="916">
        <f>VLOOKUP($A784,'Tech Litons'!$A:$I,8,FALSE)</f>
        <v>8.5199999999999998E-3</v>
      </c>
      <c r="H784" s="917">
        <f>VLOOKUP($A784,'Tech Litons'!$A:$I,9,FALSE)</f>
        <v>154</v>
      </c>
      <c r="I784" s="917" t="str">
        <f>VLOOKUP($A784,'Tech Litons'!$A:$C,3,0)</f>
        <v>48oz</v>
      </c>
      <c r="J784" s="918" t="str">
        <f t="shared" si="72"/>
        <v>290448oz</v>
      </c>
      <c r="K784" s="919">
        <v>1</v>
      </c>
      <c r="L784" s="920">
        <f t="shared" si="73"/>
        <v>643</v>
      </c>
      <c r="M784" s="920">
        <f t="shared" si="74"/>
        <v>5.4783599999999995</v>
      </c>
      <c r="N784" s="920">
        <f t="shared" si="75"/>
        <v>4.1753246753246751</v>
      </c>
      <c r="O784" s="918" t="str">
        <f t="shared" si="76"/>
        <v>Jan</v>
      </c>
      <c r="P784" s="921">
        <f t="shared" si="77"/>
        <v>4</v>
      </c>
    </row>
    <row r="785" spans="1:16" ht="15" hidden="1" customHeight="1">
      <c r="A785" s="839">
        <v>68746232</v>
      </c>
      <c r="B785" s="839">
        <v>2904</v>
      </c>
      <c r="C785" s="906">
        <v>1073</v>
      </c>
      <c r="D785" s="907">
        <v>46040</v>
      </c>
      <c r="E785" s="839" t="s">
        <v>508</v>
      </c>
      <c r="F785" s="839" t="s">
        <v>243</v>
      </c>
      <c r="G785" s="916">
        <f>VLOOKUP($A785,'Tech Litons'!$A:$I,8,FALSE)</f>
        <v>8.5199999999999998E-3</v>
      </c>
      <c r="H785" s="917">
        <f>VLOOKUP($A785,'Tech Litons'!$A:$I,9,FALSE)</f>
        <v>132</v>
      </c>
      <c r="I785" s="917" t="str">
        <f>VLOOKUP($A785,'Tech Litons'!$A:$C,3,0)</f>
        <v>EDF</v>
      </c>
      <c r="J785" s="918" t="str">
        <f t="shared" si="72"/>
        <v>2904EDF</v>
      </c>
      <c r="K785" s="919">
        <v>1</v>
      </c>
      <c r="L785" s="920">
        <f t="shared" si="73"/>
        <v>1073</v>
      </c>
      <c r="M785" s="920">
        <f t="shared" si="74"/>
        <v>9.1419599999999992</v>
      </c>
      <c r="N785" s="920">
        <f t="shared" si="75"/>
        <v>8.1287878787878789</v>
      </c>
      <c r="O785" s="918" t="str">
        <f t="shared" si="76"/>
        <v>Jan</v>
      </c>
      <c r="P785" s="921">
        <f t="shared" si="77"/>
        <v>4</v>
      </c>
    </row>
    <row r="786" spans="1:16" ht="15" hidden="1" customHeight="1">
      <c r="A786" s="839">
        <v>69717803</v>
      </c>
      <c r="B786" s="839">
        <v>2904</v>
      </c>
      <c r="C786" s="906">
        <v>1402</v>
      </c>
      <c r="D786" s="907">
        <v>46040</v>
      </c>
      <c r="E786" s="839" t="s">
        <v>362</v>
      </c>
      <c r="F786" s="839" t="s">
        <v>231</v>
      </c>
      <c r="G786" s="916">
        <f>VLOOKUP($A786,'Tech Litons'!$A:$I,8,FALSE)</f>
        <v>4.2560000000000002E-3</v>
      </c>
      <c r="H786" s="917">
        <f>VLOOKUP($A786,'Tech Litons'!$A:$I,9,FALSE)</f>
        <v>143</v>
      </c>
      <c r="I786" s="917" t="str">
        <f>VLOOKUP($A786,'Tech Litons'!$A:$C,3,0)</f>
        <v>MG Sticks</v>
      </c>
      <c r="J786" s="918" t="str">
        <f t="shared" ref="J786:J849" si="78">B786&amp;I786</f>
        <v>2904MG Sticks</v>
      </c>
      <c r="K786" s="919">
        <v>1</v>
      </c>
      <c r="L786" s="920">
        <f t="shared" ref="L786:L849" si="79">C786*$K786</f>
        <v>1402</v>
      </c>
      <c r="M786" s="920">
        <f t="shared" ref="M786:M849" si="80">L786*G786</f>
        <v>5.9669120000000007</v>
      </c>
      <c r="N786" s="920">
        <f t="shared" ref="N786:N849" si="81">L786/H786</f>
        <v>9.8041958041958051</v>
      </c>
      <c r="O786" s="918" t="str">
        <f t="shared" ref="O786:O849" si="82">TEXT(D786,"MMM")</f>
        <v>Jan</v>
      </c>
      <c r="P786" s="921">
        <f t="shared" ref="P786:P849" si="83">WEEKNUM(D786)</f>
        <v>4</v>
      </c>
    </row>
    <row r="787" spans="1:16" ht="15" hidden="1" customHeight="1">
      <c r="A787" s="839">
        <v>69717803</v>
      </c>
      <c r="B787" s="839">
        <v>2904</v>
      </c>
      <c r="C787" s="906">
        <v>1573</v>
      </c>
      <c r="D787" s="907">
        <v>46040</v>
      </c>
      <c r="E787" s="839" t="s">
        <v>362</v>
      </c>
      <c r="F787" s="839" t="s">
        <v>231</v>
      </c>
      <c r="G787" s="916">
        <f>VLOOKUP($A787,'Tech Litons'!$A:$I,8,FALSE)</f>
        <v>4.2560000000000002E-3</v>
      </c>
      <c r="H787" s="917">
        <f>VLOOKUP($A787,'Tech Litons'!$A:$I,9,FALSE)</f>
        <v>143</v>
      </c>
      <c r="I787" s="917" t="str">
        <f>VLOOKUP($A787,'Tech Litons'!$A:$C,3,0)</f>
        <v>MG Sticks</v>
      </c>
      <c r="J787" s="918" t="str">
        <f t="shared" si="78"/>
        <v>2904MG Sticks</v>
      </c>
      <c r="K787" s="919">
        <v>1</v>
      </c>
      <c r="L787" s="920">
        <f t="shared" si="79"/>
        <v>1573</v>
      </c>
      <c r="M787" s="920">
        <f t="shared" si="80"/>
        <v>6.6946880000000002</v>
      </c>
      <c r="N787" s="920">
        <f t="shared" si="81"/>
        <v>11</v>
      </c>
      <c r="O787" s="918" t="str">
        <f t="shared" si="82"/>
        <v>Jan</v>
      </c>
      <c r="P787" s="921">
        <f t="shared" si="83"/>
        <v>4</v>
      </c>
    </row>
    <row r="788" spans="1:16" ht="15" hidden="1" customHeight="1">
      <c r="A788" s="839">
        <v>64341106</v>
      </c>
      <c r="B788" s="839">
        <v>2904</v>
      </c>
      <c r="C788" s="906">
        <v>2079</v>
      </c>
      <c r="D788" s="907">
        <v>46040</v>
      </c>
      <c r="E788" s="839" t="s">
        <v>293</v>
      </c>
      <c r="F788" s="839" t="s">
        <v>227</v>
      </c>
      <c r="G788" s="916">
        <f>VLOOKUP($A788,'Tech Litons'!$A:$I,8,FALSE)</f>
        <v>5.2680000000000001E-3</v>
      </c>
      <c r="H788" s="917">
        <f>VLOOKUP($A788,'Tech Litons'!$A:$I,9,FALSE)</f>
        <v>130</v>
      </c>
      <c r="I788" s="917" t="str">
        <f>VLOOKUP($A788,'Tech Litons'!$A:$C,3,0)</f>
        <v>PG</v>
      </c>
      <c r="J788" s="918" t="str">
        <f t="shared" si="78"/>
        <v>2904PG</v>
      </c>
      <c r="K788" s="919">
        <v>1</v>
      </c>
      <c r="L788" s="920">
        <f t="shared" si="79"/>
        <v>2079</v>
      </c>
      <c r="M788" s="920">
        <f t="shared" si="80"/>
        <v>10.952172000000001</v>
      </c>
      <c r="N788" s="920">
        <f t="shared" si="81"/>
        <v>15.992307692307692</v>
      </c>
      <c r="O788" s="918" t="str">
        <f t="shared" si="82"/>
        <v>Jan</v>
      </c>
      <c r="P788" s="921">
        <f t="shared" si="83"/>
        <v>4</v>
      </c>
    </row>
    <row r="789" spans="1:16" ht="15" hidden="1" customHeight="1">
      <c r="A789" s="839">
        <v>68300738</v>
      </c>
      <c r="B789" s="839">
        <v>1352</v>
      </c>
      <c r="C789" s="906">
        <v>2508</v>
      </c>
      <c r="D789" s="907">
        <v>46040</v>
      </c>
      <c r="E789" s="839" t="s">
        <v>325</v>
      </c>
      <c r="F789" s="839" t="s">
        <v>240</v>
      </c>
      <c r="G789" s="916">
        <f>VLOOKUP($A789,'Tech Litons'!$A:$I,8,FALSE)</f>
        <v>8.4960000000000001E-3</v>
      </c>
      <c r="H789" s="917">
        <f>VLOOKUP($A789,'Tech Litons'!$A:$I,9,FALSE)</f>
        <v>132</v>
      </c>
      <c r="I789" s="917" t="str">
        <f>VLOOKUP($A789,'Tech Litons'!$A:$C,3,0)</f>
        <v>EDF</v>
      </c>
      <c r="J789" s="918" t="str">
        <f t="shared" si="78"/>
        <v>1352EDF</v>
      </c>
      <c r="K789" s="919">
        <v>1</v>
      </c>
      <c r="L789" s="920">
        <f t="shared" si="79"/>
        <v>2508</v>
      </c>
      <c r="M789" s="920">
        <f t="shared" si="80"/>
        <v>21.307967999999999</v>
      </c>
      <c r="N789" s="920">
        <f t="shared" si="81"/>
        <v>19</v>
      </c>
      <c r="O789" s="918" t="str">
        <f t="shared" si="82"/>
        <v>Jan</v>
      </c>
      <c r="P789" s="921">
        <f t="shared" si="83"/>
        <v>4</v>
      </c>
    </row>
    <row r="790" spans="1:16" ht="15" hidden="1" customHeight="1">
      <c r="A790" s="839">
        <v>64341968</v>
      </c>
      <c r="B790" s="839">
        <v>1352</v>
      </c>
      <c r="C790" s="906">
        <v>2764</v>
      </c>
      <c r="D790" s="907">
        <v>46040</v>
      </c>
      <c r="E790" s="839" t="s">
        <v>322</v>
      </c>
      <c r="F790" s="839" t="s">
        <v>261</v>
      </c>
      <c r="G790" s="916">
        <f>VLOOKUP($A790,'Tech Litons'!$A:$I,8,FALSE)</f>
        <v>8.5199999999999998E-3</v>
      </c>
      <c r="H790" s="917">
        <f>VLOOKUP($A790,'Tech Litons'!$A:$I,9,FALSE)</f>
        <v>176</v>
      </c>
      <c r="I790" s="917" t="str">
        <f>VLOOKUP($A790,'Tech Litons'!$A:$C,3,0)</f>
        <v>48oz</v>
      </c>
      <c r="J790" s="918" t="str">
        <f t="shared" si="78"/>
        <v>135248oz</v>
      </c>
      <c r="K790" s="919">
        <v>1</v>
      </c>
      <c r="L790" s="920">
        <f t="shared" si="79"/>
        <v>2764</v>
      </c>
      <c r="M790" s="920">
        <f t="shared" si="80"/>
        <v>23.54928</v>
      </c>
      <c r="N790" s="920">
        <f t="shared" si="81"/>
        <v>15.704545454545455</v>
      </c>
      <c r="O790" s="918" t="str">
        <f t="shared" si="82"/>
        <v>Jan</v>
      </c>
      <c r="P790" s="921">
        <f t="shared" si="83"/>
        <v>4</v>
      </c>
    </row>
    <row r="791" spans="1:16" ht="15" hidden="1" customHeight="1">
      <c r="A791" s="839">
        <v>64341968</v>
      </c>
      <c r="B791" s="839">
        <v>1352</v>
      </c>
      <c r="C791" s="906">
        <v>3054</v>
      </c>
      <c r="D791" s="907">
        <v>46040</v>
      </c>
      <c r="E791" s="839" t="s">
        <v>322</v>
      </c>
      <c r="F791" s="839" t="s">
        <v>261</v>
      </c>
      <c r="G791" s="916">
        <f>VLOOKUP($A791,'Tech Litons'!$A:$I,8,FALSE)</f>
        <v>8.5199999999999998E-3</v>
      </c>
      <c r="H791" s="917">
        <f>VLOOKUP($A791,'Tech Litons'!$A:$I,9,FALSE)</f>
        <v>176</v>
      </c>
      <c r="I791" s="917" t="str">
        <f>VLOOKUP($A791,'Tech Litons'!$A:$C,3,0)</f>
        <v>48oz</v>
      </c>
      <c r="J791" s="918" t="str">
        <f t="shared" si="78"/>
        <v>135248oz</v>
      </c>
      <c r="K791" s="919">
        <v>1</v>
      </c>
      <c r="L791" s="920">
        <f t="shared" si="79"/>
        <v>3054</v>
      </c>
      <c r="M791" s="920">
        <f t="shared" si="80"/>
        <v>26.02008</v>
      </c>
      <c r="N791" s="920">
        <f t="shared" si="81"/>
        <v>17.352272727272727</v>
      </c>
      <c r="O791" s="918" t="str">
        <f t="shared" si="82"/>
        <v>Jan</v>
      </c>
      <c r="P791" s="921">
        <f t="shared" si="83"/>
        <v>4</v>
      </c>
    </row>
    <row r="792" spans="1:16" ht="15" hidden="1" customHeight="1">
      <c r="A792" s="839">
        <v>68689251</v>
      </c>
      <c r="B792" s="839">
        <v>1352</v>
      </c>
      <c r="C792" s="906">
        <v>3300</v>
      </c>
      <c r="D792" s="907">
        <v>46040</v>
      </c>
      <c r="E792" s="839" t="s">
        <v>262</v>
      </c>
      <c r="F792" s="839" t="s">
        <v>241</v>
      </c>
      <c r="G792" s="916">
        <f>VLOOKUP($A792,'Tech Litons'!$A:$I,8,FALSE)</f>
        <v>9.5760000000000012E-3</v>
      </c>
      <c r="H792" s="917">
        <f>VLOOKUP($A792,'Tech Litons'!$A:$I,9,FALSE)</f>
        <v>132</v>
      </c>
      <c r="I792" s="917" t="str">
        <f>VLOOKUP($A792,'Tech Litons'!$A:$C,3,0)</f>
        <v>EDF</v>
      </c>
      <c r="J792" s="918" t="str">
        <f t="shared" si="78"/>
        <v>1352EDF</v>
      </c>
      <c r="K792" s="919">
        <v>1</v>
      </c>
      <c r="L792" s="920">
        <f t="shared" si="79"/>
        <v>3300</v>
      </c>
      <c r="M792" s="920">
        <f t="shared" si="80"/>
        <v>31.600800000000003</v>
      </c>
      <c r="N792" s="920">
        <f t="shared" si="81"/>
        <v>25</v>
      </c>
      <c r="O792" s="918" t="str">
        <f t="shared" si="82"/>
        <v>Jan</v>
      </c>
      <c r="P792" s="921">
        <f t="shared" si="83"/>
        <v>4</v>
      </c>
    </row>
    <row r="793" spans="1:16" ht="15" hidden="1" customHeight="1">
      <c r="A793" s="839">
        <v>68737750</v>
      </c>
      <c r="B793" s="839">
        <v>1352</v>
      </c>
      <c r="C793" s="906">
        <v>3414</v>
      </c>
      <c r="D793" s="907">
        <v>46040</v>
      </c>
      <c r="E793" s="839" t="s">
        <v>407</v>
      </c>
      <c r="F793" s="839" t="s">
        <v>261</v>
      </c>
      <c r="G793" s="916">
        <f>VLOOKUP($A793,'Tech Litons'!$A:$I,8,FALSE)</f>
        <v>8.5199999999999998E-3</v>
      </c>
      <c r="H793" s="917">
        <f>VLOOKUP($A793,'Tech Litons'!$A:$I,9,FALSE)</f>
        <v>176</v>
      </c>
      <c r="I793" s="917" t="str">
        <f>VLOOKUP($A793,'Tech Litons'!$A:$C,3,0)</f>
        <v>48oz</v>
      </c>
      <c r="J793" s="918" t="str">
        <f t="shared" si="78"/>
        <v>135248oz</v>
      </c>
      <c r="K793" s="919">
        <v>1</v>
      </c>
      <c r="L793" s="920">
        <f t="shared" si="79"/>
        <v>3414</v>
      </c>
      <c r="M793" s="920">
        <f t="shared" si="80"/>
        <v>29.08728</v>
      </c>
      <c r="N793" s="920">
        <f t="shared" si="81"/>
        <v>19.397727272727273</v>
      </c>
      <c r="O793" s="918" t="str">
        <f t="shared" si="82"/>
        <v>Jan</v>
      </c>
      <c r="P793" s="921">
        <f t="shared" si="83"/>
        <v>4</v>
      </c>
    </row>
    <row r="794" spans="1:16" ht="15" hidden="1" customHeight="1">
      <c r="A794" s="839">
        <v>68851107</v>
      </c>
      <c r="B794" s="839">
        <v>1352</v>
      </c>
      <c r="C794" s="906">
        <v>3696</v>
      </c>
      <c r="D794" s="907">
        <v>46040</v>
      </c>
      <c r="E794" s="839" t="s">
        <v>272</v>
      </c>
      <c r="F794" s="839" t="s">
        <v>290</v>
      </c>
      <c r="G794" s="916">
        <f>VLOOKUP($A794,'Tech Litons'!$A:$I,8,FALSE)</f>
        <v>8.5199999999999998E-3</v>
      </c>
      <c r="H794" s="917">
        <f>VLOOKUP($A794,'Tech Litons'!$A:$I,9,FALSE)</f>
        <v>176</v>
      </c>
      <c r="I794" s="917" t="str">
        <f>VLOOKUP($A794,'Tech Litons'!$A:$C,3,0)</f>
        <v>48oz</v>
      </c>
      <c r="J794" s="918" t="str">
        <f t="shared" si="78"/>
        <v>135248oz</v>
      </c>
      <c r="K794" s="919">
        <v>1</v>
      </c>
      <c r="L794" s="920">
        <f t="shared" si="79"/>
        <v>3696</v>
      </c>
      <c r="M794" s="920">
        <f t="shared" si="80"/>
        <v>31.489919999999998</v>
      </c>
      <c r="N794" s="920">
        <f t="shared" si="81"/>
        <v>21</v>
      </c>
      <c r="O794" s="918" t="str">
        <f t="shared" si="82"/>
        <v>Jan</v>
      </c>
      <c r="P794" s="921">
        <f t="shared" si="83"/>
        <v>4</v>
      </c>
    </row>
    <row r="795" spans="1:16" ht="15" hidden="1" customHeight="1">
      <c r="A795" s="839">
        <v>68689251</v>
      </c>
      <c r="B795" s="839">
        <v>1352</v>
      </c>
      <c r="C795" s="906">
        <v>4015</v>
      </c>
      <c r="D795" s="907">
        <v>46040</v>
      </c>
      <c r="E795" s="839" t="s">
        <v>262</v>
      </c>
      <c r="F795" s="839" t="s">
        <v>241</v>
      </c>
      <c r="G795" s="916">
        <f>VLOOKUP($A795,'Tech Litons'!$A:$I,8,FALSE)</f>
        <v>9.5760000000000012E-3</v>
      </c>
      <c r="H795" s="917">
        <f>VLOOKUP($A795,'Tech Litons'!$A:$I,9,FALSE)</f>
        <v>132</v>
      </c>
      <c r="I795" s="917" t="str">
        <f>VLOOKUP($A795,'Tech Litons'!$A:$C,3,0)</f>
        <v>EDF</v>
      </c>
      <c r="J795" s="918" t="str">
        <f t="shared" si="78"/>
        <v>1352EDF</v>
      </c>
      <c r="K795" s="919">
        <v>1</v>
      </c>
      <c r="L795" s="920">
        <f t="shared" si="79"/>
        <v>4015</v>
      </c>
      <c r="M795" s="920">
        <f t="shared" si="80"/>
        <v>38.447640000000007</v>
      </c>
      <c r="N795" s="920">
        <f t="shared" si="81"/>
        <v>30.416666666666668</v>
      </c>
      <c r="O795" s="918" t="str">
        <f t="shared" si="82"/>
        <v>Jan</v>
      </c>
      <c r="P795" s="921">
        <f t="shared" si="83"/>
        <v>4</v>
      </c>
    </row>
    <row r="796" spans="1:16" ht="15" hidden="1" customHeight="1">
      <c r="A796" s="839">
        <v>68817793</v>
      </c>
      <c r="B796" s="839">
        <v>1352</v>
      </c>
      <c r="C796" s="906">
        <v>4026</v>
      </c>
      <c r="D796" s="907">
        <v>46040</v>
      </c>
      <c r="E796" s="839" t="s">
        <v>353</v>
      </c>
      <c r="F796" s="839" t="s">
        <v>266</v>
      </c>
      <c r="G796" s="916">
        <f>VLOOKUP($A796,'Tech Litons'!$A:$I,8,FALSE)</f>
        <v>8.5199999999999998E-3</v>
      </c>
      <c r="H796" s="917">
        <f>VLOOKUP($A796,'Tech Litons'!$A:$I,9,FALSE)</f>
        <v>176</v>
      </c>
      <c r="I796" s="917" t="str">
        <f>VLOOKUP($A796,'Tech Litons'!$A:$C,3,0)</f>
        <v>48oz</v>
      </c>
      <c r="J796" s="918" t="str">
        <f t="shared" si="78"/>
        <v>135248oz</v>
      </c>
      <c r="K796" s="919">
        <v>1</v>
      </c>
      <c r="L796" s="920">
        <f t="shared" si="79"/>
        <v>4026</v>
      </c>
      <c r="M796" s="920">
        <f t="shared" si="80"/>
        <v>34.301519999999996</v>
      </c>
      <c r="N796" s="920">
        <f t="shared" si="81"/>
        <v>22.875</v>
      </c>
      <c r="O796" s="918" t="str">
        <f t="shared" si="82"/>
        <v>Jan</v>
      </c>
      <c r="P796" s="921">
        <f t="shared" si="83"/>
        <v>4</v>
      </c>
    </row>
    <row r="797" spans="1:16" ht="15" hidden="1" customHeight="1">
      <c r="A797" s="839">
        <v>64389651</v>
      </c>
      <c r="B797" s="839">
        <v>2904</v>
      </c>
      <c r="C797" s="906">
        <v>4177</v>
      </c>
      <c r="D797" s="907">
        <v>46040</v>
      </c>
      <c r="E797" s="839" t="s">
        <v>355</v>
      </c>
      <c r="F797" s="839" t="s">
        <v>269</v>
      </c>
      <c r="G797" s="916">
        <f>VLOOKUP($A797,'Tech Litons'!$A:$I,8,FALSE)</f>
        <v>8.5199999999999998E-3</v>
      </c>
      <c r="H797" s="917">
        <f>VLOOKUP($A797,'Tech Litons'!$A:$I,9,FALSE)</f>
        <v>176</v>
      </c>
      <c r="I797" s="917" t="str">
        <f>VLOOKUP($A797,'Tech Litons'!$A:$C,3,0)</f>
        <v>48oz</v>
      </c>
      <c r="J797" s="918" t="str">
        <f t="shared" si="78"/>
        <v>290448oz</v>
      </c>
      <c r="K797" s="919">
        <v>1</v>
      </c>
      <c r="L797" s="920">
        <f t="shared" si="79"/>
        <v>4177</v>
      </c>
      <c r="M797" s="920">
        <f t="shared" si="80"/>
        <v>35.588039999999999</v>
      </c>
      <c r="N797" s="920">
        <f t="shared" si="81"/>
        <v>23.732954545454547</v>
      </c>
      <c r="O797" s="918" t="str">
        <f t="shared" si="82"/>
        <v>Jan</v>
      </c>
      <c r="P797" s="921">
        <f t="shared" si="83"/>
        <v>4</v>
      </c>
    </row>
    <row r="798" spans="1:16" ht="15" hidden="1" customHeight="1">
      <c r="A798" s="839">
        <v>68300738</v>
      </c>
      <c r="B798" s="839">
        <v>1352</v>
      </c>
      <c r="C798" s="906">
        <v>4896</v>
      </c>
      <c r="D798" s="907">
        <v>46040</v>
      </c>
      <c r="E798" s="839" t="s">
        <v>325</v>
      </c>
      <c r="F798" s="839" t="s">
        <v>240</v>
      </c>
      <c r="G798" s="916">
        <f>VLOOKUP($A798,'Tech Litons'!$A:$I,8,FALSE)</f>
        <v>8.4960000000000001E-3</v>
      </c>
      <c r="H798" s="917">
        <f>VLOOKUP($A798,'Tech Litons'!$A:$I,9,FALSE)</f>
        <v>132</v>
      </c>
      <c r="I798" s="917" t="str">
        <f>VLOOKUP($A798,'Tech Litons'!$A:$C,3,0)</f>
        <v>EDF</v>
      </c>
      <c r="J798" s="918" t="str">
        <f t="shared" si="78"/>
        <v>1352EDF</v>
      </c>
      <c r="K798" s="919">
        <v>1</v>
      </c>
      <c r="L798" s="920">
        <f t="shared" si="79"/>
        <v>4896</v>
      </c>
      <c r="M798" s="920">
        <f t="shared" si="80"/>
        <v>41.596415999999998</v>
      </c>
      <c r="N798" s="920">
        <f t="shared" si="81"/>
        <v>37.090909090909093</v>
      </c>
      <c r="O798" s="918" t="str">
        <f t="shared" si="82"/>
        <v>Jan</v>
      </c>
      <c r="P798" s="921">
        <f t="shared" si="83"/>
        <v>4</v>
      </c>
    </row>
    <row r="799" spans="1:16" ht="15" hidden="1" customHeight="1">
      <c r="A799" s="839">
        <v>64389651</v>
      </c>
      <c r="B799" s="839">
        <v>2904</v>
      </c>
      <c r="C799" s="906">
        <v>4988</v>
      </c>
      <c r="D799" s="907">
        <v>46040</v>
      </c>
      <c r="E799" s="839" t="s">
        <v>355</v>
      </c>
      <c r="F799" s="839" t="s">
        <v>269</v>
      </c>
      <c r="G799" s="916">
        <f>VLOOKUP($A799,'Tech Litons'!$A:$I,8,FALSE)</f>
        <v>8.5199999999999998E-3</v>
      </c>
      <c r="H799" s="917">
        <f>VLOOKUP($A799,'Tech Litons'!$A:$I,9,FALSE)</f>
        <v>176</v>
      </c>
      <c r="I799" s="917" t="str">
        <f>VLOOKUP($A799,'Tech Litons'!$A:$C,3,0)</f>
        <v>48oz</v>
      </c>
      <c r="J799" s="918" t="str">
        <f t="shared" si="78"/>
        <v>290448oz</v>
      </c>
      <c r="K799" s="919">
        <v>1</v>
      </c>
      <c r="L799" s="920">
        <f t="shared" si="79"/>
        <v>4988</v>
      </c>
      <c r="M799" s="920">
        <f t="shared" si="80"/>
        <v>42.49776</v>
      </c>
      <c r="N799" s="920">
        <f t="shared" si="81"/>
        <v>28.34090909090909</v>
      </c>
      <c r="O799" s="918" t="str">
        <f t="shared" si="82"/>
        <v>Jan</v>
      </c>
      <c r="P799" s="921">
        <f t="shared" si="83"/>
        <v>4</v>
      </c>
    </row>
    <row r="800" spans="1:16" ht="15" hidden="1" customHeight="1">
      <c r="A800" s="839">
        <v>68851104</v>
      </c>
      <c r="B800" s="839">
        <v>1352</v>
      </c>
      <c r="C800" s="906">
        <v>5390</v>
      </c>
      <c r="D800" s="907">
        <v>46040</v>
      </c>
      <c r="E800" s="839" t="s">
        <v>270</v>
      </c>
      <c r="F800" s="839" t="s">
        <v>264</v>
      </c>
      <c r="G800" s="916">
        <f>VLOOKUP($A800,'Tech Litons'!$A:$I,8,FALSE)</f>
        <v>8.5199999999999998E-3</v>
      </c>
      <c r="H800" s="917">
        <f>VLOOKUP($A800,'Tech Litons'!$A:$I,9,FALSE)</f>
        <v>176</v>
      </c>
      <c r="I800" s="917" t="str">
        <f>VLOOKUP($A800,'Tech Litons'!$A:$C,3,0)</f>
        <v>48oz</v>
      </c>
      <c r="J800" s="918" t="str">
        <f t="shared" si="78"/>
        <v>135248oz</v>
      </c>
      <c r="K800" s="919">
        <v>1</v>
      </c>
      <c r="L800" s="920">
        <f t="shared" si="79"/>
        <v>5390</v>
      </c>
      <c r="M800" s="920">
        <f t="shared" si="80"/>
        <v>45.922800000000002</v>
      </c>
      <c r="N800" s="920">
        <f t="shared" si="81"/>
        <v>30.625</v>
      </c>
      <c r="O800" s="918" t="str">
        <f t="shared" si="82"/>
        <v>Jan</v>
      </c>
      <c r="P800" s="921">
        <f t="shared" si="83"/>
        <v>4</v>
      </c>
    </row>
    <row r="801" spans="1:16" ht="15" hidden="1" customHeight="1">
      <c r="A801" s="839">
        <v>67794167</v>
      </c>
      <c r="B801" s="839">
        <v>5911</v>
      </c>
      <c r="C801" s="906">
        <v>5760</v>
      </c>
      <c r="D801" s="907">
        <v>46040</v>
      </c>
      <c r="E801" s="839" t="s">
        <v>343</v>
      </c>
      <c r="F801" s="839" t="s">
        <v>303</v>
      </c>
      <c r="G801" s="916">
        <f>VLOOKUP($A801,'Tech Litons'!$A:$I,8,FALSE)</f>
        <v>3.7853439999999999E-3</v>
      </c>
      <c r="H801" s="917">
        <f>VLOOKUP($A801,'Tech Litons'!$A:$I,9,FALSE)</f>
        <v>240</v>
      </c>
      <c r="I801" s="917" t="str">
        <f>VLOOKUP($A801,'Tech Litons'!$A:$C,3,0)</f>
        <v>BJ PTS</v>
      </c>
      <c r="J801" s="918" t="str">
        <f t="shared" si="78"/>
        <v>5911BJ PTS</v>
      </c>
      <c r="K801" s="919">
        <v>1</v>
      </c>
      <c r="L801" s="920">
        <f t="shared" si="79"/>
        <v>5760</v>
      </c>
      <c r="M801" s="920">
        <f t="shared" si="80"/>
        <v>21.803581439999999</v>
      </c>
      <c r="N801" s="920">
        <f t="shared" si="81"/>
        <v>24</v>
      </c>
      <c r="O801" s="918" t="str">
        <f t="shared" si="82"/>
        <v>Jan</v>
      </c>
      <c r="P801" s="921">
        <f t="shared" si="83"/>
        <v>4</v>
      </c>
    </row>
    <row r="802" spans="1:16" ht="15" hidden="1" customHeight="1">
      <c r="A802" s="839">
        <v>69989759</v>
      </c>
      <c r="B802" s="839">
        <v>2904</v>
      </c>
      <c r="C802" s="906">
        <v>5780</v>
      </c>
      <c r="D802" s="907">
        <v>46040</v>
      </c>
      <c r="E802" s="839" t="s">
        <v>357</v>
      </c>
      <c r="F802" s="839" t="s">
        <v>281</v>
      </c>
      <c r="G802" s="916">
        <f>VLOOKUP($A802,'Tech Litons'!$A:$I,8,FALSE)</f>
        <v>1.98E-3</v>
      </c>
      <c r="H802" s="917">
        <f>VLOOKUP($A802,'Tech Litons'!$A:$I,9,FALSE)</f>
        <v>176</v>
      </c>
      <c r="I802" s="917" t="str">
        <f>VLOOKUP($A802,'Tech Litons'!$A:$C,3,0)</f>
        <v>MG Sticks</v>
      </c>
      <c r="J802" s="918" t="str">
        <f t="shared" si="78"/>
        <v>2904MG Sticks</v>
      </c>
      <c r="K802" s="919">
        <v>1</v>
      </c>
      <c r="L802" s="920">
        <f t="shared" si="79"/>
        <v>5780</v>
      </c>
      <c r="M802" s="920">
        <f t="shared" si="80"/>
        <v>11.4444</v>
      </c>
      <c r="N802" s="920">
        <f t="shared" si="81"/>
        <v>32.840909090909093</v>
      </c>
      <c r="O802" s="918" t="str">
        <f t="shared" si="82"/>
        <v>Jan</v>
      </c>
      <c r="P802" s="921">
        <f t="shared" si="83"/>
        <v>4</v>
      </c>
    </row>
    <row r="803" spans="1:16" ht="15" hidden="1" customHeight="1">
      <c r="A803" s="839">
        <v>64958128</v>
      </c>
      <c r="B803" s="839">
        <v>2904</v>
      </c>
      <c r="C803" s="906">
        <v>5940</v>
      </c>
      <c r="D803" s="907">
        <v>46040</v>
      </c>
      <c r="E803" s="839" t="s">
        <v>235</v>
      </c>
      <c r="F803" s="839" t="s">
        <v>234</v>
      </c>
      <c r="G803" s="916">
        <f>VLOOKUP($A803,'Tech Litons'!$A:$I,8,FALSE)</f>
        <v>3.3119999999999998E-3</v>
      </c>
      <c r="H803" s="917">
        <f>VLOOKUP($A803,'Tech Litons'!$A:$I,9,FALSE)</f>
        <v>165</v>
      </c>
      <c r="I803" s="917" t="str">
        <f>VLOOKUP($A803,'Tech Litons'!$A:$C,3,0)</f>
        <v>Yasso Sticks</v>
      </c>
      <c r="J803" s="918" t="str">
        <f t="shared" si="78"/>
        <v>2904Yasso Sticks</v>
      </c>
      <c r="K803" s="919">
        <v>1</v>
      </c>
      <c r="L803" s="920">
        <f t="shared" si="79"/>
        <v>5940</v>
      </c>
      <c r="M803" s="920">
        <f t="shared" si="80"/>
        <v>19.673279999999998</v>
      </c>
      <c r="N803" s="920">
        <f t="shared" si="81"/>
        <v>36</v>
      </c>
      <c r="O803" s="918" t="str">
        <f t="shared" si="82"/>
        <v>Jan</v>
      </c>
      <c r="P803" s="921">
        <f t="shared" si="83"/>
        <v>4</v>
      </c>
    </row>
    <row r="804" spans="1:16" ht="15" hidden="1" customHeight="1">
      <c r="A804" s="839">
        <v>64958128</v>
      </c>
      <c r="B804" s="839">
        <v>2904</v>
      </c>
      <c r="C804" s="906">
        <v>6270</v>
      </c>
      <c r="D804" s="907">
        <v>46040</v>
      </c>
      <c r="E804" s="839" t="s">
        <v>235</v>
      </c>
      <c r="F804" s="839" t="s">
        <v>234</v>
      </c>
      <c r="G804" s="916">
        <f>VLOOKUP($A804,'Tech Litons'!$A:$I,8,FALSE)</f>
        <v>3.3119999999999998E-3</v>
      </c>
      <c r="H804" s="917">
        <f>VLOOKUP($A804,'Tech Litons'!$A:$I,9,FALSE)</f>
        <v>165</v>
      </c>
      <c r="I804" s="917" t="str">
        <f>VLOOKUP($A804,'Tech Litons'!$A:$C,3,0)</f>
        <v>Yasso Sticks</v>
      </c>
      <c r="J804" s="918" t="str">
        <f t="shared" si="78"/>
        <v>2904Yasso Sticks</v>
      </c>
      <c r="K804" s="919">
        <v>1</v>
      </c>
      <c r="L804" s="920">
        <f t="shared" si="79"/>
        <v>6270</v>
      </c>
      <c r="M804" s="920">
        <f t="shared" si="80"/>
        <v>20.76624</v>
      </c>
      <c r="N804" s="920">
        <f t="shared" si="81"/>
        <v>38</v>
      </c>
      <c r="O804" s="918" t="str">
        <f t="shared" si="82"/>
        <v>Jan</v>
      </c>
      <c r="P804" s="921">
        <f t="shared" si="83"/>
        <v>4</v>
      </c>
    </row>
    <row r="805" spans="1:16" ht="15" hidden="1" customHeight="1">
      <c r="A805" s="839">
        <v>68867744</v>
      </c>
      <c r="B805" s="839">
        <v>2904</v>
      </c>
      <c r="C805" s="906">
        <v>6375</v>
      </c>
      <c r="D805" s="907">
        <v>46040</v>
      </c>
      <c r="E805" s="839" t="s">
        <v>306</v>
      </c>
      <c r="F805" s="839" t="s">
        <v>275</v>
      </c>
      <c r="G805" s="916">
        <f>VLOOKUP($A805,'Tech Litons'!$A:$I,8,FALSE)</f>
        <v>3.552E-3</v>
      </c>
      <c r="H805" s="917">
        <f>VLOOKUP($A805,'Tech Litons'!$A:$I,9,FALSE)</f>
        <v>255</v>
      </c>
      <c r="I805" s="917" t="str">
        <f>VLOOKUP($A805,'Tech Litons'!$A:$C,3,0)</f>
        <v>Talenti</v>
      </c>
      <c r="J805" s="918" t="str">
        <f t="shared" si="78"/>
        <v>2904Talenti</v>
      </c>
      <c r="K805" s="919">
        <v>1</v>
      </c>
      <c r="L805" s="920">
        <f t="shared" si="79"/>
        <v>6375</v>
      </c>
      <c r="M805" s="920">
        <f t="shared" si="80"/>
        <v>22.644000000000002</v>
      </c>
      <c r="N805" s="920">
        <f t="shared" si="81"/>
        <v>25</v>
      </c>
      <c r="O805" s="918" t="str">
        <f t="shared" si="82"/>
        <v>Jan</v>
      </c>
      <c r="P805" s="921">
        <f t="shared" si="83"/>
        <v>4</v>
      </c>
    </row>
    <row r="806" spans="1:16" ht="15" hidden="1" customHeight="1">
      <c r="A806" s="839">
        <v>64330611</v>
      </c>
      <c r="B806" s="839">
        <v>2904</v>
      </c>
      <c r="C806" s="906">
        <v>6508</v>
      </c>
      <c r="D806" s="907">
        <v>46040</v>
      </c>
      <c r="E806" s="839" t="s">
        <v>354</v>
      </c>
      <c r="F806" s="839" t="s">
        <v>283</v>
      </c>
      <c r="G806" s="916">
        <f>VLOOKUP($A806,'Tech Litons'!$A:$I,8,FALSE)</f>
        <v>2.16E-3</v>
      </c>
      <c r="H806" s="917">
        <f>VLOOKUP($A806,'Tech Litons'!$A:$I,9,FALSE)</f>
        <v>210</v>
      </c>
      <c r="I806" s="917" t="str">
        <f>VLOOKUP($A806,'Tech Litons'!$A:$C,3,0)</f>
        <v>MG Sticks</v>
      </c>
      <c r="J806" s="918" t="str">
        <f t="shared" si="78"/>
        <v>2904MG Sticks</v>
      </c>
      <c r="K806" s="919">
        <v>1</v>
      </c>
      <c r="L806" s="920">
        <f t="shared" si="79"/>
        <v>6508</v>
      </c>
      <c r="M806" s="920">
        <f t="shared" si="80"/>
        <v>14.05728</v>
      </c>
      <c r="N806" s="920">
        <f t="shared" si="81"/>
        <v>30.990476190476191</v>
      </c>
      <c r="O806" s="918" t="str">
        <f t="shared" si="82"/>
        <v>Jan</v>
      </c>
      <c r="P806" s="921">
        <f t="shared" si="83"/>
        <v>4</v>
      </c>
    </row>
    <row r="807" spans="1:16" ht="15" hidden="1" customHeight="1">
      <c r="A807" s="839">
        <v>69568828</v>
      </c>
      <c r="B807" s="839">
        <v>2904</v>
      </c>
      <c r="C807" s="906">
        <v>6512</v>
      </c>
      <c r="D807" s="907">
        <v>46040</v>
      </c>
      <c r="E807" s="839" t="s">
        <v>320</v>
      </c>
      <c r="F807" s="839" t="s">
        <v>271</v>
      </c>
      <c r="G807" s="916">
        <f>VLOOKUP($A807,'Tech Litons'!$A:$I,8,FALSE)</f>
        <v>8.5199999999999998E-3</v>
      </c>
      <c r="H807" s="917">
        <f>VLOOKUP($A807,'Tech Litons'!$A:$I,9,FALSE)</f>
        <v>176</v>
      </c>
      <c r="I807" s="917" t="str">
        <f>VLOOKUP($A807,'Tech Litons'!$A:$C,3,0)</f>
        <v>48oz</v>
      </c>
      <c r="J807" s="918" t="str">
        <f t="shared" si="78"/>
        <v>290448oz</v>
      </c>
      <c r="K807" s="919">
        <v>1</v>
      </c>
      <c r="L807" s="920">
        <f t="shared" si="79"/>
        <v>6512</v>
      </c>
      <c r="M807" s="920">
        <f t="shared" si="80"/>
        <v>55.482239999999997</v>
      </c>
      <c r="N807" s="920">
        <f t="shared" si="81"/>
        <v>37</v>
      </c>
      <c r="O807" s="918" t="str">
        <f t="shared" si="82"/>
        <v>Jan</v>
      </c>
      <c r="P807" s="921">
        <f t="shared" si="83"/>
        <v>4</v>
      </c>
    </row>
    <row r="808" spans="1:16" ht="15" hidden="1" customHeight="1">
      <c r="A808" s="839">
        <v>68851107</v>
      </c>
      <c r="B808" s="839">
        <v>1352</v>
      </c>
      <c r="C808" s="906">
        <v>6836</v>
      </c>
      <c r="D808" s="907">
        <v>46040</v>
      </c>
      <c r="E808" s="839" t="s">
        <v>272</v>
      </c>
      <c r="F808" s="839" t="s">
        <v>290</v>
      </c>
      <c r="G808" s="916">
        <f>VLOOKUP($A808,'Tech Litons'!$A:$I,8,FALSE)</f>
        <v>8.5199999999999998E-3</v>
      </c>
      <c r="H808" s="917">
        <f>VLOOKUP($A808,'Tech Litons'!$A:$I,9,FALSE)</f>
        <v>176</v>
      </c>
      <c r="I808" s="917" t="str">
        <f>VLOOKUP($A808,'Tech Litons'!$A:$C,3,0)</f>
        <v>48oz</v>
      </c>
      <c r="J808" s="918" t="str">
        <f t="shared" si="78"/>
        <v>135248oz</v>
      </c>
      <c r="K808" s="919">
        <v>1</v>
      </c>
      <c r="L808" s="920">
        <f t="shared" si="79"/>
        <v>6836</v>
      </c>
      <c r="M808" s="920">
        <f t="shared" si="80"/>
        <v>58.242719999999998</v>
      </c>
      <c r="N808" s="920">
        <f t="shared" si="81"/>
        <v>38.840909090909093</v>
      </c>
      <c r="O808" s="918" t="str">
        <f t="shared" si="82"/>
        <v>Jan</v>
      </c>
      <c r="P808" s="921">
        <f t="shared" si="83"/>
        <v>4</v>
      </c>
    </row>
    <row r="809" spans="1:16" ht="15" hidden="1" customHeight="1">
      <c r="A809" s="839">
        <v>69989759</v>
      </c>
      <c r="B809" s="839">
        <v>2904</v>
      </c>
      <c r="C809" s="906">
        <v>6864</v>
      </c>
      <c r="D809" s="907">
        <v>46040</v>
      </c>
      <c r="E809" s="839" t="s">
        <v>357</v>
      </c>
      <c r="F809" s="839" t="s">
        <v>281</v>
      </c>
      <c r="G809" s="916">
        <f>VLOOKUP($A809,'Tech Litons'!$A:$I,8,FALSE)</f>
        <v>1.98E-3</v>
      </c>
      <c r="H809" s="917">
        <f>VLOOKUP($A809,'Tech Litons'!$A:$I,9,FALSE)</f>
        <v>176</v>
      </c>
      <c r="I809" s="917" t="str">
        <f>VLOOKUP($A809,'Tech Litons'!$A:$C,3,0)</f>
        <v>MG Sticks</v>
      </c>
      <c r="J809" s="918" t="str">
        <f t="shared" si="78"/>
        <v>2904MG Sticks</v>
      </c>
      <c r="K809" s="919">
        <v>1</v>
      </c>
      <c r="L809" s="920">
        <f t="shared" si="79"/>
        <v>6864</v>
      </c>
      <c r="M809" s="920">
        <f t="shared" si="80"/>
        <v>13.590719999999999</v>
      </c>
      <c r="N809" s="920">
        <f t="shared" si="81"/>
        <v>39</v>
      </c>
      <c r="O809" s="918" t="str">
        <f t="shared" si="82"/>
        <v>Jan</v>
      </c>
      <c r="P809" s="921">
        <f t="shared" si="83"/>
        <v>4</v>
      </c>
    </row>
    <row r="810" spans="1:16" ht="15" hidden="1" customHeight="1">
      <c r="A810" s="839">
        <v>69568828</v>
      </c>
      <c r="B810" s="839">
        <v>2904</v>
      </c>
      <c r="C810" s="906">
        <v>7040</v>
      </c>
      <c r="D810" s="907">
        <v>46040</v>
      </c>
      <c r="E810" s="839" t="s">
        <v>320</v>
      </c>
      <c r="F810" s="839" t="s">
        <v>271</v>
      </c>
      <c r="G810" s="916">
        <f>VLOOKUP($A810,'Tech Litons'!$A:$I,8,FALSE)</f>
        <v>8.5199999999999998E-3</v>
      </c>
      <c r="H810" s="917">
        <f>VLOOKUP($A810,'Tech Litons'!$A:$I,9,FALSE)</f>
        <v>176</v>
      </c>
      <c r="I810" s="917" t="str">
        <f>VLOOKUP($A810,'Tech Litons'!$A:$C,3,0)</f>
        <v>48oz</v>
      </c>
      <c r="J810" s="918" t="str">
        <f t="shared" si="78"/>
        <v>290448oz</v>
      </c>
      <c r="K810" s="919">
        <v>1</v>
      </c>
      <c r="L810" s="920">
        <f t="shared" si="79"/>
        <v>7040</v>
      </c>
      <c r="M810" s="920">
        <f t="shared" si="80"/>
        <v>59.980800000000002</v>
      </c>
      <c r="N810" s="920">
        <f t="shared" si="81"/>
        <v>40</v>
      </c>
      <c r="O810" s="918" t="str">
        <f t="shared" si="82"/>
        <v>Jan</v>
      </c>
      <c r="P810" s="921">
        <f t="shared" si="83"/>
        <v>4</v>
      </c>
    </row>
    <row r="811" spans="1:16" ht="15" hidden="1" customHeight="1">
      <c r="A811" s="839">
        <v>68851107</v>
      </c>
      <c r="B811" s="839">
        <v>2904</v>
      </c>
      <c r="C811" s="906">
        <v>7132</v>
      </c>
      <c r="D811" s="907">
        <v>46040</v>
      </c>
      <c r="E811" s="839" t="s">
        <v>272</v>
      </c>
      <c r="F811" s="839" t="s">
        <v>273</v>
      </c>
      <c r="G811" s="916">
        <f>VLOOKUP($A811,'Tech Litons'!$A:$I,8,FALSE)</f>
        <v>8.5199999999999998E-3</v>
      </c>
      <c r="H811" s="917">
        <f>VLOOKUP($A811,'Tech Litons'!$A:$I,9,FALSE)</f>
        <v>176</v>
      </c>
      <c r="I811" s="917" t="str">
        <f>VLOOKUP($A811,'Tech Litons'!$A:$C,3,0)</f>
        <v>48oz</v>
      </c>
      <c r="J811" s="918" t="str">
        <f t="shared" si="78"/>
        <v>290448oz</v>
      </c>
      <c r="K811" s="919">
        <v>1</v>
      </c>
      <c r="L811" s="920">
        <f t="shared" si="79"/>
        <v>7132</v>
      </c>
      <c r="M811" s="920">
        <f t="shared" si="80"/>
        <v>60.76464</v>
      </c>
      <c r="N811" s="920">
        <f t="shared" si="81"/>
        <v>40.522727272727273</v>
      </c>
      <c r="O811" s="918" t="str">
        <f t="shared" si="82"/>
        <v>Jan</v>
      </c>
      <c r="P811" s="921">
        <f t="shared" si="83"/>
        <v>4</v>
      </c>
    </row>
    <row r="812" spans="1:16" ht="15" hidden="1" customHeight="1">
      <c r="A812" s="839">
        <v>68851107</v>
      </c>
      <c r="B812" s="839">
        <v>2904</v>
      </c>
      <c r="C812" s="906">
        <v>7449</v>
      </c>
      <c r="D812" s="907">
        <v>46040</v>
      </c>
      <c r="E812" s="839" t="s">
        <v>272</v>
      </c>
      <c r="F812" s="839" t="s">
        <v>273</v>
      </c>
      <c r="G812" s="916">
        <f>VLOOKUP($A812,'Tech Litons'!$A:$I,8,FALSE)</f>
        <v>8.5199999999999998E-3</v>
      </c>
      <c r="H812" s="917">
        <f>VLOOKUP($A812,'Tech Litons'!$A:$I,9,FALSE)</f>
        <v>176</v>
      </c>
      <c r="I812" s="917" t="str">
        <f>VLOOKUP($A812,'Tech Litons'!$A:$C,3,0)</f>
        <v>48oz</v>
      </c>
      <c r="J812" s="918" t="str">
        <f t="shared" si="78"/>
        <v>290448oz</v>
      </c>
      <c r="K812" s="919">
        <v>1</v>
      </c>
      <c r="L812" s="920">
        <f t="shared" si="79"/>
        <v>7449</v>
      </c>
      <c r="M812" s="920">
        <f t="shared" si="80"/>
        <v>63.465479999999999</v>
      </c>
      <c r="N812" s="920">
        <f t="shared" si="81"/>
        <v>42.323863636363633</v>
      </c>
      <c r="O812" s="918" t="str">
        <f t="shared" si="82"/>
        <v>Jan</v>
      </c>
      <c r="P812" s="921">
        <f t="shared" si="83"/>
        <v>4</v>
      </c>
    </row>
    <row r="813" spans="1:16" ht="15" hidden="1" customHeight="1">
      <c r="A813" s="839">
        <v>64330611</v>
      </c>
      <c r="B813" s="839">
        <v>2904</v>
      </c>
      <c r="C813" s="906">
        <v>7980</v>
      </c>
      <c r="D813" s="907">
        <v>46040</v>
      </c>
      <c r="E813" s="839" t="s">
        <v>354</v>
      </c>
      <c r="F813" s="839" t="s">
        <v>283</v>
      </c>
      <c r="G813" s="916">
        <f>VLOOKUP($A813,'Tech Litons'!$A:$I,8,FALSE)</f>
        <v>2.16E-3</v>
      </c>
      <c r="H813" s="917">
        <f>VLOOKUP($A813,'Tech Litons'!$A:$I,9,FALSE)</f>
        <v>210</v>
      </c>
      <c r="I813" s="917" t="str">
        <f>VLOOKUP($A813,'Tech Litons'!$A:$C,3,0)</f>
        <v>MG Sticks</v>
      </c>
      <c r="J813" s="918" t="str">
        <f t="shared" si="78"/>
        <v>2904MG Sticks</v>
      </c>
      <c r="K813" s="919">
        <v>1</v>
      </c>
      <c r="L813" s="920">
        <f t="shared" si="79"/>
        <v>7980</v>
      </c>
      <c r="M813" s="920">
        <f t="shared" si="80"/>
        <v>17.236799999999999</v>
      </c>
      <c r="N813" s="920">
        <f t="shared" si="81"/>
        <v>38</v>
      </c>
      <c r="O813" s="918" t="str">
        <f t="shared" si="82"/>
        <v>Jan</v>
      </c>
      <c r="P813" s="921">
        <f t="shared" si="83"/>
        <v>4</v>
      </c>
    </row>
    <row r="814" spans="1:16" ht="15" hidden="1" customHeight="1">
      <c r="A814" s="839">
        <v>68817793</v>
      </c>
      <c r="B814" s="839">
        <v>1352</v>
      </c>
      <c r="C814" s="906">
        <v>7994</v>
      </c>
      <c r="D814" s="907">
        <v>46040</v>
      </c>
      <c r="E814" s="839" t="s">
        <v>353</v>
      </c>
      <c r="F814" s="839" t="s">
        <v>266</v>
      </c>
      <c r="G814" s="916">
        <f>VLOOKUP($A814,'Tech Litons'!$A:$I,8,FALSE)</f>
        <v>8.5199999999999998E-3</v>
      </c>
      <c r="H814" s="917">
        <f>VLOOKUP($A814,'Tech Litons'!$A:$I,9,FALSE)</f>
        <v>176</v>
      </c>
      <c r="I814" s="917" t="str">
        <f>VLOOKUP($A814,'Tech Litons'!$A:$C,3,0)</f>
        <v>48oz</v>
      </c>
      <c r="J814" s="918" t="str">
        <f t="shared" si="78"/>
        <v>135248oz</v>
      </c>
      <c r="K814" s="919">
        <v>1</v>
      </c>
      <c r="L814" s="920">
        <f t="shared" si="79"/>
        <v>7994</v>
      </c>
      <c r="M814" s="920">
        <f t="shared" si="80"/>
        <v>68.108879999999999</v>
      </c>
      <c r="N814" s="920">
        <f t="shared" si="81"/>
        <v>45.420454545454547</v>
      </c>
      <c r="O814" s="918" t="str">
        <f t="shared" si="82"/>
        <v>Jan</v>
      </c>
      <c r="P814" s="921">
        <f t="shared" si="83"/>
        <v>4</v>
      </c>
    </row>
    <row r="815" spans="1:16" ht="15" hidden="1" customHeight="1">
      <c r="A815" s="839">
        <v>68851104</v>
      </c>
      <c r="B815" s="839">
        <v>1352</v>
      </c>
      <c r="C815" s="906">
        <v>10227</v>
      </c>
      <c r="D815" s="907">
        <v>46040</v>
      </c>
      <c r="E815" s="839" t="s">
        <v>270</v>
      </c>
      <c r="F815" s="839" t="s">
        <v>264</v>
      </c>
      <c r="G815" s="916">
        <f>VLOOKUP($A815,'Tech Litons'!$A:$I,8,FALSE)</f>
        <v>8.5199999999999998E-3</v>
      </c>
      <c r="H815" s="917">
        <f>VLOOKUP($A815,'Tech Litons'!$A:$I,9,FALSE)</f>
        <v>176</v>
      </c>
      <c r="I815" s="917" t="str">
        <f>VLOOKUP($A815,'Tech Litons'!$A:$C,3,0)</f>
        <v>48oz</v>
      </c>
      <c r="J815" s="918" t="str">
        <f t="shared" si="78"/>
        <v>135248oz</v>
      </c>
      <c r="K815" s="919">
        <v>1</v>
      </c>
      <c r="L815" s="920">
        <f t="shared" si="79"/>
        <v>10227</v>
      </c>
      <c r="M815" s="920">
        <f t="shared" si="80"/>
        <v>87.134039999999999</v>
      </c>
      <c r="N815" s="920">
        <f t="shared" si="81"/>
        <v>58.107954545454547</v>
      </c>
      <c r="O815" s="918" t="str">
        <f t="shared" si="82"/>
        <v>Jan</v>
      </c>
      <c r="P815" s="921">
        <f t="shared" si="83"/>
        <v>4</v>
      </c>
    </row>
    <row r="816" spans="1:16" ht="15" hidden="1" customHeight="1">
      <c r="A816" s="839">
        <v>68862496</v>
      </c>
      <c r="B816" s="839">
        <v>2904</v>
      </c>
      <c r="C816" s="906">
        <v>17034</v>
      </c>
      <c r="D816" s="907">
        <v>46040</v>
      </c>
      <c r="E816" s="839" t="s">
        <v>356</v>
      </c>
      <c r="F816" s="839" t="s">
        <v>277</v>
      </c>
      <c r="G816" s="916">
        <f>VLOOKUP($A816,'Tech Litons'!$A:$I,8,FALSE)</f>
        <v>3.7839999999999996E-3</v>
      </c>
      <c r="H816" s="917">
        <f>VLOOKUP($A816,'Tech Litons'!$A:$I,9,FALSE)</f>
        <v>255</v>
      </c>
      <c r="I816" s="917" t="str">
        <f>VLOOKUP($A816,'Tech Litons'!$A:$C,3,0)</f>
        <v>TALENTI</v>
      </c>
      <c r="J816" s="918" t="str">
        <f t="shared" si="78"/>
        <v>2904TALENTI</v>
      </c>
      <c r="K816" s="919">
        <v>1</v>
      </c>
      <c r="L816" s="920">
        <f t="shared" si="79"/>
        <v>17034</v>
      </c>
      <c r="M816" s="920">
        <f t="shared" si="80"/>
        <v>64.456655999999995</v>
      </c>
      <c r="N816" s="920">
        <f t="shared" si="81"/>
        <v>66.8</v>
      </c>
      <c r="O816" s="918" t="str">
        <f t="shared" si="82"/>
        <v>Jan</v>
      </c>
      <c r="P816" s="921">
        <f t="shared" si="83"/>
        <v>4</v>
      </c>
    </row>
    <row r="817" spans="1:16" ht="15" hidden="1" customHeight="1">
      <c r="A817" s="839">
        <v>68862496</v>
      </c>
      <c r="B817" s="839">
        <v>2904</v>
      </c>
      <c r="C817" s="906">
        <v>17339</v>
      </c>
      <c r="D817" s="907">
        <v>46040</v>
      </c>
      <c r="E817" s="839" t="s">
        <v>356</v>
      </c>
      <c r="F817" s="839" t="s">
        <v>277</v>
      </c>
      <c r="G817" s="916">
        <f>VLOOKUP($A817,'Tech Litons'!$A:$I,8,FALSE)</f>
        <v>3.7839999999999996E-3</v>
      </c>
      <c r="H817" s="917">
        <f>VLOOKUP($A817,'Tech Litons'!$A:$I,9,FALSE)</f>
        <v>255</v>
      </c>
      <c r="I817" s="917" t="str">
        <f>VLOOKUP($A817,'Tech Litons'!$A:$C,3,0)</f>
        <v>TALENTI</v>
      </c>
      <c r="J817" s="918" t="str">
        <f t="shared" si="78"/>
        <v>2904TALENTI</v>
      </c>
      <c r="K817" s="919">
        <v>1</v>
      </c>
      <c r="L817" s="920">
        <f t="shared" si="79"/>
        <v>17339</v>
      </c>
      <c r="M817" s="920">
        <f t="shared" si="80"/>
        <v>65.610775999999987</v>
      </c>
      <c r="N817" s="920">
        <f t="shared" si="81"/>
        <v>67.996078431372553</v>
      </c>
      <c r="O817" s="918" t="str">
        <f t="shared" si="82"/>
        <v>Jan</v>
      </c>
      <c r="P817" s="921">
        <f t="shared" si="83"/>
        <v>4</v>
      </c>
    </row>
    <row r="818" spans="1:16" ht="15" hidden="1" customHeight="1">
      <c r="A818" s="839">
        <v>67794167</v>
      </c>
      <c r="B818" s="839">
        <v>5911</v>
      </c>
      <c r="C818" s="906">
        <v>19440</v>
      </c>
      <c r="D818" s="907">
        <v>46040</v>
      </c>
      <c r="E818" s="839" t="s">
        <v>343</v>
      </c>
      <c r="F818" s="839" t="s">
        <v>303</v>
      </c>
      <c r="G818" s="916">
        <f>VLOOKUP($A818,'Tech Litons'!$A:$I,8,FALSE)</f>
        <v>3.7853439999999999E-3</v>
      </c>
      <c r="H818" s="917">
        <f>VLOOKUP($A818,'Tech Litons'!$A:$I,9,FALSE)</f>
        <v>240</v>
      </c>
      <c r="I818" s="917" t="str">
        <f>VLOOKUP($A818,'Tech Litons'!$A:$C,3,0)</f>
        <v>BJ PTS</v>
      </c>
      <c r="J818" s="918" t="str">
        <f t="shared" si="78"/>
        <v>5911BJ PTS</v>
      </c>
      <c r="K818" s="919">
        <v>1</v>
      </c>
      <c r="L818" s="920">
        <f t="shared" si="79"/>
        <v>19440</v>
      </c>
      <c r="M818" s="920">
        <f t="shared" si="80"/>
        <v>73.587087359999998</v>
      </c>
      <c r="N818" s="920">
        <f t="shared" si="81"/>
        <v>81</v>
      </c>
      <c r="O818" s="918" t="str">
        <f t="shared" si="82"/>
        <v>Jan</v>
      </c>
      <c r="P818" s="921">
        <f t="shared" si="83"/>
        <v>4</v>
      </c>
    </row>
    <row r="819" spans="1:16" ht="15" hidden="1" customHeight="1">
      <c r="A819" s="839">
        <v>68626039</v>
      </c>
      <c r="B819" s="839">
        <v>2904</v>
      </c>
      <c r="C819" s="906">
        <v>-30</v>
      </c>
      <c r="D819" s="907">
        <v>46041</v>
      </c>
      <c r="E819" s="839" t="s">
        <v>246</v>
      </c>
      <c r="F819" s="839" t="s">
        <v>40</v>
      </c>
      <c r="G819" s="916">
        <f>VLOOKUP($A819,'Tech Litons'!$A:$I,8,FALSE)</f>
        <v>3.7839999999999996E-3</v>
      </c>
      <c r="H819" s="917">
        <f>VLOOKUP($A819,'Tech Litons'!$A:$I,9,FALSE)</f>
        <v>240</v>
      </c>
      <c r="I819" s="917" t="str">
        <f>VLOOKUP($A819,'Tech Litons'!$A:$C,3,0)</f>
        <v>PTS</v>
      </c>
      <c r="J819" s="918" t="str">
        <f t="shared" si="78"/>
        <v>2904PTS</v>
      </c>
      <c r="K819" s="919">
        <v>1</v>
      </c>
      <c r="L819" s="920">
        <f t="shared" si="79"/>
        <v>-30</v>
      </c>
      <c r="M819" s="920">
        <f t="shared" si="80"/>
        <v>-0.11351999999999998</v>
      </c>
      <c r="N819" s="920">
        <f t="shared" si="81"/>
        <v>-0.125</v>
      </c>
      <c r="O819" s="918" t="str">
        <f t="shared" si="82"/>
        <v>Jan</v>
      </c>
      <c r="P819" s="921">
        <f t="shared" si="83"/>
        <v>4</v>
      </c>
    </row>
    <row r="820" spans="1:16" ht="15" hidden="1" customHeight="1">
      <c r="A820" s="839">
        <v>64341106</v>
      </c>
      <c r="B820" s="839">
        <v>2904</v>
      </c>
      <c r="C820" s="906">
        <v>65</v>
      </c>
      <c r="D820" s="907">
        <v>46041</v>
      </c>
      <c r="E820" s="839" t="s">
        <v>293</v>
      </c>
      <c r="F820" s="839" t="s">
        <v>227</v>
      </c>
      <c r="G820" s="916">
        <f>VLOOKUP($A820,'Tech Litons'!$A:$I,8,FALSE)</f>
        <v>5.2680000000000001E-3</v>
      </c>
      <c r="H820" s="917">
        <f>VLOOKUP($A820,'Tech Litons'!$A:$I,9,FALSE)</f>
        <v>130</v>
      </c>
      <c r="I820" s="917" t="str">
        <f>VLOOKUP($A820,'Tech Litons'!$A:$C,3,0)</f>
        <v>PG</v>
      </c>
      <c r="J820" s="918" t="str">
        <f t="shared" si="78"/>
        <v>2904PG</v>
      </c>
      <c r="K820" s="919">
        <v>1</v>
      </c>
      <c r="L820" s="920">
        <f t="shared" si="79"/>
        <v>65</v>
      </c>
      <c r="M820" s="920">
        <f t="shared" si="80"/>
        <v>0.34242</v>
      </c>
      <c r="N820" s="920">
        <f t="shared" si="81"/>
        <v>0.5</v>
      </c>
      <c r="O820" s="918" t="str">
        <f t="shared" si="82"/>
        <v>Jan</v>
      </c>
      <c r="P820" s="921">
        <f t="shared" si="83"/>
        <v>4</v>
      </c>
    </row>
    <row r="821" spans="1:16" ht="15" hidden="1" customHeight="1">
      <c r="A821" s="839">
        <v>69568828</v>
      </c>
      <c r="B821" s="839">
        <v>2904</v>
      </c>
      <c r="C821" s="906">
        <v>105</v>
      </c>
      <c r="D821" s="907">
        <v>46041</v>
      </c>
      <c r="E821" s="839" t="s">
        <v>320</v>
      </c>
      <c r="F821" s="839" t="s">
        <v>271</v>
      </c>
      <c r="G821" s="916">
        <f>VLOOKUP($A821,'Tech Litons'!$A:$I,8,FALSE)</f>
        <v>8.5199999999999998E-3</v>
      </c>
      <c r="H821" s="917">
        <f>VLOOKUP($A821,'Tech Litons'!$A:$I,9,FALSE)</f>
        <v>176</v>
      </c>
      <c r="I821" s="917" t="str">
        <f>VLOOKUP($A821,'Tech Litons'!$A:$C,3,0)</f>
        <v>48oz</v>
      </c>
      <c r="J821" s="918" t="str">
        <f t="shared" si="78"/>
        <v>290448oz</v>
      </c>
      <c r="K821" s="919">
        <v>1</v>
      </c>
      <c r="L821" s="920">
        <f t="shared" si="79"/>
        <v>105</v>
      </c>
      <c r="M821" s="920">
        <f t="shared" si="80"/>
        <v>0.89459999999999995</v>
      </c>
      <c r="N821" s="920">
        <f t="shared" si="81"/>
        <v>0.59659090909090906</v>
      </c>
      <c r="O821" s="918" t="str">
        <f t="shared" si="82"/>
        <v>Jan</v>
      </c>
      <c r="P821" s="921">
        <f t="shared" si="83"/>
        <v>4</v>
      </c>
    </row>
    <row r="822" spans="1:16" ht="15" hidden="1" customHeight="1">
      <c r="A822" s="839">
        <v>68746232</v>
      </c>
      <c r="B822" s="839">
        <v>2904</v>
      </c>
      <c r="C822" s="906">
        <v>117</v>
      </c>
      <c r="D822" s="907">
        <v>46041</v>
      </c>
      <c r="E822" s="839" t="s">
        <v>508</v>
      </c>
      <c r="F822" s="839" t="s">
        <v>243</v>
      </c>
      <c r="G822" s="916">
        <f>VLOOKUP($A822,'Tech Litons'!$A:$I,8,FALSE)</f>
        <v>8.5199999999999998E-3</v>
      </c>
      <c r="H822" s="917">
        <f>VLOOKUP($A822,'Tech Litons'!$A:$I,9,FALSE)</f>
        <v>132</v>
      </c>
      <c r="I822" s="917" t="str">
        <f>VLOOKUP($A822,'Tech Litons'!$A:$C,3,0)</f>
        <v>EDF</v>
      </c>
      <c r="J822" s="918" t="str">
        <f t="shared" si="78"/>
        <v>2904EDF</v>
      </c>
      <c r="K822" s="919">
        <v>1</v>
      </c>
      <c r="L822" s="920">
        <f t="shared" si="79"/>
        <v>117</v>
      </c>
      <c r="M822" s="920">
        <f t="shared" si="80"/>
        <v>0.99683999999999995</v>
      </c>
      <c r="N822" s="920">
        <f t="shared" si="81"/>
        <v>0.88636363636363635</v>
      </c>
      <c r="O822" s="918" t="str">
        <f t="shared" si="82"/>
        <v>Jan</v>
      </c>
      <c r="P822" s="921">
        <f t="shared" si="83"/>
        <v>4</v>
      </c>
    </row>
    <row r="823" spans="1:16" ht="15" hidden="1" customHeight="1">
      <c r="A823" s="839">
        <v>69717803</v>
      </c>
      <c r="B823" s="839">
        <v>2904</v>
      </c>
      <c r="C823" s="906">
        <v>130</v>
      </c>
      <c r="D823" s="907">
        <v>46041</v>
      </c>
      <c r="E823" s="839" t="s">
        <v>362</v>
      </c>
      <c r="F823" s="839" t="s">
        <v>231</v>
      </c>
      <c r="G823" s="916">
        <f>VLOOKUP($A823,'Tech Litons'!$A:$I,8,FALSE)</f>
        <v>4.2560000000000002E-3</v>
      </c>
      <c r="H823" s="917">
        <f>VLOOKUP($A823,'Tech Litons'!$A:$I,9,FALSE)</f>
        <v>143</v>
      </c>
      <c r="I823" s="917" t="str">
        <f>VLOOKUP($A823,'Tech Litons'!$A:$C,3,0)</f>
        <v>MG Sticks</v>
      </c>
      <c r="J823" s="918" t="str">
        <f t="shared" si="78"/>
        <v>2904MG Sticks</v>
      </c>
      <c r="K823" s="919">
        <v>1</v>
      </c>
      <c r="L823" s="920">
        <f t="shared" si="79"/>
        <v>130</v>
      </c>
      <c r="M823" s="920">
        <f t="shared" si="80"/>
        <v>0.55327999999999999</v>
      </c>
      <c r="N823" s="920">
        <f t="shared" si="81"/>
        <v>0.90909090909090906</v>
      </c>
      <c r="O823" s="918" t="str">
        <f t="shared" si="82"/>
        <v>Jan</v>
      </c>
      <c r="P823" s="921">
        <f t="shared" si="83"/>
        <v>4</v>
      </c>
    </row>
    <row r="824" spans="1:16" ht="15" hidden="1" customHeight="1">
      <c r="A824" s="839">
        <v>64958128</v>
      </c>
      <c r="B824" s="839">
        <v>2904</v>
      </c>
      <c r="C824" s="906">
        <v>165</v>
      </c>
      <c r="D824" s="907">
        <v>46041</v>
      </c>
      <c r="E824" s="839" t="s">
        <v>235</v>
      </c>
      <c r="F824" s="839" t="s">
        <v>234</v>
      </c>
      <c r="G824" s="916">
        <f>VLOOKUP($A824,'Tech Litons'!$A:$I,8,FALSE)</f>
        <v>3.3119999999999998E-3</v>
      </c>
      <c r="H824" s="917">
        <f>VLOOKUP($A824,'Tech Litons'!$A:$I,9,FALSE)</f>
        <v>165</v>
      </c>
      <c r="I824" s="917" t="str">
        <f>VLOOKUP($A824,'Tech Litons'!$A:$C,3,0)</f>
        <v>Yasso Sticks</v>
      </c>
      <c r="J824" s="918" t="str">
        <f t="shared" si="78"/>
        <v>2904Yasso Sticks</v>
      </c>
      <c r="K824" s="919">
        <v>1</v>
      </c>
      <c r="L824" s="920">
        <f t="shared" si="79"/>
        <v>165</v>
      </c>
      <c r="M824" s="920">
        <f t="shared" si="80"/>
        <v>0.54647999999999997</v>
      </c>
      <c r="N824" s="920">
        <f t="shared" si="81"/>
        <v>1</v>
      </c>
      <c r="O824" s="918" t="str">
        <f t="shared" si="82"/>
        <v>Jan</v>
      </c>
      <c r="P824" s="921">
        <f t="shared" si="83"/>
        <v>4</v>
      </c>
    </row>
    <row r="825" spans="1:16" ht="15" hidden="1" customHeight="1">
      <c r="A825" s="839">
        <v>64330596</v>
      </c>
      <c r="B825" s="839">
        <v>2904</v>
      </c>
      <c r="C825" s="906">
        <v>176</v>
      </c>
      <c r="D825" s="907">
        <v>46041</v>
      </c>
      <c r="E825" s="839" t="s">
        <v>280</v>
      </c>
      <c r="F825" s="839" t="s">
        <v>281</v>
      </c>
      <c r="G825" s="916">
        <f>VLOOKUP($A825,'Tech Litons'!$A:$I,8,FALSE)</f>
        <v>1.98E-3</v>
      </c>
      <c r="H825" s="917">
        <f>VLOOKUP($A825,'Tech Litons'!$A:$I,9,FALSE)</f>
        <v>176</v>
      </c>
      <c r="I825" s="917" t="str">
        <f>VLOOKUP($A825,'Tech Litons'!$A:$C,3,0)</f>
        <v>MG Sticks</v>
      </c>
      <c r="J825" s="918" t="str">
        <f t="shared" si="78"/>
        <v>2904MG Sticks</v>
      </c>
      <c r="K825" s="919">
        <v>1</v>
      </c>
      <c r="L825" s="920">
        <f t="shared" si="79"/>
        <v>176</v>
      </c>
      <c r="M825" s="920">
        <f t="shared" si="80"/>
        <v>0.34848000000000001</v>
      </c>
      <c r="N825" s="920">
        <f t="shared" si="81"/>
        <v>1</v>
      </c>
      <c r="O825" s="918" t="str">
        <f t="shared" si="82"/>
        <v>Jan</v>
      </c>
      <c r="P825" s="921">
        <f t="shared" si="83"/>
        <v>4</v>
      </c>
    </row>
    <row r="826" spans="1:16" ht="15" hidden="1" customHeight="1">
      <c r="A826" s="839">
        <v>69989759</v>
      </c>
      <c r="B826" s="839">
        <v>2904</v>
      </c>
      <c r="C826" s="906">
        <v>176</v>
      </c>
      <c r="D826" s="907">
        <v>46041</v>
      </c>
      <c r="E826" s="839" t="s">
        <v>357</v>
      </c>
      <c r="F826" s="839" t="s">
        <v>281</v>
      </c>
      <c r="G826" s="916">
        <f>VLOOKUP($A826,'Tech Litons'!$A:$I,8,FALSE)</f>
        <v>1.98E-3</v>
      </c>
      <c r="H826" s="917">
        <f>VLOOKUP($A826,'Tech Litons'!$A:$I,9,FALSE)</f>
        <v>176</v>
      </c>
      <c r="I826" s="917" t="str">
        <f>VLOOKUP($A826,'Tech Litons'!$A:$C,3,0)</f>
        <v>MG Sticks</v>
      </c>
      <c r="J826" s="918" t="str">
        <f t="shared" si="78"/>
        <v>2904MG Sticks</v>
      </c>
      <c r="K826" s="919">
        <v>1</v>
      </c>
      <c r="L826" s="920">
        <f t="shared" si="79"/>
        <v>176</v>
      </c>
      <c r="M826" s="920">
        <f t="shared" si="80"/>
        <v>0.34848000000000001</v>
      </c>
      <c r="N826" s="920">
        <f t="shared" si="81"/>
        <v>1</v>
      </c>
      <c r="O826" s="918" t="str">
        <f t="shared" si="82"/>
        <v>Jan</v>
      </c>
      <c r="P826" s="921">
        <f t="shared" si="83"/>
        <v>4</v>
      </c>
    </row>
    <row r="827" spans="1:16" ht="15" hidden="1" customHeight="1">
      <c r="A827" s="839">
        <v>69629468</v>
      </c>
      <c r="B827" s="839">
        <v>2904</v>
      </c>
      <c r="C827" s="906">
        <v>307</v>
      </c>
      <c r="D827" s="907">
        <v>46041</v>
      </c>
      <c r="E827" s="839" t="s">
        <v>291</v>
      </c>
      <c r="F827" s="839" t="s">
        <v>226</v>
      </c>
      <c r="G827" s="916">
        <f>VLOOKUP($A827,'Tech Litons'!$A:$I,8,FALSE)</f>
        <v>5.2680000000000001E-3</v>
      </c>
      <c r="H827" s="917">
        <f>VLOOKUP($A827,'Tech Litons'!$A:$I,9,FALSE)</f>
        <v>130</v>
      </c>
      <c r="I827" s="917" t="str">
        <f>VLOOKUP($A827,'Tech Litons'!$A:$C,3,0)</f>
        <v>PG</v>
      </c>
      <c r="J827" s="918" t="str">
        <f t="shared" si="78"/>
        <v>2904PG</v>
      </c>
      <c r="K827" s="919">
        <v>1</v>
      </c>
      <c r="L827" s="920">
        <f t="shared" si="79"/>
        <v>307</v>
      </c>
      <c r="M827" s="920">
        <f t="shared" si="80"/>
        <v>1.6172759999999999</v>
      </c>
      <c r="N827" s="920">
        <f t="shared" si="81"/>
        <v>2.3615384615384616</v>
      </c>
      <c r="O827" s="918" t="str">
        <f t="shared" si="82"/>
        <v>Jan</v>
      </c>
      <c r="P827" s="921">
        <f t="shared" si="83"/>
        <v>4</v>
      </c>
    </row>
    <row r="828" spans="1:16" ht="15" hidden="1" customHeight="1">
      <c r="A828" s="839">
        <v>64341106</v>
      </c>
      <c r="B828" s="839">
        <v>2904</v>
      </c>
      <c r="C828" s="906">
        <v>328</v>
      </c>
      <c r="D828" s="907">
        <v>46041</v>
      </c>
      <c r="E828" s="839" t="s">
        <v>293</v>
      </c>
      <c r="F828" s="839" t="s">
        <v>227</v>
      </c>
      <c r="G828" s="916">
        <f>VLOOKUP($A828,'Tech Litons'!$A:$I,8,FALSE)</f>
        <v>5.2680000000000001E-3</v>
      </c>
      <c r="H828" s="917">
        <f>VLOOKUP($A828,'Tech Litons'!$A:$I,9,FALSE)</f>
        <v>130</v>
      </c>
      <c r="I828" s="917" t="str">
        <f>VLOOKUP($A828,'Tech Litons'!$A:$C,3,0)</f>
        <v>PG</v>
      </c>
      <c r="J828" s="918" t="str">
        <f t="shared" si="78"/>
        <v>2904PG</v>
      </c>
      <c r="K828" s="919">
        <v>1</v>
      </c>
      <c r="L828" s="920">
        <f t="shared" si="79"/>
        <v>328</v>
      </c>
      <c r="M828" s="920">
        <f t="shared" si="80"/>
        <v>1.7279040000000001</v>
      </c>
      <c r="N828" s="920">
        <f t="shared" si="81"/>
        <v>2.523076923076923</v>
      </c>
      <c r="O828" s="918" t="str">
        <f t="shared" si="82"/>
        <v>Jan</v>
      </c>
      <c r="P828" s="921">
        <f t="shared" si="83"/>
        <v>4</v>
      </c>
    </row>
    <row r="829" spans="1:16" ht="15" hidden="1" customHeight="1">
      <c r="A829" s="839">
        <v>64330611</v>
      </c>
      <c r="B829" s="839">
        <v>2904</v>
      </c>
      <c r="C829" s="906">
        <v>420</v>
      </c>
      <c r="D829" s="907">
        <v>46041</v>
      </c>
      <c r="E829" s="839" t="s">
        <v>354</v>
      </c>
      <c r="F829" s="839" t="s">
        <v>283</v>
      </c>
      <c r="G829" s="916">
        <f>VLOOKUP($A829,'Tech Litons'!$A:$I,8,FALSE)</f>
        <v>2.16E-3</v>
      </c>
      <c r="H829" s="917">
        <f>VLOOKUP($A829,'Tech Litons'!$A:$I,9,FALSE)</f>
        <v>210</v>
      </c>
      <c r="I829" s="917" t="str">
        <f>VLOOKUP($A829,'Tech Litons'!$A:$C,3,0)</f>
        <v>MG Sticks</v>
      </c>
      <c r="J829" s="918" t="str">
        <f t="shared" si="78"/>
        <v>2904MG Sticks</v>
      </c>
      <c r="K829" s="919">
        <v>1</v>
      </c>
      <c r="L829" s="920">
        <f t="shared" si="79"/>
        <v>420</v>
      </c>
      <c r="M829" s="920">
        <f t="shared" si="80"/>
        <v>0.90720000000000001</v>
      </c>
      <c r="N829" s="920">
        <f t="shared" si="81"/>
        <v>2</v>
      </c>
      <c r="O829" s="918" t="str">
        <f t="shared" si="82"/>
        <v>Jan</v>
      </c>
      <c r="P829" s="921">
        <f t="shared" si="83"/>
        <v>4</v>
      </c>
    </row>
    <row r="830" spans="1:16" ht="15" hidden="1" customHeight="1">
      <c r="A830" s="839">
        <v>68862496</v>
      </c>
      <c r="B830" s="839">
        <v>2904</v>
      </c>
      <c r="C830" s="906">
        <v>492</v>
      </c>
      <c r="D830" s="907">
        <v>46041</v>
      </c>
      <c r="E830" s="839" t="s">
        <v>356</v>
      </c>
      <c r="F830" s="839" t="s">
        <v>277</v>
      </c>
      <c r="G830" s="916">
        <f>VLOOKUP($A830,'Tech Litons'!$A:$I,8,FALSE)</f>
        <v>3.7839999999999996E-3</v>
      </c>
      <c r="H830" s="917">
        <f>VLOOKUP($A830,'Tech Litons'!$A:$I,9,FALSE)</f>
        <v>255</v>
      </c>
      <c r="I830" s="917" t="str">
        <f>VLOOKUP($A830,'Tech Litons'!$A:$C,3,0)</f>
        <v>TALENTI</v>
      </c>
      <c r="J830" s="918" t="str">
        <f t="shared" si="78"/>
        <v>2904TALENTI</v>
      </c>
      <c r="K830" s="919">
        <v>1</v>
      </c>
      <c r="L830" s="920">
        <f t="shared" si="79"/>
        <v>492</v>
      </c>
      <c r="M830" s="920">
        <f t="shared" si="80"/>
        <v>1.8617279999999998</v>
      </c>
      <c r="N830" s="920">
        <f t="shared" si="81"/>
        <v>1.9294117647058824</v>
      </c>
      <c r="O830" s="918" t="str">
        <f t="shared" si="82"/>
        <v>Jan</v>
      </c>
      <c r="P830" s="921">
        <f t="shared" si="83"/>
        <v>4</v>
      </c>
    </row>
    <row r="831" spans="1:16" ht="15" hidden="1" customHeight="1">
      <c r="A831" s="839">
        <v>68851107</v>
      </c>
      <c r="B831" s="839">
        <v>2904</v>
      </c>
      <c r="C831" s="906">
        <v>829</v>
      </c>
      <c r="D831" s="907">
        <v>46041</v>
      </c>
      <c r="E831" s="839" t="s">
        <v>272</v>
      </c>
      <c r="F831" s="839" t="s">
        <v>273</v>
      </c>
      <c r="G831" s="916">
        <f>VLOOKUP($A831,'Tech Litons'!$A:$I,8,FALSE)</f>
        <v>8.5199999999999998E-3</v>
      </c>
      <c r="H831" s="917">
        <f>VLOOKUP($A831,'Tech Litons'!$A:$I,9,FALSE)</f>
        <v>176</v>
      </c>
      <c r="I831" s="917" t="str">
        <f>VLOOKUP($A831,'Tech Litons'!$A:$C,3,0)</f>
        <v>48oz</v>
      </c>
      <c r="J831" s="918" t="str">
        <f t="shared" si="78"/>
        <v>290448oz</v>
      </c>
      <c r="K831" s="919">
        <v>1</v>
      </c>
      <c r="L831" s="920">
        <f t="shared" si="79"/>
        <v>829</v>
      </c>
      <c r="M831" s="920">
        <f t="shared" si="80"/>
        <v>7.0630800000000002</v>
      </c>
      <c r="N831" s="920">
        <f t="shared" si="81"/>
        <v>4.7102272727272725</v>
      </c>
      <c r="O831" s="918" t="str">
        <f t="shared" si="82"/>
        <v>Jan</v>
      </c>
      <c r="P831" s="921">
        <f t="shared" si="83"/>
        <v>4</v>
      </c>
    </row>
    <row r="832" spans="1:16" ht="15" hidden="1" customHeight="1">
      <c r="A832" s="909">
        <v>84144598</v>
      </c>
      <c r="B832" s="910">
        <v>2904</v>
      </c>
      <c r="C832" s="911">
        <v>950</v>
      </c>
      <c r="D832" s="912">
        <v>46041</v>
      </c>
      <c r="E832" s="909" t="s">
        <v>364</v>
      </c>
      <c r="F832" s="839" t="s">
        <v>299</v>
      </c>
      <c r="G832" s="916">
        <f>VLOOKUP($A832,'Tech Litons'!$A:$I,8,FALSE)</f>
        <v>3.7853439999999999E-3</v>
      </c>
      <c r="H832" s="917">
        <f>VLOOKUP($A832,'Tech Litons'!$A:$I,9,FALSE)</f>
        <v>240</v>
      </c>
      <c r="I832" s="917" t="str">
        <f>VLOOKUP($A832,'Tech Litons'!$A:$C,3,0)</f>
        <v>BJ PTS</v>
      </c>
      <c r="J832" s="918" t="str">
        <f t="shared" si="78"/>
        <v>2904BJ PTS</v>
      </c>
      <c r="K832" s="919">
        <v>1</v>
      </c>
      <c r="L832" s="920">
        <f t="shared" si="79"/>
        <v>950</v>
      </c>
      <c r="M832" s="920">
        <f t="shared" si="80"/>
        <v>3.5960768000000001</v>
      </c>
      <c r="N832" s="920">
        <f t="shared" si="81"/>
        <v>3.9583333333333335</v>
      </c>
      <c r="O832" s="918" t="str">
        <f t="shared" si="82"/>
        <v>Jan</v>
      </c>
      <c r="P832" s="921">
        <f t="shared" si="83"/>
        <v>4</v>
      </c>
    </row>
    <row r="833" spans="1:16" ht="15" hidden="1" customHeight="1">
      <c r="A833" s="909">
        <v>64341106</v>
      </c>
      <c r="B833" s="910">
        <v>2904</v>
      </c>
      <c r="C833" s="911">
        <v>1083</v>
      </c>
      <c r="D833" s="912">
        <v>46041</v>
      </c>
      <c r="E833" s="909" t="s">
        <v>293</v>
      </c>
      <c r="F833" s="839" t="s">
        <v>227</v>
      </c>
      <c r="G833" s="916">
        <f>VLOOKUP($A833,'Tech Litons'!$A:$I,8,FALSE)</f>
        <v>5.2680000000000001E-3</v>
      </c>
      <c r="H833" s="917">
        <f>VLOOKUP($A833,'Tech Litons'!$A:$I,9,FALSE)</f>
        <v>130</v>
      </c>
      <c r="I833" s="917" t="str">
        <f>VLOOKUP($A833,'Tech Litons'!$A:$C,3,0)</f>
        <v>PG</v>
      </c>
      <c r="J833" s="918" t="str">
        <f t="shared" si="78"/>
        <v>2904PG</v>
      </c>
      <c r="K833" s="919">
        <v>1</v>
      </c>
      <c r="L833" s="920">
        <f t="shared" si="79"/>
        <v>1083</v>
      </c>
      <c r="M833" s="920">
        <f t="shared" si="80"/>
        <v>5.7052440000000004</v>
      </c>
      <c r="N833" s="920">
        <f t="shared" si="81"/>
        <v>8.3307692307692314</v>
      </c>
      <c r="O833" s="918" t="str">
        <f t="shared" si="82"/>
        <v>Jan</v>
      </c>
      <c r="P833" s="921">
        <f t="shared" si="83"/>
        <v>4</v>
      </c>
    </row>
    <row r="834" spans="1:16" ht="15" hidden="1" customHeight="1">
      <c r="A834" s="839">
        <v>68746232</v>
      </c>
      <c r="B834" s="839">
        <v>2904</v>
      </c>
      <c r="C834" s="906">
        <v>1208</v>
      </c>
      <c r="D834" s="907">
        <v>46041</v>
      </c>
      <c r="E834" s="839" t="s">
        <v>508</v>
      </c>
      <c r="F834" s="839" t="s">
        <v>243</v>
      </c>
      <c r="G834" s="916">
        <f>VLOOKUP($A834,'Tech Litons'!$A:$I,8,FALSE)</f>
        <v>8.5199999999999998E-3</v>
      </c>
      <c r="H834" s="917">
        <f>VLOOKUP($A834,'Tech Litons'!$A:$I,9,FALSE)</f>
        <v>132</v>
      </c>
      <c r="I834" s="917" t="str">
        <f>VLOOKUP($A834,'Tech Litons'!$A:$C,3,0)</f>
        <v>EDF</v>
      </c>
      <c r="J834" s="918" t="str">
        <f t="shared" si="78"/>
        <v>2904EDF</v>
      </c>
      <c r="K834" s="919">
        <v>1</v>
      </c>
      <c r="L834" s="920">
        <f t="shared" si="79"/>
        <v>1208</v>
      </c>
      <c r="M834" s="920">
        <f t="shared" si="80"/>
        <v>10.292159999999999</v>
      </c>
      <c r="N834" s="920">
        <f t="shared" si="81"/>
        <v>9.1515151515151523</v>
      </c>
      <c r="O834" s="918" t="str">
        <f t="shared" si="82"/>
        <v>Jan</v>
      </c>
      <c r="P834" s="921">
        <f t="shared" si="83"/>
        <v>4</v>
      </c>
    </row>
    <row r="835" spans="1:16" ht="15" hidden="1" customHeight="1">
      <c r="A835" s="839">
        <v>68821735</v>
      </c>
      <c r="B835" s="839">
        <v>2904</v>
      </c>
      <c r="C835" s="906">
        <v>1232</v>
      </c>
      <c r="D835" s="907">
        <v>46041</v>
      </c>
      <c r="E835" s="839" t="s">
        <v>318</v>
      </c>
      <c r="F835" s="839" t="s">
        <v>269</v>
      </c>
      <c r="G835" s="916">
        <f>VLOOKUP($A835,'Tech Litons'!$A:$I,8,FALSE)</f>
        <v>8.5199999999999998E-3</v>
      </c>
      <c r="H835" s="917">
        <f>VLOOKUP($A835,'Tech Litons'!$A:$I,9,FALSE)</f>
        <v>176</v>
      </c>
      <c r="I835" s="917" t="str">
        <f>VLOOKUP($A835,'Tech Litons'!$A:$C,3,0)</f>
        <v>48oz</v>
      </c>
      <c r="J835" s="918" t="str">
        <f t="shared" si="78"/>
        <v>290448oz</v>
      </c>
      <c r="K835" s="919">
        <v>1</v>
      </c>
      <c r="L835" s="920">
        <f t="shared" si="79"/>
        <v>1232</v>
      </c>
      <c r="M835" s="920">
        <f t="shared" si="80"/>
        <v>10.496639999999999</v>
      </c>
      <c r="N835" s="920">
        <f t="shared" si="81"/>
        <v>7</v>
      </c>
      <c r="O835" s="918" t="str">
        <f t="shared" si="82"/>
        <v>Jan</v>
      </c>
      <c r="P835" s="921">
        <f t="shared" si="83"/>
        <v>4</v>
      </c>
    </row>
    <row r="836" spans="1:16" ht="15" hidden="1" customHeight="1">
      <c r="A836" s="839">
        <v>68851107</v>
      </c>
      <c r="B836" s="839">
        <v>1352</v>
      </c>
      <c r="C836" s="906">
        <v>1256</v>
      </c>
      <c r="D836" s="907">
        <v>46041</v>
      </c>
      <c r="E836" s="839" t="s">
        <v>272</v>
      </c>
      <c r="F836" s="839" t="s">
        <v>290</v>
      </c>
      <c r="G836" s="916">
        <f>VLOOKUP($A836,'Tech Litons'!$A:$I,8,FALSE)</f>
        <v>8.5199999999999998E-3</v>
      </c>
      <c r="H836" s="917">
        <f>VLOOKUP($A836,'Tech Litons'!$A:$I,9,FALSE)</f>
        <v>176</v>
      </c>
      <c r="I836" s="917" t="str">
        <f>VLOOKUP($A836,'Tech Litons'!$A:$C,3,0)</f>
        <v>48oz</v>
      </c>
      <c r="J836" s="918" t="str">
        <f t="shared" si="78"/>
        <v>135248oz</v>
      </c>
      <c r="K836" s="919">
        <v>1</v>
      </c>
      <c r="L836" s="920">
        <f t="shared" si="79"/>
        <v>1256</v>
      </c>
      <c r="M836" s="920">
        <f t="shared" si="80"/>
        <v>10.70112</v>
      </c>
      <c r="N836" s="920">
        <f t="shared" si="81"/>
        <v>7.1363636363636367</v>
      </c>
      <c r="O836" s="918" t="str">
        <f t="shared" si="82"/>
        <v>Jan</v>
      </c>
      <c r="P836" s="921">
        <f t="shared" si="83"/>
        <v>4</v>
      </c>
    </row>
    <row r="837" spans="1:16" ht="15" hidden="1" customHeight="1">
      <c r="A837" s="839">
        <v>64389651</v>
      </c>
      <c r="B837" s="839">
        <v>2904</v>
      </c>
      <c r="C837" s="906">
        <v>1398</v>
      </c>
      <c r="D837" s="907">
        <v>46041</v>
      </c>
      <c r="E837" s="839" t="s">
        <v>355</v>
      </c>
      <c r="F837" s="839" t="s">
        <v>269</v>
      </c>
      <c r="G837" s="916">
        <f>VLOOKUP($A837,'Tech Litons'!$A:$I,8,FALSE)</f>
        <v>8.5199999999999998E-3</v>
      </c>
      <c r="H837" s="917">
        <f>VLOOKUP($A837,'Tech Litons'!$A:$I,9,FALSE)</f>
        <v>176</v>
      </c>
      <c r="I837" s="917" t="str">
        <f>VLOOKUP($A837,'Tech Litons'!$A:$C,3,0)</f>
        <v>48oz</v>
      </c>
      <c r="J837" s="918" t="str">
        <f t="shared" si="78"/>
        <v>290448oz</v>
      </c>
      <c r="K837" s="919">
        <v>1</v>
      </c>
      <c r="L837" s="920">
        <f t="shared" si="79"/>
        <v>1398</v>
      </c>
      <c r="M837" s="920">
        <f t="shared" si="80"/>
        <v>11.910959999999999</v>
      </c>
      <c r="N837" s="920">
        <f t="shared" si="81"/>
        <v>7.9431818181818183</v>
      </c>
      <c r="O837" s="918" t="str">
        <f t="shared" si="82"/>
        <v>Jan</v>
      </c>
      <c r="P837" s="921">
        <f t="shared" si="83"/>
        <v>4</v>
      </c>
    </row>
    <row r="838" spans="1:16" ht="15" hidden="1" customHeight="1">
      <c r="A838" s="839">
        <v>68746232</v>
      </c>
      <c r="B838" s="839">
        <v>2904</v>
      </c>
      <c r="C838" s="906">
        <v>1512</v>
      </c>
      <c r="D838" s="907">
        <v>46041</v>
      </c>
      <c r="E838" s="839" t="s">
        <v>508</v>
      </c>
      <c r="F838" s="839" t="s">
        <v>243</v>
      </c>
      <c r="G838" s="916">
        <f>VLOOKUP($A838,'Tech Litons'!$A:$I,8,FALSE)</f>
        <v>8.5199999999999998E-3</v>
      </c>
      <c r="H838" s="917">
        <f>VLOOKUP($A838,'Tech Litons'!$A:$I,9,FALSE)</f>
        <v>132</v>
      </c>
      <c r="I838" s="917" t="str">
        <f>VLOOKUP($A838,'Tech Litons'!$A:$C,3,0)</f>
        <v>EDF</v>
      </c>
      <c r="J838" s="918" t="str">
        <f t="shared" si="78"/>
        <v>2904EDF</v>
      </c>
      <c r="K838" s="919">
        <v>1</v>
      </c>
      <c r="L838" s="920">
        <f t="shared" si="79"/>
        <v>1512</v>
      </c>
      <c r="M838" s="920">
        <f t="shared" si="80"/>
        <v>12.882239999999999</v>
      </c>
      <c r="N838" s="920">
        <f t="shared" si="81"/>
        <v>11.454545454545455</v>
      </c>
      <c r="O838" s="918" t="str">
        <f t="shared" si="82"/>
        <v>Jan</v>
      </c>
      <c r="P838" s="921">
        <f t="shared" si="83"/>
        <v>4</v>
      </c>
    </row>
    <row r="839" spans="1:16" ht="15" hidden="1" customHeight="1">
      <c r="A839" s="839">
        <v>64874633</v>
      </c>
      <c r="B839" s="839">
        <v>3910</v>
      </c>
      <c r="C839" s="906">
        <v>1680</v>
      </c>
      <c r="D839" s="907">
        <v>46041</v>
      </c>
      <c r="E839" s="839" t="s">
        <v>341</v>
      </c>
      <c r="F839" s="839" t="s">
        <v>342</v>
      </c>
      <c r="G839" s="916">
        <f>VLOOKUP($A839,'Tech Litons'!$A:$I,8,FALSE)</f>
        <v>3.192E-3</v>
      </c>
      <c r="H839" s="917">
        <f>VLOOKUP($A839,'Tech Litons'!$A:$I,9,FALSE)</f>
        <v>280</v>
      </c>
      <c r="I839" s="917" t="str">
        <f>VLOOKUP($A839,'Tech Litons'!$A:$C,3,0)</f>
        <v>ESS</v>
      </c>
      <c r="J839" s="918" t="str">
        <f t="shared" si="78"/>
        <v>3910ESS</v>
      </c>
      <c r="K839" s="919">
        <v>1</v>
      </c>
      <c r="L839" s="920">
        <f t="shared" si="79"/>
        <v>1680</v>
      </c>
      <c r="M839" s="920">
        <f t="shared" si="80"/>
        <v>5.3625600000000002</v>
      </c>
      <c r="N839" s="920">
        <f t="shared" si="81"/>
        <v>6</v>
      </c>
      <c r="O839" s="918" t="str">
        <f t="shared" si="82"/>
        <v>Jan</v>
      </c>
      <c r="P839" s="921">
        <f t="shared" si="83"/>
        <v>4</v>
      </c>
    </row>
    <row r="840" spans="1:16" ht="15" hidden="1" customHeight="1">
      <c r="A840" s="839">
        <v>64874633</v>
      </c>
      <c r="B840" s="839">
        <v>3910</v>
      </c>
      <c r="C840" s="906">
        <v>1797</v>
      </c>
      <c r="D840" s="907">
        <v>46041</v>
      </c>
      <c r="E840" s="839" t="s">
        <v>341</v>
      </c>
      <c r="F840" s="839" t="s">
        <v>342</v>
      </c>
      <c r="G840" s="916">
        <f>VLOOKUP($A840,'Tech Litons'!$A:$I,8,FALSE)</f>
        <v>3.192E-3</v>
      </c>
      <c r="H840" s="917">
        <f>VLOOKUP($A840,'Tech Litons'!$A:$I,9,FALSE)</f>
        <v>280</v>
      </c>
      <c r="I840" s="917" t="str">
        <f>VLOOKUP($A840,'Tech Litons'!$A:$C,3,0)</f>
        <v>ESS</v>
      </c>
      <c r="J840" s="918" t="str">
        <f t="shared" si="78"/>
        <v>3910ESS</v>
      </c>
      <c r="K840" s="919">
        <v>1</v>
      </c>
      <c r="L840" s="920">
        <f t="shared" si="79"/>
        <v>1797</v>
      </c>
      <c r="M840" s="920">
        <f t="shared" si="80"/>
        <v>5.7360239999999996</v>
      </c>
      <c r="N840" s="920">
        <f t="shared" si="81"/>
        <v>6.4178571428571427</v>
      </c>
      <c r="O840" s="918" t="str">
        <f t="shared" si="82"/>
        <v>Jan</v>
      </c>
      <c r="P840" s="921">
        <f t="shared" si="83"/>
        <v>4</v>
      </c>
    </row>
    <row r="841" spans="1:16" ht="15" hidden="1" customHeight="1">
      <c r="A841" s="839">
        <v>64341106</v>
      </c>
      <c r="B841" s="839">
        <v>2904</v>
      </c>
      <c r="C841" s="906">
        <v>1800</v>
      </c>
      <c r="D841" s="907">
        <v>46041</v>
      </c>
      <c r="E841" s="839" t="s">
        <v>293</v>
      </c>
      <c r="F841" s="839" t="s">
        <v>227</v>
      </c>
      <c r="G841" s="916">
        <f>VLOOKUP($A841,'Tech Litons'!$A:$I,8,FALSE)</f>
        <v>5.2680000000000001E-3</v>
      </c>
      <c r="H841" s="917">
        <f>VLOOKUP($A841,'Tech Litons'!$A:$I,9,FALSE)</f>
        <v>130</v>
      </c>
      <c r="I841" s="917" t="str">
        <f>VLOOKUP($A841,'Tech Litons'!$A:$C,3,0)</f>
        <v>PG</v>
      </c>
      <c r="J841" s="918" t="str">
        <f t="shared" si="78"/>
        <v>2904PG</v>
      </c>
      <c r="K841" s="919">
        <v>1</v>
      </c>
      <c r="L841" s="920">
        <f t="shared" si="79"/>
        <v>1800</v>
      </c>
      <c r="M841" s="920">
        <f t="shared" si="80"/>
        <v>9.4824000000000002</v>
      </c>
      <c r="N841" s="920">
        <f t="shared" si="81"/>
        <v>13.846153846153847</v>
      </c>
      <c r="O841" s="918" t="str">
        <f t="shared" si="82"/>
        <v>Jan</v>
      </c>
      <c r="P841" s="921">
        <f t="shared" si="83"/>
        <v>4</v>
      </c>
    </row>
    <row r="842" spans="1:16" ht="15" hidden="1" customHeight="1">
      <c r="A842" s="839">
        <v>68741742</v>
      </c>
      <c r="B842" s="839">
        <v>2904</v>
      </c>
      <c r="C842" s="906">
        <v>1805</v>
      </c>
      <c r="D842" s="907">
        <v>46041</v>
      </c>
      <c r="E842" s="839" t="s">
        <v>288</v>
      </c>
      <c r="F842" s="839" t="s">
        <v>295</v>
      </c>
      <c r="G842" s="916">
        <f>VLOOKUP($A842,'Tech Litons'!$A:$I,8,FALSE)</f>
        <v>4.2560000000000002E-3</v>
      </c>
      <c r="H842" s="917">
        <f>VLOOKUP($A842,'Tech Litons'!$A:$I,9,FALSE)</f>
        <v>154</v>
      </c>
      <c r="I842" s="917" t="str">
        <f>VLOOKUP($A842,'Tech Litons'!$A:$C,3,0)</f>
        <v>MBG</v>
      </c>
      <c r="J842" s="918" t="str">
        <f t="shared" si="78"/>
        <v>2904MBG</v>
      </c>
      <c r="K842" s="919">
        <v>1</v>
      </c>
      <c r="L842" s="920">
        <f t="shared" si="79"/>
        <v>1805</v>
      </c>
      <c r="M842" s="920">
        <f t="shared" si="80"/>
        <v>7.68208</v>
      </c>
      <c r="N842" s="920">
        <f t="shared" si="81"/>
        <v>11.720779220779221</v>
      </c>
      <c r="O842" s="918" t="str">
        <f t="shared" si="82"/>
        <v>Jan</v>
      </c>
      <c r="P842" s="921">
        <f t="shared" si="83"/>
        <v>4</v>
      </c>
    </row>
    <row r="843" spans="1:16" ht="15" hidden="1" customHeight="1">
      <c r="A843" s="839">
        <v>68689251</v>
      </c>
      <c r="B843" s="839">
        <v>1352</v>
      </c>
      <c r="C843" s="906">
        <v>2104</v>
      </c>
      <c r="D843" s="907">
        <v>46041</v>
      </c>
      <c r="E843" s="839" t="s">
        <v>262</v>
      </c>
      <c r="F843" s="839" t="s">
        <v>241</v>
      </c>
      <c r="G843" s="916">
        <f>VLOOKUP($A843,'Tech Litons'!$A:$I,8,FALSE)</f>
        <v>9.5760000000000012E-3</v>
      </c>
      <c r="H843" s="917">
        <f>VLOOKUP($A843,'Tech Litons'!$A:$I,9,FALSE)</f>
        <v>132</v>
      </c>
      <c r="I843" s="917" t="str">
        <f>VLOOKUP($A843,'Tech Litons'!$A:$C,3,0)</f>
        <v>EDF</v>
      </c>
      <c r="J843" s="918" t="str">
        <f t="shared" si="78"/>
        <v>1352EDF</v>
      </c>
      <c r="K843" s="919">
        <v>1</v>
      </c>
      <c r="L843" s="920">
        <f t="shared" si="79"/>
        <v>2104</v>
      </c>
      <c r="M843" s="920">
        <f t="shared" si="80"/>
        <v>20.147904000000004</v>
      </c>
      <c r="N843" s="920">
        <f t="shared" si="81"/>
        <v>15.939393939393939</v>
      </c>
      <c r="O843" s="918" t="str">
        <f t="shared" si="82"/>
        <v>Jan</v>
      </c>
      <c r="P843" s="921">
        <f t="shared" si="83"/>
        <v>4</v>
      </c>
    </row>
    <row r="844" spans="1:16" ht="15" hidden="1" customHeight="1">
      <c r="A844" s="839">
        <v>69717803</v>
      </c>
      <c r="B844" s="839">
        <v>2904</v>
      </c>
      <c r="C844" s="906">
        <v>2509</v>
      </c>
      <c r="D844" s="907">
        <v>46041</v>
      </c>
      <c r="E844" s="839" t="s">
        <v>362</v>
      </c>
      <c r="F844" s="839" t="s">
        <v>231</v>
      </c>
      <c r="G844" s="916">
        <f>VLOOKUP($A844,'Tech Litons'!$A:$I,8,FALSE)</f>
        <v>4.2560000000000002E-3</v>
      </c>
      <c r="H844" s="917">
        <f>VLOOKUP($A844,'Tech Litons'!$A:$I,9,FALSE)</f>
        <v>143</v>
      </c>
      <c r="I844" s="917" t="str">
        <f>VLOOKUP($A844,'Tech Litons'!$A:$C,3,0)</f>
        <v>MG Sticks</v>
      </c>
      <c r="J844" s="918" t="str">
        <f t="shared" si="78"/>
        <v>2904MG Sticks</v>
      </c>
      <c r="K844" s="919">
        <v>1</v>
      </c>
      <c r="L844" s="920">
        <f t="shared" si="79"/>
        <v>2509</v>
      </c>
      <c r="M844" s="920">
        <f t="shared" si="80"/>
        <v>10.678304000000001</v>
      </c>
      <c r="N844" s="920">
        <f t="shared" si="81"/>
        <v>17.545454545454547</v>
      </c>
      <c r="O844" s="918" t="str">
        <f t="shared" si="82"/>
        <v>Jan</v>
      </c>
      <c r="P844" s="921">
        <f t="shared" si="83"/>
        <v>4</v>
      </c>
    </row>
    <row r="845" spans="1:16" ht="15" hidden="1" customHeight="1">
      <c r="A845" s="839">
        <v>64330611</v>
      </c>
      <c r="B845" s="839">
        <v>2904</v>
      </c>
      <c r="C845" s="906">
        <v>2573</v>
      </c>
      <c r="D845" s="907">
        <v>46041</v>
      </c>
      <c r="E845" s="839" t="s">
        <v>354</v>
      </c>
      <c r="F845" s="839" t="s">
        <v>283</v>
      </c>
      <c r="G845" s="916">
        <f>VLOOKUP($A845,'Tech Litons'!$A:$I,8,FALSE)</f>
        <v>2.16E-3</v>
      </c>
      <c r="H845" s="917">
        <f>VLOOKUP($A845,'Tech Litons'!$A:$I,9,FALSE)</f>
        <v>210</v>
      </c>
      <c r="I845" s="917" t="str">
        <f>VLOOKUP($A845,'Tech Litons'!$A:$C,3,0)</f>
        <v>MG Sticks</v>
      </c>
      <c r="J845" s="918" t="str">
        <f t="shared" si="78"/>
        <v>2904MG Sticks</v>
      </c>
      <c r="K845" s="919">
        <v>1</v>
      </c>
      <c r="L845" s="920">
        <f t="shared" si="79"/>
        <v>2573</v>
      </c>
      <c r="M845" s="920">
        <f t="shared" si="80"/>
        <v>5.5576800000000004</v>
      </c>
      <c r="N845" s="920">
        <f t="shared" si="81"/>
        <v>12.252380952380953</v>
      </c>
      <c r="O845" s="918" t="str">
        <f t="shared" si="82"/>
        <v>Jan</v>
      </c>
      <c r="P845" s="921">
        <f t="shared" si="83"/>
        <v>4</v>
      </c>
    </row>
    <row r="846" spans="1:16" ht="15" hidden="1" customHeight="1">
      <c r="A846" s="839">
        <v>68354586</v>
      </c>
      <c r="B846" s="839">
        <v>2904</v>
      </c>
      <c r="C846" s="906">
        <v>2640</v>
      </c>
      <c r="D846" s="907">
        <v>46041</v>
      </c>
      <c r="E846" s="839" t="s">
        <v>361</v>
      </c>
      <c r="F846" s="839" t="s">
        <v>40</v>
      </c>
      <c r="G846" s="916">
        <f>VLOOKUP($A846,'Tech Litons'!$A:$I,8,FALSE)</f>
        <v>3.5999999999999999E-3</v>
      </c>
      <c r="H846" s="917">
        <f>VLOOKUP($A846,'Tech Litons'!$A:$I,9,FALSE)</f>
        <v>240</v>
      </c>
      <c r="I846" s="917" t="str">
        <f>VLOOKUP($A846,'Tech Litons'!$A:$C,3,0)</f>
        <v>Topped</v>
      </c>
      <c r="J846" s="918" t="str">
        <f t="shared" si="78"/>
        <v>2904Topped</v>
      </c>
      <c r="K846" s="919">
        <v>1</v>
      </c>
      <c r="L846" s="920">
        <f t="shared" si="79"/>
        <v>2640</v>
      </c>
      <c r="M846" s="920">
        <f t="shared" si="80"/>
        <v>9.5039999999999996</v>
      </c>
      <c r="N846" s="920">
        <f t="shared" si="81"/>
        <v>11</v>
      </c>
      <c r="O846" s="918" t="str">
        <f t="shared" si="82"/>
        <v>Jan</v>
      </c>
      <c r="P846" s="921">
        <f t="shared" si="83"/>
        <v>4</v>
      </c>
    </row>
    <row r="847" spans="1:16" ht="15" hidden="1" customHeight="1">
      <c r="A847" s="839">
        <v>68817793</v>
      </c>
      <c r="B847" s="839">
        <v>1352</v>
      </c>
      <c r="C847" s="906">
        <v>3122</v>
      </c>
      <c r="D847" s="907">
        <v>46041</v>
      </c>
      <c r="E847" s="839" t="s">
        <v>353</v>
      </c>
      <c r="F847" s="839" t="s">
        <v>266</v>
      </c>
      <c r="G847" s="916">
        <f>VLOOKUP($A847,'Tech Litons'!$A:$I,8,FALSE)</f>
        <v>8.5199999999999998E-3</v>
      </c>
      <c r="H847" s="917">
        <f>VLOOKUP($A847,'Tech Litons'!$A:$I,9,FALSE)</f>
        <v>176</v>
      </c>
      <c r="I847" s="917" t="str">
        <f>VLOOKUP($A847,'Tech Litons'!$A:$C,3,0)</f>
        <v>48oz</v>
      </c>
      <c r="J847" s="918" t="str">
        <f t="shared" si="78"/>
        <v>135248oz</v>
      </c>
      <c r="K847" s="919">
        <v>1</v>
      </c>
      <c r="L847" s="920">
        <f t="shared" si="79"/>
        <v>3122</v>
      </c>
      <c r="M847" s="920">
        <f t="shared" si="80"/>
        <v>26.599439999999998</v>
      </c>
      <c r="N847" s="920">
        <f t="shared" si="81"/>
        <v>17.738636363636363</v>
      </c>
      <c r="O847" s="918" t="str">
        <f t="shared" si="82"/>
        <v>Jan</v>
      </c>
      <c r="P847" s="921">
        <f t="shared" si="83"/>
        <v>4</v>
      </c>
    </row>
    <row r="848" spans="1:16" ht="15" hidden="1" customHeight="1">
      <c r="A848" s="839">
        <v>68930545</v>
      </c>
      <c r="B848" s="839">
        <v>1352</v>
      </c>
      <c r="C848" s="906">
        <v>3166</v>
      </c>
      <c r="D848" s="907">
        <v>46041</v>
      </c>
      <c r="E848" s="839" t="s">
        <v>349</v>
      </c>
      <c r="F848" s="839" t="s">
        <v>290</v>
      </c>
      <c r="G848" s="916">
        <f>VLOOKUP($A848,'Tech Litons'!$A:$I,8,FALSE)</f>
        <v>8.5199999999999998E-3</v>
      </c>
      <c r="H848" s="917">
        <f>VLOOKUP($A848,'Tech Litons'!$A:$I,9,FALSE)</f>
        <v>176</v>
      </c>
      <c r="I848" s="917" t="str">
        <f>VLOOKUP($A848,'Tech Litons'!$A:$C,3,0)</f>
        <v>48oz</v>
      </c>
      <c r="J848" s="918" t="str">
        <f t="shared" si="78"/>
        <v>135248oz</v>
      </c>
      <c r="K848" s="919">
        <v>1</v>
      </c>
      <c r="L848" s="920">
        <f t="shared" si="79"/>
        <v>3166</v>
      </c>
      <c r="M848" s="920">
        <f t="shared" si="80"/>
        <v>26.974319999999999</v>
      </c>
      <c r="N848" s="920">
        <f t="shared" si="81"/>
        <v>17.988636363636363</v>
      </c>
      <c r="O848" s="918" t="str">
        <f t="shared" si="82"/>
        <v>Jan</v>
      </c>
      <c r="P848" s="921">
        <f t="shared" si="83"/>
        <v>4</v>
      </c>
    </row>
    <row r="849" spans="1:16" ht="15" hidden="1" customHeight="1">
      <c r="A849" s="839">
        <v>69717803</v>
      </c>
      <c r="B849" s="839">
        <v>2904</v>
      </c>
      <c r="C849" s="906">
        <v>3289</v>
      </c>
      <c r="D849" s="907">
        <v>46041</v>
      </c>
      <c r="E849" s="839" t="s">
        <v>362</v>
      </c>
      <c r="F849" s="839" t="s">
        <v>231</v>
      </c>
      <c r="G849" s="916">
        <f>VLOOKUP($A849,'Tech Litons'!$A:$I,8,FALSE)</f>
        <v>4.2560000000000002E-3</v>
      </c>
      <c r="H849" s="917">
        <f>VLOOKUP($A849,'Tech Litons'!$A:$I,9,FALSE)</f>
        <v>143</v>
      </c>
      <c r="I849" s="917" t="str">
        <f>VLOOKUP($A849,'Tech Litons'!$A:$C,3,0)</f>
        <v>MG Sticks</v>
      </c>
      <c r="J849" s="918" t="str">
        <f t="shared" si="78"/>
        <v>2904MG Sticks</v>
      </c>
      <c r="K849" s="919">
        <v>1</v>
      </c>
      <c r="L849" s="920">
        <f t="shared" si="79"/>
        <v>3289</v>
      </c>
      <c r="M849" s="920">
        <f t="shared" si="80"/>
        <v>13.997984000000001</v>
      </c>
      <c r="N849" s="920">
        <f t="shared" si="81"/>
        <v>23</v>
      </c>
      <c r="O849" s="918" t="str">
        <f t="shared" si="82"/>
        <v>Jan</v>
      </c>
      <c r="P849" s="921">
        <f t="shared" si="83"/>
        <v>4</v>
      </c>
    </row>
    <row r="850" spans="1:16" ht="15" hidden="1" customHeight="1">
      <c r="A850" s="839">
        <v>68300738</v>
      </c>
      <c r="B850" s="839">
        <v>1352</v>
      </c>
      <c r="C850" s="906">
        <v>5082</v>
      </c>
      <c r="D850" s="907">
        <v>46041</v>
      </c>
      <c r="E850" s="839" t="s">
        <v>325</v>
      </c>
      <c r="F850" s="839" t="s">
        <v>240</v>
      </c>
      <c r="G850" s="916">
        <f>VLOOKUP($A850,'Tech Litons'!$A:$I,8,FALSE)</f>
        <v>8.4960000000000001E-3</v>
      </c>
      <c r="H850" s="917">
        <f>VLOOKUP($A850,'Tech Litons'!$A:$I,9,FALSE)</f>
        <v>132</v>
      </c>
      <c r="I850" s="917" t="str">
        <f>VLOOKUP($A850,'Tech Litons'!$A:$C,3,0)</f>
        <v>EDF</v>
      </c>
      <c r="J850" s="918" t="str">
        <f t="shared" ref="J850:J913" si="84">B850&amp;I850</f>
        <v>1352EDF</v>
      </c>
      <c r="K850" s="919">
        <v>1</v>
      </c>
      <c r="L850" s="920">
        <f t="shared" ref="L850:L913" si="85">C850*$K850</f>
        <v>5082</v>
      </c>
      <c r="M850" s="920">
        <f t="shared" ref="M850:M913" si="86">L850*G850</f>
        <v>43.176672000000003</v>
      </c>
      <c r="N850" s="920">
        <f t="shared" ref="N850:N913" si="87">L850/H850</f>
        <v>38.5</v>
      </c>
      <c r="O850" s="918" t="str">
        <f t="shared" ref="O850:O913" si="88">TEXT(D850,"MMM")</f>
        <v>Jan</v>
      </c>
      <c r="P850" s="921">
        <f t="shared" ref="P850:P913" si="89">WEEKNUM(D850)</f>
        <v>4</v>
      </c>
    </row>
    <row r="851" spans="1:16" ht="15" hidden="1" customHeight="1">
      <c r="A851" s="839">
        <v>68689251</v>
      </c>
      <c r="B851" s="839">
        <v>1352</v>
      </c>
      <c r="C851" s="906">
        <v>5284</v>
      </c>
      <c r="D851" s="907">
        <v>46041</v>
      </c>
      <c r="E851" s="839" t="s">
        <v>262</v>
      </c>
      <c r="F851" s="839" t="s">
        <v>241</v>
      </c>
      <c r="G851" s="916">
        <f>VLOOKUP($A851,'Tech Litons'!$A:$I,8,FALSE)</f>
        <v>9.5760000000000012E-3</v>
      </c>
      <c r="H851" s="917">
        <f>VLOOKUP($A851,'Tech Litons'!$A:$I,9,FALSE)</f>
        <v>132</v>
      </c>
      <c r="I851" s="917" t="str">
        <f>VLOOKUP($A851,'Tech Litons'!$A:$C,3,0)</f>
        <v>EDF</v>
      </c>
      <c r="J851" s="918" t="str">
        <f t="shared" si="84"/>
        <v>1352EDF</v>
      </c>
      <c r="K851" s="919">
        <v>1</v>
      </c>
      <c r="L851" s="920">
        <f t="shared" si="85"/>
        <v>5284</v>
      </c>
      <c r="M851" s="920">
        <f t="shared" si="86"/>
        <v>50.599584000000007</v>
      </c>
      <c r="N851" s="920">
        <f t="shared" si="87"/>
        <v>40.030303030303031</v>
      </c>
      <c r="O851" s="918" t="str">
        <f t="shared" si="88"/>
        <v>Jan</v>
      </c>
      <c r="P851" s="921">
        <f t="shared" si="89"/>
        <v>4</v>
      </c>
    </row>
    <row r="852" spans="1:16" ht="15" hidden="1" customHeight="1">
      <c r="A852" s="839">
        <v>69989759</v>
      </c>
      <c r="B852" s="839">
        <v>2904</v>
      </c>
      <c r="C852" s="906">
        <v>5984</v>
      </c>
      <c r="D852" s="907">
        <v>46041</v>
      </c>
      <c r="E852" s="839" t="s">
        <v>357</v>
      </c>
      <c r="F852" s="839" t="s">
        <v>281</v>
      </c>
      <c r="G852" s="916">
        <f>VLOOKUP($A852,'Tech Litons'!$A:$I,8,FALSE)</f>
        <v>1.98E-3</v>
      </c>
      <c r="H852" s="917">
        <f>VLOOKUP($A852,'Tech Litons'!$A:$I,9,FALSE)</f>
        <v>176</v>
      </c>
      <c r="I852" s="917" t="str">
        <f>VLOOKUP($A852,'Tech Litons'!$A:$C,3,0)</f>
        <v>MG Sticks</v>
      </c>
      <c r="J852" s="918" t="str">
        <f t="shared" si="84"/>
        <v>2904MG Sticks</v>
      </c>
      <c r="K852" s="919">
        <v>1</v>
      </c>
      <c r="L852" s="920">
        <f t="shared" si="85"/>
        <v>5984</v>
      </c>
      <c r="M852" s="920">
        <f t="shared" si="86"/>
        <v>11.848319999999999</v>
      </c>
      <c r="N852" s="920">
        <f t="shared" si="87"/>
        <v>34</v>
      </c>
      <c r="O852" s="918" t="str">
        <f t="shared" si="88"/>
        <v>Jan</v>
      </c>
      <c r="P852" s="921">
        <f t="shared" si="89"/>
        <v>4</v>
      </c>
    </row>
    <row r="853" spans="1:16" ht="15" hidden="1" customHeight="1">
      <c r="A853" s="839">
        <v>69989759</v>
      </c>
      <c r="B853" s="839">
        <v>2904</v>
      </c>
      <c r="C853" s="906">
        <v>6160</v>
      </c>
      <c r="D853" s="907">
        <v>46041</v>
      </c>
      <c r="E853" s="839" t="s">
        <v>357</v>
      </c>
      <c r="F853" s="839" t="s">
        <v>281</v>
      </c>
      <c r="G853" s="916">
        <f>VLOOKUP($A853,'Tech Litons'!$A:$I,8,FALSE)</f>
        <v>1.98E-3</v>
      </c>
      <c r="H853" s="917">
        <f>VLOOKUP($A853,'Tech Litons'!$A:$I,9,FALSE)</f>
        <v>176</v>
      </c>
      <c r="I853" s="917" t="str">
        <f>VLOOKUP($A853,'Tech Litons'!$A:$C,3,0)</f>
        <v>MG Sticks</v>
      </c>
      <c r="J853" s="918" t="str">
        <f t="shared" si="84"/>
        <v>2904MG Sticks</v>
      </c>
      <c r="K853" s="919">
        <v>1</v>
      </c>
      <c r="L853" s="920">
        <f t="shared" si="85"/>
        <v>6160</v>
      </c>
      <c r="M853" s="920">
        <f t="shared" si="86"/>
        <v>12.1968</v>
      </c>
      <c r="N853" s="920">
        <f t="shared" si="87"/>
        <v>35</v>
      </c>
      <c r="O853" s="918" t="str">
        <f t="shared" si="88"/>
        <v>Jan</v>
      </c>
      <c r="P853" s="921">
        <f t="shared" si="89"/>
        <v>4</v>
      </c>
    </row>
    <row r="854" spans="1:16" ht="15" hidden="1" customHeight="1">
      <c r="A854" s="839">
        <v>64958128</v>
      </c>
      <c r="B854" s="839">
        <v>2904</v>
      </c>
      <c r="C854" s="906">
        <v>6648</v>
      </c>
      <c r="D854" s="907">
        <v>46041</v>
      </c>
      <c r="E854" s="839" t="s">
        <v>235</v>
      </c>
      <c r="F854" s="839" t="s">
        <v>234</v>
      </c>
      <c r="G854" s="916">
        <f>VLOOKUP($A854,'Tech Litons'!$A:$I,8,FALSE)</f>
        <v>3.3119999999999998E-3</v>
      </c>
      <c r="H854" s="917">
        <f>VLOOKUP($A854,'Tech Litons'!$A:$I,9,FALSE)</f>
        <v>165</v>
      </c>
      <c r="I854" s="917" t="str">
        <f>VLOOKUP($A854,'Tech Litons'!$A:$C,3,0)</f>
        <v>Yasso Sticks</v>
      </c>
      <c r="J854" s="918" t="str">
        <f t="shared" si="84"/>
        <v>2904Yasso Sticks</v>
      </c>
      <c r="K854" s="919">
        <v>1</v>
      </c>
      <c r="L854" s="920">
        <f t="shared" si="85"/>
        <v>6648</v>
      </c>
      <c r="M854" s="920">
        <f t="shared" si="86"/>
        <v>22.018176</v>
      </c>
      <c r="N854" s="920">
        <f t="shared" si="87"/>
        <v>40.290909090909089</v>
      </c>
      <c r="O854" s="918" t="str">
        <f t="shared" si="88"/>
        <v>Jan</v>
      </c>
      <c r="P854" s="921">
        <f t="shared" si="89"/>
        <v>4</v>
      </c>
    </row>
    <row r="855" spans="1:16" ht="15" hidden="1" customHeight="1">
      <c r="A855" s="839">
        <v>69568828</v>
      </c>
      <c r="B855" s="839">
        <v>2904</v>
      </c>
      <c r="C855" s="906">
        <v>7172</v>
      </c>
      <c r="D855" s="907">
        <v>46041</v>
      </c>
      <c r="E855" s="839" t="s">
        <v>320</v>
      </c>
      <c r="F855" s="839" t="s">
        <v>271</v>
      </c>
      <c r="G855" s="916">
        <f>VLOOKUP($A855,'Tech Litons'!$A:$I,8,FALSE)</f>
        <v>8.5199999999999998E-3</v>
      </c>
      <c r="H855" s="917">
        <f>VLOOKUP($A855,'Tech Litons'!$A:$I,9,FALSE)</f>
        <v>176</v>
      </c>
      <c r="I855" s="917" t="str">
        <f>VLOOKUP($A855,'Tech Litons'!$A:$C,3,0)</f>
        <v>48oz</v>
      </c>
      <c r="J855" s="918" t="str">
        <f t="shared" si="84"/>
        <v>290448oz</v>
      </c>
      <c r="K855" s="919">
        <v>1</v>
      </c>
      <c r="L855" s="920">
        <f t="shared" si="85"/>
        <v>7172</v>
      </c>
      <c r="M855" s="920">
        <f t="shared" si="86"/>
        <v>61.105440000000002</v>
      </c>
      <c r="N855" s="920">
        <f t="shared" si="87"/>
        <v>40.75</v>
      </c>
      <c r="O855" s="918" t="str">
        <f t="shared" si="88"/>
        <v>Jan</v>
      </c>
      <c r="P855" s="921">
        <f t="shared" si="89"/>
        <v>4</v>
      </c>
    </row>
    <row r="856" spans="1:16" ht="15" hidden="1" customHeight="1">
      <c r="A856" s="839">
        <v>68867744</v>
      </c>
      <c r="B856" s="839">
        <v>2904</v>
      </c>
      <c r="C856" s="906">
        <v>7320</v>
      </c>
      <c r="D856" s="907">
        <v>46041</v>
      </c>
      <c r="E856" s="839" t="s">
        <v>306</v>
      </c>
      <c r="F856" s="839" t="s">
        <v>275</v>
      </c>
      <c r="G856" s="916">
        <f>VLOOKUP($A856,'Tech Litons'!$A:$I,8,FALSE)</f>
        <v>3.552E-3</v>
      </c>
      <c r="H856" s="917">
        <f>VLOOKUP($A856,'Tech Litons'!$A:$I,9,FALSE)</f>
        <v>255</v>
      </c>
      <c r="I856" s="917" t="str">
        <f>VLOOKUP($A856,'Tech Litons'!$A:$C,3,0)</f>
        <v>Talenti</v>
      </c>
      <c r="J856" s="918" t="str">
        <f t="shared" si="84"/>
        <v>2904Talenti</v>
      </c>
      <c r="K856" s="919">
        <v>1</v>
      </c>
      <c r="L856" s="920">
        <f t="shared" si="85"/>
        <v>7320</v>
      </c>
      <c r="M856" s="920">
        <f t="shared" si="86"/>
        <v>26.000640000000001</v>
      </c>
      <c r="N856" s="920">
        <f t="shared" si="87"/>
        <v>28.705882352941178</v>
      </c>
      <c r="O856" s="918" t="str">
        <f t="shared" si="88"/>
        <v>Jan</v>
      </c>
      <c r="P856" s="921">
        <f t="shared" si="89"/>
        <v>4</v>
      </c>
    </row>
    <row r="857" spans="1:16" ht="15" hidden="1" customHeight="1">
      <c r="A857" s="839">
        <v>68817793</v>
      </c>
      <c r="B857" s="839">
        <v>1352</v>
      </c>
      <c r="C857" s="906">
        <v>7449</v>
      </c>
      <c r="D857" s="907">
        <v>46041</v>
      </c>
      <c r="E857" s="839" t="s">
        <v>353</v>
      </c>
      <c r="F857" s="839" t="s">
        <v>266</v>
      </c>
      <c r="G857" s="916">
        <f>VLOOKUP($A857,'Tech Litons'!$A:$I,8,FALSE)</f>
        <v>8.5199999999999998E-3</v>
      </c>
      <c r="H857" s="917">
        <f>VLOOKUP($A857,'Tech Litons'!$A:$I,9,FALSE)</f>
        <v>176</v>
      </c>
      <c r="I857" s="917" t="str">
        <f>VLOOKUP($A857,'Tech Litons'!$A:$C,3,0)</f>
        <v>48oz</v>
      </c>
      <c r="J857" s="918" t="str">
        <f t="shared" si="84"/>
        <v>135248oz</v>
      </c>
      <c r="K857" s="919">
        <v>1</v>
      </c>
      <c r="L857" s="920">
        <f t="shared" si="85"/>
        <v>7449</v>
      </c>
      <c r="M857" s="920">
        <f t="shared" si="86"/>
        <v>63.465479999999999</v>
      </c>
      <c r="N857" s="920">
        <f t="shared" si="87"/>
        <v>42.323863636363633</v>
      </c>
      <c r="O857" s="918" t="str">
        <f t="shared" si="88"/>
        <v>Jan</v>
      </c>
      <c r="P857" s="921">
        <f t="shared" si="89"/>
        <v>4</v>
      </c>
    </row>
    <row r="858" spans="1:16" ht="15" hidden="1" customHeight="1">
      <c r="A858" s="839">
        <v>64958128</v>
      </c>
      <c r="B858" s="839">
        <v>2904</v>
      </c>
      <c r="C858" s="906">
        <v>8024</v>
      </c>
      <c r="D858" s="907">
        <v>46041</v>
      </c>
      <c r="E858" s="839" t="s">
        <v>235</v>
      </c>
      <c r="F858" s="839" t="s">
        <v>234</v>
      </c>
      <c r="G858" s="916">
        <f>VLOOKUP($A858,'Tech Litons'!$A:$I,8,FALSE)</f>
        <v>3.3119999999999998E-3</v>
      </c>
      <c r="H858" s="917">
        <f>VLOOKUP($A858,'Tech Litons'!$A:$I,9,FALSE)</f>
        <v>165</v>
      </c>
      <c r="I858" s="917" t="str">
        <f>VLOOKUP($A858,'Tech Litons'!$A:$C,3,0)</f>
        <v>Yasso Sticks</v>
      </c>
      <c r="J858" s="918" t="str">
        <f t="shared" si="84"/>
        <v>2904Yasso Sticks</v>
      </c>
      <c r="K858" s="919">
        <v>1</v>
      </c>
      <c r="L858" s="920">
        <f t="shared" si="85"/>
        <v>8024</v>
      </c>
      <c r="M858" s="920">
        <f t="shared" si="86"/>
        <v>26.575488</v>
      </c>
      <c r="N858" s="920">
        <f t="shared" si="87"/>
        <v>48.630303030303033</v>
      </c>
      <c r="O858" s="918" t="str">
        <f t="shared" si="88"/>
        <v>Jan</v>
      </c>
      <c r="P858" s="921">
        <f t="shared" si="89"/>
        <v>4</v>
      </c>
    </row>
    <row r="859" spans="1:16" ht="15" hidden="1" customHeight="1">
      <c r="A859" s="839">
        <v>64330611</v>
      </c>
      <c r="B859" s="839">
        <v>2904</v>
      </c>
      <c r="C859" s="906">
        <v>8536</v>
      </c>
      <c r="D859" s="907">
        <v>46041</v>
      </c>
      <c r="E859" s="839" t="s">
        <v>354</v>
      </c>
      <c r="F859" s="839" t="s">
        <v>283</v>
      </c>
      <c r="G859" s="916">
        <f>VLOOKUP($A859,'Tech Litons'!$A:$I,8,FALSE)</f>
        <v>2.16E-3</v>
      </c>
      <c r="H859" s="917">
        <f>VLOOKUP($A859,'Tech Litons'!$A:$I,9,FALSE)</f>
        <v>210</v>
      </c>
      <c r="I859" s="917" t="str">
        <f>VLOOKUP($A859,'Tech Litons'!$A:$C,3,0)</f>
        <v>MG Sticks</v>
      </c>
      <c r="J859" s="918" t="str">
        <f t="shared" si="84"/>
        <v>2904MG Sticks</v>
      </c>
      <c r="K859" s="919">
        <v>1</v>
      </c>
      <c r="L859" s="920">
        <f t="shared" si="85"/>
        <v>8536</v>
      </c>
      <c r="M859" s="920">
        <f t="shared" si="86"/>
        <v>18.437760000000001</v>
      </c>
      <c r="N859" s="920">
        <f t="shared" si="87"/>
        <v>40.647619047619045</v>
      </c>
      <c r="O859" s="918" t="str">
        <f t="shared" si="88"/>
        <v>Jan</v>
      </c>
      <c r="P859" s="921">
        <f t="shared" si="89"/>
        <v>4</v>
      </c>
    </row>
    <row r="860" spans="1:16" ht="15" hidden="1" customHeight="1">
      <c r="A860" s="839">
        <v>68867744</v>
      </c>
      <c r="B860" s="839">
        <v>2904</v>
      </c>
      <c r="C860" s="906">
        <v>8992</v>
      </c>
      <c r="D860" s="907">
        <v>46041</v>
      </c>
      <c r="E860" s="839" t="s">
        <v>306</v>
      </c>
      <c r="F860" s="839" t="s">
        <v>275</v>
      </c>
      <c r="G860" s="916">
        <f>VLOOKUP($A860,'Tech Litons'!$A:$I,8,FALSE)</f>
        <v>3.552E-3</v>
      </c>
      <c r="H860" s="917">
        <f>VLOOKUP($A860,'Tech Litons'!$A:$I,9,FALSE)</f>
        <v>255</v>
      </c>
      <c r="I860" s="917" t="str">
        <f>VLOOKUP($A860,'Tech Litons'!$A:$C,3,0)</f>
        <v>Talenti</v>
      </c>
      <c r="J860" s="918" t="str">
        <f t="shared" si="84"/>
        <v>2904Talenti</v>
      </c>
      <c r="K860" s="919">
        <v>1</v>
      </c>
      <c r="L860" s="920">
        <f t="shared" si="85"/>
        <v>8992</v>
      </c>
      <c r="M860" s="920">
        <f t="shared" si="86"/>
        <v>31.939584</v>
      </c>
      <c r="N860" s="920">
        <f t="shared" si="87"/>
        <v>35.262745098039218</v>
      </c>
      <c r="O860" s="918" t="str">
        <f t="shared" si="88"/>
        <v>Jan</v>
      </c>
      <c r="P860" s="921">
        <f t="shared" si="89"/>
        <v>4</v>
      </c>
    </row>
    <row r="861" spans="1:16" ht="15" hidden="1" customHeight="1">
      <c r="A861" s="839">
        <v>68851104</v>
      </c>
      <c r="B861" s="839">
        <v>1352</v>
      </c>
      <c r="C861" s="906">
        <v>9006</v>
      </c>
      <c r="D861" s="907">
        <v>46041</v>
      </c>
      <c r="E861" s="839" t="s">
        <v>270</v>
      </c>
      <c r="F861" s="839" t="s">
        <v>264</v>
      </c>
      <c r="G861" s="916">
        <f>VLOOKUP($A861,'Tech Litons'!$A:$I,8,FALSE)</f>
        <v>8.5199999999999998E-3</v>
      </c>
      <c r="H861" s="917">
        <f>VLOOKUP($A861,'Tech Litons'!$A:$I,9,FALSE)</f>
        <v>176</v>
      </c>
      <c r="I861" s="917" t="str">
        <f>VLOOKUP($A861,'Tech Litons'!$A:$C,3,0)</f>
        <v>48oz</v>
      </c>
      <c r="J861" s="918" t="str">
        <f t="shared" si="84"/>
        <v>135248oz</v>
      </c>
      <c r="K861" s="919">
        <v>1</v>
      </c>
      <c r="L861" s="920">
        <f t="shared" si="85"/>
        <v>9006</v>
      </c>
      <c r="M861" s="920">
        <f t="shared" si="86"/>
        <v>76.731120000000004</v>
      </c>
      <c r="N861" s="920">
        <f t="shared" si="87"/>
        <v>51.170454545454547</v>
      </c>
      <c r="O861" s="918" t="str">
        <f t="shared" si="88"/>
        <v>Jan</v>
      </c>
      <c r="P861" s="921">
        <f t="shared" si="89"/>
        <v>4</v>
      </c>
    </row>
    <row r="862" spans="1:16" ht="15" hidden="1" customHeight="1">
      <c r="A862" s="839">
        <v>68851107</v>
      </c>
      <c r="B862" s="839">
        <v>2904</v>
      </c>
      <c r="C862" s="906">
        <v>9223</v>
      </c>
      <c r="D862" s="907">
        <v>46041</v>
      </c>
      <c r="E862" s="839" t="s">
        <v>272</v>
      </c>
      <c r="F862" s="839" t="s">
        <v>273</v>
      </c>
      <c r="G862" s="916">
        <f>VLOOKUP($A862,'Tech Litons'!$A:$I,8,FALSE)</f>
        <v>8.5199999999999998E-3</v>
      </c>
      <c r="H862" s="917">
        <f>VLOOKUP($A862,'Tech Litons'!$A:$I,9,FALSE)</f>
        <v>176</v>
      </c>
      <c r="I862" s="917" t="str">
        <f>VLOOKUP($A862,'Tech Litons'!$A:$C,3,0)</f>
        <v>48oz</v>
      </c>
      <c r="J862" s="918" t="str">
        <f t="shared" si="84"/>
        <v>290448oz</v>
      </c>
      <c r="K862" s="919">
        <v>1</v>
      </c>
      <c r="L862" s="920">
        <f t="shared" si="85"/>
        <v>9223</v>
      </c>
      <c r="M862" s="920">
        <f t="shared" si="86"/>
        <v>78.57996</v>
      </c>
      <c r="N862" s="920">
        <f t="shared" si="87"/>
        <v>52.403409090909093</v>
      </c>
      <c r="O862" s="918" t="str">
        <f t="shared" si="88"/>
        <v>Jan</v>
      </c>
      <c r="P862" s="921">
        <f t="shared" si="89"/>
        <v>4</v>
      </c>
    </row>
    <row r="863" spans="1:16" ht="15" hidden="1" customHeight="1">
      <c r="A863" s="839">
        <v>84137725</v>
      </c>
      <c r="B863" s="839">
        <v>5914</v>
      </c>
      <c r="C863" s="906">
        <v>10080</v>
      </c>
      <c r="D863" s="907">
        <v>46041</v>
      </c>
      <c r="E863" s="839" t="s">
        <v>278</v>
      </c>
      <c r="F863" s="839" t="s">
        <v>304</v>
      </c>
      <c r="G863" s="916">
        <f>VLOOKUP($A863,'Tech Litons'!$A:$I,8,FALSE)</f>
        <v>3.7853439999999999E-3</v>
      </c>
      <c r="H863" s="917">
        <f>VLOOKUP($A863,'Tech Litons'!$A:$I,9,FALSE)</f>
        <v>240</v>
      </c>
      <c r="I863" s="917" t="str">
        <f>VLOOKUP($A863,'Tech Litons'!$A:$C,3,0)</f>
        <v>BJ PTS</v>
      </c>
      <c r="J863" s="918" t="str">
        <f t="shared" si="84"/>
        <v>5914BJ PTS</v>
      </c>
      <c r="K863" s="919">
        <v>1</v>
      </c>
      <c r="L863" s="920">
        <f t="shared" si="85"/>
        <v>10080</v>
      </c>
      <c r="M863" s="920">
        <f t="shared" si="86"/>
        <v>38.15626752</v>
      </c>
      <c r="N863" s="920">
        <f t="shared" si="87"/>
        <v>42</v>
      </c>
      <c r="O863" s="918" t="str">
        <f t="shared" si="88"/>
        <v>Jan</v>
      </c>
      <c r="P863" s="921">
        <f t="shared" si="89"/>
        <v>4</v>
      </c>
    </row>
    <row r="864" spans="1:16" ht="15" hidden="1" customHeight="1">
      <c r="A864" s="839">
        <v>68862496</v>
      </c>
      <c r="B864" s="839">
        <v>2904</v>
      </c>
      <c r="C864" s="906">
        <v>14286</v>
      </c>
      <c r="D864" s="907">
        <v>46041</v>
      </c>
      <c r="E864" s="839" t="s">
        <v>356</v>
      </c>
      <c r="F864" s="839" t="s">
        <v>277</v>
      </c>
      <c r="G864" s="916">
        <f>VLOOKUP($A864,'Tech Litons'!$A:$I,8,FALSE)</f>
        <v>3.7839999999999996E-3</v>
      </c>
      <c r="H864" s="917">
        <f>VLOOKUP($A864,'Tech Litons'!$A:$I,9,FALSE)</f>
        <v>255</v>
      </c>
      <c r="I864" s="917" t="str">
        <f>VLOOKUP($A864,'Tech Litons'!$A:$C,3,0)</f>
        <v>TALENTI</v>
      </c>
      <c r="J864" s="918" t="str">
        <f t="shared" si="84"/>
        <v>2904TALENTI</v>
      </c>
      <c r="K864" s="919">
        <v>1</v>
      </c>
      <c r="L864" s="920">
        <f t="shared" si="85"/>
        <v>14286</v>
      </c>
      <c r="M864" s="920">
        <f t="shared" si="86"/>
        <v>54.058223999999996</v>
      </c>
      <c r="N864" s="920">
        <f t="shared" si="87"/>
        <v>56.023529411764706</v>
      </c>
      <c r="O864" s="918" t="str">
        <f t="shared" si="88"/>
        <v>Jan</v>
      </c>
      <c r="P864" s="921">
        <f t="shared" si="89"/>
        <v>4</v>
      </c>
    </row>
    <row r="865" spans="1:16" ht="15" hidden="1" customHeight="1">
      <c r="A865" s="839">
        <v>84144598</v>
      </c>
      <c r="B865" s="839">
        <v>5914</v>
      </c>
      <c r="C865" s="906">
        <v>16080</v>
      </c>
      <c r="D865" s="907">
        <v>46041</v>
      </c>
      <c r="E865" s="839" t="s">
        <v>364</v>
      </c>
      <c r="F865" s="839" t="s">
        <v>303</v>
      </c>
      <c r="G865" s="916">
        <f>VLOOKUP($A865,'Tech Litons'!$A:$I,8,FALSE)</f>
        <v>3.7853439999999999E-3</v>
      </c>
      <c r="H865" s="917">
        <f>VLOOKUP($A865,'Tech Litons'!$A:$I,9,FALSE)</f>
        <v>240</v>
      </c>
      <c r="I865" s="917" t="str">
        <f>VLOOKUP($A865,'Tech Litons'!$A:$C,3,0)</f>
        <v>BJ PTS</v>
      </c>
      <c r="J865" s="918" t="str">
        <f t="shared" si="84"/>
        <v>5914BJ PTS</v>
      </c>
      <c r="K865" s="919">
        <v>1</v>
      </c>
      <c r="L865" s="920">
        <f t="shared" si="85"/>
        <v>16080</v>
      </c>
      <c r="M865" s="920">
        <f t="shared" si="86"/>
        <v>60.868331519999998</v>
      </c>
      <c r="N865" s="920">
        <f t="shared" si="87"/>
        <v>67</v>
      </c>
      <c r="O865" s="918" t="str">
        <f t="shared" si="88"/>
        <v>Jan</v>
      </c>
      <c r="P865" s="921">
        <f t="shared" si="89"/>
        <v>4</v>
      </c>
    </row>
    <row r="866" spans="1:16" ht="15" hidden="1" customHeight="1">
      <c r="A866" s="839">
        <v>68862496</v>
      </c>
      <c r="B866" s="839">
        <v>2904</v>
      </c>
      <c r="C866" s="906">
        <v>18270</v>
      </c>
      <c r="D866" s="907">
        <v>46041</v>
      </c>
      <c r="E866" s="839" t="s">
        <v>356</v>
      </c>
      <c r="F866" s="839" t="s">
        <v>277</v>
      </c>
      <c r="G866" s="916">
        <f>VLOOKUP($A866,'Tech Litons'!$A:$I,8,FALSE)</f>
        <v>3.7839999999999996E-3</v>
      </c>
      <c r="H866" s="917">
        <f>VLOOKUP($A866,'Tech Litons'!$A:$I,9,FALSE)</f>
        <v>255</v>
      </c>
      <c r="I866" s="917" t="str">
        <f>VLOOKUP($A866,'Tech Litons'!$A:$C,3,0)</f>
        <v>TALENTI</v>
      </c>
      <c r="J866" s="918" t="str">
        <f t="shared" si="84"/>
        <v>2904TALENTI</v>
      </c>
      <c r="K866" s="919">
        <v>1</v>
      </c>
      <c r="L866" s="920">
        <f t="shared" si="85"/>
        <v>18270</v>
      </c>
      <c r="M866" s="920">
        <f t="shared" si="86"/>
        <v>69.133679999999998</v>
      </c>
      <c r="N866" s="920">
        <f t="shared" si="87"/>
        <v>71.647058823529406</v>
      </c>
      <c r="O866" s="918" t="str">
        <f t="shared" si="88"/>
        <v>Jan</v>
      </c>
      <c r="P866" s="921">
        <f t="shared" si="89"/>
        <v>4</v>
      </c>
    </row>
    <row r="867" spans="1:16" ht="15" hidden="1" customHeight="1">
      <c r="A867" s="839">
        <v>67881628</v>
      </c>
      <c r="B867" s="839">
        <v>5914</v>
      </c>
      <c r="C867" s="906">
        <v>-720</v>
      </c>
      <c r="D867" s="907">
        <v>46042</v>
      </c>
      <c r="E867" s="839" t="s">
        <v>345</v>
      </c>
      <c r="F867" s="839" t="s">
        <v>303</v>
      </c>
      <c r="G867" s="916">
        <f>VLOOKUP($A867,'Tech Litons'!$A:$I,8,FALSE)</f>
        <v>3.7853439999999999E-3</v>
      </c>
      <c r="H867" s="917">
        <f>VLOOKUP($A867,'Tech Litons'!$A:$I,9,FALSE)</f>
        <v>240</v>
      </c>
      <c r="I867" s="917" t="str">
        <f>VLOOKUP($A867,'Tech Litons'!$A:$C,3,0)</f>
        <v>BJ PTS</v>
      </c>
      <c r="J867" s="918" t="str">
        <f t="shared" si="84"/>
        <v>5914BJ PTS</v>
      </c>
      <c r="K867" s="919">
        <v>1</v>
      </c>
      <c r="L867" s="920">
        <f t="shared" si="85"/>
        <v>-720</v>
      </c>
      <c r="M867" s="920">
        <f t="shared" si="86"/>
        <v>-2.7254476799999998</v>
      </c>
      <c r="N867" s="920">
        <f t="shared" si="87"/>
        <v>-3</v>
      </c>
      <c r="O867" s="918" t="str">
        <f t="shared" si="88"/>
        <v>Jan</v>
      </c>
      <c r="P867" s="921">
        <f t="shared" si="89"/>
        <v>4</v>
      </c>
    </row>
    <row r="868" spans="1:16" ht="15" hidden="1" customHeight="1">
      <c r="A868" s="839">
        <v>67789314</v>
      </c>
      <c r="B868" s="839">
        <v>5914</v>
      </c>
      <c r="C868" s="906">
        <v>-345</v>
      </c>
      <c r="D868" s="907">
        <v>46042</v>
      </c>
      <c r="E868" s="839" t="s">
        <v>344</v>
      </c>
      <c r="F868" s="839" t="s">
        <v>303</v>
      </c>
      <c r="G868" s="916">
        <f>VLOOKUP($A868,'Tech Litons'!$A:$I,8,FALSE)</f>
        <v>3.7853439999999999E-3</v>
      </c>
      <c r="H868" s="917">
        <f>VLOOKUP($A868,'Tech Litons'!$A:$I,9,FALSE)</f>
        <v>240</v>
      </c>
      <c r="I868" s="917" t="str">
        <f>VLOOKUP($A868,'Tech Litons'!$A:$C,3,0)</f>
        <v>BJ PTS</v>
      </c>
      <c r="J868" s="918" t="str">
        <f t="shared" si="84"/>
        <v>5914BJ PTS</v>
      </c>
      <c r="K868" s="919">
        <v>1</v>
      </c>
      <c r="L868" s="920">
        <f t="shared" si="85"/>
        <v>-345</v>
      </c>
      <c r="M868" s="920">
        <f t="shared" si="86"/>
        <v>-1.3059436799999999</v>
      </c>
      <c r="N868" s="920">
        <f t="shared" si="87"/>
        <v>-1.4375</v>
      </c>
      <c r="O868" s="918" t="str">
        <f t="shared" si="88"/>
        <v>Jan</v>
      </c>
      <c r="P868" s="921">
        <f t="shared" si="89"/>
        <v>4</v>
      </c>
    </row>
    <row r="869" spans="1:16" ht="15" hidden="1" customHeight="1">
      <c r="A869" s="839">
        <v>67794169</v>
      </c>
      <c r="B869" s="839">
        <v>5914</v>
      </c>
      <c r="C869" s="906">
        <v>-259</v>
      </c>
      <c r="D869" s="907">
        <v>46042</v>
      </c>
      <c r="E869" s="839" t="s">
        <v>352</v>
      </c>
      <c r="F869" s="839" t="s">
        <v>279</v>
      </c>
      <c r="G869" s="916">
        <f>VLOOKUP($A869,'Tech Litons'!$A:$I,8,FALSE)</f>
        <v>3.7853439999999999E-3</v>
      </c>
      <c r="H869" s="917">
        <f>VLOOKUP($A869,'Tech Litons'!$A:$I,9,FALSE)</f>
        <v>240</v>
      </c>
      <c r="I869" s="917" t="str">
        <f>VLOOKUP($A869,'Tech Litons'!$A:$C,3,0)</f>
        <v>BJ PTS</v>
      </c>
      <c r="J869" s="918" t="str">
        <f t="shared" si="84"/>
        <v>5914BJ PTS</v>
      </c>
      <c r="K869" s="919">
        <v>1</v>
      </c>
      <c r="L869" s="920">
        <f t="shared" si="85"/>
        <v>-259</v>
      </c>
      <c r="M869" s="920">
        <f t="shared" si="86"/>
        <v>-0.980404096</v>
      </c>
      <c r="N869" s="920">
        <f t="shared" si="87"/>
        <v>-1.0791666666666666</v>
      </c>
      <c r="O869" s="918" t="str">
        <f t="shared" si="88"/>
        <v>Jan</v>
      </c>
      <c r="P869" s="921">
        <f t="shared" si="89"/>
        <v>4</v>
      </c>
    </row>
    <row r="870" spans="1:16" ht="15" hidden="1" customHeight="1">
      <c r="A870" s="839">
        <v>64341968</v>
      </c>
      <c r="B870" s="839">
        <v>1352</v>
      </c>
      <c r="C870" s="906">
        <v>176</v>
      </c>
      <c r="D870" s="907">
        <v>46042</v>
      </c>
      <c r="E870" s="839" t="s">
        <v>322</v>
      </c>
      <c r="F870" s="839" t="s">
        <v>261</v>
      </c>
      <c r="G870" s="916">
        <f>VLOOKUP($A870,'Tech Litons'!$A:$I,8,FALSE)</f>
        <v>8.5199999999999998E-3</v>
      </c>
      <c r="H870" s="917">
        <f>VLOOKUP($A870,'Tech Litons'!$A:$I,9,FALSE)</f>
        <v>176</v>
      </c>
      <c r="I870" s="917" t="str">
        <f>VLOOKUP($A870,'Tech Litons'!$A:$C,3,0)</f>
        <v>48oz</v>
      </c>
      <c r="J870" s="918" t="str">
        <f t="shared" si="84"/>
        <v>135248oz</v>
      </c>
      <c r="K870" s="919">
        <v>1</v>
      </c>
      <c r="L870" s="920">
        <f t="shared" si="85"/>
        <v>176</v>
      </c>
      <c r="M870" s="920">
        <f t="shared" si="86"/>
        <v>1.49952</v>
      </c>
      <c r="N870" s="920">
        <f t="shared" si="87"/>
        <v>1</v>
      </c>
      <c r="O870" s="918" t="str">
        <f t="shared" si="88"/>
        <v>Jan</v>
      </c>
      <c r="P870" s="921">
        <f t="shared" si="89"/>
        <v>4</v>
      </c>
    </row>
    <row r="871" spans="1:16" ht="15" hidden="1" customHeight="1">
      <c r="A871" s="839">
        <v>64341106</v>
      </c>
      <c r="B871" s="839">
        <v>2904</v>
      </c>
      <c r="C871" s="906">
        <v>260</v>
      </c>
      <c r="D871" s="907">
        <v>46042</v>
      </c>
      <c r="E871" s="839" t="s">
        <v>293</v>
      </c>
      <c r="F871" s="839" t="s">
        <v>227</v>
      </c>
      <c r="G871" s="916">
        <f>VLOOKUP($A871,'Tech Litons'!$A:$I,8,FALSE)</f>
        <v>5.2680000000000001E-3</v>
      </c>
      <c r="H871" s="917">
        <f>VLOOKUP($A871,'Tech Litons'!$A:$I,9,FALSE)</f>
        <v>130</v>
      </c>
      <c r="I871" s="917" t="str">
        <f>VLOOKUP($A871,'Tech Litons'!$A:$C,3,0)</f>
        <v>PG</v>
      </c>
      <c r="J871" s="918" t="str">
        <f t="shared" si="84"/>
        <v>2904PG</v>
      </c>
      <c r="K871" s="919">
        <v>1</v>
      </c>
      <c r="L871" s="920">
        <f t="shared" si="85"/>
        <v>260</v>
      </c>
      <c r="M871" s="920">
        <f t="shared" si="86"/>
        <v>1.36968</v>
      </c>
      <c r="N871" s="920">
        <f t="shared" si="87"/>
        <v>2</v>
      </c>
      <c r="O871" s="918" t="str">
        <f t="shared" si="88"/>
        <v>Jan</v>
      </c>
      <c r="P871" s="921">
        <f t="shared" si="89"/>
        <v>4</v>
      </c>
    </row>
    <row r="872" spans="1:16" ht="15" hidden="1" customHeight="1">
      <c r="A872" s="839">
        <v>68746232</v>
      </c>
      <c r="B872" s="839">
        <v>2904</v>
      </c>
      <c r="C872" s="906">
        <v>278</v>
      </c>
      <c r="D872" s="907">
        <v>46042</v>
      </c>
      <c r="E872" s="839" t="s">
        <v>508</v>
      </c>
      <c r="F872" s="839" t="s">
        <v>243</v>
      </c>
      <c r="G872" s="916">
        <f>VLOOKUP($A872,'Tech Litons'!$A:$I,8,FALSE)</f>
        <v>8.5199999999999998E-3</v>
      </c>
      <c r="H872" s="917">
        <f>VLOOKUP($A872,'Tech Litons'!$A:$I,9,FALSE)</f>
        <v>132</v>
      </c>
      <c r="I872" s="917" t="str">
        <f>VLOOKUP($A872,'Tech Litons'!$A:$C,3,0)</f>
        <v>EDF</v>
      </c>
      <c r="J872" s="918" t="str">
        <f t="shared" si="84"/>
        <v>2904EDF</v>
      </c>
      <c r="K872" s="919">
        <v>1</v>
      </c>
      <c r="L872" s="920">
        <f t="shared" si="85"/>
        <v>278</v>
      </c>
      <c r="M872" s="920">
        <f t="shared" si="86"/>
        <v>2.36856</v>
      </c>
      <c r="N872" s="920">
        <f t="shared" si="87"/>
        <v>2.106060606060606</v>
      </c>
      <c r="O872" s="918" t="str">
        <f t="shared" si="88"/>
        <v>Jan</v>
      </c>
      <c r="P872" s="921">
        <f t="shared" si="89"/>
        <v>4</v>
      </c>
    </row>
    <row r="873" spans="1:16" ht="15" hidden="1" customHeight="1">
      <c r="A873" s="839">
        <v>84135795</v>
      </c>
      <c r="B873" s="839">
        <v>5914</v>
      </c>
      <c r="C873" s="906">
        <v>375</v>
      </c>
      <c r="D873" s="907">
        <v>46042</v>
      </c>
      <c r="E873" s="839" t="s">
        <v>497</v>
      </c>
      <c r="F873" s="839" t="s">
        <v>303</v>
      </c>
      <c r="G873" s="916">
        <f>VLOOKUP($A873,'Tech Litons'!$A:$I,8,FALSE)</f>
        <v>9.0848256361922702E-3</v>
      </c>
      <c r="H873" s="917">
        <f>VLOOKUP($A873,'Tech Litons'!$A:$I,9,FALSE)</f>
        <v>125</v>
      </c>
      <c r="I873" s="917" t="str">
        <f>VLOOKUP($A873,'Tech Litons'!$A:$C,3,0)</f>
        <v>2.4 Gal</v>
      </c>
      <c r="J873" s="918" t="str">
        <f t="shared" si="84"/>
        <v>59142.4 Gal</v>
      </c>
      <c r="K873" s="919">
        <v>1</v>
      </c>
      <c r="L873" s="920">
        <f t="shared" si="85"/>
        <v>375</v>
      </c>
      <c r="M873" s="920">
        <f t="shared" si="86"/>
        <v>3.4068096135721015</v>
      </c>
      <c r="N873" s="920">
        <f t="shared" si="87"/>
        <v>3</v>
      </c>
      <c r="O873" s="918" t="str">
        <f t="shared" si="88"/>
        <v>Jan</v>
      </c>
      <c r="P873" s="921">
        <f t="shared" si="89"/>
        <v>4</v>
      </c>
    </row>
    <row r="874" spans="1:16" ht="15" hidden="1" customHeight="1">
      <c r="A874" s="839">
        <v>69629468</v>
      </c>
      <c r="B874" s="839">
        <v>2904</v>
      </c>
      <c r="C874" s="906">
        <v>455</v>
      </c>
      <c r="D874" s="907">
        <v>46042</v>
      </c>
      <c r="E874" s="839" t="s">
        <v>291</v>
      </c>
      <c r="F874" s="839" t="s">
        <v>226</v>
      </c>
      <c r="G874" s="916">
        <f>VLOOKUP($A874,'Tech Litons'!$A:$I,8,FALSE)</f>
        <v>5.2680000000000001E-3</v>
      </c>
      <c r="H874" s="917">
        <f>VLOOKUP($A874,'Tech Litons'!$A:$I,9,FALSE)</f>
        <v>130</v>
      </c>
      <c r="I874" s="917" t="str">
        <f>VLOOKUP($A874,'Tech Litons'!$A:$C,3,0)</f>
        <v>PG</v>
      </c>
      <c r="J874" s="918" t="str">
        <f t="shared" si="84"/>
        <v>2904PG</v>
      </c>
      <c r="K874" s="919">
        <v>1</v>
      </c>
      <c r="L874" s="920">
        <f t="shared" si="85"/>
        <v>455</v>
      </c>
      <c r="M874" s="920">
        <f t="shared" si="86"/>
        <v>2.3969399999999998</v>
      </c>
      <c r="N874" s="920">
        <f t="shared" si="87"/>
        <v>3.5</v>
      </c>
      <c r="O874" s="918" t="str">
        <f t="shared" si="88"/>
        <v>Jan</v>
      </c>
      <c r="P874" s="921">
        <f t="shared" si="89"/>
        <v>4</v>
      </c>
    </row>
    <row r="875" spans="1:16" ht="15" hidden="1" customHeight="1">
      <c r="A875" s="839">
        <v>64341106</v>
      </c>
      <c r="B875" s="839">
        <v>2904</v>
      </c>
      <c r="C875" s="906">
        <v>566</v>
      </c>
      <c r="D875" s="907">
        <v>46042</v>
      </c>
      <c r="E875" s="839" t="s">
        <v>293</v>
      </c>
      <c r="F875" s="839" t="s">
        <v>227</v>
      </c>
      <c r="G875" s="916">
        <f>VLOOKUP($A875,'Tech Litons'!$A:$I,8,FALSE)</f>
        <v>5.2680000000000001E-3</v>
      </c>
      <c r="H875" s="917">
        <f>VLOOKUP($A875,'Tech Litons'!$A:$I,9,FALSE)</f>
        <v>130</v>
      </c>
      <c r="I875" s="917" t="str">
        <f>VLOOKUP($A875,'Tech Litons'!$A:$C,3,0)</f>
        <v>PG</v>
      </c>
      <c r="J875" s="918" t="str">
        <f t="shared" si="84"/>
        <v>2904PG</v>
      </c>
      <c r="K875" s="919">
        <v>1</v>
      </c>
      <c r="L875" s="920">
        <f t="shared" si="85"/>
        <v>566</v>
      </c>
      <c r="M875" s="920">
        <f t="shared" si="86"/>
        <v>2.9816880000000001</v>
      </c>
      <c r="N875" s="920">
        <f t="shared" si="87"/>
        <v>4.3538461538461535</v>
      </c>
      <c r="O875" s="918" t="str">
        <f t="shared" si="88"/>
        <v>Jan</v>
      </c>
      <c r="P875" s="921">
        <f t="shared" si="89"/>
        <v>4</v>
      </c>
    </row>
    <row r="876" spans="1:16" ht="15" hidden="1" customHeight="1">
      <c r="A876" s="839">
        <v>68741742</v>
      </c>
      <c r="B876" s="839">
        <v>2904</v>
      </c>
      <c r="C876" s="906">
        <v>756</v>
      </c>
      <c r="D876" s="907">
        <v>46042</v>
      </c>
      <c r="E876" s="839" t="s">
        <v>288</v>
      </c>
      <c r="F876" s="839" t="s">
        <v>295</v>
      </c>
      <c r="G876" s="916">
        <f>VLOOKUP($A876,'Tech Litons'!$A:$I,8,FALSE)</f>
        <v>4.2560000000000002E-3</v>
      </c>
      <c r="H876" s="917">
        <f>VLOOKUP($A876,'Tech Litons'!$A:$I,9,FALSE)</f>
        <v>154</v>
      </c>
      <c r="I876" s="917" t="str">
        <f>VLOOKUP($A876,'Tech Litons'!$A:$C,3,0)</f>
        <v>MBG</v>
      </c>
      <c r="J876" s="918" t="str">
        <f t="shared" si="84"/>
        <v>2904MBG</v>
      </c>
      <c r="K876" s="919">
        <v>1</v>
      </c>
      <c r="L876" s="920">
        <f t="shared" si="85"/>
        <v>756</v>
      </c>
      <c r="M876" s="920">
        <f t="shared" si="86"/>
        <v>3.2175360000000004</v>
      </c>
      <c r="N876" s="920">
        <f t="shared" si="87"/>
        <v>4.9090909090909092</v>
      </c>
      <c r="O876" s="918" t="str">
        <f t="shared" si="88"/>
        <v>Jan</v>
      </c>
      <c r="P876" s="921">
        <f t="shared" si="89"/>
        <v>4</v>
      </c>
    </row>
    <row r="877" spans="1:16" ht="15" hidden="1" customHeight="1">
      <c r="A877" s="839">
        <v>68710285</v>
      </c>
      <c r="B877" s="839">
        <v>1352</v>
      </c>
      <c r="C877" s="906">
        <v>964</v>
      </c>
      <c r="D877" s="907">
        <v>46042</v>
      </c>
      <c r="E877" s="839" t="s">
        <v>367</v>
      </c>
      <c r="F877" s="839" t="s">
        <v>242</v>
      </c>
      <c r="G877" s="916">
        <f>VLOOKUP($A877,'Tech Litons'!$A:$I,8,FALSE)</f>
        <v>9.5760000000000012E-3</v>
      </c>
      <c r="H877" s="917">
        <f>VLOOKUP($A877,'Tech Litons'!$A:$I,9,FALSE)</f>
        <v>132</v>
      </c>
      <c r="I877" s="917" t="str">
        <f>VLOOKUP($A877,'Tech Litons'!$A:$C,3,0)</f>
        <v>EDF</v>
      </c>
      <c r="J877" s="918" t="str">
        <f t="shared" si="84"/>
        <v>1352EDF</v>
      </c>
      <c r="K877" s="919">
        <v>1</v>
      </c>
      <c r="L877" s="920">
        <f t="shared" si="85"/>
        <v>964</v>
      </c>
      <c r="M877" s="920">
        <f t="shared" si="86"/>
        <v>9.2312640000000012</v>
      </c>
      <c r="N877" s="920">
        <f t="shared" si="87"/>
        <v>7.3030303030303028</v>
      </c>
      <c r="O877" s="918" t="str">
        <f t="shared" si="88"/>
        <v>Jan</v>
      </c>
      <c r="P877" s="921">
        <f t="shared" si="89"/>
        <v>4</v>
      </c>
    </row>
    <row r="878" spans="1:16" ht="15" hidden="1" customHeight="1">
      <c r="A878" s="839">
        <v>68746232</v>
      </c>
      <c r="B878" s="839">
        <v>2904</v>
      </c>
      <c r="C878" s="906">
        <v>988</v>
      </c>
      <c r="D878" s="907">
        <v>46042</v>
      </c>
      <c r="E878" s="839" t="s">
        <v>508</v>
      </c>
      <c r="F878" s="839" t="s">
        <v>243</v>
      </c>
      <c r="G878" s="916">
        <f>VLOOKUP($A878,'Tech Litons'!$A:$I,8,FALSE)</f>
        <v>8.5199999999999998E-3</v>
      </c>
      <c r="H878" s="917">
        <f>VLOOKUP($A878,'Tech Litons'!$A:$I,9,FALSE)</f>
        <v>132</v>
      </c>
      <c r="I878" s="917" t="str">
        <f>VLOOKUP($A878,'Tech Litons'!$A:$C,3,0)</f>
        <v>EDF</v>
      </c>
      <c r="J878" s="918" t="str">
        <f t="shared" si="84"/>
        <v>2904EDF</v>
      </c>
      <c r="K878" s="919">
        <v>1</v>
      </c>
      <c r="L878" s="920">
        <f t="shared" si="85"/>
        <v>988</v>
      </c>
      <c r="M878" s="920">
        <f t="shared" si="86"/>
        <v>8.4177599999999995</v>
      </c>
      <c r="N878" s="920">
        <f t="shared" si="87"/>
        <v>7.4848484848484844</v>
      </c>
      <c r="O878" s="918" t="str">
        <f t="shared" si="88"/>
        <v>Jan</v>
      </c>
      <c r="P878" s="921">
        <f t="shared" si="89"/>
        <v>4</v>
      </c>
    </row>
    <row r="879" spans="1:16" ht="15" hidden="1" customHeight="1">
      <c r="A879" s="839">
        <v>68741742</v>
      </c>
      <c r="B879" s="839">
        <v>1352</v>
      </c>
      <c r="C879" s="906">
        <v>1078</v>
      </c>
      <c r="D879" s="907">
        <v>46042</v>
      </c>
      <c r="E879" s="839" t="s">
        <v>288</v>
      </c>
      <c r="F879" s="839" t="s">
        <v>289</v>
      </c>
      <c r="G879" s="916">
        <f>VLOOKUP($A879,'Tech Litons'!$A:$I,8,FALSE)</f>
        <v>4.2560000000000002E-3</v>
      </c>
      <c r="H879" s="917">
        <f>VLOOKUP($A879,'Tech Litons'!$A:$I,9,FALSE)</f>
        <v>154</v>
      </c>
      <c r="I879" s="917" t="str">
        <f>VLOOKUP($A879,'Tech Litons'!$A:$C,3,0)</f>
        <v>MBG</v>
      </c>
      <c r="J879" s="918" t="str">
        <f t="shared" si="84"/>
        <v>1352MBG</v>
      </c>
      <c r="K879" s="919">
        <v>1</v>
      </c>
      <c r="L879" s="920">
        <f t="shared" si="85"/>
        <v>1078</v>
      </c>
      <c r="M879" s="920">
        <f t="shared" si="86"/>
        <v>4.587968</v>
      </c>
      <c r="N879" s="920">
        <f t="shared" si="87"/>
        <v>7</v>
      </c>
      <c r="O879" s="918" t="str">
        <f t="shared" si="88"/>
        <v>Jan</v>
      </c>
      <c r="P879" s="921">
        <f t="shared" si="89"/>
        <v>4</v>
      </c>
    </row>
    <row r="880" spans="1:16" ht="15" hidden="1" customHeight="1">
      <c r="A880" s="839">
        <v>64874633</v>
      </c>
      <c r="B880" s="839">
        <v>3910</v>
      </c>
      <c r="C880" s="906">
        <v>1120</v>
      </c>
      <c r="D880" s="907">
        <v>46042</v>
      </c>
      <c r="E880" s="839" t="s">
        <v>341</v>
      </c>
      <c r="F880" s="839" t="s">
        <v>342</v>
      </c>
      <c r="G880" s="916">
        <f>VLOOKUP($A880,'Tech Litons'!$A:$I,8,FALSE)</f>
        <v>3.192E-3</v>
      </c>
      <c r="H880" s="917">
        <f>VLOOKUP($A880,'Tech Litons'!$A:$I,9,FALSE)</f>
        <v>280</v>
      </c>
      <c r="I880" s="917" t="str">
        <f>VLOOKUP($A880,'Tech Litons'!$A:$C,3,0)</f>
        <v>ESS</v>
      </c>
      <c r="J880" s="918" t="str">
        <f t="shared" si="84"/>
        <v>3910ESS</v>
      </c>
      <c r="K880" s="919">
        <v>1</v>
      </c>
      <c r="L880" s="920">
        <f t="shared" si="85"/>
        <v>1120</v>
      </c>
      <c r="M880" s="920">
        <f t="shared" si="86"/>
        <v>3.57504</v>
      </c>
      <c r="N880" s="920">
        <f t="shared" si="87"/>
        <v>4</v>
      </c>
      <c r="O880" s="918" t="str">
        <f t="shared" si="88"/>
        <v>Jan</v>
      </c>
      <c r="P880" s="921">
        <f t="shared" si="89"/>
        <v>4</v>
      </c>
    </row>
    <row r="881" spans="1:16" ht="15" hidden="1" customHeight="1">
      <c r="A881" s="839">
        <v>64789261</v>
      </c>
      <c r="B881" s="839">
        <v>1352</v>
      </c>
      <c r="C881" s="906">
        <v>1125</v>
      </c>
      <c r="D881" s="907">
        <v>46042</v>
      </c>
      <c r="E881" s="839" t="s">
        <v>366</v>
      </c>
      <c r="F881" s="839" t="s">
        <v>287</v>
      </c>
      <c r="G881" s="916">
        <f>VLOOKUP($A881,'Tech Litons'!$A:$I,8,FALSE)</f>
        <v>2.8319999999999999E-3</v>
      </c>
      <c r="H881" s="917">
        <f>VLOOKUP($A881,'Tech Litons'!$A:$I,9,FALSE)</f>
        <v>225</v>
      </c>
      <c r="I881" s="917" t="str">
        <f>VLOOKUP($A881,'Tech Litons'!$A:$C,3,0)</f>
        <v>MBG</v>
      </c>
      <c r="J881" s="918" t="str">
        <f t="shared" si="84"/>
        <v>1352MBG</v>
      </c>
      <c r="K881" s="919">
        <v>1</v>
      </c>
      <c r="L881" s="920">
        <f t="shared" si="85"/>
        <v>1125</v>
      </c>
      <c r="M881" s="920">
        <f t="shared" si="86"/>
        <v>3.1859999999999999</v>
      </c>
      <c r="N881" s="920">
        <f t="shared" si="87"/>
        <v>5</v>
      </c>
      <c r="O881" s="918" t="str">
        <f t="shared" si="88"/>
        <v>Jan</v>
      </c>
      <c r="P881" s="921">
        <f t="shared" si="89"/>
        <v>4</v>
      </c>
    </row>
    <row r="882" spans="1:16" ht="15" hidden="1" customHeight="1">
      <c r="A882" s="839">
        <v>68689251</v>
      </c>
      <c r="B882" s="839">
        <v>1352</v>
      </c>
      <c r="C882" s="906">
        <v>1320</v>
      </c>
      <c r="D882" s="907">
        <v>46042</v>
      </c>
      <c r="E882" s="839" t="s">
        <v>262</v>
      </c>
      <c r="F882" s="839" t="s">
        <v>241</v>
      </c>
      <c r="G882" s="916">
        <f>VLOOKUP($A882,'Tech Litons'!$A:$I,8,FALSE)</f>
        <v>9.5760000000000012E-3</v>
      </c>
      <c r="H882" s="917">
        <f>VLOOKUP($A882,'Tech Litons'!$A:$I,9,FALSE)</f>
        <v>132</v>
      </c>
      <c r="I882" s="917" t="str">
        <f>VLOOKUP($A882,'Tech Litons'!$A:$C,3,0)</f>
        <v>EDF</v>
      </c>
      <c r="J882" s="918" t="str">
        <f t="shared" si="84"/>
        <v>1352EDF</v>
      </c>
      <c r="K882" s="919">
        <v>1</v>
      </c>
      <c r="L882" s="920">
        <f t="shared" si="85"/>
        <v>1320</v>
      </c>
      <c r="M882" s="920">
        <f t="shared" si="86"/>
        <v>12.640320000000001</v>
      </c>
      <c r="N882" s="920">
        <f t="shared" si="87"/>
        <v>10</v>
      </c>
      <c r="O882" s="918" t="str">
        <f t="shared" si="88"/>
        <v>Jan</v>
      </c>
      <c r="P882" s="921">
        <f t="shared" si="89"/>
        <v>4</v>
      </c>
    </row>
    <row r="883" spans="1:16" ht="15" hidden="1" customHeight="1">
      <c r="A883" s="839">
        <v>69629468</v>
      </c>
      <c r="B883" s="839">
        <v>2904</v>
      </c>
      <c r="C883" s="906">
        <v>1466</v>
      </c>
      <c r="D883" s="907">
        <v>46042</v>
      </c>
      <c r="E883" s="839" t="s">
        <v>291</v>
      </c>
      <c r="F883" s="839" t="s">
        <v>226</v>
      </c>
      <c r="G883" s="916">
        <f>VLOOKUP($A883,'Tech Litons'!$A:$I,8,FALSE)</f>
        <v>5.2680000000000001E-3</v>
      </c>
      <c r="H883" s="917">
        <f>VLOOKUP($A883,'Tech Litons'!$A:$I,9,FALSE)</f>
        <v>130</v>
      </c>
      <c r="I883" s="917" t="str">
        <f>VLOOKUP($A883,'Tech Litons'!$A:$C,3,0)</f>
        <v>PG</v>
      </c>
      <c r="J883" s="918" t="str">
        <f t="shared" si="84"/>
        <v>2904PG</v>
      </c>
      <c r="K883" s="919">
        <v>1</v>
      </c>
      <c r="L883" s="920">
        <f t="shared" si="85"/>
        <v>1466</v>
      </c>
      <c r="M883" s="920">
        <f t="shared" si="86"/>
        <v>7.7228880000000002</v>
      </c>
      <c r="N883" s="920">
        <f t="shared" si="87"/>
        <v>11.276923076923078</v>
      </c>
      <c r="O883" s="918" t="str">
        <f t="shared" si="88"/>
        <v>Jan</v>
      </c>
      <c r="P883" s="921">
        <f t="shared" si="89"/>
        <v>4</v>
      </c>
    </row>
    <row r="884" spans="1:16" ht="15" hidden="1" customHeight="1">
      <c r="A884" s="839">
        <v>69629468</v>
      </c>
      <c r="B884" s="839">
        <v>1352</v>
      </c>
      <c r="C884" s="906">
        <v>1560</v>
      </c>
      <c r="D884" s="907">
        <v>46042</v>
      </c>
      <c r="E884" s="839" t="s">
        <v>291</v>
      </c>
      <c r="F884" s="839" t="s">
        <v>222</v>
      </c>
      <c r="G884" s="916">
        <f>VLOOKUP($A884,'Tech Litons'!$A:$I,8,FALSE)</f>
        <v>5.2680000000000001E-3</v>
      </c>
      <c r="H884" s="917">
        <f>VLOOKUP($A884,'Tech Litons'!$A:$I,9,FALSE)</f>
        <v>130</v>
      </c>
      <c r="I884" s="917" t="str">
        <f>VLOOKUP($A884,'Tech Litons'!$A:$C,3,0)</f>
        <v>PG</v>
      </c>
      <c r="J884" s="918" t="str">
        <f t="shared" si="84"/>
        <v>1352PG</v>
      </c>
      <c r="K884" s="919">
        <v>1</v>
      </c>
      <c r="L884" s="920">
        <f t="shared" si="85"/>
        <v>1560</v>
      </c>
      <c r="M884" s="920">
        <f t="shared" si="86"/>
        <v>8.2180800000000005</v>
      </c>
      <c r="N884" s="920">
        <f t="shared" si="87"/>
        <v>12</v>
      </c>
      <c r="O884" s="918" t="str">
        <f t="shared" si="88"/>
        <v>Jan</v>
      </c>
      <c r="P884" s="921">
        <f t="shared" si="89"/>
        <v>4</v>
      </c>
    </row>
    <row r="885" spans="1:16" ht="15" hidden="1" customHeight="1">
      <c r="A885" s="839">
        <v>69725082</v>
      </c>
      <c r="B885" s="839">
        <v>1352</v>
      </c>
      <c r="C885" s="906">
        <v>1560</v>
      </c>
      <c r="D885" s="907">
        <v>46042</v>
      </c>
      <c r="E885" s="839" t="s">
        <v>292</v>
      </c>
      <c r="F885" s="839" t="s">
        <v>223</v>
      </c>
      <c r="G885" s="916">
        <f>VLOOKUP($A885,'Tech Litons'!$A:$I,8,FALSE)</f>
        <v>5.2680000000000001E-3</v>
      </c>
      <c r="H885" s="917">
        <f>VLOOKUP($A885,'Tech Litons'!$A:$I,9,FALSE)</f>
        <v>130</v>
      </c>
      <c r="I885" s="917" t="str">
        <f>VLOOKUP($A885,'Tech Litons'!$A:$C,3,0)</f>
        <v>PG</v>
      </c>
      <c r="J885" s="918" t="str">
        <f t="shared" si="84"/>
        <v>1352PG</v>
      </c>
      <c r="K885" s="919">
        <v>1</v>
      </c>
      <c r="L885" s="920">
        <f t="shared" si="85"/>
        <v>1560</v>
      </c>
      <c r="M885" s="920">
        <f t="shared" si="86"/>
        <v>8.2180800000000005</v>
      </c>
      <c r="N885" s="920">
        <f t="shared" si="87"/>
        <v>12</v>
      </c>
      <c r="O885" s="918" t="str">
        <f t="shared" si="88"/>
        <v>Jan</v>
      </c>
      <c r="P885" s="921">
        <f t="shared" si="89"/>
        <v>4</v>
      </c>
    </row>
    <row r="886" spans="1:16" ht="15" hidden="1" customHeight="1">
      <c r="A886" s="839">
        <v>68300738</v>
      </c>
      <c r="B886" s="839">
        <v>1352</v>
      </c>
      <c r="C886" s="906">
        <v>1716</v>
      </c>
      <c r="D886" s="907">
        <v>46042</v>
      </c>
      <c r="E886" s="839" t="s">
        <v>325</v>
      </c>
      <c r="F886" s="839" t="s">
        <v>240</v>
      </c>
      <c r="G886" s="916">
        <f>VLOOKUP($A886,'Tech Litons'!$A:$I,8,FALSE)</f>
        <v>8.4960000000000001E-3</v>
      </c>
      <c r="H886" s="917">
        <f>VLOOKUP($A886,'Tech Litons'!$A:$I,9,FALSE)</f>
        <v>132</v>
      </c>
      <c r="I886" s="917" t="str">
        <f>VLOOKUP($A886,'Tech Litons'!$A:$C,3,0)</f>
        <v>EDF</v>
      </c>
      <c r="J886" s="918" t="str">
        <f t="shared" si="84"/>
        <v>1352EDF</v>
      </c>
      <c r="K886" s="919">
        <v>1</v>
      </c>
      <c r="L886" s="920">
        <f t="shared" si="85"/>
        <v>1716</v>
      </c>
      <c r="M886" s="920">
        <f t="shared" si="86"/>
        <v>14.579136</v>
      </c>
      <c r="N886" s="920">
        <f t="shared" si="87"/>
        <v>13</v>
      </c>
      <c r="O886" s="918" t="str">
        <f t="shared" si="88"/>
        <v>Jan</v>
      </c>
      <c r="P886" s="921">
        <f t="shared" si="89"/>
        <v>4</v>
      </c>
    </row>
    <row r="887" spans="1:16" ht="15" hidden="1" customHeight="1">
      <c r="A887" s="839">
        <v>68821735</v>
      </c>
      <c r="B887" s="839">
        <v>2904</v>
      </c>
      <c r="C887" s="906">
        <v>1811</v>
      </c>
      <c r="D887" s="907">
        <v>46042</v>
      </c>
      <c r="E887" s="839" t="s">
        <v>318</v>
      </c>
      <c r="F887" s="839" t="s">
        <v>269</v>
      </c>
      <c r="G887" s="916">
        <f>VLOOKUP($A887,'Tech Litons'!$A:$I,8,FALSE)</f>
        <v>8.5199999999999998E-3</v>
      </c>
      <c r="H887" s="917">
        <f>VLOOKUP($A887,'Tech Litons'!$A:$I,9,FALSE)</f>
        <v>176</v>
      </c>
      <c r="I887" s="917" t="str">
        <f>VLOOKUP($A887,'Tech Litons'!$A:$C,3,0)</f>
        <v>48oz</v>
      </c>
      <c r="J887" s="918" t="str">
        <f t="shared" si="84"/>
        <v>290448oz</v>
      </c>
      <c r="K887" s="919">
        <v>1</v>
      </c>
      <c r="L887" s="920">
        <f t="shared" si="85"/>
        <v>1811</v>
      </c>
      <c r="M887" s="920">
        <f t="shared" si="86"/>
        <v>15.42972</v>
      </c>
      <c r="N887" s="920">
        <f t="shared" si="87"/>
        <v>10.289772727272727</v>
      </c>
      <c r="O887" s="918" t="str">
        <f t="shared" si="88"/>
        <v>Jan</v>
      </c>
      <c r="P887" s="921">
        <f t="shared" si="89"/>
        <v>4</v>
      </c>
    </row>
    <row r="888" spans="1:16" ht="15" hidden="1" customHeight="1">
      <c r="A888" s="839">
        <v>64988055</v>
      </c>
      <c r="B888" s="839">
        <v>2904</v>
      </c>
      <c r="C888" s="906">
        <v>2112</v>
      </c>
      <c r="D888" s="907">
        <v>46042</v>
      </c>
      <c r="E888" s="839" t="s">
        <v>360</v>
      </c>
      <c r="F888" s="839" t="s">
        <v>271</v>
      </c>
      <c r="G888" s="916">
        <f>VLOOKUP($A888,'Tech Litons'!$A:$I,8,FALSE)</f>
        <v>8.513999999999999E-3</v>
      </c>
      <c r="H888" s="917">
        <f>VLOOKUP($A888,'Tech Litons'!$A:$I,9,FALSE)</f>
        <v>176</v>
      </c>
      <c r="I888" s="917" t="str">
        <f>VLOOKUP($A888,'Tech Litons'!$A:$C,3,0)</f>
        <v>48oz</v>
      </c>
      <c r="J888" s="918" t="str">
        <f t="shared" si="84"/>
        <v>290448oz</v>
      </c>
      <c r="K888" s="919">
        <v>1</v>
      </c>
      <c r="L888" s="920">
        <f t="shared" si="85"/>
        <v>2112</v>
      </c>
      <c r="M888" s="920">
        <f t="shared" si="86"/>
        <v>17.981567999999999</v>
      </c>
      <c r="N888" s="920">
        <f t="shared" si="87"/>
        <v>12</v>
      </c>
      <c r="O888" s="918" t="str">
        <f t="shared" si="88"/>
        <v>Jan</v>
      </c>
      <c r="P888" s="921">
        <f t="shared" si="89"/>
        <v>4</v>
      </c>
    </row>
    <row r="889" spans="1:16" ht="15" hidden="1" customHeight="1">
      <c r="A889" s="839">
        <v>69717803</v>
      </c>
      <c r="B889" s="839">
        <v>2904</v>
      </c>
      <c r="C889" s="906">
        <v>2145</v>
      </c>
      <c r="D889" s="907">
        <v>46042</v>
      </c>
      <c r="E889" s="839" t="s">
        <v>362</v>
      </c>
      <c r="F889" s="839" t="s">
        <v>231</v>
      </c>
      <c r="G889" s="916">
        <f>VLOOKUP($A889,'Tech Litons'!$A:$I,8,FALSE)</f>
        <v>4.2560000000000002E-3</v>
      </c>
      <c r="H889" s="917">
        <f>VLOOKUP($A889,'Tech Litons'!$A:$I,9,FALSE)</f>
        <v>143</v>
      </c>
      <c r="I889" s="917" t="str">
        <f>VLOOKUP($A889,'Tech Litons'!$A:$C,3,0)</f>
        <v>MG Sticks</v>
      </c>
      <c r="J889" s="918" t="str">
        <f t="shared" si="84"/>
        <v>2904MG Sticks</v>
      </c>
      <c r="K889" s="919">
        <v>1</v>
      </c>
      <c r="L889" s="920">
        <f t="shared" si="85"/>
        <v>2145</v>
      </c>
      <c r="M889" s="920">
        <f t="shared" si="86"/>
        <v>9.1291200000000003</v>
      </c>
      <c r="N889" s="920">
        <f t="shared" si="87"/>
        <v>15</v>
      </c>
      <c r="O889" s="918" t="str">
        <f t="shared" si="88"/>
        <v>Jan</v>
      </c>
      <c r="P889" s="921">
        <f t="shared" si="89"/>
        <v>4</v>
      </c>
    </row>
    <row r="890" spans="1:16" ht="15" hidden="1" customHeight="1">
      <c r="A890" s="839">
        <v>84135718</v>
      </c>
      <c r="B890" s="839">
        <v>5914</v>
      </c>
      <c r="C890" s="906">
        <v>2400</v>
      </c>
      <c r="D890" s="907">
        <v>46042</v>
      </c>
      <c r="E890" s="839" t="s">
        <v>338</v>
      </c>
      <c r="F890" s="839" t="s">
        <v>304</v>
      </c>
      <c r="G890" s="916">
        <f>VLOOKUP($A890,'Tech Litons'!$A:$I,8,FALSE)</f>
        <v>3.7853439999999999E-3</v>
      </c>
      <c r="H890" s="917">
        <f>VLOOKUP($A890,'Tech Litons'!$A:$I,9,FALSE)</f>
        <v>240</v>
      </c>
      <c r="I890" s="917" t="str">
        <f>VLOOKUP($A890,'Tech Litons'!$A:$C,3,0)</f>
        <v>BJ PTS</v>
      </c>
      <c r="J890" s="918" t="str">
        <f t="shared" si="84"/>
        <v>5914BJ PTS</v>
      </c>
      <c r="K890" s="919">
        <v>1</v>
      </c>
      <c r="L890" s="920">
        <f t="shared" si="85"/>
        <v>2400</v>
      </c>
      <c r="M890" s="920">
        <f t="shared" si="86"/>
        <v>9.0848256000000003</v>
      </c>
      <c r="N890" s="920">
        <f t="shared" si="87"/>
        <v>10</v>
      </c>
      <c r="O890" s="918" t="str">
        <f t="shared" si="88"/>
        <v>Jan</v>
      </c>
      <c r="P890" s="921">
        <f t="shared" si="89"/>
        <v>4</v>
      </c>
    </row>
    <row r="891" spans="1:16" ht="15" hidden="1" customHeight="1">
      <c r="A891" s="839">
        <v>68710285</v>
      </c>
      <c r="B891" s="839">
        <v>1352</v>
      </c>
      <c r="C891" s="906">
        <v>2508</v>
      </c>
      <c r="D891" s="907">
        <v>46042</v>
      </c>
      <c r="E891" s="839" t="s">
        <v>367</v>
      </c>
      <c r="F891" s="839" t="s">
        <v>242</v>
      </c>
      <c r="G891" s="916">
        <f>VLOOKUP($A891,'Tech Litons'!$A:$I,8,FALSE)</f>
        <v>9.5760000000000012E-3</v>
      </c>
      <c r="H891" s="917">
        <f>VLOOKUP($A891,'Tech Litons'!$A:$I,9,FALSE)</f>
        <v>132</v>
      </c>
      <c r="I891" s="917" t="str">
        <f>VLOOKUP($A891,'Tech Litons'!$A:$C,3,0)</f>
        <v>EDF</v>
      </c>
      <c r="J891" s="918" t="str">
        <f t="shared" si="84"/>
        <v>1352EDF</v>
      </c>
      <c r="K891" s="919">
        <v>1</v>
      </c>
      <c r="L891" s="920">
        <f t="shared" si="85"/>
        <v>2508</v>
      </c>
      <c r="M891" s="920">
        <f t="shared" si="86"/>
        <v>24.016608000000002</v>
      </c>
      <c r="N891" s="920">
        <f t="shared" si="87"/>
        <v>19</v>
      </c>
      <c r="O891" s="918" t="str">
        <f t="shared" si="88"/>
        <v>Jan</v>
      </c>
      <c r="P891" s="921">
        <f t="shared" si="89"/>
        <v>4</v>
      </c>
    </row>
    <row r="892" spans="1:16" ht="15" hidden="1" customHeight="1">
      <c r="A892" s="839">
        <v>68741742</v>
      </c>
      <c r="B892" s="839">
        <v>2904</v>
      </c>
      <c r="C892" s="906">
        <v>2552</v>
      </c>
      <c r="D892" s="907">
        <v>46042</v>
      </c>
      <c r="E892" s="839" t="s">
        <v>288</v>
      </c>
      <c r="F892" s="839" t="s">
        <v>295</v>
      </c>
      <c r="G892" s="916">
        <f>VLOOKUP($A892,'Tech Litons'!$A:$I,8,FALSE)</f>
        <v>4.2560000000000002E-3</v>
      </c>
      <c r="H892" s="917">
        <f>VLOOKUP($A892,'Tech Litons'!$A:$I,9,FALSE)</f>
        <v>154</v>
      </c>
      <c r="I892" s="917" t="str">
        <f>VLOOKUP($A892,'Tech Litons'!$A:$C,3,0)</f>
        <v>MBG</v>
      </c>
      <c r="J892" s="918" t="str">
        <f t="shared" si="84"/>
        <v>2904MBG</v>
      </c>
      <c r="K892" s="919">
        <v>1</v>
      </c>
      <c r="L892" s="920">
        <f t="shared" si="85"/>
        <v>2552</v>
      </c>
      <c r="M892" s="920">
        <f t="shared" si="86"/>
        <v>10.861312</v>
      </c>
      <c r="N892" s="920">
        <f t="shared" si="87"/>
        <v>16.571428571428573</v>
      </c>
      <c r="O892" s="918" t="str">
        <f t="shared" si="88"/>
        <v>Jan</v>
      </c>
      <c r="P892" s="921">
        <f t="shared" si="89"/>
        <v>4</v>
      </c>
    </row>
    <row r="893" spans="1:16" ht="15" hidden="1" customHeight="1">
      <c r="A893" s="839">
        <v>68930545</v>
      </c>
      <c r="B893" s="839">
        <v>1352</v>
      </c>
      <c r="C893" s="906">
        <v>2807</v>
      </c>
      <c r="D893" s="907">
        <v>46042</v>
      </c>
      <c r="E893" s="839" t="s">
        <v>349</v>
      </c>
      <c r="F893" s="839" t="s">
        <v>290</v>
      </c>
      <c r="G893" s="916">
        <f>VLOOKUP($A893,'Tech Litons'!$A:$I,8,FALSE)</f>
        <v>8.5199999999999998E-3</v>
      </c>
      <c r="H893" s="917">
        <f>VLOOKUP($A893,'Tech Litons'!$A:$I,9,FALSE)</f>
        <v>176</v>
      </c>
      <c r="I893" s="917" t="str">
        <f>VLOOKUP($A893,'Tech Litons'!$A:$C,3,0)</f>
        <v>48oz</v>
      </c>
      <c r="J893" s="918" t="str">
        <f t="shared" si="84"/>
        <v>135248oz</v>
      </c>
      <c r="K893" s="919">
        <v>1</v>
      </c>
      <c r="L893" s="920">
        <f t="shared" si="85"/>
        <v>2807</v>
      </c>
      <c r="M893" s="920">
        <f t="shared" si="86"/>
        <v>23.91564</v>
      </c>
      <c r="N893" s="920">
        <f t="shared" si="87"/>
        <v>15.948863636363637</v>
      </c>
      <c r="O893" s="918" t="str">
        <f t="shared" si="88"/>
        <v>Jan</v>
      </c>
      <c r="P893" s="921">
        <f t="shared" si="89"/>
        <v>4</v>
      </c>
    </row>
    <row r="894" spans="1:16" ht="15" hidden="1" customHeight="1">
      <c r="A894" s="839">
        <v>65431089</v>
      </c>
      <c r="B894" s="839">
        <v>2904</v>
      </c>
      <c r="C894" s="906">
        <v>2866</v>
      </c>
      <c r="D894" s="907">
        <v>46042</v>
      </c>
      <c r="E894" s="839" t="s">
        <v>368</v>
      </c>
      <c r="F894" s="839" t="s">
        <v>277</v>
      </c>
      <c r="G894" s="916">
        <f>VLOOKUP($A894,'Tech Litons'!$A:$I,8,FALSE)</f>
        <v>3.7839999999999996E-3</v>
      </c>
      <c r="H894" s="917">
        <f>VLOOKUP($A894,'Tech Litons'!$A:$I,9,FALSE)</f>
        <v>255</v>
      </c>
      <c r="I894" s="917" t="str">
        <f>VLOOKUP($A894,'Tech Litons'!$A:$C,3,0)</f>
        <v>Talenti</v>
      </c>
      <c r="J894" s="918" t="str">
        <f t="shared" si="84"/>
        <v>2904Talenti</v>
      </c>
      <c r="K894" s="919">
        <v>1</v>
      </c>
      <c r="L894" s="920">
        <f t="shared" si="85"/>
        <v>2866</v>
      </c>
      <c r="M894" s="920">
        <f t="shared" si="86"/>
        <v>10.844943999999998</v>
      </c>
      <c r="N894" s="920">
        <f t="shared" si="87"/>
        <v>11.239215686274509</v>
      </c>
      <c r="O894" s="918" t="str">
        <f t="shared" si="88"/>
        <v>Jan</v>
      </c>
      <c r="P894" s="921">
        <f t="shared" si="89"/>
        <v>4</v>
      </c>
    </row>
    <row r="895" spans="1:16" ht="15" hidden="1" customHeight="1">
      <c r="A895" s="839">
        <v>68862496</v>
      </c>
      <c r="B895" s="839">
        <v>2904</v>
      </c>
      <c r="C895" s="906">
        <v>3256</v>
      </c>
      <c r="D895" s="907">
        <v>46042</v>
      </c>
      <c r="E895" s="839" t="s">
        <v>356</v>
      </c>
      <c r="F895" s="839" t="s">
        <v>277</v>
      </c>
      <c r="G895" s="916">
        <f>VLOOKUP($A895,'Tech Litons'!$A:$I,8,FALSE)</f>
        <v>3.7839999999999996E-3</v>
      </c>
      <c r="H895" s="917">
        <f>VLOOKUP($A895,'Tech Litons'!$A:$I,9,FALSE)</f>
        <v>255</v>
      </c>
      <c r="I895" s="917" t="str">
        <f>VLOOKUP($A895,'Tech Litons'!$A:$C,3,0)</f>
        <v>TALENTI</v>
      </c>
      <c r="J895" s="918" t="str">
        <f t="shared" si="84"/>
        <v>2904TALENTI</v>
      </c>
      <c r="K895" s="919">
        <v>1</v>
      </c>
      <c r="L895" s="920">
        <f t="shared" si="85"/>
        <v>3256</v>
      </c>
      <c r="M895" s="920">
        <f t="shared" si="86"/>
        <v>12.320703999999999</v>
      </c>
      <c r="N895" s="920">
        <f t="shared" si="87"/>
        <v>12.768627450980393</v>
      </c>
      <c r="O895" s="918" t="str">
        <f t="shared" si="88"/>
        <v>Jan</v>
      </c>
      <c r="P895" s="921">
        <f t="shared" si="89"/>
        <v>4</v>
      </c>
    </row>
    <row r="896" spans="1:16" ht="15" hidden="1" customHeight="1">
      <c r="A896" s="839">
        <v>69989759</v>
      </c>
      <c r="B896" s="839">
        <v>2904</v>
      </c>
      <c r="C896" s="906">
        <v>3352</v>
      </c>
      <c r="D896" s="907">
        <v>46042</v>
      </c>
      <c r="E896" s="839" t="s">
        <v>357</v>
      </c>
      <c r="F896" s="839" t="s">
        <v>281</v>
      </c>
      <c r="G896" s="916">
        <f>VLOOKUP($A896,'Tech Litons'!$A:$I,8,FALSE)</f>
        <v>1.98E-3</v>
      </c>
      <c r="H896" s="917">
        <f>VLOOKUP($A896,'Tech Litons'!$A:$I,9,FALSE)</f>
        <v>176</v>
      </c>
      <c r="I896" s="917" t="str">
        <f>VLOOKUP($A896,'Tech Litons'!$A:$C,3,0)</f>
        <v>MG Sticks</v>
      </c>
      <c r="J896" s="918" t="str">
        <f t="shared" si="84"/>
        <v>2904MG Sticks</v>
      </c>
      <c r="K896" s="919">
        <v>1</v>
      </c>
      <c r="L896" s="920">
        <f t="shared" si="85"/>
        <v>3352</v>
      </c>
      <c r="M896" s="920">
        <f t="shared" si="86"/>
        <v>6.6369600000000002</v>
      </c>
      <c r="N896" s="920">
        <f t="shared" si="87"/>
        <v>19.045454545454547</v>
      </c>
      <c r="O896" s="918" t="str">
        <f t="shared" si="88"/>
        <v>Jan</v>
      </c>
      <c r="P896" s="921">
        <f t="shared" si="89"/>
        <v>4</v>
      </c>
    </row>
    <row r="897" spans="1:16" ht="15" hidden="1" customHeight="1">
      <c r="A897" s="839">
        <v>68851107</v>
      </c>
      <c r="B897" s="839">
        <v>1352</v>
      </c>
      <c r="C897" s="906">
        <v>3528</v>
      </c>
      <c r="D897" s="907">
        <v>46042</v>
      </c>
      <c r="E897" s="839" t="s">
        <v>272</v>
      </c>
      <c r="F897" s="839" t="s">
        <v>264</v>
      </c>
      <c r="G897" s="916">
        <f>VLOOKUP($A897,'Tech Litons'!$A:$I,8,FALSE)</f>
        <v>8.5199999999999998E-3</v>
      </c>
      <c r="H897" s="917">
        <f>VLOOKUP($A897,'Tech Litons'!$A:$I,9,FALSE)</f>
        <v>176</v>
      </c>
      <c r="I897" s="917" t="str">
        <f>VLOOKUP($A897,'Tech Litons'!$A:$C,3,0)</f>
        <v>48oz</v>
      </c>
      <c r="J897" s="918" t="str">
        <f t="shared" si="84"/>
        <v>135248oz</v>
      </c>
      <c r="K897" s="919">
        <v>1</v>
      </c>
      <c r="L897" s="920">
        <f t="shared" si="85"/>
        <v>3528</v>
      </c>
      <c r="M897" s="920">
        <f t="shared" si="86"/>
        <v>30.05856</v>
      </c>
      <c r="N897" s="920">
        <f t="shared" si="87"/>
        <v>20.045454545454547</v>
      </c>
      <c r="O897" s="918" t="str">
        <f t="shared" si="88"/>
        <v>Jan</v>
      </c>
      <c r="P897" s="921">
        <f t="shared" si="89"/>
        <v>4</v>
      </c>
    </row>
    <row r="898" spans="1:16" ht="15" hidden="1" customHeight="1">
      <c r="A898" s="839">
        <v>84144598</v>
      </c>
      <c r="B898" s="839">
        <v>2904</v>
      </c>
      <c r="C898" s="906">
        <v>3712</v>
      </c>
      <c r="D898" s="907">
        <v>46042</v>
      </c>
      <c r="E898" s="839" t="s">
        <v>364</v>
      </c>
      <c r="F898" s="839" t="s">
        <v>299</v>
      </c>
      <c r="G898" s="916">
        <f>VLOOKUP($A898,'Tech Litons'!$A:$I,8,FALSE)</f>
        <v>3.7853439999999999E-3</v>
      </c>
      <c r="H898" s="917">
        <f>VLOOKUP($A898,'Tech Litons'!$A:$I,9,FALSE)</f>
        <v>240</v>
      </c>
      <c r="I898" s="917" t="str">
        <f>VLOOKUP($A898,'Tech Litons'!$A:$C,3,0)</f>
        <v>BJ PTS</v>
      </c>
      <c r="J898" s="918" t="str">
        <f t="shared" si="84"/>
        <v>2904BJ PTS</v>
      </c>
      <c r="K898" s="919">
        <v>1</v>
      </c>
      <c r="L898" s="920">
        <f t="shared" si="85"/>
        <v>3712</v>
      </c>
      <c r="M898" s="920">
        <f t="shared" si="86"/>
        <v>14.051196928</v>
      </c>
      <c r="N898" s="920">
        <f t="shared" si="87"/>
        <v>15.466666666666667</v>
      </c>
      <c r="O898" s="918" t="str">
        <f t="shared" si="88"/>
        <v>Jan</v>
      </c>
      <c r="P898" s="921">
        <f t="shared" si="89"/>
        <v>4</v>
      </c>
    </row>
    <row r="899" spans="1:16" ht="15" hidden="1" customHeight="1">
      <c r="A899" s="839">
        <v>84144598</v>
      </c>
      <c r="B899" s="839">
        <v>5914</v>
      </c>
      <c r="C899" s="906">
        <v>3840</v>
      </c>
      <c r="D899" s="907">
        <v>46042</v>
      </c>
      <c r="E899" s="839" t="s">
        <v>364</v>
      </c>
      <c r="F899" s="839" t="s">
        <v>303</v>
      </c>
      <c r="G899" s="916">
        <f>VLOOKUP($A899,'Tech Litons'!$A:$I,8,FALSE)</f>
        <v>3.7853439999999999E-3</v>
      </c>
      <c r="H899" s="917">
        <f>VLOOKUP($A899,'Tech Litons'!$A:$I,9,FALSE)</f>
        <v>240</v>
      </c>
      <c r="I899" s="917" t="str">
        <f>VLOOKUP($A899,'Tech Litons'!$A:$C,3,0)</f>
        <v>BJ PTS</v>
      </c>
      <c r="J899" s="918" t="str">
        <f t="shared" si="84"/>
        <v>5914BJ PTS</v>
      </c>
      <c r="K899" s="919">
        <v>1</v>
      </c>
      <c r="L899" s="920">
        <f t="shared" si="85"/>
        <v>3840</v>
      </c>
      <c r="M899" s="920">
        <f t="shared" si="86"/>
        <v>14.535720959999999</v>
      </c>
      <c r="N899" s="920">
        <f t="shared" si="87"/>
        <v>16</v>
      </c>
      <c r="O899" s="918" t="str">
        <f t="shared" si="88"/>
        <v>Jan</v>
      </c>
      <c r="P899" s="921">
        <f t="shared" si="89"/>
        <v>4</v>
      </c>
    </row>
    <row r="900" spans="1:16" ht="15" hidden="1" customHeight="1">
      <c r="A900" s="839">
        <v>69988931</v>
      </c>
      <c r="B900" s="839">
        <v>2904</v>
      </c>
      <c r="C900" s="906">
        <v>4005</v>
      </c>
      <c r="D900" s="907">
        <v>46042</v>
      </c>
      <c r="E900" s="839" t="s">
        <v>363</v>
      </c>
      <c r="F900" s="839" t="s">
        <v>281</v>
      </c>
      <c r="G900" s="916">
        <f>VLOOKUP($A900,'Tech Litons'!$A:$I,8,FALSE)</f>
        <v>1.98E-3</v>
      </c>
      <c r="H900" s="917">
        <f>VLOOKUP($A900,'Tech Litons'!$A:$I,9,FALSE)</f>
        <v>176</v>
      </c>
      <c r="I900" s="917" t="str">
        <f>VLOOKUP($A900,'Tech Litons'!$A:$C,3,0)</f>
        <v>MG Sticks</v>
      </c>
      <c r="J900" s="918" t="str">
        <f t="shared" si="84"/>
        <v>2904MG Sticks</v>
      </c>
      <c r="K900" s="919">
        <v>1</v>
      </c>
      <c r="L900" s="920">
        <f t="shared" si="85"/>
        <v>4005</v>
      </c>
      <c r="M900" s="920">
        <f t="shared" si="86"/>
        <v>7.9298999999999999</v>
      </c>
      <c r="N900" s="920">
        <f t="shared" si="87"/>
        <v>22.755681818181817</v>
      </c>
      <c r="O900" s="918" t="str">
        <f t="shared" si="88"/>
        <v>Jan</v>
      </c>
      <c r="P900" s="921">
        <f t="shared" si="89"/>
        <v>4</v>
      </c>
    </row>
    <row r="901" spans="1:16" ht="15" hidden="1" customHeight="1">
      <c r="A901" s="839">
        <v>68817796</v>
      </c>
      <c r="B901" s="839">
        <v>1352</v>
      </c>
      <c r="C901" s="906">
        <v>4013</v>
      </c>
      <c r="D901" s="907">
        <v>46042</v>
      </c>
      <c r="E901" s="839" t="s">
        <v>263</v>
      </c>
      <c r="F901" s="839" t="s">
        <v>264</v>
      </c>
      <c r="G901" s="916">
        <f>VLOOKUP($A901,'Tech Litons'!$A:$I,8,FALSE)</f>
        <v>8.513999999999999E-3</v>
      </c>
      <c r="H901" s="917">
        <f>VLOOKUP($A901,'Tech Litons'!$A:$I,9,FALSE)</f>
        <v>176</v>
      </c>
      <c r="I901" s="917" t="str">
        <f>VLOOKUP($A901,'Tech Litons'!$A:$C,3,0)</f>
        <v>48oz</v>
      </c>
      <c r="J901" s="918" t="str">
        <f t="shared" si="84"/>
        <v>135248oz</v>
      </c>
      <c r="K901" s="919">
        <v>1</v>
      </c>
      <c r="L901" s="920">
        <f t="shared" si="85"/>
        <v>4013</v>
      </c>
      <c r="M901" s="920">
        <f t="shared" si="86"/>
        <v>34.166681999999994</v>
      </c>
      <c r="N901" s="920">
        <f t="shared" si="87"/>
        <v>22.801136363636363</v>
      </c>
      <c r="O901" s="918" t="str">
        <f t="shared" si="88"/>
        <v>Jan</v>
      </c>
      <c r="P901" s="921">
        <f t="shared" si="89"/>
        <v>4</v>
      </c>
    </row>
    <row r="902" spans="1:16" ht="15" hidden="1" customHeight="1">
      <c r="A902" s="839">
        <v>68300738</v>
      </c>
      <c r="B902" s="839">
        <v>1352</v>
      </c>
      <c r="C902" s="906">
        <v>4044</v>
      </c>
      <c r="D902" s="907">
        <v>46042</v>
      </c>
      <c r="E902" s="839" t="s">
        <v>325</v>
      </c>
      <c r="F902" s="839" t="s">
        <v>240</v>
      </c>
      <c r="G902" s="916">
        <f>VLOOKUP($A902,'Tech Litons'!$A:$I,8,FALSE)</f>
        <v>8.4960000000000001E-3</v>
      </c>
      <c r="H902" s="917">
        <f>VLOOKUP($A902,'Tech Litons'!$A:$I,9,FALSE)</f>
        <v>132</v>
      </c>
      <c r="I902" s="917" t="str">
        <f>VLOOKUP($A902,'Tech Litons'!$A:$C,3,0)</f>
        <v>EDF</v>
      </c>
      <c r="J902" s="918" t="str">
        <f t="shared" si="84"/>
        <v>1352EDF</v>
      </c>
      <c r="K902" s="919">
        <v>1</v>
      </c>
      <c r="L902" s="920">
        <f t="shared" si="85"/>
        <v>4044</v>
      </c>
      <c r="M902" s="920">
        <f t="shared" si="86"/>
        <v>34.357824000000001</v>
      </c>
      <c r="N902" s="920">
        <f t="shared" si="87"/>
        <v>30.636363636363637</v>
      </c>
      <c r="O902" s="918" t="str">
        <f t="shared" si="88"/>
        <v>Jan</v>
      </c>
      <c r="P902" s="921">
        <f t="shared" si="89"/>
        <v>4</v>
      </c>
    </row>
    <row r="903" spans="1:16" ht="15" hidden="1" customHeight="1">
      <c r="A903" s="839">
        <v>69717803</v>
      </c>
      <c r="B903" s="839">
        <v>2904</v>
      </c>
      <c r="C903" s="906">
        <v>4409</v>
      </c>
      <c r="D903" s="907">
        <v>46042</v>
      </c>
      <c r="E903" s="839" t="s">
        <v>362</v>
      </c>
      <c r="F903" s="839" t="s">
        <v>231</v>
      </c>
      <c r="G903" s="916">
        <f>VLOOKUP($A903,'Tech Litons'!$A:$I,8,FALSE)</f>
        <v>4.2560000000000002E-3</v>
      </c>
      <c r="H903" s="917">
        <f>VLOOKUP($A903,'Tech Litons'!$A:$I,9,FALSE)</f>
        <v>143</v>
      </c>
      <c r="I903" s="917" t="str">
        <f>VLOOKUP($A903,'Tech Litons'!$A:$C,3,0)</f>
        <v>MG Sticks</v>
      </c>
      <c r="J903" s="918" t="str">
        <f t="shared" si="84"/>
        <v>2904MG Sticks</v>
      </c>
      <c r="K903" s="919">
        <v>1</v>
      </c>
      <c r="L903" s="920">
        <f t="shared" si="85"/>
        <v>4409</v>
      </c>
      <c r="M903" s="920">
        <f t="shared" si="86"/>
        <v>18.764704000000002</v>
      </c>
      <c r="N903" s="920">
        <f t="shared" si="87"/>
        <v>30.832167832167833</v>
      </c>
      <c r="O903" s="918" t="str">
        <f t="shared" si="88"/>
        <v>Jan</v>
      </c>
      <c r="P903" s="921">
        <f t="shared" si="89"/>
        <v>4</v>
      </c>
    </row>
    <row r="904" spans="1:16" ht="15" hidden="1" customHeight="1">
      <c r="A904" s="839">
        <v>68817793</v>
      </c>
      <c r="B904" s="839">
        <v>1352</v>
      </c>
      <c r="C904" s="906">
        <v>4500</v>
      </c>
      <c r="D904" s="907">
        <v>46042</v>
      </c>
      <c r="E904" s="839" t="s">
        <v>353</v>
      </c>
      <c r="F904" s="839" t="s">
        <v>266</v>
      </c>
      <c r="G904" s="916">
        <f>VLOOKUP($A904,'Tech Litons'!$A:$I,8,FALSE)</f>
        <v>8.5199999999999998E-3</v>
      </c>
      <c r="H904" s="917">
        <f>VLOOKUP($A904,'Tech Litons'!$A:$I,9,FALSE)</f>
        <v>176</v>
      </c>
      <c r="I904" s="917" t="str">
        <f>VLOOKUP($A904,'Tech Litons'!$A:$C,3,0)</f>
        <v>48oz</v>
      </c>
      <c r="J904" s="918" t="str">
        <f t="shared" si="84"/>
        <v>135248oz</v>
      </c>
      <c r="K904" s="919">
        <v>1</v>
      </c>
      <c r="L904" s="920">
        <f t="shared" si="85"/>
        <v>4500</v>
      </c>
      <c r="M904" s="920">
        <f t="shared" si="86"/>
        <v>38.339999999999996</v>
      </c>
      <c r="N904" s="920">
        <f t="shared" si="87"/>
        <v>25.568181818181817</v>
      </c>
      <c r="O904" s="918" t="str">
        <f t="shared" si="88"/>
        <v>Jan</v>
      </c>
      <c r="P904" s="921">
        <f t="shared" si="89"/>
        <v>4</v>
      </c>
    </row>
    <row r="905" spans="1:16" ht="15" hidden="1" customHeight="1">
      <c r="A905" s="839">
        <v>64341968</v>
      </c>
      <c r="B905" s="839">
        <v>1352</v>
      </c>
      <c r="C905" s="906">
        <v>4576</v>
      </c>
      <c r="D905" s="907">
        <v>46042</v>
      </c>
      <c r="E905" s="839" t="s">
        <v>322</v>
      </c>
      <c r="F905" s="839" t="s">
        <v>261</v>
      </c>
      <c r="G905" s="916">
        <f>VLOOKUP($A905,'Tech Litons'!$A:$I,8,FALSE)</f>
        <v>8.5199999999999998E-3</v>
      </c>
      <c r="H905" s="917">
        <f>VLOOKUP($A905,'Tech Litons'!$A:$I,9,FALSE)</f>
        <v>176</v>
      </c>
      <c r="I905" s="917" t="str">
        <f>VLOOKUP($A905,'Tech Litons'!$A:$C,3,0)</f>
        <v>48oz</v>
      </c>
      <c r="J905" s="918" t="str">
        <f t="shared" si="84"/>
        <v>135248oz</v>
      </c>
      <c r="K905" s="919">
        <v>1</v>
      </c>
      <c r="L905" s="920">
        <f t="shared" si="85"/>
        <v>4576</v>
      </c>
      <c r="M905" s="920">
        <f t="shared" si="86"/>
        <v>38.987519999999996</v>
      </c>
      <c r="N905" s="920">
        <f t="shared" si="87"/>
        <v>26</v>
      </c>
      <c r="O905" s="918" t="str">
        <f t="shared" si="88"/>
        <v>Jan</v>
      </c>
      <c r="P905" s="921">
        <f t="shared" si="89"/>
        <v>4</v>
      </c>
    </row>
    <row r="906" spans="1:16" ht="15" hidden="1" customHeight="1">
      <c r="A906" s="839">
        <v>84144598</v>
      </c>
      <c r="B906" s="839">
        <v>2904</v>
      </c>
      <c r="C906" s="906">
        <v>4725</v>
      </c>
      <c r="D906" s="907">
        <v>46042</v>
      </c>
      <c r="E906" s="839" t="s">
        <v>364</v>
      </c>
      <c r="F906" s="839" t="s">
        <v>299</v>
      </c>
      <c r="G906" s="916">
        <f>VLOOKUP($A906,'Tech Litons'!$A:$I,8,FALSE)</f>
        <v>3.7853439999999999E-3</v>
      </c>
      <c r="H906" s="917">
        <f>VLOOKUP($A906,'Tech Litons'!$A:$I,9,FALSE)</f>
        <v>240</v>
      </c>
      <c r="I906" s="917" t="str">
        <f>VLOOKUP($A906,'Tech Litons'!$A:$C,3,0)</f>
        <v>BJ PTS</v>
      </c>
      <c r="J906" s="918" t="str">
        <f t="shared" si="84"/>
        <v>2904BJ PTS</v>
      </c>
      <c r="K906" s="919">
        <v>1</v>
      </c>
      <c r="L906" s="920">
        <f t="shared" si="85"/>
        <v>4725</v>
      </c>
      <c r="M906" s="920">
        <f t="shared" si="86"/>
        <v>17.885750399999999</v>
      </c>
      <c r="N906" s="920">
        <f t="shared" si="87"/>
        <v>19.6875</v>
      </c>
      <c r="O906" s="918" t="str">
        <f t="shared" si="88"/>
        <v>Jan</v>
      </c>
      <c r="P906" s="921">
        <f t="shared" si="89"/>
        <v>4</v>
      </c>
    </row>
    <row r="907" spans="1:16" ht="15" hidden="1" customHeight="1">
      <c r="A907" s="839">
        <v>68821735</v>
      </c>
      <c r="B907" s="839">
        <v>2904</v>
      </c>
      <c r="C907" s="906">
        <v>4854</v>
      </c>
      <c r="D907" s="907">
        <v>46042</v>
      </c>
      <c r="E907" s="839" t="s">
        <v>318</v>
      </c>
      <c r="F907" s="839" t="s">
        <v>269</v>
      </c>
      <c r="G907" s="916">
        <f>VLOOKUP($A907,'Tech Litons'!$A:$I,8,FALSE)</f>
        <v>8.5199999999999998E-3</v>
      </c>
      <c r="H907" s="917">
        <f>VLOOKUP($A907,'Tech Litons'!$A:$I,9,FALSE)</f>
        <v>176</v>
      </c>
      <c r="I907" s="917" t="str">
        <f>VLOOKUP($A907,'Tech Litons'!$A:$C,3,0)</f>
        <v>48oz</v>
      </c>
      <c r="J907" s="918" t="str">
        <f t="shared" si="84"/>
        <v>290448oz</v>
      </c>
      <c r="K907" s="919">
        <v>1</v>
      </c>
      <c r="L907" s="920">
        <f t="shared" si="85"/>
        <v>4854</v>
      </c>
      <c r="M907" s="920">
        <f t="shared" si="86"/>
        <v>41.356079999999999</v>
      </c>
      <c r="N907" s="920">
        <f t="shared" si="87"/>
        <v>27.579545454545453</v>
      </c>
      <c r="O907" s="918" t="str">
        <f t="shared" si="88"/>
        <v>Jan</v>
      </c>
      <c r="P907" s="921">
        <f t="shared" si="89"/>
        <v>4</v>
      </c>
    </row>
    <row r="908" spans="1:16" ht="15" hidden="1" customHeight="1">
      <c r="A908" s="839">
        <v>68689251</v>
      </c>
      <c r="B908" s="839">
        <v>1352</v>
      </c>
      <c r="C908" s="906">
        <v>5014</v>
      </c>
      <c r="D908" s="907">
        <v>46042</v>
      </c>
      <c r="E908" s="839" t="s">
        <v>262</v>
      </c>
      <c r="F908" s="839" t="s">
        <v>241</v>
      </c>
      <c r="G908" s="916">
        <f>VLOOKUP($A908,'Tech Litons'!$A:$I,8,FALSE)</f>
        <v>9.5760000000000012E-3</v>
      </c>
      <c r="H908" s="917">
        <f>VLOOKUP($A908,'Tech Litons'!$A:$I,9,FALSE)</f>
        <v>132</v>
      </c>
      <c r="I908" s="917" t="str">
        <f>VLOOKUP($A908,'Tech Litons'!$A:$C,3,0)</f>
        <v>EDF</v>
      </c>
      <c r="J908" s="918" t="str">
        <f t="shared" si="84"/>
        <v>1352EDF</v>
      </c>
      <c r="K908" s="919">
        <v>1</v>
      </c>
      <c r="L908" s="920">
        <f t="shared" si="85"/>
        <v>5014</v>
      </c>
      <c r="M908" s="920">
        <f t="shared" si="86"/>
        <v>48.014064000000005</v>
      </c>
      <c r="N908" s="920">
        <f t="shared" si="87"/>
        <v>37.984848484848484</v>
      </c>
      <c r="O908" s="918" t="str">
        <f t="shared" si="88"/>
        <v>Jan</v>
      </c>
      <c r="P908" s="921">
        <f t="shared" si="89"/>
        <v>4</v>
      </c>
    </row>
    <row r="909" spans="1:16" ht="15" hidden="1" customHeight="1">
      <c r="A909" s="839">
        <v>64988055</v>
      </c>
      <c r="B909" s="839">
        <v>2904</v>
      </c>
      <c r="C909" s="906">
        <v>5074</v>
      </c>
      <c r="D909" s="907">
        <v>46042</v>
      </c>
      <c r="E909" s="839" t="s">
        <v>360</v>
      </c>
      <c r="F909" s="839" t="s">
        <v>271</v>
      </c>
      <c r="G909" s="916">
        <f>VLOOKUP($A909,'Tech Litons'!$A:$I,8,FALSE)</f>
        <v>8.513999999999999E-3</v>
      </c>
      <c r="H909" s="917">
        <f>VLOOKUP($A909,'Tech Litons'!$A:$I,9,FALSE)</f>
        <v>176</v>
      </c>
      <c r="I909" s="917" t="str">
        <f>VLOOKUP($A909,'Tech Litons'!$A:$C,3,0)</f>
        <v>48oz</v>
      </c>
      <c r="J909" s="918" t="str">
        <f t="shared" si="84"/>
        <v>290448oz</v>
      </c>
      <c r="K909" s="919">
        <v>1</v>
      </c>
      <c r="L909" s="920">
        <f t="shared" si="85"/>
        <v>5074</v>
      </c>
      <c r="M909" s="920">
        <f t="shared" si="86"/>
        <v>43.200035999999997</v>
      </c>
      <c r="N909" s="920">
        <f t="shared" si="87"/>
        <v>28.829545454545453</v>
      </c>
      <c r="O909" s="918" t="str">
        <f t="shared" si="88"/>
        <v>Jan</v>
      </c>
      <c r="P909" s="921">
        <f t="shared" si="89"/>
        <v>4</v>
      </c>
    </row>
    <row r="910" spans="1:16" ht="15" hidden="1" customHeight="1">
      <c r="A910" s="839">
        <v>68817796</v>
      </c>
      <c r="B910" s="839">
        <v>1352</v>
      </c>
      <c r="C910" s="906">
        <v>5456</v>
      </c>
      <c r="D910" s="907">
        <v>46042</v>
      </c>
      <c r="E910" s="839" t="s">
        <v>263</v>
      </c>
      <c r="F910" s="839" t="s">
        <v>264</v>
      </c>
      <c r="G910" s="916">
        <f>VLOOKUP($A910,'Tech Litons'!$A:$I,8,FALSE)</f>
        <v>8.513999999999999E-3</v>
      </c>
      <c r="H910" s="917">
        <f>VLOOKUP($A910,'Tech Litons'!$A:$I,9,FALSE)</f>
        <v>176</v>
      </c>
      <c r="I910" s="917" t="str">
        <f>VLOOKUP($A910,'Tech Litons'!$A:$C,3,0)</f>
        <v>48oz</v>
      </c>
      <c r="J910" s="918" t="str">
        <f t="shared" si="84"/>
        <v>135248oz</v>
      </c>
      <c r="K910" s="919">
        <v>1</v>
      </c>
      <c r="L910" s="920">
        <f t="shared" si="85"/>
        <v>5456</v>
      </c>
      <c r="M910" s="920">
        <f t="shared" si="86"/>
        <v>46.452383999999995</v>
      </c>
      <c r="N910" s="920">
        <f t="shared" si="87"/>
        <v>31</v>
      </c>
      <c r="O910" s="918" t="str">
        <f t="shared" si="88"/>
        <v>Jan</v>
      </c>
      <c r="P910" s="921">
        <f t="shared" si="89"/>
        <v>4</v>
      </c>
    </row>
    <row r="911" spans="1:16" ht="15" hidden="1" customHeight="1">
      <c r="A911" s="839">
        <v>64874633</v>
      </c>
      <c r="B911" s="839">
        <v>3910</v>
      </c>
      <c r="C911" s="906">
        <v>5880</v>
      </c>
      <c r="D911" s="907">
        <v>46042</v>
      </c>
      <c r="E911" s="839" t="s">
        <v>341</v>
      </c>
      <c r="F911" s="839" t="s">
        <v>342</v>
      </c>
      <c r="G911" s="916">
        <f>VLOOKUP($A911,'Tech Litons'!$A:$I,8,FALSE)</f>
        <v>3.192E-3</v>
      </c>
      <c r="H911" s="917">
        <f>VLOOKUP($A911,'Tech Litons'!$A:$I,9,FALSE)</f>
        <v>280</v>
      </c>
      <c r="I911" s="917" t="str">
        <f>VLOOKUP($A911,'Tech Litons'!$A:$C,3,0)</f>
        <v>ESS</v>
      </c>
      <c r="J911" s="918" t="str">
        <f t="shared" si="84"/>
        <v>3910ESS</v>
      </c>
      <c r="K911" s="919">
        <v>1</v>
      </c>
      <c r="L911" s="920">
        <f t="shared" si="85"/>
        <v>5880</v>
      </c>
      <c r="M911" s="920">
        <f t="shared" si="86"/>
        <v>18.76896</v>
      </c>
      <c r="N911" s="920">
        <f t="shared" si="87"/>
        <v>21</v>
      </c>
      <c r="O911" s="918" t="str">
        <f t="shared" si="88"/>
        <v>Jan</v>
      </c>
      <c r="P911" s="921">
        <f t="shared" si="89"/>
        <v>4</v>
      </c>
    </row>
    <row r="912" spans="1:16" ht="15" hidden="1" customHeight="1">
      <c r="A912" s="839">
        <v>68867744</v>
      </c>
      <c r="B912" s="839">
        <v>2904</v>
      </c>
      <c r="C912" s="906">
        <v>6120</v>
      </c>
      <c r="D912" s="907">
        <v>46042</v>
      </c>
      <c r="E912" s="839" t="s">
        <v>306</v>
      </c>
      <c r="F912" s="839" t="s">
        <v>275</v>
      </c>
      <c r="G912" s="916">
        <f>VLOOKUP($A912,'Tech Litons'!$A:$I,8,FALSE)</f>
        <v>3.552E-3</v>
      </c>
      <c r="H912" s="917">
        <f>VLOOKUP($A912,'Tech Litons'!$A:$I,9,FALSE)</f>
        <v>255</v>
      </c>
      <c r="I912" s="917" t="str">
        <f>VLOOKUP($A912,'Tech Litons'!$A:$C,3,0)</f>
        <v>Talenti</v>
      </c>
      <c r="J912" s="918" t="str">
        <f t="shared" si="84"/>
        <v>2904Talenti</v>
      </c>
      <c r="K912" s="919">
        <v>1</v>
      </c>
      <c r="L912" s="920">
        <f t="shared" si="85"/>
        <v>6120</v>
      </c>
      <c r="M912" s="920">
        <f t="shared" si="86"/>
        <v>21.738240000000001</v>
      </c>
      <c r="N912" s="920">
        <f t="shared" si="87"/>
        <v>24</v>
      </c>
      <c r="O912" s="918" t="str">
        <f t="shared" si="88"/>
        <v>Jan</v>
      </c>
      <c r="P912" s="921">
        <f t="shared" si="89"/>
        <v>4</v>
      </c>
    </row>
    <row r="913" spans="1:16" ht="15" hidden="1" customHeight="1">
      <c r="A913" s="839">
        <v>64958128</v>
      </c>
      <c r="B913" s="839">
        <v>2904</v>
      </c>
      <c r="C913" s="906">
        <v>6439</v>
      </c>
      <c r="D913" s="907">
        <v>46042</v>
      </c>
      <c r="E913" s="839" t="s">
        <v>235</v>
      </c>
      <c r="F913" s="839" t="s">
        <v>234</v>
      </c>
      <c r="G913" s="916">
        <f>VLOOKUP($A913,'Tech Litons'!$A:$I,8,FALSE)</f>
        <v>3.3119999999999998E-3</v>
      </c>
      <c r="H913" s="917">
        <f>VLOOKUP($A913,'Tech Litons'!$A:$I,9,FALSE)</f>
        <v>165</v>
      </c>
      <c r="I913" s="917" t="str">
        <f>VLOOKUP($A913,'Tech Litons'!$A:$C,3,0)</f>
        <v>Yasso Sticks</v>
      </c>
      <c r="J913" s="918" t="str">
        <f t="shared" si="84"/>
        <v>2904Yasso Sticks</v>
      </c>
      <c r="K913" s="919">
        <v>1</v>
      </c>
      <c r="L913" s="920">
        <f t="shared" si="85"/>
        <v>6439</v>
      </c>
      <c r="M913" s="920">
        <f t="shared" si="86"/>
        <v>21.325968</v>
      </c>
      <c r="N913" s="920">
        <f t="shared" si="87"/>
        <v>39.024242424242424</v>
      </c>
      <c r="O913" s="918" t="str">
        <f t="shared" si="88"/>
        <v>Jan</v>
      </c>
      <c r="P913" s="921">
        <f t="shared" si="89"/>
        <v>4</v>
      </c>
    </row>
    <row r="914" spans="1:16" ht="15" hidden="1" customHeight="1">
      <c r="A914" s="839">
        <v>68851107</v>
      </c>
      <c r="B914" s="839">
        <v>2904</v>
      </c>
      <c r="C914" s="906">
        <v>6575</v>
      </c>
      <c r="D914" s="907">
        <v>46042</v>
      </c>
      <c r="E914" s="839" t="s">
        <v>272</v>
      </c>
      <c r="F914" s="839" t="s">
        <v>273</v>
      </c>
      <c r="G914" s="916">
        <f>VLOOKUP($A914,'Tech Litons'!$A:$I,8,FALSE)</f>
        <v>8.5199999999999998E-3</v>
      </c>
      <c r="H914" s="917">
        <f>VLOOKUP($A914,'Tech Litons'!$A:$I,9,FALSE)</f>
        <v>176</v>
      </c>
      <c r="I914" s="917" t="str">
        <f>VLOOKUP($A914,'Tech Litons'!$A:$C,3,0)</f>
        <v>48oz</v>
      </c>
      <c r="J914" s="918" t="str">
        <f t="shared" ref="J914:J977" si="90">B914&amp;I914</f>
        <v>290448oz</v>
      </c>
      <c r="K914" s="919">
        <v>1</v>
      </c>
      <c r="L914" s="920">
        <f t="shared" ref="L914:L977" si="91">C914*$K914</f>
        <v>6575</v>
      </c>
      <c r="M914" s="920">
        <f t="shared" ref="M914:M977" si="92">L914*G914</f>
        <v>56.018999999999998</v>
      </c>
      <c r="N914" s="920">
        <f t="shared" ref="N914:N977" si="93">L914/H914</f>
        <v>37.357954545454547</v>
      </c>
      <c r="O914" s="918" t="str">
        <f t="shared" ref="O914:O977" si="94">TEXT(D914,"MMM")</f>
        <v>Jan</v>
      </c>
      <c r="P914" s="921">
        <f t="shared" ref="P914:P977" si="95">WEEKNUM(D914)</f>
        <v>4</v>
      </c>
    </row>
    <row r="915" spans="1:16" ht="15" hidden="1" customHeight="1">
      <c r="A915" s="839">
        <v>68867744</v>
      </c>
      <c r="B915" s="839">
        <v>2904</v>
      </c>
      <c r="C915" s="906">
        <v>7191</v>
      </c>
      <c r="D915" s="907">
        <v>46042</v>
      </c>
      <c r="E915" s="839" t="s">
        <v>306</v>
      </c>
      <c r="F915" s="839" t="s">
        <v>275</v>
      </c>
      <c r="G915" s="916">
        <f>VLOOKUP($A915,'Tech Litons'!$A:$I,8,FALSE)</f>
        <v>3.552E-3</v>
      </c>
      <c r="H915" s="917">
        <f>VLOOKUP($A915,'Tech Litons'!$A:$I,9,FALSE)</f>
        <v>255</v>
      </c>
      <c r="I915" s="917" t="str">
        <f>VLOOKUP($A915,'Tech Litons'!$A:$C,3,0)</f>
        <v>Talenti</v>
      </c>
      <c r="J915" s="918" t="str">
        <f t="shared" si="90"/>
        <v>2904Talenti</v>
      </c>
      <c r="K915" s="919">
        <v>1</v>
      </c>
      <c r="L915" s="920">
        <f t="shared" si="91"/>
        <v>7191</v>
      </c>
      <c r="M915" s="920">
        <f t="shared" si="92"/>
        <v>25.542432000000002</v>
      </c>
      <c r="N915" s="920">
        <f t="shared" si="93"/>
        <v>28.2</v>
      </c>
      <c r="O915" s="918" t="str">
        <f t="shared" si="94"/>
        <v>Jan</v>
      </c>
      <c r="P915" s="921">
        <f t="shared" si="95"/>
        <v>4</v>
      </c>
    </row>
    <row r="916" spans="1:16" ht="15" hidden="1" customHeight="1">
      <c r="A916" s="839">
        <v>68930545</v>
      </c>
      <c r="B916" s="839">
        <v>1352</v>
      </c>
      <c r="C916" s="906">
        <v>7345</v>
      </c>
      <c r="D916" s="907">
        <v>46042</v>
      </c>
      <c r="E916" s="839" t="s">
        <v>349</v>
      </c>
      <c r="F916" s="839" t="s">
        <v>290</v>
      </c>
      <c r="G916" s="916">
        <f>VLOOKUP($A916,'Tech Litons'!$A:$I,8,FALSE)</f>
        <v>8.5199999999999998E-3</v>
      </c>
      <c r="H916" s="917">
        <f>VLOOKUP($A916,'Tech Litons'!$A:$I,9,FALSE)</f>
        <v>176</v>
      </c>
      <c r="I916" s="917" t="str">
        <f>VLOOKUP($A916,'Tech Litons'!$A:$C,3,0)</f>
        <v>48oz</v>
      </c>
      <c r="J916" s="918" t="str">
        <f t="shared" si="90"/>
        <v>135248oz</v>
      </c>
      <c r="K916" s="919">
        <v>1</v>
      </c>
      <c r="L916" s="920">
        <f t="shared" si="91"/>
        <v>7345</v>
      </c>
      <c r="M916" s="920">
        <f t="shared" si="92"/>
        <v>62.5794</v>
      </c>
      <c r="N916" s="920">
        <f t="shared" si="93"/>
        <v>41.732954545454547</v>
      </c>
      <c r="O916" s="918" t="str">
        <f t="shared" si="94"/>
        <v>Jan</v>
      </c>
      <c r="P916" s="921">
        <f t="shared" si="95"/>
        <v>4</v>
      </c>
    </row>
    <row r="917" spans="1:16" ht="15" hidden="1" customHeight="1">
      <c r="A917" s="839">
        <v>68851107</v>
      </c>
      <c r="B917" s="839">
        <v>2904</v>
      </c>
      <c r="C917" s="906">
        <v>7398</v>
      </c>
      <c r="D917" s="907">
        <v>46042</v>
      </c>
      <c r="E917" s="839" t="s">
        <v>272</v>
      </c>
      <c r="F917" s="839" t="s">
        <v>273</v>
      </c>
      <c r="G917" s="916">
        <f>VLOOKUP($A917,'Tech Litons'!$A:$I,8,FALSE)</f>
        <v>8.5199999999999998E-3</v>
      </c>
      <c r="H917" s="917">
        <f>VLOOKUP($A917,'Tech Litons'!$A:$I,9,FALSE)</f>
        <v>176</v>
      </c>
      <c r="I917" s="917" t="str">
        <f>VLOOKUP($A917,'Tech Litons'!$A:$C,3,0)</f>
        <v>48oz</v>
      </c>
      <c r="J917" s="918" t="str">
        <f t="shared" si="90"/>
        <v>290448oz</v>
      </c>
      <c r="K917" s="919">
        <v>1</v>
      </c>
      <c r="L917" s="920">
        <f t="shared" si="91"/>
        <v>7398</v>
      </c>
      <c r="M917" s="920">
        <f t="shared" si="92"/>
        <v>63.03096</v>
      </c>
      <c r="N917" s="920">
        <f t="shared" si="93"/>
        <v>42.034090909090907</v>
      </c>
      <c r="O917" s="918" t="str">
        <f t="shared" si="94"/>
        <v>Jan</v>
      </c>
      <c r="P917" s="921">
        <f t="shared" si="95"/>
        <v>4</v>
      </c>
    </row>
    <row r="918" spans="1:16" ht="15" hidden="1" customHeight="1">
      <c r="A918" s="839">
        <v>64958128</v>
      </c>
      <c r="B918" s="839">
        <v>2904</v>
      </c>
      <c r="C918" s="906">
        <v>7590</v>
      </c>
      <c r="D918" s="907">
        <v>46042</v>
      </c>
      <c r="E918" s="839" t="s">
        <v>235</v>
      </c>
      <c r="F918" s="839" t="s">
        <v>234</v>
      </c>
      <c r="G918" s="916">
        <f>VLOOKUP($A918,'Tech Litons'!$A:$I,8,FALSE)</f>
        <v>3.3119999999999998E-3</v>
      </c>
      <c r="H918" s="917">
        <f>VLOOKUP($A918,'Tech Litons'!$A:$I,9,FALSE)</f>
        <v>165</v>
      </c>
      <c r="I918" s="917" t="str">
        <f>VLOOKUP($A918,'Tech Litons'!$A:$C,3,0)</f>
        <v>Yasso Sticks</v>
      </c>
      <c r="J918" s="918" t="str">
        <f t="shared" si="90"/>
        <v>2904Yasso Sticks</v>
      </c>
      <c r="K918" s="919">
        <v>1</v>
      </c>
      <c r="L918" s="920">
        <f t="shared" si="91"/>
        <v>7590</v>
      </c>
      <c r="M918" s="920">
        <f t="shared" si="92"/>
        <v>25.138079999999999</v>
      </c>
      <c r="N918" s="920">
        <f t="shared" si="93"/>
        <v>46</v>
      </c>
      <c r="O918" s="918" t="str">
        <f t="shared" si="94"/>
        <v>Jan</v>
      </c>
      <c r="P918" s="921">
        <f t="shared" si="95"/>
        <v>4</v>
      </c>
    </row>
    <row r="919" spans="1:16" ht="15" hidden="1" customHeight="1">
      <c r="A919" s="839">
        <v>68354586</v>
      </c>
      <c r="B919" s="839">
        <v>2904</v>
      </c>
      <c r="C919" s="906">
        <v>7678</v>
      </c>
      <c r="D919" s="907">
        <v>46042</v>
      </c>
      <c r="E919" s="839" t="s">
        <v>361</v>
      </c>
      <c r="F919" s="839" t="s">
        <v>40</v>
      </c>
      <c r="G919" s="916">
        <f>VLOOKUP($A919,'Tech Litons'!$A:$I,8,FALSE)</f>
        <v>3.5999999999999999E-3</v>
      </c>
      <c r="H919" s="917">
        <f>VLOOKUP($A919,'Tech Litons'!$A:$I,9,FALSE)</f>
        <v>240</v>
      </c>
      <c r="I919" s="917" t="str">
        <f>VLOOKUP($A919,'Tech Litons'!$A:$C,3,0)</f>
        <v>Topped</v>
      </c>
      <c r="J919" s="918" t="str">
        <f t="shared" si="90"/>
        <v>2904Topped</v>
      </c>
      <c r="K919" s="919">
        <v>1</v>
      </c>
      <c r="L919" s="920">
        <f t="shared" si="91"/>
        <v>7678</v>
      </c>
      <c r="M919" s="920">
        <f t="shared" si="92"/>
        <v>27.640799999999999</v>
      </c>
      <c r="N919" s="920">
        <f t="shared" si="93"/>
        <v>31.991666666666667</v>
      </c>
      <c r="O919" s="918" t="str">
        <f t="shared" si="94"/>
        <v>Jan</v>
      </c>
      <c r="P919" s="921">
        <f t="shared" si="95"/>
        <v>4</v>
      </c>
    </row>
    <row r="920" spans="1:16" ht="15" hidden="1" customHeight="1">
      <c r="A920" s="839">
        <v>68354586</v>
      </c>
      <c r="B920" s="839">
        <v>2904</v>
      </c>
      <c r="C920" s="906">
        <v>8800</v>
      </c>
      <c r="D920" s="907">
        <v>46042</v>
      </c>
      <c r="E920" s="839" t="s">
        <v>361</v>
      </c>
      <c r="F920" s="839" t="s">
        <v>40</v>
      </c>
      <c r="G920" s="916">
        <f>VLOOKUP($A920,'Tech Litons'!$A:$I,8,FALSE)</f>
        <v>3.5999999999999999E-3</v>
      </c>
      <c r="H920" s="917">
        <f>VLOOKUP($A920,'Tech Litons'!$A:$I,9,FALSE)</f>
        <v>240</v>
      </c>
      <c r="I920" s="917" t="str">
        <f>VLOOKUP($A920,'Tech Litons'!$A:$C,3,0)</f>
        <v>Topped</v>
      </c>
      <c r="J920" s="918" t="str">
        <f t="shared" si="90"/>
        <v>2904Topped</v>
      </c>
      <c r="K920" s="919">
        <v>1</v>
      </c>
      <c r="L920" s="920">
        <f t="shared" si="91"/>
        <v>8800</v>
      </c>
      <c r="M920" s="920">
        <f t="shared" si="92"/>
        <v>31.68</v>
      </c>
      <c r="N920" s="920">
        <f t="shared" si="93"/>
        <v>36.666666666666664</v>
      </c>
      <c r="O920" s="918" t="str">
        <f t="shared" si="94"/>
        <v>Jan</v>
      </c>
      <c r="P920" s="921">
        <f t="shared" si="95"/>
        <v>4</v>
      </c>
    </row>
    <row r="921" spans="1:16" ht="15" hidden="1" customHeight="1">
      <c r="A921" s="839">
        <v>64330611</v>
      </c>
      <c r="B921" s="839">
        <v>2904</v>
      </c>
      <c r="C921" s="906">
        <v>9138</v>
      </c>
      <c r="D921" s="907">
        <v>46042</v>
      </c>
      <c r="E921" s="839" t="s">
        <v>354</v>
      </c>
      <c r="F921" s="839" t="s">
        <v>283</v>
      </c>
      <c r="G921" s="916">
        <f>VLOOKUP($A921,'Tech Litons'!$A:$I,8,FALSE)</f>
        <v>2.16E-3</v>
      </c>
      <c r="H921" s="917">
        <f>VLOOKUP($A921,'Tech Litons'!$A:$I,9,FALSE)</f>
        <v>210</v>
      </c>
      <c r="I921" s="917" t="str">
        <f>VLOOKUP($A921,'Tech Litons'!$A:$C,3,0)</f>
        <v>MG Sticks</v>
      </c>
      <c r="J921" s="918" t="str">
        <f t="shared" si="90"/>
        <v>2904MG Sticks</v>
      </c>
      <c r="K921" s="919">
        <v>1</v>
      </c>
      <c r="L921" s="920">
        <f t="shared" si="91"/>
        <v>9138</v>
      </c>
      <c r="M921" s="920">
        <f t="shared" si="92"/>
        <v>19.73808</v>
      </c>
      <c r="N921" s="920">
        <f t="shared" si="93"/>
        <v>43.514285714285712</v>
      </c>
      <c r="O921" s="918" t="str">
        <f t="shared" si="94"/>
        <v>Jan</v>
      </c>
      <c r="P921" s="921">
        <f t="shared" si="95"/>
        <v>4</v>
      </c>
    </row>
    <row r="922" spans="1:16" ht="15" hidden="1" customHeight="1">
      <c r="A922" s="839">
        <v>64330611</v>
      </c>
      <c r="B922" s="839">
        <v>2904</v>
      </c>
      <c r="C922" s="906">
        <v>9658</v>
      </c>
      <c r="D922" s="907">
        <v>46042</v>
      </c>
      <c r="E922" s="839" t="s">
        <v>354</v>
      </c>
      <c r="F922" s="839" t="s">
        <v>283</v>
      </c>
      <c r="G922" s="916">
        <f>VLOOKUP($A922,'Tech Litons'!$A:$I,8,FALSE)</f>
        <v>2.16E-3</v>
      </c>
      <c r="H922" s="917">
        <f>VLOOKUP($A922,'Tech Litons'!$A:$I,9,FALSE)</f>
        <v>210</v>
      </c>
      <c r="I922" s="917" t="str">
        <f>VLOOKUP($A922,'Tech Litons'!$A:$C,3,0)</f>
        <v>MG Sticks</v>
      </c>
      <c r="J922" s="918" t="str">
        <f t="shared" si="90"/>
        <v>2904MG Sticks</v>
      </c>
      <c r="K922" s="919">
        <v>1</v>
      </c>
      <c r="L922" s="920">
        <f t="shared" si="91"/>
        <v>9658</v>
      </c>
      <c r="M922" s="920">
        <f t="shared" si="92"/>
        <v>20.861280000000001</v>
      </c>
      <c r="N922" s="920">
        <f t="shared" si="93"/>
        <v>45.990476190476187</v>
      </c>
      <c r="O922" s="918" t="str">
        <f t="shared" si="94"/>
        <v>Jan</v>
      </c>
      <c r="P922" s="921">
        <f t="shared" si="95"/>
        <v>4</v>
      </c>
    </row>
    <row r="923" spans="1:16" ht="15" hidden="1" customHeight="1">
      <c r="A923" s="839">
        <v>65431089</v>
      </c>
      <c r="B923" s="839">
        <v>2904</v>
      </c>
      <c r="C923" s="906">
        <v>16744</v>
      </c>
      <c r="D923" s="907">
        <v>46042</v>
      </c>
      <c r="E923" s="839" t="s">
        <v>368</v>
      </c>
      <c r="F923" s="839" t="s">
        <v>277</v>
      </c>
      <c r="G923" s="916">
        <f>VLOOKUP($A923,'Tech Litons'!$A:$I,8,FALSE)</f>
        <v>3.7839999999999996E-3</v>
      </c>
      <c r="H923" s="917">
        <f>VLOOKUP($A923,'Tech Litons'!$A:$I,9,FALSE)</f>
        <v>255</v>
      </c>
      <c r="I923" s="917" t="str">
        <f>VLOOKUP($A923,'Tech Litons'!$A:$C,3,0)</f>
        <v>Talenti</v>
      </c>
      <c r="J923" s="918" t="str">
        <f t="shared" si="90"/>
        <v>2904Talenti</v>
      </c>
      <c r="K923" s="919">
        <v>1</v>
      </c>
      <c r="L923" s="920">
        <f t="shared" si="91"/>
        <v>16744</v>
      </c>
      <c r="M923" s="920">
        <f t="shared" si="92"/>
        <v>63.359295999999993</v>
      </c>
      <c r="N923" s="920">
        <f t="shared" si="93"/>
        <v>65.66274509803921</v>
      </c>
      <c r="O923" s="918" t="str">
        <f t="shared" si="94"/>
        <v>Jan</v>
      </c>
      <c r="P923" s="921">
        <f t="shared" si="95"/>
        <v>4</v>
      </c>
    </row>
    <row r="924" spans="1:16" ht="15" hidden="1" customHeight="1">
      <c r="A924" s="839">
        <v>84137725</v>
      </c>
      <c r="B924" s="839">
        <v>5914</v>
      </c>
      <c r="C924" s="906">
        <v>17671</v>
      </c>
      <c r="D924" s="907">
        <v>46042</v>
      </c>
      <c r="E924" s="839" t="s">
        <v>278</v>
      </c>
      <c r="F924" s="839" t="s">
        <v>304</v>
      </c>
      <c r="G924" s="916">
        <f>VLOOKUP($A924,'Tech Litons'!$A:$I,8,FALSE)</f>
        <v>3.7853439999999999E-3</v>
      </c>
      <c r="H924" s="917">
        <f>VLOOKUP($A924,'Tech Litons'!$A:$I,9,FALSE)</f>
        <v>240</v>
      </c>
      <c r="I924" s="917" t="str">
        <f>VLOOKUP($A924,'Tech Litons'!$A:$C,3,0)</f>
        <v>BJ PTS</v>
      </c>
      <c r="J924" s="918" t="str">
        <f t="shared" si="90"/>
        <v>5914BJ PTS</v>
      </c>
      <c r="K924" s="919">
        <v>1</v>
      </c>
      <c r="L924" s="920">
        <f t="shared" si="91"/>
        <v>17671</v>
      </c>
      <c r="M924" s="920">
        <f t="shared" si="92"/>
        <v>66.890813824000006</v>
      </c>
      <c r="N924" s="920">
        <f t="shared" si="93"/>
        <v>73.629166666666663</v>
      </c>
      <c r="O924" s="918" t="str">
        <f t="shared" si="94"/>
        <v>Jan</v>
      </c>
      <c r="P924" s="921">
        <f t="shared" si="95"/>
        <v>4</v>
      </c>
    </row>
    <row r="925" spans="1:16" ht="15" hidden="1" customHeight="1">
      <c r="A925" s="839">
        <v>84141094</v>
      </c>
      <c r="B925" s="839">
        <v>5914</v>
      </c>
      <c r="C925" s="906">
        <v>22367</v>
      </c>
      <c r="D925" s="907">
        <v>46042</v>
      </c>
      <c r="E925" s="839" t="s">
        <v>393</v>
      </c>
      <c r="F925" s="839" t="s">
        <v>279</v>
      </c>
      <c r="G925" s="916">
        <f>VLOOKUP($A925,'Tech Litons'!$A:$I,8,FALSE)</f>
        <v>3.7839999999999996E-3</v>
      </c>
      <c r="H925" s="917">
        <f>VLOOKUP($A925,'Tech Litons'!$A:$I,9,FALSE)</f>
        <v>240</v>
      </c>
      <c r="I925" s="917" t="str">
        <f>VLOOKUP($A925,'Tech Litons'!$A:$C,3,0)</f>
        <v>BJ PTS</v>
      </c>
      <c r="J925" s="918" t="str">
        <f t="shared" si="90"/>
        <v>5914BJ PTS</v>
      </c>
      <c r="K925" s="919">
        <v>1</v>
      </c>
      <c r="L925" s="920">
        <f t="shared" si="91"/>
        <v>22367</v>
      </c>
      <c r="M925" s="920">
        <f t="shared" si="92"/>
        <v>84.636727999999991</v>
      </c>
      <c r="N925" s="920">
        <f t="shared" si="93"/>
        <v>93.19583333333334</v>
      </c>
      <c r="O925" s="918" t="str">
        <f t="shared" si="94"/>
        <v>Jan</v>
      </c>
      <c r="P925" s="921">
        <f t="shared" si="95"/>
        <v>4</v>
      </c>
    </row>
    <row r="926" spans="1:16" ht="15" hidden="1" customHeight="1">
      <c r="A926" s="839">
        <v>84144598</v>
      </c>
      <c r="B926" s="839">
        <v>5914</v>
      </c>
      <c r="C926" s="906">
        <v>44114</v>
      </c>
      <c r="D926" s="907">
        <v>46042</v>
      </c>
      <c r="E926" s="839" t="s">
        <v>364</v>
      </c>
      <c r="F926" s="839" t="s">
        <v>303</v>
      </c>
      <c r="G926" s="916">
        <f>VLOOKUP($A926,'Tech Litons'!$A:$I,8,FALSE)</f>
        <v>3.7853439999999999E-3</v>
      </c>
      <c r="H926" s="917">
        <f>VLOOKUP($A926,'Tech Litons'!$A:$I,9,FALSE)</f>
        <v>240</v>
      </c>
      <c r="I926" s="917" t="str">
        <f>VLOOKUP($A926,'Tech Litons'!$A:$C,3,0)</f>
        <v>BJ PTS</v>
      </c>
      <c r="J926" s="918" t="str">
        <f t="shared" si="90"/>
        <v>5914BJ PTS</v>
      </c>
      <c r="K926" s="919">
        <v>1</v>
      </c>
      <c r="L926" s="920">
        <f t="shared" si="91"/>
        <v>44114</v>
      </c>
      <c r="M926" s="920">
        <f t="shared" si="92"/>
        <v>166.98666521600001</v>
      </c>
      <c r="N926" s="920">
        <f t="shared" si="93"/>
        <v>183.80833333333334</v>
      </c>
      <c r="O926" s="918" t="str">
        <f t="shared" si="94"/>
        <v>Jan</v>
      </c>
      <c r="P926" s="921">
        <f t="shared" si="95"/>
        <v>4</v>
      </c>
    </row>
    <row r="927" spans="1:16" ht="15" hidden="1" customHeight="1">
      <c r="A927" s="839">
        <v>84144598</v>
      </c>
      <c r="B927" s="839">
        <v>5914</v>
      </c>
      <c r="C927" s="906">
        <v>-15840</v>
      </c>
      <c r="D927" s="907">
        <v>46043</v>
      </c>
      <c r="E927" s="839" t="s">
        <v>364</v>
      </c>
      <c r="F927" s="839" t="s">
        <v>303</v>
      </c>
      <c r="G927" s="916">
        <f>VLOOKUP($A927,'Tech Litons'!$A:$I,8,FALSE)</f>
        <v>3.7853439999999999E-3</v>
      </c>
      <c r="H927" s="917">
        <f>VLOOKUP($A927,'Tech Litons'!$A:$I,9,FALSE)</f>
        <v>240</v>
      </c>
      <c r="I927" s="917" t="str">
        <f>VLOOKUP($A927,'Tech Litons'!$A:$C,3,0)</f>
        <v>BJ PTS</v>
      </c>
      <c r="J927" s="918" t="str">
        <f t="shared" si="90"/>
        <v>5914BJ PTS</v>
      </c>
      <c r="K927" s="919">
        <v>1</v>
      </c>
      <c r="L927" s="920">
        <f t="shared" si="91"/>
        <v>-15840</v>
      </c>
      <c r="M927" s="920">
        <f t="shared" si="92"/>
        <v>-59.959848960000002</v>
      </c>
      <c r="N927" s="920">
        <f t="shared" si="93"/>
        <v>-66</v>
      </c>
      <c r="O927" s="918" t="str">
        <f t="shared" si="94"/>
        <v>Jan</v>
      </c>
      <c r="P927" s="921">
        <f t="shared" si="95"/>
        <v>4</v>
      </c>
    </row>
    <row r="928" spans="1:16" ht="15" hidden="1" customHeight="1">
      <c r="A928" s="839">
        <v>68817801</v>
      </c>
      <c r="B928" s="839">
        <v>2904</v>
      </c>
      <c r="C928" s="906">
        <v>-528</v>
      </c>
      <c r="D928" s="907">
        <v>46043</v>
      </c>
      <c r="E928" s="839" t="s">
        <v>333</v>
      </c>
      <c r="F928" s="839" t="s">
        <v>269</v>
      </c>
      <c r="G928" s="916">
        <f>VLOOKUP($A928,'Tech Litons'!$A:$I,8,FALSE)</f>
        <v>8.5199999999999998E-3</v>
      </c>
      <c r="H928" s="917">
        <f>VLOOKUP($A928,'Tech Litons'!$A:$I,9,FALSE)</f>
        <v>176</v>
      </c>
      <c r="I928" s="917" t="str">
        <f>VLOOKUP($A928,'Tech Litons'!$A:$C,3,0)</f>
        <v>48oz</v>
      </c>
      <c r="J928" s="918" t="str">
        <f t="shared" si="90"/>
        <v>290448oz</v>
      </c>
      <c r="K928" s="919">
        <v>1</v>
      </c>
      <c r="L928" s="920">
        <f t="shared" si="91"/>
        <v>-528</v>
      </c>
      <c r="M928" s="920">
        <f t="shared" si="92"/>
        <v>-4.4985599999999994</v>
      </c>
      <c r="N928" s="920">
        <f t="shared" si="93"/>
        <v>-3</v>
      </c>
      <c r="O928" s="918" t="str">
        <f t="shared" si="94"/>
        <v>Jan</v>
      </c>
      <c r="P928" s="921">
        <f t="shared" si="95"/>
        <v>4</v>
      </c>
    </row>
    <row r="929" spans="1:16" ht="15" hidden="1" customHeight="1">
      <c r="A929" s="839">
        <v>68862496</v>
      </c>
      <c r="B929" s="839">
        <v>2904</v>
      </c>
      <c r="C929" s="906">
        <v>-300</v>
      </c>
      <c r="D929" s="907">
        <v>46043</v>
      </c>
      <c r="E929" s="839" t="s">
        <v>356</v>
      </c>
      <c r="F929" s="839" t="s">
        <v>277</v>
      </c>
      <c r="G929" s="916">
        <f>VLOOKUP($A929,'Tech Litons'!$A:$I,8,FALSE)</f>
        <v>3.7839999999999996E-3</v>
      </c>
      <c r="H929" s="917">
        <f>VLOOKUP($A929,'Tech Litons'!$A:$I,9,FALSE)</f>
        <v>255</v>
      </c>
      <c r="I929" s="917" t="str">
        <f>VLOOKUP($A929,'Tech Litons'!$A:$C,3,0)</f>
        <v>TALENTI</v>
      </c>
      <c r="J929" s="918" t="str">
        <f t="shared" si="90"/>
        <v>2904TALENTI</v>
      </c>
      <c r="K929" s="919">
        <v>1</v>
      </c>
      <c r="L929" s="920">
        <f t="shared" si="91"/>
        <v>-300</v>
      </c>
      <c r="M929" s="920">
        <f t="shared" si="92"/>
        <v>-1.1352</v>
      </c>
      <c r="N929" s="920">
        <f t="shared" si="93"/>
        <v>-1.1764705882352942</v>
      </c>
      <c r="O929" s="918" t="str">
        <f t="shared" si="94"/>
        <v>Jan</v>
      </c>
      <c r="P929" s="921">
        <f t="shared" si="95"/>
        <v>4</v>
      </c>
    </row>
    <row r="930" spans="1:16" ht="15" hidden="1" customHeight="1">
      <c r="A930" s="839">
        <v>69999268</v>
      </c>
      <c r="B930" s="839">
        <v>2904</v>
      </c>
      <c r="C930" s="906">
        <v>-164</v>
      </c>
      <c r="D930" s="907">
        <v>46043</v>
      </c>
      <c r="E930" s="839" t="s">
        <v>351</v>
      </c>
      <c r="F930" s="839" t="s">
        <v>299</v>
      </c>
      <c r="G930" s="916">
        <f>VLOOKUP($A930,'Tech Litons'!$A:$I,8,FALSE)</f>
        <v>3.7839999999999996E-3</v>
      </c>
      <c r="H930" s="917">
        <f>VLOOKUP($A930,'Tech Litons'!$A:$I,9,FALSE)</f>
        <v>240</v>
      </c>
      <c r="I930" s="917" t="str">
        <f>VLOOKUP($A930,'Tech Litons'!$A:$C,3,0)</f>
        <v>BJ PTS</v>
      </c>
      <c r="J930" s="918" t="str">
        <f t="shared" si="90"/>
        <v>2904BJ PTS</v>
      </c>
      <c r="K930" s="919">
        <v>1</v>
      </c>
      <c r="L930" s="920">
        <f t="shared" si="91"/>
        <v>-164</v>
      </c>
      <c r="M930" s="920">
        <f t="shared" si="92"/>
        <v>-0.62057599999999991</v>
      </c>
      <c r="N930" s="920">
        <f t="shared" si="93"/>
        <v>-0.68333333333333335</v>
      </c>
      <c r="O930" s="918" t="str">
        <f t="shared" si="94"/>
        <v>Jan</v>
      </c>
      <c r="P930" s="921">
        <f t="shared" si="95"/>
        <v>4</v>
      </c>
    </row>
    <row r="931" spans="1:16" ht="15" hidden="1" customHeight="1">
      <c r="A931" s="839">
        <v>69989759</v>
      </c>
      <c r="B931" s="839">
        <v>2904</v>
      </c>
      <c r="C931" s="906">
        <v>-128</v>
      </c>
      <c r="D931" s="907">
        <v>46043</v>
      </c>
      <c r="E931" s="839" t="s">
        <v>357</v>
      </c>
      <c r="F931" s="839" t="s">
        <v>281</v>
      </c>
      <c r="G931" s="916">
        <f>VLOOKUP($A931,'Tech Litons'!$A:$I,8,FALSE)</f>
        <v>1.98E-3</v>
      </c>
      <c r="H931" s="917">
        <f>VLOOKUP($A931,'Tech Litons'!$A:$I,9,FALSE)</f>
        <v>176</v>
      </c>
      <c r="I931" s="917" t="str">
        <f>VLOOKUP($A931,'Tech Litons'!$A:$C,3,0)</f>
        <v>MG Sticks</v>
      </c>
      <c r="J931" s="918" t="str">
        <f t="shared" si="90"/>
        <v>2904MG Sticks</v>
      </c>
      <c r="K931" s="919">
        <v>1</v>
      </c>
      <c r="L931" s="920">
        <f t="shared" si="91"/>
        <v>-128</v>
      </c>
      <c r="M931" s="920">
        <f t="shared" si="92"/>
        <v>-0.25344</v>
      </c>
      <c r="N931" s="920">
        <f t="shared" si="93"/>
        <v>-0.72727272727272729</v>
      </c>
      <c r="O931" s="918" t="str">
        <f t="shared" si="94"/>
        <v>Jan</v>
      </c>
      <c r="P931" s="921">
        <f t="shared" si="95"/>
        <v>4</v>
      </c>
    </row>
    <row r="932" spans="1:16" ht="15" hidden="1" customHeight="1">
      <c r="A932" s="839">
        <v>69568828</v>
      </c>
      <c r="B932" s="839">
        <v>2904</v>
      </c>
      <c r="C932" s="906">
        <v>-110</v>
      </c>
      <c r="D932" s="907">
        <v>46043</v>
      </c>
      <c r="E932" s="839" t="s">
        <v>320</v>
      </c>
      <c r="F932" s="839" t="s">
        <v>271</v>
      </c>
      <c r="G932" s="916">
        <f>VLOOKUP($A932,'Tech Litons'!$A:$I,8,FALSE)</f>
        <v>8.5199999999999998E-3</v>
      </c>
      <c r="H932" s="917">
        <f>VLOOKUP($A932,'Tech Litons'!$A:$I,9,FALSE)</f>
        <v>176</v>
      </c>
      <c r="I932" s="917" t="str">
        <f>VLOOKUP($A932,'Tech Litons'!$A:$C,3,0)</f>
        <v>48oz</v>
      </c>
      <c r="J932" s="918" t="str">
        <f t="shared" si="90"/>
        <v>290448oz</v>
      </c>
      <c r="K932" s="919">
        <v>1</v>
      </c>
      <c r="L932" s="920">
        <f t="shared" si="91"/>
        <v>-110</v>
      </c>
      <c r="M932" s="920">
        <f t="shared" si="92"/>
        <v>-0.93720000000000003</v>
      </c>
      <c r="N932" s="920">
        <f t="shared" si="93"/>
        <v>-0.625</v>
      </c>
      <c r="O932" s="918" t="str">
        <f t="shared" si="94"/>
        <v>Jan</v>
      </c>
      <c r="P932" s="921">
        <f t="shared" si="95"/>
        <v>4</v>
      </c>
    </row>
    <row r="933" spans="1:16" ht="15" hidden="1" customHeight="1">
      <c r="A933" s="839">
        <v>68354588</v>
      </c>
      <c r="B933" s="839">
        <v>2904</v>
      </c>
      <c r="C933" s="906">
        <v>-26</v>
      </c>
      <c r="D933" s="907">
        <v>46043</v>
      </c>
      <c r="E933" s="839" t="s">
        <v>332</v>
      </c>
      <c r="F933" s="839" t="s">
        <v>40</v>
      </c>
      <c r="G933" s="916">
        <f>VLOOKUP($A933,'Tech Litons'!$A:$I,8,FALSE)</f>
        <v>3.5999999999999999E-3</v>
      </c>
      <c r="H933" s="917">
        <f>VLOOKUP($A933,'Tech Litons'!$A:$I,9,FALSE)</f>
        <v>240</v>
      </c>
      <c r="I933" s="917" t="str">
        <f>VLOOKUP($A933,'Tech Litons'!$A:$C,3,0)</f>
        <v>Topped</v>
      </c>
      <c r="J933" s="918" t="str">
        <f t="shared" si="90"/>
        <v>2904Topped</v>
      </c>
      <c r="K933" s="919">
        <v>1</v>
      </c>
      <c r="L933" s="920">
        <f t="shared" si="91"/>
        <v>-26</v>
      </c>
      <c r="M933" s="920">
        <f t="shared" si="92"/>
        <v>-9.3600000000000003E-2</v>
      </c>
      <c r="N933" s="920">
        <f t="shared" si="93"/>
        <v>-0.10833333333333334</v>
      </c>
      <c r="O933" s="918" t="str">
        <f t="shared" si="94"/>
        <v>Jan</v>
      </c>
      <c r="P933" s="921">
        <f t="shared" si="95"/>
        <v>4</v>
      </c>
    </row>
    <row r="934" spans="1:16" ht="15" hidden="1" customHeight="1">
      <c r="A934" s="839">
        <v>68860059</v>
      </c>
      <c r="B934" s="839">
        <v>2904</v>
      </c>
      <c r="C934" s="906">
        <v>-20</v>
      </c>
      <c r="D934" s="907">
        <v>46043</v>
      </c>
      <c r="E934" s="839" t="s">
        <v>319</v>
      </c>
      <c r="F934" s="839" t="s">
        <v>277</v>
      </c>
      <c r="G934" s="916">
        <f>VLOOKUP($A934,'Tech Litons'!$A:$I,8,FALSE)</f>
        <v>3.7839999999999996E-3</v>
      </c>
      <c r="H934" s="917">
        <f>VLOOKUP($A934,'Tech Litons'!$A:$I,9,FALSE)</f>
        <v>255</v>
      </c>
      <c r="I934" s="917" t="str">
        <f>VLOOKUP($A934,'Tech Litons'!$A:$C,3,0)</f>
        <v>Talenti</v>
      </c>
      <c r="J934" s="918" t="str">
        <f t="shared" si="90"/>
        <v>2904Talenti</v>
      </c>
      <c r="K934" s="919">
        <v>1</v>
      </c>
      <c r="L934" s="920">
        <f t="shared" si="91"/>
        <v>-20</v>
      </c>
      <c r="M934" s="920">
        <f t="shared" si="92"/>
        <v>-7.5679999999999997E-2</v>
      </c>
      <c r="N934" s="920">
        <f t="shared" si="93"/>
        <v>-7.8431372549019607E-2</v>
      </c>
      <c r="O934" s="918" t="str">
        <f t="shared" si="94"/>
        <v>Jan</v>
      </c>
      <c r="P934" s="921">
        <f t="shared" si="95"/>
        <v>4</v>
      </c>
    </row>
    <row r="935" spans="1:16" ht="15" hidden="1" customHeight="1">
      <c r="A935" s="839">
        <v>68741742</v>
      </c>
      <c r="B935" s="839">
        <v>2904</v>
      </c>
      <c r="C935" s="906">
        <v>-11</v>
      </c>
      <c r="D935" s="907">
        <v>46043</v>
      </c>
      <c r="E935" s="839" t="s">
        <v>288</v>
      </c>
      <c r="F935" s="839" t="s">
        <v>295</v>
      </c>
      <c r="G935" s="916">
        <f>VLOOKUP($A935,'Tech Litons'!$A:$I,8,FALSE)</f>
        <v>4.2560000000000002E-3</v>
      </c>
      <c r="H935" s="917">
        <f>VLOOKUP($A935,'Tech Litons'!$A:$I,9,FALSE)</f>
        <v>154</v>
      </c>
      <c r="I935" s="917" t="str">
        <f>VLOOKUP($A935,'Tech Litons'!$A:$C,3,0)</f>
        <v>MBG</v>
      </c>
      <c r="J935" s="918" t="str">
        <f t="shared" si="90"/>
        <v>2904MBG</v>
      </c>
      <c r="K935" s="919">
        <v>1</v>
      </c>
      <c r="L935" s="920">
        <f t="shared" si="91"/>
        <v>-11</v>
      </c>
      <c r="M935" s="920">
        <f t="shared" si="92"/>
        <v>-4.6816000000000003E-2</v>
      </c>
      <c r="N935" s="920">
        <f t="shared" si="93"/>
        <v>-7.1428571428571425E-2</v>
      </c>
      <c r="O935" s="918" t="str">
        <f t="shared" si="94"/>
        <v>Jan</v>
      </c>
      <c r="P935" s="921">
        <f t="shared" si="95"/>
        <v>4</v>
      </c>
    </row>
    <row r="936" spans="1:16" ht="15" hidden="1" customHeight="1">
      <c r="A936" s="839">
        <v>68851107</v>
      </c>
      <c r="B936" s="839">
        <v>2904</v>
      </c>
      <c r="C936" s="906">
        <v>-4</v>
      </c>
      <c r="D936" s="907">
        <v>46043</v>
      </c>
      <c r="E936" s="839" t="s">
        <v>272</v>
      </c>
      <c r="F936" s="839" t="s">
        <v>273</v>
      </c>
      <c r="G936" s="916">
        <f>VLOOKUP($A936,'Tech Litons'!$A:$I,8,FALSE)</f>
        <v>8.5199999999999998E-3</v>
      </c>
      <c r="H936" s="917">
        <f>VLOOKUP($A936,'Tech Litons'!$A:$I,9,FALSE)</f>
        <v>176</v>
      </c>
      <c r="I936" s="917" t="str">
        <f>VLOOKUP($A936,'Tech Litons'!$A:$C,3,0)</f>
        <v>48oz</v>
      </c>
      <c r="J936" s="918" t="str">
        <f t="shared" si="90"/>
        <v>290448oz</v>
      </c>
      <c r="K936" s="919">
        <v>1</v>
      </c>
      <c r="L936" s="920">
        <f t="shared" si="91"/>
        <v>-4</v>
      </c>
      <c r="M936" s="920">
        <f t="shared" si="92"/>
        <v>-3.4079999999999999E-2</v>
      </c>
      <c r="N936" s="920">
        <f t="shared" si="93"/>
        <v>-2.2727272727272728E-2</v>
      </c>
      <c r="O936" s="918" t="str">
        <f t="shared" si="94"/>
        <v>Jan</v>
      </c>
      <c r="P936" s="921">
        <f t="shared" si="95"/>
        <v>4</v>
      </c>
    </row>
    <row r="937" spans="1:16" ht="15" hidden="1" customHeight="1">
      <c r="A937" s="839">
        <v>68710285</v>
      </c>
      <c r="B937" s="839">
        <v>1352</v>
      </c>
      <c r="C937" s="906">
        <v>24</v>
      </c>
      <c r="D937" s="907">
        <v>46043</v>
      </c>
      <c r="E937" s="839" t="s">
        <v>367</v>
      </c>
      <c r="F937" s="839" t="s">
        <v>242</v>
      </c>
      <c r="G937" s="916">
        <f>VLOOKUP($A937,'Tech Litons'!$A:$I,8,FALSE)</f>
        <v>9.5760000000000012E-3</v>
      </c>
      <c r="H937" s="917">
        <f>VLOOKUP($A937,'Tech Litons'!$A:$I,9,FALSE)</f>
        <v>132</v>
      </c>
      <c r="I937" s="917" t="str">
        <f>VLOOKUP($A937,'Tech Litons'!$A:$C,3,0)</f>
        <v>EDF</v>
      </c>
      <c r="J937" s="918" t="str">
        <f t="shared" si="90"/>
        <v>1352EDF</v>
      </c>
      <c r="K937" s="919">
        <v>1</v>
      </c>
      <c r="L937" s="920">
        <f t="shared" si="91"/>
        <v>24</v>
      </c>
      <c r="M937" s="920">
        <f t="shared" si="92"/>
        <v>0.22982400000000003</v>
      </c>
      <c r="N937" s="920">
        <f t="shared" si="93"/>
        <v>0.18181818181818182</v>
      </c>
      <c r="O937" s="918" t="str">
        <f t="shared" si="94"/>
        <v>Jan</v>
      </c>
      <c r="P937" s="921">
        <f t="shared" si="95"/>
        <v>4</v>
      </c>
    </row>
    <row r="938" spans="1:16" ht="15" hidden="1" customHeight="1">
      <c r="A938" s="839">
        <v>68817793</v>
      </c>
      <c r="B938" s="839">
        <v>1352</v>
      </c>
      <c r="C938" s="906">
        <v>176</v>
      </c>
      <c r="D938" s="907">
        <v>46043</v>
      </c>
      <c r="E938" s="839" t="s">
        <v>353</v>
      </c>
      <c r="F938" s="839" t="s">
        <v>266</v>
      </c>
      <c r="G938" s="916">
        <f>VLOOKUP($A938,'Tech Litons'!$A:$I,8,FALSE)</f>
        <v>8.5199999999999998E-3</v>
      </c>
      <c r="H938" s="917">
        <f>VLOOKUP($A938,'Tech Litons'!$A:$I,9,FALSE)</f>
        <v>176</v>
      </c>
      <c r="I938" s="917" t="str">
        <f>VLOOKUP($A938,'Tech Litons'!$A:$C,3,0)</f>
        <v>48oz</v>
      </c>
      <c r="J938" s="918" t="str">
        <f t="shared" si="90"/>
        <v>135248oz</v>
      </c>
      <c r="K938" s="919">
        <v>1</v>
      </c>
      <c r="L938" s="920">
        <f t="shared" si="91"/>
        <v>176</v>
      </c>
      <c r="M938" s="920">
        <f t="shared" si="92"/>
        <v>1.49952</v>
      </c>
      <c r="N938" s="920">
        <f t="shared" si="93"/>
        <v>1</v>
      </c>
      <c r="O938" s="918" t="str">
        <f t="shared" si="94"/>
        <v>Jan</v>
      </c>
      <c r="P938" s="921">
        <f t="shared" si="95"/>
        <v>4</v>
      </c>
    </row>
    <row r="939" spans="1:16" ht="15" hidden="1" customHeight="1">
      <c r="A939" s="839">
        <v>84144598</v>
      </c>
      <c r="B939" s="839">
        <v>2904</v>
      </c>
      <c r="C939" s="906">
        <v>202</v>
      </c>
      <c r="D939" s="907">
        <v>46043</v>
      </c>
      <c r="E939" s="839" t="s">
        <v>364</v>
      </c>
      <c r="F939" s="839" t="s">
        <v>299</v>
      </c>
      <c r="G939" s="916">
        <f>VLOOKUP($A939,'Tech Litons'!$A:$I,8,FALSE)</f>
        <v>3.7853439999999999E-3</v>
      </c>
      <c r="H939" s="917">
        <f>VLOOKUP($A939,'Tech Litons'!$A:$I,9,FALSE)</f>
        <v>240</v>
      </c>
      <c r="I939" s="917" t="str">
        <f>VLOOKUP($A939,'Tech Litons'!$A:$C,3,0)</f>
        <v>BJ PTS</v>
      </c>
      <c r="J939" s="918" t="str">
        <f t="shared" si="90"/>
        <v>2904BJ PTS</v>
      </c>
      <c r="K939" s="919">
        <v>1</v>
      </c>
      <c r="L939" s="920">
        <f t="shared" si="91"/>
        <v>202</v>
      </c>
      <c r="M939" s="920">
        <f t="shared" si="92"/>
        <v>0.76463948800000003</v>
      </c>
      <c r="N939" s="920">
        <f t="shared" si="93"/>
        <v>0.84166666666666667</v>
      </c>
      <c r="O939" s="918" t="str">
        <f t="shared" si="94"/>
        <v>Jan</v>
      </c>
      <c r="P939" s="921">
        <f t="shared" si="95"/>
        <v>4</v>
      </c>
    </row>
    <row r="940" spans="1:16" ht="15" hidden="1" customHeight="1">
      <c r="A940" s="839">
        <v>69629468</v>
      </c>
      <c r="B940" s="839">
        <v>2904</v>
      </c>
      <c r="C940" s="906">
        <v>279</v>
      </c>
      <c r="D940" s="907">
        <v>46043</v>
      </c>
      <c r="E940" s="839" t="s">
        <v>291</v>
      </c>
      <c r="F940" s="839" t="s">
        <v>226</v>
      </c>
      <c r="G940" s="916">
        <f>VLOOKUP($A940,'Tech Litons'!$A:$I,8,FALSE)</f>
        <v>5.2680000000000001E-3</v>
      </c>
      <c r="H940" s="917">
        <f>VLOOKUP($A940,'Tech Litons'!$A:$I,9,FALSE)</f>
        <v>130</v>
      </c>
      <c r="I940" s="917" t="str">
        <f>VLOOKUP($A940,'Tech Litons'!$A:$C,3,0)</f>
        <v>PG</v>
      </c>
      <c r="J940" s="918" t="str">
        <f t="shared" si="90"/>
        <v>2904PG</v>
      </c>
      <c r="K940" s="919">
        <v>1</v>
      </c>
      <c r="L940" s="920">
        <f t="shared" si="91"/>
        <v>279</v>
      </c>
      <c r="M940" s="920">
        <f t="shared" si="92"/>
        <v>1.4697720000000001</v>
      </c>
      <c r="N940" s="920">
        <f t="shared" si="93"/>
        <v>2.1461538461538461</v>
      </c>
      <c r="O940" s="918" t="str">
        <f t="shared" si="94"/>
        <v>Jan</v>
      </c>
      <c r="P940" s="921">
        <f t="shared" si="95"/>
        <v>4</v>
      </c>
    </row>
    <row r="941" spans="1:16" ht="15" hidden="1" customHeight="1">
      <c r="A941" s="839">
        <v>68851107</v>
      </c>
      <c r="B941" s="839">
        <v>2904</v>
      </c>
      <c r="C941" s="906">
        <v>412</v>
      </c>
      <c r="D941" s="907">
        <v>46043</v>
      </c>
      <c r="E941" s="839" t="s">
        <v>272</v>
      </c>
      <c r="F941" s="839" t="s">
        <v>273</v>
      </c>
      <c r="G941" s="916">
        <f>VLOOKUP($A941,'Tech Litons'!$A:$I,8,FALSE)</f>
        <v>8.5199999999999998E-3</v>
      </c>
      <c r="H941" s="917">
        <f>VLOOKUP($A941,'Tech Litons'!$A:$I,9,FALSE)</f>
        <v>176</v>
      </c>
      <c r="I941" s="917" t="str">
        <f>VLOOKUP($A941,'Tech Litons'!$A:$C,3,0)</f>
        <v>48oz</v>
      </c>
      <c r="J941" s="918" t="str">
        <f t="shared" si="90"/>
        <v>290448oz</v>
      </c>
      <c r="K941" s="919">
        <v>1</v>
      </c>
      <c r="L941" s="920">
        <f t="shared" si="91"/>
        <v>412</v>
      </c>
      <c r="M941" s="920">
        <f t="shared" si="92"/>
        <v>3.51024</v>
      </c>
      <c r="N941" s="920">
        <f t="shared" si="93"/>
        <v>2.3409090909090908</v>
      </c>
      <c r="O941" s="918" t="str">
        <f t="shared" si="94"/>
        <v>Jan</v>
      </c>
      <c r="P941" s="921">
        <f t="shared" si="95"/>
        <v>4</v>
      </c>
    </row>
    <row r="942" spans="1:16" ht="15" hidden="1" customHeight="1">
      <c r="A942" s="839">
        <v>64874633</v>
      </c>
      <c r="B942" s="839">
        <v>3910</v>
      </c>
      <c r="C942" s="906">
        <v>560</v>
      </c>
      <c r="D942" s="907">
        <v>46043</v>
      </c>
      <c r="E942" s="839" t="s">
        <v>341</v>
      </c>
      <c r="F942" s="839" t="s">
        <v>342</v>
      </c>
      <c r="G942" s="916">
        <f>VLOOKUP($A942,'Tech Litons'!$A:$I,8,FALSE)</f>
        <v>3.192E-3</v>
      </c>
      <c r="H942" s="917">
        <f>VLOOKUP($A942,'Tech Litons'!$A:$I,9,FALSE)</f>
        <v>280</v>
      </c>
      <c r="I942" s="917" t="str">
        <f>VLOOKUP($A942,'Tech Litons'!$A:$C,3,0)</f>
        <v>ESS</v>
      </c>
      <c r="J942" s="918" t="str">
        <f t="shared" si="90"/>
        <v>3910ESS</v>
      </c>
      <c r="K942" s="919">
        <v>1</v>
      </c>
      <c r="L942" s="920">
        <f t="shared" si="91"/>
        <v>560</v>
      </c>
      <c r="M942" s="920">
        <f t="shared" si="92"/>
        <v>1.78752</v>
      </c>
      <c r="N942" s="920">
        <f t="shared" si="93"/>
        <v>2</v>
      </c>
      <c r="O942" s="918" t="str">
        <f t="shared" si="94"/>
        <v>Jan</v>
      </c>
      <c r="P942" s="921">
        <f t="shared" si="95"/>
        <v>4</v>
      </c>
    </row>
    <row r="943" spans="1:16" ht="15" hidden="1" customHeight="1">
      <c r="A943" s="839">
        <v>84141418</v>
      </c>
      <c r="B943" s="839">
        <v>5914</v>
      </c>
      <c r="C943" s="906">
        <v>625</v>
      </c>
      <c r="D943" s="907">
        <v>46043</v>
      </c>
      <c r="E943" s="839" t="s">
        <v>369</v>
      </c>
      <c r="F943" s="839" t="s">
        <v>303</v>
      </c>
      <c r="G943" s="916">
        <f>VLOOKUP($A943,'Tech Litons'!$A:$I,8,FALSE)</f>
        <v>9.0848256361922702E-3</v>
      </c>
      <c r="H943" s="917">
        <f>VLOOKUP($A943,'Tech Litons'!$A:$I,9,FALSE)</f>
        <v>125</v>
      </c>
      <c r="I943" s="917" t="str">
        <f>VLOOKUP($A943,'Tech Litons'!$A:$C,3,0)</f>
        <v>2.4 Gal</v>
      </c>
      <c r="J943" s="918" t="str">
        <f t="shared" si="90"/>
        <v>59142.4 Gal</v>
      </c>
      <c r="K943" s="919">
        <v>1</v>
      </c>
      <c r="L943" s="920">
        <f t="shared" si="91"/>
        <v>625</v>
      </c>
      <c r="M943" s="920">
        <f t="shared" si="92"/>
        <v>5.6780160226201692</v>
      </c>
      <c r="N943" s="920">
        <f t="shared" si="93"/>
        <v>5</v>
      </c>
      <c r="O943" s="918" t="str">
        <f t="shared" si="94"/>
        <v>Jan</v>
      </c>
      <c r="P943" s="921">
        <f t="shared" si="95"/>
        <v>4</v>
      </c>
    </row>
    <row r="944" spans="1:16" ht="15" hidden="1" customHeight="1">
      <c r="A944" s="839">
        <v>69629468</v>
      </c>
      <c r="B944" s="839">
        <v>2904</v>
      </c>
      <c r="C944" s="906">
        <v>743</v>
      </c>
      <c r="D944" s="907">
        <v>46043</v>
      </c>
      <c r="E944" s="839" t="s">
        <v>291</v>
      </c>
      <c r="F944" s="839" t="s">
        <v>226</v>
      </c>
      <c r="G944" s="916">
        <f>VLOOKUP($A944,'Tech Litons'!$A:$I,8,FALSE)</f>
        <v>5.2680000000000001E-3</v>
      </c>
      <c r="H944" s="917">
        <f>VLOOKUP($A944,'Tech Litons'!$A:$I,9,FALSE)</f>
        <v>130</v>
      </c>
      <c r="I944" s="917" t="str">
        <f>VLOOKUP($A944,'Tech Litons'!$A:$C,3,0)</f>
        <v>PG</v>
      </c>
      <c r="J944" s="918" t="str">
        <f t="shared" si="90"/>
        <v>2904PG</v>
      </c>
      <c r="K944" s="919">
        <v>1</v>
      </c>
      <c r="L944" s="920">
        <f t="shared" si="91"/>
        <v>743</v>
      </c>
      <c r="M944" s="920">
        <f t="shared" si="92"/>
        <v>3.9141240000000002</v>
      </c>
      <c r="N944" s="920">
        <f t="shared" si="93"/>
        <v>5.7153846153846155</v>
      </c>
      <c r="O944" s="918" t="str">
        <f t="shared" si="94"/>
        <v>Jan</v>
      </c>
      <c r="P944" s="921">
        <f t="shared" si="95"/>
        <v>4</v>
      </c>
    </row>
    <row r="945" spans="1:16" ht="15" hidden="1" customHeight="1">
      <c r="A945" s="839">
        <v>68851104</v>
      </c>
      <c r="B945" s="839">
        <v>1352</v>
      </c>
      <c r="C945" s="906">
        <v>880</v>
      </c>
      <c r="D945" s="907">
        <v>46043</v>
      </c>
      <c r="E945" s="839" t="s">
        <v>270</v>
      </c>
      <c r="F945" s="839" t="s">
        <v>264</v>
      </c>
      <c r="G945" s="916">
        <f>VLOOKUP($A945,'Tech Litons'!$A:$I,8,FALSE)</f>
        <v>8.5199999999999998E-3</v>
      </c>
      <c r="H945" s="917">
        <f>VLOOKUP($A945,'Tech Litons'!$A:$I,9,FALSE)</f>
        <v>176</v>
      </c>
      <c r="I945" s="917" t="str">
        <f>VLOOKUP($A945,'Tech Litons'!$A:$C,3,0)</f>
        <v>48oz</v>
      </c>
      <c r="J945" s="918" t="str">
        <f t="shared" si="90"/>
        <v>135248oz</v>
      </c>
      <c r="K945" s="919">
        <v>1</v>
      </c>
      <c r="L945" s="920">
        <f t="shared" si="91"/>
        <v>880</v>
      </c>
      <c r="M945" s="920">
        <f t="shared" si="92"/>
        <v>7.4976000000000003</v>
      </c>
      <c r="N945" s="920">
        <f t="shared" si="93"/>
        <v>5</v>
      </c>
      <c r="O945" s="918" t="str">
        <f t="shared" si="94"/>
        <v>Jan</v>
      </c>
      <c r="P945" s="921">
        <f t="shared" si="95"/>
        <v>4</v>
      </c>
    </row>
    <row r="946" spans="1:16" ht="15" hidden="1" customHeight="1">
      <c r="A946" s="839">
        <v>69991925</v>
      </c>
      <c r="B946" s="839">
        <v>2904</v>
      </c>
      <c r="C946" s="906">
        <v>1050</v>
      </c>
      <c r="D946" s="907">
        <v>46043</v>
      </c>
      <c r="E946" s="839" t="s">
        <v>379</v>
      </c>
      <c r="F946" s="839" t="s">
        <v>283</v>
      </c>
      <c r="G946" s="916">
        <f>VLOOKUP($A946,'Tech Litons'!$A:$I,8,FALSE)</f>
        <v>2.0400000000000001E-3</v>
      </c>
      <c r="H946" s="917">
        <f>VLOOKUP($A946,'Tech Litons'!$A:$I,9,FALSE)</f>
        <v>210</v>
      </c>
      <c r="I946" s="917" t="str">
        <f>VLOOKUP($A946,'Tech Litons'!$A:$C,3,0)</f>
        <v>MG Sticks</v>
      </c>
      <c r="J946" s="918" t="str">
        <f t="shared" si="90"/>
        <v>2904MG Sticks</v>
      </c>
      <c r="K946" s="919">
        <v>1</v>
      </c>
      <c r="L946" s="920">
        <f t="shared" si="91"/>
        <v>1050</v>
      </c>
      <c r="M946" s="920">
        <f t="shared" si="92"/>
        <v>2.1420000000000003</v>
      </c>
      <c r="N946" s="920">
        <f t="shared" si="93"/>
        <v>5</v>
      </c>
      <c r="O946" s="918" t="str">
        <f t="shared" si="94"/>
        <v>Jan</v>
      </c>
      <c r="P946" s="921">
        <f t="shared" si="95"/>
        <v>4</v>
      </c>
    </row>
    <row r="947" spans="1:16" ht="15" hidden="1" customHeight="1">
      <c r="A947" s="839">
        <v>68852591</v>
      </c>
      <c r="B947" s="839">
        <v>2904</v>
      </c>
      <c r="C947" s="906">
        <v>1204</v>
      </c>
      <c r="D947" s="907">
        <v>46043</v>
      </c>
      <c r="E947" s="839" t="s">
        <v>326</v>
      </c>
      <c r="F947" s="839" t="s">
        <v>243</v>
      </c>
      <c r="G947" s="916">
        <f>VLOOKUP($A947,'Tech Litons'!$A:$I,8,FALSE)</f>
        <v>8.5199999999999998E-3</v>
      </c>
      <c r="H947" s="917">
        <f>VLOOKUP($A947,'Tech Litons'!$A:$I,9,FALSE)</f>
        <v>132</v>
      </c>
      <c r="I947" s="917" t="str">
        <f>VLOOKUP($A947,'Tech Litons'!$A:$C,3,0)</f>
        <v>EDF</v>
      </c>
      <c r="J947" s="918" t="str">
        <f t="shared" si="90"/>
        <v>2904EDF</v>
      </c>
      <c r="K947" s="919">
        <v>1</v>
      </c>
      <c r="L947" s="920">
        <f t="shared" si="91"/>
        <v>1204</v>
      </c>
      <c r="M947" s="920">
        <f t="shared" si="92"/>
        <v>10.25808</v>
      </c>
      <c r="N947" s="920">
        <f t="shared" si="93"/>
        <v>9.1212121212121211</v>
      </c>
      <c r="O947" s="918" t="str">
        <f t="shared" si="94"/>
        <v>Jan</v>
      </c>
      <c r="P947" s="921">
        <f t="shared" si="95"/>
        <v>4</v>
      </c>
    </row>
    <row r="948" spans="1:16" ht="15" hidden="1" customHeight="1">
      <c r="A948" s="839">
        <v>68741742</v>
      </c>
      <c r="B948" s="839">
        <v>2904</v>
      </c>
      <c r="C948" s="906">
        <v>1232</v>
      </c>
      <c r="D948" s="907">
        <v>46043</v>
      </c>
      <c r="E948" s="839" t="s">
        <v>288</v>
      </c>
      <c r="F948" s="839" t="s">
        <v>295</v>
      </c>
      <c r="G948" s="916">
        <f>VLOOKUP($A948,'Tech Litons'!$A:$I,8,FALSE)</f>
        <v>4.2560000000000002E-3</v>
      </c>
      <c r="H948" s="917">
        <f>VLOOKUP($A948,'Tech Litons'!$A:$I,9,FALSE)</f>
        <v>154</v>
      </c>
      <c r="I948" s="917" t="str">
        <f>VLOOKUP($A948,'Tech Litons'!$A:$C,3,0)</f>
        <v>MBG</v>
      </c>
      <c r="J948" s="918" t="str">
        <f t="shared" si="90"/>
        <v>2904MBG</v>
      </c>
      <c r="K948" s="919">
        <v>1</v>
      </c>
      <c r="L948" s="920">
        <f t="shared" si="91"/>
        <v>1232</v>
      </c>
      <c r="M948" s="920">
        <f t="shared" si="92"/>
        <v>5.2433920000000001</v>
      </c>
      <c r="N948" s="920">
        <f t="shared" si="93"/>
        <v>8</v>
      </c>
      <c r="O948" s="918" t="str">
        <f t="shared" si="94"/>
        <v>Jan</v>
      </c>
      <c r="P948" s="921">
        <f t="shared" si="95"/>
        <v>4</v>
      </c>
    </row>
    <row r="949" spans="1:16" ht="15" hidden="1" customHeight="1">
      <c r="A949" s="839">
        <v>69717803</v>
      </c>
      <c r="B949" s="839">
        <v>2904</v>
      </c>
      <c r="C949" s="906">
        <v>1295</v>
      </c>
      <c r="D949" s="907">
        <v>46043</v>
      </c>
      <c r="E949" s="839" t="s">
        <v>362</v>
      </c>
      <c r="F949" s="839" t="s">
        <v>231</v>
      </c>
      <c r="G949" s="916">
        <f>VLOOKUP($A949,'Tech Litons'!$A:$I,8,FALSE)</f>
        <v>4.2560000000000002E-3</v>
      </c>
      <c r="H949" s="917">
        <f>VLOOKUP($A949,'Tech Litons'!$A:$I,9,FALSE)</f>
        <v>143</v>
      </c>
      <c r="I949" s="917" t="str">
        <f>VLOOKUP($A949,'Tech Litons'!$A:$C,3,0)</f>
        <v>MG Sticks</v>
      </c>
      <c r="J949" s="918" t="str">
        <f t="shared" si="90"/>
        <v>2904MG Sticks</v>
      </c>
      <c r="K949" s="919">
        <v>1</v>
      </c>
      <c r="L949" s="920">
        <f t="shared" si="91"/>
        <v>1295</v>
      </c>
      <c r="M949" s="920">
        <f t="shared" si="92"/>
        <v>5.51152</v>
      </c>
      <c r="N949" s="920">
        <f t="shared" si="93"/>
        <v>9.0559440559440567</v>
      </c>
      <c r="O949" s="918" t="str">
        <f t="shared" si="94"/>
        <v>Jan</v>
      </c>
      <c r="P949" s="921">
        <f t="shared" si="95"/>
        <v>4</v>
      </c>
    </row>
    <row r="950" spans="1:16" ht="15" hidden="1" customHeight="1">
      <c r="A950" s="839">
        <v>64341106</v>
      </c>
      <c r="B950" s="839">
        <v>2904</v>
      </c>
      <c r="C950" s="906">
        <v>1409</v>
      </c>
      <c r="D950" s="907">
        <v>46043</v>
      </c>
      <c r="E950" s="839" t="s">
        <v>293</v>
      </c>
      <c r="F950" s="839" t="s">
        <v>227</v>
      </c>
      <c r="G950" s="916">
        <f>VLOOKUP($A950,'Tech Litons'!$A:$I,8,FALSE)</f>
        <v>5.2680000000000001E-3</v>
      </c>
      <c r="H950" s="917">
        <f>VLOOKUP($A950,'Tech Litons'!$A:$I,9,FALSE)</f>
        <v>130</v>
      </c>
      <c r="I950" s="917" t="str">
        <f>VLOOKUP($A950,'Tech Litons'!$A:$C,3,0)</f>
        <v>PG</v>
      </c>
      <c r="J950" s="918" t="str">
        <f t="shared" si="90"/>
        <v>2904PG</v>
      </c>
      <c r="K950" s="919">
        <v>1</v>
      </c>
      <c r="L950" s="920">
        <f t="shared" si="91"/>
        <v>1409</v>
      </c>
      <c r="M950" s="920">
        <f t="shared" si="92"/>
        <v>7.422612</v>
      </c>
      <c r="N950" s="920">
        <f t="shared" si="93"/>
        <v>10.838461538461539</v>
      </c>
      <c r="O950" s="918" t="str">
        <f t="shared" si="94"/>
        <v>Jan</v>
      </c>
      <c r="P950" s="921">
        <f t="shared" si="95"/>
        <v>4</v>
      </c>
    </row>
    <row r="951" spans="1:16" ht="15" hidden="1" customHeight="1">
      <c r="A951" s="839">
        <v>68741742</v>
      </c>
      <c r="B951" s="839">
        <v>1352</v>
      </c>
      <c r="C951" s="906">
        <v>1537</v>
      </c>
      <c r="D951" s="907">
        <v>46043</v>
      </c>
      <c r="E951" s="839" t="s">
        <v>288</v>
      </c>
      <c r="F951" s="839" t="s">
        <v>289</v>
      </c>
      <c r="G951" s="916">
        <f>VLOOKUP($A951,'Tech Litons'!$A:$I,8,FALSE)</f>
        <v>4.2560000000000002E-3</v>
      </c>
      <c r="H951" s="917">
        <f>VLOOKUP($A951,'Tech Litons'!$A:$I,9,FALSE)</f>
        <v>154</v>
      </c>
      <c r="I951" s="917" t="str">
        <f>VLOOKUP($A951,'Tech Litons'!$A:$C,3,0)</f>
        <v>MBG</v>
      </c>
      <c r="J951" s="918" t="str">
        <f t="shared" si="90"/>
        <v>1352MBG</v>
      </c>
      <c r="K951" s="919">
        <v>1</v>
      </c>
      <c r="L951" s="920">
        <f t="shared" si="91"/>
        <v>1537</v>
      </c>
      <c r="M951" s="920">
        <f t="shared" si="92"/>
        <v>6.5414720000000006</v>
      </c>
      <c r="N951" s="920">
        <f t="shared" si="93"/>
        <v>9.9805194805194812</v>
      </c>
      <c r="O951" s="918" t="str">
        <f t="shared" si="94"/>
        <v>Jan</v>
      </c>
      <c r="P951" s="921">
        <f t="shared" si="95"/>
        <v>4</v>
      </c>
    </row>
    <row r="952" spans="1:16" ht="15" hidden="1" customHeight="1">
      <c r="A952" s="839">
        <v>64341106</v>
      </c>
      <c r="B952" s="839">
        <v>2904</v>
      </c>
      <c r="C952" s="906">
        <v>1574</v>
      </c>
      <c r="D952" s="907">
        <v>46043</v>
      </c>
      <c r="E952" s="839" t="s">
        <v>293</v>
      </c>
      <c r="F952" s="839" t="s">
        <v>227</v>
      </c>
      <c r="G952" s="916">
        <f>VLOOKUP($A952,'Tech Litons'!$A:$I,8,FALSE)</f>
        <v>5.2680000000000001E-3</v>
      </c>
      <c r="H952" s="917">
        <f>VLOOKUP($A952,'Tech Litons'!$A:$I,9,FALSE)</f>
        <v>130</v>
      </c>
      <c r="I952" s="917" t="str">
        <f>VLOOKUP($A952,'Tech Litons'!$A:$C,3,0)</f>
        <v>PG</v>
      </c>
      <c r="J952" s="918" t="str">
        <f t="shared" si="90"/>
        <v>2904PG</v>
      </c>
      <c r="K952" s="919">
        <v>1</v>
      </c>
      <c r="L952" s="920">
        <f t="shared" si="91"/>
        <v>1574</v>
      </c>
      <c r="M952" s="920">
        <f t="shared" si="92"/>
        <v>8.2918319999999994</v>
      </c>
      <c r="N952" s="920">
        <f t="shared" si="93"/>
        <v>12.107692307692307</v>
      </c>
      <c r="O952" s="918" t="str">
        <f t="shared" si="94"/>
        <v>Jan</v>
      </c>
      <c r="P952" s="921">
        <f t="shared" si="95"/>
        <v>4</v>
      </c>
    </row>
    <row r="953" spans="1:16" ht="15" hidden="1" customHeight="1">
      <c r="A953" s="839">
        <v>69629468</v>
      </c>
      <c r="B953" s="839">
        <v>1352</v>
      </c>
      <c r="C953" s="906">
        <v>1690</v>
      </c>
      <c r="D953" s="907">
        <v>46043</v>
      </c>
      <c r="E953" s="839" t="s">
        <v>291</v>
      </c>
      <c r="F953" s="839" t="s">
        <v>222</v>
      </c>
      <c r="G953" s="916">
        <f>VLOOKUP($A953,'Tech Litons'!$A:$I,8,FALSE)</f>
        <v>5.2680000000000001E-3</v>
      </c>
      <c r="H953" s="917">
        <f>VLOOKUP($A953,'Tech Litons'!$A:$I,9,FALSE)</f>
        <v>130</v>
      </c>
      <c r="I953" s="917" t="str">
        <f>VLOOKUP($A953,'Tech Litons'!$A:$C,3,0)</f>
        <v>PG</v>
      </c>
      <c r="J953" s="918" t="str">
        <f t="shared" si="90"/>
        <v>1352PG</v>
      </c>
      <c r="K953" s="919">
        <v>1</v>
      </c>
      <c r="L953" s="920">
        <f t="shared" si="91"/>
        <v>1690</v>
      </c>
      <c r="M953" s="920">
        <f t="shared" si="92"/>
        <v>8.9029199999999999</v>
      </c>
      <c r="N953" s="920">
        <f t="shared" si="93"/>
        <v>13</v>
      </c>
      <c r="O953" s="918" t="str">
        <f t="shared" si="94"/>
        <v>Jan</v>
      </c>
      <c r="P953" s="921">
        <f t="shared" si="95"/>
        <v>4</v>
      </c>
    </row>
    <row r="954" spans="1:16" ht="15" hidden="1" customHeight="1">
      <c r="A954" s="839">
        <v>68689251</v>
      </c>
      <c r="B954" s="839">
        <v>1352</v>
      </c>
      <c r="C954" s="906">
        <v>1753</v>
      </c>
      <c r="D954" s="907">
        <v>46043</v>
      </c>
      <c r="E954" s="839" t="s">
        <v>262</v>
      </c>
      <c r="F954" s="839" t="s">
        <v>241</v>
      </c>
      <c r="G954" s="916">
        <f>VLOOKUP($A954,'Tech Litons'!$A:$I,8,FALSE)</f>
        <v>9.5760000000000012E-3</v>
      </c>
      <c r="H954" s="917">
        <f>VLOOKUP($A954,'Tech Litons'!$A:$I,9,FALSE)</f>
        <v>132</v>
      </c>
      <c r="I954" s="917" t="str">
        <f>VLOOKUP($A954,'Tech Litons'!$A:$C,3,0)</f>
        <v>EDF</v>
      </c>
      <c r="J954" s="918" t="str">
        <f t="shared" si="90"/>
        <v>1352EDF</v>
      </c>
      <c r="K954" s="919">
        <v>1</v>
      </c>
      <c r="L954" s="920">
        <f t="shared" si="91"/>
        <v>1753</v>
      </c>
      <c r="M954" s="920">
        <f t="shared" si="92"/>
        <v>16.786728000000004</v>
      </c>
      <c r="N954" s="920">
        <f t="shared" si="93"/>
        <v>13.280303030303031</v>
      </c>
      <c r="O954" s="918" t="str">
        <f t="shared" si="94"/>
        <v>Jan</v>
      </c>
      <c r="P954" s="921">
        <f t="shared" si="95"/>
        <v>4</v>
      </c>
    </row>
    <row r="955" spans="1:16" ht="15" hidden="1" customHeight="1">
      <c r="A955" s="839">
        <v>64874633</v>
      </c>
      <c r="B955" s="839">
        <v>3910</v>
      </c>
      <c r="C955" s="906">
        <v>1949</v>
      </c>
      <c r="D955" s="907">
        <v>46043</v>
      </c>
      <c r="E955" s="839" t="s">
        <v>341</v>
      </c>
      <c r="F955" s="839" t="s">
        <v>342</v>
      </c>
      <c r="G955" s="916">
        <f>VLOOKUP($A955,'Tech Litons'!$A:$I,8,FALSE)</f>
        <v>3.192E-3</v>
      </c>
      <c r="H955" s="917">
        <f>VLOOKUP($A955,'Tech Litons'!$A:$I,9,FALSE)</f>
        <v>280</v>
      </c>
      <c r="I955" s="917" t="str">
        <f>VLOOKUP($A955,'Tech Litons'!$A:$C,3,0)</f>
        <v>ESS</v>
      </c>
      <c r="J955" s="918" t="str">
        <f t="shared" si="90"/>
        <v>3910ESS</v>
      </c>
      <c r="K955" s="919">
        <v>1</v>
      </c>
      <c r="L955" s="920">
        <f t="shared" si="91"/>
        <v>1949</v>
      </c>
      <c r="M955" s="920">
        <f t="shared" si="92"/>
        <v>6.2212079999999998</v>
      </c>
      <c r="N955" s="920">
        <f t="shared" si="93"/>
        <v>6.9607142857142854</v>
      </c>
      <c r="O955" s="918" t="str">
        <f t="shared" si="94"/>
        <v>Jan</v>
      </c>
      <c r="P955" s="921">
        <f t="shared" si="95"/>
        <v>4</v>
      </c>
    </row>
    <row r="956" spans="1:16" ht="15" hidden="1" customHeight="1">
      <c r="A956" s="839">
        <v>84144598</v>
      </c>
      <c r="B956" s="839">
        <v>2904</v>
      </c>
      <c r="C956" s="906">
        <v>2229</v>
      </c>
      <c r="D956" s="907">
        <v>46043</v>
      </c>
      <c r="E956" s="839" t="s">
        <v>364</v>
      </c>
      <c r="F956" s="839" t="s">
        <v>299</v>
      </c>
      <c r="G956" s="916">
        <f>VLOOKUP($A956,'Tech Litons'!$A:$I,8,FALSE)</f>
        <v>3.7853439999999999E-3</v>
      </c>
      <c r="H956" s="917">
        <f>VLOOKUP($A956,'Tech Litons'!$A:$I,9,FALSE)</f>
        <v>240</v>
      </c>
      <c r="I956" s="917" t="str">
        <f>VLOOKUP($A956,'Tech Litons'!$A:$C,3,0)</f>
        <v>BJ PTS</v>
      </c>
      <c r="J956" s="918" t="str">
        <f t="shared" si="90"/>
        <v>2904BJ PTS</v>
      </c>
      <c r="K956" s="919">
        <v>1</v>
      </c>
      <c r="L956" s="920">
        <f t="shared" si="91"/>
        <v>2229</v>
      </c>
      <c r="M956" s="920">
        <f t="shared" si="92"/>
        <v>8.4375317760000001</v>
      </c>
      <c r="N956" s="920">
        <f t="shared" si="93"/>
        <v>9.2874999999999996</v>
      </c>
      <c r="O956" s="918" t="str">
        <f t="shared" si="94"/>
        <v>Jan</v>
      </c>
      <c r="P956" s="921">
        <f t="shared" si="95"/>
        <v>4</v>
      </c>
    </row>
    <row r="957" spans="1:16" ht="15" hidden="1" customHeight="1">
      <c r="A957" s="839">
        <v>68300738</v>
      </c>
      <c r="B957" s="839">
        <v>1352</v>
      </c>
      <c r="C957" s="906">
        <v>2244</v>
      </c>
      <c r="D957" s="907">
        <v>46043</v>
      </c>
      <c r="E957" s="839" t="s">
        <v>325</v>
      </c>
      <c r="F957" s="839" t="s">
        <v>240</v>
      </c>
      <c r="G957" s="916">
        <f>VLOOKUP($A957,'Tech Litons'!$A:$I,8,FALSE)</f>
        <v>8.4960000000000001E-3</v>
      </c>
      <c r="H957" s="917">
        <f>VLOOKUP($A957,'Tech Litons'!$A:$I,9,FALSE)</f>
        <v>132</v>
      </c>
      <c r="I957" s="917" t="str">
        <f>VLOOKUP($A957,'Tech Litons'!$A:$C,3,0)</f>
        <v>EDF</v>
      </c>
      <c r="J957" s="918" t="str">
        <f t="shared" si="90"/>
        <v>1352EDF</v>
      </c>
      <c r="K957" s="919">
        <v>1</v>
      </c>
      <c r="L957" s="920">
        <f t="shared" si="91"/>
        <v>2244</v>
      </c>
      <c r="M957" s="920">
        <f t="shared" si="92"/>
        <v>19.065024000000001</v>
      </c>
      <c r="N957" s="920">
        <f t="shared" si="93"/>
        <v>17</v>
      </c>
      <c r="O957" s="918" t="str">
        <f t="shared" si="94"/>
        <v>Jan</v>
      </c>
      <c r="P957" s="921">
        <f t="shared" si="95"/>
        <v>4</v>
      </c>
    </row>
    <row r="958" spans="1:16" ht="15" hidden="1" customHeight="1">
      <c r="A958" s="839">
        <v>69725082</v>
      </c>
      <c r="B958" s="839">
        <v>1352</v>
      </c>
      <c r="C958" s="906">
        <v>2340</v>
      </c>
      <c r="D958" s="907">
        <v>46043</v>
      </c>
      <c r="E958" s="839" t="s">
        <v>292</v>
      </c>
      <c r="F958" s="839" t="s">
        <v>223</v>
      </c>
      <c r="G958" s="916">
        <f>VLOOKUP($A958,'Tech Litons'!$A:$I,8,FALSE)</f>
        <v>5.2680000000000001E-3</v>
      </c>
      <c r="H958" s="917">
        <f>VLOOKUP($A958,'Tech Litons'!$A:$I,9,FALSE)</f>
        <v>130</v>
      </c>
      <c r="I958" s="917" t="str">
        <f>VLOOKUP($A958,'Tech Litons'!$A:$C,3,0)</f>
        <v>PG</v>
      </c>
      <c r="J958" s="918" t="str">
        <f t="shared" si="90"/>
        <v>1352PG</v>
      </c>
      <c r="K958" s="919">
        <v>1</v>
      </c>
      <c r="L958" s="920">
        <f t="shared" si="91"/>
        <v>2340</v>
      </c>
      <c r="M958" s="920">
        <f t="shared" si="92"/>
        <v>12.327120000000001</v>
      </c>
      <c r="N958" s="920">
        <f t="shared" si="93"/>
        <v>18</v>
      </c>
      <c r="O958" s="918" t="str">
        <f t="shared" si="94"/>
        <v>Jan</v>
      </c>
      <c r="P958" s="921">
        <f t="shared" si="95"/>
        <v>4</v>
      </c>
    </row>
    <row r="959" spans="1:16" ht="15" hidden="1" customHeight="1">
      <c r="A959" s="839">
        <v>64330611</v>
      </c>
      <c r="B959" s="839">
        <v>2904</v>
      </c>
      <c r="C959" s="906">
        <v>2457</v>
      </c>
      <c r="D959" s="907">
        <v>46043</v>
      </c>
      <c r="E959" s="839" t="s">
        <v>354</v>
      </c>
      <c r="F959" s="839" t="s">
        <v>283</v>
      </c>
      <c r="G959" s="916">
        <f>VLOOKUP($A959,'Tech Litons'!$A:$I,8,FALSE)</f>
        <v>2.16E-3</v>
      </c>
      <c r="H959" s="917">
        <f>VLOOKUP($A959,'Tech Litons'!$A:$I,9,FALSE)</f>
        <v>210</v>
      </c>
      <c r="I959" s="917" t="str">
        <f>VLOOKUP($A959,'Tech Litons'!$A:$C,3,0)</f>
        <v>MG Sticks</v>
      </c>
      <c r="J959" s="918" t="str">
        <f t="shared" si="90"/>
        <v>2904MG Sticks</v>
      </c>
      <c r="K959" s="919">
        <v>1</v>
      </c>
      <c r="L959" s="920">
        <f t="shared" si="91"/>
        <v>2457</v>
      </c>
      <c r="M959" s="920">
        <f t="shared" si="92"/>
        <v>5.3071200000000003</v>
      </c>
      <c r="N959" s="920">
        <f t="shared" si="93"/>
        <v>11.7</v>
      </c>
      <c r="O959" s="918" t="str">
        <f t="shared" si="94"/>
        <v>Jan</v>
      </c>
      <c r="P959" s="921">
        <f t="shared" si="95"/>
        <v>4</v>
      </c>
    </row>
    <row r="960" spans="1:16" ht="15" hidden="1" customHeight="1">
      <c r="A960" s="839">
        <v>64958128</v>
      </c>
      <c r="B960" s="839">
        <v>2904</v>
      </c>
      <c r="C960" s="906">
        <v>2640</v>
      </c>
      <c r="D960" s="907">
        <v>46043</v>
      </c>
      <c r="E960" s="839" t="s">
        <v>235</v>
      </c>
      <c r="F960" s="839" t="s">
        <v>234</v>
      </c>
      <c r="G960" s="916">
        <f>VLOOKUP($A960,'Tech Litons'!$A:$I,8,FALSE)</f>
        <v>3.3119999999999998E-3</v>
      </c>
      <c r="H960" s="917">
        <f>VLOOKUP($A960,'Tech Litons'!$A:$I,9,FALSE)</f>
        <v>165</v>
      </c>
      <c r="I960" s="917" t="str">
        <f>VLOOKUP($A960,'Tech Litons'!$A:$C,3,0)</f>
        <v>Yasso Sticks</v>
      </c>
      <c r="J960" s="918" t="str">
        <f t="shared" si="90"/>
        <v>2904Yasso Sticks</v>
      </c>
      <c r="K960" s="919">
        <v>1</v>
      </c>
      <c r="L960" s="920">
        <f t="shared" si="91"/>
        <v>2640</v>
      </c>
      <c r="M960" s="920">
        <f t="shared" si="92"/>
        <v>8.7436799999999995</v>
      </c>
      <c r="N960" s="920">
        <f t="shared" si="93"/>
        <v>16</v>
      </c>
      <c r="O960" s="918" t="str">
        <f t="shared" si="94"/>
        <v>Jan</v>
      </c>
      <c r="P960" s="921">
        <f t="shared" si="95"/>
        <v>4</v>
      </c>
    </row>
    <row r="961" spans="1:16" ht="15" hidden="1" customHeight="1">
      <c r="A961" s="839">
        <v>64789261</v>
      </c>
      <c r="B961" s="839">
        <v>1352</v>
      </c>
      <c r="C961" s="906">
        <v>2700</v>
      </c>
      <c r="D961" s="907">
        <v>46043</v>
      </c>
      <c r="E961" s="839" t="s">
        <v>366</v>
      </c>
      <c r="F961" s="839" t="s">
        <v>287</v>
      </c>
      <c r="G961" s="916">
        <f>VLOOKUP($A961,'Tech Litons'!$A:$I,8,FALSE)</f>
        <v>2.8319999999999999E-3</v>
      </c>
      <c r="H961" s="917">
        <f>VLOOKUP($A961,'Tech Litons'!$A:$I,9,FALSE)</f>
        <v>225</v>
      </c>
      <c r="I961" s="917" t="str">
        <f>VLOOKUP($A961,'Tech Litons'!$A:$C,3,0)</f>
        <v>MBG</v>
      </c>
      <c r="J961" s="918" t="str">
        <f t="shared" si="90"/>
        <v>1352MBG</v>
      </c>
      <c r="K961" s="919">
        <v>1</v>
      </c>
      <c r="L961" s="920">
        <f t="shared" si="91"/>
        <v>2700</v>
      </c>
      <c r="M961" s="920">
        <f t="shared" si="92"/>
        <v>7.6463999999999999</v>
      </c>
      <c r="N961" s="920">
        <f t="shared" si="93"/>
        <v>12</v>
      </c>
      <c r="O961" s="918" t="str">
        <f t="shared" si="94"/>
        <v>Jan</v>
      </c>
      <c r="P961" s="921">
        <f t="shared" si="95"/>
        <v>4</v>
      </c>
    </row>
    <row r="962" spans="1:16" ht="15" hidden="1" customHeight="1">
      <c r="A962" s="839">
        <v>68817793</v>
      </c>
      <c r="B962" s="839">
        <v>1352</v>
      </c>
      <c r="C962" s="906">
        <v>2816</v>
      </c>
      <c r="D962" s="907">
        <v>46043</v>
      </c>
      <c r="E962" s="839" t="s">
        <v>353</v>
      </c>
      <c r="F962" s="839" t="s">
        <v>266</v>
      </c>
      <c r="G962" s="916">
        <f>VLOOKUP($A962,'Tech Litons'!$A:$I,8,FALSE)</f>
        <v>8.5199999999999998E-3</v>
      </c>
      <c r="H962" s="917">
        <f>VLOOKUP($A962,'Tech Litons'!$A:$I,9,FALSE)</f>
        <v>176</v>
      </c>
      <c r="I962" s="917" t="str">
        <f>VLOOKUP($A962,'Tech Litons'!$A:$C,3,0)</f>
        <v>48oz</v>
      </c>
      <c r="J962" s="918" t="str">
        <f t="shared" si="90"/>
        <v>135248oz</v>
      </c>
      <c r="K962" s="919">
        <v>1</v>
      </c>
      <c r="L962" s="920">
        <f t="shared" si="91"/>
        <v>2816</v>
      </c>
      <c r="M962" s="920">
        <f t="shared" si="92"/>
        <v>23.992319999999999</v>
      </c>
      <c r="N962" s="920">
        <f t="shared" si="93"/>
        <v>16</v>
      </c>
      <c r="O962" s="918" t="str">
        <f t="shared" si="94"/>
        <v>Jan</v>
      </c>
      <c r="P962" s="921">
        <f t="shared" si="95"/>
        <v>4</v>
      </c>
    </row>
    <row r="963" spans="1:16" ht="15" hidden="1" customHeight="1">
      <c r="A963" s="839">
        <v>68710285</v>
      </c>
      <c r="B963" s="839">
        <v>1352</v>
      </c>
      <c r="C963" s="906">
        <v>2904</v>
      </c>
      <c r="D963" s="907">
        <v>46043</v>
      </c>
      <c r="E963" s="839" t="s">
        <v>367</v>
      </c>
      <c r="F963" s="839" t="s">
        <v>242</v>
      </c>
      <c r="G963" s="916">
        <f>VLOOKUP($A963,'Tech Litons'!$A:$I,8,FALSE)</f>
        <v>9.5760000000000012E-3</v>
      </c>
      <c r="H963" s="917">
        <f>VLOOKUP($A963,'Tech Litons'!$A:$I,9,FALSE)</f>
        <v>132</v>
      </c>
      <c r="I963" s="917" t="str">
        <f>VLOOKUP($A963,'Tech Litons'!$A:$C,3,0)</f>
        <v>EDF</v>
      </c>
      <c r="J963" s="918" t="str">
        <f t="shared" si="90"/>
        <v>1352EDF</v>
      </c>
      <c r="K963" s="919">
        <v>1</v>
      </c>
      <c r="L963" s="920">
        <f t="shared" si="91"/>
        <v>2904</v>
      </c>
      <c r="M963" s="920">
        <f t="shared" si="92"/>
        <v>27.808704000000002</v>
      </c>
      <c r="N963" s="920">
        <f t="shared" si="93"/>
        <v>22</v>
      </c>
      <c r="O963" s="918" t="str">
        <f t="shared" si="94"/>
        <v>Jan</v>
      </c>
      <c r="P963" s="921">
        <f t="shared" si="95"/>
        <v>4</v>
      </c>
    </row>
    <row r="964" spans="1:16" ht="15" hidden="1" customHeight="1">
      <c r="A964" s="839">
        <v>69725082</v>
      </c>
      <c r="B964" s="839">
        <v>1352</v>
      </c>
      <c r="C964" s="906">
        <v>3064</v>
      </c>
      <c r="D964" s="907">
        <v>46043</v>
      </c>
      <c r="E964" s="839" t="s">
        <v>292</v>
      </c>
      <c r="F964" s="839" t="s">
        <v>223</v>
      </c>
      <c r="G964" s="916">
        <f>VLOOKUP($A964,'Tech Litons'!$A:$I,8,FALSE)</f>
        <v>5.2680000000000001E-3</v>
      </c>
      <c r="H964" s="917">
        <f>VLOOKUP($A964,'Tech Litons'!$A:$I,9,FALSE)</f>
        <v>130</v>
      </c>
      <c r="I964" s="917" t="str">
        <f>VLOOKUP($A964,'Tech Litons'!$A:$C,3,0)</f>
        <v>PG</v>
      </c>
      <c r="J964" s="918" t="str">
        <f t="shared" si="90"/>
        <v>1352PG</v>
      </c>
      <c r="K964" s="919">
        <v>1</v>
      </c>
      <c r="L964" s="920">
        <f t="shared" si="91"/>
        <v>3064</v>
      </c>
      <c r="M964" s="920">
        <f t="shared" si="92"/>
        <v>16.141152000000002</v>
      </c>
      <c r="N964" s="920">
        <f t="shared" si="93"/>
        <v>23.569230769230771</v>
      </c>
      <c r="O964" s="918" t="str">
        <f t="shared" si="94"/>
        <v>Jan</v>
      </c>
      <c r="P964" s="921">
        <f t="shared" si="95"/>
        <v>4</v>
      </c>
    </row>
    <row r="965" spans="1:16" ht="15" hidden="1" customHeight="1">
      <c r="A965" s="839">
        <v>68741742</v>
      </c>
      <c r="B965" s="839">
        <v>2904</v>
      </c>
      <c r="C965" s="906">
        <v>3129</v>
      </c>
      <c r="D965" s="907">
        <v>46043</v>
      </c>
      <c r="E965" s="839" t="s">
        <v>288</v>
      </c>
      <c r="F965" s="839" t="s">
        <v>295</v>
      </c>
      <c r="G965" s="916">
        <f>VLOOKUP($A965,'Tech Litons'!$A:$I,8,FALSE)</f>
        <v>4.2560000000000002E-3</v>
      </c>
      <c r="H965" s="917">
        <f>VLOOKUP($A965,'Tech Litons'!$A:$I,9,FALSE)</f>
        <v>154</v>
      </c>
      <c r="I965" s="917" t="str">
        <f>VLOOKUP($A965,'Tech Litons'!$A:$C,3,0)</f>
        <v>MBG</v>
      </c>
      <c r="J965" s="918" t="str">
        <f t="shared" si="90"/>
        <v>2904MBG</v>
      </c>
      <c r="K965" s="919">
        <v>1</v>
      </c>
      <c r="L965" s="920">
        <f t="shared" si="91"/>
        <v>3129</v>
      </c>
      <c r="M965" s="920">
        <f t="shared" si="92"/>
        <v>13.317024</v>
      </c>
      <c r="N965" s="920">
        <f t="shared" si="93"/>
        <v>20.318181818181817</v>
      </c>
      <c r="O965" s="918" t="str">
        <f t="shared" si="94"/>
        <v>Jan</v>
      </c>
      <c r="P965" s="921">
        <f t="shared" si="95"/>
        <v>4</v>
      </c>
    </row>
    <row r="966" spans="1:16" ht="15" hidden="1" customHeight="1">
      <c r="A966" s="839">
        <v>84135795</v>
      </c>
      <c r="B966" s="839">
        <v>5914</v>
      </c>
      <c r="C966" s="906">
        <v>3250</v>
      </c>
      <c r="D966" s="907">
        <v>46043</v>
      </c>
      <c r="E966" s="839" t="s">
        <v>497</v>
      </c>
      <c r="F966" s="839" t="s">
        <v>303</v>
      </c>
      <c r="G966" s="916">
        <f>VLOOKUP($A966,'Tech Litons'!$A:$I,8,FALSE)</f>
        <v>9.0848256361922702E-3</v>
      </c>
      <c r="H966" s="917">
        <f>VLOOKUP($A966,'Tech Litons'!$A:$I,9,FALSE)</f>
        <v>125</v>
      </c>
      <c r="I966" s="917" t="str">
        <f>VLOOKUP($A966,'Tech Litons'!$A:$C,3,0)</f>
        <v>2.4 Gal</v>
      </c>
      <c r="J966" s="918" t="str">
        <f t="shared" si="90"/>
        <v>59142.4 Gal</v>
      </c>
      <c r="K966" s="919">
        <v>1</v>
      </c>
      <c r="L966" s="920">
        <f t="shared" si="91"/>
        <v>3250</v>
      </c>
      <c r="M966" s="920">
        <f t="shared" si="92"/>
        <v>29.525683317624878</v>
      </c>
      <c r="N966" s="920">
        <f t="shared" si="93"/>
        <v>26</v>
      </c>
      <c r="O966" s="918" t="str">
        <f t="shared" si="94"/>
        <v>Jan</v>
      </c>
      <c r="P966" s="921">
        <f t="shared" si="95"/>
        <v>4</v>
      </c>
    </row>
    <row r="967" spans="1:16" ht="15" hidden="1" customHeight="1">
      <c r="A967" s="839">
        <v>68741742</v>
      </c>
      <c r="B967" s="839">
        <v>1352</v>
      </c>
      <c r="C967" s="906">
        <v>3369</v>
      </c>
      <c r="D967" s="907">
        <v>46043</v>
      </c>
      <c r="E967" s="839" t="s">
        <v>288</v>
      </c>
      <c r="F967" s="839" t="s">
        <v>289</v>
      </c>
      <c r="G967" s="916">
        <f>VLOOKUP($A967,'Tech Litons'!$A:$I,8,FALSE)</f>
        <v>4.2560000000000002E-3</v>
      </c>
      <c r="H967" s="917">
        <f>VLOOKUP($A967,'Tech Litons'!$A:$I,9,FALSE)</f>
        <v>154</v>
      </c>
      <c r="I967" s="917" t="str">
        <f>VLOOKUP($A967,'Tech Litons'!$A:$C,3,0)</f>
        <v>MBG</v>
      </c>
      <c r="J967" s="918" t="str">
        <f t="shared" si="90"/>
        <v>1352MBG</v>
      </c>
      <c r="K967" s="919">
        <v>1</v>
      </c>
      <c r="L967" s="920">
        <f t="shared" si="91"/>
        <v>3369</v>
      </c>
      <c r="M967" s="920">
        <f t="shared" si="92"/>
        <v>14.338464</v>
      </c>
      <c r="N967" s="920">
        <f t="shared" si="93"/>
        <v>21.876623376623378</v>
      </c>
      <c r="O967" s="918" t="str">
        <f t="shared" si="94"/>
        <v>Jan</v>
      </c>
      <c r="P967" s="921">
        <f t="shared" si="95"/>
        <v>4</v>
      </c>
    </row>
    <row r="968" spans="1:16" ht="15" hidden="1" customHeight="1">
      <c r="A968" s="839">
        <v>69988931</v>
      </c>
      <c r="B968" s="839">
        <v>2904</v>
      </c>
      <c r="C968" s="906">
        <v>3519</v>
      </c>
      <c r="D968" s="907">
        <v>46043</v>
      </c>
      <c r="E968" s="839" t="s">
        <v>363</v>
      </c>
      <c r="F968" s="839" t="s">
        <v>281</v>
      </c>
      <c r="G968" s="916">
        <f>VLOOKUP($A968,'Tech Litons'!$A:$I,8,FALSE)</f>
        <v>1.98E-3</v>
      </c>
      <c r="H968" s="917">
        <f>VLOOKUP($A968,'Tech Litons'!$A:$I,9,FALSE)</f>
        <v>176</v>
      </c>
      <c r="I968" s="917" t="str">
        <f>VLOOKUP($A968,'Tech Litons'!$A:$C,3,0)</f>
        <v>MG Sticks</v>
      </c>
      <c r="J968" s="918" t="str">
        <f t="shared" si="90"/>
        <v>2904MG Sticks</v>
      </c>
      <c r="K968" s="919">
        <v>1</v>
      </c>
      <c r="L968" s="920">
        <f t="shared" si="91"/>
        <v>3519</v>
      </c>
      <c r="M968" s="920">
        <f t="shared" si="92"/>
        <v>6.9676200000000001</v>
      </c>
      <c r="N968" s="920">
        <f t="shared" si="93"/>
        <v>19.994318181818183</v>
      </c>
      <c r="O968" s="918" t="str">
        <f t="shared" si="94"/>
        <v>Jan</v>
      </c>
      <c r="P968" s="921">
        <f t="shared" si="95"/>
        <v>4</v>
      </c>
    </row>
    <row r="969" spans="1:16" ht="15" hidden="1" customHeight="1">
      <c r="A969" s="839">
        <v>68867744</v>
      </c>
      <c r="B969" s="839">
        <v>2904</v>
      </c>
      <c r="C969" s="906">
        <v>3570</v>
      </c>
      <c r="D969" s="907">
        <v>46043</v>
      </c>
      <c r="E969" s="839" t="s">
        <v>306</v>
      </c>
      <c r="F969" s="839" t="s">
        <v>275</v>
      </c>
      <c r="G969" s="916">
        <f>VLOOKUP($A969,'Tech Litons'!$A:$I,8,FALSE)</f>
        <v>3.552E-3</v>
      </c>
      <c r="H969" s="917">
        <f>VLOOKUP($A969,'Tech Litons'!$A:$I,9,FALSE)</f>
        <v>255</v>
      </c>
      <c r="I969" s="917" t="str">
        <f>VLOOKUP($A969,'Tech Litons'!$A:$C,3,0)</f>
        <v>Talenti</v>
      </c>
      <c r="J969" s="918" t="str">
        <f t="shared" si="90"/>
        <v>2904Talenti</v>
      </c>
      <c r="K969" s="919">
        <v>1</v>
      </c>
      <c r="L969" s="920">
        <f t="shared" si="91"/>
        <v>3570</v>
      </c>
      <c r="M969" s="920">
        <f t="shared" si="92"/>
        <v>12.68064</v>
      </c>
      <c r="N969" s="920">
        <f t="shared" si="93"/>
        <v>14</v>
      </c>
      <c r="O969" s="918" t="str">
        <f t="shared" si="94"/>
        <v>Jan</v>
      </c>
      <c r="P969" s="921">
        <f t="shared" si="95"/>
        <v>4</v>
      </c>
    </row>
    <row r="970" spans="1:16" ht="15" hidden="1" customHeight="1">
      <c r="A970" s="839">
        <v>68850683</v>
      </c>
      <c r="B970" s="839">
        <v>1352</v>
      </c>
      <c r="C970" s="906">
        <v>3608</v>
      </c>
      <c r="D970" s="907">
        <v>46043</v>
      </c>
      <c r="E970" s="839" t="s">
        <v>311</v>
      </c>
      <c r="F970" s="839" t="s">
        <v>290</v>
      </c>
      <c r="G970" s="916">
        <f>VLOOKUP($A970,'Tech Litons'!$A:$I,8,FALSE)</f>
        <v>8.5199999999999998E-3</v>
      </c>
      <c r="H970" s="917">
        <f>VLOOKUP($A970,'Tech Litons'!$A:$I,9,FALSE)</f>
        <v>176</v>
      </c>
      <c r="I970" s="917" t="str">
        <f>VLOOKUP($A970,'Tech Litons'!$A:$C,3,0)</f>
        <v>48oz</v>
      </c>
      <c r="J970" s="918" t="str">
        <f t="shared" si="90"/>
        <v>135248oz</v>
      </c>
      <c r="K970" s="919">
        <v>1</v>
      </c>
      <c r="L970" s="920">
        <f t="shared" si="91"/>
        <v>3608</v>
      </c>
      <c r="M970" s="920">
        <f t="shared" si="92"/>
        <v>30.740159999999999</v>
      </c>
      <c r="N970" s="920">
        <f t="shared" si="93"/>
        <v>20.5</v>
      </c>
      <c r="O970" s="918" t="str">
        <f t="shared" si="94"/>
        <v>Jan</v>
      </c>
      <c r="P970" s="921">
        <f t="shared" si="95"/>
        <v>4</v>
      </c>
    </row>
    <row r="971" spans="1:16" ht="15" hidden="1" customHeight="1">
      <c r="A971" s="839">
        <v>69629468</v>
      </c>
      <c r="B971" s="839">
        <v>1352</v>
      </c>
      <c r="C971" s="906">
        <v>3936</v>
      </c>
      <c r="D971" s="907">
        <v>46043</v>
      </c>
      <c r="E971" s="839" t="s">
        <v>291</v>
      </c>
      <c r="F971" s="839" t="s">
        <v>222</v>
      </c>
      <c r="G971" s="916">
        <f>VLOOKUP($A971,'Tech Litons'!$A:$I,8,FALSE)</f>
        <v>5.2680000000000001E-3</v>
      </c>
      <c r="H971" s="917">
        <f>VLOOKUP($A971,'Tech Litons'!$A:$I,9,FALSE)</f>
        <v>130</v>
      </c>
      <c r="I971" s="917" t="str">
        <f>VLOOKUP($A971,'Tech Litons'!$A:$C,3,0)</f>
        <v>PG</v>
      </c>
      <c r="J971" s="918" t="str">
        <f t="shared" si="90"/>
        <v>1352PG</v>
      </c>
      <c r="K971" s="919">
        <v>1</v>
      </c>
      <c r="L971" s="920">
        <f t="shared" si="91"/>
        <v>3936</v>
      </c>
      <c r="M971" s="920">
        <f t="shared" si="92"/>
        <v>20.734848</v>
      </c>
      <c r="N971" s="920">
        <f t="shared" si="93"/>
        <v>30.276923076923076</v>
      </c>
      <c r="O971" s="918" t="str">
        <f t="shared" si="94"/>
        <v>Jan</v>
      </c>
      <c r="P971" s="921">
        <f t="shared" si="95"/>
        <v>4</v>
      </c>
    </row>
    <row r="972" spans="1:16" ht="15" hidden="1" customHeight="1">
      <c r="A972" s="839">
        <v>68930545</v>
      </c>
      <c r="B972" s="839">
        <v>1352</v>
      </c>
      <c r="C972" s="906">
        <v>3973</v>
      </c>
      <c r="D972" s="907">
        <v>46043</v>
      </c>
      <c r="E972" s="839" t="s">
        <v>349</v>
      </c>
      <c r="F972" s="839" t="s">
        <v>290</v>
      </c>
      <c r="G972" s="916">
        <f>VLOOKUP($A972,'Tech Litons'!$A:$I,8,FALSE)</f>
        <v>8.5199999999999998E-3</v>
      </c>
      <c r="H972" s="917">
        <f>VLOOKUP($A972,'Tech Litons'!$A:$I,9,FALSE)</f>
        <v>176</v>
      </c>
      <c r="I972" s="917" t="str">
        <f>VLOOKUP($A972,'Tech Litons'!$A:$C,3,0)</f>
        <v>48oz</v>
      </c>
      <c r="J972" s="918" t="str">
        <f t="shared" si="90"/>
        <v>135248oz</v>
      </c>
      <c r="K972" s="919">
        <v>1</v>
      </c>
      <c r="L972" s="920">
        <f t="shared" si="91"/>
        <v>3973</v>
      </c>
      <c r="M972" s="920">
        <f t="shared" si="92"/>
        <v>33.849959999999996</v>
      </c>
      <c r="N972" s="920">
        <f t="shared" si="93"/>
        <v>22.573863636363637</v>
      </c>
      <c r="O972" s="918" t="str">
        <f t="shared" si="94"/>
        <v>Jan</v>
      </c>
      <c r="P972" s="921">
        <f t="shared" si="95"/>
        <v>4</v>
      </c>
    </row>
    <row r="973" spans="1:16" ht="15" hidden="1" customHeight="1">
      <c r="A973" s="839">
        <v>64341968</v>
      </c>
      <c r="B973" s="839">
        <v>1352</v>
      </c>
      <c r="C973" s="906">
        <v>4223</v>
      </c>
      <c r="D973" s="907">
        <v>46043</v>
      </c>
      <c r="E973" s="839" t="s">
        <v>322</v>
      </c>
      <c r="F973" s="839" t="s">
        <v>261</v>
      </c>
      <c r="G973" s="916">
        <f>VLOOKUP($A973,'Tech Litons'!$A:$I,8,FALSE)</f>
        <v>8.5199999999999998E-3</v>
      </c>
      <c r="H973" s="917">
        <f>VLOOKUP($A973,'Tech Litons'!$A:$I,9,FALSE)</f>
        <v>176</v>
      </c>
      <c r="I973" s="917" t="str">
        <f>VLOOKUP($A973,'Tech Litons'!$A:$C,3,0)</f>
        <v>48oz</v>
      </c>
      <c r="J973" s="918" t="str">
        <f t="shared" si="90"/>
        <v>135248oz</v>
      </c>
      <c r="K973" s="919">
        <v>1</v>
      </c>
      <c r="L973" s="920">
        <f t="shared" si="91"/>
        <v>4223</v>
      </c>
      <c r="M973" s="920">
        <f t="shared" si="92"/>
        <v>35.979959999999998</v>
      </c>
      <c r="N973" s="920">
        <f t="shared" si="93"/>
        <v>23.994318181818183</v>
      </c>
      <c r="O973" s="918" t="str">
        <f t="shared" si="94"/>
        <v>Jan</v>
      </c>
      <c r="P973" s="921">
        <f t="shared" si="95"/>
        <v>4</v>
      </c>
    </row>
    <row r="974" spans="1:16" ht="15" hidden="1" customHeight="1">
      <c r="A974" s="839">
        <v>68817793</v>
      </c>
      <c r="B974" s="839">
        <v>1352</v>
      </c>
      <c r="C974" s="906">
        <v>4270</v>
      </c>
      <c r="D974" s="907">
        <v>46043</v>
      </c>
      <c r="E974" s="839" t="s">
        <v>353</v>
      </c>
      <c r="F974" s="839" t="s">
        <v>266</v>
      </c>
      <c r="G974" s="916">
        <f>VLOOKUP($A974,'Tech Litons'!$A:$I,8,FALSE)</f>
        <v>8.5199999999999998E-3</v>
      </c>
      <c r="H974" s="917">
        <f>VLOOKUP($A974,'Tech Litons'!$A:$I,9,FALSE)</f>
        <v>176</v>
      </c>
      <c r="I974" s="917" t="str">
        <f>VLOOKUP($A974,'Tech Litons'!$A:$C,3,0)</f>
        <v>48oz</v>
      </c>
      <c r="J974" s="918" t="str">
        <f t="shared" si="90"/>
        <v>135248oz</v>
      </c>
      <c r="K974" s="919">
        <v>1</v>
      </c>
      <c r="L974" s="920">
        <f t="shared" si="91"/>
        <v>4270</v>
      </c>
      <c r="M974" s="920">
        <f t="shared" si="92"/>
        <v>36.380400000000002</v>
      </c>
      <c r="N974" s="920">
        <f t="shared" si="93"/>
        <v>24.261363636363637</v>
      </c>
      <c r="O974" s="918" t="str">
        <f t="shared" si="94"/>
        <v>Jan</v>
      </c>
      <c r="P974" s="921">
        <f t="shared" si="95"/>
        <v>4</v>
      </c>
    </row>
    <row r="975" spans="1:16" ht="15" hidden="1" customHeight="1">
      <c r="A975" s="913">
        <v>68300738</v>
      </c>
      <c r="B975" s="839">
        <v>1352</v>
      </c>
      <c r="C975" s="914">
        <v>4274</v>
      </c>
      <c r="D975" s="907">
        <v>46043</v>
      </c>
      <c r="E975" s="913" t="s">
        <v>325</v>
      </c>
      <c r="F975" s="839" t="s">
        <v>240</v>
      </c>
      <c r="G975" s="916">
        <f>VLOOKUP($A975,'Tech Litons'!$A:$I,8,FALSE)</f>
        <v>8.4960000000000001E-3</v>
      </c>
      <c r="H975" s="917">
        <f>VLOOKUP($A975,'Tech Litons'!$A:$I,9,FALSE)</f>
        <v>132</v>
      </c>
      <c r="I975" s="917" t="str">
        <f>VLOOKUP($A975,'Tech Litons'!$A:$C,3,0)</f>
        <v>EDF</v>
      </c>
      <c r="J975" s="918" t="str">
        <f t="shared" si="90"/>
        <v>1352EDF</v>
      </c>
      <c r="K975" s="919">
        <v>1</v>
      </c>
      <c r="L975" s="920">
        <f t="shared" si="91"/>
        <v>4274</v>
      </c>
      <c r="M975" s="920">
        <f t="shared" si="92"/>
        <v>36.311903999999998</v>
      </c>
      <c r="N975" s="920">
        <f t="shared" si="93"/>
        <v>32.378787878787875</v>
      </c>
      <c r="O975" s="918" t="str">
        <f t="shared" si="94"/>
        <v>Jan</v>
      </c>
      <c r="P975" s="921">
        <f t="shared" si="95"/>
        <v>4</v>
      </c>
    </row>
    <row r="976" spans="1:16" ht="15" hidden="1" customHeight="1">
      <c r="A976" s="913">
        <v>68817796</v>
      </c>
      <c r="B976" s="839">
        <v>1352</v>
      </c>
      <c r="C976" s="914">
        <v>4333</v>
      </c>
      <c r="D976" s="907">
        <v>46043</v>
      </c>
      <c r="E976" s="913" t="s">
        <v>263</v>
      </c>
      <c r="F976" s="839" t="s">
        <v>264</v>
      </c>
      <c r="G976" s="916">
        <f>VLOOKUP($A976,'Tech Litons'!$A:$I,8,FALSE)</f>
        <v>8.513999999999999E-3</v>
      </c>
      <c r="H976" s="917">
        <f>VLOOKUP($A976,'Tech Litons'!$A:$I,9,FALSE)</f>
        <v>176</v>
      </c>
      <c r="I976" s="917" t="str">
        <f>VLOOKUP($A976,'Tech Litons'!$A:$C,3,0)</f>
        <v>48oz</v>
      </c>
      <c r="J976" s="918" t="str">
        <f t="shared" si="90"/>
        <v>135248oz</v>
      </c>
      <c r="K976" s="919">
        <v>1</v>
      </c>
      <c r="L976" s="920">
        <f t="shared" si="91"/>
        <v>4333</v>
      </c>
      <c r="M976" s="920">
        <f t="shared" si="92"/>
        <v>36.891161999999994</v>
      </c>
      <c r="N976" s="920">
        <f t="shared" si="93"/>
        <v>24.619318181818183</v>
      </c>
      <c r="O976" s="918" t="str">
        <f t="shared" si="94"/>
        <v>Jan</v>
      </c>
      <c r="P976" s="921">
        <f t="shared" si="95"/>
        <v>4</v>
      </c>
    </row>
    <row r="977" spans="1:16" ht="15" hidden="1" customHeight="1">
      <c r="A977" s="913">
        <v>68689251</v>
      </c>
      <c r="B977" s="839">
        <v>1352</v>
      </c>
      <c r="C977" s="914">
        <v>4385</v>
      </c>
      <c r="D977" s="907">
        <v>46043</v>
      </c>
      <c r="E977" s="913" t="s">
        <v>262</v>
      </c>
      <c r="F977" s="839" t="s">
        <v>241</v>
      </c>
      <c r="G977" s="916">
        <f>VLOOKUP($A977,'Tech Litons'!$A:$I,8,FALSE)</f>
        <v>9.5760000000000012E-3</v>
      </c>
      <c r="H977" s="917">
        <f>VLOOKUP($A977,'Tech Litons'!$A:$I,9,FALSE)</f>
        <v>132</v>
      </c>
      <c r="I977" s="917" t="str">
        <f>VLOOKUP($A977,'Tech Litons'!$A:$C,3,0)</f>
        <v>EDF</v>
      </c>
      <c r="J977" s="918" t="str">
        <f t="shared" si="90"/>
        <v>1352EDF</v>
      </c>
      <c r="K977" s="919">
        <v>1</v>
      </c>
      <c r="L977" s="920">
        <f t="shared" si="91"/>
        <v>4385</v>
      </c>
      <c r="M977" s="920">
        <f t="shared" si="92"/>
        <v>41.990760000000002</v>
      </c>
      <c r="N977" s="920">
        <f t="shared" si="93"/>
        <v>33.219696969696969</v>
      </c>
      <c r="O977" s="918" t="str">
        <f t="shared" si="94"/>
        <v>Jan</v>
      </c>
      <c r="P977" s="921">
        <f t="shared" si="95"/>
        <v>4</v>
      </c>
    </row>
    <row r="978" spans="1:16" ht="15" hidden="1" customHeight="1">
      <c r="A978" s="913">
        <v>68710285</v>
      </c>
      <c r="B978" s="839">
        <v>1352</v>
      </c>
      <c r="C978" s="914">
        <v>4399</v>
      </c>
      <c r="D978" s="907">
        <v>46043</v>
      </c>
      <c r="E978" s="913" t="s">
        <v>367</v>
      </c>
      <c r="F978" s="839" t="s">
        <v>242</v>
      </c>
      <c r="G978" s="916">
        <f>VLOOKUP($A978,'Tech Litons'!$A:$I,8,FALSE)</f>
        <v>9.5760000000000012E-3</v>
      </c>
      <c r="H978" s="917">
        <f>VLOOKUP($A978,'Tech Litons'!$A:$I,9,FALSE)</f>
        <v>132</v>
      </c>
      <c r="I978" s="917" t="str">
        <f>VLOOKUP($A978,'Tech Litons'!$A:$C,3,0)</f>
        <v>EDF</v>
      </c>
      <c r="J978" s="918" t="str">
        <f t="shared" ref="J978:J1041" si="96">B978&amp;I978</f>
        <v>1352EDF</v>
      </c>
      <c r="K978" s="919">
        <v>1</v>
      </c>
      <c r="L978" s="920">
        <f t="shared" ref="L978:L1041" si="97">C978*$K978</f>
        <v>4399</v>
      </c>
      <c r="M978" s="920">
        <f t="shared" ref="M978:M1041" si="98">L978*G978</f>
        <v>42.124824000000004</v>
      </c>
      <c r="N978" s="920">
        <f t="shared" ref="N978:N1041" si="99">L978/H978</f>
        <v>33.325757575757578</v>
      </c>
      <c r="O978" s="918" t="str">
        <f t="shared" ref="O978:O1041" si="100">TEXT(D978,"MMM")</f>
        <v>Jan</v>
      </c>
      <c r="P978" s="921">
        <f t="shared" ref="P978:P1041" si="101">WEEKNUM(D978)</f>
        <v>4</v>
      </c>
    </row>
    <row r="979" spans="1:16" ht="15" hidden="1" customHeight="1">
      <c r="A979" s="913">
        <v>64789261</v>
      </c>
      <c r="B979" s="839">
        <v>1352</v>
      </c>
      <c r="C979" s="914">
        <v>4466</v>
      </c>
      <c r="D979" s="907">
        <v>46043</v>
      </c>
      <c r="E979" s="913" t="s">
        <v>366</v>
      </c>
      <c r="F979" s="839" t="s">
        <v>287</v>
      </c>
      <c r="G979" s="916">
        <f>VLOOKUP($A979,'Tech Litons'!$A:$I,8,FALSE)</f>
        <v>2.8319999999999999E-3</v>
      </c>
      <c r="H979" s="917">
        <f>VLOOKUP($A979,'Tech Litons'!$A:$I,9,FALSE)</f>
        <v>225</v>
      </c>
      <c r="I979" s="917" t="str">
        <f>VLOOKUP($A979,'Tech Litons'!$A:$C,3,0)</f>
        <v>MBG</v>
      </c>
      <c r="J979" s="918" t="str">
        <f t="shared" si="96"/>
        <v>1352MBG</v>
      </c>
      <c r="K979" s="919">
        <v>1</v>
      </c>
      <c r="L979" s="920">
        <f t="shared" si="97"/>
        <v>4466</v>
      </c>
      <c r="M979" s="920">
        <f t="shared" si="98"/>
        <v>12.647712</v>
      </c>
      <c r="N979" s="920">
        <f t="shared" si="99"/>
        <v>19.84888888888889</v>
      </c>
      <c r="O979" s="918" t="str">
        <f t="shared" si="100"/>
        <v>Jan</v>
      </c>
      <c r="P979" s="921">
        <f t="shared" si="101"/>
        <v>4</v>
      </c>
    </row>
    <row r="980" spans="1:16" ht="15" hidden="1" customHeight="1">
      <c r="A980" s="913">
        <v>69988931</v>
      </c>
      <c r="B980" s="839">
        <v>2904</v>
      </c>
      <c r="C980" s="914">
        <v>4845</v>
      </c>
      <c r="D980" s="907">
        <v>46043</v>
      </c>
      <c r="E980" s="913" t="s">
        <v>363</v>
      </c>
      <c r="F980" s="839" t="s">
        <v>281</v>
      </c>
      <c r="G980" s="916">
        <f>VLOOKUP($A980,'Tech Litons'!$A:$I,8,FALSE)</f>
        <v>1.98E-3</v>
      </c>
      <c r="H980" s="917">
        <f>VLOOKUP($A980,'Tech Litons'!$A:$I,9,FALSE)</f>
        <v>176</v>
      </c>
      <c r="I980" s="917" t="str">
        <f>VLOOKUP($A980,'Tech Litons'!$A:$C,3,0)</f>
        <v>MG Sticks</v>
      </c>
      <c r="J980" s="918" t="str">
        <f t="shared" si="96"/>
        <v>2904MG Sticks</v>
      </c>
      <c r="K980" s="919">
        <v>1</v>
      </c>
      <c r="L980" s="920">
        <f t="shared" si="97"/>
        <v>4845</v>
      </c>
      <c r="M980" s="920">
        <f t="shared" si="98"/>
        <v>9.5930999999999997</v>
      </c>
      <c r="N980" s="920">
        <f t="shared" si="99"/>
        <v>27.52840909090909</v>
      </c>
      <c r="O980" s="918" t="str">
        <f t="shared" si="100"/>
        <v>Jan</v>
      </c>
      <c r="P980" s="921">
        <f t="shared" si="101"/>
        <v>4</v>
      </c>
    </row>
    <row r="981" spans="1:16" ht="15" hidden="1" customHeight="1">
      <c r="A981" s="913">
        <v>69717803</v>
      </c>
      <c r="B981" s="839">
        <v>2904</v>
      </c>
      <c r="C981" s="914">
        <v>4862</v>
      </c>
      <c r="D981" s="907">
        <v>46043</v>
      </c>
      <c r="E981" s="913" t="s">
        <v>362</v>
      </c>
      <c r="F981" s="839" t="s">
        <v>231</v>
      </c>
      <c r="G981" s="916">
        <f>VLOOKUP($A981,'Tech Litons'!$A:$I,8,FALSE)</f>
        <v>4.2560000000000002E-3</v>
      </c>
      <c r="H981" s="917">
        <f>VLOOKUP($A981,'Tech Litons'!$A:$I,9,FALSE)</f>
        <v>143</v>
      </c>
      <c r="I981" s="917" t="str">
        <f>VLOOKUP($A981,'Tech Litons'!$A:$C,3,0)</f>
        <v>MG Sticks</v>
      </c>
      <c r="J981" s="918" t="str">
        <f t="shared" si="96"/>
        <v>2904MG Sticks</v>
      </c>
      <c r="K981" s="919">
        <v>1</v>
      </c>
      <c r="L981" s="920">
        <f t="shared" si="97"/>
        <v>4862</v>
      </c>
      <c r="M981" s="920">
        <f t="shared" si="98"/>
        <v>20.692672000000002</v>
      </c>
      <c r="N981" s="920">
        <f t="shared" si="99"/>
        <v>34</v>
      </c>
      <c r="O981" s="918" t="str">
        <f t="shared" si="100"/>
        <v>Jan</v>
      </c>
      <c r="P981" s="921">
        <f t="shared" si="101"/>
        <v>4</v>
      </c>
    </row>
    <row r="982" spans="1:16" ht="15" hidden="1" customHeight="1">
      <c r="A982" s="913">
        <v>84144598</v>
      </c>
      <c r="B982" s="839">
        <v>2904</v>
      </c>
      <c r="C982" s="914">
        <v>5921</v>
      </c>
      <c r="D982" s="907">
        <v>46043</v>
      </c>
      <c r="E982" s="913" t="s">
        <v>364</v>
      </c>
      <c r="F982" s="839" t="s">
        <v>299</v>
      </c>
      <c r="G982" s="916">
        <f>VLOOKUP($A982,'Tech Litons'!$A:$I,8,FALSE)</f>
        <v>3.7853439999999999E-3</v>
      </c>
      <c r="H982" s="917">
        <f>VLOOKUP($A982,'Tech Litons'!$A:$I,9,FALSE)</f>
        <v>240</v>
      </c>
      <c r="I982" s="917" t="str">
        <f>VLOOKUP($A982,'Tech Litons'!$A:$C,3,0)</f>
        <v>BJ PTS</v>
      </c>
      <c r="J982" s="918" t="str">
        <f t="shared" si="96"/>
        <v>2904BJ PTS</v>
      </c>
      <c r="K982" s="919">
        <v>1</v>
      </c>
      <c r="L982" s="920">
        <f t="shared" si="97"/>
        <v>5921</v>
      </c>
      <c r="M982" s="920">
        <f t="shared" si="98"/>
        <v>22.413021824000001</v>
      </c>
      <c r="N982" s="920">
        <f t="shared" si="99"/>
        <v>24.670833333333334</v>
      </c>
      <c r="O982" s="918" t="str">
        <f t="shared" si="100"/>
        <v>Jan</v>
      </c>
      <c r="P982" s="921">
        <f t="shared" si="101"/>
        <v>4</v>
      </c>
    </row>
    <row r="983" spans="1:16" ht="15" hidden="1" customHeight="1">
      <c r="A983" s="913">
        <v>68821735</v>
      </c>
      <c r="B983" s="839">
        <v>2904</v>
      </c>
      <c r="C983" s="914">
        <v>5945</v>
      </c>
      <c r="D983" s="907">
        <v>46043</v>
      </c>
      <c r="E983" s="913" t="s">
        <v>318</v>
      </c>
      <c r="F983" s="839" t="s">
        <v>269</v>
      </c>
      <c r="G983" s="916">
        <f>VLOOKUP($A983,'Tech Litons'!$A:$I,8,FALSE)</f>
        <v>8.5199999999999998E-3</v>
      </c>
      <c r="H983" s="917">
        <f>VLOOKUP($A983,'Tech Litons'!$A:$I,9,FALSE)</f>
        <v>176</v>
      </c>
      <c r="I983" s="917" t="str">
        <f>VLOOKUP($A983,'Tech Litons'!$A:$C,3,0)</f>
        <v>48oz</v>
      </c>
      <c r="J983" s="918" t="str">
        <f t="shared" si="96"/>
        <v>290448oz</v>
      </c>
      <c r="K983" s="919">
        <v>1</v>
      </c>
      <c r="L983" s="920">
        <f t="shared" si="97"/>
        <v>5945</v>
      </c>
      <c r="M983" s="920">
        <f t="shared" si="98"/>
        <v>50.651399999999995</v>
      </c>
      <c r="N983" s="920">
        <f t="shared" si="99"/>
        <v>33.778409090909093</v>
      </c>
      <c r="O983" s="918" t="str">
        <f t="shared" si="100"/>
        <v>Jan</v>
      </c>
      <c r="P983" s="921">
        <f t="shared" si="101"/>
        <v>4</v>
      </c>
    </row>
    <row r="984" spans="1:16" ht="15" hidden="1" customHeight="1">
      <c r="A984" s="913">
        <v>68850683</v>
      </c>
      <c r="B984" s="839">
        <v>1352</v>
      </c>
      <c r="C984" s="914">
        <v>6096</v>
      </c>
      <c r="D984" s="907">
        <v>46043</v>
      </c>
      <c r="E984" s="913" t="s">
        <v>311</v>
      </c>
      <c r="F984" s="839" t="s">
        <v>290</v>
      </c>
      <c r="G984" s="916">
        <f>VLOOKUP($A984,'Tech Litons'!$A:$I,8,FALSE)</f>
        <v>8.5199999999999998E-3</v>
      </c>
      <c r="H984" s="917">
        <f>VLOOKUP($A984,'Tech Litons'!$A:$I,9,FALSE)</f>
        <v>176</v>
      </c>
      <c r="I984" s="917" t="str">
        <f>VLOOKUP($A984,'Tech Litons'!$A:$C,3,0)</f>
        <v>48oz</v>
      </c>
      <c r="J984" s="918" t="str">
        <f t="shared" si="96"/>
        <v>135248oz</v>
      </c>
      <c r="K984" s="919">
        <v>1</v>
      </c>
      <c r="L984" s="920">
        <f t="shared" si="97"/>
        <v>6096</v>
      </c>
      <c r="M984" s="920">
        <f t="shared" si="98"/>
        <v>51.937919999999998</v>
      </c>
      <c r="N984" s="920">
        <f t="shared" si="99"/>
        <v>34.636363636363633</v>
      </c>
      <c r="O984" s="918" t="str">
        <f t="shared" si="100"/>
        <v>Jan</v>
      </c>
      <c r="P984" s="921">
        <f t="shared" si="101"/>
        <v>4</v>
      </c>
    </row>
    <row r="985" spans="1:16" ht="15" hidden="1" customHeight="1">
      <c r="A985" s="913">
        <v>64988055</v>
      </c>
      <c r="B985" s="839">
        <v>2904</v>
      </c>
      <c r="C985" s="914">
        <v>6336</v>
      </c>
      <c r="D985" s="907">
        <v>46043</v>
      </c>
      <c r="E985" s="913" t="s">
        <v>360</v>
      </c>
      <c r="F985" s="839" t="s">
        <v>271</v>
      </c>
      <c r="G985" s="916">
        <f>VLOOKUP($A985,'Tech Litons'!$A:$I,8,FALSE)</f>
        <v>8.513999999999999E-3</v>
      </c>
      <c r="H985" s="917">
        <f>VLOOKUP($A985,'Tech Litons'!$A:$I,9,FALSE)</f>
        <v>176</v>
      </c>
      <c r="I985" s="917" t="str">
        <f>VLOOKUP($A985,'Tech Litons'!$A:$C,3,0)</f>
        <v>48oz</v>
      </c>
      <c r="J985" s="918" t="str">
        <f t="shared" si="96"/>
        <v>290448oz</v>
      </c>
      <c r="K985" s="919">
        <v>1</v>
      </c>
      <c r="L985" s="920">
        <f t="shared" si="97"/>
        <v>6336</v>
      </c>
      <c r="M985" s="920">
        <f t="shared" si="98"/>
        <v>53.944703999999994</v>
      </c>
      <c r="N985" s="920">
        <f t="shared" si="99"/>
        <v>36</v>
      </c>
      <c r="O985" s="918" t="str">
        <f t="shared" si="100"/>
        <v>Jan</v>
      </c>
      <c r="P985" s="921">
        <f t="shared" si="101"/>
        <v>4</v>
      </c>
    </row>
    <row r="986" spans="1:16" ht="15" hidden="1" customHeight="1">
      <c r="A986" s="913">
        <v>64988055</v>
      </c>
      <c r="B986" s="839">
        <v>2904</v>
      </c>
      <c r="C986" s="914">
        <v>6336</v>
      </c>
      <c r="D986" s="907">
        <v>46043</v>
      </c>
      <c r="E986" s="913" t="s">
        <v>360</v>
      </c>
      <c r="F986" s="839" t="s">
        <v>271</v>
      </c>
      <c r="G986" s="916">
        <f>VLOOKUP($A986,'Tech Litons'!$A:$I,8,FALSE)</f>
        <v>8.513999999999999E-3</v>
      </c>
      <c r="H986" s="917">
        <f>VLOOKUP($A986,'Tech Litons'!$A:$I,9,FALSE)</f>
        <v>176</v>
      </c>
      <c r="I986" s="917" t="str">
        <f>VLOOKUP($A986,'Tech Litons'!$A:$C,3,0)</f>
        <v>48oz</v>
      </c>
      <c r="J986" s="918" t="str">
        <f t="shared" si="96"/>
        <v>290448oz</v>
      </c>
      <c r="K986" s="919">
        <v>1</v>
      </c>
      <c r="L986" s="920">
        <f t="shared" si="97"/>
        <v>6336</v>
      </c>
      <c r="M986" s="920">
        <f t="shared" si="98"/>
        <v>53.944703999999994</v>
      </c>
      <c r="N986" s="920">
        <f t="shared" si="99"/>
        <v>36</v>
      </c>
      <c r="O986" s="918" t="str">
        <f t="shared" si="100"/>
        <v>Jan</v>
      </c>
      <c r="P986" s="921">
        <f t="shared" si="101"/>
        <v>4</v>
      </c>
    </row>
    <row r="987" spans="1:16" ht="15" hidden="1" customHeight="1">
      <c r="A987" s="913">
        <v>68821735</v>
      </c>
      <c r="B987" s="839">
        <v>2904</v>
      </c>
      <c r="C987" s="914">
        <v>6336</v>
      </c>
      <c r="D987" s="907">
        <v>46043</v>
      </c>
      <c r="E987" s="913" t="s">
        <v>318</v>
      </c>
      <c r="F987" s="839" t="s">
        <v>269</v>
      </c>
      <c r="G987" s="916">
        <f>VLOOKUP($A987,'Tech Litons'!$A:$I,8,FALSE)</f>
        <v>8.5199999999999998E-3</v>
      </c>
      <c r="H987" s="917">
        <f>VLOOKUP($A987,'Tech Litons'!$A:$I,9,FALSE)</f>
        <v>176</v>
      </c>
      <c r="I987" s="917" t="str">
        <f>VLOOKUP($A987,'Tech Litons'!$A:$C,3,0)</f>
        <v>48oz</v>
      </c>
      <c r="J987" s="918" t="str">
        <f t="shared" si="96"/>
        <v>290448oz</v>
      </c>
      <c r="K987" s="919">
        <v>1</v>
      </c>
      <c r="L987" s="920">
        <f t="shared" si="97"/>
        <v>6336</v>
      </c>
      <c r="M987" s="920">
        <f t="shared" si="98"/>
        <v>53.98272</v>
      </c>
      <c r="N987" s="920">
        <f t="shared" si="99"/>
        <v>36</v>
      </c>
      <c r="O987" s="918" t="str">
        <f t="shared" si="100"/>
        <v>Jan</v>
      </c>
      <c r="P987" s="921">
        <f t="shared" si="101"/>
        <v>4</v>
      </c>
    </row>
    <row r="988" spans="1:16" ht="15" hidden="1" customHeight="1">
      <c r="A988" s="913">
        <v>64341968</v>
      </c>
      <c r="B988" s="839">
        <v>1352</v>
      </c>
      <c r="C988" s="914">
        <v>6963</v>
      </c>
      <c r="D988" s="907">
        <v>46043</v>
      </c>
      <c r="E988" s="913" t="s">
        <v>322</v>
      </c>
      <c r="F988" s="839" t="s">
        <v>261</v>
      </c>
      <c r="G988" s="916">
        <f>VLOOKUP($A988,'Tech Litons'!$A:$I,8,FALSE)</f>
        <v>8.5199999999999998E-3</v>
      </c>
      <c r="H988" s="917">
        <f>VLOOKUP($A988,'Tech Litons'!$A:$I,9,FALSE)</f>
        <v>176</v>
      </c>
      <c r="I988" s="917" t="str">
        <f>VLOOKUP($A988,'Tech Litons'!$A:$C,3,0)</f>
        <v>48oz</v>
      </c>
      <c r="J988" s="918" t="str">
        <f t="shared" si="96"/>
        <v>135248oz</v>
      </c>
      <c r="K988" s="919">
        <v>1</v>
      </c>
      <c r="L988" s="920">
        <f t="shared" si="97"/>
        <v>6963</v>
      </c>
      <c r="M988" s="920">
        <f t="shared" si="98"/>
        <v>59.324759999999998</v>
      </c>
      <c r="N988" s="920">
        <f t="shared" si="99"/>
        <v>39.5625</v>
      </c>
      <c r="O988" s="918" t="str">
        <f t="shared" si="100"/>
        <v>Jan</v>
      </c>
      <c r="P988" s="921">
        <f t="shared" si="101"/>
        <v>4</v>
      </c>
    </row>
    <row r="989" spans="1:16" ht="15" hidden="1" customHeight="1">
      <c r="A989" s="913">
        <v>68930545</v>
      </c>
      <c r="B989" s="839">
        <v>1352</v>
      </c>
      <c r="C989" s="914">
        <v>7035</v>
      </c>
      <c r="D989" s="907">
        <v>46043</v>
      </c>
      <c r="E989" s="913" t="s">
        <v>349</v>
      </c>
      <c r="F989" s="839" t="s">
        <v>290</v>
      </c>
      <c r="G989" s="916">
        <f>VLOOKUP($A989,'Tech Litons'!$A:$I,8,FALSE)</f>
        <v>8.5199999999999998E-3</v>
      </c>
      <c r="H989" s="917">
        <f>VLOOKUP($A989,'Tech Litons'!$A:$I,9,FALSE)</f>
        <v>176</v>
      </c>
      <c r="I989" s="917" t="str">
        <f>VLOOKUP($A989,'Tech Litons'!$A:$C,3,0)</f>
        <v>48oz</v>
      </c>
      <c r="J989" s="918" t="str">
        <f t="shared" si="96"/>
        <v>135248oz</v>
      </c>
      <c r="K989" s="919">
        <v>1</v>
      </c>
      <c r="L989" s="920">
        <f t="shared" si="97"/>
        <v>7035</v>
      </c>
      <c r="M989" s="920">
        <f t="shared" si="98"/>
        <v>59.938200000000002</v>
      </c>
      <c r="N989" s="920">
        <f t="shared" si="99"/>
        <v>39.971590909090907</v>
      </c>
      <c r="O989" s="918" t="str">
        <f t="shared" si="100"/>
        <v>Jan</v>
      </c>
      <c r="P989" s="921">
        <f t="shared" si="101"/>
        <v>4</v>
      </c>
    </row>
    <row r="990" spans="1:16" ht="15" hidden="1" customHeight="1">
      <c r="A990" s="913">
        <v>68867744</v>
      </c>
      <c r="B990" s="839">
        <v>2904</v>
      </c>
      <c r="C990" s="914">
        <v>7200</v>
      </c>
      <c r="D990" s="907">
        <v>46043</v>
      </c>
      <c r="E990" s="913" t="s">
        <v>306</v>
      </c>
      <c r="F990" s="839" t="s">
        <v>275</v>
      </c>
      <c r="G990" s="916">
        <f>VLOOKUP($A990,'Tech Litons'!$A:$I,8,FALSE)</f>
        <v>3.552E-3</v>
      </c>
      <c r="H990" s="917">
        <f>VLOOKUP($A990,'Tech Litons'!$A:$I,9,FALSE)</f>
        <v>255</v>
      </c>
      <c r="I990" s="917" t="str">
        <f>VLOOKUP($A990,'Tech Litons'!$A:$C,3,0)</f>
        <v>Talenti</v>
      </c>
      <c r="J990" s="918" t="str">
        <f t="shared" si="96"/>
        <v>2904Talenti</v>
      </c>
      <c r="K990" s="919">
        <v>1</v>
      </c>
      <c r="L990" s="920">
        <f t="shared" si="97"/>
        <v>7200</v>
      </c>
      <c r="M990" s="920">
        <f t="shared" si="98"/>
        <v>25.574400000000001</v>
      </c>
      <c r="N990" s="920">
        <f t="shared" si="99"/>
        <v>28.235294117647058</v>
      </c>
      <c r="O990" s="918" t="str">
        <f t="shared" si="100"/>
        <v>Jan</v>
      </c>
      <c r="P990" s="921">
        <f t="shared" si="101"/>
        <v>4</v>
      </c>
    </row>
    <row r="991" spans="1:16" ht="15" hidden="1" customHeight="1">
      <c r="A991" s="913">
        <v>68821734</v>
      </c>
      <c r="B991" s="839">
        <v>2904</v>
      </c>
      <c r="C991" s="914">
        <v>7216</v>
      </c>
      <c r="D991" s="907">
        <v>46043</v>
      </c>
      <c r="E991" s="913" t="s">
        <v>370</v>
      </c>
      <c r="F991" s="839" t="s">
        <v>273</v>
      </c>
      <c r="G991" s="916">
        <f>VLOOKUP($A991,'Tech Litons'!$A:$I,8,FALSE)</f>
        <v>8.5199999999999998E-3</v>
      </c>
      <c r="H991" s="917">
        <f>VLOOKUP($A991,'Tech Litons'!$A:$I,9,FALSE)</f>
        <v>176</v>
      </c>
      <c r="I991" s="917" t="str">
        <f>VLOOKUP($A991,'Tech Litons'!$A:$C,3,0)</f>
        <v>48oz</v>
      </c>
      <c r="J991" s="918" t="str">
        <f t="shared" si="96"/>
        <v>290448oz</v>
      </c>
      <c r="K991" s="919">
        <v>1</v>
      </c>
      <c r="L991" s="920">
        <f t="shared" si="97"/>
        <v>7216</v>
      </c>
      <c r="M991" s="920">
        <f t="shared" si="98"/>
        <v>61.480319999999999</v>
      </c>
      <c r="N991" s="920">
        <f t="shared" si="99"/>
        <v>41</v>
      </c>
      <c r="O991" s="918" t="str">
        <f t="shared" si="100"/>
        <v>Jan</v>
      </c>
      <c r="P991" s="921">
        <f t="shared" si="101"/>
        <v>4</v>
      </c>
    </row>
    <row r="992" spans="1:16" ht="15" hidden="1" customHeight="1">
      <c r="A992" s="913">
        <v>69999266</v>
      </c>
      <c r="B992" s="839">
        <v>5914</v>
      </c>
      <c r="C992" s="914">
        <v>7680</v>
      </c>
      <c r="D992" s="907">
        <v>46043</v>
      </c>
      <c r="E992" s="913" t="s">
        <v>298</v>
      </c>
      <c r="F992" s="839" t="s">
        <v>303</v>
      </c>
      <c r="G992" s="916">
        <f>VLOOKUP($A992,'Tech Litons'!$A:$I,8,FALSE)</f>
        <v>3.7839999999999996E-3</v>
      </c>
      <c r="H992" s="917">
        <f>VLOOKUP($A992,'Tech Litons'!$A:$I,9,FALSE)</f>
        <v>240</v>
      </c>
      <c r="I992" s="917" t="str">
        <f>VLOOKUP($A992,'Tech Litons'!$A:$C,3,0)</f>
        <v>BJ PTS</v>
      </c>
      <c r="J992" s="918" t="str">
        <f t="shared" si="96"/>
        <v>5914BJ PTS</v>
      </c>
      <c r="K992" s="919">
        <v>1</v>
      </c>
      <c r="L992" s="920">
        <f t="shared" si="97"/>
        <v>7680</v>
      </c>
      <c r="M992" s="920">
        <f t="shared" si="98"/>
        <v>29.061119999999995</v>
      </c>
      <c r="N992" s="920">
        <f t="shared" si="99"/>
        <v>32</v>
      </c>
      <c r="O992" s="918" t="str">
        <f t="shared" si="100"/>
        <v>Jan</v>
      </c>
      <c r="P992" s="921">
        <f t="shared" si="101"/>
        <v>4</v>
      </c>
    </row>
    <row r="993" spans="1:16" ht="15" hidden="1" customHeight="1">
      <c r="A993" s="913">
        <v>68354586</v>
      </c>
      <c r="B993" s="839">
        <v>2904</v>
      </c>
      <c r="C993" s="914">
        <v>8059</v>
      </c>
      <c r="D993" s="907">
        <v>46043</v>
      </c>
      <c r="E993" s="913" t="s">
        <v>361</v>
      </c>
      <c r="F993" s="839" t="s">
        <v>40</v>
      </c>
      <c r="G993" s="916">
        <f>VLOOKUP($A993,'Tech Litons'!$A:$I,8,FALSE)</f>
        <v>3.5999999999999999E-3</v>
      </c>
      <c r="H993" s="917">
        <f>VLOOKUP($A993,'Tech Litons'!$A:$I,9,FALSE)</f>
        <v>240</v>
      </c>
      <c r="I993" s="917" t="str">
        <f>VLOOKUP($A993,'Tech Litons'!$A:$C,3,0)</f>
        <v>Topped</v>
      </c>
      <c r="J993" s="918" t="str">
        <f t="shared" si="96"/>
        <v>2904Topped</v>
      </c>
      <c r="K993" s="919">
        <v>1</v>
      </c>
      <c r="L993" s="920">
        <f t="shared" si="97"/>
        <v>8059</v>
      </c>
      <c r="M993" s="920">
        <f t="shared" si="98"/>
        <v>29.0124</v>
      </c>
      <c r="N993" s="920">
        <f t="shared" si="99"/>
        <v>33.579166666666666</v>
      </c>
      <c r="O993" s="918" t="str">
        <f t="shared" si="100"/>
        <v>Jan</v>
      </c>
      <c r="P993" s="921">
        <f t="shared" si="101"/>
        <v>4</v>
      </c>
    </row>
    <row r="994" spans="1:16" ht="15" hidden="1" customHeight="1">
      <c r="A994" s="913">
        <v>64958128</v>
      </c>
      <c r="B994" s="839">
        <v>2904</v>
      </c>
      <c r="C994" s="914">
        <v>8085</v>
      </c>
      <c r="D994" s="907">
        <v>46043</v>
      </c>
      <c r="E994" s="913" t="s">
        <v>235</v>
      </c>
      <c r="F994" s="839" t="s">
        <v>234</v>
      </c>
      <c r="G994" s="916">
        <f>VLOOKUP($A994,'Tech Litons'!$A:$I,8,FALSE)</f>
        <v>3.3119999999999998E-3</v>
      </c>
      <c r="H994" s="917">
        <f>VLOOKUP($A994,'Tech Litons'!$A:$I,9,FALSE)</f>
        <v>165</v>
      </c>
      <c r="I994" s="917" t="str">
        <f>VLOOKUP($A994,'Tech Litons'!$A:$C,3,0)</f>
        <v>Yasso Sticks</v>
      </c>
      <c r="J994" s="918" t="str">
        <f t="shared" si="96"/>
        <v>2904Yasso Sticks</v>
      </c>
      <c r="K994" s="919">
        <v>1</v>
      </c>
      <c r="L994" s="920">
        <f t="shared" si="97"/>
        <v>8085</v>
      </c>
      <c r="M994" s="920">
        <f t="shared" si="98"/>
        <v>26.777519999999999</v>
      </c>
      <c r="N994" s="920">
        <f t="shared" si="99"/>
        <v>49</v>
      </c>
      <c r="O994" s="918" t="str">
        <f t="shared" si="100"/>
        <v>Jan</v>
      </c>
      <c r="P994" s="921">
        <f t="shared" si="101"/>
        <v>4</v>
      </c>
    </row>
    <row r="995" spans="1:16" ht="15" hidden="1" customHeight="1">
      <c r="A995" s="913">
        <v>68817796</v>
      </c>
      <c r="B995" s="839">
        <v>1352</v>
      </c>
      <c r="C995" s="914">
        <v>9147</v>
      </c>
      <c r="D995" s="907">
        <v>46043</v>
      </c>
      <c r="E995" s="913" t="s">
        <v>263</v>
      </c>
      <c r="F995" s="839" t="s">
        <v>264</v>
      </c>
      <c r="G995" s="916">
        <f>VLOOKUP($A995,'Tech Litons'!$A:$I,8,FALSE)</f>
        <v>8.513999999999999E-3</v>
      </c>
      <c r="H995" s="917">
        <f>VLOOKUP($A995,'Tech Litons'!$A:$I,9,FALSE)</f>
        <v>176</v>
      </c>
      <c r="I995" s="917" t="str">
        <f>VLOOKUP($A995,'Tech Litons'!$A:$C,3,0)</f>
        <v>48oz</v>
      </c>
      <c r="J995" s="918" t="str">
        <f t="shared" si="96"/>
        <v>135248oz</v>
      </c>
      <c r="K995" s="919">
        <v>1</v>
      </c>
      <c r="L995" s="920">
        <f t="shared" si="97"/>
        <v>9147</v>
      </c>
      <c r="M995" s="920">
        <f t="shared" si="98"/>
        <v>77.877557999999993</v>
      </c>
      <c r="N995" s="920">
        <f t="shared" si="99"/>
        <v>51.971590909090907</v>
      </c>
      <c r="O995" s="918" t="str">
        <f t="shared" si="100"/>
        <v>Jan</v>
      </c>
      <c r="P995" s="921">
        <f t="shared" si="101"/>
        <v>4</v>
      </c>
    </row>
    <row r="996" spans="1:16" ht="15" hidden="1" customHeight="1">
      <c r="A996" s="913">
        <v>68851107</v>
      </c>
      <c r="B996" s="839">
        <v>2904</v>
      </c>
      <c r="C996" s="914">
        <v>9761</v>
      </c>
      <c r="D996" s="907">
        <v>46043</v>
      </c>
      <c r="E996" s="913" t="s">
        <v>272</v>
      </c>
      <c r="F996" s="839" t="s">
        <v>273</v>
      </c>
      <c r="G996" s="916">
        <f>VLOOKUP($A996,'Tech Litons'!$A:$I,8,FALSE)</f>
        <v>8.5199999999999998E-3</v>
      </c>
      <c r="H996" s="917">
        <f>VLOOKUP($A996,'Tech Litons'!$A:$I,9,FALSE)</f>
        <v>176</v>
      </c>
      <c r="I996" s="917" t="str">
        <f>VLOOKUP($A996,'Tech Litons'!$A:$C,3,0)</f>
        <v>48oz</v>
      </c>
      <c r="J996" s="918" t="str">
        <f t="shared" si="96"/>
        <v>290448oz</v>
      </c>
      <c r="K996" s="919">
        <v>1</v>
      </c>
      <c r="L996" s="920">
        <f t="shared" si="97"/>
        <v>9761</v>
      </c>
      <c r="M996" s="920">
        <f t="shared" si="98"/>
        <v>83.163719999999998</v>
      </c>
      <c r="N996" s="920">
        <f t="shared" si="99"/>
        <v>55.460227272727273</v>
      </c>
      <c r="O996" s="918" t="str">
        <f t="shared" si="100"/>
        <v>Jan</v>
      </c>
      <c r="P996" s="921">
        <f t="shared" si="101"/>
        <v>4</v>
      </c>
    </row>
    <row r="997" spans="1:16" ht="15" hidden="1" customHeight="1">
      <c r="A997" s="913">
        <v>68354586</v>
      </c>
      <c r="B997" s="839">
        <v>2904</v>
      </c>
      <c r="C997" s="914">
        <v>10183</v>
      </c>
      <c r="D997" s="907">
        <v>46043</v>
      </c>
      <c r="E997" s="913" t="s">
        <v>361</v>
      </c>
      <c r="F997" s="839" t="s">
        <v>40</v>
      </c>
      <c r="G997" s="916">
        <f>VLOOKUP($A997,'Tech Litons'!$A:$I,8,FALSE)</f>
        <v>3.5999999999999999E-3</v>
      </c>
      <c r="H997" s="917">
        <f>VLOOKUP($A997,'Tech Litons'!$A:$I,9,FALSE)</f>
        <v>240</v>
      </c>
      <c r="I997" s="917" t="str">
        <f>VLOOKUP($A997,'Tech Litons'!$A:$C,3,0)</f>
        <v>Topped</v>
      </c>
      <c r="J997" s="918" t="str">
        <f t="shared" si="96"/>
        <v>2904Topped</v>
      </c>
      <c r="K997" s="919">
        <v>1</v>
      </c>
      <c r="L997" s="920">
        <f t="shared" si="97"/>
        <v>10183</v>
      </c>
      <c r="M997" s="920">
        <f t="shared" si="98"/>
        <v>36.658799999999999</v>
      </c>
      <c r="N997" s="920">
        <f t="shared" si="99"/>
        <v>42.429166666666667</v>
      </c>
      <c r="O997" s="918" t="str">
        <f t="shared" si="100"/>
        <v>Jan</v>
      </c>
      <c r="P997" s="921">
        <f t="shared" si="101"/>
        <v>4</v>
      </c>
    </row>
    <row r="998" spans="1:16" ht="15" hidden="1" customHeight="1">
      <c r="A998" s="913">
        <v>68850683</v>
      </c>
      <c r="B998" s="839">
        <v>1352</v>
      </c>
      <c r="C998" s="914">
        <v>13234</v>
      </c>
      <c r="D998" s="907">
        <v>46043</v>
      </c>
      <c r="E998" s="913" t="s">
        <v>311</v>
      </c>
      <c r="F998" s="839" t="s">
        <v>290</v>
      </c>
      <c r="G998" s="916">
        <f>VLOOKUP($A998,'Tech Litons'!$A:$I,8,FALSE)</f>
        <v>8.5199999999999998E-3</v>
      </c>
      <c r="H998" s="917">
        <f>VLOOKUP($A998,'Tech Litons'!$A:$I,9,FALSE)</f>
        <v>176</v>
      </c>
      <c r="I998" s="917" t="str">
        <f>VLOOKUP($A998,'Tech Litons'!$A:$C,3,0)</f>
        <v>48oz</v>
      </c>
      <c r="J998" s="918" t="str">
        <f t="shared" si="96"/>
        <v>135248oz</v>
      </c>
      <c r="K998" s="919">
        <v>1</v>
      </c>
      <c r="L998" s="920">
        <f t="shared" si="97"/>
        <v>13234</v>
      </c>
      <c r="M998" s="920">
        <f t="shared" si="98"/>
        <v>112.75368</v>
      </c>
      <c r="N998" s="920">
        <f t="shared" si="99"/>
        <v>75.193181818181813</v>
      </c>
      <c r="O998" s="918" t="str">
        <f t="shared" si="100"/>
        <v>Jan</v>
      </c>
      <c r="P998" s="921">
        <f t="shared" si="101"/>
        <v>4</v>
      </c>
    </row>
    <row r="999" spans="1:16" ht="15" hidden="1" customHeight="1">
      <c r="A999" s="913">
        <v>68850683</v>
      </c>
      <c r="B999" s="839">
        <v>1352</v>
      </c>
      <c r="C999" s="914">
        <v>14468</v>
      </c>
      <c r="D999" s="907">
        <v>46043</v>
      </c>
      <c r="E999" s="913" t="s">
        <v>311</v>
      </c>
      <c r="F999" s="839" t="s">
        <v>290</v>
      </c>
      <c r="G999" s="916">
        <f>VLOOKUP($A999,'Tech Litons'!$A:$I,8,FALSE)</f>
        <v>8.5199999999999998E-3</v>
      </c>
      <c r="H999" s="917">
        <f>VLOOKUP($A999,'Tech Litons'!$A:$I,9,FALSE)</f>
        <v>176</v>
      </c>
      <c r="I999" s="917" t="str">
        <f>VLOOKUP($A999,'Tech Litons'!$A:$C,3,0)</f>
        <v>48oz</v>
      </c>
      <c r="J999" s="918" t="str">
        <f t="shared" si="96"/>
        <v>135248oz</v>
      </c>
      <c r="K999" s="919">
        <v>1</v>
      </c>
      <c r="L999" s="920">
        <f t="shared" si="97"/>
        <v>14468</v>
      </c>
      <c r="M999" s="920">
        <f t="shared" si="98"/>
        <v>123.26736</v>
      </c>
      <c r="N999" s="920">
        <f t="shared" si="99"/>
        <v>82.204545454545453</v>
      </c>
      <c r="O999" s="918" t="str">
        <f t="shared" si="100"/>
        <v>Jan</v>
      </c>
      <c r="P999" s="921">
        <f t="shared" si="101"/>
        <v>4</v>
      </c>
    </row>
    <row r="1000" spans="1:16" ht="15" hidden="1" customHeight="1">
      <c r="A1000" s="913">
        <v>68850683</v>
      </c>
      <c r="B1000" s="839">
        <v>1352</v>
      </c>
      <c r="C1000" s="914">
        <v>14726</v>
      </c>
      <c r="D1000" s="907">
        <v>46043</v>
      </c>
      <c r="E1000" s="913" t="s">
        <v>311</v>
      </c>
      <c r="F1000" s="839" t="s">
        <v>290</v>
      </c>
      <c r="G1000" s="916">
        <f>VLOOKUP($A1000,'Tech Litons'!$A:$I,8,FALSE)</f>
        <v>8.5199999999999998E-3</v>
      </c>
      <c r="H1000" s="917">
        <f>VLOOKUP($A1000,'Tech Litons'!$A:$I,9,FALSE)</f>
        <v>176</v>
      </c>
      <c r="I1000" s="917" t="str">
        <f>VLOOKUP($A1000,'Tech Litons'!$A:$C,3,0)</f>
        <v>48oz</v>
      </c>
      <c r="J1000" s="918" t="str">
        <f t="shared" si="96"/>
        <v>135248oz</v>
      </c>
      <c r="K1000" s="919">
        <v>1</v>
      </c>
      <c r="L1000" s="920">
        <f t="shared" si="97"/>
        <v>14726</v>
      </c>
      <c r="M1000" s="920">
        <f t="shared" si="98"/>
        <v>125.46552</v>
      </c>
      <c r="N1000" s="920">
        <f t="shared" si="99"/>
        <v>83.670454545454547</v>
      </c>
      <c r="O1000" s="918" t="str">
        <f t="shared" si="100"/>
        <v>Jan</v>
      </c>
      <c r="P1000" s="921">
        <f t="shared" si="101"/>
        <v>4</v>
      </c>
    </row>
    <row r="1001" spans="1:16" ht="15" hidden="1" customHeight="1">
      <c r="A1001" s="913">
        <v>68850683</v>
      </c>
      <c r="B1001" s="839">
        <v>1352</v>
      </c>
      <c r="C1001" s="914">
        <v>15051</v>
      </c>
      <c r="D1001" s="907">
        <v>46043</v>
      </c>
      <c r="E1001" s="913" t="s">
        <v>311</v>
      </c>
      <c r="F1001" s="839" t="s">
        <v>290</v>
      </c>
      <c r="G1001" s="916">
        <f>VLOOKUP($A1001,'Tech Litons'!$A:$I,8,FALSE)</f>
        <v>8.5199999999999998E-3</v>
      </c>
      <c r="H1001" s="917">
        <f>VLOOKUP($A1001,'Tech Litons'!$A:$I,9,FALSE)</f>
        <v>176</v>
      </c>
      <c r="I1001" s="917" t="str">
        <f>VLOOKUP($A1001,'Tech Litons'!$A:$C,3,0)</f>
        <v>48oz</v>
      </c>
      <c r="J1001" s="918" t="str">
        <f t="shared" si="96"/>
        <v>135248oz</v>
      </c>
      <c r="K1001" s="919">
        <v>1</v>
      </c>
      <c r="L1001" s="920">
        <f t="shared" si="97"/>
        <v>15051</v>
      </c>
      <c r="M1001" s="920">
        <f t="shared" si="98"/>
        <v>128.23452</v>
      </c>
      <c r="N1001" s="920">
        <f t="shared" si="99"/>
        <v>85.517045454545453</v>
      </c>
      <c r="O1001" s="918" t="str">
        <f t="shared" si="100"/>
        <v>Jan</v>
      </c>
      <c r="P1001" s="921">
        <f t="shared" si="101"/>
        <v>4</v>
      </c>
    </row>
    <row r="1002" spans="1:16" ht="15" hidden="1" customHeight="1">
      <c r="A1002" s="913">
        <v>68850683</v>
      </c>
      <c r="B1002" s="839">
        <v>1352</v>
      </c>
      <c r="C1002" s="914">
        <v>15732</v>
      </c>
      <c r="D1002" s="907">
        <v>46043</v>
      </c>
      <c r="E1002" s="913" t="s">
        <v>311</v>
      </c>
      <c r="F1002" s="839" t="s">
        <v>290</v>
      </c>
      <c r="G1002" s="916">
        <f>VLOOKUP($A1002,'Tech Litons'!$A:$I,8,FALSE)</f>
        <v>8.5199999999999998E-3</v>
      </c>
      <c r="H1002" s="917">
        <f>VLOOKUP($A1002,'Tech Litons'!$A:$I,9,FALSE)</f>
        <v>176</v>
      </c>
      <c r="I1002" s="917" t="str">
        <f>VLOOKUP($A1002,'Tech Litons'!$A:$C,3,0)</f>
        <v>48oz</v>
      </c>
      <c r="J1002" s="918" t="str">
        <f t="shared" si="96"/>
        <v>135248oz</v>
      </c>
      <c r="K1002" s="919">
        <v>1</v>
      </c>
      <c r="L1002" s="920">
        <f t="shared" si="97"/>
        <v>15732</v>
      </c>
      <c r="M1002" s="920">
        <f t="shared" si="98"/>
        <v>134.03664000000001</v>
      </c>
      <c r="N1002" s="920">
        <f t="shared" si="99"/>
        <v>89.38636363636364</v>
      </c>
      <c r="O1002" s="918" t="str">
        <f t="shared" si="100"/>
        <v>Jan</v>
      </c>
      <c r="P1002" s="921">
        <f t="shared" si="101"/>
        <v>4</v>
      </c>
    </row>
    <row r="1003" spans="1:16" ht="15" hidden="1" customHeight="1">
      <c r="A1003" s="913">
        <v>84135718</v>
      </c>
      <c r="B1003" s="839">
        <v>5914</v>
      </c>
      <c r="C1003" s="914">
        <v>15966</v>
      </c>
      <c r="D1003" s="907">
        <v>46043</v>
      </c>
      <c r="E1003" s="913" t="s">
        <v>338</v>
      </c>
      <c r="F1003" s="839" t="s">
        <v>304</v>
      </c>
      <c r="G1003" s="916">
        <f>VLOOKUP($A1003,'Tech Litons'!$A:$I,8,FALSE)</f>
        <v>3.7853439999999999E-3</v>
      </c>
      <c r="H1003" s="917">
        <f>VLOOKUP($A1003,'Tech Litons'!$A:$I,9,FALSE)</f>
        <v>240</v>
      </c>
      <c r="I1003" s="917" t="str">
        <f>VLOOKUP($A1003,'Tech Litons'!$A:$C,3,0)</f>
        <v>BJ PTS</v>
      </c>
      <c r="J1003" s="918" t="str">
        <f t="shared" si="96"/>
        <v>5914BJ PTS</v>
      </c>
      <c r="K1003" s="919">
        <v>1</v>
      </c>
      <c r="L1003" s="920">
        <f t="shared" si="97"/>
        <v>15966</v>
      </c>
      <c r="M1003" s="920">
        <f t="shared" si="98"/>
        <v>60.436802303999997</v>
      </c>
      <c r="N1003" s="920">
        <f t="shared" si="99"/>
        <v>66.525000000000006</v>
      </c>
      <c r="O1003" s="918" t="str">
        <f t="shared" si="100"/>
        <v>Jan</v>
      </c>
      <c r="P1003" s="921">
        <f t="shared" si="101"/>
        <v>4</v>
      </c>
    </row>
    <row r="1004" spans="1:16" ht="15" hidden="1" customHeight="1">
      <c r="A1004" s="913">
        <v>65431089</v>
      </c>
      <c r="B1004" s="839">
        <v>2904</v>
      </c>
      <c r="C1004" s="914">
        <v>16920</v>
      </c>
      <c r="D1004" s="907">
        <v>46043</v>
      </c>
      <c r="E1004" s="913" t="s">
        <v>368</v>
      </c>
      <c r="F1004" s="839" t="s">
        <v>277</v>
      </c>
      <c r="G1004" s="916">
        <f>VLOOKUP($A1004,'Tech Litons'!$A:$I,8,FALSE)</f>
        <v>3.7839999999999996E-3</v>
      </c>
      <c r="H1004" s="917">
        <f>VLOOKUP($A1004,'Tech Litons'!$A:$I,9,FALSE)</f>
        <v>255</v>
      </c>
      <c r="I1004" s="917" t="str">
        <f>VLOOKUP($A1004,'Tech Litons'!$A:$C,3,0)</f>
        <v>Talenti</v>
      </c>
      <c r="J1004" s="918" t="str">
        <f t="shared" si="96"/>
        <v>2904Talenti</v>
      </c>
      <c r="K1004" s="919">
        <v>1</v>
      </c>
      <c r="L1004" s="920">
        <f t="shared" si="97"/>
        <v>16920</v>
      </c>
      <c r="M1004" s="920">
        <f t="shared" si="98"/>
        <v>64.025279999999995</v>
      </c>
      <c r="N1004" s="920">
        <f t="shared" si="99"/>
        <v>66.352941176470594</v>
      </c>
      <c r="O1004" s="918" t="str">
        <f t="shared" si="100"/>
        <v>Jan</v>
      </c>
      <c r="P1004" s="921">
        <f t="shared" si="101"/>
        <v>4</v>
      </c>
    </row>
    <row r="1005" spans="1:16" ht="15" hidden="1" customHeight="1">
      <c r="A1005" s="913">
        <v>65431089</v>
      </c>
      <c r="B1005" s="839">
        <v>2904</v>
      </c>
      <c r="C1005" s="914">
        <v>16957</v>
      </c>
      <c r="D1005" s="907">
        <v>46043</v>
      </c>
      <c r="E1005" s="913" t="s">
        <v>368</v>
      </c>
      <c r="F1005" s="839" t="s">
        <v>277</v>
      </c>
      <c r="G1005" s="916">
        <f>VLOOKUP($A1005,'Tech Litons'!$A:$I,8,FALSE)</f>
        <v>3.7839999999999996E-3</v>
      </c>
      <c r="H1005" s="917">
        <f>VLOOKUP($A1005,'Tech Litons'!$A:$I,9,FALSE)</f>
        <v>255</v>
      </c>
      <c r="I1005" s="917" t="str">
        <f>VLOOKUP($A1005,'Tech Litons'!$A:$C,3,0)</f>
        <v>Talenti</v>
      </c>
      <c r="J1005" s="918" t="str">
        <f t="shared" si="96"/>
        <v>2904Talenti</v>
      </c>
      <c r="K1005" s="919">
        <v>1</v>
      </c>
      <c r="L1005" s="920">
        <f t="shared" si="97"/>
        <v>16957</v>
      </c>
      <c r="M1005" s="920">
        <f t="shared" si="98"/>
        <v>64.16528799999999</v>
      </c>
      <c r="N1005" s="920">
        <f t="shared" si="99"/>
        <v>66.498039215686276</v>
      </c>
      <c r="O1005" s="918" t="str">
        <f t="shared" si="100"/>
        <v>Jan</v>
      </c>
      <c r="P1005" s="921">
        <f t="shared" si="101"/>
        <v>4</v>
      </c>
    </row>
    <row r="1006" spans="1:16" ht="15" hidden="1" customHeight="1">
      <c r="A1006" s="913">
        <v>84137725</v>
      </c>
      <c r="B1006" s="839">
        <v>5911</v>
      </c>
      <c r="C1006" s="914">
        <v>18240</v>
      </c>
      <c r="D1006" s="907">
        <v>46043</v>
      </c>
      <c r="E1006" s="913" t="s">
        <v>278</v>
      </c>
      <c r="F1006" s="839" t="s">
        <v>279</v>
      </c>
      <c r="G1006" s="916">
        <f>VLOOKUP($A1006,'Tech Litons'!$A:$I,8,FALSE)</f>
        <v>3.7853439999999999E-3</v>
      </c>
      <c r="H1006" s="917">
        <f>VLOOKUP($A1006,'Tech Litons'!$A:$I,9,FALSE)</f>
        <v>240</v>
      </c>
      <c r="I1006" s="917" t="str">
        <f>VLOOKUP($A1006,'Tech Litons'!$A:$C,3,0)</f>
        <v>BJ PTS</v>
      </c>
      <c r="J1006" s="918" t="str">
        <f t="shared" si="96"/>
        <v>5911BJ PTS</v>
      </c>
      <c r="K1006" s="919">
        <v>1</v>
      </c>
      <c r="L1006" s="920">
        <f t="shared" si="97"/>
        <v>18240</v>
      </c>
      <c r="M1006" s="920">
        <f t="shared" si="98"/>
        <v>69.044674560000004</v>
      </c>
      <c r="N1006" s="920">
        <f t="shared" si="99"/>
        <v>76</v>
      </c>
      <c r="O1006" s="918" t="str">
        <f t="shared" si="100"/>
        <v>Jan</v>
      </c>
      <c r="P1006" s="921">
        <f t="shared" si="101"/>
        <v>4</v>
      </c>
    </row>
    <row r="1007" spans="1:16" ht="15" hidden="1" customHeight="1">
      <c r="A1007" s="913">
        <v>84141094</v>
      </c>
      <c r="B1007" s="839">
        <v>5914</v>
      </c>
      <c r="C1007" s="914">
        <v>38400</v>
      </c>
      <c r="D1007" s="907">
        <v>46043</v>
      </c>
      <c r="E1007" s="913" t="s">
        <v>393</v>
      </c>
      <c r="F1007" s="839" t="s">
        <v>279</v>
      </c>
      <c r="G1007" s="916">
        <f>VLOOKUP($A1007,'Tech Litons'!$A:$I,8,FALSE)</f>
        <v>3.7839999999999996E-3</v>
      </c>
      <c r="H1007" s="917">
        <f>VLOOKUP($A1007,'Tech Litons'!$A:$I,9,FALSE)</f>
        <v>240</v>
      </c>
      <c r="I1007" s="917" t="str">
        <f>VLOOKUP($A1007,'Tech Litons'!$A:$C,3,0)</f>
        <v>BJ PTS</v>
      </c>
      <c r="J1007" s="918" t="str">
        <f t="shared" si="96"/>
        <v>5914BJ PTS</v>
      </c>
      <c r="K1007" s="919">
        <v>1</v>
      </c>
      <c r="L1007" s="920">
        <f t="shared" si="97"/>
        <v>38400</v>
      </c>
      <c r="M1007" s="920">
        <f t="shared" si="98"/>
        <v>145.3056</v>
      </c>
      <c r="N1007" s="920">
        <f t="shared" si="99"/>
        <v>160</v>
      </c>
      <c r="O1007" s="918" t="str">
        <f t="shared" si="100"/>
        <v>Jan</v>
      </c>
      <c r="P1007" s="921">
        <f t="shared" si="101"/>
        <v>4</v>
      </c>
    </row>
    <row r="1008" spans="1:16" ht="15" hidden="1" customHeight="1">
      <c r="A1008" s="913">
        <v>84144598</v>
      </c>
      <c r="B1008" s="839">
        <v>5914</v>
      </c>
      <c r="C1008" s="914">
        <v>-5280</v>
      </c>
      <c r="D1008" s="907">
        <v>46044</v>
      </c>
      <c r="E1008" s="913" t="s">
        <v>364</v>
      </c>
      <c r="F1008" s="839" t="s">
        <v>303</v>
      </c>
      <c r="G1008" s="916">
        <f>VLOOKUP($A1008,'Tech Litons'!$A:$I,8,FALSE)</f>
        <v>3.7853439999999999E-3</v>
      </c>
      <c r="H1008" s="917">
        <f>VLOOKUP($A1008,'Tech Litons'!$A:$I,9,FALSE)</f>
        <v>240</v>
      </c>
      <c r="I1008" s="917" t="str">
        <f>VLOOKUP($A1008,'Tech Litons'!$A:$C,3,0)</f>
        <v>BJ PTS</v>
      </c>
      <c r="J1008" s="918" t="str">
        <f t="shared" si="96"/>
        <v>5914BJ PTS</v>
      </c>
      <c r="K1008" s="919">
        <v>1</v>
      </c>
      <c r="L1008" s="920">
        <f t="shared" si="97"/>
        <v>-5280</v>
      </c>
      <c r="M1008" s="920">
        <f t="shared" si="98"/>
        <v>-19.98661632</v>
      </c>
      <c r="N1008" s="920">
        <f t="shared" si="99"/>
        <v>-22</v>
      </c>
      <c r="O1008" s="918" t="str">
        <f t="shared" si="100"/>
        <v>Jan</v>
      </c>
      <c r="P1008" s="921">
        <f t="shared" si="101"/>
        <v>4</v>
      </c>
    </row>
    <row r="1009" spans="1:16" ht="15" hidden="1" customHeight="1">
      <c r="A1009" s="913">
        <v>84144598</v>
      </c>
      <c r="B1009" s="839">
        <v>5914</v>
      </c>
      <c r="C1009" s="914">
        <v>-4080</v>
      </c>
      <c r="D1009" s="907">
        <v>46044</v>
      </c>
      <c r="E1009" s="913" t="s">
        <v>364</v>
      </c>
      <c r="F1009" s="839" t="s">
        <v>303</v>
      </c>
      <c r="G1009" s="916">
        <f>VLOOKUP($A1009,'Tech Litons'!$A:$I,8,FALSE)</f>
        <v>3.7853439999999999E-3</v>
      </c>
      <c r="H1009" s="917">
        <f>VLOOKUP($A1009,'Tech Litons'!$A:$I,9,FALSE)</f>
        <v>240</v>
      </c>
      <c r="I1009" s="917" t="str">
        <f>VLOOKUP($A1009,'Tech Litons'!$A:$C,3,0)</f>
        <v>BJ PTS</v>
      </c>
      <c r="J1009" s="918" t="str">
        <f t="shared" si="96"/>
        <v>5914BJ PTS</v>
      </c>
      <c r="K1009" s="919">
        <v>1</v>
      </c>
      <c r="L1009" s="920">
        <f t="shared" si="97"/>
        <v>-4080</v>
      </c>
      <c r="M1009" s="920">
        <f t="shared" si="98"/>
        <v>-15.44420352</v>
      </c>
      <c r="N1009" s="920">
        <f t="shared" si="99"/>
        <v>-17</v>
      </c>
      <c r="O1009" s="918" t="str">
        <f t="shared" si="100"/>
        <v>Jan</v>
      </c>
      <c r="P1009" s="921">
        <f t="shared" si="101"/>
        <v>4</v>
      </c>
    </row>
    <row r="1010" spans="1:16" ht="15" hidden="1" customHeight="1">
      <c r="A1010" s="913">
        <v>68821735</v>
      </c>
      <c r="B1010" s="839">
        <v>2904</v>
      </c>
      <c r="C1010" s="914">
        <v>66</v>
      </c>
      <c r="D1010" s="907">
        <v>46044</v>
      </c>
      <c r="E1010" s="913" t="s">
        <v>318</v>
      </c>
      <c r="F1010" s="839" t="s">
        <v>269</v>
      </c>
      <c r="G1010" s="916">
        <f>VLOOKUP($A1010,'Tech Litons'!$A:$I,8,FALSE)</f>
        <v>8.5199999999999998E-3</v>
      </c>
      <c r="H1010" s="917">
        <f>VLOOKUP($A1010,'Tech Litons'!$A:$I,9,FALSE)</f>
        <v>176</v>
      </c>
      <c r="I1010" s="917" t="str">
        <f>VLOOKUP($A1010,'Tech Litons'!$A:$C,3,0)</f>
        <v>48oz</v>
      </c>
      <c r="J1010" s="918" t="str">
        <f t="shared" si="96"/>
        <v>290448oz</v>
      </c>
      <c r="K1010" s="919">
        <v>1</v>
      </c>
      <c r="L1010" s="920">
        <f t="shared" si="97"/>
        <v>66</v>
      </c>
      <c r="M1010" s="920">
        <f t="shared" si="98"/>
        <v>0.56231999999999993</v>
      </c>
      <c r="N1010" s="920">
        <f t="shared" si="99"/>
        <v>0.375</v>
      </c>
      <c r="O1010" s="918" t="str">
        <f t="shared" si="100"/>
        <v>Jan</v>
      </c>
      <c r="P1010" s="921">
        <f t="shared" si="101"/>
        <v>4</v>
      </c>
    </row>
    <row r="1011" spans="1:16" ht="15" hidden="1" customHeight="1">
      <c r="A1011" s="913">
        <v>68817796</v>
      </c>
      <c r="B1011" s="839">
        <v>1352</v>
      </c>
      <c r="C1011" s="914">
        <v>72</v>
      </c>
      <c r="D1011" s="907">
        <v>46044</v>
      </c>
      <c r="E1011" s="913" t="s">
        <v>263</v>
      </c>
      <c r="F1011" s="839" t="s">
        <v>264</v>
      </c>
      <c r="G1011" s="916">
        <f>VLOOKUP($A1011,'Tech Litons'!$A:$I,8,FALSE)</f>
        <v>8.513999999999999E-3</v>
      </c>
      <c r="H1011" s="917">
        <f>VLOOKUP($A1011,'Tech Litons'!$A:$I,9,FALSE)</f>
        <v>176</v>
      </c>
      <c r="I1011" s="917" t="str">
        <f>VLOOKUP($A1011,'Tech Litons'!$A:$C,3,0)</f>
        <v>48oz</v>
      </c>
      <c r="J1011" s="918" t="str">
        <f t="shared" si="96"/>
        <v>135248oz</v>
      </c>
      <c r="K1011" s="919">
        <v>1</v>
      </c>
      <c r="L1011" s="920">
        <f t="shared" si="97"/>
        <v>72</v>
      </c>
      <c r="M1011" s="920">
        <f t="shared" si="98"/>
        <v>0.61300799999999989</v>
      </c>
      <c r="N1011" s="920">
        <f t="shared" si="99"/>
        <v>0.40909090909090912</v>
      </c>
      <c r="O1011" s="918" t="str">
        <f t="shared" si="100"/>
        <v>Jan</v>
      </c>
      <c r="P1011" s="921">
        <f t="shared" si="101"/>
        <v>4</v>
      </c>
    </row>
    <row r="1012" spans="1:16" ht="15" hidden="1" customHeight="1">
      <c r="A1012" s="913">
        <v>69629468</v>
      </c>
      <c r="B1012" s="839">
        <v>2904</v>
      </c>
      <c r="C1012" s="914">
        <v>93</v>
      </c>
      <c r="D1012" s="907">
        <v>46044</v>
      </c>
      <c r="E1012" s="913" t="s">
        <v>291</v>
      </c>
      <c r="F1012" s="839" t="s">
        <v>226</v>
      </c>
      <c r="G1012" s="916">
        <f>VLOOKUP($A1012,'Tech Litons'!$A:$I,8,FALSE)</f>
        <v>5.2680000000000001E-3</v>
      </c>
      <c r="H1012" s="917">
        <f>VLOOKUP($A1012,'Tech Litons'!$A:$I,9,FALSE)</f>
        <v>130</v>
      </c>
      <c r="I1012" s="917" t="str">
        <f>VLOOKUP($A1012,'Tech Litons'!$A:$C,3,0)</f>
        <v>PG</v>
      </c>
      <c r="J1012" s="918" t="str">
        <f t="shared" si="96"/>
        <v>2904PG</v>
      </c>
      <c r="K1012" s="919">
        <v>1</v>
      </c>
      <c r="L1012" s="920">
        <f t="shared" si="97"/>
        <v>93</v>
      </c>
      <c r="M1012" s="920">
        <f t="shared" si="98"/>
        <v>0.48992400000000003</v>
      </c>
      <c r="N1012" s="920">
        <f t="shared" si="99"/>
        <v>0.7153846153846154</v>
      </c>
      <c r="O1012" s="918" t="str">
        <f t="shared" si="100"/>
        <v>Jan</v>
      </c>
      <c r="P1012" s="921">
        <f t="shared" si="101"/>
        <v>4</v>
      </c>
    </row>
    <row r="1013" spans="1:16" ht="15" hidden="1" customHeight="1">
      <c r="A1013" s="913">
        <v>68741742</v>
      </c>
      <c r="B1013" s="839">
        <v>2904</v>
      </c>
      <c r="C1013" s="914">
        <v>98</v>
      </c>
      <c r="D1013" s="907">
        <v>46044</v>
      </c>
      <c r="E1013" s="913" t="s">
        <v>288</v>
      </c>
      <c r="F1013" s="839" t="s">
        <v>295</v>
      </c>
      <c r="G1013" s="916">
        <f>VLOOKUP($A1013,'Tech Litons'!$A:$I,8,FALSE)</f>
        <v>4.2560000000000002E-3</v>
      </c>
      <c r="H1013" s="917">
        <f>VLOOKUP($A1013,'Tech Litons'!$A:$I,9,FALSE)</f>
        <v>154</v>
      </c>
      <c r="I1013" s="917" t="str">
        <f>VLOOKUP($A1013,'Tech Litons'!$A:$C,3,0)</f>
        <v>MBG</v>
      </c>
      <c r="J1013" s="918" t="str">
        <f t="shared" si="96"/>
        <v>2904MBG</v>
      </c>
      <c r="K1013" s="919">
        <v>1</v>
      </c>
      <c r="L1013" s="920">
        <f t="shared" si="97"/>
        <v>98</v>
      </c>
      <c r="M1013" s="920">
        <f t="shared" si="98"/>
        <v>0.41708800000000001</v>
      </c>
      <c r="N1013" s="920">
        <f t="shared" si="99"/>
        <v>0.63636363636363635</v>
      </c>
      <c r="O1013" s="918" t="str">
        <f t="shared" si="100"/>
        <v>Jan</v>
      </c>
      <c r="P1013" s="921">
        <f t="shared" si="101"/>
        <v>4</v>
      </c>
    </row>
    <row r="1014" spans="1:16" ht="15" hidden="1" customHeight="1">
      <c r="A1014" s="913">
        <v>68354586</v>
      </c>
      <c r="B1014" s="839">
        <v>2904</v>
      </c>
      <c r="C1014" s="914">
        <v>164</v>
      </c>
      <c r="D1014" s="907">
        <v>46044</v>
      </c>
      <c r="E1014" s="913" t="s">
        <v>361</v>
      </c>
      <c r="F1014" s="839" t="s">
        <v>40</v>
      </c>
      <c r="G1014" s="916">
        <f>VLOOKUP($A1014,'Tech Litons'!$A:$I,8,FALSE)</f>
        <v>3.5999999999999999E-3</v>
      </c>
      <c r="H1014" s="917">
        <f>VLOOKUP($A1014,'Tech Litons'!$A:$I,9,FALSE)</f>
        <v>240</v>
      </c>
      <c r="I1014" s="917" t="str">
        <f>VLOOKUP($A1014,'Tech Litons'!$A:$C,3,0)</f>
        <v>Topped</v>
      </c>
      <c r="J1014" s="918" t="str">
        <f t="shared" si="96"/>
        <v>2904Topped</v>
      </c>
      <c r="K1014" s="919">
        <v>1</v>
      </c>
      <c r="L1014" s="920">
        <f t="shared" si="97"/>
        <v>164</v>
      </c>
      <c r="M1014" s="920">
        <f t="shared" si="98"/>
        <v>0.59040000000000004</v>
      </c>
      <c r="N1014" s="920">
        <f t="shared" si="99"/>
        <v>0.68333333333333335</v>
      </c>
      <c r="O1014" s="918" t="str">
        <f t="shared" si="100"/>
        <v>Jan</v>
      </c>
      <c r="P1014" s="921">
        <f t="shared" si="101"/>
        <v>4</v>
      </c>
    </row>
    <row r="1015" spans="1:16" ht="15" hidden="1" customHeight="1">
      <c r="A1015" s="913">
        <v>64330611</v>
      </c>
      <c r="B1015" s="839">
        <v>2904</v>
      </c>
      <c r="C1015" s="914">
        <v>210</v>
      </c>
      <c r="D1015" s="907">
        <v>46044</v>
      </c>
      <c r="E1015" s="913" t="s">
        <v>354</v>
      </c>
      <c r="F1015" s="839" t="s">
        <v>283</v>
      </c>
      <c r="G1015" s="916">
        <f>VLOOKUP($A1015,'Tech Litons'!$A:$I,8,FALSE)</f>
        <v>2.16E-3</v>
      </c>
      <c r="H1015" s="917">
        <f>VLOOKUP($A1015,'Tech Litons'!$A:$I,9,FALSE)</f>
        <v>210</v>
      </c>
      <c r="I1015" s="917" t="str">
        <f>VLOOKUP($A1015,'Tech Litons'!$A:$C,3,0)</f>
        <v>MG Sticks</v>
      </c>
      <c r="J1015" s="918" t="str">
        <f t="shared" si="96"/>
        <v>2904MG Sticks</v>
      </c>
      <c r="K1015" s="919">
        <v>1</v>
      </c>
      <c r="L1015" s="920">
        <f t="shared" si="97"/>
        <v>210</v>
      </c>
      <c r="M1015" s="920">
        <f t="shared" si="98"/>
        <v>0.4536</v>
      </c>
      <c r="N1015" s="920">
        <f t="shared" si="99"/>
        <v>1</v>
      </c>
      <c r="O1015" s="918" t="str">
        <f t="shared" si="100"/>
        <v>Jan</v>
      </c>
      <c r="P1015" s="921">
        <f t="shared" si="101"/>
        <v>4</v>
      </c>
    </row>
    <row r="1016" spans="1:16" ht="15" hidden="1" customHeight="1">
      <c r="A1016" s="913">
        <v>64874633</v>
      </c>
      <c r="B1016" s="839">
        <v>3910</v>
      </c>
      <c r="C1016" s="914">
        <v>280</v>
      </c>
      <c r="D1016" s="907">
        <v>46044</v>
      </c>
      <c r="E1016" s="913" t="s">
        <v>341</v>
      </c>
      <c r="F1016" s="839" t="s">
        <v>342</v>
      </c>
      <c r="G1016" s="916">
        <f>VLOOKUP($A1016,'Tech Litons'!$A:$I,8,FALSE)</f>
        <v>3.192E-3</v>
      </c>
      <c r="H1016" s="917">
        <f>VLOOKUP($A1016,'Tech Litons'!$A:$I,9,FALSE)</f>
        <v>280</v>
      </c>
      <c r="I1016" s="917" t="str">
        <f>VLOOKUP($A1016,'Tech Litons'!$A:$C,3,0)</f>
        <v>ESS</v>
      </c>
      <c r="J1016" s="918" t="str">
        <f t="shared" si="96"/>
        <v>3910ESS</v>
      </c>
      <c r="K1016" s="919">
        <v>1</v>
      </c>
      <c r="L1016" s="920">
        <f t="shared" si="97"/>
        <v>280</v>
      </c>
      <c r="M1016" s="920">
        <f t="shared" si="98"/>
        <v>0.89376</v>
      </c>
      <c r="N1016" s="920">
        <f t="shared" si="99"/>
        <v>1</v>
      </c>
      <c r="O1016" s="918" t="str">
        <f t="shared" si="100"/>
        <v>Jan</v>
      </c>
      <c r="P1016" s="921">
        <f t="shared" si="101"/>
        <v>4</v>
      </c>
    </row>
    <row r="1017" spans="1:16" ht="15" hidden="1" customHeight="1">
      <c r="A1017" s="913">
        <v>68741742</v>
      </c>
      <c r="B1017" s="839">
        <v>2904</v>
      </c>
      <c r="C1017" s="914">
        <v>895</v>
      </c>
      <c r="D1017" s="907">
        <v>46044</v>
      </c>
      <c r="E1017" s="913" t="s">
        <v>288</v>
      </c>
      <c r="F1017" s="839" t="s">
        <v>295</v>
      </c>
      <c r="G1017" s="916">
        <f>VLOOKUP($A1017,'Tech Litons'!$A:$I,8,FALSE)</f>
        <v>4.2560000000000002E-3</v>
      </c>
      <c r="H1017" s="917">
        <f>VLOOKUP($A1017,'Tech Litons'!$A:$I,9,FALSE)</f>
        <v>154</v>
      </c>
      <c r="I1017" s="917" t="str">
        <f>VLOOKUP($A1017,'Tech Litons'!$A:$C,3,0)</f>
        <v>MBG</v>
      </c>
      <c r="J1017" s="918" t="str">
        <f t="shared" si="96"/>
        <v>2904MBG</v>
      </c>
      <c r="K1017" s="919">
        <v>1</v>
      </c>
      <c r="L1017" s="920">
        <f t="shared" si="97"/>
        <v>895</v>
      </c>
      <c r="M1017" s="920">
        <f t="shared" si="98"/>
        <v>3.8091200000000001</v>
      </c>
      <c r="N1017" s="920">
        <f t="shared" si="99"/>
        <v>5.8116883116883118</v>
      </c>
      <c r="O1017" s="918" t="str">
        <f t="shared" si="100"/>
        <v>Jan</v>
      </c>
      <c r="P1017" s="921">
        <f t="shared" si="101"/>
        <v>4</v>
      </c>
    </row>
    <row r="1018" spans="1:16" ht="15" hidden="1" customHeight="1">
      <c r="A1018" s="913">
        <v>64341106</v>
      </c>
      <c r="B1018" s="839">
        <v>2904</v>
      </c>
      <c r="C1018" s="914">
        <v>1160</v>
      </c>
      <c r="D1018" s="907">
        <v>46044</v>
      </c>
      <c r="E1018" s="913" t="s">
        <v>293</v>
      </c>
      <c r="F1018" s="839" t="s">
        <v>227</v>
      </c>
      <c r="G1018" s="916">
        <f>VLOOKUP($A1018,'Tech Litons'!$A:$I,8,FALSE)</f>
        <v>5.2680000000000001E-3</v>
      </c>
      <c r="H1018" s="917">
        <f>VLOOKUP($A1018,'Tech Litons'!$A:$I,9,FALSE)</f>
        <v>130</v>
      </c>
      <c r="I1018" s="917" t="str">
        <f>VLOOKUP($A1018,'Tech Litons'!$A:$C,3,0)</f>
        <v>PG</v>
      </c>
      <c r="J1018" s="918" t="str">
        <f t="shared" si="96"/>
        <v>2904PG</v>
      </c>
      <c r="K1018" s="919">
        <v>1</v>
      </c>
      <c r="L1018" s="920">
        <f t="shared" si="97"/>
        <v>1160</v>
      </c>
      <c r="M1018" s="920">
        <f t="shared" si="98"/>
        <v>6.1108799999999999</v>
      </c>
      <c r="N1018" s="920">
        <f t="shared" si="99"/>
        <v>8.9230769230769234</v>
      </c>
      <c r="O1018" s="918" t="str">
        <f t="shared" si="100"/>
        <v>Jan</v>
      </c>
      <c r="P1018" s="921">
        <f t="shared" si="101"/>
        <v>4</v>
      </c>
    </row>
    <row r="1019" spans="1:16" ht="15" hidden="1" customHeight="1">
      <c r="A1019" s="913">
        <v>69629468</v>
      </c>
      <c r="B1019" s="839">
        <v>2904</v>
      </c>
      <c r="C1019" s="914">
        <v>1170</v>
      </c>
      <c r="D1019" s="907">
        <v>46044</v>
      </c>
      <c r="E1019" s="913" t="s">
        <v>291</v>
      </c>
      <c r="F1019" s="839" t="s">
        <v>226</v>
      </c>
      <c r="G1019" s="916">
        <f>VLOOKUP($A1019,'Tech Litons'!$A:$I,8,FALSE)</f>
        <v>5.2680000000000001E-3</v>
      </c>
      <c r="H1019" s="917">
        <f>VLOOKUP($A1019,'Tech Litons'!$A:$I,9,FALSE)</f>
        <v>130</v>
      </c>
      <c r="I1019" s="917" t="str">
        <f>VLOOKUP($A1019,'Tech Litons'!$A:$C,3,0)</f>
        <v>PG</v>
      </c>
      <c r="J1019" s="918" t="str">
        <f t="shared" si="96"/>
        <v>2904PG</v>
      </c>
      <c r="K1019" s="919">
        <v>1</v>
      </c>
      <c r="L1019" s="920">
        <f t="shared" si="97"/>
        <v>1170</v>
      </c>
      <c r="M1019" s="920">
        <f t="shared" si="98"/>
        <v>6.1635600000000004</v>
      </c>
      <c r="N1019" s="920">
        <f t="shared" si="99"/>
        <v>9</v>
      </c>
      <c r="O1019" s="918" t="str">
        <f t="shared" si="100"/>
        <v>Jan</v>
      </c>
      <c r="P1019" s="921">
        <f t="shared" si="101"/>
        <v>4</v>
      </c>
    </row>
    <row r="1020" spans="1:16" ht="15" hidden="1" customHeight="1">
      <c r="A1020" s="913">
        <v>68741742</v>
      </c>
      <c r="B1020" s="839">
        <v>1352</v>
      </c>
      <c r="C1020" s="914">
        <v>1540</v>
      </c>
      <c r="D1020" s="907">
        <v>46044</v>
      </c>
      <c r="E1020" s="913" t="s">
        <v>288</v>
      </c>
      <c r="F1020" s="839" t="s">
        <v>289</v>
      </c>
      <c r="G1020" s="916">
        <f>VLOOKUP($A1020,'Tech Litons'!$A:$I,8,FALSE)</f>
        <v>4.2560000000000002E-3</v>
      </c>
      <c r="H1020" s="917">
        <f>VLOOKUP($A1020,'Tech Litons'!$A:$I,9,FALSE)</f>
        <v>154</v>
      </c>
      <c r="I1020" s="917" t="str">
        <f>VLOOKUP($A1020,'Tech Litons'!$A:$C,3,0)</f>
        <v>MBG</v>
      </c>
      <c r="J1020" s="918" t="str">
        <f t="shared" si="96"/>
        <v>1352MBG</v>
      </c>
      <c r="K1020" s="919">
        <v>1</v>
      </c>
      <c r="L1020" s="920">
        <f t="shared" si="97"/>
        <v>1540</v>
      </c>
      <c r="M1020" s="920">
        <f t="shared" si="98"/>
        <v>6.5542400000000001</v>
      </c>
      <c r="N1020" s="920">
        <f t="shared" si="99"/>
        <v>10</v>
      </c>
      <c r="O1020" s="918" t="str">
        <f t="shared" si="100"/>
        <v>Jan</v>
      </c>
      <c r="P1020" s="921">
        <f t="shared" si="101"/>
        <v>4</v>
      </c>
    </row>
    <row r="1021" spans="1:16" ht="15" hidden="1" customHeight="1">
      <c r="A1021" s="913">
        <v>68852591</v>
      </c>
      <c r="B1021" s="839">
        <v>2904</v>
      </c>
      <c r="C1021" s="914">
        <v>1572</v>
      </c>
      <c r="D1021" s="907">
        <v>46044</v>
      </c>
      <c r="E1021" s="913" t="s">
        <v>326</v>
      </c>
      <c r="F1021" s="839" t="s">
        <v>243</v>
      </c>
      <c r="G1021" s="916">
        <f>VLOOKUP($A1021,'Tech Litons'!$A:$I,8,FALSE)</f>
        <v>8.5199999999999998E-3</v>
      </c>
      <c r="H1021" s="917">
        <f>VLOOKUP($A1021,'Tech Litons'!$A:$I,9,FALSE)</f>
        <v>132</v>
      </c>
      <c r="I1021" s="917" t="str">
        <f>VLOOKUP($A1021,'Tech Litons'!$A:$C,3,0)</f>
        <v>EDF</v>
      </c>
      <c r="J1021" s="918" t="str">
        <f t="shared" si="96"/>
        <v>2904EDF</v>
      </c>
      <c r="K1021" s="919">
        <v>1</v>
      </c>
      <c r="L1021" s="920">
        <f t="shared" si="97"/>
        <v>1572</v>
      </c>
      <c r="M1021" s="920">
        <f t="shared" si="98"/>
        <v>13.39344</v>
      </c>
      <c r="N1021" s="920">
        <f t="shared" si="99"/>
        <v>11.909090909090908</v>
      </c>
      <c r="O1021" s="918" t="str">
        <f t="shared" si="100"/>
        <v>Jan</v>
      </c>
      <c r="P1021" s="921">
        <f t="shared" si="101"/>
        <v>4</v>
      </c>
    </row>
    <row r="1022" spans="1:16" ht="15" hidden="1" customHeight="1">
      <c r="A1022" s="913">
        <v>64341106</v>
      </c>
      <c r="B1022" s="839">
        <v>2904</v>
      </c>
      <c r="C1022" s="914">
        <v>1721</v>
      </c>
      <c r="D1022" s="907">
        <v>46044</v>
      </c>
      <c r="E1022" s="913" t="s">
        <v>293</v>
      </c>
      <c r="F1022" s="839" t="s">
        <v>227</v>
      </c>
      <c r="G1022" s="916">
        <f>VLOOKUP($A1022,'Tech Litons'!$A:$I,8,FALSE)</f>
        <v>5.2680000000000001E-3</v>
      </c>
      <c r="H1022" s="917">
        <f>VLOOKUP($A1022,'Tech Litons'!$A:$I,9,FALSE)</f>
        <v>130</v>
      </c>
      <c r="I1022" s="917" t="str">
        <f>VLOOKUP($A1022,'Tech Litons'!$A:$C,3,0)</f>
        <v>PG</v>
      </c>
      <c r="J1022" s="918" t="str">
        <f t="shared" si="96"/>
        <v>2904PG</v>
      </c>
      <c r="K1022" s="919">
        <v>1</v>
      </c>
      <c r="L1022" s="920">
        <f t="shared" si="97"/>
        <v>1721</v>
      </c>
      <c r="M1022" s="920">
        <f t="shared" si="98"/>
        <v>9.0662280000000006</v>
      </c>
      <c r="N1022" s="920">
        <f t="shared" si="99"/>
        <v>13.238461538461538</v>
      </c>
      <c r="O1022" s="918" t="str">
        <f t="shared" si="100"/>
        <v>Jan</v>
      </c>
      <c r="P1022" s="921">
        <f t="shared" si="101"/>
        <v>4</v>
      </c>
    </row>
    <row r="1023" spans="1:16" ht="15" hidden="1" customHeight="1">
      <c r="A1023" s="913">
        <v>69717803</v>
      </c>
      <c r="B1023" s="839">
        <v>2904</v>
      </c>
      <c r="C1023" s="914">
        <v>1775</v>
      </c>
      <c r="D1023" s="907">
        <v>46044</v>
      </c>
      <c r="E1023" s="913" t="s">
        <v>362</v>
      </c>
      <c r="F1023" s="839" t="s">
        <v>231</v>
      </c>
      <c r="G1023" s="916">
        <f>VLOOKUP($A1023,'Tech Litons'!$A:$I,8,FALSE)</f>
        <v>4.2560000000000002E-3</v>
      </c>
      <c r="H1023" s="917">
        <f>VLOOKUP($A1023,'Tech Litons'!$A:$I,9,FALSE)</f>
        <v>143</v>
      </c>
      <c r="I1023" s="917" t="str">
        <f>VLOOKUP($A1023,'Tech Litons'!$A:$C,3,0)</f>
        <v>MG Sticks</v>
      </c>
      <c r="J1023" s="918" t="str">
        <f t="shared" si="96"/>
        <v>2904MG Sticks</v>
      </c>
      <c r="K1023" s="919">
        <v>1</v>
      </c>
      <c r="L1023" s="920">
        <f t="shared" si="97"/>
        <v>1775</v>
      </c>
      <c r="M1023" s="920">
        <f t="shared" si="98"/>
        <v>7.5544000000000002</v>
      </c>
      <c r="N1023" s="920">
        <f t="shared" si="99"/>
        <v>12.412587412587413</v>
      </c>
      <c r="O1023" s="918" t="str">
        <f t="shared" si="100"/>
        <v>Jan</v>
      </c>
      <c r="P1023" s="921">
        <f t="shared" si="101"/>
        <v>4</v>
      </c>
    </row>
    <row r="1024" spans="1:16" ht="15" hidden="1" customHeight="1">
      <c r="A1024" s="913">
        <v>68852591</v>
      </c>
      <c r="B1024" s="839">
        <v>2904</v>
      </c>
      <c r="C1024" s="914">
        <v>1848</v>
      </c>
      <c r="D1024" s="907">
        <v>46044</v>
      </c>
      <c r="E1024" s="913" t="s">
        <v>326</v>
      </c>
      <c r="F1024" s="839" t="s">
        <v>243</v>
      </c>
      <c r="G1024" s="916">
        <f>VLOOKUP($A1024,'Tech Litons'!$A:$I,8,FALSE)</f>
        <v>8.5199999999999998E-3</v>
      </c>
      <c r="H1024" s="917">
        <f>VLOOKUP($A1024,'Tech Litons'!$A:$I,9,FALSE)</f>
        <v>132</v>
      </c>
      <c r="I1024" s="917" t="str">
        <f>VLOOKUP($A1024,'Tech Litons'!$A:$C,3,0)</f>
        <v>EDF</v>
      </c>
      <c r="J1024" s="918" t="str">
        <f t="shared" si="96"/>
        <v>2904EDF</v>
      </c>
      <c r="K1024" s="919">
        <v>1</v>
      </c>
      <c r="L1024" s="920">
        <f t="shared" si="97"/>
        <v>1848</v>
      </c>
      <c r="M1024" s="920">
        <f t="shared" si="98"/>
        <v>15.744959999999999</v>
      </c>
      <c r="N1024" s="920">
        <f t="shared" si="99"/>
        <v>14</v>
      </c>
      <c r="O1024" s="918" t="str">
        <f t="shared" si="100"/>
        <v>Jan</v>
      </c>
      <c r="P1024" s="921">
        <f t="shared" si="101"/>
        <v>4</v>
      </c>
    </row>
    <row r="1025" spans="1:16" ht="15" hidden="1" customHeight="1">
      <c r="A1025" s="913">
        <v>69629468</v>
      </c>
      <c r="B1025" s="839">
        <v>2904</v>
      </c>
      <c r="C1025" s="914">
        <v>1898</v>
      </c>
      <c r="D1025" s="907">
        <v>46044</v>
      </c>
      <c r="E1025" s="913" t="s">
        <v>291</v>
      </c>
      <c r="F1025" s="839" t="s">
        <v>226</v>
      </c>
      <c r="G1025" s="916">
        <f>VLOOKUP($A1025,'Tech Litons'!$A:$I,8,FALSE)</f>
        <v>5.2680000000000001E-3</v>
      </c>
      <c r="H1025" s="917">
        <f>VLOOKUP($A1025,'Tech Litons'!$A:$I,9,FALSE)</f>
        <v>130</v>
      </c>
      <c r="I1025" s="917" t="str">
        <f>VLOOKUP($A1025,'Tech Litons'!$A:$C,3,0)</f>
        <v>PG</v>
      </c>
      <c r="J1025" s="918" t="str">
        <f t="shared" si="96"/>
        <v>2904PG</v>
      </c>
      <c r="K1025" s="919">
        <v>1</v>
      </c>
      <c r="L1025" s="920">
        <f t="shared" si="97"/>
        <v>1898</v>
      </c>
      <c r="M1025" s="920">
        <f t="shared" si="98"/>
        <v>9.9986639999999998</v>
      </c>
      <c r="N1025" s="920">
        <f t="shared" si="99"/>
        <v>14.6</v>
      </c>
      <c r="O1025" s="918" t="str">
        <f t="shared" si="100"/>
        <v>Jan</v>
      </c>
      <c r="P1025" s="921">
        <f t="shared" si="101"/>
        <v>4</v>
      </c>
    </row>
    <row r="1026" spans="1:16" ht="15" hidden="1" customHeight="1">
      <c r="A1026" s="913">
        <v>65431090</v>
      </c>
      <c r="B1026" s="839">
        <v>2904</v>
      </c>
      <c r="C1026" s="914">
        <v>2040</v>
      </c>
      <c r="D1026" s="907">
        <v>46044</v>
      </c>
      <c r="E1026" s="913" t="s">
        <v>375</v>
      </c>
      <c r="F1026" s="839" t="s">
        <v>275</v>
      </c>
      <c r="G1026" s="916">
        <f>VLOOKUP($A1026,'Tech Litons'!$A:$I,8,FALSE)</f>
        <v>3.7839999999999996E-3</v>
      </c>
      <c r="H1026" s="917">
        <f>VLOOKUP($A1026,'Tech Litons'!$A:$I,9,FALSE)</f>
        <v>255</v>
      </c>
      <c r="I1026" s="917" t="str">
        <f>VLOOKUP($A1026,'Tech Litons'!$A:$C,3,0)</f>
        <v>Talenti</v>
      </c>
      <c r="J1026" s="918" t="str">
        <f t="shared" si="96"/>
        <v>2904Talenti</v>
      </c>
      <c r="K1026" s="919">
        <v>1</v>
      </c>
      <c r="L1026" s="920">
        <f t="shared" si="97"/>
        <v>2040</v>
      </c>
      <c r="M1026" s="920">
        <f t="shared" si="98"/>
        <v>7.7193599999999991</v>
      </c>
      <c r="N1026" s="920">
        <f t="shared" si="99"/>
        <v>8</v>
      </c>
      <c r="O1026" s="918" t="str">
        <f t="shared" si="100"/>
        <v>Jan</v>
      </c>
      <c r="P1026" s="921">
        <f t="shared" si="101"/>
        <v>4</v>
      </c>
    </row>
    <row r="1027" spans="1:16" ht="15" hidden="1" customHeight="1">
      <c r="A1027" s="913">
        <v>69725082</v>
      </c>
      <c r="B1027" s="839">
        <v>1352</v>
      </c>
      <c r="C1027" s="914">
        <v>2080</v>
      </c>
      <c r="D1027" s="907">
        <v>46044</v>
      </c>
      <c r="E1027" s="913" t="s">
        <v>292</v>
      </c>
      <c r="F1027" s="839" t="s">
        <v>223</v>
      </c>
      <c r="G1027" s="916">
        <f>VLOOKUP($A1027,'Tech Litons'!$A:$I,8,FALSE)</f>
        <v>5.2680000000000001E-3</v>
      </c>
      <c r="H1027" s="917">
        <f>VLOOKUP($A1027,'Tech Litons'!$A:$I,9,FALSE)</f>
        <v>130</v>
      </c>
      <c r="I1027" s="917" t="str">
        <f>VLOOKUP($A1027,'Tech Litons'!$A:$C,3,0)</f>
        <v>PG</v>
      </c>
      <c r="J1027" s="918" t="str">
        <f t="shared" si="96"/>
        <v>1352PG</v>
      </c>
      <c r="K1027" s="919">
        <v>1</v>
      </c>
      <c r="L1027" s="920">
        <f t="shared" si="97"/>
        <v>2080</v>
      </c>
      <c r="M1027" s="920">
        <f t="shared" si="98"/>
        <v>10.95744</v>
      </c>
      <c r="N1027" s="920">
        <f t="shared" si="99"/>
        <v>16</v>
      </c>
      <c r="O1027" s="918" t="str">
        <f t="shared" si="100"/>
        <v>Jan</v>
      </c>
      <c r="P1027" s="921">
        <f t="shared" si="101"/>
        <v>4</v>
      </c>
    </row>
    <row r="1028" spans="1:16" ht="15" hidden="1" customHeight="1">
      <c r="A1028" s="913">
        <v>68710285</v>
      </c>
      <c r="B1028" s="839">
        <v>1352</v>
      </c>
      <c r="C1028" s="914">
        <v>2244</v>
      </c>
      <c r="D1028" s="907">
        <v>46044</v>
      </c>
      <c r="E1028" s="913" t="s">
        <v>367</v>
      </c>
      <c r="F1028" s="839" t="s">
        <v>242</v>
      </c>
      <c r="G1028" s="916">
        <f>VLOOKUP($A1028,'Tech Litons'!$A:$I,8,FALSE)</f>
        <v>9.5760000000000012E-3</v>
      </c>
      <c r="H1028" s="917">
        <f>VLOOKUP($A1028,'Tech Litons'!$A:$I,9,FALSE)</f>
        <v>132</v>
      </c>
      <c r="I1028" s="917" t="str">
        <f>VLOOKUP($A1028,'Tech Litons'!$A:$C,3,0)</f>
        <v>EDF</v>
      </c>
      <c r="J1028" s="918" t="str">
        <f t="shared" si="96"/>
        <v>1352EDF</v>
      </c>
      <c r="K1028" s="919">
        <v>1</v>
      </c>
      <c r="L1028" s="920">
        <f t="shared" si="97"/>
        <v>2244</v>
      </c>
      <c r="M1028" s="920">
        <f t="shared" si="98"/>
        <v>21.488544000000001</v>
      </c>
      <c r="N1028" s="920">
        <f t="shared" si="99"/>
        <v>17</v>
      </c>
      <c r="O1028" s="918" t="str">
        <f t="shared" si="100"/>
        <v>Jan</v>
      </c>
      <c r="P1028" s="921">
        <f t="shared" si="101"/>
        <v>4</v>
      </c>
    </row>
    <row r="1029" spans="1:16" ht="15" hidden="1" customHeight="1">
      <c r="A1029" s="913">
        <v>69629468</v>
      </c>
      <c r="B1029" s="839">
        <v>1352</v>
      </c>
      <c r="C1029" s="914">
        <v>2340</v>
      </c>
      <c r="D1029" s="907">
        <v>46044</v>
      </c>
      <c r="E1029" s="913" t="s">
        <v>291</v>
      </c>
      <c r="F1029" s="839" t="s">
        <v>222</v>
      </c>
      <c r="G1029" s="916">
        <f>VLOOKUP($A1029,'Tech Litons'!$A:$I,8,FALSE)</f>
        <v>5.2680000000000001E-3</v>
      </c>
      <c r="H1029" s="917">
        <f>VLOOKUP($A1029,'Tech Litons'!$A:$I,9,FALSE)</f>
        <v>130</v>
      </c>
      <c r="I1029" s="917" t="str">
        <f>VLOOKUP($A1029,'Tech Litons'!$A:$C,3,0)</f>
        <v>PG</v>
      </c>
      <c r="J1029" s="918" t="str">
        <f t="shared" si="96"/>
        <v>1352PG</v>
      </c>
      <c r="K1029" s="919">
        <v>1</v>
      </c>
      <c r="L1029" s="920">
        <f t="shared" si="97"/>
        <v>2340</v>
      </c>
      <c r="M1029" s="920">
        <f t="shared" si="98"/>
        <v>12.327120000000001</v>
      </c>
      <c r="N1029" s="920">
        <f t="shared" si="99"/>
        <v>18</v>
      </c>
      <c r="O1029" s="918" t="str">
        <f t="shared" si="100"/>
        <v>Jan</v>
      </c>
      <c r="P1029" s="921">
        <f t="shared" si="101"/>
        <v>4</v>
      </c>
    </row>
    <row r="1030" spans="1:16" ht="15" hidden="1" customHeight="1">
      <c r="A1030" s="913">
        <v>84141094</v>
      </c>
      <c r="B1030" s="839">
        <v>5914</v>
      </c>
      <c r="C1030" s="914">
        <v>2400</v>
      </c>
      <c r="D1030" s="907">
        <v>46044</v>
      </c>
      <c r="E1030" s="913" t="s">
        <v>393</v>
      </c>
      <c r="F1030" s="839" t="s">
        <v>279</v>
      </c>
      <c r="G1030" s="916">
        <f>VLOOKUP($A1030,'Tech Litons'!$A:$I,8,FALSE)</f>
        <v>3.7839999999999996E-3</v>
      </c>
      <c r="H1030" s="917">
        <f>VLOOKUP($A1030,'Tech Litons'!$A:$I,9,FALSE)</f>
        <v>240</v>
      </c>
      <c r="I1030" s="917" t="str">
        <f>VLOOKUP($A1030,'Tech Litons'!$A:$C,3,0)</f>
        <v>BJ PTS</v>
      </c>
      <c r="J1030" s="918" t="str">
        <f t="shared" si="96"/>
        <v>5914BJ PTS</v>
      </c>
      <c r="K1030" s="919">
        <v>1</v>
      </c>
      <c r="L1030" s="920">
        <f t="shared" si="97"/>
        <v>2400</v>
      </c>
      <c r="M1030" s="920">
        <f t="shared" si="98"/>
        <v>9.0815999999999999</v>
      </c>
      <c r="N1030" s="920">
        <f t="shared" si="99"/>
        <v>10</v>
      </c>
      <c r="O1030" s="918" t="str">
        <f t="shared" si="100"/>
        <v>Jan</v>
      </c>
      <c r="P1030" s="921">
        <f t="shared" si="101"/>
        <v>4</v>
      </c>
    </row>
    <row r="1031" spans="1:16" ht="15" hidden="1" customHeight="1">
      <c r="A1031" s="913">
        <v>68689251</v>
      </c>
      <c r="B1031" s="839">
        <v>1352</v>
      </c>
      <c r="C1031" s="914">
        <v>2686</v>
      </c>
      <c r="D1031" s="907">
        <v>46044</v>
      </c>
      <c r="E1031" s="913" t="s">
        <v>262</v>
      </c>
      <c r="F1031" s="839" t="s">
        <v>241</v>
      </c>
      <c r="G1031" s="916">
        <f>VLOOKUP($A1031,'Tech Litons'!$A:$I,8,FALSE)</f>
        <v>9.5760000000000012E-3</v>
      </c>
      <c r="H1031" s="917">
        <f>VLOOKUP($A1031,'Tech Litons'!$A:$I,9,FALSE)</f>
        <v>132</v>
      </c>
      <c r="I1031" s="917" t="str">
        <f>VLOOKUP($A1031,'Tech Litons'!$A:$C,3,0)</f>
        <v>EDF</v>
      </c>
      <c r="J1031" s="918" t="str">
        <f t="shared" si="96"/>
        <v>1352EDF</v>
      </c>
      <c r="K1031" s="919">
        <v>1</v>
      </c>
      <c r="L1031" s="920">
        <f t="shared" si="97"/>
        <v>2686</v>
      </c>
      <c r="M1031" s="920">
        <f t="shared" si="98"/>
        <v>25.721136000000005</v>
      </c>
      <c r="N1031" s="920">
        <f t="shared" si="99"/>
        <v>20.348484848484848</v>
      </c>
      <c r="O1031" s="918" t="str">
        <f t="shared" si="100"/>
        <v>Jan</v>
      </c>
      <c r="P1031" s="921">
        <f t="shared" si="101"/>
        <v>4</v>
      </c>
    </row>
    <row r="1032" spans="1:16" ht="15" hidden="1" customHeight="1">
      <c r="A1032" s="913">
        <v>68741742</v>
      </c>
      <c r="B1032" s="839">
        <v>2904</v>
      </c>
      <c r="C1032" s="914">
        <v>2772</v>
      </c>
      <c r="D1032" s="907">
        <v>46044</v>
      </c>
      <c r="E1032" s="913" t="s">
        <v>288</v>
      </c>
      <c r="F1032" s="839" t="s">
        <v>295</v>
      </c>
      <c r="G1032" s="916">
        <f>VLOOKUP($A1032,'Tech Litons'!$A:$I,8,FALSE)</f>
        <v>4.2560000000000002E-3</v>
      </c>
      <c r="H1032" s="917">
        <f>VLOOKUP($A1032,'Tech Litons'!$A:$I,9,FALSE)</f>
        <v>154</v>
      </c>
      <c r="I1032" s="917" t="str">
        <f>VLOOKUP($A1032,'Tech Litons'!$A:$C,3,0)</f>
        <v>MBG</v>
      </c>
      <c r="J1032" s="918" t="str">
        <f t="shared" si="96"/>
        <v>2904MBG</v>
      </c>
      <c r="K1032" s="919">
        <v>1</v>
      </c>
      <c r="L1032" s="920">
        <f t="shared" si="97"/>
        <v>2772</v>
      </c>
      <c r="M1032" s="920">
        <f t="shared" si="98"/>
        <v>11.797632</v>
      </c>
      <c r="N1032" s="920">
        <f t="shared" si="99"/>
        <v>18</v>
      </c>
      <c r="O1032" s="918" t="str">
        <f t="shared" si="100"/>
        <v>Jan</v>
      </c>
      <c r="P1032" s="921">
        <f t="shared" si="101"/>
        <v>4</v>
      </c>
    </row>
    <row r="1033" spans="1:16" ht="15" hidden="1" customHeight="1">
      <c r="A1033" s="913">
        <v>64341968</v>
      </c>
      <c r="B1033" s="839">
        <v>1352</v>
      </c>
      <c r="C1033" s="915">
        <v>2924</v>
      </c>
      <c r="D1033" s="907">
        <v>46044</v>
      </c>
      <c r="E1033" s="913" t="s">
        <v>322</v>
      </c>
      <c r="F1033" s="839" t="s">
        <v>261</v>
      </c>
      <c r="G1033" s="916">
        <f>VLOOKUP($A1033,'Tech Litons'!$A:$I,8,FALSE)</f>
        <v>8.5199999999999998E-3</v>
      </c>
      <c r="H1033" s="917">
        <f>VLOOKUP($A1033,'Tech Litons'!$A:$I,9,FALSE)</f>
        <v>176</v>
      </c>
      <c r="I1033" s="917" t="str">
        <f>VLOOKUP($A1033,'Tech Litons'!$A:$C,3,0)</f>
        <v>48oz</v>
      </c>
      <c r="J1033" s="918" t="str">
        <f t="shared" si="96"/>
        <v>135248oz</v>
      </c>
      <c r="K1033" s="919">
        <v>1</v>
      </c>
      <c r="L1033" s="920">
        <f t="shared" si="97"/>
        <v>2924</v>
      </c>
      <c r="M1033" s="920">
        <f t="shared" si="98"/>
        <v>24.912479999999999</v>
      </c>
      <c r="N1033" s="920">
        <f t="shared" si="99"/>
        <v>16.613636363636363</v>
      </c>
      <c r="O1033" s="918" t="str">
        <f t="shared" si="100"/>
        <v>Jan</v>
      </c>
      <c r="P1033" s="921">
        <f t="shared" si="101"/>
        <v>4</v>
      </c>
    </row>
    <row r="1034" spans="1:16" ht="15" hidden="1" customHeight="1">
      <c r="A1034" s="913">
        <v>64789261</v>
      </c>
      <c r="B1034" s="839">
        <v>1352</v>
      </c>
      <c r="C1034" s="914">
        <v>2925</v>
      </c>
      <c r="D1034" s="907">
        <v>46044</v>
      </c>
      <c r="E1034" s="913" t="s">
        <v>366</v>
      </c>
      <c r="F1034" s="839" t="s">
        <v>287</v>
      </c>
      <c r="G1034" s="916">
        <f>VLOOKUP($A1034,'Tech Litons'!$A:$I,8,FALSE)</f>
        <v>2.8319999999999999E-3</v>
      </c>
      <c r="H1034" s="917">
        <f>VLOOKUP($A1034,'Tech Litons'!$A:$I,9,FALSE)</f>
        <v>225</v>
      </c>
      <c r="I1034" s="917" t="str">
        <f>VLOOKUP($A1034,'Tech Litons'!$A:$C,3,0)</f>
        <v>MBG</v>
      </c>
      <c r="J1034" s="918" t="str">
        <f t="shared" si="96"/>
        <v>1352MBG</v>
      </c>
      <c r="K1034" s="919">
        <v>1</v>
      </c>
      <c r="L1034" s="920">
        <f t="shared" si="97"/>
        <v>2925</v>
      </c>
      <c r="M1034" s="920">
        <f t="shared" si="98"/>
        <v>8.2835999999999999</v>
      </c>
      <c r="N1034" s="920">
        <f t="shared" si="99"/>
        <v>13</v>
      </c>
      <c r="O1034" s="918" t="str">
        <f t="shared" si="100"/>
        <v>Jan</v>
      </c>
      <c r="P1034" s="921">
        <f t="shared" si="101"/>
        <v>4</v>
      </c>
    </row>
    <row r="1035" spans="1:16" ht="15" hidden="1" customHeight="1">
      <c r="A1035" s="913">
        <v>68300738</v>
      </c>
      <c r="B1035" s="839">
        <v>1352</v>
      </c>
      <c r="C1035" s="914">
        <v>2941</v>
      </c>
      <c r="D1035" s="907">
        <v>46044</v>
      </c>
      <c r="E1035" s="913" t="s">
        <v>325</v>
      </c>
      <c r="F1035" s="839" t="s">
        <v>240</v>
      </c>
      <c r="G1035" s="916">
        <f>VLOOKUP($A1035,'Tech Litons'!$A:$I,8,FALSE)</f>
        <v>8.4960000000000001E-3</v>
      </c>
      <c r="H1035" s="917">
        <f>VLOOKUP($A1035,'Tech Litons'!$A:$I,9,FALSE)</f>
        <v>132</v>
      </c>
      <c r="I1035" s="917" t="str">
        <f>VLOOKUP($A1035,'Tech Litons'!$A:$C,3,0)</f>
        <v>EDF</v>
      </c>
      <c r="J1035" s="918" t="str">
        <f t="shared" si="96"/>
        <v>1352EDF</v>
      </c>
      <c r="K1035" s="919">
        <v>1</v>
      </c>
      <c r="L1035" s="920">
        <f t="shared" si="97"/>
        <v>2941</v>
      </c>
      <c r="M1035" s="920">
        <f t="shared" si="98"/>
        <v>24.986736000000001</v>
      </c>
      <c r="N1035" s="920">
        <f t="shared" si="99"/>
        <v>22.280303030303031</v>
      </c>
      <c r="O1035" s="918" t="str">
        <f t="shared" si="100"/>
        <v>Jan</v>
      </c>
      <c r="P1035" s="921">
        <f t="shared" si="101"/>
        <v>4</v>
      </c>
    </row>
    <row r="1036" spans="1:16" ht="15" hidden="1" customHeight="1">
      <c r="A1036" s="913">
        <v>68689251</v>
      </c>
      <c r="B1036" s="839">
        <v>1352</v>
      </c>
      <c r="C1036" s="914">
        <v>3036</v>
      </c>
      <c r="D1036" s="907">
        <v>46044</v>
      </c>
      <c r="E1036" s="913" t="s">
        <v>262</v>
      </c>
      <c r="F1036" s="839" t="s">
        <v>241</v>
      </c>
      <c r="G1036" s="916">
        <f>VLOOKUP($A1036,'Tech Litons'!$A:$I,8,FALSE)</f>
        <v>9.5760000000000012E-3</v>
      </c>
      <c r="H1036" s="917">
        <f>VLOOKUP($A1036,'Tech Litons'!$A:$I,9,FALSE)</f>
        <v>132</v>
      </c>
      <c r="I1036" s="917" t="str">
        <f>VLOOKUP($A1036,'Tech Litons'!$A:$C,3,0)</f>
        <v>EDF</v>
      </c>
      <c r="J1036" s="918" t="str">
        <f t="shared" si="96"/>
        <v>1352EDF</v>
      </c>
      <c r="K1036" s="919">
        <v>1</v>
      </c>
      <c r="L1036" s="920">
        <f t="shared" si="97"/>
        <v>3036</v>
      </c>
      <c r="M1036" s="920">
        <f t="shared" si="98"/>
        <v>29.072736000000003</v>
      </c>
      <c r="N1036" s="920">
        <f t="shared" si="99"/>
        <v>23</v>
      </c>
      <c r="O1036" s="918" t="str">
        <f t="shared" si="100"/>
        <v>Jan</v>
      </c>
      <c r="P1036" s="921">
        <f t="shared" si="101"/>
        <v>4</v>
      </c>
    </row>
    <row r="1037" spans="1:16" ht="15" hidden="1" customHeight="1">
      <c r="A1037" s="913">
        <v>69629468</v>
      </c>
      <c r="B1037" s="839">
        <v>1352</v>
      </c>
      <c r="C1037" s="914">
        <v>3246</v>
      </c>
      <c r="D1037" s="907">
        <v>46044</v>
      </c>
      <c r="E1037" s="913" t="s">
        <v>291</v>
      </c>
      <c r="F1037" s="839" t="s">
        <v>222</v>
      </c>
      <c r="G1037" s="916">
        <f>VLOOKUP($A1037,'Tech Litons'!$A:$I,8,FALSE)</f>
        <v>5.2680000000000001E-3</v>
      </c>
      <c r="H1037" s="917">
        <f>VLOOKUP($A1037,'Tech Litons'!$A:$I,9,FALSE)</f>
        <v>130</v>
      </c>
      <c r="I1037" s="917" t="str">
        <f>VLOOKUP($A1037,'Tech Litons'!$A:$C,3,0)</f>
        <v>PG</v>
      </c>
      <c r="J1037" s="918" t="str">
        <f t="shared" si="96"/>
        <v>1352PG</v>
      </c>
      <c r="K1037" s="919">
        <v>1</v>
      </c>
      <c r="L1037" s="920">
        <f t="shared" si="97"/>
        <v>3246</v>
      </c>
      <c r="M1037" s="920">
        <f t="shared" si="98"/>
        <v>17.099928000000002</v>
      </c>
      <c r="N1037" s="920">
        <f t="shared" si="99"/>
        <v>24.969230769230769</v>
      </c>
      <c r="O1037" s="918" t="str">
        <f t="shared" si="100"/>
        <v>Jan</v>
      </c>
      <c r="P1037" s="921">
        <f t="shared" si="101"/>
        <v>4</v>
      </c>
    </row>
    <row r="1038" spans="1:16" ht="15" hidden="1" customHeight="1">
      <c r="A1038" s="913">
        <v>84144598</v>
      </c>
      <c r="B1038" s="839">
        <v>2904</v>
      </c>
      <c r="C1038" s="914">
        <v>3360</v>
      </c>
      <c r="D1038" s="907">
        <v>46044</v>
      </c>
      <c r="E1038" s="913" t="s">
        <v>364</v>
      </c>
      <c r="F1038" s="839" t="s">
        <v>299</v>
      </c>
      <c r="G1038" s="916">
        <f>VLOOKUP($A1038,'Tech Litons'!$A:$I,8,FALSE)</f>
        <v>3.7853439999999999E-3</v>
      </c>
      <c r="H1038" s="917">
        <f>VLOOKUP($A1038,'Tech Litons'!$A:$I,9,FALSE)</f>
        <v>240</v>
      </c>
      <c r="I1038" s="917" t="str">
        <f>VLOOKUP($A1038,'Tech Litons'!$A:$C,3,0)</f>
        <v>BJ PTS</v>
      </c>
      <c r="J1038" s="918" t="str">
        <f t="shared" si="96"/>
        <v>2904BJ PTS</v>
      </c>
      <c r="K1038" s="919">
        <v>1</v>
      </c>
      <c r="L1038" s="920">
        <f t="shared" si="97"/>
        <v>3360</v>
      </c>
      <c r="M1038" s="920">
        <f t="shared" si="98"/>
        <v>12.71875584</v>
      </c>
      <c r="N1038" s="920">
        <f t="shared" si="99"/>
        <v>14</v>
      </c>
      <c r="O1038" s="918" t="str">
        <f t="shared" si="100"/>
        <v>Jan</v>
      </c>
      <c r="P1038" s="921">
        <f t="shared" si="101"/>
        <v>4</v>
      </c>
    </row>
    <row r="1039" spans="1:16" ht="15" hidden="1" customHeight="1">
      <c r="A1039" s="913">
        <v>84141418</v>
      </c>
      <c r="B1039" s="839">
        <v>5914</v>
      </c>
      <c r="C1039" s="914">
        <v>3410</v>
      </c>
      <c r="D1039" s="907">
        <v>46044</v>
      </c>
      <c r="E1039" s="913" t="s">
        <v>369</v>
      </c>
      <c r="F1039" s="839" t="s">
        <v>303</v>
      </c>
      <c r="G1039" s="916">
        <f>VLOOKUP($A1039,'Tech Litons'!$A:$I,8,FALSE)</f>
        <v>9.0848256361922702E-3</v>
      </c>
      <c r="H1039" s="917">
        <f>VLOOKUP($A1039,'Tech Litons'!$A:$I,9,FALSE)</f>
        <v>125</v>
      </c>
      <c r="I1039" s="917" t="str">
        <f>VLOOKUP($A1039,'Tech Litons'!$A:$C,3,0)</f>
        <v>2.4 Gal</v>
      </c>
      <c r="J1039" s="918" t="str">
        <f t="shared" si="96"/>
        <v>59142.4 Gal</v>
      </c>
      <c r="K1039" s="919">
        <v>1</v>
      </c>
      <c r="L1039" s="920">
        <f t="shared" si="97"/>
        <v>3410</v>
      </c>
      <c r="M1039" s="920">
        <f t="shared" si="98"/>
        <v>30.97925541941564</v>
      </c>
      <c r="N1039" s="920">
        <f t="shared" si="99"/>
        <v>27.28</v>
      </c>
      <c r="O1039" s="918" t="str">
        <f t="shared" si="100"/>
        <v>Jan</v>
      </c>
      <c r="P1039" s="921">
        <f t="shared" si="101"/>
        <v>4</v>
      </c>
    </row>
    <row r="1040" spans="1:16" ht="15" hidden="1" customHeight="1">
      <c r="A1040" s="913">
        <v>68741742</v>
      </c>
      <c r="B1040" s="839">
        <v>1352</v>
      </c>
      <c r="C1040" s="914">
        <v>3638</v>
      </c>
      <c r="D1040" s="907">
        <v>46044</v>
      </c>
      <c r="E1040" s="913" t="s">
        <v>288</v>
      </c>
      <c r="F1040" s="839" t="s">
        <v>289</v>
      </c>
      <c r="G1040" s="916">
        <f>VLOOKUP($A1040,'Tech Litons'!$A:$I,8,FALSE)</f>
        <v>4.2560000000000002E-3</v>
      </c>
      <c r="H1040" s="917">
        <f>VLOOKUP($A1040,'Tech Litons'!$A:$I,9,FALSE)</f>
        <v>154</v>
      </c>
      <c r="I1040" s="917" t="str">
        <f>VLOOKUP($A1040,'Tech Litons'!$A:$C,3,0)</f>
        <v>MBG</v>
      </c>
      <c r="J1040" s="918" t="str">
        <f t="shared" si="96"/>
        <v>1352MBG</v>
      </c>
      <c r="K1040" s="919">
        <v>1</v>
      </c>
      <c r="L1040" s="920">
        <f t="shared" si="97"/>
        <v>3638</v>
      </c>
      <c r="M1040" s="920">
        <f t="shared" si="98"/>
        <v>15.483328</v>
      </c>
      <c r="N1040" s="920">
        <f t="shared" si="99"/>
        <v>23.623376623376622</v>
      </c>
      <c r="O1040" s="918" t="str">
        <f t="shared" si="100"/>
        <v>Jan</v>
      </c>
      <c r="P1040" s="921">
        <f t="shared" si="101"/>
        <v>4</v>
      </c>
    </row>
    <row r="1041" spans="1:16" ht="15" hidden="1" customHeight="1">
      <c r="A1041" s="913">
        <v>64988055</v>
      </c>
      <c r="B1041" s="839">
        <v>2904</v>
      </c>
      <c r="C1041" s="914">
        <v>3696</v>
      </c>
      <c r="D1041" s="907">
        <v>46044</v>
      </c>
      <c r="E1041" s="913" t="s">
        <v>360</v>
      </c>
      <c r="F1041" s="839" t="s">
        <v>271</v>
      </c>
      <c r="G1041" s="916">
        <f>VLOOKUP($A1041,'Tech Litons'!$A:$I,8,FALSE)</f>
        <v>8.513999999999999E-3</v>
      </c>
      <c r="H1041" s="917">
        <f>VLOOKUP($A1041,'Tech Litons'!$A:$I,9,FALSE)</f>
        <v>176</v>
      </c>
      <c r="I1041" s="917" t="str">
        <f>VLOOKUP($A1041,'Tech Litons'!$A:$C,3,0)</f>
        <v>48oz</v>
      </c>
      <c r="J1041" s="918" t="str">
        <f t="shared" si="96"/>
        <v>290448oz</v>
      </c>
      <c r="K1041" s="919">
        <v>1</v>
      </c>
      <c r="L1041" s="920">
        <f t="shared" si="97"/>
        <v>3696</v>
      </c>
      <c r="M1041" s="920">
        <f t="shared" si="98"/>
        <v>31.467743999999996</v>
      </c>
      <c r="N1041" s="920">
        <f t="shared" si="99"/>
        <v>21</v>
      </c>
      <c r="O1041" s="918" t="str">
        <f t="shared" si="100"/>
        <v>Jan</v>
      </c>
      <c r="P1041" s="921">
        <f t="shared" si="101"/>
        <v>4</v>
      </c>
    </row>
    <row r="1042" spans="1:16" ht="15" hidden="1" customHeight="1">
      <c r="A1042" s="913">
        <v>69988931</v>
      </c>
      <c r="B1042" s="839">
        <v>2904</v>
      </c>
      <c r="C1042" s="914">
        <v>3808</v>
      </c>
      <c r="D1042" s="907">
        <v>46044</v>
      </c>
      <c r="E1042" s="913" t="s">
        <v>363</v>
      </c>
      <c r="F1042" s="839" t="s">
        <v>281</v>
      </c>
      <c r="G1042" s="916">
        <f>VLOOKUP($A1042,'Tech Litons'!$A:$I,8,FALSE)</f>
        <v>1.98E-3</v>
      </c>
      <c r="H1042" s="917">
        <f>VLOOKUP($A1042,'Tech Litons'!$A:$I,9,FALSE)</f>
        <v>176</v>
      </c>
      <c r="I1042" s="917" t="str">
        <f>VLOOKUP($A1042,'Tech Litons'!$A:$C,3,0)</f>
        <v>MG Sticks</v>
      </c>
      <c r="J1042" s="918" t="str">
        <f t="shared" ref="J1042:J1105" si="102">B1042&amp;I1042</f>
        <v>2904MG Sticks</v>
      </c>
      <c r="K1042" s="919">
        <v>1</v>
      </c>
      <c r="L1042" s="920">
        <f t="shared" ref="L1042:L1105" si="103">C1042*$K1042</f>
        <v>3808</v>
      </c>
      <c r="M1042" s="920">
        <f t="shared" ref="M1042:M1105" si="104">L1042*G1042</f>
        <v>7.5398399999999999</v>
      </c>
      <c r="N1042" s="920">
        <f t="shared" ref="N1042:N1105" si="105">L1042/H1042</f>
        <v>21.636363636363637</v>
      </c>
      <c r="O1042" s="918" t="str">
        <f t="shared" ref="O1042:O1105" si="106">TEXT(D1042,"MMM")</f>
        <v>Jan</v>
      </c>
      <c r="P1042" s="921">
        <f t="shared" ref="P1042:P1105" si="107">WEEKNUM(D1042)</f>
        <v>4</v>
      </c>
    </row>
    <row r="1043" spans="1:16" ht="15" hidden="1" customHeight="1">
      <c r="A1043" s="913">
        <v>69725082</v>
      </c>
      <c r="B1043" s="839">
        <v>1352</v>
      </c>
      <c r="C1043" s="914">
        <v>3816</v>
      </c>
      <c r="D1043" s="907">
        <v>46044</v>
      </c>
      <c r="E1043" s="913" t="s">
        <v>292</v>
      </c>
      <c r="F1043" s="839" t="s">
        <v>223</v>
      </c>
      <c r="G1043" s="916">
        <f>VLOOKUP($A1043,'Tech Litons'!$A:$I,8,FALSE)</f>
        <v>5.2680000000000001E-3</v>
      </c>
      <c r="H1043" s="917">
        <f>VLOOKUP($A1043,'Tech Litons'!$A:$I,9,FALSE)</f>
        <v>130</v>
      </c>
      <c r="I1043" s="917" t="str">
        <f>VLOOKUP($A1043,'Tech Litons'!$A:$C,3,0)</f>
        <v>PG</v>
      </c>
      <c r="J1043" s="918" t="str">
        <f t="shared" si="102"/>
        <v>1352PG</v>
      </c>
      <c r="K1043" s="919">
        <v>1</v>
      </c>
      <c r="L1043" s="920">
        <f t="shared" si="103"/>
        <v>3816</v>
      </c>
      <c r="M1043" s="920">
        <f t="shared" si="104"/>
        <v>20.102688000000001</v>
      </c>
      <c r="N1043" s="920">
        <f t="shared" si="105"/>
        <v>29.353846153846153</v>
      </c>
      <c r="O1043" s="918" t="str">
        <f t="shared" si="106"/>
        <v>Jan</v>
      </c>
      <c r="P1043" s="921">
        <f t="shared" si="107"/>
        <v>4</v>
      </c>
    </row>
    <row r="1044" spans="1:16" ht="15" hidden="1" customHeight="1">
      <c r="A1044" s="913">
        <v>69717803</v>
      </c>
      <c r="B1044" s="839">
        <v>2904</v>
      </c>
      <c r="C1044" s="914">
        <v>3822</v>
      </c>
      <c r="D1044" s="907">
        <v>46044</v>
      </c>
      <c r="E1044" s="913" t="s">
        <v>362</v>
      </c>
      <c r="F1044" s="839" t="s">
        <v>231</v>
      </c>
      <c r="G1044" s="916">
        <f>VLOOKUP($A1044,'Tech Litons'!$A:$I,8,FALSE)</f>
        <v>4.2560000000000002E-3</v>
      </c>
      <c r="H1044" s="917">
        <f>VLOOKUP($A1044,'Tech Litons'!$A:$I,9,FALSE)</f>
        <v>143</v>
      </c>
      <c r="I1044" s="917" t="str">
        <f>VLOOKUP($A1044,'Tech Litons'!$A:$C,3,0)</f>
        <v>MG Sticks</v>
      </c>
      <c r="J1044" s="918" t="str">
        <f t="shared" si="102"/>
        <v>2904MG Sticks</v>
      </c>
      <c r="K1044" s="919">
        <v>1</v>
      </c>
      <c r="L1044" s="920">
        <f t="shared" si="103"/>
        <v>3822</v>
      </c>
      <c r="M1044" s="920">
        <f t="shared" si="104"/>
        <v>16.266432000000002</v>
      </c>
      <c r="N1044" s="920">
        <f t="shared" si="105"/>
        <v>26.727272727272727</v>
      </c>
      <c r="O1044" s="918" t="str">
        <f t="shared" si="106"/>
        <v>Jan</v>
      </c>
      <c r="P1044" s="921">
        <f t="shared" si="107"/>
        <v>4</v>
      </c>
    </row>
    <row r="1045" spans="1:16" ht="15" hidden="1" customHeight="1">
      <c r="A1045" s="913">
        <v>69997338</v>
      </c>
      <c r="B1045" s="839">
        <v>5914</v>
      </c>
      <c r="C1045" s="914">
        <v>3859</v>
      </c>
      <c r="D1045" s="907">
        <v>46044</v>
      </c>
      <c r="E1045" s="913" t="s">
        <v>372</v>
      </c>
      <c r="F1045" s="839" t="s">
        <v>303</v>
      </c>
      <c r="G1045" s="916">
        <f>VLOOKUP($A1045,'Tech Litons'!$A:$I,8,FALSE)</f>
        <v>9.0850000000000011E-3</v>
      </c>
      <c r="H1045" s="917">
        <f>VLOOKUP($A1045,'Tech Litons'!$A:$I,9,FALSE)</f>
        <v>125</v>
      </c>
      <c r="I1045" s="917" t="str">
        <f>VLOOKUP($A1045,'Tech Litons'!$A:$C,3,0)</f>
        <v>2.4 Gal</v>
      </c>
      <c r="J1045" s="918" t="str">
        <f t="shared" si="102"/>
        <v>59142.4 Gal</v>
      </c>
      <c r="K1045" s="919">
        <v>1</v>
      </c>
      <c r="L1045" s="920">
        <f t="shared" si="103"/>
        <v>3859</v>
      </c>
      <c r="M1045" s="920">
        <f t="shared" si="104"/>
        <v>35.059015000000002</v>
      </c>
      <c r="N1045" s="920">
        <f t="shared" si="105"/>
        <v>30.872</v>
      </c>
      <c r="O1045" s="918" t="str">
        <f t="shared" si="106"/>
        <v>Jan</v>
      </c>
      <c r="P1045" s="921">
        <f t="shared" si="107"/>
        <v>4</v>
      </c>
    </row>
    <row r="1046" spans="1:16" ht="15" hidden="1" customHeight="1">
      <c r="A1046" s="913">
        <v>68817793</v>
      </c>
      <c r="B1046" s="839">
        <v>1352</v>
      </c>
      <c r="C1046" s="914">
        <v>3869</v>
      </c>
      <c r="D1046" s="907">
        <v>46044</v>
      </c>
      <c r="E1046" s="913" t="s">
        <v>353</v>
      </c>
      <c r="F1046" s="839" t="s">
        <v>266</v>
      </c>
      <c r="G1046" s="916">
        <f>VLOOKUP($A1046,'Tech Litons'!$A:$I,8,FALSE)</f>
        <v>8.5199999999999998E-3</v>
      </c>
      <c r="H1046" s="917">
        <f>VLOOKUP($A1046,'Tech Litons'!$A:$I,9,FALSE)</f>
        <v>176</v>
      </c>
      <c r="I1046" s="917" t="str">
        <f>VLOOKUP($A1046,'Tech Litons'!$A:$C,3,0)</f>
        <v>48oz</v>
      </c>
      <c r="J1046" s="918" t="str">
        <f t="shared" si="102"/>
        <v>135248oz</v>
      </c>
      <c r="K1046" s="919">
        <v>1</v>
      </c>
      <c r="L1046" s="920">
        <f t="shared" si="103"/>
        <v>3869</v>
      </c>
      <c r="M1046" s="920">
        <f t="shared" si="104"/>
        <v>32.963879999999996</v>
      </c>
      <c r="N1046" s="920">
        <f t="shared" si="105"/>
        <v>21.982954545454547</v>
      </c>
      <c r="O1046" s="918" t="str">
        <f t="shared" si="106"/>
        <v>Jan</v>
      </c>
      <c r="P1046" s="921">
        <f t="shared" si="107"/>
        <v>4</v>
      </c>
    </row>
    <row r="1047" spans="1:16" ht="15" hidden="1" customHeight="1">
      <c r="A1047" s="913">
        <v>68930545</v>
      </c>
      <c r="B1047" s="839">
        <v>1352</v>
      </c>
      <c r="C1047" s="914">
        <v>4004</v>
      </c>
      <c r="D1047" s="907">
        <v>46044</v>
      </c>
      <c r="E1047" s="913" t="s">
        <v>349</v>
      </c>
      <c r="F1047" s="839" t="s">
        <v>290</v>
      </c>
      <c r="G1047" s="916">
        <f>VLOOKUP($A1047,'Tech Litons'!$A:$I,8,FALSE)</f>
        <v>8.5199999999999998E-3</v>
      </c>
      <c r="H1047" s="917">
        <f>VLOOKUP($A1047,'Tech Litons'!$A:$I,9,FALSE)</f>
        <v>176</v>
      </c>
      <c r="I1047" s="917" t="str">
        <f>VLOOKUP($A1047,'Tech Litons'!$A:$C,3,0)</f>
        <v>48oz</v>
      </c>
      <c r="J1047" s="918" t="str">
        <f t="shared" si="102"/>
        <v>135248oz</v>
      </c>
      <c r="K1047" s="919">
        <v>1</v>
      </c>
      <c r="L1047" s="920">
        <f t="shared" si="103"/>
        <v>4004</v>
      </c>
      <c r="M1047" s="920">
        <f t="shared" si="104"/>
        <v>34.114080000000001</v>
      </c>
      <c r="N1047" s="920">
        <f t="shared" si="105"/>
        <v>22.75</v>
      </c>
      <c r="O1047" s="918" t="str">
        <f t="shared" si="106"/>
        <v>Jan</v>
      </c>
      <c r="P1047" s="921">
        <f t="shared" si="107"/>
        <v>4</v>
      </c>
    </row>
    <row r="1048" spans="1:16" ht="15" hidden="1" customHeight="1">
      <c r="A1048" s="913">
        <v>68821735</v>
      </c>
      <c r="B1048" s="839">
        <v>2904</v>
      </c>
      <c r="C1048" s="914">
        <v>4004</v>
      </c>
      <c r="D1048" s="907">
        <v>46044</v>
      </c>
      <c r="E1048" s="913" t="s">
        <v>318</v>
      </c>
      <c r="F1048" s="839" t="s">
        <v>269</v>
      </c>
      <c r="G1048" s="916">
        <f>VLOOKUP($A1048,'Tech Litons'!$A:$I,8,FALSE)</f>
        <v>8.5199999999999998E-3</v>
      </c>
      <c r="H1048" s="917">
        <f>VLOOKUP($A1048,'Tech Litons'!$A:$I,9,FALSE)</f>
        <v>176</v>
      </c>
      <c r="I1048" s="917" t="str">
        <f>VLOOKUP($A1048,'Tech Litons'!$A:$C,3,0)</f>
        <v>48oz</v>
      </c>
      <c r="J1048" s="918" t="str">
        <f t="shared" si="102"/>
        <v>290448oz</v>
      </c>
      <c r="K1048" s="919">
        <v>1</v>
      </c>
      <c r="L1048" s="920">
        <f t="shared" si="103"/>
        <v>4004</v>
      </c>
      <c r="M1048" s="920">
        <f t="shared" si="104"/>
        <v>34.114080000000001</v>
      </c>
      <c r="N1048" s="920">
        <f t="shared" si="105"/>
        <v>22.75</v>
      </c>
      <c r="O1048" s="918" t="str">
        <f t="shared" si="106"/>
        <v>Jan</v>
      </c>
      <c r="P1048" s="921">
        <f t="shared" si="107"/>
        <v>4</v>
      </c>
    </row>
    <row r="1049" spans="1:16" ht="15" hidden="1" customHeight="1">
      <c r="A1049" s="913">
        <v>69988931</v>
      </c>
      <c r="B1049" s="839">
        <v>2904</v>
      </c>
      <c r="C1049" s="914">
        <v>4035</v>
      </c>
      <c r="D1049" s="907">
        <v>46044</v>
      </c>
      <c r="E1049" s="913" t="s">
        <v>363</v>
      </c>
      <c r="F1049" s="839" t="s">
        <v>281</v>
      </c>
      <c r="G1049" s="916">
        <f>VLOOKUP($A1049,'Tech Litons'!$A:$I,8,FALSE)</f>
        <v>1.98E-3</v>
      </c>
      <c r="H1049" s="917">
        <f>VLOOKUP($A1049,'Tech Litons'!$A:$I,9,FALSE)</f>
        <v>176</v>
      </c>
      <c r="I1049" s="917" t="str">
        <f>VLOOKUP($A1049,'Tech Litons'!$A:$C,3,0)</f>
        <v>MG Sticks</v>
      </c>
      <c r="J1049" s="918" t="str">
        <f t="shared" si="102"/>
        <v>2904MG Sticks</v>
      </c>
      <c r="K1049" s="919">
        <v>1</v>
      </c>
      <c r="L1049" s="920">
        <f t="shared" si="103"/>
        <v>4035</v>
      </c>
      <c r="M1049" s="920">
        <f t="shared" si="104"/>
        <v>7.9893000000000001</v>
      </c>
      <c r="N1049" s="920">
        <f t="shared" si="105"/>
        <v>22.926136363636363</v>
      </c>
      <c r="O1049" s="918" t="str">
        <f t="shared" si="106"/>
        <v>Jan</v>
      </c>
      <c r="P1049" s="921">
        <f t="shared" si="107"/>
        <v>4</v>
      </c>
    </row>
    <row r="1050" spans="1:16" ht="15" hidden="1" customHeight="1">
      <c r="A1050" s="913">
        <v>64988055</v>
      </c>
      <c r="B1050" s="839">
        <v>2904</v>
      </c>
      <c r="C1050" s="914">
        <v>4048</v>
      </c>
      <c r="D1050" s="907">
        <v>46044</v>
      </c>
      <c r="E1050" s="913" t="s">
        <v>360</v>
      </c>
      <c r="F1050" s="839" t="s">
        <v>271</v>
      </c>
      <c r="G1050" s="916">
        <f>VLOOKUP($A1050,'Tech Litons'!$A:$I,8,FALSE)</f>
        <v>8.513999999999999E-3</v>
      </c>
      <c r="H1050" s="917">
        <f>VLOOKUP($A1050,'Tech Litons'!$A:$I,9,FALSE)</f>
        <v>176</v>
      </c>
      <c r="I1050" s="917" t="str">
        <f>VLOOKUP($A1050,'Tech Litons'!$A:$C,3,0)</f>
        <v>48oz</v>
      </c>
      <c r="J1050" s="918" t="str">
        <f t="shared" si="102"/>
        <v>290448oz</v>
      </c>
      <c r="K1050" s="919">
        <v>1</v>
      </c>
      <c r="L1050" s="920">
        <f t="shared" si="103"/>
        <v>4048</v>
      </c>
      <c r="M1050" s="920">
        <f t="shared" si="104"/>
        <v>34.464671999999993</v>
      </c>
      <c r="N1050" s="920">
        <f t="shared" si="105"/>
        <v>23</v>
      </c>
      <c r="O1050" s="918" t="str">
        <f t="shared" si="106"/>
        <v>Jan</v>
      </c>
      <c r="P1050" s="921">
        <f t="shared" si="107"/>
        <v>4</v>
      </c>
    </row>
    <row r="1051" spans="1:16" ht="15" hidden="1" customHeight="1">
      <c r="A1051" s="913">
        <v>64341967</v>
      </c>
      <c r="B1051" s="839">
        <v>1352</v>
      </c>
      <c r="C1051" s="914">
        <v>4379</v>
      </c>
      <c r="D1051" s="907">
        <v>46044</v>
      </c>
      <c r="E1051" s="913" t="s">
        <v>260</v>
      </c>
      <c r="F1051" s="839" t="s">
        <v>261</v>
      </c>
      <c r="G1051" s="916">
        <f>VLOOKUP($A1051,'Tech Litons'!$A:$I,8,FALSE)</f>
        <v>8.513999999999999E-3</v>
      </c>
      <c r="H1051" s="917">
        <f>VLOOKUP($A1051,'Tech Litons'!$A:$I,9,FALSE)</f>
        <v>176</v>
      </c>
      <c r="I1051" s="917" t="str">
        <f>VLOOKUP($A1051,'Tech Litons'!$A:$C,3,0)</f>
        <v>48oz</v>
      </c>
      <c r="J1051" s="918" t="str">
        <f t="shared" si="102"/>
        <v>135248oz</v>
      </c>
      <c r="K1051" s="919">
        <v>1</v>
      </c>
      <c r="L1051" s="920">
        <f t="shared" si="103"/>
        <v>4379</v>
      </c>
      <c r="M1051" s="920">
        <f t="shared" si="104"/>
        <v>37.282805999999994</v>
      </c>
      <c r="N1051" s="920">
        <f t="shared" si="105"/>
        <v>24.880681818181817</v>
      </c>
      <c r="O1051" s="918" t="str">
        <f t="shared" si="106"/>
        <v>Jan</v>
      </c>
      <c r="P1051" s="921">
        <f t="shared" si="107"/>
        <v>4</v>
      </c>
    </row>
    <row r="1052" spans="1:16" ht="15" hidden="1" customHeight="1">
      <c r="A1052" s="913">
        <v>68817796</v>
      </c>
      <c r="B1052" s="839">
        <v>1352</v>
      </c>
      <c r="C1052" s="914">
        <v>4400</v>
      </c>
      <c r="D1052" s="907">
        <v>46044</v>
      </c>
      <c r="E1052" s="913" t="s">
        <v>263</v>
      </c>
      <c r="F1052" s="839" t="s">
        <v>264</v>
      </c>
      <c r="G1052" s="916">
        <f>VLOOKUP($A1052,'Tech Litons'!$A:$I,8,FALSE)</f>
        <v>8.513999999999999E-3</v>
      </c>
      <c r="H1052" s="917">
        <f>VLOOKUP($A1052,'Tech Litons'!$A:$I,9,FALSE)</f>
        <v>176</v>
      </c>
      <c r="I1052" s="917" t="str">
        <f>VLOOKUP($A1052,'Tech Litons'!$A:$C,3,0)</f>
        <v>48oz</v>
      </c>
      <c r="J1052" s="918" t="str">
        <f t="shared" si="102"/>
        <v>135248oz</v>
      </c>
      <c r="K1052" s="919">
        <v>1</v>
      </c>
      <c r="L1052" s="920">
        <f t="shared" si="103"/>
        <v>4400</v>
      </c>
      <c r="M1052" s="920">
        <f t="shared" si="104"/>
        <v>37.461599999999997</v>
      </c>
      <c r="N1052" s="920">
        <f t="shared" si="105"/>
        <v>25</v>
      </c>
      <c r="O1052" s="918" t="str">
        <f t="shared" si="106"/>
        <v>Jan</v>
      </c>
      <c r="P1052" s="921">
        <f t="shared" si="107"/>
        <v>4</v>
      </c>
    </row>
    <row r="1053" spans="1:16" ht="15" hidden="1" customHeight="1">
      <c r="A1053" s="913">
        <v>64789261</v>
      </c>
      <c r="B1053" s="839">
        <v>1352</v>
      </c>
      <c r="C1053" s="914">
        <v>4636</v>
      </c>
      <c r="D1053" s="907">
        <v>46044</v>
      </c>
      <c r="E1053" s="913" t="s">
        <v>366</v>
      </c>
      <c r="F1053" s="839" t="s">
        <v>287</v>
      </c>
      <c r="G1053" s="916">
        <f>VLOOKUP($A1053,'Tech Litons'!$A:$I,8,FALSE)</f>
        <v>2.8319999999999999E-3</v>
      </c>
      <c r="H1053" s="917">
        <f>VLOOKUP($A1053,'Tech Litons'!$A:$I,9,FALSE)</f>
        <v>225</v>
      </c>
      <c r="I1053" s="917" t="str">
        <f>VLOOKUP($A1053,'Tech Litons'!$A:$C,3,0)</f>
        <v>MBG</v>
      </c>
      <c r="J1053" s="918" t="str">
        <f t="shared" si="102"/>
        <v>1352MBG</v>
      </c>
      <c r="K1053" s="919">
        <v>1</v>
      </c>
      <c r="L1053" s="920">
        <f t="shared" si="103"/>
        <v>4636</v>
      </c>
      <c r="M1053" s="920">
        <f t="shared" si="104"/>
        <v>13.129151999999999</v>
      </c>
      <c r="N1053" s="920">
        <f t="shared" si="105"/>
        <v>20.604444444444443</v>
      </c>
      <c r="O1053" s="918" t="str">
        <f t="shared" si="106"/>
        <v>Jan</v>
      </c>
      <c r="P1053" s="921">
        <f t="shared" si="107"/>
        <v>4</v>
      </c>
    </row>
    <row r="1054" spans="1:16" ht="15" hidden="1" customHeight="1">
      <c r="A1054" s="913">
        <v>64341967</v>
      </c>
      <c r="B1054" s="839">
        <v>1352</v>
      </c>
      <c r="C1054" s="914">
        <v>4721</v>
      </c>
      <c r="D1054" s="907">
        <v>46044</v>
      </c>
      <c r="E1054" s="913" t="s">
        <v>260</v>
      </c>
      <c r="F1054" s="839" t="s">
        <v>261</v>
      </c>
      <c r="G1054" s="916">
        <f>VLOOKUP($A1054,'Tech Litons'!$A:$I,8,FALSE)</f>
        <v>8.513999999999999E-3</v>
      </c>
      <c r="H1054" s="917">
        <f>VLOOKUP($A1054,'Tech Litons'!$A:$I,9,FALSE)</f>
        <v>176</v>
      </c>
      <c r="I1054" s="917" t="str">
        <f>VLOOKUP($A1054,'Tech Litons'!$A:$C,3,0)</f>
        <v>48oz</v>
      </c>
      <c r="J1054" s="918" t="str">
        <f t="shared" si="102"/>
        <v>135248oz</v>
      </c>
      <c r="K1054" s="919">
        <v>1</v>
      </c>
      <c r="L1054" s="920">
        <f t="shared" si="103"/>
        <v>4721</v>
      </c>
      <c r="M1054" s="920">
        <f t="shared" si="104"/>
        <v>40.194593999999995</v>
      </c>
      <c r="N1054" s="920">
        <f t="shared" si="105"/>
        <v>26.823863636363637</v>
      </c>
      <c r="O1054" s="918" t="str">
        <f t="shared" si="106"/>
        <v>Jan</v>
      </c>
      <c r="P1054" s="921">
        <f t="shared" si="107"/>
        <v>4</v>
      </c>
    </row>
    <row r="1055" spans="1:16" ht="15" hidden="1" customHeight="1">
      <c r="A1055" s="913">
        <v>69991925</v>
      </c>
      <c r="B1055" s="839">
        <v>2904</v>
      </c>
      <c r="C1055" s="914">
        <v>4830</v>
      </c>
      <c r="D1055" s="907">
        <v>46044</v>
      </c>
      <c r="E1055" s="913" t="s">
        <v>379</v>
      </c>
      <c r="F1055" s="839" t="s">
        <v>283</v>
      </c>
      <c r="G1055" s="916">
        <f>VLOOKUP($A1055,'Tech Litons'!$A:$I,8,FALSE)</f>
        <v>2.0400000000000001E-3</v>
      </c>
      <c r="H1055" s="917">
        <f>VLOOKUP($A1055,'Tech Litons'!$A:$I,9,FALSE)</f>
        <v>210</v>
      </c>
      <c r="I1055" s="917" t="str">
        <f>VLOOKUP($A1055,'Tech Litons'!$A:$C,3,0)</f>
        <v>MG Sticks</v>
      </c>
      <c r="J1055" s="918" t="str">
        <f t="shared" si="102"/>
        <v>2904MG Sticks</v>
      </c>
      <c r="K1055" s="919">
        <v>1</v>
      </c>
      <c r="L1055" s="920">
        <f t="shared" si="103"/>
        <v>4830</v>
      </c>
      <c r="M1055" s="920">
        <f t="shared" si="104"/>
        <v>9.8532000000000011</v>
      </c>
      <c r="N1055" s="920">
        <f t="shared" si="105"/>
        <v>23</v>
      </c>
      <c r="O1055" s="918" t="str">
        <f t="shared" si="106"/>
        <v>Jan</v>
      </c>
      <c r="P1055" s="921">
        <f t="shared" si="107"/>
        <v>4</v>
      </c>
    </row>
    <row r="1056" spans="1:16" ht="15" hidden="1" customHeight="1">
      <c r="A1056" s="913">
        <v>64874633</v>
      </c>
      <c r="B1056" s="839">
        <v>3910</v>
      </c>
      <c r="C1056" s="914">
        <v>5040</v>
      </c>
      <c r="D1056" s="907">
        <v>46044</v>
      </c>
      <c r="E1056" s="913" t="s">
        <v>341</v>
      </c>
      <c r="F1056" s="839" t="s">
        <v>342</v>
      </c>
      <c r="G1056" s="916">
        <f>VLOOKUP($A1056,'Tech Litons'!$A:$I,8,FALSE)</f>
        <v>3.192E-3</v>
      </c>
      <c r="H1056" s="917">
        <f>VLOOKUP($A1056,'Tech Litons'!$A:$I,9,FALSE)</f>
        <v>280</v>
      </c>
      <c r="I1056" s="917" t="str">
        <f>VLOOKUP($A1056,'Tech Litons'!$A:$C,3,0)</f>
        <v>ESS</v>
      </c>
      <c r="J1056" s="918" t="str">
        <f t="shared" si="102"/>
        <v>3910ESS</v>
      </c>
      <c r="K1056" s="919">
        <v>1</v>
      </c>
      <c r="L1056" s="920">
        <f t="shared" si="103"/>
        <v>5040</v>
      </c>
      <c r="M1056" s="920">
        <f t="shared" si="104"/>
        <v>16.087679999999999</v>
      </c>
      <c r="N1056" s="920">
        <f t="shared" si="105"/>
        <v>18</v>
      </c>
      <c r="O1056" s="918" t="str">
        <f t="shared" si="106"/>
        <v>Jan</v>
      </c>
      <c r="P1056" s="921">
        <f t="shared" si="107"/>
        <v>4</v>
      </c>
    </row>
    <row r="1057" spans="1:16" ht="15" hidden="1" customHeight="1">
      <c r="A1057" s="913">
        <v>68710285</v>
      </c>
      <c r="B1057" s="839">
        <v>1352</v>
      </c>
      <c r="C1057" s="914">
        <v>5072</v>
      </c>
      <c r="D1057" s="907">
        <v>46044</v>
      </c>
      <c r="E1057" s="913" t="s">
        <v>367</v>
      </c>
      <c r="F1057" s="839" t="s">
        <v>242</v>
      </c>
      <c r="G1057" s="916">
        <f>VLOOKUP($A1057,'Tech Litons'!$A:$I,8,FALSE)</f>
        <v>9.5760000000000012E-3</v>
      </c>
      <c r="H1057" s="917">
        <f>VLOOKUP($A1057,'Tech Litons'!$A:$I,9,FALSE)</f>
        <v>132</v>
      </c>
      <c r="I1057" s="917" t="str">
        <f>VLOOKUP($A1057,'Tech Litons'!$A:$C,3,0)</f>
        <v>EDF</v>
      </c>
      <c r="J1057" s="918" t="str">
        <f t="shared" si="102"/>
        <v>1352EDF</v>
      </c>
      <c r="K1057" s="919">
        <v>1</v>
      </c>
      <c r="L1057" s="920">
        <f t="shared" si="103"/>
        <v>5072</v>
      </c>
      <c r="M1057" s="920">
        <f t="shared" si="104"/>
        <v>48.569472000000005</v>
      </c>
      <c r="N1057" s="920">
        <f t="shared" si="105"/>
        <v>38.424242424242422</v>
      </c>
      <c r="O1057" s="918" t="str">
        <f t="shared" si="106"/>
        <v>Jan</v>
      </c>
      <c r="P1057" s="921">
        <f t="shared" si="107"/>
        <v>4</v>
      </c>
    </row>
    <row r="1058" spans="1:16" ht="15" hidden="1" customHeight="1">
      <c r="A1058" s="913">
        <v>64341967</v>
      </c>
      <c r="B1058" s="839">
        <v>1352</v>
      </c>
      <c r="C1058" s="914">
        <v>5231</v>
      </c>
      <c r="D1058" s="907">
        <v>46044</v>
      </c>
      <c r="E1058" s="913" t="s">
        <v>260</v>
      </c>
      <c r="F1058" s="839" t="s">
        <v>261</v>
      </c>
      <c r="G1058" s="916">
        <f>VLOOKUP($A1058,'Tech Litons'!$A:$I,8,FALSE)</f>
        <v>8.513999999999999E-3</v>
      </c>
      <c r="H1058" s="917">
        <f>VLOOKUP($A1058,'Tech Litons'!$A:$I,9,FALSE)</f>
        <v>176</v>
      </c>
      <c r="I1058" s="917" t="str">
        <f>VLOOKUP($A1058,'Tech Litons'!$A:$C,3,0)</f>
        <v>48oz</v>
      </c>
      <c r="J1058" s="918" t="str">
        <f t="shared" si="102"/>
        <v>135248oz</v>
      </c>
      <c r="K1058" s="919">
        <v>1</v>
      </c>
      <c r="L1058" s="920">
        <f t="shared" si="103"/>
        <v>5231</v>
      </c>
      <c r="M1058" s="920">
        <f t="shared" si="104"/>
        <v>44.536733999999996</v>
      </c>
      <c r="N1058" s="920">
        <f t="shared" si="105"/>
        <v>29.72159090909091</v>
      </c>
      <c r="O1058" s="918" t="str">
        <f t="shared" si="106"/>
        <v>Jan</v>
      </c>
      <c r="P1058" s="921">
        <f t="shared" si="107"/>
        <v>4</v>
      </c>
    </row>
    <row r="1059" spans="1:16" ht="15" hidden="1" customHeight="1">
      <c r="A1059" s="913">
        <v>64958128</v>
      </c>
      <c r="B1059" s="839">
        <v>2904</v>
      </c>
      <c r="C1059" s="906">
        <v>5235</v>
      </c>
      <c r="D1059" s="907">
        <v>46044</v>
      </c>
      <c r="E1059" s="913" t="s">
        <v>235</v>
      </c>
      <c r="F1059" s="839" t="s">
        <v>234</v>
      </c>
      <c r="G1059" s="916">
        <f>VLOOKUP($A1059,'Tech Litons'!$A:$I,8,FALSE)</f>
        <v>3.3119999999999998E-3</v>
      </c>
      <c r="H1059" s="917">
        <f>VLOOKUP($A1059,'Tech Litons'!$A:$I,9,FALSE)</f>
        <v>165</v>
      </c>
      <c r="I1059" s="917" t="str">
        <f>VLOOKUP($A1059,'Tech Litons'!$A:$C,3,0)</f>
        <v>Yasso Sticks</v>
      </c>
      <c r="J1059" s="918" t="str">
        <f t="shared" si="102"/>
        <v>2904Yasso Sticks</v>
      </c>
      <c r="K1059" s="919">
        <v>1</v>
      </c>
      <c r="L1059" s="920">
        <f t="shared" si="103"/>
        <v>5235</v>
      </c>
      <c r="M1059" s="920">
        <f t="shared" si="104"/>
        <v>17.33832</v>
      </c>
      <c r="N1059" s="920">
        <f t="shared" si="105"/>
        <v>31.727272727272727</v>
      </c>
      <c r="O1059" s="918" t="str">
        <f t="shared" si="106"/>
        <v>Jan</v>
      </c>
      <c r="P1059" s="921">
        <f t="shared" si="107"/>
        <v>4</v>
      </c>
    </row>
    <row r="1060" spans="1:16" ht="15" hidden="1" customHeight="1">
      <c r="A1060" s="913">
        <v>69991925</v>
      </c>
      <c r="B1060" s="839">
        <v>2904</v>
      </c>
      <c r="C1060" s="906">
        <v>5460</v>
      </c>
      <c r="D1060" s="907">
        <v>46044</v>
      </c>
      <c r="E1060" s="913" t="s">
        <v>379</v>
      </c>
      <c r="F1060" s="839" t="s">
        <v>283</v>
      </c>
      <c r="G1060" s="916">
        <f>VLOOKUP($A1060,'Tech Litons'!$A:$I,8,FALSE)</f>
        <v>2.0400000000000001E-3</v>
      </c>
      <c r="H1060" s="917">
        <f>VLOOKUP($A1060,'Tech Litons'!$A:$I,9,FALSE)</f>
        <v>210</v>
      </c>
      <c r="I1060" s="917" t="str">
        <f>VLOOKUP($A1060,'Tech Litons'!$A:$C,3,0)</f>
        <v>MG Sticks</v>
      </c>
      <c r="J1060" s="918" t="str">
        <f t="shared" si="102"/>
        <v>2904MG Sticks</v>
      </c>
      <c r="K1060" s="919">
        <v>1</v>
      </c>
      <c r="L1060" s="920">
        <f t="shared" si="103"/>
        <v>5460</v>
      </c>
      <c r="M1060" s="920">
        <f t="shared" si="104"/>
        <v>11.138400000000001</v>
      </c>
      <c r="N1060" s="920">
        <f t="shared" si="105"/>
        <v>26</v>
      </c>
      <c r="O1060" s="918" t="str">
        <f t="shared" si="106"/>
        <v>Jan</v>
      </c>
      <c r="P1060" s="921">
        <f t="shared" si="107"/>
        <v>4</v>
      </c>
    </row>
    <row r="1061" spans="1:16" ht="15" hidden="1" customHeight="1">
      <c r="A1061" s="913">
        <v>84135718</v>
      </c>
      <c r="B1061" s="839">
        <v>5914</v>
      </c>
      <c r="C1061" s="906">
        <v>5605</v>
      </c>
      <c r="D1061" s="907">
        <v>46044</v>
      </c>
      <c r="E1061" s="913" t="s">
        <v>338</v>
      </c>
      <c r="F1061" s="839" t="s">
        <v>304</v>
      </c>
      <c r="G1061" s="916">
        <f>VLOOKUP($A1061,'Tech Litons'!$A:$I,8,FALSE)</f>
        <v>3.7853439999999999E-3</v>
      </c>
      <c r="H1061" s="917">
        <f>VLOOKUP($A1061,'Tech Litons'!$A:$I,9,FALSE)</f>
        <v>240</v>
      </c>
      <c r="I1061" s="917" t="str">
        <f>VLOOKUP($A1061,'Tech Litons'!$A:$C,3,0)</f>
        <v>BJ PTS</v>
      </c>
      <c r="J1061" s="918" t="str">
        <f t="shared" si="102"/>
        <v>5914BJ PTS</v>
      </c>
      <c r="K1061" s="919">
        <v>1</v>
      </c>
      <c r="L1061" s="920">
        <f t="shared" si="103"/>
        <v>5605</v>
      </c>
      <c r="M1061" s="920">
        <f t="shared" si="104"/>
        <v>21.21685312</v>
      </c>
      <c r="N1061" s="920">
        <f t="shared" si="105"/>
        <v>23.354166666666668</v>
      </c>
      <c r="O1061" s="918" t="str">
        <f t="shared" si="106"/>
        <v>Jan</v>
      </c>
      <c r="P1061" s="921">
        <f t="shared" si="107"/>
        <v>4</v>
      </c>
    </row>
    <row r="1062" spans="1:16" ht="15" hidden="1" customHeight="1">
      <c r="A1062" s="913">
        <v>84164937</v>
      </c>
      <c r="B1062" s="839">
        <v>5914</v>
      </c>
      <c r="C1062" s="906">
        <v>5694</v>
      </c>
      <c r="D1062" s="907">
        <v>46044</v>
      </c>
      <c r="E1062" s="913" t="s">
        <v>371</v>
      </c>
      <c r="F1062" s="839" t="s">
        <v>301</v>
      </c>
      <c r="G1062" s="916">
        <f>VLOOKUP($A1062,'Tech Litons'!$A:$I,8,FALSE)</f>
        <v>3.7853439999999999E-3</v>
      </c>
      <c r="H1062" s="917">
        <f>VLOOKUP($A1062,'Tech Litons'!$A:$I,9,FALSE)</f>
        <v>240</v>
      </c>
      <c r="I1062" s="917" t="str">
        <f>VLOOKUP($A1062,'Tech Litons'!$A:$C,3,0)</f>
        <v>BJ PTS</v>
      </c>
      <c r="J1062" s="918" t="str">
        <f t="shared" si="102"/>
        <v>5914BJ PTS</v>
      </c>
      <c r="K1062" s="919">
        <v>1</v>
      </c>
      <c r="L1062" s="920">
        <f t="shared" si="103"/>
        <v>5694</v>
      </c>
      <c r="M1062" s="920">
        <f t="shared" si="104"/>
        <v>21.553748735999999</v>
      </c>
      <c r="N1062" s="920">
        <f t="shared" si="105"/>
        <v>23.725000000000001</v>
      </c>
      <c r="O1062" s="918" t="str">
        <f t="shared" si="106"/>
        <v>Jan</v>
      </c>
      <c r="P1062" s="921">
        <f t="shared" si="107"/>
        <v>4</v>
      </c>
    </row>
    <row r="1063" spans="1:16" ht="15" hidden="1" customHeight="1">
      <c r="A1063" s="913">
        <v>68354586</v>
      </c>
      <c r="B1063" s="839">
        <v>2904</v>
      </c>
      <c r="C1063" s="906">
        <v>5981</v>
      </c>
      <c r="D1063" s="907">
        <v>46044</v>
      </c>
      <c r="E1063" s="913" t="s">
        <v>361</v>
      </c>
      <c r="F1063" s="839" t="s">
        <v>40</v>
      </c>
      <c r="G1063" s="916">
        <f>VLOOKUP($A1063,'Tech Litons'!$A:$I,8,FALSE)</f>
        <v>3.5999999999999999E-3</v>
      </c>
      <c r="H1063" s="917">
        <f>VLOOKUP($A1063,'Tech Litons'!$A:$I,9,FALSE)</f>
        <v>240</v>
      </c>
      <c r="I1063" s="917" t="str">
        <f>VLOOKUP($A1063,'Tech Litons'!$A:$C,3,0)</f>
        <v>Topped</v>
      </c>
      <c r="J1063" s="918" t="str">
        <f t="shared" si="102"/>
        <v>2904Topped</v>
      </c>
      <c r="K1063" s="919">
        <v>1</v>
      </c>
      <c r="L1063" s="920">
        <f t="shared" si="103"/>
        <v>5981</v>
      </c>
      <c r="M1063" s="920">
        <f t="shared" si="104"/>
        <v>21.531600000000001</v>
      </c>
      <c r="N1063" s="920">
        <f t="shared" si="105"/>
        <v>24.920833333333334</v>
      </c>
      <c r="O1063" s="918" t="str">
        <f t="shared" si="106"/>
        <v>Jan</v>
      </c>
      <c r="P1063" s="921">
        <f t="shared" si="107"/>
        <v>4</v>
      </c>
    </row>
    <row r="1064" spans="1:16" ht="15" hidden="1" customHeight="1">
      <c r="A1064" s="913">
        <v>64958128</v>
      </c>
      <c r="B1064" s="839">
        <v>2904</v>
      </c>
      <c r="C1064" s="906">
        <v>6037</v>
      </c>
      <c r="D1064" s="907">
        <v>46044</v>
      </c>
      <c r="E1064" s="913" t="s">
        <v>235</v>
      </c>
      <c r="F1064" s="839" t="s">
        <v>234</v>
      </c>
      <c r="G1064" s="916">
        <f>VLOOKUP($A1064,'Tech Litons'!$A:$I,8,FALSE)</f>
        <v>3.3119999999999998E-3</v>
      </c>
      <c r="H1064" s="917">
        <f>VLOOKUP($A1064,'Tech Litons'!$A:$I,9,FALSE)</f>
        <v>165</v>
      </c>
      <c r="I1064" s="917" t="str">
        <f>VLOOKUP($A1064,'Tech Litons'!$A:$C,3,0)</f>
        <v>Yasso Sticks</v>
      </c>
      <c r="J1064" s="918" t="str">
        <f t="shared" si="102"/>
        <v>2904Yasso Sticks</v>
      </c>
      <c r="K1064" s="919">
        <v>1</v>
      </c>
      <c r="L1064" s="920">
        <f t="shared" si="103"/>
        <v>6037</v>
      </c>
      <c r="M1064" s="920">
        <f t="shared" si="104"/>
        <v>19.994543999999998</v>
      </c>
      <c r="N1064" s="920">
        <f t="shared" si="105"/>
        <v>36.587878787878786</v>
      </c>
      <c r="O1064" s="918" t="str">
        <f t="shared" si="106"/>
        <v>Jan</v>
      </c>
      <c r="P1064" s="921">
        <f t="shared" si="107"/>
        <v>4</v>
      </c>
    </row>
    <row r="1065" spans="1:16" ht="15" hidden="1" customHeight="1">
      <c r="A1065" s="913">
        <v>84144598</v>
      </c>
      <c r="B1065" s="839">
        <v>2904</v>
      </c>
      <c r="C1065" s="906">
        <v>6088</v>
      </c>
      <c r="D1065" s="907">
        <v>46044</v>
      </c>
      <c r="E1065" s="913" t="s">
        <v>364</v>
      </c>
      <c r="F1065" s="839" t="s">
        <v>299</v>
      </c>
      <c r="G1065" s="916">
        <f>VLOOKUP($A1065,'Tech Litons'!$A:$I,8,FALSE)</f>
        <v>3.7853439999999999E-3</v>
      </c>
      <c r="H1065" s="917">
        <f>VLOOKUP($A1065,'Tech Litons'!$A:$I,9,FALSE)</f>
        <v>240</v>
      </c>
      <c r="I1065" s="917" t="str">
        <f>VLOOKUP($A1065,'Tech Litons'!$A:$C,3,0)</f>
        <v>BJ PTS</v>
      </c>
      <c r="J1065" s="918" t="str">
        <f t="shared" si="102"/>
        <v>2904BJ PTS</v>
      </c>
      <c r="K1065" s="919">
        <v>1</v>
      </c>
      <c r="L1065" s="920">
        <f t="shared" si="103"/>
        <v>6088</v>
      </c>
      <c r="M1065" s="920">
        <f t="shared" si="104"/>
        <v>23.045174272000001</v>
      </c>
      <c r="N1065" s="920">
        <f t="shared" si="105"/>
        <v>25.366666666666667</v>
      </c>
      <c r="O1065" s="918" t="str">
        <f t="shared" si="106"/>
        <v>Jan</v>
      </c>
      <c r="P1065" s="921">
        <f t="shared" si="107"/>
        <v>4</v>
      </c>
    </row>
    <row r="1066" spans="1:16" ht="15" hidden="1" customHeight="1">
      <c r="A1066" s="913">
        <v>68821735</v>
      </c>
      <c r="B1066" s="839">
        <v>2904</v>
      </c>
      <c r="C1066" s="906">
        <v>6336</v>
      </c>
      <c r="D1066" s="907">
        <v>46044</v>
      </c>
      <c r="E1066" s="913" t="s">
        <v>318</v>
      </c>
      <c r="F1066" s="839" t="s">
        <v>269</v>
      </c>
      <c r="G1066" s="916">
        <f>VLOOKUP($A1066,'Tech Litons'!$A:$I,8,FALSE)</f>
        <v>8.5199999999999998E-3</v>
      </c>
      <c r="H1066" s="917">
        <f>VLOOKUP($A1066,'Tech Litons'!$A:$I,9,FALSE)</f>
        <v>176</v>
      </c>
      <c r="I1066" s="917" t="str">
        <f>VLOOKUP($A1066,'Tech Litons'!$A:$C,3,0)</f>
        <v>48oz</v>
      </c>
      <c r="J1066" s="918" t="str">
        <f t="shared" si="102"/>
        <v>290448oz</v>
      </c>
      <c r="K1066" s="919">
        <v>1</v>
      </c>
      <c r="L1066" s="920">
        <f t="shared" si="103"/>
        <v>6336</v>
      </c>
      <c r="M1066" s="920">
        <f t="shared" si="104"/>
        <v>53.98272</v>
      </c>
      <c r="N1066" s="920">
        <f t="shared" si="105"/>
        <v>36</v>
      </c>
      <c r="O1066" s="918" t="str">
        <f t="shared" si="106"/>
        <v>Jan</v>
      </c>
      <c r="P1066" s="921">
        <f t="shared" si="107"/>
        <v>4</v>
      </c>
    </row>
    <row r="1067" spans="1:16" ht="15" hidden="1" customHeight="1">
      <c r="A1067" s="913">
        <v>68354586</v>
      </c>
      <c r="B1067" s="839">
        <v>2904</v>
      </c>
      <c r="C1067" s="906">
        <v>6683</v>
      </c>
      <c r="D1067" s="907">
        <v>46044</v>
      </c>
      <c r="E1067" s="913" t="s">
        <v>361</v>
      </c>
      <c r="F1067" s="839" t="s">
        <v>40</v>
      </c>
      <c r="G1067" s="916">
        <f>VLOOKUP($A1067,'Tech Litons'!$A:$I,8,FALSE)</f>
        <v>3.5999999999999999E-3</v>
      </c>
      <c r="H1067" s="917">
        <f>VLOOKUP($A1067,'Tech Litons'!$A:$I,9,FALSE)</f>
        <v>240</v>
      </c>
      <c r="I1067" s="917" t="str">
        <f>VLOOKUP($A1067,'Tech Litons'!$A:$C,3,0)</f>
        <v>Topped</v>
      </c>
      <c r="J1067" s="918" t="str">
        <f t="shared" si="102"/>
        <v>2904Topped</v>
      </c>
      <c r="K1067" s="919">
        <v>1</v>
      </c>
      <c r="L1067" s="920">
        <f t="shared" si="103"/>
        <v>6683</v>
      </c>
      <c r="M1067" s="920">
        <f t="shared" si="104"/>
        <v>24.058799999999998</v>
      </c>
      <c r="N1067" s="920">
        <f t="shared" si="105"/>
        <v>27.845833333333335</v>
      </c>
      <c r="O1067" s="918" t="str">
        <f t="shared" si="106"/>
        <v>Jan</v>
      </c>
      <c r="P1067" s="921">
        <f t="shared" si="107"/>
        <v>4</v>
      </c>
    </row>
    <row r="1068" spans="1:16" ht="15" hidden="1" customHeight="1">
      <c r="A1068" s="913">
        <v>65431090</v>
      </c>
      <c r="B1068" s="839">
        <v>2904</v>
      </c>
      <c r="C1068" s="906">
        <v>6704</v>
      </c>
      <c r="D1068" s="907">
        <v>46044</v>
      </c>
      <c r="E1068" s="913" t="s">
        <v>375</v>
      </c>
      <c r="F1068" s="839" t="s">
        <v>275</v>
      </c>
      <c r="G1068" s="916">
        <f>VLOOKUP($A1068,'Tech Litons'!$A:$I,8,FALSE)</f>
        <v>3.7839999999999996E-3</v>
      </c>
      <c r="H1068" s="917">
        <f>VLOOKUP($A1068,'Tech Litons'!$A:$I,9,FALSE)</f>
        <v>255</v>
      </c>
      <c r="I1068" s="917" t="str">
        <f>VLOOKUP($A1068,'Tech Litons'!$A:$C,3,0)</f>
        <v>Talenti</v>
      </c>
      <c r="J1068" s="918" t="str">
        <f t="shared" si="102"/>
        <v>2904Talenti</v>
      </c>
      <c r="K1068" s="919">
        <v>1</v>
      </c>
      <c r="L1068" s="920">
        <f t="shared" si="103"/>
        <v>6704</v>
      </c>
      <c r="M1068" s="920">
        <f t="shared" si="104"/>
        <v>25.367935999999997</v>
      </c>
      <c r="N1068" s="920">
        <f t="shared" si="105"/>
        <v>26.290196078431372</v>
      </c>
      <c r="O1068" s="918" t="str">
        <f t="shared" si="106"/>
        <v>Jan</v>
      </c>
      <c r="P1068" s="921">
        <f t="shared" si="107"/>
        <v>4</v>
      </c>
    </row>
    <row r="1069" spans="1:16" ht="15" hidden="1" customHeight="1">
      <c r="A1069" s="913">
        <v>84137725</v>
      </c>
      <c r="B1069" s="839">
        <v>5911</v>
      </c>
      <c r="C1069" s="906">
        <v>6960</v>
      </c>
      <c r="D1069" s="907">
        <v>46044</v>
      </c>
      <c r="E1069" s="913" t="s">
        <v>278</v>
      </c>
      <c r="F1069" s="839" t="s">
        <v>279</v>
      </c>
      <c r="G1069" s="916">
        <f>VLOOKUP($A1069,'Tech Litons'!$A:$I,8,FALSE)</f>
        <v>3.7853439999999999E-3</v>
      </c>
      <c r="H1069" s="917">
        <f>VLOOKUP($A1069,'Tech Litons'!$A:$I,9,FALSE)</f>
        <v>240</v>
      </c>
      <c r="I1069" s="917" t="str">
        <f>VLOOKUP($A1069,'Tech Litons'!$A:$C,3,0)</f>
        <v>BJ PTS</v>
      </c>
      <c r="J1069" s="918" t="str">
        <f t="shared" si="102"/>
        <v>5911BJ PTS</v>
      </c>
      <c r="K1069" s="919">
        <v>1</v>
      </c>
      <c r="L1069" s="920">
        <f t="shared" si="103"/>
        <v>6960</v>
      </c>
      <c r="M1069" s="920">
        <f t="shared" si="104"/>
        <v>26.34599424</v>
      </c>
      <c r="N1069" s="920">
        <f t="shared" si="105"/>
        <v>29</v>
      </c>
      <c r="O1069" s="918" t="str">
        <f t="shared" si="106"/>
        <v>Jan</v>
      </c>
      <c r="P1069" s="921">
        <f t="shared" si="107"/>
        <v>4</v>
      </c>
    </row>
    <row r="1070" spans="1:16" ht="15" hidden="1" customHeight="1">
      <c r="A1070" s="913">
        <v>68817793</v>
      </c>
      <c r="B1070" s="839">
        <v>1352</v>
      </c>
      <c r="C1070" s="906">
        <v>7703</v>
      </c>
      <c r="D1070" s="907">
        <v>46044</v>
      </c>
      <c r="E1070" s="913" t="s">
        <v>353</v>
      </c>
      <c r="F1070" s="839" t="s">
        <v>266</v>
      </c>
      <c r="G1070" s="916">
        <f>VLOOKUP($A1070,'Tech Litons'!$A:$I,8,FALSE)</f>
        <v>8.5199999999999998E-3</v>
      </c>
      <c r="H1070" s="917">
        <f>VLOOKUP($A1070,'Tech Litons'!$A:$I,9,FALSE)</f>
        <v>176</v>
      </c>
      <c r="I1070" s="917" t="str">
        <f>VLOOKUP($A1070,'Tech Litons'!$A:$C,3,0)</f>
        <v>48oz</v>
      </c>
      <c r="J1070" s="918" t="str">
        <f t="shared" si="102"/>
        <v>135248oz</v>
      </c>
      <c r="K1070" s="919">
        <v>1</v>
      </c>
      <c r="L1070" s="920">
        <f t="shared" si="103"/>
        <v>7703</v>
      </c>
      <c r="M1070" s="920">
        <f t="shared" si="104"/>
        <v>65.629559999999998</v>
      </c>
      <c r="N1070" s="920">
        <f t="shared" si="105"/>
        <v>43.767045454545453</v>
      </c>
      <c r="O1070" s="918" t="str">
        <f t="shared" si="106"/>
        <v>Jan</v>
      </c>
      <c r="P1070" s="921">
        <f t="shared" si="107"/>
        <v>4</v>
      </c>
    </row>
    <row r="1071" spans="1:16" ht="15" hidden="1" customHeight="1">
      <c r="A1071" s="913">
        <v>64341968</v>
      </c>
      <c r="B1071" s="839">
        <v>1352</v>
      </c>
      <c r="C1071" s="906">
        <v>8475</v>
      </c>
      <c r="D1071" s="907">
        <v>46044</v>
      </c>
      <c r="E1071" s="913" t="s">
        <v>322</v>
      </c>
      <c r="F1071" s="839" t="s">
        <v>261</v>
      </c>
      <c r="G1071" s="916">
        <f>VLOOKUP($A1071,'Tech Litons'!$A:$I,8,FALSE)</f>
        <v>8.5199999999999998E-3</v>
      </c>
      <c r="H1071" s="917">
        <f>VLOOKUP($A1071,'Tech Litons'!$A:$I,9,FALSE)</f>
        <v>176</v>
      </c>
      <c r="I1071" s="917" t="str">
        <f>VLOOKUP($A1071,'Tech Litons'!$A:$C,3,0)</f>
        <v>48oz</v>
      </c>
      <c r="J1071" s="918" t="str">
        <f t="shared" si="102"/>
        <v>135248oz</v>
      </c>
      <c r="K1071" s="919">
        <v>1</v>
      </c>
      <c r="L1071" s="920">
        <f t="shared" si="103"/>
        <v>8475</v>
      </c>
      <c r="M1071" s="920">
        <f t="shared" si="104"/>
        <v>72.206999999999994</v>
      </c>
      <c r="N1071" s="920">
        <f t="shared" si="105"/>
        <v>48.153409090909093</v>
      </c>
      <c r="O1071" s="918" t="str">
        <f t="shared" si="106"/>
        <v>Jan</v>
      </c>
      <c r="P1071" s="921">
        <f t="shared" si="107"/>
        <v>4</v>
      </c>
    </row>
    <row r="1072" spans="1:16" ht="15" hidden="1" customHeight="1">
      <c r="A1072" s="913">
        <v>68821734</v>
      </c>
      <c r="B1072" s="839">
        <v>2904</v>
      </c>
      <c r="C1072" s="906">
        <v>8800</v>
      </c>
      <c r="D1072" s="907">
        <v>46044</v>
      </c>
      <c r="E1072" s="913" t="s">
        <v>370</v>
      </c>
      <c r="F1072" s="839" t="s">
        <v>273</v>
      </c>
      <c r="G1072" s="916">
        <f>VLOOKUP($A1072,'Tech Litons'!$A:$I,8,FALSE)</f>
        <v>8.5199999999999998E-3</v>
      </c>
      <c r="H1072" s="917">
        <f>VLOOKUP($A1072,'Tech Litons'!$A:$I,9,FALSE)</f>
        <v>176</v>
      </c>
      <c r="I1072" s="917" t="str">
        <f>VLOOKUP($A1072,'Tech Litons'!$A:$C,3,0)</f>
        <v>48oz</v>
      </c>
      <c r="J1072" s="918" t="str">
        <f t="shared" si="102"/>
        <v>290448oz</v>
      </c>
      <c r="K1072" s="919">
        <v>1</v>
      </c>
      <c r="L1072" s="920">
        <f t="shared" si="103"/>
        <v>8800</v>
      </c>
      <c r="M1072" s="920">
        <f t="shared" si="104"/>
        <v>74.975999999999999</v>
      </c>
      <c r="N1072" s="920">
        <f t="shared" si="105"/>
        <v>50</v>
      </c>
      <c r="O1072" s="918" t="str">
        <f t="shared" si="106"/>
        <v>Jan</v>
      </c>
      <c r="P1072" s="921">
        <f t="shared" si="107"/>
        <v>4</v>
      </c>
    </row>
    <row r="1073" spans="1:16" ht="15" hidden="1" customHeight="1">
      <c r="A1073" s="913">
        <v>68821734</v>
      </c>
      <c r="B1073" s="839">
        <v>2904</v>
      </c>
      <c r="C1073" s="906">
        <v>8972</v>
      </c>
      <c r="D1073" s="907">
        <v>46044</v>
      </c>
      <c r="E1073" s="913" t="s">
        <v>370</v>
      </c>
      <c r="F1073" s="839" t="s">
        <v>273</v>
      </c>
      <c r="G1073" s="916">
        <f>VLOOKUP($A1073,'Tech Litons'!$A:$I,8,FALSE)</f>
        <v>8.5199999999999998E-3</v>
      </c>
      <c r="H1073" s="917">
        <f>VLOOKUP($A1073,'Tech Litons'!$A:$I,9,FALSE)</f>
        <v>176</v>
      </c>
      <c r="I1073" s="917" t="str">
        <f>VLOOKUP($A1073,'Tech Litons'!$A:$C,3,0)</f>
        <v>48oz</v>
      </c>
      <c r="J1073" s="918" t="str">
        <f t="shared" si="102"/>
        <v>290448oz</v>
      </c>
      <c r="K1073" s="919">
        <v>1</v>
      </c>
      <c r="L1073" s="920">
        <f t="shared" si="103"/>
        <v>8972</v>
      </c>
      <c r="M1073" s="920">
        <f t="shared" si="104"/>
        <v>76.44144</v>
      </c>
      <c r="N1073" s="920">
        <f t="shared" si="105"/>
        <v>50.977272727272727</v>
      </c>
      <c r="O1073" s="918" t="str">
        <f t="shared" si="106"/>
        <v>Jan</v>
      </c>
      <c r="P1073" s="921">
        <f t="shared" si="107"/>
        <v>4</v>
      </c>
    </row>
    <row r="1074" spans="1:16" ht="15" hidden="1" customHeight="1">
      <c r="A1074" s="913">
        <v>68930545</v>
      </c>
      <c r="B1074" s="839">
        <v>1352</v>
      </c>
      <c r="C1074" s="906">
        <v>8994</v>
      </c>
      <c r="D1074" s="907">
        <v>46044</v>
      </c>
      <c r="E1074" s="913" t="s">
        <v>349</v>
      </c>
      <c r="F1074" s="839" t="s">
        <v>290</v>
      </c>
      <c r="G1074" s="916">
        <f>VLOOKUP($A1074,'Tech Litons'!$A:$I,8,FALSE)</f>
        <v>8.5199999999999998E-3</v>
      </c>
      <c r="H1074" s="917">
        <f>VLOOKUP($A1074,'Tech Litons'!$A:$I,9,FALSE)</f>
        <v>176</v>
      </c>
      <c r="I1074" s="917" t="str">
        <f>VLOOKUP($A1074,'Tech Litons'!$A:$C,3,0)</f>
        <v>48oz</v>
      </c>
      <c r="J1074" s="918" t="str">
        <f t="shared" si="102"/>
        <v>135248oz</v>
      </c>
      <c r="K1074" s="919">
        <v>1</v>
      </c>
      <c r="L1074" s="920">
        <f t="shared" si="103"/>
        <v>8994</v>
      </c>
      <c r="M1074" s="920">
        <f t="shared" si="104"/>
        <v>76.628879999999995</v>
      </c>
      <c r="N1074" s="920">
        <f t="shared" si="105"/>
        <v>51.102272727272727</v>
      </c>
      <c r="O1074" s="918" t="str">
        <f t="shared" si="106"/>
        <v>Jan</v>
      </c>
      <c r="P1074" s="921">
        <f t="shared" si="107"/>
        <v>4</v>
      </c>
    </row>
    <row r="1075" spans="1:16" ht="15" hidden="1" customHeight="1">
      <c r="A1075" s="913">
        <v>68817796</v>
      </c>
      <c r="B1075" s="839">
        <v>1352</v>
      </c>
      <c r="C1075" s="906">
        <v>10011</v>
      </c>
      <c r="D1075" s="907">
        <v>46044</v>
      </c>
      <c r="E1075" s="913" t="s">
        <v>263</v>
      </c>
      <c r="F1075" s="839" t="s">
        <v>264</v>
      </c>
      <c r="G1075" s="916">
        <f>VLOOKUP($A1075,'Tech Litons'!$A:$I,8,FALSE)</f>
        <v>8.513999999999999E-3</v>
      </c>
      <c r="H1075" s="917">
        <f>VLOOKUP($A1075,'Tech Litons'!$A:$I,9,FALSE)</f>
        <v>176</v>
      </c>
      <c r="I1075" s="917" t="str">
        <f>VLOOKUP($A1075,'Tech Litons'!$A:$C,3,0)</f>
        <v>48oz</v>
      </c>
      <c r="J1075" s="918" t="str">
        <f t="shared" si="102"/>
        <v>135248oz</v>
      </c>
      <c r="K1075" s="919">
        <v>1</v>
      </c>
      <c r="L1075" s="920">
        <f t="shared" si="103"/>
        <v>10011</v>
      </c>
      <c r="M1075" s="920">
        <f t="shared" si="104"/>
        <v>85.233653999999987</v>
      </c>
      <c r="N1075" s="920">
        <f t="shared" si="105"/>
        <v>56.88068181818182</v>
      </c>
      <c r="O1075" s="918" t="str">
        <f t="shared" si="106"/>
        <v>Jan</v>
      </c>
      <c r="P1075" s="921">
        <f t="shared" si="107"/>
        <v>4</v>
      </c>
    </row>
    <row r="1076" spans="1:16" ht="15" hidden="1" customHeight="1">
      <c r="A1076" s="913">
        <v>64341967</v>
      </c>
      <c r="B1076" s="839">
        <v>1352</v>
      </c>
      <c r="C1076" s="906">
        <v>10088</v>
      </c>
      <c r="D1076" s="907">
        <v>46044</v>
      </c>
      <c r="E1076" s="913" t="s">
        <v>260</v>
      </c>
      <c r="F1076" s="839" t="s">
        <v>261</v>
      </c>
      <c r="G1076" s="916">
        <f>VLOOKUP($A1076,'Tech Litons'!$A:$I,8,FALSE)</f>
        <v>8.513999999999999E-3</v>
      </c>
      <c r="H1076" s="917">
        <f>VLOOKUP($A1076,'Tech Litons'!$A:$I,9,FALSE)</f>
        <v>176</v>
      </c>
      <c r="I1076" s="917" t="str">
        <f>VLOOKUP($A1076,'Tech Litons'!$A:$C,3,0)</f>
        <v>48oz</v>
      </c>
      <c r="J1076" s="918" t="str">
        <f t="shared" si="102"/>
        <v>135248oz</v>
      </c>
      <c r="K1076" s="919">
        <v>1</v>
      </c>
      <c r="L1076" s="920">
        <f t="shared" si="103"/>
        <v>10088</v>
      </c>
      <c r="M1076" s="920">
        <f t="shared" si="104"/>
        <v>85.889231999999993</v>
      </c>
      <c r="N1076" s="920">
        <f t="shared" si="105"/>
        <v>57.31818181818182</v>
      </c>
      <c r="O1076" s="918" t="str">
        <f t="shared" si="106"/>
        <v>Jan</v>
      </c>
      <c r="P1076" s="921">
        <f t="shared" si="107"/>
        <v>4</v>
      </c>
    </row>
    <row r="1077" spans="1:16" ht="15" hidden="1" customHeight="1">
      <c r="A1077" s="913">
        <v>64341967</v>
      </c>
      <c r="B1077" s="839">
        <v>1352</v>
      </c>
      <c r="C1077" s="906">
        <v>11069</v>
      </c>
      <c r="D1077" s="907">
        <v>46044</v>
      </c>
      <c r="E1077" s="913" t="s">
        <v>260</v>
      </c>
      <c r="F1077" s="839" t="s">
        <v>261</v>
      </c>
      <c r="G1077" s="916">
        <f>VLOOKUP($A1077,'Tech Litons'!$A:$I,8,FALSE)</f>
        <v>8.513999999999999E-3</v>
      </c>
      <c r="H1077" s="917">
        <f>VLOOKUP($A1077,'Tech Litons'!$A:$I,9,FALSE)</f>
        <v>176</v>
      </c>
      <c r="I1077" s="917" t="str">
        <f>VLOOKUP($A1077,'Tech Litons'!$A:$C,3,0)</f>
        <v>48oz</v>
      </c>
      <c r="J1077" s="918" t="str">
        <f t="shared" si="102"/>
        <v>135248oz</v>
      </c>
      <c r="K1077" s="919">
        <v>1</v>
      </c>
      <c r="L1077" s="920">
        <f t="shared" si="103"/>
        <v>11069</v>
      </c>
      <c r="M1077" s="920">
        <f t="shared" si="104"/>
        <v>94.241465999999988</v>
      </c>
      <c r="N1077" s="920">
        <f t="shared" si="105"/>
        <v>62.892045454545453</v>
      </c>
      <c r="O1077" s="918" t="str">
        <f t="shared" si="106"/>
        <v>Jan</v>
      </c>
      <c r="P1077" s="921">
        <f t="shared" si="107"/>
        <v>4</v>
      </c>
    </row>
    <row r="1078" spans="1:16" ht="15" hidden="1" customHeight="1">
      <c r="A1078" s="913">
        <v>65431089</v>
      </c>
      <c r="B1078" s="839">
        <v>2904</v>
      </c>
      <c r="C1078" s="906">
        <v>11225</v>
      </c>
      <c r="D1078" s="907">
        <v>46044</v>
      </c>
      <c r="E1078" s="913" t="s">
        <v>368</v>
      </c>
      <c r="F1078" s="839" t="s">
        <v>277</v>
      </c>
      <c r="G1078" s="916">
        <f>VLOOKUP($A1078,'Tech Litons'!$A:$I,8,FALSE)</f>
        <v>3.7839999999999996E-3</v>
      </c>
      <c r="H1078" s="917">
        <f>VLOOKUP($A1078,'Tech Litons'!$A:$I,9,FALSE)</f>
        <v>255</v>
      </c>
      <c r="I1078" s="917" t="str">
        <f>VLOOKUP($A1078,'Tech Litons'!$A:$C,3,0)</f>
        <v>Talenti</v>
      </c>
      <c r="J1078" s="918" t="str">
        <f t="shared" si="102"/>
        <v>2904Talenti</v>
      </c>
      <c r="K1078" s="919">
        <v>1</v>
      </c>
      <c r="L1078" s="920">
        <f t="shared" si="103"/>
        <v>11225</v>
      </c>
      <c r="M1078" s="920">
        <f t="shared" si="104"/>
        <v>42.475399999999993</v>
      </c>
      <c r="N1078" s="920">
        <f t="shared" si="105"/>
        <v>44.019607843137258</v>
      </c>
      <c r="O1078" s="918" t="str">
        <f t="shared" si="106"/>
        <v>Jan</v>
      </c>
      <c r="P1078" s="921">
        <f t="shared" si="107"/>
        <v>4</v>
      </c>
    </row>
    <row r="1079" spans="1:16" ht="15" hidden="1" customHeight="1">
      <c r="A1079" s="913">
        <v>64341967</v>
      </c>
      <c r="B1079" s="839">
        <v>1352</v>
      </c>
      <c r="C1079" s="906">
        <v>12082</v>
      </c>
      <c r="D1079" s="907">
        <v>46044</v>
      </c>
      <c r="E1079" s="913" t="s">
        <v>260</v>
      </c>
      <c r="F1079" s="839" t="s">
        <v>261</v>
      </c>
      <c r="G1079" s="916">
        <f>VLOOKUP($A1079,'Tech Litons'!$A:$I,8,FALSE)</f>
        <v>8.513999999999999E-3</v>
      </c>
      <c r="H1079" s="917">
        <f>VLOOKUP($A1079,'Tech Litons'!$A:$I,9,FALSE)</f>
        <v>176</v>
      </c>
      <c r="I1079" s="917" t="str">
        <f>VLOOKUP($A1079,'Tech Litons'!$A:$C,3,0)</f>
        <v>48oz</v>
      </c>
      <c r="J1079" s="918" t="str">
        <f t="shared" si="102"/>
        <v>135248oz</v>
      </c>
      <c r="K1079" s="919">
        <v>1</v>
      </c>
      <c r="L1079" s="920">
        <f t="shared" si="103"/>
        <v>12082</v>
      </c>
      <c r="M1079" s="920">
        <f t="shared" si="104"/>
        <v>102.86614799999998</v>
      </c>
      <c r="N1079" s="920">
        <f t="shared" si="105"/>
        <v>68.647727272727266</v>
      </c>
      <c r="O1079" s="918" t="str">
        <f t="shared" si="106"/>
        <v>Jan</v>
      </c>
      <c r="P1079" s="921">
        <f t="shared" si="107"/>
        <v>4</v>
      </c>
    </row>
    <row r="1080" spans="1:16" ht="15" hidden="1" customHeight="1">
      <c r="A1080" s="913">
        <v>69999266</v>
      </c>
      <c r="B1080" s="839">
        <v>5914</v>
      </c>
      <c r="C1080" s="906">
        <v>12861</v>
      </c>
      <c r="D1080" s="907">
        <v>46044</v>
      </c>
      <c r="E1080" s="913" t="s">
        <v>298</v>
      </c>
      <c r="F1080" s="839" t="s">
        <v>303</v>
      </c>
      <c r="G1080" s="916">
        <f>VLOOKUP($A1080,'Tech Litons'!$A:$I,8,FALSE)</f>
        <v>3.7839999999999996E-3</v>
      </c>
      <c r="H1080" s="917">
        <f>VLOOKUP($A1080,'Tech Litons'!$A:$I,9,FALSE)</f>
        <v>240</v>
      </c>
      <c r="I1080" s="917" t="str">
        <f>VLOOKUP($A1080,'Tech Litons'!$A:$C,3,0)</f>
        <v>BJ PTS</v>
      </c>
      <c r="J1080" s="918" t="str">
        <f t="shared" si="102"/>
        <v>5914BJ PTS</v>
      </c>
      <c r="K1080" s="919">
        <v>1</v>
      </c>
      <c r="L1080" s="920">
        <f t="shared" si="103"/>
        <v>12861</v>
      </c>
      <c r="M1080" s="920">
        <f t="shared" si="104"/>
        <v>48.666023999999993</v>
      </c>
      <c r="N1080" s="920">
        <f t="shared" si="105"/>
        <v>53.587499999999999</v>
      </c>
      <c r="O1080" s="918" t="str">
        <f t="shared" si="106"/>
        <v>Jan</v>
      </c>
      <c r="P1080" s="921">
        <f t="shared" si="107"/>
        <v>4</v>
      </c>
    </row>
    <row r="1081" spans="1:16" ht="15" hidden="1" customHeight="1">
      <c r="A1081" s="913">
        <v>64341967</v>
      </c>
      <c r="B1081" s="839">
        <v>1352</v>
      </c>
      <c r="C1081" s="906">
        <v>12976</v>
      </c>
      <c r="D1081" s="907">
        <v>46044</v>
      </c>
      <c r="E1081" s="913" t="s">
        <v>260</v>
      </c>
      <c r="F1081" s="839" t="s">
        <v>261</v>
      </c>
      <c r="G1081" s="916">
        <f>VLOOKUP($A1081,'Tech Litons'!$A:$I,8,FALSE)</f>
        <v>8.513999999999999E-3</v>
      </c>
      <c r="H1081" s="917">
        <f>VLOOKUP($A1081,'Tech Litons'!$A:$I,9,FALSE)</f>
        <v>176</v>
      </c>
      <c r="I1081" s="917" t="str">
        <f>VLOOKUP($A1081,'Tech Litons'!$A:$C,3,0)</f>
        <v>48oz</v>
      </c>
      <c r="J1081" s="918" t="str">
        <f t="shared" si="102"/>
        <v>135248oz</v>
      </c>
      <c r="K1081" s="919">
        <v>1</v>
      </c>
      <c r="L1081" s="920">
        <f t="shared" si="103"/>
        <v>12976</v>
      </c>
      <c r="M1081" s="920">
        <f t="shared" si="104"/>
        <v>110.47766399999999</v>
      </c>
      <c r="N1081" s="920">
        <f t="shared" si="105"/>
        <v>73.727272727272734</v>
      </c>
      <c r="O1081" s="918" t="str">
        <f t="shared" si="106"/>
        <v>Jan</v>
      </c>
      <c r="P1081" s="921">
        <f t="shared" si="107"/>
        <v>4</v>
      </c>
    </row>
    <row r="1082" spans="1:16" ht="15" hidden="1" customHeight="1">
      <c r="A1082" s="913">
        <v>64341967</v>
      </c>
      <c r="B1082" s="839">
        <v>1352</v>
      </c>
      <c r="C1082" s="906">
        <v>14382</v>
      </c>
      <c r="D1082" s="907">
        <v>46044</v>
      </c>
      <c r="E1082" s="913" t="s">
        <v>260</v>
      </c>
      <c r="F1082" s="839" t="s">
        <v>261</v>
      </c>
      <c r="G1082" s="916">
        <f>VLOOKUP($A1082,'Tech Litons'!$A:$I,8,FALSE)</f>
        <v>8.513999999999999E-3</v>
      </c>
      <c r="H1082" s="917">
        <f>VLOOKUP($A1082,'Tech Litons'!$A:$I,9,FALSE)</f>
        <v>176</v>
      </c>
      <c r="I1082" s="917" t="str">
        <f>VLOOKUP($A1082,'Tech Litons'!$A:$C,3,0)</f>
        <v>48oz</v>
      </c>
      <c r="J1082" s="918" t="str">
        <f t="shared" si="102"/>
        <v>135248oz</v>
      </c>
      <c r="K1082" s="919">
        <v>1</v>
      </c>
      <c r="L1082" s="920">
        <f t="shared" si="103"/>
        <v>14382</v>
      </c>
      <c r="M1082" s="920">
        <f t="shared" si="104"/>
        <v>122.44834799999998</v>
      </c>
      <c r="N1082" s="920">
        <f t="shared" si="105"/>
        <v>81.715909090909093</v>
      </c>
      <c r="O1082" s="918" t="str">
        <f t="shared" si="106"/>
        <v>Jan</v>
      </c>
      <c r="P1082" s="921">
        <f t="shared" si="107"/>
        <v>4</v>
      </c>
    </row>
    <row r="1083" spans="1:16" ht="15" hidden="1" customHeight="1">
      <c r="A1083" s="913">
        <v>65431089</v>
      </c>
      <c r="B1083" s="839">
        <v>2904</v>
      </c>
      <c r="C1083" s="906">
        <v>15555</v>
      </c>
      <c r="D1083" s="907">
        <v>46044</v>
      </c>
      <c r="E1083" s="913" t="s">
        <v>368</v>
      </c>
      <c r="F1083" s="839" t="s">
        <v>277</v>
      </c>
      <c r="G1083" s="916">
        <f>VLOOKUP($A1083,'Tech Litons'!$A:$I,8,FALSE)</f>
        <v>3.7839999999999996E-3</v>
      </c>
      <c r="H1083" s="917">
        <f>VLOOKUP($A1083,'Tech Litons'!$A:$I,9,FALSE)</f>
        <v>255</v>
      </c>
      <c r="I1083" s="917" t="str">
        <f>VLOOKUP($A1083,'Tech Litons'!$A:$C,3,0)</f>
        <v>Talenti</v>
      </c>
      <c r="J1083" s="918" t="str">
        <f t="shared" si="102"/>
        <v>2904Talenti</v>
      </c>
      <c r="K1083" s="919">
        <v>1</v>
      </c>
      <c r="L1083" s="920">
        <f t="shared" si="103"/>
        <v>15555</v>
      </c>
      <c r="M1083" s="920">
        <f t="shared" si="104"/>
        <v>58.860119999999995</v>
      </c>
      <c r="N1083" s="920">
        <f t="shared" si="105"/>
        <v>61</v>
      </c>
      <c r="O1083" s="918" t="str">
        <f t="shared" si="106"/>
        <v>Jan</v>
      </c>
      <c r="P1083" s="921">
        <f t="shared" si="107"/>
        <v>4</v>
      </c>
    </row>
    <row r="1084" spans="1:16" ht="15" hidden="1" customHeight="1">
      <c r="A1084" s="913">
        <v>84137725</v>
      </c>
      <c r="B1084" s="839">
        <v>5911</v>
      </c>
      <c r="C1084" s="906">
        <v>18240</v>
      </c>
      <c r="D1084" s="907">
        <v>46044</v>
      </c>
      <c r="E1084" s="913" t="s">
        <v>278</v>
      </c>
      <c r="F1084" s="839" t="s">
        <v>279</v>
      </c>
      <c r="G1084" s="916">
        <f>VLOOKUP($A1084,'Tech Litons'!$A:$I,8,FALSE)</f>
        <v>3.7853439999999999E-3</v>
      </c>
      <c r="H1084" s="917">
        <f>VLOOKUP($A1084,'Tech Litons'!$A:$I,9,FALSE)</f>
        <v>240</v>
      </c>
      <c r="I1084" s="917" t="str">
        <f>VLOOKUP($A1084,'Tech Litons'!$A:$C,3,0)</f>
        <v>BJ PTS</v>
      </c>
      <c r="J1084" s="918" t="str">
        <f t="shared" si="102"/>
        <v>5911BJ PTS</v>
      </c>
      <c r="K1084" s="919">
        <v>1</v>
      </c>
      <c r="L1084" s="920">
        <f t="shared" si="103"/>
        <v>18240</v>
      </c>
      <c r="M1084" s="920">
        <f t="shared" si="104"/>
        <v>69.044674560000004</v>
      </c>
      <c r="N1084" s="920">
        <f t="shared" si="105"/>
        <v>76</v>
      </c>
      <c r="O1084" s="918" t="str">
        <f t="shared" si="106"/>
        <v>Jan</v>
      </c>
      <c r="P1084" s="921">
        <f t="shared" si="107"/>
        <v>4</v>
      </c>
    </row>
    <row r="1085" spans="1:16" ht="15" hidden="1" customHeight="1">
      <c r="A1085" s="913">
        <v>84141094</v>
      </c>
      <c r="B1085" s="839">
        <v>5914</v>
      </c>
      <c r="C1085" s="906">
        <v>35080</v>
      </c>
      <c r="D1085" s="907">
        <v>46044</v>
      </c>
      <c r="E1085" s="913" t="s">
        <v>393</v>
      </c>
      <c r="F1085" s="839" t="s">
        <v>279</v>
      </c>
      <c r="G1085" s="916">
        <f>VLOOKUP($A1085,'Tech Litons'!$A:$I,8,FALSE)</f>
        <v>3.7839999999999996E-3</v>
      </c>
      <c r="H1085" s="917">
        <f>VLOOKUP($A1085,'Tech Litons'!$A:$I,9,FALSE)</f>
        <v>240</v>
      </c>
      <c r="I1085" s="917" t="str">
        <f>VLOOKUP($A1085,'Tech Litons'!$A:$C,3,0)</f>
        <v>BJ PTS</v>
      </c>
      <c r="J1085" s="918" t="str">
        <f t="shared" si="102"/>
        <v>5914BJ PTS</v>
      </c>
      <c r="K1085" s="919">
        <v>1</v>
      </c>
      <c r="L1085" s="920">
        <f t="shared" si="103"/>
        <v>35080</v>
      </c>
      <c r="M1085" s="920">
        <f t="shared" si="104"/>
        <v>132.74271999999999</v>
      </c>
      <c r="N1085" s="920">
        <f t="shared" si="105"/>
        <v>146.16666666666666</v>
      </c>
      <c r="O1085" s="918" t="str">
        <f t="shared" si="106"/>
        <v>Jan</v>
      </c>
      <c r="P1085" s="921">
        <f t="shared" si="107"/>
        <v>4</v>
      </c>
    </row>
    <row r="1086" spans="1:16" ht="15" hidden="1" customHeight="1">
      <c r="A1086" s="913">
        <v>84141094</v>
      </c>
      <c r="B1086" s="839">
        <v>5914</v>
      </c>
      <c r="C1086" s="906">
        <v>-287</v>
      </c>
      <c r="D1086" s="907">
        <v>46045</v>
      </c>
      <c r="E1086" s="913" t="s">
        <v>393</v>
      </c>
      <c r="F1086" s="839" t="s">
        <v>279</v>
      </c>
      <c r="G1086" s="916">
        <f>VLOOKUP($A1086,'Tech Litons'!$A:$I,8,FALSE)</f>
        <v>3.7839999999999996E-3</v>
      </c>
      <c r="H1086" s="917">
        <f>VLOOKUP($A1086,'Tech Litons'!$A:$I,9,FALSE)</f>
        <v>240</v>
      </c>
      <c r="I1086" s="917" t="str">
        <f>VLOOKUP($A1086,'Tech Litons'!$A:$C,3,0)</f>
        <v>BJ PTS</v>
      </c>
      <c r="J1086" s="918" t="str">
        <f t="shared" si="102"/>
        <v>5914BJ PTS</v>
      </c>
      <c r="K1086" s="919">
        <v>1</v>
      </c>
      <c r="L1086" s="920">
        <f t="shared" si="103"/>
        <v>-287</v>
      </c>
      <c r="M1086" s="920">
        <f t="shared" si="104"/>
        <v>-1.0860079999999999</v>
      </c>
      <c r="N1086" s="920">
        <f t="shared" si="105"/>
        <v>-1.1958333333333333</v>
      </c>
      <c r="O1086" s="918" t="str">
        <f t="shared" si="106"/>
        <v>Jan</v>
      </c>
      <c r="P1086" s="921">
        <f t="shared" si="107"/>
        <v>4</v>
      </c>
    </row>
    <row r="1087" spans="1:16" ht="15" hidden="1" customHeight="1">
      <c r="A1087" s="913">
        <v>84144598</v>
      </c>
      <c r="B1087" s="839">
        <v>2904</v>
      </c>
      <c r="C1087" s="906">
        <v>-160</v>
      </c>
      <c r="D1087" s="907">
        <v>46045</v>
      </c>
      <c r="E1087" s="913" t="s">
        <v>364</v>
      </c>
      <c r="F1087" s="839" t="s">
        <v>299</v>
      </c>
      <c r="G1087" s="916">
        <f>VLOOKUP($A1087,'Tech Litons'!$A:$I,8,FALSE)</f>
        <v>3.7853439999999999E-3</v>
      </c>
      <c r="H1087" s="917">
        <f>VLOOKUP($A1087,'Tech Litons'!$A:$I,9,FALSE)</f>
        <v>240</v>
      </c>
      <c r="I1087" s="917" t="str">
        <f>VLOOKUP($A1087,'Tech Litons'!$A:$C,3,0)</f>
        <v>BJ PTS</v>
      </c>
      <c r="J1087" s="918" t="str">
        <f t="shared" si="102"/>
        <v>2904BJ PTS</v>
      </c>
      <c r="K1087" s="919">
        <v>1</v>
      </c>
      <c r="L1087" s="920">
        <f t="shared" si="103"/>
        <v>-160</v>
      </c>
      <c r="M1087" s="920">
        <f t="shared" si="104"/>
        <v>-0.60565504000000003</v>
      </c>
      <c r="N1087" s="920">
        <f t="shared" si="105"/>
        <v>-0.66666666666666663</v>
      </c>
      <c r="O1087" s="918" t="str">
        <f t="shared" si="106"/>
        <v>Jan</v>
      </c>
      <c r="P1087" s="921">
        <f t="shared" si="107"/>
        <v>4</v>
      </c>
    </row>
    <row r="1088" spans="1:16" ht="15" hidden="1" customHeight="1">
      <c r="A1088" s="913">
        <v>68354586</v>
      </c>
      <c r="B1088" s="839">
        <v>2904</v>
      </c>
      <c r="C1088" s="906">
        <v>-135</v>
      </c>
      <c r="D1088" s="907">
        <v>46045</v>
      </c>
      <c r="E1088" s="913" t="s">
        <v>361</v>
      </c>
      <c r="F1088" s="839" t="s">
        <v>40</v>
      </c>
      <c r="G1088" s="916">
        <f>VLOOKUP($A1088,'Tech Litons'!$A:$I,8,FALSE)</f>
        <v>3.5999999999999999E-3</v>
      </c>
      <c r="H1088" s="917">
        <f>VLOOKUP($A1088,'Tech Litons'!$A:$I,9,FALSE)</f>
        <v>240</v>
      </c>
      <c r="I1088" s="917" t="str">
        <f>VLOOKUP($A1088,'Tech Litons'!$A:$C,3,0)</f>
        <v>Topped</v>
      </c>
      <c r="J1088" s="918" t="str">
        <f t="shared" si="102"/>
        <v>2904Topped</v>
      </c>
      <c r="K1088" s="919">
        <v>1</v>
      </c>
      <c r="L1088" s="920">
        <f t="shared" si="103"/>
        <v>-135</v>
      </c>
      <c r="M1088" s="920">
        <f t="shared" si="104"/>
        <v>-0.48599999999999999</v>
      </c>
      <c r="N1088" s="920">
        <f t="shared" si="105"/>
        <v>-0.5625</v>
      </c>
      <c r="O1088" s="918" t="str">
        <f t="shared" si="106"/>
        <v>Jan</v>
      </c>
      <c r="P1088" s="921">
        <f t="shared" si="107"/>
        <v>4</v>
      </c>
    </row>
    <row r="1089" spans="1:16" ht="15" hidden="1" customHeight="1">
      <c r="A1089" s="913">
        <v>64341106</v>
      </c>
      <c r="B1089" s="839">
        <v>2904</v>
      </c>
      <c r="C1089" s="906">
        <v>-110</v>
      </c>
      <c r="D1089" s="907">
        <v>46045</v>
      </c>
      <c r="E1089" s="913" t="s">
        <v>293</v>
      </c>
      <c r="F1089" s="839" t="s">
        <v>227</v>
      </c>
      <c r="G1089" s="916">
        <f>VLOOKUP($A1089,'Tech Litons'!$A:$I,8,FALSE)</f>
        <v>5.2680000000000001E-3</v>
      </c>
      <c r="H1089" s="917">
        <f>VLOOKUP($A1089,'Tech Litons'!$A:$I,9,FALSE)</f>
        <v>130</v>
      </c>
      <c r="I1089" s="917" t="str">
        <f>VLOOKUP($A1089,'Tech Litons'!$A:$C,3,0)</f>
        <v>PG</v>
      </c>
      <c r="J1089" s="918" t="str">
        <f t="shared" si="102"/>
        <v>2904PG</v>
      </c>
      <c r="K1089" s="919">
        <v>1</v>
      </c>
      <c r="L1089" s="920">
        <f t="shared" si="103"/>
        <v>-110</v>
      </c>
      <c r="M1089" s="920">
        <f t="shared" si="104"/>
        <v>-0.57948</v>
      </c>
      <c r="N1089" s="920">
        <f t="shared" si="105"/>
        <v>-0.84615384615384615</v>
      </c>
      <c r="O1089" s="918" t="str">
        <f t="shared" si="106"/>
        <v>Jan</v>
      </c>
      <c r="P1089" s="921">
        <f t="shared" si="107"/>
        <v>4</v>
      </c>
    </row>
    <row r="1090" spans="1:16" ht="15" hidden="1" customHeight="1">
      <c r="A1090" s="839">
        <v>68867744</v>
      </c>
      <c r="B1090" s="839">
        <v>2904</v>
      </c>
      <c r="C1090" s="906">
        <v>-78</v>
      </c>
      <c r="D1090" s="907">
        <v>46045</v>
      </c>
      <c r="E1090" s="839" t="s">
        <v>306</v>
      </c>
      <c r="F1090" s="839" t="s">
        <v>275</v>
      </c>
      <c r="G1090" s="916">
        <f>VLOOKUP($A1090,'Tech Litons'!$A:$I,8,FALSE)</f>
        <v>3.552E-3</v>
      </c>
      <c r="H1090" s="917">
        <f>VLOOKUP($A1090,'Tech Litons'!$A:$I,9,FALSE)</f>
        <v>255</v>
      </c>
      <c r="I1090" s="917" t="str">
        <f>VLOOKUP($A1090,'Tech Litons'!$A:$C,3,0)</f>
        <v>Talenti</v>
      </c>
      <c r="J1090" s="918" t="str">
        <f t="shared" si="102"/>
        <v>2904Talenti</v>
      </c>
      <c r="K1090" s="919">
        <v>1</v>
      </c>
      <c r="L1090" s="920">
        <f t="shared" si="103"/>
        <v>-78</v>
      </c>
      <c r="M1090" s="920">
        <f t="shared" si="104"/>
        <v>-0.27705600000000002</v>
      </c>
      <c r="N1090" s="920">
        <f t="shared" si="105"/>
        <v>-0.30588235294117649</v>
      </c>
      <c r="O1090" s="918" t="str">
        <f t="shared" si="106"/>
        <v>Jan</v>
      </c>
      <c r="P1090" s="921">
        <f t="shared" si="107"/>
        <v>4</v>
      </c>
    </row>
    <row r="1091" spans="1:16" ht="15" hidden="1" customHeight="1">
      <c r="A1091" s="839">
        <v>65431089</v>
      </c>
      <c r="B1091" s="839">
        <v>2904</v>
      </c>
      <c r="C1091" s="906">
        <v>-15</v>
      </c>
      <c r="D1091" s="907">
        <v>46045</v>
      </c>
      <c r="E1091" s="839" t="s">
        <v>368</v>
      </c>
      <c r="F1091" s="839" t="s">
        <v>277</v>
      </c>
      <c r="G1091" s="916">
        <f>VLOOKUP($A1091,'Tech Litons'!$A:$I,8,FALSE)</f>
        <v>3.7839999999999996E-3</v>
      </c>
      <c r="H1091" s="917">
        <f>VLOOKUP($A1091,'Tech Litons'!$A:$I,9,FALSE)</f>
        <v>255</v>
      </c>
      <c r="I1091" s="917" t="str">
        <f>VLOOKUP($A1091,'Tech Litons'!$A:$C,3,0)</f>
        <v>Talenti</v>
      </c>
      <c r="J1091" s="918" t="str">
        <f t="shared" si="102"/>
        <v>2904Talenti</v>
      </c>
      <c r="K1091" s="919">
        <v>1</v>
      </c>
      <c r="L1091" s="920">
        <f t="shared" si="103"/>
        <v>-15</v>
      </c>
      <c r="M1091" s="920">
        <f t="shared" si="104"/>
        <v>-5.6759999999999991E-2</v>
      </c>
      <c r="N1091" s="920">
        <f t="shared" si="105"/>
        <v>-5.8823529411764705E-2</v>
      </c>
      <c r="O1091" s="918" t="str">
        <f t="shared" si="106"/>
        <v>Jan</v>
      </c>
      <c r="P1091" s="921">
        <f t="shared" si="107"/>
        <v>4</v>
      </c>
    </row>
    <row r="1092" spans="1:16" ht="15" hidden="1" customHeight="1">
      <c r="A1092" s="839">
        <v>68741742</v>
      </c>
      <c r="B1092" s="839">
        <v>2904</v>
      </c>
      <c r="C1092" s="906">
        <v>-14</v>
      </c>
      <c r="D1092" s="907">
        <v>46045</v>
      </c>
      <c r="E1092" s="839" t="s">
        <v>288</v>
      </c>
      <c r="F1092" s="839" t="s">
        <v>295</v>
      </c>
      <c r="G1092" s="916">
        <f>VLOOKUP($A1092,'Tech Litons'!$A:$I,8,FALSE)</f>
        <v>4.2560000000000002E-3</v>
      </c>
      <c r="H1092" s="917">
        <f>VLOOKUP($A1092,'Tech Litons'!$A:$I,9,FALSE)</f>
        <v>154</v>
      </c>
      <c r="I1092" s="917" t="str">
        <f>VLOOKUP($A1092,'Tech Litons'!$A:$C,3,0)</f>
        <v>MBG</v>
      </c>
      <c r="J1092" s="918" t="str">
        <f t="shared" si="102"/>
        <v>2904MBG</v>
      </c>
      <c r="K1092" s="919">
        <v>1</v>
      </c>
      <c r="L1092" s="920">
        <f t="shared" si="103"/>
        <v>-14</v>
      </c>
      <c r="M1092" s="920">
        <f t="shared" si="104"/>
        <v>-5.9584000000000005E-2</v>
      </c>
      <c r="N1092" s="920">
        <f t="shared" si="105"/>
        <v>-9.0909090909090912E-2</v>
      </c>
      <c r="O1092" s="918" t="str">
        <f t="shared" si="106"/>
        <v>Jan</v>
      </c>
      <c r="P1092" s="921">
        <f t="shared" si="107"/>
        <v>4</v>
      </c>
    </row>
    <row r="1093" spans="1:16" ht="15" hidden="1" customHeight="1">
      <c r="A1093" s="839">
        <v>68851107</v>
      </c>
      <c r="B1093" s="839">
        <v>2904</v>
      </c>
      <c r="C1093" s="906">
        <v>-2</v>
      </c>
      <c r="D1093" s="907">
        <v>46045</v>
      </c>
      <c r="E1093" s="839" t="s">
        <v>272</v>
      </c>
      <c r="F1093" s="839" t="s">
        <v>273</v>
      </c>
      <c r="G1093" s="916">
        <f>VLOOKUP($A1093,'Tech Litons'!$A:$I,8,FALSE)</f>
        <v>8.5199999999999998E-3</v>
      </c>
      <c r="H1093" s="917">
        <f>VLOOKUP($A1093,'Tech Litons'!$A:$I,9,FALSE)</f>
        <v>176</v>
      </c>
      <c r="I1093" s="917" t="str">
        <f>VLOOKUP($A1093,'Tech Litons'!$A:$C,3,0)</f>
        <v>48oz</v>
      </c>
      <c r="J1093" s="918" t="str">
        <f t="shared" si="102"/>
        <v>290448oz</v>
      </c>
      <c r="K1093" s="919">
        <v>1</v>
      </c>
      <c r="L1093" s="920">
        <f t="shared" si="103"/>
        <v>-2</v>
      </c>
      <c r="M1093" s="920">
        <f t="shared" si="104"/>
        <v>-1.704E-2</v>
      </c>
      <c r="N1093" s="920">
        <f t="shared" si="105"/>
        <v>-1.1363636363636364E-2</v>
      </c>
      <c r="O1093" s="918" t="str">
        <f t="shared" si="106"/>
        <v>Jan</v>
      </c>
      <c r="P1093" s="921">
        <f t="shared" si="107"/>
        <v>4</v>
      </c>
    </row>
    <row r="1094" spans="1:16" ht="15" hidden="1" customHeight="1">
      <c r="A1094" s="839">
        <v>68851107</v>
      </c>
      <c r="B1094" s="839">
        <v>1352</v>
      </c>
      <c r="C1094" s="906">
        <v>57</v>
      </c>
      <c r="D1094" s="907">
        <v>46045</v>
      </c>
      <c r="E1094" s="839" t="s">
        <v>272</v>
      </c>
      <c r="F1094" s="839" t="s">
        <v>290</v>
      </c>
      <c r="G1094" s="916">
        <f>VLOOKUP($A1094,'Tech Litons'!$A:$I,8,FALSE)</f>
        <v>8.5199999999999998E-3</v>
      </c>
      <c r="H1094" s="917">
        <f>VLOOKUP($A1094,'Tech Litons'!$A:$I,9,FALSE)</f>
        <v>176</v>
      </c>
      <c r="I1094" s="917" t="str">
        <f>VLOOKUP($A1094,'Tech Litons'!$A:$C,3,0)</f>
        <v>48oz</v>
      </c>
      <c r="J1094" s="918" t="str">
        <f t="shared" si="102"/>
        <v>135248oz</v>
      </c>
      <c r="K1094" s="919">
        <v>1</v>
      </c>
      <c r="L1094" s="920">
        <f t="shared" si="103"/>
        <v>57</v>
      </c>
      <c r="M1094" s="920">
        <f t="shared" si="104"/>
        <v>0.48563999999999996</v>
      </c>
      <c r="N1094" s="920">
        <f t="shared" si="105"/>
        <v>0.32386363636363635</v>
      </c>
      <c r="O1094" s="918" t="str">
        <f t="shared" si="106"/>
        <v>Jan</v>
      </c>
      <c r="P1094" s="921">
        <f t="shared" si="107"/>
        <v>4</v>
      </c>
    </row>
    <row r="1095" spans="1:16" ht="15" hidden="1" customHeight="1">
      <c r="A1095" s="839">
        <v>64776954</v>
      </c>
      <c r="B1095" s="839">
        <v>1352</v>
      </c>
      <c r="C1095" s="906">
        <v>105</v>
      </c>
      <c r="D1095" s="907">
        <v>46045</v>
      </c>
      <c r="E1095" s="839" t="s">
        <v>285</v>
      </c>
      <c r="F1095" s="839" t="s">
        <v>224</v>
      </c>
      <c r="G1095" s="916">
        <f>VLOOKUP($A1095,'Tech Litons'!$A:$I,8,FALSE)</f>
        <v>3.8340000000000002E-3</v>
      </c>
      <c r="H1095" s="917">
        <f>VLOOKUP($A1095,'Tech Litons'!$A:$I,9,FALSE)</f>
        <v>130</v>
      </c>
      <c r="I1095" s="917" t="str">
        <f>VLOOKUP($A1095,'Tech Litons'!$A:$C,3,0)</f>
        <v>pG</v>
      </c>
      <c r="J1095" s="918" t="str">
        <f t="shared" si="102"/>
        <v>1352pG</v>
      </c>
      <c r="K1095" s="919">
        <v>1</v>
      </c>
      <c r="L1095" s="920">
        <f t="shared" si="103"/>
        <v>105</v>
      </c>
      <c r="M1095" s="920">
        <f t="shared" si="104"/>
        <v>0.40257000000000004</v>
      </c>
      <c r="N1095" s="920">
        <f t="shared" si="105"/>
        <v>0.80769230769230771</v>
      </c>
      <c r="O1095" s="918" t="str">
        <f t="shared" si="106"/>
        <v>Jan</v>
      </c>
      <c r="P1095" s="921">
        <f t="shared" si="107"/>
        <v>4</v>
      </c>
    </row>
    <row r="1096" spans="1:16" ht="15" hidden="1" customHeight="1">
      <c r="A1096" s="839">
        <v>64776954</v>
      </c>
      <c r="B1096" s="839">
        <v>1352</v>
      </c>
      <c r="C1096" s="906">
        <v>162</v>
      </c>
      <c r="D1096" s="907">
        <v>46045</v>
      </c>
      <c r="E1096" s="839" t="s">
        <v>285</v>
      </c>
      <c r="F1096" s="839" t="s">
        <v>224</v>
      </c>
      <c r="G1096" s="916">
        <f>VLOOKUP($A1096,'Tech Litons'!$A:$I,8,FALSE)</f>
        <v>3.8340000000000002E-3</v>
      </c>
      <c r="H1096" s="917">
        <f>VLOOKUP($A1096,'Tech Litons'!$A:$I,9,FALSE)</f>
        <v>130</v>
      </c>
      <c r="I1096" s="917" t="str">
        <f>VLOOKUP($A1096,'Tech Litons'!$A:$C,3,0)</f>
        <v>pG</v>
      </c>
      <c r="J1096" s="918" t="str">
        <f t="shared" si="102"/>
        <v>1352pG</v>
      </c>
      <c r="K1096" s="919">
        <v>1</v>
      </c>
      <c r="L1096" s="920">
        <f t="shared" si="103"/>
        <v>162</v>
      </c>
      <c r="M1096" s="920">
        <f t="shared" si="104"/>
        <v>0.62110799999999999</v>
      </c>
      <c r="N1096" s="920">
        <f t="shared" si="105"/>
        <v>1.2461538461538462</v>
      </c>
      <c r="O1096" s="918" t="str">
        <f t="shared" si="106"/>
        <v>Jan</v>
      </c>
      <c r="P1096" s="921">
        <f t="shared" si="107"/>
        <v>4</v>
      </c>
    </row>
    <row r="1097" spans="1:16" ht="15" hidden="1" customHeight="1">
      <c r="A1097" s="839">
        <v>64988055</v>
      </c>
      <c r="B1097" s="839">
        <v>2904</v>
      </c>
      <c r="C1097" s="906">
        <v>194</v>
      </c>
      <c r="D1097" s="907">
        <v>46045</v>
      </c>
      <c r="E1097" s="839" t="s">
        <v>360</v>
      </c>
      <c r="F1097" s="839" t="s">
        <v>271</v>
      </c>
      <c r="G1097" s="916">
        <f>VLOOKUP($A1097,'Tech Litons'!$A:$I,8,FALSE)</f>
        <v>8.513999999999999E-3</v>
      </c>
      <c r="H1097" s="917">
        <f>VLOOKUP($A1097,'Tech Litons'!$A:$I,9,FALSE)</f>
        <v>176</v>
      </c>
      <c r="I1097" s="917" t="str">
        <f>VLOOKUP($A1097,'Tech Litons'!$A:$C,3,0)</f>
        <v>48oz</v>
      </c>
      <c r="J1097" s="918" t="str">
        <f t="shared" si="102"/>
        <v>290448oz</v>
      </c>
      <c r="K1097" s="919">
        <v>1</v>
      </c>
      <c r="L1097" s="920">
        <f t="shared" si="103"/>
        <v>194</v>
      </c>
      <c r="M1097" s="920">
        <f t="shared" si="104"/>
        <v>1.6517159999999997</v>
      </c>
      <c r="N1097" s="920">
        <f t="shared" si="105"/>
        <v>1.1022727272727273</v>
      </c>
      <c r="O1097" s="918" t="str">
        <f t="shared" si="106"/>
        <v>Jan</v>
      </c>
      <c r="P1097" s="921">
        <f t="shared" si="107"/>
        <v>4</v>
      </c>
    </row>
    <row r="1098" spans="1:16" ht="15" hidden="1" customHeight="1">
      <c r="A1098" s="839">
        <v>68354590</v>
      </c>
      <c r="B1098" s="839">
        <v>2904</v>
      </c>
      <c r="C1098" s="906">
        <v>240</v>
      </c>
      <c r="D1098" s="907">
        <v>46045</v>
      </c>
      <c r="E1098" s="839" t="s">
        <v>376</v>
      </c>
      <c r="F1098" s="839" t="s">
        <v>40</v>
      </c>
      <c r="G1098" s="916">
        <f>VLOOKUP($A1098,'Tech Litons'!$A:$I,8,FALSE)</f>
        <v>3.5999999999999999E-3</v>
      </c>
      <c r="H1098" s="917">
        <f>VLOOKUP($A1098,'Tech Litons'!$A:$I,9,FALSE)</f>
        <v>240</v>
      </c>
      <c r="I1098" s="917" t="str">
        <f>VLOOKUP($A1098,'Tech Litons'!$A:$C,3,0)</f>
        <v>Topped</v>
      </c>
      <c r="J1098" s="918" t="str">
        <f t="shared" si="102"/>
        <v>2904Topped</v>
      </c>
      <c r="K1098" s="919">
        <v>1</v>
      </c>
      <c r="L1098" s="920">
        <f t="shared" si="103"/>
        <v>240</v>
      </c>
      <c r="M1098" s="920">
        <f t="shared" si="104"/>
        <v>0.86399999999999999</v>
      </c>
      <c r="N1098" s="920">
        <f t="shared" si="105"/>
        <v>1</v>
      </c>
      <c r="O1098" s="918" t="str">
        <f t="shared" si="106"/>
        <v>Jan</v>
      </c>
      <c r="P1098" s="921">
        <f t="shared" si="107"/>
        <v>4</v>
      </c>
    </row>
    <row r="1099" spans="1:16" ht="15" hidden="1" customHeight="1">
      <c r="A1099" s="839">
        <v>65431089</v>
      </c>
      <c r="B1099" s="839">
        <v>2904</v>
      </c>
      <c r="C1099" s="906">
        <v>589</v>
      </c>
      <c r="D1099" s="907">
        <v>46045</v>
      </c>
      <c r="E1099" s="839" t="s">
        <v>368</v>
      </c>
      <c r="F1099" s="839" t="s">
        <v>277</v>
      </c>
      <c r="G1099" s="916">
        <f>VLOOKUP($A1099,'Tech Litons'!$A:$I,8,FALSE)</f>
        <v>3.7839999999999996E-3</v>
      </c>
      <c r="H1099" s="917">
        <f>VLOOKUP($A1099,'Tech Litons'!$A:$I,9,FALSE)</f>
        <v>255</v>
      </c>
      <c r="I1099" s="917" t="str">
        <f>VLOOKUP($A1099,'Tech Litons'!$A:$C,3,0)</f>
        <v>Talenti</v>
      </c>
      <c r="J1099" s="918" t="str">
        <f t="shared" si="102"/>
        <v>2904Talenti</v>
      </c>
      <c r="K1099" s="919">
        <v>1</v>
      </c>
      <c r="L1099" s="920">
        <f t="shared" si="103"/>
        <v>589</v>
      </c>
      <c r="M1099" s="920">
        <f t="shared" si="104"/>
        <v>2.2287759999999999</v>
      </c>
      <c r="N1099" s="920">
        <f t="shared" si="105"/>
        <v>2.3098039215686272</v>
      </c>
      <c r="O1099" s="918" t="str">
        <f t="shared" si="106"/>
        <v>Jan</v>
      </c>
      <c r="P1099" s="921">
        <f t="shared" si="107"/>
        <v>4</v>
      </c>
    </row>
    <row r="1100" spans="1:16" ht="15" hidden="1" customHeight="1">
      <c r="A1100" s="839">
        <v>69629468</v>
      </c>
      <c r="B1100" s="839">
        <v>2904</v>
      </c>
      <c r="C1100" s="906">
        <v>727</v>
      </c>
      <c r="D1100" s="907">
        <v>46045</v>
      </c>
      <c r="E1100" s="839" t="s">
        <v>291</v>
      </c>
      <c r="F1100" s="839" t="s">
        <v>226</v>
      </c>
      <c r="G1100" s="916">
        <f>VLOOKUP($A1100,'Tech Litons'!$A:$I,8,FALSE)</f>
        <v>5.2680000000000001E-3</v>
      </c>
      <c r="H1100" s="917">
        <f>VLOOKUP($A1100,'Tech Litons'!$A:$I,9,FALSE)</f>
        <v>130</v>
      </c>
      <c r="I1100" s="917" t="str">
        <f>VLOOKUP($A1100,'Tech Litons'!$A:$C,3,0)</f>
        <v>PG</v>
      </c>
      <c r="J1100" s="918" t="str">
        <f t="shared" si="102"/>
        <v>2904PG</v>
      </c>
      <c r="K1100" s="919">
        <v>1</v>
      </c>
      <c r="L1100" s="920">
        <f t="shared" si="103"/>
        <v>727</v>
      </c>
      <c r="M1100" s="920">
        <f t="shared" si="104"/>
        <v>3.8298360000000002</v>
      </c>
      <c r="N1100" s="920">
        <f t="shared" si="105"/>
        <v>5.592307692307692</v>
      </c>
      <c r="O1100" s="918" t="str">
        <f t="shared" si="106"/>
        <v>Jan</v>
      </c>
      <c r="P1100" s="921">
        <f t="shared" si="107"/>
        <v>4</v>
      </c>
    </row>
    <row r="1101" spans="1:16" ht="15" hidden="1" customHeight="1">
      <c r="A1101" s="839">
        <v>84144598</v>
      </c>
      <c r="B1101" s="839">
        <v>2904</v>
      </c>
      <c r="C1101" s="906">
        <v>890</v>
      </c>
      <c r="D1101" s="907">
        <v>46045</v>
      </c>
      <c r="E1101" s="839" t="s">
        <v>364</v>
      </c>
      <c r="F1101" s="839" t="s">
        <v>299</v>
      </c>
      <c r="G1101" s="916">
        <f>VLOOKUP($A1101,'Tech Litons'!$A:$I,8,FALSE)</f>
        <v>3.7853439999999999E-3</v>
      </c>
      <c r="H1101" s="917">
        <f>VLOOKUP($A1101,'Tech Litons'!$A:$I,9,FALSE)</f>
        <v>240</v>
      </c>
      <c r="I1101" s="917" t="str">
        <f>VLOOKUP($A1101,'Tech Litons'!$A:$C,3,0)</f>
        <v>BJ PTS</v>
      </c>
      <c r="J1101" s="918" t="str">
        <f t="shared" si="102"/>
        <v>2904BJ PTS</v>
      </c>
      <c r="K1101" s="919">
        <v>1</v>
      </c>
      <c r="L1101" s="920">
        <f t="shared" si="103"/>
        <v>890</v>
      </c>
      <c r="M1101" s="920">
        <f t="shared" si="104"/>
        <v>3.3689561599999998</v>
      </c>
      <c r="N1101" s="920">
        <f t="shared" si="105"/>
        <v>3.7083333333333335</v>
      </c>
      <c r="O1101" s="918" t="str">
        <f t="shared" si="106"/>
        <v>Jan</v>
      </c>
      <c r="P1101" s="921">
        <f t="shared" si="107"/>
        <v>4</v>
      </c>
    </row>
    <row r="1102" spans="1:16" ht="15" hidden="1" customHeight="1">
      <c r="A1102" s="839">
        <v>68852591</v>
      </c>
      <c r="B1102" s="839">
        <v>2904</v>
      </c>
      <c r="C1102" s="906">
        <v>1188</v>
      </c>
      <c r="D1102" s="907">
        <v>46045</v>
      </c>
      <c r="E1102" s="839" t="s">
        <v>326</v>
      </c>
      <c r="F1102" s="839" t="s">
        <v>243</v>
      </c>
      <c r="G1102" s="916">
        <f>VLOOKUP($A1102,'Tech Litons'!$A:$I,8,FALSE)</f>
        <v>8.5199999999999998E-3</v>
      </c>
      <c r="H1102" s="917">
        <f>VLOOKUP($A1102,'Tech Litons'!$A:$I,9,FALSE)</f>
        <v>132</v>
      </c>
      <c r="I1102" s="917" t="str">
        <f>VLOOKUP($A1102,'Tech Litons'!$A:$C,3,0)</f>
        <v>EDF</v>
      </c>
      <c r="J1102" s="918" t="str">
        <f t="shared" si="102"/>
        <v>2904EDF</v>
      </c>
      <c r="K1102" s="919">
        <v>1</v>
      </c>
      <c r="L1102" s="920">
        <f t="shared" si="103"/>
        <v>1188</v>
      </c>
      <c r="M1102" s="920">
        <f t="shared" si="104"/>
        <v>10.12176</v>
      </c>
      <c r="N1102" s="920">
        <f t="shared" si="105"/>
        <v>9</v>
      </c>
      <c r="O1102" s="918" t="str">
        <f t="shared" si="106"/>
        <v>Jan</v>
      </c>
      <c r="P1102" s="921">
        <f t="shared" si="107"/>
        <v>4</v>
      </c>
    </row>
    <row r="1103" spans="1:16" ht="15" hidden="1" customHeight="1">
      <c r="A1103" s="839">
        <v>69629468</v>
      </c>
      <c r="B1103" s="839">
        <v>2904</v>
      </c>
      <c r="C1103" s="906">
        <v>1216</v>
      </c>
      <c r="D1103" s="907">
        <v>46045</v>
      </c>
      <c r="E1103" s="839" t="s">
        <v>291</v>
      </c>
      <c r="F1103" s="839" t="s">
        <v>226</v>
      </c>
      <c r="G1103" s="916">
        <f>VLOOKUP($A1103,'Tech Litons'!$A:$I,8,FALSE)</f>
        <v>5.2680000000000001E-3</v>
      </c>
      <c r="H1103" s="917">
        <f>VLOOKUP($A1103,'Tech Litons'!$A:$I,9,FALSE)</f>
        <v>130</v>
      </c>
      <c r="I1103" s="917" t="str">
        <f>VLOOKUP($A1103,'Tech Litons'!$A:$C,3,0)</f>
        <v>PG</v>
      </c>
      <c r="J1103" s="918" t="str">
        <f t="shared" si="102"/>
        <v>2904PG</v>
      </c>
      <c r="K1103" s="919">
        <v>1</v>
      </c>
      <c r="L1103" s="920">
        <f t="shared" si="103"/>
        <v>1216</v>
      </c>
      <c r="M1103" s="920">
        <f t="shared" si="104"/>
        <v>6.405888</v>
      </c>
      <c r="N1103" s="920">
        <f t="shared" si="105"/>
        <v>9.3538461538461544</v>
      </c>
      <c r="O1103" s="918" t="str">
        <f t="shared" si="106"/>
        <v>Jan</v>
      </c>
      <c r="P1103" s="921">
        <f t="shared" si="107"/>
        <v>4</v>
      </c>
    </row>
    <row r="1104" spans="1:16" ht="15" hidden="1" customHeight="1">
      <c r="A1104" s="839">
        <v>69564623</v>
      </c>
      <c r="B1104" s="839">
        <v>2904</v>
      </c>
      <c r="C1104" s="906">
        <v>1232</v>
      </c>
      <c r="D1104" s="907">
        <v>46045</v>
      </c>
      <c r="E1104" s="839" t="s">
        <v>378</v>
      </c>
      <c r="F1104" s="839" t="s">
        <v>271</v>
      </c>
      <c r="G1104" s="916">
        <f>VLOOKUP($A1104,'Tech Litons'!$A:$I,8,FALSE)</f>
        <v>8.5199999999999998E-3</v>
      </c>
      <c r="H1104" s="917">
        <f>VLOOKUP($A1104,'Tech Litons'!$A:$I,9,FALSE)</f>
        <v>176</v>
      </c>
      <c r="I1104" s="917" t="str">
        <f>VLOOKUP($A1104,'Tech Litons'!$A:$C,3,0)</f>
        <v>48oz</v>
      </c>
      <c r="J1104" s="918" t="str">
        <f t="shared" si="102"/>
        <v>290448oz</v>
      </c>
      <c r="K1104" s="919">
        <v>1</v>
      </c>
      <c r="L1104" s="920">
        <f t="shared" si="103"/>
        <v>1232</v>
      </c>
      <c r="M1104" s="920">
        <f t="shared" si="104"/>
        <v>10.496639999999999</v>
      </c>
      <c r="N1104" s="920">
        <f t="shared" si="105"/>
        <v>7</v>
      </c>
      <c r="O1104" s="918" t="str">
        <f t="shared" si="106"/>
        <v>Jan</v>
      </c>
      <c r="P1104" s="921">
        <f t="shared" si="107"/>
        <v>4</v>
      </c>
    </row>
    <row r="1105" spans="1:18" ht="15" hidden="1" customHeight="1">
      <c r="A1105" s="839">
        <v>68741742</v>
      </c>
      <c r="B1105" s="839">
        <v>1352</v>
      </c>
      <c r="C1105" s="906">
        <v>1386</v>
      </c>
      <c r="D1105" s="907">
        <v>46045</v>
      </c>
      <c r="E1105" s="839" t="s">
        <v>288</v>
      </c>
      <c r="F1105" s="839" t="s">
        <v>289</v>
      </c>
      <c r="G1105" s="916">
        <f>VLOOKUP($A1105,'Tech Litons'!$A:$I,8,FALSE)</f>
        <v>4.2560000000000002E-3</v>
      </c>
      <c r="H1105" s="917">
        <f>VLOOKUP($A1105,'Tech Litons'!$A:$I,9,FALSE)</f>
        <v>154</v>
      </c>
      <c r="I1105" s="917" t="str">
        <f>VLOOKUP($A1105,'Tech Litons'!$A:$C,3,0)</f>
        <v>MBG</v>
      </c>
      <c r="J1105" s="918" t="str">
        <f t="shared" si="102"/>
        <v>1352MBG</v>
      </c>
      <c r="K1105" s="919">
        <v>1</v>
      </c>
      <c r="L1105" s="920">
        <f t="shared" si="103"/>
        <v>1386</v>
      </c>
      <c r="M1105" s="920">
        <f t="shared" si="104"/>
        <v>5.8988160000000001</v>
      </c>
      <c r="N1105" s="920">
        <f t="shared" si="105"/>
        <v>9</v>
      </c>
      <c r="O1105" s="918" t="str">
        <f t="shared" si="106"/>
        <v>Jan</v>
      </c>
      <c r="P1105" s="921">
        <f t="shared" si="107"/>
        <v>4</v>
      </c>
    </row>
    <row r="1106" spans="1:18" ht="15" hidden="1" customHeight="1">
      <c r="A1106" s="839">
        <v>69725082</v>
      </c>
      <c r="B1106" s="839">
        <v>1352</v>
      </c>
      <c r="C1106" s="906">
        <v>1430</v>
      </c>
      <c r="D1106" s="907">
        <v>46045</v>
      </c>
      <c r="E1106" s="839" t="s">
        <v>292</v>
      </c>
      <c r="F1106" s="839" t="s">
        <v>223</v>
      </c>
      <c r="G1106" s="916">
        <f>VLOOKUP($A1106,'Tech Litons'!$A:$I,8,FALSE)</f>
        <v>5.2680000000000001E-3</v>
      </c>
      <c r="H1106" s="917">
        <f>VLOOKUP($A1106,'Tech Litons'!$A:$I,9,FALSE)</f>
        <v>130</v>
      </c>
      <c r="I1106" s="917" t="str">
        <f>VLOOKUP($A1106,'Tech Litons'!$A:$C,3,0)</f>
        <v>PG</v>
      </c>
      <c r="J1106" s="918" t="str">
        <f t="shared" ref="J1106:J1169" si="108">B1106&amp;I1106</f>
        <v>1352PG</v>
      </c>
      <c r="K1106" s="919">
        <v>1</v>
      </c>
      <c r="L1106" s="920">
        <f t="shared" ref="L1106:L1169" si="109">C1106*$K1106</f>
        <v>1430</v>
      </c>
      <c r="M1106" s="920">
        <f t="shared" ref="M1106:M1169" si="110">L1106*G1106</f>
        <v>7.5332400000000002</v>
      </c>
      <c r="N1106" s="920">
        <f t="shared" ref="N1106:N1169" si="111">L1106/H1106</f>
        <v>11</v>
      </c>
      <c r="O1106" s="918" t="str">
        <f t="shared" ref="O1106:O1169" si="112">TEXT(D1106,"MMM")</f>
        <v>Jan</v>
      </c>
      <c r="P1106" s="921">
        <f t="shared" ref="P1106:P1169" si="113">WEEKNUM(D1106)</f>
        <v>4</v>
      </c>
    </row>
    <row r="1107" spans="1:18" ht="15" hidden="1" customHeight="1">
      <c r="A1107" s="839">
        <v>68710285</v>
      </c>
      <c r="B1107" s="839">
        <v>1352</v>
      </c>
      <c r="C1107" s="906">
        <v>1433</v>
      </c>
      <c r="D1107" s="907">
        <v>46045</v>
      </c>
      <c r="E1107" s="839" t="s">
        <v>367</v>
      </c>
      <c r="F1107" s="839" t="s">
        <v>242</v>
      </c>
      <c r="G1107" s="916">
        <f>VLOOKUP($A1107,'Tech Litons'!$A:$I,8,FALSE)</f>
        <v>9.5760000000000012E-3</v>
      </c>
      <c r="H1107" s="917">
        <f>VLOOKUP($A1107,'Tech Litons'!$A:$I,9,FALSE)</f>
        <v>132</v>
      </c>
      <c r="I1107" s="917" t="str">
        <f>VLOOKUP($A1107,'Tech Litons'!$A:$C,3,0)</f>
        <v>EDF</v>
      </c>
      <c r="J1107" s="918" t="str">
        <f t="shared" si="108"/>
        <v>1352EDF</v>
      </c>
      <c r="K1107" s="919">
        <v>1</v>
      </c>
      <c r="L1107" s="920">
        <f t="shared" si="109"/>
        <v>1433</v>
      </c>
      <c r="M1107" s="920">
        <f t="shared" si="110"/>
        <v>13.722408000000001</v>
      </c>
      <c r="N1107" s="920">
        <f t="shared" si="111"/>
        <v>10.856060606060606</v>
      </c>
      <c r="O1107" s="918" t="str">
        <f t="shared" si="112"/>
        <v>Jan</v>
      </c>
      <c r="P1107" s="921">
        <f t="shared" si="113"/>
        <v>4</v>
      </c>
    </row>
    <row r="1108" spans="1:18" ht="15" hidden="1" customHeight="1">
      <c r="A1108" s="839">
        <v>68852591</v>
      </c>
      <c r="B1108" s="839">
        <v>2904</v>
      </c>
      <c r="C1108" s="906">
        <v>1441</v>
      </c>
      <c r="D1108" s="907">
        <v>46045</v>
      </c>
      <c r="E1108" s="839" t="s">
        <v>326</v>
      </c>
      <c r="F1108" s="839" t="s">
        <v>243</v>
      </c>
      <c r="G1108" s="916">
        <f>VLOOKUP($A1108,'Tech Litons'!$A:$I,8,FALSE)</f>
        <v>8.5199999999999998E-3</v>
      </c>
      <c r="H1108" s="917">
        <f>VLOOKUP($A1108,'Tech Litons'!$A:$I,9,FALSE)</f>
        <v>132</v>
      </c>
      <c r="I1108" s="917" t="str">
        <f>VLOOKUP($A1108,'Tech Litons'!$A:$C,3,0)</f>
        <v>EDF</v>
      </c>
      <c r="J1108" s="918" t="str">
        <f t="shared" si="108"/>
        <v>2904EDF</v>
      </c>
      <c r="K1108" s="919">
        <v>1</v>
      </c>
      <c r="L1108" s="920">
        <f t="shared" si="109"/>
        <v>1441</v>
      </c>
      <c r="M1108" s="920">
        <f t="shared" si="110"/>
        <v>12.27732</v>
      </c>
      <c r="N1108" s="920">
        <f t="shared" si="111"/>
        <v>10.916666666666666</v>
      </c>
      <c r="O1108" s="918" t="str">
        <f t="shared" si="112"/>
        <v>Jan</v>
      </c>
      <c r="P1108" s="921">
        <f t="shared" si="113"/>
        <v>4</v>
      </c>
    </row>
    <row r="1109" spans="1:18" ht="15" hidden="1" customHeight="1">
      <c r="A1109" s="839">
        <v>69717803</v>
      </c>
      <c r="B1109" s="839">
        <v>2904</v>
      </c>
      <c r="C1109" s="906">
        <v>1488</v>
      </c>
      <c r="D1109" s="907">
        <v>46045</v>
      </c>
      <c r="E1109" s="839" t="s">
        <v>362</v>
      </c>
      <c r="F1109" s="839" t="s">
        <v>231</v>
      </c>
      <c r="G1109" s="916">
        <f>VLOOKUP($A1109,'Tech Litons'!$A:$I,8,FALSE)</f>
        <v>4.2560000000000002E-3</v>
      </c>
      <c r="H1109" s="917">
        <f>VLOOKUP($A1109,'Tech Litons'!$A:$I,9,FALSE)</f>
        <v>143</v>
      </c>
      <c r="I1109" s="917" t="str">
        <f>VLOOKUP($A1109,'Tech Litons'!$A:$C,3,0)</f>
        <v>MG Sticks</v>
      </c>
      <c r="J1109" s="918" t="str">
        <f t="shared" si="108"/>
        <v>2904MG Sticks</v>
      </c>
      <c r="K1109" s="919">
        <v>1</v>
      </c>
      <c r="L1109" s="920">
        <f t="shared" si="109"/>
        <v>1488</v>
      </c>
      <c r="M1109" s="920">
        <f t="shared" si="110"/>
        <v>6.3329280000000008</v>
      </c>
      <c r="N1109" s="920">
        <f t="shared" si="111"/>
        <v>10.405594405594405</v>
      </c>
      <c r="O1109" s="918" t="str">
        <f t="shared" si="112"/>
        <v>Jan</v>
      </c>
      <c r="P1109" s="921">
        <f t="shared" si="113"/>
        <v>4</v>
      </c>
    </row>
    <row r="1110" spans="1:18" ht="15" hidden="1" customHeight="1">
      <c r="A1110" s="909">
        <v>84141094</v>
      </c>
      <c r="B1110" s="910">
        <v>5914</v>
      </c>
      <c r="C1110" s="911">
        <v>1583</v>
      </c>
      <c r="D1110" s="912">
        <v>46045</v>
      </c>
      <c r="E1110" s="909" t="s">
        <v>393</v>
      </c>
      <c r="F1110" s="839" t="s">
        <v>279</v>
      </c>
      <c r="G1110" s="916">
        <f>VLOOKUP($A1110,'Tech Litons'!$A:$I,8,FALSE)</f>
        <v>3.7839999999999996E-3</v>
      </c>
      <c r="H1110" s="917">
        <f>VLOOKUP($A1110,'Tech Litons'!$A:$I,9,FALSE)</f>
        <v>240</v>
      </c>
      <c r="I1110" s="917" t="str">
        <f>VLOOKUP($A1110,'Tech Litons'!$A:$C,3,0)</f>
        <v>BJ PTS</v>
      </c>
      <c r="J1110" s="918" t="str">
        <f t="shared" si="108"/>
        <v>5914BJ PTS</v>
      </c>
      <c r="K1110" s="919">
        <v>1</v>
      </c>
      <c r="L1110" s="920">
        <f t="shared" si="109"/>
        <v>1583</v>
      </c>
      <c r="M1110" s="920">
        <f t="shared" si="110"/>
        <v>5.9900719999999996</v>
      </c>
      <c r="N1110" s="920">
        <f t="shared" si="111"/>
        <v>6.5958333333333332</v>
      </c>
      <c r="O1110" s="918" t="str">
        <f t="shared" si="112"/>
        <v>Jan</v>
      </c>
      <c r="P1110" s="921">
        <f t="shared" si="113"/>
        <v>4</v>
      </c>
    </row>
    <row r="1111" spans="1:18" ht="15" hidden="1" customHeight="1">
      <c r="A1111" s="839">
        <v>64341106</v>
      </c>
      <c r="B1111" s="839">
        <v>2904</v>
      </c>
      <c r="C1111" s="906">
        <v>1668</v>
      </c>
      <c r="D1111" s="907">
        <v>46045</v>
      </c>
      <c r="E1111" s="839" t="s">
        <v>293</v>
      </c>
      <c r="F1111" s="839" t="s">
        <v>227</v>
      </c>
      <c r="G1111" s="916">
        <f>VLOOKUP($A1111,'Tech Litons'!$A:$I,8,FALSE)</f>
        <v>5.2680000000000001E-3</v>
      </c>
      <c r="H1111" s="917">
        <f>VLOOKUP($A1111,'Tech Litons'!$A:$I,9,FALSE)</f>
        <v>130</v>
      </c>
      <c r="I1111" s="917" t="str">
        <f>VLOOKUP($A1111,'Tech Litons'!$A:$C,3,0)</f>
        <v>PG</v>
      </c>
      <c r="J1111" s="918" t="str">
        <f t="shared" si="108"/>
        <v>2904PG</v>
      </c>
      <c r="K1111" s="919">
        <v>1</v>
      </c>
      <c r="L1111" s="920">
        <f t="shared" si="109"/>
        <v>1668</v>
      </c>
      <c r="M1111" s="920">
        <f t="shared" si="110"/>
        <v>8.7870240000000006</v>
      </c>
      <c r="N1111" s="920">
        <f t="shared" si="111"/>
        <v>12.830769230769231</v>
      </c>
      <c r="O1111" s="918" t="str">
        <f t="shared" si="112"/>
        <v>Jan</v>
      </c>
      <c r="P1111" s="921">
        <f t="shared" si="113"/>
        <v>4</v>
      </c>
    </row>
    <row r="1112" spans="1:18" ht="15" hidden="1" customHeight="1">
      <c r="A1112" s="909">
        <v>68851104</v>
      </c>
      <c r="B1112" s="910">
        <v>2904</v>
      </c>
      <c r="C1112" s="911">
        <v>1754</v>
      </c>
      <c r="D1112" s="912">
        <v>46045</v>
      </c>
      <c r="E1112" s="909" t="s">
        <v>270</v>
      </c>
      <c r="F1112" s="839" t="s">
        <v>269</v>
      </c>
      <c r="G1112" s="916">
        <f>VLOOKUP($A1112,'Tech Litons'!$A:$I,8,FALSE)</f>
        <v>8.5199999999999998E-3</v>
      </c>
      <c r="H1112" s="917">
        <f>VLOOKUP($A1112,'Tech Litons'!$A:$I,9,FALSE)</f>
        <v>176</v>
      </c>
      <c r="I1112" s="917" t="str">
        <f>VLOOKUP($A1112,'Tech Litons'!$A:$C,3,0)</f>
        <v>48oz</v>
      </c>
      <c r="J1112" s="918" t="str">
        <f t="shared" si="108"/>
        <v>290448oz</v>
      </c>
      <c r="K1112" s="919">
        <v>1</v>
      </c>
      <c r="L1112" s="920">
        <f t="shared" si="109"/>
        <v>1754</v>
      </c>
      <c r="M1112" s="920">
        <f t="shared" si="110"/>
        <v>14.94408</v>
      </c>
      <c r="N1112" s="920">
        <f t="shared" si="111"/>
        <v>9.9659090909090917</v>
      </c>
      <c r="O1112" s="918" t="str">
        <f t="shared" si="112"/>
        <v>Jan</v>
      </c>
      <c r="P1112" s="921">
        <f t="shared" si="113"/>
        <v>4</v>
      </c>
    </row>
    <row r="1113" spans="1:18" ht="15" hidden="1" customHeight="1">
      <c r="A1113" s="839">
        <v>68741742</v>
      </c>
      <c r="B1113" s="839">
        <v>2904</v>
      </c>
      <c r="C1113" s="906">
        <v>2173</v>
      </c>
      <c r="D1113" s="907">
        <v>46045</v>
      </c>
      <c r="E1113" s="839" t="s">
        <v>288</v>
      </c>
      <c r="F1113" s="839" t="s">
        <v>295</v>
      </c>
      <c r="G1113" s="916">
        <f>VLOOKUP($A1113,'Tech Litons'!$A:$I,8,FALSE)</f>
        <v>4.2560000000000002E-3</v>
      </c>
      <c r="H1113" s="917">
        <f>VLOOKUP($A1113,'Tech Litons'!$A:$I,9,FALSE)</f>
        <v>154</v>
      </c>
      <c r="I1113" s="917" t="str">
        <f>VLOOKUP($A1113,'Tech Litons'!$A:$C,3,0)</f>
        <v>MBG</v>
      </c>
      <c r="J1113" s="918" t="str">
        <f t="shared" si="108"/>
        <v>2904MBG</v>
      </c>
      <c r="K1113" s="919">
        <v>1</v>
      </c>
      <c r="L1113" s="920">
        <f t="shared" si="109"/>
        <v>2173</v>
      </c>
      <c r="M1113" s="920">
        <f t="shared" si="110"/>
        <v>9.2482880000000005</v>
      </c>
      <c r="N1113" s="920">
        <f t="shared" si="111"/>
        <v>14.11038961038961</v>
      </c>
      <c r="O1113" s="918" t="str">
        <f t="shared" si="112"/>
        <v>Jan</v>
      </c>
      <c r="P1113" s="921">
        <f t="shared" si="113"/>
        <v>4</v>
      </c>
    </row>
    <row r="1114" spans="1:18" ht="15" hidden="1" customHeight="1">
      <c r="A1114" s="839">
        <v>69629468</v>
      </c>
      <c r="B1114" s="839">
        <v>1352</v>
      </c>
      <c r="C1114" s="906">
        <v>2189</v>
      </c>
      <c r="D1114" s="907">
        <v>46045</v>
      </c>
      <c r="E1114" s="839" t="s">
        <v>291</v>
      </c>
      <c r="F1114" s="839" t="s">
        <v>222</v>
      </c>
      <c r="G1114" s="916">
        <f>VLOOKUP($A1114,'Tech Litons'!$A:$I,8,FALSE)</f>
        <v>5.2680000000000001E-3</v>
      </c>
      <c r="H1114" s="917">
        <f>VLOOKUP($A1114,'Tech Litons'!$A:$I,9,FALSE)</f>
        <v>130</v>
      </c>
      <c r="I1114" s="917" t="str">
        <f>VLOOKUP($A1114,'Tech Litons'!$A:$C,3,0)</f>
        <v>PG</v>
      </c>
      <c r="J1114" s="918" t="str">
        <f t="shared" si="108"/>
        <v>1352PG</v>
      </c>
      <c r="K1114" s="919">
        <v>1</v>
      </c>
      <c r="L1114" s="920">
        <f t="shared" si="109"/>
        <v>2189</v>
      </c>
      <c r="M1114" s="920">
        <f t="shared" si="110"/>
        <v>11.531652000000001</v>
      </c>
      <c r="N1114" s="920">
        <f t="shared" si="111"/>
        <v>16.838461538461537</v>
      </c>
      <c r="O1114" s="918" t="str">
        <f t="shared" si="112"/>
        <v>Jan</v>
      </c>
      <c r="P1114" s="921">
        <f t="shared" si="113"/>
        <v>4</v>
      </c>
    </row>
    <row r="1115" spans="1:18" ht="15" hidden="1" customHeight="1">
      <c r="A1115" s="839">
        <v>64341106</v>
      </c>
      <c r="B1115" s="839">
        <v>2904</v>
      </c>
      <c r="C1115" s="906">
        <v>2291</v>
      </c>
      <c r="D1115" s="907">
        <v>46045</v>
      </c>
      <c r="E1115" s="839" t="s">
        <v>293</v>
      </c>
      <c r="F1115" s="839" t="s">
        <v>227</v>
      </c>
      <c r="G1115" s="916">
        <f>VLOOKUP($A1115,'Tech Litons'!$A:$I,8,FALSE)</f>
        <v>5.2680000000000001E-3</v>
      </c>
      <c r="H1115" s="917">
        <f>VLOOKUP($A1115,'Tech Litons'!$A:$I,9,FALSE)</f>
        <v>130</v>
      </c>
      <c r="I1115" s="917" t="str">
        <f>VLOOKUP($A1115,'Tech Litons'!$A:$C,3,0)</f>
        <v>PG</v>
      </c>
      <c r="J1115" s="918" t="str">
        <f t="shared" si="108"/>
        <v>2904PG</v>
      </c>
      <c r="K1115" s="919">
        <v>1</v>
      </c>
      <c r="L1115" s="920">
        <f t="shared" si="109"/>
        <v>2291</v>
      </c>
      <c r="M1115" s="920">
        <f t="shared" si="110"/>
        <v>12.068988000000001</v>
      </c>
      <c r="N1115" s="920">
        <f t="shared" si="111"/>
        <v>17.623076923076923</v>
      </c>
      <c r="O1115" s="918" t="str">
        <f t="shared" si="112"/>
        <v>Jan</v>
      </c>
      <c r="P1115" s="921">
        <f t="shared" si="113"/>
        <v>4</v>
      </c>
    </row>
    <row r="1116" spans="1:18" ht="15" hidden="1" customHeight="1">
      <c r="A1116" s="839">
        <v>68689251</v>
      </c>
      <c r="B1116" s="839">
        <v>1352</v>
      </c>
      <c r="C1116" s="906">
        <v>2293</v>
      </c>
      <c r="D1116" s="907">
        <v>46045</v>
      </c>
      <c r="E1116" s="839" t="s">
        <v>262</v>
      </c>
      <c r="F1116" s="839" t="s">
        <v>241</v>
      </c>
      <c r="G1116" s="916">
        <f>VLOOKUP($A1116,'Tech Litons'!$A:$I,8,FALSE)</f>
        <v>9.5760000000000012E-3</v>
      </c>
      <c r="H1116" s="917">
        <f>VLOOKUP($A1116,'Tech Litons'!$A:$I,9,FALSE)</f>
        <v>132</v>
      </c>
      <c r="I1116" s="917" t="str">
        <f>VLOOKUP($A1116,'Tech Litons'!$A:$C,3,0)</f>
        <v>EDF</v>
      </c>
      <c r="J1116" s="918" t="str">
        <f t="shared" si="108"/>
        <v>1352EDF</v>
      </c>
      <c r="K1116" s="919">
        <v>1</v>
      </c>
      <c r="L1116" s="920">
        <f t="shared" si="109"/>
        <v>2293</v>
      </c>
      <c r="M1116" s="920">
        <f t="shared" si="110"/>
        <v>21.957768000000002</v>
      </c>
      <c r="N1116" s="920">
        <f t="shared" si="111"/>
        <v>17.371212121212121</v>
      </c>
      <c r="O1116" s="918" t="str">
        <f t="shared" si="112"/>
        <v>Jan</v>
      </c>
      <c r="P1116" s="921">
        <f t="shared" si="113"/>
        <v>4</v>
      </c>
      <c r="Q1116" s="756"/>
      <c r="R1116" s="756"/>
    </row>
    <row r="1117" spans="1:18" ht="15" hidden="1" customHeight="1">
      <c r="A1117" s="839">
        <v>69988931</v>
      </c>
      <c r="B1117" s="839">
        <v>2904</v>
      </c>
      <c r="C1117" s="906">
        <v>2368</v>
      </c>
      <c r="D1117" s="907">
        <v>46045</v>
      </c>
      <c r="E1117" s="839" t="s">
        <v>363</v>
      </c>
      <c r="F1117" s="839" t="s">
        <v>281</v>
      </c>
      <c r="G1117" s="916">
        <f>VLOOKUP($A1117,'Tech Litons'!$A:$I,8,FALSE)</f>
        <v>1.98E-3</v>
      </c>
      <c r="H1117" s="917">
        <f>VLOOKUP($A1117,'Tech Litons'!$A:$I,9,FALSE)</f>
        <v>176</v>
      </c>
      <c r="I1117" s="917" t="str">
        <f>VLOOKUP($A1117,'Tech Litons'!$A:$C,3,0)</f>
        <v>MG Sticks</v>
      </c>
      <c r="J1117" s="918" t="str">
        <f t="shared" si="108"/>
        <v>2904MG Sticks</v>
      </c>
      <c r="K1117" s="919">
        <v>1</v>
      </c>
      <c r="L1117" s="920">
        <f t="shared" si="109"/>
        <v>2368</v>
      </c>
      <c r="M1117" s="920">
        <f t="shared" si="110"/>
        <v>4.6886400000000004</v>
      </c>
      <c r="N1117" s="920">
        <f t="shared" si="111"/>
        <v>13.454545454545455</v>
      </c>
      <c r="O1117" s="918" t="str">
        <f t="shared" si="112"/>
        <v>Jan</v>
      </c>
      <c r="P1117" s="921">
        <f t="shared" si="113"/>
        <v>4</v>
      </c>
    </row>
    <row r="1118" spans="1:18" ht="15" hidden="1" customHeight="1">
      <c r="A1118" s="839">
        <v>68689251</v>
      </c>
      <c r="B1118" s="839">
        <v>1352</v>
      </c>
      <c r="C1118" s="906">
        <v>2508</v>
      </c>
      <c r="D1118" s="907">
        <v>46045</v>
      </c>
      <c r="E1118" s="839" t="s">
        <v>262</v>
      </c>
      <c r="F1118" s="839" t="s">
        <v>240</v>
      </c>
      <c r="G1118" s="916">
        <f>VLOOKUP($A1118,'Tech Litons'!$A:$I,8,FALSE)</f>
        <v>9.5760000000000012E-3</v>
      </c>
      <c r="H1118" s="917">
        <f>VLOOKUP($A1118,'Tech Litons'!$A:$I,9,FALSE)</f>
        <v>132</v>
      </c>
      <c r="I1118" s="917" t="str">
        <f>VLOOKUP($A1118,'Tech Litons'!$A:$C,3,0)</f>
        <v>EDF</v>
      </c>
      <c r="J1118" s="918" t="str">
        <f t="shared" si="108"/>
        <v>1352EDF</v>
      </c>
      <c r="K1118" s="919">
        <v>1</v>
      </c>
      <c r="L1118" s="920">
        <f t="shared" si="109"/>
        <v>2508</v>
      </c>
      <c r="M1118" s="920">
        <f t="shared" si="110"/>
        <v>24.016608000000002</v>
      </c>
      <c r="N1118" s="920">
        <f t="shared" si="111"/>
        <v>19</v>
      </c>
      <c r="O1118" s="918" t="str">
        <f t="shared" si="112"/>
        <v>Jan</v>
      </c>
      <c r="P1118" s="921">
        <f t="shared" si="113"/>
        <v>4</v>
      </c>
    </row>
    <row r="1119" spans="1:18" ht="15" hidden="1" customHeight="1">
      <c r="A1119" s="839">
        <v>69725082</v>
      </c>
      <c r="B1119" s="839">
        <v>1352</v>
      </c>
      <c r="C1119" s="906">
        <v>2538</v>
      </c>
      <c r="D1119" s="907">
        <v>46045</v>
      </c>
      <c r="E1119" s="839" t="s">
        <v>292</v>
      </c>
      <c r="F1119" s="839" t="s">
        <v>223</v>
      </c>
      <c r="G1119" s="916">
        <f>VLOOKUP($A1119,'Tech Litons'!$A:$I,8,FALSE)</f>
        <v>5.2680000000000001E-3</v>
      </c>
      <c r="H1119" s="917">
        <f>VLOOKUP($A1119,'Tech Litons'!$A:$I,9,FALSE)</f>
        <v>130</v>
      </c>
      <c r="I1119" s="917" t="str">
        <f>VLOOKUP($A1119,'Tech Litons'!$A:$C,3,0)</f>
        <v>PG</v>
      </c>
      <c r="J1119" s="918" t="str">
        <f t="shared" si="108"/>
        <v>1352PG</v>
      </c>
      <c r="K1119" s="919">
        <v>1</v>
      </c>
      <c r="L1119" s="920">
        <f t="shared" si="109"/>
        <v>2538</v>
      </c>
      <c r="M1119" s="920">
        <f t="shared" si="110"/>
        <v>13.370184</v>
      </c>
      <c r="N1119" s="920">
        <f t="shared" si="111"/>
        <v>19.523076923076925</v>
      </c>
      <c r="O1119" s="918" t="str">
        <f t="shared" si="112"/>
        <v>Jan</v>
      </c>
      <c r="P1119" s="921">
        <f t="shared" si="113"/>
        <v>4</v>
      </c>
    </row>
    <row r="1120" spans="1:18" ht="15" hidden="1" customHeight="1">
      <c r="A1120" s="839">
        <v>68851109</v>
      </c>
      <c r="B1120" s="839">
        <v>2904</v>
      </c>
      <c r="C1120" s="906">
        <v>2578</v>
      </c>
      <c r="D1120" s="907">
        <v>46045</v>
      </c>
      <c r="E1120" s="839" t="s">
        <v>297</v>
      </c>
      <c r="F1120" s="839" t="s">
        <v>269</v>
      </c>
      <c r="G1120" s="916">
        <f>VLOOKUP($A1120,'Tech Litons'!$A:$I,8,FALSE)</f>
        <v>8.5199999999999998E-3</v>
      </c>
      <c r="H1120" s="917">
        <f>VLOOKUP($A1120,'Tech Litons'!$A:$I,9,FALSE)</f>
        <v>154</v>
      </c>
      <c r="I1120" s="917" t="str">
        <f>VLOOKUP($A1120,'Tech Litons'!$A:$C,3,0)</f>
        <v>48oz</v>
      </c>
      <c r="J1120" s="918" t="str">
        <f t="shared" si="108"/>
        <v>290448oz</v>
      </c>
      <c r="K1120" s="919">
        <v>1</v>
      </c>
      <c r="L1120" s="920">
        <f t="shared" si="109"/>
        <v>2578</v>
      </c>
      <c r="M1120" s="920">
        <f t="shared" si="110"/>
        <v>21.964559999999999</v>
      </c>
      <c r="N1120" s="920">
        <f t="shared" si="111"/>
        <v>16.740259740259742</v>
      </c>
      <c r="O1120" s="918" t="str">
        <f t="shared" si="112"/>
        <v>Jan</v>
      </c>
      <c r="P1120" s="921">
        <f t="shared" si="113"/>
        <v>4</v>
      </c>
    </row>
    <row r="1121" spans="1:18" ht="15" hidden="1" customHeight="1">
      <c r="A1121" s="839">
        <v>64789261</v>
      </c>
      <c r="B1121" s="839">
        <v>1352</v>
      </c>
      <c r="C1121" s="906">
        <v>2771</v>
      </c>
      <c r="D1121" s="907">
        <v>46045</v>
      </c>
      <c r="E1121" s="839" t="s">
        <v>366</v>
      </c>
      <c r="F1121" s="839" t="s">
        <v>287</v>
      </c>
      <c r="G1121" s="916">
        <f>VLOOKUP($A1121,'Tech Litons'!$A:$I,8,FALSE)</f>
        <v>2.8319999999999999E-3</v>
      </c>
      <c r="H1121" s="917">
        <f>VLOOKUP($A1121,'Tech Litons'!$A:$I,9,FALSE)</f>
        <v>225</v>
      </c>
      <c r="I1121" s="917" t="str">
        <f>VLOOKUP($A1121,'Tech Litons'!$A:$C,3,0)</f>
        <v>MBG</v>
      </c>
      <c r="J1121" s="918" t="str">
        <f t="shared" si="108"/>
        <v>1352MBG</v>
      </c>
      <c r="K1121" s="919">
        <v>1</v>
      </c>
      <c r="L1121" s="920">
        <f t="shared" si="109"/>
        <v>2771</v>
      </c>
      <c r="M1121" s="920">
        <f t="shared" si="110"/>
        <v>7.8474719999999998</v>
      </c>
      <c r="N1121" s="920">
        <f t="shared" si="111"/>
        <v>12.315555555555555</v>
      </c>
      <c r="O1121" s="918" t="str">
        <f t="shared" si="112"/>
        <v>Jan</v>
      </c>
      <c r="P1121" s="921">
        <f t="shared" si="113"/>
        <v>4</v>
      </c>
    </row>
    <row r="1122" spans="1:18" ht="15" hidden="1" customHeight="1">
      <c r="A1122" s="839">
        <v>68741742</v>
      </c>
      <c r="B1122" s="839">
        <v>2904</v>
      </c>
      <c r="C1122" s="906">
        <v>2772</v>
      </c>
      <c r="D1122" s="907">
        <v>46045</v>
      </c>
      <c r="E1122" s="839" t="s">
        <v>288</v>
      </c>
      <c r="F1122" s="839" t="s">
        <v>295</v>
      </c>
      <c r="G1122" s="916">
        <f>VLOOKUP($A1122,'Tech Litons'!$A:$I,8,FALSE)</f>
        <v>4.2560000000000002E-3</v>
      </c>
      <c r="H1122" s="917">
        <f>VLOOKUP($A1122,'Tech Litons'!$A:$I,9,FALSE)</f>
        <v>154</v>
      </c>
      <c r="I1122" s="917" t="str">
        <f>VLOOKUP($A1122,'Tech Litons'!$A:$C,3,0)</f>
        <v>MBG</v>
      </c>
      <c r="J1122" s="918" t="str">
        <f t="shared" si="108"/>
        <v>2904MBG</v>
      </c>
      <c r="K1122" s="919">
        <v>1</v>
      </c>
      <c r="L1122" s="920">
        <f t="shared" si="109"/>
        <v>2772</v>
      </c>
      <c r="M1122" s="920">
        <f t="shared" si="110"/>
        <v>11.797632</v>
      </c>
      <c r="N1122" s="920">
        <f t="shared" si="111"/>
        <v>18</v>
      </c>
      <c r="O1122" s="918" t="str">
        <f t="shared" si="112"/>
        <v>Jan</v>
      </c>
      <c r="P1122" s="921">
        <f t="shared" si="113"/>
        <v>4</v>
      </c>
    </row>
    <row r="1123" spans="1:18" ht="15" hidden="1" customHeight="1">
      <c r="A1123" s="839">
        <v>68851109</v>
      </c>
      <c r="B1123" s="839">
        <v>2904</v>
      </c>
      <c r="C1123" s="906">
        <v>2842</v>
      </c>
      <c r="D1123" s="907">
        <v>46045</v>
      </c>
      <c r="E1123" s="839" t="s">
        <v>297</v>
      </c>
      <c r="F1123" s="839" t="s">
        <v>269</v>
      </c>
      <c r="G1123" s="916">
        <f>VLOOKUP($A1123,'Tech Litons'!$A:$I,8,FALSE)</f>
        <v>8.5199999999999998E-3</v>
      </c>
      <c r="H1123" s="917">
        <f>VLOOKUP($A1123,'Tech Litons'!$A:$I,9,FALSE)</f>
        <v>154</v>
      </c>
      <c r="I1123" s="917" t="str">
        <f>VLOOKUP($A1123,'Tech Litons'!$A:$C,3,0)</f>
        <v>48oz</v>
      </c>
      <c r="J1123" s="918" t="str">
        <f t="shared" si="108"/>
        <v>290448oz</v>
      </c>
      <c r="K1123" s="919">
        <v>1</v>
      </c>
      <c r="L1123" s="920">
        <f t="shared" si="109"/>
        <v>2842</v>
      </c>
      <c r="M1123" s="920">
        <f t="shared" si="110"/>
        <v>24.213840000000001</v>
      </c>
      <c r="N1123" s="920">
        <f t="shared" si="111"/>
        <v>18.454545454545453</v>
      </c>
      <c r="O1123" s="918" t="str">
        <f t="shared" si="112"/>
        <v>Jan</v>
      </c>
      <c r="P1123" s="921">
        <f t="shared" si="113"/>
        <v>4</v>
      </c>
    </row>
    <row r="1124" spans="1:18" ht="15" hidden="1" customHeight="1">
      <c r="A1124" s="839">
        <v>64789261</v>
      </c>
      <c r="B1124" s="839">
        <v>1352</v>
      </c>
      <c r="C1124" s="906">
        <v>2925</v>
      </c>
      <c r="D1124" s="907">
        <v>46045</v>
      </c>
      <c r="E1124" s="839" t="s">
        <v>366</v>
      </c>
      <c r="F1124" s="839" t="s">
        <v>287</v>
      </c>
      <c r="G1124" s="916">
        <f>VLOOKUP($A1124,'Tech Litons'!$A:$I,8,FALSE)</f>
        <v>2.8319999999999999E-3</v>
      </c>
      <c r="H1124" s="917">
        <f>VLOOKUP($A1124,'Tech Litons'!$A:$I,9,FALSE)</f>
        <v>225</v>
      </c>
      <c r="I1124" s="917" t="str">
        <f>VLOOKUP($A1124,'Tech Litons'!$A:$C,3,0)</f>
        <v>MBG</v>
      </c>
      <c r="J1124" s="918" t="str">
        <f t="shared" si="108"/>
        <v>1352MBG</v>
      </c>
      <c r="K1124" s="919">
        <v>1</v>
      </c>
      <c r="L1124" s="920">
        <f t="shared" si="109"/>
        <v>2925</v>
      </c>
      <c r="M1124" s="920">
        <f t="shared" si="110"/>
        <v>8.2835999999999999</v>
      </c>
      <c r="N1124" s="920">
        <f t="shared" si="111"/>
        <v>13</v>
      </c>
      <c r="O1124" s="918" t="str">
        <f t="shared" si="112"/>
        <v>Jan</v>
      </c>
      <c r="P1124" s="921">
        <f t="shared" si="113"/>
        <v>4</v>
      </c>
    </row>
    <row r="1125" spans="1:18" ht="15" hidden="1" customHeight="1">
      <c r="A1125" s="839">
        <v>68689251</v>
      </c>
      <c r="B1125" s="839">
        <v>1352</v>
      </c>
      <c r="C1125" s="906">
        <v>2947</v>
      </c>
      <c r="D1125" s="907">
        <v>46045</v>
      </c>
      <c r="E1125" s="839" t="s">
        <v>262</v>
      </c>
      <c r="F1125" s="839" t="s">
        <v>240</v>
      </c>
      <c r="G1125" s="916">
        <f>VLOOKUP($A1125,'Tech Litons'!$A:$I,8,FALSE)</f>
        <v>9.5760000000000012E-3</v>
      </c>
      <c r="H1125" s="917">
        <f>VLOOKUP($A1125,'Tech Litons'!$A:$I,9,FALSE)</f>
        <v>132</v>
      </c>
      <c r="I1125" s="917" t="str">
        <f>VLOOKUP($A1125,'Tech Litons'!$A:$C,3,0)</f>
        <v>EDF</v>
      </c>
      <c r="J1125" s="918" t="str">
        <f t="shared" si="108"/>
        <v>1352EDF</v>
      </c>
      <c r="K1125" s="919">
        <v>1</v>
      </c>
      <c r="L1125" s="920">
        <f t="shared" si="109"/>
        <v>2947</v>
      </c>
      <c r="M1125" s="920">
        <f t="shared" si="110"/>
        <v>28.220472000000004</v>
      </c>
      <c r="N1125" s="920">
        <f t="shared" si="111"/>
        <v>22.325757575757574</v>
      </c>
      <c r="O1125" s="918" t="str">
        <f t="shared" si="112"/>
        <v>Jan</v>
      </c>
      <c r="P1125" s="921">
        <f t="shared" si="113"/>
        <v>4</v>
      </c>
    </row>
    <row r="1126" spans="1:18" ht="15" hidden="1" customHeight="1">
      <c r="A1126" s="839">
        <v>64874633</v>
      </c>
      <c r="B1126" s="839">
        <v>3910</v>
      </c>
      <c r="C1126" s="906">
        <v>2969</v>
      </c>
      <c r="D1126" s="907">
        <v>46045</v>
      </c>
      <c r="E1126" s="839" t="s">
        <v>341</v>
      </c>
      <c r="F1126" s="839" t="s">
        <v>342</v>
      </c>
      <c r="G1126" s="916">
        <f>VLOOKUP($A1126,'Tech Litons'!$A:$I,8,FALSE)</f>
        <v>3.192E-3</v>
      </c>
      <c r="H1126" s="917">
        <f>VLOOKUP($A1126,'Tech Litons'!$A:$I,9,FALSE)</f>
        <v>280</v>
      </c>
      <c r="I1126" s="917" t="str">
        <f>VLOOKUP($A1126,'Tech Litons'!$A:$C,3,0)</f>
        <v>ESS</v>
      </c>
      <c r="J1126" s="918" t="str">
        <f t="shared" si="108"/>
        <v>3910ESS</v>
      </c>
      <c r="K1126" s="919">
        <v>1</v>
      </c>
      <c r="L1126" s="920">
        <f t="shared" si="109"/>
        <v>2969</v>
      </c>
      <c r="M1126" s="920">
        <f t="shared" si="110"/>
        <v>9.4770479999999999</v>
      </c>
      <c r="N1126" s="920">
        <f t="shared" si="111"/>
        <v>10.603571428571428</v>
      </c>
      <c r="O1126" s="918" t="str">
        <f t="shared" si="112"/>
        <v>Jan</v>
      </c>
      <c r="P1126" s="921">
        <f t="shared" si="113"/>
        <v>4</v>
      </c>
    </row>
    <row r="1127" spans="1:18" ht="15" hidden="1" customHeight="1">
      <c r="A1127" s="839">
        <v>64341968</v>
      </c>
      <c r="B1127" s="839">
        <v>1352</v>
      </c>
      <c r="C1127" s="906">
        <v>2992</v>
      </c>
      <c r="D1127" s="907">
        <v>46045</v>
      </c>
      <c r="E1127" s="839" t="s">
        <v>322</v>
      </c>
      <c r="F1127" s="839" t="s">
        <v>261</v>
      </c>
      <c r="G1127" s="916">
        <f>VLOOKUP($A1127,'Tech Litons'!$A:$I,8,FALSE)</f>
        <v>8.5199999999999998E-3</v>
      </c>
      <c r="H1127" s="917">
        <f>VLOOKUP($A1127,'Tech Litons'!$A:$I,9,FALSE)</f>
        <v>176</v>
      </c>
      <c r="I1127" s="917" t="str">
        <f>VLOOKUP($A1127,'Tech Litons'!$A:$C,3,0)</f>
        <v>48oz</v>
      </c>
      <c r="J1127" s="918" t="str">
        <f t="shared" si="108"/>
        <v>135248oz</v>
      </c>
      <c r="K1127" s="919">
        <v>1</v>
      </c>
      <c r="L1127" s="920">
        <f t="shared" si="109"/>
        <v>2992</v>
      </c>
      <c r="M1127" s="920">
        <f t="shared" si="110"/>
        <v>25.49184</v>
      </c>
      <c r="N1127" s="920">
        <f t="shared" si="111"/>
        <v>17</v>
      </c>
      <c r="O1127" s="918" t="str">
        <f t="shared" si="112"/>
        <v>Jan</v>
      </c>
      <c r="P1127" s="921">
        <f t="shared" si="113"/>
        <v>4</v>
      </c>
    </row>
    <row r="1128" spans="1:18" ht="15" hidden="1" customHeight="1">
      <c r="A1128" s="839">
        <v>69717803</v>
      </c>
      <c r="B1128" s="839">
        <v>2904</v>
      </c>
      <c r="C1128" s="906">
        <v>3160</v>
      </c>
      <c r="D1128" s="907">
        <v>46045</v>
      </c>
      <c r="E1128" s="839" t="s">
        <v>362</v>
      </c>
      <c r="F1128" s="839" t="s">
        <v>231</v>
      </c>
      <c r="G1128" s="916">
        <f>VLOOKUP($A1128,'Tech Litons'!$A:$I,8,FALSE)</f>
        <v>4.2560000000000002E-3</v>
      </c>
      <c r="H1128" s="917">
        <f>VLOOKUP($A1128,'Tech Litons'!$A:$I,9,FALSE)</f>
        <v>143</v>
      </c>
      <c r="I1128" s="917" t="str">
        <f>VLOOKUP($A1128,'Tech Litons'!$A:$C,3,0)</f>
        <v>MG Sticks</v>
      </c>
      <c r="J1128" s="918" t="str">
        <f t="shared" si="108"/>
        <v>2904MG Sticks</v>
      </c>
      <c r="K1128" s="919">
        <v>1</v>
      </c>
      <c r="L1128" s="920">
        <f t="shared" si="109"/>
        <v>3160</v>
      </c>
      <c r="M1128" s="920">
        <f t="shared" si="110"/>
        <v>13.448960000000001</v>
      </c>
      <c r="N1128" s="920">
        <f t="shared" si="111"/>
        <v>22.097902097902097</v>
      </c>
      <c r="O1128" s="918" t="str">
        <f t="shared" si="112"/>
        <v>Jan</v>
      </c>
      <c r="P1128" s="921">
        <f t="shared" si="113"/>
        <v>4</v>
      </c>
    </row>
    <row r="1129" spans="1:18" ht="15" hidden="1" customHeight="1">
      <c r="A1129" s="839">
        <v>69564623</v>
      </c>
      <c r="B1129" s="839">
        <v>2904</v>
      </c>
      <c r="C1129" s="906">
        <v>3168</v>
      </c>
      <c r="D1129" s="907">
        <v>46045</v>
      </c>
      <c r="E1129" s="839" t="s">
        <v>378</v>
      </c>
      <c r="F1129" s="839" t="s">
        <v>271</v>
      </c>
      <c r="G1129" s="916">
        <f>VLOOKUP($A1129,'Tech Litons'!$A:$I,8,FALSE)</f>
        <v>8.5199999999999998E-3</v>
      </c>
      <c r="H1129" s="917">
        <f>VLOOKUP($A1129,'Tech Litons'!$A:$I,9,FALSE)</f>
        <v>176</v>
      </c>
      <c r="I1129" s="917" t="str">
        <f>VLOOKUP($A1129,'Tech Litons'!$A:$C,3,0)</f>
        <v>48oz</v>
      </c>
      <c r="J1129" s="918" t="str">
        <f t="shared" si="108"/>
        <v>290448oz</v>
      </c>
      <c r="K1129" s="919">
        <v>1</v>
      </c>
      <c r="L1129" s="920">
        <f t="shared" si="109"/>
        <v>3168</v>
      </c>
      <c r="M1129" s="920">
        <f t="shared" si="110"/>
        <v>26.99136</v>
      </c>
      <c r="N1129" s="920">
        <f t="shared" si="111"/>
        <v>18</v>
      </c>
      <c r="O1129" s="918" t="str">
        <f t="shared" si="112"/>
        <v>Jan</v>
      </c>
      <c r="P1129" s="921">
        <f t="shared" si="113"/>
        <v>4</v>
      </c>
    </row>
    <row r="1130" spans="1:18" ht="15" hidden="1" customHeight="1">
      <c r="A1130" s="839">
        <v>68710285</v>
      </c>
      <c r="B1130" s="839">
        <v>1352</v>
      </c>
      <c r="C1130" s="906">
        <v>3170</v>
      </c>
      <c r="D1130" s="907">
        <v>46045</v>
      </c>
      <c r="E1130" s="839" t="s">
        <v>367</v>
      </c>
      <c r="F1130" s="839" t="s">
        <v>242</v>
      </c>
      <c r="G1130" s="916">
        <f>VLOOKUP($A1130,'Tech Litons'!$A:$I,8,FALSE)</f>
        <v>9.5760000000000012E-3</v>
      </c>
      <c r="H1130" s="917">
        <f>VLOOKUP($A1130,'Tech Litons'!$A:$I,9,FALSE)</f>
        <v>132</v>
      </c>
      <c r="I1130" s="917" t="str">
        <f>VLOOKUP($A1130,'Tech Litons'!$A:$C,3,0)</f>
        <v>EDF</v>
      </c>
      <c r="J1130" s="918" t="str">
        <f t="shared" si="108"/>
        <v>1352EDF</v>
      </c>
      <c r="K1130" s="919">
        <v>1</v>
      </c>
      <c r="L1130" s="920">
        <f t="shared" si="109"/>
        <v>3170</v>
      </c>
      <c r="M1130" s="920">
        <f t="shared" si="110"/>
        <v>30.355920000000005</v>
      </c>
      <c r="N1130" s="920">
        <f t="shared" si="111"/>
        <v>24.015151515151516</v>
      </c>
      <c r="O1130" s="918" t="str">
        <f t="shared" si="112"/>
        <v>Jan</v>
      </c>
      <c r="P1130" s="921">
        <f t="shared" si="113"/>
        <v>4</v>
      </c>
    </row>
    <row r="1131" spans="1:18" ht="15" hidden="1" customHeight="1">
      <c r="A1131" s="839">
        <v>68741742</v>
      </c>
      <c r="B1131" s="839">
        <v>1352</v>
      </c>
      <c r="C1131" s="906">
        <v>3172</v>
      </c>
      <c r="D1131" s="907">
        <v>46045</v>
      </c>
      <c r="E1131" s="839" t="s">
        <v>288</v>
      </c>
      <c r="F1131" s="839" t="s">
        <v>289</v>
      </c>
      <c r="G1131" s="916">
        <f>VLOOKUP($A1131,'Tech Litons'!$A:$I,8,FALSE)</f>
        <v>4.2560000000000002E-3</v>
      </c>
      <c r="H1131" s="917">
        <f>VLOOKUP($A1131,'Tech Litons'!$A:$I,9,FALSE)</f>
        <v>154</v>
      </c>
      <c r="I1131" s="917" t="str">
        <f>VLOOKUP($A1131,'Tech Litons'!$A:$C,3,0)</f>
        <v>MBG</v>
      </c>
      <c r="J1131" s="918" t="str">
        <f t="shared" si="108"/>
        <v>1352MBG</v>
      </c>
      <c r="K1131" s="919">
        <v>1</v>
      </c>
      <c r="L1131" s="920">
        <f t="shared" si="109"/>
        <v>3172</v>
      </c>
      <c r="M1131" s="920">
        <f t="shared" si="110"/>
        <v>13.500032000000001</v>
      </c>
      <c r="N1131" s="920">
        <f t="shared" si="111"/>
        <v>20.597402597402599</v>
      </c>
      <c r="O1131" s="918" t="str">
        <f t="shared" si="112"/>
        <v>Jan</v>
      </c>
      <c r="P1131" s="921">
        <f t="shared" si="113"/>
        <v>4</v>
      </c>
    </row>
    <row r="1132" spans="1:18" ht="15" hidden="1" customHeight="1">
      <c r="A1132" s="839">
        <v>68817793</v>
      </c>
      <c r="B1132" s="839">
        <v>1352</v>
      </c>
      <c r="C1132" s="906">
        <v>3298</v>
      </c>
      <c r="D1132" s="907">
        <v>46045</v>
      </c>
      <c r="E1132" s="839" t="s">
        <v>353</v>
      </c>
      <c r="F1132" s="839" t="s">
        <v>266</v>
      </c>
      <c r="G1132" s="916">
        <f>VLOOKUP($A1132,'Tech Litons'!$A:$I,8,FALSE)</f>
        <v>8.5199999999999998E-3</v>
      </c>
      <c r="H1132" s="917">
        <f>VLOOKUP($A1132,'Tech Litons'!$A:$I,9,FALSE)</f>
        <v>176</v>
      </c>
      <c r="I1132" s="917" t="str">
        <f>VLOOKUP($A1132,'Tech Litons'!$A:$C,3,0)</f>
        <v>48oz</v>
      </c>
      <c r="J1132" s="918" t="str">
        <f t="shared" si="108"/>
        <v>135248oz</v>
      </c>
      <c r="K1132" s="919">
        <v>1</v>
      </c>
      <c r="L1132" s="920">
        <f t="shared" si="109"/>
        <v>3298</v>
      </c>
      <c r="M1132" s="920">
        <f t="shared" si="110"/>
        <v>28.098959999999998</v>
      </c>
      <c r="N1132" s="920">
        <f t="shared" si="111"/>
        <v>18.738636363636363</v>
      </c>
      <c r="O1132" s="918" t="str">
        <f t="shared" si="112"/>
        <v>Jan</v>
      </c>
      <c r="P1132" s="921">
        <f t="shared" si="113"/>
        <v>4</v>
      </c>
      <c r="Q1132" s="756"/>
      <c r="R1132" s="756"/>
    </row>
    <row r="1133" spans="1:18" ht="15" hidden="1" customHeight="1">
      <c r="A1133" s="839">
        <v>68850684</v>
      </c>
      <c r="B1133" s="839">
        <v>1352</v>
      </c>
      <c r="C1133" s="906">
        <v>3432</v>
      </c>
      <c r="D1133" s="907">
        <v>46045</v>
      </c>
      <c r="E1133" s="839" t="s">
        <v>381</v>
      </c>
      <c r="F1133" s="839" t="s">
        <v>264</v>
      </c>
      <c r="G1133" s="916">
        <f>VLOOKUP($A1133,'Tech Litons'!$A:$I,8,FALSE)</f>
        <v>8.5199999999999998E-3</v>
      </c>
      <c r="H1133" s="917">
        <f>VLOOKUP($A1133,'Tech Litons'!$A:$I,9,FALSE)</f>
        <v>176</v>
      </c>
      <c r="I1133" s="917" t="str">
        <f>VLOOKUP($A1133,'Tech Litons'!$A:$C,3,0)</f>
        <v>48oz</v>
      </c>
      <c r="J1133" s="918" t="str">
        <f t="shared" si="108"/>
        <v>135248oz</v>
      </c>
      <c r="K1133" s="919">
        <v>1</v>
      </c>
      <c r="L1133" s="920">
        <f t="shared" si="109"/>
        <v>3432</v>
      </c>
      <c r="M1133" s="920">
        <f t="shared" si="110"/>
        <v>29.240639999999999</v>
      </c>
      <c r="N1133" s="920">
        <f t="shared" si="111"/>
        <v>19.5</v>
      </c>
      <c r="O1133" s="918" t="str">
        <f t="shared" si="112"/>
        <v>Jan</v>
      </c>
      <c r="P1133" s="921">
        <f t="shared" si="113"/>
        <v>4</v>
      </c>
    </row>
    <row r="1134" spans="1:18" ht="15" hidden="1" customHeight="1">
      <c r="A1134" s="839">
        <v>69991925</v>
      </c>
      <c r="B1134" s="839">
        <v>2904</v>
      </c>
      <c r="C1134" s="906">
        <v>3723</v>
      </c>
      <c r="D1134" s="907">
        <v>46045</v>
      </c>
      <c r="E1134" s="839" t="s">
        <v>379</v>
      </c>
      <c r="F1134" s="839" t="s">
        <v>283</v>
      </c>
      <c r="G1134" s="916">
        <f>VLOOKUP($A1134,'Tech Litons'!$A:$I,8,FALSE)</f>
        <v>2.0400000000000001E-3</v>
      </c>
      <c r="H1134" s="917">
        <f>VLOOKUP($A1134,'Tech Litons'!$A:$I,9,FALSE)</f>
        <v>210</v>
      </c>
      <c r="I1134" s="917" t="str">
        <f>VLOOKUP($A1134,'Tech Litons'!$A:$C,3,0)</f>
        <v>MG Sticks</v>
      </c>
      <c r="J1134" s="918" t="str">
        <f t="shared" si="108"/>
        <v>2904MG Sticks</v>
      </c>
      <c r="K1134" s="919">
        <v>1</v>
      </c>
      <c r="L1134" s="920">
        <f t="shared" si="109"/>
        <v>3723</v>
      </c>
      <c r="M1134" s="920">
        <f t="shared" si="110"/>
        <v>7.5949200000000001</v>
      </c>
      <c r="N1134" s="920">
        <f t="shared" si="111"/>
        <v>17.728571428571428</v>
      </c>
      <c r="O1134" s="918" t="str">
        <f t="shared" si="112"/>
        <v>Jan</v>
      </c>
      <c r="P1134" s="921">
        <f t="shared" si="113"/>
        <v>4</v>
      </c>
    </row>
    <row r="1135" spans="1:18" ht="15" hidden="1" customHeight="1">
      <c r="A1135" s="839">
        <v>84139000</v>
      </c>
      <c r="B1135" s="839">
        <v>5914</v>
      </c>
      <c r="C1135" s="906">
        <v>4475</v>
      </c>
      <c r="D1135" s="907">
        <v>46045</v>
      </c>
      <c r="E1135" s="839" t="s">
        <v>373</v>
      </c>
      <c r="F1135" s="839" t="s">
        <v>279</v>
      </c>
      <c r="G1135" s="916">
        <f>VLOOKUP($A1135,'Tech Litons'!$A:$I,8,FALSE)</f>
        <v>9.0848256361922702E-3</v>
      </c>
      <c r="H1135" s="917">
        <f>VLOOKUP($A1135,'Tech Litons'!$A:$I,9,FALSE)</f>
        <v>125</v>
      </c>
      <c r="I1135" s="917" t="str">
        <f>VLOOKUP($A1135,'Tech Litons'!$A:$C,3,0)</f>
        <v>2.4 Gal</v>
      </c>
      <c r="J1135" s="918" t="str">
        <f t="shared" si="108"/>
        <v>59142.4 Gal</v>
      </c>
      <c r="K1135" s="919">
        <v>1</v>
      </c>
      <c r="L1135" s="920">
        <f t="shared" si="109"/>
        <v>4475</v>
      </c>
      <c r="M1135" s="920">
        <f t="shared" si="110"/>
        <v>40.654594721960407</v>
      </c>
      <c r="N1135" s="920">
        <f t="shared" si="111"/>
        <v>35.799999999999997</v>
      </c>
      <c r="O1135" s="918" t="str">
        <f t="shared" si="112"/>
        <v>Jan</v>
      </c>
      <c r="P1135" s="921">
        <f t="shared" si="113"/>
        <v>4</v>
      </c>
    </row>
    <row r="1136" spans="1:18" ht="15" hidden="1" customHeight="1">
      <c r="A1136" s="839">
        <v>68689251</v>
      </c>
      <c r="B1136" s="839">
        <v>1352</v>
      </c>
      <c r="C1136" s="906">
        <v>4660</v>
      </c>
      <c r="D1136" s="907">
        <v>46045</v>
      </c>
      <c r="E1136" s="839" t="s">
        <v>262</v>
      </c>
      <c r="F1136" s="839" t="s">
        <v>241</v>
      </c>
      <c r="G1136" s="916">
        <f>VLOOKUP($A1136,'Tech Litons'!$A:$I,8,FALSE)</f>
        <v>9.5760000000000012E-3</v>
      </c>
      <c r="H1136" s="917">
        <f>VLOOKUP($A1136,'Tech Litons'!$A:$I,9,FALSE)</f>
        <v>132</v>
      </c>
      <c r="I1136" s="917" t="str">
        <f>VLOOKUP($A1136,'Tech Litons'!$A:$C,3,0)</f>
        <v>EDF</v>
      </c>
      <c r="J1136" s="918" t="str">
        <f t="shared" si="108"/>
        <v>1352EDF</v>
      </c>
      <c r="K1136" s="919">
        <v>1</v>
      </c>
      <c r="L1136" s="920">
        <f t="shared" si="109"/>
        <v>4660</v>
      </c>
      <c r="M1136" s="920">
        <f t="shared" si="110"/>
        <v>44.624160000000003</v>
      </c>
      <c r="N1136" s="920">
        <f t="shared" si="111"/>
        <v>35.303030303030305</v>
      </c>
      <c r="O1136" s="918" t="str">
        <f t="shared" si="112"/>
        <v>Jan</v>
      </c>
      <c r="P1136" s="921">
        <f t="shared" si="113"/>
        <v>4</v>
      </c>
    </row>
    <row r="1137" spans="1:18" ht="15" hidden="1" customHeight="1">
      <c r="A1137" s="839">
        <v>69988931</v>
      </c>
      <c r="B1137" s="839">
        <v>2904</v>
      </c>
      <c r="C1137" s="906">
        <v>4945</v>
      </c>
      <c r="D1137" s="907">
        <v>46045</v>
      </c>
      <c r="E1137" s="839" t="s">
        <v>363</v>
      </c>
      <c r="F1137" s="839" t="s">
        <v>281</v>
      </c>
      <c r="G1137" s="916">
        <f>VLOOKUP($A1137,'Tech Litons'!$A:$I,8,FALSE)</f>
        <v>1.98E-3</v>
      </c>
      <c r="H1137" s="917">
        <f>VLOOKUP($A1137,'Tech Litons'!$A:$I,9,FALSE)</f>
        <v>176</v>
      </c>
      <c r="I1137" s="917" t="str">
        <f>VLOOKUP($A1137,'Tech Litons'!$A:$C,3,0)</f>
        <v>MG Sticks</v>
      </c>
      <c r="J1137" s="918" t="str">
        <f t="shared" si="108"/>
        <v>2904MG Sticks</v>
      </c>
      <c r="K1137" s="919">
        <v>1</v>
      </c>
      <c r="L1137" s="920">
        <f t="shared" si="109"/>
        <v>4945</v>
      </c>
      <c r="M1137" s="920">
        <f t="shared" si="110"/>
        <v>9.7911000000000001</v>
      </c>
      <c r="N1137" s="920">
        <f t="shared" si="111"/>
        <v>28.09659090909091</v>
      </c>
      <c r="O1137" s="918" t="str">
        <f t="shared" si="112"/>
        <v>Jan</v>
      </c>
      <c r="P1137" s="921">
        <f t="shared" si="113"/>
        <v>4</v>
      </c>
    </row>
    <row r="1138" spans="1:18" ht="15" hidden="1" customHeight="1">
      <c r="A1138" s="839">
        <v>65431090</v>
      </c>
      <c r="B1138" s="839">
        <v>2904</v>
      </c>
      <c r="C1138" s="906">
        <v>4996</v>
      </c>
      <c r="D1138" s="907">
        <v>46045</v>
      </c>
      <c r="E1138" s="839" t="s">
        <v>375</v>
      </c>
      <c r="F1138" s="839" t="s">
        <v>275</v>
      </c>
      <c r="G1138" s="916">
        <f>VLOOKUP($A1138,'Tech Litons'!$A:$I,8,FALSE)</f>
        <v>3.7839999999999996E-3</v>
      </c>
      <c r="H1138" s="917">
        <f>VLOOKUP($A1138,'Tech Litons'!$A:$I,9,FALSE)</f>
        <v>255</v>
      </c>
      <c r="I1138" s="917" t="str">
        <f>VLOOKUP($A1138,'Tech Litons'!$A:$C,3,0)</f>
        <v>Talenti</v>
      </c>
      <c r="J1138" s="918" t="str">
        <f t="shared" si="108"/>
        <v>2904Talenti</v>
      </c>
      <c r="K1138" s="919">
        <v>1</v>
      </c>
      <c r="L1138" s="920">
        <f t="shared" si="109"/>
        <v>4996</v>
      </c>
      <c r="M1138" s="920">
        <f t="shared" si="110"/>
        <v>18.904863999999996</v>
      </c>
      <c r="N1138" s="920">
        <f t="shared" si="111"/>
        <v>19.592156862745099</v>
      </c>
      <c r="O1138" s="918" t="str">
        <f t="shared" si="112"/>
        <v>Jan</v>
      </c>
      <c r="P1138" s="921">
        <f t="shared" si="113"/>
        <v>4</v>
      </c>
    </row>
    <row r="1139" spans="1:18" ht="15" hidden="1" customHeight="1">
      <c r="A1139" s="839">
        <v>68354590</v>
      </c>
      <c r="B1139" s="839">
        <v>2904</v>
      </c>
      <c r="C1139" s="906">
        <v>4999</v>
      </c>
      <c r="D1139" s="907">
        <v>46045</v>
      </c>
      <c r="E1139" s="839" t="s">
        <v>376</v>
      </c>
      <c r="F1139" s="839" t="s">
        <v>40</v>
      </c>
      <c r="G1139" s="916">
        <f>VLOOKUP($A1139,'Tech Litons'!$A:$I,8,FALSE)</f>
        <v>3.5999999999999999E-3</v>
      </c>
      <c r="H1139" s="917">
        <f>VLOOKUP($A1139,'Tech Litons'!$A:$I,9,FALSE)</f>
        <v>240</v>
      </c>
      <c r="I1139" s="917" t="str">
        <f>VLOOKUP($A1139,'Tech Litons'!$A:$C,3,0)</f>
        <v>Topped</v>
      </c>
      <c r="J1139" s="918" t="str">
        <f t="shared" si="108"/>
        <v>2904Topped</v>
      </c>
      <c r="K1139" s="919">
        <v>1</v>
      </c>
      <c r="L1139" s="920">
        <f t="shared" si="109"/>
        <v>4999</v>
      </c>
      <c r="M1139" s="920">
        <f t="shared" si="110"/>
        <v>17.996400000000001</v>
      </c>
      <c r="N1139" s="920">
        <f t="shared" si="111"/>
        <v>20.829166666666666</v>
      </c>
      <c r="O1139" s="918" t="str">
        <f t="shared" si="112"/>
        <v>Jan</v>
      </c>
      <c r="P1139" s="921">
        <f t="shared" si="113"/>
        <v>4</v>
      </c>
    </row>
    <row r="1140" spans="1:18" ht="15" hidden="1" customHeight="1">
      <c r="A1140" s="839">
        <v>84144598</v>
      </c>
      <c r="B1140" s="839">
        <v>2904</v>
      </c>
      <c r="C1140" s="906">
        <v>5339</v>
      </c>
      <c r="D1140" s="907">
        <v>46045</v>
      </c>
      <c r="E1140" s="839" t="s">
        <v>364</v>
      </c>
      <c r="F1140" s="839" t="s">
        <v>299</v>
      </c>
      <c r="G1140" s="916">
        <f>VLOOKUP($A1140,'Tech Litons'!$A:$I,8,FALSE)</f>
        <v>3.7853439999999999E-3</v>
      </c>
      <c r="H1140" s="917">
        <f>VLOOKUP($A1140,'Tech Litons'!$A:$I,9,FALSE)</f>
        <v>240</v>
      </c>
      <c r="I1140" s="917" t="str">
        <f>VLOOKUP($A1140,'Tech Litons'!$A:$C,3,0)</f>
        <v>BJ PTS</v>
      </c>
      <c r="J1140" s="918" t="str">
        <f t="shared" si="108"/>
        <v>2904BJ PTS</v>
      </c>
      <c r="K1140" s="919">
        <v>1</v>
      </c>
      <c r="L1140" s="920">
        <f t="shared" si="109"/>
        <v>5339</v>
      </c>
      <c r="M1140" s="920">
        <f t="shared" si="110"/>
        <v>20.209951616000001</v>
      </c>
      <c r="N1140" s="920">
        <f t="shared" si="111"/>
        <v>22.245833333333334</v>
      </c>
      <c r="O1140" s="918" t="str">
        <f t="shared" si="112"/>
        <v>Jan</v>
      </c>
      <c r="P1140" s="921">
        <f t="shared" si="113"/>
        <v>4</v>
      </c>
    </row>
    <row r="1141" spans="1:18" ht="15" hidden="1" customHeight="1">
      <c r="A1141" s="839">
        <v>68930545</v>
      </c>
      <c r="B1141" s="839">
        <v>1352</v>
      </c>
      <c r="C1141" s="906">
        <v>6014</v>
      </c>
      <c r="D1141" s="907">
        <v>46045</v>
      </c>
      <c r="E1141" s="839" t="s">
        <v>349</v>
      </c>
      <c r="F1141" s="839" t="s">
        <v>290</v>
      </c>
      <c r="G1141" s="916">
        <f>VLOOKUP($A1141,'Tech Litons'!$A:$I,8,FALSE)</f>
        <v>8.5199999999999998E-3</v>
      </c>
      <c r="H1141" s="917">
        <f>VLOOKUP($A1141,'Tech Litons'!$A:$I,9,FALSE)</f>
        <v>176</v>
      </c>
      <c r="I1141" s="917" t="str">
        <f>VLOOKUP($A1141,'Tech Litons'!$A:$C,3,0)</f>
        <v>48oz</v>
      </c>
      <c r="J1141" s="918" t="str">
        <f t="shared" si="108"/>
        <v>135248oz</v>
      </c>
      <c r="K1141" s="919">
        <v>1</v>
      </c>
      <c r="L1141" s="920">
        <f t="shared" si="109"/>
        <v>6014</v>
      </c>
      <c r="M1141" s="920">
        <f t="shared" si="110"/>
        <v>51.239280000000001</v>
      </c>
      <c r="N1141" s="920">
        <f t="shared" si="111"/>
        <v>34.170454545454547</v>
      </c>
      <c r="O1141" s="918" t="str">
        <f t="shared" si="112"/>
        <v>Jan</v>
      </c>
      <c r="P1141" s="921">
        <f t="shared" si="113"/>
        <v>4</v>
      </c>
    </row>
    <row r="1142" spans="1:18" ht="15" hidden="1" customHeight="1">
      <c r="A1142" s="839">
        <v>68860662</v>
      </c>
      <c r="B1142" s="839">
        <v>2904</v>
      </c>
      <c r="C1142" s="906">
        <v>6120</v>
      </c>
      <c r="D1142" s="907">
        <v>46045</v>
      </c>
      <c r="E1142" s="839" t="s">
        <v>411</v>
      </c>
      <c r="F1142" s="839" t="s">
        <v>277</v>
      </c>
      <c r="G1142" s="916">
        <f>VLOOKUP($A1142,'Tech Litons'!$A:$I,8,FALSE)</f>
        <v>3.7839999999999996E-3</v>
      </c>
      <c r="H1142" s="917">
        <f>VLOOKUP($A1142,'Tech Litons'!$A:$I,9,FALSE)</f>
        <v>255</v>
      </c>
      <c r="I1142" s="917" t="str">
        <f>VLOOKUP($A1142,'Tech Litons'!$A:$C,3,0)</f>
        <v>Talenti</v>
      </c>
      <c r="J1142" s="918" t="str">
        <f t="shared" si="108"/>
        <v>2904Talenti</v>
      </c>
      <c r="K1142" s="919">
        <v>1</v>
      </c>
      <c r="L1142" s="920">
        <f t="shared" si="109"/>
        <v>6120</v>
      </c>
      <c r="M1142" s="920">
        <f t="shared" si="110"/>
        <v>23.158079999999998</v>
      </c>
      <c r="N1142" s="920">
        <f t="shared" si="111"/>
        <v>24</v>
      </c>
      <c r="O1142" s="918" t="str">
        <f t="shared" si="112"/>
        <v>Jan</v>
      </c>
      <c r="P1142" s="921">
        <f t="shared" si="113"/>
        <v>4</v>
      </c>
    </row>
    <row r="1143" spans="1:18" ht="15" hidden="1" customHeight="1">
      <c r="A1143" s="839">
        <v>64958128</v>
      </c>
      <c r="B1143" s="839">
        <v>2904</v>
      </c>
      <c r="C1143" s="906">
        <v>6600</v>
      </c>
      <c r="D1143" s="907">
        <v>46045</v>
      </c>
      <c r="E1143" s="839" t="s">
        <v>235</v>
      </c>
      <c r="F1143" s="839" t="s">
        <v>234</v>
      </c>
      <c r="G1143" s="916">
        <f>VLOOKUP($A1143,'Tech Litons'!$A:$I,8,FALSE)</f>
        <v>3.3119999999999998E-3</v>
      </c>
      <c r="H1143" s="917">
        <f>VLOOKUP($A1143,'Tech Litons'!$A:$I,9,FALSE)</f>
        <v>165</v>
      </c>
      <c r="I1143" s="917" t="str">
        <f>VLOOKUP($A1143,'Tech Litons'!$A:$C,3,0)</f>
        <v>Yasso Sticks</v>
      </c>
      <c r="J1143" s="918" t="str">
        <f t="shared" si="108"/>
        <v>2904Yasso Sticks</v>
      </c>
      <c r="K1143" s="919">
        <v>1</v>
      </c>
      <c r="L1143" s="920">
        <f t="shared" si="109"/>
        <v>6600</v>
      </c>
      <c r="M1143" s="920">
        <f t="shared" si="110"/>
        <v>21.859199999999998</v>
      </c>
      <c r="N1143" s="920">
        <f t="shared" si="111"/>
        <v>40</v>
      </c>
      <c r="O1143" s="918" t="str">
        <f t="shared" si="112"/>
        <v>Jan</v>
      </c>
      <c r="P1143" s="921">
        <f t="shared" si="113"/>
        <v>4</v>
      </c>
    </row>
    <row r="1144" spans="1:18" ht="15" hidden="1" customHeight="1">
      <c r="A1144" s="839">
        <v>69991925</v>
      </c>
      <c r="B1144" s="839">
        <v>2904</v>
      </c>
      <c r="C1144" s="906">
        <v>7282</v>
      </c>
      <c r="D1144" s="907">
        <v>46045</v>
      </c>
      <c r="E1144" s="839" t="s">
        <v>379</v>
      </c>
      <c r="F1144" s="839" t="s">
        <v>283</v>
      </c>
      <c r="G1144" s="916">
        <f>VLOOKUP($A1144,'Tech Litons'!$A:$I,8,FALSE)</f>
        <v>2.0400000000000001E-3</v>
      </c>
      <c r="H1144" s="917">
        <f>VLOOKUP($A1144,'Tech Litons'!$A:$I,9,FALSE)</f>
        <v>210</v>
      </c>
      <c r="I1144" s="917" t="str">
        <f>VLOOKUP($A1144,'Tech Litons'!$A:$C,3,0)</f>
        <v>MG Sticks</v>
      </c>
      <c r="J1144" s="918" t="str">
        <f t="shared" si="108"/>
        <v>2904MG Sticks</v>
      </c>
      <c r="K1144" s="919">
        <v>1</v>
      </c>
      <c r="L1144" s="920">
        <f t="shared" si="109"/>
        <v>7282</v>
      </c>
      <c r="M1144" s="920">
        <f t="shared" si="110"/>
        <v>14.85528</v>
      </c>
      <c r="N1144" s="920">
        <f t="shared" si="111"/>
        <v>34.676190476190477</v>
      </c>
      <c r="O1144" s="918" t="str">
        <f t="shared" si="112"/>
        <v>Jan</v>
      </c>
      <c r="P1144" s="921">
        <f t="shared" si="113"/>
        <v>4</v>
      </c>
    </row>
    <row r="1145" spans="1:18" ht="15" hidden="1" customHeight="1">
      <c r="A1145" s="839">
        <v>68817793</v>
      </c>
      <c r="B1145" s="839">
        <v>1352</v>
      </c>
      <c r="C1145" s="906">
        <v>8033</v>
      </c>
      <c r="D1145" s="907">
        <v>46045</v>
      </c>
      <c r="E1145" s="839" t="s">
        <v>353</v>
      </c>
      <c r="F1145" s="839" t="s">
        <v>266</v>
      </c>
      <c r="G1145" s="916">
        <f>VLOOKUP($A1145,'Tech Litons'!$A:$I,8,FALSE)</f>
        <v>8.5199999999999998E-3</v>
      </c>
      <c r="H1145" s="917">
        <f>VLOOKUP($A1145,'Tech Litons'!$A:$I,9,FALSE)</f>
        <v>176</v>
      </c>
      <c r="I1145" s="917" t="str">
        <f>VLOOKUP($A1145,'Tech Litons'!$A:$C,3,0)</f>
        <v>48oz</v>
      </c>
      <c r="J1145" s="918" t="str">
        <f t="shared" si="108"/>
        <v>135248oz</v>
      </c>
      <c r="K1145" s="919">
        <v>1</v>
      </c>
      <c r="L1145" s="920">
        <f t="shared" si="109"/>
        <v>8033</v>
      </c>
      <c r="M1145" s="920">
        <f t="shared" si="110"/>
        <v>68.441159999999996</v>
      </c>
      <c r="N1145" s="920">
        <f t="shared" si="111"/>
        <v>45.642045454545453</v>
      </c>
      <c r="O1145" s="918" t="str">
        <f t="shared" si="112"/>
        <v>Jan</v>
      </c>
      <c r="P1145" s="921">
        <f t="shared" si="113"/>
        <v>4</v>
      </c>
    </row>
    <row r="1146" spans="1:18" ht="15" hidden="1" customHeight="1">
      <c r="A1146" s="839">
        <v>64341968</v>
      </c>
      <c r="B1146" s="839">
        <v>1352</v>
      </c>
      <c r="C1146" s="906">
        <v>8058</v>
      </c>
      <c r="D1146" s="907">
        <v>46045</v>
      </c>
      <c r="E1146" s="839" t="s">
        <v>322</v>
      </c>
      <c r="F1146" s="839" t="s">
        <v>261</v>
      </c>
      <c r="G1146" s="916">
        <f>VLOOKUP($A1146,'Tech Litons'!$A:$I,8,FALSE)</f>
        <v>8.5199999999999998E-3</v>
      </c>
      <c r="H1146" s="917">
        <f>VLOOKUP($A1146,'Tech Litons'!$A:$I,9,FALSE)</f>
        <v>176</v>
      </c>
      <c r="I1146" s="917" t="str">
        <f>VLOOKUP($A1146,'Tech Litons'!$A:$C,3,0)</f>
        <v>48oz</v>
      </c>
      <c r="J1146" s="918" t="str">
        <f t="shared" si="108"/>
        <v>135248oz</v>
      </c>
      <c r="K1146" s="919">
        <v>1</v>
      </c>
      <c r="L1146" s="920">
        <f t="shared" si="109"/>
        <v>8058</v>
      </c>
      <c r="M1146" s="920">
        <f t="shared" si="110"/>
        <v>68.654160000000005</v>
      </c>
      <c r="N1146" s="920">
        <f t="shared" si="111"/>
        <v>45.784090909090907</v>
      </c>
      <c r="O1146" s="918" t="str">
        <f t="shared" si="112"/>
        <v>Jan</v>
      </c>
      <c r="P1146" s="921">
        <f t="shared" si="113"/>
        <v>4</v>
      </c>
    </row>
    <row r="1147" spans="1:18" ht="15" hidden="1" customHeight="1">
      <c r="A1147" s="839">
        <v>64958128</v>
      </c>
      <c r="B1147" s="839">
        <v>2904</v>
      </c>
      <c r="C1147" s="906">
        <v>8415</v>
      </c>
      <c r="D1147" s="907">
        <v>46045</v>
      </c>
      <c r="E1147" s="839" t="s">
        <v>235</v>
      </c>
      <c r="F1147" s="839" t="s">
        <v>234</v>
      </c>
      <c r="G1147" s="916">
        <f>VLOOKUP($A1147,'Tech Litons'!$A:$I,8,FALSE)</f>
        <v>3.3119999999999998E-3</v>
      </c>
      <c r="H1147" s="917">
        <f>VLOOKUP($A1147,'Tech Litons'!$A:$I,9,FALSE)</f>
        <v>165</v>
      </c>
      <c r="I1147" s="917" t="str">
        <f>VLOOKUP($A1147,'Tech Litons'!$A:$C,3,0)</f>
        <v>Yasso Sticks</v>
      </c>
      <c r="J1147" s="918" t="str">
        <f t="shared" si="108"/>
        <v>2904Yasso Sticks</v>
      </c>
      <c r="K1147" s="919">
        <v>1</v>
      </c>
      <c r="L1147" s="920">
        <f t="shared" si="109"/>
        <v>8415</v>
      </c>
      <c r="M1147" s="920">
        <f t="shared" si="110"/>
        <v>27.870479999999997</v>
      </c>
      <c r="N1147" s="920">
        <f t="shared" si="111"/>
        <v>51</v>
      </c>
      <c r="O1147" s="918" t="str">
        <f t="shared" si="112"/>
        <v>Jan</v>
      </c>
      <c r="P1147" s="921">
        <f t="shared" si="113"/>
        <v>4</v>
      </c>
    </row>
    <row r="1148" spans="1:18" ht="15" hidden="1" customHeight="1">
      <c r="A1148" s="839">
        <v>68821734</v>
      </c>
      <c r="B1148" s="839">
        <v>2904</v>
      </c>
      <c r="C1148" s="906">
        <v>8976</v>
      </c>
      <c r="D1148" s="907">
        <v>46045</v>
      </c>
      <c r="E1148" s="839" t="s">
        <v>370</v>
      </c>
      <c r="F1148" s="839" t="s">
        <v>273</v>
      </c>
      <c r="G1148" s="916">
        <f>VLOOKUP($A1148,'Tech Litons'!$A:$I,8,FALSE)</f>
        <v>8.5199999999999998E-3</v>
      </c>
      <c r="H1148" s="917">
        <f>VLOOKUP($A1148,'Tech Litons'!$A:$I,9,FALSE)</f>
        <v>176</v>
      </c>
      <c r="I1148" s="917" t="str">
        <f>VLOOKUP($A1148,'Tech Litons'!$A:$C,3,0)</f>
        <v>48oz</v>
      </c>
      <c r="J1148" s="918" t="str">
        <f t="shared" si="108"/>
        <v>290448oz</v>
      </c>
      <c r="K1148" s="919">
        <v>1</v>
      </c>
      <c r="L1148" s="920">
        <f t="shared" si="109"/>
        <v>8976</v>
      </c>
      <c r="M1148" s="920">
        <f t="shared" si="110"/>
        <v>76.475520000000003</v>
      </c>
      <c r="N1148" s="920">
        <f t="shared" si="111"/>
        <v>51</v>
      </c>
      <c r="O1148" s="918" t="str">
        <f t="shared" si="112"/>
        <v>Jan</v>
      </c>
      <c r="P1148" s="921">
        <f t="shared" si="113"/>
        <v>4</v>
      </c>
    </row>
    <row r="1149" spans="1:18" ht="15" hidden="1" customHeight="1">
      <c r="A1149" s="839">
        <v>68860662</v>
      </c>
      <c r="B1149" s="839">
        <v>2904</v>
      </c>
      <c r="C1149" s="906">
        <v>9604</v>
      </c>
      <c r="D1149" s="907">
        <v>46045</v>
      </c>
      <c r="E1149" s="839" t="s">
        <v>411</v>
      </c>
      <c r="F1149" s="839" t="s">
        <v>277</v>
      </c>
      <c r="G1149" s="916">
        <f>VLOOKUP($A1149,'Tech Litons'!$A:$I,8,FALSE)</f>
        <v>3.7839999999999996E-3</v>
      </c>
      <c r="H1149" s="917">
        <f>VLOOKUP($A1149,'Tech Litons'!$A:$I,9,FALSE)</f>
        <v>255</v>
      </c>
      <c r="I1149" s="917" t="str">
        <f>VLOOKUP($A1149,'Tech Litons'!$A:$C,3,0)</f>
        <v>Talenti</v>
      </c>
      <c r="J1149" s="918" t="str">
        <f t="shared" si="108"/>
        <v>2904Talenti</v>
      </c>
      <c r="K1149" s="919">
        <v>1</v>
      </c>
      <c r="L1149" s="920">
        <f t="shared" si="109"/>
        <v>9604</v>
      </c>
      <c r="M1149" s="920">
        <f t="shared" si="110"/>
        <v>36.341535999999998</v>
      </c>
      <c r="N1149" s="920">
        <f t="shared" si="111"/>
        <v>37.662745098039217</v>
      </c>
      <c r="O1149" s="918" t="str">
        <f t="shared" si="112"/>
        <v>Jan</v>
      </c>
      <c r="P1149" s="921">
        <f t="shared" si="113"/>
        <v>4</v>
      </c>
    </row>
    <row r="1150" spans="1:18" ht="15" hidden="1" customHeight="1">
      <c r="A1150" s="839">
        <v>65431090</v>
      </c>
      <c r="B1150" s="839">
        <v>2904</v>
      </c>
      <c r="C1150" s="906">
        <v>9686</v>
      </c>
      <c r="D1150" s="907">
        <v>46045</v>
      </c>
      <c r="E1150" s="839" t="s">
        <v>375</v>
      </c>
      <c r="F1150" s="839" t="s">
        <v>275</v>
      </c>
      <c r="G1150" s="916">
        <f>VLOOKUP($A1150,'Tech Litons'!$A:$I,8,FALSE)</f>
        <v>3.7839999999999996E-3</v>
      </c>
      <c r="H1150" s="917">
        <f>VLOOKUP($A1150,'Tech Litons'!$A:$I,9,FALSE)</f>
        <v>255</v>
      </c>
      <c r="I1150" s="917" t="str">
        <f>VLOOKUP($A1150,'Tech Litons'!$A:$C,3,0)</f>
        <v>Talenti</v>
      </c>
      <c r="J1150" s="918" t="str">
        <f t="shared" si="108"/>
        <v>2904Talenti</v>
      </c>
      <c r="K1150" s="919">
        <v>1</v>
      </c>
      <c r="L1150" s="920">
        <f t="shared" si="109"/>
        <v>9686</v>
      </c>
      <c r="M1150" s="920">
        <f t="shared" si="110"/>
        <v>36.651823999999998</v>
      </c>
      <c r="N1150" s="920">
        <f t="shared" si="111"/>
        <v>37.984313725490196</v>
      </c>
      <c r="O1150" s="918" t="str">
        <f t="shared" si="112"/>
        <v>Jan</v>
      </c>
      <c r="P1150" s="921">
        <f t="shared" si="113"/>
        <v>4</v>
      </c>
      <c r="Q1150" s="756"/>
      <c r="R1150" s="756"/>
    </row>
    <row r="1151" spans="1:18" ht="15" hidden="1" customHeight="1">
      <c r="A1151" s="839">
        <v>68821734</v>
      </c>
      <c r="B1151" s="839">
        <v>2904</v>
      </c>
      <c r="C1151" s="906">
        <v>9741</v>
      </c>
      <c r="D1151" s="907">
        <v>46045</v>
      </c>
      <c r="E1151" s="839" t="s">
        <v>370</v>
      </c>
      <c r="F1151" s="839" t="s">
        <v>273</v>
      </c>
      <c r="G1151" s="916">
        <f>VLOOKUP($A1151,'Tech Litons'!$A:$I,8,FALSE)</f>
        <v>8.5199999999999998E-3</v>
      </c>
      <c r="H1151" s="917">
        <f>VLOOKUP($A1151,'Tech Litons'!$A:$I,9,FALSE)</f>
        <v>176</v>
      </c>
      <c r="I1151" s="917" t="str">
        <f>VLOOKUP($A1151,'Tech Litons'!$A:$C,3,0)</f>
        <v>48oz</v>
      </c>
      <c r="J1151" s="918" t="str">
        <f t="shared" si="108"/>
        <v>290448oz</v>
      </c>
      <c r="K1151" s="919">
        <v>1</v>
      </c>
      <c r="L1151" s="920">
        <f t="shared" si="109"/>
        <v>9741</v>
      </c>
      <c r="M1151" s="920">
        <f t="shared" si="110"/>
        <v>82.993319999999997</v>
      </c>
      <c r="N1151" s="920">
        <f t="shared" si="111"/>
        <v>55.346590909090907</v>
      </c>
      <c r="O1151" s="918" t="str">
        <f t="shared" si="112"/>
        <v>Jan</v>
      </c>
      <c r="P1151" s="921">
        <f t="shared" si="113"/>
        <v>4</v>
      </c>
    </row>
    <row r="1152" spans="1:18" ht="15" hidden="1" customHeight="1">
      <c r="A1152" s="839">
        <v>68817796</v>
      </c>
      <c r="B1152" s="839">
        <v>1352</v>
      </c>
      <c r="C1152" s="906">
        <v>10423</v>
      </c>
      <c r="D1152" s="907">
        <v>46045</v>
      </c>
      <c r="E1152" s="839" t="s">
        <v>263</v>
      </c>
      <c r="F1152" s="839" t="s">
        <v>264</v>
      </c>
      <c r="G1152" s="916">
        <f>VLOOKUP($A1152,'Tech Litons'!$A:$I,8,FALSE)</f>
        <v>8.513999999999999E-3</v>
      </c>
      <c r="H1152" s="917">
        <f>VLOOKUP($A1152,'Tech Litons'!$A:$I,9,FALSE)</f>
        <v>176</v>
      </c>
      <c r="I1152" s="917" t="str">
        <f>VLOOKUP($A1152,'Tech Litons'!$A:$C,3,0)</f>
        <v>48oz</v>
      </c>
      <c r="J1152" s="918" t="str">
        <f t="shared" si="108"/>
        <v>135248oz</v>
      </c>
      <c r="K1152" s="919">
        <v>1</v>
      </c>
      <c r="L1152" s="920">
        <f t="shared" si="109"/>
        <v>10423</v>
      </c>
      <c r="M1152" s="920">
        <f t="shared" si="110"/>
        <v>88.741421999999986</v>
      </c>
      <c r="N1152" s="920">
        <f t="shared" si="111"/>
        <v>59.221590909090907</v>
      </c>
      <c r="O1152" s="918" t="str">
        <f t="shared" si="112"/>
        <v>Jan</v>
      </c>
      <c r="P1152" s="921">
        <f t="shared" si="113"/>
        <v>4</v>
      </c>
    </row>
    <row r="1153" spans="1:16" ht="15" hidden="1" customHeight="1">
      <c r="A1153" s="839">
        <v>84141102</v>
      </c>
      <c r="B1153" s="839">
        <v>5914</v>
      </c>
      <c r="C1153" s="906">
        <v>19461</v>
      </c>
      <c r="D1153" s="907">
        <v>46045</v>
      </c>
      <c r="E1153" s="839" t="s">
        <v>374</v>
      </c>
      <c r="F1153" s="839" t="s">
        <v>304</v>
      </c>
      <c r="G1153" s="916">
        <f>VLOOKUP($A1153,'Tech Litons'!$A:$I,8,FALSE)</f>
        <v>3.7853439999999999E-3</v>
      </c>
      <c r="H1153" s="917">
        <f>VLOOKUP($A1153,'Tech Litons'!$A:$I,9,FALSE)</f>
        <v>240</v>
      </c>
      <c r="I1153" s="917" t="str">
        <f>VLOOKUP($A1153,'Tech Litons'!$A:$C,3,0)</f>
        <v>BJ PTS</v>
      </c>
      <c r="J1153" s="918" t="str">
        <f t="shared" si="108"/>
        <v>5914BJ PTS</v>
      </c>
      <c r="K1153" s="919">
        <v>1</v>
      </c>
      <c r="L1153" s="920">
        <f t="shared" si="109"/>
        <v>19461</v>
      </c>
      <c r="M1153" s="920">
        <f t="shared" si="110"/>
        <v>73.666579584000004</v>
      </c>
      <c r="N1153" s="920">
        <f t="shared" si="111"/>
        <v>81.087500000000006</v>
      </c>
      <c r="O1153" s="918" t="str">
        <f t="shared" si="112"/>
        <v>Jan</v>
      </c>
      <c r="P1153" s="921">
        <f t="shared" si="113"/>
        <v>4</v>
      </c>
    </row>
    <row r="1154" spans="1:16" ht="15" hidden="1" customHeight="1">
      <c r="A1154" s="839">
        <v>84164937</v>
      </c>
      <c r="B1154" s="839">
        <v>5914</v>
      </c>
      <c r="C1154" s="906">
        <v>20906</v>
      </c>
      <c r="D1154" s="907">
        <v>46045</v>
      </c>
      <c r="E1154" s="839" t="s">
        <v>371</v>
      </c>
      <c r="F1154" s="839" t="s">
        <v>301</v>
      </c>
      <c r="G1154" s="916">
        <f>VLOOKUP($A1154,'Tech Litons'!$A:$I,8,FALSE)</f>
        <v>3.7853439999999999E-3</v>
      </c>
      <c r="H1154" s="917">
        <f>VLOOKUP($A1154,'Tech Litons'!$A:$I,9,FALSE)</f>
        <v>240</v>
      </c>
      <c r="I1154" s="917" t="str">
        <f>VLOOKUP($A1154,'Tech Litons'!$A:$C,3,0)</f>
        <v>BJ PTS</v>
      </c>
      <c r="J1154" s="918" t="str">
        <f t="shared" si="108"/>
        <v>5914BJ PTS</v>
      </c>
      <c r="K1154" s="919">
        <v>1</v>
      </c>
      <c r="L1154" s="920">
        <f t="shared" si="109"/>
        <v>20906</v>
      </c>
      <c r="M1154" s="920">
        <f t="shared" si="110"/>
        <v>79.136401664000005</v>
      </c>
      <c r="N1154" s="920">
        <f t="shared" si="111"/>
        <v>87.108333333333334</v>
      </c>
      <c r="O1154" s="918" t="str">
        <f t="shared" si="112"/>
        <v>Jan</v>
      </c>
      <c r="P1154" s="921">
        <f t="shared" si="113"/>
        <v>4</v>
      </c>
    </row>
    <row r="1155" spans="1:16" ht="15" hidden="1" customHeight="1">
      <c r="A1155" s="839">
        <v>84137725</v>
      </c>
      <c r="B1155" s="839">
        <v>5911</v>
      </c>
      <c r="C1155" s="906">
        <v>40320</v>
      </c>
      <c r="D1155" s="907">
        <v>46045</v>
      </c>
      <c r="E1155" s="839" t="s">
        <v>278</v>
      </c>
      <c r="F1155" s="839" t="s">
        <v>279</v>
      </c>
      <c r="G1155" s="916">
        <f>VLOOKUP($A1155,'Tech Litons'!$A:$I,8,FALSE)</f>
        <v>3.7853439999999999E-3</v>
      </c>
      <c r="H1155" s="917">
        <f>VLOOKUP($A1155,'Tech Litons'!$A:$I,9,FALSE)</f>
        <v>240</v>
      </c>
      <c r="I1155" s="917" t="str">
        <f>VLOOKUP($A1155,'Tech Litons'!$A:$C,3,0)</f>
        <v>BJ PTS</v>
      </c>
      <c r="J1155" s="918" t="str">
        <f t="shared" si="108"/>
        <v>5911BJ PTS</v>
      </c>
      <c r="K1155" s="919">
        <v>1</v>
      </c>
      <c r="L1155" s="920">
        <f t="shared" si="109"/>
        <v>40320</v>
      </c>
      <c r="M1155" s="920">
        <f t="shared" si="110"/>
        <v>152.62507008</v>
      </c>
      <c r="N1155" s="920">
        <f t="shared" si="111"/>
        <v>168</v>
      </c>
      <c r="O1155" s="918" t="str">
        <f t="shared" si="112"/>
        <v>Jan</v>
      </c>
      <c r="P1155" s="921">
        <f t="shared" si="113"/>
        <v>4</v>
      </c>
    </row>
    <row r="1156" spans="1:16" ht="15" hidden="1" customHeight="1">
      <c r="A1156" s="839">
        <v>84164937</v>
      </c>
      <c r="B1156" s="839">
        <v>5914</v>
      </c>
      <c r="C1156" s="906">
        <v>-27</v>
      </c>
      <c r="D1156" s="907">
        <v>46046</v>
      </c>
      <c r="E1156" s="839" t="s">
        <v>371</v>
      </c>
      <c r="F1156" s="839" t="s">
        <v>301</v>
      </c>
      <c r="G1156" s="916">
        <f>VLOOKUP($A1156,'Tech Litons'!$A:$I,8,FALSE)</f>
        <v>3.7853439999999999E-3</v>
      </c>
      <c r="H1156" s="917">
        <f>VLOOKUP($A1156,'Tech Litons'!$A:$I,9,FALSE)</f>
        <v>240</v>
      </c>
      <c r="I1156" s="917" t="str">
        <f>VLOOKUP($A1156,'Tech Litons'!$A:$C,3,0)</f>
        <v>BJ PTS</v>
      </c>
      <c r="J1156" s="918" t="str">
        <f t="shared" si="108"/>
        <v>5914BJ PTS</v>
      </c>
      <c r="K1156" s="919">
        <v>1</v>
      </c>
      <c r="L1156" s="920">
        <f t="shared" si="109"/>
        <v>-27</v>
      </c>
      <c r="M1156" s="920">
        <f t="shared" si="110"/>
        <v>-0.102204288</v>
      </c>
      <c r="N1156" s="920">
        <f t="shared" si="111"/>
        <v>-0.1125</v>
      </c>
      <c r="O1156" s="918" t="str">
        <f t="shared" si="112"/>
        <v>Jan</v>
      </c>
      <c r="P1156" s="921">
        <f t="shared" si="113"/>
        <v>4</v>
      </c>
    </row>
    <row r="1157" spans="1:16" ht="15" hidden="1" customHeight="1">
      <c r="A1157" s="839">
        <v>68817793</v>
      </c>
      <c r="B1157" s="839">
        <v>1352</v>
      </c>
      <c r="C1157" s="906">
        <v>122</v>
      </c>
      <c r="D1157" s="907">
        <v>46046</v>
      </c>
      <c r="E1157" s="839" t="s">
        <v>353</v>
      </c>
      <c r="F1157" s="839" t="s">
        <v>266</v>
      </c>
      <c r="G1157" s="916">
        <f>VLOOKUP($A1157,'Tech Litons'!$A:$I,8,FALSE)</f>
        <v>8.5199999999999998E-3</v>
      </c>
      <c r="H1157" s="917">
        <f>VLOOKUP($A1157,'Tech Litons'!$A:$I,9,FALSE)</f>
        <v>176</v>
      </c>
      <c r="I1157" s="917" t="str">
        <f>VLOOKUP($A1157,'Tech Litons'!$A:$C,3,0)</f>
        <v>48oz</v>
      </c>
      <c r="J1157" s="918" t="str">
        <f t="shared" si="108"/>
        <v>135248oz</v>
      </c>
      <c r="K1157" s="919">
        <v>1</v>
      </c>
      <c r="L1157" s="920">
        <f t="shared" si="109"/>
        <v>122</v>
      </c>
      <c r="M1157" s="920">
        <f t="shared" si="110"/>
        <v>1.0394399999999999</v>
      </c>
      <c r="N1157" s="920">
        <f t="shared" si="111"/>
        <v>0.69318181818181823</v>
      </c>
      <c r="O1157" s="918" t="str">
        <f t="shared" si="112"/>
        <v>Jan</v>
      </c>
      <c r="P1157" s="921">
        <f t="shared" si="113"/>
        <v>4</v>
      </c>
    </row>
    <row r="1158" spans="1:16" ht="15" hidden="1" customHeight="1">
      <c r="A1158" s="839">
        <v>68741742</v>
      </c>
      <c r="B1158" s="839">
        <v>1352</v>
      </c>
      <c r="C1158" s="906">
        <v>151</v>
      </c>
      <c r="D1158" s="907">
        <v>46046</v>
      </c>
      <c r="E1158" s="839" t="s">
        <v>288</v>
      </c>
      <c r="F1158" s="839" t="s">
        <v>289</v>
      </c>
      <c r="G1158" s="916">
        <f>VLOOKUP($A1158,'Tech Litons'!$A:$I,8,FALSE)</f>
        <v>4.2560000000000002E-3</v>
      </c>
      <c r="H1158" s="917">
        <f>VLOOKUP($A1158,'Tech Litons'!$A:$I,9,FALSE)</f>
        <v>154</v>
      </c>
      <c r="I1158" s="917" t="str">
        <f>VLOOKUP($A1158,'Tech Litons'!$A:$C,3,0)</f>
        <v>MBG</v>
      </c>
      <c r="J1158" s="918" t="str">
        <f t="shared" si="108"/>
        <v>1352MBG</v>
      </c>
      <c r="K1158" s="919">
        <v>1</v>
      </c>
      <c r="L1158" s="920">
        <f t="shared" si="109"/>
        <v>151</v>
      </c>
      <c r="M1158" s="920">
        <f t="shared" si="110"/>
        <v>0.64265600000000001</v>
      </c>
      <c r="N1158" s="920">
        <f t="shared" si="111"/>
        <v>0.98051948051948057</v>
      </c>
      <c r="O1158" s="918" t="str">
        <f t="shared" si="112"/>
        <v>Jan</v>
      </c>
      <c r="P1158" s="921">
        <f t="shared" si="113"/>
        <v>4</v>
      </c>
    </row>
    <row r="1159" spans="1:16" ht="15" hidden="1" customHeight="1">
      <c r="A1159" s="839">
        <v>64341106</v>
      </c>
      <c r="B1159" s="839">
        <v>2904</v>
      </c>
      <c r="C1159" s="906">
        <v>391</v>
      </c>
      <c r="D1159" s="907">
        <v>46046</v>
      </c>
      <c r="E1159" s="839" t="s">
        <v>293</v>
      </c>
      <c r="F1159" s="839" t="s">
        <v>227</v>
      </c>
      <c r="G1159" s="916">
        <f>VLOOKUP($A1159,'Tech Litons'!$A:$I,8,FALSE)</f>
        <v>5.2680000000000001E-3</v>
      </c>
      <c r="H1159" s="917">
        <f>VLOOKUP($A1159,'Tech Litons'!$A:$I,9,FALSE)</f>
        <v>130</v>
      </c>
      <c r="I1159" s="917" t="str">
        <f>VLOOKUP($A1159,'Tech Litons'!$A:$C,3,0)</f>
        <v>PG</v>
      </c>
      <c r="J1159" s="918" t="str">
        <f t="shared" si="108"/>
        <v>2904PG</v>
      </c>
      <c r="K1159" s="919">
        <v>1</v>
      </c>
      <c r="L1159" s="920">
        <f t="shared" si="109"/>
        <v>391</v>
      </c>
      <c r="M1159" s="920">
        <f t="shared" si="110"/>
        <v>2.0597880000000002</v>
      </c>
      <c r="N1159" s="920">
        <f t="shared" si="111"/>
        <v>3.0076923076923077</v>
      </c>
      <c r="O1159" s="918" t="str">
        <f t="shared" si="112"/>
        <v>Jan</v>
      </c>
      <c r="P1159" s="921">
        <f t="shared" si="113"/>
        <v>4</v>
      </c>
    </row>
    <row r="1160" spans="1:16" ht="15" hidden="1" customHeight="1">
      <c r="A1160" s="839">
        <v>69725082</v>
      </c>
      <c r="B1160" s="839">
        <v>1352</v>
      </c>
      <c r="C1160" s="906">
        <v>495</v>
      </c>
      <c r="D1160" s="907">
        <v>46046</v>
      </c>
      <c r="E1160" s="839" t="s">
        <v>292</v>
      </c>
      <c r="F1160" s="839" t="s">
        <v>223</v>
      </c>
      <c r="G1160" s="916">
        <f>VLOOKUP($A1160,'Tech Litons'!$A:$I,8,FALSE)</f>
        <v>5.2680000000000001E-3</v>
      </c>
      <c r="H1160" s="917">
        <f>VLOOKUP($A1160,'Tech Litons'!$A:$I,9,FALSE)</f>
        <v>130</v>
      </c>
      <c r="I1160" s="917" t="str">
        <f>VLOOKUP($A1160,'Tech Litons'!$A:$C,3,0)</f>
        <v>PG</v>
      </c>
      <c r="J1160" s="918" t="str">
        <f t="shared" si="108"/>
        <v>1352PG</v>
      </c>
      <c r="K1160" s="919">
        <v>1</v>
      </c>
      <c r="L1160" s="920">
        <f t="shared" si="109"/>
        <v>495</v>
      </c>
      <c r="M1160" s="920">
        <f t="shared" si="110"/>
        <v>2.6076600000000001</v>
      </c>
      <c r="N1160" s="920">
        <f t="shared" si="111"/>
        <v>3.8076923076923075</v>
      </c>
      <c r="O1160" s="918" t="str">
        <f t="shared" si="112"/>
        <v>Jan</v>
      </c>
      <c r="P1160" s="921">
        <f t="shared" si="113"/>
        <v>4</v>
      </c>
    </row>
    <row r="1161" spans="1:16" ht="15" hidden="1" customHeight="1">
      <c r="A1161" s="839">
        <v>64341968</v>
      </c>
      <c r="B1161" s="839">
        <v>1352</v>
      </c>
      <c r="C1161" s="906">
        <v>624</v>
      </c>
      <c r="D1161" s="907">
        <v>46046</v>
      </c>
      <c r="E1161" s="839" t="s">
        <v>322</v>
      </c>
      <c r="F1161" s="839" t="s">
        <v>261</v>
      </c>
      <c r="G1161" s="916">
        <f>VLOOKUP($A1161,'Tech Litons'!$A:$I,8,FALSE)</f>
        <v>8.5199999999999998E-3</v>
      </c>
      <c r="H1161" s="917">
        <f>VLOOKUP($A1161,'Tech Litons'!$A:$I,9,FALSE)</f>
        <v>176</v>
      </c>
      <c r="I1161" s="917" t="str">
        <f>VLOOKUP($A1161,'Tech Litons'!$A:$C,3,0)</f>
        <v>48oz</v>
      </c>
      <c r="J1161" s="918" t="str">
        <f t="shared" si="108"/>
        <v>135248oz</v>
      </c>
      <c r="K1161" s="919">
        <v>1</v>
      </c>
      <c r="L1161" s="920">
        <f t="shared" si="109"/>
        <v>624</v>
      </c>
      <c r="M1161" s="920">
        <f t="shared" si="110"/>
        <v>5.3164800000000003</v>
      </c>
      <c r="N1161" s="920">
        <f t="shared" si="111"/>
        <v>3.5454545454545454</v>
      </c>
      <c r="O1161" s="918" t="str">
        <f t="shared" si="112"/>
        <v>Jan</v>
      </c>
      <c r="P1161" s="921">
        <f t="shared" si="113"/>
        <v>4</v>
      </c>
    </row>
    <row r="1162" spans="1:16" ht="15" hidden="1" customHeight="1">
      <c r="A1162" s="839">
        <v>69717803</v>
      </c>
      <c r="B1162" s="839">
        <v>2904</v>
      </c>
      <c r="C1162" s="906">
        <v>680</v>
      </c>
      <c r="D1162" s="907">
        <v>46046</v>
      </c>
      <c r="E1162" s="839" t="s">
        <v>362</v>
      </c>
      <c r="F1162" s="839" t="s">
        <v>231</v>
      </c>
      <c r="G1162" s="916">
        <f>VLOOKUP($A1162,'Tech Litons'!$A:$I,8,FALSE)</f>
        <v>4.2560000000000002E-3</v>
      </c>
      <c r="H1162" s="917">
        <f>VLOOKUP($A1162,'Tech Litons'!$A:$I,9,FALSE)</f>
        <v>143</v>
      </c>
      <c r="I1162" s="917" t="str">
        <f>VLOOKUP($A1162,'Tech Litons'!$A:$C,3,0)</f>
        <v>MG Sticks</v>
      </c>
      <c r="J1162" s="918" t="str">
        <f t="shared" si="108"/>
        <v>2904MG Sticks</v>
      </c>
      <c r="K1162" s="919">
        <v>1</v>
      </c>
      <c r="L1162" s="920">
        <f t="shared" si="109"/>
        <v>680</v>
      </c>
      <c r="M1162" s="920">
        <f t="shared" si="110"/>
        <v>2.8940800000000002</v>
      </c>
      <c r="N1162" s="920">
        <f t="shared" si="111"/>
        <v>4.755244755244755</v>
      </c>
      <c r="O1162" s="918" t="str">
        <f t="shared" si="112"/>
        <v>Jan</v>
      </c>
      <c r="P1162" s="921">
        <f t="shared" si="113"/>
        <v>4</v>
      </c>
    </row>
    <row r="1163" spans="1:16" ht="15" hidden="1" customHeight="1">
      <c r="A1163" s="839">
        <v>69629468</v>
      </c>
      <c r="B1163" s="839">
        <v>2904</v>
      </c>
      <c r="C1163" s="906">
        <v>780</v>
      </c>
      <c r="D1163" s="907">
        <v>46046</v>
      </c>
      <c r="E1163" s="839" t="s">
        <v>291</v>
      </c>
      <c r="F1163" s="839" t="s">
        <v>226</v>
      </c>
      <c r="G1163" s="916">
        <f>VLOOKUP($A1163,'Tech Litons'!$A:$I,8,FALSE)</f>
        <v>5.2680000000000001E-3</v>
      </c>
      <c r="H1163" s="917">
        <f>VLOOKUP($A1163,'Tech Litons'!$A:$I,9,FALSE)</f>
        <v>130</v>
      </c>
      <c r="I1163" s="917" t="str">
        <f>VLOOKUP($A1163,'Tech Litons'!$A:$C,3,0)</f>
        <v>PG</v>
      </c>
      <c r="J1163" s="918" t="str">
        <f t="shared" si="108"/>
        <v>2904PG</v>
      </c>
      <c r="K1163" s="919">
        <v>1</v>
      </c>
      <c r="L1163" s="920">
        <f t="shared" si="109"/>
        <v>780</v>
      </c>
      <c r="M1163" s="920">
        <f t="shared" si="110"/>
        <v>4.1090400000000002</v>
      </c>
      <c r="N1163" s="920">
        <f t="shared" si="111"/>
        <v>6</v>
      </c>
      <c r="O1163" s="918" t="str">
        <f t="shared" si="112"/>
        <v>Jan</v>
      </c>
      <c r="P1163" s="921">
        <f t="shared" si="113"/>
        <v>4</v>
      </c>
    </row>
    <row r="1164" spans="1:16" ht="15" hidden="1" customHeight="1">
      <c r="A1164" s="839">
        <v>69988931</v>
      </c>
      <c r="B1164" s="839">
        <v>2904</v>
      </c>
      <c r="C1164" s="906">
        <v>799</v>
      </c>
      <c r="D1164" s="907">
        <v>46046</v>
      </c>
      <c r="E1164" s="839" t="s">
        <v>363</v>
      </c>
      <c r="F1164" s="839" t="s">
        <v>281</v>
      </c>
      <c r="G1164" s="916">
        <f>VLOOKUP($A1164,'Tech Litons'!$A:$I,8,FALSE)</f>
        <v>1.98E-3</v>
      </c>
      <c r="H1164" s="917">
        <f>VLOOKUP($A1164,'Tech Litons'!$A:$I,9,FALSE)</f>
        <v>176</v>
      </c>
      <c r="I1164" s="917" t="str">
        <f>VLOOKUP($A1164,'Tech Litons'!$A:$C,3,0)</f>
        <v>MG Sticks</v>
      </c>
      <c r="J1164" s="918" t="str">
        <f t="shared" si="108"/>
        <v>2904MG Sticks</v>
      </c>
      <c r="K1164" s="919">
        <v>1</v>
      </c>
      <c r="L1164" s="920">
        <f t="shared" si="109"/>
        <v>799</v>
      </c>
      <c r="M1164" s="920">
        <f t="shared" si="110"/>
        <v>1.58202</v>
      </c>
      <c r="N1164" s="920">
        <f t="shared" si="111"/>
        <v>4.5397727272727275</v>
      </c>
      <c r="O1164" s="918" t="str">
        <f t="shared" si="112"/>
        <v>Jan</v>
      </c>
      <c r="P1164" s="921">
        <f t="shared" si="113"/>
        <v>4</v>
      </c>
    </row>
    <row r="1165" spans="1:16" ht="15" hidden="1" customHeight="1">
      <c r="A1165" s="839">
        <v>84139000</v>
      </c>
      <c r="B1165" s="839">
        <v>5914</v>
      </c>
      <c r="C1165" s="906">
        <v>940</v>
      </c>
      <c r="D1165" s="907">
        <v>46046</v>
      </c>
      <c r="E1165" s="839" t="s">
        <v>373</v>
      </c>
      <c r="F1165" s="839" t="s">
        <v>279</v>
      </c>
      <c r="G1165" s="916">
        <f>VLOOKUP($A1165,'Tech Litons'!$A:$I,8,FALSE)</f>
        <v>9.0848256361922702E-3</v>
      </c>
      <c r="H1165" s="917">
        <f>VLOOKUP($A1165,'Tech Litons'!$A:$I,9,FALSE)</f>
        <v>125</v>
      </c>
      <c r="I1165" s="917" t="str">
        <f>VLOOKUP($A1165,'Tech Litons'!$A:$C,3,0)</f>
        <v>2.4 Gal</v>
      </c>
      <c r="J1165" s="918" t="str">
        <f t="shared" si="108"/>
        <v>59142.4 Gal</v>
      </c>
      <c r="K1165" s="919">
        <v>1</v>
      </c>
      <c r="L1165" s="920">
        <f t="shared" si="109"/>
        <v>940</v>
      </c>
      <c r="M1165" s="920">
        <f t="shared" si="110"/>
        <v>8.5397360980207342</v>
      </c>
      <c r="N1165" s="920">
        <f t="shared" si="111"/>
        <v>7.52</v>
      </c>
      <c r="O1165" s="918" t="str">
        <f t="shared" si="112"/>
        <v>Jan</v>
      </c>
      <c r="P1165" s="921">
        <f t="shared" si="113"/>
        <v>4</v>
      </c>
    </row>
    <row r="1166" spans="1:16" ht="15" hidden="1" customHeight="1">
      <c r="A1166" s="839">
        <v>64789261</v>
      </c>
      <c r="B1166" s="839">
        <v>1352</v>
      </c>
      <c r="C1166" s="906">
        <v>1086</v>
      </c>
      <c r="D1166" s="907">
        <v>46046</v>
      </c>
      <c r="E1166" s="839" t="s">
        <v>366</v>
      </c>
      <c r="F1166" s="839" t="s">
        <v>287</v>
      </c>
      <c r="G1166" s="916">
        <f>VLOOKUP($A1166,'Tech Litons'!$A:$I,8,FALSE)</f>
        <v>2.8319999999999999E-3</v>
      </c>
      <c r="H1166" s="917">
        <f>VLOOKUP($A1166,'Tech Litons'!$A:$I,9,FALSE)</f>
        <v>225</v>
      </c>
      <c r="I1166" s="917" t="str">
        <f>VLOOKUP($A1166,'Tech Litons'!$A:$C,3,0)</f>
        <v>MBG</v>
      </c>
      <c r="J1166" s="918" t="str">
        <f t="shared" si="108"/>
        <v>1352MBG</v>
      </c>
      <c r="K1166" s="919">
        <v>1</v>
      </c>
      <c r="L1166" s="920">
        <f t="shared" si="109"/>
        <v>1086</v>
      </c>
      <c r="M1166" s="920">
        <f t="shared" si="110"/>
        <v>3.0755520000000001</v>
      </c>
      <c r="N1166" s="920">
        <f t="shared" si="111"/>
        <v>4.8266666666666671</v>
      </c>
      <c r="O1166" s="918" t="str">
        <f t="shared" si="112"/>
        <v>Jan</v>
      </c>
      <c r="P1166" s="921">
        <f t="shared" si="113"/>
        <v>4</v>
      </c>
    </row>
    <row r="1167" spans="1:16" ht="15" hidden="1" customHeight="1">
      <c r="A1167" s="839">
        <v>69991925</v>
      </c>
      <c r="B1167" s="839">
        <v>2904</v>
      </c>
      <c r="C1167" s="906">
        <v>1139</v>
      </c>
      <c r="D1167" s="907">
        <v>46046</v>
      </c>
      <c r="E1167" s="839" t="s">
        <v>379</v>
      </c>
      <c r="F1167" s="839" t="s">
        <v>283</v>
      </c>
      <c r="G1167" s="916">
        <f>VLOOKUP($A1167,'Tech Litons'!$A:$I,8,FALSE)</f>
        <v>2.0400000000000001E-3</v>
      </c>
      <c r="H1167" s="917">
        <f>VLOOKUP($A1167,'Tech Litons'!$A:$I,9,FALSE)</f>
        <v>210</v>
      </c>
      <c r="I1167" s="917" t="str">
        <f>VLOOKUP($A1167,'Tech Litons'!$A:$C,3,0)</f>
        <v>MG Sticks</v>
      </c>
      <c r="J1167" s="918" t="str">
        <f t="shared" si="108"/>
        <v>2904MG Sticks</v>
      </c>
      <c r="K1167" s="919">
        <v>1</v>
      </c>
      <c r="L1167" s="920">
        <f t="shared" si="109"/>
        <v>1139</v>
      </c>
      <c r="M1167" s="920">
        <f t="shared" si="110"/>
        <v>2.3235600000000001</v>
      </c>
      <c r="N1167" s="920">
        <f t="shared" si="111"/>
        <v>5.4238095238095241</v>
      </c>
      <c r="O1167" s="918" t="str">
        <f t="shared" si="112"/>
        <v>Jan</v>
      </c>
      <c r="P1167" s="921">
        <f t="shared" si="113"/>
        <v>4</v>
      </c>
    </row>
    <row r="1168" spans="1:16" ht="15" hidden="1" customHeight="1">
      <c r="A1168" s="839">
        <v>68710285</v>
      </c>
      <c r="B1168" s="839">
        <v>1352</v>
      </c>
      <c r="C1168" s="906">
        <v>1189</v>
      </c>
      <c r="D1168" s="907">
        <v>46046</v>
      </c>
      <c r="E1168" s="839" t="s">
        <v>367</v>
      </c>
      <c r="F1168" s="839" t="s">
        <v>242</v>
      </c>
      <c r="G1168" s="916">
        <f>VLOOKUP($A1168,'Tech Litons'!$A:$I,8,FALSE)</f>
        <v>9.5760000000000012E-3</v>
      </c>
      <c r="H1168" s="917">
        <f>VLOOKUP($A1168,'Tech Litons'!$A:$I,9,FALSE)</f>
        <v>132</v>
      </c>
      <c r="I1168" s="917" t="str">
        <f>VLOOKUP($A1168,'Tech Litons'!$A:$C,3,0)</f>
        <v>EDF</v>
      </c>
      <c r="J1168" s="918" t="str">
        <f t="shared" si="108"/>
        <v>1352EDF</v>
      </c>
      <c r="K1168" s="919">
        <v>1</v>
      </c>
      <c r="L1168" s="920">
        <f t="shared" si="109"/>
        <v>1189</v>
      </c>
      <c r="M1168" s="920">
        <f t="shared" si="110"/>
        <v>11.385864000000002</v>
      </c>
      <c r="N1168" s="920">
        <f t="shared" si="111"/>
        <v>9.0075757575757578</v>
      </c>
      <c r="O1168" s="918" t="str">
        <f t="shared" si="112"/>
        <v>Jan</v>
      </c>
      <c r="P1168" s="921">
        <f t="shared" si="113"/>
        <v>4</v>
      </c>
    </row>
    <row r="1169" spans="1:18" ht="15" hidden="1" customHeight="1">
      <c r="A1169" s="839">
        <v>68852591</v>
      </c>
      <c r="B1169" s="839">
        <v>2904</v>
      </c>
      <c r="C1169" s="906">
        <v>1235</v>
      </c>
      <c r="D1169" s="907">
        <v>46046</v>
      </c>
      <c r="E1169" s="839" t="s">
        <v>326</v>
      </c>
      <c r="F1169" s="839" t="s">
        <v>243</v>
      </c>
      <c r="G1169" s="916">
        <f>VLOOKUP($A1169,'Tech Litons'!$A:$I,8,FALSE)</f>
        <v>8.5199999999999998E-3</v>
      </c>
      <c r="H1169" s="917">
        <f>VLOOKUP($A1169,'Tech Litons'!$A:$I,9,FALSE)</f>
        <v>132</v>
      </c>
      <c r="I1169" s="917" t="str">
        <f>VLOOKUP($A1169,'Tech Litons'!$A:$C,3,0)</f>
        <v>EDF</v>
      </c>
      <c r="J1169" s="918" t="str">
        <f t="shared" si="108"/>
        <v>2904EDF</v>
      </c>
      <c r="K1169" s="919">
        <v>1</v>
      </c>
      <c r="L1169" s="920">
        <f t="shared" si="109"/>
        <v>1235</v>
      </c>
      <c r="M1169" s="920">
        <f t="shared" si="110"/>
        <v>10.5222</v>
      </c>
      <c r="N1169" s="920">
        <f t="shared" si="111"/>
        <v>9.3560606060606055</v>
      </c>
      <c r="O1169" s="918" t="str">
        <f t="shared" si="112"/>
        <v>Jan</v>
      </c>
      <c r="P1169" s="921">
        <f t="shared" si="113"/>
        <v>4</v>
      </c>
    </row>
    <row r="1170" spans="1:18" ht="15" hidden="1" customHeight="1">
      <c r="A1170" s="839">
        <v>68689251</v>
      </c>
      <c r="B1170" s="839">
        <v>1352</v>
      </c>
      <c r="C1170" s="906">
        <v>1360</v>
      </c>
      <c r="D1170" s="907">
        <v>46046</v>
      </c>
      <c r="E1170" s="839" t="s">
        <v>262</v>
      </c>
      <c r="F1170" s="839" t="s">
        <v>240</v>
      </c>
      <c r="G1170" s="916">
        <f>VLOOKUP($A1170,'Tech Litons'!$A:$I,8,FALSE)</f>
        <v>9.5760000000000012E-3</v>
      </c>
      <c r="H1170" s="917">
        <f>VLOOKUP($A1170,'Tech Litons'!$A:$I,9,FALSE)</f>
        <v>132</v>
      </c>
      <c r="I1170" s="917" t="str">
        <f>VLOOKUP($A1170,'Tech Litons'!$A:$C,3,0)</f>
        <v>EDF</v>
      </c>
      <c r="J1170" s="918" t="str">
        <f t="shared" ref="J1170:J1233" si="114">B1170&amp;I1170</f>
        <v>1352EDF</v>
      </c>
      <c r="K1170" s="919">
        <v>1</v>
      </c>
      <c r="L1170" s="920">
        <f t="shared" ref="L1170:L1233" si="115">C1170*$K1170</f>
        <v>1360</v>
      </c>
      <c r="M1170" s="920">
        <f t="shared" ref="M1170:M1233" si="116">L1170*G1170</f>
        <v>13.023360000000002</v>
      </c>
      <c r="N1170" s="920">
        <f t="shared" ref="N1170:N1233" si="117">L1170/H1170</f>
        <v>10.303030303030303</v>
      </c>
      <c r="O1170" s="918" t="str">
        <f t="shared" ref="O1170:O1233" si="118">TEXT(D1170,"MMM")</f>
        <v>Jan</v>
      </c>
      <c r="P1170" s="921">
        <f t="shared" ref="P1170:P1233" si="119">WEEKNUM(D1170)</f>
        <v>4</v>
      </c>
    </row>
    <row r="1171" spans="1:18" ht="15" hidden="1" customHeight="1">
      <c r="A1171" s="839">
        <v>68850684</v>
      </c>
      <c r="B1171" s="839">
        <v>1352</v>
      </c>
      <c r="C1171" s="906">
        <v>1707</v>
      </c>
      <c r="D1171" s="907">
        <v>46046</v>
      </c>
      <c r="E1171" s="839" t="s">
        <v>381</v>
      </c>
      <c r="F1171" s="839" t="s">
        <v>264</v>
      </c>
      <c r="G1171" s="916">
        <f>VLOOKUP($A1171,'Tech Litons'!$A:$I,8,FALSE)</f>
        <v>8.5199999999999998E-3</v>
      </c>
      <c r="H1171" s="917">
        <f>VLOOKUP($A1171,'Tech Litons'!$A:$I,9,FALSE)</f>
        <v>176</v>
      </c>
      <c r="I1171" s="917" t="str">
        <f>VLOOKUP($A1171,'Tech Litons'!$A:$C,3,0)</f>
        <v>48oz</v>
      </c>
      <c r="J1171" s="918" t="str">
        <f t="shared" si="114"/>
        <v>135248oz</v>
      </c>
      <c r="K1171" s="919">
        <v>1</v>
      </c>
      <c r="L1171" s="920">
        <f t="shared" si="115"/>
        <v>1707</v>
      </c>
      <c r="M1171" s="920">
        <f t="shared" si="116"/>
        <v>14.54364</v>
      </c>
      <c r="N1171" s="920">
        <f t="shared" si="117"/>
        <v>9.6988636363636367</v>
      </c>
      <c r="O1171" s="918" t="str">
        <f t="shared" si="118"/>
        <v>Jan</v>
      </c>
      <c r="P1171" s="921">
        <f t="shared" si="119"/>
        <v>4</v>
      </c>
    </row>
    <row r="1172" spans="1:18" ht="15" hidden="1" customHeight="1">
      <c r="A1172" s="839">
        <v>68741742</v>
      </c>
      <c r="B1172" s="839">
        <v>2904</v>
      </c>
      <c r="C1172" s="906">
        <v>2273</v>
      </c>
      <c r="D1172" s="907">
        <v>46046</v>
      </c>
      <c r="E1172" s="839" t="s">
        <v>288</v>
      </c>
      <c r="F1172" s="839" t="s">
        <v>295</v>
      </c>
      <c r="G1172" s="916">
        <f>VLOOKUP($A1172,'Tech Litons'!$A:$I,8,FALSE)</f>
        <v>4.2560000000000002E-3</v>
      </c>
      <c r="H1172" s="917">
        <f>VLOOKUP($A1172,'Tech Litons'!$A:$I,9,FALSE)</f>
        <v>154</v>
      </c>
      <c r="I1172" s="917" t="str">
        <f>VLOOKUP($A1172,'Tech Litons'!$A:$C,3,0)</f>
        <v>MBG</v>
      </c>
      <c r="J1172" s="918" t="str">
        <f t="shared" si="114"/>
        <v>2904MBG</v>
      </c>
      <c r="K1172" s="919">
        <v>1</v>
      </c>
      <c r="L1172" s="920">
        <f t="shared" si="115"/>
        <v>2273</v>
      </c>
      <c r="M1172" s="920">
        <f t="shared" si="116"/>
        <v>9.6738879999999998</v>
      </c>
      <c r="N1172" s="920">
        <f t="shared" si="117"/>
        <v>14.75974025974026</v>
      </c>
      <c r="O1172" s="918" t="str">
        <f t="shared" si="118"/>
        <v>Jan</v>
      </c>
      <c r="P1172" s="921">
        <f t="shared" si="119"/>
        <v>4</v>
      </c>
    </row>
    <row r="1173" spans="1:18" ht="15" hidden="1" customHeight="1">
      <c r="A1173" s="839">
        <v>69564623</v>
      </c>
      <c r="B1173" s="839">
        <v>2904</v>
      </c>
      <c r="C1173" s="906">
        <v>2816</v>
      </c>
      <c r="D1173" s="907">
        <v>46046</v>
      </c>
      <c r="E1173" s="839" t="s">
        <v>378</v>
      </c>
      <c r="F1173" s="839" t="s">
        <v>269</v>
      </c>
      <c r="G1173" s="916">
        <f>VLOOKUP($A1173,'Tech Litons'!$A:$I,8,FALSE)</f>
        <v>8.5199999999999998E-3</v>
      </c>
      <c r="H1173" s="917">
        <f>VLOOKUP($A1173,'Tech Litons'!$A:$I,9,FALSE)</f>
        <v>176</v>
      </c>
      <c r="I1173" s="917" t="str">
        <f>VLOOKUP($A1173,'Tech Litons'!$A:$C,3,0)</f>
        <v>48oz</v>
      </c>
      <c r="J1173" s="918" t="str">
        <f t="shared" si="114"/>
        <v>290448oz</v>
      </c>
      <c r="K1173" s="919">
        <v>1</v>
      </c>
      <c r="L1173" s="920">
        <f t="shared" si="115"/>
        <v>2816</v>
      </c>
      <c r="M1173" s="920">
        <f t="shared" si="116"/>
        <v>23.992319999999999</v>
      </c>
      <c r="N1173" s="920">
        <f t="shared" si="117"/>
        <v>16</v>
      </c>
      <c r="O1173" s="918" t="str">
        <f t="shared" si="118"/>
        <v>Jan</v>
      </c>
      <c r="P1173" s="921">
        <f t="shared" si="119"/>
        <v>4</v>
      </c>
    </row>
    <row r="1174" spans="1:18" ht="15" hidden="1" customHeight="1">
      <c r="A1174" s="839">
        <v>69988931</v>
      </c>
      <c r="B1174" s="839">
        <v>2904</v>
      </c>
      <c r="C1174" s="906">
        <v>2816</v>
      </c>
      <c r="D1174" s="907">
        <v>46046</v>
      </c>
      <c r="E1174" s="839" t="s">
        <v>363</v>
      </c>
      <c r="F1174" s="839" t="s">
        <v>281</v>
      </c>
      <c r="G1174" s="916">
        <f>VLOOKUP($A1174,'Tech Litons'!$A:$I,8,FALSE)</f>
        <v>1.98E-3</v>
      </c>
      <c r="H1174" s="917">
        <f>VLOOKUP($A1174,'Tech Litons'!$A:$I,9,FALSE)</f>
        <v>176</v>
      </c>
      <c r="I1174" s="917" t="str">
        <f>VLOOKUP($A1174,'Tech Litons'!$A:$C,3,0)</f>
        <v>MG Sticks</v>
      </c>
      <c r="J1174" s="918" t="str">
        <f t="shared" si="114"/>
        <v>2904MG Sticks</v>
      </c>
      <c r="K1174" s="919">
        <v>1</v>
      </c>
      <c r="L1174" s="920">
        <f t="shared" si="115"/>
        <v>2816</v>
      </c>
      <c r="M1174" s="920">
        <f t="shared" si="116"/>
        <v>5.5756800000000002</v>
      </c>
      <c r="N1174" s="920">
        <f t="shared" si="117"/>
        <v>16</v>
      </c>
      <c r="O1174" s="918" t="str">
        <f t="shared" si="118"/>
        <v>Jan</v>
      </c>
      <c r="P1174" s="921">
        <f t="shared" si="119"/>
        <v>4</v>
      </c>
    </row>
    <row r="1175" spans="1:18" ht="15" hidden="1" customHeight="1">
      <c r="A1175" s="839">
        <v>69717803</v>
      </c>
      <c r="B1175" s="839">
        <v>2904</v>
      </c>
      <c r="C1175" s="906">
        <v>4107</v>
      </c>
      <c r="D1175" s="907">
        <v>46046</v>
      </c>
      <c r="E1175" s="839" t="s">
        <v>362</v>
      </c>
      <c r="F1175" s="839" t="s">
        <v>231</v>
      </c>
      <c r="G1175" s="916">
        <f>VLOOKUP($A1175,'Tech Litons'!$A:$I,8,FALSE)</f>
        <v>4.2560000000000002E-3</v>
      </c>
      <c r="H1175" s="917">
        <f>VLOOKUP($A1175,'Tech Litons'!$A:$I,9,FALSE)</f>
        <v>143</v>
      </c>
      <c r="I1175" s="917" t="str">
        <f>VLOOKUP($A1175,'Tech Litons'!$A:$C,3,0)</f>
        <v>MG Sticks</v>
      </c>
      <c r="J1175" s="918" t="str">
        <f t="shared" si="114"/>
        <v>2904MG Sticks</v>
      </c>
      <c r="K1175" s="919">
        <v>1</v>
      </c>
      <c r="L1175" s="920">
        <f t="shared" si="115"/>
        <v>4107</v>
      </c>
      <c r="M1175" s="920">
        <f t="shared" si="116"/>
        <v>17.479392000000001</v>
      </c>
      <c r="N1175" s="920">
        <f t="shared" si="117"/>
        <v>28.72027972027972</v>
      </c>
      <c r="O1175" s="918" t="str">
        <f t="shared" si="118"/>
        <v>Jan</v>
      </c>
      <c r="P1175" s="921">
        <f t="shared" si="119"/>
        <v>4</v>
      </c>
    </row>
    <row r="1176" spans="1:18" ht="15" hidden="1" customHeight="1">
      <c r="A1176" s="839">
        <v>69564623</v>
      </c>
      <c r="B1176" s="839">
        <v>2904</v>
      </c>
      <c r="C1176" s="906">
        <v>4113</v>
      </c>
      <c r="D1176" s="907">
        <v>46046</v>
      </c>
      <c r="E1176" s="839" t="s">
        <v>378</v>
      </c>
      <c r="F1176" s="839" t="s">
        <v>271</v>
      </c>
      <c r="G1176" s="916">
        <f>VLOOKUP($A1176,'Tech Litons'!$A:$I,8,FALSE)</f>
        <v>8.5199999999999998E-3</v>
      </c>
      <c r="H1176" s="917">
        <f>VLOOKUP($A1176,'Tech Litons'!$A:$I,9,FALSE)</f>
        <v>176</v>
      </c>
      <c r="I1176" s="917" t="str">
        <f>VLOOKUP($A1176,'Tech Litons'!$A:$C,3,0)</f>
        <v>48oz</v>
      </c>
      <c r="J1176" s="918" t="str">
        <f t="shared" si="114"/>
        <v>290448oz</v>
      </c>
      <c r="K1176" s="919">
        <v>1</v>
      </c>
      <c r="L1176" s="920">
        <f t="shared" si="115"/>
        <v>4113</v>
      </c>
      <c r="M1176" s="920">
        <f t="shared" si="116"/>
        <v>35.042760000000001</v>
      </c>
      <c r="N1176" s="920">
        <f t="shared" si="117"/>
        <v>23.369318181818183</v>
      </c>
      <c r="O1176" s="918" t="str">
        <f t="shared" si="118"/>
        <v>Jan</v>
      </c>
      <c r="P1176" s="921">
        <f t="shared" si="119"/>
        <v>4</v>
      </c>
      <c r="Q1176" s="756"/>
      <c r="R1176" s="756"/>
    </row>
    <row r="1177" spans="1:18" ht="15" hidden="1" customHeight="1">
      <c r="A1177" s="839">
        <v>69564623</v>
      </c>
      <c r="B1177" s="839">
        <v>2904</v>
      </c>
      <c r="C1177" s="906">
        <v>4154</v>
      </c>
      <c r="D1177" s="907">
        <v>46046</v>
      </c>
      <c r="E1177" s="839" t="s">
        <v>378</v>
      </c>
      <c r="F1177" s="839" t="s">
        <v>269</v>
      </c>
      <c r="G1177" s="916">
        <f>VLOOKUP($A1177,'Tech Litons'!$A:$I,8,FALSE)</f>
        <v>8.5199999999999998E-3</v>
      </c>
      <c r="H1177" s="917">
        <f>VLOOKUP($A1177,'Tech Litons'!$A:$I,9,FALSE)</f>
        <v>176</v>
      </c>
      <c r="I1177" s="917" t="str">
        <f>VLOOKUP($A1177,'Tech Litons'!$A:$C,3,0)</f>
        <v>48oz</v>
      </c>
      <c r="J1177" s="918" t="str">
        <f t="shared" si="114"/>
        <v>290448oz</v>
      </c>
      <c r="K1177" s="919">
        <v>1</v>
      </c>
      <c r="L1177" s="920">
        <f t="shared" si="115"/>
        <v>4154</v>
      </c>
      <c r="M1177" s="920">
        <f t="shared" si="116"/>
        <v>35.39208</v>
      </c>
      <c r="N1177" s="920">
        <f t="shared" si="117"/>
        <v>23.602272727272727</v>
      </c>
      <c r="O1177" s="918" t="str">
        <f t="shared" si="118"/>
        <v>Jan</v>
      </c>
      <c r="P1177" s="921">
        <f t="shared" si="119"/>
        <v>4</v>
      </c>
    </row>
    <row r="1178" spans="1:18" ht="15" hidden="1" customHeight="1">
      <c r="A1178" s="839">
        <v>68354590</v>
      </c>
      <c r="B1178" s="839">
        <v>2904</v>
      </c>
      <c r="C1178" s="906">
        <v>4646</v>
      </c>
      <c r="D1178" s="907">
        <v>46046</v>
      </c>
      <c r="E1178" s="839" t="s">
        <v>376</v>
      </c>
      <c r="F1178" s="839" t="s">
        <v>40</v>
      </c>
      <c r="G1178" s="916">
        <f>VLOOKUP($A1178,'Tech Litons'!$A:$I,8,FALSE)</f>
        <v>3.5999999999999999E-3</v>
      </c>
      <c r="H1178" s="917">
        <f>VLOOKUP($A1178,'Tech Litons'!$A:$I,9,FALSE)</f>
        <v>240</v>
      </c>
      <c r="I1178" s="917" t="str">
        <f>VLOOKUP($A1178,'Tech Litons'!$A:$C,3,0)</f>
        <v>Topped</v>
      </c>
      <c r="J1178" s="918" t="str">
        <f t="shared" si="114"/>
        <v>2904Topped</v>
      </c>
      <c r="K1178" s="919">
        <v>1</v>
      </c>
      <c r="L1178" s="920">
        <f t="shared" si="115"/>
        <v>4646</v>
      </c>
      <c r="M1178" s="920">
        <f t="shared" si="116"/>
        <v>16.7256</v>
      </c>
      <c r="N1178" s="920">
        <f t="shared" si="117"/>
        <v>19.358333333333334</v>
      </c>
      <c r="O1178" s="918" t="str">
        <f t="shared" si="118"/>
        <v>Jan</v>
      </c>
      <c r="P1178" s="921">
        <f t="shared" si="119"/>
        <v>4</v>
      </c>
    </row>
    <row r="1179" spans="1:18" ht="15" hidden="1" customHeight="1">
      <c r="A1179" s="839">
        <v>68821734</v>
      </c>
      <c r="B1179" s="839">
        <v>2904</v>
      </c>
      <c r="C1179" s="906">
        <v>4992</v>
      </c>
      <c r="D1179" s="907">
        <v>46046</v>
      </c>
      <c r="E1179" s="839" t="s">
        <v>370</v>
      </c>
      <c r="F1179" s="839" t="s">
        <v>273</v>
      </c>
      <c r="G1179" s="916">
        <f>VLOOKUP($A1179,'Tech Litons'!$A:$I,8,FALSE)</f>
        <v>8.5199999999999998E-3</v>
      </c>
      <c r="H1179" s="917">
        <f>VLOOKUP($A1179,'Tech Litons'!$A:$I,9,FALSE)</f>
        <v>176</v>
      </c>
      <c r="I1179" s="917" t="str">
        <f>VLOOKUP($A1179,'Tech Litons'!$A:$C,3,0)</f>
        <v>48oz</v>
      </c>
      <c r="J1179" s="918" t="str">
        <f t="shared" si="114"/>
        <v>290448oz</v>
      </c>
      <c r="K1179" s="919">
        <v>1</v>
      </c>
      <c r="L1179" s="920">
        <f t="shared" si="115"/>
        <v>4992</v>
      </c>
      <c r="M1179" s="920">
        <f t="shared" si="116"/>
        <v>42.531840000000003</v>
      </c>
      <c r="N1179" s="920">
        <f t="shared" si="117"/>
        <v>28.363636363636363</v>
      </c>
      <c r="O1179" s="918" t="str">
        <f t="shared" si="118"/>
        <v>Jan</v>
      </c>
      <c r="P1179" s="921">
        <f t="shared" si="119"/>
        <v>4</v>
      </c>
    </row>
    <row r="1180" spans="1:18" ht="15" hidden="1" customHeight="1">
      <c r="A1180" s="839">
        <v>68860662</v>
      </c>
      <c r="B1180" s="839">
        <v>2904</v>
      </c>
      <c r="C1180" s="906">
        <v>5397</v>
      </c>
      <c r="D1180" s="907">
        <v>46046</v>
      </c>
      <c r="E1180" s="839" t="s">
        <v>411</v>
      </c>
      <c r="F1180" s="839" t="s">
        <v>277</v>
      </c>
      <c r="G1180" s="916">
        <f>VLOOKUP($A1180,'Tech Litons'!$A:$I,8,FALSE)</f>
        <v>3.7839999999999996E-3</v>
      </c>
      <c r="H1180" s="917">
        <f>VLOOKUP($A1180,'Tech Litons'!$A:$I,9,FALSE)</f>
        <v>255</v>
      </c>
      <c r="I1180" s="917" t="str">
        <f>VLOOKUP($A1180,'Tech Litons'!$A:$C,3,0)</f>
        <v>Talenti</v>
      </c>
      <c r="J1180" s="918" t="str">
        <f t="shared" si="114"/>
        <v>2904Talenti</v>
      </c>
      <c r="K1180" s="919">
        <v>1</v>
      </c>
      <c r="L1180" s="920">
        <f t="shared" si="115"/>
        <v>5397</v>
      </c>
      <c r="M1180" s="920">
        <f t="shared" si="116"/>
        <v>20.422247999999996</v>
      </c>
      <c r="N1180" s="920">
        <f t="shared" si="117"/>
        <v>21.164705882352941</v>
      </c>
      <c r="O1180" s="918" t="str">
        <f t="shared" si="118"/>
        <v>Jan</v>
      </c>
      <c r="P1180" s="921">
        <f t="shared" si="119"/>
        <v>4</v>
      </c>
    </row>
    <row r="1181" spans="1:18" ht="15" hidden="1" customHeight="1">
      <c r="A1181" s="839">
        <v>65431090</v>
      </c>
      <c r="B1181" s="839">
        <v>2904</v>
      </c>
      <c r="C1181" s="906">
        <v>6133</v>
      </c>
      <c r="D1181" s="907">
        <v>46046</v>
      </c>
      <c r="E1181" s="839" t="s">
        <v>375</v>
      </c>
      <c r="F1181" s="839" t="s">
        <v>275</v>
      </c>
      <c r="G1181" s="916">
        <f>VLOOKUP($A1181,'Tech Litons'!$A:$I,8,FALSE)</f>
        <v>3.7839999999999996E-3</v>
      </c>
      <c r="H1181" s="917">
        <f>VLOOKUP($A1181,'Tech Litons'!$A:$I,9,FALSE)</f>
        <v>255</v>
      </c>
      <c r="I1181" s="917" t="str">
        <f>VLOOKUP($A1181,'Tech Litons'!$A:$C,3,0)</f>
        <v>Talenti</v>
      </c>
      <c r="J1181" s="918" t="str">
        <f t="shared" si="114"/>
        <v>2904Talenti</v>
      </c>
      <c r="K1181" s="919">
        <v>1</v>
      </c>
      <c r="L1181" s="920">
        <f t="shared" si="115"/>
        <v>6133</v>
      </c>
      <c r="M1181" s="920">
        <f t="shared" si="116"/>
        <v>23.207271999999996</v>
      </c>
      <c r="N1181" s="920">
        <f t="shared" si="117"/>
        <v>24.050980392156863</v>
      </c>
      <c r="O1181" s="918" t="str">
        <f t="shared" si="118"/>
        <v>Jan</v>
      </c>
      <c r="P1181" s="921">
        <f t="shared" si="119"/>
        <v>4</v>
      </c>
    </row>
    <row r="1182" spans="1:18" ht="15" hidden="1" customHeight="1">
      <c r="A1182" s="839">
        <v>64958128</v>
      </c>
      <c r="B1182" s="839">
        <v>2904</v>
      </c>
      <c r="C1182" s="906">
        <v>6368</v>
      </c>
      <c r="D1182" s="907">
        <v>46046</v>
      </c>
      <c r="E1182" s="839" t="s">
        <v>235</v>
      </c>
      <c r="F1182" s="839" t="s">
        <v>234</v>
      </c>
      <c r="G1182" s="916">
        <f>VLOOKUP($A1182,'Tech Litons'!$A:$I,8,FALSE)</f>
        <v>3.3119999999999998E-3</v>
      </c>
      <c r="H1182" s="917">
        <f>VLOOKUP($A1182,'Tech Litons'!$A:$I,9,FALSE)</f>
        <v>165</v>
      </c>
      <c r="I1182" s="917" t="str">
        <f>VLOOKUP($A1182,'Tech Litons'!$A:$C,3,0)</f>
        <v>Yasso Sticks</v>
      </c>
      <c r="J1182" s="918" t="str">
        <f t="shared" si="114"/>
        <v>2904Yasso Sticks</v>
      </c>
      <c r="K1182" s="919">
        <v>1</v>
      </c>
      <c r="L1182" s="920">
        <f t="shared" si="115"/>
        <v>6368</v>
      </c>
      <c r="M1182" s="920">
        <f t="shared" si="116"/>
        <v>21.090816</v>
      </c>
      <c r="N1182" s="920">
        <f t="shared" si="117"/>
        <v>38.593939393939394</v>
      </c>
      <c r="O1182" s="918" t="str">
        <f t="shared" si="118"/>
        <v>Jan</v>
      </c>
      <c r="P1182" s="921">
        <f t="shared" si="119"/>
        <v>4</v>
      </c>
    </row>
    <row r="1183" spans="1:18" ht="15" hidden="1" customHeight="1">
      <c r="A1183" s="839">
        <v>69991925</v>
      </c>
      <c r="B1183" s="839">
        <v>2904</v>
      </c>
      <c r="C1183" s="906">
        <v>6663</v>
      </c>
      <c r="D1183" s="907">
        <v>46046</v>
      </c>
      <c r="E1183" s="839" t="s">
        <v>379</v>
      </c>
      <c r="F1183" s="839" t="s">
        <v>283</v>
      </c>
      <c r="G1183" s="916">
        <f>VLOOKUP($A1183,'Tech Litons'!$A:$I,8,FALSE)</f>
        <v>2.0400000000000001E-3</v>
      </c>
      <c r="H1183" s="917">
        <f>VLOOKUP($A1183,'Tech Litons'!$A:$I,9,FALSE)</f>
        <v>210</v>
      </c>
      <c r="I1183" s="917" t="str">
        <f>VLOOKUP($A1183,'Tech Litons'!$A:$C,3,0)</f>
        <v>MG Sticks</v>
      </c>
      <c r="J1183" s="918" t="str">
        <f t="shared" si="114"/>
        <v>2904MG Sticks</v>
      </c>
      <c r="K1183" s="919">
        <v>1</v>
      </c>
      <c r="L1183" s="920">
        <f t="shared" si="115"/>
        <v>6663</v>
      </c>
      <c r="M1183" s="920">
        <f t="shared" si="116"/>
        <v>13.59252</v>
      </c>
      <c r="N1183" s="920">
        <f t="shared" si="117"/>
        <v>31.728571428571428</v>
      </c>
      <c r="O1183" s="918" t="str">
        <f t="shared" si="118"/>
        <v>Jan</v>
      </c>
      <c r="P1183" s="921">
        <f t="shared" si="119"/>
        <v>4</v>
      </c>
    </row>
    <row r="1184" spans="1:18" ht="15" hidden="1" customHeight="1">
      <c r="A1184" s="839">
        <v>69564623</v>
      </c>
      <c r="B1184" s="839">
        <v>2904</v>
      </c>
      <c r="C1184" s="906">
        <v>7112</v>
      </c>
      <c r="D1184" s="907">
        <v>46046</v>
      </c>
      <c r="E1184" s="839" t="s">
        <v>378</v>
      </c>
      <c r="F1184" s="839" t="s">
        <v>271</v>
      </c>
      <c r="G1184" s="916">
        <f>VLOOKUP($A1184,'Tech Litons'!$A:$I,8,FALSE)</f>
        <v>8.5199999999999998E-3</v>
      </c>
      <c r="H1184" s="917">
        <f>VLOOKUP($A1184,'Tech Litons'!$A:$I,9,FALSE)</f>
        <v>176</v>
      </c>
      <c r="I1184" s="917" t="str">
        <f>VLOOKUP($A1184,'Tech Litons'!$A:$C,3,0)</f>
        <v>48oz</v>
      </c>
      <c r="J1184" s="918" t="str">
        <f t="shared" si="114"/>
        <v>290448oz</v>
      </c>
      <c r="K1184" s="919">
        <v>1</v>
      </c>
      <c r="L1184" s="920">
        <f t="shared" si="115"/>
        <v>7112</v>
      </c>
      <c r="M1184" s="920">
        <f t="shared" si="116"/>
        <v>60.594239999999999</v>
      </c>
      <c r="N1184" s="920">
        <f t="shared" si="117"/>
        <v>40.409090909090907</v>
      </c>
      <c r="O1184" s="918" t="str">
        <f t="shared" si="118"/>
        <v>Jan</v>
      </c>
      <c r="P1184" s="921">
        <f t="shared" si="119"/>
        <v>4</v>
      </c>
    </row>
    <row r="1185" spans="1:16" ht="15" hidden="1" customHeight="1">
      <c r="A1185" s="839">
        <v>84137725</v>
      </c>
      <c r="B1185" s="839">
        <v>5911</v>
      </c>
      <c r="C1185" s="906">
        <v>10800</v>
      </c>
      <c r="D1185" s="907">
        <v>46046</v>
      </c>
      <c r="E1185" s="839" t="s">
        <v>278</v>
      </c>
      <c r="F1185" s="839" t="s">
        <v>279</v>
      </c>
      <c r="G1185" s="916">
        <f>VLOOKUP($A1185,'Tech Litons'!$A:$I,8,FALSE)</f>
        <v>3.7853439999999999E-3</v>
      </c>
      <c r="H1185" s="917">
        <f>VLOOKUP($A1185,'Tech Litons'!$A:$I,9,FALSE)</f>
        <v>240</v>
      </c>
      <c r="I1185" s="917" t="str">
        <f>VLOOKUP($A1185,'Tech Litons'!$A:$C,3,0)</f>
        <v>BJ PTS</v>
      </c>
      <c r="J1185" s="918" t="str">
        <f t="shared" si="114"/>
        <v>5911BJ PTS</v>
      </c>
      <c r="K1185" s="919">
        <v>1</v>
      </c>
      <c r="L1185" s="920">
        <f t="shared" si="115"/>
        <v>10800</v>
      </c>
      <c r="M1185" s="920">
        <f t="shared" si="116"/>
        <v>40.881715200000002</v>
      </c>
      <c r="N1185" s="920">
        <f t="shared" si="117"/>
        <v>45</v>
      </c>
      <c r="O1185" s="918" t="str">
        <f t="shared" si="118"/>
        <v>Jan</v>
      </c>
      <c r="P1185" s="921">
        <f t="shared" si="119"/>
        <v>4</v>
      </c>
    </row>
    <row r="1186" spans="1:16" ht="15" hidden="1" customHeight="1">
      <c r="A1186" s="839">
        <v>68821734</v>
      </c>
      <c r="B1186" s="839">
        <v>2904</v>
      </c>
      <c r="C1186" s="906">
        <v>12825</v>
      </c>
      <c r="D1186" s="907">
        <v>46046</v>
      </c>
      <c r="E1186" s="839" t="s">
        <v>370</v>
      </c>
      <c r="F1186" s="839" t="s">
        <v>273</v>
      </c>
      <c r="G1186" s="916">
        <f>VLOOKUP($A1186,'Tech Litons'!$A:$I,8,FALSE)</f>
        <v>8.5199999999999998E-3</v>
      </c>
      <c r="H1186" s="917">
        <f>VLOOKUP($A1186,'Tech Litons'!$A:$I,9,FALSE)</f>
        <v>176</v>
      </c>
      <c r="I1186" s="917" t="str">
        <f>VLOOKUP($A1186,'Tech Litons'!$A:$C,3,0)</f>
        <v>48oz</v>
      </c>
      <c r="J1186" s="918" t="str">
        <f t="shared" si="114"/>
        <v>290448oz</v>
      </c>
      <c r="K1186" s="919">
        <v>1</v>
      </c>
      <c r="L1186" s="920">
        <f t="shared" si="115"/>
        <v>12825</v>
      </c>
      <c r="M1186" s="920">
        <f t="shared" si="116"/>
        <v>109.26899999999999</v>
      </c>
      <c r="N1186" s="920">
        <f t="shared" si="117"/>
        <v>72.869318181818187</v>
      </c>
      <c r="O1186" s="918" t="str">
        <f t="shared" si="118"/>
        <v>Jan</v>
      </c>
      <c r="P1186" s="921">
        <f t="shared" si="119"/>
        <v>4</v>
      </c>
    </row>
    <row r="1187" spans="1:16" ht="15" hidden="1" customHeight="1">
      <c r="A1187" s="839">
        <v>84141102</v>
      </c>
      <c r="B1187" s="839">
        <v>5914</v>
      </c>
      <c r="C1187" s="906">
        <v>28794</v>
      </c>
      <c r="D1187" s="907">
        <v>46046</v>
      </c>
      <c r="E1187" s="839" t="s">
        <v>374</v>
      </c>
      <c r="F1187" s="839" t="s">
        <v>304</v>
      </c>
      <c r="G1187" s="916">
        <f>VLOOKUP($A1187,'Tech Litons'!$A:$I,8,FALSE)</f>
        <v>3.7853439999999999E-3</v>
      </c>
      <c r="H1187" s="917">
        <f>VLOOKUP($A1187,'Tech Litons'!$A:$I,9,FALSE)</f>
        <v>240</v>
      </c>
      <c r="I1187" s="917" t="str">
        <f>VLOOKUP($A1187,'Tech Litons'!$A:$C,3,0)</f>
        <v>BJ PTS</v>
      </c>
      <c r="J1187" s="918" t="str">
        <f t="shared" si="114"/>
        <v>5914BJ PTS</v>
      </c>
      <c r="K1187" s="919">
        <v>1</v>
      </c>
      <c r="L1187" s="920">
        <f t="shared" si="115"/>
        <v>28794</v>
      </c>
      <c r="M1187" s="920">
        <f t="shared" si="116"/>
        <v>108.99519513599999</v>
      </c>
      <c r="N1187" s="920">
        <f t="shared" si="117"/>
        <v>119.97499999999999</v>
      </c>
      <c r="O1187" s="918" t="str">
        <f t="shared" si="118"/>
        <v>Jan</v>
      </c>
      <c r="P1187" s="921">
        <f t="shared" si="119"/>
        <v>4</v>
      </c>
    </row>
    <row r="1188" spans="1:16" ht="15" hidden="1" customHeight="1">
      <c r="A1188" s="839">
        <v>84135718</v>
      </c>
      <c r="B1188" s="839">
        <v>5914</v>
      </c>
      <c r="C1188" s="906">
        <v>32400</v>
      </c>
      <c r="D1188" s="907">
        <v>46046</v>
      </c>
      <c r="E1188" s="839" t="s">
        <v>338</v>
      </c>
      <c r="F1188" s="839" t="s">
        <v>301</v>
      </c>
      <c r="G1188" s="916">
        <f>VLOOKUP($A1188,'Tech Litons'!$A:$I,8,FALSE)</f>
        <v>3.7853439999999999E-3</v>
      </c>
      <c r="H1188" s="917">
        <f>VLOOKUP($A1188,'Tech Litons'!$A:$I,9,FALSE)</f>
        <v>240</v>
      </c>
      <c r="I1188" s="917" t="str">
        <f>VLOOKUP($A1188,'Tech Litons'!$A:$C,3,0)</f>
        <v>BJ PTS</v>
      </c>
      <c r="J1188" s="918" t="str">
        <f t="shared" si="114"/>
        <v>5914BJ PTS</v>
      </c>
      <c r="K1188" s="919">
        <v>1</v>
      </c>
      <c r="L1188" s="920">
        <f t="shared" si="115"/>
        <v>32400</v>
      </c>
      <c r="M1188" s="920">
        <f t="shared" si="116"/>
        <v>122.64514559999999</v>
      </c>
      <c r="N1188" s="920">
        <f t="shared" si="117"/>
        <v>135</v>
      </c>
      <c r="O1188" s="918" t="str">
        <f t="shared" si="118"/>
        <v>Jan</v>
      </c>
      <c r="P1188" s="921">
        <f t="shared" si="119"/>
        <v>4</v>
      </c>
    </row>
    <row r="1189" spans="1:16" ht="15" hidden="1" customHeight="1">
      <c r="A1189" s="839">
        <v>84135718</v>
      </c>
      <c r="B1189" s="839">
        <v>5914</v>
      </c>
      <c r="C1189" s="906">
        <v>2996</v>
      </c>
      <c r="D1189" s="907">
        <v>46047</v>
      </c>
      <c r="E1189" s="839" t="s">
        <v>338</v>
      </c>
      <c r="F1189" s="839" t="s">
        <v>301</v>
      </c>
      <c r="G1189" s="916">
        <f>VLOOKUP($A1189,'Tech Litons'!$A:$I,8,FALSE)</f>
        <v>3.7853439999999999E-3</v>
      </c>
      <c r="H1189" s="917">
        <f>VLOOKUP($A1189,'Tech Litons'!$A:$I,9,FALSE)</f>
        <v>240</v>
      </c>
      <c r="I1189" s="917" t="str">
        <f>VLOOKUP($A1189,'Tech Litons'!$A:$C,3,0)</f>
        <v>BJ PTS</v>
      </c>
      <c r="J1189" s="918" t="str">
        <f t="shared" si="114"/>
        <v>5914BJ PTS</v>
      </c>
      <c r="K1189" s="919">
        <v>1</v>
      </c>
      <c r="L1189" s="920">
        <f t="shared" si="115"/>
        <v>2996</v>
      </c>
      <c r="M1189" s="920">
        <f t="shared" si="116"/>
        <v>11.340890624</v>
      </c>
      <c r="N1189" s="920">
        <f t="shared" si="117"/>
        <v>12.483333333333333</v>
      </c>
      <c r="O1189" s="918" t="str">
        <f t="shared" si="118"/>
        <v>Jan</v>
      </c>
      <c r="P1189" s="921">
        <f t="shared" si="119"/>
        <v>5</v>
      </c>
    </row>
    <row r="1190" spans="1:16" ht="15" hidden="1" customHeight="1">
      <c r="A1190" s="839">
        <v>67794169</v>
      </c>
      <c r="B1190" s="839">
        <v>5911</v>
      </c>
      <c r="C1190" s="906">
        <v>26400</v>
      </c>
      <c r="D1190" s="907">
        <v>46047</v>
      </c>
      <c r="E1190" s="839" t="s">
        <v>352</v>
      </c>
      <c r="F1190" s="839" t="s">
        <v>303</v>
      </c>
      <c r="G1190" s="916">
        <f>VLOOKUP($A1190,'Tech Litons'!$A:$I,8,FALSE)</f>
        <v>3.7853439999999999E-3</v>
      </c>
      <c r="H1190" s="917">
        <f>VLOOKUP($A1190,'Tech Litons'!$A:$I,9,FALSE)</f>
        <v>240</v>
      </c>
      <c r="I1190" s="917" t="str">
        <f>VLOOKUP($A1190,'Tech Litons'!$A:$C,3,0)</f>
        <v>BJ PTS</v>
      </c>
      <c r="J1190" s="918" t="str">
        <f t="shared" si="114"/>
        <v>5911BJ PTS</v>
      </c>
      <c r="K1190" s="919">
        <v>1</v>
      </c>
      <c r="L1190" s="920">
        <f t="shared" si="115"/>
        <v>26400</v>
      </c>
      <c r="M1190" s="920">
        <f t="shared" si="116"/>
        <v>99.933081599999994</v>
      </c>
      <c r="N1190" s="920">
        <f t="shared" si="117"/>
        <v>110</v>
      </c>
      <c r="O1190" s="918" t="str">
        <f t="shared" si="118"/>
        <v>Jan</v>
      </c>
      <c r="P1190" s="921">
        <f t="shared" si="119"/>
        <v>5</v>
      </c>
    </row>
    <row r="1191" spans="1:16" ht="15" hidden="1" customHeight="1">
      <c r="A1191" s="839">
        <v>84141102</v>
      </c>
      <c r="B1191" s="839">
        <v>5914</v>
      </c>
      <c r="C1191" s="906">
        <v>-720</v>
      </c>
      <c r="D1191" s="907">
        <v>46048</v>
      </c>
      <c r="E1191" s="839" t="s">
        <v>374</v>
      </c>
      <c r="F1191" s="839" t="s">
        <v>304</v>
      </c>
      <c r="G1191" s="916">
        <f>VLOOKUP($A1191,'Tech Litons'!$A:$I,8,FALSE)</f>
        <v>3.7853439999999999E-3</v>
      </c>
      <c r="H1191" s="917">
        <f>VLOOKUP($A1191,'Tech Litons'!$A:$I,9,FALSE)</f>
        <v>240</v>
      </c>
      <c r="I1191" s="917" t="str">
        <f>VLOOKUP($A1191,'Tech Litons'!$A:$C,3,0)</f>
        <v>BJ PTS</v>
      </c>
      <c r="J1191" s="918" t="str">
        <f t="shared" si="114"/>
        <v>5914BJ PTS</v>
      </c>
      <c r="K1191" s="919">
        <v>1</v>
      </c>
      <c r="L1191" s="920">
        <f t="shared" si="115"/>
        <v>-720</v>
      </c>
      <c r="M1191" s="920">
        <f t="shared" si="116"/>
        <v>-2.7254476799999998</v>
      </c>
      <c r="N1191" s="920">
        <f t="shared" si="117"/>
        <v>-3</v>
      </c>
      <c r="O1191" s="918" t="str">
        <f t="shared" si="118"/>
        <v>Jan</v>
      </c>
      <c r="P1191" s="921">
        <f t="shared" si="119"/>
        <v>5</v>
      </c>
    </row>
    <row r="1192" spans="1:16" ht="15" hidden="1" customHeight="1">
      <c r="A1192" s="839">
        <v>64874633</v>
      </c>
      <c r="B1192" s="839">
        <v>3910</v>
      </c>
      <c r="C1192" s="906">
        <v>-280</v>
      </c>
      <c r="D1192" s="907">
        <v>46048</v>
      </c>
      <c r="E1192" s="839" t="s">
        <v>341</v>
      </c>
      <c r="F1192" s="839" t="s">
        <v>342</v>
      </c>
      <c r="G1192" s="916">
        <f>VLOOKUP($A1192,'Tech Litons'!$A:$I,8,FALSE)</f>
        <v>3.192E-3</v>
      </c>
      <c r="H1192" s="917">
        <f>VLOOKUP($A1192,'Tech Litons'!$A:$I,9,FALSE)</f>
        <v>280</v>
      </c>
      <c r="I1192" s="917" t="str">
        <f>VLOOKUP($A1192,'Tech Litons'!$A:$C,3,0)</f>
        <v>ESS</v>
      </c>
      <c r="J1192" s="918" t="str">
        <f t="shared" si="114"/>
        <v>3910ESS</v>
      </c>
      <c r="K1192" s="919">
        <v>1</v>
      </c>
      <c r="L1192" s="920">
        <f t="shared" si="115"/>
        <v>-280</v>
      </c>
      <c r="M1192" s="920">
        <f t="shared" si="116"/>
        <v>-0.89376</v>
      </c>
      <c r="N1192" s="920">
        <f t="shared" si="117"/>
        <v>-1</v>
      </c>
      <c r="O1192" s="918" t="str">
        <f t="shared" si="118"/>
        <v>Jan</v>
      </c>
      <c r="P1192" s="921">
        <f t="shared" si="119"/>
        <v>5</v>
      </c>
    </row>
    <row r="1193" spans="1:16" ht="15" hidden="1" customHeight="1">
      <c r="A1193" s="839">
        <v>64789261</v>
      </c>
      <c r="B1193" s="839">
        <v>1352</v>
      </c>
      <c r="C1193" s="906">
        <v>23</v>
      </c>
      <c r="D1193" s="907">
        <v>46048</v>
      </c>
      <c r="E1193" s="839" t="s">
        <v>366</v>
      </c>
      <c r="F1193" s="839" t="s">
        <v>287</v>
      </c>
      <c r="G1193" s="916">
        <f>VLOOKUP($A1193,'Tech Litons'!$A:$I,8,FALSE)</f>
        <v>2.8319999999999999E-3</v>
      </c>
      <c r="H1193" s="917">
        <f>VLOOKUP($A1193,'Tech Litons'!$A:$I,9,FALSE)</f>
        <v>225</v>
      </c>
      <c r="I1193" s="917" t="str">
        <f>VLOOKUP($A1193,'Tech Litons'!$A:$C,3,0)</f>
        <v>MBG</v>
      </c>
      <c r="J1193" s="918" t="str">
        <f t="shared" si="114"/>
        <v>1352MBG</v>
      </c>
      <c r="K1193" s="919">
        <v>1</v>
      </c>
      <c r="L1193" s="920">
        <f t="shared" si="115"/>
        <v>23</v>
      </c>
      <c r="M1193" s="920">
        <f t="shared" si="116"/>
        <v>6.5135999999999999E-2</v>
      </c>
      <c r="N1193" s="920">
        <f t="shared" si="117"/>
        <v>0.10222222222222223</v>
      </c>
      <c r="O1193" s="918" t="str">
        <f t="shared" si="118"/>
        <v>Jan</v>
      </c>
      <c r="P1193" s="921">
        <f t="shared" si="119"/>
        <v>5</v>
      </c>
    </row>
    <row r="1194" spans="1:16" ht="15" hidden="1" customHeight="1">
      <c r="A1194" s="839">
        <v>68741742</v>
      </c>
      <c r="B1194" s="839">
        <v>1352</v>
      </c>
      <c r="C1194" s="906">
        <v>154</v>
      </c>
      <c r="D1194" s="907">
        <v>46048</v>
      </c>
      <c r="E1194" s="839" t="s">
        <v>288</v>
      </c>
      <c r="F1194" s="839" t="s">
        <v>289</v>
      </c>
      <c r="G1194" s="916">
        <f>VLOOKUP($A1194,'Tech Litons'!$A:$I,8,FALSE)</f>
        <v>4.2560000000000002E-3</v>
      </c>
      <c r="H1194" s="917">
        <f>VLOOKUP($A1194,'Tech Litons'!$A:$I,9,FALSE)</f>
        <v>154</v>
      </c>
      <c r="I1194" s="917" t="str">
        <f>VLOOKUP($A1194,'Tech Litons'!$A:$C,3,0)</f>
        <v>MBG</v>
      </c>
      <c r="J1194" s="918" t="str">
        <f t="shared" si="114"/>
        <v>1352MBG</v>
      </c>
      <c r="K1194" s="919">
        <v>1</v>
      </c>
      <c r="L1194" s="920">
        <f t="shared" si="115"/>
        <v>154</v>
      </c>
      <c r="M1194" s="920">
        <f t="shared" si="116"/>
        <v>0.65542400000000001</v>
      </c>
      <c r="N1194" s="920">
        <f t="shared" si="117"/>
        <v>1</v>
      </c>
      <c r="O1194" s="918" t="str">
        <f t="shared" si="118"/>
        <v>Jan</v>
      </c>
      <c r="P1194" s="921">
        <f t="shared" si="119"/>
        <v>5</v>
      </c>
    </row>
    <row r="1195" spans="1:16" ht="15" hidden="1" customHeight="1">
      <c r="A1195" s="839">
        <v>67794169</v>
      </c>
      <c r="B1195" s="839">
        <v>5911</v>
      </c>
      <c r="C1195" s="906">
        <v>1440</v>
      </c>
      <c r="D1195" s="907">
        <v>46048</v>
      </c>
      <c r="E1195" s="839" t="s">
        <v>352</v>
      </c>
      <c r="F1195" s="839" t="s">
        <v>303</v>
      </c>
      <c r="G1195" s="916">
        <f>VLOOKUP($A1195,'Tech Litons'!$A:$I,8,FALSE)</f>
        <v>3.7853439999999999E-3</v>
      </c>
      <c r="H1195" s="917">
        <f>VLOOKUP($A1195,'Tech Litons'!$A:$I,9,FALSE)</f>
        <v>240</v>
      </c>
      <c r="I1195" s="917" t="str">
        <f>VLOOKUP($A1195,'Tech Litons'!$A:$C,3,0)</f>
        <v>BJ PTS</v>
      </c>
      <c r="J1195" s="918" t="str">
        <f t="shared" si="114"/>
        <v>5911BJ PTS</v>
      </c>
      <c r="K1195" s="919">
        <v>1</v>
      </c>
      <c r="L1195" s="920">
        <f t="shared" si="115"/>
        <v>1440</v>
      </c>
      <c r="M1195" s="920">
        <f t="shared" si="116"/>
        <v>5.4508953599999996</v>
      </c>
      <c r="N1195" s="920">
        <f t="shared" si="117"/>
        <v>6</v>
      </c>
      <c r="O1195" s="918" t="str">
        <f t="shared" si="118"/>
        <v>Jan</v>
      </c>
      <c r="P1195" s="921">
        <f t="shared" si="119"/>
        <v>5</v>
      </c>
    </row>
    <row r="1196" spans="1:16" ht="15" hidden="1" customHeight="1">
      <c r="A1196" s="839">
        <v>64874633</v>
      </c>
      <c r="B1196" s="839">
        <v>3910</v>
      </c>
      <c r="C1196" s="906">
        <v>3640</v>
      </c>
      <c r="D1196" s="907">
        <v>46048</v>
      </c>
      <c r="E1196" s="839" t="s">
        <v>341</v>
      </c>
      <c r="F1196" s="839" t="s">
        <v>342</v>
      </c>
      <c r="G1196" s="916">
        <f>VLOOKUP($A1196,'Tech Litons'!$A:$I,8,FALSE)</f>
        <v>3.192E-3</v>
      </c>
      <c r="H1196" s="917">
        <f>VLOOKUP($A1196,'Tech Litons'!$A:$I,9,FALSE)</f>
        <v>280</v>
      </c>
      <c r="I1196" s="917" t="str">
        <f>VLOOKUP($A1196,'Tech Litons'!$A:$C,3,0)</f>
        <v>ESS</v>
      </c>
      <c r="J1196" s="918" t="str">
        <f t="shared" si="114"/>
        <v>3910ESS</v>
      </c>
      <c r="K1196" s="919">
        <v>1</v>
      </c>
      <c r="L1196" s="920">
        <f t="shared" si="115"/>
        <v>3640</v>
      </c>
      <c r="M1196" s="920">
        <f t="shared" si="116"/>
        <v>11.618879999999999</v>
      </c>
      <c r="N1196" s="920">
        <f t="shared" si="117"/>
        <v>13</v>
      </c>
      <c r="O1196" s="918" t="str">
        <f t="shared" si="118"/>
        <v>Jan</v>
      </c>
      <c r="P1196" s="921">
        <f t="shared" si="119"/>
        <v>5</v>
      </c>
    </row>
    <row r="1197" spans="1:16" ht="15" hidden="1" customHeight="1">
      <c r="A1197" s="839">
        <v>68851107</v>
      </c>
      <c r="B1197" s="839">
        <v>2904</v>
      </c>
      <c r="C1197" s="906">
        <v>4400</v>
      </c>
      <c r="D1197" s="907">
        <v>46048</v>
      </c>
      <c r="E1197" s="839" t="s">
        <v>272</v>
      </c>
      <c r="F1197" s="839" t="s">
        <v>273</v>
      </c>
      <c r="G1197" s="916">
        <f>VLOOKUP($A1197,'Tech Litons'!$A:$I,8,FALSE)</f>
        <v>8.5199999999999998E-3</v>
      </c>
      <c r="H1197" s="917">
        <f>VLOOKUP($A1197,'Tech Litons'!$A:$I,9,FALSE)</f>
        <v>176</v>
      </c>
      <c r="I1197" s="917" t="str">
        <f>VLOOKUP($A1197,'Tech Litons'!$A:$C,3,0)</f>
        <v>48oz</v>
      </c>
      <c r="J1197" s="918" t="str">
        <f t="shared" si="114"/>
        <v>290448oz</v>
      </c>
      <c r="K1197" s="919">
        <v>1</v>
      </c>
      <c r="L1197" s="920">
        <f t="shared" si="115"/>
        <v>4400</v>
      </c>
      <c r="M1197" s="920">
        <f t="shared" si="116"/>
        <v>37.488</v>
      </c>
      <c r="N1197" s="920">
        <f t="shared" si="117"/>
        <v>25</v>
      </c>
      <c r="O1197" s="918" t="str">
        <f t="shared" si="118"/>
        <v>Jan</v>
      </c>
      <c r="P1197" s="921">
        <f t="shared" si="119"/>
        <v>5</v>
      </c>
    </row>
    <row r="1198" spans="1:16" ht="15" hidden="1" customHeight="1">
      <c r="A1198" s="839">
        <v>67546032</v>
      </c>
      <c r="B1198" s="839">
        <v>5914</v>
      </c>
      <c r="C1198" s="906">
        <v>5264</v>
      </c>
      <c r="D1198" s="907">
        <v>46048</v>
      </c>
      <c r="E1198" s="839" t="s">
        <v>469</v>
      </c>
      <c r="F1198" s="839" t="s">
        <v>303</v>
      </c>
      <c r="G1198" s="916">
        <f>VLOOKUP($A1198,'Tech Litons'!$A:$I,8,FALSE)</f>
        <v>3.6640000000000002E-3</v>
      </c>
      <c r="H1198" s="917">
        <f>VLOOKUP($A1198,'Tech Litons'!$A:$I,9,FALSE)</f>
        <v>240</v>
      </c>
      <c r="I1198" s="917" t="str">
        <f>VLOOKUP($A1198,'Tech Litons'!$A:$C,3,0)</f>
        <v>PTS Exports</v>
      </c>
      <c r="J1198" s="918" t="str">
        <f t="shared" si="114"/>
        <v>5914PTS Exports</v>
      </c>
      <c r="K1198" s="919">
        <v>1</v>
      </c>
      <c r="L1198" s="920">
        <f t="shared" si="115"/>
        <v>5264</v>
      </c>
      <c r="M1198" s="920">
        <f t="shared" si="116"/>
        <v>19.287296000000001</v>
      </c>
      <c r="N1198" s="920">
        <f t="shared" si="117"/>
        <v>21.933333333333334</v>
      </c>
      <c r="O1198" s="918" t="str">
        <f t="shared" si="118"/>
        <v>Jan</v>
      </c>
      <c r="P1198" s="921">
        <f t="shared" si="119"/>
        <v>5</v>
      </c>
    </row>
    <row r="1199" spans="1:16" ht="15" hidden="1" customHeight="1">
      <c r="A1199" s="839">
        <v>67596354</v>
      </c>
      <c r="B1199" s="839">
        <v>5914</v>
      </c>
      <c r="C1199" s="906">
        <v>5760</v>
      </c>
      <c r="D1199" s="907">
        <v>46048</v>
      </c>
      <c r="E1199" s="839" t="s">
        <v>336</v>
      </c>
      <c r="F1199" s="839" t="s">
        <v>303</v>
      </c>
      <c r="G1199" s="916">
        <f>VLOOKUP($A1199,'Tech Litons'!$A:$I,8,FALSE)</f>
        <v>3.6640000000000002E-3</v>
      </c>
      <c r="H1199" s="917">
        <f>VLOOKUP($A1199,'Tech Litons'!$A:$I,9,FALSE)</f>
        <v>240</v>
      </c>
      <c r="I1199" s="917" t="str">
        <f>VLOOKUP($A1199,'Tech Litons'!$A:$C,3,0)</f>
        <v>PTS Exports</v>
      </c>
      <c r="J1199" s="918" t="str">
        <f t="shared" si="114"/>
        <v>5914PTS Exports</v>
      </c>
      <c r="K1199" s="919">
        <v>1</v>
      </c>
      <c r="L1199" s="920">
        <f t="shared" si="115"/>
        <v>5760</v>
      </c>
      <c r="M1199" s="920">
        <f t="shared" si="116"/>
        <v>21.10464</v>
      </c>
      <c r="N1199" s="920">
        <f t="shared" si="117"/>
        <v>24</v>
      </c>
      <c r="O1199" s="918" t="str">
        <f t="shared" si="118"/>
        <v>Jan</v>
      </c>
      <c r="P1199" s="921">
        <f t="shared" si="119"/>
        <v>5</v>
      </c>
    </row>
    <row r="1200" spans="1:16" ht="15" hidden="1" customHeight="1">
      <c r="A1200" s="839">
        <v>69999269</v>
      </c>
      <c r="B1200" s="839">
        <v>5914</v>
      </c>
      <c r="C1200" s="906">
        <v>17040</v>
      </c>
      <c r="D1200" s="907">
        <v>46048</v>
      </c>
      <c r="E1200" s="839" t="s">
        <v>300</v>
      </c>
      <c r="F1200" s="839" t="s">
        <v>301</v>
      </c>
      <c r="G1200" s="916">
        <f>VLOOKUP($A1200,'Tech Litons'!$A:$I,8,FALSE)</f>
        <v>3.7839999999999996E-3</v>
      </c>
      <c r="H1200" s="917">
        <f>VLOOKUP($A1200,'Tech Litons'!$A:$I,9,FALSE)</f>
        <v>240</v>
      </c>
      <c r="I1200" s="917" t="str">
        <f>VLOOKUP($A1200,'Tech Litons'!$A:$C,3,0)</f>
        <v>BJ PTS</v>
      </c>
      <c r="J1200" s="918" t="str">
        <f t="shared" si="114"/>
        <v>5914BJ PTS</v>
      </c>
      <c r="K1200" s="919">
        <v>1</v>
      </c>
      <c r="L1200" s="920">
        <f t="shared" si="115"/>
        <v>17040</v>
      </c>
      <c r="M1200" s="920">
        <f t="shared" si="116"/>
        <v>64.47936</v>
      </c>
      <c r="N1200" s="920">
        <f t="shared" si="117"/>
        <v>71</v>
      </c>
      <c r="O1200" s="918" t="str">
        <f t="shared" si="118"/>
        <v>Jan</v>
      </c>
      <c r="P1200" s="921">
        <f t="shared" si="119"/>
        <v>5</v>
      </c>
    </row>
    <row r="1201" spans="1:18" ht="15" hidden="1" customHeight="1">
      <c r="A1201" s="839">
        <v>84141103</v>
      </c>
      <c r="B1201" s="839">
        <v>5914</v>
      </c>
      <c r="C1201" s="906">
        <v>20877</v>
      </c>
      <c r="D1201" s="907">
        <v>46048</v>
      </c>
      <c r="E1201" s="839" t="s">
        <v>314</v>
      </c>
      <c r="F1201" s="839" t="s">
        <v>512</v>
      </c>
      <c r="G1201" s="916">
        <f>VLOOKUP($A1201,'Tech Litons'!$A:$I,8,FALSE)</f>
        <v>3.7853439999999999E-3</v>
      </c>
      <c r="H1201" s="917">
        <f>VLOOKUP($A1201,'Tech Litons'!$A:$I,9,FALSE)</f>
        <v>240</v>
      </c>
      <c r="I1201" s="917" t="str">
        <f>VLOOKUP($A1201,'Tech Litons'!$A:$C,3,0)</f>
        <v>BJ PTS</v>
      </c>
      <c r="J1201" s="918" t="str">
        <f t="shared" si="114"/>
        <v>5914BJ PTS</v>
      </c>
      <c r="K1201" s="919">
        <v>1</v>
      </c>
      <c r="L1201" s="920">
        <f t="shared" si="115"/>
        <v>20877</v>
      </c>
      <c r="M1201" s="920">
        <f t="shared" si="116"/>
        <v>79.026626687999993</v>
      </c>
      <c r="N1201" s="920">
        <f t="shared" si="117"/>
        <v>86.987499999999997</v>
      </c>
      <c r="O1201" s="918" t="str">
        <f t="shared" si="118"/>
        <v>Jan</v>
      </c>
      <c r="P1201" s="921">
        <f t="shared" si="119"/>
        <v>5</v>
      </c>
    </row>
    <row r="1202" spans="1:18" ht="15" hidden="1" customHeight="1">
      <c r="A1202" s="839">
        <v>67794169</v>
      </c>
      <c r="B1202" s="839">
        <v>5911</v>
      </c>
      <c r="C1202" s="906">
        <v>33120</v>
      </c>
      <c r="D1202" s="907">
        <v>46048</v>
      </c>
      <c r="E1202" s="839" t="s">
        <v>352</v>
      </c>
      <c r="F1202" s="839" t="s">
        <v>303</v>
      </c>
      <c r="G1202" s="916">
        <f>VLOOKUP($A1202,'Tech Litons'!$A:$I,8,FALSE)</f>
        <v>3.7853439999999999E-3</v>
      </c>
      <c r="H1202" s="917">
        <f>VLOOKUP($A1202,'Tech Litons'!$A:$I,9,FALSE)</f>
        <v>240</v>
      </c>
      <c r="I1202" s="917" t="str">
        <f>VLOOKUP($A1202,'Tech Litons'!$A:$C,3,0)</f>
        <v>BJ PTS</v>
      </c>
      <c r="J1202" s="918" t="str">
        <f t="shared" si="114"/>
        <v>5911BJ PTS</v>
      </c>
      <c r="K1202" s="919">
        <v>1</v>
      </c>
      <c r="L1202" s="920">
        <f t="shared" si="115"/>
        <v>33120</v>
      </c>
      <c r="M1202" s="920">
        <f t="shared" si="116"/>
        <v>125.37059327999999</v>
      </c>
      <c r="N1202" s="920">
        <f t="shared" si="117"/>
        <v>138</v>
      </c>
      <c r="O1202" s="918" t="str">
        <f t="shared" si="118"/>
        <v>Jan</v>
      </c>
      <c r="P1202" s="921">
        <f t="shared" si="119"/>
        <v>5</v>
      </c>
    </row>
    <row r="1203" spans="1:18" ht="15" hidden="1" customHeight="1">
      <c r="A1203" s="839">
        <v>84164937</v>
      </c>
      <c r="B1203" s="839">
        <v>5914</v>
      </c>
      <c r="C1203" s="906">
        <v>-830</v>
      </c>
      <c r="D1203" s="907">
        <v>46049</v>
      </c>
      <c r="E1203" s="839" t="s">
        <v>371</v>
      </c>
      <c r="F1203" s="839" t="s">
        <v>301</v>
      </c>
      <c r="G1203" s="916">
        <f>VLOOKUP($A1203,'Tech Litons'!$A:$I,8,FALSE)</f>
        <v>3.7853439999999999E-3</v>
      </c>
      <c r="H1203" s="917">
        <f>VLOOKUP($A1203,'Tech Litons'!$A:$I,9,FALSE)</f>
        <v>240</v>
      </c>
      <c r="I1203" s="917" t="str">
        <f>VLOOKUP($A1203,'Tech Litons'!$A:$C,3,0)</f>
        <v>BJ PTS</v>
      </c>
      <c r="J1203" s="918" t="str">
        <f t="shared" si="114"/>
        <v>5914BJ PTS</v>
      </c>
      <c r="K1203" s="919">
        <v>1</v>
      </c>
      <c r="L1203" s="920">
        <f t="shared" si="115"/>
        <v>-830</v>
      </c>
      <c r="M1203" s="920">
        <f t="shared" si="116"/>
        <v>-3.1418355199999999</v>
      </c>
      <c r="N1203" s="920">
        <f t="shared" si="117"/>
        <v>-3.4583333333333335</v>
      </c>
      <c r="O1203" s="918" t="str">
        <f t="shared" si="118"/>
        <v>Jan</v>
      </c>
      <c r="P1203" s="921">
        <f t="shared" si="119"/>
        <v>5</v>
      </c>
    </row>
    <row r="1204" spans="1:18" ht="15" hidden="1" customHeight="1">
      <c r="A1204" s="839">
        <v>84141094</v>
      </c>
      <c r="B1204" s="839">
        <v>5914</v>
      </c>
      <c r="C1204" s="906">
        <v>-240</v>
      </c>
      <c r="D1204" s="907">
        <v>46049</v>
      </c>
      <c r="E1204" s="839" t="s">
        <v>393</v>
      </c>
      <c r="F1204" s="839" t="s">
        <v>279</v>
      </c>
      <c r="G1204" s="916">
        <f>VLOOKUP($A1204,'Tech Litons'!$A:$I,8,FALSE)</f>
        <v>3.7839999999999996E-3</v>
      </c>
      <c r="H1204" s="917">
        <f>VLOOKUP($A1204,'Tech Litons'!$A:$I,9,FALSE)</f>
        <v>240</v>
      </c>
      <c r="I1204" s="917" t="str">
        <f>VLOOKUP($A1204,'Tech Litons'!$A:$C,3,0)</f>
        <v>BJ PTS</v>
      </c>
      <c r="J1204" s="918" t="str">
        <f t="shared" si="114"/>
        <v>5914BJ PTS</v>
      </c>
      <c r="K1204" s="919">
        <v>1</v>
      </c>
      <c r="L1204" s="920">
        <f t="shared" si="115"/>
        <v>-240</v>
      </c>
      <c r="M1204" s="920">
        <f t="shared" si="116"/>
        <v>-0.90815999999999986</v>
      </c>
      <c r="N1204" s="920">
        <f t="shared" si="117"/>
        <v>-1</v>
      </c>
      <c r="O1204" s="918" t="str">
        <f t="shared" si="118"/>
        <v>Jan</v>
      </c>
      <c r="P1204" s="921">
        <f t="shared" si="119"/>
        <v>5</v>
      </c>
    </row>
    <row r="1205" spans="1:18" ht="15" hidden="1" customHeight="1">
      <c r="A1205" s="839">
        <v>67546032</v>
      </c>
      <c r="B1205" s="839">
        <v>5914</v>
      </c>
      <c r="C1205" s="906">
        <v>-112</v>
      </c>
      <c r="D1205" s="907">
        <v>46049</v>
      </c>
      <c r="E1205" s="839" t="s">
        <v>469</v>
      </c>
      <c r="F1205" s="839" t="s">
        <v>303</v>
      </c>
      <c r="G1205" s="916">
        <f>VLOOKUP($A1205,'Tech Litons'!$A:$I,8,FALSE)</f>
        <v>3.6640000000000002E-3</v>
      </c>
      <c r="H1205" s="917">
        <f>VLOOKUP($A1205,'Tech Litons'!$A:$I,9,FALSE)</f>
        <v>240</v>
      </c>
      <c r="I1205" s="917" t="str">
        <f>VLOOKUP($A1205,'Tech Litons'!$A:$C,3,0)</f>
        <v>PTS Exports</v>
      </c>
      <c r="J1205" s="918" t="str">
        <f t="shared" si="114"/>
        <v>5914PTS Exports</v>
      </c>
      <c r="K1205" s="919">
        <v>1</v>
      </c>
      <c r="L1205" s="920">
        <f t="shared" si="115"/>
        <v>-112</v>
      </c>
      <c r="M1205" s="920">
        <f t="shared" si="116"/>
        <v>-0.41036800000000001</v>
      </c>
      <c r="N1205" s="920">
        <f t="shared" si="117"/>
        <v>-0.46666666666666667</v>
      </c>
      <c r="O1205" s="918" t="str">
        <f t="shared" si="118"/>
        <v>Jan</v>
      </c>
      <c r="P1205" s="921">
        <f t="shared" si="119"/>
        <v>5</v>
      </c>
    </row>
    <row r="1206" spans="1:18" ht="15" hidden="1" customHeight="1">
      <c r="A1206" s="839">
        <v>68741714</v>
      </c>
      <c r="B1206" s="839">
        <v>1352</v>
      </c>
      <c r="C1206" s="906">
        <v>4</v>
      </c>
      <c r="D1206" s="907">
        <v>46049</v>
      </c>
      <c r="E1206" s="839" t="s">
        <v>286</v>
      </c>
      <c r="F1206" s="839" t="s">
        <v>287</v>
      </c>
      <c r="G1206" s="916">
        <f>VLOOKUP($A1206,'Tech Litons'!$A:$I,8,FALSE)</f>
        <v>2.8319999999999999E-3</v>
      </c>
      <c r="H1206" s="917">
        <f>VLOOKUP($A1206,'Tech Litons'!$A:$I,9,FALSE)</f>
        <v>225</v>
      </c>
      <c r="I1206" s="917" t="str">
        <f>VLOOKUP($A1206,'Tech Litons'!$A:$C,3,0)</f>
        <v>MBG</v>
      </c>
      <c r="J1206" s="918" t="str">
        <f t="shared" si="114"/>
        <v>1352MBG</v>
      </c>
      <c r="K1206" s="919">
        <v>1</v>
      </c>
      <c r="L1206" s="920">
        <f t="shared" si="115"/>
        <v>4</v>
      </c>
      <c r="M1206" s="920">
        <f t="shared" si="116"/>
        <v>1.1328E-2</v>
      </c>
      <c r="N1206" s="920">
        <f t="shared" si="117"/>
        <v>1.7777777777777778E-2</v>
      </c>
      <c r="O1206" s="918" t="str">
        <f t="shared" si="118"/>
        <v>Jan</v>
      </c>
      <c r="P1206" s="921">
        <f t="shared" si="119"/>
        <v>5</v>
      </c>
      <c r="Q1206" s="756"/>
      <c r="R1206" s="756"/>
    </row>
    <row r="1207" spans="1:18" ht="15" hidden="1" customHeight="1">
      <c r="A1207" s="839">
        <v>69988931</v>
      </c>
      <c r="B1207" s="839">
        <v>2904</v>
      </c>
      <c r="C1207" s="906">
        <v>53</v>
      </c>
      <c r="D1207" s="907">
        <v>46049</v>
      </c>
      <c r="E1207" s="839" t="s">
        <v>363</v>
      </c>
      <c r="F1207" s="839" t="s">
        <v>281</v>
      </c>
      <c r="G1207" s="916">
        <f>VLOOKUP($A1207,'Tech Litons'!$A:$I,8,FALSE)</f>
        <v>1.98E-3</v>
      </c>
      <c r="H1207" s="917">
        <f>VLOOKUP($A1207,'Tech Litons'!$A:$I,9,FALSE)</f>
        <v>176</v>
      </c>
      <c r="I1207" s="917" t="str">
        <f>VLOOKUP($A1207,'Tech Litons'!$A:$C,3,0)</f>
        <v>MG Sticks</v>
      </c>
      <c r="J1207" s="918" t="str">
        <f t="shared" si="114"/>
        <v>2904MG Sticks</v>
      </c>
      <c r="K1207" s="919">
        <v>1</v>
      </c>
      <c r="L1207" s="920">
        <f t="shared" si="115"/>
        <v>53</v>
      </c>
      <c r="M1207" s="920">
        <f t="shared" si="116"/>
        <v>0.10494000000000001</v>
      </c>
      <c r="N1207" s="920">
        <f t="shared" si="117"/>
        <v>0.30113636363636365</v>
      </c>
      <c r="O1207" s="918" t="str">
        <f t="shared" si="118"/>
        <v>Jan</v>
      </c>
      <c r="P1207" s="921">
        <f t="shared" si="119"/>
        <v>5</v>
      </c>
    </row>
    <row r="1208" spans="1:18" ht="15" hidden="1" customHeight="1">
      <c r="A1208" s="839">
        <v>69717802</v>
      </c>
      <c r="B1208" s="839">
        <v>2904</v>
      </c>
      <c r="C1208" s="906">
        <v>64</v>
      </c>
      <c r="D1208" s="907">
        <v>46049</v>
      </c>
      <c r="E1208" s="839" t="s">
        <v>388</v>
      </c>
      <c r="F1208" s="839" t="s">
        <v>281</v>
      </c>
      <c r="G1208" s="916">
        <f>VLOOKUP($A1208,'Tech Litons'!$A:$I,8,FALSE)</f>
        <v>4.2560000000000002E-3</v>
      </c>
      <c r="H1208" s="917">
        <f>VLOOKUP($A1208,'Tech Litons'!$A:$I,9,FALSE)</f>
        <v>143</v>
      </c>
      <c r="I1208" s="917" t="str">
        <f>VLOOKUP($A1208,'Tech Litons'!$A:$C,3,0)</f>
        <v>MG Sticks</v>
      </c>
      <c r="J1208" s="918" t="str">
        <f t="shared" si="114"/>
        <v>2904MG Sticks</v>
      </c>
      <c r="K1208" s="919">
        <v>1</v>
      </c>
      <c r="L1208" s="920">
        <f t="shared" si="115"/>
        <v>64</v>
      </c>
      <c r="M1208" s="920">
        <f t="shared" si="116"/>
        <v>0.27238400000000001</v>
      </c>
      <c r="N1208" s="920">
        <f t="shared" si="117"/>
        <v>0.44755244755244755</v>
      </c>
      <c r="O1208" s="918" t="str">
        <f t="shared" si="118"/>
        <v>Jan</v>
      </c>
      <c r="P1208" s="921">
        <f t="shared" si="119"/>
        <v>5</v>
      </c>
    </row>
    <row r="1209" spans="1:18" ht="15" hidden="1" customHeight="1">
      <c r="A1209" s="839">
        <v>68899825</v>
      </c>
      <c r="B1209" s="839">
        <v>2904</v>
      </c>
      <c r="C1209" s="906">
        <v>72</v>
      </c>
      <c r="D1209" s="907">
        <v>46049</v>
      </c>
      <c r="E1209" s="839" t="s">
        <v>382</v>
      </c>
      <c r="F1209" s="839" t="s">
        <v>271</v>
      </c>
      <c r="G1209" s="916">
        <f>VLOOKUP($A1209,'Tech Litons'!$A:$I,8,FALSE)</f>
        <v>8.513999999999999E-3</v>
      </c>
      <c r="H1209" s="917">
        <f>VLOOKUP($A1209,'Tech Litons'!$A:$I,9,FALSE)</f>
        <v>176</v>
      </c>
      <c r="I1209" s="917" t="str">
        <f>VLOOKUP($A1209,'Tech Litons'!$A:$C,3,0)</f>
        <v>48oz</v>
      </c>
      <c r="J1209" s="918" t="str">
        <f t="shared" si="114"/>
        <v>290448oz</v>
      </c>
      <c r="K1209" s="919">
        <v>1</v>
      </c>
      <c r="L1209" s="920">
        <f t="shared" si="115"/>
        <v>72</v>
      </c>
      <c r="M1209" s="920">
        <f t="shared" si="116"/>
        <v>0.61300799999999989</v>
      </c>
      <c r="N1209" s="920">
        <f t="shared" si="117"/>
        <v>0.40909090909090912</v>
      </c>
      <c r="O1209" s="918" t="str">
        <f t="shared" si="118"/>
        <v>Jan</v>
      </c>
      <c r="P1209" s="921">
        <f t="shared" si="119"/>
        <v>5</v>
      </c>
    </row>
    <row r="1210" spans="1:18" ht="15" hidden="1" customHeight="1">
      <c r="A1210" s="839">
        <v>69988931</v>
      </c>
      <c r="B1210" s="839">
        <v>2904</v>
      </c>
      <c r="C1210" s="906">
        <v>80</v>
      </c>
      <c r="D1210" s="907">
        <v>46049</v>
      </c>
      <c r="E1210" s="839" t="s">
        <v>363</v>
      </c>
      <c r="F1210" s="839" t="s">
        <v>281</v>
      </c>
      <c r="G1210" s="916">
        <f>VLOOKUP($A1210,'Tech Litons'!$A:$I,8,FALSE)</f>
        <v>1.98E-3</v>
      </c>
      <c r="H1210" s="917">
        <f>VLOOKUP($A1210,'Tech Litons'!$A:$I,9,FALSE)</f>
        <v>176</v>
      </c>
      <c r="I1210" s="917" t="str">
        <f>VLOOKUP($A1210,'Tech Litons'!$A:$C,3,0)</f>
        <v>MG Sticks</v>
      </c>
      <c r="J1210" s="918" t="str">
        <f t="shared" si="114"/>
        <v>2904MG Sticks</v>
      </c>
      <c r="K1210" s="919">
        <v>1</v>
      </c>
      <c r="L1210" s="920">
        <f t="shared" si="115"/>
        <v>80</v>
      </c>
      <c r="M1210" s="920">
        <f t="shared" si="116"/>
        <v>0.15839999999999999</v>
      </c>
      <c r="N1210" s="920">
        <f t="shared" si="117"/>
        <v>0.45454545454545453</v>
      </c>
      <c r="O1210" s="918" t="str">
        <f t="shared" si="118"/>
        <v>Jan</v>
      </c>
      <c r="P1210" s="921">
        <f t="shared" si="119"/>
        <v>5</v>
      </c>
    </row>
    <row r="1211" spans="1:18" ht="15" hidden="1" customHeight="1">
      <c r="A1211" s="839">
        <v>64988056</v>
      </c>
      <c r="B1211" s="839">
        <v>2904</v>
      </c>
      <c r="C1211" s="906">
        <v>81</v>
      </c>
      <c r="D1211" s="907">
        <v>46049</v>
      </c>
      <c r="E1211" s="839" t="s">
        <v>268</v>
      </c>
      <c r="F1211" s="839" t="s">
        <v>269</v>
      </c>
      <c r="G1211" s="916">
        <f>VLOOKUP($A1211,'Tech Litons'!$A:$I,8,FALSE)</f>
        <v>8.513999999999999E-3</v>
      </c>
      <c r="H1211" s="917">
        <f>VLOOKUP($A1211,'Tech Litons'!$A:$I,9,FALSE)</f>
        <v>176</v>
      </c>
      <c r="I1211" s="917" t="str">
        <f>VLOOKUP($A1211,'Tech Litons'!$A:$C,3,0)</f>
        <v>48oz</v>
      </c>
      <c r="J1211" s="918" t="str">
        <f t="shared" si="114"/>
        <v>290448oz</v>
      </c>
      <c r="K1211" s="919">
        <v>1</v>
      </c>
      <c r="L1211" s="920">
        <f t="shared" si="115"/>
        <v>81</v>
      </c>
      <c r="M1211" s="920">
        <f t="shared" si="116"/>
        <v>0.68963399999999997</v>
      </c>
      <c r="N1211" s="920">
        <f t="shared" si="117"/>
        <v>0.46022727272727271</v>
      </c>
      <c r="O1211" s="918" t="str">
        <f t="shared" si="118"/>
        <v>Jan</v>
      </c>
      <c r="P1211" s="921">
        <f t="shared" si="119"/>
        <v>5</v>
      </c>
    </row>
    <row r="1212" spans="1:18" ht="15" hidden="1" customHeight="1">
      <c r="A1212" s="839">
        <v>69564623</v>
      </c>
      <c r="B1212" s="839">
        <v>2904</v>
      </c>
      <c r="C1212" s="906">
        <v>110</v>
      </c>
      <c r="D1212" s="907">
        <v>46049</v>
      </c>
      <c r="E1212" s="839" t="s">
        <v>378</v>
      </c>
      <c r="F1212" s="839" t="s">
        <v>269</v>
      </c>
      <c r="G1212" s="916">
        <f>VLOOKUP($A1212,'Tech Litons'!$A:$I,8,FALSE)</f>
        <v>8.5199999999999998E-3</v>
      </c>
      <c r="H1212" s="917">
        <f>VLOOKUP($A1212,'Tech Litons'!$A:$I,9,FALSE)</f>
        <v>176</v>
      </c>
      <c r="I1212" s="917" t="str">
        <f>VLOOKUP($A1212,'Tech Litons'!$A:$C,3,0)</f>
        <v>48oz</v>
      </c>
      <c r="J1212" s="918" t="str">
        <f t="shared" si="114"/>
        <v>290448oz</v>
      </c>
      <c r="K1212" s="919">
        <v>1</v>
      </c>
      <c r="L1212" s="920">
        <f t="shared" si="115"/>
        <v>110</v>
      </c>
      <c r="M1212" s="920">
        <f t="shared" si="116"/>
        <v>0.93720000000000003</v>
      </c>
      <c r="N1212" s="920">
        <f t="shared" si="117"/>
        <v>0.625</v>
      </c>
      <c r="O1212" s="918" t="str">
        <f t="shared" si="118"/>
        <v>Jan</v>
      </c>
      <c r="P1212" s="921">
        <f t="shared" si="119"/>
        <v>5</v>
      </c>
    </row>
    <row r="1213" spans="1:18" ht="15" hidden="1" customHeight="1">
      <c r="A1213" s="839">
        <v>68710285</v>
      </c>
      <c r="B1213" s="839">
        <v>1352</v>
      </c>
      <c r="C1213" s="906">
        <v>132</v>
      </c>
      <c r="D1213" s="907">
        <v>46049</v>
      </c>
      <c r="E1213" s="839" t="s">
        <v>367</v>
      </c>
      <c r="F1213" s="839" t="s">
        <v>242</v>
      </c>
      <c r="G1213" s="916">
        <f>VLOOKUP($A1213,'Tech Litons'!$A:$I,8,FALSE)</f>
        <v>9.5760000000000012E-3</v>
      </c>
      <c r="H1213" s="917">
        <f>VLOOKUP($A1213,'Tech Litons'!$A:$I,9,FALSE)</f>
        <v>132</v>
      </c>
      <c r="I1213" s="917" t="str">
        <f>VLOOKUP($A1213,'Tech Litons'!$A:$C,3,0)</f>
        <v>EDF</v>
      </c>
      <c r="J1213" s="918" t="str">
        <f t="shared" si="114"/>
        <v>1352EDF</v>
      </c>
      <c r="K1213" s="919">
        <v>1</v>
      </c>
      <c r="L1213" s="920">
        <f t="shared" si="115"/>
        <v>132</v>
      </c>
      <c r="M1213" s="920">
        <f t="shared" si="116"/>
        <v>1.2640320000000003</v>
      </c>
      <c r="N1213" s="920">
        <f t="shared" si="117"/>
        <v>1</v>
      </c>
      <c r="O1213" s="918" t="str">
        <f t="shared" si="118"/>
        <v>Jan</v>
      </c>
      <c r="P1213" s="921">
        <f t="shared" si="119"/>
        <v>5</v>
      </c>
    </row>
    <row r="1214" spans="1:18" ht="15" hidden="1" customHeight="1">
      <c r="A1214" s="839">
        <v>69564623</v>
      </c>
      <c r="B1214" s="839">
        <v>2904</v>
      </c>
      <c r="C1214" s="906">
        <v>157</v>
      </c>
      <c r="D1214" s="907">
        <v>46049</v>
      </c>
      <c r="E1214" s="839" t="s">
        <v>378</v>
      </c>
      <c r="F1214" s="839" t="s">
        <v>271</v>
      </c>
      <c r="G1214" s="916">
        <f>VLOOKUP($A1214,'Tech Litons'!$A:$I,8,FALSE)</f>
        <v>8.5199999999999998E-3</v>
      </c>
      <c r="H1214" s="917">
        <f>VLOOKUP($A1214,'Tech Litons'!$A:$I,9,FALSE)</f>
        <v>176</v>
      </c>
      <c r="I1214" s="917" t="str">
        <f>VLOOKUP($A1214,'Tech Litons'!$A:$C,3,0)</f>
        <v>48oz</v>
      </c>
      <c r="J1214" s="918" t="str">
        <f t="shared" si="114"/>
        <v>290448oz</v>
      </c>
      <c r="K1214" s="919">
        <v>1</v>
      </c>
      <c r="L1214" s="920">
        <f t="shared" si="115"/>
        <v>157</v>
      </c>
      <c r="M1214" s="920">
        <f t="shared" si="116"/>
        <v>1.3376399999999999</v>
      </c>
      <c r="N1214" s="920">
        <f t="shared" si="117"/>
        <v>0.89204545454545459</v>
      </c>
      <c r="O1214" s="918" t="str">
        <f t="shared" si="118"/>
        <v>Jan</v>
      </c>
      <c r="P1214" s="921">
        <f t="shared" si="119"/>
        <v>5</v>
      </c>
    </row>
    <row r="1215" spans="1:18" ht="15" hidden="1" customHeight="1">
      <c r="A1215" s="839">
        <v>84144598</v>
      </c>
      <c r="B1215" s="839">
        <v>2904</v>
      </c>
      <c r="C1215" s="906">
        <v>158</v>
      </c>
      <c r="D1215" s="907">
        <v>46049</v>
      </c>
      <c r="E1215" s="839" t="s">
        <v>364</v>
      </c>
      <c r="F1215" s="839" t="s">
        <v>299</v>
      </c>
      <c r="G1215" s="916">
        <f>VLOOKUP($A1215,'Tech Litons'!$A:$I,8,FALSE)</f>
        <v>3.7853439999999999E-3</v>
      </c>
      <c r="H1215" s="917">
        <f>VLOOKUP($A1215,'Tech Litons'!$A:$I,9,FALSE)</f>
        <v>240</v>
      </c>
      <c r="I1215" s="917" t="str">
        <f>VLOOKUP($A1215,'Tech Litons'!$A:$C,3,0)</f>
        <v>BJ PTS</v>
      </c>
      <c r="J1215" s="918" t="str">
        <f t="shared" si="114"/>
        <v>2904BJ PTS</v>
      </c>
      <c r="K1215" s="919">
        <v>1</v>
      </c>
      <c r="L1215" s="920">
        <f t="shared" si="115"/>
        <v>158</v>
      </c>
      <c r="M1215" s="920">
        <f t="shared" si="116"/>
        <v>0.59808435199999999</v>
      </c>
      <c r="N1215" s="920">
        <f t="shared" si="117"/>
        <v>0.65833333333333333</v>
      </c>
      <c r="O1215" s="918" t="str">
        <f t="shared" si="118"/>
        <v>Jan</v>
      </c>
      <c r="P1215" s="921">
        <f t="shared" si="119"/>
        <v>5</v>
      </c>
    </row>
    <row r="1216" spans="1:18" ht="15" hidden="1" customHeight="1">
      <c r="A1216" s="839">
        <v>68860662</v>
      </c>
      <c r="B1216" s="839">
        <v>2904</v>
      </c>
      <c r="C1216" s="906">
        <v>174</v>
      </c>
      <c r="D1216" s="907">
        <v>46049</v>
      </c>
      <c r="E1216" s="839" t="s">
        <v>411</v>
      </c>
      <c r="F1216" s="839" t="s">
        <v>277</v>
      </c>
      <c r="G1216" s="916">
        <f>VLOOKUP($A1216,'Tech Litons'!$A:$I,8,FALSE)</f>
        <v>3.7839999999999996E-3</v>
      </c>
      <c r="H1216" s="917">
        <f>VLOOKUP($A1216,'Tech Litons'!$A:$I,9,FALSE)</f>
        <v>255</v>
      </c>
      <c r="I1216" s="917" t="str">
        <f>VLOOKUP($A1216,'Tech Litons'!$A:$C,3,0)</f>
        <v>Talenti</v>
      </c>
      <c r="J1216" s="918" t="str">
        <f t="shared" si="114"/>
        <v>2904Talenti</v>
      </c>
      <c r="K1216" s="919">
        <v>1</v>
      </c>
      <c r="L1216" s="920">
        <f t="shared" si="115"/>
        <v>174</v>
      </c>
      <c r="M1216" s="920">
        <f t="shared" si="116"/>
        <v>0.65841599999999989</v>
      </c>
      <c r="N1216" s="920">
        <f t="shared" si="117"/>
        <v>0.68235294117647061</v>
      </c>
      <c r="O1216" s="918" t="str">
        <f t="shared" si="118"/>
        <v>Jan</v>
      </c>
      <c r="P1216" s="921">
        <f t="shared" si="119"/>
        <v>5</v>
      </c>
    </row>
    <row r="1217" spans="1:16" ht="15" hidden="1" customHeight="1">
      <c r="A1217" s="839">
        <v>68860659</v>
      </c>
      <c r="B1217" s="839">
        <v>2904</v>
      </c>
      <c r="C1217" s="906">
        <v>255</v>
      </c>
      <c r="D1217" s="907">
        <v>46049</v>
      </c>
      <c r="E1217" s="839" t="s">
        <v>453</v>
      </c>
      <c r="F1217" s="839" t="s">
        <v>277</v>
      </c>
      <c r="G1217" s="916">
        <f>VLOOKUP($A1217,'Tech Litons'!$A:$I,8,FALSE)</f>
        <v>3.7839999999999996E-3</v>
      </c>
      <c r="H1217" s="917">
        <f>VLOOKUP($A1217,'Tech Litons'!$A:$I,9,FALSE)</f>
        <v>255</v>
      </c>
      <c r="I1217" s="917" t="str">
        <f>VLOOKUP($A1217,'Tech Litons'!$A:$C,3,0)</f>
        <v>Talenti</v>
      </c>
      <c r="J1217" s="918" t="str">
        <f t="shared" si="114"/>
        <v>2904Talenti</v>
      </c>
      <c r="K1217" s="919">
        <v>1</v>
      </c>
      <c r="L1217" s="920">
        <f t="shared" si="115"/>
        <v>255</v>
      </c>
      <c r="M1217" s="920">
        <f t="shared" si="116"/>
        <v>0.96491999999999989</v>
      </c>
      <c r="N1217" s="920">
        <f t="shared" si="117"/>
        <v>1</v>
      </c>
      <c r="O1217" s="918" t="str">
        <f t="shared" si="118"/>
        <v>Jan</v>
      </c>
      <c r="P1217" s="921">
        <f t="shared" si="119"/>
        <v>5</v>
      </c>
    </row>
    <row r="1218" spans="1:16" ht="15" hidden="1" customHeight="1">
      <c r="A1218" s="839">
        <v>64874633</v>
      </c>
      <c r="B1218" s="839">
        <v>3910</v>
      </c>
      <c r="C1218" s="906">
        <v>280</v>
      </c>
      <c r="D1218" s="907">
        <v>46049</v>
      </c>
      <c r="E1218" s="839" t="s">
        <v>341</v>
      </c>
      <c r="F1218" s="839" t="s">
        <v>342</v>
      </c>
      <c r="G1218" s="916">
        <f>VLOOKUP($A1218,'Tech Litons'!$A:$I,8,FALSE)</f>
        <v>3.192E-3</v>
      </c>
      <c r="H1218" s="917">
        <f>VLOOKUP($A1218,'Tech Litons'!$A:$I,9,FALSE)</f>
        <v>280</v>
      </c>
      <c r="I1218" s="917" t="str">
        <f>VLOOKUP($A1218,'Tech Litons'!$A:$C,3,0)</f>
        <v>ESS</v>
      </c>
      <c r="J1218" s="918" t="str">
        <f t="shared" si="114"/>
        <v>3910ESS</v>
      </c>
      <c r="K1218" s="919">
        <v>1</v>
      </c>
      <c r="L1218" s="920">
        <f t="shared" si="115"/>
        <v>280</v>
      </c>
      <c r="M1218" s="920">
        <f t="shared" si="116"/>
        <v>0.89376</v>
      </c>
      <c r="N1218" s="920">
        <f t="shared" si="117"/>
        <v>1</v>
      </c>
      <c r="O1218" s="918" t="str">
        <f t="shared" si="118"/>
        <v>Jan</v>
      </c>
      <c r="P1218" s="921">
        <f t="shared" si="119"/>
        <v>5</v>
      </c>
    </row>
    <row r="1219" spans="1:16" ht="15" hidden="1" customHeight="1">
      <c r="A1219" s="839">
        <v>68867755</v>
      </c>
      <c r="B1219" s="839">
        <v>2904</v>
      </c>
      <c r="C1219" s="906">
        <v>753</v>
      </c>
      <c r="D1219" s="907">
        <v>46049</v>
      </c>
      <c r="E1219" s="839" t="s">
        <v>274</v>
      </c>
      <c r="F1219" s="839" t="s">
        <v>275</v>
      </c>
      <c r="G1219" s="916">
        <f>VLOOKUP($A1219,'Tech Litons'!$A:$I,8,FALSE)</f>
        <v>3.552E-3</v>
      </c>
      <c r="H1219" s="917">
        <f>VLOOKUP($A1219,'Tech Litons'!$A:$I,9,FALSE)</f>
        <v>255</v>
      </c>
      <c r="I1219" s="917" t="str">
        <f>VLOOKUP($A1219,'Tech Litons'!$A:$C,3,0)</f>
        <v>Talenti</v>
      </c>
      <c r="J1219" s="918" t="str">
        <f t="shared" si="114"/>
        <v>2904Talenti</v>
      </c>
      <c r="K1219" s="919">
        <v>1</v>
      </c>
      <c r="L1219" s="920">
        <f t="shared" si="115"/>
        <v>753</v>
      </c>
      <c r="M1219" s="920">
        <f t="shared" si="116"/>
        <v>2.6746560000000001</v>
      </c>
      <c r="N1219" s="920">
        <f t="shared" si="117"/>
        <v>2.9529411764705884</v>
      </c>
      <c r="O1219" s="918" t="str">
        <f t="shared" si="118"/>
        <v>Jan</v>
      </c>
      <c r="P1219" s="921">
        <f t="shared" si="119"/>
        <v>5</v>
      </c>
    </row>
    <row r="1220" spans="1:16" ht="15" hidden="1" customHeight="1">
      <c r="A1220" s="839">
        <v>64393722</v>
      </c>
      <c r="B1220" s="839">
        <v>2904</v>
      </c>
      <c r="C1220" s="906">
        <v>840</v>
      </c>
      <c r="D1220" s="907">
        <v>46049</v>
      </c>
      <c r="E1220" s="839" t="s">
        <v>282</v>
      </c>
      <c r="F1220" s="839" t="s">
        <v>283</v>
      </c>
      <c r="G1220" s="916">
        <f>VLOOKUP($A1220,'Tech Litons'!$A:$I,8,FALSE)</f>
        <v>2.16E-3</v>
      </c>
      <c r="H1220" s="917">
        <f>VLOOKUP($A1220,'Tech Litons'!$A:$I,9,FALSE)</f>
        <v>210</v>
      </c>
      <c r="I1220" s="917" t="str">
        <f>VLOOKUP($A1220,'Tech Litons'!$A:$C,3,0)</f>
        <v>MG Sticks</v>
      </c>
      <c r="J1220" s="918" t="str">
        <f t="shared" si="114"/>
        <v>2904MG Sticks</v>
      </c>
      <c r="K1220" s="919">
        <v>1</v>
      </c>
      <c r="L1220" s="920">
        <f t="shared" si="115"/>
        <v>840</v>
      </c>
      <c r="M1220" s="920">
        <f t="shared" si="116"/>
        <v>1.8144</v>
      </c>
      <c r="N1220" s="920">
        <f t="shared" si="117"/>
        <v>4</v>
      </c>
      <c r="O1220" s="918" t="str">
        <f t="shared" si="118"/>
        <v>Jan</v>
      </c>
      <c r="P1220" s="921">
        <f t="shared" si="119"/>
        <v>5</v>
      </c>
    </row>
    <row r="1221" spans="1:16" ht="15" hidden="1" customHeight="1">
      <c r="A1221" s="839">
        <v>64958127</v>
      </c>
      <c r="B1221" s="839">
        <v>2904</v>
      </c>
      <c r="C1221" s="906">
        <v>990</v>
      </c>
      <c r="D1221" s="907">
        <v>46049</v>
      </c>
      <c r="E1221" s="839" t="s">
        <v>237</v>
      </c>
      <c r="F1221" s="839" t="s">
        <v>234</v>
      </c>
      <c r="G1221" s="916">
        <f>VLOOKUP($A1221,'Tech Litons'!$A:$I,8,FALSE)</f>
        <v>3.3119999999999998E-3</v>
      </c>
      <c r="H1221" s="917">
        <f>VLOOKUP($A1221,'Tech Litons'!$A:$I,9,FALSE)</f>
        <v>165</v>
      </c>
      <c r="I1221" s="917" t="str">
        <f>VLOOKUP($A1221,'Tech Litons'!$A:$C,3,0)</f>
        <v>Yasso Sticks</v>
      </c>
      <c r="J1221" s="918" t="str">
        <f t="shared" si="114"/>
        <v>2904Yasso Sticks</v>
      </c>
      <c r="K1221" s="919">
        <v>1</v>
      </c>
      <c r="L1221" s="920">
        <f t="shared" si="115"/>
        <v>990</v>
      </c>
      <c r="M1221" s="920">
        <f t="shared" si="116"/>
        <v>3.27888</v>
      </c>
      <c r="N1221" s="920">
        <f t="shared" si="117"/>
        <v>6</v>
      </c>
      <c r="O1221" s="918" t="str">
        <f t="shared" si="118"/>
        <v>Jan</v>
      </c>
      <c r="P1221" s="921">
        <f t="shared" si="119"/>
        <v>5</v>
      </c>
    </row>
    <row r="1222" spans="1:16" ht="15" hidden="1" customHeight="1">
      <c r="A1222" s="839">
        <v>65431090</v>
      </c>
      <c r="B1222" s="839">
        <v>2904</v>
      </c>
      <c r="C1222" s="906">
        <v>1785</v>
      </c>
      <c r="D1222" s="907">
        <v>46049</v>
      </c>
      <c r="E1222" s="839" t="s">
        <v>375</v>
      </c>
      <c r="F1222" s="839" t="s">
        <v>275</v>
      </c>
      <c r="G1222" s="916">
        <f>VLOOKUP($A1222,'Tech Litons'!$A:$I,8,FALSE)</f>
        <v>3.7839999999999996E-3</v>
      </c>
      <c r="H1222" s="917">
        <f>VLOOKUP($A1222,'Tech Litons'!$A:$I,9,FALSE)</f>
        <v>255</v>
      </c>
      <c r="I1222" s="917" t="str">
        <f>VLOOKUP($A1222,'Tech Litons'!$A:$C,3,0)</f>
        <v>Talenti</v>
      </c>
      <c r="J1222" s="918" t="str">
        <f t="shared" si="114"/>
        <v>2904Talenti</v>
      </c>
      <c r="K1222" s="919">
        <v>1</v>
      </c>
      <c r="L1222" s="920">
        <f t="shared" si="115"/>
        <v>1785</v>
      </c>
      <c r="M1222" s="920">
        <f t="shared" si="116"/>
        <v>6.7544399999999989</v>
      </c>
      <c r="N1222" s="920">
        <f t="shared" si="117"/>
        <v>7</v>
      </c>
      <c r="O1222" s="918" t="str">
        <f t="shared" si="118"/>
        <v>Jan</v>
      </c>
      <c r="P1222" s="921">
        <f t="shared" si="119"/>
        <v>5</v>
      </c>
    </row>
    <row r="1223" spans="1:16" ht="15" hidden="1" customHeight="1">
      <c r="A1223" s="839">
        <v>67546042</v>
      </c>
      <c r="B1223" s="839">
        <v>5914</v>
      </c>
      <c r="C1223" s="906">
        <v>2463</v>
      </c>
      <c r="D1223" s="907">
        <v>46049</v>
      </c>
      <c r="E1223" s="839" t="s">
        <v>397</v>
      </c>
      <c r="F1223" s="839" t="s">
        <v>303</v>
      </c>
      <c r="G1223" s="916">
        <f>VLOOKUP($A1223,'Tech Litons'!$A:$I,8,FALSE)</f>
        <v>3.7853439999999999E-3</v>
      </c>
      <c r="H1223" s="917">
        <f>VLOOKUP($A1223,'Tech Litons'!$A:$I,9,FALSE)</f>
        <v>240</v>
      </c>
      <c r="I1223" s="917" t="str">
        <f>VLOOKUP($A1223,'Tech Litons'!$A:$C,3,0)</f>
        <v>BJ PTS</v>
      </c>
      <c r="J1223" s="918" t="str">
        <f t="shared" si="114"/>
        <v>5914BJ PTS</v>
      </c>
      <c r="K1223" s="919">
        <v>1</v>
      </c>
      <c r="L1223" s="920">
        <f t="shared" si="115"/>
        <v>2463</v>
      </c>
      <c r="M1223" s="920">
        <f t="shared" si="116"/>
        <v>9.3233022719999994</v>
      </c>
      <c r="N1223" s="920">
        <f t="shared" si="117"/>
        <v>10.262499999999999</v>
      </c>
      <c r="O1223" s="918" t="str">
        <f t="shared" si="118"/>
        <v>Jan</v>
      </c>
      <c r="P1223" s="921">
        <f t="shared" si="119"/>
        <v>5</v>
      </c>
    </row>
    <row r="1224" spans="1:16" ht="15" hidden="1" customHeight="1">
      <c r="A1224" s="839">
        <v>64988056</v>
      </c>
      <c r="B1224" s="839">
        <v>2904</v>
      </c>
      <c r="C1224" s="906">
        <v>2640</v>
      </c>
      <c r="D1224" s="907">
        <v>46049</v>
      </c>
      <c r="E1224" s="839" t="s">
        <v>268</v>
      </c>
      <c r="F1224" s="839" t="s">
        <v>269</v>
      </c>
      <c r="G1224" s="916">
        <f>VLOOKUP($A1224,'Tech Litons'!$A:$I,8,FALSE)</f>
        <v>8.513999999999999E-3</v>
      </c>
      <c r="H1224" s="917">
        <f>VLOOKUP($A1224,'Tech Litons'!$A:$I,9,FALSE)</f>
        <v>176</v>
      </c>
      <c r="I1224" s="917" t="str">
        <f>VLOOKUP($A1224,'Tech Litons'!$A:$C,3,0)</f>
        <v>48oz</v>
      </c>
      <c r="J1224" s="918" t="str">
        <f t="shared" si="114"/>
        <v>290448oz</v>
      </c>
      <c r="K1224" s="919">
        <v>1</v>
      </c>
      <c r="L1224" s="920">
        <f t="shared" si="115"/>
        <v>2640</v>
      </c>
      <c r="M1224" s="920">
        <f t="shared" si="116"/>
        <v>22.476959999999998</v>
      </c>
      <c r="N1224" s="920">
        <f t="shared" si="117"/>
        <v>15</v>
      </c>
      <c r="O1224" s="918" t="str">
        <f t="shared" si="118"/>
        <v>Jan</v>
      </c>
      <c r="P1224" s="921">
        <f t="shared" si="119"/>
        <v>5</v>
      </c>
    </row>
    <row r="1225" spans="1:16" ht="15" hidden="1" customHeight="1">
      <c r="A1225" s="839">
        <v>64984153</v>
      </c>
      <c r="B1225" s="839">
        <v>2904</v>
      </c>
      <c r="C1225" s="906">
        <v>2904</v>
      </c>
      <c r="D1225" s="907">
        <v>46049</v>
      </c>
      <c r="E1225" s="839" t="s">
        <v>350</v>
      </c>
      <c r="F1225" s="839" t="s">
        <v>40</v>
      </c>
      <c r="G1225" s="916">
        <f>VLOOKUP($A1225,'Tech Litons'!$A:$I,8,FALSE)</f>
        <v>3.4159999999999998E-3</v>
      </c>
      <c r="H1225" s="917">
        <f>VLOOKUP($A1225,'Tech Litons'!$A:$I,9,FALSE)</f>
        <v>240</v>
      </c>
      <c r="I1225" s="917" t="str">
        <f>VLOOKUP($A1225,'Tech Litons'!$A:$C,3,0)</f>
        <v>Sundaes</v>
      </c>
      <c r="J1225" s="918" t="str">
        <f t="shared" si="114"/>
        <v>2904Sundaes</v>
      </c>
      <c r="K1225" s="919">
        <v>1</v>
      </c>
      <c r="L1225" s="920">
        <f t="shared" si="115"/>
        <v>2904</v>
      </c>
      <c r="M1225" s="920">
        <f t="shared" si="116"/>
        <v>9.920064</v>
      </c>
      <c r="N1225" s="920">
        <f t="shared" si="117"/>
        <v>12.1</v>
      </c>
      <c r="O1225" s="918" t="str">
        <f t="shared" si="118"/>
        <v>Jan</v>
      </c>
      <c r="P1225" s="921">
        <f t="shared" si="119"/>
        <v>5</v>
      </c>
    </row>
    <row r="1226" spans="1:16" ht="15" hidden="1" customHeight="1">
      <c r="A1226" s="839">
        <v>84139971</v>
      </c>
      <c r="B1226" s="839">
        <v>5914</v>
      </c>
      <c r="C1226" s="906">
        <v>3125</v>
      </c>
      <c r="D1226" s="907">
        <v>46049</v>
      </c>
      <c r="E1226" s="839" t="s">
        <v>391</v>
      </c>
      <c r="F1226" s="839" t="s">
        <v>303</v>
      </c>
      <c r="G1226" s="916">
        <f>VLOOKUP($A1226,'Tech Litons'!$A:$I,8,FALSE)</f>
        <v>9.0848256361922702E-3</v>
      </c>
      <c r="H1226" s="917">
        <f>VLOOKUP($A1226,'Tech Litons'!$A:$I,9,FALSE)</f>
        <v>125</v>
      </c>
      <c r="I1226" s="917" t="str">
        <f>VLOOKUP($A1226,'Tech Litons'!$A:$C,3,0)</f>
        <v>2.4 Gal</v>
      </c>
      <c r="J1226" s="918" t="str">
        <f t="shared" si="114"/>
        <v>59142.4 Gal</v>
      </c>
      <c r="K1226" s="919">
        <v>1</v>
      </c>
      <c r="L1226" s="920">
        <f t="shared" si="115"/>
        <v>3125</v>
      </c>
      <c r="M1226" s="920">
        <f t="shared" si="116"/>
        <v>28.390080113100844</v>
      </c>
      <c r="N1226" s="920">
        <f t="shared" si="117"/>
        <v>25</v>
      </c>
      <c r="O1226" s="918" t="str">
        <f t="shared" si="118"/>
        <v>Jan</v>
      </c>
      <c r="P1226" s="921">
        <f t="shared" si="119"/>
        <v>5</v>
      </c>
    </row>
    <row r="1227" spans="1:16" ht="15" hidden="1" customHeight="1">
      <c r="A1227" s="839">
        <v>68817795</v>
      </c>
      <c r="B1227" s="839">
        <v>1352</v>
      </c>
      <c r="C1227" s="906">
        <v>4251</v>
      </c>
      <c r="D1227" s="907">
        <v>46049</v>
      </c>
      <c r="E1227" s="839" t="s">
        <v>348</v>
      </c>
      <c r="F1227" s="839" t="s">
        <v>290</v>
      </c>
      <c r="G1227" s="916">
        <f>VLOOKUP($A1227,'Tech Litons'!$A:$I,8,FALSE)</f>
        <v>8.5199999999999998E-3</v>
      </c>
      <c r="H1227" s="917">
        <f>VLOOKUP($A1227,'Tech Litons'!$A:$I,9,FALSE)</f>
        <v>154</v>
      </c>
      <c r="I1227" s="917" t="str">
        <f>VLOOKUP($A1227,'Tech Litons'!$A:$C,3,0)</f>
        <v>48oz</v>
      </c>
      <c r="J1227" s="918" t="str">
        <f t="shared" si="114"/>
        <v>135248oz</v>
      </c>
      <c r="K1227" s="919">
        <v>1</v>
      </c>
      <c r="L1227" s="920">
        <f t="shared" si="115"/>
        <v>4251</v>
      </c>
      <c r="M1227" s="920">
        <f t="shared" si="116"/>
        <v>36.218519999999998</v>
      </c>
      <c r="N1227" s="920">
        <f t="shared" si="117"/>
        <v>27.603896103896105</v>
      </c>
      <c r="O1227" s="918" t="str">
        <f t="shared" si="118"/>
        <v>Jan</v>
      </c>
      <c r="P1227" s="921">
        <f t="shared" si="119"/>
        <v>5</v>
      </c>
    </row>
    <row r="1228" spans="1:16" ht="15" hidden="1" customHeight="1">
      <c r="A1228" s="839">
        <v>68860662</v>
      </c>
      <c r="B1228" s="839">
        <v>2904</v>
      </c>
      <c r="C1228" s="906">
        <v>4950</v>
      </c>
      <c r="D1228" s="907">
        <v>46049</v>
      </c>
      <c r="E1228" s="839" t="s">
        <v>411</v>
      </c>
      <c r="F1228" s="839" t="s">
        <v>277</v>
      </c>
      <c r="G1228" s="916">
        <f>VLOOKUP($A1228,'Tech Litons'!$A:$I,8,FALSE)</f>
        <v>3.7839999999999996E-3</v>
      </c>
      <c r="H1228" s="917">
        <f>VLOOKUP($A1228,'Tech Litons'!$A:$I,9,FALSE)</f>
        <v>255</v>
      </c>
      <c r="I1228" s="917" t="str">
        <f>VLOOKUP($A1228,'Tech Litons'!$A:$C,3,0)</f>
        <v>Talenti</v>
      </c>
      <c r="J1228" s="918" t="str">
        <f t="shared" si="114"/>
        <v>2904Talenti</v>
      </c>
      <c r="K1228" s="919">
        <v>1</v>
      </c>
      <c r="L1228" s="920">
        <f t="shared" si="115"/>
        <v>4950</v>
      </c>
      <c r="M1228" s="920">
        <f t="shared" si="116"/>
        <v>18.730799999999999</v>
      </c>
      <c r="N1228" s="920">
        <f t="shared" si="117"/>
        <v>19.411764705882351</v>
      </c>
      <c r="O1228" s="918" t="str">
        <f t="shared" si="118"/>
        <v>Jan</v>
      </c>
      <c r="P1228" s="921">
        <f t="shared" si="119"/>
        <v>5</v>
      </c>
    </row>
    <row r="1229" spans="1:16" ht="15" hidden="1" customHeight="1">
      <c r="A1229" s="839">
        <v>67596354</v>
      </c>
      <c r="B1229" s="839">
        <v>5914</v>
      </c>
      <c r="C1229" s="906">
        <v>5080</v>
      </c>
      <c r="D1229" s="907">
        <v>46049</v>
      </c>
      <c r="E1229" s="839" t="s">
        <v>336</v>
      </c>
      <c r="F1229" s="839" t="s">
        <v>303</v>
      </c>
      <c r="G1229" s="916">
        <f>VLOOKUP($A1229,'Tech Litons'!$A:$I,8,FALSE)</f>
        <v>3.6640000000000002E-3</v>
      </c>
      <c r="H1229" s="917">
        <f>VLOOKUP($A1229,'Tech Litons'!$A:$I,9,FALSE)</f>
        <v>240</v>
      </c>
      <c r="I1229" s="917" t="str">
        <f>VLOOKUP($A1229,'Tech Litons'!$A:$C,3,0)</f>
        <v>PTS Exports</v>
      </c>
      <c r="J1229" s="918" t="str">
        <f t="shared" si="114"/>
        <v>5914PTS Exports</v>
      </c>
      <c r="K1229" s="919">
        <v>1</v>
      </c>
      <c r="L1229" s="920">
        <f t="shared" si="115"/>
        <v>5080</v>
      </c>
      <c r="M1229" s="920">
        <f t="shared" si="116"/>
        <v>18.613120000000002</v>
      </c>
      <c r="N1229" s="920">
        <f t="shared" si="117"/>
        <v>21.166666666666668</v>
      </c>
      <c r="O1229" s="918" t="str">
        <f t="shared" si="118"/>
        <v>Jan</v>
      </c>
      <c r="P1229" s="921">
        <f t="shared" si="119"/>
        <v>5</v>
      </c>
    </row>
    <row r="1230" spans="1:16" ht="15" hidden="1" customHeight="1">
      <c r="A1230" s="839">
        <v>64874633</v>
      </c>
      <c r="B1230" s="839">
        <v>3910</v>
      </c>
      <c r="C1230" s="906">
        <v>5320</v>
      </c>
      <c r="D1230" s="907">
        <v>46049</v>
      </c>
      <c r="E1230" s="839" t="s">
        <v>341</v>
      </c>
      <c r="F1230" s="839" t="s">
        <v>342</v>
      </c>
      <c r="G1230" s="916">
        <f>VLOOKUP($A1230,'Tech Litons'!$A:$I,8,FALSE)</f>
        <v>3.192E-3</v>
      </c>
      <c r="H1230" s="917">
        <f>VLOOKUP($A1230,'Tech Litons'!$A:$I,9,FALSE)</f>
        <v>280</v>
      </c>
      <c r="I1230" s="917" t="str">
        <f>VLOOKUP($A1230,'Tech Litons'!$A:$C,3,0)</f>
        <v>ESS</v>
      </c>
      <c r="J1230" s="918" t="str">
        <f t="shared" si="114"/>
        <v>3910ESS</v>
      </c>
      <c r="K1230" s="919">
        <v>1</v>
      </c>
      <c r="L1230" s="920">
        <f t="shared" si="115"/>
        <v>5320</v>
      </c>
      <c r="M1230" s="920">
        <f t="shared" si="116"/>
        <v>16.981439999999999</v>
      </c>
      <c r="N1230" s="920">
        <f t="shared" si="117"/>
        <v>19</v>
      </c>
      <c r="O1230" s="918" t="str">
        <f t="shared" si="118"/>
        <v>Jan</v>
      </c>
      <c r="P1230" s="921">
        <f t="shared" si="119"/>
        <v>5</v>
      </c>
    </row>
    <row r="1231" spans="1:16" ht="15" hidden="1" customHeight="1">
      <c r="A1231" s="839">
        <v>68899825</v>
      </c>
      <c r="B1231" s="839">
        <v>2904</v>
      </c>
      <c r="C1231" s="906">
        <v>5632</v>
      </c>
      <c r="D1231" s="907">
        <v>46049</v>
      </c>
      <c r="E1231" s="839" t="s">
        <v>382</v>
      </c>
      <c r="F1231" s="839" t="s">
        <v>271</v>
      </c>
      <c r="G1231" s="916">
        <f>VLOOKUP($A1231,'Tech Litons'!$A:$I,8,FALSE)</f>
        <v>8.513999999999999E-3</v>
      </c>
      <c r="H1231" s="917">
        <f>VLOOKUP($A1231,'Tech Litons'!$A:$I,9,FALSE)</f>
        <v>176</v>
      </c>
      <c r="I1231" s="917" t="str">
        <f>VLOOKUP($A1231,'Tech Litons'!$A:$C,3,0)</f>
        <v>48oz</v>
      </c>
      <c r="J1231" s="918" t="str">
        <f t="shared" si="114"/>
        <v>290448oz</v>
      </c>
      <c r="K1231" s="919">
        <v>1</v>
      </c>
      <c r="L1231" s="920">
        <f t="shared" si="115"/>
        <v>5632</v>
      </c>
      <c r="M1231" s="920">
        <f t="shared" si="116"/>
        <v>47.950847999999993</v>
      </c>
      <c r="N1231" s="920">
        <f t="shared" si="117"/>
        <v>32</v>
      </c>
      <c r="O1231" s="918" t="str">
        <f t="shared" si="118"/>
        <v>Jan</v>
      </c>
      <c r="P1231" s="921">
        <f t="shared" si="119"/>
        <v>5</v>
      </c>
    </row>
    <row r="1232" spans="1:16" ht="15" hidden="1" customHeight="1">
      <c r="A1232" s="839">
        <v>84135718</v>
      </c>
      <c r="B1232" s="839">
        <v>5914</v>
      </c>
      <c r="C1232" s="906">
        <v>5760</v>
      </c>
      <c r="D1232" s="907">
        <v>46049</v>
      </c>
      <c r="E1232" s="839" t="s">
        <v>338</v>
      </c>
      <c r="F1232" s="839" t="s">
        <v>301</v>
      </c>
      <c r="G1232" s="916">
        <f>VLOOKUP($A1232,'Tech Litons'!$A:$I,8,FALSE)</f>
        <v>3.7853439999999999E-3</v>
      </c>
      <c r="H1232" s="917">
        <f>VLOOKUP($A1232,'Tech Litons'!$A:$I,9,FALSE)</f>
        <v>240</v>
      </c>
      <c r="I1232" s="917" t="str">
        <f>VLOOKUP($A1232,'Tech Litons'!$A:$C,3,0)</f>
        <v>BJ PTS</v>
      </c>
      <c r="J1232" s="918" t="str">
        <f t="shared" si="114"/>
        <v>5914BJ PTS</v>
      </c>
      <c r="K1232" s="919">
        <v>1</v>
      </c>
      <c r="L1232" s="920">
        <f t="shared" si="115"/>
        <v>5760</v>
      </c>
      <c r="M1232" s="920">
        <f t="shared" si="116"/>
        <v>21.803581439999999</v>
      </c>
      <c r="N1232" s="920">
        <f t="shared" si="117"/>
        <v>24</v>
      </c>
      <c r="O1232" s="918" t="str">
        <f t="shared" si="118"/>
        <v>Jan</v>
      </c>
      <c r="P1232" s="921">
        <f t="shared" si="119"/>
        <v>5</v>
      </c>
    </row>
    <row r="1233" spans="1:16" ht="15" hidden="1" customHeight="1">
      <c r="A1233" s="839">
        <v>64984153</v>
      </c>
      <c r="B1233" s="839">
        <v>2904</v>
      </c>
      <c r="C1233" s="906">
        <v>6506</v>
      </c>
      <c r="D1233" s="907">
        <v>46049</v>
      </c>
      <c r="E1233" s="839" t="s">
        <v>350</v>
      </c>
      <c r="F1233" s="839" t="s">
        <v>40</v>
      </c>
      <c r="G1233" s="916">
        <f>VLOOKUP($A1233,'Tech Litons'!$A:$I,8,FALSE)</f>
        <v>3.4159999999999998E-3</v>
      </c>
      <c r="H1233" s="917">
        <f>VLOOKUP($A1233,'Tech Litons'!$A:$I,9,FALSE)</f>
        <v>240</v>
      </c>
      <c r="I1233" s="917" t="str">
        <f>VLOOKUP($A1233,'Tech Litons'!$A:$C,3,0)</f>
        <v>Sundaes</v>
      </c>
      <c r="J1233" s="918" t="str">
        <f t="shared" si="114"/>
        <v>2904Sundaes</v>
      </c>
      <c r="K1233" s="919">
        <v>1</v>
      </c>
      <c r="L1233" s="920">
        <f t="shared" si="115"/>
        <v>6506</v>
      </c>
      <c r="M1233" s="920">
        <f t="shared" si="116"/>
        <v>22.224495999999998</v>
      </c>
      <c r="N1233" s="920">
        <f t="shared" si="117"/>
        <v>27.108333333333334</v>
      </c>
      <c r="O1233" s="918" t="str">
        <f t="shared" si="118"/>
        <v>Jan</v>
      </c>
      <c r="P1233" s="921">
        <f t="shared" si="119"/>
        <v>5</v>
      </c>
    </row>
    <row r="1234" spans="1:16" ht="15" hidden="1" customHeight="1">
      <c r="A1234" s="839">
        <v>68851107</v>
      </c>
      <c r="B1234" s="839">
        <v>2904</v>
      </c>
      <c r="C1234" s="906">
        <v>8942</v>
      </c>
      <c r="D1234" s="907">
        <v>46049</v>
      </c>
      <c r="E1234" s="839" t="s">
        <v>272</v>
      </c>
      <c r="F1234" s="839" t="s">
        <v>273</v>
      </c>
      <c r="G1234" s="916">
        <f>VLOOKUP($A1234,'Tech Litons'!$A:$I,8,FALSE)</f>
        <v>8.5199999999999998E-3</v>
      </c>
      <c r="H1234" s="917">
        <f>VLOOKUP($A1234,'Tech Litons'!$A:$I,9,FALSE)</f>
        <v>176</v>
      </c>
      <c r="I1234" s="917" t="str">
        <f>VLOOKUP($A1234,'Tech Litons'!$A:$C,3,0)</f>
        <v>48oz</v>
      </c>
      <c r="J1234" s="918" t="str">
        <f t="shared" ref="J1234:J1239" si="120">B1234&amp;I1234</f>
        <v>290448oz</v>
      </c>
      <c r="K1234" s="919">
        <v>1</v>
      </c>
      <c r="L1234" s="920">
        <f t="shared" ref="L1234:L1239" si="121">C1234*$K1234</f>
        <v>8942</v>
      </c>
      <c r="M1234" s="920">
        <f t="shared" ref="M1234:M1239" si="122">L1234*G1234</f>
        <v>76.185839999999999</v>
      </c>
      <c r="N1234" s="920">
        <f t="shared" ref="N1234:N1239" si="123">L1234/H1234</f>
        <v>50.80681818181818</v>
      </c>
      <c r="O1234" s="918" t="str">
        <f t="shared" ref="O1234:O1239" si="124">TEXT(D1234,"MMM")</f>
        <v>Jan</v>
      </c>
      <c r="P1234" s="921">
        <f t="shared" ref="P1234:P1239" si="125">WEEKNUM(D1234)</f>
        <v>5</v>
      </c>
    </row>
    <row r="1235" spans="1:16" ht="15" hidden="1" customHeight="1">
      <c r="A1235" s="839">
        <v>68851107</v>
      </c>
      <c r="B1235" s="839">
        <v>2904</v>
      </c>
      <c r="C1235" s="906">
        <v>10965</v>
      </c>
      <c r="D1235" s="907">
        <v>46049</v>
      </c>
      <c r="E1235" s="839" t="s">
        <v>272</v>
      </c>
      <c r="F1235" s="839" t="s">
        <v>273</v>
      </c>
      <c r="G1235" s="916">
        <f>VLOOKUP($A1235,'Tech Litons'!$A:$I,8,FALSE)</f>
        <v>8.5199999999999998E-3</v>
      </c>
      <c r="H1235" s="917">
        <f>VLOOKUP($A1235,'Tech Litons'!$A:$I,9,FALSE)</f>
        <v>176</v>
      </c>
      <c r="I1235" s="917" t="str">
        <f>VLOOKUP($A1235,'Tech Litons'!$A:$C,3,0)</f>
        <v>48oz</v>
      </c>
      <c r="J1235" s="918" t="str">
        <f t="shared" si="120"/>
        <v>290448oz</v>
      </c>
      <c r="K1235" s="919">
        <v>1</v>
      </c>
      <c r="L1235" s="920">
        <f t="shared" si="121"/>
        <v>10965</v>
      </c>
      <c r="M1235" s="920">
        <f t="shared" si="122"/>
        <v>93.421800000000005</v>
      </c>
      <c r="N1235" s="920">
        <f t="shared" si="123"/>
        <v>62.301136363636367</v>
      </c>
      <c r="O1235" s="918" t="str">
        <f t="shared" si="124"/>
        <v>Jan</v>
      </c>
      <c r="P1235" s="921">
        <f t="shared" si="125"/>
        <v>5</v>
      </c>
    </row>
    <row r="1236" spans="1:16" ht="15" hidden="1" customHeight="1">
      <c r="A1236" s="839">
        <v>69999269</v>
      </c>
      <c r="B1236" s="839">
        <v>5914</v>
      </c>
      <c r="C1236" s="906">
        <v>14632</v>
      </c>
      <c r="D1236" s="907">
        <v>46049</v>
      </c>
      <c r="E1236" s="839" t="s">
        <v>300</v>
      </c>
      <c r="F1236" s="839" t="s">
        <v>301</v>
      </c>
      <c r="G1236" s="916">
        <f>VLOOKUP($A1236,'Tech Litons'!$A:$I,8,FALSE)</f>
        <v>3.7839999999999996E-3</v>
      </c>
      <c r="H1236" s="917">
        <f>VLOOKUP($A1236,'Tech Litons'!$A:$I,9,FALSE)</f>
        <v>240</v>
      </c>
      <c r="I1236" s="917" t="str">
        <f>VLOOKUP($A1236,'Tech Litons'!$A:$C,3,0)</f>
        <v>BJ PTS</v>
      </c>
      <c r="J1236" s="918" t="str">
        <f t="shared" si="120"/>
        <v>5914BJ PTS</v>
      </c>
      <c r="K1236" s="919">
        <v>1</v>
      </c>
      <c r="L1236" s="920">
        <f t="shared" si="121"/>
        <v>14632</v>
      </c>
      <c r="M1236" s="920">
        <f t="shared" si="122"/>
        <v>55.367487999999994</v>
      </c>
      <c r="N1236" s="920">
        <f t="shared" si="123"/>
        <v>60.966666666666669</v>
      </c>
      <c r="O1236" s="918" t="str">
        <f t="shared" si="124"/>
        <v>Jan</v>
      </c>
      <c r="P1236" s="921">
        <f t="shared" si="125"/>
        <v>5</v>
      </c>
    </row>
    <row r="1237" spans="1:16" ht="15" hidden="1" customHeight="1">
      <c r="A1237" s="839">
        <v>68860662</v>
      </c>
      <c r="B1237" s="839">
        <v>2904</v>
      </c>
      <c r="C1237" s="906">
        <v>14656</v>
      </c>
      <c r="D1237" s="907">
        <v>46049</v>
      </c>
      <c r="E1237" s="839" t="s">
        <v>411</v>
      </c>
      <c r="F1237" s="839" t="s">
        <v>277</v>
      </c>
      <c r="G1237" s="916">
        <f>VLOOKUP($A1237,'Tech Litons'!$A:$I,8,FALSE)</f>
        <v>3.7839999999999996E-3</v>
      </c>
      <c r="H1237" s="917">
        <f>VLOOKUP($A1237,'Tech Litons'!$A:$I,9,FALSE)</f>
        <v>255</v>
      </c>
      <c r="I1237" s="917" t="str">
        <f>VLOOKUP($A1237,'Tech Litons'!$A:$C,3,0)</f>
        <v>Talenti</v>
      </c>
      <c r="J1237" s="918" t="str">
        <f t="shared" si="120"/>
        <v>2904Talenti</v>
      </c>
      <c r="K1237" s="919">
        <v>1</v>
      </c>
      <c r="L1237" s="920">
        <f t="shared" si="121"/>
        <v>14656</v>
      </c>
      <c r="M1237" s="920">
        <f t="shared" si="122"/>
        <v>55.458303999999991</v>
      </c>
      <c r="N1237" s="920">
        <f t="shared" si="123"/>
        <v>57.47450980392157</v>
      </c>
      <c r="O1237" s="918" t="str">
        <f t="shared" si="124"/>
        <v>Jan</v>
      </c>
      <c r="P1237" s="921">
        <f t="shared" si="125"/>
        <v>5</v>
      </c>
    </row>
    <row r="1238" spans="1:16" ht="15" hidden="1" customHeight="1">
      <c r="A1238" s="839">
        <v>84138391</v>
      </c>
      <c r="B1238" s="839">
        <v>5914</v>
      </c>
      <c r="C1238" s="906">
        <v>15600</v>
      </c>
      <c r="D1238" s="907">
        <v>46049</v>
      </c>
      <c r="E1238" s="839" t="s">
        <v>339</v>
      </c>
      <c r="F1238" s="839" t="s">
        <v>279</v>
      </c>
      <c r="G1238" s="916">
        <f>VLOOKUP($A1238,'Tech Litons'!$A:$I,8,FALSE)</f>
        <v>3.7853439999999999E-3</v>
      </c>
      <c r="H1238" s="917">
        <f>VLOOKUP($A1238,'Tech Litons'!$A:$I,9,FALSE)</f>
        <v>240</v>
      </c>
      <c r="I1238" s="917" t="str">
        <f>VLOOKUP($A1238,'Tech Litons'!$A:$C,3,0)</f>
        <v>BJ PTS</v>
      </c>
      <c r="J1238" s="918" t="str">
        <f t="shared" si="120"/>
        <v>5914BJ PTS</v>
      </c>
      <c r="K1238" s="919">
        <v>1</v>
      </c>
      <c r="L1238" s="920">
        <f t="shared" si="121"/>
        <v>15600</v>
      </c>
      <c r="M1238" s="920">
        <f t="shared" si="122"/>
        <v>59.051366399999999</v>
      </c>
      <c r="N1238" s="920">
        <f t="shared" si="123"/>
        <v>65</v>
      </c>
      <c r="O1238" s="918" t="str">
        <f t="shared" si="124"/>
        <v>Jan</v>
      </c>
      <c r="P1238" s="921">
        <f t="shared" si="125"/>
        <v>5</v>
      </c>
    </row>
    <row r="1239" spans="1:16" ht="15" hidden="1" customHeight="1">
      <c r="A1239" s="839">
        <v>67794169</v>
      </c>
      <c r="B1239" s="839">
        <v>5911</v>
      </c>
      <c r="C1239" s="906">
        <v>29490</v>
      </c>
      <c r="D1239" s="907">
        <v>46049</v>
      </c>
      <c r="E1239" s="839" t="s">
        <v>352</v>
      </c>
      <c r="F1239" s="839" t="s">
        <v>303</v>
      </c>
      <c r="G1239" s="916">
        <f>VLOOKUP($A1239,'Tech Litons'!$A:$I,8,FALSE)</f>
        <v>3.7853439999999999E-3</v>
      </c>
      <c r="H1239" s="917">
        <f>VLOOKUP($A1239,'Tech Litons'!$A:$I,9,FALSE)</f>
        <v>240</v>
      </c>
      <c r="I1239" s="917" t="str">
        <f>VLOOKUP($A1239,'Tech Litons'!$A:$C,3,0)</f>
        <v>BJ PTS</v>
      </c>
      <c r="J1239" s="918" t="str">
        <f t="shared" si="120"/>
        <v>5911BJ PTS</v>
      </c>
      <c r="K1239" s="919">
        <v>1</v>
      </c>
      <c r="L1239" s="920">
        <f t="shared" si="121"/>
        <v>29490</v>
      </c>
      <c r="M1239" s="920">
        <f t="shared" si="122"/>
        <v>111.62979455999999</v>
      </c>
      <c r="N1239" s="920">
        <f t="shared" si="123"/>
        <v>122.875</v>
      </c>
      <c r="O1239" s="918" t="str">
        <f t="shared" si="124"/>
        <v>Jan</v>
      </c>
      <c r="P1239" s="921">
        <f t="shared" si="125"/>
        <v>5</v>
      </c>
    </row>
    <row r="1240" spans="1:16" ht="15" hidden="1" customHeight="1">
      <c r="A1240" s="839">
        <v>62714126</v>
      </c>
      <c r="B1240" s="839" t="s">
        <v>133</v>
      </c>
      <c r="C1240" s="906">
        <v>2600</v>
      </c>
      <c r="D1240" s="907">
        <v>46027</v>
      </c>
      <c r="E1240" s="839" t="s">
        <v>402</v>
      </c>
      <c r="F1240" s="839">
        <v>1419</v>
      </c>
      <c r="G1240" s="916">
        <f>VLOOKUP($A1240,'Tech Litons'!$A:$I,8,FALSE)</f>
        <v>5.2680000000000001E-3</v>
      </c>
      <c r="H1240" s="917">
        <f>VLOOKUP($A1240,'Tech Litons'!$A:$I,9,FALSE)</f>
        <v>130</v>
      </c>
      <c r="I1240" s="917" t="str">
        <f>VLOOKUP($A1240,'Tech Litons'!$A:$C,3,0)</f>
        <v>PG</v>
      </c>
      <c r="J1240" s="918" t="str">
        <f t="shared" ref="J1240:J1303" si="126">B1240&amp;I1240</f>
        <v>GDIPG</v>
      </c>
      <c r="K1240" s="919">
        <v>1</v>
      </c>
      <c r="L1240" s="920">
        <f t="shared" ref="L1240:L1303" si="127">C1240*$K1240</f>
        <v>2600</v>
      </c>
      <c r="M1240" s="920">
        <f t="shared" ref="M1240:M1303" si="128">L1240*G1240</f>
        <v>13.6968</v>
      </c>
      <c r="N1240" s="920">
        <f t="shared" ref="N1240:N1303" si="129">L1240/H1240</f>
        <v>20</v>
      </c>
      <c r="O1240" s="918" t="str">
        <f t="shared" ref="O1240:O1303" si="130">TEXT(D1240,"MMM")</f>
        <v>Jan</v>
      </c>
      <c r="P1240" s="921">
        <f t="shared" ref="P1240:P1303" si="131">WEEKNUM(D1240)</f>
        <v>2</v>
      </c>
    </row>
    <row r="1241" spans="1:16" ht="15" hidden="1" customHeight="1">
      <c r="A1241" s="839">
        <v>62714126</v>
      </c>
      <c r="B1241" s="839" t="s">
        <v>133</v>
      </c>
      <c r="C1241" s="906">
        <v>2600</v>
      </c>
      <c r="D1241" s="907">
        <v>46028</v>
      </c>
      <c r="E1241" s="839" t="s">
        <v>402</v>
      </c>
      <c r="F1241" s="839">
        <v>1419</v>
      </c>
      <c r="G1241" s="916">
        <f>VLOOKUP($A1241,'Tech Litons'!$A:$I,8,FALSE)</f>
        <v>5.2680000000000001E-3</v>
      </c>
      <c r="H1241" s="917">
        <f>VLOOKUP($A1241,'Tech Litons'!$A:$I,9,FALSE)</f>
        <v>130</v>
      </c>
      <c r="I1241" s="917" t="str">
        <f>VLOOKUP($A1241,'Tech Litons'!$A:$C,3,0)</f>
        <v>PG</v>
      </c>
      <c r="J1241" s="918" t="str">
        <f t="shared" si="126"/>
        <v>GDIPG</v>
      </c>
      <c r="K1241" s="919">
        <v>1</v>
      </c>
      <c r="L1241" s="920">
        <f t="shared" si="127"/>
        <v>2600</v>
      </c>
      <c r="M1241" s="920">
        <f t="shared" si="128"/>
        <v>13.6968</v>
      </c>
      <c r="N1241" s="920">
        <f t="shared" si="129"/>
        <v>20</v>
      </c>
      <c r="O1241" s="918" t="str">
        <f t="shared" si="130"/>
        <v>Jan</v>
      </c>
      <c r="P1241" s="921">
        <f t="shared" si="131"/>
        <v>2</v>
      </c>
    </row>
    <row r="1242" spans="1:16" ht="15" hidden="1" customHeight="1">
      <c r="A1242" s="839">
        <v>62714126</v>
      </c>
      <c r="B1242" s="839" t="s">
        <v>133</v>
      </c>
      <c r="C1242" s="906">
        <v>2600</v>
      </c>
      <c r="D1242" s="907">
        <v>46028</v>
      </c>
      <c r="E1242" s="839" t="s">
        <v>402</v>
      </c>
      <c r="F1242" s="839">
        <v>1419</v>
      </c>
      <c r="G1242" s="916">
        <f>VLOOKUP($A1242,'Tech Litons'!$A:$I,8,FALSE)</f>
        <v>5.2680000000000001E-3</v>
      </c>
      <c r="H1242" s="917">
        <f>VLOOKUP($A1242,'Tech Litons'!$A:$I,9,FALSE)</f>
        <v>130</v>
      </c>
      <c r="I1242" s="917" t="str">
        <f>VLOOKUP($A1242,'Tech Litons'!$A:$C,3,0)</f>
        <v>PG</v>
      </c>
      <c r="J1242" s="918" t="str">
        <f t="shared" si="126"/>
        <v>GDIPG</v>
      </c>
      <c r="K1242" s="919">
        <v>1</v>
      </c>
      <c r="L1242" s="920">
        <f t="shared" si="127"/>
        <v>2600</v>
      </c>
      <c r="M1242" s="920">
        <f t="shared" si="128"/>
        <v>13.6968</v>
      </c>
      <c r="N1242" s="920">
        <f t="shared" si="129"/>
        <v>20</v>
      </c>
      <c r="O1242" s="918" t="str">
        <f t="shared" si="130"/>
        <v>Jan</v>
      </c>
      <c r="P1242" s="921">
        <f t="shared" si="131"/>
        <v>2</v>
      </c>
    </row>
    <row r="1243" spans="1:16" ht="15" hidden="1" customHeight="1">
      <c r="A1243" s="839">
        <v>62714126</v>
      </c>
      <c r="B1243" s="839" t="s">
        <v>133</v>
      </c>
      <c r="C1243" s="906">
        <v>2600</v>
      </c>
      <c r="D1243" s="907">
        <v>46028</v>
      </c>
      <c r="E1243" s="839" t="s">
        <v>402</v>
      </c>
      <c r="F1243" s="839">
        <v>1419</v>
      </c>
      <c r="G1243" s="916">
        <f>VLOOKUP($A1243,'Tech Litons'!$A:$I,8,FALSE)</f>
        <v>5.2680000000000001E-3</v>
      </c>
      <c r="H1243" s="917">
        <f>VLOOKUP($A1243,'Tech Litons'!$A:$I,9,FALSE)</f>
        <v>130</v>
      </c>
      <c r="I1243" s="917" t="str">
        <f>VLOOKUP($A1243,'Tech Litons'!$A:$C,3,0)</f>
        <v>PG</v>
      </c>
      <c r="J1243" s="918" t="str">
        <f t="shared" si="126"/>
        <v>GDIPG</v>
      </c>
      <c r="K1243" s="919">
        <v>1</v>
      </c>
      <c r="L1243" s="920">
        <f t="shared" si="127"/>
        <v>2600</v>
      </c>
      <c r="M1243" s="920">
        <f t="shared" si="128"/>
        <v>13.6968</v>
      </c>
      <c r="N1243" s="920">
        <f t="shared" si="129"/>
        <v>20</v>
      </c>
      <c r="O1243" s="918" t="str">
        <f t="shared" si="130"/>
        <v>Jan</v>
      </c>
      <c r="P1243" s="921">
        <f t="shared" si="131"/>
        <v>2</v>
      </c>
    </row>
    <row r="1244" spans="1:16" ht="15" hidden="1" customHeight="1">
      <c r="A1244" s="839">
        <v>69665113</v>
      </c>
      <c r="B1244" s="839" t="s">
        <v>118</v>
      </c>
      <c r="C1244" s="906">
        <v>6656</v>
      </c>
      <c r="D1244" s="907">
        <v>46028</v>
      </c>
      <c r="E1244" s="839" t="s">
        <v>896</v>
      </c>
      <c r="F1244" s="839">
        <v>1419</v>
      </c>
      <c r="G1244" s="916">
        <f>VLOOKUP($A1244,'Tech Litons'!$A:$I,8,FALSE)</f>
        <v>1.8160000000000001E-3</v>
      </c>
      <c r="H1244" s="917">
        <f>VLOOKUP($A1244,'Tech Litons'!$A:$I,9,FALSE)</f>
        <v>256</v>
      </c>
      <c r="I1244" s="917" t="str">
        <f>VLOOKUP($A1244,'Tech Litons'!$A:$C,3,0)</f>
        <v>Dough Bites</v>
      </c>
      <c r="J1244" s="918" t="str">
        <f t="shared" si="126"/>
        <v>RhinoDough Bites</v>
      </c>
      <c r="K1244" s="919">
        <v>1</v>
      </c>
      <c r="L1244" s="920">
        <f t="shared" si="127"/>
        <v>6656</v>
      </c>
      <c r="M1244" s="920">
        <f t="shared" si="128"/>
        <v>12.087296</v>
      </c>
      <c r="N1244" s="920">
        <f t="shared" si="129"/>
        <v>26</v>
      </c>
      <c r="O1244" s="918" t="str">
        <f t="shared" si="130"/>
        <v>Jan</v>
      </c>
      <c r="P1244" s="921">
        <f t="shared" si="131"/>
        <v>2</v>
      </c>
    </row>
    <row r="1245" spans="1:16" ht="15" hidden="1" customHeight="1">
      <c r="A1245" s="839">
        <v>62714126</v>
      </c>
      <c r="B1245" s="839" t="s">
        <v>133</v>
      </c>
      <c r="C1245" s="906">
        <v>2600</v>
      </c>
      <c r="D1245" s="907">
        <v>46029</v>
      </c>
      <c r="E1245" s="839" t="s">
        <v>402</v>
      </c>
      <c r="F1245" s="839">
        <v>1419</v>
      </c>
      <c r="G1245" s="916">
        <f>VLOOKUP($A1245,'Tech Litons'!$A:$I,8,FALSE)</f>
        <v>5.2680000000000001E-3</v>
      </c>
      <c r="H1245" s="917">
        <f>VLOOKUP($A1245,'Tech Litons'!$A:$I,9,FALSE)</f>
        <v>130</v>
      </c>
      <c r="I1245" s="917" t="str">
        <f>VLOOKUP($A1245,'Tech Litons'!$A:$C,3,0)</f>
        <v>PG</v>
      </c>
      <c r="J1245" s="918" t="str">
        <f t="shared" si="126"/>
        <v>GDIPG</v>
      </c>
      <c r="K1245" s="919">
        <v>1</v>
      </c>
      <c r="L1245" s="920">
        <f t="shared" si="127"/>
        <v>2600</v>
      </c>
      <c r="M1245" s="920">
        <f t="shared" si="128"/>
        <v>13.6968</v>
      </c>
      <c r="N1245" s="920">
        <f t="shared" si="129"/>
        <v>20</v>
      </c>
      <c r="O1245" s="918" t="str">
        <f t="shared" si="130"/>
        <v>Jan</v>
      </c>
      <c r="P1245" s="921">
        <f t="shared" si="131"/>
        <v>2</v>
      </c>
    </row>
    <row r="1246" spans="1:16" ht="15" hidden="1" customHeight="1">
      <c r="A1246" s="839">
        <v>64833353</v>
      </c>
      <c r="B1246" s="839" t="s">
        <v>133</v>
      </c>
      <c r="C1246" s="906">
        <v>2600</v>
      </c>
      <c r="D1246" s="907">
        <v>46029</v>
      </c>
      <c r="E1246" s="839" t="s">
        <v>358</v>
      </c>
      <c r="F1246" s="839">
        <v>1419</v>
      </c>
      <c r="G1246" s="916">
        <f>VLOOKUP($A1246,'Tech Litons'!$A:$I,8,FALSE)</f>
        <v>5.28E-3</v>
      </c>
      <c r="H1246" s="917">
        <f>VLOOKUP($A1246,'Tech Litons'!$A:$I,9,FALSE)</f>
        <v>130</v>
      </c>
      <c r="I1246" s="917" t="str">
        <f>VLOOKUP($A1246,'Tech Litons'!$A:$C,3,0)</f>
        <v>PG</v>
      </c>
      <c r="J1246" s="918" t="str">
        <f t="shared" si="126"/>
        <v>GDIPG</v>
      </c>
      <c r="K1246" s="919">
        <v>1</v>
      </c>
      <c r="L1246" s="920">
        <f t="shared" si="127"/>
        <v>2600</v>
      </c>
      <c r="M1246" s="920">
        <f t="shared" si="128"/>
        <v>13.728</v>
      </c>
      <c r="N1246" s="920">
        <f t="shared" si="129"/>
        <v>20</v>
      </c>
      <c r="O1246" s="918" t="str">
        <f t="shared" si="130"/>
        <v>Jan</v>
      </c>
      <c r="P1246" s="921">
        <f t="shared" si="131"/>
        <v>2</v>
      </c>
    </row>
    <row r="1247" spans="1:16" ht="15" hidden="1" customHeight="1">
      <c r="A1247" s="839">
        <v>64833353</v>
      </c>
      <c r="B1247" s="839" t="s">
        <v>133</v>
      </c>
      <c r="C1247" s="906">
        <v>2600</v>
      </c>
      <c r="D1247" s="907">
        <v>46029</v>
      </c>
      <c r="E1247" s="839" t="s">
        <v>358</v>
      </c>
      <c r="F1247" s="839">
        <v>1419</v>
      </c>
      <c r="G1247" s="916">
        <f>VLOOKUP($A1247,'Tech Litons'!$A:$I,8,FALSE)</f>
        <v>5.28E-3</v>
      </c>
      <c r="H1247" s="917">
        <f>VLOOKUP($A1247,'Tech Litons'!$A:$I,9,FALSE)</f>
        <v>130</v>
      </c>
      <c r="I1247" s="917" t="str">
        <f>VLOOKUP($A1247,'Tech Litons'!$A:$C,3,0)</f>
        <v>PG</v>
      </c>
      <c r="J1247" s="918" t="str">
        <f t="shared" si="126"/>
        <v>GDIPG</v>
      </c>
      <c r="K1247" s="919">
        <v>1</v>
      </c>
      <c r="L1247" s="920">
        <f t="shared" si="127"/>
        <v>2600</v>
      </c>
      <c r="M1247" s="920">
        <f t="shared" si="128"/>
        <v>13.728</v>
      </c>
      <c r="N1247" s="920">
        <f t="shared" si="129"/>
        <v>20</v>
      </c>
      <c r="O1247" s="918" t="str">
        <f t="shared" si="130"/>
        <v>Jan</v>
      </c>
      <c r="P1247" s="921">
        <f t="shared" si="131"/>
        <v>2</v>
      </c>
    </row>
    <row r="1248" spans="1:16" ht="15" hidden="1" customHeight="1">
      <c r="A1248" s="839">
        <v>64833353</v>
      </c>
      <c r="B1248" s="839" t="s">
        <v>133</v>
      </c>
      <c r="C1248" s="906">
        <v>2600</v>
      </c>
      <c r="D1248" s="907">
        <v>46029</v>
      </c>
      <c r="E1248" s="839" t="s">
        <v>358</v>
      </c>
      <c r="F1248" s="839">
        <v>1419</v>
      </c>
      <c r="G1248" s="916">
        <f>VLOOKUP($A1248,'Tech Litons'!$A:$I,8,FALSE)</f>
        <v>5.28E-3</v>
      </c>
      <c r="H1248" s="917">
        <f>VLOOKUP($A1248,'Tech Litons'!$A:$I,9,FALSE)</f>
        <v>130</v>
      </c>
      <c r="I1248" s="917" t="str">
        <f>VLOOKUP($A1248,'Tech Litons'!$A:$C,3,0)</f>
        <v>PG</v>
      </c>
      <c r="J1248" s="918" t="str">
        <f t="shared" si="126"/>
        <v>GDIPG</v>
      </c>
      <c r="K1248" s="919">
        <v>1</v>
      </c>
      <c r="L1248" s="920">
        <f t="shared" si="127"/>
        <v>2600</v>
      </c>
      <c r="M1248" s="920">
        <f t="shared" si="128"/>
        <v>13.728</v>
      </c>
      <c r="N1248" s="920">
        <f t="shared" si="129"/>
        <v>20</v>
      </c>
      <c r="O1248" s="918" t="str">
        <f t="shared" si="130"/>
        <v>Jan</v>
      </c>
      <c r="P1248" s="921">
        <f t="shared" si="131"/>
        <v>2</v>
      </c>
    </row>
    <row r="1249" spans="1:16" ht="15" hidden="1" customHeight="1">
      <c r="A1249" s="839">
        <v>64833353</v>
      </c>
      <c r="B1249" s="839" t="s">
        <v>133</v>
      </c>
      <c r="C1249" s="906">
        <v>2600</v>
      </c>
      <c r="D1249" s="907">
        <v>46030</v>
      </c>
      <c r="E1249" s="839" t="s">
        <v>358</v>
      </c>
      <c r="F1249" s="839">
        <v>1419</v>
      </c>
      <c r="G1249" s="916">
        <f>VLOOKUP($A1249,'Tech Litons'!$A:$I,8,FALSE)</f>
        <v>5.28E-3</v>
      </c>
      <c r="H1249" s="917">
        <f>VLOOKUP($A1249,'Tech Litons'!$A:$I,9,FALSE)</f>
        <v>130</v>
      </c>
      <c r="I1249" s="917" t="str">
        <f>VLOOKUP($A1249,'Tech Litons'!$A:$C,3,0)</f>
        <v>PG</v>
      </c>
      <c r="J1249" s="918" t="str">
        <f t="shared" si="126"/>
        <v>GDIPG</v>
      </c>
      <c r="K1249" s="919">
        <v>1</v>
      </c>
      <c r="L1249" s="920">
        <f t="shared" si="127"/>
        <v>2600</v>
      </c>
      <c r="M1249" s="920">
        <f t="shared" si="128"/>
        <v>13.728</v>
      </c>
      <c r="N1249" s="920">
        <f t="shared" si="129"/>
        <v>20</v>
      </c>
      <c r="O1249" s="918" t="str">
        <f t="shared" si="130"/>
        <v>Jan</v>
      </c>
      <c r="P1249" s="921">
        <f t="shared" si="131"/>
        <v>2</v>
      </c>
    </row>
    <row r="1250" spans="1:16" ht="15" hidden="1" customHeight="1">
      <c r="A1250" s="839">
        <v>64833353</v>
      </c>
      <c r="B1250" s="839" t="s">
        <v>133</v>
      </c>
      <c r="C1250" s="906">
        <v>2600</v>
      </c>
      <c r="D1250" s="907">
        <v>46030</v>
      </c>
      <c r="E1250" s="839" t="s">
        <v>358</v>
      </c>
      <c r="F1250" s="839">
        <v>1419</v>
      </c>
      <c r="G1250" s="916">
        <f>VLOOKUP($A1250,'Tech Litons'!$A:$I,8,FALSE)</f>
        <v>5.28E-3</v>
      </c>
      <c r="H1250" s="917">
        <f>VLOOKUP($A1250,'Tech Litons'!$A:$I,9,FALSE)</f>
        <v>130</v>
      </c>
      <c r="I1250" s="917" t="str">
        <f>VLOOKUP($A1250,'Tech Litons'!$A:$C,3,0)</f>
        <v>PG</v>
      </c>
      <c r="J1250" s="918" t="str">
        <f t="shared" si="126"/>
        <v>GDIPG</v>
      </c>
      <c r="K1250" s="919">
        <v>1</v>
      </c>
      <c r="L1250" s="920">
        <f t="shared" si="127"/>
        <v>2600</v>
      </c>
      <c r="M1250" s="920">
        <f t="shared" si="128"/>
        <v>13.728</v>
      </c>
      <c r="N1250" s="920">
        <f t="shared" si="129"/>
        <v>20</v>
      </c>
      <c r="O1250" s="918" t="str">
        <f t="shared" si="130"/>
        <v>Jan</v>
      </c>
      <c r="P1250" s="921">
        <f t="shared" si="131"/>
        <v>2</v>
      </c>
    </row>
    <row r="1251" spans="1:16" ht="15" hidden="1" customHeight="1">
      <c r="A1251" s="839">
        <v>62714126</v>
      </c>
      <c r="B1251" s="839" t="s">
        <v>133</v>
      </c>
      <c r="C1251" s="906">
        <v>2600</v>
      </c>
      <c r="D1251" s="907">
        <v>46030</v>
      </c>
      <c r="E1251" s="839" t="s">
        <v>402</v>
      </c>
      <c r="F1251" s="839">
        <v>1419</v>
      </c>
      <c r="G1251" s="916">
        <f>VLOOKUP($A1251,'Tech Litons'!$A:$I,8,FALSE)</f>
        <v>5.2680000000000001E-3</v>
      </c>
      <c r="H1251" s="917">
        <f>VLOOKUP($A1251,'Tech Litons'!$A:$I,9,FALSE)</f>
        <v>130</v>
      </c>
      <c r="I1251" s="917" t="str">
        <f>VLOOKUP($A1251,'Tech Litons'!$A:$C,3,0)</f>
        <v>PG</v>
      </c>
      <c r="J1251" s="918" t="str">
        <f t="shared" si="126"/>
        <v>GDIPG</v>
      </c>
      <c r="K1251" s="919">
        <v>1</v>
      </c>
      <c r="L1251" s="920">
        <f t="shared" si="127"/>
        <v>2600</v>
      </c>
      <c r="M1251" s="920">
        <f t="shared" si="128"/>
        <v>13.6968</v>
      </c>
      <c r="N1251" s="920">
        <f t="shared" si="129"/>
        <v>20</v>
      </c>
      <c r="O1251" s="918" t="str">
        <f t="shared" si="130"/>
        <v>Jan</v>
      </c>
      <c r="P1251" s="921">
        <f t="shared" si="131"/>
        <v>2</v>
      </c>
    </row>
    <row r="1252" spans="1:16" ht="15" hidden="1" customHeight="1">
      <c r="A1252" s="839">
        <v>62714126</v>
      </c>
      <c r="B1252" s="839" t="s">
        <v>133</v>
      </c>
      <c r="C1252" s="906">
        <v>2600</v>
      </c>
      <c r="D1252" s="907">
        <v>46031</v>
      </c>
      <c r="E1252" s="839" t="s">
        <v>402</v>
      </c>
      <c r="F1252" s="839">
        <v>1419</v>
      </c>
      <c r="G1252" s="916">
        <f>VLOOKUP($A1252,'Tech Litons'!$A:$I,8,FALSE)</f>
        <v>5.2680000000000001E-3</v>
      </c>
      <c r="H1252" s="917">
        <f>VLOOKUP($A1252,'Tech Litons'!$A:$I,9,FALSE)</f>
        <v>130</v>
      </c>
      <c r="I1252" s="917" t="str">
        <f>VLOOKUP($A1252,'Tech Litons'!$A:$C,3,0)</f>
        <v>PG</v>
      </c>
      <c r="J1252" s="918" t="str">
        <f t="shared" si="126"/>
        <v>GDIPG</v>
      </c>
      <c r="K1252" s="919">
        <v>1</v>
      </c>
      <c r="L1252" s="920">
        <f t="shared" si="127"/>
        <v>2600</v>
      </c>
      <c r="M1252" s="920">
        <f t="shared" si="128"/>
        <v>13.6968</v>
      </c>
      <c r="N1252" s="920">
        <f t="shared" si="129"/>
        <v>20</v>
      </c>
      <c r="O1252" s="918" t="str">
        <f t="shared" si="130"/>
        <v>Jan</v>
      </c>
      <c r="P1252" s="921">
        <f t="shared" si="131"/>
        <v>2</v>
      </c>
    </row>
    <row r="1253" spans="1:16" ht="15" hidden="1" customHeight="1">
      <c r="A1253" s="839">
        <v>62714126</v>
      </c>
      <c r="B1253" s="839" t="s">
        <v>133</v>
      </c>
      <c r="C1253" s="906">
        <v>2600</v>
      </c>
      <c r="D1253" s="907">
        <v>46031</v>
      </c>
      <c r="E1253" s="839" t="s">
        <v>402</v>
      </c>
      <c r="F1253" s="839">
        <v>1419</v>
      </c>
      <c r="G1253" s="916">
        <f>VLOOKUP($A1253,'Tech Litons'!$A:$I,8,FALSE)</f>
        <v>5.2680000000000001E-3</v>
      </c>
      <c r="H1253" s="917">
        <f>VLOOKUP($A1253,'Tech Litons'!$A:$I,9,FALSE)</f>
        <v>130</v>
      </c>
      <c r="I1253" s="917" t="str">
        <f>VLOOKUP($A1253,'Tech Litons'!$A:$C,3,0)</f>
        <v>PG</v>
      </c>
      <c r="J1253" s="918" t="str">
        <f t="shared" si="126"/>
        <v>GDIPG</v>
      </c>
      <c r="K1253" s="919">
        <v>1</v>
      </c>
      <c r="L1253" s="920">
        <f t="shared" si="127"/>
        <v>2600</v>
      </c>
      <c r="M1253" s="920">
        <f t="shared" si="128"/>
        <v>13.6968</v>
      </c>
      <c r="N1253" s="920">
        <f t="shared" si="129"/>
        <v>20</v>
      </c>
      <c r="O1253" s="918" t="str">
        <f t="shared" si="130"/>
        <v>Jan</v>
      </c>
      <c r="P1253" s="921">
        <f t="shared" si="131"/>
        <v>2</v>
      </c>
    </row>
    <row r="1254" spans="1:16" ht="15" hidden="1" customHeight="1">
      <c r="A1254" s="839">
        <v>62714126</v>
      </c>
      <c r="B1254" s="839" t="s">
        <v>133</v>
      </c>
      <c r="C1254" s="906">
        <v>2600</v>
      </c>
      <c r="D1254" s="907">
        <v>46031</v>
      </c>
      <c r="E1254" s="839" t="s">
        <v>402</v>
      </c>
      <c r="F1254" s="839">
        <v>1419</v>
      </c>
      <c r="G1254" s="916">
        <f>VLOOKUP($A1254,'Tech Litons'!$A:$I,8,FALSE)</f>
        <v>5.2680000000000001E-3</v>
      </c>
      <c r="H1254" s="917">
        <f>VLOOKUP($A1254,'Tech Litons'!$A:$I,9,FALSE)</f>
        <v>130</v>
      </c>
      <c r="I1254" s="917" t="str">
        <f>VLOOKUP($A1254,'Tech Litons'!$A:$C,3,0)</f>
        <v>PG</v>
      </c>
      <c r="J1254" s="918" t="str">
        <f t="shared" si="126"/>
        <v>GDIPG</v>
      </c>
      <c r="K1254" s="919">
        <v>1</v>
      </c>
      <c r="L1254" s="920">
        <f t="shared" si="127"/>
        <v>2600</v>
      </c>
      <c r="M1254" s="920">
        <f t="shared" si="128"/>
        <v>13.6968</v>
      </c>
      <c r="N1254" s="920">
        <f t="shared" si="129"/>
        <v>20</v>
      </c>
      <c r="O1254" s="918" t="str">
        <f t="shared" si="130"/>
        <v>Jan</v>
      </c>
      <c r="P1254" s="921">
        <f t="shared" si="131"/>
        <v>2</v>
      </c>
    </row>
    <row r="1255" spans="1:16" ht="15" hidden="1" customHeight="1">
      <c r="A1255" s="839">
        <v>69665113</v>
      </c>
      <c r="B1255" s="839" t="s">
        <v>118</v>
      </c>
      <c r="C1255" s="906">
        <v>5120</v>
      </c>
      <c r="D1255" s="907">
        <v>46031</v>
      </c>
      <c r="E1255" s="839" t="s">
        <v>896</v>
      </c>
      <c r="F1255" s="839">
        <v>1419</v>
      </c>
      <c r="G1255" s="916">
        <f>VLOOKUP($A1255,'Tech Litons'!$A:$I,8,FALSE)</f>
        <v>1.8160000000000001E-3</v>
      </c>
      <c r="H1255" s="917">
        <f>VLOOKUP($A1255,'Tech Litons'!$A:$I,9,FALSE)</f>
        <v>256</v>
      </c>
      <c r="I1255" s="917" t="str">
        <f>VLOOKUP($A1255,'Tech Litons'!$A:$C,3,0)</f>
        <v>Dough Bites</v>
      </c>
      <c r="J1255" s="918" t="str">
        <f t="shared" si="126"/>
        <v>RhinoDough Bites</v>
      </c>
      <c r="K1255" s="919">
        <v>1</v>
      </c>
      <c r="L1255" s="920">
        <f t="shared" si="127"/>
        <v>5120</v>
      </c>
      <c r="M1255" s="920">
        <f t="shared" si="128"/>
        <v>9.2979200000000013</v>
      </c>
      <c r="N1255" s="920">
        <f t="shared" si="129"/>
        <v>20</v>
      </c>
      <c r="O1255" s="918" t="str">
        <f t="shared" si="130"/>
        <v>Jan</v>
      </c>
      <c r="P1255" s="921">
        <f t="shared" si="131"/>
        <v>2</v>
      </c>
    </row>
    <row r="1256" spans="1:16" ht="15" hidden="1" customHeight="1">
      <c r="A1256" s="839">
        <v>68264519</v>
      </c>
      <c r="B1256" s="839" t="s">
        <v>118</v>
      </c>
      <c r="C1256" s="906">
        <v>6144</v>
      </c>
      <c r="D1256" s="907">
        <v>46031</v>
      </c>
      <c r="E1256" s="839" t="s">
        <v>894</v>
      </c>
      <c r="F1256" s="839">
        <v>1419</v>
      </c>
      <c r="G1256" s="916">
        <f>VLOOKUP($A1256,'Tech Litons'!$A:$I,8,FALSE)</f>
        <v>1.419504E-3</v>
      </c>
      <c r="H1256" s="917">
        <f>VLOOKUP($A1256,'Tech Litons'!$A:$I,9,FALSE)</f>
        <v>256</v>
      </c>
      <c r="I1256" s="917" t="str">
        <f>VLOOKUP($A1256,'Tech Litons'!$A:$C,3,0)</f>
        <v>Dough Bites</v>
      </c>
      <c r="J1256" s="918" t="str">
        <f t="shared" si="126"/>
        <v>RhinoDough Bites</v>
      </c>
      <c r="K1256" s="919">
        <v>1</v>
      </c>
      <c r="L1256" s="920">
        <f t="shared" si="127"/>
        <v>6144</v>
      </c>
      <c r="M1256" s="920">
        <f t="shared" si="128"/>
        <v>8.7214325759999998</v>
      </c>
      <c r="N1256" s="920">
        <f t="shared" si="129"/>
        <v>24</v>
      </c>
      <c r="O1256" s="918" t="str">
        <f t="shared" si="130"/>
        <v>Jan</v>
      </c>
      <c r="P1256" s="921">
        <f t="shared" si="131"/>
        <v>2</v>
      </c>
    </row>
    <row r="1257" spans="1:16" ht="15" hidden="1" customHeight="1">
      <c r="A1257" s="839">
        <v>62714126</v>
      </c>
      <c r="B1257" s="839" t="s">
        <v>133</v>
      </c>
      <c r="C1257" s="906">
        <v>2600</v>
      </c>
      <c r="D1257" s="907">
        <v>46034</v>
      </c>
      <c r="E1257" s="839" t="s">
        <v>402</v>
      </c>
      <c r="F1257" s="839">
        <v>1419</v>
      </c>
      <c r="G1257" s="916">
        <f>VLOOKUP($A1257,'Tech Litons'!$A:$I,8,FALSE)</f>
        <v>5.2680000000000001E-3</v>
      </c>
      <c r="H1257" s="917">
        <f>VLOOKUP($A1257,'Tech Litons'!$A:$I,9,FALSE)</f>
        <v>130</v>
      </c>
      <c r="I1257" s="917" t="str">
        <f>VLOOKUP($A1257,'Tech Litons'!$A:$C,3,0)</f>
        <v>PG</v>
      </c>
      <c r="J1257" s="918" t="str">
        <f t="shared" si="126"/>
        <v>GDIPG</v>
      </c>
      <c r="K1257" s="919">
        <v>1</v>
      </c>
      <c r="L1257" s="920">
        <f t="shared" si="127"/>
        <v>2600</v>
      </c>
      <c r="M1257" s="920">
        <f t="shared" si="128"/>
        <v>13.6968</v>
      </c>
      <c r="N1257" s="920">
        <f t="shared" si="129"/>
        <v>20</v>
      </c>
      <c r="O1257" s="918" t="str">
        <f t="shared" si="130"/>
        <v>Jan</v>
      </c>
      <c r="P1257" s="921">
        <f t="shared" si="131"/>
        <v>3</v>
      </c>
    </row>
    <row r="1258" spans="1:16" ht="15" hidden="1" customHeight="1">
      <c r="A1258" s="839">
        <v>62714126</v>
      </c>
      <c r="B1258" s="839" t="s">
        <v>133</v>
      </c>
      <c r="C1258" s="906">
        <v>2600</v>
      </c>
      <c r="D1258" s="907">
        <v>46034</v>
      </c>
      <c r="E1258" s="839" t="s">
        <v>402</v>
      </c>
      <c r="F1258" s="839">
        <v>1419</v>
      </c>
      <c r="G1258" s="916">
        <f>VLOOKUP($A1258,'Tech Litons'!$A:$I,8,FALSE)</f>
        <v>5.2680000000000001E-3</v>
      </c>
      <c r="H1258" s="917">
        <f>VLOOKUP($A1258,'Tech Litons'!$A:$I,9,FALSE)</f>
        <v>130</v>
      </c>
      <c r="I1258" s="917" t="str">
        <f>VLOOKUP($A1258,'Tech Litons'!$A:$C,3,0)</f>
        <v>PG</v>
      </c>
      <c r="J1258" s="918" t="str">
        <f t="shared" si="126"/>
        <v>GDIPG</v>
      </c>
      <c r="K1258" s="919">
        <v>1</v>
      </c>
      <c r="L1258" s="920">
        <f t="shared" si="127"/>
        <v>2600</v>
      </c>
      <c r="M1258" s="920">
        <f t="shared" si="128"/>
        <v>13.6968</v>
      </c>
      <c r="N1258" s="920">
        <f t="shared" si="129"/>
        <v>20</v>
      </c>
      <c r="O1258" s="918" t="str">
        <f t="shared" si="130"/>
        <v>Jan</v>
      </c>
      <c r="P1258" s="921">
        <f t="shared" si="131"/>
        <v>3</v>
      </c>
    </row>
    <row r="1259" spans="1:16" ht="15" hidden="1" customHeight="1">
      <c r="A1259" s="839">
        <v>62714126</v>
      </c>
      <c r="B1259" s="839" t="s">
        <v>133</v>
      </c>
      <c r="C1259" s="906">
        <v>2600</v>
      </c>
      <c r="D1259" s="907">
        <v>46034</v>
      </c>
      <c r="E1259" s="839" t="s">
        <v>402</v>
      </c>
      <c r="F1259" s="839">
        <v>1419</v>
      </c>
      <c r="G1259" s="916">
        <f>VLOOKUP($A1259,'Tech Litons'!$A:$I,8,FALSE)</f>
        <v>5.2680000000000001E-3</v>
      </c>
      <c r="H1259" s="917">
        <f>VLOOKUP($A1259,'Tech Litons'!$A:$I,9,FALSE)</f>
        <v>130</v>
      </c>
      <c r="I1259" s="917" t="str">
        <f>VLOOKUP($A1259,'Tech Litons'!$A:$C,3,0)</f>
        <v>PG</v>
      </c>
      <c r="J1259" s="918" t="str">
        <f t="shared" si="126"/>
        <v>GDIPG</v>
      </c>
      <c r="K1259" s="919">
        <v>1</v>
      </c>
      <c r="L1259" s="920">
        <f t="shared" si="127"/>
        <v>2600</v>
      </c>
      <c r="M1259" s="920">
        <f t="shared" si="128"/>
        <v>13.6968</v>
      </c>
      <c r="N1259" s="920">
        <f t="shared" si="129"/>
        <v>20</v>
      </c>
      <c r="O1259" s="918" t="str">
        <f t="shared" si="130"/>
        <v>Jan</v>
      </c>
      <c r="P1259" s="921">
        <f t="shared" si="131"/>
        <v>3</v>
      </c>
    </row>
    <row r="1260" spans="1:16" ht="15" hidden="1" customHeight="1">
      <c r="A1260" s="839">
        <v>62714126</v>
      </c>
      <c r="B1260" s="839" t="s">
        <v>133</v>
      </c>
      <c r="C1260" s="906">
        <v>2600</v>
      </c>
      <c r="D1260" s="907">
        <v>46034</v>
      </c>
      <c r="E1260" s="839" t="s">
        <v>402</v>
      </c>
      <c r="F1260" s="839">
        <v>1419</v>
      </c>
      <c r="G1260" s="916">
        <f>VLOOKUP($A1260,'Tech Litons'!$A:$I,8,FALSE)</f>
        <v>5.2680000000000001E-3</v>
      </c>
      <c r="H1260" s="917">
        <f>VLOOKUP($A1260,'Tech Litons'!$A:$I,9,FALSE)</f>
        <v>130</v>
      </c>
      <c r="I1260" s="917" t="str">
        <f>VLOOKUP($A1260,'Tech Litons'!$A:$C,3,0)</f>
        <v>PG</v>
      </c>
      <c r="J1260" s="918" t="str">
        <f t="shared" si="126"/>
        <v>GDIPG</v>
      </c>
      <c r="K1260" s="919">
        <v>1</v>
      </c>
      <c r="L1260" s="920">
        <f t="shared" si="127"/>
        <v>2600</v>
      </c>
      <c r="M1260" s="920">
        <f t="shared" si="128"/>
        <v>13.6968</v>
      </c>
      <c r="N1260" s="920">
        <f t="shared" si="129"/>
        <v>20</v>
      </c>
      <c r="O1260" s="918" t="str">
        <f t="shared" si="130"/>
        <v>Jan</v>
      </c>
      <c r="P1260" s="921">
        <f t="shared" si="131"/>
        <v>3</v>
      </c>
    </row>
    <row r="1261" spans="1:16" ht="15" hidden="1" customHeight="1">
      <c r="A1261" s="839">
        <v>62714126</v>
      </c>
      <c r="B1261" s="839" t="s">
        <v>133</v>
      </c>
      <c r="C1261" s="906">
        <v>2600</v>
      </c>
      <c r="D1261" s="907">
        <v>46034</v>
      </c>
      <c r="E1261" s="839" t="s">
        <v>402</v>
      </c>
      <c r="F1261" s="839">
        <v>1419</v>
      </c>
      <c r="G1261" s="916">
        <f>VLOOKUP($A1261,'Tech Litons'!$A:$I,8,FALSE)</f>
        <v>5.2680000000000001E-3</v>
      </c>
      <c r="H1261" s="917">
        <f>VLOOKUP($A1261,'Tech Litons'!$A:$I,9,FALSE)</f>
        <v>130</v>
      </c>
      <c r="I1261" s="917" t="str">
        <f>VLOOKUP($A1261,'Tech Litons'!$A:$C,3,0)</f>
        <v>PG</v>
      </c>
      <c r="J1261" s="918" t="str">
        <f t="shared" si="126"/>
        <v>GDIPG</v>
      </c>
      <c r="K1261" s="919">
        <v>1</v>
      </c>
      <c r="L1261" s="920">
        <f t="shared" si="127"/>
        <v>2600</v>
      </c>
      <c r="M1261" s="920">
        <f t="shared" si="128"/>
        <v>13.6968</v>
      </c>
      <c r="N1261" s="920">
        <f t="shared" si="129"/>
        <v>20</v>
      </c>
      <c r="O1261" s="918" t="str">
        <f t="shared" si="130"/>
        <v>Jan</v>
      </c>
      <c r="P1261" s="921">
        <f t="shared" si="131"/>
        <v>3</v>
      </c>
    </row>
    <row r="1262" spans="1:16" ht="15" hidden="1" customHeight="1">
      <c r="A1262" s="839">
        <v>62714126</v>
      </c>
      <c r="B1262" s="839" t="s">
        <v>133</v>
      </c>
      <c r="C1262" s="906">
        <v>2600</v>
      </c>
      <c r="D1262" s="907">
        <v>46034</v>
      </c>
      <c r="E1262" s="839" t="s">
        <v>402</v>
      </c>
      <c r="F1262" s="839">
        <v>1419</v>
      </c>
      <c r="G1262" s="916">
        <f>VLOOKUP($A1262,'Tech Litons'!$A:$I,8,FALSE)</f>
        <v>5.2680000000000001E-3</v>
      </c>
      <c r="H1262" s="917">
        <f>VLOOKUP($A1262,'Tech Litons'!$A:$I,9,FALSE)</f>
        <v>130</v>
      </c>
      <c r="I1262" s="917" t="str">
        <f>VLOOKUP($A1262,'Tech Litons'!$A:$C,3,0)</f>
        <v>PG</v>
      </c>
      <c r="J1262" s="918" t="str">
        <f t="shared" si="126"/>
        <v>GDIPG</v>
      </c>
      <c r="K1262" s="919">
        <v>1</v>
      </c>
      <c r="L1262" s="920">
        <f t="shared" si="127"/>
        <v>2600</v>
      </c>
      <c r="M1262" s="920">
        <f t="shared" si="128"/>
        <v>13.6968</v>
      </c>
      <c r="N1262" s="920">
        <f t="shared" si="129"/>
        <v>20</v>
      </c>
      <c r="O1262" s="918" t="str">
        <f t="shared" si="130"/>
        <v>Jan</v>
      </c>
      <c r="P1262" s="921">
        <f t="shared" si="131"/>
        <v>3</v>
      </c>
    </row>
    <row r="1263" spans="1:16" ht="15" hidden="1" customHeight="1">
      <c r="A1263" s="839">
        <v>62714126</v>
      </c>
      <c r="B1263" s="839" t="s">
        <v>133</v>
      </c>
      <c r="C1263" s="906">
        <v>2600</v>
      </c>
      <c r="D1263" s="907">
        <v>46034</v>
      </c>
      <c r="E1263" s="839" t="s">
        <v>402</v>
      </c>
      <c r="F1263" s="839">
        <v>1419</v>
      </c>
      <c r="G1263" s="916">
        <f>VLOOKUP($A1263,'Tech Litons'!$A:$I,8,FALSE)</f>
        <v>5.2680000000000001E-3</v>
      </c>
      <c r="H1263" s="917">
        <f>VLOOKUP($A1263,'Tech Litons'!$A:$I,9,FALSE)</f>
        <v>130</v>
      </c>
      <c r="I1263" s="917" t="str">
        <f>VLOOKUP($A1263,'Tech Litons'!$A:$C,3,0)</f>
        <v>PG</v>
      </c>
      <c r="J1263" s="918" t="str">
        <f t="shared" si="126"/>
        <v>GDIPG</v>
      </c>
      <c r="K1263" s="919">
        <v>1</v>
      </c>
      <c r="L1263" s="920">
        <f t="shared" si="127"/>
        <v>2600</v>
      </c>
      <c r="M1263" s="920">
        <f t="shared" si="128"/>
        <v>13.6968</v>
      </c>
      <c r="N1263" s="920">
        <f t="shared" si="129"/>
        <v>20</v>
      </c>
      <c r="O1263" s="918" t="str">
        <f t="shared" si="130"/>
        <v>Jan</v>
      </c>
      <c r="P1263" s="921">
        <f t="shared" si="131"/>
        <v>3</v>
      </c>
    </row>
    <row r="1264" spans="1:16" ht="15" hidden="1" customHeight="1">
      <c r="A1264" s="839">
        <v>64833353</v>
      </c>
      <c r="B1264" s="839" t="s">
        <v>133</v>
      </c>
      <c r="C1264" s="906">
        <v>2600</v>
      </c>
      <c r="D1264" s="907">
        <v>46034</v>
      </c>
      <c r="E1264" s="839" t="s">
        <v>358</v>
      </c>
      <c r="F1264" s="839">
        <v>1419</v>
      </c>
      <c r="G1264" s="916">
        <f>VLOOKUP($A1264,'Tech Litons'!$A:$I,8,FALSE)</f>
        <v>5.28E-3</v>
      </c>
      <c r="H1264" s="917">
        <f>VLOOKUP($A1264,'Tech Litons'!$A:$I,9,FALSE)</f>
        <v>130</v>
      </c>
      <c r="I1264" s="917" t="str">
        <f>VLOOKUP($A1264,'Tech Litons'!$A:$C,3,0)</f>
        <v>PG</v>
      </c>
      <c r="J1264" s="918" t="str">
        <f t="shared" si="126"/>
        <v>GDIPG</v>
      </c>
      <c r="K1264" s="919">
        <v>1</v>
      </c>
      <c r="L1264" s="920">
        <f t="shared" si="127"/>
        <v>2600</v>
      </c>
      <c r="M1264" s="920">
        <f t="shared" si="128"/>
        <v>13.728</v>
      </c>
      <c r="N1264" s="920">
        <f t="shared" si="129"/>
        <v>20</v>
      </c>
      <c r="O1264" s="918" t="str">
        <f t="shared" si="130"/>
        <v>Jan</v>
      </c>
      <c r="P1264" s="921">
        <f t="shared" si="131"/>
        <v>3</v>
      </c>
    </row>
    <row r="1265" spans="1:16" ht="15" hidden="1" customHeight="1">
      <c r="A1265" s="839">
        <v>62714126</v>
      </c>
      <c r="B1265" s="839" t="s">
        <v>133</v>
      </c>
      <c r="C1265" s="906">
        <v>2600</v>
      </c>
      <c r="D1265" s="907">
        <v>46035</v>
      </c>
      <c r="E1265" s="839" t="s">
        <v>402</v>
      </c>
      <c r="F1265" s="839">
        <v>1419</v>
      </c>
      <c r="G1265" s="916">
        <f>VLOOKUP($A1265,'Tech Litons'!$A:$I,8,FALSE)</f>
        <v>5.2680000000000001E-3</v>
      </c>
      <c r="H1265" s="917">
        <f>VLOOKUP($A1265,'Tech Litons'!$A:$I,9,FALSE)</f>
        <v>130</v>
      </c>
      <c r="I1265" s="917" t="str">
        <f>VLOOKUP($A1265,'Tech Litons'!$A:$C,3,0)</f>
        <v>PG</v>
      </c>
      <c r="J1265" s="918" t="str">
        <f t="shared" si="126"/>
        <v>GDIPG</v>
      </c>
      <c r="K1265" s="919">
        <v>1</v>
      </c>
      <c r="L1265" s="920">
        <f t="shared" si="127"/>
        <v>2600</v>
      </c>
      <c r="M1265" s="920">
        <f t="shared" si="128"/>
        <v>13.6968</v>
      </c>
      <c r="N1265" s="920">
        <f t="shared" si="129"/>
        <v>20</v>
      </c>
      <c r="O1265" s="918" t="str">
        <f t="shared" si="130"/>
        <v>Jan</v>
      </c>
      <c r="P1265" s="921">
        <f t="shared" si="131"/>
        <v>3</v>
      </c>
    </row>
    <row r="1266" spans="1:16" ht="15" hidden="1" customHeight="1">
      <c r="A1266" s="839">
        <v>62714126</v>
      </c>
      <c r="B1266" s="839" t="s">
        <v>133</v>
      </c>
      <c r="C1266" s="906">
        <v>2600</v>
      </c>
      <c r="D1266" s="907">
        <v>46035</v>
      </c>
      <c r="E1266" s="839" t="s">
        <v>402</v>
      </c>
      <c r="F1266" s="839">
        <v>1419</v>
      </c>
      <c r="G1266" s="916">
        <f>VLOOKUP($A1266,'Tech Litons'!$A:$I,8,FALSE)</f>
        <v>5.2680000000000001E-3</v>
      </c>
      <c r="H1266" s="917">
        <f>VLOOKUP($A1266,'Tech Litons'!$A:$I,9,FALSE)</f>
        <v>130</v>
      </c>
      <c r="I1266" s="917" t="str">
        <f>VLOOKUP($A1266,'Tech Litons'!$A:$C,3,0)</f>
        <v>PG</v>
      </c>
      <c r="J1266" s="918" t="str">
        <f t="shared" si="126"/>
        <v>GDIPG</v>
      </c>
      <c r="K1266" s="919">
        <v>1</v>
      </c>
      <c r="L1266" s="920">
        <f t="shared" si="127"/>
        <v>2600</v>
      </c>
      <c r="M1266" s="920">
        <f t="shared" si="128"/>
        <v>13.6968</v>
      </c>
      <c r="N1266" s="920">
        <f t="shared" si="129"/>
        <v>20</v>
      </c>
      <c r="O1266" s="918" t="str">
        <f t="shared" si="130"/>
        <v>Jan</v>
      </c>
      <c r="P1266" s="921">
        <f t="shared" si="131"/>
        <v>3</v>
      </c>
    </row>
    <row r="1267" spans="1:16" ht="15" hidden="1" customHeight="1">
      <c r="A1267" s="839">
        <v>62714126</v>
      </c>
      <c r="B1267" s="839" t="s">
        <v>133</v>
      </c>
      <c r="C1267" s="906">
        <v>2600</v>
      </c>
      <c r="D1267" s="907">
        <v>46035</v>
      </c>
      <c r="E1267" s="839" t="s">
        <v>402</v>
      </c>
      <c r="F1267" s="839">
        <v>1419</v>
      </c>
      <c r="G1267" s="916">
        <f>VLOOKUP($A1267,'Tech Litons'!$A:$I,8,FALSE)</f>
        <v>5.2680000000000001E-3</v>
      </c>
      <c r="H1267" s="917">
        <f>VLOOKUP($A1267,'Tech Litons'!$A:$I,9,FALSE)</f>
        <v>130</v>
      </c>
      <c r="I1267" s="917" t="str">
        <f>VLOOKUP($A1267,'Tech Litons'!$A:$C,3,0)</f>
        <v>PG</v>
      </c>
      <c r="J1267" s="918" t="str">
        <f t="shared" si="126"/>
        <v>GDIPG</v>
      </c>
      <c r="K1267" s="919">
        <v>1</v>
      </c>
      <c r="L1267" s="920">
        <f t="shared" si="127"/>
        <v>2600</v>
      </c>
      <c r="M1267" s="920">
        <f t="shared" si="128"/>
        <v>13.6968</v>
      </c>
      <c r="N1267" s="920">
        <f t="shared" si="129"/>
        <v>20</v>
      </c>
      <c r="O1267" s="918" t="str">
        <f t="shared" si="130"/>
        <v>Jan</v>
      </c>
      <c r="P1267" s="921">
        <f t="shared" si="131"/>
        <v>3</v>
      </c>
    </row>
    <row r="1268" spans="1:16" ht="15" hidden="1" customHeight="1">
      <c r="A1268" s="839">
        <v>64833353</v>
      </c>
      <c r="B1268" s="839" t="s">
        <v>133</v>
      </c>
      <c r="C1268" s="906">
        <v>2600</v>
      </c>
      <c r="D1268" s="907">
        <v>46035</v>
      </c>
      <c r="E1268" s="839" t="s">
        <v>358</v>
      </c>
      <c r="F1268" s="839">
        <v>1419</v>
      </c>
      <c r="G1268" s="916">
        <f>VLOOKUP($A1268,'Tech Litons'!$A:$I,8,FALSE)</f>
        <v>5.28E-3</v>
      </c>
      <c r="H1268" s="917">
        <f>VLOOKUP($A1268,'Tech Litons'!$A:$I,9,FALSE)</f>
        <v>130</v>
      </c>
      <c r="I1268" s="917" t="str">
        <f>VLOOKUP($A1268,'Tech Litons'!$A:$C,3,0)</f>
        <v>PG</v>
      </c>
      <c r="J1268" s="918" t="str">
        <f t="shared" si="126"/>
        <v>GDIPG</v>
      </c>
      <c r="K1268" s="919">
        <v>1</v>
      </c>
      <c r="L1268" s="920">
        <f t="shared" si="127"/>
        <v>2600</v>
      </c>
      <c r="M1268" s="920">
        <f t="shared" si="128"/>
        <v>13.728</v>
      </c>
      <c r="N1268" s="920">
        <f t="shared" si="129"/>
        <v>20</v>
      </c>
      <c r="O1268" s="918" t="str">
        <f t="shared" si="130"/>
        <v>Jan</v>
      </c>
      <c r="P1268" s="921">
        <f t="shared" si="131"/>
        <v>3</v>
      </c>
    </row>
    <row r="1269" spans="1:16" ht="15" hidden="1" customHeight="1">
      <c r="A1269" s="839">
        <v>64833353</v>
      </c>
      <c r="B1269" s="839" t="s">
        <v>133</v>
      </c>
      <c r="C1269" s="906">
        <v>2600</v>
      </c>
      <c r="D1269" s="907">
        <v>46035</v>
      </c>
      <c r="E1269" s="839" t="s">
        <v>358</v>
      </c>
      <c r="F1269" s="839">
        <v>1419</v>
      </c>
      <c r="G1269" s="916">
        <f>VLOOKUP($A1269,'Tech Litons'!$A:$I,8,FALSE)</f>
        <v>5.28E-3</v>
      </c>
      <c r="H1269" s="917">
        <f>VLOOKUP($A1269,'Tech Litons'!$A:$I,9,FALSE)</f>
        <v>130</v>
      </c>
      <c r="I1269" s="917" t="str">
        <f>VLOOKUP($A1269,'Tech Litons'!$A:$C,3,0)</f>
        <v>PG</v>
      </c>
      <c r="J1269" s="918" t="str">
        <f t="shared" si="126"/>
        <v>GDIPG</v>
      </c>
      <c r="K1269" s="919">
        <v>1</v>
      </c>
      <c r="L1269" s="920">
        <f t="shared" si="127"/>
        <v>2600</v>
      </c>
      <c r="M1269" s="920">
        <f t="shared" si="128"/>
        <v>13.728</v>
      </c>
      <c r="N1269" s="920">
        <f t="shared" si="129"/>
        <v>20</v>
      </c>
      <c r="O1269" s="918" t="str">
        <f t="shared" si="130"/>
        <v>Jan</v>
      </c>
      <c r="P1269" s="921">
        <f t="shared" si="131"/>
        <v>3</v>
      </c>
    </row>
    <row r="1270" spans="1:16" ht="15" hidden="1" customHeight="1">
      <c r="A1270" s="839">
        <v>64341108</v>
      </c>
      <c r="B1270" s="839" t="s">
        <v>139</v>
      </c>
      <c r="C1270" s="906">
        <v>4200</v>
      </c>
      <c r="D1270" s="907">
        <v>46035</v>
      </c>
      <c r="E1270" s="839" t="s">
        <v>615</v>
      </c>
      <c r="F1270" s="839">
        <v>1419</v>
      </c>
      <c r="G1270" s="916">
        <f>VLOOKUP($A1270,'Tech Litons'!$A:$I,8,FALSE)</f>
        <v>2.3599999999999997E-3</v>
      </c>
      <c r="H1270" s="917">
        <f>VLOOKUP($A1270,'Tech Litons'!$A:$I,9,FALSE)</f>
        <v>210</v>
      </c>
      <c r="I1270" s="917" t="str">
        <f>VLOOKUP($A1270,'Tech Litons'!$A:$C,3,0)</f>
        <v>Facepieces</v>
      </c>
      <c r="J1270" s="918" t="str">
        <f t="shared" si="126"/>
        <v>IncomFacepieces</v>
      </c>
      <c r="K1270" s="919">
        <v>1</v>
      </c>
      <c r="L1270" s="920">
        <f t="shared" si="127"/>
        <v>4200</v>
      </c>
      <c r="M1270" s="920">
        <f t="shared" si="128"/>
        <v>9.911999999999999</v>
      </c>
      <c r="N1270" s="920">
        <f t="shared" si="129"/>
        <v>20</v>
      </c>
      <c r="O1270" s="918" t="str">
        <f t="shared" si="130"/>
        <v>Jan</v>
      </c>
      <c r="P1270" s="921">
        <f t="shared" si="131"/>
        <v>3</v>
      </c>
    </row>
    <row r="1271" spans="1:16" ht="15" hidden="1" customHeight="1">
      <c r="A1271" s="839">
        <v>62714126</v>
      </c>
      <c r="B1271" s="839" t="s">
        <v>133</v>
      </c>
      <c r="C1271" s="906">
        <v>2600</v>
      </c>
      <c r="D1271" s="907">
        <v>46036</v>
      </c>
      <c r="E1271" s="839" t="s">
        <v>402</v>
      </c>
      <c r="F1271" s="839">
        <v>1419</v>
      </c>
      <c r="G1271" s="916">
        <f>VLOOKUP($A1271,'Tech Litons'!$A:$I,8,FALSE)</f>
        <v>5.2680000000000001E-3</v>
      </c>
      <c r="H1271" s="917">
        <f>VLOOKUP($A1271,'Tech Litons'!$A:$I,9,FALSE)</f>
        <v>130</v>
      </c>
      <c r="I1271" s="917" t="str">
        <f>VLOOKUP($A1271,'Tech Litons'!$A:$C,3,0)</f>
        <v>PG</v>
      </c>
      <c r="J1271" s="918" t="str">
        <f t="shared" si="126"/>
        <v>GDIPG</v>
      </c>
      <c r="K1271" s="919">
        <v>1</v>
      </c>
      <c r="L1271" s="920">
        <f t="shared" si="127"/>
        <v>2600</v>
      </c>
      <c r="M1271" s="920">
        <f t="shared" si="128"/>
        <v>13.6968</v>
      </c>
      <c r="N1271" s="920">
        <f t="shared" si="129"/>
        <v>20</v>
      </c>
      <c r="O1271" s="918" t="str">
        <f t="shared" si="130"/>
        <v>Jan</v>
      </c>
      <c r="P1271" s="921">
        <f t="shared" si="131"/>
        <v>3</v>
      </c>
    </row>
    <row r="1272" spans="1:16" ht="15" hidden="1" customHeight="1">
      <c r="A1272" s="839">
        <v>62714126</v>
      </c>
      <c r="B1272" s="839" t="s">
        <v>133</v>
      </c>
      <c r="C1272" s="906">
        <v>2600</v>
      </c>
      <c r="D1272" s="907">
        <v>46036</v>
      </c>
      <c r="E1272" s="839" t="s">
        <v>402</v>
      </c>
      <c r="F1272" s="839">
        <v>1419</v>
      </c>
      <c r="G1272" s="916">
        <f>VLOOKUP($A1272,'Tech Litons'!$A:$I,8,FALSE)</f>
        <v>5.2680000000000001E-3</v>
      </c>
      <c r="H1272" s="917">
        <f>VLOOKUP($A1272,'Tech Litons'!$A:$I,9,FALSE)</f>
        <v>130</v>
      </c>
      <c r="I1272" s="917" t="str">
        <f>VLOOKUP($A1272,'Tech Litons'!$A:$C,3,0)</f>
        <v>PG</v>
      </c>
      <c r="J1272" s="918" t="str">
        <f t="shared" si="126"/>
        <v>GDIPG</v>
      </c>
      <c r="K1272" s="919">
        <v>1</v>
      </c>
      <c r="L1272" s="920">
        <f t="shared" si="127"/>
        <v>2600</v>
      </c>
      <c r="M1272" s="920">
        <f t="shared" si="128"/>
        <v>13.6968</v>
      </c>
      <c r="N1272" s="920">
        <f t="shared" si="129"/>
        <v>20</v>
      </c>
      <c r="O1272" s="918" t="str">
        <f t="shared" si="130"/>
        <v>Jan</v>
      </c>
      <c r="P1272" s="921">
        <f t="shared" si="131"/>
        <v>3</v>
      </c>
    </row>
    <row r="1273" spans="1:16" ht="15" hidden="1" customHeight="1">
      <c r="A1273" s="839">
        <v>62714126</v>
      </c>
      <c r="B1273" s="839" t="s">
        <v>133</v>
      </c>
      <c r="C1273" s="906">
        <v>2600</v>
      </c>
      <c r="D1273" s="907">
        <v>46036</v>
      </c>
      <c r="E1273" s="839" t="s">
        <v>402</v>
      </c>
      <c r="F1273" s="839">
        <v>1419</v>
      </c>
      <c r="G1273" s="916">
        <f>VLOOKUP($A1273,'Tech Litons'!$A:$I,8,FALSE)</f>
        <v>5.2680000000000001E-3</v>
      </c>
      <c r="H1273" s="917">
        <f>VLOOKUP($A1273,'Tech Litons'!$A:$I,9,FALSE)</f>
        <v>130</v>
      </c>
      <c r="I1273" s="917" t="str">
        <f>VLOOKUP($A1273,'Tech Litons'!$A:$C,3,0)</f>
        <v>PG</v>
      </c>
      <c r="J1273" s="918" t="str">
        <f t="shared" si="126"/>
        <v>GDIPG</v>
      </c>
      <c r="K1273" s="919">
        <v>1</v>
      </c>
      <c r="L1273" s="920">
        <f t="shared" si="127"/>
        <v>2600</v>
      </c>
      <c r="M1273" s="920">
        <f t="shared" si="128"/>
        <v>13.6968</v>
      </c>
      <c r="N1273" s="920">
        <f t="shared" si="129"/>
        <v>20</v>
      </c>
      <c r="O1273" s="918" t="str">
        <f t="shared" si="130"/>
        <v>Jan</v>
      </c>
      <c r="P1273" s="921">
        <f t="shared" si="131"/>
        <v>3</v>
      </c>
    </row>
    <row r="1274" spans="1:16" ht="15" hidden="1" customHeight="1">
      <c r="A1274" s="839">
        <v>62714126</v>
      </c>
      <c r="B1274" s="839" t="s">
        <v>133</v>
      </c>
      <c r="C1274" s="906">
        <v>2600</v>
      </c>
      <c r="D1274" s="907">
        <v>46036</v>
      </c>
      <c r="E1274" s="839" t="s">
        <v>402</v>
      </c>
      <c r="F1274" s="839">
        <v>1419</v>
      </c>
      <c r="G1274" s="916">
        <f>VLOOKUP($A1274,'Tech Litons'!$A:$I,8,FALSE)</f>
        <v>5.2680000000000001E-3</v>
      </c>
      <c r="H1274" s="917">
        <f>VLOOKUP($A1274,'Tech Litons'!$A:$I,9,FALSE)</f>
        <v>130</v>
      </c>
      <c r="I1274" s="917" t="str">
        <f>VLOOKUP($A1274,'Tech Litons'!$A:$C,3,0)</f>
        <v>PG</v>
      </c>
      <c r="J1274" s="918" t="str">
        <f t="shared" si="126"/>
        <v>GDIPG</v>
      </c>
      <c r="K1274" s="919">
        <v>1</v>
      </c>
      <c r="L1274" s="920">
        <f t="shared" si="127"/>
        <v>2600</v>
      </c>
      <c r="M1274" s="920">
        <f t="shared" si="128"/>
        <v>13.6968</v>
      </c>
      <c r="N1274" s="920">
        <f t="shared" si="129"/>
        <v>20</v>
      </c>
      <c r="O1274" s="918" t="str">
        <f t="shared" si="130"/>
        <v>Jan</v>
      </c>
      <c r="P1274" s="921">
        <f t="shared" si="131"/>
        <v>3</v>
      </c>
    </row>
    <row r="1275" spans="1:16" ht="15" hidden="1" customHeight="1">
      <c r="A1275" s="839">
        <v>62714126</v>
      </c>
      <c r="B1275" s="839" t="s">
        <v>133</v>
      </c>
      <c r="C1275" s="906">
        <v>2600</v>
      </c>
      <c r="D1275" s="907">
        <v>46036</v>
      </c>
      <c r="E1275" s="839" t="s">
        <v>402</v>
      </c>
      <c r="F1275" s="839">
        <v>1419</v>
      </c>
      <c r="G1275" s="916">
        <f>VLOOKUP($A1275,'Tech Litons'!$A:$I,8,FALSE)</f>
        <v>5.2680000000000001E-3</v>
      </c>
      <c r="H1275" s="917">
        <f>VLOOKUP($A1275,'Tech Litons'!$A:$I,9,FALSE)</f>
        <v>130</v>
      </c>
      <c r="I1275" s="917" t="str">
        <f>VLOOKUP($A1275,'Tech Litons'!$A:$C,3,0)</f>
        <v>PG</v>
      </c>
      <c r="J1275" s="918" t="str">
        <f t="shared" si="126"/>
        <v>GDIPG</v>
      </c>
      <c r="K1275" s="919">
        <v>1</v>
      </c>
      <c r="L1275" s="920">
        <f t="shared" si="127"/>
        <v>2600</v>
      </c>
      <c r="M1275" s="920">
        <f t="shared" si="128"/>
        <v>13.6968</v>
      </c>
      <c r="N1275" s="920">
        <f t="shared" si="129"/>
        <v>20</v>
      </c>
      <c r="O1275" s="918" t="str">
        <f t="shared" si="130"/>
        <v>Jan</v>
      </c>
      <c r="P1275" s="921">
        <f t="shared" si="131"/>
        <v>3</v>
      </c>
    </row>
    <row r="1276" spans="1:16" ht="15" hidden="1" customHeight="1">
      <c r="A1276" s="839">
        <v>64833353</v>
      </c>
      <c r="B1276" s="839" t="s">
        <v>133</v>
      </c>
      <c r="C1276" s="906">
        <v>2600</v>
      </c>
      <c r="D1276" s="907">
        <v>46036</v>
      </c>
      <c r="E1276" s="839" t="s">
        <v>358</v>
      </c>
      <c r="F1276" s="839">
        <v>1419</v>
      </c>
      <c r="G1276" s="916">
        <f>VLOOKUP($A1276,'Tech Litons'!$A:$I,8,FALSE)</f>
        <v>5.28E-3</v>
      </c>
      <c r="H1276" s="917">
        <f>VLOOKUP($A1276,'Tech Litons'!$A:$I,9,FALSE)</f>
        <v>130</v>
      </c>
      <c r="I1276" s="917" t="str">
        <f>VLOOKUP($A1276,'Tech Litons'!$A:$C,3,0)</f>
        <v>PG</v>
      </c>
      <c r="J1276" s="918" t="str">
        <f t="shared" si="126"/>
        <v>GDIPG</v>
      </c>
      <c r="K1276" s="919">
        <v>1</v>
      </c>
      <c r="L1276" s="920">
        <f t="shared" si="127"/>
        <v>2600</v>
      </c>
      <c r="M1276" s="920">
        <f t="shared" si="128"/>
        <v>13.728</v>
      </c>
      <c r="N1276" s="920">
        <f t="shared" si="129"/>
        <v>20</v>
      </c>
      <c r="O1276" s="918" t="str">
        <f t="shared" si="130"/>
        <v>Jan</v>
      </c>
      <c r="P1276" s="921">
        <f t="shared" si="131"/>
        <v>3</v>
      </c>
    </row>
    <row r="1277" spans="1:16" ht="15" hidden="1" customHeight="1">
      <c r="A1277" s="839">
        <v>64833353</v>
      </c>
      <c r="B1277" s="839" t="s">
        <v>133</v>
      </c>
      <c r="C1277" s="906">
        <v>2600</v>
      </c>
      <c r="D1277" s="907">
        <v>46036</v>
      </c>
      <c r="E1277" s="839" t="s">
        <v>358</v>
      </c>
      <c r="F1277" s="839">
        <v>1419</v>
      </c>
      <c r="G1277" s="916">
        <f>VLOOKUP($A1277,'Tech Litons'!$A:$I,8,FALSE)</f>
        <v>5.28E-3</v>
      </c>
      <c r="H1277" s="917">
        <f>VLOOKUP($A1277,'Tech Litons'!$A:$I,9,FALSE)</f>
        <v>130</v>
      </c>
      <c r="I1277" s="917" t="str">
        <f>VLOOKUP($A1277,'Tech Litons'!$A:$C,3,0)</f>
        <v>PG</v>
      </c>
      <c r="J1277" s="918" t="str">
        <f t="shared" si="126"/>
        <v>GDIPG</v>
      </c>
      <c r="K1277" s="919">
        <v>1</v>
      </c>
      <c r="L1277" s="920">
        <f t="shared" si="127"/>
        <v>2600</v>
      </c>
      <c r="M1277" s="920">
        <f t="shared" si="128"/>
        <v>13.728</v>
      </c>
      <c r="N1277" s="920">
        <f t="shared" si="129"/>
        <v>20</v>
      </c>
      <c r="O1277" s="918" t="str">
        <f t="shared" si="130"/>
        <v>Jan</v>
      </c>
      <c r="P1277" s="921">
        <f t="shared" si="131"/>
        <v>3</v>
      </c>
    </row>
    <row r="1278" spans="1:16" ht="15" hidden="1" customHeight="1">
      <c r="A1278" s="839">
        <v>64341108</v>
      </c>
      <c r="B1278" s="839" t="s">
        <v>139</v>
      </c>
      <c r="C1278" s="906">
        <v>4200</v>
      </c>
      <c r="D1278" s="907">
        <v>46036</v>
      </c>
      <c r="E1278" s="839" t="s">
        <v>615</v>
      </c>
      <c r="F1278" s="839">
        <v>1419</v>
      </c>
      <c r="G1278" s="916">
        <f>VLOOKUP($A1278,'Tech Litons'!$A:$I,8,FALSE)</f>
        <v>2.3599999999999997E-3</v>
      </c>
      <c r="H1278" s="917">
        <f>VLOOKUP($A1278,'Tech Litons'!$A:$I,9,FALSE)</f>
        <v>210</v>
      </c>
      <c r="I1278" s="917" t="str">
        <f>VLOOKUP($A1278,'Tech Litons'!$A:$C,3,0)</f>
        <v>Facepieces</v>
      </c>
      <c r="J1278" s="918" t="str">
        <f t="shared" si="126"/>
        <v>IncomFacepieces</v>
      </c>
      <c r="K1278" s="919">
        <v>1</v>
      </c>
      <c r="L1278" s="920">
        <f t="shared" si="127"/>
        <v>4200</v>
      </c>
      <c r="M1278" s="920">
        <f t="shared" si="128"/>
        <v>9.911999999999999</v>
      </c>
      <c r="N1278" s="920">
        <f t="shared" si="129"/>
        <v>20</v>
      </c>
      <c r="O1278" s="918" t="str">
        <f t="shared" si="130"/>
        <v>Jan</v>
      </c>
      <c r="P1278" s="921">
        <f t="shared" si="131"/>
        <v>3</v>
      </c>
    </row>
    <row r="1279" spans="1:16" ht="15" hidden="1" customHeight="1">
      <c r="A1279" s="839">
        <v>62714126</v>
      </c>
      <c r="B1279" s="839" t="s">
        <v>133</v>
      </c>
      <c r="C1279" s="906">
        <v>2600</v>
      </c>
      <c r="D1279" s="907">
        <v>46037</v>
      </c>
      <c r="E1279" s="839" t="s">
        <v>402</v>
      </c>
      <c r="F1279" s="839">
        <v>1419</v>
      </c>
      <c r="G1279" s="916">
        <f>VLOOKUP($A1279,'Tech Litons'!$A:$I,8,FALSE)</f>
        <v>5.2680000000000001E-3</v>
      </c>
      <c r="H1279" s="917">
        <f>VLOOKUP($A1279,'Tech Litons'!$A:$I,9,FALSE)</f>
        <v>130</v>
      </c>
      <c r="I1279" s="917" t="str">
        <f>VLOOKUP($A1279,'Tech Litons'!$A:$C,3,0)</f>
        <v>PG</v>
      </c>
      <c r="J1279" s="918" t="str">
        <f t="shared" si="126"/>
        <v>GDIPG</v>
      </c>
      <c r="K1279" s="919">
        <v>1</v>
      </c>
      <c r="L1279" s="920">
        <f t="shared" si="127"/>
        <v>2600</v>
      </c>
      <c r="M1279" s="920">
        <f t="shared" si="128"/>
        <v>13.6968</v>
      </c>
      <c r="N1279" s="920">
        <f t="shared" si="129"/>
        <v>20</v>
      </c>
      <c r="O1279" s="918" t="str">
        <f t="shared" si="130"/>
        <v>Jan</v>
      </c>
      <c r="P1279" s="921">
        <f t="shared" si="131"/>
        <v>3</v>
      </c>
    </row>
    <row r="1280" spans="1:16" ht="15" hidden="1" customHeight="1">
      <c r="A1280" s="839">
        <v>64341108</v>
      </c>
      <c r="B1280" s="839" t="s">
        <v>139</v>
      </c>
      <c r="C1280" s="906">
        <v>4200</v>
      </c>
      <c r="D1280" s="907">
        <v>46037</v>
      </c>
      <c r="E1280" s="839" t="s">
        <v>615</v>
      </c>
      <c r="F1280" s="839">
        <v>1419</v>
      </c>
      <c r="G1280" s="916">
        <f>VLOOKUP($A1280,'Tech Litons'!$A:$I,8,FALSE)</f>
        <v>2.3599999999999997E-3</v>
      </c>
      <c r="H1280" s="917">
        <f>VLOOKUP($A1280,'Tech Litons'!$A:$I,9,FALSE)</f>
        <v>210</v>
      </c>
      <c r="I1280" s="917" t="str">
        <f>VLOOKUP($A1280,'Tech Litons'!$A:$C,3,0)</f>
        <v>Facepieces</v>
      </c>
      <c r="J1280" s="918" t="str">
        <f t="shared" si="126"/>
        <v>IncomFacepieces</v>
      </c>
      <c r="K1280" s="919">
        <v>1</v>
      </c>
      <c r="L1280" s="920">
        <f t="shared" si="127"/>
        <v>4200</v>
      </c>
      <c r="M1280" s="920">
        <f t="shared" si="128"/>
        <v>9.911999999999999</v>
      </c>
      <c r="N1280" s="920">
        <f t="shared" si="129"/>
        <v>20</v>
      </c>
      <c r="O1280" s="918" t="str">
        <f t="shared" si="130"/>
        <v>Jan</v>
      </c>
      <c r="P1280" s="921">
        <f t="shared" si="131"/>
        <v>3</v>
      </c>
    </row>
    <row r="1281" spans="1:16" ht="15" hidden="1" customHeight="1">
      <c r="A1281" s="839">
        <v>64341108</v>
      </c>
      <c r="B1281" s="839" t="s">
        <v>139</v>
      </c>
      <c r="C1281" s="906">
        <v>4200</v>
      </c>
      <c r="D1281" s="907">
        <v>46037</v>
      </c>
      <c r="E1281" s="839" t="s">
        <v>615</v>
      </c>
      <c r="F1281" s="839">
        <v>1419</v>
      </c>
      <c r="G1281" s="916">
        <f>VLOOKUP($A1281,'Tech Litons'!$A:$I,8,FALSE)</f>
        <v>2.3599999999999997E-3</v>
      </c>
      <c r="H1281" s="917">
        <f>VLOOKUP($A1281,'Tech Litons'!$A:$I,9,FALSE)</f>
        <v>210</v>
      </c>
      <c r="I1281" s="917" t="str">
        <f>VLOOKUP($A1281,'Tech Litons'!$A:$C,3,0)</f>
        <v>Facepieces</v>
      </c>
      <c r="J1281" s="918" t="str">
        <f t="shared" si="126"/>
        <v>IncomFacepieces</v>
      </c>
      <c r="K1281" s="919">
        <v>1</v>
      </c>
      <c r="L1281" s="920">
        <f t="shared" si="127"/>
        <v>4200</v>
      </c>
      <c r="M1281" s="920">
        <f t="shared" si="128"/>
        <v>9.911999999999999</v>
      </c>
      <c r="N1281" s="920">
        <f t="shared" si="129"/>
        <v>20</v>
      </c>
      <c r="O1281" s="918" t="str">
        <f t="shared" si="130"/>
        <v>Jan</v>
      </c>
      <c r="P1281" s="921">
        <f t="shared" si="131"/>
        <v>3</v>
      </c>
    </row>
    <row r="1282" spans="1:16" ht="15" hidden="1" customHeight="1">
      <c r="A1282" s="839">
        <v>64341108</v>
      </c>
      <c r="B1282" s="839" t="s">
        <v>139</v>
      </c>
      <c r="C1282" s="906">
        <v>4200</v>
      </c>
      <c r="D1282" s="907">
        <v>46037</v>
      </c>
      <c r="E1282" s="839" t="s">
        <v>615</v>
      </c>
      <c r="F1282" s="839">
        <v>1419</v>
      </c>
      <c r="G1282" s="916">
        <f>VLOOKUP($A1282,'Tech Litons'!$A:$I,8,FALSE)</f>
        <v>2.3599999999999997E-3</v>
      </c>
      <c r="H1282" s="917">
        <f>VLOOKUP($A1282,'Tech Litons'!$A:$I,9,FALSE)</f>
        <v>210</v>
      </c>
      <c r="I1282" s="917" t="str">
        <f>VLOOKUP($A1282,'Tech Litons'!$A:$C,3,0)</f>
        <v>Facepieces</v>
      </c>
      <c r="J1282" s="918" t="str">
        <f t="shared" si="126"/>
        <v>IncomFacepieces</v>
      </c>
      <c r="K1282" s="919">
        <v>1</v>
      </c>
      <c r="L1282" s="920">
        <f t="shared" si="127"/>
        <v>4200</v>
      </c>
      <c r="M1282" s="920">
        <f t="shared" si="128"/>
        <v>9.911999999999999</v>
      </c>
      <c r="N1282" s="920">
        <f t="shared" si="129"/>
        <v>20</v>
      </c>
      <c r="O1282" s="918" t="str">
        <f t="shared" si="130"/>
        <v>Jan</v>
      </c>
      <c r="P1282" s="921">
        <f t="shared" si="131"/>
        <v>3</v>
      </c>
    </row>
    <row r="1283" spans="1:16" ht="15" hidden="1" customHeight="1">
      <c r="A1283" s="839">
        <v>62714126</v>
      </c>
      <c r="B1283" s="839" t="s">
        <v>133</v>
      </c>
      <c r="C1283" s="906">
        <v>2600</v>
      </c>
      <c r="D1283" s="907">
        <v>46038</v>
      </c>
      <c r="E1283" s="839" t="s">
        <v>402</v>
      </c>
      <c r="F1283" s="839">
        <v>1419</v>
      </c>
      <c r="G1283" s="916">
        <f>VLOOKUP($A1283,'Tech Litons'!$A:$I,8,FALSE)</f>
        <v>5.2680000000000001E-3</v>
      </c>
      <c r="H1283" s="917">
        <f>VLOOKUP($A1283,'Tech Litons'!$A:$I,9,FALSE)</f>
        <v>130</v>
      </c>
      <c r="I1283" s="917" t="str">
        <f>VLOOKUP($A1283,'Tech Litons'!$A:$C,3,0)</f>
        <v>PG</v>
      </c>
      <c r="J1283" s="918" t="str">
        <f t="shared" si="126"/>
        <v>GDIPG</v>
      </c>
      <c r="K1283" s="919">
        <v>1</v>
      </c>
      <c r="L1283" s="920">
        <f t="shared" si="127"/>
        <v>2600</v>
      </c>
      <c r="M1283" s="920">
        <f t="shared" si="128"/>
        <v>13.6968</v>
      </c>
      <c r="N1283" s="920">
        <f t="shared" si="129"/>
        <v>20</v>
      </c>
      <c r="O1283" s="918" t="str">
        <f t="shared" si="130"/>
        <v>Jan</v>
      </c>
      <c r="P1283" s="921">
        <f t="shared" si="131"/>
        <v>3</v>
      </c>
    </row>
    <row r="1284" spans="1:16" ht="15" hidden="1" customHeight="1">
      <c r="A1284" s="839">
        <v>64401837</v>
      </c>
      <c r="B1284" s="839" t="s">
        <v>139</v>
      </c>
      <c r="C1284" s="906">
        <v>3000</v>
      </c>
      <c r="D1284" s="907">
        <v>46038</v>
      </c>
      <c r="E1284" s="839" t="s">
        <v>618</v>
      </c>
      <c r="F1284" s="839">
        <v>1419</v>
      </c>
      <c r="G1284" s="916">
        <f>VLOOKUP($A1284,'Tech Litons'!$A:$I,8,FALSE)</f>
        <v>2.16E-3</v>
      </c>
      <c r="H1284" s="917">
        <f>VLOOKUP($A1284,'Tech Litons'!$A:$I,9,FALSE)</f>
        <v>150</v>
      </c>
      <c r="I1284" s="917" t="str">
        <f>VLOOKUP($A1284,'Tech Litons'!$A:$C,3,0)</f>
        <v>Facepieces</v>
      </c>
      <c r="J1284" s="918" t="str">
        <f t="shared" si="126"/>
        <v>IncomFacepieces</v>
      </c>
      <c r="K1284" s="919">
        <v>1</v>
      </c>
      <c r="L1284" s="920">
        <f t="shared" si="127"/>
        <v>3000</v>
      </c>
      <c r="M1284" s="920">
        <f t="shared" si="128"/>
        <v>6.48</v>
      </c>
      <c r="N1284" s="920">
        <f t="shared" si="129"/>
        <v>20</v>
      </c>
      <c r="O1284" s="918" t="str">
        <f t="shared" si="130"/>
        <v>Jan</v>
      </c>
      <c r="P1284" s="921">
        <f t="shared" si="131"/>
        <v>3</v>
      </c>
    </row>
    <row r="1285" spans="1:16" ht="15" hidden="1" customHeight="1">
      <c r="A1285" s="839">
        <v>68264519</v>
      </c>
      <c r="B1285" s="839" t="s">
        <v>118</v>
      </c>
      <c r="C1285" s="906">
        <v>3072</v>
      </c>
      <c r="D1285" s="907">
        <v>46038</v>
      </c>
      <c r="E1285" s="839" t="s">
        <v>894</v>
      </c>
      <c r="F1285" s="839">
        <v>1419</v>
      </c>
      <c r="G1285" s="916">
        <f>VLOOKUP($A1285,'Tech Litons'!$A:$I,8,FALSE)</f>
        <v>1.419504E-3</v>
      </c>
      <c r="H1285" s="917">
        <f>VLOOKUP($A1285,'Tech Litons'!$A:$I,9,FALSE)</f>
        <v>256</v>
      </c>
      <c r="I1285" s="917" t="str">
        <f>VLOOKUP($A1285,'Tech Litons'!$A:$C,3,0)</f>
        <v>Dough Bites</v>
      </c>
      <c r="J1285" s="918" t="str">
        <f t="shared" si="126"/>
        <v>RhinoDough Bites</v>
      </c>
      <c r="K1285" s="919">
        <v>1</v>
      </c>
      <c r="L1285" s="920">
        <f t="shared" si="127"/>
        <v>3072</v>
      </c>
      <c r="M1285" s="920">
        <f t="shared" si="128"/>
        <v>4.3607162879999999</v>
      </c>
      <c r="N1285" s="920">
        <f t="shared" si="129"/>
        <v>12</v>
      </c>
      <c r="O1285" s="918" t="str">
        <f t="shared" si="130"/>
        <v>Jan</v>
      </c>
      <c r="P1285" s="921">
        <f t="shared" si="131"/>
        <v>3</v>
      </c>
    </row>
    <row r="1286" spans="1:16" ht="15" hidden="1" customHeight="1">
      <c r="A1286" s="839">
        <v>68654232</v>
      </c>
      <c r="B1286" s="839" t="s">
        <v>118</v>
      </c>
      <c r="C1286" s="906">
        <v>5632</v>
      </c>
      <c r="D1286" s="907">
        <v>46038</v>
      </c>
      <c r="E1286" s="839" t="s">
        <v>899</v>
      </c>
      <c r="F1286" s="839">
        <v>1419</v>
      </c>
      <c r="G1286" s="916">
        <f>VLOOKUP($A1286,'Tech Litons'!$A:$I,8,FALSE)</f>
        <v>1.8959999999999999E-3</v>
      </c>
      <c r="H1286" s="917">
        <f>VLOOKUP($A1286,'Tech Litons'!$A:$I,9,FALSE)</f>
        <v>256</v>
      </c>
      <c r="I1286" s="917" t="str">
        <f>VLOOKUP($A1286,'Tech Litons'!$A:$C,3,0)</f>
        <v>Dough Bites</v>
      </c>
      <c r="J1286" s="918" t="str">
        <f t="shared" si="126"/>
        <v>RhinoDough Bites</v>
      </c>
      <c r="K1286" s="919">
        <v>1</v>
      </c>
      <c r="L1286" s="920">
        <f t="shared" si="127"/>
        <v>5632</v>
      </c>
      <c r="M1286" s="920">
        <f t="shared" si="128"/>
        <v>10.678272</v>
      </c>
      <c r="N1286" s="920">
        <f t="shared" si="129"/>
        <v>22</v>
      </c>
      <c r="O1286" s="918" t="str">
        <f t="shared" si="130"/>
        <v>Jan</v>
      </c>
      <c r="P1286" s="921">
        <f t="shared" si="131"/>
        <v>3</v>
      </c>
    </row>
    <row r="1287" spans="1:16" ht="15" hidden="1" customHeight="1">
      <c r="A1287" s="839">
        <v>69665114</v>
      </c>
      <c r="B1287" s="839" t="s">
        <v>118</v>
      </c>
      <c r="C1287" s="906">
        <v>7151</v>
      </c>
      <c r="D1287" s="907">
        <v>46038</v>
      </c>
      <c r="E1287" s="839" t="s">
        <v>898</v>
      </c>
      <c r="F1287" s="839">
        <v>1419</v>
      </c>
      <c r="G1287" s="916">
        <f>VLOOKUP($A1287,'Tech Litons'!$A:$I,8,FALSE)</f>
        <v>1.8160000000000001E-3</v>
      </c>
      <c r="H1287" s="917">
        <f>VLOOKUP($A1287,'Tech Litons'!$A:$I,9,FALSE)</f>
        <v>256</v>
      </c>
      <c r="I1287" s="917" t="str">
        <f>VLOOKUP($A1287,'Tech Litons'!$A:$C,3,0)</f>
        <v>Dough Bites</v>
      </c>
      <c r="J1287" s="918" t="str">
        <f t="shared" si="126"/>
        <v>RhinoDough Bites</v>
      </c>
      <c r="K1287" s="919">
        <v>1</v>
      </c>
      <c r="L1287" s="920">
        <f t="shared" si="127"/>
        <v>7151</v>
      </c>
      <c r="M1287" s="920">
        <f t="shared" si="128"/>
        <v>12.986216000000001</v>
      </c>
      <c r="N1287" s="920">
        <f t="shared" si="129"/>
        <v>27.93359375</v>
      </c>
      <c r="O1287" s="918" t="str">
        <f t="shared" si="130"/>
        <v>Jan</v>
      </c>
      <c r="P1287" s="921">
        <f t="shared" si="131"/>
        <v>3</v>
      </c>
    </row>
    <row r="1288" spans="1:16" ht="15" hidden="1" customHeight="1">
      <c r="A1288" s="839">
        <v>69665113</v>
      </c>
      <c r="B1288" s="839" t="s">
        <v>118</v>
      </c>
      <c r="C1288" s="906">
        <v>7936</v>
      </c>
      <c r="D1288" s="907">
        <v>46038</v>
      </c>
      <c r="E1288" s="839" t="s">
        <v>896</v>
      </c>
      <c r="F1288" s="839">
        <v>1419</v>
      </c>
      <c r="G1288" s="916">
        <f>VLOOKUP($A1288,'Tech Litons'!$A:$I,8,FALSE)</f>
        <v>1.8160000000000001E-3</v>
      </c>
      <c r="H1288" s="917">
        <f>VLOOKUP($A1288,'Tech Litons'!$A:$I,9,FALSE)</f>
        <v>256</v>
      </c>
      <c r="I1288" s="917" t="str">
        <f>VLOOKUP($A1288,'Tech Litons'!$A:$C,3,0)</f>
        <v>Dough Bites</v>
      </c>
      <c r="J1288" s="918" t="str">
        <f t="shared" si="126"/>
        <v>RhinoDough Bites</v>
      </c>
      <c r="K1288" s="919">
        <v>1</v>
      </c>
      <c r="L1288" s="920">
        <f t="shared" si="127"/>
        <v>7936</v>
      </c>
      <c r="M1288" s="920">
        <f t="shared" si="128"/>
        <v>14.411776000000001</v>
      </c>
      <c r="N1288" s="920">
        <f t="shared" si="129"/>
        <v>31</v>
      </c>
      <c r="O1288" s="918" t="str">
        <f t="shared" si="130"/>
        <v>Jan</v>
      </c>
      <c r="P1288" s="921">
        <f t="shared" si="131"/>
        <v>3</v>
      </c>
    </row>
    <row r="1289" spans="1:16" ht="15" hidden="1" customHeight="1">
      <c r="A1289" s="839">
        <v>64833353</v>
      </c>
      <c r="B1289" s="839" t="s">
        <v>133</v>
      </c>
      <c r="C1289" s="906">
        <v>2600</v>
      </c>
      <c r="D1289" s="907">
        <v>46040</v>
      </c>
      <c r="E1289" s="839" t="s">
        <v>358</v>
      </c>
      <c r="F1289" s="839">
        <v>1419</v>
      </c>
      <c r="G1289" s="916">
        <f>VLOOKUP($A1289,'Tech Litons'!$A:$I,8,FALSE)</f>
        <v>5.28E-3</v>
      </c>
      <c r="H1289" s="917">
        <f>VLOOKUP($A1289,'Tech Litons'!$A:$I,9,FALSE)</f>
        <v>130</v>
      </c>
      <c r="I1289" s="917" t="str">
        <f>VLOOKUP($A1289,'Tech Litons'!$A:$C,3,0)</f>
        <v>PG</v>
      </c>
      <c r="J1289" s="918" t="str">
        <f t="shared" si="126"/>
        <v>GDIPG</v>
      </c>
      <c r="K1289" s="919">
        <v>1</v>
      </c>
      <c r="L1289" s="920">
        <f t="shared" si="127"/>
        <v>2600</v>
      </c>
      <c r="M1289" s="920">
        <f t="shared" si="128"/>
        <v>13.728</v>
      </c>
      <c r="N1289" s="920">
        <f t="shared" si="129"/>
        <v>20</v>
      </c>
      <c r="O1289" s="918" t="str">
        <f t="shared" si="130"/>
        <v>Jan</v>
      </c>
      <c r="P1289" s="921">
        <f t="shared" si="131"/>
        <v>4</v>
      </c>
    </row>
    <row r="1290" spans="1:16" ht="15" hidden="1" customHeight="1">
      <c r="A1290" s="839">
        <v>62714126</v>
      </c>
      <c r="B1290" s="839" t="s">
        <v>133</v>
      </c>
      <c r="C1290" s="906">
        <v>2600</v>
      </c>
      <c r="D1290" s="907">
        <v>46041</v>
      </c>
      <c r="E1290" s="839" t="s">
        <v>402</v>
      </c>
      <c r="F1290" s="839">
        <v>1419</v>
      </c>
      <c r="G1290" s="916">
        <f>VLOOKUP($A1290,'Tech Litons'!$A:$I,8,FALSE)</f>
        <v>5.2680000000000001E-3</v>
      </c>
      <c r="H1290" s="917">
        <f>VLOOKUP($A1290,'Tech Litons'!$A:$I,9,FALSE)</f>
        <v>130</v>
      </c>
      <c r="I1290" s="917" t="str">
        <f>VLOOKUP($A1290,'Tech Litons'!$A:$C,3,0)</f>
        <v>PG</v>
      </c>
      <c r="J1290" s="918" t="str">
        <f t="shared" si="126"/>
        <v>GDIPG</v>
      </c>
      <c r="K1290" s="919">
        <v>1</v>
      </c>
      <c r="L1290" s="920">
        <f t="shared" si="127"/>
        <v>2600</v>
      </c>
      <c r="M1290" s="920">
        <f t="shared" si="128"/>
        <v>13.6968</v>
      </c>
      <c r="N1290" s="920">
        <f t="shared" si="129"/>
        <v>20</v>
      </c>
      <c r="O1290" s="918" t="str">
        <f t="shared" si="130"/>
        <v>Jan</v>
      </c>
      <c r="P1290" s="921">
        <f t="shared" si="131"/>
        <v>4</v>
      </c>
    </row>
    <row r="1291" spans="1:16" ht="15" hidden="1" customHeight="1">
      <c r="A1291" s="839">
        <v>64833353</v>
      </c>
      <c r="B1291" s="839" t="s">
        <v>133</v>
      </c>
      <c r="C1291" s="906">
        <v>2600</v>
      </c>
      <c r="D1291" s="907">
        <v>46041</v>
      </c>
      <c r="E1291" s="839" t="s">
        <v>358</v>
      </c>
      <c r="F1291" s="839">
        <v>1419</v>
      </c>
      <c r="G1291" s="916">
        <f>VLOOKUP($A1291,'Tech Litons'!$A:$I,8,FALSE)</f>
        <v>5.28E-3</v>
      </c>
      <c r="H1291" s="917">
        <f>VLOOKUP($A1291,'Tech Litons'!$A:$I,9,FALSE)</f>
        <v>130</v>
      </c>
      <c r="I1291" s="917" t="str">
        <f>VLOOKUP($A1291,'Tech Litons'!$A:$C,3,0)</f>
        <v>PG</v>
      </c>
      <c r="J1291" s="918" t="str">
        <f t="shared" si="126"/>
        <v>GDIPG</v>
      </c>
      <c r="K1291" s="919">
        <v>1</v>
      </c>
      <c r="L1291" s="920">
        <f t="shared" si="127"/>
        <v>2600</v>
      </c>
      <c r="M1291" s="920">
        <f t="shared" si="128"/>
        <v>13.728</v>
      </c>
      <c r="N1291" s="920">
        <f t="shared" si="129"/>
        <v>20</v>
      </c>
      <c r="O1291" s="918" t="str">
        <f t="shared" si="130"/>
        <v>Jan</v>
      </c>
      <c r="P1291" s="921">
        <f t="shared" si="131"/>
        <v>4</v>
      </c>
    </row>
    <row r="1292" spans="1:16" ht="15" hidden="1" customHeight="1">
      <c r="A1292" s="839">
        <v>64833353</v>
      </c>
      <c r="B1292" s="839" t="s">
        <v>133</v>
      </c>
      <c r="C1292" s="906">
        <v>2600</v>
      </c>
      <c r="D1292" s="907">
        <v>46041</v>
      </c>
      <c r="E1292" s="839" t="s">
        <v>358</v>
      </c>
      <c r="F1292" s="839">
        <v>1419</v>
      </c>
      <c r="G1292" s="916">
        <f>VLOOKUP($A1292,'Tech Litons'!$A:$I,8,FALSE)</f>
        <v>5.28E-3</v>
      </c>
      <c r="H1292" s="917">
        <f>VLOOKUP($A1292,'Tech Litons'!$A:$I,9,FALSE)</f>
        <v>130</v>
      </c>
      <c r="I1292" s="917" t="str">
        <f>VLOOKUP($A1292,'Tech Litons'!$A:$C,3,0)</f>
        <v>PG</v>
      </c>
      <c r="J1292" s="918" t="str">
        <f t="shared" si="126"/>
        <v>GDIPG</v>
      </c>
      <c r="K1292" s="919">
        <v>1</v>
      </c>
      <c r="L1292" s="920">
        <f t="shared" si="127"/>
        <v>2600</v>
      </c>
      <c r="M1292" s="920">
        <f t="shared" si="128"/>
        <v>13.728</v>
      </c>
      <c r="N1292" s="920">
        <f t="shared" si="129"/>
        <v>20</v>
      </c>
      <c r="O1292" s="918" t="str">
        <f t="shared" si="130"/>
        <v>Jan</v>
      </c>
      <c r="P1292" s="921">
        <f t="shared" si="131"/>
        <v>4</v>
      </c>
    </row>
    <row r="1293" spans="1:16" ht="15" hidden="1" customHeight="1">
      <c r="A1293" s="839">
        <v>64365613</v>
      </c>
      <c r="B1293" s="839" t="s">
        <v>139</v>
      </c>
      <c r="C1293" s="906">
        <v>3900</v>
      </c>
      <c r="D1293" s="907">
        <v>46041</v>
      </c>
      <c r="E1293" s="839" t="s">
        <v>617</v>
      </c>
      <c r="F1293" s="839">
        <v>1419</v>
      </c>
      <c r="G1293" s="916">
        <f>VLOOKUP($A1293,'Tech Litons'!$A:$I,8,FALSE)</f>
        <v>2.1540000000000001E-3</v>
      </c>
      <c r="H1293" s="917">
        <f>VLOOKUP($A1293,'Tech Litons'!$A:$I,9,FALSE)</f>
        <v>195</v>
      </c>
      <c r="I1293" s="917" t="str">
        <f>VLOOKUP($A1293,'Tech Litons'!$A:$C,3,0)</f>
        <v>Facepieces</v>
      </c>
      <c r="J1293" s="918" t="str">
        <f t="shared" si="126"/>
        <v>IncomFacepieces</v>
      </c>
      <c r="K1293" s="919">
        <v>1</v>
      </c>
      <c r="L1293" s="920">
        <f t="shared" si="127"/>
        <v>3900</v>
      </c>
      <c r="M1293" s="920">
        <f t="shared" si="128"/>
        <v>8.4006000000000007</v>
      </c>
      <c r="N1293" s="920">
        <f t="shared" si="129"/>
        <v>20</v>
      </c>
      <c r="O1293" s="918" t="str">
        <f t="shared" si="130"/>
        <v>Jan</v>
      </c>
      <c r="P1293" s="921">
        <f t="shared" si="131"/>
        <v>4</v>
      </c>
    </row>
    <row r="1294" spans="1:16" ht="15" hidden="1" customHeight="1">
      <c r="A1294" s="839">
        <v>64365613</v>
      </c>
      <c r="B1294" s="839" t="s">
        <v>139</v>
      </c>
      <c r="C1294" s="906">
        <v>3900</v>
      </c>
      <c r="D1294" s="907">
        <v>46041</v>
      </c>
      <c r="E1294" s="839" t="s">
        <v>617</v>
      </c>
      <c r="F1294" s="839">
        <v>1419</v>
      </c>
      <c r="G1294" s="916">
        <f>VLOOKUP($A1294,'Tech Litons'!$A:$I,8,FALSE)</f>
        <v>2.1540000000000001E-3</v>
      </c>
      <c r="H1294" s="917">
        <f>VLOOKUP($A1294,'Tech Litons'!$A:$I,9,FALSE)</f>
        <v>195</v>
      </c>
      <c r="I1294" s="917" t="str">
        <f>VLOOKUP($A1294,'Tech Litons'!$A:$C,3,0)</f>
        <v>Facepieces</v>
      </c>
      <c r="J1294" s="918" t="str">
        <f t="shared" si="126"/>
        <v>IncomFacepieces</v>
      </c>
      <c r="K1294" s="919">
        <v>1</v>
      </c>
      <c r="L1294" s="920">
        <f t="shared" si="127"/>
        <v>3900</v>
      </c>
      <c r="M1294" s="920">
        <f t="shared" si="128"/>
        <v>8.4006000000000007</v>
      </c>
      <c r="N1294" s="920">
        <f t="shared" si="129"/>
        <v>20</v>
      </c>
      <c r="O1294" s="918" t="str">
        <f t="shared" si="130"/>
        <v>Jan</v>
      </c>
      <c r="P1294" s="921">
        <f t="shared" si="131"/>
        <v>4</v>
      </c>
    </row>
    <row r="1295" spans="1:16" ht="15" hidden="1" customHeight="1">
      <c r="A1295" s="839">
        <v>64365613</v>
      </c>
      <c r="B1295" s="839" t="s">
        <v>139</v>
      </c>
      <c r="C1295" s="906">
        <v>3900</v>
      </c>
      <c r="D1295" s="907">
        <v>46041</v>
      </c>
      <c r="E1295" s="839" t="s">
        <v>617</v>
      </c>
      <c r="F1295" s="839">
        <v>1419</v>
      </c>
      <c r="G1295" s="916">
        <f>VLOOKUP($A1295,'Tech Litons'!$A:$I,8,FALSE)</f>
        <v>2.1540000000000001E-3</v>
      </c>
      <c r="H1295" s="917">
        <f>VLOOKUP($A1295,'Tech Litons'!$A:$I,9,FALSE)</f>
        <v>195</v>
      </c>
      <c r="I1295" s="917" t="str">
        <f>VLOOKUP($A1295,'Tech Litons'!$A:$C,3,0)</f>
        <v>Facepieces</v>
      </c>
      <c r="J1295" s="918" t="str">
        <f t="shared" si="126"/>
        <v>IncomFacepieces</v>
      </c>
      <c r="K1295" s="919">
        <v>1</v>
      </c>
      <c r="L1295" s="920">
        <f t="shared" si="127"/>
        <v>3900</v>
      </c>
      <c r="M1295" s="920">
        <f t="shared" si="128"/>
        <v>8.4006000000000007</v>
      </c>
      <c r="N1295" s="920">
        <f t="shared" si="129"/>
        <v>20</v>
      </c>
      <c r="O1295" s="918" t="str">
        <f t="shared" si="130"/>
        <v>Jan</v>
      </c>
      <c r="P1295" s="921">
        <f t="shared" si="131"/>
        <v>4</v>
      </c>
    </row>
    <row r="1296" spans="1:16" ht="15" hidden="1" customHeight="1">
      <c r="A1296" s="839">
        <v>64365613</v>
      </c>
      <c r="B1296" s="839" t="s">
        <v>139</v>
      </c>
      <c r="C1296" s="906">
        <v>3900</v>
      </c>
      <c r="D1296" s="907">
        <v>46041</v>
      </c>
      <c r="E1296" s="839" t="s">
        <v>617</v>
      </c>
      <c r="F1296" s="839">
        <v>1419</v>
      </c>
      <c r="G1296" s="916">
        <f>VLOOKUP($A1296,'Tech Litons'!$A:$I,8,FALSE)</f>
        <v>2.1540000000000001E-3</v>
      </c>
      <c r="H1296" s="917">
        <f>VLOOKUP($A1296,'Tech Litons'!$A:$I,9,FALSE)</f>
        <v>195</v>
      </c>
      <c r="I1296" s="917" t="str">
        <f>VLOOKUP($A1296,'Tech Litons'!$A:$C,3,0)</f>
        <v>Facepieces</v>
      </c>
      <c r="J1296" s="918" t="str">
        <f t="shared" si="126"/>
        <v>IncomFacepieces</v>
      </c>
      <c r="K1296" s="919">
        <v>1</v>
      </c>
      <c r="L1296" s="920">
        <f t="shared" si="127"/>
        <v>3900</v>
      </c>
      <c r="M1296" s="920">
        <f t="shared" si="128"/>
        <v>8.4006000000000007</v>
      </c>
      <c r="N1296" s="920">
        <f t="shared" si="129"/>
        <v>20</v>
      </c>
      <c r="O1296" s="918" t="str">
        <f t="shared" si="130"/>
        <v>Jan</v>
      </c>
      <c r="P1296" s="921">
        <f t="shared" si="131"/>
        <v>4</v>
      </c>
    </row>
    <row r="1297" spans="1:16" ht="15" hidden="1" customHeight="1">
      <c r="A1297" s="839">
        <v>64401837</v>
      </c>
      <c r="B1297" s="839" t="s">
        <v>139</v>
      </c>
      <c r="C1297" s="906">
        <v>3000</v>
      </c>
      <c r="D1297" s="907">
        <v>46042</v>
      </c>
      <c r="E1297" s="839" t="s">
        <v>618</v>
      </c>
      <c r="F1297" s="839">
        <v>1419</v>
      </c>
      <c r="G1297" s="916">
        <f>VLOOKUP($A1297,'Tech Litons'!$A:$I,8,FALSE)</f>
        <v>2.16E-3</v>
      </c>
      <c r="H1297" s="917">
        <f>VLOOKUP($A1297,'Tech Litons'!$A:$I,9,FALSE)</f>
        <v>150</v>
      </c>
      <c r="I1297" s="917" t="str">
        <f>VLOOKUP($A1297,'Tech Litons'!$A:$C,3,0)</f>
        <v>Facepieces</v>
      </c>
      <c r="J1297" s="918" t="str">
        <f t="shared" si="126"/>
        <v>IncomFacepieces</v>
      </c>
      <c r="K1297" s="919">
        <v>1</v>
      </c>
      <c r="L1297" s="920">
        <f t="shared" si="127"/>
        <v>3000</v>
      </c>
      <c r="M1297" s="920">
        <f t="shared" si="128"/>
        <v>6.48</v>
      </c>
      <c r="N1297" s="920">
        <f t="shared" si="129"/>
        <v>20</v>
      </c>
      <c r="O1297" s="918" t="str">
        <f t="shared" si="130"/>
        <v>Jan</v>
      </c>
      <c r="P1297" s="921">
        <f t="shared" si="131"/>
        <v>4</v>
      </c>
    </row>
    <row r="1298" spans="1:16" ht="15" hidden="1" customHeight="1">
      <c r="A1298" s="839">
        <v>64401837</v>
      </c>
      <c r="B1298" s="839" t="s">
        <v>139</v>
      </c>
      <c r="C1298" s="906">
        <v>3000</v>
      </c>
      <c r="D1298" s="907">
        <v>46042</v>
      </c>
      <c r="E1298" s="839" t="s">
        <v>618</v>
      </c>
      <c r="F1298" s="839">
        <v>1419</v>
      </c>
      <c r="G1298" s="916">
        <f>VLOOKUP($A1298,'Tech Litons'!$A:$I,8,FALSE)</f>
        <v>2.16E-3</v>
      </c>
      <c r="H1298" s="917">
        <f>VLOOKUP($A1298,'Tech Litons'!$A:$I,9,FALSE)</f>
        <v>150</v>
      </c>
      <c r="I1298" s="917" t="str">
        <f>VLOOKUP($A1298,'Tech Litons'!$A:$C,3,0)</f>
        <v>Facepieces</v>
      </c>
      <c r="J1298" s="918" t="str">
        <f t="shared" si="126"/>
        <v>IncomFacepieces</v>
      </c>
      <c r="K1298" s="919">
        <v>1</v>
      </c>
      <c r="L1298" s="920">
        <f t="shared" si="127"/>
        <v>3000</v>
      </c>
      <c r="M1298" s="920">
        <f t="shared" si="128"/>
        <v>6.48</v>
      </c>
      <c r="N1298" s="920">
        <f t="shared" si="129"/>
        <v>20</v>
      </c>
      <c r="O1298" s="918" t="str">
        <f t="shared" si="130"/>
        <v>Jan</v>
      </c>
      <c r="P1298" s="921">
        <f t="shared" si="131"/>
        <v>4</v>
      </c>
    </row>
    <row r="1299" spans="1:16" ht="15" hidden="1" customHeight="1">
      <c r="A1299" s="839">
        <v>64401837</v>
      </c>
      <c r="B1299" s="839" t="s">
        <v>139</v>
      </c>
      <c r="C1299" s="906">
        <v>3000</v>
      </c>
      <c r="D1299" s="907">
        <v>46042</v>
      </c>
      <c r="E1299" s="839" t="s">
        <v>618</v>
      </c>
      <c r="F1299" s="839">
        <v>1419</v>
      </c>
      <c r="G1299" s="916">
        <f>VLOOKUP($A1299,'Tech Litons'!$A:$I,8,FALSE)</f>
        <v>2.16E-3</v>
      </c>
      <c r="H1299" s="917">
        <f>VLOOKUP($A1299,'Tech Litons'!$A:$I,9,FALSE)</f>
        <v>150</v>
      </c>
      <c r="I1299" s="917" t="str">
        <f>VLOOKUP($A1299,'Tech Litons'!$A:$C,3,0)</f>
        <v>Facepieces</v>
      </c>
      <c r="J1299" s="918" t="str">
        <f t="shared" si="126"/>
        <v>IncomFacepieces</v>
      </c>
      <c r="K1299" s="919">
        <v>1</v>
      </c>
      <c r="L1299" s="920">
        <f t="shared" si="127"/>
        <v>3000</v>
      </c>
      <c r="M1299" s="920">
        <f t="shared" si="128"/>
        <v>6.48</v>
      </c>
      <c r="N1299" s="920">
        <f t="shared" si="129"/>
        <v>20</v>
      </c>
      <c r="O1299" s="918" t="str">
        <f t="shared" si="130"/>
        <v>Jan</v>
      </c>
      <c r="P1299" s="921">
        <f t="shared" si="131"/>
        <v>4</v>
      </c>
    </row>
    <row r="1300" spans="1:16" ht="15" hidden="1" customHeight="1">
      <c r="A1300" s="839">
        <v>64401837</v>
      </c>
      <c r="B1300" s="839" t="s">
        <v>139</v>
      </c>
      <c r="C1300" s="906">
        <v>3000</v>
      </c>
      <c r="D1300" s="907">
        <v>46042</v>
      </c>
      <c r="E1300" s="839" t="s">
        <v>618</v>
      </c>
      <c r="F1300" s="839">
        <v>1419</v>
      </c>
      <c r="G1300" s="916">
        <f>VLOOKUP($A1300,'Tech Litons'!$A:$I,8,FALSE)</f>
        <v>2.16E-3</v>
      </c>
      <c r="H1300" s="917">
        <f>VLOOKUP($A1300,'Tech Litons'!$A:$I,9,FALSE)</f>
        <v>150</v>
      </c>
      <c r="I1300" s="917" t="str">
        <f>VLOOKUP($A1300,'Tech Litons'!$A:$C,3,0)</f>
        <v>Facepieces</v>
      </c>
      <c r="J1300" s="918" t="str">
        <f t="shared" si="126"/>
        <v>IncomFacepieces</v>
      </c>
      <c r="K1300" s="919">
        <v>1</v>
      </c>
      <c r="L1300" s="920">
        <f t="shared" si="127"/>
        <v>3000</v>
      </c>
      <c r="M1300" s="920">
        <f t="shared" si="128"/>
        <v>6.48</v>
      </c>
      <c r="N1300" s="920">
        <f t="shared" si="129"/>
        <v>20</v>
      </c>
      <c r="O1300" s="918" t="str">
        <f t="shared" si="130"/>
        <v>Jan</v>
      </c>
      <c r="P1300" s="921">
        <f t="shared" si="131"/>
        <v>4</v>
      </c>
    </row>
    <row r="1301" spans="1:16" ht="15" hidden="1" customHeight="1">
      <c r="A1301" s="839">
        <v>64341108</v>
      </c>
      <c r="B1301" s="839" t="s">
        <v>139</v>
      </c>
      <c r="C1301" s="906">
        <v>4200</v>
      </c>
      <c r="D1301" s="907">
        <v>46042</v>
      </c>
      <c r="E1301" s="839" t="s">
        <v>615</v>
      </c>
      <c r="F1301" s="839">
        <v>1419</v>
      </c>
      <c r="G1301" s="916">
        <f>VLOOKUP($A1301,'Tech Litons'!$A:$I,8,FALSE)</f>
        <v>2.3599999999999997E-3</v>
      </c>
      <c r="H1301" s="917">
        <f>VLOOKUP($A1301,'Tech Litons'!$A:$I,9,FALSE)</f>
        <v>210</v>
      </c>
      <c r="I1301" s="917" t="str">
        <f>VLOOKUP($A1301,'Tech Litons'!$A:$C,3,0)</f>
        <v>Facepieces</v>
      </c>
      <c r="J1301" s="918" t="str">
        <f t="shared" si="126"/>
        <v>IncomFacepieces</v>
      </c>
      <c r="K1301" s="919">
        <v>1</v>
      </c>
      <c r="L1301" s="920">
        <f t="shared" si="127"/>
        <v>4200</v>
      </c>
      <c r="M1301" s="920">
        <f t="shared" si="128"/>
        <v>9.911999999999999</v>
      </c>
      <c r="N1301" s="920">
        <f t="shared" si="129"/>
        <v>20</v>
      </c>
      <c r="O1301" s="918" t="str">
        <f t="shared" si="130"/>
        <v>Jan</v>
      </c>
      <c r="P1301" s="921">
        <f t="shared" si="131"/>
        <v>4</v>
      </c>
    </row>
    <row r="1302" spans="1:16" ht="15" hidden="1" customHeight="1">
      <c r="A1302" s="839">
        <v>64341108</v>
      </c>
      <c r="B1302" s="839" t="s">
        <v>139</v>
      </c>
      <c r="C1302" s="906">
        <v>4200</v>
      </c>
      <c r="D1302" s="907">
        <v>46042</v>
      </c>
      <c r="E1302" s="839" t="s">
        <v>615</v>
      </c>
      <c r="F1302" s="839">
        <v>1419</v>
      </c>
      <c r="G1302" s="916">
        <f>VLOOKUP($A1302,'Tech Litons'!$A:$I,8,FALSE)</f>
        <v>2.3599999999999997E-3</v>
      </c>
      <c r="H1302" s="917">
        <f>VLOOKUP($A1302,'Tech Litons'!$A:$I,9,FALSE)</f>
        <v>210</v>
      </c>
      <c r="I1302" s="917" t="str">
        <f>VLOOKUP($A1302,'Tech Litons'!$A:$C,3,0)</f>
        <v>Facepieces</v>
      </c>
      <c r="J1302" s="918" t="str">
        <f t="shared" si="126"/>
        <v>IncomFacepieces</v>
      </c>
      <c r="K1302" s="919">
        <v>1</v>
      </c>
      <c r="L1302" s="920">
        <f t="shared" si="127"/>
        <v>4200</v>
      </c>
      <c r="M1302" s="920">
        <f t="shared" si="128"/>
        <v>9.911999999999999</v>
      </c>
      <c r="N1302" s="920">
        <f t="shared" si="129"/>
        <v>20</v>
      </c>
      <c r="O1302" s="918" t="str">
        <f t="shared" si="130"/>
        <v>Jan</v>
      </c>
      <c r="P1302" s="921">
        <f t="shared" si="131"/>
        <v>4</v>
      </c>
    </row>
    <row r="1303" spans="1:16" ht="15" hidden="1" customHeight="1">
      <c r="A1303" s="839">
        <v>64341108</v>
      </c>
      <c r="B1303" s="839" t="s">
        <v>139</v>
      </c>
      <c r="C1303" s="906">
        <v>4200</v>
      </c>
      <c r="D1303" s="907">
        <v>46042</v>
      </c>
      <c r="E1303" s="839" t="s">
        <v>615</v>
      </c>
      <c r="F1303" s="839">
        <v>1419</v>
      </c>
      <c r="G1303" s="916">
        <f>VLOOKUP($A1303,'Tech Litons'!$A:$I,8,FALSE)</f>
        <v>2.3599999999999997E-3</v>
      </c>
      <c r="H1303" s="917">
        <f>VLOOKUP($A1303,'Tech Litons'!$A:$I,9,FALSE)</f>
        <v>210</v>
      </c>
      <c r="I1303" s="917" t="str">
        <f>VLOOKUP($A1303,'Tech Litons'!$A:$C,3,0)</f>
        <v>Facepieces</v>
      </c>
      <c r="J1303" s="918" t="str">
        <f t="shared" si="126"/>
        <v>IncomFacepieces</v>
      </c>
      <c r="K1303" s="919">
        <v>1</v>
      </c>
      <c r="L1303" s="920">
        <f t="shared" si="127"/>
        <v>4200</v>
      </c>
      <c r="M1303" s="920">
        <f t="shared" si="128"/>
        <v>9.911999999999999</v>
      </c>
      <c r="N1303" s="920">
        <f t="shared" si="129"/>
        <v>20</v>
      </c>
      <c r="O1303" s="918" t="str">
        <f t="shared" si="130"/>
        <v>Jan</v>
      </c>
      <c r="P1303" s="921">
        <f t="shared" si="131"/>
        <v>4</v>
      </c>
    </row>
    <row r="1304" spans="1:16" ht="15" hidden="1" customHeight="1">
      <c r="A1304" s="839">
        <v>62714126</v>
      </c>
      <c r="B1304" s="839" t="s">
        <v>133</v>
      </c>
      <c r="C1304" s="906">
        <v>2600</v>
      </c>
      <c r="D1304" s="907">
        <v>46043</v>
      </c>
      <c r="E1304" s="839" t="s">
        <v>402</v>
      </c>
      <c r="F1304" s="839">
        <v>1419</v>
      </c>
      <c r="G1304" s="916">
        <f>VLOOKUP($A1304,'Tech Litons'!$A:$I,8,FALSE)</f>
        <v>5.2680000000000001E-3</v>
      </c>
      <c r="H1304" s="917">
        <f>VLOOKUP($A1304,'Tech Litons'!$A:$I,9,FALSE)</f>
        <v>130</v>
      </c>
      <c r="I1304" s="917" t="str">
        <f>VLOOKUP($A1304,'Tech Litons'!$A:$C,3,0)</f>
        <v>PG</v>
      </c>
      <c r="J1304" s="918" t="str">
        <f t="shared" ref="J1304:J1363" si="132">B1304&amp;I1304</f>
        <v>GDIPG</v>
      </c>
      <c r="K1304" s="919">
        <v>1</v>
      </c>
      <c r="L1304" s="920">
        <f t="shared" ref="L1304:L1363" si="133">C1304*$K1304</f>
        <v>2600</v>
      </c>
      <c r="M1304" s="920">
        <f t="shared" ref="M1304:M1363" si="134">L1304*G1304</f>
        <v>13.6968</v>
      </c>
      <c r="N1304" s="920">
        <f t="shared" ref="N1304:N1363" si="135">L1304/H1304</f>
        <v>20</v>
      </c>
      <c r="O1304" s="918" t="str">
        <f t="shared" ref="O1304:O1363" si="136">TEXT(D1304,"MMM")</f>
        <v>Jan</v>
      </c>
      <c r="P1304" s="921">
        <f t="shared" ref="P1304:P1363" si="137">WEEKNUM(D1304)</f>
        <v>4</v>
      </c>
    </row>
    <row r="1305" spans="1:16" ht="15" hidden="1" customHeight="1">
      <c r="A1305" s="839">
        <v>62714126</v>
      </c>
      <c r="B1305" s="839" t="s">
        <v>133</v>
      </c>
      <c r="C1305" s="906">
        <v>2600</v>
      </c>
      <c r="D1305" s="907">
        <v>46043</v>
      </c>
      <c r="E1305" s="839" t="s">
        <v>402</v>
      </c>
      <c r="F1305" s="839">
        <v>1419</v>
      </c>
      <c r="G1305" s="916">
        <f>VLOOKUP($A1305,'Tech Litons'!$A:$I,8,FALSE)</f>
        <v>5.2680000000000001E-3</v>
      </c>
      <c r="H1305" s="917">
        <f>VLOOKUP($A1305,'Tech Litons'!$A:$I,9,FALSE)</f>
        <v>130</v>
      </c>
      <c r="I1305" s="917" t="str">
        <f>VLOOKUP($A1305,'Tech Litons'!$A:$C,3,0)</f>
        <v>PG</v>
      </c>
      <c r="J1305" s="918" t="str">
        <f t="shared" si="132"/>
        <v>GDIPG</v>
      </c>
      <c r="K1305" s="919">
        <v>1</v>
      </c>
      <c r="L1305" s="920">
        <f t="shared" si="133"/>
        <v>2600</v>
      </c>
      <c r="M1305" s="920">
        <f t="shared" si="134"/>
        <v>13.6968</v>
      </c>
      <c r="N1305" s="920">
        <f t="shared" si="135"/>
        <v>20</v>
      </c>
      <c r="O1305" s="918" t="str">
        <f t="shared" si="136"/>
        <v>Jan</v>
      </c>
      <c r="P1305" s="921">
        <f t="shared" si="137"/>
        <v>4</v>
      </c>
    </row>
    <row r="1306" spans="1:16" ht="15" hidden="1" customHeight="1">
      <c r="A1306" s="839">
        <v>62714126</v>
      </c>
      <c r="B1306" s="839" t="s">
        <v>133</v>
      </c>
      <c r="C1306" s="906">
        <v>2600</v>
      </c>
      <c r="D1306" s="907">
        <v>46043</v>
      </c>
      <c r="E1306" s="839" t="s">
        <v>402</v>
      </c>
      <c r="F1306" s="839">
        <v>1419</v>
      </c>
      <c r="G1306" s="916">
        <f>VLOOKUP($A1306,'Tech Litons'!$A:$I,8,FALSE)</f>
        <v>5.2680000000000001E-3</v>
      </c>
      <c r="H1306" s="917">
        <f>VLOOKUP($A1306,'Tech Litons'!$A:$I,9,FALSE)</f>
        <v>130</v>
      </c>
      <c r="I1306" s="917" t="str">
        <f>VLOOKUP($A1306,'Tech Litons'!$A:$C,3,0)</f>
        <v>PG</v>
      </c>
      <c r="J1306" s="918" t="str">
        <f t="shared" si="132"/>
        <v>GDIPG</v>
      </c>
      <c r="K1306" s="919">
        <v>1</v>
      </c>
      <c r="L1306" s="920">
        <f t="shared" si="133"/>
        <v>2600</v>
      </c>
      <c r="M1306" s="920">
        <f t="shared" si="134"/>
        <v>13.6968</v>
      </c>
      <c r="N1306" s="920">
        <f t="shared" si="135"/>
        <v>20</v>
      </c>
      <c r="O1306" s="918" t="str">
        <f t="shared" si="136"/>
        <v>Jan</v>
      </c>
      <c r="P1306" s="921">
        <f t="shared" si="137"/>
        <v>4</v>
      </c>
    </row>
    <row r="1307" spans="1:16" ht="15" hidden="1" customHeight="1">
      <c r="A1307" s="839">
        <v>64771676</v>
      </c>
      <c r="B1307" s="839" t="s">
        <v>139</v>
      </c>
      <c r="C1307" s="906">
        <v>3900</v>
      </c>
      <c r="D1307" s="907">
        <v>46043</v>
      </c>
      <c r="E1307" s="839" t="s">
        <v>619</v>
      </c>
      <c r="F1307" s="839">
        <v>1419</v>
      </c>
      <c r="G1307" s="916">
        <f>VLOOKUP($A1307,'Tech Litons'!$A:$I,8,FALSE)</f>
        <v>2.16E-3</v>
      </c>
      <c r="H1307" s="917">
        <f>VLOOKUP($A1307,'Tech Litons'!$A:$I,9,FALSE)</f>
        <v>195</v>
      </c>
      <c r="I1307" s="917" t="str">
        <f>VLOOKUP($A1307,'Tech Litons'!$A:$C,3,0)</f>
        <v>Facepieces</v>
      </c>
      <c r="J1307" s="918" t="str">
        <f t="shared" si="132"/>
        <v>IncomFacepieces</v>
      </c>
      <c r="K1307" s="919">
        <v>1</v>
      </c>
      <c r="L1307" s="920">
        <f t="shared" si="133"/>
        <v>3900</v>
      </c>
      <c r="M1307" s="920">
        <f t="shared" si="134"/>
        <v>8.4239999999999995</v>
      </c>
      <c r="N1307" s="920">
        <f t="shared" si="135"/>
        <v>20</v>
      </c>
      <c r="O1307" s="918" t="str">
        <f t="shared" si="136"/>
        <v>Jan</v>
      </c>
      <c r="P1307" s="921">
        <f t="shared" si="137"/>
        <v>4</v>
      </c>
    </row>
    <row r="1308" spans="1:16" ht="15" hidden="1" customHeight="1">
      <c r="A1308" s="839">
        <v>64771676</v>
      </c>
      <c r="B1308" s="839" t="s">
        <v>139</v>
      </c>
      <c r="C1308" s="906">
        <v>3900</v>
      </c>
      <c r="D1308" s="907">
        <v>46043</v>
      </c>
      <c r="E1308" s="839" t="s">
        <v>619</v>
      </c>
      <c r="F1308" s="839">
        <v>1419</v>
      </c>
      <c r="G1308" s="916">
        <f>VLOOKUP($A1308,'Tech Litons'!$A:$I,8,FALSE)</f>
        <v>2.16E-3</v>
      </c>
      <c r="H1308" s="917">
        <f>VLOOKUP($A1308,'Tech Litons'!$A:$I,9,FALSE)</f>
        <v>195</v>
      </c>
      <c r="I1308" s="917" t="str">
        <f>VLOOKUP($A1308,'Tech Litons'!$A:$C,3,0)</f>
        <v>Facepieces</v>
      </c>
      <c r="J1308" s="918" t="str">
        <f t="shared" si="132"/>
        <v>IncomFacepieces</v>
      </c>
      <c r="K1308" s="919">
        <v>1</v>
      </c>
      <c r="L1308" s="920">
        <f t="shared" si="133"/>
        <v>3900</v>
      </c>
      <c r="M1308" s="920">
        <f t="shared" si="134"/>
        <v>8.4239999999999995</v>
      </c>
      <c r="N1308" s="920">
        <f t="shared" si="135"/>
        <v>20</v>
      </c>
      <c r="O1308" s="918" t="str">
        <f t="shared" si="136"/>
        <v>Jan</v>
      </c>
      <c r="P1308" s="921">
        <f t="shared" si="137"/>
        <v>4</v>
      </c>
    </row>
    <row r="1309" spans="1:16" ht="15" hidden="1" customHeight="1">
      <c r="A1309" s="839">
        <v>64771676</v>
      </c>
      <c r="B1309" s="839" t="s">
        <v>139</v>
      </c>
      <c r="C1309" s="906">
        <v>3900</v>
      </c>
      <c r="D1309" s="907">
        <v>46043</v>
      </c>
      <c r="E1309" s="839" t="s">
        <v>619</v>
      </c>
      <c r="F1309" s="839">
        <v>1419</v>
      </c>
      <c r="G1309" s="916">
        <f>VLOOKUP($A1309,'Tech Litons'!$A:$I,8,FALSE)</f>
        <v>2.16E-3</v>
      </c>
      <c r="H1309" s="917">
        <f>VLOOKUP($A1309,'Tech Litons'!$A:$I,9,FALSE)</f>
        <v>195</v>
      </c>
      <c r="I1309" s="917" t="str">
        <f>VLOOKUP($A1309,'Tech Litons'!$A:$C,3,0)</f>
        <v>Facepieces</v>
      </c>
      <c r="J1309" s="918" t="str">
        <f t="shared" si="132"/>
        <v>IncomFacepieces</v>
      </c>
      <c r="K1309" s="919">
        <v>1</v>
      </c>
      <c r="L1309" s="920">
        <f t="shared" si="133"/>
        <v>3900</v>
      </c>
      <c r="M1309" s="920">
        <f t="shared" si="134"/>
        <v>8.4239999999999995</v>
      </c>
      <c r="N1309" s="920">
        <f t="shared" si="135"/>
        <v>20</v>
      </c>
      <c r="O1309" s="918" t="str">
        <f t="shared" si="136"/>
        <v>Jan</v>
      </c>
      <c r="P1309" s="921">
        <f t="shared" si="137"/>
        <v>4</v>
      </c>
    </row>
    <row r="1310" spans="1:16" ht="15" hidden="1" customHeight="1">
      <c r="A1310" s="839">
        <v>64771676</v>
      </c>
      <c r="B1310" s="839" t="s">
        <v>139</v>
      </c>
      <c r="C1310" s="906">
        <v>3900</v>
      </c>
      <c r="D1310" s="907">
        <v>46043</v>
      </c>
      <c r="E1310" s="839" t="s">
        <v>619</v>
      </c>
      <c r="F1310" s="839">
        <v>1419</v>
      </c>
      <c r="G1310" s="916">
        <f>VLOOKUP($A1310,'Tech Litons'!$A:$I,8,FALSE)</f>
        <v>2.16E-3</v>
      </c>
      <c r="H1310" s="917">
        <f>VLOOKUP($A1310,'Tech Litons'!$A:$I,9,FALSE)</f>
        <v>195</v>
      </c>
      <c r="I1310" s="917" t="str">
        <f>VLOOKUP($A1310,'Tech Litons'!$A:$C,3,0)</f>
        <v>Facepieces</v>
      </c>
      <c r="J1310" s="918" t="str">
        <f t="shared" si="132"/>
        <v>IncomFacepieces</v>
      </c>
      <c r="K1310" s="919">
        <v>1</v>
      </c>
      <c r="L1310" s="920">
        <f t="shared" si="133"/>
        <v>3900</v>
      </c>
      <c r="M1310" s="920">
        <f t="shared" si="134"/>
        <v>8.4239999999999995</v>
      </c>
      <c r="N1310" s="920">
        <f t="shared" si="135"/>
        <v>20</v>
      </c>
      <c r="O1310" s="918" t="str">
        <f t="shared" si="136"/>
        <v>Jan</v>
      </c>
      <c r="P1310" s="921">
        <f t="shared" si="137"/>
        <v>4</v>
      </c>
    </row>
    <row r="1311" spans="1:16" ht="15" hidden="1" customHeight="1">
      <c r="A1311" s="839">
        <v>62714126</v>
      </c>
      <c r="B1311" s="839" t="s">
        <v>133</v>
      </c>
      <c r="C1311" s="906">
        <v>2600</v>
      </c>
      <c r="D1311" s="907">
        <v>46044</v>
      </c>
      <c r="E1311" s="839" t="s">
        <v>402</v>
      </c>
      <c r="F1311" s="839">
        <v>1419</v>
      </c>
      <c r="G1311" s="916">
        <f>VLOOKUP($A1311,'Tech Litons'!$A:$I,8,FALSE)</f>
        <v>5.2680000000000001E-3</v>
      </c>
      <c r="H1311" s="917">
        <f>VLOOKUP($A1311,'Tech Litons'!$A:$I,9,FALSE)</f>
        <v>130</v>
      </c>
      <c r="I1311" s="917" t="str">
        <f>VLOOKUP($A1311,'Tech Litons'!$A:$C,3,0)</f>
        <v>PG</v>
      </c>
      <c r="J1311" s="918" t="str">
        <f t="shared" si="132"/>
        <v>GDIPG</v>
      </c>
      <c r="K1311" s="919">
        <v>1</v>
      </c>
      <c r="L1311" s="920">
        <f t="shared" si="133"/>
        <v>2600</v>
      </c>
      <c r="M1311" s="920">
        <f t="shared" si="134"/>
        <v>13.6968</v>
      </c>
      <c r="N1311" s="920">
        <f t="shared" si="135"/>
        <v>20</v>
      </c>
      <c r="O1311" s="918" t="str">
        <f t="shared" si="136"/>
        <v>Jan</v>
      </c>
      <c r="P1311" s="921">
        <f t="shared" si="137"/>
        <v>4</v>
      </c>
    </row>
    <row r="1312" spans="1:16" ht="15" hidden="1" customHeight="1">
      <c r="A1312" s="839">
        <v>62714126</v>
      </c>
      <c r="B1312" s="839" t="s">
        <v>133</v>
      </c>
      <c r="C1312" s="906">
        <v>2600</v>
      </c>
      <c r="D1312" s="907">
        <v>46044</v>
      </c>
      <c r="E1312" s="839" t="s">
        <v>402</v>
      </c>
      <c r="F1312" s="839">
        <v>1419</v>
      </c>
      <c r="G1312" s="916">
        <f>VLOOKUP($A1312,'Tech Litons'!$A:$I,8,FALSE)</f>
        <v>5.2680000000000001E-3</v>
      </c>
      <c r="H1312" s="917">
        <f>VLOOKUP($A1312,'Tech Litons'!$A:$I,9,FALSE)</f>
        <v>130</v>
      </c>
      <c r="I1312" s="917" t="str">
        <f>VLOOKUP($A1312,'Tech Litons'!$A:$C,3,0)</f>
        <v>PG</v>
      </c>
      <c r="J1312" s="918" t="str">
        <f t="shared" si="132"/>
        <v>GDIPG</v>
      </c>
      <c r="K1312" s="919">
        <v>1</v>
      </c>
      <c r="L1312" s="920">
        <f t="shared" si="133"/>
        <v>2600</v>
      </c>
      <c r="M1312" s="920">
        <f t="shared" si="134"/>
        <v>13.6968</v>
      </c>
      <c r="N1312" s="920">
        <f t="shared" si="135"/>
        <v>20</v>
      </c>
      <c r="O1312" s="918" t="str">
        <f t="shared" si="136"/>
        <v>Jan</v>
      </c>
      <c r="P1312" s="921">
        <f t="shared" si="137"/>
        <v>4</v>
      </c>
    </row>
    <row r="1313" spans="1:16" ht="15" hidden="1" customHeight="1">
      <c r="A1313" s="839">
        <v>64771676</v>
      </c>
      <c r="B1313" s="839" t="s">
        <v>139</v>
      </c>
      <c r="C1313" s="906">
        <v>3900</v>
      </c>
      <c r="D1313" s="907">
        <v>46044</v>
      </c>
      <c r="E1313" s="839" t="s">
        <v>619</v>
      </c>
      <c r="F1313" s="839">
        <v>1419</v>
      </c>
      <c r="G1313" s="916">
        <f>VLOOKUP($A1313,'Tech Litons'!$A:$I,8,FALSE)</f>
        <v>2.16E-3</v>
      </c>
      <c r="H1313" s="917">
        <f>VLOOKUP($A1313,'Tech Litons'!$A:$I,9,FALSE)</f>
        <v>195</v>
      </c>
      <c r="I1313" s="917" t="str">
        <f>VLOOKUP($A1313,'Tech Litons'!$A:$C,3,0)</f>
        <v>Facepieces</v>
      </c>
      <c r="J1313" s="918" t="str">
        <f t="shared" si="132"/>
        <v>IncomFacepieces</v>
      </c>
      <c r="K1313" s="919">
        <v>1</v>
      </c>
      <c r="L1313" s="920">
        <f t="shared" si="133"/>
        <v>3900</v>
      </c>
      <c r="M1313" s="920">
        <f t="shared" si="134"/>
        <v>8.4239999999999995</v>
      </c>
      <c r="N1313" s="920">
        <f t="shared" si="135"/>
        <v>20</v>
      </c>
      <c r="O1313" s="918" t="str">
        <f t="shared" si="136"/>
        <v>Jan</v>
      </c>
      <c r="P1313" s="921">
        <f t="shared" si="137"/>
        <v>4</v>
      </c>
    </row>
    <row r="1314" spans="1:16" ht="15" hidden="1" customHeight="1">
      <c r="A1314" s="839">
        <v>68264519</v>
      </c>
      <c r="B1314" s="839" t="s">
        <v>118</v>
      </c>
      <c r="C1314" s="906">
        <v>3328</v>
      </c>
      <c r="D1314" s="907">
        <v>46045</v>
      </c>
      <c r="E1314" s="839" t="s">
        <v>894</v>
      </c>
      <c r="F1314" s="839">
        <v>1419</v>
      </c>
      <c r="G1314" s="916">
        <f>VLOOKUP($A1314,'Tech Litons'!$A:$I,8,FALSE)</f>
        <v>1.419504E-3</v>
      </c>
      <c r="H1314" s="917">
        <f>VLOOKUP($A1314,'Tech Litons'!$A:$I,9,FALSE)</f>
        <v>256</v>
      </c>
      <c r="I1314" s="917" t="str">
        <f>VLOOKUP($A1314,'Tech Litons'!$A:$C,3,0)</f>
        <v>Dough Bites</v>
      </c>
      <c r="J1314" s="918" t="str">
        <f t="shared" si="132"/>
        <v>RhinoDough Bites</v>
      </c>
      <c r="K1314" s="919">
        <v>1</v>
      </c>
      <c r="L1314" s="920">
        <f t="shared" si="133"/>
        <v>3328</v>
      </c>
      <c r="M1314" s="920">
        <f t="shared" si="134"/>
        <v>4.7241093120000004</v>
      </c>
      <c r="N1314" s="920">
        <f t="shared" si="135"/>
        <v>13</v>
      </c>
      <c r="O1314" s="918" t="str">
        <f t="shared" si="136"/>
        <v>Jan</v>
      </c>
      <c r="P1314" s="921">
        <f t="shared" si="137"/>
        <v>4</v>
      </c>
    </row>
    <row r="1315" spans="1:16" ht="15" hidden="1" customHeight="1">
      <c r="A1315" s="839">
        <v>64365613</v>
      </c>
      <c r="B1315" s="839" t="s">
        <v>139</v>
      </c>
      <c r="C1315" s="906">
        <v>3900</v>
      </c>
      <c r="D1315" s="907">
        <v>46045</v>
      </c>
      <c r="E1315" s="839" t="s">
        <v>617</v>
      </c>
      <c r="F1315" s="839">
        <v>1419</v>
      </c>
      <c r="G1315" s="916">
        <f>VLOOKUP($A1315,'Tech Litons'!$A:$I,8,FALSE)</f>
        <v>2.1540000000000001E-3</v>
      </c>
      <c r="H1315" s="917">
        <f>VLOOKUP($A1315,'Tech Litons'!$A:$I,9,FALSE)</f>
        <v>195</v>
      </c>
      <c r="I1315" s="917" t="str">
        <f>VLOOKUP($A1315,'Tech Litons'!$A:$C,3,0)</f>
        <v>Facepieces</v>
      </c>
      <c r="J1315" s="918" t="str">
        <f t="shared" si="132"/>
        <v>IncomFacepieces</v>
      </c>
      <c r="K1315" s="919">
        <v>1</v>
      </c>
      <c r="L1315" s="920">
        <f t="shared" si="133"/>
        <v>3900</v>
      </c>
      <c r="M1315" s="920">
        <f t="shared" si="134"/>
        <v>8.4006000000000007</v>
      </c>
      <c r="N1315" s="920">
        <f t="shared" si="135"/>
        <v>20</v>
      </c>
      <c r="O1315" s="918" t="str">
        <f t="shared" si="136"/>
        <v>Jan</v>
      </c>
      <c r="P1315" s="921">
        <f t="shared" si="137"/>
        <v>4</v>
      </c>
    </row>
    <row r="1316" spans="1:16" ht="15" hidden="1" customHeight="1">
      <c r="A1316" s="839">
        <v>64341108</v>
      </c>
      <c r="B1316" s="839" t="s">
        <v>139</v>
      </c>
      <c r="C1316" s="906">
        <v>4200</v>
      </c>
      <c r="D1316" s="907">
        <v>46045</v>
      </c>
      <c r="E1316" s="839" t="s">
        <v>615</v>
      </c>
      <c r="F1316" s="839">
        <v>1419</v>
      </c>
      <c r="G1316" s="916">
        <f>VLOOKUP($A1316,'Tech Litons'!$A:$I,8,FALSE)</f>
        <v>2.3599999999999997E-3</v>
      </c>
      <c r="H1316" s="917">
        <f>VLOOKUP($A1316,'Tech Litons'!$A:$I,9,FALSE)</f>
        <v>210</v>
      </c>
      <c r="I1316" s="917" t="str">
        <f>VLOOKUP($A1316,'Tech Litons'!$A:$C,3,0)</f>
        <v>Facepieces</v>
      </c>
      <c r="J1316" s="918" t="str">
        <f t="shared" si="132"/>
        <v>IncomFacepieces</v>
      </c>
      <c r="K1316" s="919">
        <v>1</v>
      </c>
      <c r="L1316" s="920">
        <f t="shared" si="133"/>
        <v>4200</v>
      </c>
      <c r="M1316" s="920">
        <f t="shared" si="134"/>
        <v>9.911999999999999</v>
      </c>
      <c r="N1316" s="920">
        <f t="shared" si="135"/>
        <v>20</v>
      </c>
      <c r="O1316" s="918" t="str">
        <f t="shared" si="136"/>
        <v>Jan</v>
      </c>
      <c r="P1316" s="921">
        <f t="shared" si="137"/>
        <v>4</v>
      </c>
    </row>
    <row r="1317" spans="1:16" ht="15" hidden="1" customHeight="1">
      <c r="A1317" s="839">
        <v>64341108</v>
      </c>
      <c r="B1317" s="839" t="s">
        <v>139</v>
      </c>
      <c r="C1317" s="906">
        <v>4200</v>
      </c>
      <c r="D1317" s="907">
        <v>46045</v>
      </c>
      <c r="E1317" s="839" t="s">
        <v>615</v>
      </c>
      <c r="F1317" s="839">
        <v>1419</v>
      </c>
      <c r="G1317" s="916">
        <f>VLOOKUP($A1317,'Tech Litons'!$A:$I,8,FALSE)</f>
        <v>2.3599999999999997E-3</v>
      </c>
      <c r="H1317" s="917">
        <f>VLOOKUP($A1317,'Tech Litons'!$A:$I,9,FALSE)</f>
        <v>210</v>
      </c>
      <c r="I1317" s="917" t="str">
        <f>VLOOKUP($A1317,'Tech Litons'!$A:$C,3,0)</f>
        <v>Facepieces</v>
      </c>
      <c r="J1317" s="918" t="str">
        <f t="shared" si="132"/>
        <v>IncomFacepieces</v>
      </c>
      <c r="K1317" s="919">
        <v>1</v>
      </c>
      <c r="L1317" s="920">
        <f t="shared" si="133"/>
        <v>4200</v>
      </c>
      <c r="M1317" s="920">
        <f t="shared" si="134"/>
        <v>9.911999999999999</v>
      </c>
      <c r="N1317" s="920">
        <f t="shared" si="135"/>
        <v>20</v>
      </c>
      <c r="O1317" s="918" t="str">
        <f t="shared" si="136"/>
        <v>Jan</v>
      </c>
      <c r="P1317" s="921">
        <f t="shared" si="137"/>
        <v>4</v>
      </c>
    </row>
    <row r="1318" spans="1:16" ht="15" hidden="1" customHeight="1">
      <c r="A1318" s="839">
        <v>69665113</v>
      </c>
      <c r="B1318" s="839" t="s">
        <v>118</v>
      </c>
      <c r="C1318" s="906">
        <v>8704</v>
      </c>
      <c r="D1318" s="907">
        <v>46045</v>
      </c>
      <c r="E1318" s="839" t="s">
        <v>896</v>
      </c>
      <c r="F1318" s="839">
        <v>1419</v>
      </c>
      <c r="G1318" s="916">
        <f>VLOOKUP($A1318,'Tech Litons'!$A:$I,8,FALSE)</f>
        <v>1.8160000000000001E-3</v>
      </c>
      <c r="H1318" s="917">
        <f>VLOOKUP($A1318,'Tech Litons'!$A:$I,9,FALSE)</f>
        <v>256</v>
      </c>
      <c r="I1318" s="917" t="str">
        <f>VLOOKUP($A1318,'Tech Litons'!$A:$C,3,0)</f>
        <v>Dough Bites</v>
      </c>
      <c r="J1318" s="918" t="str">
        <f t="shared" si="132"/>
        <v>RhinoDough Bites</v>
      </c>
      <c r="K1318" s="919">
        <v>1</v>
      </c>
      <c r="L1318" s="920">
        <f t="shared" si="133"/>
        <v>8704</v>
      </c>
      <c r="M1318" s="920">
        <f t="shared" si="134"/>
        <v>15.806464000000002</v>
      </c>
      <c r="N1318" s="920">
        <f t="shared" si="135"/>
        <v>34</v>
      </c>
      <c r="O1318" s="918" t="str">
        <f t="shared" si="136"/>
        <v>Jan</v>
      </c>
      <c r="P1318" s="921">
        <f t="shared" si="137"/>
        <v>4</v>
      </c>
    </row>
    <row r="1319" spans="1:16" ht="15" hidden="1" customHeight="1">
      <c r="A1319" s="839">
        <v>64771676</v>
      </c>
      <c r="B1319" s="839" t="s">
        <v>139</v>
      </c>
      <c r="C1319" s="906">
        <v>3900</v>
      </c>
      <c r="D1319" s="907">
        <v>46048</v>
      </c>
      <c r="E1319" s="839" t="s">
        <v>619</v>
      </c>
      <c r="F1319" s="839">
        <v>1419</v>
      </c>
      <c r="G1319" s="916">
        <f>VLOOKUP($A1319,'Tech Litons'!$A:$I,8,FALSE)</f>
        <v>2.16E-3</v>
      </c>
      <c r="H1319" s="917">
        <f>VLOOKUP($A1319,'Tech Litons'!$A:$I,9,FALSE)</f>
        <v>195</v>
      </c>
      <c r="I1319" s="917" t="str">
        <f>VLOOKUP($A1319,'Tech Litons'!$A:$C,3,0)</f>
        <v>Facepieces</v>
      </c>
      <c r="J1319" s="918" t="str">
        <f t="shared" si="132"/>
        <v>IncomFacepieces</v>
      </c>
      <c r="K1319" s="919">
        <v>1</v>
      </c>
      <c r="L1319" s="920">
        <f t="shared" si="133"/>
        <v>3900</v>
      </c>
      <c r="M1319" s="920">
        <f t="shared" si="134"/>
        <v>8.4239999999999995</v>
      </c>
      <c r="N1319" s="920">
        <f t="shared" si="135"/>
        <v>20</v>
      </c>
      <c r="O1319" s="918" t="str">
        <f t="shared" si="136"/>
        <v>Jan</v>
      </c>
      <c r="P1319" s="921">
        <f t="shared" si="137"/>
        <v>5</v>
      </c>
    </row>
    <row r="1320" spans="1:16" ht="15" hidden="1" customHeight="1">
      <c r="A1320" s="839">
        <v>64341108</v>
      </c>
      <c r="B1320" s="839" t="s">
        <v>139</v>
      </c>
      <c r="C1320" s="906">
        <v>4200</v>
      </c>
      <c r="D1320" s="907">
        <v>46048</v>
      </c>
      <c r="E1320" s="839" t="s">
        <v>615</v>
      </c>
      <c r="F1320" s="839">
        <v>1419</v>
      </c>
      <c r="G1320" s="916">
        <f>VLOOKUP($A1320,'Tech Litons'!$A:$I,8,FALSE)</f>
        <v>2.3599999999999997E-3</v>
      </c>
      <c r="H1320" s="917">
        <f>VLOOKUP($A1320,'Tech Litons'!$A:$I,9,FALSE)</f>
        <v>210</v>
      </c>
      <c r="I1320" s="917" t="str">
        <f>VLOOKUP($A1320,'Tech Litons'!$A:$C,3,0)</f>
        <v>Facepieces</v>
      </c>
      <c r="J1320" s="918" t="str">
        <f t="shared" si="132"/>
        <v>IncomFacepieces</v>
      </c>
      <c r="K1320" s="919">
        <v>1</v>
      </c>
      <c r="L1320" s="920">
        <f t="shared" si="133"/>
        <v>4200</v>
      </c>
      <c r="M1320" s="920">
        <f t="shared" si="134"/>
        <v>9.911999999999999</v>
      </c>
      <c r="N1320" s="920">
        <f t="shared" si="135"/>
        <v>20</v>
      </c>
      <c r="O1320" s="918" t="str">
        <f t="shared" si="136"/>
        <v>Jan</v>
      </c>
      <c r="P1320" s="921">
        <f t="shared" si="137"/>
        <v>5</v>
      </c>
    </row>
    <row r="1321" spans="1:16" ht="15" hidden="1" customHeight="1">
      <c r="A1321" s="839">
        <v>64341109</v>
      </c>
      <c r="B1321" s="839" t="s">
        <v>139</v>
      </c>
      <c r="C1321" s="906">
        <v>4200</v>
      </c>
      <c r="D1321" s="907">
        <v>46048</v>
      </c>
      <c r="E1321" s="839" t="s">
        <v>616</v>
      </c>
      <c r="F1321" s="839">
        <v>1419</v>
      </c>
      <c r="G1321" s="916">
        <f>VLOOKUP($A1321,'Tech Litons'!$A:$I,8,FALSE)</f>
        <v>2E-3</v>
      </c>
      <c r="H1321" s="917">
        <f>VLOOKUP($A1321,'Tech Litons'!$A:$I,9,FALSE)</f>
        <v>210</v>
      </c>
      <c r="I1321" s="917" t="str">
        <f>VLOOKUP($A1321,'Tech Litons'!$A:$C,3,0)</f>
        <v>Facepieces</v>
      </c>
      <c r="J1321" s="918" t="str">
        <f t="shared" si="132"/>
        <v>IncomFacepieces</v>
      </c>
      <c r="K1321" s="919">
        <v>1</v>
      </c>
      <c r="L1321" s="920">
        <f t="shared" si="133"/>
        <v>4200</v>
      </c>
      <c r="M1321" s="920">
        <f t="shared" si="134"/>
        <v>8.4</v>
      </c>
      <c r="N1321" s="920">
        <f t="shared" si="135"/>
        <v>20</v>
      </c>
      <c r="O1321" s="918" t="str">
        <f t="shared" si="136"/>
        <v>Jan</v>
      </c>
      <c r="P1321" s="921">
        <f t="shared" si="137"/>
        <v>5</v>
      </c>
    </row>
    <row r="1322" spans="1:16" ht="15" hidden="1" customHeight="1">
      <c r="A1322" s="839">
        <v>64341109</v>
      </c>
      <c r="B1322" s="839" t="s">
        <v>139</v>
      </c>
      <c r="C1322" s="906">
        <v>4200</v>
      </c>
      <c r="D1322" s="907">
        <v>46048</v>
      </c>
      <c r="E1322" s="839" t="s">
        <v>616</v>
      </c>
      <c r="F1322" s="839">
        <v>1419</v>
      </c>
      <c r="G1322" s="916">
        <f>VLOOKUP($A1322,'Tech Litons'!$A:$I,8,FALSE)</f>
        <v>2E-3</v>
      </c>
      <c r="H1322" s="917">
        <f>VLOOKUP($A1322,'Tech Litons'!$A:$I,9,FALSE)</f>
        <v>210</v>
      </c>
      <c r="I1322" s="917" t="str">
        <f>VLOOKUP($A1322,'Tech Litons'!$A:$C,3,0)</f>
        <v>Facepieces</v>
      </c>
      <c r="J1322" s="918" t="str">
        <f t="shared" si="132"/>
        <v>IncomFacepieces</v>
      </c>
      <c r="K1322" s="919">
        <v>1</v>
      </c>
      <c r="L1322" s="920">
        <f t="shared" si="133"/>
        <v>4200</v>
      </c>
      <c r="M1322" s="920">
        <f t="shared" si="134"/>
        <v>8.4</v>
      </c>
      <c r="N1322" s="920">
        <f t="shared" si="135"/>
        <v>20</v>
      </c>
      <c r="O1322" s="918" t="str">
        <f t="shared" si="136"/>
        <v>Jan</v>
      </c>
      <c r="P1322" s="921">
        <f t="shared" si="137"/>
        <v>5</v>
      </c>
    </row>
    <row r="1323" spans="1:16" ht="15" hidden="1" customHeight="1">
      <c r="A1323" s="839">
        <v>64341108</v>
      </c>
      <c r="B1323" s="839" t="s">
        <v>139</v>
      </c>
      <c r="C1323" s="906">
        <v>4200</v>
      </c>
      <c r="D1323" s="907">
        <v>46049</v>
      </c>
      <c r="E1323" s="839" t="s">
        <v>615</v>
      </c>
      <c r="F1323" s="839">
        <v>1419</v>
      </c>
      <c r="G1323" s="916">
        <f>VLOOKUP($A1323,'Tech Litons'!$A:$I,8,FALSE)</f>
        <v>2.3599999999999997E-3</v>
      </c>
      <c r="H1323" s="917">
        <f>VLOOKUP($A1323,'Tech Litons'!$A:$I,9,FALSE)</f>
        <v>210</v>
      </c>
      <c r="I1323" s="917" t="str">
        <f>VLOOKUP($A1323,'Tech Litons'!$A:$C,3,0)</f>
        <v>Facepieces</v>
      </c>
      <c r="J1323" s="918" t="str">
        <f t="shared" si="132"/>
        <v>IncomFacepieces</v>
      </c>
      <c r="K1323" s="919">
        <v>1</v>
      </c>
      <c r="L1323" s="920">
        <f t="shared" si="133"/>
        <v>4200</v>
      </c>
      <c r="M1323" s="920">
        <f t="shared" si="134"/>
        <v>9.911999999999999</v>
      </c>
      <c r="N1323" s="920">
        <f t="shared" si="135"/>
        <v>20</v>
      </c>
      <c r="O1323" s="918" t="str">
        <f t="shared" si="136"/>
        <v>Jan</v>
      </c>
      <c r="P1323" s="921">
        <f t="shared" si="137"/>
        <v>5</v>
      </c>
    </row>
    <row r="1324" spans="1:16" ht="15" hidden="1" customHeight="1">
      <c r="A1324" s="839">
        <v>64341108</v>
      </c>
      <c r="B1324" s="839" t="s">
        <v>139</v>
      </c>
      <c r="C1324" s="906">
        <v>4200</v>
      </c>
      <c r="D1324" s="907">
        <v>46049</v>
      </c>
      <c r="E1324" s="839" t="s">
        <v>615</v>
      </c>
      <c r="F1324" s="839">
        <v>1419</v>
      </c>
      <c r="G1324" s="916">
        <f>VLOOKUP($A1324,'Tech Litons'!$A:$I,8,FALSE)</f>
        <v>2.3599999999999997E-3</v>
      </c>
      <c r="H1324" s="917">
        <f>VLOOKUP($A1324,'Tech Litons'!$A:$I,9,FALSE)</f>
        <v>210</v>
      </c>
      <c r="I1324" s="917" t="str">
        <f>VLOOKUP($A1324,'Tech Litons'!$A:$C,3,0)</f>
        <v>Facepieces</v>
      </c>
      <c r="J1324" s="918" t="str">
        <f t="shared" si="132"/>
        <v>IncomFacepieces</v>
      </c>
      <c r="K1324" s="919">
        <v>1</v>
      </c>
      <c r="L1324" s="920">
        <f t="shared" si="133"/>
        <v>4200</v>
      </c>
      <c r="M1324" s="920">
        <f t="shared" si="134"/>
        <v>9.911999999999999</v>
      </c>
      <c r="N1324" s="920">
        <f t="shared" si="135"/>
        <v>20</v>
      </c>
      <c r="O1324" s="918" t="str">
        <f t="shared" si="136"/>
        <v>Jan</v>
      </c>
      <c r="P1324" s="921">
        <f t="shared" si="137"/>
        <v>5</v>
      </c>
    </row>
    <row r="1325" spans="1:16" ht="15" hidden="1" customHeight="1">
      <c r="A1325" s="839">
        <v>64978550</v>
      </c>
      <c r="B1325" s="839">
        <v>1712</v>
      </c>
      <c r="C1325" s="906">
        <v>11440</v>
      </c>
      <c r="D1325" s="907">
        <v>46031</v>
      </c>
      <c r="E1325" s="839" t="s">
        <v>575</v>
      </c>
      <c r="F1325" s="839">
        <v>1712</v>
      </c>
      <c r="G1325" s="916">
        <f>VLOOKUP($A1325,'Tech Litons'!$A:$I,8,FALSE)</f>
        <v>2.8399999999999996E-3</v>
      </c>
      <c r="H1325" s="917">
        <f>VLOOKUP($A1325,'Tech Litons'!$A:$I,9,FALSE)</f>
        <v>130</v>
      </c>
      <c r="I1325" s="917" t="str">
        <f>VLOOKUP($A1325,'Tech Litons'!$A:$C,3,0)</f>
        <v>Other</v>
      </c>
      <c r="J1325" s="918" t="str">
        <f t="shared" si="132"/>
        <v>1712Other</v>
      </c>
      <c r="K1325" s="919">
        <v>1</v>
      </c>
      <c r="L1325" s="920">
        <f t="shared" si="133"/>
        <v>11440</v>
      </c>
      <c r="M1325" s="920">
        <f t="shared" si="134"/>
        <v>32.489599999999996</v>
      </c>
      <c r="N1325" s="920">
        <f t="shared" si="135"/>
        <v>88</v>
      </c>
      <c r="O1325" s="918" t="str">
        <f t="shared" si="136"/>
        <v>Jan</v>
      </c>
      <c r="P1325" s="921">
        <f t="shared" si="137"/>
        <v>2</v>
      </c>
    </row>
    <row r="1326" spans="1:16" ht="15" hidden="1" customHeight="1">
      <c r="A1326" s="839">
        <v>64413478</v>
      </c>
      <c r="B1326" s="839">
        <v>1712</v>
      </c>
      <c r="C1326" s="906">
        <v>19956</v>
      </c>
      <c r="D1326" s="907">
        <v>46031</v>
      </c>
      <c r="E1326" s="839" t="s">
        <v>569</v>
      </c>
      <c r="F1326" s="839">
        <v>1712</v>
      </c>
      <c r="G1326" s="916">
        <f>VLOOKUP($A1326,'Tech Litons'!$A:$I,8,FALSE)</f>
        <v>1.4159999999999999E-3</v>
      </c>
      <c r="H1326" s="917">
        <f>VLOOKUP($A1326,'Tech Litons'!$A:$I,9,FALSE)</f>
        <v>468</v>
      </c>
      <c r="I1326" s="917" t="str">
        <f>VLOOKUP($A1326,'Tech Litons'!$A:$C,3,0)</f>
        <v>B&amp;J Cups</v>
      </c>
      <c r="J1326" s="918" t="str">
        <f t="shared" si="132"/>
        <v>1712B&amp;J Cups</v>
      </c>
      <c r="K1326" s="919">
        <v>1</v>
      </c>
      <c r="L1326" s="920">
        <f t="shared" si="133"/>
        <v>19956</v>
      </c>
      <c r="M1326" s="920">
        <f t="shared" si="134"/>
        <v>28.257695999999999</v>
      </c>
      <c r="N1326" s="920">
        <f t="shared" si="135"/>
        <v>42.641025641025642</v>
      </c>
      <c r="O1326" s="918" t="str">
        <f t="shared" si="136"/>
        <v>Jan</v>
      </c>
      <c r="P1326" s="921">
        <f t="shared" si="137"/>
        <v>2</v>
      </c>
    </row>
    <row r="1327" spans="1:16" ht="15" hidden="1" customHeight="1">
      <c r="A1327" s="839">
        <v>64804361</v>
      </c>
      <c r="B1327" s="839">
        <v>1712</v>
      </c>
      <c r="C1327" s="906">
        <v>697</v>
      </c>
      <c r="D1327" s="907">
        <v>46034</v>
      </c>
      <c r="E1327" s="839" t="s">
        <v>570</v>
      </c>
      <c r="F1327" s="839">
        <v>1712</v>
      </c>
      <c r="G1327" s="916">
        <f>VLOOKUP($A1327,'Tech Litons'!$A:$I,8,FALSE)</f>
        <v>1.2960000000000001E-2</v>
      </c>
      <c r="H1327" s="917">
        <f>VLOOKUP($A1327,'Tech Litons'!$A:$I,9,FALSE)</f>
        <v>50</v>
      </c>
      <c r="I1327" s="917" t="str">
        <f>VLOOKUP($A1327,'Tech Litons'!$A:$C,3,0)</f>
        <v>B&amp;J Cups</v>
      </c>
      <c r="J1327" s="918" t="str">
        <f t="shared" si="132"/>
        <v>1712B&amp;J Cups</v>
      </c>
      <c r="K1327" s="919">
        <v>1</v>
      </c>
      <c r="L1327" s="920">
        <f t="shared" si="133"/>
        <v>697</v>
      </c>
      <c r="M1327" s="920">
        <f t="shared" si="134"/>
        <v>9.0331200000000003</v>
      </c>
      <c r="N1327" s="920">
        <f t="shared" si="135"/>
        <v>13.94</v>
      </c>
      <c r="O1327" s="918" t="str">
        <f t="shared" si="136"/>
        <v>Jan</v>
      </c>
      <c r="P1327" s="921">
        <f t="shared" si="137"/>
        <v>3</v>
      </c>
    </row>
    <row r="1328" spans="1:16" ht="15" hidden="1" customHeight="1">
      <c r="A1328" s="839">
        <v>64804365</v>
      </c>
      <c r="B1328" s="839">
        <v>1712</v>
      </c>
      <c r="C1328" s="906">
        <v>4981</v>
      </c>
      <c r="D1328" s="907">
        <v>46038</v>
      </c>
      <c r="E1328" s="839" t="s">
        <v>571</v>
      </c>
      <c r="F1328" s="839">
        <v>1712</v>
      </c>
      <c r="G1328" s="916">
        <f>VLOOKUP($A1328,'Tech Litons'!$A:$I,8,FALSE)</f>
        <v>2.8799999999999997E-3</v>
      </c>
      <c r="H1328" s="917">
        <f>VLOOKUP($A1328,'Tech Litons'!$A:$I,9,FALSE)</f>
        <v>180</v>
      </c>
      <c r="I1328" s="917" t="str">
        <f>VLOOKUP($A1328,'Tech Litons'!$A:$C,3,0)</f>
        <v>B&amp;J Cups</v>
      </c>
      <c r="J1328" s="918" t="str">
        <f t="shared" si="132"/>
        <v>1712B&amp;J Cups</v>
      </c>
      <c r="K1328" s="919">
        <v>1</v>
      </c>
      <c r="L1328" s="920">
        <f t="shared" si="133"/>
        <v>4981</v>
      </c>
      <c r="M1328" s="920">
        <f t="shared" si="134"/>
        <v>14.345279999999999</v>
      </c>
      <c r="N1328" s="920">
        <f t="shared" si="135"/>
        <v>27.672222222222221</v>
      </c>
      <c r="O1328" s="918" t="str">
        <f t="shared" si="136"/>
        <v>Jan</v>
      </c>
      <c r="P1328" s="921">
        <f t="shared" si="137"/>
        <v>3</v>
      </c>
    </row>
    <row r="1329" spans="1:16" ht="15" hidden="1" customHeight="1">
      <c r="A1329" s="839">
        <v>64875812</v>
      </c>
      <c r="B1329" s="839">
        <v>1712</v>
      </c>
      <c r="C1329" s="906">
        <v>9353</v>
      </c>
      <c r="D1329" s="907">
        <v>46038</v>
      </c>
      <c r="E1329" s="839" t="s">
        <v>347</v>
      </c>
      <c r="F1329" s="839">
        <v>1712</v>
      </c>
      <c r="G1329" s="916">
        <f>VLOOKUP($A1329,'Tech Litons'!$A:$I,8,FALSE)</f>
        <v>6.0000000000000001E-3</v>
      </c>
      <c r="H1329" s="917">
        <f>VLOOKUP($A1329,'Tech Litons'!$A:$I,9,FALSE)</f>
        <v>108</v>
      </c>
      <c r="I1329" s="917" t="str">
        <f>VLOOKUP($A1329,'Tech Litons'!$A:$C,3,0)</f>
        <v>ESS</v>
      </c>
      <c r="J1329" s="918" t="str">
        <f t="shared" si="132"/>
        <v>1712ESS</v>
      </c>
      <c r="K1329" s="919">
        <v>1</v>
      </c>
      <c r="L1329" s="920">
        <f t="shared" si="133"/>
        <v>9353</v>
      </c>
      <c r="M1329" s="920">
        <f t="shared" si="134"/>
        <v>56.118000000000002</v>
      </c>
      <c r="N1329" s="920">
        <f t="shared" si="135"/>
        <v>86.601851851851848</v>
      </c>
      <c r="O1329" s="918" t="str">
        <f t="shared" si="136"/>
        <v>Jan</v>
      </c>
      <c r="P1329" s="921">
        <f t="shared" si="137"/>
        <v>3</v>
      </c>
    </row>
    <row r="1330" spans="1:16" ht="15" hidden="1" customHeight="1">
      <c r="A1330" s="839">
        <v>64874636</v>
      </c>
      <c r="B1330" s="839">
        <v>1712</v>
      </c>
      <c r="C1330" s="906">
        <v>14731</v>
      </c>
      <c r="D1330" s="907">
        <v>46038</v>
      </c>
      <c r="E1330" s="839" t="s">
        <v>560</v>
      </c>
      <c r="F1330" s="839">
        <v>1712</v>
      </c>
      <c r="G1330" s="916">
        <f>VLOOKUP($A1330,'Tech Litons'!$A:$I,8,FALSE)</f>
        <v>2.8380000000000002E-3</v>
      </c>
      <c r="H1330" s="917">
        <f>VLOOKUP($A1330,'Tech Litons'!$A:$I,9,FALSE)</f>
        <v>189</v>
      </c>
      <c r="I1330" s="917" t="str">
        <f>VLOOKUP($A1330,'Tech Litons'!$A:$C,3,0)</f>
        <v>ESS</v>
      </c>
      <c r="J1330" s="918" t="str">
        <f t="shared" si="132"/>
        <v>1712ESS</v>
      </c>
      <c r="K1330" s="919">
        <v>1</v>
      </c>
      <c r="L1330" s="920">
        <f t="shared" si="133"/>
        <v>14731</v>
      </c>
      <c r="M1330" s="920">
        <f t="shared" si="134"/>
        <v>41.806578000000002</v>
      </c>
      <c r="N1330" s="920">
        <f t="shared" si="135"/>
        <v>77.941798941798936</v>
      </c>
      <c r="O1330" s="918" t="str">
        <f t="shared" si="136"/>
        <v>Jan</v>
      </c>
      <c r="P1330" s="921">
        <f t="shared" si="137"/>
        <v>3</v>
      </c>
    </row>
    <row r="1331" spans="1:16" ht="15" hidden="1" customHeight="1">
      <c r="A1331" s="839">
        <v>64376316</v>
      </c>
      <c r="B1331" s="839">
        <v>1712</v>
      </c>
      <c r="C1331" s="906">
        <v>119771</v>
      </c>
      <c r="D1331" s="907">
        <v>46038</v>
      </c>
      <c r="E1331" s="839" t="s">
        <v>565</v>
      </c>
      <c r="F1331" s="839">
        <v>1712</v>
      </c>
      <c r="G1331" s="916">
        <f>VLOOKUP($A1331,'Tech Litons'!$A:$I,8,FALSE)</f>
        <v>1.5449999999999999E-3</v>
      </c>
      <c r="H1331" s="917">
        <f>VLOOKUP($A1331,'Tech Litons'!$A:$I,9,FALSE)</f>
        <v>240</v>
      </c>
      <c r="I1331" s="917" t="str">
        <f>VLOOKUP($A1331,'Tech Litons'!$A:$C,3,0)</f>
        <v>Yasso Club</v>
      </c>
      <c r="J1331" s="918" t="str">
        <f t="shared" si="132"/>
        <v>1712Yasso Club</v>
      </c>
      <c r="K1331" s="919">
        <v>1</v>
      </c>
      <c r="L1331" s="920">
        <f t="shared" si="133"/>
        <v>119771</v>
      </c>
      <c r="M1331" s="920">
        <f t="shared" si="134"/>
        <v>185.04619499999998</v>
      </c>
      <c r="N1331" s="920">
        <f t="shared" si="135"/>
        <v>499.04583333333335</v>
      </c>
      <c r="O1331" s="918" t="str">
        <f t="shared" si="136"/>
        <v>Jan</v>
      </c>
      <c r="P1331" s="921">
        <f t="shared" si="137"/>
        <v>3</v>
      </c>
    </row>
    <row r="1332" spans="1:16" ht="15" hidden="1" customHeight="1">
      <c r="A1332" s="839">
        <v>64328806</v>
      </c>
      <c r="B1332" s="839">
        <v>1712</v>
      </c>
      <c r="C1332" s="906">
        <v>33867</v>
      </c>
      <c r="D1332" s="907">
        <v>46041</v>
      </c>
      <c r="E1332" s="839" t="s">
        <v>324</v>
      </c>
      <c r="F1332" s="839">
        <v>1712</v>
      </c>
      <c r="G1332" s="916">
        <f>VLOOKUP($A1332,'Tech Litons'!$A:$I,8,FALSE)</f>
        <v>2.8380000000000002E-3</v>
      </c>
      <c r="H1332" s="917">
        <f>VLOOKUP($A1332,'Tech Litons'!$A:$I,9,FALSE)</f>
        <v>189</v>
      </c>
      <c r="I1332" s="917" t="str">
        <f>VLOOKUP($A1332,'Tech Litons'!$A:$C,3,0)</f>
        <v>ESS</v>
      </c>
      <c r="J1332" s="918" t="str">
        <f t="shared" si="132"/>
        <v>1712ESS</v>
      </c>
      <c r="K1332" s="919">
        <v>1</v>
      </c>
      <c r="L1332" s="920">
        <f t="shared" si="133"/>
        <v>33867</v>
      </c>
      <c r="M1332" s="920">
        <f t="shared" si="134"/>
        <v>96.114546000000004</v>
      </c>
      <c r="N1332" s="920">
        <f t="shared" si="135"/>
        <v>179.1904761904762</v>
      </c>
      <c r="O1332" s="918" t="str">
        <f t="shared" si="136"/>
        <v>Jan</v>
      </c>
      <c r="P1332" s="921">
        <f t="shared" si="137"/>
        <v>4</v>
      </c>
    </row>
    <row r="1333" spans="1:16" ht="15" hidden="1" customHeight="1">
      <c r="A1333" s="839">
        <v>64413476</v>
      </c>
      <c r="B1333" s="839">
        <v>1712</v>
      </c>
      <c r="C1333" s="906">
        <v>33517</v>
      </c>
      <c r="D1333" s="907">
        <v>46044</v>
      </c>
      <c r="E1333" s="839" t="s">
        <v>567</v>
      </c>
      <c r="F1333" s="839">
        <v>1712</v>
      </c>
      <c r="G1333" s="916">
        <f>VLOOKUP($A1333,'Tech Litons'!$A:$I,8,FALSE)</f>
        <v>1.4399999999999999E-3</v>
      </c>
      <c r="H1333" s="917">
        <f>VLOOKUP($A1333,'Tech Litons'!$A:$I,9,FALSE)</f>
        <v>468</v>
      </c>
      <c r="I1333" s="917" t="str">
        <f>VLOOKUP($A1333,'Tech Litons'!$A:$C,3,0)</f>
        <v>B&amp;J Cups</v>
      </c>
      <c r="J1333" s="918" t="str">
        <f t="shared" si="132"/>
        <v>1712B&amp;J Cups</v>
      </c>
      <c r="K1333" s="919">
        <v>1</v>
      </c>
      <c r="L1333" s="920">
        <f t="shared" si="133"/>
        <v>33517</v>
      </c>
      <c r="M1333" s="920">
        <f t="shared" si="134"/>
        <v>48.264479999999999</v>
      </c>
      <c r="N1333" s="920">
        <f t="shared" si="135"/>
        <v>71.617521367521363</v>
      </c>
      <c r="O1333" s="918" t="str">
        <f t="shared" si="136"/>
        <v>Jan</v>
      </c>
      <c r="P1333" s="921">
        <f t="shared" si="137"/>
        <v>4</v>
      </c>
    </row>
    <row r="1334" spans="1:16" ht="15" hidden="1" customHeight="1">
      <c r="A1334" s="839">
        <v>64326407</v>
      </c>
      <c r="B1334" s="839">
        <v>1713</v>
      </c>
      <c r="C1334" s="906">
        <v>99</v>
      </c>
      <c r="D1334" s="907">
        <v>46042</v>
      </c>
      <c r="E1334" s="839" t="s">
        <v>579</v>
      </c>
      <c r="F1334" s="839">
        <v>1713</v>
      </c>
      <c r="G1334" s="916">
        <f>VLOOKUP($A1334,'Tech Litons'!$A:$I,8,FALSE)</f>
        <v>2.0200000000000001E-3</v>
      </c>
      <c r="H1334" s="917">
        <f>VLOOKUP($A1334,'Tech Litons'!$A:$I,9,FALSE)</f>
        <v>200</v>
      </c>
      <c r="I1334" s="917" t="str">
        <f>VLOOKUP($A1334,'Tech Litons'!$A:$C,3,0)</f>
        <v>Yasso Poppables</v>
      </c>
      <c r="J1334" s="918" t="str">
        <f t="shared" si="132"/>
        <v>1713Yasso Poppables</v>
      </c>
      <c r="K1334" s="919">
        <v>1</v>
      </c>
      <c r="L1334" s="920">
        <f t="shared" si="133"/>
        <v>99</v>
      </c>
      <c r="M1334" s="920">
        <f t="shared" si="134"/>
        <v>0.19998000000000002</v>
      </c>
      <c r="N1334" s="920">
        <f t="shared" si="135"/>
        <v>0.495</v>
      </c>
      <c r="O1334" s="918" t="str">
        <f t="shared" si="136"/>
        <v>Jan</v>
      </c>
      <c r="P1334" s="921">
        <f t="shared" si="137"/>
        <v>4</v>
      </c>
    </row>
    <row r="1335" spans="1:16" ht="15" hidden="1" customHeight="1">
      <c r="A1335" s="839">
        <v>64976848</v>
      </c>
      <c r="B1335" s="839">
        <v>1715</v>
      </c>
      <c r="C1335" s="906">
        <v>15119</v>
      </c>
      <c r="D1335" s="907">
        <v>46024</v>
      </c>
      <c r="E1335" s="839" t="s">
        <v>232</v>
      </c>
      <c r="F1335" s="839">
        <v>1715</v>
      </c>
      <c r="G1335" s="916">
        <f>VLOOKUP($A1335,'Tech Litons'!$A:$I,8,FALSE)</f>
        <v>2.5040000000000001E-3</v>
      </c>
      <c r="H1335" s="917">
        <f>VLOOKUP($A1335,'Tech Litons'!$A:$I,9,FALSE)</f>
        <v>165</v>
      </c>
      <c r="I1335" s="917" t="str">
        <f>VLOOKUP($A1335,'Tech Litons'!$A:$C,3,0)</f>
        <v>Yasso Sticks</v>
      </c>
      <c r="J1335" s="918" t="str">
        <f t="shared" si="132"/>
        <v>1715Yasso Sticks</v>
      </c>
      <c r="K1335" s="919">
        <v>1</v>
      </c>
      <c r="L1335" s="920">
        <f t="shared" si="133"/>
        <v>15119</v>
      </c>
      <c r="M1335" s="920">
        <f t="shared" si="134"/>
        <v>37.857976000000001</v>
      </c>
      <c r="N1335" s="920">
        <f t="shared" si="135"/>
        <v>91.630303030303025</v>
      </c>
      <c r="O1335" s="918" t="str">
        <f t="shared" si="136"/>
        <v>Jan</v>
      </c>
      <c r="P1335" s="921">
        <f t="shared" si="137"/>
        <v>1</v>
      </c>
    </row>
    <row r="1336" spans="1:16" ht="15" hidden="1" customHeight="1">
      <c r="A1336" s="839">
        <v>64958122</v>
      </c>
      <c r="B1336" s="839">
        <v>1715</v>
      </c>
      <c r="C1336" s="906">
        <v>4950</v>
      </c>
      <c r="D1336" s="907">
        <v>46029</v>
      </c>
      <c r="E1336" s="839" t="s">
        <v>236</v>
      </c>
      <c r="F1336" s="839">
        <v>1715</v>
      </c>
      <c r="G1336" s="916">
        <f>VLOOKUP($A1336,'Tech Litons'!$A:$I,8,FALSE)</f>
        <v>3.3119999999999998E-3</v>
      </c>
      <c r="H1336" s="917">
        <f>VLOOKUP($A1336,'Tech Litons'!$A:$I,9,FALSE)</f>
        <v>165</v>
      </c>
      <c r="I1336" s="917" t="str">
        <f>VLOOKUP($A1336,'Tech Litons'!$A:$C,3,0)</f>
        <v>Yasso Sticks</v>
      </c>
      <c r="J1336" s="918" t="str">
        <f t="shared" si="132"/>
        <v>1715Yasso Sticks</v>
      </c>
      <c r="K1336" s="919">
        <v>1</v>
      </c>
      <c r="L1336" s="920">
        <f t="shared" si="133"/>
        <v>4950</v>
      </c>
      <c r="M1336" s="920">
        <f t="shared" si="134"/>
        <v>16.394400000000001</v>
      </c>
      <c r="N1336" s="920">
        <f t="shared" si="135"/>
        <v>30</v>
      </c>
      <c r="O1336" s="918" t="str">
        <f t="shared" si="136"/>
        <v>Jan</v>
      </c>
      <c r="P1336" s="921">
        <f t="shared" si="137"/>
        <v>2</v>
      </c>
    </row>
    <row r="1337" spans="1:16" ht="15" hidden="1" customHeight="1">
      <c r="A1337" s="839">
        <v>64976837</v>
      </c>
      <c r="B1337" s="839">
        <v>1715</v>
      </c>
      <c r="C1337" s="906">
        <v>20968</v>
      </c>
      <c r="D1337" s="907">
        <v>46034</v>
      </c>
      <c r="E1337" s="839" t="s">
        <v>239</v>
      </c>
      <c r="F1337" s="839">
        <v>1715</v>
      </c>
      <c r="G1337" s="916">
        <f>VLOOKUP($A1337,'Tech Litons'!$A:$I,8,FALSE)</f>
        <v>2.5040000000000001E-3</v>
      </c>
      <c r="H1337" s="917">
        <f>VLOOKUP($A1337,'Tech Litons'!$A:$I,9,FALSE)</f>
        <v>165</v>
      </c>
      <c r="I1337" s="917" t="str">
        <f>VLOOKUP($A1337,'Tech Litons'!$A:$C,3,0)</f>
        <v>Yasso Sticks</v>
      </c>
      <c r="J1337" s="918" t="str">
        <f t="shared" si="132"/>
        <v>1715Yasso Sticks</v>
      </c>
      <c r="K1337" s="919">
        <v>1</v>
      </c>
      <c r="L1337" s="920">
        <f t="shared" si="133"/>
        <v>20968</v>
      </c>
      <c r="M1337" s="920">
        <f t="shared" si="134"/>
        <v>52.503872000000001</v>
      </c>
      <c r="N1337" s="920">
        <f t="shared" si="135"/>
        <v>127.07878787878788</v>
      </c>
      <c r="O1337" s="918" t="str">
        <f t="shared" si="136"/>
        <v>Jan</v>
      </c>
      <c r="P1337" s="921">
        <f t="shared" si="137"/>
        <v>3</v>
      </c>
    </row>
    <row r="1338" spans="1:16" ht="15" hidden="1" customHeight="1">
      <c r="A1338" s="839">
        <v>64955559</v>
      </c>
      <c r="B1338" s="839">
        <v>1715</v>
      </c>
      <c r="C1338" s="906">
        <v>38030</v>
      </c>
      <c r="D1338" s="907">
        <v>46034</v>
      </c>
      <c r="E1338" s="839" t="s">
        <v>582</v>
      </c>
      <c r="F1338" s="839">
        <v>1715</v>
      </c>
      <c r="G1338" s="916">
        <f>VLOOKUP($A1338,'Tech Litons'!$A:$I,8,FALSE)</f>
        <v>3.3119999999999998E-3</v>
      </c>
      <c r="H1338" s="917">
        <f>VLOOKUP($A1338,'Tech Litons'!$A:$I,9,FALSE)</f>
        <v>165</v>
      </c>
      <c r="I1338" s="917" t="str">
        <f>VLOOKUP($A1338,'Tech Litons'!$A:$C,3,0)</f>
        <v>Yasso Sticks</v>
      </c>
      <c r="J1338" s="918" t="str">
        <f t="shared" si="132"/>
        <v>1715Yasso Sticks</v>
      </c>
      <c r="K1338" s="919">
        <v>1</v>
      </c>
      <c r="L1338" s="920">
        <f t="shared" si="133"/>
        <v>38030</v>
      </c>
      <c r="M1338" s="920">
        <f t="shared" si="134"/>
        <v>125.95536</v>
      </c>
      <c r="N1338" s="920">
        <f t="shared" si="135"/>
        <v>230.4848484848485</v>
      </c>
      <c r="O1338" s="918" t="str">
        <f t="shared" si="136"/>
        <v>Jan</v>
      </c>
      <c r="P1338" s="921">
        <f t="shared" si="137"/>
        <v>3</v>
      </c>
    </row>
    <row r="1339" spans="1:16" ht="15" hidden="1" customHeight="1">
      <c r="A1339" s="839">
        <v>64976837</v>
      </c>
      <c r="B1339" s="839">
        <v>1715</v>
      </c>
      <c r="C1339" s="906">
        <v>23811</v>
      </c>
      <c r="D1339" s="907">
        <v>46036</v>
      </c>
      <c r="E1339" s="839" t="s">
        <v>239</v>
      </c>
      <c r="F1339" s="839">
        <v>1715</v>
      </c>
      <c r="G1339" s="916">
        <f>VLOOKUP($A1339,'Tech Litons'!$A:$I,8,FALSE)</f>
        <v>2.5040000000000001E-3</v>
      </c>
      <c r="H1339" s="917">
        <f>VLOOKUP($A1339,'Tech Litons'!$A:$I,9,FALSE)</f>
        <v>165</v>
      </c>
      <c r="I1339" s="917" t="str">
        <f>VLOOKUP($A1339,'Tech Litons'!$A:$C,3,0)</f>
        <v>Yasso Sticks</v>
      </c>
      <c r="J1339" s="918" t="str">
        <f t="shared" si="132"/>
        <v>1715Yasso Sticks</v>
      </c>
      <c r="K1339" s="919">
        <v>1</v>
      </c>
      <c r="L1339" s="920">
        <f t="shared" si="133"/>
        <v>23811</v>
      </c>
      <c r="M1339" s="920">
        <f t="shared" si="134"/>
        <v>59.622744000000004</v>
      </c>
      <c r="N1339" s="920">
        <f t="shared" si="135"/>
        <v>144.30909090909091</v>
      </c>
      <c r="O1339" s="918" t="str">
        <f t="shared" si="136"/>
        <v>Jan</v>
      </c>
      <c r="P1339" s="921">
        <f t="shared" si="137"/>
        <v>3</v>
      </c>
    </row>
    <row r="1340" spans="1:16" ht="15" hidden="1" customHeight="1">
      <c r="A1340" s="839">
        <v>64976847</v>
      </c>
      <c r="B1340" s="839">
        <v>1715</v>
      </c>
      <c r="C1340" s="906">
        <v>22860</v>
      </c>
      <c r="D1340" s="907">
        <v>46038</v>
      </c>
      <c r="E1340" s="839" t="s">
        <v>590</v>
      </c>
      <c r="F1340" s="839">
        <v>1715</v>
      </c>
      <c r="G1340" s="916">
        <f>VLOOKUP($A1340,'Tech Litons'!$A:$I,8,FALSE)</f>
        <v>2.5040000000000001E-3</v>
      </c>
      <c r="H1340" s="917">
        <f>VLOOKUP($A1340,'Tech Litons'!$A:$I,9,FALSE)</f>
        <v>165</v>
      </c>
      <c r="I1340" s="917" t="str">
        <f>VLOOKUP($A1340,'Tech Litons'!$A:$C,3,0)</f>
        <v>Yasso Sticks</v>
      </c>
      <c r="J1340" s="918" t="str">
        <f t="shared" si="132"/>
        <v>1715Yasso Sticks</v>
      </c>
      <c r="K1340" s="919">
        <v>1</v>
      </c>
      <c r="L1340" s="920">
        <f t="shared" si="133"/>
        <v>22860</v>
      </c>
      <c r="M1340" s="920">
        <f t="shared" si="134"/>
        <v>57.241440000000004</v>
      </c>
      <c r="N1340" s="920">
        <f t="shared" si="135"/>
        <v>138.54545454545453</v>
      </c>
      <c r="O1340" s="918" t="str">
        <f t="shared" si="136"/>
        <v>Jan</v>
      </c>
      <c r="P1340" s="921">
        <f t="shared" si="137"/>
        <v>3</v>
      </c>
    </row>
    <row r="1341" spans="1:16" ht="15" hidden="1" customHeight="1">
      <c r="A1341" s="839">
        <v>64976848</v>
      </c>
      <c r="B1341" s="839">
        <v>1715</v>
      </c>
      <c r="C1341" s="906">
        <v>24714</v>
      </c>
      <c r="D1341" s="907">
        <v>46042</v>
      </c>
      <c r="E1341" s="839" t="s">
        <v>232</v>
      </c>
      <c r="F1341" s="839">
        <v>1715</v>
      </c>
      <c r="G1341" s="916">
        <f>VLOOKUP($A1341,'Tech Litons'!$A:$I,8,FALSE)</f>
        <v>2.5040000000000001E-3</v>
      </c>
      <c r="H1341" s="917">
        <f>VLOOKUP($A1341,'Tech Litons'!$A:$I,9,FALSE)</f>
        <v>165</v>
      </c>
      <c r="I1341" s="917" t="str">
        <f>VLOOKUP($A1341,'Tech Litons'!$A:$C,3,0)</f>
        <v>Yasso Sticks</v>
      </c>
      <c r="J1341" s="918" t="str">
        <f t="shared" si="132"/>
        <v>1715Yasso Sticks</v>
      </c>
      <c r="K1341" s="919">
        <v>1</v>
      </c>
      <c r="L1341" s="920">
        <f t="shared" si="133"/>
        <v>24714</v>
      </c>
      <c r="M1341" s="920">
        <f t="shared" si="134"/>
        <v>61.883856000000002</v>
      </c>
      <c r="N1341" s="920">
        <f t="shared" si="135"/>
        <v>149.78181818181818</v>
      </c>
      <c r="O1341" s="918" t="str">
        <f t="shared" si="136"/>
        <v>Jan</v>
      </c>
      <c r="P1341" s="921">
        <f t="shared" si="137"/>
        <v>4</v>
      </c>
    </row>
    <row r="1342" spans="1:16" ht="15" hidden="1" customHeight="1">
      <c r="A1342" s="839">
        <v>64958129</v>
      </c>
      <c r="B1342" s="839">
        <v>1715</v>
      </c>
      <c r="C1342" s="906">
        <v>8856</v>
      </c>
      <c r="D1342" s="907">
        <v>46048</v>
      </c>
      <c r="E1342" s="839" t="s">
        <v>589</v>
      </c>
      <c r="F1342" s="839">
        <v>1715</v>
      </c>
      <c r="G1342" s="916">
        <f>VLOOKUP($A1342,'Tech Litons'!$A:$I,8,FALSE)</f>
        <v>3.3119999999999998E-3</v>
      </c>
      <c r="H1342" s="917">
        <f>VLOOKUP($A1342,'Tech Litons'!$A:$I,9,FALSE)</f>
        <v>165</v>
      </c>
      <c r="I1342" s="917" t="str">
        <f>VLOOKUP($A1342,'Tech Litons'!$A:$C,3,0)</f>
        <v>Yasso Sticks</v>
      </c>
      <c r="J1342" s="918" t="str">
        <f t="shared" si="132"/>
        <v>1715Yasso Sticks</v>
      </c>
      <c r="K1342" s="919">
        <v>1</v>
      </c>
      <c r="L1342" s="920">
        <f t="shared" si="133"/>
        <v>8856</v>
      </c>
      <c r="M1342" s="920">
        <f t="shared" si="134"/>
        <v>29.331071999999999</v>
      </c>
      <c r="N1342" s="920">
        <f t="shared" si="135"/>
        <v>53.672727272727272</v>
      </c>
      <c r="O1342" s="918" t="str">
        <f t="shared" si="136"/>
        <v>Jan</v>
      </c>
      <c r="P1342" s="921">
        <f t="shared" si="137"/>
        <v>5</v>
      </c>
    </row>
    <row r="1343" spans="1:16" ht="15" hidden="1" customHeight="1">
      <c r="A1343" s="839">
        <v>64975613</v>
      </c>
      <c r="B1343" s="839">
        <v>1716</v>
      </c>
      <c r="C1343" s="906">
        <v>26481</v>
      </c>
      <c r="D1343" s="907">
        <v>46027</v>
      </c>
      <c r="E1343" s="839" t="s">
        <v>593</v>
      </c>
      <c r="F1343" s="839">
        <v>1716</v>
      </c>
      <c r="G1343" s="916">
        <f>VLOOKUP($A1343,'Tech Litons'!$A:$I,8,FALSE)</f>
        <v>3.3119999999999998E-3</v>
      </c>
      <c r="H1343" s="917">
        <f>VLOOKUP($A1343,'Tech Litons'!$A:$I,9,FALSE)</f>
        <v>240</v>
      </c>
      <c r="I1343" s="917" t="str">
        <f>VLOOKUP($A1343,'Tech Litons'!$A:$C,3,0)</f>
        <v>YS PTS</v>
      </c>
      <c r="J1343" s="918" t="str">
        <f t="shared" si="132"/>
        <v>1716YS PTS</v>
      </c>
      <c r="K1343" s="919">
        <v>1</v>
      </c>
      <c r="L1343" s="920">
        <f t="shared" si="133"/>
        <v>26481</v>
      </c>
      <c r="M1343" s="920">
        <f t="shared" si="134"/>
        <v>87.705072000000001</v>
      </c>
      <c r="N1343" s="920">
        <f t="shared" si="135"/>
        <v>110.33750000000001</v>
      </c>
      <c r="O1343" s="918" t="str">
        <f t="shared" si="136"/>
        <v>Jan</v>
      </c>
      <c r="P1343" s="921">
        <f t="shared" si="137"/>
        <v>2</v>
      </c>
    </row>
    <row r="1344" spans="1:16" ht="15" hidden="1" customHeight="1">
      <c r="A1344" s="839">
        <v>64999073</v>
      </c>
      <c r="B1344" s="839">
        <v>1716</v>
      </c>
      <c r="C1344" s="906">
        <v>25814</v>
      </c>
      <c r="D1344" s="907">
        <v>46029</v>
      </c>
      <c r="E1344" s="839" t="s">
        <v>595</v>
      </c>
      <c r="F1344" s="839">
        <v>1716</v>
      </c>
      <c r="G1344" s="916">
        <f>VLOOKUP($A1344,'Tech Litons'!$A:$I,8,FALSE)</f>
        <v>3.3119999999999998E-3</v>
      </c>
      <c r="H1344" s="917">
        <f>VLOOKUP($A1344,'Tech Litons'!$A:$I,9,FALSE)</f>
        <v>240</v>
      </c>
      <c r="I1344" s="917" t="str">
        <f>VLOOKUP($A1344,'Tech Litons'!$A:$C,3,0)</f>
        <v>YS PTS</v>
      </c>
      <c r="J1344" s="918" t="str">
        <f t="shared" si="132"/>
        <v>1716YS PTS</v>
      </c>
      <c r="K1344" s="919">
        <v>1</v>
      </c>
      <c r="L1344" s="920">
        <f t="shared" si="133"/>
        <v>25814</v>
      </c>
      <c r="M1344" s="920">
        <f t="shared" si="134"/>
        <v>85.495967999999991</v>
      </c>
      <c r="N1344" s="920">
        <f t="shared" si="135"/>
        <v>107.55833333333334</v>
      </c>
      <c r="O1344" s="918" t="str">
        <f t="shared" si="136"/>
        <v>Jan</v>
      </c>
      <c r="P1344" s="921">
        <f t="shared" si="137"/>
        <v>2</v>
      </c>
    </row>
    <row r="1345" spans="1:16" ht="15" hidden="1" customHeight="1">
      <c r="A1345" s="839">
        <v>65218505</v>
      </c>
      <c r="B1345" s="839">
        <v>1716</v>
      </c>
      <c r="C1345" s="906">
        <v>26119</v>
      </c>
      <c r="D1345" s="907">
        <v>46029</v>
      </c>
      <c r="E1345" s="839" t="s">
        <v>586</v>
      </c>
      <c r="F1345" s="839">
        <v>1716</v>
      </c>
      <c r="G1345" s="916">
        <f>VLOOKUP($A1345,'Tech Litons'!$A:$I,8,FALSE)</f>
        <v>3.3119999999999998E-3</v>
      </c>
      <c r="H1345" s="917">
        <f>VLOOKUP($A1345,'Tech Litons'!$A:$I,9,FALSE)</f>
        <v>165</v>
      </c>
      <c r="I1345" s="917" t="str">
        <f>VLOOKUP($A1345,'Tech Litons'!$A:$C,3,0)</f>
        <v>Yasso Sticks</v>
      </c>
      <c r="J1345" s="918" t="str">
        <f t="shared" si="132"/>
        <v>1716Yasso Sticks</v>
      </c>
      <c r="K1345" s="919">
        <v>1</v>
      </c>
      <c r="L1345" s="920">
        <f t="shared" si="133"/>
        <v>26119</v>
      </c>
      <c r="M1345" s="920">
        <f t="shared" si="134"/>
        <v>86.50612799999999</v>
      </c>
      <c r="N1345" s="920">
        <f t="shared" si="135"/>
        <v>158.29696969696971</v>
      </c>
      <c r="O1345" s="918" t="str">
        <f t="shared" si="136"/>
        <v>Jan</v>
      </c>
      <c r="P1345" s="921">
        <f t="shared" si="137"/>
        <v>2</v>
      </c>
    </row>
    <row r="1346" spans="1:16" ht="15" hidden="1" customHeight="1">
      <c r="A1346" s="839">
        <v>64975613</v>
      </c>
      <c r="B1346" s="839">
        <v>1716</v>
      </c>
      <c r="C1346" s="906">
        <v>26749</v>
      </c>
      <c r="D1346" s="907">
        <v>46029</v>
      </c>
      <c r="E1346" s="839" t="s">
        <v>593</v>
      </c>
      <c r="F1346" s="839">
        <v>1716</v>
      </c>
      <c r="G1346" s="916">
        <f>VLOOKUP($A1346,'Tech Litons'!$A:$I,8,FALSE)</f>
        <v>3.3119999999999998E-3</v>
      </c>
      <c r="H1346" s="917">
        <f>VLOOKUP($A1346,'Tech Litons'!$A:$I,9,FALSE)</f>
        <v>240</v>
      </c>
      <c r="I1346" s="917" t="str">
        <f>VLOOKUP($A1346,'Tech Litons'!$A:$C,3,0)</f>
        <v>YS PTS</v>
      </c>
      <c r="J1346" s="918" t="str">
        <f t="shared" si="132"/>
        <v>1716YS PTS</v>
      </c>
      <c r="K1346" s="919">
        <v>1</v>
      </c>
      <c r="L1346" s="920">
        <f t="shared" si="133"/>
        <v>26749</v>
      </c>
      <c r="M1346" s="920">
        <f t="shared" si="134"/>
        <v>88.592687999999995</v>
      </c>
      <c r="N1346" s="920">
        <f t="shared" si="135"/>
        <v>111.45416666666667</v>
      </c>
      <c r="O1346" s="918" t="str">
        <f t="shared" si="136"/>
        <v>Jan</v>
      </c>
      <c r="P1346" s="921">
        <f t="shared" si="137"/>
        <v>2</v>
      </c>
    </row>
    <row r="1347" spans="1:16" ht="15" hidden="1" customHeight="1">
      <c r="A1347" s="839">
        <v>64975613</v>
      </c>
      <c r="B1347" s="839">
        <v>1716</v>
      </c>
      <c r="C1347" s="906">
        <v>12793</v>
      </c>
      <c r="D1347" s="907">
        <v>46030</v>
      </c>
      <c r="E1347" s="839" t="s">
        <v>593</v>
      </c>
      <c r="F1347" s="839">
        <v>1716</v>
      </c>
      <c r="G1347" s="916">
        <f>VLOOKUP($A1347,'Tech Litons'!$A:$I,8,FALSE)</f>
        <v>3.3119999999999998E-3</v>
      </c>
      <c r="H1347" s="917">
        <f>VLOOKUP($A1347,'Tech Litons'!$A:$I,9,FALSE)</f>
        <v>240</v>
      </c>
      <c r="I1347" s="917" t="str">
        <f>VLOOKUP($A1347,'Tech Litons'!$A:$C,3,0)</f>
        <v>YS PTS</v>
      </c>
      <c r="J1347" s="918" t="str">
        <f t="shared" si="132"/>
        <v>1716YS PTS</v>
      </c>
      <c r="K1347" s="919">
        <v>1</v>
      </c>
      <c r="L1347" s="920">
        <f t="shared" si="133"/>
        <v>12793</v>
      </c>
      <c r="M1347" s="920">
        <f t="shared" si="134"/>
        <v>42.370415999999999</v>
      </c>
      <c r="N1347" s="920">
        <f t="shared" si="135"/>
        <v>53.304166666666667</v>
      </c>
      <c r="O1347" s="918" t="str">
        <f t="shared" si="136"/>
        <v>Jan</v>
      </c>
      <c r="P1347" s="921">
        <f t="shared" si="137"/>
        <v>2</v>
      </c>
    </row>
    <row r="1348" spans="1:16" ht="15" hidden="1" customHeight="1">
      <c r="A1348" s="839">
        <v>64999073</v>
      </c>
      <c r="B1348" s="839">
        <v>1716</v>
      </c>
      <c r="C1348" s="906">
        <v>12884</v>
      </c>
      <c r="D1348" s="907">
        <v>46030</v>
      </c>
      <c r="E1348" s="839" t="s">
        <v>595</v>
      </c>
      <c r="F1348" s="839">
        <v>1716</v>
      </c>
      <c r="G1348" s="916">
        <f>VLOOKUP($A1348,'Tech Litons'!$A:$I,8,FALSE)</f>
        <v>3.3119999999999998E-3</v>
      </c>
      <c r="H1348" s="917">
        <f>VLOOKUP($A1348,'Tech Litons'!$A:$I,9,FALSE)</f>
        <v>240</v>
      </c>
      <c r="I1348" s="917" t="str">
        <f>VLOOKUP($A1348,'Tech Litons'!$A:$C,3,0)</f>
        <v>YS PTS</v>
      </c>
      <c r="J1348" s="918" t="str">
        <f t="shared" si="132"/>
        <v>1716YS PTS</v>
      </c>
      <c r="K1348" s="919">
        <v>1</v>
      </c>
      <c r="L1348" s="920">
        <f t="shared" si="133"/>
        <v>12884</v>
      </c>
      <c r="M1348" s="920">
        <f t="shared" si="134"/>
        <v>42.671807999999999</v>
      </c>
      <c r="N1348" s="920">
        <f t="shared" si="135"/>
        <v>53.68333333333333</v>
      </c>
      <c r="O1348" s="918" t="str">
        <f t="shared" si="136"/>
        <v>Jan</v>
      </c>
      <c r="P1348" s="921">
        <f t="shared" si="137"/>
        <v>2</v>
      </c>
    </row>
    <row r="1349" spans="1:16" ht="15" hidden="1" customHeight="1">
      <c r="A1349" s="839">
        <v>64999073</v>
      </c>
      <c r="B1349" s="839">
        <v>1716</v>
      </c>
      <c r="C1349" s="906">
        <v>26326</v>
      </c>
      <c r="D1349" s="907">
        <v>46031</v>
      </c>
      <c r="E1349" s="839" t="s">
        <v>595</v>
      </c>
      <c r="F1349" s="839">
        <v>1716</v>
      </c>
      <c r="G1349" s="916">
        <f>VLOOKUP($A1349,'Tech Litons'!$A:$I,8,FALSE)</f>
        <v>3.3119999999999998E-3</v>
      </c>
      <c r="H1349" s="917">
        <f>VLOOKUP($A1349,'Tech Litons'!$A:$I,9,FALSE)</f>
        <v>240</v>
      </c>
      <c r="I1349" s="917" t="str">
        <f>VLOOKUP($A1349,'Tech Litons'!$A:$C,3,0)</f>
        <v>YS PTS</v>
      </c>
      <c r="J1349" s="918" t="str">
        <f t="shared" si="132"/>
        <v>1716YS PTS</v>
      </c>
      <c r="K1349" s="919">
        <v>1</v>
      </c>
      <c r="L1349" s="920">
        <f t="shared" si="133"/>
        <v>26326</v>
      </c>
      <c r="M1349" s="920">
        <f t="shared" si="134"/>
        <v>87.191711999999995</v>
      </c>
      <c r="N1349" s="920">
        <f t="shared" si="135"/>
        <v>109.69166666666666</v>
      </c>
      <c r="O1349" s="918" t="str">
        <f t="shared" si="136"/>
        <v>Jan</v>
      </c>
      <c r="P1349" s="921">
        <f t="shared" si="137"/>
        <v>2</v>
      </c>
    </row>
    <row r="1350" spans="1:16" ht="15" hidden="1" customHeight="1">
      <c r="A1350" s="839">
        <v>64975616</v>
      </c>
      <c r="B1350" s="839">
        <v>1716</v>
      </c>
      <c r="C1350" s="906">
        <v>26399</v>
      </c>
      <c r="D1350" s="907">
        <v>46031</v>
      </c>
      <c r="E1350" s="839" t="s">
        <v>385</v>
      </c>
      <c r="F1350" s="839">
        <v>1716</v>
      </c>
      <c r="G1350" s="916">
        <f>VLOOKUP($A1350,'Tech Litons'!$A:$I,8,FALSE)</f>
        <v>3.3119999999999998E-3</v>
      </c>
      <c r="H1350" s="917">
        <f>VLOOKUP($A1350,'Tech Litons'!$A:$I,9,FALSE)</f>
        <v>240</v>
      </c>
      <c r="I1350" s="917" t="str">
        <f>VLOOKUP($A1350,'Tech Litons'!$A:$C,3,0)</f>
        <v>YS PTS</v>
      </c>
      <c r="J1350" s="918" t="str">
        <f t="shared" si="132"/>
        <v>1716YS PTS</v>
      </c>
      <c r="K1350" s="919">
        <v>1</v>
      </c>
      <c r="L1350" s="920">
        <f t="shared" si="133"/>
        <v>26399</v>
      </c>
      <c r="M1350" s="920">
        <f t="shared" si="134"/>
        <v>87.433487999999997</v>
      </c>
      <c r="N1350" s="920">
        <f t="shared" si="135"/>
        <v>109.99583333333334</v>
      </c>
      <c r="O1350" s="918" t="str">
        <f t="shared" si="136"/>
        <v>Jan</v>
      </c>
      <c r="P1350" s="921">
        <f t="shared" si="137"/>
        <v>2</v>
      </c>
    </row>
    <row r="1351" spans="1:16" ht="15" hidden="1" customHeight="1">
      <c r="A1351" s="839">
        <v>64975614</v>
      </c>
      <c r="B1351" s="839">
        <v>1716</v>
      </c>
      <c r="C1351" s="906">
        <v>25815</v>
      </c>
      <c r="D1351" s="907">
        <v>46035</v>
      </c>
      <c r="E1351" s="839" t="s">
        <v>594</v>
      </c>
      <c r="F1351" s="839">
        <v>1716</v>
      </c>
      <c r="G1351" s="916">
        <f>VLOOKUP($A1351,'Tech Litons'!$A:$I,8,FALSE)</f>
        <v>3.3119999999999998E-3</v>
      </c>
      <c r="H1351" s="917">
        <f>VLOOKUP($A1351,'Tech Litons'!$A:$I,9,FALSE)</f>
        <v>240</v>
      </c>
      <c r="I1351" s="917" t="str">
        <f>VLOOKUP($A1351,'Tech Litons'!$A:$C,3,0)</f>
        <v>YS PTS</v>
      </c>
      <c r="J1351" s="918" t="str">
        <f t="shared" si="132"/>
        <v>1716YS PTS</v>
      </c>
      <c r="K1351" s="919">
        <v>1</v>
      </c>
      <c r="L1351" s="920">
        <f t="shared" si="133"/>
        <v>25815</v>
      </c>
      <c r="M1351" s="920">
        <f t="shared" si="134"/>
        <v>85.499279999999999</v>
      </c>
      <c r="N1351" s="920">
        <f t="shared" si="135"/>
        <v>107.5625</v>
      </c>
      <c r="O1351" s="918" t="str">
        <f t="shared" si="136"/>
        <v>Jan</v>
      </c>
      <c r="P1351" s="921">
        <f t="shared" si="137"/>
        <v>3</v>
      </c>
    </row>
    <row r="1352" spans="1:16" ht="15" hidden="1" customHeight="1">
      <c r="A1352" s="839">
        <v>64999042</v>
      </c>
      <c r="B1352" s="839">
        <v>1716</v>
      </c>
      <c r="C1352" s="906">
        <v>26420</v>
      </c>
      <c r="D1352" s="907">
        <v>46035</v>
      </c>
      <c r="E1352" s="839" t="s">
        <v>489</v>
      </c>
      <c r="F1352" s="839">
        <v>1716</v>
      </c>
      <c r="G1352" s="916">
        <f>VLOOKUP($A1352,'Tech Litons'!$A:$I,8,FALSE)</f>
        <v>3.3119999999999998E-3</v>
      </c>
      <c r="H1352" s="917">
        <f>VLOOKUP($A1352,'Tech Litons'!$A:$I,9,FALSE)</f>
        <v>240</v>
      </c>
      <c r="I1352" s="917" t="str">
        <f>VLOOKUP($A1352,'Tech Litons'!$A:$C,3,0)</f>
        <v>YS PTS</v>
      </c>
      <c r="J1352" s="918" t="str">
        <f t="shared" si="132"/>
        <v>1716YS PTS</v>
      </c>
      <c r="K1352" s="919">
        <v>1</v>
      </c>
      <c r="L1352" s="920">
        <f t="shared" si="133"/>
        <v>26420</v>
      </c>
      <c r="M1352" s="920">
        <f t="shared" si="134"/>
        <v>87.503039999999999</v>
      </c>
      <c r="N1352" s="920">
        <f t="shared" si="135"/>
        <v>110.08333333333333</v>
      </c>
      <c r="O1352" s="918" t="str">
        <f t="shared" si="136"/>
        <v>Jan</v>
      </c>
      <c r="P1352" s="921">
        <f t="shared" si="137"/>
        <v>3</v>
      </c>
    </row>
    <row r="1353" spans="1:16" ht="15" hidden="1" customHeight="1">
      <c r="A1353" s="839">
        <v>64976851</v>
      </c>
      <c r="B1353" s="839">
        <v>1717</v>
      </c>
      <c r="C1353" s="906">
        <v>15804</v>
      </c>
      <c r="D1353" s="907">
        <v>46024</v>
      </c>
      <c r="E1353" s="839" t="s">
        <v>592</v>
      </c>
      <c r="F1353" s="839">
        <v>1717</v>
      </c>
      <c r="G1353" s="916">
        <f>VLOOKUP($A1353,'Tech Litons'!$A:$I,8,FALSE)</f>
        <v>2.5040000000000001E-3</v>
      </c>
      <c r="H1353" s="917">
        <f>VLOOKUP($A1353,'Tech Litons'!$A:$I,9,FALSE)</f>
        <v>165</v>
      </c>
      <c r="I1353" s="917" t="str">
        <f>VLOOKUP($A1353,'Tech Litons'!$A:$C,3,0)</f>
        <v>Yasso Sticks</v>
      </c>
      <c r="J1353" s="918" t="str">
        <f t="shared" si="132"/>
        <v>1717Yasso Sticks</v>
      </c>
      <c r="K1353" s="919">
        <v>1</v>
      </c>
      <c r="L1353" s="920">
        <f t="shared" si="133"/>
        <v>15804</v>
      </c>
      <c r="M1353" s="920">
        <f t="shared" si="134"/>
        <v>39.573216000000002</v>
      </c>
      <c r="N1353" s="920">
        <f t="shared" si="135"/>
        <v>95.781818181818181</v>
      </c>
      <c r="O1353" s="918" t="str">
        <f t="shared" si="136"/>
        <v>Jan</v>
      </c>
      <c r="P1353" s="921">
        <f t="shared" si="137"/>
        <v>1</v>
      </c>
    </row>
    <row r="1354" spans="1:16" ht="15" hidden="1" customHeight="1">
      <c r="A1354" s="839">
        <v>64967299</v>
      </c>
      <c r="B1354" s="839">
        <v>1717</v>
      </c>
      <c r="C1354" s="906">
        <v>16500</v>
      </c>
      <c r="D1354" s="907">
        <v>46024</v>
      </c>
      <c r="E1354" s="839" t="s">
        <v>601</v>
      </c>
      <c r="F1354" s="839">
        <v>1717</v>
      </c>
      <c r="G1354" s="916">
        <f>VLOOKUP($A1354,'Tech Litons'!$A:$I,8,FALSE)</f>
        <v>2.8439999999999997E-3</v>
      </c>
      <c r="H1354" s="917">
        <f>VLOOKUP($A1354,'Tech Litons'!$A:$I,9,FALSE)</f>
        <v>240</v>
      </c>
      <c r="I1354" s="917" t="str">
        <f>VLOOKUP($A1354,'Tech Litons'!$A:$C,3,0)</f>
        <v>Other</v>
      </c>
      <c r="J1354" s="918" t="str">
        <f t="shared" si="132"/>
        <v>1717Other</v>
      </c>
      <c r="K1354" s="919">
        <v>1</v>
      </c>
      <c r="L1354" s="920">
        <f t="shared" si="133"/>
        <v>16500</v>
      </c>
      <c r="M1354" s="920">
        <f t="shared" si="134"/>
        <v>46.925999999999995</v>
      </c>
      <c r="N1354" s="920">
        <f t="shared" si="135"/>
        <v>68.75</v>
      </c>
      <c r="O1354" s="918" t="str">
        <f t="shared" si="136"/>
        <v>Jan</v>
      </c>
      <c r="P1354" s="921">
        <f t="shared" si="137"/>
        <v>1</v>
      </c>
    </row>
    <row r="1355" spans="1:16" ht="15" hidden="1" customHeight="1">
      <c r="A1355" s="839">
        <v>64976847</v>
      </c>
      <c r="B1355" s="839">
        <v>1717</v>
      </c>
      <c r="C1355" s="906">
        <v>40374</v>
      </c>
      <c r="D1355" s="907">
        <v>46028</v>
      </c>
      <c r="E1355" s="839" t="s">
        <v>590</v>
      </c>
      <c r="F1355" s="839">
        <v>1717</v>
      </c>
      <c r="G1355" s="916">
        <f>VLOOKUP($A1355,'Tech Litons'!$A:$I,8,FALSE)</f>
        <v>2.5040000000000001E-3</v>
      </c>
      <c r="H1355" s="917">
        <f>VLOOKUP($A1355,'Tech Litons'!$A:$I,9,FALSE)</f>
        <v>165</v>
      </c>
      <c r="I1355" s="917" t="str">
        <f>VLOOKUP($A1355,'Tech Litons'!$A:$C,3,0)</f>
        <v>Yasso Sticks</v>
      </c>
      <c r="J1355" s="918" t="str">
        <f t="shared" si="132"/>
        <v>1717Yasso Sticks</v>
      </c>
      <c r="K1355" s="919">
        <v>1</v>
      </c>
      <c r="L1355" s="920">
        <f t="shared" si="133"/>
        <v>40374</v>
      </c>
      <c r="M1355" s="920">
        <f t="shared" si="134"/>
        <v>101.096496</v>
      </c>
      <c r="N1355" s="920">
        <f t="shared" si="135"/>
        <v>244.69090909090909</v>
      </c>
      <c r="O1355" s="918" t="str">
        <f t="shared" si="136"/>
        <v>Jan</v>
      </c>
      <c r="P1355" s="921">
        <f t="shared" si="137"/>
        <v>2</v>
      </c>
    </row>
    <row r="1356" spans="1:16" ht="15" hidden="1" customHeight="1">
      <c r="A1356" s="839">
        <v>64958122</v>
      </c>
      <c r="B1356" s="839">
        <v>1717</v>
      </c>
      <c r="C1356" s="906">
        <v>17432</v>
      </c>
      <c r="D1356" s="907">
        <v>46043</v>
      </c>
      <c r="E1356" s="839" t="s">
        <v>236</v>
      </c>
      <c r="F1356" s="839">
        <v>1717</v>
      </c>
      <c r="G1356" s="916">
        <f>VLOOKUP($A1356,'Tech Litons'!$A:$I,8,FALSE)</f>
        <v>3.3119999999999998E-3</v>
      </c>
      <c r="H1356" s="917">
        <f>VLOOKUP($A1356,'Tech Litons'!$A:$I,9,FALSE)</f>
        <v>165</v>
      </c>
      <c r="I1356" s="917" t="str">
        <f>VLOOKUP($A1356,'Tech Litons'!$A:$C,3,0)</f>
        <v>Yasso Sticks</v>
      </c>
      <c r="J1356" s="918" t="str">
        <f t="shared" si="132"/>
        <v>1717Yasso Sticks</v>
      </c>
      <c r="K1356" s="919">
        <v>1</v>
      </c>
      <c r="L1356" s="920">
        <f t="shared" si="133"/>
        <v>17432</v>
      </c>
      <c r="M1356" s="920">
        <f t="shared" si="134"/>
        <v>57.734783999999998</v>
      </c>
      <c r="N1356" s="920">
        <f t="shared" si="135"/>
        <v>105.64848484848486</v>
      </c>
      <c r="O1356" s="918" t="str">
        <f t="shared" si="136"/>
        <v>Jan</v>
      </c>
      <c r="P1356" s="921">
        <f t="shared" si="137"/>
        <v>4</v>
      </c>
    </row>
    <row r="1357" spans="1:16" ht="15" hidden="1" customHeight="1">
      <c r="A1357" s="839">
        <v>64967299</v>
      </c>
      <c r="B1357" s="839">
        <v>1717</v>
      </c>
      <c r="C1357" s="906">
        <v>22081</v>
      </c>
      <c r="D1357" s="907">
        <v>46043</v>
      </c>
      <c r="E1357" s="839" t="s">
        <v>601</v>
      </c>
      <c r="F1357" s="839">
        <v>1717</v>
      </c>
      <c r="G1357" s="916">
        <f>VLOOKUP($A1357,'Tech Litons'!$A:$I,8,FALSE)</f>
        <v>2.8439999999999997E-3</v>
      </c>
      <c r="H1357" s="917">
        <f>VLOOKUP($A1357,'Tech Litons'!$A:$I,9,FALSE)</f>
        <v>240</v>
      </c>
      <c r="I1357" s="917" t="str">
        <f>VLOOKUP($A1357,'Tech Litons'!$A:$C,3,0)</f>
        <v>Other</v>
      </c>
      <c r="J1357" s="918" t="str">
        <f t="shared" si="132"/>
        <v>1717Other</v>
      </c>
      <c r="K1357" s="919">
        <v>1</v>
      </c>
      <c r="L1357" s="920">
        <f t="shared" si="133"/>
        <v>22081</v>
      </c>
      <c r="M1357" s="920">
        <f t="shared" si="134"/>
        <v>62.798363999999992</v>
      </c>
      <c r="N1357" s="920">
        <f t="shared" si="135"/>
        <v>92.004166666666663</v>
      </c>
      <c r="O1357" s="918" t="str">
        <f t="shared" si="136"/>
        <v>Jan</v>
      </c>
      <c r="P1357" s="921">
        <f t="shared" si="137"/>
        <v>4</v>
      </c>
    </row>
    <row r="1358" spans="1:16" ht="15" hidden="1" customHeight="1">
      <c r="A1358" s="839">
        <v>64967300</v>
      </c>
      <c r="B1358" s="839">
        <v>1717</v>
      </c>
      <c r="C1358" s="906">
        <v>240</v>
      </c>
      <c r="D1358" s="907">
        <v>46044</v>
      </c>
      <c r="E1358" s="839" t="s">
        <v>602</v>
      </c>
      <c r="F1358" s="839">
        <v>1717</v>
      </c>
      <c r="G1358" s="916">
        <f>VLOOKUP($A1358,'Tech Litons'!$A:$I,8,FALSE)</f>
        <v>2.8319999999999999E-3</v>
      </c>
      <c r="H1358" s="917">
        <f>VLOOKUP($A1358,'Tech Litons'!$A:$I,9,FALSE)</f>
        <v>240</v>
      </c>
      <c r="I1358" s="917" t="str">
        <f>VLOOKUP($A1358,'Tech Litons'!$A:$C,3,0)</f>
        <v>Other</v>
      </c>
      <c r="J1358" s="918" t="str">
        <f t="shared" si="132"/>
        <v>1717Other</v>
      </c>
      <c r="K1358" s="919">
        <v>1</v>
      </c>
      <c r="L1358" s="920">
        <f t="shared" si="133"/>
        <v>240</v>
      </c>
      <c r="M1358" s="920">
        <f t="shared" si="134"/>
        <v>0.67967999999999995</v>
      </c>
      <c r="N1358" s="920">
        <f t="shared" si="135"/>
        <v>1</v>
      </c>
      <c r="O1358" s="918" t="str">
        <f t="shared" si="136"/>
        <v>Jan</v>
      </c>
      <c r="P1358" s="921">
        <f t="shared" si="137"/>
        <v>4</v>
      </c>
    </row>
    <row r="1359" spans="1:16" ht="15" hidden="1" customHeight="1">
      <c r="A1359" s="839">
        <v>65489677</v>
      </c>
      <c r="B1359" s="839">
        <v>1717</v>
      </c>
      <c r="C1359" s="906">
        <v>7870</v>
      </c>
      <c r="D1359" s="907">
        <v>46046</v>
      </c>
      <c r="E1359" s="839" t="s">
        <v>1188</v>
      </c>
      <c r="F1359" s="839">
        <v>1717</v>
      </c>
      <c r="G1359" s="916">
        <f>VLOOKUP($A1359,'Tech Litons'!$A:$I,8,FALSE)</f>
        <v>2.8319999999999999E-3</v>
      </c>
      <c r="H1359" s="917">
        <f>VLOOKUP($A1359,'Tech Litons'!$A:$I,9,FALSE)</f>
        <v>221</v>
      </c>
      <c r="I1359" s="917" t="str">
        <f>VLOOKUP($A1359,'Tech Litons'!$A:$C,3,0)</f>
        <v>Other</v>
      </c>
      <c r="J1359" s="918" t="str">
        <f t="shared" si="132"/>
        <v>1717Other</v>
      </c>
      <c r="K1359" s="919">
        <v>1</v>
      </c>
      <c r="L1359" s="920">
        <f t="shared" si="133"/>
        <v>7870</v>
      </c>
      <c r="M1359" s="920">
        <f t="shared" si="134"/>
        <v>22.287839999999999</v>
      </c>
      <c r="N1359" s="920">
        <f t="shared" si="135"/>
        <v>35.610859728506789</v>
      </c>
      <c r="O1359" s="918" t="str">
        <f t="shared" si="136"/>
        <v>Jan</v>
      </c>
      <c r="P1359" s="921">
        <f t="shared" si="137"/>
        <v>4</v>
      </c>
    </row>
    <row r="1360" spans="1:16" ht="15" hidden="1" customHeight="1">
      <c r="A1360" s="839">
        <v>64958127</v>
      </c>
      <c r="B1360" s="839">
        <v>1717</v>
      </c>
      <c r="C1360" s="906">
        <v>9959</v>
      </c>
      <c r="D1360" s="907">
        <v>46048</v>
      </c>
      <c r="E1360" s="839" t="s">
        <v>237</v>
      </c>
      <c r="F1360" s="839">
        <v>1717</v>
      </c>
      <c r="G1360" s="916">
        <f>VLOOKUP($A1360,'Tech Litons'!$A:$I,8,FALSE)</f>
        <v>3.3119999999999998E-3</v>
      </c>
      <c r="H1360" s="917">
        <f>VLOOKUP($A1360,'Tech Litons'!$A:$I,9,FALSE)</f>
        <v>165</v>
      </c>
      <c r="I1360" s="917" t="str">
        <f>VLOOKUP($A1360,'Tech Litons'!$A:$C,3,0)</f>
        <v>Yasso Sticks</v>
      </c>
      <c r="J1360" s="918" t="str">
        <f t="shared" si="132"/>
        <v>1717Yasso Sticks</v>
      </c>
      <c r="K1360" s="919">
        <v>1</v>
      </c>
      <c r="L1360" s="920">
        <f t="shared" si="133"/>
        <v>9959</v>
      </c>
      <c r="M1360" s="920">
        <f t="shared" si="134"/>
        <v>32.984207999999995</v>
      </c>
      <c r="N1360" s="920">
        <f t="shared" si="135"/>
        <v>60.357575757575759</v>
      </c>
      <c r="O1360" s="918" t="str">
        <f t="shared" si="136"/>
        <v>Jan</v>
      </c>
      <c r="P1360" s="921">
        <f t="shared" si="137"/>
        <v>5</v>
      </c>
    </row>
    <row r="1361" spans="1:16" ht="15" hidden="1" customHeight="1">
      <c r="A1361" s="839">
        <v>65089667</v>
      </c>
      <c r="B1361" s="839">
        <v>3985</v>
      </c>
      <c r="C1361" s="906">
        <v>9986</v>
      </c>
      <c r="D1361" s="907">
        <v>46028</v>
      </c>
      <c r="E1361" s="839" t="s">
        <v>606</v>
      </c>
      <c r="F1361" s="839">
        <v>3985</v>
      </c>
      <c r="G1361" s="916">
        <f>VLOOKUP($A1361,'Tech Litons'!$A:$I,8,FALSE)</f>
        <v>8.8999999999999995E-5</v>
      </c>
      <c r="H1361" s="917">
        <f>VLOOKUP($A1361,'Tech Litons'!$A:$I,9,FALSE)</f>
        <v>150</v>
      </c>
      <c r="I1361" s="917" t="str">
        <f>VLOOKUP($A1361,'Tech Litons'!$A:$C,3,0)</f>
        <v>Other</v>
      </c>
      <c r="J1361" s="918" t="str">
        <f t="shared" si="132"/>
        <v>3985Other</v>
      </c>
      <c r="K1361" s="919">
        <v>1</v>
      </c>
      <c r="L1361" s="920">
        <f t="shared" si="133"/>
        <v>9986</v>
      </c>
      <c r="M1361" s="920">
        <f t="shared" si="134"/>
        <v>0.88875399999999993</v>
      </c>
      <c r="N1361" s="920">
        <f t="shared" si="135"/>
        <v>66.573333333333338</v>
      </c>
      <c r="O1361" s="918" t="str">
        <f t="shared" si="136"/>
        <v>Jan</v>
      </c>
      <c r="P1361" s="921">
        <f t="shared" si="137"/>
        <v>2</v>
      </c>
    </row>
    <row r="1362" spans="1:16" ht="15" hidden="1" customHeight="1">
      <c r="A1362" s="839">
        <v>64854330</v>
      </c>
      <c r="B1362" s="839">
        <v>3985</v>
      </c>
      <c r="C1362" s="906">
        <v>989</v>
      </c>
      <c r="D1362" s="907">
        <v>46030</v>
      </c>
      <c r="E1362" s="839" t="s">
        <v>605</v>
      </c>
      <c r="F1362" s="839">
        <v>3985</v>
      </c>
      <c r="G1362" s="916">
        <f>VLOOKUP($A1362,'Tech Litons'!$A:$I,8,FALSE)</f>
        <v>6.4800000000000005E-3</v>
      </c>
      <c r="H1362" s="917">
        <f>VLOOKUP($A1362,'Tech Litons'!$A:$I,9,FALSE)</f>
        <v>30</v>
      </c>
      <c r="I1362" s="917" t="str">
        <f>VLOOKUP($A1362,'Tech Litons'!$A:$C,3,0)</f>
        <v>Repack MG Sticks</v>
      </c>
      <c r="J1362" s="918" t="str">
        <f t="shared" si="132"/>
        <v>3985Repack MG Sticks</v>
      </c>
      <c r="K1362" s="919">
        <v>1</v>
      </c>
      <c r="L1362" s="920">
        <f t="shared" si="133"/>
        <v>989</v>
      </c>
      <c r="M1362" s="920">
        <f t="shared" si="134"/>
        <v>6.4087200000000006</v>
      </c>
      <c r="N1362" s="920">
        <f t="shared" si="135"/>
        <v>32.966666666666669</v>
      </c>
      <c r="O1362" s="918" t="str">
        <f t="shared" si="136"/>
        <v>Jan</v>
      </c>
      <c r="P1362" s="921">
        <f t="shared" si="137"/>
        <v>2</v>
      </c>
    </row>
    <row r="1363" spans="1:16" ht="15" hidden="1" customHeight="1">
      <c r="A1363" s="839">
        <v>64854330</v>
      </c>
      <c r="B1363" s="839">
        <v>3985</v>
      </c>
      <c r="C1363" s="906">
        <v>999</v>
      </c>
      <c r="D1363" s="907">
        <v>46030</v>
      </c>
      <c r="E1363" s="839" t="s">
        <v>605</v>
      </c>
      <c r="F1363" s="839">
        <v>3985</v>
      </c>
      <c r="G1363" s="916">
        <f>VLOOKUP($A1363,'Tech Litons'!$A:$I,8,FALSE)</f>
        <v>6.4800000000000005E-3</v>
      </c>
      <c r="H1363" s="917">
        <f>VLOOKUP($A1363,'Tech Litons'!$A:$I,9,FALSE)</f>
        <v>30</v>
      </c>
      <c r="I1363" s="917" t="str">
        <f>VLOOKUP($A1363,'Tech Litons'!$A:$C,3,0)</f>
        <v>Repack MG Sticks</v>
      </c>
      <c r="J1363" s="918" t="str">
        <f t="shared" si="132"/>
        <v>3985Repack MG Sticks</v>
      </c>
      <c r="K1363" s="919">
        <v>1</v>
      </c>
      <c r="L1363" s="920">
        <f t="shared" si="133"/>
        <v>999</v>
      </c>
      <c r="M1363" s="920">
        <f t="shared" si="134"/>
        <v>6.4735200000000006</v>
      </c>
      <c r="N1363" s="920">
        <f t="shared" si="135"/>
        <v>33.299999999999997</v>
      </c>
      <c r="O1363" s="918" t="str">
        <f t="shared" si="136"/>
        <v>Jan</v>
      </c>
      <c r="P1363" s="921">
        <f t="shared" si="137"/>
        <v>2</v>
      </c>
    </row>
    <row r="1364" spans="1:16" ht="15" hidden="1" customHeight="1">
      <c r="A1364" s="839">
        <v>64854330</v>
      </c>
      <c r="B1364" s="839">
        <v>3985</v>
      </c>
      <c r="C1364" s="906">
        <v>994</v>
      </c>
      <c r="D1364" s="907">
        <v>46038</v>
      </c>
      <c r="E1364" s="839" t="s">
        <v>605</v>
      </c>
      <c r="F1364" s="839">
        <v>3985</v>
      </c>
      <c r="G1364" s="916">
        <f>VLOOKUP($A1364,'Tech Litons'!$A:$I,8,FALSE)</f>
        <v>6.4800000000000005E-3</v>
      </c>
      <c r="H1364" s="917">
        <f>VLOOKUP($A1364,'Tech Litons'!$A:$I,9,FALSE)</f>
        <v>30</v>
      </c>
      <c r="I1364" s="917" t="str">
        <f>VLOOKUP($A1364,'Tech Litons'!$A:$C,3,0)</f>
        <v>Repack MG Sticks</v>
      </c>
      <c r="J1364" s="918" t="str">
        <f t="shared" ref="J1364:J1422" si="138">B1364&amp;I1364</f>
        <v>3985Repack MG Sticks</v>
      </c>
      <c r="K1364" s="919">
        <v>1</v>
      </c>
      <c r="L1364" s="920">
        <f t="shared" ref="L1364:L1422" si="139">C1364*$K1364</f>
        <v>994</v>
      </c>
      <c r="M1364" s="920">
        <f t="shared" ref="M1364:M1422" si="140">L1364*G1364</f>
        <v>6.4411200000000006</v>
      </c>
      <c r="N1364" s="920">
        <f t="shared" ref="N1364:N1422" si="141">L1364/H1364</f>
        <v>33.133333333333333</v>
      </c>
      <c r="O1364" s="918" t="str">
        <f t="shared" ref="O1364:O1422" si="142">TEXT(D1364,"MMM")</f>
        <v>Jan</v>
      </c>
      <c r="P1364" s="921">
        <f t="shared" ref="P1364:P1422" si="143">WEEKNUM(D1364)</f>
        <v>3</v>
      </c>
    </row>
    <row r="1365" spans="1:16" ht="15" hidden="1" customHeight="1">
      <c r="A1365" s="839">
        <v>64854330</v>
      </c>
      <c r="B1365" s="839">
        <v>3985</v>
      </c>
      <c r="C1365" s="906">
        <v>995</v>
      </c>
      <c r="D1365" s="907">
        <v>46038</v>
      </c>
      <c r="E1365" s="839" t="s">
        <v>605</v>
      </c>
      <c r="F1365" s="839">
        <v>3985</v>
      </c>
      <c r="G1365" s="916">
        <f>VLOOKUP($A1365,'Tech Litons'!$A:$I,8,FALSE)</f>
        <v>6.4800000000000005E-3</v>
      </c>
      <c r="H1365" s="917">
        <f>VLOOKUP($A1365,'Tech Litons'!$A:$I,9,FALSE)</f>
        <v>30</v>
      </c>
      <c r="I1365" s="917" t="str">
        <f>VLOOKUP($A1365,'Tech Litons'!$A:$C,3,0)</f>
        <v>Repack MG Sticks</v>
      </c>
      <c r="J1365" s="918" t="str">
        <f t="shared" si="138"/>
        <v>3985Repack MG Sticks</v>
      </c>
      <c r="K1365" s="919">
        <v>1</v>
      </c>
      <c r="L1365" s="920">
        <f t="shared" si="139"/>
        <v>995</v>
      </c>
      <c r="M1365" s="920">
        <f t="shared" si="140"/>
        <v>6.4476000000000004</v>
      </c>
      <c r="N1365" s="920">
        <f t="shared" si="141"/>
        <v>33.166666666666664</v>
      </c>
      <c r="O1365" s="918" t="str">
        <f t="shared" si="142"/>
        <v>Jan</v>
      </c>
      <c r="P1365" s="921">
        <f t="shared" si="143"/>
        <v>3</v>
      </c>
    </row>
    <row r="1366" spans="1:16" ht="15" hidden="1" customHeight="1">
      <c r="A1366" s="839">
        <v>64854330</v>
      </c>
      <c r="B1366" s="839">
        <v>3985</v>
      </c>
      <c r="C1366" s="906">
        <v>3851</v>
      </c>
      <c r="D1366" s="907">
        <v>46038</v>
      </c>
      <c r="E1366" s="839" t="s">
        <v>605</v>
      </c>
      <c r="F1366" s="839">
        <v>3985</v>
      </c>
      <c r="G1366" s="916">
        <f>VLOOKUP($A1366,'Tech Litons'!$A:$I,8,FALSE)</f>
        <v>6.4800000000000005E-3</v>
      </c>
      <c r="H1366" s="917">
        <f>VLOOKUP($A1366,'Tech Litons'!$A:$I,9,FALSE)</f>
        <v>30</v>
      </c>
      <c r="I1366" s="917" t="str">
        <f>VLOOKUP($A1366,'Tech Litons'!$A:$C,3,0)</f>
        <v>Repack MG Sticks</v>
      </c>
      <c r="J1366" s="918" t="str">
        <f t="shared" si="138"/>
        <v>3985Repack MG Sticks</v>
      </c>
      <c r="K1366" s="919">
        <v>1</v>
      </c>
      <c r="L1366" s="920">
        <f t="shared" si="139"/>
        <v>3851</v>
      </c>
      <c r="M1366" s="920">
        <f t="shared" si="140"/>
        <v>24.95448</v>
      </c>
      <c r="N1366" s="920">
        <f t="shared" si="141"/>
        <v>128.36666666666667</v>
      </c>
      <c r="O1366" s="918" t="str">
        <f t="shared" si="142"/>
        <v>Jan</v>
      </c>
      <c r="P1366" s="921">
        <f t="shared" si="143"/>
        <v>3</v>
      </c>
    </row>
    <row r="1367" spans="1:16" ht="15" hidden="1" customHeight="1">
      <c r="A1367" s="839">
        <v>65089667</v>
      </c>
      <c r="B1367" s="839">
        <v>3985</v>
      </c>
      <c r="C1367" s="906">
        <v>9990</v>
      </c>
      <c r="D1367" s="907">
        <v>46042</v>
      </c>
      <c r="E1367" s="839" t="s">
        <v>606</v>
      </c>
      <c r="F1367" s="839">
        <v>3985</v>
      </c>
      <c r="G1367" s="916">
        <f>VLOOKUP($A1367,'Tech Litons'!$A:$I,8,FALSE)</f>
        <v>8.8999999999999995E-5</v>
      </c>
      <c r="H1367" s="917">
        <f>VLOOKUP($A1367,'Tech Litons'!$A:$I,9,FALSE)</f>
        <v>150</v>
      </c>
      <c r="I1367" s="917" t="str">
        <f>VLOOKUP($A1367,'Tech Litons'!$A:$C,3,0)</f>
        <v>Other</v>
      </c>
      <c r="J1367" s="918" t="str">
        <f t="shared" si="138"/>
        <v>3985Other</v>
      </c>
      <c r="K1367" s="919">
        <v>1</v>
      </c>
      <c r="L1367" s="920">
        <f t="shared" si="139"/>
        <v>9990</v>
      </c>
      <c r="M1367" s="920">
        <f t="shared" si="140"/>
        <v>0.88910999999999996</v>
      </c>
      <c r="N1367" s="920">
        <f t="shared" si="141"/>
        <v>66.599999999999994</v>
      </c>
      <c r="O1367" s="918" t="str">
        <f t="shared" si="142"/>
        <v>Jan</v>
      </c>
      <c r="P1367" s="921">
        <f t="shared" si="143"/>
        <v>4</v>
      </c>
    </row>
    <row r="1368" spans="1:16" ht="15" hidden="1" customHeight="1">
      <c r="A1368" s="839">
        <v>64327161</v>
      </c>
      <c r="B1368" s="839">
        <v>3985</v>
      </c>
      <c r="C1368" s="906">
        <v>17892</v>
      </c>
      <c r="D1368" s="907">
        <v>46042</v>
      </c>
      <c r="E1368" s="839" t="s">
        <v>563</v>
      </c>
      <c r="F1368" s="839">
        <v>3985</v>
      </c>
      <c r="G1368" s="916">
        <f>VLOOKUP($A1368,'Tech Litons'!$A:$I,8,FALSE)</f>
        <v>1.56E-3</v>
      </c>
      <c r="H1368" s="917">
        <f>VLOOKUP($A1368,'Tech Litons'!$A:$I,9,FALSE)</f>
        <v>240</v>
      </c>
      <c r="I1368" s="917" t="str">
        <f>VLOOKUP($A1368,'Tech Litons'!$A:$C,3,0)</f>
        <v>Yasso Club</v>
      </c>
      <c r="J1368" s="918" t="str">
        <f t="shared" si="138"/>
        <v>3985Yasso Club</v>
      </c>
      <c r="K1368" s="919">
        <v>1</v>
      </c>
      <c r="L1368" s="920">
        <f t="shared" si="139"/>
        <v>17892</v>
      </c>
      <c r="M1368" s="920">
        <f t="shared" si="140"/>
        <v>27.911519999999999</v>
      </c>
      <c r="N1368" s="920">
        <f t="shared" si="141"/>
        <v>74.55</v>
      </c>
      <c r="O1368" s="918" t="str">
        <f t="shared" si="142"/>
        <v>Jan</v>
      </c>
      <c r="P1368" s="921">
        <f t="shared" si="143"/>
        <v>4</v>
      </c>
    </row>
    <row r="1369" spans="1:16" ht="15" hidden="1" customHeight="1">
      <c r="A1369" s="839">
        <v>64327161</v>
      </c>
      <c r="B1369" s="839">
        <v>3985</v>
      </c>
      <c r="C1369" s="906">
        <v>26937</v>
      </c>
      <c r="D1369" s="907">
        <v>46042</v>
      </c>
      <c r="E1369" s="839" t="s">
        <v>563</v>
      </c>
      <c r="F1369" s="839">
        <v>3985</v>
      </c>
      <c r="G1369" s="916">
        <f>VLOOKUP($A1369,'Tech Litons'!$A:$I,8,FALSE)</f>
        <v>1.56E-3</v>
      </c>
      <c r="H1369" s="917">
        <f>VLOOKUP($A1369,'Tech Litons'!$A:$I,9,FALSE)</f>
        <v>240</v>
      </c>
      <c r="I1369" s="917" t="str">
        <f>VLOOKUP($A1369,'Tech Litons'!$A:$C,3,0)</f>
        <v>Yasso Club</v>
      </c>
      <c r="J1369" s="918" t="str">
        <f t="shared" si="138"/>
        <v>3985Yasso Club</v>
      </c>
      <c r="K1369" s="919">
        <v>1</v>
      </c>
      <c r="L1369" s="920">
        <f t="shared" si="139"/>
        <v>26937</v>
      </c>
      <c r="M1369" s="920">
        <f t="shared" si="140"/>
        <v>42.021720000000002</v>
      </c>
      <c r="N1369" s="920">
        <f t="shared" si="141"/>
        <v>112.2375</v>
      </c>
      <c r="O1369" s="918" t="str">
        <f t="shared" si="142"/>
        <v>Jan</v>
      </c>
      <c r="P1369" s="921">
        <f t="shared" si="143"/>
        <v>4</v>
      </c>
    </row>
    <row r="1370" spans="1:16" ht="15" hidden="1" customHeight="1">
      <c r="A1370" s="839">
        <v>64833353</v>
      </c>
      <c r="B1370" s="839" t="s">
        <v>133</v>
      </c>
      <c r="C1370" s="906">
        <v>2600</v>
      </c>
      <c r="D1370" s="907">
        <v>46024</v>
      </c>
      <c r="E1370" s="839" t="s">
        <v>358</v>
      </c>
      <c r="F1370" s="839">
        <v>3989</v>
      </c>
      <c r="G1370" s="916">
        <f>VLOOKUP($A1370,'Tech Litons'!$A:$I,8,FALSE)</f>
        <v>5.28E-3</v>
      </c>
      <c r="H1370" s="917">
        <f>VLOOKUP($A1370,'Tech Litons'!$A:$I,9,FALSE)</f>
        <v>130</v>
      </c>
      <c r="I1370" s="917" t="str">
        <f>VLOOKUP($A1370,'Tech Litons'!$A:$C,3,0)</f>
        <v>PG</v>
      </c>
      <c r="J1370" s="918" t="str">
        <f t="shared" si="138"/>
        <v>GDIPG</v>
      </c>
      <c r="K1370" s="919">
        <v>1</v>
      </c>
      <c r="L1370" s="920">
        <f t="shared" si="139"/>
        <v>2600</v>
      </c>
      <c r="M1370" s="920">
        <f t="shared" si="140"/>
        <v>13.728</v>
      </c>
      <c r="N1370" s="920">
        <f t="shared" si="141"/>
        <v>20</v>
      </c>
      <c r="O1370" s="918" t="str">
        <f t="shared" si="142"/>
        <v>Jan</v>
      </c>
      <c r="P1370" s="921">
        <f t="shared" si="143"/>
        <v>1</v>
      </c>
    </row>
    <row r="1371" spans="1:16" ht="15" hidden="1" customHeight="1">
      <c r="A1371" s="839">
        <v>62714126</v>
      </c>
      <c r="B1371" s="839" t="s">
        <v>133</v>
      </c>
      <c r="C1371" s="906">
        <v>2600</v>
      </c>
      <c r="D1371" s="907">
        <v>46027</v>
      </c>
      <c r="E1371" s="839" t="s">
        <v>402</v>
      </c>
      <c r="F1371" s="839">
        <v>3989</v>
      </c>
      <c r="G1371" s="916">
        <f>VLOOKUP($A1371,'Tech Litons'!$A:$I,8,FALSE)</f>
        <v>5.2680000000000001E-3</v>
      </c>
      <c r="H1371" s="917">
        <f>VLOOKUP($A1371,'Tech Litons'!$A:$I,9,FALSE)</f>
        <v>130</v>
      </c>
      <c r="I1371" s="917" t="str">
        <f>VLOOKUP($A1371,'Tech Litons'!$A:$C,3,0)</f>
        <v>PG</v>
      </c>
      <c r="J1371" s="918" t="str">
        <f t="shared" si="138"/>
        <v>GDIPG</v>
      </c>
      <c r="K1371" s="919">
        <v>1</v>
      </c>
      <c r="L1371" s="920">
        <f t="shared" si="139"/>
        <v>2600</v>
      </c>
      <c r="M1371" s="920">
        <f t="shared" si="140"/>
        <v>13.6968</v>
      </c>
      <c r="N1371" s="920">
        <f t="shared" si="141"/>
        <v>20</v>
      </c>
      <c r="O1371" s="918" t="str">
        <f t="shared" si="142"/>
        <v>Jan</v>
      </c>
      <c r="P1371" s="921">
        <f t="shared" si="143"/>
        <v>2</v>
      </c>
    </row>
    <row r="1372" spans="1:16" ht="15" hidden="1" customHeight="1">
      <c r="A1372" s="839">
        <v>62714126</v>
      </c>
      <c r="B1372" s="839" t="s">
        <v>133</v>
      </c>
      <c r="C1372" s="906">
        <v>2600</v>
      </c>
      <c r="D1372" s="907">
        <v>46027</v>
      </c>
      <c r="E1372" s="839" t="s">
        <v>402</v>
      </c>
      <c r="F1372" s="839">
        <v>3989</v>
      </c>
      <c r="G1372" s="916">
        <f>VLOOKUP($A1372,'Tech Litons'!$A:$I,8,FALSE)</f>
        <v>5.2680000000000001E-3</v>
      </c>
      <c r="H1372" s="917">
        <f>VLOOKUP($A1372,'Tech Litons'!$A:$I,9,FALSE)</f>
        <v>130</v>
      </c>
      <c r="I1372" s="917" t="str">
        <f>VLOOKUP($A1372,'Tech Litons'!$A:$C,3,0)</f>
        <v>PG</v>
      </c>
      <c r="J1372" s="918" t="str">
        <f t="shared" si="138"/>
        <v>GDIPG</v>
      </c>
      <c r="K1372" s="919">
        <v>1</v>
      </c>
      <c r="L1372" s="920">
        <f t="shared" si="139"/>
        <v>2600</v>
      </c>
      <c r="M1372" s="920">
        <f t="shared" si="140"/>
        <v>13.6968</v>
      </c>
      <c r="N1372" s="920">
        <f t="shared" si="141"/>
        <v>20</v>
      </c>
      <c r="O1372" s="918" t="str">
        <f t="shared" si="142"/>
        <v>Jan</v>
      </c>
      <c r="P1372" s="921">
        <f t="shared" si="143"/>
        <v>2</v>
      </c>
    </row>
    <row r="1373" spans="1:16" ht="15" hidden="1" customHeight="1">
      <c r="A1373" s="839">
        <v>62714126</v>
      </c>
      <c r="B1373" s="839" t="s">
        <v>133</v>
      </c>
      <c r="C1373" s="906">
        <v>2600</v>
      </c>
      <c r="D1373" s="907">
        <v>46028</v>
      </c>
      <c r="E1373" s="839" t="s">
        <v>402</v>
      </c>
      <c r="F1373" s="839">
        <v>3989</v>
      </c>
      <c r="G1373" s="916">
        <f>VLOOKUP($A1373,'Tech Litons'!$A:$I,8,FALSE)</f>
        <v>5.2680000000000001E-3</v>
      </c>
      <c r="H1373" s="917">
        <f>VLOOKUP($A1373,'Tech Litons'!$A:$I,9,FALSE)</f>
        <v>130</v>
      </c>
      <c r="I1373" s="917" t="str">
        <f>VLOOKUP($A1373,'Tech Litons'!$A:$C,3,0)</f>
        <v>PG</v>
      </c>
      <c r="J1373" s="918" t="str">
        <f t="shared" si="138"/>
        <v>GDIPG</v>
      </c>
      <c r="K1373" s="919">
        <v>1</v>
      </c>
      <c r="L1373" s="920">
        <f t="shared" si="139"/>
        <v>2600</v>
      </c>
      <c r="M1373" s="920">
        <f t="shared" si="140"/>
        <v>13.6968</v>
      </c>
      <c r="N1373" s="920">
        <f t="shared" si="141"/>
        <v>20</v>
      </c>
      <c r="O1373" s="918" t="str">
        <f t="shared" si="142"/>
        <v>Jan</v>
      </c>
      <c r="P1373" s="921">
        <f t="shared" si="143"/>
        <v>2</v>
      </c>
    </row>
    <row r="1374" spans="1:16" ht="15" hidden="1" customHeight="1">
      <c r="A1374" s="839">
        <v>62714126</v>
      </c>
      <c r="B1374" s="839" t="s">
        <v>133</v>
      </c>
      <c r="C1374" s="906">
        <v>2600</v>
      </c>
      <c r="D1374" s="907">
        <v>46028</v>
      </c>
      <c r="E1374" s="839" t="s">
        <v>402</v>
      </c>
      <c r="F1374" s="839">
        <v>3989</v>
      </c>
      <c r="G1374" s="916">
        <f>VLOOKUP($A1374,'Tech Litons'!$A:$I,8,FALSE)</f>
        <v>5.2680000000000001E-3</v>
      </c>
      <c r="H1374" s="917">
        <f>VLOOKUP($A1374,'Tech Litons'!$A:$I,9,FALSE)</f>
        <v>130</v>
      </c>
      <c r="I1374" s="917" t="str">
        <f>VLOOKUP($A1374,'Tech Litons'!$A:$C,3,0)</f>
        <v>PG</v>
      </c>
      <c r="J1374" s="918" t="str">
        <f t="shared" si="138"/>
        <v>GDIPG</v>
      </c>
      <c r="K1374" s="919">
        <v>1</v>
      </c>
      <c r="L1374" s="920">
        <f t="shared" si="139"/>
        <v>2600</v>
      </c>
      <c r="M1374" s="920">
        <f t="shared" si="140"/>
        <v>13.6968</v>
      </c>
      <c r="N1374" s="920">
        <f t="shared" si="141"/>
        <v>20</v>
      </c>
      <c r="O1374" s="918" t="str">
        <f t="shared" si="142"/>
        <v>Jan</v>
      </c>
      <c r="P1374" s="921">
        <f t="shared" si="143"/>
        <v>2</v>
      </c>
    </row>
    <row r="1375" spans="1:16" ht="15" hidden="1" customHeight="1">
      <c r="A1375" s="839">
        <v>62714126</v>
      </c>
      <c r="B1375" s="839" t="s">
        <v>133</v>
      </c>
      <c r="C1375" s="906">
        <v>2600</v>
      </c>
      <c r="D1375" s="907">
        <v>46028</v>
      </c>
      <c r="E1375" s="839" t="s">
        <v>402</v>
      </c>
      <c r="F1375" s="839">
        <v>3989</v>
      </c>
      <c r="G1375" s="916">
        <f>VLOOKUP($A1375,'Tech Litons'!$A:$I,8,FALSE)</f>
        <v>5.2680000000000001E-3</v>
      </c>
      <c r="H1375" s="917">
        <f>VLOOKUP($A1375,'Tech Litons'!$A:$I,9,FALSE)</f>
        <v>130</v>
      </c>
      <c r="I1375" s="917" t="str">
        <f>VLOOKUP($A1375,'Tech Litons'!$A:$C,3,0)</f>
        <v>PG</v>
      </c>
      <c r="J1375" s="918" t="str">
        <f t="shared" si="138"/>
        <v>GDIPG</v>
      </c>
      <c r="K1375" s="919">
        <v>1</v>
      </c>
      <c r="L1375" s="920">
        <f t="shared" si="139"/>
        <v>2600</v>
      </c>
      <c r="M1375" s="920">
        <f t="shared" si="140"/>
        <v>13.6968</v>
      </c>
      <c r="N1375" s="920">
        <f t="shared" si="141"/>
        <v>20</v>
      </c>
      <c r="O1375" s="918" t="str">
        <f t="shared" si="142"/>
        <v>Jan</v>
      </c>
      <c r="P1375" s="921">
        <f t="shared" si="143"/>
        <v>2</v>
      </c>
    </row>
    <row r="1376" spans="1:16" ht="15" hidden="1" customHeight="1">
      <c r="A1376" s="839">
        <v>62714126</v>
      </c>
      <c r="B1376" s="839" t="s">
        <v>133</v>
      </c>
      <c r="C1376" s="906">
        <v>2600</v>
      </c>
      <c r="D1376" s="907">
        <v>46028</v>
      </c>
      <c r="E1376" s="839" t="s">
        <v>402</v>
      </c>
      <c r="F1376" s="839">
        <v>3989</v>
      </c>
      <c r="G1376" s="916">
        <f>VLOOKUP($A1376,'Tech Litons'!$A:$I,8,FALSE)</f>
        <v>5.2680000000000001E-3</v>
      </c>
      <c r="H1376" s="917">
        <f>VLOOKUP($A1376,'Tech Litons'!$A:$I,9,FALSE)</f>
        <v>130</v>
      </c>
      <c r="I1376" s="917" t="str">
        <f>VLOOKUP($A1376,'Tech Litons'!$A:$C,3,0)</f>
        <v>PG</v>
      </c>
      <c r="J1376" s="918" t="str">
        <f t="shared" si="138"/>
        <v>GDIPG</v>
      </c>
      <c r="K1376" s="919">
        <v>1</v>
      </c>
      <c r="L1376" s="920">
        <f t="shared" si="139"/>
        <v>2600</v>
      </c>
      <c r="M1376" s="920">
        <f t="shared" si="140"/>
        <v>13.6968</v>
      </c>
      <c r="N1376" s="920">
        <f t="shared" si="141"/>
        <v>20</v>
      </c>
      <c r="O1376" s="918" t="str">
        <f t="shared" si="142"/>
        <v>Jan</v>
      </c>
      <c r="P1376" s="921">
        <f t="shared" si="143"/>
        <v>2</v>
      </c>
    </row>
    <row r="1377" spans="1:16" ht="15" hidden="1" customHeight="1">
      <c r="A1377" s="839">
        <v>62714126</v>
      </c>
      <c r="B1377" s="839" t="s">
        <v>133</v>
      </c>
      <c r="C1377" s="906">
        <v>2600</v>
      </c>
      <c r="D1377" s="907">
        <v>46028</v>
      </c>
      <c r="E1377" s="839" t="s">
        <v>402</v>
      </c>
      <c r="F1377" s="839">
        <v>3989</v>
      </c>
      <c r="G1377" s="916">
        <f>VLOOKUP($A1377,'Tech Litons'!$A:$I,8,FALSE)</f>
        <v>5.2680000000000001E-3</v>
      </c>
      <c r="H1377" s="917">
        <f>VLOOKUP($A1377,'Tech Litons'!$A:$I,9,FALSE)</f>
        <v>130</v>
      </c>
      <c r="I1377" s="917" t="str">
        <f>VLOOKUP($A1377,'Tech Litons'!$A:$C,3,0)</f>
        <v>PG</v>
      </c>
      <c r="J1377" s="918" t="str">
        <f t="shared" si="138"/>
        <v>GDIPG</v>
      </c>
      <c r="K1377" s="919">
        <v>1</v>
      </c>
      <c r="L1377" s="920">
        <f t="shared" si="139"/>
        <v>2600</v>
      </c>
      <c r="M1377" s="920">
        <f t="shared" si="140"/>
        <v>13.6968</v>
      </c>
      <c r="N1377" s="920">
        <f t="shared" si="141"/>
        <v>20</v>
      </c>
      <c r="O1377" s="918" t="str">
        <f t="shared" si="142"/>
        <v>Jan</v>
      </c>
      <c r="P1377" s="921">
        <f t="shared" si="143"/>
        <v>2</v>
      </c>
    </row>
    <row r="1378" spans="1:16" ht="15" hidden="1" customHeight="1">
      <c r="A1378" s="839">
        <v>62714126</v>
      </c>
      <c r="B1378" s="839" t="s">
        <v>133</v>
      </c>
      <c r="C1378" s="906">
        <v>2600</v>
      </c>
      <c r="D1378" s="907">
        <v>46028</v>
      </c>
      <c r="E1378" s="839" t="s">
        <v>402</v>
      </c>
      <c r="F1378" s="839">
        <v>3989</v>
      </c>
      <c r="G1378" s="916">
        <f>VLOOKUP($A1378,'Tech Litons'!$A:$I,8,FALSE)</f>
        <v>5.2680000000000001E-3</v>
      </c>
      <c r="H1378" s="917">
        <f>VLOOKUP($A1378,'Tech Litons'!$A:$I,9,FALSE)</f>
        <v>130</v>
      </c>
      <c r="I1378" s="917" t="str">
        <f>VLOOKUP($A1378,'Tech Litons'!$A:$C,3,0)</f>
        <v>PG</v>
      </c>
      <c r="J1378" s="918" t="str">
        <f t="shared" si="138"/>
        <v>GDIPG</v>
      </c>
      <c r="K1378" s="919">
        <v>1</v>
      </c>
      <c r="L1378" s="920">
        <f t="shared" si="139"/>
        <v>2600</v>
      </c>
      <c r="M1378" s="920">
        <f t="shared" si="140"/>
        <v>13.6968</v>
      </c>
      <c r="N1378" s="920">
        <f t="shared" si="141"/>
        <v>20</v>
      </c>
      <c r="O1378" s="918" t="str">
        <f t="shared" si="142"/>
        <v>Jan</v>
      </c>
      <c r="P1378" s="921">
        <f t="shared" si="143"/>
        <v>2</v>
      </c>
    </row>
    <row r="1379" spans="1:16" ht="15" hidden="1" customHeight="1">
      <c r="A1379" s="839">
        <v>62714126</v>
      </c>
      <c r="B1379" s="839" t="s">
        <v>133</v>
      </c>
      <c r="C1379" s="906">
        <v>2600</v>
      </c>
      <c r="D1379" s="907">
        <v>46028</v>
      </c>
      <c r="E1379" s="839" t="s">
        <v>402</v>
      </c>
      <c r="F1379" s="839">
        <v>3989</v>
      </c>
      <c r="G1379" s="916">
        <f>VLOOKUP($A1379,'Tech Litons'!$A:$I,8,FALSE)</f>
        <v>5.2680000000000001E-3</v>
      </c>
      <c r="H1379" s="917">
        <f>VLOOKUP($A1379,'Tech Litons'!$A:$I,9,FALSE)</f>
        <v>130</v>
      </c>
      <c r="I1379" s="917" t="str">
        <f>VLOOKUP($A1379,'Tech Litons'!$A:$C,3,0)</f>
        <v>PG</v>
      </c>
      <c r="J1379" s="918" t="str">
        <f t="shared" si="138"/>
        <v>GDIPG</v>
      </c>
      <c r="K1379" s="919">
        <v>1</v>
      </c>
      <c r="L1379" s="920">
        <f t="shared" si="139"/>
        <v>2600</v>
      </c>
      <c r="M1379" s="920">
        <f t="shared" si="140"/>
        <v>13.6968</v>
      </c>
      <c r="N1379" s="920">
        <f t="shared" si="141"/>
        <v>20</v>
      </c>
      <c r="O1379" s="918" t="str">
        <f t="shared" si="142"/>
        <v>Jan</v>
      </c>
      <c r="P1379" s="921">
        <f t="shared" si="143"/>
        <v>2</v>
      </c>
    </row>
    <row r="1380" spans="1:16" ht="15" hidden="1" customHeight="1">
      <c r="A1380" s="839">
        <v>64833353</v>
      </c>
      <c r="B1380" s="839" t="s">
        <v>133</v>
      </c>
      <c r="C1380" s="906">
        <v>2600</v>
      </c>
      <c r="D1380" s="907">
        <v>46028</v>
      </c>
      <c r="E1380" s="839" t="s">
        <v>358</v>
      </c>
      <c r="F1380" s="839">
        <v>3989</v>
      </c>
      <c r="G1380" s="916">
        <f>VLOOKUP($A1380,'Tech Litons'!$A:$I,8,FALSE)</f>
        <v>5.28E-3</v>
      </c>
      <c r="H1380" s="917">
        <f>VLOOKUP($A1380,'Tech Litons'!$A:$I,9,FALSE)</f>
        <v>130</v>
      </c>
      <c r="I1380" s="917" t="str">
        <f>VLOOKUP($A1380,'Tech Litons'!$A:$C,3,0)</f>
        <v>PG</v>
      </c>
      <c r="J1380" s="918" t="str">
        <f t="shared" si="138"/>
        <v>GDIPG</v>
      </c>
      <c r="K1380" s="919">
        <v>1</v>
      </c>
      <c r="L1380" s="920">
        <f t="shared" si="139"/>
        <v>2600</v>
      </c>
      <c r="M1380" s="920">
        <f t="shared" si="140"/>
        <v>13.728</v>
      </c>
      <c r="N1380" s="920">
        <f t="shared" si="141"/>
        <v>20</v>
      </c>
      <c r="O1380" s="918" t="str">
        <f t="shared" si="142"/>
        <v>Jan</v>
      </c>
      <c r="P1380" s="921">
        <f t="shared" si="143"/>
        <v>2</v>
      </c>
    </row>
    <row r="1381" spans="1:16" ht="15" hidden="1" customHeight="1">
      <c r="A1381" s="839">
        <v>62714126</v>
      </c>
      <c r="B1381" s="839" t="s">
        <v>133</v>
      </c>
      <c r="C1381" s="906">
        <v>2599</v>
      </c>
      <c r="D1381" s="907">
        <v>46029</v>
      </c>
      <c r="E1381" s="839" t="s">
        <v>402</v>
      </c>
      <c r="F1381" s="839">
        <v>3989</v>
      </c>
      <c r="G1381" s="916">
        <f>VLOOKUP($A1381,'Tech Litons'!$A:$I,8,FALSE)</f>
        <v>5.2680000000000001E-3</v>
      </c>
      <c r="H1381" s="917">
        <f>VLOOKUP($A1381,'Tech Litons'!$A:$I,9,FALSE)</f>
        <v>130</v>
      </c>
      <c r="I1381" s="917" t="str">
        <f>VLOOKUP($A1381,'Tech Litons'!$A:$C,3,0)</f>
        <v>PG</v>
      </c>
      <c r="J1381" s="918" t="str">
        <f t="shared" si="138"/>
        <v>GDIPG</v>
      </c>
      <c r="K1381" s="919">
        <v>1</v>
      </c>
      <c r="L1381" s="920">
        <f t="shared" si="139"/>
        <v>2599</v>
      </c>
      <c r="M1381" s="920">
        <f t="shared" si="140"/>
        <v>13.691532</v>
      </c>
      <c r="N1381" s="920">
        <f t="shared" si="141"/>
        <v>19.992307692307691</v>
      </c>
      <c r="O1381" s="918" t="str">
        <f t="shared" si="142"/>
        <v>Jan</v>
      </c>
      <c r="P1381" s="921">
        <f t="shared" si="143"/>
        <v>2</v>
      </c>
    </row>
    <row r="1382" spans="1:16" ht="15" hidden="1" customHeight="1">
      <c r="A1382" s="839">
        <v>62714126</v>
      </c>
      <c r="B1382" s="839" t="s">
        <v>133</v>
      </c>
      <c r="C1382" s="906">
        <v>2600</v>
      </c>
      <c r="D1382" s="907">
        <v>46029</v>
      </c>
      <c r="E1382" s="839" t="s">
        <v>402</v>
      </c>
      <c r="F1382" s="839">
        <v>3989</v>
      </c>
      <c r="G1382" s="916">
        <f>VLOOKUP($A1382,'Tech Litons'!$A:$I,8,FALSE)</f>
        <v>5.2680000000000001E-3</v>
      </c>
      <c r="H1382" s="917">
        <f>VLOOKUP($A1382,'Tech Litons'!$A:$I,9,FALSE)</f>
        <v>130</v>
      </c>
      <c r="I1382" s="917" t="str">
        <f>VLOOKUP($A1382,'Tech Litons'!$A:$C,3,0)</f>
        <v>PG</v>
      </c>
      <c r="J1382" s="918" t="str">
        <f t="shared" si="138"/>
        <v>GDIPG</v>
      </c>
      <c r="K1382" s="919">
        <v>1</v>
      </c>
      <c r="L1382" s="920">
        <f t="shared" si="139"/>
        <v>2600</v>
      </c>
      <c r="M1382" s="920">
        <f t="shared" si="140"/>
        <v>13.6968</v>
      </c>
      <c r="N1382" s="920">
        <f t="shared" si="141"/>
        <v>20</v>
      </c>
      <c r="O1382" s="918" t="str">
        <f t="shared" si="142"/>
        <v>Jan</v>
      </c>
      <c r="P1382" s="921">
        <f t="shared" si="143"/>
        <v>2</v>
      </c>
    </row>
    <row r="1383" spans="1:16" ht="15" hidden="1" customHeight="1">
      <c r="A1383" s="839">
        <v>62714126</v>
      </c>
      <c r="B1383" s="839" t="s">
        <v>133</v>
      </c>
      <c r="C1383" s="906">
        <v>2600</v>
      </c>
      <c r="D1383" s="907">
        <v>46030</v>
      </c>
      <c r="E1383" s="839" t="s">
        <v>402</v>
      </c>
      <c r="F1383" s="839">
        <v>3989</v>
      </c>
      <c r="G1383" s="916">
        <f>VLOOKUP($A1383,'Tech Litons'!$A:$I,8,FALSE)</f>
        <v>5.2680000000000001E-3</v>
      </c>
      <c r="H1383" s="917">
        <f>VLOOKUP($A1383,'Tech Litons'!$A:$I,9,FALSE)</f>
        <v>130</v>
      </c>
      <c r="I1383" s="917" t="str">
        <f>VLOOKUP($A1383,'Tech Litons'!$A:$C,3,0)</f>
        <v>PG</v>
      </c>
      <c r="J1383" s="918" t="str">
        <f t="shared" si="138"/>
        <v>GDIPG</v>
      </c>
      <c r="K1383" s="919">
        <v>1</v>
      </c>
      <c r="L1383" s="920">
        <f t="shared" si="139"/>
        <v>2600</v>
      </c>
      <c r="M1383" s="920">
        <f t="shared" si="140"/>
        <v>13.6968</v>
      </c>
      <c r="N1383" s="920">
        <f t="shared" si="141"/>
        <v>20</v>
      </c>
      <c r="O1383" s="918" t="str">
        <f t="shared" si="142"/>
        <v>Jan</v>
      </c>
      <c r="P1383" s="921">
        <f t="shared" si="143"/>
        <v>2</v>
      </c>
    </row>
    <row r="1384" spans="1:16" ht="15" hidden="1" customHeight="1">
      <c r="A1384" s="839">
        <v>62714126</v>
      </c>
      <c r="B1384" s="839" t="s">
        <v>133</v>
      </c>
      <c r="C1384" s="906">
        <v>2600</v>
      </c>
      <c r="D1384" s="907">
        <v>46030</v>
      </c>
      <c r="E1384" s="839" t="s">
        <v>402</v>
      </c>
      <c r="F1384" s="839">
        <v>3989</v>
      </c>
      <c r="G1384" s="916">
        <f>VLOOKUP($A1384,'Tech Litons'!$A:$I,8,FALSE)</f>
        <v>5.2680000000000001E-3</v>
      </c>
      <c r="H1384" s="917">
        <f>VLOOKUP($A1384,'Tech Litons'!$A:$I,9,FALSE)</f>
        <v>130</v>
      </c>
      <c r="I1384" s="917" t="str">
        <f>VLOOKUP($A1384,'Tech Litons'!$A:$C,3,0)</f>
        <v>PG</v>
      </c>
      <c r="J1384" s="918" t="str">
        <f t="shared" si="138"/>
        <v>GDIPG</v>
      </c>
      <c r="K1384" s="919">
        <v>1</v>
      </c>
      <c r="L1384" s="920">
        <f t="shared" si="139"/>
        <v>2600</v>
      </c>
      <c r="M1384" s="920">
        <f t="shared" si="140"/>
        <v>13.6968</v>
      </c>
      <c r="N1384" s="920">
        <f t="shared" si="141"/>
        <v>20</v>
      </c>
      <c r="O1384" s="918" t="str">
        <f t="shared" si="142"/>
        <v>Jan</v>
      </c>
      <c r="P1384" s="921">
        <f t="shared" si="143"/>
        <v>2</v>
      </c>
    </row>
    <row r="1385" spans="1:16" ht="15" hidden="1" customHeight="1">
      <c r="A1385" s="839">
        <v>62714126</v>
      </c>
      <c r="B1385" s="839" t="s">
        <v>133</v>
      </c>
      <c r="C1385" s="906">
        <v>2600</v>
      </c>
      <c r="D1385" s="907">
        <v>46030</v>
      </c>
      <c r="E1385" s="839" t="s">
        <v>402</v>
      </c>
      <c r="F1385" s="839">
        <v>3989</v>
      </c>
      <c r="G1385" s="916">
        <f>VLOOKUP($A1385,'Tech Litons'!$A:$I,8,FALSE)</f>
        <v>5.2680000000000001E-3</v>
      </c>
      <c r="H1385" s="917">
        <f>VLOOKUP($A1385,'Tech Litons'!$A:$I,9,FALSE)</f>
        <v>130</v>
      </c>
      <c r="I1385" s="917" t="str">
        <f>VLOOKUP($A1385,'Tech Litons'!$A:$C,3,0)</f>
        <v>PG</v>
      </c>
      <c r="J1385" s="918" t="str">
        <f t="shared" si="138"/>
        <v>GDIPG</v>
      </c>
      <c r="K1385" s="919">
        <v>1</v>
      </c>
      <c r="L1385" s="920">
        <f t="shared" si="139"/>
        <v>2600</v>
      </c>
      <c r="M1385" s="920">
        <f t="shared" si="140"/>
        <v>13.6968</v>
      </c>
      <c r="N1385" s="920">
        <f t="shared" si="141"/>
        <v>20</v>
      </c>
      <c r="O1385" s="918" t="str">
        <f t="shared" si="142"/>
        <v>Jan</v>
      </c>
      <c r="P1385" s="921">
        <f t="shared" si="143"/>
        <v>2</v>
      </c>
    </row>
    <row r="1386" spans="1:16" ht="15" hidden="1" customHeight="1">
      <c r="A1386" s="839">
        <v>62714126</v>
      </c>
      <c r="B1386" s="839" t="s">
        <v>133</v>
      </c>
      <c r="C1386" s="906">
        <v>2600</v>
      </c>
      <c r="D1386" s="907">
        <v>46030</v>
      </c>
      <c r="E1386" s="839" t="s">
        <v>402</v>
      </c>
      <c r="F1386" s="839">
        <v>3989</v>
      </c>
      <c r="G1386" s="916">
        <f>VLOOKUP($A1386,'Tech Litons'!$A:$I,8,FALSE)</f>
        <v>5.2680000000000001E-3</v>
      </c>
      <c r="H1386" s="917">
        <f>VLOOKUP($A1386,'Tech Litons'!$A:$I,9,FALSE)</f>
        <v>130</v>
      </c>
      <c r="I1386" s="917" t="str">
        <f>VLOOKUP($A1386,'Tech Litons'!$A:$C,3,0)</f>
        <v>PG</v>
      </c>
      <c r="J1386" s="918" t="str">
        <f t="shared" si="138"/>
        <v>GDIPG</v>
      </c>
      <c r="K1386" s="919">
        <v>1</v>
      </c>
      <c r="L1386" s="920">
        <f t="shared" si="139"/>
        <v>2600</v>
      </c>
      <c r="M1386" s="920">
        <f t="shared" si="140"/>
        <v>13.6968</v>
      </c>
      <c r="N1386" s="920">
        <f t="shared" si="141"/>
        <v>20</v>
      </c>
      <c r="O1386" s="918" t="str">
        <f t="shared" si="142"/>
        <v>Jan</v>
      </c>
      <c r="P1386" s="921">
        <f t="shared" si="143"/>
        <v>2</v>
      </c>
    </row>
    <row r="1387" spans="1:16" ht="15" hidden="1" customHeight="1">
      <c r="A1387" s="839">
        <v>64833353</v>
      </c>
      <c r="B1387" s="839" t="s">
        <v>133</v>
      </c>
      <c r="C1387" s="906">
        <v>2600</v>
      </c>
      <c r="D1387" s="907">
        <v>46030</v>
      </c>
      <c r="E1387" s="839" t="s">
        <v>358</v>
      </c>
      <c r="F1387" s="839">
        <v>3989</v>
      </c>
      <c r="G1387" s="916">
        <f>VLOOKUP($A1387,'Tech Litons'!$A:$I,8,FALSE)</f>
        <v>5.28E-3</v>
      </c>
      <c r="H1387" s="917">
        <f>VLOOKUP($A1387,'Tech Litons'!$A:$I,9,FALSE)</f>
        <v>130</v>
      </c>
      <c r="I1387" s="917" t="str">
        <f>VLOOKUP($A1387,'Tech Litons'!$A:$C,3,0)</f>
        <v>PG</v>
      </c>
      <c r="J1387" s="918" t="str">
        <f t="shared" si="138"/>
        <v>GDIPG</v>
      </c>
      <c r="K1387" s="919">
        <v>1</v>
      </c>
      <c r="L1387" s="920">
        <f t="shared" si="139"/>
        <v>2600</v>
      </c>
      <c r="M1387" s="920">
        <f t="shared" si="140"/>
        <v>13.728</v>
      </c>
      <c r="N1387" s="920">
        <f t="shared" si="141"/>
        <v>20</v>
      </c>
      <c r="O1387" s="918" t="str">
        <f t="shared" si="142"/>
        <v>Jan</v>
      </c>
      <c r="P1387" s="921">
        <f t="shared" si="143"/>
        <v>2</v>
      </c>
    </row>
    <row r="1388" spans="1:16" ht="15" hidden="1" customHeight="1">
      <c r="A1388" s="839">
        <v>64833353</v>
      </c>
      <c r="B1388" s="839" t="s">
        <v>133</v>
      </c>
      <c r="C1388" s="906">
        <v>2600</v>
      </c>
      <c r="D1388" s="907">
        <v>46030</v>
      </c>
      <c r="E1388" s="839" t="s">
        <v>358</v>
      </c>
      <c r="F1388" s="839">
        <v>3989</v>
      </c>
      <c r="G1388" s="916">
        <f>VLOOKUP($A1388,'Tech Litons'!$A:$I,8,FALSE)</f>
        <v>5.28E-3</v>
      </c>
      <c r="H1388" s="917">
        <f>VLOOKUP($A1388,'Tech Litons'!$A:$I,9,FALSE)</f>
        <v>130</v>
      </c>
      <c r="I1388" s="917" t="str">
        <f>VLOOKUP($A1388,'Tech Litons'!$A:$C,3,0)</f>
        <v>PG</v>
      </c>
      <c r="J1388" s="918" t="str">
        <f t="shared" si="138"/>
        <v>GDIPG</v>
      </c>
      <c r="K1388" s="919">
        <v>1</v>
      </c>
      <c r="L1388" s="920">
        <f t="shared" si="139"/>
        <v>2600</v>
      </c>
      <c r="M1388" s="920">
        <f t="shared" si="140"/>
        <v>13.728</v>
      </c>
      <c r="N1388" s="920">
        <f t="shared" si="141"/>
        <v>20</v>
      </c>
      <c r="O1388" s="918" t="str">
        <f t="shared" si="142"/>
        <v>Jan</v>
      </c>
      <c r="P1388" s="921">
        <f t="shared" si="143"/>
        <v>2</v>
      </c>
    </row>
    <row r="1389" spans="1:16" ht="15" hidden="1" customHeight="1">
      <c r="A1389" s="839">
        <v>62714126</v>
      </c>
      <c r="B1389" s="839" t="s">
        <v>133</v>
      </c>
      <c r="C1389" s="906">
        <v>2600</v>
      </c>
      <c r="D1389" s="907">
        <v>46031</v>
      </c>
      <c r="E1389" s="839" t="s">
        <v>402</v>
      </c>
      <c r="F1389" s="839">
        <v>3989</v>
      </c>
      <c r="G1389" s="916">
        <f>VLOOKUP($A1389,'Tech Litons'!$A:$I,8,FALSE)</f>
        <v>5.2680000000000001E-3</v>
      </c>
      <c r="H1389" s="917">
        <f>VLOOKUP($A1389,'Tech Litons'!$A:$I,9,FALSE)</f>
        <v>130</v>
      </c>
      <c r="I1389" s="917" t="str">
        <f>VLOOKUP($A1389,'Tech Litons'!$A:$C,3,0)</f>
        <v>PG</v>
      </c>
      <c r="J1389" s="918" t="str">
        <f t="shared" si="138"/>
        <v>GDIPG</v>
      </c>
      <c r="K1389" s="919">
        <v>1</v>
      </c>
      <c r="L1389" s="920">
        <f t="shared" si="139"/>
        <v>2600</v>
      </c>
      <c r="M1389" s="920">
        <f t="shared" si="140"/>
        <v>13.6968</v>
      </c>
      <c r="N1389" s="920">
        <f t="shared" si="141"/>
        <v>20</v>
      </c>
      <c r="O1389" s="918" t="str">
        <f t="shared" si="142"/>
        <v>Jan</v>
      </c>
      <c r="P1389" s="921">
        <f t="shared" si="143"/>
        <v>2</v>
      </c>
    </row>
    <row r="1390" spans="1:16" ht="15" hidden="1" customHeight="1">
      <c r="A1390" s="839">
        <v>64833353</v>
      </c>
      <c r="B1390" s="839" t="s">
        <v>133</v>
      </c>
      <c r="C1390" s="906">
        <v>2600</v>
      </c>
      <c r="D1390" s="907">
        <v>46031</v>
      </c>
      <c r="E1390" s="839" t="s">
        <v>358</v>
      </c>
      <c r="F1390" s="839">
        <v>3989</v>
      </c>
      <c r="G1390" s="916">
        <f>VLOOKUP($A1390,'Tech Litons'!$A:$I,8,FALSE)</f>
        <v>5.28E-3</v>
      </c>
      <c r="H1390" s="917">
        <f>VLOOKUP($A1390,'Tech Litons'!$A:$I,9,FALSE)</f>
        <v>130</v>
      </c>
      <c r="I1390" s="917" t="str">
        <f>VLOOKUP($A1390,'Tech Litons'!$A:$C,3,0)</f>
        <v>PG</v>
      </c>
      <c r="J1390" s="918" t="str">
        <f t="shared" si="138"/>
        <v>GDIPG</v>
      </c>
      <c r="K1390" s="919">
        <v>1</v>
      </c>
      <c r="L1390" s="920">
        <f t="shared" si="139"/>
        <v>2600</v>
      </c>
      <c r="M1390" s="920">
        <f t="shared" si="140"/>
        <v>13.728</v>
      </c>
      <c r="N1390" s="920">
        <f t="shared" si="141"/>
        <v>20</v>
      </c>
      <c r="O1390" s="918" t="str">
        <f t="shared" si="142"/>
        <v>Jan</v>
      </c>
      <c r="P1390" s="921">
        <f t="shared" si="143"/>
        <v>2</v>
      </c>
    </row>
    <row r="1391" spans="1:16" ht="15" hidden="1" customHeight="1">
      <c r="A1391" s="839">
        <v>62714126</v>
      </c>
      <c r="B1391" s="839" t="s">
        <v>133</v>
      </c>
      <c r="C1391" s="906">
        <v>2598</v>
      </c>
      <c r="D1391" s="907">
        <v>46034</v>
      </c>
      <c r="E1391" s="839" t="s">
        <v>402</v>
      </c>
      <c r="F1391" s="839">
        <v>3989</v>
      </c>
      <c r="G1391" s="916">
        <f>VLOOKUP($A1391,'Tech Litons'!$A:$I,8,FALSE)</f>
        <v>5.2680000000000001E-3</v>
      </c>
      <c r="H1391" s="917">
        <f>VLOOKUP($A1391,'Tech Litons'!$A:$I,9,FALSE)</f>
        <v>130</v>
      </c>
      <c r="I1391" s="917" t="str">
        <f>VLOOKUP($A1391,'Tech Litons'!$A:$C,3,0)</f>
        <v>PG</v>
      </c>
      <c r="J1391" s="918" t="str">
        <f t="shared" si="138"/>
        <v>GDIPG</v>
      </c>
      <c r="K1391" s="919">
        <v>1</v>
      </c>
      <c r="L1391" s="920">
        <f t="shared" si="139"/>
        <v>2598</v>
      </c>
      <c r="M1391" s="920">
        <f t="shared" si="140"/>
        <v>13.686264</v>
      </c>
      <c r="N1391" s="920">
        <f t="shared" si="141"/>
        <v>19.984615384615385</v>
      </c>
      <c r="O1391" s="918" t="str">
        <f t="shared" si="142"/>
        <v>Jan</v>
      </c>
      <c r="P1391" s="921">
        <f t="shared" si="143"/>
        <v>3</v>
      </c>
    </row>
    <row r="1392" spans="1:16" ht="15" hidden="1" customHeight="1">
      <c r="A1392" s="839">
        <v>62714126</v>
      </c>
      <c r="B1392" s="839" t="s">
        <v>133</v>
      </c>
      <c r="C1392" s="906">
        <v>2600</v>
      </c>
      <c r="D1392" s="907">
        <v>46034</v>
      </c>
      <c r="E1392" s="839" t="s">
        <v>402</v>
      </c>
      <c r="F1392" s="839">
        <v>3989</v>
      </c>
      <c r="G1392" s="916">
        <f>VLOOKUP($A1392,'Tech Litons'!$A:$I,8,FALSE)</f>
        <v>5.2680000000000001E-3</v>
      </c>
      <c r="H1392" s="917">
        <f>VLOOKUP($A1392,'Tech Litons'!$A:$I,9,FALSE)</f>
        <v>130</v>
      </c>
      <c r="I1392" s="917" t="str">
        <f>VLOOKUP($A1392,'Tech Litons'!$A:$C,3,0)</f>
        <v>PG</v>
      </c>
      <c r="J1392" s="918" t="str">
        <f t="shared" si="138"/>
        <v>GDIPG</v>
      </c>
      <c r="K1392" s="919">
        <v>1</v>
      </c>
      <c r="L1392" s="920">
        <f t="shared" si="139"/>
        <v>2600</v>
      </c>
      <c r="M1392" s="920">
        <f t="shared" si="140"/>
        <v>13.6968</v>
      </c>
      <c r="N1392" s="920">
        <f t="shared" si="141"/>
        <v>20</v>
      </c>
      <c r="O1392" s="918" t="str">
        <f t="shared" si="142"/>
        <v>Jan</v>
      </c>
      <c r="P1392" s="921">
        <f t="shared" si="143"/>
        <v>3</v>
      </c>
    </row>
    <row r="1393" spans="1:16" ht="15" hidden="1" customHeight="1">
      <c r="A1393" s="839">
        <v>62714126</v>
      </c>
      <c r="B1393" s="839" t="s">
        <v>133</v>
      </c>
      <c r="C1393" s="906">
        <v>2600</v>
      </c>
      <c r="D1393" s="907">
        <v>46034</v>
      </c>
      <c r="E1393" s="839" t="s">
        <v>402</v>
      </c>
      <c r="F1393" s="839">
        <v>3989</v>
      </c>
      <c r="G1393" s="916">
        <f>VLOOKUP($A1393,'Tech Litons'!$A:$I,8,FALSE)</f>
        <v>5.2680000000000001E-3</v>
      </c>
      <c r="H1393" s="917">
        <f>VLOOKUP($A1393,'Tech Litons'!$A:$I,9,FALSE)</f>
        <v>130</v>
      </c>
      <c r="I1393" s="917" t="str">
        <f>VLOOKUP($A1393,'Tech Litons'!$A:$C,3,0)</f>
        <v>PG</v>
      </c>
      <c r="J1393" s="918" t="str">
        <f t="shared" si="138"/>
        <v>GDIPG</v>
      </c>
      <c r="K1393" s="919">
        <v>1</v>
      </c>
      <c r="L1393" s="920">
        <f t="shared" si="139"/>
        <v>2600</v>
      </c>
      <c r="M1393" s="920">
        <f t="shared" si="140"/>
        <v>13.6968</v>
      </c>
      <c r="N1393" s="920">
        <f t="shared" si="141"/>
        <v>20</v>
      </c>
      <c r="O1393" s="918" t="str">
        <f t="shared" si="142"/>
        <v>Jan</v>
      </c>
      <c r="P1393" s="921">
        <f t="shared" si="143"/>
        <v>3</v>
      </c>
    </row>
    <row r="1394" spans="1:16" ht="15" hidden="1" customHeight="1">
      <c r="A1394" s="839">
        <v>62714126</v>
      </c>
      <c r="B1394" s="839" t="s">
        <v>133</v>
      </c>
      <c r="C1394" s="906">
        <v>2600</v>
      </c>
      <c r="D1394" s="907">
        <v>46034</v>
      </c>
      <c r="E1394" s="839" t="s">
        <v>402</v>
      </c>
      <c r="F1394" s="839">
        <v>3989</v>
      </c>
      <c r="G1394" s="916">
        <f>VLOOKUP($A1394,'Tech Litons'!$A:$I,8,FALSE)</f>
        <v>5.2680000000000001E-3</v>
      </c>
      <c r="H1394" s="917">
        <f>VLOOKUP($A1394,'Tech Litons'!$A:$I,9,FALSE)</f>
        <v>130</v>
      </c>
      <c r="I1394" s="917" t="str">
        <f>VLOOKUP($A1394,'Tech Litons'!$A:$C,3,0)</f>
        <v>PG</v>
      </c>
      <c r="J1394" s="918" t="str">
        <f t="shared" si="138"/>
        <v>GDIPG</v>
      </c>
      <c r="K1394" s="919">
        <v>1</v>
      </c>
      <c r="L1394" s="920">
        <f t="shared" si="139"/>
        <v>2600</v>
      </c>
      <c r="M1394" s="920">
        <f t="shared" si="140"/>
        <v>13.6968</v>
      </c>
      <c r="N1394" s="920">
        <f t="shared" si="141"/>
        <v>20</v>
      </c>
      <c r="O1394" s="918" t="str">
        <f t="shared" si="142"/>
        <v>Jan</v>
      </c>
      <c r="P1394" s="921">
        <f t="shared" si="143"/>
        <v>3</v>
      </c>
    </row>
    <row r="1395" spans="1:16" ht="15" hidden="1" customHeight="1">
      <c r="A1395" s="839">
        <v>62714126</v>
      </c>
      <c r="B1395" s="839" t="s">
        <v>133</v>
      </c>
      <c r="C1395" s="906">
        <v>2600</v>
      </c>
      <c r="D1395" s="907">
        <v>46034</v>
      </c>
      <c r="E1395" s="839" t="s">
        <v>402</v>
      </c>
      <c r="F1395" s="839">
        <v>3989</v>
      </c>
      <c r="G1395" s="916">
        <f>VLOOKUP($A1395,'Tech Litons'!$A:$I,8,FALSE)</f>
        <v>5.2680000000000001E-3</v>
      </c>
      <c r="H1395" s="917">
        <f>VLOOKUP($A1395,'Tech Litons'!$A:$I,9,FALSE)</f>
        <v>130</v>
      </c>
      <c r="I1395" s="917" t="str">
        <f>VLOOKUP($A1395,'Tech Litons'!$A:$C,3,0)</f>
        <v>PG</v>
      </c>
      <c r="J1395" s="918" t="str">
        <f t="shared" si="138"/>
        <v>GDIPG</v>
      </c>
      <c r="K1395" s="919">
        <v>1</v>
      </c>
      <c r="L1395" s="920">
        <f t="shared" si="139"/>
        <v>2600</v>
      </c>
      <c r="M1395" s="920">
        <f t="shared" si="140"/>
        <v>13.6968</v>
      </c>
      <c r="N1395" s="920">
        <f t="shared" si="141"/>
        <v>20</v>
      </c>
      <c r="O1395" s="918" t="str">
        <f t="shared" si="142"/>
        <v>Jan</v>
      </c>
      <c r="P1395" s="921">
        <f t="shared" si="143"/>
        <v>3</v>
      </c>
    </row>
    <row r="1396" spans="1:16" ht="15" hidden="1" customHeight="1">
      <c r="A1396" s="839">
        <v>62714126</v>
      </c>
      <c r="B1396" s="839" t="s">
        <v>133</v>
      </c>
      <c r="C1396" s="906">
        <v>2600</v>
      </c>
      <c r="D1396" s="907">
        <v>46034</v>
      </c>
      <c r="E1396" s="839" t="s">
        <v>402</v>
      </c>
      <c r="F1396" s="839">
        <v>3989</v>
      </c>
      <c r="G1396" s="916">
        <f>VLOOKUP($A1396,'Tech Litons'!$A:$I,8,FALSE)</f>
        <v>5.2680000000000001E-3</v>
      </c>
      <c r="H1396" s="917">
        <f>VLOOKUP($A1396,'Tech Litons'!$A:$I,9,FALSE)</f>
        <v>130</v>
      </c>
      <c r="I1396" s="917" t="str">
        <f>VLOOKUP($A1396,'Tech Litons'!$A:$C,3,0)</f>
        <v>PG</v>
      </c>
      <c r="J1396" s="918" t="str">
        <f t="shared" si="138"/>
        <v>GDIPG</v>
      </c>
      <c r="K1396" s="919">
        <v>1</v>
      </c>
      <c r="L1396" s="920">
        <f t="shared" si="139"/>
        <v>2600</v>
      </c>
      <c r="M1396" s="920">
        <f t="shared" si="140"/>
        <v>13.6968</v>
      </c>
      <c r="N1396" s="920">
        <f t="shared" si="141"/>
        <v>20</v>
      </c>
      <c r="O1396" s="918" t="str">
        <f t="shared" si="142"/>
        <v>Jan</v>
      </c>
      <c r="P1396" s="921">
        <f t="shared" si="143"/>
        <v>3</v>
      </c>
    </row>
    <row r="1397" spans="1:16" ht="15" hidden="1" customHeight="1">
      <c r="A1397" s="839">
        <v>62714126</v>
      </c>
      <c r="B1397" s="839" t="s">
        <v>133</v>
      </c>
      <c r="C1397" s="906">
        <v>2600</v>
      </c>
      <c r="D1397" s="907">
        <v>46034</v>
      </c>
      <c r="E1397" s="839" t="s">
        <v>402</v>
      </c>
      <c r="F1397" s="839">
        <v>3989</v>
      </c>
      <c r="G1397" s="916">
        <f>VLOOKUP($A1397,'Tech Litons'!$A:$I,8,FALSE)</f>
        <v>5.2680000000000001E-3</v>
      </c>
      <c r="H1397" s="917">
        <f>VLOOKUP($A1397,'Tech Litons'!$A:$I,9,FALSE)</f>
        <v>130</v>
      </c>
      <c r="I1397" s="917" t="str">
        <f>VLOOKUP($A1397,'Tech Litons'!$A:$C,3,0)</f>
        <v>PG</v>
      </c>
      <c r="J1397" s="918" t="str">
        <f t="shared" si="138"/>
        <v>GDIPG</v>
      </c>
      <c r="K1397" s="919">
        <v>1</v>
      </c>
      <c r="L1397" s="920">
        <f t="shared" si="139"/>
        <v>2600</v>
      </c>
      <c r="M1397" s="920">
        <f t="shared" si="140"/>
        <v>13.6968</v>
      </c>
      <c r="N1397" s="920">
        <f t="shared" si="141"/>
        <v>20</v>
      </c>
      <c r="O1397" s="918" t="str">
        <f t="shared" si="142"/>
        <v>Jan</v>
      </c>
      <c r="P1397" s="921">
        <f t="shared" si="143"/>
        <v>3</v>
      </c>
    </row>
    <row r="1398" spans="1:16" ht="15" hidden="1" customHeight="1">
      <c r="A1398" s="839">
        <v>62714126</v>
      </c>
      <c r="B1398" s="839" t="s">
        <v>133</v>
      </c>
      <c r="C1398" s="906">
        <v>2600</v>
      </c>
      <c r="D1398" s="907">
        <v>46034</v>
      </c>
      <c r="E1398" s="839" t="s">
        <v>402</v>
      </c>
      <c r="F1398" s="839">
        <v>3989</v>
      </c>
      <c r="G1398" s="916">
        <f>VLOOKUP($A1398,'Tech Litons'!$A:$I,8,FALSE)</f>
        <v>5.2680000000000001E-3</v>
      </c>
      <c r="H1398" s="917">
        <f>VLOOKUP($A1398,'Tech Litons'!$A:$I,9,FALSE)</f>
        <v>130</v>
      </c>
      <c r="I1398" s="917" t="str">
        <f>VLOOKUP($A1398,'Tech Litons'!$A:$C,3,0)</f>
        <v>PG</v>
      </c>
      <c r="J1398" s="918" t="str">
        <f t="shared" si="138"/>
        <v>GDIPG</v>
      </c>
      <c r="K1398" s="919">
        <v>1</v>
      </c>
      <c r="L1398" s="920">
        <f t="shared" si="139"/>
        <v>2600</v>
      </c>
      <c r="M1398" s="920">
        <f t="shared" si="140"/>
        <v>13.6968</v>
      </c>
      <c r="N1398" s="920">
        <f t="shared" si="141"/>
        <v>20</v>
      </c>
      <c r="O1398" s="918" t="str">
        <f t="shared" si="142"/>
        <v>Jan</v>
      </c>
      <c r="P1398" s="921">
        <f t="shared" si="143"/>
        <v>3</v>
      </c>
    </row>
    <row r="1399" spans="1:16" ht="15" hidden="1" customHeight="1">
      <c r="A1399" s="839">
        <v>62714126</v>
      </c>
      <c r="B1399" s="839" t="s">
        <v>133</v>
      </c>
      <c r="C1399" s="906">
        <v>2600</v>
      </c>
      <c r="D1399" s="907">
        <v>46034</v>
      </c>
      <c r="E1399" s="839" t="s">
        <v>402</v>
      </c>
      <c r="F1399" s="839">
        <v>3989</v>
      </c>
      <c r="G1399" s="916">
        <f>VLOOKUP($A1399,'Tech Litons'!$A:$I,8,FALSE)</f>
        <v>5.2680000000000001E-3</v>
      </c>
      <c r="H1399" s="917">
        <f>VLOOKUP($A1399,'Tech Litons'!$A:$I,9,FALSE)</f>
        <v>130</v>
      </c>
      <c r="I1399" s="917" t="str">
        <f>VLOOKUP($A1399,'Tech Litons'!$A:$C,3,0)</f>
        <v>PG</v>
      </c>
      <c r="J1399" s="918" t="str">
        <f t="shared" si="138"/>
        <v>GDIPG</v>
      </c>
      <c r="K1399" s="919">
        <v>1</v>
      </c>
      <c r="L1399" s="920">
        <f t="shared" si="139"/>
        <v>2600</v>
      </c>
      <c r="M1399" s="920">
        <f t="shared" si="140"/>
        <v>13.6968</v>
      </c>
      <c r="N1399" s="920">
        <f t="shared" si="141"/>
        <v>20</v>
      </c>
      <c r="O1399" s="918" t="str">
        <f t="shared" si="142"/>
        <v>Jan</v>
      </c>
      <c r="P1399" s="921">
        <f t="shared" si="143"/>
        <v>3</v>
      </c>
    </row>
    <row r="1400" spans="1:16" ht="15" hidden="1" customHeight="1">
      <c r="A1400" s="839">
        <v>62714126</v>
      </c>
      <c r="B1400" s="839" t="s">
        <v>133</v>
      </c>
      <c r="C1400" s="906">
        <v>2600</v>
      </c>
      <c r="D1400" s="907">
        <v>46034</v>
      </c>
      <c r="E1400" s="839" t="s">
        <v>402</v>
      </c>
      <c r="F1400" s="839">
        <v>3989</v>
      </c>
      <c r="G1400" s="916">
        <f>VLOOKUP($A1400,'Tech Litons'!$A:$I,8,FALSE)</f>
        <v>5.2680000000000001E-3</v>
      </c>
      <c r="H1400" s="917">
        <f>VLOOKUP($A1400,'Tech Litons'!$A:$I,9,FALSE)</f>
        <v>130</v>
      </c>
      <c r="I1400" s="917" t="str">
        <f>VLOOKUP($A1400,'Tech Litons'!$A:$C,3,0)</f>
        <v>PG</v>
      </c>
      <c r="J1400" s="918" t="str">
        <f t="shared" si="138"/>
        <v>GDIPG</v>
      </c>
      <c r="K1400" s="919">
        <v>1</v>
      </c>
      <c r="L1400" s="920">
        <f t="shared" si="139"/>
        <v>2600</v>
      </c>
      <c r="M1400" s="920">
        <f t="shared" si="140"/>
        <v>13.6968</v>
      </c>
      <c r="N1400" s="920">
        <f t="shared" si="141"/>
        <v>20</v>
      </c>
      <c r="O1400" s="918" t="str">
        <f t="shared" si="142"/>
        <v>Jan</v>
      </c>
      <c r="P1400" s="921">
        <f t="shared" si="143"/>
        <v>3</v>
      </c>
    </row>
    <row r="1401" spans="1:16" ht="15" hidden="1" customHeight="1">
      <c r="A1401" s="839">
        <v>64833353</v>
      </c>
      <c r="B1401" s="839" t="s">
        <v>133</v>
      </c>
      <c r="C1401" s="906">
        <v>2600</v>
      </c>
      <c r="D1401" s="907">
        <v>46034</v>
      </c>
      <c r="E1401" s="839" t="s">
        <v>358</v>
      </c>
      <c r="F1401" s="839">
        <v>3989</v>
      </c>
      <c r="G1401" s="916">
        <f>VLOOKUP($A1401,'Tech Litons'!$A:$I,8,FALSE)</f>
        <v>5.28E-3</v>
      </c>
      <c r="H1401" s="917">
        <f>VLOOKUP($A1401,'Tech Litons'!$A:$I,9,FALSE)</f>
        <v>130</v>
      </c>
      <c r="I1401" s="917" t="str">
        <f>VLOOKUP($A1401,'Tech Litons'!$A:$C,3,0)</f>
        <v>PG</v>
      </c>
      <c r="J1401" s="918" t="str">
        <f t="shared" si="138"/>
        <v>GDIPG</v>
      </c>
      <c r="K1401" s="919">
        <v>1</v>
      </c>
      <c r="L1401" s="920">
        <f t="shared" si="139"/>
        <v>2600</v>
      </c>
      <c r="M1401" s="920">
        <f t="shared" si="140"/>
        <v>13.728</v>
      </c>
      <c r="N1401" s="920">
        <f t="shared" si="141"/>
        <v>20</v>
      </c>
      <c r="O1401" s="918" t="str">
        <f t="shared" si="142"/>
        <v>Jan</v>
      </c>
      <c r="P1401" s="921">
        <f t="shared" si="143"/>
        <v>3</v>
      </c>
    </row>
    <row r="1402" spans="1:16" ht="15" hidden="1" customHeight="1">
      <c r="A1402" s="839">
        <v>62714126</v>
      </c>
      <c r="B1402" s="839" t="s">
        <v>133</v>
      </c>
      <c r="C1402" s="906">
        <v>2600</v>
      </c>
      <c r="D1402" s="907">
        <v>46035</v>
      </c>
      <c r="E1402" s="839" t="s">
        <v>402</v>
      </c>
      <c r="F1402" s="839">
        <v>3989</v>
      </c>
      <c r="G1402" s="916">
        <f>VLOOKUP($A1402,'Tech Litons'!$A:$I,8,FALSE)</f>
        <v>5.2680000000000001E-3</v>
      </c>
      <c r="H1402" s="917">
        <f>VLOOKUP($A1402,'Tech Litons'!$A:$I,9,FALSE)</f>
        <v>130</v>
      </c>
      <c r="I1402" s="917" t="str">
        <f>VLOOKUP($A1402,'Tech Litons'!$A:$C,3,0)</f>
        <v>PG</v>
      </c>
      <c r="J1402" s="918" t="str">
        <f t="shared" si="138"/>
        <v>GDIPG</v>
      </c>
      <c r="K1402" s="919">
        <v>1</v>
      </c>
      <c r="L1402" s="920">
        <f t="shared" si="139"/>
        <v>2600</v>
      </c>
      <c r="M1402" s="920">
        <f t="shared" si="140"/>
        <v>13.6968</v>
      </c>
      <c r="N1402" s="920">
        <f t="shared" si="141"/>
        <v>20</v>
      </c>
      <c r="O1402" s="918" t="str">
        <f t="shared" si="142"/>
        <v>Jan</v>
      </c>
      <c r="P1402" s="921">
        <f t="shared" si="143"/>
        <v>3</v>
      </c>
    </row>
    <row r="1403" spans="1:16" ht="15" hidden="1" customHeight="1">
      <c r="A1403" s="839">
        <v>69629477</v>
      </c>
      <c r="B1403" s="839" t="s">
        <v>128</v>
      </c>
      <c r="C1403" s="906">
        <v>216</v>
      </c>
      <c r="D1403" s="907">
        <v>46036</v>
      </c>
      <c r="E1403" s="839" t="s">
        <v>984</v>
      </c>
      <c r="F1403" s="839">
        <v>3989</v>
      </c>
      <c r="G1403" s="916">
        <f>VLOOKUP($A1403,'Tech Litons'!$A:$I,8,FALSE)</f>
        <v>5.3280000000000003E-3</v>
      </c>
      <c r="H1403" s="917">
        <f>VLOOKUP($A1403,'Tech Litons'!$A:$I,9,FALSE)</f>
        <v>108</v>
      </c>
      <c r="I1403" s="917" t="str">
        <f>VLOOKUP($A1403,'Tech Litons'!$A:$C,3,0)</f>
        <v>KL Mini Cones</v>
      </c>
      <c r="J1403" s="918" t="str">
        <f t="shared" si="138"/>
        <v>TultitlanKL Mini Cones</v>
      </c>
      <c r="K1403" s="919">
        <v>1</v>
      </c>
      <c r="L1403" s="920">
        <f t="shared" si="139"/>
        <v>216</v>
      </c>
      <c r="M1403" s="920">
        <f t="shared" si="140"/>
        <v>1.1508480000000001</v>
      </c>
      <c r="N1403" s="920">
        <f t="shared" si="141"/>
        <v>2</v>
      </c>
      <c r="O1403" s="918" t="str">
        <f t="shared" si="142"/>
        <v>Jan</v>
      </c>
      <c r="P1403" s="921">
        <f t="shared" si="143"/>
        <v>3</v>
      </c>
    </row>
    <row r="1404" spans="1:16" ht="15" hidden="1" customHeight="1">
      <c r="A1404" s="839">
        <v>64409244</v>
      </c>
      <c r="B1404" s="839" t="s">
        <v>128</v>
      </c>
      <c r="C1404" s="906">
        <v>535</v>
      </c>
      <c r="D1404" s="907">
        <v>46036</v>
      </c>
      <c r="E1404" s="839" t="s">
        <v>1044</v>
      </c>
      <c r="F1404" s="839">
        <v>3989</v>
      </c>
      <c r="G1404" s="916">
        <f>VLOOKUP($A1404,'Tech Litons'!$A:$I,8,FALSE)</f>
        <v>2.0800000000000003E-3</v>
      </c>
      <c r="H1404" s="917">
        <f>VLOOKUP($A1404,'Tech Litons'!$A:$I,9,FALSE)</f>
        <v>135</v>
      </c>
      <c r="I1404" s="917" t="str">
        <f>VLOOKUP($A1404,'Tech Litons'!$A:$C,3,0)</f>
        <v>Other</v>
      </c>
      <c r="J1404" s="918" t="str">
        <f t="shared" si="138"/>
        <v>TultitlanOther</v>
      </c>
      <c r="K1404" s="919">
        <v>1</v>
      </c>
      <c r="L1404" s="920">
        <f t="shared" si="139"/>
        <v>535</v>
      </c>
      <c r="M1404" s="920">
        <f t="shared" si="140"/>
        <v>1.1128000000000002</v>
      </c>
      <c r="N1404" s="920">
        <f t="shared" si="141"/>
        <v>3.9629629629629628</v>
      </c>
      <c r="O1404" s="918" t="str">
        <f t="shared" si="142"/>
        <v>Jan</v>
      </c>
      <c r="P1404" s="921">
        <f t="shared" si="143"/>
        <v>3</v>
      </c>
    </row>
    <row r="1405" spans="1:16" ht="15" hidden="1" customHeight="1">
      <c r="A1405" s="839">
        <v>62714126</v>
      </c>
      <c r="B1405" s="839" t="s">
        <v>133</v>
      </c>
      <c r="C1405" s="906">
        <v>2600</v>
      </c>
      <c r="D1405" s="907">
        <v>46036</v>
      </c>
      <c r="E1405" s="839" t="s">
        <v>402</v>
      </c>
      <c r="F1405" s="839">
        <v>3989</v>
      </c>
      <c r="G1405" s="916">
        <f>VLOOKUP($A1405,'Tech Litons'!$A:$I,8,FALSE)</f>
        <v>5.2680000000000001E-3</v>
      </c>
      <c r="H1405" s="917">
        <f>VLOOKUP($A1405,'Tech Litons'!$A:$I,9,FALSE)</f>
        <v>130</v>
      </c>
      <c r="I1405" s="917" t="str">
        <f>VLOOKUP($A1405,'Tech Litons'!$A:$C,3,0)</f>
        <v>PG</v>
      </c>
      <c r="J1405" s="918" t="str">
        <f t="shared" si="138"/>
        <v>GDIPG</v>
      </c>
      <c r="K1405" s="919">
        <v>1</v>
      </c>
      <c r="L1405" s="920">
        <f t="shared" si="139"/>
        <v>2600</v>
      </c>
      <c r="M1405" s="920">
        <f t="shared" si="140"/>
        <v>13.6968</v>
      </c>
      <c r="N1405" s="920">
        <f t="shared" si="141"/>
        <v>20</v>
      </c>
      <c r="O1405" s="918" t="str">
        <f t="shared" si="142"/>
        <v>Jan</v>
      </c>
      <c r="P1405" s="921">
        <f t="shared" si="143"/>
        <v>3</v>
      </c>
    </row>
    <row r="1406" spans="1:16" ht="15" hidden="1" customHeight="1">
      <c r="A1406" s="839">
        <v>62714126</v>
      </c>
      <c r="B1406" s="839" t="s">
        <v>133</v>
      </c>
      <c r="C1406" s="906">
        <v>2600</v>
      </c>
      <c r="D1406" s="907">
        <v>46036</v>
      </c>
      <c r="E1406" s="839" t="s">
        <v>402</v>
      </c>
      <c r="F1406" s="839">
        <v>3989</v>
      </c>
      <c r="G1406" s="916">
        <f>VLOOKUP($A1406,'Tech Litons'!$A:$I,8,FALSE)</f>
        <v>5.2680000000000001E-3</v>
      </c>
      <c r="H1406" s="917">
        <f>VLOOKUP($A1406,'Tech Litons'!$A:$I,9,FALSE)</f>
        <v>130</v>
      </c>
      <c r="I1406" s="917" t="str">
        <f>VLOOKUP($A1406,'Tech Litons'!$A:$C,3,0)</f>
        <v>PG</v>
      </c>
      <c r="J1406" s="918" t="str">
        <f t="shared" si="138"/>
        <v>GDIPG</v>
      </c>
      <c r="K1406" s="919">
        <v>1</v>
      </c>
      <c r="L1406" s="920">
        <f t="shared" si="139"/>
        <v>2600</v>
      </c>
      <c r="M1406" s="920">
        <f t="shared" si="140"/>
        <v>13.6968</v>
      </c>
      <c r="N1406" s="920">
        <f t="shared" si="141"/>
        <v>20</v>
      </c>
      <c r="O1406" s="918" t="str">
        <f t="shared" si="142"/>
        <v>Jan</v>
      </c>
      <c r="P1406" s="921">
        <f t="shared" si="143"/>
        <v>3</v>
      </c>
    </row>
    <row r="1407" spans="1:16" ht="15" hidden="1" customHeight="1">
      <c r="A1407" s="839">
        <v>62714126</v>
      </c>
      <c r="B1407" s="839" t="s">
        <v>133</v>
      </c>
      <c r="C1407" s="906">
        <v>2600</v>
      </c>
      <c r="D1407" s="907">
        <v>46036</v>
      </c>
      <c r="E1407" s="839" t="s">
        <v>402</v>
      </c>
      <c r="F1407" s="839">
        <v>3989</v>
      </c>
      <c r="G1407" s="916">
        <f>VLOOKUP($A1407,'Tech Litons'!$A:$I,8,FALSE)</f>
        <v>5.2680000000000001E-3</v>
      </c>
      <c r="H1407" s="917">
        <f>VLOOKUP($A1407,'Tech Litons'!$A:$I,9,FALSE)</f>
        <v>130</v>
      </c>
      <c r="I1407" s="917" t="str">
        <f>VLOOKUP($A1407,'Tech Litons'!$A:$C,3,0)</f>
        <v>PG</v>
      </c>
      <c r="J1407" s="918" t="str">
        <f t="shared" si="138"/>
        <v>GDIPG</v>
      </c>
      <c r="K1407" s="919">
        <v>1</v>
      </c>
      <c r="L1407" s="920">
        <f t="shared" si="139"/>
        <v>2600</v>
      </c>
      <c r="M1407" s="920">
        <f t="shared" si="140"/>
        <v>13.6968</v>
      </c>
      <c r="N1407" s="920">
        <f t="shared" si="141"/>
        <v>20</v>
      </c>
      <c r="O1407" s="918" t="str">
        <f t="shared" si="142"/>
        <v>Jan</v>
      </c>
      <c r="P1407" s="921">
        <f t="shared" si="143"/>
        <v>3</v>
      </c>
    </row>
    <row r="1408" spans="1:16" ht="15" hidden="1" customHeight="1">
      <c r="A1408" s="839">
        <v>64409241</v>
      </c>
      <c r="B1408" s="839" t="s">
        <v>128</v>
      </c>
      <c r="C1408" s="906">
        <v>2700</v>
      </c>
      <c r="D1408" s="907">
        <v>46036</v>
      </c>
      <c r="E1408" s="839" t="s">
        <v>1043</v>
      </c>
      <c r="F1408" s="839">
        <v>3989</v>
      </c>
      <c r="G1408" s="916">
        <f>VLOOKUP($A1408,'Tech Litons'!$A:$I,8,FALSE)</f>
        <v>2.0800000000000003E-3</v>
      </c>
      <c r="H1408" s="917">
        <f>VLOOKUP($A1408,'Tech Litons'!$A:$I,9,FALSE)</f>
        <v>135</v>
      </c>
      <c r="I1408" s="917" t="str">
        <f>VLOOKUP($A1408,'Tech Litons'!$A:$C,3,0)</f>
        <v>Other</v>
      </c>
      <c r="J1408" s="918" t="str">
        <f t="shared" si="138"/>
        <v>TultitlanOther</v>
      </c>
      <c r="K1408" s="919">
        <v>1</v>
      </c>
      <c r="L1408" s="920">
        <f t="shared" si="139"/>
        <v>2700</v>
      </c>
      <c r="M1408" s="920">
        <f t="shared" si="140"/>
        <v>5.6160000000000005</v>
      </c>
      <c r="N1408" s="920">
        <f t="shared" si="141"/>
        <v>20</v>
      </c>
      <c r="O1408" s="918" t="str">
        <f t="shared" si="142"/>
        <v>Jan</v>
      </c>
      <c r="P1408" s="921">
        <f t="shared" si="143"/>
        <v>3</v>
      </c>
    </row>
    <row r="1409" spans="1:16" ht="15" hidden="1" customHeight="1">
      <c r="A1409" s="839">
        <v>62714126</v>
      </c>
      <c r="B1409" s="839" t="s">
        <v>133</v>
      </c>
      <c r="C1409" s="906">
        <v>2600</v>
      </c>
      <c r="D1409" s="907">
        <v>46037</v>
      </c>
      <c r="E1409" s="839" t="s">
        <v>402</v>
      </c>
      <c r="F1409" s="839">
        <v>3989</v>
      </c>
      <c r="G1409" s="916">
        <f>VLOOKUP($A1409,'Tech Litons'!$A:$I,8,FALSE)</f>
        <v>5.2680000000000001E-3</v>
      </c>
      <c r="H1409" s="917">
        <f>VLOOKUP($A1409,'Tech Litons'!$A:$I,9,FALSE)</f>
        <v>130</v>
      </c>
      <c r="I1409" s="917" t="str">
        <f>VLOOKUP($A1409,'Tech Litons'!$A:$C,3,0)</f>
        <v>PG</v>
      </c>
      <c r="J1409" s="918" t="str">
        <f t="shared" si="138"/>
        <v>GDIPG</v>
      </c>
      <c r="K1409" s="919">
        <v>1</v>
      </c>
      <c r="L1409" s="920">
        <f t="shared" si="139"/>
        <v>2600</v>
      </c>
      <c r="M1409" s="920">
        <f t="shared" si="140"/>
        <v>13.6968</v>
      </c>
      <c r="N1409" s="920">
        <f t="shared" si="141"/>
        <v>20</v>
      </c>
      <c r="O1409" s="918" t="str">
        <f t="shared" si="142"/>
        <v>Jan</v>
      </c>
      <c r="P1409" s="921">
        <f t="shared" si="143"/>
        <v>3</v>
      </c>
    </row>
    <row r="1410" spans="1:16" ht="15" hidden="1" customHeight="1">
      <c r="A1410" s="839">
        <v>62714126</v>
      </c>
      <c r="B1410" s="839" t="s">
        <v>133</v>
      </c>
      <c r="C1410" s="906">
        <v>2600</v>
      </c>
      <c r="D1410" s="907">
        <v>46037</v>
      </c>
      <c r="E1410" s="839" t="s">
        <v>402</v>
      </c>
      <c r="F1410" s="839">
        <v>3989</v>
      </c>
      <c r="G1410" s="916">
        <f>VLOOKUP($A1410,'Tech Litons'!$A:$I,8,FALSE)</f>
        <v>5.2680000000000001E-3</v>
      </c>
      <c r="H1410" s="917">
        <f>VLOOKUP($A1410,'Tech Litons'!$A:$I,9,FALSE)</f>
        <v>130</v>
      </c>
      <c r="I1410" s="917" t="str">
        <f>VLOOKUP($A1410,'Tech Litons'!$A:$C,3,0)</f>
        <v>PG</v>
      </c>
      <c r="J1410" s="918" t="str">
        <f t="shared" si="138"/>
        <v>GDIPG</v>
      </c>
      <c r="K1410" s="919">
        <v>1</v>
      </c>
      <c r="L1410" s="920">
        <f t="shared" si="139"/>
        <v>2600</v>
      </c>
      <c r="M1410" s="920">
        <f t="shared" si="140"/>
        <v>13.6968</v>
      </c>
      <c r="N1410" s="920">
        <f t="shared" si="141"/>
        <v>20</v>
      </c>
      <c r="O1410" s="918" t="str">
        <f t="shared" si="142"/>
        <v>Jan</v>
      </c>
      <c r="P1410" s="921">
        <f t="shared" si="143"/>
        <v>3</v>
      </c>
    </row>
    <row r="1411" spans="1:16" ht="15" hidden="1" customHeight="1">
      <c r="A1411" s="839">
        <v>62714126</v>
      </c>
      <c r="B1411" s="839" t="s">
        <v>133</v>
      </c>
      <c r="C1411" s="906">
        <v>2600</v>
      </c>
      <c r="D1411" s="907">
        <v>46037</v>
      </c>
      <c r="E1411" s="839" t="s">
        <v>402</v>
      </c>
      <c r="F1411" s="839">
        <v>3989</v>
      </c>
      <c r="G1411" s="916">
        <f>VLOOKUP($A1411,'Tech Litons'!$A:$I,8,FALSE)</f>
        <v>5.2680000000000001E-3</v>
      </c>
      <c r="H1411" s="917">
        <f>VLOOKUP($A1411,'Tech Litons'!$A:$I,9,FALSE)</f>
        <v>130</v>
      </c>
      <c r="I1411" s="917" t="str">
        <f>VLOOKUP($A1411,'Tech Litons'!$A:$C,3,0)</f>
        <v>PG</v>
      </c>
      <c r="J1411" s="918" t="str">
        <f t="shared" si="138"/>
        <v>GDIPG</v>
      </c>
      <c r="K1411" s="919">
        <v>1</v>
      </c>
      <c r="L1411" s="920">
        <f t="shared" si="139"/>
        <v>2600</v>
      </c>
      <c r="M1411" s="920">
        <f t="shared" si="140"/>
        <v>13.6968</v>
      </c>
      <c r="N1411" s="920">
        <f t="shared" si="141"/>
        <v>20</v>
      </c>
      <c r="O1411" s="918" t="str">
        <f t="shared" si="142"/>
        <v>Jan</v>
      </c>
      <c r="P1411" s="921">
        <f t="shared" si="143"/>
        <v>3</v>
      </c>
    </row>
    <row r="1412" spans="1:16" ht="15" hidden="1" customHeight="1">
      <c r="A1412" s="839">
        <v>62714126</v>
      </c>
      <c r="B1412" s="839" t="s">
        <v>133</v>
      </c>
      <c r="C1412" s="906">
        <v>2600</v>
      </c>
      <c r="D1412" s="907">
        <v>46037</v>
      </c>
      <c r="E1412" s="839" t="s">
        <v>402</v>
      </c>
      <c r="F1412" s="839">
        <v>3989</v>
      </c>
      <c r="G1412" s="916">
        <f>VLOOKUP($A1412,'Tech Litons'!$A:$I,8,FALSE)</f>
        <v>5.2680000000000001E-3</v>
      </c>
      <c r="H1412" s="917">
        <f>VLOOKUP($A1412,'Tech Litons'!$A:$I,9,FALSE)</f>
        <v>130</v>
      </c>
      <c r="I1412" s="917" t="str">
        <f>VLOOKUP($A1412,'Tech Litons'!$A:$C,3,0)</f>
        <v>PG</v>
      </c>
      <c r="J1412" s="918" t="str">
        <f t="shared" si="138"/>
        <v>GDIPG</v>
      </c>
      <c r="K1412" s="919">
        <v>1</v>
      </c>
      <c r="L1412" s="920">
        <f t="shared" si="139"/>
        <v>2600</v>
      </c>
      <c r="M1412" s="920">
        <f t="shared" si="140"/>
        <v>13.6968</v>
      </c>
      <c r="N1412" s="920">
        <f t="shared" si="141"/>
        <v>20</v>
      </c>
      <c r="O1412" s="918" t="str">
        <f t="shared" si="142"/>
        <v>Jan</v>
      </c>
      <c r="P1412" s="921">
        <f t="shared" si="143"/>
        <v>3</v>
      </c>
    </row>
    <row r="1413" spans="1:16" ht="15" hidden="1" customHeight="1">
      <c r="A1413" s="839">
        <v>62714126</v>
      </c>
      <c r="B1413" s="839" t="s">
        <v>133</v>
      </c>
      <c r="C1413" s="906">
        <v>2600</v>
      </c>
      <c r="D1413" s="907">
        <v>46037</v>
      </c>
      <c r="E1413" s="839" t="s">
        <v>402</v>
      </c>
      <c r="F1413" s="839">
        <v>3989</v>
      </c>
      <c r="G1413" s="916">
        <f>VLOOKUP($A1413,'Tech Litons'!$A:$I,8,FALSE)</f>
        <v>5.2680000000000001E-3</v>
      </c>
      <c r="H1413" s="917">
        <f>VLOOKUP($A1413,'Tech Litons'!$A:$I,9,FALSE)</f>
        <v>130</v>
      </c>
      <c r="I1413" s="917" t="str">
        <f>VLOOKUP($A1413,'Tech Litons'!$A:$C,3,0)</f>
        <v>PG</v>
      </c>
      <c r="J1413" s="918" t="str">
        <f t="shared" si="138"/>
        <v>GDIPG</v>
      </c>
      <c r="K1413" s="919">
        <v>1</v>
      </c>
      <c r="L1413" s="920">
        <f t="shared" si="139"/>
        <v>2600</v>
      </c>
      <c r="M1413" s="920">
        <f t="shared" si="140"/>
        <v>13.6968</v>
      </c>
      <c r="N1413" s="920">
        <f t="shared" si="141"/>
        <v>20</v>
      </c>
      <c r="O1413" s="918" t="str">
        <f t="shared" si="142"/>
        <v>Jan</v>
      </c>
      <c r="P1413" s="921">
        <f t="shared" si="143"/>
        <v>3</v>
      </c>
    </row>
    <row r="1414" spans="1:16" ht="15" hidden="1" customHeight="1">
      <c r="A1414" s="839">
        <v>62714126</v>
      </c>
      <c r="B1414" s="839" t="s">
        <v>133</v>
      </c>
      <c r="C1414" s="906">
        <v>2600</v>
      </c>
      <c r="D1414" s="907">
        <v>46038</v>
      </c>
      <c r="E1414" s="839" t="s">
        <v>402</v>
      </c>
      <c r="F1414" s="839">
        <v>3989</v>
      </c>
      <c r="G1414" s="916">
        <f>VLOOKUP($A1414,'Tech Litons'!$A:$I,8,FALSE)</f>
        <v>5.2680000000000001E-3</v>
      </c>
      <c r="H1414" s="917">
        <f>VLOOKUP($A1414,'Tech Litons'!$A:$I,9,FALSE)</f>
        <v>130</v>
      </c>
      <c r="I1414" s="917" t="str">
        <f>VLOOKUP($A1414,'Tech Litons'!$A:$C,3,0)</f>
        <v>PG</v>
      </c>
      <c r="J1414" s="918" t="str">
        <f t="shared" si="138"/>
        <v>GDIPG</v>
      </c>
      <c r="K1414" s="919">
        <v>1</v>
      </c>
      <c r="L1414" s="920">
        <f t="shared" si="139"/>
        <v>2600</v>
      </c>
      <c r="M1414" s="920">
        <f t="shared" si="140"/>
        <v>13.6968</v>
      </c>
      <c r="N1414" s="920">
        <f t="shared" si="141"/>
        <v>20</v>
      </c>
      <c r="O1414" s="918" t="str">
        <f t="shared" si="142"/>
        <v>Jan</v>
      </c>
      <c r="P1414" s="921">
        <f t="shared" si="143"/>
        <v>3</v>
      </c>
    </row>
    <row r="1415" spans="1:16" ht="15" hidden="1" customHeight="1">
      <c r="A1415" s="839">
        <v>62714126</v>
      </c>
      <c r="B1415" s="839" t="s">
        <v>133</v>
      </c>
      <c r="C1415" s="906">
        <v>2600</v>
      </c>
      <c r="D1415" s="907">
        <v>46038</v>
      </c>
      <c r="E1415" s="839" t="s">
        <v>402</v>
      </c>
      <c r="F1415" s="839">
        <v>3989</v>
      </c>
      <c r="G1415" s="916">
        <f>VLOOKUP($A1415,'Tech Litons'!$A:$I,8,FALSE)</f>
        <v>5.2680000000000001E-3</v>
      </c>
      <c r="H1415" s="917">
        <f>VLOOKUP($A1415,'Tech Litons'!$A:$I,9,FALSE)</f>
        <v>130</v>
      </c>
      <c r="I1415" s="917" t="str">
        <f>VLOOKUP($A1415,'Tech Litons'!$A:$C,3,0)</f>
        <v>PG</v>
      </c>
      <c r="J1415" s="918" t="str">
        <f t="shared" si="138"/>
        <v>GDIPG</v>
      </c>
      <c r="K1415" s="919">
        <v>1</v>
      </c>
      <c r="L1415" s="920">
        <f t="shared" si="139"/>
        <v>2600</v>
      </c>
      <c r="M1415" s="920">
        <f t="shared" si="140"/>
        <v>13.6968</v>
      </c>
      <c r="N1415" s="920">
        <f t="shared" si="141"/>
        <v>20</v>
      </c>
      <c r="O1415" s="918" t="str">
        <f t="shared" si="142"/>
        <v>Jan</v>
      </c>
      <c r="P1415" s="921">
        <f t="shared" si="143"/>
        <v>3</v>
      </c>
    </row>
    <row r="1416" spans="1:16" ht="15" hidden="1" customHeight="1">
      <c r="A1416" s="839">
        <v>62714126</v>
      </c>
      <c r="B1416" s="839" t="s">
        <v>133</v>
      </c>
      <c r="C1416" s="906">
        <v>2600</v>
      </c>
      <c r="D1416" s="907">
        <v>46038</v>
      </c>
      <c r="E1416" s="839" t="s">
        <v>402</v>
      </c>
      <c r="F1416" s="839">
        <v>3989</v>
      </c>
      <c r="G1416" s="916">
        <f>VLOOKUP($A1416,'Tech Litons'!$A:$I,8,FALSE)</f>
        <v>5.2680000000000001E-3</v>
      </c>
      <c r="H1416" s="917">
        <f>VLOOKUP($A1416,'Tech Litons'!$A:$I,9,FALSE)</f>
        <v>130</v>
      </c>
      <c r="I1416" s="917" t="str">
        <f>VLOOKUP($A1416,'Tech Litons'!$A:$C,3,0)</f>
        <v>PG</v>
      </c>
      <c r="J1416" s="918" t="str">
        <f t="shared" si="138"/>
        <v>GDIPG</v>
      </c>
      <c r="K1416" s="919">
        <v>1</v>
      </c>
      <c r="L1416" s="920">
        <f t="shared" si="139"/>
        <v>2600</v>
      </c>
      <c r="M1416" s="920">
        <f t="shared" si="140"/>
        <v>13.6968</v>
      </c>
      <c r="N1416" s="920">
        <f t="shared" si="141"/>
        <v>20</v>
      </c>
      <c r="O1416" s="918" t="str">
        <f t="shared" si="142"/>
        <v>Jan</v>
      </c>
      <c r="P1416" s="921">
        <f t="shared" si="143"/>
        <v>3</v>
      </c>
    </row>
    <row r="1417" spans="1:16" ht="15" hidden="1" customHeight="1">
      <c r="A1417" s="839">
        <v>64833353</v>
      </c>
      <c r="B1417" s="839" t="s">
        <v>133</v>
      </c>
      <c r="C1417" s="906">
        <v>2600</v>
      </c>
      <c r="D1417" s="907">
        <v>46043</v>
      </c>
      <c r="E1417" s="839" t="s">
        <v>358</v>
      </c>
      <c r="F1417" s="839">
        <v>3989</v>
      </c>
      <c r="G1417" s="916">
        <f>VLOOKUP($A1417,'Tech Litons'!$A:$I,8,FALSE)</f>
        <v>5.28E-3</v>
      </c>
      <c r="H1417" s="917">
        <f>VLOOKUP($A1417,'Tech Litons'!$A:$I,9,FALSE)</f>
        <v>130</v>
      </c>
      <c r="I1417" s="917" t="str">
        <f>VLOOKUP($A1417,'Tech Litons'!$A:$C,3,0)</f>
        <v>PG</v>
      </c>
      <c r="J1417" s="918" t="str">
        <f t="shared" si="138"/>
        <v>GDIPG</v>
      </c>
      <c r="K1417" s="919">
        <v>1</v>
      </c>
      <c r="L1417" s="920">
        <f t="shared" si="139"/>
        <v>2600</v>
      </c>
      <c r="M1417" s="920">
        <f t="shared" si="140"/>
        <v>13.728</v>
      </c>
      <c r="N1417" s="920">
        <f t="shared" si="141"/>
        <v>20</v>
      </c>
      <c r="O1417" s="918" t="str">
        <f t="shared" si="142"/>
        <v>Jan</v>
      </c>
      <c r="P1417" s="921">
        <f t="shared" si="143"/>
        <v>4</v>
      </c>
    </row>
    <row r="1418" spans="1:16" ht="15" hidden="1" customHeight="1">
      <c r="A1418" s="839">
        <v>64833353</v>
      </c>
      <c r="B1418" s="839" t="s">
        <v>133</v>
      </c>
      <c r="C1418" s="906">
        <v>2600</v>
      </c>
      <c r="D1418" s="907">
        <v>46043</v>
      </c>
      <c r="E1418" s="839" t="s">
        <v>358</v>
      </c>
      <c r="F1418" s="839">
        <v>3989</v>
      </c>
      <c r="G1418" s="916">
        <f>VLOOKUP($A1418,'Tech Litons'!$A:$I,8,FALSE)</f>
        <v>5.28E-3</v>
      </c>
      <c r="H1418" s="917">
        <f>VLOOKUP($A1418,'Tech Litons'!$A:$I,9,FALSE)</f>
        <v>130</v>
      </c>
      <c r="I1418" s="917" t="str">
        <f>VLOOKUP($A1418,'Tech Litons'!$A:$C,3,0)</f>
        <v>PG</v>
      </c>
      <c r="J1418" s="918" t="str">
        <f t="shared" si="138"/>
        <v>GDIPG</v>
      </c>
      <c r="K1418" s="919">
        <v>1</v>
      </c>
      <c r="L1418" s="920">
        <f t="shared" si="139"/>
        <v>2600</v>
      </c>
      <c r="M1418" s="920">
        <f t="shared" si="140"/>
        <v>13.728</v>
      </c>
      <c r="N1418" s="920">
        <f t="shared" si="141"/>
        <v>20</v>
      </c>
      <c r="O1418" s="918" t="str">
        <f t="shared" si="142"/>
        <v>Jan</v>
      </c>
      <c r="P1418" s="921">
        <f t="shared" si="143"/>
        <v>4</v>
      </c>
    </row>
    <row r="1419" spans="1:16" ht="15" hidden="1" customHeight="1">
      <c r="A1419" s="839">
        <v>64833353</v>
      </c>
      <c r="B1419" s="839" t="s">
        <v>133</v>
      </c>
      <c r="C1419" s="906">
        <v>2600</v>
      </c>
      <c r="D1419" s="907">
        <v>46044</v>
      </c>
      <c r="E1419" s="839" t="s">
        <v>358</v>
      </c>
      <c r="F1419" s="839">
        <v>3989</v>
      </c>
      <c r="G1419" s="916">
        <f>VLOOKUP($A1419,'Tech Litons'!$A:$I,8,FALSE)</f>
        <v>5.28E-3</v>
      </c>
      <c r="H1419" s="917">
        <f>VLOOKUP($A1419,'Tech Litons'!$A:$I,9,FALSE)</f>
        <v>130</v>
      </c>
      <c r="I1419" s="917" t="str">
        <f>VLOOKUP($A1419,'Tech Litons'!$A:$C,3,0)</f>
        <v>PG</v>
      </c>
      <c r="J1419" s="918" t="str">
        <f t="shared" si="138"/>
        <v>GDIPG</v>
      </c>
      <c r="K1419" s="919">
        <v>1</v>
      </c>
      <c r="L1419" s="920">
        <f t="shared" si="139"/>
        <v>2600</v>
      </c>
      <c r="M1419" s="920">
        <f t="shared" si="140"/>
        <v>13.728</v>
      </c>
      <c r="N1419" s="920">
        <f t="shared" si="141"/>
        <v>20</v>
      </c>
      <c r="O1419" s="918" t="str">
        <f t="shared" si="142"/>
        <v>Jan</v>
      </c>
      <c r="P1419" s="921">
        <f t="shared" si="143"/>
        <v>4</v>
      </c>
    </row>
    <row r="1420" spans="1:16" ht="15" hidden="1" customHeight="1">
      <c r="A1420" s="839">
        <v>64833353</v>
      </c>
      <c r="B1420" s="839" t="s">
        <v>133</v>
      </c>
      <c r="C1420" s="906">
        <v>2600</v>
      </c>
      <c r="D1420" s="907">
        <v>46045</v>
      </c>
      <c r="E1420" s="839" t="s">
        <v>358</v>
      </c>
      <c r="F1420" s="839">
        <v>3989</v>
      </c>
      <c r="G1420" s="916">
        <f>VLOOKUP($A1420,'Tech Litons'!$A:$I,8,FALSE)</f>
        <v>5.28E-3</v>
      </c>
      <c r="H1420" s="917">
        <f>VLOOKUP($A1420,'Tech Litons'!$A:$I,9,FALSE)</f>
        <v>130</v>
      </c>
      <c r="I1420" s="917" t="str">
        <f>VLOOKUP($A1420,'Tech Litons'!$A:$C,3,0)</f>
        <v>PG</v>
      </c>
      <c r="J1420" s="918" t="str">
        <f t="shared" si="138"/>
        <v>GDIPG</v>
      </c>
      <c r="K1420" s="919">
        <v>1</v>
      </c>
      <c r="L1420" s="920">
        <f t="shared" si="139"/>
        <v>2600</v>
      </c>
      <c r="M1420" s="920">
        <f t="shared" si="140"/>
        <v>13.728</v>
      </c>
      <c r="N1420" s="920">
        <f t="shared" si="141"/>
        <v>20</v>
      </c>
      <c r="O1420" s="918" t="str">
        <f t="shared" si="142"/>
        <v>Jan</v>
      </c>
      <c r="P1420" s="921">
        <f t="shared" si="143"/>
        <v>4</v>
      </c>
    </row>
    <row r="1421" spans="1:16" ht="15" hidden="1" customHeight="1">
      <c r="A1421" s="839">
        <v>64833353</v>
      </c>
      <c r="B1421" s="839" t="s">
        <v>133</v>
      </c>
      <c r="C1421" s="906">
        <v>2600</v>
      </c>
      <c r="D1421" s="907">
        <v>46045</v>
      </c>
      <c r="E1421" s="839" t="s">
        <v>358</v>
      </c>
      <c r="F1421" s="839">
        <v>3989</v>
      </c>
      <c r="G1421" s="916">
        <f>VLOOKUP($A1421,'Tech Litons'!$A:$I,8,FALSE)</f>
        <v>5.28E-3</v>
      </c>
      <c r="H1421" s="917">
        <f>VLOOKUP($A1421,'Tech Litons'!$A:$I,9,FALSE)</f>
        <v>130</v>
      </c>
      <c r="I1421" s="917" t="str">
        <f>VLOOKUP($A1421,'Tech Litons'!$A:$C,3,0)</f>
        <v>PG</v>
      </c>
      <c r="J1421" s="918" t="str">
        <f t="shared" si="138"/>
        <v>GDIPG</v>
      </c>
      <c r="K1421" s="919">
        <v>1</v>
      </c>
      <c r="L1421" s="920">
        <f t="shared" si="139"/>
        <v>2600</v>
      </c>
      <c r="M1421" s="920">
        <f t="shared" si="140"/>
        <v>13.728</v>
      </c>
      <c r="N1421" s="920">
        <f t="shared" si="141"/>
        <v>20</v>
      </c>
      <c r="O1421" s="918" t="str">
        <f t="shared" si="142"/>
        <v>Jan</v>
      </c>
      <c r="P1421" s="921">
        <f t="shared" si="143"/>
        <v>4</v>
      </c>
    </row>
    <row r="1422" spans="1:16" ht="15" hidden="1" customHeight="1">
      <c r="A1422" s="839">
        <v>64341108</v>
      </c>
      <c r="B1422" s="839" t="s">
        <v>139</v>
      </c>
      <c r="C1422" s="906">
        <v>4200</v>
      </c>
      <c r="D1422" s="907">
        <v>46045</v>
      </c>
      <c r="E1422" s="839" t="s">
        <v>615</v>
      </c>
      <c r="F1422" s="839">
        <v>3989</v>
      </c>
      <c r="G1422" s="916">
        <f>VLOOKUP($A1422,'Tech Litons'!$A:$I,8,FALSE)</f>
        <v>2.3599999999999997E-3</v>
      </c>
      <c r="H1422" s="917">
        <f>VLOOKUP($A1422,'Tech Litons'!$A:$I,9,FALSE)</f>
        <v>210</v>
      </c>
      <c r="I1422" s="917" t="str">
        <f>VLOOKUP($A1422,'Tech Litons'!$A:$C,3,0)</f>
        <v>Facepieces</v>
      </c>
      <c r="J1422" s="918" t="str">
        <f t="shared" si="138"/>
        <v>IncomFacepieces</v>
      </c>
      <c r="K1422" s="919">
        <v>1</v>
      </c>
      <c r="L1422" s="920">
        <f t="shared" si="139"/>
        <v>4200</v>
      </c>
      <c r="M1422" s="920">
        <f t="shared" si="140"/>
        <v>9.911999999999999</v>
      </c>
      <c r="N1422" s="920">
        <f t="shared" si="141"/>
        <v>20</v>
      </c>
      <c r="O1422" s="918" t="str">
        <f t="shared" si="142"/>
        <v>Jan</v>
      </c>
      <c r="P1422" s="921">
        <f t="shared" si="143"/>
        <v>4</v>
      </c>
    </row>
    <row r="1423" spans="1:16" ht="15" hidden="1" customHeight="1">
      <c r="A1423" s="839">
        <v>64341108</v>
      </c>
      <c r="B1423" s="839" t="s">
        <v>139</v>
      </c>
      <c r="C1423" s="906">
        <v>4200</v>
      </c>
      <c r="D1423" s="907">
        <v>46045</v>
      </c>
      <c r="E1423" s="839" t="s">
        <v>615</v>
      </c>
      <c r="F1423" s="839">
        <v>3989</v>
      </c>
      <c r="G1423" s="916">
        <f>VLOOKUP($A1423,'Tech Litons'!$A:$I,8,FALSE)</f>
        <v>2.3599999999999997E-3</v>
      </c>
      <c r="H1423" s="917">
        <f>VLOOKUP($A1423,'Tech Litons'!$A:$I,9,FALSE)</f>
        <v>210</v>
      </c>
      <c r="I1423" s="917" t="str">
        <f>VLOOKUP($A1423,'Tech Litons'!$A:$C,3,0)</f>
        <v>Facepieces</v>
      </c>
      <c r="J1423" s="918" t="str">
        <f t="shared" ref="J1423:J1436" si="144">B1423&amp;I1423</f>
        <v>IncomFacepieces</v>
      </c>
      <c r="K1423" s="919">
        <v>1</v>
      </c>
      <c r="L1423" s="920">
        <f t="shared" ref="L1423:L1436" si="145">C1423*$K1423</f>
        <v>4200</v>
      </c>
      <c r="M1423" s="920">
        <f t="shared" ref="M1423:M1436" si="146">L1423*G1423</f>
        <v>9.911999999999999</v>
      </c>
      <c r="N1423" s="920">
        <f t="shared" ref="N1423:N1436" si="147">L1423/H1423</f>
        <v>20</v>
      </c>
      <c r="O1423" s="918" t="str">
        <f t="shared" ref="O1423:O1436" si="148">TEXT(D1423,"MMM")</f>
        <v>Jan</v>
      </c>
      <c r="P1423" s="921">
        <f t="shared" ref="P1423:P1436" si="149">WEEKNUM(D1423)</f>
        <v>4</v>
      </c>
    </row>
    <row r="1424" spans="1:16" ht="15" hidden="1" customHeight="1">
      <c r="A1424" s="839">
        <v>64341108</v>
      </c>
      <c r="B1424" s="839" t="s">
        <v>139</v>
      </c>
      <c r="C1424" s="906">
        <v>4200</v>
      </c>
      <c r="D1424" s="907">
        <v>46045</v>
      </c>
      <c r="E1424" s="839" t="s">
        <v>615</v>
      </c>
      <c r="F1424" s="839">
        <v>3989</v>
      </c>
      <c r="G1424" s="916">
        <f>VLOOKUP($A1424,'Tech Litons'!$A:$I,8,FALSE)</f>
        <v>2.3599999999999997E-3</v>
      </c>
      <c r="H1424" s="917">
        <f>VLOOKUP($A1424,'Tech Litons'!$A:$I,9,FALSE)</f>
        <v>210</v>
      </c>
      <c r="I1424" s="917" t="str">
        <f>VLOOKUP($A1424,'Tech Litons'!$A:$C,3,0)</f>
        <v>Facepieces</v>
      </c>
      <c r="J1424" s="918" t="str">
        <f t="shared" si="144"/>
        <v>IncomFacepieces</v>
      </c>
      <c r="K1424" s="919">
        <v>1</v>
      </c>
      <c r="L1424" s="920">
        <f t="shared" si="145"/>
        <v>4200</v>
      </c>
      <c r="M1424" s="920">
        <f t="shared" si="146"/>
        <v>9.911999999999999</v>
      </c>
      <c r="N1424" s="920">
        <f t="shared" si="147"/>
        <v>20</v>
      </c>
      <c r="O1424" s="918" t="str">
        <f t="shared" si="148"/>
        <v>Jan</v>
      </c>
      <c r="P1424" s="921">
        <f t="shared" si="149"/>
        <v>4</v>
      </c>
    </row>
    <row r="1425" spans="1:16" ht="15" hidden="1" customHeight="1">
      <c r="A1425" s="839">
        <v>64341108</v>
      </c>
      <c r="B1425" s="839" t="s">
        <v>139</v>
      </c>
      <c r="C1425" s="906">
        <v>4200</v>
      </c>
      <c r="D1425" s="907">
        <v>46045</v>
      </c>
      <c r="E1425" s="839" t="s">
        <v>615</v>
      </c>
      <c r="F1425" s="839">
        <v>3989</v>
      </c>
      <c r="G1425" s="916">
        <f>VLOOKUP($A1425,'Tech Litons'!$A:$I,8,FALSE)</f>
        <v>2.3599999999999997E-3</v>
      </c>
      <c r="H1425" s="917">
        <f>VLOOKUP($A1425,'Tech Litons'!$A:$I,9,FALSE)</f>
        <v>210</v>
      </c>
      <c r="I1425" s="917" t="str">
        <f>VLOOKUP($A1425,'Tech Litons'!$A:$C,3,0)</f>
        <v>Facepieces</v>
      </c>
      <c r="J1425" s="918" t="str">
        <f t="shared" si="144"/>
        <v>IncomFacepieces</v>
      </c>
      <c r="K1425" s="919">
        <v>1</v>
      </c>
      <c r="L1425" s="920">
        <f t="shared" si="145"/>
        <v>4200</v>
      </c>
      <c r="M1425" s="920">
        <f t="shared" si="146"/>
        <v>9.911999999999999</v>
      </c>
      <c r="N1425" s="920">
        <f t="shared" si="147"/>
        <v>20</v>
      </c>
      <c r="O1425" s="918" t="str">
        <f t="shared" si="148"/>
        <v>Jan</v>
      </c>
      <c r="P1425" s="921">
        <f t="shared" si="149"/>
        <v>4</v>
      </c>
    </row>
    <row r="1426" spans="1:16" ht="15" hidden="1" customHeight="1">
      <c r="A1426" s="839">
        <v>64341108</v>
      </c>
      <c r="B1426" s="839" t="s">
        <v>139</v>
      </c>
      <c r="C1426" s="906">
        <v>4200</v>
      </c>
      <c r="D1426" s="907">
        <v>46045</v>
      </c>
      <c r="E1426" s="839" t="s">
        <v>615</v>
      </c>
      <c r="F1426" s="839">
        <v>3989</v>
      </c>
      <c r="G1426" s="916">
        <f>VLOOKUP($A1426,'Tech Litons'!$A:$I,8,FALSE)</f>
        <v>2.3599999999999997E-3</v>
      </c>
      <c r="H1426" s="917">
        <f>VLOOKUP($A1426,'Tech Litons'!$A:$I,9,FALSE)</f>
        <v>210</v>
      </c>
      <c r="I1426" s="917" t="str">
        <f>VLOOKUP($A1426,'Tech Litons'!$A:$C,3,0)</f>
        <v>Facepieces</v>
      </c>
      <c r="J1426" s="918" t="str">
        <f t="shared" si="144"/>
        <v>IncomFacepieces</v>
      </c>
      <c r="K1426" s="919">
        <v>1</v>
      </c>
      <c r="L1426" s="920">
        <f t="shared" si="145"/>
        <v>4200</v>
      </c>
      <c r="M1426" s="920">
        <f t="shared" si="146"/>
        <v>9.911999999999999</v>
      </c>
      <c r="N1426" s="920">
        <f t="shared" si="147"/>
        <v>20</v>
      </c>
      <c r="O1426" s="918" t="str">
        <f t="shared" si="148"/>
        <v>Jan</v>
      </c>
      <c r="P1426" s="921">
        <f t="shared" si="149"/>
        <v>4</v>
      </c>
    </row>
    <row r="1427" spans="1:16" ht="15" hidden="1" customHeight="1">
      <c r="A1427" s="839">
        <v>69653125</v>
      </c>
      <c r="B1427" s="839">
        <v>6706</v>
      </c>
      <c r="C1427" s="906">
        <v>5493</v>
      </c>
      <c r="D1427" s="907">
        <v>46036</v>
      </c>
      <c r="E1427" s="839" t="s">
        <v>612</v>
      </c>
      <c r="F1427" s="839">
        <v>6706</v>
      </c>
      <c r="G1427" s="916">
        <f>VLOOKUP($A1427,'Tech Litons'!$A:$I,8,FALSE)</f>
        <v>5.3220000000000003E-3</v>
      </c>
      <c r="H1427" s="917">
        <f>VLOOKUP($A1427,'Tech Litons'!$A:$I,9,FALSE)</f>
        <v>120</v>
      </c>
      <c r="I1427" s="917" t="str">
        <f>VLOOKUP($A1427,'Tech Litons'!$A:$C,3,0)</f>
        <v>BR Minicups</v>
      </c>
      <c r="J1427" s="918" t="str">
        <f t="shared" si="144"/>
        <v>6706BR Minicups</v>
      </c>
      <c r="K1427" s="919">
        <v>1</v>
      </c>
      <c r="L1427" s="920">
        <f t="shared" si="145"/>
        <v>5493</v>
      </c>
      <c r="M1427" s="920">
        <f t="shared" si="146"/>
        <v>29.233746000000004</v>
      </c>
      <c r="N1427" s="920">
        <f t="shared" si="147"/>
        <v>45.774999999999999</v>
      </c>
      <c r="O1427" s="918" t="str">
        <f t="shared" si="148"/>
        <v>Jan</v>
      </c>
      <c r="P1427" s="921">
        <f t="shared" si="149"/>
        <v>3</v>
      </c>
    </row>
    <row r="1428" spans="1:16" ht="15" hidden="1" customHeight="1">
      <c r="A1428" s="839">
        <v>69653140</v>
      </c>
      <c r="B1428" s="839">
        <v>6706</v>
      </c>
      <c r="C1428" s="906">
        <v>22478</v>
      </c>
      <c r="D1428" s="907">
        <v>46044</v>
      </c>
      <c r="E1428" s="839" t="s">
        <v>608</v>
      </c>
      <c r="F1428" s="839">
        <v>6706</v>
      </c>
      <c r="G1428" s="916">
        <f>VLOOKUP($A1428,'Tech Litons'!$A:$I,8,FALSE)</f>
        <v>5.3220000000000003E-3</v>
      </c>
      <c r="H1428" s="917">
        <f>VLOOKUP($A1428,'Tech Litons'!$A:$I,9,FALSE)</f>
        <v>120</v>
      </c>
      <c r="I1428" s="917" t="str">
        <f>VLOOKUP($A1428,'Tech Litons'!$A:$C,3,0)</f>
        <v>BR Minicups</v>
      </c>
      <c r="J1428" s="918" t="str">
        <f t="shared" si="144"/>
        <v>6706BR Minicups</v>
      </c>
      <c r="K1428" s="919">
        <v>1</v>
      </c>
      <c r="L1428" s="920">
        <f t="shared" si="145"/>
        <v>22478</v>
      </c>
      <c r="M1428" s="920">
        <f t="shared" si="146"/>
        <v>119.62791600000001</v>
      </c>
      <c r="N1428" s="920">
        <f t="shared" si="147"/>
        <v>187.31666666666666</v>
      </c>
      <c r="O1428" s="918" t="str">
        <f t="shared" si="148"/>
        <v>Jan</v>
      </c>
      <c r="P1428" s="921">
        <f t="shared" si="149"/>
        <v>4</v>
      </c>
    </row>
    <row r="1429" spans="1:16" ht="15" hidden="1" customHeight="1">
      <c r="A1429" s="839">
        <v>64875812</v>
      </c>
      <c r="B1429" s="839">
        <v>6757</v>
      </c>
      <c r="C1429" s="906">
        <v>12802</v>
      </c>
      <c r="D1429" s="907">
        <v>46034</v>
      </c>
      <c r="E1429" s="839" t="s">
        <v>347</v>
      </c>
      <c r="F1429" s="839">
        <v>6757</v>
      </c>
      <c r="G1429" s="916">
        <f>VLOOKUP($A1429,'Tech Litons'!$A:$I,8,FALSE)</f>
        <v>6.0000000000000001E-3</v>
      </c>
      <c r="H1429" s="917">
        <f>VLOOKUP($A1429,'Tech Litons'!$A:$I,9,FALSE)</f>
        <v>108</v>
      </c>
      <c r="I1429" s="917" t="str">
        <f>VLOOKUP($A1429,'Tech Litons'!$A:$C,3,0)</f>
        <v>ESS</v>
      </c>
      <c r="J1429" s="918" t="str">
        <f t="shared" si="144"/>
        <v>6757ESS</v>
      </c>
      <c r="K1429" s="919">
        <v>1</v>
      </c>
      <c r="L1429" s="920">
        <f t="shared" si="145"/>
        <v>12802</v>
      </c>
      <c r="M1429" s="920">
        <f t="shared" si="146"/>
        <v>76.811999999999998</v>
      </c>
      <c r="N1429" s="920">
        <f t="shared" si="147"/>
        <v>118.53703703703704</v>
      </c>
      <c r="O1429" s="918" t="str">
        <f t="shared" si="148"/>
        <v>Jan</v>
      </c>
      <c r="P1429" s="921">
        <f t="shared" si="149"/>
        <v>3</v>
      </c>
    </row>
    <row r="1430" spans="1:16" ht="15" hidden="1" customHeight="1">
      <c r="A1430" s="839">
        <v>64875812</v>
      </c>
      <c r="B1430" s="839">
        <v>6757</v>
      </c>
      <c r="C1430" s="906">
        <v>12210</v>
      </c>
      <c r="D1430" s="907">
        <v>46044</v>
      </c>
      <c r="E1430" s="839" t="s">
        <v>347</v>
      </c>
      <c r="F1430" s="839">
        <v>6757</v>
      </c>
      <c r="G1430" s="916">
        <f>VLOOKUP($A1430,'Tech Litons'!$A:$I,8,FALSE)</f>
        <v>6.0000000000000001E-3</v>
      </c>
      <c r="H1430" s="917">
        <f>VLOOKUP($A1430,'Tech Litons'!$A:$I,9,FALSE)</f>
        <v>108</v>
      </c>
      <c r="I1430" s="917" t="str">
        <f>VLOOKUP($A1430,'Tech Litons'!$A:$C,3,0)</f>
        <v>ESS</v>
      </c>
      <c r="J1430" s="918" t="str">
        <f t="shared" si="144"/>
        <v>6757ESS</v>
      </c>
      <c r="K1430" s="919">
        <v>1</v>
      </c>
      <c r="L1430" s="920">
        <f t="shared" si="145"/>
        <v>12210</v>
      </c>
      <c r="M1430" s="920">
        <f t="shared" si="146"/>
        <v>73.260000000000005</v>
      </c>
      <c r="N1430" s="920">
        <f t="shared" si="147"/>
        <v>113.05555555555556</v>
      </c>
      <c r="O1430" s="918" t="str">
        <f t="shared" si="148"/>
        <v>Jan</v>
      </c>
      <c r="P1430" s="921">
        <f t="shared" si="149"/>
        <v>4</v>
      </c>
    </row>
    <row r="1431" spans="1:16" ht="15" hidden="1" customHeight="1">
      <c r="A1431" s="839">
        <v>64875812</v>
      </c>
      <c r="B1431" s="839">
        <v>6757</v>
      </c>
      <c r="C1431" s="906">
        <v>6932</v>
      </c>
      <c r="D1431" s="907">
        <v>46045</v>
      </c>
      <c r="E1431" s="839" t="s">
        <v>347</v>
      </c>
      <c r="F1431" s="839">
        <v>6757</v>
      </c>
      <c r="G1431" s="916">
        <f>VLOOKUP($A1431,'Tech Litons'!$A:$I,8,FALSE)</f>
        <v>6.0000000000000001E-3</v>
      </c>
      <c r="H1431" s="917">
        <f>VLOOKUP($A1431,'Tech Litons'!$A:$I,9,FALSE)</f>
        <v>108</v>
      </c>
      <c r="I1431" s="917" t="str">
        <f>VLOOKUP($A1431,'Tech Litons'!$A:$C,3,0)</f>
        <v>ESS</v>
      </c>
      <c r="J1431" s="918" t="str">
        <f t="shared" si="144"/>
        <v>6757ESS</v>
      </c>
      <c r="K1431" s="919">
        <v>1</v>
      </c>
      <c r="L1431" s="920">
        <f t="shared" si="145"/>
        <v>6932</v>
      </c>
      <c r="M1431" s="920">
        <f t="shared" si="146"/>
        <v>41.591999999999999</v>
      </c>
      <c r="N1431" s="920">
        <f t="shared" si="147"/>
        <v>64.18518518518519</v>
      </c>
      <c r="O1431" s="918" t="str">
        <f t="shared" si="148"/>
        <v>Jan</v>
      </c>
      <c r="P1431" s="921">
        <f t="shared" si="149"/>
        <v>4</v>
      </c>
    </row>
    <row r="1432" spans="1:16" ht="15" hidden="1" customHeight="1">
      <c r="A1432" s="839">
        <v>64979410</v>
      </c>
      <c r="B1432" s="839">
        <v>6764</v>
      </c>
      <c r="C1432" s="906">
        <v>26694</v>
      </c>
      <c r="D1432" s="907">
        <v>46029</v>
      </c>
      <c r="E1432" s="839" t="s">
        <v>611</v>
      </c>
      <c r="F1432" s="839">
        <v>6764</v>
      </c>
      <c r="G1432" s="916">
        <f>VLOOKUP($A1432,'Tech Litons'!$A:$I,8,FALSE)</f>
        <v>4.248E-3</v>
      </c>
      <c r="H1432" s="917">
        <f>VLOOKUP($A1432,'Tech Litons'!$A:$I,9,FALSE)</f>
        <v>324</v>
      </c>
      <c r="I1432" s="917" t="str">
        <f>VLOOKUP($A1432,'Tech Litons'!$A:$C,3,0)</f>
        <v>Other</v>
      </c>
      <c r="J1432" s="918" t="str">
        <f t="shared" si="144"/>
        <v>6764Other</v>
      </c>
      <c r="K1432" s="919">
        <v>1</v>
      </c>
      <c r="L1432" s="920">
        <f t="shared" si="145"/>
        <v>26694</v>
      </c>
      <c r="M1432" s="920">
        <f t="shared" si="146"/>
        <v>113.396112</v>
      </c>
      <c r="N1432" s="920">
        <f t="shared" si="147"/>
        <v>82.388888888888886</v>
      </c>
      <c r="O1432" s="918" t="str">
        <f t="shared" si="148"/>
        <v>Jan</v>
      </c>
      <c r="P1432" s="921">
        <f t="shared" si="149"/>
        <v>2</v>
      </c>
    </row>
    <row r="1433" spans="1:16" ht="15" hidden="1" customHeight="1">
      <c r="A1433" s="839">
        <v>64979410</v>
      </c>
      <c r="B1433" s="839">
        <v>6764</v>
      </c>
      <c r="C1433" s="906">
        <v>26135</v>
      </c>
      <c r="D1433" s="907">
        <v>46030</v>
      </c>
      <c r="E1433" s="839" t="s">
        <v>611</v>
      </c>
      <c r="F1433" s="839">
        <v>6764</v>
      </c>
      <c r="G1433" s="916">
        <f>VLOOKUP($A1433,'Tech Litons'!$A:$I,8,FALSE)</f>
        <v>4.248E-3</v>
      </c>
      <c r="H1433" s="917">
        <f>VLOOKUP($A1433,'Tech Litons'!$A:$I,9,FALSE)</f>
        <v>324</v>
      </c>
      <c r="I1433" s="917" t="str">
        <f>VLOOKUP($A1433,'Tech Litons'!$A:$C,3,0)</f>
        <v>Other</v>
      </c>
      <c r="J1433" s="918" t="str">
        <f t="shared" si="144"/>
        <v>6764Other</v>
      </c>
      <c r="K1433" s="919">
        <v>1</v>
      </c>
      <c r="L1433" s="920">
        <f t="shared" si="145"/>
        <v>26135</v>
      </c>
      <c r="M1433" s="920">
        <f t="shared" si="146"/>
        <v>111.02148</v>
      </c>
      <c r="N1433" s="920">
        <f t="shared" si="147"/>
        <v>80.663580246913583</v>
      </c>
      <c r="O1433" s="918" t="str">
        <f t="shared" si="148"/>
        <v>Jan</v>
      </c>
      <c r="P1433" s="921">
        <f t="shared" si="149"/>
        <v>2</v>
      </c>
    </row>
    <row r="1434" spans="1:16" ht="15" hidden="1" customHeight="1">
      <c r="A1434" s="839">
        <v>64979410</v>
      </c>
      <c r="B1434" s="839">
        <v>6764</v>
      </c>
      <c r="C1434" s="906">
        <v>26139</v>
      </c>
      <c r="D1434" s="907">
        <v>46030</v>
      </c>
      <c r="E1434" s="839" t="s">
        <v>611</v>
      </c>
      <c r="F1434" s="839">
        <v>6764</v>
      </c>
      <c r="G1434" s="916">
        <f>VLOOKUP($A1434,'Tech Litons'!$A:$I,8,FALSE)</f>
        <v>4.248E-3</v>
      </c>
      <c r="H1434" s="917">
        <f>VLOOKUP($A1434,'Tech Litons'!$A:$I,9,FALSE)</f>
        <v>324</v>
      </c>
      <c r="I1434" s="917" t="str">
        <f>VLOOKUP($A1434,'Tech Litons'!$A:$C,3,0)</f>
        <v>Other</v>
      </c>
      <c r="J1434" s="918" t="str">
        <f t="shared" si="144"/>
        <v>6764Other</v>
      </c>
      <c r="K1434" s="919">
        <v>1</v>
      </c>
      <c r="L1434" s="920">
        <f t="shared" si="145"/>
        <v>26139</v>
      </c>
      <c r="M1434" s="920">
        <f t="shared" si="146"/>
        <v>111.038472</v>
      </c>
      <c r="N1434" s="920">
        <f t="shared" si="147"/>
        <v>80.675925925925924</v>
      </c>
      <c r="O1434" s="918" t="str">
        <f t="shared" si="148"/>
        <v>Jan</v>
      </c>
      <c r="P1434" s="921">
        <f t="shared" si="149"/>
        <v>2</v>
      </c>
    </row>
    <row r="1435" spans="1:16" ht="15" hidden="1" customHeight="1">
      <c r="A1435" s="839">
        <v>64989109</v>
      </c>
      <c r="B1435" s="839">
        <v>6765</v>
      </c>
      <c r="C1435" s="906">
        <v>7230</v>
      </c>
      <c r="D1435" s="907">
        <v>46042</v>
      </c>
      <c r="E1435" s="839" t="s">
        <v>608</v>
      </c>
      <c r="F1435" s="839">
        <v>6765</v>
      </c>
      <c r="G1435" s="916">
        <f>VLOOKUP($A1435,'Tech Litons'!$A:$I,8,FALSE)</f>
        <v>5.3220000000000003E-3</v>
      </c>
      <c r="H1435" s="917">
        <f>VLOOKUP($A1435,'Tech Litons'!$A:$I,9,FALSE)</f>
        <v>120</v>
      </c>
      <c r="I1435" s="917" t="str">
        <f>VLOOKUP($A1435,'Tech Litons'!$A:$C,3,0)</f>
        <v>BR Minicups</v>
      </c>
      <c r="J1435" s="918" t="str">
        <f t="shared" si="144"/>
        <v>6765BR Minicups</v>
      </c>
      <c r="K1435" s="919">
        <v>1</v>
      </c>
      <c r="L1435" s="920">
        <f t="shared" si="145"/>
        <v>7230</v>
      </c>
      <c r="M1435" s="920">
        <f t="shared" si="146"/>
        <v>38.478059999999999</v>
      </c>
      <c r="N1435" s="920">
        <f t="shared" si="147"/>
        <v>60.25</v>
      </c>
      <c r="O1435" s="918" t="str">
        <f t="shared" si="148"/>
        <v>Jan</v>
      </c>
      <c r="P1435" s="921">
        <f t="shared" si="149"/>
        <v>4</v>
      </c>
    </row>
    <row r="1436" spans="1:16" ht="15" hidden="1" customHeight="1">
      <c r="A1436" s="839">
        <v>64989109</v>
      </c>
      <c r="B1436" s="839">
        <v>6765</v>
      </c>
      <c r="C1436" s="906">
        <v>7216</v>
      </c>
      <c r="D1436" s="907">
        <v>46049</v>
      </c>
      <c r="E1436" s="839" t="s">
        <v>608</v>
      </c>
      <c r="F1436" s="839">
        <v>6765</v>
      </c>
      <c r="G1436" s="916">
        <f>VLOOKUP($A1436,'Tech Litons'!$A:$I,8,FALSE)</f>
        <v>5.3220000000000003E-3</v>
      </c>
      <c r="H1436" s="917">
        <f>VLOOKUP($A1436,'Tech Litons'!$A:$I,9,FALSE)</f>
        <v>120</v>
      </c>
      <c r="I1436" s="917" t="str">
        <f>VLOOKUP($A1436,'Tech Litons'!$A:$C,3,0)</f>
        <v>BR Minicups</v>
      </c>
      <c r="J1436" s="918" t="str">
        <f t="shared" si="144"/>
        <v>6765BR Minicups</v>
      </c>
      <c r="K1436" s="919">
        <v>1</v>
      </c>
      <c r="L1436" s="920">
        <f t="shared" si="145"/>
        <v>7216</v>
      </c>
      <c r="M1436" s="920">
        <f t="shared" si="146"/>
        <v>38.403552000000005</v>
      </c>
      <c r="N1436" s="920">
        <f t="shared" si="147"/>
        <v>60.133333333333333</v>
      </c>
      <c r="O1436" s="918" t="str">
        <f t="shared" si="148"/>
        <v>Jan</v>
      </c>
      <c r="P1436" s="921">
        <f t="shared" si="149"/>
        <v>5</v>
      </c>
    </row>
    <row r="1437" spans="1:16" ht="15" hidden="1" customHeight="1">
      <c r="A1437" s="839">
        <v>64315721</v>
      </c>
      <c r="B1437" s="839">
        <v>1352</v>
      </c>
      <c r="C1437" s="906">
        <v>2112</v>
      </c>
      <c r="D1437" s="907">
        <v>46068</v>
      </c>
      <c r="E1437" s="839" t="s">
        <v>380</v>
      </c>
      <c r="F1437" s="839" t="s">
        <v>261</v>
      </c>
      <c r="G1437" s="916">
        <f>VLOOKUP($A1437,'Tech Litons'!$A:$I,8,FALSE)</f>
        <v>8.5199999999999998E-3</v>
      </c>
      <c r="H1437" s="917">
        <f>VLOOKUP($A1437,'Tech Litons'!$A:$I,9,FALSE)</f>
        <v>176</v>
      </c>
      <c r="I1437" s="917" t="str">
        <f>VLOOKUP($A1437,'Tech Litons'!$A:$C,3,0)</f>
        <v>48oz</v>
      </c>
      <c r="J1437" s="918" t="str">
        <f>B1437&amp;I1437</f>
        <v>135248oz</v>
      </c>
      <c r="K1437" s="919">
        <v>1</v>
      </c>
      <c r="L1437" s="920">
        <f t="shared" ref="L1437:L1496" si="150">C1437*$K1437</f>
        <v>2112</v>
      </c>
      <c r="M1437" s="920">
        <f>L1437*G1437</f>
        <v>17.994239999999998</v>
      </c>
      <c r="N1437" s="920">
        <f>L1437/H1437</f>
        <v>12</v>
      </c>
      <c r="O1437" s="918" t="str">
        <f>TEXT(D1437,"MMM")</f>
        <v>Feb</v>
      </c>
      <c r="P1437" s="921">
        <f>WEEKNUM(D1437)</f>
        <v>8</v>
      </c>
    </row>
    <row r="1438" spans="1:16" ht="15" hidden="1" customHeight="1">
      <c r="A1438" s="839">
        <v>64315721</v>
      </c>
      <c r="B1438" s="839">
        <v>1352</v>
      </c>
      <c r="C1438" s="906">
        <v>-2112</v>
      </c>
      <c r="D1438" s="907">
        <v>46073</v>
      </c>
      <c r="E1438" s="839" t="s">
        <v>380</v>
      </c>
      <c r="F1438" s="839" t="s">
        <v>261</v>
      </c>
      <c r="G1438" s="916">
        <f>VLOOKUP($A1438,'Tech Litons'!$A:$I,8,FALSE)</f>
        <v>8.5199999999999998E-3</v>
      </c>
      <c r="H1438" s="917">
        <f>VLOOKUP($A1438,'Tech Litons'!$A:$I,9,FALSE)</f>
        <v>176</v>
      </c>
      <c r="I1438" s="917" t="str">
        <f>VLOOKUP($A1438,'Tech Litons'!$A:$C,3,0)</f>
        <v>48oz</v>
      </c>
      <c r="J1438" s="918" t="str">
        <f t="shared" ref="J1438:J1497" si="151">B1438&amp;I1438</f>
        <v>135248oz</v>
      </c>
      <c r="K1438" s="919">
        <v>1</v>
      </c>
      <c r="L1438" s="920">
        <f t="shared" si="150"/>
        <v>-2112</v>
      </c>
      <c r="M1438" s="920">
        <f t="shared" ref="M1438:M1497" si="152">L1438*G1438</f>
        <v>-17.994239999999998</v>
      </c>
      <c r="N1438" s="920">
        <f t="shared" ref="N1438:N1497" si="153">L1438/H1438</f>
        <v>-12</v>
      </c>
      <c r="O1438" s="918" t="str">
        <f t="shared" ref="O1438:O1497" si="154">TEXT(D1438,"MMM")</f>
        <v>Feb</v>
      </c>
      <c r="P1438" s="921">
        <f t="shared" ref="P1438:P1497" si="155">WEEKNUM(D1438)</f>
        <v>8</v>
      </c>
    </row>
    <row r="1439" spans="1:16" ht="15" hidden="1" customHeight="1">
      <c r="A1439" s="839">
        <v>64315721</v>
      </c>
      <c r="B1439" s="839">
        <v>1352</v>
      </c>
      <c r="C1439" s="906">
        <v>3520</v>
      </c>
      <c r="D1439" s="907">
        <v>46071</v>
      </c>
      <c r="E1439" s="839" t="s">
        <v>380</v>
      </c>
      <c r="F1439" s="839" t="s">
        <v>261</v>
      </c>
      <c r="G1439" s="916">
        <f>VLOOKUP($A1439,'Tech Litons'!$A:$I,8,FALSE)</f>
        <v>8.5199999999999998E-3</v>
      </c>
      <c r="H1439" s="917">
        <f>VLOOKUP($A1439,'Tech Litons'!$A:$I,9,FALSE)</f>
        <v>176</v>
      </c>
      <c r="I1439" s="917" t="str">
        <f>VLOOKUP($A1439,'Tech Litons'!$A:$C,3,0)</f>
        <v>48oz</v>
      </c>
      <c r="J1439" s="918" t="str">
        <f t="shared" si="151"/>
        <v>135248oz</v>
      </c>
      <c r="K1439" s="919">
        <v>1</v>
      </c>
      <c r="L1439" s="920">
        <f t="shared" si="150"/>
        <v>3520</v>
      </c>
      <c r="M1439" s="920">
        <f t="shared" si="152"/>
        <v>29.990400000000001</v>
      </c>
      <c r="N1439" s="920">
        <f t="shared" si="153"/>
        <v>20</v>
      </c>
      <c r="O1439" s="918" t="str">
        <f t="shared" si="154"/>
        <v>Feb</v>
      </c>
      <c r="P1439" s="921">
        <f t="shared" si="155"/>
        <v>8</v>
      </c>
    </row>
    <row r="1440" spans="1:16" ht="15" hidden="1" customHeight="1">
      <c r="A1440" s="839">
        <v>64315721</v>
      </c>
      <c r="B1440" s="839">
        <v>1352</v>
      </c>
      <c r="C1440" s="906">
        <v>-3520</v>
      </c>
      <c r="D1440" s="907">
        <v>46073</v>
      </c>
      <c r="E1440" s="839" t="s">
        <v>380</v>
      </c>
      <c r="F1440" s="839" t="s">
        <v>261</v>
      </c>
      <c r="G1440" s="916">
        <f>VLOOKUP($A1440,'Tech Litons'!$A:$I,8,FALSE)</f>
        <v>8.5199999999999998E-3</v>
      </c>
      <c r="H1440" s="917">
        <f>VLOOKUP($A1440,'Tech Litons'!$A:$I,9,FALSE)</f>
        <v>176</v>
      </c>
      <c r="I1440" s="917" t="str">
        <f>VLOOKUP($A1440,'Tech Litons'!$A:$C,3,0)</f>
        <v>48oz</v>
      </c>
      <c r="J1440" s="918" t="str">
        <f t="shared" si="151"/>
        <v>135248oz</v>
      </c>
      <c r="K1440" s="919">
        <v>1</v>
      </c>
      <c r="L1440" s="920">
        <f t="shared" si="150"/>
        <v>-3520</v>
      </c>
      <c r="M1440" s="920">
        <f t="shared" si="152"/>
        <v>-29.990400000000001</v>
      </c>
      <c r="N1440" s="920">
        <f t="shared" si="153"/>
        <v>-20</v>
      </c>
      <c r="O1440" s="918" t="str">
        <f t="shared" si="154"/>
        <v>Feb</v>
      </c>
      <c r="P1440" s="921">
        <f t="shared" si="155"/>
        <v>8</v>
      </c>
    </row>
    <row r="1441" spans="1:16" ht="15" hidden="1" customHeight="1">
      <c r="A1441" s="839">
        <v>64315721</v>
      </c>
      <c r="B1441" s="839">
        <v>1352</v>
      </c>
      <c r="C1441" s="906">
        <v>5104</v>
      </c>
      <c r="D1441" s="907">
        <v>46072</v>
      </c>
      <c r="E1441" s="839" t="s">
        <v>380</v>
      </c>
      <c r="F1441" s="839" t="s">
        <v>261</v>
      </c>
      <c r="G1441" s="916">
        <f>VLOOKUP($A1441,'Tech Litons'!$A:$I,8,FALSE)</f>
        <v>8.5199999999999998E-3</v>
      </c>
      <c r="H1441" s="917">
        <f>VLOOKUP($A1441,'Tech Litons'!$A:$I,9,FALSE)</f>
        <v>176</v>
      </c>
      <c r="I1441" s="917" t="str">
        <f>VLOOKUP($A1441,'Tech Litons'!$A:$C,3,0)</f>
        <v>48oz</v>
      </c>
      <c r="J1441" s="918" t="str">
        <f t="shared" si="151"/>
        <v>135248oz</v>
      </c>
      <c r="K1441" s="919">
        <v>1</v>
      </c>
      <c r="L1441" s="920">
        <f t="shared" si="150"/>
        <v>5104</v>
      </c>
      <c r="M1441" s="920">
        <f t="shared" si="152"/>
        <v>43.486080000000001</v>
      </c>
      <c r="N1441" s="920">
        <f t="shared" si="153"/>
        <v>29</v>
      </c>
      <c r="O1441" s="918" t="str">
        <f t="shared" si="154"/>
        <v>Feb</v>
      </c>
      <c r="P1441" s="921">
        <f t="shared" si="155"/>
        <v>8</v>
      </c>
    </row>
    <row r="1442" spans="1:16" ht="15" hidden="1" customHeight="1">
      <c r="A1442" s="839">
        <v>64315721</v>
      </c>
      <c r="B1442" s="839">
        <v>1352</v>
      </c>
      <c r="C1442" s="906">
        <v>9280</v>
      </c>
      <c r="D1442" s="907">
        <v>46073</v>
      </c>
      <c r="E1442" s="839" t="s">
        <v>380</v>
      </c>
      <c r="F1442" s="839" t="s">
        <v>261</v>
      </c>
      <c r="G1442" s="916">
        <f>VLOOKUP($A1442,'Tech Litons'!$A:$I,8,FALSE)</f>
        <v>8.5199999999999998E-3</v>
      </c>
      <c r="H1442" s="917">
        <f>VLOOKUP($A1442,'Tech Litons'!$A:$I,9,FALSE)</f>
        <v>176</v>
      </c>
      <c r="I1442" s="917" t="str">
        <f>VLOOKUP($A1442,'Tech Litons'!$A:$C,3,0)</f>
        <v>48oz</v>
      </c>
      <c r="J1442" s="918" t="str">
        <f t="shared" si="151"/>
        <v>135248oz</v>
      </c>
      <c r="K1442" s="919">
        <v>1</v>
      </c>
      <c r="L1442" s="920">
        <f t="shared" si="150"/>
        <v>9280</v>
      </c>
      <c r="M1442" s="920">
        <f t="shared" si="152"/>
        <v>79.065600000000003</v>
      </c>
      <c r="N1442" s="920">
        <f t="shared" si="153"/>
        <v>52.727272727272727</v>
      </c>
      <c r="O1442" s="918" t="str">
        <f t="shared" si="154"/>
        <v>Feb</v>
      </c>
      <c r="P1442" s="921">
        <f t="shared" si="155"/>
        <v>8</v>
      </c>
    </row>
    <row r="1443" spans="1:16" ht="15" hidden="1" customHeight="1">
      <c r="A1443" s="839">
        <v>64315721</v>
      </c>
      <c r="B1443" s="839">
        <v>1352</v>
      </c>
      <c r="C1443" s="906">
        <v>4202</v>
      </c>
      <c r="D1443" s="907">
        <v>46073</v>
      </c>
      <c r="E1443" s="839" t="s">
        <v>380</v>
      </c>
      <c r="F1443" s="839" t="s">
        <v>261</v>
      </c>
      <c r="G1443" s="916">
        <f>VLOOKUP($A1443,'Tech Litons'!$A:$I,8,FALSE)</f>
        <v>8.5199999999999998E-3</v>
      </c>
      <c r="H1443" s="917">
        <f>VLOOKUP($A1443,'Tech Litons'!$A:$I,9,FALSE)</f>
        <v>176</v>
      </c>
      <c r="I1443" s="917" t="str">
        <f>VLOOKUP($A1443,'Tech Litons'!$A:$C,3,0)</f>
        <v>48oz</v>
      </c>
      <c r="J1443" s="918" t="str">
        <f t="shared" si="151"/>
        <v>135248oz</v>
      </c>
      <c r="K1443" s="919">
        <v>1</v>
      </c>
      <c r="L1443" s="920">
        <f t="shared" si="150"/>
        <v>4202</v>
      </c>
      <c r="M1443" s="920">
        <f t="shared" si="152"/>
        <v>35.80104</v>
      </c>
      <c r="N1443" s="920">
        <f t="shared" si="153"/>
        <v>23.875</v>
      </c>
      <c r="O1443" s="918" t="str">
        <f t="shared" si="154"/>
        <v>Feb</v>
      </c>
      <c r="P1443" s="921">
        <f t="shared" si="155"/>
        <v>8</v>
      </c>
    </row>
    <row r="1444" spans="1:16" ht="15" hidden="1" customHeight="1">
      <c r="A1444" s="839">
        <v>64315721</v>
      </c>
      <c r="B1444" s="839">
        <v>1352</v>
      </c>
      <c r="C1444" s="906">
        <v>9114</v>
      </c>
      <c r="D1444" s="907">
        <v>46074</v>
      </c>
      <c r="E1444" s="839" t="s">
        <v>380</v>
      </c>
      <c r="F1444" s="839" t="s">
        <v>261</v>
      </c>
      <c r="G1444" s="916">
        <f>VLOOKUP($A1444,'Tech Litons'!$A:$I,8,FALSE)</f>
        <v>8.5199999999999998E-3</v>
      </c>
      <c r="H1444" s="917">
        <f>VLOOKUP($A1444,'Tech Litons'!$A:$I,9,FALSE)</f>
        <v>176</v>
      </c>
      <c r="I1444" s="917" t="str">
        <f>VLOOKUP($A1444,'Tech Litons'!$A:$C,3,0)</f>
        <v>48oz</v>
      </c>
      <c r="J1444" s="918" t="str">
        <f t="shared" si="151"/>
        <v>135248oz</v>
      </c>
      <c r="K1444" s="919">
        <v>1</v>
      </c>
      <c r="L1444" s="920">
        <f t="shared" si="150"/>
        <v>9114</v>
      </c>
      <c r="M1444" s="920">
        <f t="shared" si="152"/>
        <v>77.65128</v>
      </c>
      <c r="N1444" s="920">
        <f t="shared" si="153"/>
        <v>51.784090909090907</v>
      </c>
      <c r="O1444" s="918" t="str">
        <f t="shared" si="154"/>
        <v>Feb</v>
      </c>
      <c r="P1444" s="921">
        <f t="shared" si="155"/>
        <v>8</v>
      </c>
    </row>
    <row r="1445" spans="1:16" ht="15" hidden="1" customHeight="1">
      <c r="A1445" s="839">
        <v>64315721</v>
      </c>
      <c r="B1445" s="839">
        <v>1352</v>
      </c>
      <c r="C1445" s="906">
        <v>3344</v>
      </c>
      <c r="D1445" s="907">
        <v>46074</v>
      </c>
      <c r="E1445" s="839" t="s">
        <v>380</v>
      </c>
      <c r="F1445" s="839" t="s">
        <v>261</v>
      </c>
      <c r="G1445" s="916">
        <f>VLOOKUP($A1445,'Tech Litons'!$A:$I,8,FALSE)</f>
        <v>8.5199999999999998E-3</v>
      </c>
      <c r="H1445" s="917">
        <f>VLOOKUP($A1445,'Tech Litons'!$A:$I,9,FALSE)</f>
        <v>176</v>
      </c>
      <c r="I1445" s="917" t="str">
        <f>VLOOKUP($A1445,'Tech Litons'!$A:$C,3,0)</f>
        <v>48oz</v>
      </c>
      <c r="J1445" s="918" t="str">
        <f t="shared" si="151"/>
        <v>135248oz</v>
      </c>
      <c r="K1445" s="919">
        <v>1</v>
      </c>
      <c r="L1445" s="920">
        <f t="shared" si="150"/>
        <v>3344</v>
      </c>
      <c r="M1445" s="920">
        <f t="shared" si="152"/>
        <v>28.490880000000001</v>
      </c>
      <c r="N1445" s="920">
        <f t="shared" si="153"/>
        <v>19</v>
      </c>
      <c r="O1445" s="918" t="str">
        <f t="shared" si="154"/>
        <v>Feb</v>
      </c>
      <c r="P1445" s="921">
        <f t="shared" si="155"/>
        <v>8</v>
      </c>
    </row>
    <row r="1446" spans="1:16" ht="15" hidden="1" customHeight="1">
      <c r="A1446" s="839">
        <v>64315721</v>
      </c>
      <c r="B1446" s="839">
        <v>1352</v>
      </c>
      <c r="C1446" s="906">
        <v>3101</v>
      </c>
      <c r="D1446" s="907">
        <v>46075</v>
      </c>
      <c r="E1446" s="839" t="s">
        <v>380</v>
      </c>
      <c r="F1446" s="839" t="s">
        <v>261</v>
      </c>
      <c r="G1446" s="916">
        <f>VLOOKUP($A1446,'Tech Litons'!$A:$I,8,FALSE)</f>
        <v>8.5199999999999998E-3</v>
      </c>
      <c r="H1446" s="917">
        <f>VLOOKUP($A1446,'Tech Litons'!$A:$I,9,FALSE)</f>
        <v>176</v>
      </c>
      <c r="I1446" s="917" t="str">
        <f>VLOOKUP($A1446,'Tech Litons'!$A:$C,3,0)</f>
        <v>48oz</v>
      </c>
      <c r="J1446" s="918" t="str">
        <f t="shared" si="151"/>
        <v>135248oz</v>
      </c>
      <c r="K1446" s="919">
        <v>1</v>
      </c>
      <c r="L1446" s="920">
        <f t="shared" si="150"/>
        <v>3101</v>
      </c>
      <c r="M1446" s="920">
        <f t="shared" si="152"/>
        <v>26.42052</v>
      </c>
      <c r="N1446" s="920">
        <f t="shared" si="153"/>
        <v>17.619318181818183</v>
      </c>
      <c r="O1446" s="918" t="str">
        <f t="shared" si="154"/>
        <v>Feb</v>
      </c>
      <c r="P1446" s="921">
        <f t="shared" si="155"/>
        <v>9</v>
      </c>
    </row>
    <row r="1447" spans="1:16" ht="15" hidden="1" customHeight="1">
      <c r="A1447" s="839">
        <v>64315721</v>
      </c>
      <c r="B1447" s="839">
        <v>1352</v>
      </c>
      <c r="C1447" s="906">
        <v>528</v>
      </c>
      <c r="D1447" s="907">
        <v>46075</v>
      </c>
      <c r="E1447" s="839" t="s">
        <v>380</v>
      </c>
      <c r="F1447" s="839" t="s">
        <v>261</v>
      </c>
      <c r="G1447" s="916">
        <f>VLOOKUP($A1447,'Tech Litons'!$A:$I,8,FALSE)</f>
        <v>8.5199999999999998E-3</v>
      </c>
      <c r="H1447" s="917">
        <f>VLOOKUP($A1447,'Tech Litons'!$A:$I,9,FALSE)</f>
        <v>176</v>
      </c>
      <c r="I1447" s="917" t="str">
        <f>VLOOKUP($A1447,'Tech Litons'!$A:$C,3,0)</f>
        <v>48oz</v>
      </c>
      <c r="J1447" s="918" t="str">
        <f t="shared" si="151"/>
        <v>135248oz</v>
      </c>
      <c r="K1447" s="919">
        <v>1</v>
      </c>
      <c r="L1447" s="920">
        <f t="shared" si="150"/>
        <v>528</v>
      </c>
      <c r="M1447" s="920">
        <f t="shared" si="152"/>
        <v>4.4985599999999994</v>
      </c>
      <c r="N1447" s="920">
        <f t="shared" si="153"/>
        <v>3</v>
      </c>
      <c r="O1447" s="918" t="str">
        <f t="shared" si="154"/>
        <v>Feb</v>
      </c>
      <c r="P1447" s="921">
        <f t="shared" si="155"/>
        <v>9</v>
      </c>
    </row>
    <row r="1448" spans="1:16" ht="15" hidden="1" customHeight="1">
      <c r="A1448" s="839">
        <v>64315721</v>
      </c>
      <c r="B1448" s="839">
        <v>1352</v>
      </c>
      <c r="C1448" s="906">
        <v>2978</v>
      </c>
      <c r="D1448" s="907">
        <v>46067</v>
      </c>
      <c r="E1448" s="839" t="s">
        <v>380</v>
      </c>
      <c r="F1448" s="839" t="s">
        <v>261</v>
      </c>
      <c r="G1448" s="916">
        <f>VLOOKUP($A1448,'Tech Litons'!$A:$I,8,FALSE)</f>
        <v>8.5199999999999998E-3</v>
      </c>
      <c r="H1448" s="917">
        <f>VLOOKUP($A1448,'Tech Litons'!$A:$I,9,FALSE)</f>
        <v>176</v>
      </c>
      <c r="I1448" s="917" t="str">
        <f>VLOOKUP($A1448,'Tech Litons'!$A:$C,3,0)</f>
        <v>48oz</v>
      </c>
      <c r="J1448" s="918" t="str">
        <f t="shared" si="151"/>
        <v>135248oz</v>
      </c>
      <c r="K1448" s="919">
        <v>1</v>
      </c>
      <c r="L1448" s="920">
        <f t="shared" si="150"/>
        <v>2978</v>
      </c>
      <c r="M1448" s="920">
        <f t="shared" si="152"/>
        <v>25.37256</v>
      </c>
      <c r="N1448" s="920">
        <f t="shared" si="153"/>
        <v>16.920454545454547</v>
      </c>
      <c r="O1448" s="918" t="str">
        <f t="shared" si="154"/>
        <v>Feb</v>
      </c>
      <c r="P1448" s="921">
        <f t="shared" si="155"/>
        <v>7</v>
      </c>
    </row>
    <row r="1449" spans="1:16" ht="15" hidden="1" customHeight="1">
      <c r="A1449" s="839">
        <v>64315721</v>
      </c>
      <c r="B1449" s="839">
        <v>1352</v>
      </c>
      <c r="C1449" s="906">
        <v>11207</v>
      </c>
      <c r="D1449" s="907">
        <v>46072</v>
      </c>
      <c r="E1449" s="839" t="s">
        <v>380</v>
      </c>
      <c r="F1449" s="839" t="s">
        <v>261</v>
      </c>
      <c r="G1449" s="916">
        <f>VLOOKUP($A1449,'Tech Litons'!$A:$I,8,FALSE)</f>
        <v>8.5199999999999998E-3</v>
      </c>
      <c r="H1449" s="917">
        <f>VLOOKUP($A1449,'Tech Litons'!$A:$I,9,FALSE)</f>
        <v>176</v>
      </c>
      <c r="I1449" s="917" t="str">
        <f>VLOOKUP($A1449,'Tech Litons'!$A:$C,3,0)</f>
        <v>48oz</v>
      </c>
      <c r="J1449" s="918" t="str">
        <f t="shared" si="151"/>
        <v>135248oz</v>
      </c>
      <c r="K1449" s="919">
        <v>1</v>
      </c>
      <c r="L1449" s="920">
        <f t="shared" si="150"/>
        <v>11207</v>
      </c>
      <c r="M1449" s="920">
        <f t="shared" si="152"/>
        <v>95.483639999999994</v>
      </c>
      <c r="N1449" s="920">
        <f t="shared" si="153"/>
        <v>63.676136363636367</v>
      </c>
      <c r="O1449" s="918" t="str">
        <f t="shared" si="154"/>
        <v>Feb</v>
      </c>
      <c r="P1449" s="921">
        <f t="shared" si="155"/>
        <v>8</v>
      </c>
    </row>
    <row r="1450" spans="1:16" ht="15" hidden="1" customHeight="1">
      <c r="A1450" s="839">
        <v>64315721</v>
      </c>
      <c r="B1450" s="839">
        <v>1352</v>
      </c>
      <c r="C1450" s="906">
        <v>14631</v>
      </c>
      <c r="D1450" s="907">
        <v>46072</v>
      </c>
      <c r="E1450" s="839" t="s">
        <v>380</v>
      </c>
      <c r="F1450" s="839" t="s">
        <v>261</v>
      </c>
      <c r="G1450" s="916">
        <f>VLOOKUP($A1450,'Tech Litons'!$A:$I,8,FALSE)</f>
        <v>8.5199999999999998E-3</v>
      </c>
      <c r="H1450" s="917">
        <f>VLOOKUP($A1450,'Tech Litons'!$A:$I,9,FALSE)</f>
        <v>176</v>
      </c>
      <c r="I1450" s="917" t="str">
        <f>VLOOKUP($A1450,'Tech Litons'!$A:$C,3,0)</f>
        <v>48oz</v>
      </c>
      <c r="J1450" s="918" t="str">
        <f t="shared" si="151"/>
        <v>135248oz</v>
      </c>
      <c r="K1450" s="919">
        <v>1</v>
      </c>
      <c r="L1450" s="920">
        <f t="shared" si="150"/>
        <v>14631</v>
      </c>
      <c r="M1450" s="920">
        <f t="shared" si="152"/>
        <v>124.65612</v>
      </c>
      <c r="N1450" s="920">
        <f t="shared" si="153"/>
        <v>83.130681818181813</v>
      </c>
      <c r="O1450" s="918" t="str">
        <f t="shared" si="154"/>
        <v>Feb</v>
      </c>
      <c r="P1450" s="921">
        <f t="shared" si="155"/>
        <v>8</v>
      </c>
    </row>
    <row r="1451" spans="1:16" ht="15" hidden="1" customHeight="1">
      <c r="A1451" s="839">
        <v>64315721</v>
      </c>
      <c r="B1451" s="839">
        <v>1352</v>
      </c>
      <c r="C1451" s="906">
        <v>11461</v>
      </c>
      <c r="D1451" s="907">
        <v>46072</v>
      </c>
      <c r="E1451" s="839" t="s">
        <v>380</v>
      </c>
      <c r="F1451" s="839" t="s">
        <v>261</v>
      </c>
      <c r="G1451" s="916">
        <f>VLOOKUP($A1451,'Tech Litons'!$A:$I,8,FALSE)</f>
        <v>8.5199999999999998E-3</v>
      </c>
      <c r="H1451" s="917">
        <f>VLOOKUP($A1451,'Tech Litons'!$A:$I,9,FALSE)</f>
        <v>176</v>
      </c>
      <c r="I1451" s="917" t="str">
        <f>VLOOKUP($A1451,'Tech Litons'!$A:$C,3,0)</f>
        <v>48oz</v>
      </c>
      <c r="J1451" s="918" t="str">
        <f t="shared" si="151"/>
        <v>135248oz</v>
      </c>
      <c r="K1451" s="919">
        <v>1</v>
      </c>
      <c r="L1451" s="920">
        <f t="shared" si="150"/>
        <v>11461</v>
      </c>
      <c r="M1451" s="920">
        <f t="shared" si="152"/>
        <v>97.647719999999993</v>
      </c>
      <c r="N1451" s="920">
        <f t="shared" si="153"/>
        <v>65.119318181818187</v>
      </c>
      <c r="O1451" s="918" t="str">
        <f t="shared" si="154"/>
        <v>Feb</v>
      </c>
      <c r="P1451" s="921">
        <f t="shared" si="155"/>
        <v>8</v>
      </c>
    </row>
    <row r="1452" spans="1:16" ht="15" hidden="1" customHeight="1">
      <c r="A1452" s="839">
        <v>64315721</v>
      </c>
      <c r="B1452" s="839">
        <v>1352</v>
      </c>
      <c r="C1452" s="906">
        <v>3942</v>
      </c>
      <c r="D1452" s="907">
        <v>46072</v>
      </c>
      <c r="E1452" s="839" t="s">
        <v>380</v>
      </c>
      <c r="F1452" s="839" t="s">
        <v>261</v>
      </c>
      <c r="G1452" s="916">
        <f>VLOOKUP($A1452,'Tech Litons'!$A:$I,8,FALSE)</f>
        <v>8.5199999999999998E-3</v>
      </c>
      <c r="H1452" s="917">
        <f>VLOOKUP($A1452,'Tech Litons'!$A:$I,9,FALSE)</f>
        <v>176</v>
      </c>
      <c r="I1452" s="917" t="str">
        <f>VLOOKUP($A1452,'Tech Litons'!$A:$C,3,0)</f>
        <v>48oz</v>
      </c>
      <c r="J1452" s="918" t="str">
        <f t="shared" si="151"/>
        <v>135248oz</v>
      </c>
      <c r="K1452" s="919">
        <v>1</v>
      </c>
      <c r="L1452" s="920">
        <f t="shared" si="150"/>
        <v>3942</v>
      </c>
      <c r="M1452" s="920">
        <f t="shared" si="152"/>
        <v>33.585839999999997</v>
      </c>
      <c r="N1452" s="920">
        <f t="shared" si="153"/>
        <v>22.397727272727273</v>
      </c>
      <c r="O1452" s="918" t="str">
        <f t="shared" si="154"/>
        <v>Feb</v>
      </c>
      <c r="P1452" s="921">
        <f t="shared" si="155"/>
        <v>8</v>
      </c>
    </row>
    <row r="1453" spans="1:16" ht="15" hidden="1" customHeight="1">
      <c r="A1453" s="839">
        <v>64315721</v>
      </c>
      <c r="B1453" s="839">
        <v>1352</v>
      </c>
      <c r="C1453" s="906">
        <v>11799</v>
      </c>
      <c r="D1453" s="907">
        <v>46072</v>
      </c>
      <c r="E1453" s="839" t="s">
        <v>380</v>
      </c>
      <c r="F1453" s="839" t="s">
        <v>261</v>
      </c>
      <c r="G1453" s="916">
        <f>VLOOKUP($A1453,'Tech Litons'!$A:$I,8,FALSE)</f>
        <v>8.5199999999999998E-3</v>
      </c>
      <c r="H1453" s="917">
        <f>VLOOKUP($A1453,'Tech Litons'!$A:$I,9,FALSE)</f>
        <v>176</v>
      </c>
      <c r="I1453" s="917" t="str">
        <f>VLOOKUP($A1453,'Tech Litons'!$A:$C,3,0)</f>
        <v>48oz</v>
      </c>
      <c r="J1453" s="918" t="str">
        <f t="shared" si="151"/>
        <v>135248oz</v>
      </c>
      <c r="K1453" s="919">
        <v>1</v>
      </c>
      <c r="L1453" s="920">
        <f t="shared" si="150"/>
        <v>11799</v>
      </c>
      <c r="M1453" s="920">
        <f t="shared" si="152"/>
        <v>100.52748</v>
      </c>
      <c r="N1453" s="920">
        <f t="shared" si="153"/>
        <v>67.039772727272734</v>
      </c>
      <c r="O1453" s="918" t="str">
        <f t="shared" si="154"/>
        <v>Feb</v>
      </c>
      <c r="P1453" s="921">
        <f t="shared" si="155"/>
        <v>8</v>
      </c>
    </row>
    <row r="1454" spans="1:16" ht="15" hidden="1" customHeight="1">
      <c r="A1454" s="839">
        <v>64341967</v>
      </c>
      <c r="B1454" s="839">
        <v>1352</v>
      </c>
      <c r="C1454" s="906">
        <v>-47</v>
      </c>
      <c r="D1454" s="907">
        <v>46050</v>
      </c>
      <c r="E1454" s="839" t="s">
        <v>260</v>
      </c>
      <c r="F1454" s="839" t="s">
        <v>261</v>
      </c>
      <c r="G1454" s="916">
        <f>VLOOKUP($A1454,'Tech Litons'!$A:$I,8,FALSE)</f>
        <v>8.513999999999999E-3</v>
      </c>
      <c r="H1454" s="917">
        <f>VLOOKUP($A1454,'Tech Litons'!$A:$I,9,FALSE)</f>
        <v>176</v>
      </c>
      <c r="I1454" s="917" t="str">
        <f>VLOOKUP($A1454,'Tech Litons'!$A:$C,3,0)</f>
        <v>48oz</v>
      </c>
      <c r="J1454" s="918" t="str">
        <f t="shared" si="151"/>
        <v>135248oz</v>
      </c>
      <c r="K1454" s="919">
        <v>1</v>
      </c>
      <c r="L1454" s="920">
        <f t="shared" si="150"/>
        <v>-47</v>
      </c>
      <c r="M1454" s="920">
        <f t="shared" si="152"/>
        <v>-0.40015799999999996</v>
      </c>
      <c r="N1454" s="920">
        <f t="shared" si="153"/>
        <v>-0.26704545454545453</v>
      </c>
      <c r="O1454" s="918" t="str">
        <f t="shared" si="154"/>
        <v>Jan</v>
      </c>
      <c r="P1454" s="921">
        <f t="shared" si="155"/>
        <v>5</v>
      </c>
    </row>
    <row r="1455" spans="1:16" ht="15" hidden="1" customHeight="1">
      <c r="A1455" s="839">
        <v>64341968</v>
      </c>
      <c r="B1455" s="839">
        <v>1352</v>
      </c>
      <c r="C1455" s="906">
        <v>-176</v>
      </c>
      <c r="D1455" s="907">
        <v>46054</v>
      </c>
      <c r="E1455" s="839" t="s">
        <v>322</v>
      </c>
      <c r="F1455" s="839" t="s">
        <v>261</v>
      </c>
      <c r="G1455" s="916">
        <f>VLOOKUP($A1455,'Tech Litons'!$A:$I,8,FALSE)</f>
        <v>8.5199999999999998E-3</v>
      </c>
      <c r="H1455" s="917">
        <f>VLOOKUP($A1455,'Tech Litons'!$A:$I,9,FALSE)</f>
        <v>176</v>
      </c>
      <c r="I1455" s="917" t="str">
        <f>VLOOKUP($A1455,'Tech Litons'!$A:$C,3,0)</f>
        <v>48oz</v>
      </c>
      <c r="J1455" s="918" t="str">
        <f t="shared" si="151"/>
        <v>135248oz</v>
      </c>
      <c r="K1455" s="919">
        <v>1</v>
      </c>
      <c r="L1455" s="920">
        <f t="shared" si="150"/>
        <v>-176</v>
      </c>
      <c r="M1455" s="920">
        <f t="shared" si="152"/>
        <v>-1.49952</v>
      </c>
      <c r="N1455" s="920">
        <f t="shared" si="153"/>
        <v>-1</v>
      </c>
      <c r="O1455" s="918" t="str">
        <f t="shared" si="154"/>
        <v>Feb</v>
      </c>
      <c r="P1455" s="921">
        <f t="shared" si="155"/>
        <v>6</v>
      </c>
    </row>
    <row r="1456" spans="1:16" ht="15" hidden="1" customHeight="1">
      <c r="A1456" s="839">
        <v>64341968</v>
      </c>
      <c r="B1456" s="839">
        <v>1352</v>
      </c>
      <c r="C1456" s="906">
        <v>175</v>
      </c>
      <c r="D1456" s="907">
        <v>46058</v>
      </c>
      <c r="E1456" s="839" t="s">
        <v>322</v>
      </c>
      <c r="F1456" s="839" t="s">
        <v>261</v>
      </c>
      <c r="G1456" s="916">
        <f>VLOOKUP($A1456,'Tech Litons'!$A:$I,8,FALSE)</f>
        <v>8.5199999999999998E-3</v>
      </c>
      <c r="H1456" s="917">
        <f>VLOOKUP($A1456,'Tech Litons'!$A:$I,9,FALSE)</f>
        <v>176</v>
      </c>
      <c r="I1456" s="917" t="str">
        <f>VLOOKUP($A1456,'Tech Litons'!$A:$C,3,0)</f>
        <v>48oz</v>
      </c>
      <c r="J1456" s="918" t="str">
        <f t="shared" si="151"/>
        <v>135248oz</v>
      </c>
      <c r="K1456" s="919">
        <v>1</v>
      </c>
      <c r="L1456" s="920">
        <f t="shared" si="150"/>
        <v>175</v>
      </c>
      <c r="M1456" s="920">
        <f t="shared" si="152"/>
        <v>1.4909999999999999</v>
      </c>
      <c r="N1456" s="920">
        <f t="shared" si="153"/>
        <v>0.99431818181818177</v>
      </c>
      <c r="O1456" s="918" t="str">
        <f t="shared" si="154"/>
        <v>Feb</v>
      </c>
      <c r="P1456" s="921">
        <f t="shared" si="155"/>
        <v>6</v>
      </c>
    </row>
    <row r="1457" spans="1:16" ht="15" hidden="1" customHeight="1">
      <c r="A1457" s="839">
        <v>64776954</v>
      </c>
      <c r="B1457" s="839">
        <v>1352</v>
      </c>
      <c r="C1457" s="906">
        <v>1541</v>
      </c>
      <c r="D1457" s="907">
        <v>46052</v>
      </c>
      <c r="E1457" s="839" t="s">
        <v>285</v>
      </c>
      <c r="F1457" s="839" t="s">
        <v>224</v>
      </c>
      <c r="G1457" s="916">
        <f>VLOOKUP($A1457,'Tech Litons'!$A:$I,8,FALSE)</f>
        <v>3.8340000000000002E-3</v>
      </c>
      <c r="H1457" s="917">
        <f>VLOOKUP($A1457,'Tech Litons'!$A:$I,9,FALSE)</f>
        <v>130</v>
      </c>
      <c r="I1457" s="917" t="str">
        <f>VLOOKUP($A1457,'Tech Litons'!$A:$C,3,0)</f>
        <v>pG</v>
      </c>
      <c r="J1457" s="918" t="str">
        <f t="shared" si="151"/>
        <v>1352pG</v>
      </c>
      <c r="K1457" s="919">
        <v>1</v>
      </c>
      <c r="L1457" s="920">
        <f t="shared" si="150"/>
        <v>1541</v>
      </c>
      <c r="M1457" s="920">
        <f t="shared" si="152"/>
        <v>5.9081939999999999</v>
      </c>
      <c r="N1457" s="920">
        <f t="shared" si="153"/>
        <v>11.853846153846154</v>
      </c>
      <c r="O1457" s="918" t="str">
        <f t="shared" si="154"/>
        <v>Jan</v>
      </c>
      <c r="P1457" s="921">
        <f t="shared" si="155"/>
        <v>5</v>
      </c>
    </row>
    <row r="1458" spans="1:16" ht="15" hidden="1" customHeight="1">
      <c r="A1458" s="839">
        <v>64776954</v>
      </c>
      <c r="B1458" s="839">
        <v>1352</v>
      </c>
      <c r="C1458" s="906">
        <v>1820</v>
      </c>
      <c r="D1458" s="907">
        <v>46052</v>
      </c>
      <c r="E1458" s="839" t="s">
        <v>285</v>
      </c>
      <c r="F1458" s="839" t="s">
        <v>224</v>
      </c>
      <c r="G1458" s="916">
        <f>VLOOKUP($A1458,'Tech Litons'!$A:$I,8,FALSE)</f>
        <v>3.8340000000000002E-3</v>
      </c>
      <c r="H1458" s="917">
        <f>VLOOKUP($A1458,'Tech Litons'!$A:$I,9,FALSE)</f>
        <v>130</v>
      </c>
      <c r="I1458" s="917" t="str">
        <f>VLOOKUP($A1458,'Tech Litons'!$A:$C,3,0)</f>
        <v>pG</v>
      </c>
      <c r="J1458" s="918" t="str">
        <f t="shared" si="151"/>
        <v>1352pG</v>
      </c>
      <c r="K1458" s="919">
        <v>1</v>
      </c>
      <c r="L1458" s="920">
        <f t="shared" si="150"/>
        <v>1820</v>
      </c>
      <c r="M1458" s="920">
        <f t="shared" si="152"/>
        <v>6.9778800000000007</v>
      </c>
      <c r="N1458" s="920">
        <f t="shared" si="153"/>
        <v>14</v>
      </c>
      <c r="O1458" s="918" t="str">
        <f t="shared" si="154"/>
        <v>Jan</v>
      </c>
      <c r="P1458" s="921">
        <f t="shared" si="155"/>
        <v>5</v>
      </c>
    </row>
    <row r="1459" spans="1:16" ht="15" hidden="1" customHeight="1">
      <c r="A1459" s="839">
        <v>64776954</v>
      </c>
      <c r="B1459" s="839">
        <v>1352</v>
      </c>
      <c r="C1459" s="906">
        <v>3405</v>
      </c>
      <c r="D1459" s="907">
        <v>46053</v>
      </c>
      <c r="E1459" s="839" t="s">
        <v>285</v>
      </c>
      <c r="F1459" s="839" t="s">
        <v>224</v>
      </c>
      <c r="G1459" s="916">
        <f>VLOOKUP($A1459,'Tech Litons'!$A:$I,8,FALSE)</f>
        <v>3.8340000000000002E-3</v>
      </c>
      <c r="H1459" s="917">
        <f>VLOOKUP($A1459,'Tech Litons'!$A:$I,9,FALSE)</f>
        <v>130</v>
      </c>
      <c r="I1459" s="917" t="str">
        <f>VLOOKUP($A1459,'Tech Litons'!$A:$C,3,0)</f>
        <v>pG</v>
      </c>
      <c r="J1459" s="918" t="str">
        <f t="shared" si="151"/>
        <v>1352pG</v>
      </c>
      <c r="K1459" s="919">
        <v>1</v>
      </c>
      <c r="L1459" s="920">
        <f t="shared" si="150"/>
        <v>3405</v>
      </c>
      <c r="M1459" s="920">
        <f t="shared" si="152"/>
        <v>13.054770000000001</v>
      </c>
      <c r="N1459" s="920">
        <f t="shared" si="153"/>
        <v>26.192307692307693</v>
      </c>
      <c r="O1459" s="918" t="str">
        <f t="shared" si="154"/>
        <v>Jan</v>
      </c>
      <c r="P1459" s="921">
        <f t="shared" si="155"/>
        <v>5</v>
      </c>
    </row>
    <row r="1460" spans="1:16" ht="15" hidden="1" customHeight="1">
      <c r="A1460" s="839">
        <v>64776954</v>
      </c>
      <c r="B1460" s="839">
        <v>1352</v>
      </c>
      <c r="C1460" s="906">
        <v>1820</v>
      </c>
      <c r="D1460" s="907">
        <v>46055</v>
      </c>
      <c r="E1460" s="839" t="s">
        <v>285</v>
      </c>
      <c r="F1460" s="839" t="s">
        <v>224</v>
      </c>
      <c r="G1460" s="916">
        <f>VLOOKUP($A1460,'Tech Litons'!$A:$I,8,FALSE)</f>
        <v>3.8340000000000002E-3</v>
      </c>
      <c r="H1460" s="917">
        <f>VLOOKUP($A1460,'Tech Litons'!$A:$I,9,FALSE)</f>
        <v>130</v>
      </c>
      <c r="I1460" s="917" t="str">
        <f>VLOOKUP($A1460,'Tech Litons'!$A:$C,3,0)</f>
        <v>pG</v>
      </c>
      <c r="J1460" s="918" t="str">
        <f t="shared" si="151"/>
        <v>1352pG</v>
      </c>
      <c r="K1460" s="919">
        <v>1</v>
      </c>
      <c r="L1460" s="920">
        <f t="shared" si="150"/>
        <v>1820</v>
      </c>
      <c r="M1460" s="920">
        <f t="shared" si="152"/>
        <v>6.9778800000000007</v>
      </c>
      <c r="N1460" s="920">
        <f t="shared" si="153"/>
        <v>14</v>
      </c>
      <c r="O1460" s="918" t="str">
        <f t="shared" si="154"/>
        <v>Feb</v>
      </c>
      <c r="P1460" s="921">
        <f t="shared" si="155"/>
        <v>6</v>
      </c>
    </row>
    <row r="1461" spans="1:16" ht="15" hidden="1" customHeight="1">
      <c r="A1461" s="839">
        <v>64776954</v>
      </c>
      <c r="B1461" s="839">
        <v>1352</v>
      </c>
      <c r="C1461" s="906">
        <v>2913</v>
      </c>
      <c r="D1461" s="907">
        <v>46056</v>
      </c>
      <c r="E1461" s="839" t="s">
        <v>285</v>
      </c>
      <c r="F1461" s="839" t="s">
        <v>224</v>
      </c>
      <c r="G1461" s="916">
        <f>VLOOKUP($A1461,'Tech Litons'!$A:$I,8,FALSE)</f>
        <v>3.8340000000000002E-3</v>
      </c>
      <c r="H1461" s="917">
        <f>VLOOKUP($A1461,'Tech Litons'!$A:$I,9,FALSE)</f>
        <v>130</v>
      </c>
      <c r="I1461" s="917" t="str">
        <f>VLOOKUP($A1461,'Tech Litons'!$A:$C,3,0)</f>
        <v>pG</v>
      </c>
      <c r="J1461" s="918" t="str">
        <f t="shared" si="151"/>
        <v>1352pG</v>
      </c>
      <c r="K1461" s="919">
        <v>1</v>
      </c>
      <c r="L1461" s="920">
        <f t="shared" si="150"/>
        <v>2913</v>
      </c>
      <c r="M1461" s="920">
        <f t="shared" si="152"/>
        <v>11.168442000000001</v>
      </c>
      <c r="N1461" s="920">
        <f t="shared" si="153"/>
        <v>22.407692307692308</v>
      </c>
      <c r="O1461" s="918" t="str">
        <f t="shared" si="154"/>
        <v>Feb</v>
      </c>
      <c r="P1461" s="921">
        <f t="shared" si="155"/>
        <v>6</v>
      </c>
    </row>
    <row r="1462" spans="1:16" ht="15" hidden="1" customHeight="1">
      <c r="A1462" s="839">
        <v>64776954</v>
      </c>
      <c r="B1462" s="839">
        <v>1352</v>
      </c>
      <c r="C1462" s="906">
        <v>2210</v>
      </c>
      <c r="D1462" s="907">
        <v>46056</v>
      </c>
      <c r="E1462" s="839" t="s">
        <v>285</v>
      </c>
      <c r="F1462" s="839" t="s">
        <v>224</v>
      </c>
      <c r="G1462" s="916">
        <f>VLOOKUP($A1462,'Tech Litons'!$A:$I,8,FALSE)</f>
        <v>3.8340000000000002E-3</v>
      </c>
      <c r="H1462" s="917">
        <f>VLOOKUP($A1462,'Tech Litons'!$A:$I,9,FALSE)</f>
        <v>130</v>
      </c>
      <c r="I1462" s="917" t="str">
        <f>VLOOKUP($A1462,'Tech Litons'!$A:$C,3,0)</f>
        <v>pG</v>
      </c>
      <c r="J1462" s="918" t="str">
        <f t="shared" si="151"/>
        <v>1352pG</v>
      </c>
      <c r="K1462" s="919">
        <v>1</v>
      </c>
      <c r="L1462" s="920">
        <f t="shared" si="150"/>
        <v>2210</v>
      </c>
      <c r="M1462" s="920">
        <f t="shared" si="152"/>
        <v>8.4731400000000008</v>
      </c>
      <c r="N1462" s="920">
        <f t="shared" si="153"/>
        <v>17</v>
      </c>
      <c r="O1462" s="918" t="str">
        <f t="shared" si="154"/>
        <v>Feb</v>
      </c>
      <c r="P1462" s="921">
        <f t="shared" si="155"/>
        <v>6</v>
      </c>
    </row>
    <row r="1463" spans="1:16" ht="15" hidden="1" customHeight="1">
      <c r="A1463" s="839">
        <v>64776954</v>
      </c>
      <c r="B1463" s="839">
        <v>1352</v>
      </c>
      <c r="C1463" s="906">
        <v>2869</v>
      </c>
      <c r="D1463" s="907">
        <v>46057</v>
      </c>
      <c r="E1463" s="839" t="s">
        <v>285</v>
      </c>
      <c r="F1463" s="839" t="s">
        <v>224</v>
      </c>
      <c r="G1463" s="916">
        <f>VLOOKUP($A1463,'Tech Litons'!$A:$I,8,FALSE)</f>
        <v>3.8340000000000002E-3</v>
      </c>
      <c r="H1463" s="917">
        <f>VLOOKUP($A1463,'Tech Litons'!$A:$I,9,FALSE)</f>
        <v>130</v>
      </c>
      <c r="I1463" s="917" t="str">
        <f>VLOOKUP($A1463,'Tech Litons'!$A:$C,3,0)</f>
        <v>pG</v>
      </c>
      <c r="J1463" s="918" t="str">
        <f t="shared" si="151"/>
        <v>1352pG</v>
      </c>
      <c r="K1463" s="919">
        <v>1</v>
      </c>
      <c r="L1463" s="920">
        <f t="shared" si="150"/>
        <v>2869</v>
      </c>
      <c r="M1463" s="920">
        <f t="shared" si="152"/>
        <v>10.999746</v>
      </c>
      <c r="N1463" s="920">
        <f t="shared" si="153"/>
        <v>22.069230769230771</v>
      </c>
      <c r="O1463" s="918" t="str">
        <f t="shared" si="154"/>
        <v>Feb</v>
      </c>
      <c r="P1463" s="921">
        <f t="shared" si="155"/>
        <v>6</v>
      </c>
    </row>
    <row r="1464" spans="1:16" ht="15" hidden="1" customHeight="1">
      <c r="A1464" s="839">
        <v>64776954</v>
      </c>
      <c r="B1464" s="839">
        <v>1352</v>
      </c>
      <c r="C1464" s="906">
        <v>1820</v>
      </c>
      <c r="D1464" s="907">
        <v>46057</v>
      </c>
      <c r="E1464" s="839" t="s">
        <v>285</v>
      </c>
      <c r="F1464" s="839" t="s">
        <v>224</v>
      </c>
      <c r="G1464" s="916">
        <f>VLOOKUP($A1464,'Tech Litons'!$A:$I,8,FALSE)</f>
        <v>3.8340000000000002E-3</v>
      </c>
      <c r="H1464" s="917">
        <f>VLOOKUP($A1464,'Tech Litons'!$A:$I,9,FALSE)</f>
        <v>130</v>
      </c>
      <c r="I1464" s="917" t="str">
        <f>VLOOKUP($A1464,'Tech Litons'!$A:$C,3,0)</f>
        <v>pG</v>
      </c>
      <c r="J1464" s="918" t="str">
        <f t="shared" si="151"/>
        <v>1352pG</v>
      </c>
      <c r="K1464" s="919">
        <v>1</v>
      </c>
      <c r="L1464" s="920">
        <f t="shared" si="150"/>
        <v>1820</v>
      </c>
      <c r="M1464" s="920">
        <f t="shared" si="152"/>
        <v>6.9778800000000007</v>
      </c>
      <c r="N1464" s="920">
        <f t="shared" si="153"/>
        <v>14</v>
      </c>
      <c r="O1464" s="918" t="str">
        <f t="shared" si="154"/>
        <v>Feb</v>
      </c>
      <c r="P1464" s="921">
        <f t="shared" si="155"/>
        <v>6</v>
      </c>
    </row>
    <row r="1465" spans="1:16" ht="15" hidden="1" customHeight="1">
      <c r="A1465" s="839">
        <v>64776954</v>
      </c>
      <c r="B1465" s="839">
        <v>1352</v>
      </c>
      <c r="C1465" s="906">
        <v>2673</v>
      </c>
      <c r="D1465" s="907">
        <v>46058</v>
      </c>
      <c r="E1465" s="839" t="s">
        <v>285</v>
      </c>
      <c r="F1465" s="839" t="s">
        <v>224</v>
      </c>
      <c r="G1465" s="916">
        <f>VLOOKUP($A1465,'Tech Litons'!$A:$I,8,FALSE)</f>
        <v>3.8340000000000002E-3</v>
      </c>
      <c r="H1465" s="917">
        <f>VLOOKUP($A1465,'Tech Litons'!$A:$I,9,FALSE)</f>
        <v>130</v>
      </c>
      <c r="I1465" s="917" t="str">
        <f>VLOOKUP($A1465,'Tech Litons'!$A:$C,3,0)</f>
        <v>pG</v>
      </c>
      <c r="J1465" s="918" t="str">
        <f t="shared" si="151"/>
        <v>1352pG</v>
      </c>
      <c r="K1465" s="919">
        <v>1</v>
      </c>
      <c r="L1465" s="920">
        <f t="shared" si="150"/>
        <v>2673</v>
      </c>
      <c r="M1465" s="920">
        <f t="shared" si="152"/>
        <v>10.248282</v>
      </c>
      <c r="N1465" s="920">
        <f t="shared" si="153"/>
        <v>20.561538461538461</v>
      </c>
      <c r="O1465" s="918" t="str">
        <f t="shared" si="154"/>
        <v>Feb</v>
      </c>
      <c r="P1465" s="921">
        <f t="shared" si="155"/>
        <v>6</v>
      </c>
    </row>
    <row r="1466" spans="1:16" ht="15" hidden="1" customHeight="1">
      <c r="A1466" s="839">
        <v>64776954</v>
      </c>
      <c r="B1466" s="839">
        <v>1352</v>
      </c>
      <c r="C1466" s="906">
        <v>1950</v>
      </c>
      <c r="D1466" s="907">
        <v>46058</v>
      </c>
      <c r="E1466" s="839" t="s">
        <v>285</v>
      </c>
      <c r="F1466" s="839" t="s">
        <v>224</v>
      </c>
      <c r="G1466" s="916">
        <f>VLOOKUP($A1466,'Tech Litons'!$A:$I,8,FALSE)</f>
        <v>3.8340000000000002E-3</v>
      </c>
      <c r="H1466" s="917">
        <f>VLOOKUP($A1466,'Tech Litons'!$A:$I,9,FALSE)</f>
        <v>130</v>
      </c>
      <c r="I1466" s="917" t="str">
        <f>VLOOKUP($A1466,'Tech Litons'!$A:$C,3,0)</f>
        <v>pG</v>
      </c>
      <c r="J1466" s="918" t="str">
        <f t="shared" si="151"/>
        <v>1352pG</v>
      </c>
      <c r="K1466" s="919">
        <v>1</v>
      </c>
      <c r="L1466" s="920">
        <f t="shared" si="150"/>
        <v>1950</v>
      </c>
      <c r="M1466" s="920">
        <f t="shared" si="152"/>
        <v>7.4763000000000002</v>
      </c>
      <c r="N1466" s="920">
        <f t="shared" si="153"/>
        <v>15</v>
      </c>
      <c r="O1466" s="918" t="str">
        <f t="shared" si="154"/>
        <v>Feb</v>
      </c>
      <c r="P1466" s="921">
        <f t="shared" si="155"/>
        <v>6</v>
      </c>
    </row>
    <row r="1467" spans="1:16" ht="15" hidden="1" customHeight="1">
      <c r="A1467" s="839">
        <v>64776954</v>
      </c>
      <c r="B1467" s="839">
        <v>1352</v>
      </c>
      <c r="C1467" s="906">
        <v>2743</v>
      </c>
      <c r="D1467" s="907">
        <v>46059</v>
      </c>
      <c r="E1467" s="839" t="s">
        <v>285</v>
      </c>
      <c r="F1467" s="839" t="s">
        <v>224</v>
      </c>
      <c r="G1467" s="916">
        <f>VLOOKUP($A1467,'Tech Litons'!$A:$I,8,FALSE)</f>
        <v>3.8340000000000002E-3</v>
      </c>
      <c r="H1467" s="917">
        <f>VLOOKUP($A1467,'Tech Litons'!$A:$I,9,FALSE)</f>
        <v>130</v>
      </c>
      <c r="I1467" s="917" t="str">
        <f>VLOOKUP($A1467,'Tech Litons'!$A:$C,3,0)</f>
        <v>pG</v>
      </c>
      <c r="J1467" s="918" t="str">
        <f t="shared" si="151"/>
        <v>1352pG</v>
      </c>
      <c r="K1467" s="919">
        <v>1</v>
      </c>
      <c r="L1467" s="920">
        <f t="shared" si="150"/>
        <v>2743</v>
      </c>
      <c r="M1467" s="920">
        <f t="shared" si="152"/>
        <v>10.516662</v>
      </c>
      <c r="N1467" s="920">
        <f t="shared" si="153"/>
        <v>21.1</v>
      </c>
      <c r="O1467" s="918" t="str">
        <f t="shared" si="154"/>
        <v>Feb</v>
      </c>
      <c r="P1467" s="921">
        <f t="shared" si="155"/>
        <v>6</v>
      </c>
    </row>
    <row r="1468" spans="1:16" ht="15" hidden="1" customHeight="1">
      <c r="A1468" s="839">
        <v>64776954</v>
      </c>
      <c r="B1468" s="839">
        <v>1352</v>
      </c>
      <c r="C1468" s="906">
        <v>431</v>
      </c>
      <c r="D1468" s="907">
        <v>46059</v>
      </c>
      <c r="E1468" s="839" t="s">
        <v>285</v>
      </c>
      <c r="F1468" s="839" t="s">
        <v>224</v>
      </c>
      <c r="G1468" s="916">
        <f>VLOOKUP($A1468,'Tech Litons'!$A:$I,8,FALSE)</f>
        <v>3.8340000000000002E-3</v>
      </c>
      <c r="H1468" s="917">
        <f>VLOOKUP($A1468,'Tech Litons'!$A:$I,9,FALSE)</f>
        <v>130</v>
      </c>
      <c r="I1468" s="917" t="str">
        <f>VLOOKUP($A1468,'Tech Litons'!$A:$C,3,0)</f>
        <v>pG</v>
      </c>
      <c r="J1468" s="918" t="str">
        <f t="shared" si="151"/>
        <v>1352pG</v>
      </c>
      <c r="K1468" s="919">
        <v>1</v>
      </c>
      <c r="L1468" s="920">
        <f t="shared" si="150"/>
        <v>431</v>
      </c>
      <c r="M1468" s="920">
        <f t="shared" si="152"/>
        <v>1.6524540000000001</v>
      </c>
      <c r="N1468" s="920">
        <f t="shared" si="153"/>
        <v>3.3153846153846156</v>
      </c>
      <c r="O1468" s="918" t="str">
        <f t="shared" si="154"/>
        <v>Feb</v>
      </c>
      <c r="P1468" s="921">
        <f t="shared" si="155"/>
        <v>6</v>
      </c>
    </row>
    <row r="1469" spans="1:16" ht="15" hidden="1" customHeight="1">
      <c r="A1469" s="839">
        <v>64776954</v>
      </c>
      <c r="B1469" s="839">
        <v>1352</v>
      </c>
      <c r="C1469" s="906">
        <v>1279</v>
      </c>
      <c r="D1469" s="907">
        <v>46053</v>
      </c>
      <c r="E1469" s="839" t="s">
        <v>285</v>
      </c>
      <c r="F1469" s="839" t="s">
        <v>224</v>
      </c>
      <c r="G1469" s="916">
        <f>VLOOKUP($A1469,'Tech Litons'!$A:$I,8,FALSE)</f>
        <v>3.8340000000000002E-3</v>
      </c>
      <c r="H1469" s="917">
        <f>VLOOKUP($A1469,'Tech Litons'!$A:$I,9,FALSE)</f>
        <v>130</v>
      </c>
      <c r="I1469" s="917" t="str">
        <f>VLOOKUP($A1469,'Tech Litons'!$A:$C,3,0)</f>
        <v>pG</v>
      </c>
      <c r="J1469" s="918" t="str">
        <f t="shared" si="151"/>
        <v>1352pG</v>
      </c>
      <c r="K1469" s="919">
        <v>1</v>
      </c>
      <c r="L1469" s="920">
        <f t="shared" si="150"/>
        <v>1279</v>
      </c>
      <c r="M1469" s="920">
        <f t="shared" si="152"/>
        <v>4.9036860000000004</v>
      </c>
      <c r="N1469" s="920">
        <f t="shared" si="153"/>
        <v>9.838461538461539</v>
      </c>
      <c r="O1469" s="918" t="str">
        <f t="shared" si="154"/>
        <v>Jan</v>
      </c>
      <c r="P1469" s="921">
        <f t="shared" si="155"/>
        <v>5</v>
      </c>
    </row>
    <row r="1470" spans="1:16" ht="15" hidden="1" customHeight="1">
      <c r="A1470" s="839">
        <v>64786666</v>
      </c>
      <c r="B1470" s="839">
        <v>1352</v>
      </c>
      <c r="C1470" s="906">
        <v>307</v>
      </c>
      <c r="D1470" s="907">
        <v>46055</v>
      </c>
      <c r="E1470" s="839" t="s">
        <v>405</v>
      </c>
      <c r="F1470" s="839" t="s">
        <v>289</v>
      </c>
      <c r="G1470" s="916">
        <f>VLOOKUP($A1470,'Tech Litons'!$A:$I,8,FALSE)</f>
        <v>4.2560000000000002E-3</v>
      </c>
      <c r="H1470" s="917">
        <f>VLOOKUP($A1470,'Tech Litons'!$A:$I,9,FALSE)</f>
        <v>154</v>
      </c>
      <c r="I1470" s="917" t="str">
        <f>VLOOKUP($A1470,'Tech Litons'!$A:$C,3,0)</f>
        <v>MBG</v>
      </c>
      <c r="J1470" s="918" t="str">
        <f t="shared" si="151"/>
        <v>1352MBG</v>
      </c>
      <c r="K1470" s="919">
        <v>1</v>
      </c>
      <c r="L1470" s="920">
        <f t="shared" si="150"/>
        <v>307</v>
      </c>
      <c r="M1470" s="920">
        <f t="shared" si="152"/>
        <v>1.306592</v>
      </c>
      <c r="N1470" s="920">
        <f t="shared" si="153"/>
        <v>1.9935064935064934</v>
      </c>
      <c r="O1470" s="918" t="str">
        <f t="shared" si="154"/>
        <v>Feb</v>
      </c>
      <c r="P1470" s="921">
        <f t="shared" si="155"/>
        <v>6</v>
      </c>
    </row>
    <row r="1471" spans="1:16" ht="15" hidden="1" customHeight="1">
      <c r="A1471" s="839">
        <v>64786666</v>
      </c>
      <c r="B1471" s="839">
        <v>1352</v>
      </c>
      <c r="C1471" s="906">
        <v>2669</v>
      </c>
      <c r="D1471" s="907">
        <v>46056</v>
      </c>
      <c r="E1471" s="839" t="s">
        <v>405</v>
      </c>
      <c r="F1471" s="839" t="s">
        <v>289</v>
      </c>
      <c r="G1471" s="916">
        <f>VLOOKUP($A1471,'Tech Litons'!$A:$I,8,FALSE)</f>
        <v>4.2560000000000002E-3</v>
      </c>
      <c r="H1471" s="917">
        <f>VLOOKUP($A1471,'Tech Litons'!$A:$I,9,FALSE)</f>
        <v>154</v>
      </c>
      <c r="I1471" s="917" t="str">
        <f>VLOOKUP($A1471,'Tech Litons'!$A:$C,3,0)</f>
        <v>MBG</v>
      </c>
      <c r="J1471" s="918" t="str">
        <f t="shared" si="151"/>
        <v>1352MBG</v>
      </c>
      <c r="K1471" s="919">
        <v>1</v>
      </c>
      <c r="L1471" s="920">
        <f t="shared" si="150"/>
        <v>2669</v>
      </c>
      <c r="M1471" s="920">
        <f t="shared" si="152"/>
        <v>11.359264000000001</v>
      </c>
      <c r="N1471" s="920">
        <f t="shared" si="153"/>
        <v>17.331168831168831</v>
      </c>
      <c r="O1471" s="918" t="str">
        <f t="shared" si="154"/>
        <v>Feb</v>
      </c>
      <c r="P1471" s="921">
        <f t="shared" si="155"/>
        <v>6</v>
      </c>
    </row>
    <row r="1472" spans="1:16" ht="15" hidden="1" customHeight="1">
      <c r="A1472" s="839">
        <v>64786666</v>
      </c>
      <c r="B1472" s="839">
        <v>1352</v>
      </c>
      <c r="C1472" s="906">
        <v>1386</v>
      </c>
      <c r="D1472" s="907">
        <v>46056</v>
      </c>
      <c r="E1472" s="839" t="s">
        <v>405</v>
      </c>
      <c r="F1472" s="839" t="s">
        <v>289</v>
      </c>
      <c r="G1472" s="916">
        <f>VLOOKUP($A1472,'Tech Litons'!$A:$I,8,FALSE)</f>
        <v>4.2560000000000002E-3</v>
      </c>
      <c r="H1472" s="917">
        <f>VLOOKUP($A1472,'Tech Litons'!$A:$I,9,FALSE)</f>
        <v>154</v>
      </c>
      <c r="I1472" s="917" t="str">
        <f>VLOOKUP($A1472,'Tech Litons'!$A:$C,3,0)</f>
        <v>MBG</v>
      </c>
      <c r="J1472" s="918" t="str">
        <f t="shared" si="151"/>
        <v>1352MBG</v>
      </c>
      <c r="K1472" s="919">
        <v>1</v>
      </c>
      <c r="L1472" s="920">
        <f t="shared" si="150"/>
        <v>1386</v>
      </c>
      <c r="M1472" s="920">
        <f t="shared" si="152"/>
        <v>5.8988160000000001</v>
      </c>
      <c r="N1472" s="920">
        <f t="shared" si="153"/>
        <v>9</v>
      </c>
      <c r="O1472" s="918" t="str">
        <f t="shared" si="154"/>
        <v>Feb</v>
      </c>
      <c r="P1472" s="921">
        <f t="shared" si="155"/>
        <v>6</v>
      </c>
    </row>
    <row r="1473" spans="1:16" ht="15" hidden="1" customHeight="1">
      <c r="A1473" s="839">
        <v>64786666</v>
      </c>
      <c r="B1473" s="839">
        <v>1352</v>
      </c>
      <c r="C1473" s="906">
        <v>2926</v>
      </c>
      <c r="D1473" s="907">
        <v>46057</v>
      </c>
      <c r="E1473" s="839" t="s">
        <v>405</v>
      </c>
      <c r="F1473" s="839" t="s">
        <v>289</v>
      </c>
      <c r="G1473" s="916">
        <f>VLOOKUP($A1473,'Tech Litons'!$A:$I,8,FALSE)</f>
        <v>4.2560000000000002E-3</v>
      </c>
      <c r="H1473" s="917">
        <f>VLOOKUP($A1473,'Tech Litons'!$A:$I,9,FALSE)</f>
        <v>154</v>
      </c>
      <c r="I1473" s="917" t="str">
        <f>VLOOKUP($A1473,'Tech Litons'!$A:$C,3,0)</f>
        <v>MBG</v>
      </c>
      <c r="J1473" s="918" t="str">
        <f t="shared" si="151"/>
        <v>1352MBG</v>
      </c>
      <c r="K1473" s="919">
        <v>1</v>
      </c>
      <c r="L1473" s="920">
        <f t="shared" si="150"/>
        <v>2926</v>
      </c>
      <c r="M1473" s="920">
        <f t="shared" si="152"/>
        <v>12.453056</v>
      </c>
      <c r="N1473" s="920">
        <f t="shared" si="153"/>
        <v>19</v>
      </c>
      <c r="O1473" s="918" t="str">
        <f t="shared" si="154"/>
        <v>Feb</v>
      </c>
      <c r="P1473" s="921">
        <f t="shared" si="155"/>
        <v>6</v>
      </c>
    </row>
    <row r="1474" spans="1:16" ht="15" hidden="1" customHeight="1">
      <c r="A1474" s="839">
        <v>64786666</v>
      </c>
      <c r="B1474" s="839">
        <v>1352</v>
      </c>
      <c r="C1474" s="906">
        <v>1232</v>
      </c>
      <c r="D1474" s="907">
        <v>46057</v>
      </c>
      <c r="E1474" s="839" t="s">
        <v>405</v>
      </c>
      <c r="F1474" s="839" t="s">
        <v>289</v>
      </c>
      <c r="G1474" s="916">
        <f>VLOOKUP($A1474,'Tech Litons'!$A:$I,8,FALSE)</f>
        <v>4.2560000000000002E-3</v>
      </c>
      <c r="H1474" s="917">
        <f>VLOOKUP($A1474,'Tech Litons'!$A:$I,9,FALSE)</f>
        <v>154</v>
      </c>
      <c r="I1474" s="917" t="str">
        <f>VLOOKUP($A1474,'Tech Litons'!$A:$C,3,0)</f>
        <v>MBG</v>
      </c>
      <c r="J1474" s="918" t="str">
        <f t="shared" si="151"/>
        <v>1352MBG</v>
      </c>
      <c r="K1474" s="919">
        <v>1</v>
      </c>
      <c r="L1474" s="920">
        <f t="shared" si="150"/>
        <v>1232</v>
      </c>
      <c r="M1474" s="920">
        <f t="shared" si="152"/>
        <v>5.2433920000000001</v>
      </c>
      <c r="N1474" s="920">
        <f t="shared" si="153"/>
        <v>8</v>
      </c>
      <c r="O1474" s="918" t="str">
        <f t="shared" si="154"/>
        <v>Feb</v>
      </c>
      <c r="P1474" s="921">
        <f t="shared" si="155"/>
        <v>6</v>
      </c>
    </row>
    <row r="1475" spans="1:16" ht="15" hidden="1" customHeight="1">
      <c r="A1475" s="839">
        <v>64786666</v>
      </c>
      <c r="B1475" s="839">
        <v>1352</v>
      </c>
      <c r="C1475" s="906">
        <v>3074</v>
      </c>
      <c r="D1475" s="907">
        <v>46058</v>
      </c>
      <c r="E1475" s="839" t="s">
        <v>405</v>
      </c>
      <c r="F1475" s="839" t="s">
        <v>289</v>
      </c>
      <c r="G1475" s="916">
        <f>VLOOKUP($A1475,'Tech Litons'!$A:$I,8,FALSE)</f>
        <v>4.2560000000000002E-3</v>
      </c>
      <c r="H1475" s="917">
        <f>VLOOKUP($A1475,'Tech Litons'!$A:$I,9,FALSE)</f>
        <v>154</v>
      </c>
      <c r="I1475" s="917" t="str">
        <f>VLOOKUP($A1475,'Tech Litons'!$A:$C,3,0)</f>
        <v>MBG</v>
      </c>
      <c r="J1475" s="918" t="str">
        <f t="shared" si="151"/>
        <v>1352MBG</v>
      </c>
      <c r="K1475" s="919">
        <v>1</v>
      </c>
      <c r="L1475" s="920">
        <f t="shared" si="150"/>
        <v>3074</v>
      </c>
      <c r="M1475" s="920">
        <f t="shared" si="152"/>
        <v>13.082944000000001</v>
      </c>
      <c r="N1475" s="920">
        <f t="shared" si="153"/>
        <v>19.961038961038962</v>
      </c>
      <c r="O1475" s="918" t="str">
        <f t="shared" si="154"/>
        <v>Feb</v>
      </c>
      <c r="P1475" s="921">
        <f t="shared" si="155"/>
        <v>6</v>
      </c>
    </row>
    <row r="1476" spans="1:16" ht="15" hidden="1" customHeight="1">
      <c r="A1476" s="839">
        <v>64786666</v>
      </c>
      <c r="B1476" s="839">
        <v>1352</v>
      </c>
      <c r="C1476" s="906">
        <v>1540</v>
      </c>
      <c r="D1476" s="907">
        <v>46058</v>
      </c>
      <c r="E1476" s="839" t="s">
        <v>405</v>
      </c>
      <c r="F1476" s="839" t="s">
        <v>289</v>
      </c>
      <c r="G1476" s="916">
        <f>VLOOKUP($A1476,'Tech Litons'!$A:$I,8,FALSE)</f>
        <v>4.2560000000000002E-3</v>
      </c>
      <c r="H1476" s="917">
        <f>VLOOKUP($A1476,'Tech Litons'!$A:$I,9,FALSE)</f>
        <v>154</v>
      </c>
      <c r="I1476" s="917" t="str">
        <f>VLOOKUP($A1476,'Tech Litons'!$A:$C,3,0)</f>
        <v>MBG</v>
      </c>
      <c r="J1476" s="918" t="str">
        <f t="shared" si="151"/>
        <v>1352MBG</v>
      </c>
      <c r="K1476" s="919">
        <v>1</v>
      </c>
      <c r="L1476" s="920">
        <f t="shared" si="150"/>
        <v>1540</v>
      </c>
      <c r="M1476" s="920">
        <f t="shared" si="152"/>
        <v>6.5542400000000001</v>
      </c>
      <c r="N1476" s="920">
        <f t="shared" si="153"/>
        <v>10</v>
      </c>
      <c r="O1476" s="918" t="str">
        <f t="shared" si="154"/>
        <v>Feb</v>
      </c>
      <c r="P1476" s="921">
        <f t="shared" si="155"/>
        <v>6</v>
      </c>
    </row>
    <row r="1477" spans="1:16" ht="15" hidden="1" customHeight="1">
      <c r="A1477" s="839">
        <v>64786666</v>
      </c>
      <c r="B1477" s="839">
        <v>1352</v>
      </c>
      <c r="C1477" s="906">
        <v>3359</v>
      </c>
      <c r="D1477" s="907">
        <v>46059</v>
      </c>
      <c r="E1477" s="839" t="s">
        <v>405</v>
      </c>
      <c r="F1477" s="839" t="s">
        <v>289</v>
      </c>
      <c r="G1477" s="916">
        <f>VLOOKUP($A1477,'Tech Litons'!$A:$I,8,FALSE)</f>
        <v>4.2560000000000002E-3</v>
      </c>
      <c r="H1477" s="917">
        <f>VLOOKUP($A1477,'Tech Litons'!$A:$I,9,FALSE)</f>
        <v>154</v>
      </c>
      <c r="I1477" s="917" t="str">
        <f>VLOOKUP($A1477,'Tech Litons'!$A:$C,3,0)</f>
        <v>MBG</v>
      </c>
      <c r="J1477" s="918" t="str">
        <f t="shared" si="151"/>
        <v>1352MBG</v>
      </c>
      <c r="K1477" s="919">
        <v>1</v>
      </c>
      <c r="L1477" s="920">
        <f t="shared" si="150"/>
        <v>3359</v>
      </c>
      <c r="M1477" s="920">
        <f t="shared" si="152"/>
        <v>14.295904</v>
      </c>
      <c r="N1477" s="920">
        <f t="shared" si="153"/>
        <v>21.811688311688311</v>
      </c>
      <c r="O1477" s="918" t="str">
        <f t="shared" si="154"/>
        <v>Feb</v>
      </c>
      <c r="P1477" s="921">
        <f t="shared" si="155"/>
        <v>6</v>
      </c>
    </row>
    <row r="1478" spans="1:16" ht="15" hidden="1" customHeight="1">
      <c r="A1478" s="839">
        <v>64786666</v>
      </c>
      <c r="B1478" s="839">
        <v>1352</v>
      </c>
      <c r="C1478" s="906">
        <v>1848</v>
      </c>
      <c r="D1478" s="907">
        <v>46059</v>
      </c>
      <c r="E1478" s="839" t="s">
        <v>405</v>
      </c>
      <c r="F1478" s="839" t="s">
        <v>289</v>
      </c>
      <c r="G1478" s="916">
        <f>VLOOKUP($A1478,'Tech Litons'!$A:$I,8,FALSE)</f>
        <v>4.2560000000000002E-3</v>
      </c>
      <c r="H1478" s="917">
        <f>VLOOKUP($A1478,'Tech Litons'!$A:$I,9,FALSE)</f>
        <v>154</v>
      </c>
      <c r="I1478" s="917" t="str">
        <f>VLOOKUP($A1478,'Tech Litons'!$A:$C,3,0)</f>
        <v>MBG</v>
      </c>
      <c r="J1478" s="918" t="str">
        <f t="shared" si="151"/>
        <v>1352MBG</v>
      </c>
      <c r="K1478" s="919">
        <v>1</v>
      </c>
      <c r="L1478" s="920">
        <f t="shared" si="150"/>
        <v>1848</v>
      </c>
      <c r="M1478" s="920">
        <f t="shared" si="152"/>
        <v>7.8650880000000001</v>
      </c>
      <c r="N1478" s="920">
        <f t="shared" si="153"/>
        <v>12</v>
      </c>
      <c r="O1478" s="918" t="str">
        <f t="shared" si="154"/>
        <v>Feb</v>
      </c>
      <c r="P1478" s="921">
        <f t="shared" si="155"/>
        <v>6</v>
      </c>
    </row>
    <row r="1479" spans="1:16" ht="15" hidden="1" customHeight="1">
      <c r="A1479" s="839">
        <v>64786666</v>
      </c>
      <c r="B1479" s="839">
        <v>1352</v>
      </c>
      <c r="C1479" s="906">
        <v>2156</v>
      </c>
      <c r="D1479" s="907">
        <v>46060</v>
      </c>
      <c r="E1479" s="839" t="s">
        <v>405</v>
      </c>
      <c r="F1479" s="839" t="s">
        <v>289</v>
      </c>
      <c r="G1479" s="916">
        <f>VLOOKUP($A1479,'Tech Litons'!$A:$I,8,FALSE)</f>
        <v>4.2560000000000002E-3</v>
      </c>
      <c r="H1479" s="917">
        <f>VLOOKUP($A1479,'Tech Litons'!$A:$I,9,FALSE)</f>
        <v>154</v>
      </c>
      <c r="I1479" s="917" t="str">
        <f>VLOOKUP($A1479,'Tech Litons'!$A:$C,3,0)</f>
        <v>MBG</v>
      </c>
      <c r="J1479" s="918" t="str">
        <f t="shared" si="151"/>
        <v>1352MBG</v>
      </c>
      <c r="K1479" s="919">
        <v>1</v>
      </c>
      <c r="L1479" s="920">
        <f t="shared" si="150"/>
        <v>2156</v>
      </c>
      <c r="M1479" s="920">
        <f t="shared" si="152"/>
        <v>9.1759360000000001</v>
      </c>
      <c r="N1479" s="920">
        <f t="shared" si="153"/>
        <v>14</v>
      </c>
      <c r="O1479" s="918" t="str">
        <f t="shared" si="154"/>
        <v>Feb</v>
      </c>
      <c r="P1479" s="921">
        <f t="shared" si="155"/>
        <v>6</v>
      </c>
    </row>
    <row r="1480" spans="1:16" ht="15" hidden="1" customHeight="1">
      <c r="A1480" s="839">
        <v>64786666</v>
      </c>
      <c r="B1480" s="839">
        <v>1352</v>
      </c>
      <c r="C1480" s="906">
        <v>109</v>
      </c>
      <c r="D1480" s="907">
        <v>46070</v>
      </c>
      <c r="E1480" s="839" t="s">
        <v>405</v>
      </c>
      <c r="F1480" s="839" t="s">
        <v>289</v>
      </c>
      <c r="G1480" s="916">
        <f>VLOOKUP($A1480,'Tech Litons'!$A:$I,8,FALSE)</f>
        <v>4.2560000000000002E-3</v>
      </c>
      <c r="H1480" s="917">
        <f>VLOOKUP($A1480,'Tech Litons'!$A:$I,9,FALSE)</f>
        <v>154</v>
      </c>
      <c r="I1480" s="917" t="str">
        <f>VLOOKUP($A1480,'Tech Litons'!$A:$C,3,0)</f>
        <v>MBG</v>
      </c>
      <c r="J1480" s="918" t="str">
        <f t="shared" si="151"/>
        <v>1352MBG</v>
      </c>
      <c r="K1480" s="919">
        <v>1</v>
      </c>
      <c r="L1480" s="920">
        <f t="shared" si="150"/>
        <v>109</v>
      </c>
      <c r="M1480" s="920">
        <f t="shared" si="152"/>
        <v>0.46390400000000004</v>
      </c>
      <c r="N1480" s="920">
        <f t="shared" si="153"/>
        <v>0.70779220779220775</v>
      </c>
      <c r="O1480" s="918" t="str">
        <f t="shared" si="154"/>
        <v>Feb</v>
      </c>
      <c r="P1480" s="921">
        <f t="shared" si="155"/>
        <v>8</v>
      </c>
    </row>
    <row r="1481" spans="1:16" ht="15" hidden="1" customHeight="1">
      <c r="A1481" s="839">
        <v>64977526</v>
      </c>
      <c r="B1481" s="839">
        <v>1352</v>
      </c>
      <c r="C1481" s="906">
        <v>880</v>
      </c>
      <c r="D1481" s="907">
        <v>46067</v>
      </c>
      <c r="E1481" s="839" t="s">
        <v>323</v>
      </c>
      <c r="F1481" s="839" t="s">
        <v>266</v>
      </c>
      <c r="G1481" s="916">
        <f>VLOOKUP($A1481,'Tech Litons'!$A:$I,8,FALSE)</f>
        <v>8.513999999999999E-3</v>
      </c>
      <c r="H1481" s="917">
        <f>VLOOKUP($A1481,'Tech Litons'!$A:$I,9,FALSE)</f>
        <v>176</v>
      </c>
      <c r="I1481" s="917" t="str">
        <f>VLOOKUP($A1481,'Tech Litons'!$A:$C,3,0)</f>
        <v>48oz</v>
      </c>
      <c r="J1481" s="918" t="str">
        <f t="shared" si="151"/>
        <v>135248oz</v>
      </c>
      <c r="K1481" s="919">
        <v>1</v>
      </c>
      <c r="L1481" s="920">
        <f t="shared" si="150"/>
        <v>880</v>
      </c>
      <c r="M1481" s="920">
        <f t="shared" si="152"/>
        <v>7.4923199999999994</v>
      </c>
      <c r="N1481" s="920">
        <f t="shared" si="153"/>
        <v>5</v>
      </c>
      <c r="O1481" s="918" t="str">
        <f t="shared" si="154"/>
        <v>Feb</v>
      </c>
      <c r="P1481" s="921">
        <f t="shared" si="155"/>
        <v>7</v>
      </c>
    </row>
    <row r="1482" spans="1:16" ht="15" hidden="1" customHeight="1">
      <c r="A1482" s="839">
        <v>64977526</v>
      </c>
      <c r="B1482" s="839">
        <v>1352</v>
      </c>
      <c r="C1482" s="906">
        <v>6815</v>
      </c>
      <c r="D1482" s="907">
        <v>46068</v>
      </c>
      <c r="E1482" s="839" t="s">
        <v>323</v>
      </c>
      <c r="F1482" s="839" t="s">
        <v>266</v>
      </c>
      <c r="G1482" s="916">
        <f>VLOOKUP($A1482,'Tech Litons'!$A:$I,8,FALSE)</f>
        <v>8.513999999999999E-3</v>
      </c>
      <c r="H1482" s="917">
        <f>VLOOKUP($A1482,'Tech Litons'!$A:$I,9,FALSE)</f>
        <v>176</v>
      </c>
      <c r="I1482" s="917" t="str">
        <f>VLOOKUP($A1482,'Tech Litons'!$A:$C,3,0)</f>
        <v>48oz</v>
      </c>
      <c r="J1482" s="918" t="str">
        <f t="shared" si="151"/>
        <v>135248oz</v>
      </c>
      <c r="K1482" s="919">
        <v>1</v>
      </c>
      <c r="L1482" s="920">
        <f t="shared" si="150"/>
        <v>6815</v>
      </c>
      <c r="M1482" s="920">
        <f t="shared" si="152"/>
        <v>58.022909999999996</v>
      </c>
      <c r="N1482" s="920">
        <f t="shared" si="153"/>
        <v>38.721590909090907</v>
      </c>
      <c r="O1482" s="918" t="str">
        <f t="shared" si="154"/>
        <v>Feb</v>
      </c>
      <c r="P1482" s="921">
        <f t="shared" si="155"/>
        <v>8</v>
      </c>
    </row>
    <row r="1483" spans="1:16" ht="15" hidden="1" customHeight="1">
      <c r="A1483" s="839">
        <v>64977526</v>
      </c>
      <c r="B1483" s="839">
        <v>1352</v>
      </c>
      <c r="C1483" s="906">
        <v>352</v>
      </c>
      <c r="D1483" s="907">
        <v>46069</v>
      </c>
      <c r="E1483" s="839" t="s">
        <v>323</v>
      </c>
      <c r="F1483" s="839" t="s">
        <v>266</v>
      </c>
      <c r="G1483" s="916">
        <f>VLOOKUP($A1483,'Tech Litons'!$A:$I,8,FALSE)</f>
        <v>8.513999999999999E-3</v>
      </c>
      <c r="H1483" s="917">
        <f>VLOOKUP($A1483,'Tech Litons'!$A:$I,9,FALSE)</f>
        <v>176</v>
      </c>
      <c r="I1483" s="917" t="str">
        <f>VLOOKUP($A1483,'Tech Litons'!$A:$C,3,0)</f>
        <v>48oz</v>
      </c>
      <c r="J1483" s="918" t="str">
        <f t="shared" si="151"/>
        <v>135248oz</v>
      </c>
      <c r="K1483" s="919">
        <v>1</v>
      </c>
      <c r="L1483" s="920">
        <f t="shared" si="150"/>
        <v>352</v>
      </c>
      <c r="M1483" s="920">
        <f t="shared" si="152"/>
        <v>2.9969279999999996</v>
      </c>
      <c r="N1483" s="920">
        <f t="shared" si="153"/>
        <v>2</v>
      </c>
      <c r="O1483" s="918" t="str">
        <f t="shared" si="154"/>
        <v>Feb</v>
      </c>
      <c r="P1483" s="921">
        <f t="shared" si="155"/>
        <v>8</v>
      </c>
    </row>
    <row r="1484" spans="1:16" ht="15" hidden="1" customHeight="1">
      <c r="A1484" s="839">
        <v>64977526</v>
      </c>
      <c r="B1484" s="839">
        <v>1352</v>
      </c>
      <c r="C1484" s="906">
        <v>165</v>
      </c>
      <c r="D1484" s="907">
        <v>46070</v>
      </c>
      <c r="E1484" s="839" t="s">
        <v>323</v>
      </c>
      <c r="F1484" s="839" t="s">
        <v>266</v>
      </c>
      <c r="G1484" s="916">
        <f>VLOOKUP($A1484,'Tech Litons'!$A:$I,8,FALSE)</f>
        <v>8.513999999999999E-3</v>
      </c>
      <c r="H1484" s="917">
        <f>VLOOKUP($A1484,'Tech Litons'!$A:$I,9,FALSE)</f>
        <v>176</v>
      </c>
      <c r="I1484" s="917" t="str">
        <f>VLOOKUP($A1484,'Tech Litons'!$A:$C,3,0)</f>
        <v>48oz</v>
      </c>
      <c r="J1484" s="918" t="str">
        <f t="shared" si="151"/>
        <v>135248oz</v>
      </c>
      <c r="K1484" s="919">
        <v>1</v>
      </c>
      <c r="L1484" s="920">
        <f t="shared" si="150"/>
        <v>165</v>
      </c>
      <c r="M1484" s="920">
        <f t="shared" si="152"/>
        <v>1.4048099999999999</v>
      </c>
      <c r="N1484" s="920">
        <f t="shared" si="153"/>
        <v>0.9375</v>
      </c>
      <c r="O1484" s="918" t="str">
        <f t="shared" si="154"/>
        <v>Feb</v>
      </c>
      <c r="P1484" s="921">
        <f t="shared" si="155"/>
        <v>8</v>
      </c>
    </row>
    <row r="1485" spans="1:16" ht="15" hidden="1" customHeight="1">
      <c r="A1485" s="839">
        <v>64977526</v>
      </c>
      <c r="B1485" s="839">
        <v>1352</v>
      </c>
      <c r="C1485" s="906">
        <v>3749</v>
      </c>
      <c r="D1485" s="907">
        <v>46068</v>
      </c>
      <c r="E1485" s="839" t="s">
        <v>323</v>
      </c>
      <c r="F1485" s="839" t="s">
        <v>266</v>
      </c>
      <c r="G1485" s="916">
        <f>VLOOKUP($A1485,'Tech Litons'!$A:$I,8,FALSE)</f>
        <v>8.513999999999999E-3</v>
      </c>
      <c r="H1485" s="917">
        <f>VLOOKUP($A1485,'Tech Litons'!$A:$I,9,FALSE)</f>
        <v>176</v>
      </c>
      <c r="I1485" s="917" t="str">
        <f>VLOOKUP($A1485,'Tech Litons'!$A:$C,3,0)</f>
        <v>48oz</v>
      </c>
      <c r="J1485" s="918" t="str">
        <f t="shared" si="151"/>
        <v>135248oz</v>
      </c>
      <c r="K1485" s="919">
        <v>1</v>
      </c>
      <c r="L1485" s="920">
        <f t="shared" si="150"/>
        <v>3749</v>
      </c>
      <c r="M1485" s="920">
        <f t="shared" si="152"/>
        <v>31.918985999999997</v>
      </c>
      <c r="N1485" s="920">
        <f t="shared" si="153"/>
        <v>21.301136363636363</v>
      </c>
      <c r="O1485" s="918" t="str">
        <f t="shared" si="154"/>
        <v>Feb</v>
      </c>
      <c r="P1485" s="921">
        <f t="shared" si="155"/>
        <v>8</v>
      </c>
    </row>
    <row r="1486" spans="1:16" ht="15" hidden="1" customHeight="1">
      <c r="A1486" s="839">
        <v>64977526</v>
      </c>
      <c r="B1486" s="839">
        <v>1352</v>
      </c>
      <c r="C1486" s="906">
        <v>7472</v>
      </c>
      <c r="D1486" s="907">
        <v>46069</v>
      </c>
      <c r="E1486" s="839" t="s">
        <v>323</v>
      </c>
      <c r="F1486" s="839" t="s">
        <v>266</v>
      </c>
      <c r="G1486" s="916">
        <f>VLOOKUP($A1486,'Tech Litons'!$A:$I,8,FALSE)</f>
        <v>8.513999999999999E-3</v>
      </c>
      <c r="H1486" s="917">
        <f>VLOOKUP($A1486,'Tech Litons'!$A:$I,9,FALSE)</f>
        <v>176</v>
      </c>
      <c r="I1486" s="917" t="str">
        <f>VLOOKUP($A1486,'Tech Litons'!$A:$C,3,0)</f>
        <v>48oz</v>
      </c>
      <c r="J1486" s="918" t="str">
        <f t="shared" si="151"/>
        <v>135248oz</v>
      </c>
      <c r="K1486" s="919">
        <v>1</v>
      </c>
      <c r="L1486" s="920">
        <f t="shared" si="150"/>
        <v>7472</v>
      </c>
      <c r="M1486" s="920">
        <f t="shared" si="152"/>
        <v>63.616607999999992</v>
      </c>
      <c r="N1486" s="920">
        <f t="shared" si="153"/>
        <v>42.454545454545453</v>
      </c>
      <c r="O1486" s="918" t="str">
        <f t="shared" si="154"/>
        <v>Feb</v>
      </c>
      <c r="P1486" s="921">
        <f t="shared" si="155"/>
        <v>8</v>
      </c>
    </row>
    <row r="1487" spans="1:16" ht="15" hidden="1" customHeight="1">
      <c r="A1487" s="839">
        <v>64977526</v>
      </c>
      <c r="B1487" s="839">
        <v>1352</v>
      </c>
      <c r="C1487" s="906">
        <v>4751</v>
      </c>
      <c r="D1487" s="907">
        <v>46069</v>
      </c>
      <c r="E1487" s="839" t="s">
        <v>323</v>
      </c>
      <c r="F1487" s="839" t="s">
        <v>266</v>
      </c>
      <c r="G1487" s="916">
        <f>VLOOKUP($A1487,'Tech Litons'!$A:$I,8,FALSE)</f>
        <v>8.513999999999999E-3</v>
      </c>
      <c r="H1487" s="917">
        <f>VLOOKUP($A1487,'Tech Litons'!$A:$I,9,FALSE)</f>
        <v>176</v>
      </c>
      <c r="I1487" s="917" t="str">
        <f>VLOOKUP($A1487,'Tech Litons'!$A:$C,3,0)</f>
        <v>48oz</v>
      </c>
      <c r="J1487" s="918" t="str">
        <f t="shared" si="151"/>
        <v>135248oz</v>
      </c>
      <c r="K1487" s="919">
        <v>1</v>
      </c>
      <c r="L1487" s="920">
        <f t="shared" si="150"/>
        <v>4751</v>
      </c>
      <c r="M1487" s="920">
        <f t="shared" si="152"/>
        <v>40.450013999999996</v>
      </c>
      <c r="N1487" s="920">
        <f t="shared" si="153"/>
        <v>26.994318181818183</v>
      </c>
      <c r="O1487" s="918" t="str">
        <f t="shared" si="154"/>
        <v>Feb</v>
      </c>
      <c r="P1487" s="921">
        <f t="shared" si="155"/>
        <v>8</v>
      </c>
    </row>
    <row r="1488" spans="1:16" ht="15" hidden="1" customHeight="1">
      <c r="A1488" s="839">
        <v>64977526</v>
      </c>
      <c r="B1488" s="839">
        <v>1352</v>
      </c>
      <c r="C1488" s="906">
        <v>7721</v>
      </c>
      <c r="D1488" s="907">
        <v>46070</v>
      </c>
      <c r="E1488" s="839" t="s">
        <v>323</v>
      </c>
      <c r="F1488" s="839" t="s">
        <v>266</v>
      </c>
      <c r="G1488" s="916">
        <f>VLOOKUP($A1488,'Tech Litons'!$A:$I,8,FALSE)</f>
        <v>8.513999999999999E-3</v>
      </c>
      <c r="H1488" s="917">
        <f>VLOOKUP($A1488,'Tech Litons'!$A:$I,9,FALSE)</f>
        <v>176</v>
      </c>
      <c r="I1488" s="917" t="str">
        <f>VLOOKUP($A1488,'Tech Litons'!$A:$C,3,0)</f>
        <v>48oz</v>
      </c>
      <c r="J1488" s="918" t="str">
        <f t="shared" si="151"/>
        <v>135248oz</v>
      </c>
      <c r="K1488" s="919">
        <v>1</v>
      </c>
      <c r="L1488" s="920">
        <f t="shared" si="150"/>
        <v>7721</v>
      </c>
      <c r="M1488" s="920">
        <f t="shared" si="152"/>
        <v>65.736593999999997</v>
      </c>
      <c r="N1488" s="920">
        <f t="shared" si="153"/>
        <v>43.86931818181818</v>
      </c>
      <c r="O1488" s="918" t="str">
        <f t="shared" si="154"/>
        <v>Feb</v>
      </c>
      <c r="P1488" s="921">
        <f t="shared" si="155"/>
        <v>8</v>
      </c>
    </row>
    <row r="1489" spans="1:16" ht="15" hidden="1" customHeight="1">
      <c r="A1489" s="839">
        <v>64977526</v>
      </c>
      <c r="B1489" s="839">
        <v>1352</v>
      </c>
      <c r="C1489" s="906">
        <v>4893</v>
      </c>
      <c r="D1489" s="907">
        <v>46070</v>
      </c>
      <c r="E1489" s="839" t="s">
        <v>323</v>
      </c>
      <c r="F1489" s="839" t="s">
        <v>266</v>
      </c>
      <c r="G1489" s="916">
        <f>VLOOKUP($A1489,'Tech Litons'!$A:$I,8,FALSE)</f>
        <v>8.513999999999999E-3</v>
      </c>
      <c r="H1489" s="917">
        <f>VLOOKUP($A1489,'Tech Litons'!$A:$I,9,FALSE)</f>
        <v>176</v>
      </c>
      <c r="I1489" s="917" t="str">
        <f>VLOOKUP($A1489,'Tech Litons'!$A:$C,3,0)</f>
        <v>48oz</v>
      </c>
      <c r="J1489" s="918" t="str">
        <f t="shared" si="151"/>
        <v>135248oz</v>
      </c>
      <c r="K1489" s="919">
        <v>1</v>
      </c>
      <c r="L1489" s="920">
        <f t="shared" si="150"/>
        <v>4893</v>
      </c>
      <c r="M1489" s="920">
        <f t="shared" si="152"/>
        <v>41.659001999999994</v>
      </c>
      <c r="N1489" s="920">
        <f t="shared" si="153"/>
        <v>27.801136363636363</v>
      </c>
      <c r="O1489" s="918" t="str">
        <f t="shared" si="154"/>
        <v>Feb</v>
      </c>
      <c r="P1489" s="921">
        <f t="shared" si="155"/>
        <v>8</v>
      </c>
    </row>
    <row r="1490" spans="1:16" ht="15" hidden="1" customHeight="1">
      <c r="A1490" s="839">
        <v>64977526</v>
      </c>
      <c r="B1490" s="839">
        <v>1352</v>
      </c>
      <c r="C1490" s="906">
        <v>7487</v>
      </c>
      <c r="D1490" s="907">
        <v>46071</v>
      </c>
      <c r="E1490" s="839" t="s">
        <v>323</v>
      </c>
      <c r="F1490" s="839" t="s">
        <v>266</v>
      </c>
      <c r="G1490" s="916">
        <f>VLOOKUP($A1490,'Tech Litons'!$A:$I,8,FALSE)</f>
        <v>8.513999999999999E-3</v>
      </c>
      <c r="H1490" s="917">
        <f>VLOOKUP($A1490,'Tech Litons'!$A:$I,9,FALSE)</f>
        <v>176</v>
      </c>
      <c r="I1490" s="917" t="str">
        <f>VLOOKUP($A1490,'Tech Litons'!$A:$C,3,0)</f>
        <v>48oz</v>
      </c>
      <c r="J1490" s="918" t="str">
        <f t="shared" si="151"/>
        <v>135248oz</v>
      </c>
      <c r="K1490" s="919">
        <v>1</v>
      </c>
      <c r="L1490" s="920">
        <f t="shared" si="150"/>
        <v>7487</v>
      </c>
      <c r="M1490" s="920">
        <f t="shared" si="152"/>
        <v>63.744317999999993</v>
      </c>
      <c r="N1490" s="920">
        <f t="shared" si="153"/>
        <v>42.539772727272727</v>
      </c>
      <c r="O1490" s="918" t="str">
        <f t="shared" si="154"/>
        <v>Feb</v>
      </c>
      <c r="P1490" s="921">
        <f t="shared" si="155"/>
        <v>8</v>
      </c>
    </row>
    <row r="1491" spans="1:16" ht="15" hidden="1" customHeight="1">
      <c r="A1491" s="839">
        <v>64977529</v>
      </c>
      <c r="B1491" s="839">
        <v>1352</v>
      </c>
      <c r="C1491" s="906">
        <v>5689</v>
      </c>
      <c r="D1491" s="907">
        <v>46060</v>
      </c>
      <c r="E1491" s="839" t="s">
        <v>406</v>
      </c>
      <c r="F1491" s="839" t="s">
        <v>266</v>
      </c>
      <c r="G1491" s="916">
        <f>VLOOKUP($A1491,'Tech Litons'!$A:$I,8,FALSE)</f>
        <v>8.513999999999999E-3</v>
      </c>
      <c r="H1491" s="917">
        <f>VLOOKUP($A1491,'Tech Litons'!$A:$I,9,FALSE)</f>
        <v>176</v>
      </c>
      <c r="I1491" s="917" t="str">
        <f>VLOOKUP($A1491,'Tech Litons'!$A:$C,3,0)</f>
        <v>48oz</v>
      </c>
      <c r="J1491" s="918" t="str">
        <f t="shared" si="151"/>
        <v>135248oz</v>
      </c>
      <c r="K1491" s="919">
        <v>1</v>
      </c>
      <c r="L1491" s="920">
        <f t="shared" si="150"/>
        <v>5689</v>
      </c>
      <c r="M1491" s="920">
        <f t="shared" si="152"/>
        <v>48.436145999999994</v>
      </c>
      <c r="N1491" s="920">
        <f t="shared" si="153"/>
        <v>32.323863636363633</v>
      </c>
      <c r="O1491" s="918" t="str">
        <f t="shared" si="154"/>
        <v>Feb</v>
      </c>
      <c r="P1491" s="921">
        <f t="shared" si="155"/>
        <v>6</v>
      </c>
    </row>
    <row r="1492" spans="1:16" ht="15" hidden="1" customHeight="1">
      <c r="A1492" s="839">
        <v>64977529</v>
      </c>
      <c r="B1492" s="839">
        <v>1352</v>
      </c>
      <c r="C1492" s="906">
        <v>3872</v>
      </c>
      <c r="D1492" s="907">
        <v>46060</v>
      </c>
      <c r="E1492" s="839" t="s">
        <v>406</v>
      </c>
      <c r="F1492" s="839" t="s">
        <v>266</v>
      </c>
      <c r="G1492" s="916">
        <f>VLOOKUP($A1492,'Tech Litons'!$A:$I,8,FALSE)</f>
        <v>8.513999999999999E-3</v>
      </c>
      <c r="H1492" s="917">
        <f>VLOOKUP($A1492,'Tech Litons'!$A:$I,9,FALSE)</f>
        <v>176</v>
      </c>
      <c r="I1492" s="917" t="str">
        <f>VLOOKUP($A1492,'Tech Litons'!$A:$C,3,0)</f>
        <v>48oz</v>
      </c>
      <c r="J1492" s="918" t="str">
        <f t="shared" si="151"/>
        <v>135248oz</v>
      </c>
      <c r="K1492" s="919">
        <v>1</v>
      </c>
      <c r="L1492" s="920">
        <f t="shared" si="150"/>
        <v>3872</v>
      </c>
      <c r="M1492" s="920">
        <f t="shared" si="152"/>
        <v>32.966207999999995</v>
      </c>
      <c r="N1492" s="920">
        <f t="shared" si="153"/>
        <v>22</v>
      </c>
      <c r="O1492" s="918" t="str">
        <f t="shared" si="154"/>
        <v>Feb</v>
      </c>
      <c r="P1492" s="921">
        <f t="shared" si="155"/>
        <v>6</v>
      </c>
    </row>
    <row r="1493" spans="1:16" ht="15" hidden="1" customHeight="1">
      <c r="A1493" s="839">
        <v>64977529</v>
      </c>
      <c r="B1493" s="839">
        <v>1352</v>
      </c>
      <c r="C1493" s="906">
        <v>7236</v>
      </c>
      <c r="D1493" s="907">
        <v>46061</v>
      </c>
      <c r="E1493" s="839" t="s">
        <v>406</v>
      </c>
      <c r="F1493" s="839" t="s">
        <v>266</v>
      </c>
      <c r="G1493" s="916">
        <f>VLOOKUP($A1493,'Tech Litons'!$A:$I,8,FALSE)</f>
        <v>8.513999999999999E-3</v>
      </c>
      <c r="H1493" s="917">
        <f>VLOOKUP($A1493,'Tech Litons'!$A:$I,9,FALSE)</f>
        <v>176</v>
      </c>
      <c r="I1493" s="917" t="str">
        <f>VLOOKUP($A1493,'Tech Litons'!$A:$C,3,0)</f>
        <v>48oz</v>
      </c>
      <c r="J1493" s="918" t="str">
        <f t="shared" si="151"/>
        <v>135248oz</v>
      </c>
      <c r="K1493" s="919">
        <v>1</v>
      </c>
      <c r="L1493" s="920">
        <f t="shared" si="150"/>
        <v>7236</v>
      </c>
      <c r="M1493" s="920">
        <f t="shared" si="152"/>
        <v>61.607303999999992</v>
      </c>
      <c r="N1493" s="920">
        <f t="shared" si="153"/>
        <v>41.113636363636367</v>
      </c>
      <c r="O1493" s="918" t="str">
        <f t="shared" si="154"/>
        <v>Feb</v>
      </c>
      <c r="P1493" s="921">
        <f t="shared" si="155"/>
        <v>7</v>
      </c>
    </row>
    <row r="1494" spans="1:16" ht="15" hidden="1" customHeight="1">
      <c r="A1494" s="839">
        <v>64977529</v>
      </c>
      <c r="B1494" s="839">
        <v>1352</v>
      </c>
      <c r="C1494" s="906">
        <v>4298</v>
      </c>
      <c r="D1494" s="907">
        <v>46061</v>
      </c>
      <c r="E1494" s="839" t="s">
        <v>406</v>
      </c>
      <c r="F1494" s="839" t="s">
        <v>266</v>
      </c>
      <c r="G1494" s="916">
        <f>VLOOKUP($A1494,'Tech Litons'!$A:$I,8,FALSE)</f>
        <v>8.513999999999999E-3</v>
      </c>
      <c r="H1494" s="917">
        <f>VLOOKUP($A1494,'Tech Litons'!$A:$I,9,FALSE)</f>
        <v>176</v>
      </c>
      <c r="I1494" s="917" t="str">
        <f>VLOOKUP($A1494,'Tech Litons'!$A:$C,3,0)</f>
        <v>48oz</v>
      </c>
      <c r="J1494" s="918" t="str">
        <f t="shared" si="151"/>
        <v>135248oz</v>
      </c>
      <c r="K1494" s="919">
        <v>1</v>
      </c>
      <c r="L1494" s="920">
        <f t="shared" si="150"/>
        <v>4298</v>
      </c>
      <c r="M1494" s="920">
        <f t="shared" si="152"/>
        <v>36.593171999999996</v>
      </c>
      <c r="N1494" s="920">
        <f t="shared" si="153"/>
        <v>24.420454545454547</v>
      </c>
      <c r="O1494" s="918" t="str">
        <f t="shared" si="154"/>
        <v>Feb</v>
      </c>
      <c r="P1494" s="921">
        <f t="shared" si="155"/>
        <v>7</v>
      </c>
    </row>
    <row r="1495" spans="1:16" ht="15" hidden="1" customHeight="1">
      <c r="A1495" s="839">
        <v>64977529</v>
      </c>
      <c r="B1495" s="839">
        <v>1352</v>
      </c>
      <c r="C1495" s="906">
        <v>6043</v>
      </c>
      <c r="D1495" s="907">
        <v>46062</v>
      </c>
      <c r="E1495" s="839" t="s">
        <v>406</v>
      </c>
      <c r="F1495" s="839" t="s">
        <v>266</v>
      </c>
      <c r="G1495" s="916">
        <f>VLOOKUP($A1495,'Tech Litons'!$A:$I,8,FALSE)</f>
        <v>8.513999999999999E-3</v>
      </c>
      <c r="H1495" s="917">
        <f>VLOOKUP($A1495,'Tech Litons'!$A:$I,9,FALSE)</f>
        <v>176</v>
      </c>
      <c r="I1495" s="917" t="str">
        <f>VLOOKUP($A1495,'Tech Litons'!$A:$C,3,0)</f>
        <v>48oz</v>
      </c>
      <c r="J1495" s="918" t="str">
        <f t="shared" si="151"/>
        <v>135248oz</v>
      </c>
      <c r="K1495" s="919">
        <v>1</v>
      </c>
      <c r="L1495" s="920">
        <f t="shared" si="150"/>
        <v>6043</v>
      </c>
      <c r="M1495" s="920">
        <f t="shared" si="152"/>
        <v>51.450101999999994</v>
      </c>
      <c r="N1495" s="920">
        <f t="shared" si="153"/>
        <v>34.335227272727273</v>
      </c>
      <c r="O1495" s="918" t="str">
        <f t="shared" si="154"/>
        <v>Feb</v>
      </c>
      <c r="P1495" s="921">
        <f t="shared" si="155"/>
        <v>7</v>
      </c>
    </row>
    <row r="1496" spans="1:16" ht="15" hidden="1" customHeight="1">
      <c r="A1496" s="839">
        <v>64977529</v>
      </c>
      <c r="B1496" s="839">
        <v>1352</v>
      </c>
      <c r="C1496" s="906">
        <v>3696</v>
      </c>
      <c r="D1496" s="907">
        <v>46062</v>
      </c>
      <c r="E1496" s="839" t="s">
        <v>406</v>
      </c>
      <c r="F1496" s="839" t="s">
        <v>266</v>
      </c>
      <c r="G1496" s="916">
        <f>VLOOKUP($A1496,'Tech Litons'!$A:$I,8,FALSE)</f>
        <v>8.513999999999999E-3</v>
      </c>
      <c r="H1496" s="917">
        <f>VLOOKUP($A1496,'Tech Litons'!$A:$I,9,FALSE)</f>
        <v>176</v>
      </c>
      <c r="I1496" s="917" t="str">
        <f>VLOOKUP($A1496,'Tech Litons'!$A:$C,3,0)</f>
        <v>48oz</v>
      </c>
      <c r="J1496" s="918" t="str">
        <f t="shared" si="151"/>
        <v>135248oz</v>
      </c>
      <c r="K1496" s="919">
        <v>1</v>
      </c>
      <c r="L1496" s="920">
        <f t="shared" si="150"/>
        <v>3696</v>
      </c>
      <c r="M1496" s="920">
        <f t="shared" si="152"/>
        <v>31.467743999999996</v>
      </c>
      <c r="N1496" s="920">
        <f t="shared" si="153"/>
        <v>21</v>
      </c>
      <c r="O1496" s="918" t="str">
        <f t="shared" si="154"/>
        <v>Feb</v>
      </c>
      <c r="P1496" s="921">
        <f t="shared" si="155"/>
        <v>7</v>
      </c>
    </row>
    <row r="1497" spans="1:16" ht="15" hidden="1" customHeight="1">
      <c r="A1497" s="839">
        <v>64977529</v>
      </c>
      <c r="B1497" s="839">
        <v>1352</v>
      </c>
      <c r="C1497" s="906">
        <v>4496</v>
      </c>
      <c r="D1497" s="907">
        <v>46063</v>
      </c>
      <c r="E1497" s="839" t="s">
        <v>406</v>
      </c>
      <c r="F1497" s="839" t="s">
        <v>266</v>
      </c>
      <c r="G1497" s="916">
        <f>VLOOKUP($A1497,'Tech Litons'!$A:$I,8,FALSE)</f>
        <v>8.513999999999999E-3</v>
      </c>
      <c r="H1497" s="917">
        <f>VLOOKUP($A1497,'Tech Litons'!$A:$I,9,FALSE)</f>
        <v>176</v>
      </c>
      <c r="I1497" s="917" t="str">
        <f>VLOOKUP($A1497,'Tech Litons'!$A:$C,3,0)</f>
        <v>48oz</v>
      </c>
      <c r="J1497" s="918" t="str">
        <f t="shared" si="151"/>
        <v>135248oz</v>
      </c>
      <c r="K1497" s="919">
        <v>1</v>
      </c>
      <c r="L1497" s="920">
        <f t="shared" ref="L1497:L1557" si="156">C1497*$K1497</f>
        <v>4496</v>
      </c>
      <c r="M1497" s="920">
        <f t="shared" si="152"/>
        <v>38.278943999999996</v>
      </c>
      <c r="N1497" s="920">
        <f t="shared" si="153"/>
        <v>25.545454545454547</v>
      </c>
      <c r="O1497" s="918" t="str">
        <f t="shared" si="154"/>
        <v>Feb</v>
      </c>
      <c r="P1497" s="921">
        <f t="shared" si="155"/>
        <v>7</v>
      </c>
    </row>
    <row r="1498" spans="1:16" ht="15" hidden="1" customHeight="1">
      <c r="A1498" s="839">
        <v>64977530</v>
      </c>
      <c r="B1498" s="839">
        <v>1352</v>
      </c>
      <c r="C1498" s="906">
        <v>3362</v>
      </c>
      <c r="D1498" s="907">
        <v>46072</v>
      </c>
      <c r="E1498" s="839" t="s">
        <v>310</v>
      </c>
      <c r="F1498" s="839" t="s">
        <v>266</v>
      </c>
      <c r="G1498" s="916">
        <f>VLOOKUP($A1498,'Tech Litons'!$A:$I,8,FALSE)</f>
        <v>8.513999999999999E-3</v>
      </c>
      <c r="H1498" s="917">
        <f>VLOOKUP($A1498,'Tech Litons'!$A:$I,9,FALSE)</f>
        <v>176</v>
      </c>
      <c r="I1498" s="917" t="str">
        <f>VLOOKUP($A1498,'Tech Litons'!$A:$C,3,0)</f>
        <v>48oz</v>
      </c>
      <c r="J1498" s="918" t="str">
        <f t="shared" ref="J1498:J1558" si="157">B1498&amp;I1498</f>
        <v>135248oz</v>
      </c>
      <c r="K1498" s="919">
        <v>1</v>
      </c>
      <c r="L1498" s="920">
        <f t="shared" si="156"/>
        <v>3362</v>
      </c>
      <c r="M1498" s="920">
        <f t="shared" ref="M1498:M1558" si="158">L1498*G1498</f>
        <v>28.624067999999998</v>
      </c>
      <c r="N1498" s="920">
        <f t="shared" ref="N1498:N1558" si="159">L1498/H1498</f>
        <v>19.102272727272727</v>
      </c>
      <c r="O1498" s="918" t="str">
        <f t="shared" ref="O1498:O1558" si="160">TEXT(D1498,"MMM")</f>
        <v>Feb</v>
      </c>
      <c r="P1498" s="921">
        <f t="shared" ref="P1498:P1558" si="161">WEEKNUM(D1498)</f>
        <v>8</v>
      </c>
    </row>
    <row r="1499" spans="1:16" ht="15" hidden="1" customHeight="1">
      <c r="A1499" s="839">
        <v>64977530</v>
      </c>
      <c r="B1499" s="839">
        <v>1352</v>
      </c>
      <c r="C1499" s="906">
        <v>7315</v>
      </c>
      <c r="D1499" s="907">
        <v>46073</v>
      </c>
      <c r="E1499" s="839" t="s">
        <v>310</v>
      </c>
      <c r="F1499" s="839" t="s">
        <v>266</v>
      </c>
      <c r="G1499" s="916">
        <f>VLOOKUP($A1499,'Tech Litons'!$A:$I,8,FALSE)</f>
        <v>8.513999999999999E-3</v>
      </c>
      <c r="H1499" s="917">
        <f>VLOOKUP($A1499,'Tech Litons'!$A:$I,9,FALSE)</f>
        <v>176</v>
      </c>
      <c r="I1499" s="917" t="str">
        <f>VLOOKUP($A1499,'Tech Litons'!$A:$C,3,0)</f>
        <v>48oz</v>
      </c>
      <c r="J1499" s="918" t="str">
        <f t="shared" si="157"/>
        <v>135248oz</v>
      </c>
      <c r="K1499" s="919">
        <v>1</v>
      </c>
      <c r="L1499" s="920">
        <f t="shared" si="156"/>
        <v>7315</v>
      </c>
      <c r="M1499" s="920">
        <f t="shared" si="158"/>
        <v>62.279909999999994</v>
      </c>
      <c r="N1499" s="920">
        <f t="shared" si="159"/>
        <v>41.5625</v>
      </c>
      <c r="O1499" s="918" t="str">
        <f t="shared" si="160"/>
        <v>Feb</v>
      </c>
      <c r="P1499" s="921">
        <f t="shared" si="161"/>
        <v>8</v>
      </c>
    </row>
    <row r="1500" spans="1:16" ht="15" hidden="1" customHeight="1">
      <c r="A1500" s="839">
        <v>64977530</v>
      </c>
      <c r="B1500" s="839">
        <v>1352</v>
      </c>
      <c r="C1500" s="906">
        <v>3132</v>
      </c>
      <c r="D1500" s="907">
        <v>46073</v>
      </c>
      <c r="E1500" s="839" t="s">
        <v>310</v>
      </c>
      <c r="F1500" s="839" t="s">
        <v>266</v>
      </c>
      <c r="G1500" s="916">
        <f>VLOOKUP($A1500,'Tech Litons'!$A:$I,8,FALSE)</f>
        <v>8.513999999999999E-3</v>
      </c>
      <c r="H1500" s="917">
        <f>VLOOKUP($A1500,'Tech Litons'!$A:$I,9,FALSE)</f>
        <v>176</v>
      </c>
      <c r="I1500" s="917" t="str">
        <f>VLOOKUP($A1500,'Tech Litons'!$A:$C,3,0)</f>
        <v>48oz</v>
      </c>
      <c r="J1500" s="918" t="str">
        <f t="shared" si="157"/>
        <v>135248oz</v>
      </c>
      <c r="K1500" s="919">
        <v>1</v>
      </c>
      <c r="L1500" s="920">
        <f t="shared" si="156"/>
        <v>3132</v>
      </c>
      <c r="M1500" s="920">
        <f t="shared" si="158"/>
        <v>26.665847999999997</v>
      </c>
      <c r="N1500" s="920">
        <f t="shared" si="159"/>
        <v>17.795454545454547</v>
      </c>
      <c r="O1500" s="918" t="str">
        <f t="shared" si="160"/>
        <v>Feb</v>
      </c>
      <c r="P1500" s="921">
        <f t="shared" si="161"/>
        <v>8</v>
      </c>
    </row>
    <row r="1501" spans="1:16" ht="15" hidden="1" customHeight="1">
      <c r="A1501" s="839">
        <v>64977530</v>
      </c>
      <c r="B1501" s="839">
        <v>1352</v>
      </c>
      <c r="C1501" s="906">
        <v>7920</v>
      </c>
      <c r="D1501" s="907">
        <v>46074</v>
      </c>
      <c r="E1501" s="839" t="s">
        <v>310</v>
      </c>
      <c r="F1501" s="839" t="s">
        <v>266</v>
      </c>
      <c r="G1501" s="916">
        <f>VLOOKUP($A1501,'Tech Litons'!$A:$I,8,FALSE)</f>
        <v>8.513999999999999E-3</v>
      </c>
      <c r="H1501" s="917">
        <f>VLOOKUP($A1501,'Tech Litons'!$A:$I,9,FALSE)</f>
        <v>176</v>
      </c>
      <c r="I1501" s="917" t="str">
        <f>VLOOKUP($A1501,'Tech Litons'!$A:$C,3,0)</f>
        <v>48oz</v>
      </c>
      <c r="J1501" s="918" t="str">
        <f t="shared" si="157"/>
        <v>135248oz</v>
      </c>
      <c r="K1501" s="919">
        <v>1</v>
      </c>
      <c r="L1501" s="920">
        <f t="shared" si="156"/>
        <v>7920</v>
      </c>
      <c r="M1501" s="920">
        <f t="shared" si="158"/>
        <v>67.430879999999988</v>
      </c>
      <c r="N1501" s="920">
        <f t="shared" si="159"/>
        <v>45</v>
      </c>
      <c r="O1501" s="918" t="str">
        <f t="shared" si="160"/>
        <v>Feb</v>
      </c>
      <c r="P1501" s="921">
        <f t="shared" si="161"/>
        <v>8</v>
      </c>
    </row>
    <row r="1502" spans="1:16" ht="15" hidden="1" customHeight="1">
      <c r="A1502" s="839">
        <v>64977530</v>
      </c>
      <c r="B1502" s="839">
        <v>1352</v>
      </c>
      <c r="C1502" s="906">
        <v>3413</v>
      </c>
      <c r="D1502" s="907">
        <v>46074</v>
      </c>
      <c r="E1502" s="839" t="s">
        <v>310</v>
      </c>
      <c r="F1502" s="839" t="s">
        <v>266</v>
      </c>
      <c r="G1502" s="916">
        <f>VLOOKUP($A1502,'Tech Litons'!$A:$I,8,FALSE)</f>
        <v>8.513999999999999E-3</v>
      </c>
      <c r="H1502" s="917">
        <f>VLOOKUP($A1502,'Tech Litons'!$A:$I,9,FALSE)</f>
        <v>176</v>
      </c>
      <c r="I1502" s="917" t="str">
        <f>VLOOKUP($A1502,'Tech Litons'!$A:$C,3,0)</f>
        <v>48oz</v>
      </c>
      <c r="J1502" s="918" t="str">
        <f t="shared" si="157"/>
        <v>135248oz</v>
      </c>
      <c r="K1502" s="919">
        <v>1</v>
      </c>
      <c r="L1502" s="920">
        <f t="shared" si="156"/>
        <v>3413</v>
      </c>
      <c r="M1502" s="920">
        <f t="shared" si="158"/>
        <v>29.058281999999995</v>
      </c>
      <c r="N1502" s="920">
        <f t="shared" si="159"/>
        <v>19.392045454545453</v>
      </c>
      <c r="O1502" s="918" t="str">
        <f t="shared" si="160"/>
        <v>Feb</v>
      </c>
      <c r="P1502" s="921">
        <f t="shared" si="161"/>
        <v>8</v>
      </c>
    </row>
    <row r="1503" spans="1:16" ht="15" hidden="1" customHeight="1">
      <c r="A1503" s="839">
        <v>64977530</v>
      </c>
      <c r="B1503" s="839">
        <v>1352</v>
      </c>
      <c r="C1503" s="906">
        <v>9131</v>
      </c>
      <c r="D1503" s="907">
        <v>46075</v>
      </c>
      <c r="E1503" s="839" t="s">
        <v>310</v>
      </c>
      <c r="F1503" s="839" t="s">
        <v>266</v>
      </c>
      <c r="G1503" s="916">
        <f>VLOOKUP($A1503,'Tech Litons'!$A:$I,8,FALSE)</f>
        <v>8.513999999999999E-3</v>
      </c>
      <c r="H1503" s="917">
        <f>VLOOKUP($A1503,'Tech Litons'!$A:$I,9,FALSE)</f>
        <v>176</v>
      </c>
      <c r="I1503" s="917" t="str">
        <f>VLOOKUP($A1503,'Tech Litons'!$A:$C,3,0)</f>
        <v>48oz</v>
      </c>
      <c r="J1503" s="918" t="str">
        <f t="shared" si="157"/>
        <v>135248oz</v>
      </c>
      <c r="K1503" s="919">
        <v>1</v>
      </c>
      <c r="L1503" s="920">
        <f t="shared" si="156"/>
        <v>9131</v>
      </c>
      <c r="M1503" s="920">
        <f t="shared" si="158"/>
        <v>77.741333999999995</v>
      </c>
      <c r="N1503" s="920">
        <f t="shared" si="159"/>
        <v>51.88068181818182</v>
      </c>
      <c r="O1503" s="918" t="str">
        <f t="shared" si="160"/>
        <v>Feb</v>
      </c>
      <c r="P1503" s="921">
        <f t="shared" si="161"/>
        <v>9</v>
      </c>
    </row>
    <row r="1504" spans="1:16" ht="15" hidden="1" customHeight="1">
      <c r="A1504" s="839">
        <v>64977530</v>
      </c>
      <c r="B1504" s="839">
        <v>1352</v>
      </c>
      <c r="C1504" s="906">
        <v>4223</v>
      </c>
      <c r="D1504" s="907">
        <v>46075</v>
      </c>
      <c r="E1504" s="839" t="s">
        <v>310</v>
      </c>
      <c r="F1504" s="839" t="s">
        <v>266</v>
      </c>
      <c r="G1504" s="916">
        <f>VLOOKUP($A1504,'Tech Litons'!$A:$I,8,FALSE)</f>
        <v>8.513999999999999E-3</v>
      </c>
      <c r="H1504" s="917">
        <f>VLOOKUP($A1504,'Tech Litons'!$A:$I,9,FALSE)</f>
        <v>176</v>
      </c>
      <c r="I1504" s="917" t="str">
        <f>VLOOKUP($A1504,'Tech Litons'!$A:$C,3,0)</f>
        <v>48oz</v>
      </c>
      <c r="J1504" s="918" t="str">
        <f t="shared" si="157"/>
        <v>135248oz</v>
      </c>
      <c r="K1504" s="919">
        <v>1</v>
      </c>
      <c r="L1504" s="920">
        <f t="shared" si="156"/>
        <v>4223</v>
      </c>
      <c r="M1504" s="920">
        <f t="shared" si="158"/>
        <v>35.954621999999993</v>
      </c>
      <c r="N1504" s="920">
        <f t="shared" si="159"/>
        <v>23.994318181818183</v>
      </c>
      <c r="O1504" s="918" t="str">
        <f t="shared" si="160"/>
        <v>Feb</v>
      </c>
      <c r="P1504" s="921">
        <f t="shared" si="161"/>
        <v>9</v>
      </c>
    </row>
    <row r="1505" spans="1:16" ht="15" hidden="1" customHeight="1">
      <c r="A1505" s="839">
        <v>65490430</v>
      </c>
      <c r="B1505" s="839">
        <v>1352</v>
      </c>
      <c r="C1505" s="906">
        <v>3140</v>
      </c>
      <c r="D1505" s="907">
        <v>46063</v>
      </c>
      <c r="E1505" s="839" t="s">
        <v>895</v>
      </c>
      <c r="F1505" s="839" t="s">
        <v>225</v>
      </c>
      <c r="G1505" s="916">
        <f>VLOOKUP($A1505,'Tech Litons'!$A:$I,8,FALSE)</f>
        <v>1.5608888888888888E-3</v>
      </c>
      <c r="H1505" s="917">
        <f>VLOOKUP($A1505,'Tech Litons'!$A:$I,9,FALSE)</f>
        <v>200</v>
      </c>
      <c r="I1505" s="917" t="str">
        <f>VLOOKUP($A1505,'Tech Litons'!$A:$C,3,0)</f>
        <v>PG</v>
      </c>
      <c r="J1505" s="918" t="str">
        <f t="shared" si="157"/>
        <v>1352PG</v>
      </c>
      <c r="K1505" s="919">
        <v>1</v>
      </c>
      <c r="L1505" s="920">
        <f t="shared" si="156"/>
        <v>3140</v>
      </c>
      <c r="M1505" s="920">
        <f t="shared" si="158"/>
        <v>4.9011911111111104</v>
      </c>
      <c r="N1505" s="920">
        <f t="shared" si="159"/>
        <v>15.7</v>
      </c>
      <c r="O1505" s="918" t="str">
        <f t="shared" si="160"/>
        <v>Feb</v>
      </c>
      <c r="P1505" s="921">
        <f t="shared" si="161"/>
        <v>7</v>
      </c>
    </row>
    <row r="1506" spans="1:16" ht="15" hidden="1" customHeight="1">
      <c r="A1506" s="839">
        <v>65490430</v>
      </c>
      <c r="B1506" s="839">
        <v>1352</v>
      </c>
      <c r="C1506" s="906">
        <v>3598</v>
      </c>
      <c r="D1506" s="907">
        <v>46063</v>
      </c>
      <c r="E1506" s="839" t="s">
        <v>895</v>
      </c>
      <c r="F1506" s="839" t="s">
        <v>225</v>
      </c>
      <c r="G1506" s="916">
        <f>VLOOKUP($A1506,'Tech Litons'!$A:$I,8,FALSE)</f>
        <v>1.5608888888888888E-3</v>
      </c>
      <c r="H1506" s="917">
        <f>VLOOKUP($A1506,'Tech Litons'!$A:$I,9,FALSE)</f>
        <v>200</v>
      </c>
      <c r="I1506" s="917" t="str">
        <f>VLOOKUP($A1506,'Tech Litons'!$A:$C,3,0)</f>
        <v>PG</v>
      </c>
      <c r="J1506" s="918" t="str">
        <f t="shared" si="157"/>
        <v>1352PG</v>
      </c>
      <c r="K1506" s="919">
        <v>1</v>
      </c>
      <c r="L1506" s="920">
        <f t="shared" si="156"/>
        <v>3598</v>
      </c>
      <c r="M1506" s="920">
        <f t="shared" si="158"/>
        <v>5.6160782222222219</v>
      </c>
      <c r="N1506" s="920">
        <f t="shared" si="159"/>
        <v>17.989999999999998</v>
      </c>
      <c r="O1506" s="918" t="str">
        <f t="shared" si="160"/>
        <v>Feb</v>
      </c>
      <c r="P1506" s="921">
        <f t="shared" si="161"/>
        <v>7</v>
      </c>
    </row>
    <row r="1507" spans="1:16" ht="15" hidden="1" customHeight="1">
      <c r="A1507" s="839">
        <v>65490430</v>
      </c>
      <c r="B1507" s="839">
        <v>1352</v>
      </c>
      <c r="C1507" s="906">
        <v>4881</v>
      </c>
      <c r="D1507" s="907">
        <v>46064</v>
      </c>
      <c r="E1507" s="839" t="s">
        <v>895</v>
      </c>
      <c r="F1507" s="839" t="s">
        <v>225</v>
      </c>
      <c r="G1507" s="916">
        <f>VLOOKUP($A1507,'Tech Litons'!$A:$I,8,FALSE)</f>
        <v>1.5608888888888888E-3</v>
      </c>
      <c r="H1507" s="917">
        <f>VLOOKUP($A1507,'Tech Litons'!$A:$I,9,FALSE)</f>
        <v>200</v>
      </c>
      <c r="I1507" s="917" t="str">
        <f>VLOOKUP($A1507,'Tech Litons'!$A:$C,3,0)</f>
        <v>PG</v>
      </c>
      <c r="J1507" s="918" t="str">
        <f t="shared" si="157"/>
        <v>1352PG</v>
      </c>
      <c r="K1507" s="919">
        <v>1</v>
      </c>
      <c r="L1507" s="920">
        <f t="shared" si="156"/>
        <v>4881</v>
      </c>
      <c r="M1507" s="920">
        <f t="shared" si="158"/>
        <v>7.6186986666666661</v>
      </c>
      <c r="N1507" s="920">
        <f t="shared" si="159"/>
        <v>24.405000000000001</v>
      </c>
      <c r="O1507" s="918" t="str">
        <f t="shared" si="160"/>
        <v>Feb</v>
      </c>
      <c r="P1507" s="921">
        <f t="shared" si="161"/>
        <v>7</v>
      </c>
    </row>
    <row r="1508" spans="1:16" ht="15" hidden="1" customHeight="1">
      <c r="A1508" s="839">
        <v>65490430</v>
      </c>
      <c r="B1508" s="839">
        <v>1352</v>
      </c>
      <c r="C1508" s="906">
        <v>4599</v>
      </c>
      <c r="D1508" s="907">
        <v>46064</v>
      </c>
      <c r="E1508" s="839" t="s">
        <v>895</v>
      </c>
      <c r="F1508" s="839" t="s">
        <v>225</v>
      </c>
      <c r="G1508" s="916">
        <f>VLOOKUP($A1508,'Tech Litons'!$A:$I,8,FALSE)</f>
        <v>1.5608888888888888E-3</v>
      </c>
      <c r="H1508" s="917">
        <f>VLOOKUP($A1508,'Tech Litons'!$A:$I,9,FALSE)</f>
        <v>200</v>
      </c>
      <c r="I1508" s="917" t="str">
        <f>VLOOKUP($A1508,'Tech Litons'!$A:$C,3,0)</f>
        <v>PG</v>
      </c>
      <c r="J1508" s="918" t="str">
        <f t="shared" si="157"/>
        <v>1352PG</v>
      </c>
      <c r="K1508" s="919">
        <v>1</v>
      </c>
      <c r="L1508" s="920">
        <f t="shared" si="156"/>
        <v>4599</v>
      </c>
      <c r="M1508" s="920">
        <f t="shared" si="158"/>
        <v>7.1785279999999991</v>
      </c>
      <c r="N1508" s="920">
        <f t="shared" si="159"/>
        <v>22.995000000000001</v>
      </c>
      <c r="O1508" s="918" t="str">
        <f t="shared" si="160"/>
        <v>Feb</v>
      </c>
      <c r="P1508" s="921">
        <f t="shared" si="161"/>
        <v>7</v>
      </c>
    </row>
    <row r="1509" spans="1:16" ht="15" hidden="1" customHeight="1">
      <c r="A1509" s="839">
        <v>65490430</v>
      </c>
      <c r="B1509" s="839">
        <v>1352</v>
      </c>
      <c r="C1509" s="906">
        <v>7410</v>
      </c>
      <c r="D1509" s="907">
        <v>46065</v>
      </c>
      <c r="E1509" s="839" t="s">
        <v>895</v>
      </c>
      <c r="F1509" s="839" t="s">
        <v>225</v>
      </c>
      <c r="G1509" s="916">
        <f>VLOOKUP($A1509,'Tech Litons'!$A:$I,8,FALSE)</f>
        <v>1.5608888888888888E-3</v>
      </c>
      <c r="H1509" s="917">
        <f>VLOOKUP($A1509,'Tech Litons'!$A:$I,9,FALSE)</f>
        <v>200</v>
      </c>
      <c r="I1509" s="917" t="str">
        <f>VLOOKUP($A1509,'Tech Litons'!$A:$C,3,0)</f>
        <v>PG</v>
      </c>
      <c r="J1509" s="918" t="str">
        <f t="shared" si="157"/>
        <v>1352PG</v>
      </c>
      <c r="K1509" s="919">
        <v>1</v>
      </c>
      <c r="L1509" s="920">
        <f t="shared" si="156"/>
        <v>7410</v>
      </c>
      <c r="M1509" s="920">
        <f t="shared" si="158"/>
        <v>11.566186666666665</v>
      </c>
      <c r="N1509" s="920">
        <f t="shared" si="159"/>
        <v>37.049999999999997</v>
      </c>
      <c r="O1509" s="918" t="str">
        <f t="shared" si="160"/>
        <v>Feb</v>
      </c>
      <c r="P1509" s="921">
        <f t="shared" si="161"/>
        <v>7</v>
      </c>
    </row>
    <row r="1510" spans="1:16" ht="15" hidden="1" customHeight="1">
      <c r="A1510" s="839">
        <v>65490430</v>
      </c>
      <c r="B1510" s="839">
        <v>1352</v>
      </c>
      <c r="C1510" s="906">
        <v>5778</v>
      </c>
      <c r="D1510" s="907">
        <v>46065</v>
      </c>
      <c r="E1510" s="839" t="s">
        <v>895</v>
      </c>
      <c r="F1510" s="839" t="s">
        <v>225</v>
      </c>
      <c r="G1510" s="916">
        <f>VLOOKUP($A1510,'Tech Litons'!$A:$I,8,FALSE)</f>
        <v>1.5608888888888888E-3</v>
      </c>
      <c r="H1510" s="917">
        <f>VLOOKUP($A1510,'Tech Litons'!$A:$I,9,FALSE)</f>
        <v>200</v>
      </c>
      <c r="I1510" s="917" t="str">
        <f>VLOOKUP($A1510,'Tech Litons'!$A:$C,3,0)</f>
        <v>PG</v>
      </c>
      <c r="J1510" s="918" t="str">
        <f t="shared" si="157"/>
        <v>1352PG</v>
      </c>
      <c r="K1510" s="919">
        <v>1</v>
      </c>
      <c r="L1510" s="920">
        <f t="shared" si="156"/>
        <v>5778</v>
      </c>
      <c r="M1510" s="920">
        <f t="shared" si="158"/>
        <v>9.0188159999999993</v>
      </c>
      <c r="N1510" s="920">
        <f t="shared" si="159"/>
        <v>28.89</v>
      </c>
      <c r="O1510" s="918" t="str">
        <f t="shared" si="160"/>
        <v>Feb</v>
      </c>
      <c r="P1510" s="921">
        <f t="shared" si="161"/>
        <v>7</v>
      </c>
    </row>
    <row r="1511" spans="1:16" ht="15" hidden="1" customHeight="1">
      <c r="A1511" s="839">
        <v>65490430</v>
      </c>
      <c r="B1511" s="839">
        <v>1352</v>
      </c>
      <c r="C1511" s="906">
        <v>3557</v>
      </c>
      <c r="D1511" s="907">
        <v>46066</v>
      </c>
      <c r="E1511" s="839" t="s">
        <v>895</v>
      </c>
      <c r="F1511" s="839" t="s">
        <v>225</v>
      </c>
      <c r="G1511" s="916">
        <f>VLOOKUP($A1511,'Tech Litons'!$A:$I,8,FALSE)</f>
        <v>1.5608888888888888E-3</v>
      </c>
      <c r="H1511" s="917">
        <f>VLOOKUP($A1511,'Tech Litons'!$A:$I,9,FALSE)</f>
        <v>200</v>
      </c>
      <c r="I1511" s="917" t="str">
        <f>VLOOKUP($A1511,'Tech Litons'!$A:$C,3,0)</f>
        <v>PG</v>
      </c>
      <c r="J1511" s="918" t="str">
        <f t="shared" si="157"/>
        <v>1352PG</v>
      </c>
      <c r="K1511" s="919">
        <v>1</v>
      </c>
      <c r="L1511" s="920">
        <f t="shared" si="156"/>
        <v>3557</v>
      </c>
      <c r="M1511" s="920">
        <f t="shared" si="158"/>
        <v>5.5520817777777776</v>
      </c>
      <c r="N1511" s="920">
        <f t="shared" si="159"/>
        <v>17.785</v>
      </c>
      <c r="O1511" s="918" t="str">
        <f t="shared" si="160"/>
        <v>Feb</v>
      </c>
      <c r="P1511" s="921">
        <f t="shared" si="161"/>
        <v>7</v>
      </c>
    </row>
    <row r="1512" spans="1:16" ht="15" hidden="1" customHeight="1">
      <c r="A1512" s="839">
        <v>65490430</v>
      </c>
      <c r="B1512" s="839">
        <v>1352</v>
      </c>
      <c r="C1512" s="906">
        <v>5160</v>
      </c>
      <c r="D1512" s="907">
        <v>46069</v>
      </c>
      <c r="E1512" s="839" t="s">
        <v>895</v>
      </c>
      <c r="F1512" s="839" t="s">
        <v>225</v>
      </c>
      <c r="G1512" s="916">
        <f>VLOOKUP($A1512,'Tech Litons'!$A:$I,8,FALSE)</f>
        <v>1.5608888888888888E-3</v>
      </c>
      <c r="H1512" s="917">
        <f>VLOOKUP($A1512,'Tech Litons'!$A:$I,9,FALSE)</f>
        <v>200</v>
      </c>
      <c r="I1512" s="917" t="str">
        <f>VLOOKUP($A1512,'Tech Litons'!$A:$C,3,0)</f>
        <v>PG</v>
      </c>
      <c r="J1512" s="918" t="str">
        <f t="shared" si="157"/>
        <v>1352PG</v>
      </c>
      <c r="K1512" s="919">
        <v>1</v>
      </c>
      <c r="L1512" s="920">
        <f t="shared" si="156"/>
        <v>5160</v>
      </c>
      <c r="M1512" s="920">
        <f t="shared" si="158"/>
        <v>8.0541866666666664</v>
      </c>
      <c r="N1512" s="920">
        <f t="shared" si="159"/>
        <v>25.8</v>
      </c>
      <c r="O1512" s="918" t="str">
        <f t="shared" si="160"/>
        <v>Feb</v>
      </c>
      <c r="P1512" s="921">
        <f t="shared" si="161"/>
        <v>8</v>
      </c>
    </row>
    <row r="1513" spans="1:16" ht="15" hidden="1" customHeight="1">
      <c r="A1513" s="839">
        <v>65490430</v>
      </c>
      <c r="B1513" s="839">
        <v>1352</v>
      </c>
      <c r="C1513" s="906">
        <v>8442</v>
      </c>
      <c r="D1513" s="907">
        <v>46070</v>
      </c>
      <c r="E1513" s="839" t="s">
        <v>895</v>
      </c>
      <c r="F1513" s="839" t="s">
        <v>225</v>
      </c>
      <c r="G1513" s="916">
        <f>VLOOKUP($A1513,'Tech Litons'!$A:$I,8,FALSE)</f>
        <v>1.5608888888888888E-3</v>
      </c>
      <c r="H1513" s="917">
        <f>VLOOKUP($A1513,'Tech Litons'!$A:$I,9,FALSE)</f>
        <v>200</v>
      </c>
      <c r="I1513" s="917" t="str">
        <f>VLOOKUP($A1513,'Tech Litons'!$A:$C,3,0)</f>
        <v>PG</v>
      </c>
      <c r="J1513" s="918" t="str">
        <f t="shared" si="157"/>
        <v>1352PG</v>
      </c>
      <c r="K1513" s="919">
        <v>1</v>
      </c>
      <c r="L1513" s="920">
        <f t="shared" si="156"/>
        <v>8442</v>
      </c>
      <c r="M1513" s="920">
        <f t="shared" si="158"/>
        <v>13.177023999999999</v>
      </c>
      <c r="N1513" s="920">
        <f t="shared" si="159"/>
        <v>42.21</v>
      </c>
      <c r="O1513" s="918" t="str">
        <f t="shared" si="160"/>
        <v>Feb</v>
      </c>
      <c r="P1513" s="921">
        <f t="shared" si="161"/>
        <v>8</v>
      </c>
    </row>
    <row r="1514" spans="1:16" ht="15" hidden="1" customHeight="1">
      <c r="A1514" s="839">
        <v>65490430</v>
      </c>
      <c r="B1514" s="839">
        <v>1352</v>
      </c>
      <c r="C1514" s="906">
        <v>5999</v>
      </c>
      <c r="D1514" s="907">
        <v>46070</v>
      </c>
      <c r="E1514" s="839" t="s">
        <v>895</v>
      </c>
      <c r="F1514" s="839" t="s">
        <v>225</v>
      </c>
      <c r="G1514" s="916">
        <f>VLOOKUP($A1514,'Tech Litons'!$A:$I,8,FALSE)</f>
        <v>1.5608888888888888E-3</v>
      </c>
      <c r="H1514" s="917">
        <f>VLOOKUP($A1514,'Tech Litons'!$A:$I,9,FALSE)</f>
        <v>200</v>
      </c>
      <c r="I1514" s="917" t="str">
        <f>VLOOKUP($A1514,'Tech Litons'!$A:$C,3,0)</f>
        <v>PG</v>
      </c>
      <c r="J1514" s="918" t="str">
        <f t="shared" si="157"/>
        <v>1352PG</v>
      </c>
      <c r="K1514" s="919">
        <v>1</v>
      </c>
      <c r="L1514" s="920">
        <f t="shared" si="156"/>
        <v>5999</v>
      </c>
      <c r="M1514" s="920">
        <f t="shared" si="158"/>
        <v>9.363772444444443</v>
      </c>
      <c r="N1514" s="920">
        <f t="shared" si="159"/>
        <v>29.995000000000001</v>
      </c>
      <c r="O1514" s="918" t="str">
        <f t="shared" si="160"/>
        <v>Feb</v>
      </c>
      <c r="P1514" s="921">
        <f t="shared" si="161"/>
        <v>8</v>
      </c>
    </row>
    <row r="1515" spans="1:16" ht="15" hidden="1" customHeight="1">
      <c r="A1515" s="839">
        <v>65490430</v>
      </c>
      <c r="B1515" s="839">
        <v>1352</v>
      </c>
      <c r="C1515" s="906">
        <v>2634</v>
      </c>
      <c r="D1515" s="907">
        <v>46071</v>
      </c>
      <c r="E1515" s="839" t="s">
        <v>895</v>
      </c>
      <c r="F1515" s="839" t="s">
        <v>225</v>
      </c>
      <c r="G1515" s="916">
        <f>VLOOKUP($A1515,'Tech Litons'!$A:$I,8,FALSE)</f>
        <v>1.5608888888888888E-3</v>
      </c>
      <c r="H1515" s="917">
        <f>VLOOKUP($A1515,'Tech Litons'!$A:$I,9,FALSE)</f>
        <v>200</v>
      </c>
      <c r="I1515" s="917" t="str">
        <f>VLOOKUP($A1515,'Tech Litons'!$A:$C,3,0)</f>
        <v>PG</v>
      </c>
      <c r="J1515" s="918" t="str">
        <f t="shared" si="157"/>
        <v>1352PG</v>
      </c>
      <c r="K1515" s="919">
        <v>1</v>
      </c>
      <c r="L1515" s="920">
        <f t="shared" si="156"/>
        <v>2634</v>
      </c>
      <c r="M1515" s="920">
        <f t="shared" si="158"/>
        <v>4.1113813333333331</v>
      </c>
      <c r="N1515" s="920">
        <f t="shared" si="159"/>
        <v>13.17</v>
      </c>
      <c r="O1515" s="918" t="str">
        <f t="shared" si="160"/>
        <v>Feb</v>
      </c>
      <c r="P1515" s="921">
        <f t="shared" si="161"/>
        <v>8</v>
      </c>
    </row>
    <row r="1516" spans="1:16" ht="15" hidden="1" customHeight="1">
      <c r="A1516" s="839">
        <v>65490430</v>
      </c>
      <c r="B1516" s="839">
        <v>1352</v>
      </c>
      <c r="C1516" s="906">
        <v>5999</v>
      </c>
      <c r="D1516" s="907">
        <v>46071</v>
      </c>
      <c r="E1516" s="839" t="s">
        <v>895</v>
      </c>
      <c r="F1516" s="839" t="s">
        <v>225</v>
      </c>
      <c r="G1516" s="916">
        <f>VLOOKUP($A1516,'Tech Litons'!$A:$I,8,FALSE)</f>
        <v>1.5608888888888888E-3</v>
      </c>
      <c r="H1516" s="917">
        <f>VLOOKUP($A1516,'Tech Litons'!$A:$I,9,FALSE)</f>
        <v>200</v>
      </c>
      <c r="I1516" s="917" t="str">
        <f>VLOOKUP($A1516,'Tech Litons'!$A:$C,3,0)</f>
        <v>PG</v>
      </c>
      <c r="J1516" s="918" t="str">
        <f t="shared" si="157"/>
        <v>1352PG</v>
      </c>
      <c r="K1516" s="919">
        <v>1</v>
      </c>
      <c r="L1516" s="920">
        <f t="shared" si="156"/>
        <v>5999</v>
      </c>
      <c r="M1516" s="920">
        <f t="shared" si="158"/>
        <v>9.363772444444443</v>
      </c>
      <c r="N1516" s="920">
        <f t="shared" si="159"/>
        <v>29.995000000000001</v>
      </c>
      <c r="O1516" s="918" t="str">
        <f t="shared" si="160"/>
        <v>Feb</v>
      </c>
      <c r="P1516" s="921">
        <f t="shared" si="161"/>
        <v>8</v>
      </c>
    </row>
    <row r="1517" spans="1:16" ht="15" hidden="1" customHeight="1">
      <c r="A1517" s="839">
        <v>65490430</v>
      </c>
      <c r="B1517" s="839">
        <v>1352</v>
      </c>
      <c r="C1517" s="906">
        <v>24</v>
      </c>
      <c r="D1517" s="907">
        <v>46072</v>
      </c>
      <c r="E1517" s="839" t="s">
        <v>895</v>
      </c>
      <c r="F1517" s="839" t="s">
        <v>225</v>
      </c>
      <c r="G1517" s="916">
        <f>VLOOKUP($A1517,'Tech Litons'!$A:$I,8,FALSE)</f>
        <v>1.5608888888888888E-3</v>
      </c>
      <c r="H1517" s="917">
        <f>VLOOKUP($A1517,'Tech Litons'!$A:$I,9,FALSE)</f>
        <v>200</v>
      </c>
      <c r="I1517" s="917" t="str">
        <f>VLOOKUP($A1517,'Tech Litons'!$A:$C,3,0)</f>
        <v>PG</v>
      </c>
      <c r="J1517" s="918" t="str">
        <f t="shared" si="157"/>
        <v>1352PG</v>
      </c>
      <c r="K1517" s="919">
        <v>1</v>
      </c>
      <c r="L1517" s="920">
        <f t="shared" si="156"/>
        <v>24</v>
      </c>
      <c r="M1517" s="920">
        <f t="shared" si="158"/>
        <v>3.7461333333333333E-2</v>
      </c>
      <c r="N1517" s="920">
        <f t="shared" si="159"/>
        <v>0.12</v>
      </c>
      <c r="O1517" s="918" t="str">
        <f t="shared" si="160"/>
        <v>Feb</v>
      </c>
      <c r="P1517" s="921">
        <f t="shared" si="161"/>
        <v>8</v>
      </c>
    </row>
    <row r="1518" spans="1:16" ht="15" hidden="1" customHeight="1">
      <c r="A1518" s="839">
        <v>68300738</v>
      </c>
      <c r="B1518" s="839">
        <v>1352</v>
      </c>
      <c r="C1518" s="906">
        <v>2376</v>
      </c>
      <c r="D1518" s="907">
        <v>46069</v>
      </c>
      <c r="E1518" s="839" t="s">
        <v>325</v>
      </c>
      <c r="F1518" s="839" t="s">
        <v>240</v>
      </c>
      <c r="G1518" s="916">
        <f>VLOOKUP($A1518,'Tech Litons'!$A:$I,8,FALSE)</f>
        <v>8.4960000000000001E-3</v>
      </c>
      <c r="H1518" s="917">
        <f>VLOOKUP($A1518,'Tech Litons'!$A:$I,9,FALSE)</f>
        <v>132</v>
      </c>
      <c r="I1518" s="917" t="str">
        <f>VLOOKUP($A1518,'Tech Litons'!$A:$C,3,0)</f>
        <v>EDF</v>
      </c>
      <c r="J1518" s="918" t="str">
        <f t="shared" si="157"/>
        <v>1352EDF</v>
      </c>
      <c r="K1518" s="919">
        <v>1</v>
      </c>
      <c r="L1518" s="920">
        <f t="shared" si="156"/>
        <v>2376</v>
      </c>
      <c r="M1518" s="920">
        <f t="shared" si="158"/>
        <v>20.186496000000002</v>
      </c>
      <c r="N1518" s="920">
        <f t="shared" si="159"/>
        <v>18</v>
      </c>
      <c r="O1518" s="918" t="str">
        <f t="shared" si="160"/>
        <v>Feb</v>
      </c>
      <c r="P1518" s="921">
        <f t="shared" si="161"/>
        <v>8</v>
      </c>
    </row>
    <row r="1519" spans="1:16" ht="15" hidden="1" customHeight="1">
      <c r="A1519" s="839">
        <v>68300738</v>
      </c>
      <c r="B1519" s="839">
        <v>1352</v>
      </c>
      <c r="C1519" s="906">
        <v>4412</v>
      </c>
      <c r="D1519" s="907">
        <v>46070</v>
      </c>
      <c r="E1519" s="839" t="s">
        <v>325</v>
      </c>
      <c r="F1519" s="839" t="s">
        <v>240</v>
      </c>
      <c r="G1519" s="916">
        <f>VLOOKUP($A1519,'Tech Litons'!$A:$I,8,FALSE)</f>
        <v>8.4960000000000001E-3</v>
      </c>
      <c r="H1519" s="917">
        <f>VLOOKUP($A1519,'Tech Litons'!$A:$I,9,FALSE)</f>
        <v>132</v>
      </c>
      <c r="I1519" s="917" t="str">
        <f>VLOOKUP($A1519,'Tech Litons'!$A:$C,3,0)</f>
        <v>EDF</v>
      </c>
      <c r="J1519" s="918" t="str">
        <f t="shared" si="157"/>
        <v>1352EDF</v>
      </c>
      <c r="K1519" s="919">
        <v>1</v>
      </c>
      <c r="L1519" s="920">
        <f t="shared" si="156"/>
        <v>4412</v>
      </c>
      <c r="M1519" s="920">
        <f t="shared" si="158"/>
        <v>37.484352000000001</v>
      </c>
      <c r="N1519" s="920">
        <f t="shared" si="159"/>
        <v>33.424242424242422</v>
      </c>
      <c r="O1519" s="918" t="str">
        <f t="shared" si="160"/>
        <v>Feb</v>
      </c>
      <c r="P1519" s="921">
        <f t="shared" si="161"/>
        <v>8</v>
      </c>
    </row>
    <row r="1520" spans="1:16" ht="15" hidden="1" customHeight="1">
      <c r="A1520" s="839">
        <v>68300738</v>
      </c>
      <c r="B1520" s="839">
        <v>1352</v>
      </c>
      <c r="C1520" s="906">
        <v>3036</v>
      </c>
      <c r="D1520" s="907">
        <v>46071</v>
      </c>
      <c r="E1520" s="839" t="s">
        <v>325</v>
      </c>
      <c r="F1520" s="839" t="s">
        <v>240</v>
      </c>
      <c r="G1520" s="916">
        <f>VLOOKUP($A1520,'Tech Litons'!$A:$I,8,FALSE)</f>
        <v>8.4960000000000001E-3</v>
      </c>
      <c r="H1520" s="917">
        <f>VLOOKUP($A1520,'Tech Litons'!$A:$I,9,FALSE)</f>
        <v>132</v>
      </c>
      <c r="I1520" s="917" t="str">
        <f>VLOOKUP($A1520,'Tech Litons'!$A:$C,3,0)</f>
        <v>EDF</v>
      </c>
      <c r="J1520" s="918" t="str">
        <f t="shared" si="157"/>
        <v>1352EDF</v>
      </c>
      <c r="K1520" s="919">
        <v>1</v>
      </c>
      <c r="L1520" s="920">
        <f t="shared" si="156"/>
        <v>3036</v>
      </c>
      <c r="M1520" s="920">
        <f t="shared" si="158"/>
        <v>25.793856000000002</v>
      </c>
      <c r="N1520" s="920">
        <f t="shared" si="159"/>
        <v>23</v>
      </c>
      <c r="O1520" s="918" t="str">
        <f t="shared" si="160"/>
        <v>Feb</v>
      </c>
      <c r="P1520" s="921">
        <f t="shared" si="161"/>
        <v>8</v>
      </c>
    </row>
    <row r="1521" spans="1:16" ht="15" hidden="1" customHeight="1">
      <c r="A1521" s="839">
        <v>68300738</v>
      </c>
      <c r="B1521" s="839">
        <v>1352</v>
      </c>
      <c r="C1521" s="906">
        <v>4275</v>
      </c>
      <c r="D1521" s="907">
        <v>46072</v>
      </c>
      <c r="E1521" s="839" t="s">
        <v>325</v>
      </c>
      <c r="F1521" s="839" t="s">
        <v>240</v>
      </c>
      <c r="G1521" s="916">
        <f>VLOOKUP($A1521,'Tech Litons'!$A:$I,8,FALSE)</f>
        <v>8.4960000000000001E-3</v>
      </c>
      <c r="H1521" s="917">
        <f>VLOOKUP($A1521,'Tech Litons'!$A:$I,9,FALSE)</f>
        <v>132</v>
      </c>
      <c r="I1521" s="917" t="str">
        <f>VLOOKUP($A1521,'Tech Litons'!$A:$C,3,0)</f>
        <v>EDF</v>
      </c>
      <c r="J1521" s="918" t="str">
        <f t="shared" si="157"/>
        <v>1352EDF</v>
      </c>
      <c r="K1521" s="919">
        <v>1</v>
      </c>
      <c r="L1521" s="920">
        <f t="shared" si="156"/>
        <v>4275</v>
      </c>
      <c r="M1521" s="920">
        <f t="shared" si="158"/>
        <v>36.320399999999999</v>
      </c>
      <c r="N1521" s="920">
        <f t="shared" si="159"/>
        <v>32.386363636363633</v>
      </c>
      <c r="O1521" s="918" t="str">
        <f t="shared" si="160"/>
        <v>Feb</v>
      </c>
      <c r="P1521" s="921">
        <f t="shared" si="161"/>
        <v>8</v>
      </c>
    </row>
    <row r="1522" spans="1:16" ht="15" hidden="1" customHeight="1">
      <c r="A1522" s="839">
        <v>68300738</v>
      </c>
      <c r="B1522" s="839">
        <v>1352</v>
      </c>
      <c r="C1522" s="906">
        <v>2640</v>
      </c>
      <c r="D1522" s="907">
        <v>46072</v>
      </c>
      <c r="E1522" s="839" t="s">
        <v>325</v>
      </c>
      <c r="F1522" s="839" t="s">
        <v>240</v>
      </c>
      <c r="G1522" s="916">
        <f>VLOOKUP($A1522,'Tech Litons'!$A:$I,8,FALSE)</f>
        <v>8.4960000000000001E-3</v>
      </c>
      <c r="H1522" s="917">
        <f>VLOOKUP($A1522,'Tech Litons'!$A:$I,9,FALSE)</f>
        <v>132</v>
      </c>
      <c r="I1522" s="917" t="str">
        <f>VLOOKUP($A1522,'Tech Litons'!$A:$C,3,0)</f>
        <v>EDF</v>
      </c>
      <c r="J1522" s="918" t="str">
        <f t="shared" si="157"/>
        <v>1352EDF</v>
      </c>
      <c r="K1522" s="919">
        <v>1</v>
      </c>
      <c r="L1522" s="920">
        <f t="shared" si="156"/>
        <v>2640</v>
      </c>
      <c r="M1522" s="920">
        <f t="shared" si="158"/>
        <v>22.42944</v>
      </c>
      <c r="N1522" s="920">
        <f t="shared" si="159"/>
        <v>20</v>
      </c>
      <c r="O1522" s="918" t="str">
        <f t="shared" si="160"/>
        <v>Feb</v>
      </c>
      <c r="P1522" s="921">
        <f t="shared" si="161"/>
        <v>8</v>
      </c>
    </row>
    <row r="1523" spans="1:16" ht="15" hidden="1" customHeight="1">
      <c r="A1523" s="839">
        <v>68300738</v>
      </c>
      <c r="B1523" s="839">
        <v>1352</v>
      </c>
      <c r="C1523" s="906">
        <v>963</v>
      </c>
      <c r="D1523" s="907">
        <v>46073</v>
      </c>
      <c r="E1523" s="839" t="s">
        <v>325</v>
      </c>
      <c r="F1523" s="839" t="s">
        <v>240</v>
      </c>
      <c r="G1523" s="916">
        <f>VLOOKUP($A1523,'Tech Litons'!$A:$I,8,FALSE)</f>
        <v>8.4960000000000001E-3</v>
      </c>
      <c r="H1523" s="917">
        <f>VLOOKUP($A1523,'Tech Litons'!$A:$I,9,FALSE)</f>
        <v>132</v>
      </c>
      <c r="I1523" s="917" t="str">
        <f>VLOOKUP($A1523,'Tech Litons'!$A:$C,3,0)</f>
        <v>EDF</v>
      </c>
      <c r="J1523" s="918" t="str">
        <f t="shared" si="157"/>
        <v>1352EDF</v>
      </c>
      <c r="K1523" s="919">
        <v>1</v>
      </c>
      <c r="L1523" s="920">
        <f t="shared" si="156"/>
        <v>963</v>
      </c>
      <c r="M1523" s="920">
        <f t="shared" si="158"/>
        <v>8.1816480000000009</v>
      </c>
      <c r="N1523" s="920">
        <f t="shared" si="159"/>
        <v>7.2954545454545459</v>
      </c>
      <c r="O1523" s="918" t="str">
        <f t="shared" si="160"/>
        <v>Feb</v>
      </c>
      <c r="P1523" s="921">
        <f t="shared" si="161"/>
        <v>8</v>
      </c>
    </row>
    <row r="1524" spans="1:16" ht="15" hidden="1" customHeight="1">
      <c r="A1524" s="839">
        <v>68300738</v>
      </c>
      <c r="B1524" s="839">
        <v>1352</v>
      </c>
      <c r="C1524" s="906">
        <v>3432</v>
      </c>
      <c r="D1524" s="907">
        <v>46073</v>
      </c>
      <c r="E1524" s="839" t="s">
        <v>325</v>
      </c>
      <c r="F1524" s="839" t="s">
        <v>240</v>
      </c>
      <c r="G1524" s="916">
        <f>VLOOKUP($A1524,'Tech Litons'!$A:$I,8,FALSE)</f>
        <v>8.4960000000000001E-3</v>
      </c>
      <c r="H1524" s="917">
        <f>VLOOKUP($A1524,'Tech Litons'!$A:$I,9,FALSE)</f>
        <v>132</v>
      </c>
      <c r="I1524" s="917" t="str">
        <f>VLOOKUP($A1524,'Tech Litons'!$A:$C,3,0)</f>
        <v>EDF</v>
      </c>
      <c r="J1524" s="918" t="str">
        <f t="shared" si="157"/>
        <v>1352EDF</v>
      </c>
      <c r="K1524" s="919">
        <v>1</v>
      </c>
      <c r="L1524" s="920">
        <f t="shared" si="156"/>
        <v>3432</v>
      </c>
      <c r="M1524" s="920">
        <f t="shared" si="158"/>
        <v>29.158272</v>
      </c>
      <c r="N1524" s="920">
        <f t="shared" si="159"/>
        <v>26</v>
      </c>
      <c r="O1524" s="918" t="str">
        <f t="shared" si="160"/>
        <v>Feb</v>
      </c>
      <c r="P1524" s="921">
        <f t="shared" si="161"/>
        <v>8</v>
      </c>
    </row>
    <row r="1525" spans="1:16" ht="15" hidden="1" customHeight="1">
      <c r="A1525" s="839">
        <v>68300738</v>
      </c>
      <c r="B1525" s="839">
        <v>1352</v>
      </c>
      <c r="C1525" s="906">
        <v>5243</v>
      </c>
      <c r="D1525" s="907">
        <v>46074</v>
      </c>
      <c r="E1525" s="839" t="s">
        <v>325</v>
      </c>
      <c r="F1525" s="839" t="s">
        <v>240</v>
      </c>
      <c r="G1525" s="916">
        <f>VLOOKUP($A1525,'Tech Litons'!$A:$I,8,FALSE)</f>
        <v>8.4960000000000001E-3</v>
      </c>
      <c r="H1525" s="917">
        <f>VLOOKUP($A1525,'Tech Litons'!$A:$I,9,FALSE)</f>
        <v>132</v>
      </c>
      <c r="I1525" s="917" t="str">
        <f>VLOOKUP($A1525,'Tech Litons'!$A:$C,3,0)</f>
        <v>EDF</v>
      </c>
      <c r="J1525" s="918" t="str">
        <f t="shared" si="157"/>
        <v>1352EDF</v>
      </c>
      <c r="K1525" s="919">
        <v>1</v>
      </c>
      <c r="L1525" s="920">
        <f t="shared" si="156"/>
        <v>5243</v>
      </c>
      <c r="M1525" s="920">
        <f t="shared" si="158"/>
        <v>44.544528</v>
      </c>
      <c r="N1525" s="920">
        <f t="shared" si="159"/>
        <v>39.719696969696969</v>
      </c>
      <c r="O1525" s="918" t="str">
        <f t="shared" si="160"/>
        <v>Feb</v>
      </c>
      <c r="P1525" s="921">
        <f t="shared" si="161"/>
        <v>8</v>
      </c>
    </row>
    <row r="1526" spans="1:16" ht="15" hidden="1" customHeight="1">
      <c r="A1526" s="839">
        <v>68300738</v>
      </c>
      <c r="B1526" s="839">
        <v>1352</v>
      </c>
      <c r="C1526" s="906">
        <v>3168</v>
      </c>
      <c r="D1526" s="907">
        <v>46074</v>
      </c>
      <c r="E1526" s="839" t="s">
        <v>325</v>
      </c>
      <c r="F1526" s="839" t="s">
        <v>240</v>
      </c>
      <c r="G1526" s="916">
        <f>VLOOKUP($A1526,'Tech Litons'!$A:$I,8,FALSE)</f>
        <v>8.4960000000000001E-3</v>
      </c>
      <c r="H1526" s="917">
        <f>VLOOKUP($A1526,'Tech Litons'!$A:$I,9,FALSE)</f>
        <v>132</v>
      </c>
      <c r="I1526" s="917" t="str">
        <f>VLOOKUP($A1526,'Tech Litons'!$A:$C,3,0)</f>
        <v>EDF</v>
      </c>
      <c r="J1526" s="918" t="str">
        <f t="shared" si="157"/>
        <v>1352EDF</v>
      </c>
      <c r="K1526" s="919">
        <v>1</v>
      </c>
      <c r="L1526" s="920">
        <f t="shared" si="156"/>
        <v>3168</v>
      </c>
      <c r="M1526" s="920">
        <f t="shared" si="158"/>
        <v>26.915327999999999</v>
      </c>
      <c r="N1526" s="920">
        <f t="shared" si="159"/>
        <v>24</v>
      </c>
      <c r="O1526" s="918" t="str">
        <f t="shared" si="160"/>
        <v>Feb</v>
      </c>
      <c r="P1526" s="921">
        <f t="shared" si="161"/>
        <v>8</v>
      </c>
    </row>
    <row r="1527" spans="1:16" ht="15" hidden="1" customHeight="1">
      <c r="A1527" s="839">
        <v>68300738</v>
      </c>
      <c r="B1527" s="839">
        <v>1352</v>
      </c>
      <c r="C1527" s="906">
        <v>3691</v>
      </c>
      <c r="D1527" s="907">
        <v>46075</v>
      </c>
      <c r="E1527" s="839" t="s">
        <v>325</v>
      </c>
      <c r="F1527" s="839" t="s">
        <v>240</v>
      </c>
      <c r="G1527" s="916">
        <f>VLOOKUP($A1527,'Tech Litons'!$A:$I,8,FALSE)</f>
        <v>8.4960000000000001E-3</v>
      </c>
      <c r="H1527" s="917">
        <f>VLOOKUP($A1527,'Tech Litons'!$A:$I,9,FALSE)</f>
        <v>132</v>
      </c>
      <c r="I1527" s="917" t="str">
        <f>VLOOKUP($A1527,'Tech Litons'!$A:$C,3,0)</f>
        <v>EDF</v>
      </c>
      <c r="J1527" s="918" t="str">
        <f t="shared" si="157"/>
        <v>1352EDF</v>
      </c>
      <c r="K1527" s="919">
        <v>1</v>
      </c>
      <c r="L1527" s="920">
        <f t="shared" si="156"/>
        <v>3691</v>
      </c>
      <c r="M1527" s="920">
        <f t="shared" si="158"/>
        <v>31.358736</v>
      </c>
      <c r="N1527" s="920">
        <f t="shared" si="159"/>
        <v>27.962121212121211</v>
      </c>
      <c r="O1527" s="918" t="str">
        <f t="shared" si="160"/>
        <v>Feb</v>
      </c>
      <c r="P1527" s="921">
        <f t="shared" si="161"/>
        <v>9</v>
      </c>
    </row>
    <row r="1528" spans="1:16" ht="15" hidden="1" customHeight="1">
      <c r="A1528" s="839">
        <v>68300738</v>
      </c>
      <c r="B1528" s="839">
        <v>1352</v>
      </c>
      <c r="C1528" s="906">
        <v>2904</v>
      </c>
      <c r="D1528" s="907">
        <v>46075</v>
      </c>
      <c r="E1528" s="839" t="s">
        <v>325</v>
      </c>
      <c r="F1528" s="839" t="s">
        <v>240</v>
      </c>
      <c r="G1528" s="916">
        <f>VLOOKUP($A1528,'Tech Litons'!$A:$I,8,FALSE)</f>
        <v>8.4960000000000001E-3</v>
      </c>
      <c r="H1528" s="917">
        <f>VLOOKUP($A1528,'Tech Litons'!$A:$I,9,FALSE)</f>
        <v>132</v>
      </c>
      <c r="I1528" s="917" t="str">
        <f>VLOOKUP($A1528,'Tech Litons'!$A:$C,3,0)</f>
        <v>EDF</v>
      </c>
      <c r="J1528" s="918" t="str">
        <f t="shared" si="157"/>
        <v>1352EDF</v>
      </c>
      <c r="K1528" s="919">
        <v>1</v>
      </c>
      <c r="L1528" s="920">
        <f t="shared" si="156"/>
        <v>2904</v>
      </c>
      <c r="M1528" s="920">
        <f t="shared" si="158"/>
        <v>24.672384000000001</v>
      </c>
      <c r="N1528" s="920">
        <f t="shared" si="159"/>
        <v>22</v>
      </c>
      <c r="O1528" s="918" t="str">
        <f t="shared" si="160"/>
        <v>Feb</v>
      </c>
      <c r="P1528" s="921">
        <f t="shared" si="161"/>
        <v>9</v>
      </c>
    </row>
    <row r="1529" spans="1:16" ht="15" hidden="1" customHeight="1">
      <c r="A1529" s="839">
        <v>68300738</v>
      </c>
      <c r="B1529" s="839">
        <v>1352</v>
      </c>
      <c r="C1529" s="906">
        <v>2376</v>
      </c>
      <c r="D1529" s="907">
        <v>46070</v>
      </c>
      <c r="E1529" s="839" t="s">
        <v>325</v>
      </c>
      <c r="F1529" s="839" t="s">
        <v>240</v>
      </c>
      <c r="G1529" s="916">
        <f>VLOOKUP($A1529,'Tech Litons'!$A:$I,8,FALSE)</f>
        <v>8.4960000000000001E-3</v>
      </c>
      <c r="H1529" s="917">
        <f>VLOOKUP($A1529,'Tech Litons'!$A:$I,9,FALSE)</f>
        <v>132</v>
      </c>
      <c r="I1529" s="917" t="str">
        <f>VLOOKUP($A1529,'Tech Litons'!$A:$C,3,0)</f>
        <v>EDF</v>
      </c>
      <c r="J1529" s="918" t="str">
        <f t="shared" si="157"/>
        <v>1352EDF</v>
      </c>
      <c r="K1529" s="919">
        <v>1</v>
      </c>
      <c r="L1529" s="920">
        <f t="shared" si="156"/>
        <v>2376</v>
      </c>
      <c r="M1529" s="920">
        <f t="shared" si="158"/>
        <v>20.186496000000002</v>
      </c>
      <c r="N1529" s="920">
        <f t="shared" si="159"/>
        <v>18</v>
      </c>
      <c r="O1529" s="918" t="str">
        <f t="shared" si="160"/>
        <v>Feb</v>
      </c>
      <c r="P1529" s="921">
        <f t="shared" si="161"/>
        <v>8</v>
      </c>
    </row>
    <row r="1530" spans="1:16" ht="15" hidden="1" customHeight="1">
      <c r="A1530" s="839">
        <v>68300738</v>
      </c>
      <c r="B1530" s="839">
        <v>1352</v>
      </c>
      <c r="C1530" s="906">
        <v>4696</v>
      </c>
      <c r="D1530" s="907">
        <v>46071</v>
      </c>
      <c r="E1530" s="839" t="s">
        <v>325</v>
      </c>
      <c r="F1530" s="839" t="s">
        <v>240</v>
      </c>
      <c r="G1530" s="916">
        <f>VLOOKUP($A1530,'Tech Litons'!$A:$I,8,FALSE)</f>
        <v>8.4960000000000001E-3</v>
      </c>
      <c r="H1530" s="917">
        <f>VLOOKUP($A1530,'Tech Litons'!$A:$I,9,FALSE)</f>
        <v>132</v>
      </c>
      <c r="I1530" s="917" t="str">
        <f>VLOOKUP($A1530,'Tech Litons'!$A:$C,3,0)</f>
        <v>EDF</v>
      </c>
      <c r="J1530" s="918" t="str">
        <f t="shared" si="157"/>
        <v>1352EDF</v>
      </c>
      <c r="K1530" s="919">
        <v>1</v>
      </c>
      <c r="L1530" s="920">
        <f t="shared" si="156"/>
        <v>4696</v>
      </c>
      <c r="M1530" s="920">
        <f t="shared" si="158"/>
        <v>39.897216</v>
      </c>
      <c r="N1530" s="920">
        <f t="shared" si="159"/>
        <v>35.575757575757578</v>
      </c>
      <c r="O1530" s="918" t="str">
        <f t="shared" si="160"/>
        <v>Feb</v>
      </c>
      <c r="P1530" s="921">
        <f t="shared" si="161"/>
        <v>8</v>
      </c>
    </row>
    <row r="1531" spans="1:16" ht="15" hidden="1" customHeight="1">
      <c r="A1531" s="839">
        <v>68689251</v>
      </c>
      <c r="B1531" s="839">
        <v>1352</v>
      </c>
      <c r="C1531" s="906">
        <v>1320</v>
      </c>
      <c r="D1531" s="907">
        <v>46052</v>
      </c>
      <c r="E1531" s="839" t="s">
        <v>262</v>
      </c>
      <c r="F1531" s="839" t="s">
        <v>240</v>
      </c>
      <c r="G1531" s="916">
        <f>VLOOKUP($A1531,'Tech Litons'!$A:$I,8,FALSE)</f>
        <v>9.5760000000000012E-3</v>
      </c>
      <c r="H1531" s="917">
        <f>VLOOKUP($A1531,'Tech Litons'!$A:$I,9,FALSE)</f>
        <v>132</v>
      </c>
      <c r="I1531" s="917" t="str">
        <f>VLOOKUP($A1531,'Tech Litons'!$A:$C,3,0)</f>
        <v>EDF</v>
      </c>
      <c r="J1531" s="918" t="str">
        <f t="shared" si="157"/>
        <v>1352EDF</v>
      </c>
      <c r="K1531" s="919">
        <v>1</v>
      </c>
      <c r="L1531" s="920">
        <f t="shared" si="156"/>
        <v>1320</v>
      </c>
      <c r="M1531" s="920">
        <f t="shared" si="158"/>
        <v>12.640320000000001</v>
      </c>
      <c r="N1531" s="920">
        <f t="shared" si="159"/>
        <v>10</v>
      </c>
      <c r="O1531" s="918" t="str">
        <f t="shared" si="160"/>
        <v>Jan</v>
      </c>
      <c r="P1531" s="921">
        <f t="shared" si="161"/>
        <v>5</v>
      </c>
    </row>
    <row r="1532" spans="1:16" ht="15" hidden="1" customHeight="1">
      <c r="A1532" s="839">
        <v>68689251</v>
      </c>
      <c r="B1532" s="839">
        <v>1352</v>
      </c>
      <c r="C1532" s="906">
        <v>4917</v>
      </c>
      <c r="D1532" s="907">
        <v>46053</v>
      </c>
      <c r="E1532" s="839" t="s">
        <v>262</v>
      </c>
      <c r="F1532" s="839" t="s">
        <v>240</v>
      </c>
      <c r="G1532" s="916">
        <f>VLOOKUP($A1532,'Tech Litons'!$A:$I,8,FALSE)</f>
        <v>9.5760000000000012E-3</v>
      </c>
      <c r="H1532" s="917">
        <f>VLOOKUP($A1532,'Tech Litons'!$A:$I,9,FALSE)</f>
        <v>132</v>
      </c>
      <c r="I1532" s="917" t="str">
        <f>VLOOKUP($A1532,'Tech Litons'!$A:$C,3,0)</f>
        <v>EDF</v>
      </c>
      <c r="J1532" s="918" t="str">
        <f t="shared" si="157"/>
        <v>1352EDF</v>
      </c>
      <c r="K1532" s="919">
        <v>1</v>
      </c>
      <c r="L1532" s="920">
        <f t="shared" si="156"/>
        <v>4917</v>
      </c>
      <c r="M1532" s="920">
        <f t="shared" si="158"/>
        <v>47.085192000000006</v>
      </c>
      <c r="N1532" s="920">
        <f t="shared" si="159"/>
        <v>37.25</v>
      </c>
      <c r="O1532" s="918" t="str">
        <f t="shared" si="160"/>
        <v>Jan</v>
      </c>
      <c r="P1532" s="921">
        <f t="shared" si="161"/>
        <v>5</v>
      </c>
    </row>
    <row r="1533" spans="1:16" ht="15" hidden="1" customHeight="1">
      <c r="A1533" s="839">
        <v>68689251</v>
      </c>
      <c r="B1533" s="839">
        <v>1352</v>
      </c>
      <c r="C1533" s="906">
        <v>4488</v>
      </c>
      <c r="D1533" s="907">
        <v>46053</v>
      </c>
      <c r="E1533" s="839" t="s">
        <v>262</v>
      </c>
      <c r="F1533" s="839" t="s">
        <v>240</v>
      </c>
      <c r="G1533" s="916">
        <f>VLOOKUP($A1533,'Tech Litons'!$A:$I,8,FALSE)</f>
        <v>9.5760000000000012E-3</v>
      </c>
      <c r="H1533" s="917">
        <f>VLOOKUP($A1533,'Tech Litons'!$A:$I,9,FALSE)</f>
        <v>132</v>
      </c>
      <c r="I1533" s="917" t="str">
        <f>VLOOKUP($A1533,'Tech Litons'!$A:$C,3,0)</f>
        <v>EDF</v>
      </c>
      <c r="J1533" s="918" t="str">
        <f t="shared" si="157"/>
        <v>1352EDF</v>
      </c>
      <c r="K1533" s="919">
        <v>1</v>
      </c>
      <c r="L1533" s="920">
        <f t="shared" si="156"/>
        <v>4488</v>
      </c>
      <c r="M1533" s="920">
        <f t="shared" si="158"/>
        <v>42.977088000000002</v>
      </c>
      <c r="N1533" s="920">
        <f t="shared" si="159"/>
        <v>34</v>
      </c>
      <c r="O1533" s="918" t="str">
        <f t="shared" si="160"/>
        <v>Jan</v>
      </c>
      <c r="P1533" s="921">
        <f t="shared" si="161"/>
        <v>5</v>
      </c>
    </row>
    <row r="1534" spans="1:16" ht="15" hidden="1" customHeight="1">
      <c r="A1534" s="839">
        <v>68689251</v>
      </c>
      <c r="B1534" s="839">
        <v>1352</v>
      </c>
      <c r="C1534" s="906">
        <v>3254</v>
      </c>
      <c r="D1534" s="907">
        <v>46054</v>
      </c>
      <c r="E1534" s="839" t="s">
        <v>262</v>
      </c>
      <c r="F1534" s="839" t="s">
        <v>240</v>
      </c>
      <c r="G1534" s="916">
        <f>VLOOKUP($A1534,'Tech Litons'!$A:$I,8,FALSE)</f>
        <v>9.5760000000000012E-3</v>
      </c>
      <c r="H1534" s="917">
        <f>VLOOKUP($A1534,'Tech Litons'!$A:$I,9,FALSE)</f>
        <v>132</v>
      </c>
      <c r="I1534" s="917" t="str">
        <f>VLOOKUP($A1534,'Tech Litons'!$A:$C,3,0)</f>
        <v>EDF</v>
      </c>
      <c r="J1534" s="918" t="str">
        <f t="shared" si="157"/>
        <v>1352EDF</v>
      </c>
      <c r="K1534" s="919">
        <v>1</v>
      </c>
      <c r="L1534" s="920">
        <f t="shared" si="156"/>
        <v>3254</v>
      </c>
      <c r="M1534" s="920">
        <f t="shared" si="158"/>
        <v>31.160304000000004</v>
      </c>
      <c r="N1534" s="920">
        <f t="shared" si="159"/>
        <v>24.651515151515152</v>
      </c>
      <c r="O1534" s="918" t="str">
        <f t="shared" si="160"/>
        <v>Feb</v>
      </c>
      <c r="P1534" s="921">
        <f t="shared" si="161"/>
        <v>6</v>
      </c>
    </row>
    <row r="1535" spans="1:16" ht="15" hidden="1" customHeight="1">
      <c r="A1535" s="839">
        <v>68689251</v>
      </c>
      <c r="B1535" s="839">
        <v>1352</v>
      </c>
      <c r="C1535" s="906">
        <v>2376</v>
      </c>
      <c r="D1535" s="907">
        <v>46054</v>
      </c>
      <c r="E1535" s="839" t="s">
        <v>262</v>
      </c>
      <c r="F1535" s="839" t="s">
        <v>240</v>
      </c>
      <c r="G1535" s="916">
        <f>VLOOKUP($A1535,'Tech Litons'!$A:$I,8,FALSE)</f>
        <v>9.5760000000000012E-3</v>
      </c>
      <c r="H1535" s="917">
        <f>VLOOKUP($A1535,'Tech Litons'!$A:$I,9,FALSE)</f>
        <v>132</v>
      </c>
      <c r="I1535" s="917" t="str">
        <f>VLOOKUP($A1535,'Tech Litons'!$A:$C,3,0)</f>
        <v>EDF</v>
      </c>
      <c r="J1535" s="918" t="str">
        <f t="shared" si="157"/>
        <v>1352EDF</v>
      </c>
      <c r="K1535" s="919">
        <v>1</v>
      </c>
      <c r="L1535" s="920">
        <f t="shared" si="156"/>
        <v>2376</v>
      </c>
      <c r="M1535" s="920">
        <f t="shared" si="158"/>
        <v>22.752576000000001</v>
      </c>
      <c r="N1535" s="920">
        <f t="shared" si="159"/>
        <v>18</v>
      </c>
      <c r="O1535" s="918" t="str">
        <f t="shared" si="160"/>
        <v>Feb</v>
      </c>
      <c r="P1535" s="921">
        <f t="shared" si="161"/>
        <v>6</v>
      </c>
    </row>
    <row r="1536" spans="1:16" ht="15" hidden="1" customHeight="1">
      <c r="A1536" s="839">
        <v>68689251</v>
      </c>
      <c r="B1536" s="839">
        <v>1352</v>
      </c>
      <c r="C1536" s="906">
        <v>3214</v>
      </c>
      <c r="D1536" s="907">
        <v>46055</v>
      </c>
      <c r="E1536" s="839" t="s">
        <v>262</v>
      </c>
      <c r="F1536" s="839" t="s">
        <v>240</v>
      </c>
      <c r="G1536" s="916">
        <f>VLOOKUP($A1536,'Tech Litons'!$A:$I,8,FALSE)</f>
        <v>9.5760000000000012E-3</v>
      </c>
      <c r="H1536" s="917">
        <f>VLOOKUP($A1536,'Tech Litons'!$A:$I,9,FALSE)</f>
        <v>132</v>
      </c>
      <c r="I1536" s="917" t="str">
        <f>VLOOKUP($A1536,'Tech Litons'!$A:$C,3,0)</f>
        <v>EDF</v>
      </c>
      <c r="J1536" s="918" t="str">
        <f t="shared" si="157"/>
        <v>1352EDF</v>
      </c>
      <c r="K1536" s="919">
        <v>1</v>
      </c>
      <c r="L1536" s="920">
        <f t="shared" si="156"/>
        <v>3214</v>
      </c>
      <c r="M1536" s="920">
        <f t="shared" si="158"/>
        <v>30.777264000000002</v>
      </c>
      <c r="N1536" s="920">
        <f t="shared" si="159"/>
        <v>24.348484848484848</v>
      </c>
      <c r="O1536" s="918" t="str">
        <f t="shared" si="160"/>
        <v>Feb</v>
      </c>
      <c r="P1536" s="921">
        <f t="shared" si="161"/>
        <v>6</v>
      </c>
    </row>
    <row r="1537" spans="1:16" ht="15" hidden="1" customHeight="1">
      <c r="A1537" s="839">
        <v>68689251</v>
      </c>
      <c r="B1537" s="839">
        <v>1352</v>
      </c>
      <c r="C1537" s="906">
        <v>2640</v>
      </c>
      <c r="D1537" s="907">
        <v>46055</v>
      </c>
      <c r="E1537" s="839" t="s">
        <v>262</v>
      </c>
      <c r="F1537" s="839" t="s">
        <v>240</v>
      </c>
      <c r="G1537" s="916">
        <f>VLOOKUP($A1537,'Tech Litons'!$A:$I,8,FALSE)</f>
        <v>9.5760000000000012E-3</v>
      </c>
      <c r="H1537" s="917">
        <f>VLOOKUP($A1537,'Tech Litons'!$A:$I,9,FALSE)</f>
        <v>132</v>
      </c>
      <c r="I1537" s="917" t="str">
        <f>VLOOKUP($A1537,'Tech Litons'!$A:$C,3,0)</f>
        <v>EDF</v>
      </c>
      <c r="J1537" s="918" t="str">
        <f t="shared" si="157"/>
        <v>1352EDF</v>
      </c>
      <c r="K1537" s="919">
        <v>1</v>
      </c>
      <c r="L1537" s="920">
        <f t="shared" si="156"/>
        <v>2640</v>
      </c>
      <c r="M1537" s="920">
        <f t="shared" si="158"/>
        <v>25.280640000000002</v>
      </c>
      <c r="N1537" s="920">
        <f t="shared" si="159"/>
        <v>20</v>
      </c>
      <c r="O1537" s="918" t="str">
        <f t="shared" si="160"/>
        <v>Feb</v>
      </c>
      <c r="P1537" s="921">
        <f t="shared" si="161"/>
        <v>6</v>
      </c>
    </row>
    <row r="1538" spans="1:16" ht="15" hidden="1" customHeight="1">
      <c r="A1538" s="839">
        <v>68689251</v>
      </c>
      <c r="B1538" s="839">
        <v>1352</v>
      </c>
      <c r="C1538" s="906">
        <v>4110</v>
      </c>
      <c r="D1538" s="907">
        <v>46056</v>
      </c>
      <c r="E1538" s="839" t="s">
        <v>262</v>
      </c>
      <c r="F1538" s="839" t="s">
        <v>240</v>
      </c>
      <c r="G1538" s="916">
        <f>VLOOKUP($A1538,'Tech Litons'!$A:$I,8,FALSE)</f>
        <v>9.5760000000000012E-3</v>
      </c>
      <c r="H1538" s="917">
        <f>VLOOKUP($A1538,'Tech Litons'!$A:$I,9,FALSE)</f>
        <v>132</v>
      </c>
      <c r="I1538" s="917" t="str">
        <f>VLOOKUP($A1538,'Tech Litons'!$A:$C,3,0)</f>
        <v>EDF</v>
      </c>
      <c r="J1538" s="918" t="str">
        <f t="shared" si="157"/>
        <v>1352EDF</v>
      </c>
      <c r="K1538" s="919">
        <v>1</v>
      </c>
      <c r="L1538" s="920">
        <f t="shared" si="156"/>
        <v>4110</v>
      </c>
      <c r="M1538" s="920">
        <f t="shared" si="158"/>
        <v>39.357360000000007</v>
      </c>
      <c r="N1538" s="920">
        <f t="shared" si="159"/>
        <v>31.136363636363637</v>
      </c>
      <c r="O1538" s="918" t="str">
        <f t="shared" si="160"/>
        <v>Feb</v>
      </c>
      <c r="P1538" s="921">
        <f t="shared" si="161"/>
        <v>6</v>
      </c>
    </row>
    <row r="1539" spans="1:16" ht="15" hidden="1" customHeight="1">
      <c r="A1539" s="839">
        <v>68689251</v>
      </c>
      <c r="B1539" s="839">
        <v>1352</v>
      </c>
      <c r="C1539" s="906">
        <v>2904</v>
      </c>
      <c r="D1539" s="907">
        <v>46058</v>
      </c>
      <c r="E1539" s="839" t="s">
        <v>262</v>
      </c>
      <c r="F1539" s="839" t="s">
        <v>241</v>
      </c>
      <c r="G1539" s="916">
        <f>VLOOKUP($A1539,'Tech Litons'!$A:$I,8,FALSE)</f>
        <v>9.5760000000000012E-3</v>
      </c>
      <c r="H1539" s="917">
        <f>VLOOKUP($A1539,'Tech Litons'!$A:$I,9,FALSE)</f>
        <v>132</v>
      </c>
      <c r="I1539" s="917" t="str">
        <f>VLOOKUP($A1539,'Tech Litons'!$A:$C,3,0)</f>
        <v>EDF</v>
      </c>
      <c r="J1539" s="918" t="str">
        <f t="shared" si="157"/>
        <v>1352EDF</v>
      </c>
      <c r="K1539" s="919">
        <v>1</v>
      </c>
      <c r="L1539" s="920">
        <f t="shared" si="156"/>
        <v>2904</v>
      </c>
      <c r="M1539" s="920">
        <f t="shared" si="158"/>
        <v>27.808704000000002</v>
      </c>
      <c r="N1539" s="920">
        <f t="shared" si="159"/>
        <v>22</v>
      </c>
      <c r="O1539" s="918" t="str">
        <f t="shared" si="160"/>
        <v>Feb</v>
      </c>
      <c r="P1539" s="921">
        <f t="shared" si="161"/>
        <v>6</v>
      </c>
    </row>
    <row r="1540" spans="1:16" ht="15" hidden="1" customHeight="1">
      <c r="A1540" s="839">
        <v>68689251</v>
      </c>
      <c r="B1540" s="839">
        <v>1352</v>
      </c>
      <c r="C1540" s="906">
        <v>3577</v>
      </c>
      <c r="D1540" s="907">
        <v>46059</v>
      </c>
      <c r="E1540" s="839" t="s">
        <v>262</v>
      </c>
      <c r="F1540" s="839" t="s">
        <v>241</v>
      </c>
      <c r="G1540" s="916">
        <f>VLOOKUP($A1540,'Tech Litons'!$A:$I,8,FALSE)</f>
        <v>9.5760000000000012E-3</v>
      </c>
      <c r="H1540" s="917">
        <f>VLOOKUP($A1540,'Tech Litons'!$A:$I,9,FALSE)</f>
        <v>132</v>
      </c>
      <c r="I1540" s="917" t="str">
        <f>VLOOKUP($A1540,'Tech Litons'!$A:$C,3,0)</f>
        <v>EDF</v>
      </c>
      <c r="J1540" s="918" t="str">
        <f t="shared" si="157"/>
        <v>1352EDF</v>
      </c>
      <c r="K1540" s="919">
        <v>1</v>
      </c>
      <c r="L1540" s="920">
        <f t="shared" si="156"/>
        <v>3577</v>
      </c>
      <c r="M1540" s="920">
        <f t="shared" si="158"/>
        <v>34.253352000000007</v>
      </c>
      <c r="N1540" s="920">
        <f t="shared" si="159"/>
        <v>27.098484848484848</v>
      </c>
      <c r="O1540" s="918" t="str">
        <f t="shared" si="160"/>
        <v>Feb</v>
      </c>
      <c r="P1540" s="921">
        <f t="shared" si="161"/>
        <v>6</v>
      </c>
    </row>
    <row r="1541" spans="1:16" ht="15" hidden="1" customHeight="1">
      <c r="A1541" s="839">
        <v>68689251</v>
      </c>
      <c r="B1541" s="839">
        <v>1352</v>
      </c>
      <c r="C1541" s="906">
        <v>396</v>
      </c>
      <c r="D1541" s="907">
        <v>46059</v>
      </c>
      <c r="E1541" s="839" t="s">
        <v>262</v>
      </c>
      <c r="F1541" s="839" t="s">
        <v>241</v>
      </c>
      <c r="G1541" s="916">
        <f>VLOOKUP($A1541,'Tech Litons'!$A:$I,8,FALSE)</f>
        <v>9.5760000000000012E-3</v>
      </c>
      <c r="H1541" s="917">
        <f>VLOOKUP($A1541,'Tech Litons'!$A:$I,9,FALSE)</f>
        <v>132</v>
      </c>
      <c r="I1541" s="917" t="str">
        <f>VLOOKUP($A1541,'Tech Litons'!$A:$C,3,0)</f>
        <v>EDF</v>
      </c>
      <c r="J1541" s="918" t="str">
        <f t="shared" si="157"/>
        <v>1352EDF</v>
      </c>
      <c r="K1541" s="919">
        <v>1</v>
      </c>
      <c r="L1541" s="920">
        <f t="shared" si="156"/>
        <v>396</v>
      </c>
      <c r="M1541" s="920">
        <f t="shared" si="158"/>
        <v>3.7920960000000004</v>
      </c>
      <c r="N1541" s="920">
        <f t="shared" si="159"/>
        <v>3</v>
      </c>
      <c r="O1541" s="918" t="str">
        <f t="shared" si="160"/>
        <v>Feb</v>
      </c>
      <c r="P1541" s="921">
        <f t="shared" si="161"/>
        <v>6</v>
      </c>
    </row>
    <row r="1542" spans="1:16" ht="15" hidden="1" customHeight="1">
      <c r="A1542" s="839">
        <v>68689251</v>
      </c>
      <c r="B1542" s="839">
        <v>1352</v>
      </c>
      <c r="C1542" s="906">
        <v>4026</v>
      </c>
      <c r="D1542" s="907">
        <v>46060</v>
      </c>
      <c r="E1542" s="839" t="s">
        <v>262</v>
      </c>
      <c r="F1542" s="839" t="s">
        <v>241</v>
      </c>
      <c r="G1542" s="916">
        <f>VLOOKUP($A1542,'Tech Litons'!$A:$I,8,FALSE)</f>
        <v>9.5760000000000012E-3</v>
      </c>
      <c r="H1542" s="917">
        <f>VLOOKUP($A1542,'Tech Litons'!$A:$I,9,FALSE)</f>
        <v>132</v>
      </c>
      <c r="I1542" s="917" t="str">
        <f>VLOOKUP($A1542,'Tech Litons'!$A:$C,3,0)</f>
        <v>EDF</v>
      </c>
      <c r="J1542" s="918" t="str">
        <f t="shared" si="157"/>
        <v>1352EDF</v>
      </c>
      <c r="K1542" s="919">
        <v>1</v>
      </c>
      <c r="L1542" s="920">
        <f t="shared" si="156"/>
        <v>4026</v>
      </c>
      <c r="M1542" s="920">
        <f t="shared" si="158"/>
        <v>38.552976000000008</v>
      </c>
      <c r="N1542" s="920">
        <f t="shared" si="159"/>
        <v>30.5</v>
      </c>
      <c r="O1542" s="918" t="str">
        <f t="shared" si="160"/>
        <v>Feb</v>
      </c>
      <c r="P1542" s="921">
        <f t="shared" si="161"/>
        <v>6</v>
      </c>
    </row>
    <row r="1543" spans="1:16" ht="15" hidden="1" customHeight="1">
      <c r="A1543" s="839">
        <v>68689251</v>
      </c>
      <c r="B1543" s="839">
        <v>1352</v>
      </c>
      <c r="C1543" s="906">
        <v>1980</v>
      </c>
      <c r="D1543" s="907">
        <v>46060</v>
      </c>
      <c r="E1543" s="839" t="s">
        <v>262</v>
      </c>
      <c r="F1543" s="839" t="s">
        <v>241</v>
      </c>
      <c r="G1543" s="916">
        <f>VLOOKUP($A1543,'Tech Litons'!$A:$I,8,FALSE)</f>
        <v>9.5760000000000012E-3</v>
      </c>
      <c r="H1543" s="917">
        <f>VLOOKUP($A1543,'Tech Litons'!$A:$I,9,FALSE)</f>
        <v>132</v>
      </c>
      <c r="I1543" s="917" t="str">
        <f>VLOOKUP($A1543,'Tech Litons'!$A:$C,3,0)</f>
        <v>EDF</v>
      </c>
      <c r="J1543" s="918" t="str">
        <f t="shared" si="157"/>
        <v>1352EDF</v>
      </c>
      <c r="K1543" s="919">
        <v>1</v>
      </c>
      <c r="L1543" s="920">
        <f t="shared" si="156"/>
        <v>1980</v>
      </c>
      <c r="M1543" s="920">
        <f t="shared" si="158"/>
        <v>18.960480000000004</v>
      </c>
      <c r="N1543" s="920">
        <f t="shared" si="159"/>
        <v>15</v>
      </c>
      <c r="O1543" s="918" t="str">
        <f t="shared" si="160"/>
        <v>Feb</v>
      </c>
      <c r="P1543" s="921">
        <f t="shared" si="161"/>
        <v>6</v>
      </c>
    </row>
    <row r="1544" spans="1:16" ht="15" hidden="1" customHeight="1">
      <c r="A1544" s="839">
        <v>68689251</v>
      </c>
      <c r="B1544" s="839">
        <v>1352</v>
      </c>
      <c r="C1544" s="906">
        <v>2990</v>
      </c>
      <c r="D1544" s="907">
        <v>46061</v>
      </c>
      <c r="E1544" s="839" t="s">
        <v>262</v>
      </c>
      <c r="F1544" s="839" t="s">
        <v>241</v>
      </c>
      <c r="G1544" s="916">
        <f>VLOOKUP($A1544,'Tech Litons'!$A:$I,8,FALSE)</f>
        <v>9.5760000000000012E-3</v>
      </c>
      <c r="H1544" s="917">
        <f>VLOOKUP($A1544,'Tech Litons'!$A:$I,9,FALSE)</f>
        <v>132</v>
      </c>
      <c r="I1544" s="917" t="str">
        <f>VLOOKUP($A1544,'Tech Litons'!$A:$C,3,0)</f>
        <v>EDF</v>
      </c>
      <c r="J1544" s="918" t="str">
        <f t="shared" si="157"/>
        <v>1352EDF</v>
      </c>
      <c r="K1544" s="919">
        <v>1</v>
      </c>
      <c r="L1544" s="920">
        <f t="shared" si="156"/>
        <v>2990</v>
      </c>
      <c r="M1544" s="920">
        <f t="shared" si="158"/>
        <v>28.632240000000003</v>
      </c>
      <c r="N1544" s="920">
        <f t="shared" si="159"/>
        <v>22.651515151515152</v>
      </c>
      <c r="O1544" s="918" t="str">
        <f t="shared" si="160"/>
        <v>Feb</v>
      </c>
      <c r="P1544" s="921">
        <f t="shared" si="161"/>
        <v>7</v>
      </c>
    </row>
    <row r="1545" spans="1:16" ht="15" hidden="1" customHeight="1">
      <c r="A1545" s="839">
        <v>68689251</v>
      </c>
      <c r="B1545" s="839">
        <v>1352</v>
      </c>
      <c r="C1545" s="906">
        <v>7</v>
      </c>
      <c r="D1545" s="907">
        <v>46062</v>
      </c>
      <c r="E1545" s="839" t="s">
        <v>262</v>
      </c>
      <c r="F1545" s="839" t="s">
        <v>241</v>
      </c>
      <c r="G1545" s="916">
        <f>VLOOKUP($A1545,'Tech Litons'!$A:$I,8,FALSE)</f>
        <v>9.5760000000000012E-3</v>
      </c>
      <c r="H1545" s="917">
        <f>VLOOKUP($A1545,'Tech Litons'!$A:$I,9,FALSE)</f>
        <v>132</v>
      </c>
      <c r="I1545" s="917" t="str">
        <f>VLOOKUP($A1545,'Tech Litons'!$A:$C,3,0)</f>
        <v>EDF</v>
      </c>
      <c r="J1545" s="918" t="str">
        <f t="shared" si="157"/>
        <v>1352EDF</v>
      </c>
      <c r="K1545" s="919">
        <v>1</v>
      </c>
      <c r="L1545" s="920">
        <f t="shared" si="156"/>
        <v>7</v>
      </c>
      <c r="M1545" s="920">
        <f t="shared" si="158"/>
        <v>6.7032000000000008E-2</v>
      </c>
      <c r="N1545" s="920">
        <f t="shared" si="159"/>
        <v>5.3030303030303032E-2</v>
      </c>
      <c r="O1545" s="918" t="str">
        <f t="shared" si="160"/>
        <v>Feb</v>
      </c>
      <c r="P1545" s="921">
        <f t="shared" si="161"/>
        <v>7</v>
      </c>
    </row>
    <row r="1546" spans="1:16" ht="15" hidden="1" customHeight="1">
      <c r="A1546" s="839">
        <v>68689251</v>
      </c>
      <c r="B1546" s="839">
        <v>1352</v>
      </c>
      <c r="C1546" s="906">
        <v>396</v>
      </c>
      <c r="D1546" s="907">
        <v>46050</v>
      </c>
      <c r="E1546" s="839" t="s">
        <v>262</v>
      </c>
      <c r="F1546" s="839" t="s">
        <v>241</v>
      </c>
      <c r="G1546" s="916">
        <f>VLOOKUP($A1546,'Tech Litons'!$A:$I,8,FALSE)</f>
        <v>9.5760000000000012E-3</v>
      </c>
      <c r="H1546" s="917">
        <f>VLOOKUP($A1546,'Tech Litons'!$A:$I,9,FALSE)</f>
        <v>132</v>
      </c>
      <c r="I1546" s="917" t="str">
        <f>VLOOKUP($A1546,'Tech Litons'!$A:$C,3,0)</f>
        <v>EDF</v>
      </c>
      <c r="J1546" s="918" t="str">
        <f t="shared" si="157"/>
        <v>1352EDF</v>
      </c>
      <c r="K1546" s="919">
        <v>1</v>
      </c>
      <c r="L1546" s="920">
        <f t="shared" si="156"/>
        <v>396</v>
      </c>
      <c r="M1546" s="920">
        <f t="shared" si="158"/>
        <v>3.7920960000000004</v>
      </c>
      <c r="N1546" s="920">
        <f t="shared" si="159"/>
        <v>3</v>
      </c>
      <c r="O1546" s="918" t="str">
        <f t="shared" si="160"/>
        <v>Jan</v>
      </c>
      <c r="P1546" s="921">
        <f t="shared" si="161"/>
        <v>5</v>
      </c>
    </row>
    <row r="1547" spans="1:16" ht="15" hidden="1" customHeight="1">
      <c r="A1547" s="839">
        <v>68689251</v>
      </c>
      <c r="B1547" s="839">
        <v>1352</v>
      </c>
      <c r="C1547" s="906">
        <v>3514</v>
      </c>
      <c r="D1547" s="907">
        <v>46051</v>
      </c>
      <c r="E1547" s="839" t="s">
        <v>262</v>
      </c>
      <c r="F1547" s="839" t="s">
        <v>241</v>
      </c>
      <c r="G1547" s="916">
        <f>VLOOKUP($A1547,'Tech Litons'!$A:$I,8,FALSE)</f>
        <v>9.5760000000000012E-3</v>
      </c>
      <c r="H1547" s="917">
        <f>VLOOKUP($A1547,'Tech Litons'!$A:$I,9,FALSE)</f>
        <v>132</v>
      </c>
      <c r="I1547" s="917" t="str">
        <f>VLOOKUP($A1547,'Tech Litons'!$A:$C,3,0)</f>
        <v>EDF</v>
      </c>
      <c r="J1547" s="918" t="str">
        <f t="shared" si="157"/>
        <v>1352EDF</v>
      </c>
      <c r="K1547" s="919">
        <v>1</v>
      </c>
      <c r="L1547" s="920">
        <f t="shared" si="156"/>
        <v>3514</v>
      </c>
      <c r="M1547" s="920">
        <f t="shared" si="158"/>
        <v>33.650064000000008</v>
      </c>
      <c r="N1547" s="920">
        <f t="shared" si="159"/>
        <v>26.621212121212121</v>
      </c>
      <c r="O1547" s="918" t="str">
        <f t="shared" si="160"/>
        <v>Jan</v>
      </c>
      <c r="P1547" s="921">
        <f t="shared" si="161"/>
        <v>5</v>
      </c>
    </row>
    <row r="1548" spans="1:16" ht="15" hidden="1" customHeight="1">
      <c r="A1548" s="839">
        <v>68689251</v>
      </c>
      <c r="B1548" s="839">
        <v>1352</v>
      </c>
      <c r="C1548" s="906">
        <v>2244</v>
      </c>
      <c r="D1548" s="907">
        <v>46061</v>
      </c>
      <c r="E1548" s="839" t="s">
        <v>262</v>
      </c>
      <c r="F1548" s="839" t="s">
        <v>241</v>
      </c>
      <c r="G1548" s="916">
        <f>VLOOKUP($A1548,'Tech Litons'!$A:$I,8,FALSE)</f>
        <v>9.5760000000000012E-3</v>
      </c>
      <c r="H1548" s="917">
        <f>VLOOKUP($A1548,'Tech Litons'!$A:$I,9,FALSE)</f>
        <v>132</v>
      </c>
      <c r="I1548" s="917" t="str">
        <f>VLOOKUP($A1548,'Tech Litons'!$A:$C,3,0)</f>
        <v>EDF</v>
      </c>
      <c r="J1548" s="918" t="str">
        <f t="shared" si="157"/>
        <v>1352EDF</v>
      </c>
      <c r="K1548" s="919">
        <v>1</v>
      </c>
      <c r="L1548" s="920">
        <f t="shared" si="156"/>
        <v>2244</v>
      </c>
      <c r="M1548" s="920">
        <f t="shared" si="158"/>
        <v>21.488544000000001</v>
      </c>
      <c r="N1548" s="920">
        <f t="shared" si="159"/>
        <v>17</v>
      </c>
      <c r="O1548" s="918" t="str">
        <f t="shared" si="160"/>
        <v>Feb</v>
      </c>
      <c r="P1548" s="921">
        <f t="shared" si="161"/>
        <v>7</v>
      </c>
    </row>
    <row r="1549" spans="1:16" ht="15" hidden="1" customHeight="1">
      <c r="A1549" s="839">
        <v>68689251</v>
      </c>
      <c r="B1549" s="839">
        <v>1352</v>
      </c>
      <c r="C1549" s="906">
        <v>3076</v>
      </c>
      <c r="D1549" s="907">
        <v>46062</v>
      </c>
      <c r="E1549" s="839" t="s">
        <v>262</v>
      </c>
      <c r="F1549" s="839" t="s">
        <v>241</v>
      </c>
      <c r="G1549" s="916">
        <f>VLOOKUP($A1549,'Tech Litons'!$A:$I,8,FALSE)</f>
        <v>9.5760000000000012E-3</v>
      </c>
      <c r="H1549" s="917">
        <f>VLOOKUP($A1549,'Tech Litons'!$A:$I,9,FALSE)</f>
        <v>132</v>
      </c>
      <c r="I1549" s="917" t="str">
        <f>VLOOKUP($A1549,'Tech Litons'!$A:$C,3,0)</f>
        <v>EDF</v>
      </c>
      <c r="J1549" s="918" t="str">
        <f t="shared" si="157"/>
        <v>1352EDF</v>
      </c>
      <c r="K1549" s="919">
        <v>1</v>
      </c>
      <c r="L1549" s="920">
        <f t="shared" si="156"/>
        <v>3076</v>
      </c>
      <c r="M1549" s="920">
        <f t="shared" si="158"/>
        <v>29.455776000000004</v>
      </c>
      <c r="N1549" s="920">
        <f t="shared" si="159"/>
        <v>23.303030303030305</v>
      </c>
      <c r="O1549" s="918" t="str">
        <f t="shared" si="160"/>
        <v>Feb</v>
      </c>
      <c r="P1549" s="921">
        <f t="shared" si="161"/>
        <v>7</v>
      </c>
    </row>
    <row r="1550" spans="1:16" ht="15" hidden="1" customHeight="1">
      <c r="A1550" s="839">
        <v>68689251</v>
      </c>
      <c r="B1550" s="839">
        <v>1352</v>
      </c>
      <c r="C1550" s="906">
        <v>2904</v>
      </c>
      <c r="D1550" s="907">
        <v>46051</v>
      </c>
      <c r="E1550" s="839" t="s">
        <v>262</v>
      </c>
      <c r="F1550" s="839" t="s">
        <v>241</v>
      </c>
      <c r="G1550" s="916">
        <f>VLOOKUP($A1550,'Tech Litons'!$A:$I,8,FALSE)</f>
        <v>9.5760000000000012E-3</v>
      </c>
      <c r="H1550" s="917">
        <f>VLOOKUP($A1550,'Tech Litons'!$A:$I,9,FALSE)</f>
        <v>132</v>
      </c>
      <c r="I1550" s="917" t="str">
        <f>VLOOKUP($A1550,'Tech Litons'!$A:$C,3,0)</f>
        <v>EDF</v>
      </c>
      <c r="J1550" s="918" t="str">
        <f t="shared" si="157"/>
        <v>1352EDF</v>
      </c>
      <c r="K1550" s="919">
        <v>1</v>
      </c>
      <c r="L1550" s="920">
        <f t="shared" si="156"/>
        <v>2904</v>
      </c>
      <c r="M1550" s="920">
        <f t="shared" si="158"/>
        <v>27.808704000000002</v>
      </c>
      <c r="N1550" s="920">
        <f t="shared" si="159"/>
        <v>22</v>
      </c>
      <c r="O1550" s="918" t="str">
        <f t="shared" si="160"/>
        <v>Jan</v>
      </c>
      <c r="P1550" s="921">
        <f t="shared" si="161"/>
        <v>5</v>
      </c>
    </row>
    <row r="1551" spans="1:16" ht="15" hidden="1" customHeight="1">
      <c r="A1551" s="839">
        <v>68689251</v>
      </c>
      <c r="B1551" s="839">
        <v>1352</v>
      </c>
      <c r="C1551" s="906">
        <v>4364</v>
      </c>
      <c r="D1551" s="907">
        <v>46052</v>
      </c>
      <c r="E1551" s="839" t="s">
        <v>262</v>
      </c>
      <c r="F1551" s="839" t="s">
        <v>241</v>
      </c>
      <c r="G1551" s="916">
        <f>VLOOKUP($A1551,'Tech Litons'!$A:$I,8,FALSE)</f>
        <v>9.5760000000000012E-3</v>
      </c>
      <c r="H1551" s="917">
        <f>VLOOKUP($A1551,'Tech Litons'!$A:$I,9,FALSE)</f>
        <v>132</v>
      </c>
      <c r="I1551" s="917" t="str">
        <f>VLOOKUP($A1551,'Tech Litons'!$A:$C,3,0)</f>
        <v>EDF</v>
      </c>
      <c r="J1551" s="918" t="str">
        <f t="shared" si="157"/>
        <v>1352EDF</v>
      </c>
      <c r="K1551" s="919">
        <v>1</v>
      </c>
      <c r="L1551" s="920">
        <f t="shared" si="156"/>
        <v>4364</v>
      </c>
      <c r="M1551" s="920">
        <f t="shared" si="158"/>
        <v>41.789664000000002</v>
      </c>
      <c r="N1551" s="920">
        <f t="shared" si="159"/>
        <v>33.060606060606062</v>
      </c>
      <c r="O1551" s="918" t="str">
        <f t="shared" si="160"/>
        <v>Jan</v>
      </c>
      <c r="P1551" s="921">
        <f t="shared" si="161"/>
        <v>5</v>
      </c>
    </row>
    <row r="1552" spans="1:16" ht="15" hidden="1" customHeight="1">
      <c r="A1552" s="839">
        <v>68689251</v>
      </c>
      <c r="B1552" s="839">
        <v>1352</v>
      </c>
      <c r="C1552" s="906">
        <v>3036</v>
      </c>
      <c r="D1552" s="907">
        <v>46052</v>
      </c>
      <c r="E1552" s="839" t="s">
        <v>262</v>
      </c>
      <c r="F1552" s="839" t="s">
        <v>241</v>
      </c>
      <c r="G1552" s="916">
        <f>VLOOKUP($A1552,'Tech Litons'!$A:$I,8,FALSE)</f>
        <v>9.5760000000000012E-3</v>
      </c>
      <c r="H1552" s="917">
        <f>VLOOKUP($A1552,'Tech Litons'!$A:$I,9,FALSE)</f>
        <v>132</v>
      </c>
      <c r="I1552" s="917" t="str">
        <f>VLOOKUP($A1552,'Tech Litons'!$A:$C,3,0)</f>
        <v>EDF</v>
      </c>
      <c r="J1552" s="918" t="str">
        <f t="shared" si="157"/>
        <v>1352EDF</v>
      </c>
      <c r="K1552" s="919">
        <v>1</v>
      </c>
      <c r="L1552" s="920">
        <f t="shared" si="156"/>
        <v>3036</v>
      </c>
      <c r="M1552" s="920">
        <f t="shared" si="158"/>
        <v>29.072736000000003</v>
      </c>
      <c r="N1552" s="920">
        <f t="shared" si="159"/>
        <v>23</v>
      </c>
      <c r="O1552" s="918" t="str">
        <f t="shared" si="160"/>
        <v>Jan</v>
      </c>
      <c r="P1552" s="921">
        <f t="shared" si="161"/>
        <v>5</v>
      </c>
    </row>
    <row r="1553" spans="1:16" ht="15" hidden="1" customHeight="1">
      <c r="A1553" s="839">
        <v>68689251</v>
      </c>
      <c r="B1553" s="839">
        <v>1352</v>
      </c>
      <c r="C1553" s="906">
        <v>4806</v>
      </c>
      <c r="D1553" s="907">
        <v>46053</v>
      </c>
      <c r="E1553" s="839" t="s">
        <v>262</v>
      </c>
      <c r="F1553" s="839" t="s">
        <v>241</v>
      </c>
      <c r="G1553" s="916">
        <f>VLOOKUP($A1553,'Tech Litons'!$A:$I,8,FALSE)</f>
        <v>9.5760000000000012E-3</v>
      </c>
      <c r="H1553" s="917">
        <f>VLOOKUP($A1553,'Tech Litons'!$A:$I,9,FALSE)</f>
        <v>132</v>
      </c>
      <c r="I1553" s="917" t="str">
        <f>VLOOKUP($A1553,'Tech Litons'!$A:$C,3,0)</f>
        <v>EDF</v>
      </c>
      <c r="J1553" s="918" t="str">
        <f t="shared" si="157"/>
        <v>1352EDF</v>
      </c>
      <c r="K1553" s="919">
        <v>1</v>
      </c>
      <c r="L1553" s="920">
        <f t="shared" si="156"/>
        <v>4806</v>
      </c>
      <c r="M1553" s="920">
        <f t="shared" si="158"/>
        <v>46.022256000000006</v>
      </c>
      <c r="N1553" s="920">
        <f t="shared" si="159"/>
        <v>36.409090909090907</v>
      </c>
      <c r="O1553" s="918" t="str">
        <f t="shared" si="160"/>
        <v>Jan</v>
      </c>
      <c r="P1553" s="921">
        <f t="shared" si="161"/>
        <v>5</v>
      </c>
    </row>
    <row r="1554" spans="1:16" ht="15" hidden="1" customHeight="1">
      <c r="A1554" s="839">
        <v>68689251</v>
      </c>
      <c r="B1554" s="839">
        <v>1352</v>
      </c>
      <c r="C1554" s="906">
        <v>4356</v>
      </c>
      <c r="D1554" s="907">
        <v>46053</v>
      </c>
      <c r="E1554" s="839" t="s">
        <v>262</v>
      </c>
      <c r="F1554" s="839" t="s">
        <v>241</v>
      </c>
      <c r="G1554" s="916">
        <f>VLOOKUP($A1554,'Tech Litons'!$A:$I,8,FALSE)</f>
        <v>9.5760000000000012E-3</v>
      </c>
      <c r="H1554" s="917">
        <f>VLOOKUP($A1554,'Tech Litons'!$A:$I,9,FALSE)</f>
        <v>132</v>
      </c>
      <c r="I1554" s="917" t="str">
        <f>VLOOKUP($A1554,'Tech Litons'!$A:$C,3,0)</f>
        <v>EDF</v>
      </c>
      <c r="J1554" s="918" t="str">
        <f t="shared" si="157"/>
        <v>1352EDF</v>
      </c>
      <c r="K1554" s="919">
        <v>1</v>
      </c>
      <c r="L1554" s="920">
        <f t="shared" si="156"/>
        <v>4356</v>
      </c>
      <c r="M1554" s="920">
        <f t="shared" si="158"/>
        <v>41.713056000000002</v>
      </c>
      <c r="N1554" s="920">
        <f t="shared" si="159"/>
        <v>33</v>
      </c>
      <c r="O1554" s="918" t="str">
        <f t="shared" si="160"/>
        <v>Jan</v>
      </c>
      <c r="P1554" s="921">
        <f t="shared" si="161"/>
        <v>5</v>
      </c>
    </row>
    <row r="1555" spans="1:16" ht="15" hidden="1" customHeight="1">
      <c r="A1555" s="839">
        <v>68689251</v>
      </c>
      <c r="B1555" s="839">
        <v>1352</v>
      </c>
      <c r="C1555" s="906">
        <v>2188</v>
      </c>
      <c r="D1555" s="907">
        <v>46054</v>
      </c>
      <c r="E1555" s="839" t="s">
        <v>262</v>
      </c>
      <c r="F1555" s="839" t="s">
        <v>241</v>
      </c>
      <c r="G1555" s="916">
        <f>VLOOKUP($A1555,'Tech Litons'!$A:$I,8,FALSE)</f>
        <v>9.5760000000000012E-3</v>
      </c>
      <c r="H1555" s="917">
        <f>VLOOKUP($A1555,'Tech Litons'!$A:$I,9,FALSE)</f>
        <v>132</v>
      </c>
      <c r="I1555" s="917" t="str">
        <f>VLOOKUP($A1555,'Tech Litons'!$A:$C,3,0)</f>
        <v>EDF</v>
      </c>
      <c r="J1555" s="918" t="str">
        <f t="shared" si="157"/>
        <v>1352EDF</v>
      </c>
      <c r="K1555" s="919">
        <v>1</v>
      </c>
      <c r="L1555" s="920">
        <f t="shared" si="156"/>
        <v>2188</v>
      </c>
      <c r="M1555" s="920">
        <f t="shared" si="158"/>
        <v>20.952288000000003</v>
      </c>
      <c r="N1555" s="920">
        <f t="shared" si="159"/>
        <v>16.575757575757574</v>
      </c>
      <c r="O1555" s="918" t="str">
        <f t="shared" si="160"/>
        <v>Feb</v>
      </c>
      <c r="P1555" s="921">
        <f t="shared" si="161"/>
        <v>6</v>
      </c>
    </row>
    <row r="1556" spans="1:16" ht="15" hidden="1" customHeight="1">
      <c r="A1556" s="839">
        <v>68689251</v>
      </c>
      <c r="B1556" s="839">
        <v>1352</v>
      </c>
      <c r="C1556" s="906">
        <v>264</v>
      </c>
      <c r="D1556" s="907">
        <v>46054</v>
      </c>
      <c r="E1556" s="839" t="s">
        <v>262</v>
      </c>
      <c r="F1556" s="839" t="s">
        <v>241</v>
      </c>
      <c r="G1556" s="916">
        <f>VLOOKUP($A1556,'Tech Litons'!$A:$I,8,FALSE)</f>
        <v>9.5760000000000012E-3</v>
      </c>
      <c r="H1556" s="917">
        <f>VLOOKUP($A1556,'Tech Litons'!$A:$I,9,FALSE)</f>
        <v>132</v>
      </c>
      <c r="I1556" s="917" t="str">
        <f>VLOOKUP($A1556,'Tech Litons'!$A:$C,3,0)</f>
        <v>EDF</v>
      </c>
      <c r="J1556" s="918" t="str">
        <f t="shared" si="157"/>
        <v>1352EDF</v>
      </c>
      <c r="K1556" s="919">
        <v>1</v>
      </c>
      <c r="L1556" s="920">
        <f t="shared" si="156"/>
        <v>264</v>
      </c>
      <c r="M1556" s="920">
        <f t="shared" si="158"/>
        <v>2.5280640000000005</v>
      </c>
      <c r="N1556" s="920">
        <f t="shared" si="159"/>
        <v>2</v>
      </c>
      <c r="O1556" s="918" t="str">
        <f t="shared" si="160"/>
        <v>Feb</v>
      </c>
      <c r="P1556" s="921">
        <f t="shared" si="161"/>
        <v>6</v>
      </c>
    </row>
    <row r="1557" spans="1:16" ht="15" hidden="1" customHeight="1">
      <c r="A1557" s="839">
        <v>68689251</v>
      </c>
      <c r="B1557" s="839">
        <v>1352</v>
      </c>
      <c r="C1557" s="906">
        <v>1644</v>
      </c>
      <c r="D1557" s="907">
        <v>46055</v>
      </c>
      <c r="E1557" s="839" t="s">
        <v>262</v>
      </c>
      <c r="F1557" s="839" t="s">
        <v>241</v>
      </c>
      <c r="G1557" s="916">
        <f>VLOOKUP($A1557,'Tech Litons'!$A:$I,8,FALSE)</f>
        <v>9.5760000000000012E-3</v>
      </c>
      <c r="H1557" s="917">
        <f>VLOOKUP($A1557,'Tech Litons'!$A:$I,9,FALSE)</f>
        <v>132</v>
      </c>
      <c r="I1557" s="917" t="str">
        <f>VLOOKUP($A1557,'Tech Litons'!$A:$C,3,0)</f>
        <v>EDF</v>
      </c>
      <c r="J1557" s="918" t="str">
        <f t="shared" si="157"/>
        <v>1352EDF</v>
      </c>
      <c r="K1557" s="919">
        <v>1</v>
      </c>
      <c r="L1557" s="920">
        <f t="shared" si="156"/>
        <v>1644</v>
      </c>
      <c r="M1557" s="920">
        <f t="shared" si="158"/>
        <v>15.742944000000001</v>
      </c>
      <c r="N1557" s="920">
        <f t="shared" si="159"/>
        <v>12.454545454545455</v>
      </c>
      <c r="O1557" s="918" t="str">
        <f t="shared" si="160"/>
        <v>Feb</v>
      </c>
      <c r="P1557" s="921">
        <f t="shared" si="161"/>
        <v>6</v>
      </c>
    </row>
    <row r="1558" spans="1:16" ht="15" hidden="1" customHeight="1">
      <c r="A1558" s="839">
        <v>68689251</v>
      </c>
      <c r="B1558" s="839">
        <v>1352</v>
      </c>
      <c r="C1558" s="906">
        <v>1056</v>
      </c>
      <c r="D1558" s="907">
        <v>46055</v>
      </c>
      <c r="E1558" s="839" t="s">
        <v>262</v>
      </c>
      <c r="F1558" s="839" t="s">
        <v>241</v>
      </c>
      <c r="G1558" s="916">
        <f>VLOOKUP($A1558,'Tech Litons'!$A:$I,8,FALSE)</f>
        <v>9.5760000000000012E-3</v>
      </c>
      <c r="H1558" s="917">
        <f>VLOOKUP($A1558,'Tech Litons'!$A:$I,9,FALSE)</f>
        <v>132</v>
      </c>
      <c r="I1558" s="917" t="str">
        <f>VLOOKUP($A1558,'Tech Litons'!$A:$C,3,0)</f>
        <v>EDF</v>
      </c>
      <c r="J1558" s="918" t="str">
        <f t="shared" si="157"/>
        <v>1352EDF</v>
      </c>
      <c r="K1558" s="919">
        <v>1</v>
      </c>
      <c r="L1558" s="920">
        <f t="shared" ref="L1558:L1619" si="162">C1558*$K1558</f>
        <v>1056</v>
      </c>
      <c r="M1558" s="920">
        <f t="shared" si="158"/>
        <v>10.112256000000002</v>
      </c>
      <c r="N1558" s="920">
        <f t="shared" si="159"/>
        <v>8</v>
      </c>
      <c r="O1558" s="918" t="str">
        <f t="shared" si="160"/>
        <v>Feb</v>
      </c>
      <c r="P1558" s="921">
        <f t="shared" si="161"/>
        <v>6</v>
      </c>
    </row>
    <row r="1559" spans="1:16" ht="15" hidden="1" customHeight="1">
      <c r="A1559" s="839">
        <v>68689251</v>
      </c>
      <c r="B1559" s="839">
        <v>1352</v>
      </c>
      <c r="C1559" s="906">
        <v>3286</v>
      </c>
      <c r="D1559" s="907">
        <v>46056</v>
      </c>
      <c r="E1559" s="839" t="s">
        <v>262</v>
      </c>
      <c r="F1559" s="839" t="s">
        <v>241</v>
      </c>
      <c r="G1559" s="916">
        <f>VLOOKUP($A1559,'Tech Litons'!$A:$I,8,FALSE)</f>
        <v>9.5760000000000012E-3</v>
      </c>
      <c r="H1559" s="917">
        <f>VLOOKUP($A1559,'Tech Litons'!$A:$I,9,FALSE)</f>
        <v>132</v>
      </c>
      <c r="I1559" s="917" t="str">
        <f>VLOOKUP($A1559,'Tech Litons'!$A:$C,3,0)</f>
        <v>EDF</v>
      </c>
      <c r="J1559" s="918" t="str">
        <f t="shared" ref="J1559:J1620" si="163">B1559&amp;I1559</f>
        <v>1352EDF</v>
      </c>
      <c r="K1559" s="919">
        <v>1</v>
      </c>
      <c r="L1559" s="920">
        <f t="shared" si="162"/>
        <v>3286</v>
      </c>
      <c r="M1559" s="920">
        <f t="shared" ref="M1559:M1620" si="164">L1559*G1559</f>
        <v>31.466736000000004</v>
      </c>
      <c r="N1559" s="920">
        <f t="shared" ref="N1559:N1620" si="165">L1559/H1559</f>
        <v>24.893939393939394</v>
      </c>
      <c r="O1559" s="918" t="str">
        <f t="shared" ref="O1559:O1620" si="166">TEXT(D1559,"MMM")</f>
        <v>Feb</v>
      </c>
      <c r="P1559" s="921">
        <f t="shared" ref="P1559:P1620" si="167">WEEKNUM(D1559)</f>
        <v>6</v>
      </c>
    </row>
    <row r="1560" spans="1:16" ht="15" hidden="1" customHeight="1">
      <c r="A1560" s="839">
        <v>68689251</v>
      </c>
      <c r="B1560" s="839">
        <v>1352</v>
      </c>
      <c r="C1560" s="906">
        <v>2772</v>
      </c>
      <c r="D1560" s="907">
        <v>46056</v>
      </c>
      <c r="E1560" s="839" t="s">
        <v>262</v>
      </c>
      <c r="F1560" s="839" t="s">
        <v>241</v>
      </c>
      <c r="G1560" s="916">
        <f>VLOOKUP($A1560,'Tech Litons'!$A:$I,8,FALSE)</f>
        <v>9.5760000000000012E-3</v>
      </c>
      <c r="H1560" s="917">
        <f>VLOOKUP($A1560,'Tech Litons'!$A:$I,9,FALSE)</f>
        <v>132</v>
      </c>
      <c r="I1560" s="917" t="str">
        <f>VLOOKUP($A1560,'Tech Litons'!$A:$C,3,0)</f>
        <v>EDF</v>
      </c>
      <c r="J1560" s="918" t="str">
        <f t="shared" si="163"/>
        <v>1352EDF</v>
      </c>
      <c r="K1560" s="919">
        <v>1</v>
      </c>
      <c r="L1560" s="920">
        <f t="shared" si="162"/>
        <v>2772</v>
      </c>
      <c r="M1560" s="920">
        <f t="shared" si="164"/>
        <v>26.544672000000002</v>
      </c>
      <c r="N1560" s="920">
        <f t="shared" si="165"/>
        <v>21</v>
      </c>
      <c r="O1560" s="918" t="str">
        <f t="shared" si="166"/>
        <v>Feb</v>
      </c>
      <c r="P1560" s="921">
        <f t="shared" si="167"/>
        <v>6</v>
      </c>
    </row>
    <row r="1561" spans="1:16" ht="15" hidden="1" customHeight="1">
      <c r="A1561" s="839">
        <v>68689251</v>
      </c>
      <c r="B1561" s="839">
        <v>1352</v>
      </c>
      <c r="C1561" s="906">
        <v>3781</v>
      </c>
      <c r="D1561" s="907">
        <v>46057</v>
      </c>
      <c r="E1561" s="839" t="s">
        <v>262</v>
      </c>
      <c r="F1561" s="839" t="s">
        <v>241</v>
      </c>
      <c r="G1561" s="916">
        <f>VLOOKUP($A1561,'Tech Litons'!$A:$I,8,FALSE)</f>
        <v>9.5760000000000012E-3</v>
      </c>
      <c r="H1561" s="917">
        <f>VLOOKUP($A1561,'Tech Litons'!$A:$I,9,FALSE)</f>
        <v>132</v>
      </c>
      <c r="I1561" s="917" t="str">
        <f>VLOOKUP($A1561,'Tech Litons'!$A:$C,3,0)</f>
        <v>EDF</v>
      </c>
      <c r="J1561" s="918" t="str">
        <f t="shared" si="163"/>
        <v>1352EDF</v>
      </c>
      <c r="K1561" s="919">
        <v>1</v>
      </c>
      <c r="L1561" s="920">
        <f t="shared" si="162"/>
        <v>3781</v>
      </c>
      <c r="M1561" s="920">
        <f t="shared" si="164"/>
        <v>36.206856000000002</v>
      </c>
      <c r="N1561" s="920">
        <f t="shared" si="165"/>
        <v>28.643939393939394</v>
      </c>
      <c r="O1561" s="918" t="str">
        <f t="shared" si="166"/>
        <v>Feb</v>
      </c>
      <c r="P1561" s="921">
        <f t="shared" si="167"/>
        <v>6</v>
      </c>
    </row>
    <row r="1562" spans="1:16" ht="15" hidden="1" customHeight="1">
      <c r="A1562" s="839">
        <v>68689251</v>
      </c>
      <c r="B1562" s="839">
        <v>1352</v>
      </c>
      <c r="C1562" s="906">
        <v>3036</v>
      </c>
      <c r="D1562" s="907">
        <v>46057</v>
      </c>
      <c r="E1562" s="839" t="s">
        <v>262</v>
      </c>
      <c r="F1562" s="839" t="s">
        <v>241</v>
      </c>
      <c r="G1562" s="916">
        <f>VLOOKUP($A1562,'Tech Litons'!$A:$I,8,FALSE)</f>
        <v>9.5760000000000012E-3</v>
      </c>
      <c r="H1562" s="917">
        <f>VLOOKUP($A1562,'Tech Litons'!$A:$I,9,FALSE)</f>
        <v>132</v>
      </c>
      <c r="I1562" s="917" t="str">
        <f>VLOOKUP($A1562,'Tech Litons'!$A:$C,3,0)</f>
        <v>EDF</v>
      </c>
      <c r="J1562" s="918" t="str">
        <f t="shared" si="163"/>
        <v>1352EDF</v>
      </c>
      <c r="K1562" s="919">
        <v>1</v>
      </c>
      <c r="L1562" s="920">
        <f t="shared" si="162"/>
        <v>3036</v>
      </c>
      <c r="M1562" s="920">
        <f t="shared" si="164"/>
        <v>29.072736000000003</v>
      </c>
      <c r="N1562" s="920">
        <f t="shared" si="165"/>
        <v>23</v>
      </c>
      <c r="O1562" s="918" t="str">
        <f t="shared" si="166"/>
        <v>Feb</v>
      </c>
      <c r="P1562" s="921">
        <f t="shared" si="167"/>
        <v>6</v>
      </c>
    </row>
    <row r="1563" spans="1:16" ht="15" hidden="1" customHeight="1">
      <c r="A1563" s="839">
        <v>68689251</v>
      </c>
      <c r="B1563" s="839">
        <v>1352</v>
      </c>
      <c r="C1563" s="906">
        <v>4585</v>
      </c>
      <c r="D1563" s="907">
        <v>46058</v>
      </c>
      <c r="E1563" s="839" t="s">
        <v>262</v>
      </c>
      <c r="F1563" s="839" t="s">
        <v>241</v>
      </c>
      <c r="G1563" s="916">
        <f>VLOOKUP($A1563,'Tech Litons'!$A:$I,8,FALSE)</f>
        <v>9.5760000000000012E-3</v>
      </c>
      <c r="H1563" s="917">
        <f>VLOOKUP($A1563,'Tech Litons'!$A:$I,9,FALSE)</f>
        <v>132</v>
      </c>
      <c r="I1563" s="917" t="str">
        <f>VLOOKUP($A1563,'Tech Litons'!$A:$C,3,0)</f>
        <v>EDF</v>
      </c>
      <c r="J1563" s="918" t="str">
        <f t="shared" si="163"/>
        <v>1352EDF</v>
      </c>
      <c r="K1563" s="919">
        <v>1</v>
      </c>
      <c r="L1563" s="920">
        <f t="shared" si="162"/>
        <v>4585</v>
      </c>
      <c r="M1563" s="920">
        <f t="shared" si="164"/>
        <v>43.905960000000007</v>
      </c>
      <c r="N1563" s="920">
        <f t="shared" si="165"/>
        <v>34.734848484848484</v>
      </c>
      <c r="O1563" s="918" t="str">
        <f t="shared" si="166"/>
        <v>Feb</v>
      </c>
      <c r="P1563" s="921">
        <f t="shared" si="167"/>
        <v>6</v>
      </c>
    </row>
    <row r="1564" spans="1:16" ht="15" hidden="1" customHeight="1">
      <c r="A1564" s="839">
        <v>68689251</v>
      </c>
      <c r="B1564" s="839">
        <v>1352</v>
      </c>
      <c r="C1564" s="906">
        <v>1056</v>
      </c>
      <c r="D1564" s="907">
        <v>46056</v>
      </c>
      <c r="E1564" s="839" t="s">
        <v>262</v>
      </c>
      <c r="F1564" s="839" t="s">
        <v>240</v>
      </c>
      <c r="G1564" s="916">
        <f>VLOOKUP($A1564,'Tech Litons'!$A:$I,8,FALSE)</f>
        <v>9.5760000000000012E-3</v>
      </c>
      <c r="H1564" s="917">
        <f>VLOOKUP($A1564,'Tech Litons'!$A:$I,9,FALSE)</f>
        <v>132</v>
      </c>
      <c r="I1564" s="917" t="str">
        <f>VLOOKUP($A1564,'Tech Litons'!$A:$C,3,0)</f>
        <v>EDF</v>
      </c>
      <c r="J1564" s="918" t="str">
        <f t="shared" si="163"/>
        <v>1352EDF</v>
      </c>
      <c r="K1564" s="919">
        <v>1</v>
      </c>
      <c r="L1564" s="920">
        <f t="shared" si="162"/>
        <v>1056</v>
      </c>
      <c r="M1564" s="920">
        <f t="shared" si="164"/>
        <v>10.112256000000002</v>
      </c>
      <c r="N1564" s="920">
        <f t="shared" si="165"/>
        <v>8</v>
      </c>
      <c r="O1564" s="918" t="str">
        <f t="shared" si="166"/>
        <v>Feb</v>
      </c>
      <c r="P1564" s="921">
        <f t="shared" si="167"/>
        <v>6</v>
      </c>
    </row>
    <row r="1565" spans="1:16" ht="15" hidden="1" customHeight="1">
      <c r="A1565" s="839">
        <v>68689251</v>
      </c>
      <c r="B1565" s="839">
        <v>1352</v>
      </c>
      <c r="C1565" s="906">
        <v>4399</v>
      </c>
      <c r="D1565" s="907">
        <v>46057</v>
      </c>
      <c r="E1565" s="839" t="s">
        <v>262</v>
      </c>
      <c r="F1565" s="839" t="s">
        <v>240</v>
      </c>
      <c r="G1565" s="916">
        <f>VLOOKUP($A1565,'Tech Litons'!$A:$I,8,FALSE)</f>
        <v>9.5760000000000012E-3</v>
      </c>
      <c r="H1565" s="917">
        <f>VLOOKUP($A1565,'Tech Litons'!$A:$I,9,FALSE)</f>
        <v>132</v>
      </c>
      <c r="I1565" s="917" t="str">
        <f>VLOOKUP($A1565,'Tech Litons'!$A:$C,3,0)</f>
        <v>EDF</v>
      </c>
      <c r="J1565" s="918" t="str">
        <f t="shared" si="163"/>
        <v>1352EDF</v>
      </c>
      <c r="K1565" s="919">
        <v>1</v>
      </c>
      <c r="L1565" s="920">
        <f t="shared" si="162"/>
        <v>4399</v>
      </c>
      <c r="M1565" s="920">
        <f t="shared" si="164"/>
        <v>42.124824000000004</v>
      </c>
      <c r="N1565" s="920">
        <f t="shared" si="165"/>
        <v>33.325757575757578</v>
      </c>
      <c r="O1565" s="918" t="str">
        <f t="shared" si="166"/>
        <v>Feb</v>
      </c>
      <c r="P1565" s="921">
        <f t="shared" si="167"/>
        <v>6</v>
      </c>
    </row>
    <row r="1566" spans="1:16" ht="15" hidden="1" customHeight="1">
      <c r="A1566" s="839">
        <v>68689251</v>
      </c>
      <c r="B1566" s="839">
        <v>1352</v>
      </c>
      <c r="C1566" s="906">
        <v>2508</v>
      </c>
      <c r="D1566" s="907">
        <v>46057</v>
      </c>
      <c r="E1566" s="839" t="s">
        <v>262</v>
      </c>
      <c r="F1566" s="839" t="s">
        <v>240</v>
      </c>
      <c r="G1566" s="916">
        <f>VLOOKUP($A1566,'Tech Litons'!$A:$I,8,FALSE)</f>
        <v>9.5760000000000012E-3</v>
      </c>
      <c r="H1566" s="917">
        <f>VLOOKUP($A1566,'Tech Litons'!$A:$I,9,FALSE)</f>
        <v>132</v>
      </c>
      <c r="I1566" s="917" t="str">
        <f>VLOOKUP($A1566,'Tech Litons'!$A:$C,3,0)</f>
        <v>EDF</v>
      </c>
      <c r="J1566" s="918" t="str">
        <f t="shared" si="163"/>
        <v>1352EDF</v>
      </c>
      <c r="K1566" s="919">
        <v>1</v>
      </c>
      <c r="L1566" s="920">
        <f t="shared" si="162"/>
        <v>2508</v>
      </c>
      <c r="M1566" s="920">
        <f t="shared" si="164"/>
        <v>24.016608000000002</v>
      </c>
      <c r="N1566" s="920">
        <f t="shared" si="165"/>
        <v>19</v>
      </c>
      <c r="O1566" s="918" t="str">
        <f t="shared" si="166"/>
        <v>Feb</v>
      </c>
      <c r="P1566" s="921">
        <f t="shared" si="167"/>
        <v>6</v>
      </c>
    </row>
    <row r="1567" spans="1:16" ht="15" hidden="1" customHeight="1">
      <c r="A1567" s="839">
        <v>68689251</v>
      </c>
      <c r="B1567" s="839">
        <v>1352</v>
      </c>
      <c r="C1567" s="906">
        <v>3523</v>
      </c>
      <c r="D1567" s="907">
        <v>46058</v>
      </c>
      <c r="E1567" s="839" t="s">
        <v>262</v>
      </c>
      <c r="F1567" s="839" t="s">
        <v>240</v>
      </c>
      <c r="G1567" s="916">
        <f>VLOOKUP($A1567,'Tech Litons'!$A:$I,8,FALSE)</f>
        <v>9.5760000000000012E-3</v>
      </c>
      <c r="H1567" s="917">
        <f>VLOOKUP($A1567,'Tech Litons'!$A:$I,9,FALSE)</f>
        <v>132</v>
      </c>
      <c r="I1567" s="917" t="str">
        <f>VLOOKUP($A1567,'Tech Litons'!$A:$C,3,0)</f>
        <v>EDF</v>
      </c>
      <c r="J1567" s="918" t="str">
        <f t="shared" si="163"/>
        <v>1352EDF</v>
      </c>
      <c r="K1567" s="919">
        <v>1</v>
      </c>
      <c r="L1567" s="920">
        <f t="shared" si="162"/>
        <v>3523</v>
      </c>
      <c r="M1567" s="920">
        <f t="shared" si="164"/>
        <v>33.736248000000003</v>
      </c>
      <c r="N1567" s="920">
        <f t="shared" si="165"/>
        <v>26.689393939393938</v>
      </c>
      <c r="O1567" s="918" t="str">
        <f t="shared" si="166"/>
        <v>Feb</v>
      </c>
      <c r="P1567" s="921">
        <f t="shared" si="167"/>
        <v>6</v>
      </c>
    </row>
    <row r="1568" spans="1:16" ht="15" hidden="1" customHeight="1">
      <c r="A1568" s="839">
        <v>68689251</v>
      </c>
      <c r="B1568" s="839">
        <v>1352</v>
      </c>
      <c r="C1568" s="906">
        <v>2772</v>
      </c>
      <c r="D1568" s="907">
        <v>46058</v>
      </c>
      <c r="E1568" s="839" t="s">
        <v>262</v>
      </c>
      <c r="F1568" s="839" t="s">
        <v>240</v>
      </c>
      <c r="G1568" s="916">
        <f>VLOOKUP($A1568,'Tech Litons'!$A:$I,8,FALSE)</f>
        <v>9.5760000000000012E-3</v>
      </c>
      <c r="H1568" s="917">
        <f>VLOOKUP($A1568,'Tech Litons'!$A:$I,9,FALSE)</f>
        <v>132</v>
      </c>
      <c r="I1568" s="917" t="str">
        <f>VLOOKUP($A1568,'Tech Litons'!$A:$C,3,0)</f>
        <v>EDF</v>
      </c>
      <c r="J1568" s="918" t="str">
        <f t="shared" si="163"/>
        <v>1352EDF</v>
      </c>
      <c r="K1568" s="919">
        <v>1</v>
      </c>
      <c r="L1568" s="920">
        <f t="shared" si="162"/>
        <v>2772</v>
      </c>
      <c r="M1568" s="920">
        <f t="shared" si="164"/>
        <v>26.544672000000002</v>
      </c>
      <c r="N1568" s="920">
        <f t="shared" si="165"/>
        <v>21</v>
      </c>
      <c r="O1568" s="918" t="str">
        <f t="shared" si="166"/>
        <v>Feb</v>
      </c>
      <c r="P1568" s="921">
        <f t="shared" si="167"/>
        <v>6</v>
      </c>
    </row>
    <row r="1569" spans="1:16" ht="15" hidden="1" customHeight="1">
      <c r="A1569" s="839">
        <v>68689251</v>
      </c>
      <c r="B1569" s="839">
        <v>1352</v>
      </c>
      <c r="C1569" s="906">
        <v>4499</v>
      </c>
      <c r="D1569" s="907">
        <v>46059</v>
      </c>
      <c r="E1569" s="839" t="s">
        <v>262</v>
      </c>
      <c r="F1569" s="839" t="s">
        <v>240</v>
      </c>
      <c r="G1569" s="916">
        <f>VLOOKUP($A1569,'Tech Litons'!$A:$I,8,FALSE)</f>
        <v>9.5760000000000012E-3</v>
      </c>
      <c r="H1569" s="917">
        <f>VLOOKUP($A1569,'Tech Litons'!$A:$I,9,FALSE)</f>
        <v>132</v>
      </c>
      <c r="I1569" s="917" t="str">
        <f>VLOOKUP($A1569,'Tech Litons'!$A:$C,3,0)</f>
        <v>EDF</v>
      </c>
      <c r="J1569" s="918" t="str">
        <f t="shared" si="163"/>
        <v>1352EDF</v>
      </c>
      <c r="K1569" s="919">
        <v>1</v>
      </c>
      <c r="L1569" s="920">
        <f t="shared" si="162"/>
        <v>4499</v>
      </c>
      <c r="M1569" s="920">
        <f t="shared" si="164"/>
        <v>43.082424000000003</v>
      </c>
      <c r="N1569" s="920">
        <f t="shared" si="165"/>
        <v>34.083333333333336</v>
      </c>
      <c r="O1569" s="918" t="str">
        <f t="shared" si="166"/>
        <v>Feb</v>
      </c>
      <c r="P1569" s="921">
        <f t="shared" si="167"/>
        <v>6</v>
      </c>
    </row>
    <row r="1570" spans="1:16" ht="15" hidden="1" customHeight="1">
      <c r="A1570" s="839">
        <v>68689251</v>
      </c>
      <c r="B1570" s="839">
        <v>1352</v>
      </c>
      <c r="C1570" s="906">
        <v>2640</v>
      </c>
      <c r="D1570" s="907">
        <v>46059</v>
      </c>
      <c r="E1570" s="839" t="s">
        <v>262</v>
      </c>
      <c r="F1570" s="839" t="s">
        <v>240</v>
      </c>
      <c r="G1570" s="916">
        <f>VLOOKUP($A1570,'Tech Litons'!$A:$I,8,FALSE)</f>
        <v>9.5760000000000012E-3</v>
      </c>
      <c r="H1570" s="917">
        <f>VLOOKUP($A1570,'Tech Litons'!$A:$I,9,FALSE)</f>
        <v>132</v>
      </c>
      <c r="I1570" s="917" t="str">
        <f>VLOOKUP($A1570,'Tech Litons'!$A:$C,3,0)</f>
        <v>EDF</v>
      </c>
      <c r="J1570" s="918" t="str">
        <f t="shared" si="163"/>
        <v>1352EDF</v>
      </c>
      <c r="K1570" s="919">
        <v>1</v>
      </c>
      <c r="L1570" s="920">
        <f t="shared" si="162"/>
        <v>2640</v>
      </c>
      <c r="M1570" s="920">
        <f t="shared" si="164"/>
        <v>25.280640000000002</v>
      </c>
      <c r="N1570" s="920">
        <f t="shared" si="165"/>
        <v>20</v>
      </c>
      <c r="O1570" s="918" t="str">
        <f t="shared" si="166"/>
        <v>Feb</v>
      </c>
      <c r="P1570" s="921">
        <f t="shared" si="167"/>
        <v>6</v>
      </c>
    </row>
    <row r="1571" spans="1:16" ht="15" hidden="1" customHeight="1">
      <c r="A1571" s="839">
        <v>68689251</v>
      </c>
      <c r="B1571" s="839">
        <v>1352</v>
      </c>
      <c r="C1571" s="906">
        <v>4600</v>
      </c>
      <c r="D1571" s="907">
        <v>46060</v>
      </c>
      <c r="E1571" s="839" t="s">
        <v>262</v>
      </c>
      <c r="F1571" s="839" t="s">
        <v>240</v>
      </c>
      <c r="G1571" s="916">
        <f>VLOOKUP($A1571,'Tech Litons'!$A:$I,8,FALSE)</f>
        <v>9.5760000000000012E-3</v>
      </c>
      <c r="H1571" s="917">
        <f>VLOOKUP($A1571,'Tech Litons'!$A:$I,9,FALSE)</f>
        <v>132</v>
      </c>
      <c r="I1571" s="917" t="str">
        <f>VLOOKUP($A1571,'Tech Litons'!$A:$C,3,0)</f>
        <v>EDF</v>
      </c>
      <c r="J1571" s="918" t="str">
        <f t="shared" si="163"/>
        <v>1352EDF</v>
      </c>
      <c r="K1571" s="919">
        <v>1</v>
      </c>
      <c r="L1571" s="920">
        <f t="shared" si="162"/>
        <v>4600</v>
      </c>
      <c r="M1571" s="920">
        <f t="shared" si="164"/>
        <v>44.049600000000005</v>
      </c>
      <c r="N1571" s="920">
        <f t="shared" si="165"/>
        <v>34.848484848484851</v>
      </c>
      <c r="O1571" s="918" t="str">
        <f t="shared" si="166"/>
        <v>Feb</v>
      </c>
      <c r="P1571" s="921">
        <f t="shared" si="167"/>
        <v>6</v>
      </c>
    </row>
    <row r="1572" spans="1:16" ht="15" hidden="1" customHeight="1">
      <c r="A1572" s="839">
        <v>68689251</v>
      </c>
      <c r="B1572" s="839">
        <v>1352</v>
      </c>
      <c r="C1572" s="906">
        <v>959</v>
      </c>
      <c r="D1572" s="907">
        <v>46060</v>
      </c>
      <c r="E1572" s="839" t="s">
        <v>262</v>
      </c>
      <c r="F1572" s="839" t="s">
        <v>240</v>
      </c>
      <c r="G1572" s="916">
        <f>VLOOKUP($A1572,'Tech Litons'!$A:$I,8,FALSE)</f>
        <v>9.5760000000000012E-3</v>
      </c>
      <c r="H1572" s="917">
        <f>VLOOKUP($A1572,'Tech Litons'!$A:$I,9,FALSE)</f>
        <v>132</v>
      </c>
      <c r="I1572" s="917" t="str">
        <f>VLOOKUP($A1572,'Tech Litons'!$A:$C,3,0)</f>
        <v>EDF</v>
      </c>
      <c r="J1572" s="918" t="str">
        <f t="shared" si="163"/>
        <v>1352EDF</v>
      </c>
      <c r="K1572" s="919">
        <v>1</v>
      </c>
      <c r="L1572" s="920">
        <f t="shared" si="162"/>
        <v>959</v>
      </c>
      <c r="M1572" s="920">
        <f t="shared" si="164"/>
        <v>9.183384000000002</v>
      </c>
      <c r="N1572" s="920">
        <f t="shared" si="165"/>
        <v>7.2651515151515156</v>
      </c>
      <c r="O1572" s="918" t="str">
        <f t="shared" si="166"/>
        <v>Feb</v>
      </c>
      <c r="P1572" s="921">
        <f t="shared" si="167"/>
        <v>6</v>
      </c>
    </row>
    <row r="1573" spans="1:16" ht="15" hidden="1" customHeight="1">
      <c r="A1573" s="839">
        <v>68689251</v>
      </c>
      <c r="B1573" s="839">
        <v>1352</v>
      </c>
      <c r="C1573" s="906">
        <v>3840</v>
      </c>
      <c r="D1573" s="907">
        <v>46061</v>
      </c>
      <c r="E1573" s="839" t="s">
        <v>262</v>
      </c>
      <c r="F1573" s="839" t="s">
        <v>240</v>
      </c>
      <c r="G1573" s="916">
        <f>VLOOKUP($A1573,'Tech Litons'!$A:$I,8,FALSE)</f>
        <v>9.5760000000000012E-3</v>
      </c>
      <c r="H1573" s="917">
        <f>VLOOKUP($A1573,'Tech Litons'!$A:$I,9,FALSE)</f>
        <v>132</v>
      </c>
      <c r="I1573" s="917" t="str">
        <f>VLOOKUP($A1573,'Tech Litons'!$A:$C,3,0)</f>
        <v>EDF</v>
      </c>
      <c r="J1573" s="918" t="str">
        <f t="shared" si="163"/>
        <v>1352EDF</v>
      </c>
      <c r="K1573" s="919">
        <v>1</v>
      </c>
      <c r="L1573" s="920">
        <f t="shared" si="162"/>
        <v>3840</v>
      </c>
      <c r="M1573" s="920">
        <f t="shared" si="164"/>
        <v>36.771840000000005</v>
      </c>
      <c r="N1573" s="920">
        <f t="shared" si="165"/>
        <v>29.09090909090909</v>
      </c>
      <c r="O1573" s="918" t="str">
        <f t="shared" si="166"/>
        <v>Feb</v>
      </c>
      <c r="P1573" s="921">
        <f t="shared" si="167"/>
        <v>7</v>
      </c>
    </row>
    <row r="1574" spans="1:16" ht="15" hidden="1" customHeight="1">
      <c r="A1574" s="839">
        <v>68689251</v>
      </c>
      <c r="B1574" s="839">
        <v>1352</v>
      </c>
      <c r="C1574" s="906">
        <v>2508</v>
      </c>
      <c r="D1574" s="907">
        <v>46061</v>
      </c>
      <c r="E1574" s="839" t="s">
        <v>262</v>
      </c>
      <c r="F1574" s="839" t="s">
        <v>240</v>
      </c>
      <c r="G1574" s="916">
        <f>VLOOKUP($A1574,'Tech Litons'!$A:$I,8,FALSE)</f>
        <v>9.5760000000000012E-3</v>
      </c>
      <c r="H1574" s="917">
        <f>VLOOKUP($A1574,'Tech Litons'!$A:$I,9,FALSE)</f>
        <v>132</v>
      </c>
      <c r="I1574" s="917" t="str">
        <f>VLOOKUP($A1574,'Tech Litons'!$A:$C,3,0)</f>
        <v>EDF</v>
      </c>
      <c r="J1574" s="918" t="str">
        <f t="shared" si="163"/>
        <v>1352EDF</v>
      </c>
      <c r="K1574" s="919">
        <v>1</v>
      </c>
      <c r="L1574" s="920">
        <f t="shared" si="162"/>
        <v>2508</v>
      </c>
      <c r="M1574" s="920">
        <f t="shared" si="164"/>
        <v>24.016608000000002</v>
      </c>
      <c r="N1574" s="920">
        <f t="shared" si="165"/>
        <v>19</v>
      </c>
      <c r="O1574" s="918" t="str">
        <f t="shared" si="166"/>
        <v>Feb</v>
      </c>
      <c r="P1574" s="921">
        <f t="shared" si="167"/>
        <v>7</v>
      </c>
    </row>
    <row r="1575" spans="1:16" ht="15" hidden="1" customHeight="1">
      <c r="A1575" s="839">
        <v>68689251</v>
      </c>
      <c r="B1575" s="839">
        <v>1352</v>
      </c>
      <c r="C1575" s="906">
        <v>3493</v>
      </c>
      <c r="D1575" s="907">
        <v>46062</v>
      </c>
      <c r="E1575" s="839" t="s">
        <v>262</v>
      </c>
      <c r="F1575" s="839" t="s">
        <v>240</v>
      </c>
      <c r="G1575" s="916">
        <f>VLOOKUP($A1575,'Tech Litons'!$A:$I,8,FALSE)</f>
        <v>9.5760000000000012E-3</v>
      </c>
      <c r="H1575" s="917">
        <f>VLOOKUP($A1575,'Tech Litons'!$A:$I,9,FALSE)</f>
        <v>132</v>
      </c>
      <c r="I1575" s="917" t="str">
        <f>VLOOKUP($A1575,'Tech Litons'!$A:$C,3,0)</f>
        <v>EDF</v>
      </c>
      <c r="J1575" s="918" t="str">
        <f t="shared" si="163"/>
        <v>1352EDF</v>
      </c>
      <c r="K1575" s="919">
        <v>1</v>
      </c>
      <c r="L1575" s="920">
        <f t="shared" si="162"/>
        <v>3493</v>
      </c>
      <c r="M1575" s="920">
        <f t="shared" si="164"/>
        <v>33.448968000000001</v>
      </c>
      <c r="N1575" s="920">
        <f t="shared" si="165"/>
        <v>26.462121212121211</v>
      </c>
      <c r="O1575" s="918" t="str">
        <f t="shared" si="166"/>
        <v>Feb</v>
      </c>
      <c r="P1575" s="921">
        <f t="shared" si="167"/>
        <v>7</v>
      </c>
    </row>
    <row r="1576" spans="1:16" ht="15" hidden="1" customHeight="1">
      <c r="A1576" s="839">
        <v>68689251</v>
      </c>
      <c r="B1576" s="839">
        <v>1352</v>
      </c>
      <c r="C1576" s="906">
        <v>3008</v>
      </c>
      <c r="D1576" s="907">
        <v>46056</v>
      </c>
      <c r="E1576" s="839" t="s">
        <v>262</v>
      </c>
      <c r="F1576" s="839" t="s">
        <v>242</v>
      </c>
      <c r="G1576" s="916">
        <f>VLOOKUP($A1576,'Tech Litons'!$A:$I,8,FALSE)</f>
        <v>9.5760000000000012E-3</v>
      </c>
      <c r="H1576" s="917">
        <f>VLOOKUP($A1576,'Tech Litons'!$A:$I,9,FALSE)</f>
        <v>132</v>
      </c>
      <c r="I1576" s="917" t="str">
        <f>VLOOKUP($A1576,'Tech Litons'!$A:$C,3,0)</f>
        <v>EDF</v>
      </c>
      <c r="J1576" s="918" t="str">
        <f t="shared" si="163"/>
        <v>1352EDF</v>
      </c>
      <c r="K1576" s="919">
        <v>1</v>
      </c>
      <c r="L1576" s="920">
        <f t="shared" si="162"/>
        <v>3008</v>
      </c>
      <c r="M1576" s="920">
        <f t="shared" si="164"/>
        <v>28.804608000000002</v>
      </c>
      <c r="N1576" s="920">
        <f t="shared" si="165"/>
        <v>22.787878787878789</v>
      </c>
      <c r="O1576" s="918" t="str">
        <f t="shared" si="166"/>
        <v>Feb</v>
      </c>
      <c r="P1576" s="921">
        <f t="shared" si="167"/>
        <v>6</v>
      </c>
    </row>
    <row r="1577" spans="1:16" ht="15" hidden="1" customHeight="1">
      <c r="A1577" s="839">
        <v>68689251</v>
      </c>
      <c r="B1577" s="839">
        <v>1352</v>
      </c>
      <c r="C1577" s="906">
        <v>3168</v>
      </c>
      <c r="D1577" s="907">
        <v>46056</v>
      </c>
      <c r="E1577" s="839" t="s">
        <v>262</v>
      </c>
      <c r="F1577" s="839" t="s">
        <v>242</v>
      </c>
      <c r="G1577" s="916">
        <f>VLOOKUP($A1577,'Tech Litons'!$A:$I,8,FALSE)</f>
        <v>9.5760000000000012E-3</v>
      </c>
      <c r="H1577" s="917">
        <f>VLOOKUP($A1577,'Tech Litons'!$A:$I,9,FALSE)</f>
        <v>132</v>
      </c>
      <c r="I1577" s="917" t="str">
        <f>VLOOKUP($A1577,'Tech Litons'!$A:$C,3,0)</f>
        <v>EDF</v>
      </c>
      <c r="J1577" s="918" t="str">
        <f t="shared" si="163"/>
        <v>1352EDF</v>
      </c>
      <c r="K1577" s="919">
        <v>1</v>
      </c>
      <c r="L1577" s="920">
        <f t="shared" si="162"/>
        <v>3168</v>
      </c>
      <c r="M1577" s="920">
        <f t="shared" si="164"/>
        <v>30.336768000000003</v>
      </c>
      <c r="N1577" s="920">
        <f t="shared" si="165"/>
        <v>24</v>
      </c>
      <c r="O1577" s="918" t="str">
        <f t="shared" si="166"/>
        <v>Feb</v>
      </c>
      <c r="P1577" s="921">
        <f t="shared" si="167"/>
        <v>6</v>
      </c>
    </row>
    <row r="1578" spans="1:16" ht="15" hidden="1" customHeight="1">
      <c r="A1578" s="839">
        <v>68689251</v>
      </c>
      <c r="B1578" s="839">
        <v>1352</v>
      </c>
      <c r="C1578" s="906">
        <v>4805</v>
      </c>
      <c r="D1578" s="907">
        <v>46057</v>
      </c>
      <c r="E1578" s="839" t="s">
        <v>262</v>
      </c>
      <c r="F1578" s="839" t="s">
        <v>242</v>
      </c>
      <c r="G1578" s="916">
        <f>VLOOKUP($A1578,'Tech Litons'!$A:$I,8,FALSE)</f>
        <v>9.5760000000000012E-3</v>
      </c>
      <c r="H1578" s="917">
        <f>VLOOKUP($A1578,'Tech Litons'!$A:$I,9,FALSE)</f>
        <v>132</v>
      </c>
      <c r="I1578" s="917" t="str">
        <f>VLOOKUP($A1578,'Tech Litons'!$A:$C,3,0)</f>
        <v>EDF</v>
      </c>
      <c r="J1578" s="918" t="str">
        <f t="shared" si="163"/>
        <v>1352EDF</v>
      </c>
      <c r="K1578" s="919">
        <v>1</v>
      </c>
      <c r="L1578" s="920">
        <f t="shared" si="162"/>
        <v>4805</v>
      </c>
      <c r="M1578" s="920">
        <f t="shared" si="164"/>
        <v>46.012680000000003</v>
      </c>
      <c r="N1578" s="920">
        <f t="shared" si="165"/>
        <v>36.401515151515149</v>
      </c>
      <c r="O1578" s="918" t="str">
        <f t="shared" si="166"/>
        <v>Feb</v>
      </c>
      <c r="P1578" s="921">
        <f t="shared" si="167"/>
        <v>6</v>
      </c>
    </row>
    <row r="1579" spans="1:16" ht="15" hidden="1" customHeight="1">
      <c r="A1579" s="839">
        <v>68689251</v>
      </c>
      <c r="B1579" s="839">
        <v>1352</v>
      </c>
      <c r="C1579" s="906">
        <v>2449</v>
      </c>
      <c r="D1579" s="907">
        <v>46057</v>
      </c>
      <c r="E1579" s="839" t="s">
        <v>262</v>
      </c>
      <c r="F1579" s="839" t="s">
        <v>242</v>
      </c>
      <c r="G1579" s="916">
        <f>VLOOKUP($A1579,'Tech Litons'!$A:$I,8,FALSE)</f>
        <v>9.5760000000000012E-3</v>
      </c>
      <c r="H1579" s="917">
        <f>VLOOKUP($A1579,'Tech Litons'!$A:$I,9,FALSE)</f>
        <v>132</v>
      </c>
      <c r="I1579" s="917" t="str">
        <f>VLOOKUP($A1579,'Tech Litons'!$A:$C,3,0)</f>
        <v>EDF</v>
      </c>
      <c r="J1579" s="918" t="str">
        <f t="shared" si="163"/>
        <v>1352EDF</v>
      </c>
      <c r="K1579" s="919">
        <v>1</v>
      </c>
      <c r="L1579" s="920">
        <f t="shared" si="162"/>
        <v>2449</v>
      </c>
      <c r="M1579" s="920">
        <f t="shared" si="164"/>
        <v>23.451624000000002</v>
      </c>
      <c r="N1579" s="920">
        <f t="shared" si="165"/>
        <v>18.553030303030305</v>
      </c>
      <c r="O1579" s="918" t="str">
        <f t="shared" si="166"/>
        <v>Feb</v>
      </c>
      <c r="P1579" s="921">
        <f t="shared" si="167"/>
        <v>6</v>
      </c>
    </row>
    <row r="1580" spans="1:16" ht="15" hidden="1" customHeight="1">
      <c r="A1580" s="839">
        <v>68689251</v>
      </c>
      <c r="B1580" s="839">
        <v>1352</v>
      </c>
      <c r="C1580" s="906">
        <v>654</v>
      </c>
      <c r="D1580" s="907">
        <v>46058</v>
      </c>
      <c r="E1580" s="839" t="s">
        <v>262</v>
      </c>
      <c r="F1580" s="839" t="s">
        <v>242</v>
      </c>
      <c r="G1580" s="916">
        <f>VLOOKUP($A1580,'Tech Litons'!$A:$I,8,FALSE)</f>
        <v>9.5760000000000012E-3</v>
      </c>
      <c r="H1580" s="917">
        <f>VLOOKUP($A1580,'Tech Litons'!$A:$I,9,FALSE)</f>
        <v>132</v>
      </c>
      <c r="I1580" s="917" t="str">
        <f>VLOOKUP($A1580,'Tech Litons'!$A:$C,3,0)</f>
        <v>EDF</v>
      </c>
      <c r="J1580" s="918" t="str">
        <f t="shared" si="163"/>
        <v>1352EDF</v>
      </c>
      <c r="K1580" s="919">
        <v>1</v>
      </c>
      <c r="L1580" s="920">
        <f t="shared" si="162"/>
        <v>654</v>
      </c>
      <c r="M1580" s="920">
        <f t="shared" si="164"/>
        <v>6.2627040000000012</v>
      </c>
      <c r="N1580" s="920">
        <f t="shared" si="165"/>
        <v>4.9545454545454541</v>
      </c>
      <c r="O1580" s="918" t="str">
        <f t="shared" si="166"/>
        <v>Feb</v>
      </c>
      <c r="P1580" s="921">
        <f t="shared" si="167"/>
        <v>6</v>
      </c>
    </row>
    <row r="1581" spans="1:16" ht="15" hidden="1" customHeight="1">
      <c r="A1581" s="839">
        <v>68689251</v>
      </c>
      <c r="B1581" s="839">
        <v>1352</v>
      </c>
      <c r="C1581" s="906">
        <v>1604</v>
      </c>
      <c r="D1581" s="907">
        <v>46058</v>
      </c>
      <c r="E1581" s="839" t="s">
        <v>262</v>
      </c>
      <c r="F1581" s="839" t="s">
        <v>242</v>
      </c>
      <c r="G1581" s="916">
        <f>VLOOKUP($A1581,'Tech Litons'!$A:$I,8,FALSE)</f>
        <v>9.5760000000000012E-3</v>
      </c>
      <c r="H1581" s="917">
        <f>VLOOKUP($A1581,'Tech Litons'!$A:$I,9,FALSE)</f>
        <v>132</v>
      </c>
      <c r="I1581" s="917" t="str">
        <f>VLOOKUP($A1581,'Tech Litons'!$A:$C,3,0)</f>
        <v>EDF</v>
      </c>
      <c r="J1581" s="918" t="str">
        <f t="shared" si="163"/>
        <v>1352EDF</v>
      </c>
      <c r="K1581" s="919">
        <v>1</v>
      </c>
      <c r="L1581" s="920">
        <f t="shared" si="162"/>
        <v>1604</v>
      </c>
      <c r="M1581" s="920">
        <f t="shared" si="164"/>
        <v>15.359904000000002</v>
      </c>
      <c r="N1581" s="920">
        <f t="shared" si="165"/>
        <v>12.151515151515152</v>
      </c>
      <c r="O1581" s="918" t="str">
        <f t="shared" si="166"/>
        <v>Feb</v>
      </c>
      <c r="P1581" s="921">
        <f t="shared" si="167"/>
        <v>6</v>
      </c>
    </row>
    <row r="1582" spans="1:16" ht="15" hidden="1" customHeight="1">
      <c r="A1582" s="839">
        <v>68689251</v>
      </c>
      <c r="B1582" s="839">
        <v>1352</v>
      </c>
      <c r="C1582" s="906">
        <v>3168</v>
      </c>
      <c r="D1582" s="907">
        <v>46059</v>
      </c>
      <c r="E1582" s="839" t="s">
        <v>262</v>
      </c>
      <c r="F1582" s="839" t="s">
        <v>242</v>
      </c>
      <c r="G1582" s="916">
        <f>VLOOKUP($A1582,'Tech Litons'!$A:$I,8,FALSE)</f>
        <v>9.5760000000000012E-3</v>
      </c>
      <c r="H1582" s="917">
        <f>VLOOKUP($A1582,'Tech Litons'!$A:$I,9,FALSE)</f>
        <v>132</v>
      </c>
      <c r="I1582" s="917" t="str">
        <f>VLOOKUP($A1582,'Tech Litons'!$A:$C,3,0)</f>
        <v>EDF</v>
      </c>
      <c r="J1582" s="918" t="str">
        <f t="shared" si="163"/>
        <v>1352EDF</v>
      </c>
      <c r="K1582" s="919">
        <v>1</v>
      </c>
      <c r="L1582" s="920">
        <f t="shared" si="162"/>
        <v>3168</v>
      </c>
      <c r="M1582" s="920">
        <f t="shared" si="164"/>
        <v>30.336768000000003</v>
      </c>
      <c r="N1582" s="920">
        <f t="shared" si="165"/>
        <v>24</v>
      </c>
      <c r="O1582" s="918" t="str">
        <f t="shared" si="166"/>
        <v>Feb</v>
      </c>
      <c r="P1582" s="921">
        <f t="shared" si="167"/>
        <v>6</v>
      </c>
    </row>
    <row r="1583" spans="1:16" ht="15" hidden="1" customHeight="1">
      <c r="A1583" s="839">
        <v>68689251</v>
      </c>
      <c r="B1583" s="839">
        <v>1352</v>
      </c>
      <c r="C1583" s="906">
        <v>4396</v>
      </c>
      <c r="D1583" s="907">
        <v>46060</v>
      </c>
      <c r="E1583" s="839" t="s">
        <v>262</v>
      </c>
      <c r="F1583" s="839" t="s">
        <v>242</v>
      </c>
      <c r="G1583" s="916">
        <f>VLOOKUP($A1583,'Tech Litons'!$A:$I,8,FALSE)</f>
        <v>9.5760000000000012E-3</v>
      </c>
      <c r="H1583" s="917">
        <f>VLOOKUP($A1583,'Tech Litons'!$A:$I,9,FALSE)</f>
        <v>132</v>
      </c>
      <c r="I1583" s="917" t="str">
        <f>VLOOKUP($A1583,'Tech Litons'!$A:$C,3,0)</f>
        <v>EDF</v>
      </c>
      <c r="J1583" s="918" t="str">
        <f t="shared" si="163"/>
        <v>1352EDF</v>
      </c>
      <c r="K1583" s="919">
        <v>1</v>
      </c>
      <c r="L1583" s="920">
        <f t="shared" si="162"/>
        <v>4396</v>
      </c>
      <c r="M1583" s="920">
        <f t="shared" si="164"/>
        <v>42.096096000000003</v>
      </c>
      <c r="N1583" s="920">
        <f t="shared" si="165"/>
        <v>33.303030303030305</v>
      </c>
      <c r="O1583" s="918" t="str">
        <f t="shared" si="166"/>
        <v>Feb</v>
      </c>
      <c r="P1583" s="921">
        <f t="shared" si="167"/>
        <v>6</v>
      </c>
    </row>
    <row r="1584" spans="1:16" ht="15" hidden="1" customHeight="1">
      <c r="A1584" s="839">
        <v>68689251</v>
      </c>
      <c r="B1584" s="839">
        <v>1352</v>
      </c>
      <c r="C1584" s="906">
        <v>1980</v>
      </c>
      <c r="D1584" s="907">
        <v>46060</v>
      </c>
      <c r="E1584" s="839" t="s">
        <v>262</v>
      </c>
      <c r="F1584" s="839" t="s">
        <v>242</v>
      </c>
      <c r="G1584" s="916">
        <f>VLOOKUP($A1584,'Tech Litons'!$A:$I,8,FALSE)</f>
        <v>9.5760000000000012E-3</v>
      </c>
      <c r="H1584" s="917">
        <f>VLOOKUP($A1584,'Tech Litons'!$A:$I,9,FALSE)</f>
        <v>132</v>
      </c>
      <c r="I1584" s="917" t="str">
        <f>VLOOKUP($A1584,'Tech Litons'!$A:$C,3,0)</f>
        <v>EDF</v>
      </c>
      <c r="J1584" s="918" t="str">
        <f t="shared" si="163"/>
        <v>1352EDF</v>
      </c>
      <c r="K1584" s="919">
        <v>1</v>
      </c>
      <c r="L1584" s="920">
        <f t="shared" si="162"/>
        <v>1980</v>
      </c>
      <c r="M1584" s="920">
        <f t="shared" si="164"/>
        <v>18.960480000000004</v>
      </c>
      <c r="N1584" s="920">
        <f t="shared" si="165"/>
        <v>15</v>
      </c>
      <c r="O1584" s="918" t="str">
        <f t="shared" si="166"/>
        <v>Feb</v>
      </c>
      <c r="P1584" s="921">
        <f t="shared" si="167"/>
        <v>6</v>
      </c>
    </row>
    <row r="1585" spans="1:16" ht="15" hidden="1" customHeight="1">
      <c r="A1585" s="839">
        <v>68689251</v>
      </c>
      <c r="B1585" s="839">
        <v>1352</v>
      </c>
      <c r="C1585" s="906">
        <v>3839</v>
      </c>
      <c r="D1585" s="907">
        <v>46061</v>
      </c>
      <c r="E1585" s="839" t="s">
        <v>262</v>
      </c>
      <c r="F1585" s="839" t="s">
        <v>242</v>
      </c>
      <c r="G1585" s="916">
        <f>VLOOKUP($A1585,'Tech Litons'!$A:$I,8,FALSE)</f>
        <v>9.5760000000000012E-3</v>
      </c>
      <c r="H1585" s="917">
        <f>VLOOKUP($A1585,'Tech Litons'!$A:$I,9,FALSE)</f>
        <v>132</v>
      </c>
      <c r="I1585" s="917" t="str">
        <f>VLOOKUP($A1585,'Tech Litons'!$A:$C,3,0)</f>
        <v>EDF</v>
      </c>
      <c r="J1585" s="918" t="str">
        <f t="shared" si="163"/>
        <v>1352EDF</v>
      </c>
      <c r="K1585" s="919">
        <v>1</v>
      </c>
      <c r="L1585" s="920">
        <f t="shared" si="162"/>
        <v>3839</v>
      </c>
      <c r="M1585" s="920">
        <f t="shared" si="164"/>
        <v>36.762264000000002</v>
      </c>
      <c r="N1585" s="920">
        <f t="shared" si="165"/>
        <v>29.083333333333332</v>
      </c>
      <c r="O1585" s="918" t="str">
        <f t="shared" si="166"/>
        <v>Feb</v>
      </c>
      <c r="P1585" s="921">
        <f t="shared" si="167"/>
        <v>7</v>
      </c>
    </row>
    <row r="1586" spans="1:16" ht="15" hidden="1" customHeight="1">
      <c r="A1586" s="839">
        <v>68689251</v>
      </c>
      <c r="B1586" s="839">
        <v>1352</v>
      </c>
      <c r="C1586" s="906">
        <v>2244</v>
      </c>
      <c r="D1586" s="907">
        <v>46061</v>
      </c>
      <c r="E1586" s="839" t="s">
        <v>262</v>
      </c>
      <c r="F1586" s="839" t="s">
        <v>242</v>
      </c>
      <c r="G1586" s="916">
        <f>VLOOKUP($A1586,'Tech Litons'!$A:$I,8,FALSE)</f>
        <v>9.5760000000000012E-3</v>
      </c>
      <c r="H1586" s="917">
        <f>VLOOKUP($A1586,'Tech Litons'!$A:$I,9,FALSE)</f>
        <v>132</v>
      </c>
      <c r="I1586" s="917" t="str">
        <f>VLOOKUP($A1586,'Tech Litons'!$A:$C,3,0)</f>
        <v>EDF</v>
      </c>
      <c r="J1586" s="918" t="str">
        <f t="shared" si="163"/>
        <v>1352EDF</v>
      </c>
      <c r="K1586" s="919">
        <v>1</v>
      </c>
      <c r="L1586" s="920">
        <f t="shared" si="162"/>
        <v>2244</v>
      </c>
      <c r="M1586" s="920">
        <f t="shared" si="164"/>
        <v>21.488544000000001</v>
      </c>
      <c r="N1586" s="920">
        <f t="shared" si="165"/>
        <v>17</v>
      </c>
      <c r="O1586" s="918" t="str">
        <f t="shared" si="166"/>
        <v>Feb</v>
      </c>
      <c r="P1586" s="921">
        <f t="shared" si="167"/>
        <v>7</v>
      </c>
    </row>
    <row r="1587" spans="1:16" ht="15" hidden="1" customHeight="1">
      <c r="A1587" s="839">
        <v>68689251</v>
      </c>
      <c r="B1587" s="839">
        <v>1352</v>
      </c>
      <c r="C1587" s="906">
        <v>610</v>
      </c>
      <c r="D1587" s="907">
        <v>46062</v>
      </c>
      <c r="E1587" s="839" t="s">
        <v>262</v>
      </c>
      <c r="F1587" s="839" t="s">
        <v>242</v>
      </c>
      <c r="G1587" s="916">
        <f>VLOOKUP($A1587,'Tech Litons'!$A:$I,8,FALSE)</f>
        <v>9.5760000000000012E-3</v>
      </c>
      <c r="H1587" s="917">
        <f>VLOOKUP($A1587,'Tech Litons'!$A:$I,9,FALSE)</f>
        <v>132</v>
      </c>
      <c r="I1587" s="917" t="str">
        <f>VLOOKUP($A1587,'Tech Litons'!$A:$C,3,0)</f>
        <v>EDF</v>
      </c>
      <c r="J1587" s="918" t="str">
        <f t="shared" si="163"/>
        <v>1352EDF</v>
      </c>
      <c r="K1587" s="919">
        <v>1</v>
      </c>
      <c r="L1587" s="920">
        <f t="shared" si="162"/>
        <v>610</v>
      </c>
      <c r="M1587" s="920">
        <f t="shared" si="164"/>
        <v>5.8413600000000008</v>
      </c>
      <c r="N1587" s="920">
        <f t="shared" si="165"/>
        <v>4.6212121212121211</v>
      </c>
      <c r="O1587" s="918" t="str">
        <f t="shared" si="166"/>
        <v>Feb</v>
      </c>
      <c r="P1587" s="921">
        <f t="shared" si="167"/>
        <v>7</v>
      </c>
    </row>
    <row r="1588" spans="1:16" ht="15" hidden="1" customHeight="1">
      <c r="A1588" s="839">
        <v>68689251</v>
      </c>
      <c r="B1588" s="839">
        <v>1352</v>
      </c>
      <c r="C1588" s="906">
        <v>2112</v>
      </c>
      <c r="D1588" s="907">
        <v>46069</v>
      </c>
      <c r="E1588" s="839" t="s">
        <v>262</v>
      </c>
      <c r="F1588" s="839" t="s">
        <v>242</v>
      </c>
      <c r="G1588" s="916">
        <f>VLOOKUP($A1588,'Tech Litons'!$A:$I,8,FALSE)</f>
        <v>9.5760000000000012E-3</v>
      </c>
      <c r="H1588" s="917">
        <f>VLOOKUP($A1588,'Tech Litons'!$A:$I,9,FALSE)</f>
        <v>132</v>
      </c>
      <c r="I1588" s="917" t="str">
        <f>VLOOKUP($A1588,'Tech Litons'!$A:$C,3,0)</f>
        <v>EDF</v>
      </c>
      <c r="J1588" s="918" t="str">
        <f t="shared" si="163"/>
        <v>1352EDF</v>
      </c>
      <c r="K1588" s="919">
        <v>1</v>
      </c>
      <c r="L1588" s="920">
        <f t="shared" si="162"/>
        <v>2112</v>
      </c>
      <c r="M1588" s="920">
        <f t="shared" si="164"/>
        <v>20.224512000000004</v>
      </c>
      <c r="N1588" s="920">
        <f t="shared" si="165"/>
        <v>16</v>
      </c>
      <c r="O1588" s="918" t="str">
        <f t="shared" si="166"/>
        <v>Feb</v>
      </c>
      <c r="P1588" s="921">
        <f t="shared" si="167"/>
        <v>8</v>
      </c>
    </row>
    <row r="1589" spans="1:16" ht="15" hidden="1" customHeight="1">
      <c r="A1589" s="839">
        <v>68689251</v>
      </c>
      <c r="B1589" s="839">
        <v>1352</v>
      </c>
      <c r="C1589" s="906">
        <v>5384</v>
      </c>
      <c r="D1589" s="907">
        <v>46070</v>
      </c>
      <c r="E1589" s="839" t="s">
        <v>262</v>
      </c>
      <c r="F1589" s="839" t="s">
        <v>242</v>
      </c>
      <c r="G1589" s="916">
        <f>VLOOKUP($A1589,'Tech Litons'!$A:$I,8,FALSE)</f>
        <v>9.5760000000000012E-3</v>
      </c>
      <c r="H1589" s="917">
        <f>VLOOKUP($A1589,'Tech Litons'!$A:$I,9,FALSE)</f>
        <v>132</v>
      </c>
      <c r="I1589" s="917" t="str">
        <f>VLOOKUP($A1589,'Tech Litons'!$A:$C,3,0)</f>
        <v>EDF</v>
      </c>
      <c r="J1589" s="918" t="str">
        <f t="shared" si="163"/>
        <v>1352EDF</v>
      </c>
      <c r="K1589" s="919">
        <v>1</v>
      </c>
      <c r="L1589" s="920">
        <f t="shared" si="162"/>
        <v>5384</v>
      </c>
      <c r="M1589" s="920">
        <f t="shared" si="164"/>
        <v>51.557184000000007</v>
      </c>
      <c r="N1589" s="920">
        <f t="shared" si="165"/>
        <v>40.787878787878789</v>
      </c>
      <c r="O1589" s="918" t="str">
        <f t="shared" si="166"/>
        <v>Feb</v>
      </c>
      <c r="P1589" s="921">
        <f t="shared" si="167"/>
        <v>8</v>
      </c>
    </row>
    <row r="1590" spans="1:16" ht="15" hidden="1" customHeight="1">
      <c r="A1590" s="839">
        <v>68689251</v>
      </c>
      <c r="B1590" s="839">
        <v>1352</v>
      </c>
      <c r="C1590" s="906">
        <v>3432</v>
      </c>
      <c r="D1590" s="907">
        <v>46070</v>
      </c>
      <c r="E1590" s="839" t="s">
        <v>262</v>
      </c>
      <c r="F1590" s="839" t="s">
        <v>242</v>
      </c>
      <c r="G1590" s="916">
        <f>VLOOKUP($A1590,'Tech Litons'!$A:$I,8,FALSE)</f>
        <v>9.5760000000000012E-3</v>
      </c>
      <c r="H1590" s="917">
        <f>VLOOKUP($A1590,'Tech Litons'!$A:$I,9,FALSE)</f>
        <v>132</v>
      </c>
      <c r="I1590" s="917" t="str">
        <f>VLOOKUP($A1590,'Tech Litons'!$A:$C,3,0)</f>
        <v>EDF</v>
      </c>
      <c r="J1590" s="918" t="str">
        <f t="shared" si="163"/>
        <v>1352EDF</v>
      </c>
      <c r="K1590" s="919">
        <v>1</v>
      </c>
      <c r="L1590" s="920">
        <f t="shared" si="162"/>
        <v>3432</v>
      </c>
      <c r="M1590" s="920">
        <f t="shared" si="164"/>
        <v>32.864832000000007</v>
      </c>
      <c r="N1590" s="920">
        <f t="shared" si="165"/>
        <v>26</v>
      </c>
      <c r="O1590" s="918" t="str">
        <f t="shared" si="166"/>
        <v>Feb</v>
      </c>
      <c r="P1590" s="921">
        <f t="shared" si="167"/>
        <v>8</v>
      </c>
    </row>
    <row r="1591" spans="1:16" ht="15" hidden="1" customHeight="1">
      <c r="A1591" s="839">
        <v>68689251</v>
      </c>
      <c r="B1591" s="839">
        <v>1352</v>
      </c>
      <c r="C1591" s="906">
        <v>4144</v>
      </c>
      <c r="D1591" s="907">
        <v>46071</v>
      </c>
      <c r="E1591" s="839" t="s">
        <v>262</v>
      </c>
      <c r="F1591" s="839" t="s">
        <v>242</v>
      </c>
      <c r="G1591" s="916">
        <f>VLOOKUP($A1591,'Tech Litons'!$A:$I,8,FALSE)</f>
        <v>9.5760000000000012E-3</v>
      </c>
      <c r="H1591" s="917">
        <f>VLOOKUP($A1591,'Tech Litons'!$A:$I,9,FALSE)</f>
        <v>132</v>
      </c>
      <c r="I1591" s="917" t="str">
        <f>VLOOKUP($A1591,'Tech Litons'!$A:$C,3,0)</f>
        <v>EDF</v>
      </c>
      <c r="J1591" s="918" t="str">
        <f t="shared" si="163"/>
        <v>1352EDF</v>
      </c>
      <c r="K1591" s="919">
        <v>1</v>
      </c>
      <c r="L1591" s="920">
        <f t="shared" si="162"/>
        <v>4144</v>
      </c>
      <c r="M1591" s="920">
        <f t="shared" si="164"/>
        <v>39.682944000000006</v>
      </c>
      <c r="N1591" s="920">
        <f t="shared" si="165"/>
        <v>31.393939393939394</v>
      </c>
      <c r="O1591" s="918" t="str">
        <f t="shared" si="166"/>
        <v>Feb</v>
      </c>
      <c r="P1591" s="921">
        <f t="shared" si="167"/>
        <v>8</v>
      </c>
    </row>
    <row r="1592" spans="1:16" ht="15" hidden="1" customHeight="1">
      <c r="A1592" s="839">
        <v>68689251</v>
      </c>
      <c r="B1592" s="839">
        <v>1352</v>
      </c>
      <c r="C1592" s="906">
        <v>1854</v>
      </c>
      <c r="D1592" s="907">
        <v>46071</v>
      </c>
      <c r="E1592" s="839" t="s">
        <v>262</v>
      </c>
      <c r="F1592" s="839" t="s">
        <v>242</v>
      </c>
      <c r="G1592" s="916">
        <f>VLOOKUP($A1592,'Tech Litons'!$A:$I,8,FALSE)</f>
        <v>9.5760000000000012E-3</v>
      </c>
      <c r="H1592" s="917">
        <f>VLOOKUP($A1592,'Tech Litons'!$A:$I,9,FALSE)</f>
        <v>132</v>
      </c>
      <c r="I1592" s="917" t="str">
        <f>VLOOKUP($A1592,'Tech Litons'!$A:$C,3,0)</f>
        <v>EDF</v>
      </c>
      <c r="J1592" s="918" t="str">
        <f t="shared" si="163"/>
        <v>1352EDF</v>
      </c>
      <c r="K1592" s="919">
        <v>1</v>
      </c>
      <c r="L1592" s="920">
        <f t="shared" si="162"/>
        <v>1854</v>
      </c>
      <c r="M1592" s="920">
        <f t="shared" si="164"/>
        <v>17.753904000000002</v>
      </c>
      <c r="N1592" s="920">
        <f t="shared" si="165"/>
        <v>14.045454545454545</v>
      </c>
      <c r="O1592" s="918" t="str">
        <f t="shared" si="166"/>
        <v>Feb</v>
      </c>
      <c r="P1592" s="921">
        <f t="shared" si="167"/>
        <v>8</v>
      </c>
    </row>
    <row r="1593" spans="1:16" ht="15" hidden="1" customHeight="1">
      <c r="A1593" s="839">
        <v>68689251</v>
      </c>
      <c r="B1593" s="839">
        <v>1352</v>
      </c>
      <c r="C1593" s="906">
        <v>2112</v>
      </c>
      <c r="D1593" s="907">
        <v>46072</v>
      </c>
      <c r="E1593" s="839" t="s">
        <v>262</v>
      </c>
      <c r="F1593" s="839" t="s">
        <v>242</v>
      </c>
      <c r="G1593" s="916">
        <f>VLOOKUP($A1593,'Tech Litons'!$A:$I,8,FALSE)</f>
        <v>9.5760000000000012E-3</v>
      </c>
      <c r="H1593" s="917">
        <f>VLOOKUP($A1593,'Tech Litons'!$A:$I,9,FALSE)</f>
        <v>132</v>
      </c>
      <c r="I1593" s="917" t="str">
        <f>VLOOKUP($A1593,'Tech Litons'!$A:$C,3,0)</f>
        <v>EDF</v>
      </c>
      <c r="J1593" s="918" t="str">
        <f t="shared" si="163"/>
        <v>1352EDF</v>
      </c>
      <c r="K1593" s="919">
        <v>1</v>
      </c>
      <c r="L1593" s="920">
        <f t="shared" si="162"/>
        <v>2112</v>
      </c>
      <c r="M1593" s="920">
        <f t="shared" si="164"/>
        <v>20.224512000000004</v>
      </c>
      <c r="N1593" s="920">
        <f t="shared" si="165"/>
        <v>16</v>
      </c>
      <c r="O1593" s="918" t="str">
        <f t="shared" si="166"/>
        <v>Feb</v>
      </c>
      <c r="P1593" s="921">
        <f t="shared" si="167"/>
        <v>8</v>
      </c>
    </row>
    <row r="1594" spans="1:16" ht="15" hidden="1" customHeight="1">
      <c r="A1594" s="839">
        <v>68689251</v>
      </c>
      <c r="B1594" s="839">
        <v>1352</v>
      </c>
      <c r="C1594" s="906">
        <v>4064</v>
      </c>
      <c r="D1594" s="907">
        <v>46073</v>
      </c>
      <c r="E1594" s="839" t="s">
        <v>262</v>
      </c>
      <c r="F1594" s="839" t="s">
        <v>242</v>
      </c>
      <c r="G1594" s="916">
        <f>VLOOKUP($A1594,'Tech Litons'!$A:$I,8,FALSE)</f>
        <v>9.5760000000000012E-3</v>
      </c>
      <c r="H1594" s="917">
        <f>VLOOKUP($A1594,'Tech Litons'!$A:$I,9,FALSE)</f>
        <v>132</v>
      </c>
      <c r="I1594" s="917" t="str">
        <f>VLOOKUP($A1594,'Tech Litons'!$A:$C,3,0)</f>
        <v>EDF</v>
      </c>
      <c r="J1594" s="918" t="str">
        <f t="shared" si="163"/>
        <v>1352EDF</v>
      </c>
      <c r="K1594" s="919">
        <v>1</v>
      </c>
      <c r="L1594" s="920">
        <f t="shared" si="162"/>
        <v>4064</v>
      </c>
      <c r="M1594" s="920">
        <f t="shared" si="164"/>
        <v>38.916864000000004</v>
      </c>
      <c r="N1594" s="920">
        <f t="shared" si="165"/>
        <v>30.787878787878789</v>
      </c>
      <c r="O1594" s="918" t="str">
        <f t="shared" si="166"/>
        <v>Feb</v>
      </c>
      <c r="P1594" s="921">
        <f t="shared" si="167"/>
        <v>8</v>
      </c>
    </row>
    <row r="1595" spans="1:16" ht="15" hidden="1" customHeight="1">
      <c r="A1595" s="839">
        <v>68689251</v>
      </c>
      <c r="B1595" s="839">
        <v>1352</v>
      </c>
      <c r="C1595" s="906">
        <v>2950</v>
      </c>
      <c r="D1595" s="907">
        <v>46073</v>
      </c>
      <c r="E1595" s="839" t="s">
        <v>262</v>
      </c>
      <c r="F1595" s="839" t="s">
        <v>242</v>
      </c>
      <c r="G1595" s="916">
        <f>VLOOKUP($A1595,'Tech Litons'!$A:$I,8,FALSE)</f>
        <v>9.5760000000000012E-3</v>
      </c>
      <c r="H1595" s="917">
        <f>VLOOKUP($A1595,'Tech Litons'!$A:$I,9,FALSE)</f>
        <v>132</v>
      </c>
      <c r="I1595" s="917" t="str">
        <f>VLOOKUP($A1595,'Tech Litons'!$A:$C,3,0)</f>
        <v>EDF</v>
      </c>
      <c r="J1595" s="918" t="str">
        <f t="shared" si="163"/>
        <v>1352EDF</v>
      </c>
      <c r="K1595" s="919">
        <v>1</v>
      </c>
      <c r="L1595" s="920">
        <f t="shared" si="162"/>
        <v>2950</v>
      </c>
      <c r="M1595" s="920">
        <f t="shared" si="164"/>
        <v>28.249200000000002</v>
      </c>
      <c r="N1595" s="920">
        <f t="shared" si="165"/>
        <v>22.348484848484848</v>
      </c>
      <c r="O1595" s="918" t="str">
        <f t="shared" si="166"/>
        <v>Feb</v>
      </c>
      <c r="P1595" s="921">
        <f t="shared" si="167"/>
        <v>8</v>
      </c>
    </row>
    <row r="1596" spans="1:16" ht="15" hidden="1" customHeight="1">
      <c r="A1596" s="839">
        <v>68689251</v>
      </c>
      <c r="B1596" s="839">
        <v>1352</v>
      </c>
      <c r="C1596" s="906">
        <v>4301</v>
      </c>
      <c r="D1596" s="907">
        <v>46074</v>
      </c>
      <c r="E1596" s="839" t="s">
        <v>262</v>
      </c>
      <c r="F1596" s="839" t="s">
        <v>242</v>
      </c>
      <c r="G1596" s="916">
        <f>VLOOKUP($A1596,'Tech Litons'!$A:$I,8,FALSE)</f>
        <v>9.5760000000000012E-3</v>
      </c>
      <c r="H1596" s="917">
        <f>VLOOKUP($A1596,'Tech Litons'!$A:$I,9,FALSE)</f>
        <v>132</v>
      </c>
      <c r="I1596" s="917" t="str">
        <f>VLOOKUP($A1596,'Tech Litons'!$A:$C,3,0)</f>
        <v>EDF</v>
      </c>
      <c r="J1596" s="918" t="str">
        <f t="shared" si="163"/>
        <v>1352EDF</v>
      </c>
      <c r="K1596" s="919">
        <v>1</v>
      </c>
      <c r="L1596" s="920">
        <f t="shared" si="162"/>
        <v>4301</v>
      </c>
      <c r="M1596" s="920">
        <f t="shared" si="164"/>
        <v>41.186376000000003</v>
      </c>
      <c r="N1596" s="920">
        <f t="shared" si="165"/>
        <v>32.583333333333336</v>
      </c>
      <c r="O1596" s="918" t="str">
        <f t="shared" si="166"/>
        <v>Feb</v>
      </c>
      <c r="P1596" s="921">
        <f t="shared" si="167"/>
        <v>8</v>
      </c>
    </row>
    <row r="1597" spans="1:16" ht="15" hidden="1" customHeight="1">
      <c r="A1597" s="839">
        <v>68689251</v>
      </c>
      <c r="B1597" s="839">
        <v>1352</v>
      </c>
      <c r="C1597" s="906">
        <v>3168</v>
      </c>
      <c r="D1597" s="907">
        <v>46074</v>
      </c>
      <c r="E1597" s="839" t="s">
        <v>262</v>
      </c>
      <c r="F1597" s="839" t="s">
        <v>242</v>
      </c>
      <c r="G1597" s="916">
        <f>VLOOKUP($A1597,'Tech Litons'!$A:$I,8,FALSE)</f>
        <v>9.5760000000000012E-3</v>
      </c>
      <c r="H1597" s="917">
        <f>VLOOKUP($A1597,'Tech Litons'!$A:$I,9,FALSE)</f>
        <v>132</v>
      </c>
      <c r="I1597" s="917" t="str">
        <f>VLOOKUP($A1597,'Tech Litons'!$A:$C,3,0)</f>
        <v>EDF</v>
      </c>
      <c r="J1597" s="918" t="str">
        <f t="shared" si="163"/>
        <v>1352EDF</v>
      </c>
      <c r="K1597" s="919">
        <v>1</v>
      </c>
      <c r="L1597" s="920">
        <f t="shared" si="162"/>
        <v>3168</v>
      </c>
      <c r="M1597" s="920">
        <f t="shared" si="164"/>
        <v>30.336768000000003</v>
      </c>
      <c r="N1597" s="920">
        <f t="shared" si="165"/>
        <v>24</v>
      </c>
      <c r="O1597" s="918" t="str">
        <f t="shared" si="166"/>
        <v>Feb</v>
      </c>
      <c r="P1597" s="921">
        <f t="shared" si="167"/>
        <v>8</v>
      </c>
    </row>
    <row r="1598" spans="1:16" ht="15" hidden="1" customHeight="1">
      <c r="A1598" s="839">
        <v>68689251</v>
      </c>
      <c r="B1598" s="839">
        <v>1352</v>
      </c>
      <c r="C1598" s="906">
        <v>573</v>
      </c>
      <c r="D1598" s="907">
        <v>46075</v>
      </c>
      <c r="E1598" s="839" t="s">
        <v>262</v>
      </c>
      <c r="F1598" s="839" t="s">
        <v>242</v>
      </c>
      <c r="G1598" s="916">
        <f>VLOOKUP($A1598,'Tech Litons'!$A:$I,8,FALSE)</f>
        <v>9.5760000000000012E-3</v>
      </c>
      <c r="H1598" s="917">
        <f>VLOOKUP($A1598,'Tech Litons'!$A:$I,9,FALSE)</f>
        <v>132</v>
      </c>
      <c r="I1598" s="917" t="str">
        <f>VLOOKUP($A1598,'Tech Litons'!$A:$C,3,0)</f>
        <v>EDF</v>
      </c>
      <c r="J1598" s="918" t="str">
        <f t="shared" si="163"/>
        <v>1352EDF</v>
      </c>
      <c r="K1598" s="919">
        <v>1</v>
      </c>
      <c r="L1598" s="920">
        <f t="shared" si="162"/>
        <v>573</v>
      </c>
      <c r="M1598" s="920">
        <f t="shared" si="164"/>
        <v>5.4870480000000006</v>
      </c>
      <c r="N1598" s="920">
        <f t="shared" si="165"/>
        <v>4.3409090909090908</v>
      </c>
      <c r="O1598" s="918" t="str">
        <f t="shared" si="166"/>
        <v>Feb</v>
      </c>
      <c r="P1598" s="921">
        <f t="shared" si="167"/>
        <v>9</v>
      </c>
    </row>
    <row r="1599" spans="1:16" ht="15" hidden="1" customHeight="1">
      <c r="A1599" s="839">
        <v>68689251</v>
      </c>
      <c r="B1599" s="839">
        <v>1352</v>
      </c>
      <c r="C1599" s="906">
        <v>5016</v>
      </c>
      <c r="D1599" s="907">
        <v>46075</v>
      </c>
      <c r="E1599" s="839" t="s">
        <v>262</v>
      </c>
      <c r="F1599" s="839" t="s">
        <v>242</v>
      </c>
      <c r="G1599" s="916">
        <f>VLOOKUP($A1599,'Tech Litons'!$A:$I,8,FALSE)</f>
        <v>9.5760000000000012E-3</v>
      </c>
      <c r="H1599" s="917">
        <f>VLOOKUP($A1599,'Tech Litons'!$A:$I,9,FALSE)</f>
        <v>132</v>
      </c>
      <c r="I1599" s="917" t="str">
        <f>VLOOKUP($A1599,'Tech Litons'!$A:$C,3,0)</f>
        <v>EDF</v>
      </c>
      <c r="J1599" s="918" t="str">
        <f t="shared" si="163"/>
        <v>1352EDF</v>
      </c>
      <c r="K1599" s="919">
        <v>1</v>
      </c>
      <c r="L1599" s="920">
        <f t="shared" si="162"/>
        <v>5016</v>
      </c>
      <c r="M1599" s="920">
        <f t="shared" si="164"/>
        <v>48.033216000000003</v>
      </c>
      <c r="N1599" s="920">
        <f t="shared" si="165"/>
        <v>38</v>
      </c>
      <c r="O1599" s="918" t="str">
        <f t="shared" si="166"/>
        <v>Feb</v>
      </c>
      <c r="P1599" s="921">
        <f t="shared" si="167"/>
        <v>9</v>
      </c>
    </row>
    <row r="1600" spans="1:16" ht="15" hidden="1" customHeight="1">
      <c r="A1600" s="839">
        <v>68689251</v>
      </c>
      <c r="B1600" s="839">
        <v>1352</v>
      </c>
      <c r="C1600" s="906">
        <v>132</v>
      </c>
      <c r="D1600" s="907">
        <v>46058</v>
      </c>
      <c r="E1600" s="839" t="s">
        <v>262</v>
      </c>
      <c r="F1600" s="839" t="s">
        <v>242</v>
      </c>
      <c r="G1600" s="916">
        <f>VLOOKUP($A1600,'Tech Litons'!$A:$I,8,FALSE)</f>
        <v>9.5760000000000012E-3</v>
      </c>
      <c r="H1600" s="917">
        <f>VLOOKUP($A1600,'Tech Litons'!$A:$I,9,FALSE)</f>
        <v>132</v>
      </c>
      <c r="I1600" s="917" t="str">
        <f>VLOOKUP($A1600,'Tech Litons'!$A:$C,3,0)</f>
        <v>EDF</v>
      </c>
      <c r="J1600" s="918" t="str">
        <f t="shared" si="163"/>
        <v>1352EDF</v>
      </c>
      <c r="K1600" s="919">
        <v>1</v>
      </c>
      <c r="L1600" s="920">
        <f t="shared" si="162"/>
        <v>132</v>
      </c>
      <c r="M1600" s="920">
        <f t="shared" si="164"/>
        <v>1.2640320000000003</v>
      </c>
      <c r="N1600" s="920">
        <f t="shared" si="165"/>
        <v>1</v>
      </c>
      <c r="O1600" s="918" t="str">
        <f t="shared" si="166"/>
        <v>Feb</v>
      </c>
      <c r="P1600" s="921">
        <f t="shared" si="167"/>
        <v>6</v>
      </c>
    </row>
    <row r="1601" spans="1:16" ht="15" hidden="1" customHeight="1">
      <c r="A1601" s="839">
        <v>68689251</v>
      </c>
      <c r="B1601" s="839">
        <v>1352</v>
      </c>
      <c r="C1601" s="906">
        <v>4117</v>
      </c>
      <c r="D1601" s="907">
        <v>46059</v>
      </c>
      <c r="E1601" s="839" t="s">
        <v>262</v>
      </c>
      <c r="F1601" s="839" t="s">
        <v>242</v>
      </c>
      <c r="G1601" s="916">
        <f>VLOOKUP($A1601,'Tech Litons'!$A:$I,8,FALSE)</f>
        <v>9.5760000000000012E-3</v>
      </c>
      <c r="H1601" s="917">
        <f>VLOOKUP($A1601,'Tech Litons'!$A:$I,9,FALSE)</f>
        <v>132</v>
      </c>
      <c r="I1601" s="917" t="str">
        <f>VLOOKUP($A1601,'Tech Litons'!$A:$C,3,0)</f>
        <v>EDF</v>
      </c>
      <c r="J1601" s="918" t="str">
        <f t="shared" si="163"/>
        <v>1352EDF</v>
      </c>
      <c r="K1601" s="919">
        <v>1</v>
      </c>
      <c r="L1601" s="920">
        <f t="shared" si="162"/>
        <v>4117</v>
      </c>
      <c r="M1601" s="920">
        <f t="shared" si="164"/>
        <v>39.424392000000005</v>
      </c>
      <c r="N1601" s="920">
        <f t="shared" si="165"/>
        <v>31.189393939393938</v>
      </c>
      <c r="O1601" s="918" t="str">
        <f t="shared" si="166"/>
        <v>Feb</v>
      </c>
      <c r="P1601" s="921">
        <f t="shared" si="167"/>
        <v>6</v>
      </c>
    </row>
    <row r="1602" spans="1:16" ht="15" hidden="1" customHeight="1">
      <c r="A1602" s="839">
        <v>68689251</v>
      </c>
      <c r="B1602" s="839">
        <v>1352</v>
      </c>
      <c r="C1602" s="906">
        <v>1985</v>
      </c>
      <c r="D1602" s="907">
        <v>46069</v>
      </c>
      <c r="E1602" s="839" t="s">
        <v>262</v>
      </c>
      <c r="F1602" s="839" t="s">
        <v>242</v>
      </c>
      <c r="G1602" s="916">
        <f>VLOOKUP($A1602,'Tech Litons'!$A:$I,8,FALSE)</f>
        <v>9.5760000000000012E-3</v>
      </c>
      <c r="H1602" s="917">
        <f>VLOOKUP($A1602,'Tech Litons'!$A:$I,9,FALSE)</f>
        <v>132</v>
      </c>
      <c r="I1602" s="917" t="str">
        <f>VLOOKUP($A1602,'Tech Litons'!$A:$C,3,0)</f>
        <v>EDF</v>
      </c>
      <c r="J1602" s="918" t="str">
        <f t="shared" si="163"/>
        <v>1352EDF</v>
      </c>
      <c r="K1602" s="919">
        <v>1</v>
      </c>
      <c r="L1602" s="920">
        <f t="shared" si="162"/>
        <v>1985</v>
      </c>
      <c r="M1602" s="920">
        <f t="shared" si="164"/>
        <v>19.008360000000003</v>
      </c>
      <c r="N1602" s="920">
        <f t="shared" si="165"/>
        <v>15.037878787878787</v>
      </c>
      <c r="O1602" s="918" t="str">
        <f t="shared" si="166"/>
        <v>Feb</v>
      </c>
      <c r="P1602" s="921">
        <f t="shared" si="167"/>
        <v>8</v>
      </c>
    </row>
    <row r="1603" spans="1:16" ht="15" hidden="1" customHeight="1">
      <c r="A1603" s="839">
        <v>68689251</v>
      </c>
      <c r="B1603" s="839">
        <v>1352</v>
      </c>
      <c r="C1603" s="906">
        <v>2230</v>
      </c>
      <c r="D1603" s="907">
        <v>46072</v>
      </c>
      <c r="E1603" s="839" t="s">
        <v>262</v>
      </c>
      <c r="F1603" s="839" t="s">
        <v>242</v>
      </c>
      <c r="G1603" s="916">
        <f>VLOOKUP($A1603,'Tech Litons'!$A:$I,8,FALSE)</f>
        <v>9.5760000000000012E-3</v>
      </c>
      <c r="H1603" s="917">
        <f>VLOOKUP($A1603,'Tech Litons'!$A:$I,9,FALSE)</f>
        <v>132</v>
      </c>
      <c r="I1603" s="917" t="str">
        <f>VLOOKUP($A1603,'Tech Litons'!$A:$C,3,0)</f>
        <v>EDF</v>
      </c>
      <c r="J1603" s="918" t="str">
        <f t="shared" si="163"/>
        <v>1352EDF</v>
      </c>
      <c r="K1603" s="919">
        <v>1</v>
      </c>
      <c r="L1603" s="920">
        <f t="shared" si="162"/>
        <v>2230</v>
      </c>
      <c r="M1603" s="920">
        <f t="shared" si="164"/>
        <v>21.354480000000002</v>
      </c>
      <c r="N1603" s="920">
        <f t="shared" si="165"/>
        <v>16.893939393939394</v>
      </c>
      <c r="O1603" s="918" t="str">
        <f t="shared" si="166"/>
        <v>Feb</v>
      </c>
      <c r="P1603" s="921">
        <f t="shared" si="167"/>
        <v>8</v>
      </c>
    </row>
    <row r="1604" spans="1:16" ht="15" hidden="1" customHeight="1">
      <c r="A1604" s="839">
        <v>68709233</v>
      </c>
      <c r="B1604" s="839">
        <v>1352</v>
      </c>
      <c r="C1604" s="906">
        <v>2112</v>
      </c>
      <c r="D1604" s="907">
        <v>46062</v>
      </c>
      <c r="E1604" s="839" t="s">
        <v>426</v>
      </c>
      <c r="F1604" s="839" t="s">
        <v>240</v>
      </c>
      <c r="G1604" s="916">
        <f>VLOOKUP($A1604,'Tech Litons'!$A:$I,8,FALSE)</f>
        <v>8.4960000000000001E-3</v>
      </c>
      <c r="H1604" s="917">
        <f>VLOOKUP($A1604,'Tech Litons'!$A:$I,9,FALSE)</f>
        <v>132</v>
      </c>
      <c r="I1604" s="917" t="str">
        <f>VLOOKUP($A1604,'Tech Litons'!$A:$C,3,0)</f>
        <v>EDF</v>
      </c>
      <c r="J1604" s="918" t="str">
        <f t="shared" si="163"/>
        <v>1352EDF</v>
      </c>
      <c r="K1604" s="919">
        <v>1</v>
      </c>
      <c r="L1604" s="920">
        <f t="shared" si="162"/>
        <v>2112</v>
      </c>
      <c r="M1604" s="920">
        <f t="shared" si="164"/>
        <v>17.943552</v>
      </c>
      <c r="N1604" s="920">
        <f t="shared" si="165"/>
        <v>16</v>
      </c>
      <c r="O1604" s="918" t="str">
        <f t="shared" si="166"/>
        <v>Feb</v>
      </c>
      <c r="P1604" s="921">
        <f t="shared" si="167"/>
        <v>7</v>
      </c>
    </row>
    <row r="1605" spans="1:16" ht="15" hidden="1" customHeight="1">
      <c r="A1605" s="839">
        <v>68709233</v>
      </c>
      <c r="B1605" s="839">
        <v>1352</v>
      </c>
      <c r="C1605" s="906">
        <v>4417</v>
      </c>
      <c r="D1605" s="907">
        <v>46063</v>
      </c>
      <c r="E1605" s="839" t="s">
        <v>426</v>
      </c>
      <c r="F1605" s="839" t="s">
        <v>240</v>
      </c>
      <c r="G1605" s="916">
        <f>VLOOKUP($A1605,'Tech Litons'!$A:$I,8,FALSE)</f>
        <v>8.4960000000000001E-3</v>
      </c>
      <c r="H1605" s="917">
        <f>VLOOKUP($A1605,'Tech Litons'!$A:$I,9,FALSE)</f>
        <v>132</v>
      </c>
      <c r="I1605" s="917" t="str">
        <f>VLOOKUP($A1605,'Tech Litons'!$A:$C,3,0)</f>
        <v>EDF</v>
      </c>
      <c r="J1605" s="918" t="str">
        <f t="shared" si="163"/>
        <v>1352EDF</v>
      </c>
      <c r="K1605" s="919">
        <v>1</v>
      </c>
      <c r="L1605" s="920">
        <f t="shared" si="162"/>
        <v>4417</v>
      </c>
      <c r="M1605" s="920">
        <f t="shared" si="164"/>
        <v>37.526831999999999</v>
      </c>
      <c r="N1605" s="920">
        <f t="shared" si="165"/>
        <v>33.462121212121211</v>
      </c>
      <c r="O1605" s="918" t="str">
        <f t="shared" si="166"/>
        <v>Feb</v>
      </c>
      <c r="P1605" s="921">
        <f t="shared" si="167"/>
        <v>7</v>
      </c>
    </row>
    <row r="1606" spans="1:16" ht="15" hidden="1" customHeight="1">
      <c r="A1606" s="839">
        <v>68709233</v>
      </c>
      <c r="B1606" s="839">
        <v>1352</v>
      </c>
      <c r="C1606" s="906">
        <v>2112</v>
      </c>
      <c r="D1606" s="907">
        <v>46063</v>
      </c>
      <c r="E1606" s="839" t="s">
        <v>426</v>
      </c>
      <c r="F1606" s="839" t="s">
        <v>240</v>
      </c>
      <c r="G1606" s="916">
        <f>VLOOKUP($A1606,'Tech Litons'!$A:$I,8,FALSE)</f>
        <v>8.4960000000000001E-3</v>
      </c>
      <c r="H1606" s="917">
        <f>VLOOKUP($A1606,'Tech Litons'!$A:$I,9,FALSE)</f>
        <v>132</v>
      </c>
      <c r="I1606" s="917" t="str">
        <f>VLOOKUP($A1606,'Tech Litons'!$A:$C,3,0)</f>
        <v>EDF</v>
      </c>
      <c r="J1606" s="918" t="str">
        <f t="shared" si="163"/>
        <v>1352EDF</v>
      </c>
      <c r="K1606" s="919">
        <v>1</v>
      </c>
      <c r="L1606" s="920">
        <f t="shared" si="162"/>
        <v>2112</v>
      </c>
      <c r="M1606" s="920">
        <f t="shared" si="164"/>
        <v>17.943552</v>
      </c>
      <c r="N1606" s="920">
        <f t="shared" si="165"/>
        <v>16</v>
      </c>
      <c r="O1606" s="918" t="str">
        <f t="shared" si="166"/>
        <v>Feb</v>
      </c>
      <c r="P1606" s="921">
        <f t="shared" si="167"/>
        <v>7</v>
      </c>
    </row>
    <row r="1607" spans="1:16" ht="15" hidden="1" customHeight="1">
      <c r="A1607" s="839">
        <v>68709233</v>
      </c>
      <c r="B1607" s="839">
        <v>1352</v>
      </c>
      <c r="C1607" s="906">
        <v>3411</v>
      </c>
      <c r="D1607" s="907">
        <v>46064</v>
      </c>
      <c r="E1607" s="839" t="s">
        <v>426</v>
      </c>
      <c r="F1607" s="839" t="s">
        <v>240</v>
      </c>
      <c r="G1607" s="916">
        <f>VLOOKUP($A1607,'Tech Litons'!$A:$I,8,FALSE)</f>
        <v>8.4960000000000001E-3</v>
      </c>
      <c r="H1607" s="917">
        <f>VLOOKUP($A1607,'Tech Litons'!$A:$I,9,FALSE)</f>
        <v>132</v>
      </c>
      <c r="I1607" s="917" t="str">
        <f>VLOOKUP($A1607,'Tech Litons'!$A:$C,3,0)</f>
        <v>EDF</v>
      </c>
      <c r="J1607" s="918" t="str">
        <f t="shared" si="163"/>
        <v>1352EDF</v>
      </c>
      <c r="K1607" s="919">
        <v>1</v>
      </c>
      <c r="L1607" s="920">
        <f t="shared" si="162"/>
        <v>3411</v>
      </c>
      <c r="M1607" s="920">
        <f t="shared" si="164"/>
        <v>28.979856000000002</v>
      </c>
      <c r="N1607" s="920">
        <f t="shared" si="165"/>
        <v>25.84090909090909</v>
      </c>
      <c r="O1607" s="918" t="str">
        <f t="shared" si="166"/>
        <v>Feb</v>
      </c>
      <c r="P1607" s="921">
        <f t="shared" si="167"/>
        <v>7</v>
      </c>
    </row>
    <row r="1608" spans="1:16" ht="15" hidden="1" customHeight="1">
      <c r="A1608" s="839">
        <v>68709233</v>
      </c>
      <c r="B1608" s="839">
        <v>1352</v>
      </c>
      <c r="C1608" s="906">
        <v>1007</v>
      </c>
      <c r="D1608" s="907">
        <v>46064</v>
      </c>
      <c r="E1608" s="839" t="s">
        <v>426</v>
      </c>
      <c r="F1608" s="839" t="s">
        <v>240</v>
      </c>
      <c r="G1608" s="916">
        <f>VLOOKUP($A1608,'Tech Litons'!$A:$I,8,FALSE)</f>
        <v>8.4960000000000001E-3</v>
      </c>
      <c r="H1608" s="917">
        <f>VLOOKUP($A1608,'Tech Litons'!$A:$I,9,FALSE)</f>
        <v>132</v>
      </c>
      <c r="I1608" s="917" t="str">
        <f>VLOOKUP($A1608,'Tech Litons'!$A:$C,3,0)</f>
        <v>EDF</v>
      </c>
      <c r="J1608" s="918" t="str">
        <f t="shared" si="163"/>
        <v>1352EDF</v>
      </c>
      <c r="K1608" s="919">
        <v>1</v>
      </c>
      <c r="L1608" s="920">
        <f t="shared" si="162"/>
        <v>1007</v>
      </c>
      <c r="M1608" s="920">
        <f t="shared" si="164"/>
        <v>8.555472</v>
      </c>
      <c r="N1608" s="920">
        <f t="shared" si="165"/>
        <v>7.6287878787878789</v>
      </c>
      <c r="O1608" s="918" t="str">
        <f t="shared" si="166"/>
        <v>Feb</v>
      </c>
      <c r="P1608" s="921">
        <f t="shared" si="167"/>
        <v>7</v>
      </c>
    </row>
    <row r="1609" spans="1:16" ht="15" hidden="1" customHeight="1">
      <c r="A1609" s="839">
        <v>68709233</v>
      </c>
      <c r="B1609" s="839">
        <v>1352</v>
      </c>
      <c r="C1609" s="906">
        <v>3036</v>
      </c>
      <c r="D1609" s="907">
        <v>46065</v>
      </c>
      <c r="E1609" s="839" t="s">
        <v>426</v>
      </c>
      <c r="F1609" s="839" t="s">
        <v>240</v>
      </c>
      <c r="G1609" s="916">
        <f>VLOOKUP($A1609,'Tech Litons'!$A:$I,8,FALSE)</f>
        <v>8.4960000000000001E-3</v>
      </c>
      <c r="H1609" s="917">
        <f>VLOOKUP($A1609,'Tech Litons'!$A:$I,9,FALSE)</f>
        <v>132</v>
      </c>
      <c r="I1609" s="917" t="str">
        <f>VLOOKUP($A1609,'Tech Litons'!$A:$C,3,0)</f>
        <v>EDF</v>
      </c>
      <c r="J1609" s="918" t="str">
        <f t="shared" si="163"/>
        <v>1352EDF</v>
      </c>
      <c r="K1609" s="919">
        <v>1</v>
      </c>
      <c r="L1609" s="920">
        <f t="shared" si="162"/>
        <v>3036</v>
      </c>
      <c r="M1609" s="920">
        <f t="shared" si="164"/>
        <v>25.793856000000002</v>
      </c>
      <c r="N1609" s="920">
        <f t="shared" si="165"/>
        <v>23</v>
      </c>
      <c r="O1609" s="918" t="str">
        <f t="shared" si="166"/>
        <v>Feb</v>
      </c>
      <c r="P1609" s="921">
        <f t="shared" si="167"/>
        <v>7</v>
      </c>
    </row>
    <row r="1610" spans="1:16" ht="15" hidden="1" customHeight="1">
      <c r="A1610" s="839">
        <v>68709233</v>
      </c>
      <c r="B1610" s="839">
        <v>1352</v>
      </c>
      <c r="C1610" s="906">
        <v>4225</v>
      </c>
      <c r="D1610" s="907">
        <v>46066</v>
      </c>
      <c r="E1610" s="839" t="s">
        <v>426</v>
      </c>
      <c r="F1610" s="839" t="s">
        <v>240</v>
      </c>
      <c r="G1610" s="916">
        <f>VLOOKUP($A1610,'Tech Litons'!$A:$I,8,FALSE)</f>
        <v>8.4960000000000001E-3</v>
      </c>
      <c r="H1610" s="917">
        <f>VLOOKUP($A1610,'Tech Litons'!$A:$I,9,FALSE)</f>
        <v>132</v>
      </c>
      <c r="I1610" s="917" t="str">
        <f>VLOOKUP($A1610,'Tech Litons'!$A:$C,3,0)</f>
        <v>EDF</v>
      </c>
      <c r="J1610" s="918" t="str">
        <f t="shared" si="163"/>
        <v>1352EDF</v>
      </c>
      <c r="K1610" s="919">
        <v>1</v>
      </c>
      <c r="L1610" s="920">
        <f t="shared" si="162"/>
        <v>4225</v>
      </c>
      <c r="M1610" s="920">
        <f t="shared" si="164"/>
        <v>35.895600000000002</v>
      </c>
      <c r="N1610" s="920">
        <f t="shared" si="165"/>
        <v>32.007575757575758</v>
      </c>
      <c r="O1610" s="918" t="str">
        <f t="shared" si="166"/>
        <v>Feb</v>
      </c>
      <c r="P1610" s="921">
        <f t="shared" si="167"/>
        <v>7</v>
      </c>
    </row>
    <row r="1611" spans="1:16" ht="15" hidden="1" customHeight="1">
      <c r="A1611" s="839">
        <v>68709233</v>
      </c>
      <c r="B1611" s="839">
        <v>1352</v>
      </c>
      <c r="C1611" s="906">
        <v>2244</v>
      </c>
      <c r="D1611" s="907">
        <v>46066</v>
      </c>
      <c r="E1611" s="839" t="s">
        <v>426</v>
      </c>
      <c r="F1611" s="839" t="s">
        <v>240</v>
      </c>
      <c r="G1611" s="916">
        <f>VLOOKUP($A1611,'Tech Litons'!$A:$I,8,FALSE)</f>
        <v>8.4960000000000001E-3</v>
      </c>
      <c r="H1611" s="917">
        <f>VLOOKUP($A1611,'Tech Litons'!$A:$I,9,FALSE)</f>
        <v>132</v>
      </c>
      <c r="I1611" s="917" t="str">
        <f>VLOOKUP($A1611,'Tech Litons'!$A:$C,3,0)</f>
        <v>EDF</v>
      </c>
      <c r="J1611" s="918" t="str">
        <f t="shared" si="163"/>
        <v>1352EDF</v>
      </c>
      <c r="K1611" s="919">
        <v>1</v>
      </c>
      <c r="L1611" s="920">
        <f t="shared" si="162"/>
        <v>2244</v>
      </c>
      <c r="M1611" s="920">
        <f t="shared" si="164"/>
        <v>19.065024000000001</v>
      </c>
      <c r="N1611" s="920">
        <f t="shared" si="165"/>
        <v>17</v>
      </c>
      <c r="O1611" s="918" t="str">
        <f t="shared" si="166"/>
        <v>Feb</v>
      </c>
      <c r="P1611" s="921">
        <f t="shared" si="167"/>
        <v>7</v>
      </c>
    </row>
    <row r="1612" spans="1:16" ht="15" hidden="1" customHeight="1">
      <c r="A1612" s="839">
        <v>68709233</v>
      </c>
      <c r="B1612" s="839">
        <v>1352</v>
      </c>
      <c r="C1612" s="906">
        <v>3765</v>
      </c>
      <c r="D1612" s="907">
        <v>46067</v>
      </c>
      <c r="E1612" s="839" t="s">
        <v>426</v>
      </c>
      <c r="F1612" s="839" t="s">
        <v>240</v>
      </c>
      <c r="G1612" s="916">
        <f>VLOOKUP($A1612,'Tech Litons'!$A:$I,8,FALSE)</f>
        <v>8.4960000000000001E-3</v>
      </c>
      <c r="H1612" s="917">
        <f>VLOOKUP($A1612,'Tech Litons'!$A:$I,9,FALSE)</f>
        <v>132</v>
      </c>
      <c r="I1612" s="917" t="str">
        <f>VLOOKUP($A1612,'Tech Litons'!$A:$C,3,0)</f>
        <v>EDF</v>
      </c>
      <c r="J1612" s="918" t="str">
        <f t="shared" si="163"/>
        <v>1352EDF</v>
      </c>
      <c r="K1612" s="919">
        <v>1</v>
      </c>
      <c r="L1612" s="920">
        <f t="shared" si="162"/>
        <v>3765</v>
      </c>
      <c r="M1612" s="920">
        <f t="shared" si="164"/>
        <v>31.987439999999999</v>
      </c>
      <c r="N1612" s="920">
        <f t="shared" si="165"/>
        <v>28.522727272727273</v>
      </c>
      <c r="O1612" s="918" t="str">
        <f t="shared" si="166"/>
        <v>Feb</v>
      </c>
      <c r="P1612" s="921">
        <f t="shared" si="167"/>
        <v>7</v>
      </c>
    </row>
    <row r="1613" spans="1:16" ht="15" hidden="1" customHeight="1">
      <c r="A1613" s="839">
        <v>68709233</v>
      </c>
      <c r="B1613" s="839">
        <v>1352</v>
      </c>
      <c r="C1613" s="906">
        <v>2508</v>
      </c>
      <c r="D1613" s="907">
        <v>46067</v>
      </c>
      <c r="E1613" s="839" t="s">
        <v>426</v>
      </c>
      <c r="F1613" s="839" t="s">
        <v>240</v>
      </c>
      <c r="G1613" s="916">
        <f>VLOOKUP($A1613,'Tech Litons'!$A:$I,8,FALSE)</f>
        <v>8.4960000000000001E-3</v>
      </c>
      <c r="H1613" s="917">
        <f>VLOOKUP($A1613,'Tech Litons'!$A:$I,9,FALSE)</f>
        <v>132</v>
      </c>
      <c r="I1613" s="917" t="str">
        <f>VLOOKUP($A1613,'Tech Litons'!$A:$C,3,0)</f>
        <v>EDF</v>
      </c>
      <c r="J1613" s="918" t="str">
        <f t="shared" si="163"/>
        <v>1352EDF</v>
      </c>
      <c r="K1613" s="919">
        <v>1</v>
      </c>
      <c r="L1613" s="920">
        <f t="shared" si="162"/>
        <v>2508</v>
      </c>
      <c r="M1613" s="920">
        <f t="shared" si="164"/>
        <v>21.307967999999999</v>
      </c>
      <c r="N1613" s="920">
        <f t="shared" si="165"/>
        <v>19</v>
      </c>
      <c r="O1613" s="918" t="str">
        <f t="shared" si="166"/>
        <v>Feb</v>
      </c>
      <c r="P1613" s="921">
        <f t="shared" si="167"/>
        <v>7</v>
      </c>
    </row>
    <row r="1614" spans="1:16" ht="15" hidden="1" customHeight="1">
      <c r="A1614" s="839">
        <v>68709233</v>
      </c>
      <c r="B1614" s="839">
        <v>1352</v>
      </c>
      <c r="C1614" s="906">
        <v>4311</v>
      </c>
      <c r="D1614" s="907">
        <v>46068</v>
      </c>
      <c r="E1614" s="839" t="s">
        <v>426</v>
      </c>
      <c r="F1614" s="839" t="s">
        <v>240</v>
      </c>
      <c r="G1614" s="916">
        <f>VLOOKUP($A1614,'Tech Litons'!$A:$I,8,FALSE)</f>
        <v>8.4960000000000001E-3</v>
      </c>
      <c r="H1614" s="917">
        <f>VLOOKUP($A1614,'Tech Litons'!$A:$I,9,FALSE)</f>
        <v>132</v>
      </c>
      <c r="I1614" s="917" t="str">
        <f>VLOOKUP($A1614,'Tech Litons'!$A:$C,3,0)</f>
        <v>EDF</v>
      </c>
      <c r="J1614" s="918" t="str">
        <f t="shared" si="163"/>
        <v>1352EDF</v>
      </c>
      <c r="K1614" s="919">
        <v>1</v>
      </c>
      <c r="L1614" s="920">
        <f t="shared" si="162"/>
        <v>4311</v>
      </c>
      <c r="M1614" s="920">
        <f t="shared" si="164"/>
        <v>36.626255999999998</v>
      </c>
      <c r="N1614" s="920">
        <f t="shared" si="165"/>
        <v>32.659090909090907</v>
      </c>
      <c r="O1614" s="918" t="str">
        <f t="shared" si="166"/>
        <v>Feb</v>
      </c>
      <c r="P1614" s="921">
        <f t="shared" si="167"/>
        <v>8</v>
      </c>
    </row>
    <row r="1615" spans="1:16" ht="15" hidden="1" customHeight="1">
      <c r="A1615" s="839">
        <v>68709233</v>
      </c>
      <c r="B1615" s="839">
        <v>1352</v>
      </c>
      <c r="C1615" s="906">
        <v>132</v>
      </c>
      <c r="D1615" s="907">
        <v>46069</v>
      </c>
      <c r="E1615" s="839" t="s">
        <v>426</v>
      </c>
      <c r="F1615" s="839" t="s">
        <v>240</v>
      </c>
      <c r="G1615" s="916">
        <f>VLOOKUP($A1615,'Tech Litons'!$A:$I,8,FALSE)</f>
        <v>8.4960000000000001E-3</v>
      </c>
      <c r="H1615" s="917">
        <f>VLOOKUP($A1615,'Tech Litons'!$A:$I,9,FALSE)</f>
        <v>132</v>
      </c>
      <c r="I1615" s="917" t="str">
        <f>VLOOKUP($A1615,'Tech Litons'!$A:$C,3,0)</f>
        <v>EDF</v>
      </c>
      <c r="J1615" s="918" t="str">
        <f t="shared" si="163"/>
        <v>1352EDF</v>
      </c>
      <c r="K1615" s="919">
        <v>1</v>
      </c>
      <c r="L1615" s="920">
        <f t="shared" si="162"/>
        <v>132</v>
      </c>
      <c r="M1615" s="920">
        <f t="shared" si="164"/>
        <v>1.121472</v>
      </c>
      <c r="N1615" s="920">
        <f t="shared" si="165"/>
        <v>1</v>
      </c>
      <c r="O1615" s="918" t="str">
        <f t="shared" si="166"/>
        <v>Feb</v>
      </c>
      <c r="P1615" s="921">
        <f t="shared" si="167"/>
        <v>8</v>
      </c>
    </row>
    <row r="1616" spans="1:16" ht="15" hidden="1" customHeight="1">
      <c r="A1616" s="839">
        <v>68709233</v>
      </c>
      <c r="B1616" s="839">
        <v>1352</v>
      </c>
      <c r="C1616" s="906">
        <v>2640</v>
      </c>
      <c r="D1616" s="907">
        <v>46068</v>
      </c>
      <c r="E1616" s="839" t="s">
        <v>426</v>
      </c>
      <c r="F1616" s="839" t="s">
        <v>240</v>
      </c>
      <c r="G1616" s="916">
        <f>VLOOKUP($A1616,'Tech Litons'!$A:$I,8,FALSE)</f>
        <v>8.4960000000000001E-3</v>
      </c>
      <c r="H1616" s="917">
        <f>VLOOKUP($A1616,'Tech Litons'!$A:$I,9,FALSE)</f>
        <v>132</v>
      </c>
      <c r="I1616" s="917" t="str">
        <f>VLOOKUP($A1616,'Tech Litons'!$A:$C,3,0)</f>
        <v>EDF</v>
      </c>
      <c r="J1616" s="918" t="str">
        <f t="shared" si="163"/>
        <v>1352EDF</v>
      </c>
      <c r="K1616" s="919">
        <v>1</v>
      </c>
      <c r="L1616" s="920">
        <f t="shared" si="162"/>
        <v>2640</v>
      </c>
      <c r="M1616" s="920">
        <f t="shared" si="164"/>
        <v>22.42944</v>
      </c>
      <c r="N1616" s="920">
        <f t="shared" si="165"/>
        <v>20</v>
      </c>
      <c r="O1616" s="918" t="str">
        <f t="shared" si="166"/>
        <v>Feb</v>
      </c>
      <c r="P1616" s="921">
        <f t="shared" si="167"/>
        <v>8</v>
      </c>
    </row>
    <row r="1617" spans="1:16" ht="15" hidden="1" customHeight="1">
      <c r="A1617" s="839">
        <v>68709233</v>
      </c>
      <c r="B1617" s="839">
        <v>1352</v>
      </c>
      <c r="C1617" s="906">
        <v>600</v>
      </c>
      <c r="D1617" s="907">
        <v>46069</v>
      </c>
      <c r="E1617" s="839" t="s">
        <v>426</v>
      </c>
      <c r="F1617" s="839" t="s">
        <v>240</v>
      </c>
      <c r="G1617" s="916">
        <f>VLOOKUP($A1617,'Tech Litons'!$A:$I,8,FALSE)</f>
        <v>8.4960000000000001E-3</v>
      </c>
      <c r="H1617" s="917">
        <f>VLOOKUP($A1617,'Tech Litons'!$A:$I,9,FALSE)</f>
        <v>132</v>
      </c>
      <c r="I1617" s="917" t="str">
        <f>VLOOKUP($A1617,'Tech Litons'!$A:$C,3,0)</f>
        <v>EDF</v>
      </c>
      <c r="J1617" s="918" t="str">
        <f t="shared" si="163"/>
        <v>1352EDF</v>
      </c>
      <c r="K1617" s="919">
        <v>1</v>
      </c>
      <c r="L1617" s="920">
        <f t="shared" si="162"/>
        <v>600</v>
      </c>
      <c r="M1617" s="920">
        <f t="shared" si="164"/>
        <v>5.0975999999999999</v>
      </c>
      <c r="N1617" s="920">
        <f t="shared" si="165"/>
        <v>4.5454545454545459</v>
      </c>
      <c r="O1617" s="918" t="str">
        <f t="shared" si="166"/>
        <v>Feb</v>
      </c>
      <c r="P1617" s="921">
        <f t="shared" si="167"/>
        <v>8</v>
      </c>
    </row>
    <row r="1618" spans="1:16" ht="15" hidden="1" customHeight="1">
      <c r="A1618" s="839">
        <v>68709233</v>
      </c>
      <c r="B1618" s="839">
        <v>1352</v>
      </c>
      <c r="C1618" s="906">
        <v>4395</v>
      </c>
      <c r="D1618" s="907">
        <v>46065</v>
      </c>
      <c r="E1618" s="839" t="s">
        <v>426</v>
      </c>
      <c r="F1618" s="839" t="s">
        <v>240</v>
      </c>
      <c r="G1618" s="916">
        <f>VLOOKUP($A1618,'Tech Litons'!$A:$I,8,FALSE)</f>
        <v>8.4960000000000001E-3</v>
      </c>
      <c r="H1618" s="917">
        <f>VLOOKUP($A1618,'Tech Litons'!$A:$I,9,FALSE)</f>
        <v>132</v>
      </c>
      <c r="I1618" s="917" t="str">
        <f>VLOOKUP($A1618,'Tech Litons'!$A:$C,3,0)</f>
        <v>EDF</v>
      </c>
      <c r="J1618" s="918" t="str">
        <f t="shared" si="163"/>
        <v>1352EDF</v>
      </c>
      <c r="K1618" s="919">
        <v>1</v>
      </c>
      <c r="L1618" s="920">
        <f t="shared" si="162"/>
        <v>4395</v>
      </c>
      <c r="M1618" s="920">
        <f t="shared" si="164"/>
        <v>37.339919999999999</v>
      </c>
      <c r="N1618" s="920">
        <f t="shared" si="165"/>
        <v>33.295454545454547</v>
      </c>
      <c r="O1618" s="918" t="str">
        <f t="shared" si="166"/>
        <v>Feb</v>
      </c>
      <c r="P1618" s="921">
        <f t="shared" si="167"/>
        <v>7</v>
      </c>
    </row>
    <row r="1619" spans="1:16" ht="15" hidden="1" customHeight="1">
      <c r="A1619" s="839">
        <v>68709237</v>
      </c>
      <c r="B1619" s="839">
        <v>1352</v>
      </c>
      <c r="C1619" s="906">
        <v>1848</v>
      </c>
      <c r="D1619" s="907">
        <v>46070</v>
      </c>
      <c r="E1619" s="839" t="s">
        <v>459</v>
      </c>
      <c r="F1619" s="839" t="s">
        <v>241</v>
      </c>
      <c r="G1619" s="916">
        <f>VLOOKUP($A1619,'Tech Litons'!$A:$I,8,FALSE)</f>
        <v>9.5760000000000012E-3</v>
      </c>
      <c r="H1619" s="917">
        <f>VLOOKUP($A1619,'Tech Litons'!$A:$I,9,FALSE)</f>
        <v>132</v>
      </c>
      <c r="I1619" s="917" t="str">
        <f>VLOOKUP($A1619,'Tech Litons'!$A:$C,3,0)</f>
        <v>EDF</v>
      </c>
      <c r="J1619" s="918" t="str">
        <f t="shared" si="163"/>
        <v>1352EDF</v>
      </c>
      <c r="K1619" s="919">
        <v>1</v>
      </c>
      <c r="L1619" s="920">
        <f t="shared" si="162"/>
        <v>1848</v>
      </c>
      <c r="M1619" s="920">
        <f t="shared" si="164"/>
        <v>17.696448000000004</v>
      </c>
      <c r="N1619" s="920">
        <f t="shared" si="165"/>
        <v>14</v>
      </c>
      <c r="O1619" s="918" t="str">
        <f t="shared" si="166"/>
        <v>Feb</v>
      </c>
      <c r="P1619" s="921">
        <f t="shared" si="167"/>
        <v>8</v>
      </c>
    </row>
    <row r="1620" spans="1:16" ht="15" hidden="1" customHeight="1">
      <c r="A1620" s="839">
        <v>68709237</v>
      </c>
      <c r="B1620" s="839">
        <v>1352</v>
      </c>
      <c r="C1620" s="906">
        <v>3498</v>
      </c>
      <c r="D1620" s="907">
        <v>46071</v>
      </c>
      <c r="E1620" s="839" t="s">
        <v>459</v>
      </c>
      <c r="F1620" s="839" t="s">
        <v>241</v>
      </c>
      <c r="G1620" s="916">
        <f>VLOOKUP($A1620,'Tech Litons'!$A:$I,8,FALSE)</f>
        <v>9.5760000000000012E-3</v>
      </c>
      <c r="H1620" s="917">
        <f>VLOOKUP($A1620,'Tech Litons'!$A:$I,9,FALSE)</f>
        <v>132</v>
      </c>
      <c r="I1620" s="917" t="str">
        <f>VLOOKUP($A1620,'Tech Litons'!$A:$C,3,0)</f>
        <v>EDF</v>
      </c>
      <c r="J1620" s="918" t="str">
        <f t="shared" si="163"/>
        <v>1352EDF</v>
      </c>
      <c r="K1620" s="919">
        <v>1</v>
      </c>
      <c r="L1620" s="920">
        <f t="shared" ref="L1620:L1683" si="168">C1620*$K1620</f>
        <v>3498</v>
      </c>
      <c r="M1620" s="920">
        <f t="shared" si="164"/>
        <v>33.496848000000007</v>
      </c>
      <c r="N1620" s="920">
        <f t="shared" si="165"/>
        <v>26.5</v>
      </c>
      <c r="O1620" s="918" t="str">
        <f t="shared" si="166"/>
        <v>Feb</v>
      </c>
      <c r="P1620" s="921">
        <f t="shared" si="167"/>
        <v>8</v>
      </c>
    </row>
    <row r="1621" spans="1:16" ht="15" hidden="1" customHeight="1">
      <c r="A1621" s="839">
        <v>68709237</v>
      </c>
      <c r="B1621" s="839">
        <v>1352</v>
      </c>
      <c r="C1621" s="906">
        <v>660</v>
      </c>
      <c r="D1621" s="907">
        <v>46072</v>
      </c>
      <c r="E1621" s="839" t="s">
        <v>459</v>
      </c>
      <c r="F1621" s="839" t="s">
        <v>241</v>
      </c>
      <c r="G1621" s="916">
        <f>VLOOKUP($A1621,'Tech Litons'!$A:$I,8,FALSE)</f>
        <v>9.5760000000000012E-3</v>
      </c>
      <c r="H1621" s="917">
        <f>VLOOKUP($A1621,'Tech Litons'!$A:$I,9,FALSE)</f>
        <v>132</v>
      </c>
      <c r="I1621" s="917" t="str">
        <f>VLOOKUP($A1621,'Tech Litons'!$A:$C,3,0)</f>
        <v>EDF</v>
      </c>
      <c r="J1621" s="918" t="str">
        <f t="shared" ref="J1621:J1684" si="169">B1621&amp;I1621</f>
        <v>1352EDF</v>
      </c>
      <c r="K1621" s="919">
        <v>1</v>
      </c>
      <c r="L1621" s="920">
        <f t="shared" si="168"/>
        <v>660</v>
      </c>
      <c r="M1621" s="920">
        <f t="shared" ref="M1621:M1684" si="170">L1621*G1621</f>
        <v>6.3201600000000004</v>
      </c>
      <c r="N1621" s="920">
        <f t="shared" ref="N1621:N1684" si="171">L1621/H1621</f>
        <v>5</v>
      </c>
      <c r="O1621" s="918" t="str">
        <f t="shared" ref="O1621:O1684" si="172">TEXT(D1621,"MMM")</f>
        <v>Feb</v>
      </c>
      <c r="P1621" s="921">
        <f t="shared" ref="P1621:P1684" si="173">WEEKNUM(D1621)</f>
        <v>8</v>
      </c>
    </row>
    <row r="1622" spans="1:16" ht="15" hidden="1" customHeight="1">
      <c r="A1622" s="839">
        <v>68709237</v>
      </c>
      <c r="B1622" s="839">
        <v>1352</v>
      </c>
      <c r="C1622" s="906">
        <v>3682</v>
      </c>
      <c r="D1622" s="907">
        <v>46073</v>
      </c>
      <c r="E1622" s="839" t="s">
        <v>459</v>
      </c>
      <c r="F1622" s="839" t="s">
        <v>241</v>
      </c>
      <c r="G1622" s="916">
        <f>VLOOKUP($A1622,'Tech Litons'!$A:$I,8,FALSE)</f>
        <v>9.5760000000000012E-3</v>
      </c>
      <c r="H1622" s="917">
        <f>VLOOKUP($A1622,'Tech Litons'!$A:$I,9,FALSE)</f>
        <v>132</v>
      </c>
      <c r="I1622" s="917" t="str">
        <f>VLOOKUP($A1622,'Tech Litons'!$A:$C,3,0)</f>
        <v>EDF</v>
      </c>
      <c r="J1622" s="918" t="str">
        <f t="shared" si="169"/>
        <v>1352EDF</v>
      </c>
      <c r="K1622" s="919">
        <v>1</v>
      </c>
      <c r="L1622" s="920">
        <f t="shared" si="168"/>
        <v>3682</v>
      </c>
      <c r="M1622" s="920">
        <f t="shared" si="170"/>
        <v>35.258832000000005</v>
      </c>
      <c r="N1622" s="920">
        <f t="shared" si="171"/>
        <v>27.893939393939394</v>
      </c>
      <c r="O1622" s="918" t="str">
        <f t="shared" si="172"/>
        <v>Feb</v>
      </c>
      <c r="P1622" s="921">
        <f t="shared" si="173"/>
        <v>8</v>
      </c>
    </row>
    <row r="1623" spans="1:16" ht="15" hidden="1" customHeight="1">
      <c r="A1623" s="839">
        <v>68709237</v>
      </c>
      <c r="B1623" s="839">
        <v>1352</v>
      </c>
      <c r="C1623" s="906">
        <v>2251</v>
      </c>
      <c r="D1623" s="907">
        <v>46073</v>
      </c>
      <c r="E1623" s="839" t="s">
        <v>459</v>
      </c>
      <c r="F1623" s="839" t="s">
        <v>241</v>
      </c>
      <c r="G1623" s="916">
        <f>VLOOKUP($A1623,'Tech Litons'!$A:$I,8,FALSE)</f>
        <v>9.5760000000000012E-3</v>
      </c>
      <c r="H1623" s="917">
        <f>VLOOKUP($A1623,'Tech Litons'!$A:$I,9,FALSE)</f>
        <v>132</v>
      </c>
      <c r="I1623" s="917" t="str">
        <f>VLOOKUP($A1623,'Tech Litons'!$A:$C,3,0)</f>
        <v>EDF</v>
      </c>
      <c r="J1623" s="918" t="str">
        <f t="shared" si="169"/>
        <v>1352EDF</v>
      </c>
      <c r="K1623" s="919">
        <v>1</v>
      </c>
      <c r="L1623" s="920">
        <f t="shared" si="168"/>
        <v>2251</v>
      </c>
      <c r="M1623" s="920">
        <f t="shared" si="170"/>
        <v>21.555576000000002</v>
      </c>
      <c r="N1623" s="920">
        <f t="shared" si="171"/>
        <v>17.053030303030305</v>
      </c>
      <c r="O1623" s="918" t="str">
        <f t="shared" si="172"/>
        <v>Feb</v>
      </c>
      <c r="P1623" s="921">
        <f t="shared" si="173"/>
        <v>8</v>
      </c>
    </row>
    <row r="1624" spans="1:16" ht="15" hidden="1" customHeight="1">
      <c r="A1624" s="839">
        <v>68709237</v>
      </c>
      <c r="B1624" s="839">
        <v>1352</v>
      </c>
      <c r="C1624" s="906">
        <v>4031</v>
      </c>
      <c r="D1624" s="907">
        <v>46074</v>
      </c>
      <c r="E1624" s="839" t="s">
        <v>459</v>
      </c>
      <c r="F1624" s="839" t="s">
        <v>241</v>
      </c>
      <c r="G1624" s="916">
        <f>VLOOKUP($A1624,'Tech Litons'!$A:$I,8,FALSE)</f>
        <v>9.5760000000000012E-3</v>
      </c>
      <c r="H1624" s="917">
        <f>VLOOKUP($A1624,'Tech Litons'!$A:$I,9,FALSE)</f>
        <v>132</v>
      </c>
      <c r="I1624" s="917" t="str">
        <f>VLOOKUP($A1624,'Tech Litons'!$A:$C,3,0)</f>
        <v>EDF</v>
      </c>
      <c r="J1624" s="918" t="str">
        <f t="shared" si="169"/>
        <v>1352EDF</v>
      </c>
      <c r="K1624" s="919">
        <v>1</v>
      </c>
      <c r="L1624" s="920">
        <f t="shared" si="168"/>
        <v>4031</v>
      </c>
      <c r="M1624" s="920">
        <f t="shared" si="170"/>
        <v>38.600856000000007</v>
      </c>
      <c r="N1624" s="920">
        <f t="shared" si="171"/>
        <v>30.537878787878789</v>
      </c>
      <c r="O1624" s="918" t="str">
        <f t="shared" si="172"/>
        <v>Feb</v>
      </c>
      <c r="P1624" s="921">
        <f t="shared" si="173"/>
        <v>8</v>
      </c>
    </row>
    <row r="1625" spans="1:16" ht="15" hidden="1" customHeight="1">
      <c r="A1625" s="839">
        <v>68709237</v>
      </c>
      <c r="B1625" s="839">
        <v>1352</v>
      </c>
      <c r="C1625" s="906">
        <v>1848</v>
      </c>
      <c r="D1625" s="907">
        <v>46074</v>
      </c>
      <c r="E1625" s="839" t="s">
        <v>459</v>
      </c>
      <c r="F1625" s="839" t="s">
        <v>241</v>
      </c>
      <c r="G1625" s="916">
        <f>VLOOKUP($A1625,'Tech Litons'!$A:$I,8,FALSE)</f>
        <v>9.5760000000000012E-3</v>
      </c>
      <c r="H1625" s="917">
        <f>VLOOKUP($A1625,'Tech Litons'!$A:$I,9,FALSE)</f>
        <v>132</v>
      </c>
      <c r="I1625" s="917" t="str">
        <f>VLOOKUP($A1625,'Tech Litons'!$A:$C,3,0)</f>
        <v>EDF</v>
      </c>
      <c r="J1625" s="918" t="str">
        <f t="shared" si="169"/>
        <v>1352EDF</v>
      </c>
      <c r="K1625" s="919">
        <v>1</v>
      </c>
      <c r="L1625" s="920">
        <f t="shared" si="168"/>
        <v>1848</v>
      </c>
      <c r="M1625" s="920">
        <f t="shared" si="170"/>
        <v>17.696448000000004</v>
      </c>
      <c r="N1625" s="920">
        <f t="shared" si="171"/>
        <v>14</v>
      </c>
      <c r="O1625" s="918" t="str">
        <f t="shared" si="172"/>
        <v>Feb</v>
      </c>
      <c r="P1625" s="921">
        <f t="shared" si="173"/>
        <v>8</v>
      </c>
    </row>
    <row r="1626" spans="1:16" ht="15" hidden="1" customHeight="1">
      <c r="A1626" s="839">
        <v>68709237</v>
      </c>
      <c r="B1626" s="839">
        <v>1352</v>
      </c>
      <c r="C1626" s="906">
        <v>2497</v>
      </c>
      <c r="D1626" s="907">
        <v>46075</v>
      </c>
      <c r="E1626" s="839" t="s">
        <v>459</v>
      </c>
      <c r="F1626" s="839" t="s">
        <v>241</v>
      </c>
      <c r="G1626" s="916">
        <f>VLOOKUP($A1626,'Tech Litons'!$A:$I,8,FALSE)</f>
        <v>9.5760000000000012E-3</v>
      </c>
      <c r="H1626" s="917">
        <f>VLOOKUP($A1626,'Tech Litons'!$A:$I,9,FALSE)</f>
        <v>132</v>
      </c>
      <c r="I1626" s="917" t="str">
        <f>VLOOKUP($A1626,'Tech Litons'!$A:$C,3,0)</f>
        <v>EDF</v>
      </c>
      <c r="J1626" s="918" t="str">
        <f t="shared" si="169"/>
        <v>1352EDF</v>
      </c>
      <c r="K1626" s="919">
        <v>1</v>
      </c>
      <c r="L1626" s="920">
        <f t="shared" si="168"/>
        <v>2497</v>
      </c>
      <c r="M1626" s="920">
        <f t="shared" si="170"/>
        <v>23.911272000000004</v>
      </c>
      <c r="N1626" s="920">
        <f t="shared" si="171"/>
        <v>18.916666666666668</v>
      </c>
      <c r="O1626" s="918" t="str">
        <f t="shared" si="172"/>
        <v>Feb</v>
      </c>
      <c r="P1626" s="921">
        <f t="shared" si="173"/>
        <v>9</v>
      </c>
    </row>
    <row r="1627" spans="1:16" ht="15" hidden="1" customHeight="1">
      <c r="A1627" s="839">
        <v>68709237</v>
      </c>
      <c r="B1627" s="839">
        <v>1352</v>
      </c>
      <c r="C1627" s="906">
        <v>2508</v>
      </c>
      <c r="D1627" s="907">
        <v>46069</v>
      </c>
      <c r="E1627" s="839" t="s">
        <v>459</v>
      </c>
      <c r="F1627" s="839" t="s">
        <v>241</v>
      </c>
      <c r="G1627" s="916">
        <f>VLOOKUP($A1627,'Tech Litons'!$A:$I,8,FALSE)</f>
        <v>9.5760000000000012E-3</v>
      </c>
      <c r="H1627" s="917">
        <f>VLOOKUP($A1627,'Tech Litons'!$A:$I,9,FALSE)</f>
        <v>132</v>
      </c>
      <c r="I1627" s="917" t="str">
        <f>VLOOKUP($A1627,'Tech Litons'!$A:$C,3,0)</f>
        <v>EDF</v>
      </c>
      <c r="J1627" s="918" t="str">
        <f t="shared" si="169"/>
        <v>1352EDF</v>
      </c>
      <c r="K1627" s="919">
        <v>1</v>
      </c>
      <c r="L1627" s="920">
        <f t="shared" si="168"/>
        <v>2508</v>
      </c>
      <c r="M1627" s="920">
        <f t="shared" si="170"/>
        <v>24.016608000000002</v>
      </c>
      <c r="N1627" s="920">
        <f t="shared" si="171"/>
        <v>19</v>
      </c>
      <c r="O1627" s="918" t="str">
        <f t="shared" si="172"/>
        <v>Feb</v>
      </c>
      <c r="P1627" s="921">
        <f t="shared" si="173"/>
        <v>8</v>
      </c>
    </row>
    <row r="1628" spans="1:16" ht="15" hidden="1" customHeight="1">
      <c r="A1628" s="839">
        <v>68709237</v>
      </c>
      <c r="B1628" s="839">
        <v>1352</v>
      </c>
      <c r="C1628" s="906">
        <v>3488</v>
      </c>
      <c r="D1628" s="907">
        <v>46070</v>
      </c>
      <c r="E1628" s="839" t="s">
        <v>459</v>
      </c>
      <c r="F1628" s="839" t="s">
        <v>241</v>
      </c>
      <c r="G1628" s="916">
        <f>VLOOKUP($A1628,'Tech Litons'!$A:$I,8,FALSE)</f>
        <v>9.5760000000000012E-3</v>
      </c>
      <c r="H1628" s="917">
        <f>VLOOKUP($A1628,'Tech Litons'!$A:$I,9,FALSE)</f>
        <v>132</v>
      </c>
      <c r="I1628" s="917" t="str">
        <f>VLOOKUP($A1628,'Tech Litons'!$A:$C,3,0)</f>
        <v>EDF</v>
      </c>
      <c r="J1628" s="918" t="str">
        <f t="shared" si="169"/>
        <v>1352EDF</v>
      </c>
      <c r="K1628" s="919">
        <v>1</v>
      </c>
      <c r="L1628" s="920">
        <f t="shared" si="168"/>
        <v>3488</v>
      </c>
      <c r="M1628" s="920">
        <f t="shared" si="170"/>
        <v>33.401088000000001</v>
      </c>
      <c r="N1628" s="920">
        <f t="shared" si="171"/>
        <v>26.424242424242426</v>
      </c>
      <c r="O1628" s="918" t="str">
        <f t="shared" si="172"/>
        <v>Feb</v>
      </c>
      <c r="P1628" s="921">
        <f t="shared" si="173"/>
        <v>8</v>
      </c>
    </row>
    <row r="1629" spans="1:16" ht="15" hidden="1" customHeight="1">
      <c r="A1629" s="839">
        <v>68709237</v>
      </c>
      <c r="B1629" s="839">
        <v>1352</v>
      </c>
      <c r="C1629" s="906">
        <v>13</v>
      </c>
      <c r="D1629" s="907">
        <v>46068</v>
      </c>
      <c r="E1629" s="839" t="s">
        <v>459</v>
      </c>
      <c r="F1629" s="839" t="s">
        <v>241</v>
      </c>
      <c r="G1629" s="916">
        <f>VLOOKUP($A1629,'Tech Litons'!$A:$I,8,FALSE)</f>
        <v>9.5760000000000012E-3</v>
      </c>
      <c r="H1629" s="917">
        <f>VLOOKUP($A1629,'Tech Litons'!$A:$I,9,FALSE)</f>
        <v>132</v>
      </c>
      <c r="I1629" s="917" t="str">
        <f>VLOOKUP($A1629,'Tech Litons'!$A:$C,3,0)</f>
        <v>EDF</v>
      </c>
      <c r="J1629" s="918" t="str">
        <f t="shared" si="169"/>
        <v>1352EDF</v>
      </c>
      <c r="K1629" s="919">
        <v>1</v>
      </c>
      <c r="L1629" s="920">
        <f t="shared" si="168"/>
        <v>13</v>
      </c>
      <c r="M1629" s="920">
        <f t="shared" si="170"/>
        <v>0.12448800000000002</v>
      </c>
      <c r="N1629" s="920">
        <f t="shared" si="171"/>
        <v>9.8484848484848481E-2</v>
      </c>
      <c r="O1629" s="918" t="str">
        <f t="shared" si="172"/>
        <v>Feb</v>
      </c>
      <c r="P1629" s="921">
        <f t="shared" si="173"/>
        <v>8</v>
      </c>
    </row>
    <row r="1630" spans="1:16" ht="15" hidden="1" customHeight="1">
      <c r="A1630" s="839">
        <v>68709237</v>
      </c>
      <c r="B1630" s="839">
        <v>1352</v>
      </c>
      <c r="C1630" s="906">
        <v>3623</v>
      </c>
      <c r="D1630" s="907">
        <v>46069</v>
      </c>
      <c r="E1630" s="839" t="s">
        <v>459</v>
      </c>
      <c r="F1630" s="839" t="s">
        <v>241</v>
      </c>
      <c r="G1630" s="916">
        <f>VLOOKUP($A1630,'Tech Litons'!$A:$I,8,FALSE)</f>
        <v>9.5760000000000012E-3</v>
      </c>
      <c r="H1630" s="917">
        <f>VLOOKUP($A1630,'Tech Litons'!$A:$I,9,FALSE)</f>
        <v>132</v>
      </c>
      <c r="I1630" s="917" t="str">
        <f>VLOOKUP($A1630,'Tech Litons'!$A:$C,3,0)</f>
        <v>EDF</v>
      </c>
      <c r="J1630" s="918" t="str">
        <f t="shared" si="169"/>
        <v>1352EDF</v>
      </c>
      <c r="K1630" s="919">
        <v>1</v>
      </c>
      <c r="L1630" s="920">
        <f t="shared" si="168"/>
        <v>3623</v>
      </c>
      <c r="M1630" s="920">
        <f t="shared" si="170"/>
        <v>34.693848000000003</v>
      </c>
      <c r="N1630" s="920">
        <f t="shared" si="171"/>
        <v>27.446969696969695</v>
      </c>
      <c r="O1630" s="918" t="str">
        <f t="shared" si="172"/>
        <v>Feb</v>
      </c>
      <c r="P1630" s="921">
        <f t="shared" si="173"/>
        <v>8</v>
      </c>
    </row>
    <row r="1631" spans="1:16" ht="15" hidden="1" customHeight="1">
      <c r="A1631" s="839">
        <v>68710285</v>
      </c>
      <c r="B1631" s="839">
        <v>1352</v>
      </c>
      <c r="C1631" s="906">
        <v>3340</v>
      </c>
      <c r="D1631" s="907">
        <v>46055</v>
      </c>
      <c r="E1631" s="839" t="s">
        <v>367</v>
      </c>
      <c r="F1631" s="839" t="s">
        <v>242</v>
      </c>
      <c r="G1631" s="916">
        <f>VLOOKUP($A1631,'Tech Litons'!$A:$I,8,FALSE)</f>
        <v>9.5760000000000012E-3</v>
      </c>
      <c r="H1631" s="917">
        <f>VLOOKUP($A1631,'Tech Litons'!$A:$I,9,FALSE)</f>
        <v>132</v>
      </c>
      <c r="I1631" s="917" t="str">
        <f>VLOOKUP($A1631,'Tech Litons'!$A:$C,3,0)</f>
        <v>EDF</v>
      </c>
      <c r="J1631" s="918" t="str">
        <f t="shared" si="169"/>
        <v>1352EDF</v>
      </c>
      <c r="K1631" s="919">
        <v>1</v>
      </c>
      <c r="L1631" s="920">
        <f t="shared" si="168"/>
        <v>3340</v>
      </c>
      <c r="M1631" s="920">
        <f t="shared" si="170"/>
        <v>31.983840000000004</v>
      </c>
      <c r="N1631" s="920">
        <f t="shared" si="171"/>
        <v>25.303030303030305</v>
      </c>
      <c r="O1631" s="918" t="str">
        <f t="shared" si="172"/>
        <v>Feb</v>
      </c>
      <c r="P1631" s="921">
        <f t="shared" si="173"/>
        <v>6</v>
      </c>
    </row>
    <row r="1632" spans="1:16" ht="15" hidden="1" customHeight="1">
      <c r="A1632" s="839">
        <v>68710285</v>
      </c>
      <c r="B1632" s="839">
        <v>1352</v>
      </c>
      <c r="C1632" s="906">
        <v>132</v>
      </c>
      <c r="D1632" s="907">
        <v>46057</v>
      </c>
      <c r="E1632" s="839" t="s">
        <v>367</v>
      </c>
      <c r="F1632" s="839" t="s">
        <v>242</v>
      </c>
      <c r="G1632" s="916">
        <f>VLOOKUP($A1632,'Tech Litons'!$A:$I,8,FALSE)</f>
        <v>9.5760000000000012E-3</v>
      </c>
      <c r="H1632" s="917">
        <f>VLOOKUP($A1632,'Tech Litons'!$A:$I,9,FALSE)</f>
        <v>132</v>
      </c>
      <c r="I1632" s="917" t="str">
        <f>VLOOKUP($A1632,'Tech Litons'!$A:$C,3,0)</f>
        <v>EDF</v>
      </c>
      <c r="J1632" s="918" t="str">
        <f t="shared" si="169"/>
        <v>1352EDF</v>
      </c>
      <c r="K1632" s="919">
        <v>1</v>
      </c>
      <c r="L1632" s="920">
        <f t="shared" si="168"/>
        <v>132</v>
      </c>
      <c r="M1632" s="920">
        <f t="shared" si="170"/>
        <v>1.2640320000000003</v>
      </c>
      <c r="N1632" s="920">
        <f t="shared" si="171"/>
        <v>1</v>
      </c>
      <c r="O1632" s="918" t="str">
        <f t="shared" si="172"/>
        <v>Feb</v>
      </c>
      <c r="P1632" s="921">
        <f t="shared" si="173"/>
        <v>6</v>
      </c>
    </row>
    <row r="1633" spans="1:16" ht="15" hidden="1" customHeight="1">
      <c r="A1633" s="839">
        <v>68710285</v>
      </c>
      <c r="B1633" s="839">
        <v>1352</v>
      </c>
      <c r="C1633" s="906">
        <v>3398</v>
      </c>
      <c r="D1633" s="907">
        <v>46050</v>
      </c>
      <c r="E1633" s="839" t="s">
        <v>367</v>
      </c>
      <c r="F1633" s="839" t="s">
        <v>242</v>
      </c>
      <c r="G1633" s="916">
        <f>VLOOKUP($A1633,'Tech Litons'!$A:$I,8,FALSE)</f>
        <v>9.5760000000000012E-3</v>
      </c>
      <c r="H1633" s="917">
        <f>VLOOKUP($A1633,'Tech Litons'!$A:$I,9,FALSE)</f>
        <v>132</v>
      </c>
      <c r="I1633" s="917" t="str">
        <f>VLOOKUP($A1633,'Tech Litons'!$A:$C,3,0)</f>
        <v>EDF</v>
      </c>
      <c r="J1633" s="918" t="str">
        <f t="shared" si="169"/>
        <v>1352EDF</v>
      </c>
      <c r="K1633" s="919">
        <v>1</v>
      </c>
      <c r="L1633" s="920">
        <f t="shared" si="168"/>
        <v>3398</v>
      </c>
      <c r="M1633" s="920">
        <f t="shared" si="170"/>
        <v>32.539248000000001</v>
      </c>
      <c r="N1633" s="920">
        <f t="shared" si="171"/>
        <v>25.742424242424242</v>
      </c>
      <c r="O1633" s="918" t="str">
        <f t="shared" si="172"/>
        <v>Jan</v>
      </c>
      <c r="P1633" s="921">
        <f t="shared" si="173"/>
        <v>5</v>
      </c>
    </row>
    <row r="1634" spans="1:16" ht="15" hidden="1" customHeight="1">
      <c r="A1634" s="839">
        <v>68710285</v>
      </c>
      <c r="B1634" s="839">
        <v>1352</v>
      </c>
      <c r="C1634" s="906">
        <v>1980</v>
      </c>
      <c r="D1634" s="907">
        <v>46050</v>
      </c>
      <c r="E1634" s="839" t="s">
        <v>367</v>
      </c>
      <c r="F1634" s="839" t="s">
        <v>242</v>
      </c>
      <c r="G1634" s="916">
        <f>VLOOKUP($A1634,'Tech Litons'!$A:$I,8,FALSE)</f>
        <v>9.5760000000000012E-3</v>
      </c>
      <c r="H1634" s="917">
        <f>VLOOKUP($A1634,'Tech Litons'!$A:$I,9,FALSE)</f>
        <v>132</v>
      </c>
      <c r="I1634" s="917" t="str">
        <f>VLOOKUP($A1634,'Tech Litons'!$A:$C,3,0)</f>
        <v>EDF</v>
      </c>
      <c r="J1634" s="918" t="str">
        <f t="shared" si="169"/>
        <v>1352EDF</v>
      </c>
      <c r="K1634" s="919">
        <v>1</v>
      </c>
      <c r="L1634" s="920">
        <f t="shared" si="168"/>
        <v>1980</v>
      </c>
      <c r="M1634" s="920">
        <f t="shared" si="170"/>
        <v>18.960480000000004</v>
      </c>
      <c r="N1634" s="920">
        <f t="shared" si="171"/>
        <v>15</v>
      </c>
      <c r="O1634" s="918" t="str">
        <f t="shared" si="172"/>
        <v>Jan</v>
      </c>
      <c r="P1634" s="921">
        <f t="shared" si="173"/>
        <v>5</v>
      </c>
    </row>
    <row r="1635" spans="1:16" ht="15" hidden="1" customHeight="1">
      <c r="A1635" s="839">
        <v>68710285</v>
      </c>
      <c r="B1635" s="839">
        <v>1352</v>
      </c>
      <c r="C1635" s="906">
        <v>1531</v>
      </c>
      <c r="D1635" s="907">
        <v>46051</v>
      </c>
      <c r="E1635" s="839" t="s">
        <v>367</v>
      </c>
      <c r="F1635" s="839" t="s">
        <v>242</v>
      </c>
      <c r="G1635" s="916">
        <f>VLOOKUP($A1635,'Tech Litons'!$A:$I,8,FALSE)</f>
        <v>9.5760000000000012E-3</v>
      </c>
      <c r="H1635" s="917">
        <f>VLOOKUP($A1635,'Tech Litons'!$A:$I,9,FALSE)</f>
        <v>132</v>
      </c>
      <c r="I1635" s="917" t="str">
        <f>VLOOKUP($A1635,'Tech Litons'!$A:$C,3,0)</f>
        <v>EDF</v>
      </c>
      <c r="J1635" s="918" t="str">
        <f t="shared" si="169"/>
        <v>1352EDF</v>
      </c>
      <c r="K1635" s="919">
        <v>1</v>
      </c>
      <c r="L1635" s="920">
        <f t="shared" si="168"/>
        <v>1531</v>
      </c>
      <c r="M1635" s="920">
        <f t="shared" si="170"/>
        <v>14.660856000000003</v>
      </c>
      <c r="N1635" s="920">
        <f t="shared" si="171"/>
        <v>11.598484848484848</v>
      </c>
      <c r="O1635" s="918" t="str">
        <f t="shared" si="172"/>
        <v>Jan</v>
      </c>
      <c r="P1635" s="921">
        <f t="shared" si="173"/>
        <v>5</v>
      </c>
    </row>
    <row r="1636" spans="1:16" ht="15" hidden="1" customHeight="1">
      <c r="A1636" s="839">
        <v>68710285</v>
      </c>
      <c r="B1636" s="839">
        <v>1352</v>
      </c>
      <c r="C1636" s="906">
        <v>2640</v>
      </c>
      <c r="D1636" s="907">
        <v>46051</v>
      </c>
      <c r="E1636" s="839" t="s">
        <v>367</v>
      </c>
      <c r="F1636" s="839" t="s">
        <v>242</v>
      </c>
      <c r="G1636" s="916">
        <f>VLOOKUP($A1636,'Tech Litons'!$A:$I,8,FALSE)</f>
        <v>9.5760000000000012E-3</v>
      </c>
      <c r="H1636" s="917">
        <f>VLOOKUP($A1636,'Tech Litons'!$A:$I,9,FALSE)</f>
        <v>132</v>
      </c>
      <c r="I1636" s="917" t="str">
        <f>VLOOKUP($A1636,'Tech Litons'!$A:$C,3,0)</f>
        <v>EDF</v>
      </c>
      <c r="J1636" s="918" t="str">
        <f t="shared" si="169"/>
        <v>1352EDF</v>
      </c>
      <c r="K1636" s="919">
        <v>1</v>
      </c>
      <c r="L1636" s="920">
        <f t="shared" si="168"/>
        <v>2640</v>
      </c>
      <c r="M1636" s="920">
        <f t="shared" si="170"/>
        <v>25.280640000000002</v>
      </c>
      <c r="N1636" s="920">
        <f t="shared" si="171"/>
        <v>20</v>
      </c>
      <c r="O1636" s="918" t="str">
        <f t="shared" si="172"/>
        <v>Jan</v>
      </c>
      <c r="P1636" s="921">
        <f t="shared" si="173"/>
        <v>5</v>
      </c>
    </row>
    <row r="1637" spans="1:16" ht="15" hidden="1" customHeight="1">
      <c r="A1637" s="839">
        <v>68710285</v>
      </c>
      <c r="B1637" s="839">
        <v>1352</v>
      </c>
      <c r="C1637" s="906">
        <v>1225</v>
      </c>
      <c r="D1637" s="907">
        <v>46052</v>
      </c>
      <c r="E1637" s="839" t="s">
        <v>367</v>
      </c>
      <c r="F1637" s="839" t="s">
        <v>242</v>
      </c>
      <c r="G1637" s="916">
        <f>VLOOKUP($A1637,'Tech Litons'!$A:$I,8,FALSE)</f>
        <v>9.5760000000000012E-3</v>
      </c>
      <c r="H1637" s="917">
        <f>VLOOKUP($A1637,'Tech Litons'!$A:$I,9,FALSE)</f>
        <v>132</v>
      </c>
      <c r="I1637" s="917" t="str">
        <f>VLOOKUP($A1637,'Tech Litons'!$A:$C,3,0)</f>
        <v>EDF</v>
      </c>
      <c r="J1637" s="918" t="str">
        <f t="shared" si="169"/>
        <v>1352EDF</v>
      </c>
      <c r="K1637" s="919">
        <v>1</v>
      </c>
      <c r="L1637" s="920">
        <f t="shared" si="168"/>
        <v>1225</v>
      </c>
      <c r="M1637" s="920">
        <f t="shared" si="170"/>
        <v>11.730600000000001</v>
      </c>
      <c r="N1637" s="920">
        <f t="shared" si="171"/>
        <v>9.2803030303030312</v>
      </c>
      <c r="O1637" s="918" t="str">
        <f t="shared" si="172"/>
        <v>Jan</v>
      </c>
      <c r="P1637" s="921">
        <f t="shared" si="173"/>
        <v>5</v>
      </c>
    </row>
    <row r="1638" spans="1:16" ht="15" hidden="1" customHeight="1">
      <c r="A1638" s="839">
        <v>68710285</v>
      </c>
      <c r="B1638" s="839">
        <v>1352</v>
      </c>
      <c r="C1638" s="906">
        <v>1452</v>
      </c>
      <c r="D1638" s="907">
        <v>46052</v>
      </c>
      <c r="E1638" s="839" t="s">
        <v>367</v>
      </c>
      <c r="F1638" s="839" t="s">
        <v>242</v>
      </c>
      <c r="G1638" s="916">
        <f>VLOOKUP($A1638,'Tech Litons'!$A:$I,8,FALSE)</f>
        <v>9.5760000000000012E-3</v>
      </c>
      <c r="H1638" s="917">
        <f>VLOOKUP($A1638,'Tech Litons'!$A:$I,9,FALSE)</f>
        <v>132</v>
      </c>
      <c r="I1638" s="917" t="str">
        <f>VLOOKUP($A1638,'Tech Litons'!$A:$C,3,0)</f>
        <v>EDF</v>
      </c>
      <c r="J1638" s="918" t="str">
        <f t="shared" si="169"/>
        <v>1352EDF</v>
      </c>
      <c r="K1638" s="919">
        <v>1</v>
      </c>
      <c r="L1638" s="920">
        <f t="shared" si="168"/>
        <v>1452</v>
      </c>
      <c r="M1638" s="920">
        <f t="shared" si="170"/>
        <v>13.904352000000001</v>
      </c>
      <c r="N1638" s="920">
        <f t="shared" si="171"/>
        <v>11</v>
      </c>
      <c r="O1638" s="918" t="str">
        <f t="shared" si="172"/>
        <v>Jan</v>
      </c>
      <c r="P1638" s="921">
        <f t="shared" si="173"/>
        <v>5</v>
      </c>
    </row>
    <row r="1639" spans="1:16" ht="15" hidden="1" customHeight="1">
      <c r="A1639" s="839">
        <v>68710285</v>
      </c>
      <c r="B1639" s="839">
        <v>1352</v>
      </c>
      <c r="C1639" s="906">
        <v>3824</v>
      </c>
      <c r="D1639" s="907">
        <v>46053</v>
      </c>
      <c r="E1639" s="839" t="s">
        <v>367</v>
      </c>
      <c r="F1639" s="839" t="s">
        <v>242</v>
      </c>
      <c r="G1639" s="916">
        <f>VLOOKUP($A1639,'Tech Litons'!$A:$I,8,FALSE)</f>
        <v>9.5760000000000012E-3</v>
      </c>
      <c r="H1639" s="917">
        <f>VLOOKUP($A1639,'Tech Litons'!$A:$I,9,FALSE)</f>
        <v>132</v>
      </c>
      <c r="I1639" s="917" t="str">
        <f>VLOOKUP($A1639,'Tech Litons'!$A:$C,3,0)</f>
        <v>EDF</v>
      </c>
      <c r="J1639" s="918" t="str">
        <f t="shared" si="169"/>
        <v>1352EDF</v>
      </c>
      <c r="K1639" s="919">
        <v>1</v>
      </c>
      <c r="L1639" s="920">
        <f t="shared" si="168"/>
        <v>3824</v>
      </c>
      <c r="M1639" s="920">
        <f t="shared" si="170"/>
        <v>36.618624000000004</v>
      </c>
      <c r="N1639" s="920">
        <f t="shared" si="171"/>
        <v>28.969696969696969</v>
      </c>
      <c r="O1639" s="918" t="str">
        <f t="shared" si="172"/>
        <v>Jan</v>
      </c>
      <c r="P1639" s="921">
        <f t="shared" si="173"/>
        <v>5</v>
      </c>
    </row>
    <row r="1640" spans="1:16" ht="15" hidden="1" customHeight="1">
      <c r="A1640" s="839">
        <v>68710285</v>
      </c>
      <c r="B1640" s="839">
        <v>1352</v>
      </c>
      <c r="C1640" s="906">
        <v>4224</v>
      </c>
      <c r="D1640" s="907">
        <v>46053</v>
      </c>
      <c r="E1640" s="839" t="s">
        <v>367</v>
      </c>
      <c r="F1640" s="839" t="s">
        <v>242</v>
      </c>
      <c r="G1640" s="916">
        <f>VLOOKUP($A1640,'Tech Litons'!$A:$I,8,FALSE)</f>
        <v>9.5760000000000012E-3</v>
      </c>
      <c r="H1640" s="917">
        <f>VLOOKUP($A1640,'Tech Litons'!$A:$I,9,FALSE)</f>
        <v>132</v>
      </c>
      <c r="I1640" s="917" t="str">
        <f>VLOOKUP($A1640,'Tech Litons'!$A:$C,3,0)</f>
        <v>EDF</v>
      </c>
      <c r="J1640" s="918" t="str">
        <f t="shared" si="169"/>
        <v>1352EDF</v>
      </c>
      <c r="K1640" s="919">
        <v>1</v>
      </c>
      <c r="L1640" s="920">
        <f t="shared" si="168"/>
        <v>4224</v>
      </c>
      <c r="M1640" s="920">
        <f t="shared" si="170"/>
        <v>40.449024000000009</v>
      </c>
      <c r="N1640" s="920">
        <f t="shared" si="171"/>
        <v>32</v>
      </c>
      <c r="O1640" s="918" t="str">
        <f t="shared" si="172"/>
        <v>Jan</v>
      </c>
      <c r="P1640" s="921">
        <f t="shared" si="173"/>
        <v>5</v>
      </c>
    </row>
    <row r="1641" spans="1:16" ht="15" hidden="1" customHeight="1">
      <c r="A1641" s="839">
        <v>68710285</v>
      </c>
      <c r="B1641" s="839">
        <v>1352</v>
      </c>
      <c r="C1641" s="906">
        <v>2434</v>
      </c>
      <c r="D1641" s="907">
        <v>46054</v>
      </c>
      <c r="E1641" s="839" t="s">
        <v>367</v>
      </c>
      <c r="F1641" s="839" t="s">
        <v>242</v>
      </c>
      <c r="G1641" s="916">
        <f>VLOOKUP($A1641,'Tech Litons'!$A:$I,8,FALSE)</f>
        <v>9.5760000000000012E-3</v>
      </c>
      <c r="H1641" s="917">
        <f>VLOOKUP($A1641,'Tech Litons'!$A:$I,9,FALSE)</f>
        <v>132</v>
      </c>
      <c r="I1641" s="917" t="str">
        <f>VLOOKUP($A1641,'Tech Litons'!$A:$C,3,0)</f>
        <v>EDF</v>
      </c>
      <c r="J1641" s="918" t="str">
        <f t="shared" si="169"/>
        <v>1352EDF</v>
      </c>
      <c r="K1641" s="919">
        <v>1</v>
      </c>
      <c r="L1641" s="920">
        <f t="shared" si="168"/>
        <v>2434</v>
      </c>
      <c r="M1641" s="920">
        <f t="shared" si="170"/>
        <v>23.307984000000001</v>
      </c>
      <c r="N1641" s="920">
        <f t="shared" si="171"/>
        <v>18.439393939393938</v>
      </c>
      <c r="O1641" s="918" t="str">
        <f t="shared" si="172"/>
        <v>Feb</v>
      </c>
      <c r="P1641" s="921">
        <f t="shared" si="173"/>
        <v>6</v>
      </c>
    </row>
    <row r="1642" spans="1:16" ht="15" hidden="1" customHeight="1">
      <c r="A1642" s="839">
        <v>68710285</v>
      </c>
      <c r="B1642" s="839">
        <v>1352</v>
      </c>
      <c r="C1642" s="906">
        <v>2376</v>
      </c>
      <c r="D1642" s="907">
        <v>46055</v>
      </c>
      <c r="E1642" s="839" t="s">
        <v>367</v>
      </c>
      <c r="F1642" s="839" t="s">
        <v>242</v>
      </c>
      <c r="G1642" s="916">
        <f>VLOOKUP($A1642,'Tech Litons'!$A:$I,8,FALSE)</f>
        <v>9.5760000000000012E-3</v>
      </c>
      <c r="H1642" s="917">
        <f>VLOOKUP($A1642,'Tech Litons'!$A:$I,9,FALSE)</f>
        <v>132</v>
      </c>
      <c r="I1642" s="917" t="str">
        <f>VLOOKUP($A1642,'Tech Litons'!$A:$C,3,0)</f>
        <v>EDF</v>
      </c>
      <c r="J1642" s="918" t="str">
        <f t="shared" si="169"/>
        <v>1352EDF</v>
      </c>
      <c r="K1642" s="919">
        <v>1</v>
      </c>
      <c r="L1642" s="920">
        <f t="shared" si="168"/>
        <v>2376</v>
      </c>
      <c r="M1642" s="920">
        <f t="shared" si="170"/>
        <v>22.752576000000001</v>
      </c>
      <c r="N1642" s="920">
        <f t="shared" si="171"/>
        <v>18</v>
      </c>
      <c r="O1642" s="918" t="str">
        <f t="shared" si="172"/>
        <v>Feb</v>
      </c>
      <c r="P1642" s="921">
        <f t="shared" si="173"/>
        <v>6</v>
      </c>
    </row>
    <row r="1643" spans="1:16" ht="15" hidden="1" customHeight="1">
      <c r="A1643" s="839">
        <v>68710285</v>
      </c>
      <c r="B1643" s="839">
        <v>1352</v>
      </c>
      <c r="C1643" s="906">
        <v>185</v>
      </c>
      <c r="D1643" s="907">
        <v>46056</v>
      </c>
      <c r="E1643" s="839" t="s">
        <v>367</v>
      </c>
      <c r="F1643" s="839" t="s">
        <v>242</v>
      </c>
      <c r="G1643" s="916">
        <f>VLOOKUP($A1643,'Tech Litons'!$A:$I,8,FALSE)</f>
        <v>9.5760000000000012E-3</v>
      </c>
      <c r="H1643" s="917">
        <f>VLOOKUP($A1643,'Tech Litons'!$A:$I,9,FALSE)</f>
        <v>132</v>
      </c>
      <c r="I1643" s="917" t="str">
        <f>VLOOKUP($A1643,'Tech Litons'!$A:$C,3,0)</f>
        <v>EDF</v>
      </c>
      <c r="J1643" s="918" t="str">
        <f t="shared" si="169"/>
        <v>1352EDF</v>
      </c>
      <c r="K1643" s="919">
        <v>1</v>
      </c>
      <c r="L1643" s="920">
        <f t="shared" si="168"/>
        <v>185</v>
      </c>
      <c r="M1643" s="920">
        <f t="shared" si="170"/>
        <v>1.7715600000000002</v>
      </c>
      <c r="N1643" s="920">
        <f t="shared" si="171"/>
        <v>1.4015151515151516</v>
      </c>
      <c r="O1643" s="918" t="str">
        <f t="shared" si="172"/>
        <v>Feb</v>
      </c>
      <c r="P1643" s="921">
        <f t="shared" si="173"/>
        <v>6</v>
      </c>
    </row>
    <row r="1644" spans="1:16" ht="15" hidden="1" customHeight="1">
      <c r="A1644" s="839">
        <v>68737750</v>
      </c>
      <c r="B1644" s="839">
        <v>1352</v>
      </c>
      <c r="C1644" s="906">
        <v>4224</v>
      </c>
      <c r="D1644" s="907">
        <v>46060</v>
      </c>
      <c r="E1644" s="839" t="s">
        <v>407</v>
      </c>
      <c r="F1644" s="839" t="s">
        <v>261</v>
      </c>
      <c r="G1644" s="916">
        <f>VLOOKUP($A1644,'Tech Litons'!$A:$I,8,FALSE)</f>
        <v>8.5199999999999998E-3</v>
      </c>
      <c r="H1644" s="917">
        <f>VLOOKUP($A1644,'Tech Litons'!$A:$I,9,FALSE)</f>
        <v>176</v>
      </c>
      <c r="I1644" s="917" t="str">
        <f>VLOOKUP($A1644,'Tech Litons'!$A:$C,3,0)</f>
        <v>48oz</v>
      </c>
      <c r="J1644" s="918" t="str">
        <f t="shared" si="169"/>
        <v>135248oz</v>
      </c>
      <c r="K1644" s="919">
        <v>1</v>
      </c>
      <c r="L1644" s="920">
        <f t="shared" si="168"/>
        <v>4224</v>
      </c>
      <c r="M1644" s="920">
        <f t="shared" si="170"/>
        <v>35.988479999999996</v>
      </c>
      <c r="N1644" s="920">
        <f t="shared" si="171"/>
        <v>24</v>
      </c>
      <c r="O1644" s="918" t="str">
        <f t="shared" si="172"/>
        <v>Feb</v>
      </c>
      <c r="P1644" s="921">
        <f t="shared" si="173"/>
        <v>6</v>
      </c>
    </row>
    <row r="1645" spans="1:16" ht="15" hidden="1" customHeight="1">
      <c r="A1645" s="839">
        <v>68737750</v>
      </c>
      <c r="B1645" s="839">
        <v>1352</v>
      </c>
      <c r="C1645" s="906">
        <v>7504</v>
      </c>
      <c r="D1645" s="907">
        <v>46061</v>
      </c>
      <c r="E1645" s="839" t="s">
        <v>407</v>
      </c>
      <c r="F1645" s="839" t="s">
        <v>261</v>
      </c>
      <c r="G1645" s="916">
        <f>VLOOKUP($A1645,'Tech Litons'!$A:$I,8,FALSE)</f>
        <v>8.5199999999999998E-3</v>
      </c>
      <c r="H1645" s="917">
        <f>VLOOKUP($A1645,'Tech Litons'!$A:$I,9,FALSE)</f>
        <v>176</v>
      </c>
      <c r="I1645" s="917" t="str">
        <f>VLOOKUP($A1645,'Tech Litons'!$A:$C,3,0)</f>
        <v>48oz</v>
      </c>
      <c r="J1645" s="918" t="str">
        <f t="shared" si="169"/>
        <v>135248oz</v>
      </c>
      <c r="K1645" s="919">
        <v>1</v>
      </c>
      <c r="L1645" s="920">
        <f t="shared" si="168"/>
        <v>7504</v>
      </c>
      <c r="M1645" s="920">
        <f t="shared" si="170"/>
        <v>63.934080000000002</v>
      </c>
      <c r="N1645" s="920">
        <f t="shared" si="171"/>
        <v>42.636363636363633</v>
      </c>
      <c r="O1645" s="918" t="str">
        <f t="shared" si="172"/>
        <v>Feb</v>
      </c>
      <c r="P1645" s="921">
        <f t="shared" si="173"/>
        <v>7</v>
      </c>
    </row>
    <row r="1646" spans="1:16" ht="15" hidden="1" customHeight="1">
      <c r="A1646" s="839">
        <v>68737750</v>
      </c>
      <c r="B1646" s="839">
        <v>1352</v>
      </c>
      <c r="C1646" s="906">
        <v>4048</v>
      </c>
      <c r="D1646" s="907">
        <v>46059</v>
      </c>
      <c r="E1646" s="839" t="s">
        <v>407</v>
      </c>
      <c r="F1646" s="839" t="s">
        <v>261</v>
      </c>
      <c r="G1646" s="916">
        <f>VLOOKUP($A1646,'Tech Litons'!$A:$I,8,FALSE)</f>
        <v>8.5199999999999998E-3</v>
      </c>
      <c r="H1646" s="917">
        <f>VLOOKUP($A1646,'Tech Litons'!$A:$I,9,FALSE)</f>
        <v>176</v>
      </c>
      <c r="I1646" s="917" t="str">
        <f>VLOOKUP($A1646,'Tech Litons'!$A:$C,3,0)</f>
        <v>48oz</v>
      </c>
      <c r="J1646" s="918" t="str">
        <f t="shared" si="169"/>
        <v>135248oz</v>
      </c>
      <c r="K1646" s="919">
        <v>1</v>
      </c>
      <c r="L1646" s="920">
        <f t="shared" si="168"/>
        <v>4048</v>
      </c>
      <c r="M1646" s="920">
        <f t="shared" si="170"/>
        <v>34.488959999999999</v>
      </c>
      <c r="N1646" s="920">
        <f t="shared" si="171"/>
        <v>23</v>
      </c>
      <c r="O1646" s="918" t="str">
        <f t="shared" si="172"/>
        <v>Feb</v>
      </c>
      <c r="P1646" s="921">
        <f t="shared" si="173"/>
        <v>6</v>
      </c>
    </row>
    <row r="1647" spans="1:16" ht="15" hidden="1" customHeight="1">
      <c r="A1647" s="839">
        <v>68737750</v>
      </c>
      <c r="B1647" s="839">
        <v>1352</v>
      </c>
      <c r="C1647" s="906">
        <v>6683</v>
      </c>
      <c r="D1647" s="907">
        <v>46060</v>
      </c>
      <c r="E1647" s="839" t="s">
        <v>407</v>
      </c>
      <c r="F1647" s="839" t="s">
        <v>261</v>
      </c>
      <c r="G1647" s="916">
        <f>VLOOKUP($A1647,'Tech Litons'!$A:$I,8,FALSE)</f>
        <v>8.5199999999999998E-3</v>
      </c>
      <c r="H1647" s="917">
        <f>VLOOKUP($A1647,'Tech Litons'!$A:$I,9,FALSE)</f>
        <v>176</v>
      </c>
      <c r="I1647" s="917" t="str">
        <f>VLOOKUP($A1647,'Tech Litons'!$A:$C,3,0)</f>
        <v>48oz</v>
      </c>
      <c r="J1647" s="918" t="str">
        <f t="shared" si="169"/>
        <v>135248oz</v>
      </c>
      <c r="K1647" s="919">
        <v>1</v>
      </c>
      <c r="L1647" s="920">
        <f t="shared" si="168"/>
        <v>6683</v>
      </c>
      <c r="M1647" s="920">
        <f t="shared" si="170"/>
        <v>56.939160000000001</v>
      </c>
      <c r="N1647" s="920">
        <f t="shared" si="171"/>
        <v>37.971590909090907</v>
      </c>
      <c r="O1647" s="918" t="str">
        <f t="shared" si="172"/>
        <v>Feb</v>
      </c>
      <c r="P1647" s="921">
        <f t="shared" si="173"/>
        <v>6</v>
      </c>
    </row>
    <row r="1648" spans="1:16" ht="15" hidden="1" customHeight="1">
      <c r="A1648" s="839">
        <v>68737750</v>
      </c>
      <c r="B1648" s="839">
        <v>1352</v>
      </c>
      <c r="C1648" s="906">
        <v>4827</v>
      </c>
      <c r="D1648" s="907">
        <v>46058</v>
      </c>
      <c r="E1648" s="839" t="s">
        <v>407</v>
      </c>
      <c r="F1648" s="839" t="s">
        <v>261</v>
      </c>
      <c r="G1648" s="916">
        <f>VLOOKUP($A1648,'Tech Litons'!$A:$I,8,FALSE)</f>
        <v>8.5199999999999998E-3</v>
      </c>
      <c r="H1648" s="917">
        <f>VLOOKUP($A1648,'Tech Litons'!$A:$I,9,FALSE)</f>
        <v>176</v>
      </c>
      <c r="I1648" s="917" t="str">
        <f>VLOOKUP($A1648,'Tech Litons'!$A:$C,3,0)</f>
        <v>48oz</v>
      </c>
      <c r="J1648" s="918" t="str">
        <f t="shared" si="169"/>
        <v>135248oz</v>
      </c>
      <c r="K1648" s="919">
        <v>1</v>
      </c>
      <c r="L1648" s="920">
        <f t="shared" si="168"/>
        <v>4827</v>
      </c>
      <c r="M1648" s="920">
        <f t="shared" si="170"/>
        <v>41.126039999999996</v>
      </c>
      <c r="N1648" s="920">
        <f t="shared" si="171"/>
        <v>27.426136363636363</v>
      </c>
      <c r="O1648" s="918" t="str">
        <f t="shared" si="172"/>
        <v>Feb</v>
      </c>
      <c r="P1648" s="921">
        <f t="shared" si="173"/>
        <v>6</v>
      </c>
    </row>
    <row r="1649" spans="1:16" ht="15" hidden="1" customHeight="1">
      <c r="A1649" s="839">
        <v>68737750</v>
      </c>
      <c r="B1649" s="839">
        <v>1352</v>
      </c>
      <c r="C1649" s="906">
        <v>4708</v>
      </c>
      <c r="D1649" s="907">
        <v>46058</v>
      </c>
      <c r="E1649" s="839" t="s">
        <v>407</v>
      </c>
      <c r="F1649" s="839" t="s">
        <v>261</v>
      </c>
      <c r="G1649" s="916">
        <f>VLOOKUP($A1649,'Tech Litons'!$A:$I,8,FALSE)</f>
        <v>8.5199999999999998E-3</v>
      </c>
      <c r="H1649" s="917">
        <f>VLOOKUP($A1649,'Tech Litons'!$A:$I,9,FALSE)</f>
        <v>176</v>
      </c>
      <c r="I1649" s="917" t="str">
        <f>VLOOKUP($A1649,'Tech Litons'!$A:$C,3,0)</f>
        <v>48oz</v>
      </c>
      <c r="J1649" s="918" t="str">
        <f t="shared" si="169"/>
        <v>135248oz</v>
      </c>
      <c r="K1649" s="919">
        <v>1</v>
      </c>
      <c r="L1649" s="920">
        <f t="shared" si="168"/>
        <v>4708</v>
      </c>
      <c r="M1649" s="920">
        <f t="shared" si="170"/>
        <v>40.112159999999996</v>
      </c>
      <c r="N1649" s="920">
        <f t="shared" si="171"/>
        <v>26.75</v>
      </c>
      <c r="O1649" s="918" t="str">
        <f t="shared" si="172"/>
        <v>Feb</v>
      </c>
      <c r="P1649" s="921">
        <f t="shared" si="173"/>
        <v>6</v>
      </c>
    </row>
    <row r="1650" spans="1:16" ht="15" hidden="1" customHeight="1">
      <c r="A1650" s="839">
        <v>68737750</v>
      </c>
      <c r="B1650" s="839">
        <v>1352</v>
      </c>
      <c r="C1650" s="906">
        <v>6711</v>
      </c>
      <c r="D1650" s="907">
        <v>46059</v>
      </c>
      <c r="E1650" s="839" t="s">
        <v>407</v>
      </c>
      <c r="F1650" s="839" t="s">
        <v>261</v>
      </c>
      <c r="G1650" s="916">
        <f>VLOOKUP($A1650,'Tech Litons'!$A:$I,8,FALSE)</f>
        <v>8.5199999999999998E-3</v>
      </c>
      <c r="H1650" s="917">
        <f>VLOOKUP($A1650,'Tech Litons'!$A:$I,9,FALSE)</f>
        <v>176</v>
      </c>
      <c r="I1650" s="917" t="str">
        <f>VLOOKUP($A1650,'Tech Litons'!$A:$C,3,0)</f>
        <v>48oz</v>
      </c>
      <c r="J1650" s="918" t="str">
        <f t="shared" si="169"/>
        <v>135248oz</v>
      </c>
      <c r="K1650" s="919">
        <v>1</v>
      </c>
      <c r="L1650" s="920">
        <f t="shared" si="168"/>
        <v>6711</v>
      </c>
      <c r="M1650" s="920">
        <f t="shared" si="170"/>
        <v>57.177720000000001</v>
      </c>
      <c r="N1650" s="920">
        <f t="shared" si="171"/>
        <v>38.13068181818182</v>
      </c>
      <c r="O1650" s="918" t="str">
        <f t="shared" si="172"/>
        <v>Feb</v>
      </c>
      <c r="P1650" s="921">
        <f t="shared" si="173"/>
        <v>6</v>
      </c>
    </row>
    <row r="1651" spans="1:16" ht="15" hidden="1" customHeight="1">
      <c r="A1651" s="839">
        <v>68737750</v>
      </c>
      <c r="B1651" s="839">
        <v>1352</v>
      </c>
      <c r="C1651" s="906">
        <v>704</v>
      </c>
      <c r="D1651" s="907">
        <v>46062</v>
      </c>
      <c r="E1651" s="839" t="s">
        <v>407</v>
      </c>
      <c r="F1651" s="839" t="s">
        <v>261</v>
      </c>
      <c r="G1651" s="916">
        <f>VLOOKUP($A1651,'Tech Litons'!$A:$I,8,FALSE)</f>
        <v>8.5199999999999998E-3</v>
      </c>
      <c r="H1651" s="917">
        <f>VLOOKUP($A1651,'Tech Litons'!$A:$I,9,FALSE)</f>
        <v>176</v>
      </c>
      <c r="I1651" s="917" t="str">
        <f>VLOOKUP($A1651,'Tech Litons'!$A:$C,3,0)</f>
        <v>48oz</v>
      </c>
      <c r="J1651" s="918" t="str">
        <f t="shared" si="169"/>
        <v>135248oz</v>
      </c>
      <c r="K1651" s="919">
        <v>1</v>
      </c>
      <c r="L1651" s="920">
        <f t="shared" si="168"/>
        <v>704</v>
      </c>
      <c r="M1651" s="920">
        <f t="shared" si="170"/>
        <v>5.9980799999999999</v>
      </c>
      <c r="N1651" s="920">
        <f t="shared" si="171"/>
        <v>4</v>
      </c>
      <c r="O1651" s="918" t="str">
        <f t="shared" si="172"/>
        <v>Feb</v>
      </c>
      <c r="P1651" s="921">
        <f t="shared" si="173"/>
        <v>7</v>
      </c>
    </row>
    <row r="1652" spans="1:16" ht="15" hidden="1" customHeight="1">
      <c r="A1652" s="839">
        <v>68737750</v>
      </c>
      <c r="B1652" s="839">
        <v>1352</v>
      </c>
      <c r="C1652" s="906">
        <v>6077</v>
      </c>
      <c r="D1652" s="907">
        <v>46063</v>
      </c>
      <c r="E1652" s="839" t="s">
        <v>407</v>
      </c>
      <c r="F1652" s="839" t="s">
        <v>261</v>
      </c>
      <c r="G1652" s="916">
        <f>VLOOKUP($A1652,'Tech Litons'!$A:$I,8,FALSE)</f>
        <v>8.5199999999999998E-3</v>
      </c>
      <c r="H1652" s="917">
        <f>VLOOKUP($A1652,'Tech Litons'!$A:$I,9,FALSE)</f>
        <v>176</v>
      </c>
      <c r="I1652" s="917" t="str">
        <f>VLOOKUP($A1652,'Tech Litons'!$A:$C,3,0)</f>
        <v>48oz</v>
      </c>
      <c r="J1652" s="918" t="str">
        <f t="shared" si="169"/>
        <v>135248oz</v>
      </c>
      <c r="K1652" s="919">
        <v>1</v>
      </c>
      <c r="L1652" s="920">
        <f t="shared" si="168"/>
        <v>6077</v>
      </c>
      <c r="M1652" s="920">
        <f t="shared" si="170"/>
        <v>51.776040000000002</v>
      </c>
      <c r="N1652" s="920">
        <f t="shared" si="171"/>
        <v>34.528409090909093</v>
      </c>
      <c r="O1652" s="918" t="str">
        <f t="shared" si="172"/>
        <v>Feb</v>
      </c>
      <c r="P1652" s="921">
        <f t="shared" si="173"/>
        <v>7</v>
      </c>
    </row>
    <row r="1653" spans="1:16" ht="15" hidden="1" customHeight="1">
      <c r="A1653" s="839">
        <v>68737750</v>
      </c>
      <c r="B1653" s="839">
        <v>1352</v>
      </c>
      <c r="C1653" s="906">
        <v>4324</v>
      </c>
      <c r="D1653" s="907">
        <v>46063</v>
      </c>
      <c r="E1653" s="839" t="s">
        <v>407</v>
      </c>
      <c r="F1653" s="839" t="s">
        <v>261</v>
      </c>
      <c r="G1653" s="916">
        <f>VLOOKUP($A1653,'Tech Litons'!$A:$I,8,FALSE)</f>
        <v>8.5199999999999998E-3</v>
      </c>
      <c r="H1653" s="917">
        <f>VLOOKUP($A1653,'Tech Litons'!$A:$I,9,FALSE)</f>
        <v>176</v>
      </c>
      <c r="I1653" s="917" t="str">
        <f>VLOOKUP($A1653,'Tech Litons'!$A:$C,3,0)</f>
        <v>48oz</v>
      </c>
      <c r="J1653" s="918" t="str">
        <f t="shared" si="169"/>
        <v>135248oz</v>
      </c>
      <c r="K1653" s="919">
        <v>1</v>
      </c>
      <c r="L1653" s="920">
        <f t="shared" si="168"/>
        <v>4324</v>
      </c>
      <c r="M1653" s="920">
        <f t="shared" si="170"/>
        <v>36.840479999999999</v>
      </c>
      <c r="N1653" s="920">
        <f t="shared" si="171"/>
        <v>24.568181818181817</v>
      </c>
      <c r="O1653" s="918" t="str">
        <f t="shared" si="172"/>
        <v>Feb</v>
      </c>
      <c r="P1653" s="921">
        <f t="shared" si="173"/>
        <v>7</v>
      </c>
    </row>
    <row r="1654" spans="1:16" ht="15" hidden="1" customHeight="1">
      <c r="A1654" s="839">
        <v>68737750</v>
      </c>
      <c r="B1654" s="839">
        <v>1352</v>
      </c>
      <c r="C1654" s="906">
        <v>9417</v>
      </c>
      <c r="D1654" s="907">
        <v>46064</v>
      </c>
      <c r="E1654" s="839" t="s">
        <v>407</v>
      </c>
      <c r="F1654" s="839" t="s">
        <v>261</v>
      </c>
      <c r="G1654" s="916">
        <f>VLOOKUP($A1654,'Tech Litons'!$A:$I,8,FALSE)</f>
        <v>8.5199999999999998E-3</v>
      </c>
      <c r="H1654" s="917">
        <f>VLOOKUP($A1654,'Tech Litons'!$A:$I,9,FALSE)</f>
        <v>176</v>
      </c>
      <c r="I1654" s="917" t="str">
        <f>VLOOKUP($A1654,'Tech Litons'!$A:$C,3,0)</f>
        <v>48oz</v>
      </c>
      <c r="J1654" s="918" t="str">
        <f t="shared" si="169"/>
        <v>135248oz</v>
      </c>
      <c r="K1654" s="919">
        <v>1</v>
      </c>
      <c r="L1654" s="920">
        <f t="shared" si="168"/>
        <v>9417</v>
      </c>
      <c r="M1654" s="920">
        <f t="shared" si="170"/>
        <v>80.232839999999996</v>
      </c>
      <c r="N1654" s="920">
        <f t="shared" si="171"/>
        <v>53.50568181818182</v>
      </c>
      <c r="O1654" s="918" t="str">
        <f t="shared" si="172"/>
        <v>Feb</v>
      </c>
      <c r="P1654" s="921">
        <f t="shared" si="173"/>
        <v>7</v>
      </c>
    </row>
    <row r="1655" spans="1:16" ht="15" hidden="1" customHeight="1">
      <c r="A1655" s="839">
        <v>68737750</v>
      </c>
      <c r="B1655" s="839">
        <v>1352</v>
      </c>
      <c r="C1655" s="906">
        <v>3414</v>
      </c>
      <c r="D1655" s="907">
        <v>46064</v>
      </c>
      <c r="E1655" s="839" t="s">
        <v>407</v>
      </c>
      <c r="F1655" s="839" t="s">
        <v>261</v>
      </c>
      <c r="G1655" s="916">
        <f>VLOOKUP($A1655,'Tech Litons'!$A:$I,8,FALSE)</f>
        <v>8.5199999999999998E-3</v>
      </c>
      <c r="H1655" s="917">
        <f>VLOOKUP($A1655,'Tech Litons'!$A:$I,9,FALSE)</f>
        <v>176</v>
      </c>
      <c r="I1655" s="917" t="str">
        <f>VLOOKUP($A1655,'Tech Litons'!$A:$C,3,0)</f>
        <v>48oz</v>
      </c>
      <c r="J1655" s="918" t="str">
        <f t="shared" si="169"/>
        <v>135248oz</v>
      </c>
      <c r="K1655" s="919">
        <v>1</v>
      </c>
      <c r="L1655" s="920">
        <f t="shared" si="168"/>
        <v>3414</v>
      </c>
      <c r="M1655" s="920">
        <f t="shared" si="170"/>
        <v>29.08728</v>
      </c>
      <c r="N1655" s="920">
        <f t="shared" si="171"/>
        <v>19.397727272727273</v>
      </c>
      <c r="O1655" s="918" t="str">
        <f t="shared" si="172"/>
        <v>Feb</v>
      </c>
      <c r="P1655" s="921">
        <f t="shared" si="173"/>
        <v>7</v>
      </c>
    </row>
    <row r="1656" spans="1:16" ht="15" hidden="1" customHeight="1">
      <c r="A1656" s="839">
        <v>68737750</v>
      </c>
      <c r="B1656" s="839">
        <v>1352</v>
      </c>
      <c r="C1656" s="906">
        <v>9673</v>
      </c>
      <c r="D1656" s="907">
        <v>46065</v>
      </c>
      <c r="E1656" s="839" t="s">
        <v>407</v>
      </c>
      <c r="F1656" s="839" t="s">
        <v>261</v>
      </c>
      <c r="G1656" s="916">
        <f>VLOOKUP($A1656,'Tech Litons'!$A:$I,8,FALSE)</f>
        <v>8.5199999999999998E-3</v>
      </c>
      <c r="H1656" s="917">
        <f>VLOOKUP($A1656,'Tech Litons'!$A:$I,9,FALSE)</f>
        <v>176</v>
      </c>
      <c r="I1656" s="917" t="str">
        <f>VLOOKUP($A1656,'Tech Litons'!$A:$C,3,0)</f>
        <v>48oz</v>
      </c>
      <c r="J1656" s="918" t="str">
        <f t="shared" si="169"/>
        <v>135248oz</v>
      </c>
      <c r="K1656" s="919">
        <v>1</v>
      </c>
      <c r="L1656" s="920">
        <f t="shared" si="168"/>
        <v>9673</v>
      </c>
      <c r="M1656" s="920">
        <f t="shared" si="170"/>
        <v>82.413960000000003</v>
      </c>
      <c r="N1656" s="920">
        <f t="shared" si="171"/>
        <v>54.960227272727273</v>
      </c>
      <c r="O1656" s="918" t="str">
        <f t="shared" si="172"/>
        <v>Feb</v>
      </c>
      <c r="P1656" s="921">
        <f t="shared" si="173"/>
        <v>7</v>
      </c>
    </row>
    <row r="1657" spans="1:16" ht="15" hidden="1" customHeight="1">
      <c r="A1657" s="839">
        <v>68737750</v>
      </c>
      <c r="B1657" s="839">
        <v>1352</v>
      </c>
      <c r="C1657" s="906">
        <v>4048</v>
      </c>
      <c r="D1657" s="907">
        <v>46065</v>
      </c>
      <c r="E1657" s="839" t="s">
        <v>407</v>
      </c>
      <c r="F1657" s="839" t="s">
        <v>261</v>
      </c>
      <c r="G1657" s="916">
        <f>VLOOKUP($A1657,'Tech Litons'!$A:$I,8,FALSE)</f>
        <v>8.5199999999999998E-3</v>
      </c>
      <c r="H1657" s="917">
        <f>VLOOKUP($A1657,'Tech Litons'!$A:$I,9,FALSE)</f>
        <v>176</v>
      </c>
      <c r="I1657" s="917" t="str">
        <f>VLOOKUP($A1657,'Tech Litons'!$A:$C,3,0)</f>
        <v>48oz</v>
      </c>
      <c r="J1657" s="918" t="str">
        <f t="shared" si="169"/>
        <v>135248oz</v>
      </c>
      <c r="K1657" s="919">
        <v>1</v>
      </c>
      <c r="L1657" s="920">
        <f t="shared" si="168"/>
        <v>4048</v>
      </c>
      <c r="M1657" s="920">
        <f t="shared" si="170"/>
        <v>34.488959999999999</v>
      </c>
      <c r="N1657" s="920">
        <f t="shared" si="171"/>
        <v>23</v>
      </c>
      <c r="O1657" s="918" t="str">
        <f t="shared" si="172"/>
        <v>Feb</v>
      </c>
      <c r="P1657" s="921">
        <f t="shared" si="173"/>
        <v>7</v>
      </c>
    </row>
    <row r="1658" spans="1:16" ht="15" hidden="1" customHeight="1">
      <c r="A1658" s="839">
        <v>68737750</v>
      </c>
      <c r="B1658" s="839">
        <v>1352</v>
      </c>
      <c r="C1658" s="906">
        <v>7909</v>
      </c>
      <c r="D1658" s="907">
        <v>46066</v>
      </c>
      <c r="E1658" s="839" t="s">
        <v>407</v>
      </c>
      <c r="F1658" s="839" t="s">
        <v>261</v>
      </c>
      <c r="G1658" s="916">
        <f>VLOOKUP($A1658,'Tech Litons'!$A:$I,8,FALSE)</f>
        <v>8.5199999999999998E-3</v>
      </c>
      <c r="H1658" s="917">
        <f>VLOOKUP($A1658,'Tech Litons'!$A:$I,9,FALSE)</f>
        <v>176</v>
      </c>
      <c r="I1658" s="917" t="str">
        <f>VLOOKUP($A1658,'Tech Litons'!$A:$C,3,0)</f>
        <v>48oz</v>
      </c>
      <c r="J1658" s="918" t="str">
        <f t="shared" si="169"/>
        <v>135248oz</v>
      </c>
      <c r="K1658" s="919">
        <v>1</v>
      </c>
      <c r="L1658" s="920">
        <f t="shared" si="168"/>
        <v>7909</v>
      </c>
      <c r="M1658" s="920">
        <f t="shared" si="170"/>
        <v>67.384680000000003</v>
      </c>
      <c r="N1658" s="920">
        <f t="shared" si="171"/>
        <v>44.9375</v>
      </c>
      <c r="O1658" s="918" t="str">
        <f t="shared" si="172"/>
        <v>Feb</v>
      </c>
      <c r="P1658" s="921">
        <f t="shared" si="173"/>
        <v>7</v>
      </c>
    </row>
    <row r="1659" spans="1:16" ht="15" hidden="1" customHeight="1">
      <c r="A1659" s="839">
        <v>68741714</v>
      </c>
      <c r="B1659" s="839">
        <v>1352</v>
      </c>
      <c r="C1659" s="906">
        <v>450</v>
      </c>
      <c r="D1659" s="907">
        <v>46055</v>
      </c>
      <c r="E1659" s="839" t="s">
        <v>286</v>
      </c>
      <c r="F1659" s="839" t="s">
        <v>287</v>
      </c>
      <c r="G1659" s="916">
        <f>VLOOKUP($A1659,'Tech Litons'!$A:$I,8,FALSE)</f>
        <v>2.8319999999999999E-3</v>
      </c>
      <c r="H1659" s="917">
        <f>VLOOKUP($A1659,'Tech Litons'!$A:$I,9,FALSE)</f>
        <v>225</v>
      </c>
      <c r="I1659" s="917" t="str">
        <f>VLOOKUP($A1659,'Tech Litons'!$A:$C,3,0)</f>
        <v>MBG</v>
      </c>
      <c r="J1659" s="918" t="str">
        <f t="shared" si="169"/>
        <v>1352MBG</v>
      </c>
      <c r="K1659" s="919">
        <v>1</v>
      </c>
      <c r="L1659" s="920">
        <f t="shared" si="168"/>
        <v>450</v>
      </c>
      <c r="M1659" s="920">
        <f t="shared" si="170"/>
        <v>1.2744</v>
      </c>
      <c r="N1659" s="920">
        <f t="shared" si="171"/>
        <v>2</v>
      </c>
      <c r="O1659" s="918" t="str">
        <f t="shared" si="172"/>
        <v>Feb</v>
      </c>
      <c r="P1659" s="921">
        <f t="shared" si="173"/>
        <v>6</v>
      </c>
    </row>
    <row r="1660" spans="1:16" ht="15" hidden="1" customHeight="1">
      <c r="A1660" s="839">
        <v>68741714</v>
      </c>
      <c r="B1660" s="839">
        <v>1352</v>
      </c>
      <c r="C1660" s="906">
        <v>4175</v>
      </c>
      <c r="D1660" s="907">
        <v>46056</v>
      </c>
      <c r="E1660" s="839" t="s">
        <v>286</v>
      </c>
      <c r="F1660" s="839" t="s">
        <v>287</v>
      </c>
      <c r="G1660" s="916">
        <f>VLOOKUP($A1660,'Tech Litons'!$A:$I,8,FALSE)</f>
        <v>2.8319999999999999E-3</v>
      </c>
      <c r="H1660" s="917">
        <f>VLOOKUP($A1660,'Tech Litons'!$A:$I,9,FALSE)</f>
        <v>225</v>
      </c>
      <c r="I1660" s="917" t="str">
        <f>VLOOKUP($A1660,'Tech Litons'!$A:$C,3,0)</f>
        <v>MBG</v>
      </c>
      <c r="J1660" s="918" t="str">
        <f t="shared" si="169"/>
        <v>1352MBG</v>
      </c>
      <c r="K1660" s="919">
        <v>1</v>
      </c>
      <c r="L1660" s="920">
        <f t="shared" si="168"/>
        <v>4175</v>
      </c>
      <c r="M1660" s="920">
        <f t="shared" si="170"/>
        <v>11.823599999999999</v>
      </c>
      <c r="N1660" s="920">
        <f t="shared" si="171"/>
        <v>18.555555555555557</v>
      </c>
      <c r="O1660" s="918" t="str">
        <f t="shared" si="172"/>
        <v>Feb</v>
      </c>
      <c r="P1660" s="921">
        <f t="shared" si="173"/>
        <v>6</v>
      </c>
    </row>
    <row r="1661" spans="1:16" ht="15" hidden="1" customHeight="1">
      <c r="A1661" s="839">
        <v>68741714</v>
      </c>
      <c r="B1661" s="839">
        <v>1352</v>
      </c>
      <c r="C1661" s="906">
        <v>3150</v>
      </c>
      <c r="D1661" s="907">
        <v>46056</v>
      </c>
      <c r="E1661" s="839" t="s">
        <v>286</v>
      </c>
      <c r="F1661" s="839" t="s">
        <v>287</v>
      </c>
      <c r="G1661" s="916">
        <f>VLOOKUP($A1661,'Tech Litons'!$A:$I,8,FALSE)</f>
        <v>2.8319999999999999E-3</v>
      </c>
      <c r="H1661" s="917">
        <f>VLOOKUP($A1661,'Tech Litons'!$A:$I,9,FALSE)</f>
        <v>225</v>
      </c>
      <c r="I1661" s="917" t="str">
        <f>VLOOKUP($A1661,'Tech Litons'!$A:$C,3,0)</f>
        <v>MBG</v>
      </c>
      <c r="J1661" s="918" t="str">
        <f t="shared" si="169"/>
        <v>1352MBG</v>
      </c>
      <c r="K1661" s="919">
        <v>1</v>
      </c>
      <c r="L1661" s="920">
        <f t="shared" si="168"/>
        <v>3150</v>
      </c>
      <c r="M1661" s="920">
        <f t="shared" si="170"/>
        <v>8.9207999999999998</v>
      </c>
      <c r="N1661" s="920">
        <f t="shared" si="171"/>
        <v>14</v>
      </c>
      <c r="O1661" s="918" t="str">
        <f t="shared" si="172"/>
        <v>Feb</v>
      </c>
      <c r="P1661" s="921">
        <f t="shared" si="173"/>
        <v>6</v>
      </c>
    </row>
    <row r="1662" spans="1:16" ht="15" hidden="1" customHeight="1">
      <c r="A1662" s="839">
        <v>68741714</v>
      </c>
      <c r="B1662" s="839">
        <v>1352</v>
      </c>
      <c r="C1662" s="906">
        <v>4400</v>
      </c>
      <c r="D1662" s="907">
        <v>46057</v>
      </c>
      <c r="E1662" s="839" t="s">
        <v>286</v>
      </c>
      <c r="F1662" s="839" t="s">
        <v>287</v>
      </c>
      <c r="G1662" s="916">
        <f>VLOOKUP($A1662,'Tech Litons'!$A:$I,8,FALSE)</f>
        <v>2.8319999999999999E-3</v>
      </c>
      <c r="H1662" s="917">
        <f>VLOOKUP($A1662,'Tech Litons'!$A:$I,9,FALSE)</f>
        <v>225</v>
      </c>
      <c r="I1662" s="917" t="str">
        <f>VLOOKUP($A1662,'Tech Litons'!$A:$C,3,0)</f>
        <v>MBG</v>
      </c>
      <c r="J1662" s="918" t="str">
        <f t="shared" si="169"/>
        <v>1352MBG</v>
      </c>
      <c r="K1662" s="919">
        <v>1</v>
      </c>
      <c r="L1662" s="920">
        <f t="shared" si="168"/>
        <v>4400</v>
      </c>
      <c r="M1662" s="920">
        <f t="shared" si="170"/>
        <v>12.460799999999999</v>
      </c>
      <c r="N1662" s="920">
        <f t="shared" si="171"/>
        <v>19.555555555555557</v>
      </c>
      <c r="O1662" s="918" t="str">
        <f t="shared" si="172"/>
        <v>Feb</v>
      </c>
      <c r="P1662" s="921">
        <f t="shared" si="173"/>
        <v>6</v>
      </c>
    </row>
    <row r="1663" spans="1:16" ht="15" hidden="1" customHeight="1">
      <c r="A1663" s="839">
        <v>68741714</v>
      </c>
      <c r="B1663" s="839">
        <v>1352</v>
      </c>
      <c r="C1663" s="906">
        <v>2700</v>
      </c>
      <c r="D1663" s="907">
        <v>46057</v>
      </c>
      <c r="E1663" s="839" t="s">
        <v>286</v>
      </c>
      <c r="F1663" s="839" t="s">
        <v>287</v>
      </c>
      <c r="G1663" s="916">
        <f>VLOOKUP($A1663,'Tech Litons'!$A:$I,8,FALSE)</f>
        <v>2.8319999999999999E-3</v>
      </c>
      <c r="H1663" s="917">
        <f>VLOOKUP($A1663,'Tech Litons'!$A:$I,9,FALSE)</f>
        <v>225</v>
      </c>
      <c r="I1663" s="917" t="str">
        <f>VLOOKUP($A1663,'Tech Litons'!$A:$C,3,0)</f>
        <v>MBG</v>
      </c>
      <c r="J1663" s="918" t="str">
        <f t="shared" si="169"/>
        <v>1352MBG</v>
      </c>
      <c r="K1663" s="919">
        <v>1</v>
      </c>
      <c r="L1663" s="920">
        <f t="shared" si="168"/>
        <v>2700</v>
      </c>
      <c r="M1663" s="920">
        <f t="shared" si="170"/>
        <v>7.6463999999999999</v>
      </c>
      <c r="N1663" s="920">
        <f t="shared" si="171"/>
        <v>12</v>
      </c>
      <c r="O1663" s="918" t="str">
        <f t="shared" si="172"/>
        <v>Feb</v>
      </c>
      <c r="P1663" s="921">
        <f t="shared" si="173"/>
        <v>6</v>
      </c>
    </row>
    <row r="1664" spans="1:16" ht="15" hidden="1" customHeight="1">
      <c r="A1664" s="839">
        <v>68741714</v>
      </c>
      <c r="B1664" s="839">
        <v>1352</v>
      </c>
      <c r="C1664" s="906">
        <v>4723</v>
      </c>
      <c r="D1664" s="907">
        <v>46058</v>
      </c>
      <c r="E1664" s="839" t="s">
        <v>286</v>
      </c>
      <c r="F1664" s="839" t="s">
        <v>287</v>
      </c>
      <c r="G1664" s="916">
        <f>VLOOKUP($A1664,'Tech Litons'!$A:$I,8,FALSE)</f>
        <v>2.8319999999999999E-3</v>
      </c>
      <c r="H1664" s="917">
        <f>VLOOKUP($A1664,'Tech Litons'!$A:$I,9,FALSE)</f>
        <v>225</v>
      </c>
      <c r="I1664" s="917" t="str">
        <f>VLOOKUP($A1664,'Tech Litons'!$A:$C,3,0)</f>
        <v>MBG</v>
      </c>
      <c r="J1664" s="918" t="str">
        <f t="shared" si="169"/>
        <v>1352MBG</v>
      </c>
      <c r="K1664" s="919">
        <v>1</v>
      </c>
      <c r="L1664" s="920">
        <f t="shared" si="168"/>
        <v>4723</v>
      </c>
      <c r="M1664" s="920">
        <f t="shared" si="170"/>
        <v>13.375536</v>
      </c>
      <c r="N1664" s="920">
        <f t="shared" si="171"/>
        <v>20.99111111111111</v>
      </c>
      <c r="O1664" s="918" t="str">
        <f t="shared" si="172"/>
        <v>Feb</v>
      </c>
      <c r="P1664" s="921">
        <f t="shared" si="173"/>
        <v>6</v>
      </c>
    </row>
    <row r="1665" spans="1:16" ht="15" hidden="1" customHeight="1">
      <c r="A1665" s="839">
        <v>68741714</v>
      </c>
      <c r="B1665" s="839">
        <v>1352</v>
      </c>
      <c r="C1665" s="906">
        <v>186</v>
      </c>
      <c r="D1665" s="907">
        <v>46064</v>
      </c>
      <c r="E1665" s="839" t="s">
        <v>286</v>
      </c>
      <c r="F1665" s="839" t="s">
        <v>287</v>
      </c>
      <c r="G1665" s="916">
        <f>VLOOKUP($A1665,'Tech Litons'!$A:$I,8,FALSE)</f>
        <v>2.8319999999999999E-3</v>
      </c>
      <c r="H1665" s="917">
        <f>VLOOKUP($A1665,'Tech Litons'!$A:$I,9,FALSE)</f>
        <v>225</v>
      </c>
      <c r="I1665" s="917" t="str">
        <f>VLOOKUP($A1665,'Tech Litons'!$A:$C,3,0)</f>
        <v>MBG</v>
      </c>
      <c r="J1665" s="918" t="str">
        <f t="shared" si="169"/>
        <v>1352MBG</v>
      </c>
      <c r="K1665" s="919">
        <v>1</v>
      </c>
      <c r="L1665" s="920">
        <f t="shared" si="168"/>
        <v>186</v>
      </c>
      <c r="M1665" s="920">
        <f t="shared" si="170"/>
        <v>0.526752</v>
      </c>
      <c r="N1665" s="920">
        <f t="shared" si="171"/>
        <v>0.82666666666666666</v>
      </c>
      <c r="O1665" s="918" t="str">
        <f t="shared" si="172"/>
        <v>Feb</v>
      </c>
      <c r="P1665" s="921">
        <f t="shared" si="173"/>
        <v>7</v>
      </c>
    </row>
    <row r="1666" spans="1:16" ht="15" hidden="1" customHeight="1">
      <c r="A1666" s="839">
        <v>68741714</v>
      </c>
      <c r="B1666" s="839">
        <v>1352</v>
      </c>
      <c r="C1666" s="906">
        <v>2700</v>
      </c>
      <c r="D1666" s="907">
        <v>46058</v>
      </c>
      <c r="E1666" s="839" t="s">
        <v>286</v>
      </c>
      <c r="F1666" s="839" t="s">
        <v>287</v>
      </c>
      <c r="G1666" s="916">
        <f>VLOOKUP($A1666,'Tech Litons'!$A:$I,8,FALSE)</f>
        <v>2.8319999999999999E-3</v>
      </c>
      <c r="H1666" s="917">
        <f>VLOOKUP($A1666,'Tech Litons'!$A:$I,9,FALSE)</f>
        <v>225</v>
      </c>
      <c r="I1666" s="917" t="str">
        <f>VLOOKUP($A1666,'Tech Litons'!$A:$C,3,0)</f>
        <v>MBG</v>
      </c>
      <c r="J1666" s="918" t="str">
        <f t="shared" si="169"/>
        <v>1352MBG</v>
      </c>
      <c r="K1666" s="919">
        <v>1</v>
      </c>
      <c r="L1666" s="920">
        <f t="shared" si="168"/>
        <v>2700</v>
      </c>
      <c r="M1666" s="920">
        <f t="shared" si="170"/>
        <v>7.6463999999999999</v>
      </c>
      <c r="N1666" s="920">
        <f t="shared" si="171"/>
        <v>12</v>
      </c>
      <c r="O1666" s="918" t="str">
        <f t="shared" si="172"/>
        <v>Feb</v>
      </c>
      <c r="P1666" s="921">
        <f t="shared" si="173"/>
        <v>6</v>
      </c>
    </row>
    <row r="1667" spans="1:16" ht="15" hidden="1" customHeight="1">
      <c r="A1667" s="839">
        <v>68741714</v>
      </c>
      <c r="B1667" s="839">
        <v>1352</v>
      </c>
      <c r="C1667" s="906">
        <v>2585</v>
      </c>
      <c r="D1667" s="907">
        <v>46059</v>
      </c>
      <c r="E1667" s="839" t="s">
        <v>286</v>
      </c>
      <c r="F1667" s="839" t="s">
        <v>287</v>
      </c>
      <c r="G1667" s="916">
        <f>VLOOKUP($A1667,'Tech Litons'!$A:$I,8,FALSE)</f>
        <v>2.8319999999999999E-3</v>
      </c>
      <c r="H1667" s="917">
        <f>VLOOKUP($A1667,'Tech Litons'!$A:$I,9,FALSE)</f>
        <v>225</v>
      </c>
      <c r="I1667" s="917" t="str">
        <f>VLOOKUP($A1667,'Tech Litons'!$A:$C,3,0)</f>
        <v>MBG</v>
      </c>
      <c r="J1667" s="918" t="str">
        <f t="shared" si="169"/>
        <v>1352MBG</v>
      </c>
      <c r="K1667" s="919">
        <v>1</v>
      </c>
      <c r="L1667" s="920">
        <f t="shared" si="168"/>
        <v>2585</v>
      </c>
      <c r="M1667" s="920">
        <f t="shared" si="170"/>
        <v>7.3207199999999997</v>
      </c>
      <c r="N1667" s="920">
        <f t="shared" si="171"/>
        <v>11.488888888888889</v>
      </c>
      <c r="O1667" s="918" t="str">
        <f t="shared" si="172"/>
        <v>Feb</v>
      </c>
      <c r="P1667" s="921">
        <f t="shared" si="173"/>
        <v>6</v>
      </c>
    </row>
    <row r="1668" spans="1:16" ht="15" hidden="1" customHeight="1">
      <c r="A1668" s="839">
        <v>68741714</v>
      </c>
      <c r="B1668" s="839">
        <v>1352</v>
      </c>
      <c r="C1668" s="906">
        <v>1125</v>
      </c>
      <c r="D1668" s="907">
        <v>46059</v>
      </c>
      <c r="E1668" s="839" t="s">
        <v>286</v>
      </c>
      <c r="F1668" s="839" t="s">
        <v>287</v>
      </c>
      <c r="G1668" s="916">
        <f>VLOOKUP($A1668,'Tech Litons'!$A:$I,8,FALSE)</f>
        <v>2.8319999999999999E-3</v>
      </c>
      <c r="H1668" s="917">
        <f>VLOOKUP($A1668,'Tech Litons'!$A:$I,9,FALSE)</f>
        <v>225</v>
      </c>
      <c r="I1668" s="917" t="str">
        <f>VLOOKUP($A1668,'Tech Litons'!$A:$C,3,0)</f>
        <v>MBG</v>
      </c>
      <c r="J1668" s="918" t="str">
        <f t="shared" si="169"/>
        <v>1352MBG</v>
      </c>
      <c r="K1668" s="919">
        <v>1</v>
      </c>
      <c r="L1668" s="920">
        <f t="shared" si="168"/>
        <v>1125</v>
      </c>
      <c r="M1668" s="920">
        <f t="shared" si="170"/>
        <v>3.1859999999999999</v>
      </c>
      <c r="N1668" s="920">
        <f t="shared" si="171"/>
        <v>5</v>
      </c>
      <c r="O1668" s="918" t="str">
        <f t="shared" si="172"/>
        <v>Feb</v>
      </c>
      <c r="P1668" s="921">
        <f t="shared" si="173"/>
        <v>6</v>
      </c>
    </row>
    <row r="1669" spans="1:16" ht="15" hidden="1" customHeight="1">
      <c r="A1669" s="839">
        <v>68741714</v>
      </c>
      <c r="B1669" s="839">
        <v>1352</v>
      </c>
      <c r="C1669" s="906">
        <v>4311</v>
      </c>
      <c r="D1669" s="907">
        <v>46060</v>
      </c>
      <c r="E1669" s="839" t="s">
        <v>286</v>
      </c>
      <c r="F1669" s="839" t="s">
        <v>287</v>
      </c>
      <c r="G1669" s="916">
        <f>VLOOKUP($A1669,'Tech Litons'!$A:$I,8,FALSE)</f>
        <v>2.8319999999999999E-3</v>
      </c>
      <c r="H1669" s="917">
        <f>VLOOKUP($A1669,'Tech Litons'!$A:$I,9,FALSE)</f>
        <v>225</v>
      </c>
      <c r="I1669" s="917" t="str">
        <f>VLOOKUP($A1669,'Tech Litons'!$A:$C,3,0)</f>
        <v>MBG</v>
      </c>
      <c r="J1669" s="918" t="str">
        <f t="shared" si="169"/>
        <v>1352MBG</v>
      </c>
      <c r="K1669" s="919">
        <v>1</v>
      </c>
      <c r="L1669" s="920">
        <f t="shared" si="168"/>
        <v>4311</v>
      </c>
      <c r="M1669" s="920">
        <f t="shared" si="170"/>
        <v>12.208751999999999</v>
      </c>
      <c r="N1669" s="920">
        <f t="shared" si="171"/>
        <v>19.16</v>
      </c>
      <c r="O1669" s="918" t="str">
        <f t="shared" si="172"/>
        <v>Feb</v>
      </c>
      <c r="P1669" s="921">
        <f t="shared" si="173"/>
        <v>6</v>
      </c>
    </row>
    <row r="1670" spans="1:16" ht="15" hidden="1" customHeight="1">
      <c r="A1670" s="839">
        <v>68741714</v>
      </c>
      <c r="B1670" s="839">
        <v>1352</v>
      </c>
      <c r="C1670" s="906">
        <v>900</v>
      </c>
      <c r="D1670" s="907">
        <v>46069</v>
      </c>
      <c r="E1670" s="839" t="s">
        <v>286</v>
      </c>
      <c r="F1670" s="839" t="s">
        <v>287</v>
      </c>
      <c r="G1670" s="916">
        <f>VLOOKUP($A1670,'Tech Litons'!$A:$I,8,FALSE)</f>
        <v>2.8319999999999999E-3</v>
      </c>
      <c r="H1670" s="917">
        <f>VLOOKUP($A1670,'Tech Litons'!$A:$I,9,FALSE)</f>
        <v>225</v>
      </c>
      <c r="I1670" s="917" t="str">
        <f>VLOOKUP($A1670,'Tech Litons'!$A:$C,3,0)</f>
        <v>MBG</v>
      </c>
      <c r="J1670" s="918" t="str">
        <f t="shared" si="169"/>
        <v>1352MBG</v>
      </c>
      <c r="K1670" s="919">
        <v>1</v>
      </c>
      <c r="L1670" s="920">
        <f t="shared" si="168"/>
        <v>900</v>
      </c>
      <c r="M1670" s="920">
        <f t="shared" si="170"/>
        <v>2.5488</v>
      </c>
      <c r="N1670" s="920">
        <f t="shared" si="171"/>
        <v>4</v>
      </c>
      <c r="O1670" s="918" t="str">
        <f t="shared" si="172"/>
        <v>Feb</v>
      </c>
      <c r="P1670" s="921">
        <f t="shared" si="173"/>
        <v>8</v>
      </c>
    </row>
    <row r="1671" spans="1:16" ht="15" hidden="1" customHeight="1">
      <c r="A1671" s="839">
        <v>68741714</v>
      </c>
      <c r="B1671" s="839">
        <v>1352</v>
      </c>
      <c r="C1671" s="906">
        <v>199</v>
      </c>
      <c r="D1671" s="907">
        <v>46070</v>
      </c>
      <c r="E1671" s="839" t="s">
        <v>286</v>
      </c>
      <c r="F1671" s="839" t="s">
        <v>287</v>
      </c>
      <c r="G1671" s="916">
        <f>VLOOKUP($A1671,'Tech Litons'!$A:$I,8,FALSE)</f>
        <v>2.8319999999999999E-3</v>
      </c>
      <c r="H1671" s="917">
        <f>VLOOKUP($A1671,'Tech Litons'!$A:$I,9,FALSE)</f>
        <v>225</v>
      </c>
      <c r="I1671" s="917" t="str">
        <f>VLOOKUP($A1671,'Tech Litons'!$A:$C,3,0)</f>
        <v>MBG</v>
      </c>
      <c r="J1671" s="918" t="str">
        <f t="shared" si="169"/>
        <v>1352MBG</v>
      </c>
      <c r="K1671" s="919">
        <v>1</v>
      </c>
      <c r="L1671" s="920">
        <f t="shared" si="168"/>
        <v>199</v>
      </c>
      <c r="M1671" s="920">
        <f t="shared" si="170"/>
        <v>0.56356799999999996</v>
      </c>
      <c r="N1671" s="920">
        <f t="shared" si="171"/>
        <v>0.88444444444444448</v>
      </c>
      <c r="O1671" s="918" t="str">
        <f t="shared" si="172"/>
        <v>Feb</v>
      </c>
      <c r="P1671" s="921">
        <f t="shared" si="173"/>
        <v>8</v>
      </c>
    </row>
    <row r="1672" spans="1:16" ht="15" hidden="1" customHeight="1">
      <c r="A1672" s="839">
        <v>68741714</v>
      </c>
      <c r="B1672" s="839">
        <v>1352</v>
      </c>
      <c r="C1672" s="906">
        <v>2700</v>
      </c>
      <c r="D1672" s="907">
        <v>46070</v>
      </c>
      <c r="E1672" s="839" t="s">
        <v>286</v>
      </c>
      <c r="F1672" s="839" t="s">
        <v>287</v>
      </c>
      <c r="G1672" s="916">
        <f>VLOOKUP($A1672,'Tech Litons'!$A:$I,8,FALSE)</f>
        <v>2.8319999999999999E-3</v>
      </c>
      <c r="H1672" s="917">
        <f>VLOOKUP($A1672,'Tech Litons'!$A:$I,9,FALSE)</f>
        <v>225</v>
      </c>
      <c r="I1672" s="917" t="str">
        <f>VLOOKUP($A1672,'Tech Litons'!$A:$C,3,0)</f>
        <v>MBG</v>
      </c>
      <c r="J1672" s="918" t="str">
        <f t="shared" si="169"/>
        <v>1352MBG</v>
      </c>
      <c r="K1672" s="919">
        <v>1</v>
      </c>
      <c r="L1672" s="920">
        <f t="shared" si="168"/>
        <v>2700</v>
      </c>
      <c r="M1672" s="920">
        <f t="shared" si="170"/>
        <v>7.6463999999999999</v>
      </c>
      <c r="N1672" s="920">
        <f t="shared" si="171"/>
        <v>12</v>
      </c>
      <c r="O1672" s="918" t="str">
        <f t="shared" si="172"/>
        <v>Feb</v>
      </c>
      <c r="P1672" s="921">
        <f t="shared" si="173"/>
        <v>8</v>
      </c>
    </row>
    <row r="1673" spans="1:16" ht="15" hidden="1" customHeight="1">
      <c r="A1673" s="839">
        <v>68741714</v>
      </c>
      <c r="B1673" s="839">
        <v>1352</v>
      </c>
      <c r="C1673" s="906">
        <v>5137</v>
      </c>
      <c r="D1673" s="907">
        <v>46071</v>
      </c>
      <c r="E1673" s="839" t="s">
        <v>286</v>
      </c>
      <c r="F1673" s="839" t="s">
        <v>287</v>
      </c>
      <c r="G1673" s="916">
        <f>VLOOKUP($A1673,'Tech Litons'!$A:$I,8,FALSE)</f>
        <v>2.8319999999999999E-3</v>
      </c>
      <c r="H1673" s="917">
        <f>VLOOKUP($A1673,'Tech Litons'!$A:$I,9,FALSE)</f>
        <v>225</v>
      </c>
      <c r="I1673" s="917" t="str">
        <f>VLOOKUP($A1673,'Tech Litons'!$A:$C,3,0)</f>
        <v>MBG</v>
      </c>
      <c r="J1673" s="918" t="str">
        <f t="shared" si="169"/>
        <v>1352MBG</v>
      </c>
      <c r="K1673" s="919">
        <v>1</v>
      </c>
      <c r="L1673" s="920">
        <f t="shared" si="168"/>
        <v>5137</v>
      </c>
      <c r="M1673" s="920">
        <f t="shared" si="170"/>
        <v>14.547984</v>
      </c>
      <c r="N1673" s="920">
        <f t="shared" si="171"/>
        <v>22.83111111111111</v>
      </c>
      <c r="O1673" s="918" t="str">
        <f t="shared" si="172"/>
        <v>Feb</v>
      </c>
      <c r="P1673" s="921">
        <f t="shared" si="173"/>
        <v>8</v>
      </c>
    </row>
    <row r="1674" spans="1:16" ht="15" hidden="1" customHeight="1">
      <c r="A1674" s="839">
        <v>68741714</v>
      </c>
      <c r="B1674" s="839">
        <v>1352</v>
      </c>
      <c r="C1674" s="906">
        <v>2699</v>
      </c>
      <c r="D1674" s="907">
        <v>46071</v>
      </c>
      <c r="E1674" s="839" t="s">
        <v>286</v>
      </c>
      <c r="F1674" s="839" t="s">
        <v>287</v>
      </c>
      <c r="G1674" s="916">
        <f>VLOOKUP($A1674,'Tech Litons'!$A:$I,8,FALSE)</f>
        <v>2.8319999999999999E-3</v>
      </c>
      <c r="H1674" s="917">
        <f>VLOOKUP($A1674,'Tech Litons'!$A:$I,9,FALSE)</f>
        <v>225</v>
      </c>
      <c r="I1674" s="917" t="str">
        <f>VLOOKUP($A1674,'Tech Litons'!$A:$C,3,0)</f>
        <v>MBG</v>
      </c>
      <c r="J1674" s="918" t="str">
        <f t="shared" si="169"/>
        <v>1352MBG</v>
      </c>
      <c r="K1674" s="919">
        <v>1</v>
      </c>
      <c r="L1674" s="920">
        <f t="shared" si="168"/>
        <v>2699</v>
      </c>
      <c r="M1674" s="920">
        <f t="shared" si="170"/>
        <v>7.6435679999999993</v>
      </c>
      <c r="N1674" s="920">
        <f t="shared" si="171"/>
        <v>11.995555555555555</v>
      </c>
      <c r="O1674" s="918" t="str">
        <f t="shared" si="172"/>
        <v>Feb</v>
      </c>
      <c r="P1674" s="921">
        <f t="shared" si="173"/>
        <v>8</v>
      </c>
    </row>
    <row r="1675" spans="1:16" ht="15" hidden="1" customHeight="1">
      <c r="A1675" s="839">
        <v>68741714</v>
      </c>
      <c r="B1675" s="839">
        <v>1352</v>
      </c>
      <c r="C1675" s="906">
        <v>4769</v>
      </c>
      <c r="D1675" s="907">
        <v>46072</v>
      </c>
      <c r="E1675" s="839" t="s">
        <v>286</v>
      </c>
      <c r="F1675" s="839" t="s">
        <v>287</v>
      </c>
      <c r="G1675" s="916">
        <f>VLOOKUP($A1675,'Tech Litons'!$A:$I,8,FALSE)</f>
        <v>2.8319999999999999E-3</v>
      </c>
      <c r="H1675" s="917">
        <f>VLOOKUP($A1675,'Tech Litons'!$A:$I,9,FALSE)</f>
        <v>225</v>
      </c>
      <c r="I1675" s="917" t="str">
        <f>VLOOKUP($A1675,'Tech Litons'!$A:$C,3,0)</f>
        <v>MBG</v>
      </c>
      <c r="J1675" s="918" t="str">
        <f t="shared" si="169"/>
        <v>1352MBG</v>
      </c>
      <c r="K1675" s="919">
        <v>1</v>
      </c>
      <c r="L1675" s="920">
        <f t="shared" si="168"/>
        <v>4769</v>
      </c>
      <c r="M1675" s="920">
        <f t="shared" si="170"/>
        <v>13.505808</v>
      </c>
      <c r="N1675" s="920">
        <f t="shared" si="171"/>
        <v>21.195555555555554</v>
      </c>
      <c r="O1675" s="918" t="str">
        <f t="shared" si="172"/>
        <v>Feb</v>
      </c>
      <c r="P1675" s="921">
        <f t="shared" si="173"/>
        <v>8</v>
      </c>
    </row>
    <row r="1676" spans="1:16" ht="15" hidden="1" customHeight="1">
      <c r="A1676" s="839">
        <v>68741714</v>
      </c>
      <c r="B1676" s="839">
        <v>1352</v>
      </c>
      <c r="C1676" s="906">
        <v>2693</v>
      </c>
      <c r="D1676" s="907">
        <v>46072</v>
      </c>
      <c r="E1676" s="839" t="s">
        <v>286</v>
      </c>
      <c r="F1676" s="839" t="s">
        <v>287</v>
      </c>
      <c r="G1676" s="916">
        <f>VLOOKUP($A1676,'Tech Litons'!$A:$I,8,FALSE)</f>
        <v>2.8319999999999999E-3</v>
      </c>
      <c r="H1676" s="917">
        <f>VLOOKUP($A1676,'Tech Litons'!$A:$I,9,FALSE)</f>
        <v>225</v>
      </c>
      <c r="I1676" s="917" t="str">
        <f>VLOOKUP($A1676,'Tech Litons'!$A:$C,3,0)</f>
        <v>MBG</v>
      </c>
      <c r="J1676" s="918" t="str">
        <f t="shared" si="169"/>
        <v>1352MBG</v>
      </c>
      <c r="K1676" s="919">
        <v>1</v>
      </c>
      <c r="L1676" s="920">
        <f t="shared" si="168"/>
        <v>2693</v>
      </c>
      <c r="M1676" s="920">
        <f t="shared" si="170"/>
        <v>7.626576</v>
      </c>
      <c r="N1676" s="920">
        <f t="shared" si="171"/>
        <v>11.968888888888889</v>
      </c>
      <c r="O1676" s="918" t="str">
        <f t="shared" si="172"/>
        <v>Feb</v>
      </c>
      <c r="P1676" s="921">
        <f t="shared" si="173"/>
        <v>8</v>
      </c>
    </row>
    <row r="1677" spans="1:16" ht="15" hidden="1" customHeight="1">
      <c r="A1677" s="839">
        <v>68741714</v>
      </c>
      <c r="B1677" s="839">
        <v>1352</v>
      </c>
      <c r="C1677" s="906">
        <v>4064</v>
      </c>
      <c r="D1677" s="907">
        <v>46073</v>
      </c>
      <c r="E1677" s="839" t="s">
        <v>286</v>
      </c>
      <c r="F1677" s="839" t="s">
        <v>287</v>
      </c>
      <c r="G1677" s="916">
        <f>VLOOKUP($A1677,'Tech Litons'!$A:$I,8,FALSE)</f>
        <v>2.8319999999999999E-3</v>
      </c>
      <c r="H1677" s="917">
        <f>VLOOKUP($A1677,'Tech Litons'!$A:$I,9,FALSE)</f>
        <v>225</v>
      </c>
      <c r="I1677" s="917" t="str">
        <f>VLOOKUP($A1677,'Tech Litons'!$A:$C,3,0)</f>
        <v>MBG</v>
      </c>
      <c r="J1677" s="918" t="str">
        <f t="shared" si="169"/>
        <v>1352MBG</v>
      </c>
      <c r="K1677" s="919">
        <v>1</v>
      </c>
      <c r="L1677" s="920">
        <f t="shared" si="168"/>
        <v>4064</v>
      </c>
      <c r="M1677" s="920">
        <f t="shared" si="170"/>
        <v>11.509247999999999</v>
      </c>
      <c r="N1677" s="920">
        <f t="shared" si="171"/>
        <v>18.062222222222221</v>
      </c>
      <c r="O1677" s="918" t="str">
        <f t="shared" si="172"/>
        <v>Feb</v>
      </c>
      <c r="P1677" s="921">
        <f t="shared" si="173"/>
        <v>8</v>
      </c>
    </row>
    <row r="1678" spans="1:16" ht="15" hidden="1" customHeight="1">
      <c r="A1678" s="839">
        <v>68741714</v>
      </c>
      <c r="B1678" s="839">
        <v>1352</v>
      </c>
      <c r="C1678" s="906">
        <v>2925</v>
      </c>
      <c r="D1678" s="907">
        <v>46073</v>
      </c>
      <c r="E1678" s="839" t="s">
        <v>286</v>
      </c>
      <c r="F1678" s="839" t="s">
        <v>287</v>
      </c>
      <c r="G1678" s="916">
        <f>VLOOKUP($A1678,'Tech Litons'!$A:$I,8,FALSE)</f>
        <v>2.8319999999999999E-3</v>
      </c>
      <c r="H1678" s="917">
        <f>VLOOKUP($A1678,'Tech Litons'!$A:$I,9,FALSE)</f>
        <v>225</v>
      </c>
      <c r="I1678" s="917" t="str">
        <f>VLOOKUP($A1678,'Tech Litons'!$A:$C,3,0)</f>
        <v>MBG</v>
      </c>
      <c r="J1678" s="918" t="str">
        <f t="shared" si="169"/>
        <v>1352MBG</v>
      </c>
      <c r="K1678" s="919">
        <v>1</v>
      </c>
      <c r="L1678" s="920">
        <f t="shared" si="168"/>
        <v>2925</v>
      </c>
      <c r="M1678" s="920">
        <f t="shared" si="170"/>
        <v>8.2835999999999999</v>
      </c>
      <c r="N1678" s="920">
        <f t="shared" si="171"/>
        <v>13</v>
      </c>
      <c r="O1678" s="918" t="str">
        <f t="shared" si="172"/>
        <v>Feb</v>
      </c>
      <c r="P1678" s="921">
        <f t="shared" si="173"/>
        <v>8</v>
      </c>
    </row>
    <row r="1679" spans="1:16" ht="15" hidden="1" customHeight="1">
      <c r="A1679" s="839">
        <v>68741714</v>
      </c>
      <c r="B1679" s="839">
        <v>1352</v>
      </c>
      <c r="C1679" s="906">
        <v>3946</v>
      </c>
      <c r="D1679" s="907">
        <v>46074</v>
      </c>
      <c r="E1679" s="839" t="s">
        <v>286</v>
      </c>
      <c r="F1679" s="839" t="s">
        <v>287</v>
      </c>
      <c r="G1679" s="916">
        <f>VLOOKUP($A1679,'Tech Litons'!$A:$I,8,FALSE)</f>
        <v>2.8319999999999999E-3</v>
      </c>
      <c r="H1679" s="917">
        <f>VLOOKUP($A1679,'Tech Litons'!$A:$I,9,FALSE)</f>
        <v>225</v>
      </c>
      <c r="I1679" s="917" t="str">
        <f>VLOOKUP($A1679,'Tech Litons'!$A:$C,3,0)</f>
        <v>MBG</v>
      </c>
      <c r="J1679" s="918" t="str">
        <f t="shared" si="169"/>
        <v>1352MBG</v>
      </c>
      <c r="K1679" s="919">
        <v>1</v>
      </c>
      <c r="L1679" s="920">
        <f t="shared" si="168"/>
        <v>3946</v>
      </c>
      <c r="M1679" s="920">
        <f t="shared" si="170"/>
        <v>11.175072</v>
      </c>
      <c r="N1679" s="920">
        <f t="shared" si="171"/>
        <v>17.537777777777777</v>
      </c>
      <c r="O1679" s="918" t="str">
        <f t="shared" si="172"/>
        <v>Feb</v>
      </c>
      <c r="P1679" s="921">
        <f t="shared" si="173"/>
        <v>8</v>
      </c>
    </row>
    <row r="1680" spans="1:16" ht="15" hidden="1" customHeight="1">
      <c r="A1680" s="839">
        <v>68741714</v>
      </c>
      <c r="B1680" s="839">
        <v>1352</v>
      </c>
      <c r="C1680" s="906">
        <v>1752</v>
      </c>
      <c r="D1680" s="907">
        <v>46070</v>
      </c>
      <c r="E1680" s="839" t="s">
        <v>286</v>
      </c>
      <c r="F1680" s="839" t="s">
        <v>287</v>
      </c>
      <c r="G1680" s="916">
        <f>VLOOKUP($A1680,'Tech Litons'!$A:$I,8,FALSE)</f>
        <v>2.8319999999999999E-3</v>
      </c>
      <c r="H1680" s="917">
        <f>VLOOKUP($A1680,'Tech Litons'!$A:$I,9,FALSE)</f>
        <v>225</v>
      </c>
      <c r="I1680" s="917" t="str">
        <f>VLOOKUP($A1680,'Tech Litons'!$A:$C,3,0)</f>
        <v>MBG</v>
      </c>
      <c r="J1680" s="918" t="str">
        <f t="shared" si="169"/>
        <v>1352MBG</v>
      </c>
      <c r="K1680" s="919">
        <v>1</v>
      </c>
      <c r="L1680" s="920">
        <f t="shared" si="168"/>
        <v>1752</v>
      </c>
      <c r="M1680" s="920">
        <f t="shared" si="170"/>
        <v>4.9616639999999999</v>
      </c>
      <c r="N1680" s="920">
        <f t="shared" si="171"/>
        <v>7.7866666666666671</v>
      </c>
      <c r="O1680" s="918" t="str">
        <f t="shared" si="172"/>
        <v>Feb</v>
      </c>
      <c r="P1680" s="921">
        <f t="shared" si="173"/>
        <v>8</v>
      </c>
    </row>
    <row r="1681" spans="1:16" ht="15" hidden="1" customHeight="1">
      <c r="A1681" s="839">
        <v>68741742</v>
      </c>
      <c r="B1681" s="839">
        <v>1352</v>
      </c>
      <c r="C1681" s="906">
        <v>150</v>
      </c>
      <c r="D1681" s="907">
        <v>46050</v>
      </c>
      <c r="E1681" s="839" t="s">
        <v>288</v>
      </c>
      <c r="F1681" s="839" t="s">
        <v>289</v>
      </c>
      <c r="G1681" s="916">
        <f>VLOOKUP($A1681,'Tech Litons'!$A:$I,8,FALSE)</f>
        <v>4.2560000000000002E-3</v>
      </c>
      <c r="H1681" s="917">
        <f>VLOOKUP($A1681,'Tech Litons'!$A:$I,9,FALSE)</f>
        <v>154</v>
      </c>
      <c r="I1681" s="917" t="str">
        <f>VLOOKUP($A1681,'Tech Litons'!$A:$C,3,0)</f>
        <v>MBG</v>
      </c>
      <c r="J1681" s="918" t="str">
        <f t="shared" si="169"/>
        <v>1352MBG</v>
      </c>
      <c r="K1681" s="919">
        <v>1</v>
      </c>
      <c r="L1681" s="920">
        <f t="shared" si="168"/>
        <v>150</v>
      </c>
      <c r="M1681" s="920">
        <f t="shared" si="170"/>
        <v>0.63840000000000008</v>
      </c>
      <c r="N1681" s="920">
        <f t="shared" si="171"/>
        <v>0.97402597402597402</v>
      </c>
      <c r="O1681" s="918" t="str">
        <f t="shared" si="172"/>
        <v>Jan</v>
      </c>
      <c r="P1681" s="921">
        <f t="shared" si="173"/>
        <v>5</v>
      </c>
    </row>
    <row r="1682" spans="1:16" ht="15" hidden="1" customHeight="1">
      <c r="A1682" s="839">
        <v>68741742</v>
      </c>
      <c r="B1682" s="839">
        <v>1352</v>
      </c>
      <c r="C1682" s="906">
        <v>1386</v>
      </c>
      <c r="D1682" s="907">
        <v>46050</v>
      </c>
      <c r="E1682" s="839" t="s">
        <v>288</v>
      </c>
      <c r="F1682" s="839" t="s">
        <v>289</v>
      </c>
      <c r="G1682" s="916">
        <f>VLOOKUP($A1682,'Tech Litons'!$A:$I,8,FALSE)</f>
        <v>4.2560000000000002E-3</v>
      </c>
      <c r="H1682" s="917">
        <f>VLOOKUP($A1682,'Tech Litons'!$A:$I,9,FALSE)</f>
        <v>154</v>
      </c>
      <c r="I1682" s="917" t="str">
        <f>VLOOKUP($A1682,'Tech Litons'!$A:$C,3,0)</f>
        <v>MBG</v>
      </c>
      <c r="J1682" s="918" t="str">
        <f t="shared" si="169"/>
        <v>1352MBG</v>
      </c>
      <c r="K1682" s="919">
        <v>1</v>
      </c>
      <c r="L1682" s="920">
        <f t="shared" si="168"/>
        <v>1386</v>
      </c>
      <c r="M1682" s="920">
        <f t="shared" si="170"/>
        <v>5.8988160000000001</v>
      </c>
      <c r="N1682" s="920">
        <f t="shared" si="171"/>
        <v>9</v>
      </c>
      <c r="O1682" s="918" t="str">
        <f t="shared" si="172"/>
        <v>Jan</v>
      </c>
      <c r="P1682" s="921">
        <f t="shared" si="173"/>
        <v>5</v>
      </c>
    </row>
    <row r="1683" spans="1:16" ht="15" hidden="1" customHeight="1">
      <c r="A1683" s="839">
        <v>68741742</v>
      </c>
      <c r="B1683" s="839">
        <v>1352</v>
      </c>
      <c r="C1683" s="906">
        <v>1694</v>
      </c>
      <c r="D1683" s="907">
        <v>46050</v>
      </c>
      <c r="E1683" s="839" t="s">
        <v>288</v>
      </c>
      <c r="F1683" s="839" t="s">
        <v>289</v>
      </c>
      <c r="G1683" s="916">
        <f>VLOOKUP($A1683,'Tech Litons'!$A:$I,8,FALSE)</f>
        <v>4.2560000000000002E-3</v>
      </c>
      <c r="H1683" s="917">
        <f>VLOOKUP($A1683,'Tech Litons'!$A:$I,9,FALSE)</f>
        <v>154</v>
      </c>
      <c r="I1683" s="917" t="str">
        <f>VLOOKUP($A1683,'Tech Litons'!$A:$C,3,0)</f>
        <v>MBG</v>
      </c>
      <c r="J1683" s="918" t="str">
        <f t="shared" si="169"/>
        <v>1352MBG</v>
      </c>
      <c r="K1683" s="919">
        <v>1</v>
      </c>
      <c r="L1683" s="920">
        <f t="shared" si="168"/>
        <v>1694</v>
      </c>
      <c r="M1683" s="920">
        <f t="shared" si="170"/>
        <v>7.2096640000000001</v>
      </c>
      <c r="N1683" s="920">
        <f t="shared" si="171"/>
        <v>11</v>
      </c>
      <c r="O1683" s="918" t="str">
        <f t="shared" si="172"/>
        <v>Jan</v>
      </c>
      <c r="P1683" s="921">
        <f t="shared" si="173"/>
        <v>5</v>
      </c>
    </row>
    <row r="1684" spans="1:16" ht="15" hidden="1" customHeight="1">
      <c r="A1684" s="839">
        <v>68741742</v>
      </c>
      <c r="B1684" s="839">
        <v>1352</v>
      </c>
      <c r="C1684" s="906">
        <v>3944</v>
      </c>
      <c r="D1684" s="907">
        <v>46051</v>
      </c>
      <c r="E1684" s="839" t="s">
        <v>288</v>
      </c>
      <c r="F1684" s="839" t="s">
        <v>289</v>
      </c>
      <c r="G1684" s="916">
        <f>VLOOKUP($A1684,'Tech Litons'!$A:$I,8,FALSE)</f>
        <v>4.2560000000000002E-3</v>
      </c>
      <c r="H1684" s="917">
        <f>VLOOKUP($A1684,'Tech Litons'!$A:$I,9,FALSE)</f>
        <v>154</v>
      </c>
      <c r="I1684" s="917" t="str">
        <f>VLOOKUP($A1684,'Tech Litons'!$A:$C,3,0)</f>
        <v>MBG</v>
      </c>
      <c r="J1684" s="918" t="str">
        <f t="shared" si="169"/>
        <v>1352MBG</v>
      </c>
      <c r="K1684" s="919">
        <v>1</v>
      </c>
      <c r="L1684" s="920">
        <f t="shared" ref="L1684:L1747" si="174">C1684*$K1684</f>
        <v>3944</v>
      </c>
      <c r="M1684" s="920">
        <f t="shared" si="170"/>
        <v>16.785664000000001</v>
      </c>
      <c r="N1684" s="920">
        <f t="shared" si="171"/>
        <v>25.61038961038961</v>
      </c>
      <c r="O1684" s="918" t="str">
        <f t="shared" si="172"/>
        <v>Jan</v>
      </c>
      <c r="P1684" s="921">
        <f t="shared" si="173"/>
        <v>5</v>
      </c>
    </row>
    <row r="1685" spans="1:16" ht="15" hidden="1" customHeight="1">
      <c r="A1685" s="839">
        <v>68741742</v>
      </c>
      <c r="B1685" s="839">
        <v>1352</v>
      </c>
      <c r="C1685" s="906">
        <v>2772</v>
      </c>
      <c r="D1685" s="907">
        <v>46051</v>
      </c>
      <c r="E1685" s="839" t="s">
        <v>288</v>
      </c>
      <c r="F1685" s="839" t="s">
        <v>289</v>
      </c>
      <c r="G1685" s="916">
        <f>VLOOKUP($A1685,'Tech Litons'!$A:$I,8,FALSE)</f>
        <v>4.2560000000000002E-3</v>
      </c>
      <c r="H1685" s="917">
        <f>VLOOKUP($A1685,'Tech Litons'!$A:$I,9,FALSE)</f>
        <v>154</v>
      </c>
      <c r="I1685" s="917" t="str">
        <f>VLOOKUP($A1685,'Tech Litons'!$A:$C,3,0)</f>
        <v>MBG</v>
      </c>
      <c r="J1685" s="918" t="str">
        <f t="shared" ref="J1685:J1748" si="175">B1685&amp;I1685</f>
        <v>1352MBG</v>
      </c>
      <c r="K1685" s="919">
        <v>1</v>
      </c>
      <c r="L1685" s="920">
        <f t="shared" si="174"/>
        <v>2772</v>
      </c>
      <c r="M1685" s="920">
        <f t="shared" ref="M1685:M1748" si="176">L1685*G1685</f>
        <v>11.797632</v>
      </c>
      <c r="N1685" s="920">
        <f t="shared" ref="N1685:N1748" si="177">L1685/H1685</f>
        <v>18</v>
      </c>
      <c r="O1685" s="918" t="str">
        <f t="shared" ref="O1685:O1748" si="178">TEXT(D1685,"MMM")</f>
        <v>Jan</v>
      </c>
      <c r="P1685" s="921">
        <f t="shared" ref="P1685:P1748" si="179">WEEKNUM(D1685)</f>
        <v>5</v>
      </c>
    </row>
    <row r="1686" spans="1:16" ht="15" hidden="1" customHeight="1">
      <c r="A1686" s="839">
        <v>68741742</v>
      </c>
      <c r="B1686" s="839">
        <v>1352</v>
      </c>
      <c r="C1686" s="906">
        <v>4032</v>
      </c>
      <c r="D1686" s="907">
        <v>46052</v>
      </c>
      <c r="E1686" s="839" t="s">
        <v>288</v>
      </c>
      <c r="F1686" s="839" t="s">
        <v>289</v>
      </c>
      <c r="G1686" s="916">
        <f>VLOOKUP($A1686,'Tech Litons'!$A:$I,8,FALSE)</f>
        <v>4.2560000000000002E-3</v>
      </c>
      <c r="H1686" s="917">
        <f>VLOOKUP($A1686,'Tech Litons'!$A:$I,9,FALSE)</f>
        <v>154</v>
      </c>
      <c r="I1686" s="917" t="str">
        <f>VLOOKUP($A1686,'Tech Litons'!$A:$C,3,0)</f>
        <v>MBG</v>
      </c>
      <c r="J1686" s="918" t="str">
        <f t="shared" si="175"/>
        <v>1352MBG</v>
      </c>
      <c r="K1686" s="919">
        <v>1</v>
      </c>
      <c r="L1686" s="920">
        <f t="shared" si="174"/>
        <v>4032</v>
      </c>
      <c r="M1686" s="920">
        <f t="shared" si="176"/>
        <v>17.160192000000002</v>
      </c>
      <c r="N1686" s="920">
        <f t="shared" si="177"/>
        <v>26.181818181818183</v>
      </c>
      <c r="O1686" s="918" t="str">
        <f t="shared" si="178"/>
        <v>Jan</v>
      </c>
      <c r="P1686" s="921">
        <f t="shared" si="179"/>
        <v>5</v>
      </c>
    </row>
    <row r="1687" spans="1:16" ht="15" hidden="1" customHeight="1">
      <c r="A1687" s="839">
        <v>68741742</v>
      </c>
      <c r="B1687" s="839">
        <v>1352</v>
      </c>
      <c r="C1687" s="906">
        <v>2616</v>
      </c>
      <c r="D1687" s="907">
        <v>46052</v>
      </c>
      <c r="E1687" s="839" t="s">
        <v>288</v>
      </c>
      <c r="F1687" s="839" t="s">
        <v>289</v>
      </c>
      <c r="G1687" s="916">
        <f>VLOOKUP($A1687,'Tech Litons'!$A:$I,8,FALSE)</f>
        <v>4.2560000000000002E-3</v>
      </c>
      <c r="H1687" s="917">
        <f>VLOOKUP($A1687,'Tech Litons'!$A:$I,9,FALSE)</f>
        <v>154</v>
      </c>
      <c r="I1687" s="917" t="str">
        <f>VLOOKUP($A1687,'Tech Litons'!$A:$C,3,0)</f>
        <v>MBG</v>
      </c>
      <c r="J1687" s="918" t="str">
        <f t="shared" si="175"/>
        <v>1352MBG</v>
      </c>
      <c r="K1687" s="919">
        <v>1</v>
      </c>
      <c r="L1687" s="920">
        <f t="shared" si="174"/>
        <v>2616</v>
      </c>
      <c r="M1687" s="920">
        <f t="shared" si="176"/>
        <v>11.133696</v>
      </c>
      <c r="N1687" s="920">
        <f t="shared" si="177"/>
        <v>16.987012987012989</v>
      </c>
      <c r="O1687" s="918" t="str">
        <f t="shared" si="178"/>
        <v>Jan</v>
      </c>
      <c r="P1687" s="921">
        <f t="shared" si="179"/>
        <v>5</v>
      </c>
    </row>
    <row r="1688" spans="1:16" ht="15" hidden="1" customHeight="1">
      <c r="A1688" s="839">
        <v>68741742</v>
      </c>
      <c r="B1688" s="839">
        <v>1352</v>
      </c>
      <c r="C1688" s="906">
        <v>3709</v>
      </c>
      <c r="D1688" s="907">
        <v>46053</v>
      </c>
      <c r="E1688" s="839" t="s">
        <v>288</v>
      </c>
      <c r="F1688" s="839" t="s">
        <v>289</v>
      </c>
      <c r="G1688" s="916">
        <f>VLOOKUP($A1688,'Tech Litons'!$A:$I,8,FALSE)</f>
        <v>4.2560000000000002E-3</v>
      </c>
      <c r="H1688" s="917">
        <f>VLOOKUP($A1688,'Tech Litons'!$A:$I,9,FALSE)</f>
        <v>154</v>
      </c>
      <c r="I1688" s="917" t="str">
        <f>VLOOKUP($A1688,'Tech Litons'!$A:$C,3,0)</f>
        <v>MBG</v>
      </c>
      <c r="J1688" s="918" t="str">
        <f t="shared" si="175"/>
        <v>1352MBG</v>
      </c>
      <c r="K1688" s="919">
        <v>1</v>
      </c>
      <c r="L1688" s="920">
        <f t="shared" si="174"/>
        <v>3709</v>
      </c>
      <c r="M1688" s="920">
        <f t="shared" si="176"/>
        <v>15.785504000000001</v>
      </c>
      <c r="N1688" s="920">
        <f t="shared" si="177"/>
        <v>24.084415584415584</v>
      </c>
      <c r="O1688" s="918" t="str">
        <f t="shared" si="178"/>
        <v>Jan</v>
      </c>
      <c r="P1688" s="921">
        <f t="shared" si="179"/>
        <v>5</v>
      </c>
    </row>
    <row r="1689" spans="1:16" ht="15" hidden="1" customHeight="1">
      <c r="A1689" s="839">
        <v>68741742</v>
      </c>
      <c r="B1689" s="839">
        <v>1352</v>
      </c>
      <c r="C1689" s="906">
        <v>140</v>
      </c>
      <c r="D1689" s="907">
        <v>46052</v>
      </c>
      <c r="E1689" s="839" t="s">
        <v>288</v>
      </c>
      <c r="F1689" s="839" t="s">
        <v>289</v>
      </c>
      <c r="G1689" s="916">
        <f>VLOOKUP($A1689,'Tech Litons'!$A:$I,8,FALSE)</f>
        <v>4.2560000000000002E-3</v>
      </c>
      <c r="H1689" s="917">
        <f>VLOOKUP($A1689,'Tech Litons'!$A:$I,9,FALSE)</f>
        <v>154</v>
      </c>
      <c r="I1689" s="917" t="str">
        <f>VLOOKUP($A1689,'Tech Litons'!$A:$C,3,0)</f>
        <v>MBG</v>
      </c>
      <c r="J1689" s="918" t="str">
        <f t="shared" si="175"/>
        <v>1352MBG</v>
      </c>
      <c r="K1689" s="919">
        <v>1</v>
      </c>
      <c r="L1689" s="920">
        <f t="shared" si="174"/>
        <v>140</v>
      </c>
      <c r="M1689" s="920">
        <f t="shared" si="176"/>
        <v>0.59584000000000004</v>
      </c>
      <c r="N1689" s="920">
        <f t="shared" si="177"/>
        <v>0.90909090909090906</v>
      </c>
      <c r="O1689" s="918" t="str">
        <f t="shared" si="178"/>
        <v>Jan</v>
      </c>
      <c r="P1689" s="921">
        <f t="shared" si="179"/>
        <v>5</v>
      </c>
    </row>
    <row r="1690" spans="1:16" ht="15" hidden="1" customHeight="1">
      <c r="A1690" s="839">
        <v>68741742</v>
      </c>
      <c r="B1690" s="839">
        <v>1352</v>
      </c>
      <c r="C1690" s="906">
        <v>1639</v>
      </c>
      <c r="D1690" s="907">
        <v>46053</v>
      </c>
      <c r="E1690" s="839" t="s">
        <v>288</v>
      </c>
      <c r="F1690" s="839" t="s">
        <v>289</v>
      </c>
      <c r="G1690" s="916">
        <f>VLOOKUP($A1690,'Tech Litons'!$A:$I,8,FALSE)</f>
        <v>4.2560000000000002E-3</v>
      </c>
      <c r="H1690" s="917">
        <f>VLOOKUP($A1690,'Tech Litons'!$A:$I,9,FALSE)</f>
        <v>154</v>
      </c>
      <c r="I1690" s="917" t="str">
        <f>VLOOKUP($A1690,'Tech Litons'!$A:$C,3,0)</f>
        <v>MBG</v>
      </c>
      <c r="J1690" s="918" t="str">
        <f t="shared" si="175"/>
        <v>1352MBG</v>
      </c>
      <c r="K1690" s="919">
        <v>1</v>
      </c>
      <c r="L1690" s="920">
        <f t="shared" si="174"/>
        <v>1639</v>
      </c>
      <c r="M1690" s="920">
        <f t="shared" si="176"/>
        <v>6.9755840000000005</v>
      </c>
      <c r="N1690" s="920">
        <f t="shared" si="177"/>
        <v>10.642857142857142</v>
      </c>
      <c r="O1690" s="918" t="str">
        <f t="shared" si="178"/>
        <v>Jan</v>
      </c>
      <c r="P1690" s="921">
        <f t="shared" si="179"/>
        <v>5</v>
      </c>
    </row>
    <row r="1691" spans="1:16" ht="15" hidden="1" customHeight="1">
      <c r="A1691" s="839">
        <v>68741742</v>
      </c>
      <c r="B1691" s="839">
        <v>1352</v>
      </c>
      <c r="C1691" s="906">
        <v>-6</v>
      </c>
      <c r="D1691" s="907">
        <v>46063</v>
      </c>
      <c r="E1691" s="839" t="s">
        <v>288</v>
      </c>
      <c r="F1691" s="839" t="s">
        <v>289</v>
      </c>
      <c r="G1691" s="916">
        <f>VLOOKUP($A1691,'Tech Litons'!$A:$I,8,FALSE)</f>
        <v>4.2560000000000002E-3</v>
      </c>
      <c r="H1691" s="917">
        <f>VLOOKUP($A1691,'Tech Litons'!$A:$I,9,FALSE)</f>
        <v>154</v>
      </c>
      <c r="I1691" s="917" t="str">
        <f>VLOOKUP($A1691,'Tech Litons'!$A:$C,3,0)</f>
        <v>MBG</v>
      </c>
      <c r="J1691" s="918" t="str">
        <f t="shared" si="175"/>
        <v>1352MBG</v>
      </c>
      <c r="K1691" s="919">
        <v>1</v>
      </c>
      <c r="L1691" s="920">
        <f t="shared" si="174"/>
        <v>-6</v>
      </c>
      <c r="M1691" s="920">
        <f t="shared" si="176"/>
        <v>-2.5536000000000003E-2</v>
      </c>
      <c r="N1691" s="920">
        <f t="shared" si="177"/>
        <v>-3.896103896103896E-2</v>
      </c>
      <c r="O1691" s="918" t="str">
        <f t="shared" si="178"/>
        <v>Feb</v>
      </c>
      <c r="P1691" s="921">
        <f t="shared" si="179"/>
        <v>7</v>
      </c>
    </row>
    <row r="1692" spans="1:16" ht="15" hidden="1" customHeight="1">
      <c r="A1692" s="839">
        <v>68769685</v>
      </c>
      <c r="B1692" s="839">
        <v>1352</v>
      </c>
      <c r="C1692" s="906">
        <v>528</v>
      </c>
      <c r="D1692" s="907">
        <v>46052</v>
      </c>
      <c r="E1692" s="839" t="s">
        <v>395</v>
      </c>
      <c r="F1692" s="839" t="s">
        <v>261</v>
      </c>
      <c r="G1692" s="916">
        <f>VLOOKUP($A1692,'Tech Litons'!$A:$I,8,FALSE)</f>
        <v>8.513999999999999E-3</v>
      </c>
      <c r="H1692" s="917">
        <f>VLOOKUP($A1692,'Tech Litons'!$A:$I,9,FALSE)</f>
        <v>176</v>
      </c>
      <c r="I1692" s="917" t="str">
        <f>VLOOKUP($A1692,'Tech Litons'!$A:$C,3,0)</f>
        <v>48oz</v>
      </c>
      <c r="J1692" s="918" t="str">
        <f t="shared" si="175"/>
        <v>135248oz</v>
      </c>
      <c r="K1692" s="919">
        <v>1</v>
      </c>
      <c r="L1692" s="920">
        <f t="shared" si="174"/>
        <v>528</v>
      </c>
      <c r="M1692" s="920">
        <f t="shared" si="176"/>
        <v>4.4953919999999998</v>
      </c>
      <c r="N1692" s="920">
        <f t="shared" si="177"/>
        <v>3</v>
      </c>
      <c r="O1692" s="918" t="str">
        <f t="shared" si="178"/>
        <v>Jan</v>
      </c>
      <c r="P1692" s="921">
        <f t="shared" si="179"/>
        <v>5</v>
      </c>
    </row>
    <row r="1693" spans="1:16" ht="15" hidden="1" customHeight="1">
      <c r="A1693" s="839">
        <v>68769685</v>
      </c>
      <c r="B1693" s="839">
        <v>1352</v>
      </c>
      <c r="C1693" s="906">
        <v>4031</v>
      </c>
      <c r="D1693" s="907">
        <v>46053</v>
      </c>
      <c r="E1693" s="839" t="s">
        <v>395</v>
      </c>
      <c r="F1693" s="839" t="s">
        <v>261</v>
      </c>
      <c r="G1693" s="916">
        <f>VLOOKUP($A1693,'Tech Litons'!$A:$I,8,FALSE)</f>
        <v>8.513999999999999E-3</v>
      </c>
      <c r="H1693" s="917">
        <f>VLOOKUP($A1693,'Tech Litons'!$A:$I,9,FALSE)</f>
        <v>176</v>
      </c>
      <c r="I1693" s="917" t="str">
        <f>VLOOKUP($A1693,'Tech Litons'!$A:$C,3,0)</f>
        <v>48oz</v>
      </c>
      <c r="J1693" s="918" t="str">
        <f t="shared" si="175"/>
        <v>135248oz</v>
      </c>
      <c r="K1693" s="919">
        <v>1</v>
      </c>
      <c r="L1693" s="920">
        <f t="shared" si="174"/>
        <v>4031</v>
      </c>
      <c r="M1693" s="920">
        <f t="shared" si="176"/>
        <v>34.319933999999996</v>
      </c>
      <c r="N1693" s="920">
        <f t="shared" si="177"/>
        <v>22.90340909090909</v>
      </c>
      <c r="O1693" s="918" t="str">
        <f t="shared" si="178"/>
        <v>Jan</v>
      </c>
      <c r="P1693" s="921">
        <f t="shared" si="179"/>
        <v>5</v>
      </c>
    </row>
    <row r="1694" spans="1:16" ht="15" hidden="1" customHeight="1">
      <c r="A1694" s="839">
        <v>68769685</v>
      </c>
      <c r="B1694" s="839">
        <v>1352</v>
      </c>
      <c r="C1694" s="906">
        <v>2412</v>
      </c>
      <c r="D1694" s="907">
        <v>46053</v>
      </c>
      <c r="E1694" s="839" t="s">
        <v>395</v>
      </c>
      <c r="F1694" s="839" t="s">
        <v>261</v>
      </c>
      <c r="G1694" s="916">
        <f>VLOOKUP($A1694,'Tech Litons'!$A:$I,8,FALSE)</f>
        <v>8.513999999999999E-3</v>
      </c>
      <c r="H1694" s="917">
        <f>VLOOKUP($A1694,'Tech Litons'!$A:$I,9,FALSE)</f>
        <v>176</v>
      </c>
      <c r="I1694" s="917" t="str">
        <f>VLOOKUP($A1694,'Tech Litons'!$A:$C,3,0)</f>
        <v>48oz</v>
      </c>
      <c r="J1694" s="918" t="str">
        <f t="shared" si="175"/>
        <v>135248oz</v>
      </c>
      <c r="K1694" s="919">
        <v>1</v>
      </c>
      <c r="L1694" s="920">
        <f t="shared" si="174"/>
        <v>2412</v>
      </c>
      <c r="M1694" s="920">
        <f t="shared" si="176"/>
        <v>20.535767999999997</v>
      </c>
      <c r="N1694" s="920">
        <f t="shared" si="177"/>
        <v>13.704545454545455</v>
      </c>
      <c r="O1694" s="918" t="str">
        <f t="shared" si="178"/>
        <v>Jan</v>
      </c>
      <c r="P1694" s="921">
        <f t="shared" si="179"/>
        <v>5</v>
      </c>
    </row>
    <row r="1695" spans="1:16" ht="15" hidden="1" customHeight="1">
      <c r="A1695" s="839">
        <v>68769685</v>
      </c>
      <c r="B1695" s="839">
        <v>1352</v>
      </c>
      <c r="C1695" s="906">
        <v>3567</v>
      </c>
      <c r="D1695" s="907">
        <v>46054</v>
      </c>
      <c r="E1695" s="839" t="s">
        <v>395</v>
      </c>
      <c r="F1695" s="839" t="s">
        <v>261</v>
      </c>
      <c r="G1695" s="916">
        <f>VLOOKUP($A1695,'Tech Litons'!$A:$I,8,FALSE)</f>
        <v>8.513999999999999E-3</v>
      </c>
      <c r="H1695" s="917">
        <f>VLOOKUP($A1695,'Tech Litons'!$A:$I,9,FALSE)</f>
        <v>176</v>
      </c>
      <c r="I1695" s="917" t="str">
        <f>VLOOKUP($A1695,'Tech Litons'!$A:$C,3,0)</f>
        <v>48oz</v>
      </c>
      <c r="J1695" s="918" t="str">
        <f t="shared" si="175"/>
        <v>135248oz</v>
      </c>
      <c r="K1695" s="919">
        <v>1</v>
      </c>
      <c r="L1695" s="920">
        <f t="shared" si="174"/>
        <v>3567</v>
      </c>
      <c r="M1695" s="920">
        <f t="shared" si="176"/>
        <v>30.369437999999995</v>
      </c>
      <c r="N1695" s="920">
        <f t="shared" si="177"/>
        <v>20.267045454545453</v>
      </c>
      <c r="O1695" s="918" t="str">
        <f t="shared" si="178"/>
        <v>Feb</v>
      </c>
      <c r="P1695" s="921">
        <f t="shared" si="179"/>
        <v>6</v>
      </c>
    </row>
    <row r="1696" spans="1:16" ht="15" hidden="1" customHeight="1">
      <c r="A1696" s="839">
        <v>68769685</v>
      </c>
      <c r="B1696" s="839">
        <v>1352</v>
      </c>
      <c r="C1696" s="906">
        <v>3344</v>
      </c>
      <c r="D1696" s="907">
        <v>46054</v>
      </c>
      <c r="E1696" s="839" t="s">
        <v>395</v>
      </c>
      <c r="F1696" s="839" t="s">
        <v>261</v>
      </c>
      <c r="G1696" s="916">
        <f>VLOOKUP($A1696,'Tech Litons'!$A:$I,8,FALSE)</f>
        <v>8.513999999999999E-3</v>
      </c>
      <c r="H1696" s="917">
        <f>VLOOKUP($A1696,'Tech Litons'!$A:$I,9,FALSE)</f>
        <v>176</v>
      </c>
      <c r="I1696" s="917" t="str">
        <f>VLOOKUP($A1696,'Tech Litons'!$A:$C,3,0)</f>
        <v>48oz</v>
      </c>
      <c r="J1696" s="918" t="str">
        <f t="shared" si="175"/>
        <v>135248oz</v>
      </c>
      <c r="K1696" s="919">
        <v>1</v>
      </c>
      <c r="L1696" s="920">
        <f t="shared" si="174"/>
        <v>3344</v>
      </c>
      <c r="M1696" s="920">
        <f t="shared" si="176"/>
        <v>28.470815999999996</v>
      </c>
      <c r="N1696" s="920">
        <f t="shared" si="177"/>
        <v>19</v>
      </c>
      <c r="O1696" s="918" t="str">
        <f t="shared" si="178"/>
        <v>Feb</v>
      </c>
      <c r="P1696" s="921">
        <f t="shared" si="179"/>
        <v>6</v>
      </c>
    </row>
    <row r="1697" spans="1:16" ht="15" hidden="1" customHeight="1">
      <c r="A1697" s="839">
        <v>68769685</v>
      </c>
      <c r="B1697" s="839">
        <v>1352</v>
      </c>
      <c r="C1697" s="906">
        <v>7669</v>
      </c>
      <c r="D1697" s="907">
        <v>46055</v>
      </c>
      <c r="E1697" s="839" t="s">
        <v>395</v>
      </c>
      <c r="F1697" s="839" t="s">
        <v>261</v>
      </c>
      <c r="G1697" s="916">
        <f>VLOOKUP($A1697,'Tech Litons'!$A:$I,8,FALSE)</f>
        <v>8.513999999999999E-3</v>
      </c>
      <c r="H1697" s="917">
        <f>VLOOKUP($A1697,'Tech Litons'!$A:$I,9,FALSE)</f>
        <v>176</v>
      </c>
      <c r="I1697" s="917" t="str">
        <f>VLOOKUP($A1697,'Tech Litons'!$A:$C,3,0)</f>
        <v>48oz</v>
      </c>
      <c r="J1697" s="918" t="str">
        <f t="shared" si="175"/>
        <v>135248oz</v>
      </c>
      <c r="K1697" s="919">
        <v>1</v>
      </c>
      <c r="L1697" s="920">
        <f t="shared" si="174"/>
        <v>7669</v>
      </c>
      <c r="M1697" s="920">
        <f t="shared" si="176"/>
        <v>65.293865999999994</v>
      </c>
      <c r="N1697" s="920">
        <f t="shared" si="177"/>
        <v>43.573863636363633</v>
      </c>
      <c r="O1697" s="918" t="str">
        <f t="shared" si="178"/>
        <v>Feb</v>
      </c>
      <c r="P1697" s="921">
        <f t="shared" si="179"/>
        <v>6</v>
      </c>
    </row>
    <row r="1698" spans="1:16" ht="15" hidden="1" customHeight="1">
      <c r="A1698" s="839">
        <v>68769685</v>
      </c>
      <c r="B1698" s="839">
        <v>1352</v>
      </c>
      <c r="C1698" s="906">
        <v>352</v>
      </c>
      <c r="D1698" s="907">
        <v>46058</v>
      </c>
      <c r="E1698" s="839" t="s">
        <v>395</v>
      </c>
      <c r="F1698" s="839" t="s">
        <v>261</v>
      </c>
      <c r="G1698" s="916">
        <f>VLOOKUP($A1698,'Tech Litons'!$A:$I,8,FALSE)</f>
        <v>8.513999999999999E-3</v>
      </c>
      <c r="H1698" s="917">
        <f>VLOOKUP($A1698,'Tech Litons'!$A:$I,9,FALSE)</f>
        <v>176</v>
      </c>
      <c r="I1698" s="917" t="str">
        <f>VLOOKUP($A1698,'Tech Litons'!$A:$C,3,0)</f>
        <v>48oz</v>
      </c>
      <c r="J1698" s="918" t="str">
        <f t="shared" si="175"/>
        <v>135248oz</v>
      </c>
      <c r="K1698" s="919">
        <v>1</v>
      </c>
      <c r="L1698" s="920">
        <f t="shared" si="174"/>
        <v>352</v>
      </c>
      <c r="M1698" s="920">
        <f t="shared" si="176"/>
        <v>2.9969279999999996</v>
      </c>
      <c r="N1698" s="920">
        <f t="shared" si="177"/>
        <v>2</v>
      </c>
      <c r="O1698" s="918" t="str">
        <f t="shared" si="178"/>
        <v>Feb</v>
      </c>
      <c r="P1698" s="921">
        <f t="shared" si="179"/>
        <v>6</v>
      </c>
    </row>
    <row r="1699" spans="1:16" ht="15" hidden="1" customHeight="1">
      <c r="A1699" s="839">
        <v>68769685</v>
      </c>
      <c r="B1699" s="839">
        <v>1352</v>
      </c>
      <c r="C1699" s="906">
        <v>4048</v>
      </c>
      <c r="D1699" s="907">
        <v>46055</v>
      </c>
      <c r="E1699" s="839" t="s">
        <v>395</v>
      </c>
      <c r="F1699" s="839" t="s">
        <v>261</v>
      </c>
      <c r="G1699" s="916">
        <f>VLOOKUP($A1699,'Tech Litons'!$A:$I,8,FALSE)</f>
        <v>8.513999999999999E-3</v>
      </c>
      <c r="H1699" s="917">
        <f>VLOOKUP($A1699,'Tech Litons'!$A:$I,9,FALSE)</f>
        <v>176</v>
      </c>
      <c r="I1699" s="917" t="str">
        <f>VLOOKUP($A1699,'Tech Litons'!$A:$C,3,0)</f>
        <v>48oz</v>
      </c>
      <c r="J1699" s="918" t="str">
        <f t="shared" si="175"/>
        <v>135248oz</v>
      </c>
      <c r="K1699" s="919">
        <v>1</v>
      </c>
      <c r="L1699" s="920">
        <f t="shared" si="174"/>
        <v>4048</v>
      </c>
      <c r="M1699" s="920">
        <f t="shared" si="176"/>
        <v>34.464671999999993</v>
      </c>
      <c r="N1699" s="920">
        <f t="shared" si="177"/>
        <v>23</v>
      </c>
      <c r="O1699" s="918" t="str">
        <f t="shared" si="178"/>
        <v>Feb</v>
      </c>
      <c r="P1699" s="921">
        <f t="shared" si="179"/>
        <v>6</v>
      </c>
    </row>
    <row r="1700" spans="1:16" ht="15" hidden="1" customHeight="1">
      <c r="A1700" s="839">
        <v>68769685</v>
      </c>
      <c r="B1700" s="839">
        <v>1352</v>
      </c>
      <c r="C1700" s="906">
        <v>9144</v>
      </c>
      <c r="D1700" s="907">
        <v>46056</v>
      </c>
      <c r="E1700" s="839" t="s">
        <v>395</v>
      </c>
      <c r="F1700" s="839" t="s">
        <v>261</v>
      </c>
      <c r="G1700" s="916">
        <f>VLOOKUP($A1700,'Tech Litons'!$A:$I,8,FALSE)</f>
        <v>8.513999999999999E-3</v>
      </c>
      <c r="H1700" s="917">
        <f>VLOOKUP($A1700,'Tech Litons'!$A:$I,9,FALSE)</f>
        <v>176</v>
      </c>
      <c r="I1700" s="917" t="str">
        <f>VLOOKUP($A1700,'Tech Litons'!$A:$C,3,0)</f>
        <v>48oz</v>
      </c>
      <c r="J1700" s="918" t="str">
        <f t="shared" si="175"/>
        <v>135248oz</v>
      </c>
      <c r="K1700" s="919">
        <v>1</v>
      </c>
      <c r="L1700" s="920">
        <f t="shared" si="174"/>
        <v>9144</v>
      </c>
      <c r="M1700" s="920">
        <f t="shared" si="176"/>
        <v>77.852015999999992</v>
      </c>
      <c r="N1700" s="920">
        <f t="shared" si="177"/>
        <v>51.954545454545453</v>
      </c>
      <c r="O1700" s="918" t="str">
        <f t="shared" si="178"/>
        <v>Feb</v>
      </c>
      <c r="P1700" s="921">
        <f t="shared" si="179"/>
        <v>6</v>
      </c>
    </row>
    <row r="1701" spans="1:16" ht="15" hidden="1" customHeight="1">
      <c r="A1701" s="839">
        <v>68817793</v>
      </c>
      <c r="B1701" s="839">
        <v>1352</v>
      </c>
      <c r="C1701" s="906">
        <v>1914</v>
      </c>
      <c r="D1701" s="907">
        <v>46050</v>
      </c>
      <c r="E1701" s="839" t="s">
        <v>353</v>
      </c>
      <c r="F1701" s="839" t="s">
        <v>290</v>
      </c>
      <c r="G1701" s="916">
        <f>VLOOKUP($A1701,'Tech Litons'!$A:$I,8,FALSE)</f>
        <v>8.5199999999999998E-3</v>
      </c>
      <c r="H1701" s="917">
        <f>VLOOKUP($A1701,'Tech Litons'!$A:$I,9,FALSE)</f>
        <v>176</v>
      </c>
      <c r="I1701" s="917" t="str">
        <f>VLOOKUP($A1701,'Tech Litons'!$A:$C,3,0)</f>
        <v>48oz</v>
      </c>
      <c r="J1701" s="918" t="str">
        <f t="shared" si="175"/>
        <v>135248oz</v>
      </c>
      <c r="K1701" s="919">
        <v>1</v>
      </c>
      <c r="L1701" s="920">
        <f t="shared" si="174"/>
        <v>1914</v>
      </c>
      <c r="M1701" s="920">
        <f t="shared" si="176"/>
        <v>16.307279999999999</v>
      </c>
      <c r="N1701" s="920">
        <f t="shared" si="177"/>
        <v>10.875</v>
      </c>
      <c r="O1701" s="918" t="str">
        <f t="shared" si="178"/>
        <v>Jan</v>
      </c>
      <c r="P1701" s="921">
        <f t="shared" si="179"/>
        <v>5</v>
      </c>
    </row>
    <row r="1702" spans="1:16" ht="15" hidden="1" customHeight="1">
      <c r="A1702" s="839">
        <v>68817793</v>
      </c>
      <c r="B1702" s="839">
        <v>1352</v>
      </c>
      <c r="C1702" s="906">
        <v>3225</v>
      </c>
      <c r="D1702" s="907">
        <v>46050</v>
      </c>
      <c r="E1702" s="839" t="s">
        <v>353</v>
      </c>
      <c r="F1702" s="839" t="s">
        <v>290</v>
      </c>
      <c r="G1702" s="916">
        <f>VLOOKUP($A1702,'Tech Litons'!$A:$I,8,FALSE)</f>
        <v>8.5199999999999998E-3</v>
      </c>
      <c r="H1702" s="917">
        <f>VLOOKUP($A1702,'Tech Litons'!$A:$I,9,FALSE)</f>
        <v>176</v>
      </c>
      <c r="I1702" s="917" t="str">
        <f>VLOOKUP($A1702,'Tech Litons'!$A:$C,3,0)</f>
        <v>48oz</v>
      </c>
      <c r="J1702" s="918" t="str">
        <f t="shared" si="175"/>
        <v>135248oz</v>
      </c>
      <c r="K1702" s="919">
        <v>1</v>
      </c>
      <c r="L1702" s="920">
        <f t="shared" si="174"/>
        <v>3225</v>
      </c>
      <c r="M1702" s="920">
        <f t="shared" si="176"/>
        <v>27.477</v>
      </c>
      <c r="N1702" s="920">
        <f t="shared" si="177"/>
        <v>18.323863636363637</v>
      </c>
      <c r="O1702" s="918" t="str">
        <f t="shared" si="178"/>
        <v>Jan</v>
      </c>
      <c r="P1702" s="921">
        <f t="shared" si="179"/>
        <v>5</v>
      </c>
    </row>
    <row r="1703" spans="1:16" ht="15" hidden="1" customHeight="1">
      <c r="A1703" s="839">
        <v>68817793</v>
      </c>
      <c r="B1703" s="839">
        <v>1352</v>
      </c>
      <c r="C1703" s="906">
        <v>2893</v>
      </c>
      <c r="D1703" s="907">
        <v>46051</v>
      </c>
      <c r="E1703" s="839" t="s">
        <v>353</v>
      </c>
      <c r="F1703" s="839" t="s">
        <v>290</v>
      </c>
      <c r="G1703" s="916">
        <f>VLOOKUP($A1703,'Tech Litons'!$A:$I,8,FALSE)</f>
        <v>8.5199999999999998E-3</v>
      </c>
      <c r="H1703" s="917">
        <f>VLOOKUP($A1703,'Tech Litons'!$A:$I,9,FALSE)</f>
        <v>176</v>
      </c>
      <c r="I1703" s="917" t="str">
        <f>VLOOKUP($A1703,'Tech Litons'!$A:$C,3,0)</f>
        <v>48oz</v>
      </c>
      <c r="J1703" s="918" t="str">
        <f t="shared" si="175"/>
        <v>135248oz</v>
      </c>
      <c r="K1703" s="919">
        <v>1</v>
      </c>
      <c r="L1703" s="920">
        <f t="shared" si="174"/>
        <v>2893</v>
      </c>
      <c r="M1703" s="920">
        <f t="shared" si="176"/>
        <v>24.64836</v>
      </c>
      <c r="N1703" s="920">
        <f t="shared" si="177"/>
        <v>16.4375</v>
      </c>
      <c r="O1703" s="918" t="str">
        <f t="shared" si="178"/>
        <v>Jan</v>
      </c>
      <c r="P1703" s="921">
        <f t="shared" si="179"/>
        <v>5</v>
      </c>
    </row>
    <row r="1704" spans="1:16" ht="15" hidden="1" customHeight="1">
      <c r="A1704" s="839">
        <v>68817793</v>
      </c>
      <c r="B1704" s="839">
        <v>1352</v>
      </c>
      <c r="C1704" s="906">
        <v>37</v>
      </c>
      <c r="D1704" s="907">
        <v>46052</v>
      </c>
      <c r="E1704" s="839" t="s">
        <v>353</v>
      </c>
      <c r="F1704" s="839" t="s">
        <v>290</v>
      </c>
      <c r="G1704" s="916">
        <f>VLOOKUP($A1704,'Tech Litons'!$A:$I,8,FALSE)</f>
        <v>8.5199999999999998E-3</v>
      </c>
      <c r="H1704" s="917">
        <f>VLOOKUP($A1704,'Tech Litons'!$A:$I,9,FALSE)</f>
        <v>176</v>
      </c>
      <c r="I1704" s="917" t="str">
        <f>VLOOKUP($A1704,'Tech Litons'!$A:$C,3,0)</f>
        <v>48oz</v>
      </c>
      <c r="J1704" s="918" t="str">
        <f t="shared" si="175"/>
        <v>135248oz</v>
      </c>
      <c r="K1704" s="919">
        <v>1</v>
      </c>
      <c r="L1704" s="920">
        <f t="shared" si="174"/>
        <v>37</v>
      </c>
      <c r="M1704" s="920">
        <f t="shared" si="176"/>
        <v>0.31523999999999996</v>
      </c>
      <c r="N1704" s="920">
        <f t="shared" si="177"/>
        <v>0.21022727272727273</v>
      </c>
      <c r="O1704" s="918" t="str">
        <f t="shared" si="178"/>
        <v>Jan</v>
      </c>
      <c r="P1704" s="921">
        <f t="shared" si="179"/>
        <v>5</v>
      </c>
    </row>
    <row r="1705" spans="1:16" ht="15" hidden="1" customHeight="1">
      <c r="A1705" s="839">
        <v>68817793</v>
      </c>
      <c r="B1705" s="839">
        <v>1352</v>
      </c>
      <c r="C1705" s="906">
        <v>154</v>
      </c>
      <c r="D1705" s="907">
        <v>46050</v>
      </c>
      <c r="E1705" s="839" t="s">
        <v>353</v>
      </c>
      <c r="F1705" s="839" t="s">
        <v>266</v>
      </c>
      <c r="G1705" s="916">
        <f>VLOOKUP($A1705,'Tech Litons'!$A:$I,8,FALSE)</f>
        <v>8.5199999999999998E-3</v>
      </c>
      <c r="H1705" s="917">
        <f>VLOOKUP($A1705,'Tech Litons'!$A:$I,9,FALSE)</f>
        <v>176</v>
      </c>
      <c r="I1705" s="917" t="str">
        <f>VLOOKUP($A1705,'Tech Litons'!$A:$C,3,0)</f>
        <v>48oz</v>
      </c>
      <c r="J1705" s="918" t="str">
        <f t="shared" si="175"/>
        <v>135248oz</v>
      </c>
      <c r="K1705" s="919">
        <v>1</v>
      </c>
      <c r="L1705" s="920">
        <f t="shared" si="174"/>
        <v>154</v>
      </c>
      <c r="M1705" s="920">
        <f t="shared" si="176"/>
        <v>1.3120799999999999</v>
      </c>
      <c r="N1705" s="920">
        <f t="shared" si="177"/>
        <v>0.875</v>
      </c>
      <c r="O1705" s="918" t="str">
        <f t="shared" si="178"/>
        <v>Jan</v>
      </c>
      <c r="P1705" s="921">
        <f t="shared" si="179"/>
        <v>5</v>
      </c>
    </row>
    <row r="1706" spans="1:16" ht="15" hidden="1" customHeight="1">
      <c r="A1706" s="839">
        <v>68817793</v>
      </c>
      <c r="B1706" s="839">
        <v>1352</v>
      </c>
      <c r="C1706" s="906">
        <v>9744</v>
      </c>
      <c r="D1706" s="907">
        <v>46053</v>
      </c>
      <c r="E1706" s="839" t="s">
        <v>353</v>
      </c>
      <c r="F1706" s="839" t="s">
        <v>290</v>
      </c>
      <c r="G1706" s="916">
        <f>VLOOKUP($A1706,'Tech Litons'!$A:$I,8,FALSE)</f>
        <v>8.5199999999999998E-3</v>
      </c>
      <c r="H1706" s="917">
        <f>VLOOKUP($A1706,'Tech Litons'!$A:$I,9,FALSE)</f>
        <v>176</v>
      </c>
      <c r="I1706" s="917" t="str">
        <f>VLOOKUP($A1706,'Tech Litons'!$A:$C,3,0)</f>
        <v>48oz</v>
      </c>
      <c r="J1706" s="918" t="str">
        <f t="shared" si="175"/>
        <v>135248oz</v>
      </c>
      <c r="K1706" s="919">
        <v>1</v>
      </c>
      <c r="L1706" s="920">
        <f t="shared" si="174"/>
        <v>9744</v>
      </c>
      <c r="M1706" s="920">
        <f t="shared" si="176"/>
        <v>83.018879999999996</v>
      </c>
      <c r="N1706" s="920">
        <f t="shared" si="177"/>
        <v>55.363636363636367</v>
      </c>
      <c r="O1706" s="918" t="str">
        <f t="shared" si="178"/>
        <v>Jan</v>
      </c>
      <c r="P1706" s="921">
        <f t="shared" si="179"/>
        <v>5</v>
      </c>
    </row>
    <row r="1707" spans="1:16" ht="15" hidden="1" customHeight="1">
      <c r="A1707" s="839">
        <v>68817793</v>
      </c>
      <c r="B1707" s="839">
        <v>1352</v>
      </c>
      <c r="C1707" s="906">
        <v>5560</v>
      </c>
      <c r="D1707" s="907">
        <v>46054</v>
      </c>
      <c r="E1707" s="839" t="s">
        <v>353</v>
      </c>
      <c r="F1707" s="839" t="s">
        <v>290</v>
      </c>
      <c r="G1707" s="916">
        <f>VLOOKUP($A1707,'Tech Litons'!$A:$I,8,FALSE)</f>
        <v>8.5199999999999998E-3</v>
      </c>
      <c r="H1707" s="917">
        <f>VLOOKUP($A1707,'Tech Litons'!$A:$I,9,FALSE)</f>
        <v>176</v>
      </c>
      <c r="I1707" s="917" t="str">
        <f>VLOOKUP($A1707,'Tech Litons'!$A:$C,3,0)</f>
        <v>48oz</v>
      </c>
      <c r="J1707" s="918" t="str">
        <f t="shared" si="175"/>
        <v>135248oz</v>
      </c>
      <c r="K1707" s="919">
        <v>1</v>
      </c>
      <c r="L1707" s="920">
        <f t="shared" si="174"/>
        <v>5560</v>
      </c>
      <c r="M1707" s="920">
        <f t="shared" si="176"/>
        <v>47.371200000000002</v>
      </c>
      <c r="N1707" s="920">
        <f t="shared" si="177"/>
        <v>31.59090909090909</v>
      </c>
      <c r="O1707" s="918" t="str">
        <f t="shared" si="178"/>
        <v>Feb</v>
      </c>
      <c r="P1707" s="921">
        <f t="shared" si="179"/>
        <v>6</v>
      </c>
    </row>
    <row r="1708" spans="1:16" ht="15" hidden="1" customHeight="1">
      <c r="A1708" s="839">
        <v>68817793</v>
      </c>
      <c r="B1708" s="839">
        <v>1352</v>
      </c>
      <c r="C1708" s="906">
        <v>3247</v>
      </c>
      <c r="D1708" s="907">
        <v>46051</v>
      </c>
      <c r="E1708" s="839" t="s">
        <v>353</v>
      </c>
      <c r="F1708" s="839" t="s">
        <v>290</v>
      </c>
      <c r="G1708" s="916">
        <f>VLOOKUP($A1708,'Tech Litons'!$A:$I,8,FALSE)</f>
        <v>8.5199999999999998E-3</v>
      </c>
      <c r="H1708" s="917">
        <f>VLOOKUP($A1708,'Tech Litons'!$A:$I,9,FALSE)</f>
        <v>176</v>
      </c>
      <c r="I1708" s="917" t="str">
        <f>VLOOKUP($A1708,'Tech Litons'!$A:$C,3,0)</f>
        <v>48oz</v>
      </c>
      <c r="J1708" s="918" t="str">
        <f t="shared" si="175"/>
        <v>135248oz</v>
      </c>
      <c r="K1708" s="919">
        <v>1</v>
      </c>
      <c r="L1708" s="920">
        <f t="shared" si="174"/>
        <v>3247</v>
      </c>
      <c r="M1708" s="920">
        <f t="shared" si="176"/>
        <v>27.664439999999999</v>
      </c>
      <c r="N1708" s="920">
        <f t="shared" si="177"/>
        <v>18.448863636363637</v>
      </c>
      <c r="O1708" s="918" t="str">
        <f t="shared" si="178"/>
        <v>Jan</v>
      </c>
      <c r="P1708" s="921">
        <f t="shared" si="179"/>
        <v>5</v>
      </c>
    </row>
    <row r="1709" spans="1:16" ht="15" hidden="1" customHeight="1">
      <c r="A1709" s="839">
        <v>68817793</v>
      </c>
      <c r="B1709" s="839">
        <v>1352</v>
      </c>
      <c r="C1709" s="906">
        <v>5965</v>
      </c>
      <c r="D1709" s="907">
        <v>46052</v>
      </c>
      <c r="E1709" s="839" t="s">
        <v>353</v>
      </c>
      <c r="F1709" s="839" t="s">
        <v>290</v>
      </c>
      <c r="G1709" s="916">
        <f>VLOOKUP($A1709,'Tech Litons'!$A:$I,8,FALSE)</f>
        <v>8.5199999999999998E-3</v>
      </c>
      <c r="H1709" s="917">
        <f>VLOOKUP($A1709,'Tech Litons'!$A:$I,9,FALSE)</f>
        <v>176</v>
      </c>
      <c r="I1709" s="917" t="str">
        <f>VLOOKUP($A1709,'Tech Litons'!$A:$C,3,0)</f>
        <v>48oz</v>
      </c>
      <c r="J1709" s="918" t="str">
        <f t="shared" si="175"/>
        <v>135248oz</v>
      </c>
      <c r="K1709" s="919">
        <v>1</v>
      </c>
      <c r="L1709" s="920">
        <f t="shared" si="174"/>
        <v>5965</v>
      </c>
      <c r="M1709" s="920">
        <f t="shared" si="176"/>
        <v>50.821799999999996</v>
      </c>
      <c r="N1709" s="920">
        <f t="shared" si="177"/>
        <v>33.892045454545453</v>
      </c>
      <c r="O1709" s="918" t="str">
        <f t="shared" si="178"/>
        <v>Jan</v>
      </c>
      <c r="P1709" s="921">
        <f t="shared" si="179"/>
        <v>5</v>
      </c>
    </row>
    <row r="1710" spans="1:16" ht="15" hidden="1" customHeight="1">
      <c r="A1710" s="839">
        <v>68817793</v>
      </c>
      <c r="B1710" s="839">
        <v>1352</v>
      </c>
      <c r="C1710" s="906">
        <v>3285</v>
      </c>
      <c r="D1710" s="907">
        <v>46052</v>
      </c>
      <c r="E1710" s="839" t="s">
        <v>353</v>
      </c>
      <c r="F1710" s="839" t="s">
        <v>290</v>
      </c>
      <c r="G1710" s="916">
        <f>VLOOKUP($A1710,'Tech Litons'!$A:$I,8,FALSE)</f>
        <v>8.5199999999999998E-3</v>
      </c>
      <c r="H1710" s="917">
        <f>VLOOKUP($A1710,'Tech Litons'!$A:$I,9,FALSE)</f>
        <v>176</v>
      </c>
      <c r="I1710" s="917" t="str">
        <f>VLOOKUP($A1710,'Tech Litons'!$A:$C,3,0)</f>
        <v>48oz</v>
      </c>
      <c r="J1710" s="918" t="str">
        <f t="shared" si="175"/>
        <v>135248oz</v>
      </c>
      <c r="K1710" s="919">
        <v>1</v>
      </c>
      <c r="L1710" s="920">
        <f t="shared" si="174"/>
        <v>3285</v>
      </c>
      <c r="M1710" s="920">
        <f t="shared" si="176"/>
        <v>27.988199999999999</v>
      </c>
      <c r="N1710" s="920">
        <f t="shared" si="177"/>
        <v>18.664772727272727</v>
      </c>
      <c r="O1710" s="918" t="str">
        <f t="shared" si="178"/>
        <v>Jan</v>
      </c>
      <c r="P1710" s="921">
        <f t="shared" si="179"/>
        <v>5</v>
      </c>
    </row>
    <row r="1711" spans="1:16" ht="15" hidden="1" customHeight="1">
      <c r="A1711" s="839">
        <v>68817793</v>
      </c>
      <c r="B1711" s="839">
        <v>1352</v>
      </c>
      <c r="C1711" s="906">
        <v>9356</v>
      </c>
      <c r="D1711" s="907">
        <v>46053</v>
      </c>
      <c r="E1711" s="839" t="s">
        <v>353</v>
      </c>
      <c r="F1711" s="839" t="s">
        <v>290</v>
      </c>
      <c r="G1711" s="916">
        <f>VLOOKUP($A1711,'Tech Litons'!$A:$I,8,FALSE)</f>
        <v>8.5199999999999998E-3</v>
      </c>
      <c r="H1711" s="917">
        <f>VLOOKUP($A1711,'Tech Litons'!$A:$I,9,FALSE)</f>
        <v>176</v>
      </c>
      <c r="I1711" s="917" t="str">
        <f>VLOOKUP($A1711,'Tech Litons'!$A:$C,3,0)</f>
        <v>48oz</v>
      </c>
      <c r="J1711" s="918" t="str">
        <f t="shared" si="175"/>
        <v>135248oz</v>
      </c>
      <c r="K1711" s="919">
        <v>1</v>
      </c>
      <c r="L1711" s="920">
        <f t="shared" si="174"/>
        <v>9356</v>
      </c>
      <c r="M1711" s="920">
        <f t="shared" si="176"/>
        <v>79.713120000000004</v>
      </c>
      <c r="N1711" s="920">
        <f t="shared" si="177"/>
        <v>53.159090909090907</v>
      </c>
      <c r="O1711" s="918" t="str">
        <f t="shared" si="178"/>
        <v>Jan</v>
      </c>
      <c r="P1711" s="921">
        <f t="shared" si="179"/>
        <v>5</v>
      </c>
    </row>
    <row r="1712" spans="1:16" ht="15" hidden="1" customHeight="1">
      <c r="A1712" s="839">
        <v>68817797</v>
      </c>
      <c r="B1712" s="839">
        <v>1352</v>
      </c>
      <c r="C1712" s="906">
        <v>977</v>
      </c>
      <c r="D1712" s="907">
        <v>46070</v>
      </c>
      <c r="E1712" s="839" t="s">
        <v>485</v>
      </c>
      <c r="F1712" s="839" t="s">
        <v>264</v>
      </c>
      <c r="G1712" s="916">
        <f>VLOOKUP($A1712,'Tech Litons'!$A:$I,8,FALSE)</f>
        <v>8.5199999999999998E-3</v>
      </c>
      <c r="H1712" s="917">
        <f>VLOOKUP($A1712,'Tech Litons'!$A:$I,9,FALSE)</f>
        <v>154</v>
      </c>
      <c r="I1712" s="917" t="str">
        <f>VLOOKUP($A1712,'Tech Litons'!$A:$C,3,0)</f>
        <v>48oz</v>
      </c>
      <c r="J1712" s="918" t="str">
        <f t="shared" si="175"/>
        <v>135248oz</v>
      </c>
      <c r="K1712" s="919">
        <v>1</v>
      </c>
      <c r="L1712" s="920">
        <f t="shared" si="174"/>
        <v>977</v>
      </c>
      <c r="M1712" s="920">
        <f t="shared" si="176"/>
        <v>8.3240400000000001</v>
      </c>
      <c r="N1712" s="920">
        <f t="shared" si="177"/>
        <v>6.3441558441558445</v>
      </c>
      <c r="O1712" s="918" t="str">
        <f t="shared" si="178"/>
        <v>Feb</v>
      </c>
      <c r="P1712" s="921">
        <f t="shared" si="179"/>
        <v>8</v>
      </c>
    </row>
    <row r="1713" spans="1:16" ht="15" hidden="1" customHeight="1">
      <c r="A1713" s="839">
        <v>68817797</v>
      </c>
      <c r="B1713" s="839">
        <v>1352</v>
      </c>
      <c r="C1713" s="906">
        <v>10</v>
      </c>
      <c r="D1713" s="907">
        <v>46073</v>
      </c>
      <c r="E1713" s="839" t="s">
        <v>485</v>
      </c>
      <c r="F1713" s="839" t="s">
        <v>264</v>
      </c>
      <c r="G1713" s="916">
        <f>VLOOKUP($A1713,'Tech Litons'!$A:$I,8,FALSE)</f>
        <v>8.5199999999999998E-3</v>
      </c>
      <c r="H1713" s="917">
        <f>VLOOKUP($A1713,'Tech Litons'!$A:$I,9,FALSE)</f>
        <v>154</v>
      </c>
      <c r="I1713" s="917" t="str">
        <f>VLOOKUP($A1713,'Tech Litons'!$A:$C,3,0)</f>
        <v>48oz</v>
      </c>
      <c r="J1713" s="918" t="str">
        <f t="shared" si="175"/>
        <v>135248oz</v>
      </c>
      <c r="K1713" s="919">
        <v>1</v>
      </c>
      <c r="L1713" s="920">
        <f t="shared" si="174"/>
        <v>10</v>
      </c>
      <c r="M1713" s="920">
        <f t="shared" si="176"/>
        <v>8.5199999999999998E-2</v>
      </c>
      <c r="N1713" s="920">
        <f t="shared" si="177"/>
        <v>6.4935064935064929E-2</v>
      </c>
      <c r="O1713" s="918" t="str">
        <f t="shared" si="178"/>
        <v>Feb</v>
      </c>
      <c r="P1713" s="921">
        <f t="shared" si="179"/>
        <v>8</v>
      </c>
    </row>
    <row r="1714" spans="1:16" ht="15" hidden="1" customHeight="1">
      <c r="A1714" s="839">
        <v>68817799</v>
      </c>
      <c r="B1714" s="839">
        <v>1352</v>
      </c>
      <c r="C1714" s="906">
        <v>2736</v>
      </c>
      <c r="D1714" s="907">
        <v>46065</v>
      </c>
      <c r="E1714" s="839" t="s">
        <v>410</v>
      </c>
      <c r="F1714" s="839" t="s">
        <v>290</v>
      </c>
      <c r="G1714" s="916">
        <f>VLOOKUP($A1714,'Tech Litons'!$A:$I,8,FALSE)</f>
        <v>8.5199999999999998E-3</v>
      </c>
      <c r="H1714" s="917">
        <f>VLOOKUP($A1714,'Tech Litons'!$A:$I,9,FALSE)</f>
        <v>176</v>
      </c>
      <c r="I1714" s="917" t="str">
        <f>VLOOKUP($A1714,'Tech Litons'!$A:$C,3,0)</f>
        <v>48oz</v>
      </c>
      <c r="J1714" s="918" t="str">
        <f t="shared" si="175"/>
        <v>135248oz</v>
      </c>
      <c r="K1714" s="919">
        <v>1</v>
      </c>
      <c r="L1714" s="920">
        <f t="shared" si="174"/>
        <v>2736</v>
      </c>
      <c r="M1714" s="920">
        <f t="shared" si="176"/>
        <v>23.31072</v>
      </c>
      <c r="N1714" s="920">
        <f t="shared" si="177"/>
        <v>15.545454545454545</v>
      </c>
      <c r="O1714" s="918" t="str">
        <f t="shared" si="178"/>
        <v>Feb</v>
      </c>
      <c r="P1714" s="921">
        <f t="shared" si="179"/>
        <v>7</v>
      </c>
    </row>
    <row r="1715" spans="1:16" ht="15" hidden="1" customHeight="1">
      <c r="A1715" s="839">
        <v>68817799</v>
      </c>
      <c r="B1715" s="839">
        <v>1352</v>
      </c>
      <c r="C1715" s="906">
        <v>9475</v>
      </c>
      <c r="D1715" s="907">
        <v>46066</v>
      </c>
      <c r="E1715" s="839" t="s">
        <v>410</v>
      </c>
      <c r="F1715" s="839" t="s">
        <v>290</v>
      </c>
      <c r="G1715" s="916">
        <f>VLOOKUP($A1715,'Tech Litons'!$A:$I,8,FALSE)</f>
        <v>8.5199999999999998E-3</v>
      </c>
      <c r="H1715" s="917">
        <f>VLOOKUP($A1715,'Tech Litons'!$A:$I,9,FALSE)</f>
        <v>176</v>
      </c>
      <c r="I1715" s="917" t="str">
        <f>VLOOKUP($A1715,'Tech Litons'!$A:$C,3,0)</f>
        <v>48oz</v>
      </c>
      <c r="J1715" s="918" t="str">
        <f t="shared" si="175"/>
        <v>135248oz</v>
      </c>
      <c r="K1715" s="919">
        <v>1</v>
      </c>
      <c r="L1715" s="920">
        <f t="shared" si="174"/>
        <v>9475</v>
      </c>
      <c r="M1715" s="920">
        <f t="shared" si="176"/>
        <v>80.727000000000004</v>
      </c>
      <c r="N1715" s="920">
        <f t="shared" si="177"/>
        <v>53.835227272727273</v>
      </c>
      <c r="O1715" s="918" t="str">
        <f t="shared" si="178"/>
        <v>Feb</v>
      </c>
      <c r="P1715" s="921">
        <f t="shared" si="179"/>
        <v>7</v>
      </c>
    </row>
    <row r="1716" spans="1:16" ht="15" hidden="1" customHeight="1">
      <c r="A1716" s="839">
        <v>68817799</v>
      </c>
      <c r="B1716" s="839">
        <v>1352</v>
      </c>
      <c r="C1716" s="906">
        <v>5280</v>
      </c>
      <c r="D1716" s="907">
        <v>46066</v>
      </c>
      <c r="E1716" s="839" t="s">
        <v>410</v>
      </c>
      <c r="F1716" s="839" t="s">
        <v>290</v>
      </c>
      <c r="G1716" s="916">
        <f>VLOOKUP($A1716,'Tech Litons'!$A:$I,8,FALSE)</f>
        <v>8.5199999999999998E-3</v>
      </c>
      <c r="H1716" s="917">
        <f>VLOOKUP($A1716,'Tech Litons'!$A:$I,9,FALSE)</f>
        <v>176</v>
      </c>
      <c r="I1716" s="917" t="str">
        <f>VLOOKUP($A1716,'Tech Litons'!$A:$C,3,0)</f>
        <v>48oz</v>
      </c>
      <c r="J1716" s="918" t="str">
        <f t="shared" si="175"/>
        <v>135248oz</v>
      </c>
      <c r="K1716" s="919">
        <v>1</v>
      </c>
      <c r="L1716" s="920">
        <f t="shared" si="174"/>
        <v>5280</v>
      </c>
      <c r="M1716" s="920">
        <f t="shared" si="176"/>
        <v>44.985599999999998</v>
      </c>
      <c r="N1716" s="920">
        <f t="shared" si="177"/>
        <v>30</v>
      </c>
      <c r="O1716" s="918" t="str">
        <f t="shared" si="178"/>
        <v>Feb</v>
      </c>
      <c r="P1716" s="921">
        <f t="shared" si="179"/>
        <v>7</v>
      </c>
    </row>
    <row r="1717" spans="1:16" ht="15" hidden="1" customHeight="1">
      <c r="A1717" s="839">
        <v>68817799</v>
      </c>
      <c r="B1717" s="839">
        <v>1352</v>
      </c>
      <c r="C1717" s="906">
        <v>8387</v>
      </c>
      <c r="D1717" s="907">
        <v>46067</v>
      </c>
      <c r="E1717" s="839" t="s">
        <v>410</v>
      </c>
      <c r="F1717" s="839" t="s">
        <v>290</v>
      </c>
      <c r="G1717" s="916">
        <f>VLOOKUP($A1717,'Tech Litons'!$A:$I,8,FALSE)</f>
        <v>8.5199999999999998E-3</v>
      </c>
      <c r="H1717" s="917">
        <f>VLOOKUP($A1717,'Tech Litons'!$A:$I,9,FALSE)</f>
        <v>176</v>
      </c>
      <c r="I1717" s="917" t="str">
        <f>VLOOKUP($A1717,'Tech Litons'!$A:$C,3,0)</f>
        <v>48oz</v>
      </c>
      <c r="J1717" s="918" t="str">
        <f t="shared" si="175"/>
        <v>135248oz</v>
      </c>
      <c r="K1717" s="919">
        <v>1</v>
      </c>
      <c r="L1717" s="920">
        <f t="shared" si="174"/>
        <v>8387</v>
      </c>
      <c r="M1717" s="920">
        <f t="shared" si="176"/>
        <v>71.457239999999999</v>
      </c>
      <c r="N1717" s="920">
        <f t="shared" si="177"/>
        <v>47.653409090909093</v>
      </c>
      <c r="O1717" s="918" t="str">
        <f t="shared" si="178"/>
        <v>Feb</v>
      </c>
      <c r="P1717" s="921">
        <f t="shared" si="179"/>
        <v>7</v>
      </c>
    </row>
    <row r="1718" spans="1:16" ht="15" hidden="1" customHeight="1">
      <c r="A1718" s="839">
        <v>68817799</v>
      </c>
      <c r="B1718" s="839">
        <v>1352</v>
      </c>
      <c r="C1718" s="906">
        <v>4906</v>
      </c>
      <c r="D1718" s="907">
        <v>46067</v>
      </c>
      <c r="E1718" s="839" t="s">
        <v>410</v>
      </c>
      <c r="F1718" s="839" t="s">
        <v>290</v>
      </c>
      <c r="G1718" s="916">
        <f>VLOOKUP($A1718,'Tech Litons'!$A:$I,8,FALSE)</f>
        <v>8.5199999999999998E-3</v>
      </c>
      <c r="H1718" s="917">
        <f>VLOOKUP($A1718,'Tech Litons'!$A:$I,9,FALSE)</f>
        <v>176</v>
      </c>
      <c r="I1718" s="917" t="str">
        <f>VLOOKUP($A1718,'Tech Litons'!$A:$C,3,0)</f>
        <v>48oz</v>
      </c>
      <c r="J1718" s="918" t="str">
        <f t="shared" si="175"/>
        <v>135248oz</v>
      </c>
      <c r="K1718" s="919">
        <v>1</v>
      </c>
      <c r="L1718" s="920">
        <f t="shared" si="174"/>
        <v>4906</v>
      </c>
      <c r="M1718" s="920">
        <f t="shared" si="176"/>
        <v>41.799120000000002</v>
      </c>
      <c r="N1718" s="920">
        <f t="shared" si="177"/>
        <v>27.875</v>
      </c>
      <c r="O1718" s="918" t="str">
        <f t="shared" si="178"/>
        <v>Feb</v>
      </c>
      <c r="P1718" s="921">
        <f t="shared" si="179"/>
        <v>7</v>
      </c>
    </row>
    <row r="1719" spans="1:16" ht="15" hidden="1" customHeight="1">
      <c r="A1719" s="839">
        <v>68817799</v>
      </c>
      <c r="B1719" s="839">
        <v>1352</v>
      </c>
      <c r="C1719" s="906">
        <v>6879</v>
      </c>
      <c r="D1719" s="907">
        <v>46068</v>
      </c>
      <c r="E1719" s="839" t="s">
        <v>410</v>
      </c>
      <c r="F1719" s="839" t="s">
        <v>290</v>
      </c>
      <c r="G1719" s="916">
        <f>VLOOKUP($A1719,'Tech Litons'!$A:$I,8,FALSE)</f>
        <v>8.5199999999999998E-3</v>
      </c>
      <c r="H1719" s="917">
        <f>VLOOKUP($A1719,'Tech Litons'!$A:$I,9,FALSE)</f>
        <v>176</v>
      </c>
      <c r="I1719" s="917" t="str">
        <f>VLOOKUP($A1719,'Tech Litons'!$A:$C,3,0)</f>
        <v>48oz</v>
      </c>
      <c r="J1719" s="918" t="str">
        <f t="shared" si="175"/>
        <v>135248oz</v>
      </c>
      <c r="K1719" s="919">
        <v>1</v>
      </c>
      <c r="L1719" s="920">
        <f t="shared" si="174"/>
        <v>6879</v>
      </c>
      <c r="M1719" s="920">
        <f t="shared" si="176"/>
        <v>58.609079999999999</v>
      </c>
      <c r="N1719" s="920">
        <f t="shared" si="177"/>
        <v>39.085227272727273</v>
      </c>
      <c r="O1719" s="918" t="str">
        <f t="shared" si="178"/>
        <v>Feb</v>
      </c>
      <c r="P1719" s="921">
        <f t="shared" si="179"/>
        <v>8</v>
      </c>
    </row>
    <row r="1720" spans="1:16" ht="15" hidden="1" customHeight="1">
      <c r="A1720" s="839">
        <v>68817799</v>
      </c>
      <c r="B1720" s="839">
        <v>1352</v>
      </c>
      <c r="C1720" s="906">
        <v>352</v>
      </c>
      <c r="D1720" s="907">
        <v>46069</v>
      </c>
      <c r="E1720" s="839" t="s">
        <v>410</v>
      </c>
      <c r="F1720" s="839" t="s">
        <v>290</v>
      </c>
      <c r="G1720" s="916">
        <f>VLOOKUP($A1720,'Tech Litons'!$A:$I,8,FALSE)</f>
        <v>8.5199999999999998E-3</v>
      </c>
      <c r="H1720" s="917">
        <f>VLOOKUP($A1720,'Tech Litons'!$A:$I,9,FALSE)</f>
        <v>176</v>
      </c>
      <c r="I1720" s="917" t="str">
        <f>VLOOKUP($A1720,'Tech Litons'!$A:$C,3,0)</f>
        <v>48oz</v>
      </c>
      <c r="J1720" s="918" t="str">
        <f t="shared" si="175"/>
        <v>135248oz</v>
      </c>
      <c r="K1720" s="919">
        <v>1</v>
      </c>
      <c r="L1720" s="920">
        <f t="shared" si="174"/>
        <v>352</v>
      </c>
      <c r="M1720" s="920">
        <f t="shared" si="176"/>
        <v>2.9990399999999999</v>
      </c>
      <c r="N1720" s="920">
        <f t="shared" si="177"/>
        <v>2</v>
      </c>
      <c r="O1720" s="918" t="str">
        <f t="shared" si="178"/>
        <v>Feb</v>
      </c>
      <c r="P1720" s="921">
        <f t="shared" si="179"/>
        <v>8</v>
      </c>
    </row>
    <row r="1721" spans="1:16" ht="15" hidden="1" customHeight="1">
      <c r="A1721" s="839">
        <v>68817799</v>
      </c>
      <c r="B1721" s="839">
        <v>1352</v>
      </c>
      <c r="C1721" s="906">
        <v>176</v>
      </c>
      <c r="D1721" s="907">
        <v>46070</v>
      </c>
      <c r="E1721" s="839" t="s">
        <v>410</v>
      </c>
      <c r="F1721" s="839" t="s">
        <v>290</v>
      </c>
      <c r="G1721" s="916">
        <f>VLOOKUP($A1721,'Tech Litons'!$A:$I,8,FALSE)</f>
        <v>8.5199999999999998E-3</v>
      </c>
      <c r="H1721" s="917">
        <f>VLOOKUP($A1721,'Tech Litons'!$A:$I,9,FALSE)</f>
        <v>176</v>
      </c>
      <c r="I1721" s="917" t="str">
        <f>VLOOKUP($A1721,'Tech Litons'!$A:$C,3,0)</f>
        <v>48oz</v>
      </c>
      <c r="J1721" s="918" t="str">
        <f t="shared" si="175"/>
        <v>135248oz</v>
      </c>
      <c r="K1721" s="919">
        <v>1</v>
      </c>
      <c r="L1721" s="920">
        <f t="shared" si="174"/>
        <v>176</v>
      </c>
      <c r="M1721" s="920">
        <f t="shared" si="176"/>
        <v>1.49952</v>
      </c>
      <c r="N1721" s="920">
        <f t="shared" si="177"/>
        <v>1</v>
      </c>
      <c r="O1721" s="918" t="str">
        <f t="shared" si="178"/>
        <v>Feb</v>
      </c>
      <c r="P1721" s="921">
        <f t="shared" si="179"/>
        <v>8</v>
      </c>
    </row>
    <row r="1722" spans="1:16" ht="15" hidden="1" customHeight="1">
      <c r="A1722" s="839">
        <v>68817799</v>
      </c>
      <c r="B1722" s="839">
        <v>1352</v>
      </c>
      <c r="C1722" s="906">
        <v>5456</v>
      </c>
      <c r="D1722" s="907">
        <v>46068</v>
      </c>
      <c r="E1722" s="839" t="s">
        <v>410</v>
      </c>
      <c r="F1722" s="839" t="s">
        <v>290</v>
      </c>
      <c r="G1722" s="916">
        <f>VLOOKUP($A1722,'Tech Litons'!$A:$I,8,FALSE)</f>
        <v>8.5199999999999998E-3</v>
      </c>
      <c r="H1722" s="917">
        <f>VLOOKUP($A1722,'Tech Litons'!$A:$I,9,FALSE)</f>
        <v>176</v>
      </c>
      <c r="I1722" s="917" t="str">
        <f>VLOOKUP($A1722,'Tech Litons'!$A:$C,3,0)</f>
        <v>48oz</v>
      </c>
      <c r="J1722" s="918" t="str">
        <f t="shared" si="175"/>
        <v>135248oz</v>
      </c>
      <c r="K1722" s="919">
        <v>1</v>
      </c>
      <c r="L1722" s="920">
        <f t="shared" si="174"/>
        <v>5456</v>
      </c>
      <c r="M1722" s="920">
        <f t="shared" si="176"/>
        <v>46.485120000000002</v>
      </c>
      <c r="N1722" s="920">
        <f t="shared" si="177"/>
        <v>31</v>
      </c>
      <c r="O1722" s="918" t="str">
        <f t="shared" si="178"/>
        <v>Feb</v>
      </c>
      <c r="P1722" s="921">
        <f t="shared" si="179"/>
        <v>8</v>
      </c>
    </row>
    <row r="1723" spans="1:16" ht="15" hidden="1" customHeight="1">
      <c r="A1723" s="839">
        <v>68817799</v>
      </c>
      <c r="B1723" s="839">
        <v>1352</v>
      </c>
      <c r="C1723" s="906">
        <v>10322</v>
      </c>
      <c r="D1723" s="907">
        <v>46069</v>
      </c>
      <c r="E1723" s="839" t="s">
        <v>410</v>
      </c>
      <c r="F1723" s="839" t="s">
        <v>290</v>
      </c>
      <c r="G1723" s="916">
        <f>VLOOKUP($A1723,'Tech Litons'!$A:$I,8,FALSE)</f>
        <v>8.5199999999999998E-3</v>
      </c>
      <c r="H1723" s="917">
        <f>VLOOKUP($A1723,'Tech Litons'!$A:$I,9,FALSE)</f>
        <v>176</v>
      </c>
      <c r="I1723" s="917" t="str">
        <f>VLOOKUP($A1723,'Tech Litons'!$A:$C,3,0)</f>
        <v>48oz</v>
      </c>
      <c r="J1723" s="918" t="str">
        <f t="shared" si="175"/>
        <v>135248oz</v>
      </c>
      <c r="K1723" s="919">
        <v>1</v>
      </c>
      <c r="L1723" s="920">
        <f t="shared" si="174"/>
        <v>10322</v>
      </c>
      <c r="M1723" s="920">
        <f t="shared" si="176"/>
        <v>87.943439999999995</v>
      </c>
      <c r="N1723" s="920">
        <f t="shared" si="177"/>
        <v>58.647727272727273</v>
      </c>
      <c r="O1723" s="918" t="str">
        <f t="shared" si="178"/>
        <v>Feb</v>
      </c>
      <c r="P1723" s="921">
        <f t="shared" si="179"/>
        <v>8</v>
      </c>
    </row>
    <row r="1724" spans="1:16" ht="15" hidden="1" customHeight="1">
      <c r="A1724" s="839">
        <v>68817799</v>
      </c>
      <c r="B1724" s="839">
        <v>1352</v>
      </c>
      <c r="C1724" s="906">
        <v>4121</v>
      </c>
      <c r="D1724" s="907">
        <v>46069</v>
      </c>
      <c r="E1724" s="839" t="s">
        <v>410</v>
      </c>
      <c r="F1724" s="839" t="s">
        <v>290</v>
      </c>
      <c r="G1724" s="916">
        <f>VLOOKUP($A1724,'Tech Litons'!$A:$I,8,FALSE)</f>
        <v>8.5199999999999998E-3</v>
      </c>
      <c r="H1724" s="917">
        <f>VLOOKUP($A1724,'Tech Litons'!$A:$I,9,FALSE)</f>
        <v>176</v>
      </c>
      <c r="I1724" s="917" t="str">
        <f>VLOOKUP($A1724,'Tech Litons'!$A:$C,3,0)</f>
        <v>48oz</v>
      </c>
      <c r="J1724" s="918" t="str">
        <f t="shared" si="175"/>
        <v>135248oz</v>
      </c>
      <c r="K1724" s="919">
        <v>1</v>
      </c>
      <c r="L1724" s="920">
        <f t="shared" si="174"/>
        <v>4121</v>
      </c>
      <c r="M1724" s="920">
        <f t="shared" si="176"/>
        <v>35.11092</v>
      </c>
      <c r="N1724" s="920">
        <f t="shared" si="177"/>
        <v>23.414772727272727</v>
      </c>
      <c r="O1724" s="918" t="str">
        <f t="shared" si="178"/>
        <v>Feb</v>
      </c>
      <c r="P1724" s="921">
        <f t="shared" si="179"/>
        <v>8</v>
      </c>
    </row>
    <row r="1725" spans="1:16" ht="15" hidden="1" customHeight="1">
      <c r="A1725" s="839">
        <v>68850683</v>
      </c>
      <c r="B1725" s="839">
        <v>1352</v>
      </c>
      <c r="C1725" s="906">
        <v>4928</v>
      </c>
      <c r="D1725" s="907">
        <v>46057</v>
      </c>
      <c r="E1725" s="839" t="s">
        <v>311</v>
      </c>
      <c r="F1725" s="839" t="s">
        <v>264</v>
      </c>
      <c r="G1725" s="916">
        <f>VLOOKUP($A1725,'Tech Litons'!$A:$I,8,FALSE)</f>
        <v>8.5199999999999998E-3</v>
      </c>
      <c r="H1725" s="917">
        <f>VLOOKUP($A1725,'Tech Litons'!$A:$I,9,FALSE)</f>
        <v>176</v>
      </c>
      <c r="I1725" s="917" t="str">
        <f>VLOOKUP($A1725,'Tech Litons'!$A:$C,3,0)</f>
        <v>48oz</v>
      </c>
      <c r="J1725" s="918" t="str">
        <f t="shared" si="175"/>
        <v>135248oz</v>
      </c>
      <c r="K1725" s="919">
        <v>1</v>
      </c>
      <c r="L1725" s="920">
        <f t="shared" si="174"/>
        <v>4928</v>
      </c>
      <c r="M1725" s="920">
        <f t="shared" si="176"/>
        <v>41.986559999999997</v>
      </c>
      <c r="N1725" s="920">
        <f t="shared" si="177"/>
        <v>28</v>
      </c>
      <c r="O1725" s="918" t="str">
        <f t="shared" si="178"/>
        <v>Feb</v>
      </c>
      <c r="P1725" s="921">
        <f t="shared" si="179"/>
        <v>6</v>
      </c>
    </row>
    <row r="1726" spans="1:16" ht="15" hidden="1" customHeight="1">
      <c r="A1726" s="839">
        <v>68850683</v>
      </c>
      <c r="B1726" s="839">
        <v>1352</v>
      </c>
      <c r="C1726" s="906">
        <v>9976</v>
      </c>
      <c r="D1726" s="907">
        <v>46058</v>
      </c>
      <c r="E1726" s="839" t="s">
        <v>311</v>
      </c>
      <c r="F1726" s="839" t="s">
        <v>264</v>
      </c>
      <c r="G1726" s="916">
        <f>VLOOKUP($A1726,'Tech Litons'!$A:$I,8,FALSE)</f>
        <v>8.5199999999999998E-3</v>
      </c>
      <c r="H1726" s="917">
        <f>VLOOKUP($A1726,'Tech Litons'!$A:$I,9,FALSE)</f>
        <v>176</v>
      </c>
      <c r="I1726" s="917" t="str">
        <f>VLOOKUP($A1726,'Tech Litons'!$A:$C,3,0)</f>
        <v>48oz</v>
      </c>
      <c r="J1726" s="918" t="str">
        <f t="shared" si="175"/>
        <v>135248oz</v>
      </c>
      <c r="K1726" s="919">
        <v>1</v>
      </c>
      <c r="L1726" s="920">
        <f t="shared" si="174"/>
        <v>9976</v>
      </c>
      <c r="M1726" s="920">
        <f t="shared" si="176"/>
        <v>84.995519999999999</v>
      </c>
      <c r="N1726" s="920">
        <f t="shared" si="177"/>
        <v>56.68181818181818</v>
      </c>
      <c r="O1726" s="918" t="str">
        <f t="shared" si="178"/>
        <v>Feb</v>
      </c>
      <c r="P1726" s="921">
        <f t="shared" si="179"/>
        <v>6</v>
      </c>
    </row>
    <row r="1727" spans="1:16" ht="15" hidden="1" customHeight="1">
      <c r="A1727" s="839">
        <v>68850683</v>
      </c>
      <c r="B1727" s="839">
        <v>1352</v>
      </c>
      <c r="C1727" s="906">
        <v>5632</v>
      </c>
      <c r="D1727" s="907">
        <v>46058</v>
      </c>
      <c r="E1727" s="839" t="s">
        <v>311</v>
      </c>
      <c r="F1727" s="839" t="s">
        <v>264</v>
      </c>
      <c r="G1727" s="916">
        <f>VLOOKUP($A1727,'Tech Litons'!$A:$I,8,FALSE)</f>
        <v>8.5199999999999998E-3</v>
      </c>
      <c r="H1727" s="917">
        <f>VLOOKUP($A1727,'Tech Litons'!$A:$I,9,FALSE)</f>
        <v>176</v>
      </c>
      <c r="I1727" s="917" t="str">
        <f>VLOOKUP($A1727,'Tech Litons'!$A:$C,3,0)</f>
        <v>48oz</v>
      </c>
      <c r="J1727" s="918" t="str">
        <f t="shared" si="175"/>
        <v>135248oz</v>
      </c>
      <c r="K1727" s="919">
        <v>1</v>
      </c>
      <c r="L1727" s="920">
        <f t="shared" si="174"/>
        <v>5632</v>
      </c>
      <c r="M1727" s="920">
        <f t="shared" si="176"/>
        <v>47.984639999999999</v>
      </c>
      <c r="N1727" s="920">
        <f t="shared" si="177"/>
        <v>32</v>
      </c>
      <c r="O1727" s="918" t="str">
        <f t="shared" si="178"/>
        <v>Feb</v>
      </c>
      <c r="P1727" s="921">
        <f t="shared" si="179"/>
        <v>6</v>
      </c>
    </row>
    <row r="1728" spans="1:16" ht="15" hidden="1" customHeight="1">
      <c r="A1728" s="839">
        <v>68850683</v>
      </c>
      <c r="B1728" s="839">
        <v>1352</v>
      </c>
      <c r="C1728" s="906">
        <v>9636</v>
      </c>
      <c r="D1728" s="907">
        <v>46059</v>
      </c>
      <c r="E1728" s="839" t="s">
        <v>311</v>
      </c>
      <c r="F1728" s="839" t="s">
        <v>264</v>
      </c>
      <c r="G1728" s="916">
        <f>VLOOKUP($A1728,'Tech Litons'!$A:$I,8,FALSE)</f>
        <v>8.5199999999999998E-3</v>
      </c>
      <c r="H1728" s="917">
        <f>VLOOKUP($A1728,'Tech Litons'!$A:$I,9,FALSE)</f>
        <v>176</v>
      </c>
      <c r="I1728" s="917" t="str">
        <f>VLOOKUP($A1728,'Tech Litons'!$A:$C,3,0)</f>
        <v>48oz</v>
      </c>
      <c r="J1728" s="918" t="str">
        <f t="shared" si="175"/>
        <v>135248oz</v>
      </c>
      <c r="K1728" s="919">
        <v>1</v>
      </c>
      <c r="L1728" s="920">
        <f t="shared" si="174"/>
        <v>9636</v>
      </c>
      <c r="M1728" s="920">
        <f t="shared" si="176"/>
        <v>82.09872</v>
      </c>
      <c r="N1728" s="920">
        <f t="shared" si="177"/>
        <v>54.75</v>
      </c>
      <c r="O1728" s="918" t="str">
        <f t="shared" si="178"/>
        <v>Feb</v>
      </c>
      <c r="P1728" s="921">
        <f t="shared" si="179"/>
        <v>6</v>
      </c>
    </row>
    <row r="1729" spans="1:16" ht="15" hidden="1" customHeight="1">
      <c r="A1729" s="839">
        <v>68850683</v>
      </c>
      <c r="B1729" s="839">
        <v>1352</v>
      </c>
      <c r="C1729" s="906">
        <v>5037</v>
      </c>
      <c r="D1729" s="907">
        <v>46059</v>
      </c>
      <c r="E1729" s="839" t="s">
        <v>311</v>
      </c>
      <c r="F1729" s="839" t="s">
        <v>264</v>
      </c>
      <c r="G1729" s="916">
        <f>VLOOKUP($A1729,'Tech Litons'!$A:$I,8,FALSE)</f>
        <v>8.5199999999999998E-3</v>
      </c>
      <c r="H1729" s="917">
        <f>VLOOKUP($A1729,'Tech Litons'!$A:$I,9,FALSE)</f>
        <v>176</v>
      </c>
      <c r="I1729" s="917" t="str">
        <f>VLOOKUP($A1729,'Tech Litons'!$A:$C,3,0)</f>
        <v>48oz</v>
      </c>
      <c r="J1729" s="918" t="str">
        <f t="shared" si="175"/>
        <v>135248oz</v>
      </c>
      <c r="K1729" s="919">
        <v>1</v>
      </c>
      <c r="L1729" s="920">
        <f t="shared" si="174"/>
        <v>5037</v>
      </c>
      <c r="M1729" s="920">
        <f t="shared" si="176"/>
        <v>42.915239999999997</v>
      </c>
      <c r="N1729" s="920">
        <f t="shared" si="177"/>
        <v>28.619318181818183</v>
      </c>
      <c r="O1729" s="918" t="str">
        <f t="shared" si="178"/>
        <v>Feb</v>
      </c>
      <c r="P1729" s="921">
        <f t="shared" si="179"/>
        <v>6</v>
      </c>
    </row>
    <row r="1730" spans="1:16" ht="15" hidden="1" customHeight="1">
      <c r="A1730" s="839">
        <v>68850683</v>
      </c>
      <c r="B1730" s="839">
        <v>1352</v>
      </c>
      <c r="C1730" s="906">
        <v>4829</v>
      </c>
      <c r="D1730" s="907">
        <v>46060</v>
      </c>
      <c r="E1730" s="839" t="s">
        <v>311</v>
      </c>
      <c r="F1730" s="839" t="s">
        <v>264</v>
      </c>
      <c r="G1730" s="916">
        <f>VLOOKUP($A1730,'Tech Litons'!$A:$I,8,FALSE)</f>
        <v>8.5199999999999998E-3</v>
      </c>
      <c r="H1730" s="917">
        <f>VLOOKUP($A1730,'Tech Litons'!$A:$I,9,FALSE)</f>
        <v>176</v>
      </c>
      <c r="I1730" s="917" t="str">
        <f>VLOOKUP($A1730,'Tech Litons'!$A:$C,3,0)</f>
        <v>48oz</v>
      </c>
      <c r="J1730" s="918" t="str">
        <f t="shared" si="175"/>
        <v>135248oz</v>
      </c>
      <c r="K1730" s="919">
        <v>1</v>
      </c>
      <c r="L1730" s="920">
        <f t="shared" si="174"/>
        <v>4829</v>
      </c>
      <c r="M1730" s="920">
        <f t="shared" si="176"/>
        <v>41.143079999999998</v>
      </c>
      <c r="N1730" s="920">
        <f t="shared" si="177"/>
        <v>27.4375</v>
      </c>
      <c r="O1730" s="918" t="str">
        <f t="shared" si="178"/>
        <v>Feb</v>
      </c>
      <c r="P1730" s="921">
        <f t="shared" si="179"/>
        <v>6</v>
      </c>
    </row>
    <row r="1731" spans="1:16" ht="15" hidden="1" customHeight="1">
      <c r="A1731" s="839">
        <v>68850683</v>
      </c>
      <c r="B1731" s="839">
        <v>1352</v>
      </c>
      <c r="C1731" s="906">
        <v>5621</v>
      </c>
      <c r="D1731" s="907">
        <v>46061</v>
      </c>
      <c r="E1731" s="839" t="s">
        <v>311</v>
      </c>
      <c r="F1731" s="839" t="s">
        <v>264</v>
      </c>
      <c r="G1731" s="916">
        <f>VLOOKUP($A1731,'Tech Litons'!$A:$I,8,FALSE)</f>
        <v>8.5199999999999998E-3</v>
      </c>
      <c r="H1731" s="917">
        <f>VLOOKUP($A1731,'Tech Litons'!$A:$I,9,FALSE)</f>
        <v>176</v>
      </c>
      <c r="I1731" s="917" t="str">
        <f>VLOOKUP($A1731,'Tech Litons'!$A:$C,3,0)</f>
        <v>48oz</v>
      </c>
      <c r="J1731" s="918" t="str">
        <f t="shared" si="175"/>
        <v>135248oz</v>
      </c>
      <c r="K1731" s="919">
        <v>1</v>
      </c>
      <c r="L1731" s="920">
        <f t="shared" si="174"/>
        <v>5621</v>
      </c>
      <c r="M1731" s="920">
        <f t="shared" si="176"/>
        <v>47.890920000000001</v>
      </c>
      <c r="N1731" s="920">
        <f t="shared" si="177"/>
        <v>31.9375</v>
      </c>
      <c r="O1731" s="918" t="str">
        <f t="shared" si="178"/>
        <v>Feb</v>
      </c>
      <c r="P1731" s="921">
        <f t="shared" si="179"/>
        <v>7</v>
      </c>
    </row>
    <row r="1732" spans="1:16" ht="15" hidden="1" customHeight="1">
      <c r="A1732" s="839">
        <v>68850683</v>
      </c>
      <c r="B1732" s="839">
        <v>1352</v>
      </c>
      <c r="C1732" s="906">
        <v>8310</v>
      </c>
      <c r="D1732" s="907">
        <v>46062</v>
      </c>
      <c r="E1732" s="839" t="s">
        <v>311</v>
      </c>
      <c r="F1732" s="839" t="s">
        <v>264</v>
      </c>
      <c r="G1732" s="916">
        <f>VLOOKUP($A1732,'Tech Litons'!$A:$I,8,FALSE)</f>
        <v>8.5199999999999998E-3</v>
      </c>
      <c r="H1732" s="917">
        <f>VLOOKUP($A1732,'Tech Litons'!$A:$I,9,FALSE)</f>
        <v>176</v>
      </c>
      <c r="I1732" s="917" t="str">
        <f>VLOOKUP($A1732,'Tech Litons'!$A:$C,3,0)</f>
        <v>48oz</v>
      </c>
      <c r="J1732" s="918" t="str">
        <f t="shared" si="175"/>
        <v>135248oz</v>
      </c>
      <c r="K1732" s="919">
        <v>1</v>
      </c>
      <c r="L1732" s="920">
        <f t="shared" si="174"/>
        <v>8310</v>
      </c>
      <c r="M1732" s="920">
        <f t="shared" si="176"/>
        <v>70.801199999999994</v>
      </c>
      <c r="N1732" s="920">
        <f t="shared" si="177"/>
        <v>47.215909090909093</v>
      </c>
      <c r="O1732" s="918" t="str">
        <f t="shared" si="178"/>
        <v>Feb</v>
      </c>
      <c r="P1732" s="921">
        <f t="shared" si="179"/>
        <v>7</v>
      </c>
    </row>
    <row r="1733" spans="1:16" ht="15" hidden="1" customHeight="1">
      <c r="A1733" s="839">
        <v>68850683</v>
      </c>
      <c r="B1733" s="839">
        <v>1352</v>
      </c>
      <c r="C1733" s="906">
        <v>3872</v>
      </c>
      <c r="D1733" s="907">
        <v>46060</v>
      </c>
      <c r="E1733" s="839" t="s">
        <v>311</v>
      </c>
      <c r="F1733" s="839" t="s">
        <v>264</v>
      </c>
      <c r="G1733" s="916">
        <f>VLOOKUP($A1733,'Tech Litons'!$A:$I,8,FALSE)</f>
        <v>8.5199999999999998E-3</v>
      </c>
      <c r="H1733" s="917">
        <f>VLOOKUP($A1733,'Tech Litons'!$A:$I,9,FALSE)</f>
        <v>176</v>
      </c>
      <c r="I1733" s="917" t="str">
        <f>VLOOKUP($A1733,'Tech Litons'!$A:$C,3,0)</f>
        <v>48oz</v>
      </c>
      <c r="J1733" s="918" t="str">
        <f t="shared" si="175"/>
        <v>135248oz</v>
      </c>
      <c r="K1733" s="919">
        <v>1</v>
      </c>
      <c r="L1733" s="920">
        <f t="shared" si="174"/>
        <v>3872</v>
      </c>
      <c r="M1733" s="920">
        <f t="shared" si="176"/>
        <v>32.989440000000002</v>
      </c>
      <c r="N1733" s="920">
        <f t="shared" si="177"/>
        <v>22</v>
      </c>
      <c r="O1733" s="918" t="str">
        <f t="shared" si="178"/>
        <v>Feb</v>
      </c>
      <c r="P1733" s="921">
        <f t="shared" si="179"/>
        <v>6</v>
      </c>
    </row>
    <row r="1734" spans="1:16" ht="15" hidden="1" customHeight="1">
      <c r="A1734" s="839">
        <v>68850683</v>
      </c>
      <c r="B1734" s="839">
        <v>1352</v>
      </c>
      <c r="C1734" s="906">
        <v>10452</v>
      </c>
      <c r="D1734" s="907">
        <v>46061</v>
      </c>
      <c r="E1734" s="839" t="s">
        <v>311</v>
      </c>
      <c r="F1734" s="839" t="s">
        <v>264</v>
      </c>
      <c r="G1734" s="916">
        <f>VLOOKUP($A1734,'Tech Litons'!$A:$I,8,FALSE)</f>
        <v>8.5199999999999998E-3</v>
      </c>
      <c r="H1734" s="917">
        <f>VLOOKUP($A1734,'Tech Litons'!$A:$I,9,FALSE)</f>
        <v>176</v>
      </c>
      <c r="I1734" s="917" t="str">
        <f>VLOOKUP($A1734,'Tech Litons'!$A:$C,3,0)</f>
        <v>48oz</v>
      </c>
      <c r="J1734" s="918" t="str">
        <f t="shared" si="175"/>
        <v>135248oz</v>
      </c>
      <c r="K1734" s="919">
        <v>1</v>
      </c>
      <c r="L1734" s="920">
        <f t="shared" si="174"/>
        <v>10452</v>
      </c>
      <c r="M1734" s="920">
        <f t="shared" si="176"/>
        <v>89.05104</v>
      </c>
      <c r="N1734" s="920">
        <f t="shared" si="177"/>
        <v>59.386363636363633</v>
      </c>
      <c r="O1734" s="918" t="str">
        <f t="shared" si="178"/>
        <v>Feb</v>
      </c>
      <c r="P1734" s="921">
        <f t="shared" si="179"/>
        <v>7</v>
      </c>
    </row>
    <row r="1735" spans="1:16" ht="15" hidden="1" customHeight="1">
      <c r="A1735" s="839">
        <v>68850683</v>
      </c>
      <c r="B1735" s="839">
        <v>1352</v>
      </c>
      <c r="C1735" s="906">
        <v>3456</v>
      </c>
      <c r="D1735" s="907">
        <v>46063</v>
      </c>
      <c r="E1735" s="839" t="s">
        <v>311</v>
      </c>
      <c r="F1735" s="839" t="s">
        <v>264</v>
      </c>
      <c r="G1735" s="916">
        <f>VLOOKUP($A1735,'Tech Litons'!$A:$I,8,FALSE)</f>
        <v>8.5199999999999998E-3</v>
      </c>
      <c r="H1735" s="917">
        <f>VLOOKUP($A1735,'Tech Litons'!$A:$I,9,FALSE)</f>
        <v>176</v>
      </c>
      <c r="I1735" s="917" t="str">
        <f>VLOOKUP($A1735,'Tech Litons'!$A:$C,3,0)</f>
        <v>48oz</v>
      </c>
      <c r="J1735" s="918" t="str">
        <f t="shared" si="175"/>
        <v>135248oz</v>
      </c>
      <c r="K1735" s="919">
        <v>1</v>
      </c>
      <c r="L1735" s="920">
        <f t="shared" si="174"/>
        <v>3456</v>
      </c>
      <c r="M1735" s="920">
        <f t="shared" si="176"/>
        <v>29.445119999999999</v>
      </c>
      <c r="N1735" s="920">
        <f t="shared" si="177"/>
        <v>19.636363636363637</v>
      </c>
      <c r="O1735" s="918" t="str">
        <f t="shared" si="178"/>
        <v>Feb</v>
      </c>
      <c r="P1735" s="921">
        <f t="shared" si="179"/>
        <v>7</v>
      </c>
    </row>
    <row r="1736" spans="1:16" ht="15" hidden="1" customHeight="1">
      <c r="A1736" s="839">
        <v>68850683</v>
      </c>
      <c r="B1736" s="839">
        <v>1352</v>
      </c>
      <c r="C1736" s="906">
        <v>5640</v>
      </c>
      <c r="D1736" s="907">
        <v>46064</v>
      </c>
      <c r="E1736" s="839" t="s">
        <v>311</v>
      </c>
      <c r="F1736" s="839" t="s">
        <v>264</v>
      </c>
      <c r="G1736" s="916">
        <f>VLOOKUP($A1736,'Tech Litons'!$A:$I,8,FALSE)</f>
        <v>8.5199999999999998E-3</v>
      </c>
      <c r="H1736" s="917">
        <f>VLOOKUP($A1736,'Tech Litons'!$A:$I,9,FALSE)</f>
        <v>176</v>
      </c>
      <c r="I1736" s="917" t="str">
        <f>VLOOKUP($A1736,'Tech Litons'!$A:$C,3,0)</f>
        <v>48oz</v>
      </c>
      <c r="J1736" s="918" t="str">
        <f t="shared" si="175"/>
        <v>135248oz</v>
      </c>
      <c r="K1736" s="919">
        <v>1</v>
      </c>
      <c r="L1736" s="920">
        <f t="shared" si="174"/>
        <v>5640</v>
      </c>
      <c r="M1736" s="920">
        <f t="shared" si="176"/>
        <v>48.052799999999998</v>
      </c>
      <c r="N1736" s="920">
        <f t="shared" si="177"/>
        <v>32.045454545454547</v>
      </c>
      <c r="O1736" s="918" t="str">
        <f t="shared" si="178"/>
        <v>Feb</v>
      </c>
      <c r="P1736" s="921">
        <f t="shared" si="179"/>
        <v>7</v>
      </c>
    </row>
    <row r="1737" spans="1:16" ht="15" hidden="1" customHeight="1">
      <c r="A1737" s="839">
        <v>68850683</v>
      </c>
      <c r="B1737" s="839">
        <v>1352</v>
      </c>
      <c r="C1737" s="906">
        <v>3604</v>
      </c>
      <c r="D1737" s="907">
        <v>46050</v>
      </c>
      <c r="E1737" s="839" t="s">
        <v>311</v>
      </c>
      <c r="F1737" s="839" t="s">
        <v>290</v>
      </c>
      <c r="G1737" s="916">
        <f>VLOOKUP($A1737,'Tech Litons'!$A:$I,8,FALSE)</f>
        <v>8.5199999999999998E-3</v>
      </c>
      <c r="H1737" s="917">
        <f>VLOOKUP($A1737,'Tech Litons'!$A:$I,9,FALSE)</f>
        <v>176</v>
      </c>
      <c r="I1737" s="917" t="str">
        <f>VLOOKUP($A1737,'Tech Litons'!$A:$C,3,0)</f>
        <v>48oz</v>
      </c>
      <c r="J1737" s="918" t="str">
        <f t="shared" si="175"/>
        <v>135248oz</v>
      </c>
      <c r="K1737" s="919">
        <v>1</v>
      </c>
      <c r="L1737" s="920">
        <f t="shared" si="174"/>
        <v>3604</v>
      </c>
      <c r="M1737" s="920">
        <f t="shared" si="176"/>
        <v>30.70608</v>
      </c>
      <c r="N1737" s="920">
        <f t="shared" si="177"/>
        <v>20.477272727272727</v>
      </c>
      <c r="O1737" s="918" t="str">
        <f t="shared" si="178"/>
        <v>Jan</v>
      </c>
      <c r="P1737" s="921">
        <f t="shared" si="179"/>
        <v>5</v>
      </c>
    </row>
    <row r="1738" spans="1:16" ht="15" hidden="1" customHeight="1">
      <c r="A1738" s="839">
        <v>68850683</v>
      </c>
      <c r="B1738" s="839">
        <v>1352</v>
      </c>
      <c r="C1738" s="906">
        <v>4688</v>
      </c>
      <c r="D1738" s="907">
        <v>46062</v>
      </c>
      <c r="E1738" s="839" t="s">
        <v>311</v>
      </c>
      <c r="F1738" s="839" t="s">
        <v>264</v>
      </c>
      <c r="G1738" s="916">
        <f>VLOOKUP($A1738,'Tech Litons'!$A:$I,8,FALSE)</f>
        <v>8.5199999999999998E-3</v>
      </c>
      <c r="H1738" s="917">
        <f>VLOOKUP($A1738,'Tech Litons'!$A:$I,9,FALSE)</f>
        <v>176</v>
      </c>
      <c r="I1738" s="917" t="str">
        <f>VLOOKUP($A1738,'Tech Litons'!$A:$C,3,0)</f>
        <v>48oz</v>
      </c>
      <c r="J1738" s="918" t="str">
        <f t="shared" si="175"/>
        <v>135248oz</v>
      </c>
      <c r="K1738" s="919">
        <v>1</v>
      </c>
      <c r="L1738" s="920">
        <f t="shared" si="174"/>
        <v>4688</v>
      </c>
      <c r="M1738" s="920">
        <f t="shared" si="176"/>
        <v>39.941760000000002</v>
      </c>
      <c r="N1738" s="920">
        <f t="shared" si="177"/>
        <v>26.636363636363637</v>
      </c>
      <c r="O1738" s="918" t="str">
        <f t="shared" si="178"/>
        <v>Feb</v>
      </c>
      <c r="P1738" s="921">
        <f t="shared" si="179"/>
        <v>7</v>
      </c>
    </row>
    <row r="1739" spans="1:16" ht="15" hidden="1" customHeight="1">
      <c r="A1739" s="839">
        <v>68850683</v>
      </c>
      <c r="B1739" s="839">
        <v>1352</v>
      </c>
      <c r="C1739" s="906">
        <v>8921</v>
      </c>
      <c r="D1739" s="907">
        <v>46063</v>
      </c>
      <c r="E1739" s="839" t="s">
        <v>311</v>
      </c>
      <c r="F1739" s="839" t="s">
        <v>264</v>
      </c>
      <c r="G1739" s="916">
        <f>VLOOKUP($A1739,'Tech Litons'!$A:$I,8,FALSE)</f>
        <v>8.5199999999999998E-3</v>
      </c>
      <c r="H1739" s="917">
        <f>VLOOKUP($A1739,'Tech Litons'!$A:$I,9,FALSE)</f>
        <v>176</v>
      </c>
      <c r="I1739" s="917" t="str">
        <f>VLOOKUP($A1739,'Tech Litons'!$A:$C,3,0)</f>
        <v>48oz</v>
      </c>
      <c r="J1739" s="918" t="str">
        <f t="shared" si="175"/>
        <v>135248oz</v>
      </c>
      <c r="K1739" s="919">
        <v>1</v>
      </c>
      <c r="L1739" s="920">
        <f t="shared" si="174"/>
        <v>8921</v>
      </c>
      <c r="M1739" s="920">
        <f t="shared" si="176"/>
        <v>76.006919999999994</v>
      </c>
      <c r="N1739" s="920">
        <f t="shared" si="177"/>
        <v>50.6875</v>
      </c>
      <c r="O1739" s="918" t="str">
        <f t="shared" si="178"/>
        <v>Feb</v>
      </c>
      <c r="P1739" s="921">
        <f t="shared" si="179"/>
        <v>7</v>
      </c>
    </row>
    <row r="1740" spans="1:16" ht="15" hidden="1" customHeight="1">
      <c r="A1740" s="839">
        <v>68850683</v>
      </c>
      <c r="B1740" s="839">
        <v>1352</v>
      </c>
      <c r="C1740" s="906">
        <v>880</v>
      </c>
      <c r="D1740" s="907">
        <v>46052</v>
      </c>
      <c r="E1740" s="839" t="s">
        <v>311</v>
      </c>
      <c r="F1740" s="839" t="s">
        <v>264</v>
      </c>
      <c r="G1740" s="916">
        <f>VLOOKUP($A1740,'Tech Litons'!$A:$I,8,FALSE)</f>
        <v>8.5199999999999998E-3</v>
      </c>
      <c r="H1740" s="917">
        <f>VLOOKUP($A1740,'Tech Litons'!$A:$I,9,FALSE)</f>
        <v>176</v>
      </c>
      <c r="I1740" s="917" t="str">
        <f>VLOOKUP($A1740,'Tech Litons'!$A:$C,3,0)</f>
        <v>48oz</v>
      </c>
      <c r="J1740" s="918" t="str">
        <f t="shared" si="175"/>
        <v>135248oz</v>
      </c>
      <c r="K1740" s="919">
        <v>1</v>
      </c>
      <c r="L1740" s="920">
        <f t="shared" si="174"/>
        <v>880</v>
      </c>
      <c r="M1740" s="920">
        <f t="shared" si="176"/>
        <v>7.4976000000000003</v>
      </c>
      <c r="N1740" s="920">
        <f t="shared" si="177"/>
        <v>5</v>
      </c>
      <c r="O1740" s="918" t="str">
        <f t="shared" si="178"/>
        <v>Jan</v>
      </c>
      <c r="P1740" s="921">
        <f t="shared" si="179"/>
        <v>5</v>
      </c>
    </row>
    <row r="1741" spans="1:16" ht="15" hidden="1" customHeight="1">
      <c r="A1741" s="839">
        <v>68850683</v>
      </c>
      <c r="B1741" s="839">
        <v>1352</v>
      </c>
      <c r="C1741" s="906">
        <v>8767</v>
      </c>
      <c r="D1741" s="907">
        <v>46053</v>
      </c>
      <c r="E1741" s="839" t="s">
        <v>311</v>
      </c>
      <c r="F1741" s="839" t="s">
        <v>264</v>
      </c>
      <c r="G1741" s="916">
        <f>VLOOKUP($A1741,'Tech Litons'!$A:$I,8,FALSE)</f>
        <v>8.5199999999999998E-3</v>
      </c>
      <c r="H1741" s="917">
        <f>VLOOKUP($A1741,'Tech Litons'!$A:$I,9,FALSE)</f>
        <v>176</v>
      </c>
      <c r="I1741" s="917" t="str">
        <f>VLOOKUP($A1741,'Tech Litons'!$A:$C,3,0)</f>
        <v>48oz</v>
      </c>
      <c r="J1741" s="918" t="str">
        <f t="shared" si="175"/>
        <v>135248oz</v>
      </c>
      <c r="K1741" s="919">
        <v>1</v>
      </c>
      <c r="L1741" s="920">
        <f t="shared" si="174"/>
        <v>8767</v>
      </c>
      <c r="M1741" s="920">
        <f t="shared" si="176"/>
        <v>74.694839999999999</v>
      </c>
      <c r="N1741" s="920">
        <f t="shared" si="177"/>
        <v>49.8125</v>
      </c>
      <c r="O1741" s="918" t="str">
        <f t="shared" si="178"/>
        <v>Jan</v>
      </c>
      <c r="P1741" s="921">
        <f t="shared" si="179"/>
        <v>5</v>
      </c>
    </row>
    <row r="1742" spans="1:16" ht="15" hidden="1" customHeight="1">
      <c r="A1742" s="839">
        <v>68850683</v>
      </c>
      <c r="B1742" s="839">
        <v>1352</v>
      </c>
      <c r="C1742" s="906">
        <v>8448</v>
      </c>
      <c r="D1742" s="907">
        <v>46053</v>
      </c>
      <c r="E1742" s="839" t="s">
        <v>311</v>
      </c>
      <c r="F1742" s="839" t="s">
        <v>264</v>
      </c>
      <c r="G1742" s="916">
        <f>VLOOKUP($A1742,'Tech Litons'!$A:$I,8,FALSE)</f>
        <v>8.5199999999999998E-3</v>
      </c>
      <c r="H1742" s="917">
        <f>VLOOKUP($A1742,'Tech Litons'!$A:$I,9,FALSE)</f>
        <v>176</v>
      </c>
      <c r="I1742" s="917" t="str">
        <f>VLOOKUP($A1742,'Tech Litons'!$A:$C,3,0)</f>
        <v>48oz</v>
      </c>
      <c r="J1742" s="918" t="str">
        <f t="shared" si="175"/>
        <v>135248oz</v>
      </c>
      <c r="K1742" s="919">
        <v>1</v>
      </c>
      <c r="L1742" s="920">
        <f t="shared" si="174"/>
        <v>8448</v>
      </c>
      <c r="M1742" s="920">
        <f t="shared" si="176"/>
        <v>71.976959999999991</v>
      </c>
      <c r="N1742" s="920">
        <f t="shared" si="177"/>
        <v>48</v>
      </c>
      <c r="O1742" s="918" t="str">
        <f t="shared" si="178"/>
        <v>Jan</v>
      </c>
      <c r="P1742" s="921">
        <f t="shared" si="179"/>
        <v>5</v>
      </c>
    </row>
    <row r="1743" spans="1:16" ht="15" hidden="1" customHeight="1">
      <c r="A1743" s="839">
        <v>68850683</v>
      </c>
      <c r="B1743" s="839">
        <v>1352</v>
      </c>
      <c r="C1743" s="906">
        <v>6409</v>
      </c>
      <c r="D1743" s="907">
        <v>46054</v>
      </c>
      <c r="E1743" s="839" t="s">
        <v>311</v>
      </c>
      <c r="F1743" s="839" t="s">
        <v>264</v>
      </c>
      <c r="G1743" s="916">
        <f>VLOOKUP($A1743,'Tech Litons'!$A:$I,8,FALSE)</f>
        <v>8.5199999999999998E-3</v>
      </c>
      <c r="H1743" s="917">
        <f>VLOOKUP($A1743,'Tech Litons'!$A:$I,9,FALSE)</f>
        <v>176</v>
      </c>
      <c r="I1743" s="917" t="str">
        <f>VLOOKUP($A1743,'Tech Litons'!$A:$C,3,0)</f>
        <v>48oz</v>
      </c>
      <c r="J1743" s="918" t="str">
        <f t="shared" si="175"/>
        <v>135248oz</v>
      </c>
      <c r="K1743" s="919">
        <v>1</v>
      </c>
      <c r="L1743" s="920">
        <f t="shared" si="174"/>
        <v>6409</v>
      </c>
      <c r="M1743" s="920">
        <f t="shared" si="176"/>
        <v>54.604680000000002</v>
      </c>
      <c r="N1743" s="920">
        <f t="shared" si="177"/>
        <v>36.414772727272727</v>
      </c>
      <c r="O1743" s="918" t="str">
        <f t="shared" si="178"/>
        <v>Feb</v>
      </c>
      <c r="P1743" s="921">
        <f t="shared" si="179"/>
        <v>6</v>
      </c>
    </row>
    <row r="1744" spans="1:16" ht="15" hidden="1" customHeight="1">
      <c r="A1744" s="839">
        <v>68850683</v>
      </c>
      <c r="B1744" s="839">
        <v>1352</v>
      </c>
      <c r="C1744" s="906">
        <v>176</v>
      </c>
      <c r="D1744" s="907">
        <v>46058</v>
      </c>
      <c r="E1744" s="839" t="s">
        <v>311</v>
      </c>
      <c r="F1744" s="839" t="s">
        <v>264</v>
      </c>
      <c r="G1744" s="916">
        <f>VLOOKUP($A1744,'Tech Litons'!$A:$I,8,FALSE)</f>
        <v>8.5199999999999998E-3</v>
      </c>
      <c r="H1744" s="917">
        <f>VLOOKUP($A1744,'Tech Litons'!$A:$I,9,FALSE)</f>
        <v>176</v>
      </c>
      <c r="I1744" s="917" t="str">
        <f>VLOOKUP($A1744,'Tech Litons'!$A:$C,3,0)</f>
        <v>48oz</v>
      </c>
      <c r="J1744" s="918" t="str">
        <f t="shared" si="175"/>
        <v>135248oz</v>
      </c>
      <c r="K1744" s="919">
        <v>1</v>
      </c>
      <c r="L1744" s="920">
        <f t="shared" si="174"/>
        <v>176</v>
      </c>
      <c r="M1744" s="920">
        <f t="shared" si="176"/>
        <v>1.49952</v>
      </c>
      <c r="N1744" s="920">
        <f t="shared" si="177"/>
        <v>1</v>
      </c>
      <c r="O1744" s="918" t="str">
        <f t="shared" si="178"/>
        <v>Feb</v>
      </c>
      <c r="P1744" s="921">
        <f t="shared" si="179"/>
        <v>6</v>
      </c>
    </row>
    <row r="1745" spans="1:16" ht="15" hidden="1" customHeight="1">
      <c r="A1745" s="839">
        <v>68850683</v>
      </c>
      <c r="B1745" s="839">
        <v>1352</v>
      </c>
      <c r="C1745" s="906">
        <v>4028</v>
      </c>
      <c r="D1745" s="907">
        <v>46054</v>
      </c>
      <c r="E1745" s="839" t="s">
        <v>311</v>
      </c>
      <c r="F1745" s="839" t="s">
        <v>264</v>
      </c>
      <c r="G1745" s="916">
        <f>VLOOKUP($A1745,'Tech Litons'!$A:$I,8,FALSE)</f>
        <v>8.5199999999999998E-3</v>
      </c>
      <c r="H1745" s="917">
        <f>VLOOKUP($A1745,'Tech Litons'!$A:$I,9,FALSE)</f>
        <v>176</v>
      </c>
      <c r="I1745" s="917" t="str">
        <f>VLOOKUP($A1745,'Tech Litons'!$A:$C,3,0)</f>
        <v>48oz</v>
      </c>
      <c r="J1745" s="918" t="str">
        <f t="shared" si="175"/>
        <v>135248oz</v>
      </c>
      <c r="K1745" s="919">
        <v>1</v>
      </c>
      <c r="L1745" s="920">
        <f t="shared" si="174"/>
        <v>4028</v>
      </c>
      <c r="M1745" s="920">
        <f t="shared" si="176"/>
        <v>34.318559999999998</v>
      </c>
      <c r="N1745" s="920">
        <f t="shared" si="177"/>
        <v>22.886363636363637</v>
      </c>
      <c r="O1745" s="918" t="str">
        <f t="shared" si="178"/>
        <v>Feb</v>
      </c>
      <c r="P1745" s="921">
        <f t="shared" si="179"/>
        <v>6</v>
      </c>
    </row>
    <row r="1746" spans="1:16" ht="15" hidden="1" customHeight="1">
      <c r="A1746" s="839">
        <v>68850683</v>
      </c>
      <c r="B1746" s="839">
        <v>1352</v>
      </c>
      <c r="C1746" s="906">
        <v>2813</v>
      </c>
      <c r="D1746" s="907">
        <v>46055</v>
      </c>
      <c r="E1746" s="839" t="s">
        <v>311</v>
      </c>
      <c r="F1746" s="839" t="s">
        <v>264</v>
      </c>
      <c r="G1746" s="916">
        <f>VLOOKUP($A1746,'Tech Litons'!$A:$I,8,FALSE)</f>
        <v>8.5199999999999998E-3</v>
      </c>
      <c r="H1746" s="917">
        <f>VLOOKUP($A1746,'Tech Litons'!$A:$I,9,FALSE)</f>
        <v>176</v>
      </c>
      <c r="I1746" s="917" t="str">
        <f>VLOOKUP($A1746,'Tech Litons'!$A:$C,3,0)</f>
        <v>48oz</v>
      </c>
      <c r="J1746" s="918" t="str">
        <f t="shared" si="175"/>
        <v>135248oz</v>
      </c>
      <c r="K1746" s="919">
        <v>1</v>
      </c>
      <c r="L1746" s="920">
        <f t="shared" si="174"/>
        <v>2813</v>
      </c>
      <c r="M1746" s="920">
        <f t="shared" si="176"/>
        <v>23.966760000000001</v>
      </c>
      <c r="N1746" s="920">
        <f t="shared" si="177"/>
        <v>15.982954545454545</v>
      </c>
      <c r="O1746" s="918" t="str">
        <f t="shared" si="178"/>
        <v>Feb</v>
      </c>
      <c r="P1746" s="921">
        <f t="shared" si="179"/>
        <v>6</v>
      </c>
    </row>
    <row r="1747" spans="1:16" ht="15" hidden="1" customHeight="1">
      <c r="A1747" s="839">
        <v>68850683</v>
      </c>
      <c r="B1747" s="839">
        <v>1352</v>
      </c>
      <c r="C1747" s="906">
        <v>5235</v>
      </c>
      <c r="D1747" s="907">
        <v>46055</v>
      </c>
      <c r="E1747" s="839" t="s">
        <v>311</v>
      </c>
      <c r="F1747" s="839" t="s">
        <v>264</v>
      </c>
      <c r="G1747" s="916">
        <f>VLOOKUP($A1747,'Tech Litons'!$A:$I,8,FALSE)</f>
        <v>8.5199999999999998E-3</v>
      </c>
      <c r="H1747" s="917">
        <f>VLOOKUP($A1747,'Tech Litons'!$A:$I,9,FALSE)</f>
        <v>176</v>
      </c>
      <c r="I1747" s="917" t="str">
        <f>VLOOKUP($A1747,'Tech Litons'!$A:$C,3,0)</f>
        <v>48oz</v>
      </c>
      <c r="J1747" s="918" t="str">
        <f t="shared" si="175"/>
        <v>135248oz</v>
      </c>
      <c r="K1747" s="919">
        <v>1</v>
      </c>
      <c r="L1747" s="920">
        <f t="shared" si="174"/>
        <v>5235</v>
      </c>
      <c r="M1747" s="920">
        <f t="shared" si="176"/>
        <v>44.602199999999996</v>
      </c>
      <c r="N1747" s="920">
        <f t="shared" si="177"/>
        <v>29.744318181818183</v>
      </c>
      <c r="O1747" s="918" t="str">
        <f t="shared" si="178"/>
        <v>Feb</v>
      </c>
      <c r="P1747" s="921">
        <f t="shared" si="179"/>
        <v>6</v>
      </c>
    </row>
    <row r="1748" spans="1:16" ht="15" hidden="1" customHeight="1">
      <c r="A1748" s="839">
        <v>68850683</v>
      </c>
      <c r="B1748" s="839">
        <v>1352</v>
      </c>
      <c r="C1748" s="906">
        <v>10065</v>
      </c>
      <c r="D1748" s="907">
        <v>46056</v>
      </c>
      <c r="E1748" s="839" t="s">
        <v>311</v>
      </c>
      <c r="F1748" s="839" t="s">
        <v>264</v>
      </c>
      <c r="G1748" s="916">
        <f>VLOOKUP($A1748,'Tech Litons'!$A:$I,8,FALSE)</f>
        <v>8.5199999999999998E-3</v>
      </c>
      <c r="H1748" s="917">
        <f>VLOOKUP($A1748,'Tech Litons'!$A:$I,9,FALSE)</f>
        <v>176</v>
      </c>
      <c r="I1748" s="917" t="str">
        <f>VLOOKUP($A1748,'Tech Litons'!$A:$C,3,0)</f>
        <v>48oz</v>
      </c>
      <c r="J1748" s="918" t="str">
        <f t="shared" si="175"/>
        <v>135248oz</v>
      </c>
      <c r="K1748" s="919">
        <v>1</v>
      </c>
      <c r="L1748" s="920">
        <f t="shared" ref="L1748:L1805" si="180">C1748*$K1748</f>
        <v>10065</v>
      </c>
      <c r="M1748" s="920">
        <f t="shared" si="176"/>
        <v>85.753799999999998</v>
      </c>
      <c r="N1748" s="920">
        <f t="shared" si="177"/>
        <v>57.1875</v>
      </c>
      <c r="O1748" s="918" t="str">
        <f t="shared" si="178"/>
        <v>Feb</v>
      </c>
      <c r="P1748" s="921">
        <f t="shared" si="179"/>
        <v>6</v>
      </c>
    </row>
    <row r="1749" spans="1:16" ht="15" hidden="1" customHeight="1">
      <c r="A1749" s="839">
        <v>68850683</v>
      </c>
      <c r="B1749" s="839">
        <v>1352</v>
      </c>
      <c r="C1749" s="906">
        <v>4554</v>
      </c>
      <c r="D1749" s="907">
        <v>46056</v>
      </c>
      <c r="E1749" s="839" t="s">
        <v>311</v>
      </c>
      <c r="F1749" s="839" t="s">
        <v>264</v>
      </c>
      <c r="G1749" s="916">
        <f>VLOOKUP($A1749,'Tech Litons'!$A:$I,8,FALSE)</f>
        <v>8.5199999999999998E-3</v>
      </c>
      <c r="H1749" s="917">
        <f>VLOOKUP($A1749,'Tech Litons'!$A:$I,9,FALSE)</f>
        <v>176</v>
      </c>
      <c r="I1749" s="917" t="str">
        <f>VLOOKUP($A1749,'Tech Litons'!$A:$C,3,0)</f>
        <v>48oz</v>
      </c>
      <c r="J1749" s="918" t="str">
        <f t="shared" ref="J1749:J1806" si="181">B1749&amp;I1749</f>
        <v>135248oz</v>
      </c>
      <c r="K1749" s="919">
        <v>1</v>
      </c>
      <c r="L1749" s="920">
        <f t="shared" si="180"/>
        <v>4554</v>
      </c>
      <c r="M1749" s="920">
        <f t="shared" ref="M1749:M1806" si="182">L1749*G1749</f>
        <v>38.800080000000001</v>
      </c>
      <c r="N1749" s="920">
        <f t="shared" ref="N1749:N1806" si="183">L1749/H1749</f>
        <v>25.875</v>
      </c>
      <c r="O1749" s="918" t="str">
        <f t="shared" ref="O1749:O1806" si="184">TEXT(D1749,"MMM")</f>
        <v>Feb</v>
      </c>
      <c r="P1749" s="921">
        <f t="shared" ref="P1749:P1806" si="185">WEEKNUM(D1749)</f>
        <v>6</v>
      </c>
    </row>
    <row r="1750" spans="1:16" ht="15" hidden="1" customHeight="1">
      <c r="A1750" s="839">
        <v>68850683</v>
      </c>
      <c r="B1750" s="839">
        <v>1352</v>
      </c>
      <c r="C1750" s="906">
        <v>10298</v>
      </c>
      <c r="D1750" s="907">
        <v>46057</v>
      </c>
      <c r="E1750" s="839" t="s">
        <v>311</v>
      </c>
      <c r="F1750" s="839" t="s">
        <v>264</v>
      </c>
      <c r="G1750" s="916">
        <f>VLOOKUP($A1750,'Tech Litons'!$A:$I,8,FALSE)</f>
        <v>8.5199999999999998E-3</v>
      </c>
      <c r="H1750" s="917">
        <f>VLOOKUP($A1750,'Tech Litons'!$A:$I,9,FALSE)</f>
        <v>176</v>
      </c>
      <c r="I1750" s="917" t="str">
        <f>VLOOKUP($A1750,'Tech Litons'!$A:$C,3,0)</f>
        <v>48oz</v>
      </c>
      <c r="J1750" s="918" t="str">
        <f t="shared" si="181"/>
        <v>135248oz</v>
      </c>
      <c r="K1750" s="919">
        <v>1</v>
      </c>
      <c r="L1750" s="920">
        <f t="shared" si="180"/>
        <v>10298</v>
      </c>
      <c r="M1750" s="920">
        <f t="shared" si="182"/>
        <v>87.738959999999992</v>
      </c>
      <c r="N1750" s="920">
        <f t="shared" si="183"/>
        <v>58.511363636363633</v>
      </c>
      <c r="O1750" s="918" t="str">
        <f t="shared" si="184"/>
        <v>Feb</v>
      </c>
      <c r="P1750" s="921">
        <f t="shared" si="185"/>
        <v>6</v>
      </c>
    </row>
    <row r="1751" spans="1:16" ht="15" hidden="1" customHeight="1">
      <c r="A1751" s="839">
        <v>68850684</v>
      </c>
      <c r="B1751" s="839">
        <v>1352</v>
      </c>
      <c r="C1751" s="906">
        <v>6181</v>
      </c>
      <c r="D1751" s="907">
        <v>46050</v>
      </c>
      <c r="E1751" s="839" t="s">
        <v>381</v>
      </c>
      <c r="F1751" s="839" t="s">
        <v>264</v>
      </c>
      <c r="G1751" s="916">
        <f>VLOOKUP($A1751,'Tech Litons'!$A:$I,8,FALSE)</f>
        <v>8.5199999999999998E-3</v>
      </c>
      <c r="H1751" s="917">
        <f>VLOOKUP($A1751,'Tech Litons'!$A:$I,9,FALSE)</f>
        <v>176</v>
      </c>
      <c r="I1751" s="917" t="str">
        <f>VLOOKUP($A1751,'Tech Litons'!$A:$C,3,0)</f>
        <v>48oz</v>
      </c>
      <c r="J1751" s="918" t="str">
        <f t="shared" si="181"/>
        <v>135248oz</v>
      </c>
      <c r="K1751" s="919">
        <v>1</v>
      </c>
      <c r="L1751" s="920">
        <f t="shared" si="180"/>
        <v>6181</v>
      </c>
      <c r="M1751" s="920">
        <f t="shared" si="182"/>
        <v>52.662120000000002</v>
      </c>
      <c r="N1751" s="920">
        <f t="shared" si="183"/>
        <v>35.11931818181818</v>
      </c>
      <c r="O1751" s="918" t="str">
        <f t="shared" si="184"/>
        <v>Jan</v>
      </c>
      <c r="P1751" s="921">
        <f t="shared" si="185"/>
        <v>5</v>
      </c>
    </row>
    <row r="1752" spans="1:16" ht="15" hidden="1" customHeight="1">
      <c r="A1752" s="839">
        <v>68850684</v>
      </c>
      <c r="B1752" s="839">
        <v>1352</v>
      </c>
      <c r="C1752" s="906">
        <v>4026</v>
      </c>
      <c r="D1752" s="907">
        <v>46050</v>
      </c>
      <c r="E1752" s="839" t="s">
        <v>381</v>
      </c>
      <c r="F1752" s="839" t="s">
        <v>264</v>
      </c>
      <c r="G1752" s="916">
        <f>VLOOKUP($A1752,'Tech Litons'!$A:$I,8,FALSE)</f>
        <v>8.5199999999999998E-3</v>
      </c>
      <c r="H1752" s="917">
        <f>VLOOKUP($A1752,'Tech Litons'!$A:$I,9,FALSE)</f>
        <v>176</v>
      </c>
      <c r="I1752" s="917" t="str">
        <f>VLOOKUP($A1752,'Tech Litons'!$A:$C,3,0)</f>
        <v>48oz</v>
      </c>
      <c r="J1752" s="918" t="str">
        <f t="shared" si="181"/>
        <v>135248oz</v>
      </c>
      <c r="K1752" s="919">
        <v>1</v>
      </c>
      <c r="L1752" s="920">
        <f t="shared" si="180"/>
        <v>4026</v>
      </c>
      <c r="M1752" s="920">
        <f t="shared" si="182"/>
        <v>34.301519999999996</v>
      </c>
      <c r="N1752" s="920">
        <f t="shared" si="183"/>
        <v>22.875</v>
      </c>
      <c r="O1752" s="918" t="str">
        <f t="shared" si="184"/>
        <v>Jan</v>
      </c>
      <c r="P1752" s="921">
        <f t="shared" si="185"/>
        <v>5</v>
      </c>
    </row>
    <row r="1753" spans="1:16" ht="15" hidden="1" customHeight="1">
      <c r="A1753" s="839">
        <v>68850684</v>
      </c>
      <c r="B1753" s="839">
        <v>1352</v>
      </c>
      <c r="C1753" s="906">
        <v>7589</v>
      </c>
      <c r="D1753" s="907">
        <v>46051</v>
      </c>
      <c r="E1753" s="839" t="s">
        <v>381</v>
      </c>
      <c r="F1753" s="839" t="s">
        <v>264</v>
      </c>
      <c r="G1753" s="916">
        <f>VLOOKUP($A1753,'Tech Litons'!$A:$I,8,FALSE)</f>
        <v>8.5199999999999998E-3</v>
      </c>
      <c r="H1753" s="917">
        <f>VLOOKUP($A1753,'Tech Litons'!$A:$I,9,FALSE)</f>
        <v>176</v>
      </c>
      <c r="I1753" s="917" t="str">
        <f>VLOOKUP($A1753,'Tech Litons'!$A:$C,3,0)</f>
        <v>48oz</v>
      </c>
      <c r="J1753" s="918" t="str">
        <f t="shared" si="181"/>
        <v>135248oz</v>
      </c>
      <c r="K1753" s="919">
        <v>1</v>
      </c>
      <c r="L1753" s="920">
        <f t="shared" si="180"/>
        <v>7589</v>
      </c>
      <c r="M1753" s="920">
        <f t="shared" si="182"/>
        <v>64.658280000000005</v>
      </c>
      <c r="N1753" s="920">
        <f t="shared" si="183"/>
        <v>43.11931818181818</v>
      </c>
      <c r="O1753" s="918" t="str">
        <f t="shared" si="184"/>
        <v>Jan</v>
      </c>
      <c r="P1753" s="921">
        <f t="shared" si="185"/>
        <v>5</v>
      </c>
    </row>
    <row r="1754" spans="1:16" ht="15" hidden="1" customHeight="1">
      <c r="A1754" s="839">
        <v>68850684</v>
      </c>
      <c r="B1754" s="839">
        <v>1352</v>
      </c>
      <c r="C1754" s="906">
        <v>4752</v>
      </c>
      <c r="D1754" s="907">
        <v>46051</v>
      </c>
      <c r="E1754" s="839" t="s">
        <v>381</v>
      </c>
      <c r="F1754" s="839" t="s">
        <v>264</v>
      </c>
      <c r="G1754" s="916">
        <f>VLOOKUP($A1754,'Tech Litons'!$A:$I,8,FALSE)</f>
        <v>8.5199999999999998E-3</v>
      </c>
      <c r="H1754" s="917">
        <f>VLOOKUP($A1754,'Tech Litons'!$A:$I,9,FALSE)</f>
        <v>176</v>
      </c>
      <c r="I1754" s="917" t="str">
        <f>VLOOKUP($A1754,'Tech Litons'!$A:$C,3,0)</f>
        <v>48oz</v>
      </c>
      <c r="J1754" s="918" t="str">
        <f t="shared" si="181"/>
        <v>135248oz</v>
      </c>
      <c r="K1754" s="919">
        <v>1</v>
      </c>
      <c r="L1754" s="920">
        <f t="shared" si="180"/>
        <v>4752</v>
      </c>
      <c r="M1754" s="920">
        <f t="shared" si="182"/>
        <v>40.48704</v>
      </c>
      <c r="N1754" s="920">
        <f t="shared" si="183"/>
        <v>27</v>
      </c>
      <c r="O1754" s="918" t="str">
        <f t="shared" si="184"/>
        <v>Jan</v>
      </c>
      <c r="P1754" s="921">
        <f t="shared" si="185"/>
        <v>5</v>
      </c>
    </row>
    <row r="1755" spans="1:16" ht="15" hidden="1" customHeight="1">
      <c r="A1755" s="839">
        <v>68850684</v>
      </c>
      <c r="B1755" s="839">
        <v>1352</v>
      </c>
      <c r="C1755" s="906">
        <v>10275</v>
      </c>
      <c r="D1755" s="907">
        <v>46052</v>
      </c>
      <c r="E1755" s="839" t="s">
        <v>381</v>
      </c>
      <c r="F1755" s="839" t="s">
        <v>264</v>
      </c>
      <c r="G1755" s="916">
        <f>VLOOKUP($A1755,'Tech Litons'!$A:$I,8,FALSE)</f>
        <v>8.5199999999999998E-3</v>
      </c>
      <c r="H1755" s="917">
        <f>VLOOKUP($A1755,'Tech Litons'!$A:$I,9,FALSE)</f>
        <v>176</v>
      </c>
      <c r="I1755" s="917" t="str">
        <f>VLOOKUP($A1755,'Tech Litons'!$A:$C,3,0)</f>
        <v>48oz</v>
      </c>
      <c r="J1755" s="918" t="str">
        <f t="shared" si="181"/>
        <v>135248oz</v>
      </c>
      <c r="K1755" s="919">
        <v>1</v>
      </c>
      <c r="L1755" s="920">
        <f t="shared" si="180"/>
        <v>10275</v>
      </c>
      <c r="M1755" s="920">
        <f t="shared" si="182"/>
        <v>87.542999999999992</v>
      </c>
      <c r="N1755" s="920">
        <f t="shared" si="183"/>
        <v>58.38068181818182</v>
      </c>
      <c r="O1755" s="918" t="str">
        <f t="shared" si="184"/>
        <v>Jan</v>
      </c>
      <c r="P1755" s="921">
        <f t="shared" si="185"/>
        <v>5</v>
      </c>
    </row>
    <row r="1756" spans="1:16" ht="15" hidden="1" customHeight="1">
      <c r="A1756" s="839">
        <v>68850684</v>
      </c>
      <c r="B1756" s="839">
        <v>1352</v>
      </c>
      <c r="C1756" s="906">
        <v>7590</v>
      </c>
      <c r="D1756" s="907">
        <v>46071</v>
      </c>
      <c r="E1756" s="839" t="s">
        <v>381</v>
      </c>
      <c r="F1756" s="839" t="s">
        <v>264</v>
      </c>
      <c r="G1756" s="916">
        <f>VLOOKUP($A1756,'Tech Litons'!$A:$I,8,FALSE)</f>
        <v>8.5199999999999998E-3</v>
      </c>
      <c r="H1756" s="917">
        <f>VLOOKUP($A1756,'Tech Litons'!$A:$I,9,FALSE)</f>
        <v>176</v>
      </c>
      <c r="I1756" s="917" t="str">
        <f>VLOOKUP($A1756,'Tech Litons'!$A:$C,3,0)</f>
        <v>48oz</v>
      </c>
      <c r="J1756" s="918" t="str">
        <f t="shared" si="181"/>
        <v>135248oz</v>
      </c>
      <c r="K1756" s="919">
        <v>1</v>
      </c>
      <c r="L1756" s="920">
        <f t="shared" si="180"/>
        <v>7590</v>
      </c>
      <c r="M1756" s="920">
        <f t="shared" si="182"/>
        <v>64.666799999999995</v>
      </c>
      <c r="N1756" s="920">
        <f t="shared" si="183"/>
        <v>43.125</v>
      </c>
      <c r="O1756" s="918" t="str">
        <f t="shared" si="184"/>
        <v>Feb</v>
      </c>
      <c r="P1756" s="921">
        <f t="shared" si="185"/>
        <v>8</v>
      </c>
    </row>
    <row r="1757" spans="1:16" ht="15" hidden="1" customHeight="1">
      <c r="A1757" s="839">
        <v>68850684</v>
      </c>
      <c r="B1757" s="839">
        <v>1352</v>
      </c>
      <c r="C1757" s="906">
        <v>2805</v>
      </c>
      <c r="D1757" s="907">
        <v>46071</v>
      </c>
      <c r="E1757" s="839" t="s">
        <v>381</v>
      </c>
      <c r="F1757" s="839" t="s">
        <v>264</v>
      </c>
      <c r="G1757" s="916">
        <f>VLOOKUP($A1757,'Tech Litons'!$A:$I,8,FALSE)</f>
        <v>8.5199999999999998E-3</v>
      </c>
      <c r="H1757" s="917">
        <f>VLOOKUP($A1757,'Tech Litons'!$A:$I,9,FALSE)</f>
        <v>176</v>
      </c>
      <c r="I1757" s="917" t="str">
        <f>VLOOKUP($A1757,'Tech Litons'!$A:$C,3,0)</f>
        <v>48oz</v>
      </c>
      <c r="J1757" s="918" t="str">
        <f t="shared" si="181"/>
        <v>135248oz</v>
      </c>
      <c r="K1757" s="919">
        <v>1</v>
      </c>
      <c r="L1757" s="920">
        <f t="shared" si="180"/>
        <v>2805</v>
      </c>
      <c r="M1757" s="920">
        <f t="shared" si="182"/>
        <v>23.898599999999998</v>
      </c>
      <c r="N1757" s="920">
        <f t="shared" si="183"/>
        <v>15.9375</v>
      </c>
      <c r="O1757" s="918" t="str">
        <f t="shared" si="184"/>
        <v>Feb</v>
      </c>
      <c r="P1757" s="921">
        <f t="shared" si="185"/>
        <v>8</v>
      </c>
    </row>
    <row r="1758" spans="1:16" ht="15" hidden="1" customHeight="1">
      <c r="A1758" s="839">
        <v>68850684</v>
      </c>
      <c r="B1758" s="839">
        <v>1352</v>
      </c>
      <c r="C1758" s="906">
        <v>5847</v>
      </c>
      <c r="D1758" s="907">
        <v>46072</v>
      </c>
      <c r="E1758" s="839" t="s">
        <v>381</v>
      </c>
      <c r="F1758" s="839" t="s">
        <v>264</v>
      </c>
      <c r="G1758" s="916">
        <f>VLOOKUP($A1758,'Tech Litons'!$A:$I,8,FALSE)</f>
        <v>8.5199999999999998E-3</v>
      </c>
      <c r="H1758" s="917">
        <f>VLOOKUP($A1758,'Tech Litons'!$A:$I,9,FALSE)</f>
        <v>176</v>
      </c>
      <c r="I1758" s="917" t="str">
        <f>VLOOKUP($A1758,'Tech Litons'!$A:$C,3,0)</f>
        <v>48oz</v>
      </c>
      <c r="J1758" s="918" t="str">
        <f t="shared" si="181"/>
        <v>135248oz</v>
      </c>
      <c r="K1758" s="919">
        <v>1</v>
      </c>
      <c r="L1758" s="920">
        <f t="shared" si="180"/>
        <v>5847</v>
      </c>
      <c r="M1758" s="920">
        <f t="shared" si="182"/>
        <v>49.81644</v>
      </c>
      <c r="N1758" s="920">
        <f t="shared" si="183"/>
        <v>33.221590909090907</v>
      </c>
      <c r="O1758" s="918" t="str">
        <f t="shared" si="184"/>
        <v>Feb</v>
      </c>
      <c r="P1758" s="921">
        <f t="shared" si="185"/>
        <v>8</v>
      </c>
    </row>
    <row r="1759" spans="1:16" ht="15" hidden="1" customHeight="1">
      <c r="A1759" s="839">
        <v>68850684</v>
      </c>
      <c r="B1759" s="839">
        <v>1352</v>
      </c>
      <c r="C1759" s="906">
        <v>4224</v>
      </c>
      <c r="D1759" s="907">
        <v>46072</v>
      </c>
      <c r="E1759" s="839" t="s">
        <v>381</v>
      </c>
      <c r="F1759" s="839" t="s">
        <v>264</v>
      </c>
      <c r="G1759" s="916">
        <f>VLOOKUP($A1759,'Tech Litons'!$A:$I,8,FALSE)</f>
        <v>8.5199999999999998E-3</v>
      </c>
      <c r="H1759" s="917">
        <f>VLOOKUP($A1759,'Tech Litons'!$A:$I,9,FALSE)</f>
        <v>176</v>
      </c>
      <c r="I1759" s="917" t="str">
        <f>VLOOKUP($A1759,'Tech Litons'!$A:$C,3,0)</f>
        <v>48oz</v>
      </c>
      <c r="J1759" s="918" t="str">
        <f t="shared" si="181"/>
        <v>135248oz</v>
      </c>
      <c r="K1759" s="919">
        <v>1</v>
      </c>
      <c r="L1759" s="920">
        <f t="shared" si="180"/>
        <v>4224</v>
      </c>
      <c r="M1759" s="920">
        <f t="shared" si="182"/>
        <v>35.988479999999996</v>
      </c>
      <c r="N1759" s="920">
        <f t="shared" si="183"/>
        <v>24</v>
      </c>
      <c r="O1759" s="918" t="str">
        <f t="shared" si="184"/>
        <v>Feb</v>
      </c>
      <c r="P1759" s="921">
        <f t="shared" si="185"/>
        <v>8</v>
      </c>
    </row>
    <row r="1760" spans="1:16" ht="15" hidden="1" customHeight="1">
      <c r="A1760" s="839">
        <v>68850684</v>
      </c>
      <c r="B1760" s="839">
        <v>1352</v>
      </c>
      <c r="C1760" s="906">
        <v>8717</v>
      </c>
      <c r="D1760" s="907">
        <v>46073</v>
      </c>
      <c r="E1760" s="839" t="s">
        <v>381</v>
      </c>
      <c r="F1760" s="839" t="s">
        <v>264</v>
      </c>
      <c r="G1760" s="916">
        <f>VLOOKUP($A1760,'Tech Litons'!$A:$I,8,FALSE)</f>
        <v>8.5199999999999998E-3</v>
      </c>
      <c r="H1760" s="917">
        <f>VLOOKUP($A1760,'Tech Litons'!$A:$I,9,FALSE)</f>
        <v>176</v>
      </c>
      <c r="I1760" s="917" t="str">
        <f>VLOOKUP($A1760,'Tech Litons'!$A:$C,3,0)</f>
        <v>48oz</v>
      </c>
      <c r="J1760" s="918" t="str">
        <f t="shared" si="181"/>
        <v>135248oz</v>
      </c>
      <c r="K1760" s="919">
        <v>1</v>
      </c>
      <c r="L1760" s="920">
        <f t="shared" si="180"/>
        <v>8717</v>
      </c>
      <c r="M1760" s="920">
        <f t="shared" si="182"/>
        <v>74.268839999999997</v>
      </c>
      <c r="N1760" s="920">
        <f t="shared" si="183"/>
        <v>49.528409090909093</v>
      </c>
      <c r="O1760" s="918" t="str">
        <f t="shared" si="184"/>
        <v>Feb</v>
      </c>
      <c r="P1760" s="921">
        <f t="shared" si="185"/>
        <v>8</v>
      </c>
    </row>
    <row r="1761" spans="1:16" ht="15" hidden="1" customHeight="1">
      <c r="A1761" s="839">
        <v>68850684</v>
      </c>
      <c r="B1761" s="839">
        <v>1352</v>
      </c>
      <c r="C1761" s="906">
        <v>4212</v>
      </c>
      <c r="D1761" s="907">
        <v>46073</v>
      </c>
      <c r="E1761" s="839" t="s">
        <v>381</v>
      </c>
      <c r="F1761" s="839" t="s">
        <v>264</v>
      </c>
      <c r="G1761" s="916">
        <f>VLOOKUP($A1761,'Tech Litons'!$A:$I,8,FALSE)</f>
        <v>8.5199999999999998E-3</v>
      </c>
      <c r="H1761" s="917">
        <f>VLOOKUP($A1761,'Tech Litons'!$A:$I,9,FALSE)</f>
        <v>176</v>
      </c>
      <c r="I1761" s="917" t="str">
        <f>VLOOKUP($A1761,'Tech Litons'!$A:$C,3,0)</f>
        <v>48oz</v>
      </c>
      <c r="J1761" s="918" t="str">
        <f t="shared" si="181"/>
        <v>135248oz</v>
      </c>
      <c r="K1761" s="919">
        <v>1</v>
      </c>
      <c r="L1761" s="920">
        <f t="shared" si="180"/>
        <v>4212</v>
      </c>
      <c r="M1761" s="920">
        <f t="shared" si="182"/>
        <v>35.886240000000001</v>
      </c>
      <c r="N1761" s="920">
        <f t="shared" si="183"/>
        <v>23.931818181818183</v>
      </c>
      <c r="O1761" s="918" t="str">
        <f t="shared" si="184"/>
        <v>Feb</v>
      </c>
      <c r="P1761" s="921">
        <f t="shared" si="185"/>
        <v>8</v>
      </c>
    </row>
    <row r="1762" spans="1:16" ht="15" hidden="1" customHeight="1">
      <c r="A1762" s="839">
        <v>68850684</v>
      </c>
      <c r="B1762" s="839">
        <v>1352</v>
      </c>
      <c r="C1762" s="906">
        <v>10197</v>
      </c>
      <c r="D1762" s="907">
        <v>46074</v>
      </c>
      <c r="E1762" s="839" t="s">
        <v>381</v>
      </c>
      <c r="F1762" s="839" t="s">
        <v>264</v>
      </c>
      <c r="G1762" s="916">
        <f>VLOOKUP($A1762,'Tech Litons'!$A:$I,8,FALSE)</f>
        <v>8.5199999999999998E-3</v>
      </c>
      <c r="H1762" s="917">
        <f>VLOOKUP($A1762,'Tech Litons'!$A:$I,9,FALSE)</f>
        <v>176</v>
      </c>
      <c r="I1762" s="917" t="str">
        <f>VLOOKUP($A1762,'Tech Litons'!$A:$C,3,0)</f>
        <v>48oz</v>
      </c>
      <c r="J1762" s="918" t="str">
        <f t="shared" si="181"/>
        <v>135248oz</v>
      </c>
      <c r="K1762" s="919">
        <v>1</v>
      </c>
      <c r="L1762" s="920">
        <f t="shared" si="180"/>
        <v>10197</v>
      </c>
      <c r="M1762" s="920">
        <f t="shared" si="182"/>
        <v>86.878439999999998</v>
      </c>
      <c r="N1762" s="920">
        <f t="shared" si="183"/>
        <v>57.9375</v>
      </c>
      <c r="O1762" s="918" t="str">
        <f t="shared" si="184"/>
        <v>Feb</v>
      </c>
      <c r="P1762" s="921">
        <f t="shared" si="185"/>
        <v>8</v>
      </c>
    </row>
    <row r="1763" spans="1:16" ht="15" hidden="1" customHeight="1">
      <c r="A1763" s="839">
        <v>68850684</v>
      </c>
      <c r="B1763" s="839">
        <v>1352</v>
      </c>
      <c r="C1763" s="906">
        <v>6543</v>
      </c>
      <c r="D1763" s="907">
        <v>46051</v>
      </c>
      <c r="E1763" s="839" t="s">
        <v>381</v>
      </c>
      <c r="F1763" s="839" t="s">
        <v>290</v>
      </c>
      <c r="G1763" s="916">
        <f>VLOOKUP($A1763,'Tech Litons'!$A:$I,8,FALSE)</f>
        <v>8.5199999999999998E-3</v>
      </c>
      <c r="H1763" s="917">
        <f>VLOOKUP($A1763,'Tech Litons'!$A:$I,9,FALSE)</f>
        <v>176</v>
      </c>
      <c r="I1763" s="917" t="str">
        <f>VLOOKUP($A1763,'Tech Litons'!$A:$C,3,0)</f>
        <v>48oz</v>
      </c>
      <c r="J1763" s="918" t="str">
        <f t="shared" si="181"/>
        <v>135248oz</v>
      </c>
      <c r="K1763" s="919">
        <v>1</v>
      </c>
      <c r="L1763" s="920">
        <f t="shared" si="180"/>
        <v>6543</v>
      </c>
      <c r="M1763" s="920">
        <f t="shared" si="182"/>
        <v>55.746359999999996</v>
      </c>
      <c r="N1763" s="920">
        <f t="shared" si="183"/>
        <v>37.176136363636367</v>
      </c>
      <c r="O1763" s="918" t="str">
        <f t="shared" si="184"/>
        <v>Jan</v>
      </c>
      <c r="P1763" s="921">
        <f t="shared" si="185"/>
        <v>5</v>
      </c>
    </row>
    <row r="1764" spans="1:16" ht="15" hidden="1" customHeight="1">
      <c r="A1764" s="839">
        <v>68850684</v>
      </c>
      <c r="B1764" s="839">
        <v>1352</v>
      </c>
      <c r="C1764" s="906">
        <v>176</v>
      </c>
      <c r="D1764" s="907">
        <v>46053</v>
      </c>
      <c r="E1764" s="839" t="s">
        <v>381</v>
      </c>
      <c r="F1764" s="839" t="s">
        <v>290</v>
      </c>
      <c r="G1764" s="916">
        <f>VLOOKUP($A1764,'Tech Litons'!$A:$I,8,FALSE)</f>
        <v>8.5199999999999998E-3</v>
      </c>
      <c r="H1764" s="917">
        <f>VLOOKUP($A1764,'Tech Litons'!$A:$I,9,FALSE)</f>
        <v>176</v>
      </c>
      <c r="I1764" s="917" t="str">
        <f>VLOOKUP($A1764,'Tech Litons'!$A:$C,3,0)</f>
        <v>48oz</v>
      </c>
      <c r="J1764" s="918" t="str">
        <f t="shared" si="181"/>
        <v>135248oz</v>
      </c>
      <c r="K1764" s="919">
        <v>1</v>
      </c>
      <c r="L1764" s="920">
        <f t="shared" si="180"/>
        <v>176</v>
      </c>
      <c r="M1764" s="920">
        <f t="shared" si="182"/>
        <v>1.49952</v>
      </c>
      <c r="N1764" s="920">
        <f t="shared" si="183"/>
        <v>1</v>
      </c>
      <c r="O1764" s="918" t="str">
        <f t="shared" si="184"/>
        <v>Jan</v>
      </c>
      <c r="P1764" s="921">
        <f t="shared" si="185"/>
        <v>5</v>
      </c>
    </row>
    <row r="1765" spans="1:16" ht="15" hidden="1" customHeight="1">
      <c r="A1765" s="839">
        <v>68850684</v>
      </c>
      <c r="B1765" s="839">
        <v>1352</v>
      </c>
      <c r="C1765" s="906">
        <v>2982</v>
      </c>
      <c r="D1765" s="907">
        <v>46052</v>
      </c>
      <c r="E1765" s="839" t="s">
        <v>381</v>
      </c>
      <c r="F1765" s="839" t="s">
        <v>264</v>
      </c>
      <c r="G1765" s="916">
        <f>VLOOKUP($A1765,'Tech Litons'!$A:$I,8,FALSE)</f>
        <v>8.5199999999999998E-3</v>
      </c>
      <c r="H1765" s="917">
        <f>VLOOKUP($A1765,'Tech Litons'!$A:$I,9,FALSE)</f>
        <v>176</v>
      </c>
      <c r="I1765" s="917" t="str">
        <f>VLOOKUP($A1765,'Tech Litons'!$A:$C,3,0)</f>
        <v>48oz</v>
      </c>
      <c r="J1765" s="918" t="str">
        <f t="shared" si="181"/>
        <v>135248oz</v>
      </c>
      <c r="K1765" s="919">
        <v>1</v>
      </c>
      <c r="L1765" s="920">
        <f t="shared" si="180"/>
        <v>2982</v>
      </c>
      <c r="M1765" s="920">
        <f t="shared" si="182"/>
        <v>25.406639999999999</v>
      </c>
      <c r="N1765" s="920">
        <f t="shared" si="183"/>
        <v>16.943181818181817</v>
      </c>
      <c r="O1765" s="918" t="str">
        <f t="shared" si="184"/>
        <v>Jan</v>
      </c>
      <c r="P1765" s="921">
        <f t="shared" si="185"/>
        <v>5</v>
      </c>
    </row>
    <row r="1766" spans="1:16" ht="15" hidden="1" customHeight="1">
      <c r="A1766" s="839">
        <v>68850684</v>
      </c>
      <c r="B1766" s="839">
        <v>1352</v>
      </c>
      <c r="C1766" s="906">
        <v>5178</v>
      </c>
      <c r="D1766" s="907">
        <v>46068</v>
      </c>
      <c r="E1766" s="839" t="s">
        <v>381</v>
      </c>
      <c r="F1766" s="839" t="s">
        <v>264</v>
      </c>
      <c r="G1766" s="916">
        <f>VLOOKUP($A1766,'Tech Litons'!$A:$I,8,FALSE)</f>
        <v>8.5199999999999998E-3</v>
      </c>
      <c r="H1766" s="917">
        <f>VLOOKUP($A1766,'Tech Litons'!$A:$I,9,FALSE)</f>
        <v>176</v>
      </c>
      <c r="I1766" s="917" t="str">
        <f>VLOOKUP($A1766,'Tech Litons'!$A:$C,3,0)</f>
        <v>48oz</v>
      </c>
      <c r="J1766" s="918" t="str">
        <f t="shared" si="181"/>
        <v>135248oz</v>
      </c>
      <c r="K1766" s="919">
        <v>1</v>
      </c>
      <c r="L1766" s="920">
        <f t="shared" si="180"/>
        <v>5178</v>
      </c>
      <c r="M1766" s="920">
        <f t="shared" si="182"/>
        <v>44.11656</v>
      </c>
      <c r="N1766" s="920">
        <f t="shared" si="183"/>
        <v>29.420454545454547</v>
      </c>
      <c r="O1766" s="918" t="str">
        <f t="shared" si="184"/>
        <v>Feb</v>
      </c>
      <c r="P1766" s="921">
        <f t="shared" si="185"/>
        <v>8</v>
      </c>
    </row>
    <row r="1767" spans="1:16" ht="15" hidden="1" customHeight="1">
      <c r="A1767" s="839">
        <v>68850684</v>
      </c>
      <c r="B1767" s="839">
        <v>1352</v>
      </c>
      <c r="C1767" s="906">
        <v>12519</v>
      </c>
      <c r="D1767" s="907">
        <v>46069</v>
      </c>
      <c r="E1767" s="839" t="s">
        <v>381</v>
      </c>
      <c r="F1767" s="839" t="s">
        <v>264</v>
      </c>
      <c r="G1767" s="916">
        <f>VLOOKUP($A1767,'Tech Litons'!$A:$I,8,FALSE)</f>
        <v>8.5199999999999998E-3</v>
      </c>
      <c r="H1767" s="917">
        <f>VLOOKUP($A1767,'Tech Litons'!$A:$I,9,FALSE)</f>
        <v>176</v>
      </c>
      <c r="I1767" s="917" t="str">
        <f>VLOOKUP($A1767,'Tech Litons'!$A:$C,3,0)</f>
        <v>48oz</v>
      </c>
      <c r="J1767" s="918" t="str">
        <f t="shared" si="181"/>
        <v>135248oz</v>
      </c>
      <c r="K1767" s="919">
        <v>1</v>
      </c>
      <c r="L1767" s="920">
        <f t="shared" si="180"/>
        <v>12519</v>
      </c>
      <c r="M1767" s="920">
        <f t="shared" si="182"/>
        <v>106.66188</v>
      </c>
      <c r="N1767" s="920">
        <f t="shared" si="183"/>
        <v>71.130681818181813</v>
      </c>
      <c r="O1767" s="918" t="str">
        <f t="shared" si="184"/>
        <v>Feb</v>
      </c>
      <c r="P1767" s="921">
        <f t="shared" si="185"/>
        <v>8</v>
      </c>
    </row>
    <row r="1768" spans="1:16" ht="15" hidden="1" customHeight="1">
      <c r="A1768" s="839">
        <v>68850684</v>
      </c>
      <c r="B1768" s="839">
        <v>1352</v>
      </c>
      <c r="C1768" s="906">
        <v>4224</v>
      </c>
      <c r="D1768" s="907">
        <v>46067</v>
      </c>
      <c r="E1768" s="839" t="s">
        <v>381</v>
      </c>
      <c r="F1768" s="839" t="s">
        <v>264</v>
      </c>
      <c r="G1768" s="916">
        <f>VLOOKUP($A1768,'Tech Litons'!$A:$I,8,FALSE)</f>
        <v>8.5199999999999998E-3</v>
      </c>
      <c r="H1768" s="917">
        <f>VLOOKUP($A1768,'Tech Litons'!$A:$I,9,FALSE)</f>
        <v>176</v>
      </c>
      <c r="I1768" s="917" t="str">
        <f>VLOOKUP($A1768,'Tech Litons'!$A:$C,3,0)</f>
        <v>48oz</v>
      </c>
      <c r="J1768" s="918" t="str">
        <f t="shared" si="181"/>
        <v>135248oz</v>
      </c>
      <c r="K1768" s="919">
        <v>1</v>
      </c>
      <c r="L1768" s="920">
        <f t="shared" si="180"/>
        <v>4224</v>
      </c>
      <c r="M1768" s="920">
        <f t="shared" si="182"/>
        <v>35.988479999999996</v>
      </c>
      <c r="N1768" s="920">
        <f t="shared" si="183"/>
        <v>24</v>
      </c>
      <c r="O1768" s="918" t="str">
        <f t="shared" si="184"/>
        <v>Feb</v>
      </c>
      <c r="P1768" s="921">
        <f t="shared" si="185"/>
        <v>7</v>
      </c>
    </row>
    <row r="1769" spans="1:16" ht="15" hidden="1" customHeight="1">
      <c r="A1769" s="839">
        <v>68850684</v>
      </c>
      <c r="B1769" s="839">
        <v>1352</v>
      </c>
      <c r="C1769" s="906">
        <v>7151</v>
      </c>
      <c r="D1769" s="907">
        <v>46068</v>
      </c>
      <c r="E1769" s="839" t="s">
        <v>381</v>
      </c>
      <c r="F1769" s="839" t="s">
        <v>264</v>
      </c>
      <c r="G1769" s="916">
        <f>VLOOKUP($A1769,'Tech Litons'!$A:$I,8,FALSE)</f>
        <v>8.5199999999999998E-3</v>
      </c>
      <c r="H1769" s="917">
        <f>VLOOKUP($A1769,'Tech Litons'!$A:$I,9,FALSE)</f>
        <v>176</v>
      </c>
      <c r="I1769" s="917" t="str">
        <f>VLOOKUP($A1769,'Tech Litons'!$A:$C,3,0)</f>
        <v>48oz</v>
      </c>
      <c r="J1769" s="918" t="str">
        <f t="shared" si="181"/>
        <v>135248oz</v>
      </c>
      <c r="K1769" s="919">
        <v>1</v>
      </c>
      <c r="L1769" s="920">
        <f t="shared" si="180"/>
        <v>7151</v>
      </c>
      <c r="M1769" s="920">
        <f t="shared" si="182"/>
        <v>60.926519999999996</v>
      </c>
      <c r="N1769" s="920">
        <f t="shared" si="183"/>
        <v>40.63068181818182</v>
      </c>
      <c r="O1769" s="918" t="str">
        <f t="shared" si="184"/>
        <v>Feb</v>
      </c>
      <c r="P1769" s="921">
        <f t="shared" si="185"/>
        <v>8</v>
      </c>
    </row>
    <row r="1770" spans="1:16" ht="15" hidden="1" customHeight="1">
      <c r="A1770" s="839">
        <v>68850684</v>
      </c>
      <c r="B1770" s="839">
        <v>1352</v>
      </c>
      <c r="C1770" s="906">
        <v>352</v>
      </c>
      <c r="D1770" s="907">
        <v>46070</v>
      </c>
      <c r="E1770" s="839" t="s">
        <v>381</v>
      </c>
      <c r="F1770" s="839" t="s">
        <v>264</v>
      </c>
      <c r="G1770" s="916">
        <f>VLOOKUP($A1770,'Tech Litons'!$A:$I,8,FALSE)</f>
        <v>8.5199999999999998E-3</v>
      </c>
      <c r="H1770" s="917">
        <f>VLOOKUP($A1770,'Tech Litons'!$A:$I,9,FALSE)</f>
        <v>176</v>
      </c>
      <c r="I1770" s="917" t="str">
        <f>VLOOKUP($A1770,'Tech Litons'!$A:$C,3,0)</f>
        <v>48oz</v>
      </c>
      <c r="J1770" s="918" t="str">
        <f t="shared" si="181"/>
        <v>135248oz</v>
      </c>
      <c r="K1770" s="919">
        <v>1</v>
      </c>
      <c r="L1770" s="920">
        <f t="shared" si="180"/>
        <v>352</v>
      </c>
      <c r="M1770" s="920">
        <f t="shared" si="182"/>
        <v>2.9990399999999999</v>
      </c>
      <c r="N1770" s="920">
        <f t="shared" si="183"/>
        <v>2</v>
      </c>
      <c r="O1770" s="918" t="str">
        <f t="shared" si="184"/>
        <v>Feb</v>
      </c>
      <c r="P1770" s="921">
        <f t="shared" si="185"/>
        <v>8</v>
      </c>
    </row>
    <row r="1771" spans="1:16" ht="15" hidden="1" customHeight="1">
      <c r="A1771" s="839">
        <v>68850684</v>
      </c>
      <c r="B1771" s="839">
        <v>1352</v>
      </c>
      <c r="C1771" s="906">
        <v>5971</v>
      </c>
      <c r="D1771" s="907">
        <v>46074</v>
      </c>
      <c r="E1771" s="839" t="s">
        <v>381</v>
      </c>
      <c r="F1771" s="839" t="s">
        <v>264</v>
      </c>
      <c r="G1771" s="916">
        <f>VLOOKUP($A1771,'Tech Litons'!$A:$I,8,FALSE)</f>
        <v>8.5199999999999998E-3</v>
      </c>
      <c r="H1771" s="917">
        <f>VLOOKUP($A1771,'Tech Litons'!$A:$I,9,FALSE)</f>
        <v>176</v>
      </c>
      <c r="I1771" s="917" t="str">
        <f>VLOOKUP($A1771,'Tech Litons'!$A:$C,3,0)</f>
        <v>48oz</v>
      </c>
      <c r="J1771" s="918" t="str">
        <f t="shared" si="181"/>
        <v>135248oz</v>
      </c>
      <c r="K1771" s="919">
        <v>1</v>
      </c>
      <c r="L1771" s="920">
        <f t="shared" si="180"/>
        <v>5971</v>
      </c>
      <c r="M1771" s="920">
        <f t="shared" si="182"/>
        <v>50.872920000000001</v>
      </c>
      <c r="N1771" s="920">
        <f t="shared" si="183"/>
        <v>33.926136363636367</v>
      </c>
      <c r="O1771" s="918" t="str">
        <f t="shared" si="184"/>
        <v>Feb</v>
      </c>
      <c r="P1771" s="921">
        <f t="shared" si="185"/>
        <v>8</v>
      </c>
    </row>
    <row r="1772" spans="1:16" ht="15" hidden="1" customHeight="1">
      <c r="A1772" s="839">
        <v>68850684</v>
      </c>
      <c r="B1772" s="839">
        <v>1352</v>
      </c>
      <c r="C1772" s="906">
        <v>2257</v>
      </c>
      <c r="D1772" s="907">
        <v>46075</v>
      </c>
      <c r="E1772" s="839" t="s">
        <v>381</v>
      </c>
      <c r="F1772" s="839" t="s">
        <v>264</v>
      </c>
      <c r="G1772" s="916">
        <f>VLOOKUP($A1772,'Tech Litons'!$A:$I,8,FALSE)</f>
        <v>8.5199999999999998E-3</v>
      </c>
      <c r="H1772" s="917">
        <f>VLOOKUP($A1772,'Tech Litons'!$A:$I,9,FALSE)</f>
        <v>176</v>
      </c>
      <c r="I1772" s="917" t="str">
        <f>VLOOKUP($A1772,'Tech Litons'!$A:$C,3,0)</f>
        <v>48oz</v>
      </c>
      <c r="J1772" s="918" t="str">
        <f t="shared" si="181"/>
        <v>135248oz</v>
      </c>
      <c r="K1772" s="919">
        <v>1</v>
      </c>
      <c r="L1772" s="920">
        <f t="shared" si="180"/>
        <v>2257</v>
      </c>
      <c r="M1772" s="920">
        <f t="shared" si="182"/>
        <v>19.22964</v>
      </c>
      <c r="N1772" s="920">
        <f t="shared" si="183"/>
        <v>12.823863636363637</v>
      </c>
      <c r="O1772" s="918" t="str">
        <f t="shared" si="184"/>
        <v>Feb</v>
      </c>
      <c r="P1772" s="921">
        <f t="shared" si="185"/>
        <v>9</v>
      </c>
    </row>
    <row r="1773" spans="1:16" ht="15" hidden="1" customHeight="1">
      <c r="A1773" s="839">
        <v>68851104</v>
      </c>
      <c r="B1773" s="839">
        <v>1352</v>
      </c>
      <c r="C1773" s="906">
        <v>-880</v>
      </c>
      <c r="D1773" s="907">
        <v>46052</v>
      </c>
      <c r="E1773" s="839" t="s">
        <v>270</v>
      </c>
      <c r="F1773" s="839" t="s">
        <v>264</v>
      </c>
      <c r="G1773" s="916">
        <f>VLOOKUP($A1773,'Tech Litons'!$A:$I,8,FALSE)</f>
        <v>8.5199999999999998E-3</v>
      </c>
      <c r="H1773" s="917">
        <f>VLOOKUP($A1773,'Tech Litons'!$A:$I,9,FALSE)</f>
        <v>176</v>
      </c>
      <c r="I1773" s="917" t="str">
        <f>VLOOKUP($A1773,'Tech Litons'!$A:$C,3,0)</f>
        <v>48oz</v>
      </c>
      <c r="J1773" s="918" t="str">
        <f t="shared" si="181"/>
        <v>135248oz</v>
      </c>
      <c r="K1773" s="919">
        <v>1</v>
      </c>
      <c r="L1773" s="920">
        <f t="shared" si="180"/>
        <v>-880</v>
      </c>
      <c r="M1773" s="920">
        <f t="shared" si="182"/>
        <v>-7.4976000000000003</v>
      </c>
      <c r="N1773" s="920">
        <f t="shared" si="183"/>
        <v>-5</v>
      </c>
      <c r="O1773" s="918" t="str">
        <f t="shared" si="184"/>
        <v>Jan</v>
      </c>
      <c r="P1773" s="921">
        <f t="shared" si="185"/>
        <v>5</v>
      </c>
    </row>
    <row r="1774" spans="1:16" ht="15" hidden="1" customHeight="1">
      <c r="A1774" s="839">
        <v>68851104</v>
      </c>
      <c r="B1774" s="839">
        <v>1352</v>
      </c>
      <c r="C1774" s="906">
        <v>24</v>
      </c>
      <c r="D1774" s="907">
        <v>46052</v>
      </c>
      <c r="E1774" s="839" t="s">
        <v>270</v>
      </c>
      <c r="F1774" s="839" t="s">
        <v>264</v>
      </c>
      <c r="G1774" s="916">
        <f>VLOOKUP($A1774,'Tech Litons'!$A:$I,8,FALSE)</f>
        <v>8.5199999999999998E-3</v>
      </c>
      <c r="H1774" s="917">
        <f>VLOOKUP($A1774,'Tech Litons'!$A:$I,9,FALSE)</f>
        <v>176</v>
      </c>
      <c r="I1774" s="917" t="str">
        <f>VLOOKUP($A1774,'Tech Litons'!$A:$C,3,0)</f>
        <v>48oz</v>
      </c>
      <c r="J1774" s="918" t="str">
        <f t="shared" si="181"/>
        <v>135248oz</v>
      </c>
      <c r="K1774" s="919">
        <v>1</v>
      </c>
      <c r="L1774" s="920">
        <f t="shared" si="180"/>
        <v>24</v>
      </c>
      <c r="M1774" s="920">
        <f t="shared" si="182"/>
        <v>0.20448</v>
      </c>
      <c r="N1774" s="920">
        <f t="shared" si="183"/>
        <v>0.13636363636363635</v>
      </c>
      <c r="O1774" s="918" t="str">
        <f t="shared" si="184"/>
        <v>Jan</v>
      </c>
      <c r="P1774" s="921">
        <f t="shared" si="185"/>
        <v>5</v>
      </c>
    </row>
    <row r="1775" spans="1:16" ht="15" hidden="1" customHeight="1">
      <c r="A1775" s="839">
        <v>68851104</v>
      </c>
      <c r="B1775" s="839">
        <v>1352</v>
      </c>
      <c r="C1775" s="906">
        <v>3168</v>
      </c>
      <c r="D1775" s="907">
        <v>46075</v>
      </c>
      <c r="E1775" s="839" t="s">
        <v>270</v>
      </c>
      <c r="F1775" s="839" t="s">
        <v>264</v>
      </c>
      <c r="G1775" s="916">
        <f>VLOOKUP($A1775,'Tech Litons'!$A:$I,8,FALSE)</f>
        <v>8.5199999999999998E-3</v>
      </c>
      <c r="H1775" s="917">
        <f>VLOOKUP($A1775,'Tech Litons'!$A:$I,9,FALSE)</f>
        <v>176</v>
      </c>
      <c r="I1775" s="917" t="str">
        <f>VLOOKUP($A1775,'Tech Litons'!$A:$C,3,0)</f>
        <v>48oz</v>
      </c>
      <c r="J1775" s="918" t="str">
        <f t="shared" si="181"/>
        <v>135248oz</v>
      </c>
      <c r="K1775" s="919">
        <v>1</v>
      </c>
      <c r="L1775" s="920">
        <f t="shared" si="180"/>
        <v>3168</v>
      </c>
      <c r="M1775" s="920">
        <f t="shared" si="182"/>
        <v>26.99136</v>
      </c>
      <c r="N1775" s="920">
        <f t="shared" si="183"/>
        <v>18</v>
      </c>
      <c r="O1775" s="918" t="str">
        <f t="shared" si="184"/>
        <v>Feb</v>
      </c>
      <c r="P1775" s="921">
        <f t="shared" si="185"/>
        <v>9</v>
      </c>
    </row>
    <row r="1776" spans="1:16" ht="15" hidden="1" customHeight="1">
      <c r="A1776" s="839">
        <v>68851107</v>
      </c>
      <c r="B1776" s="839">
        <v>1352</v>
      </c>
      <c r="C1776" s="906">
        <v>8096</v>
      </c>
      <c r="D1776" s="907">
        <v>46070</v>
      </c>
      <c r="E1776" s="839" t="s">
        <v>272</v>
      </c>
      <c r="F1776" s="839" t="s">
        <v>290</v>
      </c>
      <c r="G1776" s="916">
        <f>VLOOKUP($A1776,'Tech Litons'!$A:$I,8,FALSE)</f>
        <v>8.5199999999999998E-3</v>
      </c>
      <c r="H1776" s="917">
        <f>VLOOKUP($A1776,'Tech Litons'!$A:$I,9,FALSE)</f>
        <v>176</v>
      </c>
      <c r="I1776" s="917" t="str">
        <f>VLOOKUP($A1776,'Tech Litons'!$A:$C,3,0)</f>
        <v>48oz</v>
      </c>
      <c r="J1776" s="918" t="str">
        <f t="shared" si="181"/>
        <v>135248oz</v>
      </c>
      <c r="K1776" s="919">
        <v>1</v>
      </c>
      <c r="L1776" s="920">
        <f t="shared" si="180"/>
        <v>8096</v>
      </c>
      <c r="M1776" s="920">
        <f t="shared" si="182"/>
        <v>68.977919999999997</v>
      </c>
      <c r="N1776" s="920">
        <f t="shared" si="183"/>
        <v>46</v>
      </c>
      <c r="O1776" s="918" t="str">
        <f t="shared" si="184"/>
        <v>Feb</v>
      </c>
      <c r="P1776" s="921">
        <f t="shared" si="185"/>
        <v>8</v>
      </c>
    </row>
    <row r="1777" spans="1:16" ht="15" hidden="1" customHeight="1">
      <c r="A1777" s="839">
        <v>68851107</v>
      </c>
      <c r="B1777" s="839">
        <v>1352</v>
      </c>
      <c r="C1777" s="906">
        <v>10007</v>
      </c>
      <c r="D1777" s="907">
        <v>46071</v>
      </c>
      <c r="E1777" s="839" t="s">
        <v>272</v>
      </c>
      <c r="F1777" s="839" t="s">
        <v>290</v>
      </c>
      <c r="G1777" s="916">
        <f>VLOOKUP($A1777,'Tech Litons'!$A:$I,8,FALSE)</f>
        <v>8.5199999999999998E-3</v>
      </c>
      <c r="H1777" s="917">
        <f>VLOOKUP($A1777,'Tech Litons'!$A:$I,9,FALSE)</f>
        <v>176</v>
      </c>
      <c r="I1777" s="917" t="str">
        <f>VLOOKUP($A1777,'Tech Litons'!$A:$C,3,0)</f>
        <v>48oz</v>
      </c>
      <c r="J1777" s="918" t="str">
        <f t="shared" si="181"/>
        <v>135248oz</v>
      </c>
      <c r="K1777" s="919">
        <v>1</v>
      </c>
      <c r="L1777" s="920">
        <f t="shared" si="180"/>
        <v>10007</v>
      </c>
      <c r="M1777" s="920">
        <f t="shared" si="182"/>
        <v>85.259640000000005</v>
      </c>
      <c r="N1777" s="920">
        <f t="shared" si="183"/>
        <v>56.857954545454547</v>
      </c>
      <c r="O1777" s="918" t="str">
        <f t="shared" si="184"/>
        <v>Feb</v>
      </c>
      <c r="P1777" s="921">
        <f t="shared" si="185"/>
        <v>8</v>
      </c>
    </row>
    <row r="1778" spans="1:16" ht="15" hidden="1" customHeight="1">
      <c r="A1778" s="839">
        <v>68851107</v>
      </c>
      <c r="B1778" s="839">
        <v>1352</v>
      </c>
      <c r="C1778" s="906">
        <v>155</v>
      </c>
      <c r="D1778" s="907">
        <v>46072</v>
      </c>
      <c r="E1778" s="839" t="s">
        <v>272</v>
      </c>
      <c r="F1778" s="839" t="s">
        <v>290</v>
      </c>
      <c r="G1778" s="916">
        <f>VLOOKUP($A1778,'Tech Litons'!$A:$I,8,FALSE)</f>
        <v>8.5199999999999998E-3</v>
      </c>
      <c r="H1778" s="917">
        <f>VLOOKUP($A1778,'Tech Litons'!$A:$I,9,FALSE)</f>
        <v>176</v>
      </c>
      <c r="I1778" s="917" t="str">
        <f>VLOOKUP($A1778,'Tech Litons'!$A:$C,3,0)</f>
        <v>48oz</v>
      </c>
      <c r="J1778" s="918" t="str">
        <f t="shared" si="181"/>
        <v>135248oz</v>
      </c>
      <c r="K1778" s="919">
        <v>1</v>
      </c>
      <c r="L1778" s="920">
        <f t="shared" si="180"/>
        <v>155</v>
      </c>
      <c r="M1778" s="920">
        <f t="shared" si="182"/>
        <v>1.3206</v>
      </c>
      <c r="N1778" s="920">
        <f t="shared" si="183"/>
        <v>0.88068181818181823</v>
      </c>
      <c r="O1778" s="918" t="str">
        <f t="shared" si="184"/>
        <v>Feb</v>
      </c>
      <c r="P1778" s="921">
        <f t="shared" si="185"/>
        <v>8</v>
      </c>
    </row>
    <row r="1779" spans="1:16" ht="15" hidden="1" customHeight="1">
      <c r="A1779" s="839">
        <v>68851107</v>
      </c>
      <c r="B1779" s="839">
        <v>1352</v>
      </c>
      <c r="C1779" s="906">
        <v>5600</v>
      </c>
      <c r="D1779" s="907">
        <v>46071</v>
      </c>
      <c r="E1779" s="839" t="s">
        <v>272</v>
      </c>
      <c r="F1779" s="839" t="s">
        <v>290</v>
      </c>
      <c r="G1779" s="916">
        <f>VLOOKUP($A1779,'Tech Litons'!$A:$I,8,FALSE)</f>
        <v>8.5199999999999998E-3</v>
      </c>
      <c r="H1779" s="917">
        <f>VLOOKUP($A1779,'Tech Litons'!$A:$I,9,FALSE)</f>
        <v>176</v>
      </c>
      <c r="I1779" s="917" t="str">
        <f>VLOOKUP($A1779,'Tech Litons'!$A:$C,3,0)</f>
        <v>48oz</v>
      </c>
      <c r="J1779" s="918" t="str">
        <f t="shared" si="181"/>
        <v>135248oz</v>
      </c>
      <c r="K1779" s="919">
        <v>1</v>
      </c>
      <c r="L1779" s="920">
        <f t="shared" si="180"/>
        <v>5600</v>
      </c>
      <c r="M1779" s="920">
        <f t="shared" si="182"/>
        <v>47.711999999999996</v>
      </c>
      <c r="N1779" s="920">
        <f t="shared" si="183"/>
        <v>31.818181818181817</v>
      </c>
      <c r="O1779" s="918" t="str">
        <f t="shared" si="184"/>
        <v>Feb</v>
      </c>
      <c r="P1779" s="921">
        <f t="shared" si="185"/>
        <v>8</v>
      </c>
    </row>
    <row r="1780" spans="1:16" ht="15" hidden="1" customHeight="1">
      <c r="A1780" s="839">
        <v>68851107</v>
      </c>
      <c r="B1780" s="839">
        <v>1352</v>
      </c>
      <c r="C1780" s="906">
        <v>7689</v>
      </c>
      <c r="D1780" s="907">
        <v>46072</v>
      </c>
      <c r="E1780" s="839" t="s">
        <v>272</v>
      </c>
      <c r="F1780" s="839" t="s">
        <v>290</v>
      </c>
      <c r="G1780" s="916">
        <f>VLOOKUP($A1780,'Tech Litons'!$A:$I,8,FALSE)</f>
        <v>8.5199999999999998E-3</v>
      </c>
      <c r="H1780" s="917">
        <f>VLOOKUP($A1780,'Tech Litons'!$A:$I,9,FALSE)</f>
        <v>176</v>
      </c>
      <c r="I1780" s="917" t="str">
        <f>VLOOKUP($A1780,'Tech Litons'!$A:$C,3,0)</f>
        <v>48oz</v>
      </c>
      <c r="J1780" s="918" t="str">
        <f t="shared" si="181"/>
        <v>135248oz</v>
      </c>
      <c r="K1780" s="919">
        <v>1</v>
      </c>
      <c r="L1780" s="920">
        <f t="shared" si="180"/>
        <v>7689</v>
      </c>
      <c r="M1780" s="920">
        <f t="shared" si="182"/>
        <v>65.510279999999995</v>
      </c>
      <c r="N1780" s="920">
        <f t="shared" si="183"/>
        <v>43.6875</v>
      </c>
      <c r="O1780" s="918" t="str">
        <f t="shared" si="184"/>
        <v>Feb</v>
      </c>
      <c r="P1780" s="921">
        <f t="shared" si="185"/>
        <v>8</v>
      </c>
    </row>
    <row r="1781" spans="1:16" ht="15" hidden="1" customHeight="1">
      <c r="A1781" s="839">
        <v>68851107</v>
      </c>
      <c r="B1781" s="839">
        <v>1352</v>
      </c>
      <c r="C1781" s="906">
        <v>5340</v>
      </c>
      <c r="D1781" s="907">
        <v>46072</v>
      </c>
      <c r="E1781" s="839" t="s">
        <v>272</v>
      </c>
      <c r="F1781" s="839" t="s">
        <v>290</v>
      </c>
      <c r="G1781" s="916">
        <f>VLOOKUP($A1781,'Tech Litons'!$A:$I,8,FALSE)</f>
        <v>8.5199999999999998E-3</v>
      </c>
      <c r="H1781" s="917">
        <f>VLOOKUP($A1781,'Tech Litons'!$A:$I,9,FALSE)</f>
        <v>176</v>
      </c>
      <c r="I1781" s="917" t="str">
        <f>VLOOKUP($A1781,'Tech Litons'!$A:$C,3,0)</f>
        <v>48oz</v>
      </c>
      <c r="J1781" s="918" t="str">
        <f t="shared" si="181"/>
        <v>135248oz</v>
      </c>
      <c r="K1781" s="919">
        <v>1</v>
      </c>
      <c r="L1781" s="920">
        <f t="shared" si="180"/>
        <v>5340</v>
      </c>
      <c r="M1781" s="920">
        <f t="shared" si="182"/>
        <v>45.4968</v>
      </c>
      <c r="N1781" s="920">
        <f t="shared" si="183"/>
        <v>30.34090909090909</v>
      </c>
      <c r="O1781" s="918" t="str">
        <f t="shared" si="184"/>
        <v>Feb</v>
      </c>
      <c r="P1781" s="921">
        <f t="shared" si="185"/>
        <v>8</v>
      </c>
    </row>
    <row r="1782" spans="1:16" ht="15" hidden="1" customHeight="1">
      <c r="A1782" s="839">
        <v>68851107</v>
      </c>
      <c r="B1782" s="839">
        <v>1352</v>
      </c>
      <c r="C1782" s="906">
        <v>10254</v>
      </c>
      <c r="D1782" s="907">
        <v>46073</v>
      </c>
      <c r="E1782" s="839" t="s">
        <v>272</v>
      </c>
      <c r="F1782" s="839" t="s">
        <v>290</v>
      </c>
      <c r="G1782" s="916">
        <f>VLOOKUP($A1782,'Tech Litons'!$A:$I,8,FALSE)</f>
        <v>8.5199999999999998E-3</v>
      </c>
      <c r="H1782" s="917">
        <f>VLOOKUP($A1782,'Tech Litons'!$A:$I,9,FALSE)</f>
        <v>176</v>
      </c>
      <c r="I1782" s="917" t="str">
        <f>VLOOKUP($A1782,'Tech Litons'!$A:$C,3,0)</f>
        <v>48oz</v>
      </c>
      <c r="J1782" s="918" t="str">
        <f t="shared" si="181"/>
        <v>135248oz</v>
      </c>
      <c r="K1782" s="919">
        <v>1</v>
      </c>
      <c r="L1782" s="920">
        <f t="shared" si="180"/>
        <v>10254</v>
      </c>
      <c r="M1782" s="920">
        <f t="shared" si="182"/>
        <v>87.364080000000001</v>
      </c>
      <c r="N1782" s="920">
        <f t="shared" si="183"/>
        <v>58.261363636363633</v>
      </c>
      <c r="O1782" s="918" t="str">
        <f t="shared" si="184"/>
        <v>Feb</v>
      </c>
      <c r="P1782" s="921">
        <f t="shared" si="185"/>
        <v>8</v>
      </c>
    </row>
    <row r="1783" spans="1:16" ht="15" hidden="1" customHeight="1">
      <c r="A1783" s="839">
        <v>68851107</v>
      </c>
      <c r="B1783" s="839">
        <v>1352</v>
      </c>
      <c r="C1783" s="906">
        <v>4371</v>
      </c>
      <c r="D1783" s="907">
        <v>46073</v>
      </c>
      <c r="E1783" s="839" t="s">
        <v>272</v>
      </c>
      <c r="F1783" s="839" t="s">
        <v>290</v>
      </c>
      <c r="G1783" s="916">
        <f>VLOOKUP($A1783,'Tech Litons'!$A:$I,8,FALSE)</f>
        <v>8.5199999999999998E-3</v>
      </c>
      <c r="H1783" s="917">
        <f>VLOOKUP($A1783,'Tech Litons'!$A:$I,9,FALSE)</f>
        <v>176</v>
      </c>
      <c r="I1783" s="917" t="str">
        <f>VLOOKUP($A1783,'Tech Litons'!$A:$C,3,0)</f>
        <v>48oz</v>
      </c>
      <c r="J1783" s="918" t="str">
        <f t="shared" si="181"/>
        <v>135248oz</v>
      </c>
      <c r="K1783" s="919">
        <v>1</v>
      </c>
      <c r="L1783" s="920">
        <f t="shared" si="180"/>
        <v>4371</v>
      </c>
      <c r="M1783" s="920">
        <f t="shared" si="182"/>
        <v>37.240919999999996</v>
      </c>
      <c r="N1783" s="920">
        <f t="shared" si="183"/>
        <v>24.835227272727273</v>
      </c>
      <c r="O1783" s="918" t="str">
        <f t="shared" si="184"/>
        <v>Feb</v>
      </c>
      <c r="P1783" s="921">
        <f t="shared" si="185"/>
        <v>8</v>
      </c>
    </row>
    <row r="1784" spans="1:16" ht="15" hidden="1" customHeight="1">
      <c r="A1784" s="839">
        <v>68851107</v>
      </c>
      <c r="B1784" s="839">
        <v>1352</v>
      </c>
      <c r="C1784" s="906">
        <v>9654</v>
      </c>
      <c r="D1784" s="907">
        <v>46074</v>
      </c>
      <c r="E1784" s="839" t="s">
        <v>272</v>
      </c>
      <c r="F1784" s="839" t="s">
        <v>290</v>
      </c>
      <c r="G1784" s="916">
        <f>VLOOKUP($A1784,'Tech Litons'!$A:$I,8,FALSE)</f>
        <v>8.5199999999999998E-3</v>
      </c>
      <c r="H1784" s="917">
        <f>VLOOKUP($A1784,'Tech Litons'!$A:$I,9,FALSE)</f>
        <v>176</v>
      </c>
      <c r="I1784" s="917" t="str">
        <f>VLOOKUP($A1784,'Tech Litons'!$A:$C,3,0)</f>
        <v>48oz</v>
      </c>
      <c r="J1784" s="918" t="str">
        <f t="shared" si="181"/>
        <v>135248oz</v>
      </c>
      <c r="K1784" s="919">
        <v>1</v>
      </c>
      <c r="L1784" s="920">
        <f t="shared" si="180"/>
        <v>9654</v>
      </c>
      <c r="M1784" s="920">
        <f t="shared" si="182"/>
        <v>82.252079999999992</v>
      </c>
      <c r="N1784" s="920">
        <f t="shared" si="183"/>
        <v>54.852272727272727</v>
      </c>
      <c r="O1784" s="918" t="str">
        <f t="shared" si="184"/>
        <v>Feb</v>
      </c>
      <c r="P1784" s="921">
        <f t="shared" si="185"/>
        <v>8</v>
      </c>
    </row>
    <row r="1785" spans="1:16" ht="15" hidden="1" customHeight="1">
      <c r="A1785" s="839">
        <v>68851107</v>
      </c>
      <c r="B1785" s="839">
        <v>1352</v>
      </c>
      <c r="C1785" s="906">
        <v>528</v>
      </c>
      <c r="D1785" s="907">
        <v>46064</v>
      </c>
      <c r="E1785" s="839" t="s">
        <v>272</v>
      </c>
      <c r="F1785" s="839" t="s">
        <v>264</v>
      </c>
      <c r="G1785" s="916">
        <f>VLOOKUP($A1785,'Tech Litons'!$A:$I,8,FALSE)</f>
        <v>8.5199999999999998E-3</v>
      </c>
      <c r="H1785" s="917">
        <f>VLOOKUP($A1785,'Tech Litons'!$A:$I,9,FALSE)</f>
        <v>176</v>
      </c>
      <c r="I1785" s="917" t="str">
        <f>VLOOKUP($A1785,'Tech Litons'!$A:$C,3,0)</f>
        <v>48oz</v>
      </c>
      <c r="J1785" s="918" t="str">
        <f t="shared" si="181"/>
        <v>135248oz</v>
      </c>
      <c r="K1785" s="919">
        <v>1</v>
      </c>
      <c r="L1785" s="920">
        <f t="shared" si="180"/>
        <v>528</v>
      </c>
      <c r="M1785" s="920">
        <f t="shared" si="182"/>
        <v>4.4985599999999994</v>
      </c>
      <c r="N1785" s="920">
        <f t="shared" si="183"/>
        <v>3</v>
      </c>
      <c r="O1785" s="918" t="str">
        <f t="shared" si="184"/>
        <v>Feb</v>
      </c>
      <c r="P1785" s="921">
        <f t="shared" si="185"/>
        <v>7</v>
      </c>
    </row>
    <row r="1786" spans="1:16" ht="15" hidden="1" customHeight="1">
      <c r="A1786" s="839">
        <v>68851107</v>
      </c>
      <c r="B1786" s="839">
        <v>1352</v>
      </c>
      <c r="C1786" s="906">
        <v>7575</v>
      </c>
      <c r="D1786" s="907">
        <v>46065</v>
      </c>
      <c r="E1786" s="839" t="s">
        <v>272</v>
      </c>
      <c r="F1786" s="839" t="s">
        <v>264</v>
      </c>
      <c r="G1786" s="916">
        <f>VLOOKUP($A1786,'Tech Litons'!$A:$I,8,FALSE)</f>
        <v>8.5199999999999998E-3</v>
      </c>
      <c r="H1786" s="917">
        <f>VLOOKUP($A1786,'Tech Litons'!$A:$I,9,FALSE)</f>
        <v>176</v>
      </c>
      <c r="I1786" s="917" t="str">
        <f>VLOOKUP($A1786,'Tech Litons'!$A:$C,3,0)</f>
        <v>48oz</v>
      </c>
      <c r="J1786" s="918" t="str">
        <f t="shared" si="181"/>
        <v>135248oz</v>
      </c>
      <c r="K1786" s="919">
        <v>1</v>
      </c>
      <c r="L1786" s="920">
        <f t="shared" si="180"/>
        <v>7575</v>
      </c>
      <c r="M1786" s="920">
        <f t="shared" si="182"/>
        <v>64.539000000000001</v>
      </c>
      <c r="N1786" s="920">
        <f t="shared" si="183"/>
        <v>43.039772727272727</v>
      </c>
      <c r="O1786" s="918" t="str">
        <f t="shared" si="184"/>
        <v>Feb</v>
      </c>
      <c r="P1786" s="921">
        <f t="shared" si="185"/>
        <v>7</v>
      </c>
    </row>
    <row r="1787" spans="1:16" ht="15" hidden="1" customHeight="1">
      <c r="A1787" s="839">
        <v>68851107</v>
      </c>
      <c r="B1787" s="839">
        <v>1352</v>
      </c>
      <c r="C1787" s="906">
        <v>5279</v>
      </c>
      <c r="D1787" s="907">
        <v>46065</v>
      </c>
      <c r="E1787" s="839" t="s">
        <v>272</v>
      </c>
      <c r="F1787" s="839" t="s">
        <v>264</v>
      </c>
      <c r="G1787" s="916">
        <f>VLOOKUP($A1787,'Tech Litons'!$A:$I,8,FALSE)</f>
        <v>8.5199999999999998E-3</v>
      </c>
      <c r="H1787" s="917">
        <f>VLOOKUP($A1787,'Tech Litons'!$A:$I,9,FALSE)</f>
        <v>176</v>
      </c>
      <c r="I1787" s="917" t="str">
        <f>VLOOKUP($A1787,'Tech Litons'!$A:$C,3,0)</f>
        <v>48oz</v>
      </c>
      <c r="J1787" s="918" t="str">
        <f t="shared" si="181"/>
        <v>135248oz</v>
      </c>
      <c r="K1787" s="919">
        <v>1</v>
      </c>
      <c r="L1787" s="920">
        <f t="shared" si="180"/>
        <v>5279</v>
      </c>
      <c r="M1787" s="920">
        <f t="shared" si="182"/>
        <v>44.977080000000001</v>
      </c>
      <c r="N1787" s="920">
        <f t="shared" si="183"/>
        <v>29.994318181818183</v>
      </c>
      <c r="O1787" s="918" t="str">
        <f t="shared" si="184"/>
        <v>Feb</v>
      </c>
      <c r="P1787" s="921">
        <f t="shared" si="185"/>
        <v>7</v>
      </c>
    </row>
    <row r="1788" spans="1:16" ht="15" hidden="1" customHeight="1">
      <c r="A1788" s="839">
        <v>68851107</v>
      </c>
      <c r="B1788" s="839">
        <v>1352</v>
      </c>
      <c r="C1788" s="906">
        <v>9650</v>
      </c>
      <c r="D1788" s="907">
        <v>46066</v>
      </c>
      <c r="E1788" s="839" t="s">
        <v>272</v>
      </c>
      <c r="F1788" s="839" t="s">
        <v>264</v>
      </c>
      <c r="G1788" s="916">
        <f>VLOOKUP($A1788,'Tech Litons'!$A:$I,8,FALSE)</f>
        <v>8.5199999999999998E-3</v>
      </c>
      <c r="H1788" s="917">
        <f>VLOOKUP($A1788,'Tech Litons'!$A:$I,9,FALSE)</f>
        <v>176</v>
      </c>
      <c r="I1788" s="917" t="str">
        <f>VLOOKUP($A1788,'Tech Litons'!$A:$C,3,0)</f>
        <v>48oz</v>
      </c>
      <c r="J1788" s="918" t="str">
        <f t="shared" si="181"/>
        <v>135248oz</v>
      </c>
      <c r="K1788" s="919">
        <v>1</v>
      </c>
      <c r="L1788" s="920">
        <f t="shared" si="180"/>
        <v>9650</v>
      </c>
      <c r="M1788" s="920">
        <f t="shared" si="182"/>
        <v>82.218000000000004</v>
      </c>
      <c r="N1788" s="920">
        <f t="shared" si="183"/>
        <v>54.829545454545453</v>
      </c>
      <c r="O1788" s="918" t="str">
        <f t="shared" si="184"/>
        <v>Feb</v>
      </c>
      <c r="P1788" s="921">
        <f t="shared" si="185"/>
        <v>7</v>
      </c>
    </row>
    <row r="1789" spans="1:16" ht="15" hidden="1" customHeight="1">
      <c r="A1789" s="839">
        <v>68851107</v>
      </c>
      <c r="B1789" s="839">
        <v>1352</v>
      </c>
      <c r="C1789" s="906">
        <v>5632</v>
      </c>
      <c r="D1789" s="907">
        <v>46066</v>
      </c>
      <c r="E1789" s="839" t="s">
        <v>272</v>
      </c>
      <c r="F1789" s="839" t="s">
        <v>264</v>
      </c>
      <c r="G1789" s="916">
        <f>VLOOKUP($A1789,'Tech Litons'!$A:$I,8,FALSE)</f>
        <v>8.5199999999999998E-3</v>
      </c>
      <c r="H1789" s="917">
        <f>VLOOKUP($A1789,'Tech Litons'!$A:$I,9,FALSE)</f>
        <v>176</v>
      </c>
      <c r="I1789" s="917" t="str">
        <f>VLOOKUP($A1789,'Tech Litons'!$A:$C,3,0)</f>
        <v>48oz</v>
      </c>
      <c r="J1789" s="918" t="str">
        <f t="shared" si="181"/>
        <v>135248oz</v>
      </c>
      <c r="K1789" s="919">
        <v>1</v>
      </c>
      <c r="L1789" s="920">
        <f t="shared" si="180"/>
        <v>5632</v>
      </c>
      <c r="M1789" s="920">
        <f t="shared" si="182"/>
        <v>47.984639999999999</v>
      </c>
      <c r="N1789" s="920">
        <f t="shared" si="183"/>
        <v>32</v>
      </c>
      <c r="O1789" s="918" t="str">
        <f t="shared" si="184"/>
        <v>Feb</v>
      </c>
      <c r="P1789" s="921">
        <f t="shared" si="185"/>
        <v>7</v>
      </c>
    </row>
    <row r="1790" spans="1:16" ht="15" hidden="1" customHeight="1">
      <c r="A1790" s="839">
        <v>68851107</v>
      </c>
      <c r="B1790" s="839">
        <v>1352</v>
      </c>
      <c r="C1790" s="906">
        <v>10145</v>
      </c>
      <c r="D1790" s="907">
        <v>46067</v>
      </c>
      <c r="E1790" s="839" t="s">
        <v>272</v>
      </c>
      <c r="F1790" s="839" t="s">
        <v>264</v>
      </c>
      <c r="G1790" s="916">
        <f>VLOOKUP($A1790,'Tech Litons'!$A:$I,8,FALSE)</f>
        <v>8.5199999999999998E-3</v>
      </c>
      <c r="H1790" s="917">
        <f>VLOOKUP($A1790,'Tech Litons'!$A:$I,9,FALSE)</f>
        <v>176</v>
      </c>
      <c r="I1790" s="917" t="str">
        <f>VLOOKUP($A1790,'Tech Litons'!$A:$C,3,0)</f>
        <v>48oz</v>
      </c>
      <c r="J1790" s="918" t="str">
        <f t="shared" si="181"/>
        <v>135248oz</v>
      </c>
      <c r="K1790" s="919">
        <v>1</v>
      </c>
      <c r="L1790" s="920">
        <f t="shared" si="180"/>
        <v>10145</v>
      </c>
      <c r="M1790" s="920">
        <f t="shared" si="182"/>
        <v>86.435400000000001</v>
      </c>
      <c r="N1790" s="920">
        <f t="shared" si="183"/>
        <v>57.642045454545453</v>
      </c>
      <c r="O1790" s="918" t="str">
        <f t="shared" si="184"/>
        <v>Feb</v>
      </c>
      <c r="P1790" s="921">
        <f t="shared" si="185"/>
        <v>7</v>
      </c>
    </row>
    <row r="1791" spans="1:16" ht="15" hidden="1" customHeight="1">
      <c r="A1791" s="839">
        <v>68851107</v>
      </c>
      <c r="B1791" s="839">
        <v>1352</v>
      </c>
      <c r="C1791" s="906">
        <v>5456</v>
      </c>
      <c r="D1791" s="907">
        <v>46074</v>
      </c>
      <c r="E1791" s="839" t="s">
        <v>272</v>
      </c>
      <c r="F1791" s="839" t="s">
        <v>290</v>
      </c>
      <c r="G1791" s="916">
        <f>VLOOKUP($A1791,'Tech Litons'!$A:$I,8,FALSE)</f>
        <v>8.5199999999999998E-3</v>
      </c>
      <c r="H1791" s="917">
        <f>VLOOKUP($A1791,'Tech Litons'!$A:$I,9,FALSE)</f>
        <v>176</v>
      </c>
      <c r="I1791" s="917" t="str">
        <f>VLOOKUP($A1791,'Tech Litons'!$A:$C,3,0)</f>
        <v>48oz</v>
      </c>
      <c r="J1791" s="918" t="str">
        <f t="shared" si="181"/>
        <v>135248oz</v>
      </c>
      <c r="K1791" s="919">
        <v>1</v>
      </c>
      <c r="L1791" s="920">
        <f t="shared" si="180"/>
        <v>5456</v>
      </c>
      <c r="M1791" s="920">
        <f t="shared" si="182"/>
        <v>46.485120000000002</v>
      </c>
      <c r="N1791" s="920">
        <f t="shared" si="183"/>
        <v>31</v>
      </c>
      <c r="O1791" s="918" t="str">
        <f t="shared" si="184"/>
        <v>Feb</v>
      </c>
      <c r="P1791" s="921">
        <f t="shared" si="185"/>
        <v>8</v>
      </c>
    </row>
    <row r="1792" spans="1:16" ht="15" hidden="1" customHeight="1">
      <c r="A1792" s="839">
        <v>68851107</v>
      </c>
      <c r="B1792" s="839">
        <v>1352</v>
      </c>
      <c r="C1792" s="906">
        <v>5245</v>
      </c>
      <c r="D1792" s="907">
        <v>46075</v>
      </c>
      <c r="E1792" s="839" t="s">
        <v>272</v>
      </c>
      <c r="F1792" s="839" t="s">
        <v>290</v>
      </c>
      <c r="G1792" s="916">
        <f>VLOOKUP($A1792,'Tech Litons'!$A:$I,8,FALSE)</f>
        <v>8.5199999999999998E-3</v>
      </c>
      <c r="H1792" s="917">
        <f>VLOOKUP($A1792,'Tech Litons'!$A:$I,9,FALSE)</f>
        <v>176</v>
      </c>
      <c r="I1792" s="917" t="str">
        <f>VLOOKUP($A1792,'Tech Litons'!$A:$C,3,0)</f>
        <v>48oz</v>
      </c>
      <c r="J1792" s="918" t="str">
        <f t="shared" si="181"/>
        <v>135248oz</v>
      </c>
      <c r="K1792" s="919">
        <v>1</v>
      </c>
      <c r="L1792" s="920">
        <f t="shared" si="180"/>
        <v>5245</v>
      </c>
      <c r="M1792" s="920">
        <f t="shared" si="182"/>
        <v>44.687399999999997</v>
      </c>
      <c r="N1792" s="920">
        <f t="shared" si="183"/>
        <v>29.801136363636363</v>
      </c>
      <c r="O1792" s="918" t="str">
        <f t="shared" si="184"/>
        <v>Feb</v>
      </c>
      <c r="P1792" s="921">
        <f t="shared" si="185"/>
        <v>9</v>
      </c>
    </row>
    <row r="1793" spans="1:16" ht="15" hidden="1" customHeight="1">
      <c r="A1793" s="839">
        <v>68851107</v>
      </c>
      <c r="B1793" s="839">
        <v>1352</v>
      </c>
      <c r="C1793" s="906">
        <v>704</v>
      </c>
      <c r="D1793" s="907">
        <v>46075</v>
      </c>
      <c r="E1793" s="839" t="s">
        <v>272</v>
      </c>
      <c r="F1793" s="839" t="s">
        <v>290</v>
      </c>
      <c r="G1793" s="916">
        <f>VLOOKUP($A1793,'Tech Litons'!$A:$I,8,FALSE)</f>
        <v>8.5199999999999998E-3</v>
      </c>
      <c r="H1793" s="917">
        <f>VLOOKUP($A1793,'Tech Litons'!$A:$I,9,FALSE)</f>
        <v>176</v>
      </c>
      <c r="I1793" s="917" t="str">
        <f>VLOOKUP($A1793,'Tech Litons'!$A:$C,3,0)</f>
        <v>48oz</v>
      </c>
      <c r="J1793" s="918" t="str">
        <f t="shared" si="181"/>
        <v>135248oz</v>
      </c>
      <c r="K1793" s="919">
        <v>1</v>
      </c>
      <c r="L1793" s="920">
        <f t="shared" si="180"/>
        <v>704</v>
      </c>
      <c r="M1793" s="920">
        <f t="shared" si="182"/>
        <v>5.9980799999999999</v>
      </c>
      <c r="N1793" s="920">
        <f t="shared" si="183"/>
        <v>4</v>
      </c>
      <c r="O1793" s="918" t="str">
        <f t="shared" si="184"/>
        <v>Feb</v>
      </c>
      <c r="P1793" s="921">
        <f t="shared" si="185"/>
        <v>9</v>
      </c>
    </row>
    <row r="1794" spans="1:16" ht="15" hidden="1" customHeight="1">
      <c r="A1794" s="839">
        <v>68851107</v>
      </c>
      <c r="B1794" s="839">
        <v>1352</v>
      </c>
      <c r="C1794" s="906">
        <v>3317</v>
      </c>
      <c r="D1794" s="907">
        <v>46064</v>
      </c>
      <c r="E1794" s="839" t="s">
        <v>272</v>
      </c>
      <c r="F1794" s="839" t="s">
        <v>290</v>
      </c>
      <c r="G1794" s="916">
        <f>VLOOKUP($A1794,'Tech Litons'!$A:$I,8,FALSE)</f>
        <v>8.5199999999999998E-3</v>
      </c>
      <c r="H1794" s="917">
        <f>VLOOKUP($A1794,'Tech Litons'!$A:$I,9,FALSE)</f>
        <v>176</v>
      </c>
      <c r="I1794" s="917" t="str">
        <f>VLOOKUP($A1794,'Tech Litons'!$A:$C,3,0)</f>
        <v>48oz</v>
      </c>
      <c r="J1794" s="918" t="str">
        <f t="shared" si="181"/>
        <v>135248oz</v>
      </c>
      <c r="K1794" s="919">
        <v>1</v>
      </c>
      <c r="L1794" s="920">
        <f t="shared" si="180"/>
        <v>3317</v>
      </c>
      <c r="M1794" s="920">
        <f t="shared" si="182"/>
        <v>28.260839999999998</v>
      </c>
      <c r="N1794" s="920">
        <f t="shared" si="183"/>
        <v>18.84659090909091</v>
      </c>
      <c r="O1794" s="918" t="str">
        <f t="shared" si="184"/>
        <v>Feb</v>
      </c>
      <c r="P1794" s="921">
        <f t="shared" si="185"/>
        <v>7</v>
      </c>
    </row>
    <row r="1795" spans="1:16" ht="15" hidden="1" customHeight="1">
      <c r="A1795" s="839">
        <v>68852583</v>
      </c>
      <c r="B1795" s="839">
        <v>1352</v>
      </c>
      <c r="C1795" s="906">
        <v>1584</v>
      </c>
      <c r="D1795" s="907">
        <v>46064</v>
      </c>
      <c r="E1795" s="839" t="s">
        <v>428</v>
      </c>
      <c r="F1795" s="839" t="s">
        <v>242</v>
      </c>
      <c r="G1795" s="916">
        <f>VLOOKUP($A1795,'Tech Litons'!$A:$I,8,FALSE)</f>
        <v>8.5199999999999998E-3</v>
      </c>
      <c r="H1795" s="917">
        <f>VLOOKUP($A1795,'Tech Litons'!$A:$I,9,FALSE)</f>
        <v>132</v>
      </c>
      <c r="I1795" s="917" t="str">
        <f>VLOOKUP($A1795,'Tech Litons'!$A:$C,3,0)</f>
        <v>EDF</v>
      </c>
      <c r="J1795" s="918" t="str">
        <f t="shared" si="181"/>
        <v>1352EDF</v>
      </c>
      <c r="K1795" s="919">
        <v>1</v>
      </c>
      <c r="L1795" s="920">
        <f t="shared" si="180"/>
        <v>1584</v>
      </c>
      <c r="M1795" s="920">
        <f t="shared" si="182"/>
        <v>13.49568</v>
      </c>
      <c r="N1795" s="920">
        <f t="shared" si="183"/>
        <v>12</v>
      </c>
      <c r="O1795" s="918" t="str">
        <f t="shared" si="184"/>
        <v>Feb</v>
      </c>
      <c r="P1795" s="921">
        <f t="shared" si="185"/>
        <v>7</v>
      </c>
    </row>
    <row r="1796" spans="1:16" ht="15" hidden="1" customHeight="1">
      <c r="A1796" s="839">
        <v>68852583</v>
      </c>
      <c r="B1796" s="839">
        <v>1352</v>
      </c>
      <c r="C1796" s="906">
        <v>3141</v>
      </c>
      <c r="D1796" s="907">
        <v>46065</v>
      </c>
      <c r="E1796" s="839" t="s">
        <v>428</v>
      </c>
      <c r="F1796" s="839" t="s">
        <v>242</v>
      </c>
      <c r="G1796" s="916">
        <f>VLOOKUP($A1796,'Tech Litons'!$A:$I,8,FALSE)</f>
        <v>8.5199999999999998E-3</v>
      </c>
      <c r="H1796" s="917">
        <f>VLOOKUP($A1796,'Tech Litons'!$A:$I,9,FALSE)</f>
        <v>132</v>
      </c>
      <c r="I1796" s="917" t="str">
        <f>VLOOKUP($A1796,'Tech Litons'!$A:$C,3,0)</f>
        <v>EDF</v>
      </c>
      <c r="J1796" s="918" t="str">
        <f t="shared" si="181"/>
        <v>1352EDF</v>
      </c>
      <c r="K1796" s="919">
        <v>1</v>
      </c>
      <c r="L1796" s="920">
        <f t="shared" si="180"/>
        <v>3141</v>
      </c>
      <c r="M1796" s="920">
        <f t="shared" si="182"/>
        <v>26.761319999999998</v>
      </c>
      <c r="N1796" s="920">
        <f t="shared" si="183"/>
        <v>23.795454545454547</v>
      </c>
      <c r="O1796" s="918" t="str">
        <f t="shared" si="184"/>
        <v>Feb</v>
      </c>
      <c r="P1796" s="921">
        <f t="shared" si="185"/>
        <v>7</v>
      </c>
    </row>
    <row r="1797" spans="1:16" ht="15" hidden="1" customHeight="1">
      <c r="A1797" s="839">
        <v>68852583</v>
      </c>
      <c r="B1797" s="839">
        <v>1352</v>
      </c>
      <c r="C1797" s="906">
        <v>1993</v>
      </c>
      <c r="D1797" s="907">
        <v>46064</v>
      </c>
      <c r="E1797" s="839" t="s">
        <v>428</v>
      </c>
      <c r="F1797" s="839" t="s">
        <v>242</v>
      </c>
      <c r="G1797" s="916">
        <f>VLOOKUP($A1797,'Tech Litons'!$A:$I,8,FALSE)</f>
        <v>8.5199999999999998E-3</v>
      </c>
      <c r="H1797" s="917">
        <f>VLOOKUP($A1797,'Tech Litons'!$A:$I,9,FALSE)</f>
        <v>132</v>
      </c>
      <c r="I1797" s="917" t="str">
        <f>VLOOKUP($A1797,'Tech Litons'!$A:$C,3,0)</f>
        <v>EDF</v>
      </c>
      <c r="J1797" s="918" t="str">
        <f t="shared" si="181"/>
        <v>1352EDF</v>
      </c>
      <c r="K1797" s="919">
        <v>1</v>
      </c>
      <c r="L1797" s="920">
        <f t="shared" si="180"/>
        <v>1993</v>
      </c>
      <c r="M1797" s="920">
        <f t="shared" si="182"/>
        <v>16.980360000000001</v>
      </c>
      <c r="N1797" s="920">
        <f t="shared" si="183"/>
        <v>15.098484848484848</v>
      </c>
      <c r="O1797" s="918" t="str">
        <f t="shared" si="184"/>
        <v>Feb</v>
      </c>
      <c r="P1797" s="921">
        <f t="shared" si="185"/>
        <v>7</v>
      </c>
    </row>
    <row r="1798" spans="1:16" ht="15" hidden="1" customHeight="1">
      <c r="A1798" s="839">
        <v>68852583</v>
      </c>
      <c r="B1798" s="839">
        <v>1352</v>
      </c>
      <c r="C1798" s="906">
        <v>2555</v>
      </c>
      <c r="D1798" s="907">
        <v>46067</v>
      </c>
      <c r="E1798" s="839" t="s">
        <v>428</v>
      </c>
      <c r="F1798" s="839" t="s">
        <v>242</v>
      </c>
      <c r="G1798" s="916">
        <f>VLOOKUP($A1798,'Tech Litons'!$A:$I,8,FALSE)</f>
        <v>8.5199999999999998E-3</v>
      </c>
      <c r="H1798" s="917">
        <f>VLOOKUP($A1798,'Tech Litons'!$A:$I,9,FALSE)</f>
        <v>132</v>
      </c>
      <c r="I1798" s="917" t="str">
        <f>VLOOKUP($A1798,'Tech Litons'!$A:$C,3,0)</f>
        <v>EDF</v>
      </c>
      <c r="J1798" s="918" t="str">
        <f t="shared" si="181"/>
        <v>1352EDF</v>
      </c>
      <c r="K1798" s="919">
        <v>1</v>
      </c>
      <c r="L1798" s="920">
        <f t="shared" si="180"/>
        <v>2555</v>
      </c>
      <c r="M1798" s="920">
        <f t="shared" si="182"/>
        <v>21.768599999999999</v>
      </c>
      <c r="N1798" s="920">
        <f t="shared" si="183"/>
        <v>19.356060606060606</v>
      </c>
      <c r="O1798" s="918" t="str">
        <f t="shared" si="184"/>
        <v>Feb</v>
      </c>
      <c r="P1798" s="921">
        <f t="shared" si="185"/>
        <v>7</v>
      </c>
    </row>
    <row r="1799" spans="1:16" ht="15" hidden="1" customHeight="1">
      <c r="A1799" s="839">
        <v>68852583</v>
      </c>
      <c r="B1799" s="839">
        <v>1352</v>
      </c>
      <c r="C1799" s="906">
        <v>2112</v>
      </c>
      <c r="D1799" s="907">
        <v>46065</v>
      </c>
      <c r="E1799" s="839" t="s">
        <v>428</v>
      </c>
      <c r="F1799" s="839" t="s">
        <v>242</v>
      </c>
      <c r="G1799" s="916">
        <f>VLOOKUP($A1799,'Tech Litons'!$A:$I,8,FALSE)</f>
        <v>8.5199999999999998E-3</v>
      </c>
      <c r="H1799" s="917">
        <f>VLOOKUP($A1799,'Tech Litons'!$A:$I,9,FALSE)</f>
        <v>132</v>
      </c>
      <c r="I1799" s="917" t="str">
        <f>VLOOKUP($A1799,'Tech Litons'!$A:$C,3,0)</f>
        <v>EDF</v>
      </c>
      <c r="J1799" s="918" t="str">
        <f t="shared" si="181"/>
        <v>1352EDF</v>
      </c>
      <c r="K1799" s="919">
        <v>1</v>
      </c>
      <c r="L1799" s="920">
        <f t="shared" si="180"/>
        <v>2112</v>
      </c>
      <c r="M1799" s="920">
        <f t="shared" si="182"/>
        <v>17.994239999999998</v>
      </c>
      <c r="N1799" s="920">
        <f t="shared" si="183"/>
        <v>16</v>
      </c>
      <c r="O1799" s="918" t="str">
        <f t="shared" si="184"/>
        <v>Feb</v>
      </c>
      <c r="P1799" s="921">
        <f t="shared" si="185"/>
        <v>7</v>
      </c>
    </row>
    <row r="1800" spans="1:16" ht="15" hidden="1" customHeight="1">
      <c r="A1800" s="839">
        <v>68852583</v>
      </c>
      <c r="B1800" s="839">
        <v>1352</v>
      </c>
      <c r="C1800" s="906">
        <v>3574</v>
      </c>
      <c r="D1800" s="907">
        <v>46066</v>
      </c>
      <c r="E1800" s="839" t="s">
        <v>428</v>
      </c>
      <c r="F1800" s="839" t="s">
        <v>242</v>
      </c>
      <c r="G1800" s="916">
        <f>VLOOKUP($A1800,'Tech Litons'!$A:$I,8,FALSE)</f>
        <v>8.5199999999999998E-3</v>
      </c>
      <c r="H1800" s="917">
        <f>VLOOKUP($A1800,'Tech Litons'!$A:$I,9,FALSE)</f>
        <v>132</v>
      </c>
      <c r="I1800" s="917" t="str">
        <f>VLOOKUP($A1800,'Tech Litons'!$A:$C,3,0)</f>
        <v>EDF</v>
      </c>
      <c r="J1800" s="918" t="str">
        <f t="shared" si="181"/>
        <v>1352EDF</v>
      </c>
      <c r="K1800" s="919">
        <v>1</v>
      </c>
      <c r="L1800" s="920">
        <f t="shared" si="180"/>
        <v>3574</v>
      </c>
      <c r="M1800" s="920">
        <f t="shared" si="182"/>
        <v>30.450479999999999</v>
      </c>
      <c r="N1800" s="920">
        <f t="shared" si="183"/>
        <v>27.075757575757574</v>
      </c>
      <c r="O1800" s="918" t="str">
        <f t="shared" si="184"/>
        <v>Feb</v>
      </c>
      <c r="P1800" s="921">
        <f t="shared" si="185"/>
        <v>7</v>
      </c>
    </row>
    <row r="1801" spans="1:16" ht="15" hidden="1" customHeight="1">
      <c r="A1801" s="839">
        <v>68852583</v>
      </c>
      <c r="B1801" s="839">
        <v>1352</v>
      </c>
      <c r="C1801" s="906">
        <v>1320</v>
      </c>
      <c r="D1801" s="907">
        <v>46067</v>
      </c>
      <c r="E1801" s="839" t="s">
        <v>428</v>
      </c>
      <c r="F1801" s="839" t="s">
        <v>242</v>
      </c>
      <c r="G1801" s="916">
        <f>VLOOKUP($A1801,'Tech Litons'!$A:$I,8,FALSE)</f>
        <v>8.5199999999999998E-3</v>
      </c>
      <c r="H1801" s="917">
        <f>VLOOKUP($A1801,'Tech Litons'!$A:$I,9,FALSE)</f>
        <v>132</v>
      </c>
      <c r="I1801" s="917" t="str">
        <f>VLOOKUP($A1801,'Tech Litons'!$A:$C,3,0)</f>
        <v>EDF</v>
      </c>
      <c r="J1801" s="918" t="str">
        <f t="shared" si="181"/>
        <v>1352EDF</v>
      </c>
      <c r="K1801" s="919">
        <v>1</v>
      </c>
      <c r="L1801" s="920">
        <f t="shared" si="180"/>
        <v>1320</v>
      </c>
      <c r="M1801" s="920">
        <f t="shared" si="182"/>
        <v>11.2464</v>
      </c>
      <c r="N1801" s="920">
        <f t="shared" si="183"/>
        <v>10</v>
      </c>
      <c r="O1801" s="918" t="str">
        <f t="shared" si="184"/>
        <v>Feb</v>
      </c>
      <c r="P1801" s="921">
        <f t="shared" si="185"/>
        <v>7</v>
      </c>
    </row>
    <row r="1802" spans="1:16" ht="15" hidden="1" customHeight="1">
      <c r="A1802" s="839">
        <v>68852583</v>
      </c>
      <c r="B1802" s="839">
        <v>1352</v>
      </c>
      <c r="C1802" s="906">
        <v>1796</v>
      </c>
      <c r="D1802" s="907">
        <v>46068</v>
      </c>
      <c r="E1802" s="839" t="s">
        <v>428</v>
      </c>
      <c r="F1802" s="839" t="s">
        <v>242</v>
      </c>
      <c r="G1802" s="916">
        <f>VLOOKUP($A1802,'Tech Litons'!$A:$I,8,FALSE)</f>
        <v>8.5199999999999998E-3</v>
      </c>
      <c r="H1802" s="917">
        <f>VLOOKUP($A1802,'Tech Litons'!$A:$I,9,FALSE)</f>
        <v>132</v>
      </c>
      <c r="I1802" s="917" t="str">
        <f>VLOOKUP($A1802,'Tech Litons'!$A:$C,3,0)</f>
        <v>EDF</v>
      </c>
      <c r="J1802" s="918" t="str">
        <f t="shared" si="181"/>
        <v>1352EDF</v>
      </c>
      <c r="K1802" s="919">
        <v>1</v>
      </c>
      <c r="L1802" s="920">
        <f t="shared" si="180"/>
        <v>1796</v>
      </c>
      <c r="M1802" s="920">
        <f t="shared" si="182"/>
        <v>15.301919999999999</v>
      </c>
      <c r="N1802" s="920">
        <f t="shared" si="183"/>
        <v>13.606060606060606</v>
      </c>
      <c r="O1802" s="918" t="str">
        <f t="shared" si="184"/>
        <v>Feb</v>
      </c>
      <c r="P1802" s="921">
        <f t="shared" si="185"/>
        <v>8</v>
      </c>
    </row>
    <row r="1803" spans="1:16" ht="15" hidden="1" customHeight="1">
      <c r="A1803" s="839">
        <v>68852583</v>
      </c>
      <c r="B1803" s="839">
        <v>1352</v>
      </c>
      <c r="C1803" s="906">
        <v>396</v>
      </c>
      <c r="D1803" s="907">
        <v>46069</v>
      </c>
      <c r="E1803" s="839" t="s">
        <v>428</v>
      </c>
      <c r="F1803" s="839" t="s">
        <v>242</v>
      </c>
      <c r="G1803" s="916">
        <f>VLOOKUP($A1803,'Tech Litons'!$A:$I,8,FALSE)</f>
        <v>8.5199999999999998E-3</v>
      </c>
      <c r="H1803" s="917">
        <f>VLOOKUP($A1803,'Tech Litons'!$A:$I,9,FALSE)</f>
        <v>132</v>
      </c>
      <c r="I1803" s="917" t="str">
        <f>VLOOKUP($A1803,'Tech Litons'!$A:$C,3,0)</f>
        <v>EDF</v>
      </c>
      <c r="J1803" s="918" t="str">
        <f t="shared" si="181"/>
        <v>1352EDF</v>
      </c>
      <c r="K1803" s="919">
        <v>1</v>
      </c>
      <c r="L1803" s="920">
        <f t="shared" si="180"/>
        <v>396</v>
      </c>
      <c r="M1803" s="920">
        <f t="shared" si="182"/>
        <v>3.37392</v>
      </c>
      <c r="N1803" s="920">
        <f t="shared" si="183"/>
        <v>3</v>
      </c>
      <c r="O1803" s="918" t="str">
        <f t="shared" si="184"/>
        <v>Feb</v>
      </c>
      <c r="P1803" s="921">
        <f t="shared" si="185"/>
        <v>8</v>
      </c>
    </row>
    <row r="1804" spans="1:16" ht="15" hidden="1" customHeight="1">
      <c r="A1804" s="839">
        <v>68852591</v>
      </c>
      <c r="B1804" s="839">
        <v>1352</v>
      </c>
      <c r="C1804" s="906">
        <v>1056</v>
      </c>
      <c r="D1804" s="907">
        <v>46075</v>
      </c>
      <c r="E1804" s="839" t="s">
        <v>326</v>
      </c>
      <c r="F1804" s="839" t="s">
        <v>241</v>
      </c>
      <c r="G1804" s="916">
        <f>VLOOKUP($A1804,'Tech Litons'!$A:$I,8,FALSE)</f>
        <v>8.5199999999999998E-3</v>
      </c>
      <c r="H1804" s="917">
        <f>VLOOKUP($A1804,'Tech Litons'!$A:$I,9,FALSE)</f>
        <v>132</v>
      </c>
      <c r="I1804" s="917" t="str">
        <f>VLOOKUP($A1804,'Tech Litons'!$A:$C,3,0)</f>
        <v>EDF</v>
      </c>
      <c r="J1804" s="918" t="str">
        <f t="shared" si="181"/>
        <v>1352EDF</v>
      </c>
      <c r="K1804" s="919">
        <v>1</v>
      </c>
      <c r="L1804" s="920">
        <f t="shared" si="180"/>
        <v>1056</v>
      </c>
      <c r="M1804" s="920">
        <f t="shared" si="182"/>
        <v>8.9971199999999989</v>
      </c>
      <c r="N1804" s="920">
        <f t="shared" si="183"/>
        <v>8</v>
      </c>
      <c r="O1804" s="918" t="str">
        <f t="shared" si="184"/>
        <v>Feb</v>
      </c>
      <c r="P1804" s="921">
        <f t="shared" si="185"/>
        <v>9</v>
      </c>
    </row>
    <row r="1805" spans="1:16" ht="15" hidden="1" customHeight="1">
      <c r="A1805" s="839">
        <v>68881265</v>
      </c>
      <c r="B1805" s="839">
        <v>1352</v>
      </c>
      <c r="C1805" s="906">
        <v>2991</v>
      </c>
      <c r="D1805" s="907">
        <v>46064</v>
      </c>
      <c r="E1805" s="839" t="s">
        <v>486</v>
      </c>
      <c r="F1805" s="839" t="s">
        <v>266</v>
      </c>
      <c r="G1805" s="916">
        <f>VLOOKUP($A1805,'Tech Litons'!$A:$I,8,FALSE)</f>
        <v>8.5199999999999998E-3</v>
      </c>
      <c r="H1805" s="917">
        <f>VLOOKUP($A1805,'Tech Litons'!$A:$I,9,FALSE)</f>
        <v>176</v>
      </c>
      <c r="I1805" s="917" t="str">
        <f>VLOOKUP($A1805,'Tech Litons'!$A:$C,3,0)</f>
        <v>48oz</v>
      </c>
      <c r="J1805" s="918" t="str">
        <f t="shared" si="181"/>
        <v>135248oz</v>
      </c>
      <c r="K1805" s="919">
        <v>1</v>
      </c>
      <c r="L1805" s="920">
        <f t="shared" si="180"/>
        <v>2991</v>
      </c>
      <c r="M1805" s="920">
        <f t="shared" si="182"/>
        <v>25.483319999999999</v>
      </c>
      <c r="N1805" s="920">
        <f t="shared" si="183"/>
        <v>16.994318181818183</v>
      </c>
      <c r="O1805" s="918" t="str">
        <f t="shared" si="184"/>
        <v>Feb</v>
      </c>
      <c r="P1805" s="921">
        <f t="shared" si="185"/>
        <v>7</v>
      </c>
    </row>
    <row r="1806" spans="1:16" ht="15" hidden="1" customHeight="1">
      <c r="A1806" s="839">
        <v>68881265</v>
      </c>
      <c r="B1806" s="839">
        <v>1352</v>
      </c>
      <c r="C1806" s="906">
        <v>8533</v>
      </c>
      <c r="D1806" s="907">
        <v>46065</v>
      </c>
      <c r="E1806" s="839" t="s">
        <v>486</v>
      </c>
      <c r="F1806" s="839" t="s">
        <v>266</v>
      </c>
      <c r="G1806" s="916">
        <f>VLOOKUP($A1806,'Tech Litons'!$A:$I,8,FALSE)</f>
        <v>8.5199999999999998E-3</v>
      </c>
      <c r="H1806" s="917">
        <f>VLOOKUP($A1806,'Tech Litons'!$A:$I,9,FALSE)</f>
        <v>176</v>
      </c>
      <c r="I1806" s="917" t="str">
        <f>VLOOKUP($A1806,'Tech Litons'!$A:$C,3,0)</f>
        <v>48oz</v>
      </c>
      <c r="J1806" s="918" t="str">
        <f t="shared" si="181"/>
        <v>135248oz</v>
      </c>
      <c r="K1806" s="919">
        <v>1</v>
      </c>
      <c r="L1806" s="920">
        <f t="shared" ref="L1806:L1869" si="186">C1806*$K1806</f>
        <v>8533</v>
      </c>
      <c r="M1806" s="920">
        <f t="shared" si="182"/>
        <v>72.701160000000002</v>
      </c>
      <c r="N1806" s="920">
        <f t="shared" si="183"/>
        <v>48.482954545454547</v>
      </c>
      <c r="O1806" s="918" t="str">
        <f t="shared" si="184"/>
        <v>Feb</v>
      </c>
      <c r="P1806" s="921">
        <f t="shared" si="185"/>
        <v>7</v>
      </c>
    </row>
    <row r="1807" spans="1:16" ht="15" hidden="1" customHeight="1">
      <c r="A1807" s="839">
        <v>68881265</v>
      </c>
      <c r="B1807" s="839">
        <v>1352</v>
      </c>
      <c r="C1807" s="906">
        <v>4400</v>
      </c>
      <c r="D1807" s="907">
        <v>46065</v>
      </c>
      <c r="E1807" s="839" t="s">
        <v>486</v>
      </c>
      <c r="F1807" s="839" t="s">
        <v>266</v>
      </c>
      <c r="G1807" s="916">
        <f>VLOOKUP($A1807,'Tech Litons'!$A:$I,8,FALSE)</f>
        <v>8.5199999999999998E-3</v>
      </c>
      <c r="H1807" s="917">
        <f>VLOOKUP($A1807,'Tech Litons'!$A:$I,9,FALSE)</f>
        <v>176</v>
      </c>
      <c r="I1807" s="917" t="str">
        <f>VLOOKUP($A1807,'Tech Litons'!$A:$C,3,0)</f>
        <v>48oz</v>
      </c>
      <c r="J1807" s="918" t="str">
        <f t="shared" ref="J1807:J1870" si="187">B1807&amp;I1807</f>
        <v>135248oz</v>
      </c>
      <c r="K1807" s="919">
        <v>1</v>
      </c>
      <c r="L1807" s="920">
        <f t="shared" si="186"/>
        <v>4400</v>
      </c>
      <c r="M1807" s="920">
        <f t="shared" ref="M1807:M1870" si="188">L1807*G1807</f>
        <v>37.488</v>
      </c>
      <c r="N1807" s="920">
        <f t="shared" ref="N1807:N1870" si="189">L1807/H1807</f>
        <v>25</v>
      </c>
      <c r="O1807" s="918" t="str">
        <f t="shared" ref="O1807:O1870" si="190">TEXT(D1807,"MMM")</f>
        <v>Feb</v>
      </c>
      <c r="P1807" s="921">
        <f t="shared" ref="P1807:P1870" si="191">WEEKNUM(D1807)</f>
        <v>7</v>
      </c>
    </row>
    <row r="1808" spans="1:16" ht="15" hidden="1" customHeight="1">
      <c r="A1808" s="839">
        <v>68881265</v>
      </c>
      <c r="B1808" s="839">
        <v>1352</v>
      </c>
      <c r="C1808" s="906">
        <v>7464</v>
      </c>
      <c r="D1808" s="907">
        <v>46066</v>
      </c>
      <c r="E1808" s="839" t="s">
        <v>486</v>
      </c>
      <c r="F1808" s="839" t="s">
        <v>266</v>
      </c>
      <c r="G1808" s="916">
        <f>VLOOKUP($A1808,'Tech Litons'!$A:$I,8,FALSE)</f>
        <v>8.5199999999999998E-3</v>
      </c>
      <c r="H1808" s="917">
        <f>VLOOKUP($A1808,'Tech Litons'!$A:$I,9,FALSE)</f>
        <v>176</v>
      </c>
      <c r="I1808" s="917" t="str">
        <f>VLOOKUP($A1808,'Tech Litons'!$A:$C,3,0)</f>
        <v>48oz</v>
      </c>
      <c r="J1808" s="918" t="str">
        <f t="shared" si="187"/>
        <v>135248oz</v>
      </c>
      <c r="K1808" s="919">
        <v>1</v>
      </c>
      <c r="L1808" s="920">
        <f t="shared" si="186"/>
        <v>7464</v>
      </c>
      <c r="M1808" s="920">
        <f t="shared" si="188"/>
        <v>63.59328</v>
      </c>
      <c r="N1808" s="920">
        <f t="shared" si="189"/>
        <v>42.409090909090907</v>
      </c>
      <c r="O1808" s="918" t="str">
        <f t="shared" si="190"/>
        <v>Feb</v>
      </c>
      <c r="P1808" s="921">
        <f t="shared" si="191"/>
        <v>7</v>
      </c>
    </row>
    <row r="1809" spans="1:16" ht="15" hidden="1" customHeight="1">
      <c r="A1809" s="839">
        <v>68881265</v>
      </c>
      <c r="B1809" s="839">
        <v>1352</v>
      </c>
      <c r="C1809" s="906">
        <v>3520</v>
      </c>
      <c r="D1809" s="907">
        <v>46066</v>
      </c>
      <c r="E1809" s="839" t="s">
        <v>486</v>
      </c>
      <c r="F1809" s="839" t="s">
        <v>266</v>
      </c>
      <c r="G1809" s="916">
        <f>VLOOKUP($A1809,'Tech Litons'!$A:$I,8,FALSE)</f>
        <v>8.5199999999999998E-3</v>
      </c>
      <c r="H1809" s="917">
        <f>VLOOKUP($A1809,'Tech Litons'!$A:$I,9,FALSE)</f>
        <v>176</v>
      </c>
      <c r="I1809" s="917" t="str">
        <f>VLOOKUP($A1809,'Tech Litons'!$A:$C,3,0)</f>
        <v>48oz</v>
      </c>
      <c r="J1809" s="918" t="str">
        <f t="shared" si="187"/>
        <v>135248oz</v>
      </c>
      <c r="K1809" s="919">
        <v>1</v>
      </c>
      <c r="L1809" s="920">
        <f t="shared" si="186"/>
        <v>3520</v>
      </c>
      <c r="M1809" s="920">
        <f t="shared" si="188"/>
        <v>29.990400000000001</v>
      </c>
      <c r="N1809" s="920">
        <f t="shared" si="189"/>
        <v>20</v>
      </c>
      <c r="O1809" s="918" t="str">
        <f t="shared" si="190"/>
        <v>Feb</v>
      </c>
      <c r="P1809" s="921">
        <f t="shared" si="191"/>
        <v>7</v>
      </c>
    </row>
    <row r="1810" spans="1:16" ht="15" hidden="1" customHeight="1">
      <c r="A1810" s="839">
        <v>68881265</v>
      </c>
      <c r="B1810" s="839">
        <v>1352</v>
      </c>
      <c r="C1810" s="906">
        <v>3739</v>
      </c>
      <c r="D1810" s="907">
        <v>46067</v>
      </c>
      <c r="E1810" s="839" t="s">
        <v>486</v>
      </c>
      <c r="F1810" s="839" t="s">
        <v>266</v>
      </c>
      <c r="G1810" s="916">
        <f>VLOOKUP($A1810,'Tech Litons'!$A:$I,8,FALSE)</f>
        <v>8.5199999999999998E-3</v>
      </c>
      <c r="H1810" s="917">
        <f>VLOOKUP($A1810,'Tech Litons'!$A:$I,9,FALSE)</f>
        <v>176</v>
      </c>
      <c r="I1810" s="917" t="str">
        <f>VLOOKUP($A1810,'Tech Litons'!$A:$C,3,0)</f>
        <v>48oz</v>
      </c>
      <c r="J1810" s="918" t="str">
        <f t="shared" si="187"/>
        <v>135248oz</v>
      </c>
      <c r="K1810" s="919">
        <v>1</v>
      </c>
      <c r="L1810" s="920">
        <f t="shared" si="186"/>
        <v>3739</v>
      </c>
      <c r="M1810" s="920">
        <f t="shared" si="188"/>
        <v>31.856279999999998</v>
      </c>
      <c r="N1810" s="920">
        <f t="shared" si="189"/>
        <v>21.244318181818183</v>
      </c>
      <c r="O1810" s="918" t="str">
        <f t="shared" si="190"/>
        <v>Feb</v>
      </c>
      <c r="P1810" s="921">
        <f t="shared" si="191"/>
        <v>7</v>
      </c>
    </row>
    <row r="1811" spans="1:16" ht="15" hidden="1" customHeight="1">
      <c r="A1811" s="839">
        <v>68881265</v>
      </c>
      <c r="B1811" s="839">
        <v>1352</v>
      </c>
      <c r="C1811" s="906">
        <v>2310</v>
      </c>
      <c r="D1811" s="907">
        <v>46063</v>
      </c>
      <c r="E1811" s="839" t="s">
        <v>486</v>
      </c>
      <c r="F1811" s="839" t="s">
        <v>266</v>
      </c>
      <c r="G1811" s="916">
        <f>VLOOKUP($A1811,'Tech Litons'!$A:$I,8,FALSE)</f>
        <v>8.5199999999999998E-3</v>
      </c>
      <c r="H1811" s="917">
        <f>VLOOKUP($A1811,'Tech Litons'!$A:$I,9,FALSE)</f>
        <v>176</v>
      </c>
      <c r="I1811" s="917" t="str">
        <f>VLOOKUP($A1811,'Tech Litons'!$A:$C,3,0)</f>
        <v>48oz</v>
      </c>
      <c r="J1811" s="918" t="str">
        <f t="shared" si="187"/>
        <v>135248oz</v>
      </c>
      <c r="K1811" s="919">
        <v>1</v>
      </c>
      <c r="L1811" s="920">
        <f t="shared" si="186"/>
        <v>2310</v>
      </c>
      <c r="M1811" s="920">
        <f t="shared" si="188"/>
        <v>19.6812</v>
      </c>
      <c r="N1811" s="920">
        <f t="shared" si="189"/>
        <v>13.125</v>
      </c>
      <c r="O1811" s="918" t="str">
        <f t="shared" si="190"/>
        <v>Feb</v>
      </c>
      <c r="P1811" s="921">
        <f t="shared" si="191"/>
        <v>7</v>
      </c>
    </row>
    <row r="1812" spans="1:16" ht="15" hidden="1" customHeight="1">
      <c r="A1812" s="839">
        <v>68881265</v>
      </c>
      <c r="B1812" s="839">
        <v>1352</v>
      </c>
      <c r="C1812" s="906">
        <v>4</v>
      </c>
      <c r="D1812" s="907">
        <v>46065</v>
      </c>
      <c r="E1812" s="839" t="s">
        <v>486</v>
      </c>
      <c r="F1812" s="839" t="s">
        <v>266</v>
      </c>
      <c r="G1812" s="916">
        <f>VLOOKUP($A1812,'Tech Litons'!$A:$I,8,FALSE)</f>
        <v>8.5199999999999998E-3</v>
      </c>
      <c r="H1812" s="917">
        <f>VLOOKUP($A1812,'Tech Litons'!$A:$I,9,FALSE)</f>
        <v>176</v>
      </c>
      <c r="I1812" s="917" t="str">
        <f>VLOOKUP($A1812,'Tech Litons'!$A:$C,3,0)</f>
        <v>48oz</v>
      </c>
      <c r="J1812" s="918" t="str">
        <f t="shared" si="187"/>
        <v>135248oz</v>
      </c>
      <c r="K1812" s="919">
        <v>1</v>
      </c>
      <c r="L1812" s="920">
        <f t="shared" si="186"/>
        <v>4</v>
      </c>
      <c r="M1812" s="920">
        <f t="shared" si="188"/>
        <v>3.4079999999999999E-2</v>
      </c>
      <c r="N1812" s="920">
        <f t="shared" si="189"/>
        <v>2.2727272727272728E-2</v>
      </c>
      <c r="O1812" s="918" t="str">
        <f t="shared" si="190"/>
        <v>Feb</v>
      </c>
      <c r="P1812" s="921">
        <f t="shared" si="191"/>
        <v>7</v>
      </c>
    </row>
    <row r="1813" spans="1:16" ht="15" hidden="1" customHeight="1">
      <c r="A1813" s="839">
        <v>68881265</v>
      </c>
      <c r="B1813" s="839">
        <v>1352</v>
      </c>
      <c r="C1813" s="906">
        <v>3891</v>
      </c>
      <c r="D1813" s="907">
        <v>46064</v>
      </c>
      <c r="E1813" s="839" t="s">
        <v>486</v>
      </c>
      <c r="F1813" s="839" t="s">
        <v>266</v>
      </c>
      <c r="G1813" s="916">
        <f>VLOOKUP($A1813,'Tech Litons'!$A:$I,8,FALSE)</f>
        <v>8.5199999999999998E-3</v>
      </c>
      <c r="H1813" s="917">
        <f>VLOOKUP($A1813,'Tech Litons'!$A:$I,9,FALSE)</f>
        <v>176</v>
      </c>
      <c r="I1813" s="917" t="str">
        <f>VLOOKUP($A1813,'Tech Litons'!$A:$C,3,0)</f>
        <v>48oz</v>
      </c>
      <c r="J1813" s="918" t="str">
        <f t="shared" si="187"/>
        <v>135248oz</v>
      </c>
      <c r="K1813" s="919">
        <v>1</v>
      </c>
      <c r="L1813" s="920">
        <f t="shared" si="186"/>
        <v>3891</v>
      </c>
      <c r="M1813" s="920">
        <f t="shared" si="188"/>
        <v>33.151319999999998</v>
      </c>
      <c r="N1813" s="920">
        <f t="shared" si="189"/>
        <v>22.107954545454547</v>
      </c>
      <c r="O1813" s="918" t="str">
        <f t="shared" si="190"/>
        <v>Feb</v>
      </c>
      <c r="P1813" s="921">
        <f t="shared" si="191"/>
        <v>7</v>
      </c>
    </row>
    <row r="1814" spans="1:16" ht="15" hidden="1" customHeight="1">
      <c r="A1814" s="839">
        <v>68881265</v>
      </c>
      <c r="B1814" s="839">
        <v>1352</v>
      </c>
      <c r="C1814" s="906">
        <v>1</v>
      </c>
      <c r="D1814" s="907">
        <v>46066</v>
      </c>
      <c r="E1814" s="839" t="s">
        <v>486</v>
      </c>
      <c r="F1814" s="839" t="s">
        <v>266</v>
      </c>
      <c r="G1814" s="916">
        <f>VLOOKUP($A1814,'Tech Litons'!$A:$I,8,FALSE)</f>
        <v>8.5199999999999998E-3</v>
      </c>
      <c r="H1814" s="917">
        <f>VLOOKUP($A1814,'Tech Litons'!$A:$I,9,FALSE)</f>
        <v>176</v>
      </c>
      <c r="I1814" s="917" t="str">
        <f>VLOOKUP($A1814,'Tech Litons'!$A:$C,3,0)</f>
        <v>48oz</v>
      </c>
      <c r="J1814" s="918" t="str">
        <f t="shared" si="187"/>
        <v>135248oz</v>
      </c>
      <c r="K1814" s="919">
        <v>1</v>
      </c>
      <c r="L1814" s="920">
        <f t="shared" si="186"/>
        <v>1</v>
      </c>
      <c r="M1814" s="920">
        <f t="shared" si="188"/>
        <v>8.5199999999999998E-3</v>
      </c>
      <c r="N1814" s="920">
        <f t="shared" si="189"/>
        <v>5.681818181818182E-3</v>
      </c>
      <c r="O1814" s="918" t="str">
        <f t="shared" si="190"/>
        <v>Feb</v>
      </c>
      <c r="P1814" s="921">
        <f t="shared" si="191"/>
        <v>7</v>
      </c>
    </row>
    <row r="1815" spans="1:16" ht="15" hidden="1" customHeight="1">
      <c r="A1815" s="839">
        <v>68881270</v>
      </c>
      <c r="B1815" s="839">
        <v>1352</v>
      </c>
      <c r="C1815" s="906">
        <v>5929</v>
      </c>
      <c r="D1815" s="907">
        <v>46055</v>
      </c>
      <c r="E1815" s="839" t="s">
        <v>383</v>
      </c>
      <c r="F1815" s="839" t="s">
        <v>290</v>
      </c>
      <c r="G1815" s="916">
        <f>VLOOKUP($A1815,'Tech Litons'!$A:$I,8,FALSE)</f>
        <v>8.5199999999999998E-3</v>
      </c>
      <c r="H1815" s="917">
        <f>VLOOKUP($A1815,'Tech Litons'!$A:$I,9,FALSE)</f>
        <v>176</v>
      </c>
      <c r="I1815" s="917" t="str">
        <f>VLOOKUP($A1815,'Tech Litons'!$A:$C,3,0)</f>
        <v>48oz</v>
      </c>
      <c r="J1815" s="918" t="str">
        <f t="shared" si="187"/>
        <v>135248oz</v>
      </c>
      <c r="K1815" s="919">
        <v>1</v>
      </c>
      <c r="L1815" s="920">
        <f t="shared" si="186"/>
        <v>5929</v>
      </c>
      <c r="M1815" s="920">
        <f t="shared" si="188"/>
        <v>50.515079999999998</v>
      </c>
      <c r="N1815" s="920">
        <f t="shared" si="189"/>
        <v>33.6875</v>
      </c>
      <c r="O1815" s="918" t="str">
        <f t="shared" si="190"/>
        <v>Feb</v>
      </c>
      <c r="P1815" s="921">
        <f t="shared" si="191"/>
        <v>6</v>
      </c>
    </row>
    <row r="1816" spans="1:16" ht="15" hidden="1" customHeight="1">
      <c r="A1816" s="839">
        <v>68881270</v>
      </c>
      <c r="B1816" s="839">
        <v>1352</v>
      </c>
      <c r="C1816" s="906">
        <v>5444</v>
      </c>
      <c r="D1816" s="907">
        <v>46055</v>
      </c>
      <c r="E1816" s="839" t="s">
        <v>383</v>
      </c>
      <c r="F1816" s="839" t="s">
        <v>290</v>
      </c>
      <c r="G1816" s="916">
        <f>VLOOKUP($A1816,'Tech Litons'!$A:$I,8,FALSE)</f>
        <v>8.5199999999999998E-3</v>
      </c>
      <c r="H1816" s="917">
        <f>VLOOKUP($A1816,'Tech Litons'!$A:$I,9,FALSE)</f>
        <v>176</v>
      </c>
      <c r="I1816" s="917" t="str">
        <f>VLOOKUP($A1816,'Tech Litons'!$A:$C,3,0)</f>
        <v>48oz</v>
      </c>
      <c r="J1816" s="918" t="str">
        <f t="shared" si="187"/>
        <v>135248oz</v>
      </c>
      <c r="K1816" s="919">
        <v>1</v>
      </c>
      <c r="L1816" s="920">
        <f t="shared" si="186"/>
        <v>5444</v>
      </c>
      <c r="M1816" s="920">
        <f t="shared" si="188"/>
        <v>46.38288</v>
      </c>
      <c r="N1816" s="920">
        <f t="shared" si="189"/>
        <v>30.931818181818183</v>
      </c>
      <c r="O1816" s="918" t="str">
        <f t="shared" si="190"/>
        <v>Feb</v>
      </c>
      <c r="P1816" s="921">
        <f t="shared" si="191"/>
        <v>6</v>
      </c>
    </row>
    <row r="1817" spans="1:16" ht="15" hidden="1" customHeight="1">
      <c r="A1817" s="839">
        <v>68881270</v>
      </c>
      <c r="B1817" s="839">
        <v>1352</v>
      </c>
      <c r="C1817" s="906">
        <v>8184</v>
      </c>
      <c r="D1817" s="907">
        <v>46056</v>
      </c>
      <c r="E1817" s="839" t="s">
        <v>383</v>
      </c>
      <c r="F1817" s="839" t="s">
        <v>290</v>
      </c>
      <c r="G1817" s="916">
        <f>VLOOKUP($A1817,'Tech Litons'!$A:$I,8,FALSE)</f>
        <v>8.5199999999999998E-3</v>
      </c>
      <c r="H1817" s="917">
        <f>VLOOKUP($A1817,'Tech Litons'!$A:$I,9,FALSE)</f>
        <v>176</v>
      </c>
      <c r="I1817" s="917" t="str">
        <f>VLOOKUP($A1817,'Tech Litons'!$A:$C,3,0)</f>
        <v>48oz</v>
      </c>
      <c r="J1817" s="918" t="str">
        <f t="shared" si="187"/>
        <v>135248oz</v>
      </c>
      <c r="K1817" s="919">
        <v>1</v>
      </c>
      <c r="L1817" s="920">
        <f t="shared" si="186"/>
        <v>8184</v>
      </c>
      <c r="M1817" s="920">
        <f t="shared" si="188"/>
        <v>69.727679999999992</v>
      </c>
      <c r="N1817" s="920">
        <f t="shared" si="189"/>
        <v>46.5</v>
      </c>
      <c r="O1817" s="918" t="str">
        <f t="shared" si="190"/>
        <v>Feb</v>
      </c>
      <c r="P1817" s="921">
        <f t="shared" si="191"/>
        <v>6</v>
      </c>
    </row>
    <row r="1818" spans="1:16" ht="15" hidden="1" customHeight="1">
      <c r="A1818" s="839">
        <v>68881270</v>
      </c>
      <c r="B1818" s="839">
        <v>1352</v>
      </c>
      <c r="C1818" s="906">
        <v>133</v>
      </c>
      <c r="D1818" s="907">
        <v>46064</v>
      </c>
      <c r="E1818" s="839" t="s">
        <v>383</v>
      </c>
      <c r="F1818" s="839" t="s">
        <v>290</v>
      </c>
      <c r="G1818" s="916">
        <f>VLOOKUP($A1818,'Tech Litons'!$A:$I,8,FALSE)</f>
        <v>8.5199999999999998E-3</v>
      </c>
      <c r="H1818" s="917">
        <f>VLOOKUP($A1818,'Tech Litons'!$A:$I,9,FALSE)</f>
        <v>176</v>
      </c>
      <c r="I1818" s="917" t="str">
        <f>VLOOKUP($A1818,'Tech Litons'!$A:$C,3,0)</f>
        <v>48oz</v>
      </c>
      <c r="J1818" s="918" t="str">
        <f t="shared" si="187"/>
        <v>135248oz</v>
      </c>
      <c r="K1818" s="919">
        <v>1</v>
      </c>
      <c r="L1818" s="920">
        <f t="shared" si="186"/>
        <v>133</v>
      </c>
      <c r="M1818" s="920">
        <f t="shared" si="188"/>
        <v>1.1331599999999999</v>
      </c>
      <c r="N1818" s="920">
        <f t="shared" si="189"/>
        <v>0.75568181818181823</v>
      </c>
      <c r="O1818" s="918" t="str">
        <f t="shared" si="190"/>
        <v>Feb</v>
      </c>
      <c r="P1818" s="921">
        <f t="shared" si="191"/>
        <v>7</v>
      </c>
    </row>
    <row r="1819" spans="1:16" ht="15" hidden="1" customHeight="1">
      <c r="A1819" s="839">
        <v>68881270</v>
      </c>
      <c r="B1819" s="839">
        <v>1352</v>
      </c>
      <c r="C1819" s="906">
        <v>3069</v>
      </c>
      <c r="D1819" s="907">
        <v>46056</v>
      </c>
      <c r="E1819" s="839" t="s">
        <v>383</v>
      </c>
      <c r="F1819" s="839" t="s">
        <v>290</v>
      </c>
      <c r="G1819" s="916">
        <f>VLOOKUP($A1819,'Tech Litons'!$A:$I,8,FALSE)</f>
        <v>8.5199999999999998E-3</v>
      </c>
      <c r="H1819" s="917">
        <f>VLOOKUP($A1819,'Tech Litons'!$A:$I,9,FALSE)</f>
        <v>176</v>
      </c>
      <c r="I1819" s="917" t="str">
        <f>VLOOKUP($A1819,'Tech Litons'!$A:$C,3,0)</f>
        <v>48oz</v>
      </c>
      <c r="J1819" s="918" t="str">
        <f t="shared" si="187"/>
        <v>135248oz</v>
      </c>
      <c r="K1819" s="919">
        <v>1</v>
      </c>
      <c r="L1819" s="920">
        <f t="shared" si="186"/>
        <v>3069</v>
      </c>
      <c r="M1819" s="920">
        <f t="shared" si="188"/>
        <v>26.147880000000001</v>
      </c>
      <c r="N1819" s="920">
        <f t="shared" si="189"/>
        <v>17.4375</v>
      </c>
      <c r="O1819" s="918" t="str">
        <f t="shared" si="190"/>
        <v>Feb</v>
      </c>
      <c r="P1819" s="921">
        <f t="shared" si="191"/>
        <v>6</v>
      </c>
    </row>
    <row r="1820" spans="1:16" ht="15" hidden="1" customHeight="1">
      <c r="A1820" s="839">
        <v>68881270</v>
      </c>
      <c r="B1820" s="839">
        <v>1352</v>
      </c>
      <c r="C1820" s="906">
        <v>7672</v>
      </c>
      <c r="D1820" s="907">
        <v>46057</v>
      </c>
      <c r="E1820" s="839" t="s">
        <v>383</v>
      </c>
      <c r="F1820" s="839" t="s">
        <v>290</v>
      </c>
      <c r="G1820" s="916">
        <f>VLOOKUP($A1820,'Tech Litons'!$A:$I,8,FALSE)</f>
        <v>8.5199999999999998E-3</v>
      </c>
      <c r="H1820" s="917">
        <f>VLOOKUP($A1820,'Tech Litons'!$A:$I,9,FALSE)</f>
        <v>176</v>
      </c>
      <c r="I1820" s="917" t="str">
        <f>VLOOKUP($A1820,'Tech Litons'!$A:$C,3,0)</f>
        <v>48oz</v>
      </c>
      <c r="J1820" s="918" t="str">
        <f t="shared" si="187"/>
        <v>135248oz</v>
      </c>
      <c r="K1820" s="919">
        <v>1</v>
      </c>
      <c r="L1820" s="920">
        <f t="shared" si="186"/>
        <v>7672</v>
      </c>
      <c r="M1820" s="920">
        <f t="shared" si="188"/>
        <v>65.365439999999992</v>
      </c>
      <c r="N1820" s="920">
        <f t="shared" si="189"/>
        <v>43.590909090909093</v>
      </c>
      <c r="O1820" s="918" t="str">
        <f t="shared" si="190"/>
        <v>Feb</v>
      </c>
      <c r="P1820" s="921">
        <f t="shared" si="191"/>
        <v>6</v>
      </c>
    </row>
    <row r="1821" spans="1:16" ht="15" hidden="1" customHeight="1">
      <c r="A1821" s="839">
        <v>68881270</v>
      </c>
      <c r="B1821" s="839">
        <v>1352</v>
      </c>
      <c r="C1821" s="906">
        <v>154</v>
      </c>
      <c r="D1821" s="907">
        <v>46058</v>
      </c>
      <c r="E1821" s="839" t="s">
        <v>383</v>
      </c>
      <c r="F1821" s="839" t="s">
        <v>290</v>
      </c>
      <c r="G1821" s="916">
        <f>VLOOKUP($A1821,'Tech Litons'!$A:$I,8,FALSE)</f>
        <v>8.5199999999999998E-3</v>
      </c>
      <c r="H1821" s="917">
        <f>VLOOKUP($A1821,'Tech Litons'!$A:$I,9,FALSE)</f>
        <v>176</v>
      </c>
      <c r="I1821" s="917" t="str">
        <f>VLOOKUP($A1821,'Tech Litons'!$A:$C,3,0)</f>
        <v>48oz</v>
      </c>
      <c r="J1821" s="918" t="str">
        <f t="shared" si="187"/>
        <v>135248oz</v>
      </c>
      <c r="K1821" s="919">
        <v>1</v>
      </c>
      <c r="L1821" s="920">
        <f t="shared" si="186"/>
        <v>154</v>
      </c>
      <c r="M1821" s="920">
        <f t="shared" si="188"/>
        <v>1.3120799999999999</v>
      </c>
      <c r="N1821" s="920">
        <f t="shared" si="189"/>
        <v>0.875</v>
      </c>
      <c r="O1821" s="918" t="str">
        <f t="shared" si="190"/>
        <v>Feb</v>
      </c>
      <c r="P1821" s="921">
        <f t="shared" si="191"/>
        <v>6</v>
      </c>
    </row>
    <row r="1822" spans="1:16" ht="15" hidden="1" customHeight="1">
      <c r="A1822" s="839">
        <v>68881270</v>
      </c>
      <c r="B1822" s="839">
        <v>1352</v>
      </c>
      <c r="C1822" s="906">
        <v>5280</v>
      </c>
      <c r="D1822" s="907">
        <v>46057</v>
      </c>
      <c r="E1822" s="839" t="s">
        <v>383</v>
      </c>
      <c r="F1822" s="839" t="s">
        <v>290</v>
      </c>
      <c r="G1822" s="916">
        <f>VLOOKUP($A1822,'Tech Litons'!$A:$I,8,FALSE)</f>
        <v>8.5199999999999998E-3</v>
      </c>
      <c r="H1822" s="917">
        <f>VLOOKUP($A1822,'Tech Litons'!$A:$I,9,FALSE)</f>
        <v>176</v>
      </c>
      <c r="I1822" s="917" t="str">
        <f>VLOOKUP($A1822,'Tech Litons'!$A:$C,3,0)</f>
        <v>48oz</v>
      </c>
      <c r="J1822" s="918" t="str">
        <f t="shared" si="187"/>
        <v>135248oz</v>
      </c>
      <c r="K1822" s="919">
        <v>1</v>
      </c>
      <c r="L1822" s="920">
        <f t="shared" si="186"/>
        <v>5280</v>
      </c>
      <c r="M1822" s="920">
        <f t="shared" si="188"/>
        <v>44.985599999999998</v>
      </c>
      <c r="N1822" s="920">
        <f t="shared" si="189"/>
        <v>30</v>
      </c>
      <c r="O1822" s="918" t="str">
        <f t="shared" si="190"/>
        <v>Feb</v>
      </c>
      <c r="P1822" s="921">
        <f t="shared" si="191"/>
        <v>6</v>
      </c>
    </row>
    <row r="1823" spans="1:16" ht="15" hidden="1" customHeight="1">
      <c r="A1823" s="839">
        <v>68881270</v>
      </c>
      <c r="B1823" s="839">
        <v>1352</v>
      </c>
      <c r="C1823" s="906">
        <v>7201</v>
      </c>
      <c r="D1823" s="907">
        <v>46058</v>
      </c>
      <c r="E1823" s="839" t="s">
        <v>383</v>
      </c>
      <c r="F1823" s="839" t="s">
        <v>290</v>
      </c>
      <c r="G1823" s="916">
        <f>VLOOKUP($A1823,'Tech Litons'!$A:$I,8,FALSE)</f>
        <v>8.5199999999999998E-3</v>
      </c>
      <c r="H1823" s="917">
        <f>VLOOKUP($A1823,'Tech Litons'!$A:$I,9,FALSE)</f>
        <v>176</v>
      </c>
      <c r="I1823" s="917" t="str">
        <f>VLOOKUP($A1823,'Tech Litons'!$A:$C,3,0)</f>
        <v>48oz</v>
      </c>
      <c r="J1823" s="918" t="str">
        <f t="shared" si="187"/>
        <v>135248oz</v>
      </c>
      <c r="K1823" s="919">
        <v>1</v>
      </c>
      <c r="L1823" s="920">
        <f t="shared" si="186"/>
        <v>7201</v>
      </c>
      <c r="M1823" s="920">
        <f t="shared" si="188"/>
        <v>61.352519999999998</v>
      </c>
      <c r="N1823" s="920">
        <f t="shared" si="189"/>
        <v>40.914772727272727</v>
      </c>
      <c r="O1823" s="918" t="str">
        <f t="shared" si="190"/>
        <v>Feb</v>
      </c>
      <c r="P1823" s="921">
        <f t="shared" si="191"/>
        <v>6</v>
      </c>
    </row>
    <row r="1824" spans="1:16" ht="15" hidden="1" customHeight="1">
      <c r="A1824" s="839">
        <v>68881270</v>
      </c>
      <c r="B1824" s="839">
        <v>1352</v>
      </c>
      <c r="C1824" s="906">
        <v>5280</v>
      </c>
      <c r="D1824" s="907">
        <v>46058</v>
      </c>
      <c r="E1824" s="839" t="s">
        <v>383</v>
      </c>
      <c r="F1824" s="839" t="s">
        <v>290</v>
      </c>
      <c r="G1824" s="916">
        <f>VLOOKUP($A1824,'Tech Litons'!$A:$I,8,FALSE)</f>
        <v>8.5199999999999998E-3</v>
      </c>
      <c r="H1824" s="917">
        <f>VLOOKUP($A1824,'Tech Litons'!$A:$I,9,FALSE)</f>
        <v>176</v>
      </c>
      <c r="I1824" s="917" t="str">
        <f>VLOOKUP($A1824,'Tech Litons'!$A:$C,3,0)</f>
        <v>48oz</v>
      </c>
      <c r="J1824" s="918" t="str">
        <f t="shared" si="187"/>
        <v>135248oz</v>
      </c>
      <c r="K1824" s="919">
        <v>1</v>
      </c>
      <c r="L1824" s="920">
        <f t="shared" si="186"/>
        <v>5280</v>
      </c>
      <c r="M1824" s="920">
        <f t="shared" si="188"/>
        <v>44.985599999999998</v>
      </c>
      <c r="N1824" s="920">
        <f t="shared" si="189"/>
        <v>30</v>
      </c>
      <c r="O1824" s="918" t="str">
        <f t="shared" si="190"/>
        <v>Feb</v>
      </c>
      <c r="P1824" s="921">
        <f t="shared" si="191"/>
        <v>6</v>
      </c>
    </row>
    <row r="1825" spans="1:16" ht="15" hidden="1" customHeight="1">
      <c r="A1825" s="839">
        <v>68881270</v>
      </c>
      <c r="B1825" s="839">
        <v>1352</v>
      </c>
      <c r="C1825" s="906">
        <v>3282</v>
      </c>
      <c r="D1825" s="907">
        <v>46059</v>
      </c>
      <c r="E1825" s="839" t="s">
        <v>383</v>
      </c>
      <c r="F1825" s="839" t="s">
        <v>290</v>
      </c>
      <c r="G1825" s="916">
        <f>VLOOKUP($A1825,'Tech Litons'!$A:$I,8,FALSE)</f>
        <v>8.5199999999999998E-3</v>
      </c>
      <c r="H1825" s="917">
        <f>VLOOKUP($A1825,'Tech Litons'!$A:$I,9,FALSE)</f>
        <v>176</v>
      </c>
      <c r="I1825" s="917" t="str">
        <f>VLOOKUP($A1825,'Tech Litons'!$A:$C,3,0)</f>
        <v>48oz</v>
      </c>
      <c r="J1825" s="918" t="str">
        <f t="shared" si="187"/>
        <v>135248oz</v>
      </c>
      <c r="K1825" s="919">
        <v>1</v>
      </c>
      <c r="L1825" s="920">
        <f t="shared" si="186"/>
        <v>3282</v>
      </c>
      <c r="M1825" s="920">
        <f t="shared" si="188"/>
        <v>27.96264</v>
      </c>
      <c r="N1825" s="920">
        <f t="shared" si="189"/>
        <v>18.647727272727273</v>
      </c>
      <c r="O1825" s="918" t="str">
        <f t="shared" si="190"/>
        <v>Feb</v>
      </c>
      <c r="P1825" s="921">
        <f t="shared" si="191"/>
        <v>6</v>
      </c>
    </row>
    <row r="1826" spans="1:16" ht="15" hidden="1" customHeight="1">
      <c r="A1826" s="839">
        <v>68881270</v>
      </c>
      <c r="B1826" s="839">
        <v>1352</v>
      </c>
      <c r="C1826" s="906">
        <v>3225</v>
      </c>
      <c r="D1826" s="907">
        <v>46056</v>
      </c>
      <c r="E1826" s="839" t="s">
        <v>383</v>
      </c>
      <c r="F1826" s="839" t="s">
        <v>266</v>
      </c>
      <c r="G1826" s="916">
        <f>VLOOKUP($A1826,'Tech Litons'!$A:$I,8,FALSE)</f>
        <v>8.5199999999999998E-3</v>
      </c>
      <c r="H1826" s="917">
        <f>VLOOKUP($A1826,'Tech Litons'!$A:$I,9,FALSE)</f>
        <v>176</v>
      </c>
      <c r="I1826" s="917" t="str">
        <f>VLOOKUP($A1826,'Tech Litons'!$A:$C,3,0)</f>
        <v>48oz</v>
      </c>
      <c r="J1826" s="918" t="str">
        <f t="shared" si="187"/>
        <v>135248oz</v>
      </c>
      <c r="K1826" s="919">
        <v>1</v>
      </c>
      <c r="L1826" s="920">
        <f t="shared" si="186"/>
        <v>3225</v>
      </c>
      <c r="M1826" s="920">
        <f t="shared" si="188"/>
        <v>27.477</v>
      </c>
      <c r="N1826" s="920">
        <f t="shared" si="189"/>
        <v>18.323863636363637</v>
      </c>
      <c r="O1826" s="918" t="str">
        <f t="shared" si="190"/>
        <v>Feb</v>
      </c>
      <c r="P1826" s="921">
        <f t="shared" si="191"/>
        <v>6</v>
      </c>
    </row>
    <row r="1827" spans="1:16" ht="15" hidden="1" customHeight="1">
      <c r="A1827" s="839">
        <v>68881270</v>
      </c>
      <c r="B1827" s="839">
        <v>1352</v>
      </c>
      <c r="C1827" s="906">
        <v>4048</v>
      </c>
      <c r="D1827" s="907">
        <v>46056</v>
      </c>
      <c r="E1827" s="839" t="s">
        <v>383</v>
      </c>
      <c r="F1827" s="839" t="s">
        <v>266</v>
      </c>
      <c r="G1827" s="916">
        <f>VLOOKUP($A1827,'Tech Litons'!$A:$I,8,FALSE)</f>
        <v>8.5199999999999998E-3</v>
      </c>
      <c r="H1827" s="917">
        <f>VLOOKUP($A1827,'Tech Litons'!$A:$I,9,FALSE)</f>
        <v>176</v>
      </c>
      <c r="I1827" s="917" t="str">
        <f>VLOOKUP($A1827,'Tech Litons'!$A:$C,3,0)</f>
        <v>48oz</v>
      </c>
      <c r="J1827" s="918" t="str">
        <f t="shared" si="187"/>
        <v>135248oz</v>
      </c>
      <c r="K1827" s="919">
        <v>1</v>
      </c>
      <c r="L1827" s="920">
        <f t="shared" si="186"/>
        <v>4048</v>
      </c>
      <c r="M1827" s="920">
        <f t="shared" si="188"/>
        <v>34.488959999999999</v>
      </c>
      <c r="N1827" s="920">
        <f t="shared" si="189"/>
        <v>23</v>
      </c>
      <c r="O1827" s="918" t="str">
        <f t="shared" si="190"/>
        <v>Feb</v>
      </c>
      <c r="P1827" s="921">
        <f t="shared" si="191"/>
        <v>6</v>
      </c>
    </row>
    <row r="1828" spans="1:16" ht="15" hidden="1" customHeight="1">
      <c r="A1828" s="839">
        <v>68881270</v>
      </c>
      <c r="B1828" s="839">
        <v>1352</v>
      </c>
      <c r="C1828" s="906">
        <v>7369</v>
      </c>
      <c r="D1828" s="907">
        <v>46057</v>
      </c>
      <c r="E1828" s="839" t="s">
        <v>383</v>
      </c>
      <c r="F1828" s="839" t="s">
        <v>266</v>
      </c>
      <c r="G1828" s="916">
        <f>VLOOKUP($A1828,'Tech Litons'!$A:$I,8,FALSE)</f>
        <v>8.5199999999999998E-3</v>
      </c>
      <c r="H1828" s="917">
        <f>VLOOKUP($A1828,'Tech Litons'!$A:$I,9,FALSE)</f>
        <v>176</v>
      </c>
      <c r="I1828" s="917" t="str">
        <f>VLOOKUP($A1828,'Tech Litons'!$A:$C,3,0)</f>
        <v>48oz</v>
      </c>
      <c r="J1828" s="918" t="str">
        <f t="shared" si="187"/>
        <v>135248oz</v>
      </c>
      <c r="K1828" s="919">
        <v>1</v>
      </c>
      <c r="L1828" s="920">
        <f t="shared" si="186"/>
        <v>7369</v>
      </c>
      <c r="M1828" s="920">
        <f t="shared" si="188"/>
        <v>62.783879999999996</v>
      </c>
      <c r="N1828" s="920">
        <f t="shared" si="189"/>
        <v>41.86931818181818</v>
      </c>
      <c r="O1828" s="918" t="str">
        <f t="shared" si="190"/>
        <v>Feb</v>
      </c>
      <c r="P1828" s="921">
        <f t="shared" si="191"/>
        <v>6</v>
      </c>
    </row>
    <row r="1829" spans="1:16" ht="15" hidden="1" customHeight="1">
      <c r="A1829" s="839">
        <v>68881270</v>
      </c>
      <c r="B1829" s="839">
        <v>1352</v>
      </c>
      <c r="C1829" s="906">
        <v>72</v>
      </c>
      <c r="D1829" s="907">
        <v>46058</v>
      </c>
      <c r="E1829" s="839" t="s">
        <v>383</v>
      </c>
      <c r="F1829" s="839" t="s">
        <v>266</v>
      </c>
      <c r="G1829" s="916">
        <f>VLOOKUP($A1829,'Tech Litons'!$A:$I,8,FALSE)</f>
        <v>8.5199999999999998E-3</v>
      </c>
      <c r="H1829" s="917">
        <f>VLOOKUP($A1829,'Tech Litons'!$A:$I,9,FALSE)</f>
        <v>176</v>
      </c>
      <c r="I1829" s="917" t="str">
        <f>VLOOKUP($A1829,'Tech Litons'!$A:$C,3,0)</f>
        <v>48oz</v>
      </c>
      <c r="J1829" s="918" t="str">
        <f t="shared" si="187"/>
        <v>135248oz</v>
      </c>
      <c r="K1829" s="919">
        <v>1</v>
      </c>
      <c r="L1829" s="920">
        <f t="shared" si="186"/>
        <v>72</v>
      </c>
      <c r="M1829" s="920">
        <f t="shared" si="188"/>
        <v>0.61343999999999999</v>
      </c>
      <c r="N1829" s="920">
        <f t="shared" si="189"/>
        <v>0.40909090909090912</v>
      </c>
      <c r="O1829" s="918" t="str">
        <f t="shared" si="190"/>
        <v>Feb</v>
      </c>
      <c r="P1829" s="921">
        <f t="shared" si="191"/>
        <v>6</v>
      </c>
    </row>
    <row r="1830" spans="1:16" ht="15" hidden="1" customHeight="1">
      <c r="A1830" s="839">
        <v>68881270</v>
      </c>
      <c r="B1830" s="839">
        <v>1352</v>
      </c>
      <c r="C1830" s="906">
        <v>916</v>
      </c>
      <c r="D1830" s="907">
        <v>46057</v>
      </c>
      <c r="E1830" s="839" t="s">
        <v>383</v>
      </c>
      <c r="F1830" s="839" t="s">
        <v>266</v>
      </c>
      <c r="G1830" s="916">
        <f>VLOOKUP($A1830,'Tech Litons'!$A:$I,8,FALSE)</f>
        <v>8.5199999999999998E-3</v>
      </c>
      <c r="H1830" s="917">
        <f>VLOOKUP($A1830,'Tech Litons'!$A:$I,9,FALSE)</f>
        <v>176</v>
      </c>
      <c r="I1830" s="917" t="str">
        <f>VLOOKUP($A1830,'Tech Litons'!$A:$C,3,0)</f>
        <v>48oz</v>
      </c>
      <c r="J1830" s="918" t="str">
        <f t="shared" si="187"/>
        <v>135248oz</v>
      </c>
      <c r="K1830" s="919">
        <v>1</v>
      </c>
      <c r="L1830" s="920">
        <f t="shared" si="186"/>
        <v>916</v>
      </c>
      <c r="M1830" s="920">
        <f t="shared" si="188"/>
        <v>7.8043199999999997</v>
      </c>
      <c r="N1830" s="920">
        <f t="shared" si="189"/>
        <v>5.2045454545454541</v>
      </c>
      <c r="O1830" s="918" t="str">
        <f t="shared" si="190"/>
        <v>Feb</v>
      </c>
      <c r="P1830" s="921">
        <f t="shared" si="191"/>
        <v>6</v>
      </c>
    </row>
    <row r="1831" spans="1:16" ht="15" hidden="1" customHeight="1">
      <c r="A1831" s="839">
        <v>68881270</v>
      </c>
      <c r="B1831" s="839">
        <v>1352</v>
      </c>
      <c r="C1831" s="906">
        <v>8440</v>
      </c>
      <c r="D1831" s="907">
        <v>46058</v>
      </c>
      <c r="E1831" s="839" t="s">
        <v>383</v>
      </c>
      <c r="F1831" s="839" t="s">
        <v>266</v>
      </c>
      <c r="G1831" s="916">
        <f>VLOOKUP($A1831,'Tech Litons'!$A:$I,8,FALSE)</f>
        <v>8.5199999999999998E-3</v>
      </c>
      <c r="H1831" s="917">
        <f>VLOOKUP($A1831,'Tech Litons'!$A:$I,9,FALSE)</f>
        <v>176</v>
      </c>
      <c r="I1831" s="917" t="str">
        <f>VLOOKUP($A1831,'Tech Litons'!$A:$C,3,0)</f>
        <v>48oz</v>
      </c>
      <c r="J1831" s="918" t="str">
        <f t="shared" si="187"/>
        <v>135248oz</v>
      </c>
      <c r="K1831" s="919">
        <v>1</v>
      </c>
      <c r="L1831" s="920">
        <f t="shared" si="186"/>
        <v>8440</v>
      </c>
      <c r="M1831" s="920">
        <f t="shared" si="188"/>
        <v>71.908799999999999</v>
      </c>
      <c r="N1831" s="920">
        <f t="shared" si="189"/>
        <v>47.954545454545453</v>
      </c>
      <c r="O1831" s="918" t="str">
        <f t="shared" si="190"/>
        <v>Feb</v>
      </c>
      <c r="P1831" s="921">
        <f t="shared" si="191"/>
        <v>6</v>
      </c>
    </row>
    <row r="1832" spans="1:16" ht="15" hidden="1" customHeight="1">
      <c r="A1832" s="839">
        <v>68881270</v>
      </c>
      <c r="B1832" s="839">
        <v>1352</v>
      </c>
      <c r="C1832" s="906">
        <v>2288</v>
      </c>
      <c r="D1832" s="907">
        <v>46058</v>
      </c>
      <c r="E1832" s="839" t="s">
        <v>383</v>
      </c>
      <c r="F1832" s="839" t="s">
        <v>266</v>
      </c>
      <c r="G1832" s="916">
        <f>VLOOKUP($A1832,'Tech Litons'!$A:$I,8,FALSE)</f>
        <v>8.5199999999999998E-3</v>
      </c>
      <c r="H1832" s="917">
        <f>VLOOKUP($A1832,'Tech Litons'!$A:$I,9,FALSE)</f>
        <v>176</v>
      </c>
      <c r="I1832" s="917" t="str">
        <f>VLOOKUP($A1832,'Tech Litons'!$A:$C,3,0)</f>
        <v>48oz</v>
      </c>
      <c r="J1832" s="918" t="str">
        <f t="shared" si="187"/>
        <v>135248oz</v>
      </c>
      <c r="K1832" s="919">
        <v>1</v>
      </c>
      <c r="L1832" s="920">
        <f t="shared" si="186"/>
        <v>2288</v>
      </c>
      <c r="M1832" s="920">
        <f t="shared" si="188"/>
        <v>19.493759999999998</v>
      </c>
      <c r="N1832" s="920">
        <f t="shared" si="189"/>
        <v>13</v>
      </c>
      <c r="O1832" s="918" t="str">
        <f t="shared" si="190"/>
        <v>Feb</v>
      </c>
      <c r="P1832" s="921">
        <f t="shared" si="191"/>
        <v>6</v>
      </c>
    </row>
    <row r="1833" spans="1:16" ht="15" hidden="1" customHeight="1">
      <c r="A1833" s="839">
        <v>68881270</v>
      </c>
      <c r="B1833" s="839">
        <v>1352</v>
      </c>
      <c r="C1833" s="906">
        <v>6807</v>
      </c>
      <c r="D1833" s="907">
        <v>46059</v>
      </c>
      <c r="E1833" s="839" t="s">
        <v>383</v>
      </c>
      <c r="F1833" s="839" t="s">
        <v>266</v>
      </c>
      <c r="G1833" s="916">
        <f>VLOOKUP($A1833,'Tech Litons'!$A:$I,8,FALSE)</f>
        <v>8.5199999999999998E-3</v>
      </c>
      <c r="H1833" s="917">
        <f>VLOOKUP($A1833,'Tech Litons'!$A:$I,9,FALSE)</f>
        <v>176</v>
      </c>
      <c r="I1833" s="917" t="str">
        <f>VLOOKUP($A1833,'Tech Litons'!$A:$C,3,0)</f>
        <v>48oz</v>
      </c>
      <c r="J1833" s="918" t="str">
        <f t="shared" si="187"/>
        <v>135248oz</v>
      </c>
      <c r="K1833" s="919">
        <v>1</v>
      </c>
      <c r="L1833" s="920">
        <f t="shared" si="186"/>
        <v>6807</v>
      </c>
      <c r="M1833" s="920">
        <f t="shared" si="188"/>
        <v>57.995640000000002</v>
      </c>
      <c r="N1833" s="920">
        <f t="shared" si="189"/>
        <v>38.676136363636367</v>
      </c>
      <c r="O1833" s="918" t="str">
        <f t="shared" si="190"/>
        <v>Feb</v>
      </c>
      <c r="P1833" s="921">
        <f t="shared" si="191"/>
        <v>6</v>
      </c>
    </row>
    <row r="1834" spans="1:16" ht="15" hidden="1" customHeight="1">
      <c r="A1834" s="839">
        <v>68881270</v>
      </c>
      <c r="B1834" s="839">
        <v>1352</v>
      </c>
      <c r="C1834" s="906">
        <v>176</v>
      </c>
      <c r="D1834" s="907">
        <v>46054</v>
      </c>
      <c r="E1834" s="839" t="s">
        <v>383</v>
      </c>
      <c r="F1834" s="839" t="s">
        <v>266</v>
      </c>
      <c r="G1834" s="916">
        <f>VLOOKUP($A1834,'Tech Litons'!$A:$I,8,FALSE)</f>
        <v>8.5199999999999998E-3</v>
      </c>
      <c r="H1834" s="917">
        <f>VLOOKUP($A1834,'Tech Litons'!$A:$I,9,FALSE)</f>
        <v>176</v>
      </c>
      <c r="I1834" s="917" t="str">
        <f>VLOOKUP($A1834,'Tech Litons'!$A:$C,3,0)</f>
        <v>48oz</v>
      </c>
      <c r="J1834" s="918" t="str">
        <f t="shared" si="187"/>
        <v>135248oz</v>
      </c>
      <c r="K1834" s="919">
        <v>1</v>
      </c>
      <c r="L1834" s="920">
        <f t="shared" si="186"/>
        <v>176</v>
      </c>
      <c r="M1834" s="920">
        <f t="shared" si="188"/>
        <v>1.49952</v>
      </c>
      <c r="N1834" s="920">
        <f t="shared" si="189"/>
        <v>1</v>
      </c>
      <c r="O1834" s="918" t="str">
        <f t="shared" si="190"/>
        <v>Feb</v>
      </c>
      <c r="P1834" s="921">
        <f t="shared" si="191"/>
        <v>6</v>
      </c>
    </row>
    <row r="1835" spans="1:16" ht="15" hidden="1" customHeight="1">
      <c r="A1835" s="839">
        <v>68881270</v>
      </c>
      <c r="B1835" s="839">
        <v>1352</v>
      </c>
      <c r="C1835" s="906">
        <v>7986</v>
      </c>
      <c r="D1835" s="907">
        <v>46055</v>
      </c>
      <c r="E1835" s="839" t="s">
        <v>383</v>
      </c>
      <c r="F1835" s="839" t="s">
        <v>266</v>
      </c>
      <c r="G1835" s="916">
        <f>VLOOKUP($A1835,'Tech Litons'!$A:$I,8,FALSE)</f>
        <v>8.5199999999999998E-3</v>
      </c>
      <c r="H1835" s="917">
        <f>VLOOKUP($A1835,'Tech Litons'!$A:$I,9,FALSE)</f>
        <v>176</v>
      </c>
      <c r="I1835" s="917" t="str">
        <f>VLOOKUP($A1835,'Tech Litons'!$A:$C,3,0)</f>
        <v>48oz</v>
      </c>
      <c r="J1835" s="918" t="str">
        <f t="shared" si="187"/>
        <v>135248oz</v>
      </c>
      <c r="K1835" s="919">
        <v>1</v>
      </c>
      <c r="L1835" s="920">
        <f t="shared" si="186"/>
        <v>7986</v>
      </c>
      <c r="M1835" s="920">
        <f t="shared" si="188"/>
        <v>68.040719999999993</v>
      </c>
      <c r="N1835" s="920">
        <f t="shared" si="189"/>
        <v>45.375</v>
      </c>
      <c r="O1835" s="918" t="str">
        <f t="shared" si="190"/>
        <v>Feb</v>
      </c>
      <c r="P1835" s="921">
        <f t="shared" si="191"/>
        <v>6</v>
      </c>
    </row>
    <row r="1836" spans="1:16" ht="15" hidden="1" customHeight="1">
      <c r="A1836" s="839">
        <v>68899825</v>
      </c>
      <c r="B1836" s="839">
        <v>1352</v>
      </c>
      <c r="C1836" s="906">
        <v>4356</v>
      </c>
      <c r="D1836" s="907">
        <v>46051</v>
      </c>
      <c r="E1836" s="839" t="s">
        <v>382</v>
      </c>
      <c r="F1836" s="839" t="s">
        <v>266</v>
      </c>
      <c r="G1836" s="916">
        <f>VLOOKUP($A1836,'Tech Litons'!$A:$I,8,FALSE)</f>
        <v>8.513999999999999E-3</v>
      </c>
      <c r="H1836" s="917">
        <f>VLOOKUP($A1836,'Tech Litons'!$A:$I,9,FALSE)</f>
        <v>176</v>
      </c>
      <c r="I1836" s="917" t="str">
        <f>VLOOKUP($A1836,'Tech Litons'!$A:$C,3,0)</f>
        <v>48oz</v>
      </c>
      <c r="J1836" s="918" t="str">
        <f t="shared" si="187"/>
        <v>135248oz</v>
      </c>
      <c r="K1836" s="919">
        <v>1</v>
      </c>
      <c r="L1836" s="920">
        <f t="shared" si="186"/>
        <v>4356</v>
      </c>
      <c r="M1836" s="920">
        <f t="shared" si="188"/>
        <v>37.086983999999994</v>
      </c>
      <c r="N1836" s="920">
        <f t="shared" si="189"/>
        <v>24.75</v>
      </c>
      <c r="O1836" s="918" t="str">
        <f t="shared" si="190"/>
        <v>Jan</v>
      </c>
      <c r="P1836" s="921">
        <f t="shared" si="191"/>
        <v>5</v>
      </c>
    </row>
    <row r="1837" spans="1:16" ht="15" hidden="1" customHeight="1">
      <c r="A1837" s="839">
        <v>68899825</v>
      </c>
      <c r="B1837" s="839">
        <v>1352</v>
      </c>
      <c r="C1837" s="906">
        <v>7646</v>
      </c>
      <c r="D1837" s="907">
        <v>46052</v>
      </c>
      <c r="E1837" s="839" t="s">
        <v>382</v>
      </c>
      <c r="F1837" s="839" t="s">
        <v>266</v>
      </c>
      <c r="G1837" s="916">
        <f>VLOOKUP($A1837,'Tech Litons'!$A:$I,8,FALSE)</f>
        <v>8.513999999999999E-3</v>
      </c>
      <c r="H1837" s="917">
        <f>VLOOKUP($A1837,'Tech Litons'!$A:$I,9,FALSE)</f>
        <v>176</v>
      </c>
      <c r="I1837" s="917" t="str">
        <f>VLOOKUP($A1837,'Tech Litons'!$A:$C,3,0)</f>
        <v>48oz</v>
      </c>
      <c r="J1837" s="918" t="str">
        <f t="shared" si="187"/>
        <v>135248oz</v>
      </c>
      <c r="K1837" s="919">
        <v>1</v>
      </c>
      <c r="L1837" s="920">
        <f t="shared" si="186"/>
        <v>7646</v>
      </c>
      <c r="M1837" s="920">
        <f t="shared" si="188"/>
        <v>65.098043999999987</v>
      </c>
      <c r="N1837" s="920">
        <f t="shared" si="189"/>
        <v>43.44318181818182</v>
      </c>
      <c r="O1837" s="918" t="str">
        <f t="shared" si="190"/>
        <v>Jan</v>
      </c>
      <c r="P1837" s="921">
        <f t="shared" si="191"/>
        <v>5</v>
      </c>
    </row>
    <row r="1838" spans="1:16" ht="15" hidden="1" customHeight="1">
      <c r="A1838" s="839">
        <v>68899825</v>
      </c>
      <c r="B1838" s="839">
        <v>1352</v>
      </c>
      <c r="C1838" s="906">
        <v>3571</v>
      </c>
      <c r="D1838" s="907">
        <v>46052</v>
      </c>
      <c r="E1838" s="839" t="s">
        <v>382</v>
      </c>
      <c r="F1838" s="839" t="s">
        <v>266</v>
      </c>
      <c r="G1838" s="916">
        <f>VLOOKUP($A1838,'Tech Litons'!$A:$I,8,FALSE)</f>
        <v>8.513999999999999E-3</v>
      </c>
      <c r="H1838" s="917">
        <f>VLOOKUP($A1838,'Tech Litons'!$A:$I,9,FALSE)</f>
        <v>176</v>
      </c>
      <c r="I1838" s="917" t="str">
        <f>VLOOKUP($A1838,'Tech Litons'!$A:$C,3,0)</f>
        <v>48oz</v>
      </c>
      <c r="J1838" s="918" t="str">
        <f t="shared" si="187"/>
        <v>135248oz</v>
      </c>
      <c r="K1838" s="919">
        <v>1</v>
      </c>
      <c r="L1838" s="920">
        <f t="shared" si="186"/>
        <v>3571</v>
      </c>
      <c r="M1838" s="920">
        <f t="shared" si="188"/>
        <v>30.403493999999995</v>
      </c>
      <c r="N1838" s="920">
        <f t="shared" si="189"/>
        <v>20.289772727272727</v>
      </c>
      <c r="O1838" s="918" t="str">
        <f t="shared" si="190"/>
        <v>Jan</v>
      </c>
      <c r="P1838" s="921">
        <f t="shared" si="191"/>
        <v>5</v>
      </c>
    </row>
    <row r="1839" spans="1:16" ht="15" hidden="1" customHeight="1">
      <c r="A1839" s="839">
        <v>68899825</v>
      </c>
      <c r="B1839" s="839">
        <v>1352</v>
      </c>
      <c r="C1839" s="906">
        <v>8389</v>
      </c>
      <c r="D1839" s="907">
        <v>46053</v>
      </c>
      <c r="E1839" s="839" t="s">
        <v>382</v>
      </c>
      <c r="F1839" s="839" t="s">
        <v>266</v>
      </c>
      <c r="G1839" s="916">
        <f>VLOOKUP($A1839,'Tech Litons'!$A:$I,8,FALSE)</f>
        <v>8.513999999999999E-3</v>
      </c>
      <c r="H1839" s="917">
        <f>VLOOKUP($A1839,'Tech Litons'!$A:$I,9,FALSE)</f>
        <v>176</v>
      </c>
      <c r="I1839" s="917" t="str">
        <f>VLOOKUP($A1839,'Tech Litons'!$A:$C,3,0)</f>
        <v>48oz</v>
      </c>
      <c r="J1839" s="918" t="str">
        <f t="shared" si="187"/>
        <v>135248oz</v>
      </c>
      <c r="K1839" s="919">
        <v>1</v>
      </c>
      <c r="L1839" s="920">
        <f t="shared" si="186"/>
        <v>8389</v>
      </c>
      <c r="M1839" s="920">
        <f t="shared" si="188"/>
        <v>71.423945999999987</v>
      </c>
      <c r="N1839" s="920">
        <f t="shared" si="189"/>
        <v>47.664772727272727</v>
      </c>
      <c r="O1839" s="918" t="str">
        <f t="shared" si="190"/>
        <v>Jan</v>
      </c>
      <c r="P1839" s="921">
        <f t="shared" si="191"/>
        <v>5</v>
      </c>
    </row>
    <row r="1840" spans="1:16" ht="15" hidden="1" customHeight="1">
      <c r="A1840" s="839">
        <v>68899825</v>
      </c>
      <c r="B1840" s="839">
        <v>1352</v>
      </c>
      <c r="C1840" s="906">
        <v>6292</v>
      </c>
      <c r="D1840" s="907">
        <v>46053</v>
      </c>
      <c r="E1840" s="839" t="s">
        <v>382</v>
      </c>
      <c r="F1840" s="839" t="s">
        <v>266</v>
      </c>
      <c r="G1840" s="916">
        <f>VLOOKUP($A1840,'Tech Litons'!$A:$I,8,FALSE)</f>
        <v>8.513999999999999E-3</v>
      </c>
      <c r="H1840" s="917">
        <f>VLOOKUP($A1840,'Tech Litons'!$A:$I,9,FALSE)</f>
        <v>176</v>
      </c>
      <c r="I1840" s="917" t="str">
        <f>VLOOKUP($A1840,'Tech Litons'!$A:$C,3,0)</f>
        <v>48oz</v>
      </c>
      <c r="J1840" s="918" t="str">
        <f t="shared" si="187"/>
        <v>135248oz</v>
      </c>
      <c r="K1840" s="919">
        <v>1</v>
      </c>
      <c r="L1840" s="920">
        <f t="shared" si="186"/>
        <v>6292</v>
      </c>
      <c r="M1840" s="920">
        <f t="shared" si="188"/>
        <v>53.570087999999991</v>
      </c>
      <c r="N1840" s="920">
        <f t="shared" si="189"/>
        <v>35.75</v>
      </c>
      <c r="O1840" s="918" t="str">
        <f t="shared" si="190"/>
        <v>Jan</v>
      </c>
      <c r="P1840" s="921">
        <f t="shared" si="191"/>
        <v>5</v>
      </c>
    </row>
    <row r="1841" spans="1:16" ht="15" hidden="1" customHeight="1">
      <c r="A1841" s="839">
        <v>68899825</v>
      </c>
      <c r="B1841" s="839">
        <v>1352</v>
      </c>
      <c r="C1841" s="906">
        <v>6591</v>
      </c>
      <c r="D1841" s="907">
        <v>46054</v>
      </c>
      <c r="E1841" s="839" t="s">
        <v>382</v>
      </c>
      <c r="F1841" s="839" t="s">
        <v>266</v>
      </c>
      <c r="G1841" s="916">
        <f>VLOOKUP($A1841,'Tech Litons'!$A:$I,8,FALSE)</f>
        <v>8.513999999999999E-3</v>
      </c>
      <c r="H1841" s="917">
        <f>VLOOKUP($A1841,'Tech Litons'!$A:$I,9,FALSE)</f>
        <v>176</v>
      </c>
      <c r="I1841" s="917" t="str">
        <f>VLOOKUP($A1841,'Tech Litons'!$A:$C,3,0)</f>
        <v>48oz</v>
      </c>
      <c r="J1841" s="918" t="str">
        <f t="shared" si="187"/>
        <v>135248oz</v>
      </c>
      <c r="K1841" s="919">
        <v>1</v>
      </c>
      <c r="L1841" s="920">
        <f t="shared" si="186"/>
        <v>6591</v>
      </c>
      <c r="M1841" s="920">
        <f t="shared" si="188"/>
        <v>56.115773999999995</v>
      </c>
      <c r="N1841" s="920">
        <f t="shared" si="189"/>
        <v>37.448863636363633</v>
      </c>
      <c r="O1841" s="918" t="str">
        <f t="shared" si="190"/>
        <v>Feb</v>
      </c>
      <c r="P1841" s="921">
        <f t="shared" si="191"/>
        <v>6</v>
      </c>
    </row>
    <row r="1842" spans="1:16" ht="15" hidden="1" customHeight="1">
      <c r="A1842" s="839">
        <v>68899825</v>
      </c>
      <c r="B1842" s="839">
        <v>1352</v>
      </c>
      <c r="C1842" s="906">
        <v>2124</v>
      </c>
      <c r="D1842" s="907">
        <v>46054</v>
      </c>
      <c r="E1842" s="839" t="s">
        <v>382</v>
      </c>
      <c r="F1842" s="839" t="s">
        <v>266</v>
      </c>
      <c r="G1842" s="916">
        <f>VLOOKUP($A1842,'Tech Litons'!$A:$I,8,FALSE)</f>
        <v>8.513999999999999E-3</v>
      </c>
      <c r="H1842" s="917">
        <f>VLOOKUP($A1842,'Tech Litons'!$A:$I,9,FALSE)</f>
        <v>176</v>
      </c>
      <c r="I1842" s="917" t="str">
        <f>VLOOKUP($A1842,'Tech Litons'!$A:$C,3,0)</f>
        <v>48oz</v>
      </c>
      <c r="J1842" s="918" t="str">
        <f t="shared" si="187"/>
        <v>135248oz</v>
      </c>
      <c r="K1842" s="919">
        <v>1</v>
      </c>
      <c r="L1842" s="920">
        <f t="shared" si="186"/>
        <v>2124</v>
      </c>
      <c r="M1842" s="920">
        <f t="shared" si="188"/>
        <v>18.083735999999998</v>
      </c>
      <c r="N1842" s="920">
        <f t="shared" si="189"/>
        <v>12.068181818181818</v>
      </c>
      <c r="O1842" s="918" t="str">
        <f t="shared" si="190"/>
        <v>Feb</v>
      </c>
      <c r="P1842" s="921">
        <f t="shared" si="191"/>
        <v>6</v>
      </c>
    </row>
    <row r="1843" spans="1:16" ht="15" hidden="1" customHeight="1">
      <c r="A1843" s="839">
        <v>68921994</v>
      </c>
      <c r="B1843" s="839">
        <v>1352</v>
      </c>
      <c r="C1843" s="906">
        <v>1848</v>
      </c>
      <c r="D1843" s="907">
        <v>46062</v>
      </c>
      <c r="E1843" s="839" t="s">
        <v>267</v>
      </c>
      <c r="F1843" s="839" t="s">
        <v>241</v>
      </c>
      <c r="G1843" s="916">
        <f>VLOOKUP($A1843,'Tech Litons'!$A:$I,8,FALSE)</f>
        <v>9.5760000000000012E-3</v>
      </c>
      <c r="H1843" s="917">
        <f>VLOOKUP($A1843,'Tech Litons'!$A:$I,9,FALSE)</f>
        <v>132</v>
      </c>
      <c r="I1843" s="917" t="str">
        <f>VLOOKUP($A1843,'Tech Litons'!$A:$C,3,0)</f>
        <v>EDF</v>
      </c>
      <c r="J1843" s="918" t="str">
        <f t="shared" si="187"/>
        <v>1352EDF</v>
      </c>
      <c r="K1843" s="919">
        <v>1</v>
      </c>
      <c r="L1843" s="920">
        <f t="shared" si="186"/>
        <v>1848</v>
      </c>
      <c r="M1843" s="920">
        <f t="shared" si="188"/>
        <v>17.696448000000004</v>
      </c>
      <c r="N1843" s="920">
        <f t="shared" si="189"/>
        <v>14</v>
      </c>
      <c r="O1843" s="918" t="str">
        <f t="shared" si="190"/>
        <v>Feb</v>
      </c>
      <c r="P1843" s="921">
        <f t="shared" si="191"/>
        <v>7</v>
      </c>
    </row>
    <row r="1844" spans="1:16" ht="15" hidden="1" customHeight="1">
      <c r="A1844" s="839">
        <v>68921994</v>
      </c>
      <c r="B1844" s="839">
        <v>1352</v>
      </c>
      <c r="C1844" s="906">
        <v>4117</v>
      </c>
      <c r="D1844" s="907">
        <v>46063</v>
      </c>
      <c r="E1844" s="839" t="s">
        <v>267</v>
      </c>
      <c r="F1844" s="839" t="s">
        <v>241</v>
      </c>
      <c r="G1844" s="916">
        <f>VLOOKUP($A1844,'Tech Litons'!$A:$I,8,FALSE)</f>
        <v>9.5760000000000012E-3</v>
      </c>
      <c r="H1844" s="917">
        <f>VLOOKUP($A1844,'Tech Litons'!$A:$I,9,FALSE)</f>
        <v>132</v>
      </c>
      <c r="I1844" s="917" t="str">
        <f>VLOOKUP($A1844,'Tech Litons'!$A:$C,3,0)</f>
        <v>EDF</v>
      </c>
      <c r="J1844" s="918" t="str">
        <f t="shared" si="187"/>
        <v>1352EDF</v>
      </c>
      <c r="K1844" s="919">
        <v>1</v>
      </c>
      <c r="L1844" s="920">
        <f t="shared" si="186"/>
        <v>4117</v>
      </c>
      <c r="M1844" s="920">
        <f t="shared" si="188"/>
        <v>39.424392000000005</v>
      </c>
      <c r="N1844" s="920">
        <f t="shared" si="189"/>
        <v>31.189393939393938</v>
      </c>
      <c r="O1844" s="918" t="str">
        <f t="shared" si="190"/>
        <v>Feb</v>
      </c>
      <c r="P1844" s="921">
        <f t="shared" si="191"/>
        <v>7</v>
      </c>
    </row>
    <row r="1845" spans="1:16" ht="15" hidden="1" customHeight="1">
      <c r="A1845" s="839">
        <v>68921994</v>
      </c>
      <c r="B1845" s="839">
        <v>1352</v>
      </c>
      <c r="C1845" s="906">
        <v>636</v>
      </c>
      <c r="D1845" s="907">
        <v>46063</v>
      </c>
      <c r="E1845" s="839" t="s">
        <v>267</v>
      </c>
      <c r="F1845" s="839" t="s">
        <v>241</v>
      </c>
      <c r="G1845" s="916">
        <f>VLOOKUP($A1845,'Tech Litons'!$A:$I,8,FALSE)</f>
        <v>9.5760000000000012E-3</v>
      </c>
      <c r="H1845" s="917">
        <f>VLOOKUP($A1845,'Tech Litons'!$A:$I,9,FALSE)</f>
        <v>132</v>
      </c>
      <c r="I1845" s="917" t="str">
        <f>VLOOKUP($A1845,'Tech Litons'!$A:$C,3,0)</f>
        <v>EDF</v>
      </c>
      <c r="J1845" s="918" t="str">
        <f t="shared" si="187"/>
        <v>1352EDF</v>
      </c>
      <c r="K1845" s="919">
        <v>1</v>
      </c>
      <c r="L1845" s="920">
        <f t="shared" si="186"/>
        <v>636</v>
      </c>
      <c r="M1845" s="920">
        <f t="shared" si="188"/>
        <v>6.0903360000000006</v>
      </c>
      <c r="N1845" s="920">
        <f t="shared" si="189"/>
        <v>4.8181818181818183</v>
      </c>
      <c r="O1845" s="918" t="str">
        <f t="shared" si="190"/>
        <v>Feb</v>
      </c>
      <c r="P1845" s="921">
        <f t="shared" si="191"/>
        <v>7</v>
      </c>
    </row>
    <row r="1846" spans="1:16" ht="15" hidden="1" customHeight="1">
      <c r="A1846" s="839">
        <v>68921994</v>
      </c>
      <c r="B1846" s="839">
        <v>1352</v>
      </c>
      <c r="C1846" s="906">
        <v>2696</v>
      </c>
      <c r="D1846" s="907">
        <v>46064</v>
      </c>
      <c r="E1846" s="839" t="s">
        <v>267</v>
      </c>
      <c r="F1846" s="839" t="s">
        <v>241</v>
      </c>
      <c r="G1846" s="916">
        <f>VLOOKUP($A1846,'Tech Litons'!$A:$I,8,FALSE)</f>
        <v>9.5760000000000012E-3</v>
      </c>
      <c r="H1846" s="917">
        <f>VLOOKUP($A1846,'Tech Litons'!$A:$I,9,FALSE)</f>
        <v>132</v>
      </c>
      <c r="I1846" s="917" t="str">
        <f>VLOOKUP($A1846,'Tech Litons'!$A:$C,3,0)</f>
        <v>EDF</v>
      </c>
      <c r="J1846" s="918" t="str">
        <f t="shared" si="187"/>
        <v>1352EDF</v>
      </c>
      <c r="K1846" s="919">
        <v>1</v>
      </c>
      <c r="L1846" s="920">
        <f t="shared" si="186"/>
        <v>2696</v>
      </c>
      <c r="M1846" s="920">
        <f t="shared" si="188"/>
        <v>25.816896000000003</v>
      </c>
      <c r="N1846" s="920">
        <f t="shared" si="189"/>
        <v>20.424242424242426</v>
      </c>
      <c r="O1846" s="918" t="str">
        <f t="shared" si="190"/>
        <v>Feb</v>
      </c>
      <c r="P1846" s="921">
        <f t="shared" si="191"/>
        <v>7</v>
      </c>
    </row>
    <row r="1847" spans="1:16" ht="15" hidden="1" customHeight="1">
      <c r="A1847" s="839">
        <v>68921994</v>
      </c>
      <c r="B1847" s="839">
        <v>1352</v>
      </c>
      <c r="C1847" s="906">
        <v>1980</v>
      </c>
      <c r="D1847" s="907">
        <v>46064</v>
      </c>
      <c r="E1847" s="839" t="s">
        <v>267</v>
      </c>
      <c r="F1847" s="839" t="s">
        <v>241</v>
      </c>
      <c r="G1847" s="916">
        <f>VLOOKUP($A1847,'Tech Litons'!$A:$I,8,FALSE)</f>
        <v>9.5760000000000012E-3</v>
      </c>
      <c r="H1847" s="917">
        <f>VLOOKUP($A1847,'Tech Litons'!$A:$I,9,FALSE)</f>
        <v>132</v>
      </c>
      <c r="I1847" s="917" t="str">
        <f>VLOOKUP($A1847,'Tech Litons'!$A:$C,3,0)</f>
        <v>EDF</v>
      </c>
      <c r="J1847" s="918" t="str">
        <f t="shared" si="187"/>
        <v>1352EDF</v>
      </c>
      <c r="K1847" s="919">
        <v>1</v>
      </c>
      <c r="L1847" s="920">
        <f t="shared" si="186"/>
        <v>1980</v>
      </c>
      <c r="M1847" s="920">
        <f t="shared" si="188"/>
        <v>18.960480000000004</v>
      </c>
      <c r="N1847" s="920">
        <f t="shared" si="189"/>
        <v>15</v>
      </c>
      <c r="O1847" s="918" t="str">
        <f t="shared" si="190"/>
        <v>Feb</v>
      </c>
      <c r="P1847" s="921">
        <f t="shared" si="191"/>
        <v>7</v>
      </c>
    </row>
    <row r="1848" spans="1:16" ht="15" hidden="1" customHeight="1">
      <c r="A1848" s="839">
        <v>68921994</v>
      </c>
      <c r="B1848" s="839">
        <v>1352</v>
      </c>
      <c r="C1848" s="906">
        <v>3914</v>
      </c>
      <c r="D1848" s="907">
        <v>46065</v>
      </c>
      <c r="E1848" s="839" t="s">
        <v>267</v>
      </c>
      <c r="F1848" s="839" t="s">
        <v>241</v>
      </c>
      <c r="G1848" s="916">
        <f>VLOOKUP($A1848,'Tech Litons'!$A:$I,8,FALSE)</f>
        <v>9.5760000000000012E-3</v>
      </c>
      <c r="H1848" s="917">
        <f>VLOOKUP($A1848,'Tech Litons'!$A:$I,9,FALSE)</f>
        <v>132</v>
      </c>
      <c r="I1848" s="917" t="str">
        <f>VLOOKUP($A1848,'Tech Litons'!$A:$C,3,0)</f>
        <v>EDF</v>
      </c>
      <c r="J1848" s="918" t="str">
        <f t="shared" si="187"/>
        <v>1352EDF</v>
      </c>
      <c r="K1848" s="919">
        <v>1</v>
      </c>
      <c r="L1848" s="920">
        <f t="shared" si="186"/>
        <v>3914</v>
      </c>
      <c r="M1848" s="920">
        <f t="shared" si="188"/>
        <v>37.480464000000005</v>
      </c>
      <c r="N1848" s="920">
        <f t="shared" si="189"/>
        <v>29.651515151515152</v>
      </c>
      <c r="O1848" s="918" t="str">
        <f t="shared" si="190"/>
        <v>Feb</v>
      </c>
      <c r="P1848" s="921">
        <f t="shared" si="191"/>
        <v>7</v>
      </c>
    </row>
    <row r="1849" spans="1:16" ht="15" hidden="1" customHeight="1">
      <c r="A1849" s="839">
        <v>68921994</v>
      </c>
      <c r="B1849" s="839">
        <v>1352</v>
      </c>
      <c r="C1849" s="906">
        <v>2376</v>
      </c>
      <c r="D1849" s="907">
        <v>46065</v>
      </c>
      <c r="E1849" s="839" t="s">
        <v>267</v>
      </c>
      <c r="F1849" s="839" t="s">
        <v>241</v>
      </c>
      <c r="G1849" s="916">
        <f>VLOOKUP($A1849,'Tech Litons'!$A:$I,8,FALSE)</f>
        <v>9.5760000000000012E-3</v>
      </c>
      <c r="H1849" s="917">
        <f>VLOOKUP($A1849,'Tech Litons'!$A:$I,9,FALSE)</f>
        <v>132</v>
      </c>
      <c r="I1849" s="917" t="str">
        <f>VLOOKUP($A1849,'Tech Litons'!$A:$C,3,0)</f>
        <v>EDF</v>
      </c>
      <c r="J1849" s="918" t="str">
        <f t="shared" si="187"/>
        <v>1352EDF</v>
      </c>
      <c r="K1849" s="919">
        <v>1</v>
      </c>
      <c r="L1849" s="920">
        <f t="shared" si="186"/>
        <v>2376</v>
      </c>
      <c r="M1849" s="920">
        <f t="shared" si="188"/>
        <v>22.752576000000001</v>
      </c>
      <c r="N1849" s="920">
        <f t="shared" si="189"/>
        <v>18</v>
      </c>
      <c r="O1849" s="918" t="str">
        <f t="shared" si="190"/>
        <v>Feb</v>
      </c>
      <c r="P1849" s="921">
        <f t="shared" si="191"/>
        <v>7</v>
      </c>
    </row>
    <row r="1850" spans="1:16" ht="15" hidden="1" customHeight="1">
      <c r="A1850" s="839">
        <v>68921994</v>
      </c>
      <c r="B1850" s="839">
        <v>1352</v>
      </c>
      <c r="C1850" s="906">
        <v>3099</v>
      </c>
      <c r="D1850" s="907">
        <v>46066</v>
      </c>
      <c r="E1850" s="839" t="s">
        <v>267</v>
      </c>
      <c r="F1850" s="839" t="s">
        <v>241</v>
      </c>
      <c r="G1850" s="916">
        <f>VLOOKUP($A1850,'Tech Litons'!$A:$I,8,FALSE)</f>
        <v>9.5760000000000012E-3</v>
      </c>
      <c r="H1850" s="917">
        <f>VLOOKUP($A1850,'Tech Litons'!$A:$I,9,FALSE)</f>
        <v>132</v>
      </c>
      <c r="I1850" s="917" t="str">
        <f>VLOOKUP($A1850,'Tech Litons'!$A:$C,3,0)</f>
        <v>EDF</v>
      </c>
      <c r="J1850" s="918" t="str">
        <f t="shared" si="187"/>
        <v>1352EDF</v>
      </c>
      <c r="K1850" s="919">
        <v>1</v>
      </c>
      <c r="L1850" s="920">
        <f t="shared" si="186"/>
        <v>3099</v>
      </c>
      <c r="M1850" s="920">
        <f t="shared" si="188"/>
        <v>29.676024000000005</v>
      </c>
      <c r="N1850" s="920">
        <f t="shared" si="189"/>
        <v>23.477272727272727</v>
      </c>
      <c r="O1850" s="918" t="str">
        <f t="shared" si="190"/>
        <v>Feb</v>
      </c>
      <c r="P1850" s="921">
        <f t="shared" si="191"/>
        <v>7</v>
      </c>
    </row>
    <row r="1851" spans="1:16" ht="15" hidden="1" customHeight="1">
      <c r="A1851" s="839">
        <v>68921994</v>
      </c>
      <c r="B1851" s="839">
        <v>1352</v>
      </c>
      <c r="C1851" s="906">
        <v>1848</v>
      </c>
      <c r="D1851" s="907">
        <v>46066</v>
      </c>
      <c r="E1851" s="839" t="s">
        <v>267</v>
      </c>
      <c r="F1851" s="839" t="s">
        <v>241</v>
      </c>
      <c r="G1851" s="916">
        <f>VLOOKUP($A1851,'Tech Litons'!$A:$I,8,FALSE)</f>
        <v>9.5760000000000012E-3</v>
      </c>
      <c r="H1851" s="917">
        <f>VLOOKUP($A1851,'Tech Litons'!$A:$I,9,FALSE)</f>
        <v>132</v>
      </c>
      <c r="I1851" s="917" t="str">
        <f>VLOOKUP($A1851,'Tech Litons'!$A:$C,3,0)</f>
        <v>EDF</v>
      </c>
      <c r="J1851" s="918" t="str">
        <f t="shared" si="187"/>
        <v>1352EDF</v>
      </c>
      <c r="K1851" s="919">
        <v>1</v>
      </c>
      <c r="L1851" s="920">
        <f t="shared" si="186"/>
        <v>1848</v>
      </c>
      <c r="M1851" s="920">
        <f t="shared" si="188"/>
        <v>17.696448000000004</v>
      </c>
      <c r="N1851" s="920">
        <f t="shared" si="189"/>
        <v>14</v>
      </c>
      <c r="O1851" s="918" t="str">
        <f t="shared" si="190"/>
        <v>Feb</v>
      </c>
      <c r="P1851" s="921">
        <f t="shared" si="191"/>
        <v>7</v>
      </c>
    </row>
    <row r="1852" spans="1:16" ht="15" hidden="1" customHeight="1">
      <c r="A1852" s="839">
        <v>68921994</v>
      </c>
      <c r="B1852" s="839">
        <v>1352</v>
      </c>
      <c r="C1852" s="906">
        <v>4086</v>
      </c>
      <c r="D1852" s="907">
        <v>46067</v>
      </c>
      <c r="E1852" s="839" t="s">
        <v>267</v>
      </c>
      <c r="F1852" s="839" t="s">
        <v>241</v>
      </c>
      <c r="G1852" s="916">
        <f>VLOOKUP($A1852,'Tech Litons'!$A:$I,8,FALSE)</f>
        <v>9.5760000000000012E-3</v>
      </c>
      <c r="H1852" s="917">
        <f>VLOOKUP($A1852,'Tech Litons'!$A:$I,9,FALSE)</f>
        <v>132</v>
      </c>
      <c r="I1852" s="917" t="str">
        <f>VLOOKUP($A1852,'Tech Litons'!$A:$C,3,0)</f>
        <v>EDF</v>
      </c>
      <c r="J1852" s="918" t="str">
        <f t="shared" si="187"/>
        <v>1352EDF</v>
      </c>
      <c r="K1852" s="919">
        <v>1</v>
      </c>
      <c r="L1852" s="920">
        <f t="shared" si="186"/>
        <v>4086</v>
      </c>
      <c r="M1852" s="920">
        <f t="shared" si="188"/>
        <v>39.127536000000006</v>
      </c>
      <c r="N1852" s="920">
        <f t="shared" si="189"/>
        <v>30.954545454545453</v>
      </c>
      <c r="O1852" s="918" t="str">
        <f t="shared" si="190"/>
        <v>Feb</v>
      </c>
      <c r="P1852" s="921">
        <f t="shared" si="191"/>
        <v>7</v>
      </c>
    </row>
    <row r="1853" spans="1:16" ht="15" hidden="1" customHeight="1">
      <c r="A1853" s="839">
        <v>68921994</v>
      </c>
      <c r="B1853" s="839">
        <v>1352</v>
      </c>
      <c r="C1853" s="906">
        <v>1937</v>
      </c>
      <c r="D1853" s="907">
        <v>46067</v>
      </c>
      <c r="E1853" s="839" t="s">
        <v>267</v>
      </c>
      <c r="F1853" s="839" t="s">
        <v>241</v>
      </c>
      <c r="G1853" s="916">
        <f>VLOOKUP($A1853,'Tech Litons'!$A:$I,8,FALSE)</f>
        <v>9.5760000000000012E-3</v>
      </c>
      <c r="H1853" s="917">
        <f>VLOOKUP($A1853,'Tech Litons'!$A:$I,9,FALSE)</f>
        <v>132</v>
      </c>
      <c r="I1853" s="917" t="str">
        <f>VLOOKUP($A1853,'Tech Litons'!$A:$C,3,0)</f>
        <v>EDF</v>
      </c>
      <c r="J1853" s="918" t="str">
        <f t="shared" si="187"/>
        <v>1352EDF</v>
      </c>
      <c r="K1853" s="919">
        <v>1</v>
      </c>
      <c r="L1853" s="920">
        <f t="shared" si="186"/>
        <v>1937</v>
      </c>
      <c r="M1853" s="920">
        <f t="shared" si="188"/>
        <v>18.548712000000002</v>
      </c>
      <c r="N1853" s="920">
        <f t="shared" si="189"/>
        <v>14.674242424242424</v>
      </c>
      <c r="O1853" s="918" t="str">
        <f t="shared" si="190"/>
        <v>Feb</v>
      </c>
      <c r="P1853" s="921">
        <f t="shared" si="191"/>
        <v>7</v>
      </c>
    </row>
    <row r="1854" spans="1:16" ht="15" hidden="1" customHeight="1">
      <c r="A1854" s="839">
        <v>68921994</v>
      </c>
      <c r="B1854" s="839">
        <v>1352</v>
      </c>
      <c r="C1854" s="906">
        <v>35</v>
      </c>
      <c r="D1854" s="907">
        <v>46070</v>
      </c>
      <c r="E1854" s="839" t="s">
        <v>267</v>
      </c>
      <c r="F1854" s="839" t="s">
        <v>241</v>
      </c>
      <c r="G1854" s="916">
        <f>VLOOKUP($A1854,'Tech Litons'!$A:$I,8,FALSE)</f>
        <v>9.5760000000000012E-3</v>
      </c>
      <c r="H1854" s="917">
        <f>VLOOKUP($A1854,'Tech Litons'!$A:$I,9,FALSE)</f>
        <v>132</v>
      </c>
      <c r="I1854" s="917" t="str">
        <f>VLOOKUP($A1854,'Tech Litons'!$A:$C,3,0)</f>
        <v>EDF</v>
      </c>
      <c r="J1854" s="918" t="str">
        <f t="shared" si="187"/>
        <v>1352EDF</v>
      </c>
      <c r="K1854" s="919">
        <v>1</v>
      </c>
      <c r="L1854" s="920">
        <f t="shared" si="186"/>
        <v>35</v>
      </c>
      <c r="M1854" s="920">
        <f t="shared" si="188"/>
        <v>0.33516000000000001</v>
      </c>
      <c r="N1854" s="920">
        <f t="shared" si="189"/>
        <v>0.26515151515151514</v>
      </c>
      <c r="O1854" s="918" t="str">
        <f t="shared" si="190"/>
        <v>Feb</v>
      </c>
      <c r="P1854" s="921">
        <f t="shared" si="191"/>
        <v>8</v>
      </c>
    </row>
    <row r="1855" spans="1:16" ht="15" hidden="1" customHeight="1">
      <c r="A1855" s="839">
        <v>68921994</v>
      </c>
      <c r="B1855" s="839">
        <v>1352</v>
      </c>
      <c r="C1855" s="906">
        <v>1930</v>
      </c>
      <c r="D1855" s="907">
        <v>46068</v>
      </c>
      <c r="E1855" s="839" t="s">
        <v>267</v>
      </c>
      <c r="F1855" s="839" t="s">
        <v>241</v>
      </c>
      <c r="G1855" s="916">
        <f>VLOOKUP($A1855,'Tech Litons'!$A:$I,8,FALSE)</f>
        <v>9.5760000000000012E-3</v>
      </c>
      <c r="H1855" s="917">
        <f>VLOOKUP($A1855,'Tech Litons'!$A:$I,9,FALSE)</f>
        <v>132</v>
      </c>
      <c r="I1855" s="917" t="str">
        <f>VLOOKUP($A1855,'Tech Litons'!$A:$C,3,0)</f>
        <v>EDF</v>
      </c>
      <c r="J1855" s="918" t="str">
        <f t="shared" si="187"/>
        <v>1352EDF</v>
      </c>
      <c r="K1855" s="919">
        <v>1</v>
      </c>
      <c r="L1855" s="920">
        <f t="shared" si="186"/>
        <v>1930</v>
      </c>
      <c r="M1855" s="920">
        <f t="shared" si="188"/>
        <v>18.481680000000001</v>
      </c>
      <c r="N1855" s="920">
        <f t="shared" si="189"/>
        <v>14.621212121212121</v>
      </c>
      <c r="O1855" s="918" t="str">
        <f t="shared" si="190"/>
        <v>Feb</v>
      </c>
      <c r="P1855" s="921">
        <f t="shared" si="191"/>
        <v>8</v>
      </c>
    </row>
    <row r="1856" spans="1:16" ht="15" hidden="1" customHeight="1">
      <c r="A1856" s="839">
        <v>68921994</v>
      </c>
      <c r="B1856" s="839">
        <v>1352</v>
      </c>
      <c r="C1856" s="906">
        <v>1437</v>
      </c>
      <c r="D1856" s="907">
        <v>46068</v>
      </c>
      <c r="E1856" s="839" t="s">
        <v>267</v>
      </c>
      <c r="F1856" s="839" t="s">
        <v>241</v>
      </c>
      <c r="G1856" s="916">
        <f>VLOOKUP($A1856,'Tech Litons'!$A:$I,8,FALSE)</f>
        <v>9.5760000000000012E-3</v>
      </c>
      <c r="H1856" s="917">
        <f>VLOOKUP($A1856,'Tech Litons'!$A:$I,9,FALSE)</f>
        <v>132</v>
      </c>
      <c r="I1856" s="917" t="str">
        <f>VLOOKUP($A1856,'Tech Litons'!$A:$C,3,0)</f>
        <v>EDF</v>
      </c>
      <c r="J1856" s="918" t="str">
        <f t="shared" si="187"/>
        <v>1352EDF</v>
      </c>
      <c r="K1856" s="919">
        <v>1</v>
      </c>
      <c r="L1856" s="920">
        <f t="shared" si="186"/>
        <v>1437</v>
      </c>
      <c r="M1856" s="920">
        <f t="shared" si="188"/>
        <v>13.760712000000002</v>
      </c>
      <c r="N1856" s="920">
        <f t="shared" si="189"/>
        <v>10.886363636363637</v>
      </c>
      <c r="O1856" s="918" t="str">
        <f t="shared" si="190"/>
        <v>Feb</v>
      </c>
      <c r="P1856" s="921">
        <f t="shared" si="191"/>
        <v>8</v>
      </c>
    </row>
    <row r="1857" spans="1:16" ht="15" hidden="1" customHeight="1">
      <c r="A1857" s="839">
        <v>69551489</v>
      </c>
      <c r="B1857" s="839">
        <v>1352</v>
      </c>
      <c r="C1857" s="906">
        <v>1078</v>
      </c>
      <c r="D1857" s="907">
        <v>46062</v>
      </c>
      <c r="E1857" s="839" t="s">
        <v>431</v>
      </c>
      <c r="F1857" s="839" t="s">
        <v>289</v>
      </c>
      <c r="G1857" s="916">
        <f>VLOOKUP($A1857,'Tech Litons'!$A:$I,8,FALSE)</f>
        <v>3.8959999999999997E-3</v>
      </c>
      <c r="H1857" s="917">
        <f>VLOOKUP($A1857,'Tech Litons'!$A:$I,9,FALSE)</f>
        <v>154</v>
      </c>
      <c r="I1857" s="917" t="str">
        <f>VLOOKUP($A1857,'Tech Litons'!$A:$C,3,0)</f>
        <v>MBG</v>
      </c>
      <c r="J1857" s="918" t="str">
        <f t="shared" si="187"/>
        <v>1352MBG</v>
      </c>
      <c r="K1857" s="919">
        <v>1</v>
      </c>
      <c r="L1857" s="920">
        <f t="shared" si="186"/>
        <v>1078</v>
      </c>
      <c r="M1857" s="920">
        <f t="shared" si="188"/>
        <v>4.1998879999999996</v>
      </c>
      <c r="N1857" s="920">
        <f t="shared" si="189"/>
        <v>7</v>
      </c>
      <c r="O1857" s="918" t="str">
        <f t="shared" si="190"/>
        <v>Feb</v>
      </c>
      <c r="P1857" s="921">
        <f t="shared" si="191"/>
        <v>7</v>
      </c>
    </row>
    <row r="1858" spans="1:16" ht="15" hidden="1" customHeight="1">
      <c r="A1858" s="839">
        <v>69551489</v>
      </c>
      <c r="B1858" s="839">
        <v>1352</v>
      </c>
      <c r="C1858" s="906">
        <v>3076</v>
      </c>
      <c r="D1858" s="907">
        <v>46063</v>
      </c>
      <c r="E1858" s="839" t="s">
        <v>431</v>
      </c>
      <c r="F1858" s="839" t="s">
        <v>289</v>
      </c>
      <c r="G1858" s="916">
        <f>VLOOKUP($A1858,'Tech Litons'!$A:$I,8,FALSE)</f>
        <v>3.8959999999999997E-3</v>
      </c>
      <c r="H1858" s="917">
        <f>VLOOKUP($A1858,'Tech Litons'!$A:$I,9,FALSE)</f>
        <v>154</v>
      </c>
      <c r="I1858" s="917" t="str">
        <f>VLOOKUP($A1858,'Tech Litons'!$A:$C,3,0)</f>
        <v>MBG</v>
      </c>
      <c r="J1858" s="918" t="str">
        <f t="shared" si="187"/>
        <v>1352MBG</v>
      </c>
      <c r="K1858" s="919">
        <v>1</v>
      </c>
      <c r="L1858" s="920">
        <f t="shared" si="186"/>
        <v>3076</v>
      </c>
      <c r="M1858" s="920">
        <f t="shared" si="188"/>
        <v>11.984095999999999</v>
      </c>
      <c r="N1858" s="920">
        <f t="shared" si="189"/>
        <v>19.974025974025974</v>
      </c>
      <c r="O1858" s="918" t="str">
        <f t="shared" si="190"/>
        <v>Feb</v>
      </c>
      <c r="P1858" s="921">
        <f t="shared" si="191"/>
        <v>7</v>
      </c>
    </row>
    <row r="1859" spans="1:16" ht="15" hidden="1" customHeight="1">
      <c r="A1859" s="839">
        <v>69551489</v>
      </c>
      <c r="B1859" s="839">
        <v>1352</v>
      </c>
      <c r="C1859" s="906">
        <v>1691</v>
      </c>
      <c r="D1859" s="907">
        <v>46063</v>
      </c>
      <c r="E1859" s="839" t="s">
        <v>431</v>
      </c>
      <c r="F1859" s="839" t="s">
        <v>289</v>
      </c>
      <c r="G1859" s="916">
        <f>VLOOKUP($A1859,'Tech Litons'!$A:$I,8,FALSE)</f>
        <v>3.8959999999999997E-3</v>
      </c>
      <c r="H1859" s="917">
        <f>VLOOKUP($A1859,'Tech Litons'!$A:$I,9,FALSE)</f>
        <v>154</v>
      </c>
      <c r="I1859" s="917" t="str">
        <f>VLOOKUP($A1859,'Tech Litons'!$A:$C,3,0)</f>
        <v>MBG</v>
      </c>
      <c r="J1859" s="918" t="str">
        <f t="shared" si="187"/>
        <v>1352MBG</v>
      </c>
      <c r="K1859" s="919">
        <v>1</v>
      </c>
      <c r="L1859" s="920">
        <f t="shared" si="186"/>
        <v>1691</v>
      </c>
      <c r="M1859" s="920">
        <f t="shared" si="188"/>
        <v>6.5881359999999995</v>
      </c>
      <c r="N1859" s="920">
        <f t="shared" si="189"/>
        <v>10.980519480519481</v>
      </c>
      <c r="O1859" s="918" t="str">
        <f t="shared" si="190"/>
        <v>Feb</v>
      </c>
      <c r="P1859" s="921">
        <f t="shared" si="191"/>
        <v>7</v>
      </c>
    </row>
    <row r="1860" spans="1:16" ht="15" hidden="1" customHeight="1">
      <c r="A1860" s="839">
        <v>69551489</v>
      </c>
      <c r="B1860" s="839">
        <v>1352</v>
      </c>
      <c r="C1860" s="906">
        <v>2743</v>
      </c>
      <c r="D1860" s="907">
        <v>46064</v>
      </c>
      <c r="E1860" s="839" t="s">
        <v>431</v>
      </c>
      <c r="F1860" s="839" t="s">
        <v>289</v>
      </c>
      <c r="G1860" s="916">
        <f>VLOOKUP($A1860,'Tech Litons'!$A:$I,8,FALSE)</f>
        <v>3.8959999999999997E-3</v>
      </c>
      <c r="H1860" s="917">
        <f>VLOOKUP($A1860,'Tech Litons'!$A:$I,9,FALSE)</f>
        <v>154</v>
      </c>
      <c r="I1860" s="917" t="str">
        <f>VLOOKUP($A1860,'Tech Litons'!$A:$C,3,0)</f>
        <v>MBG</v>
      </c>
      <c r="J1860" s="918" t="str">
        <f t="shared" si="187"/>
        <v>1352MBG</v>
      </c>
      <c r="K1860" s="919">
        <v>1</v>
      </c>
      <c r="L1860" s="920">
        <f t="shared" si="186"/>
        <v>2743</v>
      </c>
      <c r="M1860" s="920">
        <f t="shared" si="188"/>
        <v>10.686727999999999</v>
      </c>
      <c r="N1860" s="920">
        <f t="shared" si="189"/>
        <v>17.811688311688311</v>
      </c>
      <c r="O1860" s="918" t="str">
        <f t="shared" si="190"/>
        <v>Feb</v>
      </c>
      <c r="P1860" s="921">
        <f t="shared" si="191"/>
        <v>7</v>
      </c>
    </row>
    <row r="1861" spans="1:16" ht="15" hidden="1" customHeight="1">
      <c r="A1861" s="839">
        <v>69551489</v>
      </c>
      <c r="B1861" s="839">
        <v>1352</v>
      </c>
      <c r="C1861" s="906">
        <v>1848</v>
      </c>
      <c r="D1861" s="907">
        <v>46064</v>
      </c>
      <c r="E1861" s="839" t="s">
        <v>431</v>
      </c>
      <c r="F1861" s="839" t="s">
        <v>289</v>
      </c>
      <c r="G1861" s="916">
        <f>VLOOKUP($A1861,'Tech Litons'!$A:$I,8,FALSE)</f>
        <v>3.8959999999999997E-3</v>
      </c>
      <c r="H1861" s="917">
        <f>VLOOKUP($A1861,'Tech Litons'!$A:$I,9,FALSE)</f>
        <v>154</v>
      </c>
      <c r="I1861" s="917" t="str">
        <f>VLOOKUP($A1861,'Tech Litons'!$A:$C,3,0)</f>
        <v>MBG</v>
      </c>
      <c r="J1861" s="918" t="str">
        <f t="shared" si="187"/>
        <v>1352MBG</v>
      </c>
      <c r="K1861" s="919">
        <v>1</v>
      </c>
      <c r="L1861" s="920">
        <f t="shared" si="186"/>
        <v>1848</v>
      </c>
      <c r="M1861" s="920">
        <f t="shared" si="188"/>
        <v>7.1998079999999991</v>
      </c>
      <c r="N1861" s="920">
        <f t="shared" si="189"/>
        <v>12</v>
      </c>
      <c r="O1861" s="918" t="str">
        <f t="shared" si="190"/>
        <v>Feb</v>
      </c>
      <c r="P1861" s="921">
        <f t="shared" si="191"/>
        <v>7</v>
      </c>
    </row>
    <row r="1862" spans="1:16" ht="15" hidden="1" customHeight="1">
      <c r="A1862" s="839">
        <v>69551489</v>
      </c>
      <c r="B1862" s="839">
        <v>1352</v>
      </c>
      <c r="C1862" s="906">
        <v>2687</v>
      </c>
      <c r="D1862" s="907">
        <v>46065</v>
      </c>
      <c r="E1862" s="839" t="s">
        <v>431</v>
      </c>
      <c r="F1862" s="839" t="s">
        <v>289</v>
      </c>
      <c r="G1862" s="916">
        <f>VLOOKUP($A1862,'Tech Litons'!$A:$I,8,FALSE)</f>
        <v>3.8959999999999997E-3</v>
      </c>
      <c r="H1862" s="917">
        <f>VLOOKUP($A1862,'Tech Litons'!$A:$I,9,FALSE)</f>
        <v>154</v>
      </c>
      <c r="I1862" s="917" t="str">
        <f>VLOOKUP($A1862,'Tech Litons'!$A:$C,3,0)</f>
        <v>MBG</v>
      </c>
      <c r="J1862" s="918" t="str">
        <f t="shared" si="187"/>
        <v>1352MBG</v>
      </c>
      <c r="K1862" s="919">
        <v>1</v>
      </c>
      <c r="L1862" s="920">
        <f t="shared" si="186"/>
        <v>2687</v>
      </c>
      <c r="M1862" s="920">
        <f t="shared" si="188"/>
        <v>10.468551999999999</v>
      </c>
      <c r="N1862" s="920">
        <f t="shared" si="189"/>
        <v>17.448051948051948</v>
      </c>
      <c r="O1862" s="918" t="str">
        <f t="shared" si="190"/>
        <v>Feb</v>
      </c>
      <c r="P1862" s="921">
        <f t="shared" si="191"/>
        <v>7</v>
      </c>
    </row>
    <row r="1863" spans="1:16" ht="15" hidden="1" customHeight="1">
      <c r="A1863" s="839">
        <v>69551489</v>
      </c>
      <c r="B1863" s="839">
        <v>1352</v>
      </c>
      <c r="C1863" s="906">
        <v>1385</v>
      </c>
      <c r="D1863" s="907">
        <v>46065</v>
      </c>
      <c r="E1863" s="839" t="s">
        <v>431</v>
      </c>
      <c r="F1863" s="839" t="s">
        <v>289</v>
      </c>
      <c r="G1863" s="916">
        <f>VLOOKUP($A1863,'Tech Litons'!$A:$I,8,FALSE)</f>
        <v>3.8959999999999997E-3</v>
      </c>
      <c r="H1863" s="917">
        <f>VLOOKUP($A1863,'Tech Litons'!$A:$I,9,FALSE)</f>
        <v>154</v>
      </c>
      <c r="I1863" s="917" t="str">
        <f>VLOOKUP($A1863,'Tech Litons'!$A:$C,3,0)</f>
        <v>MBG</v>
      </c>
      <c r="J1863" s="918" t="str">
        <f t="shared" si="187"/>
        <v>1352MBG</v>
      </c>
      <c r="K1863" s="919">
        <v>1</v>
      </c>
      <c r="L1863" s="920">
        <f t="shared" si="186"/>
        <v>1385</v>
      </c>
      <c r="M1863" s="920">
        <f t="shared" si="188"/>
        <v>5.3959599999999996</v>
      </c>
      <c r="N1863" s="920">
        <f t="shared" si="189"/>
        <v>8.9935064935064943</v>
      </c>
      <c r="O1863" s="918" t="str">
        <f t="shared" si="190"/>
        <v>Feb</v>
      </c>
      <c r="P1863" s="921">
        <f t="shared" si="191"/>
        <v>7</v>
      </c>
    </row>
    <row r="1864" spans="1:16" ht="15" hidden="1" customHeight="1">
      <c r="A1864" s="839">
        <v>69551489</v>
      </c>
      <c r="B1864" s="839">
        <v>1352</v>
      </c>
      <c r="C1864" s="906">
        <v>3077</v>
      </c>
      <c r="D1864" s="907">
        <v>46066</v>
      </c>
      <c r="E1864" s="839" t="s">
        <v>431</v>
      </c>
      <c r="F1864" s="839" t="s">
        <v>289</v>
      </c>
      <c r="G1864" s="916">
        <f>VLOOKUP($A1864,'Tech Litons'!$A:$I,8,FALSE)</f>
        <v>3.8959999999999997E-3</v>
      </c>
      <c r="H1864" s="917">
        <f>VLOOKUP($A1864,'Tech Litons'!$A:$I,9,FALSE)</f>
        <v>154</v>
      </c>
      <c r="I1864" s="917" t="str">
        <f>VLOOKUP($A1864,'Tech Litons'!$A:$C,3,0)</f>
        <v>MBG</v>
      </c>
      <c r="J1864" s="918" t="str">
        <f t="shared" si="187"/>
        <v>1352MBG</v>
      </c>
      <c r="K1864" s="919">
        <v>1</v>
      </c>
      <c r="L1864" s="920">
        <f t="shared" si="186"/>
        <v>3077</v>
      </c>
      <c r="M1864" s="920">
        <f t="shared" si="188"/>
        <v>11.987991999999998</v>
      </c>
      <c r="N1864" s="920">
        <f t="shared" si="189"/>
        <v>19.980519480519479</v>
      </c>
      <c r="O1864" s="918" t="str">
        <f t="shared" si="190"/>
        <v>Feb</v>
      </c>
      <c r="P1864" s="921">
        <f t="shared" si="191"/>
        <v>7</v>
      </c>
    </row>
    <row r="1865" spans="1:16" ht="15" hidden="1" customHeight="1">
      <c r="A1865" s="839">
        <v>69551489</v>
      </c>
      <c r="B1865" s="839">
        <v>1352</v>
      </c>
      <c r="C1865" s="906">
        <v>2464</v>
      </c>
      <c r="D1865" s="907">
        <v>46066</v>
      </c>
      <c r="E1865" s="839" t="s">
        <v>431</v>
      </c>
      <c r="F1865" s="839" t="s">
        <v>289</v>
      </c>
      <c r="G1865" s="916">
        <f>VLOOKUP($A1865,'Tech Litons'!$A:$I,8,FALSE)</f>
        <v>3.8959999999999997E-3</v>
      </c>
      <c r="H1865" s="917">
        <f>VLOOKUP($A1865,'Tech Litons'!$A:$I,9,FALSE)</f>
        <v>154</v>
      </c>
      <c r="I1865" s="917" t="str">
        <f>VLOOKUP($A1865,'Tech Litons'!$A:$C,3,0)</f>
        <v>MBG</v>
      </c>
      <c r="J1865" s="918" t="str">
        <f t="shared" si="187"/>
        <v>1352MBG</v>
      </c>
      <c r="K1865" s="919">
        <v>1</v>
      </c>
      <c r="L1865" s="920">
        <f t="shared" si="186"/>
        <v>2464</v>
      </c>
      <c r="M1865" s="920">
        <f t="shared" si="188"/>
        <v>9.5997439999999994</v>
      </c>
      <c r="N1865" s="920">
        <f t="shared" si="189"/>
        <v>16</v>
      </c>
      <c r="O1865" s="918" t="str">
        <f t="shared" si="190"/>
        <v>Feb</v>
      </c>
      <c r="P1865" s="921">
        <f t="shared" si="191"/>
        <v>7</v>
      </c>
    </row>
    <row r="1866" spans="1:16" ht="15" hidden="1" customHeight="1">
      <c r="A1866" s="839">
        <v>69551489</v>
      </c>
      <c r="B1866" s="839">
        <v>1352</v>
      </c>
      <c r="C1866" s="906">
        <v>1798</v>
      </c>
      <c r="D1866" s="907">
        <v>46067</v>
      </c>
      <c r="E1866" s="839" t="s">
        <v>431</v>
      </c>
      <c r="F1866" s="839" t="s">
        <v>289</v>
      </c>
      <c r="G1866" s="916">
        <f>VLOOKUP($A1866,'Tech Litons'!$A:$I,8,FALSE)</f>
        <v>3.8959999999999997E-3</v>
      </c>
      <c r="H1866" s="917">
        <f>VLOOKUP($A1866,'Tech Litons'!$A:$I,9,FALSE)</f>
        <v>154</v>
      </c>
      <c r="I1866" s="917" t="str">
        <f>VLOOKUP($A1866,'Tech Litons'!$A:$C,3,0)</f>
        <v>MBG</v>
      </c>
      <c r="J1866" s="918" t="str">
        <f t="shared" si="187"/>
        <v>1352MBG</v>
      </c>
      <c r="K1866" s="919">
        <v>1</v>
      </c>
      <c r="L1866" s="920">
        <f t="shared" si="186"/>
        <v>1798</v>
      </c>
      <c r="M1866" s="920">
        <f t="shared" si="188"/>
        <v>7.0050079999999992</v>
      </c>
      <c r="N1866" s="920">
        <f t="shared" si="189"/>
        <v>11.675324675324676</v>
      </c>
      <c r="O1866" s="918" t="str">
        <f t="shared" si="190"/>
        <v>Feb</v>
      </c>
      <c r="P1866" s="921">
        <f t="shared" si="191"/>
        <v>7</v>
      </c>
    </row>
    <row r="1867" spans="1:16" ht="15" hidden="1" customHeight="1">
      <c r="A1867" s="839">
        <v>69551489</v>
      </c>
      <c r="B1867" s="839">
        <v>1352</v>
      </c>
      <c r="C1867" s="906">
        <v>1386</v>
      </c>
      <c r="D1867" s="907">
        <v>46069</v>
      </c>
      <c r="E1867" s="839" t="s">
        <v>431</v>
      </c>
      <c r="F1867" s="839" t="s">
        <v>289</v>
      </c>
      <c r="G1867" s="916">
        <f>VLOOKUP($A1867,'Tech Litons'!$A:$I,8,FALSE)</f>
        <v>3.8959999999999997E-3</v>
      </c>
      <c r="H1867" s="917">
        <f>VLOOKUP($A1867,'Tech Litons'!$A:$I,9,FALSE)</f>
        <v>154</v>
      </c>
      <c r="I1867" s="917" t="str">
        <f>VLOOKUP($A1867,'Tech Litons'!$A:$C,3,0)</f>
        <v>MBG</v>
      </c>
      <c r="J1867" s="918" t="str">
        <f t="shared" si="187"/>
        <v>1352MBG</v>
      </c>
      <c r="K1867" s="919">
        <v>1</v>
      </c>
      <c r="L1867" s="920">
        <f t="shared" si="186"/>
        <v>1386</v>
      </c>
      <c r="M1867" s="920">
        <f t="shared" si="188"/>
        <v>5.3998559999999998</v>
      </c>
      <c r="N1867" s="920">
        <f t="shared" si="189"/>
        <v>9</v>
      </c>
      <c r="O1867" s="918" t="str">
        <f t="shared" si="190"/>
        <v>Feb</v>
      </c>
      <c r="P1867" s="921">
        <f t="shared" si="191"/>
        <v>8</v>
      </c>
    </row>
    <row r="1868" spans="1:16" ht="15" hidden="1" customHeight="1">
      <c r="A1868" s="839">
        <v>69551489</v>
      </c>
      <c r="B1868" s="839">
        <v>1352</v>
      </c>
      <c r="C1868" s="906">
        <v>3068</v>
      </c>
      <c r="D1868" s="907">
        <v>46070</v>
      </c>
      <c r="E1868" s="839" t="s">
        <v>431</v>
      </c>
      <c r="F1868" s="839" t="s">
        <v>289</v>
      </c>
      <c r="G1868" s="916">
        <f>VLOOKUP($A1868,'Tech Litons'!$A:$I,8,FALSE)</f>
        <v>3.8959999999999997E-3</v>
      </c>
      <c r="H1868" s="917">
        <f>VLOOKUP($A1868,'Tech Litons'!$A:$I,9,FALSE)</f>
        <v>154</v>
      </c>
      <c r="I1868" s="917" t="str">
        <f>VLOOKUP($A1868,'Tech Litons'!$A:$C,3,0)</f>
        <v>MBG</v>
      </c>
      <c r="J1868" s="918" t="str">
        <f t="shared" si="187"/>
        <v>1352MBG</v>
      </c>
      <c r="K1868" s="919">
        <v>1</v>
      </c>
      <c r="L1868" s="920">
        <f t="shared" si="186"/>
        <v>3068</v>
      </c>
      <c r="M1868" s="920">
        <f t="shared" si="188"/>
        <v>11.952928</v>
      </c>
      <c r="N1868" s="920">
        <f t="shared" si="189"/>
        <v>19.922077922077921</v>
      </c>
      <c r="O1868" s="918" t="str">
        <f t="shared" si="190"/>
        <v>Feb</v>
      </c>
      <c r="P1868" s="921">
        <f t="shared" si="191"/>
        <v>8</v>
      </c>
    </row>
    <row r="1869" spans="1:16" ht="15" hidden="1" customHeight="1">
      <c r="A1869" s="839">
        <v>69551489</v>
      </c>
      <c r="B1869" s="839">
        <v>1352</v>
      </c>
      <c r="C1869" s="906">
        <v>1540</v>
      </c>
      <c r="D1869" s="907">
        <v>46070</v>
      </c>
      <c r="E1869" s="839" t="s">
        <v>431</v>
      </c>
      <c r="F1869" s="839" t="s">
        <v>289</v>
      </c>
      <c r="G1869" s="916">
        <f>VLOOKUP($A1869,'Tech Litons'!$A:$I,8,FALSE)</f>
        <v>3.8959999999999997E-3</v>
      </c>
      <c r="H1869" s="917">
        <f>VLOOKUP($A1869,'Tech Litons'!$A:$I,9,FALSE)</f>
        <v>154</v>
      </c>
      <c r="I1869" s="917" t="str">
        <f>VLOOKUP($A1869,'Tech Litons'!$A:$C,3,0)</f>
        <v>MBG</v>
      </c>
      <c r="J1869" s="918" t="str">
        <f t="shared" si="187"/>
        <v>1352MBG</v>
      </c>
      <c r="K1869" s="919">
        <v>1</v>
      </c>
      <c r="L1869" s="920">
        <f t="shared" si="186"/>
        <v>1540</v>
      </c>
      <c r="M1869" s="920">
        <f t="shared" si="188"/>
        <v>5.9998399999999998</v>
      </c>
      <c r="N1869" s="920">
        <f t="shared" si="189"/>
        <v>10</v>
      </c>
      <c r="O1869" s="918" t="str">
        <f t="shared" si="190"/>
        <v>Feb</v>
      </c>
      <c r="P1869" s="921">
        <f t="shared" si="191"/>
        <v>8</v>
      </c>
    </row>
    <row r="1870" spans="1:16" ht="15" hidden="1" customHeight="1">
      <c r="A1870" s="839">
        <v>69551489</v>
      </c>
      <c r="B1870" s="839">
        <v>1352</v>
      </c>
      <c r="C1870" s="906">
        <v>3297</v>
      </c>
      <c r="D1870" s="907">
        <v>46071</v>
      </c>
      <c r="E1870" s="839" t="s">
        <v>431</v>
      </c>
      <c r="F1870" s="839" t="s">
        <v>289</v>
      </c>
      <c r="G1870" s="916">
        <f>VLOOKUP($A1870,'Tech Litons'!$A:$I,8,FALSE)</f>
        <v>3.8959999999999997E-3</v>
      </c>
      <c r="H1870" s="917">
        <f>VLOOKUP($A1870,'Tech Litons'!$A:$I,9,FALSE)</f>
        <v>154</v>
      </c>
      <c r="I1870" s="917" t="str">
        <f>VLOOKUP($A1870,'Tech Litons'!$A:$C,3,0)</f>
        <v>MBG</v>
      </c>
      <c r="J1870" s="918" t="str">
        <f t="shared" si="187"/>
        <v>1352MBG</v>
      </c>
      <c r="K1870" s="919">
        <v>1</v>
      </c>
      <c r="L1870" s="920">
        <f t="shared" ref="L1870:L1932" si="192">C1870*$K1870</f>
        <v>3297</v>
      </c>
      <c r="M1870" s="920">
        <f t="shared" si="188"/>
        <v>12.845111999999999</v>
      </c>
      <c r="N1870" s="920">
        <f t="shared" si="189"/>
        <v>21.40909090909091</v>
      </c>
      <c r="O1870" s="918" t="str">
        <f t="shared" si="190"/>
        <v>Feb</v>
      </c>
      <c r="P1870" s="921">
        <f t="shared" si="191"/>
        <v>8</v>
      </c>
    </row>
    <row r="1871" spans="1:16" ht="15" hidden="1" customHeight="1">
      <c r="A1871" s="839">
        <v>69551489</v>
      </c>
      <c r="B1871" s="839">
        <v>1352</v>
      </c>
      <c r="C1871" s="906">
        <v>1386</v>
      </c>
      <c r="D1871" s="907">
        <v>46071</v>
      </c>
      <c r="E1871" s="839" t="s">
        <v>431</v>
      </c>
      <c r="F1871" s="839" t="s">
        <v>289</v>
      </c>
      <c r="G1871" s="916">
        <f>VLOOKUP($A1871,'Tech Litons'!$A:$I,8,FALSE)</f>
        <v>3.8959999999999997E-3</v>
      </c>
      <c r="H1871" s="917">
        <f>VLOOKUP($A1871,'Tech Litons'!$A:$I,9,FALSE)</f>
        <v>154</v>
      </c>
      <c r="I1871" s="917" t="str">
        <f>VLOOKUP($A1871,'Tech Litons'!$A:$C,3,0)</f>
        <v>MBG</v>
      </c>
      <c r="J1871" s="918" t="str">
        <f t="shared" ref="J1871:J1933" si="193">B1871&amp;I1871</f>
        <v>1352MBG</v>
      </c>
      <c r="K1871" s="919">
        <v>1</v>
      </c>
      <c r="L1871" s="920">
        <f t="shared" si="192"/>
        <v>1386</v>
      </c>
      <c r="M1871" s="920">
        <f t="shared" ref="M1871:M1933" si="194">L1871*G1871</f>
        <v>5.3998559999999998</v>
      </c>
      <c r="N1871" s="920">
        <f t="shared" ref="N1871:N1933" si="195">L1871/H1871</f>
        <v>9</v>
      </c>
      <c r="O1871" s="918" t="str">
        <f t="shared" ref="O1871:O1933" si="196">TEXT(D1871,"MMM")</f>
        <v>Feb</v>
      </c>
      <c r="P1871" s="921">
        <f t="shared" ref="P1871:P1933" si="197">WEEKNUM(D1871)</f>
        <v>8</v>
      </c>
    </row>
    <row r="1872" spans="1:16" ht="15" hidden="1" customHeight="1">
      <c r="A1872" s="839">
        <v>69551489</v>
      </c>
      <c r="B1872" s="839">
        <v>1352</v>
      </c>
      <c r="C1872" s="906">
        <v>2792</v>
      </c>
      <c r="D1872" s="907">
        <v>46072</v>
      </c>
      <c r="E1872" s="839" t="s">
        <v>431</v>
      </c>
      <c r="F1872" s="839" t="s">
        <v>289</v>
      </c>
      <c r="G1872" s="916">
        <f>VLOOKUP($A1872,'Tech Litons'!$A:$I,8,FALSE)</f>
        <v>3.8959999999999997E-3</v>
      </c>
      <c r="H1872" s="917">
        <f>VLOOKUP($A1872,'Tech Litons'!$A:$I,9,FALSE)</f>
        <v>154</v>
      </c>
      <c r="I1872" s="917" t="str">
        <f>VLOOKUP($A1872,'Tech Litons'!$A:$C,3,0)</f>
        <v>MBG</v>
      </c>
      <c r="J1872" s="918" t="str">
        <f t="shared" si="193"/>
        <v>1352MBG</v>
      </c>
      <c r="K1872" s="919">
        <v>1</v>
      </c>
      <c r="L1872" s="920">
        <f t="shared" si="192"/>
        <v>2792</v>
      </c>
      <c r="M1872" s="920">
        <f t="shared" si="194"/>
        <v>10.877631999999998</v>
      </c>
      <c r="N1872" s="920">
        <f t="shared" si="195"/>
        <v>18.129870129870131</v>
      </c>
      <c r="O1872" s="918" t="str">
        <f t="shared" si="196"/>
        <v>Feb</v>
      </c>
      <c r="P1872" s="921">
        <f t="shared" si="197"/>
        <v>8</v>
      </c>
    </row>
    <row r="1873" spans="1:16" ht="15" hidden="1" customHeight="1">
      <c r="A1873" s="839">
        <v>69551489</v>
      </c>
      <c r="B1873" s="839">
        <v>1352</v>
      </c>
      <c r="C1873" s="906">
        <v>112</v>
      </c>
      <c r="D1873" s="907">
        <v>46073</v>
      </c>
      <c r="E1873" s="839" t="s">
        <v>431</v>
      </c>
      <c r="F1873" s="839" t="s">
        <v>289</v>
      </c>
      <c r="G1873" s="916">
        <f>VLOOKUP($A1873,'Tech Litons'!$A:$I,8,FALSE)</f>
        <v>3.8959999999999997E-3</v>
      </c>
      <c r="H1873" s="917">
        <f>VLOOKUP($A1873,'Tech Litons'!$A:$I,9,FALSE)</f>
        <v>154</v>
      </c>
      <c r="I1873" s="917" t="str">
        <f>VLOOKUP($A1873,'Tech Litons'!$A:$C,3,0)</f>
        <v>MBG</v>
      </c>
      <c r="J1873" s="918" t="str">
        <f t="shared" si="193"/>
        <v>1352MBG</v>
      </c>
      <c r="K1873" s="919">
        <v>1</v>
      </c>
      <c r="L1873" s="920">
        <f t="shared" si="192"/>
        <v>112</v>
      </c>
      <c r="M1873" s="920">
        <f t="shared" si="194"/>
        <v>0.43635199999999996</v>
      </c>
      <c r="N1873" s="920">
        <f t="shared" si="195"/>
        <v>0.72727272727272729</v>
      </c>
      <c r="O1873" s="918" t="str">
        <f t="shared" si="196"/>
        <v>Feb</v>
      </c>
      <c r="P1873" s="921">
        <f t="shared" si="197"/>
        <v>8</v>
      </c>
    </row>
    <row r="1874" spans="1:16" ht="15" hidden="1" customHeight="1">
      <c r="A1874" s="839">
        <v>69551489</v>
      </c>
      <c r="B1874" s="839">
        <v>1352</v>
      </c>
      <c r="C1874" s="906">
        <v>1385</v>
      </c>
      <c r="D1874" s="907">
        <v>46073</v>
      </c>
      <c r="E1874" s="839" t="s">
        <v>431</v>
      </c>
      <c r="F1874" s="839" t="s">
        <v>289</v>
      </c>
      <c r="G1874" s="916">
        <f>VLOOKUP($A1874,'Tech Litons'!$A:$I,8,FALSE)</f>
        <v>3.8959999999999997E-3</v>
      </c>
      <c r="H1874" s="917">
        <f>VLOOKUP($A1874,'Tech Litons'!$A:$I,9,FALSE)</f>
        <v>154</v>
      </c>
      <c r="I1874" s="917" t="str">
        <f>VLOOKUP($A1874,'Tech Litons'!$A:$C,3,0)</f>
        <v>MBG</v>
      </c>
      <c r="J1874" s="918" t="str">
        <f t="shared" si="193"/>
        <v>1352MBG</v>
      </c>
      <c r="K1874" s="919">
        <v>1</v>
      </c>
      <c r="L1874" s="920">
        <f t="shared" si="192"/>
        <v>1385</v>
      </c>
      <c r="M1874" s="920">
        <f t="shared" si="194"/>
        <v>5.3959599999999996</v>
      </c>
      <c r="N1874" s="920">
        <f t="shared" si="195"/>
        <v>8.9935064935064943</v>
      </c>
      <c r="O1874" s="918" t="str">
        <f t="shared" si="196"/>
        <v>Feb</v>
      </c>
      <c r="P1874" s="921">
        <f t="shared" si="197"/>
        <v>8</v>
      </c>
    </row>
    <row r="1875" spans="1:16" ht="15" hidden="1" customHeight="1">
      <c r="A1875" s="839">
        <v>69551489</v>
      </c>
      <c r="B1875" s="839">
        <v>1352</v>
      </c>
      <c r="C1875" s="906">
        <v>2552</v>
      </c>
      <c r="D1875" s="907">
        <v>46074</v>
      </c>
      <c r="E1875" s="839" t="s">
        <v>431</v>
      </c>
      <c r="F1875" s="839" t="s">
        <v>289</v>
      </c>
      <c r="G1875" s="916">
        <f>VLOOKUP($A1875,'Tech Litons'!$A:$I,8,FALSE)</f>
        <v>3.8959999999999997E-3</v>
      </c>
      <c r="H1875" s="917">
        <f>VLOOKUP($A1875,'Tech Litons'!$A:$I,9,FALSE)</f>
        <v>154</v>
      </c>
      <c r="I1875" s="917" t="str">
        <f>VLOOKUP($A1875,'Tech Litons'!$A:$C,3,0)</f>
        <v>MBG</v>
      </c>
      <c r="J1875" s="918" t="str">
        <f t="shared" si="193"/>
        <v>1352MBG</v>
      </c>
      <c r="K1875" s="919">
        <v>1</v>
      </c>
      <c r="L1875" s="920">
        <f t="shared" si="192"/>
        <v>2552</v>
      </c>
      <c r="M1875" s="920">
        <f t="shared" si="194"/>
        <v>9.9425919999999994</v>
      </c>
      <c r="N1875" s="920">
        <f t="shared" si="195"/>
        <v>16.571428571428573</v>
      </c>
      <c r="O1875" s="918" t="str">
        <f t="shared" si="196"/>
        <v>Feb</v>
      </c>
      <c r="P1875" s="921">
        <f t="shared" si="197"/>
        <v>8</v>
      </c>
    </row>
    <row r="1876" spans="1:16" ht="15" hidden="1" customHeight="1">
      <c r="A1876" s="839">
        <v>69568828</v>
      </c>
      <c r="B1876" s="839">
        <v>1352</v>
      </c>
      <c r="C1876" s="906">
        <v>5280</v>
      </c>
      <c r="D1876" s="907">
        <v>46059</v>
      </c>
      <c r="E1876" s="839" t="s">
        <v>320</v>
      </c>
      <c r="F1876" s="839" t="s">
        <v>290</v>
      </c>
      <c r="G1876" s="916">
        <f>VLOOKUP($A1876,'Tech Litons'!$A:$I,8,FALSE)</f>
        <v>8.5199999999999998E-3</v>
      </c>
      <c r="H1876" s="917">
        <f>VLOOKUP($A1876,'Tech Litons'!$A:$I,9,FALSE)</f>
        <v>176</v>
      </c>
      <c r="I1876" s="917" t="str">
        <f>VLOOKUP($A1876,'Tech Litons'!$A:$C,3,0)</f>
        <v>48oz</v>
      </c>
      <c r="J1876" s="918" t="str">
        <f t="shared" si="193"/>
        <v>135248oz</v>
      </c>
      <c r="K1876" s="919">
        <v>1</v>
      </c>
      <c r="L1876" s="920">
        <f t="shared" si="192"/>
        <v>5280</v>
      </c>
      <c r="M1876" s="920">
        <f t="shared" si="194"/>
        <v>44.985599999999998</v>
      </c>
      <c r="N1876" s="920">
        <f t="shared" si="195"/>
        <v>30</v>
      </c>
      <c r="O1876" s="918" t="str">
        <f t="shared" si="196"/>
        <v>Feb</v>
      </c>
      <c r="P1876" s="921">
        <f t="shared" si="197"/>
        <v>6</v>
      </c>
    </row>
    <row r="1877" spans="1:16" ht="15" hidden="1" customHeight="1">
      <c r="A1877" s="839">
        <v>69568828</v>
      </c>
      <c r="B1877" s="839">
        <v>1352</v>
      </c>
      <c r="C1877" s="906">
        <v>8545</v>
      </c>
      <c r="D1877" s="907">
        <v>46060</v>
      </c>
      <c r="E1877" s="839" t="s">
        <v>320</v>
      </c>
      <c r="F1877" s="839" t="s">
        <v>290</v>
      </c>
      <c r="G1877" s="916">
        <f>VLOOKUP($A1877,'Tech Litons'!$A:$I,8,FALSE)</f>
        <v>8.5199999999999998E-3</v>
      </c>
      <c r="H1877" s="917">
        <f>VLOOKUP($A1877,'Tech Litons'!$A:$I,9,FALSE)</f>
        <v>176</v>
      </c>
      <c r="I1877" s="917" t="str">
        <f>VLOOKUP($A1877,'Tech Litons'!$A:$C,3,0)</f>
        <v>48oz</v>
      </c>
      <c r="J1877" s="918" t="str">
        <f t="shared" si="193"/>
        <v>135248oz</v>
      </c>
      <c r="K1877" s="919">
        <v>1</v>
      </c>
      <c r="L1877" s="920">
        <f t="shared" si="192"/>
        <v>8545</v>
      </c>
      <c r="M1877" s="920">
        <f t="shared" si="194"/>
        <v>72.803399999999996</v>
      </c>
      <c r="N1877" s="920">
        <f t="shared" si="195"/>
        <v>48.551136363636367</v>
      </c>
      <c r="O1877" s="918" t="str">
        <f t="shared" si="196"/>
        <v>Feb</v>
      </c>
      <c r="P1877" s="921">
        <f t="shared" si="197"/>
        <v>6</v>
      </c>
    </row>
    <row r="1878" spans="1:16" ht="15" hidden="1" customHeight="1">
      <c r="A1878" s="839">
        <v>69568828</v>
      </c>
      <c r="B1878" s="839">
        <v>1352</v>
      </c>
      <c r="C1878" s="906">
        <v>5058</v>
      </c>
      <c r="D1878" s="907">
        <v>46060</v>
      </c>
      <c r="E1878" s="839" t="s">
        <v>320</v>
      </c>
      <c r="F1878" s="839" t="s">
        <v>290</v>
      </c>
      <c r="G1878" s="916">
        <f>VLOOKUP($A1878,'Tech Litons'!$A:$I,8,FALSE)</f>
        <v>8.5199999999999998E-3</v>
      </c>
      <c r="H1878" s="917">
        <f>VLOOKUP($A1878,'Tech Litons'!$A:$I,9,FALSE)</f>
        <v>176</v>
      </c>
      <c r="I1878" s="917" t="str">
        <f>VLOOKUP($A1878,'Tech Litons'!$A:$C,3,0)</f>
        <v>48oz</v>
      </c>
      <c r="J1878" s="918" t="str">
        <f t="shared" si="193"/>
        <v>135248oz</v>
      </c>
      <c r="K1878" s="919">
        <v>1</v>
      </c>
      <c r="L1878" s="920">
        <f t="shared" si="192"/>
        <v>5058</v>
      </c>
      <c r="M1878" s="920">
        <f t="shared" si="194"/>
        <v>43.094160000000002</v>
      </c>
      <c r="N1878" s="920">
        <f t="shared" si="195"/>
        <v>28.738636363636363</v>
      </c>
      <c r="O1878" s="918" t="str">
        <f t="shared" si="196"/>
        <v>Feb</v>
      </c>
      <c r="P1878" s="921">
        <f t="shared" si="197"/>
        <v>6</v>
      </c>
    </row>
    <row r="1879" spans="1:16" ht="15" hidden="1" customHeight="1">
      <c r="A1879" s="839">
        <v>69568828</v>
      </c>
      <c r="B1879" s="839">
        <v>1352</v>
      </c>
      <c r="C1879" s="906">
        <v>9353</v>
      </c>
      <c r="D1879" s="907">
        <v>46061</v>
      </c>
      <c r="E1879" s="839" t="s">
        <v>320</v>
      </c>
      <c r="F1879" s="839" t="s">
        <v>290</v>
      </c>
      <c r="G1879" s="916">
        <f>VLOOKUP($A1879,'Tech Litons'!$A:$I,8,FALSE)</f>
        <v>8.5199999999999998E-3</v>
      </c>
      <c r="H1879" s="917">
        <f>VLOOKUP($A1879,'Tech Litons'!$A:$I,9,FALSE)</f>
        <v>176</v>
      </c>
      <c r="I1879" s="917" t="str">
        <f>VLOOKUP($A1879,'Tech Litons'!$A:$C,3,0)</f>
        <v>48oz</v>
      </c>
      <c r="J1879" s="918" t="str">
        <f t="shared" si="193"/>
        <v>135248oz</v>
      </c>
      <c r="K1879" s="919">
        <v>1</v>
      </c>
      <c r="L1879" s="920">
        <f t="shared" si="192"/>
        <v>9353</v>
      </c>
      <c r="M1879" s="920">
        <f t="shared" si="194"/>
        <v>79.687560000000005</v>
      </c>
      <c r="N1879" s="920">
        <f t="shared" si="195"/>
        <v>53.142045454545453</v>
      </c>
      <c r="O1879" s="918" t="str">
        <f t="shared" si="196"/>
        <v>Feb</v>
      </c>
      <c r="P1879" s="921">
        <f t="shared" si="197"/>
        <v>7</v>
      </c>
    </row>
    <row r="1880" spans="1:16" ht="15" hidden="1" customHeight="1">
      <c r="A1880" s="839">
        <v>69568828</v>
      </c>
      <c r="B1880" s="839">
        <v>1352</v>
      </c>
      <c r="C1880" s="906">
        <v>4613</v>
      </c>
      <c r="D1880" s="907">
        <v>46061</v>
      </c>
      <c r="E1880" s="839" t="s">
        <v>320</v>
      </c>
      <c r="F1880" s="839" t="s">
        <v>290</v>
      </c>
      <c r="G1880" s="916">
        <f>VLOOKUP($A1880,'Tech Litons'!$A:$I,8,FALSE)</f>
        <v>8.5199999999999998E-3</v>
      </c>
      <c r="H1880" s="917">
        <f>VLOOKUP($A1880,'Tech Litons'!$A:$I,9,FALSE)</f>
        <v>176</v>
      </c>
      <c r="I1880" s="917" t="str">
        <f>VLOOKUP($A1880,'Tech Litons'!$A:$C,3,0)</f>
        <v>48oz</v>
      </c>
      <c r="J1880" s="918" t="str">
        <f t="shared" si="193"/>
        <v>135248oz</v>
      </c>
      <c r="K1880" s="919">
        <v>1</v>
      </c>
      <c r="L1880" s="920">
        <f t="shared" si="192"/>
        <v>4613</v>
      </c>
      <c r="M1880" s="920">
        <f t="shared" si="194"/>
        <v>39.302759999999999</v>
      </c>
      <c r="N1880" s="920">
        <f t="shared" si="195"/>
        <v>26.210227272727273</v>
      </c>
      <c r="O1880" s="918" t="str">
        <f t="shared" si="196"/>
        <v>Feb</v>
      </c>
      <c r="P1880" s="921">
        <f t="shared" si="197"/>
        <v>7</v>
      </c>
    </row>
    <row r="1881" spans="1:16" ht="15" hidden="1" customHeight="1">
      <c r="A1881" s="839">
        <v>69568828</v>
      </c>
      <c r="B1881" s="839">
        <v>1352</v>
      </c>
      <c r="C1881" s="906">
        <v>8972</v>
      </c>
      <c r="D1881" s="907">
        <v>46062</v>
      </c>
      <c r="E1881" s="839" t="s">
        <v>320</v>
      </c>
      <c r="F1881" s="839" t="s">
        <v>290</v>
      </c>
      <c r="G1881" s="916">
        <f>VLOOKUP($A1881,'Tech Litons'!$A:$I,8,FALSE)</f>
        <v>8.5199999999999998E-3</v>
      </c>
      <c r="H1881" s="917">
        <f>VLOOKUP($A1881,'Tech Litons'!$A:$I,9,FALSE)</f>
        <v>176</v>
      </c>
      <c r="I1881" s="917" t="str">
        <f>VLOOKUP($A1881,'Tech Litons'!$A:$C,3,0)</f>
        <v>48oz</v>
      </c>
      <c r="J1881" s="918" t="str">
        <f t="shared" si="193"/>
        <v>135248oz</v>
      </c>
      <c r="K1881" s="919">
        <v>1</v>
      </c>
      <c r="L1881" s="920">
        <f t="shared" si="192"/>
        <v>8972</v>
      </c>
      <c r="M1881" s="920">
        <f t="shared" si="194"/>
        <v>76.44144</v>
      </c>
      <c r="N1881" s="920">
        <f t="shared" si="195"/>
        <v>50.977272727272727</v>
      </c>
      <c r="O1881" s="918" t="str">
        <f t="shared" si="196"/>
        <v>Feb</v>
      </c>
      <c r="P1881" s="921">
        <f t="shared" si="197"/>
        <v>7</v>
      </c>
    </row>
    <row r="1882" spans="1:16" ht="15" hidden="1" customHeight="1">
      <c r="A1882" s="839">
        <v>69568828</v>
      </c>
      <c r="B1882" s="839">
        <v>1352</v>
      </c>
      <c r="C1882" s="906">
        <v>4224</v>
      </c>
      <c r="D1882" s="907">
        <v>46062</v>
      </c>
      <c r="E1882" s="839" t="s">
        <v>320</v>
      </c>
      <c r="F1882" s="839" t="s">
        <v>290</v>
      </c>
      <c r="G1882" s="916">
        <f>VLOOKUP($A1882,'Tech Litons'!$A:$I,8,FALSE)</f>
        <v>8.5199999999999998E-3</v>
      </c>
      <c r="H1882" s="917">
        <f>VLOOKUP($A1882,'Tech Litons'!$A:$I,9,FALSE)</f>
        <v>176</v>
      </c>
      <c r="I1882" s="917" t="str">
        <f>VLOOKUP($A1882,'Tech Litons'!$A:$C,3,0)</f>
        <v>48oz</v>
      </c>
      <c r="J1882" s="918" t="str">
        <f t="shared" si="193"/>
        <v>135248oz</v>
      </c>
      <c r="K1882" s="919">
        <v>1</v>
      </c>
      <c r="L1882" s="920">
        <f t="shared" si="192"/>
        <v>4224</v>
      </c>
      <c r="M1882" s="920">
        <f t="shared" si="194"/>
        <v>35.988479999999996</v>
      </c>
      <c r="N1882" s="920">
        <f t="shared" si="195"/>
        <v>24</v>
      </c>
      <c r="O1882" s="918" t="str">
        <f t="shared" si="196"/>
        <v>Feb</v>
      </c>
      <c r="P1882" s="921">
        <f t="shared" si="197"/>
        <v>7</v>
      </c>
    </row>
    <row r="1883" spans="1:16" ht="15" hidden="1" customHeight="1">
      <c r="A1883" s="839">
        <v>69568828</v>
      </c>
      <c r="B1883" s="839">
        <v>1352</v>
      </c>
      <c r="C1883" s="906">
        <v>8533</v>
      </c>
      <c r="D1883" s="907">
        <v>46063</v>
      </c>
      <c r="E1883" s="839" t="s">
        <v>320</v>
      </c>
      <c r="F1883" s="839" t="s">
        <v>290</v>
      </c>
      <c r="G1883" s="916">
        <f>VLOOKUP($A1883,'Tech Litons'!$A:$I,8,FALSE)</f>
        <v>8.5199999999999998E-3</v>
      </c>
      <c r="H1883" s="917">
        <f>VLOOKUP($A1883,'Tech Litons'!$A:$I,9,FALSE)</f>
        <v>176</v>
      </c>
      <c r="I1883" s="917" t="str">
        <f>VLOOKUP($A1883,'Tech Litons'!$A:$C,3,0)</f>
        <v>48oz</v>
      </c>
      <c r="J1883" s="918" t="str">
        <f t="shared" si="193"/>
        <v>135248oz</v>
      </c>
      <c r="K1883" s="919">
        <v>1</v>
      </c>
      <c r="L1883" s="920">
        <f t="shared" si="192"/>
        <v>8533</v>
      </c>
      <c r="M1883" s="920">
        <f t="shared" si="194"/>
        <v>72.701160000000002</v>
      </c>
      <c r="N1883" s="920">
        <f t="shared" si="195"/>
        <v>48.482954545454547</v>
      </c>
      <c r="O1883" s="918" t="str">
        <f t="shared" si="196"/>
        <v>Feb</v>
      </c>
      <c r="P1883" s="921">
        <f t="shared" si="197"/>
        <v>7</v>
      </c>
    </row>
    <row r="1884" spans="1:16" ht="15" hidden="1" customHeight="1">
      <c r="A1884" s="839">
        <v>69568828</v>
      </c>
      <c r="B1884" s="839">
        <v>1352</v>
      </c>
      <c r="C1884" s="906">
        <v>4665</v>
      </c>
      <c r="D1884" s="907">
        <v>46063</v>
      </c>
      <c r="E1884" s="839" t="s">
        <v>320</v>
      </c>
      <c r="F1884" s="839" t="s">
        <v>290</v>
      </c>
      <c r="G1884" s="916">
        <f>VLOOKUP($A1884,'Tech Litons'!$A:$I,8,FALSE)</f>
        <v>8.5199999999999998E-3</v>
      </c>
      <c r="H1884" s="917">
        <f>VLOOKUP($A1884,'Tech Litons'!$A:$I,9,FALSE)</f>
        <v>176</v>
      </c>
      <c r="I1884" s="917" t="str">
        <f>VLOOKUP($A1884,'Tech Litons'!$A:$C,3,0)</f>
        <v>48oz</v>
      </c>
      <c r="J1884" s="918" t="str">
        <f t="shared" si="193"/>
        <v>135248oz</v>
      </c>
      <c r="K1884" s="919">
        <v>1</v>
      </c>
      <c r="L1884" s="920">
        <f t="shared" si="192"/>
        <v>4665</v>
      </c>
      <c r="M1884" s="920">
        <f t="shared" si="194"/>
        <v>39.745799999999996</v>
      </c>
      <c r="N1884" s="920">
        <f t="shared" si="195"/>
        <v>26.505681818181817</v>
      </c>
      <c r="O1884" s="918" t="str">
        <f t="shared" si="196"/>
        <v>Feb</v>
      </c>
      <c r="P1884" s="921">
        <f t="shared" si="197"/>
        <v>7</v>
      </c>
    </row>
    <row r="1885" spans="1:16" ht="15" hidden="1" customHeight="1">
      <c r="A1885" s="839">
        <v>69568828</v>
      </c>
      <c r="B1885" s="839">
        <v>1352</v>
      </c>
      <c r="C1885" s="906">
        <v>1756</v>
      </c>
      <c r="D1885" s="907">
        <v>46064</v>
      </c>
      <c r="E1885" s="839" t="s">
        <v>320</v>
      </c>
      <c r="F1885" s="839" t="s">
        <v>290</v>
      </c>
      <c r="G1885" s="916">
        <f>VLOOKUP($A1885,'Tech Litons'!$A:$I,8,FALSE)</f>
        <v>8.5199999999999998E-3</v>
      </c>
      <c r="H1885" s="917">
        <f>VLOOKUP($A1885,'Tech Litons'!$A:$I,9,FALSE)</f>
        <v>176</v>
      </c>
      <c r="I1885" s="917" t="str">
        <f>VLOOKUP($A1885,'Tech Litons'!$A:$C,3,0)</f>
        <v>48oz</v>
      </c>
      <c r="J1885" s="918" t="str">
        <f t="shared" si="193"/>
        <v>135248oz</v>
      </c>
      <c r="K1885" s="919">
        <v>1</v>
      </c>
      <c r="L1885" s="920">
        <f t="shared" si="192"/>
        <v>1756</v>
      </c>
      <c r="M1885" s="920">
        <f t="shared" si="194"/>
        <v>14.961119999999999</v>
      </c>
      <c r="N1885" s="920">
        <f t="shared" si="195"/>
        <v>9.9772727272727266</v>
      </c>
      <c r="O1885" s="918" t="str">
        <f t="shared" si="196"/>
        <v>Feb</v>
      </c>
      <c r="P1885" s="921">
        <f t="shared" si="197"/>
        <v>7</v>
      </c>
    </row>
    <row r="1886" spans="1:16" ht="15" hidden="1" customHeight="1">
      <c r="A1886" s="839">
        <v>69600846</v>
      </c>
      <c r="B1886" s="839">
        <v>1352</v>
      </c>
      <c r="C1886" s="906">
        <v>1449</v>
      </c>
      <c r="D1886" s="907">
        <v>46057</v>
      </c>
      <c r="E1886" s="839" t="s">
        <v>432</v>
      </c>
      <c r="F1886" s="839" t="s">
        <v>261</v>
      </c>
      <c r="G1886" s="916">
        <f>VLOOKUP($A1886,'Tech Litons'!$A:$I,8,FALSE)</f>
        <v>8.5199999999999998E-3</v>
      </c>
      <c r="H1886" s="917">
        <f>VLOOKUP($A1886,'Tech Litons'!$A:$I,9,FALSE)</f>
        <v>154</v>
      </c>
      <c r="I1886" s="917" t="str">
        <f>VLOOKUP($A1886,'Tech Litons'!$A:$C,3,0)</f>
        <v>48oz</v>
      </c>
      <c r="J1886" s="918" t="str">
        <f t="shared" si="193"/>
        <v>135248oz</v>
      </c>
      <c r="K1886" s="919">
        <v>1</v>
      </c>
      <c r="L1886" s="920">
        <f t="shared" si="192"/>
        <v>1449</v>
      </c>
      <c r="M1886" s="920">
        <f t="shared" si="194"/>
        <v>12.34548</v>
      </c>
      <c r="N1886" s="920">
        <f t="shared" si="195"/>
        <v>9.4090909090909083</v>
      </c>
      <c r="O1886" s="918" t="str">
        <f t="shared" si="196"/>
        <v>Feb</v>
      </c>
      <c r="P1886" s="921">
        <f t="shared" si="197"/>
        <v>6</v>
      </c>
    </row>
    <row r="1887" spans="1:16" ht="15" hidden="1" customHeight="1">
      <c r="A1887" s="839">
        <v>69600846</v>
      </c>
      <c r="B1887" s="839">
        <v>1352</v>
      </c>
      <c r="C1887" s="906">
        <v>2127</v>
      </c>
      <c r="D1887" s="907">
        <v>46057</v>
      </c>
      <c r="E1887" s="839" t="s">
        <v>432</v>
      </c>
      <c r="F1887" s="839" t="s">
        <v>261</v>
      </c>
      <c r="G1887" s="916">
        <f>VLOOKUP($A1887,'Tech Litons'!$A:$I,8,FALSE)</f>
        <v>8.5199999999999998E-3</v>
      </c>
      <c r="H1887" s="917">
        <f>VLOOKUP($A1887,'Tech Litons'!$A:$I,9,FALSE)</f>
        <v>154</v>
      </c>
      <c r="I1887" s="917" t="str">
        <f>VLOOKUP($A1887,'Tech Litons'!$A:$C,3,0)</f>
        <v>48oz</v>
      </c>
      <c r="J1887" s="918" t="str">
        <f t="shared" si="193"/>
        <v>135248oz</v>
      </c>
      <c r="K1887" s="919">
        <v>1</v>
      </c>
      <c r="L1887" s="920">
        <f t="shared" si="192"/>
        <v>2127</v>
      </c>
      <c r="M1887" s="920">
        <f t="shared" si="194"/>
        <v>18.122039999999998</v>
      </c>
      <c r="N1887" s="920">
        <f t="shared" si="195"/>
        <v>13.811688311688311</v>
      </c>
      <c r="O1887" s="918" t="str">
        <f t="shared" si="196"/>
        <v>Feb</v>
      </c>
      <c r="P1887" s="921">
        <f t="shared" si="197"/>
        <v>6</v>
      </c>
    </row>
    <row r="1888" spans="1:16" ht="15" hidden="1" customHeight="1">
      <c r="A1888" s="839">
        <v>69600846</v>
      </c>
      <c r="B1888" s="839">
        <v>1352</v>
      </c>
      <c r="C1888" s="906">
        <v>2225</v>
      </c>
      <c r="D1888" s="907">
        <v>46058</v>
      </c>
      <c r="E1888" s="839" t="s">
        <v>432</v>
      </c>
      <c r="F1888" s="839" t="s">
        <v>261</v>
      </c>
      <c r="G1888" s="916">
        <f>VLOOKUP($A1888,'Tech Litons'!$A:$I,8,FALSE)</f>
        <v>8.5199999999999998E-3</v>
      </c>
      <c r="H1888" s="917">
        <f>VLOOKUP($A1888,'Tech Litons'!$A:$I,9,FALSE)</f>
        <v>154</v>
      </c>
      <c r="I1888" s="917" t="str">
        <f>VLOOKUP($A1888,'Tech Litons'!$A:$C,3,0)</f>
        <v>48oz</v>
      </c>
      <c r="J1888" s="918" t="str">
        <f t="shared" si="193"/>
        <v>135248oz</v>
      </c>
      <c r="K1888" s="919">
        <v>1</v>
      </c>
      <c r="L1888" s="920">
        <f t="shared" si="192"/>
        <v>2225</v>
      </c>
      <c r="M1888" s="920">
        <f t="shared" si="194"/>
        <v>18.957000000000001</v>
      </c>
      <c r="N1888" s="920">
        <f t="shared" si="195"/>
        <v>14.448051948051948</v>
      </c>
      <c r="O1888" s="918" t="str">
        <f t="shared" si="196"/>
        <v>Feb</v>
      </c>
      <c r="P1888" s="921">
        <f t="shared" si="197"/>
        <v>6</v>
      </c>
    </row>
    <row r="1889" spans="1:16" ht="15" hidden="1" customHeight="1">
      <c r="A1889" s="839">
        <v>69600846</v>
      </c>
      <c r="B1889" s="839">
        <v>1352</v>
      </c>
      <c r="C1889" s="906">
        <v>154</v>
      </c>
      <c r="D1889" s="907">
        <v>46062</v>
      </c>
      <c r="E1889" s="839" t="s">
        <v>432</v>
      </c>
      <c r="F1889" s="839" t="s">
        <v>261</v>
      </c>
      <c r="G1889" s="916">
        <f>VLOOKUP($A1889,'Tech Litons'!$A:$I,8,FALSE)</f>
        <v>8.5199999999999998E-3</v>
      </c>
      <c r="H1889" s="917">
        <f>VLOOKUP($A1889,'Tech Litons'!$A:$I,9,FALSE)</f>
        <v>154</v>
      </c>
      <c r="I1889" s="917" t="str">
        <f>VLOOKUP($A1889,'Tech Litons'!$A:$C,3,0)</f>
        <v>48oz</v>
      </c>
      <c r="J1889" s="918" t="str">
        <f t="shared" si="193"/>
        <v>135248oz</v>
      </c>
      <c r="K1889" s="919">
        <v>1</v>
      </c>
      <c r="L1889" s="920">
        <f t="shared" si="192"/>
        <v>154</v>
      </c>
      <c r="M1889" s="920">
        <f t="shared" si="194"/>
        <v>1.3120799999999999</v>
      </c>
      <c r="N1889" s="920">
        <f t="shared" si="195"/>
        <v>1</v>
      </c>
      <c r="O1889" s="918" t="str">
        <f t="shared" si="196"/>
        <v>Feb</v>
      </c>
      <c r="P1889" s="921">
        <f t="shared" si="197"/>
        <v>7</v>
      </c>
    </row>
    <row r="1890" spans="1:16" ht="15" hidden="1" customHeight="1">
      <c r="A1890" s="839">
        <v>69629468</v>
      </c>
      <c r="B1890" s="839">
        <v>1352</v>
      </c>
      <c r="C1890" s="906">
        <v>2461</v>
      </c>
      <c r="D1890" s="907">
        <v>46052</v>
      </c>
      <c r="E1890" s="839" t="s">
        <v>291</v>
      </c>
      <c r="F1890" s="839" t="s">
        <v>222</v>
      </c>
      <c r="G1890" s="916">
        <f>VLOOKUP($A1890,'Tech Litons'!$A:$I,8,FALSE)</f>
        <v>5.2680000000000001E-3</v>
      </c>
      <c r="H1890" s="917">
        <f>VLOOKUP($A1890,'Tech Litons'!$A:$I,9,FALSE)</f>
        <v>130</v>
      </c>
      <c r="I1890" s="917" t="str">
        <f>VLOOKUP($A1890,'Tech Litons'!$A:$C,3,0)</f>
        <v>PG</v>
      </c>
      <c r="J1890" s="918" t="str">
        <f t="shared" si="193"/>
        <v>1352PG</v>
      </c>
      <c r="K1890" s="919">
        <v>1</v>
      </c>
      <c r="L1890" s="920">
        <f t="shared" si="192"/>
        <v>2461</v>
      </c>
      <c r="M1890" s="920">
        <f t="shared" si="194"/>
        <v>12.964548000000001</v>
      </c>
      <c r="N1890" s="920">
        <f t="shared" si="195"/>
        <v>18.930769230769229</v>
      </c>
      <c r="O1890" s="918" t="str">
        <f t="shared" si="196"/>
        <v>Jan</v>
      </c>
      <c r="P1890" s="921">
        <f t="shared" si="197"/>
        <v>5</v>
      </c>
    </row>
    <row r="1891" spans="1:16" ht="15" hidden="1" customHeight="1">
      <c r="A1891" s="839">
        <v>69629468</v>
      </c>
      <c r="B1891" s="839">
        <v>1352</v>
      </c>
      <c r="C1891" s="906">
        <v>2340</v>
      </c>
      <c r="D1891" s="907">
        <v>46052</v>
      </c>
      <c r="E1891" s="839" t="s">
        <v>291</v>
      </c>
      <c r="F1891" s="839" t="s">
        <v>222</v>
      </c>
      <c r="G1891" s="916">
        <f>VLOOKUP($A1891,'Tech Litons'!$A:$I,8,FALSE)</f>
        <v>5.2680000000000001E-3</v>
      </c>
      <c r="H1891" s="917">
        <f>VLOOKUP($A1891,'Tech Litons'!$A:$I,9,FALSE)</f>
        <v>130</v>
      </c>
      <c r="I1891" s="917" t="str">
        <f>VLOOKUP($A1891,'Tech Litons'!$A:$C,3,0)</f>
        <v>PG</v>
      </c>
      <c r="J1891" s="918" t="str">
        <f t="shared" si="193"/>
        <v>1352PG</v>
      </c>
      <c r="K1891" s="919">
        <v>1</v>
      </c>
      <c r="L1891" s="920">
        <f t="shared" si="192"/>
        <v>2340</v>
      </c>
      <c r="M1891" s="920">
        <f t="shared" si="194"/>
        <v>12.327120000000001</v>
      </c>
      <c r="N1891" s="920">
        <f t="shared" si="195"/>
        <v>18</v>
      </c>
      <c r="O1891" s="918" t="str">
        <f t="shared" si="196"/>
        <v>Jan</v>
      </c>
      <c r="P1891" s="921">
        <f t="shared" si="197"/>
        <v>5</v>
      </c>
    </row>
    <row r="1892" spans="1:16" ht="15" hidden="1" customHeight="1">
      <c r="A1892" s="839">
        <v>69629468</v>
      </c>
      <c r="B1892" s="839">
        <v>1352</v>
      </c>
      <c r="C1892" s="906">
        <v>796</v>
      </c>
      <c r="D1892" s="907">
        <v>46053</v>
      </c>
      <c r="E1892" s="839" t="s">
        <v>291</v>
      </c>
      <c r="F1892" s="839" t="s">
        <v>222</v>
      </c>
      <c r="G1892" s="916">
        <f>VLOOKUP($A1892,'Tech Litons'!$A:$I,8,FALSE)</f>
        <v>5.2680000000000001E-3</v>
      </c>
      <c r="H1892" s="917">
        <f>VLOOKUP($A1892,'Tech Litons'!$A:$I,9,FALSE)</f>
        <v>130</v>
      </c>
      <c r="I1892" s="917" t="str">
        <f>VLOOKUP($A1892,'Tech Litons'!$A:$C,3,0)</f>
        <v>PG</v>
      </c>
      <c r="J1892" s="918" t="str">
        <f t="shared" si="193"/>
        <v>1352PG</v>
      </c>
      <c r="K1892" s="919">
        <v>1</v>
      </c>
      <c r="L1892" s="920">
        <f t="shared" si="192"/>
        <v>796</v>
      </c>
      <c r="M1892" s="920">
        <f t="shared" si="194"/>
        <v>4.1933280000000002</v>
      </c>
      <c r="N1892" s="920">
        <f t="shared" si="195"/>
        <v>6.1230769230769226</v>
      </c>
      <c r="O1892" s="918" t="str">
        <f t="shared" si="196"/>
        <v>Jan</v>
      </c>
      <c r="P1892" s="921">
        <f t="shared" si="197"/>
        <v>5</v>
      </c>
    </row>
    <row r="1893" spans="1:16" ht="15" hidden="1" customHeight="1">
      <c r="A1893" s="839">
        <v>69629468</v>
      </c>
      <c r="B1893" s="839">
        <v>1352</v>
      </c>
      <c r="C1893" s="906">
        <v>1300</v>
      </c>
      <c r="D1893" s="907">
        <v>46056</v>
      </c>
      <c r="E1893" s="839" t="s">
        <v>291</v>
      </c>
      <c r="F1893" s="839" t="s">
        <v>222</v>
      </c>
      <c r="G1893" s="916">
        <f>VLOOKUP($A1893,'Tech Litons'!$A:$I,8,FALSE)</f>
        <v>5.2680000000000001E-3</v>
      </c>
      <c r="H1893" s="917">
        <f>VLOOKUP($A1893,'Tech Litons'!$A:$I,9,FALSE)</f>
        <v>130</v>
      </c>
      <c r="I1893" s="917" t="str">
        <f>VLOOKUP($A1893,'Tech Litons'!$A:$C,3,0)</f>
        <v>PG</v>
      </c>
      <c r="J1893" s="918" t="str">
        <f t="shared" si="193"/>
        <v>1352PG</v>
      </c>
      <c r="K1893" s="919">
        <v>1</v>
      </c>
      <c r="L1893" s="920">
        <f t="shared" si="192"/>
        <v>1300</v>
      </c>
      <c r="M1893" s="920">
        <f t="shared" si="194"/>
        <v>6.8483999999999998</v>
      </c>
      <c r="N1893" s="920">
        <f t="shared" si="195"/>
        <v>10</v>
      </c>
      <c r="O1893" s="918" t="str">
        <f t="shared" si="196"/>
        <v>Feb</v>
      </c>
      <c r="P1893" s="921">
        <f t="shared" si="197"/>
        <v>6</v>
      </c>
    </row>
    <row r="1894" spans="1:16" ht="15" hidden="1" customHeight="1">
      <c r="A1894" s="839">
        <v>69629468</v>
      </c>
      <c r="B1894" s="839">
        <v>1352</v>
      </c>
      <c r="C1894" s="906">
        <v>390</v>
      </c>
      <c r="D1894" s="907">
        <v>46057</v>
      </c>
      <c r="E1894" s="839" t="s">
        <v>291</v>
      </c>
      <c r="F1894" s="839" t="s">
        <v>222</v>
      </c>
      <c r="G1894" s="916">
        <f>VLOOKUP($A1894,'Tech Litons'!$A:$I,8,FALSE)</f>
        <v>5.2680000000000001E-3</v>
      </c>
      <c r="H1894" s="917">
        <f>VLOOKUP($A1894,'Tech Litons'!$A:$I,9,FALSE)</f>
        <v>130</v>
      </c>
      <c r="I1894" s="917" t="str">
        <f>VLOOKUP($A1894,'Tech Litons'!$A:$C,3,0)</f>
        <v>PG</v>
      </c>
      <c r="J1894" s="918" t="str">
        <f t="shared" si="193"/>
        <v>1352PG</v>
      </c>
      <c r="K1894" s="919">
        <v>1</v>
      </c>
      <c r="L1894" s="920">
        <f t="shared" si="192"/>
        <v>390</v>
      </c>
      <c r="M1894" s="920">
        <f t="shared" si="194"/>
        <v>2.0545200000000001</v>
      </c>
      <c r="N1894" s="920">
        <f t="shared" si="195"/>
        <v>3</v>
      </c>
      <c r="O1894" s="918" t="str">
        <f t="shared" si="196"/>
        <v>Feb</v>
      </c>
      <c r="P1894" s="921">
        <f t="shared" si="197"/>
        <v>6</v>
      </c>
    </row>
    <row r="1895" spans="1:16" ht="15" hidden="1" customHeight="1">
      <c r="A1895" s="839">
        <v>69629468</v>
      </c>
      <c r="B1895" s="839">
        <v>1352</v>
      </c>
      <c r="C1895" s="906">
        <v>1950</v>
      </c>
      <c r="D1895" s="907">
        <v>46056</v>
      </c>
      <c r="E1895" s="839" t="s">
        <v>291</v>
      </c>
      <c r="F1895" s="839" t="s">
        <v>222</v>
      </c>
      <c r="G1895" s="916">
        <f>VLOOKUP($A1895,'Tech Litons'!$A:$I,8,FALSE)</f>
        <v>5.2680000000000001E-3</v>
      </c>
      <c r="H1895" s="917">
        <f>VLOOKUP($A1895,'Tech Litons'!$A:$I,9,FALSE)</f>
        <v>130</v>
      </c>
      <c r="I1895" s="917" t="str">
        <f>VLOOKUP($A1895,'Tech Litons'!$A:$C,3,0)</f>
        <v>PG</v>
      </c>
      <c r="J1895" s="918" t="str">
        <f t="shared" si="193"/>
        <v>1352PG</v>
      </c>
      <c r="K1895" s="919">
        <v>1</v>
      </c>
      <c r="L1895" s="920">
        <f t="shared" si="192"/>
        <v>1950</v>
      </c>
      <c r="M1895" s="920">
        <f t="shared" si="194"/>
        <v>10.272600000000001</v>
      </c>
      <c r="N1895" s="920">
        <f t="shared" si="195"/>
        <v>15</v>
      </c>
      <c r="O1895" s="918" t="str">
        <f t="shared" si="196"/>
        <v>Feb</v>
      </c>
      <c r="P1895" s="921">
        <f t="shared" si="197"/>
        <v>6</v>
      </c>
    </row>
    <row r="1896" spans="1:16" ht="15" hidden="1" customHeight="1">
      <c r="A1896" s="839">
        <v>69629468</v>
      </c>
      <c r="B1896" s="839">
        <v>1352</v>
      </c>
      <c r="C1896" s="906">
        <v>3543</v>
      </c>
      <c r="D1896" s="907">
        <v>46057</v>
      </c>
      <c r="E1896" s="839" t="s">
        <v>291</v>
      </c>
      <c r="F1896" s="839" t="s">
        <v>222</v>
      </c>
      <c r="G1896" s="916">
        <f>VLOOKUP($A1896,'Tech Litons'!$A:$I,8,FALSE)</f>
        <v>5.2680000000000001E-3</v>
      </c>
      <c r="H1896" s="917">
        <f>VLOOKUP($A1896,'Tech Litons'!$A:$I,9,FALSE)</f>
        <v>130</v>
      </c>
      <c r="I1896" s="917" t="str">
        <f>VLOOKUP($A1896,'Tech Litons'!$A:$C,3,0)</f>
        <v>PG</v>
      </c>
      <c r="J1896" s="918" t="str">
        <f t="shared" si="193"/>
        <v>1352PG</v>
      </c>
      <c r="K1896" s="919">
        <v>1</v>
      </c>
      <c r="L1896" s="920">
        <f t="shared" si="192"/>
        <v>3543</v>
      </c>
      <c r="M1896" s="920">
        <f t="shared" si="194"/>
        <v>18.664524</v>
      </c>
      <c r="N1896" s="920">
        <f t="shared" si="195"/>
        <v>27.253846153846155</v>
      </c>
      <c r="O1896" s="918" t="str">
        <f t="shared" si="196"/>
        <v>Feb</v>
      </c>
      <c r="P1896" s="921">
        <f t="shared" si="197"/>
        <v>6</v>
      </c>
    </row>
    <row r="1897" spans="1:16" ht="15" hidden="1" customHeight="1">
      <c r="A1897" s="839">
        <v>69629468</v>
      </c>
      <c r="B1897" s="839">
        <v>1352</v>
      </c>
      <c r="C1897" s="906">
        <v>1170</v>
      </c>
      <c r="D1897" s="907">
        <v>46057</v>
      </c>
      <c r="E1897" s="839" t="s">
        <v>291</v>
      </c>
      <c r="F1897" s="839" t="s">
        <v>222</v>
      </c>
      <c r="G1897" s="916">
        <f>VLOOKUP($A1897,'Tech Litons'!$A:$I,8,FALSE)</f>
        <v>5.2680000000000001E-3</v>
      </c>
      <c r="H1897" s="917">
        <f>VLOOKUP($A1897,'Tech Litons'!$A:$I,9,FALSE)</f>
        <v>130</v>
      </c>
      <c r="I1897" s="917" t="str">
        <f>VLOOKUP($A1897,'Tech Litons'!$A:$C,3,0)</f>
        <v>PG</v>
      </c>
      <c r="J1897" s="918" t="str">
        <f t="shared" si="193"/>
        <v>1352PG</v>
      </c>
      <c r="K1897" s="919">
        <v>1</v>
      </c>
      <c r="L1897" s="920">
        <f t="shared" si="192"/>
        <v>1170</v>
      </c>
      <c r="M1897" s="920">
        <f t="shared" si="194"/>
        <v>6.1635600000000004</v>
      </c>
      <c r="N1897" s="920">
        <f t="shared" si="195"/>
        <v>9</v>
      </c>
      <c r="O1897" s="918" t="str">
        <f t="shared" si="196"/>
        <v>Feb</v>
      </c>
      <c r="P1897" s="921">
        <f t="shared" si="197"/>
        <v>6</v>
      </c>
    </row>
    <row r="1898" spans="1:16" ht="15" hidden="1" customHeight="1">
      <c r="A1898" s="839">
        <v>69629468</v>
      </c>
      <c r="B1898" s="839">
        <v>1352</v>
      </c>
      <c r="C1898" s="906">
        <v>3710</v>
      </c>
      <c r="D1898" s="907">
        <v>46058</v>
      </c>
      <c r="E1898" s="839" t="s">
        <v>291</v>
      </c>
      <c r="F1898" s="839" t="s">
        <v>222</v>
      </c>
      <c r="G1898" s="916">
        <f>VLOOKUP($A1898,'Tech Litons'!$A:$I,8,FALSE)</f>
        <v>5.2680000000000001E-3</v>
      </c>
      <c r="H1898" s="917">
        <f>VLOOKUP($A1898,'Tech Litons'!$A:$I,9,FALSE)</f>
        <v>130</v>
      </c>
      <c r="I1898" s="917" t="str">
        <f>VLOOKUP($A1898,'Tech Litons'!$A:$C,3,0)</f>
        <v>PG</v>
      </c>
      <c r="J1898" s="918" t="str">
        <f t="shared" si="193"/>
        <v>1352PG</v>
      </c>
      <c r="K1898" s="919">
        <v>1</v>
      </c>
      <c r="L1898" s="920">
        <f t="shared" si="192"/>
        <v>3710</v>
      </c>
      <c r="M1898" s="920">
        <f t="shared" si="194"/>
        <v>19.544280000000001</v>
      </c>
      <c r="N1898" s="920">
        <f t="shared" si="195"/>
        <v>28.53846153846154</v>
      </c>
      <c r="O1898" s="918" t="str">
        <f t="shared" si="196"/>
        <v>Feb</v>
      </c>
      <c r="P1898" s="921">
        <f t="shared" si="197"/>
        <v>6</v>
      </c>
    </row>
    <row r="1899" spans="1:16" ht="15" hidden="1" customHeight="1">
      <c r="A1899" s="839">
        <v>69629468</v>
      </c>
      <c r="B1899" s="839">
        <v>1352</v>
      </c>
      <c r="C1899" s="906">
        <v>2210</v>
      </c>
      <c r="D1899" s="907">
        <v>46058</v>
      </c>
      <c r="E1899" s="839" t="s">
        <v>291</v>
      </c>
      <c r="F1899" s="839" t="s">
        <v>222</v>
      </c>
      <c r="G1899" s="916">
        <f>VLOOKUP($A1899,'Tech Litons'!$A:$I,8,FALSE)</f>
        <v>5.2680000000000001E-3</v>
      </c>
      <c r="H1899" s="917">
        <f>VLOOKUP($A1899,'Tech Litons'!$A:$I,9,FALSE)</f>
        <v>130</v>
      </c>
      <c r="I1899" s="917" t="str">
        <f>VLOOKUP($A1899,'Tech Litons'!$A:$C,3,0)</f>
        <v>PG</v>
      </c>
      <c r="J1899" s="918" t="str">
        <f t="shared" si="193"/>
        <v>1352PG</v>
      </c>
      <c r="K1899" s="919">
        <v>1</v>
      </c>
      <c r="L1899" s="920">
        <f t="shared" si="192"/>
        <v>2210</v>
      </c>
      <c r="M1899" s="920">
        <f t="shared" si="194"/>
        <v>11.64228</v>
      </c>
      <c r="N1899" s="920">
        <f t="shared" si="195"/>
        <v>17</v>
      </c>
      <c r="O1899" s="918" t="str">
        <f t="shared" si="196"/>
        <v>Feb</v>
      </c>
      <c r="P1899" s="921">
        <f t="shared" si="197"/>
        <v>6</v>
      </c>
    </row>
    <row r="1900" spans="1:16" ht="15" hidden="1" customHeight="1">
      <c r="A1900" s="839">
        <v>69629468</v>
      </c>
      <c r="B1900" s="839">
        <v>1352</v>
      </c>
      <c r="C1900" s="906">
        <v>2739</v>
      </c>
      <c r="D1900" s="907">
        <v>46059</v>
      </c>
      <c r="E1900" s="839" t="s">
        <v>291</v>
      </c>
      <c r="F1900" s="839" t="s">
        <v>222</v>
      </c>
      <c r="G1900" s="916">
        <f>VLOOKUP($A1900,'Tech Litons'!$A:$I,8,FALSE)</f>
        <v>5.2680000000000001E-3</v>
      </c>
      <c r="H1900" s="917">
        <f>VLOOKUP($A1900,'Tech Litons'!$A:$I,9,FALSE)</f>
        <v>130</v>
      </c>
      <c r="I1900" s="917" t="str">
        <f>VLOOKUP($A1900,'Tech Litons'!$A:$C,3,0)</f>
        <v>PG</v>
      </c>
      <c r="J1900" s="918" t="str">
        <f t="shared" si="193"/>
        <v>1352PG</v>
      </c>
      <c r="K1900" s="919">
        <v>1</v>
      </c>
      <c r="L1900" s="920">
        <f t="shared" si="192"/>
        <v>2739</v>
      </c>
      <c r="M1900" s="920">
        <f t="shared" si="194"/>
        <v>14.429052</v>
      </c>
      <c r="N1900" s="920">
        <f t="shared" si="195"/>
        <v>21.069230769230771</v>
      </c>
      <c r="O1900" s="918" t="str">
        <f t="shared" si="196"/>
        <v>Feb</v>
      </c>
      <c r="P1900" s="921">
        <f t="shared" si="197"/>
        <v>6</v>
      </c>
    </row>
    <row r="1901" spans="1:16" ht="15" hidden="1" customHeight="1">
      <c r="A1901" s="839">
        <v>69629468</v>
      </c>
      <c r="B1901" s="839">
        <v>1352</v>
      </c>
      <c r="C1901" s="906">
        <v>1040</v>
      </c>
      <c r="D1901" s="907">
        <v>46062</v>
      </c>
      <c r="E1901" s="839" t="s">
        <v>291</v>
      </c>
      <c r="F1901" s="839" t="s">
        <v>222</v>
      </c>
      <c r="G1901" s="916">
        <f>VLOOKUP($A1901,'Tech Litons'!$A:$I,8,FALSE)</f>
        <v>5.2680000000000001E-3</v>
      </c>
      <c r="H1901" s="917">
        <f>VLOOKUP($A1901,'Tech Litons'!$A:$I,9,FALSE)</f>
        <v>130</v>
      </c>
      <c r="I1901" s="917" t="str">
        <f>VLOOKUP($A1901,'Tech Litons'!$A:$C,3,0)</f>
        <v>PG</v>
      </c>
      <c r="J1901" s="918" t="str">
        <f t="shared" si="193"/>
        <v>1352PG</v>
      </c>
      <c r="K1901" s="919">
        <v>1</v>
      </c>
      <c r="L1901" s="920">
        <f t="shared" si="192"/>
        <v>1040</v>
      </c>
      <c r="M1901" s="920">
        <f t="shared" si="194"/>
        <v>5.47872</v>
      </c>
      <c r="N1901" s="920">
        <f t="shared" si="195"/>
        <v>8</v>
      </c>
      <c r="O1901" s="918" t="str">
        <f t="shared" si="196"/>
        <v>Feb</v>
      </c>
      <c r="P1901" s="921">
        <f t="shared" si="197"/>
        <v>7</v>
      </c>
    </row>
    <row r="1902" spans="1:16" ht="15" hidden="1" customHeight="1">
      <c r="A1902" s="839">
        <v>69629468</v>
      </c>
      <c r="B1902" s="839">
        <v>1352</v>
      </c>
      <c r="C1902" s="906">
        <v>3390</v>
      </c>
      <c r="D1902" s="907">
        <v>46063</v>
      </c>
      <c r="E1902" s="839" t="s">
        <v>291</v>
      </c>
      <c r="F1902" s="839" t="s">
        <v>222</v>
      </c>
      <c r="G1902" s="916">
        <f>VLOOKUP($A1902,'Tech Litons'!$A:$I,8,FALSE)</f>
        <v>5.2680000000000001E-3</v>
      </c>
      <c r="H1902" s="917">
        <f>VLOOKUP($A1902,'Tech Litons'!$A:$I,9,FALSE)</f>
        <v>130</v>
      </c>
      <c r="I1902" s="917" t="str">
        <f>VLOOKUP($A1902,'Tech Litons'!$A:$C,3,0)</f>
        <v>PG</v>
      </c>
      <c r="J1902" s="918" t="str">
        <f t="shared" si="193"/>
        <v>1352PG</v>
      </c>
      <c r="K1902" s="919">
        <v>1</v>
      </c>
      <c r="L1902" s="920">
        <f t="shared" si="192"/>
        <v>3390</v>
      </c>
      <c r="M1902" s="920">
        <f t="shared" si="194"/>
        <v>17.858519999999999</v>
      </c>
      <c r="N1902" s="920">
        <f t="shared" si="195"/>
        <v>26.076923076923077</v>
      </c>
      <c r="O1902" s="918" t="str">
        <f t="shared" si="196"/>
        <v>Feb</v>
      </c>
      <c r="P1902" s="921">
        <f t="shared" si="197"/>
        <v>7</v>
      </c>
    </row>
    <row r="1903" spans="1:16" ht="15" hidden="1" customHeight="1">
      <c r="A1903" s="839">
        <v>69629468</v>
      </c>
      <c r="B1903" s="839">
        <v>1352</v>
      </c>
      <c r="C1903" s="906">
        <v>1950</v>
      </c>
      <c r="D1903" s="907">
        <v>46063</v>
      </c>
      <c r="E1903" s="839" t="s">
        <v>291</v>
      </c>
      <c r="F1903" s="839" t="s">
        <v>222</v>
      </c>
      <c r="G1903" s="916">
        <f>VLOOKUP($A1903,'Tech Litons'!$A:$I,8,FALSE)</f>
        <v>5.2680000000000001E-3</v>
      </c>
      <c r="H1903" s="917">
        <f>VLOOKUP($A1903,'Tech Litons'!$A:$I,9,FALSE)</f>
        <v>130</v>
      </c>
      <c r="I1903" s="917" t="str">
        <f>VLOOKUP($A1903,'Tech Litons'!$A:$C,3,0)</f>
        <v>PG</v>
      </c>
      <c r="J1903" s="918" t="str">
        <f t="shared" si="193"/>
        <v>1352PG</v>
      </c>
      <c r="K1903" s="919">
        <v>1</v>
      </c>
      <c r="L1903" s="920">
        <f t="shared" si="192"/>
        <v>1950</v>
      </c>
      <c r="M1903" s="920">
        <f t="shared" si="194"/>
        <v>10.272600000000001</v>
      </c>
      <c r="N1903" s="920">
        <f t="shared" si="195"/>
        <v>15</v>
      </c>
      <c r="O1903" s="918" t="str">
        <f t="shared" si="196"/>
        <v>Feb</v>
      </c>
      <c r="P1903" s="921">
        <f t="shared" si="197"/>
        <v>7</v>
      </c>
    </row>
    <row r="1904" spans="1:16" ht="15" hidden="1" customHeight="1">
      <c r="A1904" s="839">
        <v>69629468</v>
      </c>
      <c r="B1904" s="839">
        <v>1352</v>
      </c>
      <c r="C1904" s="906">
        <v>3621</v>
      </c>
      <c r="D1904" s="907">
        <v>46064</v>
      </c>
      <c r="E1904" s="839" t="s">
        <v>291</v>
      </c>
      <c r="F1904" s="839" t="s">
        <v>222</v>
      </c>
      <c r="G1904" s="916">
        <f>VLOOKUP($A1904,'Tech Litons'!$A:$I,8,FALSE)</f>
        <v>5.2680000000000001E-3</v>
      </c>
      <c r="H1904" s="917">
        <f>VLOOKUP($A1904,'Tech Litons'!$A:$I,9,FALSE)</f>
        <v>130</v>
      </c>
      <c r="I1904" s="917" t="str">
        <f>VLOOKUP($A1904,'Tech Litons'!$A:$C,3,0)</f>
        <v>PG</v>
      </c>
      <c r="J1904" s="918" t="str">
        <f t="shared" si="193"/>
        <v>1352PG</v>
      </c>
      <c r="K1904" s="919">
        <v>1</v>
      </c>
      <c r="L1904" s="920">
        <f t="shared" si="192"/>
        <v>3621</v>
      </c>
      <c r="M1904" s="920">
        <f t="shared" si="194"/>
        <v>19.075427999999999</v>
      </c>
      <c r="N1904" s="920">
        <f t="shared" si="195"/>
        <v>27.853846153846153</v>
      </c>
      <c r="O1904" s="918" t="str">
        <f t="shared" si="196"/>
        <v>Feb</v>
      </c>
      <c r="P1904" s="921">
        <f t="shared" si="197"/>
        <v>7</v>
      </c>
    </row>
    <row r="1905" spans="1:16" ht="15" hidden="1" customHeight="1">
      <c r="A1905" s="839">
        <v>69629468</v>
      </c>
      <c r="B1905" s="839">
        <v>1352</v>
      </c>
      <c r="C1905" s="906">
        <v>2080</v>
      </c>
      <c r="D1905" s="907">
        <v>46064</v>
      </c>
      <c r="E1905" s="839" t="s">
        <v>291</v>
      </c>
      <c r="F1905" s="839" t="s">
        <v>222</v>
      </c>
      <c r="G1905" s="916">
        <f>VLOOKUP($A1905,'Tech Litons'!$A:$I,8,FALSE)</f>
        <v>5.2680000000000001E-3</v>
      </c>
      <c r="H1905" s="917">
        <f>VLOOKUP($A1905,'Tech Litons'!$A:$I,9,FALSE)</f>
        <v>130</v>
      </c>
      <c r="I1905" s="917" t="str">
        <f>VLOOKUP($A1905,'Tech Litons'!$A:$C,3,0)</f>
        <v>PG</v>
      </c>
      <c r="J1905" s="918" t="str">
        <f t="shared" si="193"/>
        <v>1352PG</v>
      </c>
      <c r="K1905" s="919">
        <v>1</v>
      </c>
      <c r="L1905" s="920">
        <f t="shared" si="192"/>
        <v>2080</v>
      </c>
      <c r="M1905" s="920">
        <f t="shared" si="194"/>
        <v>10.95744</v>
      </c>
      <c r="N1905" s="920">
        <f t="shared" si="195"/>
        <v>16</v>
      </c>
      <c r="O1905" s="918" t="str">
        <f t="shared" si="196"/>
        <v>Feb</v>
      </c>
      <c r="P1905" s="921">
        <f t="shared" si="197"/>
        <v>7</v>
      </c>
    </row>
    <row r="1906" spans="1:16" ht="15" hidden="1" customHeight="1">
      <c r="A1906" s="839">
        <v>69629468</v>
      </c>
      <c r="B1906" s="839">
        <v>1352</v>
      </c>
      <c r="C1906" s="906">
        <v>2469</v>
      </c>
      <c r="D1906" s="907">
        <v>46065</v>
      </c>
      <c r="E1906" s="839" t="s">
        <v>291</v>
      </c>
      <c r="F1906" s="839" t="s">
        <v>222</v>
      </c>
      <c r="G1906" s="916">
        <f>VLOOKUP($A1906,'Tech Litons'!$A:$I,8,FALSE)</f>
        <v>5.2680000000000001E-3</v>
      </c>
      <c r="H1906" s="917">
        <f>VLOOKUP($A1906,'Tech Litons'!$A:$I,9,FALSE)</f>
        <v>130</v>
      </c>
      <c r="I1906" s="917" t="str">
        <f>VLOOKUP($A1906,'Tech Litons'!$A:$C,3,0)</f>
        <v>PG</v>
      </c>
      <c r="J1906" s="918" t="str">
        <f t="shared" si="193"/>
        <v>1352PG</v>
      </c>
      <c r="K1906" s="919">
        <v>1</v>
      </c>
      <c r="L1906" s="920">
        <f t="shared" si="192"/>
        <v>2469</v>
      </c>
      <c r="M1906" s="920">
        <f t="shared" si="194"/>
        <v>13.006692000000001</v>
      </c>
      <c r="N1906" s="920">
        <f t="shared" si="195"/>
        <v>18.992307692307691</v>
      </c>
      <c r="O1906" s="918" t="str">
        <f t="shared" si="196"/>
        <v>Feb</v>
      </c>
      <c r="P1906" s="921">
        <f t="shared" si="197"/>
        <v>7</v>
      </c>
    </row>
    <row r="1907" spans="1:16" ht="15" hidden="1" customHeight="1">
      <c r="A1907" s="839">
        <v>69629468</v>
      </c>
      <c r="B1907" s="839">
        <v>1352</v>
      </c>
      <c r="C1907" s="906">
        <v>1300</v>
      </c>
      <c r="D1907" s="907">
        <v>46065</v>
      </c>
      <c r="E1907" s="839" t="s">
        <v>291</v>
      </c>
      <c r="F1907" s="839" t="s">
        <v>222</v>
      </c>
      <c r="G1907" s="916">
        <f>VLOOKUP($A1907,'Tech Litons'!$A:$I,8,FALSE)</f>
        <v>5.2680000000000001E-3</v>
      </c>
      <c r="H1907" s="917">
        <f>VLOOKUP($A1907,'Tech Litons'!$A:$I,9,FALSE)</f>
        <v>130</v>
      </c>
      <c r="I1907" s="917" t="str">
        <f>VLOOKUP($A1907,'Tech Litons'!$A:$C,3,0)</f>
        <v>PG</v>
      </c>
      <c r="J1907" s="918" t="str">
        <f t="shared" si="193"/>
        <v>1352PG</v>
      </c>
      <c r="K1907" s="919">
        <v>1</v>
      </c>
      <c r="L1907" s="920">
        <f t="shared" si="192"/>
        <v>1300</v>
      </c>
      <c r="M1907" s="920">
        <f t="shared" si="194"/>
        <v>6.8483999999999998</v>
      </c>
      <c r="N1907" s="920">
        <f t="shared" si="195"/>
        <v>10</v>
      </c>
      <c r="O1907" s="918" t="str">
        <f t="shared" si="196"/>
        <v>Feb</v>
      </c>
      <c r="P1907" s="921">
        <f t="shared" si="197"/>
        <v>7</v>
      </c>
    </row>
    <row r="1908" spans="1:16" ht="15" hidden="1" customHeight="1">
      <c r="A1908" s="839">
        <v>69629468</v>
      </c>
      <c r="B1908" s="839">
        <v>1352</v>
      </c>
      <c r="C1908" s="906">
        <v>3268</v>
      </c>
      <c r="D1908" s="907">
        <v>46066</v>
      </c>
      <c r="E1908" s="839" t="s">
        <v>291</v>
      </c>
      <c r="F1908" s="839" t="s">
        <v>222</v>
      </c>
      <c r="G1908" s="916">
        <f>VLOOKUP($A1908,'Tech Litons'!$A:$I,8,FALSE)</f>
        <v>5.2680000000000001E-3</v>
      </c>
      <c r="H1908" s="917">
        <f>VLOOKUP($A1908,'Tech Litons'!$A:$I,9,FALSE)</f>
        <v>130</v>
      </c>
      <c r="I1908" s="917" t="str">
        <f>VLOOKUP($A1908,'Tech Litons'!$A:$C,3,0)</f>
        <v>PG</v>
      </c>
      <c r="J1908" s="918" t="str">
        <f t="shared" si="193"/>
        <v>1352PG</v>
      </c>
      <c r="K1908" s="919">
        <v>1</v>
      </c>
      <c r="L1908" s="920">
        <f t="shared" si="192"/>
        <v>3268</v>
      </c>
      <c r="M1908" s="920">
        <f t="shared" si="194"/>
        <v>17.215824000000001</v>
      </c>
      <c r="N1908" s="920">
        <f t="shared" si="195"/>
        <v>25.138461538461538</v>
      </c>
      <c r="O1908" s="918" t="str">
        <f t="shared" si="196"/>
        <v>Feb</v>
      </c>
      <c r="P1908" s="921">
        <f t="shared" si="197"/>
        <v>7</v>
      </c>
    </row>
    <row r="1909" spans="1:16" ht="15" hidden="1" customHeight="1">
      <c r="A1909" s="839">
        <v>69629468</v>
      </c>
      <c r="B1909" s="839">
        <v>1352</v>
      </c>
      <c r="C1909" s="906">
        <v>390</v>
      </c>
      <c r="D1909" s="907">
        <v>46069</v>
      </c>
      <c r="E1909" s="839" t="s">
        <v>291</v>
      </c>
      <c r="F1909" s="839" t="s">
        <v>222</v>
      </c>
      <c r="G1909" s="916">
        <f>VLOOKUP($A1909,'Tech Litons'!$A:$I,8,FALSE)</f>
        <v>5.2680000000000001E-3</v>
      </c>
      <c r="H1909" s="917">
        <f>VLOOKUP($A1909,'Tech Litons'!$A:$I,9,FALSE)</f>
        <v>130</v>
      </c>
      <c r="I1909" s="917" t="str">
        <f>VLOOKUP($A1909,'Tech Litons'!$A:$C,3,0)</f>
        <v>PG</v>
      </c>
      <c r="J1909" s="918" t="str">
        <f t="shared" si="193"/>
        <v>1352PG</v>
      </c>
      <c r="K1909" s="919">
        <v>1</v>
      </c>
      <c r="L1909" s="920">
        <f t="shared" si="192"/>
        <v>390</v>
      </c>
      <c r="M1909" s="920">
        <f t="shared" si="194"/>
        <v>2.0545200000000001</v>
      </c>
      <c r="N1909" s="920">
        <f t="shared" si="195"/>
        <v>3</v>
      </c>
      <c r="O1909" s="918" t="str">
        <f t="shared" si="196"/>
        <v>Feb</v>
      </c>
      <c r="P1909" s="921">
        <f t="shared" si="197"/>
        <v>8</v>
      </c>
    </row>
    <row r="1910" spans="1:16" ht="15" hidden="1" customHeight="1">
      <c r="A1910" s="839">
        <v>69629468</v>
      </c>
      <c r="B1910" s="839">
        <v>1352</v>
      </c>
      <c r="C1910" s="906">
        <v>2628</v>
      </c>
      <c r="D1910" s="907">
        <v>46070</v>
      </c>
      <c r="E1910" s="839" t="s">
        <v>291</v>
      </c>
      <c r="F1910" s="839" t="s">
        <v>222</v>
      </c>
      <c r="G1910" s="916">
        <f>VLOOKUP($A1910,'Tech Litons'!$A:$I,8,FALSE)</f>
        <v>5.2680000000000001E-3</v>
      </c>
      <c r="H1910" s="917">
        <f>VLOOKUP($A1910,'Tech Litons'!$A:$I,9,FALSE)</f>
        <v>130</v>
      </c>
      <c r="I1910" s="917" t="str">
        <f>VLOOKUP($A1910,'Tech Litons'!$A:$C,3,0)</f>
        <v>PG</v>
      </c>
      <c r="J1910" s="918" t="str">
        <f t="shared" si="193"/>
        <v>1352PG</v>
      </c>
      <c r="K1910" s="919">
        <v>1</v>
      </c>
      <c r="L1910" s="920">
        <f t="shared" si="192"/>
        <v>2628</v>
      </c>
      <c r="M1910" s="920">
        <f t="shared" si="194"/>
        <v>13.844304000000001</v>
      </c>
      <c r="N1910" s="920">
        <f t="shared" si="195"/>
        <v>20.215384615384615</v>
      </c>
      <c r="O1910" s="918" t="str">
        <f t="shared" si="196"/>
        <v>Feb</v>
      </c>
      <c r="P1910" s="921">
        <f t="shared" si="197"/>
        <v>8</v>
      </c>
    </row>
    <row r="1911" spans="1:16" ht="15" hidden="1" customHeight="1">
      <c r="A1911" s="839">
        <v>69629468</v>
      </c>
      <c r="B1911" s="839">
        <v>1352</v>
      </c>
      <c r="C1911" s="906">
        <v>1820</v>
      </c>
      <c r="D1911" s="907">
        <v>46070</v>
      </c>
      <c r="E1911" s="839" t="s">
        <v>291</v>
      </c>
      <c r="F1911" s="839" t="s">
        <v>222</v>
      </c>
      <c r="G1911" s="916">
        <f>VLOOKUP($A1911,'Tech Litons'!$A:$I,8,FALSE)</f>
        <v>5.2680000000000001E-3</v>
      </c>
      <c r="H1911" s="917">
        <f>VLOOKUP($A1911,'Tech Litons'!$A:$I,9,FALSE)</f>
        <v>130</v>
      </c>
      <c r="I1911" s="917" t="str">
        <f>VLOOKUP($A1911,'Tech Litons'!$A:$C,3,0)</f>
        <v>PG</v>
      </c>
      <c r="J1911" s="918" t="str">
        <f t="shared" si="193"/>
        <v>1352PG</v>
      </c>
      <c r="K1911" s="919">
        <v>1</v>
      </c>
      <c r="L1911" s="920">
        <f t="shared" si="192"/>
        <v>1820</v>
      </c>
      <c r="M1911" s="920">
        <f t="shared" si="194"/>
        <v>9.5877599999999994</v>
      </c>
      <c r="N1911" s="920">
        <f t="shared" si="195"/>
        <v>14</v>
      </c>
      <c r="O1911" s="918" t="str">
        <f t="shared" si="196"/>
        <v>Feb</v>
      </c>
      <c r="P1911" s="921">
        <f t="shared" si="197"/>
        <v>8</v>
      </c>
    </row>
    <row r="1912" spans="1:16" ht="15" hidden="1" customHeight="1">
      <c r="A1912" s="839">
        <v>69629468</v>
      </c>
      <c r="B1912" s="839">
        <v>1352</v>
      </c>
      <c r="C1912" s="906">
        <v>3182</v>
      </c>
      <c r="D1912" s="907">
        <v>46071</v>
      </c>
      <c r="E1912" s="839" t="s">
        <v>291</v>
      </c>
      <c r="F1912" s="839" t="s">
        <v>222</v>
      </c>
      <c r="G1912" s="916">
        <f>VLOOKUP($A1912,'Tech Litons'!$A:$I,8,FALSE)</f>
        <v>5.2680000000000001E-3</v>
      </c>
      <c r="H1912" s="917">
        <f>VLOOKUP($A1912,'Tech Litons'!$A:$I,9,FALSE)</f>
        <v>130</v>
      </c>
      <c r="I1912" s="917" t="str">
        <f>VLOOKUP($A1912,'Tech Litons'!$A:$C,3,0)</f>
        <v>PG</v>
      </c>
      <c r="J1912" s="918" t="str">
        <f t="shared" si="193"/>
        <v>1352PG</v>
      </c>
      <c r="K1912" s="919">
        <v>1</v>
      </c>
      <c r="L1912" s="920">
        <f t="shared" si="192"/>
        <v>3182</v>
      </c>
      <c r="M1912" s="920">
        <f t="shared" si="194"/>
        <v>16.762775999999999</v>
      </c>
      <c r="N1912" s="920">
        <f t="shared" si="195"/>
        <v>24.476923076923075</v>
      </c>
      <c r="O1912" s="918" t="str">
        <f t="shared" si="196"/>
        <v>Feb</v>
      </c>
      <c r="P1912" s="921">
        <f t="shared" si="197"/>
        <v>8</v>
      </c>
    </row>
    <row r="1913" spans="1:16" ht="15" hidden="1" customHeight="1">
      <c r="A1913" s="839">
        <v>69629468</v>
      </c>
      <c r="B1913" s="839">
        <v>1352</v>
      </c>
      <c r="C1913" s="906">
        <v>2080</v>
      </c>
      <c r="D1913" s="907">
        <v>46071</v>
      </c>
      <c r="E1913" s="839" t="s">
        <v>291</v>
      </c>
      <c r="F1913" s="839" t="s">
        <v>222</v>
      </c>
      <c r="G1913" s="916">
        <f>VLOOKUP($A1913,'Tech Litons'!$A:$I,8,FALSE)</f>
        <v>5.2680000000000001E-3</v>
      </c>
      <c r="H1913" s="917">
        <f>VLOOKUP($A1913,'Tech Litons'!$A:$I,9,FALSE)</f>
        <v>130</v>
      </c>
      <c r="I1913" s="917" t="str">
        <f>VLOOKUP($A1913,'Tech Litons'!$A:$C,3,0)</f>
        <v>PG</v>
      </c>
      <c r="J1913" s="918" t="str">
        <f t="shared" si="193"/>
        <v>1352PG</v>
      </c>
      <c r="K1913" s="919">
        <v>1</v>
      </c>
      <c r="L1913" s="920">
        <f t="shared" si="192"/>
        <v>2080</v>
      </c>
      <c r="M1913" s="920">
        <f t="shared" si="194"/>
        <v>10.95744</v>
      </c>
      <c r="N1913" s="920">
        <f t="shared" si="195"/>
        <v>16</v>
      </c>
      <c r="O1913" s="918" t="str">
        <f t="shared" si="196"/>
        <v>Feb</v>
      </c>
      <c r="P1913" s="921">
        <f t="shared" si="197"/>
        <v>8</v>
      </c>
    </row>
    <row r="1914" spans="1:16" ht="15" hidden="1" customHeight="1">
      <c r="A1914" s="839">
        <v>69629468</v>
      </c>
      <c r="B1914" s="839">
        <v>1352</v>
      </c>
      <c r="C1914" s="906">
        <v>3101</v>
      </c>
      <c r="D1914" s="907">
        <v>46072</v>
      </c>
      <c r="E1914" s="839" t="s">
        <v>291</v>
      </c>
      <c r="F1914" s="839" t="s">
        <v>222</v>
      </c>
      <c r="G1914" s="916">
        <f>VLOOKUP($A1914,'Tech Litons'!$A:$I,8,FALSE)</f>
        <v>5.2680000000000001E-3</v>
      </c>
      <c r="H1914" s="917">
        <f>VLOOKUP($A1914,'Tech Litons'!$A:$I,9,FALSE)</f>
        <v>130</v>
      </c>
      <c r="I1914" s="917" t="str">
        <f>VLOOKUP($A1914,'Tech Litons'!$A:$C,3,0)</f>
        <v>PG</v>
      </c>
      <c r="J1914" s="918" t="str">
        <f t="shared" si="193"/>
        <v>1352PG</v>
      </c>
      <c r="K1914" s="919">
        <v>1</v>
      </c>
      <c r="L1914" s="920">
        <f t="shared" si="192"/>
        <v>3101</v>
      </c>
      <c r="M1914" s="920">
        <f t="shared" si="194"/>
        <v>16.336068000000001</v>
      </c>
      <c r="N1914" s="920">
        <f t="shared" si="195"/>
        <v>23.853846153846153</v>
      </c>
      <c r="O1914" s="918" t="str">
        <f t="shared" si="196"/>
        <v>Feb</v>
      </c>
      <c r="P1914" s="921">
        <f t="shared" si="197"/>
        <v>8</v>
      </c>
    </row>
    <row r="1915" spans="1:16" ht="15" hidden="1" customHeight="1">
      <c r="A1915" s="839">
        <v>69629468</v>
      </c>
      <c r="B1915" s="839">
        <v>1352</v>
      </c>
      <c r="C1915" s="906">
        <v>2210</v>
      </c>
      <c r="D1915" s="907">
        <v>46072</v>
      </c>
      <c r="E1915" s="839" t="s">
        <v>291</v>
      </c>
      <c r="F1915" s="839" t="s">
        <v>222</v>
      </c>
      <c r="G1915" s="916">
        <f>VLOOKUP($A1915,'Tech Litons'!$A:$I,8,FALSE)</f>
        <v>5.2680000000000001E-3</v>
      </c>
      <c r="H1915" s="917">
        <f>VLOOKUP($A1915,'Tech Litons'!$A:$I,9,FALSE)</f>
        <v>130</v>
      </c>
      <c r="I1915" s="917" t="str">
        <f>VLOOKUP($A1915,'Tech Litons'!$A:$C,3,0)</f>
        <v>PG</v>
      </c>
      <c r="J1915" s="918" t="str">
        <f t="shared" si="193"/>
        <v>1352PG</v>
      </c>
      <c r="K1915" s="919">
        <v>1</v>
      </c>
      <c r="L1915" s="920">
        <f t="shared" si="192"/>
        <v>2210</v>
      </c>
      <c r="M1915" s="920">
        <f t="shared" si="194"/>
        <v>11.64228</v>
      </c>
      <c r="N1915" s="920">
        <f t="shared" si="195"/>
        <v>17</v>
      </c>
      <c r="O1915" s="918" t="str">
        <f t="shared" si="196"/>
        <v>Feb</v>
      </c>
      <c r="P1915" s="921">
        <f t="shared" si="197"/>
        <v>8</v>
      </c>
    </row>
    <row r="1916" spans="1:16" ht="15" hidden="1" customHeight="1">
      <c r="A1916" s="839">
        <v>69629468</v>
      </c>
      <c r="B1916" s="839">
        <v>1352</v>
      </c>
      <c r="C1916" s="906">
        <v>3485</v>
      </c>
      <c r="D1916" s="907">
        <v>46073</v>
      </c>
      <c r="E1916" s="839" t="s">
        <v>291</v>
      </c>
      <c r="F1916" s="839" t="s">
        <v>222</v>
      </c>
      <c r="G1916" s="916">
        <f>VLOOKUP($A1916,'Tech Litons'!$A:$I,8,FALSE)</f>
        <v>5.2680000000000001E-3</v>
      </c>
      <c r="H1916" s="917">
        <f>VLOOKUP($A1916,'Tech Litons'!$A:$I,9,FALSE)</f>
        <v>130</v>
      </c>
      <c r="I1916" s="917" t="str">
        <f>VLOOKUP($A1916,'Tech Litons'!$A:$C,3,0)</f>
        <v>PG</v>
      </c>
      <c r="J1916" s="918" t="str">
        <f t="shared" si="193"/>
        <v>1352PG</v>
      </c>
      <c r="K1916" s="919">
        <v>1</v>
      </c>
      <c r="L1916" s="920">
        <f t="shared" si="192"/>
        <v>3485</v>
      </c>
      <c r="M1916" s="920">
        <f t="shared" si="194"/>
        <v>18.358979999999999</v>
      </c>
      <c r="N1916" s="920">
        <f t="shared" si="195"/>
        <v>26.807692307692307</v>
      </c>
      <c r="O1916" s="918" t="str">
        <f t="shared" si="196"/>
        <v>Feb</v>
      </c>
      <c r="P1916" s="921">
        <f t="shared" si="197"/>
        <v>8</v>
      </c>
    </row>
    <row r="1917" spans="1:16" ht="15" hidden="1" customHeight="1">
      <c r="A1917" s="839">
        <v>69629468</v>
      </c>
      <c r="B1917" s="839">
        <v>1352</v>
      </c>
      <c r="C1917" s="906">
        <v>390</v>
      </c>
      <c r="D1917" s="907">
        <v>46073</v>
      </c>
      <c r="E1917" s="839" t="s">
        <v>291</v>
      </c>
      <c r="F1917" s="839" t="s">
        <v>222</v>
      </c>
      <c r="G1917" s="916">
        <f>VLOOKUP($A1917,'Tech Litons'!$A:$I,8,FALSE)</f>
        <v>5.2680000000000001E-3</v>
      </c>
      <c r="H1917" s="917">
        <f>VLOOKUP($A1917,'Tech Litons'!$A:$I,9,FALSE)</f>
        <v>130</v>
      </c>
      <c r="I1917" s="917" t="str">
        <f>VLOOKUP($A1917,'Tech Litons'!$A:$C,3,0)</f>
        <v>PG</v>
      </c>
      <c r="J1917" s="918" t="str">
        <f t="shared" si="193"/>
        <v>1352PG</v>
      </c>
      <c r="K1917" s="919">
        <v>1</v>
      </c>
      <c r="L1917" s="920">
        <f t="shared" si="192"/>
        <v>390</v>
      </c>
      <c r="M1917" s="920">
        <f t="shared" si="194"/>
        <v>2.0545200000000001</v>
      </c>
      <c r="N1917" s="920">
        <f t="shared" si="195"/>
        <v>3</v>
      </c>
      <c r="O1917" s="918" t="str">
        <f t="shared" si="196"/>
        <v>Feb</v>
      </c>
      <c r="P1917" s="921">
        <f t="shared" si="197"/>
        <v>8</v>
      </c>
    </row>
    <row r="1918" spans="1:16" ht="15" hidden="1" customHeight="1">
      <c r="A1918" s="839">
        <v>69629468</v>
      </c>
      <c r="B1918" s="839">
        <v>1352</v>
      </c>
      <c r="C1918" s="906">
        <v>18</v>
      </c>
      <c r="D1918" s="907">
        <v>46074</v>
      </c>
      <c r="E1918" s="839" t="s">
        <v>291</v>
      </c>
      <c r="F1918" s="839" t="s">
        <v>222</v>
      </c>
      <c r="G1918" s="916">
        <f>VLOOKUP($A1918,'Tech Litons'!$A:$I,8,FALSE)</f>
        <v>5.2680000000000001E-3</v>
      </c>
      <c r="H1918" s="917">
        <f>VLOOKUP($A1918,'Tech Litons'!$A:$I,9,FALSE)</f>
        <v>130</v>
      </c>
      <c r="I1918" s="917" t="str">
        <f>VLOOKUP($A1918,'Tech Litons'!$A:$C,3,0)</f>
        <v>PG</v>
      </c>
      <c r="J1918" s="918" t="str">
        <f t="shared" si="193"/>
        <v>1352PG</v>
      </c>
      <c r="K1918" s="919">
        <v>1</v>
      </c>
      <c r="L1918" s="920">
        <f t="shared" si="192"/>
        <v>18</v>
      </c>
      <c r="M1918" s="920">
        <f t="shared" si="194"/>
        <v>9.4824000000000006E-2</v>
      </c>
      <c r="N1918" s="920">
        <f t="shared" si="195"/>
        <v>0.13846153846153847</v>
      </c>
      <c r="O1918" s="918" t="str">
        <f t="shared" si="196"/>
        <v>Feb</v>
      </c>
      <c r="P1918" s="921">
        <f t="shared" si="197"/>
        <v>8</v>
      </c>
    </row>
    <row r="1919" spans="1:16" ht="15" hidden="1" customHeight="1">
      <c r="A1919" s="839">
        <v>69629468</v>
      </c>
      <c r="B1919" s="839">
        <v>1352</v>
      </c>
      <c r="C1919" s="906">
        <v>1170</v>
      </c>
      <c r="D1919" s="907">
        <v>46055</v>
      </c>
      <c r="E1919" s="839" t="s">
        <v>291</v>
      </c>
      <c r="F1919" s="839" t="s">
        <v>222</v>
      </c>
      <c r="G1919" s="916">
        <f>VLOOKUP($A1919,'Tech Litons'!$A:$I,8,FALSE)</f>
        <v>5.2680000000000001E-3</v>
      </c>
      <c r="H1919" s="917">
        <f>VLOOKUP($A1919,'Tech Litons'!$A:$I,9,FALSE)</f>
        <v>130</v>
      </c>
      <c r="I1919" s="917" t="str">
        <f>VLOOKUP($A1919,'Tech Litons'!$A:$C,3,0)</f>
        <v>PG</v>
      </c>
      <c r="J1919" s="918" t="str">
        <f t="shared" si="193"/>
        <v>1352PG</v>
      </c>
      <c r="K1919" s="919">
        <v>1</v>
      </c>
      <c r="L1919" s="920">
        <f t="shared" si="192"/>
        <v>1170</v>
      </c>
      <c r="M1919" s="920">
        <f t="shared" si="194"/>
        <v>6.1635600000000004</v>
      </c>
      <c r="N1919" s="920">
        <f t="shared" si="195"/>
        <v>9</v>
      </c>
      <c r="O1919" s="918" t="str">
        <f t="shared" si="196"/>
        <v>Feb</v>
      </c>
      <c r="P1919" s="921">
        <f t="shared" si="197"/>
        <v>6</v>
      </c>
    </row>
    <row r="1920" spans="1:16" ht="15" hidden="1" customHeight="1">
      <c r="A1920" s="839">
        <v>69629468</v>
      </c>
      <c r="B1920" s="839">
        <v>1352</v>
      </c>
      <c r="C1920" s="906">
        <v>7</v>
      </c>
      <c r="D1920" s="907">
        <v>46056</v>
      </c>
      <c r="E1920" s="839" t="s">
        <v>291</v>
      </c>
      <c r="F1920" s="839" t="s">
        <v>222</v>
      </c>
      <c r="G1920" s="916">
        <f>VLOOKUP($A1920,'Tech Litons'!$A:$I,8,FALSE)</f>
        <v>5.2680000000000001E-3</v>
      </c>
      <c r="H1920" s="917">
        <f>VLOOKUP($A1920,'Tech Litons'!$A:$I,9,FALSE)</f>
        <v>130</v>
      </c>
      <c r="I1920" s="917" t="str">
        <f>VLOOKUP($A1920,'Tech Litons'!$A:$C,3,0)</f>
        <v>PG</v>
      </c>
      <c r="J1920" s="918" t="str">
        <f t="shared" si="193"/>
        <v>1352PG</v>
      </c>
      <c r="K1920" s="919">
        <v>1</v>
      </c>
      <c r="L1920" s="920">
        <f t="shared" si="192"/>
        <v>7</v>
      </c>
      <c r="M1920" s="920">
        <f t="shared" si="194"/>
        <v>3.6875999999999999E-2</v>
      </c>
      <c r="N1920" s="920">
        <f t="shared" si="195"/>
        <v>5.3846153846153849E-2</v>
      </c>
      <c r="O1920" s="918" t="str">
        <f t="shared" si="196"/>
        <v>Feb</v>
      </c>
      <c r="P1920" s="921">
        <f t="shared" si="197"/>
        <v>6</v>
      </c>
    </row>
    <row r="1921" spans="1:16" ht="15" hidden="1" customHeight="1">
      <c r="A1921" s="839">
        <v>69629468</v>
      </c>
      <c r="B1921" s="839">
        <v>1352</v>
      </c>
      <c r="C1921" s="906">
        <v>2080</v>
      </c>
      <c r="D1921" s="907">
        <v>46053</v>
      </c>
      <c r="E1921" s="839" t="s">
        <v>291</v>
      </c>
      <c r="F1921" s="839" t="s">
        <v>222</v>
      </c>
      <c r="G1921" s="916">
        <f>VLOOKUP($A1921,'Tech Litons'!$A:$I,8,FALSE)</f>
        <v>5.2680000000000001E-3</v>
      </c>
      <c r="H1921" s="917">
        <f>VLOOKUP($A1921,'Tech Litons'!$A:$I,9,FALSE)</f>
        <v>130</v>
      </c>
      <c r="I1921" s="917" t="str">
        <f>VLOOKUP($A1921,'Tech Litons'!$A:$C,3,0)</f>
        <v>PG</v>
      </c>
      <c r="J1921" s="918" t="str">
        <f t="shared" si="193"/>
        <v>1352PG</v>
      </c>
      <c r="K1921" s="919">
        <v>1</v>
      </c>
      <c r="L1921" s="920">
        <f t="shared" si="192"/>
        <v>2080</v>
      </c>
      <c r="M1921" s="920">
        <f t="shared" si="194"/>
        <v>10.95744</v>
      </c>
      <c r="N1921" s="920">
        <f t="shared" si="195"/>
        <v>16</v>
      </c>
      <c r="O1921" s="918" t="str">
        <f t="shared" si="196"/>
        <v>Jan</v>
      </c>
      <c r="P1921" s="921">
        <f t="shared" si="197"/>
        <v>5</v>
      </c>
    </row>
    <row r="1922" spans="1:16" ht="15" hidden="1" customHeight="1">
      <c r="A1922" s="839">
        <v>69629468</v>
      </c>
      <c r="B1922" s="839">
        <v>1352</v>
      </c>
      <c r="C1922" s="906">
        <v>77</v>
      </c>
      <c r="D1922" s="907">
        <v>46054</v>
      </c>
      <c r="E1922" s="839" t="s">
        <v>291</v>
      </c>
      <c r="F1922" s="839" t="s">
        <v>222</v>
      </c>
      <c r="G1922" s="916">
        <f>VLOOKUP($A1922,'Tech Litons'!$A:$I,8,FALSE)</f>
        <v>5.2680000000000001E-3</v>
      </c>
      <c r="H1922" s="917">
        <f>VLOOKUP($A1922,'Tech Litons'!$A:$I,9,FALSE)</f>
        <v>130</v>
      </c>
      <c r="I1922" s="917" t="str">
        <f>VLOOKUP($A1922,'Tech Litons'!$A:$C,3,0)</f>
        <v>PG</v>
      </c>
      <c r="J1922" s="918" t="str">
        <f t="shared" si="193"/>
        <v>1352PG</v>
      </c>
      <c r="K1922" s="919">
        <v>1</v>
      </c>
      <c r="L1922" s="920">
        <f t="shared" si="192"/>
        <v>77</v>
      </c>
      <c r="M1922" s="920">
        <f t="shared" si="194"/>
        <v>0.405636</v>
      </c>
      <c r="N1922" s="920">
        <f t="shared" si="195"/>
        <v>0.59230769230769231</v>
      </c>
      <c r="O1922" s="918" t="str">
        <f t="shared" si="196"/>
        <v>Feb</v>
      </c>
      <c r="P1922" s="921">
        <f t="shared" si="197"/>
        <v>6</v>
      </c>
    </row>
    <row r="1923" spans="1:16" ht="15" hidden="1" customHeight="1">
      <c r="A1923" s="839">
        <v>69725082</v>
      </c>
      <c r="B1923" s="839">
        <v>1352</v>
      </c>
      <c r="C1923" s="906">
        <v>231</v>
      </c>
      <c r="D1923" s="907">
        <v>46050</v>
      </c>
      <c r="E1923" s="839" t="s">
        <v>292</v>
      </c>
      <c r="F1923" s="839" t="s">
        <v>223</v>
      </c>
      <c r="G1923" s="916">
        <f>VLOOKUP($A1923,'Tech Litons'!$A:$I,8,FALSE)</f>
        <v>5.2680000000000001E-3</v>
      </c>
      <c r="H1923" s="917">
        <f>VLOOKUP($A1923,'Tech Litons'!$A:$I,9,FALSE)</f>
        <v>130</v>
      </c>
      <c r="I1923" s="917" t="str">
        <f>VLOOKUP($A1923,'Tech Litons'!$A:$C,3,0)</f>
        <v>PG</v>
      </c>
      <c r="J1923" s="918" t="str">
        <f t="shared" si="193"/>
        <v>1352PG</v>
      </c>
      <c r="K1923" s="919">
        <v>1</v>
      </c>
      <c r="L1923" s="920">
        <f t="shared" si="192"/>
        <v>231</v>
      </c>
      <c r="M1923" s="920">
        <f t="shared" si="194"/>
        <v>1.2169080000000001</v>
      </c>
      <c r="N1923" s="920">
        <f t="shared" si="195"/>
        <v>1.7769230769230768</v>
      </c>
      <c r="O1923" s="918" t="str">
        <f t="shared" si="196"/>
        <v>Jan</v>
      </c>
      <c r="P1923" s="921">
        <f t="shared" si="197"/>
        <v>5</v>
      </c>
    </row>
    <row r="1924" spans="1:16" ht="15" hidden="1" customHeight="1">
      <c r="A1924" s="839">
        <v>69725082</v>
      </c>
      <c r="B1924" s="839">
        <v>1352</v>
      </c>
      <c r="C1924" s="906">
        <v>1040</v>
      </c>
      <c r="D1924" s="907">
        <v>46050</v>
      </c>
      <c r="E1924" s="839" t="s">
        <v>292</v>
      </c>
      <c r="F1924" s="839" t="s">
        <v>223</v>
      </c>
      <c r="G1924" s="916">
        <f>VLOOKUP($A1924,'Tech Litons'!$A:$I,8,FALSE)</f>
        <v>5.2680000000000001E-3</v>
      </c>
      <c r="H1924" s="917">
        <f>VLOOKUP($A1924,'Tech Litons'!$A:$I,9,FALSE)</f>
        <v>130</v>
      </c>
      <c r="I1924" s="917" t="str">
        <f>VLOOKUP($A1924,'Tech Litons'!$A:$C,3,0)</f>
        <v>PG</v>
      </c>
      <c r="J1924" s="918" t="str">
        <f t="shared" si="193"/>
        <v>1352PG</v>
      </c>
      <c r="K1924" s="919">
        <v>1</v>
      </c>
      <c r="L1924" s="920">
        <f t="shared" si="192"/>
        <v>1040</v>
      </c>
      <c r="M1924" s="920">
        <f t="shared" si="194"/>
        <v>5.47872</v>
      </c>
      <c r="N1924" s="920">
        <f t="shared" si="195"/>
        <v>8</v>
      </c>
      <c r="O1924" s="918" t="str">
        <f t="shared" si="196"/>
        <v>Jan</v>
      </c>
      <c r="P1924" s="921">
        <f t="shared" si="197"/>
        <v>5</v>
      </c>
    </row>
    <row r="1925" spans="1:16" ht="15" hidden="1" customHeight="1">
      <c r="A1925" s="839">
        <v>69725082</v>
      </c>
      <c r="B1925" s="839">
        <v>1352</v>
      </c>
      <c r="C1925" s="906">
        <v>3227</v>
      </c>
      <c r="D1925" s="907">
        <v>46051</v>
      </c>
      <c r="E1925" s="839" t="s">
        <v>292</v>
      </c>
      <c r="F1925" s="839" t="s">
        <v>223</v>
      </c>
      <c r="G1925" s="916">
        <f>VLOOKUP($A1925,'Tech Litons'!$A:$I,8,FALSE)</f>
        <v>5.2680000000000001E-3</v>
      </c>
      <c r="H1925" s="917">
        <f>VLOOKUP($A1925,'Tech Litons'!$A:$I,9,FALSE)</f>
        <v>130</v>
      </c>
      <c r="I1925" s="917" t="str">
        <f>VLOOKUP($A1925,'Tech Litons'!$A:$C,3,0)</f>
        <v>PG</v>
      </c>
      <c r="J1925" s="918" t="str">
        <f t="shared" si="193"/>
        <v>1352PG</v>
      </c>
      <c r="K1925" s="919">
        <v>1</v>
      </c>
      <c r="L1925" s="920">
        <f t="shared" si="192"/>
        <v>3227</v>
      </c>
      <c r="M1925" s="920">
        <f t="shared" si="194"/>
        <v>16.999836000000002</v>
      </c>
      <c r="N1925" s="920">
        <f t="shared" si="195"/>
        <v>24.823076923076922</v>
      </c>
      <c r="O1925" s="918" t="str">
        <f t="shared" si="196"/>
        <v>Jan</v>
      </c>
      <c r="P1925" s="921">
        <f t="shared" si="197"/>
        <v>5</v>
      </c>
    </row>
    <row r="1926" spans="1:16" ht="15" hidden="1" customHeight="1">
      <c r="A1926" s="839">
        <v>69725082</v>
      </c>
      <c r="B1926" s="839">
        <v>1352</v>
      </c>
      <c r="C1926" s="906">
        <v>1950</v>
      </c>
      <c r="D1926" s="907">
        <v>46051</v>
      </c>
      <c r="E1926" s="839" t="s">
        <v>292</v>
      </c>
      <c r="F1926" s="839" t="s">
        <v>223</v>
      </c>
      <c r="G1926" s="916">
        <f>VLOOKUP($A1926,'Tech Litons'!$A:$I,8,FALSE)</f>
        <v>5.2680000000000001E-3</v>
      </c>
      <c r="H1926" s="917">
        <f>VLOOKUP($A1926,'Tech Litons'!$A:$I,9,FALSE)</f>
        <v>130</v>
      </c>
      <c r="I1926" s="917" t="str">
        <f>VLOOKUP($A1926,'Tech Litons'!$A:$C,3,0)</f>
        <v>PG</v>
      </c>
      <c r="J1926" s="918" t="str">
        <f t="shared" si="193"/>
        <v>1352PG</v>
      </c>
      <c r="K1926" s="919">
        <v>1</v>
      </c>
      <c r="L1926" s="920">
        <f t="shared" si="192"/>
        <v>1950</v>
      </c>
      <c r="M1926" s="920">
        <f t="shared" si="194"/>
        <v>10.272600000000001</v>
      </c>
      <c r="N1926" s="920">
        <f t="shared" si="195"/>
        <v>15</v>
      </c>
      <c r="O1926" s="918" t="str">
        <f t="shared" si="196"/>
        <v>Jan</v>
      </c>
      <c r="P1926" s="921">
        <f t="shared" si="197"/>
        <v>5</v>
      </c>
    </row>
    <row r="1927" spans="1:16" ht="15" hidden="1" customHeight="1">
      <c r="A1927" s="839">
        <v>69725082</v>
      </c>
      <c r="B1927" s="839">
        <v>1352</v>
      </c>
      <c r="C1927" s="906">
        <v>2489</v>
      </c>
      <c r="D1927" s="907">
        <v>46052</v>
      </c>
      <c r="E1927" s="839" t="s">
        <v>292</v>
      </c>
      <c r="F1927" s="839" t="s">
        <v>223</v>
      </c>
      <c r="G1927" s="916">
        <f>VLOOKUP($A1927,'Tech Litons'!$A:$I,8,FALSE)</f>
        <v>5.2680000000000001E-3</v>
      </c>
      <c r="H1927" s="917">
        <f>VLOOKUP($A1927,'Tech Litons'!$A:$I,9,FALSE)</f>
        <v>130</v>
      </c>
      <c r="I1927" s="917" t="str">
        <f>VLOOKUP($A1927,'Tech Litons'!$A:$C,3,0)</f>
        <v>PG</v>
      </c>
      <c r="J1927" s="918" t="str">
        <f t="shared" si="193"/>
        <v>1352PG</v>
      </c>
      <c r="K1927" s="919">
        <v>1</v>
      </c>
      <c r="L1927" s="920">
        <f t="shared" si="192"/>
        <v>2489</v>
      </c>
      <c r="M1927" s="920">
        <f t="shared" si="194"/>
        <v>13.112052</v>
      </c>
      <c r="N1927" s="920">
        <f t="shared" si="195"/>
        <v>19.146153846153847</v>
      </c>
      <c r="O1927" s="918" t="str">
        <f t="shared" si="196"/>
        <v>Jan</v>
      </c>
      <c r="P1927" s="921">
        <f t="shared" si="197"/>
        <v>5</v>
      </c>
    </row>
    <row r="1928" spans="1:16" ht="15" hidden="1" customHeight="1">
      <c r="A1928" s="839">
        <v>69725082</v>
      </c>
      <c r="B1928" s="839">
        <v>1352</v>
      </c>
      <c r="C1928" s="906">
        <v>1560</v>
      </c>
      <c r="D1928" s="907">
        <v>46052</v>
      </c>
      <c r="E1928" s="839" t="s">
        <v>292</v>
      </c>
      <c r="F1928" s="839" t="s">
        <v>223</v>
      </c>
      <c r="G1928" s="916">
        <f>VLOOKUP($A1928,'Tech Litons'!$A:$I,8,FALSE)</f>
        <v>5.2680000000000001E-3</v>
      </c>
      <c r="H1928" s="917">
        <f>VLOOKUP($A1928,'Tech Litons'!$A:$I,9,FALSE)</f>
        <v>130</v>
      </c>
      <c r="I1928" s="917" t="str">
        <f>VLOOKUP($A1928,'Tech Litons'!$A:$C,3,0)</f>
        <v>PG</v>
      </c>
      <c r="J1928" s="918" t="str">
        <f t="shared" si="193"/>
        <v>1352PG</v>
      </c>
      <c r="K1928" s="919">
        <v>1</v>
      </c>
      <c r="L1928" s="920">
        <f t="shared" si="192"/>
        <v>1560</v>
      </c>
      <c r="M1928" s="920">
        <f t="shared" si="194"/>
        <v>8.2180800000000005</v>
      </c>
      <c r="N1928" s="920">
        <f t="shared" si="195"/>
        <v>12</v>
      </c>
      <c r="O1928" s="918" t="str">
        <f t="shared" si="196"/>
        <v>Jan</v>
      </c>
      <c r="P1928" s="921">
        <f t="shared" si="197"/>
        <v>5</v>
      </c>
    </row>
    <row r="1929" spans="1:16" ht="15" hidden="1" customHeight="1">
      <c r="A1929" s="839">
        <v>69725082</v>
      </c>
      <c r="B1929" s="839">
        <v>1352</v>
      </c>
      <c r="C1929" s="906">
        <v>2967</v>
      </c>
      <c r="D1929" s="907">
        <v>46053</v>
      </c>
      <c r="E1929" s="839" t="s">
        <v>292</v>
      </c>
      <c r="F1929" s="839" t="s">
        <v>223</v>
      </c>
      <c r="G1929" s="916">
        <f>VLOOKUP($A1929,'Tech Litons'!$A:$I,8,FALSE)</f>
        <v>5.2680000000000001E-3</v>
      </c>
      <c r="H1929" s="917">
        <f>VLOOKUP($A1929,'Tech Litons'!$A:$I,9,FALSE)</f>
        <v>130</v>
      </c>
      <c r="I1929" s="917" t="str">
        <f>VLOOKUP($A1929,'Tech Litons'!$A:$C,3,0)</f>
        <v>PG</v>
      </c>
      <c r="J1929" s="918" t="str">
        <f t="shared" si="193"/>
        <v>1352PG</v>
      </c>
      <c r="K1929" s="919">
        <v>1</v>
      </c>
      <c r="L1929" s="920">
        <f t="shared" si="192"/>
        <v>2967</v>
      </c>
      <c r="M1929" s="920">
        <f t="shared" si="194"/>
        <v>15.630155999999999</v>
      </c>
      <c r="N1929" s="920">
        <f t="shared" si="195"/>
        <v>22.823076923076922</v>
      </c>
      <c r="O1929" s="918" t="str">
        <f t="shared" si="196"/>
        <v>Jan</v>
      </c>
      <c r="P1929" s="921">
        <f t="shared" si="197"/>
        <v>5</v>
      </c>
    </row>
    <row r="1930" spans="1:16" ht="15" hidden="1" customHeight="1">
      <c r="A1930" s="839">
        <v>69725082</v>
      </c>
      <c r="B1930" s="839">
        <v>1352</v>
      </c>
      <c r="C1930" s="906">
        <v>1040</v>
      </c>
      <c r="D1930" s="907">
        <v>46055</v>
      </c>
      <c r="E1930" s="839" t="s">
        <v>292</v>
      </c>
      <c r="F1930" s="839" t="s">
        <v>223</v>
      </c>
      <c r="G1930" s="916">
        <f>VLOOKUP($A1930,'Tech Litons'!$A:$I,8,FALSE)</f>
        <v>5.2680000000000001E-3</v>
      </c>
      <c r="H1930" s="917">
        <f>VLOOKUP($A1930,'Tech Litons'!$A:$I,9,FALSE)</f>
        <v>130</v>
      </c>
      <c r="I1930" s="917" t="str">
        <f>VLOOKUP($A1930,'Tech Litons'!$A:$C,3,0)</f>
        <v>PG</v>
      </c>
      <c r="J1930" s="918" t="str">
        <f t="shared" si="193"/>
        <v>1352PG</v>
      </c>
      <c r="K1930" s="919">
        <v>1</v>
      </c>
      <c r="L1930" s="920">
        <f t="shared" si="192"/>
        <v>1040</v>
      </c>
      <c r="M1930" s="920">
        <f t="shared" si="194"/>
        <v>5.47872</v>
      </c>
      <c r="N1930" s="920">
        <f t="shared" si="195"/>
        <v>8</v>
      </c>
      <c r="O1930" s="918" t="str">
        <f t="shared" si="196"/>
        <v>Feb</v>
      </c>
      <c r="P1930" s="921">
        <f t="shared" si="197"/>
        <v>6</v>
      </c>
    </row>
    <row r="1931" spans="1:16" ht="15" hidden="1" customHeight="1">
      <c r="A1931" s="839">
        <v>69725082</v>
      </c>
      <c r="B1931" s="839">
        <v>1352</v>
      </c>
      <c r="C1931" s="906">
        <v>3312</v>
      </c>
      <c r="D1931" s="907">
        <v>46056</v>
      </c>
      <c r="E1931" s="839" t="s">
        <v>292</v>
      </c>
      <c r="F1931" s="839" t="s">
        <v>223</v>
      </c>
      <c r="G1931" s="916">
        <f>VLOOKUP($A1931,'Tech Litons'!$A:$I,8,FALSE)</f>
        <v>5.2680000000000001E-3</v>
      </c>
      <c r="H1931" s="917">
        <f>VLOOKUP($A1931,'Tech Litons'!$A:$I,9,FALSE)</f>
        <v>130</v>
      </c>
      <c r="I1931" s="917" t="str">
        <f>VLOOKUP($A1931,'Tech Litons'!$A:$C,3,0)</f>
        <v>PG</v>
      </c>
      <c r="J1931" s="918" t="str">
        <f t="shared" si="193"/>
        <v>1352PG</v>
      </c>
      <c r="K1931" s="919">
        <v>1</v>
      </c>
      <c r="L1931" s="920">
        <f t="shared" si="192"/>
        <v>3312</v>
      </c>
      <c r="M1931" s="920">
        <f t="shared" si="194"/>
        <v>17.447616</v>
      </c>
      <c r="N1931" s="920">
        <f t="shared" si="195"/>
        <v>25.476923076923075</v>
      </c>
      <c r="O1931" s="918" t="str">
        <f t="shared" si="196"/>
        <v>Feb</v>
      </c>
      <c r="P1931" s="921">
        <f t="shared" si="197"/>
        <v>6</v>
      </c>
    </row>
    <row r="1932" spans="1:16" ht="15" hidden="1" customHeight="1">
      <c r="A1932" s="839">
        <v>69725082</v>
      </c>
      <c r="B1932" s="839">
        <v>1352</v>
      </c>
      <c r="C1932" s="906">
        <v>1430</v>
      </c>
      <c r="D1932" s="907">
        <v>46056</v>
      </c>
      <c r="E1932" s="839" t="s">
        <v>292</v>
      </c>
      <c r="F1932" s="839" t="s">
        <v>223</v>
      </c>
      <c r="G1932" s="916">
        <f>VLOOKUP($A1932,'Tech Litons'!$A:$I,8,FALSE)</f>
        <v>5.2680000000000001E-3</v>
      </c>
      <c r="H1932" s="917">
        <f>VLOOKUP($A1932,'Tech Litons'!$A:$I,9,FALSE)</f>
        <v>130</v>
      </c>
      <c r="I1932" s="917" t="str">
        <f>VLOOKUP($A1932,'Tech Litons'!$A:$C,3,0)</f>
        <v>PG</v>
      </c>
      <c r="J1932" s="918" t="str">
        <f t="shared" si="193"/>
        <v>1352PG</v>
      </c>
      <c r="K1932" s="919">
        <v>1</v>
      </c>
      <c r="L1932" s="920">
        <f t="shared" si="192"/>
        <v>1430</v>
      </c>
      <c r="M1932" s="920">
        <f t="shared" si="194"/>
        <v>7.5332400000000002</v>
      </c>
      <c r="N1932" s="920">
        <f t="shared" si="195"/>
        <v>11</v>
      </c>
      <c r="O1932" s="918" t="str">
        <f t="shared" si="196"/>
        <v>Feb</v>
      </c>
      <c r="P1932" s="921">
        <f t="shared" si="197"/>
        <v>6</v>
      </c>
    </row>
    <row r="1933" spans="1:16" ht="15" hidden="1" customHeight="1">
      <c r="A1933" s="839">
        <v>69725082</v>
      </c>
      <c r="B1933" s="839">
        <v>1352</v>
      </c>
      <c r="C1933" s="906">
        <v>1267</v>
      </c>
      <c r="D1933" s="907">
        <v>46057</v>
      </c>
      <c r="E1933" s="839" t="s">
        <v>292</v>
      </c>
      <c r="F1933" s="839" t="s">
        <v>223</v>
      </c>
      <c r="G1933" s="916">
        <f>VLOOKUP($A1933,'Tech Litons'!$A:$I,8,FALSE)</f>
        <v>5.2680000000000001E-3</v>
      </c>
      <c r="H1933" s="917">
        <f>VLOOKUP($A1933,'Tech Litons'!$A:$I,9,FALSE)</f>
        <v>130</v>
      </c>
      <c r="I1933" s="917" t="str">
        <f>VLOOKUP($A1933,'Tech Litons'!$A:$C,3,0)</f>
        <v>PG</v>
      </c>
      <c r="J1933" s="918" t="str">
        <f t="shared" si="193"/>
        <v>1352PG</v>
      </c>
      <c r="K1933" s="919">
        <v>1</v>
      </c>
      <c r="L1933" s="920">
        <f t="shared" ref="L1933:L1994" si="198">C1933*$K1933</f>
        <v>1267</v>
      </c>
      <c r="M1933" s="920">
        <f t="shared" si="194"/>
        <v>6.6745559999999999</v>
      </c>
      <c r="N1933" s="920">
        <f t="shared" si="195"/>
        <v>9.7461538461538453</v>
      </c>
      <c r="O1933" s="918" t="str">
        <f t="shared" si="196"/>
        <v>Feb</v>
      </c>
      <c r="P1933" s="921">
        <f t="shared" si="197"/>
        <v>6</v>
      </c>
    </row>
    <row r="1934" spans="1:16" ht="15" hidden="1" customHeight="1">
      <c r="A1934" s="839">
        <v>69725082</v>
      </c>
      <c r="B1934" s="839">
        <v>1352</v>
      </c>
      <c r="C1934" s="906">
        <v>1690</v>
      </c>
      <c r="D1934" s="907">
        <v>46057</v>
      </c>
      <c r="E1934" s="839" t="s">
        <v>292</v>
      </c>
      <c r="F1934" s="839" t="s">
        <v>223</v>
      </c>
      <c r="G1934" s="916">
        <f>VLOOKUP($A1934,'Tech Litons'!$A:$I,8,FALSE)</f>
        <v>5.2680000000000001E-3</v>
      </c>
      <c r="H1934" s="917">
        <f>VLOOKUP($A1934,'Tech Litons'!$A:$I,9,FALSE)</f>
        <v>130</v>
      </c>
      <c r="I1934" s="917" t="str">
        <f>VLOOKUP($A1934,'Tech Litons'!$A:$C,3,0)</f>
        <v>PG</v>
      </c>
      <c r="J1934" s="918" t="str">
        <f t="shared" ref="J1934:J1995" si="199">B1934&amp;I1934</f>
        <v>1352PG</v>
      </c>
      <c r="K1934" s="919">
        <v>1</v>
      </c>
      <c r="L1934" s="920">
        <f t="shared" si="198"/>
        <v>1690</v>
      </c>
      <c r="M1934" s="920">
        <f t="shared" ref="M1934:M1995" si="200">L1934*G1934</f>
        <v>8.9029199999999999</v>
      </c>
      <c r="N1934" s="920">
        <f t="shared" ref="N1934:N1995" si="201">L1934/H1934</f>
        <v>13</v>
      </c>
      <c r="O1934" s="918" t="str">
        <f t="shared" ref="O1934:O1995" si="202">TEXT(D1934,"MMM")</f>
        <v>Feb</v>
      </c>
      <c r="P1934" s="921">
        <f t="shared" ref="P1934:P1995" si="203">WEEKNUM(D1934)</f>
        <v>6</v>
      </c>
    </row>
    <row r="1935" spans="1:16" ht="15" hidden="1" customHeight="1">
      <c r="A1935" s="839">
        <v>69725082</v>
      </c>
      <c r="B1935" s="839">
        <v>1352</v>
      </c>
      <c r="C1935" s="906">
        <v>3367</v>
      </c>
      <c r="D1935" s="907">
        <v>46058</v>
      </c>
      <c r="E1935" s="839" t="s">
        <v>292</v>
      </c>
      <c r="F1935" s="839" t="s">
        <v>223</v>
      </c>
      <c r="G1935" s="916">
        <f>VLOOKUP($A1935,'Tech Litons'!$A:$I,8,FALSE)</f>
        <v>5.2680000000000001E-3</v>
      </c>
      <c r="H1935" s="917">
        <f>VLOOKUP($A1935,'Tech Litons'!$A:$I,9,FALSE)</f>
        <v>130</v>
      </c>
      <c r="I1935" s="917" t="str">
        <f>VLOOKUP($A1935,'Tech Litons'!$A:$C,3,0)</f>
        <v>PG</v>
      </c>
      <c r="J1935" s="918" t="str">
        <f t="shared" si="199"/>
        <v>1352PG</v>
      </c>
      <c r="K1935" s="919">
        <v>1</v>
      </c>
      <c r="L1935" s="920">
        <f t="shared" si="198"/>
        <v>3367</v>
      </c>
      <c r="M1935" s="920">
        <f t="shared" si="200"/>
        <v>17.737356000000002</v>
      </c>
      <c r="N1935" s="920">
        <f t="shared" si="201"/>
        <v>25.9</v>
      </c>
      <c r="O1935" s="918" t="str">
        <f t="shared" si="202"/>
        <v>Feb</v>
      </c>
      <c r="P1935" s="921">
        <f t="shared" si="203"/>
        <v>6</v>
      </c>
    </row>
    <row r="1936" spans="1:16" ht="15" hidden="1" customHeight="1">
      <c r="A1936" s="839">
        <v>69725082</v>
      </c>
      <c r="B1936" s="839">
        <v>1352</v>
      </c>
      <c r="C1936" s="906">
        <v>1820</v>
      </c>
      <c r="D1936" s="907">
        <v>46058</v>
      </c>
      <c r="E1936" s="839" t="s">
        <v>292</v>
      </c>
      <c r="F1936" s="839" t="s">
        <v>223</v>
      </c>
      <c r="G1936" s="916">
        <f>VLOOKUP($A1936,'Tech Litons'!$A:$I,8,FALSE)</f>
        <v>5.2680000000000001E-3</v>
      </c>
      <c r="H1936" s="917">
        <f>VLOOKUP($A1936,'Tech Litons'!$A:$I,9,FALSE)</f>
        <v>130</v>
      </c>
      <c r="I1936" s="917" t="str">
        <f>VLOOKUP($A1936,'Tech Litons'!$A:$C,3,0)</f>
        <v>PG</v>
      </c>
      <c r="J1936" s="918" t="str">
        <f t="shared" si="199"/>
        <v>1352PG</v>
      </c>
      <c r="K1936" s="919">
        <v>1</v>
      </c>
      <c r="L1936" s="920">
        <f t="shared" si="198"/>
        <v>1820</v>
      </c>
      <c r="M1936" s="920">
        <f t="shared" si="200"/>
        <v>9.5877599999999994</v>
      </c>
      <c r="N1936" s="920">
        <f t="shared" si="201"/>
        <v>14</v>
      </c>
      <c r="O1936" s="918" t="str">
        <f t="shared" si="202"/>
        <v>Feb</v>
      </c>
      <c r="P1936" s="921">
        <f t="shared" si="203"/>
        <v>6</v>
      </c>
    </row>
    <row r="1937" spans="1:16" ht="15" hidden="1" customHeight="1">
      <c r="A1937" s="839">
        <v>69725082</v>
      </c>
      <c r="B1937" s="839">
        <v>1352</v>
      </c>
      <c r="C1937" s="906">
        <v>3510</v>
      </c>
      <c r="D1937" s="907">
        <v>46059</v>
      </c>
      <c r="E1937" s="839" t="s">
        <v>292</v>
      </c>
      <c r="F1937" s="839" t="s">
        <v>223</v>
      </c>
      <c r="G1937" s="916">
        <f>VLOOKUP($A1937,'Tech Litons'!$A:$I,8,FALSE)</f>
        <v>5.2680000000000001E-3</v>
      </c>
      <c r="H1937" s="917">
        <f>VLOOKUP($A1937,'Tech Litons'!$A:$I,9,FALSE)</f>
        <v>130</v>
      </c>
      <c r="I1937" s="917" t="str">
        <f>VLOOKUP($A1937,'Tech Litons'!$A:$C,3,0)</f>
        <v>PG</v>
      </c>
      <c r="J1937" s="918" t="str">
        <f t="shared" si="199"/>
        <v>1352PG</v>
      </c>
      <c r="K1937" s="919">
        <v>1</v>
      </c>
      <c r="L1937" s="920">
        <f t="shared" si="198"/>
        <v>3510</v>
      </c>
      <c r="M1937" s="920">
        <f t="shared" si="200"/>
        <v>18.490680000000001</v>
      </c>
      <c r="N1937" s="920">
        <f t="shared" si="201"/>
        <v>27</v>
      </c>
      <c r="O1937" s="918" t="str">
        <f t="shared" si="202"/>
        <v>Feb</v>
      </c>
      <c r="P1937" s="921">
        <f t="shared" si="203"/>
        <v>6</v>
      </c>
    </row>
    <row r="1938" spans="1:16" ht="15" hidden="1" customHeight="1">
      <c r="A1938" s="839">
        <v>69725082</v>
      </c>
      <c r="B1938" s="839">
        <v>1352</v>
      </c>
      <c r="C1938" s="906">
        <v>1690</v>
      </c>
      <c r="D1938" s="907">
        <v>46059</v>
      </c>
      <c r="E1938" s="839" t="s">
        <v>292</v>
      </c>
      <c r="F1938" s="839" t="s">
        <v>223</v>
      </c>
      <c r="G1938" s="916">
        <f>VLOOKUP($A1938,'Tech Litons'!$A:$I,8,FALSE)</f>
        <v>5.2680000000000001E-3</v>
      </c>
      <c r="H1938" s="917">
        <f>VLOOKUP($A1938,'Tech Litons'!$A:$I,9,FALSE)</f>
        <v>130</v>
      </c>
      <c r="I1938" s="917" t="str">
        <f>VLOOKUP($A1938,'Tech Litons'!$A:$C,3,0)</f>
        <v>PG</v>
      </c>
      <c r="J1938" s="918" t="str">
        <f t="shared" si="199"/>
        <v>1352PG</v>
      </c>
      <c r="K1938" s="919">
        <v>1</v>
      </c>
      <c r="L1938" s="920">
        <f t="shared" si="198"/>
        <v>1690</v>
      </c>
      <c r="M1938" s="920">
        <f t="shared" si="200"/>
        <v>8.9029199999999999</v>
      </c>
      <c r="N1938" s="920">
        <f t="shared" si="201"/>
        <v>13</v>
      </c>
      <c r="O1938" s="918" t="str">
        <f t="shared" si="202"/>
        <v>Feb</v>
      </c>
      <c r="P1938" s="921">
        <f t="shared" si="203"/>
        <v>6</v>
      </c>
    </row>
    <row r="1939" spans="1:16" ht="15" hidden="1" customHeight="1">
      <c r="A1939" s="839">
        <v>69725082</v>
      </c>
      <c r="B1939" s="839">
        <v>1352</v>
      </c>
      <c r="C1939" s="906">
        <v>3094</v>
      </c>
      <c r="D1939" s="907">
        <v>46060</v>
      </c>
      <c r="E1939" s="839" t="s">
        <v>292</v>
      </c>
      <c r="F1939" s="839" t="s">
        <v>223</v>
      </c>
      <c r="G1939" s="916">
        <f>VLOOKUP($A1939,'Tech Litons'!$A:$I,8,FALSE)</f>
        <v>5.2680000000000001E-3</v>
      </c>
      <c r="H1939" s="917">
        <f>VLOOKUP($A1939,'Tech Litons'!$A:$I,9,FALSE)</f>
        <v>130</v>
      </c>
      <c r="I1939" s="917" t="str">
        <f>VLOOKUP($A1939,'Tech Litons'!$A:$C,3,0)</f>
        <v>PG</v>
      </c>
      <c r="J1939" s="918" t="str">
        <f t="shared" si="199"/>
        <v>1352PG</v>
      </c>
      <c r="K1939" s="919">
        <v>1</v>
      </c>
      <c r="L1939" s="920">
        <f t="shared" si="198"/>
        <v>3094</v>
      </c>
      <c r="M1939" s="920">
        <f t="shared" si="200"/>
        <v>16.299192000000001</v>
      </c>
      <c r="N1939" s="920">
        <f t="shared" si="201"/>
        <v>23.8</v>
      </c>
      <c r="O1939" s="918" t="str">
        <f t="shared" si="202"/>
        <v>Feb</v>
      </c>
      <c r="P1939" s="921">
        <f t="shared" si="203"/>
        <v>6</v>
      </c>
    </row>
    <row r="1940" spans="1:16" ht="15" hidden="1" customHeight="1">
      <c r="A1940" s="839">
        <v>69725082</v>
      </c>
      <c r="B1940" s="839">
        <v>1352</v>
      </c>
      <c r="C1940" s="906">
        <v>390</v>
      </c>
      <c r="D1940" s="907">
        <v>46062</v>
      </c>
      <c r="E1940" s="839" t="s">
        <v>292</v>
      </c>
      <c r="F1940" s="839" t="s">
        <v>224</v>
      </c>
      <c r="G1940" s="916">
        <f>VLOOKUP($A1940,'Tech Litons'!$A:$I,8,FALSE)</f>
        <v>5.2680000000000001E-3</v>
      </c>
      <c r="H1940" s="917">
        <f>VLOOKUP($A1940,'Tech Litons'!$A:$I,9,FALSE)</f>
        <v>130</v>
      </c>
      <c r="I1940" s="917" t="str">
        <f>VLOOKUP($A1940,'Tech Litons'!$A:$C,3,0)</f>
        <v>PG</v>
      </c>
      <c r="J1940" s="918" t="str">
        <f t="shared" si="199"/>
        <v>1352PG</v>
      </c>
      <c r="K1940" s="919">
        <v>1</v>
      </c>
      <c r="L1940" s="920">
        <f t="shared" si="198"/>
        <v>390</v>
      </c>
      <c r="M1940" s="920">
        <f t="shared" si="200"/>
        <v>2.0545200000000001</v>
      </c>
      <c r="N1940" s="920">
        <f t="shared" si="201"/>
        <v>3</v>
      </c>
      <c r="O1940" s="918" t="str">
        <f t="shared" si="202"/>
        <v>Feb</v>
      </c>
      <c r="P1940" s="921">
        <f t="shared" si="203"/>
        <v>7</v>
      </c>
    </row>
    <row r="1941" spans="1:16" ht="15" hidden="1" customHeight="1">
      <c r="A1941" s="839">
        <v>69725082</v>
      </c>
      <c r="B1941" s="839">
        <v>1352</v>
      </c>
      <c r="C1941" s="906">
        <v>1297</v>
      </c>
      <c r="D1941" s="907">
        <v>46063</v>
      </c>
      <c r="E1941" s="839" t="s">
        <v>292</v>
      </c>
      <c r="F1941" s="839" t="s">
        <v>224</v>
      </c>
      <c r="G1941" s="916">
        <f>VLOOKUP($A1941,'Tech Litons'!$A:$I,8,FALSE)</f>
        <v>5.2680000000000001E-3</v>
      </c>
      <c r="H1941" s="917">
        <f>VLOOKUP($A1941,'Tech Litons'!$A:$I,9,FALSE)</f>
        <v>130</v>
      </c>
      <c r="I1941" s="917" t="str">
        <f>VLOOKUP($A1941,'Tech Litons'!$A:$C,3,0)</f>
        <v>PG</v>
      </c>
      <c r="J1941" s="918" t="str">
        <f t="shared" si="199"/>
        <v>1352PG</v>
      </c>
      <c r="K1941" s="919">
        <v>1</v>
      </c>
      <c r="L1941" s="920">
        <f t="shared" si="198"/>
        <v>1297</v>
      </c>
      <c r="M1941" s="920">
        <f t="shared" si="200"/>
        <v>6.8325960000000006</v>
      </c>
      <c r="N1941" s="920">
        <f t="shared" si="201"/>
        <v>9.976923076923077</v>
      </c>
      <c r="O1941" s="918" t="str">
        <f t="shared" si="202"/>
        <v>Feb</v>
      </c>
      <c r="P1941" s="921">
        <f t="shared" si="203"/>
        <v>7</v>
      </c>
    </row>
    <row r="1942" spans="1:16" ht="15" hidden="1" customHeight="1">
      <c r="A1942" s="839">
        <v>69725082</v>
      </c>
      <c r="B1942" s="839">
        <v>1352</v>
      </c>
      <c r="C1942" s="906">
        <v>780</v>
      </c>
      <c r="D1942" s="907">
        <v>46063</v>
      </c>
      <c r="E1942" s="839" t="s">
        <v>292</v>
      </c>
      <c r="F1942" s="839" t="s">
        <v>224</v>
      </c>
      <c r="G1942" s="916">
        <f>VLOOKUP($A1942,'Tech Litons'!$A:$I,8,FALSE)</f>
        <v>5.2680000000000001E-3</v>
      </c>
      <c r="H1942" s="917">
        <f>VLOOKUP($A1942,'Tech Litons'!$A:$I,9,FALSE)</f>
        <v>130</v>
      </c>
      <c r="I1942" s="917" t="str">
        <f>VLOOKUP($A1942,'Tech Litons'!$A:$C,3,0)</f>
        <v>PG</v>
      </c>
      <c r="J1942" s="918" t="str">
        <f t="shared" si="199"/>
        <v>1352PG</v>
      </c>
      <c r="K1942" s="919">
        <v>1</v>
      </c>
      <c r="L1942" s="920">
        <f t="shared" si="198"/>
        <v>780</v>
      </c>
      <c r="M1942" s="920">
        <f t="shared" si="200"/>
        <v>4.1090400000000002</v>
      </c>
      <c r="N1942" s="920">
        <f t="shared" si="201"/>
        <v>6</v>
      </c>
      <c r="O1942" s="918" t="str">
        <f t="shared" si="202"/>
        <v>Feb</v>
      </c>
      <c r="P1942" s="921">
        <f t="shared" si="203"/>
        <v>7</v>
      </c>
    </row>
    <row r="1943" spans="1:16" ht="15" hidden="1" customHeight="1">
      <c r="A1943" s="839">
        <v>69725082</v>
      </c>
      <c r="B1943" s="839">
        <v>1352</v>
      </c>
      <c r="C1943" s="906">
        <v>1977</v>
      </c>
      <c r="D1943" s="907">
        <v>46064</v>
      </c>
      <c r="E1943" s="839" t="s">
        <v>292</v>
      </c>
      <c r="F1943" s="839" t="s">
        <v>224</v>
      </c>
      <c r="G1943" s="916">
        <f>VLOOKUP($A1943,'Tech Litons'!$A:$I,8,FALSE)</f>
        <v>5.2680000000000001E-3</v>
      </c>
      <c r="H1943" s="917">
        <f>VLOOKUP($A1943,'Tech Litons'!$A:$I,9,FALSE)</f>
        <v>130</v>
      </c>
      <c r="I1943" s="917" t="str">
        <f>VLOOKUP($A1943,'Tech Litons'!$A:$C,3,0)</f>
        <v>PG</v>
      </c>
      <c r="J1943" s="918" t="str">
        <f t="shared" si="199"/>
        <v>1352PG</v>
      </c>
      <c r="K1943" s="919">
        <v>1</v>
      </c>
      <c r="L1943" s="920">
        <f t="shared" si="198"/>
        <v>1977</v>
      </c>
      <c r="M1943" s="920">
        <f t="shared" si="200"/>
        <v>10.414836000000001</v>
      </c>
      <c r="N1943" s="920">
        <f t="shared" si="201"/>
        <v>15.207692307692307</v>
      </c>
      <c r="O1943" s="918" t="str">
        <f t="shared" si="202"/>
        <v>Feb</v>
      </c>
      <c r="P1943" s="921">
        <f t="shared" si="203"/>
        <v>7</v>
      </c>
    </row>
    <row r="1944" spans="1:16" ht="15" hidden="1" customHeight="1">
      <c r="A1944" s="839">
        <v>69725082</v>
      </c>
      <c r="B1944" s="839">
        <v>1352</v>
      </c>
      <c r="C1944" s="906">
        <v>780</v>
      </c>
      <c r="D1944" s="907">
        <v>46064</v>
      </c>
      <c r="E1944" s="839" t="s">
        <v>292</v>
      </c>
      <c r="F1944" s="839" t="s">
        <v>224</v>
      </c>
      <c r="G1944" s="916">
        <f>VLOOKUP($A1944,'Tech Litons'!$A:$I,8,FALSE)</f>
        <v>5.2680000000000001E-3</v>
      </c>
      <c r="H1944" s="917">
        <f>VLOOKUP($A1944,'Tech Litons'!$A:$I,9,FALSE)</f>
        <v>130</v>
      </c>
      <c r="I1944" s="917" t="str">
        <f>VLOOKUP($A1944,'Tech Litons'!$A:$C,3,0)</f>
        <v>PG</v>
      </c>
      <c r="J1944" s="918" t="str">
        <f t="shared" si="199"/>
        <v>1352PG</v>
      </c>
      <c r="K1944" s="919">
        <v>1</v>
      </c>
      <c r="L1944" s="920">
        <f t="shared" si="198"/>
        <v>780</v>
      </c>
      <c r="M1944" s="920">
        <f t="shared" si="200"/>
        <v>4.1090400000000002</v>
      </c>
      <c r="N1944" s="920">
        <f t="shared" si="201"/>
        <v>6</v>
      </c>
      <c r="O1944" s="918" t="str">
        <f t="shared" si="202"/>
        <v>Feb</v>
      </c>
      <c r="P1944" s="921">
        <f t="shared" si="203"/>
        <v>7</v>
      </c>
    </row>
    <row r="1945" spans="1:16" ht="15" hidden="1" customHeight="1">
      <c r="A1945" s="839">
        <v>69725082</v>
      </c>
      <c r="B1945" s="839">
        <v>1352</v>
      </c>
      <c r="C1945" s="906">
        <v>1901</v>
      </c>
      <c r="D1945" s="907">
        <v>46065</v>
      </c>
      <c r="E1945" s="839" t="s">
        <v>292</v>
      </c>
      <c r="F1945" s="839" t="s">
        <v>224</v>
      </c>
      <c r="G1945" s="916">
        <f>VLOOKUP($A1945,'Tech Litons'!$A:$I,8,FALSE)</f>
        <v>5.2680000000000001E-3</v>
      </c>
      <c r="H1945" s="917">
        <f>VLOOKUP($A1945,'Tech Litons'!$A:$I,9,FALSE)</f>
        <v>130</v>
      </c>
      <c r="I1945" s="917" t="str">
        <f>VLOOKUP($A1945,'Tech Litons'!$A:$C,3,0)</f>
        <v>PG</v>
      </c>
      <c r="J1945" s="918" t="str">
        <f t="shared" si="199"/>
        <v>1352PG</v>
      </c>
      <c r="K1945" s="919">
        <v>1</v>
      </c>
      <c r="L1945" s="920">
        <f t="shared" si="198"/>
        <v>1901</v>
      </c>
      <c r="M1945" s="920">
        <f t="shared" si="200"/>
        <v>10.014468000000001</v>
      </c>
      <c r="N1945" s="920">
        <f t="shared" si="201"/>
        <v>14.623076923076923</v>
      </c>
      <c r="O1945" s="918" t="str">
        <f t="shared" si="202"/>
        <v>Feb</v>
      </c>
      <c r="P1945" s="921">
        <f t="shared" si="203"/>
        <v>7</v>
      </c>
    </row>
    <row r="1946" spans="1:16" ht="15" hidden="1" customHeight="1">
      <c r="A1946" s="839">
        <v>69725082</v>
      </c>
      <c r="B1946" s="839">
        <v>1352</v>
      </c>
      <c r="C1946" s="906">
        <v>1820</v>
      </c>
      <c r="D1946" s="907">
        <v>46065</v>
      </c>
      <c r="E1946" s="839" t="s">
        <v>292</v>
      </c>
      <c r="F1946" s="839" t="s">
        <v>224</v>
      </c>
      <c r="G1946" s="916">
        <f>VLOOKUP($A1946,'Tech Litons'!$A:$I,8,FALSE)</f>
        <v>5.2680000000000001E-3</v>
      </c>
      <c r="H1946" s="917">
        <f>VLOOKUP($A1946,'Tech Litons'!$A:$I,9,FALSE)</f>
        <v>130</v>
      </c>
      <c r="I1946" s="917" t="str">
        <f>VLOOKUP($A1946,'Tech Litons'!$A:$C,3,0)</f>
        <v>PG</v>
      </c>
      <c r="J1946" s="918" t="str">
        <f t="shared" si="199"/>
        <v>1352PG</v>
      </c>
      <c r="K1946" s="919">
        <v>1</v>
      </c>
      <c r="L1946" s="920">
        <f t="shared" si="198"/>
        <v>1820</v>
      </c>
      <c r="M1946" s="920">
        <f t="shared" si="200"/>
        <v>9.5877599999999994</v>
      </c>
      <c r="N1946" s="920">
        <f t="shared" si="201"/>
        <v>14</v>
      </c>
      <c r="O1946" s="918" t="str">
        <f t="shared" si="202"/>
        <v>Feb</v>
      </c>
      <c r="P1946" s="921">
        <f t="shared" si="203"/>
        <v>7</v>
      </c>
    </row>
    <row r="1947" spans="1:16" ht="15" hidden="1" customHeight="1">
      <c r="A1947" s="839">
        <v>69725082</v>
      </c>
      <c r="B1947" s="839">
        <v>1352</v>
      </c>
      <c r="C1947" s="906">
        <v>2315</v>
      </c>
      <c r="D1947" s="907">
        <v>46066</v>
      </c>
      <c r="E1947" s="839" t="s">
        <v>292</v>
      </c>
      <c r="F1947" s="839" t="s">
        <v>224</v>
      </c>
      <c r="G1947" s="916">
        <f>VLOOKUP($A1947,'Tech Litons'!$A:$I,8,FALSE)</f>
        <v>5.2680000000000001E-3</v>
      </c>
      <c r="H1947" s="917">
        <f>VLOOKUP($A1947,'Tech Litons'!$A:$I,9,FALSE)</f>
        <v>130</v>
      </c>
      <c r="I1947" s="917" t="str">
        <f>VLOOKUP($A1947,'Tech Litons'!$A:$C,3,0)</f>
        <v>PG</v>
      </c>
      <c r="J1947" s="918" t="str">
        <f t="shared" si="199"/>
        <v>1352PG</v>
      </c>
      <c r="K1947" s="919">
        <v>1</v>
      </c>
      <c r="L1947" s="920">
        <f t="shared" si="198"/>
        <v>2315</v>
      </c>
      <c r="M1947" s="920">
        <f t="shared" si="200"/>
        <v>12.19542</v>
      </c>
      <c r="N1947" s="920">
        <f t="shared" si="201"/>
        <v>17.807692307692307</v>
      </c>
      <c r="O1947" s="918" t="str">
        <f t="shared" si="202"/>
        <v>Feb</v>
      </c>
      <c r="P1947" s="921">
        <f t="shared" si="203"/>
        <v>7</v>
      </c>
    </row>
    <row r="1948" spans="1:16" ht="15" hidden="1" customHeight="1">
      <c r="A1948" s="839">
        <v>69725082</v>
      </c>
      <c r="B1948" s="839">
        <v>1352</v>
      </c>
      <c r="C1948" s="906">
        <v>1690</v>
      </c>
      <c r="D1948" s="907">
        <v>46066</v>
      </c>
      <c r="E1948" s="839" t="s">
        <v>292</v>
      </c>
      <c r="F1948" s="839" t="s">
        <v>224</v>
      </c>
      <c r="G1948" s="916">
        <f>VLOOKUP($A1948,'Tech Litons'!$A:$I,8,FALSE)</f>
        <v>5.2680000000000001E-3</v>
      </c>
      <c r="H1948" s="917">
        <f>VLOOKUP($A1948,'Tech Litons'!$A:$I,9,FALSE)</f>
        <v>130</v>
      </c>
      <c r="I1948" s="917" t="str">
        <f>VLOOKUP($A1948,'Tech Litons'!$A:$C,3,0)</f>
        <v>PG</v>
      </c>
      <c r="J1948" s="918" t="str">
        <f t="shared" si="199"/>
        <v>1352PG</v>
      </c>
      <c r="K1948" s="919">
        <v>1</v>
      </c>
      <c r="L1948" s="920">
        <f t="shared" si="198"/>
        <v>1690</v>
      </c>
      <c r="M1948" s="920">
        <f t="shared" si="200"/>
        <v>8.9029199999999999</v>
      </c>
      <c r="N1948" s="920">
        <f t="shared" si="201"/>
        <v>13</v>
      </c>
      <c r="O1948" s="918" t="str">
        <f t="shared" si="202"/>
        <v>Feb</v>
      </c>
      <c r="P1948" s="921">
        <f t="shared" si="203"/>
        <v>7</v>
      </c>
    </row>
    <row r="1949" spans="1:16" ht="15" hidden="1" customHeight="1">
      <c r="A1949" s="839">
        <v>69725082</v>
      </c>
      <c r="B1949" s="839">
        <v>1352</v>
      </c>
      <c r="C1949" s="906">
        <v>2580</v>
      </c>
      <c r="D1949" s="907">
        <v>46067</v>
      </c>
      <c r="E1949" s="839" t="s">
        <v>292</v>
      </c>
      <c r="F1949" s="839" t="s">
        <v>224</v>
      </c>
      <c r="G1949" s="916">
        <f>VLOOKUP($A1949,'Tech Litons'!$A:$I,8,FALSE)</f>
        <v>5.2680000000000001E-3</v>
      </c>
      <c r="H1949" s="917">
        <f>VLOOKUP($A1949,'Tech Litons'!$A:$I,9,FALSE)</f>
        <v>130</v>
      </c>
      <c r="I1949" s="917" t="str">
        <f>VLOOKUP($A1949,'Tech Litons'!$A:$C,3,0)</f>
        <v>PG</v>
      </c>
      <c r="J1949" s="918" t="str">
        <f t="shared" si="199"/>
        <v>1352PG</v>
      </c>
      <c r="K1949" s="919">
        <v>1</v>
      </c>
      <c r="L1949" s="920">
        <f t="shared" si="198"/>
        <v>2580</v>
      </c>
      <c r="M1949" s="920">
        <f t="shared" si="200"/>
        <v>13.59144</v>
      </c>
      <c r="N1949" s="920">
        <f t="shared" si="201"/>
        <v>19.846153846153847</v>
      </c>
      <c r="O1949" s="918" t="str">
        <f t="shared" si="202"/>
        <v>Feb</v>
      </c>
      <c r="P1949" s="921">
        <f t="shared" si="203"/>
        <v>7</v>
      </c>
    </row>
    <row r="1950" spans="1:16" ht="15" hidden="1" customHeight="1">
      <c r="A1950" s="839">
        <v>69725082</v>
      </c>
      <c r="B1950" s="839">
        <v>1352</v>
      </c>
      <c r="C1950" s="906">
        <v>1690</v>
      </c>
      <c r="D1950" s="907">
        <v>46062</v>
      </c>
      <c r="E1950" s="839" t="s">
        <v>292</v>
      </c>
      <c r="F1950" s="839" t="s">
        <v>223</v>
      </c>
      <c r="G1950" s="916">
        <f>VLOOKUP($A1950,'Tech Litons'!$A:$I,8,FALSE)</f>
        <v>5.2680000000000001E-3</v>
      </c>
      <c r="H1950" s="917">
        <f>VLOOKUP($A1950,'Tech Litons'!$A:$I,9,FALSE)</f>
        <v>130</v>
      </c>
      <c r="I1950" s="917" t="str">
        <f>VLOOKUP($A1950,'Tech Litons'!$A:$C,3,0)</f>
        <v>PG</v>
      </c>
      <c r="J1950" s="918" t="str">
        <f t="shared" si="199"/>
        <v>1352PG</v>
      </c>
      <c r="K1950" s="919">
        <v>1</v>
      </c>
      <c r="L1950" s="920">
        <f t="shared" si="198"/>
        <v>1690</v>
      </c>
      <c r="M1950" s="920">
        <f t="shared" si="200"/>
        <v>8.9029199999999999</v>
      </c>
      <c r="N1950" s="920">
        <f t="shared" si="201"/>
        <v>13</v>
      </c>
      <c r="O1950" s="918" t="str">
        <f t="shared" si="202"/>
        <v>Feb</v>
      </c>
      <c r="P1950" s="921">
        <f t="shared" si="203"/>
        <v>7</v>
      </c>
    </row>
    <row r="1951" spans="1:16" ht="15" hidden="1" customHeight="1">
      <c r="A1951" s="839">
        <v>69725082</v>
      </c>
      <c r="B1951" s="839">
        <v>1352</v>
      </c>
      <c r="C1951" s="906">
        <v>4011</v>
      </c>
      <c r="D1951" s="907">
        <v>46063</v>
      </c>
      <c r="E1951" s="839" t="s">
        <v>292</v>
      </c>
      <c r="F1951" s="839" t="s">
        <v>223</v>
      </c>
      <c r="G1951" s="916">
        <f>VLOOKUP($A1951,'Tech Litons'!$A:$I,8,FALSE)</f>
        <v>5.2680000000000001E-3</v>
      </c>
      <c r="H1951" s="917">
        <f>VLOOKUP($A1951,'Tech Litons'!$A:$I,9,FALSE)</f>
        <v>130</v>
      </c>
      <c r="I1951" s="917" t="str">
        <f>VLOOKUP($A1951,'Tech Litons'!$A:$C,3,0)</f>
        <v>PG</v>
      </c>
      <c r="J1951" s="918" t="str">
        <f t="shared" si="199"/>
        <v>1352PG</v>
      </c>
      <c r="K1951" s="919">
        <v>1</v>
      </c>
      <c r="L1951" s="920">
        <f t="shared" si="198"/>
        <v>4011</v>
      </c>
      <c r="M1951" s="920">
        <f t="shared" si="200"/>
        <v>21.129947999999999</v>
      </c>
      <c r="N1951" s="920">
        <f t="shared" si="201"/>
        <v>30.853846153846153</v>
      </c>
      <c r="O1951" s="918" t="str">
        <f t="shared" si="202"/>
        <v>Feb</v>
      </c>
      <c r="P1951" s="921">
        <f t="shared" si="203"/>
        <v>7</v>
      </c>
    </row>
    <row r="1952" spans="1:16" ht="15" hidden="1" customHeight="1">
      <c r="A1952" s="839">
        <v>69725082</v>
      </c>
      <c r="B1952" s="839">
        <v>1352</v>
      </c>
      <c r="C1952" s="906">
        <v>2210</v>
      </c>
      <c r="D1952" s="907">
        <v>46063</v>
      </c>
      <c r="E1952" s="839" t="s">
        <v>292</v>
      </c>
      <c r="F1952" s="839" t="s">
        <v>223</v>
      </c>
      <c r="G1952" s="916">
        <f>VLOOKUP($A1952,'Tech Litons'!$A:$I,8,FALSE)</f>
        <v>5.2680000000000001E-3</v>
      </c>
      <c r="H1952" s="917">
        <f>VLOOKUP($A1952,'Tech Litons'!$A:$I,9,FALSE)</f>
        <v>130</v>
      </c>
      <c r="I1952" s="917" t="str">
        <f>VLOOKUP($A1952,'Tech Litons'!$A:$C,3,0)</f>
        <v>PG</v>
      </c>
      <c r="J1952" s="918" t="str">
        <f t="shared" si="199"/>
        <v>1352PG</v>
      </c>
      <c r="K1952" s="919">
        <v>1</v>
      </c>
      <c r="L1952" s="920">
        <f t="shared" si="198"/>
        <v>2210</v>
      </c>
      <c r="M1952" s="920">
        <f t="shared" si="200"/>
        <v>11.64228</v>
      </c>
      <c r="N1952" s="920">
        <f t="shared" si="201"/>
        <v>17</v>
      </c>
      <c r="O1952" s="918" t="str">
        <f t="shared" si="202"/>
        <v>Feb</v>
      </c>
      <c r="P1952" s="921">
        <f t="shared" si="203"/>
        <v>7</v>
      </c>
    </row>
    <row r="1953" spans="1:16" ht="15" hidden="1" customHeight="1">
      <c r="A1953" s="839">
        <v>69725082</v>
      </c>
      <c r="B1953" s="839">
        <v>1352</v>
      </c>
      <c r="C1953" s="906">
        <v>3190</v>
      </c>
      <c r="D1953" s="907">
        <v>46064</v>
      </c>
      <c r="E1953" s="839" t="s">
        <v>292</v>
      </c>
      <c r="F1953" s="839" t="s">
        <v>223</v>
      </c>
      <c r="G1953" s="916">
        <f>VLOOKUP($A1953,'Tech Litons'!$A:$I,8,FALSE)</f>
        <v>5.2680000000000001E-3</v>
      </c>
      <c r="H1953" s="917">
        <f>VLOOKUP($A1953,'Tech Litons'!$A:$I,9,FALSE)</f>
        <v>130</v>
      </c>
      <c r="I1953" s="917" t="str">
        <f>VLOOKUP($A1953,'Tech Litons'!$A:$C,3,0)</f>
        <v>PG</v>
      </c>
      <c r="J1953" s="918" t="str">
        <f t="shared" si="199"/>
        <v>1352PG</v>
      </c>
      <c r="K1953" s="919">
        <v>1</v>
      </c>
      <c r="L1953" s="920">
        <f t="shared" si="198"/>
        <v>3190</v>
      </c>
      <c r="M1953" s="920">
        <f t="shared" si="200"/>
        <v>16.804919999999999</v>
      </c>
      <c r="N1953" s="920">
        <f t="shared" si="201"/>
        <v>24.53846153846154</v>
      </c>
      <c r="O1953" s="918" t="str">
        <f t="shared" si="202"/>
        <v>Feb</v>
      </c>
      <c r="P1953" s="921">
        <f t="shared" si="203"/>
        <v>7</v>
      </c>
    </row>
    <row r="1954" spans="1:16" ht="15" hidden="1" customHeight="1">
      <c r="A1954" s="839">
        <v>69725082</v>
      </c>
      <c r="B1954" s="839">
        <v>1352</v>
      </c>
      <c r="C1954" s="906">
        <v>1820</v>
      </c>
      <c r="D1954" s="907">
        <v>46064</v>
      </c>
      <c r="E1954" s="839" t="s">
        <v>292</v>
      </c>
      <c r="F1954" s="839" t="s">
        <v>223</v>
      </c>
      <c r="G1954" s="916">
        <f>VLOOKUP($A1954,'Tech Litons'!$A:$I,8,FALSE)</f>
        <v>5.2680000000000001E-3</v>
      </c>
      <c r="H1954" s="917">
        <f>VLOOKUP($A1954,'Tech Litons'!$A:$I,9,FALSE)</f>
        <v>130</v>
      </c>
      <c r="I1954" s="917" t="str">
        <f>VLOOKUP($A1954,'Tech Litons'!$A:$C,3,0)</f>
        <v>PG</v>
      </c>
      <c r="J1954" s="918" t="str">
        <f t="shared" si="199"/>
        <v>1352PG</v>
      </c>
      <c r="K1954" s="919">
        <v>1</v>
      </c>
      <c r="L1954" s="920">
        <f t="shared" si="198"/>
        <v>1820</v>
      </c>
      <c r="M1954" s="920">
        <f t="shared" si="200"/>
        <v>9.5877599999999994</v>
      </c>
      <c r="N1954" s="920">
        <f t="shared" si="201"/>
        <v>14</v>
      </c>
      <c r="O1954" s="918" t="str">
        <f t="shared" si="202"/>
        <v>Feb</v>
      </c>
      <c r="P1954" s="921">
        <f t="shared" si="203"/>
        <v>7</v>
      </c>
    </row>
    <row r="1955" spans="1:16" ht="15" hidden="1" customHeight="1">
      <c r="A1955" s="839">
        <v>69725082</v>
      </c>
      <c r="B1955" s="839">
        <v>1352</v>
      </c>
      <c r="C1955" s="906">
        <v>3363</v>
      </c>
      <c r="D1955" s="907">
        <v>46065</v>
      </c>
      <c r="E1955" s="839" t="s">
        <v>292</v>
      </c>
      <c r="F1955" s="839" t="s">
        <v>223</v>
      </c>
      <c r="G1955" s="916">
        <f>VLOOKUP($A1955,'Tech Litons'!$A:$I,8,FALSE)</f>
        <v>5.2680000000000001E-3</v>
      </c>
      <c r="H1955" s="917">
        <f>VLOOKUP($A1955,'Tech Litons'!$A:$I,9,FALSE)</f>
        <v>130</v>
      </c>
      <c r="I1955" s="917" t="str">
        <f>VLOOKUP($A1955,'Tech Litons'!$A:$C,3,0)</f>
        <v>PG</v>
      </c>
      <c r="J1955" s="918" t="str">
        <f t="shared" si="199"/>
        <v>1352PG</v>
      </c>
      <c r="K1955" s="919">
        <v>1</v>
      </c>
      <c r="L1955" s="920">
        <f t="shared" si="198"/>
        <v>3363</v>
      </c>
      <c r="M1955" s="920">
        <f t="shared" si="200"/>
        <v>17.716284000000002</v>
      </c>
      <c r="N1955" s="920">
        <f t="shared" si="201"/>
        <v>25.869230769230768</v>
      </c>
      <c r="O1955" s="918" t="str">
        <f t="shared" si="202"/>
        <v>Feb</v>
      </c>
      <c r="P1955" s="921">
        <f t="shared" si="203"/>
        <v>7</v>
      </c>
    </row>
    <row r="1956" spans="1:16" ht="15" hidden="1" customHeight="1">
      <c r="A1956" s="839">
        <v>69725082</v>
      </c>
      <c r="B1956" s="839">
        <v>1352</v>
      </c>
      <c r="C1956" s="906">
        <v>2080</v>
      </c>
      <c r="D1956" s="907">
        <v>46065</v>
      </c>
      <c r="E1956" s="839" t="s">
        <v>292</v>
      </c>
      <c r="F1956" s="839" t="s">
        <v>223</v>
      </c>
      <c r="G1956" s="916">
        <f>VLOOKUP($A1956,'Tech Litons'!$A:$I,8,FALSE)</f>
        <v>5.2680000000000001E-3</v>
      </c>
      <c r="H1956" s="917">
        <f>VLOOKUP($A1956,'Tech Litons'!$A:$I,9,FALSE)</f>
        <v>130</v>
      </c>
      <c r="I1956" s="917" t="str">
        <f>VLOOKUP($A1956,'Tech Litons'!$A:$C,3,0)</f>
        <v>PG</v>
      </c>
      <c r="J1956" s="918" t="str">
        <f t="shared" si="199"/>
        <v>1352PG</v>
      </c>
      <c r="K1956" s="919">
        <v>1</v>
      </c>
      <c r="L1956" s="920">
        <f t="shared" si="198"/>
        <v>2080</v>
      </c>
      <c r="M1956" s="920">
        <f t="shared" si="200"/>
        <v>10.95744</v>
      </c>
      <c r="N1956" s="920">
        <f t="shared" si="201"/>
        <v>16</v>
      </c>
      <c r="O1956" s="918" t="str">
        <f t="shared" si="202"/>
        <v>Feb</v>
      </c>
      <c r="P1956" s="921">
        <f t="shared" si="203"/>
        <v>7</v>
      </c>
    </row>
    <row r="1957" spans="1:16" ht="15" hidden="1" customHeight="1">
      <c r="A1957" s="839">
        <v>69725082</v>
      </c>
      <c r="B1957" s="839">
        <v>1352</v>
      </c>
      <c r="C1957" s="906">
        <v>3270</v>
      </c>
      <c r="D1957" s="907">
        <v>46066</v>
      </c>
      <c r="E1957" s="839" t="s">
        <v>292</v>
      </c>
      <c r="F1957" s="839" t="s">
        <v>223</v>
      </c>
      <c r="G1957" s="916">
        <f>VLOOKUP($A1957,'Tech Litons'!$A:$I,8,FALSE)</f>
        <v>5.2680000000000001E-3</v>
      </c>
      <c r="H1957" s="917">
        <f>VLOOKUP($A1957,'Tech Litons'!$A:$I,9,FALSE)</f>
        <v>130</v>
      </c>
      <c r="I1957" s="917" t="str">
        <f>VLOOKUP($A1957,'Tech Litons'!$A:$C,3,0)</f>
        <v>PG</v>
      </c>
      <c r="J1957" s="918" t="str">
        <f t="shared" si="199"/>
        <v>1352PG</v>
      </c>
      <c r="K1957" s="919">
        <v>1</v>
      </c>
      <c r="L1957" s="920">
        <f t="shared" si="198"/>
        <v>3270</v>
      </c>
      <c r="M1957" s="920">
        <f t="shared" si="200"/>
        <v>17.22636</v>
      </c>
      <c r="N1957" s="920">
        <f t="shared" si="201"/>
        <v>25.153846153846153</v>
      </c>
      <c r="O1957" s="918" t="str">
        <f t="shared" si="202"/>
        <v>Feb</v>
      </c>
      <c r="P1957" s="921">
        <f t="shared" si="203"/>
        <v>7</v>
      </c>
    </row>
    <row r="1958" spans="1:16" ht="15" hidden="1" customHeight="1">
      <c r="A1958" s="839">
        <v>69725082</v>
      </c>
      <c r="B1958" s="839">
        <v>1352</v>
      </c>
      <c r="C1958" s="906">
        <v>2080</v>
      </c>
      <c r="D1958" s="907">
        <v>46069</v>
      </c>
      <c r="E1958" s="839" t="s">
        <v>292</v>
      </c>
      <c r="F1958" s="839" t="s">
        <v>223</v>
      </c>
      <c r="G1958" s="916">
        <f>VLOOKUP($A1958,'Tech Litons'!$A:$I,8,FALSE)</f>
        <v>5.2680000000000001E-3</v>
      </c>
      <c r="H1958" s="917">
        <f>VLOOKUP($A1958,'Tech Litons'!$A:$I,9,FALSE)</f>
        <v>130</v>
      </c>
      <c r="I1958" s="917" t="str">
        <f>VLOOKUP($A1958,'Tech Litons'!$A:$C,3,0)</f>
        <v>PG</v>
      </c>
      <c r="J1958" s="918" t="str">
        <f t="shared" si="199"/>
        <v>1352PG</v>
      </c>
      <c r="K1958" s="919">
        <v>1</v>
      </c>
      <c r="L1958" s="920">
        <f t="shared" si="198"/>
        <v>2080</v>
      </c>
      <c r="M1958" s="920">
        <f t="shared" si="200"/>
        <v>10.95744</v>
      </c>
      <c r="N1958" s="920">
        <f t="shared" si="201"/>
        <v>16</v>
      </c>
      <c r="O1958" s="918" t="str">
        <f t="shared" si="202"/>
        <v>Feb</v>
      </c>
      <c r="P1958" s="921">
        <f t="shared" si="203"/>
        <v>8</v>
      </c>
    </row>
    <row r="1959" spans="1:16" ht="15" hidden="1" customHeight="1">
      <c r="A1959" s="839">
        <v>69725082</v>
      </c>
      <c r="B1959" s="839">
        <v>1352</v>
      </c>
      <c r="C1959" s="906">
        <v>3795</v>
      </c>
      <c r="D1959" s="907">
        <v>46070</v>
      </c>
      <c r="E1959" s="839" t="s">
        <v>292</v>
      </c>
      <c r="F1959" s="839" t="s">
        <v>223</v>
      </c>
      <c r="G1959" s="916">
        <f>VLOOKUP($A1959,'Tech Litons'!$A:$I,8,FALSE)</f>
        <v>5.2680000000000001E-3</v>
      </c>
      <c r="H1959" s="917">
        <f>VLOOKUP($A1959,'Tech Litons'!$A:$I,9,FALSE)</f>
        <v>130</v>
      </c>
      <c r="I1959" s="917" t="str">
        <f>VLOOKUP($A1959,'Tech Litons'!$A:$C,3,0)</f>
        <v>PG</v>
      </c>
      <c r="J1959" s="918" t="str">
        <f t="shared" si="199"/>
        <v>1352PG</v>
      </c>
      <c r="K1959" s="919">
        <v>1</v>
      </c>
      <c r="L1959" s="920">
        <f t="shared" si="198"/>
        <v>3795</v>
      </c>
      <c r="M1959" s="920">
        <f t="shared" si="200"/>
        <v>19.992060000000002</v>
      </c>
      <c r="N1959" s="920">
        <f t="shared" si="201"/>
        <v>29.192307692307693</v>
      </c>
      <c r="O1959" s="918" t="str">
        <f t="shared" si="202"/>
        <v>Feb</v>
      </c>
      <c r="P1959" s="921">
        <f t="shared" si="203"/>
        <v>8</v>
      </c>
    </row>
    <row r="1960" spans="1:16" ht="15" hidden="1" customHeight="1">
      <c r="A1960" s="839">
        <v>69725082</v>
      </c>
      <c r="B1960" s="839">
        <v>1352</v>
      </c>
      <c r="C1960" s="906">
        <v>2210</v>
      </c>
      <c r="D1960" s="907">
        <v>46070</v>
      </c>
      <c r="E1960" s="839" t="s">
        <v>292</v>
      </c>
      <c r="F1960" s="839" t="s">
        <v>223</v>
      </c>
      <c r="G1960" s="916">
        <f>VLOOKUP($A1960,'Tech Litons'!$A:$I,8,FALSE)</f>
        <v>5.2680000000000001E-3</v>
      </c>
      <c r="H1960" s="917">
        <f>VLOOKUP($A1960,'Tech Litons'!$A:$I,9,FALSE)</f>
        <v>130</v>
      </c>
      <c r="I1960" s="917" t="str">
        <f>VLOOKUP($A1960,'Tech Litons'!$A:$C,3,0)</f>
        <v>PG</v>
      </c>
      <c r="J1960" s="918" t="str">
        <f t="shared" si="199"/>
        <v>1352PG</v>
      </c>
      <c r="K1960" s="919">
        <v>1</v>
      </c>
      <c r="L1960" s="920">
        <f t="shared" si="198"/>
        <v>2210</v>
      </c>
      <c r="M1960" s="920">
        <f t="shared" si="200"/>
        <v>11.64228</v>
      </c>
      <c r="N1960" s="920">
        <f t="shared" si="201"/>
        <v>17</v>
      </c>
      <c r="O1960" s="918" t="str">
        <f t="shared" si="202"/>
        <v>Feb</v>
      </c>
      <c r="P1960" s="921">
        <f t="shared" si="203"/>
        <v>8</v>
      </c>
    </row>
    <row r="1961" spans="1:16" ht="15" hidden="1" customHeight="1">
      <c r="A1961" s="839">
        <v>69725082</v>
      </c>
      <c r="B1961" s="839">
        <v>1352</v>
      </c>
      <c r="C1961" s="906">
        <v>3715</v>
      </c>
      <c r="D1961" s="907">
        <v>46071</v>
      </c>
      <c r="E1961" s="839" t="s">
        <v>292</v>
      </c>
      <c r="F1961" s="839" t="s">
        <v>223</v>
      </c>
      <c r="G1961" s="916">
        <f>VLOOKUP($A1961,'Tech Litons'!$A:$I,8,FALSE)</f>
        <v>5.2680000000000001E-3</v>
      </c>
      <c r="H1961" s="917">
        <f>VLOOKUP($A1961,'Tech Litons'!$A:$I,9,FALSE)</f>
        <v>130</v>
      </c>
      <c r="I1961" s="917" t="str">
        <f>VLOOKUP($A1961,'Tech Litons'!$A:$C,3,0)</f>
        <v>PG</v>
      </c>
      <c r="J1961" s="918" t="str">
        <f t="shared" si="199"/>
        <v>1352PG</v>
      </c>
      <c r="K1961" s="919">
        <v>1</v>
      </c>
      <c r="L1961" s="920">
        <f t="shared" si="198"/>
        <v>3715</v>
      </c>
      <c r="M1961" s="920">
        <f t="shared" si="200"/>
        <v>19.570620000000002</v>
      </c>
      <c r="N1961" s="920">
        <f t="shared" si="201"/>
        <v>28.576923076923077</v>
      </c>
      <c r="O1961" s="918" t="str">
        <f t="shared" si="202"/>
        <v>Feb</v>
      </c>
      <c r="P1961" s="921">
        <f t="shared" si="203"/>
        <v>8</v>
      </c>
    </row>
    <row r="1962" spans="1:16" ht="15" hidden="1" customHeight="1">
      <c r="A1962" s="839">
        <v>69725082</v>
      </c>
      <c r="B1962" s="839">
        <v>1352</v>
      </c>
      <c r="C1962" s="906">
        <v>2340</v>
      </c>
      <c r="D1962" s="907">
        <v>46071</v>
      </c>
      <c r="E1962" s="839" t="s">
        <v>292</v>
      </c>
      <c r="F1962" s="839" t="s">
        <v>223</v>
      </c>
      <c r="G1962" s="916">
        <f>VLOOKUP($A1962,'Tech Litons'!$A:$I,8,FALSE)</f>
        <v>5.2680000000000001E-3</v>
      </c>
      <c r="H1962" s="917">
        <f>VLOOKUP($A1962,'Tech Litons'!$A:$I,9,FALSE)</f>
        <v>130</v>
      </c>
      <c r="I1962" s="917" t="str">
        <f>VLOOKUP($A1962,'Tech Litons'!$A:$C,3,0)</f>
        <v>PG</v>
      </c>
      <c r="J1962" s="918" t="str">
        <f t="shared" si="199"/>
        <v>1352PG</v>
      </c>
      <c r="K1962" s="919">
        <v>1</v>
      </c>
      <c r="L1962" s="920">
        <f t="shared" si="198"/>
        <v>2340</v>
      </c>
      <c r="M1962" s="920">
        <f t="shared" si="200"/>
        <v>12.327120000000001</v>
      </c>
      <c r="N1962" s="920">
        <f t="shared" si="201"/>
        <v>18</v>
      </c>
      <c r="O1962" s="918" t="str">
        <f t="shared" si="202"/>
        <v>Feb</v>
      </c>
      <c r="P1962" s="921">
        <f t="shared" si="203"/>
        <v>8</v>
      </c>
    </row>
    <row r="1963" spans="1:16" ht="15" hidden="1" customHeight="1">
      <c r="A1963" s="839">
        <v>69725082</v>
      </c>
      <c r="B1963" s="839">
        <v>1352</v>
      </c>
      <c r="C1963" s="906">
        <v>4074</v>
      </c>
      <c r="D1963" s="907">
        <v>46072</v>
      </c>
      <c r="E1963" s="839" t="s">
        <v>292</v>
      </c>
      <c r="F1963" s="839" t="s">
        <v>223</v>
      </c>
      <c r="G1963" s="916">
        <f>VLOOKUP($A1963,'Tech Litons'!$A:$I,8,FALSE)</f>
        <v>5.2680000000000001E-3</v>
      </c>
      <c r="H1963" s="917">
        <f>VLOOKUP($A1963,'Tech Litons'!$A:$I,9,FALSE)</f>
        <v>130</v>
      </c>
      <c r="I1963" s="917" t="str">
        <f>VLOOKUP($A1963,'Tech Litons'!$A:$C,3,0)</f>
        <v>PG</v>
      </c>
      <c r="J1963" s="918" t="str">
        <f t="shared" si="199"/>
        <v>1352PG</v>
      </c>
      <c r="K1963" s="919">
        <v>1</v>
      </c>
      <c r="L1963" s="920">
        <f t="shared" si="198"/>
        <v>4074</v>
      </c>
      <c r="M1963" s="920">
        <f t="shared" si="200"/>
        <v>21.461832000000001</v>
      </c>
      <c r="N1963" s="920">
        <f t="shared" si="201"/>
        <v>31.338461538461537</v>
      </c>
      <c r="O1963" s="918" t="str">
        <f t="shared" si="202"/>
        <v>Feb</v>
      </c>
      <c r="P1963" s="921">
        <f t="shared" si="203"/>
        <v>8</v>
      </c>
    </row>
    <row r="1964" spans="1:16" ht="15" hidden="1" customHeight="1">
      <c r="A1964" s="839">
        <v>69725082</v>
      </c>
      <c r="B1964" s="839">
        <v>1352</v>
      </c>
      <c r="C1964" s="906">
        <v>2340</v>
      </c>
      <c r="D1964" s="907">
        <v>46072</v>
      </c>
      <c r="E1964" s="839" t="s">
        <v>292</v>
      </c>
      <c r="F1964" s="839" t="s">
        <v>223</v>
      </c>
      <c r="G1964" s="916">
        <f>VLOOKUP($A1964,'Tech Litons'!$A:$I,8,FALSE)</f>
        <v>5.2680000000000001E-3</v>
      </c>
      <c r="H1964" s="917">
        <f>VLOOKUP($A1964,'Tech Litons'!$A:$I,9,FALSE)</f>
        <v>130</v>
      </c>
      <c r="I1964" s="917" t="str">
        <f>VLOOKUP($A1964,'Tech Litons'!$A:$C,3,0)</f>
        <v>PG</v>
      </c>
      <c r="J1964" s="918" t="str">
        <f t="shared" si="199"/>
        <v>1352PG</v>
      </c>
      <c r="K1964" s="919">
        <v>1</v>
      </c>
      <c r="L1964" s="920">
        <f t="shared" si="198"/>
        <v>2340</v>
      </c>
      <c r="M1964" s="920">
        <f t="shared" si="200"/>
        <v>12.327120000000001</v>
      </c>
      <c r="N1964" s="920">
        <f t="shared" si="201"/>
        <v>18</v>
      </c>
      <c r="O1964" s="918" t="str">
        <f t="shared" si="202"/>
        <v>Feb</v>
      </c>
      <c r="P1964" s="921">
        <f t="shared" si="203"/>
        <v>8</v>
      </c>
    </row>
    <row r="1965" spans="1:16" ht="15" hidden="1" customHeight="1">
      <c r="A1965" s="839">
        <v>69725082</v>
      </c>
      <c r="B1965" s="839">
        <v>1352</v>
      </c>
      <c r="C1965" s="906">
        <v>2792</v>
      </c>
      <c r="D1965" s="907">
        <v>46073</v>
      </c>
      <c r="E1965" s="839" t="s">
        <v>292</v>
      </c>
      <c r="F1965" s="839" t="s">
        <v>223</v>
      </c>
      <c r="G1965" s="916">
        <f>VLOOKUP($A1965,'Tech Litons'!$A:$I,8,FALSE)</f>
        <v>5.2680000000000001E-3</v>
      </c>
      <c r="H1965" s="917">
        <f>VLOOKUP($A1965,'Tech Litons'!$A:$I,9,FALSE)</f>
        <v>130</v>
      </c>
      <c r="I1965" s="917" t="str">
        <f>VLOOKUP($A1965,'Tech Litons'!$A:$C,3,0)</f>
        <v>PG</v>
      </c>
      <c r="J1965" s="918" t="str">
        <f t="shared" si="199"/>
        <v>1352PG</v>
      </c>
      <c r="K1965" s="919">
        <v>1</v>
      </c>
      <c r="L1965" s="920">
        <f t="shared" si="198"/>
        <v>2792</v>
      </c>
      <c r="M1965" s="920">
        <f t="shared" si="200"/>
        <v>14.708256</v>
      </c>
      <c r="N1965" s="920">
        <f t="shared" si="201"/>
        <v>21.476923076923075</v>
      </c>
      <c r="O1965" s="918" t="str">
        <f t="shared" si="202"/>
        <v>Feb</v>
      </c>
      <c r="P1965" s="921">
        <f t="shared" si="203"/>
        <v>8</v>
      </c>
    </row>
    <row r="1966" spans="1:16" ht="15" hidden="1" customHeight="1">
      <c r="A1966" s="839">
        <v>69725082</v>
      </c>
      <c r="B1966" s="839">
        <v>1352</v>
      </c>
      <c r="C1966" s="906">
        <v>1300</v>
      </c>
      <c r="D1966" s="907">
        <v>46073</v>
      </c>
      <c r="E1966" s="839" t="s">
        <v>292</v>
      </c>
      <c r="F1966" s="839" t="s">
        <v>223</v>
      </c>
      <c r="G1966" s="916">
        <f>VLOOKUP($A1966,'Tech Litons'!$A:$I,8,FALSE)</f>
        <v>5.2680000000000001E-3</v>
      </c>
      <c r="H1966" s="917">
        <f>VLOOKUP($A1966,'Tech Litons'!$A:$I,9,FALSE)</f>
        <v>130</v>
      </c>
      <c r="I1966" s="917" t="str">
        <f>VLOOKUP($A1966,'Tech Litons'!$A:$C,3,0)</f>
        <v>PG</v>
      </c>
      <c r="J1966" s="918" t="str">
        <f t="shared" si="199"/>
        <v>1352PG</v>
      </c>
      <c r="K1966" s="919">
        <v>1</v>
      </c>
      <c r="L1966" s="920">
        <f t="shared" si="198"/>
        <v>1300</v>
      </c>
      <c r="M1966" s="920">
        <f t="shared" si="200"/>
        <v>6.8483999999999998</v>
      </c>
      <c r="N1966" s="920">
        <f t="shared" si="201"/>
        <v>10</v>
      </c>
      <c r="O1966" s="918" t="str">
        <f t="shared" si="202"/>
        <v>Feb</v>
      </c>
      <c r="P1966" s="921">
        <f t="shared" si="203"/>
        <v>8</v>
      </c>
    </row>
    <row r="1967" spans="1:16" ht="15" hidden="1" customHeight="1">
      <c r="A1967" s="839">
        <v>69725082</v>
      </c>
      <c r="B1967" s="839">
        <v>1352</v>
      </c>
      <c r="C1967" s="906">
        <v>1122</v>
      </c>
      <c r="D1967" s="907">
        <v>46074</v>
      </c>
      <c r="E1967" s="839" t="s">
        <v>292</v>
      </c>
      <c r="F1967" s="839" t="s">
        <v>223</v>
      </c>
      <c r="G1967" s="916">
        <f>VLOOKUP($A1967,'Tech Litons'!$A:$I,8,FALSE)</f>
        <v>5.2680000000000001E-3</v>
      </c>
      <c r="H1967" s="917">
        <f>VLOOKUP($A1967,'Tech Litons'!$A:$I,9,FALSE)</f>
        <v>130</v>
      </c>
      <c r="I1967" s="917" t="str">
        <f>VLOOKUP($A1967,'Tech Litons'!$A:$C,3,0)</f>
        <v>PG</v>
      </c>
      <c r="J1967" s="918" t="str">
        <f t="shared" si="199"/>
        <v>1352PG</v>
      </c>
      <c r="K1967" s="919">
        <v>1</v>
      </c>
      <c r="L1967" s="920">
        <f t="shared" si="198"/>
        <v>1122</v>
      </c>
      <c r="M1967" s="920">
        <f t="shared" si="200"/>
        <v>5.9106959999999997</v>
      </c>
      <c r="N1967" s="920">
        <f t="shared" si="201"/>
        <v>8.6307692307692303</v>
      </c>
      <c r="O1967" s="918" t="str">
        <f t="shared" si="202"/>
        <v>Feb</v>
      </c>
      <c r="P1967" s="921">
        <f t="shared" si="203"/>
        <v>8</v>
      </c>
    </row>
    <row r="1968" spans="1:16" ht="15" hidden="1" customHeight="1">
      <c r="A1968" s="839">
        <v>69725082</v>
      </c>
      <c r="B1968" s="839">
        <v>1352</v>
      </c>
      <c r="C1968" s="906">
        <v>650</v>
      </c>
      <c r="D1968" s="907">
        <v>46069</v>
      </c>
      <c r="E1968" s="839" t="s">
        <v>292</v>
      </c>
      <c r="F1968" s="839" t="s">
        <v>224</v>
      </c>
      <c r="G1968" s="916">
        <f>VLOOKUP($A1968,'Tech Litons'!$A:$I,8,FALSE)</f>
        <v>5.2680000000000001E-3</v>
      </c>
      <c r="H1968" s="917">
        <f>VLOOKUP($A1968,'Tech Litons'!$A:$I,9,FALSE)</f>
        <v>130</v>
      </c>
      <c r="I1968" s="917" t="str">
        <f>VLOOKUP($A1968,'Tech Litons'!$A:$C,3,0)</f>
        <v>PG</v>
      </c>
      <c r="J1968" s="918" t="str">
        <f t="shared" si="199"/>
        <v>1352PG</v>
      </c>
      <c r="K1968" s="919">
        <v>1</v>
      </c>
      <c r="L1968" s="920">
        <f t="shared" si="198"/>
        <v>650</v>
      </c>
      <c r="M1968" s="920">
        <f t="shared" si="200"/>
        <v>3.4241999999999999</v>
      </c>
      <c r="N1968" s="920">
        <f t="shared" si="201"/>
        <v>5</v>
      </c>
      <c r="O1968" s="918" t="str">
        <f t="shared" si="202"/>
        <v>Feb</v>
      </c>
      <c r="P1968" s="921">
        <f t="shared" si="203"/>
        <v>8</v>
      </c>
    </row>
    <row r="1969" spans="1:16" ht="15" hidden="1" customHeight="1">
      <c r="A1969" s="839">
        <v>69725082</v>
      </c>
      <c r="B1969" s="839">
        <v>1352</v>
      </c>
      <c r="C1969" s="906">
        <v>2782</v>
      </c>
      <c r="D1969" s="907">
        <v>46070</v>
      </c>
      <c r="E1969" s="839" t="s">
        <v>292</v>
      </c>
      <c r="F1969" s="839" t="s">
        <v>224</v>
      </c>
      <c r="G1969" s="916">
        <f>VLOOKUP($A1969,'Tech Litons'!$A:$I,8,FALSE)</f>
        <v>5.2680000000000001E-3</v>
      </c>
      <c r="H1969" s="917">
        <f>VLOOKUP($A1969,'Tech Litons'!$A:$I,9,FALSE)</f>
        <v>130</v>
      </c>
      <c r="I1969" s="917" t="str">
        <f>VLOOKUP($A1969,'Tech Litons'!$A:$C,3,0)</f>
        <v>PG</v>
      </c>
      <c r="J1969" s="918" t="str">
        <f t="shared" si="199"/>
        <v>1352PG</v>
      </c>
      <c r="K1969" s="919">
        <v>1</v>
      </c>
      <c r="L1969" s="920">
        <f t="shared" si="198"/>
        <v>2782</v>
      </c>
      <c r="M1969" s="920">
        <f t="shared" si="200"/>
        <v>14.655576</v>
      </c>
      <c r="N1969" s="920">
        <f t="shared" si="201"/>
        <v>21.4</v>
      </c>
      <c r="O1969" s="918" t="str">
        <f t="shared" si="202"/>
        <v>Feb</v>
      </c>
      <c r="P1969" s="921">
        <f t="shared" si="203"/>
        <v>8</v>
      </c>
    </row>
    <row r="1970" spans="1:16" ht="15" hidden="1" customHeight="1">
      <c r="A1970" s="839">
        <v>69725082</v>
      </c>
      <c r="B1970" s="839">
        <v>1352</v>
      </c>
      <c r="C1970" s="906">
        <v>1040</v>
      </c>
      <c r="D1970" s="907">
        <v>46070</v>
      </c>
      <c r="E1970" s="839" t="s">
        <v>292</v>
      </c>
      <c r="F1970" s="839" t="s">
        <v>224</v>
      </c>
      <c r="G1970" s="916">
        <f>VLOOKUP($A1970,'Tech Litons'!$A:$I,8,FALSE)</f>
        <v>5.2680000000000001E-3</v>
      </c>
      <c r="H1970" s="917">
        <f>VLOOKUP($A1970,'Tech Litons'!$A:$I,9,FALSE)</f>
        <v>130</v>
      </c>
      <c r="I1970" s="917" t="str">
        <f>VLOOKUP($A1970,'Tech Litons'!$A:$C,3,0)</f>
        <v>PG</v>
      </c>
      <c r="J1970" s="918" t="str">
        <f t="shared" si="199"/>
        <v>1352PG</v>
      </c>
      <c r="K1970" s="919">
        <v>1</v>
      </c>
      <c r="L1970" s="920">
        <f t="shared" si="198"/>
        <v>1040</v>
      </c>
      <c r="M1970" s="920">
        <f t="shared" si="200"/>
        <v>5.47872</v>
      </c>
      <c r="N1970" s="920">
        <f t="shared" si="201"/>
        <v>8</v>
      </c>
      <c r="O1970" s="918" t="str">
        <f t="shared" si="202"/>
        <v>Feb</v>
      </c>
      <c r="P1970" s="921">
        <f t="shared" si="203"/>
        <v>8</v>
      </c>
    </row>
    <row r="1971" spans="1:16" ht="15" hidden="1" customHeight="1">
      <c r="A1971" s="839">
        <v>69725082</v>
      </c>
      <c r="B1971" s="839">
        <v>1352</v>
      </c>
      <c r="C1971" s="906">
        <v>1040</v>
      </c>
      <c r="D1971" s="907">
        <v>46071</v>
      </c>
      <c r="E1971" s="839" t="s">
        <v>292</v>
      </c>
      <c r="F1971" s="839" t="s">
        <v>224</v>
      </c>
      <c r="G1971" s="916">
        <f>VLOOKUP($A1971,'Tech Litons'!$A:$I,8,FALSE)</f>
        <v>5.2680000000000001E-3</v>
      </c>
      <c r="H1971" s="917">
        <f>VLOOKUP($A1971,'Tech Litons'!$A:$I,9,FALSE)</f>
        <v>130</v>
      </c>
      <c r="I1971" s="917" t="str">
        <f>VLOOKUP($A1971,'Tech Litons'!$A:$C,3,0)</f>
        <v>PG</v>
      </c>
      <c r="J1971" s="918" t="str">
        <f t="shared" si="199"/>
        <v>1352PG</v>
      </c>
      <c r="K1971" s="919">
        <v>1</v>
      </c>
      <c r="L1971" s="920">
        <f t="shared" si="198"/>
        <v>1040</v>
      </c>
      <c r="M1971" s="920">
        <f t="shared" si="200"/>
        <v>5.47872</v>
      </c>
      <c r="N1971" s="920">
        <f t="shared" si="201"/>
        <v>8</v>
      </c>
      <c r="O1971" s="918" t="str">
        <f t="shared" si="202"/>
        <v>Feb</v>
      </c>
      <c r="P1971" s="921">
        <f t="shared" si="203"/>
        <v>8</v>
      </c>
    </row>
    <row r="1972" spans="1:16" ht="15" hidden="1" customHeight="1">
      <c r="A1972" s="839">
        <v>69725082</v>
      </c>
      <c r="B1972" s="839">
        <v>1352</v>
      </c>
      <c r="C1972" s="906">
        <v>1430</v>
      </c>
      <c r="D1972" s="907">
        <v>46071</v>
      </c>
      <c r="E1972" s="839" t="s">
        <v>292</v>
      </c>
      <c r="F1972" s="839" t="s">
        <v>224</v>
      </c>
      <c r="G1972" s="916">
        <f>VLOOKUP($A1972,'Tech Litons'!$A:$I,8,FALSE)</f>
        <v>5.2680000000000001E-3</v>
      </c>
      <c r="H1972" s="917">
        <f>VLOOKUP($A1972,'Tech Litons'!$A:$I,9,FALSE)</f>
        <v>130</v>
      </c>
      <c r="I1972" s="917" t="str">
        <f>VLOOKUP($A1972,'Tech Litons'!$A:$C,3,0)</f>
        <v>PG</v>
      </c>
      <c r="J1972" s="918" t="str">
        <f t="shared" si="199"/>
        <v>1352PG</v>
      </c>
      <c r="K1972" s="919">
        <v>1</v>
      </c>
      <c r="L1972" s="920">
        <f t="shared" si="198"/>
        <v>1430</v>
      </c>
      <c r="M1972" s="920">
        <f t="shared" si="200"/>
        <v>7.5332400000000002</v>
      </c>
      <c r="N1972" s="920">
        <f t="shared" si="201"/>
        <v>11</v>
      </c>
      <c r="O1972" s="918" t="str">
        <f t="shared" si="202"/>
        <v>Feb</v>
      </c>
      <c r="P1972" s="921">
        <f t="shared" si="203"/>
        <v>8</v>
      </c>
    </row>
    <row r="1973" spans="1:16" ht="15" hidden="1" customHeight="1">
      <c r="A1973" s="839">
        <v>69725082</v>
      </c>
      <c r="B1973" s="839">
        <v>1352</v>
      </c>
      <c r="C1973" s="906">
        <v>2288</v>
      </c>
      <c r="D1973" s="907">
        <v>46072</v>
      </c>
      <c r="E1973" s="839" t="s">
        <v>292</v>
      </c>
      <c r="F1973" s="839" t="s">
        <v>224</v>
      </c>
      <c r="G1973" s="916">
        <f>VLOOKUP($A1973,'Tech Litons'!$A:$I,8,FALSE)</f>
        <v>5.2680000000000001E-3</v>
      </c>
      <c r="H1973" s="917">
        <f>VLOOKUP($A1973,'Tech Litons'!$A:$I,9,FALSE)</f>
        <v>130</v>
      </c>
      <c r="I1973" s="917" t="str">
        <f>VLOOKUP($A1973,'Tech Litons'!$A:$C,3,0)</f>
        <v>PG</v>
      </c>
      <c r="J1973" s="918" t="str">
        <f t="shared" si="199"/>
        <v>1352PG</v>
      </c>
      <c r="K1973" s="919">
        <v>1</v>
      </c>
      <c r="L1973" s="920">
        <f t="shared" si="198"/>
        <v>2288</v>
      </c>
      <c r="M1973" s="920">
        <f t="shared" si="200"/>
        <v>12.053184</v>
      </c>
      <c r="N1973" s="920">
        <f t="shared" si="201"/>
        <v>17.600000000000001</v>
      </c>
      <c r="O1973" s="918" t="str">
        <f t="shared" si="202"/>
        <v>Feb</v>
      </c>
      <c r="P1973" s="921">
        <f t="shared" si="203"/>
        <v>8</v>
      </c>
    </row>
    <row r="1974" spans="1:16" ht="15" hidden="1" customHeight="1">
      <c r="A1974" s="839">
        <v>69725082</v>
      </c>
      <c r="B1974" s="839">
        <v>1352</v>
      </c>
      <c r="C1974" s="906">
        <v>1170</v>
      </c>
      <c r="D1974" s="907">
        <v>46072</v>
      </c>
      <c r="E1974" s="839" t="s">
        <v>292</v>
      </c>
      <c r="F1974" s="839" t="s">
        <v>224</v>
      </c>
      <c r="G1974" s="916">
        <f>VLOOKUP($A1974,'Tech Litons'!$A:$I,8,FALSE)</f>
        <v>5.2680000000000001E-3</v>
      </c>
      <c r="H1974" s="917">
        <f>VLOOKUP($A1974,'Tech Litons'!$A:$I,9,FALSE)</f>
        <v>130</v>
      </c>
      <c r="I1974" s="917" t="str">
        <f>VLOOKUP($A1974,'Tech Litons'!$A:$C,3,0)</f>
        <v>PG</v>
      </c>
      <c r="J1974" s="918" t="str">
        <f t="shared" si="199"/>
        <v>1352PG</v>
      </c>
      <c r="K1974" s="919">
        <v>1</v>
      </c>
      <c r="L1974" s="920">
        <f t="shared" si="198"/>
        <v>1170</v>
      </c>
      <c r="M1974" s="920">
        <f t="shared" si="200"/>
        <v>6.1635600000000004</v>
      </c>
      <c r="N1974" s="920">
        <f t="shared" si="201"/>
        <v>9</v>
      </c>
      <c r="O1974" s="918" t="str">
        <f t="shared" si="202"/>
        <v>Feb</v>
      </c>
      <c r="P1974" s="921">
        <f t="shared" si="203"/>
        <v>8</v>
      </c>
    </row>
    <row r="1975" spans="1:16" ht="15" hidden="1" customHeight="1">
      <c r="A1975" s="839">
        <v>69725082</v>
      </c>
      <c r="B1975" s="839">
        <v>1352</v>
      </c>
      <c r="C1975" s="906">
        <v>2708</v>
      </c>
      <c r="D1975" s="907">
        <v>46073</v>
      </c>
      <c r="E1975" s="839" t="s">
        <v>292</v>
      </c>
      <c r="F1975" s="839" t="s">
        <v>224</v>
      </c>
      <c r="G1975" s="916">
        <f>VLOOKUP($A1975,'Tech Litons'!$A:$I,8,FALSE)</f>
        <v>5.2680000000000001E-3</v>
      </c>
      <c r="H1975" s="917">
        <f>VLOOKUP($A1975,'Tech Litons'!$A:$I,9,FALSE)</f>
        <v>130</v>
      </c>
      <c r="I1975" s="917" t="str">
        <f>VLOOKUP($A1975,'Tech Litons'!$A:$C,3,0)</f>
        <v>PG</v>
      </c>
      <c r="J1975" s="918" t="str">
        <f t="shared" si="199"/>
        <v>1352PG</v>
      </c>
      <c r="K1975" s="919">
        <v>1</v>
      </c>
      <c r="L1975" s="920">
        <f t="shared" si="198"/>
        <v>2708</v>
      </c>
      <c r="M1975" s="920">
        <f t="shared" si="200"/>
        <v>14.265744</v>
      </c>
      <c r="N1975" s="920">
        <f t="shared" si="201"/>
        <v>20.830769230769231</v>
      </c>
      <c r="O1975" s="918" t="str">
        <f t="shared" si="202"/>
        <v>Feb</v>
      </c>
      <c r="P1975" s="921">
        <f t="shared" si="203"/>
        <v>8</v>
      </c>
    </row>
    <row r="1976" spans="1:16" ht="15" hidden="1" customHeight="1">
      <c r="A1976" s="839">
        <v>69725082</v>
      </c>
      <c r="B1976" s="839">
        <v>1352</v>
      </c>
      <c r="C1976" s="906">
        <v>1430</v>
      </c>
      <c r="D1976" s="907">
        <v>46073</v>
      </c>
      <c r="E1976" s="839" t="s">
        <v>292</v>
      </c>
      <c r="F1976" s="839" t="s">
        <v>224</v>
      </c>
      <c r="G1976" s="916">
        <f>VLOOKUP($A1976,'Tech Litons'!$A:$I,8,FALSE)</f>
        <v>5.2680000000000001E-3</v>
      </c>
      <c r="H1976" s="917">
        <f>VLOOKUP($A1976,'Tech Litons'!$A:$I,9,FALSE)</f>
        <v>130</v>
      </c>
      <c r="I1976" s="917" t="str">
        <f>VLOOKUP($A1976,'Tech Litons'!$A:$C,3,0)</f>
        <v>PG</v>
      </c>
      <c r="J1976" s="918" t="str">
        <f t="shared" si="199"/>
        <v>1352PG</v>
      </c>
      <c r="K1976" s="919">
        <v>1</v>
      </c>
      <c r="L1976" s="920">
        <f t="shared" si="198"/>
        <v>1430</v>
      </c>
      <c r="M1976" s="920">
        <f t="shared" si="200"/>
        <v>7.5332400000000002</v>
      </c>
      <c r="N1976" s="920">
        <f t="shared" si="201"/>
        <v>11</v>
      </c>
      <c r="O1976" s="918" t="str">
        <f t="shared" si="202"/>
        <v>Feb</v>
      </c>
      <c r="P1976" s="921">
        <f t="shared" si="203"/>
        <v>8</v>
      </c>
    </row>
    <row r="1977" spans="1:16" ht="15" hidden="1" customHeight="1">
      <c r="A1977" s="839">
        <v>69725082</v>
      </c>
      <c r="B1977" s="839">
        <v>1352</v>
      </c>
      <c r="C1977" s="906">
        <v>121</v>
      </c>
      <c r="D1977" s="907">
        <v>46074</v>
      </c>
      <c r="E1977" s="839" t="s">
        <v>292</v>
      </c>
      <c r="F1977" s="839" t="s">
        <v>224</v>
      </c>
      <c r="G1977" s="916">
        <f>VLOOKUP($A1977,'Tech Litons'!$A:$I,8,FALSE)</f>
        <v>5.2680000000000001E-3</v>
      </c>
      <c r="H1977" s="917">
        <f>VLOOKUP($A1977,'Tech Litons'!$A:$I,9,FALSE)</f>
        <v>130</v>
      </c>
      <c r="I1977" s="917" t="str">
        <f>VLOOKUP($A1977,'Tech Litons'!$A:$C,3,0)</f>
        <v>PG</v>
      </c>
      <c r="J1977" s="918" t="str">
        <f t="shared" si="199"/>
        <v>1352PG</v>
      </c>
      <c r="K1977" s="919">
        <v>1</v>
      </c>
      <c r="L1977" s="920">
        <f t="shared" si="198"/>
        <v>121</v>
      </c>
      <c r="M1977" s="920">
        <f t="shared" si="200"/>
        <v>0.63742799999999999</v>
      </c>
      <c r="N1977" s="920">
        <f t="shared" si="201"/>
        <v>0.93076923076923079</v>
      </c>
      <c r="O1977" s="918" t="str">
        <f t="shared" si="202"/>
        <v>Feb</v>
      </c>
      <c r="P1977" s="921">
        <f t="shared" si="203"/>
        <v>8</v>
      </c>
    </row>
    <row r="1978" spans="1:16" ht="15" hidden="1" customHeight="1">
      <c r="A1978" s="839">
        <v>69725082</v>
      </c>
      <c r="B1978" s="839">
        <v>1352</v>
      </c>
      <c r="C1978" s="906">
        <v>249</v>
      </c>
      <c r="D1978" s="907">
        <v>46053</v>
      </c>
      <c r="E1978" s="839" t="s">
        <v>292</v>
      </c>
      <c r="F1978" s="839" t="s">
        <v>223</v>
      </c>
      <c r="G1978" s="916">
        <f>VLOOKUP($A1978,'Tech Litons'!$A:$I,8,FALSE)</f>
        <v>5.2680000000000001E-3</v>
      </c>
      <c r="H1978" s="917">
        <f>VLOOKUP($A1978,'Tech Litons'!$A:$I,9,FALSE)</f>
        <v>130</v>
      </c>
      <c r="I1978" s="917" t="str">
        <f>VLOOKUP($A1978,'Tech Litons'!$A:$C,3,0)</f>
        <v>PG</v>
      </c>
      <c r="J1978" s="918" t="str">
        <f t="shared" si="199"/>
        <v>1352PG</v>
      </c>
      <c r="K1978" s="919">
        <v>1</v>
      </c>
      <c r="L1978" s="920">
        <f t="shared" si="198"/>
        <v>249</v>
      </c>
      <c r="M1978" s="920">
        <f t="shared" si="200"/>
        <v>1.3117320000000001</v>
      </c>
      <c r="N1978" s="920">
        <f t="shared" si="201"/>
        <v>1.9153846153846155</v>
      </c>
      <c r="O1978" s="918" t="str">
        <f t="shared" si="202"/>
        <v>Jan</v>
      </c>
      <c r="P1978" s="921">
        <f t="shared" si="203"/>
        <v>5</v>
      </c>
    </row>
    <row r="1979" spans="1:16" ht="15" hidden="1" customHeight="1">
      <c r="A1979" s="839">
        <v>69983248</v>
      </c>
      <c r="B1979" s="839">
        <v>1352</v>
      </c>
      <c r="C1979" s="906">
        <v>2313</v>
      </c>
      <c r="D1979" s="907">
        <v>46063</v>
      </c>
      <c r="E1979" s="839" t="s">
        <v>408</v>
      </c>
      <c r="F1979" s="839" t="s">
        <v>287</v>
      </c>
      <c r="G1979" s="916">
        <f>VLOOKUP($A1979,'Tech Litons'!$A:$I,8,FALSE)</f>
        <v>2.8319999999999999E-3</v>
      </c>
      <c r="H1979" s="917">
        <f>VLOOKUP($A1979,'Tech Litons'!$A:$I,9,FALSE)</f>
        <v>225</v>
      </c>
      <c r="I1979" s="917" t="str">
        <f>VLOOKUP($A1979,'Tech Litons'!$A:$C,3,0)</f>
        <v>MBG</v>
      </c>
      <c r="J1979" s="918" t="str">
        <f t="shared" si="199"/>
        <v>1352MBG</v>
      </c>
      <c r="K1979" s="919">
        <v>1</v>
      </c>
      <c r="L1979" s="920">
        <f t="shared" si="198"/>
        <v>2313</v>
      </c>
      <c r="M1979" s="920">
        <f t="shared" si="200"/>
        <v>6.5504159999999994</v>
      </c>
      <c r="N1979" s="920">
        <f t="shared" si="201"/>
        <v>10.28</v>
      </c>
      <c r="O1979" s="918" t="str">
        <f t="shared" si="202"/>
        <v>Feb</v>
      </c>
      <c r="P1979" s="921">
        <f t="shared" si="203"/>
        <v>7</v>
      </c>
    </row>
    <row r="1980" spans="1:16" ht="15" hidden="1" customHeight="1">
      <c r="A1980" s="839">
        <v>69983248</v>
      </c>
      <c r="B1980" s="839">
        <v>1352</v>
      </c>
      <c r="C1980" s="906">
        <v>1124</v>
      </c>
      <c r="D1980" s="907">
        <v>46063</v>
      </c>
      <c r="E1980" s="839" t="s">
        <v>408</v>
      </c>
      <c r="F1980" s="839" t="s">
        <v>287</v>
      </c>
      <c r="G1980" s="916">
        <f>VLOOKUP($A1980,'Tech Litons'!$A:$I,8,FALSE)</f>
        <v>2.8319999999999999E-3</v>
      </c>
      <c r="H1980" s="917">
        <f>VLOOKUP($A1980,'Tech Litons'!$A:$I,9,FALSE)</f>
        <v>225</v>
      </c>
      <c r="I1980" s="917" t="str">
        <f>VLOOKUP($A1980,'Tech Litons'!$A:$C,3,0)</f>
        <v>MBG</v>
      </c>
      <c r="J1980" s="918" t="str">
        <f t="shared" si="199"/>
        <v>1352MBG</v>
      </c>
      <c r="K1980" s="919">
        <v>1</v>
      </c>
      <c r="L1980" s="920">
        <f t="shared" si="198"/>
        <v>1124</v>
      </c>
      <c r="M1980" s="920">
        <f t="shared" si="200"/>
        <v>3.1831679999999998</v>
      </c>
      <c r="N1980" s="920">
        <f t="shared" si="201"/>
        <v>4.9955555555555557</v>
      </c>
      <c r="O1980" s="918" t="str">
        <f t="shared" si="202"/>
        <v>Feb</v>
      </c>
      <c r="P1980" s="921">
        <f t="shared" si="203"/>
        <v>7</v>
      </c>
    </row>
    <row r="1981" spans="1:16" ht="15" hidden="1" customHeight="1">
      <c r="A1981" s="839">
        <v>69983248</v>
      </c>
      <c r="B1981" s="839">
        <v>1352</v>
      </c>
      <c r="C1981" s="906">
        <v>4208</v>
      </c>
      <c r="D1981" s="907">
        <v>46064</v>
      </c>
      <c r="E1981" s="839" t="s">
        <v>408</v>
      </c>
      <c r="F1981" s="839" t="s">
        <v>287</v>
      </c>
      <c r="G1981" s="916">
        <f>VLOOKUP($A1981,'Tech Litons'!$A:$I,8,FALSE)</f>
        <v>2.8319999999999999E-3</v>
      </c>
      <c r="H1981" s="917">
        <f>VLOOKUP($A1981,'Tech Litons'!$A:$I,9,FALSE)</f>
        <v>225</v>
      </c>
      <c r="I1981" s="917" t="str">
        <f>VLOOKUP($A1981,'Tech Litons'!$A:$C,3,0)</f>
        <v>MBG</v>
      </c>
      <c r="J1981" s="918" t="str">
        <f t="shared" si="199"/>
        <v>1352MBG</v>
      </c>
      <c r="K1981" s="919">
        <v>1</v>
      </c>
      <c r="L1981" s="920">
        <f t="shared" si="198"/>
        <v>4208</v>
      </c>
      <c r="M1981" s="920">
        <f t="shared" si="200"/>
        <v>11.917055999999999</v>
      </c>
      <c r="N1981" s="920">
        <f t="shared" si="201"/>
        <v>18.702222222222222</v>
      </c>
      <c r="O1981" s="918" t="str">
        <f t="shared" si="202"/>
        <v>Feb</v>
      </c>
      <c r="P1981" s="921">
        <f t="shared" si="203"/>
        <v>7</v>
      </c>
    </row>
    <row r="1982" spans="1:16" ht="15" hidden="1" customHeight="1">
      <c r="A1982" s="839">
        <v>69983248</v>
      </c>
      <c r="B1982" s="839">
        <v>1352</v>
      </c>
      <c r="C1982" s="906">
        <v>1800</v>
      </c>
      <c r="D1982" s="907">
        <v>46064</v>
      </c>
      <c r="E1982" s="839" t="s">
        <v>408</v>
      </c>
      <c r="F1982" s="839" t="s">
        <v>287</v>
      </c>
      <c r="G1982" s="916">
        <f>VLOOKUP($A1982,'Tech Litons'!$A:$I,8,FALSE)</f>
        <v>2.8319999999999999E-3</v>
      </c>
      <c r="H1982" s="917">
        <f>VLOOKUP($A1982,'Tech Litons'!$A:$I,9,FALSE)</f>
        <v>225</v>
      </c>
      <c r="I1982" s="917" t="str">
        <f>VLOOKUP($A1982,'Tech Litons'!$A:$C,3,0)</f>
        <v>MBG</v>
      </c>
      <c r="J1982" s="918" t="str">
        <f t="shared" si="199"/>
        <v>1352MBG</v>
      </c>
      <c r="K1982" s="919">
        <v>1</v>
      </c>
      <c r="L1982" s="920">
        <f t="shared" si="198"/>
        <v>1800</v>
      </c>
      <c r="M1982" s="920">
        <f t="shared" si="200"/>
        <v>5.0975999999999999</v>
      </c>
      <c r="N1982" s="920">
        <f t="shared" si="201"/>
        <v>8</v>
      </c>
      <c r="O1982" s="918" t="str">
        <f t="shared" si="202"/>
        <v>Feb</v>
      </c>
      <c r="P1982" s="921">
        <f t="shared" si="203"/>
        <v>7</v>
      </c>
    </row>
    <row r="1983" spans="1:16" ht="15" hidden="1" customHeight="1">
      <c r="A1983" s="839">
        <v>69983248</v>
      </c>
      <c r="B1983" s="839">
        <v>1352</v>
      </c>
      <c r="C1983" s="906">
        <v>3715</v>
      </c>
      <c r="D1983" s="907">
        <v>46065</v>
      </c>
      <c r="E1983" s="839" t="s">
        <v>408</v>
      </c>
      <c r="F1983" s="839" t="s">
        <v>287</v>
      </c>
      <c r="G1983" s="916">
        <f>VLOOKUP($A1983,'Tech Litons'!$A:$I,8,FALSE)</f>
        <v>2.8319999999999999E-3</v>
      </c>
      <c r="H1983" s="917">
        <f>VLOOKUP($A1983,'Tech Litons'!$A:$I,9,FALSE)</f>
        <v>225</v>
      </c>
      <c r="I1983" s="917" t="str">
        <f>VLOOKUP($A1983,'Tech Litons'!$A:$C,3,0)</f>
        <v>MBG</v>
      </c>
      <c r="J1983" s="918" t="str">
        <f t="shared" si="199"/>
        <v>1352MBG</v>
      </c>
      <c r="K1983" s="919">
        <v>1</v>
      </c>
      <c r="L1983" s="920">
        <f t="shared" si="198"/>
        <v>3715</v>
      </c>
      <c r="M1983" s="920">
        <f t="shared" si="200"/>
        <v>10.52088</v>
      </c>
      <c r="N1983" s="920">
        <f t="shared" si="201"/>
        <v>16.511111111111113</v>
      </c>
      <c r="O1983" s="918" t="str">
        <f t="shared" si="202"/>
        <v>Feb</v>
      </c>
      <c r="P1983" s="921">
        <f t="shared" si="203"/>
        <v>7</v>
      </c>
    </row>
    <row r="1984" spans="1:16" ht="15" hidden="1" customHeight="1">
      <c r="A1984" s="839">
        <v>69983248</v>
      </c>
      <c r="B1984" s="839">
        <v>1352</v>
      </c>
      <c r="C1984" s="906">
        <v>450</v>
      </c>
      <c r="D1984" s="907">
        <v>46065</v>
      </c>
      <c r="E1984" s="839" t="s">
        <v>408</v>
      </c>
      <c r="F1984" s="839" t="s">
        <v>287</v>
      </c>
      <c r="G1984" s="916">
        <f>VLOOKUP($A1984,'Tech Litons'!$A:$I,8,FALSE)</f>
        <v>2.8319999999999999E-3</v>
      </c>
      <c r="H1984" s="917">
        <f>VLOOKUP($A1984,'Tech Litons'!$A:$I,9,FALSE)</f>
        <v>225</v>
      </c>
      <c r="I1984" s="917" t="str">
        <f>VLOOKUP($A1984,'Tech Litons'!$A:$C,3,0)</f>
        <v>MBG</v>
      </c>
      <c r="J1984" s="918" t="str">
        <f t="shared" si="199"/>
        <v>1352MBG</v>
      </c>
      <c r="K1984" s="919">
        <v>1</v>
      </c>
      <c r="L1984" s="920">
        <f t="shared" si="198"/>
        <v>450</v>
      </c>
      <c r="M1984" s="920">
        <f t="shared" si="200"/>
        <v>1.2744</v>
      </c>
      <c r="N1984" s="920">
        <f t="shared" si="201"/>
        <v>2</v>
      </c>
      <c r="O1984" s="918" t="str">
        <f t="shared" si="202"/>
        <v>Feb</v>
      </c>
      <c r="P1984" s="921">
        <f t="shared" si="203"/>
        <v>7</v>
      </c>
    </row>
    <row r="1985" spans="1:16" ht="15" hidden="1" customHeight="1">
      <c r="A1985" s="839">
        <v>69983248</v>
      </c>
      <c r="B1985" s="839">
        <v>1352</v>
      </c>
      <c r="C1985" s="906">
        <v>900</v>
      </c>
      <c r="D1985" s="907">
        <v>46066</v>
      </c>
      <c r="E1985" s="839" t="s">
        <v>408</v>
      </c>
      <c r="F1985" s="839" t="s">
        <v>287</v>
      </c>
      <c r="G1985" s="916">
        <f>VLOOKUP($A1985,'Tech Litons'!$A:$I,8,FALSE)</f>
        <v>2.8319999999999999E-3</v>
      </c>
      <c r="H1985" s="917">
        <f>VLOOKUP($A1985,'Tech Litons'!$A:$I,9,FALSE)</f>
        <v>225</v>
      </c>
      <c r="I1985" s="917" t="str">
        <f>VLOOKUP($A1985,'Tech Litons'!$A:$C,3,0)</f>
        <v>MBG</v>
      </c>
      <c r="J1985" s="918" t="str">
        <f t="shared" si="199"/>
        <v>1352MBG</v>
      </c>
      <c r="K1985" s="919">
        <v>1</v>
      </c>
      <c r="L1985" s="920">
        <f t="shared" si="198"/>
        <v>900</v>
      </c>
      <c r="M1985" s="920">
        <f t="shared" si="200"/>
        <v>2.5488</v>
      </c>
      <c r="N1985" s="920">
        <f t="shared" si="201"/>
        <v>4</v>
      </c>
      <c r="O1985" s="918" t="str">
        <f t="shared" si="202"/>
        <v>Feb</v>
      </c>
      <c r="P1985" s="921">
        <f t="shared" si="203"/>
        <v>7</v>
      </c>
    </row>
    <row r="1986" spans="1:16" ht="15" hidden="1" customHeight="1">
      <c r="A1986" s="839">
        <v>69983248</v>
      </c>
      <c r="B1986" s="839">
        <v>1352</v>
      </c>
      <c r="C1986" s="906">
        <v>2025</v>
      </c>
      <c r="D1986" s="907">
        <v>46066</v>
      </c>
      <c r="E1986" s="839" t="s">
        <v>408</v>
      </c>
      <c r="F1986" s="839" t="s">
        <v>287</v>
      </c>
      <c r="G1986" s="916">
        <f>VLOOKUP($A1986,'Tech Litons'!$A:$I,8,FALSE)</f>
        <v>2.8319999999999999E-3</v>
      </c>
      <c r="H1986" s="917">
        <f>VLOOKUP($A1986,'Tech Litons'!$A:$I,9,FALSE)</f>
        <v>225</v>
      </c>
      <c r="I1986" s="917" t="str">
        <f>VLOOKUP($A1986,'Tech Litons'!$A:$C,3,0)</f>
        <v>MBG</v>
      </c>
      <c r="J1986" s="918" t="str">
        <f t="shared" si="199"/>
        <v>1352MBG</v>
      </c>
      <c r="K1986" s="919">
        <v>1</v>
      </c>
      <c r="L1986" s="920">
        <f t="shared" si="198"/>
        <v>2025</v>
      </c>
      <c r="M1986" s="920">
        <f t="shared" si="200"/>
        <v>5.7347999999999999</v>
      </c>
      <c r="N1986" s="920">
        <f t="shared" si="201"/>
        <v>9</v>
      </c>
      <c r="O1986" s="918" t="str">
        <f t="shared" si="202"/>
        <v>Feb</v>
      </c>
      <c r="P1986" s="921">
        <f t="shared" si="203"/>
        <v>7</v>
      </c>
    </row>
    <row r="1987" spans="1:16" ht="15" hidden="1" customHeight="1">
      <c r="A1987" s="839">
        <v>69983248</v>
      </c>
      <c r="B1987" s="839">
        <v>1352</v>
      </c>
      <c r="C1987" s="906">
        <v>4173</v>
      </c>
      <c r="D1987" s="907">
        <v>46067</v>
      </c>
      <c r="E1987" s="839" t="s">
        <v>408</v>
      </c>
      <c r="F1987" s="839" t="s">
        <v>287</v>
      </c>
      <c r="G1987" s="916">
        <f>VLOOKUP($A1987,'Tech Litons'!$A:$I,8,FALSE)</f>
        <v>2.8319999999999999E-3</v>
      </c>
      <c r="H1987" s="917">
        <f>VLOOKUP($A1987,'Tech Litons'!$A:$I,9,FALSE)</f>
        <v>225</v>
      </c>
      <c r="I1987" s="917" t="str">
        <f>VLOOKUP($A1987,'Tech Litons'!$A:$C,3,0)</f>
        <v>MBG</v>
      </c>
      <c r="J1987" s="918" t="str">
        <f t="shared" si="199"/>
        <v>1352MBG</v>
      </c>
      <c r="K1987" s="919">
        <v>1</v>
      </c>
      <c r="L1987" s="920">
        <f t="shared" si="198"/>
        <v>4173</v>
      </c>
      <c r="M1987" s="920">
        <f t="shared" si="200"/>
        <v>11.817936</v>
      </c>
      <c r="N1987" s="920">
        <f t="shared" si="201"/>
        <v>18.546666666666667</v>
      </c>
      <c r="O1987" s="918" t="str">
        <f t="shared" si="202"/>
        <v>Feb</v>
      </c>
      <c r="P1987" s="921">
        <f t="shared" si="203"/>
        <v>7</v>
      </c>
    </row>
    <row r="1988" spans="1:16" ht="15" hidden="1" customHeight="1">
      <c r="A1988" s="839">
        <v>69983248</v>
      </c>
      <c r="B1988" s="839">
        <v>1352</v>
      </c>
      <c r="C1988" s="906">
        <v>2951</v>
      </c>
      <c r="D1988" s="907">
        <v>46066</v>
      </c>
      <c r="E1988" s="839" t="s">
        <v>408</v>
      </c>
      <c r="F1988" s="839" t="s">
        <v>287</v>
      </c>
      <c r="G1988" s="916">
        <f>VLOOKUP($A1988,'Tech Litons'!$A:$I,8,FALSE)</f>
        <v>2.8319999999999999E-3</v>
      </c>
      <c r="H1988" s="917">
        <f>VLOOKUP($A1988,'Tech Litons'!$A:$I,9,FALSE)</f>
        <v>225</v>
      </c>
      <c r="I1988" s="917" t="str">
        <f>VLOOKUP($A1988,'Tech Litons'!$A:$C,3,0)</f>
        <v>MBG</v>
      </c>
      <c r="J1988" s="918" t="str">
        <f t="shared" si="199"/>
        <v>1352MBG</v>
      </c>
      <c r="K1988" s="919">
        <v>1</v>
      </c>
      <c r="L1988" s="920">
        <f t="shared" si="198"/>
        <v>2951</v>
      </c>
      <c r="M1988" s="920">
        <f t="shared" si="200"/>
        <v>8.3572319999999998</v>
      </c>
      <c r="N1988" s="920">
        <f t="shared" si="201"/>
        <v>13.115555555555556</v>
      </c>
      <c r="O1988" s="918" t="str">
        <f t="shared" si="202"/>
        <v>Feb</v>
      </c>
      <c r="P1988" s="921">
        <f t="shared" si="203"/>
        <v>7</v>
      </c>
    </row>
    <row r="1989" spans="1:16" ht="15" hidden="1" customHeight="1">
      <c r="A1989" s="839">
        <v>64315722</v>
      </c>
      <c r="B1989" s="839">
        <v>2904</v>
      </c>
      <c r="C1989" s="906">
        <v>4752</v>
      </c>
      <c r="D1989" s="907">
        <v>46063</v>
      </c>
      <c r="E1989" s="839" t="s">
        <v>478</v>
      </c>
      <c r="F1989" s="839" t="s">
        <v>271</v>
      </c>
      <c r="G1989" s="916">
        <f>VLOOKUP($A1989,'Tech Litons'!$A:$I,8,FALSE)</f>
        <v>8.5199999999999998E-3</v>
      </c>
      <c r="H1989" s="917">
        <f>VLOOKUP($A1989,'Tech Litons'!$A:$I,9,FALSE)</f>
        <v>176</v>
      </c>
      <c r="I1989" s="917" t="str">
        <f>VLOOKUP($A1989,'Tech Litons'!$A:$C,3,0)</f>
        <v>48oz</v>
      </c>
      <c r="J1989" s="918" t="str">
        <f t="shared" si="199"/>
        <v>290448oz</v>
      </c>
      <c r="K1989" s="919">
        <v>1</v>
      </c>
      <c r="L1989" s="920">
        <f t="shared" si="198"/>
        <v>4752</v>
      </c>
      <c r="M1989" s="920">
        <f t="shared" si="200"/>
        <v>40.48704</v>
      </c>
      <c r="N1989" s="920">
        <f t="shared" si="201"/>
        <v>27</v>
      </c>
      <c r="O1989" s="918" t="str">
        <f t="shared" si="202"/>
        <v>Feb</v>
      </c>
      <c r="P1989" s="921">
        <f t="shared" si="203"/>
        <v>7</v>
      </c>
    </row>
    <row r="1990" spans="1:16" ht="15" hidden="1" customHeight="1">
      <c r="A1990" s="839">
        <v>64315722</v>
      </c>
      <c r="B1990" s="839">
        <v>2904</v>
      </c>
      <c r="C1990" s="906">
        <v>5456</v>
      </c>
      <c r="D1990" s="907">
        <v>46064</v>
      </c>
      <c r="E1990" s="839" t="s">
        <v>478</v>
      </c>
      <c r="F1990" s="839" t="s">
        <v>271</v>
      </c>
      <c r="G1990" s="916">
        <f>VLOOKUP($A1990,'Tech Litons'!$A:$I,8,FALSE)</f>
        <v>8.5199999999999998E-3</v>
      </c>
      <c r="H1990" s="917">
        <f>VLOOKUP($A1990,'Tech Litons'!$A:$I,9,FALSE)</f>
        <v>176</v>
      </c>
      <c r="I1990" s="917" t="str">
        <f>VLOOKUP($A1990,'Tech Litons'!$A:$C,3,0)</f>
        <v>48oz</v>
      </c>
      <c r="J1990" s="918" t="str">
        <f t="shared" si="199"/>
        <v>290448oz</v>
      </c>
      <c r="K1990" s="919">
        <v>1</v>
      </c>
      <c r="L1990" s="920">
        <f t="shared" si="198"/>
        <v>5456</v>
      </c>
      <c r="M1990" s="920">
        <f t="shared" si="200"/>
        <v>46.485120000000002</v>
      </c>
      <c r="N1990" s="920">
        <f t="shared" si="201"/>
        <v>31</v>
      </c>
      <c r="O1990" s="918" t="str">
        <f t="shared" si="202"/>
        <v>Feb</v>
      </c>
      <c r="P1990" s="921">
        <f t="shared" si="203"/>
        <v>7</v>
      </c>
    </row>
    <row r="1991" spans="1:16" ht="15" hidden="1" customHeight="1">
      <c r="A1991" s="839">
        <v>64315722</v>
      </c>
      <c r="B1991" s="839">
        <v>2904</v>
      </c>
      <c r="C1991" s="906">
        <v>5955</v>
      </c>
      <c r="D1991" s="907">
        <v>46064</v>
      </c>
      <c r="E1991" s="839" t="s">
        <v>478</v>
      </c>
      <c r="F1991" s="839" t="s">
        <v>271</v>
      </c>
      <c r="G1991" s="916">
        <f>VLOOKUP($A1991,'Tech Litons'!$A:$I,8,FALSE)</f>
        <v>8.5199999999999998E-3</v>
      </c>
      <c r="H1991" s="917">
        <f>VLOOKUP($A1991,'Tech Litons'!$A:$I,9,FALSE)</f>
        <v>176</v>
      </c>
      <c r="I1991" s="917" t="str">
        <f>VLOOKUP($A1991,'Tech Litons'!$A:$C,3,0)</f>
        <v>48oz</v>
      </c>
      <c r="J1991" s="918" t="str">
        <f t="shared" si="199"/>
        <v>290448oz</v>
      </c>
      <c r="K1991" s="919">
        <v>1</v>
      </c>
      <c r="L1991" s="920">
        <f t="shared" si="198"/>
        <v>5955</v>
      </c>
      <c r="M1991" s="920">
        <f t="shared" si="200"/>
        <v>50.736599999999996</v>
      </c>
      <c r="N1991" s="920">
        <f t="shared" si="201"/>
        <v>33.835227272727273</v>
      </c>
      <c r="O1991" s="918" t="str">
        <f t="shared" si="202"/>
        <v>Feb</v>
      </c>
      <c r="P1991" s="921">
        <f t="shared" si="203"/>
        <v>7</v>
      </c>
    </row>
    <row r="1992" spans="1:16" ht="15" hidden="1" customHeight="1">
      <c r="A1992" s="839">
        <v>64315722</v>
      </c>
      <c r="B1992" s="839">
        <v>2904</v>
      </c>
      <c r="C1992" s="906">
        <v>8214</v>
      </c>
      <c r="D1992" s="907">
        <v>46065</v>
      </c>
      <c r="E1992" s="839" t="s">
        <v>478</v>
      </c>
      <c r="F1992" s="839" t="s">
        <v>271</v>
      </c>
      <c r="G1992" s="916">
        <f>VLOOKUP($A1992,'Tech Litons'!$A:$I,8,FALSE)</f>
        <v>8.5199999999999998E-3</v>
      </c>
      <c r="H1992" s="917">
        <f>VLOOKUP($A1992,'Tech Litons'!$A:$I,9,FALSE)</f>
        <v>176</v>
      </c>
      <c r="I1992" s="917" t="str">
        <f>VLOOKUP($A1992,'Tech Litons'!$A:$C,3,0)</f>
        <v>48oz</v>
      </c>
      <c r="J1992" s="918" t="str">
        <f t="shared" si="199"/>
        <v>290448oz</v>
      </c>
      <c r="K1992" s="919">
        <v>1</v>
      </c>
      <c r="L1992" s="920">
        <f t="shared" si="198"/>
        <v>8214</v>
      </c>
      <c r="M1992" s="920">
        <f t="shared" si="200"/>
        <v>69.983279999999993</v>
      </c>
      <c r="N1992" s="920">
        <f t="shared" si="201"/>
        <v>46.670454545454547</v>
      </c>
      <c r="O1992" s="918" t="str">
        <f t="shared" si="202"/>
        <v>Feb</v>
      </c>
      <c r="P1992" s="921">
        <f t="shared" si="203"/>
        <v>7</v>
      </c>
    </row>
    <row r="1993" spans="1:16" ht="15" hidden="1" customHeight="1">
      <c r="A1993" s="839">
        <v>64315722</v>
      </c>
      <c r="B1993" s="839">
        <v>2904</v>
      </c>
      <c r="C1993" s="906">
        <v>5804</v>
      </c>
      <c r="D1993" s="907">
        <v>46065</v>
      </c>
      <c r="E1993" s="839" t="s">
        <v>478</v>
      </c>
      <c r="F1993" s="839" t="s">
        <v>271</v>
      </c>
      <c r="G1993" s="916">
        <f>VLOOKUP($A1993,'Tech Litons'!$A:$I,8,FALSE)</f>
        <v>8.5199999999999998E-3</v>
      </c>
      <c r="H1993" s="917">
        <f>VLOOKUP($A1993,'Tech Litons'!$A:$I,9,FALSE)</f>
        <v>176</v>
      </c>
      <c r="I1993" s="917" t="str">
        <f>VLOOKUP($A1993,'Tech Litons'!$A:$C,3,0)</f>
        <v>48oz</v>
      </c>
      <c r="J1993" s="918" t="str">
        <f t="shared" si="199"/>
        <v>290448oz</v>
      </c>
      <c r="K1993" s="919">
        <v>1</v>
      </c>
      <c r="L1993" s="920">
        <f t="shared" si="198"/>
        <v>5804</v>
      </c>
      <c r="M1993" s="920">
        <f t="shared" si="200"/>
        <v>49.45008</v>
      </c>
      <c r="N1993" s="920">
        <f t="shared" si="201"/>
        <v>32.977272727272727</v>
      </c>
      <c r="O1993" s="918" t="str">
        <f t="shared" si="202"/>
        <v>Feb</v>
      </c>
      <c r="P1993" s="921">
        <f t="shared" si="203"/>
        <v>7</v>
      </c>
    </row>
    <row r="1994" spans="1:16" ht="15" hidden="1" customHeight="1">
      <c r="A1994" s="839">
        <v>64315722</v>
      </c>
      <c r="B1994" s="839">
        <v>2904</v>
      </c>
      <c r="C1994" s="906">
        <v>22</v>
      </c>
      <c r="D1994" s="907">
        <v>46066</v>
      </c>
      <c r="E1994" s="839" t="s">
        <v>478</v>
      </c>
      <c r="F1994" s="839" t="s">
        <v>271</v>
      </c>
      <c r="G1994" s="916">
        <f>VLOOKUP($A1994,'Tech Litons'!$A:$I,8,FALSE)</f>
        <v>8.5199999999999998E-3</v>
      </c>
      <c r="H1994" s="917">
        <f>VLOOKUP($A1994,'Tech Litons'!$A:$I,9,FALSE)</f>
        <v>176</v>
      </c>
      <c r="I1994" s="917" t="str">
        <f>VLOOKUP($A1994,'Tech Litons'!$A:$C,3,0)</f>
        <v>48oz</v>
      </c>
      <c r="J1994" s="918" t="str">
        <f t="shared" si="199"/>
        <v>290448oz</v>
      </c>
      <c r="K1994" s="919">
        <v>1</v>
      </c>
      <c r="L1994" s="920">
        <f t="shared" si="198"/>
        <v>22</v>
      </c>
      <c r="M1994" s="920">
        <f t="shared" si="200"/>
        <v>0.18744</v>
      </c>
      <c r="N1994" s="920">
        <f t="shared" si="201"/>
        <v>0.125</v>
      </c>
      <c r="O1994" s="918" t="str">
        <f t="shared" si="202"/>
        <v>Feb</v>
      </c>
      <c r="P1994" s="921">
        <f t="shared" si="203"/>
        <v>7</v>
      </c>
    </row>
    <row r="1995" spans="1:16" ht="15" hidden="1" customHeight="1">
      <c r="A1995" s="839">
        <v>64315722</v>
      </c>
      <c r="B1995" s="839">
        <v>2904</v>
      </c>
      <c r="C1995" s="906">
        <v>704</v>
      </c>
      <c r="D1995" s="907">
        <v>46063</v>
      </c>
      <c r="E1995" s="839" t="s">
        <v>478</v>
      </c>
      <c r="F1995" s="839" t="s">
        <v>271</v>
      </c>
      <c r="G1995" s="916">
        <f>VLOOKUP($A1995,'Tech Litons'!$A:$I,8,FALSE)</f>
        <v>8.5199999999999998E-3</v>
      </c>
      <c r="H1995" s="917">
        <f>VLOOKUP($A1995,'Tech Litons'!$A:$I,9,FALSE)</f>
        <v>176</v>
      </c>
      <c r="I1995" s="917" t="str">
        <f>VLOOKUP($A1995,'Tech Litons'!$A:$C,3,0)</f>
        <v>48oz</v>
      </c>
      <c r="J1995" s="918" t="str">
        <f t="shared" si="199"/>
        <v>290448oz</v>
      </c>
      <c r="K1995" s="919">
        <v>1</v>
      </c>
      <c r="L1995" s="920">
        <f t="shared" ref="L1995:L2056" si="204">C1995*$K1995</f>
        <v>704</v>
      </c>
      <c r="M1995" s="920">
        <f t="shared" si="200"/>
        <v>5.9980799999999999</v>
      </c>
      <c r="N1995" s="920">
        <f t="shared" si="201"/>
        <v>4</v>
      </c>
      <c r="O1995" s="918" t="str">
        <f t="shared" si="202"/>
        <v>Feb</v>
      </c>
      <c r="P1995" s="921">
        <f t="shared" si="203"/>
        <v>7</v>
      </c>
    </row>
    <row r="1996" spans="1:16" ht="15" hidden="1" customHeight="1">
      <c r="A1996" s="839">
        <v>64330596</v>
      </c>
      <c r="B1996" s="839">
        <v>2904</v>
      </c>
      <c r="C1996" s="906">
        <v>4111</v>
      </c>
      <c r="D1996" s="907">
        <v>46055</v>
      </c>
      <c r="E1996" s="839" t="s">
        <v>280</v>
      </c>
      <c r="F1996" s="839" t="s">
        <v>281</v>
      </c>
      <c r="G1996" s="916">
        <f>VLOOKUP($A1996,'Tech Litons'!$A:$I,8,FALSE)</f>
        <v>1.98E-3</v>
      </c>
      <c r="H1996" s="917">
        <f>VLOOKUP($A1996,'Tech Litons'!$A:$I,9,FALSE)</f>
        <v>176</v>
      </c>
      <c r="I1996" s="917" t="str">
        <f>VLOOKUP($A1996,'Tech Litons'!$A:$C,3,0)</f>
        <v>MG Sticks</v>
      </c>
      <c r="J1996" s="918" t="str">
        <f t="shared" ref="J1996:J2057" si="205">B1996&amp;I1996</f>
        <v>2904MG Sticks</v>
      </c>
      <c r="K1996" s="919">
        <v>1</v>
      </c>
      <c r="L1996" s="920">
        <f t="shared" si="204"/>
        <v>4111</v>
      </c>
      <c r="M1996" s="920">
        <f t="shared" ref="M1996:M2057" si="206">L1996*G1996</f>
        <v>8.13978</v>
      </c>
      <c r="N1996" s="920">
        <f t="shared" ref="N1996:N2057" si="207">L1996/H1996</f>
        <v>23.357954545454547</v>
      </c>
      <c r="O1996" s="918" t="str">
        <f t="shared" ref="O1996:O2057" si="208">TEXT(D1996,"MMM")</f>
        <v>Feb</v>
      </c>
      <c r="P1996" s="921">
        <f t="shared" ref="P1996:P2057" si="209">WEEKNUM(D1996)</f>
        <v>6</v>
      </c>
    </row>
    <row r="1997" spans="1:16" ht="15" hidden="1" customHeight="1">
      <c r="A1997" s="839">
        <v>64330596</v>
      </c>
      <c r="B1997" s="839">
        <v>2904</v>
      </c>
      <c r="C1997" s="906">
        <v>6451</v>
      </c>
      <c r="D1997" s="907">
        <v>46056</v>
      </c>
      <c r="E1997" s="839" t="s">
        <v>280</v>
      </c>
      <c r="F1997" s="839" t="s">
        <v>281</v>
      </c>
      <c r="G1997" s="916">
        <f>VLOOKUP($A1997,'Tech Litons'!$A:$I,8,FALSE)</f>
        <v>1.98E-3</v>
      </c>
      <c r="H1997" s="917">
        <f>VLOOKUP($A1997,'Tech Litons'!$A:$I,9,FALSE)</f>
        <v>176</v>
      </c>
      <c r="I1997" s="917" t="str">
        <f>VLOOKUP($A1997,'Tech Litons'!$A:$C,3,0)</f>
        <v>MG Sticks</v>
      </c>
      <c r="J1997" s="918" t="str">
        <f t="shared" si="205"/>
        <v>2904MG Sticks</v>
      </c>
      <c r="K1997" s="919">
        <v>1</v>
      </c>
      <c r="L1997" s="920">
        <f t="shared" si="204"/>
        <v>6451</v>
      </c>
      <c r="M1997" s="920">
        <f t="shared" si="206"/>
        <v>12.77298</v>
      </c>
      <c r="N1997" s="920">
        <f t="shared" si="207"/>
        <v>36.653409090909093</v>
      </c>
      <c r="O1997" s="918" t="str">
        <f t="shared" si="208"/>
        <v>Feb</v>
      </c>
      <c r="P1997" s="921">
        <f t="shared" si="209"/>
        <v>6</v>
      </c>
    </row>
    <row r="1998" spans="1:16" ht="15" hidden="1" customHeight="1">
      <c r="A1998" s="839">
        <v>64330596</v>
      </c>
      <c r="B1998" s="839">
        <v>2904</v>
      </c>
      <c r="C1998" s="906">
        <v>-55</v>
      </c>
      <c r="D1998" s="907">
        <v>46059</v>
      </c>
      <c r="E1998" s="839" t="s">
        <v>280</v>
      </c>
      <c r="F1998" s="839" t="s">
        <v>281</v>
      </c>
      <c r="G1998" s="916">
        <f>VLOOKUP($A1998,'Tech Litons'!$A:$I,8,FALSE)</f>
        <v>1.98E-3</v>
      </c>
      <c r="H1998" s="917">
        <f>VLOOKUP($A1998,'Tech Litons'!$A:$I,9,FALSE)</f>
        <v>176</v>
      </c>
      <c r="I1998" s="917" t="str">
        <f>VLOOKUP($A1998,'Tech Litons'!$A:$C,3,0)</f>
        <v>MG Sticks</v>
      </c>
      <c r="J1998" s="918" t="str">
        <f t="shared" si="205"/>
        <v>2904MG Sticks</v>
      </c>
      <c r="K1998" s="919">
        <v>1</v>
      </c>
      <c r="L1998" s="920">
        <f t="shared" si="204"/>
        <v>-55</v>
      </c>
      <c r="M1998" s="920">
        <f t="shared" si="206"/>
        <v>-0.1089</v>
      </c>
      <c r="N1998" s="920">
        <f t="shared" si="207"/>
        <v>-0.3125</v>
      </c>
      <c r="O1998" s="918" t="str">
        <f t="shared" si="208"/>
        <v>Feb</v>
      </c>
      <c r="P1998" s="921">
        <f t="shared" si="209"/>
        <v>6</v>
      </c>
    </row>
    <row r="1999" spans="1:16" ht="15" hidden="1" customHeight="1">
      <c r="A1999" s="839">
        <v>64330596</v>
      </c>
      <c r="B1999" s="839">
        <v>2904</v>
      </c>
      <c r="C1999" s="906">
        <v>6144</v>
      </c>
      <c r="D1999" s="907">
        <v>46056</v>
      </c>
      <c r="E1999" s="839" t="s">
        <v>280</v>
      </c>
      <c r="F1999" s="839" t="s">
        <v>281</v>
      </c>
      <c r="G1999" s="916">
        <f>VLOOKUP($A1999,'Tech Litons'!$A:$I,8,FALSE)</f>
        <v>1.98E-3</v>
      </c>
      <c r="H1999" s="917">
        <f>VLOOKUP($A1999,'Tech Litons'!$A:$I,9,FALSE)</f>
        <v>176</v>
      </c>
      <c r="I1999" s="917" t="str">
        <f>VLOOKUP($A1999,'Tech Litons'!$A:$C,3,0)</f>
        <v>MG Sticks</v>
      </c>
      <c r="J1999" s="918" t="str">
        <f t="shared" si="205"/>
        <v>2904MG Sticks</v>
      </c>
      <c r="K1999" s="919">
        <v>1</v>
      </c>
      <c r="L1999" s="920">
        <f t="shared" si="204"/>
        <v>6144</v>
      </c>
      <c r="M1999" s="920">
        <f t="shared" si="206"/>
        <v>12.16512</v>
      </c>
      <c r="N1999" s="920">
        <f t="shared" si="207"/>
        <v>34.909090909090907</v>
      </c>
      <c r="O1999" s="918" t="str">
        <f t="shared" si="208"/>
        <v>Feb</v>
      </c>
      <c r="P1999" s="921">
        <f t="shared" si="209"/>
        <v>6</v>
      </c>
    </row>
    <row r="2000" spans="1:16" ht="15" hidden="1" customHeight="1">
      <c r="A2000" s="839">
        <v>64330596</v>
      </c>
      <c r="B2000" s="839">
        <v>2904</v>
      </c>
      <c r="C2000" s="906">
        <v>6160</v>
      </c>
      <c r="D2000" s="907">
        <v>46057</v>
      </c>
      <c r="E2000" s="839" t="s">
        <v>280</v>
      </c>
      <c r="F2000" s="839" t="s">
        <v>281</v>
      </c>
      <c r="G2000" s="916">
        <f>VLOOKUP($A2000,'Tech Litons'!$A:$I,8,FALSE)</f>
        <v>1.98E-3</v>
      </c>
      <c r="H2000" s="917">
        <f>VLOOKUP($A2000,'Tech Litons'!$A:$I,9,FALSE)</f>
        <v>176</v>
      </c>
      <c r="I2000" s="917" t="str">
        <f>VLOOKUP($A2000,'Tech Litons'!$A:$C,3,0)</f>
        <v>MG Sticks</v>
      </c>
      <c r="J2000" s="918" t="str">
        <f t="shared" si="205"/>
        <v>2904MG Sticks</v>
      </c>
      <c r="K2000" s="919">
        <v>1</v>
      </c>
      <c r="L2000" s="920">
        <f t="shared" si="204"/>
        <v>6160</v>
      </c>
      <c r="M2000" s="920">
        <f t="shared" si="206"/>
        <v>12.1968</v>
      </c>
      <c r="N2000" s="920">
        <f t="shared" si="207"/>
        <v>35</v>
      </c>
      <c r="O2000" s="918" t="str">
        <f t="shared" si="208"/>
        <v>Feb</v>
      </c>
      <c r="P2000" s="921">
        <f t="shared" si="209"/>
        <v>6</v>
      </c>
    </row>
    <row r="2001" spans="1:16" ht="15" hidden="1" customHeight="1">
      <c r="A2001" s="839">
        <v>64330596</v>
      </c>
      <c r="B2001" s="839">
        <v>2904</v>
      </c>
      <c r="C2001" s="906">
        <v>3646</v>
      </c>
      <c r="D2001" s="907">
        <v>46057</v>
      </c>
      <c r="E2001" s="839" t="s">
        <v>280</v>
      </c>
      <c r="F2001" s="839" t="s">
        <v>281</v>
      </c>
      <c r="G2001" s="916">
        <f>VLOOKUP($A2001,'Tech Litons'!$A:$I,8,FALSE)</f>
        <v>1.98E-3</v>
      </c>
      <c r="H2001" s="917">
        <f>VLOOKUP($A2001,'Tech Litons'!$A:$I,9,FALSE)</f>
        <v>176</v>
      </c>
      <c r="I2001" s="917" t="str">
        <f>VLOOKUP($A2001,'Tech Litons'!$A:$C,3,0)</f>
        <v>MG Sticks</v>
      </c>
      <c r="J2001" s="918" t="str">
        <f t="shared" si="205"/>
        <v>2904MG Sticks</v>
      </c>
      <c r="K2001" s="919">
        <v>1</v>
      </c>
      <c r="L2001" s="920">
        <f t="shared" si="204"/>
        <v>3646</v>
      </c>
      <c r="M2001" s="920">
        <f t="shared" si="206"/>
        <v>7.2190799999999999</v>
      </c>
      <c r="N2001" s="920">
        <f t="shared" si="207"/>
        <v>20.71590909090909</v>
      </c>
      <c r="O2001" s="918" t="str">
        <f t="shared" si="208"/>
        <v>Feb</v>
      </c>
      <c r="P2001" s="921">
        <f t="shared" si="209"/>
        <v>6</v>
      </c>
    </row>
    <row r="2002" spans="1:16" ht="15" hidden="1" customHeight="1">
      <c r="A2002" s="839">
        <v>64330596</v>
      </c>
      <c r="B2002" s="839">
        <v>2904</v>
      </c>
      <c r="C2002" s="906">
        <v>6816</v>
      </c>
      <c r="D2002" s="907">
        <v>46058</v>
      </c>
      <c r="E2002" s="839" t="s">
        <v>280</v>
      </c>
      <c r="F2002" s="839" t="s">
        <v>281</v>
      </c>
      <c r="G2002" s="916">
        <f>VLOOKUP($A2002,'Tech Litons'!$A:$I,8,FALSE)</f>
        <v>1.98E-3</v>
      </c>
      <c r="H2002" s="917">
        <f>VLOOKUP($A2002,'Tech Litons'!$A:$I,9,FALSE)</f>
        <v>176</v>
      </c>
      <c r="I2002" s="917" t="str">
        <f>VLOOKUP($A2002,'Tech Litons'!$A:$C,3,0)</f>
        <v>MG Sticks</v>
      </c>
      <c r="J2002" s="918" t="str">
        <f t="shared" si="205"/>
        <v>2904MG Sticks</v>
      </c>
      <c r="K2002" s="919">
        <v>1</v>
      </c>
      <c r="L2002" s="920">
        <f t="shared" si="204"/>
        <v>6816</v>
      </c>
      <c r="M2002" s="920">
        <f t="shared" si="206"/>
        <v>13.49568</v>
      </c>
      <c r="N2002" s="920">
        <f t="shared" si="207"/>
        <v>38.727272727272727</v>
      </c>
      <c r="O2002" s="918" t="str">
        <f t="shared" si="208"/>
        <v>Feb</v>
      </c>
      <c r="P2002" s="921">
        <f t="shared" si="209"/>
        <v>6</v>
      </c>
    </row>
    <row r="2003" spans="1:16" ht="15" hidden="1" customHeight="1">
      <c r="A2003" s="839">
        <v>64330596</v>
      </c>
      <c r="B2003" s="839">
        <v>2904</v>
      </c>
      <c r="C2003" s="906">
        <v>176</v>
      </c>
      <c r="D2003" s="907">
        <v>46064</v>
      </c>
      <c r="E2003" s="839" t="s">
        <v>280</v>
      </c>
      <c r="F2003" s="839" t="s">
        <v>281</v>
      </c>
      <c r="G2003" s="916">
        <f>VLOOKUP($A2003,'Tech Litons'!$A:$I,8,FALSE)</f>
        <v>1.98E-3</v>
      </c>
      <c r="H2003" s="917">
        <f>VLOOKUP($A2003,'Tech Litons'!$A:$I,9,FALSE)</f>
        <v>176</v>
      </c>
      <c r="I2003" s="917" t="str">
        <f>VLOOKUP($A2003,'Tech Litons'!$A:$C,3,0)</f>
        <v>MG Sticks</v>
      </c>
      <c r="J2003" s="918" t="str">
        <f t="shared" si="205"/>
        <v>2904MG Sticks</v>
      </c>
      <c r="K2003" s="919">
        <v>1</v>
      </c>
      <c r="L2003" s="920">
        <f t="shared" si="204"/>
        <v>176</v>
      </c>
      <c r="M2003" s="920">
        <f t="shared" si="206"/>
        <v>0.34848000000000001</v>
      </c>
      <c r="N2003" s="920">
        <f t="shared" si="207"/>
        <v>1</v>
      </c>
      <c r="O2003" s="918" t="str">
        <f t="shared" si="208"/>
        <v>Feb</v>
      </c>
      <c r="P2003" s="921">
        <f t="shared" si="209"/>
        <v>7</v>
      </c>
    </row>
    <row r="2004" spans="1:16" ht="15" hidden="1" customHeight="1">
      <c r="A2004" s="839">
        <v>64330596</v>
      </c>
      <c r="B2004" s="839">
        <v>2904</v>
      </c>
      <c r="C2004" s="906">
        <v>4752</v>
      </c>
      <c r="D2004" s="907">
        <v>46058</v>
      </c>
      <c r="E2004" s="839" t="s">
        <v>280</v>
      </c>
      <c r="F2004" s="839" t="s">
        <v>281</v>
      </c>
      <c r="G2004" s="916">
        <f>VLOOKUP($A2004,'Tech Litons'!$A:$I,8,FALSE)</f>
        <v>1.98E-3</v>
      </c>
      <c r="H2004" s="917">
        <f>VLOOKUP($A2004,'Tech Litons'!$A:$I,9,FALSE)</f>
        <v>176</v>
      </c>
      <c r="I2004" s="917" t="str">
        <f>VLOOKUP($A2004,'Tech Litons'!$A:$C,3,0)</f>
        <v>MG Sticks</v>
      </c>
      <c r="J2004" s="918" t="str">
        <f t="shared" si="205"/>
        <v>2904MG Sticks</v>
      </c>
      <c r="K2004" s="919">
        <v>1</v>
      </c>
      <c r="L2004" s="920">
        <f t="shared" si="204"/>
        <v>4752</v>
      </c>
      <c r="M2004" s="920">
        <f t="shared" si="206"/>
        <v>9.4089600000000004</v>
      </c>
      <c r="N2004" s="920">
        <f t="shared" si="207"/>
        <v>27</v>
      </c>
      <c r="O2004" s="918" t="str">
        <f t="shared" si="208"/>
        <v>Feb</v>
      </c>
      <c r="P2004" s="921">
        <f t="shared" si="209"/>
        <v>6</v>
      </c>
    </row>
    <row r="2005" spans="1:16" ht="15" hidden="1" customHeight="1">
      <c r="A2005" s="839">
        <v>64330596</v>
      </c>
      <c r="B2005" s="839">
        <v>2904</v>
      </c>
      <c r="C2005" s="906">
        <v>5200</v>
      </c>
      <c r="D2005" s="907">
        <v>46059</v>
      </c>
      <c r="E2005" s="839" t="s">
        <v>280</v>
      </c>
      <c r="F2005" s="839" t="s">
        <v>281</v>
      </c>
      <c r="G2005" s="916">
        <f>VLOOKUP($A2005,'Tech Litons'!$A:$I,8,FALSE)</f>
        <v>1.98E-3</v>
      </c>
      <c r="H2005" s="917">
        <f>VLOOKUP($A2005,'Tech Litons'!$A:$I,9,FALSE)</f>
        <v>176</v>
      </c>
      <c r="I2005" s="917" t="str">
        <f>VLOOKUP($A2005,'Tech Litons'!$A:$C,3,0)</f>
        <v>MG Sticks</v>
      </c>
      <c r="J2005" s="918" t="str">
        <f t="shared" si="205"/>
        <v>2904MG Sticks</v>
      </c>
      <c r="K2005" s="919">
        <v>1</v>
      </c>
      <c r="L2005" s="920">
        <f t="shared" si="204"/>
        <v>5200</v>
      </c>
      <c r="M2005" s="920">
        <f t="shared" si="206"/>
        <v>10.295999999999999</v>
      </c>
      <c r="N2005" s="920">
        <f t="shared" si="207"/>
        <v>29.545454545454547</v>
      </c>
      <c r="O2005" s="918" t="str">
        <f t="shared" si="208"/>
        <v>Feb</v>
      </c>
      <c r="P2005" s="921">
        <f t="shared" si="209"/>
        <v>6</v>
      </c>
    </row>
    <row r="2006" spans="1:16" ht="15" hidden="1" customHeight="1">
      <c r="A2006" s="839">
        <v>64330596</v>
      </c>
      <c r="B2006" s="839">
        <v>2904</v>
      </c>
      <c r="C2006" s="906">
        <v>3957</v>
      </c>
      <c r="D2006" s="907">
        <v>46059</v>
      </c>
      <c r="E2006" s="839" t="s">
        <v>280</v>
      </c>
      <c r="F2006" s="839" t="s">
        <v>281</v>
      </c>
      <c r="G2006" s="916">
        <f>VLOOKUP($A2006,'Tech Litons'!$A:$I,8,FALSE)</f>
        <v>1.98E-3</v>
      </c>
      <c r="H2006" s="917">
        <f>VLOOKUP($A2006,'Tech Litons'!$A:$I,9,FALSE)</f>
        <v>176</v>
      </c>
      <c r="I2006" s="917" t="str">
        <f>VLOOKUP($A2006,'Tech Litons'!$A:$C,3,0)</f>
        <v>MG Sticks</v>
      </c>
      <c r="J2006" s="918" t="str">
        <f t="shared" si="205"/>
        <v>2904MG Sticks</v>
      </c>
      <c r="K2006" s="919">
        <v>1</v>
      </c>
      <c r="L2006" s="920">
        <f t="shared" si="204"/>
        <v>3957</v>
      </c>
      <c r="M2006" s="920">
        <f t="shared" si="206"/>
        <v>7.8348599999999999</v>
      </c>
      <c r="N2006" s="920">
        <f t="shared" si="207"/>
        <v>22.482954545454547</v>
      </c>
      <c r="O2006" s="918" t="str">
        <f t="shared" si="208"/>
        <v>Feb</v>
      </c>
      <c r="P2006" s="921">
        <f t="shared" si="209"/>
        <v>6</v>
      </c>
    </row>
    <row r="2007" spans="1:16" ht="15" hidden="1" customHeight="1">
      <c r="A2007" s="839">
        <v>64330596</v>
      </c>
      <c r="B2007" s="839">
        <v>2904</v>
      </c>
      <c r="C2007" s="906">
        <v>5104</v>
      </c>
      <c r="D2007" s="907">
        <v>46060</v>
      </c>
      <c r="E2007" s="839" t="s">
        <v>280</v>
      </c>
      <c r="F2007" s="839" t="s">
        <v>281</v>
      </c>
      <c r="G2007" s="916">
        <f>VLOOKUP($A2007,'Tech Litons'!$A:$I,8,FALSE)</f>
        <v>1.98E-3</v>
      </c>
      <c r="H2007" s="917">
        <f>VLOOKUP($A2007,'Tech Litons'!$A:$I,9,FALSE)</f>
        <v>176</v>
      </c>
      <c r="I2007" s="917" t="str">
        <f>VLOOKUP($A2007,'Tech Litons'!$A:$C,3,0)</f>
        <v>MG Sticks</v>
      </c>
      <c r="J2007" s="918" t="str">
        <f t="shared" si="205"/>
        <v>2904MG Sticks</v>
      </c>
      <c r="K2007" s="919">
        <v>1</v>
      </c>
      <c r="L2007" s="920">
        <f t="shared" si="204"/>
        <v>5104</v>
      </c>
      <c r="M2007" s="920">
        <f t="shared" si="206"/>
        <v>10.105919999999999</v>
      </c>
      <c r="N2007" s="920">
        <f t="shared" si="207"/>
        <v>29</v>
      </c>
      <c r="O2007" s="918" t="str">
        <f t="shared" si="208"/>
        <v>Feb</v>
      </c>
      <c r="P2007" s="921">
        <f t="shared" si="209"/>
        <v>6</v>
      </c>
    </row>
    <row r="2008" spans="1:16" ht="15" hidden="1" customHeight="1">
      <c r="A2008" s="839">
        <v>64330596</v>
      </c>
      <c r="B2008" s="839">
        <v>2904</v>
      </c>
      <c r="C2008" s="906">
        <v>176</v>
      </c>
      <c r="D2008" s="907">
        <v>46062</v>
      </c>
      <c r="E2008" s="839" t="s">
        <v>280</v>
      </c>
      <c r="F2008" s="839" t="s">
        <v>281</v>
      </c>
      <c r="G2008" s="916">
        <f>VLOOKUP($A2008,'Tech Litons'!$A:$I,8,FALSE)</f>
        <v>1.98E-3</v>
      </c>
      <c r="H2008" s="917">
        <f>VLOOKUP($A2008,'Tech Litons'!$A:$I,9,FALSE)</f>
        <v>176</v>
      </c>
      <c r="I2008" s="917" t="str">
        <f>VLOOKUP($A2008,'Tech Litons'!$A:$C,3,0)</f>
        <v>MG Sticks</v>
      </c>
      <c r="J2008" s="918" t="str">
        <f t="shared" si="205"/>
        <v>2904MG Sticks</v>
      </c>
      <c r="K2008" s="919">
        <v>1</v>
      </c>
      <c r="L2008" s="920">
        <f t="shared" si="204"/>
        <v>176</v>
      </c>
      <c r="M2008" s="920">
        <f t="shared" si="206"/>
        <v>0.34848000000000001</v>
      </c>
      <c r="N2008" s="920">
        <f t="shared" si="207"/>
        <v>1</v>
      </c>
      <c r="O2008" s="918" t="str">
        <f t="shared" si="208"/>
        <v>Feb</v>
      </c>
      <c r="P2008" s="921">
        <f t="shared" si="209"/>
        <v>7</v>
      </c>
    </row>
    <row r="2009" spans="1:16" ht="15" hidden="1" customHeight="1">
      <c r="A2009" s="839">
        <v>64330596</v>
      </c>
      <c r="B2009" s="839">
        <v>2904</v>
      </c>
      <c r="C2009" s="906">
        <v>3168</v>
      </c>
      <c r="D2009" s="907">
        <v>46060</v>
      </c>
      <c r="E2009" s="839" t="s">
        <v>280</v>
      </c>
      <c r="F2009" s="839" t="s">
        <v>281</v>
      </c>
      <c r="G2009" s="916">
        <f>VLOOKUP($A2009,'Tech Litons'!$A:$I,8,FALSE)</f>
        <v>1.98E-3</v>
      </c>
      <c r="H2009" s="917">
        <f>VLOOKUP($A2009,'Tech Litons'!$A:$I,9,FALSE)</f>
        <v>176</v>
      </c>
      <c r="I2009" s="917" t="str">
        <f>VLOOKUP($A2009,'Tech Litons'!$A:$C,3,0)</f>
        <v>MG Sticks</v>
      </c>
      <c r="J2009" s="918" t="str">
        <f t="shared" si="205"/>
        <v>2904MG Sticks</v>
      </c>
      <c r="K2009" s="919">
        <v>1</v>
      </c>
      <c r="L2009" s="920">
        <f t="shared" si="204"/>
        <v>3168</v>
      </c>
      <c r="M2009" s="920">
        <f t="shared" si="206"/>
        <v>6.27264</v>
      </c>
      <c r="N2009" s="920">
        <f t="shared" si="207"/>
        <v>18</v>
      </c>
      <c r="O2009" s="918" t="str">
        <f t="shared" si="208"/>
        <v>Feb</v>
      </c>
      <c r="P2009" s="921">
        <f t="shared" si="209"/>
        <v>6</v>
      </c>
    </row>
    <row r="2010" spans="1:16" ht="15" hidden="1" customHeight="1">
      <c r="A2010" s="839">
        <v>64330596</v>
      </c>
      <c r="B2010" s="839">
        <v>2904</v>
      </c>
      <c r="C2010" s="906">
        <v>4864</v>
      </c>
      <c r="D2010" s="907">
        <v>46061</v>
      </c>
      <c r="E2010" s="839" t="s">
        <v>280</v>
      </c>
      <c r="F2010" s="839" t="s">
        <v>281</v>
      </c>
      <c r="G2010" s="916">
        <f>VLOOKUP($A2010,'Tech Litons'!$A:$I,8,FALSE)</f>
        <v>1.98E-3</v>
      </c>
      <c r="H2010" s="917">
        <f>VLOOKUP($A2010,'Tech Litons'!$A:$I,9,FALSE)</f>
        <v>176</v>
      </c>
      <c r="I2010" s="917" t="str">
        <f>VLOOKUP($A2010,'Tech Litons'!$A:$C,3,0)</f>
        <v>MG Sticks</v>
      </c>
      <c r="J2010" s="918" t="str">
        <f t="shared" si="205"/>
        <v>2904MG Sticks</v>
      </c>
      <c r="K2010" s="919">
        <v>1</v>
      </c>
      <c r="L2010" s="920">
        <f t="shared" si="204"/>
        <v>4864</v>
      </c>
      <c r="M2010" s="920">
        <f t="shared" si="206"/>
        <v>9.6307200000000002</v>
      </c>
      <c r="N2010" s="920">
        <f t="shared" si="207"/>
        <v>27.636363636363637</v>
      </c>
      <c r="O2010" s="918" t="str">
        <f t="shared" si="208"/>
        <v>Feb</v>
      </c>
      <c r="P2010" s="921">
        <f t="shared" si="209"/>
        <v>7</v>
      </c>
    </row>
    <row r="2011" spans="1:16" ht="15" hidden="1" customHeight="1">
      <c r="A2011" s="839">
        <v>64330596</v>
      </c>
      <c r="B2011" s="839">
        <v>2904</v>
      </c>
      <c r="C2011" s="906">
        <v>528</v>
      </c>
      <c r="D2011" s="907">
        <v>46062</v>
      </c>
      <c r="E2011" s="839" t="s">
        <v>280</v>
      </c>
      <c r="F2011" s="839" t="s">
        <v>281</v>
      </c>
      <c r="G2011" s="916">
        <f>VLOOKUP($A2011,'Tech Litons'!$A:$I,8,FALSE)</f>
        <v>1.98E-3</v>
      </c>
      <c r="H2011" s="917">
        <f>VLOOKUP($A2011,'Tech Litons'!$A:$I,9,FALSE)</f>
        <v>176</v>
      </c>
      <c r="I2011" s="917" t="str">
        <f>VLOOKUP($A2011,'Tech Litons'!$A:$C,3,0)</f>
        <v>MG Sticks</v>
      </c>
      <c r="J2011" s="918" t="str">
        <f t="shared" si="205"/>
        <v>2904MG Sticks</v>
      </c>
      <c r="K2011" s="919">
        <v>1</v>
      </c>
      <c r="L2011" s="920">
        <f t="shared" si="204"/>
        <v>528</v>
      </c>
      <c r="M2011" s="920">
        <f t="shared" si="206"/>
        <v>1.0454399999999999</v>
      </c>
      <c r="N2011" s="920">
        <f t="shared" si="207"/>
        <v>3</v>
      </c>
      <c r="O2011" s="918" t="str">
        <f t="shared" si="208"/>
        <v>Feb</v>
      </c>
      <c r="P2011" s="921">
        <f t="shared" si="209"/>
        <v>7</v>
      </c>
    </row>
    <row r="2012" spans="1:16" ht="15" hidden="1" customHeight="1">
      <c r="A2012" s="839">
        <v>64330596</v>
      </c>
      <c r="B2012" s="839">
        <v>2904</v>
      </c>
      <c r="C2012" s="906">
        <v>6064</v>
      </c>
      <c r="D2012" s="907">
        <v>46061</v>
      </c>
      <c r="E2012" s="839" t="s">
        <v>280</v>
      </c>
      <c r="F2012" s="839" t="s">
        <v>281</v>
      </c>
      <c r="G2012" s="916">
        <f>VLOOKUP($A2012,'Tech Litons'!$A:$I,8,FALSE)</f>
        <v>1.98E-3</v>
      </c>
      <c r="H2012" s="917">
        <f>VLOOKUP($A2012,'Tech Litons'!$A:$I,9,FALSE)</f>
        <v>176</v>
      </c>
      <c r="I2012" s="917" t="str">
        <f>VLOOKUP($A2012,'Tech Litons'!$A:$C,3,0)</f>
        <v>MG Sticks</v>
      </c>
      <c r="J2012" s="918" t="str">
        <f t="shared" si="205"/>
        <v>2904MG Sticks</v>
      </c>
      <c r="K2012" s="919">
        <v>1</v>
      </c>
      <c r="L2012" s="920">
        <f t="shared" si="204"/>
        <v>6064</v>
      </c>
      <c r="M2012" s="920">
        <f t="shared" si="206"/>
        <v>12.00672</v>
      </c>
      <c r="N2012" s="920">
        <f t="shared" si="207"/>
        <v>34.454545454545453</v>
      </c>
      <c r="O2012" s="918" t="str">
        <f t="shared" si="208"/>
        <v>Feb</v>
      </c>
      <c r="P2012" s="921">
        <f t="shared" si="209"/>
        <v>7</v>
      </c>
    </row>
    <row r="2013" spans="1:16" ht="15" hidden="1" customHeight="1">
      <c r="A2013" s="839">
        <v>64330596</v>
      </c>
      <c r="B2013" s="839">
        <v>2904</v>
      </c>
      <c r="C2013" s="906">
        <v>4781</v>
      </c>
      <c r="D2013" s="907">
        <v>46062</v>
      </c>
      <c r="E2013" s="839" t="s">
        <v>280</v>
      </c>
      <c r="F2013" s="839" t="s">
        <v>281</v>
      </c>
      <c r="G2013" s="916">
        <f>VLOOKUP($A2013,'Tech Litons'!$A:$I,8,FALSE)</f>
        <v>1.98E-3</v>
      </c>
      <c r="H2013" s="917">
        <f>VLOOKUP($A2013,'Tech Litons'!$A:$I,9,FALSE)</f>
        <v>176</v>
      </c>
      <c r="I2013" s="917" t="str">
        <f>VLOOKUP($A2013,'Tech Litons'!$A:$C,3,0)</f>
        <v>MG Sticks</v>
      </c>
      <c r="J2013" s="918" t="str">
        <f t="shared" si="205"/>
        <v>2904MG Sticks</v>
      </c>
      <c r="K2013" s="919">
        <v>1</v>
      </c>
      <c r="L2013" s="920">
        <f t="shared" si="204"/>
        <v>4781</v>
      </c>
      <c r="M2013" s="920">
        <f t="shared" si="206"/>
        <v>9.4663799999999991</v>
      </c>
      <c r="N2013" s="920">
        <f t="shared" si="207"/>
        <v>27.164772727272727</v>
      </c>
      <c r="O2013" s="918" t="str">
        <f t="shared" si="208"/>
        <v>Feb</v>
      </c>
      <c r="P2013" s="921">
        <f t="shared" si="209"/>
        <v>7</v>
      </c>
    </row>
    <row r="2014" spans="1:16" ht="15" hidden="1" customHeight="1">
      <c r="A2014" s="839">
        <v>64330596</v>
      </c>
      <c r="B2014" s="839">
        <v>2904</v>
      </c>
      <c r="C2014" s="906">
        <v>6159</v>
      </c>
      <c r="D2014" s="907">
        <v>46062</v>
      </c>
      <c r="E2014" s="839" t="s">
        <v>280</v>
      </c>
      <c r="F2014" s="839" t="s">
        <v>281</v>
      </c>
      <c r="G2014" s="916">
        <f>VLOOKUP($A2014,'Tech Litons'!$A:$I,8,FALSE)</f>
        <v>1.98E-3</v>
      </c>
      <c r="H2014" s="917">
        <f>VLOOKUP($A2014,'Tech Litons'!$A:$I,9,FALSE)</f>
        <v>176</v>
      </c>
      <c r="I2014" s="917" t="str">
        <f>VLOOKUP($A2014,'Tech Litons'!$A:$C,3,0)</f>
        <v>MG Sticks</v>
      </c>
      <c r="J2014" s="918" t="str">
        <f t="shared" si="205"/>
        <v>2904MG Sticks</v>
      </c>
      <c r="K2014" s="919">
        <v>1</v>
      </c>
      <c r="L2014" s="920">
        <f t="shared" si="204"/>
        <v>6159</v>
      </c>
      <c r="M2014" s="920">
        <f t="shared" si="206"/>
        <v>12.19482</v>
      </c>
      <c r="N2014" s="920">
        <f t="shared" si="207"/>
        <v>34.99431818181818</v>
      </c>
      <c r="O2014" s="918" t="str">
        <f t="shared" si="208"/>
        <v>Feb</v>
      </c>
      <c r="P2014" s="921">
        <f t="shared" si="209"/>
        <v>7</v>
      </c>
    </row>
    <row r="2015" spans="1:16" ht="15" hidden="1" customHeight="1">
      <c r="A2015" s="839">
        <v>64330596</v>
      </c>
      <c r="B2015" s="839">
        <v>2904</v>
      </c>
      <c r="C2015" s="906">
        <v>5632</v>
      </c>
      <c r="D2015" s="907">
        <v>46063</v>
      </c>
      <c r="E2015" s="839" t="s">
        <v>280</v>
      </c>
      <c r="F2015" s="839" t="s">
        <v>281</v>
      </c>
      <c r="G2015" s="916">
        <f>VLOOKUP($A2015,'Tech Litons'!$A:$I,8,FALSE)</f>
        <v>1.98E-3</v>
      </c>
      <c r="H2015" s="917">
        <f>VLOOKUP($A2015,'Tech Litons'!$A:$I,9,FALSE)</f>
        <v>176</v>
      </c>
      <c r="I2015" s="917" t="str">
        <f>VLOOKUP($A2015,'Tech Litons'!$A:$C,3,0)</f>
        <v>MG Sticks</v>
      </c>
      <c r="J2015" s="918" t="str">
        <f t="shared" si="205"/>
        <v>2904MG Sticks</v>
      </c>
      <c r="K2015" s="919">
        <v>1</v>
      </c>
      <c r="L2015" s="920">
        <f t="shared" si="204"/>
        <v>5632</v>
      </c>
      <c r="M2015" s="920">
        <f t="shared" si="206"/>
        <v>11.15136</v>
      </c>
      <c r="N2015" s="920">
        <f t="shared" si="207"/>
        <v>32</v>
      </c>
      <c r="O2015" s="918" t="str">
        <f t="shared" si="208"/>
        <v>Feb</v>
      </c>
      <c r="P2015" s="921">
        <f t="shared" si="209"/>
        <v>7</v>
      </c>
    </row>
    <row r="2016" spans="1:16" ht="15" hidden="1" customHeight="1">
      <c r="A2016" s="839">
        <v>64330596</v>
      </c>
      <c r="B2016" s="839">
        <v>2904</v>
      </c>
      <c r="C2016" s="906">
        <v>2327</v>
      </c>
      <c r="D2016" s="907">
        <v>46063</v>
      </c>
      <c r="E2016" s="839" t="s">
        <v>280</v>
      </c>
      <c r="F2016" s="839" t="s">
        <v>281</v>
      </c>
      <c r="G2016" s="916">
        <f>VLOOKUP($A2016,'Tech Litons'!$A:$I,8,FALSE)</f>
        <v>1.98E-3</v>
      </c>
      <c r="H2016" s="917">
        <f>VLOOKUP($A2016,'Tech Litons'!$A:$I,9,FALSE)</f>
        <v>176</v>
      </c>
      <c r="I2016" s="917" t="str">
        <f>VLOOKUP($A2016,'Tech Litons'!$A:$C,3,0)</f>
        <v>MG Sticks</v>
      </c>
      <c r="J2016" s="918" t="str">
        <f t="shared" si="205"/>
        <v>2904MG Sticks</v>
      </c>
      <c r="K2016" s="919">
        <v>1</v>
      </c>
      <c r="L2016" s="920">
        <f t="shared" si="204"/>
        <v>2327</v>
      </c>
      <c r="M2016" s="920">
        <f t="shared" si="206"/>
        <v>4.6074599999999997</v>
      </c>
      <c r="N2016" s="920">
        <f t="shared" si="207"/>
        <v>13.221590909090908</v>
      </c>
      <c r="O2016" s="918" t="str">
        <f t="shared" si="208"/>
        <v>Feb</v>
      </c>
      <c r="P2016" s="921">
        <f t="shared" si="209"/>
        <v>7</v>
      </c>
    </row>
    <row r="2017" spans="1:16" ht="15" hidden="1" customHeight="1">
      <c r="A2017" s="839">
        <v>64330596</v>
      </c>
      <c r="B2017" s="839">
        <v>2904</v>
      </c>
      <c r="C2017" s="906">
        <v>5456</v>
      </c>
      <c r="D2017" s="907">
        <v>46064</v>
      </c>
      <c r="E2017" s="839" t="s">
        <v>280</v>
      </c>
      <c r="F2017" s="839" t="s">
        <v>281</v>
      </c>
      <c r="G2017" s="916">
        <f>VLOOKUP($A2017,'Tech Litons'!$A:$I,8,FALSE)</f>
        <v>1.98E-3</v>
      </c>
      <c r="H2017" s="917">
        <f>VLOOKUP($A2017,'Tech Litons'!$A:$I,9,FALSE)</f>
        <v>176</v>
      </c>
      <c r="I2017" s="917" t="str">
        <f>VLOOKUP($A2017,'Tech Litons'!$A:$C,3,0)</f>
        <v>MG Sticks</v>
      </c>
      <c r="J2017" s="918" t="str">
        <f t="shared" si="205"/>
        <v>2904MG Sticks</v>
      </c>
      <c r="K2017" s="919">
        <v>1</v>
      </c>
      <c r="L2017" s="920">
        <f t="shared" si="204"/>
        <v>5456</v>
      </c>
      <c r="M2017" s="920">
        <f t="shared" si="206"/>
        <v>10.80288</v>
      </c>
      <c r="N2017" s="920">
        <f t="shared" si="207"/>
        <v>31</v>
      </c>
      <c r="O2017" s="918" t="str">
        <f t="shared" si="208"/>
        <v>Feb</v>
      </c>
      <c r="P2017" s="921">
        <f t="shared" si="209"/>
        <v>7</v>
      </c>
    </row>
    <row r="2018" spans="1:16" ht="15" hidden="1" customHeight="1">
      <c r="A2018" s="839">
        <v>64330596</v>
      </c>
      <c r="B2018" s="839">
        <v>2904</v>
      </c>
      <c r="C2018" s="906">
        <v>7919</v>
      </c>
      <c r="D2018" s="907">
        <v>46064</v>
      </c>
      <c r="E2018" s="839" t="s">
        <v>280</v>
      </c>
      <c r="F2018" s="839" t="s">
        <v>281</v>
      </c>
      <c r="G2018" s="916">
        <f>VLOOKUP($A2018,'Tech Litons'!$A:$I,8,FALSE)</f>
        <v>1.98E-3</v>
      </c>
      <c r="H2018" s="917">
        <f>VLOOKUP($A2018,'Tech Litons'!$A:$I,9,FALSE)</f>
        <v>176</v>
      </c>
      <c r="I2018" s="917" t="str">
        <f>VLOOKUP($A2018,'Tech Litons'!$A:$C,3,0)</f>
        <v>MG Sticks</v>
      </c>
      <c r="J2018" s="918" t="str">
        <f t="shared" si="205"/>
        <v>2904MG Sticks</v>
      </c>
      <c r="K2018" s="919">
        <v>1</v>
      </c>
      <c r="L2018" s="920">
        <f t="shared" si="204"/>
        <v>7919</v>
      </c>
      <c r="M2018" s="920">
        <f t="shared" si="206"/>
        <v>15.67962</v>
      </c>
      <c r="N2018" s="920">
        <f t="shared" si="207"/>
        <v>44.99431818181818</v>
      </c>
      <c r="O2018" s="918" t="str">
        <f t="shared" si="208"/>
        <v>Feb</v>
      </c>
      <c r="P2018" s="921">
        <f t="shared" si="209"/>
        <v>7</v>
      </c>
    </row>
    <row r="2019" spans="1:16" ht="15" hidden="1" customHeight="1">
      <c r="A2019" s="839">
        <v>64330596</v>
      </c>
      <c r="B2019" s="839">
        <v>2904</v>
      </c>
      <c r="C2019" s="906">
        <v>7084</v>
      </c>
      <c r="D2019" s="907">
        <v>46065</v>
      </c>
      <c r="E2019" s="839" t="s">
        <v>280</v>
      </c>
      <c r="F2019" s="839" t="s">
        <v>281</v>
      </c>
      <c r="G2019" s="916">
        <f>VLOOKUP($A2019,'Tech Litons'!$A:$I,8,FALSE)</f>
        <v>1.98E-3</v>
      </c>
      <c r="H2019" s="917">
        <f>VLOOKUP($A2019,'Tech Litons'!$A:$I,9,FALSE)</f>
        <v>176</v>
      </c>
      <c r="I2019" s="917" t="str">
        <f>VLOOKUP($A2019,'Tech Litons'!$A:$C,3,0)</f>
        <v>MG Sticks</v>
      </c>
      <c r="J2019" s="918" t="str">
        <f t="shared" si="205"/>
        <v>2904MG Sticks</v>
      </c>
      <c r="K2019" s="919">
        <v>1</v>
      </c>
      <c r="L2019" s="920">
        <f t="shared" si="204"/>
        <v>7084</v>
      </c>
      <c r="M2019" s="920">
        <f t="shared" si="206"/>
        <v>14.02632</v>
      </c>
      <c r="N2019" s="920">
        <f t="shared" si="207"/>
        <v>40.25</v>
      </c>
      <c r="O2019" s="918" t="str">
        <f t="shared" si="208"/>
        <v>Feb</v>
      </c>
      <c r="P2019" s="921">
        <f t="shared" si="209"/>
        <v>7</v>
      </c>
    </row>
    <row r="2020" spans="1:16" ht="15" hidden="1" customHeight="1">
      <c r="A2020" s="839">
        <v>64330596</v>
      </c>
      <c r="B2020" s="839">
        <v>2904</v>
      </c>
      <c r="C2020" s="906">
        <v>7216</v>
      </c>
      <c r="D2020" s="907">
        <v>46065</v>
      </c>
      <c r="E2020" s="839" t="s">
        <v>280</v>
      </c>
      <c r="F2020" s="839" t="s">
        <v>281</v>
      </c>
      <c r="G2020" s="916">
        <f>VLOOKUP($A2020,'Tech Litons'!$A:$I,8,FALSE)</f>
        <v>1.98E-3</v>
      </c>
      <c r="H2020" s="917">
        <f>VLOOKUP($A2020,'Tech Litons'!$A:$I,9,FALSE)</f>
        <v>176</v>
      </c>
      <c r="I2020" s="917" t="str">
        <f>VLOOKUP($A2020,'Tech Litons'!$A:$C,3,0)</f>
        <v>MG Sticks</v>
      </c>
      <c r="J2020" s="918" t="str">
        <f t="shared" si="205"/>
        <v>2904MG Sticks</v>
      </c>
      <c r="K2020" s="919">
        <v>1</v>
      </c>
      <c r="L2020" s="920">
        <f t="shared" si="204"/>
        <v>7216</v>
      </c>
      <c r="M2020" s="920">
        <f t="shared" si="206"/>
        <v>14.28768</v>
      </c>
      <c r="N2020" s="920">
        <f t="shared" si="207"/>
        <v>41</v>
      </c>
      <c r="O2020" s="918" t="str">
        <f t="shared" si="208"/>
        <v>Feb</v>
      </c>
      <c r="P2020" s="921">
        <f t="shared" si="209"/>
        <v>7</v>
      </c>
    </row>
    <row r="2021" spans="1:16" ht="15" hidden="1" customHeight="1">
      <c r="A2021" s="839">
        <v>64330596</v>
      </c>
      <c r="B2021" s="839">
        <v>2904</v>
      </c>
      <c r="C2021" s="906">
        <v>7040</v>
      </c>
      <c r="D2021" s="907">
        <v>46066</v>
      </c>
      <c r="E2021" s="839" t="s">
        <v>280</v>
      </c>
      <c r="F2021" s="839" t="s">
        <v>281</v>
      </c>
      <c r="G2021" s="916">
        <f>VLOOKUP($A2021,'Tech Litons'!$A:$I,8,FALSE)</f>
        <v>1.98E-3</v>
      </c>
      <c r="H2021" s="917">
        <f>VLOOKUP($A2021,'Tech Litons'!$A:$I,9,FALSE)</f>
        <v>176</v>
      </c>
      <c r="I2021" s="917" t="str">
        <f>VLOOKUP($A2021,'Tech Litons'!$A:$C,3,0)</f>
        <v>MG Sticks</v>
      </c>
      <c r="J2021" s="918" t="str">
        <f t="shared" si="205"/>
        <v>2904MG Sticks</v>
      </c>
      <c r="K2021" s="919">
        <v>1</v>
      </c>
      <c r="L2021" s="920">
        <f t="shared" si="204"/>
        <v>7040</v>
      </c>
      <c r="M2021" s="920">
        <f t="shared" si="206"/>
        <v>13.9392</v>
      </c>
      <c r="N2021" s="920">
        <f t="shared" si="207"/>
        <v>40</v>
      </c>
      <c r="O2021" s="918" t="str">
        <f t="shared" si="208"/>
        <v>Feb</v>
      </c>
      <c r="P2021" s="921">
        <f t="shared" si="209"/>
        <v>7</v>
      </c>
    </row>
    <row r="2022" spans="1:16" ht="15" hidden="1" customHeight="1">
      <c r="A2022" s="839">
        <v>64330596</v>
      </c>
      <c r="B2022" s="839">
        <v>2904</v>
      </c>
      <c r="C2022" s="906">
        <v>3015</v>
      </c>
      <c r="D2022" s="907">
        <v>46066</v>
      </c>
      <c r="E2022" s="839" t="s">
        <v>280</v>
      </c>
      <c r="F2022" s="839" t="s">
        <v>281</v>
      </c>
      <c r="G2022" s="916">
        <f>VLOOKUP($A2022,'Tech Litons'!$A:$I,8,FALSE)</f>
        <v>1.98E-3</v>
      </c>
      <c r="H2022" s="917">
        <f>VLOOKUP($A2022,'Tech Litons'!$A:$I,9,FALSE)</f>
        <v>176</v>
      </c>
      <c r="I2022" s="917" t="str">
        <f>VLOOKUP($A2022,'Tech Litons'!$A:$C,3,0)</f>
        <v>MG Sticks</v>
      </c>
      <c r="J2022" s="918" t="str">
        <f t="shared" si="205"/>
        <v>2904MG Sticks</v>
      </c>
      <c r="K2022" s="919">
        <v>1</v>
      </c>
      <c r="L2022" s="920">
        <f t="shared" si="204"/>
        <v>3015</v>
      </c>
      <c r="M2022" s="920">
        <f t="shared" si="206"/>
        <v>5.9696999999999996</v>
      </c>
      <c r="N2022" s="920">
        <f t="shared" si="207"/>
        <v>17.130681818181817</v>
      </c>
      <c r="O2022" s="918" t="str">
        <f t="shared" si="208"/>
        <v>Feb</v>
      </c>
      <c r="P2022" s="921">
        <f t="shared" si="209"/>
        <v>7</v>
      </c>
    </row>
    <row r="2023" spans="1:16" ht="15" hidden="1" customHeight="1">
      <c r="A2023" s="839">
        <v>64330596</v>
      </c>
      <c r="B2023" s="839">
        <v>2904</v>
      </c>
      <c r="C2023" s="906">
        <v>2633</v>
      </c>
      <c r="D2023" s="907">
        <v>46067</v>
      </c>
      <c r="E2023" s="839" t="s">
        <v>280</v>
      </c>
      <c r="F2023" s="839" t="s">
        <v>281</v>
      </c>
      <c r="G2023" s="916">
        <f>VLOOKUP($A2023,'Tech Litons'!$A:$I,8,FALSE)</f>
        <v>1.98E-3</v>
      </c>
      <c r="H2023" s="917">
        <f>VLOOKUP($A2023,'Tech Litons'!$A:$I,9,FALSE)</f>
        <v>176</v>
      </c>
      <c r="I2023" s="917" t="str">
        <f>VLOOKUP($A2023,'Tech Litons'!$A:$C,3,0)</f>
        <v>MG Sticks</v>
      </c>
      <c r="J2023" s="918" t="str">
        <f t="shared" si="205"/>
        <v>2904MG Sticks</v>
      </c>
      <c r="K2023" s="919">
        <v>1</v>
      </c>
      <c r="L2023" s="920">
        <f t="shared" si="204"/>
        <v>2633</v>
      </c>
      <c r="M2023" s="920">
        <f t="shared" si="206"/>
        <v>5.2133399999999996</v>
      </c>
      <c r="N2023" s="920">
        <f t="shared" si="207"/>
        <v>14.960227272727273</v>
      </c>
      <c r="O2023" s="918" t="str">
        <f t="shared" si="208"/>
        <v>Feb</v>
      </c>
      <c r="P2023" s="921">
        <f t="shared" si="209"/>
        <v>7</v>
      </c>
    </row>
    <row r="2024" spans="1:16" ht="15" hidden="1" customHeight="1">
      <c r="A2024" s="839">
        <v>64330596</v>
      </c>
      <c r="B2024" s="839">
        <v>2904</v>
      </c>
      <c r="C2024" s="906">
        <v>176</v>
      </c>
      <c r="D2024" s="907">
        <v>46069</v>
      </c>
      <c r="E2024" s="839" t="s">
        <v>280</v>
      </c>
      <c r="F2024" s="839" t="s">
        <v>281</v>
      </c>
      <c r="G2024" s="916">
        <f>VLOOKUP($A2024,'Tech Litons'!$A:$I,8,FALSE)</f>
        <v>1.98E-3</v>
      </c>
      <c r="H2024" s="917">
        <f>VLOOKUP($A2024,'Tech Litons'!$A:$I,9,FALSE)</f>
        <v>176</v>
      </c>
      <c r="I2024" s="917" t="str">
        <f>VLOOKUP($A2024,'Tech Litons'!$A:$C,3,0)</f>
        <v>MG Sticks</v>
      </c>
      <c r="J2024" s="918" t="str">
        <f t="shared" si="205"/>
        <v>2904MG Sticks</v>
      </c>
      <c r="K2024" s="919">
        <v>1</v>
      </c>
      <c r="L2024" s="920">
        <f t="shared" si="204"/>
        <v>176</v>
      </c>
      <c r="M2024" s="920">
        <f t="shared" si="206"/>
        <v>0.34848000000000001</v>
      </c>
      <c r="N2024" s="920">
        <f t="shared" si="207"/>
        <v>1</v>
      </c>
      <c r="O2024" s="918" t="str">
        <f t="shared" si="208"/>
        <v>Feb</v>
      </c>
      <c r="P2024" s="921">
        <f t="shared" si="209"/>
        <v>8</v>
      </c>
    </row>
    <row r="2025" spans="1:16" ht="15" hidden="1" customHeight="1">
      <c r="A2025" s="839">
        <v>64330596</v>
      </c>
      <c r="B2025" s="839">
        <v>2904</v>
      </c>
      <c r="C2025" s="906">
        <v>2592</v>
      </c>
      <c r="D2025" s="907">
        <v>46067</v>
      </c>
      <c r="E2025" s="839" t="s">
        <v>280</v>
      </c>
      <c r="F2025" s="839" t="s">
        <v>281</v>
      </c>
      <c r="G2025" s="916">
        <f>VLOOKUP($A2025,'Tech Litons'!$A:$I,8,FALSE)</f>
        <v>1.98E-3</v>
      </c>
      <c r="H2025" s="917">
        <f>VLOOKUP($A2025,'Tech Litons'!$A:$I,9,FALSE)</f>
        <v>176</v>
      </c>
      <c r="I2025" s="917" t="str">
        <f>VLOOKUP($A2025,'Tech Litons'!$A:$C,3,0)</f>
        <v>MG Sticks</v>
      </c>
      <c r="J2025" s="918" t="str">
        <f t="shared" si="205"/>
        <v>2904MG Sticks</v>
      </c>
      <c r="K2025" s="919">
        <v>1</v>
      </c>
      <c r="L2025" s="920">
        <f t="shared" si="204"/>
        <v>2592</v>
      </c>
      <c r="M2025" s="920">
        <f t="shared" si="206"/>
        <v>5.1321599999999998</v>
      </c>
      <c r="N2025" s="920">
        <f t="shared" si="207"/>
        <v>14.727272727272727</v>
      </c>
      <c r="O2025" s="918" t="str">
        <f t="shared" si="208"/>
        <v>Feb</v>
      </c>
      <c r="P2025" s="921">
        <f t="shared" si="209"/>
        <v>7</v>
      </c>
    </row>
    <row r="2026" spans="1:16" ht="15" hidden="1" customHeight="1">
      <c r="A2026" s="839">
        <v>64330596</v>
      </c>
      <c r="B2026" s="839">
        <v>2904</v>
      </c>
      <c r="C2026" s="906">
        <v>3792</v>
      </c>
      <c r="D2026" s="907">
        <v>46068</v>
      </c>
      <c r="E2026" s="839" t="s">
        <v>280</v>
      </c>
      <c r="F2026" s="839" t="s">
        <v>281</v>
      </c>
      <c r="G2026" s="916">
        <f>VLOOKUP($A2026,'Tech Litons'!$A:$I,8,FALSE)</f>
        <v>1.98E-3</v>
      </c>
      <c r="H2026" s="917">
        <f>VLOOKUP($A2026,'Tech Litons'!$A:$I,9,FALSE)</f>
        <v>176</v>
      </c>
      <c r="I2026" s="917" t="str">
        <f>VLOOKUP($A2026,'Tech Litons'!$A:$C,3,0)</f>
        <v>MG Sticks</v>
      </c>
      <c r="J2026" s="918" t="str">
        <f t="shared" si="205"/>
        <v>2904MG Sticks</v>
      </c>
      <c r="K2026" s="919">
        <v>1</v>
      </c>
      <c r="L2026" s="920">
        <f t="shared" si="204"/>
        <v>3792</v>
      </c>
      <c r="M2026" s="920">
        <f t="shared" si="206"/>
        <v>7.5081600000000002</v>
      </c>
      <c r="N2026" s="920">
        <f t="shared" si="207"/>
        <v>21.545454545454547</v>
      </c>
      <c r="O2026" s="918" t="str">
        <f t="shared" si="208"/>
        <v>Feb</v>
      </c>
      <c r="P2026" s="921">
        <f t="shared" si="209"/>
        <v>8</v>
      </c>
    </row>
    <row r="2027" spans="1:16" ht="15" hidden="1" customHeight="1">
      <c r="A2027" s="839">
        <v>64330596</v>
      </c>
      <c r="B2027" s="839">
        <v>2904</v>
      </c>
      <c r="C2027" s="906">
        <v>6688</v>
      </c>
      <c r="D2027" s="907">
        <v>46068</v>
      </c>
      <c r="E2027" s="839" t="s">
        <v>280</v>
      </c>
      <c r="F2027" s="839" t="s">
        <v>281</v>
      </c>
      <c r="G2027" s="916">
        <f>VLOOKUP($A2027,'Tech Litons'!$A:$I,8,FALSE)</f>
        <v>1.98E-3</v>
      </c>
      <c r="H2027" s="917">
        <f>VLOOKUP($A2027,'Tech Litons'!$A:$I,9,FALSE)</f>
        <v>176</v>
      </c>
      <c r="I2027" s="917" t="str">
        <f>VLOOKUP($A2027,'Tech Litons'!$A:$C,3,0)</f>
        <v>MG Sticks</v>
      </c>
      <c r="J2027" s="918" t="str">
        <f t="shared" si="205"/>
        <v>2904MG Sticks</v>
      </c>
      <c r="K2027" s="919">
        <v>1</v>
      </c>
      <c r="L2027" s="920">
        <f t="shared" si="204"/>
        <v>6688</v>
      </c>
      <c r="M2027" s="920">
        <f t="shared" si="206"/>
        <v>13.242240000000001</v>
      </c>
      <c r="N2027" s="920">
        <f t="shared" si="207"/>
        <v>38</v>
      </c>
      <c r="O2027" s="918" t="str">
        <f t="shared" si="208"/>
        <v>Feb</v>
      </c>
      <c r="P2027" s="921">
        <f t="shared" si="209"/>
        <v>8</v>
      </c>
    </row>
    <row r="2028" spans="1:16" ht="15" hidden="1" customHeight="1">
      <c r="A2028" s="839">
        <v>64330596</v>
      </c>
      <c r="B2028" s="839">
        <v>2904</v>
      </c>
      <c r="C2028" s="906">
        <v>4829</v>
      </c>
      <c r="D2028" s="907">
        <v>46069</v>
      </c>
      <c r="E2028" s="839" t="s">
        <v>280</v>
      </c>
      <c r="F2028" s="839" t="s">
        <v>281</v>
      </c>
      <c r="G2028" s="916">
        <f>VLOOKUP($A2028,'Tech Litons'!$A:$I,8,FALSE)</f>
        <v>1.98E-3</v>
      </c>
      <c r="H2028" s="917">
        <f>VLOOKUP($A2028,'Tech Litons'!$A:$I,9,FALSE)</f>
        <v>176</v>
      </c>
      <c r="I2028" s="917" t="str">
        <f>VLOOKUP($A2028,'Tech Litons'!$A:$C,3,0)</f>
        <v>MG Sticks</v>
      </c>
      <c r="J2028" s="918" t="str">
        <f t="shared" si="205"/>
        <v>2904MG Sticks</v>
      </c>
      <c r="K2028" s="919">
        <v>1</v>
      </c>
      <c r="L2028" s="920">
        <f t="shared" si="204"/>
        <v>4829</v>
      </c>
      <c r="M2028" s="920">
        <f t="shared" si="206"/>
        <v>9.56142</v>
      </c>
      <c r="N2028" s="920">
        <f t="shared" si="207"/>
        <v>27.4375</v>
      </c>
      <c r="O2028" s="918" t="str">
        <f t="shared" si="208"/>
        <v>Feb</v>
      </c>
      <c r="P2028" s="921">
        <f t="shared" si="209"/>
        <v>8</v>
      </c>
    </row>
    <row r="2029" spans="1:16" ht="15" hidden="1" customHeight="1">
      <c r="A2029" s="839">
        <v>64330596</v>
      </c>
      <c r="B2029" s="839">
        <v>2904</v>
      </c>
      <c r="C2029" s="906">
        <v>1258</v>
      </c>
      <c r="D2029" s="907">
        <v>46055</v>
      </c>
      <c r="E2029" s="839" t="s">
        <v>280</v>
      </c>
      <c r="F2029" s="839" t="s">
        <v>281</v>
      </c>
      <c r="G2029" s="916">
        <f>VLOOKUP($A2029,'Tech Litons'!$A:$I,8,FALSE)</f>
        <v>1.98E-3</v>
      </c>
      <c r="H2029" s="917">
        <f>VLOOKUP($A2029,'Tech Litons'!$A:$I,9,FALSE)</f>
        <v>176</v>
      </c>
      <c r="I2029" s="917" t="str">
        <f>VLOOKUP($A2029,'Tech Litons'!$A:$C,3,0)</f>
        <v>MG Sticks</v>
      </c>
      <c r="J2029" s="918" t="str">
        <f t="shared" si="205"/>
        <v>2904MG Sticks</v>
      </c>
      <c r="K2029" s="919">
        <v>1</v>
      </c>
      <c r="L2029" s="920">
        <f t="shared" si="204"/>
        <v>1258</v>
      </c>
      <c r="M2029" s="920">
        <f t="shared" si="206"/>
        <v>2.4908399999999999</v>
      </c>
      <c r="N2029" s="920">
        <f t="shared" si="207"/>
        <v>7.1477272727272725</v>
      </c>
      <c r="O2029" s="918" t="str">
        <f t="shared" si="208"/>
        <v>Feb</v>
      </c>
      <c r="P2029" s="921">
        <f t="shared" si="209"/>
        <v>6</v>
      </c>
    </row>
    <row r="2030" spans="1:16" ht="15" hidden="1" customHeight="1">
      <c r="A2030" s="839">
        <v>64330611</v>
      </c>
      <c r="B2030" s="839">
        <v>2904</v>
      </c>
      <c r="C2030" s="906">
        <v>245</v>
      </c>
      <c r="D2030" s="907">
        <v>46070</v>
      </c>
      <c r="E2030" s="839" t="s">
        <v>354</v>
      </c>
      <c r="F2030" s="839" t="s">
        <v>281</v>
      </c>
      <c r="G2030" s="916">
        <f>VLOOKUP($A2030,'Tech Litons'!$A:$I,8,FALSE)</f>
        <v>2.16E-3</v>
      </c>
      <c r="H2030" s="917">
        <f>VLOOKUP($A2030,'Tech Litons'!$A:$I,9,FALSE)</f>
        <v>210</v>
      </c>
      <c r="I2030" s="917" t="str">
        <f>VLOOKUP($A2030,'Tech Litons'!$A:$C,3,0)</f>
        <v>MG Sticks</v>
      </c>
      <c r="J2030" s="918" t="str">
        <f t="shared" si="205"/>
        <v>2904MG Sticks</v>
      </c>
      <c r="K2030" s="919">
        <v>1</v>
      </c>
      <c r="L2030" s="920">
        <f t="shared" si="204"/>
        <v>245</v>
      </c>
      <c r="M2030" s="920">
        <f t="shared" si="206"/>
        <v>0.5292</v>
      </c>
      <c r="N2030" s="920">
        <f t="shared" si="207"/>
        <v>1.1666666666666667</v>
      </c>
      <c r="O2030" s="918" t="str">
        <f t="shared" si="208"/>
        <v>Feb</v>
      </c>
      <c r="P2030" s="921">
        <f t="shared" si="209"/>
        <v>8</v>
      </c>
    </row>
    <row r="2031" spans="1:16" ht="15" hidden="1" customHeight="1">
      <c r="A2031" s="839">
        <v>64330611</v>
      </c>
      <c r="B2031" s="839">
        <v>2904</v>
      </c>
      <c r="C2031" s="906">
        <v>2872</v>
      </c>
      <c r="D2031" s="907">
        <v>46070</v>
      </c>
      <c r="E2031" s="839" t="s">
        <v>354</v>
      </c>
      <c r="F2031" s="839" t="s">
        <v>281</v>
      </c>
      <c r="G2031" s="916">
        <f>VLOOKUP($A2031,'Tech Litons'!$A:$I,8,FALSE)</f>
        <v>2.16E-3</v>
      </c>
      <c r="H2031" s="917">
        <f>VLOOKUP($A2031,'Tech Litons'!$A:$I,9,FALSE)</f>
        <v>210</v>
      </c>
      <c r="I2031" s="917" t="str">
        <f>VLOOKUP($A2031,'Tech Litons'!$A:$C,3,0)</f>
        <v>MG Sticks</v>
      </c>
      <c r="J2031" s="918" t="str">
        <f t="shared" si="205"/>
        <v>2904MG Sticks</v>
      </c>
      <c r="K2031" s="919">
        <v>1</v>
      </c>
      <c r="L2031" s="920">
        <f t="shared" si="204"/>
        <v>2872</v>
      </c>
      <c r="M2031" s="920">
        <f t="shared" si="206"/>
        <v>6.2035200000000001</v>
      </c>
      <c r="N2031" s="920">
        <f t="shared" si="207"/>
        <v>13.676190476190476</v>
      </c>
      <c r="O2031" s="918" t="str">
        <f t="shared" si="208"/>
        <v>Feb</v>
      </c>
      <c r="P2031" s="921">
        <f t="shared" si="209"/>
        <v>8</v>
      </c>
    </row>
    <row r="2032" spans="1:16" ht="15" hidden="1" customHeight="1">
      <c r="A2032" s="839">
        <v>64330611</v>
      </c>
      <c r="B2032" s="839">
        <v>2904</v>
      </c>
      <c r="C2032" s="906">
        <v>3986</v>
      </c>
      <c r="D2032" s="907">
        <v>46071</v>
      </c>
      <c r="E2032" s="839" t="s">
        <v>354</v>
      </c>
      <c r="F2032" s="839" t="s">
        <v>281</v>
      </c>
      <c r="G2032" s="916">
        <f>VLOOKUP($A2032,'Tech Litons'!$A:$I,8,FALSE)</f>
        <v>2.16E-3</v>
      </c>
      <c r="H2032" s="917">
        <f>VLOOKUP($A2032,'Tech Litons'!$A:$I,9,FALSE)</f>
        <v>210</v>
      </c>
      <c r="I2032" s="917" t="str">
        <f>VLOOKUP($A2032,'Tech Litons'!$A:$C,3,0)</f>
        <v>MG Sticks</v>
      </c>
      <c r="J2032" s="918" t="str">
        <f t="shared" si="205"/>
        <v>2904MG Sticks</v>
      </c>
      <c r="K2032" s="919">
        <v>1</v>
      </c>
      <c r="L2032" s="920">
        <f t="shared" si="204"/>
        <v>3986</v>
      </c>
      <c r="M2032" s="920">
        <f t="shared" si="206"/>
        <v>8.6097599999999996</v>
      </c>
      <c r="N2032" s="920">
        <f t="shared" si="207"/>
        <v>18.980952380952381</v>
      </c>
      <c r="O2032" s="918" t="str">
        <f t="shared" si="208"/>
        <v>Feb</v>
      </c>
      <c r="P2032" s="921">
        <f t="shared" si="209"/>
        <v>8</v>
      </c>
    </row>
    <row r="2033" spans="1:16" ht="15" hidden="1" customHeight="1">
      <c r="A2033" s="839">
        <v>64330611</v>
      </c>
      <c r="B2033" s="839">
        <v>2904</v>
      </c>
      <c r="C2033" s="906">
        <v>4449</v>
      </c>
      <c r="D2033" s="907">
        <v>46071</v>
      </c>
      <c r="E2033" s="839" t="s">
        <v>354</v>
      </c>
      <c r="F2033" s="839" t="s">
        <v>281</v>
      </c>
      <c r="G2033" s="916">
        <f>VLOOKUP($A2033,'Tech Litons'!$A:$I,8,FALSE)</f>
        <v>2.16E-3</v>
      </c>
      <c r="H2033" s="917">
        <f>VLOOKUP($A2033,'Tech Litons'!$A:$I,9,FALSE)</f>
        <v>210</v>
      </c>
      <c r="I2033" s="917" t="str">
        <f>VLOOKUP($A2033,'Tech Litons'!$A:$C,3,0)</f>
        <v>MG Sticks</v>
      </c>
      <c r="J2033" s="918" t="str">
        <f t="shared" si="205"/>
        <v>2904MG Sticks</v>
      </c>
      <c r="K2033" s="919">
        <v>1</v>
      </c>
      <c r="L2033" s="920">
        <f t="shared" si="204"/>
        <v>4449</v>
      </c>
      <c r="M2033" s="920">
        <f t="shared" si="206"/>
        <v>9.6098400000000002</v>
      </c>
      <c r="N2033" s="920">
        <f t="shared" si="207"/>
        <v>21.185714285714287</v>
      </c>
      <c r="O2033" s="918" t="str">
        <f t="shared" si="208"/>
        <v>Feb</v>
      </c>
      <c r="P2033" s="921">
        <f t="shared" si="209"/>
        <v>8</v>
      </c>
    </row>
    <row r="2034" spans="1:16" ht="15" hidden="1" customHeight="1">
      <c r="A2034" s="839">
        <v>64330611</v>
      </c>
      <c r="B2034" s="839">
        <v>2904</v>
      </c>
      <c r="C2034" s="906">
        <v>7350</v>
      </c>
      <c r="D2034" s="907">
        <v>46072</v>
      </c>
      <c r="E2034" s="839" t="s">
        <v>354</v>
      </c>
      <c r="F2034" s="839" t="s">
        <v>281</v>
      </c>
      <c r="G2034" s="916">
        <f>VLOOKUP($A2034,'Tech Litons'!$A:$I,8,FALSE)</f>
        <v>2.16E-3</v>
      </c>
      <c r="H2034" s="917">
        <f>VLOOKUP($A2034,'Tech Litons'!$A:$I,9,FALSE)</f>
        <v>210</v>
      </c>
      <c r="I2034" s="917" t="str">
        <f>VLOOKUP($A2034,'Tech Litons'!$A:$C,3,0)</f>
        <v>MG Sticks</v>
      </c>
      <c r="J2034" s="918" t="str">
        <f t="shared" si="205"/>
        <v>2904MG Sticks</v>
      </c>
      <c r="K2034" s="919">
        <v>1</v>
      </c>
      <c r="L2034" s="920">
        <f t="shared" si="204"/>
        <v>7350</v>
      </c>
      <c r="M2034" s="920">
        <f t="shared" si="206"/>
        <v>15.875999999999999</v>
      </c>
      <c r="N2034" s="920">
        <f t="shared" si="207"/>
        <v>35</v>
      </c>
      <c r="O2034" s="918" t="str">
        <f t="shared" si="208"/>
        <v>Feb</v>
      </c>
      <c r="P2034" s="921">
        <f t="shared" si="209"/>
        <v>8</v>
      </c>
    </row>
    <row r="2035" spans="1:16" ht="15" hidden="1" customHeight="1">
      <c r="A2035" s="839">
        <v>64330611</v>
      </c>
      <c r="B2035" s="839">
        <v>2904</v>
      </c>
      <c r="C2035" s="906">
        <v>7593</v>
      </c>
      <c r="D2035" s="907">
        <v>46072</v>
      </c>
      <c r="E2035" s="839" t="s">
        <v>354</v>
      </c>
      <c r="F2035" s="839" t="s">
        <v>281</v>
      </c>
      <c r="G2035" s="916">
        <f>VLOOKUP($A2035,'Tech Litons'!$A:$I,8,FALSE)</f>
        <v>2.16E-3</v>
      </c>
      <c r="H2035" s="917">
        <f>VLOOKUP($A2035,'Tech Litons'!$A:$I,9,FALSE)</f>
        <v>210</v>
      </c>
      <c r="I2035" s="917" t="str">
        <f>VLOOKUP($A2035,'Tech Litons'!$A:$C,3,0)</f>
        <v>MG Sticks</v>
      </c>
      <c r="J2035" s="918" t="str">
        <f t="shared" si="205"/>
        <v>2904MG Sticks</v>
      </c>
      <c r="K2035" s="919">
        <v>1</v>
      </c>
      <c r="L2035" s="920">
        <f t="shared" si="204"/>
        <v>7593</v>
      </c>
      <c r="M2035" s="920">
        <f t="shared" si="206"/>
        <v>16.400880000000001</v>
      </c>
      <c r="N2035" s="920">
        <f t="shared" si="207"/>
        <v>36.157142857142858</v>
      </c>
      <c r="O2035" s="918" t="str">
        <f t="shared" si="208"/>
        <v>Feb</v>
      </c>
      <c r="P2035" s="921">
        <f t="shared" si="209"/>
        <v>8</v>
      </c>
    </row>
    <row r="2036" spans="1:16" ht="15" hidden="1" customHeight="1">
      <c r="A2036" s="839">
        <v>64330611</v>
      </c>
      <c r="B2036" s="839">
        <v>2904</v>
      </c>
      <c r="C2036" s="906">
        <v>4712</v>
      </c>
      <c r="D2036" s="907">
        <v>46073</v>
      </c>
      <c r="E2036" s="839" t="s">
        <v>354</v>
      </c>
      <c r="F2036" s="839" t="s">
        <v>281</v>
      </c>
      <c r="G2036" s="916">
        <f>VLOOKUP($A2036,'Tech Litons'!$A:$I,8,FALSE)</f>
        <v>2.16E-3</v>
      </c>
      <c r="H2036" s="917">
        <f>VLOOKUP($A2036,'Tech Litons'!$A:$I,9,FALSE)</f>
        <v>210</v>
      </c>
      <c r="I2036" s="917" t="str">
        <f>VLOOKUP($A2036,'Tech Litons'!$A:$C,3,0)</f>
        <v>MG Sticks</v>
      </c>
      <c r="J2036" s="918" t="str">
        <f t="shared" si="205"/>
        <v>2904MG Sticks</v>
      </c>
      <c r="K2036" s="919">
        <v>1</v>
      </c>
      <c r="L2036" s="920">
        <f t="shared" si="204"/>
        <v>4712</v>
      </c>
      <c r="M2036" s="920">
        <f t="shared" si="206"/>
        <v>10.17792</v>
      </c>
      <c r="N2036" s="920">
        <f t="shared" si="207"/>
        <v>22.438095238095237</v>
      </c>
      <c r="O2036" s="918" t="str">
        <f t="shared" si="208"/>
        <v>Feb</v>
      </c>
      <c r="P2036" s="921">
        <f t="shared" si="209"/>
        <v>8</v>
      </c>
    </row>
    <row r="2037" spans="1:16" ht="15" hidden="1" customHeight="1">
      <c r="A2037" s="839">
        <v>64330611</v>
      </c>
      <c r="B2037" s="839">
        <v>2904</v>
      </c>
      <c r="C2037" s="906">
        <v>2310</v>
      </c>
      <c r="D2037" s="907">
        <v>46073</v>
      </c>
      <c r="E2037" s="839" t="s">
        <v>354</v>
      </c>
      <c r="F2037" s="839" t="s">
        <v>281</v>
      </c>
      <c r="G2037" s="916">
        <f>VLOOKUP($A2037,'Tech Litons'!$A:$I,8,FALSE)</f>
        <v>2.16E-3</v>
      </c>
      <c r="H2037" s="917">
        <f>VLOOKUP($A2037,'Tech Litons'!$A:$I,9,FALSE)</f>
        <v>210</v>
      </c>
      <c r="I2037" s="917" t="str">
        <f>VLOOKUP($A2037,'Tech Litons'!$A:$C,3,0)</f>
        <v>MG Sticks</v>
      </c>
      <c r="J2037" s="918" t="str">
        <f t="shared" si="205"/>
        <v>2904MG Sticks</v>
      </c>
      <c r="K2037" s="919">
        <v>1</v>
      </c>
      <c r="L2037" s="920">
        <f t="shared" si="204"/>
        <v>2310</v>
      </c>
      <c r="M2037" s="920">
        <f t="shared" si="206"/>
        <v>4.9896000000000003</v>
      </c>
      <c r="N2037" s="920">
        <f t="shared" si="207"/>
        <v>11</v>
      </c>
      <c r="O2037" s="918" t="str">
        <f t="shared" si="208"/>
        <v>Feb</v>
      </c>
      <c r="P2037" s="921">
        <f t="shared" si="209"/>
        <v>8</v>
      </c>
    </row>
    <row r="2038" spans="1:16" ht="15" hidden="1" customHeight="1">
      <c r="A2038" s="839">
        <v>64330611</v>
      </c>
      <c r="B2038" s="839">
        <v>2904</v>
      </c>
      <c r="C2038" s="906">
        <v>6510</v>
      </c>
      <c r="D2038" s="907">
        <v>46074</v>
      </c>
      <c r="E2038" s="839" t="s">
        <v>354</v>
      </c>
      <c r="F2038" s="839" t="s">
        <v>281</v>
      </c>
      <c r="G2038" s="916">
        <f>VLOOKUP($A2038,'Tech Litons'!$A:$I,8,FALSE)</f>
        <v>2.16E-3</v>
      </c>
      <c r="H2038" s="917">
        <f>VLOOKUP($A2038,'Tech Litons'!$A:$I,9,FALSE)</f>
        <v>210</v>
      </c>
      <c r="I2038" s="917" t="str">
        <f>VLOOKUP($A2038,'Tech Litons'!$A:$C,3,0)</f>
        <v>MG Sticks</v>
      </c>
      <c r="J2038" s="918" t="str">
        <f t="shared" si="205"/>
        <v>2904MG Sticks</v>
      </c>
      <c r="K2038" s="919">
        <v>1</v>
      </c>
      <c r="L2038" s="920">
        <f t="shared" si="204"/>
        <v>6510</v>
      </c>
      <c r="M2038" s="920">
        <f t="shared" si="206"/>
        <v>14.0616</v>
      </c>
      <c r="N2038" s="920">
        <f t="shared" si="207"/>
        <v>31</v>
      </c>
      <c r="O2038" s="918" t="str">
        <f t="shared" si="208"/>
        <v>Feb</v>
      </c>
      <c r="P2038" s="921">
        <f t="shared" si="209"/>
        <v>8</v>
      </c>
    </row>
    <row r="2039" spans="1:16" ht="15" hidden="1" customHeight="1">
      <c r="A2039" s="839">
        <v>64330611</v>
      </c>
      <c r="B2039" s="839">
        <v>2904</v>
      </c>
      <c r="C2039" s="906">
        <v>4100</v>
      </c>
      <c r="D2039" s="907">
        <v>46074</v>
      </c>
      <c r="E2039" s="839" t="s">
        <v>354</v>
      </c>
      <c r="F2039" s="839" t="s">
        <v>281</v>
      </c>
      <c r="G2039" s="916">
        <f>VLOOKUP($A2039,'Tech Litons'!$A:$I,8,FALSE)</f>
        <v>2.16E-3</v>
      </c>
      <c r="H2039" s="917">
        <f>VLOOKUP($A2039,'Tech Litons'!$A:$I,9,FALSE)</f>
        <v>210</v>
      </c>
      <c r="I2039" s="917" t="str">
        <f>VLOOKUP($A2039,'Tech Litons'!$A:$C,3,0)</f>
        <v>MG Sticks</v>
      </c>
      <c r="J2039" s="918" t="str">
        <f t="shared" si="205"/>
        <v>2904MG Sticks</v>
      </c>
      <c r="K2039" s="919">
        <v>1</v>
      </c>
      <c r="L2039" s="920">
        <f t="shared" si="204"/>
        <v>4100</v>
      </c>
      <c r="M2039" s="920">
        <f t="shared" si="206"/>
        <v>8.8559999999999999</v>
      </c>
      <c r="N2039" s="920">
        <f t="shared" si="207"/>
        <v>19.523809523809526</v>
      </c>
      <c r="O2039" s="918" t="str">
        <f t="shared" si="208"/>
        <v>Feb</v>
      </c>
      <c r="P2039" s="921">
        <f t="shared" si="209"/>
        <v>8</v>
      </c>
    </row>
    <row r="2040" spans="1:16" ht="15" hidden="1" customHeight="1">
      <c r="A2040" s="839">
        <v>64330611</v>
      </c>
      <c r="B2040" s="839">
        <v>2904</v>
      </c>
      <c r="C2040" s="906">
        <v>4540</v>
      </c>
      <c r="D2040" s="907">
        <v>46075</v>
      </c>
      <c r="E2040" s="839" t="s">
        <v>354</v>
      </c>
      <c r="F2040" s="839" t="s">
        <v>281</v>
      </c>
      <c r="G2040" s="916">
        <f>VLOOKUP($A2040,'Tech Litons'!$A:$I,8,FALSE)</f>
        <v>2.16E-3</v>
      </c>
      <c r="H2040" s="917">
        <f>VLOOKUP($A2040,'Tech Litons'!$A:$I,9,FALSE)</f>
        <v>210</v>
      </c>
      <c r="I2040" s="917" t="str">
        <f>VLOOKUP($A2040,'Tech Litons'!$A:$C,3,0)</f>
        <v>MG Sticks</v>
      </c>
      <c r="J2040" s="918" t="str">
        <f t="shared" si="205"/>
        <v>2904MG Sticks</v>
      </c>
      <c r="K2040" s="919">
        <v>1</v>
      </c>
      <c r="L2040" s="920">
        <f t="shared" si="204"/>
        <v>4540</v>
      </c>
      <c r="M2040" s="920">
        <f t="shared" si="206"/>
        <v>9.8064</v>
      </c>
      <c r="N2040" s="920">
        <f t="shared" si="207"/>
        <v>21.61904761904762</v>
      </c>
      <c r="O2040" s="918" t="str">
        <f t="shared" si="208"/>
        <v>Feb</v>
      </c>
      <c r="P2040" s="921">
        <f t="shared" si="209"/>
        <v>9</v>
      </c>
    </row>
    <row r="2041" spans="1:16" ht="15" hidden="1" customHeight="1">
      <c r="A2041" s="839">
        <v>64330611</v>
      </c>
      <c r="B2041" s="839">
        <v>2904</v>
      </c>
      <c r="C2041" s="906">
        <v>6459</v>
      </c>
      <c r="D2041" s="907">
        <v>46075</v>
      </c>
      <c r="E2041" s="839" t="s">
        <v>354</v>
      </c>
      <c r="F2041" s="839" t="s">
        <v>281</v>
      </c>
      <c r="G2041" s="916">
        <f>VLOOKUP($A2041,'Tech Litons'!$A:$I,8,FALSE)</f>
        <v>2.16E-3</v>
      </c>
      <c r="H2041" s="917">
        <f>VLOOKUP($A2041,'Tech Litons'!$A:$I,9,FALSE)</f>
        <v>210</v>
      </c>
      <c r="I2041" s="917" t="str">
        <f>VLOOKUP($A2041,'Tech Litons'!$A:$C,3,0)</f>
        <v>MG Sticks</v>
      </c>
      <c r="J2041" s="918" t="str">
        <f t="shared" si="205"/>
        <v>2904MG Sticks</v>
      </c>
      <c r="K2041" s="919">
        <v>1</v>
      </c>
      <c r="L2041" s="920">
        <f t="shared" si="204"/>
        <v>6459</v>
      </c>
      <c r="M2041" s="920">
        <f t="shared" si="206"/>
        <v>13.95144</v>
      </c>
      <c r="N2041" s="920">
        <f t="shared" si="207"/>
        <v>30.757142857142856</v>
      </c>
      <c r="O2041" s="918" t="str">
        <f t="shared" si="208"/>
        <v>Feb</v>
      </c>
      <c r="P2041" s="921">
        <f t="shared" si="209"/>
        <v>9</v>
      </c>
    </row>
    <row r="2042" spans="1:16" ht="15" hidden="1" customHeight="1">
      <c r="A2042" s="839">
        <v>64330611</v>
      </c>
      <c r="B2042" s="839">
        <v>2904</v>
      </c>
      <c r="C2042" s="906">
        <v>3066</v>
      </c>
      <c r="D2042" s="907">
        <v>46070</v>
      </c>
      <c r="E2042" s="839" t="s">
        <v>354</v>
      </c>
      <c r="F2042" s="839" t="s">
        <v>283</v>
      </c>
      <c r="G2042" s="916">
        <f>VLOOKUP($A2042,'Tech Litons'!$A:$I,8,FALSE)</f>
        <v>2.16E-3</v>
      </c>
      <c r="H2042" s="917">
        <f>VLOOKUP($A2042,'Tech Litons'!$A:$I,9,FALSE)</f>
        <v>210</v>
      </c>
      <c r="I2042" s="917" t="str">
        <f>VLOOKUP($A2042,'Tech Litons'!$A:$C,3,0)</f>
        <v>MG Sticks</v>
      </c>
      <c r="J2042" s="918" t="str">
        <f t="shared" si="205"/>
        <v>2904MG Sticks</v>
      </c>
      <c r="K2042" s="919">
        <v>1</v>
      </c>
      <c r="L2042" s="920">
        <f t="shared" si="204"/>
        <v>3066</v>
      </c>
      <c r="M2042" s="920">
        <f t="shared" si="206"/>
        <v>6.62256</v>
      </c>
      <c r="N2042" s="920">
        <f t="shared" si="207"/>
        <v>14.6</v>
      </c>
      <c r="O2042" s="918" t="str">
        <f t="shared" si="208"/>
        <v>Feb</v>
      </c>
      <c r="P2042" s="921">
        <f t="shared" si="209"/>
        <v>8</v>
      </c>
    </row>
    <row r="2043" spans="1:16" ht="15" hidden="1" customHeight="1">
      <c r="A2043" s="839">
        <v>64330611</v>
      </c>
      <c r="B2043" s="839">
        <v>2904</v>
      </c>
      <c r="C2043" s="906">
        <v>8549</v>
      </c>
      <c r="D2043" s="907">
        <v>46070</v>
      </c>
      <c r="E2043" s="839" t="s">
        <v>354</v>
      </c>
      <c r="F2043" s="839" t="s">
        <v>283</v>
      </c>
      <c r="G2043" s="916">
        <f>VLOOKUP($A2043,'Tech Litons'!$A:$I,8,FALSE)</f>
        <v>2.16E-3</v>
      </c>
      <c r="H2043" s="917">
        <f>VLOOKUP($A2043,'Tech Litons'!$A:$I,9,FALSE)</f>
        <v>210</v>
      </c>
      <c r="I2043" s="917" t="str">
        <f>VLOOKUP($A2043,'Tech Litons'!$A:$C,3,0)</f>
        <v>MG Sticks</v>
      </c>
      <c r="J2043" s="918" t="str">
        <f t="shared" si="205"/>
        <v>2904MG Sticks</v>
      </c>
      <c r="K2043" s="919">
        <v>1</v>
      </c>
      <c r="L2043" s="920">
        <f t="shared" si="204"/>
        <v>8549</v>
      </c>
      <c r="M2043" s="920">
        <f t="shared" si="206"/>
        <v>18.46584</v>
      </c>
      <c r="N2043" s="920">
        <f t="shared" si="207"/>
        <v>40.709523809523809</v>
      </c>
      <c r="O2043" s="918" t="str">
        <f t="shared" si="208"/>
        <v>Feb</v>
      </c>
      <c r="P2043" s="921">
        <f t="shared" si="209"/>
        <v>8</v>
      </c>
    </row>
    <row r="2044" spans="1:16" ht="15" hidden="1" customHeight="1">
      <c r="A2044" s="839">
        <v>64330611</v>
      </c>
      <c r="B2044" s="839">
        <v>2904</v>
      </c>
      <c r="C2044" s="906">
        <v>5985</v>
      </c>
      <c r="D2044" s="907">
        <v>46071</v>
      </c>
      <c r="E2044" s="839" t="s">
        <v>354</v>
      </c>
      <c r="F2044" s="839" t="s">
        <v>283</v>
      </c>
      <c r="G2044" s="916">
        <f>VLOOKUP($A2044,'Tech Litons'!$A:$I,8,FALSE)</f>
        <v>2.16E-3</v>
      </c>
      <c r="H2044" s="917">
        <f>VLOOKUP($A2044,'Tech Litons'!$A:$I,9,FALSE)</f>
        <v>210</v>
      </c>
      <c r="I2044" s="917" t="str">
        <f>VLOOKUP($A2044,'Tech Litons'!$A:$C,3,0)</f>
        <v>MG Sticks</v>
      </c>
      <c r="J2044" s="918" t="str">
        <f t="shared" si="205"/>
        <v>2904MG Sticks</v>
      </c>
      <c r="K2044" s="919">
        <v>1</v>
      </c>
      <c r="L2044" s="920">
        <f t="shared" si="204"/>
        <v>5985</v>
      </c>
      <c r="M2044" s="920">
        <f t="shared" si="206"/>
        <v>12.9276</v>
      </c>
      <c r="N2044" s="920">
        <f t="shared" si="207"/>
        <v>28.5</v>
      </c>
      <c r="O2044" s="918" t="str">
        <f t="shared" si="208"/>
        <v>Feb</v>
      </c>
      <c r="P2044" s="921">
        <f t="shared" si="209"/>
        <v>8</v>
      </c>
    </row>
    <row r="2045" spans="1:16" ht="15" hidden="1" customHeight="1">
      <c r="A2045" s="839">
        <v>64330611</v>
      </c>
      <c r="B2045" s="839">
        <v>2904</v>
      </c>
      <c r="C2045" s="906">
        <v>7139</v>
      </c>
      <c r="D2045" s="907">
        <v>46071</v>
      </c>
      <c r="E2045" s="839" t="s">
        <v>354</v>
      </c>
      <c r="F2045" s="839" t="s">
        <v>283</v>
      </c>
      <c r="G2045" s="916">
        <f>VLOOKUP($A2045,'Tech Litons'!$A:$I,8,FALSE)</f>
        <v>2.16E-3</v>
      </c>
      <c r="H2045" s="917">
        <f>VLOOKUP($A2045,'Tech Litons'!$A:$I,9,FALSE)</f>
        <v>210</v>
      </c>
      <c r="I2045" s="917" t="str">
        <f>VLOOKUP($A2045,'Tech Litons'!$A:$C,3,0)</f>
        <v>MG Sticks</v>
      </c>
      <c r="J2045" s="918" t="str">
        <f t="shared" si="205"/>
        <v>2904MG Sticks</v>
      </c>
      <c r="K2045" s="919">
        <v>1</v>
      </c>
      <c r="L2045" s="920">
        <f t="shared" si="204"/>
        <v>7139</v>
      </c>
      <c r="M2045" s="920">
        <f t="shared" si="206"/>
        <v>15.42024</v>
      </c>
      <c r="N2045" s="920">
        <f t="shared" si="207"/>
        <v>33.995238095238093</v>
      </c>
      <c r="O2045" s="918" t="str">
        <f t="shared" si="208"/>
        <v>Feb</v>
      </c>
      <c r="P2045" s="921">
        <f t="shared" si="209"/>
        <v>8</v>
      </c>
    </row>
    <row r="2046" spans="1:16" ht="15" hidden="1" customHeight="1">
      <c r="A2046" s="839">
        <v>64330611</v>
      </c>
      <c r="B2046" s="839">
        <v>2904</v>
      </c>
      <c r="C2046" s="906">
        <v>8381</v>
      </c>
      <c r="D2046" s="907">
        <v>46072</v>
      </c>
      <c r="E2046" s="839" t="s">
        <v>354</v>
      </c>
      <c r="F2046" s="839" t="s">
        <v>283</v>
      </c>
      <c r="G2046" s="916">
        <f>VLOOKUP($A2046,'Tech Litons'!$A:$I,8,FALSE)</f>
        <v>2.16E-3</v>
      </c>
      <c r="H2046" s="917">
        <f>VLOOKUP($A2046,'Tech Litons'!$A:$I,9,FALSE)</f>
        <v>210</v>
      </c>
      <c r="I2046" s="917" t="str">
        <f>VLOOKUP($A2046,'Tech Litons'!$A:$C,3,0)</f>
        <v>MG Sticks</v>
      </c>
      <c r="J2046" s="918" t="str">
        <f t="shared" si="205"/>
        <v>2904MG Sticks</v>
      </c>
      <c r="K2046" s="919">
        <v>1</v>
      </c>
      <c r="L2046" s="920">
        <f t="shared" si="204"/>
        <v>8381</v>
      </c>
      <c r="M2046" s="920">
        <f t="shared" si="206"/>
        <v>18.102959999999999</v>
      </c>
      <c r="N2046" s="920">
        <f t="shared" si="207"/>
        <v>39.909523809523812</v>
      </c>
      <c r="O2046" s="918" t="str">
        <f t="shared" si="208"/>
        <v>Feb</v>
      </c>
      <c r="P2046" s="921">
        <f t="shared" si="209"/>
        <v>8</v>
      </c>
    </row>
    <row r="2047" spans="1:16" ht="15" hidden="1" customHeight="1">
      <c r="A2047" s="839">
        <v>64330611</v>
      </c>
      <c r="B2047" s="839">
        <v>2904</v>
      </c>
      <c r="C2047" s="906">
        <v>84</v>
      </c>
      <c r="D2047" s="907">
        <v>46072</v>
      </c>
      <c r="E2047" s="839" t="s">
        <v>354</v>
      </c>
      <c r="F2047" s="839" t="s">
        <v>283</v>
      </c>
      <c r="G2047" s="916">
        <f>VLOOKUP($A2047,'Tech Litons'!$A:$I,8,FALSE)</f>
        <v>2.16E-3</v>
      </c>
      <c r="H2047" s="917">
        <f>VLOOKUP($A2047,'Tech Litons'!$A:$I,9,FALSE)</f>
        <v>210</v>
      </c>
      <c r="I2047" s="917" t="str">
        <f>VLOOKUP($A2047,'Tech Litons'!$A:$C,3,0)</f>
        <v>MG Sticks</v>
      </c>
      <c r="J2047" s="918" t="str">
        <f t="shared" si="205"/>
        <v>2904MG Sticks</v>
      </c>
      <c r="K2047" s="919">
        <v>1</v>
      </c>
      <c r="L2047" s="920">
        <f t="shared" si="204"/>
        <v>84</v>
      </c>
      <c r="M2047" s="920">
        <f t="shared" si="206"/>
        <v>0.18143999999999999</v>
      </c>
      <c r="N2047" s="920">
        <f t="shared" si="207"/>
        <v>0.4</v>
      </c>
      <c r="O2047" s="918" t="str">
        <f t="shared" si="208"/>
        <v>Feb</v>
      </c>
      <c r="P2047" s="921">
        <f t="shared" si="209"/>
        <v>8</v>
      </c>
    </row>
    <row r="2048" spans="1:16" ht="15" hidden="1" customHeight="1">
      <c r="A2048" s="839">
        <v>64331550</v>
      </c>
      <c r="B2048" s="839">
        <v>2904</v>
      </c>
      <c r="C2048" s="906">
        <v>11745</v>
      </c>
      <c r="D2048" s="907">
        <v>46063</v>
      </c>
      <c r="E2048" s="839" t="s">
        <v>461</v>
      </c>
      <c r="F2048" s="839" t="s">
        <v>283</v>
      </c>
      <c r="G2048" s="916">
        <f>VLOOKUP($A2048,'Tech Litons'!$A:$I,8,FALSE)</f>
        <v>1.08E-3</v>
      </c>
      <c r="H2048" s="917">
        <f>VLOOKUP($A2048,'Tech Litons'!$A:$I,9,FALSE)</f>
        <v>493</v>
      </c>
      <c r="I2048" s="917" t="str">
        <f>VLOOKUP($A2048,'Tech Litons'!$A:$C,3,0)</f>
        <v>MG Sticks</v>
      </c>
      <c r="J2048" s="918" t="str">
        <f t="shared" si="205"/>
        <v>2904MG Sticks</v>
      </c>
      <c r="K2048" s="919">
        <v>1</v>
      </c>
      <c r="L2048" s="920">
        <f t="shared" si="204"/>
        <v>11745</v>
      </c>
      <c r="M2048" s="920">
        <f t="shared" si="206"/>
        <v>12.6846</v>
      </c>
      <c r="N2048" s="920">
        <f t="shared" si="207"/>
        <v>23.823529411764707</v>
      </c>
      <c r="O2048" s="918" t="str">
        <f t="shared" si="208"/>
        <v>Feb</v>
      </c>
      <c r="P2048" s="921">
        <f t="shared" si="209"/>
        <v>7</v>
      </c>
    </row>
    <row r="2049" spans="1:16" ht="15" hidden="1" customHeight="1">
      <c r="A2049" s="839">
        <v>64331550</v>
      </c>
      <c r="B2049" s="839">
        <v>2904</v>
      </c>
      <c r="C2049" s="906">
        <v>5167</v>
      </c>
      <c r="D2049" s="907">
        <v>46064</v>
      </c>
      <c r="E2049" s="839" t="s">
        <v>461</v>
      </c>
      <c r="F2049" s="839" t="s">
        <v>283</v>
      </c>
      <c r="G2049" s="916">
        <f>VLOOKUP($A2049,'Tech Litons'!$A:$I,8,FALSE)</f>
        <v>1.08E-3</v>
      </c>
      <c r="H2049" s="917">
        <f>VLOOKUP($A2049,'Tech Litons'!$A:$I,9,FALSE)</f>
        <v>493</v>
      </c>
      <c r="I2049" s="917" t="str">
        <f>VLOOKUP($A2049,'Tech Litons'!$A:$C,3,0)</f>
        <v>MG Sticks</v>
      </c>
      <c r="J2049" s="918" t="str">
        <f t="shared" si="205"/>
        <v>2904MG Sticks</v>
      </c>
      <c r="K2049" s="919">
        <v>1</v>
      </c>
      <c r="L2049" s="920">
        <f t="shared" si="204"/>
        <v>5167</v>
      </c>
      <c r="M2049" s="920">
        <f t="shared" si="206"/>
        <v>5.5803599999999998</v>
      </c>
      <c r="N2049" s="920">
        <f t="shared" si="207"/>
        <v>10.480730223123732</v>
      </c>
      <c r="O2049" s="918" t="str">
        <f t="shared" si="208"/>
        <v>Feb</v>
      </c>
      <c r="P2049" s="921">
        <f t="shared" si="209"/>
        <v>7</v>
      </c>
    </row>
    <row r="2050" spans="1:16" ht="15" hidden="1" customHeight="1">
      <c r="A2050" s="839">
        <v>64331550</v>
      </c>
      <c r="B2050" s="839">
        <v>2904</v>
      </c>
      <c r="C2050" s="906">
        <v>11557</v>
      </c>
      <c r="D2050" s="907">
        <v>46064</v>
      </c>
      <c r="E2050" s="839" t="s">
        <v>461</v>
      </c>
      <c r="F2050" s="839" t="s">
        <v>283</v>
      </c>
      <c r="G2050" s="916">
        <f>VLOOKUP($A2050,'Tech Litons'!$A:$I,8,FALSE)</f>
        <v>1.08E-3</v>
      </c>
      <c r="H2050" s="917">
        <f>VLOOKUP($A2050,'Tech Litons'!$A:$I,9,FALSE)</f>
        <v>493</v>
      </c>
      <c r="I2050" s="917" t="str">
        <f>VLOOKUP($A2050,'Tech Litons'!$A:$C,3,0)</f>
        <v>MG Sticks</v>
      </c>
      <c r="J2050" s="918" t="str">
        <f t="shared" si="205"/>
        <v>2904MG Sticks</v>
      </c>
      <c r="K2050" s="919">
        <v>1</v>
      </c>
      <c r="L2050" s="920">
        <f t="shared" si="204"/>
        <v>11557</v>
      </c>
      <c r="M2050" s="920">
        <f t="shared" si="206"/>
        <v>12.48156</v>
      </c>
      <c r="N2050" s="920">
        <f t="shared" si="207"/>
        <v>23.442190669371197</v>
      </c>
      <c r="O2050" s="918" t="str">
        <f t="shared" si="208"/>
        <v>Feb</v>
      </c>
      <c r="P2050" s="921">
        <f t="shared" si="209"/>
        <v>7</v>
      </c>
    </row>
    <row r="2051" spans="1:16" ht="15" hidden="1" customHeight="1">
      <c r="A2051" s="839">
        <v>64331550</v>
      </c>
      <c r="B2051" s="839">
        <v>2904</v>
      </c>
      <c r="C2051" s="906">
        <v>10091</v>
      </c>
      <c r="D2051" s="907">
        <v>46065</v>
      </c>
      <c r="E2051" s="839" t="s">
        <v>461</v>
      </c>
      <c r="F2051" s="839" t="s">
        <v>283</v>
      </c>
      <c r="G2051" s="916">
        <f>VLOOKUP($A2051,'Tech Litons'!$A:$I,8,FALSE)</f>
        <v>1.08E-3</v>
      </c>
      <c r="H2051" s="917">
        <f>VLOOKUP($A2051,'Tech Litons'!$A:$I,9,FALSE)</f>
        <v>493</v>
      </c>
      <c r="I2051" s="917" t="str">
        <f>VLOOKUP($A2051,'Tech Litons'!$A:$C,3,0)</f>
        <v>MG Sticks</v>
      </c>
      <c r="J2051" s="918" t="str">
        <f t="shared" si="205"/>
        <v>2904MG Sticks</v>
      </c>
      <c r="K2051" s="919">
        <v>1</v>
      </c>
      <c r="L2051" s="920">
        <f t="shared" si="204"/>
        <v>10091</v>
      </c>
      <c r="M2051" s="920">
        <f t="shared" si="206"/>
        <v>10.89828</v>
      </c>
      <c r="N2051" s="920">
        <f t="shared" si="207"/>
        <v>20.468559837728193</v>
      </c>
      <c r="O2051" s="918" t="str">
        <f t="shared" si="208"/>
        <v>Feb</v>
      </c>
      <c r="P2051" s="921">
        <f t="shared" si="209"/>
        <v>7</v>
      </c>
    </row>
    <row r="2052" spans="1:16" ht="15" hidden="1" customHeight="1">
      <c r="A2052" s="839">
        <v>64331550</v>
      </c>
      <c r="B2052" s="839">
        <v>2904</v>
      </c>
      <c r="C2052" s="906">
        <v>2704</v>
      </c>
      <c r="D2052" s="907">
        <v>46065</v>
      </c>
      <c r="E2052" s="839" t="s">
        <v>461</v>
      </c>
      <c r="F2052" s="839" t="s">
        <v>283</v>
      </c>
      <c r="G2052" s="916">
        <f>VLOOKUP($A2052,'Tech Litons'!$A:$I,8,FALSE)</f>
        <v>1.08E-3</v>
      </c>
      <c r="H2052" s="917">
        <f>VLOOKUP($A2052,'Tech Litons'!$A:$I,9,FALSE)</f>
        <v>493</v>
      </c>
      <c r="I2052" s="917" t="str">
        <f>VLOOKUP($A2052,'Tech Litons'!$A:$C,3,0)</f>
        <v>MG Sticks</v>
      </c>
      <c r="J2052" s="918" t="str">
        <f t="shared" si="205"/>
        <v>2904MG Sticks</v>
      </c>
      <c r="K2052" s="919">
        <v>1</v>
      </c>
      <c r="L2052" s="920">
        <f t="shared" si="204"/>
        <v>2704</v>
      </c>
      <c r="M2052" s="920">
        <f t="shared" si="206"/>
        <v>2.9203200000000002</v>
      </c>
      <c r="N2052" s="920">
        <f t="shared" si="207"/>
        <v>5.4847870182555782</v>
      </c>
      <c r="O2052" s="918" t="str">
        <f t="shared" si="208"/>
        <v>Feb</v>
      </c>
      <c r="P2052" s="921">
        <f t="shared" si="209"/>
        <v>7</v>
      </c>
    </row>
    <row r="2053" spans="1:16" ht="15" hidden="1" customHeight="1">
      <c r="A2053" s="839">
        <v>64331550</v>
      </c>
      <c r="B2053" s="839">
        <v>2904</v>
      </c>
      <c r="C2053" s="906">
        <v>8596</v>
      </c>
      <c r="D2053" s="907">
        <v>46066</v>
      </c>
      <c r="E2053" s="839" t="s">
        <v>461</v>
      </c>
      <c r="F2053" s="839" t="s">
        <v>283</v>
      </c>
      <c r="G2053" s="916">
        <f>VLOOKUP($A2053,'Tech Litons'!$A:$I,8,FALSE)</f>
        <v>1.08E-3</v>
      </c>
      <c r="H2053" s="917">
        <f>VLOOKUP($A2053,'Tech Litons'!$A:$I,9,FALSE)</f>
        <v>493</v>
      </c>
      <c r="I2053" s="917" t="str">
        <f>VLOOKUP($A2053,'Tech Litons'!$A:$C,3,0)</f>
        <v>MG Sticks</v>
      </c>
      <c r="J2053" s="918" t="str">
        <f t="shared" si="205"/>
        <v>2904MG Sticks</v>
      </c>
      <c r="K2053" s="919">
        <v>1</v>
      </c>
      <c r="L2053" s="920">
        <f t="shared" si="204"/>
        <v>8596</v>
      </c>
      <c r="M2053" s="920">
        <f t="shared" si="206"/>
        <v>9.2836800000000004</v>
      </c>
      <c r="N2053" s="920">
        <f t="shared" si="207"/>
        <v>17.436105476673429</v>
      </c>
      <c r="O2053" s="918" t="str">
        <f t="shared" si="208"/>
        <v>Feb</v>
      </c>
      <c r="P2053" s="921">
        <f t="shared" si="209"/>
        <v>7</v>
      </c>
    </row>
    <row r="2054" spans="1:16" ht="15" hidden="1" customHeight="1">
      <c r="A2054" s="839">
        <v>64331550</v>
      </c>
      <c r="B2054" s="839">
        <v>2904</v>
      </c>
      <c r="C2054" s="906">
        <v>3025</v>
      </c>
      <c r="D2054" s="907">
        <v>46062</v>
      </c>
      <c r="E2054" s="839" t="s">
        <v>461</v>
      </c>
      <c r="F2054" s="839" t="s">
        <v>283</v>
      </c>
      <c r="G2054" s="916">
        <f>VLOOKUP($A2054,'Tech Litons'!$A:$I,8,FALSE)</f>
        <v>1.08E-3</v>
      </c>
      <c r="H2054" s="917">
        <f>VLOOKUP($A2054,'Tech Litons'!$A:$I,9,FALSE)</f>
        <v>493</v>
      </c>
      <c r="I2054" s="917" t="str">
        <f>VLOOKUP($A2054,'Tech Litons'!$A:$C,3,0)</f>
        <v>MG Sticks</v>
      </c>
      <c r="J2054" s="918" t="str">
        <f t="shared" si="205"/>
        <v>2904MG Sticks</v>
      </c>
      <c r="K2054" s="919">
        <v>1</v>
      </c>
      <c r="L2054" s="920">
        <f t="shared" si="204"/>
        <v>3025</v>
      </c>
      <c r="M2054" s="920">
        <f t="shared" si="206"/>
        <v>3.2669999999999999</v>
      </c>
      <c r="N2054" s="920">
        <f t="shared" si="207"/>
        <v>6.1359026369168355</v>
      </c>
      <c r="O2054" s="918" t="str">
        <f t="shared" si="208"/>
        <v>Feb</v>
      </c>
      <c r="P2054" s="921">
        <f t="shared" si="209"/>
        <v>7</v>
      </c>
    </row>
    <row r="2055" spans="1:16" ht="15" hidden="1" customHeight="1">
      <c r="A2055" s="839">
        <v>64331550</v>
      </c>
      <c r="B2055" s="839">
        <v>2904</v>
      </c>
      <c r="C2055" s="906">
        <v>5880</v>
      </c>
      <c r="D2055" s="907">
        <v>46063</v>
      </c>
      <c r="E2055" s="839" t="s">
        <v>461</v>
      </c>
      <c r="F2055" s="839" t="s">
        <v>283</v>
      </c>
      <c r="G2055" s="916">
        <f>VLOOKUP($A2055,'Tech Litons'!$A:$I,8,FALSE)</f>
        <v>1.08E-3</v>
      </c>
      <c r="H2055" s="917">
        <f>VLOOKUP($A2055,'Tech Litons'!$A:$I,9,FALSE)</f>
        <v>493</v>
      </c>
      <c r="I2055" s="917" t="str">
        <f>VLOOKUP($A2055,'Tech Litons'!$A:$C,3,0)</f>
        <v>MG Sticks</v>
      </c>
      <c r="J2055" s="918" t="str">
        <f t="shared" si="205"/>
        <v>2904MG Sticks</v>
      </c>
      <c r="K2055" s="919">
        <v>1</v>
      </c>
      <c r="L2055" s="920">
        <f t="shared" si="204"/>
        <v>5880</v>
      </c>
      <c r="M2055" s="920">
        <f t="shared" si="206"/>
        <v>6.3504000000000005</v>
      </c>
      <c r="N2055" s="920">
        <f t="shared" si="207"/>
        <v>11.926977687626774</v>
      </c>
      <c r="O2055" s="918" t="str">
        <f t="shared" si="208"/>
        <v>Feb</v>
      </c>
      <c r="P2055" s="921">
        <f t="shared" si="209"/>
        <v>7</v>
      </c>
    </row>
    <row r="2056" spans="1:16" ht="15" hidden="1" customHeight="1">
      <c r="A2056" s="839">
        <v>64331550</v>
      </c>
      <c r="B2056" s="839">
        <v>2904</v>
      </c>
      <c r="C2056" s="906">
        <v>14297</v>
      </c>
      <c r="D2056" s="907">
        <v>46066</v>
      </c>
      <c r="E2056" s="839" t="s">
        <v>461</v>
      </c>
      <c r="F2056" s="839" t="s">
        <v>283</v>
      </c>
      <c r="G2056" s="916">
        <f>VLOOKUP($A2056,'Tech Litons'!$A:$I,8,FALSE)</f>
        <v>1.08E-3</v>
      </c>
      <c r="H2056" s="917">
        <f>VLOOKUP($A2056,'Tech Litons'!$A:$I,9,FALSE)</f>
        <v>493</v>
      </c>
      <c r="I2056" s="917" t="str">
        <f>VLOOKUP($A2056,'Tech Litons'!$A:$C,3,0)</f>
        <v>MG Sticks</v>
      </c>
      <c r="J2056" s="918" t="str">
        <f t="shared" si="205"/>
        <v>2904MG Sticks</v>
      </c>
      <c r="K2056" s="919">
        <v>1</v>
      </c>
      <c r="L2056" s="920">
        <f t="shared" si="204"/>
        <v>14297</v>
      </c>
      <c r="M2056" s="920">
        <f t="shared" si="206"/>
        <v>15.440760000000001</v>
      </c>
      <c r="N2056" s="920">
        <f t="shared" si="207"/>
        <v>29</v>
      </c>
      <c r="O2056" s="918" t="str">
        <f t="shared" si="208"/>
        <v>Feb</v>
      </c>
      <c r="P2056" s="921">
        <f t="shared" si="209"/>
        <v>7</v>
      </c>
    </row>
    <row r="2057" spans="1:16" ht="15" hidden="1" customHeight="1">
      <c r="A2057" s="839">
        <v>64331550</v>
      </c>
      <c r="B2057" s="839">
        <v>2904</v>
      </c>
      <c r="C2057" s="906">
        <v>6075</v>
      </c>
      <c r="D2057" s="907">
        <v>46067</v>
      </c>
      <c r="E2057" s="839" t="s">
        <v>461</v>
      </c>
      <c r="F2057" s="839" t="s">
        <v>283</v>
      </c>
      <c r="G2057" s="916">
        <f>VLOOKUP($A2057,'Tech Litons'!$A:$I,8,FALSE)</f>
        <v>1.08E-3</v>
      </c>
      <c r="H2057" s="917">
        <f>VLOOKUP($A2057,'Tech Litons'!$A:$I,9,FALSE)</f>
        <v>493</v>
      </c>
      <c r="I2057" s="917" t="str">
        <f>VLOOKUP($A2057,'Tech Litons'!$A:$C,3,0)</f>
        <v>MG Sticks</v>
      </c>
      <c r="J2057" s="918" t="str">
        <f t="shared" si="205"/>
        <v>2904MG Sticks</v>
      </c>
      <c r="K2057" s="919">
        <v>1</v>
      </c>
      <c r="L2057" s="920">
        <f t="shared" ref="L2057:L2118" si="210">C2057*$K2057</f>
        <v>6075</v>
      </c>
      <c r="M2057" s="920">
        <f t="shared" si="206"/>
        <v>6.5609999999999999</v>
      </c>
      <c r="N2057" s="920">
        <f t="shared" si="207"/>
        <v>12.322515212981745</v>
      </c>
      <c r="O2057" s="918" t="str">
        <f t="shared" si="208"/>
        <v>Feb</v>
      </c>
      <c r="P2057" s="921">
        <f t="shared" si="209"/>
        <v>7</v>
      </c>
    </row>
    <row r="2058" spans="1:16" ht="15" hidden="1" customHeight="1">
      <c r="A2058" s="839">
        <v>64331550</v>
      </c>
      <c r="B2058" s="839">
        <v>2904</v>
      </c>
      <c r="C2058" s="906">
        <v>1207</v>
      </c>
      <c r="D2058" s="907">
        <v>46061</v>
      </c>
      <c r="E2058" s="839" t="s">
        <v>461</v>
      </c>
      <c r="F2058" s="839" t="s">
        <v>283</v>
      </c>
      <c r="G2058" s="916">
        <f>VLOOKUP($A2058,'Tech Litons'!$A:$I,8,FALSE)</f>
        <v>1.08E-3</v>
      </c>
      <c r="H2058" s="917">
        <f>VLOOKUP($A2058,'Tech Litons'!$A:$I,9,FALSE)</f>
        <v>493</v>
      </c>
      <c r="I2058" s="917" t="str">
        <f>VLOOKUP($A2058,'Tech Litons'!$A:$C,3,0)</f>
        <v>MG Sticks</v>
      </c>
      <c r="J2058" s="918" t="str">
        <f t="shared" ref="J2058:J2119" si="211">B2058&amp;I2058</f>
        <v>2904MG Sticks</v>
      </c>
      <c r="K2058" s="919">
        <v>1</v>
      </c>
      <c r="L2058" s="920">
        <f t="shared" si="210"/>
        <v>1207</v>
      </c>
      <c r="M2058" s="920">
        <f t="shared" ref="M2058:M2119" si="212">L2058*G2058</f>
        <v>1.3035600000000001</v>
      </c>
      <c r="N2058" s="920">
        <f t="shared" ref="N2058:N2119" si="213">L2058/H2058</f>
        <v>2.4482758620689653</v>
      </c>
      <c r="O2058" s="918" t="str">
        <f t="shared" ref="O2058:O2119" si="214">TEXT(D2058,"MMM")</f>
        <v>Feb</v>
      </c>
      <c r="P2058" s="921">
        <f t="shared" ref="P2058:P2119" si="215">WEEKNUM(D2058)</f>
        <v>7</v>
      </c>
    </row>
    <row r="2059" spans="1:16" ht="15" hidden="1" customHeight="1">
      <c r="A2059" s="839">
        <v>64331550</v>
      </c>
      <c r="B2059" s="839">
        <v>2904</v>
      </c>
      <c r="C2059" s="906">
        <v>3306</v>
      </c>
      <c r="D2059" s="907">
        <v>46061</v>
      </c>
      <c r="E2059" s="839" t="s">
        <v>461</v>
      </c>
      <c r="F2059" s="839" t="s">
        <v>283</v>
      </c>
      <c r="G2059" s="916">
        <f>VLOOKUP($A2059,'Tech Litons'!$A:$I,8,FALSE)</f>
        <v>1.08E-3</v>
      </c>
      <c r="H2059" s="917">
        <f>VLOOKUP($A2059,'Tech Litons'!$A:$I,9,FALSE)</f>
        <v>493</v>
      </c>
      <c r="I2059" s="917" t="str">
        <f>VLOOKUP($A2059,'Tech Litons'!$A:$C,3,0)</f>
        <v>MG Sticks</v>
      </c>
      <c r="J2059" s="918" t="str">
        <f t="shared" si="211"/>
        <v>2904MG Sticks</v>
      </c>
      <c r="K2059" s="919">
        <v>1</v>
      </c>
      <c r="L2059" s="920">
        <f t="shared" si="210"/>
        <v>3306</v>
      </c>
      <c r="M2059" s="920">
        <f t="shared" si="212"/>
        <v>3.5704799999999999</v>
      </c>
      <c r="N2059" s="920">
        <f t="shared" si="213"/>
        <v>6.7058823529411766</v>
      </c>
      <c r="O2059" s="918" t="str">
        <f t="shared" si="214"/>
        <v>Feb</v>
      </c>
      <c r="P2059" s="921">
        <f t="shared" si="215"/>
        <v>7</v>
      </c>
    </row>
    <row r="2060" spans="1:16" ht="15" hidden="1" customHeight="1">
      <c r="A2060" s="839">
        <v>64331550</v>
      </c>
      <c r="B2060" s="839">
        <v>2904</v>
      </c>
      <c r="C2060" s="906">
        <v>4723</v>
      </c>
      <c r="D2060" s="907">
        <v>46062</v>
      </c>
      <c r="E2060" s="839" t="s">
        <v>461</v>
      </c>
      <c r="F2060" s="839" t="s">
        <v>283</v>
      </c>
      <c r="G2060" s="916">
        <f>VLOOKUP($A2060,'Tech Litons'!$A:$I,8,FALSE)</f>
        <v>1.08E-3</v>
      </c>
      <c r="H2060" s="917">
        <f>VLOOKUP($A2060,'Tech Litons'!$A:$I,9,FALSE)</f>
        <v>493</v>
      </c>
      <c r="I2060" s="917" t="str">
        <f>VLOOKUP($A2060,'Tech Litons'!$A:$C,3,0)</f>
        <v>MG Sticks</v>
      </c>
      <c r="J2060" s="918" t="str">
        <f t="shared" si="211"/>
        <v>2904MG Sticks</v>
      </c>
      <c r="K2060" s="919">
        <v>1</v>
      </c>
      <c r="L2060" s="920">
        <f t="shared" si="210"/>
        <v>4723</v>
      </c>
      <c r="M2060" s="920">
        <f t="shared" si="212"/>
        <v>5.1008399999999998</v>
      </c>
      <c r="N2060" s="920">
        <f t="shared" si="213"/>
        <v>9.5801217038539548</v>
      </c>
      <c r="O2060" s="918" t="str">
        <f t="shared" si="214"/>
        <v>Feb</v>
      </c>
      <c r="P2060" s="921">
        <f t="shared" si="215"/>
        <v>7</v>
      </c>
    </row>
    <row r="2061" spans="1:16" ht="15" hidden="1" customHeight="1">
      <c r="A2061" s="839">
        <v>64341106</v>
      </c>
      <c r="B2061" s="839">
        <v>2904</v>
      </c>
      <c r="C2061" s="906">
        <v>1374</v>
      </c>
      <c r="D2061" s="907">
        <v>46050</v>
      </c>
      <c r="E2061" s="839" t="s">
        <v>293</v>
      </c>
      <c r="F2061" s="839" t="s">
        <v>227</v>
      </c>
      <c r="G2061" s="916">
        <f>VLOOKUP($A2061,'Tech Litons'!$A:$I,8,FALSE)</f>
        <v>5.2680000000000001E-3</v>
      </c>
      <c r="H2061" s="917">
        <f>VLOOKUP($A2061,'Tech Litons'!$A:$I,9,FALSE)</f>
        <v>130</v>
      </c>
      <c r="I2061" s="917" t="str">
        <f>VLOOKUP($A2061,'Tech Litons'!$A:$C,3,0)</f>
        <v>PG</v>
      </c>
      <c r="J2061" s="918" t="str">
        <f t="shared" si="211"/>
        <v>2904PG</v>
      </c>
      <c r="K2061" s="919">
        <v>1</v>
      </c>
      <c r="L2061" s="920">
        <f t="shared" si="210"/>
        <v>1374</v>
      </c>
      <c r="M2061" s="920">
        <f t="shared" si="212"/>
        <v>7.238232</v>
      </c>
      <c r="N2061" s="920">
        <f t="shared" si="213"/>
        <v>10.569230769230769</v>
      </c>
      <c r="O2061" s="918" t="str">
        <f t="shared" si="214"/>
        <v>Jan</v>
      </c>
      <c r="P2061" s="921">
        <f t="shared" si="215"/>
        <v>5</v>
      </c>
    </row>
    <row r="2062" spans="1:16" ht="15" hidden="1" customHeight="1">
      <c r="A2062" s="839">
        <v>64341106</v>
      </c>
      <c r="B2062" s="839">
        <v>2904</v>
      </c>
      <c r="C2062" s="906">
        <v>2486</v>
      </c>
      <c r="D2062" s="907">
        <v>46051</v>
      </c>
      <c r="E2062" s="839" t="s">
        <v>293</v>
      </c>
      <c r="F2062" s="839" t="s">
        <v>227</v>
      </c>
      <c r="G2062" s="916">
        <f>VLOOKUP($A2062,'Tech Litons'!$A:$I,8,FALSE)</f>
        <v>5.2680000000000001E-3</v>
      </c>
      <c r="H2062" s="917">
        <f>VLOOKUP($A2062,'Tech Litons'!$A:$I,9,FALSE)</f>
        <v>130</v>
      </c>
      <c r="I2062" s="917" t="str">
        <f>VLOOKUP($A2062,'Tech Litons'!$A:$C,3,0)</f>
        <v>PG</v>
      </c>
      <c r="J2062" s="918" t="str">
        <f t="shared" si="211"/>
        <v>2904PG</v>
      </c>
      <c r="K2062" s="919">
        <v>1</v>
      </c>
      <c r="L2062" s="920">
        <f t="shared" si="210"/>
        <v>2486</v>
      </c>
      <c r="M2062" s="920">
        <f t="shared" si="212"/>
        <v>13.096248000000001</v>
      </c>
      <c r="N2062" s="920">
        <f t="shared" si="213"/>
        <v>19.123076923076923</v>
      </c>
      <c r="O2062" s="918" t="str">
        <f t="shared" si="214"/>
        <v>Jan</v>
      </c>
      <c r="P2062" s="921">
        <f t="shared" si="215"/>
        <v>5</v>
      </c>
    </row>
    <row r="2063" spans="1:16" ht="15" hidden="1" customHeight="1">
      <c r="A2063" s="839">
        <v>64341106</v>
      </c>
      <c r="B2063" s="839">
        <v>2904</v>
      </c>
      <c r="C2063" s="906">
        <v>677</v>
      </c>
      <c r="D2063" s="907">
        <v>46051</v>
      </c>
      <c r="E2063" s="839" t="s">
        <v>293</v>
      </c>
      <c r="F2063" s="839" t="s">
        <v>227</v>
      </c>
      <c r="G2063" s="916">
        <f>VLOOKUP($A2063,'Tech Litons'!$A:$I,8,FALSE)</f>
        <v>5.2680000000000001E-3</v>
      </c>
      <c r="H2063" s="917">
        <f>VLOOKUP($A2063,'Tech Litons'!$A:$I,9,FALSE)</f>
        <v>130</v>
      </c>
      <c r="I2063" s="917" t="str">
        <f>VLOOKUP($A2063,'Tech Litons'!$A:$C,3,0)</f>
        <v>PG</v>
      </c>
      <c r="J2063" s="918" t="str">
        <f t="shared" si="211"/>
        <v>2904PG</v>
      </c>
      <c r="K2063" s="919">
        <v>1</v>
      </c>
      <c r="L2063" s="920">
        <f t="shared" si="210"/>
        <v>677</v>
      </c>
      <c r="M2063" s="920">
        <f t="shared" si="212"/>
        <v>3.5664359999999999</v>
      </c>
      <c r="N2063" s="920">
        <f t="shared" si="213"/>
        <v>5.2076923076923078</v>
      </c>
      <c r="O2063" s="918" t="str">
        <f t="shared" si="214"/>
        <v>Jan</v>
      </c>
      <c r="P2063" s="921">
        <f t="shared" si="215"/>
        <v>5</v>
      </c>
    </row>
    <row r="2064" spans="1:16" ht="15" hidden="1" customHeight="1">
      <c r="A2064" s="839">
        <v>64341106</v>
      </c>
      <c r="B2064" s="839">
        <v>2904</v>
      </c>
      <c r="C2064" s="906">
        <v>1287</v>
      </c>
      <c r="D2064" s="907">
        <v>46052</v>
      </c>
      <c r="E2064" s="839" t="s">
        <v>293</v>
      </c>
      <c r="F2064" s="839" t="s">
        <v>227</v>
      </c>
      <c r="G2064" s="916">
        <f>VLOOKUP($A2064,'Tech Litons'!$A:$I,8,FALSE)</f>
        <v>5.2680000000000001E-3</v>
      </c>
      <c r="H2064" s="917">
        <f>VLOOKUP($A2064,'Tech Litons'!$A:$I,9,FALSE)</f>
        <v>130</v>
      </c>
      <c r="I2064" s="917" t="str">
        <f>VLOOKUP($A2064,'Tech Litons'!$A:$C,3,0)</f>
        <v>PG</v>
      </c>
      <c r="J2064" s="918" t="str">
        <f t="shared" si="211"/>
        <v>2904PG</v>
      </c>
      <c r="K2064" s="919">
        <v>1</v>
      </c>
      <c r="L2064" s="920">
        <f t="shared" si="210"/>
        <v>1287</v>
      </c>
      <c r="M2064" s="920">
        <f t="shared" si="212"/>
        <v>6.7799160000000001</v>
      </c>
      <c r="N2064" s="920">
        <f t="shared" si="213"/>
        <v>9.9</v>
      </c>
      <c r="O2064" s="918" t="str">
        <f t="shared" si="214"/>
        <v>Jan</v>
      </c>
      <c r="P2064" s="921">
        <f t="shared" si="215"/>
        <v>5</v>
      </c>
    </row>
    <row r="2065" spans="1:16" ht="15" hidden="1" customHeight="1">
      <c r="A2065" s="839">
        <v>64341106</v>
      </c>
      <c r="B2065" s="839">
        <v>2904</v>
      </c>
      <c r="C2065" s="906">
        <v>2080</v>
      </c>
      <c r="D2065" s="907">
        <v>46052</v>
      </c>
      <c r="E2065" s="839" t="s">
        <v>293</v>
      </c>
      <c r="F2065" s="839" t="s">
        <v>227</v>
      </c>
      <c r="G2065" s="916">
        <f>VLOOKUP($A2065,'Tech Litons'!$A:$I,8,FALSE)</f>
        <v>5.2680000000000001E-3</v>
      </c>
      <c r="H2065" s="917">
        <f>VLOOKUP($A2065,'Tech Litons'!$A:$I,9,FALSE)</f>
        <v>130</v>
      </c>
      <c r="I2065" s="917" t="str">
        <f>VLOOKUP($A2065,'Tech Litons'!$A:$C,3,0)</f>
        <v>PG</v>
      </c>
      <c r="J2065" s="918" t="str">
        <f t="shared" si="211"/>
        <v>2904PG</v>
      </c>
      <c r="K2065" s="919">
        <v>1</v>
      </c>
      <c r="L2065" s="920">
        <f t="shared" si="210"/>
        <v>2080</v>
      </c>
      <c r="M2065" s="920">
        <f t="shared" si="212"/>
        <v>10.95744</v>
      </c>
      <c r="N2065" s="920">
        <f t="shared" si="213"/>
        <v>16</v>
      </c>
      <c r="O2065" s="918" t="str">
        <f t="shared" si="214"/>
        <v>Jan</v>
      </c>
      <c r="P2065" s="921">
        <f t="shared" si="215"/>
        <v>5</v>
      </c>
    </row>
    <row r="2066" spans="1:16" ht="15" hidden="1" customHeight="1">
      <c r="A2066" s="839">
        <v>64341106</v>
      </c>
      <c r="B2066" s="839">
        <v>2904</v>
      </c>
      <c r="C2066" s="906">
        <v>1690</v>
      </c>
      <c r="D2066" s="907">
        <v>46053</v>
      </c>
      <c r="E2066" s="839" t="s">
        <v>293</v>
      </c>
      <c r="F2066" s="839" t="s">
        <v>227</v>
      </c>
      <c r="G2066" s="916">
        <f>VLOOKUP($A2066,'Tech Litons'!$A:$I,8,FALSE)</f>
        <v>5.2680000000000001E-3</v>
      </c>
      <c r="H2066" s="917">
        <f>VLOOKUP($A2066,'Tech Litons'!$A:$I,9,FALSE)</f>
        <v>130</v>
      </c>
      <c r="I2066" s="917" t="str">
        <f>VLOOKUP($A2066,'Tech Litons'!$A:$C,3,0)</f>
        <v>PG</v>
      </c>
      <c r="J2066" s="918" t="str">
        <f t="shared" si="211"/>
        <v>2904PG</v>
      </c>
      <c r="K2066" s="919">
        <v>1</v>
      </c>
      <c r="L2066" s="920">
        <f t="shared" si="210"/>
        <v>1690</v>
      </c>
      <c r="M2066" s="920">
        <f t="shared" si="212"/>
        <v>8.9029199999999999</v>
      </c>
      <c r="N2066" s="920">
        <f t="shared" si="213"/>
        <v>13</v>
      </c>
      <c r="O2066" s="918" t="str">
        <f t="shared" si="214"/>
        <v>Jan</v>
      </c>
      <c r="P2066" s="921">
        <f t="shared" si="215"/>
        <v>5</v>
      </c>
    </row>
    <row r="2067" spans="1:16" ht="15" hidden="1" customHeight="1">
      <c r="A2067" s="839">
        <v>64341106</v>
      </c>
      <c r="B2067" s="839">
        <v>2904</v>
      </c>
      <c r="C2067" s="906">
        <v>1019</v>
      </c>
      <c r="D2067" s="907">
        <v>46055</v>
      </c>
      <c r="E2067" s="839" t="s">
        <v>293</v>
      </c>
      <c r="F2067" s="839" t="s">
        <v>227</v>
      </c>
      <c r="G2067" s="916">
        <f>VLOOKUP($A2067,'Tech Litons'!$A:$I,8,FALSE)</f>
        <v>5.2680000000000001E-3</v>
      </c>
      <c r="H2067" s="917">
        <f>VLOOKUP($A2067,'Tech Litons'!$A:$I,9,FALSE)</f>
        <v>130</v>
      </c>
      <c r="I2067" s="917" t="str">
        <f>VLOOKUP($A2067,'Tech Litons'!$A:$C,3,0)</f>
        <v>PG</v>
      </c>
      <c r="J2067" s="918" t="str">
        <f t="shared" si="211"/>
        <v>2904PG</v>
      </c>
      <c r="K2067" s="919">
        <v>1</v>
      </c>
      <c r="L2067" s="920">
        <f t="shared" si="210"/>
        <v>1019</v>
      </c>
      <c r="M2067" s="920">
        <f t="shared" si="212"/>
        <v>5.3680919999999999</v>
      </c>
      <c r="N2067" s="920">
        <f t="shared" si="213"/>
        <v>7.8384615384615381</v>
      </c>
      <c r="O2067" s="918" t="str">
        <f t="shared" si="214"/>
        <v>Feb</v>
      </c>
      <c r="P2067" s="921">
        <f t="shared" si="215"/>
        <v>6</v>
      </c>
    </row>
    <row r="2068" spans="1:16" ht="15" hidden="1" customHeight="1">
      <c r="A2068" s="839">
        <v>64341106</v>
      </c>
      <c r="B2068" s="839">
        <v>2904</v>
      </c>
      <c r="C2068" s="906">
        <v>2860</v>
      </c>
      <c r="D2068" s="907">
        <v>46053</v>
      </c>
      <c r="E2068" s="839" t="s">
        <v>293</v>
      </c>
      <c r="F2068" s="839" t="s">
        <v>227</v>
      </c>
      <c r="G2068" s="916">
        <f>VLOOKUP($A2068,'Tech Litons'!$A:$I,8,FALSE)</f>
        <v>5.2680000000000001E-3</v>
      </c>
      <c r="H2068" s="917">
        <f>VLOOKUP($A2068,'Tech Litons'!$A:$I,9,FALSE)</f>
        <v>130</v>
      </c>
      <c r="I2068" s="917" t="str">
        <f>VLOOKUP($A2068,'Tech Litons'!$A:$C,3,0)</f>
        <v>PG</v>
      </c>
      <c r="J2068" s="918" t="str">
        <f t="shared" si="211"/>
        <v>2904PG</v>
      </c>
      <c r="K2068" s="919">
        <v>1</v>
      </c>
      <c r="L2068" s="920">
        <f t="shared" si="210"/>
        <v>2860</v>
      </c>
      <c r="M2068" s="920">
        <f t="shared" si="212"/>
        <v>15.06648</v>
      </c>
      <c r="N2068" s="920">
        <f t="shared" si="213"/>
        <v>22</v>
      </c>
      <c r="O2068" s="918" t="str">
        <f t="shared" si="214"/>
        <v>Jan</v>
      </c>
      <c r="P2068" s="921">
        <f t="shared" si="215"/>
        <v>5</v>
      </c>
    </row>
    <row r="2069" spans="1:16" ht="15" hidden="1" customHeight="1">
      <c r="A2069" s="839">
        <v>64341106</v>
      </c>
      <c r="B2069" s="839">
        <v>2904</v>
      </c>
      <c r="C2069" s="906">
        <v>1507</v>
      </c>
      <c r="D2069" s="907">
        <v>46054</v>
      </c>
      <c r="E2069" s="839" t="s">
        <v>293</v>
      </c>
      <c r="F2069" s="839" t="s">
        <v>227</v>
      </c>
      <c r="G2069" s="916">
        <f>VLOOKUP($A2069,'Tech Litons'!$A:$I,8,FALSE)</f>
        <v>5.2680000000000001E-3</v>
      </c>
      <c r="H2069" s="917">
        <f>VLOOKUP($A2069,'Tech Litons'!$A:$I,9,FALSE)</f>
        <v>130</v>
      </c>
      <c r="I2069" s="917" t="str">
        <f>VLOOKUP($A2069,'Tech Litons'!$A:$C,3,0)</f>
        <v>PG</v>
      </c>
      <c r="J2069" s="918" t="str">
        <f t="shared" si="211"/>
        <v>2904PG</v>
      </c>
      <c r="K2069" s="919">
        <v>1</v>
      </c>
      <c r="L2069" s="920">
        <f t="shared" si="210"/>
        <v>1507</v>
      </c>
      <c r="M2069" s="920">
        <f t="shared" si="212"/>
        <v>7.9388760000000005</v>
      </c>
      <c r="N2069" s="920">
        <f t="shared" si="213"/>
        <v>11.592307692307692</v>
      </c>
      <c r="O2069" s="918" t="str">
        <f t="shared" si="214"/>
        <v>Feb</v>
      </c>
      <c r="P2069" s="921">
        <f t="shared" si="215"/>
        <v>6</v>
      </c>
    </row>
    <row r="2070" spans="1:16" ht="15" hidden="1" customHeight="1">
      <c r="A2070" s="839">
        <v>64341106</v>
      </c>
      <c r="B2070" s="839">
        <v>2904</v>
      </c>
      <c r="C2070" s="906">
        <v>130</v>
      </c>
      <c r="D2070" s="907">
        <v>46055</v>
      </c>
      <c r="E2070" s="839" t="s">
        <v>293</v>
      </c>
      <c r="F2070" s="839" t="s">
        <v>227</v>
      </c>
      <c r="G2070" s="916">
        <f>VLOOKUP($A2070,'Tech Litons'!$A:$I,8,FALSE)</f>
        <v>5.2680000000000001E-3</v>
      </c>
      <c r="H2070" s="917">
        <f>VLOOKUP($A2070,'Tech Litons'!$A:$I,9,FALSE)</f>
        <v>130</v>
      </c>
      <c r="I2070" s="917" t="str">
        <f>VLOOKUP($A2070,'Tech Litons'!$A:$C,3,0)</f>
        <v>PG</v>
      </c>
      <c r="J2070" s="918" t="str">
        <f t="shared" si="211"/>
        <v>2904PG</v>
      </c>
      <c r="K2070" s="919">
        <v>1</v>
      </c>
      <c r="L2070" s="920">
        <f t="shared" si="210"/>
        <v>130</v>
      </c>
      <c r="M2070" s="920">
        <f t="shared" si="212"/>
        <v>0.68484</v>
      </c>
      <c r="N2070" s="920">
        <f t="shared" si="213"/>
        <v>1</v>
      </c>
      <c r="O2070" s="918" t="str">
        <f t="shared" si="214"/>
        <v>Feb</v>
      </c>
      <c r="P2070" s="921">
        <f t="shared" si="215"/>
        <v>6</v>
      </c>
    </row>
    <row r="2071" spans="1:16" ht="15" hidden="1" customHeight="1">
      <c r="A2071" s="839">
        <v>64341106</v>
      </c>
      <c r="B2071" s="839">
        <v>2904</v>
      </c>
      <c r="C2071" s="906">
        <v>1528</v>
      </c>
      <c r="D2071" s="907">
        <v>46054</v>
      </c>
      <c r="E2071" s="839" t="s">
        <v>293</v>
      </c>
      <c r="F2071" s="839" t="s">
        <v>227</v>
      </c>
      <c r="G2071" s="916">
        <f>VLOOKUP($A2071,'Tech Litons'!$A:$I,8,FALSE)</f>
        <v>5.2680000000000001E-3</v>
      </c>
      <c r="H2071" s="917">
        <f>VLOOKUP($A2071,'Tech Litons'!$A:$I,9,FALSE)</f>
        <v>130</v>
      </c>
      <c r="I2071" s="917" t="str">
        <f>VLOOKUP($A2071,'Tech Litons'!$A:$C,3,0)</f>
        <v>PG</v>
      </c>
      <c r="J2071" s="918" t="str">
        <f t="shared" si="211"/>
        <v>2904PG</v>
      </c>
      <c r="K2071" s="919">
        <v>1</v>
      </c>
      <c r="L2071" s="920">
        <f t="shared" si="210"/>
        <v>1528</v>
      </c>
      <c r="M2071" s="920">
        <f t="shared" si="212"/>
        <v>8.0495040000000007</v>
      </c>
      <c r="N2071" s="920">
        <f t="shared" si="213"/>
        <v>11.753846153846155</v>
      </c>
      <c r="O2071" s="918" t="str">
        <f t="shared" si="214"/>
        <v>Feb</v>
      </c>
      <c r="P2071" s="921">
        <f t="shared" si="215"/>
        <v>6</v>
      </c>
    </row>
    <row r="2072" spans="1:16" ht="15" hidden="1" customHeight="1">
      <c r="A2072" s="839">
        <v>64341106</v>
      </c>
      <c r="B2072" s="839">
        <v>2904</v>
      </c>
      <c r="C2072" s="906">
        <v>605</v>
      </c>
      <c r="D2072" s="907">
        <v>46055</v>
      </c>
      <c r="E2072" s="839" t="s">
        <v>293</v>
      </c>
      <c r="F2072" s="839" t="s">
        <v>227</v>
      </c>
      <c r="G2072" s="916">
        <f>VLOOKUP($A2072,'Tech Litons'!$A:$I,8,FALSE)</f>
        <v>5.2680000000000001E-3</v>
      </c>
      <c r="H2072" s="917">
        <f>VLOOKUP($A2072,'Tech Litons'!$A:$I,9,FALSE)</f>
        <v>130</v>
      </c>
      <c r="I2072" s="917" t="str">
        <f>VLOOKUP($A2072,'Tech Litons'!$A:$C,3,0)</f>
        <v>PG</v>
      </c>
      <c r="J2072" s="918" t="str">
        <f t="shared" si="211"/>
        <v>2904PG</v>
      </c>
      <c r="K2072" s="919">
        <v>1</v>
      </c>
      <c r="L2072" s="920">
        <f t="shared" si="210"/>
        <v>605</v>
      </c>
      <c r="M2072" s="920">
        <f t="shared" si="212"/>
        <v>3.1871399999999999</v>
      </c>
      <c r="N2072" s="920">
        <f t="shared" si="213"/>
        <v>4.6538461538461542</v>
      </c>
      <c r="O2072" s="918" t="str">
        <f t="shared" si="214"/>
        <v>Feb</v>
      </c>
      <c r="P2072" s="921">
        <f t="shared" si="215"/>
        <v>6</v>
      </c>
    </row>
    <row r="2073" spans="1:16" ht="15" hidden="1" customHeight="1">
      <c r="A2073" s="839">
        <v>64341106</v>
      </c>
      <c r="B2073" s="839">
        <v>2904</v>
      </c>
      <c r="C2073" s="906">
        <v>1008</v>
      </c>
      <c r="D2073" s="907">
        <v>46055</v>
      </c>
      <c r="E2073" s="839" t="s">
        <v>293</v>
      </c>
      <c r="F2073" s="839" t="s">
        <v>227</v>
      </c>
      <c r="G2073" s="916">
        <f>VLOOKUP($A2073,'Tech Litons'!$A:$I,8,FALSE)</f>
        <v>5.2680000000000001E-3</v>
      </c>
      <c r="H2073" s="917">
        <f>VLOOKUP($A2073,'Tech Litons'!$A:$I,9,FALSE)</f>
        <v>130</v>
      </c>
      <c r="I2073" s="917" t="str">
        <f>VLOOKUP($A2073,'Tech Litons'!$A:$C,3,0)</f>
        <v>PG</v>
      </c>
      <c r="J2073" s="918" t="str">
        <f t="shared" si="211"/>
        <v>2904PG</v>
      </c>
      <c r="K2073" s="919">
        <v>1</v>
      </c>
      <c r="L2073" s="920">
        <f t="shared" si="210"/>
        <v>1008</v>
      </c>
      <c r="M2073" s="920">
        <f t="shared" si="212"/>
        <v>5.3101440000000002</v>
      </c>
      <c r="N2073" s="920">
        <f t="shared" si="213"/>
        <v>7.7538461538461538</v>
      </c>
      <c r="O2073" s="918" t="str">
        <f t="shared" si="214"/>
        <v>Feb</v>
      </c>
      <c r="P2073" s="921">
        <f t="shared" si="215"/>
        <v>6</v>
      </c>
    </row>
    <row r="2074" spans="1:16" ht="15" hidden="1" customHeight="1">
      <c r="A2074" s="839">
        <v>64341106</v>
      </c>
      <c r="B2074" s="839">
        <v>2904</v>
      </c>
      <c r="C2074" s="906">
        <v>1923</v>
      </c>
      <c r="D2074" s="907">
        <v>46056</v>
      </c>
      <c r="E2074" s="839" t="s">
        <v>293</v>
      </c>
      <c r="F2074" s="839" t="s">
        <v>227</v>
      </c>
      <c r="G2074" s="916">
        <f>VLOOKUP($A2074,'Tech Litons'!$A:$I,8,FALSE)</f>
        <v>5.2680000000000001E-3</v>
      </c>
      <c r="H2074" s="917">
        <f>VLOOKUP($A2074,'Tech Litons'!$A:$I,9,FALSE)</f>
        <v>130</v>
      </c>
      <c r="I2074" s="917" t="str">
        <f>VLOOKUP($A2074,'Tech Litons'!$A:$C,3,0)</f>
        <v>PG</v>
      </c>
      <c r="J2074" s="918" t="str">
        <f t="shared" si="211"/>
        <v>2904PG</v>
      </c>
      <c r="K2074" s="919">
        <v>1</v>
      </c>
      <c r="L2074" s="920">
        <f t="shared" si="210"/>
        <v>1923</v>
      </c>
      <c r="M2074" s="920">
        <f t="shared" si="212"/>
        <v>10.130364</v>
      </c>
      <c r="N2074" s="920">
        <f t="shared" si="213"/>
        <v>14.792307692307693</v>
      </c>
      <c r="O2074" s="918" t="str">
        <f t="shared" si="214"/>
        <v>Feb</v>
      </c>
      <c r="P2074" s="921">
        <f t="shared" si="215"/>
        <v>6</v>
      </c>
    </row>
    <row r="2075" spans="1:16" ht="15" hidden="1" customHeight="1">
      <c r="A2075" s="839">
        <v>64341106</v>
      </c>
      <c r="B2075" s="839">
        <v>2904</v>
      </c>
      <c r="C2075" s="906">
        <v>1454</v>
      </c>
      <c r="D2075" s="907">
        <v>46057</v>
      </c>
      <c r="E2075" s="839" t="s">
        <v>293</v>
      </c>
      <c r="F2075" s="839" t="s">
        <v>227</v>
      </c>
      <c r="G2075" s="916">
        <f>VLOOKUP($A2075,'Tech Litons'!$A:$I,8,FALSE)</f>
        <v>5.2680000000000001E-3</v>
      </c>
      <c r="H2075" s="917">
        <f>VLOOKUP($A2075,'Tech Litons'!$A:$I,9,FALSE)</f>
        <v>130</v>
      </c>
      <c r="I2075" s="917" t="str">
        <f>VLOOKUP($A2075,'Tech Litons'!$A:$C,3,0)</f>
        <v>PG</v>
      </c>
      <c r="J2075" s="918" t="str">
        <f t="shared" si="211"/>
        <v>2904PG</v>
      </c>
      <c r="K2075" s="919">
        <v>1</v>
      </c>
      <c r="L2075" s="920">
        <f t="shared" si="210"/>
        <v>1454</v>
      </c>
      <c r="M2075" s="920">
        <f t="shared" si="212"/>
        <v>7.6596720000000005</v>
      </c>
      <c r="N2075" s="920">
        <f t="shared" si="213"/>
        <v>11.184615384615384</v>
      </c>
      <c r="O2075" s="918" t="str">
        <f t="shared" si="214"/>
        <v>Feb</v>
      </c>
      <c r="P2075" s="921">
        <f t="shared" si="215"/>
        <v>6</v>
      </c>
    </row>
    <row r="2076" spans="1:16" ht="15" hidden="1" customHeight="1">
      <c r="A2076" s="839">
        <v>64341106</v>
      </c>
      <c r="B2076" s="839">
        <v>2904</v>
      </c>
      <c r="C2076" s="906">
        <v>781</v>
      </c>
      <c r="D2076" s="907">
        <v>46057</v>
      </c>
      <c r="E2076" s="839" t="s">
        <v>293</v>
      </c>
      <c r="F2076" s="839" t="s">
        <v>227</v>
      </c>
      <c r="G2076" s="916">
        <f>VLOOKUP($A2076,'Tech Litons'!$A:$I,8,FALSE)</f>
        <v>5.2680000000000001E-3</v>
      </c>
      <c r="H2076" s="917">
        <f>VLOOKUP($A2076,'Tech Litons'!$A:$I,9,FALSE)</f>
        <v>130</v>
      </c>
      <c r="I2076" s="917" t="str">
        <f>VLOOKUP($A2076,'Tech Litons'!$A:$C,3,0)</f>
        <v>PG</v>
      </c>
      <c r="J2076" s="918" t="str">
        <f t="shared" si="211"/>
        <v>2904PG</v>
      </c>
      <c r="K2076" s="919">
        <v>1</v>
      </c>
      <c r="L2076" s="920">
        <f t="shared" si="210"/>
        <v>781</v>
      </c>
      <c r="M2076" s="920">
        <f t="shared" si="212"/>
        <v>4.1143080000000003</v>
      </c>
      <c r="N2076" s="920">
        <f t="shared" si="213"/>
        <v>6.0076923076923077</v>
      </c>
      <c r="O2076" s="918" t="str">
        <f t="shared" si="214"/>
        <v>Feb</v>
      </c>
      <c r="P2076" s="921">
        <f t="shared" si="215"/>
        <v>6</v>
      </c>
    </row>
    <row r="2077" spans="1:16" ht="15" hidden="1" customHeight="1">
      <c r="A2077" s="839">
        <v>64341106</v>
      </c>
      <c r="B2077" s="839">
        <v>2904</v>
      </c>
      <c r="C2077" s="906">
        <v>1406</v>
      </c>
      <c r="D2077" s="907">
        <v>46058</v>
      </c>
      <c r="E2077" s="839" t="s">
        <v>293</v>
      </c>
      <c r="F2077" s="839" t="s">
        <v>227</v>
      </c>
      <c r="G2077" s="916">
        <f>VLOOKUP($A2077,'Tech Litons'!$A:$I,8,FALSE)</f>
        <v>5.2680000000000001E-3</v>
      </c>
      <c r="H2077" s="917">
        <f>VLOOKUP($A2077,'Tech Litons'!$A:$I,9,FALSE)</f>
        <v>130</v>
      </c>
      <c r="I2077" s="917" t="str">
        <f>VLOOKUP($A2077,'Tech Litons'!$A:$C,3,0)</f>
        <v>PG</v>
      </c>
      <c r="J2077" s="918" t="str">
        <f t="shared" si="211"/>
        <v>2904PG</v>
      </c>
      <c r="K2077" s="919">
        <v>1</v>
      </c>
      <c r="L2077" s="920">
        <f t="shared" si="210"/>
        <v>1406</v>
      </c>
      <c r="M2077" s="920">
        <f t="shared" si="212"/>
        <v>7.4068079999999998</v>
      </c>
      <c r="N2077" s="920">
        <f t="shared" si="213"/>
        <v>10.815384615384616</v>
      </c>
      <c r="O2077" s="918" t="str">
        <f t="shared" si="214"/>
        <v>Feb</v>
      </c>
      <c r="P2077" s="921">
        <f t="shared" si="215"/>
        <v>6</v>
      </c>
    </row>
    <row r="2078" spans="1:16" ht="15" hidden="1" customHeight="1">
      <c r="A2078" s="839">
        <v>64341106</v>
      </c>
      <c r="B2078" s="839">
        <v>2904</v>
      </c>
      <c r="C2078" s="906">
        <v>2340</v>
      </c>
      <c r="D2078" s="907">
        <v>46058</v>
      </c>
      <c r="E2078" s="839" t="s">
        <v>293</v>
      </c>
      <c r="F2078" s="839" t="s">
        <v>227</v>
      </c>
      <c r="G2078" s="916">
        <f>VLOOKUP($A2078,'Tech Litons'!$A:$I,8,FALSE)</f>
        <v>5.2680000000000001E-3</v>
      </c>
      <c r="H2078" s="917">
        <f>VLOOKUP($A2078,'Tech Litons'!$A:$I,9,FALSE)</f>
        <v>130</v>
      </c>
      <c r="I2078" s="917" t="str">
        <f>VLOOKUP($A2078,'Tech Litons'!$A:$C,3,0)</f>
        <v>PG</v>
      </c>
      <c r="J2078" s="918" t="str">
        <f t="shared" si="211"/>
        <v>2904PG</v>
      </c>
      <c r="K2078" s="919">
        <v>1</v>
      </c>
      <c r="L2078" s="920">
        <f t="shared" si="210"/>
        <v>2340</v>
      </c>
      <c r="M2078" s="920">
        <f t="shared" si="212"/>
        <v>12.327120000000001</v>
      </c>
      <c r="N2078" s="920">
        <f t="shared" si="213"/>
        <v>18</v>
      </c>
      <c r="O2078" s="918" t="str">
        <f t="shared" si="214"/>
        <v>Feb</v>
      </c>
      <c r="P2078" s="921">
        <f t="shared" si="215"/>
        <v>6</v>
      </c>
    </row>
    <row r="2079" spans="1:16" ht="15" hidden="1" customHeight="1">
      <c r="A2079" s="839">
        <v>64341106</v>
      </c>
      <c r="B2079" s="839">
        <v>2904</v>
      </c>
      <c r="C2079" s="906">
        <v>2340</v>
      </c>
      <c r="D2079" s="907">
        <v>46059</v>
      </c>
      <c r="E2079" s="839" t="s">
        <v>293</v>
      </c>
      <c r="F2079" s="839" t="s">
        <v>227</v>
      </c>
      <c r="G2079" s="916">
        <f>VLOOKUP($A2079,'Tech Litons'!$A:$I,8,FALSE)</f>
        <v>5.2680000000000001E-3</v>
      </c>
      <c r="H2079" s="917">
        <f>VLOOKUP($A2079,'Tech Litons'!$A:$I,9,FALSE)</f>
        <v>130</v>
      </c>
      <c r="I2079" s="917" t="str">
        <f>VLOOKUP($A2079,'Tech Litons'!$A:$C,3,0)</f>
        <v>PG</v>
      </c>
      <c r="J2079" s="918" t="str">
        <f t="shared" si="211"/>
        <v>2904PG</v>
      </c>
      <c r="K2079" s="919">
        <v>1</v>
      </c>
      <c r="L2079" s="920">
        <f t="shared" si="210"/>
        <v>2340</v>
      </c>
      <c r="M2079" s="920">
        <f t="shared" si="212"/>
        <v>12.327120000000001</v>
      </c>
      <c r="N2079" s="920">
        <f t="shared" si="213"/>
        <v>18</v>
      </c>
      <c r="O2079" s="918" t="str">
        <f t="shared" si="214"/>
        <v>Feb</v>
      </c>
      <c r="P2079" s="921">
        <f t="shared" si="215"/>
        <v>6</v>
      </c>
    </row>
    <row r="2080" spans="1:16" ht="15" hidden="1" customHeight="1">
      <c r="A2080" s="839">
        <v>64341106</v>
      </c>
      <c r="B2080" s="839">
        <v>2904</v>
      </c>
      <c r="C2080" s="906">
        <v>1735</v>
      </c>
      <c r="D2080" s="907">
        <v>46059</v>
      </c>
      <c r="E2080" s="839" t="s">
        <v>293</v>
      </c>
      <c r="F2080" s="839" t="s">
        <v>227</v>
      </c>
      <c r="G2080" s="916">
        <f>VLOOKUP($A2080,'Tech Litons'!$A:$I,8,FALSE)</f>
        <v>5.2680000000000001E-3</v>
      </c>
      <c r="H2080" s="917">
        <f>VLOOKUP($A2080,'Tech Litons'!$A:$I,9,FALSE)</f>
        <v>130</v>
      </c>
      <c r="I2080" s="917" t="str">
        <f>VLOOKUP($A2080,'Tech Litons'!$A:$C,3,0)</f>
        <v>PG</v>
      </c>
      <c r="J2080" s="918" t="str">
        <f t="shared" si="211"/>
        <v>2904PG</v>
      </c>
      <c r="K2080" s="919">
        <v>1</v>
      </c>
      <c r="L2080" s="920">
        <f t="shared" si="210"/>
        <v>1735</v>
      </c>
      <c r="M2080" s="920">
        <f t="shared" si="212"/>
        <v>9.1399799999999995</v>
      </c>
      <c r="N2080" s="920">
        <f t="shared" si="213"/>
        <v>13.346153846153847</v>
      </c>
      <c r="O2080" s="918" t="str">
        <f t="shared" si="214"/>
        <v>Feb</v>
      </c>
      <c r="P2080" s="921">
        <f t="shared" si="215"/>
        <v>6</v>
      </c>
    </row>
    <row r="2081" spans="1:16" ht="15" hidden="1" customHeight="1">
      <c r="A2081" s="839">
        <v>64341106</v>
      </c>
      <c r="B2081" s="839">
        <v>2904</v>
      </c>
      <c r="C2081" s="906">
        <v>2301</v>
      </c>
      <c r="D2081" s="907">
        <v>46060</v>
      </c>
      <c r="E2081" s="839" t="s">
        <v>293</v>
      </c>
      <c r="F2081" s="839" t="s">
        <v>227</v>
      </c>
      <c r="G2081" s="916">
        <f>VLOOKUP($A2081,'Tech Litons'!$A:$I,8,FALSE)</f>
        <v>5.2680000000000001E-3</v>
      </c>
      <c r="H2081" s="917">
        <f>VLOOKUP($A2081,'Tech Litons'!$A:$I,9,FALSE)</f>
        <v>130</v>
      </c>
      <c r="I2081" s="917" t="str">
        <f>VLOOKUP($A2081,'Tech Litons'!$A:$C,3,0)</f>
        <v>PG</v>
      </c>
      <c r="J2081" s="918" t="str">
        <f t="shared" si="211"/>
        <v>2904PG</v>
      </c>
      <c r="K2081" s="919">
        <v>1</v>
      </c>
      <c r="L2081" s="920">
        <f t="shared" si="210"/>
        <v>2301</v>
      </c>
      <c r="M2081" s="920">
        <f t="shared" si="212"/>
        <v>12.121668</v>
      </c>
      <c r="N2081" s="920">
        <f t="shared" si="213"/>
        <v>17.7</v>
      </c>
      <c r="O2081" s="918" t="str">
        <f t="shared" si="214"/>
        <v>Feb</v>
      </c>
      <c r="P2081" s="921">
        <f t="shared" si="215"/>
        <v>6</v>
      </c>
    </row>
    <row r="2082" spans="1:16" ht="15" hidden="1" customHeight="1">
      <c r="A2082" s="839">
        <v>64341106</v>
      </c>
      <c r="B2082" s="839">
        <v>2904</v>
      </c>
      <c r="C2082" s="906">
        <v>520</v>
      </c>
      <c r="D2082" s="907">
        <v>46062</v>
      </c>
      <c r="E2082" s="839" t="s">
        <v>293</v>
      </c>
      <c r="F2082" s="839" t="s">
        <v>227</v>
      </c>
      <c r="G2082" s="916">
        <f>VLOOKUP($A2082,'Tech Litons'!$A:$I,8,FALSE)</f>
        <v>5.2680000000000001E-3</v>
      </c>
      <c r="H2082" s="917">
        <f>VLOOKUP($A2082,'Tech Litons'!$A:$I,9,FALSE)</f>
        <v>130</v>
      </c>
      <c r="I2082" s="917" t="str">
        <f>VLOOKUP($A2082,'Tech Litons'!$A:$C,3,0)</f>
        <v>PG</v>
      </c>
      <c r="J2082" s="918" t="str">
        <f t="shared" si="211"/>
        <v>2904PG</v>
      </c>
      <c r="K2082" s="919">
        <v>1</v>
      </c>
      <c r="L2082" s="920">
        <f t="shared" si="210"/>
        <v>520</v>
      </c>
      <c r="M2082" s="920">
        <f t="shared" si="212"/>
        <v>2.73936</v>
      </c>
      <c r="N2082" s="920">
        <f t="shared" si="213"/>
        <v>4</v>
      </c>
      <c r="O2082" s="918" t="str">
        <f t="shared" si="214"/>
        <v>Feb</v>
      </c>
      <c r="P2082" s="921">
        <f t="shared" si="215"/>
        <v>7</v>
      </c>
    </row>
    <row r="2083" spans="1:16" ht="15" hidden="1" customHeight="1">
      <c r="A2083" s="839">
        <v>64341106</v>
      </c>
      <c r="B2083" s="839">
        <v>2904</v>
      </c>
      <c r="C2083" s="906">
        <v>2161</v>
      </c>
      <c r="D2083" s="907">
        <v>46060</v>
      </c>
      <c r="E2083" s="839" t="s">
        <v>293</v>
      </c>
      <c r="F2083" s="839" t="s">
        <v>227</v>
      </c>
      <c r="G2083" s="916">
        <f>VLOOKUP($A2083,'Tech Litons'!$A:$I,8,FALSE)</f>
        <v>5.2680000000000001E-3</v>
      </c>
      <c r="H2083" s="917">
        <f>VLOOKUP($A2083,'Tech Litons'!$A:$I,9,FALSE)</f>
        <v>130</v>
      </c>
      <c r="I2083" s="917" t="str">
        <f>VLOOKUP($A2083,'Tech Litons'!$A:$C,3,0)</f>
        <v>PG</v>
      </c>
      <c r="J2083" s="918" t="str">
        <f t="shared" si="211"/>
        <v>2904PG</v>
      </c>
      <c r="K2083" s="919">
        <v>1</v>
      </c>
      <c r="L2083" s="920">
        <f t="shared" si="210"/>
        <v>2161</v>
      </c>
      <c r="M2083" s="920">
        <f t="shared" si="212"/>
        <v>11.384148</v>
      </c>
      <c r="N2083" s="920">
        <f t="shared" si="213"/>
        <v>16.623076923076923</v>
      </c>
      <c r="O2083" s="918" t="str">
        <f t="shared" si="214"/>
        <v>Feb</v>
      </c>
      <c r="P2083" s="921">
        <f t="shared" si="215"/>
        <v>6</v>
      </c>
    </row>
    <row r="2084" spans="1:16" ht="15" hidden="1" customHeight="1">
      <c r="A2084" s="839">
        <v>64341106</v>
      </c>
      <c r="B2084" s="839">
        <v>2904</v>
      </c>
      <c r="C2084" s="906">
        <v>1399</v>
      </c>
      <c r="D2084" s="907">
        <v>46061</v>
      </c>
      <c r="E2084" s="839" t="s">
        <v>293</v>
      </c>
      <c r="F2084" s="839" t="s">
        <v>227</v>
      </c>
      <c r="G2084" s="916">
        <f>VLOOKUP($A2084,'Tech Litons'!$A:$I,8,FALSE)</f>
        <v>5.2680000000000001E-3</v>
      </c>
      <c r="H2084" s="917">
        <f>VLOOKUP($A2084,'Tech Litons'!$A:$I,9,FALSE)</f>
        <v>130</v>
      </c>
      <c r="I2084" s="917" t="str">
        <f>VLOOKUP($A2084,'Tech Litons'!$A:$C,3,0)</f>
        <v>PG</v>
      </c>
      <c r="J2084" s="918" t="str">
        <f t="shared" si="211"/>
        <v>2904PG</v>
      </c>
      <c r="K2084" s="919">
        <v>1</v>
      </c>
      <c r="L2084" s="920">
        <f t="shared" si="210"/>
        <v>1399</v>
      </c>
      <c r="M2084" s="920">
        <f t="shared" si="212"/>
        <v>7.3699320000000004</v>
      </c>
      <c r="N2084" s="920">
        <f t="shared" si="213"/>
        <v>10.761538461538462</v>
      </c>
      <c r="O2084" s="918" t="str">
        <f t="shared" si="214"/>
        <v>Feb</v>
      </c>
      <c r="P2084" s="921">
        <f t="shared" si="215"/>
        <v>7</v>
      </c>
    </row>
    <row r="2085" spans="1:16" ht="15" hidden="1" customHeight="1">
      <c r="A2085" s="839">
        <v>64341106</v>
      </c>
      <c r="B2085" s="839">
        <v>2904</v>
      </c>
      <c r="C2085" s="906">
        <v>89</v>
      </c>
      <c r="D2085" s="907">
        <v>46062</v>
      </c>
      <c r="E2085" s="839" t="s">
        <v>293</v>
      </c>
      <c r="F2085" s="839" t="s">
        <v>227</v>
      </c>
      <c r="G2085" s="916">
        <f>VLOOKUP($A2085,'Tech Litons'!$A:$I,8,FALSE)</f>
        <v>5.2680000000000001E-3</v>
      </c>
      <c r="H2085" s="917">
        <f>VLOOKUP($A2085,'Tech Litons'!$A:$I,9,FALSE)</f>
        <v>130</v>
      </c>
      <c r="I2085" s="917" t="str">
        <f>VLOOKUP($A2085,'Tech Litons'!$A:$C,3,0)</f>
        <v>PG</v>
      </c>
      <c r="J2085" s="918" t="str">
        <f t="shared" si="211"/>
        <v>2904PG</v>
      </c>
      <c r="K2085" s="919">
        <v>1</v>
      </c>
      <c r="L2085" s="920">
        <f t="shared" si="210"/>
        <v>89</v>
      </c>
      <c r="M2085" s="920">
        <f t="shared" si="212"/>
        <v>0.46885199999999999</v>
      </c>
      <c r="N2085" s="920">
        <f t="shared" si="213"/>
        <v>0.68461538461538463</v>
      </c>
      <c r="O2085" s="918" t="str">
        <f t="shared" si="214"/>
        <v>Feb</v>
      </c>
      <c r="P2085" s="921">
        <f t="shared" si="215"/>
        <v>7</v>
      </c>
    </row>
    <row r="2086" spans="1:16" ht="15" hidden="1" customHeight="1">
      <c r="A2086" s="839">
        <v>64341106</v>
      </c>
      <c r="B2086" s="839">
        <v>2904</v>
      </c>
      <c r="C2086" s="906">
        <v>2108</v>
      </c>
      <c r="D2086" s="907">
        <v>46061</v>
      </c>
      <c r="E2086" s="839" t="s">
        <v>293</v>
      </c>
      <c r="F2086" s="839" t="s">
        <v>227</v>
      </c>
      <c r="G2086" s="916">
        <f>VLOOKUP($A2086,'Tech Litons'!$A:$I,8,FALSE)</f>
        <v>5.2680000000000001E-3</v>
      </c>
      <c r="H2086" s="917">
        <f>VLOOKUP($A2086,'Tech Litons'!$A:$I,9,FALSE)</f>
        <v>130</v>
      </c>
      <c r="I2086" s="917" t="str">
        <f>VLOOKUP($A2086,'Tech Litons'!$A:$C,3,0)</f>
        <v>PG</v>
      </c>
      <c r="J2086" s="918" t="str">
        <f t="shared" si="211"/>
        <v>2904PG</v>
      </c>
      <c r="K2086" s="919">
        <v>1</v>
      </c>
      <c r="L2086" s="920">
        <f t="shared" si="210"/>
        <v>2108</v>
      </c>
      <c r="M2086" s="920">
        <f t="shared" si="212"/>
        <v>11.104944</v>
      </c>
      <c r="N2086" s="920">
        <f t="shared" si="213"/>
        <v>16.215384615384615</v>
      </c>
      <c r="O2086" s="918" t="str">
        <f t="shared" si="214"/>
        <v>Feb</v>
      </c>
      <c r="P2086" s="921">
        <f t="shared" si="215"/>
        <v>7</v>
      </c>
    </row>
    <row r="2087" spans="1:16" ht="15" hidden="1" customHeight="1">
      <c r="A2087" s="839">
        <v>64341106</v>
      </c>
      <c r="B2087" s="839">
        <v>2904</v>
      </c>
      <c r="C2087" s="906">
        <v>1950</v>
      </c>
      <c r="D2087" s="907">
        <v>46062</v>
      </c>
      <c r="E2087" s="839" t="s">
        <v>293</v>
      </c>
      <c r="F2087" s="839" t="s">
        <v>227</v>
      </c>
      <c r="G2087" s="916">
        <f>VLOOKUP($A2087,'Tech Litons'!$A:$I,8,FALSE)</f>
        <v>5.2680000000000001E-3</v>
      </c>
      <c r="H2087" s="917">
        <f>VLOOKUP($A2087,'Tech Litons'!$A:$I,9,FALSE)</f>
        <v>130</v>
      </c>
      <c r="I2087" s="917" t="str">
        <f>VLOOKUP($A2087,'Tech Litons'!$A:$C,3,0)</f>
        <v>PG</v>
      </c>
      <c r="J2087" s="918" t="str">
        <f t="shared" si="211"/>
        <v>2904PG</v>
      </c>
      <c r="K2087" s="919">
        <v>1</v>
      </c>
      <c r="L2087" s="920">
        <f t="shared" si="210"/>
        <v>1950</v>
      </c>
      <c r="M2087" s="920">
        <f t="shared" si="212"/>
        <v>10.272600000000001</v>
      </c>
      <c r="N2087" s="920">
        <f t="shared" si="213"/>
        <v>15</v>
      </c>
      <c r="O2087" s="918" t="str">
        <f t="shared" si="214"/>
        <v>Feb</v>
      </c>
      <c r="P2087" s="921">
        <f t="shared" si="215"/>
        <v>7</v>
      </c>
    </row>
    <row r="2088" spans="1:16" ht="15" hidden="1" customHeight="1">
      <c r="A2088" s="839">
        <v>64341106</v>
      </c>
      <c r="B2088" s="839">
        <v>2904</v>
      </c>
      <c r="C2088" s="906">
        <v>1820</v>
      </c>
      <c r="D2088" s="907">
        <v>46062</v>
      </c>
      <c r="E2088" s="839" t="s">
        <v>293</v>
      </c>
      <c r="F2088" s="839" t="s">
        <v>227</v>
      </c>
      <c r="G2088" s="916">
        <f>VLOOKUP($A2088,'Tech Litons'!$A:$I,8,FALSE)</f>
        <v>5.2680000000000001E-3</v>
      </c>
      <c r="H2088" s="917">
        <f>VLOOKUP($A2088,'Tech Litons'!$A:$I,9,FALSE)</f>
        <v>130</v>
      </c>
      <c r="I2088" s="917" t="str">
        <f>VLOOKUP($A2088,'Tech Litons'!$A:$C,3,0)</f>
        <v>PG</v>
      </c>
      <c r="J2088" s="918" t="str">
        <f t="shared" si="211"/>
        <v>2904PG</v>
      </c>
      <c r="K2088" s="919">
        <v>1</v>
      </c>
      <c r="L2088" s="920">
        <f t="shared" si="210"/>
        <v>1820</v>
      </c>
      <c r="M2088" s="920">
        <f t="shared" si="212"/>
        <v>9.5877599999999994</v>
      </c>
      <c r="N2088" s="920">
        <f t="shared" si="213"/>
        <v>14</v>
      </c>
      <c r="O2088" s="918" t="str">
        <f t="shared" si="214"/>
        <v>Feb</v>
      </c>
      <c r="P2088" s="921">
        <f t="shared" si="215"/>
        <v>7</v>
      </c>
    </row>
    <row r="2089" spans="1:16" ht="15" hidden="1" customHeight="1">
      <c r="A2089" s="839">
        <v>64341106</v>
      </c>
      <c r="B2089" s="839">
        <v>2904</v>
      </c>
      <c r="C2089" s="906">
        <v>1560</v>
      </c>
      <c r="D2089" s="907">
        <v>46063</v>
      </c>
      <c r="E2089" s="839" t="s">
        <v>293</v>
      </c>
      <c r="F2089" s="839" t="s">
        <v>227</v>
      </c>
      <c r="G2089" s="916">
        <f>VLOOKUP($A2089,'Tech Litons'!$A:$I,8,FALSE)</f>
        <v>5.2680000000000001E-3</v>
      </c>
      <c r="H2089" s="917">
        <f>VLOOKUP($A2089,'Tech Litons'!$A:$I,9,FALSE)</f>
        <v>130</v>
      </c>
      <c r="I2089" s="917" t="str">
        <f>VLOOKUP($A2089,'Tech Litons'!$A:$C,3,0)</f>
        <v>PG</v>
      </c>
      <c r="J2089" s="918" t="str">
        <f t="shared" si="211"/>
        <v>2904PG</v>
      </c>
      <c r="K2089" s="919">
        <v>1</v>
      </c>
      <c r="L2089" s="920">
        <f t="shared" si="210"/>
        <v>1560</v>
      </c>
      <c r="M2089" s="920">
        <f t="shared" si="212"/>
        <v>8.2180800000000005</v>
      </c>
      <c r="N2089" s="920">
        <f t="shared" si="213"/>
        <v>12</v>
      </c>
      <c r="O2089" s="918" t="str">
        <f t="shared" si="214"/>
        <v>Feb</v>
      </c>
      <c r="P2089" s="921">
        <f t="shared" si="215"/>
        <v>7</v>
      </c>
    </row>
    <row r="2090" spans="1:16" ht="15" hidden="1" customHeight="1">
      <c r="A2090" s="839">
        <v>64341106</v>
      </c>
      <c r="B2090" s="839">
        <v>2904</v>
      </c>
      <c r="C2090" s="906">
        <v>71</v>
      </c>
      <c r="D2090" s="907">
        <v>46063</v>
      </c>
      <c r="E2090" s="839" t="s">
        <v>293</v>
      </c>
      <c r="F2090" s="839" t="s">
        <v>227</v>
      </c>
      <c r="G2090" s="916">
        <f>VLOOKUP($A2090,'Tech Litons'!$A:$I,8,FALSE)</f>
        <v>5.2680000000000001E-3</v>
      </c>
      <c r="H2090" s="917">
        <f>VLOOKUP($A2090,'Tech Litons'!$A:$I,9,FALSE)</f>
        <v>130</v>
      </c>
      <c r="I2090" s="917" t="str">
        <f>VLOOKUP($A2090,'Tech Litons'!$A:$C,3,0)</f>
        <v>PG</v>
      </c>
      <c r="J2090" s="918" t="str">
        <f t="shared" si="211"/>
        <v>2904PG</v>
      </c>
      <c r="K2090" s="919">
        <v>1</v>
      </c>
      <c r="L2090" s="920">
        <f t="shared" si="210"/>
        <v>71</v>
      </c>
      <c r="M2090" s="920">
        <f t="shared" si="212"/>
        <v>0.37402800000000003</v>
      </c>
      <c r="N2090" s="920">
        <f t="shared" si="213"/>
        <v>0.5461538461538461</v>
      </c>
      <c r="O2090" s="918" t="str">
        <f t="shared" si="214"/>
        <v>Feb</v>
      </c>
      <c r="P2090" s="921">
        <f t="shared" si="215"/>
        <v>7</v>
      </c>
    </row>
    <row r="2091" spans="1:16" ht="15" hidden="1" customHeight="1">
      <c r="A2091" s="839">
        <v>64341106</v>
      </c>
      <c r="B2091" s="839">
        <v>2904</v>
      </c>
      <c r="C2091" s="906">
        <v>1300</v>
      </c>
      <c r="D2091" s="907">
        <v>46064</v>
      </c>
      <c r="E2091" s="839" t="s">
        <v>293</v>
      </c>
      <c r="F2091" s="839" t="s">
        <v>227</v>
      </c>
      <c r="G2091" s="916">
        <f>VLOOKUP($A2091,'Tech Litons'!$A:$I,8,FALSE)</f>
        <v>5.2680000000000001E-3</v>
      </c>
      <c r="H2091" s="917">
        <f>VLOOKUP($A2091,'Tech Litons'!$A:$I,9,FALSE)</f>
        <v>130</v>
      </c>
      <c r="I2091" s="917" t="str">
        <f>VLOOKUP($A2091,'Tech Litons'!$A:$C,3,0)</f>
        <v>PG</v>
      </c>
      <c r="J2091" s="918" t="str">
        <f t="shared" si="211"/>
        <v>2904PG</v>
      </c>
      <c r="K2091" s="919">
        <v>1</v>
      </c>
      <c r="L2091" s="920">
        <f t="shared" si="210"/>
        <v>1300</v>
      </c>
      <c r="M2091" s="920">
        <f t="shared" si="212"/>
        <v>6.8483999999999998</v>
      </c>
      <c r="N2091" s="920">
        <f t="shared" si="213"/>
        <v>10</v>
      </c>
      <c r="O2091" s="918" t="str">
        <f t="shared" si="214"/>
        <v>Feb</v>
      </c>
      <c r="P2091" s="921">
        <f t="shared" si="215"/>
        <v>7</v>
      </c>
    </row>
    <row r="2092" spans="1:16" ht="15" hidden="1" customHeight="1">
      <c r="A2092" s="839">
        <v>64341106</v>
      </c>
      <c r="B2092" s="839">
        <v>2904</v>
      </c>
      <c r="C2092" s="906">
        <v>1820</v>
      </c>
      <c r="D2092" s="907">
        <v>46064</v>
      </c>
      <c r="E2092" s="839" t="s">
        <v>293</v>
      </c>
      <c r="F2092" s="839" t="s">
        <v>227</v>
      </c>
      <c r="G2092" s="916">
        <f>VLOOKUP($A2092,'Tech Litons'!$A:$I,8,FALSE)</f>
        <v>5.2680000000000001E-3</v>
      </c>
      <c r="H2092" s="917">
        <f>VLOOKUP($A2092,'Tech Litons'!$A:$I,9,FALSE)</f>
        <v>130</v>
      </c>
      <c r="I2092" s="917" t="str">
        <f>VLOOKUP($A2092,'Tech Litons'!$A:$C,3,0)</f>
        <v>PG</v>
      </c>
      <c r="J2092" s="918" t="str">
        <f t="shared" si="211"/>
        <v>2904PG</v>
      </c>
      <c r="K2092" s="919">
        <v>1</v>
      </c>
      <c r="L2092" s="920">
        <f t="shared" si="210"/>
        <v>1820</v>
      </c>
      <c r="M2092" s="920">
        <f t="shared" si="212"/>
        <v>9.5877599999999994</v>
      </c>
      <c r="N2092" s="920">
        <f t="shared" si="213"/>
        <v>14</v>
      </c>
      <c r="O2092" s="918" t="str">
        <f t="shared" si="214"/>
        <v>Feb</v>
      </c>
      <c r="P2092" s="921">
        <f t="shared" si="215"/>
        <v>7</v>
      </c>
    </row>
    <row r="2093" spans="1:16" ht="15" hidden="1" customHeight="1">
      <c r="A2093" s="839">
        <v>64341106</v>
      </c>
      <c r="B2093" s="839">
        <v>2904</v>
      </c>
      <c r="C2093" s="906">
        <v>2197</v>
      </c>
      <c r="D2093" s="907">
        <v>46065</v>
      </c>
      <c r="E2093" s="839" t="s">
        <v>293</v>
      </c>
      <c r="F2093" s="839" t="s">
        <v>227</v>
      </c>
      <c r="G2093" s="916">
        <f>VLOOKUP($A2093,'Tech Litons'!$A:$I,8,FALSE)</f>
        <v>5.2680000000000001E-3</v>
      </c>
      <c r="H2093" s="917">
        <f>VLOOKUP($A2093,'Tech Litons'!$A:$I,9,FALSE)</f>
        <v>130</v>
      </c>
      <c r="I2093" s="917" t="str">
        <f>VLOOKUP($A2093,'Tech Litons'!$A:$C,3,0)</f>
        <v>PG</v>
      </c>
      <c r="J2093" s="918" t="str">
        <f t="shared" si="211"/>
        <v>2904PG</v>
      </c>
      <c r="K2093" s="919">
        <v>1</v>
      </c>
      <c r="L2093" s="920">
        <f t="shared" si="210"/>
        <v>2197</v>
      </c>
      <c r="M2093" s="920">
        <f t="shared" si="212"/>
        <v>11.573796</v>
      </c>
      <c r="N2093" s="920">
        <f t="shared" si="213"/>
        <v>16.899999999999999</v>
      </c>
      <c r="O2093" s="918" t="str">
        <f t="shared" si="214"/>
        <v>Feb</v>
      </c>
      <c r="P2093" s="921">
        <f t="shared" si="215"/>
        <v>7</v>
      </c>
    </row>
    <row r="2094" spans="1:16" ht="15" hidden="1" customHeight="1">
      <c r="A2094" s="839">
        <v>64341106</v>
      </c>
      <c r="B2094" s="839">
        <v>2904</v>
      </c>
      <c r="C2094" s="906">
        <v>2537</v>
      </c>
      <c r="D2094" s="907">
        <v>46065</v>
      </c>
      <c r="E2094" s="839" t="s">
        <v>293</v>
      </c>
      <c r="F2094" s="839" t="s">
        <v>227</v>
      </c>
      <c r="G2094" s="916">
        <f>VLOOKUP($A2094,'Tech Litons'!$A:$I,8,FALSE)</f>
        <v>5.2680000000000001E-3</v>
      </c>
      <c r="H2094" s="917">
        <f>VLOOKUP($A2094,'Tech Litons'!$A:$I,9,FALSE)</f>
        <v>130</v>
      </c>
      <c r="I2094" s="917" t="str">
        <f>VLOOKUP($A2094,'Tech Litons'!$A:$C,3,0)</f>
        <v>PG</v>
      </c>
      <c r="J2094" s="918" t="str">
        <f t="shared" si="211"/>
        <v>2904PG</v>
      </c>
      <c r="K2094" s="919">
        <v>1</v>
      </c>
      <c r="L2094" s="920">
        <f t="shared" si="210"/>
        <v>2537</v>
      </c>
      <c r="M2094" s="920">
        <f t="shared" si="212"/>
        <v>13.364916000000001</v>
      </c>
      <c r="N2094" s="920">
        <f t="shared" si="213"/>
        <v>19.515384615384615</v>
      </c>
      <c r="O2094" s="918" t="str">
        <f t="shared" si="214"/>
        <v>Feb</v>
      </c>
      <c r="P2094" s="921">
        <f t="shared" si="215"/>
        <v>7</v>
      </c>
    </row>
    <row r="2095" spans="1:16" ht="15" hidden="1" customHeight="1">
      <c r="A2095" s="839">
        <v>64341106</v>
      </c>
      <c r="B2095" s="839">
        <v>2904</v>
      </c>
      <c r="C2095" s="906">
        <v>1404</v>
      </c>
      <c r="D2095" s="907">
        <v>46066</v>
      </c>
      <c r="E2095" s="839" t="s">
        <v>293</v>
      </c>
      <c r="F2095" s="839" t="s">
        <v>227</v>
      </c>
      <c r="G2095" s="916">
        <f>VLOOKUP($A2095,'Tech Litons'!$A:$I,8,FALSE)</f>
        <v>5.2680000000000001E-3</v>
      </c>
      <c r="H2095" s="917">
        <f>VLOOKUP($A2095,'Tech Litons'!$A:$I,9,FALSE)</f>
        <v>130</v>
      </c>
      <c r="I2095" s="917" t="str">
        <f>VLOOKUP($A2095,'Tech Litons'!$A:$C,3,0)</f>
        <v>PG</v>
      </c>
      <c r="J2095" s="918" t="str">
        <f t="shared" si="211"/>
        <v>2904PG</v>
      </c>
      <c r="K2095" s="919">
        <v>1</v>
      </c>
      <c r="L2095" s="920">
        <f t="shared" si="210"/>
        <v>1404</v>
      </c>
      <c r="M2095" s="920">
        <f t="shared" si="212"/>
        <v>7.3962719999999997</v>
      </c>
      <c r="N2095" s="920">
        <f t="shared" si="213"/>
        <v>10.8</v>
      </c>
      <c r="O2095" s="918" t="str">
        <f t="shared" si="214"/>
        <v>Feb</v>
      </c>
      <c r="P2095" s="921">
        <f t="shared" si="215"/>
        <v>7</v>
      </c>
    </row>
    <row r="2096" spans="1:16" ht="15" hidden="1" customHeight="1">
      <c r="A2096" s="839">
        <v>64341106</v>
      </c>
      <c r="B2096" s="839">
        <v>2904</v>
      </c>
      <c r="C2096" s="906">
        <v>520</v>
      </c>
      <c r="D2096" s="907">
        <v>46066</v>
      </c>
      <c r="E2096" s="839" t="s">
        <v>293</v>
      </c>
      <c r="F2096" s="839" t="s">
        <v>227</v>
      </c>
      <c r="G2096" s="916">
        <f>VLOOKUP($A2096,'Tech Litons'!$A:$I,8,FALSE)</f>
        <v>5.2680000000000001E-3</v>
      </c>
      <c r="H2096" s="917">
        <f>VLOOKUP($A2096,'Tech Litons'!$A:$I,9,FALSE)</f>
        <v>130</v>
      </c>
      <c r="I2096" s="917" t="str">
        <f>VLOOKUP($A2096,'Tech Litons'!$A:$C,3,0)</f>
        <v>PG</v>
      </c>
      <c r="J2096" s="918" t="str">
        <f t="shared" si="211"/>
        <v>2904PG</v>
      </c>
      <c r="K2096" s="919">
        <v>1</v>
      </c>
      <c r="L2096" s="920">
        <f t="shared" si="210"/>
        <v>520</v>
      </c>
      <c r="M2096" s="920">
        <f t="shared" si="212"/>
        <v>2.73936</v>
      </c>
      <c r="N2096" s="920">
        <f t="shared" si="213"/>
        <v>4</v>
      </c>
      <c r="O2096" s="918" t="str">
        <f t="shared" si="214"/>
        <v>Feb</v>
      </c>
      <c r="P2096" s="921">
        <f t="shared" si="215"/>
        <v>7</v>
      </c>
    </row>
    <row r="2097" spans="1:16" ht="15" hidden="1" customHeight="1">
      <c r="A2097" s="839">
        <v>64341106</v>
      </c>
      <c r="B2097" s="839">
        <v>2904</v>
      </c>
      <c r="C2097" s="906">
        <v>2219</v>
      </c>
      <c r="D2097" s="907">
        <v>46067</v>
      </c>
      <c r="E2097" s="839" t="s">
        <v>293</v>
      </c>
      <c r="F2097" s="839" t="s">
        <v>227</v>
      </c>
      <c r="G2097" s="916">
        <f>VLOOKUP($A2097,'Tech Litons'!$A:$I,8,FALSE)</f>
        <v>5.2680000000000001E-3</v>
      </c>
      <c r="H2097" s="917">
        <f>VLOOKUP($A2097,'Tech Litons'!$A:$I,9,FALSE)</f>
        <v>130</v>
      </c>
      <c r="I2097" s="917" t="str">
        <f>VLOOKUP($A2097,'Tech Litons'!$A:$C,3,0)</f>
        <v>PG</v>
      </c>
      <c r="J2097" s="918" t="str">
        <f t="shared" si="211"/>
        <v>2904PG</v>
      </c>
      <c r="K2097" s="919">
        <v>1</v>
      </c>
      <c r="L2097" s="920">
        <f t="shared" si="210"/>
        <v>2219</v>
      </c>
      <c r="M2097" s="920">
        <f t="shared" si="212"/>
        <v>11.689692000000001</v>
      </c>
      <c r="N2097" s="920">
        <f t="shared" si="213"/>
        <v>17.069230769230771</v>
      </c>
      <c r="O2097" s="918" t="str">
        <f t="shared" si="214"/>
        <v>Feb</v>
      </c>
      <c r="P2097" s="921">
        <f t="shared" si="215"/>
        <v>7</v>
      </c>
    </row>
    <row r="2098" spans="1:16" ht="15" hidden="1" customHeight="1">
      <c r="A2098" s="839">
        <v>64341106</v>
      </c>
      <c r="B2098" s="839">
        <v>2904</v>
      </c>
      <c r="C2098" s="906">
        <v>2080</v>
      </c>
      <c r="D2098" s="907">
        <v>46067</v>
      </c>
      <c r="E2098" s="839" t="s">
        <v>293</v>
      </c>
      <c r="F2098" s="839" t="s">
        <v>227</v>
      </c>
      <c r="G2098" s="916">
        <f>VLOOKUP($A2098,'Tech Litons'!$A:$I,8,FALSE)</f>
        <v>5.2680000000000001E-3</v>
      </c>
      <c r="H2098" s="917">
        <f>VLOOKUP($A2098,'Tech Litons'!$A:$I,9,FALSE)</f>
        <v>130</v>
      </c>
      <c r="I2098" s="917" t="str">
        <f>VLOOKUP($A2098,'Tech Litons'!$A:$C,3,0)</f>
        <v>PG</v>
      </c>
      <c r="J2098" s="918" t="str">
        <f t="shared" si="211"/>
        <v>2904PG</v>
      </c>
      <c r="K2098" s="919">
        <v>1</v>
      </c>
      <c r="L2098" s="920">
        <f t="shared" si="210"/>
        <v>2080</v>
      </c>
      <c r="M2098" s="920">
        <f t="shared" si="212"/>
        <v>10.95744</v>
      </c>
      <c r="N2098" s="920">
        <f t="shared" si="213"/>
        <v>16</v>
      </c>
      <c r="O2098" s="918" t="str">
        <f t="shared" si="214"/>
        <v>Feb</v>
      </c>
      <c r="P2098" s="921">
        <f t="shared" si="215"/>
        <v>7</v>
      </c>
    </row>
    <row r="2099" spans="1:16" ht="15" hidden="1" customHeight="1">
      <c r="A2099" s="839">
        <v>64341106</v>
      </c>
      <c r="B2099" s="839">
        <v>2904</v>
      </c>
      <c r="C2099" s="906">
        <v>2255</v>
      </c>
      <c r="D2099" s="907">
        <v>46068</v>
      </c>
      <c r="E2099" s="839" t="s">
        <v>293</v>
      </c>
      <c r="F2099" s="839" t="s">
        <v>227</v>
      </c>
      <c r="G2099" s="916">
        <f>VLOOKUP($A2099,'Tech Litons'!$A:$I,8,FALSE)</f>
        <v>5.2680000000000001E-3</v>
      </c>
      <c r="H2099" s="917">
        <f>VLOOKUP($A2099,'Tech Litons'!$A:$I,9,FALSE)</f>
        <v>130</v>
      </c>
      <c r="I2099" s="917" t="str">
        <f>VLOOKUP($A2099,'Tech Litons'!$A:$C,3,0)</f>
        <v>PG</v>
      </c>
      <c r="J2099" s="918" t="str">
        <f t="shared" si="211"/>
        <v>2904PG</v>
      </c>
      <c r="K2099" s="919">
        <v>1</v>
      </c>
      <c r="L2099" s="920">
        <f t="shared" si="210"/>
        <v>2255</v>
      </c>
      <c r="M2099" s="920">
        <f t="shared" si="212"/>
        <v>11.879340000000001</v>
      </c>
      <c r="N2099" s="920">
        <f t="shared" si="213"/>
        <v>17.346153846153847</v>
      </c>
      <c r="O2099" s="918" t="str">
        <f t="shared" si="214"/>
        <v>Feb</v>
      </c>
      <c r="P2099" s="921">
        <f t="shared" si="215"/>
        <v>8</v>
      </c>
    </row>
    <row r="2100" spans="1:16" ht="15" hidden="1" customHeight="1">
      <c r="A2100" s="839">
        <v>64341106</v>
      </c>
      <c r="B2100" s="839">
        <v>2904</v>
      </c>
      <c r="C2100" s="906">
        <v>2340</v>
      </c>
      <c r="D2100" s="907">
        <v>46068</v>
      </c>
      <c r="E2100" s="839" t="s">
        <v>293</v>
      </c>
      <c r="F2100" s="839" t="s">
        <v>227</v>
      </c>
      <c r="G2100" s="916">
        <f>VLOOKUP($A2100,'Tech Litons'!$A:$I,8,FALSE)</f>
        <v>5.2680000000000001E-3</v>
      </c>
      <c r="H2100" s="917">
        <f>VLOOKUP($A2100,'Tech Litons'!$A:$I,9,FALSE)</f>
        <v>130</v>
      </c>
      <c r="I2100" s="917" t="str">
        <f>VLOOKUP($A2100,'Tech Litons'!$A:$C,3,0)</f>
        <v>PG</v>
      </c>
      <c r="J2100" s="918" t="str">
        <f t="shared" si="211"/>
        <v>2904PG</v>
      </c>
      <c r="K2100" s="919">
        <v>1</v>
      </c>
      <c r="L2100" s="920">
        <f t="shared" si="210"/>
        <v>2340</v>
      </c>
      <c r="M2100" s="920">
        <f t="shared" si="212"/>
        <v>12.327120000000001</v>
      </c>
      <c r="N2100" s="920">
        <f t="shared" si="213"/>
        <v>18</v>
      </c>
      <c r="O2100" s="918" t="str">
        <f t="shared" si="214"/>
        <v>Feb</v>
      </c>
      <c r="P2100" s="921">
        <f t="shared" si="215"/>
        <v>8</v>
      </c>
    </row>
    <row r="2101" spans="1:16" ht="15" hidden="1" customHeight="1">
      <c r="A2101" s="839">
        <v>64341106</v>
      </c>
      <c r="B2101" s="839">
        <v>2904</v>
      </c>
      <c r="C2101" s="906">
        <v>2067</v>
      </c>
      <c r="D2101" s="907">
        <v>46069</v>
      </c>
      <c r="E2101" s="839" t="s">
        <v>293</v>
      </c>
      <c r="F2101" s="839" t="s">
        <v>227</v>
      </c>
      <c r="G2101" s="916">
        <f>VLOOKUP($A2101,'Tech Litons'!$A:$I,8,FALSE)</f>
        <v>5.2680000000000001E-3</v>
      </c>
      <c r="H2101" s="917">
        <f>VLOOKUP($A2101,'Tech Litons'!$A:$I,9,FALSE)</f>
        <v>130</v>
      </c>
      <c r="I2101" s="917" t="str">
        <f>VLOOKUP($A2101,'Tech Litons'!$A:$C,3,0)</f>
        <v>PG</v>
      </c>
      <c r="J2101" s="918" t="str">
        <f t="shared" si="211"/>
        <v>2904PG</v>
      </c>
      <c r="K2101" s="919">
        <v>1</v>
      </c>
      <c r="L2101" s="920">
        <f t="shared" si="210"/>
        <v>2067</v>
      </c>
      <c r="M2101" s="920">
        <f t="shared" si="212"/>
        <v>10.888956</v>
      </c>
      <c r="N2101" s="920">
        <f t="shared" si="213"/>
        <v>15.9</v>
      </c>
      <c r="O2101" s="918" t="str">
        <f t="shared" si="214"/>
        <v>Feb</v>
      </c>
      <c r="P2101" s="921">
        <f t="shared" si="215"/>
        <v>8</v>
      </c>
    </row>
    <row r="2102" spans="1:16" ht="15" hidden="1" customHeight="1">
      <c r="A2102" s="839">
        <v>64341106</v>
      </c>
      <c r="B2102" s="839">
        <v>2904</v>
      </c>
      <c r="C2102" s="906">
        <v>331</v>
      </c>
      <c r="D2102" s="907">
        <v>46069</v>
      </c>
      <c r="E2102" s="839" t="s">
        <v>293</v>
      </c>
      <c r="F2102" s="839" t="s">
        <v>227</v>
      </c>
      <c r="G2102" s="916">
        <f>VLOOKUP($A2102,'Tech Litons'!$A:$I,8,FALSE)</f>
        <v>5.2680000000000001E-3</v>
      </c>
      <c r="H2102" s="917">
        <f>VLOOKUP($A2102,'Tech Litons'!$A:$I,9,FALSE)</f>
        <v>130</v>
      </c>
      <c r="I2102" s="917" t="str">
        <f>VLOOKUP($A2102,'Tech Litons'!$A:$C,3,0)</f>
        <v>PG</v>
      </c>
      <c r="J2102" s="918" t="str">
        <f t="shared" si="211"/>
        <v>2904PG</v>
      </c>
      <c r="K2102" s="919">
        <v>1</v>
      </c>
      <c r="L2102" s="920">
        <f t="shared" si="210"/>
        <v>331</v>
      </c>
      <c r="M2102" s="920">
        <f t="shared" si="212"/>
        <v>1.743708</v>
      </c>
      <c r="N2102" s="920">
        <f t="shared" si="213"/>
        <v>2.546153846153846</v>
      </c>
      <c r="O2102" s="918" t="str">
        <f t="shared" si="214"/>
        <v>Feb</v>
      </c>
      <c r="P2102" s="921">
        <f t="shared" si="215"/>
        <v>8</v>
      </c>
    </row>
    <row r="2103" spans="1:16" ht="15" hidden="1" customHeight="1">
      <c r="A2103" s="839">
        <v>64341106</v>
      </c>
      <c r="B2103" s="839">
        <v>2904</v>
      </c>
      <c r="C2103" s="906">
        <v>1207</v>
      </c>
      <c r="D2103" s="907">
        <v>46070</v>
      </c>
      <c r="E2103" s="839" t="s">
        <v>293</v>
      </c>
      <c r="F2103" s="839" t="s">
        <v>227</v>
      </c>
      <c r="G2103" s="916">
        <f>VLOOKUP($A2103,'Tech Litons'!$A:$I,8,FALSE)</f>
        <v>5.2680000000000001E-3</v>
      </c>
      <c r="H2103" s="917">
        <f>VLOOKUP($A2103,'Tech Litons'!$A:$I,9,FALSE)</f>
        <v>130</v>
      </c>
      <c r="I2103" s="917" t="str">
        <f>VLOOKUP($A2103,'Tech Litons'!$A:$C,3,0)</f>
        <v>PG</v>
      </c>
      <c r="J2103" s="918" t="str">
        <f t="shared" si="211"/>
        <v>2904PG</v>
      </c>
      <c r="K2103" s="919">
        <v>1</v>
      </c>
      <c r="L2103" s="920">
        <f t="shared" si="210"/>
        <v>1207</v>
      </c>
      <c r="M2103" s="920">
        <f t="shared" si="212"/>
        <v>6.3584760000000005</v>
      </c>
      <c r="N2103" s="920">
        <f t="shared" si="213"/>
        <v>9.2846153846153854</v>
      </c>
      <c r="O2103" s="918" t="str">
        <f t="shared" si="214"/>
        <v>Feb</v>
      </c>
      <c r="P2103" s="921">
        <f t="shared" si="215"/>
        <v>8</v>
      </c>
    </row>
    <row r="2104" spans="1:16" ht="15" hidden="1" customHeight="1">
      <c r="A2104" s="839">
        <v>64341106</v>
      </c>
      <c r="B2104" s="839">
        <v>2904</v>
      </c>
      <c r="C2104" s="906">
        <v>1195</v>
      </c>
      <c r="D2104" s="907">
        <v>46070</v>
      </c>
      <c r="E2104" s="839" t="s">
        <v>293</v>
      </c>
      <c r="F2104" s="839" t="s">
        <v>227</v>
      </c>
      <c r="G2104" s="916">
        <f>VLOOKUP($A2104,'Tech Litons'!$A:$I,8,FALSE)</f>
        <v>5.2680000000000001E-3</v>
      </c>
      <c r="H2104" s="917">
        <f>VLOOKUP($A2104,'Tech Litons'!$A:$I,9,FALSE)</f>
        <v>130</v>
      </c>
      <c r="I2104" s="917" t="str">
        <f>VLOOKUP($A2104,'Tech Litons'!$A:$C,3,0)</f>
        <v>PG</v>
      </c>
      <c r="J2104" s="918" t="str">
        <f t="shared" si="211"/>
        <v>2904PG</v>
      </c>
      <c r="K2104" s="919">
        <v>1</v>
      </c>
      <c r="L2104" s="920">
        <f t="shared" si="210"/>
        <v>1195</v>
      </c>
      <c r="M2104" s="920">
        <f t="shared" si="212"/>
        <v>6.2952599999999999</v>
      </c>
      <c r="N2104" s="920">
        <f t="shared" si="213"/>
        <v>9.1923076923076916</v>
      </c>
      <c r="O2104" s="918" t="str">
        <f t="shared" si="214"/>
        <v>Feb</v>
      </c>
      <c r="P2104" s="921">
        <f t="shared" si="215"/>
        <v>8</v>
      </c>
    </row>
    <row r="2105" spans="1:16" ht="15" hidden="1" customHeight="1">
      <c r="A2105" s="839">
        <v>64341106</v>
      </c>
      <c r="B2105" s="839">
        <v>2904</v>
      </c>
      <c r="C2105" s="906">
        <v>2470</v>
      </c>
      <c r="D2105" s="907">
        <v>46071</v>
      </c>
      <c r="E2105" s="839" t="s">
        <v>293</v>
      </c>
      <c r="F2105" s="839" t="s">
        <v>227</v>
      </c>
      <c r="G2105" s="916">
        <f>VLOOKUP($A2105,'Tech Litons'!$A:$I,8,FALSE)</f>
        <v>5.2680000000000001E-3</v>
      </c>
      <c r="H2105" s="917">
        <f>VLOOKUP($A2105,'Tech Litons'!$A:$I,9,FALSE)</f>
        <v>130</v>
      </c>
      <c r="I2105" s="917" t="str">
        <f>VLOOKUP($A2105,'Tech Litons'!$A:$C,3,0)</f>
        <v>PG</v>
      </c>
      <c r="J2105" s="918" t="str">
        <f t="shared" si="211"/>
        <v>2904PG</v>
      </c>
      <c r="K2105" s="919">
        <v>1</v>
      </c>
      <c r="L2105" s="920">
        <f t="shared" si="210"/>
        <v>2470</v>
      </c>
      <c r="M2105" s="920">
        <f t="shared" si="212"/>
        <v>13.01196</v>
      </c>
      <c r="N2105" s="920">
        <f t="shared" si="213"/>
        <v>19</v>
      </c>
      <c r="O2105" s="918" t="str">
        <f t="shared" si="214"/>
        <v>Feb</v>
      </c>
      <c r="P2105" s="921">
        <f t="shared" si="215"/>
        <v>8</v>
      </c>
    </row>
    <row r="2106" spans="1:16" ht="15" hidden="1" customHeight="1">
      <c r="A2106" s="839">
        <v>64341106</v>
      </c>
      <c r="B2106" s="839">
        <v>2904</v>
      </c>
      <c r="C2106" s="906">
        <v>922</v>
      </c>
      <c r="D2106" s="907">
        <v>46071</v>
      </c>
      <c r="E2106" s="839" t="s">
        <v>293</v>
      </c>
      <c r="F2106" s="839" t="s">
        <v>227</v>
      </c>
      <c r="G2106" s="916">
        <f>VLOOKUP($A2106,'Tech Litons'!$A:$I,8,FALSE)</f>
        <v>5.2680000000000001E-3</v>
      </c>
      <c r="H2106" s="917">
        <f>VLOOKUP($A2106,'Tech Litons'!$A:$I,9,FALSE)</f>
        <v>130</v>
      </c>
      <c r="I2106" s="917" t="str">
        <f>VLOOKUP($A2106,'Tech Litons'!$A:$C,3,0)</f>
        <v>PG</v>
      </c>
      <c r="J2106" s="918" t="str">
        <f t="shared" si="211"/>
        <v>2904PG</v>
      </c>
      <c r="K2106" s="919">
        <v>1</v>
      </c>
      <c r="L2106" s="920">
        <f t="shared" si="210"/>
        <v>922</v>
      </c>
      <c r="M2106" s="920">
        <f t="shared" si="212"/>
        <v>4.8570960000000003</v>
      </c>
      <c r="N2106" s="920">
        <f t="shared" si="213"/>
        <v>7.092307692307692</v>
      </c>
      <c r="O2106" s="918" t="str">
        <f t="shared" si="214"/>
        <v>Feb</v>
      </c>
      <c r="P2106" s="921">
        <f t="shared" si="215"/>
        <v>8</v>
      </c>
    </row>
    <row r="2107" spans="1:16" ht="15" hidden="1" customHeight="1">
      <c r="A2107" s="839">
        <v>64341106</v>
      </c>
      <c r="B2107" s="839">
        <v>2904</v>
      </c>
      <c r="C2107" s="906">
        <v>1053</v>
      </c>
      <c r="D2107" s="907">
        <v>46072</v>
      </c>
      <c r="E2107" s="839" t="s">
        <v>293</v>
      </c>
      <c r="F2107" s="839" t="s">
        <v>227</v>
      </c>
      <c r="G2107" s="916">
        <f>VLOOKUP($A2107,'Tech Litons'!$A:$I,8,FALSE)</f>
        <v>5.2680000000000001E-3</v>
      </c>
      <c r="H2107" s="917">
        <f>VLOOKUP($A2107,'Tech Litons'!$A:$I,9,FALSE)</f>
        <v>130</v>
      </c>
      <c r="I2107" s="917" t="str">
        <f>VLOOKUP($A2107,'Tech Litons'!$A:$C,3,0)</f>
        <v>PG</v>
      </c>
      <c r="J2107" s="918" t="str">
        <f t="shared" si="211"/>
        <v>2904PG</v>
      </c>
      <c r="K2107" s="919">
        <v>1</v>
      </c>
      <c r="L2107" s="920">
        <f t="shared" si="210"/>
        <v>1053</v>
      </c>
      <c r="M2107" s="920">
        <f t="shared" si="212"/>
        <v>5.5472039999999998</v>
      </c>
      <c r="N2107" s="920">
        <f t="shared" si="213"/>
        <v>8.1</v>
      </c>
      <c r="O2107" s="918" t="str">
        <f t="shared" si="214"/>
        <v>Feb</v>
      </c>
      <c r="P2107" s="921">
        <f t="shared" si="215"/>
        <v>8</v>
      </c>
    </row>
    <row r="2108" spans="1:16" ht="15" hidden="1" customHeight="1">
      <c r="A2108" s="839">
        <v>64341106</v>
      </c>
      <c r="B2108" s="839">
        <v>2904</v>
      </c>
      <c r="C2108" s="906">
        <v>1411</v>
      </c>
      <c r="D2108" s="907">
        <v>46072</v>
      </c>
      <c r="E2108" s="839" t="s">
        <v>293</v>
      </c>
      <c r="F2108" s="839" t="s">
        <v>227</v>
      </c>
      <c r="G2108" s="916">
        <f>VLOOKUP($A2108,'Tech Litons'!$A:$I,8,FALSE)</f>
        <v>5.2680000000000001E-3</v>
      </c>
      <c r="H2108" s="917">
        <f>VLOOKUP($A2108,'Tech Litons'!$A:$I,9,FALSE)</f>
        <v>130</v>
      </c>
      <c r="I2108" s="917" t="str">
        <f>VLOOKUP($A2108,'Tech Litons'!$A:$C,3,0)</f>
        <v>PG</v>
      </c>
      <c r="J2108" s="918" t="str">
        <f t="shared" si="211"/>
        <v>2904PG</v>
      </c>
      <c r="K2108" s="919">
        <v>1</v>
      </c>
      <c r="L2108" s="920">
        <f t="shared" si="210"/>
        <v>1411</v>
      </c>
      <c r="M2108" s="920">
        <f t="shared" si="212"/>
        <v>7.4331480000000001</v>
      </c>
      <c r="N2108" s="920">
        <f t="shared" si="213"/>
        <v>10.853846153846154</v>
      </c>
      <c r="O2108" s="918" t="str">
        <f t="shared" si="214"/>
        <v>Feb</v>
      </c>
      <c r="P2108" s="921">
        <f t="shared" si="215"/>
        <v>8</v>
      </c>
    </row>
    <row r="2109" spans="1:16" ht="15" hidden="1" customHeight="1">
      <c r="A2109" s="839">
        <v>64341106</v>
      </c>
      <c r="B2109" s="839">
        <v>2904</v>
      </c>
      <c r="C2109" s="906">
        <v>247</v>
      </c>
      <c r="D2109" s="907">
        <v>46073</v>
      </c>
      <c r="E2109" s="839" t="s">
        <v>293</v>
      </c>
      <c r="F2109" s="839" t="s">
        <v>227</v>
      </c>
      <c r="G2109" s="916">
        <f>VLOOKUP($A2109,'Tech Litons'!$A:$I,8,FALSE)</f>
        <v>5.2680000000000001E-3</v>
      </c>
      <c r="H2109" s="917">
        <f>VLOOKUP($A2109,'Tech Litons'!$A:$I,9,FALSE)</f>
        <v>130</v>
      </c>
      <c r="I2109" s="917" t="str">
        <f>VLOOKUP($A2109,'Tech Litons'!$A:$C,3,0)</f>
        <v>PG</v>
      </c>
      <c r="J2109" s="918" t="str">
        <f t="shared" si="211"/>
        <v>2904PG</v>
      </c>
      <c r="K2109" s="919">
        <v>1</v>
      </c>
      <c r="L2109" s="920">
        <f t="shared" si="210"/>
        <v>247</v>
      </c>
      <c r="M2109" s="920">
        <f t="shared" si="212"/>
        <v>1.301196</v>
      </c>
      <c r="N2109" s="920">
        <f t="shared" si="213"/>
        <v>1.9</v>
      </c>
      <c r="O2109" s="918" t="str">
        <f t="shared" si="214"/>
        <v>Feb</v>
      </c>
      <c r="P2109" s="921">
        <f t="shared" si="215"/>
        <v>8</v>
      </c>
    </row>
    <row r="2110" spans="1:16" ht="15" hidden="1" customHeight="1">
      <c r="A2110" s="839">
        <v>64341106</v>
      </c>
      <c r="B2110" s="839">
        <v>2904</v>
      </c>
      <c r="C2110" s="906">
        <v>392</v>
      </c>
      <c r="D2110" s="907">
        <v>46075</v>
      </c>
      <c r="E2110" s="839" t="s">
        <v>293</v>
      </c>
      <c r="F2110" s="839" t="s">
        <v>227</v>
      </c>
      <c r="G2110" s="916">
        <f>VLOOKUP($A2110,'Tech Litons'!$A:$I,8,FALSE)</f>
        <v>5.2680000000000001E-3</v>
      </c>
      <c r="H2110" s="917">
        <f>VLOOKUP($A2110,'Tech Litons'!$A:$I,9,FALSE)</f>
        <v>130</v>
      </c>
      <c r="I2110" s="917" t="str">
        <f>VLOOKUP($A2110,'Tech Litons'!$A:$C,3,0)</f>
        <v>PG</v>
      </c>
      <c r="J2110" s="918" t="str">
        <f t="shared" si="211"/>
        <v>2904PG</v>
      </c>
      <c r="K2110" s="919">
        <v>1</v>
      </c>
      <c r="L2110" s="920">
        <f t="shared" si="210"/>
        <v>392</v>
      </c>
      <c r="M2110" s="920">
        <f t="shared" si="212"/>
        <v>2.0650560000000002</v>
      </c>
      <c r="N2110" s="920">
        <f t="shared" si="213"/>
        <v>3.0153846153846153</v>
      </c>
      <c r="O2110" s="918" t="str">
        <f t="shared" si="214"/>
        <v>Feb</v>
      </c>
      <c r="P2110" s="921">
        <f t="shared" si="215"/>
        <v>9</v>
      </c>
    </row>
    <row r="2111" spans="1:16" ht="15" hidden="1" customHeight="1">
      <c r="A2111" s="839">
        <v>64367657</v>
      </c>
      <c r="B2111" s="839">
        <v>2904</v>
      </c>
      <c r="C2111" s="906">
        <v>3825</v>
      </c>
      <c r="D2111" s="907">
        <v>46053</v>
      </c>
      <c r="E2111" s="839" t="s">
        <v>403</v>
      </c>
      <c r="F2111" s="839" t="s">
        <v>275</v>
      </c>
      <c r="G2111" s="916">
        <f>VLOOKUP($A2111,'Tech Litons'!$A:$I,8,FALSE)</f>
        <v>3.552E-3</v>
      </c>
      <c r="H2111" s="917">
        <f>VLOOKUP($A2111,'Tech Litons'!$A:$I,9,FALSE)</f>
        <v>255</v>
      </c>
      <c r="I2111" s="917" t="str">
        <f>VLOOKUP($A2111,'Tech Litons'!$A:$C,3,0)</f>
        <v>Talenti</v>
      </c>
      <c r="J2111" s="918" t="str">
        <f t="shared" si="211"/>
        <v>2904Talenti</v>
      </c>
      <c r="K2111" s="919">
        <v>1</v>
      </c>
      <c r="L2111" s="920">
        <f t="shared" si="210"/>
        <v>3825</v>
      </c>
      <c r="M2111" s="920">
        <f t="shared" si="212"/>
        <v>13.586399999999999</v>
      </c>
      <c r="N2111" s="920">
        <f t="shared" si="213"/>
        <v>15</v>
      </c>
      <c r="O2111" s="918" t="str">
        <f t="shared" si="214"/>
        <v>Jan</v>
      </c>
      <c r="P2111" s="921">
        <f t="shared" si="215"/>
        <v>5</v>
      </c>
    </row>
    <row r="2112" spans="1:16" ht="15" hidden="1" customHeight="1">
      <c r="A2112" s="839">
        <v>64367657</v>
      </c>
      <c r="B2112" s="839">
        <v>2904</v>
      </c>
      <c r="C2112" s="906">
        <v>2819</v>
      </c>
      <c r="D2112" s="907">
        <v>46054</v>
      </c>
      <c r="E2112" s="839" t="s">
        <v>403</v>
      </c>
      <c r="F2112" s="839" t="s">
        <v>275</v>
      </c>
      <c r="G2112" s="916">
        <f>VLOOKUP($A2112,'Tech Litons'!$A:$I,8,FALSE)</f>
        <v>3.552E-3</v>
      </c>
      <c r="H2112" s="917">
        <f>VLOOKUP($A2112,'Tech Litons'!$A:$I,9,FALSE)</f>
        <v>255</v>
      </c>
      <c r="I2112" s="917" t="str">
        <f>VLOOKUP($A2112,'Tech Litons'!$A:$C,3,0)</f>
        <v>Talenti</v>
      </c>
      <c r="J2112" s="918" t="str">
        <f t="shared" si="211"/>
        <v>2904Talenti</v>
      </c>
      <c r="K2112" s="919">
        <v>1</v>
      </c>
      <c r="L2112" s="920">
        <f t="shared" si="210"/>
        <v>2819</v>
      </c>
      <c r="M2112" s="920">
        <f t="shared" si="212"/>
        <v>10.013088</v>
      </c>
      <c r="N2112" s="920">
        <f t="shared" si="213"/>
        <v>11.054901960784314</v>
      </c>
      <c r="O2112" s="918" t="str">
        <f t="shared" si="214"/>
        <v>Feb</v>
      </c>
      <c r="P2112" s="921">
        <f t="shared" si="215"/>
        <v>6</v>
      </c>
    </row>
    <row r="2113" spans="1:16" ht="15" hidden="1" customHeight="1">
      <c r="A2113" s="839">
        <v>64367657</v>
      </c>
      <c r="B2113" s="839">
        <v>2904</v>
      </c>
      <c r="C2113" s="906">
        <v>6373</v>
      </c>
      <c r="D2113" s="907">
        <v>46054</v>
      </c>
      <c r="E2113" s="839" t="s">
        <v>403</v>
      </c>
      <c r="F2113" s="839" t="s">
        <v>275</v>
      </c>
      <c r="G2113" s="916">
        <f>VLOOKUP($A2113,'Tech Litons'!$A:$I,8,FALSE)</f>
        <v>3.552E-3</v>
      </c>
      <c r="H2113" s="917">
        <f>VLOOKUP($A2113,'Tech Litons'!$A:$I,9,FALSE)</f>
        <v>255</v>
      </c>
      <c r="I2113" s="917" t="str">
        <f>VLOOKUP($A2113,'Tech Litons'!$A:$C,3,0)</f>
        <v>Talenti</v>
      </c>
      <c r="J2113" s="918" t="str">
        <f t="shared" si="211"/>
        <v>2904Talenti</v>
      </c>
      <c r="K2113" s="919">
        <v>1</v>
      </c>
      <c r="L2113" s="920">
        <f t="shared" si="210"/>
        <v>6373</v>
      </c>
      <c r="M2113" s="920">
        <f t="shared" si="212"/>
        <v>22.636896</v>
      </c>
      <c r="N2113" s="920">
        <f t="shared" si="213"/>
        <v>24.992156862745098</v>
      </c>
      <c r="O2113" s="918" t="str">
        <f t="shared" si="214"/>
        <v>Feb</v>
      </c>
      <c r="P2113" s="921">
        <f t="shared" si="215"/>
        <v>6</v>
      </c>
    </row>
    <row r="2114" spans="1:16" ht="15" hidden="1" customHeight="1">
      <c r="A2114" s="839">
        <v>64367657</v>
      </c>
      <c r="B2114" s="839">
        <v>2904</v>
      </c>
      <c r="C2114" s="906">
        <v>7106</v>
      </c>
      <c r="D2114" s="907">
        <v>46055</v>
      </c>
      <c r="E2114" s="839" t="s">
        <v>403</v>
      </c>
      <c r="F2114" s="839" t="s">
        <v>275</v>
      </c>
      <c r="G2114" s="916">
        <f>VLOOKUP($A2114,'Tech Litons'!$A:$I,8,FALSE)</f>
        <v>3.552E-3</v>
      </c>
      <c r="H2114" s="917">
        <f>VLOOKUP($A2114,'Tech Litons'!$A:$I,9,FALSE)</f>
        <v>255</v>
      </c>
      <c r="I2114" s="917" t="str">
        <f>VLOOKUP($A2114,'Tech Litons'!$A:$C,3,0)</f>
        <v>Talenti</v>
      </c>
      <c r="J2114" s="918" t="str">
        <f t="shared" si="211"/>
        <v>2904Talenti</v>
      </c>
      <c r="K2114" s="919">
        <v>1</v>
      </c>
      <c r="L2114" s="920">
        <f t="shared" si="210"/>
        <v>7106</v>
      </c>
      <c r="M2114" s="920">
        <f t="shared" si="212"/>
        <v>25.240511999999999</v>
      </c>
      <c r="N2114" s="920">
        <f t="shared" si="213"/>
        <v>27.866666666666667</v>
      </c>
      <c r="O2114" s="918" t="str">
        <f t="shared" si="214"/>
        <v>Feb</v>
      </c>
      <c r="P2114" s="921">
        <f t="shared" si="215"/>
        <v>6</v>
      </c>
    </row>
    <row r="2115" spans="1:16" ht="15" hidden="1" customHeight="1">
      <c r="A2115" s="839">
        <v>64367657</v>
      </c>
      <c r="B2115" s="839">
        <v>2904</v>
      </c>
      <c r="C2115" s="906">
        <v>4008</v>
      </c>
      <c r="D2115" s="907">
        <v>46055</v>
      </c>
      <c r="E2115" s="839" t="s">
        <v>403</v>
      </c>
      <c r="F2115" s="839" t="s">
        <v>275</v>
      </c>
      <c r="G2115" s="916">
        <f>VLOOKUP($A2115,'Tech Litons'!$A:$I,8,FALSE)</f>
        <v>3.552E-3</v>
      </c>
      <c r="H2115" s="917">
        <f>VLOOKUP($A2115,'Tech Litons'!$A:$I,9,FALSE)</f>
        <v>255</v>
      </c>
      <c r="I2115" s="917" t="str">
        <f>VLOOKUP($A2115,'Tech Litons'!$A:$C,3,0)</f>
        <v>Talenti</v>
      </c>
      <c r="J2115" s="918" t="str">
        <f t="shared" si="211"/>
        <v>2904Talenti</v>
      </c>
      <c r="K2115" s="919">
        <v>1</v>
      </c>
      <c r="L2115" s="920">
        <f t="shared" si="210"/>
        <v>4008</v>
      </c>
      <c r="M2115" s="920">
        <f t="shared" si="212"/>
        <v>14.236416</v>
      </c>
      <c r="N2115" s="920">
        <f t="shared" si="213"/>
        <v>15.717647058823529</v>
      </c>
      <c r="O2115" s="918" t="str">
        <f t="shared" si="214"/>
        <v>Feb</v>
      </c>
      <c r="P2115" s="921">
        <f t="shared" si="215"/>
        <v>6</v>
      </c>
    </row>
    <row r="2116" spans="1:16" ht="15" hidden="1" customHeight="1">
      <c r="A2116" s="839">
        <v>64367657</v>
      </c>
      <c r="B2116" s="839">
        <v>2904</v>
      </c>
      <c r="C2116" s="906">
        <v>7794</v>
      </c>
      <c r="D2116" s="907">
        <v>46056</v>
      </c>
      <c r="E2116" s="839" t="s">
        <v>403</v>
      </c>
      <c r="F2116" s="839" t="s">
        <v>275</v>
      </c>
      <c r="G2116" s="916">
        <f>VLOOKUP($A2116,'Tech Litons'!$A:$I,8,FALSE)</f>
        <v>3.552E-3</v>
      </c>
      <c r="H2116" s="917">
        <f>VLOOKUP($A2116,'Tech Litons'!$A:$I,9,FALSE)</f>
        <v>255</v>
      </c>
      <c r="I2116" s="917" t="str">
        <f>VLOOKUP($A2116,'Tech Litons'!$A:$C,3,0)</f>
        <v>Talenti</v>
      </c>
      <c r="J2116" s="918" t="str">
        <f t="shared" si="211"/>
        <v>2904Talenti</v>
      </c>
      <c r="K2116" s="919">
        <v>1</v>
      </c>
      <c r="L2116" s="920">
        <f t="shared" si="210"/>
        <v>7794</v>
      </c>
      <c r="M2116" s="920">
        <f t="shared" si="212"/>
        <v>27.684287999999999</v>
      </c>
      <c r="N2116" s="920">
        <f t="shared" si="213"/>
        <v>30.564705882352943</v>
      </c>
      <c r="O2116" s="918" t="str">
        <f t="shared" si="214"/>
        <v>Feb</v>
      </c>
      <c r="P2116" s="921">
        <f t="shared" si="215"/>
        <v>6</v>
      </c>
    </row>
    <row r="2117" spans="1:16" ht="15" hidden="1" customHeight="1">
      <c r="A2117" s="839">
        <v>64367657</v>
      </c>
      <c r="B2117" s="839">
        <v>2904</v>
      </c>
      <c r="C2117" s="906">
        <v>255</v>
      </c>
      <c r="D2117" s="907">
        <v>46056</v>
      </c>
      <c r="E2117" s="839" t="s">
        <v>403</v>
      </c>
      <c r="F2117" s="839" t="s">
        <v>275</v>
      </c>
      <c r="G2117" s="916">
        <f>VLOOKUP($A2117,'Tech Litons'!$A:$I,8,FALSE)</f>
        <v>3.552E-3</v>
      </c>
      <c r="H2117" s="917">
        <f>VLOOKUP($A2117,'Tech Litons'!$A:$I,9,FALSE)</f>
        <v>255</v>
      </c>
      <c r="I2117" s="917" t="str">
        <f>VLOOKUP($A2117,'Tech Litons'!$A:$C,3,0)</f>
        <v>Talenti</v>
      </c>
      <c r="J2117" s="918" t="str">
        <f t="shared" si="211"/>
        <v>2904Talenti</v>
      </c>
      <c r="K2117" s="919">
        <v>1</v>
      </c>
      <c r="L2117" s="920">
        <f t="shared" si="210"/>
        <v>255</v>
      </c>
      <c r="M2117" s="920">
        <f t="shared" si="212"/>
        <v>0.90576000000000001</v>
      </c>
      <c r="N2117" s="920">
        <f t="shared" si="213"/>
        <v>1</v>
      </c>
      <c r="O2117" s="918" t="str">
        <f t="shared" si="214"/>
        <v>Feb</v>
      </c>
      <c r="P2117" s="921">
        <f t="shared" si="215"/>
        <v>6</v>
      </c>
    </row>
    <row r="2118" spans="1:16" ht="15" hidden="1" customHeight="1">
      <c r="A2118" s="839">
        <v>64367657</v>
      </c>
      <c r="B2118" s="839">
        <v>2904</v>
      </c>
      <c r="C2118" s="906">
        <v>76</v>
      </c>
      <c r="D2118" s="907">
        <v>46057</v>
      </c>
      <c r="E2118" s="839" t="s">
        <v>403</v>
      </c>
      <c r="F2118" s="839" t="s">
        <v>275</v>
      </c>
      <c r="G2118" s="916">
        <f>VLOOKUP($A2118,'Tech Litons'!$A:$I,8,FALSE)</f>
        <v>3.552E-3</v>
      </c>
      <c r="H2118" s="917">
        <f>VLOOKUP($A2118,'Tech Litons'!$A:$I,9,FALSE)</f>
        <v>255</v>
      </c>
      <c r="I2118" s="917" t="str">
        <f>VLOOKUP($A2118,'Tech Litons'!$A:$C,3,0)</f>
        <v>Talenti</v>
      </c>
      <c r="J2118" s="918" t="str">
        <f t="shared" si="211"/>
        <v>2904Talenti</v>
      </c>
      <c r="K2118" s="919">
        <v>1</v>
      </c>
      <c r="L2118" s="920">
        <f t="shared" si="210"/>
        <v>76</v>
      </c>
      <c r="M2118" s="920">
        <f t="shared" si="212"/>
        <v>0.26995200000000003</v>
      </c>
      <c r="N2118" s="920">
        <f t="shared" si="213"/>
        <v>0.29803921568627451</v>
      </c>
      <c r="O2118" s="918" t="str">
        <f t="shared" si="214"/>
        <v>Feb</v>
      </c>
      <c r="P2118" s="921">
        <f t="shared" si="215"/>
        <v>6</v>
      </c>
    </row>
    <row r="2119" spans="1:16" ht="15" hidden="1" customHeight="1">
      <c r="A2119" s="839">
        <v>64369026</v>
      </c>
      <c r="B2119" s="839">
        <v>2904</v>
      </c>
      <c r="C2119" s="906">
        <v>6453</v>
      </c>
      <c r="D2119" s="907">
        <v>46070</v>
      </c>
      <c r="E2119" s="839" t="s">
        <v>513</v>
      </c>
      <c r="F2119" s="839" t="s">
        <v>277</v>
      </c>
      <c r="G2119" s="916">
        <f>VLOOKUP($A2119,'Tech Litons'!$A:$I,8,FALSE)</f>
        <v>3.7839999999999996E-3</v>
      </c>
      <c r="H2119" s="917">
        <f>VLOOKUP($A2119,'Tech Litons'!$A:$I,9,FALSE)</f>
        <v>255</v>
      </c>
      <c r="I2119" s="917" t="str">
        <f>VLOOKUP($A2119,'Tech Litons'!$A:$C,3,0)</f>
        <v>Talenti</v>
      </c>
      <c r="J2119" s="918" t="str">
        <f t="shared" si="211"/>
        <v>2904Talenti</v>
      </c>
      <c r="K2119" s="919">
        <v>1</v>
      </c>
      <c r="L2119" s="920">
        <f t="shared" ref="L2119:L2182" si="216">C2119*$K2119</f>
        <v>6453</v>
      </c>
      <c r="M2119" s="920">
        <f t="shared" si="212"/>
        <v>24.418151999999999</v>
      </c>
      <c r="N2119" s="920">
        <f t="shared" si="213"/>
        <v>25.305882352941175</v>
      </c>
      <c r="O2119" s="918" t="str">
        <f t="shared" si="214"/>
        <v>Feb</v>
      </c>
      <c r="P2119" s="921">
        <f t="shared" si="215"/>
        <v>8</v>
      </c>
    </row>
    <row r="2120" spans="1:16" ht="15" hidden="1" customHeight="1">
      <c r="A2120" s="839">
        <v>64369026</v>
      </c>
      <c r="B2120" s="839">
        <v>2904</v>
      </c>
      <c r="C2120" s="906">
        <v>17238</v>
      </c>
      <c r="D2120" s="907">
        <v>46071</v>
      </c>
      <c r="E2120" s="839" t="s">
        <v>513</v>
      </c>
      <c r="F2120" s="839" t="s">
        <v>277</v>
      </c>
      <c r="G2120" s="916">
        <f>VLOOKUP($A2120,'Tech Litons'!$A:$I,8,FALSE)</f>
        <v>3.7839999999999996E-3</v>
      </c>
      <c r="H2120" s="917">
        <f>VLOOKUP($A2120,'Tech Litons'!$A:$I,9,FALSE)</f>
        <v>255</v>
      </c>
      <c r="I2120" s="917" t="str">
        <f>VLOOKUP($A2120,'Tech Litons'!$A:$C,3,0)</f>
        <v>Talenti</v>
      </c>
      <c r="J2120" s="918" t="str">
        <f t="shared" ref="J2120:J2183" si="217">B2120&amp;I2120</f>
        <v>2904Talenti</v>
      </c>
      <c r="K2120" s="919">
        <v>1</v>
      </c>
      <c r="L2120" s="920">
        <f t="shared" si="216"/>
        <v>17238</v>
      </c>
      <c r="M2120" s="920">
        <f t="shared" ref="M2120:M2183" si="218">L2120*G2120</f>
        <v>65.228591999999992</v>
      </c>
      <c r="N2120" s="920">
        <f t="shared" ref="N2120:N2183" si="219">L2120/H2120</f>
        <v>67.599999999999994</v>
      </c>
      <c r="O2120" s="918" t="str">
        <f t="shared" ref="O2120:O2183" si="220">TEXT(D2120,"MMM")</f>
        <v>Feb</v>
      </c>
      <c r="P2120" s="921">
        <f t="shared" ref="P2120:P2183" si="221">WEEKNUM(D2120)</f>
        <v>8</v>
      </c>
    </row>
    <row r="2121" spans="1:16" ht="15" hidden="1" customHeight="1">
      <c r="A2121" s="839">
        <v>64369026</v>
      </c>
      <c r="B2121" s="839">
        <v>2904</v>
      </c>
      <c r="C2121" s="906">
        <v>17394</v>
      </c>
      <c r="D2121" s="907">
        <v>46071</v>
      </c>
      <c r="E2121" s="839" t="s">
        <v>513</v>
      </c>
      <c r="F2121" s="839" t="s">
        <v>277</v>
      </c>
      <c r="G2121" s="916">
        <f>VLOOKUP($A2121,'Tech Litons'!$A:$I,8,FALSE)</f>
        <v>3.7839999999999996E-3</v>
      </c>
      <c r="H2121" s="917">
        <f>VLOOKUP($A2121,'Tech Litons'!$A:$I,9,FALSE)</f>
        <v>255</v>
      </c>
      <c r="I2121" s="917" t="str">
        <f>VLOOKUP($A2121,'Tech Litons'!$A:$C,3,0)</f>
        <v>Talenti</v>
      </c>
      <c r="J2121" s="918" t="str">
        <f t="shared" si="217"/>
        <v>2904Talenti</v>
      </c>
      <c r="K2121" s="919">
        <v>1</v>
      </c>
      <c r="L2121" s="920">
        <f t="shared" si="216"/>
        <v>17394</v>
      </c>
      <c r="M2121" s="920">
        <f t="shared" si="218"/>
        <v>65.818895999999995</v>
      </c>
      <c r="N2121" s="920">
        <f t="shared" si="219"/>
        <v>68.211764705882359</v>
      </c>
      <c r="O2121" s="918" t="str">
        <f t="shared" si="220"/>
        <v>Feb</v>
      </c>
      <c r="P2121" s="921">
        <f t="shared" si="221"/>
        <v>8</v>
      </c>
    </row>
    <row r="2122" spans="1:16" ht="15" hidden="1" customHeight="1">
      <c r="A2122" s="839">
        <v>64369026</v>
      </c>
      <c r="B2122" s="839">
        <v>2904</v>
      </c>
      <c r="C2122" s="906">
        <v>19244</v>
      </c>
      <c r="D2122" s="907">
        <v>46072</v>
      </c>
      <c r="E2122" s="839" t="s">
        <v>513</v>
      </c>
      <c r="F2122" s="839" t="s">
        <v>277</v>
      </c>
      <c r="G2122" s="916">
        <f>VLOOKUP($A2122,'Tech Litons'!$A:$I,8,FALSE)</f>
        <v>3.7839999999999996E-3</v>
      </c>
      <c r="H2122" s="917">
        <f>VLOOKUP($A2122,'Tech Litons'!$A:$I,9,FALSE)</f>
        <v>255</v>
      </c>
      <c r="I2122" s="917" t="str">
        <f>VLOOKUP($A2122,'Tech Litons'!$A:$C,3,0)</f>
        <v>Talenti</v>
      </c>
      <c r="J2122" s="918" t="str">
        <f t="shared" si="217"/>
        <v>2904Talenti</v>
      </c>
      <c r="K2122" s="919">
        <v>1</v>
      </c>
      <c r="L2122" s="920">
        <f t="shared" si="216"/>
        <v>19244</v>
      </c>
      <c r="M2122" s="920">
        <f t="shared" si="218"/>
        <v>72.819295999999994</v>
      </c>
      <c r="N2122" s="920">
        <f t="shared" si="219"/>
        <v>75.466666666666669</v>
      </c>
      <c r="O2122" s="918" t="str">
        <f t="shared" si="220"/>
        <v>Feb</v>
      </c>
      <c r="P2122" s="921">
        <f t="shared" si="221"/>
        <v>8</v>
      </c>
    </row>
    <row r="2123" spans="1:16" ht="15" hidden="1" customHeight="1">
      <c r="A2123" s="839">
        <v>64369026</v>
      </c>
      <c r="B2123" s="839">
        <v>2904</v>
      </c>
      <c r="C2123" s="906">
        <v>16995</v>
      </c>
      <c r="D2123" s="907">
        <v>46072</v>
      </c>
      <c r="E2123" s="839" t="s">
        <v>513</v>
      </c>
      <c r="F2123" s="839" t="s">
        <v>277</v>
      </c>
      <c r="G2123" s="916">
        <f>VLOOKUP($A2123,'Tech Litons'!$A:$I,8,FALSE)</f>
        <v>3.7839999999999996E-3</v>
      </c>
      <c r="H2123" s="917">
        <f>VLOOKUP($A2123,'Tech Litons'!$A:$I,9,FALSE)</f>
        <v>255</v>
      </c>
      <c r="I2123" s="917" t="str">
        <f>VLOOKUP($A2123,'Tech Litons'!$A:$C,3,0)</f>
        <v>Talenti</v>
      </c>
      <c r="J2123" s="918" t="str">
        <f t="shared" si="217"/>
        <v>2904Talenti</v>
      </c>
      <c r="K2123" s="919">
        <v>1</v>
      </c>
      <c r="L2123" s="920">
        <f t="shared" si="216"/>
        <v>16995</v>
      </c>
      <c r="M2123" s="920">
        <f t="shared" si="218"/>
        <v>64.309079999999994</v>
      </c>
      <c r="N2123" s="920">
        <f t="shared" si="219"/>
        <v>66.647058823529406</v>
      </c>
      <c r="O2123" s="918" t="str">
        <f t="shared" si="220"/>
        <v>Feb</v>
      </c>
      <c r="P2123" s="921">
        <f t="shared" si="221"/>
        <v>8</v>
      </c>
    </row>
    <row r="2124" spans="1:16" ht="15" hidden="1" customHeight="1">
      <c r="A2124" s="839">
        <v>64369026</v>
      </c>
      <c r="B2124" s="839">
        <v>2904</v>
      </c>
      <c r="C2124" s="906">
        <v>17595</v>
      </c>
      <c r="D2124" s="907">
        <v>46073</v>
      </c>
      <c r="E2124" s="839" t="s">
        <v>513</v>
      </c>
      <c r="F2124" s="839" t="s">
        <v>277</v>
      </c>
      <c r="G2124" s="916">
        <f>VLOOKUP($A2124,'Tech Litons'!$A:$I,8,FALSE)</f>
        <v>3.7839999999999996E-3</v>
      </c>
      <c r="H2124" s="917">
        <f>VLOOKUP($A2124,'Tech Litons'!$A:$I,9,FALSE)</f>
        <v>255</v>
      </c>
      <c r="I2124" s="917" t="str">
        <f>VLOOKUP($A2124,'Tech Litons'!$A:$C,3,0)</f>
        <v>Talenti</v>
      </c>
      <c r="J2124" s="918" t="str">
        <f t="shared" si="217"/>
        <v>2904Talenti</v>
      </c>
      <c r="K2124" s="919">
        <v>1</v>
      </c>
      <c r="L2124" s="920">
        <f t="shared" si="216"/>
        <v>17595</v>
      </c>
      <c r="M2124" s="920">
        <f t="shared" si="218"/>
        <v>66.57947999999999</v>
      </c>
      <c r="N2124" s="920">
        <f t="shared" si="219"/>
        <v>69</v>
      </c>
      <c r="O2124" s="918" t="str">
        <f t="shared" si="220"/>
        <v>Feb</v>
      </c>
      <c r="P2124" s="921">
        <f t="shared" si="221"/>
        <v>8</v>
      </c>
    </row>
    <row r="2125" spans="1:16" ht="15" hidden="1" customHeight="1">
      <c r="A2125" s="839">
        <v>64369026</v>
      </c>
      <c r="B2125" s="839">
        <v>2904</v>
      </c>
      <c r="C2125" s="906">
        <v>1421</v>
      </c>
      <c r="D2125" s="907">
        <v>46073</v>
      </c>
      <c r="E2125" s="839" t="s">
        <v>513</v>
      </c>
      <c r="F2125" s="839" t="s">
        <v>277</v>
      </c>
      <c r="G2125" s="916">
        <f>VLOOKUP($A2125,'Tech Litons'!$A:$I,8,FALSE)</f>
        <v>3.7839999999999996E-3</v>
      </c>
      <c r="H2125" s="917">
        <f>VLOOKUP($A2125,'Tech Litons'!$A:$I,9,FALSE)</f>
        <v>255</v>
      </c>
      <c r="I2125" s="917" t="str">
        <f>VLOOKUP($A2125,'Tech Litons'!$A:$C,3,0)</f>
        <v>Talenti</v>
      </c>
      <c r="J2125" s="918" t="str">
        <f t="shared" si="217"/>
        <v>2904Talenti</v>
      </c>
      <c r="K2125" s="919">
        <v>1</v>
      </c>
      <c r="L2125" s="920">
        <f t="shared" si="216"/>
        <v>1421</v>
      </c>
      <c r="M2125" s="920">
        <f t="shared" si="218"/>
        <v>5.3770639999999998</v>
      </c>
      <c r="N2125" s="920">
        <f t="shared" si="219"/>
        <v>5.5725490196078429</v>
      </c>
      <c r="O2125" s="918" t="str">
        <f t="shared" si="220"/>
        <v>Feb</v>
      </c>
      <c r="P2125" s="921">
        <f t="shared" si="221"/>
        <v>8</v>
      </c>
    </row>
    <row r="2126" spans="1:16" ht="15" hidden="1" customHeight="1">
      <c r="A2126" s="839">
        <v>64369035</v>
      </c>
      <c r="B2126" s="839">
        <v>2904</v>
      </c>
      <c r="C2126" s="906">
        <v>6423</v>
      </c>
      <c r="D2126" s="907">
        <v>46065</v>
      </c>
      <c r="E2126" s="839" t="s">
        <v>457</v>
      </c>
      <c r="F2126" s="839" t="s">
        <v>275</v>
      </c>
      <c r="G2126" s="916">
        <f>VLOOKUP($A2126,'Tech Litons'!$A:$I,8,FALSE)</f>
        <v>3.7839999999999996E-3</v>
      </c>
      <c r="H2126" s="917">
        <f>VLOOKUP($A2126,'Tech Litons'!$A:$I,9,FALSE)</f>
        <v>255</v>
      </c>
      <c r="I2126" s="917" t="str">
        <f>VLOOKUP($A2126,'Tech Litons'!$A:$C,3,0)</f>
        <v>Talenti</v>
      </c>
      <c r="J2126" s="918" t="str">
        <f t="shared" si="217"/>
        <v>2904Talenti</v>
      </c>
      <c r="K2126" s="919">
        <v>1</v>
      </c>
      <c r="L2126" s="920">
        <f t="shared" si="216"/>
        <v>6423</v>
      </c>
      <c r="M2126" s="920">
        <f t="shared" si="218"/>
        <v>24.304631999999998</v>
      </c>
      <c r="N2126" s="920">
        <f t="shared" si="219"/>
        <v>25.188235294117646</v>
      </c>
      <c r="O2126" s="918" t="str">
        <f t="shared" si="220"/>
        <v>Feb</v>
      </c>
      <c r="P2126" s="921">
        <f t="shared" si="221"/>
        <v>7</v>
      </c>
    </row>
    <row r="2127" spans="1:16" ht="15" hidden="1" customHeight="1">
      <c r="A2127" s="839">
        <v>64369035</v>
      </c>
      <c r="B2127" s="839">
        <v>2904</v>
      </c>
      <c r="C2127" s="906">
        <v>5085</v>
      </c>
      <c r="D2127" s="907">
        <v>46066</v>
      </c>
      <c r="E2127" s="839" t="s">
        <v>457</v>
      </c>
      <c r="F2127" s="839" t="s">
        <v>275</v>
      </c>
      <c r="G2127" s="916">
        <f>VLOOKUP($A2127,'Tech Litons'!$A:$I,8,FALSE)</f>
        <v>3.7839999999999996E-3</v>
      </c>
      <c r="H2127" s="917">
        <f>VLOOKUP($A2127,'Tech Litons'!$A:$I,9,FALSE)</f>
        <v>255</v>
      </c>
      <c r="I2127" s="917" t="str">
        <f>VLOOKUP($A2127,'Tech Litons'!$A:$C,3,0)</f>
        <v>Talenti</v>
      </c>
      <c r="J2127" s="918" t="str">
        <f t="shared" si="217"/>
        <v>2904Talenti</v>
      </c>
      <c r="K2127" s="919">
        <v>1</v>
      </c>
      <c r="L2127" s="920">
        <f t="shared" si="216"/>
        <v>5085</v>
      </c>
      <c r="M2127" s="920">
        <f t="shared" si="218"/>
        <v>19.241639999999997</v>
      </c>
      <c r="N2127" s="920">
        <f t="shared" si="219"/>
        <v>19.941176470588236</v>
      </c>
      <c r="O2127" s="918" t="str">
        <f t="shared" si="220"/>
        <v>Feb</v>
      </c>
      <c r="P2127" s="921">
        <f t="shared" si="221"/>
        <v>7</v>
      </c>
    </row>
    <row r="2128" spans="1:16" ht="15" hidden="1" customHeight="1">
      <c r="A2128" s="839">
        <v>64369035</v>
      </c>
      <c r="B2128" s="839">
        <v>2904</v>
      </c>
      <c r="C2128" s="906">
        <v>1275</v>
      </c>
      <c r="D2128" s="907">
        <v>46064</v>
      </c>
      <c r="E2128" s="839" t="s">
        <v>457</v>
      </c>
      <c r="F2128" s="839" t="s">
        <v>275</v>
      </c>
      <c r="G2128" s="916">
        <f>VLOOKUP($A2128,'Tech Litons'!$A:$I,8,FALSE)</f>
        <v>3.7839999999999996E-3</v>
      </c>
      <c r="H2128" s="917">
        <f>VLOOKUP($A2128,'Tech Litons'!$A:$I,9,FALSE)</f>
        <v>255</v>
      </c>
      <c r="I2128" s="917" t="str">
        <f>VLOOKUP($A2128,'Tech Litons'!$A:$C,3,0)</f>
        <v>Talenti</v>
      </c>
      <c r="J2128" s="918" t="str">
        <f t="shared" si="217"/>
        <v>2904Talenti</v>
      </c>
      <c r="K2128" s="919">
        <v>1</v>
      </c>
      <c r="L2128" s="920">
        <f t="shared" si="216"/>
        <v>1275</v>
      </c>
      <c r="M2128" s="920">
        <f t="shared" si="218"/>
        <v>4.8245999999999993</v>
      </c>
      <c r="N2128" s="920">
        <f t="shared" si="219"/>
        <v>5</v>
      </c>
      <c r="O2128" s="918" t="str">
        <f t="shared" si="220"/>
        <v>Feb</v>
      </c>
      <c r="P2128" s="921">
        <f t="shared" si="221"/>
        <v>7</v>
      </c>
    </row>
    <row r="2129" spans="1:16" ht="15" hidden="1" customHeight="1">
      <c r="A2129" s="839">
        <v>64369035</v>
      </c>
      <c r="B2129" s="839">
        <v>2904</v>
      </c>
      <c r="C2129" s="906">
        <v>6085</v>
      </c>
      <c r="D2129" s="907">
        <v>46065</v>
      </c>
      <c r="E2129" s="839" t="s">
        <v>457</v>
      </c>
      <c r="F2129" s="839" t="s">
        <v>275</v>
      </c>
      <c r="G2129" s="916">
        <f>VLOOKUP($A2129,'Tech Litons'!$A:$I,8,FALSE)</f>
        <v>3.7839999999999996E-3</v>
      </c>
      <c r="H2129" s="917">
        <f>VLOOKUP($A2129,'Tech Litons'!$A:$I,9,FALSE)</f>
        <v>255</v>
      </c>
      <c r="I2129" s="917" t="str">
        <f>VLOOKUP($A2129,'Tech Litons'!$A:$C,3,0)</f>
        <v>Talenti</v>
      </c>
      <c r="J2129" s="918" t="str">
        <f t="shared" si="217"/>
        <v>2904Talenti</v>
      </c>
      <c r="K2129" s="919">
        <v>1</v>
      </c>
      <c r="L2129" s="920">
        <f t="shared" si="216"/>
        <v>6085</v>
      </c>
      <c r="M2129" s="920">
        <f t="shared" si="218"/>
        <v>23.025639999999999</v>
      </c>
      <c r="N2129" s="920">
        <f t="shared" si="219"/>
        <v>23.862745098039216</v>
      </c>
      <c r="O2129" s="918" t="str">
        <f t="shared" si="220"/>
        <v>Feb</v>
      </c>
      <c r="P2129" s="921">
        <f t="shared" si="221"/>
        <v>7</v>
      </c>
    </row>
    <row r="2130" spans="1:16" ht="15" hidden="1" customHeight="1">
      <c r="A2130" s="839">
        <v>64373718</v>
      </c>
      <c r="B2130" s="839">
        <v>2904</v>
      </c>
      <c r="C2130" s="906">
        <v>1408</v>
      </c>
      <c r="D2130" s="907">
        <v>46052</v>
      </c>
      <c r="E2130" s="839" t="s">
        <v>316</v>
      </c>
      <c r="F2130" s="839" t="s">
        <v>269</v>
      </c>
      <c r="G2130" s="916">
        <f>VLOOKUP($A2130,'Tech Litons'!$A:$I,8,FALSE)</f>
        <v>8.5199999999999998E-3</v>
      </c>
      <c r="H2130" s="917">
        <f>VLOOKUP($A2130,'Tech Litons'!$A:$I,9,FALSE)</f>
        <v>176</v>
      </c>
      <c r="I2130" s="917" t="str">
        <f>VLOOKUP($A2130,'Tech Litons'!$A:$C,3,0)</f>
        <v>48oz</v>
      </c>
      <c r="J2130" s="918" t="str">
        <f t="shared" si="217"/>
        <v>290448oz</v>
      </c>
      <c r="K2130" s="919">
        <v>1</v>
      </c>
      <c r="L2130" s="920">
        <f t="shared" si="216"/>
        <v>1408</v>
      </c>
      <c r="M2130" s="920">
        <f t="shared" si="218"/>
        <v>11.99616</v>
      </c>
      <c r="N2130" s="920">
        <f t="shared" si="219"/>
        <v>8</v>
      </c>
      <c r="O2130" s="918" t="str">
        <f t="shared" si="220"/>
        <v>Jan</v>
      </c>
      <c r="P2130" s="921">
        <f t="shared" si="221"/>
        <v>5</v>
      </c>
    </row>
    <row r="2131" spans="1:16" ht="15" hidden="1" customHeight="1">
      <c r="A2131" s="839">
        <v>64373718</v>
      </c>
      <c r="B2131" s="839">
        <v>2904</v>
      </c>
      <c r="C2131" s="906">
        <v>3089</v>
      </c>
      <c r="D2131" s="907">
        <v>46053</v>
      </c>
      <c r="E2131" s="839" t="s">
        <v>316</v>
      </c>
      <c r="F2131" s="839" t="s">
        <v>269</v>
      </c>
      <c r="G2131" s="916">
        <f>VLOOKUP($A2131,'Tech Litons'!$A:$I,8,FALSE)</f>
        <v>8.5199999999999998E-3</v>
      </c>
      <c r="H2131" s="917">
        <f>VLOOKUP($A2131,'Tech Litons'!$A:$I,9,FALSE)</f>
        <v>176</v>
      </c>
      <c r="I2131" s="917" t="str">
        <f>VLOOKUP($A2131,'Tech Litons'!$A:$C,3,0)</f>
        <v>48oz</v>
      </c>
      <c r="J2131" s="918" t="str">
        <f t="shared" si="217"/>
        <v>290448oz</v>
      </c>
      <c r="K2131" s="919">
        <v>1</v>
      </c>
      <c r="L2131" s="920">
        <f t="shared" si="216"/>
        <v>3089</v>
      </c>
      <c r="M2131" s="920">
        <f t="shared" si="218"/>
        <v>26.318279999999998</v>
      </c>
      <c r="N2131" s="920">
        <f t="shared" si="219"/>
        <v>17.551136363636363</v>
      </c>
      <c r="O2131" s="918" t="str">
        <f t="shared" si="220"/>
        <v>Jan</v>
      </c>
      <c r="P2131" s="921">
        <f t="shared" si="221"/>
        <v>5</v>
      </c>
    </row>
    <row r="2132" spans="1:16" ht="15" hidden="1" customHeight="1">
      <c r="A2132" s="839">
        <v>64373718</v>
      </c>
      <c r="B2132" s="839">
        <v>2904</v>
      </c>
      <c r="C2132" s="906">
        <v>7920</v>
      </c>
      <c r="D2132" s="907">
        <v>46053</v>
      </c>
      <c r="E2132" s="839" t="s">
        <v>316</v>
      </c>
      <c r="F2132" s="839" t="s">
        <v>269</v>
      </c>
      <c r="G2132" s="916">
        <f>VLOOKUP($A2132,'Tech Litons'!$A:$I,8,FALSE)</f>
        <v>8.5199999999999998E-3</v>
      </c>
      <c r="H2132" s="917">
        <f>VLOOKUP($A2132,'Tech Litons'!$A:$I,9,FALSE)</f>
        <v>176</v>
      </c>
      <c r="I2132" s="917" t="str">
        <f>VLOOKUP($A2132,'Tech Litons'!$A:$C,3,0)</f>
        <v>48oz</v>
      </c>
      <c r="J2132" s="918" t="str">
        <f t="shared" si="217"/>
        <v>290448oz</v>
      </c>
      <c r="K2132" s="919">
        <v>1</v>
      </c>
      <c r="L2132" s="920">
        <f t="shared" si="216"/>
        <v>7920</v>
      </c>
      <c r="M2132" s="920">
        <f t="shared" si="218"/>
        <v>67.478399999999993</v>
      </c>
      <c r="N2132" s="920">
        <f t="shared" si="219"/>
        <v>45</v>
      </c>
      <c r="O2132" s="918" t="str">
        <f t="shared" si="220"/>
        <v>Jan</v>
      </c>
      <c r="P2132" s="921">
        <f t="shared" si="221"/>
        <v>5</v>
      </c>
    </row>
    <row r="2133" spans="1:16" ht="15" hidden="1" customHeight="1">
      <c r="A2133" s="839">
        <v>64373718</v>
      </c>
      <c r="B2133" s="839">
        <v>2904</v>
      </c>
      <c r="C2133" s="906">
        <v>5280</v>
      </c>
      <c r="D2133" s="907">
        <v>46054</v>
      </c>
      <c r="E2133" s="839" t="s">
        <v>316</v>
      </c>
      <c r="F2133" s="839" t="s">
        <v>269</v>
      </c>
      <c r="G2133" s="916">
        <f>VLOOKUP($A2133,'Tech Litons'!$A:$I,8,FALSE)</f>
        <v>8.5199999999999998E-3</v>
      </c>
      <c r="H2133" s="917">
        <f>VLOOKUP($A2133,'Tech Litons'!$A:$I,9,FALSE)</f>
        <v>176</v>
      </c>
      <c r="I2133" s="917" t="str">
        <f>VLOOKUP($A2133,'Tech Litons'!$A:$C,3,0)</f>
        <v>48oz</v>
      </c>
      <c r="J2133" s="918" t="str">
        <f t="shared" si="217"/>
        <v>290448oz</v>
      </c>
      <c r="K2133" s="919">
        <v>1</v>
      </c>
      <c r="L2133" s="920">
        <f t="shared" si="216"/>
        <v>5280</v>
      </c>
      <c r="M2133" s="920">
        <f t="shared" si="218"/>
        <v>44.985599999999998</v>
      </c>
      <c r="N2133" s="920">
        <f t="shared" si="219"/>
        <v>30</v>
      </c>
      <c r="O2133" s="918" t="str">
        <f t="shared" si="220"/>
        <v>Feb</v>
      </c>
      <c r="P2133" s="921">
        <f t="shared" si="221"/>
        <v>6</v>
      </c>
    </row>
    <row r="2134" spans="1:16" ht="15" hidden="1" customHeight="1">
      <c r="A2134" s="839">
        <v>64373718</v>
      </c>
      <c r="B2134" s="839">
        <v>2904</v>
      </c>
      <c r="C2134" s="906">
        <v>-176</v>
      </c>
      <c r="D2134" s="907">
        <v>46059</v>
      </c>
      <c r="E2134" s="839" t="s">
        <v>316</v>
      </c>
      <c r="F2134" s="839" t="s">
        <v>269</v>
      </c>
      <c r="G2134" s="916">
        <f>VLOOKUP($A2134,'Tech Litons'!$A:$I,8,FALSE)</f>
        <v>8.5199999999999998E-3</v>
      </c>
      <c r="H2134" s="917">
        <f>VLOOKUP($A2134,'Tech Litons'!$A:$I,9,FALSE)</f>
        <v>176</v>
      </c>
      <c r="I2134" s="917" t="str">
        <f>VLOOKUP($A2134,'Tech Litons'!$A:$C,3,0)</f>
        <v>48oz</v>
      </c>
      <c r="J2134" s="918" t="str">
        <f t="shared" si="217"/>
        <v>290448oz</v>
      </c>
      <c r="K2134" s="919">
        <v>1</v>
      </c>
      <c r="L2134" s="920">
        <f t="shared" si="216"/>
        <v>-176</v>
      </c>
      <c r="M2134" s="920">
        <f t="shared" si="218"/>
        <v>-1.49952</v>
      </c>
      <c r="N2134" s="920">
        <f t="shared" si="219"/>
        <v>-1</v>
      </c>
      <c r="O2134" s="918" t="str">
        <f t="shared" si="220"/>
        <v>Feb</v>
      </c>
      <c r="P2134" s="921">
        <f t="shared" si="221"/>
        <v>6</v>
      </c>
    </row>
    <row r="2135" spans="1:16" ht="15" hidden="1" customHeight="1">
      <c r="A2135" s="839">
        <v>64373718</v>
      </c>
      <c r="B2135" s="839">
        <v>2904</v>
      </c>
      <c r="C2135" s="906">
        <v>4281</v>
      </c>
      <c r="D2135" s="907">
        <v>46054</v>
      </c>
      <c r="E2135" s="839" t="s">
        <v>316</v>
      </c>
      <c r="F2135" s="839" t="s">
        <v>269</v>
      </c>
      <c r="G2135" s="916">
        <f>VLOOKUP($A2135,'Tech Litons'!$A:$I,8,FALSE)</f>
        <v>8.5199999999999998E-3</v>
      </c>
      <c r="H2135" s="917">
        <f>VLOOKUP($A2135,'Tech Litons'!$A:$I,9,FALSE)</f>
        <v>176</v>
      </c>
      <c r="I2135" s="917" t="str">
        <f>VLOOKUP($A2135,'Tech Litons'!$A:$C,3,0)</f>
        <v>48oz</v>
      </c>
      <c r="J2135" s="918" t="str">
        <f t="shared" si="217"/>
        <v>290448oz</v>
      </c>
      <c r="K2135" s="919">
        <v>1</v>
      </c>
      <c r="L2135" s="920">
        <f t="shared" si="216"/>
        <v>4281</v>
      </c>
      <c r="M2135" s="920">
        <f t="shared" si="218"/>
        <v>36.474119999999999</v>
      </c>
      <c r="N2135" s="920">
        <f t="shared" si="219"/>
        <v>24.323863636363637</v>
      </c>
      <c r="O2135" s="918" t="str">
        <f t="shared" si="220"/>
        <v>Feb</v>
      </c>
      <c r="P2135" s="921">
        <f t="shared" si="221"/>
        <v>6</v>
      </c>
    </row>
    <row r="2136" spans="1:16" ht="15" hidden="1" customHeight="1">
      <c r="A2136" s="839">
        <v>64373718</v>
      </c>
      <c r="B2136" s="839">
        <v>2904</v>
      </c>
      <c r="C2136" s="906">
        <v>5632</v>
      </c>
      <c r="D2136" s="907">
        <v>46055</v>
      </c>
      <c r="E2136" s="839" t="s">
        <v>316</v>
      </c>
      <c r="F2136" s="839" t="s">
        <v>269</v>
      </c>
      <c r="G2136" s="916">
        <f>VLOOKUP($A2136,'Tech Litons'!$A:$I,8,FALSE)</f>
        <v>8.5199999999999998E-3</v>
      </c>
      <c r="H2136" s="917">
        <f>VLOOKUP($A2136,'Tech Litons'!$A:$I,9,FALSE)</f>
        <v>176</v>
      </c>
      <c r="I2136" s="917" t="str">
        <f>VLOOKUP($A2136,'Tech Litons'!$A:$C,3,0)</f>
        <v>48oz</v>
      </c>
      <c r="J2136" s="918" t="str">
        <f t="shared" si="217"/>
        <v>290448oz</v>
      </c>
      <c r="K2136" s="919">
        <v>1</v>
      </c>
      <c r="L2136" s="920">
        <f t="shared" si="216"/>
        <v>5632</v>
      </c>
      <c r="M2136" s="920">
        <f t="shared" si="218"/>
        <v>47.984639999999999</v>
      </c>
      <c r="N2136" s="920">
        <f t="shared" si="219"/>
        <v>32</v>
      </c>
      <c r="O2136" s="918" t="str">
        <f t="shared" si="220"/>
        <v>Feb</v>
      </c>
      <c r="P2136" s="921">
        <f t="shared" si="221"/>
        <v>6</v>
      </c>
    </row>
    <row r="2137" spans="1:16" ht="15" hidden="1" customHeight="1">
      <c r="A2137" s="839">
        <v>64373718</v>
      </c>
      <c r="B2137" s="839">
        <v>2904</v>
      </c>
      <c r="C2137" s="906">
        <v>5021</v>
      </c>
      <c r="D2137" s="907">
        <v>46056</v>
      </c>
      <c r="E2137" s="839" t="s">
        <v>316</v>
      </c>
      <c r="F2137" s="839" t="s">
        <v>269</v>
      </c>
      <c r="G2137" s="916">
        <f>VLOOKUP($A2137,'Tech Litons'!$A:$I,8,FALSE)</f>
        <v>8.5199999999999998E-3</v>
      </c>
      <c r="H2137" s="917">
        <f>VLOOKUP($A2137,'Tech Litons'!$A:$I,9,FALSE)</f>
        <v>176</v>
      </c>
      <c r="I2137" s="917" t="str">
        <f>VLOOKUP($A2137,'Tech Litons'!$A:$C,3,0)</f>
        <v>48oz</v>
      </c>
      <c r="J2137" s="918" t="str">
        <f t="shared" si="217"/>
        <v>290448oz</v>
      </c>
      <c r="K2137" s="919">
        <v>1</v>
      </c>
      <c r="L2137" s="920">
        <f t="shared" si="216"/>
        <v>5021</v>
      </c>
      <c r="M2137" s="920">
        <f t="shared" si="218"/>
        <v>42.778919999999999</v>
      </c>
      <c r="N2137" s="920">
        <f t="shared" si="219"/>
        <v>28.52840909090909</v>
      </c>
      <c r="O2137" s="918" t="str">
        <f t="shared" si="220"/>
        <v>Feb</v>
      </c>
      <c r="P2137" s="921">
        <f t="shared" si="221"/>
        <v>6</v>
      </c>
    </row>
    <row r="2138" spans="1:16" ht="15" hidden="1" customHeight="1">
      <c r="A2138" s="839">
        <v>64373718</v>
      </c>
      <c r="B2138" s="839">
        <v>2904</v>
      </c>
      <c r="C2138" s="906">
        <v>7689</v>
      </c>
      <c r="D2138" s="907">
        <v>46057</v>
      </c>
      <c r="E2138" s="839" t="s">
        <v>316</v>
      </c>
      <c r="F2138" s="839" t="s">
        <v>269</v>
      </c>
      <c r="G2138" s="916">
        <f>VLOOKUP($A2138,'Tech Litons'!$A:$I,8,FALSE)</f>
        <v>8.5199999999999998E-3</v>
      </c>
      <c r="H2138" s="917">
        <f>VLOOKUP($A2138,'Tech Litons'!$A:$I,9,FALSE)</f>
        <v>176</v>
      </c>
      <c r="I2138" s="917" t="str">
        <f>VLOOKUP($A2138,'Tech Litons'!$A:$C,3,0)</f>
        <v>48oz</v>
      </c>
      <c r="J2138" s="918" t="str">
        <f t="shared" si="217"/>
        <v>290448oz</v>
      </c>
      <c r="K2138" s="919">
        <v>1</v>
      </c>
      <c r="L2138" s="920">
        <f t="shared" si="216"/>
        <v>7689</v>
      </c>
      <c r="M2138" s="920">
        <f t="shared" si="218"/>
        <v>65.510279999999995</v>
      </c>
      <c r="N2138" s="920">
        <f t="shared" si="219"/>
        <v>43.6875</v>
      </c>
      <c r="O2138" s="918" t="str">
        <f t="shared" si="220"/>
        <v>Feb</v>
      </c>
      <c r="P2138" s="921">
        <f t="shared" si="221"/>
        <v>6</v>
      </c>
    </row>
    <row r="2139" spans="1:16" ht="15" hidden="1" customHeight="1">
      <c r="A2139" s="839">
        <v>64373718</v>
      </c>
      <c r="B2139" s="839">
        <v>2904</v>
      </c>
      <c r="C2139" s="906">
        <v>4515</v>
      </c>
      <c r="D2139" s="907">
        <v>46057</v>
      </c>
      <c r="E2139" s="839" t="s">
        <v>316</v>
      </c>
      <c r="F2139" s="839" t="s">
        <v>269</v>
      </c>
      <c r="G2139" s="916">
        <f>VLOOKUP($A2139,'Tech Litons'!$A:$I,8,FALSE)</f>
        <v>8.5199999999999998E-3</v>
      </c>
      <c r="H2139" s="917">
        <f>VLOOKUP($A2139,'Tech Litons'!$A:$I,9,FALSE)</f>
        <v>176</v>
      </c>
      <c r="I2139" s="917" t="str">
        <f>VLOOKUP($A2139,'Tech Litons'!$A:$C,3,0)</f>
        <v>48oz</v>
      </c>
      <c r="J2139" s="918" t="str">
        <f t="shared" si="217"/>
        <v>290448oz</v>
      </c>
      <c r="K2139" s="919">
        <v>1</v>
      </c>
      <c r="L2139" s="920">
        <f t="shared" si="216"/>
        <v>4515</v>
      </c>
      <c r="M2139" s="920">
        <f t="shared" si="218"/>
        <v>38.467799999999997</v>
      </c>
      <c r="N2139" s="920">
        <f t="shared" si="219"/>
        <v>25.65340909090909</v>
      </c>
      <c r="O2139" s="918" t="str">
        <f t="shared" si="220"/>
        <v>Feb</v>
      </c>
      <c r="P2139" s="921">
        <f t="shared" si="221"/>
        <v>6</v>
      </c>
    </row>
    <row r="2140" spans="1:16" ht="15" hidden="1" customHeight="1">
      <c r="A2140" s="839">
        <v>64373718</v>
      </c>
      <c r="B2140" s="839">
        <v>2904</v>
      </c>
      <c r="C2140" s="906">
        <v>5746</v>
      </c>
      <c r="D2140" s="907">
        <v>46058</v>
      </c>
      <c r="E2140" s="839" t="s">
        <v>316</v>
      </c>
      <c r="F2140" s="839" t="s">
        <v>269</v>
      </c>
      <c r="G2140" s="916">
        <f>VLOOKUP($A2140,'Tech Litons'!$A:$I,8,FALSE)</f>
        <v>8.5199999999999998E-3</v>
      </c>
      <c r="H2140" s="917">
        <f>VLOOKUP($A2140,'Tech Litons'!$A:$I,9,FALSE)</f>
        <v>176</v>
      </c>
      <c r="I2140" s="917" t="str">
        <f>VLOOKUP($A2140,'Tech Litons'!$A:$C,3,0)</f>
        <v>48oz</v>
      </c>
      <c r="J2140" s="918" t="str">
        <f t="shared" si="217"/>
        <v>290448oz</v>
      </c>
      <c r="K2140" s="919">
        <v>1</v>
      </c>
      <c r="L2140" s="920">
        <f t="shared" si="216"/>
        <v>5746</v>
      </c>
      <c r="M2140" s="920">
        <f t="shared" si="218"/>
        <v>48.955919999999999</v>
      </c>
      <c r="N2140" s="920">
        <f t="shared" si="219"/>
        <v>32.647727272727273</v>
      </c>
      <c r="O2140" s="918" t="str">
        <f t="shared" si="220"/>
        <v>Feb</v>
      </c>
      <c r="P2140" s="921">
        <f t="shared" si="221"/>
        <v>6</v>
      </c>
    </row>
    <row r="2141" spans="1:16" ht="15" hidden="1" customHeight="1">
      <c r="A2141" s="839">
        <v>64373718</v>
      </c>
      <c r="B2141" s="839">
        <v>2904</v>
      </c>
      <c r="C2141" s="906">
        <v>3872</v>
      </c>
      <c r="D2141" s="907">
        <v>46058</v>
      </c>
      <c r="E2141" s="839" t="s">
        <v>316</v>
      </c>
      <c r="F2141" s="839" t="s">
        <v>269</v>
      </c>
      <c r="G2141" s="916">
        <f>VLOOKUP($A2141,'Tech Litons'!$A:$I,8,FALSE)</f>
        <v>8.5199999999999998E-3</v>
      </c>
      <c r="H2141" s="917">
        <f>VLOOKUP($A2141,'Tech Litons'!$A:$I,9,FALSE)</f>
        <v>176</v>
      </c>
      <c r="I2141" s="917" t="str">
        <f>VLOOKUP($A2141,'Tech Litons'!$A:$C,3,0)</f>
        <v>48oz</v>
      </c>
      <c r="J2141" s="918" t="str">
        <f t="shared" si="217"/>
        <v>290448oz</v>
      </c>
      <c r="K2141" s="919">
        <v>1</v>
      </c>
      <c r="L2141" s="920">
        <f t="shared" si="216"/>
        <v>3872</v>
      </c>
      <c r="M2141" s="920">
        <f t="shared" si="218"/>
        <v>32.989440000000002</v>
      </c>
      <c r="N2141" s="920">
        <f t="shared" si="219"/>
        <v>22</v>
      </c>
      <c r="O2141" s="918" t="str">
        <f t="shared" si="220"/>
        <v>Feb</v>
      </c>
      <c r="P2141" s="921">
        <f t="shared" si="221"/>
        <v>6</v>
      </c>
    </row>
    <row r="2142" spans="1:16" ht="15" hidden="1" customHeight="1">
      <c r="A2142" s="839">
        <v>64373718</v>
      </c>
      <c r="B2142" s="839">
        <v>2904</v>
      </c>
      <c r="C2142" s="906">
        <v>381</v>
      </c>
      <c r="D2142" s="907">
        <v>46059</v>
      </c>
      <c r="E2142" s="839" t="s">
        <v>316</v>
      </c>
      <c r="F2142" s="839" t="s">
        <v>269</v>
      </c>
      <c r="G2142" s="916">
        <f>VLOOKUP($A2142,'Tech Litons'!$A:$I,8,FALSE)</f>
        <v>8.5199999999999998E-3</v>
      </c>
      <c r="H2142" s="917">
        <f>VLOOKUP($A2142,'Tech Litons'!$A:$I,9,FALSE)</f>
        <v>176</v>
      </c>
      <c r="I2142" s="917" t="str">
        <f>VLOOKUP($A2142,'Tech Litons'!$A:$C,3,0)</f>
        <v>48oz</v>
      </c>
      <c r="J2142" s="918" t="str">
        <f t="shared" si="217"/>
        <v>290448oz</v>
      </c>
      <c r="K2142" s="919">
        <v>1</v>
      </c>
      <c r="L2142" s="920">
        <f t="shared" si="216"/>
        <v>381</v>
      </c>
      <c r="M2142" s="920">
        <f t="shared" si="218"/>
        <v>3.2461199999999999</v>
      </c>
      <c r="N2142" s="920">
        <f t="shared" si="219"/>
        <v>2.1647727272727271</v>
      </c>
      <c r="O2142" s="918" t="str">
        <f t="shared" si="220"/>
        <v>Feb</v>
      </c>
      <c r="P2142" s="921">
        <f t="shared" si="221"/>
        <v>6</v>
      </c>
    </row>
    <row r="2143" spans="1:16" ht="15" hidden="1" customHeight="1">
      <c r="A2143" s="839">
        <v>64373718</v>
      </c>
      <c r="B2143" s="839">
        <v>2904</v>
      </c>
      <c r="C2143" s="906">
        <v>6103</v>
      </c>
      <c r="D2143" s="907">
        <v>46055</v>
      </c>
      <c r="E2143" s="839" t="s">
        <v>316</v>
      </c>
      <c r="F2143" s="839" t="s">
        <v>269</v>
      </c>
      <c r="G2143" s="916">
        <f>VLOOKUP($A2143,'Tech Litons'!$A:$I,8,FALSE)</f>
        <v>8.5199999999999998E-3</v>
      </c>
      <c r="H2143" s="917">
        <f>VLOOKUP($A2143,'Tech Litons'!$A:$I,9,FALSE)</f>
        <v>176</v>
      </c>
      <c r="I2143" s="917" t="str">
        <f>VLOOKUP($A2143,'Tech Litons'!$A:$C,3,0)</f>
        <v>48oz</v>
      </c>
      <c r="J2143" s="918" t="str">
        <f t="shared" si="217"/>
        <v>290448oz</v>
      </c>
      <c r="K2143" s="919">
        <v>1</v>
      </c>
      <c r="L2143" s="920">
        <f t="shared" si="216"/>
        <v>6103</v>
      </c>
      <c r="M2143" s="920">
        <f t="shared" si="218"/>
        <v>51.99756</v>
      </c>
      <c r="N2143" s="920">
        <f t="shared" si="219"/>
        <v>34.676136363636367</v>
      </c>
      <c r="O2143" s="918" t="str">
        <f t="shared" si="220"/>
        <v>Feb</v>
      </c>
      <c r="P2143" s="921">
        <f t="shared" si="221"/>
        <v>6</v>
      </c>
    </row>
    <row r="2144" spans="1:16" ht="15" hidden="1" customHeight="1">
      <c r="A2144" s="839">
        <v>64373718</v>
      </c>
      <c r="B2144" s="839">
        <v>2904</v>
      </c>
      <c r="C2144" s="906">
        <v>5764</v>
      </c>
      <c r="D2144" s="907">
        <v>46056</v>
      </c>
      <c r="E2144" s="839" t="s">
        <v>316</v>
      </c>
      <c r="F2144" s="839" t="s">
        <v>269</v>
      </c>
      <c r="G2144" s="916">
        <f>VLOOKUP($A2144,'Tech Litons'!$A:$I,8,FALSE)</f>
        <v>8.5199999999999998E-3</v>
      </c>
      <c r="H2144" s="917">
        <f>VLOOKUP($A2144,'Tech Litons'!$A:$I,9,FALSE)</f>
        <v>176</v>
      </c>
      <c r="I2144" s="917" t="str">
        <f>VLOOKUP($A2144,'Tech Litons'!$A:$C,3,0)</f>
        <v>48oz</v>
      </c>
      <c r="J2144" s="918" t="str">
        <f t="shared" si="217"/>
        <v>290448oz</v>
      </c>
      <c r="K2144" s="919">
        <v>1</v>
      </c>
      <c r="L2144" s="920">
        <f t="shared" si="216"/>
        <v>5764</v>
      </c>
      <c r="M2144" s="920">
        <f t="shared" si="218"/>
        <v>49.109279999999998</v>
      </c>
      <c r="N2144" s="920">
        <f t="shared" si="219"/>
        <v>32.75</v>
      </c>
      <c r="O2144" s="918" t="str">
        <f t="shared" si="220"/>
        <v>Feb</v>
      </c>
      <c r="P2144" s="921">
        <f t="shared" si="221"/>
        <v>6</v>
      </c>
    </row>
    <row r="2145" spans="1:16" ht="15" hidden="1" customHeight="1">
      <c r="A2145" s="839">
        <v>64393722</v>
      </c>
      <c r="B2145" s="839">
        <v>2904</v>
      </c>
      <c r="C2145" s="906">
        <v>5148</v>
      </c>
      <c r="D2145" s="907">
        <v>46050</v>
      </c>
      <c r="E2145" s="839" t="s">
        <v>282</v>
      </c>
      <c r="F2145" s="839" t="s">
        <v>283</v>
      </c>
      <c r="G2145" s="916">
        <f>VLOOKUP($A2145,'Tech Litons'!$A:$I,8,FALSE)</f>
        <v>2.16E-3</v>
      </c>
      <c r="H2145" s="917">
        <f>VLOOKUP($A2145,'Tech Litons'!$A:$I,9,FALSE)</f>
        <v>210</v>
      </c>
      <c r="I2145" s="917" t="str">
        <f>VLOOKUP($A2145,'Tech Litons'!$A:$C,3,0)</f>
        <v>MG Sticks</v>
      </c>
      <c r="J2145" s="918" t="str">
        <f t="shared" si="217"/>
        <v>2904MG Sticks</v>
      </c>
      <c r="K2145" s="919">
        <v>1</v>
      </c>
      <c r="L2145" s="920">
        <f t="shared" si="216"/>
        <v>5148</v>
      </c>
      <c r="M2145" s="920">
        <f t="shared" si="218"/>
        <v>11.119680000000001</v>
      </c>
      <c r="N2145" s="920">
        <f t="shared" si="219"/>
        <v>24.514285714285716</v>
      </c>
      <c r="O2145" s="918" t="str">
        <f t="shared" si="220"/>
        <v>Jan</v>
      </c>
      <c r="P2145" s="921">
        <f t="shared" si="221"/>
        <v>5</v>
      </c>
    </row>
    <row r="2146" spans="1:16" ht="15" hidden="1" customHeight="1">
      <c r="A2146" s="839">
        <v>64393722</v>
      </c>
      <c r="B2146" s="839">
        <v>2904</v>
      </c>
      <c r="C2146" s="906">
        <v>4657</v>
      </c>
      <c r="D2146" s="907">
        <v>46050</v>
      </c>
      <c r="E2146" s="839" t="s">
        <v>282</v>
      </c>
      <c r="F2146" s="839" t="s">
        <v>283</v>
      </c>
      <c r="G2146" s="916">
        <f>VLOOKUP($A2146,'Tech Litons'!$A:$I,8,FALSE)</f>
        <v>2.16E-3</v>
      </c>
      <c r="H2146" s="917">
        <f>VLOOKUP($A2146,'Tech Litons'!$A:$I,9,FALSE)</f>
        <v>210</v>
      </c>
      <c r="I2146" s="917" t="str">
        <f>VLOOKUP($A2146,'Tech Litons'!$A:$C,3,0)</f>
        <v>MG Sticks</v>
      </c>
      <c r="J2146" s="918" t="str">
        <f t="shared" si="217"/>
        <v>2904MG Sticks</v>
      </c>
      <c r="K2146" s="919">
        <v>1</v>
      </c>
      <c r="L2146" s="920">
        <f t="shared" si="216"/>
        <v>4657</v>
      </c>
      <c r="M2146" s="920">
        <f t="shared" si="218"/>
        <v>10.05912</v>
      </c>
      <c r="N2146" s="920">
        <f t="shared" si="219"/>
        <v>22.176190476190477</v>
      </c>
      <c r="O2146" s="918" t="str">
        <f t="shared" si="220"/>
        <v>Jan</v>
      </c>
      <c r="P2146" s="921">
        <f t="shared" si="221"/>
        <v>5</v>
      </c>
    </row>
    <row r="2147" spans="1:16" ht="15" hidden="1" customHeight="1">
      <c r="A2147" s="839">
        <v>64393722</v>
      </c>
      <c r="B2147" s="839">
        <v>2904</v>
      </c>
      <c r="C2147" s="906">
        <v>5412</v>
      </c>
      <c r="D2147" s="907">
        <v>46051</v>
      </c>
      <c r="E2147" s="839" t="s">
        <v>282</v>
      </c>
      <c r="F2147" s="839" t="s">
        <v>283</v>
      </c>
      <c r="G2147" s="916">
        <f>VLOOKUP($A2147,'Tech Litons'!$A:$I,8,FALSE)</f>
        <v>2.16E-3</v>
      </c>
      <c r="H2147" s="917">
        <f>VLOOKUP($A2147,'Tech Litons'!$A:$I,9,FALSE)</f>
        <v>210</v>
      </c>
      <c r="I2147" s="917" t="str">
        <f>VLOOKUP($A2147,'Tech Litons'!$A:$C,3,0)</f>
        <v>MG Sticks</v>
      </c>
      <c r="J2147" s="918" t="str">
        <f t="shared" si="217"/>
        <v>2904MG Sticks</v>
      </c>
      <c r="K2147" s="919">
        <v>1</v>
      </c>
      <c r="L2147" s="920">
        <f t="shared" si="216"/>
        <v>5412</v>
      </c>
      <c r="M2147" s="920">
        <f t="shared" si="218"/>
        <v>11.689920000000001</v>
      </c>
      <c r="N2147" s="920">
        <f t="shared" si="219"/>
        <v>25.771428571428572</v>
      </c>
      <c r="O2147" s="918" t="str">
        <f t="shared" si="220"/>
        <v>Jan</v>
      </c>
      <c r="P2147" s="921">
        <f t="shared" si="221"/>
        <v>5</v>
      </c>
    </row>
    <row r="2148" spans="1:16" ht="15" hidden="1" customHeight="1">
      <c r="A2148" s="839">
        <v>64393722</v>
      </c>
      <c r="B2148" s="839">
        <v>2904</v>
      </c>
      <c r="C2148" s="906">
        <v>3466</v>
      </c>
      <c r="D2148" s="907">
        <v>46051</v>
      </c>
      <c r="E2148" s="839" t="s">
        <v>282</v>
      </c>
      <c r="F2148" s="839" t="s">
        <v>283</v>
      </c>
      <c r="G2148" s="916">
        <f>VLOOKUP($A2148,'Tech Litons'!$A:$I,8,FALSE)</f>
        <v>2.16E-3</v>
      </c>
      <c r="H2148" s="917">
        <f>VLOOKUP($A2148,'Tech Litons'!$A:$I,9,FALSE)</f>
        <v>210</v>
      </c>
      <c r="I2148" s="917" t="str">
        <f>VLOOKUP($A2148,'Tech Litons'!$A:$C,3,0)</f>
        <v>MG Sticks</v>
      </c>
      <c r="J2148" s="918" t="str">
        <f t="shared" si="217"/>
        <v>2904MG Sticks</v>
      </c>
      <c r="K2148" s="919">
        <v>1</v>
      </c>
      <c r="L2148" s="920">
        <f t="shared" si="216"/>
        <v>3466</v>
      </c>
      <c r="M2148" s="920">
        <f t="shared" si="218"/>
        <v>7.4865599999999999</v>
      </c>
      <c r="N2148" s="920">
        <f t="shared" si="219"/>
        <v>16.504761904761907</v>
      </c>
      <c r="O2148" s="918" t="str">
        <f t="shared" si="220"/>
        <v>Jan</v>
      </c>
      <c r="P2148" s="921">
        <f t="shared" si="221"/>
        <v>5</v>
      </c>
    </row>
    <row r="2149" spans="1:16" ht="15" hidden="1" customHeight="1">
      <c r="A2149" s="839">
        <v>64393722</v>
      </c>
      <c r="B2149" s="839">
        <v>2904</v>
      </c>
      <c r="C2149" s="906">
        <v>7226</v>
      </c>
      <c r="D2149" s="907">
        <v>46052</v>
      </c>
      <c r="E2149" s="839" t="s">
        <v>282</v>
      </c>
      <c r="F2149" s="839" t="s">
        <v>283</v>
      </c>
      <c r="G2149" s="916">
        <f>VLOOKUP($A2149,'Tech Litons'!$A:$I,8,FALSE)</f>
        <v>2.16E-3</v>
      </c>
      <c r="H2149" s="917">
        <f>VLOOKUP($A2149,'Tech Litons'!$A:$I,9,FALSE)</f>
        <v>210</v>
      </c>
      <c r="I2149" s="917" t="str">
        <f>VLOOKUP($A2149,'Tech Litons'!$A:$C,3,0)</f>
        <v>MG Sticks</v>
      </c>
      <c r="J2149" s="918" t="str">
        <f t="shared" si="217"/>
        <v>2904MG Sticks</v>
      </c>
      <c r="K2149" s="919">
        <v>1</v>
      </c>
      <c r="L2149" s="920">
        <f t="shared" si="216"/>
        <v>7226</v>
      </c>
      <c r="M2149" s="920">
        <f t="shared" si="218"/>
        <v>15.60816</v>
      </c>
      <c r="N2149" s="920">
        <f t="shared" si="219"/>
        <v>34.409523809523812</v>
      </c>
      <c r="O2149" s="918" t="str">
        <f t="shared" si="220"/>
        <v>Jan</v>
      </c>
      <c r="P2149" s="921">
        <f t="shared" si="221"/>
        <v>5</v>
      </c>
    </row>
    <row r="2150" spans="1:16" ht="15" hidden="1" customHeight="1">
      <c r="A2150" s="839">
        <v>64393722</v>
      </c>
      <c r="B2150" s="839">
        <v>2904</v>
      </c>
      <c r="C2150" s="906">
        <v>4578</v>
      </c>
      <c r="D2150" s="907">
        <v>46052</v>
      </c>
      <c r="E2150" s="839" t="s">
        <v>282</v>
      </c>
      <c r="F2150" s="839" t="s">
        <v>283</v>
      </c>
      <c r="G2150" s="916">
        <f>VLOOKUP($A2150,'Tech Litons'!$A:$I,8,FALSE)</f>
        <v>2.16E-3</v>
      </c>
      <c r="H2150" s="917">
        <f>VLOOKUP($A2150,'Tech Litons'!$A:$I,9,FALSE)</f>
        <v>210</v>
      </c>
      <c r="I2150" s="917" t="str">
        <f>VLOOKUP($A2150,'Tech Litons'!$A:$C,3,0)</f>
        <v>MG Sticks</v>
      </c>
      <c r="J2150" s="918" t="str">
        <f t="shared" si="217"/>
        <v>2904MG Sticks</v>
      </c>
      <c r="K2150" s="919">
        <v>1</v>
      </c>
      <c r="L2150" s="920">
        <f t="shared" si="216"/>
        <v>4578</v>
      </c>
      <c r="M2150" s="920">
        <f t="shared" si="218"/>
        <v>9.8884799999999995</v>
      </c>
      <c r="N2150" s="920">
        <f t="shared" si="219"/>
        <v>21.8</v>
      </c>
      <c r="O2150" s="918" t="str">
        <f t="shared" si="220"/>
        <v>Jan</v>
      </c>
      <c r="P2150" s="921">
        <f t="shared" si="221"/>
        <v>5</v>
      </c>
    </row>
    <row r="2151" spans="1:16" ht="15" hidden="1" customHeight="1">
      <c r="A2151" s="839">
        <v>64393722</v>
      </c>
      <c r="B2151" s="839">
        <v>2904</v>
      </c>
      <c r="C2151" s="906">
        <v>5628</v>
      </c>
      <c r="D2151" s="907">
        <v>46053</v>
      </c>
      <c r="E2151" s="839" t="s">
        <v>282</v>
      </c>
      <c r="F2151" s="839" t="s">
        <v>283</v>
      </c>
      <c r="G2151" s="916">
        <f>VLOOKUP($A2151,'Tech Litons'!$A:$I,8,FALSE)</f>
        <v>2.16E-3</v>
      </c>
      <c r="H2151" s="917">
        <f>VLOOKUP($A2151,'Tech Litons'!$A:$I,9,FALSE)</f>
        <v>210</v>
      </c>
      <c r="I2151" s="917" t="str">
        <f>VLOOKUP($A2151,'Tech Litons'!$A:$C,3,0)</f>
        <v>MG Sticks</v>
      </c>
      <c r="J2151" s="918" t="str">
        <f t="shared" si="217"/>
        <v>2904MG Sticks</v>
      </c>
      <c r="K2151" s="919">
        <v>1</v>
      </c>
      <c r="L2151" s="920">
        <f t="shared" si="216"/>
        <v>5628</v>
      </c>
      <c r="M2151" s="920">
        <f t="shared" si="218"/>
        <v>12.15648</v>
      </c>
      <c r="N2151" s="920">
        <f t="shared" si="219"/>
        <v>26.8</v>
      </c>
      <c r="O2151" s="918" t="str">
        <f t="shared" si="220"/>
        <v>Jan</v>
      </c>
      <c r="P2151" s="921">
        <f t="shared" si="221"/>
        <v>5</v>
      </c>
    </row>
    <row r="2152" spans="1:16" ht="15" hidden="1" customHeight="1">
      <c r="A2152" s="839">
        <v>64393722</v>
      </c>
      <c r="B2152" s="839">
        <v>2904</v>
      </c>
      <c r="C2152" s="906">
        <v>2150</v>
      </c>
      <c r="D2152" s="907">
        <v>46055</v>
      </c>
      <c r="E2152" s="839" t="s">
        <v>282</v>
      </c>
      <c r="F2152" s="839" t="s">
        <v>283</v>
      </c>
      <c r="G2152" s="916">
        <f>VLOOKUP($A2152,'Tech Litons'!$A:$I,8,FALSE)</f>
        <v>2.16E-3</v>
      </c>
      <c r="H2152" s="917">
        <f>VLOOKUP($A2152,'Tech Litons'!$A:$I,9,FALSE)</f>
        <v>210</v>
      </c>
      <c r="I2152" s="917" t="str">
        <f>VLOOKUP($A2152,'Tech Litons'!$A:$C,3,0)</f>
        <v>MG Sticks</v>
      </c>
      <c r="J2152" s="918" t="str">
        <f t="shared" si="217"/>
        <v>2904MG Sticks</v>
      </c>
      <c r="K2152" s="919">
        <v>1</v>
      </c>
      <c r="L2152" s="920">
        <f t="shared" si="216"/>
        <v>2150</v>
      </c>
      <c r="M2152" s="920">
        <f t="shared" si="218"/>
        <v>4.6440000000000001</v>
      </c>
      <c r="N2152" s="920">
        <f t="shared" si="219"/>
        <v>10.238095238095237</v>
      </c>
      <c r="O2152" s="918" t="str">
        <f t="shared" si="220"/>
        <v>Feb</v>
      </c>
      <c r="P2152" s="921">
        <f t="shared" si="221"/>
        <v>6</v>
      </c>
    </row>
    <row r="2153" spans="1:16" ht="15" hidden="1" customHeight="1">
      <c r="A2153" s="839">
        <v>64393722</v>
      </c>
      <c r="B2153" s="839">
        <v>2904</v>
      </c>
      <c r="C2153" s="906">
        <v>7514</v>
      </c>
      <c r="D2153" s="907">
        <v>46053</v>
      </c>
      <c r="E2153" s="839" t="s">
        <v>282</v>
      </c>
      <c r="F2153" s="839" t="s">
        <v>283</v>
      </c>
      <c r="G2153" s="916">
        <f>VLOOKUP($A2153,'Tech Litons'!$A:$I,8,FALSE)</f>
        <v>2.16E-3</v>
      </c>
      <c r="H2153" s="917">
        <f>VLOOKUP($A2153,'Tech Litons'!$A:$I,9,FALSE)</f>
        <v>210</v>
      </c>
      <c r="I2153" s="917" t="str">
        <f>VLOOKUP($A2153,'Tech Litons'!$A:$C,3,0)</f>
        <v>MG Sticks</v>
      </c>
      <c r="J2153" s="918" t="str">
        <f t="shared" si="217"/>
        <v>2904MG Sticks</v>
      </c>
      <c r="K2153" s="919">
        <v>1</v>
      </c>
      <c r="L2153" s="920">
        <f t="shared" si="216"/>
        <v>7514</v>
      </c>
      <c r="M2153" s="920">
        <f t="shared" si="218"/>
        <v>16.230239999999998</v>
      </c>
      <c r="N2153" s="920">
        <f t="shared" si="219"/>
        <v>35.780952380952378</v>
      </c>
      <c r="O2153" s="918" t="str">
        <f t="shared" si="220"/>
        <v>Jan</v>
      </c>
      <c r="P2153" s="921">
        <f t="shared" si="221"/>
        <v>5</v>
      </c>
    </row>
    <row r="2154" spans="1:16" ht="15" hidden="1" customHeight="1">
      <c r="A2154" s="839">
        <v>64393722</v>
      </c>
      <c r="B2154" s="839">
        <v>2904</v>
      </c>
      <c r="C2154" s="906">
        <v>5670</v>
      </c>
      <c r="D2154" s="907">
        <v>46054</v>
      </c>
      <c r="E2154" s="839" t="s">
        <v>282</v>
      </c>
      <c r="F2154" s="839" t="s">
        <v>283</v>
      </c>
      <c r="G2154" s="916">
        <f>VLOOKUP($A2154,'Tech Litons'!$A:$I,8,FALSE)</f>
        <v>2.16E-3</v>
      </c>
      <c r="H2154" s="917">
        <f>VLOOKUP($A2154,'Tech Litons'!$A:$I,9,FALSE)</f>
        <v>210</v>
      </c>
      <c r="I2154" s="917" t="str">
        <f>VLOOKUP($A2154,'Tech Litons'!$A:$C,3,0)</f>
        <v>MG Sticks</v>
      </c>
      <c r="J2154" s="918" t="str">
        <f t="shared" si="217"/>
        <v>2904MG Sticks</v>
      </c>
      <c r="K2154" s="919">
        <v>1</v>
      </c>
      <c r="L2154" s="920">
        <f t="shared" si="216"/>
        <v>5670</v>
      </c>
      <c r="M2154" s="920">
        <f t="shared" si="218"/>
        <v>12.247199999999999</v>
      </c>
      <c r="N2154" s="920">
        <f t="shared" si="219"/>
        <v>27</v>
      </c>
      <c r="O2154" s="918" t="str">
        <f t="shared" si="220"/>
        <v>Feb</v>
      </c>
      <c r="P2154" s="921">
        <f t="shared" si="221"/>
        <v>6</v>
      </c>
    </row>
    <row r="2155" spans="1:16" ht="15" hidden="1" customHeight="1">
      <c r="A2155" s="839">
        <v>64393722</v>
      </c>
      <c r="B2155" s="839">
        <v>2904</v>
      </c>
      <c r="C2155" s="906">
        <v>5250</v>
      </c>
      <c r="D2155" s="907">
        <v>46054</v>
      </c>
      <c r="E2155" s="839" t="s">
        <v>282</v>
      </c>
      <c r="F2155" s="839" t="s">
        <v>283</v>
      </c>
      <c r="G2155" s="916">
        <f>VLOOKUP($A2155,'Tech Litons'!$A:$I,8,FALSE)</f>
        <v>2.16E-3</v>
      </c>
      <c r="H2155" s="917">
        <f>VLOOKUP($A2155,'Tech Litons'!$A:$I,9,FALSE)</f>
        <v>210</v>
      </c>
      <c r="I2155" s="917" t="str">
        <f>VLOOKUP($A2155,'Tech Litons'!$A:$C,3,0)</f>
        <v>MG Sticks</v>
      </c>
      <c r="J2155" s="918" t="str">
        <f t="shared" si="217"/>
        <v>2904MG Sticks</v>
      </c>
      <c r="K2155" s="919">
        <v>1</v>
      </c>
      <c r="L2155" s="920">
        <f t="shared" si="216"/>
        <v>5250</v>
      </c>
      <c r="M2155" s="920">
        <f t="shared" si="218"/>
        <v>11.34</v>
      </c>
      <c r="N2155" s="920">
        <f t="shared" si="219"/>
        <v>25</v>
      </c>
      <c r="O2155" s="918" t="str">
        <f t="shared" si="220"/>
        <v>Feb</v>
      </c>
      <c r="P2155" s="921">
        <f t="shared" si="221"/>
        <v>6</v>
      </c>
    </row>
    <row r="2156" spans="1:16" ht="15" hidden="1" customHeight="1">
      <c r="A2156" s="839">
        <v>64393722</v>
      </c>
      <c r="B2156" s="839">
        <v>2904</v>
      </c>
      <c r="C2156" s="906">
        <v>6300</v>
      </c>
      <c r="D2156" s="907">
        <v>46055</v>
      </c>
      <c r="E2156" s="839" t="s">
        <v>282</v>
      </c>
      <c r="F2156" s="839" t="s">
        <v>283</v>
      </c>
      <c r="G2156" s="916">
        <f>VLOOKUP($A2156,'Tech Litons'!$A:$I,8,FALSE)</f>
        <v>2.16E-3</v>
      </c>
      <c r="H2156" s="917">
        <f>VLOOKUP($A2156,'Tech Litons'!$A:$I,9,FALSE)</f>
        <v>210</v>
      </c>
      <c r="I2156" s="917" t="str">
        <f>VLOOKUP($A2156,'Tech Litons'!$A:$C,3,0)</f>
        <v>MG Sticks</v>
      </c>
      <c r="J2156" s="918" t="str">
        <f t="shared" si="217"/>
        <v>2904MG Sticks</v>
      </c>
      <c r="K2156" s="919">
        <v>1</v>
      </c>
      <c r="L2156" s="920">
        <f t="shared" si="216"/>
        <v>6300</v>
      </c>
      <c r="M2156" s="920">
        <f t="shared" si="218"/>
        <v>13.608000000000001</v>
      </c>
      <c r="N2156" s="920">
        <f t="shared" si="219"/>
        <v>30</v>
      </c>
      <c r="O2156" s="918" t="str">
        <f t="shared" si="220"/>
        <v>Feb</v>
      </c>
      <c r="P2156" s="921">
        <f t="shared" si="221"/>
        <v>6</v>
      </c>
    </row>
    <row r="2157" spans="1:16" ht="15" hidden="1" customHeight="1">
      <c r="A2157" s="839">
        <v>64393722</v>
      </c>
      <c r="B2157" s="839">
        <v>2904</v>
      </c>
      <c r="C2157" s="906">
        <v>4172</v>
      </c>
      <c r="D2157" s="907">
        <v>46055</v>
      </c>
      <c r="E2157" s="839" t="s">
        <v>282</v>
      </c>
      <c r="F2157" s="839" t="s">
        <v>283</v>
      </c>
      <c r="G2157" s="916">
        <f>VLOOKUP($A2157,'Tech Litons'!$A:$I,8,FALSE)</f>
        <v>2.16E-3</v>
      </c>
      <c r="H2157" s="917">
        <f>VLOOKUP($A2157,'Tech Litons'!$A:$I,9,FALSE)</f>
        <v>210</v>
      </c>
      <c r="I2157" s="917" t="str">
        <f>VLOOKUP($A2157,'Tech Litons'!$A:$C,3,0)</f>
        <v>MG Sticks</v>
      </c>
      <c r="J2157" s="918" t="str">
        <f t="shared" si="217"/>
        <v>2904MG Sticks</v>
      </c>
      <c r="K2157" s="919">
        <v>1</v>
      </c>
      <c r="L2157" s="920">
        <f t="shared" si="216"/>
        <v>4172</v>
      </c>
      <c r="M2157" s="920">
        <f t="shared" si="218"/>
        <v>9.0115200000000009</v>
      </c>
      <c r="N2157" s="920">
        <f t="shared" si="219"/>
        <v>19.866666666666667</v>
      </c>
      <c r="O2157" s="918" t="str">
        <f t="shared" si="220"/>
        <v>Feb</v>
      </c>
      <c r="P2157" s="921">
        <f t="shared" si="221"/>
        <v>6</v>
      </c>
    </row>
    <row r="2158" spans="1:16" ht="15" hidden="1" customHeight="1">
      <c r="A2158" s="839">
        <v>64393722</v>
      </c>
      <c r="B2158" s="839">
        <v>2904</v>
      </c>
      <c r="C2158" s="906">
        <v>5460</v>
      </c>
      <c r="D2158" s="907">
        <v>46056</v>
      </c>
      <c r="E2158" s="839" t="s">
        <v>282</v>
      </c>
      <c r="F2158" s="839" t="s">
        <v>283</v>
      </c>
      <c r="G2158" s="916">
        <f>VLOOKUP($A2158,'Tech Litons'!$A:$I,8,FALSE)</f>
        <v>2.16E-3</v>
      </c>
      <c r="H2158" s="917">
        <f>VLOOKUP($A2158,'Tech Litons'!$A:$I,9,FALSE)</f>
        <v>210</v>
      </c>
      <c r="I2158" s="917" t="str">
        <f>VLOOKUP($A2158,'Tech Litons'!$A:$C,3,0)</f>
        <v>MG Sticks</v>
      </c>
      <c r="J2158" s="918" t="str">
        <f t="shared" si="217"/>
        <v>2904MG Sticks</v>
      </c>
      <c r="K2158" s="919">
        <v>1</v>
      </c>
      <c r="L2158" s="920">
        <f t="shared" si="216"/>
        <v>5460</v>
      </c>
      <c r="M2158" s="920">
        <f t="shared" si="218"/>
        <v>11.7936</v>
      </c>
      <c r="N2158" s="920">
        <f t="shared" si="219"/>
        <v>26</v>
      </c>
      <c r="O2158" s="918" t="str">
        <f t="shared" si="220"/>
        <v>Feb</v>
      </c>
      <c r="P2158" s="921">
        <f t="shared" si="221"/>
        <v>6</v>
      </c>
    </row>
    <row r="2159" spans="1:16" ht="15" hidden="1" customHeight="1">
      <c r="A2159" s="839">
        <v>64393722</v>
      </c>
      <c r="B2159" s="839">
        <v>2904</v>
      </c>
      <c r="C2159" s="906">
        <v>3985</v>
      </c>
      <c r="D2159" s="907">
        <v>46056</v>
      </c>
      <c r="E2159" s="839" t="s">
        <v>282</v>
      </c>
      <c r="F2159" s="839" t="s">
        <v>283</v>
      </c>
      <c r="G2159" s="916">
        <f>VLOOKUP($A2159,'Tech Litons'!$A:$I,8,FALSE)</f>
        <v>2.16E-3</v>
      </c>
      <c r="H2159" s="917">
        <f>VLOOKUP($A2159,'Tech Litons'!$A:$I,9,FALSE)</f>
        <v>210</v>
      </c>
      <c r="I2159" s="917" t="str">
        <f>VLOOKUP($A2159,'Tech Litons'!$A:$C,3,0)</f>
        <v>MG Sticks</v>
      </c>
      <c r="J2159" s="918" t="str">
        <f t="shared" si="217"/>
        <v>2904MG Sticks</v>
      </c>
      <c r="K2159" s="919">
        <v>1</v>
      </c>
      <c r="L2159" s="920">
        <f t="shared" si="216"/>
        <v>3985</v>
      </c>
      <c r="M2159" s="920">
        <f t="shared" si="218"/>
        <v>8.6075999999999997</v>
      </c>
      <c r="N2159" s="920">
        <f t="shared" si="219"/>
        <v>18.976190476190474</v>
      </c>
      <c r="O2159" s="918" t="str">
        <f t="shared" si="220"/>
        <v>Feb</v>
      </c>
      <c r="P2159" s="921">
        <f t="shared" si="221"/>
        <v>6</v>
      </c>
    </row>
    <row r="2160" spans="1:16" ht="15" hidden="1" customHeight="1">
      <c r="A2160" s="839">
        <v>64393722</v>
      </c>
      <c r="B2160" s="839">
        <v>2904</v>
      </c>
      <c r="C2160" s="906">
        <v>4417</v>
      </c>
      <c r="D2160" s="907">
        <v>46057</v>
      </c>
      <c r="E2160" s="839" t="s">
        <v>282</v>
      </c>
      <c r="F2160" s="839" t="s">
        <v>283</v>
      </c>
      <c r="G2160" s="916">
        <f>VLOOKUP($A2160,'Tech Litons'!$A:$I,8,FALSE)</f>
        <v>2.16E-3</v>
      </c>
      <c r="H2160" s="917">
        <f>VLOOKUP($A2160,'Tech Litons'!$A:$I,9,FALSE)</f>
        <v>210</v>
      </c>
      <c r="I2160" s="917" t="str">
        <f>VLOOKUP($A2160,'Tech Litons'!$A:$C,3,0)</f>
        <v>MG Sticks</v>
      </c>
      <c r="J2160" s="918" t="str">
        <f t="shared" si="217"/>
        <v>2904MG Sticks</v>
      </c>
      <c r="K2160" s="919">
        <v>1</v>
      </c>
      <c r="L2160" s="920">
        <f t="shared" si="216"/>
        <v>4417</v>
      </c>
      <c r="M2160" s="920">
        <f t="shared" si="218"/>
        <v>9.5407200000000003</v>
      </c>
      <c r="N2160" s="920">
        <f t="shared" si="219"/>
        <v>21.033333333333335</v>
      </c>
      <c r="O2160" s="918" t="str">
        <f t="shared" si="220"/>
        <v>Feb</v>
      </c>
      <c r="P2160" s="921">
        <f t="shared" si="221"/>
        <v>6</v>
      </c>
    </row>
    <row r="2161" spans="1:16" ht="15" hidden="1" customHeight="1">
      <c r="A2161" s="839">
        <v>64393722</v>
      </c>
      <c r="B2161" s="839">
        <v>2904</v>
      </c>
      <c r="C2161" s="906">
        <v>5040</v>
      </c>
      <c r="D2161" s="907">
        <v>46069</v>
      </c>
      <c r="E2161" s="839" t="s">
        <v>282</v>
      </c>
      <c r="F2161" s="839" t="s">
        <v>283</v>
      </c>
      <c r="G2161" s="916">
        <f>VLOOKUP($A2161,'Tech Litons'!$A:$I,8,FALSE)</f>
        <v>2.16E-3</v>
      </c>
      <c r="H2161" s="917">
        <f>VLOOKUP($A2161,'Tech Litons'!$A:$I,9,FALSE)</f>
        <v>210</v>
      </c>
      <c r="I2161" s="917" t="str">
        <f>VLOOKUP($A2161,'Tech Litons'!$A:$C,3,0)</f>
        <v>MG Sticks</v>
      </c>
      <c r="J2161" s="918" t="str">
        <f t="shared" si="217"/>
        <v>2904MG Sticks</v>
      </c>
      <c r="K2161" s="919">
        <v>1</v>
      </c>
      <c r="L2161" s="920">
        <f t="shared" si="216"/>
        <v>5040</v>
      </c>
      <c r="M2161" s="920">
        <f t="shared" si="218"/>
        <v>10.8864</v>
      </c>
      <c r="N2161" s="920">
        <f t="shared" si="219"/>
        <v>24</v>
      </c>
      <c r="O2161" s="918" t="str">
        <f t="shared" si="220"/>
        <v>Feb</v>
      </c>
      <c r="P2161" s="921">
        <f t="shared" si="221"/>
        <v>8</v>
      </c>
    </row>
    <row r="2162" spans="1:16" ht="15" hidden="1" customHeight="1">
      <c r="A2162" s="839">
        <v>64393722</v>
      </c>
      <c r="B2162" s="839">
        <v>2904</v>
      </c>
      <c r="C2162" s="906">
        <v>303</v>
      </c>
      <c r="D2162" s="907">
        <v>46070</v>
      </c>
      <c r="E2162" s="839" t="s">
        <v>282</v>
      </c>
      <c r="F2162" s="839" t="s">
        <v>283</v>
      </c>
      <c r="G2162" s="916">
        <f>VLOOKUP($A2162,'Tech Litons'!$A:$I,8,FALSE)</f>
        <v>2.16E-3</v>
      </c>
      <c r="H2162" s="917">
        <f>VLOOKUP($A2162,'Tech Litons'!$A:$I,9,FALSE)</f>
        <v>210</v>
      </c>
      <c r="I2162" s="917" t="str">
        <f>VLOOKUP($A2162,'Tech Litons'!$A:$C,3,0)</f>
        <v>MG Sticks</v>
      </c>
      <c r="J2162" s="918" t="str">
        <f t="shared" si="217"/>
        <v>2904MG Sticks</v>
      </c>
      <c r="K2162" s="919">
        <v>1</v>
      </c>
      <c r="L2162" s="920">
        <f t="shared" si="216"/>
        <v>303</v>
      </c>
      <c r="M2162" s="920">
        <f t="shared" si="218"/>
        <v>0.65448000000000006</v>
      </c>
      <c r="N2162" s="920">
        <f t="shared" si="219"/>
        <v>1.4428571428571428</v>
      </c>
      <c r="O2162" s="918" t="str">
        <f t="shared" si="220"/>
        <v>Feb</v>
      </c>
      <c r="P2162" s="921">
        <f t="shared" si="221"/>
        <v>8</v>
      </c>
    </row>
    <row r="2163" spans="1:16" ht="15" hidden="1" customHeight="1">
      <c r="A2163" s="839">
        <v>64393722</v>
      </c>
      <c r="B2163" s="839">
        <v>2904</v>
      </c>
      <c r="C2163" s="906">
        <v>420</v>
      </c>
      <c r="D2163" s="907">
        <v>46067</v>
      </c>
      <c r="E2163" s="839" t="s">
        <v>282</v>
      </c>
      <c r="F2163" s="839" t="s">
        <v>283</v>
      </c>
      <c r="G2163" s="916">
        <f>VLOOKUP($A2163,'Tech Litons'!$A:$I,8,FALSE)</f>
        <v>2.16E-3</v>
      </c>
      <c r="H2163" s="917">
        <f>VLOOKUP($A2163,'Tech Litons'!$A:$I,9,FALSE)</f>
        <v>210</v>
      </c>
      <c r="I2163" s="917" t="str">
        <f>VLOOKUP($A2163,'Tech Litons'!$A:$C,3,0)</f>
        <v>MG Sticks</v>
      </c>
      <c r="J2163" s="918" t="str">
        <f t="shared" si="217"/>
        <v>2904MG Sticks</v>
      </c>
      <c r="K2163" s="919">
        <v>1</v>
      </c>
      <c r="L2163" s="920">
        <f t="shared" si="216"/>
        <v>420</v>
      </c>
      <c r="M2163" s="920">
        <f t="shared" si="218"/>
        <v>0.90720000000000001</v>
      </c>
      <c r="N2163" s="920">
        <f t="shared" si="219"/>
        <v>2</v>
      </c>
      <c r="O2163" s="918" t="str">
        <f t="shared" si="220"/>
        <v>Feb</v>
      </c>
      <c r="P2163" s="921">
        <f t="shared" si="221"/>
        <v>7</v>
      </c>
    </row>
    <row r="2164" spans="1:16" ht="15" hidden="1" customHeight="1">
      <c r="A2164" s="839">
        <v>64393722</v>
      </c>
      <c r="B2164" s="839">
        <v>2904</v>
      </c>
      <c r="C2164" s="906">
        <v>5854</v>
      </c>
      <c r="D2164" s="907">
        <v>46068</v>
      </c>
      <c r="E2164" s="839" t="s">
        <v>282</v>
      </c>
      <c r="F2164" s="839" t="s">
        <v>283</v>
      </c>
      <c r="G2164" s="916">
        <f>VLOOKUP($A2164,'Tech Litons'!$A:$I,8,FALSE)</f>
        <v>2.16E-3</v>
      </c>
      <c r="H2164" s="917">
        <f>VLOOKUP($A2164,'Tech Litons'!$A:$I,9,FALSE)</f>
        <v>210</v>
      </c>
      <c r="I2164" s="917" t="str">
        <f>VLOOKUP($A2164,'Tech Litons'!$A:$C,3,0)</f>
        <v>MG Sticks</v>
      </c>
      <c r="J2164" s="918" t="str">
        <f t="shared" si="217"/>
        <v>2904MG Sticks</v>
      </c>
      <c r="K2164" s="919">
        <v>1</v>
      </c>
      <c r="L2164" s="920">
        <f t="shared" si="216"/>
        <v>5854</v>
      </c>
      <c r="M2164" s="920">
        <f t="shared" si="218"/>
        <v>12.644640000000001</v>
      </c>
      <c r="N2164" s="920">
        <f t="shared" si="219"/>
        <v>27.876190476190477</v>
      </c>
      <c r="O2164" s="918" t="str">
        <f t="shared" si="220"/>
        <v>Feb</v>
      </c>
      <c r="P2164" s="921">
        <f t="shared" si="221"/>
        <v>8</v>
      </c>
    </row>
    <row r="2165" spans="1:16" ht="15" hidden="1" customHeight="1">
      <c r="A2165" s="839">
        <v>64393722</v>
      </c>
      <c r="B2165" s="839">
        <v>2904</v>
      </c>
      <c r="C2165" s="906">
        <v>7559</v>
      </c>
      <c r="D2165" s="907">
        <v>46068</v>
      </c>
      <c r="E2165" s="839" t="s">
        <v>282</v>
      </c>
      <c r="F2165" s="839" t="s">
        <v>283</v>
      </c>
      <c r="G2165" s="916">
        <f>VLOOKUP($A2165,'Tech Litons'!$A:$I,8,FALSE)</f>
        <v>2.16E-3</v>
      </c>
      <c r="H2165" s="917">
        <f>VLOOKUP($A2165,'Tech Litons'!$A:$I,9,FALSE)</f>
        <v>210</v>
      </c>
      <c r="I2165" s="917" t="str">
        <f>VLOOKUP($A2165,'Tech Litons'!$A:$C,3,0)</f>
        <v>MG Sticks</v>
      </c>
      <c r="J2165" s="918" t="str">
        <f t="shared" si="217"/>
        <v>2904MG Sticks</v>
      </c>
      <c r="K2165" s="919">
        <v>1</v>
      </c>
      <c r="L2165" s="920">
        <f t="shared" si="216"/>
        <v>7559</v>
      </c>
      <c r="M2165" s="920">
        <f t="shared" si="218"/>
        <v>16.327439999999999</v>
      </c>
      <c r="N2165" s="920">
        <f t="shared" si="219"/>
        <v>35.995238095238093</v>
      </c>
      <c r="O2165" s="918" t="str">
        <f t="shared" si="220"/>
        <v>Feb</v>
      </c>
      <c r="P2165" s="921">
        <f t="shared" si="221"/>
        <v>8</v>
      </c>
    </row>
    <row r="2166" spans="1:16" ht="15" hidden="1" customHeight="1">
      <c r="A2166" s="839">
        <v>64393722</v>
      </c>
      <c r="B2166" s="839">
        <v>2904</v>
      </c>
      <c r="C2166" s="906">
        <v>6042</v>
      </c>
      <c r="D2166" s="907">
        <v>46069</v>
      </c>
      <c r="E2166" s="839" t="s">
        <v>282</v>
      </c>
      <c r="F2166" s="839" t="s">
        <v>283</v>
      </c>
      <c r="G2166" s="916">
        <f>VLOOKUP($A2166,'Tech Litons'!$A:$I,8,FALSE)</f>
        <v>2.16E-3</v>
      </c>
      <c r="H2166" s="917">
        <f>VLOOKUP($A2166,'Tech Litons'!$A:$I,9,FALSE)</f>
        <v>210</v>
      </c>
      <c r="I2166" s="917" t="str">
        <f>VLOOKUP($A2166,'Tech Litons'!$A:$C,3,0)</f>
        <v>MG Sticks</v>
      </c>
      <c r="J2166" s="918" t="str">
        <f t="shared" si="217"/>
        <v>2904MG Sticks</v>
      </c>
      <c r="K2166" s="919">
        <v>1</v>
      </c>
      <c r="L2166" s="920">
        <f t="shared" si="216"/>
        <v>6042</v>
      </c>
      <c r="M2166" s="920">
        <f t="shared" si="218"/>
        <v>13.05072</v>
      </c>
      <c r="N2166" s="920">
        <f t="shared" si="219"/>
        <v>28.771428571428572</v>
      </c>
      <c r="O2166" s="918" t="str">
        <f t="shared" si="220"/>
        <v>Feb</v>
      </c>
      <c r="P2166" s="921">
        <f t="shared" si="221"/>
        <v>8</v>
      </c>
    </row>
    <row r="2167" spans="1:16" ht="15" hidden="1" customHeight="1">
      <c r="A2167" s="839">
        <v>64393722</v>
      </c>
      <c r="B2167" s="839">
        <v>2904</v>
      </c>
      <c r="C2167" s="906">
        <v>210</v>
      </c>
      <c r="D2167" s="907">
        <v>46070</v>
      </c>
      <c r="E2167" s="839" t="s">
        <v>282</v>
      </c>
      <c r="F2167" s="839" t="s">
        <v>283</v>
      </c>
      <c r="G2167" s="916">
        <f>VLOOKUP($A2167,'Tech Litons'!$A:$I,8,FALSE)</f>
        <v>2.16E-3</v>
      </c>
      <c r="H2167" s="917">
        <f>VLOOKUP($A2167,'Tech Litons'!$A:$I,9,FALSE)</f>
        <v>210</v>
      </c>
      <c r="I2167" s="917" t="str">
        <f>VLOOKUP($A2167,'Tech Litons'!$A:$C,3,0)</f>
        <v>MG Sticks</v>
      </c>
      <c r="J2167" s="918" t="str">
        <f t="shared" si="217"/>
        <v>2904MG Sticks</v>
      </c>
      <c r="K2167" s="919">
        <v>1</v>
      </c>
      <c r="L2167" s="920">
        <f t="shared" si="216"/>
        <v>210</v>
      </c>
      <c r="M2167" s="920">
        <f t="shared" si="218"/>
        <v>0.4536</v>
      </c>
      <c r="N2167" s="920">
        <f t="shared" si="219"/>
        <v>1</v>
      </c>
      <c r="O2167" s="918" t="str">
        <f t="shared" si="220"/>
        <v>Feb</v>
      </c>
      <c r="P2167" s="921">
        <f t="shared" si="221"/>
        <v>8</v>
      </c>
    </row>
    <row r="2168" spans="1:16" ht="15" hidden="1" customHeight="1">
      <c r="A2168" s="839">
        <v>64393723</v>
      </c>
      <c r="B2168" s="839">
        <v>2904</v>
      </c>
      <c r="C2168" s="906">
        <v>5773</v>
      </c>
      <c r="D2168" s="907">
        <v>46059</v>
      </c>
      <c r="E2168" s="839" t="s">
        <v>317</v>
      </c>
      <c r="F2168" s="839" t="s">
        <v>283</v>
      </c>
      <c r="G2168" s="916">
        <f>VLOOKUP($A2168,'Tech Litons'!$A:$I,8,FALSE)</f>
        <v>2.16E-3</v>
      </c>
      <c r="H2168" s="917">
        <f>VLOOKUP($A2168,'Tech Litons'!$A:$I,9,FALSE)</f>
        <v>210</v>
      </c>
      <c r="I2168" s="917" t="str">
        <f>VLOOKUP($A2168,'Tech Litons'!$A:$C,3,0)</f>
        <v>MG Sticks</v>
      </c>
      <c r="J2168" s="918" t="str">
        <f t="shared" si="217"/>
        <v>2904MG Sticks</v>
      </c>
      <c r="K2168" s="919">
        <v>1</v>
      </c>
      <c r="L2168" s="920">
        <f t="shared" si="216"/>
        <v>5773</v>
      </c>
      <c r="M2168" s="920">
        <f t="shared" si="218"/>
        <v>12.46968</v>
      </c>
      <c r="N2168" s="920">
        <f t="shared" si="219"/>
        <v>27.490476190476191</v>
      </c>
      <c r="O2168" s="918" t="str">
        <f t="shared" si="220"/>
        <v>Feb</v>
      </c>
      <c r="P2168" s="921">
        <f t="shared" si="221"/>
        <v>6</v>
      </c>
    </row>
    <row r="2169" spans="1:16" ht="15" hidden="1" customHeight="1">
      <c r="A2169" s="839">
        <v>64393723</v>
      </c>
      <c r="B2169" s="839">
        <v>2904</v>
      </c>
      <c r="C2169" s="906">
        <v>6440</v>
      </c>
      <c r="D2169" s="907">
        <v>46060</v>
      </c>
      <c r="E2169" s="839" t="s">
        <v>317</v>
      </c>
      <c r="F2169" s="839" t="s">
        <v>283</v>
      </c>
      <c r="G2169" s="916">
        <f>VLOOKUP($A2169,'Tech Litons'!$A:$I,8,FALSE)</f>
        <v>2.16E-3</v>
      </c>
      <c r="H2169" s="917">
        <f>VLOOKUP($A2169,'Tech Litons'!$A:$I,9,FALSE)</f>
        <v>210</v>
      </c>
      <c r="I2169" s="917" t="str">
        <f>VLOOKUP($A2169,'Tech Litons'!$A:$C,3,0)</f>
        <v>MG Sticks</v>
      </c>
      <c r="J2169" s="918" t="str">
        <f t="shared" si="217"/>
        <v>2904MG Sticks</v>
      </c>
      <c r="K2169" s="919">
        <v>1</v>
      </c>
      <c r="L2169" s="920">
        <f t="shared" si="216"/>
        <v>6440</v>
      </c>
      <c r="M2169" s="920">
        <f t="shared" si="218"/>
        <v>13.910400000000001</v>
      </c>
      <c r="N2169" s="920">
        <f t="shared" si="219"/>
        <v>30.666666666666668</v>
      </c>
      <c r="O2169" s="918" t="str">
        <f t="shared" si="220"/>
        <v>Feb</v>
      </c>
      <c r="P2169" s="921">
        <f t="shared" si="221"/>
        <v>6</v>
      </c>
    </row>
    <row r="2170" spans="1:16" ht="15" hidden="1" customHeight="1">
      <c r="A2170" s="839">
        <v>64393723</v>
      </c>
      <c r="B2170" s="839">
        <v>2904</v>
      </c>
      <c r="C2170" s="906">
        <v>1260</v>
      </c>
      <c r="D2170" s="907">
        <v>46062</v>
      </c>
      <c r="E2170" s="839" t="s">
        <v>317</v>
      </c>
      <c r="F2170" s="839" t="s">
        <v>283</v>
      </c>
      <c r="G2170" s="916">
        <f>VLOOKUP($A2170,'Tech Litons'!$A:$I,8,FALSE)</f>
        <v>2.16E-3</v>
      </c>
      <c r="H2170" s="917">
        <f>VLOOKUP($A2170,'Tech Litons'!$A:$I,9,FALSE)</f>
        <v>210</v>
      </c>
      <c r="I2170" s="917" t="str">
        <f>VLOOKUP($A2170,'Tech Litons'!$A:$C,3,0)</f>
        <v>MG Sticks</v>
      </c>
      <c r="J2170" s="918" t="str">
        <f t="shared" si="217"/>
        <v>2904MG Sticks</v>
      </c>
      <c r="K2170" s="919">
        <v>1</v>
      </c>
      <c r="L2170" s="920">
        <f t="shared" si="216"/>
        <v>1260</v>
      </c>
      <c r="M2170" s="920">
        <f t="shared" si="218"/>
        <v>2.7216</v>
      </c>
      <c r="N2170" s="920">
        <f t="shared" si="219"/>
        <v>6</v>
      </c>
      <c r="O2170" s="918" t="str">
        <f t="shared" si="220"/>
        <v>Feb</v>
      </c>
      <c r="P2170" s="921">
        <f t="shared" si="221"/>
        <v>7</v>
      </c>
    </row>
    <row r="2171" spans="1:16" ht="15" hidden="1" customHeight="1">
      <c r="A2171" s="839">
        <v>64393723</v>
      </c>
      <c r="B2171" s="839">
        <v>2904</v>
      </c>
      <c r="C2171" s="906">
        <v>968</v>
      </c>
      <c r="D2171" s="907">
        <v>46060</v>
      </c>
      <c r="E2171" s="839" t="s">
        <v>317</v>
      </c>
      <c r="F2171" s="839" t="s">
        <v>283</v>
      </c>
      <c r="G2171" s="916">
        <f>VLOOKUP($A2171,'Tech Litons'!$A:$I,8,FALSE)</f>
        <v>2.16E-3</v>
      </c>
      <c r="H2171" s="917">
        <f>VLOOKUP($A2171,'Tech Litons'!$A:$I,9,FALSE)</f>
        <v>210</v>
      </c>
      <c r="I2171" s="917" t="str">
        <f>VLOOKUP($A2171,'Tech Litons'!$A:$C,3,0)</f>
        <v>MG Sticks</v>
      </c>
      <c r="J2171" s="918" t="str">
        <f t="shared" si="217"/>
        <v>2904MG Sticks</v>
      </c>
      <c r="K2171" s="919">
        <v>1</v>
      </c>
      <c r="L2171" s="920">
        <f t="shared" si="216"/>
        <v>968</v>
      </c>
      <c r="M2171" s="920">
        <f t="shared" si="218"/>
        <v>2.0908799999999998</v>
      </c>
      <c r="N2171" s="920">
        <f t="shared" si="219"/>
        <v>4.6095238095238091</v>
      </c>
      <c r="O2171" s="918" t="str">
        <f t="shared" si="220"/>
        <v>Feb</v>
      </c>
      <c r="P2171" s="921">
        <f t="shared" si="221"/>
        <v>6</v>
      </c>
    </row>
    <row r="2172" spans="1:16" ht="15" hidden="1" customHeight="1">
      <c r="A2172" s="839">
        <v>64393723</v>
      </c>
      <c r="B2172" s="839">
        <v>2904</v>
      </c>
      <c r="C2172" s="906">
        <v>1050</v>
      </c>
      <c r="D2172" s="907">
        <v>46057</v>
      </c>
      <c r="E2172" s="839" t="s">
        <v>317</v>
      </c>
      <c r="F2172" s="839" t="s">
        <v>283</v>
      </c>
      <c r="G2172" s="916">
        <f>VLOOKUP($A2172,'Tech Litons'!$A:$I,8,FALSE)</f>
        <v>2.16E-3</v>
      </c>
      <c r="H2172" s="917">
        <f>VLOOKUP($A2172,'Tech Litons'!$A:$I,9,FALSE)</f>
        <v>210</v>
      </c>
      <c r="I2172" s="917" t="str">
        <f>VLOOKUP($A2172,'Tech Litons'!$A:$C,3,0)</f>
        <v>MG Sticks</v>
      </c>
      <c r="J2172" s="918" t="str">
        <f t="shared" si="217"/>
        <v>2904MG Sticks</v>
      </c>
      <c r="K2172" s="919">
        <v>1</v>
      </c>
      <c r="L2172" s="920">
        <f t="shared" si="216"/>
        <v>1050</v>
      </c>
      <c r="M2172" s="920">
        <f t="shared" si="218"/>
        <v>2.2680000000000002</v>
      </c>
      <c r="N2172" s="920">
        <f t="shared" si="219"/>
        <v>5</v>
      </c>
      <c r="O2172" s="918" t="str">
        <f t="shared" si="220"/>
        <v>Feb</v>
      </c>
      <c r="P2172" s="921">
        <f t="shared" si="221"/>
        <v>6</v>
      </c>
    </row>
    <row r="2173" spans="1:16" ht="15" hidden="1" customHeight="1">
      <c r="A2173" s="839">
        <v>64393723</v>
      </c>
      <c r="B2173" s="839">
        <v>2904</v>
      </c>
      <c r="C2173" s="906">
        <v>8526</v>
      </c>
      <c r="D2173" s="907">
        <v>46058</v>
      </c>
      <c r="E2173" s="839" t="s">
        <v>317</v>
      </c>
      <c r="F2173" s="839" t="s">
        <v>283</v>
      </c>
      <c r="G2173" s="916">
        <f>VLOOKUP($A2173,'Tech Litons'!$A:$I,8,FALSE)</f>
        <v>2.16E-3</v>
      </c>
      <c r="H2173" s="917">
        <f>VLOOKUP($A2173,'Tech Litons'!$A:$I,9,FALSE)</f>
        <v>210</v>
      </c>
      <c r="I2173" s="917" t="str">
        <f>VLOOKUP($A2173,'Tech Litons'!$A:$C,3,0)</f>
        <v>MG Sticks</v>
      </c>
      <c r="J2173" s="918" t="str">
        <f t="shared" si="217"/>
        <v>2904MG Sticks</v>
      </c>
      <c r="K2173" s="919">
        <v>1</v>
      </c>
      <c r="L2173" s="920">
        <f t="shared" si="216"/>
        <v>8526</v>
      </c>
      <c r="M2173" s="920">
        <f t="shared" si="218"/>
        <v>18.416160000000001</v>
      </c>
      <c r="N2173" s="920">
        <f t="shared" si="219"/>
        <v>40.6</v>
      </c>
      <c r="O2173" s="918" t="str">
        <f t="shared" si="220"/>
        <v>Feb</v>
      </c>
      <c r="P2173" s="921">
        <f t="shared" si="221"/>
        <v>6</v>
      </c>
    </row>
    <row r="2174" spans="1:16" ht="15" hidden="1" customHeight="1">
      <c r="A2174" s="839">
        <v>64393723</v>
      </c>
      <c r="B2174" s="839">
        <v>2904</v>
      </c>
      <c r="C2174" s="906">
        <v>3917</v>
      </c>
      <c r="D2174" s="907">
        <v>46058</v>
      </c>
      <c r="E2174" s="839" t="s">
        <v>317</v>
      </c>
      <c r="F2174" s="839" t="s">
        <v>283</v>
      </c>
      <c r="G2174" s="916">
        <f>VLOOKUP($A2174,'Tech Litons'!$A:$I,8,FALSE)</f>
        <v>2.16E-3</v>
      </c>
      <c r="H2174" s="917">
        <f>VLOOKUP($A2174,'Tech Litons'!$A:$I,9,FALSE)</f>
        <v>210</v>
      </c>
      <c r="I2174" s="917" t="str">
        <f>VLOOKUP($A2174,'Tech Litons'!$A:$C,3,0)</f>
        <v>MG Sticks</v>
      </c>
      <c r="J2174" s="918" t="str">
        <f t="shared" si="217"/>
        <v>2904MG Sticks</v>
      </c>
      <c r="K2174" s="919">
        <v>1</v>
      </c>
      <c r="L2174" s="920">
        <f t="shared" si="216"/>
        <v>3917</v>
      </c>
      <c r="M2174" s="920">
        <f t="shared" si="218"/>
        <v>8.4607200000000002</v>
      </c>
      <c r="N2174" s="920">
        <f t="shared" si="219"/>
        <v>18.652380952380952</v>
      </c>
      <c r="O2174" s="918" t="str">
        <f t="shared" si="220"/>
        <v>Feb</v>
      </c>
      <c r="P2174" s="921">
        <f t="shared" si="221"/>
        <v>6</v>
      </c>
    </row>
    <row r="2175" spans="1:16" ht="15" hidden="1" customHeight="1">
      <c r="A2175" s="839">
        <v>64393723</v>
      </c>
      <c r="B2175" s="839">
        <v>2904</v>
      </c>
      <c r="C2175" s="906">
        <v>8820</v>
      </c>
      <c r="D2175" s="907">
        <v>46059</v>
      </c>
      <c r="E2175" s="839" t="s">
        <v>317</v>
      </c>
      <c r="F2175" s="839" t="s">
        <v>283</v>
      </c>
      <c r="G2175" s="916">
        <f>VLOOKUP($A2175,'Tech Litons'!$A:$I,8,FALSE)</f>
        <v>2.16E-3</v>
      </c>
      <c r="H2175" s="917">
        <f>VLOOKUP($A2175,'Tech Litons'!$A:$I,9,FALSE)</f>
        <v>210</v>
      </c>
      <c r="I2175" s="917" t="str">
        <f>VLOOKUP($A2175,'Tech Litons'!$A:$C,3,0)</f>
        <v>MG Sticks</v>
      </c>
      <c r="J2175" s="918" t="str">
        <f t="shared" si="217"/>
        <v>2904MG Sticks</v>
      </c>
      <c r="K2175" s="919">
        <v>1</v>
      </c>
      <c r="L2175" s="920">
        <f t="shared" si="216"/>
        <v>8820</v>
      </c>
      <c r="M2175" s="920">
        <f t="shared" si="218"/>
        <v>19.051200000000001</v>
      </c>
      <c r="N2175" s="920">
        <f t="shared" si="219"/>
        <v>42</v>
      </c>
      <c r="O2175" s="918" t="str">
        <f t="shared" si="220"/>
        <v>Feb</v>
      </c>
      <c r="P2175" s="921">
        <f t="shared" si="221"/>
        <v>6</v>
      </c>
    </row>
    <row r="2176" spans="1:16" ht="15" hidden="1" customHeight="1">
      <c r="A2176" s="839">
        <v>64394583</v>
      </c>
      <c r="B2176" s="839">
        <v>2904</v>
      </c>
      <c r="C2176" s="906">
        <v>1200</v>
      </c>
      <c r="D2176" s="907">
        <v>46069</v>
      </c>
      <c r="E2176" s="839" t="s">
        <v>462</v>
      </c>
      <c r="F2176" s="839" t="s">
        <v>40</v>
      </c>
      <c r="G2176" s="916">
        <f>VLOOKUP($A2176,'Tech Litons'!$A:$I,8,FALSE)</f>
        <v>3.4159999999999998E-3</v>
      </c>
      <c r="H2176" s="917">
        <f>VLOOKUP($A2176,'Tech Litons'!$A:$I,9,FALSE)</f>
        <v>240</v>
      </c>
      <c r="I2176" s="917" t="str">
        <f>VLOOKUP($A2176,'Tech Litons'!$A:$C,3,0)</f>
        <v>Sundaes</v>
      </c>
      <c r="J2176" s="918" t="str">
        <f t="shared" si="217"/>
        <v>2904Sundaes</v>
      </c>
      <c r="K2176" s="919">
        <v>1</v>
      </c>
      <c r="L2176" s="920">
        <f t="shared" si="216"/>
        <v>1200</v>
      </c>
      <c r="M2176" s="920">
        <f t="shared" si="218"/>
        <v>4.0991999999999997</v>
      </c>
      <c r="N2176" s="920">
        <f t="shared" si="219"/>
        <v>5</v>
      </c>
      <c r="O2176" s="918" t="str">
        <f t="shared" si="220"/>
        <v>Feb</v>
      </c>
      <c r="P2176" s="921">
        <f t="shared" si="221"/>
        <v>8</v>
      </c>
    </row>
    <row r="2177" spans="1:16" ht="15" hidden="1" customHeight="1">
      <c r="A2177" s="839">
        <v>64394583</v>
      </c>
      <c r="B2177" s="839">
        <v>2904</v>
      </c>
      <c r="C2177" s="906">
        <v>2082</v>
      </c>
      <c r="D2177" s="907">
        <v>46070</v>
      </c>
      <c r="E2177" s="839" t="s">
        <v>462</v>
      </c>
      <c r="F2177" s="839" t="s">
        <v>40</v>
      </c>
      <c r="G2177" s="916">
        <f>VLOOKUP($A2177,'Tech Litons'!$A:$I,8,FALSE)</f>
        <v>3.4159999999999998E-3</v>
      </c>
      <c r="H2177" s="917">
        <f>VLOOKUP($A2177,'Tech Litons'!$A:$I,9,FALSE)</f>
        <v>240</v>
      </c>
      <c r="I2177" s="917" t="str">
        <f>VLOOKUP($A2177,'Tech Litons'!$A:$C,3,0)</f>
        <v>Sundaes</v>
      </c>
      <c r="J2177" s="918" t="str">
        <f t="shared" si="217"/>
        <v>2904Sundaes</v>
      </c>
      <c r="K2177" s="919">
        <v>1</v>
      </c>
      <c r="L2177" s="920">
        <f t="shared" si="216"/>
        <v>2082</v>
      </c>
      <c r="M2177" s="920">
        <f t="shared" si="218"/>
        <v>7.1121119999999998</v>
      </c>
      <c r="N2177" s="920">
        <f t="shared" si="219"/>
        <v>8.6750000000000007</v>
      </c>
      <c r="O2177" s="918" t="str">
        <f t="shared" si="220"/>
        <v>Feb</v>
      </c>
      <c r="P2177" s="921">
        <f t="shared" si="221"/>
        <v>8</v>
      </c>
    </row>
    <row r="2178" spans="1:16" ht="15" hidden="1" customHeight="1">
      <c r="A2178" s="839">
        <v>64394583</v>
      </c>
      <c r="B2178" s="839">
        <v>2904</v>
      </c>
      <c r="C2178" s="906">
        <v>6144</v>
      </c>
      <c r="D2178" s="907">
        <v>46070</v>
      </c>
      <c r="E2178" s="839" t="s">
        <v>462</v>
      </c>
      <c r="F2178" s="839" t="s">
        <v>40</v>
      </c>
      <c r="G2178" s="916">
        <f>VLOOKUP($A2178,'Tech Litons'!$A:$I,8,FALSE)</f>
        <v>3.4159999999999998E-3</v>
      </c>
      <c r="H2178" s="917">
        <f>VLOOKUP($A2178,'Tech Litons'!$A:$I,9,FALSE)</f>
        <v>240</v>
      </c>
      <c r="I2178" s="917" t="str">
        <f>VLOOKUP($A2178,'Tech Litons'!$A:$C,3,0)</f>
        <v>Sundaes</v>
      </c>
      <c r="J2178" s="918" t="str">
        <f t="shared" si="217"/>
        <v>2904Sundaes</v>
      </c>
      <c r="K2178" s="919">
        <v>1</v>
      </c>
      <c r="L2178" s="920">
        <f t="shared" si="216"/>
        <v>6144</v>
      </c>
      <c r="M2178" s="920">
        <f t="shared" si="218"/>
        <v>20.987904</v>
      </c>
      <c r="N2178" s="920">
        <f t="shared" si="219"/>
        <v>25.6</v>
      </c>
      <c r="O2178" s="918" t="str">
        <f t="shared" si="220"/>
        <v>Feb</v>
      </c>
      <c r="P2178" s="921">
        <f t="shared" si="221"/>
        <v>8</v>
      </c>
    </row>
    <row r="2179" spans="1:16" ht="15" hidden="1" customHeight="1">
      <c r="A2179" s="839">
        <v>64394583</v>
      </c>
      <c r="B2179" s="839">
        <v>2904</v>
      </c>
      <c r="C2179" s="906">
        <v>6775</v>
      </c>
      <c r="D2179" s="907">
        <v>46071</v>
      </c>
      <c r="E2179" s="839" t="s">
        <v>462</v>
      </c>
      <c r="F2179" s="839" t="s">
        <v>40</v>
      </c>
      <c r="G2179" s="916">
        <f>VLOOKUP($A2179,'Tech Litons'!$A:$I,8,FALSE)</f>
        <v>3.4159999999999998E-3</v>
      </c>
      <c r="H2179" s="917">
        <f>VLOOKUP($A2179,'Tech Litons'!$A:$I,9,FALSE)</f>
        <v>240</v>
      </c>
      <c r="I2179" s="917" t="str">
        <f>VLOOKUP($A2179,'Tech Litons'!$A:$C,3,0)</f>
        <v>Sundaes</v>
      </c>
      <c r="J2179" s="918" t="str">
        <f t="shared" si="217"/>
        <v>2904Sundaes</v>
      </c>
      <c r="K2179" s="919">
        <v>1</v>
      </c>
      <c r="L2179" s="920">
        <f t="shared" si="216"/>
        <v>6775</v>
      </c>
      <c r="M2179" s="920">
        <f t="shared" si="218"/>
        <v>23.1434</v>
      </c>
      <c r="N2179" s="920">
        <f t="shared" si="219"/>
        <v>28.229166666666668</v>
      </c>
      <c r="O2179" s="918" t="str">
        <f t="shared" si="220"/>
        <v>Feb</v>
      </c>
      <c r="P2179" s="921">
        <f t="shared" si="221"/>
        <v>8</v>
      </c>
    </row>
    <row r="2180" spans="1:16" ht="15" hidden="1" customHeight="1">
      <c r="A2180" s="839">
        <v>64394583</v>
      </c>
      <c r="B2180" s="839">
        <v>2904</v>
      </c>
      <c r="C2180" s="906">
        <v>8036</v>
      </c>
      <c r="D2180" s="907">
        <v>46071</v>
      </c>
      <c r="E2180" s="839" t="s">
        <v>462</v>
      </c>
      <c r="F2180" s="839" t="s">
        <v>40</v>
      </c>
      <c r="G2180" s="916">
        <f>VLOOKUP($A2180,'Tech Litons'!$A:$I,8,FALSE)</f>
        <v>3.4159999999999998E-3</v>
      </c>
      <c r="H2180" s="917">
        <f>VLOOKUP($A2180,'Tech Litons'!$A:$I,9,FALSE)</f>
        <v>240</v>
      </c>
      <c r="I2180" s="917" t="str">
        <f>VLOOKUP($A2180,'Tech Litons'!$A:$C,3,0)</f>
        <v>Sundaes</v>
      </c>
      <c r="J2180" s="918" t="str">
        <f t="shared" si="217"/>
        <v>2904Sundaes</v>
      </c>
      <c r="K2180" s="919">
        <v>1</v>
      </c>
      <c r="L2180" s="920">
        <f t="shared" si="216"/>
        <v>8036</v>
      </c>
      <c r="M2180" s="920">
        <f t="shared" si="218"/>
        <v>27.450975999999997</v>
      </c>
      <c r="N2180" s="920">
        <f t="shared" si="219"/>
        <v>33.483333333333334</v>
      </c>
      <c r="O2180" s="918" t="str">
        <f t="shared" si="220"/>
        <v>Feb</v>
      </c>
      <c r="P2180" s="921">
        <f t="shared" si="221"/>
        <v>8</v>
      </c>
    </row>
    <row r="2181" spans="1:16" ht="15" hidden="1" customHeight="1">
      <c r="A2181" s="839">
        <v>64394583</v>
      </c>
      <c r="B2181" s="839">
        <v>2904</v>
      </c>
      <c r="C2181" s="906">
        <v>6804</v>
      </c>
      <c r="D2181" s="907">
        <v>46072</v>
      </c>
      <c r="E2181" s="839" t="s">
        <v>462</v>
      </c>
      <c r="F2181" s="839" t="s">
        <v>40</v>
      </c>
      <c r="G2181" s="916">
        <f>VLOOKUP($A2181,'Tech Litons'!$A:$I,8,FALSE)</f>
        <v>3.4159999999999998E-3</v>
      </c>
      <c r="H2181" s="917">
        <f>VLOOKUP($A2181,'Tech Litons'!$A:$I,9,FALSE)</f>
        <v>240</v>
      </c>
      <c r="I2181" s="917" t="str">
        <f>VLOOKUP($A2181,'Tech Litons'!$A:$C,3,0)</f>
        <v>Sundaes</v>
      </c>
      <c r="J2181" s="918" t="str">
        <f t="shared" si="217"/>
        <v>2904Sundaes</v>
      </c>
      <c r="K2181" s="919">
        <v>1</v>
      </c>
      <c r="L2181" s="920">
        <f t="shared" si="216"/>
        <v>6804</v>
      </c>
      <c r="M2181" s="920">
        <f t="shared" si="218"/>
        <v>23.242463999999998</v>
      </c>
      <c r="N2181" s="920">
        <f t="shared" si="219"/>
        <v>28.35</v>
      </c>
      <c r="O2181" s="918" t="str">
        <f t="shared" si="220"/>
        <v>Feb</v>
      </c>
      <c r="P2181" s="921">
        <f t="shared" si="221"/>
        <v>8</v>
      </c>
    </row>
    <row r="2182" spans="1:16" ht="15" hidden="1" customHeight="1">
      <c r="A2182" s="839">
        <v>64394583</v>
      </c>
      <c r="B2182" s="839">
        <v>2904</v>
      </c>
      <c r="C2182" s="906">
        <v>7899</v>
      </c>
      <c r="D2182" s="907">
        <v>46072</v>
      </c>
      <c r="E2182" s="839" t="s">
        <v>462</v>
      </c>
      <c r="F2182" s="839" t="s">
        <v>40</v>
      </c>
      <c r="G2182" s="916">
        <f>VLOOKUP($A2182,'Tech Litons'!$A:$I,8,FALSE)</f>
        <v>3.4159999999999998E-3</v>
      </c>
      <c r="H2182" s="917">
        <f>VLOOKUP($A2182,'Tech Litons'!$A:$I,9,FALSE)</f>
        <v>240</v>
      </c>
      <c r="I2182" s="917" t="str">
        <f>VLOOKUP($A2182,'Tech Litons'!$A:$C,3,0)</f>
        <v>Sundaes</v>
      </c>
      <c r="J2182" s="918" t="str">
        <f t="shared" si="217"/>
        <v>2904Sundaes</v>
      </c>
      <c r="K2182" s="919">
        <v>1</v>
      </c>
      <c r="L2182" s="920">
        <f t="shared" si="216"/>
        <v>7899</v>
      </c>
      <c r="M2182" s="920">
        <f t="shared" si="218"/>
        <v>26.982983999999998</v>
      </c>
      <c r="N2182" s="920">
        <f t="shared" si="219"/>
        <v>32.912500000000001</v>
      </c>
      <c r="O2182" s="918" t="str">
        <f t="shared" si="220"/>
        <v>Feb</v>
      </c>
      <c r="P2182" s="921">
        <f t="shared" si="221"/>
        <v>8</v>
      </c>
    </row>
    <row r="2183" spans="1:16" ht="15" hidden="1" customHeight="1">
      <c r="A2183" s="839">
        <v>64394583</v>
      </c>
      <c r="B2183" s="839">
        <v>2904</v>
      </c>
      <c r="C2183" s="906">
        <v>4576</v>
      </c>
      <c r="D2183" s="907">
        <v>46073</v>
      </c>
      <c r="E2183" s="839" t="s">
        <v>462</v>
      </c>
      <c r="F2183" s="839" t="s">
        <v>40</v>
      </c>
      <c r="G2183" s="916">
        <f>VLOOKUP($A2183,'Tech Litons'!$A:$I,8,FALSE)</f>
        <v>3.4159999999999998E-3</v>
      </c>
      <c r="H2183" s="917">
        <f>VLOOKUP($A2183,'Tech Litons'!$A:$I,9,FALSE)</f>
        <v>240</v>
      </c>
      <c r="I2183" s="917" t="str">
        <f>VLOOKUP($A2183,'Tech Litons'!$A:$C,3,0)</f>
        <v>Sundaes</v>
      </c>
      <c r="J2183" s="918" t="str">
        <f t="shared" si="217"/>
        <v>2904Sundaes</v>
      </c>
      <c r="K2183" s="919">
        <v>1</v>
      </c>
      <c r="L2183" s="920">
        <f t="shared" ref="L2183:L2241" si="222">C2183*$K2183</f>
        <v>4576</v>
      </c>
      <c r="M2183" s="920">
        <f t="shared" si="218"/>
        <v>15.631615999999999</v>
      </c>
      <c r="N2183" s="920">
        <f t="shared" si="219"/>
        <v>19.066666666666666</v>
      </c>
      <c r="O2183" s="918" t="str">
        <f t="shared" si="220"/>
        <v>Feb</v>
      </c>
      <c r="P2183" s="921">
        <f t="shared" si="221"/>
        <v>8</v>
      </c>
    </row>
    <row r="2184" spans="1:16" ht="15" hidden="1" customHeight="1">
      <c r="A2184" s="839">
        <v>64775327</v>
      </c>
      <c r="B2184" s="839">
        <v>2904</v>
      </c>
      <c r="C2184" s="906">
        <v>4752</v>
      </c>
      <c r="D2184" s="907">
        <v>46059</v>
      </c>
      <c r="E2184" s="839" t="s">
        <v>429</v>
      </c>
      <c r="F2184" s="839" t="s">
        <v>269</v>
      </c>
      <c r="G2184" s="916">
        <f>VLOOKUP($A2184,'Tech Litons'!$A:$I,8,FALSE)</f>
        <v>8.5199999999999998E-3</v>
      </c>
      <c r="H2184" s="917">
        <f>VLOOKUP($A2184,'Tech Litons'!$A:$I,9,FALSE)</f>
        <v>176</v>
      </c>
      <c r="I2184" s="917" t="str">
        <f>VLOOKUP($A2184,'Tech Litons'!$A:$C,3,0)</f>
        <v>48oz</v>
      </c>
      <c r="J2184" s="918" t="str">
        <f t="shared" ref="J2184:J2242" si="223">B2184&amp;I2184</f>
        <v>290448oz</v>
      </c>
      <c r="K2184" s="919">
        <v>1</v>
      </c>
      <c r="L2184" s="920">
        <f t="shared" si="222"/>
        <v>4752</v>
      </c>
      <c r="M2184" s="920">
        <f t="shared" ref="M2184:M2242" si="224">L2184*G2184</f>
        <v>40.48704</v>
      </c>
      <c r="N2184" s="920">
        <f t="shared" ref="N2184:N2242" si="225">L2184/H2184</f>
        <v>27</v>
      </c>
      <c r="O2184" s="918" t="str">
        <f t="shared" ref="O2184:O2242" si="226">TEXT(D2184,"MMM")</f>
        <v>Feb</v>
      </c>
      <c r="P2184" s="921">
        <f t="shared" ref="P2184:P2242" si="227">WEEKNUM(D2184)</f>
        <v>6</v>
      </c>
    </row>
    <row r="2185" spans="1:16" ht="15" hidden="1" customHeight="1">
      <c r="A2185" s="839">
        <v>64775327</v>
      </c>
      <c r="B2185" s="839">
        <v>2904</v>
      </c>
      <c r="C2185" s="906">
        <v>7524</v>
      </c>
      <c r="D2185" s="907">
        <v>46060</v>
      </c>
      <c r="E2185" s="839" t="s">
        <v>429</v>
      </c>
      <c r="F2185" s="839" t="s">
        <v>269</v>
      </c>
      <c r="G2185" s="916">
        <f>VLOOKUP($A2185,'Tech Litons'!$A:$I,8,FALSE)</f>
        <v>8.5199999999999998E-3</v>
      </c>
      <c r="H2185" s="917">
        <f>VLOOKUP($A2185,'Tech Litons'!$A:$I,9,FALSE)</f>
        <v>176</v>
      </c>
      <c r="I2185" s="917" t="str">
        <f>VLOOKUP($A2185,'Tech Litons'!$A:$C,3,0)</f>
        <v>48oz</v>
      </c>
      <c r="J2185" s="918" t="str">
        <f t="shared" si="223"/>
        <v>290448oz</v>
      </c>
      <c r="K2185" s="919">
        <v>1</v>
      </c>
      <c r="L2185" s="920">
        <f t="shared" si="222"/>
        <v>7524</v>
      </c>
      <c r="M2185" s="920">
        <f t="shared" si="224"/>
        <v>64.104479999999995</v>
      </c>
      <c r="N2185" s="920">
        <f t="shared" si="225"/>
        <v>42.75</v>
      </c>
      <c r="O2185" s="918" t="str">
        <f t="shared" si="226"/>
        <v>Feb</v>
      </c>
      <c r="P2185" s="921">
        <f t="shared" si="227"/>
        <v>6</v>
      </c>
    </row>
    <row r="2186" spans="1:16" ht="15" hidden="1" customHeight="1">
      <c r="A2186" s="839">
        <v>64775327</v>
      </c>
      <c r="B2186" s="839">
        <v>2904</v>
      </c>
      <c r="C2186" s="906">
        <v>176</v>
      </c>
      <c r="D2186" s="907">
        <v>46062</v>
      </c>
      <c r="E2186" s="839" t="s">
        <v>429</v>
      </c>
      <c r="F2186" s="839" t="s">
        <v>269</v>
      </c>
      <c r="G2186" s="916">
        <f>VLOOKUP($A2186,'Tech Litons'!$A:$I,8,FALSE)</f>
        <v>8.5199999999999998E-3</v>
      </c>
      <c r="H2186" s="917">
        <f>VLOOKUP($A2186,'Tech Litons'!$A:$I,9,FALSE)</f>
        <v>176</v>
      </c>
      <c r="I2186" s="917" t="str">
        <f>VLOOKUP($A2186,'Tech Litons'!$A:$C,3,0)</f>
        <v>48oz</v>
      </c>
      <c r="J2186" s="918" t="str">
        <f t="shared" si="223"/>
        <v>290448oz</v>
      </c>
      <c r="K2186" s="919">
        <v>1</v>
      </c>
      <c r="L2186" s="920">
        <f t="shared" si="222"/>
        <v>176</v>
      </c>
      <c r="M2186" s="920">
        <f t="shared" si="224"/>
        <v>1.49952</v>
      </c>
      <c r="N2186" s="920">
        <f t="shared" si="225"/>
        <v>1</v>
      </c>
      <c r="O2186" s="918" t="str">
        <f t="shared" si="226"/>
        <v>Feb</v>
      </c>
      <c r="P2186" s="921">
        <f t="shared" si="227"/>
        <v>7</v>
      </c>
    </row>
    <row r="2187" spans="1:16" ht="15" hidden="1" customHeight="1">
      <c r="A2187" s="839">
        <v>64775327</v>
      </c>
      <c r="B2187" s="839">
        <v>2904</v>
      </c>
      <c r="C2187" s="906">
        <v>6688</v>
      </c>
      <c r="D2187" s="907">
        <v>46060</v>
      </c>
      <c r="E2187" s="839" t="s">
        <v>429</v>
      </c>
      <c r="F2187" s="839" t="s">
        <v>269</v>
      </c>
      <c r="G2187" s="916">
        <f>VLOOKUP($A2187,'Tech Litons'!$A:$I,8,FALSE)</f>
        <v>8.5199999999999998E-3</v>
      </c>
      <c r="H2187" s="917">
        <f>VLOOKUP($A2187,'Tech Litons'!$A:$I,9,FALSE)</f>
        <v>176</v>
      </c>
      <c r="I2187" s="917" t="str">
        <f>VLOOKUP($A2187,'Tech Litons'!$A:$C,3,0)</f>
        <v>48oz</v>
      </c>
      <c r="J2187" s="918" t="str">
        <f t="shared" si="223"/>
        <v>290448oz</v>
      </c>
      <c r="K2187" s="919">
        <v>1</v>
      </c>
      <c r="L2187" s="920">
        <f t="shared" si="222"/>
        <v>6688</v>
      </c>
      <c r="M2187" s="920">
        <f t="shared" si="224"/>
        <v>56.981760000000001</v>
      </c>
      <c r="N2187" s="920">
        <f t="shared" si="225"/>
        <v>38</v>
      </c>
      <c r="O2187" s="918" t="str">
        <f t="shared" si="226"/>
        <v>Feb</v>
      </c>
      <c r="P2187" s="921">
        <f t="shared" si="227"/>
        <v>6</v>
      </c>
    </row>
    <row r="2188" spans="1:16" ht="15" hidden="1" customHeight="1">
      <c r="A2188" s="839">
        <v>64775327</v>
      </c>
      <c r="B2188" s="839">
        <v>2904</v>
      </c>
      <c r="C2188" s="906">
        <v>3915</v>
      </c>
      <c r="D2188" s="907">
        <v>46061</v>
      </c>
      <c r="E2188" s="839" t="s">
        <v>429</v>
      </c>
      <c r="F2188" s="839" t="s">
        <v>269</v>
      </c>
      <c r="G2188" s="916">
        <f>VLOOKUP($A2188,'Tech Litons'!$A:$I,8,FALSE)</f>
        <v>8.5199999999999998E-3</v>
      </c>
      <c r="H2188" s="917">
        <f>VLOOKUP($A2188,'Tech Litons'!$A:$I,9,FALSE)</f>
        <v>176</v>
      </c>
      <c r="I2188" s="917" t="str">
        <f>VLOOKUP($A2188,'Tech Litons'!$A:$C,3,0)</f>
        <v>48oz</v>
      </c>
      <c r="J2188" s="918" t="str">
        <f t="shared" si="223"/>
        <v>290448oz</v>
      </c>
      <c r="K2188" s="919">
        <v>1</v>
      </c>
      <c r="L2188" s="920">
        <f t="shared" si="222"/>
        <v>3915</v>
      </c>
      <c r="M2188" s="920">
        <f t="shared" si="224"/>
        <v>33.355800000000002</v>
      </c>
      <c r="N2188" s="920">
        <f t="shared" si="225"/>
        <v>22.244318181818183</v>
      </c>
      <c r="O2188" s="918" t="str">
        <f t="shared" si="226"/>
        <v>Feb</v>
      </c>
      <c r="P2188" s="921">
        <f t="shared" si="227"/>
        <v>7</v>
      </c>
    </row>
    <row r="2189" spans="1:16" ht="15" hidden="1" customHeight="1">
      <c r="A2189" s="839">
        <v>64775327</v>
      </c>
      <c r="B2189" s="839">
        <v>2904</v>
      </c>
      <c r="C2189" s="906">
        <v>352</v>
      </c>
      <c r="D2189" s="907">
        <v>46062</v>
      </c>
      <c r="E2189" s="839" t="s">
        <v>429</v>
      </c>
      <c r="F2189" s="839" t="s">
        <v>269</v>
      </c>
      <c r="G2189" s="916">
        <f>VLOOKUP($A2189,'Tech Litons'!$A:$I,8,FALSE)</f>
        <v>8.5199999999999998E-3</v>
      </c>
      <c r="H2189" s="917">
        <f>VLOOKUP($A2189,'Tech Litons'!$A:$I,9,FALSE)</f>
        <v>176</v>
      </c>
      <c r="I2189" s="917" t="str">
        <f>VLOOKUP($A2189,'Tech Litons'!$A:$C,3,0)</f>
        <v>48oz</v>
      </c>
      <c r="J2189" s="918" t="str">
        <f t="shared" si="223"/>
        <v>290448oz</v>
      </c>
      <c r="K2189" s="919">
        <v>1</v>
      </c>
      <c r="L2189" s="920">
        <f t="shared" si="222"/>
        <v>352</v>
      </c>
      <c r="M2189" s="920">
        <f t="shared" si="224"/>
        <v>2.9990399999999999</v>
      </c>
      <c r="N2189" s="920">
        <f t="shared" si="225"/>
        <v>2</v>
      </c>
      <c r="O2189" s="918" t="str">
        <f t="shared" si="226"/>
        <v>Feb</v>
      </c>
      <c r="P2189" s="921">
        <f t="shared" si="227"/>
        <v>7</v>
      </c>
    </row>
    <row r="2190" spans="1:16" ht="15" hidden="1" customHeight="1">
      <c r="A2190" s="839">
        <v>64775327</v>
      </c>
      <c r="B2190" s="839">
        <v>2904</v>
      </c>
      <c r="C2190" s="906">
        <v>3696</v>
      </c>
      <c r="D2190" s="907">
        <v>46058</v>
      </c>
      <c r="E2190" s="839" t="s">
        <v>429</v>
      </c>
      <c r="F2190" s="839" t="s">
        <v>271</v>
      </c>
      <c r="G2190" s="916">
        <f>VLOOKUP($A2190,'Tech Litons'!$A:$I,8,FALSE)</f>
        <v>8.5199999999999998E-3</v>
      </c>
      <c r="H2190" s="917">
        <f>VLOOKUP($A2190,'Tech Litons'!$A:$I,9,FALSE)</f>
        <v>176</v>
      </c>
      <c r="I2190" s="917" t="str">
        <f>VLOOKUP($A2190,'Tech Litons'!$A:$C,3,0)</f>
        <v>48oz</v>
      </c>
      <c r="J2190" s="918" t="str">
        <f t="shared" si="223"/>
        <v>290448oz</v>
      </c>
      <c r="K2190" s="919">
        <v>1</v>
      </c>
      <c r="L2190" s="920">
        <f t="shared" si="222"/>
        <v>3696</v>
      </c>
      <c r="M2190" s="920">
        <f t="shared" si="224"/>
        <v>31.489919999999998</v>
      </c>
      <c r="N2190" s="920">
        <f t="shared" si="225"/>
        <v>21</v>
      </c>
      <c r="O2190" s="918" t="str">
        <f t="shared" si="226"/>
        <v>Feb</v>
      </c>
      <c r="P2190" s="921">
        <f t="shared" si="227"/>
        <v>6</v>
      </c>
    </row>
    <row r="2191" spans="1:16" ht="15" hidden="1" customHeight="1">
      <c r="A2191" s="839">
        <v>64775327</v>
      </c>
      <c r="B2191" s="839">
        <v>2904</v>
      </c>
      <c r="C2191" s="906">
        <v>3487</v>
      </c>
      <c r="D2191" s="907">
        <v>46059</v>
      </c>
      <c r="E2191" s="839" t="s">
        <v>429</v>
      </c>
      <c r="F2191" s="839" t="s">
        <v>271</v>
      </c>
      <c r="G2191" s="916">
        <f>VLOOKUP($A2191,'Tech Litons'!$A:$I,8,FALSE)</f>
        <v>8.5199999999999998E-3</v>
      </c>
      <c r="H2191" s="917">
        <f>VLOOKUP($A2191,'Tech Litons'!$A:$I,9,FALSE)</f>
        <v>176</v>
      </c>
      <c r="I2191" s="917" t="str">
        <f>VLOOKUP($A2191,'Tech Litons'!$A:$C,3,0)</f>
        <v>48oz</v>
      </c>
      <c r="J2191" s="918" t="str">
        <f t="shared" si="223"/>
        <v>290448oz</v>
      </c>
      <c r="K2191" s="919">
        <v>1</v>
      </c>
      <c r="L2191" s="920">
        <f t="shared" si="222"/>
        <v>3487</v>
      </c>
      <c r="M2191" s="920">
        <f t="shared" si="224"/>
        <v>29.709239999999998</v>
      </c>
      <c r="N2191" s="920">
        <f t="shared" si="225"/>
        <v>19.8125</v>
      </c>
      <c r="O2191" s="918" t="str">
        <f t="shared" si="226"/>
        <v>Feb</v>
      </c>
      <c r="P2191" s="921">
        <f t="shared" si="227"/>
        <v>6</v>
      </c>
    </row>
    <row r="2192" spans="1:16" ht="15" hidden="1" customHeight="1">
      <c r="A2192" s="839">
        <v>64782365</v>
      </c>
      <c r="B2192" s="839">
        <v>2904</v>
      </c>
      <c r="C2192" s="906">
        <v>2645</v>
      </c>
      <c r="D2192" s="907">
        <v>46073</v>
      </c>
      <c r="E2192" s="839" t="s">
        <v>519</v>
      </c>
      <c r="F2192" s="839" t="s">
        <v>283</v>
      </c>
      <c r="G2192" s="916">
        <f>VLOOKUP($A2192,'Tech Litons'!$A:$I,8,FALSE)</f>
        <v>1.9199999999999998E-3</v>
      </c>
      <c r="H2192" s="917">
        <f>VLOOKUP($A2192,'Tech Litons'!$A:$I,9,FALSE)</f>
        <v>210</v>
      </c>
      <c r="I2192" s="917" t="str">
        <f>VLOOKUP($A2192,'Tech Litons'!$A:$C,3,0)</f>
        <v>MG Sticks</v>
      </c>
      <c r="J2192" s="918" t="str">
        <f t="shared" si="223"/>
        <v>2904MG Sticks</v>
      </c>
      <c r="K2192" s="919">
        <v>1</v>
      </c>
      <c r="L2192" s="920">
        <f t="shared" si="222"/>
        <v>2645</v>
      </c>
      <c r="M2192" s="920">
        <f t="shared" si="224"/>
        <v>5.0783999999999994</v>
      </c>
      <c r="N2192" s="920">
        <f t="shared" si="225"/>
        <v>12.595238095238095</v>
      </c>
      <c r="O2192" s="918" t="str">
        <f t="shared" si="226"/>
        <v>Feb</v>
      </c>
      <c r="P2192" s="921">
        <f t="shared" si="227"/>
        <v>8</v>
      </c>
    </row>
    <row r="2193" spans="1:16" ht="15" hidden="1" customHeight="1">
      <c r="A2193" s="839">
        <v>64782365</v>
      </c>
      <c r="B2193" s="839">
        <v>2904</v>
      </c>
      <c r="C2193" s="906">
        <v>5631</v>
      </c>
      <c r="D2193" s="907">
        <v>46074</v>
      </c>
      <c r="E2193" s="839" t="s">
        <v>519</v>
      </c>
      <c r="F2193" s="839" t="s">
        <v>283</v>
      </c>
      <c r="G2193" s="916">
        <f>VLOOKUP($A2193,'Tech Litons'!$A:$I,8,FALSE)</f>
        <v>1.9199999999999998E-3</v>
      </c>
      <c r="H2193" s="917">
        <f>VLOOKUP($A2193,'Tech Litons'!$A:$I,9,FALSE)</f>
        <v>210</v>
      </c>
      <c r="I2193" s="917" t="str">
        <f>VLOOKUP($A2193,'Tech Litons'!$A:$C,3,0)</f>
        <v>MG Sticks</v>
      </c>
      <c r="J2193" s="918" t="str">
        <f t="shared" si="223"/>
        <v>2904MG Sticks</v>
      </c>
      <c r="K2193" s="919">
        <v>1</v>
      </c>
      <c r="L2193" s="920">
        <f t="shared" si="222"/>
        <v>5631</v>
      </c>
      <c r="M2193" s="920">
        <f t="shared" si="224"/>
        <v>10.81152</v>
      </c>
      <c r="N2193" s="920">
        <f t="shared" si="225"/>
        <v>26.814285714285713</v>
      </c>
      <c r="O2193" s="918" t="str">
        <f t="shared" si="226"/>
        <v>Feb</v>
      </c>
      <c r="P2193" s="921">
        <f t="shared" si="227"/>
        <v>8</v>
      </c>
    </row>
    <row r="2194" spans="1:16" ht="15" hidden="1" customHeight="1">
      <c r="A2194" s="839">
        <v>64782365</v>
      </c>
      <c r="B2194" s="839">
        <v>2904</v>
      </c>
      <c r="C2194" s="906">
        <v>6891</v>
      </c>
      <c r="D2194" s="907">
        <v>46074</v>
      </c>
      <c r="E2194" s="839" t="s">
        <v>519</v>
      </c>
      <c r="F2194" s="839" t="s">
        <v>283</v>
      </c>
      <c r="G2194" s="916">
        <f>VLOOKUP($A2194,'Tech Litons'!$A:$I,8,FALSE)</f>
        <v>1.9199999999999998E-3</v>
      </c>
      <c r="H2194" s="917">
        <f>VLOOKUP($A2194,'Tech Litons'!$A:$I,9,FALSE)</f>
        <v>210</v>
      </c>
      <c r="I2194" s="917" t="str">
        <f>VLOOKUP($A2194,'Tech Litons'!$A:$C,3,0)</f>
        <v>MG Sticks</v>
      </c>
      <c r="J2194" s="918" t="str">
        <f t="shared" si="223"/>
        <v>2904MG Sticks</v>
      </c>
      <c r="K2194" s="919">
        <v>1</v>
      </c>
      <c r="L2194" s="920">
        <f t="shared" si="222"/>
        <v>6891</v>
      </c>
      <c r="M2194" s="920">
        <f t="shared" si="224"/>
        <v>13.230719999999998</v>
      </c>
      <c r="N2194" s="920">
        <f t="shared" si="225"/>
        <v>32.814285714285717</v>
      </c>
      <c r="O2194" s="918" t="str">
        <f t="shared" si="226"/>
        <v>Feb</v>
      </c>
      <c r="P2194" s="921">
        <f t="shared" si="227"/>
        <v>8</v>
      </c>
    </row>
    <row r="2195" spans="1:16" ht="15" hidden="1" customHeight="1">
      <c r="A2195" s="839">
        <v>64782365</v>
      </c>
      <c r="B2195" s="839">
        <v>2904</v>
      </c>
      <c r="C2195" s="906">
        <v>4057</v>
      </c>
      <c r="D2195" s="907">
        <v>46075</v>
      </c>
      <c r="E2195" s="839" t="s">
        <v>519</v>
      </c>
      <c r="F2195" s="839" t="s">
        <v>283</v>
      </c>
      <c r="G2195" s="916">
        <f>VLOOKUP($A2195,'Tech Litons'!$A:$I,8,FALSE)</f>
        <v>1.9199999999999998E-3</v>
      </c>
      <c r="H2195" s="917">
        <f>VLOOKUP($A2195,'Tech Litons'!$A:$I,9,FALSE)</f>
        <v>210</v>
      </c>
      <c r="I2195" s="917" t="str">
        <f>VLOOKUP($A2195,'Tech Litons'!$A:$C,3,0)</f>
        <v>MG Sticks</v>
      </c>
      <c r="J2195" s="918" t="str">
        <f t="shared" si="223"/>
        <v>2904MG Sticks</v>
      </c>
      <c r="K2195" s="919">
        <v>1</v>
      </c>
      <c r="L2195" s="920">
        <f t="shared" si="222"/>
        <v>4057</v>
      </c>
      <c r="M2195" s="920">
        <f t="shared" si="224"/>
        <v>7.789439999999999</v>
      </c>
      <c r="N2195" s="920">
        <f t="shared" si="225"/>
        <v>19.31904761904762</v>
      </c>
      <c r="O2195" s="918" t="str">
        <f t="shared" si="226"/>
        <v>Feb</v>
      </c>
      <c r="P2195" s="921">
        <f t="shared" si="227"/>
        <v>9</v>
      </c>
    </row>
    <row r="2196" spans="1:16" ht="15" hidden="1" customHeight="1">
      <c r="A2196" s="839">
        <v>64782365</v>
      </c>
      <c r="B2196" s="839">
        <v>2904</v>
      </c>
      <c r="C2196" s="906">
        <v>6300</v>
      </c>
      <c r="D2196" s="907">
        <v>46075</v>
      </c>
      <c r="E2196" s="839" t="s">
        <v>519</v>
      </c>
      <c r="F2196" s="839" t="s">
        <v>283</v>
      </c>
      <c r="G2196" s="916">
        <f>VLOOKUP($A2196,'Tech Litons'!$A:$I,8,FALSE)</f>
        <v>1.9199999999999998E-3</v>
      </c>
      <c r="H2196" s="917">
        <f>VLOOKUP($A2196,'Tech Litons'!$A:$I,9,FALSE)</f>
        <v>210</v>
      </c>
      <c r="I2196" s="917" t="str">
        <f>VLOOKUP($A2196,'Tech Litons'!$A:$C,3,0)</f>
        <v>MG Sticks</v>
      </c>
      <c r="J2196" s="918" t="str">
        <f t="shared" si="223"/>
        <v>2904MG Sticks</v>
      </c>
      <c r="K2196" s="919">
        <v>1</v>
      </c>
      <c r="L2196" s="920">
        <f t="shared" si="222"/>
        <v>6300</v>
      </c>
      <c r="M2196" s="920">
        <f t="shared" si="224"/>
        <v>12.095999999999998</v>
      </c>
      <c r="N2196" s="920">
        <f t="shared" si="225"/>
        <v>30</v>
      </c>
      <c r="O2196" s="918" t="str">
        <f t="shared" si="226"/>
        <v>Feb</v>
      </c>
      <c r="P2196" s="921">
        <f t="shared" si="227"/>
        <v>9</v>
      </c>
    </row>
    <row r="2197" spans="1:16" ht="15" hidden="1" customHeight="1">
      <c r="A2197" s="839">
        <v>64782365</v>
      </c>
      <c r="B2197" s="839">
        <v>2904</v>
      </c>
      <c r="C2197" s="906">
        <v>191</v>
      </c>
      <c r="D2197" s="907">
        <v>46072</v>
      </c>
      <c r="E2197" s="839" t="s">
        <v>519</v>
      </c>
      <c r="F2197" s="839" t="s">
        <v>283</v>
      </c>
      <c r="G2197" s="916">
        <f>VLOOKUP($A2197,'Tech Litons'!$A:$I,8,FALSE)</f>
        <v>1.9199999999999998E-3</v>
      </c>
      <c r="H2197" s="917">
        <f>VLOOKUP($A2197,'Tech Litons'!$A:$I,9,FALSE)</f>
        <v>210</v>
      </c>
      <c r="I2197" s="917" t="str">
        <f>VLOOKUP($A2197,'Tech Litons'!$A:$C,3,0)</f>
        <v>MG Sticks</v>
      </c>
      <c r="J2197" s="918" t="str">
        <f t="shared" si="223"/>
        <v>2904MG Sticks</v>
      </c>
      <c r="K2197" s="919">
        <v>1</v>
      </c>
      <c r="L2197" s="920">
        <f t="shared" si="222"/>
        <v>191</v>
      </c>
      <c r="M2197" s="920">
        <f t="shared" si="224"/>
        <v>0.36671999999999999</v>
      </c>
      <c r="N2197" s="920">
        <f t="shared" si="225"/>
        <v>0.90952380952380951</v>
      </c>
      <c r="O2197" s="918" t="str">
        <f t="shared" si="226"/>
        <v>Feb</v>
      </c>
      <c r="P2197" s="921">
        <f t="shared" si="227"/>
        <v>8</v>
      </c>
    </row>
    <row r="2198" spans="1:16" ht="15" hidden="1" customHeight="1">
      <c r="A2198" s="839">
        <v>64782365</v>
      </c>
      <c r="B2198" s="839">
        <v>2904</v>
      </c>
      <c r="C2198" s="906">
        <v>210</v>
      </c>
      <c r="D2198" s="907">
        <v>46073</v>
      </c>
      <c r="E2198" s="839" t="s">
        <v>519</v>
      </c>
      <c r="F2198" s="839" t="s">
        <v>283</v>
      </c>
      <c r="G2198" s="916">
        <f>VLOOKUP($A2198,'Tech Litons'!$A:$I,8,FALSE)</f>
        <v>1.9199999999999998E-3</v>
      </c>
      <c r="H2198" s="917">
        <f>VLOOKUP($A2198,'Tech Litons'!$A:$I,9,FALSE)</f>
        <v>210</v>
      </c>
      <c r="I2198" s="917" t="str">
        <f>VLOOKUP($A2198,'Tech Litons'!$A:$C,3,0)</f>
        <v>MG Sticks</v>
      </c>
      <c r="J2198" s="918" t="str">
        <f t="shared" si="223"/>
        <v>2904MG Sticks</v>
      </c>
      <c r="K2198" s="919">
        <v>1</v>
      </c>
      <c r="L2198" s="920">
        <f t="shared" si="222"/>
        <v>210</v>
      </c>
      <c r="M2198" s="920">
        <f t="shared" si="224"/>
        <v>0.40319999999999995</v>
      </c>
      <c r="N2198" s="920">
        <f t="shared" si="225"/>
        <v>1</v>
      </c>
      <c r="O2198" s="918" t="str">
        <f t="shared" si="226"/>
        <v>Feb</v>
      </c>
      <c r="P2198" s="921">
        <f t="shared" si="227"/>
        <v>8</v>
      </c>
    </row>
    <row r="2199" spans="1:16" ht="15" hidden="1" customHeight="1">
      <c r="A2199" s="839">
        <v>64958122</v>
      </c>
      <c r="B2199" s="839">
        <v>2904</v>
      </c>
      <c r="C2199" s="906">
        <v>4502</v>
      </c>
      <c r="D2199" s="907">
        <v>46059</v>
      </c>
      <c r="E2199" s="839" t="s">
        <v>236</v>
      </c>
      <c r="F2199" s="839" t="s">
        <v>234</v>
      </c>
      <c r="G2199" s="916">
        <f>VLOOKUP($A2199,'Tech Litons'!$A:$I,8,FALSE)</f>
        <v>3.3119999999999998E-3</v>
      </c>
      <c r="H2199" s="917">
        <f>VLOOKUP($A2199,'Tech Litons'!$A:$I,9,FALSE)</f>
        <v>165</v>
      </c>
      <c r="I2199" s="917" t="str">
        <f>VLOOKUP($A2199,'Tech Litons'!$A:$C,3,0)</f>
        <v>Yasso Sticks</v>
      </c>
      <c r="J2199" s="918" t="str">
        <f t="shared" si="223"/>
        <v>2904Yasso Sticks</v>
      </c>
      <c r="K2199" s="919">
        <v>1</v>
      </c>
      <c r="L2199" s="920">
        <f t="shared" si="222"/>
        <v>4502</v>
      </c>
      <c r="M2199" s="920">
        <f t="shared" si="224"/>
        <v>14.910623999999999</v>
      </c>
      <c r="N2199" s="920">
        <f t="shared" si="225"/>
        <v>27.284848484848485</v>
      </c>
      <c r="O2199" s="918" t="str">
        <f t="shared" si="226"/>
        <v>Feb</v>
      </c>
      <c r="P2199" s="921">
        <f t="shared" si="227"/>
        <v>6</v>
      </c>
    </row>
    <row r="2200" spans="1:16" ht="15" hidden="1" customHeight="1">
      <c r="A2200" s="839">
        <v>64958122</v>
      </c>
      <c r="B2200" s="839">
        <v>2904</v>
      </c>
      <c r="C2200" s="906">
        <v>3822</v>
      </c>
      <c r="D2200" s="907">
        <v>46060</v>
      </c>
      <c r="E2200" s="839" t="s">
        <v>236</v>
      </c>
      <c r="F2200" s="839" t="s">
        <v>234</v>
      </c>
      <c r="G2200" s="916">
        <f>VLOOKUP($A2200,'Tech Litons'!$A:$I,8,FALSE)</f>
        <v>3.3119999999999998E-3</v>
      </c>
      <c r="H2200" s="917">
        <f>VLOOKUP($A2200,'Tech Litons'!$A:$I,9,FALSE)</f>
        <v>165</v>
      </c>
      <c r="I2200" s="917" t="str">
        <f>VLOOKUP($A2200,'Tech Litons'!$A:$C,3,0)</f>
        <v>Yasso Sticks</v>
      </c>
      <c r="J2200" s="918" t="str">
        <f t="shared" si="223"/>
        <v>2904Yasso Sticks</v>
      </c>
      <c r="K2200" s="919">
        <v>1</v>
      </c>
      <c r="L2200" s="920">
        <f t="shared" si="222"/>
        <v>3822</v>
      </c>
      <c r="M2200" s="920">
        <f t="shared" si="224"/>
        <v>12.658463999999999</v>
      </c>
      <c r="N2200" s="920">
        <f t="shared" si="225"/>
        <v>23.163636363636364</v>
      </c>
      <c r="O2200" s="918" t="str">
        <f t="shared" si="226"/>
        <v>Feb</v>
      </c>
      <c r="P2200" s="921">
        <f t="shared" si="227"/>
        <v>6</v>
      </c>
    </row>
    <row r="2201" spans="1:16" ht="15" hidden="1" customHeight="1">
      <c r="A2201" s="839">
        <v>64958122</v>
      </c>
      <c r="B2201" s="839">
        <v>2904</v>
      </c>
      <c r="C2201" s="906">
        <v>903</v>
      </c>
      <c r="D2201" s="907">
        <v>46062</v>
      </c>
      <c r="E2201" s="839" t="s">
        <v>236</v>
      </c>
      <c r="F2201" s="839" t="s">
        <v>234</v>
      </c>
      <c r="G2201" s="916">
        <f>VLOOKUP($A2201,'Tech Litons'!$A:$I,8,FALSE)</f>
        <v>3.3119999999999998E-3</v>
      </c>
      <c r="H2201" s="917">
        <f>VLOOKUP($A2201,'Tech Litons'!$A:$I,9,FALSE)</f>
        <v>165</v>
      </c>
      <c r="I2201" s="917" t="str">
        <f>VLOOKUP($A2201,'Tech Litons'!$A:$C,3,0)</f>
        <v>Yasso Sticks</v>
      </c>
      <c r="J2201" s="918" t="str">
        <f t="shared" si="223"/>
        <v>2904Yasso Sticks</v>
      </c>
      <c r="K2201" s="919">
        <v>1</v>
      </c>
      <c r="L2201" s="920">
        <f t="shared" si="222"/>
        <v>903</v>
      </c>
      <c r="M2201" s="920">
        <f t="shared" si="224"/>
        <v>2.9907360000000001</v>
      </c>
      <c r="N2201" s="920">
        <f t="shared" si="225"/>
        <v>5.4727272727272727</v>
      </c>
      <c r="O2201" s="918" t="str">
        <f t="shared" si="226"/>
        <v>Feb</v>
      </c>
      <c r="P2201" s="921">
        <f t="shared" si="227"/>
        <v>7</v>
      </c>
    </row>
    <row r="2202" spans="1:16" ht="15" hidden="1" customHeight="1">
      <c r="A2202" s="839">
        <v>64958122</v>
      </c>
      <c r="B2202" s="839">
        <v>2904</v>
      </c>
      <c r="C2202" s="906">
        <v>5445</v>
      </c>
      <c r="D2202" s="907">
        <v>46058</v>
      </c>
      <c r="E2202" s="839" t="s">
        <v>236</v>
      </c>
      <c r="F2202" s="839" t="s">
        <v>234</v>
      </c>
      <c r="G2202" s="916">
        <f>VLOOKUP($A2202,'Tech Litons'!$A:$I,8,FALSE)</f>
        <v>3.3119999999999998E-3</v>
      </c>
      <c r="H2202" s="917">
        <f>VLOOKUP($A2202,'Tech Litons'!$A:$I,9,FALSE)</f>
        <v>165</v>
      </c>
      <c r="I2202" s="917" t="str">
        <f>VLOOKUP($A2202,'Tech Litons'!$A:$C,3,0)</f>
        <v>Yasso Sticks</v>
      </c>
      <c r="J2202" s="918" t="str">
        <f t="shared" si="223"/>
        <v>2904Yasso Sticks</v>
      </c>
      <c r="K2202" s="919">
        <v>1</v>
      </c>
      <c r="L2202" s="920">
        <f t="shared" si="222"/>
        <v>5445</v>
      </c>
      <c r="M2202" s="920">
        <f t="shared" si="224"/>
        <v>18.033839999999998</v>
      </c>
      <c r="N2202" s="920">
        <f t="shared" si="225"/>
        <v>33</v>
      </c>
      <c r="O2202" s="918" t="str">
        <f t="shared" si="226"/>
        <v>Feb</v>
      </c>
      <c r="P2202" s="921">
        <f t="shared" si="227"/>
        <v>6</v>
      </c>
    </row>
    <row r="2203" spans="1:16" ht="15" hidden="1" customHeight="1">
      <c r="A2203" s="839">
        <v>64958122</v>
      </c>
      <c r="B2203" s="839">
        <v>2904</v>
      </c>
      <c r="C2203" s="906">
        <v>4620</v>
      </c>
      <c r="D2203" s="907">
        <v>46059</v>
      </c>
      <c r="E2203" s="839" t="s">
        <v>236</v>
      </c>
      <c r="F2203" s="839" t="s">
        <v>234</v>
      </c>
      <c r="G2203" s="916">
        <f>VLOOKUP($A2203,'Tech Litons'!$A:$I,8,FALSE)</f>
        <v>3.3119999999999998E-3</v>
      </c>
      <c r="H2203" s="917">
        <f>VLOOKUP($A2203,'Tech Litons'!$A:$I,9,FALSE)</f>
        <v>165</v>
      </c>
      <c r="I2203" s="917" t="str">
        <f>VLOOKUP($A2203,'Tech Litons'!$A:$C,3,0)</f>
        <v>Yasso Sticks</v>
      </c>
      <c r="J2203" s="918" t="str">
        <f t="shared" si="223"/>
        <v>2904Yasso Sticks</v>
      </c>
      <c r="K2203" s="919">
        <v>1</v>
      </c>
      <c r="L2203" s="920">
        <f t="shared" si="222"/>
        <v>4620</v>
      </c>
      <c r="M2203" s="920">
        <f t="shared" si="224"/>
        <v>15.301439999999999</v>
      </c>
      <c r="N2203" s="920">
        <f t="shared" si="225"/>
        <v>28</v>
      </c>
      <c r="O2203" s="918" t="str">
        <f t="shared" si="226"/>
        <v>Feb</v>
      </c>
      <c r="P2203" s="921">
        <f t="shared" si="227"/>
        <v>6</v>
      </c>
    </row>
    <row r="2204" spans="1:16" ht="15" hidden="1" customHeight="1">
      <c r="A2204" s="839">
        <v>64958125</v>
      </c>
      <c r="B2204" s="839">
        <v>2904</v>
      </c>
      <c r="C2204" s="906">
        <v>6930</v>
      </c>
      <c r="D2204" s="907">
        <v>46055</v>
      </c>
      <c r="E2204" s="839" t="s">
        <v>238</v>
      </c>
      <c r="F2204" s="839" t="s">
        <v>234</v>
      </c>
      <c r="G2204" s="916">
        <f>VLOOKUP($A2204,'Tech Litons'!$A:$I,8,FALSE)</f>
        <v>3.3119999999999998E-3</v>
      </c>
      <c r="H2204" s="917">
        <f>VLOOKUP($A2204,'Tech Litons'!$A:$I,9,FALSE)</f>
        <v>165</v>
      </c>
      <c r="I2204" s="917" t="str">
        <f>VLOOKUP($A2204,'Tech Litons'!$A:$C,3,0)</f>
        <v>Yasso Sticks</v>
      </c>
      <c r="J2204" s="918" t="str">
        <f t="shared" si="223"/>
        <v>2904Yasso Sticks</v>
      </c>
      <c r="K2204" s="919">
        <v>1</v>
      </c>
      <c r="L2204" s="920">
        <f t="shared" si="222"/>
        <v>6930</v>
      </c>
      <c r="M2204" s="920">
        <f t="shared" si="224"/>
        <v>22.952159999999999</v>
      </c>
      <c r="N2204" s="920">
        <f t="shared" si="225"/>
        <v>42</v>
      </c>
      <c r="O2204" s="918" t="str">
        <f t="shared" si="226"/>
        <v>Feb</v>
      </c>
      <c r="P2204" s="921">
        <f t="shared" si="227"/>
        <v>6</v>
      </c>
    </row>
    <row r="2205" spans="1:16" ht="15" hidden="1" customHeight="1">
      <c r="A2205" s="839">
        <v>64958125</v>
      </c>
      <c r="B2205" s="839">
        <v>2904</v>
      </c>
      <c r="C2205" s="906">
        <v>9405</v>
      </c>
      <c r="D2205" s="907">
        <v>46056</v>
      </c>
      <c r="E2205" s="839" t="s">
        <v>238</v>
      </c>
      <c r="F2205" s="839" t="s">
        <v>234</v>
      </c>
      <c r="G2205" s="916">
        <f>VLOOKUP($A2205,'Tech Litons'!$A:$I,8,FALSE)</f>
        <v>3.3119999999999998E-3</v>
      </c>
      <c r="H2205" s="917">
        <f>VLOOKUP($A2205,'Tech Litons'!$A:$I,9,FALSE)</f>
        <v>165</v>
      </c>
      <c r="I2205" s="917" t="str">
        <f>VLOOKUP($A2205,'Tech Litons'!$A:$C,3,0)</f>
        <v>Yasso Sticks</v>
      </c>
      <c r="J2205" s="918" t="str">
        <f t="shared" si="223"/>
        <v>2904Yasso Sticks</v>
      </c>
      <c r="K2205" s="919">
        <v>1</v>
      </c>
      <c r="L2205" s="920">
        <f t="shared" si="222"/>
        <v>9405</v>
      </c>
      <c r="M2205" s="920">
        <f t="shared" si="224"/>
        <v>31.149359999999998</v>
      </c>
      <c r="N2205" s="920">
        <f t="shared" si="225"/>
        <v>57</v>
      </c>
      <c r="O2205" s="918" t="str">
        <f t="shared" si="226"/>
        <v>Feb</v>
      </c>
      <c r="P2205" s="921">
        <f t="shared" si="227"/>
        <v>6</v>
      </c>
    </row>
    <row r="2206" spans="1:16" ht="15" hidden="1" customHeight="1">
      <c r="A2206" s="839">
        <v>64958125</v>
      </c>
      <c r="B2206" s="839">
        <v>2904</v>
      </c>
      <c r="C2206" s="906">
        <v>5225</v>
      </c>
      <c r="D2206" s="907">
        <v>46056</v>
      </c>
      <c r="E2206" s="839" t="s">
        <v>238</v>
      </c>
      <c r="F2206" s="839" t="s">
        <v>234</v>
      </c>
      <c r="G2206" s="916">
        <f>VLOOKUP($A2206,'Tech Litons'!$A:$I,8,FALSE)</f>
        <v>3.3119999999999998E-3</v>
      </c>
      <c r="H2206" s="917">
        <f>VLOOKUP($A2206,'Tech Litons'!$A:$I,9,FALSE)</f>
        <v>165</v>
      </c>
      <c r="I2206" s="917" t="str">
        <f>VLOOKUP($A2206,'Tech Litons'!$A:$C,3,0)</f>
        <v>Yasso Sticks</v>
      </c>
      <c r="J2206" s="918" t="str">
        <f t="shared" si="223"/>
        <v>2904Yasso Sticks</v>
      </c>
      <c r="K2206" s="919">
        <v>1</v>
      </c>
      <c r="L2206" s="920">
        <f t="shared" si="222"/>
        <v>5225</v>
      </c>
      <c r="M2206" s="920">
        <f t="shared" si="224"/>
        <v>17.305199999999999</v>
      </c>
      <c r="N2206" s="920">
        <f t="shared" si="225"/>
        <v>31.666666666666668</v>
      </c>
      <c r="O2206" s="918" t="str">
        <f t="shared" si="226"/>
        <v>Feb</v>
      </c>
      <c r="P2206" s="921">
        <f t="shared" si="227"/>
        <v>6</v>
      </c>
    </row>
    <row r="2207" spans="1:16" ht="15" hidden="1" customHeight="1">
      <c r="A2207" s="839">
        <v>64958125</v>
      </c>
      <c r="B2207" s="839">
        <v>2904</v>
      </c>
      <c r="C2207" s="906">
        <v>8535</v>
      </c>
      <c r="D2207" s="907">
        <v>46057</v>
      </c>
      <c r="E2207" s="839" t="s">
        <v>238</v>
      </c>
      <c r="F2207" s="839" t="s">
        <v>234</v>
      </c>
      <c r="G2207" s="916">
        <f>VLOOKUP($A2207,'Tech Litons'!$A:$I,8,FALSE)</f>
        <v>3.3119999999999998E-3</v>
      </c>
      <c r="H2207" s="917">
        <f>VLOOKUP($A2207,'Tech Litons'!$A:$I,9,FALSE)</f>
        <v>165</v>
      </c>
      <c r="I2207" s="917" t="str">
        <f>VLOOKUP($A2207,'Tech Litons'!$A:$C,3,0)</f>
        <v>Yasso Sticks</v>
      </c>
      <c r="J2207" s="918" t="str">
        <f t="shared" si="223"/>
        <v>2904Yasso Sticks</v>
      </c>
      <c r="K2207" s="919">
        <v>1</v>
      </c>
      <c r="L2207" s="920">
        <f t="shared" si="222"/>
        <v>8535</v>
      </c>
      <c r="M2207" s="920">
        <f t="shared" si="224"/>
        <v>28.26792</v>
      </c>
      <c r="N2207" s="920">
        <f t="shared" si="225"/>
        <v>51.727272727272727</v>
      </c>
      <c r="O2207" s="918" t="str">
        <f t="shared" si="226"/>
        <v>Feb</v>
      </c>
      <c r="P2207" s="921">
        <f t="shared" si="227"/>
        <v>6</v>
      </c>
    </row>
    <row r="2208" spans="1:16" ht="15" hidden="1" customHeight="1">
      <c r="A2208" s="839">
        <v>64958125</v>
      </c>
      <c r="B2208" s="839">
        <v>2904</v>
      </c>
      <c r="C2208" s="906">
        <v>6270</v>
      </c>
      <c r="D2208" s="907">
        <v>46057</v>
      </c>
      <c r="E2208" s="839" t="s">
        <v>238</v>
      </c>
      <c r="F2208" s="839" t="s">
        <v>234</v>
      </c>
      <c r="G2208" s="916">
        <f>VLOOKUP($A2208,'Tech Litons'!$A:$I,8,FALSE)</f>
        <v>3.3119999999999998E-3</v>
      </c>
      <c r="H2208" s="917">
        <f>VLOOKUP($A2208,'Tech Litons'!$A:$I,9,FALSE)</f>
        <v>165</v>
      </c>
      <c r="I2208" s="917" t="str">
        <f>VLOOKUP($A2208,'Tech Litons'!$A:$C,3,0)</f>
        <v>Yasso Sticks</v>
      </c>
      <c r="J2208" s="918" t="str">
        <f t="shared" si="223"/>
        <v>2904Yasso Sticks</v>
      </c>
      <c r="K2208" s="919">
        <v>1</v>
      </c>
      <c r="L2208" s="920">
        <f t="shared" si="222"/>
        <v>6270</v>
      </c>
      <c r="M2208" s="920">
        <f t="shared" si="224"/>
        <v>20.76624</v>
      </c>
      <c r="N2208" s="920">
        <f t="shared" si="225"/>
        <v>38</v>
      </c>
      <c r="O2208" s="918" t="str">
        <f t="shared" si="226"/>
        <v>Feb</v>
      </c>
      <c r="P2208" s="921">
        <f t="shared" si="227"/>
        <v>6</v>
      </c>
    </row>
    <row r="2209" spans="1:16" ht="15" hidden="1" customHeight="1">
      <c r="A2209" s="839">
        <v>64958125</v>
      </c>
      <c r="B2209" s="839">
        <v>2904</v>
      </c>
      <c r="C2209" s="906">
        <v>1459</v>
      </c>
      <c r="D2209" s="907">
        <v>46058</v>
      </c>
      <c r="E2209" s="839" t="s">
        <v>238</v>
      </c>
      <c r="F2209" s="839" t="s">
        <v>234</v>
      </c>
      <c r="G2209" s="916">
        <f>VLOOKUP($A2209,'Tech Litons'!$A:$I,8,FALSE)</f>
        <v>3.3119999999999998E-3</v>
      </c>
      <c r="H2209" s="917">
        <f>VLOOKUP($A2209,'Tech Litons'!$A:$I,9,FALSE)</f>
        <v>165</v>
      </c>
      <c r="I2209" s="917" t="str">
        <f>VLOOKUP($A2209,'Tech Litons'!$A:$C,3,0)</f>
        <v>Yasso Sticks</v>
      </c>
      <c r="J2209" s="918" t="str">
        <f t="shared" si="223"/>
        <v>2904Yasso Sticks</v>
      </c>
      <c r="K2209" s="919">
        <v>1</v>
      </c>
      <c r="L2209" s="920">
        <f t="shared" si="222"/>
        <v>1459</v>
      </c>
      <c r="M2209" s="920">
        <f t="shared" si="224"/>
        <v>4.8322079999999996</v>
      </c>
      <c r="N2209" s="920">
        <f t="shared" si="225"/>
        <v>8.8424242424242419</v>
      </c>
      <c r="O2209" s="918" t="str">
        <f t="shared" si="226"/>
        <v>Feb</v>
      </c>
      <c r="P2209" s="921">
        <f t="shared" si="227"/>
        <v>6</v>
      </c>
    </row>
    <row r="2210" spans="1:16" ht="15" hidden="1" customHeight="1">
      <c r="A2210" s="839">
        <v>64958125</v>
      </c>
      <c r="B2210" s="839">
        <v>2904</v>
      </c>
      <c r="C2210" s="906">
        <v>6435</v>
      </c>
      <c r="D2210" s="907">
        <v>46069</v>
      </c>
      <c r="E2210" s="839" t="s">
        <v>238</v>
      </c>
      <c r="F2210" s="839" t="s">
        <v>234</v>
      </c>
      <c r="G2210" s="916">
        <f>VLOOKUP($A2210,'Tech Litons'!$A:$I,8,FALSE)</f>
        <v>3.3119999999999998E-3</v>
      </c>
      <c r="H2210" s="917">
        <f>VLOOKUP($A2210,'Tech Litons'!$A:$I,9,FALSE)</f>
        <v>165</v>
      </c>
      <c r="I2210" s="917" t="str">
        <f>VLOOKUP($A2210,'Tech Litons'!$A:$C,3,0)</f>
        <v>Yasso Sticks</v>
      </c>
      <c r="J2210" s="918" t="str">
        <f t="shared" si="223"/>
        <v>2904Yasso Sticks</v>
      </c>
      <c r="K2210" s="919">
        <v>1</v>
      </c>
      <c r="L2210" s="920">
        <f t="shared" si="222"/>
        <v>6435</v>
      </c>
      <c r="M2210" s="920">
        <f t="shared" si="224"/>
        <v>21.312719999999999</v>
      </c>
      <c r="N2210" s="920">
        <f t="shared" si="225"/>
        <v>39</v>
      </c>
      <c r="O2210" s="918" t="str">
        <f t="shared" si="226"/>
        <v>Feb</v>
      </c>
      <c r="P2210" s="921">
        <f t="shared" si="227"/>
        <v>8</v>
      </c>
    </row>
    <row r="2211" spans="1:16" ht="15" hidden="1" customHeight="1">
      <c r="A2211" s="839">
        <v>64958125</v>
      </c>
      <c r="B2211" s="839">
        <v>2904</v>
      </c>
      <c r="C2211" s="906">
        <v>11100</v>
      </c>
      <c r="D2211" s="907">
        <v>46070</v>
      </c>
      <c r="E2211" s="839" t="s">
        <v>238</v>
      </c>
      <c r="F2211" s="839" t="s">
        <v>234</v>
      </c>
      <c r="G2211" s="916">
        <f>VLOOKUP($A2211,'Tech Litons'!$A:$I,8,FALSE)</f>
        <v>3.3119999999999998E-3</v>
      </c>
      <c r="H2211" s="917">
        <f>VLOOKUP($A2211,'Tech Litons'!$A:$I,9,FALSE)</f>
        <v>165</v>
      </c>
      <c r="I2211" s="917" t="str">
        <f>VLOOKUP($A2211,'Tech Litons'!$A:$C,3,0)</f>
        <v>Yasso Sticks</v>
      </c>
      <c r="J2211" s="918" t="str">
        <f t="shared" si="223"/>
        <v>2904Yasso Sticks</v>
      </c>
      <c r="K2211" s="919">
        <v>1</v>
      </c>
      <c r="L2211" s="920">
        <f t="shared" si="222"/>
        <v>11100</v>
      </c>
      <c r="M2211" s="920">
        <f t="shared" si="224"/>
        <v>36.763199999999998</v>
      </c>
      <c r="N2211" s="920">
        <f t="shared" si="225"/>
        <v>67.272727272727266</v>
      </c>
      <c r="O2211" s="918" t="str">
        <f t="shared" si="226"/>
        <v>Feb</v>
      </c>
      <c r="P2211" s="921">
        <f t="shared" si="227"/>
        <v>8</v>
      </c>
    </row>
    <row r="2212" spans="1:16" ht="15" hidden="1" customHeight="1">
      <c r="A2212" s="839">
        <v>64958125</v>
      </c>
      <c r="B2212" s="839">
        <v>2904</v>
      </c>
      <c r="C2212" s="906">
        <v>8414</v>
      </c>
      <c r="D2212" s="907">
        <v>46070</v>
      </c>
      <c r="E2212" s="839" t="s">
        <v>238</v>
      </c>
      <c r="F2212" s="839" t="s">
        <v>234</v>
      </c>
      <c r="G2212" s="916">
        <f>VLOOKUP($A2212,'Tech Litons'!$A:$I,8,FALSE)</f>
        <v>3.3119999999999998E-3</v>
      </c>
      <c r="H2212" s="917">
        <f>VLOOKUP($A2212,'Tech Litons'!$A:$I,9,FALSE)</f>
        <v>165</v>
      </c>
      <c r="I2212" s="917" t="str">
        <f>VLOOKUP($A2212,'Tech Litons'!$A:$C,3,0)</f>
        <v>Yasso Sticks</v>
      </c>
      <c r="J2212" s="918" t="str">
        <f t="shared" si="223"/>
        <v>2904Yasso Sticks</v>
      </c>
      <c r="K2212" s="919">
        <v>1</v>
      </c>
      <c r="L2212" s="920">
        <f t="shared" si="222"/>
        <v>8414</v>
      </c>
      <c r="M2212" s="920">
        <f t="shared" si="224"/>
        <v>27.867167999999999</v>
      </c>
      <c r="N2212" s="920">
        <f t="shared" si="225"/>
        <v>50.993939393939392</v>
      </c>
      <c r="O2212" s="918" t="str">
        <f t="shared" si="226"/>
        <v>Feb</v>
      </c>
      <c r="P2212" s="921">
        <f t="shared" si="227"/>
        <v>8</v>
      </c>
    </row>
    <row r="2213" spans="1:16" ht="15" hidden="1" customHeight="1">
      <c r="A2213" s="839">
        <v>64958125</v>
      </c>
      <c r="B2213" s="839">
        <v>2904</v>
      </c>
      <c r="C2213" s="906">
        <v>7410</v>
      </c>
      <c r="D2213" s="907">
        <v>46071</v>
      </c>
      <c r="E2213" s="839" t="s">
        <v>238</v>
      </c>
      <c r="F2213" s="839" t="s">
        <v>234</v>
      </c>
      <c r="G2213" s="916">
        <f>VLOOKUP($A2213,'Tech Litons'!$A:$I,8,FALSE)</f>
        <v>3.3119999999999998E-3</v>
      </c>
      <c r="H2213" s="917">
        <f>VLOOKUP($A2213,'Tech Litons'!$A:$I,9,FALSE)</f>
        <v>165</v>
      </c>
      <c r="I2213" s="917" t="str">
        <f>VLOOKUP($A2213,'Tech Litons'!$A:$C,3,0)</f>
        <v>Yasso Sticks</v>
      </c>
      <c r="J2213" s="918" t="str">
        <f t="shared" si="223"/>
        <v>2904Yasso Sticks</v>
      </c>
      <c r="K2213" s="919">
        <v>1</v>
      </c>
      <c r="L2213" s="920">
        <f t="shared" si="222"/>
        <v>7410</v>
      </c>
      <c r="M2213" s="920">
        <f t="shared" si="224"/>
        <v>24.541919999999998</v>
      </c>
      <c r="N2213" s="920">
        <f t="shared" si="225"/>
        <v>44.909090909090907</v>
      </c>
      <c r="O2213" s="918" t="str">
        <f t="shared" si="226"/>
        <v>Feb</v>
      </c>
      <c r="P2213" s="921">
        <f t="shared" si="227"/>
        <v>8</v>
      </c>
    </row>
    <row r="2214" spans="1:16" ht="15" hidden="1" customHeight="1">
      <c r="A2214" s="839">
        <v>64958125</v>
      </c>
      <c r="B2214" s="839">
        <v>2904</v>
      </c>
      <c r="C2214" s="906">
        <v>4629</v>
      </c>
      <c r="D2214" s="907">
        <v>46071</v>
      </c>
      <c r="E2214" s="839" t="s">
        <v>238</v>
      </c>
      <c r="F2214" s="839" t="s">
        <v>234</v>
      </c>
      <c r="G2214" s="916">
        <f>VLOOKUP($A2214,'Tech Litons'!$A:$I,8,FALSE)</f>
        <v>3.3119999999999998E-3</v>
      </c>
      <c r="H2214" s="917">
        <f>VLOOKUP($A2214,'Tech Litons'!$A:$I,9,FALSE)</f>
        <v>165</v>
      </c>
      <c r="I2214" s="917" t="str">
        <f>VLOOKUP($A2214,'Tech Litons'!$A:$C,3,0)</f>
        <v>Yasso Sticks</v>
      </c>
      <c r="J2214" s="918" t="str">
        <f t="shared" si="223"/>
        <v>2904Yasso Sticks</v>
      </c>
      <c r="K2214" s="919">
        <v>1</v>
      </c>
      <c r="L2214" s="920">
        <f t="shared" si="222"/>
        <v>4629</v>
      </c>
      <c r="M2214" s="920">
        <f t="shared" si="224"/>
        <v>15.331247999999999</v>
      </c>
      <c r="N2214" s="920">
        <f t="shared" si="225"/>
        <v>28.054545454545455</v>
      </c>
      <c r="O2214" s="918" t="str">
        <f t="shared" si="226"/>
        <v>Feb</v>
      </c>
      <c r="P2214" s="921">
        <f t="shared" si="227"/>
        <v>8</v>
      </c>
    </row>
    <row r="2215" spans="1:16" ht="15" hidden="1" customHeight="1">
      <c r="A2215" s="839">
        <v>64958125</v>
      </c>
      <c r="B2215" s="839">
        <v>2904</v>
      </c>
      <c r="C2215" s="906">
        <v>6066</v>
      </c>
      <c r="D2215" s="907">
        <v>46072</v>
      </c>
      <c r="E2215" s="839" t="s">
        <v>238</v>
      </c>
      <c r="F2215" s="839" t="s">
        <v>234</v>
      </c>
      <c r="G2215" s="916">
        <f>VLOOKUP($A2215,'Tech Litons'!$A:$I,8,FALSE)</f>
        <v>3.3119999999999998E-3</v>
      </c>
      <c r="H2215" s="917">
        <f>VLOOKUP($A2215,'Tech Litons'!$A:$I,9,FALSE)</f>
        <v>165</v>
      </c>
      <c r="I2215" s="917" t="str">
        <f>VLOOKUP($A2215,'Tech Litons'!$A:$C,3,0)</f>
        <v>Yasso Sticks</v>
      </c>
      <c r="J2215" s="918" t="str">
        <f t="shared" si="223"/>
        <v>2904Yasso Sticks</v>
      </c>
      <c r="K2215" s="919">
        <v>1</v>
      </c>
      <c r="L2215" s="920">
        <f t="shared" si="222"/>
        <v>6066</v>
      </c>
      <c r="M2215" s="920">
        <f t="shared" si="224"/>
        <v>20.090591999999997</v>
      </c>
      <c r="N2215" s="920">
        <f t="shared" si="225"/>
        <v>36.763636363636365</v>
      </c>
      <c r="O2215" s="918" t="str">
        <f t="shared" si="226"/>
        <v>Feb</v>
      </c>
      <c r="P2215" s="921">
        <f t="shared" si="227"/>
        <v>8</v>
      </c>
    </row>
    <row r="2216" spans="1:16" ht="15" hidden="1" customHeight="1">
      <c r="A2216" s="839">
        <v>64958125</v>
      </c>
      <c r="B2216" s="839">
        <v>2904</v>
      </c>
      <c r="C2216" s="906">
        <v>9003</v>
      </c>
      <c r="D2216" s="907">
        <v>46072</v>
      </c>
      <c r="E2216" s="839" t="s">
        <v>238</v>
      </c>
      <c r="F2216" s="839" t="s">
        <v>234</v>
      </c>
      <c r="G2216" s="916">
        <f>VLOOKUP($A2216,'Tech Litons'!$A:$I,8,FALSE)</f>
        <v>3.3119999999999998E-3</v>
      </c>
      <c r="H2216" s="917">
        <f>VLOOKUP($A2216,'Tech Litons'!$A:$I,9,FALSE)</f>
        <v>165</v>
      </c>
      <c r="I2216" s="917" t="str">
        <f>VLOOKUP($A2216,'Tech Litons'!$A:$C,3,0)</f>
        <v>Yasso Sticks</v>
      </c>
      <c r="J2216" s="918" t="str">
        <f t="shared" si="223"/>
        <v>2904Yasso Sticks</v>
      </c>
      <c r="K2216" s="919">
        <v>1</v>
      </c>
      <c r="L2216" s="920">
        <f t="shared" si="222"/>
        <v>9003</v>
      </c>
      <c r="M2216" s="920">
        <f t="shared" si="224"/>
        <v>29.817936</v>
      </c>
      <c r="N2216" s="920">
        <f t="shared" si="225"/>
        <v>54.563636363636363</v>
      </c>
      <c r="O2216" s="918" t="str">
        <f t="shared" si="226"/>
        <v>Feb</v>
      </c>
      <c r="P2216" s="921">
        <f t="shared" si="227"/>
        <v>8</v>
      </c>
    </row>
    <row r="2217" spans="1:16" ht="15" hidden="1" customHeight="1">
      <c r="A2217" s="839">
        <v>64958125</v>
      </c>
      <c r="B2217" s="839">
        <v>2904</v>
      </c>
      <c r="C2217" s="906">
        <v>7352</v>
      </c>
      <c r="D2217" s="907">
        <v>46073</v>
      </c>
      <c r="E2217" s="839" t="s">
        <v>238</v>
      </c>
      <c r="F2217" s="839" t="s">
        <v>234</v>
      </c>
      <c r="G2217" s="916">
        <f>VLOOKUP($A2217,'Tech Litons'!$A:$I,8,FALSE)</f>
        <v>3.3119999999999998E-3</v>
      </c>
      <c r="H2217" s="917">
        <f>VLOOKUP($A2217,'Tech Litons'!$A:$I,9,FALSE)</f>
        <v>165</v>
      </c>
      <c r="I2217" s="917" t="str">
        <f>VLOOKUP($A2217,'Tech Litons'!$A:$C,3,0)</f>
        <v>Yasso Sticks</v>
      </c>
      <c r="J2217" s="918" t="str">
        <f t="shared" si="223"/>
        <v>2904Yasso Sticks</v>
      </c>
      <c r="K2217" s="919">
        <v>1</v>
      </c>
      <c r="L2217" s="920">
        <f t="shared" si="222"/>
        <v>7352</v>
      </c>
      <c r="M2217" s="920">
        <f t="shared" si="224"/>
        <v>24.349823999999998</v>
      </c>
      <c r="N2217" s="920">
        <f t="shared" si="225"/>
        <v>44.557575757575755</v>
      </c>
      <c r="O2217" s="918" t="str">
        <f t="shared" si="226"/>
        <v>Feb</v>
      </c>
      <c r="P2217" s="921">
        <f t="shared" si="227"/>
        <v>8</v>
      </c>
    </row>
    <row r="2218" spans="1:16" ht="15" hidden="1" customHeight="1">
      <c r="A2218" s="839">
        <v>64958125</v>
      </c>
      <c r="B2218" s="839">
        <v>2904</v>
      </c>
      <c r="C2218" s="906">
        <v>8828</v>
      </c>
      <c r="D2218" s="907">
        <v>46073</v>
      </c>
      <c r="E2218" s="839" t="s">
        <v>238</v>
      </c>
      <c r="F2218" s="839" t="s">
        <v>234</v>
      </c>
      <c r="G2218" s="916">
        <f>VLOOKUP($A2218,'Tech Litons'!$A:$I,8,FALSE)</f>
        <v>3.3119999999999998E-3</v>
      </c>
      <c r="H2218" s="917">
        <f>VLOOKUP($A2218,'Tech Litons'!$A:$I,9,FALSE)</f>
        <v>165</v>
      </c>
      <c r="I2218" s="917" t="str">
        <f>VLOOKUP($A2218,'Tech Litons'!$A:$C,3,0)</f>
        <v>Yasso Sticks</v>
      </c>
      <c r="J2218" s="918" t="str">
        <f t="shared" si="223"/>
        <v>2904Yasso Sticks</v>
      </c>
      <c r="K2218" s="919">
        <v>1</v>
      </c>
      <c r="L2218" s="920">
        <f t="shared" si="222"/>
        <v>8828</v>
      </c>
      <c r="M2218" s="920">
        <f t="shared" si="224"/>
        <v>29.238336</v>
      </c>
      <c r="N2218" s="920">
        <f t="shared" si="225"/>
        <v>53.5030303030303</v>
      </c>
      <c r="O2218" s="918" t="str">
        <f t="shared" si="226"/>
        <v>Feb</v>
      </c>
      <c r="P2218" s="921">
        <f t="shared" si="227"/>
        <v>8</v>
      </c>
    </row>
    <row r="2219" spans="1:16" ht="15" hidden="1" customHeight="1">
      <c r="A2219" s="839">
        <v>64958125</v>
      </c>
      <c r="B2219" s="839">
        <v>2904</v>
      </c>
      <c r="C2219" s="906">
        <v>5610</v>
      </c>
      <c r="D2219" s="907">
        <v>46074</v>
      </c>
      <c r="E2219" s="839" t="s">
        <v>238</v>
      </c>
      <c r="F2219" s="839" t="s">
        <v>234</v>
      </c>
      <c r="G2219" s="916">
        <f>VLOOKUP($A2219,'Tech Litons'!$A:$I,8,FALSE)</f>
        <v>3.3119999999999998E-3</v>
      </c>
      <c r="H2219" s="917">
        <f>VLOOKUP($A2219,'Tech Litons'!$A:$I,9,FALSE)</f>
        <v>165</v>
      </c>
      <c r="I2219" s="917" t="str">
        <f>VLOOKUP($A2219,'Tech Litons'!$A:$C,3,0)</f>
        <v>Yasso Sticks</v>
      </c>
      <c r="J2219" s="918" t="str">
        <f t="shared" si="223"/>
        <v>2904Yasso Sticks</v>
      </c>
      <c r="K2219" s="919">
        <v>1</v>
      </c>
      <c r="L2219" s="920">
        <f t="shared" si="222"/>
        <v>5610</v>
      </c>
      <c r="M2219" s="920">
        <f t="shared" si="224"/>
        <v>18.58032</v>
      </c>
      <c r="N2219" s="920">
        <f t="shared" si="225"/>
        <v>34</v>
      </c>
      <c r="O2219" s="918" t="str">
        <f t="shared" si="226"/>
        <v>Feb</v>
      </c>
      <c r="P2219" s="921">
        <f t="shared" si="227"/>
        <v>8</v>
      </c>
    </row>
    <row r="2220" spans="1:16" ht="15" hidden="1" customHeight="1">
      <c r="A2220" s="839">
        <v>64958125</v>
      </c>
      <c r="B2220" s="839">
        <v>2904</v>
      </c>
      <c r="C2220" s="906">
        <v>7218</v>
      </c>
      <c r="D2220" s="907">
        <v>46074</v>
      </c>
      <c r="E2220" s="839" t="s">
        <v>238</v>
      </c>
      <c r="F2220" s="839" t="s">
        <v>234</v>
      </c>
      <c r="G2220" s="916">
        <f>VLOOKUP($A2220,'Tech Litons'!$A:$I,8,FALSE)</f>
        <v>3.3119999999999998E-3</v>
      </c>
      <c r="H2220" s="917">
        <f>VLOOKUP($A2220,'Tech Litons'!$A:$I,9,FALSE)</f>
        <v>165</v>
      </c>
      <c r="I2220" s="917" t="str">
        <f>VLOOKUP($A2220,'Tech Litons'!$A:$C,3,0)</f>
        <v>Yasso Sticks</v>
      </c>
      <c r="J2220" s="918" t="str">
        <f t="shared" si="223"/>
        <v>2904Yasso Sticks</v>
      </c>
      <c r="K2220" s="919">
        <v>1</v>
      </c>
      <c r="L2220" s="920">
        <f t="shared" si="222"/>
        <v>7218</v>
      </c>
      <c r="M2220" s="920">
        <f t="shared" si="224"/>
        <v>23.906015999999997</v>
      </c>
      <c r="N2220" s="920">
        <f t="shared" si="225"/>
        <v>43.745454545454542</v>
      </c>
      <c r="O2220" s="918" t="str">
        <f t="shared" si="226"/>
        <v>Feb</v>
      </c>
      <c r="P2220" s="921">
        <f t="shared" si="227"/>
        <v>8</v>
      </c>
    </row>
    <row r="2221" spans="1:16" ht="15" hidden="1" customHeight="1">
      <c r="A2221" s="839">
        <v>64958125</v>
      </c>
      <c r="B2221" s="839">
        <v>2904</v>
      </c>
      <c r="C2221" s="906">
        <v>3407</v>
      </c>
      <c r="D2221" s="907">
        <v>46075</v>
      </c>
      <c r="E2221" s="839" t="s">
        <v>238</v>
      </c>
      <c r="F2221" s="839" t="s">
        <v>234</v>
      </c>
      <c r="G2221" s="916">
        <f>VLOOKUP($A2221,'Tech Litons'!$A:$I,8,FALSE)</f>
        <v>3.3119999999999998E-3</v>
      </c>
      <c r="H2221" s="917">
        <f>VLOOKUP($A2221,'Tech Litons'!$A:$I,9,FALSE)</f>
        <v>165</v>
      </c>
      <c r="I2221" s="917" t="str">
        <f>VLOOKUP($A2221,'Tech Litons'!$A:$C,3,0)</f>
        <v>Yasso Sticks</v>
      </c>
      <c r="J2221" s="918" t="str">
        <f t="shared" si="223"/>
        <v>2904Yasso Sticks</v>
      </c>
      <c r="K2221" s="919">
        <v>1</v>
      </c>
      <c r="L2221" s="920">
        <f t="shared" si="222"/>
        <v>3407</v>
      </c>
      <c r="M2221" s="920">
        <f t="shared" si="224"/>
        <v>11.283984</v>
      </c>
      <c r="N2221" s="920">
        <f t="shared" si="225"/>
        <v>20.648484848484848</v>
      </c>
      <c r="O2221" s="918" t="str">
        <f t="shared" si="226"/>
        <v>Feb</v>
      </c>
      <c r="P2221" s="921">
        <f t="shared" si="227"/>
        <v>9</v>
      </c>
    </row>
    <row r="2222" spans="1:16" ht="15" hidden="1" customHeight="1">
      <c r="A2222" s="839">
        <v>64958127</v>
      </c>
      <c r="B2222" s="839">
        <v>2904</v>
      </c>
      <c r="C2222" s="906">
        <v>8250</v>
      </c>
      <c r="D2222" s="907">
        <v>46050</v>
      </c>
      <c r="E2222" s="839" t="s">
        <v>237</v>
      </c>
      <c r="F2222" s="839" t="s">
        <v>234</v>
      </c>
      <c r="G2222" s="916">
        <f>VLOOKUP($A2222,'Tech Litons'!$A:$I,8,FALSE)</f>
        <v>3.3119999999999998E-3</v>
      </c>
      <c r="H2222" s="917">
        <f>VLOOKUP($A2222,'Tech Litons'!$A:$I,9,FALSE)</f>
        <v>165</v>
      </c>
      <c r="I2222" s="917" t="str">
        <f>VLOOKUP($A2222,'Tech Litons'!$A:$C,3,0)</f>
        <v>Yasso Sticks</v>
      </c>
      <c r="J2222" s="918" t="str">
        <f t="shared" si="223"/>
        <v>2904Yasso Sticks</v>
      </c>
      <c r="K2222" s="919">
        <v>1</v>
      </c>
      <c r="L2222" s="920">
        <f t="shared" si="222"/>
        <v>8250</v>
      </c>
      <c r="M2222" s="920">
        <f t="shared" si="224"/>
        <v>27.323999999999998</v>
      </c>
      <c r="N2222" s="920">
        <f t="shared" si="225"/>
        <v>50</v>
      </c>
      <c r="O2222" s="918" t="str">
        <f t="shared" si="226"/>
        <v>Jan</v>
      </c>
      <c r="P2222" s="921">
        <f t="shared" si="227"/>
        <v>5</v>
      </c>
    </row>
    <row r="2223" spans="1:16" ht="15" hidden="1" customHeight="1">
      <c r="A2223" s="839">
        <v>64958127</v>
      </c>
      <c r="B2223" s="839">
        <v>2904</v>
      </c>
      <c r="C2223" s="906">
        <v>7920</v>
      </c>
      <c r="D2223" s="907">
        <v>46050</v>
      </c>
      <c r="E2223" s="839" t="s">
        <v>237</v>
      </c>
      <c r="F2223" s="839" t="s">
        <v>234</v>
      </c>
      <c r="G2223" s="916">
        <f>VLOOKUP($A2223,'Tech Litons'!$A:$I,8,FALSE)</f>
        <v>3.3119999999999998E-3</v>
      </c>
      <c r="H2223" s="917">
        <f>VLOOKUP($A2223,'Tech Litons'!$A:$I,9,FALSE)</f>
        <v>165</v>
      </c>
      <c r="I2223" s="917" t="str">
        <f>VLOOKUP($A2223,'Tech Litons'!$A:$C,3,0)</f>
        <v>Yasso Sticks</v>
      </c>
      <c r="J2223" s="918" t="str">
        <f t="shared" si="223"/>
        <v>2904Yasso Sticks</v>
      </c>
      <c r="K2223" s="919">
        <v>1</v>
      </c>
      <c r="L2223" s="920">
        <f t="shared" si="222"/>
        <v>7920</v>
      </c>
      <c r="M2223" s="920">
        <f t="shared" si="224"/>
        <v>26.23104</v>
      </c>
      <c r="N2223" s="920">
        <f t="shared" si="225"/>
        <v>48</v>
      </c>
      <c r="O2223" s="918" t="str">
        <f t="shared" si="226"/>
        <v>Jan</v>
      </c>
      <c r="P2223" s="921">
        <f t="shared" si="227"/>
        <v>5</v>
      </c>
    </row>
    <row r="2224" spans="1:16" ht="15" hidden="1" customHeight="1">
      <c r="A2224" s="839">
        <v>64958127</v>
      </c>
      <c r="B2224" s="839">
        <v>2904</v>
      </c>
      <c r="C2224" s="906">
        <v>7838</v>
      </c>
      <c r="D2224" s="907">
        <v>46051</v>
      </c>
      <c r="E2224" s="839" t="s">
        <v>237</v>
      </c>
      <c r="F2224" s="839" t="s">
        <v>234</v>
      </c>
      <c r="G2224" s="916">
        <f>VLOOKUP($A2224,'Tech Litons'!$A:$I,8,FALSE)</f>
        <v>3.3119999999999998E-3</v>
      </c>
      <c r="H2224" s="917">
        <f>VLOOKUP($A2224,'Tech Litons'!$A:$I,9,FALSE)</f>
        <v>165</v>
      </c>
      <c r="I2224" s="917" t="str">
        <f>VLOOKUP($A2224,'Tech Litons'!$A:$C,3,0)</f>
        <v>Yasso Sticks</v>
      </c>
      <c r="J2224" s="918" t="str">
        <f t="shared" si="223"/>
        <v>2904Yasso Sticks</v>
      </c>
      <c r="K2224" s="919">
        <v>1</v>
      </c>
      <c r="L2224" s="920">
        <f t="shared" si="222"/>
        <v>7838</v>
      </c>
      <c r="M2224" s="920">
        <f t="shared" si="224"/>
        <v>25.959455999999999</v>
      </c>
      <c r="N2224" s="920">
        <f t="shared" si="225"/>
        <v>47.5030303030303</v>
      </c>
      <c r="O2224" s="918" t="str">
        <f t="shared" si="226"/>
        <v>Jan</v>
      </c>
      <c r="P2224" s="921">
        <f t="shared" si="227"/>
        <v>5</v>
      </c>
    </row>
    <row r="2225" spans="1:16" ht="15" hidden="1" customHeight="1">
      <c r="A2225" s="839">
        <v>64958127</v>
      </c>
      <c r="B2225" s="839">
        <v>2904</v>
      </c>
      <c r="C2225" s="906">
        <v>8167</v>
      </c>
      <c r="D2225" s="907">
        <v>46051</v>
      </c>
      <c r="E2225" s="839" t="s">
        <v>237</v>
      </c>
      <c r="F2225" s="839" t="s">
        <v>234</v>
      </c>
      <c r="G2225" s="916">
        <f>VLOOKUP($A2225,'Tech Litons'!$A:$I,8,FALSE)</f>
        <v>3.3119999999999998E-3</v>
      </c>
      <c r="H2225" s="917">
        <f>VLOOKUP($A2225,'Tech Litons'!$A:$I,9,FALSE)</f>
        <v>165</v>
      </c>
      <c r="I2225" s="917" t="str">
        <f>VLOOKUP($A2225,'Tech Litons'!$A:$C,3,0)</f>
        <v>Yasso Sticks</v>
      </c>
      <c r="J2225" s="918" t="str">
        <f t="shared" si="223"/>
        <v>2904Yasso Sticks</v>
      </c>
      <c r="K2225" s="919">
        <v>1</v>
      </c>
      <c r="L2225" s="920">
        <f t="shared" si="222"/>
        <v>8167</v>
      </c>
      <c r="M2225" s="920">
        <f t="shared" si="224"/>
        <v>27.049104</v>
      </c>
      <c r="N2225" s="920">
        <f t="shared" si="225"/>
        <v>49.4969696969697</v>
      </c>
      <c r="O2225" s="918" t="str">
        <f t="shared" si="226"/>
        <v>Jan</v>
      </c>
      <c r="P2225" s="921">
        <f t="shared" si="227"/>
        <v>5</v>
      </c>
    </row>
    <row r="2226" spans="1:16" ht="15" hidden="1" customHeight="1">
      <c r="A2226" s="839">
        <v>64958127</v>
      </c>
      <c r="B2226" s="839">
        <v>2904</v>
      </c>
      <c r="C2226" s="906">
        <v>8479</v>
      </c>
      <c r="D2226" s="907">
        <v>46052</v>
      </c>
      <c r="E2226" s="839" t="s">
        <v>237</v>
      </c>
      <c r="F2226" s="839" t="s">
        <v>234</v>
      </c>
      <c r="G2226" s="916">
        <f>VLOOKUP($A2226,'Tech Litons'!$A:$I,8,FALSE)</f>
        <v>3.3119999999999998E-3</v>
      </c>
      <c r="H2226" s="917">
        <f>VLOOKUP($A2226,'Tech Litons'!$A:$I,9,FALSE)</f>
        <v>165</v>
      </c>
      <c r="I2226" s="917" t="str">
        <f>VLOOKUP($A2226,'Tech Litons'!$A:$C,3,0)</f>
        <v>Yasso Sticks</v>
      </c>
      <c r="J2226" s="918" t="str">
        <f t="shared" si="223"/>
        <v>2904Yasso Sticks</v>
      </c>
      <c r="K2226" s="919">
        <v>1</v>
      </c>
      <c r="L2226" s="920">
        <f t="shared" si="222"/>
        <v>8479</v>
      </c>
      <c r="M2226" s="920">
        <f t="shared" si="224"/>
        <v>28.082447999999999</v>
      </c>
      <c r="N2226" s="920">
        <f t="shared" si="225"/>
        <v>51.38787878787879</v>
      </c>
      <c r="O2226" s="918" t="str">
        <f t="shared" si="226"/>
        <v>Jan</v>
      </c>
      <c r="P2226" s="921">
        <f t="shared" si="227"/>
        <v>5</v>
      </c>
    </row>
    <row r="2227" spans="1:16" ht="15" hidden="1" customHeight="1">
      <c r="A2227" s="839">
        <v>64958127</v>
      </c>
      <c r="B2227" s="839">
        <v>2904</v>
      </c>
      <c r="C2227" s="906">
        <v>-150</v>
      </c>
      <c r="D2227" s="907">
        <v>46059</v>
      </c>
      <c r="E2227" s="839" t="s">
        <v>237</v>
      </c>
      <c r="F2227" s="839" t="s">
        <v>234</v>
      </c>
      <c r="G2227" s="916">
        <f>VLOOKUP($A2227,'Tech Litons'!$A:$I,8,FALSE)</f>
        <v>3.3119999999999998E-3</v>
      </c>
      <c r="H2227" s="917">
        <f>VLOOKUP($A2227,'Tech Litons'!$A:$I,9,FALSE)</f>
        <v>165</v>
      </c>
      <c r="I2227" s="917" t="str">
        <f>VLOOKUP($A2227,'Tech Litons'!$A:$C,3,0)</f>
        <v>Yasso Sticks</v>
      </c>
      <c r="J2227" s="918" t="str">
        <f t="shared" si="223"/>
        <v>2904Yasso Sticks</v>
      </c>
      <c r="K2227" s="919">
        <v>1</v>
      </c>
      <c r="L2227" s="920">
        <f t="shared" si="222"/>
        <v>-150</v>
      </c>
      <c r="M2227" s="920">
        <f t="shared" si="224"/>
        <v>-0.49679999999999996</v>
      </c>
      <c r="N2227" s="920">
        <f t="shared" si="225"/>
        <v>-0.90909090909090906</v>
      </c>
      <c r="O2227" s="918" t="str">
        <f t="shared" si="226"/>
        <v>Feb</v>
      </c>
      <c r="P2227" s="921">
        <f t="shared" si="227"/>
        <v>6</v>
      </c>
    </row>
    <row r="2228" spans="1:16" ht="15" hidden="1" customHeight="1">
      <c r="A2228" s="839">
        <v>64958127</v>
      </c>
      <c r="B2228" s="839">
        <v>2904</v>
      </c>
      <c r="C2228" s="906">
        <v>9405</v>
      </c>
      <c r="D2228" s="907">
        <v>46052</v>
      </c>
      <c r="E2228" s="839" t="s">
        <v>237</v>
      </c>
      <c r="F2228" s="839" t="s">
        <v>234</v>
      </c>
      <c r="G2228" s="916">
        <f>VLOOKUP($A2228,'Tech Litons'!$A:$I,8,FALSE)</f>
        <v>3.3119999999999998E-3</v>
      </c>
      <c r="H2228" s="917">
        <f>VLOOKUP($A2228,'Tech Litons'!$A:$I,9,FALSE)</f>
        <v>165</v>
      </c>
      <c r="I2228" s="917" t="str">
        <f>VLOOKUP($A2228,'Tech Litons'!$A:$C,3,0)</f>
        <v>Yasso Sticks</v>
      </c>
      <c r="J2228" s="918" t="str">
        <f t="shared" si="223"/>
        <v>2904Yasso Sticks</v>
      </c>
      <c r="K2228" s="919">
        <v>1</v>
      </c>
      <c r="L2228" s="920">
        <f t="shared" si="222"/>
        <v>9405</v>
      </c>
      <c r="M2228" s="920">
        <f t="shared" si="224"/>
        <v>31.149359999999998</v>
      </c>
      <c r="N2228" s="920">
        <f t="shared" si="225"/>
        <v>57</v>
      </c>
      <c r="O2228" s="918" t="str">
        <f t="shared" si="226"/>
        <v>Jan</v>
      </c>
      <c r="P2228" s="921">
        <f t="shared" si="227"/>
        <v>5</v>
      </c>
    </row>
    <row r="2229" spans="1:16" ht="15" hidden="1" customHeight="1">
      <c r="A2229" s="839">
        <v>64958127</v>
      </c>
      <c r="B2229" s="839">
        <v>2904</v>
      </c>
      <c r="C2229" s="906">
        <v>1458</v>
      </c>
      <c r="D2229" s="907">
        <v>46053</v>
      </c>
      <c r="E2229" s="839" t="s">
        <v>237</v>
      </c>
      <c r="F2229" s="839" t="s">
        <v>234</v>
      </c>
      <c r="G2229" s="916">
        <f>VLOOKUP($A2229,'Tech Litons'!$A:$I,8,FALSE)</f>
        <v>3.3119999999999998E-3</v>
      </c>
      <c r="H2229" s="917">
        <f>VLOOKUP($A2229,'Tech Litons'!$A:$I,9,FALSE)</f>
        <v>165</v>
      </c>
      <c r="I2229" s="917" t="str">
        <f>VLOOKUP($A2229,'Tech Litons'!$A:$C,3,0)</f>
        <v>Yasso Sticks</v>
      </c>
      <c r="J2229" s="918" t="str">
        <f t="shared" si="223"/>
        <v>2904Yasso Sticks</v>
      </c>
      <c r="K2229" s="919">
        <v>1</v>
      </c>
      <c r="L2229" s="920">
        <f t="shared" si="222"/>
        <v>1458</v>
      </c>
      <c r="M2229" s="920">
        <f t="shared" si="224"/>
        <v>4.8288959999999994</v>
      </c>
      <c r="N2229" s="920">
        <f t="shared" si="225"/>
        <v>8.836363636363636</v>
      </c>
      <c r="O2229" s="918" t="str">
        <f t="shared" si="226"/>
        <v>Jan</v>
      </c>
      <c r="P2229" s="921">
        <f t="shared" si="227"/>
        <v>5</v>
      </c>
    </row>
    <row r="2230" spans="1:16" ht="15" hidden="1" customHeight="1">
      <c r="A2230" s="839">
        <v>64958127</v>
      </c>
      <c r="B2230" s="839">
        <v>2904</v>
      </c>
      <c r="C2230" s="906">
        <v>1155</v>
      </c>
      <c r="D2230" s="907">
        <v>46055</v>
      </c>
      <c r="E2230" s="839" t="s">
        <v>237</v>
      </c>
      <c r="F2230" s="839" t="s">
        <v>234</v>
      </c>
      <c r="G2230" s="916">
        <f>VLOOKUP($A2230,'Tech Litons'!$A:$I,8,FALSE)</f>
        <v>3.3119999999999998E-3</v>
      </c>
      <c r="H2230" s="917">
        <f>VLOOKUP($A2230,'Tech Litons'!$A:$I,9,FALSE)</f>
        <v>165</v>
      </c>
      <c r="I2230" s="917" t="str">
        <f>VLOOKUP($A2230,'Tech Litons'!$A:$C,3,0)</f>
        <v>Yasso Sticks</v>
      </c>
      <c r="J2230" s="918" t="str">
        <f t="shared" si="223"/>
        <v>2904Yasso Sticks</v>
      </c>
      <c r="K2230" s="919">
        <v>1</v>
      </c>
      <c r="L2230" s="920">
        <f t="shared" si="222"/>
        <v>1155</v>
      </c>
      <c r="M2230" s="920">
        <f t="shared" si="224"/>
        <v>3.8253599999999999</v>
      </c>
      <c r="N2230" s="920">
        <f t="shared" si="225"/>
        <v>7</v>
      </c>
      <c r="O2230" s="918" t="str">
        <f t="shared" si="226"/>
        <v>Feb</v>
      </c>
      <c r="P2230" s="921">
        <f t="shared" si="227"/>
        <v>6</v>
      </c>
    </row>
    <row r="2231" spans="1:16" ht="15" hidden="1" customHeight="1">
      <c r="A2231" s="839">
        <v>64958127</v>
      </c>
      <c r="B2231" s="839">
        <v>2904</v>
      </c>
      <c r="C2231" s="906">
        <v>11055</v>
      </c>
      <c r="D2231" s="907">
        <v>46053</v>
      </c>
      <c r="E2231" s="839" t="s">
        <v>237</v>
      </c>
      <c r="F2231" s="839" t="s">
        <v>234</v>
      </c>
      <c r="G2231" s="916">
        <f>VLOOKUP($A2231,'Tech Litons'!$A:$I,8,FALSE)</f>
        <v>3.3119999999999998E-3</v>
      </c>
      <c r="H2231" s="917">
        <f>VLOOKUP($A2231,'Tech Litons'!$A:$I,9,FALSE)</f>
        <v>165</v>
      </c>
      <c r="I2231" s="917" t="str">
        <f>VLOOKUP($A2231,'Tech Litons'!$A:$C,3,0)</f>
        <v>Yasso Sticks</v>
      </c>
      <c r="J2231" s="918" t="str">
        <f t="shared" si="223"/>
        <v>2904Yasso Sticks</v>
      </c>
      <c r="K2231" s="919">
        <v>1</v>
      </c>
      <c r="L2231" s="920">
        <f t="shared" si="222"/>
        <v>11055</v>
      </c>
      <c r="M2231" s="920">
        <f t="shared" si="224"/>
        <v>36.614159999999998</v>
      </c>
      <c r="N2231" s="920">
        <f t="shared" si="225"/>
        <v>67</v>
      </c>
      <c r="O2231" s="918" t="str">
        <f t="shared" si="226"/>
        <v>Jan</v>
      </c>
      <c r="P2231" s="921">
        <f t="shared" si="227"/>
        <v>5</v>
      </c>
    </row>
    <row r="2232" spans="1:16" ht="15" hidden="1" customHeight="1">
      <c r="A2232" s="839">
        <v>64958127</v>
      </c>
      <c r="B2232" s="839">
        <v>2904</v>
      </c>
      <c r="C2232" s="906">
        <v>7652</v>
      </c>
      <c r="D2232" s="907">
        <v>46054</v>
      </c>
      <c r="E2232" s="839" t="s">
        <v>237</v>
      </c>
      <c r="F2232" s="839" t="s">
        <v>234</v>
      </c>
      <c r="G2232" s="916">
        <f>VLOOKUP($A2232,'Tech Litons'!$A:$I,8,FALSE)</f>
        <v>3.3119999999999998E-3</v>
      </c>
      <c r="H2232" s="917">
        <f>VLOOKUP($A2232,'Tech Litons'!$A:$I,9,FALSE)</f>
        <v>165</v>
      </c>
      <c r="I2232" s="917" t="str">
        <f>VLOOKUP($A2232,'Tech Litons'!$A:$C,3,0)</f>
        <v>Yasso Sticks</v>
      </c>
      <c r="J2232" s="918" t="str">
        <f t="shared" si="223"/>
        <v>2904Yasso Sticks</v>
      </c>
      <c r="K2232" s="919">
        <v>1</v>
      </c>
      <c r="L2232" s="920">
        <f t="shared" si="222"/>
        <v>7652</v>
      </c>
      <c r="M2232" s="920">
        <f t="shared" si="224"/>
        <v>25.343423999999999</v>
      </c>
      <c r="N2232" s="920">
        <f t="shared" si="225"/>
        <v>46.375757575757575</v>
      </c>
      <c r="O2232" s="918" t="str">
        <f t="shared" si="226"/>
        <v>Feb</v>
      </c>
      <c r="P2232" s="921">
        <f t="shared" si="227"/>
        <v>6</v>
      </c>
    </row>
    <row r="2233" spans="1:16" ht="15" hidden="1" customHeight="1">
      <c r="A2233" s="839">
        <v>64958127</v>
      </c>
      <c r="B2233" s="839">
        <v>2904</v>
      </c>
      <c r="C2233" s="906">
        <v>8415</v>
      </c>
      <c r="D2233" s="907">
        <v>46054</v>
      </c>
      <c r="E2233" s="839" t="s">
        <v>237</v>
      </c>
      <c r="F2233" s="839" t="s">
        <v>234</v>
      </c>
      <c r="G2233" s="916">
        <f>VLOOKUP($A2233,'Tech Litons'!$A:$I,8,FALSE)</f>
        <v>3.3119999999999998E-3</v>
      </c>
      <c r="H2233" s="917">
        <f>VLOOKUP($A2233,'Tech Litons'!$A:$I,9,FALSE)</f>
        <v>165</v>
      </c>
      <c r="I2233" s="917" t="str">
        <f>VLOOKUP($A2233,'Tech Litons'!$A:$C,3,0)</f>
        <v>Yasso Sticks</v>
      </c>
      <c r="J2233" s="918" t="str">
        <f t="shared" si="223"/>
        <v>2904Yasso Sticks</v>
      </c>
      <c r="K2233" s="919">
        <v>1</v>
      </c>
      <c r="L2233" s="920">
        <f t="shared" si="222"/>
        <v>8415</v>
      </c>
      <c r="M2233" s="920">
        <f t="shared" si="224"/>
        <v>27.870479999999997</v>
      </c>
      <c r="N2233" s="920">
        <f t="shared" si="225"/>
        <v>51</v>
      </c>
      <c r="O2233" s="918" t="str">
        <f t="shared" si="226"/>
        <v>Feb</v>
      </c>
      <c r="P2233" s="921">
        <f t="shared" si="227"/>
        <v>6</v>
      </c>
    </row>
    <row r="2234" spans="1:16" ht="15" hidden="1" customHeight="1">
      <c r="A2234" s="839">
        <v>64958127</v>
      </c>
      <c r="B2234" s="839">
        <v>2904</v>
      </c>
      <c r="C2234" s="906">
        <v>32</v>
      </c>
      <c r="D2234" s="907">
        <v>46055</v>
      </c>
      <c r="E2234" s="839" t="s">
        <v>237</v>
      </c>
      <c r="F2234" s="839" t="s">
        <v>234</v>
      </c>
      <c r="G2234" s="916">
        <f>VLOOKUP($A2234,'Tech Litons'!$A:$I,8,FALSE)</f>
        <v>3.3119999999999998E-3</v>
      </c>
      <c r="H2234" s="917">
        <f>VLOOKUP($A2234,'Tech Litons'!$A:$I,9,FALSE)</f>
        <v>165</v>
      </c>
      <c r="I2234" s="917" t="str">
        <f>VLOOKUP($A2234,'Tech Litons'!$A:$C,3,0)</f>
        <v>Yasso Sticks</v>
      </c>
      <c r="J2234" s="918" t="str">
        <f t="shared" si="223"/>
        <v>2904Yasso Sticks</v>
      </c>
      <c r="K2234" s="919">
        <v>1</v>
      </c>
      <c r="L2234" s="920">
        <f t="shared" si="222"/>
        <v>32</v>
      </c>
      <c r="M2234" s="920">
        <f t="shared" si="224"/>
        <v>0.10598399999999999</v>
      </c>
      <c r="N2234" s="920">
        <f t="shared" si="225"/>
        <v>0.19393939393939394</v>
      </c>
      <c r="O2234" s="918" t="str">
        <f t="shared" si="226"/>
        <v>Feb</v>
      </c>
      <c r="P2234" s="921">
        <f t="shared" si="227"/>
        <v>6</v>
      </c>
    </row>
    <row r="2235" spans="1:16" ht="15" hidden="1" customHeight="1">
      <c r="A2235" s="839">
        <v>64958128</v>
      </c>
      <c r="B2235" s="839">
        <v>2904</v>
      </c>
      <c r="C2235" s="906">
        <v>825</v>
      </c>
      <c r="D2235" s="907">
        <v>46062</v>
      </c>
      <c r="E2235" s="839" t="s">
        <v>235</v>
      </c>
      <c r="F2235" s="839" t="s">
        <v>234</v>
      </c>
      <c r="G2235" s="916">
        <f>VLOOKUP($A2235,'Tech Litons'!$A:$I,8,FALSE)</f>
        <v>3.3119999999999998E-3</v>
      </c>
      <c r="H2235" s="917">
        <f>VLOOKUP($A2235,'Tech Litons'!$A:$I,9,FALSE)</f>
        <v>165</v>
      </c>
      <c r="I2235" s="917" t="str">
        <f>VLOOKUP($A2235,'Tech Litons'!$A:$C,3,0)</f>
        <v>Yasso Sticks</v>
      </c>
      <c r="J2235" s="918" t="str">
        <f t="shared" si="223"/>
        <v>2904Yasso Sticks</v>
      </c>
      <c r="K2235" s="919">
        <v>1</v>
      </c>
      <c r="L2235" s="920">
        <f t="shared" si="222"/>
        <v>825</v>
      </c>
      <c r="M2235" s="920">
        <f t="shared" si="224"/>
        <v>2.7323999999999997</v>
      </c>
      <c r="N2235" s="920">
        <f t="shared" si="225"/>
        <v>5</v>
      </c>
      <c r="O2235" s="918" t="str">
        <f t="shared" si="226"/>
        <v>Feb</v>
      </c>
      <c r="P2235" s="921">
        <f t="shared" si="227"/>
        <v>7</v>
      </c>
    </row>
    <row r="2236" spans="1:16" ht="15" hidden="1" customHeight="1">
      <c r="A2236" s="839">
        <v>64958128</v>
      </c>
      <c r="B2236" s="839">
        <v>2904</v>
      </c>
      <c r="C2236" s="906">
        <v>7920</v>
      </c>
      <c r="D2236" s="907">
        <v>46063</v>
      </c>
      <c r="E2236" s="839" t="s">
        <v>235</v>
      </c>
      <c r="F2236" s="839" t="s">
        <v>234</v>
      </c>
      <c r="G2236" s="916">
        <f>VLOOKUP($A2236,'Tech Litons'!$A:$I,8,FALSE)</f>
        <v>3.3119999999999998E-3</v>
      </c>
      <c r="H2236" s="917">
        <f>VLOOKUP($A2236,'Tech Litons'!$A:$I,9,FALSE)</f>
        <v>165</v>
      </c>
      <c r="I2236" s="917" t="str">
        <f>VLOOKUP($A2236,'Tech Litons'!$A:$C,3,0)</f>
        <v>Yasso Sticks</v>
      </c>
      <c r="J2236" s="918" t="str">
        <f t="shared" si="223"/>
        <v>2904Yasso Sticks</v>
      </c>
      <c r="K2236" s="919">
        <v>1</v>
      </c>
      <c r="L2236" s="920">
        <f t="shared" si="222"/>
        <v>7920</v>
      </c>
      <c r="M2236" s="920">
        <f t="shared" si="224"/>
        <v>26.23104</v>
      </c>
      <c r="N2236" s="920">
        <f t="shared" si="225"/>
        <v>48</v>
      </c>
      <c r="O2236" s="918" t="str">
        <f t="shared" si="226"/>
        <v>Feb</v>
      </c>
      <c r="P2236" s="921">
        <f t="shared" si="227"/>
        <v>7</v>
      </c>
    </row>
    <row r="2237" spans="1:16" ht="15" hidden="1" customHeight="1">
      <c r="A2237" s="839">
        <v>64958128</v>
      </c>
      <c r="B2237" s="839">
        <v>2904</v>
      </c>
      <c r="C2237" s="906">
        <v>2522</v>
      </c>
      <c r="D2237" s="907">
        <v>46063</v>
      </c>
      <c r="E2237" s="839" t="s">
        <v>235</v>
      </c>
      <c r="F2237" s="839" t="s">
        <v>234</v>
      </c>
      <c r="G2237" s="916">
        <f>VLOOKUP($A2237,'Tech Litons'!$A:$I,8,FALSE)</f>
        <v>3.3119999999999998E-3</v>
      </c>
      <c r="H2237" s="917">
        <f>VLOOKUP($A2237,'Tech Litons'!$A:$I,9,FALSE)</f>
        <v>165</v>
      </c>
      <c r="I2237" s="917" t="str">
        <f>VLOOKUP($A2237,'Tech Litons'!$A:$C,3,0)</f>
        <v>Yasso Sticks</v>
      </c>
      <c r="J2237" s="918" t="str">
        <f t="shared" si="223"/>
        <v>2904Yasso Sticks</v>
      </c>
      <c r="K2237" s="919">
        <v>1</v>
      </c>
      <c r="L2237" s="920">
        <f t="shared" si="222"/>
        <v>2522</v>
      </c>
      <c r="M2237" s="920">
        <f t="shared" si="224"/>
        <v>8.3528640000000003</v>
      </c>
      <c r="N2237" s="920">
        <f t="shared" si="225"/>
        <v>15.284848484848485</v>
      </c>
      <c r="O2237" s="918" t="str">
        <f t="shared" si="226"/>
        <v>Feb</v>
      </c>
      <c r="P2237" s="921">
        <f t="shared" si="227"/>
        <v>7</v>
      </c>
    </row>
    <row r="2238" spans="1:16" ht="15" hidden="1" customHeight="1">
      <c r="A2238" s="839">
        <v>64958128</v>
      </c>
      <c r="B2238" s="839">
        <v>2904</v>
      </c>
      <c r="C2238" s="906">
        <v>4695</v>
      </c>
      <c r="D2238" s="907">
        <v>46064</v>
      </c>
      <c r="E2238" s="839" t="s">
        <v>235</v>
      </c>
      <c r="F2238" s="839" t="s">
        <v>234</v>
      </c>
      <c r="G2238" s="916">
        <f>VLOOKUP($A2238,'Tech Litons'!$A:$I,8,FALSE)</f>
        <v>3.3119999999999998E-3</v>
      </c>
      <c r="H2238" s="917">
        <f>VLOOKUP($A2238,'Tech Litons'!$A:$I,9,FALSE)</f>
        <v>165</v>
      </c>
      <c r="I2238" s="917" t="str">
        <f>VLOOKUP($A2238,'Tech Litons'!$A:$C,3,0)</f>
        <v>Yasso Sticks</v>
      </c>
      <c r="J2238" s="918" t="str">
        <f t="shared" si="223"/>
        <v>2904Yasso Sticks</v>
      </c>
      <c r="K2238" s="919">
        <v>1</v>
      </c>
      <c r="L2238" s="920">
        <f t="shared" si="222"/>
        <v>4695</v>
      </c>
      <c r="M2238" s="920">
        <f t="shared" si="224"/>
        <v>15.54984</v>
      </c>
      <c r="N2238" s="920">
        <f t="shared" si="225"/>
        <v>28.454545454545453</v>
      </c>
      <c r="O2238" s="918" t="str">
        <f t="shared" si="226"/>
        <v>Feb</v>
      </c>
      <c r="P2238" s="921">
        <f t="shared" si="227"/>
        <v>7</v>
      </c>
    </row>
    <row r="2239" spans="1:16" ht="15" hidden="1" customHeight="1">
      <c r="A2239" s="839">
        <v>64958128</v>
      </c>
      <c r="B2239" s="839">
        <v>2904</v>
      </c>
      <c r="C2239" s="906">
        <v>7746</v>
      </c>
      <c r="D2239" s="907">
        <v>46064</v>
      </c>
      <c r="E2239" s="839" t="s">
        <v>235</v>
      </c>
      <c r="F2239" s="839" t="s">
        <v>234</v>
      </c>
      <c r="G2239" s="916">
        <f>VLOOKUP($A2239,'Tech Litons'!$A:$I,8,FALSE)</f>
        <v>3.3119999999999998E-3</v>
      </c>
      <c r="H2239" s="917">
        <f>VLOOKUP($A2239,'Tech Litons'!$A:$I,9,FALSE)</f>
        <v>165</v>
      </c>
      <c r="I2239" s="917" t="str">
        <f>VLOOKUP($A2239,'Tech Litons'!$A:$C,3,0)</f>
        <v>Yasso Sticks</v>
      </c>
      <c r="J2239" s="918" t="str">
        <f t="shared" si="223"/>
        <v>2904Yasso Sticks</v>
      </c>
      <c r="K2239" s="919">
        <v>1</v>
      </c>
      <c r="L2239" s="920">
        <f t="shared" si="222"/>
        <v>7746</v>
      </c>
      <c r="M2239" s="920">
        <f t="shared" si="224"/>
        <v>25.654751999999998</v>
      </c>
      <c r="N2239" s="920">
        <f t="shared" si="225"/>
        <v>46.945454545454545</v>
      </c>
      <c r="O2239" s="918" t="str">
        <f t="shared" si="226"/>
        <v>Feb</v>
      </c>
      <c r="P2239" s="921">
        <f t="shared" si="227"/>
        <v>7</v>
      </c>
    </row>
    <row r="2240" spans="1:16" ht="15" hidden="1" customHeight="1">
      <c r="A2240" s="839">
        <v>64958128</v>
      </c>
      <c r="B2240" s="839">
        <v>2904</v>
      </c>
      <c r="C2240" s="906">
        <v>9165</v>
      </c>
      <c r="D2240" s="907">
        <v>46065</v>
      </c>
      <c r="E2240" s="839" t="s">
        <v>235</v>
      </c>
      <c r="F2240" s="839" t="s">
        <v>234</v>
      </c>
      <c r="G2240" s="916">
        <f>VLOOKUP($A2240,'Tech Litons'!$A:$I,8,FALSE)</f>
        <v>3.3119999999999998E-3</v>
      </c>
      <c r="H2240" s="917">
        <f>VLOOKUP($A2240,'Tech Litons'!$A:$I,9,FALSE)</f>
        <v>165</v>
      </c>
      <c r="I2240" s="917" t="str">
        <f>VLOOKUP($A2240,'Tech Litons'!$A:$C,3,0)</f>
        <v>Yasso Sticks</v>
      </c>
      <c r="J2240" s="918" t="str">
        <f t="shared" si="223"/>
        <v>2904Yasso Sticks</v>
      </c>
      <c r="K2240" s="919">
        <v>1</v>
      </c>
      <c r="L2240" s="920">
        <f t="shared" si="222"/>
        <v>9165</v>
      </c>
      <c r="M2240" s="920">
        <f t="shared" si="224"/>
        <v>30.354479999999999</v>
      </c>
      <c r="N2240" s="920">
        <f t="shared" si="225"/>
        <v>55.545454545454547</v>
      </c>
      <c r="O2240" s="918" t="str">
        <f t="shared" si="226"/>
        <v>Feb</v>
      </c>
      <c r="P2240" s="921">
        <f t="shared" si="227"/>
        <v>7</v>
      </c>
    </row>
    <row r="2241" spans="1:16" ht="15" hidden="1" customHeight="1">
      <c r="A2241" s="839">
        <v>64958128</v>
      </c>
      <c r="B2241" s="839">
        <v>2904</v>
      </c>
      <c r="C2241" s="906">
        <v>6493</v>
      </c>
      <c r="D2241" s="907">
        <v>46065</v>
      </c>
      <c r="E2241" s="839" t="s">
        <v>235</v>
      </c>
      <c r="F2241" s="839" t="s">
        <v>234</v>
      </c>
      <c r="G2241" s="916">
        <f>VLOOKUP($A2241,'Tech Litons'!$A:$I,8,FALSE)</f>
        <v>3.3119999999999998E-3</v>
      </c>
      <c r="H2241" s="917">
        <f>VLOOKUP($A2241,'Tech Litons'!$A:$I,9,FALSE)</f>
        <v>165</v>
      </c>
      <c r="I2241" s="917" t="str">
        <f>VLOOKUP($A2241,'Tech Litons'!$A:$C,3,0)</f>
        <v>Yasso Sticks</v>
      </c>
      <c r="J2241" s="918" t="str">
        <f t="shared" si="223"/>
        <v>2904Yasso Sticks</v>
      </c>
      <c r="K2241" s="919">
        <v>1</v>
      </c>
      <c r="L2241" s="920">
        <f t="shared" si="222"/>
        <v>6493</v>
      </c>
      <c r="M2241" s="920">
        <f t="shared" si="224"/>
        <v>21.504815999999998</v>
      </c>
      <c r="N2241" s="920">
        <f t="shared" si="225"/>
        <v>39.351515151515152</v>
      </c>
      <c r="O2241" s="918" t="str">
        <f t="shared" si="226"/>
        <v>Feb</v>
      </c>
      <c r="P2241" s="921">
        <f t="shared" si="227"/>
        <v>7</v>
      </c>
    </row>
    <row r="2242" spans="1:16" ht="15" hidden="1" customHeight="1">
      <c r="A2242" s="839">
        <v>64958128</v>
      </c>
      <c r="B2242" s="839">
        <v>2904</v>
      </c>
      <c r="C2242" s="906">
        <v>5115</v>
      </c>
      <c r="D2242" s="907">
        <v>46066</v>
      </c>
      <c r="E2242" s="839" t="s">
        <v>235</v>
      </c>
      <c r="F2242" s="839" t="s">
        <v>234</v>
      </c>
      <c r="G2242" s="916">
        <f>VLOOKUP($A2242,'Tech Litons'!$A:$I,8,FALSE)</f>
        <v>3.3119999999999998E-3</v>
      </c>
      <c r="H2242" s="917">
        <f>VLOOKUP($A2242,'Tech Litons'!$A:$I,9,FALSE)</f>
        <v>165</v>
      </c>
      <c r="I2242" s="917" t="str">
        <f>VLOOKUP($A2242,'Tech Litons'!$A:$C,3,0)</f>
        <v>Yasso Sticks</v>
      </c>
      <c r="J2242" s="918" t="str">
        <f t="shared" si="223"/>
        <v>2904Yasso Sticks</v>
      </c>
      <c r="K2242" s="919">
        <v>1</v>
      </c>
      <c r="L2242" s="920">
        <f t="shared" ref="L2242:L2305" si="228">C2242*$K2242</f>
        <v>5115</v>
      </c>
      <c r="M2242" s="920">
        <f t="shared" si="224"/>
        <v>16.94088</v>
      </c>
      <c r="N2242" s="920">
        <f t="shared" si="225"/>
        <v>31</v>
      </c>
      <c r="O2242" s="918" t="str">
        <f t="shared" si="226"/>
        <v>Feb</v>
      </c>
      <c r="P2242" s="921">
        <f t="shared" si="227"/>
        <v>7</v>
      </c>
    </row>
    <row r="2243" spans="1:16" ht="15" hidden="1" customHeight="1">
      <c r="A2243" s="839">
        <v>64958128</v>
      </c>
      <c r="B2243" s="839">
        <v>2904</v>
      </c>
      <c r="C2243" s="906">
        <v>4785</v>
      </c>
      <c r="D2243" s="907">
        <v>46066</v>
      </c>
      <c r="E2243" s="839" t="s">
        <v>235</v>
      </c>
      <c r="F2243" s="839" t="s">
        <v>234</v>
      </c>
      <c r="G2243" s="916">
        <f>VLOOKUP($A2243,'Tech Litons'!$A:$I,8,FALSE)</f>
        <v>3.3119999999999998E-3</v>
      </c>
      <c r="H2243" s="917">
        <f>VLOOKUP($A2243,'Tech Litons'!$A:$I,9,FALSE)</f>
        <v>165</v>
      </c>
      <c r="I2243" s="917" t="str">
        <f>VLOOKUP($A2243,'Tech Litons'!$A:$C,3,0)</f>
        <v>Yasso Sticks</v>
      </c>
      <c r="J2243" s="918" t="str">
        <f t="shared" ref="J2243:J2306" si="229">B2243&amp;I2243</f>
        <v>2904Yasso Sticks</v>
      </c>
      <c r="K2243" s="919">
        <v>1</v>
      </c>
      <c r="L2243" s="920">
        <f t="shared" si="228"/>
        <v>4785</v>
      </c>
      <c r="M2243" s="920">
        <f t="shared" ref="M2243:M2306" si="230">L2243*G2243</f>
        <v>15.847919999999998</v>
      </c>
      <c r="N2243" s="920">
        <f t="shared" ref="N2243:N2306" si="231">L2243/H2243</f>
        <v>29</v>
      </c>
      <c r="O2243" s="918" t="str">
        <f t="shared" ref="O2243:O2306" si="232">TEXT(D2243,"MMM")</f>
        <v>Feb</v>
      </c>
      <c r="P2243" s="921">
        <f t="shared" ref="P2243:P2306" si="233">WEEKNUM(D2243)</f>
        <v>7</v>
      </c>
    </row>
    <row r="2244" spans="1:16" ht="15" hidden="1" customHeight="1">
      <c r="A2244" s="839">
        <v>64958128</v>
      </c>
      <c r="B2244" s="839">
        <v>2904</v>
      </c>
      <c r="C2244" s="906">
        <v>17985</v>
      </c>
      <c r="D2244" s="907">
        <v>46067</v>
      </c>
      <c r="E2244" s="839" t="s">
        <v>235</v>
      </c>
      <c r="F2244" s="839" t="s">
        <v>234</v>
      </c>
      <c r="G2244" s="916">
        <f>VLOOKUP($A2244,'Tech Litons'!$A:$I,8,FALSE)</f>
        <v>3.3119999999999998E-3</v>
      </c>
      <c r="H2244" s="917">
        <f>VLOOKUP($A2244,'Tech Litons'!$A:$I,9,FALSE)</f>
        <v>165</v>
      </c>
      <c r="I2244" s="917" t="str">
        <f>VLOOKUP($A2244,'Tech Litons'!$A:$C,3,0)</f>
        <v>Yasso Sticks</v>
      </c>
      <c r="J2244" s="918" t="str">
        <f t="shared" si="229"/>
        <v>2904Yasso Sticks</v>
      </c>
      <c r="K2244" s="919">
        <v>1</v>
      </c>
      <c r="L2244" s="920">
        <f t="shared" si="228"/>
        <v>17985</v>
      </c>
      <c r="M2244" s="920">
        <f t="shared" si="230"/>
        <v>59.566319999999997</v>
      </c>
      <c r="N2244" s="920">
        <f t="shared" si="231"/>
        <v>109</v>
      </c>
      <c r="O2244" s="918" t="str">
        <f t="shared" si="232"/>
        <v>Feb</v>
      </c>
      <c r="P2244" s="921">
        <f t="shared" si="233"/>
        <v>7</v>
      </c>
    </row>
    <row r="2245" spans="1:16" ht="15" hidden="1" customHeight="1">
      <c r="A2245" s="839">
        <v>64958128</v>
      </c>
      <c r="B2245" s="839">
        <v>2904</v>
      </c>
      <c r="C2245" s="906">
        <v>1980</v>
      </c>
      <c r="D2245" s="907">
        <v>46068</v>
      </c>
      <c r="E2245" s="839" t="s">
        <v>235</v>
      </c>
      <c r="F2245" s="839" t="s">
        <v>234</v>
      </c>
      <c r="G2245" s="916">
        <f>VLOOKUP($A2245,'Tech Litons'!$A:$I,8,FALSE)</f>
        <v>3.3119999999999998E-3</v>
      </c>
      <c r="H2245" s="917">
        <f>VLOOKUP($A2245,'Tech Litons'!$A:$I,9,FALSE)</f>
        <v>165</v>
      </c>
      <c r="I2245" s="917" t="str">
        <f>VLOOKUP($A2245,'Tech Litons'!$A:$C,3,0)</f>
        <v>Yasso Sticks</v>
      </c>
      <c r="J2245" s="918" t="str">
        <f t="shared" si="229"/>
        <v>2904Yasso Sticks</v>
      </c>
      <c r="K2245" s="919">
        <v>1</v>
      </c>
      <c r="L2245" s="920">
        <f t="shared" si="228"/>
        <v>1980</v>
      </c>
      <c r="M2245" s="920">
        <f t="shared" si="230"/>
        <v>6.55776</v>
      </c>
      <c r="N2245" s="920">
        <f t="shared" si="231"/>
        <v>12</v>
      </c>
      <c r="O2245" s="918" t="str">
        <f t="shared" si="232"/>
        <v>Feb</v>
      </c>
      <c r="P2245" s="921">
        <f t="shared" si="233"/>
        <v>8</v>
      </c>
    </row>
    <row r="2246" spans="1:16" ht="15" hidden="1" customHeight="1">
      <c r="A2246" s="839">
        <v>64958128</v>
      </c>
      <c r="B2246" s="839">
        <v>2904</v>
      </c>
      <c r="C2246" s="906">
        <v>660</v>
      </c>
      <c r="D2246" s="907">
        <v>46069</v>
      </c>
      <c r="E2246" s="839" t="s">
        <v>235</v>
      </c>
      <c r="F2246" s="839" t="s">
        <v>234</v>
      </c>
      <c r="G2246" s="916">
        <f>VLOOKUP($A2246,'Tech Litons'!$A:$I,8,FALSE)</f>
        <v>3.3119999999999998E-3</v>
      </c>
      <c r="H2246" s="917">
        <f>VLOOKUP($A2246,'Tech Litons'!$A:$I,9,FALSE)</f>
        <v>165</v>
      </c>
      <c r="I2246" s="917" t="str">
        <f>VLOOKUP($A2246,'Tech Litons'!$A:$C,3,0)</f>
        <v>Yasso Sticks</v>
      </c>
      <c r="J2246" s="918" t="str">
        <f t="shared" si="229"/>
        <v>2904Yasso Sticks</v>
      </c>
      <c r="K2246" s="919">
        <v>1</v>
      </c>
      <c r="L2246" s="920">
        <f t="shared" si="228"/>
        <v>660</v>
      </c>
      <c r="M2246" s="920">
        <f t="shared" si="230"/>
        <v>2.1859199999999999</v>
      </c>
      <c r="N2246" s="920">
        <f t="shared" si="231"/>
        <v>4</v>
      </c>
      <c r="O2246" s="918" t="str">
        <f t="shared" si="232"/>
        <v>Feb</v>
      </c>
      <c r="P2246" s="921">
        <f t="shared" si="233"/>
        <v>8</v>
      </c>
    </row>
    <row r="2247" spans="1:16" ht="15" hidden="1" customHeight="1">
      <c r="A2247" s="839">
        <v>64958128</v>
      </c>
      <c r="B2247" s="839">
        <v>2904</v>
      </c>
      <c r="C2247" s="906">
        <v>-9240</v>
      </c>
      <c r="D2247" s="907">
        <v>46071</v>
      </c>
      <c r="E2247" s="839" t="s">
        <v>235</v>
      </c>
      <c r="F2247" s="839" t="s">
        <v>234</v>
      </c>
      <c r="G2247" s="916">
        <f>VLOOKUP($A2247,'Tech Litons'!$A:$I,8,FALSE)</f>
        <v>3.3119999999999998E-3</v>
      </c>
      <c r="H2247" s="917">
        <f>VLOOKUP($A2247,'Tech Litons'!$A:$I,9,FALSE)</f>
        <v>165</v>
      </c>
      <c r="I2247" s="917" t="str">
        <f>VLOOKUP($A2247,'Tech Litons'!$A:$C,3,0)</f>
        <v>Yasso Sticks</v>
      </c>
      <c r="J2247" s="918" t="str">
        <f t="shared" si="229"/>
        <v>2904Yasso Sticks</v>
      </c>
      <c r="K2247" s="919">
        <v>1</v>
      </c>
      <c r="L2247" s="920">
        <f t="shared" si="228"/>
        <v>-9240</v>
      </c>
      <c r="M2247" s="920">
        <f t="shared" si="230"/>
        <v>-30.602879999999999</v>
      </c>
      <c r="N2247" s="920">
        <f t="shared" si="231"/>
        <v>-56</v>
      </c>
      <c r="O2247" s="918" t="str">
        <f t="shared" si="232"/>
        <v>Feb</v>
      </c>
      <c r="P2247" s="921">
        <f t="shared" si="233"/>
        <v>8</v>
      </c>
    </row>
    <row r="2248" spans="1:16" ht="15" hidden="1" customHeight="1">
      <c r="A2248" s="839">
        <v>64958128</v>
      </c>
      <c r="B2248" s="839">
        <v>2904</v>
      </c>
      <c r="C2248" s="906">
        <v>165</v>
      </c>
      <c r="D2248" s="907">
        <v>46067</v>
      </c>
      <c r="E2248" s="839" t="s">
        <v>235</v>
      </c>
      <c r="F2248" s="839" t="s">
        <v>234</v>
      </c>
      <c r="G2248" s="916">
        <f>VLOOKUP($A2248,'Tech Litons'!$A:$I,8,FALSE)</f>
        <v>3.3119999999999998E-3</v>
      </c>
      <c r="H2248" s="917">
        <f>VLOOKUP($A2248,'Tech Litons'!$A:$I,9,FALSE)</f>
        <v>165</v>
      </c>
      <c r="I2248" s="917" t="str">
        <f>VLOOKUP($A2248,'Tech Litons'!$A:$C,3,0)</f>
        <v>Yasso Sticks</v>
      </c>
      <c r="J2248" s="918" t="str">
        <f t="shared" si="229"/>
        <v>2904Yasso Sticks</v>
      </c>
      <c r="K2248" s="919">
        <v>1</v>
      </c>
      <c r="L2248" s="920">
        <f t="shared" si="228"/>
        <v>165</v>
      </c>
      <c r="M2248" s="920">
        <f t="shared" si="230"/>
        <v>0.54647999999999997</v>
      </c>
      <c r="N2248" s="920">
        <f t="shared" si="231"/>
        <v>1</v>
      </c>
      <c r="O2248" s="918" t="str">
        <f t="shared" si="232"/>
        <v>Feb</v>
      </c>
      <c r="P2248" s="921">
        <f t="shared" si="233"/>
        <v>7</v>
      </c>
    </row>
    <row r="2249" spans="1:16" ht="15" hidden="1" customHeight="1">
      <c r="A2249" s="839">
        <v>64958128</v>
      </c>
      <c r="B2249" s="839">
        <v>2904</v>
      </c>
      <c r="C2249" s="906">
        <v>4620</v>
      </c>
      <c r="D2249" s="907">
        <v>46068</v>
      </c>
      <c r="E2249" s="839" t="s">
        <v>235</v>
      </c>
      <c r="F2249" s="839" t="s">
        <v>234</v>
      </c>
      <c r="G2249" s="916">
        <f>VLOOKUP($A2249,'Tech Litons'!$A:$I,8,FALSE)</f>
        <v>3.3119999999999998E-3</v>
      </c>
      <c r="H2249" s="917">
        <f>VLOOKUP($A2249,'Tech Litons'!$A:$I,9,FALSE)</f>
        <v>165</v>
      </c>
      <c r="I2249" s="917" t="str">
        <f>VLOOKUP($A2249,'Tech Litons'!$A:$C,3,0)</f>
        <v>Yasso Sticks</v>
      </c>
      <c r="J2249" s="918" t="str">
        <f t="shared" si="229"/>
        <v>2904Yasso Sticks</v>
      </c>
      <c r="K2249" s="919">
        <v>1</v>
      </c>
      <c r="L2249" s="920">
        <f t="shared" si="228"/>
        <v>4620</v>
      </c>
      <c r="M2249" s="920">
        <f t="shared" si="230"/>
        <v>15.301439999999999</v>
      </c>
      <c r="N2249" s="920">
        <f t="shared" si="231"/>
        <v>28</v>
      </c>
      <c r="O2249" s="918" t="str">
        <f t="shared" si="232"/>
        <v>Feb</v>
      </c>
      <c r="P2249" s="921">
        <f t="shared" si="233"/>
        <v>8</v>
      </c>
    </row>
    <row r="2250" spans="1:16" ht="15" hidden="1" customHeight="1">
      <c r="A2250" s="839">
        <v>64958128</v>
      </c>
      <c r="B2250" s="839">
        <v>2904</v>
      </c>
      <c r="C2250" s="906">
        <v>9240</v>
      </c>
      <c r="D2250" s="907">
        <v>46071</v>
      </c>
      <c r="E2250" s="839" t="s">
        <v>235</v>
      </c>
      <c r="F2250" s="839" t="s">
        <v>234</v>
      </c>
      <c r="G2250" s="916">
        <f>VLOOKUP($A2250,'Tech Litons'!$A:$I,8,FALSE)</f>
        <v>3.3119999999999998E-3</v>
      </c>
      <c r="H2250" s="917">
        <f>VLOOKUP($A2250,'Tech Litons'!$A:$I,9,FALSE)</f>
        <v>165</v>
      </c>
      <c r="I2250" s="917" t="str">
        <f>VLOOKUP($A2250,'Tech Litons'!$A:$C,3,0)</f>
        <v>Yasso Sticks</v>
      </c>
      <c r="J2250" s="918" t="str">
        <f t="shared" si="229"/>
        <v>2904Yasso Sticks</v>
      </c>
      <c r="K2250" s="919">
        <v>1</v>
      </c>
      <c r="L2250" s="920">
        <f t="shared" si="228"/>
        <v>9240</v>
      </c>
      <c r="M2250" s="920">
        <f t="shared" si="230"/>
        <v>30.602879999999999</v>
      </c>
      <c r="N2250" s="920">
        <f t="shared" si="231"/>
        <v>56</v>
      </c>
      <c r="O2250" s="918" t="str">
        <f t="shared" si="232"/>
        <v>Feb</v>
      </c>
      <c r="P2250" s="921">
        <f t="shared" si="233"/>
        <v>8</v>
      </c>
    </row>
    <row r="2251" spans="1:16" ht="15" hidden="1" customHeight="1">
      <c r="A2251" s="839">
        <v>64958128</v>
      </c>
      <c r="B2251" s="839">
        <v>2904</v>
      </c>
      <c r="C2251" s="906">
        <v>5931</v>
      </c>
      <c r="D2251" s="907">
        <v>46068</v>
      </c>
      <c r="E2251" s="839" t="s">
        <v>235</v>
      </c>
      <c r="F2251" s="839" t="s">
        <v>234</v>
      </c>
      <c r="G2251" s="916">
        <f>VLOOKUP($A2251,'Tech Litons'!$A:$I,8,FALSE)</f>
        <v>3.3119999999999998E-3</v>
      </c>
      <c r="H2251" s="917">
        <f>VLOOKUP($A2251,'Tech Litons'!$A:$I,9,FALSE)</f>
        <v>165</v>
      </c>
      <c r="I2251" s="917" t="str">
        <f>VLOOKUP($A2251,'Tech Litons'!$A:$C,3,0)</f>
        <v>Yasso Sticks</v>
      </c>
      <c r="J2251" s="918" t="str">
        <f t="shared" si="229"/>
        <v>2904Yasso Sticks</v>
      </c>
      <c r="K2251" s="919">
        <v>1</v>
      </c>
      <c r="L2251" s="920">
        <f t="shared" si="228"/>
        <v>5931</v>
      </c>
      <c r="M2251" s="920">
        <f t="shared" si="230"/>
        <v>19.643471999999999</v>
      </c>
      <c r="N2251" s="920">
        <f t="shared" si="231"/>
        <v>35.945454545454545</v>
      </c>
      <c r="O2251" s="918" t="str">
        <f t="shared" si="232"/>
        <v>Feb</v>
      </c>
      <c r="P2251" s="921">
        <f t="shared" si="233"/>
        <v>8</v>
      </c>
    </row>
    <row r="2252" spans="1:16" ht="15" hidden="1" customHeight="1">
      <c r="A2252" s="839">
        <v>64958128</v>
      </c>
      <c r="B2252" s="839">
        <v>2904</v>
      </c>
      <c r="C2252" s="906">
        <v>165</v>
      </c>
      <c r="D2252" s="907">
        <v>46060</v>
      </c>
      <c r="E2252" s="839" t="s">
        <v>235</v>
      </c>
      <c r="F2252" s="839" t="s">
        <v>234</v>
      </c>
      <c r="G2252" s="916">
        <f>VLOOKUP($A2252,'Tech Litons'!$A:$I,8,FALSE)</f>
        <v>3.3119999999999998E-3</v>
      </c>
      <c r="H2252" s="917">
        <f>VLOOKUP($A2252,'Tech Litons'!$A:$I,9,FALSE)</f>
        <v>165</v>
      </c>
      <c r="I2252" s="917" t="str">
        <f>VLOOKUP($A2252,'Tech Litons'!$A:$C,3,0)</f>
        <v>Yasso Sticks</v>
      </c>
      <c r="J2252" s="918" t="str">
        <f t="shared" si="229"/>
        <v>2904Yasso Sticks</v>
      </c>
      <c r="K2252" s="919">
        <v>1</v>
      </c>
      <c r="L2252" s="920">
        <f t="shared" si="228"/>
        <v>165</v>
      </c>
      <c r="M2252" s="920">
        <f t="shared" si="230"/>
        <v>0.54647999999999997</v>
      </c>
      <c r="N2252" s="920">
        <f t="shared" si="231"/>
        <v>1</v>
      </c>
      <c r="O2252" s="918" t="str">
        <f t="shared" si="232"/>
        <v>Feb</v>
      </c>
      <c r="P2252" s="921">
        <f t="shared" si="233"/>
        <v>6</v>
      </c>
    </row>
    <row r="2253" spans="1:16" ht="15" hidden="1" customHeight="1">
      <c r="A2253" s="839">
        <v>64958128</v>
      </c>
      <c r="B2253" s="839">
        <v>2904</v>
      </c>
      <c r="C2253" s="906">
        <v>3429</v>
      </c>
      <c r="D2253" s="907">
        <v>46061</v>
      </c>
      <c r="E2253" s="839" t="s">
        <v>235</v>
      </c>
      <c r="F2253" s="839" t="s">
        <v>234</v>
      </c>
      <c r="G2253" s="916">
        <f>VLOOKUP($A2253,'Tech Litons'!$A:$I,8,FALSE)</f>
        <v>3.3119999999999998E-3</v>
      </c>
      <c r="H2253" s="917">
        <f>VLOOKUP($A2253,'Tech Litons'!$A:$I,9,FALSE)</f>
        <v>165</v>
      </c>
      <c r="I2253" s="917" t="str">
        <f>VLOOKUP($A2253,'Tech Litons'!$A:$C,3,0)</f>
        <v>Yasso Sticks</v>
      </c>
      <c r="J2253" s="918" t="str">
        <f t="shared" si="229"/>
        <v>2904Yasso Sticks</v>
      </c>
      <c r="K2253" s="919">
        <v>1</v>
      </c>
      <c r="L2253" s="920">
        <f t="shared" si="228"/>
        <v>3429</v>
      </c>
      <c r="M2253" s="920">
        <f t="shared" si="230"/>
        <v>11.356847999999999</v>
      </c>
      <c r="N2253" s="920">
        <f t="shared" si="231"/>
        <v>20.781818181818181</v>
      </c>
      <c r="O2253" s="918" t="str">
        <f t="shared" si="232"/>
        <v>Feb</v>
      </c>
      <c r="P2253" s="921">
        <f t="shared" si="233"/>
        <v>7</v>
      </c>
    </row>
    <row r="2254" spans="1:16" ht="15" hidden="1" customHeight="1">
      <c r="A2254" s="839">
        <v>64958128</v>
      </c>
      <c r="B2254" s="839">
        <v>2904</v>
      </c>
      <c r="C2254" s="906">
        <v>415</v>
      </c>
      <c r="D2254" s="907">
        <v>46069</v>
      </c>
      <c r="E2254" s="839" t="s">
        <v>235</v>
      </c>
      <c r="F2254" s="839" t="s">
        <v>234</v>
      </c>
      <c r="G2254" s="916">
        <f>VLOOKUP($A2254,'Tech Litons'!$A:$I,8,FALSE)</f>
        <v>3.3119999999999998E-3</v>
      </c>
      <c r="H2254" s="917">
        <f>VLOOKUP($A2254,'Tech Litons'!$A:$I,9,FALSE)</f>
        <v>165</v>
      </c>
      <c r="I2254" s="917" t="str">
        <f>VLOOKUP($A2254,'Tech Litons'!$A:$C,3,0)</f>
        <v>Yasso Sticks</v>
      </c>
      <c r="J2254" s="918" t="str">
        <f t="shared" si="229"/>
        <v>2904Yasso Sticks</v>
      </c>
      <c r="K2254" s="919">
        <v>1</v>
      </c>
      <c r="L2254" s="920">
        <f t="shared" si="228"/>
        <v>415</v>
      </c>
      <c r="M2254" s="920">
        <f t="shared" si="230"/>
        <v>1.3744799999999999</v>
      </c>
      <c r="N2254" s="920">
        <f t="shared" si="231"/>
        <v>2.5151515151515151</v>
      </c>
      <c r="O2254" s="918" t="str">
        <f t="shared" si="232"/>
        <v>Feb</v>
      </c>
      <c r="P2254" s="921">
        <f t="shared" si="233"/>
        <v>8</v>
      </c>
    </row>
    <row r="2255" spans="1:16" ht="15" hidden="1" customHeight="1">
      <c r="A2255" s="839">
        <v>64958128</v>
      </c>
      <c r="B2255" s="839">
        <v>2904</v>
      </c>
      <c r="C2255" s="906">
        <v>5343</v>
      </c>
      <c r="D2255" s="907">
        <v>46061</v>
      </c>
      <c r="E2255" s="839" t="s">
        <v>235</v>
      </c>
      <c r="F2255" s="839" t="s">
        <v>234</v>
      </c>
      <c r="G2255" s="916">
        <f>VLOOKUP($A2255,'Tech Litons'!$A:$I,8,FALSE)</f>
        <v>3.3119999999999998E-3</v>
      </c>
      <c r="H2255" s="917">
        <f>VLOOKUP($A2255,'Tech Litons'!$A:$I,9,FALSE)</f>
        <v>165</v>
      </c>
      <c r="I2255" s="917" t="str">
        <f>VLOOKUP($A2255,'Tech Litons'!$A:$C,3,0)</f>
        <v>Yasso Sticks</v>
      </c>
      <c r="J2255" s="918" t="str">
        <f t="shared" si="229"/>
        <v>2904Yasso Sticks</v>
      </c>
      <c r="K2255" s="919">
        <v>1</v>
      </c>
      <c r="L2255" s="920">
        <f t="shared" si="228"/>
        <v>5343</v>
      </c>
      <c r="M2255" s="920">
        <f t="shared" si="230"/>
        <v>17.696016</v>
      </c>
      <c r="N2255" s="920">
        <f t="shared" si="231"/>
        <v>32.381818181818183</v>
      </c>
      <c r="O2255" s="918" t="str">
        <f t="shared" si="232"/>
        <v>Feb</v>
      </c>
      <c r="P2255" s="921">
        <f t="shared" si="233"/>
        <v>7</v>
      </c>
    </row>
    <row r="2256" spans="1:16" ht="15" hidden="1" customHeight="1">
      <c r="A2256" s="839">
        <v>64958128</v>
      </c>
      <c r="B2256" s="839">
        <v>2904</v>
      </c>
      <c r="C2256" s="906">
        <v>6868</v>
      </c>
      <c r="D2256" s="907">
        <v>46062</v>
      </c>
      <c r="E2256" s="839" t="s">
        <v>235</v>
      </c>
      <c r="F2256" s="839" t="s">
        <v>234</v>
      </c>
      <c r="G2256" s="916">
        <f>VLOOKUP($A2256,'Tech Litons'!$A:$I,8,FALSE)</f>
        <v>3.3119999999999998E-3</v>
      </c>
      <c r="H2256" s="917">
        <f>VLOOKUP($A2256,'Tech Litons'!$A:$I,9,FALSE)</f>
        <v>165</v>
      </c>
      <c r="I2256" s="917" t="str">
        <f>VLOOKUP($A2256,'Tech Litons'!$A:$C,3,0)</f>
        <v>Yasso Sticks</v>
      </c>
      <c r="J2256" s="918" t="str">
        <f t="shared" si="229"/>
        <v>2904Yasso Sticks</v>
      </c>
      <c r="K2256" s="919">
        <v>1</v>
      </c>
      <c r="L2256" s="920">
        <f t="shared" si="228"/>
        <v>6868</v>
      </c>
      <c r="M2256" s="920">
        <f t="shared" si="230"/>
        <v>22.746815999999999</v>
      </c>
      <c r="N2256" s="920">
        <f t="shared" si="231"/>
        <v>41.624242424242425</v>
      </c>
      <c r="O2256" s="918" t="str">
        <f t="shared" si="232"/>
        <v>Feb</v>
      </c>
      <c r="P2256" s="921">
        <f t="shared" si="233"/>
        <v>7</v>
      </c>
    </row>
    <row r="2257" spans="1:16" ht="15" hidden="1" customHeight="1">
      <c r="A2257" s="839">
        <v>64975616</v>
      </c>
      <c r="B2257" s="839">
        <v>2904</v>
      </c>
      <c r="C2257" s="906">
        <v>2877</v>
      </c>
      <c r="D2257" s="907">
        <v>46055</v>
      </c>
      <c r="E2257" s="839" t="s">
        <v>385</v>
      </c>
      <c r="F2257" s="839" t="s">
        <v>299</v>
      </c>
      <c r="G2257" s="916">
        <f>VLOOKUP($A2257,'Tech Litons'!$A:$I,8,FALSE)</f>
        <v>3.3119999999999998E-3</v>
      </c>
      <c r="H2257" s="917">
        <f>VLOOKUP($A2257,'Tech Litons'!$A:$I,9,FALSE)</f>
        <v>240</v>
      </c>
      <c r="I2257" s="917" t="str">
        <f>VLOOKUP($A2257,'Tech Litons'!$A:$C,3,0)</f>
        <v>YS PTS</v>
      </c>
      <c r="J2257" s="918" t="str">
        <f t="shared" si="229"/>
        <v>2904YS PTS</v>
      </c>
      <c r="K2257" s="919">
        <v>1</v>
      </c>
      <c r="L2257" s="920">
        <f t="shared" si="228"/>
        <v>2877</v>
      </c>
      <c r="M2257" s="920">
        <f t="shared" si="230"/>
        <v>9.5286239999999989</v>
      </c>
      <c r="N2257" s="920">
        <f t="shared" si="231"/>
        <v>11.987500000000001</v>
      </c>
      <c r="O2257" s="918" t="str">
        <f t="shared" si="232"/>
        <v>Feb</v>
      </c>
      <c r="P2257" s="921">
        <f t="shared" si="233"/>
        <v>6</v>
      </c>
    </row>
    <row r="2258" spans="1:16" ht="15" hidden="1" customHeight="1">
      <c r="A2258" s="839">
        <v>64975616</v>
      </c>
      <c r="B2258" s="839">
        <v>2904</v>
      </c>
      <c r="C2258" s="906">
        <v>6605</v>
      </c>
      <c r="D2258" s="907">
        <v>46056</v>
      </c>
      <c r="E2258" s="839" t="s">
        <v>385</v>
      </c>
      <c r="F2258" s="839" t="s">
        <v>299</v>
      </c>
      <c r="G2258" s="916">
        <f>VLOOKUP($A2258,'Tech Litons'!$A:$I,8,FALSE)</f>
        <v>3.3119999999999998E-3</v>
      </c>
      <c r="H2258" s="917">
        <f>VLOOKUP($A2258,'Tech Litons'!$A:$I,9,FALSE)</f>
        <v>240</v>
      </c>
      <c r="I2258" s="917" t="str">
        <f>VLOOKUP($A2258,'Tech Litons'!$A:$C,3,0)</f>
        <v>YS PTS</v>
      </c>
      <c r="J2258" s="918" t="str">
        <f t="shared" si="229"/>
        <v>2904YS PTS</v>
      </c>
      <c r="K2258" s="919">
        <v>1</v>
      </c>
      <c r="L2258" s="920">
        <f t="shared" si="228"/>
        <v>6605</v>
      </c>
      <c r="M2258" s="920">
        <f t="shared" si="230"/>
        <v>21.87576</v>
      </c>
      <c r="N2258" s="920">
        <f t="shared" si="231"/>
        <v>27.520833333333332</v>
      </c>
      <c r="O2258" s="918" t="str">
        <f t="shared" si="232"/>
        <v>Feb</v>
      </c>
      <c r="P2258" s="921">
        <f t="shared" si="233"/>
        <v>6</v>
      </c>
    </row>
    <row r="2259" spans="1:16" ht="15" hidden="1" customHeight="1">
      <c r="A2259" s="839">
        <v>64975616</v>
      </c>
      <c r="B2259" s="839">
        <v>2904</v>
      </c>
      <c r="C2259" s="906">
        <v>-31</v>
      </c>
      <c r="D2259" s="907">
        <v>46059</v>
      </c>
      <c r="E2259" s="839" t="s">
        <v>385</v>
      </c>
      <c r="F2259" s="839" t="s">
        <v>299</v>
      </c>
      <c r="G2259" s="916">
        <f>VLOOKUP($A2259,'Tech Litons'!$A:$I,8,FALSE)</f>
        <v>3.3119999999999998E-3</v>
      </c>
      <c r="H2259" s="917">
        <f>VLOOKUP($A2259,'Tech Litons'!$A:$I,9,FALSE)</f>
        <v>240</v>
      </c>
      <c r="I2259" s="917" t="str">
        <f>VLOOKUP($A2259,'Tech Litons'!$A:$C,3,0)</f>
        <v>YS PTS</v>
      </c>
      <c r="J2259" s="918" t="str">
        <f t="shared" si="229"/>
        <v>2904YS PTS</v>
      </c>
      <c r="K2259" s="919">
        <v>1</v>
      </c>
      <c r="L2259" s="920">
        <f t="shared" si="228"/>
        <v>-31</v>
      </c>
      <c r="M2259" s="920">
        <f t="shared" si="230"/>
        <v>-0.102672</v>
      </c>
      <c r="N2259" s="920">
        <f t="shared" si="231"/>
        <v>-0.12916666666666668</v>
      </c>
      <c r="O2259" s="918" t="str">
        <f t="shared" si="232"/>
        <v>Feb</v>
      </c>
      <c r="P2259" s="921">
        <f t="shared" si="233"/>
        <v>6</v>
      </c>
    </row>
    <row r="2260" spans="1:16" ht="15" hidden="1" customHeight="1">
      <c r="A2260" s="839">
        <v>64975616</v>
      </c>
      <c r="B2260" s="839">
        <v>2904</v>
      </c>
      <c r="C2260" s="906">
        <v>5924</v>
      </c>
      <c r="D2260" s="907">
        <v>46056</v>
      </c>
      <c r="E2260" s="839" t="s">
        <v>385</v>
      </c>
      <c r="F2260" s="839" t="s">
        <v>299</v>
      </c>
      <c r="G2260" s="916">
        <f>VLOOKUP($A2260,'Tech Litons'!$A:$I,8,FALSE)</f>
        <v>3.3119999999999998E-3</v>
      </c>
      <c r="H2260" s="917">
        <f>VLOOKUP($A2260,'Tech Litons'!$A:$I,9,FALSE)</f>
        <v>240</v>
      </c>
      <c r="I2260" s="917" t="str">
        <f>VLOOKUP($A2260,'Tech Litons'!$A:$C,3,0)</f>
        <v>YS PTS</v>
      </c>
      <c r="J2260" s="918" t="str">
        <f t="shared" si="229"/>
        <v>2904YS PTS</v>
      </c>
      <c r="K2260" s="919">
        <v>1</v>
      </c>
      <c r="L2260" s="920">
        <f t="shared" si="228"/>
        <v>5924</v>
      </c>
      <c r="M2260" s="920">
        <f t="shared" si="230"/>
        <v>19.620287999999999</v>
      </c>
      <c r="N2260" s="920">
        <f t="shared" si="231"/>
        <v>24.683333333333334</v>
      </c>
      <c r="O2260" s="918" t="str">
        <f t="shared" si="232"/>
        <v>Feb</v>
      </c>
      <c r="P2260" s="921">
        <f t="shared" si="233"/>
        <v>6</v>
      </c>
    </row>
    <row r="2261" spans="1:16" ht="15" hidden="1" customHeight="1">
      <c r="A2261" s="839">
        <v>64975616</v>
      </c>
      <c r="B2261" s="839">
        <v>2904</v>
      </c>
      <c r="C2261" s="906">
        <v>8160</v>
      </c>
      <c r="D2261" s="907">
        <v>46057</v>
      </c>
      <c r="E2261" s="839" t="s">
        <v>385</v>
      </c>
      <c r="F2261" s="839" t="s">
        <v>299</v>
      </c>
      <c r="G2261" s="916">
        <f>VLOOKUP($A2261,'Tech Litons'!$A:$I,8,FALSE)</f>
        <v>3.3119999999999998E-3</v>
      </c>
      <c r="H2261" s="917">
        <f>VLOOKUP($A2261,'Tech Litons'!$A:$I,9,FALSE)</f>
        <v>240</v>
      </c>
      <c r="I2261" s="917" t="str">
        <f>VLOOKUP($A2261,'Tech Litons'!$A:$C,3,0)</f>
        <v>YS PTS</v>
      </c>
      <c r="J2261" s="918" t="str">
        <f t="shared" si="229"/>
        <v>2904YS PTS</v>
      </c>
      <c r="K2261" s="919">
        <v>1</v>
      </c>
      <c r="L2261" s="920">
        <f t="shared" si="228"/>
        <v>8160</v>
      </c>
      <c r="M2261" s="920">
        <f t="shared" si="230"/>
        <v>27.025919999999999</v>
      </c>
      <c r="N2261" s="920">
        <f t="shared" si="231"/>
        <v>34</v>
      </c>
      <c r="O2261" s="918" t="str">
        <f t="shared" si="232"/>
        <v>Feb</v>
      </c>
      <c r="P2261" s="921">
        <f t="shared" si="233"/>
        <v>6</v>
      </c>
    </row>
    <row r="2262" spans="1:16" ht="15" hidden="1" customHeight="1">
      <c r="A2262" s="839">
        <v>64975616</v>
      </c>
      <c r="B2262" s="839">
        <v>2904</v>
      </c>
      <c r="C2262" s="906">
        <v>6195</v>
      </c>
      <c r="D2262" s="907">
        <v>46057</v>
      </c>
      <c r="E2262" s="839" t="s">
        <v>385</v>
      </c>
      <c r="F2262" s="839" t="s">
        <v>299</v>
      </c>
      <c r="G2262" s="916">
        <f>VLOOKUP($A2262,'Tech Litons'!$A:$I,8,FALSE)</f>
        <v>3.3119999999999998E-3</v>
      </c>
      <c r="H2262" s="917">
        <f>VLOOKUP($A2262,'Tech Litons'!$A:$I,9,FALSE)</f>
        <v>240</v>
      </c>
      <c r="I2262" s="917" t="str">
        <f>VLOOKUP($A2262,'Tech Litons'!$A:$C,3,0)</f>
        <v>YS PTS</v>
      </c>
      <c r="J2262" s="918" t="str">
        <f t="shared" si="229"/>
        <v>2904YS PTS</v>
      </c>
      <c r="K2262" s="919">
        <v>1</v>
      </c>
      <c r="L2262" s="920">
        <f t="shared" si="228"/>
        <v>6195</v>
      </c>
      <c r="M2262" s="920">
        <f t="shared" si="230"/>
        <v>20.51784</v>
      </c>
      <c r="N2262" s="920">
        <f t="shared" si="231"/>
        <v>25.8125</v>
      </c>
      <c r="O2262" s="918" t="str">
        <f t="shared" si="232"/>
        <v>Feb</v>
      </c>
      <c r="P2262" s="921">
        <f t="shared" si="233"/>
        <v>6</v>
      </c>
    </row>
    <row r="2263" spans="1:16" ht="15" hidden="1" customHeight="1">
      <c r="A2263" s="839">
        <v>64975616</v>
      </c>
      <c r="B2263" s="839">
        <v>2904</v>
      </c>
      <c r="C2263" s="906">
        <v>2743</v>
      </c>
      <c r="D2263" s="907">
        <v>46058</v>
      </c>
      <c r="E2263" s="839" t="s">
        <v>385</v>
      </c>
      <c r="F2263" s="839" t="s">
        <v>299</v>
      </c>
      <c r="G2263" s="916">
        <f>VLOOKUP($A2263,'Tech Litons'!$A:$I,8,FALSE)</f>
        <v>3.3119999999999998E-3</v>
      </c>
      <c r="H2263" s="917">
        <f>VLOOKUP($A2263,'Tech Litons'!$A:$I,9,FALSE)</f>
        <v>240</v>
      </c>
      <c r="I2263" s="917" t="str">
        <f>VLOOKUP($A2263,'Tech Litons'!$A:$C,3,0)</f>
        <v>YS PTS</v>
      </c>
      <c r="J2263" s="918" t="str">
        <f t="shared" si="229"/>
        <v>2904YS PTS</v>
      </c>
      <c r="K2263" s="919">
        <v>1</v>
      </c>
      <c r="L2263" s="920">
        <f t="shared" si="228"/>
        <v>2743</v>
      </c>
      <c r="M2263" s="920">
        <f t="shared" si="230"/>
        <v>9.084816</v>
      </c>
      <c r="N2263" s="920">
        <f t="shared" si="231"/>
        <v>11.429166666666667</v>
      </c>
      <c r="O2263" s="918" t="str">
        <f t="shared" si="232"/>
        <v>Feb</v>
      </c>
      <c r="P2263" s="921">
        <f t="shared" si="233"/>
        <v>6</v>
      </c>
    </row>
    <row r="2264" spans="1:16" ht="15" hidden="1" customHeight="1">
      <c r="A2264" s="839">
        <v>64975616</v>
      </c>
      <c r="B2264" s="839">
        <v>2904</v>
      </c>
      <c r="C2264" s="906">
        <v>7500</v>
      </c>
      <c r="D2264" s="907">
        <v>46058</v>
      </c>
      <c r="E2264" s="839" t="s">
        <v>385</v>
      </c>
      <c r="F2264" s="839" t="s">
        <v>299</v>
      </c>
      <c r="G2264" s="916">
        <f>VLOOKUP($A2264,'Tech Litons'!$A:$I,8,FALSE)</f>
        <v>3.3119999999999998E-3</v>
      </c>
      <c r="H2264" s="917">
        <f>VLOOKUP($A2264,'Tech Litons'!$A:$I,9,FALSE)</f>
        <v>240</v>
      </c>
      <c r="I2264" s="917" t="str">
        <f>VLOOKUP($A2264,'Tech Litons'!$A:$C,3,0)</f>
        <v>YS PTS</v>
      </c>
      <c r="J2264" s="918" t="str">
        <f t="shared" si="229"/>
        <v>2904YS PTS</v>
      </c>
      <c r="K2264" s="919">
        <v>1</v>
      </c>
      <c r="L2264" s="920">
        <f t="shared" si="228"/>
        <v>7500</v>
      </c>
      <c r="M2264" s="920">
        <f t="shared" si="230"/>
        <v>24.84</v>
      </c>
      <c r="N2264" s="920">
        <f t="shared" si="231"/>
        <v>31.25</v>
      </c>
      <c r="O2264" s="918" t="str">
        <f t="shared" si="232"/>
        <v>Feb</v>
      </c>
      <c r="P2264" s="921">
        <f t="shared" si="233"/>
        <v>6</v>
      </c>
    </row>
    <row r="2265" spans="1:16" ht="15" hidden="1" customHeight="1">
      <c r="A2265" s="839">
        <v>64975616</v>
      </c>
      <c r="B2265" s="839">
        <v>2904</v>
      </c>
      <c r="C2265" s="906">
        <v>8431</v>
      </c>
      <c r="D2265" s="907">
        <v>46059</v>
      </c>
      <c r="E2265" s="839" t="s">
        <v>385</v>
      </c>
      <c r="F2265" s="839" t="s">
        <v>299</v>
      </c>
      <c r="G2265" s="916">
        <f>VLOOKUP($A2265,'Tech Litons'!$A:$I,8,FALSE)</f>
        <v>3.3119999999999998E-3</v>
      </c>
      <c r="H2265" s="917">
        <f>VLOOKUP($A2265,'Tech Litons'!$A:$I,9,FALSE)</f>
        <v>240</v>
      </c>
      <c r="I2265" s="917" t="str">
        <f>VLOOKUP($A2265,'Tech Litons'!$A:$C,3,0)</f>
        <v>YS PTS</v>
      </c>
      <c r="J2265" s="918" t="str">
        <f t="shared" si="229"/>
        <v>2904YS PTS</v>
      </c>
      <c r="K2265" s="919">
        <v>1</v>
      </c>
      <c r="L2265" s="920">
        <f t="shared" si="228"/>
        <v>8431</v>
      </c>
      <c r="M2265" s="920">
        <f t="shared" si="230"/>
        <v>27.923472</v>
      </c>
      <c r="N2265" s="920">
        <f t="shared" si="231"/>
        <v>35.12916666666667</v>
      </c>
      <c r="O2265" s="918" t="str">
        <f t="shared" si="232"/>
        <v>Feb</v>
      </c>
      <c r="P2265" s="921">
        <f t="shared" si="233"/>
        <v>6</v>
      </c>
    </row>
    <row r="2266" spans="1:16" ht="15" hidden="1" customHeight="1">
      <c r="A2266" s="839">
        <v>64975616</v>
      </c>
      <c r="B2266" s="839">
        <v>2904</v>
      </c>
      <c r="C2266" s="906">
        <v>6960</v>
      </c>
      <c r="D2266" s="907">
        <v>46059</v>
      </c>
      <c r="E2266" s="839" t="s">
        <v>385</v>
      </c>
      <c r="F2266" s="839" t="s">
        <v>299</v>
      </c>
      <c r="G2266" s="916">
        <f>VLOOKUP($A2266,'Tech Litons'!$A:$I,8,FALSE)</f>
        <v>3.3119999999999998E-3</v>
      </c>
      <c r="H2266" s="917">
        <f>VLOOKUP($A2266,'Tech Litons'!$A:$I,9,FALSE)</f>
        <v>240</v>
      </c>
      <c r="I2266" s="917" t="str">
        <f>VLOOKUP($A2266,'Tech Litons'!$A:$C,3,0)</f>
        <v>YS PTS</v>
      </c>
      <c r="J2266" s="918" t="str">
        <f t="shared" si="229"/>
        <v>2904YS PTS</v>
      </c>
      <c r="K2266" s="919">
        <v>1</v>
      </c>
      <c r="L2266" s="920">
        <f t="shared" si="228"/>
        <v>6960</v>
      </c>
      <c r="M2266" s="920">
        <f t="shared" si="230"/>
        <v>23.05152</v>
      </c>
      <c r="N2266" s="920">
        <f t="shared" si="231"/>
        <v>29</v>
      </c>
      <c r="O2266" s="918" t="str">
        <f t="shared" si="232"/>
        <v>Feb</v>
      </c>
      <c r="P2266" s="921">
        <f t="shared" si="233"/>
        <v>6</v>
      </c>
    </row>
    <row r="2267" spans="1:16" ht="15" hidden="1" customHeight="1">
      <c r="A2267" s="839">
        <v>64975616</v>
      </c>
      <c r="B2267" s="839">
        <v>2904</v>
      </c>
      <c r="C2267" s="906">
        <v>974</v>
      </c>
      <c r="D2267" s="907">
        <v>46060</v>
      </c>
      <c r="E2267" s="839" t="s">
        <v>385</v>
      </c>
      <c r="F2267" s="839" t="s">
        <v>299</v>
      </c>
      <c r="G2267" s="916">
        <f>VLOOKUP($A2267,'Tech Litons'!$A:$I,8,FALSE)</f>
        <v>3.3119999999999998E-3</v>
      </c>
      <c r="H2267" s="917">
        <f>VLOOKUP($A2267,'Tech Litons'!$A:$I,9,FALSE)</f>
        <v>240</v>
      </c>
      <c r="I2267" s="917" t="str">
        <f>VLOOKUP($A2267,'Tech Litons'!$A:$C,3,0)</f>
        <v>YS PTS</v>
      </c>
      <c r="J2267" s="918" t="str">
        <f t="shared" si="229"/>
        <v>2904YS PTS</v>
      </c>
      <c r="K2267" s="919">
        <v>1</v>
      </c>
      <c r="L2267" s="920">
        <f t="shared" si="228"/>
        <v>974</v>
      </c>
      <c r="M2267" s="920">
        <f t="shared" si="230"/>
        <v>3.2258879999999999</v>
      </c>
      <c r="N2267" s="920">
        <f t="shared" si="231"/>
        <v>4.0583333333333336</v>
      </c>
      <c r="O2267" s="918" t="str">
        <f t="shared" si="232"/>
        <v>Feb</v>
      </c>
      <c r="P2267" s="921">
        <f t="shared" si="233"/>
        <v>6</v>
      </c>
    </row>
    <row r="2268" spans="1:16" ht="15" hidden="1" customHeight="1">
      <c r="A2268" s="839">
        <v>64975616</v>
      </c>
      <c r="B2268" s="839">
        <v>2904</v>
      </c>
      <c r="C2268" s="906">
        <v>4922</v>
      </c>
      <c r="D2268" s="907">
        <v>46062</v>
      </c>
      <c r="E2268" s="839" t="s">
        <v>385</v>
      </c>
      <c r="F2268" s="839" t="s">
        <v>299</v>
      </c>
      <c r="G2268" s="916">
        <f>VLOOKUP($A2268,'Tech Litons'!$A:$I,8,FALSE)</f>
        <v>3.3119999999999998E-3</v>
      </c>
      <c r="H2268" s="917">
        <f>VLOOKUP($A2268,'Tech Litons'!$A:$I,9,FALSE)</f>
        <v>240</v>
      </c>
      <c r="I2268" s="917" t="str">
        <f>VLOOKUP($A2268,'Tech Litons'!$A:$C,3,0)</f>
        <v>YS PTS</v>
      </c>
      <c r="J2268" s="918" t="str">
        <f t="shared" si="229"/>
        <v>2904YS PTS</v>
      </c>
      <c r="K2268" s="919">
        <v>1</v>
      </c>
      <c r="L2268" s="920">
        <f t="shared" si="228"/>
        <v>4922</v>
      </c>
      <c r="M2268" s="920">
        <f t="shared" si="230"/>
        <v>16.301663999999999</v>
      </c>
      <c r="N2268" s="920">
        <f t="shared" si="231"/>
        <v>20.508333333333333</v>
      </c>
      <c r="O2268" s="918" t="str">
        <f t="shared" si="232"/>
        <v>Feb</v>
      </c>
      <c r="P2268" s="921">
        <f t="shared" si="233"/>
        <v>7</v>
      </c>
    </row>
    <row r="2269" spans="1:16" ht="15" hidden="1" customHeight="1">
      <c r="A2269" s="839">
        <v>64976848</v>
      </c>
      <c r="B2269" s="839">
        <v>2904</v>
      </c>
      <c r="C2269" s="906">
        <v>3358</v>
      </c>
      <c r="D2269" s="907">
        <v>46058</v>
      </c>
      <c r="E2269" s="839" t="s">
        <v>232</v>
      </c>
      <c r="F2269" s="839" t="s">
        <v>231</v>
      </c>
      <c r="G2269" s="916">
        <f>VLOOKUP($A2269,'Tech Litons'!$A:$I,8,FALSE)</f>
        <v>2.5040000000000001E-3</v>
      </c>
      <c r="H2269" s="917">
        <f>VLOOKUP($A2269,'Tech Litons'!$A:$I,9,FALSE)</f>
        <v>165</v>
      </c>
      <c r="I2269" s="917" t="str">
        <f>VLOOKUP($A2269,'Tech Litons'!$A:$C,3,0)</f>
        <v>Yasso Sticks</v>
      </c>
      <c r="J2269" s="918" t="str">
        <f t="shared" si="229"/>
        <v>2904Yasso Sticks</v>
      </c>
      <c r="K2269" s="919">
        <v>1</v>
      </c>
      <c r="L2269" s="920">
        <f t="shared" si="228"/>
        <v>3358</v>
      </c>
      <c r="M2269" s="920">
        <f t="shared" si="230"/>
        <v>8.4084320000000012</v>
      </c>
      <c r="N2269" s="920">
        <f t="shared" si="231"/>
        <v>20.351515151515152</v>
      </c>
      <c r="O2269" s="918" t="str">
        <f t="shared" si="232"/>
        <v>Feb</v>
      </c>
      <c r="P2269" s="921">
        <f t="shared" si="233"/>
        <v>6</v>
      </c>
    </row>
    <row r="2270" spans="1:16" ht="15" hidden="1" customHeight="1">
      <c r="A2270" s="839">
        <v>64976848</v>
      </c>
      <c r="B2270" s="839">
        <v>2904</v>
      </c>
      <c r="C2270" s="906">
        <v>3501</v>
      </c>
      <c r="D2270" s="907">
        <v>46059</v>
      </c>
      <c r="E2270" s="839" t="s">
        <v>232</v>
      </c>
      <c r="F2270" s="839" t="s">
        <v>231</v>
      </c>
      <c r="G2270" s="916">
        <f>VLOOKUP($A2270,'Tech Litons'!$A:$I,8,FALSE)</f>
        <v>2.5040000000000001E-3</v>
      </c>
      <c r="H2270" s="917">
        <f>VLOOKUP($A2270,'Tech Litons'!$A:$I,9,FALSE)</f>
        <v>165</v>
      </c>
      <c r="I2270" s="917" t="str">
        <f>VLOOKUP($A2270,'Tech Litons'!$A:$C,3,0)</f>
        <v>Yasso Sticks</v>
      </c>
      <c r="J2270" s="918" t="str">
        <f t="shared" si="229"/>
        <v>2904Yasso Sticks</v>
      </c>
      <c r="K2270" s="919">
        <v>1</v>
      </c>
      <c r="L2270" s="920">
        <f t="shared" si="228"/>
        <v>3501</v>
      </c>
      <c r="M2270" s="920">
        <f t="shared" si="230"/>
        <v>8.7665040000000012</v>
      </c>
      <c r="N2270" s="920">
        <f t="shared" si="231"/>
        <v>21.218181818181819</v>
      </c>
      <c r="O2270" s="918" t="str">
        <f t="shared" si="232"/>
        <v>Feb</v>
      </c>
      <c r="P2270" s="921">
        <f t="shared" si="233"/>
        <v>6</v>
      </c>
    </row>
    <row r="2271" spans="1:16" ht="15" hidden="1" customHeight="1">
      <c r="A2271" s="839">
        <v>64976848</v>
      </c>
      <c r="B2271" s="839">
        <v>2904</v>
      </c>
      <c r="C2271" s="906">
        <v>806</v>
      </c>
      <c r="D2271" s="907">
        <v>46050</v>
      </c>
      <c r="E2271" s="839" t="s">
        <v>232</v>
      </c>
      <c r="F2271" s="839" t="s">
        <v>231</v>
      </c>
      <c r="G2271" s="916">
        <f>VLOOKUP($A2271,'Tech Litons'!$A:$I,8,FALSE)</f>
        <v>2.5040000000000001E-3</v>
      </c>
      <c r="H2271" s="917">
        <f>VLOOKUP($A2271,'Tech Litons'!$A:$I,9,FALSE)</f>
        <v>165</v>
      </c>
      <c r="I2271" s="917" t="str">
        <f>VLOOKUP($A2271,'Tech Litons'!$A:$C,3,0)</f>
        <v>Yasso Sticks</v>
      </c>
      <c r="J2271" s="918" t="str">
        <f t="shared" si="229"/>
        <v>2904Yasso Sticks</v>
      </c>
      <c r="K2271" s="919">
        <v>1</v>
      </c>
      <c r="L2271" s="920">
        <f t="shared" si="228"/>
        <v>806</v>
      </c>
      <c r="M2271" s="920">
        <f t="shared" si="230"/>
        <v>2.018224</v>
      </c>
      <c r="N2271" s="920">
        <f t="shared" si="231"/>
        <v>4.8848484848484848</v>
      </c>
      <c r="O2271" s="918" t="str">
        <f t="shared" si="232"/>
        <v>Jan</v>
      </c>
      <c r="P2271" s="921">
        <f t="shared" si="233"/>
        <v>5</v>
      </c>
    </row>
    <row r="2272" spans="1:16" ht="15" hidden="1" customHeight="1">
      <c r="A2272" s="839">
        <v>64976848</v>
      </c>
      <c r="B2272" s="839">
        <v>2904</v>
      </c>
      <c r="C2272" s="906">
        <v>3465</v>
      </c>
      <c r="D2272" s="907">
        <v>46059</v>
      </c>
      <c r="E2272" s="839" t="s">
        <v>232</v>
      </c>
      <c r="F2272" s="839" t="s">
        <v>231</v>
      </c>
      <c r="G2272" s="916">
        <f>VLOOKUP($A2272,'Tech Litons'!$A:$I,8,FALSE)</f>
        <v>2.5040000000000001E-3</v>
      </c>
      <c r="H2272" s="917">
        <f>VLOOKUP($A2272,'Tech Litons'!$A:$I,9,FALSE)</f>
        <v>165</v>
      </c>
      <c r="I2272" s="917" t="str">
        <f>VLOOKUP($A2272,'Tech Litons'!$A:$C,3,0)</f>
        <v>Yasso Sticks</v>
      </c>
      <c r="J2272" s="918" t="str">
        <f t="shared" si="229"/>
        <v>2904Yasso Sticks</v>
      </c>
      <c r="K2272" s="919">
        <v>1</v>
      </c>
      <c r="L2272" s="920">
        <f t="shared" si="228"/>
        <v>3465</v>
      </c>
      <c r="M2272" s="920">
        <f t="shared" si="230"/>
        <v>8.6763600000000007</v>
      </c>
      <c r="N2272" s="920">
        <f t="shared" si="231"/>
        <v>21</v>
      </c>
      <c r="O2272" s="918" t="str">
        <f t="shared" si="232"/>
        <v>Feb</v>
      </c>
      <c r="P2272" s="921">
        <f t="shared" si="233"/>
        <v>6</v>
      </c>
    </row>
    <row r="2273" spans="1:16" ht="15" hidden="1" customHeight="1">
      <c r="A2273" s="839">
        <v>64976848</v>
      </c>
      <c r="B2273" s="839">
        <v>2904</v>
      </c>
      <c r="C2273" s="906">
        <v>4009</v>
      </c>
      <c r="D2273" s="907">
        <v>46060</v>
      </c>
      <c r="E2273" s="839" t="s">
        <v>232</v>
      </c>
      <c r="F2273" s="839" t="s">
        <v>231</v>
      </c>
      <c r="G2273" s="916">
        <f>VLOOKUP($A2273,'Tech Litons'!$A:$I,8,FALSE)</f>
        <v>2.5040000000000001E-3</v>
      </c>
      <c r="H2273" s="917">
        <f>VLOOKUP($A2273,'Tech Litons'!$A:$I,9,FALSE)</f>
        <v>165</v>
      </c>
      <c r="I2273" s="917" t="str">
        <f>VLOOKUP($A2273,'Tech Litons'!$A:$C,3,0)</f>
        <v>Yasso Sticks</v>
      </c>
      <c r="J2273" s="918" t="str">
        <f t="shared" si="229"/>
        <v>2904Yasso Sticks</v>
      </c>
      <c r="K2273" s="919">
        <v>1</v>
      </c>
      <c r="L2273" s="920">
        <f t="shared" si="228"/>
        <v>4009</v>
      </c>
      <c r="M2273" s="920">
        <f t="shared" si="230"/>
        <v>10.038536000000001</v>
      </c>
      <c r="N2273" s="920">
        <f t="shared" si="231"/>
        <v>24.296969696969697</v>
      </c>
      <c r="O2273" s="918" t="str">
        <f t="shared" si="232"/>
        <v>Feb</v>
      </c>
      <c r="P2273" s="921">
        <f t="shared" si="233"/>
        <v>6</v>
      </c>
    </row>
    <row r="2274" spans="1:16" ht="15" hidden="1" customHeight="1">
      <c r="A2274" s="839">
        <v>64976848</v>
      </c>
      <c r="B2274" s="839">
        <v>2904</v>
      </c>
      <c r="C2274" s="906">
        <v>495</v>
      </c>
      <c r="D2274" s="907">
        <v>46062</v>
      </c>
      <c r="E2274" s="839" t="s">
        <v>232</v>
      </c>
      <c r="F2274" s="839" t="s">
        <v>231</v>
      </c>
      <c r="G2274" s="916">
        <f>VLOOKUP($A2274,'Tech Litons'!$A:$I,8,FALSE)</f>
        <v>2.5040000000000001E-3</v>
      </c>
      <c r="H2274" s="917">
        <f>VLOOKUP($A2274,'Tech Litons'!$A:$I,9,FALSE)</f>
        <v>165</v>
      </c>
      <c r="I2274" s="917" t="str">
        <f>VLOOKUP($A2274,'Tech Litons'!$A:$C,3,0)</f>
        <v>Yasso Sticks</v>
      </c>
      <c r="J2274" s="918" t="str">
        <f t="shared" si="229"/>
        <v>2904Yasso Sticks</v>
      </c>
      <c r="K2274" s="919">
        <v>1</v>
      </c>
      <c r="L2274" s="920">
        <f t="shared" si="228"/>
        <v>495</v>
      </c>
      <c r="M2274" s="920">
        <f t="shared" si="230"/>
        <v>1.2394800000000001</v>
      </c>
      <c r="N2274" s="920">
        <f t="shared" si="231"/>
        <v>3</v>
      </c>
      <c r="O2274" s="918" t="str">
        <f t="shared" si="232"/>
        <v>Feb</v>
      </c>
      <c r="P2274" s="921">
        <f t="shared" si="233"/>
        <v>7</v>
      </c>
    </row>
    <row r="2275" spans="1:16" ht="15" hidden="1" customHeight="1">
      <c r="A2275" s="839">
        <v>64976848</v>
      </c>
      <c r="B2275" s="839">
        <v>2904</v>
      </c>
      <c r="C2275" s="906">
        <v>-15</v>
      </c>
      <c r="D2275" s="907">
        <v>46070</v>
      </c>
      <c r="E2275" s="839" t="s">
        <v>232</v>
      </c>
      <c r="F2275" s="839" t="s">
        <v>231</v>
      </c>
      <c r="G2275" s="916">
        <f>VLOOKUP($A2275,'Tech Litons'!$A:$I,8,FALSE)</f>
        <v>2.5040000000000001E-3</v>
      </c>
      <c r="H2275" s="917">
        <f>VLOOKUP($A2275,'Tech Litons'!$A:$I,9,FALSE)</f>
        <v>165</v>
      </c>
      <c r="I2275" s="917" t="str">
        <f>VLOOKUP($A2275,'Tech Litons'!$A:$C,3,0)</f>
        <v>Yasso Sticks</v>
      </c>
      <c r="J2275" s="918" t="str">
        <f t="shared" si="229"/>
        <v>2904Yasso Sticks</v>
      </c>
      <c r="K2275" s="919">
        <v>1</v>
      </c>
      <c r="L2275" s="920">
        <f t="shared" si="228"/>
        <v>-15</v>
      </c>
      <c r="M2275" s="920">
        <f t="shared" si="230"/>
        <v>-3.7560000000000003E-2</v>
      </c>
      <c r="N2275" s="920">
        <f t="shared" si="231"/>
        <v>-9.0909090909090912E-2</v>
      </c>
      <c r="O2275" s="918" t="str">
        <f t="shared" si="232"/>
        <v>Feb</v>
      </c>
      <c r="P2275" s="921">
        <f t="shared" si="233"/>
        <v>8</v>
      </c>
    </row>
    <row r="2276" spans="1:16" ht="15" hidden="1" customHeight="1">
      <c r="A2276" s="839">
        <v>64976848</v>
      </c>
      <c r="B2276" s="839">
        <v>2904</v>
      </c>
      <c r="C2276" s="906">
        <v>1718</v>
      </c>
      <c r="D2276" s="907">
        <v>46050</v>
      </c>
      <c r="E2276" s="839" t="s">
        <v>232</v>
      </c>
      <c r="F2276" s="839" t="s">
        <v>231</v>
      </c>
      <c r="G2276" s="916">
        <f>VLOOKUP($A2276,'Tech Litons'!$A:$I,8,FALSE)</f>
        <v>2.5040000000000001E-3</v>
      </c>
      <c r="H2276" s="917">
        <f>VLOOKUP($A2276,'Tech Litons'!$A:$I,9,FALSE)</f>
        <v>165</v>
      </c>
      <c r="I2276" s="917" t="str">
        <f>VLOOKUP($A2276,'Tech Litons'!$A:$C,3,0)</f>
        <v>Yasso Sticks</v>
      </c>
      <c r="J2276" s="918" t="str">
        <f t="shared" si="229"/>
        <v>2904Yasso Sticks</v>
      </c>
      <c r="K2276" s="919">
        <v>1</v>
      </c>
      <c r="L2276" s="920">
        <f t="shared" si="228"/>
        <v>1718</v>
      </c>
      <c r="M2276" s="920">
        <f t="shared" si="230"/>
        <v>4.3018720000000004</v>
      </c>
      <c r="N2276" s="920">
        <f t="shared" si="231"/>
        <v>10.412121212121212</v>
      </c>
      <c r="O2276" s="918" t="str">
        <f t="shared" si="232"/>
        <v>Jan</v>
      </c>
      <c r="P2276" s="921">
        <f t="shared" si="233"/>
        <v>5</v>
      </c>
    </row>
    <row r="2277" spans="1:16" ht="15" hidden="1" customHeight="1">
      <c r="A2277" s="839">
        <v>64976848</v>
      </c>
      <c r="B2277" s="839">
        <v>2904</v>
      </c>
      <c r="C2277" s="906">
        <v>2308</v>
      </c>
      <c r="D2277" s="907">
        <v>46051</v>
      </c>
      <c r="E2277" s="839" t="s">
        <v>232</v>
      </c>
      <c r="F2277" s="839" t="s">
        <v>231</v>
      </c>
      <c r="G2277" s="916">
        <f>VLOOKUP($A2277,'Tech Litons'!$A:$I,8,FALSE)</f>
        <v>2.5040000000000001E-3</v>
      </c>
      <c r="H2277" s="917">
        <f>VLOOKUP($A2277,'Tech Litons'!$A:$I,9,FALSE)</f>
        <v>165</v>
      </c>
      <c r="I2277" s="917" t="str">
        <f>VLOOKUP($A2277,'Tech Litons'!$A:$C,3,0)</f>
        <v>Yasso Sticks</v>
      </c>
      <c r="J2277" s="918" t="str">
        <f t="shared" si="229"/>
        <v>2904Yasso Sticks</v>
      </c>
      <c r="K2277" s="919">
        <v>1</v>
      </c>
      <c r="L2277" s="920">
        <f t="shared" si="228"/>
        <v>2308</v>
      </c>
      <c r="M2277" s="920">
        <f t="shared" si="230"/>
        <v>5.7792320000000004</v>
      </c>
      <c r="N2277" s="920">
        <f t="shared" si="231"/>
        <v>13.987878787878788</v>
      </c>
      <c r="O2277" s="918" t="str">
        <f t="shared" si="232"/>
        <v>Jan</v>
      </c>
      <c r="P2277" s="921">
        <f t="shared" si="233"/>
        <v>5</v>
      </c>
    </row>
    <row r="2278" spans="1:16" ht="15" hidden="1" customHeight="1">
      <c r="A2278" s="839">
        <v>64976848</v>
      </c>
      <c r="B2278" s="839">
        <v>2904</v>
      </c>
      <c r="C2278" s="906">
        <v>3527</v>
      </c>
      <c r="D2278" s="907">
        <v>46060</v>
      </c>
      <c r="E2278" s="839" t="s">
        <v>232</v>
      </c>
      <c r="F2278" s="839" t="s">
        <v>231</v>
      </c>
      <c r="G2278" s="916">
        <f>VLOOKUP($A2278,'Tech Litons'!$A:$I,8,FALSE)</f>
        <v>2.5040000000000001E-3</v>
      </c>
      <c r="H2278" s="917">
        <f>VLOOKUP($A2278,'Tech Litons'!$A:$I,9,FALSE)</f>
        <v>165</v>
      </c>
      <c r="I2278" s="917" t="str">
        <f>VLOOKUP($A2278,'Tech Litons'!$A:$C,3,0)</f>
        <v>Yasso Sticks</v>
      </c>
      <c r="J2278" s="918" t="str">
        <f t="shared" si="229"/>
        <v>2904Yasso Sticks</v>
      </c>
      <c r="K2278" s="919">
        <v>1</v>
      </c>
      <c r="L2278" s="920">
        <f t="shared" si="228"/>
        <v>3527</v>
      </c>
      <c r="M2278" s="920">
        <f t="shared" si="230"/>
        <v>8.831608000000001</v>
      </c>
      <c r="N2278" s="920">
        <f t="shared" si="231"/>
        <v>21.375757575757575</v>
      </c>
      <c r="O2278" s="918" t="str">
        <f t="shared" si="232"/>
        <v>Feb</v>
      </c>
      <c r="P2278" s="921">
        <f t="shared" si="233"/>
        <v>6</v>
      </c>
    </row>
    <row r="2279" spans="1:16" ht="15" hidden="1" customHeight="1">
      <c r="A2279" s="839">
        <v>64976848</v>
      </c>
      <c r="B2279" s="839">
        <v>2904</v>
      </c>
      <c r="C2279" s="906">
        <v>4478</v>
      </c>
      <c r="D2279" s="907">
        <v>46061</v>
      </c>
      <c r="E2279" s="839" t="s">
        <v>232</v>
      </c>
      <c r="F2279" s="839" t="s">
        <v>231</v>
      </c>
      <c r="G2279" s="916">
        <f>VLOOKUP($A2279,'Tech Litons'!$A:$I,8,FALSE)</f>
        <v>2.5040000000000001E-3</v>
      </c>
      <c r="H2279" s="917">
        <f>VLOOKUP($A2279,'Tech Litons'!$A:$I,9,FALSE)</f>
        <v>165</v>
      </c>
      <c r="I2279" s="917" t="str">
        <f>VLOOKUP($A2279,'Tech Litons'!$A:$C,3,0)</f>
        <v>Yasso Sticks</v>
      </c>
      <c r="J2279" s="918" t="str">
        <f t="shared" si="229"/>
        <v>2904Yasso Sticks</v>
      </c>
      <c r="K2279" s="919">
        <v>1</v>
      </c>
      <c r="L2279" s="920">
        <f t="shared" si="228"/>
        <v>4478</v>
      </c>
      <c r="M2279" s="920">
        <f t="shared" si="230"/>
        <v>11.212912000000001</v>
      </c>
      <c r="N2279" s="920">
        <f t="shared" si="231"/>
        <v>27.139393939393941</v>
      </c>
      <c r="O2279" s="918" t="str">
        <f t="shared" si="232"/>
        <v>Feb</v>
      </c>
      <c r="P2279" s="921">
        <f t="shared" si="233"/>
        <v>7</v>
      </c>
    </row>
    <row r="2280" spans="1:16" ht="15" hidden="1" customHeight="1">
      <c r="A2280" s="839">
        <v>64976848</v>
      </c>
      <c r="B2280" s="839">
        <v>2904</v>
      </c>
      <c r="C2280" s="906">
        <v>330</v>
      </c>
      <c r="D2280" s="907">
        <v>46062</v>
      </c>
      <c r="E2280" s="839" t="s">
        <v>232</v>
      </c>
      <c r="F2280" s="839" t="s">
        <v>231</v>
      </c>
      <c r="G2280" s="916">
        <f>VLOOKUP($A2280,'Tech Litons'!$A:$I,8,FALSE)</f>
        <v>2.5040000000000001E-3</v>
      </c>
      <c r="H2280" s="917">
        <f>VLOOKUP($A2280,'Tech Litons'!$A:$I,9,FALSE)</f>
        <v>165</v>
      </c>
      <c r="I2280" s="917" t="str">
        <f>VLOOKUP($A2280,'Tech Litons'!$A:$C,3,0)</f>
        <v>Yasso Sticks</v>
      </c>
      <c r="J2280" s="918" t="str">
        <f t="shared" si="229"/>
        <v>2904Yasso Sticks</v>
      </c>
      <c r="K2280" s="919">
        <v>1</v>
      </c>
      <c r="L2280" s="920">
        <f t="shared" si="228"/>
        <v>330</v>
      </c>
      <c r="M2280" s="920">
        <f t="shared" si="230"/>
        <v>0.82632000000000005</v>
      </c>
      <c r="N2280" s="920">
        <f t="shared" si="231"/>
        <v>2</v>
      </c>
      <c r="O2280" s="918" t="str">
        <f t="shared" si="232"/>
        <v>Feb</v>
      </c>
      <c r="P2280" s="921">
        <f t="shared" si="233"/>
        <v>7</v>
      </c>
    </row>
    <row r="2281" spans="1:16" ht="15" hidden="1" customHeight="1">
      <c r="A2281" s="839">
        <v>64976848</v>
      </c>
      <c r="B2281" s="839">
        <v>2904</v>
      </c>
      <c r="C2281" s="906">
        <v>2035</v>
      </c>
      <c r="D2281" s="907">
        <v>46051</v>
      </c>
      <c r="E2281" s="839" t="s">
        <v>232</v>
      </c>
      <c r="F2281" s="839" t="s">
        <v>231</v>
      </c>
      <c r="G2281" s="916">
        <f>VLOOKUP($A2281,'Tech Litons'!$A:$I,8,FALSE)</f>
        <v>2.5040000000000001E-3</v>
      </c>
      <c r="H2281" s="917">
        <f>VLOOKUP($A2281,'Tech Litons'!$A:$I,9,FALSE)</f>
        <v>165</v>
      </c>
      <c r="I2281" s="917" t="str">
        <f>VLOOKUP($A2281,'Tech Litons'!$A:$C,3,0)</f>
        <v>Yasso Sticks</v>
      </c>
      <c r="J2281" s="918" t="str">
        <f t="shared" si="229"/>
        <v>2904Yasso Sticks</v>
      </c>
      <c r="K2281" s="919">
        <v>1</v>
      </c>
      <c r="L2281" s="920">
        <f t="shared" si="228"/>
        <v>2035</v>
      </c>
      <c r="M2281" s="920">
        <f t="shared" si="230"/>
        <v>5.0956400000000004</v>
      </c>
      <c r="N2281" s="920">
        <f t="shared" si="231"/>
        <v>12.333333333333334</v>
      </c>
      <c r="O2281" s="918" t="str">
        <f t="shared" si="232"/>
        <v>Jan</v>
      </c>
      <c r="P2281" s="921">
        <f t="shared" si="233"/>
        <v>5</v>
      </c>
    </row>
    <row r="2282" spans="1:16" ht="15" hidden="1" customHeight="1">
      <c r="A2282" s="839">
        <v>64976848</v>
      </c>
      <c r="B2282" s="839">
        <v>2904</v>
      </c>
      <c r="C2282" s="906">
        <v>4769</v>
      </c>
      <c r="D2282" s="907">
        <v>46052</v>
      </c>
      <c r="E2282" s="839" t="s">
        <v>232</v>
      </c>
      <c r="F2282" s="839" t="s">
        <v>231</v>
      </c>
      <c r="G2282" s="916">
        <f>VLOOKUP($A2282,'Tech Litons'!$A:$I,8,FALSE)</f>
        <v>2.5040000000000001E-3</v>
      </c>
      <c r="H2282" s="917">
        <f>VLOOKUP($A2282,'Tech Litons'!$A:$I,9,FALSE)</f>
        <v>165</v>
      </c>
      <c r="I2282" s="917" t="str">
        <f>VLOOKUP($A2282,'Tech Litons'!$A:$C,3,0)</f>
        <v>Yasso Sticks</v>
      </c>
      <c r="J2282" s="918" t="str">
        <f t="shared" si="229"/>
        <v>2904Yasso Sticks</v>
      </c>
      <c r="K2282" s="919">
        <v>1</v>
      </c>
      <c r="L2282" s="920">
        <f t="shared" si="228"/>
        <v>4769</v>
      </c>
      <c r="M2282" s="920">
        <f t="shared" si="230"/>
        <v>11.941576000000001</v>
      </c>
      <c r="N2282" s="920">
        <f t="shared" si="231"/>
        <v>28.903030303030302</v>
      </c>
      <c r="O2282" s="918" t="str">
        <f t="shared" si="232"/>
        <v>Jan</v>
      </c>
      <c r="P2282" s="921">
        <f t="shared" si="233"/>
        <v>5</v>
      </c>
    </row>
    <row r="2283" spans="1:16" ht="15" hidden="1" customHeight="1">
      <c r="A2283" s="839">
        <v>64976848</v>
      </c>
      <c r="B2283" s="839">
        <v>2904</v>
      </c>
      <c r="C2283" s="906">
        <v>-165</v>
      </c>
      <c r="D2283" s="907">
        <v>46059</v>
      </c>
      <c r="E2283" s="839" t="s">
        <v>232</v>
      </c>
      <c r="F2283" s="839" t="s">
        <v>231</v>
      </c>
      <c r="G2283" s="916">
        <f>VLOOKUP($A2283,'Tech Litons'!$A:$I,8,FALSE)</f>
        <v>2.5040000000000001E-3</v>
      </c>
      <c r="H2283" s="917">
        <f>VLOOKUP($A2283,'Tech Litons'!$A:$I,9,FALSE)</f>
        <v>165</v>
      </c>
      <c r="I2283" s="917" t="str">
        <f>VLOOKUP($A2283,'Tech Litons'!$A:$C,3,0)</f>
        <v>Yasso Sticks</v>
      </c>
      <c r="J2283" s="918" t="str">
        <f t="shared" si="229"/>
        <v>2904Yasso Sticks</v>
      </c>
      <c r="K2283" s="919">
        <v>1</v>
      </c>
      <c r="L2283" s="920">
        <f t="shared" si="228"/>
        <v>-165</v>
      </c>
      <c r="M2283" s="920">
        <f t="shared" si="230"/>
        <v>-0.41316000000000003</v>
      </c>
      <c r="N2283" s="920">
        <f t="shared" si="231"/>
        <v>-1</v>
      </c>
      <c r="O2283" s="918" t="str">
        <f t="shared" si="232"/>
        <v>Feb</v>
      </c>
      <c r="P2283" s="921">
        <f t="shared" si="233"/>
        <v>6</v>
      </c>
    </row>
    <row r="2284" spans="1:16" ht="15" hidden="1" customHeight="1">
      <c r="A2284" s="839">
        <v>64976848</v>
      </c>
      <c r="B2284" s="839">
        <v>2904</v>
      </c>
      <c r="C2284" s="906">
        <v>1979</v>
      </c>
      <c r="D2284" s="907">
        <v>46061</v>
      </c>
      <c r="E2284" s="839" t="s">
        <v>232</v>
      </c>
      <c r="F2284" s="839" t="s">
        <v>231</v>
      </c>
      <c r="G2284" s="916">
        <f>VLOOKUP($A2284,'Tech Litons'!$A:$I,8,FALSE)</f>
        <v>2.5040000000000001E-3</v>
      </c>
      <c r="H2284" s="917">
        <f>VLOOKUP($A2284,'Tech Litons'!$A:$I,9,FALSE)</f>
        <v>165</v>
      </c>
      <c r="I2284" s="917" t="str">
        <f>VLOOKUP($A2284,'Tech Litons'!$A:$C,3,0)</f>
        <v>Yasso Sticks</v>
      </c>
      <c r="J2284" s="918" t="str">
        <f t="shared" si="229"/>
        <v>2904Yasso Sticks</v>
      </c>
      <c r="K2284" s="919">
        <v>1</v>
      </c>
      <c r="L2284" s="920">
        <f t="shared" si="228"/>
        <v>1979</v>
      </c>
      <c r="M2284" s="920">
        <f t="shared" si="230"/>
        <v>4.9554160000000005</v>
      </c>
      <c r="N2284" s="920">
        <f t="shared" si="231"/>
        <v>11.993939393939394</v>
      </c>
      <c r="O2284" s="918" t="str">
        <f t="shared" si="232"/>
        <v>Feb</v>
      </c>
      <c r="P2284" s="921">
        <f t="shared" si="233"/>
        <v>7</v>
      </c>
    </row>
    <row r="2285" spans="1:16" ht="15" hidden="1" customHeight="1">
      <c r="A2285" s="839">
        <v>64976848</v>
      </c>
      <c r="B2285" s="839">
        <v>2904</v>
      </c>
      <c r="C2285" s="906">
        <v>4365</v>
      </c>
      <c r="D2285" s="907">
        <v>46062</v>
      </c>
      <c r="E2285" s="839" t="s">
        <v>232</v>
      </c>
      <c r="F2285" s="839" t="s">
        <v>231</v>
      </c>
      <c r="G2285" s="916">
        <f>VLOOKUP($A2285,'Tech Litons'!$A:$I,8,FALSE)</f>
        <v>2.5040000000000001E-3</v>
      </c>
      <c r="H2285" s="917">
        <f>VLOOKUP($A2285,'Tech Litons'!$A:$I,9,FALSE)</f>
        <v>165</v>
      </c>
      <c r="I2285" s="917" t="str">
        <f>VLOOKUP($A2285,'Tech Litons'!$A:$C,3,0)</f>
        <v>Yasso Sticks</v>
      </c>
      <c r="J2285" s="918" t="str">
        <f t="shared" si="229"/>
        <v>2904Yasso Sticks</v>
      </c>
      <c r="K2285" s="919">
        <v>1</v>
      </c>
      <c r="L2285" s="920">
        <f t="shared" si="228"/>
        <v>4365</v>
      </c>
      <c r="M2285" s="920">
        <f t="shared" si="230"/>
        <v>10.929960000000001</v>
      </c>
      <c r="N2285" s="920">
        <f t="shared" si="231"/>
        <v>26.454545454545453</v>
      </c>
      <c r="O2285" s="918" t="str">
        <f t="shared" si="232"/>
        <v>Feb</v>
      </c>
      <c r="P2285" s="921">
        <f t="shared" si="233"/>
        <v>7</v>
      </c>
    </row>
    <row r="2286" spans="1:16" ht="15" hidden="1" customHeight="1">
      <c r="A2286" s="839">
        <v>64976848</v>
      </c>
      <c r="B2286" s="839">
        <v>2904</v>
      </c>
      <c r="C2286" s="906">
        <v>2992</v>
      </c>
      <c r="D2286" s="907">
        <v>46052</v>
      </c>
      <c r="E2286" s="839" t="s">
        <v>232</v>
      </c>
      <c r="F2286" s="839" t="s">
        <v>231</v>
      </c>
      <c r="G2286" s="916">
        <f>VLOOKUP($A2286,'Tech Litons'!$A:$I,8,FALSE)</f>
        <v>2.5040000000000001E-3</v>
      </c>
      <c r="H2286" s="917">
        <f>VLOOKUP($A2286,'Tech Litons'!$A:$I,9,FALSE)</f>
        <v>165</v>
      </c>
      <c r="I2286" s="917" t="str">
        <f>VLOOKUP($A2286,'Tech Litons'!$A:$C,3,0)</f>
        <v>Yasso Sticks</v>
      </c>
      <c r="J2286" s="918" t="str">
        <f t="shared" si="229"/>
        <v>2904Yasso Sticks</v>
      </c>
      <c r="K2286" s="919">
        <v>1</v>
      </c>
      <c r="L2286" s="920">
        <f t="shared" si="228"/>
        <v>2992</v>
      </c>
      <c r="M2286" s="920">
        <f t="shared" si="230"/>
        <v>7.4919680000000008</v>
      </c>
      <c r="N2286" s="920">
        <f t="shared" si="231"/>
        <v>18.133333333333333</v>
      </c>
      <c r="O2286" s="918" t="str">
        <f t="shared" si="232"/>
        <v>Jan</v>
      </c>
      <c r="P2286" s="921">
        <f t="shared" si="233"/>
        <v>5</v>
      </c>
    </row>
    <row r="2287" spans="1:16" ht="15" hidden="1" customHeight="1">
      <c r="A2287" s="839">
        <v>64976848</v>
      </c>
      <c r="B2287" s="839">
        <v>2904</v>
      </c>
      <c r="C2287" s="906">
        <v>4050</v>
      </c>
      <c r="D2287" s="907">
        <v>46053</v>
      </c>
      <c r="E2287" s="839" t="s">
        <v>232</v>
      </c>
      <c r="F2287" s="839" t="s">
        <v>231</v>
      </c>
      <c r="G2287" s="916">
        <f>VLOOKUP($A2287,'Tech Litons'!$A:$I,8,FALSE)</f>
        <v>2.5040000000000001E-3</v>
      </c>
      <c r="H2287" s="917">
        <f>VLOOKUP($A2287,'Tech Litons'!$A:$I,9,FALSE)</f>
        <v>165</v>
      </c>
      <c r="I2287" s="917" t="str">
        <f>VLOOKUP($A2287,'Tech Litons'!$A:$C,3,0)</f>
        <v>Yasso Sticks</v>
      </c>
      <c r="J2287" s="918" t="str">
        <f t="shared" si="229"/>
        <v>2904Yasso Sticks</v>
      </c>
      <c r="K2287" s="919">
        <v>1</v>
      </c>
      <c r="L2287" s="920">
        <f t="shared" si="228"/>
        <v>4050</v>
      </c>
      <c r="M2287" s="920">
        <f t="shared" si="230"/>
        <v>10.141200000000001</v>
      </c>
      <c r="N2287" s="920">
        <f t="shared" si="231"/>
        <v>24.545454545454547</v>
      </c>
      <c r="O2287" s="918" t="str">
        <f t="shared" si="232"/>
        <v>Jan</v>
      </c>
      <c r="P2287" s="921">
        <f t="shared" si="233"/>
        <v>5</v>
      </c>
    </row>
    <row r="2288" spans="1:16" ht="15" hidden="1" customHeight="1">
      <c r="A2288" s="839">
        <v>64976848</v>
      </c>
      <c r="B2288" s="839">
        <v>2904</v>
      </c>
      <c r="C2288" s="906">
        <v>610</v>
      </c>
      <c r="D2288" s="907">
        <v>46055</v>
      </c>
      <c r="E2288" s="839" t="s">
        <v>232</v>
      </c>
      <c r="F2288" s="839" t="s">
        <v>231</v>
      </c>
      <c r="G2288" s="916">
        <f>VLOOKUP($A2288,'Tech Litons'!$A:$I,8,FALSE)</f>
        <v>2.5040000000000001E-3</v>
      </c>
      <c r="H2288" s="917">
        <f>VLOOKUP($A2288,'Tech Litons'!$A:$I,9,FALSE)</f>
        <v>165</v>
      </c>
      <c r="I2288" s="917" t="str">
        <f>VLOOKUP($A2288,'Tech Litons'!$A:$C,3,0)</f>
        <v>Yasso Sticks</v>
      </c>
      <c r="J2288" s="918" t="str">
        <f t="shared" si="229"/>
        <v>2904Yasso Sticks</v>
      </c>
      <c r="K2288" s="919">
        <v>1</v>
      </c>
      <c r="L2288" s="920">
        <f t="shared" si="228"/>
        <v>610</v>
      </c>
      <c r="M2288" s="920">
        <f t="shared" si="230"/>
        <v>1.5274400000000001</v>
      </c>
      <c r="N2288" s="920">
        <f t="shared" si="231"/>
        <v>3.6969696969696968</v>
      </c>
      <c r="O2288" s="918" t="str">
        <f t="shared" si="232"/>
        <v>Feb</v>
      </c>
      <c r="P2288" s="921">
        <f t="shared" si="233"/>
        <v>6</v>
      </c>
    </row>
    <row r="2289" spans="1:16" ht="15" hidden="1" customHeight="1">
      <c r="A2289" s="839">
        <v>64976848</v>
      </c>
      <c r="B2289" s="839">
        <v>2904</v>
      </c>
      <c r="C2289" s="906">
        <v>5608</v>
      </c>
      <c r="D2289" s="907">
        <v>46053</v>
      </c>
      <c r="E2289" s="839" t="s">
        <v>232</v>
      </c>
      <c r="F2289" s="839" t="s">
        <v>231</v>
      </c>
      <c r="G2289" s="916">
        <f>VLOOKUP($A2289,'Tech Litons'!$A:$I,8,FALSE)</f>
        <v>2.5040000000000001E-3</v>
      </c>
      <c r="H2289" s="917">
        <f>VLOOKUP($A2289,'Tech Litons'!$A:$I,9,FALSE)</f>
        <v>165</v>
      </c>
      <c r="I2289" s="917" t="str">
        <f>VLOOKUP($A2289,'Tech Litons'!$A:$C,3,0)</f>
        <v>Yasso Sticks</v>
      </c>
      <c r="J2289" s="918" t="str">
        <f t="shared" si="229"/>
        <v>2904Yasso Sticks</v>
      </c>
      <c r="K2289" s="919">
        <v>1</v>
      </c>
      <c r="L2289" s="920">
        <f t="shared" si="228"/>
        <v>5608</v>
      </c>
      <c r="M2289" s="920">
        <f t="shared" si="230"/>
        <v>14.042432000000002</v>
      </c>
      <c r="N2289" s="920">
        <f t="shared" si="231"/>
        <v>33.987878787878785</v>
      </c>
      <c r="O2289" s="918" t="str">
        <f t="shared" si="232"/>
        <v>Jan</v>
      </c>
      <c r="P2289" s="921">
        <f t="shared" si="233"/>
        <v>5</v>
      </c>
    </row>
    <row r="2290" spans="1:16" ht="15" hidden="1" customHeight="1">
      <c r="A2290" s="839">
        <v>64976848</v>
      </c>
      <c r="B2290" s="839">
        <v>2904</v>
      </c>
      <c r="C2290" s="906">
        <v>3382</v>
      </c>
      <c r="D2290" s="907">
        <v>46054</v>
      </c>
      <c r="E2290" s="839" t="s">
        <v>232</v>
      </c>
      <c r="F2290" s="839" t="s">
        <v>231</v>
      </c>
      <c r="G2290" s="916">
        <f>VLOOKUP($A2290,'Tech Litons'!$A:$I,8,FALSE)</f>
        <v>2.5040000000000001E-3</v>
      </c>
      <c r="H2290" s="917">
        <f>VLOOKUP($A2290,'Tech Litons'!$A:$I,9,FALSE)</f>
        <v>165</v>
      </c>
      <c r="I2290" s="917" t="str">
        <f>VLOOKUP($A2290,'Tech Litons'!$A:$C,3,0)</f>
        <v>Yasso Sticks</v>
      </c>
      <c r="J2290" s="918" t="str">
        <f t="shared" si="229"/>
        <v>2904Yasso Sticks</v>
      </c>
      <c r="K2290" s="919">
        <v>1</v>
      </c>
      <c r="L2290" s="920">
        <f t="shared" si="228"/>
        <v>3382</v>
      </c>
      <c r="M2290" s="920">
        <f t="shared" si="230"/>
        <v>8.4685280000000009</v>
      </c>
      <c r="N2290" s="920">
        <f t="shared" si="231"/>
        <v>20.496969696969696</v>
      </c>
      <c r="O2290" s="918" t="str">
        <f t="shared" si="232"/>
        <v>Feb</v>
      </c>
      <c r="P2290" s="921">
        <f t="shared" si="233"/>
        <v>6</v>
      </c>
    </row>
    <row r="2291" spans="1:16" ht="15" hidden="1" customHeight="1">
      <c r="A2291" s="839">
        <v>64976848</v>
      </c>
      <c r="B2291" s="839">
        <v>2904</v>
      </c>
      <c r="C2291" s="906">
        <v>1091</v>
      </c>
      <c r="D2291" s="907">
        <v>46054</v>
      </c>
      <c r="E2291" s="839" t="s">
        <v>232</v>
      </c>
      <c r="F2291" s="839" t="s">
        <v>231</v>
      </c>
      <c r="G2291" s="916">
        <f>VLOOKUP($A2291,'Tech Litons'!$A:$I,8,FALSE)</f>
        <v>2.5040000000000001E-3</v>
      </c>
      <c r="H2291" s="917">
        <f>VLOOKUP($A2291,'Tech Litons'!$A:$I,9,FALSE)</f>
        <v>165</v>
      </c>
      <c r="I2291" s="917" t="str">
        <f>VLOOKUP($A2291,'Tech Litons'!$A:$C,3,0)</f>
        <v>Yasso Sticks</v>
      </c>
      <c r="J2291" s="918" t="str">
        <f t="shared" si="229"/>
        <v>2904Yasso Sticks</v>
      </c>
      <c r="K2291" s="919">
        <v>1</v>
      </c>
      <c r="L2291" s="920">
        <f t="shared" si="228"/>
        <v>1091</v>
      </c>
      <c r="M2291" s="920">
        <f t="shared" si="230"/>
        <v>2.7318640000000003</v>
      </c>
      <c r="N2291" s="920">
        <f t="shared" si="231"/>
        <v>6.6121212121212123</v>
      </c>
      <c r="O2291" s="918" t="str">
        <f t="shared" si="232"/>
        <v>Feb</v>
      </c>
      <c r="P2291" s="921">
        <f t="shared" si="233"/>
        <v>6</v>
      </c>
    </row>
    <row r="2292" spans="1:16" ht="15" hidden="1" customHeight="1">
      <c r="A2292" s="839">
        <v>64976848</v>
      </c>
      <c r="B2292" s="839">
        <v>2904</v>
      </c>
      <c r="C2292" s="906">
        <v>2017</v>
      </c>
      <c r="D2292" s="907">
        <v>46055</v>
      </c>
      <c r="E2292" s="839" t="s">
        <v>232</v>
      </c>
      <c r="F2292" s="839" t="s">
        <v>231</v>
      </c>
      <c r="G2292" s="916">
        <f>VLOOKUP($A2292,'Tech Litons'!$A:$I,8,FALSE)</f>
        <v>2.5040000000000001E-3</v>
      </c>
      <c r="H2292" s="917">
        <f>VLOOKUP($A2292,'Tech Litons'!$A:$I,9,FALSE)</f>
        <v>165</v>
      </c>
      <c r="I2292" s="917" t="str">
        <f>VLOOKUP($A2292,'Tech Litons'!$A:$C,3,0)</f>
        <v>Yasso Sticks</v>
      </c>
      <c r="J2292" s="918" t="str">
        <f t="shared" si="229"/>
        <v>2904Yasso Sticks</v>
      </c>
      <c r="K2292" s="919">
        <v>1</v>
      </c>
      <c r="L2292" s="920">
        <f t="shared" si="228"/>
        <v>2017</v>
      </c>
      <c r="M2292" s="920">
        <f t="shared" si="230"/>
        <v>5.0505680000000002</v>
      </c>
      <c r="N2292" s="920">
        <f t="shared" si="231"/>
        <v>12.224242424242425</v>
      </c>
      <c r="O2292" s="918" t="str">
        <f t="shared" si="232"/>
        <v>Feb</v>
      </c>
      <c r="P2292" s="921">
        <f t="shared" si="233"/>
        <v>6</v>
      </c>
    </row>
    <row r="2293" spans="1:16" ht="15" hidden="1" customHeight="1">
      <c r="A2293" s="839">
        <v>64976848</v>
      </c>
      <c r="B2293" s="839">
        <v>2904</v>
      </c>
      <c r="C2293" s="906">
        <v>3179</v>
      </c>
      <c r="D2293" s="907">
        <v>46055</v>
      </c>
      <c r="E2293" s="839" t="s">
        <v>232</v>
      </c>
      <c r="F2293" s="839" t="s">
        <v>231</v>
      </c>
      <c r="G2293" s="916">
        <f>VLOOKUP($A2293,'Tech Litons'!$A:$I,8,FALSE)</f>
        <v>2.5040000000000001E-3</v>
      </c>
      <c r="H2293" s="917">
        <f>VLOOKUP($A2293,'Tech Litons'!$A:$I,9,FALSE)</f>
        <v>165</v>
      </c>
      <c r="I2293" s="917" t="str">
        <f>VLOOKUP($A2293,'Tech Litons'!$A:$C,3,0)</f>
        <v>Yasso Sticks</v>
      </c>
      <c r="J2293" s="918" t="str">
        <f t="shared" si="229"/>
        <v>2904Yasso Sticks</v>
      </c>
      <c r="K2293" s="919">
        <v>1</v>
      </c>
      <c r="L2293" s="920">
        <f t="shared" si="228"/>
        <v>3179</v>
      </c>
      <c r="M2293" s="920">
        <f t="shared" si="230"/>
        <v>7.9602160000000008</v>
      </c>
      <c r="N2293" s="920">
        <f t="shared" si="231"/>
        <v>19.266666666666666</v>
      </c>
      <c r="O2293" s="918" t="str">
        <f t="shared" si="232"/>
        <v>Feb</v>
      </c>
      <c r="P2293" s="921">
        <f t="shared" si="233"/>
        <v>6</v>
      </c>
    </row>
    <row r="2294" spans="1:16" ht="15" hidden="1" customHeight="1">
      <c r="A2294" s="839">
        <v>64976848</v>
      </c>
      <c r="B2294" s="839">
        <v>2904</v>
      </c>
      <c r="C2294" s="906">
        <v>4658</v>
      </c>
      <c r="D2294" s="907">
        <v>46056</v>
      </c>
      <c r="E2294" s="839" t="s">
        <v>232</v>
      </c>
      <c r="F2294" s="839" t="s">
        <v>231</v>
      </c>
      <c r="G2294" s="916">
        <f>VLOOKUP($A2294,'Tech Litons'!$A:$I,8,FALSE)</f>
        <v>2.5040000000000001E-3</v>
      </c>
      <c r="H2294" s="917">
        <f>VLOOKUP($A2294,'Tech Litons'!$A:$I,9,FALSE)</f>
        <v>165</v>
      </c>
      <c r="I2294" s="917" t="str">
        <f>VLOOKUP($A2294,'Tech Litons'!$A:$C,3,0)</f>
        <v>Yasso Sticks</v>
      </c>
      <c r="J2294" s="918" t="str">
        <f t="shared" si="229"/>
        <v>2904Yasso Sticks</v>
      </c>
      <c r="K2294" s="919">
        <v>1</v>
      </c>
      <c r="L2294" s="920">
        <f t="shared" si="228"/>
        <v>4658</v>
      </c>
      <c r="M2294" s="920">
        <f t="shared" si="230"/>
        <v>11.663632000000002</v>
      </c>
      <c r="N2294" s="920">
        <f t="shared" si="231"/>
        <v>28.23030303030303</v>
      </c>
      <c r="O2294" s="918" t="str">
        <f t="shared" si="232"/>
        <v>Feb</v>
      </c>
      <c r="P2294" s="921">
        <f t="shared" si="233"/>
        <v>6</v>
      </c>
    </row>
    <row r="2295" spans="1:16" ht="15" hidden="1" customHeight="1">
      <c r="A2295" s="839">
        <v>64976848</v>
      </c>
      <c r="B2295" s="839">
        <v>2904</v>
      </c>
      <c r="C2295" s="906">
        <v>1980</v>
      </c>
      <c r="D2295" s="907">
        <v>46056</v>
      </c>
      <c r="E2295" s="839" t="s">
        <v>232</v>
      </c>
      <c r="F2295" s="839" t="s">
        <v>231</v>
      </c>
      <c r="G2295" s="916">
        <f>VLOOKUP($A2295,'Tech Litons'!$A:$I,8,FALSE)</f>
        <v>2.5040000000000001E-3</v>
      </c>
      <c r="H2295" s="917">
        <f>VLOOKUP($A2295,'Tech Litons'!$A:$I,9,FALSE)</f>
        <v>165</v>
      </c>
      <c r="I2295" s="917" t="str">
        <f>VLOOKUP($A2295,'Tech Litons'!$A:$C,3,0)</f>
        <v>Yasso Sticks</v>
      </c>
      <c r="J2295" s="918" t="str">
        <f t="shared" si="229"/>
        <v>2904Yasso Sticks</v>
      </c>
      <c r="K2295" s="919">
        <v>1</v>
      </c>
      <c r="L2295" s="920">
        <f t="shared" si="228"/>
        <v>1980</v>
      </c>
      <c r="M2295" s="920">
        <f t="shared" si="230"/>
        <v>4.9579200000000005</v>
      </c>
      <c r="N2295" s="920">
        <f t="shared" si="231"/>
        <v>12</v>
      </c>
      <c r="O2295" s="918" t="str">
        <f t="shared" si="232"/>
        <v>Feb</v>
      </c>
      <c r="P2295" s="921">
        <f t="shared" si="233"/>
        <v>6</v>
      </c>
    </row>
    <row r="2296" spans="1:16" ht="15" hidden="1" customHeight="1">
      <c r="A2296" s="839">
        <v>64976848</v>
      </c>
      <c r="B2296" s="839">
        <v>2904</v>
      </c>
      <c r="C2296" s="906">
        <v>2475</v>
      </c>
      <c r="D2296" s="907">
        <v>46057</v>
      </c>
      <c r="E2296" s="839" t="s">
        <v>232</v>
      </c>
      <c r="F2296" s="839" t="s">
        <v>231</v>
      </c>
      <c r="G2296" s="916">
        <f>VLOOKUP($A2296,'Tech Litons'!$A:$I,8,FALSE)</f>
        <v>2.5040000000000001E-3</v>
      </c>
      <c r="H2296" s="917">
        <f>VLOOKUP($A2296,'Tech Litons'!$A:$I,9,FALSE)</f>
        <v>165</v>
      </c>
      <c r="I2296" s="917" t="str">
        <f>VLOOKUP($A2296,'Tech Litons'!$A:$C,3,0)</f>
        <v>Yasso Sticks</v>
      </c>
      <c r="J2296" s="918" t="str">
        <f t="shared" si="229"/>
        <v>2904Yasso Sticks</v>
      </c>
      <c r="K2296" s="919">
        <v>1</v>
      </c>
      <c r="L2296" s="920">
        <f t="shared" si="228"/>
        <v>2475</v>
      </c>
      <c r="M2296" s="920">
        <f t="shared" si="230"/>
        <v>6.1974</v>
      </c>
      <c r="N2296" s="920">
        <f t="shared" si="231"/>
        <v>15</v>
      </c>
      <c r="O2296" s="918" t="str">
        <f t="shared" si="232"/>
        <v>Feb</v>
      </c>
      <c r="P2296" s="921">
        <f t="shared" si="233"/>
        <v>6</v>
      </c>
    </row>
    <row r="2297" spans="1:16" ht="15" hidden="1" customHeight="1">
      <c r="A2297" s="839">
        <v>64976848</v>
      </c>
      <c r="B2297" s="839">
        <v>2904</v>
      </c>
      <c r="C2297" s="906">
        <v>1320</v>
      </c>
      <c r="D2297" s="907">
        <v>46057</v>
      </c>
      <c r="E2297" s="839" t="s">
        <v>232</v>
      </c>
      <c r="F2297" s="839" t="s">
        <v>231</v>
      </c>
      <c r="G2297" s="916">
        <f>VLOOKUP($A2297,'Tech Litons'!$A:$I,8,FALSE)</f>
        <v>2.5040000000000001E-3</v>
      </c>
      <c r="H2297" s="917">
        <f>VLOOKUP($A2297,'Tech Litons'!$A:$I,9,FALSE)</f>
        <v>165</v>
      </c>
      <c r="I2297" s="917" t="str">
        <f>VLOOKUP($A2297,'Tech Litons'!$A:$C,3,0)</f>
        <v>Yasso Sticks</v>
      </c>
      <c r="J2297" s="918" t="str">
        <f t="shared" si="229"/>
        <v>2904Yasso Sticks</v>
      </c>
      <c r="K2297" s="919">
        <v>1</v>
      </c>
      <c r="L2297" s="920">
        <f t="shared" si="228"/>
        <v>1320</v>
      </c>
      <c r="M2297" s="920">
        <f t="shared" si="230"/>
        <v>3.3052800000000002</v>
      </c>
      <c r="N2297" s="920">
        <f t="shared" si="231"/>
        <v>8</v>
      </c>
      <c r="O2297" s="918" t="str">
        <f t="shared" si="232"/>
        <v>Feb</v>
      </c>
      <c r="P2297" s="921">
        <f t="shared" si="233"/>
        <v>6</v>
      </c>
    </row>
    <row r="2298" spans="1:16" ht="15" hidden="1" customHeight="1">
      <c r="A2298" s="839">
        <v>64976848</v>
      </c>
      <c r="B2298" s="839">
        <v>2904</v>
      </c>
      <c r="C2298" s="906">
        <v>2835</v>
      </c>
      <c r="D2298" s="907">
        <v>46058</v>
      </c>
      <c r="E2298" s="839" t="s">
        <v>232</v>
      </c>
      <c r="F2298" s="839" t="s">
        <v>231</v>
      </c>
      <c r="G2298" s="916">
        <f>VLOOKUP($A2298,'Tech Litons'!$A:$I,8,FALSE)</f>
        <v>2.5040000000000001E-3</v>
      </c>
      <c r="H2298" s="917">
        <f>VLOOKUP($A2298,'Tech Litons'!$A:$I,9,FALSE)</f>
        <v>165</v>
      </c>
      <c r="I2298" s="917" t="str">
        <f>VLOOKUP($A2298,'Tech Litons'!$A:$C,3,0)</f>
        <v>Yasso Sticks</v>
      </c>
      <c r="J2298" s="918" t="str">
        <f t="shared" si="229"/>
        <v>2904Yasso Sticks</v>
      </c>
      <c r="K2298" s="919">
        <v>1</v>
      </c>
      <c r="L2298" s="920">
        <f t="shared" si="228"/>
        <v>2835</v>
      </c>
      <c r="M2298" s="920">
        <f t="shared" si="230"/>
        <v>7.09884</v>
      </c>
      <c r="N2298" s="920">
        <f t="shared" si="231"/>
        <v>17.181818181818183</v>
      </c>
      <c r="O2298" s="918" t="str">
        <f t="shared" si="232"/>
        <v>Feb</v>
      </c>
      <c r="P2298" s="921">
        <f t="shared" si="233"/>
        <v>6</v>
      </c>
    </row>
    <row r="2299" spans="1:16" ht="15" hidden="1" customHeight="1">
      <c r="A2299" s="839">
        <v>64976848</v>
      </c>
      <c r="B2299" s="839">
        <v>2904</v>
      </c>
      <c r="C2299" s="906">
        <v>4950</v>
      </c>
      <c r="D2299" s="907">
        <v>46062</v>
      </c>
      <c r="E2299" s="839" t="s">
        <v>232</v>
      </c>
      <c r="F2299" s="839" t="s">
        <v>231</v>
      </c>
      <c r="G2299" s="916">
        <f>VLOOKUP($A2299,'Tech Litons'!$A:$I,8,FALSE)</f>
        <v>2.5040000000000001E-3</v>
      </c>
      <c r="H2299" s="917">
        <f>VLOOKUP($A2299,'Tech Litons'!$A:$I,9,FALSE)</f>
        <v>165</v>
      </c>
      <c r="I2299" s="917" t="str">
        <f>VLOOKUP($A2299,'Tech Litons'!$A:$C,3,0)</f>
        <v>Yasso Sticks</v>
      </c>
      <c r="J2299" s="918" t="str">
        <f t="shared" si="229"/>
        <v>2904Yasso Sticks</v>
      </c>
      <c r="K2299" s="919">
        <v>1</v>
      </c>
      <c r="L2299" s="920">
        <f t="shared" si="228"/>
        <v>4950</v>
      </c>
      <c r="M2299" s="920">
        <f t="shared" si="230"/>
        <v>12.3948</v>
      </c>
      <c r="N2299" s="920">
        <f t="shared" si="231"/>
        <v>30</v>
      </c>
      <c r="O2299" s="918" t="str">
        <f t="shared" si="232"/>
        <v>Feb</v>
      </c>
      <c r="P2299" s="921">
        <f t="shared" si="233"/>
        <v>7</v>
      </c>
    </row>
    <row r="2300" spans="1:16" ht="15" hidden="1" customHeight="1">
      <c r="A2300" s="839">
        <v>64976848</v>
      </c>
      <c r="B2300" s="839">
        <v>2904</v>
      </c>
      <c r="C2300" s="906">
        <v>4971</v>
      </c>
      <c r="D2300" s="907">
        <v>46063</v>
      </c>
      <c r="E2300" s="839" t="s">
        <v>232</v>
      </c>
      <c r="F2300" s="839" t="s">
        <v>231</v>
      </c>
      <c r="G2300" s="916">
        <f>VLOOKUP($A2300,'Tech Litons'!$A:$I,8,FALSE)</f>
        <v>2.5040000000000001E-3</v>
      </c>
      <c r="H2300" s="917">
        <f>VLOOKUP($A2300,'Tech Litons'!$A:$I,9,FALSE)</f>
        <v>165</v>
      </c>
      <c r="I2300" s="917" t="str">
        <f>VLOOKUP($A2300,'Tech Litons'!$A:$C,3,0)</f>
        <v>Yasso Sticks</v>
      </c>
      <c r="J2300" s="918" t="str">
        <f t="shared" si="229"/>
        <v>2904Yasso Sticks</v>
      </c>
      <c r="K2300" s="919">
        <v>1</v>
      </c>
      <c r="L2300" s="920">
        <f t="shared" si="228"/>
        <v>4971</v>
      </c>
      <c r="M2300" s="920">
        <f t="shared" si="230"/>
        <v>12.447384000000001</v>
      </c>
      <c r="N2300" s="920">
        <f t="shared" si="231"/>
        <v>30.127272727272729</v>
      </c>
      <c r="O2300" s="918" t="str">
        <f t="shared" si="232"/>
        <v>Feb</v>
      </c>
      <c r="P2300" s="921">
        <f t="shared" si="233"/>
        <v>7</v>
      </c>
    </row>
    <row r="2301" spans="1:16" ht="15" hidden="1" customHeight="1">
      <c r="A2301" s="839">
        <v>64976848</v>
      </c>
      <c r="B2301" s="839">
        <v>2904</v>
      </c>
      <c r="C2301" s="906">
        <v>2738</v>
      </c>
      <c r="D2301" s="907">
        <v>46063</v>
      </c>
      <c r="E2301" s="839" t="s">
        <v>232</v>
      </c>
      <c r="F2301" s="839" t="s">
        <v>231</v>
      </c>
      <c r="G2301" s="916">
        <f>VLOOKUP($A2301,'Tech Litons'!$A:$I,8,FALSE)</f>
        <v>2.5040000000000001E-3</v>
      </c>
      <c r="H2301" s="917">
        <f>VLOOKUP($A2301,'Tech Litons'!$A:$I,9,FALSE)</f>
        <v>165</v>
      </c>
      <c r="I2301" s="917" t="str">
        <f>VLOOKUP($A2301,'Tech Litons'!$A:$C,3,0)</f>
        <v>Yasso Sticks</v>
      </c>
      <c r="J2301" s="918" t="str">
        <f t="shared" si="229"/>
        <v>2904Yasso Sticks</v>
      </c>
      <c r="K2301" s="919">
        <v>1</v>
      </c>
      <c r="L2301" s="920">
        <f t="shared" si="228"/>
        <v>2738</v>
      </c>
      <c r="M2301" s="920">
        <f t="shared" si="230"/>
        <v>6.8559520000000003</v>
      </c>
      <c r="N2301" s="920">
        <f t="shared" si="231"/>
        <v>16.593939393939394</v>
      </c>
      <c r="O2301" s="918" t="str">
        <f t="shared" si="232"/>
        <v>Feb</v>
      </c>
      <c r="P2301" s="921">
        <f t="shared" si="233"/>
        <v>7</v>
      </c>
    </row>
    <row r="2302" spans="1:16" ht="15" hidden="1" customHeight="1">
      <c r="A2302" s="839">
        <v>64976848</v>
      </c>
      <c r="B2302" s="839">
        <v>2904</v>
      </c>
      <c r="C2302" s="906">
        <v>3780</v>
      </c>
      <c r="D2302" s="907">
        <v>46064</v>
      </c>
      <c r="E2302" s="839" t="s">
        <v>232</v>
      </c>
      <c r="F2302" s="839" t="s">
        <v>231</v>
      </c>
      <c r="G2302" s="916">
        <f>VLOOKUP($A2302,'Tech Litons'!$A:$I,8,FALSE)</f>
        <v>2.5040000000000001E-3</v>
      </c>
      <c r="H2302" s="917">
        <f>VLOOKUP($A2302,'Tech Litons'!$A:$I,9,FALSE)</f>
        <v>165</v>
      </c>
      <c r="I2302" s="917" t="str">
        <f>VLOOKUP($A2302,'Tech Litons'!$A:$C,3,0)</f>
        <v>Yasso Sticks</v>
      </c>
      <c r="J2302" s="918" t="str">
        <f t="shared" si="229"/>
        <v>2904Yasso Sticks</v>
      </c>
      <c r="K2302" s="919">
        <v>1</v>
      </c>
      <c r="L2302" s="920">
        <f t="shared" si="228"/>
        <v>3780</v>
      </c>
      <c r="M2302" s="920">
        <f t="shared" si="230"/>
        <v>9.4651200000000006</v>
      </c>
      <c r="N2302" s="920">
        <f t="shared" si="231"/>
        <v>22.90909090909091</v>
      </c>
      <c r="O2302" s="918" t="str">
        <f t="shared" si="232"/>
        <v>Feb</v>
      </c>
      <c r="P2302" s="921">
        <f t="shared" si="233"/>
        <v>7</v>
      </c>
    </row>
    <row r="2303" spans="1:16" ht="15" hidden="1" customHeight="1">
      <c r="A2303" s="839">
        <v>64976848</v>
      </c>
      <c r="B2303" s="839">
        <v>2904</v>
      </c>
      <c r="C2303" s="906">
        <v>3433</v>
      </c>
      <c r="D2303" s="907">
        <v>46064</v>
      </c>
      <c r="E2303" s="839" t="s">
        <v>232</v>
      </c>
      <c r="F2303" s="839" t="s">
        <v>231</v>
      </c>
      <c r="G2303" s="916">
        <f>VLOOKUP($A2303,'Tech Litons'!$A:$I,8,FALSE)</f>
        <v>2.5040000000000001E-3</v>
      </c>
      <c r="H2303" s="917">
        <f>VLOOKUP($A2303,'Tech Litons'!$A:$I,9,FALSE)</f>
        <v>165</v>
      </c>
      <c r="I2303" s="917" t="str">
        <f>VLOOKUP($A2303,'Tech Litons'!$A:$C,3,0)</f>
        <v>Yasso Sticks</v>
      </c>
      <c r="J2303" s="918" t="str">
        <f t="shared" si="229"/>
        <v>2904Yasso Sticks</v>
      </c>
      <c r="K2303" s="919">
        <v>1</v>
      </c>
      <c r="L2303" s="920">
        <f t="shared" si="228"/>
        <v>3433</v>
      </c>
      <c r="M2303" s="920">
        <f t="shared" si="230"/>
        <v>8.5962320000000005</v>
      </c>
      <c r="N2303" s="920">
        <f t="shared" si="231"/>
        <v>20.806060606060605</v>
      </c>
      <c r="O2303" s="918" t="str">
        <f t="shared" si="232"/>
        <v>Feb</v>
      </c>
      <c r="P2303" s="921">
        <f t="shared" si="233"/>
        <v>7</v>
      </c>
    </row>
    <row r="2304" spans="1:16" ht="15" hidden="1" customHeight="1">
      <c r="A2304" s="839">
        <v>64976848</v>
      </c>
      <c r="B2304" s="839">
        <v>2904</v>
      </c>
      <c r="C2304" s="906">
        <v>2984</v>
      </c>
      <c r="D2304" s="907">
        <v>46065</v>
      </c>
      <c r="E2304" s="839" t="s">
        <v>232</v>
      </c>
      <c r="F2304" s="839" t="s">
        <v>231</v>
      </c>
      <c r="G2304" s="916">
        <f>VLOOKUP($A2304,'Tech Litons'!$A:$I,8,FALSE)</f>
        <v>2.5040000000000001E-3</v>
      </c>
      <c r="H2304" s="917">
        <f>VLOOKUP($A2304,'Tech Litons'!$A:$I,9,FALSE)</f>
        <v>165</v>
      </c>
      <c r="I2304" s="917" t="str">
        <f>VLOOKUP($A2304,'Tech Litons'!$A:$C,3,0)</f>
        <v>Yasso Sticks</v>
      </c>
      <c r="J2304" s="918" t="str">
        <f t="shared" si="229"/>
        <v>2904Yasso Sticks</v>
      </c>
      <c r="K2304" s="919">
        <v>1</v>
      </c>
      <c r="L2304" s="920">
        <f t="shared" si="228"/>
        <v>2984</v>
      </c>
      <c r="M2304" s="920">
        <f t="shared" si="230"/>
        <v>7.4719360000000004</v>
      </c>
      <c r="N2304" s="920">
        <f t="shared" si="231"/>
        <v>18.084848484848486</v>
      </c>
      <c r="O2304" s="918" t="str">
        <f t="shared" si="232"/>
        <v>Feb</v>
      </c>
      <c r="P2304" s="921">
        <f t="shared" si="233"/>
        <v>7</v>
      </c>
    </row>
    <row r="2305" spans="1:16" ht="15" hidden="1" customHeight="1">
      <c r="A2305" s="839">
        <v>64976848</v>
      </c>
      <c r="B2305" s="839">
        <v>2904</v>
      </c>
      <c r="C2305" s="906">
        <v>6195</v>
      </c>
      <c r="D2305" s="907">
        <v>46065</v>
      </c>
      <c r="E2305" s="839" t="s">
        <v>232</v>
      </c>
      <c r="F2305" s="839" t="s">
        <v>231</v>
      </c>
      <c r="G2305" s="916">
        <f>VLOOKUP($A2305,'Tech Litons'!$A:$I,8,FALSE)</f>
        <v>2.5040000000000001E-3</v>
      </c>
      <c r="H2305" s="917">
        <f>VLOOKUP($A2305,'Tech Litons'!$A:$I,9,FALSE)</f>
        <v>165</v>
      </c>
      <c r="I2305" s="917" t="str">
        <f>VLOOKUP($A2305,'Tech Litons'!$A:$C,3,0)</f>
        <v>Yasso Sticks</v>
      </c>
      <c r="J2305" s="918" t="str">
        <f t="shared" si="229"/>
        <v>2904Yasso Sticks</v>
      </c>
      <c r="K2305" s="919">
        <v>1</v>
      </c>
      <c r="L2305" s="920">
        <f t="shared" si="228"/>
        <v>6195</v>
      </c>
      <c r="M2305" s="920">
        <f t="shared" si="230"/>
        <v>15.512280000000001</v>
      </c>
      <c r="N2305" s="920">
        <f t="shared" si="231"/>
        <v>37.545454545454547</v>
      </c>
      <c r="O2305" s="918" t="str">
        <f t="shared" si="232"/>
        <v>Feb</v>
      </c>
      <c r="P2305" s="921">
        <f t="shared" si="233"/>
        <v>7</v>
      </c>
    </row>
    <row r="2306" spans="1:16" ht="15" hidden="1" customHeight="1">
      <c r="A2306" s="839">
        <v>64976848</v>
      </c>
      <c r="B2306" s="839">
        <v>2904</v>
      </c>
      <c r="C2306" s="906">
        <v>4950</v>
      </c>
      <c r="D2306" s="907">
        <v>46066</v>
      </c>
      <c r="E2306" s="839" t="s">
        <v>232</v>
      </c>
      <c r="F2306" s="839" t="s">
        <v>231</v>
      </c>
      <c r="G2306" s="916">
        <f>VLOOKUP($A2306,'Tech Litons'!$A:$I,8,FALSE)</f>
        <v>2.5040000000000001E-3</v>
      </c>
      <c r="H2306" s="917">
        <f>VLOOKUP($A2306,'Tech Litons'!$A:$I,9,FALSE)</f>
        <v>165</v>
      </c>
      <c r="I2306" s="917" t="str">
        <f>VLOOKUP($A2306,'Tech Litons'!$A:$C,3,0)</f>
        <v>Yasso Sticks</v>
      </c>
      <c r="J2306" s="918" t="str">
        <f t="shared" si="229"/>
        <v>2904Yasso Sticks</v>
      </c>
      <c r="K2306" s="919">
        <v>1</v>
      </c>
      <c r="L2306" s="920">
        <f t="shared" ref="L2306:L2365" si="234">C2306*$K2306</f>
        <v>4950</v>
      </c>
      <c r="M2306" s="920">
        <f t="shared" si="230"/>
        <v>12.3948</v>
      </c>
      <c r="N2306" s="920">
        <f t="shared" si="231"/>
        <v>30</v>
      </c>
      <c r="O2306" s="918" t="str">
        <f t="shared" si="232"/>
        <v>Feb</v>
      </c>
      <c r="P2306" s="921">
        <f t="shared" si="233"/>
        <v>7</v>
      </c>
    </row>
    <row r="2307" spans="1:16" ht="15" hidden="1" customHeight="1">
      <c r="A2307" s="839">
        <v>64976848</v>
      </c>
      <c r="B2307" s="839">
        <v>2904</v>
      </c>
      <c r="C2307" s="906">
        <v>5385</v>
      </c>
      <c r="D2307" s="907">
        <v>46066</v>
      </c>
      <c r="E2307" s="839" t="s">
        <v>232</v>
      </c>
      <c r="F2307" s="839" t="s">
        <v>231</v>
      </c>
      <c r="G2307" s="916">
        <f>VLOOKUP($A2307,'Tech Litons'!$A:$I,8,FALSE)</f>
        <v>2.5040000000000001E-3</v>
      </c>
      <c r="H2307" s="917">
        <f>VLOOKUP($A2307,'Tech Litons'!$A:$I,9,FALSE)</f>
        <v>165</v>
      </c>
      <c r="I2307" s="917" t="str">
        <f>VLOOKUP($A2307,'Tech Litons'!$A:$C,3,0)</f>
        <v>Yasso Sticks</v>
      </c>
      <c r="J2307" s="918" t="str">
        <f t="shared" ref="J2307:J2366" si="235">B2307&amp;I2307</f>
        <v>2904Yasso Sticks</v>
      </c>
      <c r="K2307" s="919">
        <v>1</v>
      </c>
      <c r="L2307" s="920">
        <f t="shared" si="234"/>
        <v>5385</v>
      </c>
      <c r="M2307" s="920">
        <f t="shared" ref="M2307:M2366" si="236">L2307*G2307</f>
        <v>13.48404</v>
      </c>
      <c r="N2307" s="920">
        <f t="shared" ref="N2307:N2366" si="237">L2307/H2307</f>
        <v>32.636363636363633</v>
      </c>
      <c r="O2307" s="918" t="str">
        <f t="shared" ref="O2307:O2366" si="238">TEXT(D2307,"MMM")</f>
        <v>Feb</v>
      </c>
      <c r="P2307" s="921">
        <f t="shared" ref="P2307:P2366" si="239">WEEKNUM(D2307)</f>
        <v>7</v>
      </c>
    </row>
    <row r="2308" spans="1:16" ht="15" hidden="1" customHeight="1">
      <c r="A2308" s="839">
        <v>64976848</v>
      </c>
      <c r="B2308" s="839">
        <v>2904</v>
      </c>
      <c r="C2308" s="906">
        <v>4647</v>
      </c>
      <c r="D2308" s="907">
        <v>46067</v>
      </c>
      <c r="E2308" s="839" t="s">
        <v>232</v>
      </c>
      <c r="F2308" s="839" t="s">
        <v>231</v>
      </c>
      <c r="G2308" s="916">
        <f>VLOOKUP($A2308,'Tech Litons'!$A:$I,8,FALSE)</f>
        <v>2.5040000000000001E-3</v>
      </c>
      <c r="H2308" s="917">
        <f>VLOOKUP($A2308,'Tech Litons'!$A:$I,9,FALSE)</f>
        <v>165</v>
      </c>
      <c r="I2308" s="917" t="str">
        <f>VLOOKUP($A2308,'Tech Litons'!$A:$C,3,0)</f>
        <v>Yasso Sticks</v>
      </c>
      <c r="J2308" s="918" t="str">
        <f t="shared" si="235"/>
        <v>2904Yasso Sticks</v>
      </c>
      <c r="K2308" s="919">
        <v>1</v>
      </c>
      <c r="L2308" s="920">
        <f t="shared" si="234"/>
        <v>4647</v>
      </c>
      <c r="M2308" s="920">
        <f t="shared" si="236"/>
        <v>11.636088000000001</v>
      </c>
      <c r="N2308" s="920">
        <f t="shared" si="237"/>
        <v>28.163636363636364</v>
      </c>
      <c r="O2308" s="918" t="str">
        <f t="shared" si="238"/>
        <v>Feb</v>
      </c>
      <c r="P2308" s="921">
        <f t="shared" si="239"/>
        <v>7</v>
      </c>
    </row>
    <row r="2309" spans="1:16" ht="15" hidden="1" customHeight="1">
      <c r="A2309" s="839">
        <v>64976848</v>
      </c>
      <c r="B2309" s="839">
        <v>2904</v>
      </c>
      <c r="C2309" s="906">
        <v>330</v>
      </c>
      <c r="D2309" s="907">
        <v>46069</v>
      </c>
      <c r="E2309" s="839" t="s">
        <v>232</v>
      </c>
      <c r="F2309" s="839" t="s">
        <v>231</v>
      </c>
      <c r="G2309" s="916">
        <f>VLOOKUP($A2309,'Tech Litons'!$A:$I,8,FALSE)</f>
        <v>2.5040000000000001E-3</v>
      </c>
      <c r="H2309" s="917">
        <f>VLOOKUP($A2309,'Tech Litons'!$A:$I,9,FALSE)</f>
        <v>165</v>
      </c>
      <c r="I2309" s="917" t="str">
        <f>VLOOKUP($A2309,'Tech Litons'!$A:$C,3,0)</f>
        <v>Yasso Sticks</v>
      </c>
      <c r="J2309" s="918" t="str">
        <f t="shared" si="235"/>
        <v>2904Yasso Sticks</v>
      </c>
      <c r="K2309" s="919">
        <v>1</v>
      </c>
      <c r="L2309" s="920">
        <f t="shared" si="234"/>
        <v>330</v>
      </c>
      <c r="M2309" s="920">
        <f t="shared" si="236"/>
        <v>0.82632000000000005</v>
      </c>
      <c r="N2309" s="920">
        <f t="shared" si="237"/>
        <v>2</v>
      </c>
      <c r="O2309" s="918" t="str">
        <f t="shared" si="238"/>
        <v>Feb</v>
      </c>
      <c r="P2309" s="921">
        <f t="shared" si="239"/>
        <v>8</v>
      </c>
    </row>
    <row r="2310" spans="1:16" ht="15" hidden="1" customHeight="1">
      <c r="A2310" s="839">
        <v>64984152</v>
      </c>
      <c r="B2310" s="839">
        <v>2904</v>
      </c>
      <c r="C2310" s="906">
        <v>1986</v>
      </c>
      <c r="D2310" s="907">
        <v>46051</v>
      </c>
      <c r="E2310" s="839" t="s">
        <v>396</v>
      </c>
      <c r="F2310" s="839" t="s">
        <v>40</v>
      </c>
      <c r="G2310" s="916">
        <f>VLOOKUP($A2310,'Tech Litons'!$A:$I,8,FALSE)</f>
        <v>3.4159999999999998E-3</v>
      </c>
      <c r="H2310" s="917">
        <f>VLOOKUP($A2310,'Tech Litons'!$A:$I,9,FALSE)</f>
        <v>240</v>
      </c>
      <c r="I2310" s="917" t="str">
        <f>VLOOKUP($A2310,'Tech Litons'!$A:$C,3,0)</f>
        <v>Sundaes</v>
      </c>
      <c r="J2310" s="918" t="str">
        <f t="shared" si="235"/>
        <v>2904Sundaes</v>
      </c>
      <c r="K2310" s="919">
        <v>1</v>
      </c>
      <c r="L2310" s="920">
        <f t="shared" si="234"/>
        <v>1986</v>
      </c>
      <c r="M2310" s="920">
        <f t="shared" si="236"/>
        <v>6.7841759999999995</v>
      </c>
      <c r="N2310" s="920">
        <f t="shared" si="237"/>
        <v>8.2750000000000004</v>
      </c>
      <c r="O2310" s="918" t="str">
        <f t="shared" si="238"/>
        <v>Jan</v>
      </c>
      <c r="P2310" s="921">
        <f t="shared" si="239"/>
        <v>5</v>
      </c>
    </row>
    <row r="2311" spans="1:16" ht="15" hidden="1" customHeight="1">
      <c r="A2311" s="839">
        <v>64984152</v>
      </c>
      <c r="B2311" s="839">
        <v>2904</v>
      </c>
      <c r="C2311" s="906">
        <v>3016</v>
      </c>
      <c r="D2311" s="907">
        <v>46052</v>
      </c>
      <c r="E2311" s="839" t="s">
        <v>396</v>
      </c>
      <c r="F2311" s="839" t="s">
        <v>40</v>
      </c>
      <c r="G2311" s="916">
        <f>VLOOKUP($A2311,'Tech Litons'!$A:$I,8,FALSE)</f>
        <v>3.4159999999999998E-3</v>
      </c>
      <c r="H2311" s="917">
        <f>VLOOKUP($A2311,'Tech Litons'!$A:$I,9,FALSE)</f>
        <v>240</v>
      </c>
      <c r="I2311" s="917" t="str">
        <f>VLOOKUP($A2311,'Tech Litons'!$A:$C,3,0)</f>
        <v>Sundaes</v>
      </c>
      <c r="J2311" s="918" t="str">
        <f t="shared" si="235"/>
        <v>2904Sundaes</v>
      </c>
      <c r="K2311" s="919">
        <v>1</v>
      </c>
      <c r="L2311" s="920">
        <f t="shared" si="234"/>
        <v>3016</v>
      </c>
      <c r="M2311" s="920">
        <f t="shared" si="236"/>
        <v>10.302655999999999</v>
      </c>
      <c r="N2311" s="920">
        <f t="shared" si="237"/>
        <v>12.566666666666666</v>
      </c>
      <c r="O2311" s="918" t="str">
        <f t="shared" si="238"/>
        <v>Jan</v>
      </c>
      <c r="P2311" s="921">
        <f t="shared" si="239"/>
        <v>5</v>
      </c>
    </row>
    <row r="2312" spans="1:16" ht="15" hidden="1" customHeight="1">
      <c r="A2312" s="839">
        <v>64984152</v>
      </c>
      <c r="B2312" s="839">
        <v>2904</v>
      </c>
      <c r="C2312" s="906">
        <v>5892</v>
      </c>
      <c r="D2312" s="907">
        <v>46052</v>
      </c>
      <c r="E2312" s="839" t="s">
        <v>396</v>
      </c>
      <c r="F2312" s="839" t="s">
        <v>40</v>
      </c>
      <c r="G2312" s="916">
        <f>VLOOKUP($A2312,'Tech Litons'!$A:$I,8,FALSE)</f>
        <v>3.4159999999999998E-3</v>
      </c>
      <c r="H2312" s="917">
        <f>VLOOKUP($A2312,'Tech Litons'!$A:$I,9,FALSE)</f>
        <v>240</v>
      </c>
      <c r="I2312" s="917" t="str">
        <f>VLOOKUP($A2312,'Tech Litons'!$A:$C,3,0)</f>
        <v>Sundaes</v>
      </c>
      <c r="J2312" s="918" t="str">
        <f t="shared" si="235"/>
        <v>2904Sundaes</v>
      </c>
      <c r="K2312" s="919">
        <v>1</v>
      </c>
      <c r="L2312" s="920">
        <f t="shared" si="234"/>
        <v>5892</v>
      </c>
      <c r="M2312" s="920">
        <f t="shared" si="236"/>
        <v>20.127071999999998</v>
      </c>
      <c r="N2312" s="920">
        <f t="shared" si="237"/>
        <v>24.55</v>
      </c>
      <c r="O2312" s="918" t="str">
        <f t="shared" si="238"/>
        <v>Jan</v>
      </c>
      <c r="P2312" s="921">
        <f t="shared" si="239"/>
        <v>5</v>
      </c>
    </row>
    <row r="2313" spans="1:16" ht="15" hidden="1" customHeight="1">
      <c r="A2313" s="839">
        <v>64984152</v>
      </c>
      <c r="B2313" s="839">
        <v>2904</v>
      </c>
      <c r="C2313" s="906">
        <v>5357</v>
      </c>
      <c r="D2313" s="907">
        <v>46053</v>
      </c>
      <c r="E2313" s="839" t="s">
        <v>396</v>
      </c>
      <c r="F2313" s="839" t="s">
        <v>40</v>
      </c>
      <c r="G2313" s="916">
        <f>VLOOKUP($A2313,'Tech Litons'!$A:$I,8,FALSE)</f>
        <v>3.4159999999999998E-3</v>
      </c>
      <c r="H2313" s="917">
        <f>VLOOKUP($A2313,'Tech Litons'!$A:$I,9,FALSE)</f>
        <v>240</v>
      </c>
      <c r="I2313" s="917" t="str">
        <f>VLOOKUP($A2313,'Tech Litons'!$A:$C,3,0)</f>
        <v>Sundaes</v>
      </c>
      <c r="J2313" s="918" t="str">
        <f t="shared" si="235"/>
        <v>2904Sundaes</v>
      </c>
      <c r="K2313" s="919">
        <v>1</v>
      </c>
      <c r="L2313" s="920">
        <f t="shared" si="234"/>
        <v>5357</v>
      </c>
      <c r="M2313" s="920">
        <f t="shared" si="236"/>
        <v>18.299512</v>
      </c>
      <c r="N2313" s="920">
        <f t="shared" si="237"/>
        <v>22.320833333333333</v>
      </c>
      <c r="O2313" s="918" t="str">
        <f t="shared" si="238"/>
        <v>Jan</v>
      </c>
      <c r="P2313" s="921">
        <f t="shared" si="239"/>
        <v>5</v>
      </c>
    </row>
    <row r="2314" spans="1:16" ht="15" hidden="1" customHeight="1">
      <c r="A2314" s="839">
        <v>64984152</v>
      </c>
      <c r="B2314" s="839">
        <v>2904</v>
      </c>
      <c r="C2314" s="906">
        <v>54</v>
      </c>
      <c r="D2314" s="907">
        <v>46055</v>
      </c>
      <c r="E2314" s="839" t="s">
        <v>396</v>
      </c>
      <c r="F2314" s="839" t="s">
        <v>40</v>
      </c>
      <c r="G2314" s="916">
        <f>VLOOKUP($A2314,'Tech Litons'!$A:$I,8,FALSE)</f>
        <v>3.4159999999999998E-3</v>
      </c>
      <c r="H2314" s="917">
        <f>VLOOKUP($A2314,'Tech Litons'!$A:$I,9,FALSE)</f>
        <v>240</v>
      </c>
      <c r="I2314" s="917" t="str">
        <f>VLOOKUP($A2314,'Tech Litons'!$A:$C,3,0)</f>
        <v>Sundaes</v>
      </c>
      <c r="J2314" s="918" t="str">
        <f t="shared" si="235"/>
        <v>2904Sundaes</v>
      </c>
      <c r="K2314" s="919">
        <v>1</v>
      </c>
      <c r="L2314" s="920">
        <f t="shared" si="234"/>
        <v>54</v>
      </c>
      <c r="M2314" s="920">
        <f t="shared" si="236"/>
        <v>0.18446399999999999</v>
      </c>
      <c r="N2314" s="920">
        <f t="shared" si="237"/>
        <v>0.22500000000000001</v>
      </c>
      <c r="O2314" s="918" t="str">
        <f t="shared" si="238"/>
        <v>Feb</v>
      </c>
      <c r="P2314" s="921">
        <f t="shared" si="239"/>
        <v>6</v>
      </c>
    </row>
    <row r="2315" spans="1:16" ht="15" hidden="1" customHeight="1">
      <c r="A2315" s="839">
        <v>64984153</v>
      </c>
      <c r="B2315" s="839">
        <v>2904</v>
      </c>
      <c r="C2315" s="906">
        <v>5361</v>
      </c>
      <c r="D2315" s="907">
        <v>46050</v>
      </c>
      <c r="E2315" s="839" t="s">
        <v>350</v>
      </c>
      <c r="F2315" s="839" t="s">
        <v>40</v>
      </c>
      <c r="G2315" s="916">
        <f>VLOOKUP($A2315,'Tech Litons'!$A:$I,8,FALSE)</f>
        <v>3.4159999999999998E-3</v>
      </c>
      <c r="H2315" s="917">
        <f>VLOOKUP($A2315,'Tech Litons'!$A:$I,9,FALSE)</f>
        <v>240</v>
      </c>
      <c r="I2315" s="917" t="str">
        <f>VLOOKUP($A2315,'Tech Litons'!$A:$C,3,0)</f>
        <v>Sundaes</v>
      </c>
      <c r="J2315" s="918" t="str">
        <f t="shared" si="235"/>
        <v>2904Sundaes</v>
      </c>
      <c r="K2315" s="919">
        <v>1</v>
      </c>
      <c r="L2315" s="920">
        <f t="shared" si="234"/>
        <v>5361</v>
      </c>
      <c r="M2315" s="920">
        <f t="shared" si="236"/>
        <v>18.313175999999999</v>
      </c>
      <c r="N2315" s="920">
        <f t="shared" si="237"/>
        <v>22.337499999999999</v>
      </c>
      <c r="O2315" s="918" t="str">
        <f t="shared" si="238"/>
        <v>Jan</v>
      </c>
      <c r="P2315" s="921">
        <f t="shared" si="239"/>
        <v>5</v>
      </c>
    </row>
    <row r="2316" spans="1:16" ht="15" hidden="1" customHeight="1">
      <c r="A2316" s="839">
        <v>64984153</v>
      </c>
      <c r="B2316" s="839">
        <v>2904</v>
      </c>
      <c r="C2316" s="906">
        <v>2594</v>
      </c>
      <c r="D2316" s="907">
        <v>46050</v>
      </c>
      <c r="E2316" s="839" t="s">
        <v>350</v>
      </c>
      <c r="F2316" s="839" t="s">
        <v>40</v>
      </c>
      <c r="G2316" s="916">
        <f>VLOOKUP($A2316,'Tech Litons'!$A:$I,8,FALSE)</f>
        <v>3.4159999999999998E-3</v>
      </c>
      <c r="H2316" s="917">
        <f>VLOOKUP($A2316,'Tech Litons'!$A:$I,9,FALSE)</f>
        <v>240</v>
      </c>
      <c r="I2316" s="917" t="str">
        <f>VLOOKUP($A2316,'Tech Litons'!$A:$C,3,0)</f>
        <v>Sundaes</v>
      </c>
      <c r="J2316" s="918" t="str">
        <f t="shared" si="235"/>
        <v>2904Sundaes</v>
      </c>
      <c r="K2316" s="919">
        <v>1</v>
      </c>
      <c r="L2316" s="920">
        <f t="shared" si="234"/>
        <v>2594</v>
      </c>
      <c r="M2316" s="920">
        <f t="shared" si="236"/>
        <v>8.8611039999999992</v>
      </c>
      <c r="N2316" s="920">
        <f t="shared" si="237"/>
        <v>10.808333333333334</v>
      </c>
      <c r="O2316" s="918" t="str">
        <f t="shared" si="238"/>
        <v>Jan</v>
      </c>
      <c r="P2316" s="921">
        <f t="shared" si="239"/>
        <v>5</v>
      </c>
    </row>
    <row r="2317" spans="1:16" ht="15" hidden="1" customHeight="1">
      <c r="A2317" s="839">
        <v>64988055</v>
      </c>
      <c r="B2317" s="839">
        <v>2904</v>
      </c>
      <c r="C2317" s="906">
        <v>5456</v>
      </c>
      <c r="D2317" s="907">
        <v>46055</v>
      </c>
      <c r="E2317" s="839" t="s">
        <v>360</v>
      </c>
      <c r="F2317" s="839" t="s">
        <v>271</v>
      </c>
      <c r="G2317" s="916">
        <f>VLOOKUP($A2317,'Tech Litons'!$A:$I,8,FALSE)</f>
        <v>8.513999999999999E-3</v>
      </c>
      <c r="H2317" s="917">
        <f>VLOOKUP($A2317,'Tech Litons'!$A:$I,9,FALSE)</f>
        <v>176</v>
      </c>
      <c r="I2317" s="917" t="str">
        <f>VLOOKUP($A2317,'Tech Litons'!$A:$C,3,0)</f>
        <v>48oz</v>
      </c>
      <c r="J2317" s="918" t="str">
        <f t="shared" si="235"/>
        <v>290448oz</v>
      </c>
      <c r="K2317" s="919">
        <v>1</v>
      </c>
      <c r="L2317" s="920">
        <f t="shared" si="234"/>
        <v>5456</v>
      </c>
      <c r="M2317" s="920">
        <f t="shared" si="236"/>
        <v>46.452383999999995</v>
      </c>
      <c r="N2317" s="920">
        <f t="shared" si="237"/>
        <v>31</v>
      </c>
      <c r="O2317" s="918" t="str">
        <f t="shared" si="238"/>
        <v>Feb</v>
      </c>
      <c r="P2317" s="921">
        <f t="shared" si="239"/>
        <v>6</v>
      </c>
    </row>
    <row r="2318" spans="1:16" ht="15" hidden="1" customHeight="1">
      <c r="A2318" s="839">
        <v>64988055</v>
      </c>
      <c r="B2318" s="839">
        <v>2904</v>
      </c>
      <c r="C2318" s="906">
        <v>4737</v>
      </c>
      <c r="D2318" s="907">
        <v>46056</v>
      </c>
      <c r="E2318" s="839" t="s">
        <v>360</v>
      </c>
      <c r="F2318" s="839" t="s">
        <v>271</v>
      </c>
      <c r="G2318" s="916">
        <f>VLOOKUP($A2318,'Tech Litons'!$A:$I,8,FALSE)</f>
        <v>8.513999999999999E-3</v>
      </c>
      <c r="H2318" s="917">
        <f>VLOOKUP($A2318,'Tech Litons'!$A:$I,9,FALSE)</f>
        <v>176</v>
      </c>
      <c r="I2318" s="917" t="str">
        <f>VLOOKUP($A2318,'Tech Litons'!$A:$C,3,0)</f>
        <v>48oz</v>
      </c>
      <c r="J2318" s="918" t="str">
        <f t="shared" si="235"/>
        <v>290448oz</v>
      </c>
      <c r="K2318" s="919">
        <v>1</v>
      </c>
      <c r="L2318" s="920">
        <f t="shared" si="234"/>
        <v>4737</v>
      </c>
      <c r="M2318" s="920">
        <f t="shared" si="236"/>
        <v>40.330817999999994</v>
      </c>
      <c r="N2318" s="920">
        <f t="shared" si="237"/>
        <v>26.914772727272727</v>
      </c>
      <c r="O2318" s="918" t="str">
        <f t="shared" si="238"/>
        <v>Feb</v>
      </c>
      <c r="P2318" s="921">
        <f t="shared" si="239"/>
        <v>6</v>
      </c>
    </row>
    <row r="2319" spans="1:16" ht="15" hidden="1" customHeight="1">
      <c r="A2319" s="839">
        <v>64988055</v>
      </c>
      <c r="B2319" s="839">
        <v>2904</v>
      </c>
      <c r="C2319" s="906">
        <v>6155</v>
      </c>
      <c r="D2319" s="907">
        <v>46056</v>
      </c>
      <c r="E2319" s="839" t="s">
        <v>360</v>
      </c>
      <c r="F2319" s="839" t="s">
        <v>271</v>
      </c>
      <c r="G2319" s="916">
        <f>VLOOKUP($A2319,'Tech Litons'!$A:$I,8,FALSE)</f>
        <v>8.513999999999999E-3</v>
      </c>
      <c r="H2319" s="917">
        <f>VLOOKUP($A2319,'Tech Litons'!$A:$I,9,FALSE)</f>
        <v>176</v>
      </c>
      <c r="I2319" s="917" t="str">
        <f>VLOOKUP($A2319,'Tech Litons'!$A:$C,3,0)</f>
        <v>48oz</v>
      </c>
      <c r="J2319" s="918" t="str">
        <f t="shared" si="235"/>
        <v>290448oz</v>
      </c>
      <c r="K2319" s="919">
        <v>1</v>
      </c>
      <c r="L2319" s="920">
        <f t="shared" si="234"/>
        <v>6155</v>
      </c>
      <c r="M2319" s="920">
        <f t="shared" si="236"/>
        <v>52.403669999999991</v>
      </c>
      <c r="N2319" s="920">
        <f t="shared" si="237"/>
        <v>34.971590909090907</v>
      </c>
      <c r="O2319" s="918" t="str">
        <f t="shared" si="238"/>
        <v>Feb</v>
      </c>
      <c r="P2319" s="921">
        <f t="shared" si="239"/>
        <v>6</v>
      </c>
    </row>
    <row r="2320" spans="1:16" ht="15" hidden="1" customHeight="1">
      <c r="A2320" s="839">
        <v>64988055</v>
      </c>
      <c r="B2320" s="839">
        <v>2904</v>
      </c>
      <c r="C2320" s="906">
        <v>6688</v>
      </c>
      <c r="D2320" s="907">
        <v>46057</v>
      </c>
      <c r="E2320" s="839" t="s">
        <v>360</v>
      </c>
      <c r="F2320" s="839" t="s">
        <v>271</v>
      </c>
      <c r="G2320" s="916">
        <f>VLOOKUP($A2320,'Tech Litons'!$A:$I,8,FALSE)</f>
        <v>8.513999999999999E-3</v>
      </c>
      <c r="H2320" s="917">
        <f>VLOOKUP($A2320,'Tech Litons'!$A:$I,9,FALSE)</f>
        <v>176</v>
      </c>
      <c r="I2320" s="917" t="str">
        <f>VLOOKUP($A2320,'Tech Litons'!$A:$C,3,0)</f>
        <v>48oz</v>
      </c>
      <c r="J2320" s="918" t="str">
        <f t="shared" si="235"/>
        <v>290448oz</v>
      </c>
      <c r="K2320" s="919">
        <v>1</v>
      </c>
      <c r="L2320" s="920">
        <f t="shared" si="234"/>
        <v>6688</v>
      </c>
      <c r="M2320" s="920">
        <f t="shared" si="236"/>
        <v>56.941631999999991</v>
      </c>
      <c r="N2320" s="920">
        <f t="shared" si="237"/>
        <v>38</v>
      </c>
      <c r="O2320" s="918" t="str">
        <f t="shared" si="238"/>
        <v>Feb</v>
      </c>
      <c r="P2320" s="921">
        <f t="shared" si="239"/>
        <v>6</v>
      </c>
    </row>
    <row r="2321" spans="1:16" ht="15" hidden="1" customHeight="1">
      <c r="A2321" s="839">
        <v>64988055</v>
      </c>
      <c r="B2321" s="839">
        <v>2904</v>
      </c>
      <c r="C2321" s="906">
        <v>5984</v>
      </c>
      <c r="D2321" s="907">
        <v>46057</v>
      </c>
      <c r="E2321" s="839" t="s">
        <v>360</v>
      </c>
      <c r="F2321" s="839" t="s">
        <v>271</v>
      </c>
      <c r="G2321" s="916">
        <f>VLOOKUP($A2321,'Tech Litons'!$A:$I,8,FALSE)</f>
        <v>8.513999999999999E-3</v>
      </c>
      <c r="H2321" s="917">
        <f>VLOOKUP($A2321,'Tech Litons'!$A:$I,9,FALSE)</f>
        <v>176</v>
      </c>
      <c r="I2321" s="917" t="str">
        <f>VLOOKUP($A2321,'Tech Litons'!$A:$C,3,0)</f>
        <v>48oz</v>
      </c>
      <c r="J2321" s="918" t="str">
        <f t="shared" si="235"/>
        <v>290448oz</v>
      </c>
      <c r="K2321" s="919">
        <v>1</v>
      </c>
      <c r="L2321" s="920">
        <f t="shared" si="234"/>
        <v>5984</v>
      </c>
      <c r="M2321" s="920">
        <f t="shared" si="236"/>
        <v>50.947775999999998</v>
      </c>
      <c r="N2321" s="920">
        <f t="shared" si="237"/>
        <v>34</v>
      </c>
      <c r="O2321" s="918" t="str">
        <f t="shared" si="238"/>
        <v>Feb</v>
      </c>
      <c r="P2321" s="921">
        <f t="shared" si="239"/>
        <v>6</v>
      </c>
    </row>
    <row r="2322" spans="1:16" ht="15" hidden="1" customHeight="1">
      <c r="A2322" s="839">
        <v>64988055</v>
      </c>
      <c r="B2322" s="839">
        <v>2904</v>
      </c>
      <c r="C2322" s="906">
        <v>5045</v>
      </c>
      <c r="D2322" s="907">
        <v>46058</v>
      </c>
      <c r="E2322" s="839" t="s">
        <v>360</v>
      </c>
      <c r="F2322" s="839" t="s">
        <v>271</v>
      </c>
      <c r="G2322" s="916">
        <f>VLOOKUP($A2322,'Tech Litons'!$A:$I,8,FALSE)</f>
        <v>8.513999999999999E-3</v>
      </c>
      <c r="H2322" s="917">
        <f>VLOOKUP($A2322,'Tech Litons'!$A:$I,9,FALSE)</f>
        <v>176</v>
      </c>
      <c r="I2322" s="917" t="str">
        <f>VLOOKUP($A2322,'Tech Litons'!$A:$C,3,0)</f>
        <v>48oz</v>
      </c>
      <c r="J2322" s="918" t="str">
        <f t="shared" si="235"/>
        <v>290448oz</v>
      </c>
      <c r="K2322" s="919">
        <v>1</v>
      </c>
      <c r="L2322" s="920">
        <f t="shared" si="234"/>
        <v>5045</v>
      </c>
      <c r="M2322" s="920">
        <f t="shared" si="236"/>
        <v>42.953129999999994</v>
      </c>
      <c r="N2322" s="920">
        <f t="shared" si="237"/>
        <v>28.664772727272727</v>
      </c>
      <c r="O2322" s="918" t="str">
        <f t="shared" si="238"/>
        <v>Feb</v>
      </c>
      <c r="P2322" s="921">
        <f t="shared" si="239"/>
        <v>6</v>
      </c>
    </row>
    <row r="2323" spans="1:16" ht="15" hidden="1" customHeight="1">
      <c r="A2323" s="839">
        <v>64988055</v>
      </c>
      <c r="B2323" s="839">
        <v>2904</v>
      </c>
      <c r="C2323" s="906">
        <v>36</v>
      </c>
      <c r="D2323" s="907">
        <v>46055</v>
      </c>
      <c r="E2323" s="839" t="s">
        <v>360</v>
      </c>
      <c r="F2323" s="839" t="s">
        <v>271</v>
      </c>
      <c r="G2323" s="916">
        <f>VLOOKUP($A2323,'Tech Litons'!$A:$I,8,FALSE)</f>
        <v>8.513999999999999E-3</v>
      </c>
      <c r="H2323" s="917">
        <f>VLOOKUP($A2323,'Tech Litons'!$A:$I,9,FALSE)</f>
        <v>176</v>
      </c>
      <c r="I2323" s="917" t="str">
        <f>VLOOKUP($A2323,'Tech Litons'!$A:$C,3,0)</f>
        <v>48oz</v>
      </c>
      <c r="J2323" s="918" t="str">
        <f t="shared" si="235"/>
        <v>290448oz</v>
      </c>
      <c r="K2323" s="919">
        <v>1</v>
      </c>
      <c r="L2323" s="920">
        <f t="shared" si="234"/>
        <v>36</v>
      </c>
      <c r="M2323" s="920">
        <f t="shared" si="236"/>
        <v>0.30650399999999994</v>
      </c>
      <c r="N2323" s="920">
        <f t="shared" si="237"/>
        <v>0.20454545454545456</v>
      </c>
      <c r="O2323" s="918" t="str">
        <f t="shared" si="238"/>
        <v>Feb</v>
      </c>
      <c r="P2323" s="921">
        <f t="shared" si="239"/>
        <v>6</v>
      </c>
    </row>
    <row r="2324" spans="1:16" ht="15" hidden="1" customHeight="1">
      <c r="A2324" s="839">
        <v>64988056</v>
      </c>
      <c r="B2324" s="839">
        <v>2904</v>
      </c>
      <c r="C2324" s="906">
        <v>5950</v>
      </c>
      <c r="D2324" s="907">
        <v>46050</v>
      </c>
      <c r="E2324" s="839" t="s">
        <v>268</v>
      </c>
      <c r="F2324" s="839" t="s">
        <v>269</v>
      </c>
      <c r="G2324" s="916">
        <f>VLOOKUP($A2324,'Tech Litons'!$A:$I,8,FALSE)</f>
        <v>8.513999999999999E-3</v>
      </c>
      <c r="H2324" s="917">
        <f>VLOOKUP($A2324,'Tech Litons'!$A:$I,9,FALSE)</f>
        <v>176</v>
      </c>
      <c r="I2324" s="917" t="str">
        <f>VLOOKUP($A2324,'Tech Litons'!$A:$C,3,0)</f>
        <v>48oz</v>
      </c>
      <c r="J2324" s="918" t="str">
        <f t="shared" si="235"/>
        <v>290448oz</v>
      </c>
      <c r="K2324" s="919">
        <v>1</v>
      </c>
      <c r="L2324" s="920">
        <f t="shared" si="234"/>
        <v>5950</v>
      </c>
      <c r="M2324" s="920">
        <f t="shared" si="236"/>
        <v>50.658299999999997</v>
      </c>
      <c r="N2324" s="920">
        <f t="shared" si="237"/>
        <v>33.80681818181818</v>
      </c>
      <c r="O2324" s="918" t="str">
        <f t="shared" si="238"/>
        <v>Jan</v>
      </c>
      <c r="P2324" s="921">
        <f t="shared" si="239"/>
        <v>5</v>
      </c>
    </row>
    <row r="2325" spans="1:16" ht="15" hidden="1" customHeight="1">
      <c r="A2325" s="839">
        <v>64988056</v>
      </c>
      <c r="B2325" s="839">
        <v>2904</v>
      </c>
      <c r="C2325" s="906">
        <v>4553</v>
      </c>
      <c r="D2325" s="907">
        <v>46050</v>
      </c>
      <c r="E2325" s="839" t="s">
        <v>268</v>
      </c>
      <c r="F2325" s="839" t="s">
        <v>269</v>
      </c>
      <c r="G2325" s="916">
        <f>VLOOKUP($A2325,'Tech Litons'!$A:$I,8,FALSE)</f>
        <v>8.513999999999999E-3</v>
      </c>
      <c r="H2325" s="917">
        <f>VLOOKUP($A2325,'Tech Litons'!$A:$I,9,FALSE)</f>
        <v>176</v>
      </c>
      <c r="I2325" s="917" t="str">
        <f>VLOOKUP($A2325,'Tech Litons'!$A:$C,3,0)</f>
        <v>48oz</v>
      </c>
      <c r="J2325" s="918" t="str">
        <f t="shared" si="235"/>
        <v>290448oz</v>
      </c>
      <c r="K2325" s="919">
        <v>1</v>
      </c>
      <c r="L2325" s="920">
        <f t="shared" si="234"/>
        <v>4553</v>
      </c>
      <c r="M2325" s="920">
        <f t="shared" si="236"/>
        <v>38.764241999999996</v>
      </c>
      <c r="N2325" s="920">
        <f t="shared" si="237"/>
        <v>25.869318181818183</v>
      </c>
      <c r="O2325" s="918" t="str">
        <f t="shared" si="238"/>
        <v>Jan</v>
      </c>
      <c r="P2325" s="921">
        <f t="shared" si="239"/>
        <v>5</v>
      </c>
    </row>
    <row r="2326" spans="1:16" ht="15" hidden="1" customHeight="1">
      <c r="A2326" s="839">
        <v>64988056</v>
      </c>
      <c r="B2326" s="839">
        <v>2904</v>
      </c>
      <c r="C2326" s="906">
        <v>7568</v>
      </c>
      <c r="D2326" s="907">
        <v>46051</v>
      </c>
      <c r="E2326" s="839" t="s">
        <v>268</v>
      </c>
      <c r="F2326" s="839" t="s">
        <v>269</v>
      </c>
      <c r="G2326" s="916">
        <f>VLOOKUP($A2326,'Tech Litons'!$A:$I,8,FALSE)</f>
        <v>8.513999999999999E-3</v>
      </c>
      <c r="H2326" s="917">
        <f>VLOOKUP($A2326,'Tech Litons'!$A:$I,9,FALSE)</f>
        <v>176</v>
      </c>
      <c r="I2326" s="917" t="str">
        <f>VLOOKUP($A2326,'Tech Litons'!$A:$C,3,0)</f>
        <v>48oz</v>
      </c>
      <c r="J2326" s="918" t="str">
        <f t="shared" si="235"/>
        <v>290448oz</v>
      </c>
      <c r="K2326" s="919">
        <v>1</v>
      </c>
      <c r="L2326" s="920">
        <f t="shared" si="234"/>
        <v>7568</v>
      </c>
      <c r="M2326" s="920">
        <f t="shared" si="236"/>
        <v>64.433951999999991</v>
      </c>
      <c r="N2326" s="920">
        <f t="shared" si="237"/>
        <v>43</v>
      </c>
      <c r="O2326" s="918" t="str">
        <f t="shared" si="238"/>
        <v>Jan</v>
      </c>
      <c r="P2326" s="921">
        <f t="shared" si="239"/>
        <v>5</v>
      </c>
    </row>
    <row r="2327" spans="1:16" ht="15" hidden="1" customHeight="1">
      <c r="A2327" s="839">
        <v>64988056</v>
      </c>
      <c r="B2327" s="839">
        <v>2904</v>
      </c>
      <c r="C2327" s="906">
        <v>5532</v>
      </c>
      <c r="D2327" s="907">
        <v>46051</v>
      </c>
      <c r="E2327" s="839" t="s">
        <v>268</v>
      </c>
      <c r="F2327" s="839" t="s">
        <v>269</v>
      </c>
      <c r="G2327" s="916">
        <f>VLOOKUP($A2327,'Tech Litons'!$A:$I,8,FALSE)</f>
        <v>8.513999999999999E-3</v>
      </c>
      <c r="H2327" s="917">
        <f>VLOOKUP($A2327,'Tech Litons'!$A:$I,9,FALSE)</f>
        <v>176</v>
      </c>
      <c r="I2327" s="917" t="str">
        <f>VLOOKUP($A2327,'Tech Litons'!$A:$C,3,0)</f>
        <v>48oz</v>
      </c>
      <c r="J2327" s="918" t="str">
        <f t="shared" si="235"/>
        <v>290448oz</v>
      </c>
      <c r="K2327" s="919">
        <v>1</v>
      </c>
      <c r="L2327" s="920">
        <f t="shared" si="234"/>
        <v>5532</v>
      </c>
      <c r="M2327" s="920">
        <f t="shared" si="236"/>
        <v>47.099447999999995</v>
      </c>
      <c r="N2327" s="920">
        <f t="shared" si="237"/>
        <v>31.431818181818183</v>
      </c>
      <c r="O2327" s="918" t="str">
        <f t="shared" si="238"/>
        <v>Jan</v>
      </c>
      <c r="P2327" s="921">
        <f t="shared" si="239"/>
        <v>5</v>
      </c>
    </row>
    <row r="2328" spans="1:16" ht="15" hidden="1" customHeight="1">
      <c r="A2328" s="839">
        <v>64988056</v>
      </c>
      <c r="B2328" s="839">
        <v>2904</v>
      </c>
      <c r="C2328" s="906">
        <v>5918</v>
      </c>
      <c r="D2328" s="907">
        <v>46052</v>
      </c>
      <c r="E2328" s="839" t="s">
        <v>268</v>
      </c>
      <c r="F2328" s="839" t="s">
        <v>269</v>
      </c>
      <c r="G2328" s="916">
        <f>VLOOKUP($A2328,'Tech Litons'!$A:$I,8,FALSE)</f>
        <v>8.513999999999999E-3</v>
      </c>
      <c r="H2328" s="917">
        <f>VLOOKUP($A2328,'Tech Litons'!$A:$I,9,FALSE)</f>
        <v>176</v>
      </c>
      <c r="I2328" s="917" t="str">
        <f>VLOOKUP($A2328,'Tech Litons'!$A:$C,3,0)</f>
        <v>48oz</v>
      </c>
      <c r="J2328" s="918" t="str">
        <f t="shared" si="235"/>
        <v>290448oz</v>
      </c>
      <c r="K2328" s="919">
        <v>1</v>
      </c>
      <c r="L2328" s="920">
        <f t="shared" si="234"/>
        <v>5918</v>
      </c>
      <c r="M2328" s="920">
        <f t="shared" si="236"/>
        <v>50.385851999999993</v>
      </c>
      <c r="N2328" s="920">
        <f t="shared" si="237"/>
        <v>33.625</v>
      </c>
      <c r="O2328" s="918" t="str">
        <f t="shared" si="238"/>
        <v>Jan</v>
      </c>
      <c r="P2328" s="921">
        <f t="shared" si="239"/>
        <v>5</v>
      </c>
    </row>
    <row r="2329" spans="1:16" ht="15" hidden="1" customHeight="1">
      <c r="A2329" s="839">
        <v>64988056</v>
      </c>
      <c r="B2329" s="839">
        <v>2904</v>
      </c>
      <c r="C2329" s="906">
        <v>6512</v>
      </c>
      <c r="D2329" s="907">
        <v>46066</v>
      </c>
      <c r="E2329" s="839" t="s">
        <v>268</v>
      </c>
      <c r="F2329" s="839" t="s">
        <v>269</v>
      </c>
      <c r="G2329" s="916">
        <f>VLOOKUP($A2329,'Tech Litons'!$A:$I,8,FALSE)</f>
        <v>8.513999999999999E-3</v>
      </c>
      <c r="H2329" s="917">
        <f>VLOOKUP($A2329,'Tech Litons'!$A:$I,9,FALSE)</f>
        <v>176</v>
      </c>
      <c r="I2329" s="917" t="str">
        <f>VLOOKUP($A2329,'Tech Litons'!$A:$C,3,0)</f>
        <v>48oz</v>
      </c>
      <c r="J2329" s="918" t="str">
        <f t="shared" si="235"/>
        <v>290448oz</v>
      </c>
      <c r="K2329" s="919">
        <v>1</v>
      </c>
      <c r="L2329" s="920">
        <f t="shared" si="234"/>
        <v>6512</v>
      </c>
      <c r="M2329" s="920">
        <f t="shared" si="236"/>
        <v>55.443167999999993</v>
      </c>
      <c r="N2329" s="920">
        <f t="shared" si="237"/>
        <v>37</v>
      </c>
      <c r="O2329" s="918" t="str">
        <f t="shared" si="238"/>
        <v>Feb</v>
      </c>
      <c r="P2329" s="921">
        <f t="shared" si="239"/>
        <v>7</v>
      </c>
    </row>
    <row r="2330" spans="1:16" ht="15" hidden="1" customHeight="1">
      <c r="A2330" s="839">
        <v>64988056</v>
      </c>
      <c r="B2330" s="839">
        <v>2904</v>
      </c>
      <c r="C2330" s="906">
        <v>4839</v>
      </c>
      <c r="D2330" s="907">
        <v>46067</v>
      </c>
      <c r="E2330" s="839" t="s">
        <v>268</v>
      </c>
      <c r="F2330" s="839" t="s">
        <v>269</v>
      </c>
      <c r="G2330" s="916">
        <f>VLOOKUP($A2330,'Tech Litons'!$A:$I,8,FALSE)</f>
        <v>8.513999999999999E-3</v>
      </c>
      <c r="H2330" s="917">
        <f>VLOOKUP($A2330,'Tech Litons'!$A:$I,9,FALSE)</f>
        <v>176</v>
      </c>
      <c r="I2330" s="917" t="str">
        <f>VLOOKUP($A2330,'Tech Litons'!$A:$C,3,0)</f>
        <v>48oz</v>
      </c>
      <c r="J2330" s="918" t="str">
        <f t="shared" si="235"/>
        <v>290448oz</v>
      </c>
      <c r="K2330" s="919">
        <v>1</v>
      </c>
      <c r="L2330" s="920">
        <f t="shared" si="234"/>
        <v>4839</v>
      </c>
      <c r="M2330" s="920">
        <f t="shared" si="236"/>
        <v>41.199245999999995</v>
      </c>
      <c r="N2330" s="920">
        <f t="shared" si="237"/>
        <v>27.494318181818183</v>
      </c>
      <c r="O2330" s="918" t="str">
        <f t="shared" si="238"/>
        <v>Feb</v>
      </c>
      <c r="P2330" s="921">
        <f t="shared" si="239"/>
        <v>7</v>
      </c>
    </row>
    <row r="2331" spans="1:16" ht="15" hidden="1" customHeight="1">
      <c r="A2331" s="839">
        <v>64988056</v>
      </c>
      <c r="B2331" s="839">
        <v>2904</v>
      </c>
      <c r="C2331" s="906">
        <v>176</v>
      </c>
      <c r="D2331" s="907">
        <v>46069</v>
      </c>
      <c r="E2331" s="839" t="s">
        <v>268</v>
      </c>
      <c r="F2331" s="839" t="s">
        <v>269</v>
      </c>
      <c r="G2331" s="916">
        <f>VLOOKUP($A2331,'Tech Litons'!$A:$I,8,FALSE)</f>
        <v>8.513999999999999E-3</v>
      </c>
      <c r="H2331" s="917">
        <f>VLOOKUP($A2331,'Tech Litons'!$A:$I,9,FALSE)</f>
        <v>176</v>
      </c>
      <c r="I2331" s="917" t="str">
        <f>VLOOKUP($A2331,'Tech Litons'!$A:$C,3,0)</f>
        <v>48oz</v>
      </c>
      <c r="J2331" s="918" t="str">
        <f t="shared" si="235"/>
        <v>290448oz</v>
      </c>
      <c r="K2331" s="919">
        <v>1</v>
      </c>
      <c r="L2331" s="920">
        <f t="shared" si="234"/>
        <v>176</v>
      </c>
      <c r="M2331" s="920">
        <f t="shared" si="236"/>
        <v>1.4984639999999998</v>
      </c>
      <c r="N2331" s="920">
        <f t="shared" si="237"/>
        <v>1</v>
      </c>
      <c r="O2331" s="918" t="str">
        <f t="shared" si="238"/>
        <v>Feb</v>
      </c>
      <c r="P2331" s="921">
        <f t="shared" si="239"/>
        <v>8</v>
      </c>
    </row>
    <row r="2332" spans="1:16" ht="15" hidden="1" customHeight="1">
      <c r="A2332" s="839">
        <v>64988056</v>
      </c>
      <c r="B2332" s="839">
        <v>2904</v>
      </c>
      <c r="C2332" s="906">
        <v>6688</v>
      </c>
      <c r="D2332" s="907">
        <v>46067</v>
      </c>
      <c r="E2332" s="839" t="s">
        <v>268</v>
      </c>
      <c r="F2332" s="839" t="s">
        <v>269</v>
      </c>
      <c r="G2332" s="916">
        <f>VLOOKUP($A2332,'Tech Litons'!$A:$I,8,FALSE)</f>
        <v>8.513999999999999E-3</v>
      </c>
      <c r="H2332" s="917">
        <f>VLOOKUP($A2332,'Tech Litons'!$A:$I,9,FALSE)</f>
        <v>176</v>
      </c>
      <c r="I2332" s="917" t="str">
        <f>VLOOKUP($A2332,'Tech Litons'!$A:$C,3,0)</f>
        <v>48oz</v>
      </c>
      <c r="J2332" s="918" t="str">
        <f t="shared" si="235"/>
        <v>290448oz</v>
      </c>
      <c r="K2332" s="919">
        <v>1</v>
      </c>
      <c r="L2332" s="920">
        <f t="shared" si="234"/>
        <v>6688</v>
      </c>
      <c r="M2332" s="920">
        <f t="shared" si="236"/>
        <v>56.941631999999991</v>
      </c>
      <c r="N2332" s="920">
        <f t="shared" si="237"/>
        <v>38</v>
      </c>
      <c r="O2332" s="918" t="str">
        <f t="shared" si="238"/>
        <v>Feb</v>
      </c>
      <c r="P2332" s="921">
        <f t="shared" si="239"/>
        <v>7</v>
      </c>
    </row>
    <row r="2333" spans="1:16" ht="15" hidden="1" customHeight="1">
      <c r="A2333" s="839">
        <v>64988056</v>
      </c>
      <c r="B2333" s="839">
        <v>2904</v>
      </c>
      <c r="C2333" s="906">
        <v>3696</v>
      </c>
      <c r="D2333" s="907">
        <v>46068</v>
      </c>
      <c r="E2333" s="839" t="s">
        <v>268</v>
      </c>
      <c r="F2333" s="839" t="s">
        <v>269</v>
      </c>
      <c r="G2333" s="916">
        <f>VLOOKUP($A2333,'Tech Litons'!$A:$I,8,FALSE)</f>
        <v>8.513999999999999E-3</v>
      </c>
      <c r="H2333" s="917">
        <f>VLOOKUP($A2333,'Tech Litons'!$A:$I,9,FALSE)</f>
        <v>176</v>
      </c>
      <c r="I2333" s="917" t="str">
        <f>VLOOKUP($A2333,'Tech Litons'!$A:$C,3,0)</f>
        <v>48oz</v>
      </c>
      <c r="J2333" s="918" t="str">
        <f t="shared" si="235"/>
        <v>290448oz</v>
      </c>
      <c r="K2333" s="919">
        <v>1</v>
      </c>
      <c r="L2333" s="920">
        <f t="shared" si="234"/>
        <v>3696</v>
      </c>
      <c r="M2333" s="920">
        <f t="shared" si="236"/>
        <v>31.467743999999996</v>
      </c>
      <c r="N2333" s="920">
        <f t="shared" si="237"/>
        <v>21</v>
      </c>
      <c r="O2333" s="918" t="str">
        <f t="shared" si="238"/>
        <v>Feb</v>
      </c>
      <c r="P2333" s="921">
        <f t="shared" si="239"/>
        <v>8</v>
      </c>
    </row>
    <row r="2334" spans="1:16" ht="15" hidden="1" customHeight="1">
      <c r="A2334" s="839">
        <v>64988056</v>
      </c>
      <c r="B2334" s="839">
        <v>2904</v>
      </c>
      <c r="C2334" s="906">
        <v>176</v>
      </c>
      <c r="D2334" s="907">
        <v>46070</v>
      </c>
      <c r="E2334" s="839" t="s">
        <v>268</v>
      </c>
      <c r="F2334" s="839" t="s">
        <v>269</v>
      </c>
      <c r="G2334" s="916">
        <f>VLOOKUP($A2334,'Tech Litons'!$A:$I,8,FALSE)</f>
        <v>8.513999999999999E-3</v>
      </c>
      <c r="H2334" s="917">
        <f>VLOOKUP($A2334,'Tech Litons'!$A:$I,9,FALSE)</f>
        <v>176</v>
      </c>
      <c r="I2334" s="917" t="str">
        <f>VLOOKUP($A2334,'Tech Litons'!$A:$C,3,0)</f>
        <v>48oz</v>
      </c>
      <c r="J2334" s="918" t="str">
        <f t="shared" si="235"/>
        <v>290448oz</v>
      </c>
      <c r="K2334" s="919">
        <v>1</v>
      </c>
      <c r="L2334" s="920">
        <f t="shared" si="234"/>
        <v>176</v>
      </c>
      <c r="M2334" s="920">
        <f t="shared" si="236"/>
        <v>1.4984639999999998</v>
      </c>
      <c r="N2334" s="920">
        <f t="shared" si="237"/>
        <v>1</v>
      </c>
      <c r="O2334" s="918" t="str">
        <f t="shared" si="238"/>
        <v>Feb</v>
      </c>
      <c r="P2334" s="921">
        <f t="shared" si="239"/>
        <v>8</v>
      </c>
    </row>
    <row r="2335" spans="1:16" ht="15" hidden="1" customHeight="1">
      <c r="A2335" s="839">
        <v>64988056</v>
      </c>
      <c r="B2335" s="839">
        <v>2904</v>
      </c>
      <c r="C2335" s="906">
        <v>-486</v>
      </c>
      <c r="D2335" s="907">
        <v>46073</v>
      </c>
      <c r="E2335" s="839" t="s">
        <v>268</v>
      </c>
      <c r="F2335" s="839" t="s">
        <v>269</v>
      </c>
      <c r="G2335" s="916">
        <f>VLOOKUP($A2335,'Tech Litons'!$A:$I,8,FALSE)</f>
        <v>8.513999999999999E-3</v>
      </c>
      <c r="H2335" s="917">
        <f>VLOOKUP($A2335,'Tech Litons'!$A:$I,9,FALSE)</f>
        <v>176</v>
      </c>
      <c r="I2335" s="917" t="str">
        <f>VLOOKUP($A2335,'Tech Litons'!$A:$C,3,0)</f>
        <v>48oz</v>
      </c>
      <c r="J2335" s="918" t="str">
        <f t="shared" si="235"/>
        <v>290448oz</v>
      </c>
      <c r="K2335" s="919">
        <v>1</v>
      </c>
      <c r="L2335" s="920">
        <f t="shared" si="234"/>
        <v>-486</v>
      </c>
      <c r="M2335" s="920">
        <f t="shared" si="236"/>
        <v>-4.1378039999999991</v>
      </c>
      <c r="N2335" s="920">
        <f t="shared" si="237"/>
        <v>-2.7613636363636362</v>
      </c>
      <c r="O2335" s="918" t="str">
        <f t="shared" si="238"/>
        <v>Feb</v>
      </c>
      <c r="P2335" s="921">
        <f t="shared" si="239"/>
        <v>8</v>
      </c>
    </row>
    <row r="2336" spans="1:16" ht="15" hidden="1" customHeight="1">
      <c r="A2336" s="839">
        <v>64988056</v>
      </c>
      <c r="B2336" s="839">
        <v>2904</v>
      </c>
      <c r="C2336" s="906">
        <v>4788</v>
      </c>
      <c r="D2336" s="907">
        <v>46065</v>
      </c>
      <c r="E2336" s="839" t="s">
        <v>268</v>
      </c>
      <c r="F2336" s="839" t="s">
        <v>269</v>
      </c>
      <c r="G2336" s="916">
        <f>VLOOKUP($A2336,'Tech Litons'!$A:$I,8,FALSE)</f>
        <v>8.513999999999999E-3</v>
      </c>
      <c r="H2336" s="917">
        <f>VLOOKUP($A2336,'Tech Litons'!$A:$I,9,FALSE)</f>
        <v>176</v>
      </c>
      <c r="I2336" s="917" t="str">
        <f>VLOOKUP($A2336,'Tech Litons'!$A:$C,3,0)</f>
        <v>48oz</v>
      </c>
      <c r="J2336" s="918" t="str">
        <f t="shared" si="235"/>
        <v>290448oz</v>
      </c>
      <c r="K2336" s="919">
        <v>1</v>
      </c>
      <c r="L2336" s="920">
        <f t="shared" si="234"/>
        <v>4788</v>
      </c>
      <c r="M2336" s="920">
        <f t="shared" si="236"/>
        <v>40.765031999999998</v>
      </c>
      <c r="N2336" s="920">
        <f t="shared" si="237"/>
        <v>27.204545454545453</v>
      </c>
      <c r="O2336" s="918" t="str">
        <f t="shared" si="238"/>
        <v>Feb</v>
      </c>
      <c r="P2336" s="921">
        <f t="shared" si="239"/>
        <v>7</v>
      </c>
    </row>
    <row r="2337" spans="1:16" ht="15" hidden="1" customHeight="1">
      <c r="A2337" s="839">
        <v>64988056</v>
      </c>
      <c r="B2337" s="839">
        <v>2904</v>
      </c>
      <c r="C2337" s="906">
        <v>6411</v>
      </c>
      <c r="D2337" s="907">
        <v>46066</v>
      </c>
      <c r="E2337" s="839" t="s">
        <v>268</v>
      </c>
      <c r="F2337" s="839" t="s">
        <v>269</v>
      </c>
      <c r="G2337" s="916">
        <f>VLOOKUP($A2337,'Tech Litons'!$A:$I,8,FALSE)</f>
        <v>8.513999999999999E-3</v>
      </c>
      <c r="H2337" s="917">
        <f>VLOOKUP($A2337,'Tech Litons'!$A:$I,9,FALSE)</f>
        <v>176</v>
      </c>
      <c r="I2337" s="917" t="str">
        <f>VLOOKUP($A2337,'Tech Litons'!$A:$C,3,0)</f>
        <v>48oz</v>
      </c>
      <c r="J2337" s="918" t="str">
        <f t="shared" si="235"/>
        <v>290448oz</v>
      </c>
      <c r="K2337" s="919">
        <v>1</v>
      </c>
      <c r="L2337" s="920">
        <f t="shared" si="234"/>
        <v>6411</v>
      </c>
      <c r="M2337" s="920">
        <f t="shared" si="236"/>
        <v>54.583253999999997</v>
      </c>
      <c r="N2337" s="920">
        <f t="shared" si="237"/>
        <v>36.426136363636367</v>
      </c>
      <c r="O2337" s="918" t="str">
        <f t="shared" si="238"/>
        <v>Feb</v>
      </c>
      <c r="P2337" s="921">
        <f t="shared" si="239"/>
        <v>7</v>
      </c>
    </row>
    <row r="2338" spans="1:16" ht="15" hidden="1" customHeight="1">
      <c r="A2338" s="839">
        <v>64988056</v>
      </c>
      <c r="B2338" s="839">
        <v>2904</v>
      </c>
      <c r="C2338" s="906">
        <v>42</v>
      </c>
      <c r="D2338" s="907">
        <v>46069</v>
      </c>
      <c r="E2338" s="839" t="s">
        <v>268</v>
      </c>
      <c r="F2338" s="839" t="s">
        <v>269</v>
      </c>
      <c r="G2338" s="916">
        <f>VLOOKUP($A2338,'Tech Litons'!$A:$I,8,FALSE)</f>
        <v>8.513999999999999E-3</v>
      </c>
      <c r="H2338" s="917">
        <f>VLOOKUP($A2338,'Tech Litons'!$A:$I,9,FALSE)</f>
        <v>176</v>
      </c>
      <c r="I2338" s="917" t="str">
        <f>VLOOKUP($A2338,'Tech Litons'!$A:$C,3,0)</f>
        <v>48oz</v>
      </c>
      <c r="J2338" s="918" t="str">
        <f t="shared" si="235"/>
        <v>290448oz</v>
      </c>
      <c r="K2338" s="919">
        <v>1</v>
      </c>
      <c r="L2338" s="920">
        <f t="shared" si="234"/>
        <v>42</v>
      </c>
      <c r="M2338" s="920">
        <f t="shared" si="236"/>
        <v>0.35758799999999996</v>
      </c>
      <c r="N2338" s="920">
        <f t="shared" si="237"/>
        <v>0.23863636363636365</v>
      </c>
      <c r="O2338" s="918" t="str">
        <f t="shared" si="238"/>
        <v>Feb</v>
      </c>
      <c r="P2338" s="921">
        <f t="shared" si="239"/>
        <v>8</v>
      </c>
    </row>
    <row r="2339" spans="1:16" ht="15" hidden="1" customHeight="1">
      <c r="A2339" s="839">
        <v>64988056</v>
      </c>
      <c r="B2339" s="839">
        <v>2904</v>
      </c>
      <c r="C2339" s="906">
        <v>-42</v>
      </c>
      <c r="D2339" s="907">
        <v>46070</v>
      </c>
      <c r="E2339" s="839" t="s">
        <v>268</v>
      </c>
      <c r="F2339" s="839" t="s">
        <v>269</v>
      </c>
      <c r="G2339" s="916">
        <f>VLOOKUP($A2339,'Tech Litons'!$A:$I,8,FALSE)</f>
        <v>8.513999999999999E-3</v>
      </c>
      <c r="H2339" s="917">
        <f>VLOOKUP($A2339,'Tech Litons'!$A:$I,9,FALSE)</f>
        <v>176</v>
      </c>
      <c r="I2339" s="917" t="str">
        <f>VLOOKUP($A2339,'Tech Litons'!$A:$C,3,0)</f>
        <v>48oz</v>
      </c>
      <c r="J2339" s="918" t="str">
        <f t="shared" si="235"/>
        <v>290448oz</v>
      </c>
      <c r="K2339" s="919">
        <v>1</v>
      </c>
      <c r="L2339" s="920">
        <f t="shared" si="234"/>
        <v>-42</v>
      </c>
      <c r="M2339" s="920">
        <f t="shared" si="236"/>
        <v>-0.35758799999999996</v>
      </c>
      <c r="N2339" s="920">
        <f t="shared" si="237"/>
        <v>-0.23863636363636365</v>
      </c>
      <c r="O2339" s="918" t="str">
        <f t="shared" si="238"/>
        <v>Feb</v>
      </c>
      <c r="P2339" s="921">
        <f t="shared" si="239"/>
        <v>8</v>
      </c>
    </row>
    <row r="2340" spans="1:16" ht="15" hidden="1" customHeight="1">
      <c r="A2340" s="839">
        <v>64988927</v>
      </c>
      <c r="B2340" s="839">
        <v>2904</v>
      </c>
      <c r="C2340" s="906">
        <v>145</v>
      </c>
      <c r="D2340" s="907">
        <v>46073</v>
      </c>
      <c r="E2340" s="839" t="s">
        <v>1058</v>
      </c>
      <c r="F2340" s="839" t="s">
        <v>40</v>
      </c>
      <c r="G2340" s="916">
        <f>VLOOKUP($A2340,'Tech Litons'!$A:$I,8,FALSE)</f>
        <v>3.4159999999999998E-3</v>
      </c>
      <c r="H2340" s="917">
        <f>VLOOKUP($A2340,'Tech Litons'!$A:$I,9,FALSE)</f>
        <v>240</v>
      </c>
      <c r="I2340" s="917" t="str">
        <f>VLOOKUP($A2340,'Tech Litons'!$A:$C,3,0)</f>
        <v>Sundaes</v>
      </c>
      <c r="J2340" s="918" t="str">
        <f t="shared" si="235"/>
        <v>2904Sundaes</v>
      </c>
      <c r="K2340" s="919">
        <v>1</v>
      </c>
      <c r="L2340" s="920">
        <f t="shared" si="234"/>
        <v>145</v>
      </c>
      <c r="M2340" s="920">
        <f t="shared" si="236"/>
        <v>0.49531999999999998</v>
      </c>
      <c r="N2340" s="920">
        <f t="shared" si="237"/>
        <v>0.60416666666666663</v>
      </c>
      <c r="O2340" s="918" t="str">
        <f t="shared" si="238"/>
        <v>Feb</v>
      </c>
      <c r="P2340" s="921">
        <f t="shared" si="239"/>
        <v>8</v>
      </c>
    </row>
    <row r="2341" spans="1:16" ht="15" hidden="1" customHeight="1">
      <c r="A2341" s="839">
        <v>64988927</v>
      </c>
      <c r="B2341" s="839">
        <v>2904</v>
      </c>
      <c r="C2341" s="906">
        <v>2904</v>
      </c>
      <c r="D2341" s="907">
        <v>46073</v>
      </c>
      <c r="E2341" s="839" t="s">
        <v>1058</v>
      </c>
      <c r="F2341" s="839" t="s">
        <v>40</v>
      </c>
      <c r="G2341" s="916">
        <f>VLOOKUP($A2341,'Tech Litons'!$A:$I,8,FALSE)</f>
        <v>3.4159999999999998E-3</v>
      </c>
      <c r="H2341" s="917">
        <f>VLOOKUP($A2341,'Tech Litons'!$A:$I,9,FALSE)</f>
        <v>240</v>
      </c>
      <c r="I2341" s="917" t="str">
        <f>VLOOKUP($A2341,'Tech Litons'!$A:$C,3,0)</f>
        <v>Sundaes</v>
      </c>
      <c r="J2341" s="918" t="str">
        <f t="shared" si="235"/>
        <v>2904Sundaes</v>
      </c>
      <c r="K2341" s="919">
        <v>1</v>
      </c>
      <c r="L2341" s="920">
        <f t="shared" si="234"/>
        <v>2904</v>
      </c>
      <c r="M2341" s="920">
        <f t="shared" si="236"/>
        <v>9.920064</v>
      </c>
      <c r="N2341" s="920">
        <f t="shared" si="237"/>
        <v>12.1</v>
      </c>
      <c r="O2341" s="918" t="str">
        <f t="shared" si="238"/>
        <v>Feb</v>
      </c>
      <c r="P2341" s="921">
        <f t="shared" si="239"/>
        <v>8</v>
      </c>
    </row>
    <row r="2342" spans="1:16" ht="15" hidden="1" customHeight="1">
      <c r="A2342" s="839">
        <v>65431089</v>
      </c>
      <c r="B2342" s="839">
        <v>2904</v>
      </c>
      <c r="C2342" s="906">
        <v>-90</v>
      </c>
      <c r="D2342" s="907">
        <v>46052</v>
      </c>
      <c r="E2342" s="839" t="s">
        <v>368</v>
      </c>
      <c r="F2342" s="839" t="s">
        <v>277</v>
      </c>
      <c r="G2342" s="916">
        <f>VLOOKUP($A2342,'Tech Litons'!$A:$I,8,FALSE)</f>
        <v>3.7839999999999996E-3</v>
      </c>
      <c r="H2342" s="917">
        <f>VLOOKUP($A2342,'Tech Litons'!$A:$I,9,FALSE)</f>
        <v>255</v>
      </c>
      <c r="I2342" s="917" t="str">
        <f>VLOOKUP($A2342,'Tech Litons'!$A:$C,3,0)</f>
        <v>Talenti</v>
      </c>
      <c r="J2342" s="918" t="str">
        <f t="shared" si="235"/>
        <v>2904Talenti</v>
      </c>
      <c r="K2342" s="919">
        <v>1</v>
      </c>
      <c r="L2342" s="920">
        <f t="shared" si="234"/>
        <v>-90</v>
      </c>
      <c r="M2342" s="920">
        <f t="shared" si="236"/>
        <v>-0.34055999999999997</v>
      </c>
      <c r="N2342" s="920">
        <f t="shared" si="237"/>
        <v>-0.35294117647058826</v>
      </c>
      <c r="O2342" s="918" t="str">
        <f t="shared" si="238"/>
        <v>Jan</v>
      </c>
      <c r="P2342" s="921">
        <f t="shared" si="239"/>
        <v>5</v>
      </c>
    </row>
    <row r="2343" spans="1:16" ht="15" hidden="1" customHeight="1">
      <c r="A2343" s="839">
        <v>65431089</v>
      </c>
      <c r="B2343" s="839">
        <v>2904</v>
      </c>
      <c r="C2343" s="906">
        <v>-15</v>
      </c>
      <c r="D2343" s="907">
        <v>46070</v>
      </c>
      <c r="E2343" s="839" t="s">
        <v>368</v>
      </c>
      <c r="F2343" s="839" t="s">
        <v>277</v>
      </c>
      <c r="G2343" s="916">
        <f>VLOOKUP($A2343,'Tech Litons'!$A:$I,8,FALSE)</f>
        <v>3.7839999999999996E-3</v>
      </c>
      <c r="H2343" s="917">
        <f>VLOOKUP($A2343,'Tech Litons'!$A:$I,9,FALSE)</f>
        <v>255</v>
      </c>
      <c r="I2343" s="917" t="str">
        <f>VLOOKUP($A2343,'Tech Litons'!$A:$C,3,0)</f>
        <v>Talenti</v>
      </c>
      <c r="J2343" s="918" t="str">
        <f t="shared" si="235"/>
        <v>2904Talenti</v>
      </c>
      <c r="K2343" s="919">
        <v>1</v>
      </c>
      <c r="L2343" s="920">
        <f t="shared" si="234"/>
        <v>-15</v>
      </c>
      <c r="M2343" s="920">
        <f t="shared" si="236"/>
        <v>-5.6759999999999991E-2</v>
      </c>
      <c r="N2343" s="920">
        <f t="shared" si="237"/>
        <v>-5.8823529411764705E-2</v>
      </c>
      <c r="O2343" s="918" t="str">
        <f t="shared" si="238"/>
        <v>Feb</v>
      </c>
      <c r="P2343" s="921">
        <f t="shared" si="239"/>
        <v>8</v>
      </c>
    </row>
    <row r="2344" spans="1:16" ht="15" hidden="1" customHeight="1">
      <c r="A2344" s="839">
        <v>65431090</v>
      </c>
      <c r="B2344" s="839">
        <v>2904</v>
      </c>
      <c r="C2344" s="906">
        <v>5563</v>
      </c>
      <c r="D2344" s="907">
        <v>46050</v>
      </c>
      <c r="E2344" s="839" t="s">
        <v>375</v>
      </c>
      <c r="F2344" s="839" t="s">
        <v>275</v>
      </c>
      <c r="G2344" s="916">
        <f>VLOOKUP($A2344,'Tech Litons'!$A:$I,8,FALSE)</f>
        <v>3.7839999999999996E-3</v>
      </c>
      <c r="H2344" s="917">
        <f>VLOOKUP($A2344,'Tech Litons'!$A:$I,9,FALSE)</f>
        <v>255</v>
      </c>
      <c r="I2344" s="917" t="str">
        <f>VLOOKUP($A2344,'Tech Litons'!$A:$C,3,0)</f>
        <v>Talenti</v>
      </c>
      <c r="J2344" s="918" t="str">
        <f t="shared" si="235"/>
        <v>2904Talenti</v>
      </c>
      <c r="K2344" s="919">
        <v>1</v>
      </c>
      <c r="L2344" s="920">
        <f t="shared" si="234"/>
        <v>5563</v>
      </c>
      <c r="M2344" s="920">
        <f t="shared" si="236"/>
        <v>21.050391999999999</v>
      </c>
      <c r="N2344" s="920">
        <f t="shared" si="237"/>
        <v>21.815686274509805</v>
      </c>
      <c r="O2344" s="918" t="str">
        <f t="shared" si="238"/>
        <v>Jan</v>
      </c>
      <c r="P2344" s="921">
        <f t="shared" si="239"/>
        <v>5</v>
      </c>
    </row>
    <row r="2345" spans="1:16" ht="15" hidden="1" customHeight="1">
      <c r="A2345" s="839">
        <v>65459033</v>
      </c>
      <c r="B2345" s="839">
        <v>2904</v>
      </c>
      <c r="C2345" s="906">
        <v>3749</v>
      </c>
      <c r="D2345" s="907">
        <v>46062</v>
      </c>
      <c r="E2345" s="839" t="s">
        <v>1060</v>
      </c>
      <c r="F2345" s="839" t="s">
        <v>299</v>
      </c>
      <c r="G2345" s="916">
        <f>VLOOKUP($A2345,'Tech Litons'!$A:$I,8,FALSE)</f>
        <v>3.7839999999999996E-3</v>
      </c>
      <c r="H2345" s="917">
        <f>VLOOKUP($A2345,'Tech Litons'!$A:$I,9,FALSE)</f>
        <v>240</v>
      </c>
      <c r="I2345" s="917" t="str">
        <f>VLOOKUP($A2345,'Tech Litons'!$A:$C,3,0)</f>
        <v>Other</v>
      </c>
      <c r="J2345" s="918" t="str">
        <f t="shared" si="235"/>
        <v>2904Other</v>
      </c>
      <c r="K2345" s="919">
        <v>1</v>
      </c>
      <c r="L2345" s="920">
        <f t="shared" si="234"/>
        <v>3749</v>
      </c>
      <c r="M2345" s="920">
        <f t="shared" si="236"/>
        <v>14.186215999999998</v>
      </c>
      <c r="N2345" s="920">
        <f t="shared" si="237"/>
        <v>15.620833333333334</v>
      </c>
      <c r="O2345" s="918" t="str">
        <f t="shared" si="238"/>
        <v>Feb</v>
      </c>
      <c r="P2345" s="921">
        <f t="shared" si="239"/>
        <v>7</v>
      </c>
    </row>
    <row r="2346" spans="1:16" ht="15" hidden="1" customHeight="1">
      <c r="A2346" s="839">
        <v>65459033</v>
      </c>
      <c r="B2346" s="839">
        <v>2904</v>
      </c>
      <c r="C2346" s="906">
        <v>8396</v>
      </c>
      <c r="D2346" s="907">
        <v>46063</v>
      </c>
      <c r="E2346" s="839" t="s">
        <v>1060</v>
      </c>
      <c r="F2346" s="839" t="s">
        <v>299</v>
      </c>
      <c r="G2346" s="916">
        <f>VLOOKUP($A2346,'Tech Litons'!$A:$I,8,FALSE)</f>
        <v>3.7839999999999996E-3</v>
      </c>
      <c r="H2346" s="917">
        <f>VLOOKUP($A2346,'Tech Litons'!$A:$I,9,FALSE)</f>
        <v>240</v>
      </c>
      <c r="I2346" s="917" t="str">
        <f>VLOOKUP($A2346,'Tech Litons'!$A:$C,3,0)</f>
        <v>Other</v>
      </c>
      <c r="J2346" s="918" t="str">
        <f t="shared" si="235"/>
        <v>2904Other</v>
      </c>
      <c r="K2346" s="919">
        <v>1</v>
      </c>
      <c r="L2346" s="920">
        <f t="shared" si="234"/>
        <v>8396</v>
      </c>
      <c r="M2346" s="920">
        <f t="shared" si="236"/>
        <v>31.770463999999997</v>
      </c>
      <c r="N2346" s="920">
        <f t="shared" si="237"/>
        <v>34.983333333333334</v>
      </c>
      <c r="O2346" s="918" t="str">
        <f t="shared" si="238"/>
        <v>Feb</v>
      </c>
      <c r="P2346" s="921">
        <f t="shared" si="239"/>
        <v>7</v>
      </c>
    </row>
    <row r="2347" spans="1:16" ht="15" hidden="1" customHeight="1">
      <c r="A2347" s="839">
        <v>65459033</v>
      </c>
      <c r="B2347" s="839">
        <v>2904</v>
      </c>
      <c r="C2347" s="906">
        <v>240</v>
      </c>
      <c r="D2347" s="907">
        <v>46064</v>
      </c>
      <c r="E2347" s="839" t="s">
        <v>1060</v>
      </c>
      <c r="F2347" s="839" t="s">
        <v>299</v>
      </c>
      <c r="G2347" s="916">
        <f>VLOOKUP($A2347,'Tech Litons'!$A:$I,8,FALSE)</f>
        <v>3.7839999999999996E-3</v>
      </c>
      <c r="H2347" s="917">
        <f>VLOOKUP($A2347,'Tech Litons'!$A:$I,9,FALSE)</f>
        <v>240</v>
      </c>
      <c r="I2347" s="917" t="str">
        <f>VLOOKUP($A2347,'Tech Litons'!$A:$C,3,0)</f>
        <v>Other</v>
      </c>
      <c r="J2347" s="918" t="str">
        <f t="shared" si="235"/>
        <v>2904Other</v>
      </c>
      <c r="K2347" s="919">
        <v>1</v>
      </c>
      <c r="L2347" s="920">
        <f t="shared" si="234"/>
        <v>240</v>
      </c>
      <c r="M2347" s="920">
        <f t="shared" si="236"/>
        <v>0.90815999999999986</v>
      </c>
      <c r="N2347" s="920">
        <f t="shared" si="237"/>
        <v>1</v>
      </c>
      <c r="O2347" s="918" t="str">
        <f t="shared" si="238"/>
        <v>Feb</v>
      </c>
      <c r="P2347" s="921">
        <f t="shared" si="239"/>
        <v>7</v>
      </c>
    </row>
    <row r="2348" spans="1:16" ht="15" hidden="1" customHeight="1">
      <c r="A2348" s="839">
        <v>65459033</v>
      </c>
      <c r="B2348" s="839">
        <v>2904</v>
      </c>
      <c r="C2348" s="906">
        <v>7848</v>
      </c>
      <c r="D2348" s="907">
        <v>46063</v>
      </c>
      <c r="E2348" s="839" t="s">
        <v>1060</v>
      </c>
      <c r="F2348" s="839" t="s">
        <v>299</v>
      </c>
      <c r="G2348" s="916">
        <f>VLOOKUP($A2348,'Tech Litons'!$A:$I,8,FALSE)</f>
        <v>3.7839999999999996E-3</v>
      </c>
      <c r="H2348" s="917">
        <f>VLOOKUP($A2348,'Tech Litons'!$A:$I,9,FALSE)</f>
        <v>240</v>
      </c>
      <c r="I2348" s="917" t="str">
        <f>VLOOKUP($A2348,'Tech Litons'!$A:$C,3,0)</f>
        <v>Other</v>
      </c>
      <c r="J2348" s="918" t="str">
        <f t="shared" si="235"/>
        <v>2904Other</v>
      </c>
      <c r="K2348" s="919">
        <v>1</v>
      </c>
      <c r="L2348" s="920">
        <f t="shared" si="234"/>
        <v>7848</v>
      </c>
      <c r="M2348" s="920">
        <f t="shared" si="236"/>
        <v>29.696831999999997</v>
      </c>
      <c r="N2348" s="920">
        <f t="shared" si="237"/>
        <v>32.700000000000003</v>
      </c>
      <c r="O2348" s="918" t="str">
        <f t="shared" si="238"/>
        <v>Feb</v>
      </c>
      <c r="P2348" s="921">
        <f t="shared" si="239"/>
        <v>7</v>
      </c>
    </row>
    <row r="2349" spans="1:16" ht="15" hidden="1" customHeight="1">
      <c r="A2349" s="839">
        <v>65459033</v>
      </c>
      <c r="B2349" s="839">
        <v>2904</v>
      </c>
      <c r="C2349" s="906">
        <v>9584</v>
      </c>
      <c r="D2349" s="907">
        <v>46064</v>
      </c>
      <c r="E2349" s="839" t="s">
        <v>1060</v>
      </c>
      <c r="F2349" s="839" t="s">
        <v>299</v>
      </c>
      <c r="G2349" s="916">
        <f>VLOOKUP($A2349,'Tech Litons'!$A:$I,8,FALSE)</f>
        <v>3.7839999999999996E-3</v>
      </c>
      <c r="H2349" s="917">
        <f>VLOOKUP($A2349,'Tech Litons'!$A:$I,9,FALSE)</f>
        <v>240</v>
      </c>
      <c r="I2349" s="917" t="str">
        <f>VLOOKUP($A2349,'Tech Litons'!$A:$C,3,0)</f>
        <v>Other</v>
      </c>
      <c r="J2349" s="918" t="str">
        <f t="shared" si="235"/>
        <v>2904Other</v>
      </c>
      <c r="K2349" s="919">
        <v>1</v>
      </c>
      <c r="L2349" s="920">
        <f t="shared" si="234"/>
        <v>9584</v>
      </c>
      <c r="M2349" s="920">
        <f t="shared" si="236"/>
        <v>36.265855999999999</v>
      </c>
      <c r="N2349" s="920">
        <f t="shared" si="237"/>
        <v>39.93333333333333</v>
      </c>
      <c r="O2349" s="918" t="str">
        <f t="shared" si="238"/>
        <v>Feb</v>
      </c>
      <c r="P2349" s="921">
        <f t="shared" si="239"/>
        <v>7</v>
      </c>
    </row>
    <row r="2350" spans="1:16" ht="15" hidden="1" customHeight="1">
      <c r="A2350" s="839">
        <v>65459033</v>
      </c>
      <c r="B2350" s="839">
        <v>2904</v>
      </c>
      <c r="C2350" s="906">
        <v>2498</v>
      </c>
      <c r="D2350" s="907">
        <v>46064</v>
      </c>
      <c r="E2350" s="839" t="s">
        <v>1060</v>
      </c>
      <c r="F2350" s="839" t="s">
        <v>299</v>
      </c>
      <c r="G2350" s="916">
        <f>VLOOKUP($A2350,'Tech Litons'!$A:$I,8,FALSE)</f>
        <v>3.7839999999999996E-3</v>
      </c>
      <c r="H2350" s="917">
        <f>VLOOKUP($A2350,'Tech Litons'!$A:$I,9,FALSE)</f>
        <v>240</v>
      </c>
      <c r="I2350" s="917" t="str">
        <f>VLOOKUP($A2350,'Tech Litons'!$A:$C,3,0)</f>
        <v>Other</v>
      </c>
      <c r="J2350" s="918" t="str">
        <f t="shared" si="235"/>
        <v>2904Other</v>
      </c>
      <c r="K2350" s="919">
        <v>1</v>
      </c>
      <c r="L2350" s="920">
        <f t="shared" si="234"/>
        <v>2498</v>
      </c>
      <c r="M2350" s="920">
        <f t="shared" si="236"/>
        <v>9.4524319999999982</v>
      </c>
      <c r="N2350" s="920">
        <f t="shared" si="237"/>
        <v>10.408333333333333</v>
      </c>
      <c r="O2350" s="918" t="str">
        <f t="shared" si="238"/>
        <v>Feb</v>
      </c>
      <c r="P2350" s="921">
        <f t="shared" si="239"/>
        <v>7</v>
      </c>
    </row>
    <row r="2351" spans="1:16" ht="15" hidden="1" customHeight="1">
      <c r="A2351" s="839">
        <v>65459033</v>
      </c>
      <c r="B2351" s="839">
        <v>2904</v>
      </c>
      <c r="C2351" s="906">
        <v>239</v>
      </c>
      <c r="D2351" s="907">
        <v>46065</v>
      </c>
      <c r="E2351" s="839" t="s">
        <v>1060</v>
      </c>
      <c r="F2351" s="839" t="s">
        <v>299</v>
      </c>
      <c r="G2351" s="916">
        <f>VLOOKUP($A2351,'Tech Litons'!$A:$I,8,FALSE)</f>
        <v>3.7839999999999996E-3</v>
      </c>
      <c r="H2351" s="917">
        <f>VLOOKUP($A2351,'Tech Litons'!$A:$I,9,FALSE)</f>
        <v>240</v>
      </c>
      <c r="I2351" s="917" t="str">
        <f>VLOOKUP($A2351,'Tech Litons'!$A:$C,3,0)</f>
        <v>Other</v>
      </c>
      <c r="J2351" s="918" t="str">
        <f t="shared" si="235"/>
        <v>2904Other</v>
      </c>
      <c r="K2351" s="919">
        <v>1</v>
      </c>
      <c r="L2351" s="920">
        <f t="shared" si="234"/>
        <v>239</v>
      </c>
      <c r="M2351" s="920">
        <f t="shared" si="236"/>
        <v>0.90437599999999996</v>
      </c>
      <c r="N2351" s="920">
        <f t="shared" si="237"/>
        <v>0.99583333333333335</v>
      </c>
      <c r="O2351" s="918" t="str">
        <f t="shared" si="238"/>
        <v>Feb</v>
      </c>
      <c r="P2351" s="921">
        <f t="shared" si="239"/>
        <v>7</v>
      </c>
    </row>
    <row r="2352" spans="1:16" ht="15" hidden="1" customHeight="1">
      <c r="A2352" s="839">
        <v>65459033</v>
      </c>
      <c r="B2352" s="839">
        <v>2904</v>
      </c>
      <c r="C2352" s="906">
        <v>240</v>
      </c>
      <c r="D2352" s="907">
        <v>46066</v>
      </c>
      <c r="E2352" s="839" t="s">
        <v>1060</v>
      </c>
      <c r="F2352" s="839" t="s">
        <v>299</v>
      </c>
      <c r="G2352" s="916">
        <f>VLOOKUP($A2352,'Tech Litons'!$A:$I,8,FALSE)</f>
        <v>3.7839999999999996E-3</v>
      </c>
      <c r="H2352" s="917">
        <f>VLOOKUP($A2352,'Tech Litons'!$A:$I,9,FALSE)</f>
        <v>240</v>
      </c>
      <c r="I2352" s="917" t="str">
        <f>VLOOKUP($A2352,'Tech Litons'!$A:$C,3,0)</f>
        <v>Other</v>
      </c>
      <c r="J2352" s="918" t="str">
        <f t="shared" si="235"/>
        <v>2904Other</v>
      </c>
      <c r="K2352" s="919">
        <v>1</v>
      </c>
      <c r="L2352" s="920">
        <f t="shared" si="234"/>
        <v>240</v>
      </c>
      <c r="M2352" s="920">
        <f t="shared" si="236"/>
        <v>0.90815999999999986</v>
      </c>
      <c r="N2352" s="920">
        <f t="shared" si="237"/>
        <v>1</v>
      </c>
      <c r="O2352" s="918" t="str">
        <f t="shared" si="238"/>
        <v>Feb</v>
      </c>
      <c r="P2352" s="921">
        <f t="shared" si="239"/>
        <v>7</v>
      </c>
    </row>
    <row r="2353" spans="1:16" ht="15" hidden="1" customHeight="1">
      <c r="A2353" s="839">
        <v>65459388</v>
      </c>
      <c r="B2353" s="839">
        <v>2904</v>
      </c>
      <c r="C2353" s="906">
        <v>7804</v>
      </c>
      <c r="D2353" s="907">
        <v>46065</v>
      </c>
      <c r="E2353" s="839" t="s">
        <v>1061</v>
      </c>
      <c r="F2353" s="839" t="s">
        <v>299</v>
      </c>
      <c r="G2353" s="916">
        <f>VLOOKUP($A2353,'Tech Litons'!$A:$I,8,FALSE)</f>
        <v>3.7839999999999996E-3</v>
      </c>
      <c r="H2353" s="917">
        <f>VLOOKUP($A2353,'Tech Litons'!$A:$I,9,FALSE)</f>
        <v>240</v>
      </c>
      <c r="I2353" s="917" t="str">
        <f>VLOOKUP($A2353,'Tech Litons'!$A:$C,3,0)</f>
        <v>Other</v>
      </c>
      <c r="J2353" s="918" t="str">
        <f t="shared" si="235"/>
        <v>2904Other</v>
      </c>
      <c r="K2353" s="919">
        <v>1</v>
      </c>
      <c r="L2353" s="920">
        <f t="shared" si="234"/>
        <v>7804</v>
      </c>
      <c r="M2353" s="920">
        <f t="shared" si="236"/>
        <v>29.530335999999998</v>
      </c>
      <c r="N2353" s="920">
        <f t="shared" si="237"/>
        <v>32.516666666666666</v>
      </c>
      <c r="O2353" s="918" t="str">
        <f t="shared" si="238"/>
        <v>Feb</v>
      </c>
      <c r="P2353" s="921">
        <f t="shared" si="239"/>
        <v>7</v>
      </c>
    </row>
    <row r="2354" spans="1:16" ht="15" hidden="1" customHeight="1">
      <c r="A2354" s="839">
        <v>65459388</v>
      </c>
      <c r="B2354" s="839">
        <v>2904</v>
      </c>
      <c r="C2354" s="906">
        <v>9240</v>
      </c>
      <c r="D2354" s="907">
        <v>46066</v>
      </c>
      <c r="E2354" s="839" t="s">
        <v>1061</v>
      </c>
      <c r="F2354" s="839" t="s">
        <v>299</v>
      </c>
      <c r="G2354" s="916">
        <f>VLOOKUP($A2354,'Tech Litons'!$A:$I,8,FALSE)</f>
        <v>3.7839999999999996E-3</v>
      </c>
      <c r="H2354" s="917">
        <f>VLOOKUP($A2354,'Tech Litons'!$A:$I,9,FALSE)</f>
        <v>240</v>
      </c>
      <c r="I2354" s="917" t="str">
        <f>VLOOKUP($A2354,'Tech Litons'!$A:$C,3,0)</f>
        <v>Other</v>
      </c>
      <c r="J2354" s="918" t="str">
        <f t="shared" si="235"/>
        <v>2904Other</v>
      </c>
      <c r="K2354" s="919">
        <v>1</v>
      </c>
      <c r="L2354" s="920">
        <f t="shared" si="234"/>
        <v>9240</v>
      </c>
      <c r="M2354" s="920">
        <f t="shared" si="236"/>
        <v>34.96416</v>
      </c>
      <c r="N2354" s="920">
        <f t="shared" si="237"/>
        <v>38.5</v>
      </c>
      <c r="O2354" s="918" t="str">
        <f t="shared" si="238"/>
        <v>Feb</v>
      </c>
      <c r="P2354" s="921">
        <f t="shared" si="239"/>
        <v>7</v>
      </c>
    </row>
    <row r="2355" spans="1:16" ht="15" hidden="1" customHeight="1">
      <c r="A2355" s="839">
        <v>65459388</v>
      </c>
      <c r="B2355" s="839">
        <v>2904</v>
      </c>
      <c r="C2355" s="906">
        <v>-137</v>
      </c>
      <c r="D2355" s="907">
        <v>46070</v>
      </c>
      <c r="E2355" s="839" t="s">
        <v>1061</v>
      </c>
      <c r="F2355" s="839" t="s">
        <v>299</v>
      </c>
      <c r="G2355" s="916">
        <f>VLOOKUP($A2355,'Tech Litons'!$A:$I,8,FALSE)</f>
        <v>3.7839999999999996E-3</v>
      </c>
      <c r="H2355" s="917">
        <f>VLOOKUP($A2355,'Tech Litons'!$A:$I,9,FALSE)</f>
        <v>240</v>
      </c>
      <c r="I2355" s="917" t="str">
        <f>VLOOKUP($A2355,'Tech Litons'!$A:$C,3,0)</f>
        <v>Other</v>
      </c>
      <c r="J2355" s="918" t="str">
        <f t="shared" si="235"/>
        <v>2904Other</v>
      </c>
      <c r="K2355" s="919">
        <v>1</v>
      </c>
      <c r="L2355" s="920">
        <f t="shared" si="234"/>
        <v>-137</v>
      </c>
      <c r="M2355" s="920">
        <f t="shared" si="236"/>
        <v>-0.51840799999999998</v>
      </c>
      <c r="N2355" s="920">
        <f t="shared" si="237"/>
        <v>-0.5708333333333333</v>
      </c>
      <c r="O2355" s="918" t="str">
        <f t="shared" si="238"/>
        <v>Feb</v>
      </c>
      <c r="P2355" s="921">
        <f t="shared" si="239"/>
        <v>8</v>
      </c>
    </row>
    <row r="2356" spans="1:16" ht="15" hidden="1" customHeight="1">
      <c r="A2356" s="839">
        <v>65459388</v>
      </c>
      <c r="B2356" s="839">
        <v>2904</v>
      </c>
      <c r="C2356" s="906">
        <v>7845</v>
      </c>
      <c r="D2356" s="907">
        <v>46066</v>
      </c>
      <c r="E2356" s="839" t="s">
        <v>1061</v>
      </c>
      <c r="F2356" s="839" t="s">
        <v>299</v>
      </c>
      <c r="G2356" s="916">
        <f>VLOOKUP($A2356,'Tech Litons'!$A:$I,8,FALSE)</f>
        <v>3.7839999999999996E-3</v>
      </c>
      <c r="H2356" s="917">
        <f>VLOOKUP($A2356,'Tech Litons'!$A:$I,9,FALSE)</f>
        <v>240</v>
      </c>
      <c r="I2356" s="917" t="str">
        <f>VLOOKUP($A2356,'Tech Litons'!$A:$C,3,0)</f>
        <v>Other</v>
      </c>
      <c r="J2356" s="918" t="str">
        <f t="shared" si="235"/>
        <v>2904Other</v>
      </c>
      <c r="K2356" s="919">
        <v>1</v>
      </c>
      <c r="L2356" s="920">
        <f t="shared" si="234"/>
        <v>7845</v>
      </c>
      <c r="M2356" s="920">
        <f t="shared" si="236"/>
        <v>29.685479999999998</v>
      </c>
      <c r="N2356" s="920">
        <f t="shared" si="237"/>
        <v>32.6875</v>
      </c>
      <c r="O2356" s="918" t="str">
        <f t="shared" si="238"/>
        <v>Feb</v>
      </c>
      <c r="P2356" s="921">
        <f t="shared" si="239"/>
        <v>7</v>
      </c>
    </row>
    <row r="2357" spans="1:16" ht="15" hidden="1" customHeight="1">
      <c r="A2357" s="839">
        <v>65459388</v>
      </c>
      <c r="B2357" s="839">
        <v>2904</v>
      </c>
      <c r="C2357" s="906">
        <v>370</v>
      </c>
      <c r="D2357" s="907">
        <v>46067</v>
      </c>
      <c r="E2357" s="839" t="s">
        <v>1061</v>
      </c>
      <c r="F2357" s="839" t="s">
        <v>299</v>
      </c>
      <c r="G2357" s="916">
        <f>VLOOKUP($A2357,'Tech Litons'!$A:$I,8,FALSE)</f>
        <v>3.7839999999999996E-3</v>
      </c>
      <c r="H2357" s="917">
        <f>VLOOKUP($A2357,'Tech Litons'!$A:$I,9,FALSE)</f>
        <v>240</v>
      </c>
      <c r="I2357" s="917" t="str">
        <f>VLOOKUP($A2357,'Tech Litons'!$A:$C,3,0)</f>
        <v>Other</v>
      </c>
      <c r="J2357" s="918" t="str">
        <f t="shared" si="235"/>
        <v>2904Other</v>
      </c>
      <c r="K2357" s="919">
        <v>1</v>
      </c>
      <c r="L2357" s="920">
        <f t="shared" si="234"/>
        <v>370</v>
      </c>
      <c r="M2357" s="920">
        <f t="shared" si="236"/>
        <v>1.4000799999999998</v>
      </c>
      <c r="N2357" s="920">
        <f t="shared" si="237"/>
        <v>1.5416666666666667</v>
      </c>
      <c r="O2357" s="918" t="str">
        <f t="shared" si="238"/>
        <v>Feb</v>
      </c>
      <c r="P2357" s="921">
        <f t="shared" si="239"/>
        <v>7</v>
      </c>
    </row>
    <row r="2358" spans="1:16" ht="15" hidden="1" customHeight="1">
      <c r="A2358" s="839">
        <v>65459388</v>
      </c>
      <c r="B2358" s="839">
        <v>2904</v>
      </c>
      <c r="C2358" s="906">
        <v>240</v>
      </c>
      <c r="D2358" s="907">
        <v>46069</v>
      </c>
      <c r="E2358" s="839" t="s">
        <v>1061</v>
      </c>
      <c r="F2358" s="839" t="s">
        <v>299</v>
      </c>
      <c r="G2358" s="916">
        <f>VLOOKUP($A2358,'Tech Litons'!$A:$I,8,FALSE)</f>
        <v>3.7839999999999996E-3</v>
      </c>
      <c r="H2358" s="917">
        <f>VLOOKUP($A2358,'Tech Litons'!$A:$I,9,FALSE)</f>
        <v>240</v>
      </c>
      <c r="I2358" s="917" t="str">
        <f>VLOOKUP($A2358,'Tech Litons'!$A:$C,3,0)</f>
        <v>Other</v>
      </c>
      <c r="J2358" s="918" t="str">
        <f t="shared" si="235"/>
        <v>2904Other</v>
      </c>
      <c r="K2358" s="919">
        <v>1</v>
      </c>
      <c r="L2358" s="920">
        <f t="shared" si="234"/>
        <v>240</v>
      </c>
      <c r="M2358" s="920">
        <f t="shared" si="236"/>
        <v>0.90815999999999986</v>
      </c>
      <c r="N2358" s="920">
        <f t="shared" si="237"/>
        <v>1</v>
      </c>
      <c r="O2358" s="918" t="str">
        <f t="shared" si="238"/>
        <v>Feb</v>
      </c>
      <c r="P2358" s="921">
        <f t="shared" si="239"/>
        <v>8</v>
      </c>
    </row>
    <row r="2359" spans="1:16" ht="15" hidden="1" customHeight="1">
      <c r="A2359" s="839">
        <v>65459388</v>
      </c>
      <c r="B2359" s="839">
        <v>2904</v>
      </c>
      <c r="C2359" s="906">
        <v>5369</v>
      </c>
      <c r="D2359" s="907">
        <v>46065</v>
      </c>
      <c r="E2359" s="839" t="s">
        <v>1061</v>
      </c>
      <c r="F2359" s="839" t="s">
        <v>299</v>
      </c>
      <c r="G2359" s="916">
        <f>VLOOKUP($A2359,'Tech Litons'!$A:$I,8,FALSE)</f>
        <v>3.7839999999999996E-3</v>
      </c>
      <c r="H2359" s="917">
        <f>VLOOKUP($A2359,'Tech Litons'!$A:$I,9,FALSE)</f>
        <v>240</v>
      </c>
      <c r="I2359" s="917" t="str">
        <f>VLOOKUP($A2359,'Tech Litons'!$A:$C,3,0)</f>
        <v>Other</v>
      </c>
      <c r="J2359" s="918" t="str">
        <f t="shared" si="235"/>
        <v>2904Other</v>
      </c>
      <c r="K2359" s="919">
        <v>1</v>
      </c>
      <c r="L2359" s="920">
        <f t="shared" si="234"/>
        <v>5369</v>
      </c>
      <c r="M2359" s="920">
        <f t="shared" si="236"/>
        <v>20.316295999999998</v>
      </c>
      <c r="N2359" s="920">
        <f t="shared" si="237"/>
        <v>22.370833333333334</v>
      </c>
      <c r="O2359" s="918" t="str">
        <f t="shared" si="238"/>
        <v>Feb</v>
      </c>
      <c r="P2359" s="921">
        <f t="shared" si="239"/>
        <v>7</v>
      </c>
    </row>
    <row r="2360" spans="1:16" ht="15" hidden="1" customHeight="1">
      <c r="A2360" s="839">
        <v>65471855</v>
      </c>
      <c r="B2360" s="839">
        <v>2904</v>
      </c>
      <c r="C2360" s="906">
        <v>720</v>
      </c>
      <c r="D2360" s="907">
        <v>46069</v>
      </c>
      <c r="E2360" s="839" t="s">
        <v>248</v>
      </c>
      <c r="F2360" s="839" t="s">
        <v>299</v>
      </c>
      <c r="G2360" s="916">
        <f>VLOOKUP($A2360,'Tech Litons'!$A:$I,8,FALSE)</f>
        <v>3.7839999999999996E-3</v>
      </c>
      <c r="H2360" s="917">
        <f>VLOOKUP($A2360,'Tech Litons'!$A:$I,9,FALSE)</f>
        <v>240</v>
      </c>
      <c r="I2360" s="917" t="str">
        <f>VLOOKUP($A2360,'Tech Litons'!$A:$C,3,0)</f>
        <v>Other</v>
      </c>
      <c r="J2360" s="918" t="str">
        <f t="shared" si="235"/>
        <v>2904Other</v>
      </c>
      <c r="K2360" s="919">
        <v>1</v>
      </c>
      <c r="L2360" s="920">
        <f t="shared" si="234"/>
        <v>720</v>
      </c>
      <c r="M2360" s="920">
        <f t="shared" si="236"/>
        <v>2.7244799999999998</v>
      </c>
      <c r="N2360" s="920">
        <f t="shared" si="237"/>
        <v>3</v>
      </c>
      <c r="O2360" s="918" t="str">
        <f t="shared" si="238"/>
        <v>Feb</v>
      </c>
      <c r="P2360" s="921">
        <f t="shared" si="239"/>
        <v>8</v>
      </c>
    </row>
    <row r="2361" spans="1:16" ht="15" hidden="1" customHeight="1">
      <c r="A2361" s="839">
        <v>65471855</v>
      </c>
      <c r="B2361" s="839">
        <v>2904</v>
      </c>
      <c r="C2361" s="906">
        <v>8847</v>
      </c>
      <c r="D2361" s="907">
        <v>46070</v>
      </c>
      <c r="E2361" s="839" t="s">
        <v>248</v>
      </c>
      <c r="F2361" s="839" t="s">
        <v>299</v>
      </c>
      <c r="G2361" s="916">
        <f>VLOOKUP($A2361,'Tech Litons'!$A:$I,8,FALSE)</f>
        <v>3.7839999999999996E-3</v>
      </c>
      <c r="H2361" s="917">
        <f>VLOOKUP($A2361,'Tech Litons'!$A:$I,9,FALSE)</f>
        <v>240</v>
      </c>
      <c r="I2361" s="917" t="str">
        <f>VLOOKUP($A2361,'Tech Litons'!$A:$C,3,0)</f>
        <v>Other</v>
      </c>
      <c r="J2361" s="918" t="str">
        <f t="shared" si="235"/>
        <v>2904Other</v>
      </c>
      <c r="K2361" s="919">
        <v>1</v>
      </c>
      <c r="L2361" s="920">
        <f t="shared" si="234"/>
        <v>8847</v>
      </c>
      <c r="M2361" s="920">
        <f t="shared" si="236"/>
        <v>33.477047999999996</v>
      </c>
      <c r="N2361" s="920">
        <f t="shared" si="237"/>
        <v>36.862499999999997</v>
      </c>
      <c r="O2361" s="918" t="str">
        <f t="shared" si="238"/>
        <v>Feb</v>
      </c>
      <c r="P2361" s="921">
        <f t="shared" si="239"/>
        <v>8</v>
      </c>
    </row>
    <row r="2362" spans="1:16" ht="15" hidden="1" customHeight="1">
      <c r="A2362" s="839">
        <v>65471855</v>
      </c>
      <c r="B2362" s="839">
        <v>2904</v>
      </c>
      <c r="C2362" s="906">
        <v>7127</v>
      </c>
      <c r="D2362" s="907">
        <v>46070</v>
      </c>
      <c r="E2362" s="839" t="s">
        <v>248</v>
      </c>
      <c r="F2362" s="839" t="s">
        <v>299</v>
      </c>
      <c r="G2362" s="916">
        <f>VLOOKUP($A2362,'Tech Litons'!$A:$I,8,FALSE)</f>
        <v>3.7839999999999996E-3</v>
      </c>
      <c r="H2362" s="917">
        <f>VLOOKUP($A2362,'Tech Litons'!$A:$I,9,FALSE)</f>
        <v>240</v>
      </c>
      <c r="I2362" s="917" t="str">
        <f>VLOOKUP($A2362,'Tech Litons'!$A:$C,3,0)</f>
        <v>Other</v>
      </c>
      <c r="J2362" s="918" t="str">
        <f t="shared" si="235"/>
        <v>2904Other</v>
      </c>
      <c r="K2362" s="919">
        <v>1</v>
      </c>
      <c r="L2362" s="920">
        <f t="shared" si="234"/>
        <v>7127</v>
      </c>
      <c r="M2362" s="920">
        <f t="shared" si="236"/>
        <v>26.968567999999998</v>
      </c>
      <c r="N2362" s="920">
        <f t="shared" si="237"/>
        <v>29.695833333333333</v>
      </c>
      <c r="O2362" s="918" t="str">
        <f t="shared" si="238"/>
        <v>Feb</v>
      </c>
      <c r="P2362" s="921">
        <f t="shared" si="239"/>
        <v>8</v>
      </c>
    </row>
    <row r="2363" spans="1:16" ht="15" hidden="1" customHeight="1">
      <c r="A2363" s="839">
        <v>65471855</v>
      </c>
      <c r="B2363" s="839">
        <v>2904</v>
      </c>
      <c r="C2363" s="906">
        <v>720</v>
      </c>
      <c r="D2363" s="907">
        <v>46071</v>
      </c>
      <c r="E2363" s="839" t="s">
        <v>248</v>
      </c>
      <c r="F2363" s="839" t="s">
        <v>299</v>
      </c>
      <c r="G2363" s="916">
        <f>VLOOKUP($A2363,'Tech Litons'!$A:$I,8,FALSE)</f>
        <v>3.7839999999999996E-3</v>
      </c>
      <c r="H2363" s="917">
        <f>VLOOKUP($A2363,'Tech Litons'!$A:$I,9,FALSE)</f>
        <v>240</v>
      </c>
      <c r="I2363" s="917" t="str">
        <f>VLOOKUP($A2363,'Tech Litons'!$A:$C,3,0)</f>
        <v>Other</v>
      </c>
      <c r="J2363" s="918" t="str">
        <f t="shared" si="235"/>
        <v>2904Other</v>
      </c>
      <c r="K2363" s="919">
        <v>1</v>
      </c>
      <c r="L2363" s="920">
        <f t="shared" si="234"/>
        <v>720</v>
      </c>
      <c r="M2363" s="920">
        <f t="shared" si="236"/>
        <v>2.7244799999999998</v>
      </c>
      <c r="N2363" s="920">
        <f t="shared" si="237"/>
        <v>3</v>
      </c>
      <c r="O2363" s="918" t="str">
        <f t="shared" si="238"/>
        <v>Feb</v>
      </c>
      <c r="P2363" s="921">
        <f t="shared" si="239"/>
        <v>8</v>
      </c>
    </row>
    <row r="2364" spans="1:16" ht="15" hidden="1" customHeight="1">
      <c r="A2364" s="839">
        <v>65471855</v>
      </c>
      <c r="B2364" s="839">
        <v>2904</v>
      </c>
      <c r="C2364" s="906">
        <v>1200</v>
      </c>
      <c r="D2364" s="907">
        <v>46073</v>
      </c>
      <c r="E2364" s="839" t="s">
        <v>248</v>
      </c>
      <c r="F2364" s="839" t="s">
        <v>299</v>
      </c>
      <c r="G2364" s="916">
        <f>VLOOKUP($A2364,'Tech Litons'!$A:$I,8,FALSE)</f>
        <v>3.7839999999999996E-3</v>
      </c>
      <c r="H2364" s="917">
        <f>VLOOKUP($A2364,'Tech Litons'!$A:$I,9,FALSE)</f>
        <v>240</v>
      </c>
      <c r="I2364" s="917" t="str">
        <f>VLOOKUP($A2364,'Tech Litons'!$A:$C,3,0)</f>
        <v>Other</v>
      </c>
      <c r="J2364" s="918" t="str">
        <f t="shared" si="235"/>
        <v>2904Other</v>
      </c>
      <c r="K2364" s="919">
        <v>1</v>
      </c>
      <c r="L2364" s="920">
        <f t="shared" si="234"/>
        <v>1200</v>
      </c>
      <c r="M2364" s="920">
        <f t="shared" si="236"/>
        <v>4.5407999999999999</v>
      </c>
      <c r="N2364" s="920">
        <f t="shared" si="237"/>
        <v>5</v>
      </c>
      <c r="O2364" s="918" t="str">
        <f t="shared" si="238"/>
        <v>Feb</v>
      </c>
      <c r="P2364" s="921">
        <f t="shared" si="239"/>
        <v>8</v>
      </c>
    </row>
    <row r="2365" spans="1:16" ht="15" hidden="1" customHeight="1">
      <c r="A2365" s="839">
        <v>65471855</v>
      </c>
      <c r="B2365" s="839">
        <v>2904</v>
      </c>
      <c r="C2365" s="906">
        <v>2125</v>
      </c>
      <c r="D2365" s="907">
        <v>46074</v>
      </c>
      <c r="E2365" s="839" t="s">
        <v>248</v>
      </c>
      <c r="F2365" s="839" t="s">
        <v>299</v>
      </c>
      <c r="G2365" s="916">
        <f>VLOOKUP($A2365,'Tech Litons'!$A:$I,8,FALSE)</f>
        <v>3.7839999999999996E-3</v>
      </c>
      <c r="H2365" s="917">
        <f>VLOOKUP($A2365,'Tech Litons'!$A:$I,9,FALSE)</f>
        <v>240</v>
      </c>
      <c r="I2365" s="917" t="str">
        <f>VLOOKUP($A2365,'Tech Litons'!$A:$C,3,0)</f>
        <v>Other</v>
      </c>
      <c r="J2365" s="918" t="str">
        <f t="shared" si="235"/>
        <v>2904Other</v>
      </c>
      <c r="K2365" s="919">
        <v>1</v>
      </c>
      <c r="L2365" s="920">
        <f t="shared" si="234"/>
        <v>2125</v>
      </c>
      <c r="M2365" s="920">
        <f t="shared" si="236"/>
        <v>8.0409999999999986</v>
      </c>
      <c r="N2365" s="920">
        <f t="shared" si="237"/>
        <v>8.8541666666666661</v>
      </c>
      <c r="O2365" s="918" t="str">
        <f t="shared" si="238"/>
        <v>Feb</v>
      </c>
      <c r="P2365" s="921">
        <f t="shared" si="239"/>
        <v>8</v>
      </c>
    </row>
    <row r="2366" spans="1:16" ht="15" hidden="1" customHeight="1">
      <c r="A2366" s="839">
        <v>67826412</v>
      </c>
      <c r="B2366" s="839">
        <v>2904</v>
      </c>
      <c r="C2366" s="906">
        <v>7315</v>
      </c>
      <c r="D2366" s="907">
        <v>46050</v>
      </c>
      <c r="E2366" s="839" t="s">
        <v>312</v>
      </c>
      <c r="F2366" s="839" t="s">
        <v>299</v>
      </c>
      <c r="G2366" s="916">
        <f>VLOOKUP($A2366,'Tech Litons'!$A:$I,8,FALSE)</f>
        <v>3.7853439999999999E-3</v>
      </c>
      <c r="H2366" s="917">
        <f>VLOOKUP($A2366,'Tech Litons'!$A:$I,9,FALSE)</f>
        <v>240</v>
      </c>
      <c r="I2366" s="917" t="str">
        <f>VLOOKUP($A2366,'Tech Litons'!$A:$C,3,0)</f>
        <v>BJ PTS</v>
      </c>
      <c r="J2366" s="918" t="str">
        <f t="shared" si="235"/>
        <v>2904BJ PTS</v>
      </c>
      <c r="K2366" s="919">
        <v>1</v>
      </c>
      <c r="L2366" s="920">
        <f t="shared" ref="L2366:L2428" si="240">C2366*$K2366</f>
        <v>7315</v>
      </c>
      <c r="M2366" s="920">
        <f t="shared" si="236"/>
        <v>27.689791360000001</v>
      </c>
      <c r="N2366" s="920">
        <f t="shared" si="237"/>
        <v>30.479166666666668</v>
      </c>
      <c r="O2366" s="918" t="str">
        <f t="shared" si="238"/>
        <v>Jan</v>
      </c>
      <c r="P2366" s="921">
        <f t="shared" si="239"/>
        <v>5</v>
      </c>
    </row>
    <row r="2367" spans="1:16" ht="15" hidden="1" customHeight="1">
      <c r="A2367" s="839">
        <v>67826412</v>
      </c>
      <c r="B2367" s="839">
        <v>2904</v>
      </c>
      <c r="C2367" s="906">
        <v>7324</v>
      </c>
      <c r="D2367" s="907">
        <v>46051</v>
      </c>
      <c r="E2367" s="839" t="s">
        <v>312</v>
      </c>
      <c r="F2367" s="839" t="s">
        <v>299</v>
      </c>
      <c r="G2367" s="916">
        <f>VLOOKUP($A2367,'Tech Litons'!$A:$I,8,FALSE)</f>
        <v>3.7853439999999999E-3</v>
      </c>
      <c r="H2367" s="917">
        <f>VLOOKUP($A2367,'Tech Litons'!$A:$I,9,FALSE)</f>
        <v>240</v>
      </c>
      <c r="I2367" s="917" t="str">
        <f>VLOOKUP($A2367,'Tech Litons'!$A:$C,3,0)</f>
        <v>BJ PTS</v>
      </c>
      <c r="J2367" s="918" t="str">
        <f t="shared" ref="J2367:J2428" si="241">B2367&amp;I2367</f>
        <v>2904BJ PTS</v>
      </c>
      <c r="K2367" s="919">
        <v>1</v>
      </c>
      <c r="L2367" s="920">
        <f t="shared" si="240"/>
        <v>7324</v>
      </c>
      <c r="M2367" s="920">
        <f t="shared" ref="M2367:M2428" si="242">L2367*G2367</f>
        <v>27.723859456</v>
      </c>
      <c r="N2367" s="920">
        <f t="shared" ref="N2367:N2428" si="243">L2367/H2367</f>
        <v>30.516666666666666</v>
      </c>
      <c r="O2367" s="918" t="str">
        <f t="shared" ref="O2367:O2428" si="244">TEXT(D2367,"MMM")</f>
        <v>Jan</v>
      </c>
      <c r="P2367" s="921">
        <f t="shared" ref="P2367:P2428" si="245">WEEKNUM(D2367)</f>
        <v>5</v>
      </c>
    </row>
    <row r="2368" spans="1:16" ht="15" hidden="1" customHeight="1">
      <c r="A2368" s="839">
        <v>67826412</v>
      </c>
      <c r="B2368" s="839">
        <v>2904</v>
      </c>
      <c r="C2368" s="906">
        <v>3002</v>
      </c>
      <c r="D2368" s="907">
        <v>46050</v>
      </c>
      <c r="E2368" s="839" t="s">
        <v>312</v>
      </c>
      <c r="F2368" s="839" t="s">
        <v>299</v>
      </c>
      <c r="G2368" s="916">
        <f>VLOOKUP($A2368,'Tech Litons'!$A:$I,8,FALSE)</f>
        <v>3.7853439999999999E-3</v>
      </c>
      <c r="H2368" s="917">
        <f>VLOOKUP($A2368,'Tech Litons'!$A:$I,9,FALSE)</f>
        <v>240</v>
      </c>
      <c r="I2368" s="917" t="str">
        <f>VLOOKUP($A2368,'Tech Litons'!$A:$C,3,0)</f>
        <v>BJ PTS</v>
      </c>
      <c r="J2368" s="918" t="str">
        <f t="shared" si="241"/>
        <v>2904BJ PTS</v>
      </c>
      <c r="K2368" s="919">
        <v>1</v>
      </c>
      <c r="L2368" s="920">
        <f t="shared" si="240"/>
        <v>3002</v>
      </c>
      <c r="M2368" s="920">
        <f t="shared" si="242"/>
        <v>11.363602688</v>
      </c>
      <c r="N2368" s="920">
        <f t="shared" si="243"/>
        <v>12.508333333333333</v>
      </c>
      <c r="O2368" s="918" t="str">
        <f t="shared" si="244"/>
        <v>Jan</v>
      </c>
      <c r="P2368" s="921">
        <f t="shared" si="245"/>
        <v>5</v>
      </c>
    </row>
    <row r="2369" spans="1:16" ht="15" hidden="1" customHeight="1">
      <c r="A2369" s="839">
        <v>67826412</v>
      </c>
      <c r="B2369" s="839">
        <v>2904</v>
      </c>
      <c r="C2369" s="906">
        <v>7505</v>
      </c>
      <c r="D2369" s="907">
        <v>46051</v>
      </c>
      <c r="E2369" s="839" t="s">
        <v>312</v>
      </c>
      <c r="F2369" s="839" t="s">
        <v>299</v>
      </c>
      <c r="G2369" s="916">
        <f>VLOOKUP($A2369,'Tech Litons'!$A:$I,8,FALSE)</f>
        <v>3.7853439999999999E-3</v>
      </c>
      <c r="H2369" s="917">
        <f>VLOOKUP($A2369,'Tech Litons'!$A:$I,9,FALSE)</f>
        <v>240</v>
      </c>
      <c r="I2369" s="917" t="str">
        <f>VLOOKUP($A2369,'Tech Litons'!$A:$C,3,0)</f>
        <v>BJ PTS</v>
      </c>
      <c r="J2369" s="918" t="str">
        <f t="shared" si="241"/>
        <v>2904BJ PTS</v>
      </c>
      <c r="K2369" s="919">
        <v>1</v>
      </c>
      <c r="L2369" s="920">
        <f t="shared" si="240"/>
        <v>7505</v>
      </c>
      <c r="M2369" s="920">
        <f t="shared" si="242"/>
        <v>28.409006720000001</v>
      </c>
      <c r="N2369" s="920">
        <f t="shared" si="243"/>
        <v>31.270833333333332</v>
      </c>
      <c r="O2369" s="918" t="str">
        <f t="shared" si="244"/>
        <v>Jan</v>
      </c>
      <c r="P2369" s="921">
        <f t="shared" si="245"/>
        <v>5</v>
      </c>
    </row>
    <row r="2370" spans="1:16" ht="15" hidden="1" customHeight="1">
      <c r="A2370" s="839">
        <v>67826412</v>
      </c>
      <c r="B2370" s="839">
        <v>2904</v>
      </c>
      <c r="C2370" s="906">
        <v>5671</v>
      </c>
      <c r="D2370" s="907">
        <v>46052</v>
      </c>
      <c r="E2370" s="839" t="s">
        <v>312</v>
      </c>
      <c r="F2370" s="839" t="s">
        <v>299</v>
      </c>
      <c r="G2370" s="916">
        <f>VLOOKUP($A2370,'Tech Litons'!$A:$I,8,FALSE)</f>
        <v>3.7853439999999999E-3</v>
      </c>
      <c r="H2370" s="917">
        <f>VLOOKUP($A2370,'Tech Litons'!$A:$I,9,FALSE)</f>
        <v>240</v>
      </c>
      <c r="I2370" s="917" t="str">
        <f>VLOOKUP($A2370,'Tech Litons'!$A:$C,3,0)</f>
        <v>BJ PTS</v>
      </c>
      <c r="J2370" s="918" t="str">
        <f t="shared" si="241"/>
        <v>2904BJ PTS</v>
      </c>
      <c r="K2370" s="919">
        <v>1</v>
      </c>
      <c r="L2370" s="920">
        <f t="shared" si="240"/>
        <v>5671</v>
      </c>
      <c r="M2370" s="920">
        <f t="shared" si="242"/>
        <v>21.466685823999999</v>
      </c>
      <c r="N2370" s="920">
        <f t="shared" si="243"/>
        <v>23.629166666666666</v>
      </c>
      <c r="O2370" s="918" t="str">
        <f t="shared" si="244"/>
        <v>Jan</v>
      </c>
      <c r="P2370" s="921">
        <f t="shared" si="245"/>
        <v>5</v>
      </c>
    </row>
    <row r="2371" spans="1:16" ht="15" hidden="1" customHeight="1">
      <c r="A2371" s="839">
        <v>68354586</v>
      </c>
      <c r="B2371" s="839">
        <v>2904</v>
      </c>
      <c r="C2371" s="906">
        <v>240</v>
      </c>
      <c r="D2371" s="907">
        <v>46057</v>
      </c>
      <c r="E2371" s="839" t="s">
        <v>361</v>
      </c>
      <c r="F2371" s="839" t="s">
        <v>40</v>
      </c>
      <c r="G2371" s="916">
        <f>VLOOKUP($A2371,'Tech Litons'!$A:$I,8,FALSE)</f>
        <v>3.5999999999999999E-3</v>
      </c>
      <c r="H2371" s="917">
        <f>VLOOKUP($A2371,'Tech Litons'!$A:$I,9,FALSE)</f>
        <v>240</v>
      </c>
      <c r="I2371" s="917" t="str">
        <f>VLOOKUP($A2371,'Tech Litons'!$A:$C,3,0)</f>
        <v>Topped</v>
      </c>
      <c r="J2371" s="918" t="str">
        <f t="shared" si="241"/>
        <v>2904Topped</v>
      </c>
      <c r="K2371" s="919">
        <v>1</v>
      </c>
      <c r="L2371" s="920">
        <f t="shared" si="240"/>
        <v>240</v>
      </c>
      <c r="M2371" s="920">
        <f t="shared" si="242"/>
        <v>0.86399999999999999</v>
      </c>
      <c r="N2371" s="920">
        <f t="shared" si="243"/>
        <v>1</v>
      </c>
      <c r="O2371" s="918" t="str">
        <f t="shared" si="244"/>
        <v>Feb</v>
      </c>
      <c r="P2371" s="921">
        <f t="shared" si="245"/>
        <v>6</v>
      </c>
    </row>
    <row r="2372" spans="1:16" ht="15" hidden="1" customHeight="1">
      <c r="A2372" s="839">
        <v>68354586</v>
      </c>
      <c r="B2372" s="839">
        <v>2904</v>
      </c>
      <c r="C2372" s="906">
        <v>15</v>
      </c>
      <c r="D2372" s="907">
        <v>46057</v>
      </c>
      <c r="E2372" s="839" t="s">
        <v>361</v>
      </c>
      <c r="F2372" s="839" t="s">
        <v>40</v>
      </c>
      <c r="G2372" s="916">
        <f>VLOOKUP($A2372,'Tech Litons'!$A:$I,8,FALSE)</f>
        <v>3.5999999999999999E-3</v>
      </c>
      <c r="H2372" s="917">
        <f>VLOOKUP($A2372,'Tech Litons'!$A:$I,9,FALSE)</f>
        <v>240</v>
      </c>
      <c r="I2372" s="917" t="str">
        <f>VLOOKUP($A2372,'Tech Litons'!$A:$C,3,0)</f>
        <v>Topped</v>
      </c>
      <c r="J2372" s="918" t="str">
        <f t="shared" si="241"/>
        <v>2904Topped</v>
      </c>
      <c r="K2372" s="919">
        <v>1</v>
      </c>
      <c r="L2372" s="920">
        <f t="shared" si="240"/>
        <v>15</v>
      </c>
      <c r="M2372" s="920">
        <f t="shared" si="242"/>
        <v>5.3999999999999999E-2</v>
      </c>
      <c r="N2372" s="920">
        <f t="shared" si="243"/>
        <v>6.25E-2</v>
      </c>
      <c r="O2372" s="918" t="str">
        <f t="shared" si="244"/>
        <v>Feb</v>
      </c>
      <c r="P2372" s="921">
        <f t="shared" si="245"/>
        <v>6</v>
      </c>
    </row>
    <row r="2373" spans="1:16" ht="15" hidden="1" customHeight="1">
      <c r="A2373" s="839">
        <v>68354586</v>
      </c>
      <c r="B2373" s="839">
        <v>2904</v>
      </c>
      <c r="C2373" s="906">
        <v>-63</v>
      </c>
      <c r="D2373" s="907">
        <v>46052</v>
      </c>
      <c r="E2373" s="839" t="s">
        <v>361</v>
      </c>
      <c r="F2373" s="839" t="s">
        <v>40</v>
      </c>
      <c r="G2373" s="916">
        <f>VLOOKUP($A2373,'Tech Litons'!$A:$I,8,FALSE)</f>
        <v>3.5999999999999999E-3</v>
      </c>
      <c r="H2373" s="917">
        <f>VLOOKUP($A2373,'Tech Litons'!$A:$I,9,FALSE)</f>
        <v>240</v>
      </c>
      <c r="I2373" s="917" t="str">
        <f>VLOOKUP($A2373,'Tech Litons'!$A:$C,3,0)</f>
        <v>Topped</v>
      </c>
      <c r="J2373" s="918" t="str">
        <f t="shared" si="241"/>
        <v>2904Topped</v>
      </c>
      <c r="K2373" s="919">
        <v>1</v>
      </c>
      <c r="L2373" s="920">
        <f t="shared" si="240"/>
        <v>-63</v>
      </c>
      <c r="M2373" s="920">
        <f t="shared" si="242"/>
        <v>-0.2268</v>
      </c>
      <c r="N2373" s="920">
        <f t="shared" si="243"/>
        <v>-0.26250000000000001</v>
      </c>
      <c r="O2373" s="918" t="str">
        <f t="shared" si="244"/>
        <v>Jan</v>
      </c>
      <c r="P2373" s="921">
        <f t="shared" si="245"/>
        <v>5</v>
      </c>
    </row>
    <row r="2374" spans="1:16" ht="15" hidden="1" customHeight="1">
      <c r="A2374" s="839">
        <v>68649095</v>
      </c>
      <c r="B2374" s="839">
        <v>2904</v>
      </c>
      <c r="C2374" s="906">
        <v>579</v>
      </c>
      <c r="D2374" s="907">
        <v>46056</v>
      </c>
      <c r="E2374" s="839" t="s">
        <v>294</v>
      </c>
      <c r="F2374" s="839" t="s">
        <v>40</v>
      </c>
      <c r="G2374" s="916">
        <f>VLOOKUP($A2374,'Tech Litons'!$A:$I,8,FALSE)</f>
        <v>3.5999999999999999E-3</v>
      </c>
      <c r="H2374" s="917">
        <f>VLOOKUP($A2374,'Tech Litons'!$A:$I,9,FALSE)</f>
        <v>240</v>
      </c>
      <c r="I2374" s="917" t="str">
        <f>VLOOKUP($A2374,'Tech Litons'!$A:$C,3,0)</f>
        <v>Topped</v>
      </c>
      <c r="J2374" s="918" t="str">
        <f t="shared" si="241"/>
        <v>2904Topped</v>
      </c>
      <c r="K2374" s="919">
        <v>1</v>
      </c>
      <c r="L2374" s="920">
        <f t="shared" si="240"/>
        <v>579</v>
      </c>
      <c r="M2374" s="920">
        <f t="shared" si="242"/>
        <v>2.0844</v>
      </c>
      <c r="N2374" s="920">
        <f t="shared" si="243"/>
        <v>2.4125000000000001</v>
      </c>
      <c r="O2374" s="918" t="str">
        <f t="shared" si="244"/>
        <v>Feb</v>
      </c>
      <c r="P2374" s="921">
        <f t="shared" si="245"/>
        <v>6</v>
      </c>
    </row>
    <row r="2375" spans="1:16" ht="15" hidden="1" customHeight="1">
      <c r="A2375" s="839">
        <v>68649095</v>
      </c>
      <c r="B2375" s="839">
        <v>2904</v>
      </c>
      <c r="C2375" s="906">
        <v>4766</v>
      </c>
      <c r="D2375" s="907">
        <v>46056</v>
      </c>
      <c r="E2375" s="839" t="s">
        <v>294</v>
      </c>
      <c r="F2375" s="839" t="s">
        <v>40</v>
      </c>
      <c r="G2375" s="916">
        <f>VLOOKUP($A2375,'Tech Litons'!$A:$I,8,FALSE)</f>
        <v>3.5999999999999999E-3</v>
      </c>
      <c r="H2375" s="917">
        <f>VLOOKUP($A2375,'Tech Litons'!$A:$I,9,FALSE)</f>
        <v>240</v>
      </c>
      <c r="I2375" s="917" t="str">
        <f>VLOOKUP($A2375,'Tech Litons'!$A:$C,3,0)</f>
        <v>Topped</v>
      </c>
      <c r="J2375" s="918" t="str">
        <f t="shared" si="241"/>
        <v>2904Topped</v>
      </c>
      <c r="K2375" s="919">
        <v>1</v>
      </c>
      <c r="L2375" s="920">
        <f t="shared" si="240"/>
        <v>4766</v>
      </c>
      <c r="M2375" s="920">
        <f t="shared" si="242"/>
        <v>17.157599999999999</v>
      </c>
      <c r="N2375" s="920">
        <f t="shared" si="243"/>
        <v>19.858333333333334</v>
      </c>
      <c r="O2375" s="918" t="str">
        <f t="shared" si="244"/>
        <v>Feb</v>
      </c>
      <c r="P2375" s="921">
        <f t="shared" si="245"/>
        <v>6</v>
      </c>
    </row>
    <row r="2376" spans="1:16" ht="15" hidden="1" customHeight="1">
      <c r="A2376" s="839">
        <v>68649095</v>
      </c>
      <c r="B2376" s="839">
        <v>2904</v>
      </c>
      <c r="C2376" s="906">
        <v>4273</v>
      </c>
      <c r="D2376" s="907">
        <v>46057</v>
      </c>
      <c r="E2376" s="839" t="s">
        <v>294</v>
      </c>
      <c r="F2376" s="839" t="s">
        <v>40</v>
      </c>
      <c r="G2376" s="916">
        <f>VLOOKUP($A2376,'Tech Litons'!$A:$I,8,FALSE)</f>
        <v>3.5999999999999999E-3</v>
      </c>
      <c r="H2376" s="917">
        <f>VLOOKUP($A2376,'Tech Litons'!$A:$I,9,FALSE)</f>
        <v>240</v>
      </c>
      <c r="I2376" s="917" t="str">
        <f>VLOOKUP($A2376,'Tech Litons'!$A:$C,3,0)</f>
        <v>Topped</v>
      </c>
      <c r="J2376" s="918" t="str">
        <f t="shared" si="241"/>
        <v>2904Topped</v>
      </c>
      <c r="K2376" s="919">
        <v>1</v>
      </c>
      <c r="L2376" s="920">
        <f t="shared" si="240"/>
        <v>4273</v>
      </c>
      <c r="M2376" s="920">
        <f t="shared" si="242"/>
        <v>15.3828</v>
      </c>
      <c r="N2376" s="920">
        <f t="shared" si="243"/>
        <v>17.804166666666667</v>
      </c>
      <c r="O2376" s="918" t="str">
        <f t="shared" si="244"/>
        <v>Feb</v>
      </c>
      <c r="P2376" s="921">
        <f t="shared" si="245"/>
        <v>6</v>
      </c>
    </row>
    <row r="2377" spans="1:16" ht="15" hidden="1" customHeight="1">
      <c r="A2377" s="839">
        <v>68649095</v>
      </c>
      <c r="B2377" s="839">
        <v>2904</v>
      </c>
      <c r="C2377" s="906">
        <v>5265</v>
      </c>
      <c r="D2377" s="907">
        <v>46057</v>
      </c>
      <c r="E2377" s="839" t="s">
        <v>294</v>
      </c>
      <c r="F2377" s="839" t="s">
        <v>40</v>
      </c>
      <c r="G2377" s="916">
        <f>VLOOKUP($A2377,'Tech Litons'!$A:$I,8,FALSE)</f>
        <v>3.5999999999999999E-3</v>
      </c>
      <c r="H2377" s="917">
        <f>VLOOKUP($A2377,'Tech Litons'!$A:$I,9,FALSE)</f>
        <v>240</v>
      </c>
      <c r="I2377" s="917" t="str">
        <f>VLOOKUP($A2377,'Tech Litons'!$A:$C,3,0)</f>
        <v>Topped</v>
      </c>
      <c r="J2377" s="918" t="str">
        <f t="shared" si="241"/>
        <v>2904Topped</v>
      </c>
      <c r="K2377" s="919">
        <v>1</v>
      </c>
      <c r="L2377" s="920">
        <f t="shared" si="240"/>
        <v>5265</v>
      </c>
      <c r="M2377" s="920">
        <f t="shared" si="242"/>
        <v>18.954000000000001</v>
      </c>
      <c r="N2377" s="920">
        <f t="shared" si="243"/>
        <v>21.9375</v>
      </c>
      <c r="O2377" s="918" t="str">
        <f t="shared" si="244"/>
        <v>Feb</v>
      </c>
      <c r="P2377" s="921">
        <f t="shared" si="245"/>
        <v>6</v>
      </c>
    </row>
    <row r="2378" spans="1:16" ht="15" hidden="1" customHeight="1">
      <c r="A2378" s="839">
        <v>68649095</v>
      </c>
      <c r="B2378" s="839">
        <v>2904</v>
      </c>
      <c r="C2378" s="906">
        <v>7953</v>
      </c>
      <c r="D2378" s="907">
        <v>46058</v>
      </c>
      <c r="E2378" s="839" t="s">
        <v>294</v>
      </c>
      <c r="F2378" s="839" t="s">
        <v>40</v>
      </c>
      <c r="G2378" s="916">
        <f>VLOOKUP($A2378,'Tech Litons'!$A:$I,8,FALSE)</f>
        <v>3.5999999999999999E-3</v>
      </c>
      <c r="H2378" s="917">
        <f>VLOOKUP($A2378,'Tech Litons'!$A:$I,9,FALSE)</f>
        <v>240</v>
      </c>
      <c r="I2378" s="917" t="str">
        <f>VLOOKUP($A2378,'Tech Litons'!$A:$C,3,0)</f>
        <v>Topped</v>
      </c>
      <c r="J2378" s="918" t="str">
        <f t="shared" si="241"/>
        <v>2904Topped</v>
      </c>
      <c r="K2378" s="919">
        <v>1</v>
      </c>
      <c r="L2378" s="920">
        <f t="shared" si="240"/>
        <v>7953</v>
      </c>
      <c r="M2378" s="920">
        <f t="shared" si="242"/>
        <v>28.630800000000001</v>
      </c>
      <c r="N2378" s="920">
        <f t="shared" si="243"/>
        <v>33.137500000000003</v>
      </c>
      <c r="O2378" s="918" t="str">
        <f t="shared" si="244"/>
        <v>Feb</v>
      </c>
      <c r="P2378" s="921">
        <f t="shared" si="245"/>
        <v>6</v>
      </c>
    </row>
    <row r="2379" spans="1:16" ht="15" hidden="1" customHeight="1">
      <c r="A2379" s="839">
        <v>68649095</v>
      </c>
      <c r="B2379" s="839">
        <v>2904</v>
      </c>
      <c r="C2379" s="906">
        <v>5899</v>
      </c>
      <c r="D2379" s="907">
        <v>46058</v>
      </c>
      <c r="E2379" s="839" t="s">
        <v>294</v>
      </c>
      <c r="F2379" s="839" t="s">
        <v>40</v>
      </c>
      <c r="G2379" s="916">
        <f>VLOOKUP($A2379,'Tech Litons'!$A:$I,8,FALSE)</f>
        <v>3.5999999999999999E-3</v>
      </c>
      <c r="H2379" s="917">
        <f>VLOOKUP($A2379,'Tech Litons'!$A:$I,9,FALSE)</f>
        <v>240</v>
      </c>
      <c r="I2379" s="917" t="str">
        <f>VLOOKUP($A2379,'Tech Litons'!$A:$C,3,0)</f>
        <v>Topped</v>
      </c>
      <c r="J2379" s="918" t="str">
        <f t="shared" si="241"/>
        <v>2904Topped</v>
      </c>
      <c r="K2379" s="919">
        <v>1</v>
      </c>
      <c r="L2379" s="920">
        <f t="shared" si="240"/>
        <v>5899</v>
      </c>
      <c r="M2379" s="920">
        <f t="shared" si="242"/>
        <v>21.2364</v>
      </c>
      <c r="N2379" s="920">
        <f t="shared" si="243"/>
        <v>24.579166666666666</v>
      </c>
      <c r="O2379" s="918" t="str">
        <f t="shared" si="244"/>
        <v>Feb</v>
      </c>
      <c r="P2379" s="921">
        <f t="shared" si="245"/>
        <v>6</v>
      </c>
    </row>
    <row r="2380" spans="1:16" ht="15" hidden="1" customHeight="1">
      <c r="A2380" s="839">
        <v>68649095</v>
      </c>
      <c r="B2380" s="839">
        <v>2904</v>
      </c>
      <c r="C2380" s="906">
        <v>8075</v>
      </c>
      <c r="D2380" s="907">
        <v>46059</v>
      </c>
      <c r="E2380" s="839" t="s">
        <v>294</v>
      </c>
      <c r="F2380" s="839" t="s">
        <v>40</v>
      </c>
      <c r="G2380" s="916">
        <f>VLOOKUP($A2380,'Tech Litons'!$A:$I,8,FALSE)</f>
        <v>3.5999999999999999E-3</v>
      </c>
      <c r="H2380" s="917">
        <f>VLOOKUP($A2380,'Tech Litons'!$A:$I,9,FALSE)</f>
        <v>240</v>
      </c>
      <c r="I2380" s="917" t="str">
        <f>VLOOKUP($A2380,'Tech Litons'!$A:$C,3,0)</f>
        <v>Topped</v>
      </c>
      <c r="J2380" s="918" t="str">
        <f t="shared" si="241"/>
        <v>2904Topped</v>
      </c>
      <c r="K2380" s="919">
        <v>1</v>
      </c>
      <c r="L2380" s="920">
        <f t="shared" si="240"/>
        <v>8075</v>
      </c>
      <c r="M2380" s="920">
        <f t="shared" si="242"/>
        <v>29.07</v>
      </c>
      <c r="N2380" s="920">
        <f t="shared" si="243"/>
        <v>33.645833333333336</v>
      </c>
      <c r="O2380" s="918" t="str">
        <f t="shared" si="244"/>
        <v>Feb</v>
      </c>
      <c r="P2380" s="921">
        <f t="shared" si="245"/>
        <v>6</v>
      </c>
    </row>
    <row r="2381" spans="1:16" ht="15" hidden="1" customHeight="1">
      <c r="A2381" s="839">
        <v>68649095</v>
      </c>
      <c r="B2381" s="839">
        <v>2904</v>
      </c>
      <c r="C2381" s="906">
        <v>6656</v>
      </c>
      <c r="D2381" s="907">
        <v>46059</v>
      </c>
      <c r="E2381" s="839" t="s">
        <v>294</v>
      </c>
      <c r="F2381" s="839" t="s">
        <v>40</v>
      </c>
      <c r="G2381" s="916">
        <f>VLOOKUP($A2381,'Tech Litons'!$A:$I,8,FALSE)</f>
        <v>3.5999999999999999E-3</v>
      </c>
      <c r="H2381" s="917">
        <f>VLOOKUP($A2381,'Tech Litons'!$A:$I,9,FALSE)</f>
        <v>240</v>
      </c>
      <c r="I2381" s="917" t="str">
        <f>VLOOKUP($A2381,'Tech Litons'!$A:$C,3,0)</f>
        <v>Topped</v>
      </c>
      <c r="J2381" s="918" t="str">
        <f t="shared" si="241"/>
        <v>2904Topped</v>
      </c>
      <c r="K2381" s="919">
        <v>1</v>
      </c>
      <c r="L2381" s="920">
        <f t="shared" si="240"/>
        <v>6656</v>
      </c>
      <c r="M2381" s="920">
        <f t="shared" si="242"/>
        <v>23.961600000000001</v>
      </c>
      <c r="N2381" s="920">
        <f t="shared" si="243"/>
        <v>27.733333333333334</v>
      </c>
      <c r="O2381" s="918" t="str">
        <f t="shared" si="244"/>
        <v>Feb</v>
      </c>
      <c r="P2381" s="921">
        <f t="shared" si="245"/>
        <v>6</v>
      </c>
    </row>
    <row r="2382" spans="1:16" ht="15" hidden="1" customHeight="1">
      <c r="A2382" s="839">
        <v>68649095</v>
      </c>
      <c r="B2382" s="839">
        <v>2904</v>
      </c>
      <c r="C2382" s="906">
        <v>4245</v>
      </c>
      <c r="D2382" s="907">
        <v>46060</v>
      </c>
      <c r="E2382" s="839" t="s">
        <v>294</v>
      </c>
      <c r="F2382" s="839" t="s">
        <v>40</v>
      </c>
      <c r="G2382" s="916">
        <f>VLOOKUP($A2382,'Tech Litons'!$A:$I,8,FALSE)</f>
        <v>3.5999999999999999E-3</v>
      </c>
      <c r="H2382" s="917">
        <f>VLOOKUP($A2382,'Tech Litons'!$A:$I,9,FALSE)</f>
        <v>240</v>
      </c>
      <c r="I2382" s="917" t="str">
        <f>VLOOKUP($A2382,'Tech Litons'!$A:$C,3,0)</f>
        <v>Topped</v>
      </c>
      <c r="J2382" s="918" t="str">
        <f t="shared" si="241"/>
        <v>2904Topped</v>
      </c>
      <c r="K2382" s="919">
        <v>1</v>
      </c>
      <c r="L2382" s="920">
        <f t="shared" si="240"/>
        <v>4245</v>
      </c>
      <c r="M2382" s="920">
        <f t="shared" si="242"/>
        <v>15.282</v>
      </c>
      <c r="N2382" s="920">
        <f t="shared" si="243"/>
        <v>17.6875</v>
      </c>
      <c r="O2382" s="918" t="str">
        <f t="shared" si="244"/>
        <v>Feb</v>
      </c>
      <c r="P2382" s="921">
        <f t="shared" si="245"/>
        <v>6</v>
      </c>
    </row>
    <row r="2383" spans="1:16" ht="15" hidden="1" customHeight="1">
      <c r="A2383" s="839">
        <v>68649095</v>
      </c>
      <c r="B2383" s="839">
        <v>2904</v>
      </c>
      <c r="C2383" s="906">
        <v>641</v>
      </c>
      <c r="D2383" s="907">
        <v>46062</v>
      </c>
      <c r="E2383" s="839" t="s">
        <v>294</v>
      </c>
      <c r="F2383" s="839" t="s">
        <v>40</v>
      </c>
      <c r="G2383" s="916">
        <f>VLOOKUP($A2383,'Tech Litons'!$A:$I,8,FALSE)</f>
        <v>3.5999999999999999E-3</v>
      </c>
      <c r="H2383" s="917">
        <f>VLOOKUP($A2383,'Tech Litons'!$A:$I,9,FALSE)</f>
        <v>240</v>
      </c>
      <c r="I2383" s="917" t="str">
        <f>VLOOKUP($A2383,'Tech Litons'!$A:$C,3,0)</f>
        <v>Topped</v>
      </c>
      <c r="J2383" s="918" t="str">
        <f t="shared" si="241"/>
        <v>2904Topped</v>
      </c>
      <c r="K2383" s="919">
        <v>1</v>
      </c>
      <c r="L2383" s="920">
        <f t="shared" si="240"/>
        <v>641</v>
      </c>
      <c r="M2383" s="920">
        <f t="shared" si="242"/>
        <v>2.3075999999999999</v>
      </c>
      <c r="N2383" s="920">
        <f t="shared" si="243"/>
        <v>2.6708333333333334</v>
      </c>
      <c r="O2383" s="918" t="str">
        <f t="shared" si="244"/>
        <v>Feb</v>
      </c>
      <c r="P2383" s="921">
        <f t="shared" si="245"/>
        <v>7</v>
      </c>
    </row>
    <row r="2384" spans="1:16" ht="15" hidden="1" customHeight="1">
      <c r="A2384" s="839">
        <v>68649095</v>
      </c>
      <c r="B2384" s="839">
        <v>2904</v>
      </c>
      <c r="C2384" s="906">
        <v>7515</v>
      </c>
      <c r="D2384" s="907">
        <v>46062</v>
      </c>
      <c r="E2384" s="839" t="s">
        <v>294</v>
      </c>
      <c r="F2384" s="839" t="s">
        <v>40</v>
      </c>
      <c r="G2384" s="916">
        <f>VLOOKUP($A2384,'Tech Litons'!$A:$I,8,FALSE)</f>
        <v>3.5999999999999999E-3</v>
      </c>
      <c r="H2384" s="917">
        <f>VLOOKUP($A2384,'Tech Litons'!$A:$I,9,FALSE)</f>
        <v>240</v>
      </c>
      <c r="I2384" s="917" t="str">
        <f>VLOOKUP($A2384,'Tech Litons'!$A:$C,3,0)</f>
        <v>Topped</v>
      </c>
      <c r="J2384" s="918" t="str">
        <f t="shared" si="241"/>
        <v>2904Topped</v>
      </c>
      <c r="K2384" s="919">
        <v>1</v>
      </c>
      <c r="L2384" s="920">
        <f t="shared" si="240"/>
        <v>7515</v>
      </c>
      <c r="M2384" s="920">
        <f t="shared" si="242"/>
        <v>27.053999999999998</v>
      </c>
      <c r="N2384" s="920">
        <f t="shared" si="243"/>
        <v>31.3125</v>
      </c>
      <c r="O2384" s="918" t="str">
        <f t="shared" si="244"/>
        <v>Feb</v>
      </c>
      <c r="P2384" s="921">
        <f t="shared" si="245"/>
        <v>7</v>
      </c>
    </row>
    <row r="2385" spans="1:16" ht="15" hidden="1" customHeight="1">
      <c r="A2385" s="839">
        <v>68649095</v>
      </c>
      <c r="B2385" s="839">
        <v>2904</v>
      </c>
      <c r="C2385" s="906">
        <v>7646</v>
      </c>
      <c r="D2385" s="907">
        <v>46063</v>
      </c>
      <c r="E2385" s="839" t="s">
        <v>294</v>
      </c>
      <c r="F2385" s="839" t="s">
        <v>40</v>
      </c>
      <c r="G2385" s="916">
        <f>VLOOKUP($A2385,'Tech Litons'!$A:$I,8,FALSE)</f>
        <v>3.5999999999999999E-3</v>
      </c>
      <c r="H2385" s="917">
        <f>VLOOKUP($A2385,'Tech Litons'!$A:$I,9,FALSE)</f>
        <v>240</v>
      </c>
      <c r="I2385" s="917" t="str">
        <f>VLOOKUP($A2385,'Tech Litons'!$A:$C,3,0)</f>
        <v>Topped</v>
      </c>
      <c r="J2385" s="918" t="str">
        <f t="shared" si="241"/>
        <v>2904Topped</v>
      </c>
      <c r="K2385" s="919">
        <v>1</v>
      </c>
      <c r="L2385" s="920">
        <f t="shared" si="240"/>
        <v>7646</v>
      </c>
      <c r="M2385" s="920">
        <f t="shared" si="242"/>
        <v>27.525600000000001</v>
      </c>
      <c r="N2385" s="920">
        <f t="shared" si="243"/>
        <v>31.858333333333334</v>
      </c>
      <c r="O2385" s="918" t="str">
        <f t="shared" si="244"/>
        <v>Feb</v>
      </c>
      <c r="P2385" s="921">
        <f t="shared" si="245"/>
        <v>7</v>
      </c>
    </row>
    <row r="2386" spans="1:16" ht="15" hidden="1" customHeight="1">
      <c r="A2386" s="839">
        <v>68649095</v>
      </c>
      <c r="B2386" s="839">
        <v>2904</v>
      </c>
      <c r="C2386" s="906">
        <v>9312</v>
      </c>
      <c r="D2386" s="907">
        <v>46063</v>
      </c>
      <c r="E2386" s="839" t="s">
        <v>294</v>
      </c>
      <c r="F2386" s="839" t="s">
        <v>40</v>
      </c>
      <c r="G2386" s="916">
        <f>VLOOKUP($A2386,'Tech Litons'!$A:$I,8,FALSE)</f>
        <v>3.5999999999999999E-3</v>
      </c>
      <c r="H2386" s="917">
        <f>VLOOKUP($A2386,'Tech Litons'!$A:$I,9,FALSE)</f>
        <v>240</v>
      </c>
      <c r="I2386" s="917" t="str">
        <f>VLOOKUP($A2386,'Tech Litons'!$A:$C,3,0)</f>
        <v>Topped</v>
      </c>
      <c r="J2386" s="918" t="str">
        <f t="shared" si="241"/>
        <v>2904Topped</v>
      </c>
      <c r="K2386" s="919">
        <v>1</v>
      </c>
      <c r="L2386" s="920">
        <f t="shared" si="240"/>
        <v>9312</v>
      </c>
      <c r="M2386" s="920">
        <f t="shared" si="242"/>
        <v>33.523199999999996</v>
      </c>
      <c r="N2386" s="920">
        <f t="shared" si="243"/>
        <v>38.799999999999997</v>
      </c>
      <c r="O2386" s="918" t="str">
        <f t="shared" si="244"/>
        <v>Feb</v>
      </c>
      <c r="P2386" s="921">
        <f t="shared" si="245"/>
        <v>7</v>
      </c>
    </row>
    <row r="2387" spans="1:16" ht="15" hidden="1" customHeight="1">
      <c r="A2387" s="839">
        <v>68649095</v>
      </c>
      <c r="B2387" s="839">
        <v>2904</v>
      </c>
      <c r="C2387" s="906">
        <v>8832</v>
      </c>
      <c r="D2387" s="907">
        <v>46064</v>
      </c>
      <c r="E2387" s="839" t="s">
        <v>294</v>
      </c>
      <c r="F2387" s="839" t="s">
        <v>40</v>
      </c>
      <c r="G2387" s="916">
        <f>VLOOKUP($A2387,'Tech Litons'!$A:$I,8,FALSE)</f>
        <v>3.5999999999999999E-3</v>
      </c>
      <c r="H2387" s="917">
        <f>VLOOKUP($A2387,'Tech Litons'!$A:$I,9,FALSE)</f>
        <v>240</v>
      </c>
      <c r="I2387" s="917" t="str">
        <f>VLOOKUP($A2387,'Tech Litons'!$A:$C,3,0)</f>
        <v>Topped</v>
      </c>
      <c r="J2387" s="918" t="str">
        <f t="shared" si="241"/>
        <v>2904Topped</v>
      </c>
      <c r="K2387" s="919">
        <v>1</v>
      </c>
      <c r="L2387" s="920">
        <f t="shared" si="240"/>
        <v>8832</v>
      </c>
      <c r="M2387" s="920">
        <f t="shared" si="242"/>
        <v>31.795199999999998</v>
      </c>
      <c r="N2387" s="920">
        <f t="shared" si="243"/>
        <v>36.799999999999997</v>
      </c>
      <c r="O2387" s="918" t="str">
        <f t="shared" si="244"/>
        <v>Feb</v>
      </c>
      <c r="P2387" s="921">
        <f t="shared" si="245"/>
        <v>7</v>
      </c>
    </row>
    <row r="2388" spans="1:16" ht="15" hidden="1" customHeight="1">
      <c r="A2388" s="839">
        <v>68649095</v>
      </c>
      <c r="B2388" s="839">
        <v>2904</v>
      </c>
      <c r="C2388" s="906">
        <v>-15</v>
      </c>
      <c r="D2388" s="907">
        <v>46070</v>
      </c>
      <c r="E2388" s="839" t="s">
        <v>294</v>
      </c>
      <c r="F2388" s="839" t="s">
        <v>40</v>
      </c>
      <c r="G2388" s="916">
        <f>VLOOKUP($A2388,'Tech Litons'!$A:$I,8,FALSE)</f>
        <v>3.5999999999999999E-3</v>
      </c>
      <c r="H2388" s="917">
        <f>VLOOKUP($A2388,'Tech Litons'!$A:$I,9,FALSE)</f>
        <v>240</v>
      </c>
      <c r="I2388" s="917" t="str">
        <f>VLOOKUP($A2388,'Tech Litons'!$A:$C,3,0)</f>
        <v>Topped</v>
      </c>
      <c r="J2388" s="918" t="str">
        <f t="shared" si="241"/>
        <v>2904Topped</v>
      </c>
      <c r="K2388" s="919">
        <v>1</v>
      </c>
      <c r="L2388" s="920">
        <f t="shared" si="240"/>
        <v>-15</v>
      </c>
      <c r="M2388" s="920">
        <f t="shared" si="242"/>
        <v>-5.3999999999999999E-2</v>
      </c>
      <c r="N2388" s="920">
        <f t="shared" si="243"/>
        <v>-6.25E-2</v>
      </c>
      <c r="O2388" s="918" t="str">
        <f t="shared" si="244"/>
        <v>Feb</v>
      </c>
      <c r="P2388" s="921">
        <f t="shared" si="245"/>
        <v>8</v>
      </c>
    </row>
    <row r="2389" spans="1:16" ht="15" hidden="1" customHeight="1">
      <c r="A2389" s="839">
        <v>68649095</v>
      </c>
      <c r="B2389" s="839">
        <v>2904</v>
      </c>
      <c r="C2389" s="906">
        <v>8061</v>
      </c>
      <c r="D2389" s="907">
        <v>46064</v>
      </c>
      <c r="E2389" s="839" t="s">
        <v>294</v>
      </c>
      <c r="F2389" s="839" t="s">
        <v>40</v>
      </c>
      <c r="G2389" s="916">
        <f>VLOOKUP($A2389,'Tech Litons'!$A:$I,8,FALSE)</f>
        <v>3.5999999999999999E-3</v>
      </c>
      <c r="H2389" s="917">
        <f>VLOOKUP($A2389,'Tech Litons'!$A:$I,9,FALSE)</f>
        <v>240</v>
      </c>
      <c r="I2389" s="917" t="str">
        <f>VLOOKUP($A2389,'Tech Litons'!$A:$C,3,0)</f>
        <v>Topped</v>
      </c>
      <c r="J2389" s="918" t="str">
        <f t="shared" si="241"/>
        <v>2904Topped</v>
      </c>
      <c r="K2389" s="919">
        <v>1</v>
      </c>
      <c r="L2389" s="920">
        <f t="shared" si="240"/>
        <v>8061</v>
      </c>
      <c r="M2389" s="920">
        <f t="shared" si="242"/>
        <v>29.019600000000001</v>
      </c>
      <c r="N2389" s="920">
        <f t="shared" si="243"/>
        <v>33.587499999999999</v>
      </c>
      <c r="O2389" s="918" t="str">
        <f t="shared" si="244"/>
        <v>Feb</v>
      </c>
      <c r="P2389" s="921">
        <f t="shared" si="245"/>
        <v>7</v>
      </c>
    </row>
    <row r="2390" spans="1:16" ht="15" hidden="1" customHeight="1">
      <c r="A2390" s="839">
        <v>68649095</v>
      </c>
      <c r="B2390" s="839">
        <v>2904</v>
      </c>
      <c r="C2390" s="906">
        <v>471</v>
      </c>
      <c r="D2390" s="907">
        <v>46065</v>
      </c>
      <c r="E2390" s="839" t="s">
        <v>294</v>
      </c>
      <c r="F2390" s="839" t="s">
        <v>40</v>
      </c>
      <c r="G2390" s="916">
        <f>VLOOKUP($A2390,'Tech Litons'!$A:$I,8,FALSE)</f>
        <v>3.5999999999999999E-3</v>
      </c>
      <c r="H2390" s="917">
        <f>VLOOKUP($A2390,'Tech Litons'!$A:$I,9,FALSE)</f>
        <v>240</v>
      </c>
      <c r="I2390" s="917" t="str">
        <f>VLOOKUP($A2390,'Tech Litons'!$A:$C,3,0)</f>
        <v>Topped</v>
      </c>
      <c r="J2390" s="918" t="str">
        <f t="shared" si="241"/>
        <v>2904Topped</v>
      </c>
      <c r="K2390" s="919">
        <v>1</v>
      </c>
      <c r="L2390" s="920">
        <f t="shared" si="240"/>
        <v>471</v>
      </c>
      <c r="M2390" s="920">
        <f t="shared" si="242"/>
        <v>1.6956</v>
      </c>
      <c r="N2390" s="920">
        <f t="shared" si="243"/>
        <v>1.9624999999999999</v>
      </c>
      <c r="O2390" s="918" t="str">
        <f t="shared" si="244"/>
        <v>Feb</v>
      </c>
      <c r="P2390" s="921">
        <f t="shared" si="245"/>
        <v>7</v>
      </c>
    </row>
    <row r="2391" spans="1:16" ht="15" hidden="1" customHeight="1">
      <c r="A2391" s="839">
        <v>68649095</v>
      </c>
      <c r="B2391" s="839">
        <v>2904</v>
      </c>
      <c r="C2391" s="906">
        <v>1680</v>
      </c>
      <c r="D2391" s="907">
        <v>46065</v>
      </c>
      <c r="E2391" s="839" t="s">
        <v>294</v>
      </c>
      <c r="F2391" s="839" t="s">
        <v>40</v>
      </c>
      <c r="G2391" s="916">
        <f>VLOOKUP($A2391,'Tech Litons'!$A:$I,8,FALSE)</f>
        <v>3.5999999999999999E-3</v>
      </c>
      <c r="H2391" s="917">
        <f>VLOOKUP($A2391,'Tech Litons'!$A:$I,9,FALSE)</f>
        <v>240</v>
      </c>
      <c r="I2391" s="917" t="str">
        <f>VLOOKUP($A2391,'Tech Litons'!$A:$C,3,0)</f>
        <v>Topped</v>
      </c>
      <c r="J2391" s="918" t="str">
        <f t="shared" si="241"/>
        <v>2904Topped</v>
      </c>
      <c r="K2391" s="919">
        <v>1</v>
      </c>
      <c r="L2391" s="920">
        <f t="shared" si="240"/>
        <v>1680</v>
      </c>
      <c r="M2391" s="920">
        <f t="shared" si="242"/>
        <v>6.048</v>
      </c>
      <c r="N2391" s="920">
        <f t="shared" si="243"/>
        <v>7</v>
      </c>
      <c r="O2391" s="918" t="str">
        <f t="shared" si="244"/>
        <v>Feb</v>
      </c>
      <c r="P2391" s="921">
        <f t="shared" si="245"/>
        <v>7</v>
      </c>
    </row>
    <row r="2392" spans="1:16" ht="15" hidden="1" customHeight="1">
      <c r="A2392" s="839">
        <v>68649095</v>
      </c>
      <c r="B2392" s="839">
        <v>2904</v>
      </c>
      <c r="C2392" s="906">
        <v>10869</v>
      </c>
      <c r="D2392" s="907">
        <v>46066</v>
      </c>
      <c r="E2392" s="839" t="s">
        <v>294</v>
      </c>
      <c r="F2392" s="839" t="s">
        <v>40</v>
      </c>
      <c r="G2392" s="916">
        <f>VLOOKUP($A2392,'Tech Litons'!$A:$I,8,FALSE)</f>
        <v>3.5999999999999999E-3</v>
      </c>
      <c r="H2392" s="917">
        <f>VLOOKUP($A2392,'Tech Litons'!$A:$I,9,FALSE)</f>
        <v>240</v>
      </c>
      <c r="I2392" s="917" t="str">
        <f>VLOOKUP($A2392,'Tech Litons'!$A:$C,3,0)</f>
        <v>Topped</v>
      </c>
      <c r="J2392" s="918" t="str">
        <f t="shared" si="241"/>
        <v>2904Topped</v>
      </c>
      <c r="K2392" s="919">
        <v>1</v>
      </c>
      <c r="L2392" s="920">
        <f t="shared" si="240"/>
        <v>10869</v>
      </c>
      <c r="M2392" s="920">
        <f t="shared" si="242"/>
        <v>39.128399999999999</v>
      </c>
      <c r="N2392" s="920">
        <f t="shared" si="243"/>
        <v>45.287500000000001</v>
      </c>
      <c r="O2392" s="918" t="str">
        <f t="shared" si="244"/>
        <v>Feb</v>
      </c>
      <c r="P2392" s="921">
        <f t="shared" si="245"/>
        <v>7</v>
      </c>
    </row>
    <row r="2393" spans="1:16" ht="15" hidden="1" customHeight="1">
      <c r="A2393" s="839">
        <v>68649095</v>
      </c>
      <c r="B2393" s="839">
        <v>2904</v>
      </c>
      <c r="C2393" s="906">
        <v>9585</v>
      </c>
      <c r="D2393" s="907">
        <v>46066</v>
      </c>
      <c r="E2393" s="839" t="s">
        <v>294</v>
      </c>
      <c r="F2393" s="839" t="s">
        <v>40</v>
      </c>
      <c r="G2393" s="916">
        <f>VLOOKUP($A2393,'Tech Litons'!$A:$I,8,FALSE)</f>
        <v>3.5999999999999999E-3</v>
      </c>
      <c r="H2393" s="917">
        <f>VLOOKUP($A2393,'Tech Litons'!$A:$I,9,FALSE)</f>
        <v>240</v>
      </c>
      <c r="I2393" s="917" t="str">
        <f>VLOOKUP($A2393,'Tech Litons'!$A:$C,3,0)</f>
        <v>Topped</v>
      </c>
      <c r="J2393" s="918" t="str">
        <f t="shared" si="241"/>
        <v>2904Topped</v>
      </c>
      <c r="K2393" s="919">
        <v>1</v>
      </c>
      <c r="L2393" s="920">
        <f t="shared" si="240"/>
        <v>9585</v>
      </c>
      <c r="M2393" s="920">
        <f t="shared" si="242"/>
        <v>34.506</v>
      </c>
      <c r="N2393" s="920">
        <f t="shared" si="243"/>
        <v>39.9375</v>
      </c>
      <c r="O2393" s="918" t="str">
        <f t="shared" si="244"/>
        <v>Feb</v>
      </c>
      <c r="P2393" s="921">
        <f t="shared" si="245"/>
        <v>7</v>
      </c>
    </row>
    <row r="2394" spans="1:16" ht="15" hidden="1" customHeight="1">
      <c r="A2394" s="839">
        <v>68649095</v>
      </c>
      <c r="B2394" s="839">
        <v>2904</v>
      </c>
      <c r="C2394" s="906">
        <v>93</v>
      </c>
      <c r="D2394" s="907">
        <v>46067</v>
      </c>
      <c r="E2394" s="839" t="s">
        <v>294</v>
      </c>
      <c r="F2394" s="839" t="s">
        <v>40</v>
      </c>
      <c r="G2394" s="916">
        <f>VLOOKUP($A2394,'Tech Litons'!$A:$I,8,FALSE)</f>
        <v>3.5999999999999999E-3</v>
      </c>
      <c r="H2394" s="917">
        <f>VLOOKUP($A2394,'Tech Litons'!$A:$I,9,FALSE)</f>
        <v>240</v>
      </c>
      <c r="I2394" s="917" t="str">
        <f>VLOOKUP($A2394,'Tech Litons'!$A:$C,3,0)</f>
        <v>Topped</v>
      </c>
      <c r="J2394" s="918" t="str">
        <f t="shared" si="241"/>
        <v>2904Topped</v>
      </c>
      <c r="K2394" s="919">
        <v>1</v>
      </c>
      <c r="L2394" s="920">
        <f t="shared" si="240"/>
        <v>93</v>
      </c>
      <c r="M2394" s="920">
        <f t="shared" si="242"/>
        <v>0.33479999999999999</v>
      </c>
      <c r="N2394" s="920">
        <f t="shared" si="243"/>
        <v>0.38750000000000001</v>
      </c>
      <c r="O2394" s="918" t="str">
        <f t="shared" si="244"/>
        <v>Feb</v>
      </c>
      <c r="P2394" s="921">
        <f t="shared" si="245"/>
        <v>7</v>
      </c>
    </row>
    <row r="2395" spans="1:16" ht="15" hidden="1" customHeight="1">
      <c r="A2395" s="839">
        <v>68654238</v>
      </c>
      <c r="B2395" s="839">
        <v>2904</v>
      </c>
      <c r="C2395" s="906">
        <v>945</v>
      </c>
      <c r="D2395" s="907">
        <v>46053</v>
      </c>
      <c r="E2395" s="839" t="s">
        <v>551</v>
      </c>
      <c r="F2395" s="839" t="s">
        <v>299</v>
      </c>
      <c r="G2395" s="916">
        <f>VLOOKUP($A2395,'Tech Litons'!$A:$I,8,FALSE)</f>
        <v>3.7839999999999996E-3</v>
      </c>
      <c r="H2395" s="917">
        <f>VLOOKUP($A2395,'Tech Litons'!$A:$I,9,FALSE)</f>
        <v>240</v>
      </c>
      <c r="I2395" s="917" t="str">
        <f>VLOOKUP($A2395,'Tech Litons'!$A:$C,3,0)</f>
        <v>BJ PTS</v>
      </c>
      <c r="J2395" s="918" t="str">
        <f t="shared" si="241"/>
        <v>2904BJ PTS</v>
      </c>
      <c r="K2395" s="919">
        <v>1</v>
      </c>
      <c r="L2395" s="920">
        <f t="shared" si="240"/>
        <v>945</v>
      </c>
      <c r="M2395" s="920">
        <f t="shared" si="242"/>
        <v>3.5758799999999997</v>
      </c>
      <c r="N2395" s="920">
        <f t="shared" si="243"/>
        <v>3.9375</v>
      </c>
      <c r="O2395" s="918" t="str">
        <f t="shared" si="244"/>
        <v>Jan</v>
      </c>
      <c r="P2395" s="921">
        <f t="shared" si="245"/>
        <v>5</v>
      </c>
    </row>
    <row r="2396" spans="1:16" ht="15" hidden="1" customHeight="1">
      <c r="A2396" s="839">
        <v>68741742</v>
      </c>
      <c r="B2396" s="839">
        <v>2904</v>
      </c>
      <c r="C2396" s="906">
        <v>-137</v>
      </c>
      <c r="D2396" s="907">
        <v>46059</v>
      </c>
      <c r="E2396" s="839" t="s">
        <v>288</v>
      </c>
      <c r="F2396" s="839" t="s">
        <v>295</v>
      </c>
      <c r="G2396" s="916">
        <f>VLOOKUP($A2396,'Tech Litons'!$A:$I,8,FALSE)</f>
        <v>4.2560000000000002E-3</v>
      </c>
      <c r="H2396" s="917">
        <f>VLOOKUP($A2396,'Tech Litons'!$A:$I,9,FALSE)</f>
        <v>154</v>
      </c>
      <c r="I2396" s="917" t="str">
        <f>VLOOKUP($A2396,'Tech Litons'!$A:$C,3,0)</f>
        <v>MBG</v>
      </c>
      <c r="J2396" s="918" t="str">
        <f t="shared" si="241"/>
        <v>2904MBG</v>
      </c>
      <c r="K2396" s="919">
        <v>1</v>
      </c>
      <c r="L2396" s="920">
        <f t="shared" si="240"/>
        <v>-137</v>
      </c>
      <c r="M2396" s="920">
        <f t="shared" si="242"/>
        <v>-0.58307200000000003</v>
      </c>
      <c r="N2396" s="920">
        <f t="shared" si="243"/>
        <v>-0.88961038961038963</v>
      </c>
      <c r="O2396" s="918" t="str">
        <f t="shared" si="244"/>
        <v>Feb</v>
      </c>
      <c r="P2396" s="921">
        <f t="shared" si="245"/>
        <v>6</v>
      </c>
    </row>
    <row r="2397" spans="1:16" ht="15" hidden="1" customHeight="1">
      <c r="A2397" s="839">
        <v>68741742</v>
      </c>
      <c r="B2397" s="839">
        <v>2904</v>
      </c>
      <c r="C2397" s="906">
        <v>1540</v>
      </c>
      <c r="D2397" s="907">
        <v>46050</v>
      </c>
      <c r="E2397" s="839" t="s">
        <v>288</v>
      </c>
      <c r="F2397" s="839" t="s">
        <v>295</v>
      </c>
      <c r="G2397" s="916">
        <f>VLOOKUP($A2397,'Tech Litons'!$A:$I,8,FALSE)</f>
        <v>4.2560000000000002E-3</v>
      </c>
      <c r="H2397" s="917">
        <f>VLOOKUP($A2397,'Tech Litons'!$A:$I,9,FALSE)</f>
        <v>154</v>
      </c>
      <c r="I2397" s="917" t="str">
        <f>VLOOKUP($A2397,'Tech Litons'!$A:$C,3,0)</f>
        <v>MBG</v>
      </c>
      <c r="J2397" s="918" t="str">
        <f t="shared" si="241"/>
        <v>2904MBG</v>
      </c>
      <c r="K2397" s="919">
        <v>1</v>
      </c>
      <c r="L2397" s="920">
        <f t="shared" si="240"/>
        <v>1540</v>
      </c>
      <c r="M2397" s="920">
        <f t="shared" si="242"/>
        <v>6.5542400000000001</v>
      </c>
      <c r="N2397" s="920">
        <f t="shared" si="243"/>
        <v>10</v>
      </c>
      <c r="O2397" s="918" t="str">
        <f t="shared" si="244"/>
        <v>Jan</v>
      </c>
      <c r="P2397" s="921">
        <f t="shared" si="245"/>
        <v>5</v>
      </c>
    </row>
    <row r="2398" spans="1:16" ht="15" hidden="1" customHeight="1">
      <c r="A2398" s="839">
        <v>68741742</v>
      </c>
      <c r="B2398" s="839">
        <v>2904</v>
      </c>
      <c r="C2398" s="906">
        <v>3212</v>
      </c>
      <c r="D2398" s="907">
        <v>46050</v>
      </c>
      <c r="E2398" s="839" t="s">
        <v>288</v>
      </c>
      <c r="F2398" s="839" t="s">
        <v>295</v>
      </c>
      <c r="G2398" s="916">
        <f>VLOOKUP($A2398,'Tech Litons'!$A:$I,8,FALSE)</f>
        <v>4.2560000000000002E-3</v>
      </c>
      <c r="H2398" s="917">
        <f>VLOOKUP($A2398,'Tech Litons'!$A:$I,9,FALSE)</f>
        <v>154</v>
      </c>
      <c r="I2398" s="917" t="str">
        <f>VLOOKUP($A2398,'Tech Litons'!$A:$C,3,0)</f>
        <v>MBG</v>
      </c>
      <c r="J2398" s="918" t="str">
        <f t="shared" si="241"/>
        <v>2904MBG</v>
      </c>
      <c r="K2398" s="919">
        <v>1</v>
      </c>
      <c r="L2398" s="920">
        <f t="shared" si="240"/>
        <v>3212</v>
      </c>
      <c r="M2398" s="920">
        <f t="shared" si="242"/>
        <v>13.670272000000001</v>
      </c>
      <c r="N2398" s="920">
        <f t="shared" si="243"/>
        <v>20.857142857142858</v>
      </c>
      <c r="O2398" s="918" t="str">
        <f t="shared" si="244"/>
        <v>Jan</v>
      </c>
      <c r="P2398" s="921">
        <f t="shared" si="245"/>
        <v>5</v>
      </c>
    </row>
    <row r="2399" spans="1:16" ht="15" hidden="1" customHeight="1">
      <c r="A2399" s="839">
        <v>68741742</v>
      </c>
      <c r="B2399" s="839">
        <v>2904</v>
      </c>
      <c r="C2399" s="906">
        <v>2926</v>
      </c>
      <c r="D2399" s="907">
        <v>46051</v>
      </c>
      <c r="E2399" s="839" t="s">
        <v>288</v>
      </c>
      <c r="F2399" s="839" t="s">
        <v>295</v>
      </c>
      <c r="G2399" s="916">
        <f>VLOOKUP($A2399,'Tech Litons'!$A:$I,8,FALSE)</f>
        <v>4.2560000000000002E-3</v>
      </c>
      <c r="H2399" s="917">
        <f>VLOOKUP($A2399,'Tech Litons'!$A:$I,9,FALSE)</f>
        <v>154</v>
      </c>
      <c r="I2399" s="917" t="str">
        <f>VLOOKUP($A2399,'Tech Litons'!$A:$C,3,0)</f>
        <v>MBG</v>
      </c>
      <c r="J2399" s="918" t="str">
        <f t="shared" si="241"/>
        <v>2904MBG</v>
      </c>
      <c r="K2399" s="919">
        <v>1</v>
      </c>
      <c r="L2399" s="920">
        <f t="shared" si="240"/>
        <v>2926</v>
      </c>
      <c r="M2399" s="920">
        <f t="shared" si="242"/>
        <v>12.453056</v>
      </c>
      <c r="N2399" s="920">
        <f t="shared" si="243"/>
        <v>19</v>
      </c>
      <c r="O2399" s="918" t="str">
        <f t="shared" si="244"/>
        <v>Jan</v>
      </c>
      <c r="P2399" s="921">
        <f t="shared" si="245"/>
        <v>5</v>
      </c>
    </row>
    <row r="2400" spans="1:16" ht="15" hidden="1" customHeight="1">
      <c r="A2400" s="839">
        <v>68741742</v>
      </c>
      <c r="B2400" s="839">
        <v>2904</v>
      </c>
      <c r="C2400" s="906">
        <v>2891</v>
      </c>
      <c r="D2400" s="907">
        <v>46051</v>
      </c>
      <c r="E2400" s="839" t="s">
        <v>288</v>
      </c>
      <c r="F2400" s="839" t="s">
        <v>295</v>
      </c>
      <c r="G2400" s="916">
        <f>VLOOKUP($A2400,'Tech Litons'!$A:$I,8,FALSE)</f>
        <v>4.2560000000000002E-3</v>
      </c>
      <c r="H2400" s="917">
        <f>VLOOKUP($A2400,'Tech Litons'!$A:$I,9,FALSE)</f>
        <v>154</v>
      </c>
      <c r="I2400" s="917" t="str">
        <f>VLOOKUP($A2400,'Tech Litons'!$A:$C,3,0)</f>
        <v>MBG</v>
      </c>
      <c r="J2400" s="918" t="str">
        <f t="shared" si="241"/>
        <v>2904MBG</v>
      </c>
      <c r="K2400" s="919">
        <v>1</v>
      </c>
      <c r="L2400" s="920">
        <f t="shared" si="240"/>
        <v>2891</v>
      </c>
      <c r="M2400" s="920">
        <f t="shared" si="242"/>
        <v>12.304096000000001</v>
      </c>
      <c r="N2400" s="920">
        <f t="shared" si="243"/>
        <v>18.772727272727273</v>
      </c>
      <c r="O2400" s="918" t="str">
        <f t="shared" si="244"/>
        <v>Jan</v>
      </c>
      <c r="P2400" s="921">
        <f t="shared" si="245"/>
        <v>5</v>
      </c>
    </row>
    <row r="2401" spans="1:16" ht="15" hidden="1" customHeight="1">
      <c r="A2401" s="839">
        <v>68741742</v>
      </c>
      <c r="B2401" s="839">
        <v>2904</v>
      </c>
      <c r="C2401" s="906">
        <v>3010</v>
      </c>
      <c r="D2401" s="907">
        <v>46052</v>
      </c>
      <c r="E2401" s="839" t="s">
        <v>288</v>
      </c>
      <c r="F2401" s="839" t="s">
        <v>295</v>
      </c>
      <c r="G2401" s="916">
        <f>VLOOKUP($A2401,'Tech Litons'!$A:$I,8,FALSE)</f>
        <v>4.2560000000000002E-3</v>
      </c>
      <c r="H2401" s="917">
        <f>VLOOKUP($A2401,'Tech Litons'!$A:$I,9,FALSE)</f>
        <v>154</v>
      </c>
      <c r="I2401" s="917" t="str">
        <f>VLOOKUP($A2401,'Tech Litons'!$A:$C,3,0)</f>
        <v>MBG</v>
      </c>
      <c r="J2401" s="918" t="str">
        <f t="shared" si="241"/>
        <v>2904MBG</v>
      </c>
      <c r="K2401" s="919">
        <v>1</v>
      </c>
      <c r="L2401" s="920">
        <f t="shared" si="240"/>
        <v>3010</v>
      </c>
      <c r="M2401" s="920">
        <f t="shared" si="242"/>
        <v>12.810560000000001</v>
      </c>
      <c r="N2401" s="920">
        <f t="shared" si="243"/>
        <v>19.545454545454547</v>
      </c>
      <c r="O2401" s="918" t="str">
        <f t="shared" si="244"/>
        <v>Jan</v>
      </c>
      <c r="P2401" s="921">
        <f t="shared" si="245"/>
        <v>5</v>
      </c>
    </row>
    <row r="2402" spans="1:16" ht="15" hidden="1" customHeight="1">
      <c r="A2402" s="839">
        <v>68741742</v>
      </c>
      <c r="B2402" s="839">
        <v>2904</v>
      </c>
      <c r="C2402" s="906">
        <v>1675</v>
      </c>
      <c r="D2402" s="907">
        <v>46052</v>
      </c>
      <c r="E2402" s="839" t="s">
        <v>288</v>
      </c>
      <c r="F2402" s="839" t="s">
        <v>295</v>
      </c>
      <c r="G2402" s="916">
        <f>VLOOKUP($A2402,'Tech Litons'!$A:$I,8,FALSE)</f>
        <v>4.2560000000000002E-3</v>
      </c>
      <c r="H2402" s="917">
        <f>VLOOKUP($A2402,'Tech Litons'!$A:$I,9,FALSE)</f>
        <v>154</v>
      </c>
      <c r="I2402" s="917" t="str">
        <f>VLOOKUP($A2402,'Tech Litons'!$A:$C,3,0)</f>
        <v>MBG</v>
      </c>
      <c r="J2402" s="918" t="str">
        <f t="shared" si="241"/>
        <v>2904MBG</v>
      </c>
      <c r="K2402" s="919">
        <v>1</v>
      </c>
      <c r="L2402" s="920">
        <f t="shared" si="240"/>
        <v>1675</v>
      </c>
      <c r="M2402" s="920">
        <f t="shared" si="242"/>
        <v>7.1288</v>
      </c>
      <c r="N2402" s="920">
        <f t="shared" si="243"/>
        <v>10.876623376623376</v>
      </c>
      <c r="O2402" s="918" t="str">
        <f t="shared" si="244"/>
        <v>Jan</v>
      </c>
      <c r="P2402" s="921">
        <f t="shared" si="245"/>
        <v>5</v>
      </c>
    </row>
    <row r="2403" spans="1:16" ht="15" hidden="1" customHeight="1">
      <c r="A2403" s="839">
        <v>68741742</v>
      </c>
      <c r="B2403" s="839">
        <v>2904</v>
      </c>
      <c r="C2403" s="906">
        <v>308</v>
      </c>
      <c r="D2403" s="907">
        <v>46055</v>
      </c>
      <c r="E2403" s="839" t="s">
        <v>288</v>
      </c>
      <c r="F2403" s="839" t="s">
        <v>295</v>
      </c>
      <c r="G2403" s="916">
        <f>VLOOKUP($A2403,'Tech Litons'!$A:$I,8,FALSE)</f>
        <v>4.2560000000000002E-3</v>
      </c>
      <c r="H2403" s="917">
        <f>VLOOKUP($A2403,'Tech Litons'!$A:$I,9,FALSE)</f>
        <v>154</v>
      </c>
      <c r="I2403" s="917" t="str">
        <f>VLOOKUP($A2403,'Tech Litons'!$A:$C,3,0)</f>
        <v>MBG</v>
      </c>
      <c r="J2403" s="918" t="str">
        <f t="shared" si="241"/>
        <v>2904MBG</v>
      </c>
      <c r="K2403" s="919">
        <v>1</v>
      </c>
      <c r="L2403" s="920">
        <f t="shared" si="240"/>
        <v>308</v>
      </c>
      <c r="M2403" s="920">
        <f t="shared" si="242"/>
        <v>1.310848</v>
      </c>
      <c r="N2403" s="920">
        <f t="shared" si="243"/>
        <v>2</v>
      </c>
      <c r="O2403" s="918" t="str">
        <f t="shared" si="244"/>
        <v>Feb</v>
      </c>
      <c r="P2403" s="921">
        <f t="shared" si="245"/>
        <v>6</v>
      </c>
    </row>
    <row r="2404" spans="1:16" ht="15" hidden="1" customHeight="1">
      <c r="A2404" s="839">
        <v>68741742</v>
      </c>
      <c r="B2404" s="839">
        <v>2904</v>
      </c>
      <c r="C2404" s="906">
        <v>2926</v>
      </c>
      <c r="D2404" s="907">
        <v>46065</v>
      </c>
      <c r="E2404" s="839" t="s">
        <v>288</v>
      </c>
      <c r="F2404" s="839" t="s">
        <v>295</v>
      </c>
      <c r="G2404" s="916">
        <f>VLOOKUP($A2404,'Tech Litons'!$A:$I,8,FALSE)</f>
        <v>4.2560000000000002E-3</v>
      </c>
      <c r="H2404" s="917">
        <f>VLOOKUP($A2404,'Tech Litons'!$A:$I,9,FALSE)</f>
        <v>154</v>
      </c>
      <c r="I2404" s="917" t="str">
        <f>VLOOKUP($A2404,'Tech Litons'!$A:$C,3,0)</f>
        <v>MBG</v>
      </c>
      <c r="J2404" s="918" t="str">
        <f t="shared" si="241"/>
        <v>2904MBG</v>
      </c>
      <c r="K2404" s="919">
        <v>1</v>
      </c>
      <c r="L2404" s="920">
        <f t="shared" si="240"/>
        <v>2926</v>
      </c>
      <c r="M2404" s="920">
        <f t="shared" si="242"/>
        <v>12.453056</v>
      </c>
      <c r="N2404" s="920">
        <f t="shared" si="243"/>
        <v>19</v>
      </c>
      <c r="O2404" s="918" t="str">
        <f t="shared" si="244"/>
        <v>Feb</v>
      </c>
      <c r="P2404" s="921">
        <f t="shared" si="245"/>
        <v>7</v>
      </c>
    </row>
    <row r="2405" spans="1:16" ht="15" hidden="1" customHeight="1">
      <c r="A2405" s="839">
        <v>68741742</v>
      </c>
      <c r="B2405" s="839">
        <v>2904</v>
      </c>
      <c r="C2405" s="906">
        <v>2904</v>
      </c>
      <c r="D2405" s="907">
        <v>46066</v>
      </c>
      <c r="E2405" s="839" t="s">
        <v>288</v>
      </c>
      <c r="F2405" s="839" t="s">
        <v>295</v>
      </c>
      <c r="G2405" s="916">
        <f>VLOOKUP($A2405,'Tech Litons'!$A:$I,8,FALSE)</f>
        <v>4.2560000000000002E-3</v>
      </c>
      <c r="H2405" s="917">
        <f>VLOOKUP($A2405,'Tech Litons'!$A:$I,9,FALSE)</f>
        <v>154</v>
      </c>
      <c r="I2405" s="917" t="str">
        <f>VLOOKUP($A2405,'Tech Litons'!$A:$C,3,0)</f>
        <v>MBG</v>
      </c>
      <c r="J2405" s="918" t="str">
        <f t="shared" si="241"/>
        <v>2904MBG</v>
      </c>
      <c r="K2405" s="919">
        <v>1</v>
      </c>
      <c r="L2405" s="920">
        <f t="shared" si="240"/>
        <v>2904</v>
      </c>
      <c r="M2405" s="920">
        <f t="shared" si="242"/>
        <v>12.359424000000001</v>
      </c>
      <c r="N2405" s="920">
        <f t="shared" si="243"/>
        <v>18.857142857142858</v>
      </c>
      <c r="O2405" s="918" t="str">
        <f t="shared" si="244"/>
        <v>Feb</v>
      </c>
      <c r="P2405" s="921">
        <f t="shared" si="245"/>
        <v>7</v>
      </c>
    </row>
    <row r="2406" spans="1:16" ht="15" hidden="1" customHeight="1">
      <c r="A2406" s="839">
        <v>68741742</v>
      </c>
      <c r="B2406" s="839">
        <v>2904</v>
      </c>
      <c r="C2406" s="906">
        <v>1694</v>
      </c>
      <c r="D2406" s="907">
        <v>46055</v>
      </c>
      <c r="E2406" s="839" t="s">
        <v>288</v>
      </c>
      <c r="F2406" s="839" t="s">
        <v>295</v>
      </c>
      <c r="G2406" s="916">
        <f>VLOOKUP($A2406,'Tech Litons'!$A:$I,8,FALSE)</f>
        <v>4.2560000000000002E-3</v>
      </c>
      <c r="H2406" s="917">
        <f>VLOOKUP($A2406,'Tech Litons'!$A:$I,9,FALSE)</f>
        <v>154</v>
      </c>
      <c r="I2406" s="917" t="str">
        <f>VLOOKUP($A2406,'Tech Litons'!$A:$C,3,0)</f>
        <v>MBG</v>
      </c>
      <c r="J2406" s="918" t="str">
        <f t="shared" si="241"/>
        <v>2904MBG</v>
      </c>
      <c r="K2406" s="919">
        <v>1</v>
      </c>
      <c r="L2406" s="920">
        <f t="shared" si="240"/>
        <v>1694</v>
      </c>
      <c r="M2406" s="920">
        <f t="shared" si="242"/>
        <v>7.2096640000000001</v>
      </c>
      <c r="N2406" s="920">
        <f t="shared" si="243"/>
        <v>11</v>
      </c>
      <c r="O2406" s="918" t="str">
        <f t="shared" si="244"/>
        <v>Feb</v>
      </c>
      <c r="P2406" s="921">
        <f t="shared" si="245"/>
        <v>6</v>
      </c>
    </row>
    <row r="2407" spans="1:16" ht="15" hidden="1" customHeight="1">
      <c r="A2407" s="839">
        <v>68741742</v>
      </c>
      <c r="B2407" s="839">
        <v>2904</v>
      </c>
      <c r="C2407" s="906">
        <v>2772</v>
      </c>
      <c r="D2407" s="907">
        <v>46056</v>
      </c>
      <c r="E2407" s="839" t="s">
        <v>288</v>
      </c>
      <c r="F2407" s="839" t="s">
        <v>295</v>
      </c>
      <c r="G2407" s="916">
        <f>VLOOKUP($A2407,'Tech Litons'!$A:$I,8,FALSE)</f>
        <v>4.2560000000000002E-3</v>
      </c>
      <c r="H2407" s="917">
        <f>VLOOKUP($A2407,'Tech Litons'!$A:$I,9,FALSE)</f>
        <v>154</v>
      </c>
      <c r="I2407" s="917" t="str">
        <f>VLOOKUP($A2407,'Tech Litons'!$A:$C,3,0)</f>
        <v>MBG</v>
      </c>
      <c r="J2407" s="918" t="str">
        <f t="shared" si="241"/>
        <v>2904MBG</v>
      </c>
      <c r="K2407" s="919">
        <v>1</v>
      </c>
      <c r="L2407" s="920">
        <f t="shared" si="240"/>
        <v>2772</v>
      </c>
      <c r="M2407" s="920">
        <f t="shared" si="242"/>
        <v>11.797632</v>
      </c>
      <c r="N2407" s="920">
        <f t="shared" si="243"/>
        <v>18</v>
      </c>
      <c r="O2407" s="918" t="str">
        <f t="shared" si="244"/>
        <v>Feb</v>
      </c>
      <c r="P2407" s="921">
        <f t="shared" si="245"/>
        <v>6</v>
      </c>
    </row>
    <row r="2408" spans="1:16" ht="15" hidden="1" customHeight="1">
      <c r="A2408" s="839">
        <v>68741742</v>
      </c>
      <c r="B2408" s="839">
        <v>2904</v>
      </c>
      <c r="C2408" s="906">
        <v>2002</v>
      </c>
      <c r="D2408" s="907">
        <v>46066</v>
      </c>
      <c r="E2408" s="839" t="s">
        <v>288</v>
      </c>
      <c r="F2408" s="839" t="s">
        <v>295</v>
      </c>
      <c r="G2408" s="916">
        <f>VLOOKUP($A2408,'Tech Litons'!$A:$I,8,FALSE)</f>
        <v>4.2560000000000002E-3</v>
      </c>
      <c r="H2408" s="917">
        <f>VLOOKUP($A2408,'Tech Litons'!$A:$I,9,FALSE)</f>
        <v>154</v>
      </c>
      <c r="I2408" s="917" t="str">
        <f>VLOOKUP($A2408,'Tech Litons'!$A:$C,3,0)</f>
        <v>MBG</v>
      </c>
      <c r="J2408" s="918" t="str">
        <f t="shared" si="241"/>
        <v>2904MBG</v>
      </c>
      <c r="K2408" s="919">
        <v>1</v>
      </c>
      <c r="L2408" s="920">
        <f t="shared" si="240"/>
        <v>2002</v>
      </c>
      <c r="M2408" s="920">
        <f t="shared" si="242"/>
        <v>8.5205120000000001</v>
      </c>
      <c r="N2408" s="920">
        <f t="shared" si="243"/>
        <v>13</v>
      </c>
      <c r="O2408" s="918" t="str">
        <f t="shared" si="244"/>
        <v>Feb</v>
      </c>
      <c r="P2408" s="921">
        <f t="shared" si="245"/>
        <v>7</v>
      </c>
    </row>
    <row r="2409" spans="1:16" ht="15" hidden="1" customHeight="1">
      <c r="A2409" s="839">
        <v>68741742</v>
      </c>
      <c r="B2409" s="839">
        <v>2904</v>
      </c>
      <c r="C2409" s="906">
        <v>1882</v>
      </c>
      <c r="D2409" s="907">
        <v>46067</v>
      </c>
      <c r="E2409" s="839" t="s">
        <v>288</v>
      </c>
      <c r="F2409" s="839" t="s">
        <v>295</v>
      </c>
      <c r="G2409" s="916">
        <f>VLOOKUP($A2409,'Tech Litons'!$A:$I,8,FALSE)</f>
        <v>4.2560000000000002E-3</v>
      </c>
      <c r="H2409" s="917">
        <f>VLOOKUP($A2409,'Tech Litons'!$A:$I,9,FALSE)</f>
        <v>154</v>
      </c>
      <c r="I2409" s="917" t="str">
        <f>VLOOKUP($A2409,'Tech Litons'!$A:$C,3,0)</f>
        <v>MBG</v>
      </c>
      <c r="J2409" s="918" t="str">
        <f t="shared" si="241"/>
        <v>2904MBG</v>
      </c>
      <c r="K2409" s="919">
        <v>1</v>
      </c>
      <c r="L2409" s="920">
        <f t="shared" si="240"/>
        <v>1882</v>
      </c>
      <c r="M2409" s="920">
        <f t="shared" si="242"/>
        <v>8.0097920000000009</v>
      </c>
      <c r="N2409" s="920">
        <f t="shared" si="243"/>
        <v>12.220779220779221</v>
      </c>
      <c r="O2409" s="918" t="str">
        <f t="shared" si="244"/>
        <v>Feb</v>
      </c>
      <c r="P2409" s="921">
        <f t="shared" si="245"/>
        <v>7</v>
      </c>
    </row>
    <row r="2410" spans="1:16" ht="15" hidden="1" customHeight="1">
      <c r="A2410" s="839">
        <v>68741742</v>
      </c>
      <c r="B2410" s="839">
        <v>2904</v>
      </c>
      <c r="C2410" s="906">
        <v>2361</v>
      </c>
      <c r="D2410" s="907">
        <v>46056</v>
      </c>
      <c r="E2410" s="839" t="s">
        <v>288</v>
      </c>
      <c r="F2410" s="839" t="s">
        <v>295</v>
      </c>
      <c r="G2410" s="916">
        <f>VLOOKUP($A2410,'Tech Litons'!$A:$I,8,FALSE)</f>
        <v>4.2560000000000002E-3</v>
      </c>
      <c r="H2410" s="917">
        <f>VLOOKUP($A2410,'Tech Litons'!$A:$I,9,FALSE)</f>
        <v>154</v>
      </c>
      <c r="I2410" s="917" t="str">
        <f>VLOOKUP($A2410,'Tech Litons'!$A:$C,3,0)</f>
        <v>MBG</v>
      </c>
      <c r="J2410" s="918" t="str">
        <f t="shared" si="241"/>
        <v>2904MBG</v>
      </c>
      <c r="K2410" s="919">
        <v>1</v>
      </c>
      <c r="L2410" s="920">
        <f t="shared" si="240"/>
        <v>2361</v>
      </c>
      <c r="M2410" s="920">
        <f t="shared" si="242"/>
        <v>10.048416000000001</v>
      </c>
      <c r="N2410" s="920">
        <f t="shared" si="243"/>
        <v>15.331168831168831</v>
      </c>
      <c r="O2410" s="918" t="str">
        <f t="shared" si="244"/>
        <v>Feb</v>
      </c>
      <c r="P2410" s="921">
        <f t="shared" si="245"/>
        <v>6</v>
      </c>
    </row>
    <row r="2411" spans="1:16" ht="15" hidden="1" customHeight="1">
      <c r="A2411" s="839">
        <v>68741742</v>
      </c>
      <c r="B2411" s="839">
        <v>2904</v>
      </c>
      <c r="C2411" s="906">
        <v>1996</v>
      </c>
      <c r="D2411" s="907">
        <v>46057</v>
      </c>
      <c r="E2411" s="839" t="s">
        <v>288</v>
      </c>
      <c r="F2411" s="839" t="s">
        <v>295</v>
      </c>
      <c r="G2411" s="916">
        <f>VLOOKUP($A2411,'Tech Litons'!$A:$I,8,FALSE)</f>
        <v>4.2560000000000002E-3</v>
      </c>
      <c r="H2411" s="917">
        <f>VLOOKUP($A2411,'Tech Litons'!$A:$I,9,FALSE)</f>
        <v>154</v>
      </c>
      <c r="I2411" s="917" t="str">
        <f>VLOOKUP($A2411,'Tech Litons'!$A:$C,3,0)</f>
        <v>MBG</v>
      </c>
      <c r="J2411" s="918" t="str">
        <f t="shared" si="241"/>
        <v>2904MBG</v>
      </c>
      <c r="K2411" s="919">
        <v>1</v>
      </c>
      <c r="L2411" s="920">
        <f t="shared" si="240"/>
        <v>1996</v>
      </c>
      <c r="M2411" s="920">
        <f t="shared" si="242"/>
        <v>8.4949760000000012</v>
      </c>
      <c r="N2411" s="920">
        <f t="shared" si="243"/>
        <v>12.961038961038961</v>
      </c>
      <c r="O2411" s="918" t="str">
        <f t="shared" si="244"/>
        <v>Feb</v>
      </c>
      <c r="P2411" s="921">
        <f t="shared" si="245"/>
        <v>6</v>
      </c>
    </row>
    <row r="2412" spans="1:16" ht="15" hidden="1" customHeight="1">
      <c r="A2412" s="839">
        <v>68741742</v>
      </c>
      <c r="B2412" s="839">
        <v>2904</v>
      </c>
      <c r="C2412" s="906">
        <v>1492</v>
      </c>
      <c r="D2412" s="907">
        <v>46058</v>
      </c>
      <c r="E2412" s="839" t="s">
        <v>288</v>
      </c>
      <c r="F2412" s="839" t="s">
        <v>295</v>
      </c>
      <c r="G2412" s="916">
        <f>VLOOKUP($A2412,'Tech Litons'!$A:$I,8,FALSE)</f>
        <v>4.2560000000000002E-3</v>
      </c>
      <c r="H2412" s="917">
        <f>VLOOKUP($A2412,'Tech Litons'!$A:$I,9,FALSE)</f>
        <v>154</v>
      </c>
      <c r="I2412" s="917" t="str">
        <f>VLOOKUP($A2412,'Tech Litons'!$A:$C,3,0)</f>
        <v>MBG</v>
      </c>
      <c r="J2412" s="918" t="str">
        <f t="shared" si="241"/>
        <v>2904MBG</v>
      </c>
      <c r="K2412" s="919">
        <v>1</v>
      </c>
      <c r="L2412" s="920">
        <f t="shared" si="240"/>
        <v>1492</v>
      </c>
      <c r="M2412" s="920">
        <f t="shared" si="242"/>
        <v>6.349952</v>
      </c>
      <c r="N2412" s="920">
        <f t="shared" si="243"/>
        <v>9.6883116883116891</v>
      </c>
      <c r="O2412" s="918" t="str">
        <f t="shared" si="244"/>
        <v>Feb</v>
      </c>
      <c r="P2412" s="921">
        <f t="shared" si="245"/>
        <v>6</v>
      </c>
    </row>
    <row r="2413" spans="1:16" ht="15" hidden="1" customHeight="1">
      <c r="A2413" s="839">
        <v>68741742</v>
      </c>
      <c r="B2413" s="839">
        <v>2904</v>
      </c>
      <c r="C2413" s="906">
        <v>2067</v>
      </c>
      <c r="D2413" s="907">
        <v>46058</v>
      </c>
      <c r="E2413" s="839" t="s">
        <v>288</v>
      </c>
      <c r="F2413" s="839" t="s">
        <v>295</v>
      </c>
      <c r="G2413" s="916">
        <f>VLOOKUP($A2413,'Tech Litons'!$A:$I,8,FALSE)</f>
        <v>4.2560000000000002E-3</v>
      </c>
      <c r="H2413" s="917">
        <f>VLOOKUP($A2413,'Tech Litons'!$A:$I,9,FALSE)</f>
        <v>154</v>
      </c>
      <c r="I2413" s="917" t="str">
        <f>VLOOKUP($A2413,'Tech Litons'!$A:$C,3,0)</f>
        <v>MBG</v>
      </c>
      <c r="J2413" s="918" t="str">
        <f t="shared" si="241"/>
        <v>2904MBG</v>
      </c>
      <c r="K2413" s="919">
        <v>1</v>
      </c>
      <c r="L2413" s="920">
        <f t="shared" si="240"/>
        <v>2067</v>
      </c>
      <c r="M2413" s="920">
        <f t="shared" si="242"/>
        <v>8.7971520000000005</v>
      </c>
      <c r="N2413" s="920">
        <f t="shared" si="243"/>
        <v>13.422077922077921</v>
      </c>
      <c r="O2413" s="918" t="str">
        <f t="shared" si="244"/>
        <v>Feb</v>
      </c>
      <c r="P2413" s="921">
        <f t="shared" si="245"/>
        <v>6</v>
      </c>
    </row>
    <row r="2414" spans="1:16" ht="15" hidden="1" customHeight="1">
      <c r="A2414" s="839">
        <v>68741742</v>
      </c>
      <c r="B2414" s="839">
        <v>2904</v>
      </c>
      <c r="C2414" s="906">
        <v>2450</v>
      </c>
      <c r="D2414" s="907">
        <v>46059</v>
      </c>
      <c r="E2414" s="839" t="s">
        <v>288</v>
      </c>
      <c r="F2414" s="839" t="s">
        <v>295</v>
      </c>
      <c r="G2414" s="916">
        <f>VLOOKUP($A2414,'Tech Litons'!$A:$I,8,FALSE)</f>
        <v>4.2560000000000002E-3</v>
      </c>
      <c r="H2414" s="917">
        <f>VLOOKUP($A2414,'Tech Litons'!$A:$I,9,FALSE)</f>
        <v>154</v>
      </c>
      <c r="I2414" s="917" t="str">
        <f>VLOOKUP($A2414,'Tech Litons'!$A:$C,3,0)</f>
        <v>MBG</v>
      </c>
      <c r="J2414" s="918" t="str">
        <f t="shared" si="241"/>
        <v>2904MBG</v>
      </c>
      <c r="K2414" s="919">
        <v>1</v>
      </c>
      <c r="L2414" s="920">
        <f t="shared" si="240"/>
        <v>2450</v>
      </c>
      <c r="M2414" s="920">
        <f t="shared" si="242"/>
        <v>10.427200000000001</v>
      </c>
      <c r="N2414" s="920">
        <f t="shared" si="243"/>
        <v>15.909090909090908</v>
      </c>
      <c r="O2414" s="918" t="str">
        <f t="shared" si="244"/>
        <v>Feb</v>
      </c>
      <c r="P2414" s="921">
        <f t="shared" si="245"/>
        <v>6</v>
      </c>
    </row>
    <row r="2415" spans="1:16" ht="15" hidden="1" customHeight="1">
      <c r="A2415" s="839">
        <v>68741742</v>
      </c>
      <c r="B2415" s="839">
        <v>2904</v>
      </c>
      <c r="C2415" s="906">
        <v>2007</v>
      </c>
      <c r="D2415" s="907">
        <v>46059</v>
      </c>
      <c r="E2415" s="839" t="s">
        <v>288</v>
      </c>
      <c r="F2415" s="839" t="s">
        <v>295</v>
      </c>
      <c r="G2415" s="916">
        <f>VLOOKUP($A2415,'Tech Litons'!$A:$I,8,FALSE)</f>
        <v>4.2560000000000002E-3</v>
      </c>
      <c r="H2415" s="917">
        <f>VLOOKUP($A2415,'Tech Litons'!$A:$I,9,FALSE)</f>
        <v>154</v>
      </c>
      <c r="I2415" s="917" t="str">
        <f>VLOOKUP($A2415,'Tech Litons'!$A:$C,3,0)</f>
        <v>MBG</v>
      </c>
      <c r="J2415" s="918" t="str">
        <f t="shared" si="241"/>
        <v>2904MBG</v>
      </c>
      <c r="K2415" s="919">
        <v>1</v>
      </c>
      <c r="L2415" s="920">
        <f t="shared" si="240"/>
        <v>2007</v>
      </c>
      <c r="M2415" s="920">
        <f t="shared" si="242"/>
        <v>8.5417920000000009</v>
      </c>
      <c r="N2415" s="920">
        <f t="shared" si="243"/>
        <v>13.032467532467532</v>
      </c>
      <c r="O2415" s="918" t="str">
        <f t="shared" si="244"/>
        <v>Feb</v>
      </c>
      <c r="P2415" s="921">
        <f t="shared" si="245"/>
        <v>6</v>
      </c>
    </row>
    <row r="2416" spans="1:16" ht="15" hidden="1" customHeight="1">
      <c r="A2416" s="839">
        <v>68741742</v>
      </c>
      <c r="B2416" s="839">
        <v>2904</v>
      </c>
      <c r="C2416" s="906">
        <v>1489</v>
      </c>
      <c r="D2416" s="907">
        <v>46060</v>
      </c>
      <c r="E2416" s="839" t="s">
        <v>288</v>
      </c>
      <c r="F2416" s="839" t="s">
        <v>295</v>
      </c>
      <c r="G2416" s="916">
        <f>VLOOKUP($A2416,'Tech Litons'!$A:$I,8,FALSE)</f>
        <v>4.2560000000000002E-3</v>
      </c>
      <c r="H2416" s="917">
        <f>VLOOKUP($A2416,'Tech Litons'!$A:$I,9,FALSE)</f>
        <v>154</v>
      </c>
      <c r="I2416" s="917" t="str">
        <f>VLOOKUP($A2416,'Tech Litons'!$A:$C,3,0)</f>
        <v>MBG</v>
      </c>
      <c r="J2416" s="918" t="str">
        <f t="shared" si="241"/>
        <v>2904MBG</v>
      </c>
      <c r="K2416" s="919">
        <v>1</v>
      </c>
      <c r="L2416" s="920">
        <f t="shared" si="240"/>
        <v>1489</v>
      </c>
      <c r="M2416" s="920">
        <f t="shared" si="242"/>
        <v>6.3371840000000006</v>
      </c>
      <c r="N2416" s="920">
        <f t="shared" si="243"/>
        <v>9.6688311688311686</v>
      </c>
      <c r="O2416" s="918" t="str">
        <f t="shared" si="244"/>
        <v>Feb</v>
      </c>
      <c r="P2416" s="921">
        <f t="shared" si="245"/>
        <v>6</v>
      </c>
    </row>
    <row r="2417" spans="1:16" ht="15" hidden="1" customHeight="1">
      <c r="A2417" s="839">
        <v>68741742</v>
      </c>
      <c r="B2417" s="839">
        <v>2904</v>
      </c>
      <c r="C2417" s="906">
        <v>154</v>
      </c>
      <c r="D2417" s="907">
        <v>46062</v>
      </c>
      <c r="E2417" s="839" t="s">
        <v>288</v>
      </c>
      <c r="F2417" s="839" t="s">
        <v>295</v>
      </c>
      <c r="G2417" s="916">
        <f>VLOOKUP($A2417,'Tech Litons'!$A:$I,8,FALSE)</f>
        <v>4.2560000000000002E-3</v>
      </c>
      <c r="H2417" s="917">
        <f>VLOOKUP($A2417,'Tech Litons'!$A:$I,9,FALSE)</f>
        <v>154</v>
      </c>
      <c r="I2417" s="917" t="str">
        <f>VLOOKUP($A2417,'Tech Litons'!$A:$C,3,0)</f>
        <v>MBG</v>
      </c>
      <c r="J2417" s="918" t="str">
        <f t="shared" si="241"/>
        <v>2904MBG</v>
      </c>
      <c r="K2417" s="919">
        <v>1</v>
      </c>
      <c r="L2417" s="920">
        <f t="shared" si="240"/>
        <v>154</v>
      </c>
      <c r="M2417" s="920">
        <f t="shared" si="242"/>
        <v>0.65542400000000001</v>
      </c>
      <c r="N2417" s="920">
        <f t="shared" si="243"/>
        <v>1</v>
      </c>
      <c r="O2417" s="918" t="str">
        <f t="shared" si="244"/>
        <v>Feb</v>
      </c>
      <c r="P2417" s="921">
        <f t="shared" si="245"/>
        <v>7</v>
      </c>
    </row>
    <row r="2418" spans="1:16" ht="15" hidden="1" customHeight="1">
      <c r="A2418" s="839">
        <v>68741742</v>
      </c>
      <c r="B2418" s="839">
        <v>2904</v>
      </c>
      <c r="C2418" s="906">
        <v>2772</v>
      </c>
      <c r="D2418" s="907">
        <v>46062</v>
      </c>
      <c r="E2418" s="839" t="s">
        <v>288</v>
      </c>
      <c r="F2418" s="839" t="s">
        <v>295</v>
      </c>
      <c r="G2418" s="916">
        <f>VLOOKUP($A2418,'Tech Litons'!$A:$I,8,FALSE)</f>
        <v>4.2560000000000002E-3</v>
      </c>
      <c r="H2418" s="917">
        <f>VLOOKUP($A2418,'Tech Litons'!$A:$I,9,FALSE)</f>
        <v>154</v>
      </c>
      <c r="I2418" s="917" t="str">
        <f>VLOOKUP($A2418,'Tech Litons'!$A:$C,3,0)</f>
        <v>MBG</v>
      </c>
      <c r="J2418" s="918" t="str">
        <f t="shared" si="241"/>
        <v>2904MBG</v>
      </c>
      <c r="K2418" s="919">
        <v>1</v>
      </c>
      <c r="L2418" s="920">
        <f t="shared" si="240"/>
        <v>2772</v>
      </c>
      <c r="M2418" s="920">
        <f t="shared" si="242"/>
        <v>11.797632</v>
      </c>
      <c r="N2418" s="920">
        <f t="shared" si="243"/>
        <v>18</v>
      </c>
      <c r="O2418" s="918" t="str">
        <f t="shared" si="244"/>
        <v>Feb</v>
      </c>
      <c r="P2418" s="921">
        <f t="shared" si="245"/>
        <v>7</v>
      </c>
    </row>
    <row r="2419" spans="1:16" ht="15" hidden="1" customHeight="1">
      <c r="A2419" s="839">
        <v>68741742</v>
      </c>
      <c r="B2419" s="839">
        <v>2904</v>
      </c>
      <c r="C2419" s="906">
        <v>2310</v>
      </c>
      <c r="D2419" s="907">
        <v>46063</v>
      </c>
      <c r="E2419" s="839" t="s">
        <v>288</v>
      </c>
      <c r="F2419" s="839" t="s">
        <v>295</v>
      </c>
      <c r="G2419" s="916">
        <f>VLOOKUP($A2419,'Tech Litons'!$A:$I,8,FALSE)</f>
        <v>4.2560000000000002E-3</v>
      </c>
      <c r="H2419" s="917">
        <f>VLOOKUP($A2419,'Tech Litons'!$A:$I,9,FALSE)</f>
        <v>154</v>
      </c>
      <c r="I2419" s="917" t="str">
        <f>VLOOKUP($A2419,'Tech Litons'!$A:$C,3,0)</f>
        <v>MBG</v>
      </c>
      <c r="J2419" s="918" t="str">
        <f t="shared" si="241"/>
        <v>2904MBG</v>
      </c>
      <c r="K2419" s="919">
        <v>1</v>
      </c>
      <c r="L2419" s="920">
        <f t="shared" si="240"/>
        <v>2310</v>
      </c>
      <c r="M2419" s="920">
        <f t="shared" si="242"/>
        <v>9.8313600000000001</v>
      </c>
      <c r="N2419" s="920">
        <f t="shared" si="243"/>
        <v>15</v>
      </c>
      <c r="O2419" s="918" t="str">
        <f t="shared" si="244"/>
        <v>Feb</v>
      </c>
      <c r="P2419" s="921">
        <f t="shared" si="245"/>
        <v>7</v>
      </c>
    </row>
    <row r="2420" spans="1:16" ht="15" hidden="1" customHeight="1">
      <c r="A2420" s="839">
        <v>68741742</v>
      </c>
      <c r="B2420" s="839">
        <v>2904</v>
      </c>
      <c r="C2420" s="906">
        <v>2103</v>
      </c>
      <c r="D2420" s="907">
        <v>46063</v>
      </c>
      <c r="E2420" s="839" t="s">
        <v>288</v>
      </c>
      <c r="F2420" s="839" t="s">
        <v>295</v>
      </c>
      <c r="G2420" s="916">
        <f>VLOOKUP($A2420,'Tech Litons'!$A:$I,8,FALSE)</f>
        <v>4.2560000000000002E-3</v>
      </c>
      <c r="H2420" s="917">
        <f>VLOOKUP($A2420,'Tech Litons'!$A:$I,9,FALSE)</f>
        <v>154</v>
      </c>
      <c r="I2420" s="917" t="str">
        <f>VLOOKUP($A2420,'Tech Litons'!$A:$C,3,0)</f>
        <v>MBG</v>
      </c>
      <c r="J2420" s="918" t="str">
        <f t="shared" si="241"/>
        <v>2904MBG</v>
      </c>
      <c r="K2420" s="919">
        <v>1</v>
      </c>
      <c r="L2420" s="920">
        <f t="shared" si="240"/>
        <v>2103</v>
      </c>
      <c r="M2420" s="920">
        <f t="shared" si="242"/>
        <v>8.950368000000001</v>
      </c>
      <c r="N2420" s="920">
        <f t="shared" si="243"/>
        <v>13.655844155844155</v>
      </c>
      <c r="O2420" s="918" t="str">
        <f t="shared" si="244"/>
        <v>Feb</v>
      </c>
      <c r="P2420" s="921">
        <f t="shared" si="245"/>
        <v>7</v>
      </c>
    </row>
    <row r="2421" spans="1:16" ht="15" hidden="1" customHeight="1">
      <c r="A2421" s="839">
        <v>68741742</v>
      </c>
      <c r="B2421" s="839">
        <v>2904</v>
      </c>
      <c r="C2421" s="906">
        <v>1946</v>
      </c>
      <c r="D2421" s="907">
        <v>46064</v>
      </c>
      <c r="E2421" s="839" t="s">
        <v>288</v>
      </c>
      <c r="F2421" s="839" t="s">
        <v>295</v>
      </c>
      <c r="G2421" s="916">
        <f>VLOOKUP($A2421,'Tech Litons'!$A:$I,8,FALSE)</f>
        <v>4.2560000000000002E-3</v>
      </c>
      <c r="H2421" s="917">
        <f>VLOOKUP($A2421,'Tech Litons'!$A:$I,9,FALSE)</f>
        <v>154</v>
      </c>
      <c r="I2421" s="917" t="str">
        <f>VLOOKUP($A2421,'Tech Litons'!$A:$C,3,0)</f>
        <v>MBG</v>
      </c>
      <c r="J2421" s="918" t="str">
        <f t="shared" si="241"/>
        <v>2904MBG</v>
      </c>
      <c r="K2421" s="919">
        <v>1</v>
      </c>
      <c r="L2421" s="920">
        <f t="shared" si="240"/>
        <v>1946</v>
      </c>
      <c r="M2421" s="920">
        <f t="shared" si="242"/>
        <v>8.2821759999999998</v>
      </c>
      <c r="N2421" s="920">
        <f t="shared" si="243"/>
        <v>12.636363636363637</v>
      </c>
      <c r="O2421" s="918" t="str">
        <f t="shared" si="244"/>
        <v>Feb</v>
      </c>
      <c r="P2421" s="921">
        <f t="shared" si="245"/>
        <v>7</v>
      </c>
    </row>
    <row r="2422" spans="1:16" ht="15" hidden="1" customHeight="1">
      <c r="A2422" s="839">
        <v>68741742</v>
      </c>
      <c r="B2422" s="839">
        <v>2904</v>
      </c>
      <c r="C2422" s="906">
        <v>670</v>
      </c>
      <c r="D2422" s="907">
        <v>46064</v>
      </c>
      <c r="E2422" s="839" t="s">
        <v>288</v>
      </c>
      <c r="F2422" s="839" t="s">
        <v>295</v>
      </c>
      <c r="G2422" s="916">
        <f>VLOOKUP($A2422,'Tech Litons'!$A:$I,8,FALSE)</f>
        <v>4.2560000000000002E-3</v>
      </c>
      <c r="H2422" s="917">
        <f>VLOOKUP($A2422,'Tech Litons'!$A:$I,9,FALSE)</f>
        <v>154</v>
      </c>
      <c r="I2422" s="917" t="str">
        <f>VLOOKUP($A2422,'Tech Litons'!$A:$C,3,0)</f>
        <v>MBG</v>
      </c>
      <c r="J2422" s="918" t="str">
        <f t="shared" si="241"/>
        <v>2904MBG</v>
      </c>
      <c r="K2422" s="919">
        <v>1</v>
      </c>
      <c r="L2422" s="920">
        <f t="shared" si="240"/>
        <v>670</v>
      </c>
      <c r="M2422" s="920">
        <f t="shared" si="242"/>
        <v>2.8515200000000003</v>
      </c>
      <c r="N2422" s="920">
        <f t="shared" si="243"/>
        <v>4.3506493506493502</v>
      </c>
      <c r="O2422" s="918" t="str">
        <f t="shared" si="244"/>
        <v>Feb</v>
      </c>
      <c r="P2422" s="921">
        <f t="shared" si="245"/>
        <v>7</v>
      </c>
    </row>
    <row r="2423" spans="1:16" ht="15" hidden="1" customHeight="1">
      <c r="A2423" s="839">
        <v>68741742</v>
      </c>
      <c r="B2423" s="839">
        <v>2904</v>
      </c>
      <c r="C2423" s="906">
        <v>2002</v>
      </c>
      <c r="D2423" s="907">
        <v>46065</v>
      </c>
      <c r="E2423" s="839" t="s">
        <v>288</v>
      </c>
      <c r="F2423" s="839" t="s">
        <v>295</v>
      </c>
      <c r="G2423" s="916">
        <f>VLOOKUP($A2423,'Tech Litons'!$A:$I,8,FALSE)</f>
        <v>4.2560000000000002E-3</v>
      </c>
      <c r="H2423" s="917">
        <f>VLOOKUP($A2423,'Tech Litons'!$A:$I,9,FALSE)</f>
        <v>154</v>
      </c>
      <c r="I2423" s="917" t="str">
        <f>VLOOKUP($A2423,'Tech Litons'!$A:$C,3,0)</f>
        <v>MBG</v>
      </c>
      <c r="J2423" s="918" t="str">
        <f t="shared" si="241"/>
        <v>2904MBG</v>
      </c>
      <c r="K2423" s="919">
        <v>1</v>
      </c>
      <c r="L2423" s="920">
        <f t="shared" si="240"/>
        <v>2002</v>
      </c>
      <c r="M2423" s="920">
        <f t="shared" si="242"/>
        <v>8.5205120000000001</v>
      </c>
      <c r="N2423" s="920">
        <f t="shared" si="243"/>
        <v>13</v>
      </c>
      <c r="O2423" s="918" t="str">
        <f t="shared" si="244"/>
        <v>Feb</v>
      </c>
      <c r="P2423" s="921">
        <f t="shared" si="245"/>
        <v>7</v>
      </c>
    </row>
    <row r="2424" spans="1:16" ht="15" hidden="1" customHeight="1">
      <c r="A2424" s="839">
        <v>68746232</v>
      </c>
      <c r="B2424" s="839">
        <v>2904</v>
      </c>
      <c r="C2424" s="906">
        <v>857</v>
      </c>
      <c r="D2424" s="907">
        <v>46070</v>
      </c>
      <c r="E2424" s="839" t="s">
        <v>508</v>
      </c>
      <c r="F2424" s="839" t="s">
        <v>243</v>
      </c>
      <c r="G2424" s="916">
        <f>VLOOKUP($A2424,'Tech Litons'!$A:$I,8,FALSE)</f>
        <v>8.5199999999999998E-3</v>
      </c>
      <c r="H2424" s="917">
        <f>VLOOKUP($A2424,'Tech Litons'!$A:$I,9,FALSE)</f>
        <v>132</v>
      </c>
      <c r="I2424" s="917" t="str">
        <f>VLOOKUP($A2424,'Tech Litons'!$A:$C,3,0)</f>
        <v>EDF</v>
      </c>
      <c r="J2424" s="918" t="str">
        <f t="shared" si="241"/>
        <v>2904EDF</v>
      </c>
      <c r="K2424" s="919">
        <v>1</v>
      </c>
      <c r="L2424" s="920">
        <f t="shared" si="240"/>
        <v>857</v>
      </c>
      <c r="M2424" s="920">
        <f t="shared" si="242"/>
        <v>7.3016399999999999</v>
      </c>
      <c r="N2424" s="920">
        <f t="shared" si="243"/>
        <v>6.4924242424242422</v>
      </c>
      <c r="O2424" s="918" t="str">
        <f t="shared" si="244"/>
        <v>Feb</v>
      </c>
      <c r="P2424" s="921">
        <f t="shared" si="245"/>
        <v>8</v>
      </c>
    </row>
    <row r="2425" spans="1:16" ht="15" hidden="1" customHeight="1">
      <c r="A2425" s="839">
        <v>68746232</v>
      </c>
      <c r="B2425" s="839">
        <v>2904</v>
      </c>
      <c r="C2425" s="906">
        <v>1095</v>
      </c>
      <c r="D2425" s="907">
        <v>46070</v>
      </c>
      <c r="E2425" s="839" t="s">
        <v>508</v>
      </c>
      <c r="F2425" s="839" t="s">
        <v>243</v>
      </c>
      <c r="G2425" s="916">
        <f>VLOOKUP($A2425,'Tech Litons'!$A:$I,8,FALSE)</f>
        <v>8.5199999999999998E-3</v>
      </c>
      <c r="H2425" s="917">
        <f>VLOOKUP($A2425,'Tech Litons'!$A:$I,9,FALSE)</f>
        <v>132</v>
      </c>
      <c r="I2425" s="917" t="str">
        <f>VLOOKUP($A2425,'Tech Litons'!$A:$C,3,0)</f>
        <v>EDF</v>
      </c>
      <c r="J2425" s="918" t="str">
        <f t="shared" si="241"/>
        <v>2904EDF</v>
      </c>
      <c r="K2425" s="919">
        <v>1</v>
      </c>
      <c r="L2425" s="920">
        <f t="shared" si="240"/>
        <v>1095</v>
      </c>
      <c r="M2425" s="920">
        <f t="shared" si="242"/>
        <v>9.3293999999999997</v>
      </c>
      <c r="N2425" s="920">
        <f t="shared" si="243"/>
        <v>8.295454545454545</v>
      </c>
      <c r="O2425" s="918" t="str">
        <f t="shared" si="244"/>
        <v>Feb</v>
      </c>
      <c r="P2425" s="921">
        <f t="shared" si="245"/>
        <v>8</v>
      </c>
    </row>
    <row r="2426" spans="1:16" ht="15" hidden="1" customHeight="1">
      <c r="A2426" s="839">
        <v>68746232</v>
      </c>
      <c r="B2426" s="839">
        <v>2904</v>
      </c>
      <c r="C2426" s="906">
        <v>1056</v>
      </c>
      <c r="D2426" s="907">
        <v>46071</v>
      </c>
      <c r="E2426" s="839" t="s">
        <v>508</v>
      </c>
      <c r="F2426" s="839" t="s">
        <v>243</v>
      </c>
      <c r="G2426" s="916">
        <f>VLOOKUP($A2426,'Tech Litons'!$A:$I,8,FALSE)</f>
        <v>8.5199999999999998E-3</v>
      </c>
      <c r="H2426" s="917">
        <f>VLOOKUP($A2426,'Tech Litons'!$A:$I,9,FALSE)</f>
        <v>132</v>
      </c>
      <c r="I2426" s="917" t="str">
        <f>VLOOKUP($A2426,'Tech Litons'!$A:$C,3,0)</f>
        <v>EDF</v>
      </c>
      <c r="J2426" s="918" t="str">
        <f t="shared" si="241"/>
        <v>2904EDF</v>
      </c>
      <c r="K2426" s="919">
        <v>1</v>
      </c>
      <c r="L2426" s="920">
        <f t="shared" si="240"/>
        <v>1056</v>
      </c>
      <c r="M2426" s="920">
        <f t="shared" si="242"/>
        <v>8.9971199999999989</v>
      </c>
      <c r="N2426" s="920">
        <f t="shared" si="243"/>
        <v>8</v>
      </c>
      <c r="O2426" s="918" t="str">
        <f t="shared" si="244"/>
        <v>Feb</v>
      </c>
      <c r="P2426" s="921">
        <f t="shared" si="245"/>
        <v>8</v>
      </c>
    </row>
    <row r="2427" spans="1:16" ht="15" hidden="1" customHeight="1">
      <c r="A2427" s="839">
        <v>68746232</v>
      </c>
      <c r="B2427" s="839">
        <v>2904</v>
      </c>
      <c r="C2427" s="906">
        <v>1188</v>
      </c>
      <c r="D2427" s="907">
        <v>46071</v>
      </c>
      <c r="E2427" s="839" t="s">
        <v>508</v>
      </c>
      <c r="F2427" s="839" t="s">
        <v>243</v>
      </c>
      <c r="G2427" s="916">
        <f>VLOOKUP($A2427,'Tech Litons'!$A:$I,8,FALSE)</f>
        <v>8.5199999999999998E-3</v>
      </c>
      <c r="H2427" s="917">
        <f>VLOOKUP($A2427,'Tech Litons'!$A:$I,9,FALSE)</f>
        <v>132</v>
      </c>
      <c r="I2427" s="917" t="str">
        <f>VLOOKUP($A2427,'Tech Litons'!$A:$C,3,0)</f>
        <v>EDF</v>
      </c>
      <c r="J2427" s="918" t="str">
        <f t="shared" si="241"/>
        <v>2904EDF</v>
      </c>
      <c r="K2427" s="919">
        <v>1</v>
      </c>
      <c r="L2427" s="920">
        <f t="shared" si="240"/>
        <v>1188</v>
      </c>
      <c r="M2427" s="920">
        <f t="shared" si="242"/>
        <v>10.12176</v>
      </c>
      <c r="N2427" s="920">
        <f t="shared" si="243"/>
        <v>9</v>
      </c>
      <c r="O2427" s="918" t="str">
        <f t="shared" si="244"/>
        <v>Feb</v>
      </c>
      <c r="P2427" s="921">
        <f t="shared" si="245"/>
        <v>8</v>
      </c>
    </row>
    <row r="2428" spans="1:16" ht="15" hidden="1" customHeight="1">
      <c r="A2428" s="839">
        <v>68746232</v>
      </c>
      <c r="B2428" s="839">
        <v>2904</v>
      </c>
      <c r="C2428" s="906">
        <v>1618</v>
      </c>
      <c r="D2428" s="907">
        <v>46072</v>
      </c>
      <c r="E2428" s="839" t="s">
        <v>508</v>
      </c>
      <c r="F2428" s="839" t="s">
        <v>243</v>
      </c>
      <c r="G2428" s="916">
        <f>VLOOKUP($A2428,'Tech Litons'!$A:$I,8,FALSE)</f>
        <v>8.5199999999999998E-3</v>
      </c>
      <c r="H2428" s="917">
        <f>VLOOKUP($A2428,'Tech Litons'!$A:$I,9,FALSE)</f>
        <v>132</v>
      </c>
      <c r="I2428" s="917" t="str">
        <f>VLOOKUP($A2428,'Tech Litons'!$A:$C,3,0)</f>
        <v>EDF</v>
      </c>
      <c r="J2428" s="918" t="str">
        <f t="shared" si="241"/>
        <v>2904EDF</v>
      </c>
      <c r="K2428" s="919">
        <v>1</v>
      </c>
      <c r="L2428" s="920">
        <f t="shared" si="240"/>
        <v>1618</v>
      </c>
      <c r="M2428" s="920">
        <f t="shared" si="242"/>
        <v>13.785359999999999</v>
      </c>
      <c r="N2428" s="920">
        <f t="shared" si="243"/>
        <v>12.257575757575758</v>
      </c>
      <c r="O2428" s="918" t="str">
        <f t="shared" si="244"/>
        <v>Feb</v>
      </c>
      <c r="P2428" s="921">
        <f t="shared" si="245"/>
        <v>8</v>
      </c>
    </row>
    <row r="2429" spans="1:16" ht="15" hidden="1" customHeight="1">
      <c r="A2429" s="839">
        <v>68746232</v>
      </c>
      <c r="B2429" s="839">
        <v>2904</v>
      </c>
      <c r="C2429" s="906">
        <v>188</v>
      </c>
      <c r="D2429" s="907">
        <v>46072</v>
      </c>
      <c r="E2429" s="839" t="s">
        <v>508</v>
      </c>
      <c r="F2429" s="839" t="s">
        <v>243</v>
      </c>
      <c r="G2429" s="916">
        <f>VLOOKUP($A2429,'Tech Litons'!$A:$I,8,FALSE)</f>
        <v>8.5199999999999998E-3</v>
      </c>
      <c r="H2429" s="917">
        <f>VLOOKUP($A2429,'Tech Litons'!$A:$I,9,FALSE)</f>
        <v>132</v>
      </c>
      <c r="I2429" s="917" t="str">
        <f>VLOOKUP($A2429,'Tech Litons'!$A:$C,3,0)</f>
        <v>EDF</v>
      </c>
      <c r="J2429" s="918" t="str">
        <f t="shared" ref="J2429:J2485" si="246">B2429&amp;I2429</f>
        <v>2904EDF</v>
      </c>
      <c r="K2429" s="919">
        <v>1</v>
      </c>
      <c r="L2429" s="920">
        <f t="shared" ref="L2429:L2484" si="247">C2429*$K2429</f>
        <v>188</v>
      </c>
      <c r="M2429" s="920">
        <f t="shared" ref="M2429:M2485" si="248">L2429*G2429</f>
        <v>1.6017600000000001</v>
      </c>
      <c r="N2429" s="920">
        <f t="shared" ref="N2429:N2485" si="249">L2429/H2429</f>
        <v>1.4242424242424243</v>
      </c>
      <c r="O2429" s="918" t="str">
        <f t="shared" ref="O2429:O2485" si="250">TEXT(D2429,"MMM")</f>
        <v>Feb</v>
      </c>
      <c r="P2429" s="921">
        <f t="shared" ref="P2429:P2485" si="251">WEEKNUM(D2429)</f>
        <v>8</v>
      </c>
    </row>
    <row r="2430" spans="1:16" ht="15" hidden="1" customHeight="1">
      <c r="A2430" s="839">
        <v>68746232</v>
      </c>
      <c r="B2430" s="839">
        <v>2904</v>
      </c>
      <c r="C2430" s="906">
        <v>428</v>
      </c>
      <c r="D2430" s="907">
        <v>46073</v>
      </c>
      <c r="E2430" s="839" t="s">
        <v>508</v>
      </c>
      <c r="F2430" s="839" t="s">
        <v>243</v>
      </c>
      <c r="G2430" s="916">
        <f>VLOOKUP($A2430,'Tech Litons'!$A:$I,8,FALSE)</f>
        <v>8.5199999999999998E-3</v>
      </c>
      <c r="H2430" s="917">
        <f>VLOOKUP($A2430,'Tech Litons'!$A:$I,9,FALSE)</f>
        <v>132</v>
      </c>
      <c r="I2430" s="917" t="str">
        <f>VLOOKUP($A2430,'Tech Litons'!$A:$C,3,0)</f>
        <v>EDF</v>
      </c>
      <c r="J2430" s="918" t="str">
        <f t="shared" si="246"/>
        <v>2904EDF</v>
      </c>
      <c r="K2430" s="919">
        <v>1</v>
      </c>
      <c r="L2430" s="920">
        <f t="shared" si="247"/>
        <v>428</v>
      </c>
      <c r="M2430" s="920">
        <f t="shared" si="248"/>
        <v>3.64656</v>
      </c>
      <c r="N2430" s="920">
        <f t="shared" si="249"/>
        <v>3.2424242424242422</v>
      </c>
      <c r="O2430" s="918" t="str">
        <f t="shared" si="250"/>
        <v>Feb</v>
      </c>
      <c r="P2430" s="921">
        <f t="shared" si="251"/>
        <v>8</v>
      </c>
    </row>
    <row r="2431" spans="1:16" ht="15" hidden="1" customHeight="1">
      <c r="A2431" s="839">
        <v>68746232</v>
      </c>
      <c r="B2431" s="839">
        <v>2904</v>
      </c>
      <c r="C2431" s="906">
        <v>1056</v>
      </c>
      <c r="D2431" s="907">
        <v>46073</v>
      </c>
      <c r="E2431" s="839" t="s">
        <v>508</v>
      </c>
      <c r="F2431" s="839" t="s">
        <v>243</v>
      </c>
      <c r="G2431" s="916">
        <f>VLOOKUP($A2431,'Tech Litons'!$A:$I,8,FALSE)</f>
        <v>8.5199999999999998E-3</v>
      </c>
      <c r="H2431" s="917">
        <f>VLOOKUP($A2431,'Tech Litons'!$A:$I,9,FALSE)</f>
        <v>132</v>
      </c>
      <c r="I2431" s="917" t="str">
        <f>VLOOKUP($A2431,'Tech Litons'!$A:$C,3,0)</f>
        <v>EDF</v>
      </c>
      <c r="J2431" s="918" t="str">
        <f t="shared" si="246"/>
        <v>2904EDF</v>
      </c>
      <c r="K2431" s="919">
        <v>1</v>
      </c>
      <c r="L2431" s="920">
        <f t="shared" si="247"/>
        <v>1056</v>
      </c>
      <c r="M2431" s="920">
        <f t="shared" si="248"/>
        <v>8.9971199999999989</v>
      </c>
      <c r="N2431" s="920">
        <f t="shared" si="249"/>
        <v>8</v>
      </c>
      <c r="O2431" s="918" t="str">
        <f t="shared" si="250"/>
        <v>Feb</v>
      </c>
      <c r="P2431" s="921">
        <f t="shared" si="251"/>
        <v>8</v>
      </c>
    </row>
    <row r="2432" spans="1:16" ht="15" hidden="1" customHeight="1">
      <c r="A2432" s="839">
        <v>68746232</v>
      </c>
      <c r="B2432" s="839">
        <v>2904</v>
      </c>
      <c r="C2432" s="906">
        <v>1320</v>
      </c>
      <c r="D2432" s="907">
        <v>46074</v>
      </c>
      <c r="E2432" s="839" t="s">
        <v>508</v>
      </c>
      <c r="F2432" s="839" t="s">
        <v>243</v>
      </c>
      <c r="G2432" s="916">
        <f>VLOOKUP($A2432,'Tech Litons'!$A:$I,8,FALSE)</f>
        <v>8.5199999999999998E-3</v>
      </c>
      <c r="H2432" s="917">
        <f>VLOOKUP($A2432,'Tech Litons'!$A:$I,9,FALSE)</f>
        <v>132</v>
      </c>
      <c r="I2432" s="917" t="str">
        <f>VLOOKUP($A2432,'Tech Litons'!$A:$C,3,0)</f>
        <v>EDF</v>
      </c>
      <c r="J2432" s="918" t="str">
        <f t="shared" si="246"/>
        <v>2904EDF</v>
      </c>
      <c r="K2432" s="919">
        <v>1</v>
      </c>
      <c r="L2432" s="920">
        <f t="shared" si="247"/>
        <v>1320</v>
      </c>
      <c r="M2432" s="920">
        <f t="shared" si="248"/>
        <v>11.2464</v>
      </c>
      <c r="N2432" s="920">
        <f t="shared" si="249"/>
        <v>10</v>
      </c>
      <c r="O2432" s="918" t="str">
        <f t="shared" si="250"/>
        <v>Feb</v>
      </c>
      <c r="P2432" s="921">
        <f t="shared" si="251"/>
        <v>8</v>
      </c>
    </row>
    <row r="2433" spans="1:16" ht="15" hidden="1" customHeight="1">
      <c r="A2433" s="839">
        <v>68746232</v>
      </c>
      <c r="B2433" s="839">
        <v>2904</v>
      </c>
      <c r="C2433" s="906">
        <v>948</v>
      </c>
      <c r="D2433" s="907">
        <v>46074</v>
      </c>
      <c r="E2433" s="839" t="s">
        <v>508</v>
      </c>
      <c r="F2433" s="839" t="s">
        <v>243</v>
      </c>
      <c r="G2433" s="916">
        <f>VLOOKUP($A2433,'Tech Litons'!$A:$I,8,FALSE)</f>
        <v>8.5199999999999998E-3</v>
      </c>
      <c r="H2433" s="917">
        <f>VLOOKUP($A2433,'Tech Litons'!$A:$I,9,FALSE)</f>
        <v>132</v>
      </c>
      <c r="I2433" s="917" t="str">
        <f>VLOOKUP($A2433,'Tech Litons'!$A:$C,3,0)</f>
        <v>EDF</v>
      </c>
      <c r="J2433" s="918" t="str">
        <f t="shared" si="246"/>
        <v>2904EDF</v>
      </c>
      <c r="K2433" s="919">
        <v>1</v>
      </c>
      <c r="L2433" s="920">
        <f t="shared" si="247"/>
        <v>948</v>
      </c>
      <c r="M2433" s="920">
        <f t="shared" si="248"/>
        <v>8.0769599999999997</v>
      </c>
      <c r="N2433" s="920">
        <f t="shared" si="249"/>
        <v>7.1818181818181817</v>
      </c>
      <c r="O2433" s="918" t="str">
        <f t="shared" si="250"/>
        <v>Feb</v>
      </c>
      <c r="P2433" s="921">
        <f t="shared" si="251"/>
        <v>8</v>
      </c>
    </row>
    <row r="2434" spans="1:16" ht="15" hidden="1" customHeight="1">
      <c r="A2434" s="839">
        <v>68746232</v>
      </c>
      <c r="B2434" s="839">
        <v>2904</v>
      </c>
      <c r="C2434" s="906">
        <v>930</v>
      </c>
      <c r="D2434" s="907">
        <v>46075</v>
      </c>
      <c r="E2434" s="839" t="s">
        <v>508</v>
      </c>
      <c r="F2434" s="839" t="s">
        <v>243</v>
      </c>
      <c r="G2434" s="916">
        <f>VLOOKUP($A2434,'Tech Litons'!$A:$I,8,FALSE)</f>
        <v>8.5199999999999998E-3</v>
      </c>
      <c r="H2434" s="917">
        <f>VLOOKUP($A2434,'Tech Litons'!$A:$I,9,FALSE)</f>
        <v>132</v>
      </c>
      <c r="I2434" s="917" t="str">
        <f>VLOOKUP($A2434,'Tech Litons'!$A:$C,3,0)</f>
        <v>EDF</v>
      </c>
      <c r="J2434" s="918" t="str">
        <f t="shared" si="246"/>
        <v>2904EDF</v>
      </c>
      <c r="K2434" s="919">
        <v>1</v>
      </c>
      <c r="L2434" s="920">
        <f t="shared" si="247"/>
        <v>930</v>
      </c>
      <c r="M2434" s="920">
        <f t="shared" si="248"/>
        <v>7.9235999999999995</v>
      </c>
      <c r="N2434" s="920">
        <f t="shared" si="249"/>
        <v>7.0454545454545459</v>
      </c>
      <c r="O2434" s="918" t="str">
        <f t="shared" si="250"/>
        <v>Feb</v>
      </c>
      <c r="P2434" s="921">
        <f t="shared" si="251"/>
        <v>9</v>
      </c>
    </row>
    <row r="2435" spans="1:16" ht="15" hidden="1" customHeight="1">
      <c r="A2435" s="839">
        <v>68746232</v>
      </c>
      <c r="B2435" s="839">
        <v>2904</v>
      </c>
      <c r="C2435" s="906">
        <v>579</v>
      </c>
      <c r="D2435" s="907">
        <v>46075</v>
      </c>
      <c r="E2435" s="839" t="s">
        <v>508</v>
      </c>
      <c r="F2435" s="839" t="s">
        <v>243</v>
      </c>
      <c r="G2435" s="916">
        <f>VLOOKUP($A2435,'Tech Litons'!$A:$I,8,FALSE)</f>
        <v>8.5199999999999998E-3</v>
      </c>
      <c r="H2435" s="917">
        <f>VLOOKUP($A2435,'Tech Litons'!$A:$I,9,FALSE)</f>
        <v>132</v>
      </c>
      <c r="I2435" s="917" t="str">
        <f>VLOOKUP($A2435,'Tech Litons'!$A:$C,3,0)</f>
        <v>EDF</v>
      </c>
      <c r="J2435" s="918" t="str">
        <f t="shared" si="246"/>
        <v>2904EDF</v>
      </c>
      <c r="K2435" s="919">
        <v>1</v>
      </c>
      <c r="L2435" s="920">
        <f t="shared" si="247"/>
        <v>579</v>
      </c>
      <c r="M2435" s="920">
        <f t="shared" si="248"/>
        <v>4.9330799999999995</v>
      </c>
      <c r="N2435" s="920">
        <f t="shared" si="249"/>
        <v>4.3863636363636367</v>
      </c>
      <c r="O2435" s="918" t="str">
        <f t="shared" si="250"/>
        <v>Feb</v>
      </c>
      <c r="P2435" s="921">
        <f t="shared" si="251"/>
        <v>9</v>
      </c>
    </row>
    <row r="2436" spans="1:16" ht="15" hidden="1" customHeight="1">
      <c r="A2436" s="839">
        <v>68817796</v>
      </c>
      <c r="B2436" s="839">
        <v>2904</v>
      </c>
      <c r="C2436" s="906">
        <v>1422</v>
      </c>
      <c r="D2436" s="907">
        <v>46070</v>
      </c>
      <c r="E2436" s="839" t="s">
        <v>263</v>
      </c>
      <c r="F2436" s="839" t="s">
        <v>269</v>
      </c>
      <c r="G2436" s="916">
        <f>VLOOKUP($A2436,'Tech Litons'!$A:$I,8,FALSE)</f>
        <v>8.513999999999999E-3</v>
      </c>
      <c r="H2436" s="917">
        <f>VLOOKUP($A2436,'Tech Litons'!$A:$I,9,FALSE)</f>
        <v>176</v>
      </c>
      <c r="I2436" s="917" t="str">
        <f>VLOOKUP($A2436,'Tech Litons'!$A:$C,3,0)</f>
        <v>48oz</v>
      </c>
      <c r="J2436" s="918" t="str">
        <f t="shared" si="246"/>
        <v>290448oz</v>
      </c>
      <c r="K2436" s="919">
        <v>1</v>
      </c>
      <c r="L2436" s="920">
        <f t="shared" si="247"/>
        <v>1422</v>
      </c>
      <c r="M2436" s="920">
        <f t="shared" si="248"/>
        <v>12.106907999999999</v>
      </c>
      <c r="N2436" s="920">
        <f t="shared" si="249"/>
        <v>8.079545454545455</v>
      </c>
      <c r="O2436" s="918" t="str">
        <f t="shared" si="250"/>
        <v>Feb</v>
      </c>
      <c r="P2436" s="921">
        <f t="shared" si="251"/>
        <v>8</v>
      </c>
    </row>
    <row r="2437" spans="1:16" ht="15" hidden="1" customHeight="1">
      <c r="A2437" s="839">
        <v>68817796</v>
      </c>
      <c r="B2437" s="839">
        <v>2904</v>
      </c>
      <c r="C2437" s="906">
        <v>6012</v>
      </c>
      <c r="D2437" s="907">
        <v>46071</v>
      </c>
      <c r="E2437" s="839" t="s">
        <v>263</v>
      </c>
      <c r="F2437" s="839" t="s">
        <v>269</v>
      </c>
      <c r="G2437" s="916">
        <f>VLOOKUP($A2437,'Tech Litons'!$A:$I,8,FALSE)</f>
        <v>8.513999999999999E-3</v>
      </c>
      <c r="H2437" s="917">
        <f>VLOOKUP($A2437,'Tech Litons'!$A:$I,9,FALSE)</f>
        <v>176</v>
      </c>
      <c r="I2437" s="917" t="str">
        <f>VLOOKUP($A2437,'Tech Litons'!$A:$C,3,0)</f>
        <v>48oz</v>
      </c>
      <c r="J2437" s="918" t="str">
        <f t="shared" si="246"/>
        <v>290448oz</v>
      </c>
      <c r="K2437" s="919">
        <v>1</v>
      </c>
      <c r="L2437" s="920">
        <f t="shared" si="247"/>
        <v>6012</v>
      </c>
      <c r="M2437" s="920">
        <f t="shared" si="248"/>
        <v>51.186167999999995</v>
      </c>
      <c r="N2437" s="920">
        <f t="shared" si="249"/>
        <v>34.159090909090907</v>
      </c>
      <c r="O2437" s="918" t="str">
        <f t="shared" si="250"/>
        <v>Feb</v>
      </c>
      <c r="P2437" s="921">
        <f t="shared" si="251"/>
        <v>8</v>
      </c>
    </row>
    <row r="2438" spans="1:16" ht="15" hidden="1" customHeight="1">
      <c r="A2438" s="839">
        <v>68817796</v>
      </c>
      <c r="B2438" s="839">
        <v>2904</v>
      </c>
      <c r="C2438" s="906">
        <v>6777</v>
      </c>
      <c r="D2438" s="907">
        <v>46071</v>
      </c>
      <c r="E2438" s="839" t="s">
        <v>263</v>
      </c>
      <c r="F2438" s="839" t="s">
        <v>269</v>
      </c>
      <c r="G2438" s="916">
        <f>VLOOKUP($A2438,'Tech Litons'!$A:$I,8,FALSE)</f>
        <v>8.513999999999999E-3</v>
      </c>
      <c r="H2438" s="917">
        <f>VLOOKUP($A2438,'Tech Litons'!$A:$I,9,FALSE)</f>
        <v>176</v>
      </c>
      <c r="I2438" s="917" t="str">
        <f>VLOOKUP($A2438,'Tech Litons'!$A:$C,3,0)</f>
        <v>48oz</v>
      </c>
      <c r="J2438" s="918" t="str">
        <f t="shared" si="246"/>
        <v>290448oz</v>
      </c>
      <c r="K2438" s="919">
        <v>1</v>
      </c>
      <c r="L2438" s="920">
        <f t="shared" si="247"/>
        <v>6777</v>
      </c>
      <c r="M2438" s="920">
        <f t="shared" si="248"/>
        <v>57.699377999999996</v>
      </c>
      <c r="N2438" s="920">
        <f t="shared" si="249"/>
        <v>38.50568181818182</v>
      </c>
      <c r="O2438" s="918" t="str">
        <f t="shared" si="250"/>
        <v>Feb</v>
      </c>
      <c r="P2438" s="921">
        <f t="shared" si="251"/>
        <v>8</v>
      </c>
    </row>
    <row r="2439" spans="1:16" ht="15" hidden="1" customHeight="1">
      <c r="A2439" s="839">
        <v>68817796</v>
      </c>
      <c r="B2439" s="839">
        <v>2904</v>
      </c>
      <c r="C2439" s="906">
        <v>7392</v>
      </c>
      <c r="D2439" s="907">
        <v>46072</v>
      </c>
      <c r="E2439" s="839" t="s">
        <v>263</v>
      </c>
      <c r="F2439" s="839" t="s">
        <v>269</v>
      </c>
      <c r="G2439" s="916">
        <f>VLOOKUP($A2439,'Tech Litons'!$A:$I,8,FALSE)</f>
        <v>8.513999999999999E-3</v>
      </c>
      <c r="H2439" s="917">
        <f>VLOOKUP($A2439,'Tech Litons'!$A:$I,9,FALSE)</f>
        <v>176</v>
      </c>
      <c r="I2439" s="917" t="str">
        <f>VLOOKUP($A2439,'Tech Litons'!$A:$C,3,0)</f>
        <v>48oz</v>
      </c>
      <c r="J2439" s="918" t="str">
        <f t="shared" si="246"/>
        <v>290448oz</v>
      </c>
      <c r="K2439" s="919">
        <v>1</v>
      </c>
      <c r="L2439" s="920">
        <f t="shared" si="247"/>
        <v>7392</v>
      </c>
      <c r="M2439" s="920">
        <f t="shared" si="248"/>
        <v>62.935487999999992</v>
      </c>
      <c r="N2439" s="920">
        <f t="shared" si="249"/>
        <v>42</v>
      </c>
      <c r="O2439" s="918" t="str">
        <f t="shared" si="250"/>
        <v>Feb</v>
      </c>
      <c r="P2439" s="921">
        <f t="shared" si="251"/>
        <v>8</v>
      </c>
    </row>
    <row r="2440" spans="1:16" ht="15" hidden="1" customHeight="1">
      <c r="A2440" s="839">
        <v>68817796</v>
      </c>
      <c r="B2440" s="839">
        <v>2904</v>
      </c>
      <c r="C2440" s="906">
        <v>7392</v>
      </c>
      <c r="D2440" s="907">
        <v>46072</v>
      </c>
      <c r="E2440" s="839" t="s">
        <v>263</v>
      </c>
      <c r="F2440" s="839" t="s">
        <v>269</v>
      </c>
      <c r="G2440" s="916">
        <f>VLOOKUP($A2440,'Tech Litons'!$A:$I,8,FALSE)</f>
        <v>8.513999999999999E-3</v>
      </c>
      <c r="H2440" s="917">
        <f>VLOOKUP($A2440,'Tech Litons'!$A:$I,9,FALSE)</f>
        <v>176</v>
      </c>
      <c r="I2440" s="917" t="str">
        <f>VLOOKUP($A2440,'Tech Litons'!$A:$C,3,0)</f>
        <v>48oz</v>
      </c>
      <c r="J2440" s="918" t="str">
        <f t="shared" si="246"/>
        <v>290448oz</v>
      </c>
      <c r="K2440" s="919">
        <v>1</v>
      </c>
      <c r="L2440" s="920">
        <f t="shared" si="247"/>
        <v>7392</v>
      </c>
      <c r="M2440" s="920">
        <f t="shared" si="248"/>
        <v>62.935487999999992</v>
      </c>
      <c r="N2440" s="920">
        <f t="shared" si="249"/>
        <v>42</v>
      </c>
      <c r="O2440" s="918" t="str">
        <f t="shared" si="250"/>
        <v>Feb</v>
      </c>
      <c r="P2440" s="921">
        <f t="shared" si="251"/>
        <v>8</v>
      </c>
    </row>
    <row r="2441" spans="1:16" ht="15" hidden="1" customHeight="1">
      <c r="A2441" s="839">
        <v>68817796</v>
      </c>
      <c r="B2441" s="839">
        <v>2904</v>
      </c>
      <c r="C2441" s="906">
        <v>1384</v>
      </c>
      <c r="D2441" s="907">
        <v>46073</v>
      </c>
      <c r="E2441" s="839" t="s">
        <v>263</v>
      </c>
      <c r="F2441" s="839" t="s">
        <v>269</v>
      </c>
      <c r="G2441" s="916">
        <f>VLOOKUP($A2441,'Tech Litons'!$A:$I,8,FALSE)</f>
        <v>8.513999999999999E-3</v>
      </c>
      <c r="H2441" s="917">
        <f>VLOOKUP($A2441,'Tech Litons'!$A:$I,9,FALSE)</f>
        <v>176</v>
      </c>
      <c r="I2441" s="917" t="str">
        <f>VLOOKUP($A2441,'Tech Litons'!$A:$C,3,0)</f>
        <v>48oz</v>
      </c>
      <c r="J2441" s="918" t="str">
        <f t="shared" si="246"/>
        <v>290448oz</v>
      </c>
      <c r="K2441" s="919">
        <v>1</v>
      </c>
      <c r="L2441" s="920">
        <f t="shared" si="247"/>
        <v>1384</v>
      </c>
      <c r="M2441" s="920">
        <f t="shared" si="248"/>
        <v>11.783375999999999</v>
      </c>
      <c r="N2441" s="920">
        <f t="shared" si="249"/>
        <v>7.8636363636363633</v>
      </c>
      <c r="O2441" s="918" t="str">
        <f t="shared" si="250"/>
        <v>Feb</v>
      </c>
      <c r="P2441" s="921">
        <f t="shared" si="251"/>
        <v>8</v>
      </c>
    </row>
    <row r="2442" spans="1:16" ht="15" hidden="1" customHeight="1">
      <c r="A2442" s="839">
        <v>68817800</v>
      </c>
      <c r="B2442" s="839">
        <v>2904</v>
      </c>
      <c r="C2442" s="906">
        <v>5350</v>
      </c>
      <c r="D2442" s="907">
        <v>46073</v>
      </c>
      <c r="E2442" s="839" t="s">
        <v>421</v>
      </c>
      <c r="F2442" s="839" t="s">
        <v>271</v>
      </c>
      <c r="G2442" s="916">
        <f>VLOOKUP($A2442,'Tech Litons'!$A:$I,8,FALSE)</f>
        <v>8.513999999999999E-3</v>
      </c>
      <c r="H2442" s="917">
        <f>VLOOKUP($A2442,'Tech Litons'!$A:$I,9,FALSE)</f>
        <v>176</v>
      </c>
      <c r="I2442" s="917" t="str">
        <f>VLOOKUP($A2442,'Tech Litons'!$A:$C,3,0)</f>
        <v>48oz</v>
      </c>
      <c r="J2442" s="918" t="str">
        <f t="shared" si="246"/>
        <v>290448oz</v>
      </c>
      <c r="K2442" s="919">
        <v>1</v>
      </c>
      <c r="L2442" s="920">
        <f t="shared" si="247"/>
        <v>5350</v>
      </c>
      <c r="M2442" s="920">
        <f t="shared" si="248"/>
        <v>45.549899999999994</v>
      </c>
      <c r="N2442" s="920">
        <f t="shared" si="249"/>
        <v>30.397727272727273</v>
      </c>
      <c r="O2442" s="918" t="str">
        <f t="shared" si="250"/>
        <v>Feb</v>
      </c>
      <c r="P2442" s="921">
        <f t="shared" si="251"/>
        <v>8</v>
      </c>
    </row>
    <row r="2443" spans="1:16" ht="15" hidden="1" customHeight="1">
      <c r="A2443" s="839">
        <v>68817800</v>
      </c>
      <c r="B2443" s="839">
        <v>2904</v>
      </c>
      <c r="C2443" s="906">
        <v>7351</v>
      </c>
      <c r="D2443" s="907">
        <v>46074</v>
      </c>
      <c r="E2443" s="839" t="s">
        <v>421</v>
      </c>
      <c r="F2443" s="839" t="s">
        <v>271</v>
      </c>
      <c r="G2443" s="916">
        <f>VLOOKUP($A2443,'Tech Litons'!$A:$I,8,FALSE)</f>
        <v>8.513999999999999E-3</v>
      </c>
      <c r="H2443" s="917">
        <f>VLOOKUP($A2443,'Tech Litons'!$A:$I,9,FALSE)</f>
        <v>176</v>
      </c>
      <c r="I2443" s="917" t="str">
        <f>VLOOKUP($A2443,'Tech Litons'!$A:$C,3,0)</f>
        <v>48oz</v>
      </c>
      <c r="J2443" s="918" t="str">
        <f t="shared" si="246"/>
        <v>290448oz</v>
      </c>
      <c r="K2443" s="919">
        <v>1</v>
      </c>
      <c r="L2443" s="920">
        <f t="shared" si="247"/>
        <v>7351</v>
      </c>
      <c r="M2443" s="920">
        <f t="shared" si="248"/>
        <v>62.586413999999991</v>
      </c>
      <c r="N2443" s="920">
        <f t="shared" si="249"/>
        <v>41.767045454545453</v>
      </c>
      <c r="O2443" s="918" t="str">
        <f t="shared" si="250"/>
        <v>Feb</v>
      </c>
      <c r="P2443" s="921">
        <f t="shared" si="251"/>
        <v>8</v>
      </c>
    </row>
    <row r="2444" spans="1:16" ht="15" hidden="1" customHeight="1">
      <c r="A2444" s="839">
        <v>68817800</v>
      </c>
      <c r="B2444" s="839">
        <v>2904</v>
      </c>
      <c r="C2444" s="906">
        <v>5632</v>
      </c>
      <c r="D2444" s="907">
        <v>46074</v>
      </c>
      <c r="E2444" s="839" t="s">
        <v>421</v>
      </c>
      <c r="F2444" s="839" t="s">
        <v>271</v>
      </c>
      <c r="G2444" s="916">
        <f>VLOOKUP($A2444,'Tech Litons'!$A:$I,8,FALSE)</f>
        <v>8.513999999999999E-3</v>
      </c>
      <c r="H2444" s="917">
        <f>VLOOKUP($A2444,'Tech Litons'!$A:$I,9,FALSE)</f>
        <v>176</v>
      </c>
      <c r="I2444" s="917" t="str">
        <f>VLOOKUP($A2444,'Tech Litons'!$A:$C,3,0)</f>
        <v>48oz</v>
      </c>
      <c r="J2444" s="918" t="str">
        <f t="shared" si="246"/>
        <v>290448oz</v>
      </c>
      <c r="K2444" s="919">
        <v>1</v>
      </c>
      <c r="L2444" s="920">
        <f t="shared" si="247"/>
        <v>5632</v>
      </c>
      <c r="M2444" s="920">
        <f t="shared" si="248"/>
        <v>47.950847999999993</v>
      </c>
      <c r="N2444" s="920">
        <f t="shared" si="249"/>
        <v>32</v>
      </c>
      <c r="O2444" s="918" t="str">
        <f t="shared" si="250"/>
        <v>Feb</v>
      </c>
      <c r="P2444" s="921">
        <f t="shared" si="251"/>
        <v>8</v>
      </c>
    </row>
    <row r="2445" spans="1:16" ht="15" hidden="1" customHeight="1">
      <c r="A2445" s="839">
        <v>68817800</v>
      </c>
      <c r="B2445" s="839">
        <v>2904</v>
      </c>
      <c r="C2445" s="906">
        <v>3722</v>
      </c>
      <c r="D2445" s="907">
        <v>46075</v>
      </c>
      <c r="E2445" s="839" t="s">
        <v>421</v>
      </c>
      <c r="F2445" s="839" t="s">
        <v>271</v>
      </c>
      <c r="G2445" s="916">
        <f>VLOOKUP($A2445,'Tech Litons'!$A:$I,8,FALSE)</f>
        <v>8.513999999999999E-3</v>
      </c>
      <c r="H2445" s="917">
        <f>VLOOKUP($A2445,'Tech Litons'!$A:$I,9,FALSE)</f>
        <v>176</v>
      </c>
      <c r="I2445" s="917" t="str">
        <f>VLOOKUP($A2445,'Tech Litons'!$A:$C,3,0)</f>
        <v>48oz</v>
      </c>
      <c r="J2445" s="918" t="str">
        <f t="shared" si="246"/>
        <v>290448oz</v>
      </c>
      <c r="K2445" s="919">
        <v>1</v>
      </c>
      <c r="L2445" s="920">
        <f t="shared" si="247"/>
        <v>3722</v>
      </c>
      <c r="M2445" s="920">
        <f t="shared" si="248"/>
        <v>31.689107999999997</v>
      </c>
      <c r="N2445" s="920">
        <f t="shared" si="249"/>
        <v>21.147727272727273</v>
      </c>
      <c r="O2445" s="918" t="str">
        <f t="shared" si="250"/>
        <v>Feb</v>
      </c>
      <c r="P2445" s="921">
        <f t="shared" si="251"/>
        <v>9</v>
      </c>
    </row>
    <row r="2446" spans="1:16" ht="15" hidden="1" customHeight="1">
      <c r="A2446" s="839">
        <v>68817800</v>
      </c>
      <c r="B2446" s="839">
        <v>2904</v>
      </c>
      <c r="C2446" s="906">
        <v>6116</v>
      </c>
      <c r="D2446" s="907">
        <v>46073</v>
      </c>
      <c r="E2446" s="839" t="s">
        <v>421</v>
      </c>
      <c r="F2446" s="839" t="s">
        <v>271</v>
      </c>
      <c r="G2446" s="916">
        <f>VLOOKUP($A2446,'Tech Litons'!$A:$I,8,FALSE)</f>
        <v>8.513999999999999E-3</v>
      </c>
      <c r="H2446" s="917">
        <f>VLOOKUP($A2446,'Tech Litons'!$A:$I,9,FALSE)</f>
        <v>176</v>
      </c>
      <c r="I2446" s="917" t="str">
        <f>VLOOKUP($A2446,'Tech Litons'!$A:$C,3,0)</f>
        <v>48oz</v>
      </c>
      <c r="J2446" s="918" t="str">
        <f t="shared" si="246"/>
        <v>290448oz</v>
      </c>
      <c r="K2446" s="919">
        <v>1</v>
      </c>
      <c r="L2446" s="920">
        <f t="shared" si="247"/>
        <v>6116</v>
      </c>
      <c r="M2446" s="920">
        <f t="shared" si="248"/>
        <v>52.071623999999993</v>
      </c>
      <c r="N2446" s="920">
        <f t="shared" si="249"/>
        <v>34.75</v>
      </c>
      <c r="O2446" s="918" t="str">
        <f t="shared" si="250"/>
        <v>Feb</v>
      </c>
      <c r="P2446" s="921">
        <f t="shared" si="251"/>
        <v>8</v>
      </c>
    </row>
    <row r="2447" spans="1:16" ht="15" hidden="1" customHeight="1">
      <c r="A2447" s="839">
        <v>68817800</v>
      </c>
      <c r="B2447" s="839">
        <v>2904</v>
      </c>
      <c r="C2447" s="906">
        <v>1166</v>
      </c>
      <c r="D2447" s="907">
        <v>46075</v>
      </c>
      <c r="E2447" s="839" t="s">
        <v>421</v>
      </c>
      <c r="F2447" s="839" t="s">
        <v>271</v>
      </c>
      <c r="G2447" s="916">
        <f>VLOOKUP($A2447,'Tech Litons'!$A:$I,8,FALSE)</f>
        <v>8.513999999999999E-3</v>
      </c>
      <c r="H2447" s="917">
        <f>VLOOKUP($A2447,'Tech Litons'!$A:$I,9,FALSE)</f>
        <v>176</v>
      </c>
      <c r="I2447" s="917" t="str">
        <f>VLOOKUP($A2447,'Tech Litons'!$A:$C,3,0)</f>
        <v>48oz</v>
      </c>
      <c r="J2447" s="918" t="str">
        <f t="shared" si="246"/>
        <v>290448oz</v>
      </c>
      <c r="K2447" s="919">
        <v>1</v>
      </c>
      <c r="L2447" s="920">
        <f t="shared" si="247"/>
        <v>1166</v>
      </c>
      <c r="M2447" s="920">
        <f t="shared" si="248"/>
        <v>9.9273239999999987</v>
      </c>
      <c r="N2447" s="920">
        <f t="shared" si="249"/>
        <v>6.625</v>
      </c>
      <c r="O2447" s="918" t="str">
        <f t="shared" si="250"/>
        <v>Feb</v>
      </c>
      <c r="P2447" s="921">
        <f t="shared" si="251"/>
        <v>9</v>
      </c>
    </row>
    <row r="2448" spans="1:16" ht="15" hidden="1" customHeight="1">
      <c r="A2448" s="839">
        <v>68821728</v>
      </c>
      <c r="B2448" s="839">
        <v>2904</v>
      </c>
      <c r="C2448" s="906">
        <v>3520</v>
      </c>
      <c r="D2448" s="907">
        <v>46052</v>
      </c>
      <c r="E2448" s="839" t="s">
        <v>386</v>
      </c>
      <c r="F2448" s="839" t="s">
        <v>271</v>
      </c>
      <c r="G2448" s="916">
        <f>VLOOKUP($A2448,'Tech Litons'!$A:$I,8,FALSE)</f>
        <v>8.5199999999999998E-3</v>
      </c>
      <c r="H2448" s="917">
        <f>VLOOKUP($A2448,'Tech Litons'!$A:$I,9,FALSE)</f>
        <v>176</v>
      </c>
      <c r="I2448" s="917" t="str">
        <f>VLOOKUP($A2448,'Tech Litons'!$A:$C,3,0)</f>
        <v>48oz</v>
      </c>
      <c r="J2448" s="918" t="str">
        <f t="shared" si="246"/>
        <v>290448oz</v>
      </c>
      <c r="K2448" s="919">
        <v>1</v>
      </c>
      <c r="L2448" s="920">
        <f t="shared" si="247"/>
        <v>3520</v>
      </c>
      <c r="M2448" s="920">
        <f t="shared" si="248"/>
        <v>29.990400000000001</v>
      </c>
      <c r="N2448" s="920">
        <f t="shared" si="249"/>
        <v>20</v>
      </c>
      <c r="O2448" s="918" t="str">
        <f t="shared" si="250"/>
        <v>Jan</v>
      </c>
      <c r="P2448" s="921">
        <f t="shared" si="251"/>
        <v>5</v>
      </c>
    </row>
    <row r="2449" spans="1:16" ht="15" hidden="1" customHeight="1">
      <c r="A2449" s="839">
        <v>68821728</v>
      </c>
      <c r="B2449" s="839">
        <v>2904</v>
      </c>
      <c r="C2449" s="906">
        <v>5456</v>
      </c>
      <c r="D2449" s="907">
        <v>46053</v>
      </c>
      <c r="E2449" s="839" t="s">
        <v>386</v>
      </c>
      <c r="F2449" s="839" t="s">
        <v>271</v>
      </c>
      <c r="G2449" s="916">
        <f>VLOOKUP($A2449,'Tech Litons'!$A:$I,8,FALSE)</f>
        <v>8.5199999999999998E-3</v>
      </c>
      <c r="H2449" s="917">
        <f>VLOOKUP($A2449,'Tech Litons'!$A:$I,9,FALSE)</f>
        <v>176</v>
      </c>
      <c r="I2449" s="917" t="str">
        <f>VLOOKUP($A2449,'Tech Litons'!$A:$C,3,0)</f>
        <v>48oz</v>
      </c>
      <c r="J2449" s="918" t="str">
        <f t="shared" si="246"/>
        <v>290448oz</v>
      </c>
      <c r="K2449" s="919">
        <v>1</v>
      </c>
      <c r="L2449" s="920">
        <f t="shared" si="247"/>
        <v>5456</v>
      </c>
      <c r="M2449" s="920">
        <f t="shared" si="248"/>
        <v>46.485120000000002</v>
      </c>
      <c r="N2449" s="920">
        <f t="shared" si="249"/>
        <v>31</v>
      </c>
      <c r="O2449" s="918" t="str">
        <f t="shared" si="250"/>
        <v>Jan</v>
      </c>
      <c r="P2449" s="921">
        <f t="shared" si="251"/>
        <v>5</v>
      </c>
    </row>
    <row r="2450" spans="1:16" ht="15" hidden="1" customHeight="1">
      <c r="A2450" s="839">
        <v>68821728</v>
      </c>
      <c r="B2450" s="839">
        <v>2904</v>
      </c>
      <c r="C2450" s="906">
        <v>1408</v>
      </c>
      <c r="D2450" s="907">
        <v>46055</v>
      </c>
      <c r="E2450" s="839" t="s">
        <v>386</v>
      </c>
      <c r="F2450" s="839" t="s">
        <v>271</v>
      </c>
      <c r="G2450" s="916">
        <f>VLOOKUP($A2450,'Tech Litons'!$A:$I,8,FALSE)</f>
        <v>8.5199999999999998E-3</v>
      </c>
      <c r="H2450" s="917">
        <f>VLOOKUP($A2450,'Tech Litons'!$A:$I,9,FALSE)</f>
        <v>176</v>
      </c>
      <c r="I2450" s="917" t="str">
        <f>VLOOKUP($A2450,'Tech Litons'!$A:$C,3,0)</f>
        <v>48oz</v>
      </c>
      <c r="J2450" s="918" t="str">
        <f t="shared" si="246"/>
        <v>290448oz</v>
      </c>
      <c r="K2450" s="919">
        <v>1</v>
      </c>
      <c r="L2450" s="920">
        <f t="shared" si="247"/>
        <v>1408</v>
      </c>
      <c r="M2450" s="920">
        <f t="shared" si="248"/>
        <v>11.99616</v>
      </c>
      <c r="N2450" s="920">
        <f t="shared" si="249"/>
        <v>8</v>
      </c>
      <c r="O2450" s="918" t="str">
        <f t="shared" si="250"/>
        <v>Feb</v>
      </c>
      <c r="P2450" s="921">
        <f t="shared" si="251"/>
        <v>6</v>
      </c>
    </row>
    <row r="2451" spans="1:16" ht="15" hidden="1" customHeight="1">
      <c r="A2451" s="839">
        <v>68821728</v>
      </c>
      <c r="B2451" s="839">
        <v>2904</v>
      </c>
      <c r="C2451" s="906">
        <v>7477</v>
      </c>
      <c r="D2451" s="907">
        <v>46053</v>
      </c>
      <c r="E2451" s="839" t="s">
        <v>386</v>
      </c>
      <c r="F2451" s="839" t="s">
        <v>271</v>
      </c>
      <c r="G2451" s="916">
        <f>VLOOKUP($A2451,'Tech Litons'!$A:$I,8,FALSE)</f>
        <v>8.5199999999999998E-3</v>
      </c>
      <c r="H2451" s="917">
        <f>VLOOKUP($A2451,'Tech Litons'!$A:$I,9,FALSE)</f>
        <v>176</v>
      </c>
      <c r="I2451" s="917" t="str">
        <f>VLOOKUP($A2451,'Tech Litons'!$A:$C,3,0)</f>
        <v>48oz</v>
      </c>
      <c r="J2451" s="918" t="str">
        <f t="shared" si="246"/>
        <v>290448oz</v>
      </c>
      <c r="K2451" s="919">
        <v>1</v>
      </c>
      <c r="L2451" s="920">
        <f t="shared" si="247"/>
        <v>7477</v>
      </c>
      <c r="M2451" s="920">
        <f t="shared" si="248"/>
        <v>63.704039999999999</v>
      </c>
      <c r="N2451" s="920">
        <f t="shared" si="249"/>
        <v>42.482954545454547</v>
      </c>
      <c r="O2451" s="918" t="str">
        <f t="shared" si="250"/>
        <v>Jan</v>
      </c>
      <c r="P2451" s="921">
        <f t="shared" si="251"/>
        <v>5</v>
      </c>
    </row>
    <row r="2452" spans="1:16" ht="15" hidden="1" customHeight="1">
      <c r="A2452" s="839">
        <v>68821728</v>
      </c>
      <c r="B2452" s="839">
        <v>2904</v>
      </c>
      <c r="C2452" s="906">
        <v>4354</v>
      </c>
      <c r="D2452" s="907">
        <v>46054</v>
      </c>
      <c r="E2452" s="839" t="s">
        <v>386</v>
      </c>
      <c r="F2452" s="839" t="s">
        <v>271</v>
      </c>
      <c r="G2452" s="916">
        <f>VLOOKUP($A2452,'Tech Litons'!$A:$I,8,FALSE)</f>
        <v>8.5199999999999998E-3</v>
      </c>
      <c r="H2452" s="917">
        <f>VLOOKUP($A2452,'Tech Litons'!$A:$I,9,FALSE)</f>
        <v>176</v>
      </c>
      <c r="I2452" s="917" t="str">
        <f>VLOOKUP($A2452,'Tech Litons'!$A:$C,3,0)</f>
        <v>48oz</v>
      </c>
      <c r="J2452" s="918" t="str">
        <f t="shared" si="246"/>
        <v>290448oz</v>
      </c>
      <c r="K2452" s="919">
        <v>1</v>
      </c>
      <c r="L2452" s="920">
        <f t="shared" si="247"/>
        <v>4354</v>
      </c>
      <c r="M2452" s="920">
        <f t="shared" si="248"/>
        <v>37.096080000000001</v>
      </c>
      <c r="N2452" s="920">
        <f t="shared" si="249"/>
        <v>24.738636363636363</v>
      </c>
      <c r="O2452" s="918" t="str">
        <f t="shared" si="250"/>
        <v>Feb</v>
      </c>
      <c r="P2452" s="921">
        <f t="shared" si="251"/>
        <v>6</v>
      </c>
    </row>
    <row r="2453" spans="1:16" ht="15" hidden="1" customHeight="1">
      <c r="A2453" s="839">
        <v>68821728</v>
      </c>
      <c r="B2453" s="839">
        <v>2904</v>
      </c>
      <c r="C2453" s="906">
        <v>3744</v>
      </c>
      <c r="D2453" s="907">
        <v>46054</v>
      </c>
      <c r="E2453" s="839" t="s">
        <v>386</v>
      </c>
      <c r="F2453" s="839" t="s">
        <v>271</v>
      </c>
      <c r="G2453" s="916">
        <f>VLOOKUP($A2453,'Tech Litons'!$A:$I,8,FALSE)</f>
        <v>8.5199999999999998E-3</v>
      </c>
      <c r="H2453" s="917">
        <f>VLOOKUP($A2453,'Tech Litons'!$A:$I,9,FALSE)</f>
        <v>176</v>
      </c>
      <c r="I2453" s="917" t="str">
        <f>VLOOKUP($A2453,'Tech Litons'!$A:$C,3,0)</f>
        <v>48oz</v>
      </c>
      <c r="J2453" s="918" t="str">
        <f t="shared" si="246"/>
        <v>290448oz</v>
      </c>
      <c r="K2453" s="919">
        <v>1</v>
      </c>
      <c r="L2453" s="920">
        <f t="shared" si="247"/>
        <v>3744</v>
      </c>
      <c r="M2453" s="920">
        <f t="shared" si="248"/>
        <v>31.898879999999998</v>
      </c>
      <c r="N2453" s="920">
        <f t="shared" si="249"/>
        <v>21.272727272727273</v>
      </c>
      <c r="O2453" s="918" t="str">
        <f t="shared" si="250"/>
        <v>Feb</v>
      </c>
      <c r="P2453" s="921">
        <f t="shared" si="251"/>
        <v>6</v>
      </c>
    </row>
    <row r="2454" spans="1:16" ht="15" hidden="1" customHeight="1">
      <c r="A2454" s="839">
        <v>68821728</v>
      </c>
      <c r="B2454" s="839">
        <v>2904</v>
      </c>
      <c r="C2454" s="906">
        <v>622</v>
      </c>
      <c r="D2454" s="907">
        <v>46055</v>
      </c>
      <c r="E2454" s="839" t="s">
        <v>386</v>
      </c>
      <c r="F2454" s="839" t="s">
        <v>271</v>
      </c>
      <c r="G2454" s="916">
        <f>VLOOKUP($A2454,'Tech Litons'!$A:$I,8,FALSE)</f>
        <v>8.5199999999999998E-3</v>
      </c>
      <c r="H2454" s="917">
        <f>VLOOKUP($A2454,'Tech Litons'!$A:$I,9,FALSE)</f>
        <v>176</v>
      </c>
      <c r="I2454" s="917" t="str">
        <f>VLOOKUP($A2454,'Tech Litons'!$A:$C,3,0)</f>
        <v>48oz</v>
      </c>
      <c r="J2454" s="918" t="str">
        <f t="shared" si="246"/>
        <v>290448oz</v>
      </c>
      <c r="K2454" s="919">
        <v>1</v>
      </c>
      <c r="L2454" s="920">
        <f t="shared" si="247"/>
        <v>622</v>
      </c>
      <c r="M2454" s="920">
        <f t="shared" si="248"/>
        <v>5.2994399999999997</v>
      </c>
      <c r="N2454" s="920">
        <f t="shared" si="249"/>
        <v>3.5340909090909092</v>
      </c>
      <c r="O2454" s="918" t="str">
        <f t="shared" si="250"/>
        <v>Feb</v>
      </c>
      <c r="P2454" s="921">
        <f t="shared" si="251"/>
        <v>6</v>
      </c>
    </row>
    <row r="2455" spans="1:16" ht="15" hidden="1" customHeight="1">
      <c r="A2455" s="839">
        <v>68821734</v>
      </c>
      <c r="B2455" s="839">
        <v>2904</v>
      </c>
      <c r="C2455" s="906">
        <v>-11</v>
      </c>
      <c r="D2455" s="907">
        <v>46052</v>
      </c>
      <c r="E2455" s="839" t="s">
        <v>370</v>
      </c>
      <c r="F2455" s="839" t="s">
        <v>273</v>
      </c>
      <c r="G2455" s="916">
        <f>VLOOKUP($A2455,'Tech Litons'!$A:$I,8,FALSE)</f>
        <v>8.5199999999999998E-3</v>
      </c>
      <c r="H2455" s="917">
        <f>VLOOKUP($A2455,'Tech Litons'!$A:$I,9,FALSE)</f>
        <v>176</v>
      </c>
      <c r="I2455" s="917" t="str">
        <f>VLOOKUP($A2455,'Tech Litons'!$A:$C,3,0)</f>
        <v>48oz</v>
      </c>
      <c r="J2455" s="918" t="str">
        <f t="shared" si="246"/>
        <v>290448oz</v>
      </c>
      <c r="K2455" s="919">
        <v>1</v>
      </c>
      <c r="L2455" s="920">
        <f t="shared" si="247"/>
        <v>-11</v>
      </c>
      <c r="M2455" s="920">
        <f t="shared" si="248"/>
        <v>-9.3719999999999998E-2</v>
      </c>
      <c r="N2455" s="920">
        <f t="shared" si="249"/>
        <v>-6.25E-2</v>
      </c>
      <c r="O2455" s="918" t="str">
        <f t="shared" si="250"/>
        <v>Jan</v>
      </c>
      <c r="P2455" s="921">
        <f t="shared" si="251"/>
        <v>5</v>
      </c>
    </row>
    <row r="2456" spans="1:16" ht="15" hidden="1" customHeight="1">
      <c r="A2456" s="839">
        <v>68821735</v>
      </c>
      <c r="B2456" s="839">
        <v>2904</v>
      </c>
      <c r="C2456" s="906">
        <v>10032</v>
      </c>
      <c r="D2456" s="907">
        <v>46059</v>
      </c>
      <c r="E2456" s="839" t="s">
        <v>318</v>
      </c>
      <c r="F2456" s="839" t="s">
        <v>273</v>
      </c>
      <c r="G2456" s="916">
        <f>VLOOKUP($A2456,'Tech Litons'!$A:$I,8,FALSE)</f>
        <v>8.5199999999999998E-3</v>
      </c>
      <c r="H2456" s="917">
        <f>VLOOKUP($A2456,'Tech Litons'!$A:$I,9,FALSE)</f>
        <v>176</v>
      </c>
      <c r="I2456" s="917" t="str">
        <f>VLOOKUP($A2456,'Tech Litons'!$A:$C,3,0)</f>
        <v>48oz</v>
      </c>
      <c r="J2456" s="918" t="str">
        <f t="shared" si="246"/>
        <v>290448oz</v>
      </c>
      <c r="K2456" s="919">
        <v>1</v>
      </c>
      <c r="L2456" s="920">
        <f t="shared" si="247"/>
        <v>10032</v>
      </c>
      <c r="M2456" s="920">
        <f t="shared" si="248"/>
        <v>85.472639999999998</v>
      </c>
      <c r="N2456" s="920">
        <f t="shared" si="249"/>
        <v>57</v>
      </c>
      <c r="O2456" s="918" t="str">
        <f t="shared" si="250"/>
        <v>Feb</v>
      </c>
      <c r="P2456" s="921">
        <f t="shared" si="251"/>
        <v>6</v>
      </c>
    </row>
    <row r="2457" spans="1:16" ht="15" hidden="1" customHeight="1">
      <c r="A2457" s="839">
        <v>68821735</v>
      </c>
      <c r="B2457" s="839">
        <v>2904</v>
      </c>
      <c r="C2457" s="906">
        <v>11264</v>
      </c>
      <c r="D2457" s="907">
        <v>46060</v>
      </c>
      <c r="E2457" s="839" t="s">
        <v>318</v>
      </c>
      <c r="F2457" s="839" t="s">
        <v>273</v>
      </c>
      <c r="G2457" s="916">
        <f>VLOOKUP($A2457,'Tech Litons'!$A:$I,8,FALSE)</f>
        <v>8.5199999999999998E-3</v>
      </c>
      <c r="H2457" s="917">
        <f>VLOOKUP($A2457,'Tech Litons'!$A:$I,9,FALSE)</f>
        <v>176</v>
      </c>
      <c r="I2457" s="917" t="str">
        <f>VLOOKUP($A2457,'Tech Litons'!$A:$C,3,0)</f>
        <v>48oz</v>
      </c>
      <c r="J2457" s="918" t="str">
        <f t="shared" si="246"/>
        <v>290448oz</v>
      </c>
      <c r="K2457" s="919">
        <v>1</v>
      </c>
      <c r="L2457" s="920">
        <f t="shared" si="247"/>
        <v>11264</v>
      </c>
      <c r="M2457" s="920">
        <f t="shared" si="248"/>
        <v>95.969279999999998</v>
      </c>
      <c r="N2457" s="920">
        <f t="shared" si="249"/>
        <v>64</v>
      </c>
      <c r="O2457" s="918" t="str">
        <f t="shared" si="250"/>
        <v>Feb</v>
      </c>
      <c r="P2457" s="921">
        <f t="shared" si="251"/>
        <v>6</v>
      </c>
    </row>
    <row r="2458" spans="1:16" ht="15" hidden="1" customHeight="1">
      <c r="A2458" s="839">
        <v>68821735</v>
      </c>
      <c r="B2458" s="839">
        <v>2904</v>
      </c>
      <c r="C2458" s="906">
        <v>176</v>
      </c>
      <c r="D2458" s="907">
        <v>46062</v>
      </c>
      <c r="E2458" s="839" t="s">
        <v>318</v>
      </c>
      <c r="F2458" s="839" t="s">
        <v>273</v>
      </c>
      <c r="G2458" s="916">
        <f>VLOOKUP($A2458,'Tech Litons'!$A:$I,8,FALSE)</f>
        <v>8.5199999999999998E-3</v>
      </c>
      <c r="H2458" s="917">
        <f>VLOOKUP($A2458,'Tech Litons'!$A:$I,9,FALSE)</f>
        <v>176</v>
      </c>
      <c r="I2458" s="917" t="str">
        <f>VLOOKUP($A2458,'Tech Litons'!$A:$C,3,0)</f>
        <v>48oz</v>
      </c>
      <c r="J2458" s="918" t="str">
        <f t="shared" si="246"/>
        <v>290448oz</v>
      </c>
      <c r="K2458" s="919">
        <v>1</v>
      </c>
      <c r="L2458" s="920">
        <f t="shared" si="247"/>
        <v>176</v>
      </c>
      <c r="M2458" s="920">
        <f t="shared" si="248"/>
        <v>1.49952</v>
      </c>
      <c r="N2458" s="920">
        <f t="shared" si="249"/>
        <v>1</v>
      </c>
      <c r="O2458" s="918" t="str">
        <f t="shared" si="250"/>
        <v>Feb</v>
      </c>
      <c r="P2458" s="921">
        <f t="shared" si="251"/>
        <v>7</v>
      </c>
    </row>
    <row r="2459" spans="1:16" ht="15" hidden="1" customHeight="1">
      <c r="A2459" s="839">
        <v>68821735</v>
      </c>
      <c r="B2459" s="839">
        <v>2904</v>
      </c>
      <c r="C2459" s="906">
        <v>8827</v>
      </c>
      <c r="D2459" s="907">
        <v>46060</v>
      </c>
      <c r="E2459" s="839" t="s">
        <v>318</v>
      </c>
      <c r="F2459" s="839" t="s">
        <v>273</v>
      </c>
      <c r="G2459" s="916">
        <f>VLOOKUP($A2459,'Tech Litons'!$A:$I,8,FALSE)</f>
        <v>8.5199999999999998E-3</v>
      </c>
      <c r="H2459" s="917">
        <f>VLOOKUP($A2459,'Tech Litons'!$A:$I,9,FALSE)</f>
        <v>176</v>
      </c>
      <c r="I2459" s="917" t="str">
        <f>VLOOKUP($A2459,'Tech Litons'!$A:$C,3,0)</f>
        <v>48oz</v>
      </c>
      <c r="J2459" s="918" t="str">
        <f t="shared" si="246"/>
        <v>290448oz</v>
      </c>
      <c r="K2459" s="919">
        <v>1</v>
      </c>
      <c r="L2459" s="920">
        <f t="shared" si="247"/>
        <v>8827</v>
      </c>
      <c r="M2459" s="920">
        <f t="shared" si="248"/>
        <v>75.206040000000002</v>
      </c>
      <c r="N2459" s="920">
        <f t="shared" si="249"/>
        <v>50.153409090909093</v>
      </c>
      <c r="O2459" s="918" t="str">
        <f t="shared" si="250"/>
        <v>Feb</v>
      </c>
      <c r="P2459" s="921">
        <f t="shared" si="251"/>
        <v>6</v>
      </c>
    </row>
    <row r="2460" spans="1:16" ht="15" hidden="1" customHeight="1">
      <c r="A2460" s="839">
        <v>68821735</v>
      </c>
      <c r="B2460" s="839">
        <v>2904</v>
      </c>
      <c r="C2460" s="906">
        <v>8309</v>
      </c>
      <c r="D2460" s="907">
        <v>46061</v>
      </c>
      <c r="E2460" s="839" t="s">
        <v>318</v>
      </c>
      <c r="F2460" s="839" t="s">
        <v>273</v>
      </c>
      <c r="G2460" s="916">
        <f>VLOOKUP($A2460,'Tech Litons'!$A:$I,8,FALSE)</f>
        <v>8.5199999999999998E-3</v>
      </c>
      <c r="H2460" s="917">
        <f>VLOOKUP($A2460,'Tech Litons'!$A:$I,9,FALSE)</f>
        <v>176</v>
      </c>
      <c r="I2460" s="917" t="str">
        <f>VLOOKUP($A2460,'Tech Litons'!$A:$C,3,0)</f>
        <v>48oz</v>
      </c>
      <c r="J2460" s="918" t="str">
        <f t="shared" si="246"/>
        <v>290448oz</v>
      </c>
      <c r="K2460" s="919">
        <v>1</v>
      </c>
      <c r="L2460" s="920">
        <f t="shared" si="247"/>
        <v>8309</v>
      </c>
      <c r="M2460" s="920">
        <f t="shared" si="248"/>
        <v>70.792680000000004</v>
      </c>
      <c r="N2460" s="920">
        <f t="shared" si="249"/>
        <v>47.210227272727273</v>
      </c>
      <c r="O2460" s="918" t="str">
        <f t="shared" si="250"/>
        <v>Feb</v>
      </c>
      <c r="P2460" s="921">
        <f t="shared" si="251"/>
        <v>7</v>
      </c>
    </row>
    <row r="2461" spans="1:16" ht="15" hidden="1" customHeight="1">
      <c r="A2461" s="839">
        <v>68821735</v>
      </c>
      <c r="B2461" s="839">
        <v>2904</v>
      </c>
      <c r="C2461" s="906">
        <v>528</v>
      </c>
      <c r="D2461" s="907">
        <v>46062</v>
      </c>
      <c r="E2461" s="839" t="s">
        <v>318</v>
      </c>
      <c r="F2461" s="839" t="s">
        <v>273</v>
      </c>
      <c r="G2461" s="916">
        <f>VLOOKUP($A2461,'Tech Litons'!$A:$I,8,FALSE)</f>
        <v>8.5199999999999998E-3</v>
      </c>
      <c r="H2461" s="917">
        <f>VLOOKUP($A2461,'Tech Litons'!$A:$I,9,FALSE)</f>
        <v>176</v>
      </c>
      <c r="I2461" s="917" t="str">
        <f>VLOOKUP($A2461,'Tech Litons'!$A:$C,3,0)</f>
        <v>48oz</v>
      </c>
      <c r="J2461" s="918" t="str">
        <f t="shared" si="246"/>
        <v>290448oz</v>
      </c>
      <c r="K2461" s="919">
        <v>1</v>
      </c>
      <c r="L2461" s="920">
        <f t="shared" si="247"/>
        <v>528</v>
      </c>
      <c r="M2461" s="920">
        <f t="shared" si="248"/>
        <v>4.4985599999999994</v>
      </c>
      <c r="N2461" s="920">
        <f t="shared" si="249"/>
        <v>3</v>
      </c>
      <c r="O2461" s="918" t="str">
        <f t="shared" si="250"/>
        <v>Feb</v>
      </c>
      <c r="P2461" s="921">
        <f t="shared" si="251"/>
        <v>7</v>
      </c>
    </row>
    <row r="2462" spans="1:16" ht="15" hidden="1" customHeight="1">
      <c r="A2462" s="839">
        <v>68821735</v>
      </c>
      <c r="B2462" s="839">
        <v>2904</v>
      </c>
      <c r="C2462" s="906">
        <v>7392</v>
      </c>
      <c r="D2462" s="907">
        <v>46058</v>
      </c>
      <c r="E2462" s="839" t="s">
        <v>318</v>
      </c>
      <c r="F2462" s="839" t="s">
        <v>273</v>
      </c>
      <c r="G2462" s="916">
        <f>VLOOKUP($A2462,'Tech Litons'!$A:$I,8,FALSE)</f>
        <v>8.5199999999999998E-3</v>
      </c>
      <c r="H2462" s="917">
        <f>VLOOKUP($A2462,'Tech Litons'!$A:$I,9,FALSE)</f>
        <v>176</v>
      </c>
      <c r="I2462" s="917" t="str">
        <f>VLOOKUP($A2462,'Tech Litons'!$A:$C,3,0)</f>
        <v>48oz</v>
      </c>
      <c r="J2462" s="918" t="str">
        <f t="shared" si="246"/>
        <v>290448oz</v>
      </c>
      <c r="K2462" s="919">
        <v>1</v>
      </c>
      <c r="L2462" s="920">
        <f t="shared" si="247"/>
        <v>7392</v>
      </c>
      <c r="M2462" s="920">
        <f t="shared" si="248"/>
        <v>62.979839999999996</v>
      </c>
      <c r="N2462" s="920">
        <f t="shared" si="249"/>
        <v>42</v>
      </c>
      <c r="O2462" s="918" t="str">
        <f t="shared" si="250"/>
        <v>Feb</v>
      </c>
      <c r="P2462" s="921">
        <f t="shared" si="251"/>
        <v>6</v>
      </c>
    </row>
    <row r="2463" spans="1:16" ht="15" hidden="1" customHeight="1">
      <c r="A2463" s="839">
        <v>68821735</v>
      </c>
      <c r="B2463" s="839">
        <v>2904</v>
      </c>
      <c r="C2463" s="906">
        <v>9215</v>
      </c>
      <c r="D2463" s="907">
        <v>46059</v>
      </c>
      <c r="E2463" s="839" t="s">
        <v>318</v>
      </c>
      <c r="F2463" s="839" t="s">
        <v>273</v>
      </c>
      <c r="G2463" s="916">
        <f>VLOOKUP($A2463,'Tech Litons'!$A:$I,8,FALSE)</f>
        <v>8.5199999999999998E-3</v>
      </c>
      <c r="H2463" s="917">
        <f>VLOOKUP($A2463,'Tech Litons'!$A:$I,9,FALSE)</f>
        <v>176</v>
      </c>
      <c r="I2463" s="917" t="str">
        <f>VLOOKUP($A2463,'Tech Litons'!$A:$C,3,0)</f>
        <v>48oz</v>
      </c>
      <c r="J2463" s="918" t="str">
        <f t="shared" si="246"/>
        <v>290448oz</v>
      </c>
      <c r="K2463" s="919">
        <v>1</v>
      </c>
      <c r="L2463" s="920">
        <f t="shared" si="247"/>
        <v>9215</v>
      </c>
      <c r="M2463" s="920">
        <f t="shared" si="248"/>
        <v>78.511799999999994</v>
      </c>
      <c r="N2463" s="920">
        <f t="shared" si="249"/>
        <v>52.357954545454547</v>
      </c>
      <c r="O2463" s="918" t="str">
        <f t="shared" si="250"/>
        <v>Feb</v>
      </c>
      <c r="P2463" s="921">
        <f t="shared" si="251"/>
        <v>6</v>
      </c>
    </row>
    <row r="2464" spans="1:16" ht="15" hidden="1" customHeight="1">
      <c r="A2464" s="839">
        <v>68821735</v>
      </c>
      <c r="B2464" s="839">
        <v>2904</v>
      </c>
      <c r="C2464" s="906">
        <v>2407</v>
      </c>
      <c r="D2464" s="907">
        <v>46058</v>
      </c>
      <c r="E2464" s="839" t="s">
        <v>318</v>
      </c>
      <c r="F2464" s="839" t="s">
        <v>273</v>
      </c>
      <c r="G2464" s="916">
        <f>VLOOKUP($A2464,'Tech Litons'!$A:$I,8,FALSE)</f>
        <v>8.5199999999999998E-3</v>
      </c>
      <c r="H2464" s="917">
        <f>VLOOKUP($A2464,'Tech Litons'!$A:$I,9,FALSE)</f>
        <v>176</v>
      </c>
      <c r="I2464" s="917" t="str">
        <f>VLOOKUP($A2464,'Tech Litons'!$A:$C,3,0)</f>
        <v>48oz</v>
      </c>
      <c r="J2464" s="918" t="str">
        <f t="shared" si="246"/>
        <v>290448oz</v>
      </c>
      <c r="K2464" s="919">
        <v>1</v>
      </c>
      <c r="L2464" s="920">
        <f t="shared" si="247"/>
        <v>2407</v>
      </c>
      <c r="M2464" s="920">
        <f t="shared" si="248"/>
        <v>20.507639999999999</v>
      </c>
      <c r="N2464" s="920">
        <f t="shared" si="249"/>
        <v>13.676136363636363</v>
      </c>
      <c r="O2464" s="918" t="str">
        <f t="shared" si="250"/>
        <v>Feb</v>
      </c>
      <c r="P2464" s="921">
        <f t="shared" si="251"/>
        <v>6</v>
      </c>
    </row>
    <row r="2465" spans="1:16" ht="15" hidden="1" customHeight="1">
      <c r="A2465" s="839">
        <v>68851104</v>
      </c>
      <c r="B2465" s="839">
        <v>2904</v>
      </c>
      <c r="C2465" s="906">
        <v>4697</v>
      </c>
      <c r="D2465" s="907">
        <v>46060</v>
      </c>
      <c r="E2465" s="839" t="s">
        <v>270</v>
      </c>
      <c r="F2465" s="839" t="s">
        <v>271</v>
      </c>
      <c r="G2465" s="916">
        <f>VLOOKUP($A2465,'Tech Litons'!$A:$I,8,FALSE)</f>
        <v>8.5199999999999998E-3</v>
      </c>
      <c r="H2465" s="917">
        <f>VLOOKUP($A2465,'Tech Litons'!$A:$I,9,FALSE)</f>
        <v>176</v>
      </c>
      <c r="I2465" s="917" t="str">
        <f>VLOOKUP($A2465,'Tech Litons'!$A:$C,3,0)</f>
        <v>48oz</v>
      </c>
      <c r="J2465" s="918" t="str">
        <f t="shared" si="246"/>
        <v>290448oz</v>
      </c>
      <c r="K2465" s="919">
        <v>1</v>
      </c>
      <c r="L2465" s="920">
        <f t="shared" si="247"/>
        <v>4697</v>
      </c>
      <c r="M2465" s="920">
        <f t="shared" si="248"/>
        <v>40.018439999999998</v>
      </c>
      <c r="N2465" s="920">
        <f t="shared" si="249"/>
        <v>26.6875</v>
      </c>
      <c r="O2465" s="918" t="str">
        <f t="shared" si="250"/>
        <v>Feb</v>
      </c>
      <c r="P2465" s="921">
        <f t="shared" si="251"/>
        <v>6</v>
      </c>
    </row>
    <row r="2466" spans="1:16" ht="15" hidden="1" customHeight="1">
      <c r="A2466" s="839">
        <v>68851104</v>
      </c>
      <c r="B2466" s="839">
        <v>2904</v>
      </c>
      <c r="C2466" s="906">
        <v>7216</v>
      </c>
      <c r="D2466" s="907">
        <v>46060</v>
      </c>
      <c r="E2466" s="839" t="s">
        <v>270</v>
      </c>
      <c r="F2466" s="839" t="s">
        <v>271</v>
      </c>
      <c r="G2466" s="916">
        <f>VLOOKUP($A2466,'Tech Litons'!$A:$I,8,FALSE)</f>
        <v>8.5199999999999998E-3</v>
      </c>
      <c r="H2466" s="917">
        <f>VLOOKUP($A2466,'Tech Litons'!$A:$I,9,FALSE)</f>
        <v>176</v>
      </c>
      <c r="I2466" s="917" t="str">
        <f>VLOOKUP($A2466,'Tech Litons'!$A:$C,3,0)</f>
        <v>48oz</v>
      </c>
      <c r="J2466" s="918" t="str">
        <f t="shared" si="246"/>
        <v>290448oz</v>
      </c>
      <c r="K2466" s="919">
        <v>1</v>
      </c>
      <c r="L2466" s="920">
        <f t="shared" si="247"/>
        <v>7216</v>
      </c>
      <c r="M2466" s="920">
        <f t="shared" si="248"/>
        <v>61.480319999999999</v>
      </c>
      <c r="N2466" s="920">
        <f t="shared" si="249"/>
        <v>41</v>
      </c>
      <c r="O2466" s="918" t="str">
        <f t="shared" si="250"/>
        <v>Feb</v>
      </c>
      <c r="P2466" s="921">
        <f t="shared" si="251"/>
        <v>6</v>
      </c>
    </row>
    <row r="2467" spans="1:16" ht="15" hidden="1" customHeight="1">
      <c r="A2467" s="839">
        <v>68851104</v>
      </c>
      <c r="B2467" s="839">
        <v>2904</v>
      </c>
      <c r="C2467" s="906">
        <v>7568</v>
      </c>
      <c r="D2467" s="907">
        <v>46061</v>
      </c>
      <c r="E2467" s="839" t="s">
        <v>270</v>
      </c>
      <c r="F2467" s="839" t="s">
        <v>271</v>
      </c>
      <c r="G2467" s="916">
        <f>VLOOKUP($A2467,'Tech Litons'!$A:$I,8,FALSE)</f>
        <v>8.5199999999999998E-3</v>
      </c>
      <c r="H2467" s="917">
        <f>VLOOKUP($A2467,'Tech Litons'!$A:$I,9,FALSE)</f>
        <v>176</v>
      </c>
      <c r="I2467" s="917" t="str">
        <f>VLOOKUP($A2467,'Tech Litons'!$A:$C,3,0)</f>
        <v>48oz</v>
      </c>
      <c r="J2467" s="918" t="str">
        <f t="shared" si="246"/>
        <v>290448oz</v>
      </c>
      <c r="K2467" s="919">
        <v>1</v>
      </c>
      <c r="L2467" s="920">
        <f t="shared" si="247"/>
        <v>7568</v>
      </c>
      <c r="M2467" s="920">
        <f t="shared" si="248"/>
        <v>64.47936</v>
      </c>
      <c r="N2467" s="920">
        <f t="shared" si="249"/>
        <v>43</v>
      </c>
      <c r="O2467" s="918" t="str">
        <f t="shared" si="250"/>
        <v>Feb</v>
      </c>
      <c r="P2467" s="921">
        <f t="shared" si="251"/>
        <v>7</v>
      </c>
    </row>
    <row r="2468" spans="1:16" ht="15" hidden="1" customHeight="1">
      <c r="A2468" s="839">
        <v>68851104</v>
      </c>
      <c r="B2468" s="839">
        <v>2904</v>
      </c>
      <c r="C2468" s="906">
        <v>176</v>
      </c>
      <c r="D2468" s="907">
        <v>46062</v>
      </c>
      <c r="E2468" s="839" t="s">
        <v>270</v>
      </c>
      <c r="F2468" s="839" t="s">
        <v>271</v>
      </c>
      <c r="G2468" s="916">
        <f>VLOOKUP($A2468,'Tech Litons'!$A:$I,8,FALSE)</f>
        <v>8.5199999999999998E-3</v>
      </c>
      <c r="H2468" s="917">
        <f>VLOOKUP($A2468,'Tech Litons'!$A:$I,9,FALSE)</f>
        <v>176</v>
      </c>
      <c r="I2468" s="917" t="str">
        <f>VLOOKUP($A2468,'Tech Litons'!$A:$C,3,0)</f>
        <v>48oz</v>
      </c>
      <c r="J2468" s="918" t="str">
        <f t="shared" si="246"/>
        <v>290448oz</v>
      </c>
      <c r="K2468" s="919">
        <v>1</v>
      </c>
      <c r="L2468" s="920">
        <f t="shared" si="247"/>
        <v>176</v>
      </c>
      <c r="M2468" s="920">
        <f t="shared" si="248"/>
        <v>1.49952</v>
      </c>
      <c r="N2468" s="920">
        <f t="shared" si="249"/>
        <v>1</v>
      </c>
      <c r="O2468" s="918" t="str">
        <f t="shared" si="250"/>
        <v>Feb</v>
      </c>
      <c r="P2468" s="921">
        <f t="shared" si="251"/>
        <v>7</v>
      </c>
    </row>
    <row r="2469" spans="1:16" ht="15" hidden="1" customHeight="1">
      <c r="A2469" s="839">
        <v>68851104</v>
      </c>
      <c r="B2469" s="839">
        <v>2904</v>
      </c>
      <c r="C2469" s="906">
        <v>5598</v>
      </c>
      <c r="D2469" s="907">
        <v>46061</v>
      </c>
      <c r="E2469" s="839" t="s">
        <v>270</v>
      </c>
      <c r="F2469" s="839" t="s">
        <v>271</v>
      </c>
      <c r="G2469" s="916">
        <f>VLOOKUP($A2469,'Tech Litons'!$A:$I,8,FALSE)</f>
        <v>8.5199999999999998E-3</v>
      </c>
      <c r="H2469" s="917">
        <f>VLOOKUP($A2469,'Tech Litons'!$A:$I,9,FALSE)</f>
        <v>176</v>
      </c>
      <c r="I2469" s="917" t="str">
        <f>VLOOKUP($A2469,'Tech Litons'!$A:$C,3,0)</f>
        <v>48oz</v>
      </c>
      <c r="J2469" s="918" t="str">
        <f t="shared" si="246"/>
        <v>290448oz</v>
      </c>
      <c r="K2469" s="919">
        <v>1</v>
      </c>
      <c r="L2469" s="920">
        <f t="shared" si="247"/>
        <v>5598</v>
      </c>
      <c r="M2469" s="920">
        <f t="shared" si="248"/>
        <v>47.694960000000002</v>
      </c>
      <c r="N2469" s="920">
        <f t="shared" si="249"/>
        <v>31.806818181818183</v>
      </c>
      <c r="O2469" s="918" t="str">
        <f t="shared" si="250"/>
        <v>Feb</v>
      </c>
      <c r="P2469" s="921">
        <f t="shared" si="251"/>
        <v>7</v>
      </c>
    </row>
    <row r="2470" spans="1:16" ht="15" hidden="1" customHeight="1">
      <c r="A2470" s="839">
        <v>68851104</v>
      </c>
      <c r="B2470" s="839">
        <v>2904</v>
      </c>
      <c r="C2470" s="906">
        <v>1535</v>
      </c>
      <c r="D2470" s="907">
        <v>46062</v>
      </c>
      <c r="E2470" s="839" t="s">
        <v>270</v>
      </c>
      <c r="F2470" s="839" t="s">
        <v>271</v>
      </c>
      <c r="G2470" s="916">
        <f>VLOOKUP($A2470,'Tech Litons'!$A:$I,8,FALSE)</f>
        <v>8.5199999999999998E-3</v>
      </c>
      <c r="H2470" s="917">
        <f>VLOOKUP($A2470,'Tech Litons'!$A:$I,9,FALSE)</f>
        <v>176</v>
      </c>
      <c r="I2470" s="917" t="str">
        <f>VLOOKUP($A2470,'Tech Litons'!$A:$C,3,0)</f>
        <v>48oz</v>
      </c>
      <c r="J2470" s="918" t="str">
        <f t="shared" si="246"/>
        <v>290448oz</v>
      </c>
      <c r="K2470" s="919">
        <v>1</v>
      </c>
      <c r="L2470" s="920">
        <f t="shared" si="247"/>
        <v>1535</v>
      </c>
      <c r="M2470" s="920">
        <f t="shared" si="248"/>
        <v>13.078199999999999</v>
      </c>
      <c r="N2470" s="920">
        <f t="shared" si="249"/>
        <v>8.7215909090909083</v>
      </c>
      <c r="O2470" s="918" t="str">
        <f t="shared" si="250"/>
        <v>Feb</v>
      </c>
      <c r="P2470" s="921">
        <f t="shared" si="251"/>
        <v>7</v>
      </c>
    </row>
    <row r="2471" spans="1:16" ht="15" hidden="1" customHeight="1">
      <c r="A2471" s="839">
        <v>68851104</v>
      </c>
      <c r="B2471" s="839">
        <v>2904</v>
      </c>
      <c r="C2471" s="906">
        <v>6395</v>
      </c>
      <c r="D2471" s="907">
        <v>46073</v>
      </c>
      <c r="E2471" s="839" t="s">
        <v>270</v>
      </c>
      <c r="F2471" s="839" t="s">
        <v>269</v>
      </c>
      <c r="G2471" s="916">
        <f>VLOOKUP($A2471,'Tech Litons'!$A:$I,8,FALSE)</f>
        <v>8.5199999999999998E-3</v>
      </c>
      <c r="H2471" s="917">
        <f>VLOOKUP($A2471,'Tech Litons'!$A:$I,9,FALSE)</f>
        <v>176</v>
      </c>
      <c r="I2471" s="917" t="str">
        <f>VLOOKUP($A2471,'Tech Litons'!$A:$C,3,0)</f>
        <v>48oz</v>
      </c>
      <c r="J2471" s="918" t="str">
        <f t="shared" si="246"/>
        <v>290448oz</v>
      </c>
      <c r="K2471" s="919">
        <v>1</v>
      </c>
      <c r="L2471" s="920">
        <f t="shared" si="247"/>
        <v>6395</v>
      </c>
      <c r="M2471" s="920">
        <f t="shared" si="248"/>
        <v>54.485399999999998</v>
      </c>
      <c r="N2471" s="920">
        <f t="shared" si="249"/>
        <v>36.335227272727273</v>
      </c>
      <c r="O2471" s="918" t="str">
        <f t="shared" si="250"/>
        <v>Feb</v>
      </c>
      <c r="P2471" s="921">
        <f t="shared" si="251"/>
        <v>8</v>
      </c>
    </row>
    <row r="2472" spans="1:16" ht="15" hidden="1" customHeight="1">
      <c r="A2472" s="839">
        <v>68851104</v>
      </c>
      <c r="B2472" s="839">
        <v>2904</v>
      </c>
      <c r="C2472" s="906">
        <v>7854</v>
      </c>
      <c r="D2472" s="907">
        <v>46074</v>
      </c>
      <c r="E2472" s="839" t="s">
        <v>270</v>
      </c>
      <c r="F2472" s="839" t="s">
        <v>269</v>
      </c>
      <c r="G2472" s="916">
        <f>VLOOKUP($A2472,'Tech Litons'!$A:$I,8,FALSE)</f>
        <v>8.5199999999999998E-3</v>
      </c>
      <c r="H2472" s="917">
        <f>VLOOKUP($A2472,'Tech Litons'!$A:$I,9,FALSE)</f>
        <v>176</v>
      </c>
      <c r="I2472" s="917" t="str">
        <f>VLOOKUP($A2472,'Tech Litons'!$A:$C,3,0)</f>
        <v>48oz</v>
      </c>
      <c r="J2472" s="918" t="str">
        <f t="shared" si="246"/>
        <v>290448oz</v>
      </c>
      <c r="K2472" s="919">
        <v>1</v>
      </c>
      <c r="L2472" s="920">
        <f t="shared" si="247"/>
        <v>7854</v>
      </c>
      <c r="M2472" s="920">
        <f t="shared" si="248"/>
        <v>66.916079999999994</v>
      </c>
      <c r="N2472" s="920">
        <f t="shared" si="249"/>
        <v>44.625</v>
      </c>
      <c r="O2472" s="918" t="str">
        <f t="shared" si="250"/>
        <v>Feb</v>
      </c>
      <c r="P2472" s="921">
        <f t="shared" si="251"/>
        <v>8</v>
      </c>
    </row>
    <row r="2473" spans="1:16" ht="15" hidden="1" customHeight="1">
      <c r="A2473" s="839">
        <v>68851104</v>
      </c>
      <c r="B2473" s="839">
        <v>2904</v>
      </c>
      <c r="C2473" s="906">
        <v>6160</v>
      </c>
      <c r="D2473" s="907">
        <v>46074</v>
      </c>
      <c r="E2473" s="839" t="s">
        <v>270</v>
      </c>
      <c r="F2473" s="839" t="s">
        <v>269</v>
      </c>
      <c r="G2473" s="916">
        <f>VLOOKUP($A2473,'Tech Litons'!$A:$I,8,FALSE)</f>
        <v>8.5199999999999998E-3</v>
      </c>
      <c r="H2473" s="917">
        <f>VLOOKUP($A2473,'Tech Litons'!$A:$I,9,FALSE)</f>
        <v>176</v>
      </c>
      <c r="I2473" s="917" t="str">
        <f>VLOOKUP($A2473,'Tech Litons'!$A:$C,3,0)</f>
        <v>48oz</v>
      </c>
      <c r="J2473" s="918" t="str">
        <f t="shared" si="246"/>
        <v>290448oz</v>
      </c>
      <c r="K2473" s="919">
        <v>1</v>
      </c>
      <c r="L2473" s="920">
        <f t="shared" si="247"/>
        <v>6160</v>
      </c>
      <c r="M2473" s="920">
        <f t="shared" si="248"/>
        <v>52.483199999999997</v>
      </c>
      <c r="N2473" s="920">
        <f t="shared" si="249"/>
        <v>35</v>
      </c>
      <c r="O2473" s="918" t="str">
        <f t="shared" si="250"/>
        <v>Feb</v>
      </c>
      <c r="P2473" s="921">
        <f t="shared" si="251"/>
        <v>8</v>
      </c>
    </row>
    <row r="2474" spans="1:16" ht="15" hidden="1" customHeight="1">
      <c r="A2474" s="839">
        <v>68851104</v>
      </c>
      <c r="B2474" s="839">
        <v>2904</v>
      </c>
      <c r="C2474" s="906">
        <v>6336</v>
      </c>
      <c r="D2474" s="907">
        <v>46075</v>
      </c>
      <c r="E2474" s="839" t="s">
        <v>270</v>
      </c>
      <c r="F2474" s="839" t="s">
        <v>269</v>
      </c>
      <c r="G2474" s="916">
        <f>VLOOKUP($A2474,'Tech Litons'!$A:$I,8,FALSE)</f>
        <v>8.5199999999999998E-3</v>
      </c>
      <c r="H2474" s="917">
        <f>VLOOKUP($A2474,'Tech Litons'!$A:$I,9,FALSE)</f>
        <v>176</v>
      </c>
      <c r="I2474" s="917" t="str">
        <f>VLOOKUP($A2474,'Tech Litons'!$A:$C,3,0)</f>
        <v>48oz</v>
      </c>
      <c r="J2474" s="918" t="str">
        <f t="shared" si="246"/>
        <v>290448oz</v>
      </c>
      <c r="K2474" s="919">
        <v>1</v>
      </c>
      <c r="L2474" s="920">
        <f t="shared" si="247"/>
        <v>6336</v>
      </c>
      <c r="M2474" s="920">
        <f t="shared" si="248"/>
        <v>53.98272</v>
      </c>
      <c r="N2474" s="920">
        <f t="shared" si="249"/>
        <v>36</v>
      </c>
      <c r="O2474" s="918" t="str">
        <f t="shared" si="250"/>
        <v>Feb</v>
      </c>
      <c r="P2474" s="921">
        <f t="shared" si="251"/>
        <v>9</v>
      </c>
    </row>
    <row r="2475" spans="1:16" ht="15" hidden="1" customHeight="1">
      <c r="A2475" s="839">
        <v>68851104</v>
      </c>
      <c r="B2475" s="839">
        <v>2904</v>
      </c>
      <c r="C2475" s="906">
        <v>3696</v>
      </c>
      <c r="D2475" s="907">
        <v>46075</v>
      </c>
      <c r="E2475" s="839" t="s">
        <v>270</v>
      </c>
      <c r="F2475" s="839" t="s">
        <v>269</v>
      </c>
      <c r="G2475" s="916">
        <f>VLOOKUP($A2475,'Tech Litons'!$A:$I,8,FALSE)</f>
        <v>8.5199999999999998E-3</v>
      </c>
      <c r="H2475" s="917">
        <f>VLOOKUP($A2475,'Tech Litons'!$A:$I,9,FALSE)</f>
        <v>176</v>
      </c>
      <c r="I2475" s="917" t="str">
        <f>VLOOKUP($A2475,'Tech Litons'!$A:$C,3,0)</f>
        <v>48oz</v>
      </c>
      <c r="J2475" s="918" t="str">
        <f t="shared" si="246"/>
        <v>290448oz</v>
      </c>
      <c r="K2475" s="919">
        <v>1</v>
      </c>
      <c r="L2475" s="920">
        <f t="shared" si="247"/>
        <v>3696</v>
      </c>
      <c r="M2475" s="920">
        <f t="shared" si="248"/>
        <v>31.489919999999998</v>
      </c>
      <c r="N2475" s="920">
        <f t="shared" si="249"/>
        <v>21</v>
      </c>
      <c r="O2475" s="918" t="str">
        <f t="shared" si="250"/>
        <v>Feb</v>
      </c>
      <c r="P2475" s="921">
        <f t="shared" si="251"/>
        <v>9</v>
      </c>
    </row>
    <row r="2476" spans="1:16" ht="15" hidden="1" customHeight="1">
      <c r="A2476" s="839">
        <v>68851104</v>
      </c>
      <c r="B2476" s="839">
        <v>2904</v>
      </c>
      <c r="C2476" s="906">
        <v>2464</v>
      </c>
      <c r="D2476" s="907">
        <v>46073</v>
      </c>
      <c r="E2476" s="839" t="s">
        <v>270</v>
      </c>
      <c r="F2476" s="839" t="s">
        <v>269</v>
      </c>
      <c r="G2476" s="916">
        <f>VLOOKUP($A2476,'Tech Litons'!$A:$I,8,FALSE)</f>
        <v>8.5199999999999998E-3</v>
      </c>
      <c r="H2476" s="917">
        <f>VLOOKUP($A2476,'Tech Litons'!$A:$I,9,FALSE)</f>
        <v>176</v>
      </c>
      <c r="I2476" s="917" t="str">
        <f>VLOOKUP($A2476,'Tech Litons'!$A:$C,3,0)</f>
        <v>48oz</v>
      </c>
      <c r="J2476" s="918" t="str">
        <f t="shared" si="246"/>
        <v>290448oz</v>
      </c>
      <c r="K2476" s="919">
        <v>1</v>
      </c>
      <c r="L2476" s="920">
        <f t="shared" si="247"/>
        <v>2464</v>
      </c>
      <c r="M2476" s="920">
        <f t="shared" si="248"/>
        <v>20.993279999999999</v>
      </c>
      <c r="N2476" s="920">
        <f t="shared" si="249"/>
        <v>14</v>
      </c>
      <c r="O2476" s="918" t="str">
        <f t="shared" si="250"/>
        <v>Feb</v>
      </c>
      <c r="P2476" s="921">
        <f t="shared" si="251"/>
        <v>8</v>
      </c>
    </row>
    <row r="2477" spans="1:16" ht="15" hidden="1" customHeight="1">
      <c r="A2477" s="839">
        <v>68851105</v>
      </c>
      <c r="B2477" s="839">
        <v>2904</v>
      </c>
      <c r="C2477" s="906">
        <v>1509</v>
      </c>
      <c r="D2477" s="907">
        <v>46050</v>
      </c>
      <c r="E2477" s="839" t="s">
        <v>400</v>
      </c>
      <c r="F2477" s="839" t="s">
        <v>273</v>
      </c>
      <c r="G2477" s="916">
        <f>VLOOKUP($A2477,'Tech Litons'!$A:$I,8,FALSE)</f>
        <v>8.5199999999999998E-3</v>
      </c>
      <c r="H2477" s="917">
        <f>VLOOKUP($A2477,'Tech Litons'!$A:$I,9,FALSE)</f>
        <v>154</v>
      </c>
      <c r="I2477" s="917" t="str">
        <f>VLOOKUP($A2477,'Tech Litons'!$A:$C,3,0)</f>
        <v>48oz</v>
      </c>
      <c r="J2477" s="918" t="str">
        <f t="shared" si="246"/>
        <v>290448oz</v>
      </c>
      <c r="K2477" s="919">
        <v>1</v>
      </c>
      <c r="L2477" s="920">
        <f t="shared" si="247"/>
        <v>1509</v>
      </c>
      <c r="M2477" s="920">
        <f t="shared" si="248"/>
        <v>12.856679999999999</v>
      </c>
      <c r="N2477" s="920">
        <f t="shared" si="249"/>
        <v>9.7987012987012996</v>
      </c>
      <c r="O2477" s="918" t="str">
        <f t="shared" si="250"/>
        <v>Jan</v>
      </c>
      <c r="P2477" s="921">
        <f t="shared" si="251"/>
        <v>5</v>
      </c>
    </row>
    <row r="2478" spans="1:16" ht="15" hidden="1" customHeight="1">
      <c r="A2478" s="839">
        <v>68851105</v>
      </c>
      <c r="B2478" s="839">
        <v>2904</v>
      </c>
      <c r="C2478" s="906">
        <v>7336</v>
      </c>
      <c r="D2478" s="907">
        <v>46051</v>
      </c>
      <c r="E2478" s="839" t="s">
        <v>400</v>
      </c>
      <c r="F2478" s="839" t="s">
        <v>273</v>
      </c>
      <c r="G2478" s="916">
        <f>VLOOKUP($A2478,'Tech Litons'!$A:$I,8,FALSE)</f>
        <v>8.5199999999999998E-3</v>
      </c>
      <c r="H2478" s="917">
        <f>VLOOKUP($A2478,'Tech Litons'!$A:$I,9,FALSE)</f>
        <v>154</v>
      </c>
      <c r="I2478" s="917" t="str">
        <f>VLOOKUP($A2478,'Tech Litons'!$A:$C,3,0)</f>
        <v>48oz</v>
      </c>
      <c r="J2478" s="918" t="str">
        <f t="shared" si="246"/>
        <v>290448oz</v>
      </c>
      <c r="K2478" s="919">
        <v>1</v>
      </c>
      <c r="L2478" s="920">
        <f t="shared" si="247"/>
        <v>7336</v>
      </c>
      <c r="M2478" s="920">
        <f t="shared" si="248"/>
        <v>62.502719999999997</v>
      </c>
      <c r="N2478" s="920">
        <f t="shared" si="249"/>
        <v>47.636363636363633</v>
      </c>
      <c r="O2478" s="918" t="str">
        <f t="shared" si="250"/>
        <v>Jan</v>
      </c>
      <c r="P2478" s="921">
        <f t="shared" si="251"/>
        <v>5</v>
      </c>
    </row>
    <row r="2479" spans="1:16" ht="15" hidden="1" customHeight="1">
      <c r="A2479" s="839">
        <v>68851105</v>
      </c>
      <c r="B2479" s="839">
        <v>2904</v>
      </c>
      <c r="C2479" s="906">
        <v>232</v>
      </c>
      <c r="D2479" s="907">
        <v>46051</v>
      </c>
      <c r="E2479" s="839" t="s">
        <v>400</v>
      </c>
      <c r="F2479" s="839" t="s">
        <v>273</v>
      </c>
      <c r="G2479" s="916">
        <f>VLOOKUP($A2479,'Tech Litons'!$A:$I,8,FALSE)</f>
        <v>8.5199999999999998E-3</v>
      </c>
      <c r="H2479" s="917">
        <f>VLOOKUP($A2479,'Tech Litons'!$A:$I,9,FALSE)</f>
        <v>154</v>
      </c>
      <c r="I2479" s="917" t="str">
        <f>VLOOKUP($A2479,'Tech Litons'!$A:$C,3,0)</f>
        <v>48oz</v>
      </c>
      <c r="J2479" s="918" t="str">
        <f t="shared" si="246"/>
        <v>290448oz</v>
      </c>
      <c r="K2479" s="919">
        <v>1</v>
      </c>
      <c r="L2479" s="920">
        <f t="shared" si="247"/>
        <v>232</v>
      </c>
      <c r="M2479" s="920">
        <f t="shared" si="248"/>
        <v>1.97664</v>
      </c>
      <c r="N2479" s="920">
        <f t="shared" si="249"/>
        <v>1.5064935064935066</v>
      </c>
      <c r="O2479" s="918" t="str">
        <f t="shared" si="250"/>
        <v>Jan</v>
      </c>
      <c r="P2479" s="921">
        <f t="shared" si="251"/>
        <v>5</v>
      </c>
    </row>
    <row r="2480" spans="1:16" ht="15" hidden="1" customHeight="1">
      <c r="A2480" s="839">
        <v>68851105</v>
      </c>
      <c r="B2480" s="839">
        <v>2904</v>
      </c>
      <c r="C2480" s="906">
        <v>3386</v>
      </c>
      <c r="D2480" s="907">
        <v>46061</v>
      </c>
      <c r="E2480" s="839" t="s">
        <v>400</v>
      </c>
      <c r="F2480" s="839" t="s">
        <v>273</v>
      </c>
      <c r="G2480" s="916">
        <f>VLOOKUP($A2480,'Tech Litons'!$A:$I,8,FALSE)</f>
        <v>8.5199999999999998E-3</v>
      </c>
      <c r="H2480" s="917">
        <f>VLOOKUP($A2480,'Tech Litons'!$A:$I,9,FALSE)</f>
        <v>154</v>
      </c>
      <c r="I2480" s="917" t="str">
        <f>VLOOKUP($A2480,'Tech Litons'!$A:$C,3,0)</f>
        <v>48oz</v>
      </c>
      <c r="J2480" s="918" t="str">
        <f t="shared" si="246"/>
        <v>290448oz</v>
      </c>
      <c r="K2480" s="919">
        <v>1</v>
      </c>
      <c r="L2480" s="920">
        <f t="shared" si="247"/>
        <v>3386</v>
      </c>
      <c r="M2480" s="920">
        <f t="shared" si="248"/>
        <v>28.84872</v>
      </c>
      <c r="N2480" s="920">
        <f t="shared" si="249"/>
        <v>21.987012987012989</v>
      </c>
      <c r="O2480" s="918" t="str">
        <f t="shared" si="250"/>
        <v>Feb</v>
      </c>
      <c r="P2480" s="921">
        <f t="shared" si="251"/>
        <v>7</v>
      </c>
    </row>
    <row r="2481" spans="1:16" ht="15" hidden="1" customHeight="1">
      <c r="A2481" s="839">
        <v>68851105</v>
      </c>
      <c r="B2481" s="839">
        <v>2904</v>
      </c>
      <c r="C2481" s="906">
        <v>4297</v>
      </c>
      <c r="D2481" s="907">
        <v>46062</v>
      </c>
      <c r="E2481" s="839" t="s">
        <v>400</v>
      </c>
      <c r="F2481" s="839" t="s">
        <v>273</v>
      </c>
      <c r="G2481" s="916">
        <f>VLOOKUP($A2481,'Tech Litons'!$A:$I,8,FALSE)</f>
        <v>8.5199999999999998E-3</v>
      </c>
      <c r="H2481" s="917">
        <f>VLOOKUP($A2481,'Tech Litons'!$A:$I,9,FALSE)</f>
        <v>154</v>
      </c>
      <c r="I2481" s="917" t="str">
        <f>VLOOKUP($A2481,'Tech Litons'!$A:$C,3,0)</f>
        <v>48oz</v>
      </c>
      <c r="J2481" s="918" t="str">
        <f t="shared" si="246"/>
        <v>290448oz</v>
      </c>
      <c r="K2481" s="919">
        <v>1</v>
      </c>
      <c r="L2481" s="920">
        <f t="shared" si="247"/>
        <v>4297</v>
      </c>
      <c r="M2481" s="920">
        <f t="shared" si="248"/>
        <v>36.610439999999997</v>
      </c>
      <c r="N2481" s="920">
        <f t="shared" si="249"/>
        <v>27.902597402597401</v>
      </c>
      <c r="O2481" s="918" t="str">
        <f t="shared" si="250"/>
        <v>Feb</v>
      </c>
      <c r="P2481" s="921">
        <f t="shared" si="251"/>
        <v>7</v>
      </c>
    </row>
    <row r="2482" spans="1:16" ht="15" hidden="1" customHeight="1">
      <c r="A2482" s="839">
        <v>68851105</v>
      </c>
      <c r="B2482" s="839">
        <v>2904</v>
      </c>
      <c r="C2482" s="906">
        <v>-50</v>
      </c>
      <c r="D2482" s="907">
        <v>46070</v>
      </c>
      <c r="E2482" s="839" t="s">
        <v>400</v>
      </c>
      <c r="F2482" s="839" t="s">
        <v>273</v>
      </c>
      <c r="G2482" s="916">
        <f>VLOOKUP($A2482,'Tech Litons'!$A:$I,8,FALSE)</f>
        <v>8.5199999999999998E-3</v>
      </c>
      <c r="H2482" s="917">
        <f>VLOOKUP($A2482,'Tech Litons'!$A:$I,9,FALSE)</f>
        <v>154</v>
      </c>
      <c r="I2482" s="917" t="str">
        <f>VLOOKUP($A2482,'Tech Litons'!$A:$C,3,0)</f>
        <v>48oz</v>
      </c>
      <c r="J2482" s="918" t="str">
        <f t="shared" si="246"/>
        <v>290448oz</v>
      </c>
      <c r="K2482" s="919">
        <v>1</v>
      </c>
      <c r="L2482" s="920">
        <f t="shared" si="247"/>
        <v>-50</v>
      </c>
      <c r="M2482" s="920">
        <f t="shared" si="248"/>
        <v>-0.42599999999999999</v>
      </c>
      <c r="N2482" s="920">
        <f t="shared" si="249"/>
        <v>-0.32467532467532467</v>
      </c>
      <c r="O2482" s="918" t="str">
        <f t="shared" si="250"/>
        <v>Feb</v>
      </c>
      <c r="P2482" s="921">
        <f t="shared" si="251"/>
        <v>8</v>
      </c>
    </row>
    <row r="2483" spans="1:16" ht="15" hidden="1" customHeight="1">
      <c r="A2483" s="839">
        <v>68851105</v>
      </c>
      <c r="B2483" s="839">
        <v>2904</v>
      </c>
      <c r="C2483" s="906">
        <v>1003</v>
      </c>
      <c r="D2483" s="907">
        <v>46062</v>
      </c>
      <c r="E2483" s="839" t="s">
        <v>400</v>
      </c>
      <c r="F2483" s="839" t="s">
        <v>273</v>
      </c>
      <c r="G2483" s="916">
        <f>VLOOKUP($A2483,'Tech Litons'!$A:$I,8,FALSE)</f>
        <v>8.5199999999999998E-3</v>
      </c>
      <c r="H2483" s="917">
        <f>VLOOKUP($A2483,'Tech Litons'!$A:$I,9,FALSE)</f>
        <v>154</v>
      </c>
      <c r="I2483" s="917" t="str">
        <f>VLOOKUP($A2483,'Tech Litons'!$A:$C,3,0)</f>
        <v>48oz</v>
      </c>
      <c r="J2483" s="918" t="str">
        <f t="shared" si="246"/>
        <v>290448oz</v>
      </c>
      <c r="K2483" s="919">
        <v>1</v>
      </c>
      <c r="L2483" s="920">
        <f t="shared" si="247"/>
        <v>1003</v>
      </c>
      <c r="M2483" s="920">
        <f t="shared" si="248"/>
        <v>8.54556</v>
      </c>
      <c r="N2483" s="920">
        <f t="shared" si="249"/>
        <v>6.5129870129870131</v>
      </c>
      <c r="O2483" s="918" t="str">
        <f t="shared" si="250"/>
        <v>Feb</v>
      </c>
      <c r="P2483" s="921">
        <f t="shared" si="251"/>
        <v>7</v>
      </c>
    </row>
    <row r="2484" spans="1:16" ht="15" hidden="1" customHeight="1">
      <c r="A2484" s="839">
        <v>68851106</v>
      </c>
      <c r="B2484" s="839">
        <v>2904</v>
      </c>
      <c r="C2484" s="906">
        <v>1386</v>
      </c>
      <c r="D2484" s="907">
        <v>46054</v>
      </c>
      <c r="E2484" s="839" t="s">
        <v>359</v>
      </c>
      <c r="F2484" s="839" t="s">
        <v>273</v>
      </c>
      <c r="G2484" s="916">
        <f>VLOOKUP($A2484,'Tech Litons'!$A:$I,8,FALSE)</f>
        <v>8.5199999999999998E-3</v>
      </c>
      <c r="H2484" s="917">
        <f>VLOOKUP($A2484,'Tech Litons'!$A:$I,9,FALSE)</f>
        <v>154</v>
      </c>
      <c r="I2484" s="917" t="str">
        <f>VLOOKUP($A2484,'Tech Litons'!$A:$C,3,0)</f>
        <v>48oz</v>
      </c>
      <c r="J2484" s="918" t="str">
        <f t="shared" si="246"/>
        <v>290448oz</v>
      </c>
      <c r="K2484" s="919">
        <v>1</v>
      </c>
      <c r="L2484" s="920">
        <f t="shared" si="247"/>
        <v>1386</v>
      </c>
      <c r="M2484" s="920">
        <f t="shared" si="248"/>
        <v>11.808719999999999</v>
      </c>
      <c r="N2484" s="920">
        <f t="shared" si="249"/>
        <v>9</v>
      </c>
      <c r="O2484" s="918" t="str">
        <f t="shared" si="250"/>
        <v>Feb</v>
      </c>
      <c r="P2484" s="921">
        <f t="shared" si="251"/>
        <v>6</v>
      </c>
    </row>
    <row r="2485" spans="1:16" ht="15" hidden="1" customHeight="1">
      <c r="A2485" s="839">
        <v>68851106</v>
      </c>
      <c r="B2485" s="839">
        <v>2904</v>
      </c>
      <c r="C2485" s="906">
        <v>4829</v>
      </c>
      <c r="D2485" s="907">
        <v>46054</v>
      </c>
      <c r="E2485" s="839" t="s">
        <v>359</v>
      </c>
      <c r="F2485" s="839" t="s">
        <v>273</v>
      </c>
      <c r="G2485" s="916">
        <f>VLOOKUP($A2485,'Tech Litons'!$A:$I,8,FALSE)</f>
        <v>8.5199999999999998E-3</v>
      </c>
      <c r="H2485" s="917">
        <f>VLOOKUP($A2485,'Tech Litons'!$A:$I,9,FALSE)</f>
        <v>154</v>
      </c>
      <c r="I2485" s="917" t="str">
        <f>VLOOKUP($A2485,'Tech Litons'!$A:$C,3,0)</f>
        <v>48oz</v>
      </c>
      <c r="J2485" s="918" t="str">
        <f t="shared" si="246"/>
        <v>290448oz</v>
      </c>
      <c r="K2485" s="919">
        <v>1</v>
      </c>
      <c r="L2485" s="920">
        <f t="shared" ref="L2485:L2546" si="252">C2485*$K2485</f>
        <v>4829</v>
      </c>
      <c r="M2485" s="920">
        <f t="shared" si="248"/>
        <v>41.143079999999998</v>
      </c>
      <c r="N2485" s="920">
        <f t="shared" si="249"/>
        <v>31.357142857142858</v>
      </c>
      <c r="O2485" s="918" t="str">
        <f t="shared" si="250"/>
        <v>Feb</v>
      </c>
      <c r="P2485" s="921">
        <f t="shared" si="251"/>
        <v>6</v>
      </c>
    </row>
    <row r="2486" spans="1:16" ht="15" hidden="1" customHeight="1">
      <c r="A2486" s="839">
        <v>68851106</v>
      </c>
      <c r="B2486" s="839">
        <v>2904</v>
      </c>
      <c r="C2486" s="906">
        <v>2486</v>
      </c>
      <c r="D2486" s="907">
        <v>46055</v>
      </c>
      <c r="E2486" s="839" t="s">
        <v>359</v>
      </c>
      <c r="F2486" s="839" t="s">
        <v>273</v>
      </c>
      <c r="G2486" s="916">
        <f>VLOOKUP($A2486,'Tech Litons'!$A:$I,8,FALSE)</f>
        <v>8.5199999999999998E-3</v>
      </c>
      <c r="H2486" s="917">
        <f>VLOOKUP($A2486,'Tech Litons'!$A:$I,9,FALSE)</f>
        <v>154</v>
      </c>
      <c r="I2486" s="917" t="str">
        <f>VLOOKUP($A2486,'Tech Litons'!$A:$C,3,0)</f>
        <v>48oz</v>
      </c>
      <c r="J2486" s="918" t="str">
        <f t="shared" ref="J2486:J2547" si="253">B2486&amp;I2486</f>
        <v>290448oz</v>
      </c>
      <c r="K2486" s="919">
        <v>1</v>
      </c>
      <c r="L2486" s="920">
        <f t="shared" si="252"/>
        <v>2486</v>
      </c>
      <c r="M2486" s="920">
        <f t="shared" ref="M2486:M2547" si="254">L2486*G2486</f>
        <v>21.180720000000001</v>
      </c>
      <c r="N2486" s="920">
        <f t="shared" ref="N2486:N2547" si="255">L2486/H2486</f>
        <v>16.142857142857142</v>
      </c>
      <c r="O2486" s="918" t="str">
        <f t="shared" ref="O2486:O2547" si="256">TEXT(D2486,"MMM")</f>
        <v>Feb</v>
      </c>
      <c r="P2486" s="921">
        <f t="shared" ref="P2486:P2547" si="257">WEEKNUM(D2486)</f>
        <v>6</v>
      </c>
    </row>
    <row r="2487" spans="1:16" ht="15" hidden="1" customHeight="1">
      <c r="A2487" s="839">
        <v>68851106</v>
      </c>
      <c r="B2487" s="839">
        <v>2904</v>
      </c>
      <c r="C2487" s="906">
        <v>451</v>
      </c>
      <c r="D2487" s="907">
        <v>46063</v>
      </c>
      <c r="E2487" s="839" t="s">
        <v>359</v>
      </c>
      <c r="F2487" s="839" t="s">
        <v>273</v>
      </c>
      <c r="G2487" s="916">
        <f>VLOOKUP($A2487,'Tech Litons'!$A:$I,8,FALSE)</f>
        <v>8.5199999999999998E-3</v>
      </c>
      <c r="H2487" s="917">
        <f>VLOOKUP($A2487,'Tech Litons'!$A:$I,9,FALSE)</f>
        <v>154</v>
      </c>
      <c r="I2487" s="917" t="str">
        <f>VLOOKUP($A2487,'Tech Litons'!$A:$C,3,0)</f>
        <v>48oz</v>
      </c>
      <c r="J2487" s="918" t="str">
        <f t="shared" si="253"/>
        <v>290448oz</v>
      </c>
      <c r="K2487" s="919">
        <v>1</v>
      </c>
      <c r="L2487" s="920">
        <f t="shared" si="252"/>
        <v>451</v>
      </c>
      <c r="M2487" s="920">
        <f t="shared" si="254"/>
        <v>3.8425199999999999</v>
      </c>
      <c r="N2487" s="920">
        <f t="shared" si="255"/>
        <v>2.9285714285714284</v>
      </c>
      <c r="O2487" s="918" t="str">
        <f t="shared" si="256"/>
        <v>Feb</v>
      </c>
      <c r="P2487" s="921">
        <f t="shared" si="257"/>
        <v>7</v>
      </c>
    </row>
    <row r="2488" spans="1:16" ht="15" hidden="1" customHeight="1">
      <c r="A2488" s="839">
        <v>68851107</v>
      </c>
      <c r="B2488" s="839">
        <v>2904</v>
      </c>
      <c r="C2488" s="906">
        <v>10020</v>
      </c>
      <c r="D2488" s="907">
        <v>46050</v>
      </c>
      <c r="E2488" s="839" t="s">
        <v>272</v>
      </c>
      <c r="F2488" s="839" t="s">
        <v>273</v>
      </c>
      <c r="G2488" s="916">
        <f>VLOOKUP($A2488,'Tech Litons'!$A:$I,8,FALSE)</f>
        <v>8.5199999999999998E-3</v>
      </c>
      <c r="H2488" s="917">
        <f>VLOOKUP($A2488,'Tech Litons'!$A:$I,9,FALSE)</f>
        <v>176</v>
      </c>
      <c r="I2488" s="917" t="str">
        <f>VLOOKUP($A2488,'Tech Litons'!$A:$C,3,0)</f>
        <v>48oz</v>
      </c>
      <c r="J2488" s="918" t="str">
        <f t="shared" si="253"/>
        <v>290448oz</v>
      </c>
      <c r="K2488" s="919">
        <v>1</v>
      </c>
      <c r="L2488" s="920">
        <f t="shared" si="252"/>
        <v>10020</v>
      </c>
      <c r="M2488" s="920">
        <f t="shared" si="254"/>
        <v>85.370400000000004</v>
      </c>
      <c r="N2488" s="920">
        <f t="shared" si="255"/>
        <v>56.93181818181818</v>
      </c>
      <c r="O2488" s="918" t="str">
        <f t="shared" si="256"/>
        <v>Jan</v>
      </c>
      <c r="P2488" s="921">
        <f t="shared" si="257"/>
        <v>5</v>
      </c>
    </row>
    <row r="2489" spans="1:16" ht="15" hidden="1" customHeight="1">
      <c r="A2489" s="839">
        <v>68851107</v>
      </c>
      <c r="B2489" s="839">
        <v>2904</v>
      </c>
      <c r="C2489" s="906">
        <v>14</v>
      </c>
      <c r="D2489" s="907">
        <v>46051</v>
      </c>
      <c r="E2489" s="839" t="s">
        <v>272</v>
      </c>
      <c r="F2489" s="839" t="s">
        <v>273</v>
      </c>
      <c r="G2489" s="916">
        <f>VLOOKUP($A2489,'Tech Litons'!$A:$I,8,FALSE)</f>
        <v>8.5199999999999998E-3</v>
      </c>
      <c r="H2489" s="917">
        <f>VLOOKUP($A2489,'Tech Litons'!$A:$I,9,FALSE)</f>
        <v>176</v>
      </c>
      <c r="I2489" s="917" t="str">
        <f>VLOOKUP($A2489,'Tech Litons'!$A:$C,3,0)</f>
        <v>48oz</v>
      </c>
      <c r="J2489" s="918" t="str">
        <f t="shared" si="253"/>
        <v>290448oz</v>
      </c>
      <c r="K2489" s="919">
        <v>1</v>
      </c>
      <c r="L2489" s="920">
        <f t="shared" si="252"/>
        <v>14</v>
      </c>
      <c r="M2489" s="920">
        <f t="shared" si="254"/>
        <v>0.11928</v>
      </c>
      <c r="N2489" s="920">
        <f t="shared" si="255"/>
        <v>7.9545454545454544E-2</v>
      </c>
      <c r="O2489" s="918" t="str">
        <f t="shared" si="256"/>
        <v>Jan</v>
      </c>
      <c r="P2489" s="921">
        <f t="shared" si="257"/>
        <v>5</v>
      </c>
    </row>
    <row r="2490" spans="1:16" ht="15" hidden="1" customHeight="1">
      <c r="A2490" s="839">
        <v>68851107</v>
      </c>
      <c r="B2490" s="839">
        <v>2904</v>
      </c>
      <c r="C2490" s="906">
        <v>13376</v>
      </c>
      <c r="D2490" s="907">
        <v>46055</v>
      </c>
      <c r="E2490" s="839" t="s">
        <v>272</v>
      </c>
      <c r="F2490" s="839" t="s">
        <v>273</v>
      </c>
      <c r="G2490" s="916">
        <f>VLOOKUP($A2490,'Tech Litons'!$A:$I,8,FALSE)</f>
        <v>8.5199999999999998E-3</v>
      </c>
      <c r="H2490" s="917">
        <f>VLOOKUP($A2490,'Tech Litons'!$A:$I,9,FALSE)</f>
        <v>176</v>
      </c>
      <c r="I2490" s="917" t="str">
        <f>VLOOKUP($A2490,'Tech Litons'!$A:$C,3,0)</f>
        <v>48oz</v>
      </c>
      <c r="J2490" s="918" t="str">
        <f t="shared" si="253"/>
        <v>290448oz</v>
      </c>
      <c r="K2490" s="919">
        <v>1</v>
      </c>
      <c r="L2490" s="920">
        <f t="shared" si="252"/>
        <v>13376</v>
      </c>
      <c r="M2490" s="920">
        <f t="shared" si="254"/>
        <v>113.96352</v>
      </c>
      <c r="N2490" s="920">
        <f t="shared" si="255"/>
        <v>76</v>
      </c>
      <c r="O2490" s="918" t="str">
        <f t="shared" si="256"/>
        <v>Feb</v>
      </c>
      <c r="P2490" s="921">
        <f t="shared" si="257"/>
        <v>6</v>
      </c>
    </row>
    <row r="2491" spans="1:16" ht="15" hidden="1" customHeight="1">
      <c r="A2491" s="839">
        <v>68851107</v>
      </c>
      <c r="B2491" s="839">
        <v>2904</v>
      </c>
      <c r="C2491" s="906">
        <v>10729</v>
      </c>
      <c r="D2491" s="907">
        <v>46056</v>
      </c>
      <c r="E2491" s="839" t="s">
        <v>272</v>
      </c>
      <c r="F2491" s="839" t="s">
        <v>273</v>
      </c>
      <c r="G2491" s="916">
        <f>VLOOKUP($A2491,'Tech Litons'!$A:$I,8,FALSE)</f>
        <v>8.5199999999999998E-3</v>
      </c>
      <c r="H2491" s="917">
        <f>VLOOKUP($A2491,'Tech Litons'!$A:$I,9,FALSE)</f>
        <v>176</v>
      </c>
      <c r="I2491" s="917" t="str">
        <f>VLOOKUP($A2491,'Tech Litons'!$A:$C,3,0)</f>
        <v>48oz</v>
      </c>
      <c r="J2491" s="918" t="str">
        <f t="shared" si="253"/>
        <v>290448oz</v>
      </c>
      <c r="K2491" s="919">
        <v>1</v>
      </c>
      <c r="L2491" s="920">
        <f t="shared" si="252"/>
        <v>10729</v>
      </c>
      <c r="M2491" s="920">
        <f t="shared" si="254"/>
        <v>91.411079999999998</v>
      </c>
      <c r="N2491" s="920">
        <f t="shared" si="255"/>
        <v>60.960227272727273</v>
      </c>
      <c r="O2491" s="918" t="str">
        <f t="shared" si="256"/>
        <v>Feb</v>
      </c>
      <c r="P2491" s="921">
        <f t="shared" si="257"/>
        <v>6</v>
      </c>
    </row>
    <row r="2492" spans="1:16" ht="15" hidden="1" customHeight="1">
      <c r="A2492" s="839">
        <v>68851107</v>
      </c>
      <c r="B2492" s="839">
        <v>2904</v>
      </c>
      <c r="C2492" s="906">
        <v>12969</v>
      </c>
      <c r="D2492" s="907">
        <v>46056</v>
      </c>
      <c r="E2492" s="839" t="s">
        <v>272</v>
      </c>
      <c r="F2492" s="839" t="s">
        <v>273</v>
      </c>
      <c r="G2492" s="916">
        <f>VLOOKUP($A2492,'Tech Litons'!$A:$I,8,FALSE)</f>
        <v>8.5199999999999998E-3</v>
      </c>
      <c r="H2492" s="917">
        <f>VLOOKUP($A2492,'Tech Litons'!$A:$I,9,FALSE)</f>
        <v>176</v>
      </c>
      <c r="I2492" s="917" t="str">
        <f>VLOOKUP($A2492,'Tech Litons'!$A:$C,3,0)</f>
        <v>48oz</v>
      </c>
      <c r="J2492" s="918" t="str">
        <f t="shared" si="253"/>
        <v>290448oz</v>
      </c>
      <c r="K2492" s="919">
        <v>1</v>
      </c>
      <c r="L2492" s="920">
        <f t="shared" si="252"/>
        <v>12969</v>
      </c>
      <c r="M2492" s="920">
        <f t="shared" si="254"/>
        <v>110.49588</v>
      </c>
      <c r="N2492" s="920">
        <f t="shared" si="255"/>
        <v>73.6875</v>
      </c>
      <c r="O2492" s="918" t="str">
        <f t="shared" si="256"/>
        <v>Feb</v>
      </c>
      <c r="P2492" s="921">
        <f t="shared" si="257"/>
        <v>6</v>
      </c>
    </row>
    <row r="2493" spans="1:16" ht="15" hidden="1" customHeight="1">
      <c r="A2493" s="839">
        <v>68851107</v>
      </c>
      <c r="B2493" s="839">
        <v>2904</v>
      </c>
      <c r="C2493" s="906">
        <v>10560</v>
      </c>
      <c r="D2493" s="907">
        <v>46057</v>
      </c>
      <c r="E2493" s="839" t="s">
        <v>272</v>
      </c>
      <c r="F2493" s="839" t="s">
        <v>273</v>
      </c>
      <c r="G2493" s="916">
        <f>VLOOKUP($A2493,'Tech Litons'!$A:$I,8,FALSE)</f>
        <v>8.5199999999999998E-3</v>
      </c>
      <c r="H2493" s="917">
        <f>VLOOKUP($A2493,'Tech Litons'!$A:$I,9,FALSE)</f>
        <v>176</v>
      </c>
      <c r="I2493" s="917" t="str">
        <f>VLOOKUP($A2493,'Tech Litons'!$A:$C,3,0)</f>
        <v>48oz</v>
      </c>
      <c r="J2493" s="918" t="str">
        <f t="shared" si="253"/>
        <v>290448oz</v>
      </c>
      <c r="K2493" s="919">
        <v>1</v>
      </c>
      <c r="L2493" s="920">
        <f t="shared" si="252"/>
        <v>10560</v>
      </c>
      <c r="M2493" s="920">
        <f t="shared" si="254"/>
        <v>89.971199999999996</v>
      </c>
      <c r="N2493" s="920">
        <f t="shared" si="255"/>
        <v>60</v>
      </c>
      <c r="O2493" s="918" t="str">
        <f t="shared" si="256"/>
        <v>Feb</v>
      </c>
      <c r="P2493" s="921">
        <f t="shared" si="257"/>
        <v>6</v>
      </c>
    </row>
    <row r="2494" spans="1:16" ht="15" hidden="1" customHeight="1">
      <c r="A2494" s="839">
        <v>68851107</v>
      </c>
      <c r="B2494" s="839">
        <v>2904</v>
      </c>
      <c r="C2494" s="906">
        <v>10032</v>
      </c>
      <c r="D2494" s="907">
        <v>46057</v>
      </c>
      <c r="E2494" s="839" t="s">
        <v>272</v>
      </c>
      <c r="F2494" s="839" t="s">
        <v>273</v>
      </c>
      <c r="G2494" s="916">
        <f>VLOOKUP($A2494,'Tech Litons'!$A:$I,8,FALSE)</f>
        <v>8.5199999999999998E-3</v>
      </c>
      <c r="H2494" s="917">
        <f>VLOOKUP($A2494,'Tech Litons'!$A:$I,9,FALSE)</f>
        <v>176</v>
      </c>
      <c r="I2494" s="917" t="str">
        <f>VLOOKUP($A2494,'Tech Litons'!$A:$C,3,0)</f>
        <v>48oz</v>
      </c>
      <c r="J2494" s="918" t="str">
        <f t="shared" si="253"/>
        <v>290448oz</v>
      </c>
      <c r="K2494" s="919">
        <v>1</v>
      </c>
      <c r="L2494" s="920">
        <f t="shared" si="252"/>
        <v>10032</v>
      </c>
      <c r="M2494" s="920">
        <f t="shared" si="254"/>
        <v>85.472639999999998</v>
      </c>
      <c r="N2494" s="920">
        <f t="shared" si="255"/>
        <v>57</v>
      </c>
      <c r="O2494" s="918" t="str">
        <f t="shared" si="256"/>
        <v>Feb</v>
      </c>
      <c r="P2494" s="921">
        <f t="shared" si="257"/>
        <v>6</v>
      </c>
    </row>
    <row r="2495" spans="1:16" ht="15" hidden="1" customHeight="1">
      <c r="A2495" s="839">
        <v>68851107</v>
      </c>
      <c r="B2495" s="839">
        <v>2904</v>
      </c>
      <c r="C2495" s="906">
        <v>2552</v>
      </c>
      <c r="D2495" s="907">
        <v>46058</v>
      </c>
      <c r="E2495" s="839" t="s">
        <v>272</v>
      </c>
      <c r="F2495" s="839" t="s">
        <v>273</v>
      </c>
      <c r="G2495" s="916">
        <f>VLOOKUP($A2495,'Tech Litons'!$A:$I,8,FALSE)</f>
        <v>8.5199999999999998E-3</v>
      </c>
      <c r="H2495" s="917">
        <f>VLOOKUP($A2495,'Tech Litons'!$A:$I,9,FALSE)</f>
        <v>176</v>
      </c>
      <c r="I2495" s="917" t="str">
        <f>VLOOKUP($A2495,'Tech Litons'!$A:$C,3,0)</f>
        <v>48oz</v>
      </c>
      <c r="J2495" s="918" t="str">
        <f t="shared" si="253"/>
        <v>290448oz</v>
      </c>
      <c r="K2495" s="919">
        <v>1</v>
      </c>
      <c r="L2495" s="920">
        <f t="shared" si="252"/>
        <v>2552</v>
      </c>
      <c r="M2495" s="920">
        <f t="shared" si="254"/>
        <v>21.743040000000001</v>
      </c>
      <c r="N2495" s="920">
        <f t="shared" si="255"/>
        <v>14.5</v>
      </c>
      <c r="O2495" s="918" t="str">
        <f t="shared" si="256"/>
        <v>Feb</v>
      </c>
      <c r="P2495" s="921">
        <f t="shared" si="257"/>
        <v>6</v>
      </c>
    </row>
    <row r="2496" spans="1:16" ht="15" hidden="1" customHeight="1">
      <c r="A2496" s="839">
        <v>68851107</v>
      </c>
      <c r="B2496" s="839">
        <v>2904</v>
      </c>
      <c r="C2496" s="906">
        <v>9328</v>
      </c>
      <c r="D2496" s="907">
        <v>46067</v>
      </c>
      <c r="E2496" s="839" t="s">
        <v>272</v>
      </c>
      <c r="F2496" s="839" t="s">
        <v>273</v>
      </c>
      <c r="G2496" s="916">
        <f>VLOOKUP($A2496,'Tech Litons'!$A:$I,8,FALSE)</f>
        <v>8.5199999999999998E-3</v>
      </c>
      <c r="H2496" s="917">
        <f>VLOOKUP($A2496,'Tech Litons'!$A:$I,9,FALSE)</f>
        <v>176</v>
      </c>
      <c r="I2496" s="917" t="str">
        <f>VLOOKUP($A2496,'Tech Litons'!$A:$C,3,0)</f>
        <v>48oz</v>
      </c>
      <c r="J2496" s="918" t="str">
        <f t="shared" si="253"/>
        <v>290448oz</v>
      </c>
      <c r="K2496" s="919">
        <v>1</v>
      </c>
      <c r="L2496" s="920">
        <f t="shared" si="252"/>
        <v>9328</v>
      </c>
      <c r="M2496" s="920">
        <f t="shared" si="254"/>
        <v>79.474559999999997</v>
      </c>
      <c r="N2496" s="920">
        <f t="shared" si="255"/>
        <v>53</v>
      </c>
      <c r="O2496" s="918" t="str">
        <f t="shared" si="256"/>
        <v>Feb</v>
      </c>
      <c r="P2496" s="921">
        <f t="shared" si="257"/>
        <v>7</v>
      </c>
    </row>
    <row r="2497" spans="1:16" ht="15" hidden="1" customHeight="1">
      <c r="A2497" s="839">
        <v>68851107</v>
      </c>
      <c r="B2497" s="839">
        <v>2904</v>
      </c>
      <c r="C2497" s="906">
        <v>10641</v>
      </c>
      <c r="D2497" s="907">
        <v>46068</v>
      </c>
      <c r="E2497" s="839" t="s">
        <v>272</v>
      </c>
      <c r="F2497" s="839" t="s">
        <v>273</v>
      </c>
      <c r="G2497" s="916">
        <f>VLOOKUP($A2497,'Tech Litons'!$A:$I,8,FALSE)</f>
        <v>8.5199999999999998E-3</v>
      </c>
      <c r="H2497" s="917">
        <f>VLOOKUP($A2497,'Tech Litons'!$A:$I,9,FALSE)</f>
        <v>176</v>
      </c>
      <c r="I2497" s="917" t="str">
        <f>VLOOKUP($A2497,'Tech Litons'!$A:$C,3,0)</f>
        <v>48oz</v>
      </c>
      <c r="J2497" s="918" t="str">
        <f t="shared" si="253"/>
        <v>290448oz</v>
      </c>
      <c r="K2497" s="919">
        <v>1</v>
      </c>
      <c r="L2497" s="920">
        <f t="shared" si="252"/>
        <v>10641</v>
      </c>
      <c r="M2497" s="920">
        <f t="shared" si="254"/>
        <v>90.661320000000003</v>
      </c>
      <c r="N2497" s="920">
        <f t="shared" si="255"/>
        <v>60.460227272727273</v>
      </c>
      <c r="O2497" s="918" t="str">
        <f t="shared" si="256"/>
        <v>Feb</v>
      </c>
      <c r="P2497" s="921">
        <f t="shared" si="257"/>
        <v>8</v>
      </c>
    </row>
    <row r="2498" spans="1:16" ht="15" hidden="1" customHeight="1">
      <c r="A2498" s="839">
        <v>68851107</v>
      </c>
      <c r="B2498" s="839">
        <v>2904</v>
      </c>
      <c r="C2498" s="906">
        <v>176</v>
      </c>
      <c r="D2498" s="907">
        <v>46070</v>
      </c>
      <c r="E2498" s="839" t="s">
        <v>272</v>
      </c>
      <c r="F2498" s="839" t="s">
        <v>273</v>
      </c>
      <c r="G2498" s="916">
        <f>VLOOKUP($A2498,'Tech Litons'!$A:$I,8,FALSE)</f>
        <v>8.5199999999999998E-3</v>
      </c>
      <c r="H2498" s="917">
        <f>VLOOKUP($A2498,'Tech Litons'!$A:$I,9,FALSE)</f>
        <v>176</v>
      </c>
      <c r="I2498" s="917" t="str">
        <f>VLOOKUP($A2498,'Tech Litons'!$A:$C,3,0)</f>
        <v>48oz</v>
      </c>
      <c r="J2498" s="918" t="str">
        <f t="shared" si="253"/>
        <v>290448oz</v>
      </c>
      <c r="K2498" s="919">
        <v>1</v>
      </c>
      <c r="L2498" s="920">
        <f t="shared" si="252"/>
        <v>176</v>
      </c>
      <c r="M2498" s="920">
        <f t="shared" si="254"/>
        <v>1.49952</v>
      </c>
      <c r="N2498" s="920">
        <f t="shared" si="255"/>
        <v>1</v>
      </c>
      <c r="O2498" s="918" t="str">
        <f t="shared" si="256"/>
        <v>Feb</v>
      </c>
      <c r="P2498" s="921">
        <f t="shared" si="257"/>
        <v>8</v>
      </c>
    </row>
    <row r="2499" spans="1:16" ht="15" hidden="1" customHeight="1">
      <c r="A2499" s="839">
        <v>68851107</v>
      </c>
      <c r="B2499" s="839">
        <v>2904</v>
      </c>
      <c r="C2499" s="906">
        <v>10384</v>
      </c>
      <c r="D2499" s="907">
        <v>46068</v>
      </c>
      <c r="E2499" s="839" t="s">
        <v>272</v>
      </c>
      <c r="F2499" s="839" t="s">
        <v>273</v>
      </c>
      <c r="G2499" s="916">
        <f>VLOOKUP($A2499,'Tech Litons'!$A:$I,8,FALSE)</f>
        <v>8.5199999999999998E-3</v>
      </c>
      <c r="H2499" s="917">
        <f>VLOOKUP($A2499,'Tech Litons'!$A:$I,9,FALSE)</f>
        <v>176</v>
      </c>
      <c r="I2499" s="917" t="str">
        <f>VLOOKUP($A2499,'Tech Litons'!$A:$C,3,0)</f>
        <v>48oz</v>
      </c>
      <c r="J2499" s="918" t="str">
        <f t="shared" si="253"/>
        <v>290448oz</v>
      </c>
      <c r="K2499" s="919">
        <v>1</v>
      </c>
      <c r="L2499" s="920">
        <f t="shared" si="252"/>
        <v>10384</v>
      </c>
      <c r="M2499" s="920">
        <f t="shared" si="254"/>
        <v>88.471679999999992</v>
      </c>
      <c r="N2499" s="920">
        <f t="shared" si="255"/>
        <v>59</v>
      </c>
      <c r="O2499" s="918" t="str">
        <f t="shared" si="256"/>
        <v>Feb</v>
      </c>
      <c r="P2499" s="921">
        <f t="shared" si="257"/>
        <v>8</v>
      </c>
    </row>
    <row r="2500" spans="1:16" ht="15" hidden="1" customHeight="1">
      <c r="A2500" s="839">
        <v>68851107</v>
      </c>
      <c r="B2500" s="839">
        <v>2904</v>
      </c>
      <c r="C2500" s="906">
        <v>11229</v>
      </c>
      <c r="D2500" s="907">
        <v>46069</v>
      </c>
      <c r="E2500" s="839" t="s">
        <v>272</v>
      </c>
      <c r="F2500" s="839" t="s">
        <v>273</v>
      </c>
      <c r="G2500" s="916">
        <f>VLOOKUP($A2500,'Tech Litons'!$A:$I,8,FALSE)</f>
        <v>8.5199999999999998E-3</v>
      </c>
      <c r="H2500" s="917">
        <f>VLOOKUP($A2500,'Tech Litons'!$A:$I,9,FALSE)</f>
        <v>176</v>
      </c>
      <c r="I2500" s="917" t="str">
        <f>VLOOKUP($A2500,'Tech Litons'!$A:$C,3,0)</f>
        <v>48oz</v>
      </c>
      <c r="J2500" s="918" t="str">
        <f t="shared" si="253"/>
        <v>290448oz</v>
      </c>
      <c r="K2500" s="919">
        <v>1</v>
      </c>
      <c r="L2500" s="920">
        <f t="shared" si="252"/>
        <v>11229</v>
      </c>
      <c r="M2500" s="920">
        <f t="shared" si="254"/>
        <v>95.671080000000003</v>
      </c>
      <c r="N2500" s="920">
        <f t="shared" si="255"/>
        <v>63.801136363636367</v>
      </c>
      <c r="O2500" s="918" t="str">
        <f t="shared" si="256"/>
        <v>Feb</v>
      </c>
      <c r="P2500" s="921">
        <f t="shared" si="257"/>
        <v>8</v>
      </c>
    </row>
    <row r="2501" spans="1:16" ht="15" hidden="1" customHeight="1">
      <c r="A2501" s="839">
        <v>68851107</v>
      </c>
      <c r="B2501" s="839">
        <v>2904</v>
      </c>
      <c r="C2501" s="906">
        <v>6336</v>
      </c>
      <c r="D2501" s="907">
        <v>46069</v>
      </c>
      <c r="E2501" s="839" t="s">
        <v>272</v>
      </c>
      <c r="F2501" s="839" t="s">
        <v>273</v>
      </c>
      <c r="G2501" s="916">
        <f>VLOOKUP($A2501,'Tech Litons'!$A:$I,8,FALSE)</f>
        <v>8.5199999999999998E-3</v>
      </c>
      <c r="H2501" s="917">
        <f>VLOOKUP($A2501,'Tech Litons'!$A:$I,9,FALSE)</f>
        <v>176</v>
      </c>
      <c r="I2501" s="917" t="str">
        <f>VLOOKUP($A2501,'Tech Litons'!$A:$C,3,0)</f>
        <v>48oz</v>
      </c>
      <c r="J2501" s="918" t="str">
        <f t="shared" si="253"/>
        <v>290448oz</v>
      </c>
      <c r="K2501" s="919">
        <v>1</v>
      </c>
      <c r="L2501" s="920">
        <f t="shared" si="252"/>
        <v>6336</v>
      </c>
      <c r="M2501" s="920">
        <f t="shared" si="254"/>
        <v>53.98272</v>
      </c>
      <c r="N2501" s="920">
        <f t="shared" si="255"/>
        <v>36</v>
      </c>
      <c r="O2501" s="918" t="str">
        <f t="shared" si="256"/>
        <v>Feb</v>
      </c>
      <c r="P2501" s="921">
        <f t="shared" si="257"/>
        <v>8</v>
      </c>
    </row>
    <row r="2502" spans="1:16" ht="15" hidden="1" customHeight="1">
      <c r="A2502" s="839">
        <v>68851107</v>
      </c>
      <c r="B2502" s="839">
        <v>2904</v>
      </c>
      <c r="C2502" s="906">
        <v>12138</v>
      </c>
      <c r="D2502" s="907">
        <v>46070</v>
      </c>
      <c r="E2502" s="839" t="s">
        <v>272</v>
      </c>
      <c r="F2502" s="839" t="s">
        <v>273</v>
      </c>
      <c r="G2502" s="916">
        <f>VLOOKUP($A2502,'Tech Litons'!$A:$I,8,FALSE)</f>
        <v>8.5199999999999998E-3</v>
      </c>
      <c r="H2502" s="917">
        <f>VLOOKUP($A2502,'Tech Litons'!$A:$I,9,FALSE)</f>
        <v>176</v>
      </c>
      <c r="I2502" s="917" t="str">
        <f>VLOOKUP($A2502,'Tech Litons'!$A:$C,3,0)</f>
        <v>48oz</v>
      </c>
      <c r="J2502" s="918" t="str">
        <f t="shared" si="253"/>
        <v>290448oz</v>
      </c>
      <c r="K2502" s="919">
        <v>1</v>
      </c>
      <c r="L2502" s="920">
        <f t="shared" si="252"/>
        <v>12138</v>
      </c>
      <c r="M2502" s="920">
        <f t="shared" si="254"/>
        <v>103.41575999999999</v>
      </c>
      <c r="N2502" s="920">
        <f t="shared" si="255"/>
        <v>68.965909090909093</v>
      </c>
      <c r="O2502" s="918" t="str">
        <f t="shared" si="256"/>
        <v>Feb</v>
      </c>
      <c r="P2502" s="921">
        <f t="shared" si="257"/>
        <v>8</v>
      </c>
    </row>
    <row r="2503" spans="1:16" ht="15" hidden="1" customHeight="1">
      <c r="A2503" s="839">
        <v>68851107</v>
      </c>
      <c r="B2503" s="839">
        <v>2904</v>
      </c>
      <c r="C2503" s="906">
        <v>11616</v>
      </c>
      <c r="D2503" s="907">
        <v>46070</v>
      </c>
      <c r="E2503" s="839" t="s">
        <v>272</v>
      </c>
      <c r="F2503" s="839" t="s">
        <v>273</v>
      </c>
      <c r="G2503" s="916">
        <f>VLOOKUP($A2503,'Tech Litons'!$A:$I,8,FALSE)</f>
        <v>8.5199999999999998E-3</v>
      </c>
      <c r="H2503" s="917">
        <f>VLOOKUP($A2503,'Tech Litons'!$A:$I,9,FALSE)</f>
        <v>176</v>
      </c>
      <c r="I2503" s="917" t="str">
        <f>VLOOKUP($A2503,'Tech Litons'!$A:$C,3,0)</f>
        <v>48oz</v>
      </c>
      <c r="J2503" s="918" t="str">
        <f t="shared" si="253"/>
        <v>290448oz</v>
      </c>
      <c r="K2503" s="919">
        <v>1</v>
      </c>
      <c r="L2503" s="920">
        <f t="shared" si="252"/>
        <v>11616</v>
      </c>
      <c r="M2503" s="920">
        <f t="shared" si="254"/>
        <v>98.968319999999991</v>
      </c>
      <c r="N2503" s="920">
        <f t="shared" si="255"/>
        <v>66</v>
      </c>
      <c r="O2503" s="918" t="str">
        <f t="shared" si="256"/>
        <v>Feb</v>
      </c>
      <c r="P2503" s="921">
        <f t="shared" si="257"/>
        <v>8</v>
      </c>
    </row>
    <row r="2504" spans="1:16" ht="15" hidden="1" customHeight="1">
      <c r="A2504" s="839">
        <v>68851107</v>
      </c>
      <c r="B2504" s="839">
        <v>2904</v>
      </c>
      <c r="C2504" s="906">
        <v>3905</v>
      </c>
      <c r="D2504" s="907">
        <v>46071</v>
      </c>
      <c r="E2504" s="839" t="s">
        <v>272</v>
      </c>
      <c r="F2504" s="839" t="s">
        <v>273</v>
      </c>
      <c r="G2504" s="916">
        <f>VLOOKUP($A2504,'Tech Litons'!$A:$I,8,FALSE)</f>
        <v>8.5199999999999998E-3</v>
      </c>
      <c r="H2504" s="917">
        <f>VLOOKUP($A2504,'Tech Litons'!$A:$I,9,FALSE)</f>
        <v>176</v>
      </c>
      <c r="I2504" s="917" t="str">
        <f>VLOOKUP($A2504,'Tech Litons'!$A:$C,3,0)</f>
        <v>48oz</v>
      </c>
      <c r="J2504" s="918" t="str">
        <f t="shared" si="253"/>
        <v>290448oz</v>
      </c>
      <c r="K2504" s="919">
        <v>1</v>
      </c>
      <c r="L2504" s="920">
        <f t="shared" si="252"/>
        <v>3905</v>
      </c>
      <c r="M2504" s="920">
        <f t="shared" si="254"/>
        <v>33.270600000000002</v>
      </c>
      <c r="N2504" s="920">
        <f t="shared" si="255"/>
        <v>22.1875</v>
      </c>
      <c r="O2504" s="918" t="str">
        <f t="shared" si="256"/>
        <v>Feb</v>
      </c>
      <c r="P2504" s="921">
        <f t="shared" si="257"/>
        <v>8</v>
      </c>
    </row>
    <row r="2505" spans="1:16" ht="15" hidden="1" customHeight="1">
      <c r="A2505" s="839">
        <v>68851107</v>
      </c>
      <c r="B2505" s="839">
        <v>2904</v>
      </c>
      <c r="C2505" s="906">
        <v>6960</v>
      </c>
      <c r="D2505" s="907">
        <v>46074</v>
      </c>
      <c r="E2505" s="839" t="s">
        <v>272</v>
      </c>
      <c r="F2505" s="839" t="s">
        <v>273</v>
      </c>
      <c r="G2505" s="916">
        <f>VLOOKUP($A2505,'Tech Litons'!$A:$I,8,FALSE)</f>
        <v>8.5199999999999998E-3</v>
      </c>
      <c r="H2505" s="917">
        <f>VLOOKUP($A2505,'Tech Litons'!$A:$I,9,FALSE)</f>
        <v>176</v>
      </c>
      <c r="I2505" s="917" t="str">
        <f>VLOOKUP($A2505,'Tech Litons'!$A:$C,3,0)</f>
        <v>48oz</v>
      </c>
      <c r="J2505" s="918" t="str">
        <f t="shared" si="253"/>
        <v>290448oz</v>
      </c>
      <c r="K2505" s="919">
        <v>1</v>
      </c>
      <c r="L2505" s="920">
        <f t="shared" si="252"/>
        <v>6960</v>
      </c>
      <c r="M2505" s="920">
        <f t="shared" si="254"/>
        <v>59.299199999999999</v>
      </c>
      <c r="N2505" s="920">
        <f t="shared" si="255"/>
        <v>39.545454545454547</v>
      </c>
      <c r="O2505" s="918" t="str">
        <f t="shared" si="256"/>
        <v>Feb</v>
      </c>
      <c r="P2505" s="921">
        <f t="shared" si="257"/>
        <v>8</v>
      </c>
    </row>
    <row r="2506" spans="1:16" ht="15" hidden="1" customHeight="1">
      <c r="A2506" s="839">
        <v>68851107</v>
      </c>
      <c r="B2506" s="839">
        <v>2904</v>
      </c>
      <c r="C2506" s="906">
        <v>10824</v>
      </c>
      <c r="D2506" s="907">
        <v>46075</v>
      </c>
      <c r="E2506" s="839" t="s">
        <v>272</v>
      </c>
      <c r="F2506" s="839" t="s">
        <v>273</v>
      </c>
      <c r="G2506" s="916">
        <f>VLOOKUP($A2506,'Tech Litons'!$A:$I,8,FALSE)</f>
        <v>8.5199999999999998E-3</v>
      </c>
      <c r="H2506" s="917">
        <f>VLOOKUP($A2506,'Tech Litons'!$A:$I,9,FALSE)</f>
        <v>176</v>
      </c>
      <c r="I2506" s="917" t="str">
        <f>VLOOKUP($A2506,'Tech Litons'!$A:$C,3,0)</f>
        <v>48oz</v>
      </c>
      <c r="J2506" s="918" t="str">
        <f t="shared" si="253"/>
        <v>290448oz</v>
      </c>
      <c r="K2506" s="919">
        <v>1</v>
      </c>
      <c r="L2506" s="920">
        <f t="shared" si="252"/>
        <v>10824</v>
      </c>
      <c r="M2506" s="920">
        <f t="shared" si="254"/>
        <v>92.220479999999995</v>
      </c>
      <c r="N2506" s="920">
        <f t="shared" si="255"/>
        <v>61.5</v>
      </c>
      <c r="O2506" s="918" t="str">
        <f t="shared" si="256"/>
        <v>Feb</v>
      </c>
      <c r="P2506" s="921">
        <f t="shared" si="257"/>
        <v>9</v>
      </c>
    </row>
    <row r="2507" spans="1:16" ht="15" hidden="1" customHeight="1">
      <c r="A2507" s="839">
        <v>68851107</v>
      </c>
      <c r="B2507" s="839">
        <v>2904</v>
      </c>
      <c r="C2507" s="906">
        <v>9743</v>
      </c>
      <c r="D2507" s="907">
        <v>46075</v>
      </c>
      <c r="E2507" s="839" t="s">
        <v>272</v>
      </c>
      <c r="F2507" s="839" t="s">
        <v>273</v>
      </c>
      <c r="G2507" s="916">
        <f>VLOOKUP($A2507,'Tech Litons'!$A:$I,8,FALSE)</f>
        <v>8.5199999999999998E-3</v>
      </c>
      <c r="H2507" s="917">
        <f>VLOOKUP($A2507,'Tech Litons'!$A:$I,9,FALSE)</f>
        <v>176</v>
      </c>
      <c r="I2507" s="917" t="str">
        <f>VLOOKUP($A2507,'Tech Litons'!$A:$C,3,0)</f>
        <v>48oz</v>
      </c>
      <c r="J2507" s="918" t="str">
        <f t="shared" si="253"/>
        <v>290448oz</v>
      </c>
      <c r="K2507" s="919">
        <v>1</v>
      </c>
      <c r="L2507" s="920">
        <f t="shared" si="252"/>
        <v>9743</v>
      </c>
      <c r="M2507" s="920">
        <f t="shared" si="254"/>
        <v>83.010359999999991</v>
      </c>
      <c r="N2507" s="920">
        <f t="shared" si="255"/>
        <v>55.357954545454547</v>
      </c>
      <c r="O2507" s="918" t="str">
        <f t="shared" si="256"/>
        <v>Feb</v>
      </c>
      <c r="P2507" s="921">
        <f t="shared" si="257"/>
        <v>9</v>
      </c>
    </row>
    <row r="2508" spans="1:16" ht="15" hidden="1" customHeight="1">
      <c r="A2508" s="839">
        <v>68851107</v>
      </c>
      <c r="B2508" s="839">
        <v>2904</v>
      </c>
      <c r="C2508" s="906">
        <v>4971</v>
      </c>
      <c r="D2508" s="907">
        <v>46055</v>
      </c>
      <c r="E2508" s="839" t="s">
        <v>272</v>
      </c>
      <c r="F2508" s="839" t="s">
        <v>273</v>
      </c>
      <c r="G2508" s="916">
        <f>VLOOKUP($A2508,'Tech Litons'!$A:$I,8,FALSE)</f>
        <v>8.5199999999999998E-3</v>
      </c>
      <c r="H2508" s="917">
        <f>VLOOKUP($A2508,'Tech Litons'!$A:$I,9,FALSE)</f>
        <v>176</v>
      </c>
      <c r="I2508" s="917" t="str">
        <f>VLOOKUP($A2508,'Tech Litons'!$A:$C,3,0)</f>
        <v>48oz</v>
      </c>
      <c r="J2508" s="918" t="str">
        <f t="shared" si="253"/>
        <v>290448oz</v>
      </c>
      <c r="K2508" s="919">
        <v>1</v>
      </c>
      <c r="L2508" s="920">
        <f t="shared" si="252"/>
        <v>4971</v>
      </c>
      <c r="M2508" s="920">
        <f t="shared" si="254"/>
        <v>42.352919999999997</v>
      </c>
      <c r="N2508" s="920">
        <f t="shared" si="255"/>
        <v>28.244318181818183</v>
      </c>
      <c r="O2508" s="918" t="str">
        <f t="shared" si="256"/>
        <v>Feb</v>
      </c>
      <c r="P2508" s="921">
        <f t="shared" si="257"/>
        <v>6</v>
      </c>
    </row>
    <row r="2509" spans="1:16" ht="15" hidden="1" customHeight="1">
      <c r="A2509" s="839">
        <v>68851107</v>
      </c>
      <c r="B2509" s="839">
        <v>2904</v>
      </c>
      <c r="C2509" s="906">
        <v>4499</v>
      </c>
      <c r="D2509" s="907">
        <v>46061</v>
      </c>
      <c r="E2509" s="839" t="s">
        <v>272</v>
      </c>
      <c r="F2509" s="839" t="s">
        <v>269</v>
      </c>
      <c r="G2509" s="916">
        <f>VLOOKUP($A2509,'Tech Litons'!$A:$I,8,FALSE)</f>
        <v>8.5199999999999998E-3</v>
      </c>
      <c r="H2509" s="917">
        <f>VLOOKUP($A2509,'Tech Litons'!$A:$I,9,FALSE)</f>
        <v>176</v>
      </c>
      <c r="I2509" s="917" t="str">
        <f>VLOOKUP($A2509,'Tech Litons'!$A:$C,3,0)</f>
        <v>48oz</v>
      </c>
      <c r="J2509" s="918" t="str">
        <f t="shared" si="253"/>
        <v>290448oz</v>
      </c>
      <c r="K2509" s="919">
        <v>1</v>
      </c>
      <c r="L2509" s="920">
        <f t="shared" si="252"/>
        <v>4499</v>
      </c>
      <c r="M2509" s="920">
        <f t="shared" si="254"/>
        <v>38.331479999999999</v>
      </c>
      <c r="N2509" s="920">
        <f t="shared" si="255"/>
        <v>25.5625</v>
      </c>
      <c r="O2509" s="918" t="str">
        <f t="shared" si="256"/>
        <v>Feb</v>
      </c>
      <c r="P2509" s="921">
        <f t="shared" si="257"/>
        <v>7</v>
      </c>
    </row>
    <row r="2510" spans="1:16" ht="15" hidden="1" customHeight="1">
      <c r="A2510" s="839">
        <v>68851107</v>
      </c>
      <c r="B2510" s="839">
        <v>2904</v>
      </c>
      <c r="C2510" s="906">
        <v>6512</v>
      </c>
      <c r="D2510" s="907">
        <v>46062</v>
      </c>
      <c r="E2510" s="839" t="s">
        <v>272</v>
      </c>
      <c r="F2510" s="839" t="s">
        <v>269</v>
      </c>
      <c r="G2510" s="916">
        <f>VLOOKUP($A2510,'Tech Litons'!$A:$I,8,FALSE)</f>
        <v>8.5199999999999998E-3</v>
      </c>
      <c r="H2510" s="917">
        <f>VLOOKUP($A2510,'Tech Litons'!$A:$I,9,FALSE)</f>
        <v>176</v>
      </c>
      <c r="I2510" s="917" t="str">
        <f>VLOOKUP($A2510,'Tech Litons'!$A:$C,3,0)</f>
        <v>48oz</v>
      </c>
      <c r="J2510" s="918" t="str">
        <f t="shared" si="253"/>
        <v>290448oz</v>
      </c>
      <c r="K2510" s="919">
        <v>1</v>
      </c>
      <c r="L2510" s="920">
        <f t="shared" si="252"/>
        <v>6512</v>
      </c>
      <c r="M2510" s="920">
        <f t="shared" si="254"/>
        <v>55.482239999999997</v>
      </c>
      <c r="N2510" s="920">
        <f t="shared" si="255"/>
        <v>37</v>
      </c>
      <c r="O2510" s="918" t="str">
        <f t="shared" si="256"/>
        <v>Feb</v>
      </c>
      <c r="P2510" s="921">
        <f t="shared" si="257"/>
        <v>7</v>
      </c>
    </row>
    <row r="2511" spans="1:16" ht="15" hidden="1" customHeight="1">
      <c r="A2511" s="839">
        <v>68851107</v>
      </c>
      <c r="B2511" s="839">
        <v>2904</v>
      </c>
      <c r="C2511" s="906">
        <v>938</v>
      </c>
      <c r="D2511" s="907">
        <v>46062</v>
      </c>
      <c r="E2511" s="839" t="s">
        <v>272</v>
      </c>
      <c r="F2511" s="839" t="s">
        <v>269</v>
      </c>
      <c r="G2511" s="916">
        <f>VLOOKUP($A2511,'Tech Litons'!$A:$I,8,FALSE)</f>
        <v>8.5199999999999998E-3</v>
      </c>
      <c r="H2511" s="917">
        <f>VLOOKUP($A2511,'Tech Litons'!$A:$I,9,FALSE)</f>
        <v>176</v>
      </c>
      <c r="I2511" s="917" t="str">
        <f>VLOOKUP($A2511,'Tech Litons'!$A:$C,3,0)</f>
        <v>48oz</v>
      </c>
      <c r="J2511" s="918" t="str">
        <f t="shared" si="253"/>
        <v>290448oz</v>
      </c>
      <c r="K2511" s="919">
        <v>1</v>
      </c>
      <c r="L2511" s="920">
        <f t="shared" si="252"/>
        <v>938</v>
      </c>
      <c r="M2511" s="920">
        <f t="shared" si="254"/>
        <v>7.9917600000000002</v>
      </c>
      <c r="N2511" s="920">
        <f t="shared" si="255"/>
        <v>5.3295454545454541</v>
      </c>
      <c r="O2511" s="918" t="str">
        <f t="shared" si="256"/>
        <v>Feb</v>
      </c>
      <c r="P2511" s="921">
        <f t="shared" si="257"/>
        <v>7</v>
      </c>
    </row>
    <row r="2512" spans="1:16" ht="15" hidden="1" customHeight="1">
      <c r="A2512" s="839">
        <v>68851107</v>
      </c>
      <c r="B2512" s="839">
        <v>2904</v>
      </c>
      <c r="C2512" s="906">
        <v>528</v>
      </c>
      <c r="D2512" s="907">
        <v>46062</v>
      </c>
      <c r="E2512" s="839" t="s">
        <v>272</v>
      </c>
      <c r="F2512" s="839" t="s">
        <v>271</v>
      </c>
      <c r="G2512" s="916">
        <f>VLOOKUP($A2512,'Tech Litons'!$A:$I,8,FALSE)</f>
        <v>8.5199999999999998E-3</v>
      </c>
      <c r="H2512" s="917">
        <f>VLOOKUP($A2512,'Tech Litons'!$A:$I,9,FALSE)</f>
        <v>176</v>
      </c>
      <c r="I2512" s="917" t="str">
        <f>VLOOKUP($A2512,'Tech Litons'!$A:$C,3,0)</f>
        <v>48oz</v>
      </c>
      <c r="J2512" s="918" t="str">
        <f t="shared" si="253"/>
        <v>290448oz</v>
      </c>
      <c r="K2512" s="919">
        <v>1</v>
      </c>
      <c r="L2512" s="920">
        <f t="shared" si="252"/>
        <v>528</v>
      </c>
      <c r="M2512" s="920">
        <f t="shared" si="254"/>
        <v>4.4985599999999994</v>
      </c>
      <c r="N2512" s="920">
        <f t="shared" si="255"/>
        <v>3</v>
      </c>
      <c r="O2512" s="918" t="str">
        <f t="shared" si="256"/>
        <v>Feb</v>
      </c>
      <c r="P2512" s="921">
        <f t="shared" si="257"/>
        <v>7</v>
      </c>
    </row>
    <row r="2513" spans="1:16" ht="15" hidden="1" customHeight="1">
      <c r="A2513" s="839">
        <v>68851107</v>
      </c>
      <c r="B2513" s="839">
        <v>2904</v>
      </c>
      <c r="C2513" s="906">
        <v>352</v>
      </c>
      <c r="D2513" s="907">
        <v>46062</v>
      </c>
      <c r="E2513" s="839" t="s">
        <v>272</v>
      </c>
      <c r="F2513" s="839" t="s">
        <v>271</v>
      </c>
      <c r="G2513" s="916">
        <f>VLOOKUP($A2513,'Tech Litons'!$A:$I,8,FALSE)</f>
        <v>8.5199999999999998E-3</v>
      </c>
      <c r="H2513" s="917">
        <f>VLOOKUP($A2513,'Tech Litons'!$A:$I,9,FALSE)</f>
        <v>176</v>
      </c>
      <c r="I2513" s="917" t="str">
        <f>VLOOKUP($A2513,'Tech Litons'!$A:$C,3,0)</f>
        <v>48oz</v>
      </c>
      <c r="J2513" s="918" t="str">
        <f t="shared" si="253"/>
        <v>290448oz</v>
      </c>
      <c r="K2513" s="919">
        <v>1</v>
      </c>
      <c r="L2513" s="920">
        <f t="shared" si="252"/>
        <v>352</v>
      </c>
      <c r="M2513" s="920">
        <f t="shared" si="254"/>
        <v>2.9990399999999999</v>
      </c>
      <c r="N2513" s="920">
        <f t="shared" si="255"/>
        <v>2</v>
      </c>
      <c r="O2513" s="918" t="str">
        <f t="shared" si="256"/>
        <v>Feb</v>
      </c>
      <c r="P2513" s="921">
        <f t="shared" si="257"/>
        <v>7</v>
      </c>
    </row>
    <row r="2514" spans="1:16" ht="15" hidden="1" customHeight="1">
      <c r="A2514" s="839">
        <v>68851107</v>
      </c>
      <c r="B2514" s="839">
        <v>2904</v>
      </c>
      <c r="C2514" s="906">
        <v>8096</v>
      </c>
      <c r="D2514" s="907">
        <v>46066</v>
      </c>
      <c r="E2514" s="839" t="s">
        <v>272</v>
      </c>
      <c r="F2514" s="839" t="s">
        <v>273</v>
      </c>
      <c r="G2514" s="916">
        <f>VLOOKUP($A2514,'Tech Litons'!$A:$I,8,FALSE)</f>
        <v>8.5199999999999998E-3</v>
      </c>
      <c r="H2514" s="917">
        <f>VLOOKUP($A2514,'Tech Litons'!$A:$I,9,FALSE)</f>
        <v>176</v>
      </c>
      <c r="I2514" s="917" t="str">
        <f>VLOOKUP($A2514,'Tech Litons'!$A:$C,3,0)</f>
        <v>48oz</v>
      </c>
      <c r="J2514" s="918" t="str">
        <f t="shared" si="253"/>
        <v>290448oz</v>
      </c>
      <c r="K2514" s="919">
        <v>1</v>
      </c>
      <c r="L2514" s="920">
        <f t="shared" si="252"/>
        <v>8096</v>
      </c>
      <c r="M2514" s="920">
        <f t="shared" si="254"/>
        <v>68.977919999999997</v>
      </c>
      <c r="N2514" s="920">
        <f t="shared" si="255"/>
        <v>46</v>
      </c>
      <c r="O2514" s="918" t="str">
        <f t="shared" si="256"/>
        <v>Feb</v>
      </c>
      <c r="P2514" s="921">
        <f t="shared" si="257"/>
        <v>7</v>
      </c>
    </row>
    <row r="2515" spans="1:16" ht="15" hidden="1" customHeight="1">
      <c r="A2515" s="839">
        <v>68851107</v>
      </c>
      <c r="B2515" s="839">
        <v>2904</v>
      </c>
      <c r="C2515" s="906">
        <v>9504</v>
      </c>
      <c r="D2515" s="907">
        <v>46067</v>
      </c>
      <c r="E2515" s="839" t="s">
        <v>272</v>
      </c>
      <c r="F2515" s="839" t="s">
        <v>273</v>
      </c>
      <c r="G2515" s="916">
        <f>VLOOKUP($A2515,'Tech Litons'!$A:$I,8,FALSE)</f>
        <v>8.5199999999999998E-3</v>
      </c>
      <c r="H2515" s="917">
        <f>VLOOKUP($A2515,'Tech Litons'!$A:$I,9,FALSE)</f>
        <v>176</v>
      </c>
      <c r="I2515" s="917" t="str">
        <f>VLOOKUP($A2515,'Tech Litons'!$A:$C,3,0)</f>
        <v>48oz</v>
      </c>
      <c r="J2515" s="918" t="str">
        <f t="shared" si="253"/>
        <v>290448oz</v>
      </c>
      <c r="K2515" s="919">
        <v>1</v>
      </c>
      <c r="L2515" s="920">
        <f t="shared" si="252"/>
        <v>9504</v>
      </c>
      <c r="M2515" s="920">
        <f t="shared" si="254"/>
        <v>80.974080000000001</v>
      </c>
      <c r="N2515" s="920">
        <f t="shared" si="255"/>
        <v>54</v>
      </c>
      <c r="O2515" s="918" t="str">
        <f t="shared" si="256"/>
        <v>Feb</v>
      </c>
      <c r="P2515" s="921">
        <f t="shared" si="257"/>
        <v>7</v>
      </c>
    </row>
    <row r="2516" spans="1:16" ht="15" hidden="1" customHeight="1">
      <c r="A2516" s="839">
        <v>68851107</v>
      </c>
      <c r="B2516" s="839">
        <v>2904</v>
      </c>
      <c r="C2516" s="906">
        <v>-528</v>
      </c>
      <c r="D2516" s="907">
        <v>46073</v>
      </c>
      <c r="E2516" s="839" t="s">
        <v>272</v>
      </c>
      <c r="F2516" s="839" t="s">
        <v>273</v>
      </c>
      <c r="G2516" s="916">
        <f>VLOOKUP($A2516,'Tech Litons'!$A:$I,8,FALSE)</f>
        <v>8.5199999999999998E-3</v>
      </c>
      <c r="H2516" s="917">
        <f>VLOOKUP($A2516,'Tech Litons'!$A:$I,9,FALSE)</f>
        <v>176</v>
      </c>
      <c r="I2516" s="917" t="str">
        <f>VLOOKUP($A2516,'Tech Litons'!$A:$C,3,0)</f>
        <v>48oz</v>
      </c>
      <c r="J2516" s="918" t="str">
        <f t="shared" si="253"/>
        <v>290448oz</v>
      </c>
      <c r="K2516" s="919">
        <v>1</v>
      </c>
      <c r="L2516" s="920">
        <f t="shared" si="252"/>
        <v>-528</v>
      </c>
      <c r="M2516" s="920">
        <f t="shared" si="254"/>
        <v>-4.4985599999999994</v>
      </c>
      <c r="N2516" s="920">
        <f t="shared" si="255"/>
        <v>-3</v>
      </c>
      <c r="O2516" s="918" t="str">
        <f t="shared" si="256"/>
        <v>Feb</v>
      </c>
      <c r="P2516" s="921">
        <f t="shared" si="257"/>
        <v>8</v>
      </c>
    </row>
    <row r="2517" spans="1:16" ht="15" hidden="1" customHeight="1">
      <c r="A2517" s="839">
        <v>68851107</v>
      </c>
      <c r="B2517" s="839">
        <v>2904</v>
      </c>
      <c r="C2517" s="906">
        <v>176</v>
      </c>
      <c r="D2517" s="907">
        <v>46069</v>
      </c>
      <c r="E2517" s="839" t="s">
        <v>272</v>
      </c>
      <c r="F2517" s="839" t="s">
        <v>269</v>
      </c>
      <c r="G2517" s="916">
        <f>VLOOKUP($A2517,'Tech Litons'!$A:$I,8,FALSE)</f>
        <v>8.5199999999999998E-3</v>
      </c>
      <c r="H2517" s="917">
        <f>VLOOKUP($A2517,'Tech Litons'!$A:$I,9,FALSE)</f>
        <v>176</v>
      </c>
      <c r="I2517" s="917" t="str">
        <f>VLOOKUP($A2517,'Tech Litons'!$A:$C,3,0)</f>
        <v>48oz</v>
      </c>
      <c r="J2517" s="918" t="str">
        <f t="shared" si="253"/>
        <v>290448oz</v>
      </c>
      <c r="K2517" s="919">
        <v>1</v>
      </c>
      <c r="L2517" s="920">
        <f t="shared" si="252"/>
        <v>176</v>
      </c>
      <c r="M2517" s="920">
        <f t="shared" si="254"/>
        <v>1.49952</v>
      </c>
      <c r="N2517" s="920">
        <f t="shared" si="255"/>
        <v>1</v>
      </c>
      <c r="O2517" s="918" t="str">
        <f t="shared" si="256"/>
        <v>Feb</v>
      </c>
      <c r="P2517" s="921">
        <f t="shared" si="257"/>
        <v>8</v>
      </c>
    </row>
    <row r="2518" spans="1:16" ht="15" hidden="1" customHeight="1">
      <c r="A2518" s="839">
        <v>68851107</v>
      </c>
      <c r="B2518" s="839">
        <v>2904</v>
      </c>
      <c r="C2518" s="906">
        <v>7568</v>
      </c>
      <c r="D2518" s="907">
        <v>46070</v>
      </c>
      <c r="E2518" s="839" t="s">
        <v>272</v>
      </c>
      <c r="F2518" s="839" t="s">
        <v>269</v>
      </c>
      <c r="G2518" s="916">
        <f>VLOOKUP($A2518,'Tech Litons'!$A:$I,8,FALSE)</f>
        <v>8.5199999999999998E-3</v>
      </c>
      <c r="H2518" s="917">
        <f>VLOOKUP($A2518,'Tech Litons'!$A:$I,9,FALSE)</f>
        <v>176</v>
      </c>
      <c r="I2518" s="917" t="str">
        <f>VLOOKUP($A2518,'Tech Litons'!$A:$C,3,0)</f>
        <v>48oz</v>
      </c>
      <c r="J2518" s="918" t="str">
        <f t="shared" si="253"/>
        <v>290448oz</v>
      </c>
      <c r="K2518" s="919">
        <v>1</v>
      </c>
      <c r="L2518" s="920">
        <f t="shared" si="252"/>
        <v>7568</v>
      </c>
      <c r="M2518" s="920">
        <f t="shared" si="254"/>
        <v>64.47936</v>
      </c>
      <c r="N2518" s="920">
        <f t="shared" si="255"/>
        <v>43</v>
      </c>
      <c r="O2518" s="918" t="str">
        <f t="shared" si="256"/>
        <v>Feb</v>
      </c>
      <c r="P2518" s="921">
        <f t="shared" si="257"/>
        <v>8</v>
      </c>
    </row>
    <row r="2519" spans="1:16" ht="15" hidden="1" customHeight="1">
      <c r="A2519" s="839">
        <v>68851107</v>
      </c>
      <c r="B2519" s="839">
        <v>2904</v>
      </c>
      <c r="C2519" s="906">
        <v>1770</v>
      </c>
      <c r="D2519" s="907">
        <v>46070</v>
      </c>
      <c r="E2519" s="839" t="s">
        <v>272</v>
      </c>
      <c r="F2519" s="839" t="s">
        <v>269</v>
      </c>
      <c r="G2519" s="916">
        <f>VLOOKUP($A2519,'Tech Litons'!$A:$I,8,FALSE)</f>
        <v>8.5199999999999998E-3</v>
      </c>
      <c r="H2519" s="917">
        <f>VLOOKUP($A2519,'Tech Litons'!$A:$I,9,FALSE)</f>
        <v>176</v>
      </c>
      <c r="I2519" s="917" t="str">
        <f>VLOOKUP($A2519,'Tech Litons'!$A:$C,3,0)</f>
        <v>48oz</v>
      </c>
      <c r="J2519" s="918" t="str">
        <f t="shared" si="253"/>
        <v>290448oz</v>
      </c>
      <c r="K2519" s="919">
        <v>1</v>
      </c>
      <c r="L2519" s="920">
        <f t="shared" si="252"/>
        <v>1770</v>
      </c>
      <c r="M2519" s="920">
        <f t="shared" si="254"/>
        <v>15.080399999999999</v>
      </c>
      <c r="N2519" s="920">
        <f t="shared" si="255"/>
        <v>10.056818181818182</v>
      </c>
      <c r="O2519" s="918" t="str">
        <f t="shared" si="256"/>
        <v>Feb</v>
      </c>
      <c r="P2519" s="921">
        <f t="shared" si="257"/>
        <v>8</v>
      </c>
    </row>
    <row r="2520" spans="1:16" ht="15" hidden="1" customHeight="1">
      <c r="A2520" s="839">
        <v>68851107</v>
      </c>
      <c r="B2520" s="839">
        <v>2904</v>
      </c>
      <c r="C2520" s="906">
        <v>4674</v>
      </c>
      <c r="D2520" s="907">
        <v>46074</v>
      </c>
      <c r="E2520" s="839" t="s">
        <v>272</v>
      </c>
      <c r="F2520" s="839" t="s">
        <v>273</v>
      </c>
      <c r="G2520" s="916">
        <f>VLOOKUP($A2520,'Tech Litons'!$A:$I,8,FALSE)</f>
        <v>8.5199999999999998E-3</v>
      </c>
      <c r="H2520" s="917">
        <f>VLOOKUP($A2520,'Tech Litons'!$A:$I,9,FALSE)</f>
        <v>176</v>
      </c>
      <c r="I2520" s="917" t="str">
        <f>VLOOKUP($A2520,'Tech Litons'!$A:$C,3,0)</f>
        <v>48oz</v>
      </c>
      <c r="J2520" s="918" t="str">
        <f t="shared" si="253"/>
        <v>290448oz</v>
      </c>
      <c r="K2520" s="919">
        <v>1</v>
      </c>
      <c r="L2520" s="920">
        <f t="shared" si="252"/>
        <v>4674</v>
      </c>
      <c r="M2520" s="920">
        <f t="shared" si="254"/>
        <v>39.822479999999999</v>
      </c>
      <c r="N2520" s="920">
        <f t="shared" si="255"/>
        <v>26.556818181818183</v>
      </c>
      <c r="O2520" s="918" t="str">
        <f t="shared" si="256"/>
        <v>Feb</v>
      </c>
      <c r="P2520" s="921">
        <f t="shared" si="257"/>
        <v>8</v>
      </c>
    </row>
    <row r="2521" spans="1:16" ht="15" hidden="1" customHeight="1">
      <c r="A2521" s="839">
        <v>68851108</v>
      </c>
      <c r="B2521" s="839">
        <v>2904</v>
      </c>
      <c r="C2521" s="906">
        <v>6248</v>
      </c>
      <c r="D2521" s="907">
        <v>46051</v>
      </c>
      <c r="E2521" s="839" t="s">
        <v>296</v>
      </c>
      <c r="F2521" s="839" t="s">
        <v>273</v>
      </c>
      <c r="G2521" s="916">
        <f>VLOOKUP($A2521,'Tech Litons'!$A:$I,8,FALSE)</f>
        <v>8.5199999999999998E-3</v>
      </c>
      <c r="H2521" s="917">
        <f>VLOOKUP($A2521,'Tech Litons'!$A:$I,9,FALSE)</f>
        <v>176</v>
      </c>
      <c r="I2521" s="917" t="str">
        <f>VLOOKUP($A2521,'Tech Litons'!$A:$C,3,0)</f>
        <v>48oz</v>
      </c>
      <c r="J2521" s="918" t="str">
        <f t="shared" si="253"/>
        <v>290448oz</v>
      </c>
      <c r="K2521" s="919">
        <v>1</v>
      </c>
      <c r="L2521" s="920">
        <f t="shared" si="252"/>
        <v>6248</v>
      </c>
      <c r="M2521" s="920">
        <f t="shared" si="254"/>
        <v>53.232959999999999</v>
      </c>
      <c r="N2521" s="920">
        <f t="shared" si="255"/>
        <v>35.5</v>
      </c>
      <c r="O2521" s="918" t="str">
        <f t="shared" si="256"/>
        <v>Jan</v>
      </c>
      <c r="P2521" s="921">
        <f t="shared" si="257"/>
        <v>5</v>
      </c>
    </row>
    <row r="2522" spans="1:16" ht="15" hidden="1" customHeight="1">
      <c r="A2522" s="839">
        <v>68851108</v>
      </c>
      <c r="B2522" s="839">
        <v>2904</v>
      </c>
      <c r="C2522" s="906">
        <v>11088</v>
      </c>
      <c r="D2522" s="907">
        <v>46052</v>
      </c>
      <c r="E2522" s="839" t="s">
        <v>296</v>
      </c>
      <c r="F2522" s="839" t="s">
        <v>273</v>
      </c>
      <c r="G2522" s="916">
        <f>VLOOKUP($A2522,'Tech Litons'!$A:$I,8,FALSE)</f>
        <v>8.5199999999999998E-3</v>
      </c>
      <c r="H2522" s="917">
        <f>VLOOKUP($A2522,'Tech Litons'!$A:$I,9,FALSE)</f>
        <v>176</v>
      </c>
      <c r="I2522" s="917" t="str">
        <f>VLOOKUP($A2522,'Tech Litons'!$A:$C,3,0)</f>
        <v>48oz</v>
      </c>
      <c r="J2522" s="918" t="str">
        <f t="shared" si="253"/>
        <v>290448oz</v>
      </c>
      <c r="K2522" s="919">
        <v>1</v>
      </c>
      <c r="L2522" s="920">
        <f t="shared" si="252"/>
        <v>11088</v>
      </c>
      <c r="M2522" s="920">
        <f t="shared" si="254"/>
        <v>94.469759999999994</v>
      </c>
      <c r="N2522" s="920">
        <f t="shared" si="255"/>
        <v>63</v>
      </c>
      <c r="O2522" s="918" t="str">
        <f t="shared" si="256"/>
        <v>Jan</v>
      </c>
      <c r="P2522" s="921">
        <f t="shared" si="257"/>
        <v>5</v>
      </c>
    </row>
    <row r="2523" spans="1:16" ht="15" hidden="1" customHeight="1">
      <c r="A2523" s="839">
        <v>68851108</v>
      </c>
      <c r="B2523" s="839">
        <v>2904</v>
      </c>
      <c r="C2523" s="906">
        <v>8712</v>
      </c>
      <c r="D2523" s="907">
        <v>46052</v>
      </c>
      <c r="E2523" s="839" t="s">
        <v>296</v>
      </c>
      <c r="F2523" s="839" t="s">
        <v>273</v>
      </c>
      <c r="G2523" s="916">
        <f>VLOOKUP($A2523,'Tech Litons'!$A:$I,8,FALSE)</f>
        <v>8.5199999999999998E-3</v>
      </c>
      <c r="H2523" s="917">
        <f>VLOOKUP($A2523,'Tech Litons'!$A:$I,9,FALSE)</f>
        <v>176</v>
      </c>
      <c r="I2523" s="917" t="str">
        <f>VLOOKUP($A2523,'Tech Litons'!$A:$C,3,0)</f>
        <v>48oz</v>
      </c>
      <c r="J2523" s="918" t="str">
        <f t="shared" si="253"/>
        <v>290448oz</v>
      </c>
      <c r="K2523" s="919">
        <v>1</v>
      </c>
      <c r="L2523" s="920">
        <f t="shared" si="252"/>
        <v>8712</v>
      </c>
      <c r="M2523" s="920">
        <f t="shared" si="254"/>
        <v>74.226240000000004</v>
      </c>
      <c r="N2523" s="920">
        <f t="shared" si="255"/>
        <v>49.5</v>
      </c>
      <c r="O2523" s="918" t="str">
        <f t="shared" si="256"/>
        <v>Jan</v>
      </c>
      <c r="P2523" s="921">
        <f t="shared" si="257"/>
        <v>5</v>
      </c>
    </row>
    <row r="2524" spans="1:16" ht="15" hidden="1" customHeight="1">
      <c r="A2524" s="839">
        <v>68851108</v>
      </c>
      <c r="B2524" s="839">
        <v>2904</v>
      </c>
      <c r="C2524" s="906">
        <v>10559</v>
      </c>
      <c r="D2524" s="907">
        <v>46053</v>
      </c>
      <c r="E2524" s="839" t="s">
        <v>296</v>
      </c>
      <c r="F2524" s="839" t="s">
        <v>273</v>
      </c>
      <c r="G2524" s="916">
        <f>VLOOKUP($A2524,'Tech Litons'!$A:$I,8,FALSE)</f>
        <v>8.5199999999999998E-3</v>
      </c>
      <c r="H2524" s="917">
        <f>VLOOKUP($A2524,'Tech Litons'!$A:$I,9,FALSE)</f>
        <v>176</v>
      </c>
      <c r="I2524" s="917" t="str">
        <f>VLOOKUP($A2524,'Tech Litons'!$A:$C,3,0)</f>
        <v>48oz</v>
      </c>
      <c r="J2524" s="918" t="str">
        <f t="shared" si="253"/>
        <v>290448oz</v>
      </c>
      <c r="K2524" s="919">
        <v>1</v>
      </c>
      <c r="L2524" s="920">
        <f t="shared" si="252"/>
        <v>10559</v>
      </c>
      <c r="M2524" s="920">
        <f t="shared" si="254"/>
        <v>89.962679999999992</v>
      </c>
      <c r="N2524" s="920">
        <f t="shared" si="255"/>
        <v>59.99431818181818</v>
      </c>
      <c r="O2524" s="918" t="str">
        <f t="shared" si="256"/>
        <v>Jan</v>
      </c>
      <c r="P2524" s="921">
        <f t="shared" si="257"/>
        <v>5</v>
      </c>
    </row>
    <row r="2525" spans="1:16" ht="15" hidden="1" customHeight="1">
      <c r="A2525" s="839">
        <v>68851108</v>
      </c>
      <c r="B2525" s="839">
        <v>2904</v>
      </c>
      <c r="C2525" s="906">
        <v>528</v>
      </c>
      <c r="D2525" s="907">
        <v>46055</v>
      </c>
      <c r="E2525" s="839" t="s">
        <v>296</v>
      </c>
      <c r="F2525" s="839" t="s">
        <v>273</v>
      </c>
      <c r="G2525" s="916">
        <f>VLOOKUP($A2525,'Tech Litons'!$A:$I,8,FALSE)</f>
        <v>8.5199999999999998E-3</v>
      </c>
      <c r="H2525" s="917">
        <f>VLOOKUP($A2525,'Tech Litons'!$A:$I,9,FALSE)</f>
        <v>176</v>
      </c>
      <c r="I2525" s="917" t="str">
        <f>VLOOKUP($A2525,'Tech Litons'!$A:$C,3,0)</f>
        <v>48oz</v>
      </c>
      <c r="J2525" s="918" t="str">
        <f t="shared" si="253"/>
        <v>290448oz</v>
      </c>
      <c r="K2525" s="919">
        <v>1</v>
      </c>
      <c r="L2525" s="920">
        <f t="shared" si="252"/>
        <v>528</v>
      </c>
      <c r="M2525" s="920">
        <f t="shared" si="254"/>
        <v>4.4985599999999994</v>
      </c>
      <c r="N2525" s="920">
        <f t="shared" si="255"/>
        <v>3</v>
      </c>
      <c r="O2525" s="918" t="str">
        <f t="shared" si="256"/>
        <v>Feb</v>
      </c>
      <c r="P2525" s="921">
        <f t="shared" si="257"/>
        <v>6</v>
      </c>
    </row>
    <row r="2526" spans="1:16" ht="15" hidden="1" customHeight="1">
      <c r="A2526" s="839">
        <v>68851108</v>
      </c>
      <c r="B2526" s="839">
        <v>2904</v>
      </c>
      <c r="C2526" s="906">
        <v>15664</v>
      </c>
      <c r="D2526" s="907">
        <v>46053</v>
      </c>
      <c r="E2526" s="839" t="s">
        <v>296</v>
      </c>
      <c r="F2526" s="839" t="s">
        <v>273</v>
      </c>
      <c r="G2526" s="916">
        <f>VLOOKUP($A2526,'Tech Litons'!$A:$I,8,FALSE)</f>
        <v>8.5199999999999998E-3</v>
      </c>
      <c r="H2526" s="917">
        <f>VLOOKUP($A2526,'Tech Litons'!$A:$I,9,FALSE)</f>
        <v>176</v>
      </c>
      <c r="I2526" s="917" t="str">
        <f>VLOOKUP($A2526,'Tech Litons'!$A:$C,3,0)</f>
        <v>48oz</v>
      </c>
      <c r="J2526" s="918" t="str">
        <f t="shared" si="253"/>
        <v>290448oz</v>
      </c>
      <c r="K2526" s="919">
        <v>1</v>
      </c>
      <c r="L2526" s="920">
        <f t="shared" si="252"/>
        <v>15664</v>
      </c>
      <c r="M2526" s="920">
        <f t="shared" si="254"/>
        <v>133.45728</v>
      </c>
      <c r="N2526" s="920">
        <f t="shared" si="255"/>
        <v>89</v>
      </c>
      <c r="O2526" s="918" t="str">
        <f t="shared" si="256"/>
        <v>Jan</v>
      </c>
      <c r="P2526" s="921">
        <f t="shared" si="257"/>
        <v>5</v>
      </c>
    </row>
    <row r="2527" spans="1:16" ht="15" hidden="1" customHeight="1">
      <c r="A2527" s="839">
        <v>68851108</v>
      </c>
      <c r="B2527" s="839">
        <v>2904</v>
      </c>
      <c r="C2527" s="906">
        <v>2238</v>
      </c>
      <c r="D2527" s="907">
        <v>46054</v>
      </c>
      <c r="E2527" s="839" t="s">
        <v>296</v>
      </c>
      <c r="F2527" s="839" t="s">
        <v>273</v>
      </c>
      <c r="G2527" s="916">
        <f>VLOOKUP($A2527,'Tech Litons'!$A:$I,8,FALSE)</f>
        <v>8.5199999999999998E-3</v>
      </c>
      <c r="H2527" s="917">
        <f>VLOOKUP($A2527,'Tech Litons'!$A:$I,9,FALSE)</f>
        <v>176</v>
      </c>
      <c r="I2527" s="917" t="str">
        <f>VLOOKUP($A2527,'Tech Litons'!$A:$C,3,0)</f>
        <v>48oz</v>
      </c>
      <c r="J2527" s="918" t="str">
        <f t="shared" si="253"/>
        <v>290448oz</v>
      </c>
      <c r="K2527" s="919">
        <v>1</v>
      </c>
      <c r="L2527" s="920">
        <f t="shared" si="252"/>
        <v>2238</v>
      </c>
      <c r="M2527" s="920">
        <f t="shared" si="254"/>
        <v>19.06776</v>
      </c>
      <c r="N2527" s="920">
        <f t="shared" si="255"/>
        <v>12.715909090909092</v>
      </c>
      <c r="O2527" s="918" t="str">
        <f t="shared" si="256"/>
        <v>Feb</v>
      </c>
      <c r="P2527" s="921">
        <f t="shared" si="257"/>
        <v>6</v>
      </c>
    </row>
    <row r="2528" spans="1:16" ht="15" hidden="1" customHeight="1">
      <c r="A2528" s="839">
        <v>68851108</v>
      </c>
      <c r="B2528" s="839">
        <v>2904</v>
      </c>
      <c r="C2528" s="906">
        <v>-11</v>
      </c>
      <c r="D2528" s="907">
        <v>46058</v>
      </c>
      <c r="E2528" s="839" t="s">
        <v>296</v>
      </c>
      <c r="F2528" s="839" t="s">
        <v>273</v>
      </c>
      <c r="G2528" s="916">
        <f>VLOOKUP($A2528,'Tech Litons'!$A:$I,8,FALSE)</f>
        <v>8.5199999999999998E-3</v>
      </c>
      <c r="H2528" s="917">
        <f>VLOOKUP($A2528,'Tech Litons'!$A:$I,9,FALSE)</f>
        <v>176</v>
      </c>
      <c r="I2528" s="917" t="str">
        <f>VLOOKUP($A2528,'Tech Litons'!$A:$C,3,0)</f>
        <v>48oz</v>
      </c>
      <c r="J2528" s="918" t="str">
        <f t="shared" si="253"/>
        <v>290448oz</v>
      </c>
      <c r="K2528" s="919">
        <v>1</v>
      </c>
      <c r="L2528" s="920">
        <f t="shared" si="252"/>
        <v>-11</v>
      </c>
      <c r="M2528" s="920">
        <f t="shared" si="254"/>
        <v>-9.3719999999999998E-2</v>
      </c>
      <c r="N2528" s="920">
        <f t="shared" si="255"/>
        <v>-6.25E-2</v>
      </c>
      <c r="O2528" s="918" t="str">
        <f t="shared" si="256"/>
        <v>Feb</v>
      </c>
      <c r="P2528" s="921">
        <f t="shared" si="257"/>
        <v>6</v>
      </c>
    </row>
    <row r="2529" spans="1:16" ht="15" hidden="1" customHeight="1">
      <c r="A2529" s="839">
        <v>68851108</v>
      </c>
      <c r="B2529" s="839">
        <v>2904</v>
      </c>
      <c r="C2529" s="906">
        <v>11440</v>
      </c>
      <c r="D2529" s="907">
        <v>46063</v>
      </c>
      <c r="E2529" s="839" t="s">
        <v>296</v>
      </c>
      <c r="F2529" s="839" t="s">
        <v>273</v>
      </c>
      <c r="G2529" s="916">
        <f>VLOOKUP($A2529,'Tech Litons'!$A:$I,8,FALSE)</f>
        <v>8.5199999999999998E-3</v>
      </c>
      <c r="H2529" s="917">
        <f>VLOOKUP($A2529,'Tech Litons'!$A:$I,9,FALSE)</f>
        <v>176</v>
      </c>
      <c r="I2529" s="917" t="str">
        <f>VLOOKUP($A2529,'Tech Litons'!$A:$C,3,0)</f>
        <v>48oz</v>
      </c>
      <c r="J2529" s="918" t="str">
        <f t="shared" si="253"/>
        <v>290448oz</v>
      </c>
      <c r="K2529" s="919">
        <v>1</v>
      </c>
      <c r="L2529" s="920">
        <f t="shared" si="252"/>
        <v>11440</v>
      </c>
      <c r="M2529" s="920">
        <f t="shared" si="254"/>
        <v>97.468800000000002</v>
      </c>
      <c r="N2529" s="920">
        <f t="shared" si="255"/>
        <v>65</v>
      </c>
      <c r="O2529" s="918" t="str">
        <f t="shared" si="256"/>
        <v>Feb</v>
      </c>
      <c r="P2529" s="921">
        <f t="shared" si="257"/>
        <v>7</v>
      </c>
    </row>
    <row r="2530" spans="1:16" ht="15" hidden="1" customHeight="1">
      <c r="A2530" s="839">
        <v>68851108</v>
      </c>
      <c r="B2530" s="839">
        <v>2904</v>
      </c>
      <c r="C2530" s="906">
        <v>10365</v>
      </c>
      <c r="D2530" s="907">
        <v>46064</v>
      </c>
      <c r="E2530" s="839" t="s">
        <v>296</v>
      </c>
      <c r="F2530" s="839" t="s">
        <v>273</v>
      </c>
      <c r="G2530" s="916">
        <f>VLOOKUP($A2530,'Tech Litons'!$A:$I,8,FALSE)</f>
        <v>8.5199999999999998E-3</v>
      </c>
      <c r="H2530" s="917">
        <f>VLOOKUP($A2530,'Tech Litons'!$A:$I,9,FALSE)</f>
        <v>176</v>
      </c>
      <c r="I2530" s="917" t="str">
        <f>VLOOKUP($A2530,'Tech Litons'!$A:$C,3,0)</f>
        <v>48oz</v>
      </c>
      <c r="J2530" s="918" t="str">
        <f t="shared" si="253"/>
        <v>290448oz</v>
      </c>
      <c r="K2530" s="919">
        <v>1</v>
      </c>
      <c r="L2530" s="920">
        <f t="shared" si="252"/>
        <v>10365</v>
      </c>
      <c r="M2530" s="920">
        <f t="shared" si="254"/>
        <v>88.309799999999996</v>
      </c>
      <c r="N2530" s="920">
        <f t="shared" si="255"/>
        <v>58.892045454545453</v>
      </c>
      <c r="O2530" s="918" t="str">
        <f t="shared" si="256"/>
        <v>Feb</v>
      </c>
      <c r="P2530" s="921">
        <f t="shared" si="257"/>
        <v>7</v>
      </c>
    </row>
    <row r="2531" spans="1:16" ht="15" hidden="1" customHeight="1">
      <c r="A2531" s="839">
        <v>68851108</v>
      </c>
      <c r="B2531" s="839">
        <v>2904</v>
      </c>
      <c r="C2531" s="906">
        <v>9911</v>
      </c>
      <c r="D2531" s="907">
        <v>46064</v>
      </c>
      <c r="E2531" s="839" t="s">
        <v>296</v>
      </c>
      <c r="F2531" s="839" t="s">
        <v>273</v>
      </c>
      <c r="G2531" s="916">
        <f>VLOOKUP($A2531,'Tech Litons'!$A:$I,8,FALSE)</f>
        <v>8.5199999999999998E-3</v>
      </c>
      <c r="H2531" s="917">
        <f>VLOOKUP($A2531,'Tech Litons'!$A:$I,9,FALSE)</f>
        <v>176</v>
      </c>
      <c r="I2531" s="917" t="str">
        <f>VLOOKUP($A2531,'Tech Litons'!$A:$C,3,0)</f>
        <v>48oz</v>
      </c>
      <c r="J2531" s="918" t="str">
        <f t="shared" si="253"/>
        <v>290448oz</v>
      </c>
      <c r="K2531" s="919">
        <v>1</v>
      </c>
      <c r="L2531" s="920">
        <f t="shared" si="252"/>
        <v>9911</v>
      </c>
      <c r="M2531" s="920">
        <f t="shared" si="254"/>
        <v>84.441720000000004</v>
      </c>
      <c r="N2531" s="920">
        <f t="shared" si="255"/>
        <v>56.3125</v>
      </c>
      <c r="O2531" s="918" t="str">
        <f t="shared" si="256"/>
        <v>Feb</v>
      </c>
      <c r="P2531" s="921">
        <f t="shared" si="257"/>
        <v>7</v>
      </c>
    </row>
    <row r="2532" spans="1:16" ht="15" hidden="1" customHeight="1">
      <c r="A2532" s="839">
        <v>68851108</v>
      </c>
      <c r="B2532" s="839">
        <v>2904</v>
      </c>
      <c r="C2532" s="906">
        <v>8968</v>
      </c>
      <c r="D2532" s="907">
        <v>46065</v>
      </c>
      <c r="E2532" s="839" t="s">
        <v>296</v>
      </c>
      <c r="F2532" s="839" t="s">
        <v>273</v>
      </c>
      <c r="G2532" s="916">
        <f>VLOOKUP($A2532,'Tech Litons'!$A:$I,8,FALSE)</f>
        <v>8.5199999999999998E-3</v>
      </c>
      <c r="H2532" s="917">
        <f>VLOOKUP($A2532,'Tech Litons'!$A:$I,9,FALSE)</f>
        <v>176</v>
      </c>
      <c r="I2532" s="917" t="str">
        <f>VLOOKUP($A2532,'Tech Litons'!$A:$C,3,0)</f>
        <v>48oz</v>
      </c>
      <c r="J2532" s="918" t="str">
        <f t="shared" si="253"/>
        <v>290448oz</v>
      </c>
      <c r="K2532" s="919">
        <v>1</v>
      </c>
      <c r="L2532" s="920">
        <f t="shared" si="252"/>
        <v>8968</v>
      </c>
      <c r="M2532" s="920">
        <f t="shared" si="254"/>
        <v>76.407359999999997</v>
      </c>
      <c r="N2532" s="920">
        <f t="shared" si="255"/>
        <v>50.954545454545453</v>
      </c>
      <c r="O2532" s="918" t="str">
        <f t="shared" si="256"/>
        <v>Feb</v>
      </c>
      <c r="P2532" s="921">
        <f t="shared" si="257"/>
        <v>7</v>
      </c>
    </row>
    <row r="2533" spans="1:16" ht="15" hidden="1" customHeight="1">
      <c r="A2533" s="839">
        <v>68851108</v>
      </c>
      <c r="B2533" s="839">
        <v>2904</v>
      </c>
      <c r="C2533" s="906">
        <v>8556</v>
      </c>
      <c r="D2533" s="907">
        <v>46065</v>
      </c>
      <c r="E2533" s="839" t="s">
        <v>296</v>
      </c>
      <c r="F2533" s="839" t="s">
        <v>273</v>
      </c>
      <c r="G2533" s="916">
        <f>VLOOKUP($A2533,'Tech Litons'!$A:$I,8,FALSE)</f>
        <v>8.5199999999999998E-3</v>
      </c>
      <c r="H2533" s="917">
        <f>VLOOKUP($A2533,'Tech Litons'!$A:$I,9,FALSE)</f>
        <v>176</v>
      </c>
      <c r="I2533" s="917" t="str">
        <f>VLOOKUP($A2533,'Tech Litons'!$A:$C,3,0)</f>
        <v>48oz</v>
      </c>
      <c r="J2533" s="918" t="str">
        <f t="shared" si="253"/>
        <v>290448oz</v>
      </c>
      <c r="K2533" s="919">
        <v>1</v>
      </c>
      <c r="L2533" s="920">
        <f t="shared" si="252"/>
        <v>8556</v>
      </c>
      <c r="M2533" s="920">
        <f t="shared" si="254"/>
        <v>72.897120000000001</v>
      </c>
      <c r="N2533" s="920">
        <f t="shared" si="255"/>
        <v>48.613636363636367</v>
      </c>
      <c r="O2533" s="918" t="str">
        <f t="shared" si="256"/>
        <v>Feb</v>
      </c>
      <c r="P2533" s="921">
        <f t="shared" si="257"/>
        <v>7</v>
      </c>
    </row>
    <row r="2534" spans="1:16" ht="15" hidden="1" customHeight="1">
      <c r="A2534" s="839">
        <v>68851108</v>
      </c>
      <c r="B2534" s="839">
        <v>2904</v>
      </c>
      <c r="C2534" s="906">
        <v>9466</v>
      </c>
      <c r="D2534" s="907">
        <v>46066</v>
      </c>
      <c r="E2534" s="839" t="s">
        <v>296</v>
      </c>
      <c r="F2534" s="839" t="s">
        <v>273</v>
      </c>
      <c r="G2534" s="916">
        <f>VLOOKUP($A2534,'Tech Litons'!$A:$I,8,FALSE)</f>
        <v>8.5199999999999998E-3</v>
      </c>
      <c r="H2534" s="917">
        <f>VLOOKUP($A2534,'Tech Litons'!$A:$I,9,FALSE)</f>
        <v>176</v>
      </c>
      <c r="I2534" s="917" t="str">
        <f>VLOOKUP($A2534,'Tech Litons'!$A:$C,3,0)</f>
        <v>48oz</v>
      </c>
      <c r="J2534" s="918" t="str">
        <f t="shared" si="253"/>
        <v>290448oz</v>
      </c>
      <c r="K2534" s="919">
        <v>1</v>
      </c>
      <c r="L2534" s="920">
        <f t="shared" si="252"/>
        <v>9466</v>
      </c>
      <c r="M2534" s="920">
        <f t="shared" si="254"/>
        <v>80.650319999999994</v>
      </c>
      <c r="N2534" s="920">
        <f t="shared" si="255"/>
        <v>53.784090909090907</v>
      </c>
      <c r="O2534" s="918" t="str">
        <f t="shared" si="256"/>
        <v>Feb</v>
      </c>
      <c r="P2534" s="921">
        <f t="shared" si="257"/>
        <v>7</v>
      </c>
    </row>
    <row r="2535" spans="1:16" ht="15" hidden="1" customHeight="1">
      <c r="A2535" s="839">
        <v>68851108</v>
      </c>
      <c r="B2535" s="839">
        <v>2904</v>
      </c>
      <c r="C2535" s="906">
        <v>10020</v>
      </c>
      <c r="D2535" s="907">
        <v>46071</v>
      </c>
      <c r="E2535" s="839" t="s">
        <v>296</v>
      </c>
      <c r="F2535" s="839" t="s">
        <v>273</v>
      </c>
      <c r="G2535" s="916">
        <f>VLOOKUP($A2535,'Tech Litons'!$A:$I,8,FALSE)</f>
        <v>8.5199999999999998E-3</v>
      </c>
      <c r="H2535" s="917">
        <f>VLOOKUP($A2535,'Tech Litons'!$A:$I,9,FALSE)</f>
        <v>176</v>
      </c>
      <c r="I2535" s="917" t="str">
        <f>VLOOKUP($A2535,'Tech Litons'!$A:$C,3,0)</f>
        <v>48oz</v>
      </c>
      <c r="J2535" s="918" t="str">
        <f t="shared" si="253"/>
        <v>290448oz</v>
      </c>
      <c r="K2535" s="919">
        <v>1</v>
      </c>
      <c r="L2535" s="920">
        <f t="shared" si="252"/>
        <v>10020</v>
      </c>
      <c r="M2535" s="920">
        <f t="shared" si="254"/>
        <v>85.370400000000004</v>
      </c>
      <c r="N2535" s="920">
        <f t="shared" si="255"/>
        <v>56.93181818181818</v>
      </c>
      <c r="O2535" s="918" t="str">
        <f t="shared" si="256"/>
        <v>Feb</v>
      </c>
      <c r="P2535" s="921">
        <f t="shared" si="257"/>
        <v>8</v>
      </c>
    </row>
    <row r="2536" spans="1:16" ht="15" hidden="1" customHeight="1">
      <c r="A2536" s="839">
        <v>68851108</v>
      </c>
      <c r="B2536" s="839">
        <v>2904</v>
      </c>
      <c r="C2536" s="906">
        <v>11440</v>
      </c>
      <c r="D2536" s="907">
        <v>46072</v>
      </c>
      <c r="E2536" s="839" t="s">
        <v>296</v>
      </c>
      <c r="F2536" s="839" t="s">
        <v>273</v>
      </c>
      <c r="G2536" s="916">
        <f>VLOOKUP($A2536,'Tech Litons'!$A:$I,8,FALSE)</f>
        <v>8.5199999999999998E-3</v>
      </c>
      <c r="H2536" s="917">
        <f>VLOOKUP($A2536,'Tech Litons'!$A:$I,9,FALSE)</f>
        <v>176</v>
      </c>
      <c r="I2536" s="917" t="str">
        <f>VLOOKUP($A2536,'Tech Litons'!$A:$C,3,0)</f>
        <v>48oz</v>
      </c>
      <c r="J2536" s="918" t="str">
        <f t="shared" si="253"/>
        <v>290448oz</v>
      </c>
      <c r="K2536" s="919">
        <v>1</v>
      </c>
      <c r="L2536" s="920">
        <f t="shared" si="252"/>
        <v>11440</v>
      </c>
      <c r="M2536" s="920">
        <f t="shared" si="254"/>
        <v>97.468800000000002</v>
      </c>
      <c r="N2536" s="920">
        <f t="shared" si="255"/>
        <v>65</v>
      </c>
      <c r="O2536" s="918" t="str">
        <f t="shared" si="256"/>
        <v>Feb</v>
      </c>
      <c r="P2536" s="921">
        <f t="shared" si="257"/>
        <v>8</v>
      </c>
    </row>
    <row r="2537" spans="1:16" ht="15" hidden="1" customHeight="1">
      <c r="A2537" s="839">
        <v>68851108</v>
      </c>
      <c r="B2537" s="839">
        <v>2904</v>
      </c>
      <c r="C2537" s="906">
        <v>12320</v>
      </c>
      <c r="D2537" s="907">
        <v>46072</v>
      </c>
      <c r="E2537" s="839" t="s">
        <v>296</v>
      </c>
      <c r="F2537" s="839" t="s">
        <v>273</v>
      </c>
      <c r="G2537" s="916">
        <f>VLOOKUP($A2537,'Tech Litons'!$A:$I,8,FALSE)</f>
        <v>8.5199999999999998E-3</v>
      </c>
      <c r="H2537" s="917">
        <f>VLOOKUP($A2537,'Tech Litons'!$A:$I,9,FALSE)</f>
        <v>176</v>
      </c>
      <c r="I2537" s="917" t="str">
        <f>VLOOKUP($A2537,'Tech Litons'!$A:$C,3,0)</f>
        <v>48oz</v>
      </c>
      <c r="J2537" s="918" t="str">
        <f t="shared" si="253"/>
        <v>290448oz</v>
      </c>
      <c r="K2537" s="919">
        <v>1</v>
      </c>
      <c r="L2537" s="920">
        <f t="shared" si="252"/>
        <v>12320</v>
      </c>
      <c r="M2537" s="920">
        <f t="shared" si="254"/>
        <v>104.96639999999999</v>
      </c>
      <c r="N2537" s="920">
        <f t="shared" si="255"/>
        <v>70</v>
      </c>
      <c r="O2537" s="918" t="str">
        <f t="shared" si="256"/>
        <v>Feb</v>
      </c>
      <c r="P2537" s="921">
        <f t="shared" si="257"/>
        <v>8</v>
      </c>
    </row>
    <row r="2538" spans="1:16" ht="15" hidden="1" customHeight="1">
      <c r="A2538" s="839">
        <v>68851108</v>
      </c>
      <c r="B2538" s="839">
        <v>2904</v>
      </c>
      <c r="C2538" s="906">
        <v>11791</v>
      </c>
      <c r="D2538" s="907">
        <v>46073</v>
      </c>
      <c r="E2538" s="839" t="s">
        <v>296</v>
      </c>
      <c r="F2538" s="839" t="s">
        <v>273</v>
      </c>
      <c r="G2538" s="916">
        <f>VLOOKUP($A2538,'Tech Litons'!$A:$I,8,FALSE)</f>
        <v>8.5199999999999998E-3</v>
      </c>
      <c r="H2538" s="917">
        <f>VLOOKUP($A2538,'Tech Litons'!$A:$I,9,FALSE)</f>
        <v>176</v>
      </c>
      <c r="I2538" s="917" t="str">
        <f>VLOOKUP($A2538,'Tech Litons'!$A:$C,3,0)</f>
        <v>48oz</v>
      </c>
      <c r="J2538" s="918" t="str">
        <f t="shared" si="253"/>
        <v>290448oz</v>
      </c>
      <c r="K2538" s="919">
        <v>1</v>
      </c>
      <c r="L2538" s="920">
        <f t="shared" si="252"/>
        <v>11791</v>
      </c>
      <c r="M2538" s="920">
        <f t="shared" si="254"/>
        <v>100.45931999999999</v>
      </c>
      <c r="N2538" s="920">
        <f t="shared" si="255"/>
        <v>66.994318181818187</v>
      </c>
      <c r="O2538" s="918" t="str">
        <f t="shared" si="256"/>
        <v>Feb</v>
      </c>
      <c r="P2538" s="921">
        <f t="shared" si="257"/>
        <v>8</v>
      </c>
    </row>
    <row r="2539" spans="1:16" ht="15" hidden="1" customHeight="1">
      <c r="A2539" s="839">
        <v>68851108</v>
      </c>
      <c r="B2539" s="839">
        <v>2904</v>
      </c>
      <c r="C2539" s="906">
        <v>6389</v>
      </c>
      <c r="D2539" s="907">
        <v>46073</v>
      </c>
      <c r="E2539" s="839" t="s">
        <v>296</v>
      </c>
      <c r="F2539" s="839" t="s">
        <v>273</v>
      </c>
      <c r="G2539" s="916">
        <f>VLOOKUP($A2539,'Tech Litons'!$A:$I,8,FALSE)</f>
        <v>8.5199999999999998E-3</v>
      </c>
      <c r="H2539" s="917">
        <f>VLOOKUP($A2539,'Tech Litons'!$A:$I,9,FALSE)</f>
        <v>176</v>
      </c>
      <c r="I2539" s="917" t="str">
        <f>VLOOKUP($A2539,'Tech Litons'!$A:$C,3,0)</f>
        <v>48oz</v>
      </c>
      <c r="J2539" s="918" t="str">
        <f t="shared" si="253"/>
        <v>290448oz</v>
      </c>
      <c r="K2539" s="919">
        <v>1</v>
      </c>
      <c r="L2539" s="920">
        <f t="shared" si="252"/>
        <v>6389</v>
      </c>
      <c r="M2539" s="920">
        <f t="shared" si="254"/>
        <v>54.434280000000001</v>
      </c>
      <c r="N2539" s="920">
        <f t="shared" si="255"/>
        <v>36.301136363636367</v>
      </c>
      <c r="O2539" s="918" t="str">
        <f t="shared" si="256"/>
        <v>Feb</v>
      </c>
      <c r="P2539" s="921">
        <f t="shared" si="257"/>
        <v>8</v>
      </c>
    </row>
    <row r="2540" spans="1:16" ht="15" hidden="1" customHeight="1">
      <c r="A2540" s="839">
        <v>68851108</v>
      </c>
      <c r="B2540" s="839">
        <v>2904</v>
      </c>
      <c r="C2540" s="906">
        <v>3696</v>
      </c>
      <c r="D2540" s="907">
        <v>46063</v>
      </c>
      <c r="E2540" s="839" t="s">
        <v>296</v>
      </c>
      <c r="F2540" s="839" t="s">
        <v>273</v>
      </c>
      <c r="G2540" s="916">
        <f>VLOOKUP($A2540,'Tech Litons'!$A:$I,8,FALSE)</f>
        <v>8.5199999999999998E-3</v>
      </c>
      <c r="H2540" s="917">
        <f>VLOOKUP($A2540,'Tech Litons'!$A:$I,9,FALSE)</f>
        <v>176</v>
      </c>
      <c r="I2540" s="917" t="str">
        <f>VLOOKUP($A2540,'Tech Litons'!$A:$C,3,0)</f>
        <v>48oz</v>
      </c>
      <c r="J2540" s="918" t="str">
        <f t="shared" si="253"/>
        <v>290448oz</v>
      </c>
      <c r="K2540" s="919">
        <v>1</v>
      </c>
      <c r="L2540" s="920">
        <f t="shared" si="252"/>
        <v>3696</v>
      </c>
      <c r="M2540" s="920">
        <f t="shared" si="254"/>
        <v>31.489919999999998</v>
      </c>
      <c r="N2540" s="920">
        <f t="shared" si="255"/>
        <v>21</v>
      </c>
      <c r="O2540" s="918" t="str">
        <f t="shared" si="256"/>
        <v>Feb</v>
      </c>
      <c r="P2540" s="921">
        <f t="shared" si="257"/>
        <v>7</v>
      </c>
    </row>
    <row r="2541" spans="1:16" ht="15" hidden="1" customHeight="1">
      <c r="A2541" s="839">
        <v>68851108</v>
      </c>
      <c r="B2541" s="839">
        <v>2904</v>
      </c>
      <c r="C2541" s="906">
        <v>1584</v>
      </c>
      <c r="D2541" s="907">
        <v>46071</v>
      </c>
      <c r="E2541" s="839" t="s">
        <v>296</v>
      </c>
      <c r="F2541" s="839" t="s">
        <v>273</v>
      </c>
      <c r="G2541" s="916">
        <f>VLOOKUP($A2541,'Tech Litons'!$A:$I,8,FALSE)</f>
        <v>8.5199999999999998E-3</v>
      </c>
      <c r="H2541" s="917">
        <f>VLOOKUP($A2541,'Tech Litons'!$A:$I,9,FALSE)</f>
        <v>176</v>
      </c>
      <c r="I2541" s="917" t="str">
        <f>VLOOKUP($A2541,'Tech Litons'!$A:$C,3,0)</f>
        <v>48oz</v>
      </c>
      <c r="J2541" s="918" t="str">
        <f t="shared" si="253"/>
        <v>290448oz</v>
      </c>
      <c r="K2541" s="919">
        <v>1</v>
      </c>
      <c r="L2541" s="920">
        <f t="shared" si="252"/>
        <v>1584</v>
      </c>
      <c r="M2541" s="920">
        <f t="shared" si="254"/>
        <v>13.49568</v>
      </c>
      <c r="N2541" s="920">
        <f t="shared" si="255"/>
        <v>9</v>
      </c>
      <c r="O2541" s="918" t="str">
        <f t="shared" si="256"/>
        <v>Feb</v>
      </c>
      <c r="P2541" s="921">
        <f t="shared" si="257"/>
        <v>8</v>
      </c>
    </row>
    <row r="2542" spans="1:16" ht="15" hidden="1" customHeight="1">
      <c r="A2542" s="839">
        <v>68851109</v>
      </c>
      <c r="B2542" s="839">
        <v>2904</v>
      </c>
      <c r="C2542" s="906">
        <v>4158</v>
      </c>
      <c r="D2542" s="907">
        <v>46059</v>
      </c>
      <c r="E2542" s="839" t="s">
        <v>297</v>
      </c>
      <c r="F2542" s="839" t="s">
        <v>271</v>
      </c>
      <c r="G2542" s="916">
        <f>VLOOKUP($A2542,'Tech Litons'!$A:$I,8,FALSE)</f>
        <v>8.5199999999999998E-3</v>
      </c>
      <c r="H2542" s="917">
        <f>VLOOKUP($A2542,'Tech Litons'!$A:$I,9,FALSE)</f>
        <v>154</v>
      </c>
      <c r="I2542" s="917" t="str">
        <f>VLOOKUP($A2542,'Tech Litons'!$A:$C,3,0)</f>
        <v>48oz</v>
      </c>
      <c r="J2542" s="918" t="str">
        <f t="shared" si="253"/>
        <v>290448oz</v>
      </c>
      <c r="K2542" s="919">
        <v>1</v>
      </c>
      <c r="L2542" s="920">
        <f t="shared" si="252"/>
        <v>4158</v>
      </c>
      <c r="M2542" s="920">
        <f t="shared" si="254"/>
        <v>35.426159999999996</v>
      </c>
      <c r="N2542" s="920">
        <f t="shared" si="255"/>
        <v>27</v>
      </c>
      <c r="O2542" s="918" t="str">
        <f t="shared" si="256"/>
        <v>Feb</v>
      </c>
      <c r="P2542" s="921">
        <f t="shared" si="257"/>
        <v>6</v>
      </c>
    </row>
    <row r="2543" spans="1:16" ht="15" hidden="1" customHeight="1">
      <c r="A2543" s="839">
        <v>68851109</v>
      </c>
      <c r="B2543" s="839">
        <v>2904</v>
      </c>
      <c r="C2543" s="906">
        <v>1848</v>
      </c>
      <c r="D2543" s="907">
        <v>46060</v>
      </c>
      <c r="E2543" s="839" t="s">
        <v>297</v>
      </c>
      <c r="F2543" s="839" t="s">
        <v>271</v>
      </c>
      <c r="G2543" s="916">
        <f>VLOOKUP($A2543,'Tech Litons'!$A:$I,8,FALSE)</f>
        <v>8.5199999999999998E-3</v>
      </c>
      <c r="H2543" s="917">
        <f>VLOOKUP($A2543,'Tech Litons'!$A:$I,9,FALSE)</f>
        <v>154</v>
      </c>
      <c r="I2543" s="917" t="str">
        <f>VLOOKUP($A2543,'Tech Litons'!$A:$C,3,0)</f>
        <v>48oz</v>
      </c>
      <c r="J2543" s="918" t="str">
        <f t="shared" si="253"/>
        <v>290448oz</v>
      </c>
      <c r="K2543" s="919">
        <v>1</v>
      </c>
      <c r="L2543" s="920">
        <f t="shared" si="252"/>
        <v>1848</v>
      </c>
      <c r="M2543" s="920">
        <f t="shared" si="254"/>
        <v>15.744959999999999</v>
      </c>
      <c r="N2543" s="920">
        <f t="shared" si="255"/>
        <v>12</v>
      </c>
      <c r="O2543" s="918" t="str">
        <f t="shared" si="256"/>
        <v>Feb</v>
      </c>
      <c r="P2543" s="921">
        <f t="shared" si="257"/>
        <v>6</v>
      </c>
    </row>
    <row r="2544" spans="1:16" ht="15" hidden="1" customHeight="1">
      <c r="A2544" s="839">
        <v>68851109</v>
      </c>
      <c r="B2544" s="839">
        <v>2904</v>
      </c>
      <c r="C2544" s="906">
        <v>462</v>
      </c>
      <c r="D2544" s="907">
        <v>46062</v>
      </c>
      <c r="E2544" s="839" t="s">
        <v>297</v>
      </c>
      <c r="F2544" s="839" t="s">
        <v>271</v>
      </c>
      <c r="G2544" s="916">
        <f>VLOOKUP($A2544,'Tech Litons'!$A:$I,8,FALSE)</f>
        <v>8.5199999999999998E-3</v>
      </c>
      <c r="H2544" s="917">
        <f>VLOOKUP($A2544,'Tech Litons'!$A:$I,9,FALSE)</f>
        <v>154</v>
      </c>
      <c r="I2544" s="917" t="str">
        <f>VLOOKUP($A2544,'Tech Litons'!$A:$C,3,0)</f>
        <v>48oz</v>
      </c>
      <c r="J2544" s="918" t="str">
        <f t="shared" si="253"/>
        <v>290448oz</v>
      </c>
      <c r="K2544" s="919">
        <v>1</v>
      </c>
      <c r="L2544" s="920">
        <f t="shared" si="252"/>
        <v>462</v>
      </c>
      <c r="M2544" s="920">
        <f t="shared" si="254"/>
        <v>3.9362399999999997</v>
      </c>
      <c r="N2544" s="920">
        <f t="shared" si="255"/>
        <v>3</v>
      </c>
      <c r="O2544" s="918" t="str">
        <f t="shared" si="256"/>
        <v>Feb</v>
      </c>
      <c r="P2544" s="921">
        <f t="shared" si="257"/>
        <v>7</v>
      </c>
    </row>
    <row r="2545" spans="1:16" ht="15" hidden="1" customHeight="1">
      <c r="A2545" s="839">
        <v>68852591</v>
      </c>
      <c r="B2545" s="839">
        <v>2904</v>
      </c>
      <c r="C2545" s="906">
        <v>245</v>
      </c>
      <c r="D2545" s="907">
        <v>46061</v>
      </c>
      <c r="E2545" s="839" t="s">
        <v>326</v>
      </c>
      <c r="F2545" s="839" t="s">
        <v>243</v>
      </c>
      <c r="G2545" s="916">
        <f>VLOOKUP($A2545,'Tech Litons'!$A:$I,8,FALSE)</f>
        <v>8.5199999999999998E-3</v>
      </c>
      <c r="H2545" s="917">
        <f>VLOOKUP($A2545,'Tech Litons'!$A:$I,9,FALSE)</f>
        <v>132</v>
      </c>
      <c r="I2545" s="917" t="str">
        <f>VLOOKUP($A2545,'Tech Litons'!$A:$C,3,0)</f>
        <v>EDF</v>
      </c>
      <c r="J2545" s="918" t="str">
        <f t="shared" si="253"/>
        <v>2904EDF</v>
      </c>
      <c r="K2545" s="919">
        <v>1</v>
      </c>
      <c r="L2545" s="920">
        <f t="shared" si="252"/>
        <v>245</v>
      </c>
      <c r="M2545" s="920">
        <f t="shared" si="254"/>
        <v>2.0874000000000001</v>
      </c>
      <c r="N2545" s="920">
        <f t="shared" si="255"/>
        <v>1.856060606060606</v>
      </c>
      <c r="O2545" s="918" t="str">
        <f t="shared" si="256"/>
        <v>Feb</v>
      </c>
      <c r="P2545" s="921">
        <f t="shared" si="257"/>
        <v>7</v>
      </c>
    </row>
    <row r="2546" spans="1:16" ht="15" hidden="1" customHeight="1">
      <c r="A2546" s="839">
        <v>68852591</v>
      </c>
      <c r="B2546" s="839">
        <v>2904</v>
      </c>
      <c r="C2546" s="906">
        <v>204</v>
      </c>
      <c r="D2546" s="907">
        <v>46062</v>
      </c>
      <c r="E2546" s="839" t="s">
        <v>326</v>
      </c>
      <c r="F2546" s="839" t="s">
        <v>243</v>
      </c>
      <c r="G2546" s="916">
        <f>VLOOKUP($A2546,'Tech Litons'!$A:$I,8,FALSE)</f>
        <v>8.5199999999999998E-3</v>
      </c>
      <c r="H2546" s="917">
        <f>VLOOKUP($A2546,'Tech Litons'!$A:$I,9,FALSE)</f>
        <v>132</v>
      </c>
      <c r="I2546" s="917" t="str">
        <f>VLOOKUP($A2546,'Tech Litons'!$A:$C,3,0)</f>
        <v>EDF</v>
      </c>
      <c r="J2546" s="918" t="str">
        <f t="shared" si="253"/>
        <v>2904EDF</v>
      </c>
      <c r="K2546" s="919">
        <v>1</v>
      </c>
      <c r="L2546" s="920">
        <f t="shared" si="252"/>
        <v>204</v>
      </c>
      <c r="M2546" s="920">
        <f t="shared" si="254"/>
        <v>1.7380800000000001</v>
      </c>
      <c r="N2546" s="920">
        <f t="shared" si="255"/>
        <v>1.5454545454545454</v>
      </c>
      <c r="O2546" s="918" t="str">
        <f t="shared" si="256"/>
        <v>Feb</v>
      </c>
      <c r="P2546" s="921">
        <f t="shared" si="257"/>
        <v>7</v>
      </c>
    </row>
    <row r="2547" spans="1:16" ht="15" hidden="1" customHeight="1">
      <c r="A2547" s="839">
        <v>68852591</v>
      </c>
      <c r="B2547" s="839">
        <v>2904</v>
      </c>
      <c r="C2547" s="906">
        <v>1288</v>
      </c>
      <c r="D2547" s="907">
        <v>46054</v>
      </c>
      <c r="E2547" s="839" t="s">
        <v>326</v>
      </c>
      <c r="F2547" s="839" t="s">
        <v>243</v>
      </c>
      <c r="G2547" s="916">
        <f>VLOOKUP($A2547,'Tech Litons'!$A:$I,8,FALSE)</f>
        <v>8.5199999999999998E-3</v>
      </c>
      <c r="H2547" s="917">
        <f>VLOOKUP($A2547,'Tech Litons'!$A:$I,9,FALSE)</f>
        <v>132</v>
      </c>
      <c r="I2547" s="917" t="str">
        <f>VLOOKUP($A2547,'Tech Litons'!$A:$C,3,0)</f>
        <v>EDF</v>
      </c>
      <c r="J2547" s="918" t="str">
        <f t="shared" si="253"/>
        <v>2904EDF</v>
      </c>
      <c r="K2547" s="919">
        <v>1</v>
      </c>
      <c r="L2547" s="920">
        <f t="shared" ref="L2547:L2606" si="258">C2547*$K2547</f>
        <v>1288</v>
      </c>
      <c r="M2547" s="920">
        <f t="shared" si="254"/>
        <v>10.97376</v>
      </c>
      <c r="N2547" s="920">
        <f t="shared" si="255"/>
        <v>9.7575757575757578</v>
      </c>
      <c r="O2547" s="918" t="str">
        <f t="shared" si="256"/>
        <v>Feb</v>
      </c>
      <c r="P2547" s="921">
        <f t="shared" si="257"/>
        <v>6</v>
      </c>
    </row>
    <row r="2548" spans="1:16" ht="15" hidden="1" customHeight="1">
      <c r="A2548" s="839">
        <v>68852591</v>
      </c>
      <c r="B2548" s="839">
        <v>2904</v>
      </c>
      <c r="C2548" s="906">
        <v>1920</v>
      </c>
      <c r="D2548" s="907">
        <v>46055</v>
      </c>
      <c r="E2548" s="839" t="s">
        <v>326</v>
      </c>
      <c r="F2548" s="839" t="s">
        <v>243</v>
      </c>
      <c r="G2548" s="916">
        <f>VLOOKUP($A2548,'Tech Litons'!$A:$I,8,FALSE)</f>
        <v>8.5199999999999998E-3</v>
      </c>
      <c r="H2548" s="917">
        <f>VLOOKUP($A2548,'Tech Litons'!$A:$I,9,FALSE)</f>
        <v>132</v>
      </c>
      <c r="I2548" s="917" t="str">
        <f>VLOOKUP($A2548,'Tech Litons'!$A:$C,3,0)</f>
        <v>EDF</v>
      </c>
      <c r="J2548" s="918" t="str">
        <f t="shared" ref="J2548:J2606" si="259">B2548&amp;I2548</f>
        <v>2904EDF</v>
      </c>
      <c r="K2548" s="919">
        <v>1</v>
      </c>
      <c r="L2548" s="920">
        <f t="shared" si="258"/>
        <v>1920</v>
      </c>
      <c r="M2548" s="920">
        <f t="shared" ref="M2548:M2606" si="260">L2548*G2548</f>
        <v>16.3584</v>
      </c>
      <c r="N2548" s="920">
        <f t="shared" ref="N2548:N2606" si="261">L2548/H2548</f>
        <v>14.545454545454545</v>
      </c>
      <c r="O2548" s="918" t="str">
        <f t="shared" ref="O2548:O2606" si="262">TEXT(D2548,"MMM")</f>
        <v>Feb</v>
      </c>
      <c r="P2548" s="921">
        <f t="shared" ref="P2548:P2606" si="263">WEEKNUM(D2548)</f>
        <v>6</v>
      </c>
    </row>
    <row r="2549" spans="1:16" ht="15" hidden="1" customHeight="1">
      <c r="A2549" s="839">
        <v>68852591</v>
      </c>
      <c r="B2549" s="839">
        <v>2904</v>
      </c>
      <c r="C2549" s="906">
        <v>1524</v>
      </c>
      <c r="D2549" s="907">
        <v>46055</v>
      </c>
      <c r="E2549" s="839" t="s">
        <v>326</v>
      </c>
      <c r="F2549" s="839" t="s">
        <v>243</v>
      </c>
      <c r="G2549" s="916">
        <f>VLOOKUP($A2549,'Tech Litons'!$A:$I,8,FALSE)</f>
        <v>8.5199999999999998E-3</v>
      </c>
      <c r="H2549" s="917">
        <f>VLOOKUP($A2549,'Tech Litons'!$A:$I,9,FALSE)</f>
        <v>132</v>
      </c>
      <c r="I2549" s="917" t="str">
        <f>VLOOKUP($A2549,'Tech Litons'!$A:$C,3,0)</f>
        <v>EDF</v>
      </c>
      <c r="J2549" s="918" t="str">
        <f t="shared" si="259"/>
        <v>2904EDF</v>
      </c>
      <c r="K2549" s="919">
        <v>1</v>
      </c>
      <c r="L2549" s="920">
        <f t="shared" si="258"/>
        <v>1524</v>
      </c>
      <c r="M2549" s="920">
        <f t="shared" si="260"/>
        <v>12.98448</v>
      </c>
      <c r="N2549" s="920">
        <f t="shared" si="261"/>
        <v>11.545454545454545</v>
      </c>
      <c r="O2549" s="918" t="str">
        <f t="shared" si="262"/>
        <v>Feb</v>
      </c>
      <c r="P2549" s="921">
        <f t="shared" si="263"/>
        <v>6</v>
      </c>
    </row>
    <row r="2550" spans="1:16" ht="15" hidden="1" customHeight="1">
      <c r="A2550" s="839">
        <v>68852591</v>
      </c>
      <c r="B2550" s="839">
        <v>2904</v>
      </c>
      <c r="C2550" s="906">
        <v>1260</v>
      </c>
      <c r="D2550" s="907">
        <v>46056</v>
      </c>
      <c r="E2550" s="839" t="s">
        <v>326</v>
      </c>
      <c r="F2550" s="839" t="s">
        <v>243</v>
      </c>
      <c r="G2550" s="916">
        <f>VLOOKUP($A2550,'Tech Litons'!$A:$I,8,FALSE)</f>
        <v>8.5199999999999998E-3</v>
      </c>
      <c r="H2550" s="917">
        <f>VLOOKUP($A2550,'Tech Litons'!$A:$I,9,FALSE)</f>
        <v>132</v>
      </c>
      <c r="I2550" s="917" t="str">
        <f>VLOOKUP($A2550,'Tech Litons'!$A:$C,3,0)</f>
        <v>EDF</v>
      </c>
      <c r="J2550" s="918" t="str">
        <f t="shared" si="259"/>
        <v>2904EDF</v>
      </c>
      <c r="K2550" s="919">
        <v>1</v>
      </c>
      <c r="L2550" s="920">
        <f t="shared" si="258"/>
        <v>1260</v>
      </c>
      <c r="M2550" s="920">
        <f t="shared" si="260"/>
        <v>10.735199999999999</v>
      </c>
      <c r="N2550" s="920">
        <f t="shared" si="261"/>
        <v>9.545454545454545</v>
      </c>
      <c r="O2550" s="918" t="str">
        <f t="shared" si="262"/>
        <v>Feb</v>
      </c>
      <c r="P2550" s="921">
        <f t="shared" si="263"/>
        <v>6</v>
      </c>
    </row>
    <row r="2551" spans="1:16" ht="15" hidden="1" customHeight="1">
      <c r="A2551" s="839">
        <v>68852591</v>
      </c>
      <c r="B2551" s="839">
        <v>2904</v>
      </c>
      <c r="C2551" s="906">
        <v>1763</v>
      </c>
      <c r="D2551" s="907">
        <v>46056</v>
      </c>
      <c r="E2551" s="839" t="s">
        <v>326</v>
      </c>
      <c r="F2551" s="839" t="s">
        <v>243</v>
      </c>
      <c r="G2551" s="916">
        <f>VLOOKUP($A2551,'Tech Litons'!$A:$I,8,FALSE)</f>
        <v>8.5199999999999998E-3</v>
      </c>
      <c r="H2551" s="917">
        <f>VLOOKUP($A2551,'Tech Litons'!$A:$I,9,FALSE)</f>
        <v>132</v>
      </c>
      <c r="I2551" s="917" t="str">
        <f>VLOOKUP($A2551,'Tech Litons'!$A:$C,3,0)</f>
        <v>EDF</v>
      </c>
      <c r="J2551" s="918" t="str">
        <f t="shared" si="259"/>
        <v>2904EDF</v>
      </c>
      <c r="K2551" s="919">
        <v>1</v>
      </c>
      <c r="L2551" s="920">
        <f t="shared" si="258"/>
        <v>1763</v>
      </c>
      <c r="M2551" s="920">
        <f t="shared" si="260"/>
        <v>15.020759999999999</v>
      </c>
      <c r="N2551" s="920">
        <f t="shared" si="261"/>
        <v>13.356060606060606</v>
      </c>
      <c r="O2551" s="918" t="str">
        <f t="shared" si="262"/>
        <v>Feb</v>
      </c>
      <c r="P2551" s="921">
        <f t="shared" si="263"/>
        <v>6</v>
      </c>
    </row>
    <row r="2552" spans="1:16" ht="15" hidden="1" customHeight="1">
      <c r="A2552" s="839">
        <v>68852591</v>
      </c>
      <c r="B2552" s="839">
        <v>2904</v>
      </c>
      <c r="C2552" s="906">
        <v>976</v>
      </c>
      <c r="D2552" s="907">
        <v>46057</v>
      </c>
      <c r="E2552" s="839" t="s">
        <v>326</v>
      </c>
      <c r="F2552" s="839" t="s">
        <v>243</v>
      </c>
      <c r="G2552" s="916">
        <f>VLOOKUP($A2552,'Tech Litons'!$A:$I,8,FALSE)</f>
        <v>8.5199999999999998E-3</v>
      </c>
      <c r="H2552" s="917">
        <f>VLOOKUP($A2552,'Tech Litons'!$A:$I,9,FALSE)</f>
        <v>132</v>
      </c>
      <c r="I2552" s="917" t="str">
        <f>VLOOKUP($A2552,'Tech Litons'!$A:$C,3,0)</f>
        <v>EDF</v>
      </c>
      <c r="J2552" s="918" t="str">
        <f t="shared" si="259"/>
        <v>2904EDF</v>
      </c>
      <c r="K2552" s="919">
        <v>1</v>
      </c>
      <c r="L2552" s="920">
        <f t="shared" si="258"/>
        <v>976</v>
      </c>
      <c r="M2552" s="920">
        <f t="shared" si="260"/>
        <v>8.3155199999999994</v>
      </c>
      <c r="N2552" s="920">
        <f t="shared" si="261"/>
        <v>7.3939393939393936</v>
      </c>
      <c r="O2552" s="918" t="str">
        <f t="shared" si="262"/>
        <v>Feb</v>
      </c>
      <c r="P2552" s="921">
        <f t="shared" si="263"/>
        <v>6</v>
      </c>
    </row>
    <row r="2553" spans="1:16" ht="15" hidden="1" customHeight="1">
      <c r="A2553" s="839">
        <v>68852591</v>
      </c>
      <c r="B2553" s="839">
        <v>2904</v>
      </c>
      <c r="C2553" s="906">
        <v>132</v>
      </c>
      <c r="D2553" s="907">
        <v>46057</v>
      </c>
      <c r="E2553" s="839" t="s">
        <v>326</v>
      </c>
      <c r="F2553" s="839" t="s">
        <v>243</v>
      </c>
      <c r="G2553" s="916">
        <f>VLOOKUP($A2553,'Tech Litons'!$A:$I,8,FALSE)</f>
        <v>8.5199999999999998E-3</v>
      </c>
      <c r="H2553" s="917">
        <f>VLOOKUP($A2553,'Tech Litons'!$A:$I,9,FALSE)</f>
        <v>132</v>
      </c>
      <c r="I2553" s="917" t="str">
        <f>VLOOKUP($A2553,'Tech Litons'!$A:$C,3,0)</f>
        <v>EDF</v>
      </c>
      <c r="J2553" s="918" t="str">
        <f t="shared" si="259"/>
        <v>2904EDF</v>
      </c>
      <c r="K2553" s="919">
        <v>1</v>
      </c>
      <c r="L2553" s="920">
        <f t="shared" si="258"/>
        <v>132</v>
      </c>
      <c r="M2553" s="920">
        <f t="shared" si="260"/>
        <v>1.1246399999999999</v>
      </c>
      <c r="N2553" s="920">
        <f t="shared" si="261"/>
        <v>1</v>
      </c>
      <c r="O2553" s="918" t="str">
        <f t="shared" si="262"/>
        <v>Feb</v>
      </c>
      <c r="P2553" s="921">
        <f t="shared" si="263"/>
        <v>6</v>
      </c>
    </row>
    <row r="2554" spans="1:16" ht="15" hidden="1" customHeight="1">
      <c r="A2554" s="839">
        <v>68852591</v>
      </c>
      <c r="B2554" s="839">
        <v>2904</v>
      </c>
      <c r="C2554" s="906">
        <v>1463</v>
      </c>
      <c r="D2554" s="907">
        <v>46058</v>
      </c>
      <c r="E2554" s="839" t="s">
        <v>326</v>
      </c>
      <c r="F2554" s="839" t="s">
        <v>243</v>
      </c>
      <c r="G2554" s="916">
        <f>VLOOKUP($A2554,'Tech Litons'!$A:$I,8,FALSE)</f>
        <v>8.5199999999999998E-3</v>
      </c>
      <c r="H2554" s="917">
        <f>VLOOKUP($A2554,'Tech Litons'!$A:$I,9,FALSE)</f>
        <v>132</v>
      </c>
      <c r="I2554" s="917" t="str">
        <f>VLOOKUP($A2554,'Tech Litons'!$A:$C,3,0)</f>
        <v>EDF</v>
      </c>
      <c r="J2554" s="918" t="str">
        <f t="shared" si="259"/>
        <v>2904EDF</v>
      </c>
      <c r="K2554" s="919">
        <v>1</v>
      </c>
      <c r="L2554" s="920">
        <f t="shared" si="258"/>
        <v>1463</v>
      </c>
      <c r="M2554" s="920">
        <f t="shared" si="260"/>
        <v>12.46476</v>
      </c>
      <c r="N2554" s="920">
        <f t="shared" si="261"/>
        <v>11.083333333333334</v>
      </c>
      <c r="O2554" s="918" t="str">
        <f t="shared" si="262"/>
        <v>Feb</v>
      </c>
      <c r="P2554" s="921">
        <f t="shared" si="263"/>
        <v>6</v>
      </c>
    </row>
    <row r="2555" spans="1:16" ht="15" hidden="1" customHeight="1">
      <c r="A2555" s="839">
        <v>68852591</v>
      </c>
      <c r="B2555" s="839">
        <v>2904</v>
      </c>
      <c r="C2555" s="906">
        <v>660</v>
      </c>
      <c r="D2555" s="907">
        <v>46058</v>
      </c>
      <c r="E2555" s="839" t="s">
        <v>326</v>
      </c>
      <c r="F2555" s="839" t="s">
        <v>243</v>
      </c>
      <c r="G2555" s="916">
        <f>VLOOKUP($A2555,'Tech Litons'!$A:$I,8,FALSE)</f>
        <v>8.5199999999999998E-3</v>
      </c>
      <c r="H2555" s="917">
        <f>VLOOKUP($A2555,'Tech Litons'!$A:$I,9,FALSE)</f>
        <v>132</v>
      </c>
      <c r="I2555" s="917" t="str">
        <f>VLOOKUP($A2555,'Tech Litons'!$A:$C,3,0)</f>
        <v>EDF</v>
      </c>
      <c r="J2555" s="918" t="str">
        <f t="shared" si="259"/>
        <v>2904EDF</v>
      </c>
      <c r="K2555" s="919">
        <v>1</v>
      </c>
      <c r="L2555" s="920">
        <f t="shared" si="258"/>
        <v>660</v>
      </c>
      <c r="M2555" s="920">
        <f t="shared" si="260"/>
        <v>5.6231999999999998</v>
      </c>
      <c r="N2555" s="920">
        <f t="shared" si="261"/>
        <v>5</v>
      </c>
      <c r="O2555" s="918" t="str">
        <f t="shared" si="262"/>
        <v>Feb</v>
      </c>
      <c r="P2555" s="921">
        <f t="shared" si="263"/>
        <v>6</v>
      </c>
    </row>
    <row r="2556" spans="1:16" ht="15" hidden="1" customHeight="1">
      <c r="A2556" s="839">
        <v>68852591</v>
      </c>
      <c r="B2556" s="839">
        <v>2904</v>
      </c>
      <c r="C2556" s="906">
        <v>1572</v>
      </c>
      <c r="D2556" s="907">
        <v>46059</v>
      </c>
      <c r="E2556" s="839" t="s">
        <v>326</v>
      </c>
      <c r="F2556" s="839" t="s">
        <v>243</v>
      </c>
      <c r="G2556" s="916">
        <f>VLOOKUP($A2556,'Tech Litons'!$A:$I,8,FALSE)</f>
        <v>8.5199999999999998E-3</v>
      </c>
      <c r="H2556" s="917">
        <f>VLOOKUP($A2556,'Tech Litons'!$A:$I,9,FALSE)</f>
        <v>132</v>
      </c>
      <c r="I2556" s="917" t="str">
        <f>VLOOKUP($A2556,'Tech Litons'!$A:$C,3,0)</f>
        <v>EDF</v>
      </c>
      <c r="J2556" s="918" t="str">
        <f t="shared" si="259"/>
        <v>2904EDF</v>
      </c>
      <c r="K2556" s="919">
        <v>1</v>
      </c>
      <c r="L2556" s="920">
        <f t="shared" si="258"/>
        <v>1572</v>
      </c>
      <c r="M2556" s="920">
        <f t="shared" si="260"/>
        <v>13.39344</v>
      </c>
      <c r="N2556" s="920">
        <f t="shared" si="261"/>
        <v>11.909090909090908</v>
      </c>
      <c r="O2556" s="918" t="str">
        <f t="shared" si="262"/>
        <v>Feb</v>
      </c>
      <c r="P2556" s="921">
        <f t="shared" si="263"/>
        <v>6</v>
      </c>
    </row>
    <row r="2557" spans="1:16" ht="15" hidden="1" customHeight="1">
      <c r="A2557" s="839">
        <v>68852591</v>
      </c>
      <c r="B2557" s="839">
        <v>2904</v>
      </c>
      <c r="C2557" s="906">
        <v>1975</v>
      </c>
      <c r="D2557" s="907">
        <v>46059</v>
      </c>
      <c r="E2557" s="839" t="s">
        <v>326</v>
      </c>
      <c r="F2557" s="839" t="s">
        <v>243</v>
      </c>
      <c r="G2557" s="916">
        <f>VLOOKUP($A2557,'Tech Litons'!$A:$I,8,FALSE)</f>
        <v>8.5199999999999998E-3</v>
      </c>
      <c r="H2557" s="917">
        <f>VLOOKUP($A2557,'Tech Litons'!$A:$I,9,FALSE)</f>
        <v>132</v>
      </c>
      <c r="I2557" s="917" t="str">
        <f>VLOOKUP($A2557,'Tech Litons'!$A:$C,3,0)</f>
        <v>EDF</v>
      </c>
      <c r="J2557" s="918" t="str">
        <f t="shared" si="259"/>
        <v>2904EDF</v>
      </c>
      <c r="K2557" s="919">
        <v>1</v>
      </c>
      <c r="L2557" s="920">
        <f t="shared" si="258"/>
        <v>1975</v>
      </c>
      <c r="M2557" s="920">
        <f t="shared" si="260"/>
        <v>16.826999999999998</v>
      </c>
      <c r="N2557" s="920">
        <f t="shared" si="261"/>
        <v>14.962121212121213</v>
      </c>
      <c r="O2557" s="918" t="str">
        <f t="shared" si="262"/>
        <v>Feb</v>
      </c>
      <c r="P2557" s="921">
        <f t="shared" si="263"/>
        <v>6</v>
      </c>
    </row>
    <row r="2558" spans="1:16" ht="15" hidden="1" customHeight="1">
      <c r="A2558" s="839">
        <v>68852591</v>
      </c>
      <c r="B2558" s="839">
        <v>2904</v>
      </c>
      <c r="C2558" s="906">
        <v>1188</v>
      </c>
      <c r="D2558" s="907">
        <v>46060</v>
      </c>
      <c r="E2558" s="839" t="s">
        <v>326</v>
      </c>
      <c r="F2558" s="839" t="s">
        <v>243</v>
      </c>
      <c r="G2558" s="916">
        <f>VLOOKUP($A2558,'Tech Litons'!$A:$I,8,FALSE)</f>
        <v>8.5199999999999998E-3</v>
      </c>
      <c r="H2558" s="917">
        <f>VLOOKUP($A2558,'Tech Litons'!$A:$I,9,FALSE)</f>
        <v>132</v>
      </c>
      <c r="I2558" s="917" t="str">
        <f>VLOOKUP($A2558,'Tech Litons'!$A:$C,3,0)</f>
        <v>EDF</v>
      </c>
      <c r="J2558" s="918" t="str">
        <f t="shared" si="259"/>
        <v>2904EDF</v>
      </c>
      <c r="K2558" s="919">
        <v>1</v>
      </c>
      <c r="L2558" s="920">
        <f t="shared" si="258"/>
        <v>1188</v>
      </c>
      <c r="M2558" s="920">
        <f t="shared" si="260"/>
        <v>10.12176</v>
      </c>
      <c r="N2558" s="920">
        <f t="shared" si="261"/>
        <v>9</v>
      </c>
      <c r="O2558" s="918" t="str">
        <f t="shared" si="262"/>
        <v>Feb</v>
      </c>
      <c r="P2558" s="921">
        <f t="shared" si="263"/>
        <v>6</v>
      </c>
    </row>
    <row r="2559" spans="1:16" ht="15" hidden="1" customHeight="1">
      <c r="A2559" s="839">
        <v>68852591</v>
      </c>
      <c r="B2559" s="839">
        <v>2904</v>
      </c>
      <c r="C2559" s="906">
        <v>132</v>
      </c>
      <c r="D2559" s="907">
        <v>46062</v>
      </c>
      <c r="E2559" s="839" t="s">
        <v>326</v>
      </c>
      <c r="F2559" s="839" t="s">
        <v>243</v>
      </c>
      <c r="G2559" s="916">
        <f>VLOOKUP($A2559,'Tech Litons'!$A:$I,8,FALSE)</f>
        <v>8.5199999999999998E-3</v>
      </c>
      <c r="H2559" s="917">
        <f>VLOOKUP($A2559,'Tech Litons'!$A:$I,9,FALSE)</f>
        <v>132</v>
      </c>
      <c r="I2559" s="917" t="str">
        <f>VLOOKUP($A2559,'Tech Litons'!$A:$C,3,0)</f>
        <v>EDF</v>
      </c>
      <c r="J2559" s="918" t="str">
        <f t="shared" si="259"/>
        <v>2904EDF</v>
      </c>
      <c r="K2559" s="919">
        <v>1</v>
      </c>
      <c r="L2559" s="920">
        <f t="shared" si="258"/>
        <v>132</v>
      </c>
      <c r="M2559" s="920">
        <f t="shared" si="260"/>
        <v>1.1246399999999999</v>
      </c>
      <c r="N2559" s="920">
        <f t="shared" si="261"/>
        <v>1</v>
      </c>
      <c r="O2559" s="918" t="str">
        <f t="shared" si="262"/>
        <v>Feb</v>
      </c>
      <c r="P2559" s="921">
        <f t="shared" si="263"/>
        <v>7</v>
      </c>
    </row>
    <row r="2560" spans="1:16" ht="15" hidden="1" customHeight="1">
      <c r="A2560" s="839">
        <v>68852591</v>
      </c>
      <c r="B2560" s="839">
        <v>2904</v>
      </c>
      <c r="C2560" s="906">
        <v>1280</v>
      </c>
      <c r="D2560" s="907">
        <v>46060</v>
      </c>
      <c r="E2560" s="839" t="s">
        <v>326</v>
      </c>
      <c r="F2560" s="839" t="s">
        <v>243</v>
      </c>
      <c r="G2560" s="916">
        <f>VLOOKUP($A2560,'Tech Litons'!$A:$I,8,FALSE)</f>
        <v>8.5199999999999998E-3</v>
      </c>
      <c r="H2560" s="917">
        <f>VLOOKUP($A2560,'Tech Litons'!$A:$I,9,FALSE)</f>
        <v>132</v>
      </c>
      <c r="I2560" s="917" t="str">
        <f>VLOOKUP($A2560,'Tech Litons'!$A:$C,3,0)</f>
        <v>EDF</v>
      </c>
      <c r="J2560" s="918" t="str">
        <f t="shared" si="259"/>
        <v>2904EDF</v>
      </c>
      <c r="K2560" s="919">
        <v>1</v>
      </c>
      <c r="L2560" s="920">
        <f t="shared" si="258"/>
        <v>1280</v>
      </c>
      <c r="M2560" s="920">
        <f t="shared" si="260"/>
        <v>10.9056</v>
      </c>
      <c r="N2560" s="920">
        <f t="shared" si="261"/>
        <v>9.6969696969696972</v>
      </c>
      <c r="O2560" s="918" t="str">
        <f t="shared" si="262"/>
        <v>Feb</v>
      </c>
      <c r="P2560" s="921">
        <f t="shared" si="263"/>
        <v>6</v>
      </c>
    </row>
    <row r="2561" spans="1:16" ht="15" hidden="1" customHeight="1">
      <c r="A2561" s="839">
        <v>68852591</v>
      </c>
      <c r="B2561" s="839">
        <v>2904</v>
      </c>
      <c r="C2561" s="906">
        <v>1016</v>
      </c>
      <c r="D2561" s="907">
        <v>46061</v>
      </c>
      <c r="E2561" s="839" t="s">
        <v>326</v>
      </c>
      <c r="F2561" s="839" t="s">
        <v>243</v>
      </c>
      <c r="G2561" s="916">
        <f>VLOOKUP($A2561,'Tech Litons'!$A:$I,8,FALSE)</f>
        <v>8.5199999999999998E-3</v>
      </c>
      <c r="H2561" s="917">
        <f>VLOOKUP($A2561,'Tech Litons'!$A:$I,9,FALSE)</f>
        <v>132</v>
      </c>
      <c r="I2561" s="917" t="str">
        <f>VLOOKUP($A2561,'Tech Litons'!$A:$C,3,0)</f>
        <v>EDF</v>
      </c>
      <c r="J2561" s="918" t="str">
        <f t="shared" si="259"/>
        <v>2904EDF</v>
      </c>
      <c r="K2561" s="919">
        <v>1</v>
      </c>
      <c r="L2561" s="920">
        <f t="shared" si="258"/>
        <v>1016</v>
      </c>
      <c r="M2561" s="920">
        <f t="shared" si="260"/>
        <v>8.6563199999999991</v>
      </c>
      <c r="N2561" s="920">
        <f t="shared" si="261"/>
        <v>7.6969696969696972</v>
      </c>
      <c r="O2561" s="918" t="str">
        <f t="shared" si="262"/>
        <v>Feb</v>
      </c>
      <c r="P2561" s="921">
        <f t="shared" si="263"/>
        <v>7</v>
      </c>
    </row>
    <row r="2562" spans="1:16" ht="15" hidden="1" customHeight="1">
      <c r="A2562" s="839">
        <v>68852591</v>
      </c>
      <c r="B2562" s="839">
        <v>2904</v>
      </c>
      <c r="C2562" s="906">
        <v>396</v>
      </c>
      <c r="D2562" s="907">
        <v>46062</v>
      </c>
      <c r="E2562" s="839" t="s">
        <v>326</v>
      </c>
      <c r="F2562" s="839" t="s">
        <v>243</v>
      </c>
      <c r="G2562" s="916">
        <f>VLOOKUP($A2562,'Tech Litons'!$A:$I,8,FALSE)</f>
        <v>8.5199999999999998E-3</v>
      </c>
      <c r="H2562" s="917">
        <f>VLOOKUP($A2562,'Tech Litons'!$A:$I,9,FALSE)</f>
        <v>132</v>
      </c>
      <c r="I2562" s="917" t="str">
        <f>VLOOKUP($A2562,'Tech Litons'!$A:$C,3,0)</f>
        <v>EDF</v>
      </c>
      <c r="J2562" s="918" t="str">
        <f t="shared" si="259"/>
        <v>2904EDF</v>
      </c>
      <c r="K2562" s="919">
        <v>1</v>
      </c>
      <c r="L2562" s="920">
        <f t="shared" si="258"/>
        <v>396</v>
      </c>
      <c r="M2562" s="920">
        <f t="shared" si="260"/>
        <v>3.37392</v>
      </c>
      <c r="N2562" s="920">
        <f t="shared" si="261"/>
        <v>3</v>
      </c>
      <c r="O2562" s="918" t="str">
        <f t="shared" si="262"/>
        <v>Feb</v>
      </c>
      <c r="P2562" s="921">
        <f t="shared" si="263"/>
        <v>7</v>
      </c>
    </row>
    <row r="2563" spans="1:16" ht="15" hidden="1" customHeight="1">
      <c r="A2563" s="839">
        <v>68852591</v>
      </c>
      <c r="B2563" s="839">
        <v>2904</v>
      </c>
      <c r="C2563" s="906">
        <v>1949</v>
      </c>
      <c r="D2563" s="907">
        <v>46051</v>
      </c>
      <c r="E2563" s="839" t="s">
        <v>326</v>
      </c>
      <c r="F2563" s="839" t="s">
        <v>243</v>
      </c>
      <c r="G2563" s="916">
        <f>VLOOKUP($A2563,'Tech Litons'!$A:$I,8,FALSE)</f>
        <v>8.5199999999999998E-3</v>
      </c>
      <c r="H2563" s="917">
        <f>VLOOKUP($A2563,'Tech Litons'!$A:$I,9,FALSE)</f>
        <v>132</v>
      </c>
      <c r="I2563" s="917" t="str">
        <f>VLOOKUP($A2563,'Tech Litons'!$A:$C,3,0)</f>
        <v>EDF</v>
      </c>
      <c r="J2563" s="918" t="str">
        <f t="shared" si="259"/>
        <v>2904EDF</v>
      </c>
      <c r="K2563" s="919">
        <v>1</v>
      </c>
      <c r="L2563" s="920">
        <f t="shared" si="258"/>
        <v>1949</v>
      </c>
      <c r="M2563" s="920">
        <f t="shared" si="260"/>
        <v>16.60548</v>
      </c>
      <c r="N2563" s="920">
        <f t="shared" si="261"/>
        <v>14.765151515151516</v>
      </c>
      <c r="O2563" s="918" t="str">
        <f t="shared" si="262"/>
        <v>Jan</v>
      </c>
      <c r="P2563" s="921">
        <f t="shared" si="263"/>
        <v>5</v>
      </c>
    </row>
    <row r="2564" spans="1:16" ht="15" hidden="1" customHeight="1">
      <c r="A2564" s="839">
        <v>68852591</v>
      </c>
      <c r="B2564" s="839">
        <v>2904</v>
      </c>
      <c r="C2564" s="906">
        <v>1260</v>
      </c>
      <c r="D2564" s="907">
        <v>46052</v>
      </c>
      <c r="E2564" s="839" t="s">
        <v>326</v>
      </c>
      <c r="F2564" s="839" t="s">
        <v>243</v>
      </c>
      <c r="G2564" s="916">
        <f>VLOOKUP($A2564,'Tech Litons'!$A:$I,8,FALSE)</f>
        <v>8.5199999999999998E-3</v>
      </c>
      <c r="H2564" s="917">
        <f>VLOOKUP($A2564,'Tech Litons'!$A:$I,9,FALSE)</f>
        <v>132</v>
      </c>
      <c r="I2564" s="917" t="str">
        <f>VLOOKUP($A2564,'Tech Litons'!$A:$C,3,0)</f>
        <v>EDF</v>
      </c>
      <c r="J2564" s="918" t="str">
        <f t="shared" si="259"/>
        <v>2904EDF</v>
      </c>
      <c r="K2564" s="919">
        <v>1</v>
      </c>
      <c r="L2564" s="920">
        <f t="shared" si="258"/>
        <v>1260</v>
      </c>
      <c r="M2564" s="920">
        <f t="shared" si="260"/>
        <v>10.735199999999999</v>
      </c>
      <c r="N2564" s="920">
        <f t="shared" si="261"/>
        <v>9.545454545454545</v>
      </c>
      <c r="O2564" s="918" t="str">
        <f t="shared" si="262"/>
        <v>Jan</v>
      </c>
      <c r="P2564" s="921">
        <f t="shared" si="263"/>
        <v>5</v>
      </c>
    </row>
    <row r="2565" spans="1:16" ht="15" hidden="1" customHeight="1">
      <c r="A2565" s="839">
        <v>68852591</v>
      </c>
      <c r="B2565" s="839">
        <v>2904</v>
      </c>
      <c r="C2565" s="906">
        <v>528</v>
      </c>
      <c r="D2565" s="907">
        <v>46050</v>
      </c>
      <c r="E2565" s="839" t="s">
        <v>326</v>
      </c>
      <c r="F2565" s="839" t="s">
        <v>243</v>
      </c>
      <c r="G2565" s="916">
        <f>VLOOKUP($A2565,'Tech Litons'!$A:$I,8,FALSE)</f>
        <v>8.5199999999999998E-3</v>
      </c>
      <c r="H2565" s="917">
        <f>VLOOKUP($A2565,'Tech Litons'!$A:$I,9,FALSE)</f>
        <v>132</v>
      </c>
      <c r="I2565" s="917" t="str">
        <f>VLOOKUP($A2565,'Tech Litons'!$A:$C,3,0)</f>
        <v>EDF</v>
      </c>
      <c r="J2565" s="918" t="str">
        <f t="shared" si="259"/>
        <v>2904EDF</v>
      </c>
      <c r="K2565" s="919">
        <v>1</v>
      </c>
      <c r="L2565" s="920">
        <f t="shared" si="258"/>
        <v>528</v>
      </c>
      <c r="M2565" s="920">
        <f t="shared" si="260"/>
        <v>4.4985599999999994</v>
      </c>
      <c r="N2565" s="920">
        <f t="shared" si="261"/>
        <v>4</v>
      </c>
      <c r="O2565" s="918" t="str">
        <f t="shared" si="262"/>
        <v>Jan</v>
      </c>
      <c r="P2565" s="921">
        <f t="shared" si="263"/>
        <v>5</v>
      </c>
    </row>
    <row r="2566" spans="1:16" ht="15" hidden="1" customHeight="1">
      <c r="A2566" s="839">
        <v>68852591</v>
      </c>
      <c r="B2566" s="839">
        <v>2904</v>
      </c>
      <c r="C2566" s="906">
        <v>877</v>
      </c>
      <c r="D2566" s="907">
        <v>46052</v>
      </c>
      <c r="E2566" s="839" t="s">
        <v>326</v>
      </c>
      <c r="F2566" s="839" t="s">
        <v>243</v>
      </c>
      <c r="G2566" s="916">
        <f>VLOOKUP($A2566,'Tech Litons'!$A:$I,8,FALSE)</f>
        <v>8.5199999999999998E-3</v>
      </c>
      <c r="H2566" s="917">
        <f>VLOOKUP($A2566,'Tech Litons'!$A:$I,9,FALSE)</f>
        <v>132</v>
      </c>
      <c r="I2566" s="917" t="str">
        <f>VLOOKUP($A2566,'Tech Litons'!$A:$C,3,0)</f>
        <v>EDF</v>
      </c>
      <c r="J2566" s="918" t="str">
        <f t="shared" si="259"/>
        <v>2904EDF</v>
      </c>
      <c r="K2566" s="919">
        <v>1</v>
      </c>
      <c r="L2566" s="920">
        <f t="shared" si="258"/>
        <v>877</v>
      </c>
      <c r="M2566" s="920">
        <f t="shared" si="260"/>
        <v>7.4720399999999998</v>
      </c>
      <c r="N2566" s="920">
        <f t="shared" si="261"/>
        <v>6.6439393939393936</v>
      </c>
      <c r="O2566" s="918" t="str">
        <f t="shared" si="262"/>
        <v>Jan</v>
      </c>
      <c r="P2566" s="921">
        <f t="shared" si="263"/>
        <v>5</v>
      </c>
    </row>
    <row r="2567" spans="1:16" ht="15" hidden="1" customHeight="1">
      <c r="A2567" s="839">
        <v>68852591</v>
      </c>
      <c r="B2567" s="839">
        <v>2904</v>
      </c>
      <c r="C2567" s="906">
        <v>1652</v>
      </c>
      <c r="D2567" s="907">
        <v>46053</v>
      </c>
      <c r="E2567" s="839" t="s">
        <v>326</v>
      </c>
      <c r="F2567" s="839" t="s">
        <v>243</v>
      </c>
      <c r="G2567" s="916">
        <f>VLOOKUP($A2567,'Tech Litons'!$A:$I,8,FALSE)</f>
        <v>8.5199999999999998E-3</v>
      </c>
      <c r="H2567" s="917">
        <f>VLOOKUP($A2567,'Tech Litons'!$A:$I,9,FALSE)</f>
        <v>132</v>
      </c>
      <c r="I2567" s="917" t="str">
        <f>VLOOKUP($A2567,'Tech Litons'!$A:$C,3,0)</f>
        <v>EDF</v>
      </c>
      <c r="J2567" s="918" t="str">
        <f t="shared" si="259"/>
        <v>2904EDF</v>
      </c>
      <c r="K2567" s="919">
        <v>1</v>
      </c>
      <c r="L2567" s="920">
        <f t="shared" si="258"/>
        <v>1652</v>
      </c>
      <c r="M2567" s="920">
        <f t="shared" si="260"/>
        <v>14.07504</v>
      </c>
      <c r="N2567" s="920">
        <f t="shared" si="261"/>
        <v>12.515151515151516</v>
      </c>
      <c r="O2567" s="918" t="str">
        <f t="shared" si="262"/>
        <v>Jan</v>
      </c>
      <c r="P2567" s="921">
        <f t="shared" si="263"/>
        <v>5</v>
      </c>
    </row>
    <row r="2568" spans="1:16" ht="15" hidden="1" customHeight="1">
      <c r="A2568" s="839">
        <v>68852591</v>
      </c>
      <c r="B2568" s="839">
        <v>2904</v>
      </c>
      <c r="C2568" s="906">
        <v>1640</v>
      </c>
      <c r="D2568" s="907">
        <v>46050</v>
      </c>
      <c r="E2568" s="839" t="s">
        <v>326</v>
      </c>
      <c r="F2568" s="839" t="s">
        <v>243</v>
      </c>
      <c r="G2568" s="916">
        <f>VLOOKUP($A2568,'Tech Litons'!$A:$I,8,FALSE)</f>
        <v>8.5199999999999998E-3</v>
      </c>
      <c r="H2568" s="917">
        <f>VLOOKUP($A2568,'Tech Litons'!$A:$I,9,FALSE)</f>
        <v>132</v>
      </c>
      <c r="I2568" s="917" t="str">
        <f>VLOOKUP($A2568,'Tech Litons'!$A:$C,3,0)</f>
        <v>EDF</v>
      </c>
      <c r="J2568" s="918" t="str">
        <f t="shared" si="259"/>
        <v>2904EDF</v>
      </c>
      <c r="K2568" s="919">
        <v>1</v>
      </c>
      <c r="L2568" s="920">
        <f t="shared" si="258"/>
        <v>1640</v>
      </c>
      <c r="M2568" s="920">
        <f t="shared" si="260"/>
        <v>13.972799999999999</v>
      </c>
      <c r="N2568" s="920">
        <f t="shared" si="261"/>
        <v>12.424242424242424</v>
      </c>
      <c r="O2568" s="918" t="str">
        <f t="shared" si="262"/>
        <v>Jan</v>
      </c>
      <c r="P2568" s="921">
        <f t="shared" si="263"/>
        <v>5</v>
      </c>
    </row>
    <row r="2569" spans="1:16" ht="15" hidden="1" customHeight="1">
      <c r="A2569" s="839">
        <v>68852591</v>
      </c>
      <c r="B2569" s="839">
        <v>2904</v>
      </c>
      <c r="C2569" s="906">
        <v>1692</v>
      </c>
      <c r="D2569" s="907">
        <v>46051</v>
      </c>
      <c r="E2569" s="839" t="s">
        <v>326</v>
      </c>
      <c r="F2569" s="839" t="s">
        <v>243</v>
      </c>
      <c r="G2569" s="916">
        <f>VLOOKUP($A2569,'Tech Litons'!$A:$I,8,FALSE)</f>
        <v>8.5199999999999998E-3</v>
      </c>
      <c r="H2569" s="917">
        <f>VLOOKUP($A2569,'Tech Litons'!$A:$I,9,FALSE)</f>
        <v>132</v>
      </c>
      <c r="I2569" s="917" t="str">
        <f>VLOOKUP($A2569,'Tech Litons'!$A:$C,3,0)</f>
        <v>EDF</v>
      </c>
      <c r="J2569" s="918" t="str">
        <f t="shared" si="259"/>
        <v>2904EDF</v>
      </c>
      <c r="K2569" s="919">
        <v>1</v>
      </c>
      <c r="L2569" s="920">
        <f t="shared" si="258"/>
        <v>1692</v>
      </c>
      <c r="M2569" s="920">
        <f t="shared" si="260"/>
        <v>14.415839999999999</v>
      </c>
      <c r="N2569" s="920">
        <f t="shared" si="261"/>
        <v>12.818181818181818</v>
      </c>
      <c r="O2569" s="918" t="str">
        <f t="shared" si="262"/>
        <v>Jan</v>
      </c>
      <c r="P2569" s="921">
        <f t="shared" si="263"/>
        <v>5</v>
      </c>
    </row>
    <row r="2570" spans="1:16" ht="15" hidden="1" customHeight="1">
      <c r="A2570" s="839">
        <v>68852591</v>
      </c>
      <c r="B2570" s="839">
        <v>2904</v>
      </c>
      <c r="C2570" s="906">
        <v>659</v>
      </c>
      <c r="D2570" s="907">
        <v>46053</v>
      </c>
      <c r="E2570" s="839" t="s">
        <v>326</v>
      </c>
      <c r="F2570" s="839" t="s">
        <v>243</v>
      </c>
      <c r="G2570" s="916">
        <f>VLOOKUP($A2570,'Tech Litons'!$A:$I,8,FALSE)</f>
        <v>8.5199999999999998E-3</v>
      </c>
      <c r="H2570" s="917">
        <f>VLOOKUP($A2570,'Tech Litons'!$A:$I,9,FALSE)</f>
        <v>132</v>
      </c>
      <c r="I2570" s="917" t="str">
        <f>VLOOKUP($A2570,'Tech Litons'!$A:$C,3,0)</f>
        <v>EDF</v>
      </c>
      <c r="J2570" s="918" t="str">
        <f t="shared" si="259"/>
        <v>2904EDF</v>
      </c>
      <c r="K2570" s="919">
        <v>1</v>
      </c>
      <c r="L2570" s="920">
        <f t="shared" si="258"/>
        <v>659</v>
      </c>
      <c r="M2570" s="920">
        <f t="shared" si="260"/>
        <v>5.6146799999999999</v>
      </c>
      <c r="N2570" s="920">
        <f t="shared" si="261"/>
        <v>4.9924242424242422</v>
      </c>
      <c r="O2570" s="918" t="str">
        <f t="shared" si="262"/>
        <v>Jan</v>
      </c>
      <c r="P2570" s="921">
        <f t="shared" si="263"/>
        <v>5</v>
      </c>
    </row>
    <row r="2571" spans="1:16" ht="15" hidden="1" customHeight="1">
      <c r="A2571" s="839">
        <v>68852591</v>
      </c>
      <c r="B2571" s="839">
        <v>2904</v>
      </c>
      <c r="C2571" s="906">
        <v>1238</v>
      </c>
      <c r="D2571" s="907">
        <v>46054</v>
      </c>
      <c r="E2571" s="839" t="s">
        <v>326</v>
      </c>
      <c r="F2571" s="839" t="s">
        <v>243</v>
      </c>
      <c r="G2571" s="916">
        <f>VLOOKUP($A2571,'Tech Litons'!$A:$I,8,FALSE)</f>
        <v>8.5199999999999998E-3</v>
      </c>
      <c r="H2571" s="917">
        <f>VLOOKUP($A2571,'Tech Litons'!$A:$I,9,FALSE)</f>
        <v>132</v>
      </c>
      <c r="I2571" s="917" t="str">
        <f>VLOOKUP($A2571,'Tech Litons'!$A:$C,3,0)</f>
        <v>EDF</v>
      </c>
      <c r="J2571" s="918" t="str">
        <f t="shared" si="259"/>
        <v>2904EDF</v>
      </c>
      <c r="K2571" s="919">
        <v>1</v>
      </c>
      <c r="L2571" s="920">
        <f t="shared" si="258"/>
        <v>1238</v>
      </c>
      <c r="M2571" s="920">
        <f t="shared" si="260"/>
        <v>10.54776</v>
      </c>
      <c r="N2571" s="920">
        <f t="shared" si="261"/>
        <v>9.3787878787878789</v>
      </c>
      <c r="O2571" s="918" t="str">
        <f t="shared" si="262"/>
        <v>Feb</v>
      </c>
      <c r="P2571" s="921">
        <f t="shared" si="263"/>
        <v>6</v>
      </c>
    </row>
    <row r="2572" spans="1:16" ht="15" hidden="1" customHeight="1">
      <c r="A2572" s="839">
        <v>68852591</v>
      </c>
      <c r="B2572" s="839">
        <v>2904</v>
      </c>
      <c r="C2572" s="906">
        <v>2244</v>
      </c>
      <c r="D2572" s="907">
        <v>46062</v>
      </c>
      <c r="E2572" s="839" t="s">
        <v>326</v>
      </c>
      <c r="F2572" s="839" t="s">
        <v>243</v>
      </c>
      <c r="G2572" s="916">
        <f>VLOOKUP($A2572,'Tech Litons'!$A:$I,8,FALSE)</f>
        <v>8.5199999999999998E-3</v>
      </c>
      <c r="H2572" s="917">
        <f>VLOOKUP($A2572,'Tech Litons'!$A:$I,9,FALSE)</f>
        <v>132</v>
      </c>
      <c r="I2572" s="917" t="str">
        <f>VLOOKUP($A2572,'Tech Litons'!$A:$C,3,0)</f>
        <v>EDF</v>
      </c>
      <c r="J2572" s="918" t="str">
        <f t="shared" si="259"/>
        <v>2904EDF</v>
      </c>
      <c r="K2572" s="919">
        <v>1</v>
      </c>
      <c r="L2572" s="920">
        <f t="shared" si="258"/>
        <v>2244</v>
      </c>
      <c r="M2572" s="920">
        <f t="shared" si="260"/>
        <v>19.118880000000001</v>
      </c>
      <c r="N2572" s="920">
        <f t="shared" si="261"/>
        <v>17</v>
      </c>
      <c r="O2572" s="918" t="str">
        <f t="shared" si="262"/>
        <v>Feb</v>
      </c>
      <c r="P2572" s="921">
        <f t="shared" si="263"/>
        <v>7</v>
      </c>
    </row>
    <row r="2573" spans="1:16" ht="15" hidden="1" customHeight="1">
      <c r="A2573" s="839">
        <v>68852591</v>
      </c>
      <c r="B2573" s="839">
        <v>2904</v>
      </c>
      <c r="C2573" s="906">
        <v>2712</v>
      </c>
      <c r="D2573" s="907">
        <v>46063</v>
      </c>
      <c r="E2573" s="839" t="s">
        <v>326</v>
      </c>
      <c r="F2573" s="839" t="s">
        <v>243</v>
      </c>
      <c r="G2573" s="916">
        <f>VLOOKUP($A2573,'Tech Litons'!$A:$I,8,FALSE)</f>
        <v>8.5199999999999998E-3</v>
      </c>
      <c r="H2573" s="917">
        <f>VLOOKUP($A2573,'Tech Litons'!$A:$I,9,FALSE)</f>
        <v>132</v>
      </c>
      <c r="I2573" s="917" t="str">
        <f>VLOOKUP($A2573,'Tech Litons'!$A:$C,3,0)</f>
        <v>EDF</v>
      </c>
      <c r="J2573" s="918" t="str">
        <f t="shared" si="259"/>
        <v>2904EDF</v>
      </c>
      <c r="K2573" s="919">
        <v>1</v>
      </c>
      <c r="L2573" s="920">
        <f t="shared" si="258"/>
        <v>2712</v>
      </c>
      <c r="M2573" s="920">
        <f t="shared" si="260"/>
        <v>23.10624</v>
      </c>
      <c r="N2573" s="920">
        <f t="shared" si="261"/>
        <v>20.545454545454547</v>
      </c>
      <c r="O2573" s="918" t="str">
        <f t="shared" si="262"/>
        <v>Feb</v>
      </c>
      <c r="P2573" s="921">
        <f t="shared" si="263"/>
        <v>7</v>
      </c>
    </row>
    <row r="2574" spans="1:16" ht="15" hidden="1" customHeight="1">
      <c r="A2574" s="839">
        <v>68852591</v>
      </c>
      <c r="B2574" s="839">
        <v>2904</v>
      </c>
      <c r="C2574" s="906">
        <v>2310</v>
      </c>
      <c r="D2574" s="907">
        <v>46063</v>
      </c>
      <c r="E2574" s="839" t="s">
        <v>326</v>
      </c>
      <c r="F2574" s="839" t="s">
        <v>243</v>
      </c>
      <c r="G2574" s="916">
        <f>VLOOKUP($A2574,'Tech Litons'!$A:$I,8,FALSE)</f>
        <v>8.5199999999999998E-3</v>
      </c>
      <c r="H2574" s="917">
        <f>VLOOKUP($A2574,'Tech Litons'!$A:$I,9,FALSE)</f>
        <v>132</v>
      </c>
      <c r="I2574" s="917" t="str">
        <f>VLOOKUP($A2574,'Tech Litons'!$A:$C,3,0)</f>
        <v>EDF</v>
      </c>
      <c r="J2574" s="918" t="str">
        <f t="shared" si="259"/>
        <v>2904EDF</v>
      </c>
      <c r="K2574" s="919">
        <v>1</v>
      </c>
      <c r="L2574" s="920">
        <f t="shared" si="258"/>
        <v>2310</v>
      </c>
      <c r="M2574" s="920">
        <f t="shared" si="260"/>
        <v>19.6812</v>
      </c>
      <c r="N2574" s="920">
        <f t="shared" si="261"/>
        <v>17.5</v>
      </c>
      <c r="O2574" s="918" t="str">
        <f t="shared" si="262"/>
        <v>Feb</v>
      </c>
      <c r="P2574" s="921">
        <f t="shared" si="263"/>
        <v>7</v>
      </c>
    </row>
    <row r="2575" spans="1:16" ht="15" hidden="1" customHeight="1">
      <c r="A2575" s="839">
        <v>68852591</v>
      </c>
      <c r="B2575" s="839">
        <v>2904</v>
      </c>
      <c r="C2575" s="906">
        <v>2163</v>
      </c>
      <c r="D2575" s="907">
        <v>46064</v>
      </c>
      <c r="E2575" s="839" t="s">
        <v>326</v>
      </c>
      <c r="F2575" s="839" t="s">
        <v>243</v>
      </c>
      <c r="G2575" s="916">
        <f>VLOOKUP($A2575,'Tech Litons'!$A:$I,8,FALSE)</f>
        <v>8.5199999999999998E-3</v>
      </c>
      <c r="H2575" s="917">
        <f>VLOOKUP($A2575,'Tech Litons'!$A:$I,9,FALSE)</f>
        <v>132</v>
      </c>
      <c r="I2575" s="917" t="str">
        <f>VLOOKUP($A2575,'Tech Litons'!$A:$C,3,0)</f>
        <v>EDF</v>
      </c>
      <c r="J2575" s="918" t="str">
        <f t="shared" si="259"/>
        <v>2904EDF</v>
      </c>
      <c r="K2575" s="919">
        <v>1</v>
      </c>
      <c r="L2575" s="920">
        <f t="shared" si="258"/>
        <v>2163</v>
      </c>
      <c r="M2575" s="920">
        <f t="shared" si="260"/>
        <v>18.42876</v>
      </c>
      <c r="N2575" s="920">
        <f t="shared" si="261"/>
        <v>16.386363636363637</v>
      </c>
      <c r="O2575" s="918" t="str">
        <f t="shared" si="262"/>
        <v>Feb</v>
      </c>
      <c r="P2575" s="921">
        <f t="shared" si="263"/>
        <v>7</v>
      </c>
    </row>
    <row r="2576" spans="1:16" ht="15" hidden="1" customHeight="1">
      <c r="A2576" s="839">
        <v>68852591</v>
      </c>
      <c r="B2576" s="839">
        <v>2904</v>
      </c>
      <c r="C2576" s="906">
        <v>1191</v>
      </c>
      <c r="D2576" s="907">
        <v>46064</v>
      </c>
      <c r="E2576" s="839" t="s">
        <v>326</v>
      </c>
      <c r="F2576" s="839" t="s">
        <v>243</v>
      </c>
      <c r="G2576" s="916">
        <f>VLOOKUP($A2576,'Tech Litons'!$A:$I,8,FALSE)</f>
        <v>8.5199999999999998E-3</v>
      </c>
      <c r="H2576" s="917">
        <f>VLOOKUP($A2576,'Tech Litons'!$A:$I,9,FALSE)</f>
        <v>132</v>
      </c>
      <c r="I2576" s="917" t="str">
        <f>VLOOKUP($A2576,'Tech Litons'!$A:$C,3,0)</f>
        <v>EDF</v>
      </c>
      <c r="J2576" s="918" t="str">
        <f t="shared" si="259"/>
        <v>2904EDF</v>
      </c>
      <c r="K2576" s="919">
        <v>1</v>
      </c>
      <c r="L2576" s="920">
        <f t="shared" si="258"/>
        <v>1191</v>
      </c>
      <c r="M2576" s="920">
        <f t="shared" si="260"/>
        <v>10.147320000000001</v>
      </c>
      <c r="N2576" s="920">
        <f t="shared" si="261"/>
        <v>9.0227272727272734</v>
      </c>
      <c r="O2576" s="918" t="str">
        <f t="shared" si="262"/>
        <v>Feb</v>
      </c>
      <c r="P2576" s="921">
        <f t="shared" si="263"/>
        <v>7</v>
      </c>
    </row>
    <row r="2577" spans="1:16" ht="15" hidden="1" customHeight="1">
      <c r="A2577" s="839">
        <v>68852591</v>
      </c>
      <c r="B2577" s="839">
        <v>2904</v>
      </c>
      <c r="C2577" s="906">
        <v>614</v>
      </c>
      <c r="D2577" s="907">
        <v>46065</v>
      </c>
      <c r="E2577" s="839" t="s">
        <v>326</v>
      </c>
      <c r="F2577" s="839" t="s">
        <v>243</v>
      </c>
      <c r="G2577" s="916">
        <f>VLOOKUP($A2577,'Tech Litons'!$A:$I,8,FALSE)</f>
        <v>8.5199999999999998E-3</v>
      </c>
      <c r="H2577" s="917">
        <f>VLOOKUP($A2577,'Tech Litons'!$A:$I,9,FALSE)</f>
        <v>132</v>
      </c>
      <c r="I2577" s="917" t="str">
        <f>VLOOKUP($A2577,'Tech Litons'!$A:$C,3,0)</f>
        <v>EDF</v>
      </c>
      <c r="J2577" s="918" t="str">
        <f t="shared" si="259"/>
        <v>2904EDF</v>
      </c>
      <c r="K2577" s="919">
        <v>1</v>
      </c>
      <c r="L2577" s="920">
        <f t="shared" si="258"/>
        <v>614</v>
      </c>
      <c r="M2577" s="920">
        <f t="shared" si="260"/>
        <v>5.2312799999999999</v>
      </c>
      <c r="N2577" s="920">
        <f t="shared" si="261"/>
        <v>4.6515151515151514</v>
      </c>
      <c r="O2577" s="918" t="str">
        <f t="shared" si="262"/>
        <v>Feb</v>
      </c>
      <c r="P2577" s="921">
        <f t="shared" si="263"/>
        <v>7</v>
      </c>
    </row>
    <row r="2578" spans="1:16" ht="15" hidden="1" customHeight="1">
      <c r="A2578" s="839">
        <v>68860061</v>
      </c>
      <c r="B2578" s="839">
        <v>2904</v>
      </c>
      <c r="C2578" s="906">
        <v>5100</v>
      </c>
      <c r="D2578" s="907">
        <v>46067</v>
      </c>
      <c r="E2578" s="839" t="s">
        <v>452</v>
      </c>
      <c r="F2578" s="839" t="s">
        <v>275</v>
      </c>
      <c r="G2578" s="916">
        <f>VLOOKUP($A2578,'Tech Litons'!$A:$I,8,FALSE)</f>
        <v>3.552E-3</v>
      </c>
      <c r="H2578" s="917">
        <f>VLOOKUP($A2578,'Tech Litons'!$A:$I,9,FALSE)</f>
        <v>255</v>
      </c>
      <c r="I2578" s="917" t="str">
        <f>VLOOKUP($A2578,'Tech Litons'!$A:$C,3,0)</f>
        <v>Talenti</v>
      </c>
      <c r="J2578" s="918" t="str">
        <f t="shared" si="259"/>
        <v>2904Talenti</v>
      </c>
      <c r="K2578" s="919">
        <v>1</v>
      </c>
      <c r="L2578" s="920">
        <f t="shared" si="258"/>
        <v>5100</v>
      </c>
      <c r="M2578" s="920">
        <f t="shared" si="260"/>
        <v>18.115200000000002</v>
      </c>
      <c r="N2578" s="920">
        <f t="shared" si="261"/>
        <v>20</v>
      </c>
      <c r="O2578" s="918" t="str">
        <f t="shared" si="262"/>
        <v>Feb</v>
      </c>
      <c r="P2578" s="921">
        <f t="shared" si="263"/>
        <v>7</v>
      </c>
    </row>
    <row r="2579" spans="1:16" ht="15" hidden="1" customHeight="1">
      <c r="A2579" s="839">
        <v>68860061</v>
      </c>
      <c r="B2579" s="839">
        <v>2904</v>
      </c>
      <c r="C2579" s="906">
        <v>5489</v>
      </c>
      <c r="D2579" s="907">
        <v>46068</v>
      </c>
      <c r="E2579" s="839" t="s">
        <v>452</v>
      </c>
      <c r="F2579" s="839" t="s">
        <v>275</v>
      </c>
      <c r="G2579" s="916">
        <f>VLOOKUP($A2579,'Tech Litons'!$A:$I,8,FALSE)</f>
        <v>3.552E-3</v>
      </c>
      <c r="H2579" s="917">
        <f>VLOOKUP($A2579,'Tech Litons'!$A:$I,9,FALSE)</f>
        <v>255</v>
      </c>
      <c r="I2579" s="917" t="str">
        <f>VLOOKUP($A2579,'Tech Litons'!$A:$C,3,0)</f>
        <v>Talenti</v>
      </c>
      <c r="J2579" s="918" t="str">
        <f t="shared" si="259"/>
        <v>2904Talenti</v>
      </c>
      <c r="K2579" s="919">
        <v>1</v>
      </c>
      <c r="L2579" s="920">
        <f t="shared" si="258"/>
        <v>5489</v>
      </c>
      <c r="M2579" s="920">
        <f t="shared" si="260"/>
        <v>19.496928</v>
      </c>
      <c r="N2579" s="920">
        <f t="shared" si="261"/>
        <v>21.525490196078433</v>
      </c>
      <c r="O2579" s="918" t="str">
        <f t="shared" si="262"/>
        <v>Feb</v>
      </c>
      <c r="P2579" s="921">
        <f t="shared" si="263"/>
        <v>8</v>
      </c>
    </row>
    <row r="2580" spans="1:16" ht="15" hidden="1" customHeight="1">
      <c r="A2580" s="839">
        <v>68860061</v>
      </c>
      <c r="B2580" s="839">
        <v>2904</v>
      </c>
      <c r="C2580" s="906">
        <v>4515</v>
      </c>
      <c r="D2580" s="907">
        <v>46068</v>
      </c>
      <c r="E2580" s="839" t="s">
        <v>452</v>
      </c>
      <c r="F2580" s="839" t="s">
        <v>275</v>
      </c>
      <c r="G2580" s="916">
        <f>VLOOKUP($A2580,'Tech Litons'!$A:$I,8,FALSE)</f>
        <v>3.552E-3</v>
      </c>
      <c r="H2580" s="917">
        <f>VLOOKUP($A2580,'Tech Litons'!$A:$I,9,FALSE)</f>
        <v>255</v>
      </c>
      <c r="I2580" s="917" t="str">
        <f>VLOOKUP($A2580,'Tech Litons'!$A:$C,3,0)</f>
        <v>Talenti</v>
      </c>
      <c r="J2580" s="918" t="str">
        <f t="shared" si="259"/>
        <v>2904Talenti</v>
      </c>
      <c r="K2580" s="919">
        <v>1</v>
      </c>
      <c r="L2580" s="920">
        <f t="shared" si="258"/>
        <v>4515</v>
      </c>
      <c r="M2580" s="920">
        <f t="shared" si="260"/>
        <v>16.037279999999999</v>
      </c>
      <c r="N2580" s="920">
        <f t="shared" si="261"/>
        <v>17.705882352941178</v>
      </c>
      <c r="O2580" s="918" t="str">
        <f t="shared" si="262"/>
        <v>Feb</v>
      </c>
      <c r="P2580" s="921">
        <f t="shared" si="263"/>
        <v>8</v>
      </c>
    </row>
    <row r="2581" spans="1:16" ht="15" hidden="1" customHeight="1">
      <c r="A2581" s="839">
        <v>68860061</v>
      </c>
      <c r="B2581" s="839">
        <v>2904</v>
      </c>
      <c r="C2581" s="906">
        <v>5672</v>
      </c>
      <c r="D2581" s="907">
        <v>46069</v>
      </c>
      <c r="E2581" s="839" t="s">
        <v>452</v>
      </c>
      <c r="F2581" s="839" t="s">
        <v>275</v>
      </c>
      <c r="G2581" s="916">
        <f>VLOOKUP($A2581,'Tech Litons'!$A:$I,8,FALSE)</f>
        <v>3.552E-3</v>
      </c>
      <c r="H2581" s="917">
        <f>VLOOKUP($A2581,'Tech Litons'!$A:$I,9,FALSE)</f>
        <v>255</v>
      </c>
      <c r="I2581" s="917" t="str">
        <f>VLOOKUP($A2581,'Tech Litons'!$A:$C,3,0)</f>
        <v>Talenti</v>
      </c>
      <c r="J2581" s="918" t="str">
        <f t="shared" si="259"/>
        <v>2904Talenti</v>
      </c>
      <c r="K2581" s="919">
        <v>1</v>
      </c>
      <c r="L2581" s="920">
        <f t="shared" si="258"/>
        <v>5672</v>
      </c>
      <c r="M2581" s="920">
        <f t="shared" si="260"/>
        <v>20.146944000000001</v>
      </c>
      <c r="N2581" s="920">
        <f t="shared" si="261"/>
        <v>22.24313725490196</v>
      </c>
      <c r="O2581" s="918" t="str">
        <f t="shared" si="262"/>
        <v>Feb</v>
      </c>
      <c r="P2581" s="921">
        <f t="shared" si="263"/>
        <v>8</v>
      </c>
    </row>
    <row r="2582" spans="1:16" ht="15" hidden="1" customHeight="1">
      <c r="A2582" s="839">
        <v>68860061</v>
      </c>
      <c r="B2582" s="839">
        <v>2904</v>
      </c>
      <c r="C2582" s="906">
        <v>4127</v>
      </c>
      <c r="D2582" s="907">
        <v>46069</v>
      </c>
      <c r="E2582" s="839" t="s">
        <v>452</v>
      </c>
      <c r="F2582" s="839" t="s">
        <v>275</v>
      </c>
      <c r="G2582" s="916">
        <f>VLOOKUP($A2582,'Tech Litons'!$A:$I,8,FALSE)</f>
        <v>3.552E-3</v>
      </c>
      <c r="H2582" s="917">
        <f>VLOOKUP($A2582,'Tech Litons'!$A:$I,9,FALSE)</f>
        <v>255</v>
      </c>
      <c r="I2582" s="917" t="str">
        <f>VLOOKUP($A2582,'Tech Litons'!$A:$C,3,0)</f>
        <v>Talenti</v>
      </c>
      <c r="J2582" s="918" t="str">
        <f t="shared" si="259"/>
        <v>2904Talenti</v>
      </c>
      <c r="K2582" s="919">
        <v>1</v>
      </c>
      <c r="L2582" s="920">
        <f t="shared" si="258"/>
        <v>4127</v>
      </c>
      <c r="M2582" s="920">
        <f t="shared" si="260"/>
        <v>14.659104000000001</v>
      </c>
      <c r="N2582" s="920">
        <f t="shared" si="261"/>
        <v>16.184313725490195</v>
      </c>
      <c r="O2582" s="918" t="str">
        <f t="shared" si="262"/>
        <v>Feb</v>
      </c>
      <c r="P2582" s="921">
        <f t="shared" si="263"/>
        <v>8</v>
      </c>
    </row>
    <row r="2583" spans="1:16" ht="15" hidden="1" customHeight="1">
      <c r="A2583" s="839">
        <v>68860061</v>
      </c>
      <c r="B2583" s="839">
        <v>2904</v>
      </c>
      <c r="C2583" s="906">
        <v>3292</v>
      </c>
      <c r="D2583" s="907">
        <v>46070</v>
      </c>
      <c r="E2583" s="839" t="s">
        <v>452</v>
      </c>
      <c r="F2583" s="839" t="s">
        <v>275</v>
      </c>
      <c r="G2583" s="916">
        <f>VLOOKUP($A2583,'Tech Litons'!$A:$I,8,FALSE)</f>
        <v>3.552E-3</v>
      </c>
      <c r="H2583" s="917">
        <f>VLOOKUP($A2583,'Tech Litons'!$A:$I,9,FALSE)</f>
        <v>255</v>
      </c>
      <c r="I2583" s="917" t="str">
        <f>VLOOKUP($A2583,'Tech Litons'!$A:$C,3,0)</f>
        <v>Talenti</v>
      </c>
      <c r="J2583" s="918" t="str">
        <f t="shared" si="259"/>
        <v>2904Talenti</v>
      </c>
      <c r="K2583" s="919">
        <v>1</v>
      </c>
      <c r="L2583" s="920">
        <f t="shared" si="258"/>
        <v>3292</v>
      </c>
      <c r="M2583" s="920">
        <f t="shared" si="260"/>
        <v>11.693184</v>
      </c>
      <c r="N2583" s="920">
        <f t="shared" si="261"/>
        <v>12.909803921568628</v>
      </c>
      <c r="O2583" s="918" t="str">
        <f t="shared" si="262"/>
        <v>Feb</v>
      </c>
      <c r="P2583" s="921">
        <f t="shared" si="263"/>
        <v>8</v>
      </c>
    </row>
    <row r="2584" spans="1:16" ht="15" hidden="1" customHeight="1">
      <c r="A2584" s="839">
        <v>68860061</v>
      </c>
      <c r="B2584" s="839">
        <v>2904</v>
      </c>
      <c r="C2584" s="906">
        <v>2659</v>
      </c>
      <c r="D2584" s="907">
        <v>46073</v>
      </c>
      <c r="E2584" s="839" t="s">
        <v>452</v>
      </c>
      <c r="F2584" s="839" t="s">
        <v>275</v>
      </c>
      <c r="G2584" s="916">
        <f>VLOOKUP($A2584,'Tech Litons'!$A:$I,8,FALSE)</f>
        <v>3.552E-3</v>
      </c>
      <c r="H2584" s="917">
        <f>VLOOKUP($A2584,'Tech Litons'!$A:$I,9,FALSE)</f>
        <v>255</v>
      </c>
      <c r="I2584" s="917" t="str">
        <f>VLOOKUP($A2584,'Tech Litons'!$A:$C,3,0)</f>
        <v>Talenti</v>
      </c>
      <c r="J2584" s="918" t="str">
        <f t="shared" si="259"/>
        <v>2904Talenti</v>
      </c>
      <c r="K2584" s="919">
        <v>1</v>
      </c>
      <c r="L2584" s="920">
        <f t="shared" si="258"/>
        <v>2659</v>
      </c>
      <c r="M2584" s="920">
        <f t="shared" si="260"/>
        <v>9.4447679999999998</v>
      </c>
      <c r="N2584" s="920">
        <f t="shared" si="261"/>
        <v>10.427450980392157</v>
      </c>
      <c r="O2584" s="918" t="str">
        <f t="shared" si="262"/>
        <v>Feb</v>
      </c>
      <c r="P2584" s="921">
        <f t="shared" si="263"/>
        <v>8</v>
      </c>
    </row>
    <row r="2585" spans="1:16" ht="15" hidden="1" customHeight="1">
      <c r="A2585" s="839">
        <v>68860061</v>
      </c>
      <c r="B2585" s="839">
        <v>2904</v>
      </c>
      <c r="C2585" s="906">
        <v>2166</v>
      </c>
      <c r="D2585" s="907">
        <v>46074</v>
      </c>
      <c r="E2585" s="839" t="s">
        <v>452</v>
      </c>
      <c r="F2585" s="839" t="s">
        <v>275</v>
      </c>
      <c r="G2585" s="916">
        <f>VLOOKUP($A2585,'Tech Litons'!$A:$I,8,FALSE)</f>
        <v>3.552E-3</v>
      </c>
      <c r="H2585" s="917">
        <f>VLOOKUP($A2585,'Tech Litons'!$A:$I,9,FALSE)</f>
        <v>255</v>
      </c>
      <c r="I2585" s="917" t="str">
        <f>VLOOKUP($A2585,'Tech Litons'!$A:$C,3,0)</f>
        <v>Talenti</v>
      </c>
      <c r="J2585" s="918" t="str">
        <f t="shared" si="259"/>
        <v>2904Talenti</v>
      </c>
      <c r="K2585" s="919">
        <v>1</v>
      </c>
      <c r="L2585" s="920">
        <f t="shared" si="258"/>
        <v>2166</v>
      </c>
      <c r="M2585" s="920">
        <f t="shared" si="260"/>
        <v>7.693632</v>
      </c>
      <c r="N2585" s="920">
        <f t="shared" si="261"/>
        <v>8.4941176470588236</v>
      </c>
      <c r="O2585" s="918" t="str">
        <f t="shared" si="262"/>
        <v>Feb</v>
      </c>
      <c r="P2585" s="921">
        <f t="shared" si="263"/>
        <v>8</v>
      </c>
    </row>
    <row r="2586" spans="1:16" ht="15" hidden="1" customHeight="1">
      <c r="A2586" s="839">
        <v>68860061</v>
      </c>
      <c r="B2586" s="839">
        <v>2904</v>
      </c>
      <c r="C2586" s="906">
        <v>3694</v>
      </c>
      <c r="D2586" s="907">
        <v>46074</v>
      </c>
      <c r="E2586" s="839" t="s">
        <v>452</v>
      </c>
      <c r="F2586" s="839" t="s">
        <v>275</v>
      </c>
      <c r="G2586" s="916">
        <f>VLOOKUP($A2586,'Tech Litons'!$A:$I,8,FALSE)</f>
        <v>3.552E-3</v>
      </c>
      <c r="H2586" s="917">
        <f>VLOOKUP($A2586,'Tech Litons'!$A:$I,9,FALSE)</f>
        <v>255</v>
      </c>
      <c r="I2586" s="917" t="str">
        <f>VLOOKUP($A2586,'Tech Litons'!$A:$C,3,0)</f>
        <v>Talenti</v>
      </c>
      <c r="J2586" s="918" t="str">
        <f t="shared" si="259"/>
        <v>2904Talenti</v>
      </c>
      <c r="K2586" s="919">
        <v>1</v>
      </c>
      <c r="L2586" s="920">
        <f t="shared" si="258"/>
        <v>3694</v>
      </c>
      <c r="M2586" s="920">
        <f t="shared" si="260"/>
        <v>13.121088</v>
      </c>
      <c r="N2586" s="920">
        <f t="shared" si="261"/>
        <v>14.486274509803922</v>
      </c>
      <c r="O2586" s="918" t="str">
        <f t="shared" si="262"/>
        <v>Feb</v>
      </c>
      <c r="P2586" s="921">
        <f t="shared" si="263"/>
        <v>8</v>
      </c>
    </row>
    <row r="2587" spans="1:16" ht="15" hidden="1" customHeight="1">
      <c r="A2587" s="839">
        <v>68860061</v>
      </c>
      <c r="B2587" s="839">
        <v>2904</v>
      </c>
      <c r="C2587" s="906">
        <v>4161</v>
      </c>
      <c r="D2587" s="907">
        <v>46075</v>
      </c>
      <c r="E2587" s="839" t="s">
        <v>452</v>
      </c>
      <c r="F2587" s="839" t="s">
        <v>275</v>
      </c>
      <c r="G2587" s="916">
        <f>VLOOKUP($A2587,'Tech Litons'!$A:$I,8,FALSE)</f>
        <v>3.552E-3</v>
      </c>
      <c r="H2587" s="917">
        <f>VLOOKUP($A2587,'Tech Litons'!$A:$I,9,FALSE)</f>
        <v>255</v>
      </c>
      <c r="I2587" s="917" t="str">
        <f>VLOOKUP($A2587,'Tech Litons'!$A:$C,3,0)</f>
        <v>Talenti</v>
      </c>
      <c r="J2587" s="918" t="str">
        <f t="shared" si="259"/>
        <v>2904Talenti</v>
      </c>
      <c r="K2587" s="919">
        <v>1</v>
      </c>
      <c r="L2587" s="920">
        <f t="shared" si="258"/>
        <v>4161</v>
      </c>
      <c r="M2587" s="920">
        <f t="shared" si="260"/>
        <v>14.779872000000001</v>
      </c>
      <c r="N2587" s="920">
        <f t="shared" si="261"/>
        <v>16.317647058823528</v>
      </c>
      <c r="O2587" s="918" t="str">
        <f t="shared" si="262"/>
        <v>Feb</v>
      </c>
      <c r="P2587" s="921">
        <f t="shared" si="263"/>
        <v>9</v>
      </c>
    </row>
    <row r="2588" spans="1:16" ht="15" hidden="1" customHeight="1">
      <c r="A2588" s="839">
        <v>68860061</v>
      </c>
      <c r="B2588" s="839">
        <v>2904</v>
      </c>
      <c r="C2588" s="906">
        <v>5411</v>
      </c>
      <c r="D2588" s="907">
        <v>46075</v>
      </c>
      <c r="E2588" s="839" t="s">
        <v>452</v>
      </c>
      <c r="F2588" s="839" t="s">
        <v>275</v>
      </c>
      <c r="G2588" s="916">
        <f>VLOOKUP($A2588,'Tech Litons'!$A:$I,8,FALSE)</f>
        <v>3.552E-3</v>
      </c>
      <c r="H2588" s="917">
        <f>VLOOKUP($A2588,'Tech Litons'!$A:$I,9,FALSE)</f>
        <v>255</v>
      </c>
      <c r="I2588" s="917" t="str">
        <f>VLOOKUP($A2588,'Tech Litons'!$A:$C,3,0)</f>
        <v>Talenti</v>
      </c>
      <c r="J2588" s="918" t="str">
        <f t="shared" si="259"/>
        <v>2904Talenti</v>
      </c>
      <c r="K2588" s="919">
        <v>1</v>
      </c>
      <c r="L2588" s="920">
        <f t="shared" si="258"/>
        <v>5411</v>
      </c>
      <c r="M2588" s="920">
        <f t="shared" si="260"/>
        <v>19.219871999999999</v>
      </c>
      <c r="N2588" s="920">
        <f t="shared" si="261"/>
        <v>21.219607843137254</v>
      </c>
      <c r="O2588" s="918" t="str">
        <f t="shared" si="262"/>
        <v>Feb</v>
      </c>
      <c r="P2588" s="921">
        <f t="shared" si="263"/>
        <v>9</v>
      </c>
    </row>
    <row r="2589" spans="1:16" ht="15" hidden="1" customHeight="1">
      <c r="A2589" s="839">
        <v>68860061</v>
      </c>
      <c r="B2589" s="839">
        <v>2904</v>
      </c>
      <c r="C2589" s="906">
        <v>1468</v>
      </c>
      <c r="D2589" s="907">
        <v>46067</v>
      </c>
      <c r="E2589" s="839" t="s">
        <v>452</v>
      </c>
      <c r="F2589" s="839" t="s">
        <v>275</v>
      </c>
      <c r="G2589" s="916">
        <f>VLOOKUP($A2589,'Tech Litons'!$A:$I,8,FALSE)</f>
        <v>3.552E-3</v>
      </c>
      <c r="H2589" s="917">
        <f>VLOOKUP($A2589,'Tech Litons'!$A:$I,9,FALSE)</f>
        <v>255</v>
      </c>
      <c r="I2589" s="917" t="str">
        <f>VLOOKUP($A2589,'Tech Litons'!$A:$C,3,0)</f>
        <v>Talenti</v>
      </c>
      <c r="J2589" s="918" t="str">
        <f t="shared" si="259"/>
        <v>2904Talenti</v>
      </c>
      <c r="K2589" s="919">
        <v>1</v>
      </c>
      <c r="L2589" s="920">
        <f t="shared" si="258"/>
        <v>1468</v>
      </c>
      <c r="M2589" s="920">
        <f t="shared" si="260"/>
        <v>5.2143360000000003</v>
      </c>
      <c r="N2589" s="920">
        <f t="shared" si="261"/>
        <v>5.7568627450980392</v>
      </c>
      <c r="O2589" s="918" t="str">
        <f t="shared" si="262"/>
        <v>Feb</v>
      </c>
      <c r="P2589" s="921">
        <f t="shared" si="263"/>
        <v>7</v>
      </c>
    </row>
    <row r="2590" spans="1:16" ht="15" hidden="1" customHeight="1">
      <c r="A2590" s="839">
        <v>68860061</v>
      </c>
      <c r="B2590" s="839">
        <v>2904</v>
      </c>
      <c r="C2590" s="906">
        <v>255</v>
      </c>
      <c r="D2590" s="907">
        <v>46069</v>
      </c>
      <c r="E2590" s="839" t="s">
        <v>452</v>
      </c>
      <c r="F2590" s="839" t="s">
        <v>275</v>
      </c>
      <c r="G2590" s="916">
        <f>VLOOKUP($A2590,'Tech Litons'!$A:$I,8,FALSE)</f>
        <v>3.552E-3</v>
      </c>
      <c r="H2590" s="917">
        <f>VLOOKUP($A2590,'Tech Litons'!$A:$I,9,FALSE)</f>
        <v>255</v>
      </c>
      <c r="I2590" s="917" t="str">
        <f>VLOOKUP($A2590,'Tech Litons'!$A:$C,3,0)</f>
        <v>Talenti</v>
      </c>
      <c r="J2590" s="918" t="str">
        <f t="shared" si="259"/>
        <v>2904Talenti</v>
      </c>
      <c r="K2590" s="919">
        <v>1</v>
      </c>
      <c r="L2590" s="920">
        <f t="shared" si="258"/>
        <v>255</v>
      </c>
      <c r="M2590" s="920">
        <f t="shared" si="260"/>
        <v>0.90576000000000001</v>
      </c>
      <c r="N2590" s="920">
        <f t="shared" si="261"/>
        <v>1</v>
      </c>
      <c r="O2590" s="918" t="str">
        <f t="shared" si="262"/>
        <v>Feb</v>
      </c>
      <c r="P2590" s="921">
        <f t="shared" si="263"/>
        <v>8</v>
      </c>
    </row>
    <row r="2591" spans="1:16" ht="15" hidden="1" customHeight="1">
      <c r="A2591" s="839">
        <v>68860585</v>
      </c>
      <c r="B2591" s="839">
        <v>2904</v>
      </c>
      <c r="C2591" s="906">
        <v>10185</v>
      </c>
      <c r="D2591" s="907">
        <v>46069</v>
      </c>
      <c r="E2591" s="839" t="s">
        <v>458</v>
      </c>
      <c r="F2591" s="839" t="s">
        <v>277</v>
      </c>
      <c r="G2591" s="916">
        <f>VLOOKUP($A2591,'Tech Litons'!$A:$I,8,FALSE)</f>
        <v>3.7839999999999996E-3</v>
      </c>
      <c r="H2591" s="917">
        <f>VLOOKUP($A2591,'Tech Litons'!$A:$I,9,FALSE)</f>
        <v>255</v>
      </c>
      <c r="I2591" s="917" t="str">
        <f>VLOOKUP($A2591,'Tech Litons'!$A:$C,3,0)</f>
        <v>TALENTI</v>
      </c>
      <c r="J2591" s="918" t="str">
        <f t="shared" si="259"/>
        <v>2904TALENTI</v>
      </c>
      <c r="K2591" s="919">
        <v>1</v>
      </c>
      <c r="L2591" s="920">
        <f t="shared" si="258"/>
        <v>10185</v>
      </c>
      <c r="M2591" s="920">
        <f t="shared" si="260"/>
        <v>38.540039999999998</v>
      </c>
      <c r="N2591" s="920">
        <f t="shared" si="261"/>
        <v>39.941176470588232</v>
      </c>
      <c r="O2591" s="918" t="str">
        <f t="shared" si="262"/>
        <v>Feb</v>
      </c>
      <c r="P2591" s="921">
        <f t="shared" si="263"/>
        <v>8</v>
      </c>
    </row>
    <row r="2592" spans="1:16" ht="15" hidden="1" customHeight="1">
      <c r="A2592" s="839">
        <v>68860585</v>
      </c>
      <c r="B2592" s="839">
        <v>2904</v>
      </c>
      <c r="C2592" s="906">
        <v>5703</v>
      </c>
      <c r="D2592" s="907">
        <v>46070</v>
      </c>
      <c r="E2592" s="839" t="s">
        <v>458</v>
      </c>
      <c r="F2592" s="839" t="s">
        <v>277</v>
      </c>
      <c r="G2592" s="916">
        <f>VLOOKUP($A2592,'Tech Litons'!$A:$I,8,FALSE)</f>
        <v>3.7839999999999996E-3</v>
      </c>
      <c r="H2592" s="917">
        <f>VLOOKUP($A2592,'Tech Litons'!$A:$I,9,FALSE)</f>
        <v>255</v>
      </c>
      <c r="I2592" s="917" t="str">
        <f>VLOOKUP($A2592,'Tech Litons'!$A:$C,3,0)</f>
        <v>TALENTI</v>
      </c>
      <c r="J2592" s="918" t="str">
        <f t="shared" si="259"/>
        <v>2904TALENTI</v>
      </c>
      <c r="K2592" s="919">
        <v>1</v>
      </c>
      <c r="L2592" s="920">
        <f t="shared" si="258"/>
        <v>5703</v>
      </c>
      <c r="M2592" s="920">
        <f t="shared" si="260"/>
        <v>21.580151999999998</v>
      </c>
      <c r="N2592" s="920">
        <f t="shared" si="261"/>
        <v>22.36470588235294</v>
      </c>
      <c r="O2592" s="918" t="str">
        <f t="shared" si="262"/>
        <v>Feb</v>
      </c>
      <c r="P2592" s="921">
        <f t="shared" si="263"/>
        <v>8</v>
      </c>
    </row>
    <row r="2593" spans="1:16" ht="15" hidden="1" customHeight="1">
      <c r="A2593" s="839">
        <v>68860585</v>
      </c>
      <c r="B2593" s="839">
        <v>2904</v>
      </c>
      <c r="C2593" s="906">
        <v>14790</v>
      </c>
      <c r="D2593" s="907">
        <v>46068</v>
      </c>
      <c r="E2593" s="839" t="s">
        <v>458</v>
      </c>
      <c r="F2593" s="839" t="s">
        <v>277</v>
      </c>
      <c r="G2593" s="916">
        <f>VLOOKUP($A2593,'Tech Litons'!$A:$I,8,FALSE)</f>
        <v>3.7839999999999996E-3</v>
      </c>
      <c r="H2593" s="917">
        <f>VLOOKUP($A2593,'Tech Litons'!$A:$I,9,FALSE)</f>
        <v>255</v>
      </c>
      <c r="I2593" s="917" t="str">
        <f>VLOOKUP($A2593,'Tech Litons'!$A:$C,3,0)</f>
        <v>TALENTI</v>
      </c>
      <c r="J2593" s="918" t="str">
        <f t="shared" si="259"/>
        <v>2904TALENTI</v>
      </c>
      <c r="K2593" s="919">
        <v>1</v>
      </c>
      <c r="L2593" s="920">
        <f t="shared" si="258"/>
        <v>14790</v>
      </c>
      <c r="M2593" s="920">
        <f t="shared" si="260"/>
        <v>55.965359999999997</v>
      </c>
      <c r="N2593" s="920">
        <f t="shared" si="261"/>
        <v>58</v>
      </c>
      <c r="O2593" s="918" t="str">
        <f t="shared" si="262"/>
        <v>Feb</v>
      </c>
      <c r="P2593" s="921">
        <f t="shared" si="263"/>
        <v>8</v>
      </c>
    </row>
    <row r="2594" spans="1:16" ht="15" hidden="1" customHeight="1">
      <c r="A2594" s="839">
        <v>68860585</v>
      </c>
      <c r="B2594" s="839">
        <v>2904</v>
      </c>
      <c r="C2594" s="906">
        <v>12103</v>
      </c>
      <c r="D2594" s="907">
        <v>46069</v>
      </c>
      <c r="E2594" s="839" t="s">
        <v>458</v>
      </c>
      <c r="F2594" s="839" t="s">
        <v>277</v>
      </c>
      <c r="G2594" s="916">
        <f>VLOOKUP($A2594,'Tech Litons'!$A:$I,8,FALSE)</f>
        <v>3.7839999999999996E-3</v>
      </c>
      <c r="H2594" s="917">
        <f>VLOOKUP($A2594,'Tech Litons'!$A:$I,9,FALSE)</f>
        <v>255</v>
      </c>
      <c r="I2594" s="917" t="str">
        <f>VLOOKUP($A2594,'Tech Litons'!$A:$C,3,0)</f>
        <v>TALENTI</v>
      </c>
      <c r="J2594" s="918" t="str">
        <f t="shared" si="259"/>
        <v>2904TALENTI</v>
      </c>
      <c r="K2594" s="919">
        <v>1</v>
      </c>
      <c r="L2594" s="920">
        <f t="shared" si="258"/>
        <v>12103</v>
      </c>
      <c r="M2594" s="920">
        <f t="shared" si="260"/>
        <v>45.797751999999996</v>
      </c>
      <c r="N2594" s="920">
        <f t="shared" si="261"/>
        <v>47.462745098039214</v>
      </c>
      <c r="O2594" s="918" t="str">
        <f t="shared" si="262"/>
        <v>Feb</v>
      </c>
      <c r="P2594" s="921">
        <f t="shared" si="263"/>
        <v>8</v>
      </c>
    </row>
    <row r="2595" spans="1:16" ht="15" hidden="1" customHeight="1">
      <c r="A2595" s="839">
        <v>68860585</v>
      </c>
      <c r="B2595" s="839">
        <v>2904</v>
      </c>
      <c r="C2595" s="906">
        <v>4035</v>
      </c>
      <c r="D2595" s="907">
        <v>46068</v>
      </c>
      <c r="E2595" s="839" t="s">
        <v>458</v>
      </c>
      <c r="F2595" s="839" t="s">
        <v>277</v>
      </c>
      <c r="G2595" s="916">
        <f>VLOOKUP($A2595,'Tech Litons'!$A:$I,8,FALSE)</f>
        <v>3.7839999999999996E-3</v>
      </c>
      <c r="H2595" s="917">
        <f>VLOOKUP($A2595,'Tech Litons'!$A:$I,9,FALSE)</f>
        <v>255</v>
      </c>
      <c r="I2595" s="917" t="str">
        <f>VLOOKUP($A2595,'Tech Litons'!$A:$C,3,0)</f>
        <v>TALENTI</v>
      </c>
      <c r="J2595" s="918" t="str">
        <f t="shared" si="259"/>
        <v>2904TALENTI</v>
      </c>
      <c r="K2595" s="919">
        <v>1</v>
      </c>
      <c r="L2595" s="920">
        <f t="shared" si="258"/>
        <v>4035</v>
      </c>
      <c r="M2595" s="920">
        <f t="shared" si="260"/>
        <v>15.268439999999998</v>
      </c>
      <c r="N2595" s="920">
        <f t="shared" si="261"/>
        <v>15.823529411764707</v>
      </c>
      <c r="O2595" s="918" t="str">
        <f t="shared" si="262"/>
        <v>Feb</v>
      </c>
      <c r="P2595" s="921">
        <f t="shared" si="263"/>
        <v>8</v>
      </c>
    </row>
    <row r="2596" spans="1:16" ht="15" hidden="1" customHeight="1">
      <c r="A2596" s="839">
        <v>68860657</v>
      </c>
      <c r="B2596" s="839">
        <v>2904</v>
      </c>
      <c r="C2596" s="906">
        <v>17758</v>
      </c>
      <c r="D2596" s="907">
        <v>46063</v>
      </c>
      <c r="E2596" s="839" t="s">
        <v>423</v>
      </c>
      <c r="F2596" s="839" t="s">
        <v>277</v>
      </c>
      <c r="G2596" s="916">
        <f>VLOOKUP($A2596,'Tech Litons'!$A:$I,8,FALSE)</f>
        <v>3.7839999999999996E-3</v>
      </c>
      <c r="H2596" s="917">
        <f>VLOOKUP($A2596,'Tech Litons'!$A:$I,9,FALSE)</f>
        <v>255</v>
      </c>
      <c r="I2596" s="917" t="str">
        <f>VLOOKUP($A2596,'Tech Litons'!$A:$C,3,0)</f>
        <v>TALENTI</v>
      </c>
      <c r="J2596" s="918" t="str">
        <f t="shared" si="259"/>
        <v>2904TALENTI</v>
      </c>
      <c r="K2596" s="919">
        <v>1</v>
      </c>
      <c r="L2596" s="920">
        <f t="shared" si="258"/>
        <v>17758</v>
      </c>
      <c r="M2596" s="920">
        <f t="shared" si="260"/>
        <v>67.196271999999993</v>
      </c>
      <c r="N2596" s="920">
        <f t="shared" si="261"/>
        <v>69.639215686274511</v>
      </c>
      <c r="O2596" s="918" t="str">
        <f t="shared" si="262"/>
        <v>Feb</v>
      </c>
      <c r="P2596" s="921">
        <f t="shared" si="263"/>
        <v>7</v>
      </c>
    </row>
    <row r="2597" spans="1:16" ht="15" hidden="1" customHeight="1">
      <c r="A2597" s="839">
        <v>68860657</v>
      </c>
      <c r="B2597" s="839">
        <v>2904</v>
      </c>
      <c r="C2597" s="906">
        <v>17567</v>
      </c>
      <c r="D2597" s="907">
        <v>46064</v>
      </c>
      <c r="E2597" s="839" t="s">
        <v>423</v>
      </c>
      <c r="F2597" s="839" t="s">
        <v>277</v>
      </c>
      <c r="G2597" s="916">
        <f>VLOOKUP($A2597,'Tech Litons'!$A:$I,8,FALSE)</f>
        <v>3.7839999999999996E-3</v>
      </c>
      <c r="H2597" s="917">
        <f>VLOOKUP($A2597,'Tech Litons'!$A:$I,9,FALSE)</f>
        <v>255</v>
      </c>
      <c r="I2597" s="917" t="str">
        <f>VLOOKUP($A2597,'Tech Litons'!$A:$C,3,0)</f>
        <v>TALENTI</v>
      </c>
      <c r="J2597" s="918" t="str">
        <f t="shared" si="259"/>
        <v>2904TALENTI</v>
      </c>
      <c r="K2597" s="919">
        <v>1</v>
      </c>
      <c r="L2597" s="920">
        <f t="shared" si="258"/>
        <v>17567</v>
      </c>
      <c r="M2597" s="920">
        <f t="shared" si="260"/>
        <v>66.473527999999988</v>
      </c>
      <c r="N2597" s="920">
        <f t="shared" si="261"/>
        <v>68.890196078431373</v>
      </c>
      <c r="O2597" s="918" t="str">
        <f t="shared" si="262"/>
        <v>Feb</v>
      </c>
      <c r="P2597" s="921">
        <f t="shared" si="263"/>
        <v>7</v>
      </c>
    </row>
    <row r="2598" spans="1:16" ht="15" hidden="1" customHeight="1">
      <c r="A2598" s="839">
        <v>68860657</v>
      </c>
      <c r="B2598" s="839">
        <v>2904</v>
      </c>
      <c r="C2598" s="906">
        <v>5387</v>
      </c>
      <c r="D2598" s="907">
        <v>46064</v>
      </c>
      <c r="E2598" s="839" t="s">
        <v>423</v>
      </c>
      <c r="F2598" s="839" t="s">
        <v>277</v>
      </c>
      <c r="G2598" s="916">
        <f>VLOOKUP($A2598,'Tech Litons'!$A:$I,8,FALSE)</f>
        <v>3.7839999999999996E-3</v>
      </c>
      <c r="H2598" s="917">
        <f>VLOOKUP($A2598,'Tech Litons'!$A:$I,9,FALSE)</f>
        <v>255</v>
      </c>
      <c r="I2598" s="917" t="str">
        <f>VLOOKUP($A2598,'Tech Litons'!$A:$C,3,0)</f>
        <v>TALENTI</v>
      </c>
      <c r="J2598" s="918" t="str">
        <f t="shared" si="259"/>
        <v>2904TALENTI</v>
      </c>
      <c r="K2598" s="919">
        <v>1</v>
      </c>
      <c r="L2598" s="920">
        <f t="shared" si="258"/>
        <v>5387</v>
      </c>
      <c r="M2598" s="920">
        <f t="shared" si="260"/>
        <v>20.384407999999997</v>
      </c>
      <c r="N2598" s="920">
        <f t="shared" si="261"/>
        <v>21.125490196078431</v>
      </c>
      <c r="O2598" s="918" t="str">
        <f t="shared" si="262"/>
        <v>Feb</v>
      </c>
      <c r="P2598" s="921">
        <f t="shared" si="263"/>
        <v>7</v>
      </c>
    </row>
    <row r="2599" spans="1:16" ht="15" hidden="1" customHeight="1">
      <c r="A2599" s="839">
        <v>68860657</v>
      </c>
      <c r="B2599" s="839">
        <v>2904</v>
      </c>
      <c r="C2599" s="906">
        <v>8382</v>
      </c>
      <c r="D2599" s="907">
        <v>46063</v>
      </c>
      <c r="E2599" s="839" t="s">
        <v>423</v>
      </c>
      <c r="F2599" s="839" t="s">
        <v>277</v>
      </c>
      <c r="G2599" s="916">
        <f>VLOOKUP($A2599,'Tech Litons'!$A:$I,8,FALSE)</f>
        <v>3.7839999999999996E-3</v>
      </c>
      <c r="H2599" s="917">
        <f>VLOOKUP($A2599,'Tech Litons'!$A:$I,9,FALSE)</f>
        <v>255</v>
      </c>
      <c r="I2599" s="917" t="str">
        <f>VLOOKUP($A2599,'Tech Litons'!$A:$C,3,0)</f>
        <v>TALENTI</v>
      </c>
      <c r="J2599" s="918" t="str">
        <f t="shared" si="259"/>
        <v>2904TALENTI</v>
      </c>
      <c r="K2599" s="919">
        <v>1</v>
      </c>
      <c r="L2599" s="920">
        <f t="shared" si="258"/>
        <v>8382</v>
      </c>
      <c r="M2599" s="920">
        <f t="shared" si="260"/>
        <v>31.717487999999996</v>
      </c>
      <c r="N2599" s="920">
        <f t="shared" si="261"/>
        <v>32.870588235294115</v>
      </c>
      <c r="O2599" s="918" t="str">
        <f t="shared" si="262"/>
        <v>Feb</v>
      </c>
      <c r="P2599" s="921">
        <f t="shared" si="263"/>
        <v>7</v>
      </c>
    </row>
    <row r="2600" spans="1:16" ht="15" hidden="1" customHeight="1">
      <c r="A2600" s="839">
        <v>68860659</v>
      </c>
      <c r="B2600" s="839">
        <v>2904</v>
      </c>
      <c r="C2600" s="906">
        <v>7420</v>
      </c>
      <c r="D2600" s="907">
        <v>46050</v>
      </c>
      <c r="E2600" s="839" t="s">
        <v>453</v>
      </c>
      <c r="F2600" s="839" t="s">
        <v>277</v>
      </c>
      <c r="G2600" s="916">
        <f>VLOOKUP($A2600,'Tech Litons'!$A:$I,8,FALSE)</f>
        <v>3.7839999999999996E-3</v>
      </c>
      <c r="H2600" s="917">
        <f>VLOOKUP($A2600,'Tech Litons'!$A:$I,9,FALSE)</f>
        <v>255</v>
      </c>
      <c r="I2600" s="917" t="str">
        <f>VLOOKUP($A2600,'Tech Litons'!$A:$C,3,0)</f>
        <v>Talenti</v>
      </c>
      <c r="J2600" s="918" t="str">
        <f t="shared" si="259"/>
        <v>2904Talenti</v>
      </c>
      <c r="K2600" s="919">
        <v>1</v>
      </c>
      <c r="L2600" s="920">
        <f t="shared" si="258"/>
        <v>7420</v>
      </c>
      <c r="M2600" s="920">
        <f t="shared" si="260"/>
        <v>28.077279999999998</v>
      </c>
      <c r="N2600" s="920">
        <f t="shared" si="261"/>
        <v>29.098039215686274</v>
      </c>
      <c r="O2600" s="918" t="str">
        <f t="shared" si="262"/>
        <v>Jan</v>
      </c>
      <c r="P2600" s="921">
        <f t="shared" si="263"/>
        <v>5</v>
      </c>
    </row>
    <row r="2601" spans="1:16" ht="15" hidden="1" customHeight="1">
      <c r="A2601" s="839">
        <v>68860659</v>
      </c>
      <c r="B2601" s="839">
        <v>2904</v>
      </c>
      <c r="C2601" s="906">
        <v>16034</v>
      </c>
      <c r="D2601" s="907">
        <v>46051</v>
      </c>
      <c r="E2601" s="839" t="s">
        <v>453</v>
      </c>
      <c r="F2601" s="839" t="s">
        <v>277</v>
      </c>
      <c r="G2601" s="916">
        <f>VLOOKUP($A2601,'Tech Litons'!$A:$I,8,FALSE)</f>
        <v>3.7839999999999996E-3</v>
      </c>
      <c r="H2601" s="917">
        <f>VLOOKUP($A2601,'Tech Litons'!$A:$I,9,FALSE)</f>
        <v>255</v>
      </c>
      <c r="I2601" s="917" t="str">
        <f>VLOOKUP($A2601,'Tech Litons'!$A:$C,3,0)</f>
        <v>Talenti</v>
      </c>
      <c r="J2601" s="918" t="str">
        <f t="shared" si="259"/>
        <v>2904Talenti</v>
      </c>
      <c r="K2601" s="919">
        <v>1</v>
      </c>
      <c r="L2601" s="920">
        <f t="shared" si="258"/>
        <v>16034</v>
      </c>
      <c r="M2601" s="920">
        <f t="shared" si="260"/>
        <v>60.672655999999996</v>
      </c>
      <c r="N2601" s="920">
        <f t="shared" si="261"/>
        <v>62.878431372549016</v>
      </c>
      <c r="O2601" s="918" t="str">
        <f t="shared" si="262"/>
        <v>Jan</v>
      </c>
      <c r="P2601" s="921">
        <f t="shared" si="263"/>
        <v>5</v>
      </c>
    </row>
    <row r="2602" spans="1:16" ht="15" hidden="1" customHeight="1">
      <c r="A2602" s="839">
        <v>68860659</v>
      </c>
      <c r="B2602" s="839">
        <v>2904</v>
      </c>
      <c r="C2602" s="906">
        <v>13537</v>
      </c>
      <c r="D2602" s="907">
        <v>46051</v>
      </c>
      <c r="E2602" s="839" t="s">
        <v>453</v>
      </c>
      <c r="F2602" s="839" t="s">
        <v>277</v>
      </c>
      <c r="G2602" s="916">
        <f>VLOOKUP($A2602,'Tech Litons'!$A:$I,8,FALSE)</f>
        <v>3.7839999999999996E-3</v>
      </c>
      <c r="H2602" s="917">
        <f>VLOOKUP($A2602,'Tech Litons'!$A:$I,9,FALSE)</f>
        <v>255</v>
      </c>
      <c r="I2602" s="917" t="str">
        <f>VLOOKUP($A2602,'Tech Litons'!$A:$C,3,0)</f>
        <v>Talenti</v>
      </c>
      <c r="J2602" s="918" t="str">
        <f t="shared" si="259"/>
        <v>2904Talenti</v>
      </c>
      <c r="K2602" s="919">
        <v>1</v>
      </c>
      <c r="L2602" s="920">
        <f t="shared" si="258"/>
        <v>13537</v>
      </c>
      <c r="M2602" s="920">
        <f t="shared" si="260"/>
        <v>51.224007999999998</v>
      </c>
      <c r="N2602" s="920">
        <f t="shared" si="261"/>
        <v>53.086274509803921</v>
      </c>
      <c r="O2602" s="918" t="str">
        <f t="shared" si="262"/>
        <v>Jan</v>
      </c>
      <c r="P2602" s="921">
        <f t="shared" si="263"/>
        <v>5</v>
      </c>
    </row>
    <row r="2603" spans="1:16" ht="15" hidden="1" customHeight="1">
      <c r="A2603" s="839">
        <v>68860659</v>
      </c>
      <c r="B2603" s="839">
        <v>2904</v>
      </c>
      <c r="C2603" s="906">
        <v>10401</v>
      </c>
      <c r="D2603" s="907">
        <v>46052</v>
      </c>
      <c r="E2603" s="839" t="s">
        <v>453</v>
      </c>
      <c r="F2603" s="839" t="s">
        <v>277</v>
      </c>
      <c r="G2603" s="916">
        <f>VLOOKUP($A2603,'Tech Litons'!$A:$I,8,FALSE)</f>
        <v>3.7839999999999996E-3</v>
      </c>
      <c r="H2603" s="917">
        <f>VLOOKUP($A2603,'Tech Litons'!$A:$I,9,FALSE)</f>
        <v>255</v>
      </c>
      <c r="I2603" s="917" t="str">
        <f>VLOOKUP($A2603,'Tech Litons'!$A:$C,3,0)</f>
        <v>Talenti</v>
      </c>
      <c r="J2603" s="918" t="str">
        <f t="shared" si="259"/>
        <v>2904Talenti</v>
      </c>
      <c r="K2603" s="919">
        <v>1</v>
      </c>
      <c r="L2603" s="920">
        <f t="shared" si="258"/>
        <v>10401</v>
      </c>
      <c r="M2603" s="920">
        <f t="shared" si="260"/>
        <v>39.357383999999996</v>
      </c>
      <c r="N2603" s="920">
        <f t="shared" si="261"/>
        <v>40.788235294117648</v>
      </c>
      <c r="O2603" s="918" t="str">
        <f t="shared" si="262"/>
        <v>Jan</v>
      </c>
      <c r="P2603" s="921">
        <f t="shared" si="263"/>
        <v>5</v>
      </c>
    </row>
    <row r="2604" spans="1:16" ht="15" hidden="1" customHeight="1">
      <c r="A2604" s="839">
        <v>68860662</v>
      </c>
      <c r="B2604" s="839">
        <v>2904</v>
      </c>
      <c r="C2604" s="906">
        <v>10601</v>
      </c>
      <c r="D2604" s="907">
        <v>46074</v>
      </c>
      <c r="E2604" s="839" t="s">
        <v>411</v>
      </c>
      <c r="F2604" s="839" t="s">
        <v>277</v>
      </c>
      <c r="G2604" s="916">
        <f>VLOOKUP($A2604,'Tech Litons'!$A:$I,8,FALSE)</f>
        <v>3.7839999999999996E-3</v>
      </c>
      <c r="H2604" s="917">
        <f>VLOOKUP($A2604,'Tech Litons'!$A:$I,9,FALSE)</f>
        <v>255</v>
      </c>
      <c r="I2604" s="917" t="str">
        <f>VLOOKUP($A2604,'Tech Litons'!$A:$C,3,0)</f>
        <v>Talenti</v>
      </c>
      <c r="J2604" s="918" t="str">
        <f t="shared" si="259"/>
        <v>2904Talenti</v>
      </c>
      <c r="K2604" s="919">
        <v>1</v>
      </c>
      <c r="L2604" s="920">
        <f t="shared" si="258"/>
        <v>10601</v>
      </c>
      <c r="M2604" s="920">
        <f t="shared" si="260"/>
        <v>40.114183999999995</v>
      </c>
      <c r="N2604" s="920">
        <f t="shared" si="261"/>
        <v>41.572549019607841</v>
      </c>
      <c r="O2604" s="918" t="str">
        <f t="shared" si="262"/>
        <v>Feb</v>
      </c>
      <c r="P2604" s="921">
        <f t="shared" si="263"/>
        <v>8</v>
      </c>
    </row>
    <row r="2605" spans="1:16" ht="15" hidden="1" customHeight="1">
      <c r="A2605" s="839">
        <v>68860662</v>
      </c>
      <c r="B2605" s="839">
        <v>2904</v>
      </c>
      <c r="C2605" s="906">
        <v>10065</v>
      </c>
      <c r="D2605" s="907">
        <v>46075</v>
      </c>
      <c r="E2605" s="839" t="s">
        <v>411</v>
      </c>
      <c r="F2605" s="839" t="s">
        <v>277</v>
      </c>
      <c r="G2605" s="916">
        <f>VLOOKUP($A2605,'Tech Litons'!$A:$I,8,FALSE)</f>
        <v>3.7839999999999996E-3</v>
      </c>
      <c r="H2605" s="917">
        <f>VLOOKUP($A2605,'Tech Litons'!$A:$I,9,FALSE)</f>
        <v>255</v>
      </c>
      <c r="I2605" s="917" t="str">
        <f>VLOOKUP($A2605,'Tech Litons'!$A:$C,3,0)</f>
        <v>Talenti</v>
      </c>
      <c r="J2605" s="918" t="str">
        <f t="shared" si="259"/>
        <v>2904Talenti</v>
      </c>
      <c r="K2605" s="919">
        <v>1</v>
      </c>
      <c r="L2605" s="920">
        <f t="shared" si="258"/>
        <v>10065</v>
      </c>
      <c r="M2605" s="920">
        <f t="shared" si="260"/>
        <v>38.085959999999993</v>
      </c>
      <c r="N2605" s="920">
        <f t="shared" si="261"/>
        <v>39.470588235294116</v>
      </c>
      <c r="O2605" s="918" t="str">
        <f t="shared" si="262"/>
        <v>Feb</v>
      </c>
      <c r="P2605" s="921">
        <f t="shared" si="263"/>
        <v>9</v>
      </c>
    </row>
    <row r="2606" spans="1:16" ht="15" hidden="1" customHeight="1">
      <c r="A2606" s="839">
        <v>68860662</v>
      </c>
      <c r="B2606" s="839">
        <v>2904</v>
      </c>
      <c r="C2606" s="906">
        <v>15292</v>
      </c>
      <c r="D2606" s="907">
        <v>46075</v>
      </c>
      <c r="E2606" s="839" t="s">
        <v>411</v>
      </c>
      <c r="F2606" s="839" t="s">
        <v>277</v>
      </c>
      <c r="G2606" s="916">
        <f>VLOOKUP($A2606,'Tech Litons'!$A:$I,8,FALSE)</f>
        <v>3.7839999999999996E-3</v>
      </c>
      <c r="H2606" s="917">
        <f>VLOOKUP($A2606,'Tech Litons'!$A:$I,9,FALSE)</f>
        <v>255</v>
      </c>
      <c r="I2606" s="917" t="str">
        <f>VLOOKUP($A2606,'Tech Litons'!$A:$C,3,0)</f>
        <v>Talenti</v>
      </c>
      <c r="J2606" s="918" t="str">
        <f t="shared" si="259"/>
        <v>2904Talenti</v>
      </c>
      <c r="K2606" s="919">
        <v>1</v>
      </c>
      <c r="L2606" s="920">
        <f t="shared" si="258"/>
        <v>15292</v>
      </c>
      <c r="M2606" s="920">
        <f t="shared" si="260"/>
        <v>57.864927999999992</v>
      </c>
      <c r="N2606" s="920">
        <f t="shared" si="261"/>
        <v>59.968627450980392</v>
      </c>
      <c r="O2606" s="918" t="str">
        <f t="shared" si="262"/>
        <v>Feb</v>
      </c>
      <c r="P2606" s="921">
        <f t="shared" si="263"/>
        <v>9</v>
      </c>
    </row>
    <row r="2607" spans="1:16" ht="15" hidden="1" customHeight="1">
      <c r="A2607" s="839">
        <v>68860662</v>
      </c>
      <c r="B2607" s="839">
        <v>2904</v>
      </c>
      <c r="C2607" s="906">
        <v>8551</v>
      </c>
      <c r="D2607" s="907">
        <v>46050</v>
      </c>
      <c r="E2607" s="839" t="s">
        <v>411</v>
      </c>
      <c r="F2607" s="839" t="s">
        <v>277</v>
      </c>
      <c r="G2607" s="916">
        <f>VLOOKUP($A2607,'Tech Litons'!$A:$I,8,FALSE)</f>
        <v>3.7839999999999996E-3</v>
      </c>
      <c r="H2607" s="917">
        <f>VLOOKUP($A2607,'Tech Litons'!$A:$I,9,FALSE)</f>
        <v>255</v>
      </c>
      <c r="I2607" s="917" t="str">
        <f>VLOOKUP($A2607,'Tech Litons'!$A:$C,3,0)</f>
        <v>Talenti</v>
      </c>
      <c r="J2607" s="918" t="str">
        <f t="shared" ref="J2607:J2670" si="264">B2607&amp;I2607</f>
        <v>2904Talenti</v>
      </c>
      <c r="K2607" s="919">
        <v>1</v>
      </c>
      <c r="L2607" s="920">
        <f t="shared" ref="L2607:L2669" si="265">C2607*$K2607</f>
        <v>8551</v>
      </c>
      <c r="M2607" s="920">
        <f t="shared" ref="M2607:M2670" si="266">L2607*G2607</f>
        <v>32.356983999999997</v>
      </c>
      <c r="N2607" s="920">
        <f t="shared" ref="N2607:N2670" si="267">L2607/H2607</f>
        <v>33.533333333333331</v>
      </c>
      <c r="O2607" s="918" t="str">
        <f t="shared" ref="O2607:O2670" si="268">TEXT(D2607,"MMM")</f>
        <v>Jan</v>
      </c>
      <c r="P2607" s="921">
        <f t="shared" ref="P2607:P2670" si="269">WEEKNUM(D2607)</f>
        <v>5</v>
      </c>
    </row>
    <row r="2608" spans="1:16" ht="15" hidden="1" customHeight="1">
      <c r="A2608" s="839">
        <v>68860662</v>
      </c>
      <c r="B2608" s="839">
        <v>2904</v>
      </c>
      <c r="C2608" s="906">
        <v>6090</v>
      </c>
      <c r="D2608" s="907">
        <v>46073</v>
      </c>
      <c r="E2608" s="839" t="s">
        <v>411</v>
      </c>
      <c r="F2608" s="839" t="s">
        <v>277</v>
      </c>
      <c r="G2608" s="916">
        <f>VLOOKUP($A2608,'Tech Litons'!$A:$I,8,FALSE)</f>
        <v>3.7839999999999996E-3</v>
      </c>
      <c r="H2608" s="917">
        <f>VLOOKUP($A2608,'Tech Litons'!$A:$I,9,FALSE)</f>
        <v>255</v>
      </c>
      <c r="I2608" s="917" t="str">
        <f>VLOOKUP($A2608,'Tech Litons'!$A:$C,3,0)</f>
        <v>Talenti</v>
      </c>
      <c r="J2608" s="918" t="str">
        <f t="shared" si="264"/>
        <v>2904Talenti</v>
      </c>
      <c r="K2608" s="919">
        <v>1</v>
      </c>
      <c r="L2608" s="920">
        <f t="shared" si="265"/>
        <v>6090</v>
      </c>
      <c r="M2608" s="920">
        <f t="shared" si="266"/>
        <v>23.044559999999997</v>
      </c>
      <c r="N2608" s="920">
        <f t="shared" si="267"/>
        <v>23.882352941176471</v>
      </c>
      <c r="O2608" s="918" t="str">
        <f t="shared" si="268"/>
        <v>Feb</v>
      </c>
      <c r="P2608" s="921">
        <f t="shared" si="269"/>
        <v>8</v>
      </c>
    </row>
    <row r="2609" spans="1:16" ht="15" hidden="1" customHeight="1">
      <c r="A2609" s="839">
        <v>68860662</v>
      </c>
      <c r="B2609" s="839">
        <v>2904</v>
      </c>
      <c r="C2609" s="906">
        <v>4776</v>
      </c>
      <c r="D2609" s="907">
        <v>46074</v>
      </c>
      <c r="E2609" s="839" t="s">
        <v>411</v>
      </c>
      <c r="F2609" s="839" t="s">
        <v>277</v>
      </c>
      <c r="G2609" s="916">
        <f>VLOOKUP($A2609,'Tech Litons'!$A:$I,8,FALSE)</f>
        <v>3.7839999999999996E-3</v>
      </c>
      <c r="H2609" s="917">
        <f>VLOOKUP($A2609,'Tech Litons'!$A:$I,9,FALSE)</f>
        <v>255</v>
      </c>
      <c r="I2609" s="917" t="str">
        <f>VLOOKUP($A2609,'Tech Litons'!$A:$C,3,0)</f>
        <v>Talenti</v>
      </c>
      <c r="J2609" s="918" t="str">
        <f t="shared" si="264"/>
        <v>2904Talenti</v>
      </c>
      <c r="K2609" s="919">
        <v>1</v>
      </c>
      <c r="L2609" s="920">
        <f t="shared" si="265"/>
        <v>4776</v>
      </c>
      <c r="M2609" s="920">
        <f t="shared" si="266"/>
        <v>18.072384</v>
      </c>
      <c r="N2609" s="920">
        <f t="shared" si="267"/>
        <v>18.729411764705883</v>
      </c>
      <c r="O2609" s="918" t="str">
        <f t="shared" si="268"/>
        <v>Feb</v>
      </c>
      <c r="P2609" s="921">
        <f t="shared" si="269"/>
        <v>8</v>
      </c>
    </row>
    <row r="2610" spans="1:16" ht="15" hidden="1" customHeight="1">
      <c r="A2610" s="839">
        <v>68860663</v>
      </c>
      <c r="B2610" s="839">
        <v>2904</v>
      </c>
      <c r="C2610" s="906">
        <v>9180</v>
      </c>
      <c r="D2610" s="907">
        <v>46063</v>
      </c>
      <c r="E2610" s="839" t="s">
        <v>433</v>
      </c>
      <c r="F2610" s="839" t="s">
        <v>275</v>
      </c>
      <c r="G2610" s="916">
        <f>VLOOKUP($A2610,'Tech Litons'!$A:$I,8,FALSE)</f>
        <v>3.7839999999999996E-3</v>
      </c>
      <c r="H2610" s="917">
        <f>VLOOKUP($A2610,'Tech Litons'!$A:$I,9,FALSE)</f>
        <v>255</v>
      </c>
      <c r="I2610" s="917" t="str">
        <f>VLOOKUP($A2610,'Tech Litons'!$A:$C,3,0)</f>
        <v>Talenti</v>
      </c>
      <c r="J2610" s="918" t="str">
        <f t="shared" si="264"/>
        <v>2904Talenti</v>
      </c>
      <c r="K2610" s="919">
        <v>1</v>
      </c>
      <c r="L2610" s="920">
        <f t="shared" si="265"/>
        <v>9180</v>
      </c>
      <c r="M2610" s="920">
        <f t="shared" si="266"/>
        <v>34.737119999999997</v>
      </c>
      <c r="N2610" s="920">
        <f t="shared" si="267"/>
        <v>36</v>
      </c>
      <c r="O2610" s="918" t="str">
        <f t="shared" si="268"/>
        <v>Feb</v>
      </c>
      <c r="P2610" s="921">
        <f t="shared" si="269"/>
        <v>7</v>
      </c>
    </row>
    <row r="2611" spans="1:16" ht="15" hidden="1" customHeight="1">
      <c r="A2611" s="839">
        <v>68860663</v>
      </c>
      <c r="B2611" s="839">
        <v>2904</v>
      </c>
      <c r="C2611" s="906">
        <v>7139</v>
      </c>
      <c r="D2611" s="907">
        <v>46064</v>
      </c>
      <c r="E2611" s="839" t="s">
        <v>433</v>
      </c>
      <c r="F2611" s="839" t="s">
        <v>275</v>
      </c>
      <c r="G2611" s="916">
        <f>VLOOKUP($A2611,'Tech Litons'!$A:$I,8,FALSE)</f>
        <v>3.7839999999999996E-3</v>
      </c>
      <c r="H2611" s="917">
        <f>VLOOKUP($A2611,'Tech Litons'!$A:$I,9,FALSE)</f>
        <v>255</v>
      </c>
      <c r="I2611" s="917" t="str">
        <f>VLOOKUP($A2611,'Tech Litons'!$A:$C,3,0)</f>
        <v>Talenti</v>
      </c>
      <c r="J2611" s="918" t="str">
        <f t="shared" si="264"/>
        <v>2904Talenti</v>
      </c>
      <c r="K2611" s="919">
        <v>1</v>
      </c>
      <c r="L2611" s="920">
        <f t="shared" si="265"/>
        <v>7139</v>
      </c>
      <c r="M2611" s="920">
        <f t="shared" si="266"/>
        <v>27.013975999999996</v>
      </c>
      <c r="N2611" s="920">
        <f t="shared" si="267"/>
        <v>27.996078431372549</v>
      </c>
      <c r="O2611" s="918" t="str">
        <f t="shared" si="268"/>
        <v>Feb</v>
      </c>
      <c r="P2611" s="921">
        <f t="shared" si="269"/>
        <v>7</v>
      </c>
    </row>
    <row r="2612" spans="1:16" ht="15" hidden="1" customHeight="1">
      <c r="A2612" s="839">
        <v>68860663</v>
      </c>
      <c r="B2612" s="839">
        <v>2904</v>
      </c>
      <c r="C2612" s="906">
        <v>5100</v>
      </c>
      <c r="D2612" s="907">
        <v>46063</v>
      </c>
      <c r="E2612" s="839" t="s">
        <v>433</v>
      </c>
      <c r="F2612" s="839" t="s">
        <v>275</v>
      </c>
      <c r="G2612" s="916">
        <f>VLOOKUP($A2612,'Tech Litons'!$A:$I,8,FALSE)</f>
        <v>3.7839999999999996E-3</v>
      </c>
      <c r="H2612" s="917">
        <f>VLOOKUP($A2612,'Tech Litons'!$A:$I,9,FALSE)</f>
        <v>255</v>
      </c>
      <c r="I2612" s="917" t="str">
        <f>VLOOKUP($A2612,'Tech Litons'!$A:$C,3,0)</f>
        <v>Talenti</v>
      </c>
      <c r="J2612" s="918" t="str">
        <f t="shared" si="264"/>
        <v>2904Talenti</v>
      </c>
      <c r="K2612" s="919">
        <v>1</v>
      </c>
      <c r="L2612" s="920">
        <f t="shared" si="265"/>
        <v>5100</v>
      </c>
      <c r="M2612" s="920">
        <f t="shared" si="266"/>
        <v>19.298399999999997</v>
      </c>
      <c r="N2612" s="920">
        <f t="shared" si="267"/>
        <v>20</v>
      </c>
      <c r="O2612" s="918" t="str">
        <f t="shared" si="268"/>
        <v>Feb</v>
      </c>
      <c r="P2612" s="921">
        <f t="shared" si="269"/>
        <v>7</v>
      </c>
    </row>
    <row r="2613" spans="1:16" ht="15" hidden="1" customHeight="1">
      <c r="A2613" s="839">
        <v>68860671</v>
      </c>
      <c r="B2613" s="839">
        <v>2904</v>
      </c>
      <c r="C2613" s="906">
        <v>680</v>
      </c>
      <c r="D2613" s="907">
        <v>46056</v>
      </c>
      <c r="E2613" s="839" t="s">
        <v>422</v>
      </c>
      <c r="F2613" s="839" t="s">
        <v>275</v>
      </c>
      <c r="G2613" s="916">
        <f>VLOOKUP($A2613,'Tech Litons'!$A:$I,8,FALSE)</f>
        <v>3.7839999999999996E-3</v>
      </c>
      <c r="H2613" s="917">
        <f>VLOOKUP($A2613,'Tech Litons'!$A:$I,9,FALSE)</f>
        <v>255</v>
      </c>
      <c r="I2613" s="917" t="str">
        <f>VLOOKUP($A2613,'Tech Litons'!$A:$C,3,0)</f>
        <v>Talenti</v>
      </c>
      <c r="J2613" s="918" t="str">
        <f t="shared" si="264"/>
        <v>2904Talenti</v>
      </c>
      <c r="K2613" s="919">
        <v>1</v>
      </c>
      <c r="L2613" s="920">
        <f t="shared" si="265"/>
        <v>680</v>
      </c>
      <c r="M2613" s="920">
        <f t="shared" si="266"/>
        <v>2.5731199999999999</v>
      </c>
      <c r="N2613" s="920">
        <f t="shared" si="267"/>
        <v>2.6666666666666665</v>
      </c>
      <c r="O2613" s="918" t="str">
        <f t="shared" si="268"/>
        <v>Feb</v>
      </c>
      <c r="P2613" s="921">
        <f t="shared" si="269"/>
        <v>6</v>
      </c>
    </row>
    <row r="2614" spans="1:16" ht="15" hidden="1" customHeight="1">
      <c r="A2614" s="839">
        <v>68860671</v>
      </c>
      <c r="B2614" s="839">
        <v>2904</v>
      </c>
      <c r="C2614" s="906">
        <v>5707</v>
      </c>
      <c r="D2614" s="907">
        <v>46057</v>
      </c>
      <c r="E2614" s="839" t="s">
        <v>422</v>
      </c>
      <c r="F2614" s="839" t="s">
        <v>275</v>
      </c>
      <c r="G2614" s="916">
        <f>VLOOKUP($A2614,'Tech Litons'!$A:$I,8,FALSE)</f>
        <v>3.7839999999999996E-3</v>
      </c>
      <c r="H2614" s="917">
        <f>VLOOKUP($A2614,'Tech Litons'!$A:$I,9,FALSE)</f>
        <v>255</v>
      </c>
      <c r="I2614" s="917" t="str">
        <f>VLOOKUP($A2614,'Tech Litons'!$A:$C,3,0)</f>
        <v>Talenti</v>
      </c>
      <c r="J2614" s="918" t="str">
        <f t="shared" si="264"/>
        <v>2904Talenti</v>
      </c>
      <c r="K2614" s="919">
        <v>1</v>
      </c>
      <c r="L2614" s="920">
        <f t="shared" si="265"/>
        <v>5707</v>
      </c>
      <c r="M2614" s="920">
        <f t="shared" si="266"/>
        <v>21.595287999999996</v>
      </c>
      <c r="N2614" s="920">
        <f t="shared" si="267"/>
        <v>22.380392156862744</v>
      </c>
      <c r="O2614" s="918" t="str">
        <f t="shared" si="268"/>
        <v>Feb</v>
      </c>
      <c r="P2614" s="921">
        <f t="shared" si="269"/>
        <v>6</v>
      </c>
    </row>
    <row r="2615" spans="1:16" ht="15" hidden="1" customHeight="1">
      <c r="A2615" s="839">
        <v>68860671</v>
      </c>
      <c r="B2615" s="839">
        <v>2904</v>
      </c>
      <c r="C2615" s="906">
        <v>2521</v>
      </c>
      <c r="D2615" s="907">
        <v>46057</v>
      </c>
      <c r="E2615" s="839" t="s">
        <v>422</v>
      </c>
      <c r="F2615" s="839" t="s">
        <v>275</v>
      </c>
      <c r="G2615" s="916">
        <f>VLOOKUP($A2615,'Tech Litons'!$A:$I,8,FALSE)</f>
        <v>3.7839999999999996E-3</v>
      </c>
      <c r="H2615" s="917">
        <f>VLOOKUP($A2615,'Tech Litons'!$A:$I,9,FALSE)</f>
        <v>255</v>
      </c>
      <c r="I2615" s="917" t="str">
        <f>VLOOKUP($A2615,'Tech Litons'!$A:$C,3,0)</f>
        <v>Talenti</v>
      </c>
      <c r="J2615" s="918" t="str">
        <f t="shared" si="264"/>
        <v>2904Talenti</v>
      </c>
      <c r="K2615" s="919">
        <v>1</v>
      </c>
      <c r="L2615" s="920">
        <f t="shared" si="265"/>
        <v>2521</v>
      </c>
      <c r="M2615" s="920">
        <f t="shared" si="266"/>
        <v>9.5394639999999988</v>
      </c>
      <c r="N2615" s="920">
        <f t="shared" si="267"/>
        <v>9.886274509803922</v>
      </c>
      <c r="O2615" s="918" t="str">
        <f t="shared" si="268"/>
        <v>Feb</v>
      </c>
      <c r="P2615" s="921">
        <f t="shared" si="269"/>
        <v>6</v>
      </c>
    </row>
    <row r="2616" spans="1:16" ht="15" hidden="1" customHeight="1">
      <c r="A2616" s="839">
        <v>68860671</v>
      </c>
      <c r="B2616" s="839">
        <v>2904</v>
      </c>
      <c r="C2616" s="906">
        <v>7634</v>
      </c>
      <c r="D2616" s="907">
        <v>46058</v>
      </c>
      <c r="E2616" s="839" t="s">
        <v>422</v>
      </c>
      <c r="F2616" s="839" t="s">
        <v>275</v>
      </c>
      <c r="G2616" s="916">
        <f>VLOOKUP($A2616,'Tech Litons'!$A:$I,8,FALSE)</f>
        <v>3.7839999999999996E-3</v>
      </c>
      <c r="H2616" s="917">
        <f>VLOOKUP($A2616,'Tech Litons'!$A:$I,9,FALSE)</f>
        <v>255</v>
      </c>
      <c r="I2616" s="917" t="str">
        <f>VLOOKUP($A2616,'Tech Litons'!$A:$C,3,0)</f>
        <v>Talenti</v>
      </c>
      <c r="J2616" s="918" t="str">
        <f t="shared" si="264"/>
        <v>2904Talenti</v>
      </c>
      <c r="K2616" s="919">
        <v>1</v>
      </c>
      <c r="L2616" s="920">
        <f t="shared" si="265"/>
        <v>7634</v>
      </c>
      <c r="M2616" s="920">
        <f t="shared" si="266"/>
        <v>28.887055999999998</v>
      </c>
      <c r="N2616" s="920">
        <f t="shared" si="267"/>
        <v>29.937254901960785</v>
      </c>
      <c r="O2616" s="918" t="str">
        <f t="shared" si="268"/>
        <v>Feb</v>
      </c>
      <c r="P2616" s="921">
        <f t="shared" si="269"/>
        <v>6</v>
      </c>
    </row>
    <row r="2617" spans="1:16" ht="15" hidden="1" customHeight="1">
      <c r="A2617" s="839">
        <v>68860671</v>
      </c>
      <c r="B2617" s="839">
        <v>2904</v>
      </c>
      <c r="C2617" s="906">
        <v>4043</v>
      </c>
      <c r="D2617" s="907">
        <v>46058</v>
      </c>
      <c r="E2617" s="839" t="s">
        <v>422</v>
      </c>
      <c r="F2617" s="839" t="s">
        <v>275</v>
      </c>
      <c r="G2617" s="916">
        <f>VLOOKUP($A2617,'Tech Litons'!$A:$I,8,FALSE)</f>
        <v>3.7839999999999996E-3</v>
      </c>
      <c r="H2617" s="917">
        <f>VLOOKUP($A2617,'Tech Litons'!$A:$I,9,FALSE)</f>
        <v>255</v>
      </c>
      <c r="I2617" s="917" t="str">
        <f>VLOOKUP($A2617,'Tech Litons'!$A:$C,3,0)</f>
        <v>Talenti</v>
      </c>
      <c r="J2617" s="918" t="str">
        <f t="shared" si="264"/>
        <v>2904Talenti</v>
      </c>
      <c r="K2617" s="919">
        <v>1</v>
      </c>
      <c r="L2617" s="920">
        <f t="shared" si="265"/>
        <v>4043</v>
      </c>
      <c r="M2617" s="920">
        <f t="shared" si="266"/>
        <v>15.298711999999998</v>
      </c>
      <c r="N2617" s="920">
        <f t="shared" si="267"/>
        <v>15.854901960784314</v>
      </c>
      <c r="O2617" s="918" t="str">
        <f t="shared" si="268"/>
        <v>Feb</v>
      </c>
      <c r="P2617" s="921">
        <f t="shared" si="269"/>
        <v>6</v>
      </c>
    </row>
    <row r="2618" spans="1:16" ht="15" hidden="1" customHeight="1">
      <c r="A2618" s="839">
        <v>68860671</v>
      </c>
      <c r="B2618" s="839">
        <v>2904</v>
      </c>
      <c r="C2618" s="906">
        <v>8925</v>
      </c>
      <c r="D2618" s="907">
        <v>46059</v>
      </c>
      <c r="E2618" s="839" t="s">
        <v>422</v>
      </c>
      <c r="F2618" s="839" t="s">
        <v>275</v>
      </c>
      <c r="G2618" s="916">
        <f>VLOOKUP($A2618,'Tech Litons'!$A:$I,8,FALSE)</f>
        <v>3.7839999999999996E-3</v>
      </c>
      <c r="H2618" s="917">
        <f>VLOOKUP($A2618,'Tech Litons'!$A:$I,9,FALSE)</f>
        <v>255</v>
      </c>
      <c r="I2618" s="917" t="str">
        <f>VLOOKUP($A2618,'Tech Litons'!$A:$C,3,0)</f>
        <v>Talenti</v>
      </c>
      <c r="J2618" s="918" t="str">
        <f t="shared" si="264"/>
        <v>2904Talenti</v>
      </c>
      <c r="K2618" s="919">
        <v>1</v>
      </c>
      <c r="L2618" s="920">
        <f t="shared" si="265"/>
        <v>8925</v>
      </c>
      <c r="M2618" s="920">
        <f t="shared" si="266"/>
        <v>33.772199999999998</v>
      </c>
      <c r="N2618" s="920">
        <f t="shared" si="267"/>
        <v>35</v>
      </c>
      <c r="O2618" s="918" t="str">
        <f t="shared" si="268"/>
        <v>Feb</v>
      </c>
      <c r="P2618" s="921">
        <f t="shared" si="269"/>
        <v>6</v>
      </c>
    </row>
    <row r="2619" spans="1:16" ht="15" hidden="1" customHeight="1">
      <c r="A2619" s="839">
        <v>68860671</v>
      </c>
      <c r="B2619" s="839">
        <v>2904</v>
      </c>
      <c r="C2619" s="906">
        <v>-255</v>
      </c>
      <c r="D2619" s="907">
        <v>46073</v>
      </c>
      <c r="E2619" s="839" t="s">
        <v>422</v>
      </c>
      <c r="F2619" s="839" t="s">
        <v>275</v>
      </c>
      <c r="G2619" s="916">
        <f>VLOOKUP($A2619,'Tech Litons'!$A:$I,8,FALSE)</f>
        <v>3.7839999999999996E-3</v>
      </c>
      <c r="H2619" s="917">
        <f>VLOOKUP($A2619,'Tech Litons'!$A:$I,9,FALSE)</f>
        <v>255</v>
      </c>
      <c r="I2619" s="917" t="str">
        <f>VLOOKUP($A2619,'Tech Litons'!$A:$C,3,0)</f>
        <v>Talenti</v>
      </c>
      <c r="J2619" s="918" t="str">
        <f t="shared" si="264"/>
        <v>2904Talenti</v>
      </c>
      <c r="K2619" s="919">
        <v>1</v>
      </c>
      <c r="L2619" s="920">
        <f t="shared" si="265"/>
        <v>-255</v>
      </c>
      <c r="M2619" s="920">
        <f t="shared" si="266"/>
        <v>-0.96491999999999989</v>
      </c>
      <c r="N2619" s="920">
        <f t="shared" si="267"/>
        <v>-1</v>
      </c>
      <c r="O2619" s="918" t="str">
        <f t="shared" si="268"/>
        <v>Feb</v>
      </c>
      <c r="P2619" s="921">
        <f t="shared" si="269"/>
        <v>8</v>
      </c>
    </row>
    <row r="2620" spans="1:16" ht="15" hidden="1" customHeight="1">
      <c r="A2620" s="839">
        <v>68860671</v>
      </c>
      <c r="B2620" s="839">
        <v>2904</v>
      </c>
      <c r="C2620" s="906">
        <v>3217</v>
      </c>
      <c r="D2620" s="907">
        <v>46059</v>
      </c>
      <c r="E2620" s="839" t="s">
        <v>422</v>
      </c>
      <c r="F2620" s="839" t="s">
        <v>275</v>
      </c>
      <c r="G2620" s="916">
        <f>VLOOKUP($A2620,'Tech Litons'!$A:$I,8,FALSE)</f>
        <v>3.7839999999999996E-3</v>
      </c>
      <c r="H2620" s="917">
        <f>VLOOKUP($A2620,'Tech Litons'!$A:$I,9,FALSE)</f>
        <v>255</v>
      </c>
      <c r="I2620" s="917" t="str">
        <f>VLOOKUP($A2620,'Tech Litons'!$A:$C,3,0)</f>
        <v>Talenti</v>
      </c>
      <c r="J2620" s="918" t="str">
        <f t="shared" si="264"/>
        <v>2904Talenti</v>
      </c>
      <c r="K2620" s="919">
        <v>1</v>
      </c>
      <c r="L2620" s="920">
        <f t="shared" si="265"/>
        <v>3217</v>
      </c>
      <c r="M2620" s="920">
        <f t="shared" si="266"/>
        <v>12.173127999999998</v>
      </c>
      <c r="N2620" s="920">
        <f t="shared" si="267"/>
        <v>12.615686274509804</v>
      </c>
      <c r="O2620" s="918" t="str">
        <f t="shared" si="268"/>
        <v>Feb</v>
      </c>
      <c r="P2620" s="921">
        <f t="shared" si="269"/>
        <v>6</v>
      </c>
    </row>
    <row r="2621" spans="1:16" ht="15" hidden="1" customHeight="1">
      <c r="A2621" s="839">
        <v>68860671</v>
      </c>
      <c r="B2621" s="839">
        <v>2904</v>
      </c>
      <c r="C2621" s="906">
        <v>49</v>
      </c>
      <c r="D2621" s="907">
        <v>46060</v>
      </c>
      <c r="E2621" s="839" t="s">
        <v>422</v>
      </c>
      <c r="F2621" s="839" t="s">
        <v>275</v>
      </c>
      <c r="G2621" s="916">
        <f>VLOOKUP($A2621,'Tech Litons'!$A:$I,8,FALSE)</f>
        <v>3.7839999999999996E-3</v>
      </c>
      <c r="H2621" s="917">
        <f>VLOOKUP($A2621,'Tech Litons'!$A:$I,9,FALSE)</f>
        <v>255</v>
      </c>
      <c r="I2621" s="917" t="str">
        <f>VLOOKUP($A2621,'Tech Litons'!$A:$C,3,0)</f>
        <v>Talenti</v>
      </c>
      <c r="J2621" s="918" t="str">
        <f t="shared" si="264"/>
        <v>2904Talenti</v>
      </c>
      <c r="K2621" s="919">
        <v>1</v>
      </c>
      <c r="L2621" s="920">
        <f t="shared" si="265"/>
        <v>49</v>
      </c>
      <c r="M2621" s="920">
        <f t="shared" si="266"/>
        <v>0.18541599999999997</v>
      </c>
      <c r="N2621" s="920">
        <f t="shared" si="267"/>
        <v>0.19215686274509805</v>
      </c>
      <c r="O2621" s="918" t="str">
        <f t="shared" si="268"/>
        <v>Feb</v>
      </c>
      <c r="P2621" s="921">
        <f t="shared" si="269"/>
        <v>6</v>
      </c>
    </row>
    <row r="2622" spans="1:16" ht="15" hidden="1" customHeight="1">
      <c r="A2622" s="839">
        <v>68860671</v>
      </c>
      <c r="B2622" s="839">
        <v>2904</v>
      </c>
      <c r="C2622" s="906">
        <v>510</v>
      </c>
      <c r="D2622" s="907">
        <v>46062</v>
      </c>
      <c r="E2622" s="839" t="s">
        <v>422</v>
      </c>
      <c r="F2622" s="839" t="s">
        <v>275</v>
      </c>
      <c r="G2622" s="916">
        <f>VLOOKUP($A2622,'Tech Litons'!$A:$I,8,FALSE)</f>
        <v>3.7839999999999996E-3</v>
      </c>
      <c r="H2622" s="917">
        <f>VLOOKUP($A2622,'Tech Litons'!$A:$I,9,FALSE)</f>
        <v>255</v>
      </c>
      <c r="I2622" s="917" t="str">
        <f>VLOOKUP($A2622,'Tech Litons'!$A:$C,3,0)</f>
        <v>Talenti</v>
      </c>
      <c r="J2622" s="918" t="str">
        <f t="shared" si="264"/>
        <v>2904Talenti</v>
      </c>
      <c r="K2622" s="919">
        <v>1</v>
      </c>
      <c r="L2622" s="920">
        <f t="shared" si="265"/>
        <v>510</v>
      </c>
      <c r="M2622" s="920">
        <f t="shared" si="266"/>
        <v>1.9298399999999998</v>
      </c>
      <c r="N2622" s="920">
        <f t="shared" si="267"/>
        <v>2</v>
      </c>
      <c r="O2622" s="918" t="str">
        <f t="shared" si="268"/>
        <v>Feb</v>
      </c>
      <c r="P2622" s="921">
        <f t="shared" si="269"/>
        <v>7</v>
      </c>
    </row>
    <row r="2623" spans="1:16" ht="15" hidden="1" customHeight="1">
      <c r="A2623" s="839">
        <v>68862399</v>
      </c>
      <c r="B2623" s="839">
        <v>2904</v>
      </c>
      <c r="C2623" s="906">
        <v>15530</v>
      </c>
      <c r="D2623" s="907">
        <v>46066</v>
      </c>
      <c r="E2623" s="839" t="s">
        <v>387</v>
      </c>
      <c r="F2623" s="839" t="s">
        <v>277</v>
      </c>
      <c r="G2623" s="916">
        <f>VLOOKUP($A2623,'Tech Litons'!$A:$I,8,FALSE)</f>
        <v>3.7839999999999996E-3</v>
      </c>
      <c r="H2623" s="917">
        <f>VLOOKUP($A2623,'Tech Litons'!$A:$I,9,FALSE)</f>
        <v>255</v>
      </c>
      <c r="I2623" s="917" t="str">
        <f>VLOOKUP($A2623,'Tech Litons'!$A:$C,3,0)</f>
        <v>Talenti</v>
      </c>
      <c r="J2623" s="918" t="str">
        <f t="shared" si="264"/>
        <v>2904Talenti</v>
      </c>
      <c r="K2623" s="919">
        <v>1</v>
      </c>
      <c r="L2623" s="920">
        <f t="shared" si="265"/>
        <v>15530</v>
      </c>
      <c r="M2623" s="920">
        <f t="shared" si="266"/>
        <v>58.765519999999995</v>
      </c>
      <c r="N2623" s="920">
        <f t="shared" si="267"/>
        <v>60.901960784313722</v>
      </c>
      <c r="O2623" s="918" t="str">
        <f t="shared" si="268"/>
        <v>Feb</v>
      </c>
      <c r="P2623" s="921">
        <f t="shared" si="269"/>
        <v>7</v>
      </c>
    </row>
    <row r="2624" spans="1:16" ht="15" hidden="1" customHeight="1">
      <c r="A2624" s="839">
        <v>68862399</v>
      </c>
      <c r="B2624" s="839">
        <v>2904</v>
      </c>
      <c r="C2624" s="906">
        <v>14445</v>
      </c>
      <c r="D2624" s="907">
        <v>46065</v>
      </c>
      <c r="E2624" s="839" t="s">
        <v>387</v>
      </c>
      <c r="F2624" s="839" t="s">
        <v>277</v>
      </c>
      <c r="G2624" s="916">
        <f>VLOOKUP($A2624,'Tech Litons'!$A:$I,8,FALSE)</f>
        <v>3.7839999999999996E-3</v>
      </c>
      <c r="H2624" s="917">
        <f>VLOOKUP($A2624,'Tech Litons'!$A:$I,9,FALSE)</f>
        <v>255</v>
      </c>
      <c r="I2624" s="917" t="str">
        <f>VLOOKUP($A2624,'Tech Litons'!$A:$C,3,0)</f>
        <v>Talenti</v>
      </c>
      <c r="J2624" s="918" t="str">
        <f t="shared" si="264"/>
        <v>2904Talenti</v>
      </c>
      <c r="K2624" s="919">
        <v>1</v>
      </c>
      <c r="L2624" s="920">
        <f t="shared" si="265"/>
        <v>14445</v>
      </c>
      <c r="M2624" s="920">
        <f t="shared" si="266"/>
        <v>54.659879999999994</v>
      </c>
      <c r="N2624" s="920">
        <f t="shared" si="267"/>
        <v>56.647058823529413</v>
      </c>
      <c r="O2624" s="918" t="str">
        <f t="shared" si="268"/>
        <v>Feb</v>
      </c>
      <c r="P2624" s="921">
        <f t="shared" si="269"/>
        <v>7</v>
      </c>
    </row>
    <row r="2625" spans="1:16" ht="15" hidden="1" customHeight="1">
      <c r="A2625" s="839">
        <v>68862399</v>
      </c>
      <c r="B2625" s="839">
        <v>2904</v>
      </c>
      <c r="C2625" s="906">
        <v>17403</v>
      </c>
      <c r="D2625" s="907">
        <v>46066</v>
      </c>
      <c r="E2625" s="839" t="s">
        <v>387</v>
      </c>
      <c r="F2625" s="839" t="s">
        <v>277</v>
      </c>
      <c r="G2625" s="916">
        <f>VLOOKUP($A2625,'Tech Litons'!$A:$I,8,FALSE)</f>
        <v>3.7839999999999996E-3</v>
      </c>
      <c r="H2625" s="917">
        <f>VLOOKUP($A2625,'Tech Litons'!$A:$I,9,FALSE)</f>
        <v>255</v>
      </c>
      <c r="I2625" s="917" t="str">
        <f>VLOOKUP($A2625,'Tech Litons'!$A:$C,3,0)</f>
        <v>Talenti</v>
      </c>
      <c r="J2625" s="918" t="str">
        <f t="shared" si="264"/>
        <v>2904Talenti</v>
      </c>
      <c r="K2625" s="919">
        <v>1</v>
      </c>
      <c r="L2625" s="920">
        <f t="shared" si="265"/>
        <v>17403</v>
      </c>
      <c r="M2625" s="920">
        <f t="shared" si="266"/>
        <v>65.852951999999988</v>
      </c>
      <c r="N2625" s="920">
        <f t="shared" si="267"/>
        <v>68.247058823529414</v>
      </c>
      <c r="O2625" s="918" t="str">
        <f t="shared" si="268"/>
        <v>Feb</v>
      </c>
      <c r="P2625" s="921">
        <f t="shared" si="269"/>
        <v>7</v>
      </c>
    </row>
    <row r="2626" spans="1:16" ht="15" hidden="1" customHeight="1">
      <c r="A2626" s="839">
        <v>68862399</v>
      </c>
      <c r="B2626" s="839">
        <v>2904</v>
      </c>
      <c r="C2626" s="906">
        <v>1020</v>
      </c>
      <c r="D2626" s="907">
        <v>46064</v>
      </c>
      <c r="E2626" s="839" t="s">
        <v>387</v>
      </c>
      <c r="F2626" s="839" t="s">
        <v>277</v>
      </c>
      <c r="G2626" s="916">
        <f>VLOOKUP($A2626,'Tech Litons'!$A:$I,8,FALSE)</f>
        <v>3.7839999999999996E-3</v>
      </c>
      <c r="H2626" s="917">
        <f>VLOOKUP($A2626,'Tech Litons'!$A:$I,9,FALSE)</f>
        <v>255</v>
      </c>
      <c r="I2626" s="917" t="str">
        <f>VLOOKUP($A2626,'Tech Litons'!$A:$C,3,0)</f>
        <v>Talenti</v>
      </c>
      <c r="J2626" s="918" t="str">
        <f t="shared" si="264"/>
        <v>2904Talenti</v>
      </c>
      <c r="K2626" s="919">
        <v>1</v>
      </c>
      <c r="L2626" s="920">
        <f t="shared" si="265"/>
        <v>1020</v>
      </c>
      <c r="M2626" s="920">
        <f t="shared" si="266"/>
        <v>3.8596799999999996</v>
      </c>
      <c r="N2626" s="920">
        <f t="shared" si="267"/>
        <v>4</v>
      </c>
      <c r="O2626" s="918" t="str">
        <f t="shared" si="268"/>
        <v>Feb</v>
      </c>
      <c r="P2626" s="921">
        <f t="shared" si="269"/>
        <v>7</v>
      </c>
    </row>
    <row r="2627" spans="1:16" ht="15" hidden="1" customHeight="1">
      <c r="A2627" s="839">
        <v>68862399</v>
      </c>
      <c r="B2627" s="839">
        <v>2904</v>
      </c>
      <c r="C2627" s="906">
        <v>17769</v>
      </c>
      <c r="D2627" s="907">
        <v>46065</v>
      </c>
      <c r="E2627" s="839" t="s">
        <v>387</v>
      </c>
      <c r="F2627" s="839" t="s">
        <v>277</v>
      </c>
      <c r="G2627" s="916">
        <f>VLOOKUP($A2627,'Tech Litons'!$A:$I,8,FALSE)</f>
        <v>3.7839999999999996E-3</v>
      </c>
      <c r="H2627" s="917">
        <f>VLOOKUP($A2627,'Tech Litons'!$A:$I,9,FALSE)</f>
        <v>255</v>
      </c>
      <c r="I2627" s="917" t="str">
        <f>VLOOKUP($A2627,'Tech Litons'!$A:$C,3,0)</f>
        <v>Talenti</v>
      </c>
      <c r="J2627" s="918" t="str">
        <f t="shared" si="264"/>
        <v>2904Talenti</v>
      </c>
      <c r="K2627" s="919">
        <v>1</v>
      </c>
      <c r="L2627" s="920">
        <f t="shared" si="265"/>
        <v>17769</v>
      </c>
      <c r="M2627" s="920">
        <f t="shared" si="266"/>
        <v>67.237895999999992</v>
      </c>
      <c r="N2627" s="920">
        <f t="shared" si="267"/>
        <v>69.682352941176475</v>
      </c>
      <c r="O2627" s="918" t="str">
        <f t="shared" si="268"/>
        <v>Feb</v>
      </c>
      <c r="P2627" s="921">
        <f t="shared" si="269"/>
        <v>7</v>
      </c>
    </row>
    <row r="2628" spans="1:16" ht="15" hidden="1" customHeight="1">
      <c r="A2628" s="839">
        <v>68862402</v>
      </c>
      <c r="B2628" s="839">
        <v>2904</v>
      </c>
      <c r="C2628" s="906">
        <v>3757</v>
      </c>
      <c r="D2628" s="907">
        <v>46053</v>
      </c>
      <c r="E2628" s="839" t="s">
        <v>401</v>
      </c>
      <c r="F2628" s="839" t="s">
        <v>277</v>
      </c>
      <c r="G2628" s="916">
        <f>VLOOKUP($A2628,'Tech Litons'!$A:$I,8,FALSE)</f>
        <v>3.7839999999999996E-3</v>
      </c>
      <c r="H2628" s="917">
        <f>VLOOKUP($A2628,'Tech Litons'!$A:$I,9,FALSE)</f>
        <v>255</v>
      </c>
      <c r="I2628" s="917" t="str">
        <f>VLOOKUP($A2628,'Tech Litons'!$A:$C,3,0)</f>
        <v>Talenti</v>
      </c>
      <c r="J2628" s="918" t="str">
        <f t="shared" si="264"/>
        <v>2904Talenti</v>
      </c>
      <c r="K2628" s="919">
        <v>1</v>
      </c>
      <c r="L2628" s="920">
        <f t="shared" si="265"/>
        <v>3757</v>
      </c>
      <c r="M2628" s="920">
        <f t="shared" si="266"/>
        <v>14.216487999999998</v>
      </c>
      <c r="N2628" s="920">
        <f t="shared" si="267"/>
        <v>14.733333333333333</v>
      </c>
      <c r="O2628" s="918" t="str">
        <f t="shared" si="268"/>
        <v>Jan</v>
      </c>
      <c r="P2628" s="921">
        <f t="shared" si="269"/>
        <v>5</v>
      </c>
    </row>
    <row r="2629" spans="1:16" ht="15" hidden="1" customHeight="1">
      <c r="A2629" s="839">
        <v>68862402</v>
      </c>
      <c r="B2629" s="839">
        <v>2904</v>
      </c>
      <c r="C2629" s="906">
        <v>13863</v>
      </c>
      <c r="D2629" s="907">
        <v>46053</v>
      </c>
      <c r="E2629" s="839" t="s">
        <v>401</v>
      </c>
      <c r="F2629" s="839" t="s">
        <v>277</v>
      </c>
      <c r="G2629" s="916">
        <f>VLOOKUP($A2629,'Tech Litons'!$A:$I,8,FALSE)</f>
        <v>3.7839999999999996E-3</v>
      </c>
      <c r="H2629" s="917">
        <f>VLOOKUP($A2629,'Tech Litons'!$A:$I,9,FALSE)</f>
        <v>255</v>
      </c>
      <c r="I2629" s="917" t="str">
        <f>VLOOKUP($A2629,'Tech Litons'!$A:$C,3,0)</f>
        <v>Talenti</v>
      </c>
      <c r="J2629" s="918" t="str">
        <f t="shared" si="264"/>
        <v>2904Talenti</v>
      </c>
      <c r="K2629" s="919">
        <v>1</v>
      </c>
      <c r="L2629" s="920">
        <f t="shared" si="265"/>
        <v>13863</v>
      </c>
      <c r="M2629" s="920">
        <f t="shared" si="266"/>
        <v>52.457591999999991</v>
      </c>
      <c r="N2629" s="920">
        <f t="shared" si="267"/>
        <v>54.364705882352943</v>
      </c>
      <c r="O2629" s="918" t="str">
        <f t="shared" si="268"/>
        <v>Jan</v>
      </c>
      <c r="P2629" s="921">
        <f t="shared" si="269"/>
        <v>5</v>
      </c>
    </row>
    <row r="2630" spans="1:16" ht="15" hidden="1" customHeight="1">
      <c r="A2630" s="839">
        <v>68862402</v>
      </c>
      <c r="B2630" s="839">
        <v>2904</v>
      </c>
      <c r="C2630" s="906">
        <v>4553</v>
      </c>
      <c r="D2630" s="907">
        <v>46054</v>
      </c>
      <c r="E2630" s="839" t="s">
        <v>401</v>
      </c>
      <c r="F2630" s="839" t="s">
        <v>277</v>
      </c>
      <c r="G2630" s="916">
        <f>VLOOKUP($A2630,'Tech Litons'!$A:$I,8,FALSE)</f>
        <v>3.7839999999999996E-3</v>
      </c>
      <c r="H2630" s="917">
        <f>VLOOKUP($A2630,'Tech Litons'!$A:$I,9,FALSE)</f>
        <v>255</v>
      </c>
      <c r="I2630" s="917" t="str">
        <f>VLOOKUP($A2630,'Tech Litons'!$A:$C,3,0)</f>
        <v>Talenti</v>
      </c>
      <c r="J2630" s="918" t="str">
        <f t="shared" si="264"/>
        <v>2904Talenti</v>
      </c>
      <c r="K2630" s="919">
        <v>1</v>
      </c>
      <c r="L2630" s="920">
        <f t="shared" si="265"/>
        <v>4553</v>
      </c>
      <c r="M2630" s="920">
        <f t="shared" si="266"/>
        <v>17.228551999999997</v>
      </c>
      <c r="N2630" s="920">
        <f t="shared" si="267"/>
        <v>17.854901960784314</v>
      </c>
      <c r="O2630" s="918" t="str">
        <f t="shared" si="268"/>
        <v>Feb</v>
      </c>
      <c r="P2630" s="921">
        <f t="shared" si="269"/>
        <v>6</v>
      </c>
    </row>
    <row r="2631" spans="1:16" ht="15" hidden="1" customHeight="1">
      <c r="A2631" s="839">
        <v>68862402</v>
      </c>
      <c r="B2631" s="839">
        <v>2904</v>
      </c>
      <c r="C2631" s="906">
        <v>-255</v>
      </c>
      <c r="D2631" s="907">
        <v>46059</v>
      </c>
      <c r="E2631" s="839" t="s">
        <v>401</v>
      </c>
      <c r="F2631" s="839" t="s">
        <v>277</v>
      </c>
      <c r="G2631" s="916">
        <f>VLOOKUP($A2631,'Tech Litons'!$A:$I,8,FALSE)</f>
        <v>3.7839999999999996E-3</v>
      </c>
      <c r="H2631" s="917">
        <f>VLOOKUP($A2631,'Tech Litons'!$A:$I,9,FALSE)</f>
        <v>255</v>
      </c>
      <c r="I2631" s="917" t="str">
        <f>VLOOKUP($A2631,'Tech Litons'!$A:$C,3,0)</f>
        <v>Talenti</v>
      </c>
      <c r="J2631" s="918" t="str">
        <f t="shared" si="264"/>
        <v>2904Talenti</v>
      </c>
      <c r="K2631" s="919">
        <v>1</v>
      </c>
      <c r="L2631" s="920">
        <f t="shared" si="265"/>
        <v>-255</v>
      </c>
      <c r="M2631" s="920">
        <f t="shared" si="266"/>
        <v>-0.96491999999999989</v>
      </c>
      <c r="N2631" s="920">
        <f t="shared" si="267"/>
        <v>-1</v>
      </c>
      <c r="O2631" s="918" t="str">
        <f t="shared" si="268"/>
        <v>Feb</v>
      </c>
      <c r="P2631" s="921">
        <f t="shared" si="269"/>
        <v>6</v>
      </c>
    </row>
    <row r="2632" spans="1:16" ht="15" hidden="1" customHeight="1">
      <c r="A2632" s="839">
        <v>68862402</v>
      </c>
      <c r="B2632" s="839">
        <v>2904</v>
      </c>
      <c r="C2632" s="906">
        <v>16938</v>
      </c>
      <c r="D2632" s="907">
        <v>46054</v>
      </c>
      <c r="E2632" s="839" t="s">
        <v>401</v>
      </c>
      <c r="F2632" s="839" t="s">
        <v>277</v>
      </c>
      <c r="G2632" s="916">
        <f>VLOOKUP($A2632,'Tech Litons'!$A:$I,8,FALSE)</f>
        <v>3.7839999999999996E-3</v>
      </c>
      <c r="H2632" s="917">
        <f>VLOOKUP($A2632,'Tech Litons'!$A:$I,9,FALSE)</f>
        <v>255</v>
      </c>
      <c r="I2632" s="917" t="str">
        <f>VLOOKUP($A2632,'Tech Litons'!$A:$C,3,0)</f>
        <v>Talenti</v>
      </c>
      <c r="J2632" s="918" t="str">
        <f t="shared" si="264"/>
        <v>2904Talenti</v>
      </c>
      <c r="K2632" s="919">
        <v>1</v>
      </c>
      <c r="L2632" s="920">
        <f t="shared" si="265"/>
        <v>16938</v>
      </c>
      <c r="M2632" s="920">
        <f t="shared" si="266"/>
        <v>64.093391999999994</v>
      </c>
      <c r="N2632" s="920">
        <f t="shared" si="267"/>
        <v>66.423529411764704</v>
      </c>
      <c r="O2632" s="918" t="str">
        <f t="shared" si="268"/>
        <v>Feb</v>
      </c>
      <c r="P2632" s="921">
        <f t="shared" si="269"/>
        <v>6</v>
      </c>
    </row>
    <row r="2633" spans="1:16" ht="15" hidden="1" customHeight="1">
      <c r="A2633" s="839">
        <v>68862402</v>
      </c>
      <c r="B2633" s="839">
        <v>2904</v>
      </c>
      <c r="C2633" s="906">
        <v>7782</v>
      </c>
      <c r="D2633" s="907">
        <v>46055</v>
      </c>
      <c r="E2633" s="839" t="s">
        <v>401</v>
      </c>
      <c r="F2633" s="839" t="s">
        <v>277</v>
      </c>
      <c r="G2633" s="916">
        <f>VLOOKUP($A2633,'Tech Litons'!$A:$I,8,FALSE)</f>
        <v>3.7839999999999996E-3</v>
      </c>
      <c r="H2633" s="917">
        <f>VLOOKUP($A2633,'Tech Litons'!$A:$I,9,FALSE)</f>
        <v>255</v>
      </c>
      <c r="I2633" s="917" t="str">
        <f>VLOOKUP($A2633,'Tech Litons'!$A:$C,3,0)</f>
        <v>Talenti</v>
      </c>
      <c r="J2633" s="918" t="str">
        <f t="shared" si="264"/>
        <v>2904Talenti</v>
      </c>
      <c r="K2633" s="919">
        <v>1</v>
      </c>
      <c r="L2633" s="920">
        <f t="shared" si="265"/>
        <v>7782</v>
      </c>
      <c r="M2633" s="920">
        <f t="shared" si="266"/>
        <v>29.447087999999997</v>
      </c>
      <c r="N2633" s="920">
        <f t="shared" si="267"/>
        <v>30.517647058823531</v>
      </c>
      <c r="O2633" s="918" t="str">
        <f t="shared" si="268"/>
        <v>Feb</v>
      </c>
      <c r="P2633" s="921">
        <f t="shared" si="269"/>
        <v>6</v>
      </c>
    </row>
    <row r="2634" spans="1:16" ht="15" hidden="1" customHeight="1">
      <c r="A2634" s="839">
        <v>68862402</v>
      </c>
      <c r="B2634" s="839">
        <v>2904</v>
      </c>
      <c r="C2634" s="906">
        <v>8680</v>
      </c>
      <c r="D2634" s="907">
        <v>46055</v>
      </c>
      <c r="E2634" s="839" t="s">
        <v>401</v>
      </c>
      <c r="F2634" s="839" t="s">
        <v>277</v>
      </c>
      <c r="G2634" s="916">
        <f>VLOOKUP($A2634,'Tech Litons'!$A:$I,8,FALSE)</f>
        <v>3.7839999999999996E-3</v>
      </c>
      <c r="H2634" s="917">
        <f>VLOOKUP($A2634,'Tech Litons'!$A:$I,9,FALSE)</f>
        <v>255</v>
      </c>
      <c r="I2634" s="917" t="str">
        <f>VLOOKUP($A2634,'Tech Litons'!$A:$C,3,0)</f>
        <v>Talenti</v>
      </c>
      <c r="J2634" s="918" t="str">
        <f t="shared" si="264"/>
        <v>2904Talenti</v>
      </c>
      <c r="K2634" s="919">
        <v>1</v>
      </c>
      <c r="L2634" s="920">
        <f t="shared" si="265"/>
        <v>8680</v>
      </c>
      <c r="M2634" s="920">
        <f t="shared" si="266"/>
        <v>32.845119999999994</v>
      </c>
      <c r="N2634" s="920">
        <f t="shared" si="267"/>
        <v>34.03921568627451</v>
      </c>
      <c r="O2634" s="918" t="str">
        <f t="shared" si="268"/>
        <v>Feb</v>
      </c>
      <c r="P2634" s="921">
        <f t="shared" si="269"/>
        <v>6</v>
      </c>
    </row>
    <row r="2635" spans="1:16" ht="15" hidden="1" customHeight="1">
      <c r="A2635" s="839">
        <v>68862402</v>
      </c>
      <c r="B2635" s="839">
        <v>2904</v>
      </c>
      <c r="C2635" s="906">
        <v>4132</v>
      </c>
      <c r="D2635" s="907">
        <v>46056</v>
      </c>
      <c r="E2635" s="839" t="s">
        <v>401</v>
      </c>
      <c r="F2635" s="839" t="s">
        <v>277</v>
      </c>
      <c r="G2635" s="916">
        <f>VLOOKUP($A2635,'Tech Litons'!$A:$I,8,FALSE)</f>
        <v>3.7839999999999996E-3</v>
      </c>
      <c r="H2635" s="917">
        <f>VLOOKUP($A2635,'Tech Litons'!$A:$I,9,FALSE)</f>
        <v>255</v>
      </c>
      <c r="I2635" s="917" t="str">
        <f>VLOOKUP($A2635,'Tech Litons'!$A:$C,3,0)</f>
        <v>Talenti</v>
      </c>
      <c r="J2635" s="918" t="str">
        <f t="shared" si="264"/>
        <v>2904Talenti</v>
      </c>
      <c r="K2635" s="919">
        <v>1</v>
      </c>
      <c r="L2635" s="920">
        <f t="shared" si="265"/>
        <v>4132</v>
      </c>
      <c r="M2635" s="920">
        <f t="shared" si="266"/>
        <v>15.635487999999999</v>
      </c>
      <c r="N2635" s="920">
        <f t="shared" si="267"/>
        <v>16.20392156862745</v>
      </c>
      <c r="O2635" s="918" t="str">
        <f t="shared" si="268"/>
        <v>Feb</v>
      </c>
      <c r="P2635" s="921">
        <f t="shared" si="269"/>
        <v>6</v>
      </c>
    </row>
    <row r="2636" spans="1:16" ht="15" hidden="1" customHeight="1">
      <c r="A2636" s="839">
        <v>68862402</v>
      </c>
      <c r="B2636" s="839">
        <v>2904</v>
      </c>
      <c r="C2636" s="906">
        <v>10145</v>
      </c>
      <c r="D2636" s="907">
        <v>46056</v>
      </c>
      <c r="E2636" s="839" t="s">
        <v>401</v>
      </c>
      <c r="F2636" s="839" t="s">
        <v>277</v>
      </c>
      <c r="G2636" s="916">
        <f>VLOOKUP($A2636,'Tech Litons'!$A:$I,8,FALSE)</f>
        <v>3.7839999999999996E-3</v>
      </c>
      <c r="H2636" s="917">
        <f>VLOOKUP($A2636,'Tech Litons'!$A:$I,9,FALSE)</f>
        <v>255</v>
      </c>
      <c r="I2636" s="917" t="str">
        <f>VLOOKUP($A2636,'Tech Litons'!$A:$C,3,0)</f>
        <v>Talenti</v>
      </c>
      <c r="J2636" s="918" t="str">
        <f t="shared" si="264"/>
        <v>2904Talenti</v>
      </c>
      <c r="K2636" s="919">
        <v>1</v>
      </c>
      <c r="L2636" s="920">
        <f t="shared" si="265"/>
        <v>10145</v>
      </c>
      <c r="M2636" s="920">
        <f t="shared" si="266"/>
        <v>38.388679999999994</v>
      </c>
      <c r="N2636" s="920">
        <f t="shared" si="267"/>
        <v>39.784313725490193</v>
      </c>
      <c r="O2636" s="918" t="str">
        <f t="shared" si="268"/>
        <v>Feb</v>
      </c>
      <c r="P2636" s="921">
        <f t="shared" si="269"/>
        <v>6</v>
      </c>
    </row>
    <row r="2637" spans="1:16" ht="15" hidden="1" customHeight="1">
      <c r="A2637" s="839">
        <v>68862402</v>
      </c>
      <c r="B2637" s="839">
        <v>2904</v>
      </c>
      <c r="C2637" s="906">
        <v>4436</v>
      </c>
      <c r="D2637" s="907">
        <v>46057</v>
      </c>
      <c r="E2637" s="839" t="s">
        <v>401</v>
      </c>
      <c r="F2637" s="839" t="s">
        <v>277</v>
      </c>
      <c r="G2637" s="916">
        <f>VLOOKUP($A2637,'Tech Litons'!$A:$I,8,FALSE)</f>
        <v>3.7839999999999996E-3</v>
      </c>
      <c r="H2637" s="917">
        <f>VLOOKUP($A2637,'Tech Litons'!$A:$I,9,FALSE)</f>
        <v>255</v>
      </c>
      <c r="I2637" s="917" t="str">
        <f>VLOOKUP($A2637,'Tech Litons'!$A:$C,3,0)</f>
        <v>Talenti</v>
      </c>
      <c r="J2637" s="918" t="str">
        <f t="shared" si="264"/>
        <v>2904Talenti</v>
      </c>
      <c r="K2637" s="919">
        <v>1</v>
      </c>
      <c r="L2637" s="920">
        <f t="shared" si="265"/>
        <v>4436</v>
      </c>
      <c r="M2637" s="920">
        <f t="shared" si="266"/>
        <v>16.785823999999998</v>
      </c>
      <c r="N2637" s="920">
        <f t="shared" si="267"/>
        <v>17.396078431372548</v>
      </c>
      <c r="O2637" s="918" t="str">
        <f t="shared" si="268"/>
        <v>Feb</v>
      </c>
      <c r="P2637" s="921">
        <f t="shared" si="269"/>
        <v>6</v>
      </c>
    </row>
    <row r="2638" spans="1:16" ht="15" hidden="1" customHeight="1">
      <c r="A2638" s="839">
        <v>68862402</v>
      </c>
      <c r="B2638" s="839">
        <v>2904</v>
      </c>
      <c r="C2638" s="906">
        <v>10388</v>
      </c>
      <c r="D2638" s="907">
        <v>46057</v>
      </c>
      <c r="E2638" s="839" t="s">
        <v>401</v>
      </c>
      <c r="F2638" s="839" t="s">
        <v>277</v>
      </c>
      <c r="G2638" s="916">
        <f>VLOOKUP($A2638,'Tech Litons'!$A:$I,8,FALSE)</f>
        <v>3.7839999999999996E-3</v>
      </c>
      <c r="H2638" s="917">
        <f>VLOOKUP($A2638,'Tech Litons'!$A:$I,9,FALSE)</f>
        <v>255</v>
      </c>
      <c r="I2638" s="917" t="str">
        <f>VLOOKUP($A2638,'Tech Litons'!$A:$C,3,0)</f>
        <v>Talenti</v>
      </c>
      <c r="J2638" s="918" t="str">
        <f t="shared" si="264"/>
        <v>2904Talenti</v>
      </c>
      <c r="K2638" s="919">
        <v>1</v>
      </c>
      <c r="L2638" s="920">
        <f t="shared" si="265"/>
        <v>10388</v>
      </c>
      <c r="M2638" s="920">
        <f t="shared" si="266"/>
        <v>39.308191999999998</v>
      </c>
      <c r="N2638" s="920">
        <f t="shared" si="267"/>
        <v>40.737254901960782</v>
      </c>
      <c r="O2638" s="918" t="str">
        <f t="shared" si="268"/>
        <v>Feb</v>
      </c>
      <c r="P2638" s="921">
        <f t="shared" si="269"/>
        <v>6</v>
      </c>
    </row>
    <row r="2639" spans="1:16" ht="15" hidden="1" customHeight="1">
      <c r="A2639" s="839">
        <v>68862402</v>
      </c>
      <c r="B2639" s="839">
        <v>2904</v>
      </c>
      <c r="C2639" s="906">
        <v>7306</v>
      </c>
      <c r="D2639" s="907">
        <v>46058</v>
      </c>
      <c r="E2639" s="839" t="s">
        <v>401</v>
      </c>
      <c r="F2639" s="839" t="s">
        <v>277</v>
      </c>
      <c r="G2639" s="916">
        <f>VLOOKUP($A2639,'Tech Litons'!$A:$I,8,FALSE)</f>
        <v>3.7839999999999996E-3</v>
      </c>
      <c r="H2639" s="917">
        <f>VLOOKUP($A2639,'Tech Litons'!$A:$I,9,FALSE)</f>
        <v>255</v>
      </c>
      <c r="I2639" s="917" t="str">
        <f>VLOOKUP($A2639,'Tech Litons'!$A:$C,3,0)</f>
        <v>Talenti</v>
      </c>
      <c r="J2639" s="918" t="str">
        <f t="shared" si="264"/>
        <v>2904Talenti</v>
      </c>
      <c r="K2639" s="919">
        <v>1</v>
      </c>
      <c r="L2639" s="920">
        <f t="shared" si="265"/>
        <v>7306</v>
      </c>
      <c r="M2639" s="920">
        <f t="shared" si="266"/>
        <v>27.645903999999998</v>
      </c>
      <c r="N2639" s="920">
        <f t="shared" si="267"/>
        <v>28.650980392156864</v>
      </c>
      <c r="O2639" s="918" t="str">
        <f t="shared" si="268"/>
        <v>Feb</v>
      </c>
      <c r="P2639" s="921">
        <f t="shared" si="269"/>
        <v>6</v>
      </c>
    </row>
    <row r="2640" spans="1:16" ht="15" hidden="1" customHeight="1">
      <c r="A2640" s="839">
        <v>68862511</v>
      </c>
      <c r="B2640" s="839">
        <v>2904</v>
      </c>
      <c r="C2640" s="906">
        <v>12388</v>
      </c>
      <c r="D2640" s="907">
        <v>46067</v>
      </c>
      <c r="E2640" s="839" t="s">
        <v>434</v>
      </c>
      <c r="F2640" s="839" t="s">
        <v>277</v>
      </c>
      <c r="G2640" s="916">
        <f>VLOOKUP($A2640,'Tech Litons'!$A:$I,8,FALSE)</f>
        <v>3.7839999999999996E-3</v>
      </c>
      <c r="H2640" s="917">
        <f>VLOOKUP($A2640,'Tech Litons'!$A:$I,9,FALSE)</f>
        <v>255</v>
      </c>
      <c r="I2640" s="917" t="str">
        <f>VLOOKUP($A2640,'Tech Litons'!$A:$C,3,0)</f>
        <v>Talenti</v>
      </c>
      <c r="J2640" s="918" t="str">
        <f t="shared" si="264"/>
        <v>2904Talenti</v>
      </c>
      <c r="K2640" s="919">
        <v>1</v>
      </c>
      <c r="L2640" s="920">
        <f t="shared" si="265"/>
        <v>12388</v>
      </c>
      <c r="M2640" s="920">
        <f t="shared" si="266"/>
        <v>46.876191999999996</v>
      </c>
      <c r="N2640" s="920">
        <f t="shared" si="267"/>
        <v>48.580392156862743</v>
      </c>
      <c r="O2640" s="918" t="str">
        <f t="shared" si="268"/>
        <v>Feb</v>
      </c>
      <c r="P2640" s="921">
        <f t="shared" si="269"/>
        <v>7</v>
      </c>
    </row>
    <row r="2641" spans="1:16" ht="15" hidden="1" customHeight="1">
      <c r="A2641" s="839">
        <v>68862511</v>
      </c>
      <c r="B2641" s="839">
        <v>2904</v>
      </c>
      <c r="C2641" s="906">
        <v>1100</v>
      </c>
      <c r="D2641" s="907">
        <v>46068</v>
      </c>
      <c r="E2641" s="839" t="s">
        <v>434</v>
      </c>
      <c r="F2641" s="839" t="s">
        <v>277</v>
      </c>
      <c r="G2641" s="916">
        <f>VLOOKUP($A2641,'Tech Litons'!$A:$I,8,FALSE)</f>
        <v>3.7839999999999996E-3</v>
      </c>
      <c r="H2641" s="917">
        <f>VLOOKUP($A2641,'Tech Litons'!$A:$I,9,FALSE)</f>
        <v>255</v>
      </c>
      <c r="I2641" s="917" t="str">
        <f>VLOOKUP($A2641,'Tech Litons'!$A:$C,3,0)</f>
        <v>Talenti</v>
      </c>
      <c r="J2641" s="918" t="str">
        <f t="shared" si="264"/>
        <v>2904Talenti</v>
      </c>
      <c r="K2641" s="919">
        <v>1</v>
      </c>
      <c r="L2641" s="920">
        <f t="shared" si="265"/>
        <v>1100</v>
      </c>
      <c r="M2641" s="920">
        <f t="shared" si="266"/>
        <v>4.1623999999999999</v>
      </c>
      <c r="N2641" s="920">
        <f t="shared" si="267"/>
        <v>4.3137254901960782</v>
      </c>
      <c r="O2641" s="918" t="str">
        <f t="shared" si="268"/>
        <v>Feb</v>
      </c>
      <c r="P2641" s="921">
        <f t="shared" si="269"/>
        <v>8</v>
      </c>
    </row>
    <row r="2642" spans="1:16" ht="15" hidden="1" customHeight="1">
      <c r="A2642" s="839">
        <v>68862511</v>
      </c>
      <c r="B2642" s="839">
        <v>2904</v>
      </c>
      <c r="C2642" s="906">
        <v>510</v>
      </c>
      <c r="D2642" s="907">
        <v>46069</v>
      </c>
      <c r="E2642" s="839" t="s">
        <v>434</v>
      </c>
      <c r="F2642" s="839" t="s">
        <v>277</v>
      </c>
      <c r="G2642" s="916">
        <f>VLOOKUP($A2642,'Tech Litons'!$A:$I,8,FALSE)</f>
        <v>3.7839999999999996E-3</v>
      </c>
      <c r="H2642" s="917">
        <f>VLOOKUP($A2642,'Tech Litons'!$A:$I,9,FALSE)</f>
        <v>255</v>
      </c>
      <c r="I2642" s="917" t="str">
        <f>VLOOKUP($A2642,'Tech Litons'!$A:$C,3,0)</f>
        <v>Talenti</v>
      </c>
      <c r="J2642" s="918" t="str">
        <f t="shared" si="264"/>
        <v>2904Talenti</v>
      </c>
      <c r="K2642" s="919">
        <v>1</v>
      </c>
      <c r="L2642" s="920">
        <f t="shared" si="265"/>
        <v>510</v>
      </c>
      <c r="M2642" s="920">
        <f t="shared" si="266"/>
        <v>1.9298399999999998</v>
      </c>
      <c r="N2642" s="920">
        <f t="shared" si="267"/>
        <v>2</v>
      </c>
      <c r="O2642" s="918" t="str">
        <f t="shared" si="268"/>
        <v>Feb</v>
      </c>
      <c r="P2642" s="921">
        <f t="shared" si="269"/>
        <v>8</v>
      </c>
    </row>
    <row r="2643" spans="1:16" ht="15" hidden="1" customHeight="1">
      <c r="A2643" s="839">
        <v>68862511</v>
      </c>
      <c r="B2643" s="839">
        <v>2904</v>
      </c>
      <c r="C2643" s="906">
        <v>510</v>
      </c>
      <c r="D2643" s="907">
        <v>46070</v>
      </c>
      <c r="E2643" s="839" t="s">
        <v>434</v>
      </c>
      <c r="F2643" s="839" t="s">
        <v>277</v>
      </c>
      <c r="G2643" s="916">
        <f>VLOOKUP($A2643,'Tech Litons'!$A:$I,8,FALSE)</f>
        <v>3.7839999999999996E-3</v>
      </c>
      <c r="H2643" s="917">
        <f>VLOOKUP($A2643,'Tech Litons'!$A:$I,9,FALSE)</f>
        <v>255</v>
      </c>
      <c r="I2643" s="917" t="str">
        <f>VLOOKUP($A2643,'Tech Litons'!$A:$C,3,0)</f>
        <v>Talenti</v>
      </c>
      <c r="J2643" s="918" t="str">
        <f t="shared" si="264"/>
        <v>2904Talenti</v>
      </c>
      <c r="K2643" s="919">
        <v>1</v>
      </c>
      <c r="L2643" s="920">
        <f t="shared" si="265"/>
        <v>510</v>
      </c>
      <c r="M2643" s="920">
        <f t="shared" si="266"/>
        <v>1.9298399999999998</v>
      </c>
      <c r="N2643" s="920">
        <f t="shared" si="267"/>
        <v>2</v>
      </c>
      <c r="O2643" s="918" t="str">
        <f t="shared" si="268"/>
        <v>Feb</v>
      </c>
      <c r="P2643" s="921">
        <f t="shared" si="269"/>
        <v>8</v>
      </c>
    </row>
    <row r="2644" spans="1:16" ht="15" hidden="1" customHeight="1">
      <c r="A2644" s="839">
        <v>68862511</v>
      </c>
      <c r="B2644" s="839">
        <v>2904</v>
      </c>
      <c r="C2644" s="906">
        <v>15967</v>
      </c>
      <c r="D2644" s="907">
        <v>46067</v>
      </c>
      <c r="E2644" s="839" t="s">
        <v>434</v>
      </c>
      <c r="F2644" s="839" t="s">
        <v>277</v>
      </c>
      <c r="G2644" s="916">
        <f>VLOOKUP($A2644,'Tech Litons'!$A:$I,8,FALSE)</f>
        <v>3.7839999999999996E-3</v>
      </c>
      <c r="H2644" s="917">
        <f>VLOOKUP($A2644,'Tech Litons'!$A:$I,9,FALSE)</f>
        <v>255</v>
      </c>
      <c r="I2644" s="917" t="str">
        <f>VLOOKUP($A2644,'Tech Litons'!$A:$C,3,0)</f>
        <v>Talenti</v>
      </c>
      <c r="J2644" s="918" t="str">
        <f t="shared" si="264"/>
        <v>2904Talenti</v>
      </c>
      <c r="K2644" s="919">
        <v>1</v>
      </c>
      <c r="L2644" s="920">
        <f t="shared" si="265"/>
        <v>15967</v>
      </c>
      <c r="M2644" s="920">
        <f t="shared" si="266"/>
        <v>60.419127999999994</v>
      </c>
      <c r="N2644" s="920">
        <f t="shared" si="267"/>
        <v>62.615686274509805</v>
      </c>
      <c r="O2644" s="918" t="str">
        <f t="shared" si="268"/>
        <v>Feb</v>
      </c>
      <c r="P2644" s="921">
        <f t="shared" si="269"/>
        <v>7</v>
      </c>
    </row>
    <row r="2645" spans="1:16" ht="15" hidden="1" customHeight="1">
      <c r="A2645" s="839">
        <v>68867744</v>
      </c>
      <c r="B2645" s="839">
        <v>2904</v>
      </c>
      <c r="C2645" s="906">
        <v>4005</v>
      </c>
      <c r="D2645" s="907">
        <v>46060</v>
      </c>
      <c r="E2645" s="839" t="s">
        <v>306</v>
      </c>
      <c r="F2645" s="839" t="s">
        <v>275</v>
      </c>
      <c r="G2645" s="916">
        <f>VLOOKUP($A2645,'Tech Litons'!$A:$I,8,FALSE)</f>
        <v>3.552E-3</v>
      </c>
      <c r="H2645" s="917">
        <f>VLOOKUP($A2645,'Tech Litons'!$A:$I,9,FALSE)</f>
        <v>255</v>
      </c>
      <c r="I2645" s="917" t="str">
        <f>VLOOKUP($A2645,'Tech Litons'!$A:$C,3,0)</f>
        <v>Talenti</v>
      </c>
      <c r="J2645" s="918" t="str">
        <f t="shared" si="264"/>
        <v>2904Talenti</v>
      </c>
      <c r="K2645" s="919">
        <v>1</v>
      </c>
      <c r="L2645" s="920">
        <f t="shared" si="265"/>
        <v>4005</v>
      </c>
      <c r="M2645" s="920">
        <f t="shared" si="266"/>
        <v>14.225759999999999</v>
      </c>
      <c r="N2645" s="920">
        <f t="shared" si="267"/>
        <v>15.705882352941176</v>
      </c>
      <c r="O2645" s="918" t="str">
        <f t="shared" si="268"/>
        <v>Feb</v>
      </c>
      <c r="P2645" s="921">
        <f t="shared" si="269"/>
        <v>6</v>
      </c>
    </row>
    <row r="2646" spans="1:16" ht="15" hidden="1" customHeight="1">
      <c r="A2646" s="839">
        <v>68867744</v>
      </c>
      <c r="B2646" s="839">
        <v>2904</v>
      </c>
      <c r="C2646" s="906">
        <v>255</v>
      </c>
      <c r="D2646" s="907">
        <v>46062</v>
      </c>
      <c r="E2646" s="839" t="s">
        <v>306</v>
      </c>
      <c r="F2646" s="839" t="s">
        <v>275</v>
      </c>
      <c r="G2646" s="916">
        <f>VLOOKUP($A2646,'Tech Litons'!$A:$I,8,FALSE)</f>
        <v>3.552E-3</v>
      </c>
      <c r="H2646" s="917">
        <f>VLOOKUP($A2646,'Tech Litons'!$A:$I,9,FALSE)</f>
        <v>255</v>
      </c>
      <c r="I2646" s="917" t="str">
        <f>VLOOKUP($A2646,'Tech Litons'!$A:$C,3,0)</f>
        <v>Talenti</v>
      </c>
      <c r="J2646" s="918" t="str">
        <f t="shared" si="264"/>
        <v>2904Talenti</v>
      </c>
      <c r="K2646" s="919">
        <v>1</v>
      </c>
      <c r="L2646" s="920">
        <f t="shared" si="265"/>
        <v>255</v>
      </c>
      <c r="M2646" s="920">
        <f t="shared" si="266"/>
        <v>0.90576000000000001</v>
      </c>
      <c r="N2646" s="920">
        <f t="shared" si="267"/>
        <v>1</v>
      </c>
      <c r="O2646" s="918" t="str">
        <f t="shared" si="268"/>
        <v>Feb</v>
      </c>
      <c r="P2646" s="921">
        <f t="shared" si="269"/>
        <v>7</v>
      </c>
    </row>
    <row r="2647" spans="1:16" ht="15" hidden="1" customHeight="1">
      <c r="A2647" s="839">
        <v>68867744</v>
      </c>
      <c r="B2647" s="839">
        <v>2904</v>
      </c>
      <c r="C2647" s="906">
        <v>7992</v>
      </c>
      <c r="D2647" s="907">
        <v>46060</v>
      </c>
      <c r="E2647" s="839" t="s">
        <v>306</v>
      </c>
      <c r="F2647" s="839" t="s">
        <v>275</v>
      </c>
      <c r="G2647" s="916">
        <f>VLOOKUP($A2647,'Tech Litons'!$A:$I,8,FALSE)</f>
        <v>3.552E-3</v>
      </c>
      <c r="H2647" s="917">
        <f>VLOOKUP($A2647,'Tech Litons'!$A:$I,9,FALSE)</f>
        <v>255</v>
      </c>
      <c r="I2647" s="917" t="str">
        <f>VLOOKUP($A2647,'Tech Litons'!$A:$C,3,0)</f>
        <v>Talenti</v>
      </c>
      <c r="J2647" s="918" t="str">
        <f t="shared" si="264"/>
        <v>2904Talenti</v>
      </c>
      <c r="K2647" s="919">
        <v>1</v>
      </c>
      <c r="L2647" s="920">
        <f t="shared" si="265"/>
        <v>7992</v>
      </c>
      <c r="M2647" s="920">
        <f t="shared" si="266"/>
        <v>28.387584</v>
      </c>
      <c r="N2647" s="920">
        <f t="shared" si="267"/>
        <v>31.341176470588234</v>
      </c>
      <c r="O2647" s="918" t="str">
        <f t="shared" si="268"/>
        <v>Feb</v>
      </c>
      <c r="P2647" s="921">
        <f t="shared" si="269"/>
        <v>6</v>
      </c>
    </row>
    <row r="2648" spans="1:16" ht="15" hidden="1" customHeight="1">
      <c r="A2648" s="839">
        <v>68867744</v>
      </c>
      <c r="B2648" s="839">
        <v>2904</v>
      </c>
      <c r="C2648" s="906">
        <v>7938</v>
      </c>
      <c r="D2648" s="907">
        <v>46061</v>
      </c>
      <c r="E2648" s="839" t="s">
        <v>306</v>
      </c>
      <c r="F2648" s="839" t="s">
        <v>275</v>
      </c>
      <c r="G2648" s="916">
        <f>VLOOKUP($A2648,'Tech Litons'!$A:$I,8,FALSE)</f>
        <v>3.552E-3</v>
      </c>
      <c r="H2648" s="917">
        <f>VLOOKUP($A2648,'Tech Litons'!$A:$I,9,FALSE)</f>
        <v>255</v>
      </c>
      <c r="I2648" s="917" t="str">
        <f>VLOOKUP($A2648,'Tech Litons'!$A:$C,3,0)</f>
        <v>Talenti</v>
      </c>
      <c r="J2648" s="918" t="str">
        <f t="shared" si="264"/>
        <v>2904Talenti</v>
      </c>
      <c r="K2648" s="919">
        <v>1</v>
      </c>
      <c r="L2648" s="920">
        <f t="shared" si="265"/>
        <v>7938</v>
      </c>
      <c r="M2648" s="920">
        <f t="shared" si="266"/>
        <v>28.195775999999999</v>
      </c>
      <c r="N2648" s="920">
        <f t="shared" si="267"/>
        <v>31.129411764705882</v>
      </c>
      <c r="O2648" s="918" t="str">
        <f t="shared" si="268"/>
        <v>Feb</v>
      </c>
      <c r="P2648" s="921">
        <f t="shared" si="269"/>
        <v>7</v>
      </c>
    </row>
    <row r="2649" spans="1:16" ht="15" hidden="1" customHeight="1">
      <c r="A2649" s="839">
        <v>68867744</v>
      </c>
      <c r="B2649" s="839">
        <v>2904</v>
      </c>
      <c r="C2649" s="906">
        <v>256</v>
      </c>
      <c r="D2649" s="907">
        <v>46062</v>
      </c>
      <c r="E2649" s="839" t="s">
        <v>306</v>
      </c>
      <c r="F2649" s="839" t="s">
        <v>275</v>
      </c>
      <c r="G2649" s="916">
        <f>VLOOKUP($A2649,'Tech Litons'!$A:$I,8,FALSE)</f>
        <v>3.552E-3</v>
      </c>
      <c r="H2649" s="917">
        <f>VLOOKUP($A2649,'Tech Litons'!$A:$I,9,FALSE)</f>
        <v>255</v>
      </c>
      <c r="I2649" s="917" t="str">
        <f>VLOOKUP($A2649,'Tech Litons'!$A:$C,3,0)</f>
        <v>Talenti</v>
      </c>
      <c r="J2649" s="918" t="str">
        <f t="shared" si="264"/>
        <v>2904Talenti</v>
      </c>
      <c r="K2649" s="919">
        <v>1</v>
      </c>
      <c r="L2649" s="920">
        <f t="shared" si="265"/>
        <v>256</v>
      </c>
      <c r="M2649" s="920">
        <f t="shared" si="266"/>
        <v>0.90931200000000001</v>
      </c>
      <c r="N2649" s="920">
        <f t="shared" si="267"/>
        <v>1.003921568627451</v>
      </c>
      <c r="O2649" s="918" t="str">
        <f t="shared" si="268"/>
        <v>Feb</v>
      </c>
      <c r="P2649" s="921">
        <f t="shared" si="269"/>
        <v>7</v>
      </c>
    </row>
    <row r="2650" spans="1:16" ht="15" hidden="1" customHeight="1">
      <c r="A2650" s="839">
        <v>68867744</v>
      </c>
      <c r="B2650" s="839">
        <v>2904</v>
      </c>
      <c r="C2650" s="906">
        <v>8512</v>
      </c>
      <c r="D2650" s="907">
        <v>46061</v>
      </c>
      <c r="E2650" s="839" t="s">
        <v>306</v>
      </c>
      <c r="F2650" s="839" t="s">
        <v>275</v>
      </c>
      <c r="G2650" s="916">
        <f>VLOOKUP($A2650,'Tech Litons'!$A:$I,8,FALSE)</f>
        <v>3.552E-3</v>
      </c>
      <c r="H2650" s="917">
        <f>VLOOKUP($A2650,'Tech Litons'!$A:$I,9,FALSE)</f>
        <v>255</v>
      </c>
      <c r="I2650" s="917" t="str">
        <f>VLOOKUP($A2650,'Tech Litons'!$A:$C,3,0)</f>
        <v>Talenti</v>
      </c>
      <c r="J2650" s="918" t="str">
        <f t="shared" si="264"/>
        <v>2904Talenti</v>
      </c>
      <c r="K2650" s="919">
        <v>1</v>
      </c>
      <c r="L2650" s="920">
        <f t="shared" si="265"/>
        <v>8512</v>
      </c>
      <c r="M2650" s="920">
        <f t="shared" si="266"/>
        <v>30.234624</v>
      </c>
      <c r="N2650" s="920">
        <f t="shared" si="267"/>
        <v>33.380392156862747</v>
      </c>
      <c r="O2650" s="918" t="str">
        <f t="shared" si="268"/>
        <v>Feb</v>
      </c>
      <c r="P2650" s="921">
        <f t="shared" si="269"/>
        <v>7</v>
      </c>
    </row>
    <row r="2651" spans="1:16" ht="15" hidden="1" customHeight="1">
      <c r="A2651" s="839">
        <v>68867744</v>
      </c>
      <c r="B2651" s="839">
        <v>2904</v>
      </c>
      <c r="C2651" s="906">
        <v>4173</v>
      </c>
      <c r="D2651" s="907">
        <v>46062</v>
      </c>
      <c r="E2651" s="839" t="s">
        <v>306</v>
      </c>
      <c r="F2651" s="839" t="s">
        <v>275</v>
      </c>
      <c r="G2651" s="916">
        <f>VLOOKUP($A2651,'Tech Litons'!$A:$I,8,FALSE)</f>
        <v>3.552E-3</v>
      </c>
      <c r="H2651" s="917">
        <f>VLOOKUP($A2651,'Tech Litons'!$A:$I,9,FALSE)</f>
        <v>255</v>
      </c>
      <c r="I2651" s="917" t="str">
        <f>VLOOKUP($A2651,'Tech Litons'!$A:$C,3,0)</f>
        <v>Talenti</v>
      </c>
      <c r="J2651" s="918" t="str">
        <f t="shared" si="264"/>
        <v>2904Talenti</v>
      </c>
      <c r="K2651" s="919">
        <v>1</v>
      </c>
      <c r="L2651" s="920">
        <f t="shared" si="265"/>
        <v>4173</v>
      </c>
      <c r="M2651" s="920">
        <f t="shared" si="266"/>
        <v>14.822496000000001</v>
      </c>
      <c r="N2651" s="920">
        <f t="shared" si="267"/>
        <v>16.36470588235294</v>
      </c>
      <c r="O2651" s="918" t="str">
        <f t="shared" si="268"/>
        <v>Feb</v>
      </c>
      <c r="P2651" s="921">
        <f t="shared" si="269"/>
        <v>7</v>
      </c>
    </row>
    <row r="2652" spans="1:16" ht="15" hidden="1" customHeight="1">
      <c r="A2652" s="839">
        <v>68867755</v>
      </c>
      <c r="B2652" s="839">
        <v>2904</v>
      </c>
      <c r="C2652" s="906">
        <v>4592</v>
      </c>
      <c r="D2652" s="907">
        <v>46051</v>
      </c>
      <c r="E2652" s="839" t="s">
        <v>274</v>
      </c>
      <c r="F2652" s="839" t="s">
        <v>275</v>
      </c>
      <c r="G2652" s="916">
        <f>VLOOKUP($A2652,'Tech Litons'!$A:$I,8,FALSE)</f>
        <v>3.552E-3</v>
      </c>
      <c r="H2652" s="917">
        <f>VLOOKUP($A2652,'Tech Litons'!$A:$I,9,FALSE)</f>
        <v>255</v>
      </c>
      <c r="I2652" s="917" t="str">
        <f>VLOOKUP($A2652,'Tech Litons'!$A:$C,3,0)</f>
        <v>Talenti</v>
      </c>
      <c r="J2652" s="918" t="str">
        <f t="shared" si="264"/>
        <v>2904Talenti</v>
      </c>
      <c r="K2652" s="919">
        <v>1</v>
      </c>
      <c r="L2652" s="920">
        <f t="shared" si="265"/>
        <v>4592</v>
      </c>
      <c r="M2652" s="920">
        <f t="shared" si="266"/>
        <v>16.310784000000002</v>
      </c>
      <c r="N2652" s="920">
        <f t="shared" si="267"/>
        <v>18.007843137254902</v>
      </c>
      <c r="O2652" s="918" t="str">
        <f t="shared" si="268"/>
        <v>Jan</v>
      </c>
      <c r="P2652" s="921">
        <f t="shared" si="269"/>
        <v>5</v>
      </c>
    </row>
    <row r="2653" spans="1:16" ht="15" hidden="1" customHeight="1">
      <c r="A2653" s="839">
        <v>68867755</v>
      </c>
      <c r="B2653" s="839">
        <v>2904</v>
      </c>
      <c r="C2653" s="906">
        <v>8174</v>
      </c>
      <c r="D2653" s="907">
        <v>46052</v>
      </c>
      <c r="E2653" s="839" t="s">
        <v>274</v>
      </c>
      <c r="F2653" s="839" t="s">
        <v>275</v>
      </c>
      <c r="G2653" s="916">
        <f>VLOOKUP($A2653,'Tech Litons'!$A:$I,8,FALSE)</f>
        <v>3.552E-3</v>
      </c>
      <c r="H2653" s="917">
        <f>VLOOKUP($A2653,'Tech Litons'!$A:$I,9,FALSE)</f>
        <v>255</v>
      </c>
      <c r="I2653" s="917" t="str">
        <f>VLOOKUP($A2653,'Tech Litons'!$A:$C,3,0)</f>
        <v>Talenti</v>
      </c>
      <c r="J2653" s="918" t="str">
        <f t="shared" si="264"/>
        <v>2904Talenti</v>
      </c>
      <c r="K2653" s="919">
        <v>1</v>
      </c>
      <c r="L2653" s="920">
        <f t="shared" si="265"/>
        <v>8174</v>
      </c>
      <c r="M2653" s="920">
        <f t="shared" si="266"/>
        <v>29.034047999999999</v>
      </c>
      <c r="N2653" s="920">
        <f t="shared" si="267"/>
        <v>32.054901960784314</v>
      </c>
      <c r="O2653" s="918" t="str">
        <f t="shared" si="268"/>
        <v>Jan</v>
      </c>
      <c r="P2653" s="921">
        <f t="shared" si="269"/>
        <v>5</v>
      </c>
    </row>
    <row r="2654" spans="1:16" ht="15" hidden="1" customHeight="1">
      <c r="A2654" s="839">
        <v>68867755</v>
      </c>
      <c r="B2654" s="839">
        <v>2904</v>
      </c>
      <c r="C2654" s="906">
        <v>8415</v>
      </c>
      <c r="D2654" s="907">
        <v>46052</v>
      </c>
      <c r="E2654" s="839" t="s">
        <v>274</v>
      </c>
      <c r="F2654" s="839" t="s">
        <v>275</v>
      </c>
      <c r="G2654" s="916">
        <f>VLOOKUP($A2654,'Tech Litons'!$A:$I,8,FALSE)</f>
        <v>3.552E-3</v>
      </c>
      <c r="H2654" s="917">
        <f>VLOOKUP($A2654,'Tech Litons'!$A:$I,9,FALSE)</f>
        <v>255</v>
      </c>
      <c r="I2654" s="917" t="str">
        <f>VLOOKUP($A2654,'Tech Litons'!$A:$C,3,0)</f>
        <v>Talenti</v>
      </c>
      <c r="J2654" s="918" t="str">
        <f t="shared" si="264"/>
        <v>2904Talenti</v>
      </c>
      <c r="K2654" s="919">
        <v>1</v>
      </c>
      <c r="L2654" s="920">
        <f t="shared" si="265"/>
        <v>8415</v>
      </c>
      <c r="M2654" s="920">
        <f t="shared" si="266"/>
        <v>29.890080000000001</v>
      </c>
      <c r="N2654" s="920">
        <f t="shared" si="267"/>
        <v>33</v>
      </c>
      <c r="O2654" s="918" t="str">
        <f t="shared" si="268"/>
        <v>Jan</v>
      </c>
      <c r="P2654" s="921">
        <f t="shared" si="269"/>
        <v>5</v>
      </c>
    </row>
    <row r="2655" spans="1:16" ht="15" hidden="1" customHeight="1">
      <c r="A2655" s="839">
        <v>68867755</v>
      </c>
      <c r="B2655" s="839">
        <v>2904</v>
      </c>
      <c r="C2655" s="906">
        <v>3661</v>
      </c>
      <c r="D2655" s="907">
        <v>46053</v>
      </c>
      <c r="E2655" s="839" t="s">
        <v>274</v>
      </c>
      <c r="F2655" s="839" t="s">
        <v>275</v>
      </c>
      <c r="G2655" s="916">
        <f>VLOOKUP($A2655,'Tech Litons'!$A:$I,8,FALSE)</f>
        <v>3.552E-3</v>
      </c>
      <c r="H2655" s="917">
        <f>VLOOKUP($A2655,'Tech Litons'!$A:$I,9,FALSE)</f>
        <v>255</v>
      </c>
      <c r="I2655" s="917" t="str">
        <f>VLOOKUP($A2655,'Tech Litons'!$A:$C,3,0)</f>
        <v>Talenti</v>
      </c>
      <c r="J2655" s="918" t="str">
        <f t="shared" si="264"/>
        <v>2904Talenti</v>
      </c>
      <c r="K2655" s="919">
        <v>1</v>
      </c>
      <c r="L2655" s="920">
        <f t="shared" si="265"/>
        <v>3661</v>
      </c>
      <c r="M2655" s="920">
        <f t="shared" si="266"/>
        <v>13.003871999999999</v>
      </c>
      <c r="N2655" s="920">
        <f t="shared" si="267"/>
        <v>14.35686274509804</v>
      </c>
      <c r="O2655" s="918" t="str">
        <f t="shared" si="268"/>
        <v>Jan</v>
      </c>
      <c r="P2655" s="921">
        <f t="shared" si="269"/>
        <v>5</v>
      </c>
    </row>
    <row r="2656" spans="1:16" ht="15" hidden="1" customHeight="1">
      <c r="A2656" s="839">
        <v>68867755</v>
      </c>
      <c r="B2656" s="839">
        <v>2904</v>
      </c>
      <c r="C2656" s="906">
        <v>2040</v>
      </c>
      <c r="D2656" s="907">
        <v>46055</v>
      </c>
      <c r="E2656" s="839" t="s">
        <v>274</v>
      </c>
      <c r="F2656" s="839" t="s">
        <v>275</v>
      </c>
      <c r="G2656" s="916">
        <f>VLOOKUP($A2656,'Tech Litons'!$A:$I,8,FALSE)</f>
        <v>3.552E-3</v>
      </c>
      <c r="H2656" s="917">
        <f>VLOOKUP($A2656,'Tech Litons'!$A:$I,9,FALSE)</f>
        <v>255</v>
      </c>
      <c r="I2656" s="917" t="str">
        <f>VLOOKUP($A2656,'Tech Litons'!$A:$C,3,0)</f>
        <v>Talenti</v>
      </c>
      <c r="J2656" s="918" t="str">
        <f t="shared" si="264"/>
        <v>2904Talenti</v>
      </c>
      <c r="K2656" s="919">
        <v>1</v>
      </c>
      <c r="L2656" s="920">
        <f t="shared" si="265"/>
        <v>2040</v>
      </c>
      <c r="M2656" s="920">
        <f t="shared" si="266"/>
        <v>7.2460800000000001</v>
      </c>
      <c r="N2656" s="920">
        <f t="shared" si="267"/>
        <v>8</v>
      </c>
      <c r="O2656" s="918" t="str">
        <f t="shared" si="268"/>
        <v>Feb</v>
      </c>
      <c r="P2656" s="921">
        <f t="shared" si="269"/>
        <v>6</v>
      </c>
    </row>
    <row r="2657" spans="1:16" ht="15" hidden="1" customHeight="1">
      <c r="A2657" s="839">
        <v>68867755</v>
      </c>
      <c r="B2657" s="839">
        <v>2904</v>
      </c>
      <c r="C2657" s="906">
        <v>2008</v>
      </c>
      <c r="D2657" s="907">
        <v>46070</v>
      </c>
      <c r="E2657" s="839" t="s">
        <v>274</v>
      </c>
      <c r="F2657" s="839" t="s">
        <v>275</v>
      </c>
      <c r="G2657" s="916">
        <f>VLOOKUP($A2657,'Tech Litons'!$A:$I,8,FALSE)</f>
        <v>3.552E-3</v>
      </c>
      <c r="H2657" s="917">
        <f>VLOOKUP($A2657,'Tech Litons'!$A:$I,9,FALSE)</f>
        <v>255</v>
      </c>
      <c r="I2657" s="917" t="str">
        <f>VLOOKUP($A2657,'Tech Litons'!$A:$C,3,0)</f>
        <v>Talenti</v>
      </c>
      <c r="J2657" s="918" t="str">
        <f t="shared" si="264"/>
        <v>2904Talenti</v>
      </c>
      <c r="K2657" s="919">
        <v>1</v>
      </c>
      <c r="L2657" s="920">
        <f t="shared" si="265"/>
        <v>2008</v>
      </c>
      <c r="M2657" s="920">
        <f t="shared" si="266"/>
        <v>7.1324160000000001</v>
      </c>
      <c r="N2657" s="920">
        <f t="shared" si="267"/>
        <v>7.8745098039215682</v>
      </c>
      <c r="O2657" s="918" t="str">
        <f t="shared" si="268"/>
        <v>Feb</v>
      </c>
      <c r="P2657" s="921">
        <f t="shared" si="269"/>
        <v>8</v>
      </c>
    </row>
    <row r="2658" spans="1:16" ht="15" hidden="1" customHeight="1">
      <c r="A2658" s="839">
        <v>68867755</v>
      </c>
      <c r="B2658" s="839">
        <v>2904</v>
      </c>
      <c r="C2658" s="906">
        <v>3532</v>
      </c>
      <c r="D2658" s="907">
        <v>46071</v>
      </c>
      <c r="E2658" s="839" t="s">
        <v>274</v>
      </c>
      <c r="F2658" s="839" t="s">
        <v>275</v>
      </c>
      <c r="G2658" s="916">
        <f>VLOOKUP($A2658,'Tech Litons'!$A:$I,8,FALSE)</f>
        <v>3.552E-3</v>
      </c>
      <c r="H2658" s="917">
        <f>VLOOKUP($A2658,'Tech Litons'!$A:$I,9,FALSE)</f>
        <v>255</v>
      </c>
      <c r="I2658" s="917" t="str">
        <f>VLOOKUP($A2658,'Tech Litons'!$A:$C,3,0)</f>
        <v>Talenti</v>
      </c>
      <c r="J2658" s="918" t="str">
        <f t="shared" si="264"/>
        <v>2904Talenti</v>
      </c>
      <c r="K2658" s="919">
        <v>1</v>
      </c>
      <c r="L2658" s="920">
        <f t="shared" si="265"/>
        <v>3532</v>
      </c>
      <c r="M2658" s="920">
        <f t="shared" si="266"/>
        <v>12.545664</v>
      </c>
      <c r="N2658" s="920">
        <f t="shared" si="267"/>
        <v>13.850980392156863</v>
      </c>
      <c r="O2658" s="918" t="str">
        <f t="shared" si="268"/>
        <v>Feb</v>
      </c>
      <c r="P2658" s="921">
        <f t="shared" si="269"/>
        <v>8</v>
      </c>
    </row>
    <row r="2659" spans="1:16" ht="15" hidden="1" customHeight="1">
      <c r="A2659" s="839">
        <v>68867755</v>
      </c>
      <c r="B2659" s="839">
        <v>2904</v>
      </c>
      <c r="C2659" s="906">
        <v>6885</v>
      </c>
      <c r="D2659" s="907">
        <v>46071</v>
      </c>
      <c r="E2659" s="839" t="s">
        <v>274</v>
      </c>
      <c r="F2659" s="839" t="s">
        <v>275</v>
      </c>
      <c r="G2659" s="916">
        <f>VLOOKUP($A2659,'Tech Litons'!$A:$I,8,FALSE)</f>
        <v>3.552E-3</v>
      </c>
      <c r="H2659" s="917">
        <f>VLOOKUP($A2659,'Tech Litons'!$A:$I,9,FALSE)</f>
        <v>255</v>
      </c>
      <c r="I2659" s="917" t="str">
        <f>VLOOKUP($A2659,'Tech Litons'!$A:$C,3,0)</f>
        <v>Talenti</v>
      </c>
      <c r="J2659" s="918" t="str">
        <f t="shared" si="264"/>
        <v>2904Talenti</v>
      </c>
      <c r="K2659" s="919">
        <v>1</v>
      </c>
      <c r="L2659" s="920">
        <f t="shared" si="265"/>
        <v>6885</v>
      </c>
      <c r="M2659" s="920">
        <f t="shared" si="266"/>
        <v>24.45552</v>
      </c>
      <c r="N2659" s="920">
        <f t="shared" si="267"/>
        <v>27</v>
      </c>
      <c r="O2659" s="918" t="str">
        <f t="shared" si="268"/>
        <v>Feb</v>
      </c>
      <c r="P2659" s="921">
        <f t="shared" si="269"/>
        <v>8</v>
      </c>
    </row>
    <row r="2660" spans="1:16" ht="15" hidden="1" customHeight="1">
      <c r="A2660" s="839">
        <v>68867755</v>
      </c>
      <c r="B2660" s="839">
        <v>2904</v>
      </c>
      <c r="C2660" s="906">
        <v>9690</v>
      </c>
      <c r="D2660" s="907">
        <v>46072</v>
      </c>
      <c r="E2660" s="839" t="s">
        <v>274</v>
      </c>
      <c r="F2660" s="839" t="s">
        <v>275</v>
      </c>
      <c r="G2660" s="916">
        <f>VLOOKUP($A2660,'Tech Litons'!$A:$I,8,FALSE)</f>
        <v>3.552E-3</v>
      </c>
      <c r="H2660" s="917">
        <f>VLOOKUP($A2660,'Tech Litons'!$A:$I,9,FALSE)</f>
        <v>255</v>
      </c>
      <c r="I2660" s="917" t="str">
        <f>VLOOKUP($A2660,'Tech Litons'!$A:$C,3,0)</f>
        <v>Talenti</v>
      </c>
      <c r="J2660" s="918" t="str">
        <f t="shared" si="264"/>
        <v>2904Talenti</v>
      </c>
      <c r="K2660" s="919">
        <v>1</v>
      </c>
      <c r="L2660" s="920">
        <f t="shared" si="265"/>
        <v>9690</v>
      </c>
      <c r="M2660" s="920">
        <f t="shared" si="266"/>
        <v>34.418880000000001</v>
      </c>
      <c r="N2660" s="920">
        <f t="shared" si="267"/>
        <v>38</v>
      </c>
      <c r="O2660" s="918" t="str">
        <f t="shared" si="268"/>
        <v>Feb</v>
      </c>
      <c r="P2660" s="921">
        <f t="shared" si="269"/>
        <v>8</v>
      </c>
    </row>
    <row r="2661" spans="1:16" ht="15" hidden="1" customHeight="1">
      <c r="A2661" s="839">
        <v>68867755</v>
      </c>
      <c r="B2661" s="839">
        <v>2904</v>
      </c>
      <c r="C2661" s="906">
        <v>7886</v>
      </c>
      <c r="D2661" s="907">
        <v>46072</v>
      </c>
      <c r="E2661" s="839" t="s">
        <v>274</v>
      </c>
      <c r="F2661" s="839" t="s">
        <v>275</v>
      </c>
      <c r="G2661" s="916">
        <f>VLOOKUP($A2661,'Tech Litons'!$A:$I,8,FALSE)</f>
        <v>3.552E-3</v>
      </c>
      <c r="H2661" s="917">
        <f>VLOOKUP($A2661,'Tech Litons'!$A:$I,9,FALSE)</f>
        <v>255</v>
      </c>
      <c r="I2661" s="917" t="str">
        <f>VLOOKUP($A2661,'Tech Litons'!$A:$C,3,0)</f>
        <v>Talenti</v>
      </c>
      <c r="J2661" s="918" t="str">
        <f t="shared" si="264"/>
        <v>2904Talenti</v>
      </c>
      <c r="K2661" s="919">
        <v>1</v>
      </c>
      <c r="L2661" s="920">
        <f t="shared" si="265"/>
        <v>7886</v>
      </c>
      <c r="M2661" s="920">
        <f t="shared" si="266"/>
        <v>28.011071999999999</v>
      </c>
      <c r="N2661" s="920">
        <f t="shared" si="267"/>
        <v>30.925490196078432</v>
      </c>
      <c r="O2661" s="918" t="str">
        <f t="shared" si="268"/>
        <v>Feb</v>
      </c>
      <c r="P2661" s="921">
        <f t="shared" si="269"/>
        <v>8</v>
      </c>
    </row>
    <row r="2662" spans="1:16" ht="15" hidden="1" customHeight="1">
      <c r="A2662" s="839">
        <v>68867755</v>
      </c>
      <c r="B2662" s="839">
        <v>2904</v>
      </c>
      <c r="C2662" s="906">
        <v>841</v>
      </c>
      <c r="D2662" s="907">
        <v>46073</v>
      </c>
      <c r="E2662" s="839" t="s">
        <v>274</v>
      </c>
      <c r="F2662" s="839" t="s">
        <v>275</v>
      </c>
      <c r="G2662" s="916">
        <f>VLOOKUP($A2662,'Tech Litons'!$A:$I,8,FALSE)</f>
        <v>3.552E-3</v>
      </c>
      <c r="H2662" s="917">
        <f>VLOOKUP($A2662,'Tech Litons'!$A:$I,9,FALSE)</f>
        <v>255</v>
      </c>
      <c r="I2662" s="917" t="str">
        <f>VLOOKUP($A2662,'Tech Litons'!$A:$C,3,0)</f>
        <v>Talenti</v>
      </c>
      <c r="J2662" s="918" t="str">
        <f t="shared" si="264"/>
        <v>2904Talenti</v>
      </c>
      <c r="K2662" s="919">
        <v>1</v>
      </c>
      <c r="L2662" s="920">
        <f t="shared" si="265"/>
        <v>841</v>
      </c>
      <c r="M2662" s="920">
        <f t="shared" si="266"/>
        <v>2.9872320000000001</v>
      </c>
      <c r="N2662" s="920">
        <f t="shared" si="267"/>
        <v>3.2980392156862743</v>
      </c>
      <c r="O2662" s="918" t="str">
        <f t="shared" si="268"/>
        <v>Feb</v>
      </c>
      <c r="P2662" s="921">
        <f t="shared" si="269"/>
        <v>8</v>
      </c>
    </row>
    <row r="2663" spans="1:16" ht="15" hidden="1" customHeight="1">
      <c r="A2663" s="839">
        <v>68867755</v>
      </c>
      <c r="B2663" s="839">
        <v>2904</v>
      </c>
      <c r="C2663" s="906">
        <v>1275</v>
      </c>
      <c r="D2663" s="907">
        <v>46050</v>
      </c>
      <c r="E2663" s="839" t="s">
        <v>274</v>
      </c>
      <c r="F2663" s="839" t="s">
        <v>275</v>
      </c>
      <c r="G2663" s="916">
        <f>VLOOKUP($A2663,'Tech Litons'!$A:$I,8,FALSE)</f>
        <v>3.552E-3</v>
      </c>
      <c r="H2663" s="917">
        <f>VLOOKUP($A2663,'Tech Litons'!$A:$I,9,FALSE)</f>
        <v>255</v>
      </c>
      <c r="I2663" s="917" t="str">
        <f>VLOOKUP($A2663,'Tech Litons'!$A:$C,3,0)</f>
        <v>Talenti</v>
      </c>
      <c r="J2663" s="918" t="str">
        <f t="shared" si="264"/>
        <v>2904Talenti</v>
      </c>
      <c r="K2663" s="919">
        <v>1</v>
      </c>
      <c r="L2663" s="920">
        <f t="shared" si="265"/>
        <v>1275</v>
      </c>
      <c r="M2663" s="920">
        <f t="shared" si="266"/>
        <v>4.5288000000000004</v>
      </c>
      <c r="N2663" s="920">
        <f t="shared" si="267"/>
        <v>5</v>
      </c>
      <c r="O2663" s="918" t="str">
        <f t="shared" si="268"/>
        <v>Jan</v>
      </c>
      <c r="P2663" s="921">
        <f t="shared" si="269"/>
        <v>5</v>
      </c>
    </row>
    <row r="2664" spans="1:16" ht="15" hidden="1" customHeight="1">
      <c r="A2664" s="839">
        <v>68867755</v>
      </c>
      <c r="B2664" s="839">
        <v>2904</v>
      </c>
      <c r="C2664" s="906">
        <v>6798</v>
      </c>
      <c r="D2664" s="907">
        <v>46051</v>
      </c>
      <c r="E2664" s="839" t="s">
        <v>274</v>
      </c>
      <c r="F2664" s="839" t="s">
        <v>275</v>
      </c>
      <c r="G2664" s="916">
        <f>VLOOKUP($A2664,'Tech Litons'!$A:$I,8,FALSE)</f>
        <v>3.552E-3</v>
      </c>
      <c r="H2664" s="917">
        <f>VLOOKUP($A2664,'Tech Litons'!$A:$I,9,FALSE)</f>
        <v>255</v>
      </c>
      <c r="I2664" s="917" t="str">
        <f>VLOOKUP($A2664,'Tech Litons'!$A:$C,3,0)</f>
        <v>Talenti</v>
      </c>
      <c r="J2664" s="918" t="str">
        <f t="shared" si="264"/>
        <v>2904Talenti</v>
      </c>
      <c r="K2664" s="919">
        <v>1</v>
      </c>
      <c r="L2664" s="920">
        <f t="shared" si="265"/>
        <v>6798</v>
      </c>
      <c r="M2664" s="920">
        <f t="shared" si="266"/>
        <v>24.146495999999999</v>
      </c>
      <c r="N2664" s="920">
        <f t="shared" si="267"/>
        <v>26.658823529411766</v>
      </c>
      <c r="O2664" s="918" t="str">
        <f t="shared" si="268"/>
        <v>Jan</v>
      </c>
      <c r="P2664" s="921">
        <f t="shared" si="269"/>
        <v>5</v>
      </c>
    </row>
    <row r="2665" spans="1:16" ht="15" hidden="1" customHeight="1">
      <c r="A2665" s="839">
        <v>68867755</v>
      </c>
      <c r="B2665" s="839">
        <v>2904</v>
      </c>
      <c r="C2665" s="906">
        <v>-88</v>
      </c>
      <c r="D2665" s="907">
        <v>46052</v>
      </c>
      <c r="E2665" s="839" t="s">
        <v>274</v>
      </c>
      <c r="F2665" s="839" t="s">
        <v>275</v>
      </c>
      <c r="G2665" s="916">
        <f>VLOOKUP($A2665,'Tech Litons'!$A:$I,8,FALSE)</f>
        <v>3.552E-3</v>
      </c>
      <c r="H2665" s="917">
        <f>VLOOKUP($A2665,'Tech Litons'!$A:$I,9,FALSE)</f>
        <v>255</v>
      </c>
      <c r="I2665" s="917" t="str">
        <f>VLOOKUP($A2665,'Tech Litons'!$A:$C,3,0)</f>
        <v>Talenti</v>
      </c>
      <c r="J2665" s="918" t="str">
        <f t="shared" si="264"/>
        <v>2904Talenti</v>
      </c>
      <c r="K2665" s="919">
        <v>1</v>
      </c>
      <c r="L2665" s="920">
        <f t="shared" si="265"/>
        <v>-88</v>
      </c>
      <c r="M2665" s="920">
        <f t="shared" si="266"/>
        <v>-0.31257600000000002</v>
      </c>
      <c r="N2665" s="920">
        <f t="shared" si="267"/>
        <v>-0.34509803921568627</v>
      </c>
      <c r="O2665" s="918" t="str">
        <f t="shared" si="268"/>
        <v>Jan</v>
      </c>
      <c r="P2665" s="921">
        <f t="shared" si="269"/>
        <v>5</v>
      </c>
    </row>
    <row r="2666" spans="1:16" ht="15" hidden="1" customHeight="1">
      <c r="A2666" s="839">
        <v>68899825</v>
      </c>
      <c r="B2666" s="839">
        <v>2904</v>
      </c>
      <c r="C2666" s="906">
        <v>4112</v>
      </c>
      <c r="D2666" s="907">
        <v>46050</v>
      </c>
      <c r="E2666" s="839" t="s">
        <v>382</v>
      </c>
      <c r="F2666" s="839" t="s">
        <v>271</v>
      </c>
      <c r="G2666" s="916">
        <f>VLOOKUP($A2666,'Tech Litons'!$A:$I,8,FALSE)</f>
        <v>8.513999999999999E-3</v>
      </c>
      <c r="H2666" s="917">
        <f>VLOOKUP($A2666,'Tech Litons'!$A:$I,9,FALSE)</f>
        <v>176</v>
      </c>
      <c r="I2666" s="917" t="str">
        <f>VLOOKUP($A2666,'Tech Litons'!$A:$C,3,0)</f>
        <v>48oz</v>
      </c>
      <c r="J2666" s="918" t="str">
        <f t="shared" si="264"/>
        <v>290448oz</v>
      </c>
      <c r="K2666" s="919">
        <v>1</v>
      </c>
      <c r="L2666" s="920">
        <f t="shared" si="265"/>
        <v>4112</v>
      </c>
      <c r="M2666" s="920">
        <f t="shared" si="266"/>
        <v>35.009567999999994</v>
      </c>
      <c r="N2666" s="920">
        <f t="shared" si="267"/>
        <v>23.363636363636363</v>
      </c>
      <c r="O2666" s="918" t="str">
        <f t="shared" si="268"/>
        <v>Jan</v>
      </c>
      <c r="P2666" s="921">
        <f t="shared" si="269"/>
        <v>5</v>
      </c>
    </row>
    <row r="2667" spans="1:16" ht="15" hidden="1" customHeight="1">
      <c r="A2667" s="839">
        <v>68899825</v>
      </c>
      <c r="B2667" s="839">
        <v>2904</v>
      </c>
      <c r="C2667" s="906">
        <v>4734</v>
      </c>
      <c r="D2667" s="907">
        <v>46050</v>
      </c>
      <c r="E2667" s="839" t="s">
        <v>382</v>
      </c>
      <c r="F2667" s="839" t="s">
        <v>271</v>
      </c>
      <c r="G2667" s="916">
        <f>VLOOKUP($A2667,'Tech Litons'!$A:$I,8,FALSE)</f>
        <v>8.513999999999999E-3</v>
      </c>
      <c r="H2667" s="917">
        <f>VLOOKUP($A2667,'Tech Litons'!$A:$I,9,FALSE)</f>
        <v>176</v>
      </c>
      <c r="I2667" s="917" t="str">
        <f>VLOOKUP($A2667,'Tech Litons'!$A:$C,3,0)</f>
        <v>48oz</v>
      </c>
      <c r="J2667" s="918" t="str">
        <f t="shared" si="264"/>
        <v>290448oz</v>
      </c>
      <c r="K2667" s="919">
        <v>1</v>
      </c>
      <c r="L2667" s="920">
        <f t="shared" si="265"/>
        <v>4734</v>
      </c>
      <c r="M2667" s="920">
        <f t="shared" si="266"/>
        <v>40.305275999999992</v>
      </c>
      <c r="N2667" s="920">
        <f t="shared" si="267"/>
        <v>26.897727272727273</v>
      </c>
      <c r="O2667" s="918" t="str">
        <f t="shared" si="268"/>
        <v>Jan</v>
      </c>
      <c r="P2667" s="921">
        <f t="shared" si="269"/>
        <v>5</v>
      </c>
    </row>
    <row r="2668" spans="1:16" ht="15" hidden="1" customHeight="1">
      <c r="A2668" s="839">
        <v>68899825</v>
      </c>
      <c r="B2668" s="839">
        <v>2904</v>
      </c>
      <c r="C2668" s="906">
        <v>7392</v>
      </c>
      <c r="D2668" s="907">
        <v>46051</v>
      </c>
      <c r="E2668" s="839" t="s">
        <v>382</v>
      </c>
      <c r="F2668" s="839" t="s">
        <v>271</v>
      </c>
      <c r="G2668" s="916">
        <f>VLOOKUP($A2668,'Tech Litons'!$A:$I,8,FALSE)</f>
        <v>8.513999999999999E-3</v>
      </c>
      <c r="H2668" s="917">
        <f>VLOOKUP($A2668,'Tech Litons'!$A:$I,9,FALSE)</f>
        <v>176</v>
      </c>
      <c r="I2668" s="917" t="str">
        <f>VLOOKUP($A2668,'Tech Litons'!$A:$C,3,0)</f>
        <v>48oz</v>
      </c>
      <c r="J2668" s="918" t="str">
        <f t="shared" si="264"/>
        <v>290448oz</v>
      </c>
      <c r="K2668" s="919">
        <v>1</v>
      </c>
      <c r="L2668" s="920">
        <f t="shared" si="265"/>
        <v>7392</v>
      </c>
      <c r="M2668" s="920">
        <f t="shared" si="266"/>
        <v>62.935487999999992</v>
      </c>
      <c r="N2668" s="920">
        <f t="shared" si="267"/>
        <v>42</v>
      </c>
      <c r="O2668" s="918" t="str">
        <f t="shared" si="268"/>
        <v>Jan</v>
      </c>
      <c r="P2668" s="921">
        <f t="shared" si="269"/>
        <v>5</v>
      </c>
    </row>
    <row r="2669" spans="1:16" ht="15" hidden="1" customHeight="1">
      <c r="A2669" s="839">
        <v>68899825</v>
      </c>
      <c r="B2669" s="839">
        <v>2904</v>
      </c>
      <c r="C2669" s="906">
        <v>5628</v>
      </c>
      <c r="D2669" s="907">
        <v>46051</v>
      </c>
      <c r="E2669" s="839" t="s">
        <v>382</v>
      </c>
      <c r="F2669" s="839" t="s">
        <v>271</v>
      </c>
      <c r="G2669" s="916">
        <f>VLOOKUP($A2669,'Tech Litons'!$A:$I,8,FALSE)</f>
        <v>8.513999999999999E-3</v>
      </c>
      <c r="H2669" s="917">
        <f>VLOOKUP($A2669,'Tech Litons'!$A:$I,9,FALSE)</f>
        <v>176</v>
      </c>
      <c r="I2669" s="917" t="str">
        <f>VLOOKUP($A2669,'Tech Litons'!$A:$C,3,0)</f>
        <v>48oz</v>
      </c>
      <c r="J2669" s="918" t="str">
        <f t="shared" si="264"/>
        <v>290448oz</v>
      </c>
      <c r="K2669" s="919">
        <v>1</v>
      </c>
      <c r="L2669" s="920">
        <f t="shared" si="265"/>
        <v>5628</v>
      </c>
      <c r="M2669" s="920">
        <f t="shared" si="266"/>
        <v>47.916791999999994</v>
      </c>
      <c r="N2669" s="920">
        <f t="shared" si="267"/>
        <v>31.977272727272727</v>
      </c>
      <c r="O2669" s="918" t="str">
        <f t="shared" si="268"/>
        <v>Jan</v>
      </c>
      <c r="P2669" s="921">
        <f t="shared" si="269"/>
        <v>5</v>
      </c>
    </row>
    <row r="2670" spans="1:16" ht="15" hidden="1" customHeight="1">
      <c r="A2670" s="839">
        <v>68899825</v>
      </c>
      <c r="B2670" s="839">
        <v>2904</v>
      </c>
      <c r="C2670" s="906">
        <v>5562</v>
      </c>
      <c r="D2670" s="907">
        <v>46052</v>
      </c>
      <c r="E2670" s="839" t="s">
        <v>382</v>
      </c>
      <c r="F2670" s="839" t="s">
        <v>271</v>
      </c>
      <c r="G2670" s="916">
        <f>VLOOKUP($A2670,'Tech Litons'!$A:$I,8,FALSE)</f>
        <v>8.513999999999999E-3</v>
      </c>
      <c r="H2670" s="917">
        <f>VLOOKUP($A2670,'Tech Litons'!$A:$I,9,FALSE)</f>
        <v>176</v>
      </c>
      <c r="I2670" s="917" t="str">
        <f>VLOOKUP($A2670,'Tech Litons'!$A:$C,3,0)</f>
        <v>48oz</v>
      </c>
      <c r="J2670" s="918" t="str">
        <f t="shared" si="264"/>
        <v>290448oz</v>
      </c>
      <c r="K2670" s="919">
        <v>1</v>
      </c>
      <c r="L2670" s="920">
        <f t="shared" ref="L2670:L2733" si="270">C2670*$K2670</f>
        <v>5562</v>
      </c>
      <c r="M2670" s="920">
        <f t="shared" si="266"/>
        <v>47.354867999999996</v>
      </c>
      <c r="N2670" s="920">
        <f t="shared" si="267"/>
        <v>31.602272727272727</v>
      </c>
      <c r="O2670" s="918" t="str">
        <f t="shared" si="268"/>
        <v>Jan</v>
      </c>
      <c r="P2670" s="921">
        <f t="shared" si="269"/>
        <v>5</v>
      </c>
    </row>
    <row r="2671" spans="1:16" ht="15" hidden="1" customHeight="1">
      <c r="A2671" s="839">
        <v>68922108</v>
      </c>
      <c r="B2671" s="839">
        <v>2904</v>
      </c>
      <c r="C2671" s="906">
        <v>1530</v>
      </c>
      <c r="D2671" s="907">
        <v>46058</v>
      </c>
      <c r="E2671" s="839" t="s">
        <v>276</v>
      </c>
      <c r="F2671" s="839" t="s">
        <v>277</v>
      </c>
      <c r="G2671" s="916">
        <f>VLOOKUP($A2671,'Tech Litons'!$A:$I,8,FALSE)</f>
        <v>3.7839999999999996E-3</v>
      </c>
      <c r="H2671" s="917">
        <f>VLOOKUP($A2671,'Tech Litons'!$A:$I,9,FALSE)</f>
        <v>255</v>
      </c>
      <c r="I2671" s="917" t="str">
        <f>VLOOKUP($A2671,'Tech Litons'!$A:$C,3,0)</f>
        <v>TALENTI</v>
      </c>
      <c r="J2671" s="918" t="str">
        <f t="shared" ref="J2671:J2734" si="271">B2671&amp;I2671</f>
        <v>2904TALENTI</v>
      </c>
      <c r="K2671" s="919">
        <v>1</v>
      </c>
      <c r="L2671" s="920">
        <f t="shared" si="270"/>
        <v>1530</v>
      </c>
      <c r="M2671" s="920">
        <f t="shared" ref="M2671:M2734" si="272">L2671*G2671</f>
        <v>5.7895199999999996</v>
      </c>
      <c r="N2671" s="920">
        <f t="shared" ref="N2671:N2734" si="273">L2671/H2671</f>
        <v>6</v>
      </c>
      <c r="O2671" s="918" t="str">
        <f t="shared" ref="O2671:O2734" si="274">TEXT(D2671,"MMM")</f>
        <v>Feb</v>
      </c>
      <c r="P2671" s="921">
        <f t="shared" ref="P2671:P2734" si="275">WEEKNUM(D2671)</f>
        <v>6</v>
      </c>
    </row>
    <row r="2672" spans="1:16" ht="15" hidden="1" customHeight="1">
      <c r="A2672" s="839">
        <v>68922108</v>
      </c>
      <c r="B2672" s="839">
        <v>2904</v>
      </c>
      <c r="C2672" s="906">
        <v>12666</v>
      </c>
      <c r="D2672" s="907">
        <v>46059</v>
      </c>
      <c r="E2672" s="839" t="s">
        <v>276</v>
      </c>
      <c r="F2672" s="839" t="s">
        <v>277</v>
      </c>
      <c r="G2672" s="916">
        <f>VLOOKUP($A2672,'Tech Litons'!$A:$I,8,FALSE)</f>
        <v>3.7839999999999996E-3</v>
      </c>
      <c r="H2672" s="917">
        <f>VLOOKUP($A2672,'Tech Litons'!$A:$I,9,FALSE)</f>
        <v>255</v>
      </c>
      <c r="I2672" s="917" t="str">
        <f>VLOOKUP($A2672,'Tech Litons'!$A:$C,3,0)</f>
        <v>TALENTI</v>
      </c>
      <c r="J2672" s="918" t="str">
        <f t="shared" si="271"/>
        <v>2904TALENTI</v>
      </c>
      <c r="K2672" s="919">
        <v>1</v>
      </c>
      <c r="L2672" s="920">
        <f t="shared" si="270"/>
        <v>12666</v>
      </c>
      <c r="M2672" s="920">
        <f t="shared" si="272"/>
        <v>47.928143999999996</v>
      </c>
      <c r="N2672" s="920">
        <f t="shared" si="273"/>
        <v>49.670588235294119</v>
      </c>
      <c r="O2672" s="918" t="str">
        <f t="shared" si="274"/>
        <v>Feb</v>
      </c>
      <c r="P2672" s="921">
        <f t="shared" si="275"/>
        <v>6</v>
      </c>
    </row>
    <row r="2673" spans="1:16" ht="15" hidden="1" customHeight="1">
      <c r="A2673" s="839">
        <v>68922108</v>
      </c>
      <c r="B2673" s="839">
        <v>2904</v>
      </c>
      <c r="C2673" s="906">
        <v>12361</v>
      </c>
      <c r="D2673" s="907">
        <v>46059</v>
      </c>
      <c r="E2673" s="839" t="s">
        <v>276</v>
      </c>
      <c r="F2673" s="839" t="s">
        <v>277</v>
      </c>
      <c r="G2673" s="916">
        <f>VLOOKUP($A2673,'Tech Litons'!$A:$I,8,FALSE)</f>
        <v>3.7839999999999996E-3</v>
      </c>
      <c r="H2673" s="917">
        <f>VLOOKUP($A2673,'Tech Litons'!$A:$I,9,FALSE)</f>
        <v>255</v>
      </c>
      <c r="I2673" s="917" t="str">
        <f>VLOOKUP($A2673,'Tech Litons'!$A:$C,3,0)</f>
        <v>TALENTI</v>
      </c>
      <c r="J2673" s="918" t="str">
        <f t="shared" si="271"/>
        <v>2904TALENTI</v>
      </c>
      <c r="K2673" s="919">
        <v>1</v>
      </c>
      <c r="L2673" s="920">
        <f t="shared" si="270"/>
        <v>12361</v>
      </c>
      <c r="M2673" s="920">
        <f t="shared" si="272"/>
        <v>46.774023999999997</v>
      </c>
      <c r="N2673" s="920">
        <f t="shared" si="273"/>
        <v>48.47450980392157</v>
      </c>
      <c r="O2673" s="918" t="str">
        <f t="shared" si="274"/>
        <v>Feb</v>
      </c>
      <c r="P2673" s="921">
        <f t="shared" si="275"/>
        <v>6</v>
      </c>
    </row>
    <row r="2674" spans="1:16" ht="15" hidden="1" customHeight="1">
      <c r="A2674" s="839">
        <v>68922108</v>
      </c>
      <c r="B2674" s="839">
        <v>2904</v>
      </c>
      <c r="C2674" s="906">
        <v>13682</v>
      </c>
      <c r="D2674" s="907">
        <v>46060</v>
      </c>
      <c r="E2674" s="839" t="s">
        <v>276</v>
      </c>
      <c r="F2674" s="839" t="s">
        <v>277</v>
      </c>
      <c r="G2674" s="916">
        <f>VLOOKUP($A2674,'Tech Litons'!$A:$I,8,FALSE)</f>
        <v>3.7839999999999996E-3</v>
      </c>
      <c r="H2674" s="917">
        <f>VLOOKUP($A2674,'Tech Litons'!$A:$I,9,FALSE)</f>
        <v>255</v>
      </c>
      <c r="I2674" s="917" t="str">
        <f>VLOOKUP($A2674,'Tech Litons'!$A:$C,3,0)</f>
        <v>TALENTI</v>
      </c>
      <c r="J2674" s="918" t="str">
        <f t="shared" si="271"/>
        <v>2904TALENTI</v>
      </c>
      <c r="K2674" s="919">
        <v>1</v>
      </c>
      <c r="L2674" s="920">
        <f t="shared" si="270"/>
        <v>13682</v>
      </c>
      <c r="M2674" s="920">
        <f t="shared" si="272"/>
        <v>51.772687999999995</v>
      </c>
      <c r="N2674" s="920">
        <f t="shared" si="273"/>
        <v>53.654901960784315</v>
      </c>
      <c r="O2674" s="918" t="str">
        <f t="shared" si="274"/>
        <v>Feb</v>
      </c>
      <c r="P2674" s="921">
        <f t="shared" si="275"/>
        <v>6</v>
      </c>
    </row>
    <row r="2675" spans="1:16" ht="15" hidden="1" customHeight="1">
      <c r="A2675" s="839">
        <v>68922108</v>
      </c>
      <c r="B2675" s="839">
        <v>2904</v>
      </c>
      <c r="C2675" s="906">
        <v>1110</v>
      </c>
      <c r="D2675" s="907">
        <v>46062</v>
      </c>
      <c r="E2675" s="839" t="s">
        <v>276</v>
      </c>
      <c r="F2675" s="839" t="s">
        <v>277</v>
      </c>
      <c r="G2675" s="916">
        <f>VLOOKUP($A2675,'Tech Litons'!$A:$I,8,FALSE)</f>
        <v>3.7839999999999996E-3</v>
      </c>
      <c r="H2675" s="917">
        <f>VLOOKUP($A2675,'Tech Litons'!$A:$I,9,FALSE)</f>
        <v>255</v>
      </c>
      <c r="I2675" s="917" t="str">
        <f>VLOOKUP($A2675,'Tech Litons'!$A:$C,3,0)</f>
        <v>TALENTI</v>
      </c>
      <c r="J2675" s="918" t="str">
        <f t="shared" si="271"/>
        <v>2904TALENTI</v>
      </c>
      <c r="K2675" s="919">
        <v>1</v>
      </c>
      <c r="L2675" s="920">
        <f t="shared" si="270"/>
        <v>1110</v>
      </c>
      <c r="M2675" s="920">
        <f t="shared" si="272"/>
        <v>4.20024</v>
      </c>
      <c r="N2675" s="920">
        <f t="shared" si="273"/>
        <v>4.3529411764705879</v>
      </c>
      <c r="O2675" s="918" t="str">
        <f t="shared" si="274"/>
        <v>Feb</v>
      </c>
      <c r="P2675" s="921">
        <f t="shared" si="275"/>
        <v>7</v>
      </c>
    </row>
    <row r="2676" spans="1:16" ht="15" hidden="1" customHeight="1">
      <c r="A2676" s="839">
        <v>68922108</v>
      </c>
      <c r="B2676" s="839">
        <v>2904</v>
      </c>
      <c r="C2676" s="906">
        <v>15479</v>
      </c>
      <c r="D2676" s="907">
        <v>46061</v>
      </c>
      <c r="E2676" s="839" t="s">
        <v>276</v>
      </c>
      <c r="F2676" s="839" t="s">
        <v>277</v>
      </c>
      <c r="G2676" s="916">
        <f>VLOOKUP($A2676,'Tech Litons'!$A:$I,8,FALSE)</f>
        <v>3.7839999999999996E-3</v>
      </c>
      <c r="H2676" s="917">
        <f>VLOOKUP($A2676,'Tech Litons'!$A:$I,9,FALSE)</f>
        <v>255</v>
      </c>
      <c r="I2676" s="917" t="str">
        <f>VLOOKUP($A2676,'Tech Litons'!$A:$C,3,0)</f>
        <v>TALENTI</v>
      </c>
      <c r="J2676" s="918" t="str">
        <f t="shared" si="271"/>
        <v>2904TALENTI</v>
      </c>
      <c r="K2676" s="919">
        <v>1</v>
      </c>
      <c r="L2676" s="920">
        <f t="shared" si="270"/>
        <v>15479</v>
      </c>
      <c r="M2676" s="920">
        <f t="shared" si="272"/>
        <v>58.572535999999992</v>
      </c>
      <c r="N2676" s="920">
        <f t="shared" si="273"/>
        <v>60.701960784313727</v>
      </c>
      <c r="O2676" s="918" t="str">
        <f t="shared" si="274"/>
        <v>Feb</v>
      </c>
      <c r="P2676" s="921">
        <f t="shared" si="275"/>
        <v>7</v>
      </c>
    </row>
    <row r="2677" spans="1:16" ht="15" hidden="1" customHeight="1">
      <c r="A2677" s="839">
        <v>68922108</v>
      </c>
      <c r="B2677" s="839">
        <v>2904</v>
      </c>
      <c r="C2677" s="906">
        <v>3598</v>
      </c>
      <c r="D2677" s="907">
        <v>46062</v>
      </c>
      <c r="E2677" s="839" t="s">
        <v>276</v>
      </c>
      <c r="F2677" s="839" t="s">
        <v>277</v>
      </c>
      <c r="G2677" s="916">
        <f>VLOOKUP($A2677,'Tech Litons'!$A:$I,8,FALSE)</f>
        <v>3.7839999999999996E-3</v>
      </c>
      <c r="H2677" s="917">
        <f>VLOOKUP($A2677,'Tech Litons'!$A:$I,9,FALSE)</f>
        <v>255</v>
      </c>
      <c r="I2677" s="917" t="str">
        <f>VLOOKUP($A2677,'Tech Litons'!$A:$C,3,0)</f>
        <v>TALENTI</v>
      </c>
      <c r="J2677" s="918" t="str">
        <f t="shared" si="271"/>
        <v>2904TALENTI</v>
      </c>
      <c r="K2677" s="919">
        <v>1</v>
      </c>
      <c r="L2677" s="920">
        <f t="shared" si="270"/>
        <v>3598</v>
      </c>
      <c r="M2677" s="920">
        <f t="shared" si="272"/>
        <v>13.614831999999998</v>
      </c>
      <c r="N2677" s="920">
        <f t="shared" si="273"/>
        <v>14.109803921568627</v>
      </c>
      <c r="O2677" s="918" t="str">
        <f t="shared" si="274"/>
        <v>Feb</v>
      </c>
      <c r="P2677" s="921">
        <f t="shared" si="275"/>
        <v>7</v>
      </c>
    </row>
    <row r="2678" spans="1:16" ht="15" hidden="1" customHeight="1">
      <c r="A2678" s="839">
        <v>68922108</v>
      </c>
      <c r="B2678" s="839">
        <v>2904</v>
      </c>
      <c r="C2678" s="906">
        <v>11633</v>
      </c>
      <c r="D2678" s="907">
        <v>46060</v>
      </c>
      <c r="E2678" s="839" t="s">
        <v>276</v>
      </c>
      <c r="F2678" s="839" t="s">
        <v>277</v>
      </c>
      <c r="G2678" s="916">
        <f>VLOOKUP($A2678,'Tech Litons'!$A:$I,8,FALSE)</f>
        <v>3.7839999999999996E-3</v>
      </c>
      <c r="H2678" s="917">
        <f>VLOOKUP($A2678,'Tech Litons'!$A:$I,9,FALSE)</f>
        <v>255</v>
      </c>
      <c r="I2678" s="917" t="str">
        <f>VLOOKUP($A2678,'Tech Litons'!$A:$C,3,0)</f>
        <v>TALENTI</v>
      </c>
      <c r="J2678" s="918" t="str">
        <f t="shared" si="271"/>
        <v>2904TALENTI</v>
      </c>
      <c r="K2678" s="919">
        <v>1</v>
      </c>
      <c r="L2678" s="920">
        <f t="shared" si="270"/>
        <v>11633</v>
      </c>
      <c r="M2678" s="920">
        <f t="shared" si="272"/>
        <v>44.019271999999994</v>
      </c>
      <c r="N2678" s="920">
        <f t="shared" si="273"/>
        <v>45.619607843137253</v>
      </c>
      <c r="O2678" s="918" t="str">
        <f t="shared" si="274"/>
        <v>Feb</v>
      </c>
      <c r="P2678" s="921">
        <f t="shared" si="275"/>
        <v>6</v>
      </c>
    </row>
    <row r="2679" spans="1:16" ht="15" hidden="1" customHeight="1">
      <c r="A2679" s="839">
        <v>68922108</v>
      </c>
      <c r="B2679" s="839">
        <v>2904</v>
      </c>
      <c r="C2679" s="906">
        <v>12325</v>
      </c>
      <c r="D2679" s="907">
        <v>46061</v>
      </c>
      <c r="E2679" s="839" t="s">
        <v>276</v>
      </c>
      <c r="F2679" s="839" t="s">
        <v>277</v>
      </c>
      <c r="G2679" s="916">
        <f>VLOOKUP($A2679,'Tech Litons'!$A:$I,8,FALSE)</f>
        <v>3.7839999999999996E-3</v>
      </c>
      <c r="H2679" s="917">
        <f>VLOOKUP($A2679,'Tech Litons'!$A:$I,9,FALSE)</f>
        <v>255</v>
      </c>
      <c r="I2679" s="917" t="str">
        <f>VLOOKUP($A2679,'Tech Litons'!$A:$C,3,0)</f>
        <v>TALENTI</v>
      </c>
      <c r="J2679" s="918" t="str">
        <f t="shared" si="271"/>
        <v>2904TALENTI</v>
      </c>
      <c r="K2679" s="919">
        <v>1</v>
      </c>
      <c r="L2679" s="920">
        <f t="shared" si="270"/>
        <v>12325</v>
      </c>
      <c r="M2679" s="920">
        <f t="shared" si="272"/>
        <v>46.637799999999999</v>
      </c>
      <c r="N2679" s="920">
        <f t="shared" si="273"/>
        <v>48.333333333333336</v>
      </c>
      <c r="O2679" s="918" t="str">
        <f t="shared" si="274"/>
        <v>Feb</v>
      </c>
      <c r="P2679" s="921">
        <f t="shared" si="275"/>
        <v>7</v>
      </c>
    </row>
    <row r="2680" spans="1:16" ht="15" hidden="1" customHeight="1">
      <c r="A2680" s="839">
        <v>68922108</v>
      </c>
      <c r="B2680" s="839">
        <v>2904</v>
      </c>
      <c r="C2680" s="906">
        <v>690</v>
      </c>
      <c r="D2680" s="907">
        <v>46062</v>
      </c>
      <c r="E2680" s="839" t="s">
        <v>276</v>
      </c>
      <c r="F2680" s="839" t="s">
        <v>277</v>
      </c>
      <c r="G2680" s="916">
        <f>VLOOKUP($A2680,'Tech Litons'!$A:$I,8,FALSE)</f>
        <v>3.7839999999999996E-3</v>
      </c>
      <c r="H2680" s="917">
        <f>VLOOKUP($A2680,'Tech Litons'!$A:$I,9,FALSE)</f>
        <v>255</v>
      </c>
      <c r="I2680" s="917" t="str">
        <f>VLOOKUP($A2680,'Tech Litons'!$A:$C,3,0)</f>
        <v>TALENTI</v>
      </c>
      <c r="J2680" s="918" t="str">
        <f t="shared" si="271"/>
        <v>2904TALENTI</v>
      </c>
      <c r="K2680" s="919">
        <v>1</v>
      </c>
      <c r="L2680" s="920">
        <f t="shared" si="270"/>
        <v>690</v>
      </c>
      <c r="M2680" s="920">
        <f t="shared" si="272"/>
        <v>2.6109599999999999</v>
      </c>
      <c r="N2680" s="920">
        <f t="shared" si="273"/>
        <v>2.7058823529411766</v>
      </c>
      <c r="O2680" s="918" t="str">
        <f t="shared" si="274"/>
        <v>Feb</v>
      </c>
      <c r="P2680" s="921">
        <f t="shared" si="275"/>
        <v>7</v>
      </c>
    </row>
    <row r="2681" spans="1:16" ht="15" hidden="1" customHeight="1">
      <c r="A2681" s="839">
        <v>69564623</v>
      </c>
      <c r="B2681" s="839">
        <v>2904</v>
      </c>
      <c r="C2681" s="906">
        <v>5632</v>
      </c>
      <c r="D2681" s="907">
        <v>46063</v>
      </c>
      <c r="E2681" s="839" t="s">
        <v>378</v>
      </c>
      <c r="F2681" s="839" t="s">
        <v>269</v>
      </c>
      <c r="G2681" s="916">
        <f>VLOOKUP($A2681,'Tech Litons'!$A:$I,8,FALSE)</f>
        <v>8.5199999999999998E-3</v>
      </c>
      <c r="H2681" s="917">
        <f>VLOOKUP($A2681,'Tech Litons'!$A:$I,9,FALSE)</f>
        <v>176</v>
      </c>
      <c r="I2681" s="917" t="str">
        <f>VLOOKUP($A2681,'Tech Litons'!$A:$C,3,0)</f>
        <v>48oz</v>
      </c>
      <c r="J2681" s="918" t="str">
        <f t="shared" si="271"/>
        <v>290448oz</v>
      </c>
      <c r="K2681" s="919">
        <v>1</v>
      </c>
      <c r="L2681" s="920">
        <f t="shared" si="270"/>
        <v>5632</v>
      </c>
      <c r="M2681" s="920">
        <f t="shared" si="272"/>
        <v>47.984639999999999</v>
      </c>
      <c r="N2681" s="920">
        <f t="shared" si="273"/>
        <v>32</v>
      </c>
      <c r="O2681" s="918" t="str">
        <f t="shared" si="274"/>
        <v>Feb</v>
      </c>
      <c r="P2681" s="921">
        <f t="shared" si="275"/>
        <v>7</v>
      </c>
    </row>
    <row r="2682" spans="1:16" ht="15" hidden="1" customHeight="1">
      <c r="A2682" s="839">
        <v>69564623</v>
      </c>
      <c r="B2682" s="839">
        <v>2904</v>
      </c>
      <c r="C2682" s="906">
        <v>5104</v>
      </c>
      <c r="D2682" s="907">
        <v>46064</v>
      </c>
      <c r="E2682" s="839" t="s">
        <v>378</v>
      </c>
      <c r="F2682" s="839" t="s">
        <v>269</v>
      </c>
      <c r="G2682" s="916">
        <f>VLOOKUP($A2682,'Tech Litons'!$A:$I,8,FALSE)</f>
        <v>8.5199999999999998E-3</v>
      </c>
      <c r="H2682" s="917">
        <f>VLOOKUP($A2682,'Tech Litons'!$A:$I,9,FALSE)</f>
        <v>176</v>
      </c>
      <c r="I2682" s="917" t="str">
        <f>VLOOKUP($A2682,'Tech Litons'!$A:$C,3,0)</f>
        <v>48oz</v>
      </c>
      <c r="J2682" s="918" t="str">
        <f t="shared" si="271"/>
        <v>290448oz</v>
      </c>
      <c r="K2682" s="919">
        <v>1</v>
      </c>
      <c r="L2682" s="920">
        <f t="shared" si="270"/>
        <v>5104</v>
      </c>
      <c r="M2682" s="920">
        <f t="shared" si="272"/>
        <v>43.486080000000001</v>
      </c>
      <c r="N2682" s="920">
        <f t="shared" si="273"/>
        <v>29</v>
      </c>
      <c r="O2682" s="918" t="str">
        <f t="shared" si="274"/>
        <v>Feb</v>
      </c>
      <c r="P2682" s="921">
        <f t="shared" si="275"/>
        <v>7</v>
      </c>
    </row>
    <row r="2683" spans="1:16" ht="15" hidden="1" customHeight="1">
      <c r="A2683" s="839">
        <v>69564623</v>
      </c>
      <c r="B2683" s="839">
        <v>2904</v>
      </c>
      <c r="C2683" s="906">
        <v>176</v>
      </c>
      <c r="D2683" s="907">
        <v>46065</v>
      </c>
      <c r="E2683" s="839" t="s">
        <v>378</v>
      </c>
      <c r="F2683" s="839" t="s">
        <v>269</v>
      </c>
      <c r="G2683" s="916">
        <f>VLOOKUP($A2683,'Tech Litons'!$A:$I,8,FALSE)</f>
        <v>8.5199999999999998E-3</v>
      </c>
      <c r="H2683" s="917">
        <f>VLOOKUP($A2683,'Tech Litons'!$A:$I,9,FALSE)</f>
        <v>176</v>
      </c>
      <c r="I2683" s="917" t="str">
        <f>VLOOKUP($A2683,'Tech Litons'!$A:$C,3,0)</f>
        <v>48oz</v>
      </c>
      <c r="J2683" s="918" t="str">
        <f t="shared" si="271"/>
        <v>290448oz</v>
      </c>
      <c r="K2683" s="919">
        <v>1</v>
      </c>
      <c r="L2683" s="920">
        <f t="shared" si="270"/>
        <v>176</v>
      </c>
      <c r="M2683" s="920">
        <f t="shared" si="272"/>
        <v>1.49952</v>
      </c>
      <c r="N2683" s="920">
        <f t="shared" si="273"/>
        <v>1</v>
      </c>
      <c r="O2683" s="918" t="str">
        <f t="shared" si="274"/>
        <v>Feb</v>
      </c>
      <c r="P2683" s="921">
        <f t="shared" si="275"/>
        <v>7</v>
      </c>
    </row>
    <row r="2684" spans="1:16" ht="15" hidden="1" customHeight="1">
      <c r="A2684" s="839">
        <v>69564623</v>
      </c>
      <c r="B2684" s="839">
        <v>2904</v>
      </c>
      <c r="C2684" s="906">
        <v>6160</v>
      </c>
      <c r="D2684" s="907">
        <v>46064</v>
      </c>
      <c r="E2684" s="839" t="s">
        <v>378</v>
      </c>
      <c r="F2684" s="839" t="s">
        <v>269</v>
      </c>
      <c r="G2684" s="916">
        <f>VLOOKUP($A2684,'Tech Litons'!$A:$I,8,FALSE)</f>
        <v>8.5199999999999998E-3</v>
      </c>
      <c r="H2684" s="917">
        <f>VLOOKUP($A2684,'Tech Litons'!$A:$I,9,FALSE)</f>
        <v>176</v>
      </c>
      <c r="I2684" s="917" t="str">
        <f>VLOOKUP($A2684,'Tech Litons'!$A:$C,3,0)</f>
        <v>48oz</v>
      </c>
      <c r="J2684" s="918" t="str">
        <f t="shared" si="271"/>
        <v>290448oz</v>
      </c>
      <c r="K2684" s="919">
        <v>1</v>
      </c>
      <c r="L2684" s="920">
        <f t="shared" si="270"/>
        <v>6160</v>
      </c>
      <c r="M2684" s="920">
        <f t="shared" si="272"/>
        <v>52.483199999999997</v>
      </c>
      <c r="N2684" s="920">
        <f t="shared" si="273"/>
        <v>35</v>
      </c>
      <c r="O2684" s="918" t="str">
        <f t="shared" si="274"/>
        <v>Feb</v>
      </c>
      <c r="P2684" s="921">
        <f t="shared" si="275"/>
        <v>7</v>
      </c>
    </row>
    <row r="2685" spans="1:16" ht="15" hidden="1" customHeight="1">
      <c r="A2685" s="839">
        <v>69564623</v>
      </c>
      <c r="B2685" s="839">
        <v>2904</v>
      </c>
      <c r="C2685" s="906">
        <v>5543</v>
      </c>
      <c r="D2685" s="907">
        <v>46065</v>
      </c>
      <c r="E2685" s="839" t="s">
        <v>378</v>
      </c>
      <c r="F2685" s="839" t="s">
        <v>269</v>
      </c>
      <c r="G2685" s="916">
        <f>VLOOKUP($A2685,'Tech Litons'!$A:$I,8,FALSE)</f>
        <v>8.5199999999999998E-3</v>
      </c>
      <c r="H2685" s="917">
        <f>VLOOKUP($A2685,'Tech Litons'!$A:$I,9,FALSE)</f>
        <v>176</v>
      </c>
      <c r="I2685" s="917" t="str">
        <f>VLOOKUP($A2685,'Tech Litons'!$A:$C,3,0)</f>
        <v>48oz</v>
      </c>
      <c r="J2685" s="918" t="str">
        <f t="shared" si="271"/>
        <v>290448oz</v>
      </c>
      <c r="K2685" s="919">
        <v>1</v>
      </c>
      <c r="L2685" s="920">
        <f t="shared" si="270"/>
        <v>5543</v>
      </c>
      <c r="M2685" s="920">
        <f t="shared" si="272"/>
        <v>47.22636</v>
      </c>
      <c r="N2685" s="920">
        <f t="shared" si="273"/>
        <v>31.494318181818183</v>
      </c>
      <c r="O2685" s="918" t="str">
        <f t="shared" si="274"/>
        <v>Feb</v>
      </c>
      <c r="P2685" s="921">
        <f t="shared" si="275"/>
        <v>7</v>
      </c>
    </row>
    <row r="2686" spans="1:16" ht="15" hidden="1" customHeight="1">
      <c r="A2686" s="839">
        <v>69564623</v>
      </c>
      <c r="B2686" s="839">
        <v>2904</v>
      </c>
      <c r="C2686" s="906">
        <v>2112</v>
      </c>
      <c r="D2686" s="907">
        <v>46063</v>
      </c>
      <c r="E2686" s="839" t="s">
        <v>378</v>
      </c>
      <c r="F2686" s="839" t="s">
        <v>269</v>
      </c>
      <c r="G2686" s="916">
        <f>VLOOKUP($A2686,'Tech Litons'!$A:$I,8,FALSE)</f>
        <v>8.5199999999999998E-3</v>
      </c>
      <c r="H2686" s="917">
        <f>VLOOKUP($A2686,'Tech Litons'!$A:$I,9,FALSE)</f>
        <v>176</v>
      </c>
      <c r="I2686" s="917" t="str">
        <f>VLOOKUP($A2686,'Tech Litons'!$A:$C,3,0)</f>
        <v>48oz</v>
      </c>
      <c r="J2686" s="918" t="str">
        <f t="shared" si="271"/>
        <v>290448oz</v>
      </c>
      <c r="K2686" s="919">
        <v>1</v>
      </c>
      <c r="L2686" s="920">
        <f t="shared" si="270"/>
        <v>2112</v>
      </c>
      <c r="M2686" s="920">
        <f t="shared" si="272"/>
        <v>17.994239999999998</v>
      </c>
      <c r="N2686" s="920">
        <f t="shared" si="273"/>
        <v>12</v>
      </c>
      <c r="O2686" s="918" t="str">
        <f t="shared" si="274"/>
        <v>Feb</v>
      </c>
      <c r="P2686" s="921">
        <f t="shared" si="275"/>
        <v>7</v>
      </c>
    </row>
    <row r="2687" spans="1:16" ht="15" hidden="1" customHeight="1">
      <c r="A2687" s="839">
        <v>69568964</v>
      </c>
      <c r="B2687" s="839">
        <v>2904</v>
      </c>
      <c r="C2687" s="906">
        <v>352</v>
      </c>
      <c r="D2687" s="907">
        <v>46057</v>
      </c>
      <c r="E2687" s="839" t="s">
        <v>444</v>
      </c>
      <c r="F2687" s="839" t="s">
        <v>269</v>
      </c>
      <c r="G2687" s="916">
        <f>VLOOKUP($A2687,'Tech Litons'!$A:$I,8,FALSE)</f>
        <v>8.5199999999999998E-3</v>
      </c>
      <c r="H2687" s="917">
        <f>VLOOKUP($A2687,'Tech Litons'!$A:$I,9,FALSE)</f>
        <v>176</v>
      </c>
      <c r="I2687" s="917" t="str">
        <f>VLOOKUP($A2687,'Tech Litons'!$A:$C,3,0)</f>
        <v>48oz</v>
      </c>
      <c r="J2687" s="918" t="str">
        <f t="shared" si="271"/>
        <v>290448oz</v>
      </c>
      <c r="K2687" s="919">
        <v>1</v>
      </c>
      <c r="L2687" s="920">
        <f t="shared" si="270"/>
        <v>352</v>
      </c>
      <c r="M2687" s="920">
        <f t="shared" si="272"/>
        <v>2.9990399999999999</v>
      </c>
      <c r="N2687" s="920">
        <f t="shared" si="273"/>
        <v>2</v>
      </c>
      <c r="O2687" s="918" t="str">
        <f t="shared" si="274"/>
        <v>Feb</v>
      </c>
      <c r="P2687" s="921">
        <f t="shared" si="275"/>
        <v>6</v>
      </c>
    </row>
    <row r="2688" spans="1:16" ht="15" hidden="1" customHeight="1">
      <c r="A2688" s="839">
        <v>69568964</v>
      </c>
      <c r="B2688" s="839">
        <v>2904</v>
      </c>
      <c r="C2688" s="906">
        <v>5632</v>
      </c>
      <c r="D2688" s="907">
        <v>46066</v>
      </c>
      <c r="E2688" s="839" t="s">
        <v>444</v>
      </c>
      <c r="F2688" s="839" t="s">
        <v>271</v>
      </c>
      <c r="G2688" s="916">
        <f>VLOOKUP($A2688,'Tech Litons'!$A:$I,8,FALSE)</f>
        <v>8.5199999999999998E-3</v>
      </c>
      <c r="H2688" s="917">
        <f>VLOOKUP($A2688,'Tech Litons'!$A:$I,9,FALSE)</f>
        <v>176</v>
      </c>
      <c r="I2688" s="917" t="str">
        <f>VLOOKUP($A2688,'Tech Litons'!$A:$C,3,0)</f>
        <v>48oz</v>
      </c>
      <c r="J2688" s="918" t="str">
        <f t="shared" si="271"/>
        <v>290448oz</v>
      </c>
      <c r="K2688" s="919">
        <v>1</v>
      </c>
      <c r="L2688" s="920">
        <f t="shared" si="270"/>
        <v>5632</v>
      </c>
      <c r="M2688" s="920">
        <f t="shared" si="272"/>
        <v>47.984639999999999</v>
      </c>
      <c r="N2688" s="920">
        <f t="shared" si="273"/>
        <v>32</v>
      </c>
      <c r="O2688" s="918" t="str">
        <f t="shared" si="274"/>
        <v>Feb</v>
      </c>
      <c r="P2688" s="921">
        <f t="shared" si="275"/>
        <v>7</v>
      </c>
    </row>
    <row r="2689" spans="1:16" ht="15" hidden="1" customHeight="1">
      <c r="A2689" s="839">
        <v>69568964</v>
      </c>
      <c r="B2689" s="839">
        <v>2904</v>
      </c>
      <c r="C2689" s="906">
        <v>5609</v>
      </c>
      <c r="D2689" s="907">
        <v>46067</v>
      </c>
      <c r="E2689" s="839" t="s">
        <v>444</v>
      </c>
      <c r="F2689" s="839" t="s">
        <v>271</v>
      </c>
      <c r="G2689" s="916">
        <f>VLOOKUP($A2689,'Tech Litons'!$A:$I,8,FALSE)</f>
        <v>8.5199999999999998E-3</v>
      </c>
      <c r="H2689" s="917">
        <f>VLOOKUP($A2689,'Tech Litons'!$A:$I,9,FALSE)</f>
        <v>176</v>
      </c>
      <c r="I2689" s="917" t="str">
        <f>VLOOKUP($A2689,'Tech Litons'!$A:$C,3,0)</f>
        <v>48oz</v>
      </c>
      <c r="J2689" s="918" t="str">
        <f t="shared" si="271"/>
        <v>290448oz</v>
      </c>
      <c r="K2689" s="919">
        <v>1</v>
      </c>
      <c r="L2689" s="920">
        <f t="shared" si="270"/>
        <v>5609</v>
      </c>
      <c r="M2689" s="920">
        <f t="shared" si="272"/>
        <v>47.788679999999999</v>
      </c>
      <c r="N2689" s="920">
        <f t="shared" si="273"/>
        <v>31.869318181818183</v>
      </c>
      <c r="O2689" s="918" t="str">
        <f t="shared" si="274"/>
        <v>Feb</v>
      </c>
      <c r="P2689" s="921">
        <f t="shared" si="275"/>
        <v>7</v>
      </c>
    </row>
    <row r="2690" spans="1:16" ht="15" hidden="1" customHeight="1">
      <c r="A2690" s="839">
        <v>69568964</v>
      </c>
      <c r="B2690" s="839">
        <v>2904</v>
      </c>
      <c r="C2690" s="906">
        <v>23</v>
      </c>
      <c r="D2690" s="907">
        <v>46069</v>
      </c>
      <c r="E2690" s="839" t="s">
        <v>444</v>
      </c>
      <c r="F2690" s="839" t="s">
        <v>271</v>
      </c>
      <c r="G2690" s="916">
        <f>VLOOKUP($A2690,'Tech Litons'!$A:$I,8,FALSE)</f>
        <v>8.5199999999999998E-3</v>
      </c>
      <c r="H2690" s="917">
        <f>VLOOKUP($A2690,'Tech Litons'!$A:$I,9,FALSE)</f>
        <v>176</v>
      </c>
      <c r="I2690" s="917" t="str">
        <f>VLOOKUP($A2690,'Tech Litons'!$A:$C,3,0)</f>
        <v>48oz</v>
      </c>
      <c r="J2690" s="918" t="str">
        <f t="shared" si="271"/>
        <v>290448oz</v>
      </c>
      <c r="K2690" s="919">
        <v>1</v>
      </c>
      <c r="L2690" s="920">
        <f t="shared" si="270"/>
        <v>23</v>
      </c>
      <c r="M2690" s="920">
        <f t="shared" si="272"/>
        <v>0.19596</v>
      </c>
      <c r="N2690" s="920">
        <f t="shared" si="273"/>
        <v>0.13068181818181818</v>
      </c>
      <c r="O2690" s="918" t="str">
        <f t="shared" si="274"/>
        <v>Feb</v>
      </c>
      <c r="P2690" s="921">
        <f t="shared" si="275"/>
        <v>8</v>
      </c>
    </row>
    <row r="2691" spans="1:16" ht="15" hidden="1" customHeight="1">
      <c r="A2691" s="839">
        <v>69568964</v>
      </c>
      <c r="B2691" s="839">
        <v>2904</v>
      </c>
      <c r="C2691" s="906">
        <v>5433</v>
      </c>
      <c r="D2691" s="907">
        <v>46067</v>
      </c>
      <c r="E2691" s="839" t="s">
        <v>444</v>
      </c>
      <c r="F2691" s="839" t="s">
        <v>271</v>
      </c>
      <c r="G2691" s="916">
        <f>VLOOKUP($A2691,'Tech Litons'!$A:$I,8,FALSE)</f>
        <v>8.5199999999999998E-3</v>
      </c>
      <c r="H2691" s="917">
        <f>VLOOKUP($A2691,'Tech Litons'!$A:$I,9,FALSE)</f>
        <v>176</v>
      </c>
      <c r="I2691" s="917" t="str">
        <f>VLOOKUP($A2691,'Tech Litons'!$A:$C,3,0)</f>
        <v>48oz</v>
      </c>
      <c r="J2691" s="918" t="str">
        <f t="shared" si="271"/>
        <v>290448oz</v>
      </c>
      <c r="K2691" s="919">
        <v>1</v>
      </c>
      <c r="L2691" s="920">
        <f t="shared" si="270"/>
        <v>5433</v>
      </c>
      <c r="M2691" s="920">
        <f t="shared" si="272"/>
        <v>46.289159999999995</v>
      </c>
      <c r="N2691" s="920">
        <f t="shared" si="273"/>
        <v>30.869318181818183</v>
      </c>
      <c r="O2691" s="918" t="str">
        <f t="shared" si="274"/>
        <v>Feb</v>
      </c>
      <c r="P2691" s="921">
        <f t="shared" si="275"/>
        <v>7</v>
      </c>
    </row>
    <row r="2692" spans="1:16" ht="15" hidden="1" customHeight="1">
      <c r="A2692" s="839">
        <v>69568964</v>
      </c>
      <c r="B2692" s="839">
        <v>2904</v>
      </c>
      <c r="C2692" s="906">
        <v>5632</v>
      </c>
      <c r="D2692" s="907">
        <v>46068</v>
      </c>
      <c r="E2692" s="839" t="s">
        <v>444</v>
      </c>
      <c r="F2692" s="839" t="s">
        <v>271</v>
      </c>
      <c r="G2692" s="916">
        <f>VLOOKUP($A2692,'Tech Litons'!$A:$I,8,FALSE)</f>
        <v>8.5199999999999998E-3</v>
      </c>
      <c r="H2692" s="917">
        <f>VLOOKUP($A2692,'Tech Litons'!$A:$I,9,FALSE)</f>
        <v>176</v>
      </c>
      <c r="I2692" s="917" t="str">
        <f>VLOOKUP($A2692,'Tech Litons'!$A:$C,3,0)</f>
        <v>48oz</v>
      </c>
      <c r="J2692" s="918" t="str">
        <f t="shared" si="271"/>
        <v>290448oz</v>
      </c>
      <c r="K2692" s="919">
        <v>1</v>
      </c>
      <c r="L2692" s="920">
        <f t="shared" si="270"/>
        <v>5632</v>
      </c>
      <c r="M2692" s="920">
        <f t="shared" si="272"/>
        <v>47.984639999999999</v>
      </c>
      <c r="N2692" s="920">
        <f t="shared" si="273"/>
        <v>32</v>
      </c>
      <c r="O2692" s="918" t="str">
        <f t="shared" si="274"/>
        <v>Feb</v>
      </c>
      <c r="P2692" s="921">
        <f t="shared" si="275"/>
        <v>8</v>
      </c>
    </row>
    <row r="2693" spans="1:16" ht="15" hidden="1" customHeight="1">
      <c r="A2693" s="839">
        <v>69568964</v>
      </c>
      <c r="B2693" s="839">
        <v>2904</v>
      </c>
      <c r="C2693" s="906">
        <v>5280</v>
      </c>
      <c r="D2693" s="907">
        <v>46068</v>
      </c>
      <c r="E2693" s="839" t="s">
        <v>444</v>
      </c>
      <c r="F2693" s="839" t="s">
        <v>271</v>
      </c>
      <c r="G2693" s="916">
        <f>VLOOKUP($A2693,'Tech Litons'!$A:$I,8,FALSE)</f>
        <v>8.5199999999999998E-3</v>
      </c>
      <c r="H2693" s="917">
        <f>VLOOKUP($A2693,'Tech Litons'!$A:$I,9,FALSE)</f>
        <v>176</v>
      </c>
      <c r="I2693" s="917" t="str">
        <f>VLOOKUP($A2693,'Tech Litons'!$A:$C,3,0)</f>
        <v>48oz</v>
      </c>
      <c r="J2693" s="918" t="str">
        <f t="shared" si="271"/>
        <v>290448oz</v>
      </c>
      <c r="K2693" s="919">
        <v>1</v>
      </c>
      <c r="L2693" s="920">
        <f t="shared" si="270"/>
        <v>5280</v>
      </c>
      <c r="M2693" s="920">
        <f t="shared" si="272"/>
        <v>44.985599999999998</v>
      </c>
      <c r="N2693" s="920">
        <f t="shared" si="273"/>
        <v>30</v>
      </c>
      <c r="O2693" s="918" t="str">
        <f t="shared" si="274"/>
        <v>Feb</v>
      </c>
      <c r="P2693" s="921">
        <f t="shared" si="275"/>
        <v>8</v>
      </c>
    </row>
    <row r="2694" spans="1:16" ht="15" hidden="1" customHeight="1">
      <c r="A2694" s="839">
        <v>69568964</v>
      </c>
      <c r="B2694" s="839">
        <v>2904</v>
      </c>
      <c r="C2694" s="906">
        <v>5808</v>
      </c>
      <c r="D2694" s="907">
        <v>46069</v>
      </c>
      <c r="E2694" s="839" t="s">
        <v>444</v>
      </c>
      <c r="F2694" s="839" t="s">
        <v>271</v>
      </c>
      <c r="G2694" s="916">
        <f>VLOOKUP($A2694,'Tech Litons'!$A:$I,8,FALSE)</f>
        <v>8.5199999999999998E-3</v>
      </c>
      <c r="H2694" s="917">
        <f>VLOOKUP($A2694,'Tech Litons'!$A:$I,9,FALSE)</f>
        <v>176</v>
      </c>
      <c r="I2694" s="917" t="str">
        <f>VLOOKUP($A2694,'Tech Litons'!$A:$C,3,0)</f>
        <v>48oz</v>
      </c>
      <c r="J2694" s="918" t="str">
        <f t="shared" si="271"/>
        <v>290448oz</v>
      </c>
      <c r="K2694" s="919">
        <v>1</v>
      </c>
      <c r="L2694" s="920">
        <f t="shared" si="270"/>
        <v>5808</v>
      </c>
      <c r="M2694" s="920">
        <f t="shared" si="272"/>
        <v>49.484159999999996</v>
      </c>
      <c r="N2694" s="920">
        <f t="shared" si="273"/>
        <v>33</v>
      </c>
      <c r="O2694" s="918" t="str">
        <f t="shared" si="274"/>
        <v>Feb</v>
      </c>
      <c r="P2694" s="921">
        <f t="shared" si="275"/>
        <v>8</v>
      </c>
    </row>
    <row r="2695" spans="1:16" ht="15" hidden="1" customHeight="1">
      <c r="A2695" s="839">
        <v>69568964</v>
      </c>
      <c r="B2695" s="839">
        <v>2904</v>
      </c>
      <c r="C2695" s="906">
        <v>2364</v>
      </c>
      <c r="D2695" s="907">
        <v>46069</v>
      </c>
      <c r="E2695" s="839" t="s">
        <v>444</v>
      </c>
      <c r="F2695" s="839" t="s">
        <v>271</v>
      </c>
      <c r="G2695" s="916">
        <f>VLOOKUP($A2695,'Tech Litons'!$A:$I,8,FALSE)</f>
        <v>8.5199999999999998E-3</v>
      </c>
      <c r="H2695" s="917">
        <f>VLOOKUP($A2695,'Tech Litons'!$A:$I,9,FALSE)</f>
        <v>176</v>
      </c>
      <c r="I2695" s="917" t="str">
        <f>VLOOKUP($A2695,'Tech Litons'!$A:$C,3,0)</f>
        <v>48oz</v>
      </c>
      <c r="J2695" s="918" t="str">
        <f t="shared" si="271"/>
        <v>290448oz</v>
      </c>
      <c r="K2695" s="919">
        <v>1</v>
      </c>
      <c r="L2695" s="920">
        <f t="shared" si="270"/>
        <v>2364</v>
      </c>
      <c r="M2695" s="920">
        <f t="shared" si="272"/>
        <v>20.141279999999998</v>
      </c>
      <c r="N2695" s="920">
        <f t="shared" si="273"/>
        <v>13.431818181818182</v>
      </c>
      <c r="O2695" s="918" t="str">
        <f t="shared" si="274"/>
        <v>Feb</v>
      </c>
      <c r="P2695" s="921">
        <f t="shared" si="275"/>
        <v>8</v>
      </c>
    </row>
    <row r="2696" spans="1:16" ht="15" hidden="1" customHeight="1">
      <c r="A2696" s="839">
        <v>69568964</v>
      </c>
      <c r="B2696" s="839">
        <v>2904</v>
      </c>
      <c r="C2696" s="906">
        <v>7570</v>
      </c>
      <c r="D2696" s="907">
        <v>46070</v>
      </c>
      <c r="E2696" s="839" t="s">
        <v>444</v>
      </c>
      <c r="F2696" s="839" t="s">
        <v>271</v>
      </c>
      <c r="G2696" s="916">
        <f>VLOOKUP($A2696,'Tech Litons'!$A:$I,8,FALSE)</f>
        <v>8.5199999999999998E-3</v>
      </c>
      <c r="H2696" s="917">
        <f>VLOOKUP($A2696,'Tech Litons'!$A:$I,9,FALSE)</f>
        <v>176</v>
      </c>
      <c r="I2696" s="917" t="str">
        <f>VLOOKUP($A2696,'Tech Litons'!$A:$C,3,0)</f>
        <v>48oz</v>
      </c>
      <c r="J2696" s="918" t="str">
        <f t="shared" si="271"/>
        <v>290448oz</v>
      </c>
      <c r="K2696" s="919">
        <v>1</v>
      </c>
      <c r="L2696" s="920">
        <f t="shared" si="270"/>
        <v>7570</v>
      </c>
      <c r="M2696" s="920">
        <f t="shared" si="272"/>
        <v>64.496399999999994</v>
      </c>
      <c r="N2696" s="920">
        <f t="shared" si="273"/>
        <v>43.011363636363633</v>
      </c>
      <c r="O2696" s="918" t="str">
        <f t="shared" si="274"/>
        <v>Feb</v>
      </c>
      <c r="P2696" s="921">
        <f t="shared" si="275"/>
        <v>8</v>
      </c>
    </row>
    <row r="2697" spans="1:16" ht="15" hidden="1" customHeight="1">
      <c r="A2697" s="839">
        <v>69568964</v>
      </c>
      <c r="B2697" s="839">
        <v>2904</v>
      </c>
      <c r="C2697" s="906">
        <v>6336</v>
      </c>
      <c r="D2697" s="907">
        <v>46070</v>
      </c>
      <c r="E2697" s="839" t="s">
        <v>444</v>
      </c>
      <c r="F2697" s="839" t="s">
        <v>271</v>
      </c>
      <c r="G2697" s="916">
        <f>VLOOKUP($A2697,'Tech Litons'!$A:$I,8,FALSE)</f>
        <v>8.5199999999999998E-3</v>
      </c>
      <c r="H2697" s="917">
        <f>VLOOKUP($A2697,'Tech Litons'!$A:$I,9,FALSE)</f>
        <v>176</v>
      </c>
      <c r="I2697" s="917" t="str">
        <f>VLOOKUP($A2697,'Tech Litons'!$A:$C,3,0)</f>
        <v>48oz</v>
      </c>
      <c r="J2697" s="918" t="str">
        <f t="shared" si="271"/>
        <v>290448oz</v>
      </c>
      <c r="K2697" s="919">
        <v>1</v>
      </c>
      <c r="L2697" s="920">
        <f t="shared" si="270"/>
        <v>6336</v>
      </c>
      <c r="M2697" s="920">
        <f t="shared" si="272"/>
        <v>53.98272</v>
      </c>
      <c r="N2697" s="920">
        <f t="shared" si="273"/>
        <v>36</v>
      </c>
      <c r="O2697" s="918" t="str">
        <f t="shared" si="274"/>
        <v>Feb</v>
      </c>
      <c r="P2697" s="921">
        <f t="shared" si="275"/>
        <v>8</v>
      </c>
    </row>
    <row r="2698" spans="1:16" ht="15" hidden="1" customHeight="1">
      <c r="A2698" s="839">
        <v>69568964</v>
      </c>
      <c r="B2698" s="839">
        <v>2904</v>
      </c>
      <c r="C2698" s="906">
        <v>4937</v>
      </c>
      <c r="D2698" s="907">
        <v>46071</v>
      </c>
      <c r="E2698" s="839" t="s">
        <v>444</v>
      </c>
      <c r="F2698" s="839" t="s">
        <v>271</v>
      </c>
      <c r="G2698" s="916">
        <f>VLOOKUP($A2698,'Tech Litons'!$A:$I,8,FALSE)</f>
        <v>8.5199999999999998E-3</v>
      </c>
      <c r="H2698" s="917">
        <f>VLOOKUP($A2698,'Tech Litons'!$A:$I,9,FALSE)</f>
        <v>176</v>
      </c>
      <c r="I2698" s="917" t="str">
        <f>VLOOKUP($A2698,'Tech Litons'!$A:$C,3,0)</f>
        <v>48oz</v>
      </c>
      <c r="J2698" s="918" t="str">
        <f t="shared" si="271"/>
        <v>290448oz</v>
      </c>
      <c r="K2698" s="919">
        <v>1</v>
      </c>
      <c r="L2698" s="920">
        <f t="shared" si="270"/>
        <v>4937</v>
      </c>
      <c r="M2698" s="920">
        <f t="shared" si="272"/>
        <v>42.06324</v>
      </c>
      <c r="N2698" s="920">
        <f t="shared" si="273"/>
        <v>28.051136363636363</v>
      </c>
      <c r="O2698" s="918" t="str">
        <f t="shared" si="274"/>
        <v>Feb</v>
      </c>
      <c r="P2698" s="921">
        <f t="shared" si="275"/>
        <v>8</v>
      </c>
    </row>
    <row r="2699" spans="1:16" ht="15" hidden="1" customHeight="1">
      <c r="A2699" s="839">
        <v>69568964</v>
      </c>
      <c r="B2699" s="839">
        <v>2904</v>
      </c>
      <c r="C2699" s="906">
        <v>6274</v>
      </c>
      <c r="D2699" s="907">
        <v>46071</v>
      </c>
      <c r="E2699" s="839" t="s">
        <v>444</v>
      </c>
      <c r="F2699" s="839" t="s">
        <v>271</v>
      </c>
      <c r="G2699" s="916">
        <f>VLOOKUP($A2699,'Tech Litons'!$A:$I,8,FALSE)</f>
        <v>8.5199999999999998E-3</v>
      </c>
      <c r="H2699" s="917">
        <f>VLOOKUP($A2699,'Tech Litons'!$A:$I,9,FALSE)</f>
        <v>176</v>
      </c>
      <c r="I2699" s="917" t="str">
        <f>VLOOKUP($A2699,'Tech Litons'!$A:$C,3,0)</f>
        <v>48oz</v>
      </c>
      <c r="J2699" s="918" t="str">
        <f t="shared" si="271"/>
        <v>290448oz</v>
      </c>
      <c r="K2699" s="919">
        <v>1</v>
      </c>
      <c r="L2699" s="920">
        <f t="shared" si="270"/>
        <v>6274</v>
      </c>
      <c r="M2699" s="920">
        <f t="shared" si="272"/>
        <v>53.454479999999997</v>
      </c>
      <c r="N2699" s="920">
        <f t="shared" si="273"/>
        <v>35.647727272727273</v>
      </c>
      <c r="O2699" s="918" t="str">
        <f t="shared" si="274"/>
        <v>Feb</v>
      </c>
      <c r="P2699" s="921">
        <f t="shared" si="275"/>
        <v>8</v>
      </c>
    </row>
    <row r="2700" spans="1:16" ht="15" hidden="1" customHeight="1">
      <c r="A2700" s="839">
        <v>69568964</v>
      </c>
      <c r="B2700" s="839">
        <v>2904</v>
      </c>
      <c r="C2700" s="906">
        <v>5709</v>
      </c>
      <c r="D2700" s="907">
        <v>46072</v>
      </c>
      <c r="E2700" s="839" t="s">
        <v>444</v>
      </c>
      <c r="F2700" s="839" t="s">
        <v>271</v>
      </c>
      <c r="G2700" s="916">
        <f>VLOOKUP($A2700,'Tech Litons'!$A:$I,8,FALSE)</f>
        <v>8.5199999999999998E-3</v>
      </c>
      <c r="H2700" s="917">
        <f>VLOOKUP($A2700,'Tech Litons'!$A:$I,9,FALSE)</f>
        <v>176</v>
      </c>
      <c r="I2700" s="917" t="str">
        <f>VLOOKUP($A2700,'Tech Litons'!$A:$C,3,0)</f>
        <v>48oz</v>
      </c>
      <c r="J2700" s="918" t="str">
        <f t="shared" si="271"/>
        <v>290448oz</v>
      </c>
      <c r="K2700" s="919">
        <v>1</v>
      </c>
      <c r="L2700" s="920">
        <f t="shared" si="270"/>
        <v>5709</v>
      </c>
      <c r="M2700" s="920">
        <f t="shared" si="272"/>
        <v>48.640679999999996</v>
      </c>
      <c r="N2700" s="920">
        <f t="shared" si="273"/>
        <v>32.4375</v>
      </c>
      <c r="O2700" s="918" t="str">
        <f t="shared" si="274"/>
        <v>Feb</v>
      </c>
      <c r="P2700" s="921">
        <f t="shared" si="275"/>
        <v>8</v>
      </c>
    </row>
    <row r="2701" spans="1:16" ht="15" hidden="1" customHeight="1">
      <c r="A2701" s="839">
        <v>69568964</v>
      </c>
      <c r="B2701" s="839">
        <v>2904</v>
      </c>
      <c r="C2701" s="906">
        <v>6587</v>
      </c>
      <c r="D2701" s="907">
        <v>46072</v>
      </c>
      <c r="E2701" s="839" t="s">
        <v>444</v>
      </c>
      <c r="F2701" s="839" t="s">
        <v>271</v>
      </c>
      <c r="G2701" s="916">
        <f>VLOOKUP($A2701,'Tech Litons'!$A:$I,8,FALSE)</f>
        <v>8.5199999999999998E-3</v>
      </c>
      <c r="H2701" s="917">
        <f>VLOOKUP($A2701,'Tech Litons'!$A:$I,9,FALSE)</f>
        <v>176</v>
      </c>
      <c r="I2701" s="917" t="str">
        <f>VLOOKUP($A2701,'Tech Litons'!$A:$C,3,0)</f>
        <v>48oz</v>
      </c>
      <c r="J2701" s="918" t="str">
        <f t="shared" si="271"/>
        <v>290448oz</v>
      </c>
      <c r="K2701" s="919">
        <v>1</v>
      </c>
      <c r="L2701" s="920">
        <f t="shared" si="270"/>
        <v>6587</v>
      </c>
      <c r="M2701" s="920">
        <f t="shared" si="272"/>
        <v>56.12124</v>
      </c>
      <c r="N2701" s="920">
        <f t="shared" si="273"/>
        <v>37.426136363636367</v>
      </c>
      <c r="O2701" s="918" t="str">
        <f t="shared" si="274"/>
        <v>Feb</v>
      </c>
      <c r="P2701" s="921">
        <f t="shared" si="275"/>
        <v>8</v>
      </c>
    </row>
    <row r="2702" spans="1:16" ht="15" hidden="1" customHeight="1">
      <c r="A2702" s="839">
        <v>69568964</v>
      </c>
      <c r="B2702" s="839">
        <v>2904</v>
      </c>
      <c r="C2702" s="906">
        <v>748</v>
      </c>
      <c r="D2702" s="907">
        <v>46073</v>
      </c>
      <c r="E2702" s="839" t="s">
        <v>444</v>
      </c>
      <c r="F2702" s="839" t="s">
        <v>271</v>
      </c>
      <c r="G2702" s="916">
        <f>VLOOKUP($A2702,'Tech Litons'!$A:$I,8,FALSE)</f>
        <v>8.5199999999999998E-3</v>
      </c>
      <c r="H2702" s="917">
        <f>VLOOKUP($A2702,'Tech Litons'!$A:$I,9,FALSE)</f>
        <v>176</v>
      </c>
      <c r="I2702" s="917" t="str">
        <f>VLOOKUP($A2702,'Tech Litons'!$A:$C,3,0)</f>
        <v>48oz</v>
      </c>
      <c r="J2702" s="918" t="str">
        <f t="shared" si="271"/>
        <v>290448oz</v>
      </c>
      <c r="K2702" s="919">
        <v>1</v>
      </c>
      <c r="L2702" s="920">
        <f t="shared" si="270"/>
        <v>748</v>
      </c>
      <c r="M2702" s="920">
        <f t="shared" si="272"/>
        <v>6.37296</v>
      </c>
      <c r="N2702" s="920">
        <f t="shared" si="273"/>
        <v>4.25</v>
      </c>
      <c r="O2702" s="918" t="str">
        <f t="shared" si="274"/>
        <v>Feb</v>
      </c>
      <c r="P2702" s="921">
        <f t="shared" si="275"/>
        <v>8</v>
      </c>
    </row>
    <row r="2703" spans="1:16" ht="15" hidden="1" customHeight="1">
      <c r="A2703" s="839">
        <v>69568964</v>
      </c>
      <c r="B2703" s="839">
        <v>2904</v>
      </c>
      <c r="C2703" s="906">
        <v>2464</v>
      </c>
      <c r="D2703" s="907">
        <v>46066</v>
      </c>
      <c r="E2703" s="839" t="s">
        <v>444</v>
      </c>
      <c r="F2703" s="839" t="s">
        <v>271</v>
      </c>
      <c r="G2703" s="916">
        <f>VLOOKUP($A2703,'Tech Litons'!$A:$I,8,FALSE)</f>
        <v>8.5199999999999998E-3</v>
      </c>
      <c r="H2703" s="917">
        <f>VLOOKUP($A2703,'Tech Litons'!$A:$I,9,FALSE)</f>
        <v>176</v>
      </c>
      <c r="I2703" s="917" t="str">
        <f>VLOOKUP($A2703,'Tech Litons'!$A:$C,3,0)</f>
        <v>48oz</v>
      </c>
      <c r="J2703" s="918" t="str">
        <f t="shared" si="271"/>
        <v>290448oz</v>
      </c>
      <c r="K2703" s="919">
        <v>1</v>
      </c>
      <c r="L2703" s="920">
        <f t="shared" si="270"/>
        <v>2464</v>
      </c>
      <c r="M2703" s="920">
        <f t="shared" si="272"/>
        <v>20.993279999999999</v>
      </c>
      <c r="N2703" s="920">
        <f t="shared" si="273"/>
        <v>14</v>
      </c>
      <c r="O2703" s="918" t="str">
        <f t="shared" si="274"/>
        <v>Feb</v>
      </c>
      <c r="P2703" s="921">
        <f t="shared" si="275"/>
        <v>7</v>
      </c>
    </row>
    <row r="2704" spans="1:16" ht="15" hidden="1" customHeight="1">
      <c r="A2704" s="839">
        <v>69629468</v>
      </c>
      <c r="B2704" s="839">
        <v>2904</v>
      </c>
      <c r="C2704" s="906">
        <v>427</v>
      </c>
      <c r="D2704" s="907">
        <v>46050</v>
      </c>
      <c r="E2704" s="839" t="s">
        <v>291</v>
      </c>
      <c r="F2704" s="839" t="s">
        <v>226</v>
      </c>
      <c r="G2704" s="916">
        <f>VLOOKUP($A2704,'Tech Litons'!$A:$I,8,FALSE)</f>
        <v>5.2680000000000001E-3</v>
      </c>
      <c r="H2704" s="917">
        <f>VLOOKUP($A2704,'Tech Litons'!$A:$I,9,FALSE)</f>
        <v>130</v>
      </c>
      <c r="I2704" s="917" t="str">
        <f>VLOOKUP($A2704,'Tech Litons'!$A:$C,3,0)</f>
        <v>PG</v>
      </c>
      <c r="J2704" s="918" t="str">
        <f t="shared" si="271"/>
        <v>2904PG</v>
      </c>
      <c r="K2704" s="919">
        <v>1</v>
      </c>
      <c r="L2704" s="920">
        <f t="shared" si="270"/>
        <v>427</v>
      </c>
      <c r="M2704" s="920">
        <f t="shared" si="272"/>
        <v>2.2494360000000002</v>
      </c>
      <c r="N2704" s="920">
        <f t="shared" si="273"/>
        <v>3.2846153846153845</v>
      </c>
      <c r="O2704" s="918" t="str">
        <f t="shared" si="274"/>
        <v>Jan</v>
      </c>
      <c r="P2704" s="921">
        <f t="shared" si="275"/>
        <v>5</v>
      </c>
    </row>
    <row r="2705" spans="1:16" ht="15" hidden="1" customHeight="1">
      <c r="A2705" s="839">
        <v>69629468</v>
      </c>
      <c r="B2705" s="839">
        <v>2904</v>
      </c>
      <c r="C2705" s="906">
        <v>124</v>
      </c>
      <c r="D2705" s="907">
        <v>46058</v>
      </c>
      <c r="E2705" s="839" t="s">
        <v>291</v>
      </c>
      <c r="F2705" s="839" t="s">
        <v>226</v>
      </c>
      <c r="G2705" s="916">
        <f>VLOOKUP($A2705,'Tech Litons'!$A:$I,8,FALSE)</f>
        <v>5.2680000000000001E-3</v>
      </c>
      <c r="H2705" s="917">
        <f>VLOOKUP($A2705,'Tech Litons'!$A:$I,9,FALSE)</f>
        <v>130</v>
      </c>
      <c r="I2705" s="917" t="str">
        <f>VLOOKUP($A2705,'Tech Litons'!$A:$C,3,0)</f>
        <v>PG</v>
      </c>
      <c r="J2705" s="918" t="str">
        <f t="shared" si="271"/>
        <v>2904PG</v>
      </c>
      <c r="K2705" s="919">
        <v>1</v>
      </c>
      <c r="L2705" s="920">
        <f t="shared" si="270"/>
        <v>124</v>
      </c>
      <c r="M2705" s="920">
        <f t="shared" si="272"/>
        <v>0.65323200000000003</v>
      </c>
      <c r="N2705" s="920">
        <f t="shared" si="273"/>
        <v>0.9538461538461539</v>
      </c>
      <c r="O2705" s="918" t="str">
        <f t="shared" si="274"/>
        <v>Feb</v>
      </c>
      <c r="P2705" s="921">
        <f t="shared" si="275"/>
        <v>6</v>
      </c>
    </row>
    <row r="2706" spans="1:16" ht="15" hidden="1" customHeight="1">
      <c r="A2706" s="839">
        <v>69629468</v>
      </c>
      <c r="B2706" s="839">
        <v>2904</v>
      </c>
      <c r="C2706" s="906">
        <v>1417</v>
      </c>
      <c r="D2706" s="907">
        <v>46050</v>
      </c>
      <c r="E2706" s="839" t="s">
        <v>291</v>
      </c>
      <c r="F2706" s="839" t="s">
        <v>226</v>
      </c>
      <c r="G2706" s="916">
        <f>VLOOKUP($A2706,'Tech Litons'!$A:$I,8,FALSE)</f>
        <v>5.2680000000000001E-3</v>
      </c>
      <c r="H2706" s="917">
        <f>VLOOKUP($A2706,'Tech Litons'!$A:$I,9,FALSE)</f>
        <v>130</v>
      </c>
      <c r="I2706" s="917" t="str">
        <f>VLOOKUP($A2706,'Tech Litons'!$A:$C,3,0)</f>
        <v>PG</v>
      </c>
      <c r="J2706" s="918" t="str">
        <f t="shared" si="271"/>
        <v>2904PG</v>
      </c>
      <c r="K2706" s="919">
        <v>1</v>
      </c>
      <c r="L2706" s="920">
        <f t="shared" si="270"/>
        <v>1417</v>
      </c>
      <c r="M2706" s="920">
        <f t="shared" si="272"/>
        <v>7.4647560000000004</v>
      </c>
      <c r="N2706" s="920">
        <f t="shared" si="273"/>
        <v>10.9</v>
      </c>
      <c r="O2706" s="918" t="str">
        <f t="shared" si="274"/>
        <v>Jan</v>
      </c>
      <c r="P2706" s="921">
        <f t="shared" si="275"/>
        <v>5</v>
      </c>
    </row>
    <row r="2707" spans="1:16" ht="15" hidden="1" customHeight="1">
      <c r="A2707" s="839">
        <v>69629468</v>
      </c>
      <c r="B2707" s="839">
        <v>2904</v>
      </c>
      <c r="C2707" s="906">
        <v>1260</v>
      </c>
      <c r="D2707" s="907">
        <v>46051</v>
      </c>
      <c r="E2707" s="839" t="s">
        <v>291</v>
      </c>
      <c r="F2707" s="839" t="s">
        <v>226</v>
      </c>
      <c r="G2707" s="916">
        <f>VLOOKUP($A2707,'Tech Litons'!$A:$I,8,FALSE)</f>
        <v>5.2680000000000001E-3</v>
      </c>
      <c r="H2707" s="917">
        <f>VLOOKUP($A2707,'Tech Litons'!$A:$I,9,FALSE)</f>
        <v>130</v>
      </c>
      <c r="I2707" s="917" t="str">
        <f>VLOOKUP($A2707,'Tech Litons'!$A:$C,3,0)</f>
        <v>PG</v>
      </c>
      <c r="J2707" s="918" t="str">
        <f t="shared" si="271"/>
        <v>2904PG</v>
      </c>
      <c r="K2707" s="919">
        <v>1</v>
      </c>
      <c r="L2707" s="920">
        <f t="shared" si="270"/>
        <v>1260</v>
      </c>
      <c r="M2707" s="920">
        <f t="shared" si="272"/>
        <v>6.6376800000000005</v>
      </c>
      <c r="N2707" s="920">
        <f t="shared" si="273"/>
        <v>9.6923076923076916</v>
      </c>
      <c r="O2707" s="918" t="str">
        <f t="shared" si="274"/>
        <v>Jan</v>
      </c>
      <c r="P2707" s="921">
        <f t="shared" si="275"/>
        <v>5</v>
      </c>
    </row>
    <row r="2708" spans="1:16" ht="15" hidden="1" customHeight="1">
      <c r="A2708" s="839">
        <v>69629468</v>
      </c>
      <c r="B2708" s="839">
        <v>2904</v>
      </c>
      <c r="C2708" s="906">
        <v>1127</v>
      </c>
      <c r="D2708" s="907">
        <v>46051</v>
      </c>
      <c r="E2708" s="839" t="s">
        <v>291</v>
      </c>
      <c r="F2708" s="839" t="s">
        <v>226</v>
      </c>
      <c r="G2708" s="916">
        <f>VLOOKUP($A2708,'Tech Litons'!$A:$I,8,FALSE)</f>
        <v>5.2680000000000001E-3</v>
      </c>
      <c r="H2708" s="917">
        <f>VLOOKUP($A2708,'Tech Litons'!$A:$I,9,FALSE)</f>
        <v>130</v>
      </c>
      <c r="I2708" s="917" t="str">
        <f>VLOOKUP($A2708,'Tech Litons'!$A:$C,3,0)</f>
        <v>PG</v>
      </c>
      <c r="J2708" s="918" t="str">
        <f t="shared" si="271"/>
        <v>2904PG</v>
      </c>
      <c r="K2708" s="919">
        <v>1</v>
      </c>
      <c r="L2708" s="920">
        <f t="shared" si="270"/>
        <v>1127</v>
      </c>
      <c r="M2708" s="920">
        <f t="shared" si="272"/>
        <v>5.937036</v>
      </c>
      <c r="N2708" s="920">
        <f t="shared" si="273"/>
        <v>8.6692307692307686</v>
      </c>
      <c r="O2708" s="918" t="str">
        <f t="shared" si="274"/>
        <v>Jan</v>
      </c>
      <c r="P2708" s="921">
        <f t="shared" si="275"/>
        <v>5</v>
      </c>
    </row>
    <row r="2709" spans="1:16" ht="15" hidden="1" customHeight="1">
      <c r="A2709" s="839">
        <v>69629468</v>
      </c>
      <c r="B2709" s="839">
        <v>2904</v>
      </c>
      <c r="C2709" s="906">
        <v>1100</v>
      </c>
      <c r="D2709" s="907">
        <v>46052</v>
      </c>
      <c r="E2709" s="839" t="s">
        <v>291</v>
      </c>
      <c r="F2709" s="839" t="s">
        <v>226</v>
      </c>
      <c r="G2709" s="916">
        <f>VLOOKUP($A2709,'Tech Litons'!$A:$I,8,FALSE)</f>
        <v>5.2680000000000001E-3</v>
      </c>
      <c r="H2709" s="917">
        <f>VLOOKUP($A2709,'Tech Litons'!$A:$I,9,FALSE)</f>
        <v>130</v>
      </c>
      <c r="I2709" s="917" t="str">
        <f>VLOOKUP($A2709,'Tech Litons'!$A:$C,3,0)</f>
        <v>PG</v>
      </c>
      <c r="J2709" s="918" t="str">
        <f t="shared" si="271"/>
        <v>2904PG</v>
      </c>
      <c r="K2709" s="919">
        <v>1</v>
      </c>
      <c r="L2709" s="920">
        <f t="shared" si="270"/>
        <v>1100</v>
      </c>
      <c r="M2709" s="920">
        <f t="shared" si="272"/>
        <v>5.7948000000000004</v>
      </c>
      <c r="N2709" s="920">
        <f t="shared" si="273"/>
        <v>8.4615384615384617</v>
      </c>
      <c r="O2709" s="918" t="str">
        <f t="shared" si="274"/>
        <v>Jan</v>
      </c>
      <c r="P2709" s="921">
        <f t="shared" si="275"/>
        <v>5</v>
      </c>
    </row>
    <row r="2710" spans="1:16" ht="15" hidden="1" customHeight="1">
      <c r="A2710" s="839">
        <v>69629468</v>
      </c>
      <c r="B2710" s="839">
        <v>2904</v>
      </c>
      <c r="C2710" s="906">
        <v>1416</v>
      </c>
      <c r="D2710" s="907">
        <v>46052</v>
      </c>
      <c r="E2710" s="839" t="s">
        <v>291</v>
      </c>
      <c r="F2710" s="839" t="s">
        <v>226</v>
      </c>
      <c r="G2710" s="916">
        <f>VLOOKUP($A2710,'Tech Litons'!$A:$I,8,FALSE)</f>
        <v>5.2680000000000001E-3</v>
      </c>
      <c r="H2710" s="917">
        <f>VLOOKUP($A2710,'Tech Litons'!$A:$I,9,FALSE)</f>
        <v>130</v>
      </c>
      <c r="I2710" s="917" t="str">
        <f>VLOOKUP($A2710,'Tech Litons'!$A:$C,3,0)</f>
        <v>PG</v>
      </c>
      <c r="J2710" s="918" t="str">
        <f t="shared" si="271"/>
        <v>2904PG</v>
      </c>
      <c r="K2710" s="919">
        <v>1</v>
      </c>
      <c r="L2710" s="920">
        <f t="shared" si="270"/>
        <v>1416</v>
      </c>
      <c r="M2710" s="920">
        <f t="shared" si="272"/>
        <v>7.4594880000000003</v>
      </c>
      <c r="N2710" s="920">
        <f t="shared" si="273"/>
        <v>10.892307692307693</v>
      </c>
      <c r="O2710" s="918" t="str">
        <f t="shared" si="274"/>
        <v>Jan</v>
      </c>
      <c r="P2710" s="921">
        <f t="shared" si="275"/>
        <v>5</v>
      </c>
    </row>
    <row r="2711" spans="1:16" ht="15" hidden="1" customHeight="1">
      <c r="A2711" s="839">
        <v>69629468</v>
      </c>
      <c r="B2711" s="839">
        <v>2904</v>
      </c>
      <c r="C2711" s="906">
        <v>978</v>
      </c>
      <c r="D2711" s="907">
        <v>46053</v>
      </c>
      <c r="E2711" s="839" t="s">
        <v>291</v>
      </c>
      <c r="F2711" s="839" t="s">
        <v>226</v>
      </c>
      <c r="G2711" s="916">
        <f>VLOOKUP($A2711,'Tech Litons'!$A:$I,8,FALSE)</f>
        <v>5.2680000000000001E-3</v>
      </c>
      <c r="H2711" s="917">
        <f>VLOOKUP($A2711,'Tech Litons'!$A:$I,9,FALSE)</f>
        <v>130</v>
      </c>
      <c r="I2711" s="917" t="str">
        <f>VLOOKUP($A2711,'Tech Litons'!$A:$C,3,0)</f>
        <v>PG</v>
      </c>
      <c r="J2711" s="918" t="str">
        <f t="shared" si="271"/>
        <v>2904PG</v>
      </c>
      <c r="K2711" s="919">
        <v>1</v>
      </c>
      <c r="L2711" s="920">
        <f t="shared" si="270"/>
        <v>978</v>
      </c>
      <c r="M2711" s="920">
        <f t="shared" si="272"/>
        <v>5.1521040000000005</v>
      </c>
      <c r="N2711" s="920">
        <f t="shared" si="273"/>
        <v>7.523076923076923</v>
      </c>
      <c r="O2711" s="918" t="str">
        <f t="shared" si="274"/>
        <v>Jan</v>
      </c>
      <c r="P2711" s="921">
        <f t="shared" si="275"/>
        <v>5</v>
      </c>
    </row>
    <row r="2712" spans="1:16" ht="15" hidden="1" customHeight="1">
      <c r="A2712" s="839">
        <v>69629468</v>
      </c>
      <c r="B2712" s="839">
        <v>2904</v>
      </c>
      <c r="C2712" s="906">
        <v>260</v>
      </c>
      <c r="D2712" s="907">
        <v>46055</v>
      </c>
      <c r="E2712" s="839" t="s">
        <v>291</v>
      </c>
      <c r="F2712" s="839" t="s">
        <v>226</v>
      </c>
      <c r="G2712" s="916">
        <f>VLOOKUP($A2712,'Tech Litons'!$A:$I,8,FALSE)</f>
        <v>5.2680000000000001E-3</v>
      </c>
      <c r="H2712" s="917">
        <f>VLOOKUP($A2712,'Tech Litons'!$A:$I,9,FALSE)</f>
        <v>130</v>
      </c>
      <c r="I2712" s="917" t="str">
        <f>VLOOKUP($A2712,'Tech Litons'!$A:$C,3,0)</f>
        <v>PG</v>
      </c>
      <c r="J2712" s="918" t="str">
        <f t="shared" si="271"/>
        <v>2904PG</v>
      </c>
      <c r="K2712" s="919">
        <v>1</v>
      </c>
      <c r="L2712" s="920">
        <f t="shared" si="270"/>
        <v>260</v>
      </c>
      <c r="M2712" s="920">
        <f t="shared" si="272"/>
        <v>1.36968</v>
      </c>
      <c r="N2712" s="920">
        <f t="shared" si="273"/>
        <v>2</v>
      </c>
      <c r="O2712" s="918" t="str">
        <f t="shared" si="274"/>
        <v>Feb</v>
      </c>
      <c r="P2712" s="921">
        <f t="shared" si="275"/>
        <v>6</v>
      </c>
    </row>
    <row r="2713" spans="1:16" ht="15" hidden="1" customHeight="1">
      <c r="A2713" s="839">
        <v>69629468</v>
      </c>
      <c r="B2713" s="839">
        <v>2904</v>
      </c>
      <c r="C2713" s="906">
        <v>910</v>
      </c>
      <c r="D2713" s="907">
        <v>46055</v>
      </c>
      <c r="E2713" s="839" t="s">
        <v>291</v>
      </c>
      <c r="F2713" s="839" t="s">
        <v>226</v>
      </c>
      <c r="G2713" s="916">
        <f>VLOOKUP($A2713,'Tech Litons'!$A:$I,8,FALSE)</f>
        <v>5.2680000000000001E-3</v>
      </c>
      <c r="H2713" s="917">
        <f>VLOOKUP($A2713,'Tech Litons'!$A:$I,9,FALSE)</f>
        <v>130</v>
      </c>
      <c r="I2713" s="917" t="str">
        <f>VLOOKUP($A2713,'Tech Litons'!$A:$C,3,0)</f>
        <v>PG</v>
      </c>
      <c r="J2713" s="918" t="str">
        <f t="shared" si="271"/>
        <v>2904PG</v>
      </c>
      <c r="K2713" s="919">
        <v>1</v>
      </c>
      <c r="L2713" s="920">
        <f t="shared" si="270"/>
        <v>910</v>
      </c>
      <c r="M2713" s="920">
        <f t="shared" si="272"/>
        <v>4.7938799999999997</v>
      </c>
      <c r="N2713" s="920">
        <f t="shared" si="273"/>
        <v>7</v>
      </c>
      <c r="O2713" s="918" t="str">
        <f t="shared" si="274"/>
        <v>Feb</v>
      </c>
      <c r="P2713" s="921">
        <f t="shared" si="275"/>
        <v>6</v>
      </c>
    </row>
    <row r="2714" spans="1:16" ht="15" hidden="1" customHeight="1">
      <c r="A2714" s="839">
        <v>69629468</v>
      </c>
      <c r="B2714" s="839">
        <v>2904</v>
      </c>
      <c r="C2714" s="906">
        <v>2507</v>
      </c>
      <c r="D2714" s="907">
        <v>46056</v>
      </c>
      <c r="E2714" s="839" t="s">
        <v>291</v>
      </c>
      <c r="F2714" s="839" t="s">
        <v>226</v>
      </c>
      <c r="G2714" s="916">
        <f>VLOOKUP($A2714,'Tech Litons'!$A:$I,8,FALSE)</f>
        <v>5.2680000000000001E-3</v>
      </c>
      <c r="H2714" s="917">
        <f>VLOOKUP($A2714,'Tech Litons'!$A:$I,9,FALSE)</f>
        <v>130</v>
      </c>
      <c r="I2714" s="917" t="str">
        <f>VLOOKUP($A2714,'Tech Litons'!$A:$C,3,0)</f>
        <v>PG</v>
      </c>
      <c r="J2714" s="918" t="str">
        <f t="shared" si="271"/>
        <v>2904PG</v>
      </c>
      <c r="K2714" s="919">
        <v>1</v>
      </c>
      <c r="L2714" s="920">
        <f t="shared" si="270"/>
        <v>2507</v>
      </c>
      <c r="M2714" s="920">
        <f t="shared" si="272"/>
        <v>13.206876000000001</v>
      </c>
      <c r="N2714" s="920">
        <f t="shared" si="273"/>
        <v>19.284615384615385</v>
      </c>
      <c r="O2714" s="918" t="str">
        <f t="shared" si="274"/>
        <v>Feb</v>
      </c>
      <c r="P2714" s="921">
        <f t="shared" si="275"/>
        <v>6</v>
      </c>
    </row>
    <row r="2715" spans="1:16" ht="15" hidden="1" customHeight="1">
      <c r="A2715" s="839">
        <v>69629468</v>
      </c>
      <c r="B2715" s="839">
        <v>2904</v>
      </c>
      <c r="C2715" s="906">
        <v>1004</v>
      </c>
      <c r="D2715" s="907">
        <v>46056</v>
      </c>
      <c r="E2715" s="839" t="s">
        <v>291</v>
      </c>
      <c r="F2715" s="839" t="s">
        <v>226</v>
      </c>
      <c r="G2715" s="916">
        <f>VLOOKUP($A2715,'Tech Litons'!$A:$I,8,FALSE)</f>
        <v>5.2680000000000001E-3</v>
      </c>
      <c r="H2715" s="917">
        <f>VLOOKUP($A2715,'Tech Litons'!$A:$I,9,FALSE)</f>
        <v>130</v>
      </c>
      <c r="I2715" s="917" t="str">
        <f>VLOOKUP($A2715,'Tech Litons'!$A:$C,3,0)</f>
        <v>PG</v>
      </c>
      <c r="J2715" s="918" t="str">
        <f t="shared" si="271"/>
        <v>2904PG</v>
      </c>
      <c r="K2715" s="919">
        <v>1</v>
      </c>
      <c r="L2715" s="920">
        <f t="shared" si="270"/>
        <v>1004</v>
      </c>
      <c r="M2715" s="920">
        <f t="shared" si="272"/>
        <v>5.289072</v>
      </c>
      <c r="N2715" s="920">
        <f t="shared" si="273"/>
        <v>7.7230769230769232</v>
      </c>
      <c r="O2715" s="918" t="str">
        <f t="shared" si="274"/>
        <v>Feb</v>
      </c>
      <c r="P2715" s="921">
        <f t="shared" si="275"/>
        <v>6</v>
      </c>
    </row>
    <row r="2716" spans="1:16" ht="15" hidden="1" customHeight="1">
      <c r="A2716" s="839">
        <v>69629468</v>
      </c>
      <c r="B2716" s="839">
        <v>2904</v>
      </c>
      <c r="C2716" s="906">
        <v>1017</v>
      </c>
      <c r="D2716" s="907">
        <v>46057</v>
      </c>
      <c r="E2716" s="839" t="s">
        <v>291</v>
      </c>
      <c r="F2716" s="839" t="s">
        <v>226</v>
      </c>
      <c r="G2716" s="916">
        <f>VLOOKUP($A2716,'Tech Litons'!$A:$I,8,FALSE)</f>
        <v>5.2680000000000001E-3</v>
      </c>
      <c r="H2716" s="917">
        <f>VLOOKUP($A2716,'Tech Litons'!$A:$I,9,FALSE)</f>
        <v>130</v>
      </c>
      <c r="I2716" s="917" t="str">
        <f>VLOOKUP($A2716,'Tech Litons'!$A:$C,3,0)</f>
        <v>PG</v>
      </c>
      <c r="J2716" s="918" t="str">
        <f t="shared" si="271"/>
        <v>2904PG</v>
      </c>
      <c r="K2716" s="919">
        <v>1</v>
      </c>
      <c r="L2716" s="920">
        <f t="shared" si="270"/>
        <v>1017</v>
      </c>
      <c r="M2716" s="920">
        <f t="shared" si="272"/>
        <v>5.3575559999999998</v>
      </c>
      <c r="N2716" s="920">
        <f t="shared" si="273"/>
        <v>7.8230769230769228</v>
      </c>
      <c r="O2716" s="918" t="str">
        <f t="shared" si="274"/>
        <v>Feb</v>
      </c>
      <c r="P2716" s="921">
        <f t="shared" si="275"/>
        <v>6</v>
      </c>
    </row>
    <row r="2717" spans="1:16" ht="15" hidden="1" customHeight="1">
      <c r="A2717" s="839">
        <v>69629468</v>
      </c>
      <c r="B2717" s="839">
        <v>2904</v>
      </c>
      <c r="C2717" s="906">
        <v>136</v>
      </c>
      <c r="D2717" s="907">
        <v>46057</v>
      </c>
      <c r="E2717" s="839" t="s">
        <v>291</v>
      </c>
      <c r="F2717" s="839" t="s">
        <v>226</v>
      </c>
      <c r="G2717" s="916">
        <f>VLOOKUP($A2717,'Tech Litons'!$A:$I,8,FALSE)</f>
        <v>5.2680000000000001E-3</v>
      </c>
      <c r="H2717" s="917">
        <f>VLOOKUP($A2717,'Tech Litons'!$A:$I,9,FALSE)</f>
        <v>130</v>
      </c>
      <c r="I2717" s="917" t="str">
        <f>VLOOKUP($A2717,'Tech Litons'!$A:$C,3,0)</f>
        <v>PG</v>
      </c>
      <c r="J2717" s="918" t="str">
        <f t="shared" si="271"/>
        <v>2904PG</v>
      </c>
      <c r="K2717" s="919">
        <v>1</v>
      </c>
      <c r="L2717" s="920">
        <f t="shared" si="270"/>
        <v>136</v>
      </c>
      <c r="M2717" s="920">
        <f t="shared" si="272"/>
        <v>0.71644799999999997</v>
      </c>
      <c r="N2717" s="920">
        <f t="shared" si="273"/>
        <v>1.0461538461538462</v>
      </c>
      <c r="O2717" s="918" t="str">
        <f t="shared" si="274"/>
        <v>Feb</v>
      </c>
      <c r="P2717" s="921">
        <f t="shared" si="275"/>
        <v>6</v>
      </c>
    </row>
    <row r="2718" spans="1:16" ht="15" hidden="1" customHeight="1">
      <c r="A2718" s="839">
        <v>69629468</v>
      </c>
      <c r="B2718" s="839">
        <v>2904</v>
      </c>
      <c r="C2718" s="906">
        <v>702</v>
      </c>
      <c r="D2718" s="907">
        <v>46058</v>
      </c>
      <c r="E2718" s="839" t="s">
        <v>291</v>
      </c>
      <c r="F2718" s="839" t="s">
        <v>226</v>
      </c>
      <c r="G2718" s="916">
        <f>VLOOKUP($A2718,'Tech Litons'!$A:$I,8,FALSE)</f>
        <v>5.2680000000000001E-3</v>
      </c>
      <c r="H2718" s="917">
        <f>VLOOKUP($A2718,'Tech Litons'!$A:$I,9,FALSE)</f>
        <v>130</v>
      </c>
      <c r="I2718" s="917" t="str">
        <f>VLOOKUP($A2718,'Tech Litons'!$A:$C,3,0)</f>
        <v>PG</v>
      </c>
      <c r="J2718" s="918" t="str">
        <f t="shared" si="271"/>
        <v>2904PG</v>
      </c>
      <c r="K2718" s="919">
        <v>1</v>
      </c>
      <c r="L2718" s="920">
        <f t="shared" si="270"/>
        <v>702</v>
      </c>
      <c r="M2718" s="920">
        <f t="shared" si="272"/>
        <v>3.6981359999999999</v>
      </c>
      <c r="N2718" s="920">
        <f t="shared" si="273"/>
        <v>5.4</v>
      </c>
      <c r="O2718" s="918" t="str">
        <f t="shared" si="274"/>
        <v>Feb</v>
      </c>
      <c r="P2718" s="921">
        <f t="shared" si="275"/>
        <v>6</v>
      </c>
    </row>
    <row r="2719" spans="1:16" ht="15" hidden="1" customHeight="1">
      <c r="A2719" s="839">
        <v>69629468</v>
      </c>
      <c r="B2719" s="839">
        <v>2904</v>
      </c>
      <c r="C2719" s="906">
        <v>1690</v>
      </c>
      <c r="D2719" s="907">
        <v>46058</v>
      </c>
      <c r="E2719" s="839" t="s">
        <v>291</v>
      </c>
      <c r="F2719" s="839" t="s">
        <v>226</v>
      </c>
      <c r="G2719" s="916">
        <f>VLOOKUP($A2719,'Tech Litons'!$A:$I,8,FALSE)</f>
        <v>5.2680000000000001E-3</v>
      </c>
      <c r="H2719" s="917">
        <f>VLOOKUP($A2719,'Tech Litons'!$A:$I,9,FALSE)</f>
        <v>130</v>
      </c>
      <c r="I2719" s="917" t="str">
        <f>VLOOKUP($A2719,'Tech Litons'!$A:$C,3,0)</f>
        <v>PG</v>
      </c>
      <c r="J2719" s="918" t="str">
        <f t="shared" si="271"/>
        <v>2904PG</v>
      </c>
      <c r="K2719" s="919">
        <v>1</v>
      </c>
      <c r="L2719" s="920">
        <f t="shared" si="270"/>
        <v>1690</v>
      </c>
      <c r="M2719" s="920">
        <f t="shared" si="272"/>
        <v>8.9029199999999999</v>
      </c>
      <c r="N2719" s="920">
        <f t="shared" si="273"/>
        <v>13</v>
      </c>
      <c r="O2719" s="918" t="str">
        <f t="shared" si="274"/>
        <v>Feb</v>
      </c>
      <c r="P2719" s="921">
        <f t="shared" si="275"/>
        <v>6</v>
      </c>
    </row>
    <row r="2720" spans="1:16" ht="15" hidden="1" customHeight="1">
      <c r="A2720" s="839">
        <v>69629468</v>
      </c>
      <c r="B2720" s="839">
        <v>2904</v>
      </c>
      <c r="C2720" s="906">
        <v>1755</v>
      </c>
      <c r="D2720" s="907">
        <v>46059</v>
      </c>
      <c r="E2720" s="839" t="s">
        <v>291</v>
      </c>
      <c r="F2720" s="839" t="s">
        <v>226</v>
      </c>
      <c r="G2720" s="916">
        <f>VLOOKUP($A2720,'Tech Litons'!$A:$I,8,FALSE)</f>
        <v>5.2680000000000001E-3</v>
      </c>
      <c r="H2720" s="917">
        <f>VLOOKUP($A2720,'Tech Litons'!$A:$I,9,FALSE)</f>
        <v>130</v>
      </c>
      <c r="I2720" s="917" t="str">
        <f>VLOOKUP($A2720,'Tech Litons'!$A:$C,3,0)</f>
        <v>PG</v>
      </c>
      <c r="J2720" s="918" t="str">
        <f t="shared" si="271"/>
        <v>2904PG</v>
      </c>
      <c r="K2720" s="919">
        <v>1</v>
      </c>
      <c r="L2720" s="920">
        <f t="shared" si="270"/>
        <v>1755</v>
      </c>
      <c r="M2720" s="920">
        <f t="shared" si="272"/>
        <v>9.2453400000000006</v>
      </c>
      <c r="N2720" s="920">
        <f t="shared" si="273"/>
        <v>13.5</v>
      </c>
      <c r="O2720" s="918" t="str">
        <f t="shared" si="274"/>
        <v>Feb</v>
      </c>
      <c r="P2720" s="921">
        <f t="shared" si="275"/>
        <v>6</v>
      </c>
    </row>
    <row r="2721" spans="1:16" ht="15" hidden="1" customHeight="1">
      <c r="A2721" s="839">
        <v>69629468</v>
      </c>
      <c r="B2721" s="839">
        <v>2904</v>
      </c>
      <c r="C2721" s="906">
        <v>1677</v>
      </c>
      <c r="D2721" s="907">
        <v>46059</v>
      </c>
      <c r="E2721" s="839" t="s">
        <v>291</v>
      </c>
      <c r="F2721" s="839" t="s">
        <v>226</v>
      </c>
      <c r="G2721" s="916">
        <f>VLOOKUP($A2721,'Tech Litons'!$A:$I,8,FALSE)</f>
        <v>5.2680000000000001E-3</v>
      </c>
      <c r="H2721" s="917">
        <f>VLOOKUP($A2721,'Tech Litons'!$A:$I,9,FALSE)</f>
        <v>130</v>
      </c>
      <c r="I2721" s="917" t="str">
        <f>VLOOKUP($A2721,'Tech Litons'!$A:$C,3,0)</f>
        <v>PG</v>
      </c>
      <c r="J2721" s="918" t="str">
        <f t="shared" si="271"/>
        <v>2904PG</v>
      </c>
      <c r="K2721" s="919">
        <v>1</v>
      </c>
      <c r="L2721" s="920">
        <f t="shared" si="270"/>
        <v>1677</v>
      </c>
      <c r="M2721" s="920">
        <f t="shared" si="272"/>
        <v>8.8344360000000002</v>
      </c>
      <c r="N2721" s="920">
        <f t="shared" si="273"/>
        <v>12.9</v>
      </c>
      <c r="O2721" s="918" t="str">
        <f t="shared" si="274"/>
        <v>Feb</v>
      </c>
      <c r="P2721" s="921">
        <f t="shared" si="275"/>
        <v>6</v>
      </c>
    </row>
    <row r="2722" spans="1:16" ht="15" hidden="1" customHeight="1">
      <c r="A2722" s="839">
        <v>69629468</v>
      </c>
      <c r="B2722" s="839">
        <v>2904</v>
      </c>
      <c r="C2722" s="906">
        <v>1292</v>
      </c>
      <c r="D2722" s="907">
        <v>46060</v>
      </c>
      <c r="E2722" s="839" t="s">
        <v>291</v>
      </c>
      <c r="F2722" s="839" t="s">
        <v>226</v>
      </c>
      <c r="G2722" s="916">
        <f>VLOOKUP($A2722,'Tech Litons'!$A:$I,8,FALSE)</f>
        <v>5.2680000000000001E-3</v>
      </c>
      <c r="H2722" s="917">
        <f>VLOOKUP($A2722,'Tech Litons'!$A:$I,9,FALSE)</f>
        <v>130</v>
      </c>
      <c r="I2722" s="917" t="str">
        <f>VLOOKUP($A2722,'Tech Litons'!$A:$C,3,0)</f>
        <v>PG</v>
      </c>
      <c r="J2722" s="918" t="str">
        <f t="shared" si="271"/>
        <v>2904PG</v>
      </c>
      <c r="K2722" s="919">
        <v>1</v>
      </c>
      <c r="L2722" s="920">
        <f t="shared" si="270"/>
        <v>1292</v>
      </c>
      <c r="M2722" s="920">
        <f t="shared" si="272"/>
        <v>6.8062560000000003</v>
      </c>
      <c r="N2722" s="920">
        <f t="shared" si="273"/>
        <v>9.9384615384615387</v>
      </c>
      <c r="O2722" s="918" t="str">
        <f t="shared" si="274"/>
        <v>Feb</v>
      </c>
      <c r="P2722" s="921">
        <f t="shared" si="275"/>
        <v>6</v>
      </c>
    </row>
    <row r="2723" spans="1:16" ht="15" hidden="1" customHeight="1">
      <c r="A2723" s="839">
        <v>69629468</v>
      </c>
      <c r="B2723" s="839">
        <v>2904</v>
      </c>
      <c r="C2723" s="906">
        <v>323</v>
      </c>
      <c r="D2723" s="907">
        <v>46062</v>
      </c>
      <c r="E2723" s="839" t="s">
        <v>291</v>
      </c>
      <c r="F2723" s="839" t="s">
        <v>226</v>
      </c>
      <c r="G2723" s="916">
        <f>VLOOKUP($A2723,'Tech Litons'!$A:$I,8,FALSE)</f>
        <v>5.2680000000000001E-3</v>
      </c>
      <c r="H2723" s="917">
        <f>VLOOKUP($A2723,'Tech Litons'!$A:$I,9,FALSE)</f>
        <v>130</v>
      </c>
      <c r="I2723" s="917" t="str">
        <f>VLOOKUP($A2723,'Tech Litons'!$A:$C,3,0)</f>
        <v>PG</v>
      </c>
      <c r="J2723" s="918" t="str">
        <f t="shared" si="271"/>
        <v>2904PG</v>
      </c>
      <c r="K2723" s="919">
        <v>1</v>
      </c>
      <c r="L2723" s="920">
        <f t="shared" si="270"/>
        <v>323</v>
      </c>
      <c r="M2723" s="920">
        <f t="shared" si="272"/>
        <v>1.7015640000000001</v>
      </c>
      <c r="N2723" s="920">
        <f t="shared" si="273"/>
        <v>2.4846153846153847</v>
      </c>
      <c r="O2723" s="918" t="str">
        <f t="shared" si="274"/>
        <v>Feb</v>
      </c>
      <c r="P2723" s="921">
        <f t="shared" si="275"/>
        <v>7</v>
      </c>
    </row>
    <row r="2724" spans="1:16" ht="15" hidden="1" customHeight="1">
      <c r="A2724" s="839">
        <v>69629468</v>
      </c>
      <c r="B2724" s="839">
        <v>2904</v>
      </c>
      <c r="C2724" s="906">
        <v>2054</v>
      </c>
      <c r="D2724" s="907">
        <v>46063</v>
      </c>
      <c r="E2724" s="839" t="s">
        <v>291</v>
      </c>
      <c r="F2724" s="839" t="s">
        <v>226</v>
      </c>
      <c r="G2724" s="916">
        <f>VLOOKUP($A2724,'Tech Litons'!$A:$I,8,FALSE)</f>
        <v>5.2680000000000001E-3</v>
      </c>
      <c r="H2724" s="917">
        <f>VLOOKUP($A2724,'Tech Litons'!$A:$I,9,FALSE)</f>
        <v>130</v>
      </c>
      <c r="I2724" s="917" t="str">
        <f>VLOOKUP($A2724,'Tech Litons'!$A:$C,3,0)</f>
        <v>PG</v>
      </c>
      <c r="J2724" s="918" t="str">
        <f t="shared" si="271"/>
        <v>2904PG</v>
      </c>
      <c r="K2724" s="919">
        <v>1</v>
      </c>
      <c r="L2724" s="920">
        <f t="shared" si="270"/>
        <v>2054</v>
      </c>
      <c r="M2724" s="920">
        <f t="shared" si="272"/>
        <v>10.820472000000001</v>
      </c>
      <c r="N2724" s="920">
        <f t="shared" si="273"/>
        <v>15.8</v>
      </c>
      <c r="O2724" s="918" t="str">
        <f t="shared" si="274"/>
        <v>Feb</v>
      </c>
      <c r="P2724" s="921">
        <f t="shared" si="275"/>
        <v>7</v>
      </c>
    </row>
    <row r="2725" spans="1:16" ht="15" hidden="1" customHeight="1">
      <c r="A2725" s="839">
        <v>69629468</v>
      </c>
      <c r="B2725" s="839">
        <v>2904</v>
      </c>
      <c r="C2725" s="906">
        <v>2401</v>
      </c>
      <c r="D2725" s="907">
        <v>46063</v>
      </c>
      <c r="E2725" s="839" t="s">
        <v>291</v>
      </c>
      <c r="F2725" s="839" t="s">
        <v>226</v>
      </c>
      <c r="G2725" s="916">
        <f>VLOOKUP($A2725,'Tech Litons'!$A:$I,8,FALSE)</f>
        <v>5.2680000000000001E-3</v>
      </c>
      <c r="H2725" s="917">
        <f>VLOOKUP($A2725,'Tech Litons'!$A:$I,9,FALSE)</f>
        <v>130</v>
      </c>
      <c r="I2725" s="917" t="str">
        <f>VLOOKUP($A2725,'Tech Litons'!$A:$C,3,0)</f>
        <v>PG</v>
      </c>
      <c r="J2725" s="918" t="str">
        <f t="shared" si="271"/>
        <v>2904PG</v>
      </c>
      <c r="K2725" s="919">
        <v>1</v>
      </c>
      <c r="L2725" s="920">
        <f t="shared" si="270"/>
        <v>2401</v>
      </c>
      <c r="M2725" s="920">
        <f t="shared" si="272"/>
        <v>12.648468000000001</v>
      </c>
      <c r="N2725" s="920">
        <f t="shared" si="273"/>
        <v>18.469230769230769</v>
      </c>
      <c r="O2725" s="918" t="str">
        <f t="shared" si="274"/>
        <v>Feb</v>
      </c>
      <c r="P2725" s="921">
        <f t="shared" si="275"/>
        <v>7</v>
      </c>
    </row>
    <row r="2726" spans="1:16" ht="15" hidden="1" customHeight="1">
      <c r="A2726" s="839">
        <v>69629468</v>
      </c>
      <c r="B2726" s="839">
        <v>2904</v>
      </c>
      <c r="C2726" s="906">
        <v>1082</v>
      </c>
      <c r="D2726" s="907">
        <v>46064</v>
      </c>
      <c r="E2726" s="839" t="s">
        <v>291</v>
      </c>
      <c r="F2726" s="839" t="s">
        <v>226</v>
      </c>
      <c r="G2726" s="916">
        <f>VLOOKUP($A2726,'Tech Litons'!$A:$I,8,FALSE)</f>
        <v>5.2680000000000001E-3</v>
      </c>
      <c r="H2726" s="917">
        <f>VLOOKUP($A2726,'Tech Litons'!$A:$I,9,FALSE)</f>
        <v>130</v>
      </c>
      <c r="I2726" s="917" t="str">
        <f>VLOOKUP($A2726,'Tech Litons'!$A:$C,3,0)</f>
        <v>PG</v>
      </c>
      <c r="J2726" s="918" t="str">
        <f t="shared" si="271"/>
        <v>2904PG</v>
      </c>
      <c r="K2726" s="919">
        <v>1</v>
      </c>
      <c r="L2726" s="920">
        <f t="shared" si="270"/>
        <v>1082</v>
      </c>
      <c r="M2726" s="920">
        <f t="shared" si="272"/>
        <v>5.6999760000000004</v>
      </c>
      <c r="N2726" s="920">
        <f t="shared" si="273"/>
        <v>8.3230769230769237</v>
      </c>
      <c r="O2726" s="918" t="str">
        <f t="shared" si="274"/>
        <v>Feb</v>
      </c>
      <c r="P2726" s="921">
        <f t="shared" si="275"/>
        <v>7</v>
      </c>
    </row>
    <row r="2727" spans="1:16" ht="15" hidden="1" customHeight="1">
      <c r="A2727" s="839">
        <v>69629468</v>
      </c>
      <c r="B2727" s="839">
        <v>2904</v>
      </c>
      <c r="C2727" s="906">
        <v>284</v>
      </c>
      <c r="D2727" s="907">
        <v>46064</v>
      </c>
      <c r="E2727" s="839" t="s">
        <v>291</v>
      </c>
      <c r="F2727" s="839" t="s">
        <v>226</v>
      </c>
      <c r="G2727" s="916">
        <f>VLOOKUP($A2727,'Tech Litons'!$A:$I,8,FALSE)</f>
        <v>5.2680000000000001E-3</v>
      </c>
      <c r="H2727" s="917">
        <f>VLOOKUP($A2727,'Tech Litons'!$A:$I,9,FALSE)</f>
        <v>130</v>
      </c>
      <c r="I2727" s="917" t="str">
        <f>VLOOKUP($A2727,'Tech Litons'!$A:$C,3,0)</f>
        <v>PG</v>
      </c>
      <c r="J2727" s="918" t="str">
        <f t="shared" si="271"/>
        <v>2904PG</v>
      </c>
      <c r="K2727" s="919">
        <v>1</v>
      </c>
      <c r="L2727" s="920">
        <f t="shared" si="270"/>
        <v>284</v>
      </c>
      <c r="M2727" s="920">
        <f t="shared" si="272"/>
        <v>1.4961120000000001</v>
      </c>
      <c r="N2727" s="920">
        <f t="shared" si="273"/>
        <v>2.1846153846153844</v>
      </c>
      <c r="O2727" s="918" t="str">
        <f t="shared" si="274"/>
        <v>Feb</v>
      </c>
      <c r="P2727" s="921">
        <f t="shared" si="275"/>
        <v>7</v>
      </c>
    </row>
    <row r="2728" spans="1:16" ht="15" hidden="1" customHeight="1">
      <c r="A2728" s="839">
        <v>69629468</v>
      </c>
      <c r="B2728" s="839">
        <v>2904</v>
      </c>
      <c r="C2728" s="906">
        <v>841</v>
      </c>
      <c r="D2728" s="907">
        <v>46065</v>
      </c>
      <c r="E2728" s="839" t="s">
        <v>291</v>
      </c>
      <c r="F2728" s="839" t="s">
        <v>226</v>
      </c>
      <c r="G2728" s="916">
        <f>VLOOKUP($A2728,'Tech Litons'!$A:$I,8,FALSE)</f>
        <v>5.2680000000000001E-3</v>
      </c>
      <c r="H2728" s="917">
        <f>VLOOKUP($A2728,'Tech Litons'!$A:$I,9,FALSE)</f>
        <v>130</v>
      </c>
      <c r="I2728" s="917" t="str">
        <f>VLOOKUP($A2728,'Tech Litons'!$A:$C,3,0)</f>
        <v>PG</v>
      </c>
      <c r="J2728" s="918" t="str">
        <f t="shared" si="271"/>
        <v>2904PG</v>
      </c>
      <c r="K2728" s="919">
        <v>1</v>
      </c>
      <c r="L2728" s="920">
        <f t="shared" si="270"/>
        <v>841</v>
      </c>
      <c r="M2728" s="920">
        <f t="shared" si="272"/>
        <v>4.4303879999999998</v>
      </c>
      <c r="N2728" s="920">
        <f t="shared" si="273"/>
        <v>6.4692307692307693</v>
      </c>
      <c r="O2728" s="918" t="str">
        <f t="shared" si="274"/>
        <v>Feb</v>
      </c>
      <c r="P2728" s="921">
        <f t="shared" si="275"/>
        <v>7</v>
      </c>
    </row>
    <row r="2729" spans="1:16" ht="15" hidden="1" customHeight="1">
      <c r="A2729" s="839">
        <v>69629468</v>
      </c>
      <c r="B2729" s="839">
        <v>2904</v>
      </c>
      <c r="C2729" s="906">
        <v>1400</v>
      </c>
      <c r="D2729" s="907">
        <v>46065</v>
      </c>
      <c r="E2729" s="839" t="s">
        <v>291</v>
      </c>
      <c r="F2729" s="839" t="s">
        <v>226</v>
      </c>
      <c r="G2729" s="916">
        <f>VLOOKUP($A2729,'Tech Litons'!$A:$I,8,FALSE)</f>
        <v>5.2680000000000001E-3</v>
      </c>
      <c r="H2729" s="917">
        <f>VLOOKUP($A2729,'Tech Litons'!$A:$I,9,FALSE)</f>
        <v>130</v>
      </c>
      <c r="I2729" s="917" t="str">
        <f>VLOOKUP($A2729,'Tech Litons'!$A:$C,3,0)</f>
        <v>PG</v>
      </c>
      <c r="J2729" s="918" t="str">
        <f t="shared" si="271"/>
        <v>2904PG</v>
      </c>
      <c r="K2729" s="919">
        <v>1</v>
      </c>
      <c r="L2729" s="920">
        <f t="shared" si="270"/>
        <v>1400</v>
      </c>
      <c r="M2729" s="920">
        <f t="shared" si="272"/>
        <v>7.3752000000000004</v>
      </c>
      <c r="N2729" s="920">
        <f t="shared" si="273"/>
        <v>10.76923076923077</v>
      </c>
      <c r="O2729" s="918" t="str">
        <f t="shared" si="274"/>
        <v>Feb</v>
      </c>
      <c r="P2729" s="921">
        <f t="shared" si="275"/>
        <v>7</v>
      </c>
    </row>
    <row r="2730" spans="1:16" ht="15" hidden="1" customHeight="1">
      <c r="A2730" s="839">
        <v>69629468</v>
      </c>
      <c r="B2730" s="839">
        <v>2904</v>
      </c>
      <c r="C2730" s="906">
        <v>1235</v>
      </c>
      <c r="D2730" s="907">
        <v>46066</v>
      </c>
      <c r="E2730" s="839" t="s">
        <v>291</v>
      </c>
      <c r="F2730" s="839" t="s">
        <v>226</v>
      </c>
      <c r="G2730" s="916">
        <f>VLOOKUP($A2730,'Tech Litons'!$A:$I,8,FALSE)</f>
        <v>5.2680000000000001E-3</v>
      </c>
      <c r="H2730" s="917">
        <f>VLOOKUP($A2730,'Tech Litons'!$A:$I,9,FALSE)</f>
        <v>130</v>
      </c>
      <c r="I2730" s="917" t="str">
        <f>VLOOKUP($A2730,'Tech Litons'!$A:$C,3,0)</f>
        <v>PG</v>
      </c>
      <c r="J2730" s="918" t="str">
        <f t="shared" si="271"/>
        <v>2904PG</v>
      </c>
      <c r="K2730" s="919">
        <v>1</v>
      </c>
      <c r="L2730" s="920">
        <f t="shared" si="270"/>
        <v>1235</v>
      </c>
      <c r="M2730" s="920">
        <f t="shared" si="272"/>
        <v>6.5059800000000001</v>
      </c>
      <c r="N2730" s="920">
        <f t="shared" si="273"/>
        <v>9.5</v>
      </c>
      <c r="O2730" s="918" t="str">
        <f t="shared" si="274"/>
        <v>Feb</v>
      </c>
      <c r="P2730" s="921">
        <f t="shared" si="275"/>
        <v>7</v>
      </c>
    </row>
    <row r="2731" spans="1:16" ht="15" hidden="1" customHeight="1">
      <c r="A2731" s="839">
        <v>69629468</v>
      </c>
      <c r="B2731" s="839">
        <v>2904</v>
      </c>
      <c r="C2731" s="906">
        <v>1362</v>
      </c>
      <c r="D2731" s="907">
        <v>46066</v>
      </c>
      <c r="E2731" s="839" t="s">
        <v>291</v>
      </c>
      <c r="F2731" s="839" t="s">
        <v>226</v>
      </c>
      <c r="G2731" s="916">
        <f>VLOOKUP($A2731,'Tech Litons'!$A:$I,8,FALSE)</f>
        <v>5.2680000000000001E-3</v>
      </c>
      <c r="H2731" s="917">
        <f>VLOOKUP($A2731,'Tech Litons'!$A:$I,9,FALSE)</f>
        <v>130</v>
      </c>
      <c r="I2731" s="917" t="str">
        <f>VLOOKUP($A2731,'Tech Litons'!$A:$C,3,0)</f>
        <v>PG</v>
      </c>
      <c r="J2731" s="918" t="str">
        <f t="shared" si="271"/>
        <v>2904PG</v>
      </c>
      <c r="K2731" s="919">
        <v>1</v>
      </c>
      <c r="L2731" s="920">
        <f t="shared" si="270"/>
        <v>1362</v>
      </c>
      <c r="M2731" s="920">
        <f t="shared" si="272"/>
        <v>7.1750160000000003</v>
      </c>
      <c r="N2731" s="920">
        <f t="shared" si="273"/>
        <v>10.476923076923077</v>
      </c>
      <c r="O2731" s="918" t="str">
        <f t="shared" si="274"/>
        <v>Feb</v>
      </c>
      <c r="P2731" s="921">
        <f t="shared" si="275"/>
        <v>7</v>
      </c>
    </row>
    <row r="2732" spans="1:16" ht="15" hidden="1" customHeight="1">
      <c r="A2732" s="839">
        <v>69629468</v>
      </c>
      <c r="B2732" s="839">
        <v>2904</v>
      </c>
      <c r="C2732" s="906">
        <v>864</v>
      </c>
      <c r="D2732" s="907">
        <v>46067</v>
      </c>
      <c r="E2732" s="839" t="s">
        <v>291</v>
      </c>
      <c r="F2732" s="839" t="s">
        <v>226</v>
      </c>
      <c r="G2732" s="916">
        <f>VLOOKUP($A2732,'Tech Litons'!$A:$I,8,FALSE)</f>
        <v>5.2680000000000001E-3</v>
      </c>
      <c r="H2732" s="917">
        <f>VLOOKUP($A2732,'Tech Litons'!$A:$I,9,FALSE)</f>
        <v>130</v>
      </c>
      <c r="I2732" s="917" t="str">
        <f>VLOOKUP($A2732,'Tech Litons'!$A:$C,3,0)</f>
        <v>PG</v>
      </c>
      <c r="J2732" s="918" t="str">
        <f t="shared" si="271"/>
        <v>2904PG</v>
      </c>
      <c r="K2732" s="919">
        <v>1</v>
      </c>
      <c r="L2732" s="920">
        <f t="shared" si="270"/>
        <v>864</v>
      </c>
      <c r="M2732" s="920">
        <f t="shared" si="272"/>
        <v>4.551552</v>
      </c>
      <c r="N2732" s="920">
        <f t="shared" si="273"/>
        <v>6.6461538461538465</v>
      </c>
      <c r="O2732" s="918" t="str">
        <f t="shared" si="274"/>
        <v>Feb</v>
      </c>
      <c r="P2732" s="921">
        <f t="shared" si="275"/>
        <v>7</v>
      </c>
    </row>
    <row r="2733" spans="1:16" ht="15" hidden="1" customHeight="1">
      <c r="A2733" s="839">
        <v>69629468</v>
      </c>
      <c r="B2733" s="839">
        <v>2904</v>
      </c>
      <c r="C2733" s="906">
        <v>483</v>
      </c>
      <c r="D2733" s="907">
        <v>46069</v>
      </c>
      <c r="E2733" s="839" t="s">
        <v>291</v>
      </c>
      <c r="F2733" s="839" t="s">
        <v>226</v>
      </c>
      <c r="G2733" s="916">
        <f>VLOOKUP($A2733,'Tech Litons'!$A:$I,8,FALSE)</f>
        <v>5.2680000000000001E-3</v>
      </c>
      <c r="H2733" s="917">
        <f>VLOOKUP($A2733,'Tech Litons'!$A:$I,9,FALSE)</f>
        <v>130</v>
      </c>
      <c r="I2733" s="917" t="str">
        <f>VLOOKUP($A2733,'Tech Litons'!$A:$C,3,0)</f>
        <v>PG</v>
      </c>
      <c r="J2733" s="918" t="str">
        <f t="shared" si="271"/>
        <v>2904PG</v>
      </c>
      <c r="K2733" s="919">
        <v>1</v>
      </c>
      <c r="L2733" s="920">
        <f t="shared" si="270"/>
        <v>483</v>
      </c>
      <c r="M2733" s="920">
        <f t="shared" si="272"/>
        <v>2.5444439999999999</v>
      </c>
      <c r="N2733" s="920">
        <f t="shared" si="273"/>
        <v>3.7153846153846155</v>
      </c>
      <c r="O2733" s="918" t="str">
        <f t="shared" si="274"/>
        <v>Feb</v>
      </c>
      <c r="P2733" s="921">
        <f t="shared" si="275"/>
        <v>8</v>
      </c>
    </row>
    <row r="2734" spans="1:16" ht="15" hidden="1" customHeight="1">
      <c r="A2734" s="839">
        <v>69629468</v>
      </c>
      <c r="B2734" s="839">
        <v>2904</v>
      </c>
      <c r="C2734" s="906">
        <v>170</v>
      </c>
      <c r="D2734" s="907">
        <v>46070</v>
      </c>
      <c r="E2734" s="839" t="s">
        <v>291</v>
      </c>
      <c r="F2734" s="839" t="s">
        <v>226</v>
      </c>
      <c r="G2734" s="916">
        <f>VLOOKUP($A2734,'Tech Litons'!$A:$I,8,FALSE)</f>
        <v>5.2680000000000001E-3</v>
      </c>
      <c r="H2734" s="917">
        <f>VLOOKUP($A2734,'Tech Litons'!$A:$I,9,FALSE)</f>
        <v>130</v>
      </c>
      <c r="I2734" s="917" t="str">
        <f>VLOOKUP($A2734,'Tech Litons'!$A:$C,3,0)</f>
        <v>PG</v>
      </c>
      <c r="J2734" s="918" t="str">
        <f t="shared" si="271"/>
        <v>2904PG</v>
      </c>
      <c r="K2734" s="919">
        <v>1</v>
      </c>
      <c r="L2734" s="920">
        <f t="shared" ref="L2734:L2792" si="276">C2734*$K2734</f>
        <v>170</v>
      </c>
      <c r="M2734" s="920">
        <f t="shared" si="272"/>
        <v>0.89556000000000002</v>
      </c>
      <c r="N2734" s="920">
        <f t="shared" si="273"/>
        <v>1.3076923076923077</v>
      </c>
      <c r="O2734" s="918" t="str">
        <f t="shared" si="274"/>
        <v>Feb</v>
      </c>
      <c r="P2734" s="921">
        <f t="shared" si="275"/>
        <v>8</v>
      </c>
    </row>
    <row r="2735" spans="1:16" ht="15" hidden="1" customHeight="1">
      <c r="A2735" s="839">
        <v>69629468</v>
      </c>
      <c r="B2735" s="839">
        <v>2904</v>
      </c>
      <c r="C2735" s="906">
        <v>211</v>
      </c>
      <c r="D2735" s="907">
        <v>46070</v>
      </c>
      <c r="E2735" s="839" t="s">
        <v>291</v>
      </c>
      <c r="F2735" s="839" t="s">
        <v>226</v>
      </c>
      <c r="G2735" s="916">
        <f>VLOOKUP($A2735,'Tech Litons'!$A:$I,8,FALSE)</f>
        <v>5.2680000000000001E-3</v>
      </c>
      <c r="H2735" s="917">
        <f>VLOOKUP($A2735,'Tech Litons'!$A:$I,9,FALSE)</f>
        <v>130</v>
      </c>
      <c r="I2735" s="917" t="str">
        <f>VLOOKUP($A2735,'Tech Litons'!$A:$C,3,0)</f>
        <v>PG</v>
      </c>
      <c r="J2735" s="918" t="str">
        <f t="shared" ref="J2735:J2793" si="277">B2735&amp;I2735</f>
        <v>2904PG</v>
      </c>
      <c r="K2735" s="919">
        <v>1</v>
      </c>
      <c r="L2735" s="920">
        <f t="shared" si="276"/>
        <v>211</v>
      </c>
      <c r="M2735" s="920">
        <f t="shared" ref="M2735:M2793" si="278">L2735*G2735</f>
        <v>1.111548</v>
      </c>
      <c r="N2735" s="920">
        <f t="shared" ref="N2735:N2793" si="279">L2735/H2735</f>
        <v>1.6230769230769231</v>
      </c>
      <c r="O2735" s="918" t="str">
        <f t="shared" ref="O2735:O2793" si="280">TEXT(D2735,"MMM")</f>
        <v>Feb</v>
      </c>
      <c r="P2735" s="921">
        <f t="shared" ref="P2735:P2793" si="281">WEEKNUM(D2735)</f>
        <v>8</v>
      </c>
    </row>
    <row r="2736" spans="1:16" ht="15" hidden="1" customHeight="1">
      <c r="A2736" s="839">
        <v>69629468</v>
      </c>
      <c r="B2736" s="839">
        <v>2904</v>
      </c>
      <c r="C2736" s="906">
        <v>910</v>
      </c>
      <c r="D2736" s="907">
        <v>46071</v>
      </c>
      <c r="E2736" s="839" t="s">
        <v>291</v>
      </c>
      <c r="F2736" s="839" t="s">
        <v>226</v>
      </c>
      <c r="G2736" s="916">
        <f>VLOOKUP($A2736,'Tech Litons'!$A:$I,8,FALSE)</f>
        <v>5.2680000000000001E-3</v>
      </c>
      <c r="H2736" s="917">
        <f>VLOOKUP($A2736,'Tech Litons'!$A:$I,9,FALSE)</f>
        <v>130</v>
      </c>
      <c r="I2736" s="917" t="str">
        <f>VLOOKUP($A2736,'Tech Litons'!$A:$C,3,0)</f>
        <v>PG</v>
      </c>
      <c r="J2736" s="918" t="str">
        <f t="shared" si="277"/>
        <v>2904PG</v>
      </c>
      <c r="K2736" s="919">
        <v>1</v>
      </c>
      <c r="L2736" s="920">
        <f t="shared" si="276"/>
        <v>910</v>
      </c>
      <c r="M2736" s="920">
        <f t="shared" si="278"/>
        <v>4.7938799999999997</v>
      </c>
      <c r="N2736" s="920">
        <f t="shared" si="279"/>
        <v>7</v>
      </c>
      <c r="O2736" s="918" t="str">
        <f t="shared" si="280"/>
        <v>Feb</v>
      </c>
      <c r="P2736" s="921">
        <f t="shared" si="281"/>
        <v>8</v>
      </c>
    </row>
    <row r="2737" spans="1:16" ht="15" hidden="1" customHeight="1">
      <c r="A2737" s="839">
        <v>69629468</v>
      </c>
      <c r="B2737" s="839">
        <v>2904</v>
      </c>
      <c r="C2737" s="906">
        <v>1298</v>
      </c>
      <c r="D2737" s="907">
        <v>46071</v>
      </c>
      <c r="E2737" s="839" t="s">
        <v>291</v>
      </c>
      <c r="F2737" s="839" t="s">
        <v>226</v>
      </c>
      <c r="G2737" s="916">
        <f>VLOOKUP($A2737,'Tech Litons'!$A:$I,8,FALSE)</f>
        <v>5.2680000000000001E-3</v>
      </c>
      <c r="H2737" s="917">
        <f>VLOOKUP($A2737,'Tech Litons'!$A:$I,9,FALSE)</f>
        <v>130</v>
      </c>
      <c r="I2737" s="917" t="str">
        <f>VLOOKUP($A2737,'Tech Litons'!$A:$C,3,0)</f>
        <v>PG</v>
      </c>
      <c r="J2737" s="918" t="str">
        <f t="shared" si="277"/>
        <v>2904PG</v>
      </c>
      <c r="K2737" s="919">
        <v>1</v>
      </c>
      <c r="L2737" s="920">
        <f t="shared" si="276"/>
        <v>1298</v>
      </c>
      <c r="M2737" s="920">
        <f t="shared" si="278"/>
        <v>6.8378639999999997</v>
      </c>
      <c r="N2737" s="920">
        <f t="shared" si="279"/>
        <v>9.9846153846153847</v>
      </c>
      <c r="O2737" s="918" t="str">
        <f t="shared" si="280"/>
        <v>Feb</v>
      </c>
      <c r="P2737" s="921">
        <f t="shared" si="281"/>
        <v>8</v>
      </c>
    </row>
    <row r="2738" spans="1:16" ht="15" hidden="1" customHeight="1">
      <c r="A2738" s="839">
        <v>69629468</v>
      </c>
      <c r="B2738" s="839">
        <v>2904</v>
      </c>
      <c r="C2738" s="906">
        <v>1819</v>
      </c>
      <c r="D2738" s="907">
        <v>46072</v>
      </c>
      <c r="E2738" s="839" t="s">
        <v>291</v>
      </c>
      <c r="F2738" s="839" t="s">
        <v>226</v>
      </c>
      <c r="G2738" s="916">
        <f>VLOOKUP($A2738,'Tech Litons'!$A:$I,8,FALSE)</f>
        <v>5.2680000000000001E-3</v>
      </c>
      <c r="H2738" s="917">
        <f>VLOOKUP($A2738,'Tech Litons'!$A:$I,9,FALSE)</f>
        <v>130</v>
      </c>
      <c r="I2738" s="917" t="str">
        <f>VLOOKUP($A2738,'Tech Litons'!$A:$C,3,0)</f>
        <v>PG</v>
      </c>
      <c r="J2738" s="918" t="str">
        <f t="shared" si="277"/>
        <v>2904PG</v>
      </c>
      <c r="K2738" s="919">
        <v>1</v>
      </c>
      <c r="L2738" s="920">
        <f t="shared" si="276"/>
        <v>1819</v>
      </c>
      <c r="M2738" s="920">
        <f t="shared" si="278"/>
        <v>9.5824920000000002</v>
      </c>
      <c r="N2738" s="920">
        <f t="shared" si="279"/>
        <v>13.992307692307692</v>
      </c>
      <c r="O2738" s="918" t="str">
        <f t="shared" si="280"/>
        <v>Feb</v>
      </c>
      <c r="P2738" s="921">
        <f t="shared" si="281"/>
        <v>8</v>
      </c>
    </row>
    <row r="2739" spans="1:16" ht="15" hidden="1" customHeight="1">
      <c r="A2739" s="839">
        <v>69629468</v>
      </c>
      <c r="B2739" s="839">
        <v>2904</v>
      </c>
      <c r="C2739" s="906">
        <v>1497</v>
      </c>
      <c r="D2739" s="907">
        <v>46072</v>
      </c>
      <c r="E2739" s="839" t="s">
        <v>291</v>
      </c>
      <c r="F2739" s="839" t="s">
        <v>226</v>
      </c>
      <c r="G2739" s="916">
        <f>VLOOKUP($A2739,'Tech Litons'!$A:$I,8,FALSE)</f>
        <v>5.2680000000000001E-3</v>
      </c>
      <c r="H2739" s="917">
        <f>VLOOKUP($A2739,'Tech Litons'!$A:$I,9,FALSE)</f>
        <v>130</v>
      </c>
      <c r="I2739" s="917" t="str">
        <f>VLOOKUP($A2739,'Tech Litons'!$A:$C,3,0)</f>
        <v>PG</v>
      </c>
      <c r="J2739" s="918" t="str">
        <f t="shared" si="277"/>
        <v>2904PG</v>
      </c>
      <c r="K2739" s="919">
        <v>1</v>
      </c>
      <c r="L2739" s="920">
        <f t="shared" si="276"/>
        <v>1497</v>
      </c>
      <c r="M2739" s="920">
        <f t="shared" si="278"/>
        <v>7.886196</v>
      </c>
      <c r="N2739" s="920">
        <f t="shared" si="279"/>
        <v>11.515384615384615</v>
      </c>
      <c r="O2739" s="918" t="str">
        <f t="shared" si="280"/>
        <v>Feb</v>
      </c>
      <c r="P2739" s="921">
        <f t="shared" si="281"/>
        <v>8</v>
      </c>
    </row>
    <row r="2740" spans="1:16" ht="15" hidden="1" customHeight="1">
      <c r="A2740" s="839">
        <v>69629468</v>
      </c>
      <c r="B2740" s="839">
        <v>2904</v>
      </c>
      <c r="C2740" s="906">
        <v>1169</v>
      </c>
      <c r="D2740" s="907">
        <v>46073</v>
      </c>
      <c r="E2740" s="839" t="s">
        <v>291</v>
      </c>
      <c r="F2740" s="839" t="s">
        <v>226</v>
      </c>
      <c r="G2740" s="916">
        <f>VLOOKUP($A2740,'Tech Litons'!$A:$I,8,FALSE)</f>
        <v>5.2680000000000001E-3</v>
      </c>
      <c r="H2740" s="917">
        <f>VLOOKUP($A2740,'Tech Litons'!$A:$I,9,FALSE)</f>
        <v>130</v>
      </c>
      <c r="I2740" s="917" t="str">
        <f>VLOOKUP($A2740,'Tech Litons'!$A:$C,3,0)</f>
        <v>PG</v>
      </c>
      <c r="J2740" s="918" t="str">
        <f t="shared" si="277"/>
        <v>2904PG</v>
      </c>
      <c r="K2740" s="919">
        <v>1</v>
      </c>
      <c r="L2740" s="920">
        <f t="shared" si="276"/>
        <v>1169</v>
      </c>
      <c r="M2740" s="920">
        <f t="shared" si="278"/>
        <v>6.1582920000000003</v>
      </c>
      <c r="N2740" s="920">
        <f t="shared" si="279"/>
        <v>8.9923076923076923</v>
      </c>
      <c r="O2740" s="918" t="str">
        <f t="shared" si="280"/>
        <v>Feb</v>
      </c>
      <c r="P2740" s="921">
        <f t="shared" si="281"/>
        <v>8</v>
      </c>
    </row>
    <row r="2741" spans="1:16" ht="15" hidden="1" customHeight="1">
      <c r="A2741" s="839">
        <v>69629468</v>
      </c>
      <c r="B2741" s="839">
        <v>2904</v>
      </c>
      <c r="C2741" s="906">
        <v>1216</v>
      </c>
      <c r="D2741" s="907">
        <v>46073</v>
      </c>
      <c r="E2741" s="839" t="s">
        <v>291</v>
      </c>
      <c r="F2741" s="839" t="s">
        <v>226</v>
      </c>
      <c r="G2741" s="916">
        <f>VLOOKUP($A2741,'Tech Litons'!$A:$I,8,FALSE)</f>
        <v>5.2680000000000001E-3</v>
      </c>
      <c r="H2741" s="917">
        <f>VLOOKUP($A2741,'Tech Litons'!$A:$I,9,FALSE)</f>
        <v>130</v>
      </c>
      <c r="I2741" s="917" t="str">
        <f>VLOOKUP($A2741,'Tech Litons'!$A:$C,3,0)</f>
        <v>PG</v>
      </c>
      <c r="J2741" s="918" t="str">
        <f t="shared" si="277"/>
        <v>2904PG</v>
      </c>
      <c r="K2741" s="919">
        <v>1</v>
      </c>
      <c r="L2741" s="920">
        <f t="shared" si="276"/>
        <v>1216</v>
      </c>
      <c r="M2741" s="920">
        <f t="shared" si="278"/>
        <v>6.405888</v>
      </c>
      <c r="N2741" s="920">
        <f t="shared" si="279"/>
        <v>9.3538461538461544</v>
      </c>
      <c r="O2741" s="918" t="str">
        <f t="shared" si="280"/>
        <v>Feb</v>
      </c>
      <c r="P2741" s="921">
        <f t="shared" si="281"/>
        <v>8</v>
      </c>
    </row>
    <row r="2742" spans="1:16" ht="15" hidden="1" customHeight="1">
      <c r="A2742" s="839">
        <v>69629468</v>
      </c>
      <c r="B2742" s="839">
        <v>2904</v>
      </c>
      <c r="C2742" s="906">
        <v>945</v>
      </c>
      <c r="D2742" s="907">
        <v>46074</v>
      </c>
      <c r="E2742" s="839" t="s">
        <v>291</v>
      </c>
      <c r="F2742" s="839" t="s">
        <v>226</v>
      </c>
      <c r="G2742" s="916">
        <f>VLOOKUP($A2742,'Tech Litons'!$A:$I,8,FALSE)</f>
        <v>5.2680000000000001E-3</v>
      </c>
      <c r="H2742" s="917">
        <f>VLOOKUP($A2742,'Tech Litons'!$A:$I,9,FALSE)</f>
        <v>130</v>
      </c>
      <c r="I2742" s="917" t="str">
        <f>VLOOKUP($A2742,'Tech Litons'!$A:$C,3,0)</f>
        <v>PG</v>
      </c>
      <c r="J2742" s="918" t="str">
        <f t="shared" si="277"/>
        <v>2904PG</v>
      </c>
      <c r="K2742" s="919">
        <v>1</v>
      </c>
      <c r="L2742" s="920">
        <f t="shared" si="276"/>
        <v>945</v>
      </c>
      <c r="M2742" s="920">
        <f t="shared" si="278"/>
        <v>4.9782599999999997</v>
      </c>
      <c r="N2742" s="920">
        <f t="shared" si="279"/>
        <v>7.2692307692307692</v>
      </c>
      <c r="O2742" s="918" t="str">
        <f t="shared" si="280"/>
        <v>Feb</v>
      </c>
      <c r="P2742" s="921">
        <f t="shared" si="281"/>
        <v>8</v>
      </c>
    </row>
    <row r="2743" spans="1:16" ht="15" hidden="1" customHeight="1">
      <c r="A2743" s="839">
        <v>69717801</v>
      </c>
      <c r="B2743" s="839">
        <v>2904</v>
      </c>
      <c r="C2743" s="906">
        <v>1111</v>
      </c>
      <c r="D2743" s="907">
        <v>46068</v>
      </c>
      <c r="E2743" s="839" t="s">
        <v>509</v>
      </c>
      <c r="F2743" s="839" t="s">
        <v>231</v>
      </c>
      <c r="G2743" s="916">
        <f>VLOOKUP($A2743,'Tech Litons'!$A:$I,8,FALSE)</f>
        <v>4.2560000000000002E-3</v>
      </c>
      <c r="H2743" s="917">
        <f>VLOOKUP($A2743,'Tech Litons'!$A:$I,9,FALSE)</f>
        <v>143</v>
      </c>
      <c r="I2743" s="917" t="str">
        <f>VLOOKUP($A2743,'Tech Litons'!$A:$C,3,0)</f>
        <v>MG Sticks</v>
      </c>
      <c r="J2743" s="918" t="str">
        <f t="shared" si="277"/>
        <v>2904MG Sticks</v>
      </c>
      <c r="K2743" s="919">
        <v>1</v>
      </c>
      <c r="L2743" s="920">
        <f t="shared" si="276"/>
        <v>1111</v>
      </c>
      <c r="M2743" s="920">
        <f t="shared" si="278"/>
        <v>4.7284160000000002</v>
      </c>
      <c r="N2743" s="920">
        <f t="shared" si="279"/>
        <v>7.7692307692307692</v>
      </c>
      <c r="O2743" s="918" t="str">
        <f t="shared" si="280"/>
        <v>Feb</v>
      </c>
      <c r="P2743" s="921">
        <f t="shared" si="281"/>
        <v>8</v>
      </c>
    </row>
    <row r="2744" spans="1:16" ht="15" hidden="1" customHeight="1">
      <c r="A2744" s="839">
        <v>69717801</v>
      </c>
      <c r="B2744" s="839">
        <v>2904</v>
      </c>
      <c r="C2744" s="906">
        <v>2574</v>
      </c>
      <c r="D2744" s="907">
        <v>46068</v>
      </c>
      <c r="E2744" s="839" t="s">
        <v>509</v>
      </c>
      <c r="F2744" s="839" t="s">
        <v>231</v>
      </c>
      <c r="G2744" s="916">
        <f>VLOOKUP($A2744,'Tech Litons'!$A:$I,8,FALSE)</f>
        <v>4.2560000000000002E-3</v>
      </c>
      <c r="H2744" s="917">
        <f>VLOOKUP($A2744,'Tech Litons'!$A:$I,9,FALSE)</f>
        <v>143</v>
      </c>
      <c r="I2744" s="917" t="str">
        <f>VLOOKUP($A2744,'Tech Litons'!$A:$C,3,0)</f>
        <v>MG Sticks</v>
      </c>
      <c r="J2744" s="918" t="str">
        <f t="shared" si="277"/>
        <v>2904MG Sticks</v>
      </c>
      <c r="K2744" s="919">
        <v>1</v>
      </c>
      <c r="L2744" s="920">
        <f t="shared" si="276"/>
        <v>2574</v>
      </c>
      <c r="M2744" s="920">
        <f t="shared" si="278"/>
        <v>10.954944000000001</v>
      </c>
      <c r="N2744" s="920">
        <f t="shared" si="279"/>
        <v>18</v>
      </c>
      <c r="O2744" s="918" t="str">
        <f t="shared" si="280"/>
        <v>Feb</v>
      </c>
      <c r="P2744" s="921">
        <f t="shared" si="281"/>
        <v>8</v>
      </c>
    </row>
    <row r="2745" spans="1:16" ht="15" hidden="1" customHeight="1">
      <c r="A2745" s="839">
        <v>69717801</v>
      </c>
      <c r="B2745" s="839">
        <v>2904</v>
      </c>
      <c r="C2745" s="906">
        <v>4719</v>
      </c>
      <c r="D2745" s="907">
        <v>46069</v>
      </c>
      <c r="E2745" s="839" t="s">
        <v>509</v>
      </c>
      <c r="F2745" s="839" t="s">
        <v>231</v>
      </c>
      <c r="G2745" s="916">
        <f>VLOOKUP($A2745,'Tech Litons'!$A:$I,8,FALSE)</f>
        <v>4.2560000000000002E-3</v>
      </c>
      <c r="H2745" s="917">
        <f>VLOOKUP($A2745,'Tech Litons'!$A:$I,9,FALSE)</f>
        <v>143</v>
      </c>
      <c r="I2745" s="917" t="str">
        <f>VLOOKUP($A2745,'Tech Litons'!$A:$C,3,0)</f>
        <v>MG Sticks</v>
      </c>
      <c r="J2745" s="918" t="str">
        <f t="shared" si="277"/>
        <v>2904MG Sticks</v>
      </c>
      <c r="K2745" s="919">
        <v>1</v>
      </c>
      <c r="L2745" s="920">
        <f t="shared" si="276"/>
        <v>4719</v>
      </c>
      <c r="M2745" s="920">
        <f t="shared" si="278"/>
        <v>20.084064000000001</v>
      </c>
      <c r="N2745" s="920">
        <f t="shared" si="279"/>
        <v>33</v>
      </c>
      <c r="O2745" s="918" t="str">
        <f t="shared" si="280"/>
        <v>Feb</v>
      </c>
      <c r="P2745" s="921">
        <f t="shared" si="281"/>
        <v>8</v>
      </c>
    </row>
    <row r="2746" spans="1:16" ht="15" hidden="1" customHeight="1">
      <c r="A2746" s="839">
        <v>69717801</v>
      </c>
      <c r="B2746" s="839">
        <v>2904</v>
      </c>
      <c r="C2746" s="906">
        <v>1001</v>
      </c>
      <c r="D2746" s="907">
        <v>46069</v>
      </c>
      <c r="E2746" s="839" t="s">
        <v>509</v>
      </c>
      <c r="F2746" s="839" t="s">
        <v>231</v>
      </c>
      <c r="G2746" s="916">
        <f>VLOOKUP($A2746,'Tech Litons'!$A:$I,8,FALSE)</f>
        <v>4.2560000000000002E-3</v>
      </c>
      <c r="H2746" s="917">
        <f>VLOOKUP($A2746,'Tech Litons'!$A:$I,9,FALSE)</f>
        <v>143</v>
      </c>
      <c r="I2746" s="917" t="str">
        <f>VLOOKUP($A2746,'Tech Litons'!$A:$C,3,0)</f>
        <v>MG Sticks</v>
      </c>
      <c r="J2746" s="918" t="str">
        <f t="shared" si="277"/>
        <v>2904MG Sticks</v>
      </c>
      <c r="K2746" s="919">
        <v>1</v>
      </c>
      <c r="L2746" s="920">
        <f t="shared" si="276"/>
        <v>1001</v>
      </c>
      <c r="M2746" s="920">
        <f t="shared" si="278"/>
        <v>4.260256</v>
      </c>
      <c r="N2746" s="920">
        <f t="shared" si="279"/>
        <v>7</v>
      </c>
      <c r="O2746" s="918" t="str">
        <f t="shared" si="280"/>
        <v>Feb</v>
      </c>
      <c r="P2746" s="921">
        <f t="shared" si="281"/>
        <v>8</v>
      </c>
    </row>
    <row r="2747" spans="1:16" ht="15" hidden="1" customHeight="1">
      <c r="A2747" s="839">
        <v>69717801</v>
      </c>
      <c r="B2747" s="839">
        <v>2904</v>
      </c>
      <c r="C2747" s="906">
        <v>3823</v>
      </c>
      <c r="D2747" s="907">
        <v>46070</v>
      </c>
      <c r="E2747" s="839" t="s">
        <v>509</v>
      </c>
      <c r="F2747" s="839" t="s">
        <v>231</v>
      </c>
      <c r="G2747" s="916">
        <f>VLOOKUP($A2747,'Tech Litons'!$A:$I,8,FALSE)</f>
        <v>4.2560000000000002E-3</v>
      </c>
      <c r="H2747" s="917">
        <f>VLOOKUP($A2747,'Tech Litons'!$A:$I,9,FALSE)</f>
        <v>143</v>
      </c>
      <c r="I2747" s="917" t="str">
        <f>VLOOKUP($A2747,'Tech Litons'!$A:$C,3,0)</f>
        <v>MG Sticks</v>
      </c>
      <c r="J2747" s="918" t="str">
        <f t="shared" si="277"/>
        <v>2904MG Sticks</v>
      </c>
      <c r="K2747" s="919">
        <v>1</v>
      </c>
      <c r="L2747" s="920">
        <f t="shared" si="276"/>
        <v>3823</v>
      </c>
      <c r="M2747" s="920">
        <f t="shared" si="278"/>
        <v>16.270688</v>
      </c>
      <c r="N2747" s="920">
        <f t="shared" si="279"/>
        <v>26.734265734265733</v>
      </c>
      <c r="O2747" s="918" t="str">
        <f t="shared" si="280"/>
        <v>Feb</v>
      </c>
      <c r="P2747" s="921">
        <f t="shared" si="281"/>
        <v>8</v>
      </c>
    </row>
    <row r="2748" spans="1:16" ht="15" hidden="1" customHeight="1">
      <c r="A2748" s="839">
        <v>69717801</v>
      </c>
      <c r="B2748" s="839">
        <v>2904</v>
      </c>
      <c r="C2748" s="906">
        <v>878</v>
      </c>
      <c r="D2748" s="907">
        <v>46070</v>
      </c>
      <c r="E2748" s="839" t="s">
        <v>509</v>
      </c>
      <c r="F2748" s="839" t="s">
        <v>231</v>
      </c>
      <c r="G2748" s="916">
        <f>VLOOKUP($A2748,'Tech Litons'!$A:$I,8,FALSE)</f>
        <v>4.2560000000000002E-3</v>
      </c>
      <c r="H2748" s="917">
        <f>VLOOKUP($A2748,'Tech Litons'!$A:$I,9,FALSE)</f>
        <v>143</v>
      </c>
      <c r="I2748" s="917" t="str">
        <f>VLOOKUP($A2748,'Tech Litons'!$A:$C,3,0)</f>
        <v>MG Sticks</v>
      </c>
      <c r="J2748" s="918" t="str">
        <f t="shared" si="277"/>
        <v>2904MG Sticks</v>
      </c>
      <c r="K2748" s="919">
        <v>1</v>
      </c>
      <c r="L2748" s="920">
        <f t="shared" si="276"/>
        <v>878</v>
      </c>
      <c r="M2748" s="920">
        <f t="shared" si="278"/>
        <v>3.7367680000000001</v>
      </c>
      <c r="N2748" s="920">
        <f t="shared" si="279"/>
        <v>6.13986013986014</v>
      </c>
      <c r="O2748" s="918" t="str">
        <f t="shared" si="280"/>
        <v>Feb</v>
      </c>
      <c r="P2748" s="921">
        <f t="shared" si="281"/>
        <v>8</v>
      </c>
    </row>
    <row r="2749" spans="1:16" ht="15" hidden="1" customHeight="1">
      <c r="A2749" s="839">
        <v>69717802</v>
      </c>
      <c r="B2749" s="839">
        <v>2904</v>
      </c>
      <c r="C2749" s="906">
        <v>2</v>
      </c>
      <c r="D2749" s="907">
        <v>46057</v>
      </c>
      <c r="E2749" s="839" t="s">
        <v>388</v>
      </c>
      <c r="F2749" s="839" t="s">
        <v>281</v>
      </c>
      <c r="G2749" s="916">
        <f>VLOOKUP($A2749,'Tech Litons'!$A:$I,8,FALSE)</f>
        <v>4.2560000000000002E-3</v>
      </c>
      <c r="H2749" s="917">
        <f>VLOOKUP($A2749,'Tech Litons'!$A:$I,9,FALSE)</f>
        <v>143</v>
      </c>
      <c r="I2749" s="917" t="str">
        <f>VLOOKUP($A2749,'Tech Litons'!$A:$C,3,0)</f>
        <v>MG Sticks</v>
      </c>
      <c r="J2749" s="918" t="str">
        <f t="shared" si="277"/>
        <v>2904MG Sticks</v>
      </c>
      <c r="K2749" s="919">
        <v>1</v>
      </c>
      <c r="L2749" s="920">
        <f t="shared" si="276"/>
        <v>2</v>
      </c>
      <c r="M2749" s="920">
        <f t="shared" si="278"/>
        <v>8.5120000000000005E-3</v>
      </c>
      <c r="N2749" s="920">
        <f t="shared" si="279"/>
        <v>1.3986013986013986E-2</v>
      </c>
      <c r="O2749" s="918" t="str">
        <f t="shared" si="280"/>
        <v>Feb</v>
      </c>
      <c r="P2749" s="921">
        <f t="shared" si="281"/>
        <v>6</v>
      </c>
    </row>
    <row r="2750" spans="1:16" ht="15" hidden="1" customHeight="1">
      <c r="A2750" s="839">
        <v>69717802</v>
      </c>
      <c r="B2750" s="839">
        <v>2904</v>
      </c>
      <c r="C2750" s="906">
        <v>2717</v>
      </c>
      <c r="D2750" s="907">
        <v>46050</v>
      </c>
      <c r="E2750" s="839" t="s">
        <v>388</v>
      </c>
      <c r="F2750" s="839" t="s">
        <v>281</v>
      </c>
      <c r="G2750" s="916">
        <f>VLOOKUP($A2750,'Tech Litons'!$A:$I,8,FALSE)</f>
        <v>4.2560000000000002E-3</v>
      </c>
      <c r="H2750" s="917">
        <f>VLOOKUP($A2750,'Tech Litons'!$A:$I,9,FALSE)</f>
        <v>143</v>
      </c>
      <c r="I2750" s="917" t="str">
        <f>VLOOKUP($A2750,'Tech Litons'!$A:$C,3,0)</f>
        <v>MG Sticks</v>
      </c>
      <c r="J2750" s="918" t="str">
        <f t="shared" si="277"/>
        <v>2904MG Sticks</v>
      </c>
      <c r="K2750" s="919">
        <v>1</v>
      </c>
      <c r="L2750" s="920">
        <f t="shared" si="276"/>
        <v>2717</v>
      </c>
      <c r="M2750" s="920">
        <f t="shared" si="278"/>
        <v>11.563552000000001</v>
      </c>
      <c r="N2750" s="920">
        <f t="shared" si="279"/>
        <v>19</v>
      </c>
      <c r="O2750" s="918" t="str">
        <f t="shared" si="280"/>
        <v>Jan</v>
      </c>
      <c r="P2750" s="921">
        <f t="shared" si="281"/>
        <v>5</v>
      </c>
    </row>
    <row r="2751" spans="1:16" ht="15" hidden="1" customHeight="1">
      <c r="A2751" s="839">
        <v>69717802</v>
      </c>
      <c r="B2751" s="839">
        <v>2904</v>
      </c>
      <c r="C2751" s="906">
        <v>2904</v>
      </c>
      <c r="D2751" s="907">
        <v>46050</v>
      </c>
      <c r="E2751" s="839" t="s">
        <v>388</v>
      </c>
      <c r="F2751" s="839" t="s">
        <v>281</v>
      </c>
      <c r="G2751" s="916">
        <f>VLOOKUP($A2751,'Tech Litons'!$A:$I,8,FALSE)</f>
        <v>4.2560000000000002E-3</v>
      </c>
      <c r="H2751" s="917">
        <f>VLOOKUP($A2751,'Tech Litons'!$A:$I,9,FALSE)</f>
        <v>143</v>
      </c>
      <c r="I2751" s="917" t="str">
        <f>VLOOKUP($A2751,'Tech Litons'!$A:$C,3,0)</f>
        <v>MG Sticks</v>
      </c>
      <c r="J2751" s="918" t="str">
        <f t="shared" si="277"/>
        <v>2904MG Sticks</v>
      </c>
      <c r="K2751" s="919">
        <v>1</v>
      </c>
      <c r="L2751" s="920">
        <f t="shared" si="276"/>
        <v>2904</v>
      </c>
      <c r="M2751" s="920">
        <f t="shared" si="278"/>
        <v>12.359424000000001</v>
      </c>
      <c r="N2751" s="920">
        <f t="shared" si="279"/>
        <v>20.307692307692307</v>
      </c>
      <c r="O2751" s="918" t="str">
        <f t="shared" si="280"/>
        <v>Jan</v>
      </c>
      <c r="P2751" s="921">
        <f t="shared" si="281"/>
        <v>5</v>
      </c>
    </row>
    <row r="2752" spans="1:16" ht="15" hidden="1" customHeight="1">
      <c r="A2752" s="839">
        <v>69717802</v>
      </c>
      <c r="B2752" s="839">
        <v>2904</v>
      </c>
      <c r="C2752" s="906">
        <v>2691</v>
      </c>
      <c r="D2752" s="907">
        <v>46051</v>
      </c>
      <c r="E2752" s="839" t="s">
        <v>388</v>
      </c>
      <c r="F2752" s="839" t="s">
        <v>281</v>
      </c>
      <c r="G2752" s="916">
        <f>VLOOKUP($A2752,'Tech Litons'!$A:$I,8,FALSE)</f>
        <v>4.2560000000000002E-3</v>
      </c>
      <c r="H2752" s="917">
        <f>VLOOKUP($A2752,'Tech Litons'!$A:$I,9,FALSE)</f>
        <v>143</v>
      </c>
      <c r="I2752" s="917" t="str">
        <f>VLOOKUP($A2752,'Tech Litons'!$A:$C,3,0)</f>
        <v>MG Sticks</v>
      </c>
      <c r="J2752" s="918" t="str">
        <f t="shared" si="277"/>
        <v>2904MG Sticks</v>
      </c>
      <c r="K2752" s="919">
        <v>1</v>
      </c>
      <c r="L2752" s="920">
        <f t="shared" si="276"/>
        <v>2691</v>
      </c>
      <c r="M2752" s="920">
        <f t="shared" si="278"/>
        <v>11.452896000000001</v>
      </c>
      <c r="N2752" s="920">
        <f t="shared" si="279"/>
        <v>18.818181818181817</v>
      </c>
      <c r="O2752" s="918" t="str">
        <f t="shared" si="280"/>
        <v>Jan</v>
      </c>
      <c r="P2752" s="921">
        <f t="shared" si="281"/>
        <v>5</v>
      </c>
    </row>
    <row r="2753" spans="1:16" ht="15" hidden="1" customHeight="1">
      <c r="A2753" s="839">
        <v>69717802</v>
      </c>
      <c r="B2753" s="839">
        <v>2904</v>
      </c>
      <c r="C2753" s="906">
        <v>1997</v>
      </c>
      <c r="D2753" s="907">
        <v>46051</v>
      </c>
      <c r="E2753" s="839" t="s">
        <v>388</v>
      </c>
      <c r="F2753" s="839" t="s">
        <v>281</v>
      </c>
      <c r="G2753" s="916">
        <f>VLOOKUP($A2753,'Tech Litons'!$A:$I,8,FALSE)</f>
        <v>4.2560000000000002E-3</v>
      </c>
      <c r="H2753" s="917">
        <f>VLOOKUP($A2753,'Tech Litons'!$A:$I,9,FALSE)</f>
        <v>143</v>
      </c>
      <c r="I2753" s="917" t="str">
        <f>VLOOKUP($A2753,'Tech Litons'!$A:$C,3,0)</f>
        <v>MG Sticks</v>
      </c>
      <c r="J2753" s="918" t="str">
        <f t="shared" si="277"/>
        <v>2904MG Sticks</v>
      </c>
      <c r="K2753" s="919">
        <v>1</v>
      </c>
      <c r="L2753" s="920">
        <f t="shared" si="276"/>
        <v>1997</v>
      </c>
      <c r="M2753" s="920">
        <f t="shared" si="278"/>
        <v>8.499232000000001</v>
      </c>
      <c r="N2753" s="920">
        <f t="shared" si="279"/>
        <v>13.965034965034965</v>
      </c>
      <c r="O2753" s="918" t="str">
        <f t="shared" si="280"/>
        <v>Jan</v>
      </c>
      <c r="P2753" s="921">
        <f t="shared" si="281"/>
        <v>5</v>
      </c>
    </row>
    <row r="2754" spans="1:16" ht="15" hidden="1" customHeight="1">
      <c r="A2754" s="839">
        <v>69717802</v>
      </c>
      <c r="B2754" s="839">
        <v>2904</v>
      </c>
      <c r="C2754" s="906">
        <v>2938</v>
      </c>
      <c r="D2754" s="907">
        <v>46052</v>
      </c>
      <c r="E2754" s="839" t="s">
        <v>388</v>
      </c>
      <c r="F2754" s="839" t="s">
        <v>281</v>
      </c>
      <c r="G2754" s="916">
        <f>VLOOKUP($A2754,'Tech Litons'!$A:$I,8,FALSE)</f>
        <v>4.2560000000000002E-3</v>
      </c>
      <c r="H2754" s="917">
        <f>VLOOKUP($A2754,'Tech Litons'!$A:$I,9,FALSE)</f>
        <v>143</v>
      </c>
      <c r="I2754" s="917" t="str">
        <f>VLOOKUP($A2754,'Tech Litons'!$A:$C,3,0)</f>
        <v>MG Sticks</v>
      </c>
      <c r="J2754" s="918" t="str">
        <f t="shared" si="277"/>
        <v>2904MG Sticks</v>
      </c>
      <c r="K2754" s="919">
        <v>1</v>
      </c>
      <c r="L2754" s="920">
        <f t="shared" si="276"/>
        <v>2938</v>
      </c>
      <c r="M2754" s="920">
        <f t="shared" si="278"/>
        <v>12.504128000000001</v>
      </c>
      <c r="N2754" s="920">
        <f t="shared" si="279"/>
        <v>20.545454545454547</v>
      </c>
      <c r="O2754" s="918" t="str">
        <f t="shared" si="280"/>
        <v>Jan</v>
      </c>
      <c r="P2754" s="921">
        <f t="shared" si="281"/>
        <v>5</v>
      </c>
    </row>
    <row r="2755" spans="1:16" ht="15" hidden="1" customHeight="1">
      <c r="A2755" s="839">
        <v>69717802</v>
      </c>
      <c r="B2755" s="839">
        <v>2904</v>
      </c>
      <c r="C2755" s="906">
        <v>143</v>
      </c>
      <c r="D2755" s="907">
        <v>46055</v>
      </c>
      <c r="E2755" s="839" t="s">
        <v>388</v>
      </c>
      <c r="F2755" s="839" t="s">
        <v>281</v>
      </c>
      <c r="G2755" s="916">
        <f>VLOOKUP($A2755,'Tech Litons'!$A:$I,8,FALSE)</f>
        <v>4.2560000000000002E-3</v>
      </c>
      <c r="H2755" s="917">
        <f>VLOOKUP($A2755,'Tech Litons'!$A:$I,9,FALSE)</f>
        <v>143</v>
      </c>
      <c r="I2755" s="917" t="str">
        <f>VLOOKUP($A2755,'Tech Litons'!$A:$C,3,0)</f>
        <v>MG Sticks</v>
      </c>
      <c r="J2755" s="918" t="str">
        <f t="shared" si="277"/>
        <v>2904MG Sticks</v>
      </c>
      <c r="K2755" s="919">
        <v>1</v>
      </c>
      <c r="L2755" s="920">
        <f t="shared" si="276"/>
        <v>143</v>
      </c>
      <c r="M2755" s="920">
        <f t="shared" si="278"/>
        <v>0.60860800000000004</v>
      </c>
      <c r="N2755" s="920">
        <f t="shared" si="279"/>
        <v>1</v>
      </c>
      <c r="O2755" s="918" t="str">
        <f t="shared" si="280"/>
        <v>Feb</v>
      </c>
      <c r="P2755" s="921">
        <f t="shared" si="281"/>
        <v>6</v>
      </c>
    </row>
    <row r="2756" spans="1:16" ht="15" hidden="1" customHeight="1">
      <c r="A2756" s="839">
        <v>69717802</v>
      </c>
      <c r="B2756" s="839">
        <v>2904</v>
      </c>
      <c r="C2756" s="906">
        <v>691</v>
      </c>
      <c r="D2756" s="907">
        <v>46052</v>
      </c>
      <c r="E2756" s="839" t="s">
        <v>388</v>
      </c>
      <c r="F2756" s="839" t="s">
        <v>281</v>
      </c>
      <c r="G2756" s="916">
        <f>VLOOKUP($A2756,'Tech Litons'!$A:$I,8,FALSE)</f>
        <v>4.2560000000000002E-3</v>
      </c>
      <c r="H2756" s="917">
        <f>VLOOKUP($A2756,'Tech Litons'!$A:$I,9,FALSE)</f>
        <v>143</v>
      </c>
      <c r="I2756" s="917" t="str">
        <f>VLOOKUP($A2756,'Tech Litons'!$A:$C,3,0)</f>
        <v>MG Sticks</v>
      </c>
      <c r="J2756" s="918" t="str">
        <f t="shared" si="277"/>
        <v>2904MG Sticks</v>
      </c>
      <c r="K2756" s="919">
        <v>1</v>
      </c>
      <c r="L2756" s="920">
        <f t="shared" si="276"/>
        <v>691</v>
      </c>
      <c r="M2756" s="920">
        <f t="shared" si="278"/>
        <v>2.940896</v>
      </c>
      <c r="N2756" s="920">
        <f t="shared" si="279"/>
        <v>4.8321678321678325</v>
      </c>
      <c r="O2756" s="918" t="str">
        <f t="shared" si="280"/>
        <v>Jan</v>
      </c>
      <c r="P2756" s="921">
        <f t="shared" si="281"/>
        <v>5</v>
      </c>
    </row>
    <row r="2757" spans="1:16" ht="15" hidden="1" customHeight="1">
      <c r="A2757" s="839">
        <v>69717802</v>
      </c>
      <c r="B2757" s="839">
        <v>2904</v>
      </c>
      <c r="C2757" s="906">
        <v>5147</v>
      </c>
      <c r="D2757" s="907">
        <v>46053</v>
      </c>
      <c r="E2757" s="839" t="s">
        <v>388</v>
      </c>
      <c r="F2757" s="839" t="s">
        <v>281</v>
      </c>
      <c r="G2757" s="916">
        <f>VLOOKUP($A2757,'Tech Litons'!$A:$I,8,FALSE)</f>
        <v>4.2560000000000002E-3</v>
      </c>
      <c r="H2757" s="917">
        <f>VLOOKUP($A2757,'Tech Litons'!$A:$I,9,FALSE)</f>
        <v>143</v>
      </c>
      <c r="I2757" s="917" t="str">
        <f>VLOOKUP($A2757,'Tech Litons'!$A:$C,3,0)</f>
        <v>MG Sticks</v>
      </c>
      <c r="J2757" s="918" t="str">
        <f t="shared" si="277"/>
        <v>2904MG Sticks</v>
      </c>
      <c r="K2757" s="919">
        <v>1</v>
      </c>
      <c r="L2757" s="920">
        <f t="shared" si="276"/>
        <v>5147</v>
      </c>
      <c r="M2757" s="920">
        <f t="shared" si="278"/>
        <v>21.905632000000001</v>
      </c>
      <c r="N2757" s="920">
        <f t="shared" si="279"/>
        <v>35.993006993006993</v>
      </c>
      <c r="O2757" s="918" t="str">
        <f t="shared" si="280"/>
        <v>Jan</v>
      </c>
      <c r="P2757" s="921">
        <f t="shared" si="281"/>
        <v>5</v>
      </c>
    </row>
    <row r="2758" spans="1:16" ht="15" hidden="1" customHeight="1">
      <c r="A2758" s="839">
        <v>69717802</v>
      </c>
      <c r="B2758" s="839">
        <v>2904</v>
      </c>
      <c r="C2758" s="906">
        <v>-143</v>
      </c>
      <c r="D2758" s="907">
        <v>46059</v>
      </c>
      <c r="E2758" s="839" t="s">
        <v>388</v>
      </c>
      <c r="F2758" s="839" t="s">
        <v>281</v>
      </c>
      <c r="G2758" s="916">
        <f>VLOOKUP($A2758,'Tech Litons'!$A:$I,8,FALSE)</f>
        <v>4.2560000000000002E-3</v>
      </c>
      <c r="H2758" s="917">
        <f>VLOOKUP($A2758,'Tech Litons'!$A:$I,9,FALSE)</f>
        <v>143</v>
      </c>
      <c r="I2758" s="917" t="str">
        <f>VLOOKUP($A2758,'Tech Litons'!$A:$C,3,0)</f>
        <v>MG Sticks</v>
      </c>
      <c r="J2758" s="918" t="str">
        <f t="shared" si="277"/>
        <v>2904MG Sticks</v>
      </c>
      <c r="K2758" s="919">
        <v>1</v>
      </c>
      <c r="L2758" s="920">
        <f t="shared" si="276"/>
        <v>-143</v>
      </c>
      <c r="M2758" s="920">
        <f t="shared" si="278"/>
        <v>-0.60860800000000004</v>
      </c>
      <c r="N2758" s="920">
        <f t="shared" si="279"/>
        <v>-1</v>
      </c>
      <c r="O2758" s="918" t="str">
        <f t="shared" si="280"/>
        <v>Feb</v>
      </c>
      <c r="P2758" s="921">
        <f t="shared" si="281"/>
        <v>6</v>
      </c>
    </row>
    <row r="2759" spans="1:16" ht="15" hidden="1" customHeight="1">
      <c r="A2759" s="839">
        <v>69717802</v>
      </c>
      <c r="B2759" s="839">
        <v>2904</v>
      </c>
      <c r="C2759" s="906">
        <v>6006</v>
      </c>
      <c r="D2759" s="907">
        <v>46053</v>
      </c>
      <c r="E2759" s="839" t="s">
        <v>388</v>
      </c>
      <c r="F2759" s="839" t="s">
        <v>281</v>
      </c>
      <c r="G2759" s="916">
        <f>VLOOKUP($A2759,'Tech Litons'!$A:$I,8,FALSE)</f>
        <v>4.2560000000000002E-3</v>
      </c>
      <c r="H2759" s="917">
        <f>VLOOKUP($A2759,'Tech Litons'!$A:$I,9,FALSE)</f>
        <v>143</v>
      </c>
      <c r="I2759" s="917" t="str">
        <f>VLOOKUP($A2759,'Tech Litons'!$A:$C,3,0)</f>
        <v>MG Sticks</v>
      </c>
      <c r="J2759" s="918" t="str">
        <f t="shared" si="277"/>
        <v>2904MG Sticks</v>
      </c>
      <c r="K2759" s="919">
        <v>1</v>
      </c>
      <c r="L2759" s="920">
        <f t="shared" si="276"/>
        <v>6006</v>
      </c>
      <c r="M2759" s="920">
        <f t="shared" si="278"/>
        <v>25.561536</v>
      </c>
      <c r="N2759" s="920">
        <f t="shared" si="279"/>
        <v>42</v>
      </c>
      <c r="O2759" s="918" t="str">
        <f t="shared" si="280"/>
        <v>Jan</v>
      </c>
      <c r="P2759" s="921">
        <f t="shared" si="281"/>
        <v>5</v>
      </c>
    </row>
    <row r="2760" spans="1:16" ht="15" hidden="1" customHeight="1">
      <c r="A2760" s="839">
        <v>69717802</v>
      </c>
      <c r="B2760" s="839">
        <v>2904</v>
      </c>
      <c r="C2760" s="906">
        <v>1892</v>
      </c>
      <c r="D2760" s="907">
        <v>46054</v>
      </c>
      <c r="E2760" s="839" t="s">
        <v>388</v>
      </c>
      <c r="F2760" s="839" t="s">
        <v>281</v>
      </c>
      <c r="G2760" s="916">
        <f>VLOOKUP($A2760,'Tech Litons'!$A:$I,8,FALSE)</f>
        <v>4.2560000000000002E-3</v>
      </c>
      <c r="H2760" s="917">
        <f>VLOOKUP($A2760,'Tech Litons'!$A:$I,9,FALSE)</f>
        <v>143</v>
      </c>
      <c r="I2760" s="917" t="str">
        <f>VLOOKUP($A2760,'Tech Litons'!$A:$C,3,0)</f>
        <v>MG Sticks</v>
      </c>
      <c r="J2760" s="918" t="str">
        <f t="shared" si="277"/>
        <v>2904MG Sticks</v>
      </c>
      <c r="K2760" s="919">
        <v>1</v>
      </c>
      <c r="L2760" s="920">
        <f t="shared" si="276"/>
        <v>1892</v>
      </c>
      <c r="M2760" s="920">
        <f t="shared" si="278"/>
        <v>8.0523520000000008</v>
      </c>
      <c r="N2760" s="920">
        <f t="shared" si="279"/>
        <v>13.23076923076923</v>
      </c>
      <c r="O2760" s="918" t="str">
        <f t="shared" si="280"/>
        <v>Feb</v>
      </c>
      <c r="P2760" s="921">
        <f t="shared" si="281"/>
        <v>6</v>
      </c>
    </row>
    <row r="2761" spans="1:16" ht="15" hidden="1" customHeight="1">
      <c r="A2761" s="839">
        <v>69717802</v>
      </c>
      <c r="B2761" s="839">
        <v>2904</v>
      </c>
      <c r="C2761" s="906">
        <v>2574</v>
      </c>
      <c r="D2761" s="907">
        <v>46071</v>
      </c>
      <c r="E2761" s="839" t="s">
        <v>388</v>
      </c>
      <c r="F2761" s="839" t="s">
        <v>231</v>
      </c>
      <c r="G2761" s="916">
        <f>VLOOKUP($A2761,'Tech Litons'!$A:$I,8,FALSE)</f>
        <v>4.2560000000000002E-3</v>
      </c>
      <c r="H2761" s="917">
        <f>VLOOKUP($A2761,'Tech Litons'!$A:$I,9,FALSE)</f>
        <v>143</v>
      </c>
      <c r="I2761" s="917" t="str">
        <f>VLOOKUP($A2761,'Tech Litons'!$A:$C,3,0)</f>
        <v>MG Sticks</v>
      </c>
      <c r="J2761" s="918" t="str">
        <f t="shared" si="277"/>
        <v>2904MG Sticks</v>
      </c>
      <c r="K2761" s="919">
        <v>1</v>
      </c>
      <c r="L2761" s="920">
        <f t="shared" si="276"/>
        <v>2574</v>
      </c>
      <c r="M2761" s="920">
        <f t="shared" si="278"/>
        <v>10.954944000000001</v>
      </c>
      <c r="N2761" s="920">
        <f t="shared" si="279"/>
        <v>18</v>
      </c>
      <c r="O2761" s="918" t="str">
        <f t="shared" si="280"/>
        <v>Feb</v>
      </c>
      <c r="P2761" s="921">
        <f t="shared" si="281"/>
        <v>8</v>
      </c>
    </row>
    <row r="2762" spans="1:16" ht="15" hidden="1" customHeight="1">
      <c r="A2762" s="839">
        <v>69717802</v>
      </c>
      <c r="B2762" s="839">
        <v>2904</v>
      </c>
      <c r="C2762" s="906">
        <v>3150</v>
      </c>
      <c r="D2762" s="907">
        <v>46071</v>
      </c>
      <c r="E2762" s="839" t="s">
        <v>388</v>
      </c>
      <c r="F2762" s="839" t="s">
        <v>231</v>
      </c>
      <c r="G2762" s="916">
        <f>VLOOKUP($A2762,'Tech Litons'!$A:$I,8,FALSE)</f>
        <v>4.2560000000000002E-3</v>
      </c>
      <c r="H2762" s="917">
        <f>VLOOKUP($A2762,'Tech Litons'!$A:$I,9,FALSE)</f>
        <v>143</v>
      </c>
      <c r="I2762" s="917" t="str">
        <f>VLOOKUP($A2762,'Tech Litons'!$A:$C,3,0)</f>
        <v>MG Sticks</v>
      </c>
      <c r="J2762" s="918" t="str">
        <f t="shared" si="277"/>
        <v>2904MG Sticks</v>
      </c>
      <c r="K2762" s="919">
        <v>1</v>
      </c>
      <c r="L2762" s="920">
        <f t="shared" si="276"/>
        <v>3150</v>
      </c>
      <c r="M2762" s="920">
        <f t="shared" si="278"/>
        <v>13.406400000000001</v>
      </c>
      <c r="N2762" s="920">
        <f t="shared" si="279"/>
        <v>22.027972027972027</v>
      </c>
      <c r="O2762" s="918" t="str">
        <f t="shared" si="280"/>
        <v>Feb</v>
      </c>
      <c r="P2762" s="921">
        <f t="shared" si="281"/>
        <v>8</v>
      </c>
    </row>
    <row r="2763" spans="1:16" ht="15" hidden="1" customHeight="1">
      <c r="A2763" s="839">
        <v>69717802</v>
      </c>
      <c r="B2763" s="839">
        <v>2904</v>
      </c>
      <c r="C2763" s="906">
        <v>4147</v>
      </c>
      <c r="D2763" s="907">
        <v>46072</v>
      </c>
      <c r="E2763" s="839" t="s">
        <v>388</v>
      </c>
      <c r="F2763" s="839" t="s">
        <v>231</v>
      </c>
      <c r="G2763" s="916">
        <f>VLOOKUP($A2763,'Tech Litons'!$A:$I,8,FALSE)</f>
        <v>4.2560000000000002E-3</v>
      </c>
      <c r="H2763" s="917">
        <f>VLOOKUP($A2763,'Tech Litons'!$A:$I,9,FALSE)</f>
        <v>143</v>
      </c>
      <c r="I2763" s="917" t="str">
        <f>VLOOKUP($A2763,'Tech Litons'!$A:$C,3,0)</f>
        <v>MG Sticks</v>
      </c>
      <c r="J2763" s="918" t="str">
        <f t="shared" si="277"/>
        <v>2904MG Sticks</v>
      </c>
      <c r="K2763" s="919">
        <v>1</v>
      </c>
      <c r="L2763" s="920">
        <f t="shared" si="276"/>
        <v>4147</v>
      </c>
      <c r="M2763" s="920">
        <f t="shared" si="278"/>
        <v>17.649632</v>
      </c>
      <c r="N2763" s="920">
        <f t="shared" si="279"/>
        <v>29</v>
      </c>
      <c r="O2763" s="918" t="str">
        <f t="shared" si="280"/>
        <v>Feb</v>
      </c>
      <c r="P2763" s="921">
        <f t="shared" si="281"/>
        <v>8</v>
      </c>
    </row>
    <row r="2764" spans="1:16" ht="15" hidden="1" customHeight="1">
      <c r="A2764" s="839">
        <v>69717802</v>
      </c>
      <c r="B2764" s="839">
        <v>2904</v>
      </c>
      <c r="C2764" s="906">
        <v>4719</v>
      </c>
      <c r="D2764" s="907">
        <v>46072</v>
      </c>
      <c r="E2764" s="839" t="s">
        <v>388</v>
      </c>
      <c r="F2764" s="839" t="s">
        <v>231</v>
      </c>
      <c r="G2764" s="916">
        <f>VLOOKUP($A2764,'Tech Litons'!$A:$I,8,FALSE)</f>
        <v>4.2560000000000002E-3</v>
      </c>
      <c r="H2764" s="917">
        <f>VLOOKUP($A2764,'Tech Litons'!$A:$I,9,FALSE)</f>
        <v>143</v>
      </c>
      <c r="I2764" s="917" t="str">
        <f>VLOOKUP($A2764,'Tech Litons'!$A:$C,3,0)</f>
        <v>MG Sticks</v>
      </c>
      <c r="J2764" s="918" t="str">
        <f t="shared" si="277"/>
        <v>2904MG Sticks</v>
      </c>
      <c r="K2764" s="919">
        <v>1</v>
      </c>
      <c r="L2764" s="920">
        <f t="shared" si="276"/>
        <v>4719</v>
      </c>
      <c r="M2764" s="920">
        <f t="shared" si="278"/>
        <v>20.084064000000001</v>
      </c>
      <c r="N2764" s="920">
        <f t="shared" si="279"/>
        <v>33</v>
      </c>
      <c r="O2764" s="918" t="str">
        <f t="shared" si="280"/>
        <v>Feb</v>
      </c>
      <c r="P2764" s="921">
        <f t="shared" si="281"/>
        <v>8</v>
      </c>
    </row>
    <row r="2765" spans="1:16" ht="15" hidden="1" customHeight="1">
      <c r="A2765" s="839">
        <v>69717802</v>
      </c>
      <c r="B2765" s="839">
        <v>2904</v>
      </c>
      <c r="C2765" s="906">
        <v>4862</v>
      </c>
      <c r="D2765" s="907">
        <v>46073</v>
      </c>
      <c r="E2765" s="839" t="s">
        <v>388</v>
      </c>
      <c r="F2765" s="839" t="s">
        <v>231</v>
      </c>
      <c r="G2765" s="916">
        <f>VLOOKUP($A2765,'Tech Litons'!$A:$I,8,FALSE)</f>
        <v>4.2560000000000002E-3</v>
      </c>
      <c r="H2765" s="917">
        <f>VLOOKUP($A2765,'Tech Litons'!$A:$I,9,FALSE)</f>
        <v>143</v>
      </c>
      <c r="I2765" s="917" t="str">
        <f>VLOOKUP($A2765,'Tech Litons'!$A:$C,3,0)</f>
        <v>MG Sticks</v>
      </c>
      <c r="J2765" s="918" t="str">
        <f t="shared" si="277"/>
        <v>2904MG Sticks</v>
      </c>
      <c r="K2765" s="919">
        <v>1</v>
      </c>
      <c r="L2765" s="920">
        <f t="shared" si="276"/>
        <v>4862</v>
      </c>
      <c r="M2765" s="920">
        <f t="shared" si="278"/>
        <v>20.692672000000002</v>
      </c>
      <c r="N2765" s="920">
        <f t="shared" si="279"/>
        <v>34</v>
      </c>
      <c r="O2765" s="918" t="str">
        <f t="shared" si="280"/>
        <v>Feb</v>
      </c>
      <c r="P2765" s="921">
        <f t="shared" si="281"/>
        <v>8</v>
      </c>
    </row>
    <row r="2766" spans="1:16" ht="15" hidden="1" customHeight="1">
      <c r="A2766" s="839">
        <v>69717802</v>
      </c>
      <c r="B2766" s="839">
        <v>2904</v>
      </c>
      <c r="C2766" s="906">
        <v>5005</v>
      </c>
      <c r="D2766" s="907">
        <v>46073</v>
      </c>
      <c r="E2766" s="839" t="s">
        <v>388</v>
      </c>
      <c r="F2766" s="839" t="s">
        <v>231</v>
      </c>
      <c r="G2766" s="916">
        <f>VLOOKUP($A2766,'Tech Litons'!$A:$I,8,FALSE)</f>
        <v>4.2560000000000002E-3</v>
      </c>
      <c r="H2766" s="917">
        <f>VLOOKUP($A2766,'Tech Litons'!$A:$I,9,FALSE)</f>
        <v>143</v>
      </c>
      <c r="I2766" s="917" t="str">
        <f>VLOOKUP($A2766,'Tech Litons'!$A:$C,3,0)</f>
        <v>MG Sticks</v>
      </c>
      <c r="J2766" s="918" t="str">
        <f t="shared" si="277"/>
        <v>2904MG Sticks</v>
      </c>
      <c r="K2766" s="919">
        <v>1</v>
      </c>
      <c r="L2766" s="920">
        <f t="shared" si="276"/>
        <v>5005</v>
      </c>
      <c r="M2766" s="920">
        <f t="shared" si="278"/>
        <v>21.301280000000002</v>
      </c>
      <c r="N2766" s="920">
        <f t="shared" si="279"/>
        <v>35</v>
      </c>
      <c r="O2766" s="918" t="str">
        <f t="shared" si="280"/>
        <v>Feb</v>
      </c>
      <c r="P2766" s="921">
        <f t="shared" si="281"/>
        <v>8</v>
      </c>
    </row>
    <row r="2767" spans="1:16" ht="15" hidden="1" customHeight="1">
      <c r="A2767" s="839">
        <v>69717802</v>
      </c>
      <c r="B2767" s="839">
        <v>2904</v>
      </c>
      <c r="C2767" s="906">
        <v>2027</v>
      </c>
      <c r="D2767" s="907">
        <v>46074</v>
      </c>
      <c r="E2767" s="839" t="s">
        <v>388</v>
      </c>
      <c r="F2767" s="839" t="s">
        <v>231</v>
      </c>
      <c r="G2767" s="916">
        <f>VLOOKUP($A2767,'Tech Litons'!$A:$I,8,FALSE)</f>
        <v>4.2560000000000002E-3</v>
      </c>
      <c r="H2767" s="917">
        <f>VLOOKUP($A2767,'Tech Litons'!$A:$I,9,FALSE)</f>
        <v>143</v>
      </c>
      <c r="I2767" s="917" t="str">
        <f>VLOOKUP($A2767,'Tech Litons'!$A:$C,3,0)</f>
        <v>MG Sticks</v>
      </c>
      <c r="J2767" s="918" t="str">
        <f t="shared" si="277"/>
        <v>2904MG Sticks</v>
      </c>
      <c r="K2767" s="919">
        <v>1</v>
      </c>
      <c r="L2767" s="920">
        <f t="shared" si="276"/>
        <v>2027</v>
      </c>
      <c r="M2767" s="920">
        <f t="shared" si="278"/>
        <v>8.6269120000000008</v>
      </c>
      <c r="N2767" s="920">
        <f t="shared" si="279"/>
        <v>14.174825174825175</v>
      </c>
      <c r="O2767" s="918" t="str">
        <f t="shared" si="280"/>
        <v>Feb</v>
      </c>
      <c r="P2767" s="921">
        <f t="shared" si="281"/>
        <v>8</v>
      </c>
    </row>
    <row r="2768" spans="1:16" ht="15" hidden="1" customHeight="1">
      <c r="A2768" s="839">
        <v>69717802</v>
      </c>
      <c r="B2768" s="839">
        <v>2904</v>
      </c>
      <c r="C2768" s="906">
        <v>4862</v>
      </c>
      <c r="D2768" s="907">
        <v>46074</v>
      </c>
      <c r="E2768" s="839" t="s">
        <v>388</v>
      </c>
      <c r="F2768" s="839" t="s">
        <v>231</v>
      </c>
      <c r="G2768" s="916">
        <f>VLOOKUP($A2768,'Tech Litons'!$A:$I,8,FALSE)</f>
        <v>4.2560000000000002E-3</v>
      </c>
      <c r="H2768" s="917">
        <f>VLOOKUP($A2768,'Tech Litons'!$A:$I,9,FALSE)</f>
        <v>143</v>
      </c>
      <c r="I2768" s="917" t="str">
        <f>VLOOKUP($A2768,'Tech Litons'!$A:$C,3,0)</f>
        <v>MG Sticks</v>
      </c>
      <c r="J2768" s="918" t="str">
        <f t="shared" si="277"/>
        <v>2904MG Sticks</v>
      </c>
      <c r="K2768" s="919">
        <v>1</v>
      </c>
      <c r="L2768" s="920">
        <f t="shared" si="276"/>
        <v>4862</v>
      </c>
      <c r="M2768" s="920">
        <f t="shared" si="278"/>
        <v>20.692672000000002</v>
      </c>
      <c r="N2768" s="920">
        <f t="shared" si="279"/>
        <v>34</v>
      </c>
      <c r="O2768" s="918" t="str">
        <f t="shared" si="280"/>
        <v>Feb</v>
      </c>
      <c r="P2768" s="921">
        <f t="shared" si="281"/>
        <v>8</v>
      </c>
    </row>
    <row r="2769" spans="1:16" ht="15" hidden="1" customHeight="1">
      <c r="A2769" s="839">
        <v>69717802</v>
      </c>
      <c r="B2769" s="839">
        <v>2904</v>
      </c>
      <c r="C2769" s="906">
        <v>3409</v>
      </c>
      <c r="D2769" s="907">
        <v>46075</v>
      </c>
      <c r="E2769" s="839" t="s">
        <v>388</v>
      </c>
      <c r="F2769" s="839" t="s">
        <v>231</v>
      </c>
      <c r="G2769" s="916">
        <f>VLOOKUP($A2769,'Tech Litons'!$A:$I,8,FALSE)</f>
        <v>4.2560000000000002E-3</v>
      </c>
      <c r="H2769" s="917">
        <f>VLOOKUP($A2769,'Tech Litons'!$A:$I,9,FALSE)</f>
        <v>143</v>
      </c>
      <c r="I2769" s="917" t="str">
        <f>VLOOKUP($A2769,'Tech Litons'!$A:$C,3,0)</f>
        <v>MG Sticks</v>
      </c>
      <c r="J2769" s="918" t="str">
        <f t="shared" si="277"/>
        <v>2904MG Sticks</v>
      </c>
      <c r="K2769" s="919">
        <v>1</v>
      </c>
      <c r="L2769" s="920">
        <f t="shared" si="276"/>
        <v>3409</v>
      </c>
      <c r="M2769" s="920">
        <f t="shared" si="278"/>
        <v>14.508704000000002</v>
      </c>
      <c r="N2769" s="920">
        <f t="shared" si="279"/>
        <v>23.83916083916084</v>
      </c>
      <c r="O2769" s="918" t="str">
        <f t="shared" si="280"/>
        <v>Feb</v>
      </c>
      <c r="P2769" s="921">
        <f t="shared" si="281"/>
        <v>9</v>
      </c>
    </row>
    <row r="2770" spans="1:16" ht="15" hidden="1" customHeight="1">
      <c r="A2770" s="839">
        <v>69717802</v>
      </c>
      <c r="B2770" s="839">
        <v>2904</v>
      </c>
      <c r="C2770" s="906">
        <v>4576</v>
      </c>
      <c r="D2770" s="907">
        <v>46075</v>
      </c>
      <c r="E2770" s="839" t="s">
        <v>388</v>
      </c>
      <c r="F2770" s="839" t="s">
        <v>231</v>
      </c>
      <c r="G2770" s="916">
        <f>VLOOKUP($A2770,'Tech Litons'!$A:$I,8,FALSE)</f>
        <v>4.2560000000000002E-3</v>
      </c>
      <c r="H2770" s="917">
        <f>VLOOKUP($A2770,'Tech Litons'!$A:$I,9,FALSE)</f>
        <v>143</v>
      </c>
      <c r="I2770" s="917" t="str">
        <f>VLOOKUP($A2770,'Tech Litons'!$A:$C,3,0)</f>
        <v>MG Sticks</v>
      </c>
      <c r="J2770" s="918" t="str">
        <f t="shared" si="277"/>
        <v>2904MG Sticks</v>
      </c>
      <c r="K2770" s="919">
        <v>1</v>
      </c>
      <c r="L2770" s="920">
        <f t="shared" si="276"/>
        <v>4576</v>
      </c>
      <c r="M2770" s="920">
        <f t="shared" si="278"/>
        <v>19.475456000000001</v>
      </c>
      <c r="N2770" s="920">
        <f t="shared" si="279"/>
        <v>32</v>
      </c>
      <c r="O2770" s="918" t="str">
        <f t="shared" si="280"/>
        <v>Feb</v>
      </c>
      <c r="P2770" s="921">
        <f t="shared" si="281"/>
        <v>9</v>
      </c>
    </row>
    <row r="2771" spans="1:16" ht="15" hidden="1" customHeight="1">
      <c r="A2771" s="839">
        <v>69983234</v>
      </c>
      <c r="B2771" s="839">
        <v>2904</v>
      </c>
      <c r="C2771" s="906">
        <v>308</v>
      </c>
      <c r="D2771" s="907">
        <v>46069</v>
      </c>
      <c r="E2771" s="839" t="s">
        <v>412</v>
      </c>
      <c r="F2771" s="839" t="s">
        <v>295</v>
      </c>
      <c r="G2771" s="916">
        <f>VLOOKUP($A2771,'Tech Litons'!$A:$I,8,FALSE)</f>
        <v>3.9039999999999999E-3</v>
      </c>
      <c r="H2771" s="917">
        <f>VLOOKUP($A2771,'Tech Litons'!$A:$I,9,FALSE)</f>
        <v>154</v>
      </c>
      <c r="I2771" s="917" t="str">
        <f>VLOOKUP($A2771,'Tech Litons'!$A:$C,3,0)</f>
        <v>MBG</v>
      </c>
      <c r="J2771" s="918" t="str">
        <f t="shared" si="277"/>
        <v>2904MBG</v>
      </c>
      <c r="K2771" s="919">
        <v>1</v>
      </c>
      <c r="L2771" s="920">
        <f t="shared" si="276"/>
        <v>308</v>
      </c>
      <c r="M2771" s="920">
        <f t="shared" si="278"/>
        <v>1.2024319999999999</v>
      </c>
      <c r="N2771" s="920">
        <f t="shared" si="279"/>
        <v>2</v>
      </c>
      <c r="O2771" s="918" t="str">
        <f t="shared" si="280"/>
        <v>Feb</v>
      </c>
      <c r="P2771" s="921">
        <f t="shared" si="281"/>
        <v>8</v>
      </c>
    </row>
    <row r="2772" spans="1:16" ht="15" hidden="1" customHeight="1">
      <c r="A2772" s="839">
        <v>69983234</v>
      </c>
      <c r="B2772" s="839">
        <v>2904</v>
      </c>
      <c r="C2772" s="906">
        <v>265</v>
      </c>
      <c r="D2772" s="907">
        <v>46070</v>
      </c>
      <c r="E2772" s="839" t="s">
        <v>412</v>
      </c>
      <c r="F2772" s="839" t="s">
        <v>295</v>
      </c>
      <c r="G2772" s="916">
        <f>VLOOKUP($A2772,'Tech Litons'!$A:$I,8,FALSE)</f>
        <v>3.9039999999999999E-3</v>
      </c>
      <c r="H2772" s="917">
        <f>VLOOKUP($A2772,'Tech Litons'!$A:$I,9,FALSE)</f>
        <v>154</v>
      </c>
      <c r="I2772" s="917" t="str">
        <f>VLOOKUP($A2772,'Tech Litons'!$A:$C,3,0)</f>
        <v>MBG</v>
      </c>
      <c r="J2772" s="918" t="str">
        <f t="shared" si="277"/>
        <v>2904MBG</v>
      </c>
      <c r="K2772" s="919">
        <v>1</v>
      </c>
      <c r="L2772" s="920">
        <f t="shared" si="276"/>
        <v>265</v>
      </c>
      <c r="M2772" s="920">
        <f t="shared" si="278"/>
        <v>1.0345599999999999</v>
      </c>
      <c r="N2772" s="920">
        <f t="shared" si="279"/>
        <v>1.7207792207792207</v>
      </c>
      <c r="O2772" s="918" t="str">
        <f t="shared" si="280"/>
        <v>Feb</v>
      </c>
      <c r="P2772" s="921">
        <f t="shared" si="281"/>
        <v>8</v>
      </c>
    </row>
    <row r="2773" spans="1:16" ht="15" hidden="1" customHeight="1">
      <c r="A2773" s="839">
        <v>69983234</v>
      </c>
      <c r="B2773" s="839">
        <v>2904</v>
      </c>
      <c r="C2773" s="906">
        <v>354</v>
      </c>
      <c r="D2773" s="907">
        <v>46070</v>
      </c>
      <c r="E2773" s="839" t="s">
        <v>412</v>
      </c>
      <c r="F2773" s="839" t="s">
        <v>295</v>
      </c>
      <c r="G2773" s="916">
        <f>VLOOKUP($A2773,'Tech Litons'!$A:$I,8,FALSE)</f>
        <v>3.9039999999999999E-3</v>
      </c>
      <c r="H2773" s="917">
        <f>VLOOKUP($A2773,'Tech Litons'!$A:$I,9,FALSE)</f>
        <v>154</v>
      </c>
      <c r="I2773" s="917" t="str">
        <f>VLOOKUP($A2773,'Tech Litons'!$A:$C,3,0)</f>
        <v>MBG</v>
      </c>
      <c r="J2773" s="918" t="str">
        <f t="shared" si="277"/>
        <v>2904MBG</v>
      </c>
      <c r="K2773" s="919">
        <v>1</v>
      </c>
      <c r="L2773" s="920">
        <f t="shared" si="276"/>
        <v>354</v>
      </c>
      <c r="M2773" s="920">
        <f t="shared" si="278"/>
        <v>1.3820159999999999</v>
      </c>
      <c r="N2773" s="920">
        <f t="shared" si="279"/>
        <v>2.2987012987012987</v>
      </c>
      <c r="O2773" s="918" t="str">
        <f t="shared" si="280"/>
        <v>Feb</v>
      </c>
      <c r="P2773" s="921">
        <f t="shared" si="281"/>
        <v>8</v>
      </c>
    </row>
    <row r="2774" spans="1:16" ht="15" hidden="1" customHeight="1">
      <c r="A2774" s="839">
        <v>69983234</v>
      </c>
      <c r="B2774" s="839">
        <v>2904</v>
      </c>
      <c r="C2774" s="906">
        <v>1522</v>
      </c>
      <c r="D2774" s="907">
        <v>46071</v>
      </c>
      <c r="E2774" s="839" t="s">
        <v>412</v>
      </c>
      <c r="F2774" s="839" t="s">
        <v>295</v>
      </c>
      <c r="G2774" s="916">
        <f>VLOOKUP($A2774,'Tech Litons'!$A:$I,8,FALSE)</f>
        <v>3.9039999999999999E-3</v>
      </c>
      <c r="H2774" s="917">
        <f>VLOOKUP($A2774,'Tech Litons'!$A:$I,9,FALSE)</f>
        <v>154</v>
      </c>
      <c r="I2774" s="917" t="str">
        <f>VLOOKUP($A2774,'Tech Litons'!$A:$C,3,0)</f>
        <v>MBG</v>
      </c>
      <c r="J2774" s="918" t="str">
        <f t="shared" si="277"/>
        <v>2904MBG</v>
      </c>
      <c r="K2774" s="919">
        <v>1</v>
      </c>
      <c r="L2774" s="920">
        <f t="shared" si="276"/>
        <v>1522</v>
      </c>
      <c r="M2774" s="920">
        <f t="shared" si="278"/>
        <v>5.9418879999999996</v>
      </c>
      <c r="N2774" s="920">
        <f t="shared" si="279"/>
        <v>9.8831168831168839</v>
      </c>
      <c r="O2774" s="918" t="str">
        <f t="shared" si="280"/>
        <v>Feb</v>
      </c>
      <c r="P2774" s="921">
        <f t="shared" si="281"/>
        <v>8</v>
      </c>
    </row>
    <row r="2775" spans="1:16" ht="15" hidden="1" customHeight="1">
      <c r="A2775" s="839">
        <v>69983234</v>
      </c>
      <c r="B2775" s="839">
        <v>2904</v>
      </c>
      <c r="C2775" s="906">
        <v>2031</v>
      </c>
      <c r="D2775" s="907">
        <v>46071</v>
      </c>
      <c r="E2775" s="839" t="s">
        <v>412</v>
      </c>
      <c r="F2775" s="839" t="s">
        <v>295</v>
      </c>
      <c r="G2775" s="916">
        <f>VLOOKUP($A2775,'Tech Litons'!$A:$I,8,FALSE)</f>
        <v>3.9039999999999999E-3</v>
      </c>
      <c r="H2775" s="917">
        <f>VLOOKUP($A2775,'Tech Litons'!$A:$I,9,FALSE)</f>
        <v>154</v>
      </c>
      <c r="I2775" s="917" t="str">
        <f>VLOOKUP($A2775,'Tech Litons'!$A:$C,3,0)</f>
        <v>MBG</v>
      </c>
      <c r="J2775" s="918" t="str">
        <f t="shared" si="277"/>
        <v>2904MBG</v>
      </c>
      <c r="K2775" s="919">
        <v>1</v>
      </c>
      <c r="L2775" s="920">
        <f t="shared" si="276"/>
        <v>2031</v>
      </c>
      <c r="M2775" s="920">
        <f t="shared" si="278"/>
        <v>7.9290240000000001</v>
      </c>
      <c r="N2775" s="920">
        <f t="shared" si="279"/>
        <v>13.188311688311689</v>
      </c>
      <c r="O2775" s="918" t="str">
        <f t="shared" si="280"/>
        <v>Feb</v>
      </c>
      <c r="P2775" s="921">
        <f t="shared" si="281"/>
        <v>8</v>
      </c>
    </row>
    <row r="2776" spans="1:16" ht="15" hidden="1" customHeight="1">
      <c r="A2776" s="839">
        <v>69983234</v>
      </c>
      <c r="B2776" s="839">
        <v>2904</v>
      </c>
      <c r="C2776" s="906">
        <v>1987</v>
      </c>
      <c r="D2776" s="907">
        <v>46072</v>
      </c>
      <c r="E2776" s="839" t="s">
        <v>412</v>
      </c>
      <c r="F2776" s="839" t="s">
        <v>295</v>
      </c>
      <c r="G2776" s="916">
        <f>VLOOKUP($A2776,'Tech Litons'!$A:$I,8,FALSE)</f>
        <v>3.9039999999999999E-3</v>
      </c>
      <c r="H2776" s="917">
        <f>VLOOKUP($A2776,'Tech Litons'!$A:$I,9,FALSE)</f>
        <v>154</v>
      </c>
      <c r="I2776" s="917" t="str">
        <f>VLOOKUP($A2776,'Tech Litons'!$A:$C,3,0)</f>
        <v>MBG</v>
      </c>
      <c r="J2776" s="918" t="str">
        <f t="shared" si="277"/>
        <v>2904MBG</v>
      </c>
      <c r="K2776" s="919">
        <v>1</v>
      </c>
      <c r="L2776" s="920">
        <f t="shared" si="276"/>
        <v>1987</v>
      </c>
      <c r="M2776" s="920">
        <f t="shared" si="278"/>
        <v>7.7572479999999997</v>
      </c>
      <c r="N2776" s="920">
        <f t="shared" si="279"/>
        <v>12.902597402597403</v>
      </c>
      <c r="O2776" s="918" t="str">
        <f t="shared" si="280"/>
        <v>Feb</v>
      </c>
      <c r="P2776" s="921">
        <f t="shared" si="281"/>
        <v>8</v>
      </c>
    </row>
    <row r="2777" spans="1:16" ht="15" hidden="1" customHeight="1">
      <c r="A2777" s="839">
        <v>69983234</v>
      </c>
      <c r="B2777" s="839">
        <v>2904</v>
      </c>
      <c r="C2777" s="906">
        <v>2092</v>
      </c>
      <c r="D2777" s="907">
        <v>46072</v>
      </c>
      <c r="E2777" s="839" t="s">
        <v>412</v>
      </c>
      <c r="F2777" s="839" t="s">
        <v>295</v>
      </c>
      <c r="G2777" s="916">
        <f>VLOOKUP($A2777,'Tech Litons'!$A:$I,8,FALSE)</f>
        <v>3.9039999999999999E-3</v>
      </c>
      <c r="H2777" s="917">
        <f>VLOOKUP($A2777,'Tech Litons'!$A:$I,9,FALSE)</f>
        <v>154</v>
      </c>
      <c r="I2777" s="917" t="str">
        <f>VLOOKUP($A2777,'Tech Litons'!$A:$C,3,0)</f>
        <v>MBG</v>
      </c>
      <c r="J2777" s="918" t="str">
        <f t="shared" si="277"/>
        <v>2904MBG</v>
      </c>
      <c r="K2777" s="919">
        <v>1</v>
      </c>
      <c r="L2777" s="920">
        <f t="shared" si="276"/>
        <v>2092</v>
      </c>
      <c r="M2777" s="920">
        <f t="shared" si="278"/>
        <v>8.1671680000000002</v>
      </c>
      <c r="N2777" s="920">
        <f t="shared" si="279"/>
        <v>13.584415584415584</v>
      </c>
      <c r="O2777" s="918" t="str">
        <f t="shared" si="280"/>
        <v>Feb</v>
      </c>
      <c r="P2777" s="921">
        <f t="shared" si="281"/>
        <v>8</v>
      </c>
    </row>
    <row r="2778" spans="1:16" ht="15" hidden="1" customHeight="1">
      <c r="A2778" s="839">
        <v>69983234</v>
      </c>
      <c r="B2778" s="839">
        <v>2904</v>
      </c>
      <c r="C2778" s="906">
        <v>2057</v>
      </c>
      <c r="D2778" s="907">
        <v>46073</v>
      </c>
      <c r="E2778" s="839" t="s">
        <v>412</v>
      </c>
      <c r="F2778" s="839" t="s">
        <v>295</v>
      </c>
      <c r="G2778" s="916">
        <f>VLOOKUP($A2778,'Tech Litons'!$A:$I,8,FALSE)</f>
        <v>3.9039999999999999E-3</v>
      </c>
      <c r="H2778" s="917">
        <f>VLOOKUP($A2778,'Tech Litons'!$A:$I,9,FALSE)</f>
        <v>154</v>
      </c>
      <c r="I2778" s="917" t="str">
        <f>VLOOKUP($A2778,'Tech Litons'!$A:$C,3,0)</f>
        <v>MBG</v>
      </c>
      <c r="J2778" s="918" t="str">
        <f t="shared" si="277"/>
        <v>2904MBG</v>
      </c>
      <c r="K2778" s="919">
        <v>1</v>
      </c>
      <c r="L2778" s="920">
        <f t="shared" si="276"/>
        <v>2057</v>
      </c>
      <c r="M2778" s="920">
        <f t="shared" si="278"/>
        <v>8.0305280000000003</v>
      </c>
      <c r="N2778" s="920">
        <f t="shared" si="279"/>
        <v>13.357142857142858</v>
      </c>
      <c r="O2778" s="918" t="str">
        <f t="shared" si="280"/>
        <v>Feb</v>
      </c>
      <c r="P2778" s="921">
        <f t="shared" si="281"/>
        <v>8</v>
      </c>
    </row>
    <row r="2779" spans="1:16" ht="15" hidden="1" customHeight="1">
      <c r="A2779" s="839">
        <v>69983234</v>
      </c>
      <c r="B2779" s="839">
        <v>2904</v>
      </c>
      <c r="C2779" s="906">
        <v>2410</v>
      </c>
      <c r="D2779" s="907">
        <v>46073</v>
      </c>
      <c r="E2779" s="839" t="s">
        <v>412</v>
      </c>
      <c r="F2779" s="839" t="s">
        <v>295</v>
      </c>
      <c r="G2779" s="916">
        <f>VLOOKUP($A2779,'Tech Litons'!$A:$I,8,FALSE)</f>
        <v>3.9039999999999999E-3</v>
      </c>
      <c r="H2779" s="917">
        <f>VLOOKUP($A2779,'Tech Litons'!$A:$I,9,FALSE)</f>
        <v>154</v>
      </c>
      <c r="I2779" s="917" t="str">
        <f>VLOOKUP($A2779,'Tech Litons'!$A:$C,3,0)</f>
        <v>MBG</v>
      </c>
      <c r="J2779" s="918" t="str">
        <f t="shared" si="277"/>
        <v>2904MBG</v>
      </c>
      <c r="K2779" s="919">
        <v>1</v>
      </c>
      <c r="L2779" s="920">
        <f t="shared" si="276"/>
        <v>2410</v>
      </c>
      <c r="M2779" s="920">
        <f t="shared" si="278"/>
        <v>9.4086400000000001</v>
      </c>
      <c r="N2779" s="920">
        <f t="shared" si="279"/>
        <v>15.64935064935065</v>
      </c>
      <c r="O2779" s="918" t="str">
        <f t="shared" si="280"/>
        <v>Feb</v>
      </c>
      <c r="P2779" s="921">
        <f t="shared" si="281"/>
        <v>8</v>
      </c>
    </row>
    <row r="2780" spans="1:16" ht="15" hidden="1" customHeight="1">
      <c r="A2780" s="839">
        <v>69983234</v>
      </c>
      <c r="B2780" s="839">
        <v>2904</v>
      </c>
      <c r="C2780" s="906">
        <v>1337</v>
      </c>
      <c r="D2780" s="907">
        <v>46074</v>
      </c>
      <c r="E2780" s="839" t="s">
        <v>412</v>
      </c>
      <c r="F2780" s="839" t="s">
        <v>295</v>
      </c>
      <c r="G2780" s="916">
        <f>VLOOKUP($A2780,'Tech Litons'!$A:$I,8,FALSE)</f>
        <v>3.9039999999999999E-3</v>
      </c>
      <c r="H2780" s="917">
        <f>VLOOKUP($A2780,'Tech Litons'!$A:$I,9,FALSE)</f>
        <v>154</v>
      </c>
      <c r="I2780" s="917" t="str">
        <f>VLOOKUP($A2780,'Tech Litons'!$A:$C,3,0)</f>
        <v>MBG</v>
      </c>
      <c r="J2780" s="918" t="str">
        <f t="shared" si="277"/>
        <v>2904MBG</v>
      </c>
      <c r="K2780" s="919">
        <v>1</v>
      </c>
      <c r="L2780" s="920">
        <f t="shared" si="276"/>
        <v>1337</v>
      </c>
      <c r="M2780" s="920">
        <f t="shared" si="278"/>
        <v>5.2196480000000003</v>
      </c>
      <c r="N2780" s="920">
        <f t="shared" si="279"/>
        <v>8.6818181818181817</v>
      </c>
      <c r="O2780" s="918" t="str">
        <f t="shared" si="280"/>
        <v>Feb</v>
      </c>
      <c r="P2780" s="921">
        <f t="shared" si="281"/>
        <v>8</v>
      </c>
    </row>
    <row r="2781" spans="1:16" ht="15" hidden="1" customHeight="1">
      <c r="A2781" s="839">
        <v>69999267</v>
      </c>
      <c r="B2781" s="839">
        <v>2904</v>
      </c>
      <c r="C2781" s="906">
        <v>9164</v>
      </c>
      <c r="D2781" s="907">
        <v>46071</v>
      </c>
      <c r="E2781" s="839" t="s">
        <v>335</v>
      </c>
      <c r="F2781" s="839" t="s">
        <v>299</v>
      </c>
      <c r="G2781" s="916">
        <f>VLOOKUP($A2781,'Tech Litons'!$A:$I,8,FALSE)</f>
        <v>3.7839999999999996E-3</v>
      </c>
      <c r="H2781" s="917">
        <f>VLOOKUP($A2781,'Tech Litons'!$A:$I,9,FALSE)</f>
        <v>240</v>
      </c>
      <c r="I2781" s="917" t="str">
        <f>VLOOKUP($A2781,'Tech Litons'!$A:$C,3,0)</f>
        <v>BJ PTS</v>
      </c>
      <c r="J2781" s="918" t="str">
        <f t="shared" si="277"/>
        <v>2904BJ PTS</v>
      </c>
      <c r="K2781" s="919">
        <v>1</v>
      </c>
      <c r="L2781" s="920">
        <f t="shared" si="276"/>
        <v>9164</v>
      </c>
      <c r="M2781" s="920">
        <f t="shared" si="278"/>
        <v>34.676575999999997</v>
      </c>
      <c r="N2781" s="920">
        <f t="shared" si="279"/>
        <v>38.18333333333333</v>
      </c>
      <c r="O2781" s="918" t="str">
        <f t="shared" si="280"/>
        <v>Feb</v>
      </c>
      <c r="P2781" s="921">
        <f t="shared" si="281"/>
        <v>8</v>
      </c>
    </row>
    <row r="2782" spans="1:16" ht="15" hidden="1" customHeight="1">
      <c r="A2782" s="839">
        <v>69999267</v>
      </c>
      <c r="B2782" s="839">
        <v>2904</v>
      </c>
      <c r="C2782" s="906">
        <v>10670</v>
      </c>
      <c r="D2782" s="907">
        <v>46072</v>
      </c>
      <c r="E2782" s="839" t="s">
        <v>335</v>
      </c>
      <c r="F2782" s="839" t="s">
        <v>299</v>
      </c>
      <c r="G2782" s="916">
        <f>VLOOKUP($A2782,'Tech Litons'!$A:$I,8,FALSE)</f>
        <v>3.7839999999999996E-3</v>
      </c>
      <c r="H2782" s="917">
        <f>VLOOKUP($A2782,'Tech Litons'!$A:$I,9,FALSE)</f>
        <v>240</v>
      </c>
      <c r="I2782" s="917" t="str">
        <f>VLOOKUP($A2782,'Tech Litons'!$A:$C,3,0)</f>
        <v>BJ PTS</v>
      </c>
      <c r="J2782" s="918" t="str">
        <f t="shared" si="277"/>
        <v>2904BJ PTS</v>
      </c>
      <c r="K2782" s="919">
        <v>1</v>
      </c>
      <c r="L2782" s="920">
        <f t="shared" si="276"/>
        <v>10670</v>
      </c>
      <c r="M2782" s="920">
        <f t="shared" si="278"/>
        <v>40.375279999999997</v>
      </c>
      <c r="N2782" s="920">
        <f t="shared" si="279"/>
        <v>44.458333333333336</v>
      </c>
      <c r="O2782" s="918" t="str">
        <f t="shared" si="280"/>
        <v>Feb</v>
      </c>
      <c r="P2782" s="921">
        <f t="shared" si="281"/>
        <v>8</v>
      </c>
    </row>
    <row r="2783" spans="1:16" ht="15" hidden="1" customHeight="1">
      <c r="A2783" s="839">
        <v>69999267</v>
      </c>
      <c r="B2783" s="839">
        <v>2904</v>
      </c>
      <c r="C2783" s="906">
        <v>6899</v>
      </c>
      <c r="D2783" s="907">
        <v>46072</v>
      </c>
      <c r="E2783" s="839" t="s">
        <v>335</v>
      </c>
      <c r="F2783" s="839" t="s">
        <v>299</v>
      </c>
      <c r="G2783" s="916">
        <f>VLOOKUP($A2783,'Tech Litons'!$A:$I,8,FALSE)</f>
        <v>3.7839999999999996E-3</v>
      </c>
      <c r="H2783" s="917">
        <f>VLOOKUP($A2783,'Tech Litons'!$A:$I,9,FALSE)</f>
        <v>240</v>
      </c>
      <c r="I2783" s="917" t="str">
        <f>VLOOKUP($A2783,'Tech Litons'!$A:$C,3,0)</f>
        <v>BJ PTS</v>
      </c>
      <c r="J2783" s="918" t="str">
        <f t="shared" si="277"/>
        <v>2904BJ PTS</v>
      </c>
      <c r="K2783" s="919">
        <v>1</v>
      </c>
      <c r="L2783" s="920">
        <f t="shared" si="276"/>
        <v>6899</v>
      </c>
      <c r="M2783" s="920">
        <f t="shared" si="278"/>
        <v>26.105815999999997</v>
      </c>
      <c r="N2783" s="920">
        <f t="shared" si="279"/>
        <v>28.745833333333334</v>
      </c>
      <c r="O2783" s="918" t="str">
        <f t="shared" si="280"/>
        <v>Feb</v>
      </c>
      <c r="P2783" s="921">
        <f t="shared" si="281"/>
        <v>8</v>
      </c>
    </row>
    <row r="2784" spans="1:16" ht="15" hidden="1" customHeight="1">
      <c r="A2784" s="839">
        <v>69999267</v>
      </c>
      <c r="B2784" s="839">
        <v>2904</v>
      </c>
      <c r="C2784" s="906">
        <v>7282</v>
      </c>
      <c r="D2784" s="907">
        <v>46073</v>
      </c>
      <c r="E2784" s="839" t="s">
        <v>335</v>
      </c>
      <c r="F2784" s="839" t="s">
        <v>299</v>
      </c>
      <c r="G2784" s="916">
        <f>VLOOKUP($A2784,'Tech Litons'!$A:$I,8,FALSE)</f>
        <v>3.7839999999999996E-3</v>
      </c>
      <c r="H2784" s="917">
        <f>VLOOKUP($A2784,'Tech Litons'!$A:$I,9,FALSE)</f>
        <v>240</v>
      </c>
      <c r="I2784" s="917" t="str">
        <f>VLOOKUP($A2784,'Tech Litons'!$A:$C,3,0)</f>
        <v>BJ PTS</v>
      </c>
      <c r="J2784" s="918" t="str">
        <f t="shared" si="277"/>
        <v>2904BJ PTS</v>
      </c>
      <c r="K2784" s="919">
        <v>1</v>
      </c>
      <c r="L2784" s="920">
        <f t="shared" si="276"/>
        <v>7282</v>
      </c>
      <c r="M2784" s="920">
        <f t="shared" si="278"/>
        <v>27.555087999999998</v>
      </c>
      <c r="N2784" s="920">
        <f t="shared" si="279"/>
        <v>30.341666666666665</v>
      </c>
      <c r="O2784" s="918" t="str">
        <f t="shared" si="280"/>
        <v>Feb</v>
      </c>
      <c r="P2784" s="921">
        <f t="shared" si="281"/>
        <v>8</v>
      </c>
    </row>
    <row r="2785" spans="1:16" ht="15" hidden="1" customHeight="1">
      <c r="A2785" s="839">
        <v>69999267</v>
      </c>
      <c r="B2785" s="839">
        <v>2904</v>
      </c>
      <c r="C2785" s="906">
        <v>1440</v>
      </c>
      <c r="D2785" s="907">
        <v>46071</v>
      </c>
      <c r="E2785" s="839" t="s">
        <v>335</v>
      </c>
      <c r="F2785" s="839" t="s">
        <v>299</v>
      </c>
      <c r="G2785" s="916">
        <f>VLOOKUP($A2785,'Tech Litons'!$A:$I,8,FALSE)</f>
        <v>3.7839999999999996E-3</v>
      </c>
      <c r="H2785" s="917">
        <f>VLOOKUP($A2785,'Tech Litons'!$A:$I,9,FALSE)</f>
        <v>240</v>
      </c>
      <c r="I2785" s="917" t="str">
        <f>VLOOKUP($A2785,'Tech Litons'!$A:$C,3,0)</f>
        <v>BJ PTS</v>
      </c>
      <c r="J2785" s="918" t="str">
        <f t="shared" si="277"/>
        <v>2904BJ PTS</v>
      </c>
      <c r="K2785" s="919">
        <v>1</v>
      </c>
      <c r="L2785" s="920">
        <f t="shared" si="276"/>
        <v>1440</v>
      </c>
      <c r="M2785" s="920">
        <f t="shared" si="278"/>
        <v>5.4489599999999996</v>
      </c>
      <c r="N2785" s="920">
        <f t="shared" si="279"/>
        <v>6</v>
      </c>
      <c r="O2785" s="918" t="str">
        <f t="shared" si="280"/>
        <v>Feb</v>
      </c>
      <c r="P2785" s="921">
        <f t="shared" si="281"/>
        <v>8</v>
      </c>
    </row>
    <row r="2786" spans="1:16" ht="15" hidden="1" customHeight="1">
      <c r="A2786" s="839">
        <v>84144598</v>
      </c>
      <c r="B2786" s="839">
        <v>2904</v>
      </c>
      <c r="C2786" s="906">
        <v>62</v>
      </c>
      <c r="D2786" s="907">
        <v>46057</v>
      </c>
      <c r="E2786" s="839" t="s">
        <v>364</v>
      </c>
      <c r="F2786" s="839" t="s">
        <v>299</v>
      </c>
      <c r="G2786" s="916">
        <f>VLOOKUP($A2786,'Tech Litons'!$A:$I,8,FALSE)</f>
        <v>3.7853439999999999E-3</v>
      </c>
      <c r="H2786" s="917">
        <f>VLOOKUP($A2786,'Tech Litons'!$A:$I,9,FALSE)</f>
        <v>240</v>
      </c>
      <c r="I2786" s="917" t="str">
        <f>VLOOKUP($A2786,'Tech Litons'!$A:$C,3,0)</f>
        <v>BJ PTS</v>
      </c>
      <c r="J2786" s="918" t="str">
        <f t="shared" si="277"/>
        <v>2904BJ PTS</v>
      </c>
      <c r="K2786" s="919">
        <v>1</v>
      </c>
      <c r="L2786" s="920">
        <f t="shared" si="276"/>
        <v>62</v>
      </c>
      <c r="M2786" s="920">
        <f t="shared" si="278"/>
        <v>0.234691328</v>
      </c>
      <c r="N2786" s="920">
        <f t="shared" si="279"/>
        <v>0.25833333333333336</v>
      </c>
      <c r="O2786" s="918" t="str">
        <f t="shared" si="280"/>
        <v>Feb</v>
      </c>
      <c r="P2786" s="921">
        <f t="shared" si="281"/>
        <v>6</v>
      </c>
    </row>
    <row r="2787" spans="1:16" ht="15" hidden="1" customHeight="1">
      <c r="A2787" s="839">
        <v>64874631</v>
      </c>
      <c r="B2787" s="839">
        <v>3910</v>
      </c>
      <c r="C2787" s="906">
        <v>1890</v>
      </c>
      <c r="D2787" s="907">
        <v>46062</v>
      </c>
      <c r="E2787" s="839" t="s">
        <v>554</v>
      </c>
      <c r="F2787" s="839" t="s">
        <v>1268</v>
      </c>
      <c r="G2787" s="916">
        <f>VLOOKUP($A2787,'Tech Litons'!$A:$I,8,FALSE)</f>
        <v>2.8380000000000002E-3</v>
      </c>
      <c r="H2787" s="917">
        <f>VLOOKUP($A2787,'Tech Litons'!$A:$I,9,FALSE)</f>
        <v>189</v>
      </c>
      <c r="I2787" s="917" t="str">
        <f>VLOOKUP($A2787,'Tech Litons'!$A:$C,3,0)</f>
        <v>ESS</v>
      </c>
      <c r="J2787" s="918" t="str">
        <f t="shared" si="277"/>
        <v>3910ESS</v>
      </c>
      <c r="K2787" s="919">
        <v>1</v>
      </c>
      <c r="L2787" s="920">
        <f t="shared" si="276"/>
        <v>1890</v>
      </c>
      <c r="M2787" s="920">
        <f t="shared" si="278"/>
        <v>5.3638200000000005</v>
      </c>
      <c r="N2787" s="920">
        <f t="shared" si="279"/>
        <v>10</v>
      </c>
      <c r="O2787" s="918" t="str">
        <f t="shared" si="280"/>
        <v>Feb</v>
      </c>
      <c r="P2787" s="921">
        <f t="shared" si="281"/>
        <v>7</v>
      </c>
    </row>
    <row r="2788" spans="1:16" ht="15" hidden="1" customHeight="1">
      <c r="A2788" s="839">
        <v>64874631</v>
      </c>
      <c r="B2788" s="839">
        <v>3910</v>
      </c>
      <c r="C2788" s="906">
        <v>378</v>
      </c>
      <c r="D2788" s="907">
        <v>46063</v>
      </c>
      <c r="E2788" s="839" t="s">
        <v>554</v>
      </c>
      <c r="F2788" s="839" t="s">
        <v>1268</v>
      </c>
      <c r="G2788" s="916">
        <f>VLOOKUP($A2788,'Tech Litons'!$A:$I,8,FALSE)</f>
        <v>2.8380000000000002E-3</v>
      </c>
      <c r="H2788" s="917">
        <f>VLOOKUP($A2788,'Tech Litons'!$A:$I,9,FALSE)</f>
        <v>189</v>
      </c>
      <c r="I2788" s="917" t="str">
        <f>VLOOKUP($A2788,'Tech Litons'!$A:$C,3,0)</f>
        <v>ESS</v>
      </c>
      <c r="J2788" s="918" t="str">
        <f t="shared" si="277"/>
        <v>3910ESS</v>
      </c>
      <c r="K2788" s="919">
        <v>1</v>
      </c>
      <c r="L2788" s="920">
        <f t="shared" si="276"/>
        <v>378</v>
      </c>
      <c r="M2788" s="920">
        <f t="shared" si="278"/>
        <v>1.0727640000000001</v>
      </c>
      <c r="N2788" s="920">
        <f t="shared" si="279"/>
        <v>2</v>
      </c>
      <c r="O2788" s="918" t="str">
        <f t="shared" si="280"/>
        <v>Feb</v>
      </c>
      <c r="P2788" s="921">
        <f t="shared" si="281"/>
        <v>7</v>
      </c>
    </row>
    <row r="2789" spans="1:16" ht="15" hidden="1" customHeight="1">
      <c r="A2789" s="839">
        <v>64874631</v>
      </c>
      <c r="B2789" s="839">
        <v>3910</v>
      </c>
      <c r="C2789" s="906">
        <v>3969</v>
      </c>
      <c r="D2789" s="907">
        <v>46063</v>
      </c>
      <c r="E2789" s="839" t="s">
        <v>554</v>
      </c>
      <c r="F2789" s="839" t="s">
        <v>1268</v>
      </c>
      <c r="G2789" s="916">
        <f>VLOOKUP($A2789,'Tech Litons'!$A:$I,8,FALSE)</f>
        <v>2.8380000000000002E-3</v>
      </c>
      <c r="H2789" s="917">
        <f>VLOOKUP($A2789,'Tech Litons'!$A:$I,9,FALSE)</f>
        <v>189</v>
      </c>
      <c r="I2789" s="917" t="str">
        <f>VLOOKUP($A2789,'Tech Litons'!$A:$C,3,0)</f>
        <v>ESS</v>
      </c>
      <c r="J2789" s="918" t="str">
        <f t="shared" si="277"/>
        <v>3910ESS</v>
      </c>
      <c r="K2789" s="919">
        <v>1</v>
      </c>
      <c r="L2789" s="920">
        <f t="shared" si="276"/>
        <v>3969</v>
      </c>
      <c r="M2789" s="920">
        <f t="shared" si="278"/>
        <v>11.264022000000001</v>
      </c>
      <c r="N2789" s="920">
        <f t="shared" si="279"/>
        <v>21</v>
      </c>
      <c r="O2789" s="918" t="str">
        <f t="shared" si="280"/>
        <v>Feb</v>
      </c>
      <c r="P2789" s="921">
        <f t="shared" si="281"/>
        <v>7</v>
      </c>
    </row>
    <row r="2790" spans="1:16" ht="15" hidden="1" customHeight="1">
      <c r="A2790" s="839">
        <v>64874631</v>
      </c>
      <c r="B2790" s="839">
        <v>3910</v>
      </c>
      <c r="C2790" s="906">
        <v>567</v>
      </c>
      <c r="D2790" s="907">
        <v>46064</v>
      </c>
      <c r="E2790" s="839" t="s">
        <v>554</v>
      </c>
      <c r="F2790" s="839" t="s">
        <v>1268</v>
      </c>
      <c r="G2790" s="916">
        <f>VLOOKUP($A2790,'Tech Litons'!$A:$I,8,FALSE)</f>
        <v>2.8380000000000002E-3</v>
      </c>
      <c r="H2790" s="917">
        <f>VLOOKUP($A2790,'Tech Litons'!$A:$I,9,FALSE)</f>
        <v>189</v>
      </c>
      <c r="I2790" s="917" t="str">
        <f>VLOOKUP($A2790,'Tech Litons'!$A:$C,3,0)</f>
        <v>ESS</v>
      </c>
      <c r="J2790" s="918" t="str">
        <f t="shared" si="277"/>
        <v>3910ESS</v>
      </c>
      <c r="K2790" s="919">
        <v>1</v>
      </c>
      <c r="L2790" s="920">
        <f t="shared" si="276"/>
        <v>567</v>
      </c>
      <c r="M2790" s="920">
        <f t="shared" si="278"/>
        <v>1.6091460000000002</v>
      </c>
      <c r="N2790" s="920">
        <f t="shared" si="279"/>
        <v>3</v>
      </c>
      <c r="O2790" s="918" t="str">
        <f t="shared" si="280"/>
        <v>Feb</v>
      </c>
      <c r="P2790" s="921">
        <f t="shared" si="281"/>
        <v>7</v>
      </c>
    </row>
    <row r="2791" spans="1:16" ht="15" hidden="1" customHeight="1">
      <c r="A2791" s="839">
        <v>64874631</v>
      </c>
      <c r="B2791" s="839">
        <v>3910</v>
      </c>
      <c r="C2791" s="906">
        <v>4725</v>
      </c>
      <c r="D2791" s="907">
        <v>46064</v>
      </c>
      <c r="E2791" s="839" t="s">
        <v>554</v>
      </c>
      <c r="F2791" s="839" t="s">
        <v>1268</v>
      </c>
      <c r="G2791" s="916">
        <f>VLOOKUP($A2791,'Tech Litons'!$A:$I,8,FALSE)</f>
        <v>2.8380000000000002E-3</v>
      </c>
      <c r="H2791" s="917">
        <f>VLOOKUP($A2791,'Tech Litons'!$A:$I,9,FALSE)</f>
        <v>189</v>
      </c>
      <c r="I2791" s="917" t="str">
        <f>VLOOKUP($A2791,'Tech Litons'!$A:$C,3,0)</f>
        <v>ESS</v>
      </c>
      <c r="J2791" s="918" t="str">
        <f t="shared" si="277"/>
        <v>3910ESS</v>
      </c>
      <c r="K2791" s="919">
        <v>1</v>
      </c>
      <c r="L2791" s="920">
        <f t="shared" si="276"/>
        <v>4725</v>
      </c>
      <c r="M2791" s="920">
        <f t="shared" si="278"/>
        <v>13.409550000000001</v>
      </c>
      <c r="N2791" s="920">
        <f t="shared" si="279"/>
        <v>25</v>
      </c>
      <c r="O2791" s="918" t="str">
        <f t="shared" si="280"/>
        <v>Feb</v>
      </c>
      <c r="P2791" s="921">
        <f t="shared" si="281"/>
        <v>7</v>
      </c>
    </row>
    <row r="2792" spans="1:16" ht="15" hidden="1" customHeight="1">
      <c r="A2792" s="839">
        <v>64874631</v>
      </c>
      <c r="B2792" s="839">
        <v>3910</v>
      </c>
      <c r="C2792" s="906">
        <v>1323</v>
      </c>
      <c r="D2792" s="907">
        <v>46065</v>
      </c>
      <c r="E2792" s="839" t="s">
        <v>554</v>
      </c>
      <c r="F2792" s="839" t="s">
        <v>1268</v>
      </c>
      <c r="G2792" s="916">
        <f>VLOOKUP($A2792,'Tech Litons'!$A:$I,8,FALSE)</f>
        <v>2.8380000000000002E-3</v>
      </c>
      <c r="H2792" s="917">
        <f>VLOOKUP($A2792,'Tech Litons'!$A:$I,9,FALSE)</f>
        <v>189</v>
      </c>
      <c r="I2792" s="917" t="str">
        <f>VLOOKUP($A2792,'Tech Litons'!$A:$C,3,0)</f>
        <v>ESS</v>
      </c>
      <c r="J2792" s="918" t="str">
        <f t="shared" si="277"/>
        <v>3910ESS</v>
      </c>
      <c r="K2792" s="919">
        <v>1</v>
      </c>
      <c r="L2792" s="920">
        <f t="shared" si="276"/>
        <v>1323</v>
      </c>
      <c r="M2792" s="920">
        <f t="shared" si="278"/>
        <v>3.7546740000000005</v>
      </c>
      <c r="N2792" s="920">
        <f t="shared" si="279"/>
        <v>7</v>
      </c>
      <c r="O2792" s="918" t="str">
        <f t="shared" si="280"/>
        <v>Feb</v>
      </c>
      <c r="P2792" s="921">
        <f t="shared" si="281"/>
        <v>7</v>
      </c>
    </row>
    <row r="2793" spans="1:16" ht="15" hidden="1" customHeight="1">
      <c r="A2793" s="839">
        <v>64874631</v>
      </c>
      <c r="B2793" s="839">
        <v>3910</v>
      </c>
      <c r="C2793" s="906">
        <v>2592</v>
      </c>
      <c r="D2793" s="907">
        <v>46065</v>
      </c>
      <c r="E2793" s="839" t="s">
        <v>554</v>
      </c>
      <c r="F2793" s="839" t="s">
        <v>1268</v>
      </c>
      <c r="G2793" s="916">
        <f>VLOOKUP($A2793,'Tech Litons'!$A:$I,8,FALSE)</f>
        <v>2.8380000000000002E-3</v>
      </c>
      <c r="H2793" s="917">
        <f>VLOOKUP($A2793,'Tech Litons'!$A:$I,9,FALSE)</f>
        <v>189</v>
      </c>
      <c r="I2793" s="917" t="str">
        <f>VLOOKUP($A2793,'Tech Litons'!$A:$C,3,0)</f>
        <v>ESS</v>
      </c>
      <c r="J2793" s="918" t="str">
        <f t="shared" si="277"/>
        <v>3910ESS</v>
      </c>
      <c r="K2793" s="919">
        <v>1</v>
      </c>
      <c r="L2793" s="920">
        <f t="shared" ref="L2793:L2854" si="282">C2793*$K2793</f>
        <v>2592</v>
      </c>
      <c r="M2793" s="920">
        <f t="shared" si="278"/>
        <v>7.3560960000000009</v>
      </c>
      <c r="N2793" s="920">
        <f t="shared" si="279"/>
        <v>13.714285714285714</v>
      </c>
      <c r="O2793" s="918" t="str">
        <f t="shared" si="280"/>
        <v>Feb</v>
      </c>
      <c r="P2793" s="921">
        <f t="shared" si="281"/>
        <v>7</v>
      </c>
    </row>
    <row r="2794" spans="1:16" ht="15" hidden="1" customHeight="1">
      <c r="A2794" s="839">
        <v>64874633</v>
      </c>
      <c r="B2794" s="839">
        <v>3910</v>
      </c>
      <c r="C2794" s="906">
        <v>280</v>
      </c>
      <c r="D2794" s="907">
        <v>46050</v>
      </c>
      <c r="E2794" s="839" t="s">
        <v>341</v>
      </c>
      <c r="F2794" s="839" t="s">
        <v>342</v>
      </c>
      <c r="G2794" s="916">
        <f>VLOOKUP($A2794,'Tech Litons'!$A:$I,8,FALSE)</f>
        <v>3.192E-3</v>
      </c>
      <c r="H2794" s="917">
        <f>VLOOKUP($A2794,'Tech Litons'!$A:$I,9,FALSE)</f>
        <v>280</v>
      </c>
      <c r="I2794" s="917" t="str">
        <f>VLOOKUP($A2794,'Tech Litons'!$A:$C,3,0)</f>
        <v>ESS</v>
      </c>
      <c r="J2794" s="918" t="str">
        <f t="shared" ref="J2794:J2855" si="283">B2794&amp;I2794</f>
        <v>3910ESS</v>
      </c>
      <c r="K2794" s="919">
        <v>1</v>
      </c>
      <c r="L2794" s="920">
        <f t="shared" si="282"/>
        <v>280</v>
      </c>
      <c r="M2794" s="920">
        <f t="shared" ref="M2794:M2855" si="284">L2794*G2794</f>
        <v>0.89376</v>
      </c>
      <c r="N2794" s="920">
        <f t="shared" ref="N2794:N2855" si="285">L2794/H2794</f>
        <v>1</v>
      </c>
      <c r="O2794" s="918" t="str">
        <f t="shared" ref="O2794:O2855" si="286">TEXT(D2794,"MMM")</f>
        <v>Jan</v>
      </c>
      <c r="P2794" s="921">
        <f t="shared" ref="P2794:P2855" si="287">WEEKNUM(D2794)</f>
        <v>5</v>
      </c>
    </row>
    <row r="2795" spans="1:16" ht="15" hidden="1" customHeight="1">
      <c r="A2795" s="839">
        <v>64874633</v>
      </c>
      <c r="B2795" s="839">
        <v>3910</v>
      </c>
      <c r="C2795" s="906">
        <v>4760</v>
      </c>
      <c r="D2795" s="907">
        <v>46050</v>
      </c>
      <c r="E2795" s="839" t="s">
        <v>341</v>
      </c>
      <c r="F2795" s="839" t="s">
        <v>342</v>
      </c>
      <c r="G2795" s="916">
        <f>VLOOKUP($A2795,'Tech Litons'!$A:$I,8,FALSE)</f>
        <v>3.192E-3</v>
      </c>
      <c r="H2795" s="917">
        <f>VLOOKUP($A2795,'Tech Litons'!$A:$I,9,FALSE)</f>
        <v>280</v>
      </c>
      <c r="I2795" s="917" t="str">
        <f>VLOOKUP($A2795,'Tech Litons'!$A:$C,3,0)</f>
        <v>ESS</v>
      </c>
      <c r="J2795" s="918" t="str">
        <f t="shared" si="283"/>
        <v>3910ESS</v>
      </c>
      <c r="K2795" s="919">
        <v>1</v>
      </c>
      <c r="L2795" s="920">
        <f t="shared" si="282"/>
        <v>4760</v>
      </c>
      <c r="M2795" s="920">
        <f t="shared" si="284"/>
        <v>15.19392</v>
      </c>
      <c r="N2795" s="920">
        <f t="shared" si="285"/>
        <v>17</v>
      </c>
      <c r="O2795" s="918" t="str">
        <f t="shared" si="286"/>
        <v>Jan</v>
      </c>
      <c r="P2795" s="921">
        <f t="shared" si="287"/>
        <v>5</v>
      </c>
    </row>
    <row r="2796" spans="1:16" ht="15" hidden="1" customHeight="1">
      <c r="A2796" s="839">
        <v>64874633</v>
      </c>
      <c r="B2796" s="839">
        <v>3910</v>
      </c>
      <c r="C2796" s="906">
        <v>839</v>
      </c>
      <c r="D2796" s="907">
        <v>46051</v>
      </c>
      <c r="E2796" s="839" t="s">
        <v>341</v>
      </c>
      <c r="F2796" s="839" t="s">
        <v>342</v>
      </c>
      <c r="G2796" s="916">
        <f>VLOOKUP($A2796,'Tech Litons'!$A:$I,8,FALSE)</f>
        <v>3.192E-3</v>
      </c>
      <c r="H2796" s="917">
        <f>VLOOKUP($A2796,'Tech Litons'!$A:$I,9,FALSE)</f>
        <v>280</v>
      </c>
      <c r="I2796" s="917" t="str">
        <f>VLOOKUP($A2796,'Tech Litons'!$A:$C,3,0)</f>
        <v>ESS</v>
      </c>
      <c r="J2796" s="918" t="str">
        <f t="shared" si="283"/>
        <v>3910ESS</v>
      </c>
      <c r="K2796" s="919">
        <v>1</v>
      </c>
      <c r="L2796" s="920">
        <f t="shared" si="282"/>
        <v>839</v>
      </c>
      <c r="M2796" s="920">
        <f t="shared" si="284"/>
        <v>2.6780879999999998</v>
      </c>
      <c r="N2796" s="920">
        <f t="shared" si="285"/>
        <v>2.9964285714285714</v>
      </c>
      <c r="O2796" s="918" t="str">
        <f t="shared" si="286"/>
        <v>Jan</v>
      </c>
      <c r="P2796" s="921">
        <f t="shared" si="287"/>
        <v>5</v>
      </c>
    </row>
    <row r="2797" spans="1:16" ht="15" hidden="1" customHeight="1">
      <c r="A2797" s="839">
        <v>64874633</v>
      </c>
      <c r="B2797" s="839">
        <v>3910</v>
      </c>
      <c r="C2797" s="906">
        <v>2505</v>
      </c>
      <c r="D2797" s="907">
        <v>46051</v>
      </c>
      <c r="E2797" s="839" t="s">
        <v>341</v>
      </c>
      <c r="F2797" s="839" t="s">
        <v>342</v>
      </c>
      <c r="G2797" s="916">
        <f>VLOOKUP($A2797,'Tech Litons'!$A:$I,8,FALSE)</f>
        <v>3.192E-3</v>
      </c>
      <c r="H2797" s="917">
        <f>VLOOKUP($A2797,'Tech Litons'!$A:$I,9,FALSE)</f>
        <v>280</v>
      </c>
      <c r="I2797" s="917" t="str">
        <f>VLOOKUP($A2797,'Tech Litons'!$A:$C,3,0)</f>
        <v>ESS</v>
      </c>
      <c r="J2797" s="918" t="str">
        <f t="shared" si="283"/>
        <v>3910ESS</v>
      </c>
      <c r="K2797" s="919">
        <v>1</v>
      </c>
      <c r="L2797" s="920">
        <f t="shared" si="282"/>
        <v>2505</v>
      </c>
      <c r="M2797" s="920">
        <f t="shared" si="284"/>
        <v>7.9959600000000002</v>
      </c>
      <c r="N2797" s="920">
        <f t="shared" si="285"/>
        <v>8.9464285714285712</v>
      </c>
      <c r="O2797" s="918" t="str">
        <f t="shared" si="286"/>
        <v>Jan</v>
      </c>
      <c r="P2797" s="921">
        <f t="shared" si="287"/>
        <v>5</v>
      </c>
    </row>
    <row r="2798" spans="1:16" ht="15" hidden="1" customHeight="1">
      <c r="A2798" s="839">
        <v>64874633</v>
      </c>
      <c r="B2798" s="839">
        <v>3910</v>
      </c>
      <c r="C2798" s="906">
        <v>560</v>
      </c>
      <c r="D2798" s="907">
        <v>46052</v>
      </c>
      <c r="E2798" s="839" t="s">
        <v>341</v>
      </c>
      <c r="F2798" s="839" t="s">
        <v>342</v>
      </c>
      <c r="G2798" s="916">
        <f>VLOOKUP($A2798,'Tech Litons'!$A:$I,8,FALSE)</f>
        <v>3.192E-3</v>
      </c>
      <c r="H2798" s="917">
        <f>VLOOKUP($A2798,'Tech Litons'!$A:$I,9,FALSE)</f>
        <v>280</v>
      </c>
      <c r="I2798" s="917" t="str">
        <f>VLOOKUP($A2798,'Tech Litons'!$A:$C,3,0)</f>
        <v>ESS</v>
      </c>
      <c r="J2798" s="918" t="str">
        <f t="shared" si="283"/>
        <v>3910ESS</v>
      </c>
      <c r="K2798" s="919">
        <v>1</v>
      </c>
      <c r="L2798" s="920">
        <f t="shared" si="282"/>
        <v>560</v>
      </c>
      <c r="M2798" s="920">
        <f t="shared" si="284"/>
        <v>1.78752</v>
      </c>
      <c r="N2798" s="920">
        <f t="shared" si="285"/>
        <v>2</v>
      </c>
      <c r="O2798" s="918" t="str">
        <f t="shared" si="286"/>
        <v>Jan</v>
      </c>
      <c r="P2798" s="921">
        <f t="shared" si="287"/>
        <v>5</v>
      </c>
    </row>
    <row r="2799" spans="1:16" ht="15" hidden="1" customHeight="1">
      <c r="A2799" s="839">
        <v>64874633</v>
      </c>
      <c r="B2799" s="839">
        <v>3910</v>
      </c>
      <c r="C2799" s="906">
        <v>416</v>
      </c>
      <c r="D2799" s="907">
        <v>46052</v>
      </c>
      <c r="E2799" s="839" t="s">
        <v>341</v>
      </c>
      <c r="F2799" s="839" t="s">
        <v>342</v>
      </c>
      <c r="G2799" s="916">
        <f>VLOOKUP($A2799,'Tech Litons'!$A:$I,8,FALSE)</f>
        <v>3.192E-3</v>
      </c>
      <c r="H2799" s="917">
        <f>VLOOKUP($A2799,'Tech Litons'!$A:$I,9,FALSE)</f>
        <v>280</v>
      </c>
      <c r="I2799" s="917" t="str">
        <f>VLOOKUP($A2799,'Tech Litons'!$A:$C,3,0)</f>
        <v>ESS</v>
      </c>
      <c r="J2799" s="918" t="str">
        <f t="shared" si="283"/>
        <v>3910ESS</v>
      </c>
      <c r="K2799" s="919">
        <v>1</v>
      </c>
      <c r="L2799" s="920">
        <f t="shared" si="282"/>
        <v>416</v>
      </c>
      <c r="M2799" s="920">
        <f t="shared" si="284"/>
        <v>1.3278719999999999</v>
      </c>
      <c r="N2799" s="920">
        <f t="shared" si="285"/>
        <v>1.4857142857142858</v>
      </c>
      <c r="O2799" s="918" t="str">
        <f t="shared" si="286"/>
        <v>Jan</v>
      </c>
      <c r="P2799" s="921">
        <f t="shared" si="287"/>
        <v>5</v>
      </c>
    </row>
    <row r="2800" spans="1:16" ht="15" hidden="1" customHeight="1">
      <c r="A2800" s="839">
        <v>67826412</v>
      </c>
      <c r="B2800" s="839">
        <v>5911</v>
      </c>
      <c r="C2800" s="906">
        <v>31680</v>
      </c>
      <c r="D2800" s="907">
        <v>46058</v>
      </c>
      <c r="E2800" s="839" t="s">
        <v>312</v>
      </c>
      <c r="F2800" s="839" t="s">
        <v>303</v>
      </c>
      <c r="G2800" s="916">
        <f>VLOOKUP($A2800,'Tech Litons'!$A:$I,8,FALSE)</f>
        <v>3.7853439999999999E-3</v>
      </c>
      <c r="H2800" s="917">
        <f>VLOOKUP($A2800,'Tech Litons'!$A:$I,9,FALSE)</f>
        <v>240</v>
      </c>
      <c r="I2800" s="917" t="str">
        <f>VLOOKUP($A2800,'Tech Litons'!$A:$C,3,0)</f>
        <v>BJ PTS</v>
      </c>
      <c r="J2800" s="918" t="str">
        <f t="shared" si="283"/>
        <v>5911BJ PTS</v>
      </c>
      <c r="K2800" s="919">
        <v>1</v>
      </c>
      <c r="L2800" s="920">
        <f t="shared" si="282"/>
        <v>31680</v>
      </c>
      <c r="M2800" s="920">
        <f t="shared" si="284"/>
        <v>119.91969792</v>
      </c>
      <c r="N2800" s="920">
        <f t="shared" si="285"/>
        <v>132</v>
      </c>
      <c r="O2800" s="918" t="str">
        <f t="shared" si="286"/>
        <v>Feb</v>
      </c>
      <c r="P2800" s="921">
        <f t="shared" si="287"/>
        <v>6</v>
      </c>
    </row>
    <row r="2801" spans="1:16" ht="15" hidden="1" customHeight="1">
      <c r="A2801" s="839">
        <v>67826412</v>
      </c>
      <c r="B2801" s="839">
        <v>5911</v>
      </c>
      <c r="C2801" s="906">
        <v>9840</v>
      </c>
      <c r="D2801" s="907">
        <v>46059</v>
      </c>
      <c r="E2801" s="839" t="s">
        <v>312</v>
      </c>
      <c r="F2801" s="839" t="s">
        <v>303</v>
      </c>
      <c r="G2801" s="916">
        <f>VLOOKUP($A2801,'Tech Litons'!$A:$I,8,FALSE)</f>
        <v>3.7853439999999999E-3</v>
      </c>
      <c r="H2801" s="917">
        <f>VLOOKUP($A2801,'Tech Litons'!$A:$I,9,FALSE)</f>
        <v>240</v>
      </c>
      <c r="I2801" s="917" t="str">
        <f>VLOOKUP($A2801,'Tech Litons'!$A:$C,3,0)</f>
        <v>BJ PTS</v>
      </c>
      <c r="J2801" s="918" t="str">
        <f t="shared" si="283"/>
        <v>5911BJ PTS</v>
      </c>
      <c r="K2801" s="919">
        <v>1</v>
      </c>
      <c r="L2801" s="920">
        <f t="shared" si="282"/>
        <v>9840</v>
      </c>
      <c r="M2801" s="920">
        <f t="shared" si="284"/>
        <v>37.247784959999997</v>
      </c>
      <c r="N2801" s="920">
        <f t="shared" si="285"/>
        <v>41</v>
      </c>
      <c r="O2801" s="918" t="str">
        <f t="shared" si="286"/>
        <v>Feb</v>
      </c>
      <c r="P2801" s="921">
        <f t="shared" si="287"/>
        <v>6</v>
      </c>
    </row>
    <row r="2802" spans="1:16" ht="15" hidden="1" customHeight="1">
      <c r="A2802" s="839">
        <v>67826412</v>
      </c>
      <c r="B2802" s="839">
        <v>5911</v>
      </c>
      <c r="C2802" s="906">
        <v>18534</v>
      </c>
      <c r="D2802" s="907">
        <v>46059</v>
      </c>
      <c r="E2802" s="839" t="s">
        <v>312</v>
      </c>
      <c r="F2802" s="839" t="s">
        <v>303</v>
      </c>
      <c r="G2802" s="916">
        <f>VLOOKUP($A2802,'Tech Litons'!$A:$I,8,FALSE)</f>
        <v>3.7853439999999999E-3</v>
      </c>
      <c r="H2802" s="917">
        <f>VLOOKUP($A2802,'Tech Litons'!$A:$I,9,FALSE)</f>
        <v>240</v>
      </c>
      <c r="I2802" s="917" t="str">
        <f>VLOOKUP($A2802,'Tech Litons'!$A:$C,3,0)</f>
        <v>BJ PTS</v>
      </c>
      <c r="J2802" s="918" t="str">
        <f t="shared" si="283"/>
        <v>5911BJ PTS</v>
      </c>
      <c r="K2802" s="919">
        <v>1</v>
      </c>
      <c r="L2802" s="920">
        <f t="shared" si="282"/>
        <v>18534</v>
      </c>
      <c r="M2802" s="920">
        <f t="shared" si="284"/>
        <v>70.157565696000006</v>
      </c>
      <c r="N2802" s="920">
        <f t="shared" si="285"/>
        <v>77.224999999999994</v>
      </c>
      <c r="O2802" s="918" t="str">
        <f t="shared" si="286"/>
        <v>Feb</v>
      </c>
      <c r="P2802" s="921">
        <f t="shared" si="287"/>
        <v>6</v>
      </c>
    </row>
    <row r="2803" spans="1:16" ht="15" hidden="1" customHeight="1">
      <c r="A2803" s="839">
        <v>67826412</v>
      </c>
      <c r="B2803" s="839">
        <v>5911</v>
      </c>
      <c r="C2803" s="906">
        <v>33774</v>
      </c>
      <c r="D2803" s="907">
        <v>46060</v>
      </c>
      <c r="E2803" s="839" t="s">
        <v>312</v>
      </c>
      <c r="F2803" s="839" t="s">
        <v>303</v>
      </c>
      <c r="G2803" s="916">
        <f>VLOOKUP($A2803,'Tech Litons'!$A:$I,8,FALSE)</f>
        <v>3.7853439999999999E-3</v>
      </c>
      <c r="H2803" s="917">
        <f>VLOOKUP($A2803,'Tech Litons'!$A:$I,9,FALSE)</f>
        <v>240</v>
      </c>
      <c r="I2803" s="917" t="str">
        <f>VLOOKUP($A2803,'Tech Litons'!$A:$C,3,0)</f>
        <v>BJ PTS</v>
      </c>
      <c r="J2803" s="918" t="str">
        <f t="shared" si="283"/>
        <v>5911BJ PTS</v>
      </c>
      <c r="K2803" s="919">
        <v>1</v>
      </c>
      <c r="L2803" s="920">
        <f t="shared" si="282"/>
        <v>33774</v>
      </c>
      <c r="M2803" s="920">
        <f t="shared" si="284"/>
        <v>127.846208256</v>
      </c>
      <c r="N2803" s="920">
        <f t="shared" si="285"/>
        <v>140.72499999999999</v>
      </c>
      <c r="O2803" s="918" t="str">
        <f t="shared" si="286"/>
        <v>Feb</v>
      </c>
      <c r="P2803" s="921">
        <f t="shared" si="287"/>
        <v>6</v>
      </c>
    </row>
    <row r="2804" spans="1:16" ht="15" hidden="1" customHeight="1">
      <c r="A2804" s="839">
        <v>84135770</v>
      </c>
      <c r="B2804" s="839">
        <v>5911</v>
      </c>
      <c r="C2804" s="906">
        <v>21120</v>
      </c>
      <c r="D2804" s="907">
        <v>46062</v>
      </c>
      <c r="E2804" s="839" t="s">
        <v>415</v>
      </c>
      <c r="F2804" s="839" t="s">
        <v>301</v>
      </c>
      <c r="G2804" s="916">
        <f>VLOOKUP($A2804,'Tech Litons'!$A:$I,8,FALSE)</f>
        <v>3.7853439999999999E-3</v>
      </c>
      <c r="H2804" s="917">
        <f>VLOOKUP($A2804,'Tech Litons'!$A:$I,9,FALSE)</f>
        <v>240</v>
      </c>
      <c r="I2804" s="917" t="str">
        <f>VLOOKUP($A2804,'Tech Litons'!$A:$C,3,0)</f>
        <v>BJ PTS</v>
      </c>
      <c r="J2804" s="918" t="str">
        <f t="shared" si="283"/>
        <v>5911BJ PTS</v>
      </c>
      <c r="K2804" s="919">
        <v>1</v>
      </c>
      <c r="L2804" s="920">
        <f t="shared" si="282"/>
        <v>21120</v>
      </c>
      <c r="M2804" s="920">
        <f t="shared" si="284"/>
        <v>79.946465279999998</v>
      </c>
      <c r="N2804" s="920">
        <f t="shared" si="285"/>
        <v>88</v>
      </c>
      <c r="O2804" s="918" t="str">
        <f t="shared" si="286"/>
        <v>Feb</v>
      </c>
      <c r="P2804" s="921">
        <f t="shared" si="287"/>
        <v>7</v>
      </c>
    </row>
    <row r="2805" spans="1:16" ht="15" hidden="1" customHeight="1">
      <c r="A2805" s="839">
        <v>84135770</v>
      </c>
      <c r="B2805" s="839">
        <v>5911</v>
      </c>
      <c r="C2805" s="906">
        <v>2880</v>
      </c>
      <c r="D2805" s="907">
        <v>46063</v>
      </c>
      <c r="E2805" s="839" t="s">
        <v>415</v>
      </c>
      <c r="F2805" s="839" t="s">
        <v>301</v>
      </c>
      <c r="G2805" s="916">
        <f>VLOOKUP($A2805,'Tech Litons'!$A:$I,8,FALSE)</f>
        <v>3.7853439999999999E-3</v>
      </c>
      <c r="H2805" s="917">
        <f>VLOOKUP($A2805,'Tech Litons'!$A:$I,9,FALSE)</f>
        <v>240</v>
      </c>
      <c r="I2805" s="917" t="str">
        <f>VLOOKUP($A2805,'Tech Litons'!$A:$C,3,0)</f>
        <v>BJ PTS</v>
      </c>
      <c r="J2805" s="918" t="str">
        <f t="shared" si="283"/>
        <v>5911BJ PTS</v>
      </c>
      <c r="K2805" s="919">
        <v>1</v>
      </c>
      <c r="L2805" s="920">
        <f t="shared" si="282"/>
        <v>2880</v>
      </c>
      <c r="M2805" s="920">
        <f t="shared" si="284"/>
        <v>10.901790719999999</v>
      </c>
      <c r="N2805" s="920">
        <f t="shared" si="285"/>
        <v>12</v>
      </c>
      <c r="O2805" s="918" t="str">
        <f t="shared" si="286"/>
        <v>Feb</v>
      </c>
      <c r="P2805" s="921">
        <f t="shared" si="287"/>
        <v>7</v>
      </c>
    </row>
    <row r="2806" spans="1:16" ht="15" hidden="1" customHeight="1">
      <c r="A2806" s="839">
        <v>84135770</v>
      </c>
      <c r="B2806" s="839">
        <v>5911</v>
      </c>
      <c r="C2806" s="906">
        <v>38640</v>
      </c>
      <c r="D2806" s="907">
        <v>46063</v>
      </c>
      <c r="E2806" s="839" t="s">
        <v>415</v>
      </c>
      <c r="F2806" s="839" t="s">
        <v>301</v>
      </c>
      <c r="G2806" s="916">
        <f>VLOOKUP($A2806,'Tech Litons'!$A:$I,8,FALSE)</f>
        <v>3.7853439999999999E-3</v>
      </c>
      <c r="H2806" s="917">
        <f>VLOOKUP($A2806,'Tech Litons'!$A:$I,9,FALSE)</f>
        <v>240</v>
      </c>
      <c r="I2806" s="917" t="str">
        <f>VLOOKUP($A2806,'Tech Litons'!$A:$C,3,0)</f>
        <v>BJ PTS</v>
      </c>
      <c r="J2806" s="918" t="str">
        <f t="shared" si="283"/>
        <v>5911BJ PTS</v>
      </c>
      <c r="K2806" s="919">
        <v>1</v>
      </c>
      <c r="L2806" s="920">
        <f t="shared" si="282"/>
        <v>38640</v>
      </c>
      <c r="M2806" s="920">
        <f t="shared" si="284"/>
        <v>146.26569215999999</v>
      </c>
      <c r="N2806" s="920">
        <f t="shared" si="285"/>
        <v>161</v>
      </c>
      <c r="O2806" s="918" t="str">
        <f t="shared" si="286"/>
        <v>Feb</v>
      </c>
      <c r="P2806" s="921">
        <f t="shared" si="287"/>
        <v>7</v>
      </c>
    </row>
    <row r="2807" spans="1:16" ht="15" hidden="1" customHeight="1">
      <c r="A2807" s="839">
        <v>84135770</v>
      </c>
      <c r="B2807" s="839">
        <v>5911</v>
      </c>
      <c r="C2807" s="906">
        <v>34270</v>
      </c>
      <c r="D2807" s="907">
        <v>46064</v>
      </c>
      <c r="E2807" s="839" t="s">
        <v>415</v>
      </c>
      <c r="F2807" s="839" t="s">
        <v>301</v>
      </c>
      <c r="G2807" s="916">
        <f>VLOOKUP($A2807,'Tech Litons'!$A:$I,8,FALSE)</f>
        <v>3.7853439999999999E-3</v>
      </c>
      <c r="H2807" s="917">
        <f>VLOOKUP($A2807,'Tech Litons'!$A:$I,9,FALSE)</f>
        <v>240</v>
      </c>
      <c r="I2807" s="917" t="str">
        <f>VLOOKUP($A2807,'Tech Litons'!$A:$C,3,0)</f>
        <v>BJ PTS</v>
      </c>
      <c r="J2807" s="918" t="str">
        <f t="shared" si="283"/>
        <v>5911BJ PTS</v>
      </c>
      <c r="K2807" s="919">
        <v>1</v>
      </c>
      <c r="L2807" s="920">
        <f t="shared" si="282"/>
        <v>34270</v>
      </c>
      <c r="M2807" s="920">
        <f t="shared" si="284"/>
        <v>129.72373887999998</v>
      </c>
      <c r="N2807" s="920">
        <f t="shared" si="285"/>
        <v>142.79166666666666</v>
      </c>
      <c r="O2807" s="918" t="str">
        <f t="shared" si="286"/>
        <v>Feb</v>
      </c>
      <c r="P2807" s="921">
        <f t="shared" si="287"/>
        <v>7</v>
      </c>
    </row>
    <row r="2808" spans="1:16" ht="15" hidden="1" customHeight="1">
      <c r="A2808" s="839">
        <v>84137725</v>
      </c>
      <c r="B2808" s="839">
        <v>5911</v>
      </c>
      <c r="C2808" s="906">
        <v>7680</v>
      </c>
      <c r="D2808" s="907">
        <v>46072</v>
      </c>
      <c r="E2808" s="839" t="s">
        <v>278</v>
      </c>
      <c r="F2808" s="839" t="s">
        <v>279</v>
      </c>
      <c r="G2808" s="916">
        <f>VLOOKUP($A2808,'Tech Litons'!$A:$I,8,FALSE)</f>
        <v>3.7853439999999999E-3</v>
      </c>
      <c r="H2808" s="917">
        <f>VLOOKUP($A2808,'Tech Litons'!$A:$I,9,FALSE)</f>
        <v>240</v>
      </c>
      <c r="I2808" s="917" t="str">
        <f>VLOOKUP($A2808,'Tech Litons'!$A:$C,3,0)</f>
        <v>BJ PTS</v>
      </c>
      <c r="J2808" s="918" t="str">
        <f t="shared" si="283"/>
        <v>5911BJ PTS</v>
      </c>
      <c r="K2808" s="919">
        <v>1</v>
      </c>
      <c r="L2808" s="920">
        <f t="shared" si="282"/>
        <v>7680</v>
      </c>
      <c r="M2808" s="920">
        <f t="shared" si="284"/>
        <v>29.071441919999998</v>
      </c>
      <c r="N2808" s="920">
        <f t="shared" si="285"/>
        <v>32</v>
      </c>
      <c r="O2808" s="918" t="str">
        <f t="shared" si="286"/>
        <v>Feb</v>
      </c>
      <c r="P2808" s="921">
        <f t="shared" si="287"/>
        <v>8</v>
      </c>
    </row>
    <row r="2809" spans="1:16" ht="15" hidden="1" customHeight="1">
      <c r="A2809" s="839">
        <v>84137725</v>
      </c>
      <c r="B2809" s="839">
        <v>5911</v>
      </c>
      <c r="C2809" s="906">
        <v>29520</v>
      </c>
      <c r="D2809" s="907">
        <v>46073</v>
      </c>
      <c r="E2809" s="839" t="s">
        <v>278</v>
      </c>
      <c r="F2809" s="839" t="s">
        <v>279</v>
      </c>
      <c r="G2809" s="916">
        <f>VLOOKUP($A2809,'Tech Litons'!$A:$I,8,FALSE)</f>
        <v>3.7853439999999999E-3</v>
      </c>
      <c r="H2809" s="917">
        <f>VLOOKUP($A2809,'Tech Litons'!$A:$I,9,FALSE)</f>
        <v>240</v>
      </c>
      <c r="I2809" s="917" t="str">
        <f>VLOOKUP($A2809,'Tech Litons'!$A:$C,3,0)</f>
        <v>BJ PTS</v>
      </c>
      <c r="J2809" s="918" t="str">
        <f t="shared" si="283"/>
        <v>5911BJ PTS</v>
      </c>
      <c r="K2809" s="919">
        <v>1</v>
      </c>
      <c r="L2809" s="920">
        <f t="shared" si="282"/>
        <v>29520</v>
      </c>
      <c r="M2809" s="920">
        <f t="shared" si="284"/>
        <v>111.74335488</v>
      </c>
      <c r="N2809" s="920">
        <f t="shared" si="285"/>
        <v>123</v>
      </c>
      <c r="O2809" s="918" t="str">
        <f t="shared" si="286"/>
        <v>Feb</v>
      </c>
      <c r="P2809" s="921">
        <f t="shared" si="287"/>
        <v>8</v>
      </c>
    </row>
    <row r="2810" spans="1:16" ht="15" hidden="1" customHeight="1">
      <c r="A2810" s="839">
        <v>84137725</v>
      </c>
      <c r="B2810" s="839">
        <v>5911</v>
      </c>
      <c r="C2810" s="906">
        <v>24240</v>
      </c>
      <c r="D2810" s="907">
        <v>46074</v>
      </c>
      <c r="E2810" s="839" t="s">
        <v>278</v>
      </c>
      <c r="F2810" s="839" t="s">
        <v>279</v>
      </c>
      <c r="G2810" s="916">
        <f>VLOOKUP($A2810,'Tech Litons'!$A:$I,8,FALSE)</f>
        <v>3.7853439999999999E-3</v>
      </c>
      <c r="H2810" s="917">
        <f>VLOOKUP($A2810,'Tech Litons'!$A:$I,9,FALSE)</f>
        <v>240</v>
      </c>
      <c r="I2810" s="917" t="str">
        <f>VLOOKUP($A2810,'Tech Litons'!$A:$C,3,0)</f>
        <v>BJ PTS</v>
      </c>
      <c r="J2810" s="918" t="str">
        <f t="shared" si="283"/>
        <v>5911BJ PTS</v>
      </c>
      <c r="K2810" s="919">
        <v>1</v>
      </c>
      <c r="L2810" s="920">
        <f t="shared" si="282"/>
        <v>24240</v>
      </c>
      <c r="M2810" s="920">
        <f t="shared" si="284"/>
        <v>91.756738560000002</v>
      </c>
      <c r="N2810" s="920">
        <f t="shared" si="285"/>
        <v>101</v>
      </c>
      <c r="O2810" s="918" t="str">
        <f t="shared" si="286"/>
        <v>Feb</v>
      </c>
      <c r="P2810" s="921">
        <f t="shared" si="287"/>
        <v>8</v>
      </c>
    </row>
    <row r="2811" spans="1:16" ht="15" hidden="1" customHeight="1">
      <c r="A2811" s="839">
        <v>84137725</v>
      </c>
      <c r="B2811" s="839">
        <v>5911</v>
      </c>
      <c r="C2811" s="906">
        <v>17520</v>
      </c>
      <c r="D2811" s="907">
        <v>46074</v>
      </c>
      <c r="E2811" s="839" t="s">
        <v>278</v>
      </c>
      <c r="F2811" s="839" t="s">
        <v>279</v>
      </c>
      <c r="G2811" s="916">
        <f>VLOOKUP($A2811,'Tech Litons'!$A:$I,8,FALSE)</f>
        <v>3.7853439999999999E-3</v>
      </c>
      <c r="H2811" s="917">
        <f>VLOOKUP($A2811,'Tech Litons'!$A:$I,9,FALSE)</f>
        <v>240</v>
      </c>
      <c r="I2811" s="917" t="str">
        <f>VLOOKUP($A2811,'Tech Litons'!$A:$C,3,0)</f>
        <v>BJ PTS</v>
      </c>
      <c r="J2811" s="918" t="str">
        <f t="shared" si="283"/>
        <v>5911BJ PTS</v>
      </c>
      <c r="K2811" s="919">
        <v>1</v>
      </c>
      <c r="L2811" s="920">
        <f t="shared" si="282"/>
        <v>17520</v>
      </c>
      <c r="M2811" s="920">
        <f t="shared" si="284"/>
        <v>66.319226880000002</v>
      </c>
      <c r="N2811" s="920">
        <f t="shared" si="285"/>
        <v>73</v>
      </c>
      <c r="O2811" s="918" t="str">
        <f t="shared" si="286"/>
        <v>Feb</v>
      </c>
      <c r="P2811" s="921">
        <f t="shared" si="287"/>
        <v>8</v>
      </c>
    </row>
    <row r="2812" spans="1:16" ht="15" hidden="1" customHeight="1">
      <c r="A2812" s="839">
        <v>84137725</v>
      </c>
      <c r="B2812" s="839">
        <v>5911</v>
      </c>
      <c r="C2812" s="906">
        <v>17381</v>
      </c>
      <c r="D2812" s="907">
        <v>46075</v>
      </c>
      <c r="E2812" s="839" t="s">
        <v>278</v>
      </c>
      <c r="F2812" s="839" t="s">
        <v>279</v>
      </c>
      <c r="G2812" s="916">
        <f>VLOOKUP($A2812,'Tech Litons'!$A:$I,8,FALSE)</f>
        <v>3.7853439999999999E-3</v>
      </c>
      <c r="H2812" s="917">
        <f>VLOOKUP($A2812,'Tech Litons'!$A:$I,9,FALSE)</f>
        <v>240</v>
      </c>
      <c r="I2812" s="917" t="str">
        <f>VLOOKUP($A2812,'Tech Litons'!$A:$C,3,0)</f>
        <v>BJ PTS</v>
      </c>
      <c r="J2812" s="918" t="str">
        <f t="shared" si="283"/>
        <v>5911BJ PTS</v>
      </c>
      <c r="K2812" s="919">
        <v>1</v>
      </c>
      <c r="L2812" s="920">
        <f t="shared" si="282"/>
        <v>17381</v>
      </c>
      <c r="M2812" s="920">
        <f t="shared" si="284"/>
        <v>65.793064063999992</v>
      </c>
      <c r="N2812" s="920">
        <f t="shared" si="285"/>
        <v>72.420833333333334</v>
      </c>
      <c r="O2812" s="918" t="str">
        <f t="shared" si="286"/>
        <v>Feb</v>
      </c>
      <c r="P2812" s="921">
        <f t="shared" si="287"/>
        <v>9</v>
      </c>
    </row>
    <row r="2813" spans="1:16" ht="15" hidden="1" customHeight="1">
      <c r="A2813" s="839">
        <v>84141102</v>
      </c>
      <c r="B2813" s="839">
        <v>5911</v>
      </c>
      <c r="C2813" s="906">
        <v>19680</v>
      </c>
      <c r="D2813" s="907">
        <v>46054</v>
      </c>
      <c r="E2813" s="839" t="s">
        <v>374</v>
      </c>
      <c r="F2813" s="839" t="s">
        <v>301</v>
      </c>
      <c r="G2813" s="916">
        <f>VLOOKUP($A2813,'Tech Litons'!$A:$I,8,FALSE)</f>
        <v>3.7853439999999999E-3</v>
      </c>
      <c r="H2813" s="917">
        <f>VLOOKUP($A2813,'Tech Litons'!$A:$I,9,FALSE)</f>
        <v>240</v>
      </c>
      <c r="I2813" s="917" t="str">
        <f>VLOOKUP($A2813,'Tech Litons'!$A:$C,3,0)</f>
        <v>BJ PTS</v>
      </c>
      <c r="J2813" s="918" t="str">
        <f t="shared" si="283"/>
        <v>5911BJ PTS</v>
      </c>
      <c r="K2813" s="919">
        <v>1</v>
      </c>
      <c r="L2813" s="920">
        <f t="shared" si="282"/>
        <v>19680</v>
      </c>
      <c r="M2813" s="920">
        <f t="shared" si="284"/>
        <v>74.495569919999994</v>
      </c>
      <c r="N2813" s="920">
        <f t="shared" si="285"/>
        <v>82</v>
      </c>
      <c r="O2813" s="918" t="str">
        <f t="shared" si="286"/>
        <v>Feb</v>
      </c>
      <c r="P2813" s="921">
        <f t="shared" si="287"/>
        <v>6</v>
      </c>
    </row>
    <row r="2814" spans="1:16" ht="15" hidden="1" customHeight="1">
      <c r="A2814" s="839">
        <v>84141102</v>
      </c>
      <c r="B2814" s="839">
        <v>5911</v>
      </c>
      <c r="C2814" s="906">
        <v>10080</v>
      </c>
      <c r="D2814" s="907">
        <v>46054</v>
      </c>
      <c r="E2814" s="839" t="s">
        <v>374</v>
      </c>
      <c r="F2814" s="839" t="s">
        <v>301</v>
      </c>
      <c r="G2814" s="916">
        <f>VLOOKUP($A2814,'Tech Litons'!$A:$I,8,FALSE)</f>
        <v>3.7853439999999999E-3</v>
      </c>
      <c r="H2814" s="917">
        <f>VLOOKUP($A2814,'Tech Litons'!$A:$I,9,FALSE)</f>
        <v>240</v>
      </c>
      <c r="I2814" s="917" t="str">
        <f>VLOOKUP($A2814,'Tech Litons'!$A:$C,3,0)</f>
        <v>BJ PTS</v>
      </c>
      <c r="J2814" s="918" t="str">
        <f t="shared" si="283"/>
        <v>5911BJ PTS</v>
      </c>
      <c r="K2814" s="919">
        <v>1</v>
      </c>
      <c r="L2814" s="920">
        <f t="shared" si="282"/>
        <v>10080</v>
      </c>
      <c r="M2814" s="920">
        <f t="shared" si="284"/>
        <v>38.15626752</v>
      </c>
      <c r="N2814" s="920">
        <f t="shared" si="285"/>
        <v>42</v>
      </c>
      <c r="O2814" s="918" t="str">
        <f t="shared" si="286"/>
        <v>Feb</v>
      </c>
      <c r="P2814" s="921">
        <f t="shared" si="287"/>
        <v>6</v>
      </c>
    </row>
    <row r="2815" spans="1:16" ht="15" hidden="1" customHeight="1">
      <c r="A2815" s="839">
        <v>84141102</v>
      </c>
      <c r="B2815" s="839">
        <v>5911</v>
      </c>
      <c r="C2815" s="906">
        <v>19919</v>
      </c>
      <c r="D2815" s="907">
        <v>46055</v>
      </c>
      <c r="E2815" s="839" t="s">
        <v>374</v>
      </c>
      <c r="F2815" s="839" t="s">
        <v>301</v>
      </c>
      <c r="G2815" s="916">
        <f>VLOOKUP($A2815,'Tech Litons'!$A:$I,8,FALSE)</f>
        <v>3.7853439999999999E-3</v>
      </c>
      <c r="H2815" s="917">
        <f>VLOOKUP($A2815,'Tech Litons'!$A:$I,9,FALSE)</f>
        <v>240</v>
      </c>
      <c r="I2815" s="917" t="str">
        <f>VLOOKUP($A2815,'Tech Litons'!$A:$C,3,0)</f>
        <v>BJ PTS</v>
      </c>
      <c r="J2815" s="918" t="str">
        <f t="shared" si="283"/>
        <v>5911BJ PTS</v>
      </c>
      <c r="K2815" s="919">
        <v>1</v>
      </c>
      <c r="L2815" s="920">
        <f t="shared" si="282"/>
        <v>19919</v>
      </c>
      <c r="M2815" s="920">
        <f t="shared" si="284"/>
        <v>75.400267135999997</v>
      </c>
      <c r="N2815" s="920">
        <f t="shared" si="285"/>
        <v>82.995833333333337</v>
      </c>
      <c r="O2815" s="918" t="str">
        <f t="shared" si="286"/>
        <v>Feb</v>
      </c>
      <c r="P2815" s="921">
        <f t="shared" si="287"/>
        <v>6</v>
      </c>
    </row>
    <row r="2816" spans="1:16" ht="15" hidden="1" customHeight="1">
      <c r="A2816" s="839">
        <v>84141102</v>
      </c>
      <c r="B2816" s="839">
        <v>5911</v>
      </c>
      <c r="C2816" s="906">
        <v>23456</v>
      </c>
      <c r="D2816" s="907">
        <v>46056</v>
      </c>
      <c r="E2816" s="839" t="s">
        <v>374</v>
      </c>
      <c r="F2816" s="839" t="s">
        <v>301</v>
      </c>
      <c r="G2816" s="916">
        <f>VLOOKUP($A2816,'Tech Litons'!$A:$I,8,FALSE)</f>
        <v>3.7853439999999999E-3</v>
      </c>
      <c r="H2816" s="917">
        <f>VLOOKUP($A2816,'Tech Litons'!$A:$I,9,FALSE)</f>
        <v>240</v>
      </c>
      <c r="I2816" s="917" t="str">
        <f>VLOOKUP($A2816,'Tech Litons'!$A:$C,3,0)</f>
        <v>BJ PTS</v>
      </c>
      <c r="J2816" s="918" t="str">
        <f t="shared" si="283"/>
        <v>5911BJ PTS</v>
      </c>
      <c r="K2816" s="919">
        <v>1</v>
      </c>
      <c r="L2816" s="920">
        <f t="shared" si="282"/>
        <v>23456</v>
      </c>
      <c r="M2816" s="920">
        <f t="shared" si="284"/>
        <v>88.789028864000002</v>
      </c>
      <c r="N2816" s="920">
        <f t="shared" si="285"/>
        <v>97.733333333333334</v>
      </c>
      <c r="O2816" s="918" t="str">
        <f t="shared" si="286"/>
        <v>Feb</v>
      </c>
      <c r="P2816" s="921">
        <f t="shared" si="287"/>
        <v>6</v>
      </c>
    </row>
    <row r="2817" spans="1:16" ht="15" hidden="1" customHeight="1">
      <c r="A2817" s="839">
        <v>84141102</v>
      </c>
      <c r="B2817" s="839">
        <v>5911</v>
      </c>
      <c r="C2817" s="906">
        <v>11040</v>
      </c>
      <c r="D2817" s="907">
        <v>46068</v>
      </c>
      <c r="E2817" s="839" t="s">
        <v>374</v>
      </c>
      <c r="F2817" s="839" t="s">
        <v>301</v>
      </c>
      <c r="G2817" s="916">
        <f>VLOOKUP($A2817,'Tech Litons'!$A:$I,8,FALSE)</f>
        <v>3.7853439999999999E-3</v>
      </c>
      <c r="H2817" s="917">
        <f>VLOOKUP($A2817,'Tech Litons'!$A:$I,9,FALSE)</f>
        <v>240</v>
      </c>
      <c r="I2817" s="917" t="str">
        <f>VLOOKUP($A2817,'Tech Litons'!$A:$C,3,0)</f>
        <v>BJ PTS</v>
      </c>
      <c r="J2817" s="918" t="str">
        <f t="shared" si="283"/>
        <v>5911BJ PTS</v>
      </c>
      <c r="K2817" s="919">
        <v>1</v>
      </c>
      <c r="L2817" s="920">
        <f t="shared" si="282"/>
        <v>11040</v>
      </c>
      <c r="M2817" s="920">
        <f t="shared" si="284"/>
        <v>41.790197759999998</v>
      </c>
      <c r="N2817" s="920">
        <f t="shared" si="285"/>
        <v>46</v>
      </c>
      <c r="O2817" s="918" t="str">
        <f t="shared" si="286"/>
        <v>Feb</v>
      </c>
      <c r="P2817" s="921">
        <f t="shared" si="287"/>
        <v>8</v>
      </c>
    </row>
    <row r="2818" spans="1:16" ht="15" hidden="1" customHeight="1">
      <c r="A2818" s="839">
        <v>84141102</v>
      </c>
      <c r="B2818" s="839">
        <v>5911</v>
      </c>
      <c r="C2818" s="906">
        <v>26400</v>
      </c>
      <c r="D2818" s="907">
        <v>46069</v>
      </c>
      <c r="E2818" s="839" t="s">
        <v>374</v>
      </c>
      <c r="F2818" s="839" t="s">
        <v>301</v>
      </c>
      <c r="G2818" s="916">
        <f>VLOOKUP($A2818,'Tech Litons'!$A:$I,8,FALSE)</f>
        <v>3.7853439999999999E-3</v>
      </c>
      <c r="H2818" s="917">
        <f>VLOOKUP($A2818,'Tech Litons'!$A:$I,9,FALSE)</f>
        <v>240</v>
      </c>
      <c r="I2818" s="917" t="str">
        <f>VLOOKUP($A2818,'Tech Litons'!$A:$C,3,0)</f>
        <v>BJ PTS</v>
      </c>
      <c r="J2818" s="918" t="str">
        <f t="shared" si="283"/>
        <v>5911BJ PTS</v>
      </c>
      <c r="K2818" s="919">
        <v>1</v>
      </c>
      <c r="L2818" s="920">
        <f t="shared" si="282"/>
        <v>26400</v>
      </c>
      <c r="M2818" s="920">
        <f t="shared" si="284"/>
        <v>99.933081599999994</v>
      </c>
      <c r="N2818" s="920">
        <f t="shared" si="285"/>
        <v>110</v>
      </c>
      <c r="O2818" s="918" t="str">
        <f t="shared" si="286"/>
        <v>Feb</v>
      </c>
      <c r="P2818" s="921">
        <f t="shared" si="287"/>
        <v>8</v>
      </c>
    </row>
    <row r="2819" spans="1:16" ht="15" hidden="1" customHeight="1">
      <c r="A2819" s="839">
        <v>84141102</v>
      </c>
      <c r="B2819" s="839">
        <v>5911</v>
      </c>
      <c r="C2819" s="906">
        <v>2640</v>
      </c>
      <c r="D2819" s="907">
        <v>46069</v>
      </c>
      <c r="E2819" s="839" t="s">
        <v>374</v>
      </c>
      <c r="F2819" s="839" t="s">
        <v>301</v>
      </c>
      <c r="G2819" s="916">
        <f>VLOOKUP($A2819,'Tech Litons'!$A:$I,8,FALSE)</f>
        <v>3.7853439999999999E-3</v>
      </c>
      <c r="H2819" s="917">
        <f>VLOOKUP($A2819,'Tech Litons'!$A:$I,9,FALSE)</f>
        <v>240</v>
      </c>
      <c r="I2819" s="917" t="str">
        <f>VLOOKUP($A2819,'Tech Litons'!$A:$C,3,0)</f>
        <v>BJ PTS</v>
      </c>
      <c r="J2819" s="918" t="str">
        <f t="shared" si="283"/>
        <v>5911BJ PTS</v>
      </c>
      <c r="K2819" s="919">
        <v>1</v>
      </c>
      <c r="L2819" s="920">
        <f t="shared" si="282"/>
        <v>2640</v>
      </c>
      <c r="M2819" s="920">
        <f t="shared" si="284"/>
        <v>9.9933081599999998</v>
      </c>
      <c r="N2819" s="920">
        <f t="shared" si="285"/>
        <v>11</v>
      </c>
      <c r="O2819" s="918" t="str">
        <f t="shared" si="286"/>
        <v>Feb</v>
      </c>
      <c r="P2819" s="921">
        <f t="shared" si="287"/>
        <v>8</v>
      </c>
    </row>
    <row r="2820" spans="1:16" ht="15" hidden="1" customHeight="1">
      <c r="A2820" s="839">
        <v>84141102</v>
      </c>
      <c r="B2820" s="839">
        <v>5911</v>
      </c>
      <c r="C2820" s="906">
        <v>19440</v>
      </c>
      <c r="D2820" s="907">
        <v>46070</v>
      </c>
      <c r="E2820" s="839" t="s">
        <v>374</v>
      </c>
      <c r="F2820" s="839" t="s">
        <v>301</v>
      </c>
      <c r="G2820" s="916">
        <f>VLOOKUP($A2820,'Tech Litons'!$A:$I,8,FALSE)</f>
        <v>3.7853439999999999E-3</v>
      </c>
      <c r="H2820" s="917">
        <f>VLOOKUP($A2820,'Tech Litons'!$A:$I,9,FALSE)</f>
        <v>240</v>
      </c>
      <c r="I2820" s="917" t="str">
        <f>VLOOKUP($A2820,'Tech Litons'!$A:$C,3,0)</f>
        <v>BJ PTS</v>
      </c>
      <c r="J2820" s="918" t="str">
        <f t="shared" si="283"/>
        <v>5911BJ PTS</v>
      </c>
      <c r="K2820" s="919">
        <v>1</v>
      </c>
      <c r="L2820" s="920">
        <f t="shared" si="282"/>
        <v>19440</v>
      </c>
      <c r="M2820" s="920">
        <f t="shared" si="284"/>
        <v>73.587087359999998</v>
      </c>
      <c r="N2820" s="920">
        <f t="shared" si="285"/>
        <v>81</v>
      </c>
      <c r="O2820" s="918" t="str">
        <f t="shared" si="286"/>
        <v>Feb</v>
      </c>
      <c r="P2820" s="921">
        <f t="shared" si="287"/>
        <v>8</v>
      </c>
    </row>
    <row r="2821" spans="1:16" ht="15" hidden="1" customHeight="1">
      <c r="A2821" s="839">
        <v>84141102</v>
      </c>
      <c r="B2821" s="839">
        <v>5911</v>
      </c>
      <c r="C2821" s="906">
        <v>21109</v>
      </c>
      <c r="D2821" s="907">
        <v>46071</v>
      </c>
      <c r="E2821" s="839" t="s">
        <v>374</v>
      </c>
      <c r="F2821" s="839" t="s">
        <v>301</v>
      </c>
      <c r="G2821" s="916">
        <f>VLOOKUP($A2821,'Tech Litons'!$A:$I,8,FALSE)</f>
        <v>3.7853439999999999E-3</v>
      </c>
      <c r="H2821" s="917">
        <f>VLOOKUP($A2821,'Tech Litons'!$A:$I,9,FALSE)</f>
        <v>240</v>
      </c>
      <c r="I2821" s="917" t="str">
        <f>VLOOKUP($A2821,'Tech Litons'!$A:$C,3,0)</f>
        <v>BJ PTS</v>
      </c>
      <c r="J2821" s="918" t="str">
        <f t="shared" si="283"/>
        <v>5911BJ PTS</v>
      </c>
      <c r="K2821" s="919">
        <v>1</v>
      </c>
      <c r="L2821" s="920">
        <f t="shared" si="282"/>
        <v>21109</v>
      </c>
      <c r="M2821" s="920">
        <f t="shared" si="284"/>
        <v>79.904826495999998</v>
      </c>
      <c r="N2821" s="920">
        <f t="shared" si="285"/>
        <v>87.954166666666666</v>
      </c>
      <c r="O2821" s="918" t="str">
        <f t="shared" si="286"/>
        <v>Feb</v>
      </c>
      <c r="P2821" s="921">
        <f t="shared" si="287"/>
        <v>8</v>
      </c>
    </row>
    <row r="2822" spans="1:16" ht="15" hidden="1" customHeight="1">
      <c r="A2822" s="839">
        <v>84141103</v>
      </c>
      <c r="B2822" s="839">
        <v>5911</v>
      </c>
      <c r="C2822" s="906">
        <v>13680</v>
      </c>
      <c r="D2822" s="907">
        <v>46050</v>
      </c>
      <c r="E2822" s="839" t="s">
        <v>314</v>
      </c>
      <c r="F2822" s="839" t="s">
        <v>301</v>
      </c>
      <c r="G2822" s="916">
        <f>VLOOKUP($A2822,'Tech Litons'!$A:$I,8,FALSE)</f>
        <v>3.7853439999999999E-3</v>
      </c>
      <c r="H2822" s="917">
        <f>VLOOKUP($A2822,'Tech Litons'!$A:$I,9,FALSE)</f>
        <v>240</v>
      </c>
      <c r="I2822" s="917" t="str">
        <f>VLOOKUP($A2822,'Tech Litons'!$A:$C,3,0)</f>
        <v>BJ PTS</v>
      </c>
      <c r="J2822" s="918" t="str">
        <f t="shared" si="283"/>
        <v>5911BJ PTS</v>
      </c>
      <c r="K2822" s="919">
        <v>1</v>
      </c>
      <c r="L2822" s="920">
        <f t="shared" si="282"/>
        <v>13680</v>
      </c>
      <c r="M2822" s="920">
        <f t="shared" si="284"/>
        <v>51.783505919999996</v>
      </c>
      <c r="N2822" s="920">
        <f t="shared" si="285"/>
        <v>57</v>
      </c>
      <c r="O2822" s="918" t="str">
        <f t="shared" si="286"/>
        <v>Jan</v>
      </c>
      <c r="P2822" s="921">
        <f t="shared" si="287"/>
        <v>5</v>
      </c>
    </row>
    <row r="2823" spans="1:16" ht="15" hidden="1" customHeight="1">
      <c r="A2823" s="839">
        <v>84141103</v>
      </c>
      <c r="B2823" s="839">
        <v>5911</v>
      </c>
      <c r="C2823" s="906">
        <v>39600</v>
      </c>
      <c r="D2823" s="907">
        <v>46051</v>
      </c>
      <c r="E2823" s="839" t="s">
        <v>314</v>
      </c>
      <c r="F2823" s="839" t="s">
        <v>301</v>
      </c>
      <c r="G2823" s="916">
        <f>VLOOKUP($A2823,'Tech Litons'!$A:$I,8,FALSE)</f>
        <v>3.7853439999999999E-3</v>
      </c>
      <c r="H2823" s="917">
        <f>VLOOKUP($A2823,'Tech Litons'!$A:$I,9,FALSE)</f>
        <v>240</v>
      </c>
      <c r="I2823" s="917" t="str">
        <f>VLOOKUP($A2823,'Tech Litons'!$A:$C,3,0)</f>
        <v>BJ PTS</v>
      </c>
      <c r="J2823" s="918" t="str">
        <f t="shared" si="283"/>
        <v>5911BJ PTS</v>
      </c>
      <c r="K2823" s="919">
        <v>1</v>
      </c>
      <c r="L2823" s="920">
        <f t="shared" si="282"/>
        <v>39600</v>
      </c>
      <c r="M2823" s="920">
        <f t="shared" si="284"/>
        <v>149.8996224</v>
      </c>
      <c r="N2823" s="920">
        <f t="shared" si="285"/>
        <v>165</v>
      </c>
      <c r="O2823" s="918" t="str">
        <f t="shared" si="286"/>
        <v>Jan</v>
      </c>
      <c r="P2823" s="921">
        <f t="shared" si="287"/>
        <v>5</v>
      </c>
    </row>
    <row r="2824" spans="1:16" ht="15" hidden="1" customHeight="1">
      <c r="A2824" s="839">
        <v>84141103</v>
      </c>
      <c r="B2824" s="839">
        <v>5911</v>
      </c>
      <c r="C2824" s="906">
        <v>24960</v>
      </c>
      <c r="D2824" s="907">
        <v>46052</v>
      </c>
      <c r="E2824" s="839" t="s">
        <v>314</v>
      </c>
      <c r="F2824" s="839" t="s">
        <v>301</v>
      </c>
      <c r="G2824" s="916">
        <f>VLOOKUP($A2824,'Tech Litons'!$A:$I,8,FALSE)</f>
        <v>3.7853439999999999E-3</v>
      </c>
      <c r="H2824" s="917">
        <f>VLOOKUP($A2824,'Tech Litons'!$A:$I,9,FALSE)</f>
        <v>240</v>
      </c>
      <c r="I2824" s="917" t="str">
        <f>VLOOKUP($A2824,'Tech Litons'!$A:$C,3,0)</f>
        <v>BJ PTS</v>
      </c>
      <c r="J2824" s="918" t="str">
        <f t="shared" si="283"/>
        <v>5911BJ PTS</v>
      </c>
      <c r="K2824" s="919">
        <v>1</v>
      </c>
      <c r="L2824" s="920">
        <f t="shared" si="282"/>
        <v>24960</v>
      </c>
      <c r="M2824" s="920">
        <f t="shared" si="284"/>
        <v>94.482186240000004</v>
      </c>
      <c r="N2824" s="920">
        <f t="shared" si="285"/>
        <v>104</v>
      </c>
      <c r="O2824" s="918" t="str">
        <f t="shared" si="286"/>
        <v>Jan</v>
      </c>
      <c r="P2824" s="921">
        <f t="shared" si="287"/>
        <v>5</v>
      </c>
    </row>
    <row r="2825" spans="1:16" ht="15" hidden="1" customHeight="1">
      <c r="A2825" s="839">
        <v>84141103</v>
      </c>
      <c r="B2825" s="839">
        <v>5911</v>
      </c>
      <c r="C2825" s="906">
        <v>18240</v>
      </c>
      <c r="D2825" s="907">
        <v>46052</v>
      </c>
      <c r="E2825" s="839" t="s">
        <v>314</v>
      </c>
      <c r="F2825" s="839" t="s">
        <v>301</v>
      </c>
      <c r="G2825" s="916">
        <f>VLOOKUP($A2825,'Tech Litons'!$A:$I,8,FALSE)</f>
        <v>3.7853439999999999E-3</v>
      </c>
      <c r="H2825" s="917">
        <f>VLOOKUP($A2825,'Tech Litons'!$A:$I,9,FALSE)</f>
        <v>240</v>
      </c>
      <c r="I2825" s="917" t="str">
        <f>VLOOKUP($A2825,'Tech Litons'!$A:$C,3,0)</f>
        <v>BJ PTS</v>
      </c>
      <c r="J2825" s="918" t="str">
        <f t="shared" si="283"/>
        <v>5911BJ PTS</v>
      </c>
      <c r="K2825" s="919">
        <v>1</v>
      </c>
      <c r="L2825" s="920">
        <f t="shared" si="282"/>
        <v>18240</v>
      </c>
      <c r="M2825" s="920">
        <f t="shared" si="284"/>
        <v>69.044674560000004</v>
      </c>
      <c r="N2825" s="920">
        <f t="shared" si="285"/>
        <v>76</v>
      </c>
      <c r="O2825" s="918" t="str">
        <f t="shared" si="286"/>
        <v>Jan</v>
      </c>
      <c r="P2825" s="921">
        <f t="shared" si="287"/>
        <v>5</v>
      </c>
    </row>
    <row r="2826" spans="1:16" ht="15" hidden="1" customHeight="1">
      <c r="A2826" s="839">
        <v>84141103</v>
      </c>
      <c r="B2826" s="839">
        <v>5911</v>
      </c>
      <c r="C2826" s="906">
        <v>9050</v>
      </c>
      <c r="D2826" s="907">
        <v>46053</v>
      </c>
      <c r="E2826" s="839" t="s">
        <v>314</v>
      </c>
      <c r="F2826" s="839" t="s">
        <v>301</v>
      </c>
      <c r="G2826" s="916">
        <f>VLOOKUP($A2826,'Tech Litons'!$A:$I,8,FALSE)</f>
        <v>3.7853439999999999E-3</v>
      </c>
      <c r="H2826" s="917">
        <f>VLOOKUP($A2826,'Tech Litons'!$A:$I,9,FALSE)</f>
        <v>240</v>
      </c>
      <c r="I2826" s="917" t="str">
        <f>VLOOKUP($A2826,'Tech Litons'!$A:$C,3,0)</f>
        <v>BJ PTS</v>
      </c>
      <c r="J2826" s="918" t="str">
        <f t="shared" si="283"/>
        <v>5911BJ PTS</v>
      </c>
      <c r="K2826" s="919">
        <v>1</v>
      </c>
      <c r="L2826" s="920">
        <f t="shared" si="282"/>
        <v>9050</v>
      </c>
      <c r="M2826" s="920">
        <f t="shared" si="284"/>
        <v>34.2573632</v>
      </c>
      <c r="N2826" s="920">
        <f t="shared" si="285"/>
        <v>37.708333333333336</v>
      </c>
      <c r="O2826" s="918" t="str">
        <f t="shared" si="286"/>
        <v>Jan</v>
      </c>
      <c r="P2826" s="921">
        <f t="shared" si="287"/>
        <v>5</v>
      </c>
    </row>
    <row r="2827" spans="1:16" ht="15" hidden="1" customHeight="1">
      <c r="A2827" s="839">
        <v>84141103</v>
      </c>
      <c r="B2827" s="839">
        <v>5911</v>
      </c>
      <c r="C2827" s="906">
        <v>10080</v>
      </c>
      <c r="D2827" s="907">
        <v>46065</v>
      </c>
      <c r="E2827" s="839" t="s">
        <v>314</v>
      </c>
      <c r="F2827" s="839" t="s">
        <v>301</v>
      </c>
      <c r="G2827" s="916">
        <f>VLOOKUP($A2827,'Tech Litons'!$A:$I,8,FALSE)</f>
        <v>3.7853439999999999E-3</v>
      </c>
      <c r="H2827" s="917">
        <f>VLOOKUP($A2827,'Tech Litons'!$A:$I,9,FALSE)</f>
        <v>240</v>
      </c>
      <c r="I2827" s="917" t="str">
        <f>VLOOKUP($A2827,'Tech Litons'!$A:$C,3,0)</f>
        <v>BJ PTS</v>
      </c>
      <c r="J2827" s="918" t="str">
        <f t="shared" si="283"/>
        <v>5911BJ PTS</v>
      </c>
      <c r="K2827" s="919">
        <v>1</v>
      </c>
      <c r="L2827" s="920">
        <f t="shared" si="282"/>
        <v>10080</v>
      </c>
      <c r="M2827" s="920">
        <f t="shared" si="284"/>
        <v>38.15626752</v>
      </c>
      <c r="N2827" s="920">
        <f t="shared" si="285"/>
        <v>42</v>
      </c>
      <c r="O2827" s="918" t="str">
        <f t="shared" si="286"/>
        <v>Feb</v>
      </c>
      <c r="P2827" s="921">
        <f t="shared" si="287"/>
        <v>7</v>
      </c>
    </row>
    <row r="2828" spans="1:16" ht="15" hidden="1" customHeight="1">
      <c r="A2828" s="839">
        <v>84141103</v>
      </c>
      <c r="B2828" s="839">
        <v>5911</v>
      </c>
      <c r="C2828" s="906">
        <v>39120</v>
      </c>
      <c r="D2828" s="907">
        <v>46066</v>
      </c>
      <c r="E2828" s="839" t="s">
        <v>314</v>
      </c>
      <c r="F2828" s="839" t="s">
        <v>301</v>
      </c>
      <c r="G2828" s="916">
        <f>VLOOKUP($A2828,'Tech Litons'!$A:$I,8,FALSE)</f>
        <v>3.7853439999999999E-3</v>
      </c>
      <c r="H2828" s="917">
        <f>VLOOKUP($A2828,'Tech Litons'!$A:$I,9,FALSE)</f>
        <v>240</v>
      </c>
      <c r="I2828" s="917" t="str">
        <f>VLOOKUP($A2828,'Tech Litons'!$A:$C,3,0)</f>
        <v>BJ PTS</v>
      </c>
      <c r="J2828" s="918" t="str">
        <f t="shared" si="283"/>
        <v>5911BJ PTS</v>
      </c>
      <c r="K2828" s="919">
        <v>1</v>
      </c>
      <c r="L2828" s="920">
        <f t="shared" si="282"/>
        <v>39120</v>
      </c>
      <c r="M2828" s="920">
        <f t="shared" si="284"/>
        <v>148.08265728000001</v>
      </c>
      <c r="N2828" s="920">
        <f t="shared" si="285"/>
        <v>163</v>
      </c>
      <c r="O2828" s="918" t="str">
        <f t="shared" si="286"/>
        <v>Feb</v>
      </c>
      <c r="P2828" s="921">
        <f t="shared" si="287"/>
        <v>7</v>
      </c>
    </row>
    <row r="2829" spans="1:16" ht="15" hidden="1" customHeight="1">
      <c r="A2829" s="839">
        <v>84141103</v>
      </c>
      <c r="B2829" s="839">
        <v>5911</v>
      </c>
      <c r="C2829" s="906">
        <v>3840</v>
      </c>
      <c r="D2829" s="907">
        <v>46066</v>
      </c>
      <c r="E2829" s="839" t="s">
        <v>314</v>
      </c>
      <c r="F2829" s="839" t="s">
        <v>301</v>
      </c>
      <c r="G2829" s="916">
        <f>VLOOKUP($A2829,'Tech Litons'!$A:$I,8,FALSE)</f>
        <v>3.7853439999999999E-3</v>
      </c>
      <c r="H2829" s="917">
        <f>VLOOKUP($A2829,'Tech Litons'!$A:$I,9,FALSE)</f>
        <v>240</v>
      </c>
      <c r="I2829" s="917" t="str">
        <f>VLOOKUP($A2829,'Tech Litons'!$A:$C,3,0)</f>
        <v>BJ PTS</v>
      </c>
      <c r="J2829" s="918" t="str">
        <f t="shared" si="283"/>
        <v>5911BJ PTS</v>
      </c>
      <c r="K2829" s="919">
        <v>1</v>
      </c>
      <c r="L2829" s="920">
        <f t="shared" si="282"/>
        <v>3840</v>
      </c>
      <c r="M2829" s="920">
        <f t="shared" si="284"/>
        <v>14.535720959999999</v>
      </c>
      <c r="N2829" s="920">
        <f t="shared" si="285"/>
        <v>16</v>
      </c>
      <c r="O2829" s="918" t="str">
        <f t="shared" si="286"/>
        <v>Feb</v>
      </c>
      <c r="P2829" s="921">
        <f t="shared" si="287"/>
        <v>7</v>
      </c>
    </row>
    <row r="2830" spans="1:16" ht="15" hidden="1" customHeight="1">
      <c r="A2830" s="839">
        <v>84141103</v>
      </c>
      <c r="B2830" s="839">
        <v>5911</v>
      </c>
      <c r="C2830" s="906">
        <v>42720</v>
      </c>
      <c r="D2830" s="907">
        <v>46067</v>
      </c>
      <c r="E2830" s="839" t="s">
        <v>314</v>
      </c>
      <c r="F2830" s="839" t="s">
        <v>301</v>
      </c>
      <c r="G2830" s="916">
        <f>VLOOKUP($A2830,'Tech Litons'!$A:$I,8,FALSE)</f>
        <v>3.7853439999999999E-3</v>
      </c>
      <c r="H2830" s="917">
        <f>VLOOKUP($A2830,'Tech Litons'!$A:$I,9,FALSE)</f>
        <v>240</v>
      </c>
      <c r="I2830" s="917" t="str">
        <f>VLOOKUP($A2830,'Tech Litons'!$A:$C,3,0)</f>
        <v>BJ PTS</v>
      </c>
      <c r="J2830" s="918" t="str">
        <f t="shared" si="283"/>
        <v>5911BJ PTS</v>
      </c>
      <c r="K2830" s="919">
        <v>1</v>
      </c>
      <c r="L2830" s="920">
        <f t="shared" si="282"/>
        <v>42720</v>
      </c>
      <c r="M2830" s="920">
        <f t="shared" si="284"/>
        <v>161.70989567999999</v>
      </c>
      <c r="N2830" s="920">
        <f t="shared" si="285"/>
        <v>178</v>
      </c>
      <c r="O2830" s="918" t="str">
        <f t="shared" si="286"/>
        <v>Feb</v>
      </c>
      <c r="P2830" s="921">
        <f t="shared" si="287"/>
        <v>7</v>
      </c>
    </row>
    <row r="2831" spans="1:16" ht="15" hidden="1" customHeight="1">
      <c r="A2831" s="839">
        <v>84141103</v>
      </c>
      <c r="B2831" s="839">
        <v>5911</v>
      </c>
      <c r="C2831" s="906">
        <v>8160</v>
      </c>
      <c r="D2831" s="907">
        <v>46068</v>
      </c>
      <c r="E2831" s="839" t="s">
        <v>314</v>
      </c>
      <c r="F2831" s="839" t="s">
        <v>301</v>
      </c>
      <c r="G2831" s="916">
        <f>VLOOKUP($A2831,'Tech Litons'!$A:$I,8,FALSE)</f>
        <v>3.7853439999999999E-3</v>
      </c>
      <c r="H2831" s="917">
        <f>VLOOKUP($A2831,'Tech Litons'!$A:$I,9,FALSE)</f>
        <v>240</v>
      </c>
      <c r="I2831" s="917" t="str">
        <f>VLOOKUP($A2831,'Tech Litons'!$A:$C,3,0)</f>
        <v>BJ PTS</v>
      </c>
      <c r="J2831" s="918" t="str">
        <f t="shared" si="283"/>
        <v>5911BJ PTS</v>
      </c>
      <c r="K2831" s="919">
        <v>1</v>
      </c>
      <c r="L2831" s="920">
        <f t="shared" si="282"/>
        <v>8160</v>
      </c>
      <c r="M2831" s="920">
        <f t="shared" si="284"/>
        <v>30.888407040000001</v>
      </c>
      <c r="N2831" s="920">
        <f t="shared" si="285"/>
        <v>34</v>
      </c>
      <c r="O2831" s="918" t="str">
        <f t="shared" si="286"/>
        <v>Feb</v>
      </c>
      <c r="P2831" s="921">
        <f t="shared" si="287"/>
        <v>8</v>
      </c>
    </row>
    <row r="2832" spans="1:16" ht="15" hidden="1" customHeight="1">
      <c r="A2832" s="839">
        <v>84150062</v>
      </c>
      <c r="B2832" s="839">
        <v>5911</v>
      </c>
      <c r="C2832" s="906">
        <v>8824</v>
      </c>
      <c r="D2832" s="907">
        <v>46054</v>
      </c>
      <c r="E2832" s="839" t="s">
        <v>463</v>
      </c>
      <c r="F2832" s="839" t="s">
        <v>279</v>
      </c>
      <c r="G2832" s="916">
        <f>VLOOKUP($A2832,'Tech Litons'!$A:$I,8,FALSE)</f>
        <v>3.7839999999999996E-3</v>
      </c>
      <c r="H2832" s="917">
        <f>VLOOKUP($A2832,'Tech Litons'!$A:$I,9,FALSE)</f>
        <v>240</v>
      </c>
      <c r="I2832" s="917" t="str">
        <f>VLOOKUP($A2832,'Tech Litons'!$A:$C,3,0)</f>
        <v>PTS Exports</v>
      </c>
      <c r="J2832" s="918" t="str">
        <f t="shared" si="283"/>
        <v>5911PTS Exports</v>
      </c>
      <c r="K2832" s="919">
        <v>1</v>
      </c>
      <c r="L2832" s="920">
        <f t="shared" si="282"/>
        <v>8824</v>
      </c>
      <c r="M2832" s="920">
        <f t="shared" si="284"/>
        <v>33.390015999999996</v>
      </c>
      <c r="N2832" s="920">
        <f t="shared" si="285"/>
        <v>36.766666666666666</v>
      </c>
      <c r="O2832" s="918" t="str">
        <f t="shared" si="286"/>
        <v>Feb</v>
      </c>
      <c r="P2832" s="921">
        <f t="shared" si="287"/>
        <v>6</v>
      </c>
    </row>
    <row r="2833" spans="1:16" ht="15" hidden="1" customHeight="1">
      <c r="A2833" s="839">
        <v>84162829</v>
      </c>
      <c r="B2833" s="839">
        <v>5911</v>
      </c>
      <c r="C2833" s="906">
        <v>6031</v>
      </c>
      <c r="D2833" s="907">
        <v>46053</v>
      </c>
      <c r="E2833" s="839" t="s">
        <v>464</v>
      </c>
      <c r="F2833" s="839" t="s">
        <v>279</v>
      </c>
      <c r="G2833" s="916">
        <f>VLOOKUP($A2833,'Tech Litons'!$A:$I,8,FALSE)</f>
        <v>3.3839999999999999E-3</v>
      </c>
      <c r="H2833" s="917">
        <f>VLOOKUP($A2833,'Tech Litons'!$A:$I,9,FALSE)</f>
        <v>240</v>
      </c>
      <c r="I2833" s="917" t="str">
        <f>VLOOKUP($A2833,'Tech Litons'!$A:$C,3,0)</f>
        <v>PTS Exports</v>
      </c>
      <c r="J2833" s="918" t="str">
        <f t="shared" si="283"/>
        <v>5911PTS Exports</v>
      </c>
      <c r="K2833" s="919">
        <v>1</v>
      </c>
      <c r="L2833" s="920">
        <f t="shared" si="282"/>
        <v>6031</v>
      </c>
      <c r="M2833" s="920">
        <f t="shared" si="284"/>
        <v>20.408904</v>
      </c>
      <c r="N2833" s="920">
        <f t="shared" si="285"/>
        <v>25.129166666666666</v>
      </c>
      <c r="O2833" s="918" t="str">
        <f t="shared" si="286"/>
        <v>Jan</v>
      </c>
      <c r="P2833" s="921">
        <f t="shared" si="287"/>
        <v>5</v>
      </c>
    </row>
    <row r="2834" spans="1:16" ht="15" hidden="1" customHeight="1">
      <c r="A2834" s="839">
        <v>62678148</v>
      </c>
      <c r="B2834" s="839">
        <v>5914</v>
      </c>
      <c r="C2834" s="906">
        <v>14400</v>
      </c>
      <c r="D2834" s="907">
        <v>46064</v>
      </c>
      <c r="E2834" s="839" t="s">
        <v>445</v>
      </c>
      <c r="F2834" s="839" t="s">
        <v>303</v>
      </c>
      <c r="G2834" s="916">
        <f>VLOOKUP($A2834,'Tech Litons'!$A:$I,8,FALSE)</f>
        <v>3.7839999999999996E-3</v>
      </c>
      <c r="H2834" s="917">
        <f>VLOOKUP($A2834,'Tech Litons'!$A:$I,9,FALSE)</f>
        <v>240</v>
      </c>
      <c r="I2834" s="917" t="str">
        <f>VLOOKUP($A2834,'Tech Litons'!$A:$C,3,0)</f>
        <v>BJ PTS</v>
      </c>
      <c r="J2834" s="918" t="str">
        <f t="shared" si="283"/>
        <v>5914BJ PTS</v>
      </c>
      <c r="K2834" s="919">
        <v>1</v>
      </c>
      <c r="L2834" s="920">
        <f t="shared" si="282"/>
        <v>14400</v>
      </c>
      <c r="M2834" s="920">
        <f t="shared" si="284"/>
        <v>54.489599999999996</v>
      </c>
      <c r="N2834" s="920">
        <f t="shared" si="285"/>
        <v>60</v>
      </c>
      <c r="O2834" s="918" t="str">
        <f t="shared" si="286"/>
        <v>Feb</v>
      </c>
      <c r="P2834" s="921">
        <f t="shared" si="287"/>
        <v>7</v>
      </c>
    </row>
    <row r="2835" spans="1:16" ht="15" hidden="1" customHeight="1">
      <c r="A2835" s="839">
        <v>62678148</v>
      </c>
      <c r="B2835" s="839">
        <v>5914</v>
      </c>
      <c r="C2835" s="906">
        <v>215</v>
      </c>
      <c r="D2835" s="907">
        <v>46065</v>
      </c>
      <c r="E2835" s="839" t="s">
        <v>445</v>
      </c>
      <c r="F2835" s="839" t="s">
        <v>303</v>
      </c>
      <c r="G2835" s="916">
        <f>VLOOKUP($A2835,'Tech Litons'!$A:$I,8,FALSE)</f>
        <v>3.7839999999999996E-3</v>
      </c>
      <c r="H2835" s="917">
        <f>VLOOKUP($A2835,'Tech Litons'!$A:$I,9,FALSE)</f>
        <v>240</v>
      </c>
      <c r="I2835" s="917" t="str">
        <f>VLOOKUP($A2835,'Tech Litons'!$A:$C,3,0)</f>
        <v>BJ PTS</v>
      </c>
      <c r="J2835" s="918" t="str">
        <f t="shared" si="283"/>
        <v>5914BJ PTS</v>
      </c>
      <c r="K2835" s="919">
        <v>1</v>
      </c>
      <c r="L2835" s="920">
        <f t="shared" si="282"/>
        <v>215</v>
      </c>
      <c r="M2835" s="920">
        <f t="shared" si="284"/>
        <v>0.81355999999999995</v>
      </c>
      <c r="N2835" s="920">
        <f t="shared" si="285"/>
        <v>0.89583333333333337</v>
      </c>
      <c r="O2835" s="918" t="str">
        <f t="shared" si="286"/>
        <v>Feb</v>
      </c>
      <c r="P2835" s="921">
        <f t="shared" si="287"/>
        <v>7</v>
      </c>
    </row>
    <row r="2836" spans="1:16" ht="15" hidden="1" customHeight="1">
      <c r="A2836" s="839">
        <v>62678153</v>
      </c>
      <c r="B2836" s="839">
        <v>5914</v>
      </c>
      <c r="C2836" s="906">
        <v>23040</v>
      </c>
      <c r="D2836" s="907">
        <v>46064</v>
      </c>
      <c r="E2836" s="839" t="s">
        <v>446</v>
      </c>
      <c r="F2836" s="839" t="s">
        <v>279</v>
      </c>
      <c r="G2836" s="916">
        <f>VLOOKUP($A2836,'Tech Litons'!$A:$I,8,FALSE)</f>
        <v>3.7839999999999996E-3</v>
      </c>
      <c r="H2836" s="917">
        <f>VLOOKUP($A2836,'Tech Litons'!$A:$I,9,FALSE)</f>
        <v>240</v>
      </c>
      <c r="I2836" s="917" t="str">
        <f>VLOOKUP($A2836,'Tech Litons'!$A:$C,3,0)</f>
        <v>BJ PTS</v>
      </c>
      <c r="J2836" s="918" t="str">
        <f t="shared" si="283"/>
        <v>5914BJ PTS</v>
      </c>
      <c r="K2836" s="919">
        <v>1</v>
      </c>
      <c r="L2836" s="920">
        <f t="shared" si="282"/>
        <v>23040</v>
      </c>
      <c r="M2836" s="920">
        <f t="shared" si="284"/>
        <v>87.183359999999993</v>
      </c>
      <c r="N2836" s="920">
        <f t="shared" si="285"/>
        <v>96</v>
      </c>
      <c r="O2836" s="918" t="str">
        <f t="shared" si="286"/>
        <v>Feb</v>
      </c>
      <c r="P2836" s="921">
        <f t="shared" si="287"/>
        <v>7</v>
      </c>
    </row>
    <row r="2837" spans="1:16" ht="15" hidden="1" customHeight="1">
      <c r="A2837" s="839">
        <v>62678153</v>
      </c>
      <c r="B2837" s="839">
        <v>5914</v>
      </c>
      <c r="C2837" s="906">
        <v>8793</v>
      </c>
      <c r="D2837" s="907">
        <v>46065</v>
      </c>
      <c r="E2837" s="839" t="s">
        <v>446</v>
      </c>
      <c r="F2837" s="839" t="s">
        <v>279</v>
      </c>
      <c r="G2837" s="916">
        <f>VLOOKUP($A2837,'Tech Litons'!$A:$I,8,FALSE)</f>
        <v>3.7839999999999996E-3</v>
      </c>
      <c r="H2837" s="917">
        <f>VLOOKUP($A2837,'Tech Litons'!$A:$I,9,FALSE)</f>
        <v>240</v>
      </c>
      <c r="I2837" s="917" t="str">
        <f>VLOOKUP($A2837,'Tech Litons'!$A:$C,3,0)</f>
        <v>BJ PTS</v>
      </c>
      <c r="J2837" s="918" t="str">
        <f t="shared" si="283"/>
        <v>5914BJ PTS</v>
      </c>
      <c r="K2837" s="919">
        <v>1</v>
      </c>
      <c r="L2837" s="920">
        <f t="shared" si="282"/>
        <v>8793</v>
      </c>
      <c r="M2837" s="920">
        <f t="shared" si="284"/>
        <v>33.272711999999999</v>
      </c>
      <c r="N2837" s="920">
        <f t="shared" si="285"/>
        <v>36.637500000000003</v>
      </c>
      <c r="O2837" s="918" t="str">
        <f t="shared" si="286"/>
        <v>Feb</v>
      </c>
      <c r="P2837" s="921">
        <f t="shared" si="287"/>
        <v>7</v>
      </c>
    </row>
    <row r="2838" spans="1:16" ht="15" hidden="1" customHeight="1">
      <c r="A2838" s="839">
        <v>62678153</v>
      </c>
      <c r="B2838" s="839">
        <v>5914</v>
      </c>
      <c r="C2838" s="906">
        <v>-72</v>
      </c>
      <c r="D2838" s="907">
        <v>46070</v>
      </c>
      <c r="E2838" s="839" t="s">
        <v>446</v>
      </c>
      <c r="F2838" s="839" t="s">
        <v>279</v>
      </c>
      <c r="G2838" s="916">
        <f>VLOOKUP($A2838,'Tech Litons'!$A:$I,8,FALSE)</f>
        <v>3.7839999999999996E-3</v>
      </c>
      <c r="H2838" s="917">
        <f>VLOOKUP($A2838,'Tech Litons'!$A:$I,9,FALSE)</f>
        <v>240</v>
      </c>
      <c r="I2838" s="917" t="str">
        <f>VLOOKUP($A2838,'Tech Litons'!$A:$C,3,0)</f>
        <v>BJ PTS</v>
      </c>
      <c r="J2838" s="918" t="str">
        <f t="shared" si="283"/>
        <v>5914BJ PTS</v>
      </c>
      <c r="K2838" s="919">
        <v>1</v>
      </c>
      <c r="L2838" s="920">
        <f t="shared" si="282"/>
        <v>-72</v>
      </c>
      <c r="M2838" s="920">
        <f t="shared" si="284"/>
        <v>-0.27244799999999997</v>
      </c>
      <c r="N2838" s="920">
        <f t="shared" si="285"/>
        <v>-0.3</v>
      </c>
      <c r="O2838" s="918" t="str">
        <f t="shared" si="286"/>
        <v>Feb</v>
      </c>
      <c r="P2838" s="921">
        <f t="shared" si="287"/>
        <v>8</v>
      </c>
    </row>
    <row r="2839" spans="1:16" ht="15" hidden="1" customHeight="1">
      <c r="A2839" s="839">
        <v>62697528</v>
      </c>
      <c r="B2839" s="839">
        <v>5914</v>
      </c>
      <c r="C2839" s="906">
        <v>7680</v>
      </c>
      <c r="D2839" s="907">
        <v>46062</v>
      </c>
      <c r="E2839" s="839" t="s">
        <v>435</v>
      </c>
      <c r="F2839" s="839" t="s">
        <v>279</v>
      </c>
      <c r="G2839" s="916">
        <f>VLOOKUP($A2839,'Tech Litons'!$A:$I,8,FALSE)</f>
        <v>3.7839999999999996E-3</v>
      </c>
      <c r="H2839" s="917">
        <f>VLOOKUP($A2839,'Tech Litons'!$A:$I,9,FALSE)</f>
        <v>240</v>
      </c>
      <c r="I2839" s="917" t="str">
        <f>VLOOKUP($A2839,'Tech Litons'!$A:$C,3,0)</f>
        <v>BJ PTS</v>
      </c>
      <c r="J2839" s="918" t="str">
        <f t="shared" si="283"/>
        <v>5914BJ PTS</v>
      </c>
      <c r="K2839" s="919">
        <v>1</v>
      </c>
      <c r="L2839" s="920">
        <f t="shared" si="282"/>
        <v>7680</v>
      </c>
      <c r="M2839" s="920">
        <f t="shared" si="284"/>
        <v>29.061119999999995</v>
      </c>
      <c r="N2839" s="920">
        <f t="shared" si="285"/>
        <v>32</v>
      </c>
      <c r="O2839" s="918" t="str">
        <f t="shared" si="286"/>
        <v>Feb</v>
      </c>
      <c r="P2839" s="921">
        <f t="shared" si="287"/>
        <v>7</v>
      </c>
    </row>
    <row r="2840" spans="1:16" ht="15" hidden="1" customHeight="1">
      <c r="A2840" s="839">
        <v>62697528</v>
      </c>
      <c r="B2840" s="839">
        <v>5914</v>
      </c>
      <c r="C2840" s="906">
        <v>13401</v>
      </c>
      <c r="D2840" s="907">
        <v>46063</v>
      </c>
      <c r="E2840" s="839" t="s">
        <v>435</v>
      </c>
      <c r="F2840" s="839" t="s">
        <v>279</v>
      </c>
      <c r="G2840" s="916">
        <f>VLOOKUP($A2840,'Tech Litons'!$A:$I,8,FALSE)</f>
        <v>3.7839999999999996E-3</v>
      </c>
      <c r="H2840" s="917">
        <f>VLOOKUP($A2840,'Tech Litons'!$A:$I,9,FALSE)</f>
        <v>240</v>
      </c>
      <c r="I2840" s="917" t="str">
        <f>VLOOKUP($A2840,'Tech Litons'!$A:$C,3,0)</f>
        <v>BJ PTS</v>
      </c>
      <c r="J2840" s="918" t="str">
        <f t="shared" si="283"/>
        <v>5914BJ PTS</v>
      </c>
      <c r="K2840" s="919">
        <v>1</v>
      </c>
      <c r="L2840" s="920">
        <f t="shared" si="282"/>
        <v>13401</v>
      </c>
      <c r="M2840" s="920">
        <f t="shared" si="284"/>
        <v>50.709383999999993</v>
      </c>
      <c r="N2840" s="920">
        <f t="shared" si="285"/>
        <v>55.837499999999999</v>
      </c>
      <c r="O2840" s="918" t="str">
        <f t="shared" si="286"/>
        <v>Feb</v>
      </c>
      <c r="P2840" s="921">
        <f t="shared" si="287"/>
        <v>7</v>
      </c>
    </row>
    <row r="2841" spans="1:16" ht="15" hidden="1" customHeight="1">
      <c r="A2841" s="839">
        <v>62697529</v>
      </c>
      <c r="B2841" s="839">
        <v>5914</v>
      </c>
      <c r="C2841" s="906">
        <v>12938</v>
      </c>
      <c r="D2841" s="907">
        <v>46066</v>
      </c>
      <c r="E2841" s="839" t="s">
        <v>448</v>
      </c>
      <c r="F2841" s="839" t="s">
        <v>303</v>
      </c>
      <c r="G2841" s="916">
        <f>VLOOKUP($A2841,'Tech Litons'!$A:$I,8,FALSE)</f>
        <v>3.7839999999999996E-3</v>
      </c>
      <c r="H2841" s="917">
        <f>VLOOKUP($A2841,'Tech Litons'!$A:$I,9,FALSE)</f>
        <v>240</v>
      </c>
      <c r="I2841" s="917" t="str">
        <f>VLOOKUP($A2841,'Tech Litons'!$A:$C,3,0)</f>
        <v>BJ PTS</v>
      </c>
      <c r="J2841" s="918" t="str">
        <f t="shared" si="283"/>
        <v>5914BJ PTS</v>
      </c>
      <c r="K2841" s="919">
        <v>1</v>
      </c>
      <c r="L2841" s="920">
        <f t="shared" si="282"/>
        <v>12938</v>
      </c>
      <c r="M2841" s="920">
        <f t="shared" si="284"/>
        <v>48.957391999999992</v>
      </c>
      <c r="N2841" s="920">
        <f t="shared" si="285"/>
        <v>53.908333333333331</v>
      </c>
      <c r="O2841" s="918" t="str">
        <f t="shared" si="286"/>
        <v>Feb</v>
      </c>
      <c r="P2841" s="921">
        <f t="shared" si="287"/>
        <v>7</v>
      </c>
    </row>
    <row r="2842" spans="1:16" ht="15" hidden="1" customHeight="1">
      <c r="A2842" s="839">
        <v>62697531</v>
      </c>
      <c r="B2842" s="839">
        <v>5914</v>
      </c>
      <c r="C2842" s="906">
        <v>12240</v>
      </c>
      <c r="D2842" s="907">
        <v>46069</v>
      </c>
      <c r="E2842" s="839" t="s">
        <v>449</v>
      </c>
      <c r="F2842" s="839" t="s">
        <v>279</v>
      </c>
      <c r="G2842" s="916">
        <f>VLOOKUP($A2842,'Tech Litons'!$A:$I,8,FALSE)</f>
        <v>3.7839999999999996E-3</v>
      </c>
      <c r="H2842" s="917">
        <f>VLOOKUP($A2842,'Tech Litons'!$A:$I,9,FALSE)</f>
        <v>240</v>
      </c>
      <c r="I2842" s="917" t="str">
        <f>VLOOKUP($A2842,'Tech Litons'!$A:$C,3,0)</f>
        <v>BJ PTS</v>
      </c>
      <c r="J2842" s="918" t="str">
        <f t="shared" si="283"/>
        <v>5914BJ PTS</v>
      </c>
      <c r="K2842" s="919">
        <v>1</v>
      </c>
      <c r="L2842" s="920">
        <f t="shared" si="282"/>
        <v>12240</v>
      </c>
      <c r="M2842" s="920">
        <f t="shared" si="284"/>
        <v>46.316159999999996</v>
      </c>
      <c r="N2842" s="920">
        <f t="shared" si="285"/>
        <v>51</v>
      </c>
      <c r="O2842" s="918" t="str">
        <f t="shared" si="286"/>
        <v>Feb</v>
      </c>
      <c r="P2842" s="921">
        <f t="shared" si="287"/>
        <v>8</v>
      </c>
    </row>
    <row r="2843" spans="1:16" ht="15" hidden="1" customHeight="1">
      <c r="A2843" s="839">
        <v>62697531</v>
      </c>
      <c r="B2843" s="839">
        <v>5914</v>
      </c>
      <c r="C2843" s="906">
        <v>675</v>
      </c>
      <c r="D2843" s="907">
        <v>46070</v>
      </c>
      <c r="E2843" s="839" t="s">
        <v>449</v>
      </c>
      <c r="F2843" s="839" t="s">
        <v>279</v>
      </c>
      <c r="G2843" s="916">
        <f>VLOOKUP($A2843,'Tech Litons'!$A:$I,8,FALSE)</f>
        <v>3.7839999999999996E-3</v>
      </c>
      <c r="H2843" s="917">
        <f>VLOOKUP($A2843,'Tech Litons'!$A:$I,9,FALSE)</f>
        <v>240</v>
      </c>
      <c r="I2843" s="917" t="str">
        <f>VLOOKUP($A2843,'Tech Litons'!$A:$C,3,0)</f>
        <v>BJ PTS</v>
      </c>
      <c r="J2843" s="918" t="str">
        <f t="shared" si="283"/>
        <v>5914BJ PTS</v>
      </c>
      <c r="K2843" s="919">
        <v>1</v>
      </c>
      <c r="L2843" s="920">
        <f t="shared" si="282"/>
        <v>675</v>
      </c>
      <c r="M2843" s="920">
        <f t="shared" si="284"/>
        <v>2.5541999999999998</v>
      </c>
      <c r="N2843" s="920">
        <f t="shared" si="285"/>
        <v>2.8125</v>
      </c>
      <c r="O2843" s="918" t="str">
        <f t="shared" si="286"/>
        <v>Feb</v>
      </c>
      <c r="P2843" s="921">
        <f t="shared" si="287"/>
        <v>8</v>
      </c>
    </row>
    <row r="2844" spans="1:16" ht="15" hidden="1" customHeight="1">
      <c r="A2844" s="839">
        <v>62715600</v>
      </c>
      <c r="B2844" s="839">
        <v>5914</v>
      </c>
      <c r="C2844" s="906">
        <v>17520</v>
      </c>
      <c r="D2844" s="907">
        <v>46062</v>
      </c>
      <c r="E2844" s="839" t="s">
        <v>436</v>
      </c>
      <c r="F2844" s="839" t="s">
        <v>301</v>
      </c>
      <c r="G2844" s="916">
        <f>VLOOKUP($A2844,'Tech Litons'!$A:$I,8,FALSE)</f>
        <v>3.7839999999999996E-3</v>
      </c>
      <c r="H2844" s="917">
        <f>VLOOKUP($A2844,'Tech Litons'!$A:$I,9,FALSE)</f>
        <v>240</v>
      </c>
      <c r="I2844" s="917" t="str">
        <f>VLOOKUP($A2844,'Tech Litons'!$A:$C,3,0)</f>
        <v>BJ PTS</v>
      </c>
      <c r="J2844" s="918" t="str">
        <f t="shared" si="283"/>
        <v>5914BJ PTS</v>
      </c>
      <c r="K2844" s="919">
        <v>1</v>
      </c>
      <c r="L2844" s="920">
        <f t="shared" si="282"/>
        <v>17520</v>
      </c>
      <c r="M2844" s="920">
        <f t="shared" si="284"/>
        <v>66.29567999999999</v>
      </c>
      <c r="N2844" s="920">
        <f t="shared" si="285"/>
        <v>73</v>
      </c>
      <c r="O2844" s="918" t="str">
        <f t="shared" si="286"/>
        <v>Feb</v>
      </c>
      <c r="P2844" s="921">
        <f t="shared" si="287"/>
        <v>7</v>
      </c>
    </row>
    <row r="2845" spans="1:16" ht="15" hidden="1" customHeight="1">
      <c r="A2845" s="839">
        <v>62715600</v>
      </c>
      <c r="B2845" s="839">
        <v>5914</v>
      </c>
      <c r="C2845" s="906">
        <v>3338</v>
      </c>
      <c r="D2845" s="907">
        <v>46063</v>
      </c>
      <c r="E2845" s="839" t="s">
        <v>436</v>
      </c>
      <c r="F2845" s="839" t="s">
        <v>301</v>
      </c>
      <c r="G2845" s="916">
        <f>VLOOKUP($A2845,'Tech Litons'!$A:$I,8,FALSE)</f>
        <v>3.7839999999999996E-3</v>
      </c>
      <c r="H2845" s="917">
        <f>VLOOKUP($A2845,'Tech Litons'!$A:$I,9,FALSE)</f>
        <v>240</v>
      </c>
      <c r="I2845" s="917" t="str">
        <f>VLOOKUP($A2845,'Tech Litons'!$A:$C,3,0)</f>
        <v>BJ PTS</v>
      </c>
      <c r="J2845" s="918" t="str">
        <f t="shared" si="283"/>
        <v>5914BJ PTS</v>
      </c>
      <c r="K2845" s="919">
        <v>1</v>
      </c>
      <c r="L2845" s="920">
        <f t="shared" si="282"/>
        <v>3338</v>
      </c>
      <c r="M2845" s="920">
        <f t="shared" si="284"/>
        <v>12.630991999999999</v>
      </c>
      <c r="N2845" s="920">
        <f t="shared" si="285"/>
        <v>13.908333333333333</v>
      </c>
      <c r="O2845" s="918" t="str">
        <f t="shared" si="286"/>
        <v>Feb</v>
      </c>
      <c r="P2845" s="921">
        <f t="shared" si="287"/>
        <v>7</v>
      </c>
    </row>
    <row r="2846" spans="1:16" ht="15" hidden="1" customHeight="1">
      <c r="A2846" s="839">
        <v>62735647</v>
      </c>
      <c r="B2846" s="839">
        <v>5914</v>
      </c>
      <c r="C2846" s="906">
        <v>3750</v>
      </c>
      <c r="D2846" s="907">
        <v>46070</v>
      </c>
      <c r="E2846" s="839" t="s">
        <v>437</v>
      </c>
      <c r="F2846" s="839" t="s">
        <v>303</v>
      </c>
      <c r="G2846" s="916">
        <f>VLOOKUP($A2846,'Tech Litons'!$A:$I,8,FALSE)</f>
        <v>9.0850000000000011E-3</v>
      </c>
      <c r="H2846" s="917">
        <f>VLOOKUP($A2846,'Tech Litons'!$A:$I,9,FALSE)</f>
        <v>125</v>
      </c>
      <c r="I2846" s="917" t="str">
        <f>VLOOKUP($A2846,'Tech Litons'!$A:$C,3,0)</f>
        <v>2.4 Gal</v>
      </c>
      <c r="J2846" s="918" t="str">
        <f t="shared" si="283"/>
        <v>59142.4 Gal</v>
      </c>
      <c r="K2846" s="919">
        <v>1</v>
      </c>
      <c r="L2846" s="920">
        <f t="shared" si="282"/>
        <v>3750</v>
      </c>
      <c r="M2846" s="920">
        <f t="shared" si="284"/>
        <v>34.068750000000001</v>
      </c>
      <c r="N2846" s="920">
        <f t="shared" si="285"/>
        <v>30</v>
      </c>
      <c r="O2846" s="918" t="str">
        <f t="shared" si="286"/>
        <v>Feb</v>
      </c>
      <c r="P2846" s="921">
        <f t="shared" si="287"/>
        <v>8</v>
      </c>
    </row>
    <row r="2847" spans="1:16" ht="15" hidden="1" customHeight="1">
      <c r="A2847" s="839">
        <v>62735647</v>
      </c>
      <c r="B2847" s="839">
        <v>5914</v>
      </c>
      <c r="C2847" s="906">
        <v>1260</v>
      </c>
      <c r="D2847" s="907">
        <v>46071</v>
      </c>
      <c r="E2847" s="839" t="s">
        <v>437</v>
      </c>
      <c r="F2847" s="839" t="s">
        <v>303</v>
      </c>
      <c r="G2847" s="916">
        <f>VLOOKUP($A2847,'Tech Litons'!$A:$I,8,FALSE)</f>
        <v>9.0850000000000011E-3</v>
      </c>
      <c r="H2847" s="917">
        <f>VLOOKUP($A2847,'Tech Litons'!$A:$I,9,FALSE)</f>
        <v>125</v>
      </c>
      <c r="I2847" s="917" t="str">
        <f>VLOOKUP($A2847,'Tech Litons'!$A:$C,3,0)</f>
        <v>2.4 Gal</v>
      </c>
      <c r="J2847" s="918" t="str">
        <f t="shared" si="283"/>
        <v>59142.4 Gal</v>
      </c>
      <c r="K2847" s="919">
        <v>1</v>
      </c>
      <c r="L2847" s="920">
        <f t="shared" si="282"/>
        <v>1260</v>
      </c>
      <c r="M2847" s="920">
        <f t="shared" si="284"/>
        <v>11.447100000000001</v>
      </c>
      <c r="N2847" s="920">
        <f t="shared" si="285"/>
        <v>10.08</v>
      </c>
      <c r="O2847" s="918" t="str">
        <f t="shared" si="286"/>
        <v>Feb</v>
      </c>
      <c r="P2847" s="921">
        <f t="shared" si="287"/>
        <v>8</v>
      </c>
    </row>
    <row r="2848" spans="1:16" ht="15" hidden="1" customHeight="1">
      <c r="A2848" s="839">
        <v>64361163</v>
      </c>
      <c r="B2848" s="839">
        <v>5914</v>
      </c>
      <c r="C2848" s="906">
        <v>10331</v>
      </c>
      <c r="D2848" s="907">
        <v>46063</v>
      </c>
      <c r="E2848" s="839" t="s">
        <v>438</v>
      </c>
      <c r="F2848" s="839" t="s">
        <v>301</v>
      </c>
      <c r="G2848" s="916">
        <f>VLOOKUP($A2848,'Tech Litons'!$A:$I,8,FALSE)</f>
        <v>3.7839999999999996E-3</v>
      </c>
      <c r="H2848" s="917">
        <f>VLOOKUP($A2848,'Tech Litons'!$A:$I,9,FALSE)</f>
        <v>240</v>
      </c>
      <c r="I2848" s="917" t="str">
        <f>VLOOKUP($A2848,'Tech Litons'!$A:$C,3,0)</f>
        <v>BJ PTS</v>
      </c>
      <c r="J2848" s="918" t="str">
        <f t="shared" si="283"/>
        <v>5914BJ PTS</v>
      </c>
      <c r="K2848" s="919">
        <v>1</v>
      </c>
      <c r="L2848" s="920">
        <f t="shared" si="282"/>
        <v>10331</v>
      </c>
      <c r="M2848" s="920">
        <f t="shared" si="284"/>
        <v>39.092503999999998</v>
      </c>
      <c r="N2848" s="920">
        <f t="shared" si="285"/>
        <v>43.045833333333334</v>
      </c>
      <c r="O2848" s="918" t="str">
        <f t="shared" si="286"/>
        <v>Feb</v>
      </c>
      <c r="P2848" s="921">
        <f t="shared" si="287"/>
        <v>7</v>
      </c>
    </row>
    <row r="2849" spans="1:16" ht="15" hidden="1" customHeight="1">
      <c r="A2849" s="839">
        <v>64799252</v>
      </c>
      <c r="B2849" s="839">
        <v>5914</v>
      </c>
      <c r="C2849" s="906">
        <v>3667</v>
      </c>
      <c r="D2849" s="907">
        <v>46066</v>
      </c>
      <c r="E2849" s="839" t="s">
        <v>439</v>
      </c>
      <c r="F2849" s="839" t="s">
        <v>303</v>
      </c>
      <c r="G2849" s="916">
        <f>VLOOKUP($A2849,'Tech Litons'!$A:$I,8,FALSE)</f>
        <v>9.0850000000000011E-3</v>
      </c>
      <c r="H2849" s="917">
        <f>VLOOKUP($A2849,'Tech Litons'!$A:$I,9,FALSE)</f>
        <v>125</v>
      </c>
      <c r="I2849" s="917" t="str">
        <f>VLOOKUP($A2849,'Tech Litons'!$A:$C,3,0)</f>
        <v>2.4 Gal</v>
      </c>
      <c r="J2849" s="918" t="str">
        <f t="shared" si="283"/>
        <v>59142.4 Gal</v>
      </c>
      <c r="K2849" s="919">
        <v>1</v>
      </c>
      <c r="L2849" s="920">
        <f t="shared" si="282"/>
        <v>3667</v>
      </c>
      <c r="M2849" s="920">
        <f t="shared" si="284"/>
        <v>33.314695</v>
      </c>
      <c r="N2849" s="920">
        <f t="shared" si="285"/>
        <v>29.335999999999999</v>
      </c>
      <c r="O2849" s="918" t="str">
        <f t="shared" si="286"/>
        <v>Feb</v>
      </c>
      <c r="P2849" s="921">
        <f t="shared" si="287"/>
        <v>7</v>
      </c>
    </row>
    <row r="2850" spans="1:16" ht="15" hidden="1" customHeight="1">
      <c r="A2850" s="839">
        <v>64799253</v>
      </c>
      <c r="B2850" s="839">
        <v>5914</v>
      </c>
      <c r="C2850" s="906">
        <v>4041</v>
      </c>
      <c r="D2850" s="907">
        <v>46067</v>
      </c>
      <c r="E2850" s="839" t="s">
        <v>447</v>
      </c>
      <c r="F2850" s="839" t="s">
        <v>303</v>
      </c>
      <c r="G2850" s="916">
        <f>VLOOKUP($A2850,'Tech Litons'!$A:$I,8,FALSE)</f>
        <v>9.0840000000000001E-3</v>
      </c>
      <c r="H2850" s="917">
        <f>VLOOKUP($A2850,'Tech Litons'!$A:$I,9,FALSE)</f>
        <v>125</v>
      </c>
      <c r="I2850" s="917" t="str">
        <f>VLOOKUP($A2850,'Tech Litons'!$A:$C,3,0)</f>
        <v>2.4 Gal</v>
      </c>
      <c r="J2850" s="918" t="str">
        <f t="shared" si="283"/>
        <v>59142.4 Gal</v>
      </c>
      <c r="K2850" s="919">
        <v>1</v>
      </c>
      <c r="L2850" s="920">
        <f t="shared" si="282"/>
        <v>4041</v>
      </c>
      <c r="M2850" s="920">
        <f t="shared" si="284"/>
        <v>36.708444</v>
      </c>
      <c r="N2850" s="920">
        <f t="shared" si="285"/>
        <v>32.328000000000003</v>
      </c>
      <c r="O2850" s="918" t="str">
        <f t="shared" si="286"/>
        <v>Feb</v>
      </c>
      <c r="P2850" s="921">
        <f t="shared" si="287"/>
        <v>7</v>
      </c>
    </row>
    <row r="2851" spans="1:16" ht="15" hidden="1" customHeight="1">
      <c r="A2851" s="839">
        <v>64799253</v>
      </c>
      <c r="B2851" s="839">
        <v>5914</v>
      </c>
      <c r="C2851" s="906">
        <v>-250</v>
      </c>
      <c r="D2851" s="907">
        <v>46069</v>
      </c>
      <c r="E2851" s="839" t="s">
        <v>447</v>
      </c>
      <c r="F2851" s="839" t="s">
        <v>303</v>
      </c>
      <c r="G2851" s="916">
        <f>VLOOKUP($A2851,'Tech Litons'!$A:$I,8,FALSE)</f>
        <v>9.0840000000000001E-3</v>
      </c>
      <c r="H2851" s="917">
        <f>VLOOKUP($A2851,'Tech Litons'!$A:$I,9,FALSE)</f>
        <v>125</v>
      </c>
      <c r="I2851" s="917" t="str">
        <f>VLOOKUP($A2851,'Tech Litons'!$A:$C,3,0)</f>
        <v>2.4 Gal</v>
      </c>
      <c r="J2851" s="918" t="str">
        <f t="shared" si="283"/>
        <v>59142.4 Gal</v>
      </c>
      <c r="K2851" s="919">
        <v>1</v>
      </c>
      <c r="L2851" s="920">
        <f t="shared" si="282"/>
        <v>-250</v>
      </c>
      <c r="M2851" s="920">
        <f t="shared" si="284"/>
        <v>-2.2709999999999999</v>
      </c>
      <c r="N2851" s="920">
        <f t="shared" si="285"/>
        <v>-2</v>
      </c>
      <c r="O2851" s="918" t="str">
        <f t="shared" si="286"/>
        <v>Feb</v>
      </c>
      <c r="P2851" s="921">
        <f t="shared" si="287"/>
        <v>8</v>
      </c>
    </row>
    <row r="2852" spans="1:16" ht="15" hidden="1" customHeight="1">
      <c r="A2852" s="839">
        <v>65451821</v>
      </c>
      <c r="B2852" s="839">
        <v>5914</v>
      </c>
      <c r="C2852" s="906">
        <v>4250</v>
      </c>
      <c r="D2852" s="907">
        <v>46069</v>
      </c>
      <c r="E2852" s="839" t="s">
        <v>440</v>
      </c>
      <c r="F2852" s="839" t="s">
        <v>303</v>
      </c>
      <c r="G2852" s="916">
        <f>VLOOKUP($A2852,'Tech Litons'!$A:$I,8,FALSE)</f>
        <v>9.0850000000000011E-3</v>
      </c>
      <c r="H2852" s="917">
        <f>VLOOKUP($A2852,'Tech Litons'!$A:$I,9,FALSE)</f>
        <v>125</v>
      </c>
      <c r="I2852" s="917" t="str">
        <f>VLOOKUP($A2852,'Tech Litons'!$A:$C,3,0)</f>
        <v>2.4 Gal</v>
      </c>
      <c r="J2852" s="918" t="str">
        <f t="shared" si="283"/>
        <v>59142.4 Gal</v>
      </c>
      <c r="K2852" s="919">
        <v>1</v>
      </c>
      <c r="L2852" s="920">
        <f t="shared" si="282"/>
        <v>4250</v>
      </c>
      <c r="M2852" s="920">
        <f t="shared" si="284"/>
        <v>38.611250000000005</v>
      </c>
      <c r="N2852" s="920">
        <f t="shared" si="285"/>
        <v>34</v>
      </c>
      <c r="O2852" s="918" t="str">
        <f t="shared" si="286"/>
        <v>Feb</v>
      </c>
      <c r="P2852" s="921">
        <f t="shared" si="287"/>
        <v>8</v>
      </c>
    </row>
    <row r="2853" spans="1:16" ht="15" hidden="1" customHeight="1">
      <c r="A2853" s="839">
        <v>65451821</v>
      </c>
      <c r="B2853" s="839">
        <v>5914</v>
      </c>
      <c r="C2853" s="906">
        <v>2189</v>
      </c>
      <c r="D2853" s="907">
        <v>46070</v>
      </c>
      <c r="E2853" s="839" t="s">
        <v>440</v>
      </c>
      <c r="F2853" s="839" t="s">
        <v>303</v>
      </c>
      <c r="G2853" s="916">
        <f>VLOOKUP($A2853,'Tech Litons'!$A:$I,8,FALSE)</f>
        <v>9.0850000000000011E-3</v>
      </c>
      <c r="H2853" s="917">
        <f>VLOOKUP($A2853,'Tech Litons'!$A:$I,9,FALSE)</f>
        <v>125</v>
      </c>
      <c r="I2853" s="917" t="str">
        <f>VLOOKUP($A2853,'Tech Litons'!$A:$C,3,0)</f>
        <v>2.4 Gal</v>
      </c>
      <c r="J2853" s="918" t="str">
        <f t="shared" si="283"/>
        <v>59142.4 Gal</v>
      </c>
      <c r="K2853" s="919">
        <v>1</v>
      </c>
      <c r="L2853" s="920">
        <f t="shared" si="282"/>
        <v>2189</v>
      </c>
      <c r="M2853" s="920">
        <f t="shared" si="284"/>
        <v>19.887065000000003</v>
      </c>
      <c r="N2853" s="920">
        <f t="shared" si="285"/>
        <v>17.512</v>
      </c>
      <c r="O2853" s="918" t="str">
        <f t="shared" si="286"/>
        <v>Feb</v>
      </c>
      <c r="P2853" s="921">
        <f t="shared" si="287"/>
        <v>8</v>
      </c>
    </row>
    <row r="2854" spans="1:16" ht="15" hidden="1" customHeight="1">
      <c r="A2854" s="839">
        <v>65498063</v>
      </c>
      <c r="B2854" s="839">
        <v>5914</v>
      </c>
      <c r="C2854" s="906">
        <v>625</v>
      </c>
      <c r="D2854" s="907">
        <v>46055</v>
      </c>
      <c r="E2854" s="839" t="s">
        <v>1245</v>
      </c>
      <c r="F2854" s="839" t="s">
        <v>303</v>
      </c>
      <c r="G2854" s="916">
        <f>VLOOKUP($A2854,'Tech Litons'!$A:$I,8,FALSE)</f>
        <v>9.0850000000000011E-3</v>
      </c>
      <c r="H2854" s="917">
        <f>VLOOKUP($A2854,'Tech Litons'!$A:$I,9,FALSE)</f>
        <v>125</v>
      </c>
      <c r="I2854" s="917" t="str">
        <f>VLOOKUP($A2854,'Tech Litons'!$A:$C,3,0)</f>
        <v>2.4 Gal</v>
      </c>
      <c r="J2854" s="918" t="str">
        <f t="shared" si="283"/>
        <v>59142.4 Gal</v>
      </c>
      <c r="K2854" s="919">
        <v>1</v>
      </c>
      <c r="L2854" s="920">
        <f t="shared" si="282"/>
        <v>625</v>
      </c>
      <c r="M2854" s="920">
        <f t="shared" si="284"/>
        <v>5.6781250000000005</v>
      </c>
      <c r="N2854" s="920">
        <f t="shared" si="285"/>
        <v>5</v>
      </c>
      <c r="O2854" s="918" t="str">
        <f t="shared" si="286"/>
        <v>Feb</v>
      </c>
      <c r="P2854" s="921">
        <f t="shared" si="287"/>
        <v>6</v>
      </c>
    </row>
    <row r="2855" spans="1:16" ht="15" hidden="1" customHeight="1">
      <c r="A2855" s="839">
        <v>65498063</v>
      </c>
      <c r="B2855" s="839">
        <v>5914</v>
      </c>
      <c r="C2855" s="906">
        <v>5175</v>
      </c>
      <c r="D2855" s="907">
        <v>46056</v>
      </c>
      <c r="E2855" s="839" t="s">
        <v>1245</v>
      </c>
      <c r="F2855" s="839" t="s">
        <v>303</v>
      </c>
      <c r="G2855" s="916">
        <f>VLOOKUP($A2855,'Tech Litons'!$A:$I,8,FALSE)</f>
        <v>9.0850000000000011E-3</v>
      </c>
      <c r="H2855" s="917">
        <f>VLOOKUP($A2855,'Tech Litons'!$A:$I,9,FALSE)</f>
        <v>125</v>
      </c>
      <c r="I2855" s="917" t="str">
        <f>VLOOKUP($A2855,'Tech Litons'!$A:$C,3,0)</f>
        <v>2.4 Gal</v>
      </c>
      <c r="J2855" s="918" t="str">
        <f t="shared" si="283"/>
        <v>59142.4 Gal</v>
      </c>
      <c r="K2855" s="919">
        <v>1</v>
      </c>
      <c r="L2855" s="920">
        <f t="shared" ref="L2855:L2914" si="288">C2855*$K2855</f>
        <v>5175</v>
      </c>
      <c r="M2855" s="920">
        <f t="shared" si="284"/>
        <v>47.014875000000004</v>
      </c>
      <c r="N2855" s="920">
        <f t="shared" si="285"/>
        <v>41.4</v>
      </c>
      <c r="O2855" s="918" t="str">
        <f t="shared" si="286"/>
        <v>Feb</v>
      </c>
      <c r="P2855" s="921">
        <f t="shared" si="287"/>
        <v>6</v>
      </c>
    </row>
    <row r="2856" spans="1:16" ht="15" hidden="1" customHeight="1">
      <c r="A2856" s="839">
        <v>67789314</v>
      </c>
      <c r="B2856" s="839">
        <v>5914</v>
      </c>
      <c r="C2856" s="906">
        <v>19081</v>
      </c>
      <c r="D2856" s="907">
        <v>46073</v>
      </c>
      <c r="E2856" s="839" t="s">
        <v>344</v>
      </c>
      <c r="F2856" s="839" t="s">
        <v>303</v>
      </c>
      <c r="G2856" s="916">
        <f>VLOOKUP($A2856,'Tech Litons'!$A:$I,8,FALSE)</f>
        <v>3.7853439999999999E-3</v>
      </c>
      <c r="H2856" s="917">
        <f>VLOOKUP($A2856,'Tech Litons'!$A:$I,9,FALSE)</f>
        <v>240</v>
      </c>
      <c r="I2856" s="917" t="str">
        <f>VLOOKUP($A2856,'Tech Litons'!$A:$C,3,0)</f>
        <v>BJ PTS</v>
      </c>
      <c r="J2856" s="918" t="str">
        <f t="shared" ref="J2856:J2915" si="289">B2856&amp;I2856</f>
        <v>5914BJ PTS</v>
      </c>
      <c r="K2856" s="919">
        <v>1</v>
      </c>
      <c r="L2856" s="920">
        <f t="shared" si="288"/>
        <v>19081</v>
      </c>
      <c r="M2856" s="920">
        <f t="shared" ref="M2856:M2915" si="290">L2856*G2856</f>
        <v>72.228148864000005</v>
      </c>
      <c r="N2856" s="920">
        <f t="shared" ref="N2856:N2915" si="291">L2856/H2856</f>
        <v>79.504166666666663</v>
      </c>
      <c r="O2856" s="918" t="str">
        <f t="shared" ref="O2856:O2915" si="292">TEXT(D2856,"MMM")</f>
        <v>Feb</v>
      </c>
      <c r="P2856" s="921">
        <f t="shared" ref="P2856:P2915" si="293">WEEKNUM(D2856)</f>
        <v>8</v>
      </c>
    </row>
    <row r="2857" spans="1:16" ht="15" hidden="1" customHeight="1">
      <c r="A2857" s="839">
        <v>67794169</v>
      </c>
      <c r="B2857" s="839">
        <v>5914</v>
      </c>
      <c r="C2857" s="906">
        <v>1200</v>
      </c>
      <c r="D2857" s="907">
        <v>46073</v>
      </c>
      <c r="E2857" s="839" t="s">
        <v>352</v>
      </c>
      <c r="F2857" s="839" t="s">
        <v>303</v>
      </c>
      <c r="G2857" s="916">
        <f>VLOOKUP($A2857,'Tech Litons'!$A:$I,8,FALSE)</f>
        <v>3.7853439999999999E-3</v>
      </c>
      <c r="H2857" s="917">
        <f>VLOOKUP($A2857,'Tech Litons'!$A:$I,9,FALSE)</f>
        <v>240</v>
      </c>
      <c r="I2857" s="917" t="str">
        <f>VLOOKUP($A2857,'Tech Litons'!$A:$C,3,0)</f>
        <v>BJ PTS</v>
      </c>
      <c r="J2857" s="918" t="str">
        <f t="shared" si="289"/>
        <v>5914BJ PTS</v>
      </c>
      <c r="K2857" s="919">
        <v>1</v>
      </c>
      <c r="L2857" s="920">
        <f t="shared" si="288"/>
        <v>1200</v>
      </c>
      <c r="M2857" s="920">
        <f t="shared" si="290"/>
        <v>4.5424128000000001</v>
      </c>
      <c r="N2857" s="920">
        <f t="shared" si="291"/>
        <v>5</v>
      </c>
      <c r="O2857" s="918" t="str">
        <f t="shared" si="292"/>
        <v>Feb</v>
      </c>
      <c r="P2857" s="921">
        <f t="shared" si="293"/>
        <v>8</v>
      </c>
    </row>
    <row r="2858" spans="1:16" ht="15" hidden="1" customHeight="1">
      <c r="A2858" s="839">
        <v>67794169</v>
      </c>
      <c r="B2858" s="839">
        <v>5914</v>
      </c>
      <c r="C2858" s="906">
        <v>25932</v>
      </c>
      <c r="D2858" s="907">
        <v>46074</v>
      </c>
      <c r="E2858" s="839" t="s">
        <v>352</v>
      </c>
      <c r="F2858" s="839" t="s">
        <v>303</v>
      </c>
      <c r="G2858" s="916">
        <f>VLOOKUP($A2858,'Tech Litons'!$A:$I,8,FALSE)</f>
        <v>3.7853439999999999E-3</v>
      </c>
      <c r="H2858" s="917">
        <f>VLOOKUP($A2858,'Tech Litons'!$A:$I,9,FALSE)</f>
        <v>240</v>
      </c>
      <c r="I2858" s="917" t="str">
        <f>VLOOKUP($A2858,'Tech Litons'!$A:$C,3,0)</f>
        <v>BJ PTS</v>
      </c>
      <c r="J2858" s="918" t="str">
        <f t="shared" si="289"/>
        <v>5914BJ PTS</v>
      </c>
      <c r="K2858" s="919">
        <v>1</v>
      </c>
      <c r="L2858" s="920">
        <f t="shared" si="288"/>
        <v>25932</v>
      </c>
      <c r="M2858" s="920">
        <f t="shared" si="290"/>
        <v>98.161540607999996</v>
      </c>
      <c r="N2858" s="920">
        <f t="shared" si="291"/>
        <v>108.05</v>
      </c>
      <c r="O2858" s="918" t="str">
        <f t="shared" si="292"/>
        <v>Feb</v>
      </c>
      <c r="P2858" s="921">
        <f t="shared" si="293"/>
        <v>8</v>
      </c>
    </row>
    <row r="2859" spans="1:16" ht="15" hidden="1" customHeight="1">
      <c r="A2859" s="839">
        <v>67825198</v>
      </c>
      <c r="B2859" s="839">
        <v>5914</v>
      </c>
      <c r="C2859" s="906">
        <v>3000</v>
      </c>
      <c r="D2859" s="907">
        <v>46071</v>
      </c>
      <c r="E2859" s="839" t="s">
        <v>470</v>
      </c>
      <c r="F2859" s="839" t="s">
        <v>303</v>
      </c>
      <c r="G2859" s="916">
        <f>VLOOKUP($A2859,'Tech Litons'!$A:$I,8,FALSE)</f>
        <v>9.0848256361922702E-3</v>
      </c>
      <c r="H2859" s="917">
        <f>VLOOKUP($A2859,'Tech Litons'!$A:$I,9,FALSE)</f>
        <v>125</v>
      </c>
      <c r="I2859" s="917" t="str">
        <f>VLOOKUP($A2859,'Tech Litons'!$A:$C,3,0)</f>
        <v>2.4 Gal</v>
      </c>
      <c r="J2859" s="918" t="str">
        <f t="shared" si="289"/>
        <v>59142.4 Gal</v>
      </c>
      <c r="K2859" s="919">
        <v>1</v>
      </c>
      <c r="L2859" s="920">
        <f t="shared" si="288"/>
        <v>3000</v>
      </c>
      <c r="M2859" s="920">
        <f t="shared" si="290"/>
        <v>27.254476908576812</v>
      </c>
      <c r="N2859" s="920">
        <f t="shared" si="291"/>
        <v>24</v>
      </c>
      <c r="O2859" s="918" t="str">
        <f t="shared" si="292"/>
        <v>Feb</v>
      </c>
      <c r="P2859" s="921">
        <f t="shared" si="293"/>
        <v>8</v>
      </c>
    </row>
    <row r="2860" spans="1:16" ht="15" hidden="1" customHeight="1">
      <c r="A2860" s="839">
        <v>67825198</v>
      </c>
      <c r="B2860" s="839">
        <v>5914</v>
      </c>
      <c r="C2860" s="906">
        <v>2784</v>
      </c>
      <c r="D2860" s="907">
        <v>46072</v>
      </c>
      <c r="E2860" s="839" t="s">
        <v>470</v>
      </c>
      <c r="F2860" s="839" t="s">
        <v>303</v>
      </c>
      <c r="G2860" s="916">
        <f>VLOOKUP($A2860,'Tech Litons'!$A:$I,8,FALSE)</f>
        <v>9.0848256361922702E-3</v>
      </c>
      <c r="H2860" s="917">
        <f>VLOOKUP($A2860,'Tech Litons'!$A:$I,9,FALSE)</f>
        <v>125</v>
      </c>
      <c r="I2860" s="917" t="str">
        <f>VLOOKUP($A2860,'Tech Litons'!$A:$C,3,0)</f>
        <v>2.4 Gal</v>
      </c>
      <c r="J2860" s="918" t="str">
        <f t="shared" si="289"/>
        <v>59142.4 Gal</v>
      </c>
      <c r="K2860" s="919">
        <v>1</v>
      </c>
      <c r="L2860" s="920">
        <f t="shared" si="288"/>
        <v>2784</v>
      </c>
      <c r="M2860" s="920">
        <f t="shared" si="290"/>
        <v>25.29215457115928</v>
      </c>
      <c r="N2860" s="920">
        <f t="shared" si="291"/>
        <v>22.271999999999998</v>
      </c>
      <c r="O2860" s="918" t="str">
        <f t="shared" si="292"/>
        <v>Feb</v>
      </c>
      <c r="P2860" s="921">
        <f t="shared" si="293"/>
        <v>8</v>
      </c>
    </row>
    <row r="2861" spans="1:16" ht="15" hidden="1" customHeight="1">
      <c r="A2861" s="839">
        <v>67881629</v>
      </c>
      <c r="B2861" s="839">
        <v>5914</v>
      </c>
      <c r="C2861" s="906">
        <v>16320</v>
      </c>
      <c r="D2861" s="907">
        <v>46051</v>
      </c>
      <c r="E2861" s="839" t="s">
        <v>337</v>
      </c>
      <c r="F2861" s="839" t="s">
        <v>279</v>
      </c>
      <c r="G2861" s="916">
        <f>VLOOKUP($A2861,'Tech Litons'!$A:$I,8,FALSE)</f>
        <v>3.7853439999999999E-3</v>
      </c>
      <c r="H2861" s="917">
        <f>VLOOKUP($A2861,'Tech Litons'!$A:$I,9,FALSE)</f>
        <v>240</v>
      </c>
      <c r="I2861" s="917" t="str">
        <f>VLOOKUP($A2861,'Tech Litons'!$A:$C,3,0)</f>
        <v>BJ PTS</v>
      </c>
      <c r="J2861" s="918" t="str">
        <f t="shared" si="289"/>
        <v>5914BJ PTS</v>
      </c>
      <c r="K2861" s="919">
        <v>1</v>
      </c>
      <c r="L2861" s="920">
        <f t="shared" si="288"/>
        <v>16320</v>
      </c>
      <c r="M2861" s="920">
        <f t="shared" si="290"/>
        <v>61.776814080000001</v>
      </c>
      <c r="N2861" s="920">
        <f t="shared" si="291"/>
        <v>68</v>
      </c>
      <c r="O2861" s="918" t="str">
        <f t="shared" si="292"/>
        <v>Jan</v>
      </c>
      <c r="P2861" s="921">
        <f t="shared" si="293"/>
        <v>5</v>
      </c>
    </row>
    <row r="2862" spans="1:16" ht="15" hidden="1" customHeight="1">
      <c r="A2862" s="839">
        <v>67881629</v>
      </c>
      <c r="B2862" s="839">
        <v>5914</v>
      </c>
      <c r="C2862" s="906">
        <v>22176</v>
      </c>
      <c r="D2862" s="907">
        <v>46052</v>
      </c>
      <c r="E2862" s="839" t="s">
        <v>337</v>
      </c>
      <c r="F2862" s="839" t="s">
        <v>279</v>
      </c>
      <c r="G2862" s="916">
        <f>VLOOKUP($A2862,'Tech Litons'!$A:$I,8,FALSE)</f>
        <v>3.7853439999999999E-3</v>
      </c>
      <c r="H2862" s="917">
        <f>VLOOKUP($A2862,'Tech Litons'!$A:$I,9,FALSE)</f>
        <v>240</v>
      </c>
      <c r="I2862" s="917" t="str">
        <f>VLOOKUP($A2862,'Tech Litons'!$A:$C,3,0)</f>
        <v>BJ PTS</v>
      </c>
      <c r="J2862" s="918" t="str">
        <f t="shared" si="289"/>
        <v>5914BJ PTS</v>
      </c>
      <c r="K2862" s="919">
        <v>1</v>
      </c>
      <c r="L2862" s="920">
        <f t="shared" si="288"/>
        <v>22176</v>
      </c>
      <c r="M2862" s="920">
        <f t="shared" si="290"/>
        <v>83.943788544</v>
      </c>
      <c r="N2862" s="920">
        <f t="shared" si="291"/>
        <v>92.4</v>
      </c>
      <c r="O2862" s="918" t="str">
        <f t="shared" si="292"/>
        <v>Jan</v>
      </c>
      <c r="P2862" s="921">
        <f t="shared" si="293"/>
        <v>5</v>
      </c>
    </row>
    <row r="2863" spans="1:16" ht="15" hidden="1" customHeight="1">
      <c r="A2863" s="839">
        <v>67881629</v>
      </c>
      <c r="B2863" s="839">
        <v>5914</v>
      </c>
      <c r="C2863" s="906">
        <v>10197</v>
      </c>
      <c r="D2863" s="907">
        <v>46053</v>
      </c>
      <c r="E2863" s="839" t="s">
        <v>337</v>
      </c>
      <c r="F2863" s="839" t="s">
        <v>279</v>
      </c>
      <c r="G2863" s="916">
        <f>VLOOKUP($A2863,'Tech Litons'!$A:$I,8,FALSE)</f>
        <v>3.7853439999999999E-3</v>
      </c>
      <c r="H2863" s="917">
        <f>VLOOKUP($A2863,'Tech Litons'!$A:$I,9,FALSE)</f>
        <v>240</v>
      </c>
      <c r="I2863" s="917" t="str">
        <f>VLOOKUP($A2863,'Tech Litons'!$A:$C,3,0)</f>
        <v>BJ PTS</v>
      </c>
      <c r="J2863" s="918" t="str">
        <f t="shared" si="289"/>
        <v>5914BJ PTS</v>
      </c>
      <c r="K2863" s="919">
        <v>1</v>
      </c>
      <c r="L2863" s="920">
        <f t="shared" si="288"/>
        <v>10197</v>
      </c>
      <c r="M2863" s="920">
        <f t="shared" si="290"/>
        <v>38.599152767999996</v>
      </c>
      <c r="N2863" s="920">
        <f t="shared" si="291"/>
        <v>42.487499999999997</v>
      </c>
      <c r="O2863" s="918" t="str">
        <f t="shared" si="292"/>
        <v>Jan</v>
      </c>
      <c r="P2863" s="921">
        <f t="shared" si="293"/>
        <v>5</v>
      </c>
    </row>
    <row r="2864" spans="1:16" ht="15" hidden="1" customHeight="1">
      <c r="A2864" s="839">
        <v>67881629</v>
      </c>
      <c r="B2864" s="839">
        <v>5914</v>
      </c>
      <c r="C2864" s="906">
        <v>-96</v>
      </c>
      <c r="D2864" s="907">
        <v>46054</v>
      </c>
      <c r="E2864" s="839" t="s">
        <v>337</v>
      </c>
      <c r="F2864" s="839" t="s">
        <v>279</v>
      </c>
      <c r="G2864" s="916">
        <f>VLOOKUP($A2864,'Tech Litons'!$A:$I,8,FALSE)</f>
        <v>3.7853439999999999E-3</v>
      </c>
      <c r="H2864" s="917">
        <f>VLOOKUP($A2864,'Tech Litons'!$A:$I,9,FALSE)</f>
        <v>240</v>
      </c>
      <c r="I2864" s="917" t="str">
        <f>VLOOKUP($A2864,'Tech Litons'!$A:$C,3,0)</f>
        <v>BJ PTS</v>
      </c>
      <c r="J2864" s="918" t="str">
        <f t="shared" si="289"/>
        <v>5914BJ PTS</v>
      </c>
      <c r="K2864" s="919">
        <v>1</v>
      </c>
      <c r="L2864" s="920">
        <f t="shared" si="288"/>
        <v>-96</v>
      </c>
      <c r="M2864" s="920">
        <f t="shared" si="290"/>
        <v>-0.36339302400000001</v>
      </c>
      <c r="N2864" s="920">
        <f t="shared" si="291"/>
        <v>-0.4</v>
      </c>
      <c r="O2864" s="918" t="str">
        <f t="shared" si="292"/>
        <v>Feb</v>
      </c>
      <c r="P2864" s="921">
        <f t="shared" si="293"/>
        <v>6</v>
      </c>
    </row>
    <row r="2865" spans="1:16" ht="15" hidden="1" customHeight="1">
      <c r="A2865" s="839">
        <v>67881629</v>
      </c>
      <c r="B2865" s="839">
        <v>5914</v>
      </c>
      <c r="C2865" s="906">
        <v>17520</v>
      </c>
      <c r="D2865" s="907">
        <v>46070</v>
      </c>
      <c r="E2865" s="839" t="s">
        <v>337</v>
      </c>
      <c r="F2865" s="839" t="s">
        <v>279</v>
      </c>
      <c r="G2865" s="916">
        <f>VLOOKUP($A2865,'Tech Litons'!$A:$I,8,FALSE)</f>
        <v>3.7853439999999999E-3</v>
      </c>
      <c r="H2865" s="917">
        <f>VLOOKUP($A2865,'Tech Litons'!$A:$I,9,FALSE)</f>
        <v>240</v>
      </c>
      <c r="I2865" s="917" t="str">
        <f>VLOOKUP($A2865,'Tech Litons'!$A:$C,3,0)</f>
        <v>BJ PTS</v>
      </c>
      <c r="J2865" s="918" t="str">
        <f t="shared" si="289"/>
        <v>5914BJ PTS</v>
      </c>
      <c r="K2865" s="919">
        <v>1</v>
      </c>
      <c r="L2865" s="920">
        <f t="shared" si="288"/>
        <v>17520</v>
      </c>
      <c r="M2865" s="920">
        <f t="shared" si="290"/>
        <v>66.319226880000002</v>
      </c>
      <c r="N2865" s="920">
        <f t="shared" si="291"/>
        <v>73</v>
      </c>
      <c r="O2865" s="918" t="str">
        <f t="shared" si="292"/>
        <v>Feb</v>
      </c>
      <c r="P2865" s="921">
        <f t="shared" si="293"/>
        <v>8</v>
      </c>
    </row>
    <row r="2866" spans="1:16" ht="15" hidden="1" customHeight="1">
      <c r="A2866" s="839">
        <v>67881629</v>
      </c>
      <c r="B2866" s="839">
        <v>5914</v>
      </c>
      <c r="C2866" s="906">
        <v>19252</v>
      </c>
      <c r="D2866" s="907">
        <v>46071</v>
      </c>
      <c r="E2866" s="839" t="s">
        <v>337</v>
      </c>
      <c r="F2866" s="839" t="s">
        <v>279</v>
      </c>
      <c r="G2866" s="916">
        <f>VLOOKUP($A2866,'Tech Litons'!$A:$I,8,FALSE)</f>
        <v>3.7853439999999999E-3</v>
      </c>
      <c r="H2866" s="917">
        <f>VLOOKUP($A2866,'Tech Litons'!$A:$I,9,FALSE)</f>
        <v>240</v>
      </c>
      <c r="I2866" s="917" t="str">
        <f>VLOOKUP($A2866,'Tech Litons'!$A:$C,3,0)</f>
        <v>BJ PTS</v>
      </c>
      <c r="J2866" s="918" t="str">
        <f t="shared" si="289"/>
        <v>5914BJ PTS</v>
      </c>
      <c r="K2866" s="919">
        <v>1</v>
      </c>
      <c r="L2866" s="920">
        <f t="shared" si="288"/>
        <v>19252</v>
      </c>
      <c r="M2866" s="920">
        <f t="shared" si="290"/>
        <v>72.875442687999993</v>
      </c>
      <c r="N2866" s="920">
        <f t="shared" si="291"/>
        <v>80.216666666666669</v>
      </c>
      <c r="O2866" s="918" t="str">
        <f t="shared" si="292"/>
        <v>Feb</v>
      </c>
      <c r="P2866" s="921">
        <f t="shared" si="293"/>
        <v>8</v>
      </c>
    </row>
    <row r="2867" spans="1:16" ht="15" hidden="1" customHeight="1">
      <c r="A2867" s="839">
        <v>67881629</v>
      </c>
      <c r="B2867" s="839">
        <v>5914</v>
      </c>
      <c r="C2867" s="906">
        <v>15674</v>
      </c>
      <c r="D2867" s="907">
        <v>46072</v>
      </c>
      <c r="E2867" s="839" t="s">
        <v>337</v>
      </c>
      <c r="F2867" s="839" t="s">
        <v>279</v>
      </c>
      <c r="G2867" s="916">
        <f>VLOOKUP($A2867,'Tech Litons'!$A:$I,8,FALSE)</f>
        <v>3.7853439999999999E-3</v>
      </c>
      <c r="H2867" s="917">
        <f>VLOOKUP($A2867,'Tech Litons'!$A:$I,9,FALSE)</f>
        <v>240</v>
      </c>
      <c r="I2867" s="917" t="str">
        <f>VLOOKUP($A2867,'Tech Litons'!$A:$C,3,0)</f>
        <v>BJ PTS</v>
      </c>
      <c r="J2867" s="918" t="str">
        <f t="shared" si="289"/>
        <v>5914BJ PTS</v>
      </c>
      <c r="K2867" s="919">
        <v>1</v>
      </c>
      <c r="L2867" s="920">
        <f t="shared" si="288"/>
        <v>15674</v>
      </c>
      <c r="M2867" s="920">
        <f t="shared" si="290"/>
        <v>59.331481855999996</v>
      </c>
      <c r="N2867" s="920">
        <f t="shared" si="291"/>
        <v>65.308333333333337</v>
      </c>
      <c r="O2867" s="918" t="str">
        <f t="shared" si="292"/>
        <v>Feb</v>
      </c>
      <c r="P2867" s="921">
        <f t="shared" si="293"/>
        <v>8</v>
      </c>
    </row>
    <row r="2868" spans="1:16" ht="15" hidden="1" customHeight="1">
      <c r="A2868" s="839">
        <v>67881629</v>
      </c>
      <c r="B2868" s="839">
        <v>5914</v>
      </c>
      <c r="C2868" s="906">
        <v>-19</v>
      </c>
      <c r="D2868" s="907">
        <v>46073</v>
      </c>
      <c r="E2868" s="839" t="s">
        <v>337</v>
      </c>
      <c r="F2868" s="839" t="s">
        <v>279</v>
      </c>
      <c r="G2868" s="916">
        <f>VLOOKUP($A2868,'Tech Litons'!$A:$I,8,FALSE)</f>
        <v>3.7853439999999999E-3</v>
      </c>
      <c r="H2868" s="917">
        <f>VLOOKUP($A2868,'Tech Litons'!$A:$I,9,FALSE)</f>
        <v>240</v>
      </c>
      <c r="I2868" s="917" t="str">
        <f>VLOOKUP($A2868,'Tech Litons'!$A:$C,3,0)</f>
        <v>BJ PTS</v>
      </c>
      <c r="J2868" s="918" t="str">
        <f t="shared" si="289"/>
        <v>5914BJ PTS</v>
      </c>
      <c r="K2868" s="919">
        <v>1</v>
      </c>
      <c r="L2868" s="920">
        <f t="shared" si="288"/>
        <v>-19</v>
      </c>
      <c r="M2868" s="920">
        <f t="shared" si="290"/>
        <v>-7.1921535999999994E-2</v>
      </c>
      <c r="N2868" s="920">
        <f t="shared" si="291"/>
        <v>-7.9166666666666663E-2</v>
      </c>
      <c r="O2868" s="918" t="str">
        <f t="shared" si="292"/>
        <v>Feb</v>
      </c>
      <c r="P2868" s="921">
        <f t="shared" si="293"/>
        <v>8</v>
      </c>
    </row>
    <row r="2869" spans="1:16" ht="15" hidden="1" customHeight="1">
      <c r="A2869" s="839">
        <v>67916890</v>
      </c>
      <c r="B2869" s="839">
        <v>5914</v>
      </c>
      <c r="C2869" s="906">
        <v>4264</v>
      </c>
      <c r="D2869" s="907">
        <v>46050</v>
      </c>
      <c r="E2869" s="839" t="s">
        <v>471</v>
      </c>
      <c r="F2869" s="839" t="s">
        <v>303</v>
      </c>
      <c r="G2869" s="916">
        <f>VLOOKUP($A2869,'Tech Litons'!$A:$I,8,FALSE)</f>
        <v>3.6640000000000002E-3</v>
      </c>
      <c r="H2869" s="917">
        <f>VLOOKUP($A2869,'Tech Litons'!$A:$I,9,FALSE)</f>
        <v>240</v>
      </c>
      <c r="I2869" s="917" t="str">
        <f>VLOOKUP($A2869,'Tech Litons'!$A:$C,3,0)</f>
        <v>PTS Exports</v>
      </c>
      <c r="J2869" s="918" t="str">
        <f t="shared" si="289"/>
        <v>5914PTS Exports</v>
      </c>
      <c r="K2869" s="919">
        <v>1</v>
      </c>
      <c r="L2869" s="920">
        <f t="shared" si="288"/>
        <v>4264</v>
      </c>
      <c r="M2869" s="920">
        <f t="shared" si="290"/>
        <v>15.623296</v>
      </c>
      <c r="N2869" s="920">
        <f t="shared" si="291"/>
        <v>17.766666666666666</v>
      </c>
      <c r="O2869" s="918" t="str">
        <f t="shared" si="292"/>
        <v>Jan</v>
      </c>
      <c r="P2869" s="921">
        <f t="shared" si="293"/>
        <v>5</v>
      </c>
    </row>
    <row r="2870" spans="1:16" ht="15" hidden="1" customHeight="1">
      <c r="A2870" s="839">
        <v>68354578</v>
      </c>
      <c r="B2870" s="839">
        <v>5914</v>
      </c>
      <c r="C2870" s="906">
        <v>2250</v>
      </c>
      <c r="D2870" s="907">
        <v>46052</v>
      </c>
      <c r="E2870" s="839" t="s">
        <v>398</v>
      </c>
      <c r="F2870" s="839" t="s">
        <v>303</v>
      </c>
      <c r="G2870" s="916">
        <f>VLOOKUP($A2870,'Tech Litons'!$A:$I,8,FALSE)</f>
        <v>9.0848256361922702E-3</v>
      </c>
      <c r="H2870" s="917">
        <f>VLOOKUP($A2870,'Tech Litons'!$A:$I,9,FALSE)</f>
        <v>125</v>
      </c>
      <c r="I2870" s="917" t="str">
        <f>VLOOKUP($A2870,'Tech Litons'!$A:$C,3,0)</f>
        <v>2.4 Gal</v>
      </c>
      <c r="J2870" s="918" t="str">
        <f t="shared" si="289"/>
        <v>59142.4 Gal</v>
      </c>
      <c r="K2870" s="919">
        <v>1</v>
      </c>
      <c r="L2870" s="920">
        <f t="shared" si="288"/>
        <v>2250</v>
      </c>
      <c r="M2870" s="920">
        <f t="shared" si="290"/>
        <v>20.440857681432608</v>
      </c>
      <c r="N2870" s="920">
        <f t="shared" si="291"/>
        <v>18</v>
      </c>
      <c r="O2870" s="918" t="str">
        <f t="shared" si="292"/>
        <v>Jan</v>
      </c>
      <c r="P2870" s="921">
        <f t="shared" si="293"/>
        <v>5</v>
      </c>
    </row>
    <row r="2871" spans="1:16" ht="15" hidden="1" customHeight="1">
      <c r="A2871" s="839">
        <v>68354578</v>
      </c>
      <c r="B2871" s="839">
        <v>5914</v>
      </c>
      <c r="C2871" s="906">
        <v>4208</v>
      </c>
      <c r="D2871" s="907">
        <v>46053</v>
      </c>
      <c r="E2871" s="839" t="s">
        <v>398</v>
      </c>
      <c r="F2871" s="839" t="s">
        <v>303</v>
      </c>
      <c r="G2871" s="916">
        <f>VLOOKUP($A2871,'Tech Litons'!$A:$I,8,FALSE)</f>
        <v>9.0848256361922702E-3</v>
      </c>
      <c r="H2871" s="917">
        <f>VLOOKUP($A2871,'Tech Litons'!$A:$I,9,FALSE)</f>
        <v>125</v>
      </c>
      <c r="I2871" s="917" t="str">
        <f>VLOOKUP($A2871,'Tech Litons'!$A:$C,3,0)</f>
        <v>2.4 Gal</v>
      </c>
      <c r="J2871" s="918" t="str">
        <f t="shared" si="289"/>
        <v>59142.4 Gal</v>
      </c>
      <c r="K2871" s="919">
        <v>1</v>
      </c>
      <c r="L2871" s="920">
        <f t="shared" si="288"/>
        <v>4208</v>
      </c>
      <c r="M2871" s="920">
        <f t="shared" si="290"/>
        <v>38.228946277097073</v>
      </c>
      <c r="N2871" s="920">
        <f t="shared" si="291"/>
        <v>33.664000000000001</v>
      </c>
      <c r="O2871" s="918" t="str">
        <f t="shared" si="292"/>
        <v>Jan</v>
      </c>
      <c r="P2871" s="921">
        <f t="shared" si="293"/>
        <v>5</v>
      </c>
    </row>
    <row r="2872" spans="1:16" ht="15" hidden="1" customHeight="1">
      <c r="A2872" s="839">
        <v>68354578</v>
      </c>
      <c r="B2872" s="839">
        <v>5914</v>
      </c>
      <c r="C2872" s="906">
        <v>2750</v>
      </c>
      <c r="D2872" s="907">
        <v>46064</v>
      </c>
      <c r="E2872" s="839" t="s">
        <v>398</v>
      </c>
      <c r="F2872" s="839" t="s">
        <v>303</v>
      </c>
      <c r="G2872" s="916">
        <f>VLOOKUP($A2872,'Tech Litons'!$A:$I,8,FALSE)</f>
        <v>9.0848256361922702E-3</v>
      </c>
      <c r="H2872" s="917">
        <f>VLOOKUP($A2872,'Tech Litons'!$A:$I,9,FALSE)</f>
        <v>125</v>
      </c>
      <c r="I2872" s="917" t="str">
        <f>VLOOKUP($A2872,'Tech Litons'!$A:$C,3,0)</f>
        <v>2.4 Gal</v>
      </c>
      <c r="J2872" s="918" t="str">
        <f t="shared" si="289"/>
        <v>59142.4 Gal</v>
      </c>
      <c r="K2872" s="919">
        <v>1</v>
      </c>
      <c r="L2872" s="920">
        <f t="shared" si="288"/>
        <v>2750</v>
      </c>
      <c r="M2872" s="920">
        <f t="shared" si="290"/>
        <v>24.983270499528743</v>
      </c>
      <c r="N2872" s="920">
        <f t="shared" si="291"/>
        <v>22</v>
      </c>
      <c r="O2872" s="918" t="str">
        <f t="shared" si="292"/>
        <v>Feb</v>
      </c>
      <c r="P2872" s="921">
        <f t="shared" si="293"/>
        <v>7</v>
      </c>
    </row>
    <row r="2873" spans="1:16" ht="15" hidden="1" customHeight="1">
      <c r="A2873" s="839">
        <v>68354578</v>
      </c>
      <c r="B2873" s="839">
        <v>5914</v>
      </c>
      <c r="C2873" s="906">
        <v>2198</v>
      </c>
      <c r="D2873" s="907">
        <v>46065</v>
      </c>
      <c r="E2873" s="839" t="s">
        <v>398</v>
      </c>
      <c r="F2873" s="839" t="s">
        <v>303</v>
      </c>
      <c r="G2873" s="916">
        <f>VLOOKUP($A2873,'Tech Litons'!$A:$I,8,FALSE)</f>
        <v>9.0848256361922702E-3</v>
      </c>
      <c r="H2873" s="917">
        <f>VLOOKUP($A2873,'Tech Litons'!$A:$I,9,FALSE)</f>
        <v>125</v>
      </c>
      <c r="I2873" s="917" t="str">
        <f>VLOOKUP($A2873,'Tech Litons'!$A:$C,3,0)</f>
        <v>2.4 Gal</v>
      </c>
      <c r="J2873" s="918" t="str">
        <f t="shared" si="289"/>
        <v>59142.4 Gal</v>
      </c>
      <c r="K2873" s="919">
        <v>1</v>
      </c>
      <c r="L2873" s="920">
        <f t="shared" si="288"/>
        <v>2198</v>
      </c>
      <c r="M2873" s="920">
        <f t="shared" si="290"/>
        <v>19.968446748350608</v>
      </c>
      <c r="N2873" s="920">
        <f t="shared" si="291"/>
        <v>17.584</v>
      </c>
      <c r="O2873" s="918" t="str">
        <f t="shared" si="292"/>
        <v>Feb</v>
      </c>
      <c r="P2873" s="921">
        <f t="shared" si="293"/>
        <v>7</v>
      </c>
    </row>
    <row r="2874" spans="1:16" ht="15" hidden="1" customHeight="1">
      <c r="A2874" s="839">
        <v>68499787</v>
      </c>
      <c r="B2874" s="839">
        <v>5914</v>
      </c>
      <c r="C2874" s="906">
        <v>3375</v>
      </c>
      <c r="D2874" s="907">
        <v>46050</v>
      </c>
      <c r="E2874" s="839" t="s">
        <v>394</v>
      </c>
      <c r="F2874" s="839" t="s">
        <v>303</v>
      </c>
      <c r="G2874" s="916">
        <f>VLOOKUP($A2874,'Tech Litons'!$A:$I,8,FALSE)</f>
        <v>9.0850000000000011E-3</v>
      </c>
      <c r="H2874" s="917">
        <f>VLOOKUP($A2874,'Tech Litons'!$A:$I,9,FALSE)</f>
        <v>125</v>
      </c>
      <c r="I2874" s="917" t="str">
        <f>VLOOKUP($A2874,'Tech Litons'!$A:$C,3,0)</f>
        <v>2.4 Gal</v>
      </c>
      <c r="J2874" s="918" t="str">
        <f t="shared" si="289"/>
        <v>59142.4 Gal</v>
      </c>
      <c r="K2874" s="919">
        <v>1</v>
      </c>
      <c r="L2874" s="920">
        <f t="shared" si="288"/>
        <v>3375</v>
      </c>
      <c r="M2874" s="920">
        <f t="shared" si="290"/>
        <v>30.661875000000002</v>
      </c>
      <c r="N2874" s="920">
        <f t="shared" si="291"/>
        <v>27</v>
      </c>
      <c r="O2874" s="918" t="str">
        <f t="shared" si="292"/>
        <v>Jan</v>
      </c>
      <c r="P2874" s="921">
        <f t="shared" si="293"/>
        <v>5</v>
      </c>
    </row>
    <row r="2875" spans="1:16" ht="15" hidden="1" customHeight="1">
      <c r="A2875" s="839">
        <v>68499787</v>
      </c>
      <c r="B2875" s="839">
        <v>5914</v>
      </c>
      <c r="C2875" s="906">
        <v>2511</v>
      </c>
      <c r="D2875" s="907">
        <v>46051</v>
      </c>
      <c r="E2875" s="839" t="s">
        <v>394</v>
      </c>
      <c r="F2875" s="839" t="s">
        <v>303</v>
      </c>
      <c r="G2875" s="916">
        <f>VLOOKUP($A2875,'Tech Litons'!$A:$I,8,FALSE)</f>
        <v>9.0850000000000011E-3</v>
      </c>
      <c r="H2875" s="917">
        <f>VLOOKUP($A2875,'Tech Litons'!$A:$I,9,FALSE)</f>
        <v>125</v>
      </c>
      <c r="I2875" s="917" t="str">
        <f>VLOOKUP($A2875,'Tech Litons'!$A:$C,3,0)</f>
        <v>2.4 Gal</v>
      </c>
      <c r="J2875" s="918" t="str">
        <f t="shared" si="289"/>
        <v>59142.4 Gal</v>
      </c>
      <c r="K2875" s="919">
        <v>1</v>
      </c>
      <c r="L2875" s="920">
        <f t="shared" si="288"/>
        <v>2511</v>
      </c>
      <c r="M2875" s="920">
        <f t="shared" si="290"/>
        <v>22.812435000000004</v>
      </c>
      <c r="N2875" s="920">
        <f t="shared" si="291"/>
        <v>20.088000000000001</v>
      </c>
      <c r="O2875" s="918" t="str">
        <f t="shared" si="292"/>
        <v>Jan</v>
      </c>
      <c r="P2875" s="921">
        <f t="shared" si="293"/>
        <v>5</v>
      </c>
    </row>
    <row r="2876" spans="1:16" ht="15" hidden="1" customHeight="1">
      <c r="A2876" s="839">
        <v>69600859</v>
      </c>
      <c r="B2876" s="839">
        <v>5914</v>
      </c>
      <c r="C2876" s="906">
        <v>3125</v>
      </c>
      <c r="D2876" s="907">
        <v>46057</v>
      </c>
      <c r="E2876" s="839" t="s">
        <v>365</v>
      </c>
      <c r="F2876" s="839" t="s">
        <v>303</v>
      </c>
      <c r="G2876" s="916">
        <f>VLOOKUP($A2876,'Tech Litons'!$A:$I,8,FALSE)</f>
        <v>9.0850000000000011E-3</v>
      </c>
      <c r="H2876" s="917">
        <f>VLOOKUP($A2876,'Tech Litons'!$A:$I,9,FALSE)</f>
        <v>125</v>
      </c>
      <c r="I2876" s="917" t="str">
        <f>VLOOKUP($A2876,'Tech Litons'!$A:$C,3,0)</f>
        <v>2.4 Gal</v>
      </c>
      <c r="J2876" s="918" t="str">
        <f t="shared" si="289"/>
        <v>59142.4 Gal</v>
      </c>
      <c r="K2876" s="919">
        <v>1</v>
      </c>
      <c r="L2876" s="920">
        <f t="shared" si="288"/>
        <v>3125</v>
      </c>
      <c r="M2876" s="920">
        <f t="shared" si="290"/>
        <v>28.390625000000004</v>
      </c>
      <c r="N2876" s="920">
        <f t="shared" si="291"/>
        <v>25</v>
      </c>
      <c r="O2876" s="918" t="str">
        <f t="shared" si="292"/>
        <v>Feb</v>
      </c>
      <c r="P2876" s="921">
        <f t="shared" si="293"/>
        <v>6</v>
      </c>
    </row>
    <row r="2877" spans="1:16" ht="15" hidden="1" customHeight="1">
      <c r="A2877" s="839">
        <v>69600859</v>
      </c>
      <c r="B2877" s="839">
        <v>5914</v>
      </c>
      <c r="C2877" s="906">
        <v>1608</v>
      </c>
      <c r="D2877" s="907">
        <v>46058</v>
      </c>
      <c r="E2877" s="839" t="s">
        <v>365</v>
      </c>
      <c r="F2877" s="839" t="s">
        <v>303</v>
      </c>
      <c r="G2877" s="916">
        <f>VLOOKUP($A2877,'Tech Litons'!$A:$I,8,FALSE)</f>
        <v>9.0850000000000011E-3</v>
      </c>
      <c r="H2877" s="917">
        <f>VLOOKUP($A2877,'Tech Litons'!$A:$I,9,FALSE)</f>
        <v>125</v>
      </c>
      <c r="I2877" s="917" t="str">
        <f>VLOOKUP($A2877,'Tech Litons'!$A:$C,3,0)</f>
        <v>2.4 Gal</v>
      </c>
      <c r="J2877" s="918" t="str">
        <f t="shared" si="289"/>
        <v>59142.4 Gal</v>
      </c>
      <c r="K2877" s="919">
        <v>1</v>
      </c>
      <c r="L2877" s="920">
        <f t="shared" si="288"/>
        <v>1608</v>
      </c>
      <c r="M2877" s="920">
        <f t="shared" si="290"/>
        <v>14.608680000000001</v>
      </c>
      <c r="N2877" s="920">
        <f t="shared" si="291"/>
        <v>12.864000000000001</v>
      </c>
      <c r="O2877" s="918" t="str">
        <f t="shared" si="292"/>
        <v>Feb</v>
      </c>
      <c r="P2877" s="921">
        <f t="shared" si="293"/>
        <v>6</v>
      </c>
    </row>
    <row r="2878" spans="1:16" ht="15" hidden="1" customHeight="1">
      <c r="A2878" s="839">
        <v>69797288</v>
      </c>
      <c r="B2878" s="839">
        <v>5914</v>
      </c>
      <c r="C2878" s="906">
        <v>10320</v>
      </c>
      <c r="D2878" s="907">
        <v>46066</v>
      </c>
      <c r="E2878" s="839" t="s">
        <v>454</v>
      </c>
      <c r="F2878" s="839" t="s">
        <v>303</v>
      </c>
      <c r="G2878" s="916">
        <f>VLOOKUP($A2878,'Tech Litons'!$A:$I,8,FALSE)</f>
        <v>3.7839999999999996E-3</v>
      </c>
      <c r="H2878" s="917">
        <f>VLOOKUP($A2878,'Tech Litons'!$A:$I,9,FALSE)</f>
        <v>240</v>
      </c>
      <c r="I2878" s="917" t="str">
        <f>VLOOKUP($A2878,'Tech Litons'!$A:$C,3,0)</f>
        <v>BJ PTS</v>
      </c>
      <c r="J2878" s="918" t="str">
        <f t="shared" si="289"/>
        <v>5914BJ PTS</v>
      </c>
      <c r="K2878" s="919">
        <v>1</v>
      </c>
      <c r="L2878" s="920">
        <f t="shared" si="288"/>
        <v>10320</v>
      </c>
      <c r="M2878" s="920">
        <f t="shared" si="290"/>
        <v>39.050879999999999</v>
      </c>
      <c r="N2878" s="920">
        <f t="shared" si="291"/>
        <v>43</v>
      </c>
      <c r="O2878" s="918" t="str">
        <f t="shared" si="292"/>
        <v>Feb</v>
      </c>
      <c r="P2878" s="921">
        <f t="shared" si="293"/>
        <v>7</v>
      </c>
    </row>
    <row r="2879" spans="1:16" ht="15" hidden="1" customHeight="1">
      <c r="A2879" s="839">
        <v>69797288</v>
      </c>
      <c r="B2879" s="839">
        <v>5914</v>
      </c>
      <c r="C2879" s="906">
        <v>24508</v>
      </c>
      <c r="D2879" s="907">
        <v>46067</v>
      </c>
      <c r="E2879" s="839" t="s">
        <v>454</v>
      </c>
      <c r="F2879" s="839" t="s">
        <v>303</v>
      </c>
      <c r="G2879" s="916">
        <f>VLOOKUP($A2879,'Tech Litons'!$A:$I,8,FALSE)</f>
        <v>3.7839999999999996E-3</v>
      </c>
      <c r="H2879" s="917">
        <f>VLOOKUP($A2879,'Tech Litons'!$A:$I,9,FALSE)</f>
        <v>240</v>
      </c>
      <c r="I2879" s="917" t="str">
        <f>VLOOKUP($A2879,'Tech Litons'!$A:$C,3,0)</f>
        <v>BJ PTS</v>
      </c>
      <c r="J2879" s="918" t="str">
        <f t="shared" si="289"/>
        <v>5914BJ PTS</v>
      </c>
      <c r="K2879" s="919">
        <v>1</v>
      </c>
      <c r="L2879" s="920">
        <f t="shared" si="288"/>
        <v>24508</v>
      </c>
      <c r="M2879" s="920">
        <f t="shared" si="290"/>
        <v>92.738271999999995</v>
      </c>
      <c r="N2879" s="920">
        <f t="shared" si="291"/>
        <v>102.11666666666666</v>
      </c>
      <c r="O2879" s="918" t="str">
        <f t="shared" si="292"/>
        <v>Feb</v>
      </c>
      <c r="P2879" s="921">
        <f t="shared" si="293"/>
        <v>7</v>
      </c>
    </row>
    <row r="2880" spans="1:16" ht="15" hidden="1" customHeight="1">
      <c r="A2880" s="839">
        <v>69986506</v>
      </c>
      <c r="B2880" s="839">
        <v>5914</v>
      </c>
      <c r="C2880" s="906">
        <v>22519</v>
      </c>
      <c r="D2880" s="907">
        <v>46067</v>
      </c>
      <c r="E2880" s="839" t="s">
        <v>455</v>
      </c>
      <c r="F2880" s="839" t="s">
        <v>279</v>
      </c>
      <c r="G2880" s="916">
        <f>VLOOKUP($A2880,'Tech Litons'!$A:$I,8,FALSE)</f>
        <v>3.7839999999999996E-3</v>
      </c>
      <c r="H2880" s="917">
        <f>VLOOKUP($A2880,'Tech Litons'!$A:$I,9,FALSE)</f>
        <v>240</v>
      </c>
      <c r="I2880" s="917" t="str">
        <f>VLOOKUP($A2880,'Tech Litons'!$A:$C,3,0)</f>
        <v>BJ PTS</v>
      </c>
      <c r="J2880" s="918" t="str">
        <f t="shared" si="289"/>
        <v>5914BJ PTS</v>
      </c>
      <c r="K2880" s="919">
        <v>1</v>
      </c>
      <c r="L2880" s="920">
        <f t="shared" si="288"/>
        <v>22519</v>
      </c>
      <c r="M2880" s="920">
        <f t="shared" si="290"/>
        <v>85.211895999999996</v>
      </c>
      <c r="N2880" s="920">
        <f t="shared" si="291"/>
        <v>93.829166666666666</v>
      </c>
      <c r="O2880" s="918" t="str">
        <f t="shared" si="292"/>
        <v>Feb</v>
      </c>
      <c r="P2880" s="921">
        <f t="shared" si="293"/>
        <v>7</v>
      </c>
    </row>
    <row r="2881" spans="1:16" ht="15" hidden="1" customHeight="1">
      <c r="A2881" s="839">
        <v>69986507</v>
      </c>
      <c r="B2881" s="839">
        <v>5914</v>
      </c>
      <c r="C2881" s="906">
        <v>15360</v>
      </c>
      <c r="D2881" s="907">
        <v>46063</v>
      </c>
      <c r="E2881" s="839" t="s">
        <v>441</v>
      </c>
      <c r="F2881" s="839" t="s">
        <v>301</v>
      </c>
      <c r="G2881" s="916">
        <f>VLOOKUP($A2881,'Tech Litons'!$A:$I,8,FALSE)</f>
        <v>3.7839999999999996E-3</v>
      </c>
      <c r="H2881" s="917">
        <f>VLOOKUP($A2881,'Tech Litons'!$A:$I,9,FALSE)</f>
        <v>240</v>
      </c>
      <c r="I2881" s="917" t="str">
        <f>VLOOKUP($A2881,'Tech Litons'!$A:$C,3,0)</f>
        <v>BJ PTS</v>
      </c>
      <c r="J2881" s="918" t="str">
        <f t="shared" si="289"/>
        <v>5914BJ PTS</v>
      </c>
      <c r="K2881" s="919">
        <v>1</v>
      </c>
      <c r="L2881" s="920">
        <f t="shared" si="288"/>
        <v>15360</v>
      </c>
      <c r="M2881" s="920">
        <f t="shared" si="290"/>
        <v>58.122239999999991</v>
      </c>
      <c r="N2881" s="920">
        <f t="shared" si="291"/>
        <v>64</v>
      </c>
      <c r="O2881" s="918" t="str">
        <f t="shared" si="292"/>
        <v>Feb</v>
      </c>
      <c r="P2881" s="921">
        <f t="shared" si="293"/>
        <v>7</v>
      </c>
    </row>
    <row r="2882" spans="1:16" ht="15" hidden="1" customHeight="1">
      <c r="A2882" s="839">
        <v>69986507</v>
      </c>
      <c r="B2882" s="839">
        <v>5914</v>
      </c>
      <c r="C2882" s="906">
        <v>33722</v>
      </c>
      <c r="D2882" s="907">
        <v>46064</v>
      </c>
      <c r="E2882" s="839" t="s">
        <v>441</v>
      </c>
      <c r="F2882" s="839" t="s">
        <v>301</v>
      </c>
      <c r="G2882" s="916">
        <f>VLOOKUP($A2882,'Tech Litons'!$A:$I,8,FALSE)</f>
        <v>3.7839999999999996E-3</v>
      </c>
      <c r="H2882" s="917">
        <f>VLOOKUP($A2882,'Tech Litons'!$A:$I,9,FALSE)</f>
        <v>240</v>
      </c>
      <c r="I2882" s="917" t="str">
        <f>VLOOKUP($A2882,'Tech Litons'!$A:$C,3,0)</f>
        <v>BJ PTS</v>
      </c>
      <c r="J2882" s="918" t="str">
        <f t="shared" si="289"/>
        <v>5914BJ PTS</v>
      </c>
      <c r="K2882" s="919">
        <v>1</v>
      </c>
      <c r="L2882" s="920">
        <f t="shared" si="288"/>
        <v>33722</v>
      </c>
      <c r="M2882" s="920">
        <f t="shared" si="290"/>
        <v>127.60404799999999</v>
      </c>
      <c r="N2882" s="920">
        <f t="shared" si="291"/>
        <v>140.50833333333333</v>
      </c>
      <c r="O2882" s="918" t="str">
        <f t="shared" si="292"/>
        <v>Feb</v>
      </c>
      <c r="P2882" s="921">
        <f t="shared" si="293"/>
        <v>7</v>
      </c>
    </row>
    <row r="2883" spans="1:16" ht="15" hidden="1" customHeight="1">
      <c r="A2883" s="839">
        <v>69986507</v>
      </c>
      <c r="B2883" s="839">
        <v>5914</v>
      </c>
      <c r="C2883" s="906">
        <v>16503</v>
      </c>
      <c r="D2883" s="907">
        <v>46065</v>
      </c>
      <c r="E2883" s="839" t="s">
        <v>441</v>
      </c>
      <c r="F2883" s="839" t="s">
        <v>301</v>
      </c>
      <c r="G2883" s="916">
        <f>VLOOKUP($A2883,'Tech Litons'!$A:$I,8,FALSE)</f>
        <v>3.7839999999999996E-3</v>
      </c>
      <c r="H2883" s="917">
        <f>VLOOKUP($A2883,'Tech Litons'!$A:$I,9,FALSE)</f>
        <v>240</v>
      </c>
      <c r="I2883" s="917" t="str">
        <f>VLOOKUP($A2883,'Tech Litons'!$A:$C,3,0)</f>
        <v>BJ PTS</v>
      </c>
      <c r="J2883" s="918" t="str">
        <f t="shared" si="289"/>
        <v>5914BJ PTS</v>
      </c>
      <c r="K2883" s="919">
        <v>1</v>
      </c>
      <c r="L2883" s="920">
        <f t="shared" si="288"/>
        <v>16503</v>
      </c>
      <c r="M2883" s="920">
        <f t="shared" si="290"/>
        <v>62.447351999999995</v>
      </c>
      <c r="N2883" s="920">
        <f t="shared" si="291"/>
        <v>68.762500000000003</v>
      </c>
      <c r="O2883" s="918" t="str">
        <f t="shared" si="292"/>
        <v>Feb</v>
      </c>
      <c r="P2883" s="921">
        <f t="shared" si="293"/>
        <v>7</v>
      </c>
    </row>
    <row r="2884" spans="1:16" ht="15" hidden="1" customHeight="1">
      <c r="A2884" s="839">
        <v>69986508</v>
      </c>
      <c r="B2884" s="839">
        <v>5914</v>
      </c>
      <c r="C2884" s="906">
        <v>25680</v>
      </c>
      <c r="D2884" s="907">
        <v>46066</v>
      </c>
      <c r="E2884" s="839" t="s">
        <v>450</v>
      </c>
      <c r="F2884" s="839" t="s">
        <v>301</v>
      </c>
      <c r="G2884" s="916">
        <f>VLOOKUP($A2884,'Tech Litons'!$A:$I,8,FALSE)</f>
        <v>3.7839999999999996E-3</v>
      </c>
      <c r="H2884" s="917">
        <f>VLOOKUP($A2884,'Tech Litons'!$A:$I,9,FALSE)</f>
        <v>240</v>
      </c>
      <c r="I2884" s="917" t="str">
        <f>VLOOKUP($A2884,'Tech Litons'!$A:$C,3,0)</f>
        <v>BJ PTS</v>
      </c>
      <c r="J2884" s="918" t="str">
        <f t="shared" si="289"/>
        <v>5914BJ PTS</v>
      </c>
      <c r="K2884" s="919">
        <v>1</v>
      </c>
      <c r="L2884" s="920">
        <f t="shared" si="288"/>
        <v>25680</v>
      </c>
      <c r="M2884" s="920">
        <f t="shared" si="290"/>
        <v>97.173119999999983</v>
      </c>
      <c r="N2884" s="920">
        <f t="shared" si="291"/>
        <v>107</v>
      </c>
      <c r="O2884" s="918" t="str">
        <f t="shared" si="292"/>
        <v>Feb</v>
      </c>
      <c r="P2884" s="921">
        <f t="shared" si="293"/>
        <v>7</v>
      </c>
    </row>
    <row r="2885" spans="1:16" ht="15" hidden="1" customHeight="1">
      <c r="A2885" s="839">
        <v>69986508</v>
      </c>
      <c r="B2885" s="839">
        <v>5914</v>
      </c>
      <c r="C2885" s="906">
        <v>11887</v>
      </c>
      <c r="D2885" s="907">
        <v>46067</v>
      </c>
      <c r="E2885" s="839" t="s">
        <v>450</v>
      </c>
      <c r="F2885" s="839" t="s">
        <v>301</v>
      </c>
      <c r="G2885" s="916">
        <f>VLOOKUP($A2885,'Tech Litons'!$A:$I,8,FALSE)</f>
        <v>3.7839999999999996E-3</v>
      </c>
      <c r="H2885" s="917">
        <f>VLOOKUP($A2885,'Tech Litons'!$A:$I,9,FALSE)</f>
        <v>240</v>
      </c>
      <c r="I2885" s="917" t="str">
        <f>VLOOKUP($A2885,'Tech Litons'!$A:$C,3,0)</f>
        <v>BJ PTS</v>
      </c>
      <c r="J2885" s="918" t="str">
        <f t="shared" si="289"/>
        <v>5914BJ PTS</v>
      </c>
      <c r="K2885" s="919">
        <v>1</v>
      </c>
      <c r="L2885" s="920">
        <f t="shared" si="288"/>
        <v>11887</v>
      </c>
      <c r="M2885" s="920">
        <f t="shared" si="290"/>
        <v>44.980407999999997</v>
      </c>
      <c r="N2885" s="920">
        <f t="shared" si="291"/>
        <v>49.529166666666669</v>
      </c>
      <c r="O2885" s="918" t="str">
        <f t="shared" si="292"/>
        <v>Feb</v>
      </c>
      <c r="P2885" s="921">
        <f t="shared" si="293"/>
        <v>7</v>
      </c>
    </row>
    <row r="2886" spans="1:16" ht="15" hidden="1" customHeight="1">
      <c r="A2886" s="839">
        <v>69986511</v>
      </c>
      <c r="B2886" s="839">
        <v>5914</v>
      </c>
      <c r="C2886" s="906">
        <v>10560</v>
      </c>
      <c r="D2886" s="907">
        <v>46062</v>
      </c>
      <c r="E2886" s="839" t="s">
        <v>442</v>
      </c>
      <c r="F2886" s="839" t="s">
        <v>303</v>
      </c>
      <c r="G2886" s="916">
        <f>VLOOKUP($A2886,'Tech Litons'!$A:$I,8,FALSE)</f>
        <v>3.7839999999999996E-3</v>
      </c>
      <c r="H2886" s="917">
        <f>VLOOKUP($A2886,'Tech Litons'!$A:$I,9,FALSE)</f>
        <v>240</v>
      </c>
      <c r="I2886" s="917" t="str">
        <f>VLOOKUP($A2886,'Tech Litons'!$A:$C,3,0)</f>
        <v>BJ PTS</v>
      </c>
      <c r="J2886" s="918" t="str">
        <f t="shared" si="289"/>
        <v>5914BJ PTS</v>
      </c>
      <c r="K2886" s="919">
        <v>1</v>
      </c>
      <c r="L2886" s="920">
        <f t="shared" si="288"/>
        <v>10560</v>
      </c>
      <c r="M2886" s="920">
        <f t="shared" si="290"/>
        <v>39.959039999999995</v>
      </c>
      <c r="N2886" s="920">
        <f t="shared" si="291"/>
        <v>44</v>
      </c>
      <c r="O2886" s="918" t="str">
        <f t="shared" si="292"/>
        <v>Feb</v>
      </c>
      <c r="P2886" s="921">
        <f t="shared" si="293"/>
        <v>7</v>
      </c>
    </row>
    <row r="2887" spans="1:16" ht="15" hidden="1" customHeight="1">
      <c r="A2887" s="839">
        <v>69986511</v>
      </c>
      <c r="B2887" s="839">
        <v>5914</v>
      </c>
      <c r="C2887" s="906">
        <v>6897</v>
      </c>
      <c r="D2887" s="907">
        <v>46063</v>
      </c>
      <c r="E2887" s="839" t="s">
        <v>442</v>
      </c>
      <c r="F2887" s="839" t="s">
        <v>303</v>
      </c>
      <c r="G2887" s="916">
        <f>VLOOKUP($A2887,'Tech Litons'!$A:$I,8,FALSE)</f>
        <v>3.7839999999999996E-3</v>
      </c>
      <c r="H2887" s="917">
        <f>VLOOKUP($A2887,'Tech Litons'!$A:$I,9,FALSE)</f>
        <v>240</v>
      </c>
      <c r="I2887" s="917" t="str">
        <f>VLOOKUP($A2887,'Tech Litons'!$A:$C,3,0)</f>
        <v>BJ PTS</v>
      </c>
      <c r="J2887" s="918" t="str">
        <f t="shared" si="289"/>
        <v>5914BJ PTS</v>
      </c>
      <c r="K2887" s="919">
        <v>1</v>
      </c>
      <c r="L2887" s="920">
        <f t="shared" si="288"/>
        <v>6897</v>
      </c>
      <c r="M2887" s="920">
        <f t="shared" si="290"/>
        <v>26.098247999999998</v>
      </c>
      <c r="N2887" s="920">
        <f t="shared" si="291"/>
        <v>28.737500000000001</v>
      </c>
      <c r="O2887" s="918" t="str">
        <f t="shared" si="292"/>
        <v>Feb</v>
      </c>
      <c r="P2887" s="921">
        <f t="shared" si="293"/>
        <v>7</v>
      </c>
    </row>
    <row r="2888" spans="1:16" ht="15" hidden="1" customHeight="1">
      <c r="A2888" s="839">
        <v>69986511</v>
      </c>
      <c r="B2888" s="839">
        <v>5914</v>
      </c>
      <c r="C2888" s="906">
        <v>8880</v>
      </c>
      <c r="D2888" s="907">
        <v>46065</v>
      </c>
      <c r="E2888" s="839" t="s">
        <v>442</v>
      </c>
      <c r="F2888" s="839" t="s">
        <v>303</v>
      </c>
      <c r="G2888" s="916">
        <f>VLOOKUP($A2888,'Tech Litons'!$A:$I,8,FALSE)</f>
        <v>3.7839999999999996E-3</v>
      </c>
      <c r="H2888" s="917">
        <f>VLOOKUP($A2888,'Tech Litons'!$A:$I,9,FALSE)</f>
        <v>240</v>
      </c>
      <c r="I2888" s="917" t="str">
        <f>VLOOKUP($A2888,'Tech Litons'!$A:$C,3,0)</f>
        <v>BJ PTS</v>
      </c>
      <c r="J2888" s="918" t="str">
        <f t="shared" si="289"/>
        <v>5914BJ PTS</v>
      </c>
      <c r="K2888" s="919">
        <v>1</v>
      </c>
      <c r="L2888" s="920">
        <f t="shared" si="288"/>
        <v>8880</v>
      </c>
      <c r="M2888" s="920">
        <f t="shared" si="290"/>
        <v>33.60192</v>
      </c>
      <c r="N2888" s="920">
        <f t="shared" si="291"/>
        <v>37</v>
      </c>
      <c r="O2888" s="918" t="str">
        <f t="shared" si="292"/>
        <v>Feb</v>
      </c>
      <c r="P2888" s="921">
        <f t="shared" si="293"/>
        <v>7</v>
      </c>
    </row>
    <row r="2889" spans="1:16" ht="15" hidden="1" customHeight="1">
      <c r="A2889" s="839">
        <v>69986511</v>
      </c>
      <c r="B2889" s="839">
        <v>5914</v>
      </c>
      <c r="C2889" s="906">
        <v>9558</v>
      </c>
      <c r="D2889" s="907">
        <v>46066</v>
      </c>
      <c r="E2889" s="839" t="s">
        <v>442</v>
      </c>
      <c r="F2889" s="839" t="s">
        <v>303</v>
      </c>
      <c r="G2889" s="916">
        <f>VLOOKUP($A2889,'Tech Litons'!$A:$I,8,FALSE)</f>
        <v>3.7839999999999996E-3</v>
      </c>
      <c r="H2889" s="917">
        <f>VLOOKUP($A2889,'Tech Litons'!$A:$I,9,FALSE)</f>
        <v>240</v>
      </c>
      <c r="I2889" s="917" t="str">
        <f>VLOOKUP($A2889,'Tech Litons'!$A:$C,3,0)</f>
        <v>BJ PTS</v>
      </c>
      <c r="J2889" s="918" t="str">
        <f t="shared" si="289"/>
        <v>5914BJ PTS</v>
      </c>
      <c r="K2889" s="919">
        <v>1</v>
      </c>
      <c r="L2889" s="920">
        <f t="shared" si="288"/>
        <v>9558</v>
      </c>
      <c r="M2889" s="920">
        <f t="shared" si="290"/>
        <v>36.167471999999997</v>
      </c>
      <c r="N2889" s="920">
        <f t="shared" si="291"/>
        <v>39.825000000000003</v>
      </c>
      <c r="O2889" s="918" t="str">
        <f t="shared" si="292"/>
        <v>Feb</v>
      </c>
      <c r="P2889" s="921">
        <f t="shared" si="293"/>
        <v>7</v>
      </c>
    </row>
    <row r="2890" spans="1:16" ht="15" hidden="1" customHeight="1">
      <c r="A2890" s="839">
        <v>69986511</v>
      </c>
      <c r="B2890" s="839">
        <v>5914</v>
      </c>
      <c r="C2890" s="906">
        <v>-41</v>
      </c>
      <c r="D2890" s="907">
        <v>46070</v>
      </c>
      <c r="E2890" s="839" t="s">
        <v>442</v>
      </c>
      <c r="F2890" s="839" t="s">
        <v>303</v>
      </c>
      <c r="G2890" s="916">
        <f>VLOOKUP($A2890,'Tech Litons'!$A:$I,8,FALSE)</f>
        <v>3.7839999999999996E-3</v>
      </c>
      <c r="H2890" s="917">
        <f>VLOOKUP($A2890,'Tech Litons'!$A:$I,9,FALSE)</f>
        <v>240</v>
      </c>
      <c r="I2890" s="917" t="str">
        <f>VLOOKUP($A2890,'Tech Litons'!$A:$C,3,0)</f>
        <v>BJ PTS</v>
      </c>
      <c r="J2890" s="918" t="str">
        <f t="shared" si="289"/>
        <v>5914BJ PTS</v>
      </c>
      <c r="K2890" s="919">
        <v>1</v>
      </c>
      <c r="L2890" s="920">
        <f t="shared" si="288"/>
        <v>-41</v>
      </c>
      <c r="M2890" s="920">
        <f t="shared" si="290"/>
        <v>-0.15514399999999998</v>
      </c>
      <c r="N2890" s="920">
        <f t="shared" si="291"/>
        <v>-0.17083333333333334</v>
      </c>
      <c r="O2890" s="918" t="str">
        <f t="shared" si="292"/>
        <v>Feb</v>
      </c>
      <c r="P2890" s="921">
        <f t="shared" si="293"/>
        <v>8</v>
      </c>
    </row>
    <row r="2891" spans="1:16" ht="15" hidden="1" customHeight="1">
      <c r="A2891" s="839">
        <v>69999267</v>
      </c>
      <c r="B2891" s="839">
        <v>5914</v>
      </c>
      <c r="C2891" s="906">
        <v>4320</v>
      </c>
      <c r="D2891" s="907">
        <v>46051</v>
      </c>
      <c r="E2891" s="839" t="s">
        <v>335</v>
      </c>
      <c r="F2891" s="839" t="s">
        <v>303</v>
      </c>
      <c r="G2891" s="916">
        <f>VLOOKUP($A2891,'Tech Litons'!$A:$I,8,FALSE)</f>
        <v>3.7839999999999996E-3</v>
      </c>
      <c r="H2891" s="917">
        <f>VLOOKUP($A2891,'Tech Litons'!$A:$I,9,FALSE)</f>
        <v>240</v>
      </c>
      <c r="I2891" s="917" t="str">
        <f>VLOOKUP($A2891,'Tech Litons'!$A:$C,3,0)</f>
        <v>BJ PTS</v>
      </c>
      <c r="J2891" s="918" t="str">
        <f t="shared" si="289"/>
        <v>5914BJ PTS</v>
      </c>
      <c r="K2891" s="919">
        <v>1</v>
      </c>
      <c r="L2891" s="920">
        <f t="shared" si="288"/>
        <v>4320</v>
      </c>
      <c r="M2891" s="920">
        <f t="shared" si="290"/>
        <v>16.346879999999999</v>
      </c>
      <c r="N2891" s="920">
        <f t="shared" si="291"/>
        <v>18</v>
      </c>
      <c r="O2891" s="918" t="str">
        <f t="shared" si="292"/>
        <v>Jan</v>
      </c>
      <c r="P2891" s="921">
        <f t="shared" si="293"/>
        <v>5</v>
      </c>
    </row>
    <row r="2892" spans="1:16" ht="15" hidden="1" customHeight="1">
      <c r="A2892" s="839">
        <v>69999267</v>
      </c>
      <c r="B2892" s="839">
        <v>5914</v>
      </c>
      <c r="C2892" s="906">
        <v>27360</v>
      </c>
      <c r="D2892" s="907">
        <v>46052</v>
      </c>
      <c r="E2892" s="839" t="s">
        <v>335</v>
      </c>
      <c r="F2892" s="839" t="s">
        <v>303</v>
      </c>
      <c r="G2892" s="916">
        <f>VLOOKUP($A2892,'Tech Litons'!$A:$I,8,FALSE)</f>
        <v>3.7839999999999996E-3</v>
      </c>
      <c r="H2892" s="917">
        <f>VLOOKUP($A2892,'Tech Litons'!$A:$I,9,FALSE)</f>
        <v>240</v>
      </c>
      <c r="I2892" s="917" t="str">
        <f>VLOOKUP($A2892,'Tech Litons'!$A:$C,3,0)</f>
        <v>BJ PTS</v>
      </c>
      <c r="J2892" s="918" t="str">
        <f t="shared" si="289"/>
        <v>5914BJ PTS</v>
      </c>
      <c r="K2892" s="919">
        <v>1</v>
      </c>
      <c r="L2892" s="920">
        <f t="shared" si="288"/>
        <v>27360</v>
      </c>
      <c r="M2892" s="920">
        <f t="shared" si="290"/>
        <v>103.53023999999999</v>
      </c>
      <c r="N2892" s="920">
        <f t="shared" si="291"/>
        <v>114</v>
      </c>
      <c r="O2892" s="918" t="str">
        <f t="shared" si="292"/>
        <v>Jan</v>
      </c>
      <c r="P2892" s="921">
        <f t="shared" si="293"/>
        <v>5</v>
      </c>
    </row>
    <row r="2893" spans="1:16" ht="15" hidden="1" customHeight="1">
      <c r="A2893" s="839">
        <v>69999267</v>
      </c>
      <c r="B2893" s="839">
        <v>5914</v>
      </c>
      <c r="C2893" s="906">
        <v>26839</v>
      </c>
      <c r="D2893" s="907">
        <v>46053</v>
      </c>
      <c r="E2893" s="839" t="s">
        <v>335</v>
      </c>
      <c r="F2893" s="839" t="s">
        <v>303</v>
      </c>
      <c r="G2893" s="916">
        <f>VLOOKUP($A2893,'Tech Litons'!$A:$I,8,FALSE)</f>
        <v>3.7839999999999996E-3</v>
      </c>
      <c r="H2893" s="917">
        <f>VLOOKUP($A2893,'Tech Litons'!$A:$I,9,FALSE)</f>
        <v>240</v>
      </c>
      <c r="I2893" s="917" t="str">
        <f>VLOOKUP($A2893,'Tech Litons'!$A:$C,3,0)</f>
        <v>BJ PTS</v>
      </c>
      <c r="J2893" s="918" t="str">
        <f t="shared" si="289"/>
        <v>5914BJ PTS</v>
      </c>
      <c r="K2893" s="919">
        <v>1</v>
      </c>
      <c r="L2893" s="920">
        <f t="shared" si="288"/>
        <v>26839</v>
      </c>
      <c r="M2893" s="920">
        <f t="shared" si="290"/>
        <v>101.55877599999999</v>
      </c>
      <c r="N2893" s="920">
        <f t="shared" si="291"/>
        <v>111.82916666666667</v>
      </c>
      <c r="O2893" s="918" t="str">
        <f t="shared" si="292"/>
        <v>Jan</v>
      </c>
      <c r="P2893" s="921">
        <f t="shared" si="293"/>
        <v>5</v>
      </c>
    </row>
    <row r="2894" spans="1:16" ht="15" hidden="1" customHeight="1">
      <c r="A2894" s="839">
        <v>69999269</v>
      </c>
      <c r="B2894" s="839">
        <v>5914</v>
      </c>
      <c r="C2894" s="906">
        <v>4080</v>
      </c>
      <c r="D2894" s="907">
        <v>46051</v>
      </c>
      <c r="E2894" s="839" t="s">
        <v>300</v>
      </c>
      <c r="F2894" s="839" t="s">
        <v>301</v>
      </c>
      <c r="G2894" s="916">
        <f>VLOOKUP($A2894,'Tech Litons'!$A:$I,8,FALSE)</f>
        <v>3.7839999999999996E-3</v>
      </c>
      <c r="H2894" s="917">
        <f>VLOOKUP($A2894,'Tech Litons'!$A:$I,9,FALSE)</f>
        <v>240</v>
      </c>
      <c r="I2894" s="917" t="str">
        <f>VLOOKUP($A2894,'Tech Litons'!$A:$C,3,0)</f>
        <v>BJ PTS</v>
      </c>
      <c r="J2894" s="918" t="str">
        <f t="shared" si="289"/>
        <v>5914BJ PTS</v>
      </c>
      <c r="K2894" s="919">
        <v>1</v>
      </c>
      <c r="L2894" s="920">
        <f t="shared" si="288"/>
        <v>4080</v>
      </c>
      <c r="M2894" s="920">
        <f t="shared" si="290"/>
        <v>15.438719999999998</v>
      </c>
      <c r="N2894" s="920">
        <f t="shared" si="291"/>
        <v>17</v>
      </c>
      <c r="O2894" s="918" t="str">
        <f t="shared" si="292"/>
        <v>Jan</v>
      </c>
      <c r="P2894" s="921">
        <f t="shared" si="293"/>
        <v>5</v>
      </c>
    </row>
    <row r="2895" spans="1:16" ht="15" hidden="1" customHeight="1">
      <c r="A2895" s="839">
        <v>69999269</v>
      </c>
      <c r="B2895" s="839">
        <v>5914</v>
      </c>
      <c r="C2895" s="906">
        <v>24720</v>
      </c>
      <c r="D2895" s="907">
        <v>46052</v>
      </c>
      <c r="E2895" s="839" t="s">
        <v>300</v>
      </c>
      <c r="F2895" s="839" t="s">
        <v>301</v>
      </c>
      <c r="G2895" s="916">
        <f>VLOOKUP($A2895,'Tech Litons'!$A:$I,8,FALSE)</f>
        <v>3.7839999999999996E-3</v>
      </c>
      <c r="H2895" s="917">
        <f>VLOOKUP($A2895,'Tech Litons'!$A:$I,9,FALSE)</f>
        <v>240</v>
      </c>
      <c r="I2895" s="917" t="str">
        <f>VLOOKUP($A2895,'Tech Litons'!$A:$C,3,0)</f>
        <v>BJ PTS</v>
      </c>
      <c r="J2895" s="918" t="str">
        <f t="shared" si="289"/>
        <v>5914BJ PTS</v>
      </c>
      <c r="K2895" s="919">
        <v>1</v>
      </c>
      <c r="L2895" s="920">
        <f t="shared" si="288"/>
        <v>24720</v>
      </c>
      <c r="M2895" s="920">
        <f t="shared" si="290"/>
        <v>93.540479999999988</v>
      </c>
      <c r="N2895" s="920">
        <f t="shared" si="291"/>
        <v>103</v>
      </c>
      <c r="O2895" s="918" t="str">
        <f t="shared" si="292"/>
        <v>Jan</v>
      </c>
      <c r="P2895" s="921">
        <f t="shared" si="293"/>
        <v>5</v>
      </c>
    </row>
    <row r="2896" spans="1:16" ht="15" hidden="1" customHeight="1">
      <c r="A2896" s="839">
        <v>69999269</v>
      </c>
      <c r="B2896" s="839">
        <v>5914</v>
      </c>
      <c r="C2896" s="906">
        <v>30740</v>
      </c>
      <c r="D2896" s="907">
        <v>46053</v>
      </c>
      <c r="E2896" s="839" t="s">
        <v>300</v>
      </c>
      <c r="F2896" s="839" t="s">
        <v>301</v>
      </c>
      <c r="G2896" s="916">
        <f>VLOOKUP($A2896,'Tech Litons'!$A:$I,8,FALSE)</f>
        <v>3.7839999999999996E-3</v>
      </c>
      <c r="H2896" s="917">
        <f>VLOOKUP($A2896,'Tech Litons'!$A:$I,9,FALSE)</f>
        <v>240</v>
      </c>
      <c r="I2896" s="917" t="str">
        <f>VLOOKUP($A2896,'Tech Litons'!$A:$C,3,0)</f>
        <v>BJ PTS</v>
      </c>
      <c r="J2896" s="918" t="str">
        <f t="shared" si="289"/>
        <v>5914BJ PTS</v>
      </c>
      <c r="K2896" s="919">
        <v>1</v>
      </c>
      <c r="L2896" s="920">
        <f t="shared" si="288"/>
        <v>30740</v>
      </c>
      <c r="M2896" s="920">
        <f t="shared" si="290"/>
        <v>116.32015999999999</v>
      </c>
      <c r="N2896" s="920">
        <f t="shared" si="291"/>
        <v>128.08333333333334</v>
      </c>
      <c r="O2896" s="918" t="str">
        <f t="shared" si="292"/>
        <v>Jan</v>
      </c>
      <c r="P2896" s="921">
        <f t="shared" si="293"/>
        <v>5</v>
      </c>
    </row>
    <row r="2897" spans="1:16" ht="15" hidden="1" customHeight="1">
      <c r="A2897" s="839">
        <v>69999269</v>
      </c>
      <c r="B2897" s="839">
        <v>5914</v>
      </c>
      <c r="C2897" s="906">
        <v>27600</v>
      </c>
      <c r="D2897" s="907">
        <v>46072</v>
      </c>
      <c r="E2897" s="839" t="s">
        <v>300</v>
      </c>
      <c r="F2897" s="839" t="s">
        <v>301</v>
      </c>
      <c r="G2897" s="916">
        <f>VLOOKUP($A2897,'Tech Litons'!$A:$I,8,FALSE)</f>
        <v>3.7839999999999996E-3</v>
      </c>
      <c r="H2897" s="917">
        <f>VLOOKUP($A2897,'Tech Litons'!$A:$I,9,FALSE)</f>
        <v>240</v>
      </c>
      <c r="I2897" s="917" t="str">
        <f>VLOOKUP($A2897,'Tech Litons'!$A:$C,3,0)</f>
        <v>BJ PTS</v>
      </c>
      <c r="J2897" s="918" t="str">
        <f t="shared" si="289"/>
        <v>5914BJ PTS</v>
      </c>
      <c r="K2897" s="919">
        <v>1</v>
      </c>
      <c r="L2897" s="920">
        <f t="shared" si="288"/>
        <v>27600</v>
      </c>
      <c r="M2897" s="920">
        <f t="shared" si="290"/>
        <v>104.43839999999999</v>
      </c>
      <c r="N2897" s="920">
        <f t="shared" si="291"/>
        <v>115</v>
      </c>
      <c r="O2897" s="918" t="str">
        <f t="shared" si="292"/>
        <v>Feb</v>
      </c>
      <c r="P2897" s="921">
        <f t="shared" si="293"/>
        <v>8</v>
      </c>
    </row>
    <row r="2898" spans="1:16" ht="15" hidden="1" customHeight="1">
      <c r="A2898" s="839">
        <v>69999269</v>
      </c>
      <c r="B2898" s="839">
        <v>5914</v>
      </c>
      <c r="C2898" s="906">
        <v>35760</v>
      </c>
      <c r="D2898" s="907">
        <v>46073</v>
      </c>
      <c r="E2898" s="839" t="s">
        <v>300</v>
      </c>
      <c r="F2898" s="839" t="s">
        <v>301</v>
      </c>
      <c r="G2898" s="916">
        <f>VLOOKUP($A2898,'Tech Litons'!$A:$I,8,FALSE)</f>
        <v>3.7839999999999996E-3</v>
      </c>
      <c r="H2898" s="917">
        <f>VLOOKUP($A2898,'Tech Litons'!$A:$I,9,FALSE)</f>
        <v>240</v>
      </c>
      <c r="I2898" s="917" t="str">
        <f>VLOOKUP($A2898,'Tech Litons'!$A:$C,3,0)</f>
        <v>BJ PTS</v>
      </c>
      <c r="J2898" s="918" t="str">
        <f t="shared" si="289"/>
        <v>5914BJ PTS</v>
      </c>
      <c r="K2898" s="919">
        <v>1</v>
      </c>
      <c r="L2898" s="920">
        <f t="shared" si="288"/>
        <v>35760</v>
      </c>
      <c r="M2898" s="920">
        <f t="shared" si="290"/>
        <v>135.31583999999998</v>
      </c>
      <c r="N2898" s="920">
        <f t="shared" si="291"/>
        <v>149</v>
      </c>
      <c r="O2898" s="918" t="str">
        <f t="shared" si="292"/>
        <v>Feb</v>
      </c>
      <c r="P2898" s="921">
        <f t="shared" si="293"/>
        <v>8</v>
      </c>
    </row>
    <row r="2899" spans="1:16" ht="15" hidden="1" customHeight="1">
      <c r="A2899" s="839">
        <v>69999269</v>
      </c>
      <c r="B2899" s="839">
        <v>5914</v>
      </c>
      <c r="C2899" s="906">
        <v>1964</v>
      </c>
      <c r="D2899" s="907">
        <v>46074</v>
      </c>
      <c r="E2899" s="839" t="s">
        <v>300</v>
      </c>
      <c r="F2899" s="839" t="s">
        <v>301</v>
      </c>
      <c r="G2899" s="916">
        <f>VLOOKUP($A2899,'Tech Litons'!$A:$I,8,FALSE)</f>
        <v>3.7839999999999996E-3</v>
      </c>
      <c r="H2899" s="917">
        <f>VLOOKUP($A2899,'Tech Litons'!$A:$I,9,FALSE)</f>
        <v>240</v>
      </c>
      <c r="I2899" s="917" t="str">
        <f>VLOOKUP($A2899,'Tech Litons'!$A:$C,3,0)</f>
        <v>BJ PTS</v>
      </c>
      <c r="J2899" s="918" t="str">
        <f t="shared" si="289"/>
        <v>5914BJ PTS</v>
      </c>
      <c r="K2899" s="919">
        <v>1</v>
      </c>
      <c r="L2899" s="920">
        <f t="shared" si="288"/>
        <v>1964</v>
      </c>
      <c r="M2899" s="920">
        <f t="shared" si="290"/>
        <v>7.4317759999999993</v>
      </c>
      <c r="N2899" s="920">
        <f t="shared" si="291"/>
        <v>8.1833333333333336</v>
      </c>
      <c r="O2899" s="918" t="str">
        <f t="shared" si="292"/>
        <v>Feb</v>
      </c>
      <c r="P2899" s="921">
        <f t="shared" si="293"/>
        <v>8</v>
      </c>
    </row>
    <row r="2900" spans="1:16" ht="15" hidden="1" customHeight="1">
      <c r="A2900" s="839">
        <v>84135718</v>
      </c>
      <c r="B2900" s="839">
        <v>5914</v>
      </c>
      <c r="C2900" s="906">
        <v>39031</v>
      </c>
      <c r="D2900" s="907">
        <v>46050</v>
      </c>
      <c r="E2900" s="839" t="s">
        <v>338</v>
      </c>
      <c r="F2900" s="839" t="s">
        <v>301</v>
      </c>
      <c r="G2900" s="916">
        <f>VLOOKUP($A2900,'Tech Litons'!$A:$I,8,FALSE)</f>
        <v>3.7853439999999999E-3</v>
      </c>
      <c r="H2900" s="917">
        <f>VLOOKUP($A2900,'Tech Litons'!$A:$I,9,FALSE)</f>
        <v>240</v>
      </c>
      <c r="I2900" s="917" t="str">
        <f>VLOOKUP($A2900,'Tech Litons'!$A:$C,3,0)</f>
        <v>BJ PTS</v>
      </c>
      <c r="J2900" s="918" t="str">
        <f t="shared" si="289"/>
        <v>5914BJ PTS</v>
      </c>
      <c r="K2900" s="919">
        <v>1</v>
      </c>
      <c r="L2900" s="920">
        <f t="shared" si="288"/>
        <v>39031</v>
      </c>
      <c r="M2900" s="920">
        <f t="shared" si="290"/>
        <v>147.74576166399999</v>
      </c>
      <c r="N2900" s="920">
        <f t="shared" si="291"/>
        <v>162.62916666666666</v>
      </c>
      <c r="O2900" s="918" t="str">
        <f t="shared" si="292"/>
        <v>Jan</v>
      </c>
      <c r="P2900" s="921">
        <f t="shared" si="293"/>
        <v>5</v>
      </c>
    </row>
    <row r="2901" spans="1:16" ht="15" hidden="1" customHeight="1">
      <c r="A2901" s="839">
        <v>84135718</v>
      </c>
      <c r="B2901" s="839">
        <v>5914</v>
      </c>
      <c r="C2901" s="906">
        <v>167</v>
      </c>
      <c r="D2901" s="907">
        <v>46051</v>
      </c>
      <c r="E2901" s="839" t="s">
        <v>338</v>
      </c>
      <c r="F2901" s="839" t="s">
        <v>301</v>
      </c>
      <c r="G2901" s="916">
        <f>VLOOKUP($A2901,'Tech Litons'!$A:$I,8,FALSE)</f>
        <v>3.7853439999999999E-3</v>
      </c>
      <c r="H2901" s="917">
        <f>VLOOKUP($A2901,'Tech Litons'!$A:$I,9,FALSE)</f>
        <v>240</v>
      </c>
      <c r="I2901" s="917" t="str">
        <f>VLOOKUP($A2901,'Tech Litons'!$A:$C,3,0)</f>
        <v>BJ PTS</v>
      </c>
      <c r="J2901" s="918" t="str">
        <f t="shared" si="289"/>
        <v>5914BJ PTS</v>
      </c>
      <c r="K2901" s="919">
        <v>1</v>
      </c>
      <c r="L2901" s="920">
        <f t="shared" si="288"/>
        <v>167</v>
      </c>
      <c r="M2901" s="920">
        <f t="shared" si="290"/>
        <v>0.63215244800000003</v>
      </c>
      <c r="N2901" s="920">
        <f t="shared" si="291"/>
        <v>0.6958333333333333</v>
      </c>
      <c r="O2901" s="918" t="str">
        <f t="shared" si="292"/>
        <v>Jan</v>
      </c>
      <c r="P2901" s="921">
        <f t="shared" si="293"/>
        <v>5</v>
      </c>
    </row>
    <row r="2902" spans="1:16" ht="15" hidden="1" customHeight="1">
      <c r="A2902" s="839">
        <v>84135718</v>
      </c>
      <c r="B2902" s="839">
        <v>5914</v>
      </c>
      <c r="C2902" s="906">
        <v>28800</v>
      </c>
      <c r="D2902" s="907">
        <v>46070</v>
      </c>
      <c r="E2902" s="839" t="s">
        <v>338</v>
      </c>
      <c r="F2902" s="839" t="s">
        <v>301</v>
      </c>
      <c r="G2902" s="916">
        <f>VLOOKUP($A2902,'Tech Litons'!$A:$I,8,FALSE)</f>
        <v>3.7853439999999999E-3</v>
      </c>
      <c r="H2902" s="917">
        <f>VLOOKUP($A2902,'Tech Litons'!$A:$I,9,FALSE)</f>
        <v>240</v>
      </c>
      <c r="I2902" s="917" t="str">
        <f>VLOOKUP($A2902,'Tech Litons'!$A:$C,3,0)</f>
        <v>BJ PTS</v>
      </c>
      <c r="J2902" s="918" t="str">
        <f t="shared" si="289"/>
        <v>5914BJ PTS</v>
      </c>
      <c r="K2902" s="919">
        <v>1</v>
      </c>
      <c r="L2902" s="920">
        <f t="shared" si="288"/>
        <v>28800</v>
      </c>
      <c r="M2902" s="920">
        <f t="shared" si="290"/>
        <v>109.0179072</v>
      </c>
      <c r="N2902" s="920">
        <f t="shared" si="291"/>
        <v>120</v>
      </c>
      <c r="O2902" s="918" t="str">
        <f t="shared" si="292"/>
        <v>Feb</v>
      </c>
      <c r="P2902" s="921">
        <f t="shared" si="293"/>
        <v>8</v>
      </c>
    </row>
    <row r="2903" spans="1:16" ht="15" hidden="1" customHeight="1">
      <c r="A2903" s="839">
        <v>84135718</v>
      </c>
      <c r="B2903" s="839">
        <v>5914</v>
      </c>
      <c r="C2903" s="906">
        <v>42240</v>
      </c>
      <c r="D2903" s="907">
        <v>46071</v>
      </c>
      <c r="E2903" s="839" t="s">
        <v>338</v>
      </c>
      <c r="F2903" s="839" t="s">
        <v>301</v>
      </c>
      <c r="G2903" s="916">
        <f>VLOOKUP($A2903,'Tech Litons'!$A:$I,8,FALSE)</f>
        <v>3.7853439999999999E-3</v>
      </c>
      <c r="H2903" s="917">
        <f>VLOOKUP($A2903,'Tech Litons'!$A:$I,9,FALSE)</f>
        <v>240</v>
      </c>
      <c r="I2903" s="917" t="str">
        <f>VLOOKUP($A2903,'Tech Litons'!$A:$C,3,0)</f>
        <v>BJ PTS</v>
      </c>
      <c r="J2903" s="918" t="str">
        <f t="shared" si="289"/>
        <v>5914BJ PTS</v>
      </c>
      <c r="K2903" s="919">
        <v>1</v>
      </c>
      <c r="L2903" s="920">
        <f t="shared" si="288"/>
        <v>42240</v>
      </c>
      <c r="M2903" s="920">
        <f t="shared" si="290"/>
        <v>159.89293056</v>
      </c>
      <c r="N2903" s="920">
        <f t="shared" si="291"/>
        <v>176</v>
      </c>
      <c r="O2903" s="918" t="str">
        <f t="shared" si="292"/>
        <v>Feb</v>
      </c>
      <c r="P2903" s="921">
        <f t="shared" si="293"/>
        <v>8</v>
      </c>
    </row>
    <row r="2904" spans="1:16" ht="15" hidden="1" customHeight="1">
      <c r="A2904" s="839">
        <v>84135718</v>
      </c>
      <c r="B2904" s="839">
        <v>5914</v>
      </c>
      <c r="C2904" s="906">
        <v>1560</v>
      </c>
      <c r="D2904" s="907">
        <v>46072</v>
      </c>
      <c r="E2904" s="839" t="s">
        <v>338</v>
      </c>
      <c r="F2904" s="839" t="s">
        <v>301</v>
      </c>
      <c r="G2904" s="916">
        <f>VLOOKUP($A2904,'Tech Litons'!$A:$I,8,FALSE)</f>
        <v>3.7853439999999999E-3</v>
      </c>
      <c r="H2904" s="917">
        <f>VLOOKUP($A2904,'Tech Litons'!$A:$I,9,FALSE)</f>
        <v>240</v>
      </c>
      <c r="I2904" s="917" t="str">
        <f>VLOOKUP($A2904,'Tech Litons'!$A:$C,3,0)</f>
        <v>BJ PTS</v>
      </c>
      <c r="J2904" s="918" t="str">
        <f t="shared" si="289"/>
        <v>5914BJ PTS</v>
      </c>
      <c r="K2904" s="919">
        <v>1</v>
      </c>
      <c r="L2904" s="920">
        <f t="shared" si="288"/>
        <v>1560</v>
      </c>
      <c r="M2904" s="920">
        <f t="shared" si="290"/>
        <v>5.9051366400000003</v>
      </c>
      <c r="N2904" s="920">
        <f t="shared" si="291"/>
        <v>6.5</v>
      </c>
      <c r="O2904" s="918" t="str">
        <f t="shared" si="292"/>
        <v>Feb</v>
      </c>
      <c r="P2904" s="921">
        <f t="shared" si="293"/>
        <v>8</v>
      </c>
    </row>
    <row r="2905" spans="1:16" ht="15" hidden="1" customHeight="1">
      <c r="A2905" s="839">
        <v>84135781</v>
      </c>
      <c r="B2905" s="839">
        <v>5914</v>
      </c>
      <c r="C2905" s="906">
        <v>25440</v>
      </c>
      <c r="D2905" s="907">
        <v>46069</v>
      </c>
      <c r="E2905" s="839" t="s">
        <v>302</v>
      </c>
      <c r="F2905" s="839" t="s">
        <v>301</v>
      </c>
      <c r="G2905" s="916">
        <f>VLOOKUP($A2905,'Tech Litons'!$A:$I,8,FALSE)</f>
        <v>3.7853439999999999E-3</v>
      </c>
      <c r="H2905" s="917">
        <f>VLOOKUP($A2905,'Tech Litons'!$A:$I,9,FALSE)</f>
        <v>240</v>
      </c>
      <c r="I2905" s="917" t="str">
        <f>VLOOKUP($A2905,'Tech Litons'!$A:$C,3,0)</f>
        <v>BJ PTS</v>
      </c>
      <c r="J2905" s="918" t="str">
        <f t="shared" si="289"/>
        <v>5914BJ PTS</v>
      </c>
      <c r="K2905" s="919">
        <v>1</v>
      </c>
      <c r="L2905" s="920">
        <f t="shared" si="288"/>
        <v>25440</v>
      </c>
      <c r="M2905" s="920">
        <f t="shared" si="290"/>
        <v>96.299151359999996</v>
      </c>
      <c r="N2905" s="920">
        <f t="shared" si="291"/>
        <v>106</v>
      </c>
      <c r="O2905" s="918" t="str">
        <f t="shared" si="292"/>
        <v>Feb</v>
      </c>
      <c r="P2905" s="921">
        <f t="shared" si="293"/>
        <v>8</v>
      </c>
    </row>
    <row r="2906" spans="1:16" ht="15" hidden="1" customHeight="1">
      <c r="A2906" s="839">
        <v>84135781</v>
      </c>
      <c r="B2906" s="839">
        <v>5914</v>
      </c>
      <c r="C2906" s="906">
        <v>2588</v>
      </c>
      <c r="D2906" s="907">
        <v>46070</v>
      </c>
      <c r="E2906" s="839" t="s">
        <v>302</v>
      </c>
      <c r="F2906" s="839" t="s">
        <v>301</v>
      </c>
      <c r="G2906" s="916">
        <f>VLOOKUP($A2906,'Tech Litons'!$A:$I,8,FALSE)</f>
        <v>3.7853439999999999E-3</v>
      </c>
      <c r="H2906" s="917">
        <f>VLOOKUP($A2906,'Tech Litons'!$A:$I,9,FALSE)</f>
        <v>240</v>
      </c>
      <c r="I2906" s="917" t="str">
        <f>VLOOKUP($A2906,'Tech Litons'!$A:$C,3,0)</f>
        <v>BJ PTS</v>
      </c>
      <c r="J2906" s="918" t="str">
        <f t="shared" si="289"/>
        <v>5914BJ PTS</v>
      </c>
      <c r="K2906" s="919">
        <v>1</v>
      </c>
      <c r="L2906" s="920">
        <f t="shared" si="288"/>
        <v>2588</v>
      </c>
      <c r="M2906" s="920">
        <f t="shared" si="290"/>
        <v>9.7964702720000005</v>
      </c>
      <c r="N2906" s="920">
        <f t="shared" si="291"/>
        <v>10.783333333333333</v>
      </c>
      <c r="O2906" s="918" t="str">
        <f t="shared" si="292"/>
        <v>Feb</v>
      </c>
      <c r="P2906" s="921">
        <f t="shared" si="293"/>
        <v>8</v>
      </c>
    </row>
    <row r="2907" spans="1:16" ht="15" hidden="1" customHeight="1">
      <c r="A2907" s="839">
        <v>84135794</v>
      </c>
      <c r="B2907" s="839">
        <v>5914</v>
      </c>
      <c r="C2907" s="906">
        <v>3500</v>
      </c>
      <c r="D2907" s="907">
        <v>46056</v>
      </c>
      <c r="E2907" s="839" t="s">
        <v>532</v>
      </c>
      <c r="F2907" s="839" t="s">
        <v>303</v>
      </c>
      <c r="G2907" s="916">
        <f>VLOOKUP($A2907,'Tech Litons'!$A:$I,8,FALSE)</f>
        <v>9.0848256361922702E-3</v>
      </c>
      <c r="H2907" s="917">
        <f>VLOOKUP($A2907,'Tech Litons'!$A:$I,9,FALSE)</f>
        <v>125</v>
      </c>
      <c r="I2907" s="917" t="str">
        <f>VLOOKUP($A2907,'Tech Litons'!$A:$C,3,0)</f>
        <v>2.4 Gal</v>
      </c>
      <c r="J2907" s="918" t="str">
        <f t="shared" si="289"/>
        <v>59142.4 Gal</v>
      </c>
      <c r="K2907" s="919">
        <v>1</v>
      </c>
      <c r="L2907" s="920">
        <f t="shared" si="288"/>
        <v>3500</v>
      </c>
      <c r="M2907" s="920">
        <f t="shared" si="290"/>
        <v>31.796889726672944</v>
      </c>
      <c r="N2907" s="920">
        <f t="shared" si="291"/>
        <v>28</v>
      </c>
      <c r="O2907" s="918" t="str">
        <f t="shared" si="292"/>
        <v>Feb</v>
      </c>
      <c r="P2907" s="921">
        <f t="shared" si="293"/>
        <v>6</v>
      </c>
    </row>
    <row r="2908" spans="1:16" ht="15" hidden="1" customHeight="1">
      <c r="A2908" s="839">
        <v>84135794</v>
      </c>
      <c r="B2908" s="839">
        <v>5914</v>
      </c>
      <c r="C2908" s="906">
        <v>2611</v>
      </c>
      <c r="D2908" s="907">
        <v>46057</v>
      </c>
      <c r="E2908" s="839" t="s">
        <v>532</v>
      </c>
      <c r="F2908" s="839" t="s">
        <v>303</v>
      </c>
      <c r="G2908" s="916">
        <f>VLOOKUP($A2908,'Tech Litons'!$A:$I,8,FALSE)</f>
        <v>9.0848256361922702E-3</v>
      </c>
      <c r="H2908" s="917">
        <f>VLOOKUP($A2908,'Tech Litons'!$A:$I,9,FALSE)</f>
        <v>125</v>
      </c>
      <c r="I2908" s="917" t="str">
        <f>VLOOKUP($A2908,'Tech Litons'!$A:$C,3,0)</f>
        <v>2.4 Gal</v>
      </c>
      <c r="J2908" s="918" t="str">
        <f t="shared" si="289"/>
        <v>59142.4 Gal</v>
      </c>
      <c r="K2908" s="919">
        <v>1</v>
      </c>
      <c r="L2908" s="920">
        <f t="shared" si="288"/>
        <v>2611</v>
      </c>
      <c r="M2908" s="920">
        <f t="shared" si="290"/>
        <v>23.720479736098017</v>
      </c>
      <c r="N2908" s="920">
        <f t="shared" si="291"/>
        <v>20.888000000000002</v>
      </c>
      <c r="O2908" s="918" t="str">
        <f t="shared" si="292"/>
        <v>Feb</v>
      </c>
      <c r="P2908" s="921">
        <f t="shared" si="293"/>
        <v>6</v>
      </c>
    </row>
    <row r="2909" spans="1:16" ht="15" hidden="1" customHeight="1">
      <c r="A2909" s="839">
        <v>84135799</v>
      </c>
      <c r="B2909" s="839">
        <v>5914</v>
      </c>
      <c r="C2909" s="906">
        <v>3250</v>
      </c>
      <c r="D2909" s="907">
        <v>46059</v>
      </c>
      <c r="E2909" s="839" t="s">
        <v>498</v>
      </c>
      <c r="F2909" s="839" t="s">
        <v>303</v>
      </c>
      <c r="G2909" s="916">
        <f>VLOOKUP($A2909,'Tech Litons'!$A:$I,8,FALSE)</f>
        <v>9.0848256361922702E-3</v>
      </c>
      <c r="H2909" s="917">
        <f>VLOOKUP($A2909,'Tech Litons'!$A:$I,9,FALSE)</f>
        <v>125</v>
      </c>
      <c r="I2909" s="917" t="str">
        <f>VLOOKUP($A2909,'Tech Litons'!$A:$C,3,0)</f>
        <v>2.4 Gal</v>
      </c>
      <c r="J2909" s="918" t="str">
        <f t="shared" si="289"/>
        <v>59142.4 Gal</v>
      </c>
      <c r="K2909" s="919">
        <v>1</v>
      </c>
      <c r="L2909" s="920">
        <f t="shared" si="288"/>
        <v>3250</v>
      </c>
      <c r="M2909" s="920">
        <f t="shared" si="290"/>
        <v>29.525683317624878</v>
      </c>
      <c r="N2909" s="920">
        <f t="shared" si="291"/>
        <v>26</v>
      </c>
      <c r="O2909" s="918" t="str">
        <f t="shared" si="292"/>
        <v>Feb</v>
      </c>
      <c r="P2909" s="921">
        <f t="shared" si="293"/>
        <v>6</v>
      </c>
    </row>
    <row r="2910" spans="1:16" ht="15" hidden="1" customHeight="1">
      <c r="A2910" s="839">
        <v>84135799</v>
      </c>
      <c r="B2910" s="839">
        <v>5914</v>
      </c>
      <c r="C2910" s="906">
        <v>3375</v>
      </c>
      <c r="D2910" s="907">
        <v>46060</v>
      </c>
      <c r="E2910" s="839" t="s">
        <v>498</v>
      </c>
      <c r="F2910" s="839" t="s">
        <v>303</v>
      </c>
      <c r="G2910" s="916">
        <f>VLOOKUP($A2910,'Tech Litons'!$A:$I,8,FALSE)</f>
        <v>9.0848256361922702E-3</v>
      </c>
      <c r="H2910" s="917">
        <f>VLOOKUP($A2910,'Tech Litons'!$A:$I,9,FALSE)</f>
        <v>125</v>
      </c>
      <c r="I2910" s="917" t="str">
        <f>VLOOKUP($A2910,'Tech Litons'!$A:$C,3,0)</f>
        <v>2.4 Gal</v>
      </c>
      <c r="J2910" s="918" t="str">
        <f t="shared" si="289"/>
        <v>59142.4 Gal</v>
      </c>
      <c r="K2910" s="919">
        <v>1</v>
      </c>
      <c r="L2910" s="920">
        <f t="shared" si="288"/>
        <v>3375</v>
      </c>
      <c r="M2910" s="920">
        <f t="shared" si="290"/>
        <v>30.661286522148913</v>
      </c>
      <c r="N2910" s="920">
        <f t="shared" si="291"/>
        <v>27</v>
      </c>
      <c r="O2910" s="918" t="str">
        <f t="shared" si="292"/>
        <v>Feb</v>
      </c>
      <c r="P2910" s="921">
        <f t="shared" si="293"/>
        <v>6</v>
      </c>
    </row>
    <row r="2911" spans="1:16" ht="15" hidden="1" customHeight="1">
      <c r="A2911" s="839">
        <v>84135799</v>
      </c>
      <c r="B2911" s="839">
        <v>5914</v>
      </c>
      <c r="C2911" s="906">
        <v>3208</v>
      </c>
      <c r="D2911" s="907">
        <v>46062</v>
      </c>
      <c r="E2911" s="839" t="s">
        <v>498</v>
      </c>
      <c r="F2911" s="839" t="s">
        <v>303</v>
      </c>
      <c r="G2911" s="916">
        <f>VLOOKUP($A2911,'Tech Litons'!$A:$I,8,FALSE)</f>
        <v>9.0848256361922702E-3</v>
      </c>
      <c r="H2911" s="917">
        <f>VLOOKUP($A2911,'Tech Litons'!$A:$I,9,FALSE)</f>
        <v>125</v>
      </c>
      <c r="I2911" s="917" t="str">
        <f>VLOOKUP($A2911,'Tech Litons'!$A:$C,3,0)</f>
        <v>2.4 Gal</v>
      </c>
      <c r="J2911" s="918" t="str">
        <f t="shared" si="289"/>
        <v>59142.4 Gal</v>
      </c>
      <c r="K2911" s="919">
        <v>1</v>
      </c>
      <c r="L2911" s="920">
        <f t="shared" si="288"/>
        <v>3208</v>
      </c>
      <c r="M2911" s="920">
        <f t="shared" si="290"/>
        <v>29.144120640904802</v>
      </c>
      <c r="N2911" s="920">
        <f t="shared" si="291"/>
        <v>25.664000000000001</v>
      </c>
      <c r="O2911" s="918" t="str">
        <f t="shared" si="292"/>
        <v>Feb</v>
      </c>
      <c r="P2911" s="921">
        <f t="shared" si="293"/>
        <v>7</v>
      </c>
    </row>
    <row r="2912" spans="1:16" ht="15" hidden="1" customHeight="1">
      <c r="A2912" s="839">
        <v>84135799</v>
      </c>
      <c r="B2912" s="839">
        <v>5914</v>
      </c>
      <c r="C2912" s="906">
        <v>4250</v>
      </c>
      <c r="D2912" s="907">
        <v>46063</v>
      </c>
      <c r="E2912" s="839" t="s">
        <v>498</v>
      </c>
      <c r="F2912" s="839" t="s">
        <v>303</v>
      </c>
      <c r="G2912" s="916">
        <f>VLOOKUP($A2912,'Tech Litons'!$A:$I,8,FALSE)</f>
        <v>9.0848256361922702E-3</v>
      </c>
      <c r="H2912" s="917">
        <f>VLOOKUP($A2912,'Tech Litons'!$A:$I,9,FALSE)</f>
        <v>125</v>
      </c>
      <c r="I2912" s="917" t="str">
        <f>VLOOKUP($A2912,'Tech Litons'!$A:$C,3,0)</f>
        <v>2.4 Gal</v>
      </c>
      <c r="J2912" s="918" t="str">
        <f t="shared" si="289"/>
        <v>59142.4 Gal</v>
      </c>
      <c r="K2912" s="919">
        <v>1</v>
      </c>
      <c r="L2912" s="920">
        <f t="shared" si="288"/>
        <v>4250</v>
      </c>
      <c r="M2912" s="920">
        <f t="shared" si="290"/>
        <v>38.610508953817146</v>
      </c>
      <c r="N2912" s="920">
        <f t="shared" si="291"/>
        <v>34</v>
      </c>
      <c r="O2912" s="918" t="str">
        <f t="shared" si="292"/>
        <v>Feb</v>
      </c>
      <c r="P2912" s="921">
        <f t="shared" si="293"/>
        <v>7</v>
      </c>
    </row>
    <row r="2913" spans="1:16" ht="15" hidden="1" customHeight="1">
      <c r="A2913" s="839">
        <v>84135799</v>
      </c>
      <c r="B2913" s="839">
        <v>5914</v>
      </c>
      <c r="C2913" s="906">
        <v>5410</v>
      </c>
      <c r="D2913" s="907">
        <v>46064</v>
      </c>
      <c r="E2913" s="839" t="s">
        <v>498</v>
      </c>
      <c r="F2913" s="839" t="s">
        <v>303</v>
      </c>
      <c r="G2913" s="916">
        <f>VLOOKUP($A2913,'Tech Litons'!$A:$I,8,FALSE)</f>
        <v>9.0848256361922702E-3</v>
      </c>
      <c r="H2913" s="917">
        <f>VLOOKUP($A2913,'Tech Litons'!$A:$I,9,FALSE)</f>
        <v>125</v>
      </c>
      <c r="I2913" s="917" t="str">
        <f>VLOOKUP($A2913,'Tech Litons'!$A:$C,3,0)</f>
        <v>2.4 Gal</v>
      </c>
      <c r="J2913" s="918" t="str">
        <f t="shared" si="289"/>
        <v>59142.4 Gal</v>
      </c>
      <c r="K2913" s="919">
        <v>1</v>
      </c>
      <c r="L2913" s="920">
        <f t="shared" si="288"/>
        <v>5410</v>
      </c>
      <c r="M2913" s="920">
        <f t="shared" si="290"/>
        <v>49.148906691800185</v>
      </c>
      <c r="N2913" s="920">
        <f t="shared" si="291"/>
        <v>43.28</v>
      </c>
      <c r="O2913" s="918" t="str">
        <f t="shared" si="292"/>
        <v>Feb</v>
      </c>
      <c r="P2913" s="921">
        <f t="shared" si="293"/>
        <v>7</v>
      </c>
    </row>
    <row r="2914" spans="1:16" ht="15" hidden="1" customHeight="1">
      <c r="A2914" s="839">
        <v>84136043</v>
      </c>
      <c r="B2914" s="839">
        <v>5914</v>
      </c>
      <c r="C2914" s="906">
        <v>7440</v>
      </c>
      <c r="D2914" s="907">
        <v>46050</v>
      </c>
      <c r="E2914" s="839" t="s">
        <v>390</v>
      </c>
      <c r="F2914" s="839" t="s">
        <v>301</v>
      </c>
      <c r="G2914" s="916">
        <f>VLOOKUP($A2914,'Tech Litons'!$A:$I,8,FALSE)</f>
        <v>3.7853439999999999E-3</v>
      </c>
      <c r="H2914" s="917">
        <f>VLOOKUP($A2914,'Tech Litons'!$A:$I,9,FALSE)</f>
        <v>240</v>
      </c>
      <c r="I2914" s="917" t="str">
        <f>VLOOKUP($A2914,'Tech Litons'!$A:$C,3,0)</f>
        <v>BJ PTS</v>
      </c>
      <c r="J2914" s="918" t="str">
        <f t="shared" si="289"/>
        <v>5914BJ PTS</v>
      </c>
      <c r="K2914" s="919">
        <v>1</v>
      </c>
      <c r="L2914" s="920">
        <f t="shared" si="288"/>
        <v>7440</v>
      </c>
      <c r="M2914" s="920">
        <f t="shared" si="290"/>
        <v>28.162959359999999</v>
      </c>
      <c r="N2914" s="920">
        <f t="shared" si="291"/>
        <v>31</v>
      </c>
      <c r="O2914" s="918" t="str">
        <f t="shared" si="292"/>
        <v>Jan</v>
      </c>
      <c r="P2914" s="921">
        <f t="shared" si="293"/>
        <v>5</v>
      </c>
    </row>
    <row r="2915" spans="1:16" ht="15" hidden="1" customHeight="1">
      <c r="A2915" s="839">
        <v>84136043</v>
      </c>
      <c r="B2915" s="839">
        <v>5914</v>
      </c>
      <c r="C2915" s="906">
        <v>7049</v>
      </c>
      <c r="D2915" s="907">
        <v>46051</v>
      </c>
      <c r="E2915" s="839" t="s">
        <v>390</v>
      </c>
      <c r="F2915" s="839" t="s">
        <v>301</v>
      </c>
      <c r="G2915" s="916">
        <f>VLOOKUP($A2915,'Tech Litons'!$A:$I,8,FALSE)</f>
        <v>3.7853439999999999E-3</v>
      </c>
      <c r="H2915" s="917">
        <f>VLOOKUP($A2915,'Tech Litons'!$A:$I,9,FALSE)</f>
        <v>240</v>
      </c>
      <c r="I2915" s="917" t="str">
        <f>VLOOKUP($A2915,'Tech Litons'!$A:$C,3,0)</f>
        <v>BJ PTS</v>
      </c>
      <c r="J2915" s="918" t="str">
        <f t="shared" si="289"/>
        <v>5914BJ PTS</v>
      </c>
      <c r="K2915" s="919">
        <v>1</v>
      </c>
      <c r="L2915" s="920">
        <f t="shared" ref="L2915:L2975" si="294">C2915*$K2915</f>
        <v>7049</v>
      </c>
      <c r="M2915" s="920">
        <f t="shared" si="290"/>
        <v>26.682889855999999</v>
      </c>
      <c r="N2915" s="920">
        <f t="shared" si="291"/>
        <v>29.370833333333334</v>
      </c>
      <c r="O2915" s="918" t="str">
        <f t="shared" si="292"/>
        <v>Jan</v>
      </c>
      <c r="P2915" s="921">
        <f t="shared" si="293"/>
        <v>5</v>
      </c>
    </row>
    <row r="2916" spans="1:16" ht="15" hidden="1" customHeight="1">
      <c r="A2916" s="839">
        <v>84136704</v>
      </c>
      <c r="B2916" s="839">
        <v>5914</v>
      </c>
      <c r="C2916" s="906">
        <v>14400</v>
      </c>
      <c r="D2916" s="907">
        <v>46055</v>
      </c>
      <c r="E2916" s="839" t="s">
        <v>416</v>
      </c>
      <c r="F2916" s="839" t="s">
        <v>303</v>
      </c>
      <c r="G2916" s="916">
        <f>VLOOKUP($A2916,'Tech Litons'!$A:$I,8,FALSE)</f>
        <v>3.7853439999999999E-3</v>
      </c>
      <c r="H2916" s="917">
        <f>VLOOKUP($A2916,'Tech Litons'!$A:$I,9,FALSE)</f>
        <v>240</v>
      </c>
      <c r="I2916" s="917" t="str">
        <f>VLOOKUP($A2916,'Tech Litons'!$A:$C,3,0)</f>
        <v>BJ PTS</v>
      </c>
      <c r="J2916" s="918" t="str">
        <f t="shared" ref="J2916:J2962" si="295">B2916&amp;I2916</f>
        <v>5914BJ PTS</v>
      </c>
      <c r="K2916" s="919">
        <v>1</v>
      </c>
      <c r="L2916" s="920">
        <f t="shared" si="294"/>
        <v>14400</v>
      </c>
      <c r="M2916" s="920">
        <f t="shared" ref="M2916:M2962" si="296">L2916*G2916</f>
        <v>54.508953599999998</v>
      </c>
      <c r="N2916" s="920">
        <f t="shared" ref="N2916:N2962" si="297">L2916/H2916</f>
        <v>60</v>
      </c>
      <c r="O2916" s="918" t="str">
        <f t="shared" ref="O2916:O2962" si="298">TEXT(D2916,"MMM")</f>
        <v>Feb</v>
      </c>
      <c r="P2916" s="921">
        <f t="shared" ref="P2916:P2962" si="299">WEEKNUM(D2916)</f>
        <v>6</v>
      </c>
    </row>
    <row r="2917" spans="1:16" ht="15" hidden="1" customHeight="1">
      <c r="A2917" s="839">
        <v>84136704</v>
      </c>
      <c r="B2917" s="839">
        <v>5914</v>
      </c>
      <c r="C2917" s="906">
        <v>25920</v>
      </c>
      <c r="D2917" s="907">
        <v>46056</v>
      </c>
      <c r="E2917" s="839" t="s">
        <v>416</v>
      </c>
      <c r="F2917" s="839" t="s">
        <v>303</v>
      </c>
      <c r="G2917" s="916">
        <f>VLOOKUP($A2917,'Tech Litons'!$A:$I,8,FALSE)</f>
        <v>3.7853439999999999E-3</v>
      </c>
      <c r="H2917" s="917">
        <f>VLOOKUP($A2917,'Tech Litons'!$A:$I,9,FALSE)</f>
        <v>240</v>
      </c>
      <c r="I2917" s="917" t="str">
        <f>VLOOKUP($A2917,'Tech Litons'!$A:$C,3,0)</f>
        <v>BJ PTS</v>
      </c>
      <c r="J2917" s="918" t="str">
        <f t="shared" si="295"/>
        <v>5914BJ PTS</v>
      </c>
      <c r="K2917" s="919">
        <v>1</v>
      </c>
      <c r="L2917" s="920">
        <f t="shared" si="294"/>
        <v>25920</v>
      </c>
      <c r="M2917" s="920">
        <f t="shared" si="296"/>
        <v>98.116116480000002</v>
      </c>
      <c r="N2917" s="920">
        <f t="shared" si="297"/>
        <v>108</v>
      </c>
      <c r="O2917" s="918" t="str">
        <f t="shared" si="298"/>
        <v>Feb</v>
      </c>
      <c r="P2917" s="921">
        <f t="shared" si="299"/>
        <v>6</v>
      </c>
    </row>
    <row r="2918" spans="1:16" ht="15" hidden="1" customHeight="1">
      <c r="A2918" s="839">
        <v>84136704</v>
      </c>
      <c r="B2918" s="839">
        <v>5914</v>
      </c>
      <c r="C2918" s="906">
        <v>4230</v>
      </c>
      <c r="D2918" s="907">
        <v>46057</v>
      </c>
      <c r="E2918" s="839" t="s">
        <v>416</v>
      </c>
      <c r="F2918" s="839" t="s">
        <v>303</v>
      </c>
      <c r="G2918" s="916">
        <f>VLOOKUP($A2918,'Tech Litons'!$A:$I,8,FALSE)</f>
        <v>3.7853439999999999E-3</v>
      </c>
      <c r="H2918" s="917">
        <f>VLOOKUP($A2918,'Tech Litons'!$A:$I,9,FALSE)</f>
        <v>240</v>
      </c>
      <c r="I2918" s="917" t="str">
        <f>VLOOKUP($A2918,'Tech Litons'!$A:$C,3,0)</f>
        <v>BJ PTS</v>
      </c>
      <c r="J2918" s="918" t="str">
        <f t="shared" si="295"/>
        <v>5914BJ PTS</v>
      </c>
      <c r="K2918" s="919">
        <v>1</v>
      </c>
      <c r="L2918" s="920">
        <f t="shared" si="294"/>
        <v>4230</v>
      </c>
      <c r="M2918" s="920">
        <f t="shared" si="296"/>
        <v>16.012005120000001</v>
      </c>
      <c r="N2918" s="920">
        <f t="shared" si="297"/>
        <v>17.625</v>
      </c>
      <c r="O2918" s="918" t="str">
        <f t="shared" si="298"/>
        <v>Feb</v>
      </c>
      <c r="P2918" s="921">
        <f t="shared" si="299"/>
        <v>6</v>
      </c>
    </row>
    <row r="2919" spans="1:16" ht="15" hidden="1" customHeight="1">
      <c r="A2919" s="839">
        <v>84137694</v>
      </c>
      <c r="B2919" s="839">
        <v>5914</v>
      </c>
      <c r="C2919" s="906">
        <v>21840</v>
      </c>
      <c r="D2919" s="907">
        <v>46059</v>
      </c>
      <c r="E2919" s="839" t="s">
        <v>417</v>
      </c>
      <c r="F2919" s="839" t="s">
        <v>301</v>
      </c>
      <c r="G2919" s="916">
        <f>VLOOKUP($A2919,'Tech Litons'!$A:$I,8,FALSE)</f>
        <v>3.7853439999999999E-3</v>
      </c>
      <c r="H2919" s="917">
        <f>VLOOKUP($A2919,'Tech Litons'!$A:$I,9,FALSE)</f>
        <v>240</v>
      </c>
      <c r="I2919" s="917" t="str">
        <f>VLOOKUP($A2919,'Tech Litons'!$A:$C,3,0)</f>
        <v>BJ PTS</v>
      </c>
      <c r="J2919" s="918" t="str">
        <f t="shared" si="295"/>
        <v>5914BJ PTS</v>
      </c>
      <c r="K2919" s="919">
        <v>1</v>
      </c>
      <c r="L2919" s="920">
        <f t="shared" si="294"/>
        <v>21840</v>
      </c>
      <c r="M2919" s="920">
        <f t="shared" si="296"/>
        <v>82.67191296</v>
      </c>
      <c r="N2919" s="920">
        <f t="shared" si="297"/>
        <v>91</v>
      </c>
      <c r="O2919" s="918" t="str">
        <f t="shared" si="298"/>
        <v>Feb</v>
      </c>
      <c r="P2919" s="921">
        <f t="shared" si="299"/>
        <v>6</v>
      </c>
    </row>
    <row r="2920" spans="1:16" ht="15" hidden="1" customHeight="1">
      <c r="A2920" s="839">
        <v>84137694</v>
      </c>
      <c r="B2920" s="839">
        <v>5914</v>
      </c>
      <c r="C2920" s="906">
        <v>16800</v>
      </c>
      <c r="D2920" s="907">
        <v>46060</v>
      </c>
      <c r="E2920" s="839" t="s">
        <v>417</v>
      </c>
      <c r="F2920" s="839" t="s">
        <v>301</v>
      </c>
      <c r="G2920" s="916">
        <f>VLOOKUP($A2920,'Tech Litons'!$A:$I,8,FALSE)</f>
        <v>3.7853439999999999E-3</v>
      </c>
      <c r="H2920" s="917">
        <f>VLOOKUP($A2920,'Tech Litons'!$A:$I,9,FALSE)</f>
        <v>240</v>
      </c>
      <c r="I2920" s="917" t="str">
        <f>VLOOKUP($A2920,'Tech Litons'!$A:$C,3,0)</f>
        <v>BJ PTS</v>
      </c>
      <c r="J2920" s="918" t="str">
        <f t="shared" si="295"/>
        <v>5914BJ PTS</v>
      </c>
      <c r="K2920" s="919">
        <v>1</v>
      </c>
      <c r="L2920" s="920">
        <f t="shared" si="294"/>
        <v>16800</v>
      </c>
      <c r="M2920" s="920">
        <f t="shared" si="296"/>
        <v>63.5937792</v>
      </c>
      <c r="N2920" s="920">
        <f t="shared" si="297"/>
        <v>70</v>
      </c>
      <c r="O2920" s="918" t="str">
        <f t="shared" si="298"/>
        <v>Feb</v>
      </c>
      <c r="P2920" s="921">
        <f t="shared" si="299"/>
        <v>6</v>
      </c>
    </row>
    <row r="2921" spans="1:16" ht="15" hidden="1" customHeight="1">
      <c r="A2921" s="839">
        <v>84137694</v>
      </c>
      <c r="B2921" s="839">
        <v>5914</v>
      </c>
      <c r="C2921" s="906">
        <v>1283</v>
      </c>
      <c r="D2921" s="907">
        <v>46062</v>
      </c>
      <c r="E2921" s="839" t="s">
        <v>417</v>
      </c>
      <c r="F2921" s="839" t="s">
        <v>301</v>
      </c>
      <c r="G2921" s="916">
        <f>VLOOKUP($A2921,'Tech Litons'!$A:$I,8,FALSE)</f>
        <v>3.7853439999999999E-3</v>
      </c>
      <c r="H2921" s="917">
        <f>VLOOKUP($A2921,'Tech Litons'!$A:$I,9,FALSE)</f>
        <v>240</v>
      </c>
      <c r="I2921" s="917" t="str">
        <f>VLOOKUP($A2921,'Tech Litons'!$A:$C,3,0)</f>
        <v>BJ PTS</v>
      </c>
      <c r="J2921" s="918" t="str">
        <f t="shared" si="295"/>
        <v>5914BJ PTS</v>
      </c>
      <c r="K2921" s="919">
        <v>1</v>
      </c>
      <c r="L2921" s="920">
        <f t="shared" si="294"/>
        <v>1283</v>
      </c>
      <c r="M2921" s="920">
        <f t="shared" si="296"/>
        <v>4.8565963519999995</v>
      </c>
      <c r="N2921" s="920">
        <f t="shared" si="297"/>
        <v>5.3458333333333332</v>
      </c>
      <c r="O2921" s="918" t="str">
        <f t="shared" si="298"/>
        <v>Feb</v>
      </c>
      <c r="P2921" s="921">
        <f t="shared" si="299"/>
        <v>7</v>
      </c>
    </row>
    <row r="2922" spans="1:16" ht="15" hidden="1" customHeight="1">
      <c r="A2922" s="839">
        <v>84138391</v>
      </c>
      <c r="B2922" s="839">
        <v>5914</v>
      </c>
      <c r="C2922" s="906">
        <v>32160</v>
      </c>
      <c r="D2922" s="907">
        <v>46050</v>
      </c>
      <c r="E2922" s="839" t="s">
        <v>339</v>
      </c>
      <c r="F2922" s="839" t="s">
        <v>279</v>
      </c>
      <c r="G2922" s="916">
        <f>VLOOKUP($A2922,'Tech Litons'!$A:$I,8,FALSE)</f>
        <v>3.7853439999999999E-3</v>
      </c>
      <c r="H2922" s="917">
        <f>VLOOKUP($A2922,'Tech Litons'!$A:$I,9,FALSE)</f>
        <v>240</v>
      </c>
      <c r="I2922" s="917" t="str">
        <f>VLOOKUP($A2922,'Tech Litons'!$A:$C,3,0)</f>
        <v>BJ PTS</v>
      </c>
      <c r="J2922" s="918" t="str">
        <f t="shared" si="295"/>
        <v>5914BJ PTS</v>
      </c>
      <c r="K2922" s="919">
        <v>1</v>
      </c>
      <c r="L2922" s="920">
        <f t="shared" si="294"/>
        <v>32160</v>
      </c>
      <c r="M2922" s="920">
        <f t="shared" si="296"/>
        <v>121.73666304</v>
      </c>
      <c r="N2922" s="920">
        <f t="shared" si="297"/>
        <v>134</v>
      </c>
      <c r="O2922" s="918" t="str">
        <f t="shared" si="298"/>
        <v>Jan</v>
      </c>
      <c r="P2922" s="921">
        <f t="shared" si="299"/>
        <v>5</v>
      </c>
    </row>
    <row r="2923" spans="1:16" ht="15" hidden="1" customHeight="1">
      <c r="A2923" s="839">
        <v>84138391</v>
      </c>
      <c r="B2923" s="839">
        <v>5914</v>
      </c>
      <c r="C2923" s="906">
        <v>2216</v>
      </c>
      <c r="D2923" s="907">
        <v>46051</v>
      </c>
      <c r="E2923" s="839" t="s">
        <v>339</v>
      </c>
      <c r="F2923" s="839" t="s">
        <v>279</v>
      </c>
      <c r="G2923" s="916">
        <f>VLOOKUP($A2923,'Tech Litons'!$A:$I,8,FALSE)</f>
        <v>3.7853439999999999E-3</v>
      </c>
      <c r="H2923" s="917">
        <f>VLOOKUP($A2923,'Tech Litons'!$A:$I,9,FALSE)</f>
        <v>240</v>
      </c>
      <c r="I2923" s="917" t="str">
        <f>VLOOKUP($A2923,'Tech Litons'!$A:$C,3,0)</f>
        <v>BJ PTS</v>
      </c>
      <c r="J2923" s="918" t="str">
        <f t="shared" si="295"/>
        <v>5914BJ PTS</v>
      </c>
      <c r="K2923" s="919">
        <v>1</v>
      </c>
      <c r="L2923" s="920">
        <f t="shared" si="294"/>
        <v>2216</v>
      </c>
      <c r="M2923" s="920">
        <f t="shared" si="296"/>
        <v>8.388322303999999</v>
      </c>
      <c r="N2923" s="920">
        <f t="shared" si="297"/>
        <v>9.2333333333333325</v>
      </c>
      <c r="O2923" s="918" t="str">
        <f t="shared" si="298"/>
        <v>Jan</v>
      </c>
      <c r="P2923" s="921">
        <f t="shared" si="299"/>
        <v>5</v>
      </c>
    </row>
    <row r="2924" spans="1:16" ht="15" hidden="1" customHeight="1">
      <c r="A2924" s="839">
        <v>84138391</v>
      </c>
      <c r="B2924" s="839">
        <v>5914</v>
      </c>
      <c r="C2924" s="906">
        <v>3840</v>
      </c>
      <c r="D2924" s="907">
        <v>46057</v>
      </c>
      <c r="E2924" s="839" t="s">
        <v>339</v>
      </c>
      <c r="F2924" s="839" t="s">
        <v>279</v>
      </c>
      <c r="G2924" s="916">
        <f>VLOOKUP($A2924,'Tech Litons'!$A:$I,8,FALSE)</f>
        <v>3.7853439999999999E-3</v>
      </c>
      <c r="H2924" s="917">
        <f>VLOOKUP($A2924,'Tech Litons'!$A:$I,9,FALSE)</f>
        <v>240</v>
      </c>
      <c r="I2924" s="917" t="str">
        <f>VLOOKUP($A2924,'Tech Litons'!$A:$C,3,0)</f>
        <v>BJ PTS</v>
      </c>
      <c r="J2924" s="918" t="str">
        <f t="shared" si="295"/>
        <v>5914BJ PTS</v>
      </c>
      <c r="K2924" s="919">
        <v>1</v>
      </c>
      <c r="L2924" s="920">
        <f t="shared" si="294"/>
        <v>3840</v>
      </c>
      <c r="M2924" s="920">
        <f t="shared" si="296"/>
        <v>14.535720959999999</v>
      </c>
      <c r="N2924" s="920">
        <f t="shared" si="297"/>
        <v>16</v>
      </c>
      <c r="O2924" s="918" t="str">
        <f t="shared" si="298"/>
        <v>Feb</v>
      </c>
      <c r="P2924" s="921">
        <f t="shared" si="299"/>
        <v>6</v>
      </c>
    </row>
    <row r="2925" spans="1:16" ht="15" hidden="1" customHeight="1">
      <c r="A2925" s="839">
        <v>84138391</v>
      </c>
      <c r="B2925" s="839">
        <v>5914</v>
      </c>
      <c r="C2925" s="906">
        <v>21360</v>
      </c>
      <c r="D2925" s="907">
        <v>46058</v>
      </c>
      <c r="E2925" s="839" t="s">
        <v>339</v>
      </c>
      <c r="F2925" s="839" t="s">
        <v>279</v>
      </c>
      <c r="G2925" s="916">
        <f>VLOOKUP($A2925,'Tech Litons'!$A:$I,8,FALSE)</f>
        <v>3.7853439999999999E-3</v>
      </c>
      <c r="H2925" s="917">
        <f>VLOOKUP($A2925,'Tech Litons'!$A:$I,9,FALSE)</f>
        <v>240</v>
      </c>
      <c r="I2925" s="917" t="str">
        <f>VLOOKUP($A2925,'Tech Litons'!$A:$C,3,0)</f>
        <v>BJ PTS</v>
      </c>
      <c r="J2925" s="918" t="str">
        <f t="shared" si="295"/>
        <v>5914BJ PTS</v>
      </c>
      <c r="K2925" s="919">
        <v>1</v>
      </c>
      <c r="L2925" s="920">
        <f t="shared" si="294"/>
        <v>21360</v>
      </c>
      <c r="M2925" s="920">
        <f t="shared" si="296"/>
        <v>80.854947839999994</v>
      </c>
      <c r="N2925" s="920">
        <f t="shared" si="297"/>
        <v>89</v>
      </c>
      <c r="O2925" s="918" t="str">
        <f t="shared" si="298"/>
        <v>Feb</v>
      </c>
      <c r="P2925" s="921">
        <f t="shared" si="299"/>
        <v>6</v>
      </c>
    </row>
    <row r="2926" spans="1:16" ht="15" hidden="1" customHeight="1">
      <c r="A2926" s="839">
        <v>84138391</v>
      </c>
      <c r="B2926" s="839">
        <v>5914</v>
      </c>
      <c r="C2926" s="906">
        <v>24557</v>
      </c>
      <c r="D2926" s="907">
        <v>46059</v>
      </c>
      <c r="E2926" s="839" t="s">
        <v>339</v>
      </c>
      <c r="F2926" s="839" t="s">
        <v>279</v>
      </c>
      <c r="G2926" s="916">
        <f>VLOOKUP($A2926,'Tech Litons'!$A:$I,8,FALSE)</f>
        <v>3.7853439999999999E-3</v>
      </c>
      <c r="H2926" s="917">
        <f>VLOOKUP($A2926,'Tech Litons'!$A:$I,9,FALSE)</f>
        <v>240</v>
      </c>
      <c r="I2926" s="917" t="str">
        <f>VLOOKUP($A2926,'Tech Litons'!$A:$C,3,0)</f>
        <v>BJ PTS</v>
      </c>
      <c r="J2926" s="918" t="str">
        <f t="shared" si="295"/>
        <v>5914BJ PTS</v>
      </c>
      <c r="K2926" s="919">
        <v>1</v>
      </c>
      <c r="L2926" s="920">
        <f t="shared" si="294"/>
        <v>24557</v>
      </c>
      <c r="M2926" s="920">
        <f t="shared" si="296"/>
        <v>92.956692607999997</v>
      </c>
      <c r="N2926" s="920">
        <f t="shared" si="297"/>
        <v>102.32083333333334</v>
      </c>
      <c r="O2926" s="918" t="str">
        <f t="shared" si="298"/>
        <v>Feb</v>
      </c>
      <c r="P2926" s="921">
        <f t="shared" si="299"/>
        <v>6</v>
      </c>
    </row>
    <row r="2927" spans="1:16" ht="15" hidden="1" customHeight="1">
      <c r="A2927" s="839">
        <v>84138391</v>
      </c>
      <c r="B2927" s="839">
        <v>5914</v>
      </c>
      <c r="C2927" s="906">
        <v>14880</v>
      </c>
      <c r="D2927" s="907">
        <v>46060</v>
      </c>
      <c r="E2927" s="839" t="s">
        <v>339</v>
      </c>
      <c r="F2927" s="839" t="s">
        <v>279</v>
      </c>
      <c r="G2927" s="916">
        <f>VLOOKUP($A2927,'Tech Litons'!$A:$I,8,FALSE)</f>
        <v>3.7853439999999999E-3</v>
      </c>
      <c r="H2927" s="917">
        <f>VLOOKUP($A2927,'Tech Litons'!$A:$I,9,FALSE)</f>
        <v>240</v>
      </c>
      <c r="I2927" s="917" t="str">
        <f>VLOOKUP($A2927,'Tech Litons'!$A:$C,3,0)</f>
        <v>BJ PTS</v>
      </c>
      <c r="J2927" s="918" t="str">
        <f t="shared" si="295"/>
        <v>5914BJ PTS</v>
      </c>
      <c r="K2927" s="919">
        <v>1</v>
      </c>
      <c r="L2927" s="920">
        <f t="shared" si="294"/>
        <v>14880</v>
      </c>
      <c r="M2927" s="920">
        <f t="shared" si="296"/>
        <v>56.325918719999997</v>
      </c>
      <c r="N2927" s="920">
        <f t="shared" si="297"/>
        <v>62</v>
      </c>
      <c r="O2927" s="918" t="str">
        <f t="shared" si="298"/>
        <v>Feb</v>
      </c>
      <c r="P2927" s="921">
        <f t="shared" si="299"/>
        <v>6</v>
      </c>
    </row>
    <row r="2928" spans="1:16" ht="15" hidden="1" customHeight="1">
      <c r="A2928" s="839">
        <v>84138391</v>
      </c>
      <c r="B2928" s="839">
        <v>5914</v>
      </c>
      <c r="C2928" s="906">
        <v>1936</v>
      </c>
      <c r="D2928" s="907">
        <v>46062</v>
      </c>
      <c r="E2928" s="839" t="s">
        <v>339</v>
      </c>
      <c r="F2928" s="839" t="s">
        <v>279</v>
      </c>
      <c r="G2928" s="916">
        <f>VLOOKUP($A2928,'Tech Litons'!$A:$I,8,FALSE)</f>
        <v>3.7853439999999999E-3</v>
      </c>
      <c r="H2928" s="917">
        <f>VLOOKUP($A2928,'Tech Litons'!$A:$I,9,FALSE)</f>
        <v>240</v>
      </c>
      <c r="I2928" s="917" t="str">
        <f>VLOOKUP($A2928,'Tech Litons'!$A:$C,3,0)</f>
        <v>BJ PTS</v>
      </c>
      <c r="J2928" s="918" t="str">
        <f t="shared" si="295"/>
        <v>5914BJ PTS</v>
      </c>
      <c r="K2928" s="919">
        <v>1</v>
      </c>
      <c r="L2928" s="920">
        <f t="shared" si="294"/>
        <v>1936</v>
      </c>
      <c r="M2928" s="920">
        <f t="shared" si="296"/>
        <v>7.3284259839999999</v>
      </c>
      <c r="N2928" s="920">
        <f t="shared" si="297"/>
        <v>8.0666666666666664</v>
      </c>
      <c r="O2928" s="918" t="str">
        <f t="shared" si="298"/>
        <v>Feb</v>
      </c>
      <c r="P2928" s="921">
        <f t="shared" si="299"/>
        <v>7</v>
      </c>
    </row>
    <row r="2929" spans="1:16" ht="15" hidden="1" customHeight="1">
      <c r="A2929" s="839">
        <v>84138391</v>
      </c>
      <c r="B2929" s="839">
        <v>5914</v>
      </c>
      <c r="C2929" s="906">
        <v>-240</v>
      </c>
      <c r="D2929" s="907">
        <v>46063</v>
      </c>
      <c r="E2929" s="839" t="s">
        <v>339</v>
      </c>
      <c r="F2929" s="839" t="s">
        <v>279</v>
      </c>
      <c r="G2929" s="916">
        <f>VLOOKUP($A2929,'Tech Litons'!$A:$I,8,FALSE)</f>
        <v>3.7853439999999999E-3</v>
      </c>
      <c r="H2929" s="917">
        <f>VLOOKUP($A2929,'Tech Litons'!$A:$I,9,FALSE)</f>
        <v>240</v>
      </c>
      <c r="I2929" s="917" t="str">
        <f>VLOOKUP($A2929,'Tech Litons'!$A:$C,3,0)</f>
        <v>BJ PTS</v>
      </c>
      <c r="J2929" s="918" t="str">
        <f t="shared" si="295"/>
        <v>5914BJ PTS</v>
      </c>
      <c r="K2929" s="919">
        <v>1</v>
      </c>
      <c r="L2929" s="920">
        <f t="shared" si="294"/>
        <v>-240</v>
      </c>
      <c r="M2929" s="920">
        <f t="shared" si="296"/>
        <v>-0.90848255999999994</v>
      </c>
      <c r="N2929" s="920">
        <f t="shared" si="297"/>
        <v>-1</v>
      </c>
      <c r="O2929" s="918" t="str">
        <f t="shared" si="298"/>
        <v>Feb</v>
      </c>
      <c r="P2929" s="921">
        <f t="shared" si="299"/>
        <v>7</v>
      </c>
    </row>
    <row r="2930" spans="1:16" ht="15" hidden="1" customHeight="1">
      <c r="A2930" s="839">
        <v>84138391</v>
      </c>
      <c r="B2930" s="839">
        <v>5914</v>
      </c>
      <c r="C2930" s="906">
        <v>8880</v>
      </c>
      <c r="D2930" s="907">
        <v>46069</v>
      </c>
      <c r="E2930" s="839" t="s">
        <v>339</v>
      </c>
      <c r="F2930" s="839" t="s">
        <v>279</v>
      </c>
      <c r="G2930" s="916">
        <f>VLOOKUP($A2930,'Tech Litons'!$A:$I,8,FALSE)</f>
        <v>3.7853439999999999E-3</v>
      </c>
      <c r="H2930" s="917">
        <f>VLOOKUP($A2930,'Tech Litons'!$A:$I,9,FALSE)</f>
        <v>240</v>
      </c>
      <c r="I2930" s="917" t="str">
        <f>VLOOKUP($A2930,'Tech Litons'!$A:$C,3,0)</f>
        <v>BJ PTS</v>
      </c>
      <c r="J2930" s="918" t="str">
        <f t="shared" si="295"/>
        <v>5914BJ PTS</v>
      </c>
      <c r="K2930" s="919">
        <v>1</v>
      </c>
      <c r="L2930" s="920">
        <f t="shared" si="294"/>
        <v>8880</v>
      </c>
      <c r="M2930" s="920">
        <f t="shared" si="296"/>
        <v>33.613854719999999</v>
      </c>
      <c r="N2930" s="920">
        <f t="shared" si="297"/>
        <v>37</v>
      </c>
      <c r="O2930" s="918" t="str">
        <f t="shared" si="298"/>
        <v>Feb</v>
      </c>
      <c r="P2930" s="921">
        <f t="shared" si="299"/>
        <v>8</v>
      </c>
    </row>
    <row r="2931" spans="1:16" ht="15" hidden="1" customHeight="1">
      <c r="A2931" s="839">
        <v>84138391</v>
      </c>
      <c r="B2931" s="839">
        <v>5914</v>
      </c>
      <c r="C2931" s="906">
        <v>30240</v>
      </c>
      <c r="D2931" s="907">
        <v>46070</v>
      </c>
      <c r="E2931" s="839" t="s">
        <v>339</v>
      </c>
      <c r="F2931" s="839" t="s">
        <v>279</v>
      </c>
      <c r="G2931" s="916">
        <f>VLOOKUP($A2931,'Tech Litons'!$A:$I,8,FALSE)</f>
        <v>3.7853439999999999E-3</v>
      </c>
      <c r="H2931" s="917">
        <f>VLOOKUP($A2931,'Tech Litons'!$A:$I,9,FALSE)</f>
        <v>240</v>
      </c>
      <c r="I2931" s="917" t="str">
        <f>VLOOKUP($A2931,'Tech Litons'!$A:$C,3,0)</f>
        <v>BJ PTS</v>
      </c>
      <c r="J2931" s="918" t="str">
        <f t="shared" si="295"/>
        <v>5914BJ PTS</v>
      </c>
      <c r="K2931" s="919">
        <v>1</v>
      </c>
      <c r="L2931" s="920">
        <f t="shared" si="294"/>
        <v>30240</v>
      </c>
      <c r="M2931" s="920">
        <f t="shared" si="296"/>
        <v>114.46880256</v>
      </c>
      <c r="N2931" s="920">
        <f t="shared" si="297"/>
        <v>126</v>
      </c>
      <c r="O2931" s="918" t="str">
        <f t="shared" si="298"/>
        <v>Feb</v>
      </c>
      <c r="P2931" s="921">
        <f t="shared" si="299"/>
        <v>8</v>
      </c>
    </row>
    <row r="2932" spans="1:16" ht="15" hidden="1" customHeight="1">
      <c r="A2932" s="839">
        <v>84138391</v>
      </c>
      <c r="B2932" s="839">
        <v>5914</v>
      </c>
      <c r="C2932" s="906">
        <v>8690</v>
      </c>
      <c r="D2932" s="907">
        <v>46071</v>
      </c>
      <c r="E2932" s="839" t="s">
        <v>339</v>
      </c>
      <c r="F2932" s="839" t="s">
        <v>279</v>
      </c>
      <c r="G2932" s="916">
        <f>VLOOKUP($A2932,'Tech Litons'!$A:$I,8,FALSE)</f>
        <v>3.7853439999999999E-3</v>
      </c>
      <c r="H2932" s="917">
        <f>VLOOKUP($A2932,'Tech Litons'!$A:$I,9,FALSE)</f>
        <v>240</v>
      </c>
      <c r="I2932" s="917" t="str">
        <f>VLOOKUP($A2932,'Tech Litons'!$A:$C,3,0)</f>
        <v>BJ PTS</v>
      </c>
      <c r="J2932" s="918" t="str">
        <f t="shared" si="295"/>
        <v>5914BJ PTS</v>
      </c>
      <c r="K2932" s="919">
        <v>1</v>
      </c>
      <c r="L2932" s="920">
        <f t="shared" si="294"/>
        <v>8690</v>
      </c>
      <c r="M2932" s="920">
        <f t="shared" si="296"/>
        <v>32.894639359999999</v>
      </c>
      <c r="N2932" s="920">
        <f t="shared" si="297"/>
        <v>36.208333333333336</v>
      </c>
      <c r="O2932" s="918" t="str">
        <f t="shared" si="298"/>
        <v>Feb</v>
      </c>
      <c r="P2932" s="921">
        <f t="shared" si="299"/>
        <v>8</v>
      </c>
    </row>
    <row r="2933" spans="1:16" ht="15" hidden="1" customHeight="1">
      <c r="A2933" s="839">
        <v>84139000</v>
      </c>
      <c r="B2933" s="839">
        <v>5914</v>
      </c>
      <c r="C2933" s="906">
        <v>1500</v>
      </c>
      <c r="D2933" s="907">
        <v>46062</v>
      </c>
      <c r="E2933" s="839" t="s">
        <v>373</v>
      </c>
      <c r="F2933" s="839" t="s">
        <v>279</v>
      </c>
      <c r="G2933" s="916">
        <f>VLOOKUP($A2933,'Tech Litons'!$A:$I,8,FALSE)</f>
        <v>9.0848256361922702E-3</v>
      </c>
      <c r="H2933" s="917">
        <f>VLOOKUP($A2933,'Tech Litons'!$A:$I,9,FALSE)</f>
        <v>125</v>
      </c>
      <c r="I2933" s="917" t="str">
        <f>VLOOKUP($A2933,'Tech Litons'!$A:$C,3,0)</f>
        <v>2.4 Gal</v>
      </c>
      <c r="J2933" s="918" t="str">
        <f t="shared" si="295"/>
        <v>59142.4 Gal</v>
      </c>
      <c r="K2933" s="919">
        <v>1</v>
      </c>
      <c r="L2933" s="920">
        <f t="shared" si="294"/>
        <v>1500</v>
      </c>
      <c r="M2933" s="920">
        <f t="shared" si="296"/>
        <v>13.627238454288406</v>
      </c>
      <c r="N2933" s="920">
        <f t="shared" si="297"/>
        <v>12</v>
      </c>
      <c r="O2933" s="918" t="str">
        <f t="shared" si="298"/>
        <v>Feb</v>
      </c>
      <c r="P2933" s="921">
        <f t="shared" si="299"/>
        <v>7</v>
      </c>
    </row>
    <row r="2934" spans="1:16" ht="15" hidden="1" customHeight="1">
      <c r="A2934" s="839">
        <v>84139000</v>
      </c>
      <c r="B2934" s="839">
        <v>5914</v>
      </c>
      <c r="C2934" s="906">
        <v>1543</v>
      </c>
      <c r="D2934" s="907">
        <v>46063</v>
      </c>
      <c r="E2934" s="839" t="s">
        <v>373</v>
      </c>
      <c r="F2934" s="839" t="s">
        <v>279</v>
      </c>
      <c r="G2934" s="916">
        <f>VLOOKUP($A2934,'Tech Litons'!$A:$I,8,FALSE)</f>
        <v>9.0848256361922702E-3</v>
      </c>
      <c r="H2934" s="917">
        <f>VLOOKUP($A2934,'Tech Litons'!$A:$I,9,FALSE)</f>
        <v>125</v>
      </c>
      <c r="I2934" s="917" t="str">
        <f>VLOOKUP($A2934,'Tech Litons'!$A:$C,3,0)</f>
        <v>2.4 Gal</v>
      </c>
      <c r="J2934" s="918" t="str">
        <f t="shared" si="295"/>
        <v>59142.4 Gal</v>
      </c>
      <c r="K2934" s="919">
        <v>1</v>
      </c>
      <c r="L2934" s="920">
        <f t="shared" si="294"/>
        <v>1543</v>
      </c>
      <c r="M2934" s="920">
        <f t="shared" si="296"/>
        <v>14.017885956644673</v>
      </c>
      <c r="N2934" s="920">
        <f t="shared" si="297"/>
        <v>12.343999999999999</v>
      </c>
      <c r="O2934" s="918" t="str">
        <f t="shared" si="298"/>
        <v>Feb</v>
      </c>
      <c r="P2934" s="921">
        <f t="shared" si="299"/>
        <v>7</v>
      </c>
    </row>
    <row r="2935" spans="1:16" ht="15" hidden="1" customHeight="1">
      <c r="A2935" s="839">
        <v>84139090</v>
      </c>
      <c r="B2935" s="839">
        <v>5914</v>
      </c>
      <c r="C2935" s="906">
        <v>720</v>
      </c>
      <c r="D2935" s="907">
        <v>46072</v>
      </c>
      <c r="E2935" s="839" t="s">
        <v>477</v>
      </c>
      <c r="F2935" s="839" t="s">
        <v>303</v>
      </c>
      <c r="G2935" s="916">
        <f>VLOOKUP($A2935,'Tech Litons'!$A:$I,8,FALSE)</f>
        <v>3.7853439999999999E-3</v>
      </c>
      <c r="H2935" s="917">
        <f>VLOOKUP($A2935,'Tech Litons'!$A:$I,9,FALSE)</f>
        <v>240</v>
      </c>
      <c r="I2935" s="917" t="str">
        <f>VLOOKUP($A2935,'Tech Litons'!$A:$C,3,0)</f>
        <v>BJ PTS</v>
      </c>
      <c r="J2935" s="918" t="str">
        <f t="shared" si="295"/>
        <v>5914BJ PTS</v>
      </c>
      <c r="K2935" s="919">
        <v>1</v>
      </c>
      <c r="L2935" s="920">
        <f t="shared" si="294"/>
        <v>720</v>
      </c>
      <c r="M2935" s="920">
        <f t="shared" si="296"/>
        <v>2.7254476799999998</v>
      </c>
      <c r="N2935" s="920">
        <f t="shared" si="297"/>
        <v>3</v>
      </c>
      <c r="O2935" s="918" t="str">
        <f t="shared" si="298"/>
        <v>Feb</v>
      </c>
      <c r="P2935" s="921">
        <f t="shared" si="299"/>
        <v>8</v>
      </c>
    </row>
    <row r="2936" spans="1:16" ht="15" hidden="1" customHeight="1">
      <c r="A2936" s="839">
        <v>84139090</v>
      </c>
      <c r="B2936" s="839">
        <v>5914</v>
      </c>
      <c r="C2936" s="906">
        <v>30720</v>
      </c>
      <c r="D2936" s="907">
        <v>46073</v>
      </c>
      <c r="E2936" s="839" t="s">
        <v>477</v>
      </c>
      <c r="F2936" s="839" t="s">
        <v>303</v>
      </c>
      <c r="G2936" s="916">
        <f>VLOOKUP($A2936,'Tech Litons'!$A:$I,8,FALSE)</f>
        <v>3.7853439999999999E-3</v>
      </c>
      <c r="H2936" s="917">
        <f>VLOOKUP($A2936,'Tech Litons'!$A:$I,9,FALSE)</f>
        <v>240</v>
      </c>
      <c r="I2936" s="917" t="str">
        <f>VLOOKUP($A2936,'Tech Litons'!$A:$C,3,0)</f>
        <v>BJ PTS</v>
      </c>
      <c r="J2936" s="918" t="str">
        <f t="shared" si="295"/>
        <v>5914BJ PTS</v>
      </c>
      <c r="K2936" s="919">
        <v>1</v>
      </c>
      <c r="L2936" s="920">
        <f t="shared" si="294"/>
        <v>30720</v>
      </c>
      <c r="M2936" s="920">
        <f t="shared" si="296"/>
        <v>116.28576767999999</v>
      </c>
      <c r="N2936" s="920">
        <f t="shared" si="297"/>
        <v>128</v>
      </c>
      <c r="O2936" s="918" t="str">
        <f t="shared" si="298"/>
        <v>Feb</v>
      </c>
      <c r="P2936" s="921">
        <f t="shared" si="299"/>
        <v>8</v>
      </c>
    </row>
    <row r="2937" spans="1:16" ht="15" hidden="1" customHeight="1">
      <c r="A2937" s="839">
        <v>84139090</v>
      </c>
      <c r="B2937" s="839">
        <v>5914</v>
      </c>
      <c r="C2937" s="906">
        <v>1530</v>
      </c>
      <c r="D2937" s="907">
        <v>46074</v>
      </c>
      <c r="E2937" s="839" t="s">
        <v>477</v>
      </c>
      <c r="F2937" s="839" t="s">
        <v>303</v>
      </c>
      <c r="G2937" s="916">
        <f>VLOOKUP($A2937,'Tech Litons'!$A:$I,8,FALSE)</f>
        <v>3.7853439999999999E-3</v>
      </c>
      <c r="H2937" s="917">
        <f>VLOOKUP($A2937,'Tech Litons'!$A:$I,9,FALSE)</f>
        <v>240</v>
      </c>
      <c r="I2937" s="917" t="str">
        <f>VLOOKUP($A2937,'Tech Litons'!$A:$C,3,0)</f>
        <v>BJ PTS</v>
      </c>
      <c r="J2937" s="918" t="str">
        <f t="shared" si="295"/>
        <v>5914BJ PTS</v>
      </c>
      <c r="K2937" s="919">
        <v>1</v>
      </c>
      <c r="L2937" s="920">
        <f t="shared" si="294"/>
        <v>1530</v>
      </c>
      <c r="M2937" s="920">
        <f t="shared" si="296"/>
        <v>5.7915763199999999</v>
      </c>
      <c r="N2937" s="920">
        <f t="shared" si="297"/>
        <v>6.375</v>
      </c>
      <c r="O2937" s="918" t="str">
        <f t="shared" si="298"/>
        <v>Feb</v>
      </c>
      <c r="P2937" s="921">
        <f t="shared" si="299"/>
        <v>8</v>
      </c>
    </row>
    <row r="2938" spans="1:16" ht="15" hidden="1" customHeight="1">
      <c r="A2938" s="839">
        <v>84139971</v>
      </c>
      <c r="B2938" s="839">
        <v>5914</v>
      </c>
      <c r="C2938" s="906">
        <v>2664</v>
      </c>
      <c r="D2938" s="907">
        <v>46050</v>
      </c>
      <c r="E2938" s="839" t="s">
        <v>391</v>
      </c>
      <c r="F2938" s="839" t="s">
        <v>303</v>
      </c>
      <c r="G2938" s="916">
        <f>VLOOKUP($A2938,'Tech Litons'!$A:$I,8,FALSE)</f>
        <v>9.0848256361922702E-3</v>
      </c>
      <c r="H2938" s="917">
        <f>VLOOKUP($A2938,'Tech Litons'!$A:$I,9,FALSE)</f>
        <v>125</v>
      </c>
      <c r="I2938" s="917" t="str">
        <f>VLOOKUP($A2938,'Tech Litons'!$A:$C,3,0)</f>
        <v>2.4 Gal</v>
      </c>
      <c r="J2938" s="918" t="str">
        <f t="shared" si="295"/>
        <v>59142.4 Gal</v>
      </c>
      <c r="K2938" s="919">
        <v>1</v>
      </c>
      <c r="L2938" s="920">
        <f t="shared" si="294"/>
        <v>2664</v>
      </c>
      <c r="M2938" s="920">
        <f t="shared" si="296"/>
        <v>24.201975494816207</v>
      </c>
      <c r="N2938" s="920">
        <f t="shared" si="297"/>
        <v>21.312000000000001</v>
      </c>
      <c r="O2938" s="918" t="str">
        <f t="shared" si="298"/>
        <v>Jan</v>
      </c>
      <c r="P2938" s="921">
        <f t="shared" si="299"/>
        <v>5</v>
      </c>
    </row>
    <row r="2939" spans="1:16" ht="15" hidden="1" customHeight="1">
      <c r="A2939" s="839">
        <v>84141037</v>
      </c>
      <c r="B2939" s="839">
        <v>5914</v>
      </c>
      <c r="C2939" s="906">
        <v>5125</v>
      </c>
      <c r="D2939" s="907">
        <v>46072</v>
      </c>
      <c r="E2939" s="839" t="s">
        <v>377</v>
      </c>
      <c r="F2939" s="839" t="s">
        <v>303</v>
      </c>
      <c r="G2939" s="916">
        <f>VLOOKUP($A2939,'Tech Litons'!$A:$I,8,FALSE)</f>
        <v>9.0848256361922702E-3</v>
      </c>
      <c r="H2939" s="917">
        <f>VLOOKUP($A2939,'Tech Litons'!$A:$I,9,FALSE)</f>
        <v>125</v>
      </c>
      <c r="I2939" s="917" t="str">
        <f>VLOOKUP($A2939,'Tech Litons'!$A:$C,3,0)</f>
        <v>2.4 Gal</v>
      </c>
      <c r="J2939" s="918" t="str">
        <f t="shared" si="295"/>
        <v>59142.4 Gal</v>
      </c>
      <c r="K2939" s="919">
        <v>1</v>
      </c>
      <c r="L2939" s="920">
        <f t="shared" si="294"/>
        <v>5125</v>
      </c>
      <c r="M2939" s="920">
        <f t="shared" si="296"/>
        <v>46.559731385485385</v>
      </c>
      <c r="N2939" s="920">
        <f t="shared" si="297"/>
        <v>41</v>
      </c>
      <c r="O2939" s="918" t="str">
        <f t="shared" si="298"/>
        <v>Feb</v>
      </c>
      <c r="P2939" s="921">
        <f t="shared" si="299"/>
        <v>8</v>
      </c>
    </row>
    <row r="2940" spans="1:16" ht="15" hidden="1" customHeight="1">
      <c r="A2940" s="839">
        <v>84141037</v>
      </c>
      <c r="B2940" s="839">
        <v>5914</v>
      </c>
      <c r="C2940" s="906">
        <v>4620</v>
      </c>
      <c r="D2940" s="907">
        <v>46073</v>
      </c>
      <c r="E2940" s="839" t="s">
        <v>377</v>
      </c>
      <c r="F2940" s="839" t="s">
        <v>303</v>
      </c>
      <c r="G2940" s="916">
        <f>VLOOKUP($A2940,'Tech Litons'!$A:$I,8,FALSE)</f>
        <v>9.0848256361922702E-3</v>
      </c>
      <c r="H2940" s="917">
        <f>VLOOKUP($A2940,'Tech Litons'!$A:$I,9,FALSE)</f>
        <v>125</v>
      </c>
      <c r="I2940" s="917" t="str">
        <f>VLOOKUP($A2940,'Tech Litons'!$A:$C,3,0)</f>
        <v>2.4 Gal</v>
      </c>
      <c r="J2940" s="918" t="str">
        <f t="shared" si="295"/>
        <v>59142.4 Gal</v>
      </c>
      <c r="K2940" s="919">
        <v>1</v>
      </c>
      <c r="L2940" s="920">
        <f t="shared" si="294"/>
        <v>4620</v>
      </c>
      <c r="M2940" s="920">
        <f t="shared" si="296"/>
        <v>41.971894439208292</v>
      </c>
      <c r="N2940" s="920">
        <f t="shared" si="297"/>
        <v>36.96</v>
      </c>
      <c r="O2940" s="918" t="str">
        <f t="shared" si="298"/>
        <v>Feb</v>
      </c>
      <c r="P2940" s="921">
        <f t="shared" si="299"/>
        <v>8</v>
      </c>
    </row>
    <row r="2941" spans="1:16" ht="15" hidden="1" customHeight="1">
      <c r="A2941" s="839">
        <v>84141102</v>
      </c>
      <c r="B2941" s="839">
        <v>5914</v>
      </c>
      <c r="C2941" s="906">
        <v>-21</v>
      </c>
      <c r="D2941" s="907">
        <v>46050</v>
      </c>
      <c r="E2941" s="839" t="s">
        <v>374</v>
      </c>
      <c r="F2941" s="839" t="s">
        <v>304</v>
      </c>
      <c r="G2941" s="916">
        <f>VLOOKUP($A2941,'Tech Litons'!$A:$I,8,FALSE)</f>
        <v>3.7853439999999999E-3</v>
      </c>
      <c r="H2941" s="917">
        <f>VLOOKUP($A2941,'Tech Litons'!$A:$I,9,FALSE)</f>
        <v>240</v>
      </c>
      <c r="I2941" s="917" t="str">
        <f>VLOOKUP($A2941,'Tech Litons'!$A:$C,3,0)</f>
        <v>BJ PTS</v>
      </c>
      <c r="J2941" s="918" t="str">
        <f t="shared" si="295"/>
        <v>5914BJ PTS</v>
      </c>
      <c r="K2941" s="919">
        <v>1</v>
      </c>
      <c r="L2941" s="920">
        <f t="shared" si="294"/>
        <v>-21</v>
      </c>
      <c r="M2941" s="920">
        <f t="shared" si="296"/>
        <v>-7.9492224E-2</v>
      </c>
      <c r="N2941" s="920">
        <f t="shared" si="297"/>
        <v>-8.7499999999999994E-2</v>
      </c>
      <c r="O2941" s="918" t="str">
        <f t="shared" si="298"/>
        <v>Jan</v>
      </c>
      <c r="P2941" s="921">
        <f t="shared" si="299"/>
        <v>5</v>
      </c>
    </row>
    <row r="2942" spans="1:16" ht="15" hidden="1" customHeight="1">
      <c r="A2942" s="839">
        <v>84141102</v>
      </c>
      <c r="B2942" s="839">
        <v>5914</v>
      </c>
      <c r="C2942" s="906">
        <v>24380</v>
      </c>
      <c r="D2942" s="907">
        <v>46067</v>
      </c>
      <c r="E2942" s="839" t="s">
        <v>374</v>
      </c>
      <c r="F2942" s="839" t="s">
        <v>301</v>
      </c>
      <c r="G2942" s="916">
        <f>VLOOKUP($A2942,'Tech Litons'!$A:$I,8,FALSE)</f>
        <v>3.7853439999999999E-3</v>
      </c>
      <c r="H2942" s="917">
        <f>VLOOKUP($A2942,'Tech Litons'!$A:$I,9,FALSE)</f>
        <v>240</v>
      </c>
      <c r="I2942" s="917" t="str">
        <f>VLOOKUP($A2942,'Tech Litons'!$A:$C,3,0)</f>
        <v>BJ PTS</v>
      </c>
      <c r="J2942" s="918" t="str">
        <f t="shared" si="295"/>
        <v>5914BJ PTS</v>
      </c>
      <c r="K2942" s="919">
        <v>1</v>
      </c>
      <c r="L2942" s="920">
        <f t="shared" si="294"/>
        <v>24380</v>
      </c>
      <c r="M2942" s="920">
        <f t="shared" si="296"/>
        <v>92.286686720000006</v>
      </c>
      <c r="N2942" s="920">
        <f t="shared" si="297"/>
        <v>101.58333333333333</v>
      </c>
      <c r="O2942" s="918" t="str">
        <f t="shared" si="298"/>
        <v>Feb</v>
      </c>
      <c r="P2942" s="921">
        <f t="shared" si="299"/>
        <v>7</v>
      </c>
    </row>
    <row r="2943" spans="1:16" ht="15" hidden="1" customHeight="1">
      <c r="A2943" s="839">
        <v>84141103</v>
      </c>
      <c r="B2943" s="839">
        <v>5914</v>
      </c>
      <c r="C2943" s="906">
        <v>28560</v>
      </c>
      <c r="D2943" s="907">
        <v>46057</v>
      </c>
      <c r="E2943" s="839" t="s">
        <v>314</v>
      </c>
      <c r="F2943" s="839" t="s">
        <v>1269</v>
      </c>
      <c r="G2943" s="916">
        <f>VLOOKUP($A2943,'Tech Litons'!$A:$I,8,FALSE)</f>
        <v>3.7853439999999999E-3</v>
      </c>
      <c r="H2943" s="917">
        <f>VLOOKUP($A2943,'Tech Litons'!$A:$I,9,FALSE)</f>
        <v>240</v>
      </c>
      <c r="I2943" s="917" t="str">
        <f>VLOOKUP($A2943,'Tech Litons'!$A:$C,3,0)</f>
        <v>BJ PTS</v>
      </c>
      <c r="J2943" s="918" t="str">
        <f t="shared" si="295"/>
        <v>5914BJ PTS</v>
      </c>
      <c r="K2943" s="919">
        <v>1</v>
      </c>
      <c r="L2943" s="920">
        <f t="shared" si="294"/>
        <v>28560</v>
      </c>
      <c r="M2943" s="920">
        <f t="shared" si="296"/>
        <v>108.10942464</v>
      </c>
      <c r="N2943" s="920">
        <f t="shared" si="297"/>
        <v>119</v>
      </c>
      <c r="O2943" s="918" t="str">
        <f t="shared" si="298"/>
        <v>Feb</v>
      </c>
      <c r="P2943" s="921">
        <f t="shared" si="299"/>
        <v>6</v>
      </c>
    </row>
    <row r="2944" spans="1:16" ht="15" hidden="1" customHeight="1">
      <c r="A2944" s="839">
        <v>84141103</v>
      </c>
      <c r="B2944" s="839">
        <v>5914</v>
      </c>
      <c r="C2944" s="906">
        <v>9600</v>
      </c>
      <c r="D2944" s="907">
        <v>46058</v>
      </c>
      <c r="E2944" s="839" t="s">
        <v>314</v>
      </c>
      <c r="F2944" s="839" t="s">
        <v>1269</v>
      </c>
      <c r="G2944" s="916">
        <f>VLOOKUP($A2944,'Tech Litons'!$A:$I,8,FALSE)</f>
        <v>3.7853439999999999E-3</v>
      </c>
      <c r="H2944" s="917">
        <f>VLOOKUP($A2944,'Tech Litons'!$A:$I,9,FALSE)</f>
        <v>240</v>
      </c>
      <c r="I2944" s="917" t="str">
        <f>VLOOKUP($A2944,'Tech Litons'!$A:$C,3,0)</f>
        <v>BJ PTS</v>
      </c>
      <c r="J2944" s="918" t="str">
        <f t="shared" si="295"/>
        <v>5914BJ PTS</v>
      </c>
      <c r="K2944" s="919">
        <v>1</v>
      </c>
      <c r="L2944" s="920">
        <f t="shared" si="294"/>
        <v>9600</v>
      </c>
      <c r="M2944" s="920">
        <f t="shared" si="296"/>
        <v>36.339302400000001</v>
      </c>
      <c r="N2944" s="920">
        <f t="shared" si="297"/>
        <v>40</v>
      </c>
      <c r="O2944" s="918" t="str">
        <f t="shared" si="298"/>
        <v>Feb</v>
      </c>
      <c r="P2944" s="921">
        <f t="shared" si="299"/>
        <v>6</v>
      </c>
    </row>
    <row r="2945" spans="1:16" ht="15" hidden="1" customHeight="1">
      <c r="A2945" s="839">
        <v>84141103</v>
      </c>
      <c r="B2945" s="839">
        <v>5914</v>
      </c>
      <c r="C2945" s="906">
        <v>60</v>
      </c>
      <c r="D2945" s="907">
        <v>46059</v>
      </c>
      <c r="E2945" s="839" t="s">
        <v>314</v>
      </c>
      <c r="F2945" s="839" t="s">
        <v>1269</v>
      </c>
      <c r="G2945" s="916">
        <f>VLOOKUP($A2945,'Tech Litons'!$A:$I,8,FALSE)</f>
        <v>3.7853439999999999E-3</v>
      </c>
      <c r="H2945" s="917">
        <f>VLOOKUP($A2945,'Tech Litons'!$A:$I,9,FALSE)</f>
        <v>240</v>
      </c>
      <c r="I2945" s="917" t="str">
        <f>VLOOKUP($A2945,'Tech Litons'!$A:$C,3,0)</f>
        <v>BJ PTS</v>
      </c>
      <c r="J2945" s="918" t="str">
        <f t="shared" si="295"/>
        <v>5914BJ PTS</v>
      </c>
      <c r="K2945" s="919">
        <v>1</v>
      </c>
      <c r="L2945" s="920">
        <f t="shared" si="294"/>
        <v>60</v>
      </c>
      <c r="M2945" s="920">
        <f t="shared" si="296"/>
        <v>0.22712063999999998</v>
      </c>
      <c r="N2945" s="920">
        <f t="shared" si="297"/>
        <v>0.25</v>
      </c>
      <c r="O2945" s="918" t="str">
        <f t="shared" si="298"/>
        <v>Feb</v>
      </c>
      <c r="P2945" s="921">
        <f t="shared" si="299"/>
        <v>6</v>
      </c>
    </row>
    <row r="2946" spans="1:16" ht="15" hidden="1" customHeight="1">
      <c r="A2946" s="839">
        <v>84141103</v>
      </c>
      <c r="B2946" s="839">
        <v>5914</v>
      </c>
      <c r="C2946" s="906">
        <v>33480</v>
      </c>
      <c r="D2946" s="907">
        <v>46058</v>
      </c>
      <c r="E2946" s="839" t="s">
        <v>314</v>
      </c>
      <c r="F2946" s="839" t="s">
        <v>1269</v>
      </c>
      <c r="G2946" s="916">
        <f>VLOOKUP($A2946,'Tech Litons'!$A:$I,8,FALSE)</f>
        <v>3.7853439999999999E-3</v>
      </c>
      <c r="H2946" s="917">
        <f>VLOOKUP($A2946,'Tech Litons'!$A:$I,9,FALSE)</f>
        <v>240</v>
      </c>
      <c r="I2946" s="917" t="str">
        <f>VLOOKUP($A2946,'Tech Litons'!$A:$C,3,0)</f>
        <v>BJ PTS</v>
      </c>
      <c r="J2946" s="918" t="str">
        <f t="shared" si="295"/>
        <v>5914BJ PTS</v>
      </c>
      <c r="K2946" s="919">
        <v>1</v>
      </c>
      <c r="L2946" s="920">
        <f t="shared" si="294"/>
        <v>33480</v>
      </c>
      <c r="M2946" s="920">
        <f t="shared" si="296"/>
        <v>126.73331712</v>
      </c>
      <c r="N2946" s="920">
        <f t="shared" si="297"/>
        <v>139.5</v>
      </c>
      <c r="O2946" s="918" t="str">
        <f t="shared" si="298"/>
        <v>Feb</v>
      </c>
      <c r="P2946" s="921">
        <f t="shared" si="299"/>
        <v>6</v>
      </c>
    </row>
    <row r="2947" spans="1:16" ht="15" hidden="1" customHeight="1">
      <c r="A2947" s="839">
        <v>84141103</v>
      </c>
      <c r="B2947" s="839">
        <v>5914</v>
      </c>
      <c r="C2947" s="906">
        <v>32367</v>
      </c>
      <c r="D2947" s="907">
        <v>46059</v>
      </c>
      <c r="E2947" s="839" t="s">
        <v>314</v>
      </c>
      <c r="F2947" s="839" t="s">
        <v>1269</v>
      </c>
      <c r="G2947" s="916">
        <f>VLOOKUP($A2947,'Tech Litons'!$A:$I,8,FALSE)</f>
        <v>3.7853439999999999E-3</v>
      </c>
      <c r="H2947" s="917">
        <f>VLOOKUP($A2947,'Tech Litons'!$A:$I,9,FALSE)</f>
        <v>240</v>
      </c>
      <c r="I2947" s="917" t="str">
        <f>VLOOKUP($A2947,'Tech Litons'!$A:$C,3,0)</f>
        <v>BJ PTS</v>
      </c>
      <c r="J2947" s="918" t="str">
        <f t="shared" si="295"/>
        <v>5914BJ PTS</v>
      </c>
      <c r="K2947" s="919">
        <v>1</v>
      </c>
      <c r="L2947" s="920">
        <f t="shared" si="294"/>
        <v>32367</v>
      </c>
      <c r="M2947" s="920">
        <f t="shared" si="296"/>
        <v>122.52022924799999</v>
      </c>
      <c r="N2947" s="920">
        <f t="shared" si="297"/>
        <v>134.86250000000001</v>
      </c>
      <c r="O2947" s="918" t="str">
        <f t="shared" si="298"/>
        <v>Feb</v>
      </c>
      <c r="P2947" s="921">
        <f t="shared" si="299"/>
        <v>6</v>
      </c>
    </row>
    <row r="2948" spans="1:16" ht="15" hidden="1" customHeight="1">
      <c r="A2948" s="839">
        <v>84141103</v>
      </c>
      <c r="B2948" s="839">
        <v>5914</v>
      </c>
      <c r="C2948" s="906">
        <v>-120</v>
      </c>
      <c r="D2948" s="907">
        <v>46063</v>
      </c>
      <c r="E2948" s="839" t="s">
        <v>314</v>
      </c>
      <c r="F2948" s="839" t="s">
        <v>1269</v>
      </c>
      <c r="G2948" s="916">
        <f>VLOOKUP($A2948,'Tech Litons'!$A:$I,8,FALSE)</f>
        <v>3.7853439999999999E-3</v>
      </c>
      <c r="H2948" s="917">
        <f>VLOOKUP($A2948,'Tech Litons'!$A:$I,9,FALSE)</f>
        <v>240</v>
      </c>
      <c r="I2948" s="917" t="str">
        <f>VLOOKUP($A2948,'Tech Litons'!$A:$C,3,0)</f>
        <v>BJ PTS</v>
      </c>
      <c r="J2948" s="918" t="str">
        <f t="shared" si="295"/>
        <v>5914BJ PTS</v>
      </c>
      <c r="K2948" s="919">
        <v>1</v>
      </c>
      <c r="L2948" s="920">
        <f t="shared" si="294"/>
        <v>-120</v>
      </c>
      <c r="M2948" s="920">
        <f t="shared" si="296"/>
        <v>-0.45424127999999997</v>
      </c>
      <c r="N2948" s="920">
        <f t="shared" si="297"/>
        <v>-0.5</v>
      </c>
      <c r="O2948" s="918" t="str">
        <f t="shared" si="298"/>
        <v>Feb</v>
      </c>
      <c r="P2948" s="921">
        <f t="shared" si="299"/>
        <v>7</v>
      </c>
    </row>
    <row r="2949" spans="1:16" ht="15" hidden="1" customHeight="1">
      <c r="A2949" s="839">
        <v>84144598</v>
      </c>
      <c r="B2949" s="839">
        <v>5914</v>
      </c>
      <c r="C2949" s="906">
        <v>14880</v>
      </c>
      <c r="D2949" s="907">
        <v>46071</v>
      </c>
      <c r="E2949" s="839" t="s">
        <v>364</v>
      </c>
      <c r="F2949" s="839" t="s">
        <v>303</v>
      </c>
      <c r="G2949" s="916">
        <f>VLOOKUP($A2949,'Tech Litons'!$A:$I,8,FALSE)</f>
        <v>3.7853439999999999E-3</v>
      </c>
      <c r="H2949" s="917">
        <f>VLOOKUP($A2949,'Tech Litons'!$A:$I,9,FALSE)</f>
        <v>240</v>
      </c>
      <c r="I2949" s="917" t="str">
        <f>VLOOKUP($A2949,'Tech Litons'!$A:$C,3,0)</f>
        <v>BJ PTS</v>
      </c>
      <c r="J2949" s="918" t="str">
        <f t="shared" si="295"/>
        <v>5914BJ PTS</v>
      </c>
      <c r="K2949" s="919">
        <v>1</v>
      </c>
      <c r="L2949" s="920">
        <f t="shared" si="294"/>
        <v>14880</v>
      </c>
      <c r="M2949" s="920">
        <f t="shared" si="296"/>
        <v>56.325918719999997</v>
      </c>
      <c r="N2949" s="920">
        <f t="shared" si="297"/>
        <v>62</v>
      </c>
      <c r="O2949" s="918" t="str">
        <f t="shared" si="298"/>
        <v>Feb</v>
      </c>
      <c r="P2949" s="921">
        <f t="shared" si="299"/>
        <v>8</v>
      </c>
    </row>
    <row r="2950" spans="1:16" ht="15" hidden="1" customHeight="1">
      <c r="A2950" s="839">
        <v>84144598</v>
      </c>
      <c r="B2950" s="839">
        <v>5914</v>
      </c>
      <c r="C2950" s="906">
        <v>5002</v>
      </c>
      <c r="D2950" s="907">
        <v>46072</v>
      </c>
      <c r="E2950" s="839" t="s">
        <v>364</v>
      </c>
      <c r="F2950" s="839" t="s">
        <v>303</v>
      </c>
      <c r="G2950" s="916">
        <f>VLOOKUP($A2950,'Tech Litons'!$A:$I,8,FALSE)</f>
        <v>3.7853439999999999E-3</v>
      </c>
      <c r="H2950" s="917">
        <f>VLOOKUP($A2950,'Tech Litons'!$A:$I,9,FALSE)</f>
        <v>240</v>
      </c>
      <c r="I2950" s="917" t="str">
        <f>VLOOKUP($A2950,'Tech Litons'!$A:$C,3,0)</f>
        <v>BJ PTS</v>
      </c>
      <c r="J2950" s="918" t="str">
        <f t="shared" si="295"/>
        <v>5914BJ PTS</v>
      </c>
      <c r="K2950" s="919">
        <v>1</v>
      </c>
      <c r="L2950" s="920">
        <f t="shared" si="294"/>
        <v>5002</v>
      </c>
      <c r="M2950" s="920">
        <f t="shared" si="296"/>
        <v>18.934290688000001</v>
      </c>
      <c r="N2950" s="920">
        <f t="shared" si="297"/>
        <v>20.841666666666665</v>
      </c>
      <c r="O2950" s="918" t="str">
        <f t="shared" si="298"/>
        <v>Feb</v>
      </c>
      <c r="P2950" s="921">
        <f t="shared" si="299"/>
        <v>8</v>
      </c>
    </row>
    <row r="2951" spans="1:16" ht="15" hidden="1" customHeight="1">
      <c r="A2951" s="839">
        <v>84161610</v>
      </c>
      <c r="B2951" s="839">
        <v>5914</v>
      </c>
      <c r="C2951" s="906">
        <v>12960</v>
      </c>
      <c r="D2951" s="907">
        <v>46057</v>
      </c>
      <c r="E2951" s="839" t="s">
        <v>309</v>
      </c>
      <c r="F2951" s="839" t="s">
        <v>301</v>
      </c>
      <c r="G2951" s="916">
        <f>VLOOKUP($A2951,'Tech Litons'!$A:$I,8,FALSE)</f>
        <v>3.7853439999999999E-3</v>
      </c>
      <c r="H2951" s="917">
        <f>VLOOKUP($A2951,'Tech Litons'!$A:$I,9,FALSE)</f>
        <v>240</v>
      </c>
      <c r="I2951" s="917" t="str">
        <f>VLOOKUP($A2951,'Tech Litons'!$A:$C,3,0)</f>
        <v>BJ PTS</v>
      </c>
      <c r="J2951" s="918" t="str">
        <f t="shared" si="295"/>
        <v>5914BJ PTS</v>
      </c>
      <c r="K2951" s="919">
        <v>1</v>
      </c>
      <c r="L2951" s="920">
        <f t="shared" si="294"/>
        <v>12960</v>
      </c>
      <c r="M2951" s="920">
        <f t="shared" si="296"/>
        <v>49.058058240000001</v>
      </c>
      <c r="N2951" s="920">
        <f t="shared" si="297"/>
        <v>54</v>
      </c>
      <c r="O2951" s="918" t="str">
        <f t="shared" si="298"/>
        <v>Feb</v>
      </c>
      <c r="P2951" s="921">
        <f t="shared" si="299"/>
        <v>6</v>
      </c>
    </row>
    <row r="2952" spans="1:16" ht="15" hidden="1" customHeight="1">
      <c r="A2952" s="839">
        <v>84161610</v>
      </c>
      <c r="B2952" s="839">
        <v>5914</v>
      </c>
      <c r="C2952" s="906">
        <v>17241</v>
      </c>
      <c r="D2952" s="907">
        <v>46058</v>
      </c>
      <c r="E2952" s="839" t="s">
        <v>309</v>
      </c>
      <c r="F2952" s="839" t="s">
        <v>301</v>
      </c>
      <c r="G2952" s="916">
        <f>VLOOKUP($A2952,'Tech Litons'!$A:$I,8,FALSE)</f>
        <v>3.7853439999999999E-3</v>
      </c>
      <c r="H2952" s="917">
        <f>VLOOKUP($A2952,'Tech Litons'!$A:$I,9,FALSE)</f>
        <v>240</v>
      </c>
      <c r="I2952" s="917" t="str">
        <f>VLOOKUP($A2952,'Tech Litons'!$A:$C,3,0)</f>
        <v>BJ PTS</v>
      </c>
      <c r="J2952" s="918" t="str">
        <f t="shared" si="295"/>
        <v>5914BJ PTS</v>
      </c>
      <c r="K2952" s="919">
        <v>1</v>
      </c>
      <c r="L2952" s="920">
        <f t="shared" si="294"/>
        <v>17241</v>
      </c>
      <c r="M2952" s="920">
        <f t="shared" si="296"/>
        <v>65.263115904000003</v>
      </c>
      <c r="N2952" s="920">
        <f t="shared" si="297"/>
        <v>71.837500000000006</v>
      </c>
      <c r="O2952" s="918" t="str">
        <f t="shared" si="298"/>
        <v>Feb</v>
      </c>
      <c r="P2952" s="921">
        <f t="shared" si="299"/>
        <v>6</v>
      </c>
    </row>
    <row r="2953" spans="1:16" ht="15" hidden="1" customHeight="1">
      <c r="A2953" s="839">
        <v>84163605</v>
      </c>
      <c r="B2953" s="839">
        <v>5914</v>
      </c>
      <c r="C2953" s="906">
        <v>10320</v>
      </c>
      <c r="D2953" s="907">
        <v>46055</v>
      </c>
      <c r="E2953" s="839" t="s">
        <v>419</v>
      </c>
      <c r="F2953" s="839" t="s">
        <v>304</v>
      </c>
      <c r="G2953" s="916">
        <f>VLOOKUP($A2953,'Tech Litons'!$A:$I,8,FALSE)</f>
        <v>3.7853439999999999E-3</v>
      </c>
      <c r="H2953" s="917">
        <f>VLOOKUP($A2953,'Tech Litons'!$A:$I,9,FALSE)</f>
        <v>240</v>
      </c>
      <c r="I2953" s="917" t="str">
        <f>VLOOKUP($A2953,'Tech Litons'!$A:$C,3,0)</f>
        <v>BJ PTS</v>
      </c>
      <c r="J2953" s="918" t="str">
        <f t="shared" si="295"/>
        <v>5914BJ PTS</v>
      </c>
      <c r="K2953" s="919">
        <v>1</v>
      </c>
      <c r="L2953" s="920">
        <f t="shared" si="294"/>
        <v>10320</v>
      </c>
      <c r="M2953" s="920">
        <f t="shared" si="296"/>
        <v>39.064750079999996</v>
      </c>
      <c r="N2953" s="920">
        <f t="shared" si="297"/>
        <v>43</v>
      </c>
      <c r="O2953" s="918" t="str">
        <f t="shared" si="298"/>
        <v>Feb</v>
      </c>
      <c r="P2953" s="921">
        <f t="shared" si="299"/>
        <v>6</v>
      </c>
    </row>
    <row r="2954" spans="1:16" ht="15" hidden="1" customHeight="1">
      <c r="A2954" s="839">
        <v>84163605</v>
      </c>
      <c r="B2954" s="839">
        <v>5914</v>
      </c>
      <c r="C2954" s="906">
        <v>17520</v>
      </c>
      <c r="D2954" s="907">
        <v>46056</v>
      </c>
      <c r="E2954" s="839" t="s">
        <v>419</v>
      </c>
      <c r="F2954" s="839" t="s">
        <v>304</v>
      </c>
      <c r="G2954" s="916">
        <f>VLOOKUP($A2954,'Tech Litons'!$A:$I,8,FALSE)</f>
        <v>3.7853439999999999E-3</v>
      </c>
      <c r="H2954" s="917">
        <f>VLOOKUP($A2954,'Tech Litons'!$A:$I,9,FALSE)</f>
        <v>240</v>
      </c>
      <c r="I2954" s="917" t="str">
        <f>VLOOKUP($A2954,'Tech Litons'!$A:$C,3,0)</f>
        <v>BJ PTS</v>
      </c>
      <c r="J2954" s="918" t="str">
        <f t="shared" si="295"/>
        <v>5914BJ PTS</v>
      </c>
      <c r="K2954" s="919">
        <v>1</v>
      </c>
      <c r="L2954" s="920">
        <f t="shared" si="294"/>
        <v>17520</v>
      </c>
      <c r="M2954" s="920">
        <f t="shared" si="296"/>
        <v>66.319226880000002</v>
      </c>
      <c r="N2954" s="920">
        <f t="shared" si="297"/>
        <v>73</v>
      </c>
      <c r="O2954" s="918" t="str">
        <f t="shared" si="298"/>
        <v>Feb</v>
      </c>
      <c r="P2954" s="921">
        <f t="shared" si="299"/>
        <v>6</v>
      </c>
    </row>
    <row r="2955" spans="1:16" ht="15" hidden="1" customHeight="1">
      <c r="A2955" s="839">
        <v>84163605</v>
      </c>
      <c r="B2955" s="839">
        <v>5914</v>
      </c>
      <c r="C2955" s="906">
        <v>5306</v>
      </c>
      <c r="D2955" s="907">
        <v>46057</v>
      </c>
      <c r="E2955" s="839" t="s">
        <v>419</v>
      </c>
      <c r="F2955" s="839" t="s">
        <v>304</v>
      </c>
      <c r="G2955" s="916">
        <f>VLOOKUP($A2955,'Tech Litons'!$A:$I,8,FALSE)</f>
        <v>3.7853439999999999E-3</v>
      </c>
      <c r="H2955" s="917">
        <f>VLOOKUP($A2955,'Tech Litons'!$A:$I,9,FALSE)</f>
        <v>240</v>
      </c>
      <c r="I2955" s="917" t="str">
        <f>VLOOKUP($A2955,'Tech Litons'!$A:$C,3,0)</f>
        <v>BJ PTS</v>
      </c>
      <c r="J2955" s="918" t="str">
        <f t="shared" si="295"/>
        <v>5914BJ PTS</v>
      </c>
      <c r="K2955" s="919">
        <v>1</v>
      </c>
      <c r="L2955" s="920">
        <f t="shared" si="294"/>
        <v>5306</v>
      </c>
      <c r="M2955" s="920">
        <f t="shared" si="296"/>
        <v>20.085035263999998</v>
      </c>
      <c r="N2955" s="920">
        <f t="shared" si="297"/>
        <v>22.108333333333334</v>
      </c>
      <c r="O2955" s="918" t="str">
        <f t="shared" si="298"/>
        <v>Feb</v>
      </c>
      <c r="P2955" s="921">
        <f t="shared" si="299"/>
        <v>6</v>
      </c>
    </row>
    <row r="2956" spans="1:16" ht="15" hidden="1" customHeight="1">
      <c r="A2956" s="839">
        <v>84163605</v>
      </c>
      <c r="B2956" s="839">
        <v>5914</v>
      </c>
      <c r="C2956" s="906">
        <v>-240</v>
      </c>
      <c r="D2956" s="907">
        <v>46058</v>
      </c>
      <c r="E2956" s="839" t="s">
        <v>419</v>
      </c>
      <c r="F2956" s="839" t="s">
        <v>304</v>
      </c>
      <c r="G2956" s="916">
        <f>VLOOKUP($A2956,'Tech Litons'!$A:$I,8,FALSE)</f>
        <v>3.7853439999999999E-3</v>
      </c>
      <c r="H2956" s="917">
        <f>VLOOKUP($A2956,'Tech Litons'!$A:$I,9,FALSE)</f>
        <v>240</v>
      </c>
      <c r="I2956" s="917" t="str">
        <f>VLOOKUP($A2956,'Tech Litons'!$A:$C,3,0)</f>
        <v>BJ PTS</v>
      </c>
      <c r="J2956" s="918" t="str">
        <f t="shared" si="295"/>
        <v>5914BJ PTS</v>
      </c>
      <c r="K2956" s="919">
        <v>1</v>
      </c>
      <c r="L2956" s="920">
        <f t="shared" si="294"/>
        <v>-240</v>
      </c>
      <c r="M2956" s="920">
        <f t="shared" si="296"/>
        <v>-0.90848255999999994</v>
      </c>
      <c r="N2956" s="920">
        <f t="shared" si="297"/>
        <v>-1</v>
      </c>
      <c r="O2956" s="918" t="str">
        <f t="shared" si="298"/>
        <v>Feb</v>
      </c>
      <c r="P2956" s="921">
        <f t="shared" si="299"/>
        <v>6</v>
      </c>
    </row>
    <row r="2957" spans="1:16" ht="15" hidden="1" customHeight="1">
      <c r="A2957" s="839">
        <v>84164936</v>
      </c>
      <c r="B2957" s="839">
        <v>5914</v>
      </c>
      <c r="C2957" s="906">
        <v>27360</v>
      </c>
      <c r="D2957" s="907">
        <v>46055</v>
      </c>
      <c r="E2957" s="839" t="s">
        <v>420</v>
      </c>
      <c r="F2957" s="839" t="s">
        <v>301</v>
      </c>
      <c r="G2957" s="916">
        <f>VLOOKUP($A2957,'Tech Litons'!$A:$I,8,FALSE)</f>
        <v>3.7853439999999999E-3</v>
      </c>
      <c r="H2957" s="917">
        <f>VLOOKUP($A2957,'Tech Litons'!$A:$I,9,FALSE)</f>
        <v>240</v>
      </c>
      <c r="I2957" s="917" t="str">
        <f>VLOOKUP($A2957,'Tech Litons'!$A:$C,3,0)</f>
        <v>BJ PTS</v>
      </c>
      <c r="J2957" s="918" t="str">
        <f t="shared" si="295"/>
        <v>5914BJ PTS</v>
      </c>
      <c r="K2957" s="919">
        <v>1</v>
      </c>
      <c r="L2957" s="920">
        <f t="shared" si="294"/>
        <v>27360</v>
      </c>
      <c r="M2957" s="920">
        <f t="shared" si="296"/>
        <v>103.56701183999999</v>
      </c>
      <c r="N2957" s="920">
        <f t="shared" si="297"/>
        <v>114</v>
      </c>
      <c r="O2957" s="918" t="str">
        <f t="shared" si="298"/>
        <v>Feb</v>
      </c>
      <c r="P2957" s="921">
        <f t="shared" si="299"/>
        <v>6</v>
      </c>
    </row>
    <row r="2958" spans="1:16" ht="15" hidden="1" customHeight="1">
      <c r="A2958" s="839">
        <v>84164936</v>
      </c>
      <c r="B2958" s="839">
        <v>5914</v>
      </c>
      <c r="C2958" s="906">
        <v>40080</v>
      </c>
      <c r="D2958" s="907">
        <v>46056</v>
      </c>
      <c r="E2958" s="839" t="s">
        <v>420</v>
      </c>
      <c r="F2958" s="839" t="s">
        <v>301</v>
      </c>
      <c r="G2958" s="916">
        <f>VLOOKUP($A2958,'Tech Litons'!$A:$I,8,FALSE)</f>
        <v>3.7853439999999999E-3</v>
      </c>
      <c r="H2958" s="917">
        <f>VLOOKUP($A2958,'Tech Litons'!$A:$I,9,FALSE)</f>
        <v>240</v>
      </c>
      <c r="I2958" s="917" t="str">
        <f>VLOOKUP($A2958,'Tech Litons'!$A:$C,3,0)</f>
        <v>BJ PTS</v>
      </c>
      <c r="J2958" s="918" t="str">
        <f t="shared" si="295"/>
        <v>5914BJ PTS</v>
      </c>
      <c r="K2958" s="919">
        <v>1</v>
      </c>
      <c r="L2958" s="920">
        <f t="shared" si="294"/>
        <v>40080</v>
      </c>
      <c r="M2958" s="920">
        <f t="shared" si="296"/>
        <v>151.71658751999999</v>
      </c>
      <c r="N2958" s="920">
        <f t="shared" si="297"/>
        <v>167</v>
      </c>
      <c r="O2958" s="918" t="str">
        <f t="shared" si="298"/>
        <v>Feb</v>
      </c>
      <c r="P2958" s="921">
        <f t="shared" si="299"/>
        <v>6</v>
      </c>
    </row>
    <row r="2959" spans="1:16" ht="15" hidden="1" customHeight="1">
      <c r="A2959" s="839">
        <v>84164936</v>
      </c>
      <c r="B2959" s="839">
        <v>5914</v>
      </c>
      <c r="C2959" s="906">
        <v>1021</v>
      </c>
      <c r="D2959" s="907">
        <v>46057</v>
      </c>
      <c r="E2959" s="839" t="s">
        <v>420</v>
      </c>
      <c r="F2959" s="839" t="s">
        <v>301</v>
      </c>
      <c r="G2959" s="916">
        <f>VLOOKUP($A2959,'Tech Litons'!$A:$I,8,FALSE)</f>
        <v>3.7853439999999999E-3</v>
      </c>
      <c r="H2959" s="917">
        <f>VLOOKUP($A2959,'Tech Litons'!$A:$I,9,FALSE)</f>
        <v>240</v>
      </c>
      <c r="I2959" s="917" t="str">
        <f>VLOOKUP($A2959,'Tech Litons'!$A:$C,3,0)</f>
        <v>BJ PTS</v>
      </c>
      <c r="J2959" s="918" t="str">
        <f t="shared" si="295"/>
        <v>5914BJ PTS</v>
      </c>
      <c r="K2959" s="919">
        <v>1</v>
      </c>
      <c r="L2959" s="920">
        <f t="shared" si="294"/>
        <v>1021</v>
      </c>
      <c r="M2959" s="920">
        <f t="shared" si="296"/>
        <v>3.8648362239999998</v>
      </c>
      <c r="N2959" s="920">
        <f t="shared" si="297"/>
        <v>4.2541666666666664</v>
      </c>
      <c r="O2959" s="918" t="str">
        <f t="shared" si="298"/>
        <v>Feb</v>
      </c>
      <c r="P2959" s="921">
        <f t="shared" si="299"/>
        <v>6</v>
      </c>
    </row>
    <row r="2960" spans="1:16" ht="15" hidden="1" customHeight="1">
      <c r="A2960" s="839">
        <v>84164936</v>
      </c>
      <c r="B2960" s="839">
        <v>5914</v>
      </c>
      <c r="C2960" s="906">
        <v>-1200</v>
      </c>
      <c r="D2960" s="907">
        <v>46058</v>
      </c>
      <c r="E2960" s="839" t="s">
        <v>420</v>
      </c>
      <c r="F2960" s="839" t="s">
        <v>301</v>
      </c>
      <c r="G2960" s="916">
        <f>VLOOKUP($A2960,'Tech Litons'!$A:$I,8,FALSE)</f>
        <v>3.7853439999999999E-3</v>
      </c>
      <c r="H2960" s="917">
        <f>VLOOKUP($A2960,'Tech Litons'!$A:$I,9,FALSE)</f>
        <v>240</v>
      </c>
      <c r="I2960" s="917" t="str">
        <f>VLOOKUP($A2960,'Tech Litons'!$A:$C,3,0)</f>
        <v>BJ PTS</v>
      </c>
      <c r="J2960" s="918" t="str">
        <f t="shared" si="295"/>
        <v>5914BJ PTS</v>
      </c>
      <c r="K2960" s="919">
        <v>1</v>
      </c>
      <c r="L2960" s="920">
        <f t="shared" si="294"/>
        <v>-1200</v>
      </c>
      <c r="M2960" s="920">
        <f t="shared" si="296"/>
        <v>-4.5424128000000001</v>
      </c>
      <c r="N2960" s="920">
        <f t="shared" si="297"/>
        <v>-5</v>
      </c>
      <c r="O2960" s="918" t="str">
        <f t="shared" si="298"/>
        <v>Feb</v>
      </c>
      <c r="P2960" s="921">
        <f t="shared" si="299"/>
        <v>6</v>
      </c>
    </row>
    <row r="2961" spans="1:16" ht="15" hidden="1" customHeight="1">
      <c r="A2961" s="839">
        <v>84164939</v>
      </c>
      <c r="B2961" s="839">
        <v>5914</v>
      </c>
      <c r="C2961" s="906">
        <v>1250</v>
      </c>
      <c r="D2961" s="907">
        <v>46051</v>
      </c>
      <c r="E2961" s="839" t="s">
        <v>399</v>
      </c>
      <c r="F2961" s="839" t="s">
        <v>303</v>
      </c>
      <c r="G2961" s="916">
        <f>VLOOKUP($A2961,'Tech Litons'!$A:$I,8,FALSE)</f>
        <v>9.0848256361922702E-3</v>
      </c>
      <c r="H2961" s="917">
        <f>VLOOKUP($A2961,'Tech Litons'!$A:$I,9,FALSE)</f>
        <v>125</v>
      </c>
      <c r="I2961" s="917" t="str">
        <f>VLOOKUP($A2961,'Tech Litons'!$A:$C,3,0)</f>
        <v>2.4 Gal</v>
      </c>
      <c r="J2961" s="918" t="str">
        <f t="shared" si="295"/>
        <v>59142.4 Gal</v>
      </c>
      <c r="K2961" s="919">
        <v>1</v>
      </c>
      <c r="L2961" s="920">
        <f t="shared" si="294"/>
        <v>1250</v>
      </c>
      <c r="M2961" s="920">
        <f t="shared" si="296"/>
        <v>11.356032045240338</v>
      </c>
      <c r="N2961" s="920">
        <f t="shared" si="297"/>
        <v>10</v>
      </c>
      <c r="O2961" s="918" t="str">
        <f t="shared" si="298"/>
        <v>Jan</v>
      </c>
      <c r="P2961" s="921">
        <f t="shared" si="299"/>
        <v>5</v>
      </c>
    </row>
    <row r="2962" spans="1:16" ht="15" hidden="1" customHeight="1">
      <c r="A2962" s="839">
        <v>84164939</v>
      </c>
      <c r="B2962" s="839">
        <v>5914</v>
      </c>
      <c r="C2962" s="906">
        <v>4553</v>
      </c>
      <c r="D2962" s="907">
        <v>46052</v>
      </c>
      <c r="E2962" s="839" t="s">
        <v>399</v>
      </c>
      <c r="F2962" s="839" t="s">
        <v>303</v>
      </c>
      <c r="G2962" s="916">
        <f>VLOOKUP($A2962,'Tech Litons'!$A:$I,8,FALSE)</f>
        <v>9.0848256361922702E-3</v>
      </c>
      <c r="H2962" s="917">
        <f>VLOOKUP($A2962,'Tech Litons'!$A:$I,9,FALSE)</f>
        <v>125</v>
      </c>
      <c r="I2962" s="917" t="str">
        <f>VLOOKUP($A2962,'Tech Litons'!$A:$C,3,0)</f>
        <v>2.4 Gal</v>
      </c>
      <c r="J2962" s="918" t="str">
        <f t="shared" si="295"/>
        <v>59142.4 Gal</v>
      </c>
      <c r="K2962" s="919">
        <v>1</v>
      </c>
      <c r="L2962" s="920">
        <f t="shared" si="294"/>
        <v>4553</v>
      </c>
      <c r="M2962" s="920">
        <f t="shared" si="296"/>
        <v>41.363211121583404</v>
      </c>
      <c r="N2962" s="920">
        <f t="shared" si="297"/>
        <v>36.423999999999999</v>
      </c>
      <c r="O2962" s="918" t="str">
        <f t="shared" si="298"/>
        <v>Jan</v>
      </c>
      <c r="P2962" s="921">
        <f t="shared" si="299"/>
        <v>5</v>
      </c>
    </row>
    <row r="2963" spans="1:16" ht="15" hidden="1" customHeight="1">
      <c r="A2963" s="839">
        <v>65489677</v>
      </c>
      <c r="B2963" s="839">
        <v>1717</v>
      </c>
      <c r="C2963" s="906">
        <v>22394</v>
      </c>
      <c r="D2963" s="907" t="s">
        <v>1270</v>
      </c>
      <c r="E2963" s="839" t="s">
        <v>1188</v>
      </c>
      <c r="F2963" s="839">
        <v>1717</v>
      </c>
      <c r="G2963" s="916">
        <f>VLOOKUP($A2963,'Tech Litons'!$A:$I,8,FALSE)</f>
        <v>2.8319999999999999E-3</v>
      </c>
      <c r="H2963" s="917">
        <f>VLOOKUP($A2963,'Tech Litons'!$A:$I,9,FALSE)</f>
        <v>221</v>
      </c>
      <c r="I2963" s="917" t="str">
        <f>VLOOKUP($A2963,'Tech Litons'!$A:$C,3,0)</f>
        <v>Other</v>
      </c>
      <c r="J2963" s="918" t="str">
        <f t="shared" ref="J2963:J3024" si="300">B2963&amp;I2963</f>
        <v>1717Other</v>
      </c>
      <c r="K2963" s="919">
        <v>1</v>
      </c>
      <c r="L2963" s="920">
        <f t="shared" si="294"/>
        <v>22394</v>
      </c>
      <c r="M2963" s="920">
        <f t="shared" ref="M2963:M3024" si="301">L2963*G2963</f>
        <v>63.419807999999996</v>
      </c>
      <c r="N2963" s="920">
        <f t="shared" ref="N2963:N3024" si="302">L2963/H2963</f>
        <v>101.33031674208145</v>
      </c>
      <c r="O2963" s="918" t="str">
        <f t="shared" ref="O2963:O3024" si="303">TEXT(D2963,"MMM")</f>
        <v>Jan</v>
      </c>
      <c r="P2963" s="921">
        <f t="shared" ref="P2963:P3024" si="304">WEEKNUM(D2963)</f>
        <v>5</v>
      </c>
    </row>
    <row r="2964" spans="1:16" ht="15" hidden="1" customHeight="1">
      <c r="A2964" s="839">
        <v>64976847</v>
      </c>
      <c r="B2964" s="839">
        <v>1717</v>
      </c>
      <c r="C2964" s="906">
        <v>156923</v>
      </c>
      <c r="D2964" s="907" t="s">
        <v>1271</v>
      </c>
      <c r="E2964" s="839" t="s">
        <v>590</v>
      </c>
      <c r="F2964" s="839">
        <v>1717</v>
      </c>
      <c r="G2964" s="916">
        <f>VLOOKUP($A2964,'Tech Litons'!$A:$I,8,FALSE)</f>
        <v>2.5040000000000001E-3</v>
      </c>
      <c r="H2964" s="917">
        <f>VLOOKUP($A2964,'Tech Litons'!$A:$I,9,FALSE)</f>
        <v>165</v>
      </c>
      <c r="I2964" s="917" t="str">
        <f>VLOOKUP($A2964,'Tech Litons'!$A:$C,3,0)</f>
        <v>Yasso Sticks</v>
      </c>
      <c r="J2964" s="918" t="str">
        <f t="shared" si="300"/>
        <v>1717Yasso Sticks</v>
      </c>
      <c r="K2964" s="919">
        <v>1</v>
      </c>
      <c r="L2964" s="920">
        <f t="shared" si="294"/>
        <v>156923</v>
      </c>
      <c r="M2964" s="920">
        <f t="shared" si="301"/>
        <v>392.93519200000003</v>
      </c>
      <c r="N2964" s="920">
        <f t="shared" si="302"/>
        <v>951.0484848484848</v>
      </c>
      <c r="O2964" s="918" t="str">
        <f t="shared" si="303"/>
        <v>Jan</v>
      </c>
      <c r="P2964" s="921">
        <f t="shared" si="304"/>
        <v>5</v>
      </c>
    </row>
    <row r="2965" spans="1:16" ht="15" hidden="1" customHeight="1">
      <c r="A2965" s="839">
        <v>65489677</v>
      </c>
      <c r="B2965" s="839">
        <v>1717</v>
      </c>
      <c r="C2965" s="906">
        <v>24193</v>
      </c>
      <c r="D2965" s="907" t="s">
        <v>1272</v>
      </c>
      <c r="E2965" s="839" t="s">
        <v>1188</v>
      </c>
      <c r="F2965" s="839">
        <v>1717</v>
      </c>
      <c r="G2965" s="916">
        <f>VLOOKUP($A2965,'Tech Litons'!$A:$I,8,FALSE)</f>
        <v>2.8319999999999999E-3</v>
      </c>
      <c r="H2965" s="917">
        <f>VLOOKUP($A2965,'Tech Litons'!$A:$I,9,FALSE)</f>
        <v>221</v>
      </c>
      <c r="I2965" s="917" t="str">
        <f>VLOOKUP($A2965,'Tech Litons'!$A:$C,3,0)</f>
        <v>Other</v>
      </c>
      <c r="J2965" s="918" t="str">
        <f t="shared" si="300"/>
        <v>1717Other</v>
      </c>
      <c r="K2965" s="919">
        <v>1</v>
      </c>
      <c r="L2965" s="920">
        <f t="shared" si="294"/>
        <v>24193</v>
      </c>
      <c r="M2965" s="920">
        <f t="shared" si="301"/>
        <v>68.514575999999991</v>
      </c>
      <c r="N2965" s="920">
        <f t="shared" si="302"/>
        <v>109.47058823529412</v>
      </c>
      <c r="O2965" s="918" t="str">
        <f t="shared" si="303"/>
        <v>Feb</v>
      </c>
      <c r="P2965" s="921">
        <f t="shared" si="304"/>
        <v>6</v>
      </c>
    </row>
    <row r="2966" spans="1:16" ht="15" hidden="1" customHeight="1">
      <c r="A2966" s="839">
        <v>64976847</v>
      </c>
      <c r="B2966" s="839">
        <v>1717</v>
      </c>
      <c r="C2966" s="906">
        <v>66847</v>
      </c>
      <c r="D2966" s="907" t="s">
        <v>1273</v>
      </c>
      <c r="E2966" s="839" t="s">
        <v>590</v>
      </c>
      <c r="F2966" s="839">
        <v>1717</v>
      </c>
      <c r="G2966" s="916">
        <f>VLOOKUP($A2966,'Tech Litons'!$A:$I,8,FALSE)</f>
        <v>2.5040000000000001E-3</v>
      </c>
      <c r="H2966" s="917">
        <f>VLOOKUP($A2966,'Tech Litons'!$A:$I,9,FALSE)</f>
        <v>165</v>
      </c>
      <c r="I2966" s="917" t="str">
        <f>VLOOKUP($A2966,'Tech Litons'!$A:$C,3,0)</f>
        <v>Yasso Sticks</v>
      </c>
      <c r="J2966" s="918" t="str">
        <f t="shared" si="300"/>
        <v>1717Yasso Sticks</v>
      </c>
      <c r="K2966" s="919">
        <v>1</v>
      </c>
      <c r="L2966" s="920">
        <f t="shared" si="294"/>
        <v>66847</v>
      </c>
      <c r="M2966" s="920">
        <f t="shared" si="301"/>
        <v>167.38488800000002</v>
      </c>
      <c r="N2966" s="920">
        <f t="shared" si="302"/>
        <v>405.13333333333333</v>
      </c>
      <c r="O2966" s="918" t="str">
        <f t="shared" si="303"/>
        <v>Feb</v>
      </c>
      <c r="P2966" s="921">
        <f t="shared" si="304"/>
        <v>6</v>
      </c>
    </row>
    <row r="2967" spans="1:16" ht="15" hidden="1" customHeight="1">
      <c r="A2967" s="839">
        <v>65489676</v>
      </c>
      <c r="B2967" s="839">
        <v>1717</v>
      </c>
      <c r="C2967" s="906">
        <v>13851</v>
      </c>
      <c r="D2967" s="907" t="s">
        <v>1274</v>
      </c>
      <c r="E2967" s="839" t="s">
        <v>1224</v>
      </c>
      <c r="F2967" s="839">
        <v>1717</v>
      </c>
      <c r="G2967" s="916">
        <f>VLOOKUP($A2967,'Tech Litons'!$A:$I,8,FALSE)</f>
        <v>2.8319999999999999E-3</v>
      </c>
      <c r="H2967" s="917">
        <f>VLOOKUP($A2967,'Tech Litons'!$A:$I,9,FALSE)</f>
        <v>221</v>
      </c>
      <c r="I2967" s="917" t="str">
        <f>VLOOKUP($A2967,'Tech Litons'!$A:$C,3,0)</f>
        <v>Other</v>
      </c>
      <c r="J2967" s="918" t="str">
        <f t="shared" si="300"/>
        <v>1717Other</v>
      </c>
      <c r="K2967" s="919">
        <v>1</v>
      </c>
      <c r="L2967" s="920">
        <f t="shared" si="294"/>
        <v>13851</v>
      </c>
      <c r="M2967" s="920">
        <f t="shared" si="301"/>
        <v>39.226031999999996</v>
      </c>
      <c r="N2967" s="920">
        <f t="shared" si="302"/>
        <v>62.674208144796381</v>
      </c>
      <c r="O2967" s="918" t="str">
        <f t="shared" si="303"/>
        <v>Feb</v>
      </c>
      <c r="P2967" s="921">
        <f t="shared" si="304"/>
        <v>7</v>
      </c>
    </row>
    <row r="2968" spans="1:16" ht="15" hidden="1" customHeight="1">
      <c r="A2968" s="839">
        <v>64976851</v>
      </c>
      <c r="B2968" s="839">
        <v>1717</v>
      </c>
      <c r="C2968" s="906">
        <v>46867</v>
      </c>
      <c r="D2968" s="907" t="s">
        <v>1274</v>
      </c>
      <c r="E2968" s="839" t="s">
        <v>592</v>
      </c>
      <c r="F2968" s="839">
        <v>1717</v>
      </c>
      <c r="G2968" s="916">
        <f>VLOOKUP($A2968,'Tech Litons'!$A:$I,8,FALSE)</f>
        <v>2.5040000000000001E-3</v>
      </c>
      <c r="H2968" s="917">
        <f>VLOOKUP($A2968,'Tech Litons'!$A:$I,9,FALSE)</f>
        <v>165</v>
      </c>
      <c r="I2968" s="917" t="str">
        <f>VLOOKUP($A2968,'Tech Litons'!$A:$C,3,0)</f>
        <v>Yasso Sticks</v>
      </c>
      <c r="J2968" s="918" t="str">
        <f t="shared" si="300"/>
        <v>1717Yasso Sticks</v>
      </c>
      <c r="K2968" s="919">
        <v>1</v>
      </c>
      <c r="L2968" s="920">
        <f t="shared" si="294"/>
        <v>46867</v>
      </c>
      <c r="M2968" s="920">
        <f t="shared" si="301"/>
        <v>117.35496800000001</v>
      </c>
      <c r="N2968" s="920">
        <f t="shared" si="302"/>
        <v>284.04242424242426</v>
      </c>
      <c r="O2968" s="918" t="str">
        <f t="shared" si="303"/>
        <v>Feb</v>
      </c>
      <c r="P2968" s="921">
        <f t="shared" si="304"/>
        <v>7</v>
      </c>
    </row>
    <row r="2969" spans="1:16" ht="15" hidden="1" customHeight="1">
      <c r="A2969" s="839">
        <v>64976850</v>
      </c>
      <c r="B2969" s="839">
        <v>1717</v>
      </c>
      <c r="C2969" s="906">
        <v>42956</v>
      </c>
      <c r="D2969" s="907" t="s">
        <v>1275</v>
      </c>
      <c r="E2969" s="839" t="s">
        <v>591</v>
      </c>
      <c r="F2969" s="839">
        <v>1717</v>
      </c>
      <c r="G2969" s="916">
        <f>VLOOKUP($A2969,'Tech Litons'!$A:$I,8,FALSE)</f>
        <v>2.5040000000000001E-3</v>
      </c>
      <c r="H2969" s="917">
        <f>VLOOKUP($A2969,'Tech Litons'!$A:$I,9,FALSE)</f>
        <v>165</v>
      </c>
      <c r="I2969" s="917" t="str">
        <f>VLOOKUP($A2969,'Tech Litons'!$A:$C,3,0)</f>
        <v>Yasso Sticks</v>
      </c>
      <c r="J2969" s="918" t="str">
        <f t="shared" si="300"/>
        <v>1717Yasso Sticks</v>
      </c>
      <c r="K2969" s="919">
        <v>1</v>
      </c>
      <c r="L2969" s="920">
        <f t="shared" si="294"/>
        <v>42956</v>
      </c>
      <c r="M2969" s="920">
        <f t="shared" si="301"/>
        <v>107.561824</v>
      </c>
      <c r="N2969" s="920">
        <f t="shared" si="302"/>
        <v>260.33939393939391</v>
      </c>
      <c r="O2969" s="918" t="str">
        <f t="shared" si="303"/>
        <v>Feb</v>
      </c>
      <c r="P2969" s="921">
        <f t="shared" si="304"/>
        <v>7</v>
      </c>
    </row>
    <row r="2970" spans="1:16" ht="15" hidden="1" customHeight="1">
      <c r="A2970" s="839">
        <v>64325625</v>
      </c>
      <c r="B2970" s="839">
        <v>1713</v>
      </c>
      <c r="C2970" s="906">
        <v>17600</v>
      </c>
      <c r="D2970" s="907" t="s">
        <v>1274</v>
      </c>
      <c r="E2970" s="839" t="s">
        <v>578</v>
      </c>
      <c r="F2970" s="839">
        <v>1713</v>
      </c>
      <c r="G2970" s="916">
        <f>VLOOKUP($A2970,'Tech Litons'!$A:$I,8,FALSE)</f>
        <v>2.0200000000000001E-3</v>
      </c>
      <c r="H2970" s="917">
        <f>VLOOKUP($A2970,'Tech Litons'!$A:$I,9,FALSE)</f>
        <v>200</v>
      </c>
      <c r="I2970" s="917" t="str">
        <f>VLOOKUP($A2970,'Tech Litons'!$A:$C,3,0)</f>
        <v>Yasso Poppables</v>
      </c>
      <c r="J2970" s="918" t="str">
        <f t="shared" si="300"/>
        <v>1713Yasso Poppables</v>
      </c>
      <c r="K2970" s="919">
        <v>1</v>
      </c>
      <c r="L2970" s="920">
        <f t="shared" si="294"/>
        <v>17600</v>
      </c>
      <c r="M2970" s="920">
        <f t="shared" si="301"/>
        <v>35.552</v>
      </c>
      <c r="N2970" s="920">
        <f t="shared" si="302"/>
        <v>88</v>
      </c>
      <c r="O2970" s="918" t="str">
        <f t="shared" si="303"/>
        <v>Feb</v>
      </c>
      <c r="P2970" s="921">
        <f t="shared" si="304"/>
        <v>7</v>
      </c>
    </row>
    <row r="2971" spans="1:16" ht="15" hidden="1" customHeight="1">
      <c r="A2971" s="839">
        <v>64325625</v>
      </c>
      <c r="B2971" s="839">
        <v>1713</v>
      </c>
      <c r="C2971" s="906">
        <v>3179</v>
      </c>
      <c r="D2971" s="907" t="s">
        <v>1276</v>
      </c>
      <c r="E2971" s="839" t="s">
        <v>578</v>
      </c>
      <c r="F2971" s="839">
        <v>1713</v>
      </c>
      <c r="G2971" s="916">
        <f>VLOOKUP($A2971,'Tech Litons'!$A:$I,8,FALSE)</f>
        <v>2.0200000000000001E-3</v>
      </c>
      <c r="H2971" s="917">
        <f>VLOOKUP($A2971,'Tech Litons'!$A:$I,9,FALSE)</f>
        <v>200</v>
      </c>
      <c r="I2971" s="917" t="str">
        <f>VLOOKUP($A2971,'Tech Litons'!$A:$C,3,0)</f>
        <v>Yasso Poppables</v>
      </c>
      <c r="J2971" s="918" t="str">
        <f t="shared" si="300"/>
        <v>1713Yasso Poppables</v>
      </c>
      <c r="K2971" s="919">
        <v>1</v>
      </c>
      <c r="L2971" s="920">
        <f t="shared" si="294"/>
        <v>3179</v>
      </c>
      <c r="M2971" s="920">
        <f t="shared" si="301"/>
        <v>6.4215800000000005</v>
      </c>
      <c r="N2971" s="920">
        <f t="shared" si="302"/>
        <v>15.895</v>
      </c>
      <c r="O2971" s="918" t="str">
        <f t="shared" si="303"/>
        <v>Feb</v>
      </c>
      <c r="P2971" s="921">
        <f t="shared" si="304"/>
        <v>8</v>
      </c>
    </row>
    <row r="2972" spans="1:16" ht="15" hidden="1" customHeight="1">
      <c r="A2972" s="839">
        <v>64955558</v>
      </c>
      <c r="B2972" s="839">
        <v>1715</v>
      </c>
      <c r="C2972" s="906">
        <v>12854</v>
      </c>
      <c r="D2972" s="907" t="s">
        <v>1277</v>
      </c>
      <c r="E2972" s="839" t="s">
        <v>581</v>
      </c>
      <c r="F2972" s="839">
        <v>1715</v>
      </c>
      <c r="G2972" s="916">
        <f>VLOOKUP($A2972,'Tech Litons'!$A:$I,8,FALSE)</f>
        <v>3.3119999999999998E-3</v>
      </c>
      <c r="H2972" s="917">
        <f>VLOOKUP($A2972,'Tech Litons'!$A:$I,9,FALSE)</f>
        <v>165</v>
      </c>
      <c r="I2972" s="917" t="str">
        <f>VLOOKUP($A2972,'Tech Litons'!$A:$C,3,0)</f>
        <v>Yasso Sticks</v>
      </c>
      <c r="J2972" s="918" t="str">
        <f t="shared" si="300"/>
        <v>1715Yasso Sticks</v>
      </c>
      <c r="K2972" s="919">
        <v>1</v>
      </c>
      <c r="L2972" s="920">
        <f t="shared" si="294"/>
        <v>12854</v>
      </c>
      <c r="M2972" s="920">
        <f t="shared" si="301"/>
        <v>42.572448000000001</v>
      </c>
      <c r="N2972" s="920">
        <f t="shared" si="302"/>
        <v>77.903030303030306</v>
      </c>
      <c r="O2972" s="918" t="str">
        <f t="shared" si="303"/>
        <v>Feb</v>
      </c>
      <c r="P2972" s="921">
        <f t="shared" si="304"/>
        <v>6</v>
      </c>
    </row>
    <row r="2973" spans="1:16" ht="15" hidden="1" customHeight="1">
      <c r="A2973" s="839">
        <v>64955559</v>
      </c>
      <c r="B2973" s="839">
        <v>1715</v>
      </c>
      <c r="C2973" s="906">
        <v>11020</v>
      </c>
      <c r="D2973" s="907" t="s">
        <v>1278</v>
      </c>
      <c r="E2973" s="839" t="s">
        <v>582</v>
      </c>
      <c r="F2973" s="839">
        <v>1715</v>
      </c>
      <c r="G2973" s="916">
        <f>VLOOKUP($A2973,'Tech Litons'!$A:$I,8,FALSE)</f>
        <v>3.3119999999999998E-3</v>
      </c>
      <c r="H2973" s="917">
        <f>VLOOKUP($A2973,'Tech Litons'!$A:$I,9,FALSE)</f>
        <v>165</v>
      </c>
      <c r="I2973" s="917" t="str">
        <f>VLOOKUP($A2973,'Tech Litons'!$A:$C,3,0)</f>
        <v>Yasso Sticks</v>
      </c>
      <c r="J2973" s="918" t="str">
        <f t="shared" si="300"/>
        <v>1715Yasso Sticks</v>
      </c>
      <c r="K2973" s="919">
        <v>1</v>
      </c>
      <c r="L2973" s="920">
        <f t="shared" si="294"/>
        <v>11020</v>
      </c>
      <c r="M2973" s="920">
        <f t="shared" si="301"/>
        <v>36.498239999999996</v>
      </c>
      <c r="N2973" s="920">
        <f t="shared" si="302"/>
        <v>66.787878787878782</v>
      </c>
      <c r="O2973" s="918" t="str">
        <f t="shared" si="303"/>
        <v>Feb</v>
      </c>
      <c r="P2973" s="921">
        <f t="shared" si="304"/>
        <v>7</v>
      </c>
    </row>
    <row r="2974" spans="1:16" ht="15" hidden="1" customHeight="1">
      <c r="A2974" s="839">
        <v>64976848</v>
      </c>
      <c r="B2974" s="839">
        <v>1715</v>
      </c>
      <c r="C2974" s="906">
        <v>38055</v>
      </c>
      <c r="D2974" s="907" t="s">
        <v>1278</v>
      </c>
      <c r="E2974" s="839" t="s">
        <v>232</v>
      </c>
      <c r="F2974" s="839">
        <v>1715</v>
      </c>
      <c r="G2974" s="916">
        <f>VLOOKUP($A2974,'Tech Litons'!$A:$I,8,FALSE)</f>
        <v>2.5040000000000001E-3</v>
      </c>
      <c r="H2974" s="917">
        <f>VLOOKUP($A2974,'Tech Litons'!$A:$I,9,FALSE)</f>
        <v>165</v>
      </c>
      <c r="I2974" s="917" t="str">
        <f>VLOOKUP($A2974,'Tech Litons'!$A:$C,3,0)</f>
        <v>Yasso Sticks</v>
      </c>
      <c r="J2974" s="918" t="str">
        <f t="shared" si="300"/>
        <v>1715Yasso Sticks</v>
      </c>
      <c r="K2974" s="919">
        <v>1</v>
      </c>
      <c r="L2974" s="920">
        <f t="shared" si="294"/>
        <v>38055</v>
      </c>
      <c r="M2974" s="920">
        <f t="shared" si="301"/>
        <v>95.289720000000003</v>
      </c>
      <c r="N2974" s="920">
        <f t="shared" si="302"/>
        <v>230.63636363636363</v>
      </c>
      <c r="O2974" s="918" t="str">
        <f t="shared" si="303"/>
        <v>Feb</v>
      </c>
      <c r="P2974" s="921">
        <f t="shared" si="304"/>
        <v>7</v>
      </c>
    </row>
    <row r="2975" spans="1:16" ht="15" hidden="1" customHeight="1">
      <c r="A2975" s="839">
        <v>64833353</v>
      </c>
      <c r="B2975" s="839" t="s">
        <v>133</v>
      </c>
      <c r="C2975" s="906">
        <v>2600</v>
      </c>
      <c r="D2975" s="907" t="s">
        <v>1270</v>
      </c>
      <c r="E2975" s="839" t="s">
        <v>358</v>
      </c>
      <c r="F2975" s="839">
        <v>1419</v>
      </c>
      <c r="G2975" s="916">
        <f>VLOOKUP($A2975,'Tech Litons'!$A:$I,8,FALSE)</f>
        <v>5.28E-3</v>
      </c>
      <c r="H2975" s="917">
        <f>VLOOKUP($A2975,'Tech Litons'!$A:$I,9,FALSE)</f>
        <v>130</v>
      </c>
      <c r="I2975" s="917" t="str">
        <f>VLOOKUP($A2975,'Tech Litons'!$A:$C,3,0)</f>
        <v>PG</v>
      </c>
      <c r="J2975" s="918" t="str">
        <f t="shared" si="300"/>
        <v>GDIPG</v>
      </c>
      <c r="K2975" s="919">
        <v>1</v>
      </c>
      <c r="L2975" s="920">
        <f t="shared" si="294"/>
        <v>2600</v>
      </c>
      <c r="M2975" s="920">
        <f t="shared" si="301"/>
        <v>13.728</v>
      </c>
      <c r="N2975" s="920">
        <f t="shared" si="302"/>
        <v>20</v>
      </c>
      <c r="O2975" s="918" t="str">
        <f t="shared" si="303"/>
        <v>Jan</v>
      </c>
      <c r="P2975" s="921">
        <f t="shared" si="304"/>
        <v>5</v>
      </c>
    </row>
    <row r="2976" spans="1:16" ht="15" hidden="1" customHeight="1">
      <c r="A2976" s="839">
        <v>64833353</v>
      </c>
      <c r="B2976" s="839" t="s">
        <v>133</v>
      </c>
      <c r="C2976" s="906">
        <v>2599</v>
      </c>
      <c r="D2976" s="907" t="s">
        <v>1279</v>
      </c>
      <c r="E2976" s="839" t="s">
        <v>358</v>
      </c>
      <c r="F2976" s="839">
        <v>3989</v>
      </c>
      <c r="G2976" s="916">
        <f>VLOOKUP($A2976,'Tech Litons'!$A:$I,8,FALSE)</f>
        <v>5.28E-3</v>
      </c>
      <c r="H2976" s="917">
        <f>VLOOKUP($A2976,'Tech Litons'!$A:$I,9,FALSE)</f>
        <v>130</v>
      </c>
      <c r="I2976" s="917" t="str">
        <f>VLOOKUP($A2976,'Tech Litons'!$A:$C,3,0)</f>
        <v>PG</v>
      </c>
      <c r="J2976" s="918" t="str">
        <f t="shared" si="300"/>
        <v>GDIPG</v>
      </c>
      <c r="K2976" s="919">
        <v>1</v>
      </c>
      <c r="L2976" s="920">
        <f t="shared" ref="L2976:L3036" si="305">C2976*$K2976</f>
        <v>2599</v>
      </c>
      <c r="M2976" s="920">
        <f t="shared" si="301"/>
        <v>13.722720000000001</v>
      </c>
      <c r="N2976" s="920">
        <f t="shared" si="302"/>
        <v>19.992307692307691</v>
      </c>
      <c r="O2976" s="918" t="str">
        <f t="shared" si="303"/>
        <v>Jan</v>
      </c>
      <c r="P2976" s="921">
        <f t="shared" si="304"/>
        <v>5</v>
      </c>
    </row>
    <row r="2977" spans="1:16" ht="15" hidden="1" customHeight="1">
      <c r="A2977" s="839">
        <v>64833353</v>
      </c>
      <c r="B2977" s="839" t="s">
        <v>133</v>
      </c>
      <c r="C2977" s="906">
        <v>2600</v>
      </c>
      <c r="D2977" s="907" t="s">
        <v>1279</v>
      </c>
      <c r="E2977" s="839" t="s">
        <v>358</v>
      </c>
      <c r="F2977" s="839">
        <v>1419</v>
      </c>
      <c r="G2977" s="916">
        <f>VLOOKUP($A2977,'Tech Litons'!$A:$I,8,FALSE)</f>
        <v>5.28E-3</v>
      </c>
      <c r="H2977" s="917">
        <f>VLOOKUP($A2977,'Tech Litons'!$A:$I,9,FALSE)</f>
        <v>130</v>
      </c>
      <c r="I2977" s="917" t="str">
        <f>VLOOKUP($A2977,'Tech Litons'!$A:$C,3,0)</f>
        <v>PG</v>
      </c>
      <c r="J2977" s="918" t="str">
        <f t="shared" si="300"/>
        <v>GDIPG</v>
      </c>
      <c r="K2977" s="919">
        <v>1</v>
      </c>
      <c r="L2977" s="920">
        <f t="shared" si="305"/>
        <v>2600</v>
      </c>
      <c r="M2977" s="920">
        <f t="shared" si="301"/>
        <v>13.728</v>
      </c>
      <c r="N2977" s="920">
        <f t="shared" si="302"/>
        <v>20</v>
      </c>
      <c r="O2977" s="918" t="str">
        <f t="shared" si="303"/>
        <v>Jan</v>
      </c>
      <c r="P2977" s="921">
        <f t="shared" si="304"/>
        <v>5</v>
      </c>
    </row>
    <row r="2978" spans="1:16" ht="15" hidden="1" customHeight="1">
      <c r="A2978" s="839">
        <v>64833353</v>
      </c>
      <c r="B2978" s="839" t="s">
        <v>133</v>
      </c>
      <c r="C2978" s="906">
        <v>2600</v>
      </c>
      <c r="D2978" s="907" t="s">
        <v>1271</v>
      </c>
      <c r="E2978" s="839" t="s">
        <v>358</v>
      </c>
      <c r="F2978" s="839">
        <v>1419</v>
      </c>
      <c r="G2978" s="916">
        <f>VLOOKUP($A2978,'Tech Litons'!$A:$I,8,FALSE)</f>
        <v>5.28E-3</v>
      </c>
      <c r="H2978" s="917">
        <f>VLOOKUP($A2978,'Tech Litons'!$A:$I,9,FALSE)</f>
        <v>130</v>
      </c>
      <c r="I2978" s="917" t="str">
        <f>VLOOKUP($A2978,'Tech Litons'!$A:$C,3,0)</f>
        <v>PG</v>
      </c>
      <c r="J2978" s="918" t="str">
        <f t="shared" si="300"/>
        <v>GDIPG</v>
      </c>
      <c r="K2978" s="919">
        <v>1</v>
      </c>
      <c r="L2978" s="920">
        <f t="shared" si="305"/>
        <v>2600</v>
      </c>
      <c r="M2978" s="920">
        <f t="shared" si="301"/>
        <v>13.728</v>
      </c>
      <c r="N2978" s="920">
        <f t="shared" si="302"/>
        <v>20</v>
      </c>
      <c r="O2978" s="918" t="str">
        <f t="shared" si="303"/>
        <v>Jan</v>
      </c>
      <c r="P2978" s="921">
        <f t="shared" si="304"/>
        <v>5</v>
      </c>
    </row>
    <row r="2979" spans="1:16" ht="15" hidden="1" customHeight="1">
      <c r="A2979" s="839">
        <v>64833353</v>
      </c>
      <c r="B2979" s="839" t="s">
        <v>133</v>
      </c>
      <c r="C2979" s="906">
        <v>2600</v>
      </c>
      <c r="D2979" s="907" t="s">
        <v>1280</v>
      </c>
      <c r="E2979" s="839" t="s">
        <v>358</v>
      </c>
      <c r="F2979" s="839">
        <v>1419</v>
      </c>
      <c r="G2979" s="916">
        <f>VLOOKUP($A2979,'Tech Litons'!$A:$I,8,FALSE)</f>
        <v>5.28E-3</v>
      </c>
      <c r="H2979" s="917">
        <f>VLOOKUP($A2979,'Tech Litons'!$A:$I,9,FALSE)</f>
        <v>130</v>
      </c>
      <c r="I2979" s="917" t="str">
        <f>VLOOKUP($A2979,'Tech Litons'!$A:$C,3,0)</f>
        <v>PG</v>
      </c>
      <c r="J2979" s="918" t="str">
        <f t="shared" si="300"/>
        <v>GDIPG</v>
      </c>
      <c r="K2979" s="919">
        <v>1</v>
      </c>
      <c r="L2979" s="920">
        <f t="shared" si="305"/>
        <v>2600</v>
      </c>
      <c r="M2979" s="920">
        <f t="shared" si="301"/>
        <v>13.728</v>
      </c>
      <c r="N2979" s="920">
        <f t="shared" si="302"/>
        <v>20</v>
      </c>
      <c r="O2979" s="918" t="str">
        <f t="shared" si="303"/>
        <v>Jan</v>
      </c>
      <c r="P2979" s="921">
        <f t="shared" si="304"/>
        <v>5</v>
      </c>
    </row>
    <row r="2980" spans="1:16" ht="15" hidden="1" customHeight="1">
      <c r="A2980" s="839">
        <v>62714126</v>
      </c>
      <c r="B2980" s="839" t="s">
        <v>133</v>
      </c>
      <c r="C2980" s="906">
        <v>2600</v>
      </c>
      <c r="D2980" s="907" t="s">
        <v>1272</v>
      </c>
      <c r="E2980" s="839" t="s">
        <v>402</v>
      </c>
      <c r="F2980" s="839">
        <v>3989</v>
      </c>
      <c r="G2980" s="916">
        <f>VLOOKUP($A2980,'Tech Litons'!$A:$I,8,FALSE)</f>
        <v>5.2680000000000001E-3</v>
      </c>
      <c r="H2980" s="917">
        <f>VLOOKUP($A2980,'Tech Litons'!$A:$I,9,FALSE)</f>
        <v>130</v>
      </c>
      <c r="I2980" s="917" t="str">
        <f>VLOOKUP($A2980,'Tech Litons'!$A:$C,3,0)</f>
        <v>PG</v>
      </c>
      <c r="J2980" s="918" t="str">
        <f t="shared" si="300"/>
        <v>GDIPG</v>
      </c>
      <c r="K2980" s="919">
        <v>1</v>
      </c>
      <c r="L2980" s="920">
        <f t="shared" si="305"/>
        <v>2600</v>
      </c>
      <c r="M2980" s="920">
        <f t="shared" si="301"/>
        <v>13.6968</v>
      </c>
      <c r="N2980" s="920">
        <f t="shared" si="302"/>
        <v>20</v>
      </c>
      <c r="O2980" s="918" t="str">
        <f t="shared" si="303"/>
        <v>Feb</v>
      </c>
      <c r="P2980" s="921">
        <f t="shared" si="304"/>
        <v>6</v>
      </c>
    </row>
    <row r="2981" spans="1:16" ht="15" hidden="1" customHeight="1">
      <c r="A2981" s="839">
        <v>64833353</v>
      </c>
      <c r="B2981" s="839" t="s">
        <v>133</v>
      </c>
      <c r="C2981" s="906">
        <v>2600</v>
      </c>
      <c r="D2981" s="907" t="s">
        <v>1272</v>
      </c>
      <c r="E2981" s="839" t="s">
        <v>358</v>
      </c>
      <c r="F2981" s="839">
        <v>3989</v>
      </c>
      <c r="G2981" s="916">
        <f>VLOOKUP($A2981,'Tech Litons'!$A:$I,8,FALSE)</f>
        <v>5.28E-3</v>
      </c>
      <c r="H2981" s="917">
        <f>VLOOKUP($A2981,'Tech Litons'!$A:$I,9,FALSE)</f>
        <v>130</v>
      </c>
      <c r="I2981" s="917" t="str">
        <f>VLOOKUP($A2981,'Tech Litons'!$A:$C,3,0)</f>
        <v>PG</v>
      </c>
      <c r="J2981" s="918" t="str">
        <f t="shared" si="300"/>
        <v>GDIPG</v>
      </c>
      <c r="K2981" s="919">
        <v>1</v>
      </c>
      <c r="L2981" s="920">
        <f t="shared" si="305"/>
        <v>2600</v>
      </c>
      <c r="M2981" s="920">
        <f t="shared" si="301"/>
        <v>13.728</v>
      </c>
      <c r="N2981" s="920">
        <f t="shared" si="302"/>
        <v>20</v>
      </c>
      <c r="O2981" s="918" t="str">
        <f t="shared" si="303"/>
        <v>Feb</v>
      </c>
      <c r="P2981" s="921">
        <f t="shared" si="304"/>
        <v>6</v>
      </c>
    </row>
    <row r="2982" spans="1:16" ht="15" hidden="1" customHeight="1">
      <c r="A2982" s="839">
        <v>62714126</v>
      </c>
      <c r="B2982" s="839" t="s">
        <v>133</v>
      </c>
      <c r="C2982" s="906">
        <v>2600</v>
      </c>
      <c r="D2982" s="907" t="s">
        <v>1281</v>
      </c>
      <c r="E2982" s="839" t="s">
        <v>402</v>
      </c>
      <c r="F2982" s="839">
        <v>3989</v>
      </c>
      <c r="G2982" s="916">
        <f>VLOOKUP($A2982,'Tech Litons'!$A:$I,8,FALSE)</f>
        <v>5.2680000000000001E-3</v>
      </c>
      <c r="H2982" s="917">
        <f>VLOOKUP($A2982,'Tech Litons'!$A:$I,9,FALSE)</f>
        <v>130</v>
      </c>
      <c r="I2982" s="917" t="str">
        <f>VLOOKUP($A2982,'Tech Litons'!$A:$C,3,0)</f>
        <v>PG</v>
      </c>
      <c r="J2982" s="918" t="str">
        <f t="shared" si="300"/>
        <v>GDIPG</v>
      </c>
      <c r="K2982" s="919">
        <v>1</v>
      </c>
      <c r="L2982" s="920">
        <f t="shared" si="305"/>
        <v>2600</v>
      </c>
      <c r="M2982" s="920">
        <f t="shared" si="301"/>
        <v>13.6968</v>
      </c>
      <c r="N2982" s="920">
        <f t="shared" si="302"/>
        <v>20</v>
      </c>
      <c r="O2982" s="918" t="str">
        <f t="shared" si="303"/>
        <v>Feb</v>
      </c>
      <c r="P2982" s="921">
        <f t="shared" si="304"/>
        <v>6</v>
      </c>
    </row>
    <row r="2983" spans="1:16" ht="15" hidden="1" customHeight="1">
      <c r="A2983" s="839">
        <v>62714126</v>
      </c>
      <c r="B2983" s="839" t="s">
        <v>133</v>
      </c>
      <c r="C2983" s="906">
        <v>2600</v>
      </c>
      <c r="D2983" s="907" t="s">
        <v>1281</v>
      </c>
      <c r="E2983" s="839" t="s">
        <v>402</v>
      </c>
      <c r="F2983" s="839">
        <v>3989</v>
      </c>
      <c r="G2983" s="916">
        <f>VLOOKUP($A2983,'Tech Litons'!$A:$I,8,FALSE)</f>
        <v>5.2680000000000001E-3</v>
      </c>
      <c r="H2983" s="917">
        <f>VLOOKUP($A2983,'Tech Litons'!$A:$I,9,FALSE)</f>
        <v>130</v>
      </c>
      <c r="I2983" s="917" t="str">
        <f>VLOOKUP($A2983,'Tech Litons'!$A:$C,3,0)</f>
        <v>PG</v>
      </c>
      <c r="J2983" s="918" t="str">
        <f t="shared" si="300"/>
        <v>GDIPG</v>
      </c>
      <c r="K2983" s="919">
        <v>1</v>
      </c>
      <c r="L2983" s="920">
        <f t="shared" si="305"/>
        <v>2600</v>
      </c>
      <c r="M2983" s="920">
        <f t="shared" si="301"/>
        <v>13.6968</v>
      </c>
      <c r="N2983" s="920">
        <f t="shared" si="302"/>
        <v>20</v>
      </c>
      <c r="O2983" s="918" t="str">
        <f t="shared" si="303"/>
        <v>Feb</v>
      </c>
      <c r="P2983" s="921">
        <f t="shared" si="304"/>
        <v>6</v>
      </c>
    </row>
    <row r="2984" spans="1:16" ht="15" hidden="1" customHeight="1">
      <c r="A2984" s="839">
        <v>62714126</v>
      </c>
      <c r="B2984" s="839" t="s">
        <v>133</v>
      </c>
      <c r="C2984" s="906">
        <v>2600</v>
      </c>
      <c r="D2984" s="907" t="s">
        <v>1281</v>
      </c>
      <c r="E2984" s="839" t="s">
        <v>402</v>
      </c>
      <c r="F2984" s="839">
        <v>3989</v>
      </c>
      <c r="G2984" s="916">
        <f>VLOOKUP($A2984,'Tech Litons'!$A:$I,8,FALSE)</f>
        <v>5.2680000000000001E-3</v>
      </c>
      <c r="H2984" s="917">
        <f>VLOOKUP($A2984,'Tech Litons'!$A:$I,9,FALSE)</f>
        <v>130</v>
      </c>
      <c r="I2984" s="917" t="str">
        <f>VLOOKUP($A2984,'Tech Litons'!$A:$C,3,0)</f>
        <v>PG</v>
      </c>
      <c r="J2984" s="918" t="str">
        <f t="shared" si="300"/>
        <v>GDIPG</v>
      </c>
      <c r="K2984" s="919">
        <v>1</v>
      </c>
      <c r="L2984" s="920">
        <f t="shared" si="305"/>
        <v>2600</v>
      </c>
      <c r="M2984" s="920">
        <f t="shared" si="301"/>
        <v>13.6968</v>
      </c>
      <c r="N2984" s="920">
        <f t="shared" si="302"/>
        <v>20</v>
      </c>
      <c r="O2984" s="918" t="str">
        <f t="shared" si="303"/>
        <v>Feb</v>
      </c>
      <c r="P2984" s="921">
        <f t="shared" si="304"/>
        <v>6</v>
      </c>
    </row>
    <row r="2985" spans="1:16" ht="15" hidden="1" customHeight="1">
      <c r="A2985" s="839">
        <v>64833353</v>
      </c>
      <c r="B2985" s="839" t="s">
        <v>133</v>
      </c>
      <c r="C2985" s="906">
        <v>2600</v>
      </c>
      <c r="D2985" s="907" t="s">
        <v>1281</v>
      </c>
      <c r="E2985" s="839" t="s">
        <v>358</v>
      </c>
      <c r="F2985" s="839">
        <v>3989</v>
      </c>
      <c r="G2985" s="916">
        <f>VLOOKUP($A2985,'Tech Litons'!$A:$I,8,FALSE)</f>
        <v>5.28E-3</v>
      </c>
      <c r="H2985" s="917">
        <f>VLOOKUP($A2985,'Tech Litons'!$A:$I,9,FALSE)</f>
        <v>130</v>
      </c>
      <c r="I2985" s="917" t="str">
        <f>VLOOKUP($A2985,'Tech Litons'!$A:$C,3,0)</f>
        <v>PG</v>
      </c>
      <c r="J2985" s="918" t="str">
        <f t="shared" si="300"/>
        <v>GDIPG</v>
      </c>
      <c r="K2985" s="919">
        <v>1</v>
      </c>
      <c r="L2985" s="920">
        <f t="shared" si="305"/>
        <v>2600</v>
      </c>
      <c r="M2985" s="920">
        <f t="shared" si="301"/>
        <v>13.728</v>
      </c>
      <c r="N2985" s="920">
        <f t="shared" si="302"/>
        <v>20</v>
      </c>
      <c r="O2985" s="918" t="str">
        <f t="shared" si="303"/>
        <v>Feb</v>
      </c>
      <c r="P2985" s="921">
        <f t="shared" si="304"/>
        <v>6</v>
      </c>
    </row>
    <row r="2986" spans="1:16" ht="15" hidden="1" customHeight="1">
      <c r="A2986" s="839">
        <v>64833353</v>
      </c>
      <c r="B2986" s="839" t="s">
        <v>133</v>
      </c>
      <c r="C2986" s="906">
        <v>2600</v>
      </c>
      <c r="D2986" s="907" t="s">
        <v>1281</v>
      </c>
      <c r="E2986" s="839" t="s">
        <v>358</v>
      </c>
      <c r="F2986" s="839">
        <v>3989</v>
      </c>
      <c r="G2986" s="916">
        <f>VLOOKUP($A2986,'Tech Litons'!$A:$I,8,FALSE)</f>
        <v>5.28E-3</v>
      </c>
      <c r="H2986" s="917">
        <f>VLOOKUP($A2986,'Tech Litons'!$A:$I,9,FALSE)</f>
        <v>130</v>
      </c>
      <c r="I2986" s="917" t="str">
        <f>VLOOKUP($A2986,'Tech Litons'!$A:$C,3,0)</f>
        <v>PG</v>
      </c>
      <c r="J2986" s="918" t="str">
        <f t="shared" si="300"/>
        <v>GDIPG</v>
      </c>
      <c r="K2986" s="919">
        <v>1</v>
      </c>
      <c r="L2986" s="920">
        <f t="shared" si="305"/>
        <v>2600</v>
      </c>
      <c r="M2986" s="920">
        <f t="shared" si="301"/>
        <v>13.728</v>
      </c>
      <c r="N2986" s="920">
        <f t="shared" si="302"/>
        <v>20</v>
      </c>
      <c r="O2986" s="918" t="str">
        <f t="shared" si="303"/>
        <v>Feb</v>
      </c>
      <c r="P2986" s="921">
        <f t="shared" si="304"/>
        <v>6</v>
      </c>
    </row>
    <row r="2987" spans="1:16" ht="15" hidden="1" customHeight="1">
      <c r="A2987" s="839">
        <v>64833353</v>
      </c>
      <c r="B2987" s="839" t="s">
        <v>133</v>
      </c>
      <c r="C2987" s="906">
        <v>2600</v>
      </c>
      <c r="D2987" s="907" t="s">
        <v>1281</v>
      </c>
      <c r="E2987" s="839" t="s">
        <v>358</v>
      </c>
      <c r="F2987" s="839">
        <v>3989</v>
      </c>
      <c r="G2987" s="916">
        <f>VLOOKUP($A2987,'Tech Litons'!$A:$I,8,FALSE)</f>
        <v>5.28E-3</v>
      </c>
      <c r="H2987" s="917">
        <f>VLOOKUP($A2987,'Tech Litons'!$A:$I,9,FALSE)</f>
        <v>130</v>
      </c>
      <c r="I2987" s="917" t="str">
        <f>VLOOKUP($A2987,'Tech Litons'!$A:$C,3,0)</f>
        <v>PG</v>
      </c>
      <c r="J2987" s="918" t="str">
        <f t="shared" si="300"/>
        <v>GDIPG</v>
      </c>
      <c r="K2987" s="919">
        <v>1</v>
      </c>
      <c r="L2987" s="920">
        <f t="shared" si="305"/>
        <v>2600</v>
      </c>
      <c r="M2987" s="920">
        <f t="shared" si="301"/>
        <v>13.728</v>
      </c>
      <c r="N2987" s="920">
        <f t="shared" si="302"/>
        <v>20</v>
      </c>
      <c r="O2987" s="918" t="str">
        <f t="shared" si="303"/>
        <v>Feb</v>
      </c>
      <c r="P2987" s="921">
        <f t="shared" si="304"/>
        <v>6</v>
      </c>
    </row>
    <row r="2988" spans="1:16" ht="15" hidden="1" customHeight="1">
      <c r="A2988" s="839">
        <v>64833353</v>
      </c>
      <c r="B2988" s="839" t="s">
        <v>133</v>
      </c>
      <c r="C2988" s="906">
        <v>2600</v>
      </c>
      <c r="D2988" s="907" t="s">
        <v>1282</v>
      </c>
      <c r="E2988" s="839" t="s">
        <v>358</v>
      </c>
      <c r="F2988" s="839">
        <v>1419</v>
      </c>
      <c r="G2988" s="916">
        <f>VLOOKUP($A2988,'Tech Litons'!$A:$I,8,FALSE)</f>
        <v>5.28E-3</v>
      </c>
      <c r="H2988" s="917">
        <f>VLOOKUP($A2988,'Tech Litons'!$A:$I,9,FALSE)</f>
        <v>130</v>
      </c>
      <c r="I2988" s="917" t="str">
        <f>VLOOKUP($A2988,'Tech Litons'!$A:$C,3,0)</f>
        <v>PG</v>
      </c>
      <c r="J2988" s="918" t="str">
        <f t="shared" si="300"/>
        <v>GDIPG</v>
      </c>
      <c r="K2988" s="919">
        <v>1</v>
      </c>
      <c r="L2988" s="920">
        <f t="shared" si="305"/>
        <v>2600</v>
      </c>
      <c r="M2988" s="920">
        <f t="shared" si="301"/>
        <v>13.728</v>
      </c>
      <c r="N2988" s="920">
        <f t="shared" si="302"/>
        <v>20</v>
      </c>
      <c r="O2988" s="918" t="str">
        <f t="shared" si="303"/>
        <v>Feb</v>
      </c>
      <c r="P2988" s="921">
        <f t="shared" si="304"/>
        <v>7</v>
      </c>
    </row>
    <row r="2989" spans="1:16" ht="15" hidden="1" customHeight="1">
      <c r="A2989" s="839">
        <v>62714126</v>
      </c>
      <c r="B2989" s="839" t="s">
        <v>133</v>
      </c>
      <c r="C2989" s="906">
        <v>2600</v>
      </c>
      <c r="D2989" s="907" t="s">
        <v>1282</v>
      </c>
      <c r="E2989" s="839" t="s">
        <v>402</v>
      </c>
      <c r="F2989" s="839">
        <v>1419</v>
      </c>
      <c r="G2989" s="916">
        <f>VLOOKUP($A2989,'Tech Litons'!$A:$I,8,FALSE)</f>
        <v>5.2680000000000001E-3</v>
      </c>
      <c r="H2989" s="917">
        <f>VLOOKUP($A2989,'Tech Litons'!$A:$I,9,FALSE)</f>
        <v>130</v>
      </c>
      <c r="I2989" s="917" t="str">
        <f>VLOOKUP($A2989,'Tech Litons'!$A:$C,3,0)</f>
        <v>PG</v>
      </c>
      <c r="J2989" s="918" t="str">
        <f t="shared" si="300"/>
        <v>GDIPG</v>
      </c>
      <c r="K2989" s="919">
        <v>1</v>
      </c>
      <c r="L2989" s="920">
        <f t="shared" si="305"/>
        <v>2600</v>
      </c>
      <c r="M2989" s="920">
        <f t="shared" si="301"/>
        <v>13.6968</v>
      </c>
      <c r="N2989" s="920">
        <f t="shared" si="302"/>
        <v>20</v>
      </c>
      <c r="O2989" s="918" t="str">
        <f t="shared" si="303"/>
        <v>Feb</v>
      </c>
      <c r="P2989" s="921">
        <f t="shared" si="304"/>
        <v>7</v>
      </c>
    </row>
    <row r="2990" spans="1:16" ht="15" hidden="1" customHeight="1">
      <c r="A2990" s="839">
        <v>62714126</v>
      </c>
      <c r="B2990" s="839" t="s">
        <v>133</v>
      </c>
      <c r="C2990" s="906">
        <v>2600</v>
      </c>
      <c r="D2990" s="907" t="s">
        <v>1282</v>
      </c>
      <c r="E2990" s="839" t="s">
        <v>402</v>
      </c>
      <c r="F2990" s="839">
        <v>1419</v>
      </c>
      <c r="G2990" s="916">
        <f>VLOOKUP($A2990,'Tech Litons'!$A:$I,8,FALSE)</f>
        <v>5.2680000000000001E-3</v>
      </c>
      <c r="H2990" s="917">
        <f>VLOOKUP($A2990,'Tech Litons'!$A:$I,9,FALSE)</f>
        <v>130</v>
      </c>
      <c r="I2990" s="917" t="str">
        <f>VLOOKUP($A2990,'Tech Litons'!$A:$C,3,0)</f>
        <v>PG</v>
      </c>
      <c r="J2990" s="918" t="str">
        <f t="shared" si="300"/>
        <v>GDIPG</v>
      </c>
      <c r="K2990" s="919">
        <v>1</v>
      </c>
      <c r="L2990" s="920">
        <f t="shared" si="305"/>
        <v>2600</v>
      </c>
      <c r="M2990" s="920">
        <f t="shared" si="301"/>
        <v>13.6968</v>
      </c>
      <c r="N2990" s="920">
        <f t="shared" si="302"/>
        <v>20</v>
      </c>
      <c r="O2990" s="918" t="str">
        <f t="shared" si="303"/>
        <v>Feb</v>
      </c>
      <c r="P2990" s="921">
        <f t="shared" si="304"/>
        <v>7</v>
      </c>
    </row>
    <row r="2991" spans="1:16" ht="15" hidden="1" customHeight="1">
      <c r="A2991" s="839">
        <v>62714126</v>
      </c>
      <c r="B2991" s="839" t="s">
        <v>133</v>
      </c>
      <c r="C2991" s="906">
        <v>2600</v>
      </c>
      <c r="D2991" s="907" t="s">
        <v>1282</v>
      </c>
      <c r="E2991" s="839" t="s">
        <v>402</v>
      </c>
      <c r="F2991" s="839">
        <v>1419</v>
      </c>
      <c r="G2991" s="916">
        <f>VLOOKUP($A2991,'Tech Litons'!$A:$I,8,FALSE)</f>
        <v>5.2680000000000001E-3</v>
      </c>
      <c r="H2991" s="917">
        <f>VLOOKUP($A2991,'Tech Litons'!$A:$I,9,FALSE)</f>
        <v>130</v>
      </c>
      <c r="I2991" s="917" t="str">
        <f>VLOOKUP($A2991,'Tech Litons'!$A:$C,3,0)</f>
        <v>PG</v>
      </c>
      <c r="J2991" s="918" t="str">
        <f t="shared" si="300"/>
        <v>GDIPG</v>
      </c>
      <c r="K2991" s="919">
        <v>1</v>
      </c>
      <c r="L2991" s="920">
        <f t="shared" si="305"/>
        <v>2600</v>
      </c>
      <c r="M2991" s="920">
        <f t="shared" si="301"/>
        <v>13.6968</v>
      </c>
      <c r="N2991" s="920">
        <f t="shared" si="302"/>
        <v>20</v>
      </c>
      <c r="O2991" s="918" t="str">
        <f t="shared" si="303"/>
        <v>Feb</v>
      </c>
      <c r="P2991" s="921">
        <f t="shared" si="304"/>
        <v>7</v>
      </c>
    </row>
    <row r="2992" spans="1:16" ht="15" hidden="1" customHeight="1">
      <c r="A2992" s="839">
        <v>62714126</v>
      </c>
      <c r="B2992" s="839" t="s">
        <v>133</v>
      </c>
      <c r="C2992" s="906">
        <v>2600</v>
      </c>
      <c r="D2992" s="907" t="s">
        <v>1282</v>
      </c>
      <c r="E2992" s="839" t="s">
        <v>402</v>
      </c>
      <c r="F2992" s="839">
        <v>1419</v>
      </c>
      <c r="G2992" s="916">
        <f>VLOOKUP($A2992,'Tech Litons'!$A:$I,8,FALSE)</f>
        <v>5.2680000000000001E-3</v>
      </c>
      <c r="H2992" s="917">
        <f>VLOOKUP($A2992,'Tech Litons'!$A:$I,9,FALSE)</f>
        <v>130</v>
      </c>
      <c r="I2992" s="917" t="str">
        <f>VLOOKUP($A2992,'Tech Litons'!$A:$C,3,0)</f>
        <v>PG</v>
      </c>
      <c r="J2992" s="918" t="str">
        <f t="shared" si="300"/>
        <v>GDIPG</v>
      </c>
      <c r="K2992" s="919">
        <v>1</v>
      </c>
      <c r="L2992" s="920">
        <f t="shared" si="305"/>
        <v>2600</v>
      </c>
      <c r="M2992" s="920">
        <f t="shared" si="301"/>
        <v>13.6968</v>
      </c>
      <c r="N2992" s="920">
        <f t="shared" si="302"/>
        <v>20</v>
      </c>
      <c r="O2992" s="918" t="str">
        <f t="shared" si="303"/>
        <v>Feb</v>
      </c>
      <c r="P2992" s="921">
        <f t="shared" si="304"/>
        <v>7</v>
      </c>
    </row>
    <row r="2993" spans="1:16" ht="15" hidden="1" customHeight="1">
      <c r="A2993" s="839">
        <v>62714126</v>
      </c>
      <c r="B2993" s="839" t="s">
        <v>133</v>
      </c>
      <c r="C2993" s="906">
        <v>2600</v>
      </c>
      <c r="D2993" s="907" t="s">
        <v>1282</v>
      </c>
      <c r="E2993" s="839" t="s">
        <v>402</v>
      </c>
      <c r="F2993" s="839">
        <v>1419</v>
      </c>
      <c r="G2993" s="916">
        <f>VLOOKUP($A2993,'Tech Litons'!$A:$I,8,FALSE)</f>
        <v>5.2680000000000001E-3</v>
      </c>
      <c r="H2993" s="917">
        <f>VLOOKUP($A2993,'Tech Litons'!$A:$I,9,FALSE)</f>
        <v>130</v>
      </c>
      <c r="I2993" s="917" t="str">
        <f>VLOOKUP($A2993,'Tech Litons'!$A:$C,3,0)</f>
        <v>PG</v>
      </c>
      <c r="J2993" s="918" t="str">
        <f t="shared" si="300"/>
        <v>GDIPG</v>
      </c>
      <c r="K2993" s="919">
        <v>1</v>
      </c>
      <c r="L2993" s="920">
        <f t="shared" si="305"/>
        <v>2600</v>
      </c>
      <c r="M2993" s="920">
        <f t="shared" si="301"/>
        <v>13.6968</v>
      </c>
      <c r="N2993" s="920">
        <f t="shared" si="302"/>
        <v>20</v>
      </c>
      <c r="O2993" s="918" t="str">
        <f t="shared" si="303"/>
        <v>Feb</v>
      </c>
      <c r="P2993" s="921">
        <f t="shared" si="304"/>
        <v>7</v>
      </c>
    </row>
    <row r="2994" spans="1:16" ht="15" hidden="1" customHeight="1">
      <c r="A2994" s="839">
        <v>64833353</v>
      </c>
      <c r="B2994" s="839" t="s">
        <v>133</v>
      </c>
      <c r="C2994" s="906">
        <v>2600</v>
      </c>
      <c r="D2994" s="907" t="s">
        <v>1282</v>
      </c>
      <c r="E2994" s="839" t="s">
        <v>358</v>
      </c>
      <c r="F2994" s="839">
        <v>1419</v>
      </c>
      <c r="G2994" s="916">
        <f>VLOOKUP($A2994,'Tech Litons'!$A:$I,8,FALSE)</f>
        <v>5.28E-3</v>
      </c>
      <c r="H2994" s="917">
        <f>VLOOKUP($A2994,'Tech Litons'!$A:$I,9,FALSE)</f>
        <v>130</v>
      </c>
      <c r="I2994" s="917" t="str">
        <f>VLOOKUP($A2994,'Tech Litons'!$A:$C,3,0)</f>
        <v>PG</v>
      </c>
      <c r="J2994" s="918" t="str">
        <f t="shared" si="300"/>
        <v>GDIPG</v>
      </c>
      <c r="K2994" s="919">
        <v>1</v>
      </c>
      <c r="L2994" s="920">
        <f t="shared" si="305"/>
        <v>2600</v>
      </c>
      <c r="M2994" s="920">
        <f t="shared" si="301"/>
        <v>13.728</v>
      </c>
      <c r="N2994" s="920">
        <f t="shared" si="302"/>
        <v>20</v>
      </c>
      <c r="O2994" s="918" t="str">
        <f t="shared" si="303"/>
        <v>Feb</v>
      </c>
      <c r="P2994" s="921">
        <f t="shared" si="304"/>
        <v>7</v>
      </c>
    </row>
    <row r="2995" spans="1:16" ht="15" hidden="1" customHeight="1">
      <c r="A2995" s="839">
        <v>64833353</v>
      </c>
      <c r="B2995" s="839" t="s">
        <v>133</v>
      </c>
      <c r="C2995" s="906">
        <v>2600</v>
      </c>
      <c r="D2995" s="907" t="s">
        <v>1282</v>
      </c>
      <c r="E2995" s="839" t="s">
        <v>358</v>
      </c>
      <c r="F2995" s="839">
        <v>1419</v>
      </c>
      <c r="G2995" s="916">
        <f>VLOOKUP($A2995,'Tech Litons'!$A:$I,8,FALSE)</f>
        <v>5.28E-3</v>
      </c>
      <c r="H2995" s="917">
        <f>VLOOKUP($A2995,'Tech Litons'!$A:$I,9,FALSE)</f>
        <v>130</v>
      </c>
      <c r="I2995" s="917" t="str">
        <f>VLOOKUP($A2995,'Tech Litons'!$A:$C,3,0)</f>
        <v>PG</v>
      </c>
      <c r="J2995" s="918" t="str">
        <f t="shared" si="300"/>
        <v>GDIPG</v>
      </c>
      <c r="K2995" s="919">
        <v>1</v>
      </c>
      <c r="L2995" s="920">
        <f t="shared" si="305"/>
        <v>2600</v>
      </c>
      <c r="M2995" s="920">
        <f t="shared" si="301"/>
        <v>13.728</v>
      </c>
      <c r="N2995" s="920">
        <f t="shared" si="302"/>
        <v>20</v>
      </c>
      <c r="O2995" s="918" t="str">
        <f t="shared" si="303"/>
        <v>Feb</v>
      </c>
      <c r="P2995" s="921">
        <f t="shared" si="304"/>
        <v>7</v>
      </c>
    </row>
    <row r="2996" spans="1:16" ht="15" hidden="1" customHeight="1">
      <c r="A2996" s="839">
        <v>64833353</v>
      </c>
      <c r="B2996" s="839" t="s">
        <v>133</v>
      </c>
      <c r="C2996" s="906">
        <v>2600</v>
      </c>
      <c r="D2996" s="907" t="s">
        <v>1282</v>
      </c>
      <c r="E2996" s="839" t="s">
        <v>358</v>
      </c>
      <c r="F2996" s="839">
        <v>1419</v>
      </c>
      <c r="G2996" s="916">
        <f>VLOOKUP($A2996,'Tech Litons'!$A:$I,8,FALSE)</f>
        <v>5.28E-3</v>
      </c>
      <c r="H2996" s="917">
        <f>VLOOKUP($A2996,'Tech Litons'!$A:$I,9,FALSE)</f>
        <v>130</v>
      </c>
      <c r="I2996" s="917" t="str">
        <f>VLOOKUP($A2996,'Tech Litons'!$A:$C,3,0)</f>
        <v>PG</v>
      </c>
      <c r="J2996" s="918" t="str">
        <f t="shared" si="300"/>
        <v>GDIPG</v>
      </c>
      <c r="K2996" s="919">
        <v>1</v>
      </c>
      <c r="L2996" s="920">
        <f t="shared" si="305"/>
        <v>2600</v>
      </c>
      <c r="M2996" s="920">
        <f t="shared" si="301"/>
        <v>13.728</v>
      </c>
      <c r="N2996" s="920">
        <f t="shared" si="302"/>
        <v>20</v>
      </c>
      <c r="O2996" s="918" t="str">
        <f t="shared" si="303"/>
        <v>Feb</v>
      </c>
      <c r="P2996" s="921">
        <f t="shared" si="304"/>
        <v>7</v>
      </c>
    </row>
    <row r="2997" spans="1:16" ht="15" hidden="1" customHeight="1">
      <c r="A2997" s="839">
        <v>64833353</v>
      </c>
      <c r="B2997" s="839" t="s">
        <v>133</v>
      </c>
      <c r="C2997" s="906">
        <v>2600</v>
      </c>
      <c r="D2997" s="907" t="s">
        <v>1282</v>
      </c>
      <c r="E2997" s="839" t="s">
        <v>358</v>
      </c>
      <c r="F2997" s="839">
        <v>1419</v>
      </c>
      <c r="G2997" s="916">
        <f>VLOOKUP($A2997,'Tech Litons'!$A:$I,8,FALSE)</f>
        <v>5.28E-3</v>
      </c>
      <c r="H2997" s="917">
        <f>VLOOKUP($A2997,'Tech Litons'!$A:$I,9,FALSE)</f>
        <v>130</v>
      </c>
      <c r="I2997" s="917" t="str">
        <f>VLOOKUP($A2997,'Tech Litons'!$A:$C,3,0)</f>
        <v>PG</v>
      </c>
      <c r="J2997" s="918" t="str">
        <f t="shared" si="300"/>
        <v>GDIPG</v>
      </c>
      <c r="K2997" s="919">
        <v>1</v>
      </c>
      <c r="L2997" s="920">
        <f t="shared" si="305"/>
        <v>2600</v>
      </c>
      <c r="M2997" s="920">
        <f t="shared" si="301"/>
        <v>13.728</v>
      </c>
      <c r="N2997" s="920">
        <f t="shared" si="302"/>
        <v>20</v>
      </c>
      <c r="O2997" s="918" t="str">
        <f t="shared" si="303"/>
        <v>Feb</v>
      </c>
      <c r="P2997" s="921">
        <f t="shared" si="304"/>
        <v>7</v>
      </c>
    </row>
    <row r="2998" spans="1:16" ht="15" hidden="1" customHeight="1">
      <c r="A2998" s="839">
        <v>64833353</v>
      </c>
      <c r="B2998" s="839" t="s">
        <v>133</v>
      </c>
      <c r="C2998" s="906">
        <v>2600</v>
      </c>
      <c r="D2998" s="907" t="s">
        <v>1282</v>
      </c>
      <c r="E2998" s="839" t="s">
        <v>358</v>
      </c>
      <c r="F2998" s="839">
        <v>1419</v>
      </c>
      <c r="G2998" s="916">
        <f>VLOOKUP($A2998,'Tech Litons'!$A:$I,8,FALSE)</f>
        <v>5.28E-3</v>
      </c>
      <c r="H2998" s="917">
        <f>VLOOKUP($A2998,'Tech Litons'!$A:$I,9,FALSE)</f>
        <v>130</v>
      </c>
      <c r="I2998" s="917" t="str">
        <f>VLOOKUP($A2998,'Tech Litons'!$A:$C,3,0)</f>
        <v>PG</v>
      </c>
      <c r="J2998" s="918" t="str">
        <f t="shared" si="300"/>
        <v>GDIPG</v>
      </c>
      <c r="K2998" s="919">
        <v>1</v>
      </c>
      <c r="L2998" s="920">
        <f t="shared" si="305"/>
        <v>2600</v>
      </c>
      <c r="M2998" s="920">
        <f t="shared" si="301"/>
        <v>13.728</v>
      </c>
      <c r="N2998" s="920">
        <f t="shared" si="302"/>
        <v>20</v>
      </c>
      <c r="O2998" s="918" t="str">
        <f t="shared" si="303"/>
        <v>Feb</v>
      </c>
      <c r="P2998" s="921">
        <f t="shared" si="304"/>
        <v>7</v>
      </c>
    </row>
    <row r="2999" spans="1:16" ht="15" hidden="1" customHeight="1">
      <c r="A2999" s="839">
        <v>64833353</v>
      </c>
      <c r="B2999" s="839" t="s">
        <v>133</v>
      </c>
      <c r="C2999" s="906">
        <v>2600</v>
      </c>
      <c r="D2999" s="907" t="s">
        <v>1282</v>
      </c>
      <c r="E2999" s="839" t="s">
        <v>358</v>
      </c>
      <c r="F2999" s="839">
        <v>1419</v>
      </c>
      <c r="G2999" s="916">
        <f>VLOOKUP($A2999,'Tech Litons'!$A:$I,8,FALSE)</f>
        <v>5.28E-3</v>
      </c>
      <c r="H2999" s="917">
        <f>VLOOKUP($A2999,'Tech Litons'!$A:$I,9,FALSE)</f>
        <v>130</v>
      </c>
      <c r="I2999" s="917" t="str">
        <f>VLOOKUP($A2999,'Tech Litons'!$A:$C,3,0)</f>
        <v>PG</v>
      </c>
      <c r="J2999" s="918" t="str">
        <f t="shared" si="300"/>
        <v>GDIPG</v>
      </c>
      <c r="K2999" s="919">
        <v>1</v>
      </c>
      <c r="L2999" s="920">
        <f t="shared" si="305"/>
        <v>2600</v>
      </c>
      <c r="M2999" s="920">
        <f t="shared" si="301"/>
        <v>13.728</v>
      </c>
      <c r="N2999" s="920">
        <f t="shared" si="302"/>
        <v>20</v>
      </c>
      <c r="O2999" s="918" t="str">
        <f t="shared" si="303"/>
        <v>Feb</v>
      </c>
      <c r="P2999" s="921">
        <f t="shared" si="304"/>
        <v>7</v>
      </c>
    </row>
    <row r="3000" spans="1:16" ht="15" hidden="1" customHeight="1">
      <c r="A3000" s="839">
        <v>64833353</v>
      </c>
      <c r="B3000" s="839" t="s">
        <v>133</v>
      </c>
      <c r="C3000" s="906">
        <v>2600</v>
      </c>
      <c r="D3000" s="907" t="s">
        <v>1275</v>
      </c>
      <c r="E3000" s="839" t="s">
        <v>358</v>
      </c>
      <c r="F3000" s="839">
        <v>1419</v>
      </c>
      <c r="G3000" s="916">
        <f>VLOOKUP($A3000,'Tech Litons'!$A:$I,8,FALSE)</f>
        <v>5.28E-3</v>
      </c>
      <c r="H3000" s="917">
        <f>VLOOKUP($A3000,'Tech Litons'!$A:$I,9,FALSE)</f>
        <v>130</v>
      </c>
      <c r="I3000" s="917" t="str">
        <f>VLOOKUP($A3000,'Tech Litons'!$A:$C,3,0)</f>
        <v>PG</v>
      </c>
      <c r="J3000" s="918" t="str">
        <f t="shared" si="300"/>
        <v>GDIPG</v>
      </c>
      <c r="K3000" s="919">
        <v>1</v>
      </c>
      <c r="L3000" s="920">
        <f t="shared" si="305"/>
        <v>2600</v>
      </c>
      <c r="M3000" s="920">
        <f t="shared" si="301"/>
        <v>13.728</v>
      </c>
      <c r="N3000" s="920">
        <f t="shared" si="302"/>
        <v>20</v>
      </c>
      <c r="O3000" s="918" t="str">
        <f t="shared" si="303"/>
        <v>Feb</v>
      </c>
      <c r="P3000" s="921">
        <f t="shared" si="304"/>
        <v>7</v>
      </c>
    </row>
    <row r="3001" spans="1:16" ht="15" hidden="1" customHeight="1">
      <c r="A3001" s="839">
        <v>64833353</v>
      </c>
      <c r="B3001" s="839" t="s">
        <v>133</v>
      </c>
      <c r="C3001" s="906">
        <v>2600</v>
      </c>
      <c r="D3001" s="907" t="s">
        <v>1275</v>
      </c>
      <c r="E3001" s="839" t="s">
        <v>358</v>
      </c>
      <c r="F3001" s="839">
        <v>1419</v>
      </c>
      <c r="G3001" s="916">
        <f>VLOOKUP($A3001,'Tech Litons'!$A:$I,8,FALSE)</f>
        <v>5.28E-3</v>
      </c>
      <c r="H3001" s="917">
        <f>VLOOKUP($A3001,'Tech Litons'!$A:$I,9,FALSE)</f>
        <v>130</v>
      </c>
      <c r="I3001" s="917" t="str">
        <f>VLOOKUP($A3001,'Tech Litons'!$A:$C,3,0)</f>
        <v>PG</v>
      </c>
      <c r="J3001" s="918" t="str">
        <f t="shared" si="300"/>
        <v>GDIPG</v>
      </c>
      <c r="K3001" s="919">
        <v>1</v>
      </c>
      <c r="L3001" s="920">
        <f t="shared" si="305"/>
        <v>2600</v>
      </c>
      <c r="M3001" s="920">
        <f t="shared" si="301"/>
        <v>13.728</v>
      </c>
      <c r="N3001" s="920">
        <f t="shared" si="302"/>
        <v>20</v>
      </c>
      <c r="O3001" s="918" t="str">
        <f t="shared" si="303"/>
        <v>Feb</v>
      </c>
      <c r="P3001" s="921">
        <f t="shared" si="304"/>
        <v>7</v>
      </c>
    </row>
    <row r="3002" spans="1:16" ht="15" hidden="1" customHeight="1">
      <c r="A3002" s="839">
        <v>64833353</v>
      </c>
      <c r="B3002" s="839" t="s">
        <v>133</v>
      </c>
      <c r="C3002" s="906">
        <v>2600</v>
      </c>
      <c r="D3002" s="907" t="s">
        <v>1275</v>
      </c>
      <c r="E3002" s="839" t="s">
        <v>358</v>
      </c>
      <c r="F3002" s="839">
        <v>1419</v>
      </c>
      <c r="G3002" s="916">
        <f>VLOOKUP($A3002,'Tech Litons'!$A:$I,8,FALSE)</f>
        <v>5.28E-3</v>
      </c>
      <c r="H3002" s="917">
        <f>VLOOKUP($A3002,'Tech Litons'!$A:$I,9,FALSE)</f>
        <v>130</v>
      </c>
      <c r="I3002" s="917" t="str">
        <f>VLOOKUP($A3002,'Tech Litons'!$A:$C,3,0)</f>
        <v>PG</v>
      </c>
      <c r="J3002" s="918" t="str">
        <f t="shared" si="300"/>
        <v>GDIPG</v>
      </c>
      <c r="K3002" s="919">
        <v>1</v>
      </c>
      <c r="L3002" s="920">
        <f t="shared" si="305"/>
        <v>2600</v>
      </c>
      <c r="M3002" s="920">
        <f t="shared" si="301"/>
        <v>13.728</v>
      </c>
      <c r="N3002" s="920">
        <f t="shared" si="302"/>
        <v>20</v>
      </c>
      <c r="O3002" s="918" t="str">
        <f t="shared" si="303"/>
        <v>Feb</v>
      </c>
      <c r="P3002" s="921">
        <f t="shared" si="304"/>
        <v>7</v>
      </c>
    </row>
    <row r="3003" spans="1:16" ht="15" hidden="1" customHeight="1">
      <c r="A3003" s="839">
        <v>62714126</v>
      </c>
      <c r="B3003" s="839" t="s">
        <v>133</v>
      </c>
      <c r="C3003" s="906">
        <v>2600</v>
      </c>
      <c r="D3003" s="907" t="s">
        <v>1283</v>
      </c>
      <c r="E3003" s="839" t="s">
        <v>402</v>
      </c>
      <c r="F3003" s="839">
        <v>3989</v>
      </c>
      <c r="G3003" s="916">
        <f>VLOOKUP($A3003,'Tech Litons'!$A:$I,8,FALSE)</f>
        <v>5.2680000000000001E-3</v>
      </c>
      <c r="H3003" s="917">
        <f>VLOOKUP($A3003,'Tech Litons'!$A:$I,9,FALSE)</f>
        <v>130</v>
      </c>
      <c r="I3003" s="917" t="str">
        <f>VLOOKUP($A3003,'Tech Litons'!$A:$C,3,0)</f>
        <v>PG</v>
      </c>
      <c r="J3003" s="918" t="str">
        <f t="shared" si="300"/>
        <v>GDIPG</v>
      </c>
      <c r="K3003" s="919">
        <v>1</v>
      </c>
      <c r="L3003" s="920">
        <f t="shared" si="305"/>
        <v>2600</v>
      </c>
      <c r="M3003" s="920">
        <f t="shared" si="301"/>
        <v>13.6968</v>
      </c>
      <c r="N3003" s="920">
        <f t="shared" si="302"/>
        <v>20</v>
      </c>
      <c r="O3003" s="918" t="str">
        <f t="shared" si="303"/>
        <v>Feb</v>
      </c>
      <c r="P3003" s="921">
        <f t="shared" si="304"/>
        <v>8</v>
      </c>
    </row>
    <row r="3004" spans="1:16" ht="15" hidden="1" customHeight="1">
      <c r="A3004" s="839">
        <v>62714126</v>
      </c>
      <c r="B3004" s="839" t="s">
        <v>133</v>
      </c>
      <c r="C3004" s="906">
        <v>2600</v>
      </c>
      <c r="D3004" s="907" t="s">
        <v>1283</v>
      </c>
      <c r="E3004" s="839" t="s">
        <v>402</v>
      </c>
      <c r="F3004" s="839">
        <v>3989</v>
      </c>
      <c r="G3004" s="916">
        <f>VLOOKUP($A3004,'Tech Litons'!$A:$I,8,FALSE)</f>
        <v>5.2680000000000001E-3</v>
      </c>
      <c r="H3004" s="917">
        <f>VLOOKUP($A3004,'Tech Litons'!$A:$I,9,FALSE)</f>
        <v>130</v>
      </c>
      <c r="I3004" s="917" t="str">
        <f>VLOOKUP($A3004,'Tech Litons'!$A:$C,3,0)</f>
        <v>PG</v>
      </c>
      <c r="J3004" s="918" t="str">
        <f t="shared" si="300"/>
        <v>GDIPG</v>
      </c>
      <c r="K3004" s="919">
        <v>1</v>
      </c>
      <c r="L3004" s="920">
        <f t="shared" si="305"/>
        <v>2600</v>
      </c>
      <c r="M3004" s="920">
        <f t="shared" si="301"/>
        <v>13.6968</v>
      </c>
      <c r="N3004" s="920">
        <f t="shared" si="302"/>
        <v>20</v>
      </c>
      <c r="O3004" s="918" t="str">
        <f t="shared" si="303"/>
        <v>Feb</v>
      </c>
      <c r="P3004" s="921">
        <f t="shared" si="304"/>
        <v>8</v>
      </c>
    </row>
    <row r="3005" spans="1:16" ht="15" hidden="1" customHeight="1">
      <c r="A3005" s="839">
        <v>62714126</v>
      </c>
      <c r="B3005" s="839" t="s">
        <v>133</v>
      </c>
      <c r="C3005" s="906">
        <v>2600</v>
      </c>
      <c r="D3005" s="907" t="s">
        <v>1283</v>
      </c>
      <c r="E3005" s="839" t="s">
        <v>402</v>
      </c>
      <c r="F3005" s="839">
        <v>3989</v>
      </c>
      <c r="G3005" s="916">
        <f>VLOOKUP($A3005,'Tech Litons'!$A:$I,8,FALSE)</f>
        <v>5.2680000000000001E-3</v>
      </c>
      <c r="H3005" s="917">
        <f>VLOOKUP($A3005,'Tech Litons'!$A:$I,9,FALSE)</f>
        <v>130</v>
      </c>
      <c r="I3005" s="917" t="str">
        <f>VLOOKUP($A3005,'Tech Litons'!$A:$C,3,0)</f>
        <v>PG</v>
      </c>
      <c r="J3005" s="918" t="str">
        <f t="shared" si="300"/>
        <v>GDIPG</v>
      </c>
      <c r="K3005" s="919">
        <v>1</v>
      </c>
      <c r="L3005" s="920">
        <f t="shared" si="305"/>
        <v>2600</v>
      </c>
      <c r="M3005" s="920">
        <f t="shared" si="301"/>
        <v>13.6968</v>
      </c>
      <c r="N3005" s="920">
        <f t="shared" si="302"/>
        <v>20</v>
      </c>
      <c r="O3005" s="918" t="str">
        <f t="shared" si="303"/>
        <v>Feb</v>
      </c>
      <c r="P3005" s="921">
        <f t="shared" si="304"/>
        <v>8</v>
      </c>
    </row>
    <row r="3006" spans="1:16" ht="15" hidden="1" customHeight="1">
      <c r="A3006" s="839">
        <v>62714126</v>
      </c>
      <c r="B3006" s="839" t="s">
        <v>133</v>
      </c>
      <c r="C3006" s="906">
        <v>2600</v>
      </c>
      <c r="D3006" s="907" t="s">
        <v>1283</v>
      </c>
      <c r="E3006" s="839" t="s">
        <v>402</v>
      </c>
      <c r="F3006" s="839">
        <v>3989</v>
      </c>
      <c r="G3006" s="916">
        <f>VLOOKUP($A3006,'Tech Litons'!$A:$I,8,FALSE)</f>
        <v>5.2680000000000001E-3</v>
      </c>
      <c r="H3006" s="917">
        <f>VLOOKUP($A3006,'Tech Litons'!$A:$I,9,FALSE)</f>
        <v>130</v>
      </c>
      <c r="I3006" s="917" t="str">
        <f>VLOOKUP($A3006,'Tech Litons'!$A:$C,3,0)</f>
        <v>PG</v>
      </c>
      <c r="J3006" s="918" t="str">
        <f t="shared" si="300"/>
        <v>GDIPG</v>
      </c>
      <c r="K3006" s="919">
        <v>1</v>
      </c>
      <c r="L3006" s="920">
        <f t="shared" si="305"/>
        <v>2600</v>
      </c>
      <c r="M3006" s="920">
        <f t="shared" si="301"/>
        <v>13.6968</v>
      </c>
      <c r="N3006" s="920">
        <f t="shared" si="302"/>
        <v>20</v>
      </c>
      <c r="O3006" s="918" t="str">
        <f t="shared" si="303"/>
        <v>Feb</v>
      </c>
      <c r="P3006" s="921">
        <f t="shared" si="304"/>
        <v>8</v>
      </c>
    </row>
    <row r="3007" spans="1:16" ht="15" hidden="1" customHeight="1">
      <c r="A3007" s="839">
        <v>62714126</v>
      </c>
      <c r="B3007" s="839" t="s">
        <v>133</v>
      </c>
      <c r="C3007" s="906">
        <v>2600</v>
      </c>
      <c r="D3007" s="907" t="s">
        <v>1283</v>
      </c>
      <c r="E3007" s="839" t="s">
        <v>402</v>
      </c>
      <c r="F3007" s="839">
        <v>3989</v>
      </c>
      <c r="G3007" s="916">
        <f>VLOOKUP($A3007,'Tech Litons'!$A:$I,8,FALSE)</f>
        <v>5.2680000000000001E-3</v>
      </c>
      <c r="H3007" s="917">
        <f>VLOOKUP($A3007,'Tech Litons'!$A:$I,9,FALSE)</f>
        <v>130</v>
      </c>
      <c r="I3007" s="917" t="str">
        <f>VLOOKUP($A3007,'Tech Litons'!$A:$C,3,0)</f>
        <v>PG</v>
      </c>
      <c r="J3007" s="918" t="str">
        <f t="shared" si="300"/>
        <v>GDIPG</v>
      </c>
      <c r="K3007" s="919">
        <v>1</v>
      </c>
      <c r="L3007" s="920">
        <f t="shared" si="305"/>
        <v>2600</v>
      </c>
      <c r="M3007" s="920">
        <f t="shared" si="301"/>
        <v>13.6968</v>
      </c>
      <c r="N3007" s="920">
        <f t="shared" si="302"/>
        <v>20</v>
      </c>
      <c r="O3007" s="918" t="str">
        <f t="shared" si="303"/>
        <v>Feb</v>
      </c>
      <c r="P3007" s="921">
        <f t="shared" si="304"/>
        <v>8</v>
      </c>
    </row>
    <row r="3008" spans="1:16" ht="15" hidden="1" customHeight="1">
      <c r="A3008" s="839">
        <v>64833353</v>
      </c>
      <c r="B3008" s="839" t="s">
        <v>133</v>
      </c>
      <c r="C3008" s="906">
        <v>2600</v>
      </c>
      <c r="D3008" s="907" t="s">
        <v>1283</v>
      </c>
      <c r="E3008" s="839" t="s">
        <v>358</v>
      </c>
      <c r="F3008" s="839">
        <v>3989</v>
      </c>
      <c r="G3008" s="916">
        <f>VLOOKUP($A3008,'Tech Litons'!$A:$I,8,FALSE)</f>
        <v>5.28E-3</v>
      </c>
      <c r="H3008" s="917">
        <f>VLOOKUP($A3008,'Tech Litons'!$A:$I,9,FALSE)</f>
        <v>130</v>
      </c>
      <c r="I3008" s="917" t="str">
        <f>VLOOKUP($A3008,'Tech Litons'!$A:$C,3,0)</f>
        <v>PG</v>
      </c>
      <c r="J3008" s="918" t="str">
        <f t="shared" si="300"/>
        <v>GDIPG</v>
      </c>
      <c r="K3008" s="919">
        <v>1</v>
      </c>
      <c r="L3008" s="920">
        <f t="shared" si="305"/>
        <v>2600</v>
      </c>
      <c r="M3008" s="920">
        <f t="shared" si="301"/>
        <v>13.728</v>
      </c>
      <c r="N3008" s="920">
        <f t="shared" si="302"/>
        <v>20</v>
      </c>
      <c r="O3008" s="918" t="str">
        <f t="shared" si="303"/>
        <v>Feb</v>
      </c>
      <c r="P3008" s="921">
        <f t="shared" si="304"/>
        <v>8</v>
      </c>
    </row>
    <row r="3009" spans="1:16" ht="15" hidden="1" customHeight="1">
      <c r="A3009" s="839">
        <v>64833353</v>
      </c>
      <c r="B3009" s="839" t="s">
        <v>133</v>
      </c>
      <c r="C3009" s="906">
        <v>2600</v>
      </c>
      <c r="D3009" s="907" t="s">
        <v>1283</v>
      </c>
      <c r="E3009" s="839" t="s">
        <v>358</v>
      </c>
      <c r="F3009" s="839">
        <v>1419</v>
      </c>
      <c r="G3009" s="916">
        <f>VLOOKUP($A3009,'Tech Litons'!$A:$I,8,FALSE)</f>
        <v>5.28E-3</v>
      </c>
      <c r="H3009" s="917">
        <f>VLOOKUP($A3009,'Tech Litons'!$A:$I,9,FALSE)</f>
        <v>130</v>
      </c>
      <c r="I3009" s="917" t="str">
        <f>VLOOKUP($A3009,'Tech Litons'!$A:$C,3,0)</f>
        <v>PG</v>
      </c>
      <c r="J3009" s="918" t="str">
        <f t="shared" si="300"/>
        <v>GDIPG</v>
      </c>
      <c r="K3009" s="919">
        <v>1</v>
      </c>
      <c r="L3009" s="920">
        <f t="shared" si="305"/>
        <v>2600</v>
      </c>
      <c r="M3009" s="920">
        <f t="shared" si="301"/>
        <v>13.728</v>
      </c>
      <c r="N3009" s="920">
        <f t="shared" si="302"/>
        <v>20</v>
      </c>
      <c r="O3009" s="918" t="str">
        <f t="shared" si="303"/>
        <v>Feb</v>
      </c>
      <c r="P3009" s="921">
        <f t="shared" si="304"/>
        <v>8</v>
      </c>
    </row>
    <row r="3010" spans="1:16" ht="15" hidden="1" customHeight="1">
      <c r="A3010" s="839">
        <v>64833353</v>
      </c>
      <c r="B3010" s="839" t="s">
        <v>133</v>
      </c>
      <c r="C3010" s="906">
        <v>2600</v>
      </c>
      <c r="D3010" s="907" t="s">
        <v>1283</v>
      </c>
      <c r="E3010" s="839" t="s">
        <v>358</v>
      </c>
      <c r="F3010" s="839">
        <v>1419</v>
      </c>
      <c r="G3010" s="916">
        <f>VLOOKUP($A3010,'Tech Litons'!$A:$I,8,FALSE)</f>
        <v>5.28E-3</v>
      </c>
      <c r="H3010" s="917">
        <f>VLOOKUP($A3010,'Tech Litons'!$A:$I,9,FALSE)</f>
        <v>130</v>
      </c>
      <c r="I3010" s="917" t="str">
        <f>VLOOKUP($A3010,'Tech Litons'!$A:$C,3,0)</f>
        <v>PG</v>
      </c>
      <c r="J3010" s="918" t="str">
        <f t="shared" si="300"/>
        <v>GDIPG</v>
      </c>
      <c r="K3010" s="919">
        <v>1</v>
      </c>
      <c r="L3010" s="920">
        <f t="shared" si="305"/>
        <v>2600</v>
      </c>
      <c r="M3010" s="920">
        <f t="shared" si="301"/>
        <v>13.728</v>
      </c>
      <c r="N3010" s="920">
        <f t="shared" si="302"/>
        <v>20</v>
      </c>
      <c r="O3010" s="918" t="str">
        <f t="shared" si="303"/>
        <v>Feb</v>
      </c>
      <c r="P3010" s="921">
        <f t="shared" si="304"/>
        <v>8</v>
      </c>
    </row>
    <row r="3011" spans="1:16" ht="15" hidden="1" customHeight="1">
      <c r="A3011" s="839">
        <v>64833353</v>
      </c>
      <c r="B3011" s="839" t="s">
        <v>133</v>
      </c>
      <c r="C3011" s="906">
        <v>2600</v>
      </c>
      <c r="D3011" s="907" t="s">
        <v>1283</v>
      </c>
      <c r="E3011" s="839" t="s">
        <v>358</v>
      </c>
      <c r="F3011" s="839">
        <v>1419</v>
      </c>
      <c r="G3011" s="916">
        <f>VLOOKUP($A3011,'Tech Litons'!$A:$I,8,FALSE)</f>
        <v>5.28E-3</v>
      </c>
      <c r="H3011" s="917">
        <f>VLOOKUP($A3011,'Tech Litons'!$A:$I,9,FALSE)</f>
        <v>130</v>
      </c>
      <c r="I3011" s="917" t="str">
        <f>VLOOKUP($A3011,'Tech Litons'!$A:$C,3,0)</f>
        <v>PG</v>
      </c>
      <c r="J3011" s="918" t="str">
        <f t="shared" si="300"/>
        <v>GDIPG</v>
      </c>
      <c r="K3011" s="919">
        <v>1</v>
      </c>
      <c r="L3011" s="920">
        <f t="shared" si="305"/>
        <v>2600</v>
      </c>
      <c r="M3011" s="920">
        <f t="shared" si="301"/>
        <v>13.728</v>
      </c>
      <c r="N3011" s="920">
        <f t="shared" si="302"/>
        <v>20</v>
      </c>
      <c r="O3011" s="918" t="str">
        <f t="shared" si="303"/>
        <v>Feb</v>
      </c>
      <c r="P3011" s="921">
        <f t="shared" si="304"/>
        <v>8</v>
      </c>
    </row>
    <row r="3012" spans="1:16" ht="15" hidden="1" customHeight="1">
      <c r="A3012" s="839">
        <v>64833353</v>
      </c>
      <c r="B3012" s="839" t="s">
        <v>133</v>
      </c>
      <c r="C3012" s="906">
        <v>1820</v>
      </c>
      <c r="D3012" s="907" t="s">
        <v>1284</v>
      </c>
      <c r="E3012" s="839" t="s">
        <v>358</v>
      </c>
      <c r="F3012" s="839">
        <v>1419</v>
      </c>
      <c r="G3012" s="916">
        <f>VLOOKUP($A3012,'Tech Litons'!$A:$I,8,FALSE)</f>
        <v>5.28E-3</v>
      </c>
      <c r="H3012" s="917">
        <f>VLOOKUP($A3012,'Tech Litons'!$A:$I,9,FALSE)</f>
        <v>130</v>
      </c>
      <c r="I3012" s="917" t="str">
        <f>VLOOKUP($A3012,'Tech Litons'!$A:$C,3,0)</f>
        <v>PG</v>
      </c>
      <c r="J3012" s="918" t="str">
        <f t="shared" si="300"/>
        <v>GDIPG</v>
      </c>
      <c r="K3012" s="919">
        <v>1</v>
      </c>
      <c r="L3012" s="920">
        <f t="shared" si="305"/>
        <v>1820</v>
      </c>
      <c r="M3012" s="920">
        <f t="shared" si="301"/>
        <v>9.6096000000000004</v>
      </c>
      <c r="N3012" s="920">
        <f t="shared" si="302"/>
        <v>14</v>
      </c>
      <c r="O3012" s="918" t="str">
        <f t="shared" si="303"/>
        <v>Feb</v>
      </c>
      <c r="P3012" s="921">
        <f t="shared" si="304"/>
        <v>8</v>
      </c>
    </row>
    <row r="3013" spans="1:16" ht="15" hidden="1" customHeight="1">
      <c r="A3013" s="839">
        <v>62714126</v>
      </c>
      <c r="B3013" s="839" t="s">
        <v>133</v>
      </c>
      <c r="C3013" s="906">
        <v>2600</v>
      </c>
      <c r="D3013" s="907" t="s">
        <v>1284</v>
      </c>
      <c r="E3013" s="839" t="s">
        <v>402</v>
      </c>
      <c r="F3013" s="839">
        <v>3989</v>
      </c>
      <c r="G3013" s="916">
        <f>VLOOKUP($A3013,'Tech Litons'!$A:$I,8,FALSE)</f>
        <v>5.2680000000000001E-3</v>
      </c>
      <c r="H3013" s="917">
        <f>VLOOKUP($A3013,'Tech Litons'!$A:$I,9,FALSE)</f>
        <v>130</v>
      </c>
      <c r="I3013" s="917" t="str">
        <f>VLOOKUP($A3013,'Tech Litons'!$A:$C,3,0)</f>
        <v>PG</v>
      </c>
      <c r="J3013" s="918" t="str">
        <f t="shared" si="300"/>
        <v>GDIPG</v>
      </c>
      <c r="K3013" s="919">
        <v>1</v>
      </c>
      <c r="L3013" s="920">
        <f t="shared" si="305"/>
        <v>2600</v>
      </c>
      <c r="M3013" s="920">
        <f t="shared" si="301"/>
        <v>13.6968</v>
      </c>
      <c r="N3013" s="920">
        <f t="shared" si="302"/>
        <v>20</v>
      </c>
      <c r="O3013" s="918" t="str">
        <f t="shared" si="303"/>
        <v>Feb</v>
      </c>
      <c r="P3013" s="921">
        <f t="shared" si="304"/>
        <v>8</v>
      </c>
    </row>
    <row r="3014" spans="1:16" ht="15" hidden="1" customHeight="1">
      <c r="A3014" s="839">
        <v>62714126</v>
      </c>
      <c r="B3014" s="839" t="s">
        <v>133</v>
      </c>
      <c r="C3014" s="906">
        <v>2600</v>
      </c>
      <c r="D3014" s="907" t="s">
        <v>1284</v>
      </c>
      <c r="E3014" s="839" t="s">
        <v>402</v>
      </c>
      <c r="F3014" s="839">
        <v>3989</v>
      </c>
      <c r="G3014" s="916">
        <f>VLOOKUP($A3014,'Tech Litons'!$A:$I,8,FALSE)</f>
        <v>5.2680000000000001E-3</v>
      </c>
      <c r="H3014" s="917">
        <f>VLOOKUP($A3014,'Tech Litons'!$A:$I,9,FALSE)</f>
        <v>130</v>
      </c>
      <c r="I3014" s="917" t="str">
        <f>VLOOKUP($A3014,'Tech Litons'!$A:$C,3,0)</f>
        <v>PG</v>
      </c>
      <c r="J3014" s="918" t="str">
        <f t="shared" si="300"/>
        <v>GDIPG</v>
      </c>
      <c r="K3014" s="919">
        <v>1</v>
      </c>
      <c r="L3014" s="920">
        <f t="shared" si="305"/>
        <v>2600</v>
      </c>
      <c r="M3014" s="920">
        <f t="shared" si="301"/>
        <v>13.6968</v>
      </c>
      <c r="N3014" s="920">
        <f t="shared" si="302"/>
        <v>20</v>
      </c>
      <c r="O3014" s="918" t="str">
        <f t="shared" si="303"/>
        <v>Feb</v>
      </c>
      <c r="P3014" s="921">
        <f t="shared" si="304"/>
        <v>8</v>
      </c>
    </row>
    <row r="3015" spans="1:16" ht="15" hidden="1" customHeight="1">
      <c r="A3015" s="839">
        <v>64833353</v>
      </c>
      <c r="B3015" s="839" t="s">
        <v>133</v>
      </c>
      <c r="C3015" s="906">
        <v>2600</v>
      </c>
      <c r="D3015" s="907" t="s">
        <v>1284</v>
      </c>
      <c r="E3015" s="839" t="s">
        <v>358</v>
      </c>
      <c r="F3015" s="839">
        <v>3989</v>
      </c>
      <c r="G3015" s="916">
        <f>VLOOKUP($A3015,'Tech Litons'!$A:$I,8,FALSE)</f>
        <v>5.28E-3</v>
      </c>
      <c r="H3015" s="917">
        <f>VLOOKUP($A3015,'Tech Litons'!$A:$I,9,FALSE)</f>
        <v>130</v>
      </c>
      <c r="I3015" s="917" t="str">
        <f>VLOOKUP($A3015,'Tech Litons'!$A:$C,3,0)</f>
        <v>PG</v>
      </c>
      <c r="J3015" s="918" t="str">
        <f t="shared" si="300"/>
        <v>GDIPG</v>
      </c>
      <c r="K3015" s="919">
        <v>1</v>
      </c>
      <c r="L3015" s="920">
        <f t="shared" si="305"/>
        <v>2600</v>
      </c>
      <c r="M3015" s="920">
        <f t="shared" si="301"/>
        <v>13.728</v>
      </c>
      <c r="N3015" s="920">
        <f t="shared" si="302"/>
        <v>20</v>
      </c>
      <c r="O3015" s="918" t="str">
        <f t="shared" si="303"/>
        <v>Feb</v>
      </c>
      <c r="P3015" s="921">
        <f t="shared" si="304"/>
        <v>8</v>
      </c>
    </row>
    <row r="3016" spans="1:16" ht="15" hidden="1" customHeight="1">
      <c r="A3016" s="839">
        <v>64833353</v>
      </c>
      <c r="B3016" s="839" t="s">
        <v>133</v>
      </c>
      <c r="C3016" s="906">
        <v>2600</v>
      </c>
      <c r="D3016" s="907" t="s">
        <v>1284</v>
      </c>
      <c r="E3016" s="839" t="s">
        <v>358</v>
      </c>
      <c r="F3016" s="839">
        <v>3989</v>
      </c>
      <c r="G3016" s="916">
        <f>VLOOKUP($A3016,'Tech Litons'!$A:$I,8,FALSE)</f>
        <v>5.28E-3</v>
      </c>
      <c r="H3016" s="917">
        <f>VLOOKUP($A3016,'Tech Litons'!$A:$I,9,FALSE)</f>
        <v>130</v>
      </c>
      <c r="I3016" s="917" t="str">
        <f>VLOOKUP($A3016,'Tech Litons'!$A:$C,3,0)</f>
        <v>PG</v>
      </c>
      <c r="J3016" s="918" t="str">
        <f t="shared" si="300"/>
        <v>GDIPG</v>
      </c>
      <c r="K3016" s="919">
        <v>1</v>
      </c>
      <c r="L3016" s="920">
        <f t="shared" si="305"/>
        <v>2600</v>
      </c>
      <c r="M3016" s="920">
        <f t="shared" si="301"/>
        <v>13.728</v>
      </c>
      <c r="N3016" s="920">
        <f t="shared" si="302"/>
        <v>20</v>
      </c>
      <c r="O3016" s="918" t="str">
        <f t="shared" si="303"/>
        <v>Feb</v>
      </c>
      <c r="P3016" s="921">
        <f t="shared" si="304"/>
        <v>8</v>
      </c>
    </row>
    <row r="3017" spans="1:16" ht="15" hidden="1" customHeight="1">
      <c r="A3017" s="839">
        <v>64833353</v>
      </c>
      <c r="B3017" s="839" t="s">
        <v>133</v>
      </c>
      <c r="C3017" s="906">
        <v>2600</v>
      </c>
      <c r="D3017" s="907" t="s">
        <v>1284</v>
      </c>
      <c r="E3017" s="839" t="s">
        <v>358</v>
      </c>
      <c r="F3017" s="839">
        <v>1419</v>
      </c>
      <c r="G3017" s="916">
        <f>VLOOKUP($A3017,'Tech Litons'!$A:$I,8,FALSE)</f>
        <v>5.28E-3</v>
      </c>
      <c r="H3017" s="917">
        <f>VLOOKUP($A3017,'Tech Litons'!$A:$I,9,FALSE)</f>
        <v>130</v>
      </c>
      <c r="I3017" s="917" t="str">
        <f>VLOOKUP($A3017,'Tech Litons'!$A:$C,3,0)</f>
        <v>PG</v>
      </c>
      <c r="J3017" s="918" t="str">
        <f t="shared" si="300"/>
        <v>GDIPG</v>
      </c>
      <c r="K3017" s="919">
        <v>1</v>
      </c>
      <c r="L3017" s="920">
        <f t="shared" si="305"/>
        <v>2600</v>
      </c>
      <c r="M3017" s="920">
        <f t="shared" si="301"/>
        <v>13.728</v>
      </c>
      <c r="N3017" s="920">
        <f t="shared" si="302"/>
        <v>20</v>
      </c>
      <c r="O3017" s="918" t="str">
        <f t="shared" si="303"/>
        <v>Feb</v>
      </c>
      <c r="P3017" s="921">
        <f t="shared" si="304"/>
        <v>8</v>
      </c>
    </row>
    <row r="3018" spans="1:16" ht="15" hidden="1" customHeight="1">
      <c r="A3018" s="839">
        <v>64833353</v>
      </c>
      <c r="B3018" s="839" t="s">
        <v>133</v>
      </c>
      <c r="C3018" s="906">
        <v>2600</v>
      </c>
      <c r="D3018" s="907" t="s">
        <v>1284</v>
      </c>
      <c r="E3018" s="839" t="s">
        <v>358</v>
      </c>
      <c r="F3018" s="839">
        <v>1419</v>
      </c>
      <c r="G3018" s="916">
        <f>VLOOKUP($A3018,'Tech Litons'!$A:$I,8,FALSE)</f>
        <v>5.28E-3</v>
      </c>
      <c r="H3018" s="917">
        <f>VLOOKUP($A3018,'Tech Litons'!$A:$I,9,FALSE)</f>
        <v>130</v>
      </c>
      <c r="I3018" s="917" t="str">
        <f>VLOOKUP($A3018,'Tech Litons'!$A:$C,3,0)</f>
        <v>PG</v>
      </c>
      <c r="J3018" s="918" t="str">
        <f t="shared" si="300"/>
        <v>GDIPG</v>
      </c>
      <c r="K3018" s="919">
        <v>1</v>
      </c>
      <c r="L3018" s="920">
        <f t="shared" si="305"/>
        <v>2600</v>
      </c>
      <c r="M3018" s="920">
        <f t="shared" si="301"/>
        <v>13.728</v>
      </c>
      <c r="N3018" s="920">
        <f t="shared" si="302"/>
        <v>20</v>
      </c>
      <c r="O3018" s="918" t="str">
        <f t="shared" si="303"/>
        <v>Feb</v>
      </c>
      <c r="P3018" s="921">
        <f t="shared" si="304"/>
        <v>8</v>
      </c>
    </row>
    <row r="3019" spans="1:16" ht="15" hidden="1" customHeight="1">
      <c r="A3019" s="839">
        <v>64833353</v>
      </c>
      <c r="B3019" s="839" t="s">
        <v>133</v>
      </c>
      <c r="C3019" s="906">
        <v>2600</v>
      </c>
      <c r="D3019" s="907" t="s">
        <v>1284</v>
      </c>
      <c r="E3019" s="839" t="s">
        <v>358</v>
      </c>
      <c r="F3019" s="839">
        <v>1419</v>
      </c>
      <c r="G3019" s="916">
        <f>VLOOKUP($A3019,'Tech Litons'!$A:$I,8,FALSE)</f>
        <v>5.28E-3</v>
      </c>
      <c r="H3019" s="917">
        <f>VLOOKUP($A3019,'Tech Litons'!$A:$I,9,FALSE)</f>
        <v>130</v>
      </c>
      <c r="I3019" s="917" t="str">
        <f>VLOOKUP($A3019,'Tech Litons'!$A:$C,3,0)</f>
        <v>PG</v>
      </c>
      <c r="J3019" s="918" t="str">
        <f t="shared" si="300"/>
        <v>GDIPG</v>
      </c>
      <c r="K3019" s="919">
        <v>1</v>
      </c>
      <c r="L3019" s="920">
        <f t="shared" si="305"/>
        <v>2600</v>
      </c>
      <c r="M3019" s="920">
        <f t="shared" si="301"/>
        <v>13.728</v>
      </c>
      <c r="N3019" s="920">
        <f t="shared" si="302"/>
        <v>20</v>
      </c>
      <c r="O3019" s="918" t="str">
        <f t="shared" si="303"/>
        <v>Feb</v>
      </c>
      <c r="P3019" s="921">
        <f t="shared" si="304"/>
        <v>8</v>
      </c>
    </row>
    <row r="3020" spans="1:16" ht="15" hidden="1" customHeight="1">
      <c r="A3020" s="839">
        <v>64833353</v>
      </c>
      <c r="B3020" s="839" t="s">
        <v>133</v>
      </c>
      <c r="C3020" s="906">
        <v>2600</v>
      </c>
      <c r="D3020" s="907" t="s">
        <v>1276</v>
      </c>
      <c r="E3020" s="839" t="s">
        <v>358</v>
      </c>
      <c r="F3020" s="839">
        <v>1419</v>
      </c>
      <c r="G3020" s="916">
        <f>VLOOKUP($A3020,'Tech Litons'!$A:$I,8,FALSE)</f>
        <v>5.28E-3</v>
      </c>
      <c r="H3020" s="917">
        <f>VLOOKUP($A3020,'Tech Litons'!$A:$I,9,FALSE)</f>
        <v>130</v>
      </c>
      <c r="I3020" s="917" t="str">
        <f>VLOOKUP($A3020,'Tech Litons'!$A:$C,3,0)</f>
        <v>PG</v>
      </c>
      <c r="J3020" s="918" t="str">
        <f t="shared" si="300"/>
        <v>GDIPG</v>
      </c>
      <c r="K3020" s="919">
        <v>1</v>
      </c>
      <c r="L3020" s="920">
        <f t="shared" si="305"/>
        <v>2600</v>
      </c>
      <c r="M3020" s="920">
        <f t="shared" si="301"/>
        <v>13.728</v>
      </c>
      <c r="N3020" s="920">
        <f t="shared" si="302"/>
        <v>20</v>
      </c>
      <c r="O3020" s="918" t="str">
        <f t="shared" si="303"/>
        <v>Feb</v>
      </c>
      <c r="P3020" s="921">
        <f t="shared" si="304"/>
        <v>8</v>
      </c>
    </row>
    <row r="3021" spans="1:16" ht="15" hidden="1" customHeight="1">
      <c r="A3021" s="839">
        <v>64833353</v>
      </c>
      <c r="B3021" s="839" t="s">
        <v>133</v>
      </c>
      <c r="C3021" s="906">
        <v>2600</v>
      </c>
      <c r="D3021" s="907" t="s">
        <v>1276</v>
      </c>
      <c r="E3021" s="839" t="s">
        <v>358</v>
      </c>
      <c r="F3021" s="839">
        <v>1419</v>
      </c>
      <c r="G3021" s="916">
        <f>VLOOKUP($A3021,'Tech Litons'!$A:$I,8,FALSE)</f>
        <v>5.28E-3</v>
      </c>
      <c r="H3021" s="917">
        <f>VLOOKUP($A3021,'Tech Litons'!$A:$I,9,FALSE)</f>
        <v>130</v>
      </c>
      <c r="I3021" s="917" t="str">
        <f>VLOOKUP($A3021,'Tech Litons'!$A:$C,3,0)</f>
        <v>PG</v>
      </c>
      <c r="J3021" s="918" t="str">
        <f t="shared" si="300"/>
        <v>GDIPG</v>
      </c>
      <c r="K3021" s="919">
        <v>1</v>
      </c>
      <c r="L3021" s="920">
        <f t="shared" si="305"/>
        <v>2600</v>
      </c>
      <c r="M3021" s="920">
        <f t="shared" si="301"/>
        <v>13.728</v>
      </c>
      <c r="N3021" s="920">
        <f t="shared" si="302"/>
        <v>20</v>
      </c>
      <c r="O3021" s="918" t="str">
        <f t="shared" si="303"/>
        <v>Feb</v>
      </c>
      <c r="P3021" s="921">
        <f t="shared" si="304"/>
        <v>8</v>
      </c>
    </row>
    <row r="3022" spans="1:16" ht="15" hidden="1" customHeight="1">
      <c r="A3022" s="839">
        <v>62714126</v>
      </c>
      <c r="B3022" s="839" t="s">
        <v>133</v>
      </c>
      <c r="C3022" s="906">
        <v>2600</v>
      </c>
      <c r="D3022" s="907" t="s">
        <v>1285</v>
      </c>
      <c r="E3022" s="839" t="s">
        <v>402</v>
      </c>
      <c r="F3022" s="839">
        <v>1419</v>
      </c>
      <c r="G3022" s="916">
        <f>VLOOKUP($A3022,'Tech Litons'!$A:$I,8,FALSE)</f>
        <v>5.2680000000000001E-3</v>
      </c>
      <c r="H3022" s="917">
        <f>VLOOKUP($A3022,'Tech Litons'!$A:$I,9,FALSE)</f>
        <v>130</v>
      </c>
      <c r="I3022" s="917" t="str">
        <f>VLOOKUP($A3022,'Tech Litons'!$A:$C,3,0)</f>
        <v>PG</v>
      </c>
      <c r="J3022" s="918" t="str">
        <f t="shared" si="300"/>
        <v>GDIPG</v>
      </c>
      <c r="K3022" s="919">
        <v>1</v>
      </c>
      <c r="L3022" s="920">
        <f t="shared" si="305"/>
        <v>2600</v>
      </c>
      <c r="M3022" s="920">
        <f t="shared" si="301"/>
        <v>13.6968</v>
      </c>
      <c r="N3022" s="920">
        <f t="shared" si="302"/>
        <v>20</v>
      </c>
      <c r="O3022" s="918" t="str">
        <f t="shared" si="303"/>
        <v>Feb</v>
      </c>
      <c r="P3022" s="921">
        <f t="shared" si="304"/>
        <v>8</v>
      </c>
    </row>
    <row r="3023" spans="1:16" ht="15" hidden="1" customHeight="1">
      <c r="A3023" s="839">
        <v>64833353</v>
      </c>
      <c r="B3023" s="839" t="s">
        <v>133</v>
      </c>
      <c r="C3023" s="906">
        <v>2470</v>
      </c>
      <c r="D3023" s="907" t="s">
        <v>1286</v>
      </c>
      <c r="E3023" s="839" t="s">
        <v>358</v>
      </c>
      <c r="F3023" s="839">
        <v>1419</v>
      </c>
      <c r="G3023" s="916">
        <f>VLOOKUP($A3023,'Tech Litons'!$A:$I,8,FALSE)</f>
        <v>5.28E-3</v>
      </c>
      <c r="H3023" s="917">
        <f>VLOOKUP($A3023,'Tech Litons'!$A:$I,9,FALSE)</f>
        <v>130</v>
      </c>
      <c r="I3023" s="917" t="str">
        <f>VLOOKUP($A3023,'Tech Litons'!$A:$C,3,0)</f>
        <v>PG</v>
      </c>
      <c r="J3023" s="918" t="str">
        <f t="shared" si="300"/>
        <v>GDIPG</v>
      </c>
      <c r="K3023" s="919">
        <v>1</v>
      </c>
      <c r="L3023" s="920">
        <f t="shared" si="305"/>
        <v>2470</v>
      </c>
      <c r="M3023" s="920">
        <f t="shared" si="301"/>
        <v>13.041600000000001</v>
      </c>
      <c r="N3023" s="920">
        <f t="shared" si="302"/>
        <v>19</v>
      </c>
      <c r="O3023" s="918" t="str">
        <f t="shared" si="303"/>
        <v>Feb</v>
      </c>
      <c r="P3023" s="921">
        <f t="shared" si="304"/>
        <v>8</v>
      </c>
    </row>
    <row r="3024" spans="1:16" ht="15" hidden="1" customHeight="1">
      <c r="A3024" s="839">
        <v>62714126</v>
      </c>
      <c r="B3024" s="839" t="s">
        <v>133</v>
      </c>
      <c r="C3024" s="906">
        <v>2600</v>
      </c>
      <c r="D3024" s="907" t="s">
        <v>1286</v>
      </c>
      <c r="E3024" s="839" t="s">
        <v>402</v>
      </c>
      <c r="F3024" s="839">
        <v>1419</v>
      </c>
      <c r="G3024" s="916">
        <f>VLOOKUP($A3024,'Tech Litons'!$A:$I,8,FALSE)</f>
        <v>5.2680000000000001E-3</v>
      </c>
      <c r="H3024" s="917">
        <f>VLOOKUP($A3024,'Tech Litons'!$A:$I,9,FALSE)</f>
        <v>130</v>
      </c>
      <c r="I3024" s="917" t="str">
        <f>VLOOKUP($A3024,'Tech Litons'!$A:$C,3,0)</f>
        <v>PG</v>
      </c>
      <c r="J3024" s="918" t="str">
        <f t="shared" si="300"/>
        <v>GDIPG</v>
      </c>
      <c r="K3024" s="919">
        <v>1</v>
      </c>
      <c r="L3024" s="920">
        <f t="shared" si="305"/>
        <v>2600</v>
      </c>
      <c r="M3024" s="920">
        <f t="shared" si="301"/>
        <v>13.6968</v>
      </c>
      <c r="N3024" s="920">
        <f t="shared" si="302"/>
        <v>20</v>
      </c>
      <c r="O3024" s="918" t="str">
        <f t="shared" si="303"/>
        <v>Feb</v>
      </c>
      <c r="P3024" s="921">
        <f t="shared" si="304"/>
        <v>8</v>
      </c>
    </row>
    <row r="3025" spans="1:16" ht="15" hidden="1" customHeight="1">
      <c r="A3025" s="839">
        <v>64988054</v>
      </c>
      <c r="B3025" s="839">
        <v>1716</v>
      </c>
      <c r="C3025" s="906">
        <v>18063</v>
      </c>
      <c r="D3025" s="907" t="s">
        <v>1279</v>
      </c>
      <c r="E3025" s="839" t="s">
        <v>600</v>
      </c>
      <c r="F3025" s="839">
        <v>1716</v>
      </c>
      <c r="G3025" s="916">
        <f>VLOOKUP($A3025,'Tech Litons'!$A:$I,8,FALSE)</f>
        <v>2.3999999999999998E-3</v>
      </c>
      <c r="H3025" s="917">
        <f>VLOOKUP($A3025,'Tech Litons'!$A:$I,9,FALSE)</f>
        <v>165</v>
      </c>
      <c r="I3025" s="917" t="str">
        <f>VLOOKUP($A3025,'Tech Litons'!$A:$C,3,0)</f>
        <v>BJ Bars</v>
      </c>
      <c r="J3025" s="918" t="str">
        <f t="shared" ref="J3025:J3085" si="306">B3025&amp;I3025</f>
        <v>1716BJ Bars</v>
      </c>
      <c r="K3025" s="919">
        <v>1</v>
      </c>
      <c r="L3025" s="920">
        <f t="shared" si="305"/>
        <v>18063</v>
      </c>
      <c r="M3025" s="920">
        <f t="shared" ref="M3025:M3085" si="307">L3025*G3025</f>
        <v>43.351199999999999</v>
      </c>
      <c r="N3025" s="920">
        <f t="shared" ref="N3025:N3085" si="308">L3025/H3025</f>
        <v>109.47272727272727</v>
      </c>
      <c r="O3025" s="918" t="str">
        <f t="shared" ref="O3025:O3085" si="309">TEXT(D3025,"MMM")</f>
        <v>Jan</v>
      </c>
      <c r="P3025" s="921">
        <f t="shared" ref="P3025:P3085" si="310">WEEKNUM(D3025)</f>
        <v>5</v>
      </c>
    </row>
    <row r="3026" spans="1:16" ht="15" hidden="1" customHeight="1">
      <c r="A3026" s="839">
        <v>64988053</v>
      </c>
      <c r="B3026" s="839">
        <v>1716</v>
      </c>
      <c r="C3026" s="906">
        <v>20117</v>
      </c>
      <c r="D3026" s="907" t="s">
        <v>1279</v>
      </c>
      <c r="E3026" s="839" t="s">
        <v>599</v>
      </c>
      <c r="F3026" s="839">
        <v>1716</v>
      </c>
      <c r="G3026" s="916">
        <f>VLOOKUP($A3026,'Tech Litons'!$A:$I,8,FALSE)</f>
        <v>2.3999999999999998E-3</v>
      </c>
      <c r="H3026" s="917">
        <f>VLOOKUP($A3026,'Tech Litons'!$A:$I,9,FALSE)</f>
        <v>165</v>
      </c>
      <c r="I3026" s="917" t="str">
        <f>VLOOKUP($A3026,'Tech Litons'!$A:$C,3,0)</f>
        <v>BJ Bars</v>
      </c>
      <c r="J3026" s="918" t="str">
        <f t="shared" si="306"/>
        <v>1716BJ Bars</v>
      </c>
      <c r="K3026" s="919">
        <v>1</v>
      </c>
      <c r="L3026" s="920">
        <f t="shared" si="305"/>
        <v>20117</v>
      </c>
      <c r="M3026" s="920">
        <f t="shared" si="307"/>
        <v>48.280799999999999</v>
      </c>
      <c r="N3026" s="920">
        <f t="shared" si="308"/>
        <v>121.92121212121212</v>
      </c>
      <c r="O3026" s="918" t="str">
        <f t="shared" si="309"/>
        <v>Jan</v>
      </c>
      <c r="P3026" s="921">
        <f t="shared" si="310"/>
        <v>5</v>
      </c>
    </row>
    <row r="3027" spans="1:16" ht="15" hidden="1" customHeight="1">
      <c r="A3027" s="839">
        <v>64987234</v>
      </c>
      <c r="B3027" s="839">
        <v>1716</v>
      </c>
      <c r="C3027" s="906">
        <v>21585</v>
      </c>
      <c r="D3027" s="907" t="s">
        <v>1279</v>
      </c>
      <c r="E3027" s="839" t="s">
        <v>598</v>
      </c>
      <c r="F3027" s="839">
        <v>1716</v>
      </c>
      <c r="G3027" s="916">
        <f>VLOOKUP($A3027,'Tech Litons'!$A:$I,8,FALSE)</f>
        <v>2.3999999999999998E-3</v>
      </c>
      <c r="H3027" s="917">
        <f>VLOOKUP($A3027,'Tech Litons'!$A:$I,9,FALSE)</f>
        <v>165</v>
      </c>
      <c r="I3027" s="917" t="str">
        <f>VLOOKUP($A3027,'Tech Litons'!$A:$C,3,0)</f>
        <v>BJ Bars</v>
      </c>
      <c r="J3027" s="918" t="str">
        <f t="shared" si="306"/>
        <v>1716BJ Bars</v>
      </c>
      <c r="K3027" s="919">
        <v>1</v>
      </c>
      <c r="L3027" s="920">
        <f t="shared" si="305"/>
        <v>21585</v>
      </c>
      <c r="M3027" s="920">
        <f t="shared" si="307"/>
        <v>51.803999999999995</v>
      </c>
      <c r="N3027" s="920">
        <f t="shared" si="308"/>
        <v>130.81818181818181</v>
      </c>
      <c r="O3027" s="918" t="str">
        <f t="shared" si="309"/>
        <v>Jan</v>
      </c>
      <c r="P3027" s="921">
        <f t="shared" si="310"/>
        <v>5</v>
      </c>
    </row>
    <row r="3028" spans="1:16" ht="15" hidden="1" customHeight="1">
      <c r="A3028" s="839">
        <v>64987232</v>
      </c>
      <c r="B3028" s="839">
        <v>1716</v>
      </c>
      <c r="C3028" s="906">
        <v>30307</v>
      </c>
      <c r="D3028" s="907" t="s">
        <v>1279</v>
      </c>
      <c r="E3028" s="839" t="s">
        <v>596</v>
      </c>
      <c r="F3028" s="839">
        <v>1716</v>
      </c>
      <c r="G3028" s="916">
        <f>VLOOKUP($A3028,'Tech Litons'!$A:$I,8,FALSE)</f>
        <v>2.3999999999999998E-3</v>
      </c>
      <c r="H3028" s="917">
        <f>VLOOKUP($A3028,'Tech Litons'!$A:$I,9,FALSE)</f>
        <v>165</v>
      </c>
      <c r="I3028" s="917" t="str">
        <f>VLOOKUP($A3028,'Tech Litons'!$A:$C,3,0)</f>
        <v>BJ Bars</v>
      </c>
      <c r="J3028" s="918" t="str">
        <f t="shared" si="306"/>
        <v>1716BJ Bars</v>
      </c>
      <c r="K3028" s="919">
        <v>1</v>
      </c>
      <c r="L3028" s="920">
        <f t="shared" si="305"/>
        <v>30307</v>
      </c>
      <c r="M3028" s="920">
        <f t="shared" si="307"/>
        <v>72.736799999999988</v>
      </c>
      <c r="N3028" s="920">
        <f t="shared" si="308"/>
        <v>183.67878787878789</v>
      </c>
      <c r="O3028" s="918" t="str">
        <f t="shared" si="309"/>
        <v>Jan</v>
      </c>
      <c r="P3028" s="921">
        <f t="shared" si="310"/>
        <v>5</v>
      </c>
    </row>
    <row r="3029" spans="1:16" ht="15" hidden="1" customHeight="1">
      <c r="A3029" s="839">
        <v>65218505</v>
      </c>
      <c r="B3029" s="839">
        <v>1716</v>
      </c>
      <c r="C3029" s="906">
        <v>51423</v>
      </c>
      <c r="D3029" s="907" t="s">
        <v>1279</v>
      </c>
      <c r="E3029" s="839" t="s">
        <v>586</v>
      </c>
      <c r="F3029" s="839">
        <v>1716</v>
      </c>
      <c r="G3029" s="916">
        <f>VLOOKUP($A3029,'Tech Litons'!$A:$I,8,FALSE)</f>
        <v>3.3119999999999998E-3</v>
      </c>
      <c r="H3029" s="917">
        <f>VLOOKUP($A3029,'Tech Litons'!$A:$I,9,FALSE)</f>
        <v>165</v>
      </c>
      <c r="I3029" s="917" t="str">
        <f>VLOOKUP($A3029,'Tech Litons'!$A:$C,3,0)</f>
        <v>Yasso Sticks</v>
      </c>
      <c r="J3029" s="918" t="str">
        <f t="shared" si="306"/>
        <v>1716Yasso Sticks</v>
      </c>
      <c r="K3029" s="919">
        <v>1</v>
      </c>
      <c r="L3029" s="920">
        <f t="shared" si="305"/>
        <v>51423</v>
      </c>
      <c r="M3029" s="920">
        <f t="shared" si="307"/>
        <v>170.31297599999999</v>
      </c>
      <c r="N3029" s="920">
        <f t="shared" si="308"/>
        <v>311.65454545454543</v>
      </c>
      <c r="O3029" s="918" t="str">
        <f t="shared" si="309"/>
        <v>Jan</v>
      </c>
      <c r="P3029" s="921">
        <f t="shared" si="310"/>
        <v>5</v>
      </c>
    </row>
    <row r="3030" spans="1:16" ht="15" hidden="1" customHeight="1">
      <c r="A3030" s="839">
        <v>64976848</v>
      </c>
      <c r="B3030" s="839">
        <v>1716</v>
      </c>
      <c r="C3030" s="906">
        <v>33595</v>
      </c>
      <c r="D3030" s="907" t="s">
        <v>1281</v>
      </c>
      <c r="E3030" s="839" t="s">
        <v>232</v>
      </c>
      <c r="F3030" s="839">
        <v>1716</v>
      </c>
      <c r="G3030" s="916">
        <f>VLOOKUP($A3030,'Tech Litons'!$A:$I,8,FALSE)</f>
        <v>2.5040000000000001E-3</v>
      </c>
      <c r="H3030" s="917">
        <f>VLOOKUP($A3030,'Tech Litons'!$A:$I,9,FALSE)</f>
        <v>165</v>
      </c>
      <c r="I3030" s="917" t="str">
        <f>VLOOKUP($A3030,'Tech Litons'!$A:$C,3,0)</f>
        <v>Yasso Sticks</v>
      </c>
      <c r="J3030" s="918" t="str">
        <f t="shared" si="306"/>
        <v>1716Yasso Sticks</v>
      </c>
      <c r="K3030" s="919">
        <v>1</v>
      </c>
      <c r="L3030" s="920">
        <f t="shared" si="305"/>
        <v>33595</v>
      </c>
      <c r="M3030" s="920">
        <f t="shared" si="307"/>
        <v>84.121880000000004</v>
      </c>
      <c r="N3030" s="920">
        <f t="shared" si="308"/>
        <v>203.60606060606059</v>
      </c>
      <c r="O3030" s="918" t="str">
        <f t="shared" si="309"/>
        <v>Feb</v>
      </c>
      <c r="P3030" s="921">
        <f t="shared" si="310"/>
        <v>6</v>
      </c>
    </row>
    <row r="3031" spans="1:16" ht="15" hidden="1" customHeight="1">
      <c r="A3031" s="839">
        <v>65218505</v>
      </c>
      <c r="B3031" s="839">
        <v>1716</v>
      </c>
      <c r="C3031" s="906">
        <v>35326</v>
      </c>
      <c r="D3031" s="907" t="s">
        <v>1281</v>
      </c>
      <c r="E3031" s="839" t="s">
        <v>586</v>
      </c>
      <c r="F3031" s="839">
        <v>1716</v>
      </c>
      <c r="G3031" s="916">
        <f>VLOOKUP($A3031,'Tech Litons'!$A:$I,8,FALSE)</f>
        <v>3.3119999999999998E-3</v>
      </c>
      <c r="H3031" s="917">
        <f>VLOOKUP($A3031,'Tech Litons'!$A:$I,9,FALSE)</f>
        <v>165</v>
      </c>
      <c r="I3031" s="917" t="str">
        <f>VLOOKUP($A3031,'Tech Litons'!$A:$C,3,0)</f>
        <v>Yasso Sticks</v>
      </c>
      <c r="J3031" s="918" t="str">
        <f t="shared" si="306"/>
        <v>1716Yasso Sticks</v>
      </c>
      <c r="K3031" s="919">
        <v>1</v>
      </c>
      <c r="L3031" s="920">
        <f t="shared" si="305"/>
        <v>35326</v>
      </c>
      <c r="M3031" s="920">
        <f t="shared" si="307"/>
        <v>116.99971199999999</v>
      </c>
      <c r="N3031" s="920">
        <f t="shared" si="308"/>
        <v>214.09696969696969</v>
      </c>
      <c r="O3031" s="918" t="str">
        <f t="shared" si="309"/>
        <v>Feb</v>
      </c>
      <c r="P3031" s="921">
        <f t="shared" si="310"/>
        <v>6</v>
      </c>
    </row>
    <row r="3032" spans="1:16" ht="15" hidden="1" customHeight="1">
      <c r="A3032" s="839">
        <v>65540451</v>
      </c>
      <c r="B3032" s="839">
        <v>1716</v>
      </c>
      <c r="C3032" s="906">
        <v>14930</v>
      </c>
      <c r="D3032" s="907" t="s">
        <v>1283</v>
      </c>
      <c r="E3032" s="839" t="s">
        <v>1222</v>
      </c>
      <c r="F3032" s="839">
        <v>1716</v>
      </c>
      <c r="G3032" s="916">
        <f>VLOOKUP($A3032,'Tech Litons'!$A:$I,8,FALSE)</f>
        <v>1.9199999999999998E-2</v>
      </c>
      <c r="H3032" s="917">
        <f>VLOOKUP($A3032,'Tech Litons'!$A:$I,9,FALSE)</f>
        <v>165</v>
      </c>
      <c r="I3032" s="917" t="str">
        <f>VLOOKUP($A3032,'Tech Litons'!$A:$C,3,0)</f>
        <v>BJ Bars</v>
      </c>
      <c r="J3032" s="918" t="str">
        <f t="shared" si="306"/>
        <v>1716BJ Bars</v>
      </c>
      <c r="K3032" s="919">
        <v>1</v>
      </c>
      <c r="L3032" s="920">
        <f t="shared" si="305"/>
        <v>14930</v>
      </c>
      <c r="M3032" s="920">
        <f t="shared" si="307"/>
        <v>286.65599999999995</v>
      </c>
      <c r="N3032" s="920">
        <f t="shared" si="308"/>
        <v>90.484848484848484</v>
      </c>
      <c r="O3032" s="918" t="str">
        <f t="shared" si="309"/>
        <v>Feb</v>
      </c>
      <c r="P3032" s="921">
        <f t="shared" si="310"/>
        <v>8</v>
      </c>
    </row>
    <row r="3033" spans="1:16" ht="15" hidden="1" customHeight="1">
      <c r="A3033" s="839">
        <v>65218505</v>
      </c>
      <c r="B3033" s="839">
        <v>1716</v>
      </c>
      <c r="C3033" s="906">
        <v>24033</v>
      </c>
      <c r="D3033" s="907" t="s">
        <v>1283</v>
      </c>
      <c r="E3033" s="839" t="s">
        <v>586</v>
      </c>
      <c r="F3033" s="839">
        <v>1716</v>
      </c>
      <c r="G3033" s="916">
        <f>VLOOKUP($A3033,'Tech Litons'!$A:$I,8,FALSE)</f>
        <v>3.3119999999999998E-3</v>
      </c>
      <c r="H3033" s="917">
        <f>VLOOKUP($A3033,'Tech Litons'!$A:$I,9,FALSE)</f>
        <v>165</v>
      </c>
      <c r="I3033" s="917" t="str">
        <f>VLOOKUP($A3033,'Tech Litons'!$A:$C,3,0)</f>
        <v>Yasso Sticks</v>
      </c>
      <c r="J3033" s="918" t="str">
        <f t="shared" si="306"/>
        <v>1716Yasso Sticks</v>
      </c>
      <c r="K3033" s="919">
        <v>1</v>
      </c>
      <c r="L3033" s="920">
        <f t="shared" si="305"/>
        <v>24033</v>
      </c>
      <c r="M3033" s="920">
        <f t="shared" si="307"/>
        <v>79.597296</v>
      </c>
      <c r="N3033" s="920">
        <f t="shared" si="308"/>
        <v>145.65454545454546</v>
      </c>
      <c r="O3033" s="918" t="str">
        <f t="shared" si="309"/>
        <v>Feb</v>
      </c>
      <c r="P3033" s="921">
        <f t="shared" si="310"/>
        <v>8</v>
      </c>
    </row>
    <row r="3034" spans="1:16" ht="15" hidden="1" customHeight="1">
      <c r="A3034" s="839">
        <v>64987234</v>
      </c>
      <c r="B3034" s="839">
        <v>1716</v>
      </c>
      <c r="C3034" s="906">
        <v>24173</v>
      </c>
      <c r="D3034" s="907" t="s">
        <v>1283</v>
      </c>
      <c r="E3034" s="839" t="s">
        <v>598</v>
      </c>
      <c r="F3034" s="839">
        <v>1716</v>
      </c>
      <c r="G3034" s="916">
        <f>VLOOKUP($A3034,'Tech Litons'!$A:$I,8,FALSE)</f>
        <v>2.3999999999999998E-3</v>
      </c>
      <c r="H3034" s="917">
        <f>VLOOKUP($A3034,'Tech Litons'!$A:$I,9,FALSE)</f>
        <v>165</v>
      </c>
      <c r="I3034" s="917" t="str">
        <f>VLOOKUP($A3034,'Tech Litons'!$A:$C,3,0)</f>
        <v>BJ Bars</v>
      </c>
      <c r="J3034" s="918" t="str">
        <f t="shared" si="306"/>
        <v>1716BJ Bars</v>
      </c>
      <c r="K3034" s="919">
        <v>1</v>
      </c>
      <c r="L3034" s="920">
        <f t="shared" si="305"/>
        <v>24173</v>
      </c>
      <c r="M3034" s="920">
        <f t="shared" si="307"/>
        <v>58.015199999999993</v>
      </c>
      <c r="N3034" s="920">
        <f t="shared" si="308"/>
        <v>146.5030303030303</v>
      </c>
      <c r="O3034" s="918" t="str">
        <f t="shared" si="309"/>
        <v>Feb</v>
      </c>
      <c r="P3034" s="921">
        <f t="shared" si="310"/>
        <v>8</v>
      </c>
    </row>
    <row r="3035" spans="1:16" ht="15" hidden="1" customHeight="1">
      <c r="A3035" s="839">
        <v>65254774</v>
      </c>
      <c r="B3035" s="839">
        <v>6765</v>
      </c>
      <c r="C3035" s="906">
        <v>2377</v>
      </c>
      <c r="D3035" s="907" t="s">
        <v>1272</v>
      </c>
      <c r="E3035" s="839" t="s">
        <v>614</v>
      </c>
      <c r="F3035" s="839">
        <v>6765</v>
      </c>
      <c r="G3035" s="916">
        <f>VLOOKUP($A3035,'Tech Litons'!$A:$I,8,FALSE)</f>
        <v>1E-3</v>
      </c>
      <c r="H3035" s="917">
        <f>VLOOKUP($A3035,'Tech Litons'!$A:$I,9,FALSE)</f>
        <v>420</v>
      </c>
      <c r="I3035" s="917" t="str">
        <f>VLOOKUP($A3035,'Tech Litons'!$A:$C,3,0)</f>
        <v>Other</v>
      </c>
      <c r="J3035" s="918" t="str">
        <f t="shared" si="306"/>
        <v>6765Other</v>
      </c>
      <c r="K3035" s="919">
        <v>1</v>
      </c>
      <c r="L3035" s="920">
        <f t="shared" si="305"/>
        <v>2377</v>
      </c>
      <c r="M3035" s="920">
        <f t="shared" si="307"/>
        <v>2.3770000000000002</v>
      </c>
      <c r="N3035" s="920">
        <f t="shared" si="308"/>
        <v>5.6595238095238098</v>
      </c>
      <c r="O3035" s="918" t="str">
        <f t="shared" si="309"/>
        <v>Feb</v>
      </c>
      <c r="P3035" s="921">
        <f t="shared" si="310"/>
        <v>6</v>
      </c>
    </row>
    <row r="3036" spans="1:16" ht="15" hidden="1" customHeight="1">
      <c r="A3036" s="839">
        <v>65254774</v>
      </c>
      <c r="B3036" s="839">
        <v>6765</v>
      </c>
      <c r="C3036" s="906">
        <v>16161</v>
      </c>
      <c r="D3036" s="907" t="s">
        <v>1272</v>
      </c>
      <c r="E3036" s="839" t="s">
        <v>614</v>
      </c>
      <c r="F3036" s="839">
        <v>6765</v>
      </c>
      <c r="G3036" s="916">
        <f>VLOOKUP($A3036,'Tech Litons'!$A:$I,8,FALSE)</f>
        <v>1E-3</v>
      </c>
      <c r="H3036" s="917">
        <f>VLOOKUP($A3036,'Tech Litons'!$A:$I,9,FALSE)</f>
        <v>420</v>
      </c>
      <c r="I3036" s="917" t="str">
        <f>VLOOKUP($A3036,'Tech Litons'!$A:$C,3,0)</f>
        <v>Other</v>
      </c>
      <c r="J3036" s="918" t="str">
        <f t="shared" si="306"/>
        <v>6765Other</v>
      </c>
      <c r="K3036" s="919">
        <v>1</v>
      </c>
      <c r="L3036" s="920">
        <f t="shared" si="305"/>
        <v>16161</v>
      </c>
      <c r="M3036" s="920">
        <f t="shared" si="307"/>
        <v>16.161000000000001</v>
      </c>
      <c r="N3036" s="920">
        <f t="shared" si="308"/>
        <v>38.478571428571428</v>
      </c>
      <c r="O3036" s="918" t="str">
        <f t="shared" si="309"/>
        <v>Feb</v>
      </c>
      <c r="P3036" s="921">
        <f t="shared" si="310"/>
        <v>6</v>
      </c>
    </row>
    <row r="3037" spans="1:16" ht="15" hidden="1" customHeight="1">
      <c r="A3037" s="839">
        <v>65254774</v>
      </c>
      <c r="B3037" s="839">
        <v>6765</v>
      </c>
      <c r="C3037" s="906">
        <v>13218</v>
      </c>
      <c r="D3037" s="907" t="s">
        <v>1277</v>
      </c>
      <c r="E3037" s="839" t="s">
        <v>614</v>
      </c>
      <c r="F3037" s="839">
        <v>6765</v>
      </c>
      <c r="G3037" s="916">
        <f>VLOOKUP($A3037,'Tech Litons'!$A:$I,8,FALSE)</f>
        <v>1E-3</v>
      </c>
      <c r="H3037" s="917">
        <f>VLOOKUP($A3037,'Tech Litons'!$A:$I,9,FALSE)</f>
        <v>420</v>
      </c>
      <c r="I3037" s="917" t="str">
        <f>VLOOKUP($A3037,'Tech Litons'!$A:$C,3,0)</f>
        <v>Other</v>
      </c>
      <c r="J3037" s="918" t="str">
        <f t="shared" si="306"/>
        <v>6765Other</v>
      </c>
      <c r="K3037" s="919">
        <v>1</v>
      </c>
      <c r="L3037" s="920">
        <f t="shared" ref="L3037:L3099" si="311">C3037*$K3037</f>
        <v>13218</v>
      </c>
      <c r="M3037" s="920">
        <f t="shared" si="307"/>
        <v>13.218</v>
      </c>
      <c r="N3037" s="920">
        <f t="shared" si="308"/>
        <v>31.471428571428572</v>
      </c>
      <c r="O3037" s="918" t="str">
        <f t="shared" si="309"/>
        <v>Feb</v>
      </c>
      <c r="P3037" s="921">
        <f t="shared" si="310"/>
        <v>6</v>
      </c>
    </row>
    <row r="3038" spans="1:16" ht="15" hidden="1" customHeight="1">
      <c r="A3038" s="839">
        <v>65254774</v>
      </c>
      <c r="B3038" s="839">
        <v>6765</v>
      </c>
      <c r="C3038" s="906">
        <v>22627</v>
      </c>
      <c r="D3038" s="907" t="s">
        <v>1274</v>
      </c>
      <c r="E3038" s="839" t="s">
        <v>614</v>
      </c>
      <c r="F3038" s="839">
        <v>6765</v>
      </c>
      <c r="G3038" s="916">
        <f>VLOOKUP($A3038,'Tech Litons'!$A:$I,8,FALSE)</f>
        <v>1E-3</v>
      </c>
      <c r="H3038" s="917">
        <f>VLOOKUP($A3038,'Tech Litons'!$A:$I,9,FALSE)</f>
        <v>420</v>
      </c>
      <c r="I3038" s="917" t="str">
        <f>VLOOKUP($A3038,'Tech Litons'!$A:$C,3,0)</f>
        <v>Other</v>
      </c>
      <c r="J3038" s="918" t="str">
        <f t="shared" si="306"/>
        <v>6765Other</v>
      </c>
      <c r="K3038" s="919">
        <v>1</v>
      </c>
      <c r="L3038" s="920">
        <f t="shared" si="311"/>
        <v>22627</v>
      </c>
      <c r="M3038" s="920">
        <f t="shared" si="307"/>
        <v>22.626999999999999</v>
      </c>
      <c r="N3038" s="920">
        <f t="shared" si="308"/>
        <v>53.873809523809527</v>
      </c>
      <c r="O3038" s="918" t="str">
        <f t="shared" si="309"/>
        <v>Feb</v>
      </c>
      <c r="P3038" s="921">
        <f t="shared" si="310"/>
        <v>7</v>
      </c>
    </row>
    <row r="3039" spans="1:16" ht="15" hidden="1" customHeight="1">
      <c r="A3039" s="839">
        <v>64979410</v>
      </c>
      <c r="B3039" s="839">
        <v>6764</v>
      </c>
      <c r="C3039" s="906">
        <v>19944</v>
      </c>
      <c r="D3039" s="907" t="s">
        <v>1287</v>
      </c>
      <c r="E3039" s="839" t="s">
        <v>611</v>
      </c>
      <c r="F3039" s="839">
        <v>6764</v>
      </c>
      <c r="G3039" s="916">
        <f>VLOOKUP($A3039,'Tech Litons'!$A:$I,8,FALSE)</f>
        <v>4.248E-3</v>
      </c>
      <c r="H3039" s="917">
        <f>VLOOKUP($A3039,'Tech Litons'!$A:$I,9,FALSE)</f>
        <v>324</v>
      </c>
      <c r="I3039" s="917" t="str">
        <f>VLOOKUP($A3039,'Tech Litons'!$A:$C,3,0)</f>
        <v>Other</v>
      </c>
      <c r="J3039" s="918" t="str">
        <f t="shared" si="306"/>
        <v>6764Other</v>
      </c>
      <c r="K3039" s="919">
        <v>1</v>
      </c>
      <c r="L3039" s="920">
        <f t="shared" si="311"/>
        <v>19944</v>
      </c>
      <c r="M3039" s="920">
        <f t="shared" si="307"/>
        <v>84.722111999999996</v>
      </c>
      <c r="N3039" s="920">
        <f t="shared" si="308"/>
        <v>61.555555555555557</v>
      </c>
      <c r="O3039" s="918" t="str">
        <f t="shared" si="309"/>
        <v>Feb</v>
      </c>
      <c r="P3039" s="921">
        <f t="shared" si="310"/>
        <v>7</v>
      </c>
    </row>
    <row r="3040" spans="1:16" ht="15" hidden="1" customHeight="1">
      <c r="A3040" s="839">
        <v>64979410</v>
      </c>
      <c r="B3040" s="839">
        <v>6764</v>
      </c>
      <c r="C3040" s="906">
        <v>56432</v>
      </c>
      <c r="D3040" s="907" t="s">
        <v>1284</v>
      </c>
      <c r="E3040" s="839" t="s">
        <v>611</v>
      </c>
      <c r="F3040" s="839">
        <v>6764</v>
      </c>
      <c r="G3040" s="916">
        <f>VLOOKUP($A3040,'Tech Litons'!$A:$I,8,FALSE)</f>
        <v>4.248E-3</v>
      </c>
      <c r="H3040" s="917">
        <f>VLOOKUP($A3040,'Tech Litons'!$A:$I,9,FALSE)</f>
        <v>324</v>
      </c>
      <c r="I3040" s="917" t="str">
        <f>VLOOKUP($A3040,'Tech Litons'!$A:$C,3,0)</f>
        <v>Other</v>
      </c>
      <c r="J3040" s="918" t="str">
        <f t="shared" si="306"/>
        <v>6764Other</v>
      </c>
      <c r="K3040" s="919">
        <v>1</v>
      </c>
      <c r="L3040" s="920">
        <f t="shared" si="311"/>
        <v>56432</v>
      </c>
      <c r="M3040" s="920">
        <f t="shared" si="307"/>
        <v>239.72313600000001</v>
      </c>
      <c r="N3040" s="920">
        <f t="shared" si="308"/>
        <v>174.17283950617283</v>
      </c>
      <c r="O3040" s="918" t="str">
        <f t="shared" si="309"/>
        <v>Feb</v>
      </c>
      <c r="P3040" s="921">
        <f t="shared" si="310"/>
        <v>8</v>
      </c>
    </row>
    <row r="3041" spans="1:16" ht="15" hidden="1" customHeight="1">
      <c r="A3041" s="839">
        <v>64365613</v>
      </c>
      <c r="B3041" s="839" t="s">
        <v>139</v>
      </c>
      <c r="C3041" s="906">
        <v>3900</v>
      </c>
      <c r="D3041" s="907" t="s">
        <v>1270</v>
      </c>
      <c r="E3041" s="839" t="s">
        <v>617</v>
      </c>
      <c r="F3041" s="839">
        <v>1419</v>
      </c>
      <c r="G3041" s="916">
        <f>VLOOKUP($A3041,'Tech Litons'!$A:$I,8,FALSE)</f>
        <v>2.1540000000000001E-3</v>
      </c>
      <c r="H3041" s="917">
        <f>VLOOKUP($A3041,'Tech Litons'!$A:$I,9,FALSE)</f>
        <v>195</v>
      </c>
      <c r="I3041" s="917" t="str">
        <f>VLOOKUP($A3041,'Tech Litons'!$A:$C,3,0)</f>
        <v>Facepieces</v>
      </c>
      <c r="J3041" s="918" t="str">
        <f t="shared" si="306"/>
        <v>IncomFacepieces</v>
      </c>
      <c r="K3041" s="919">
        <v>1</v>
      </c>
      <c r="L3041" s="920">
        <f t="shared" si="311"/>
        <v>3900</v>
      </c>
      <c r="M3041" s="920">
        <f t="shared" si="307"/>
        <v>8.4006000000000007</v>
      </c>
      <c r="N3041" s="920">
        <f t="shared" si="308"/>
        <v>20</v>
      </c>
      <c r="O3041" s="918" t="str">
        <f t="shared" si="309"/>
        <v>Jan</v>
      </c>
      <c r="P3041" s="921">
        <f t="shared" si="310"/>
        <v>5</v>
      </c>
    </row>
    <row r="3042" spans="1:16" ht="15" hidden="1" customHeight="1">
      <c r="A3042" s="839">
        <v>64365613</v>
      </c>
      <c r="B3042" s="839" t="s">
        <v>139</v>
      </c>
      <c r="C3042" s="906">
        <v>3900</v>
      </c>
      <c r="D3042" s="907" t="s">
        <v>1270</v>
      </c>
      <c r="E3042" s="839" t="s">
        <v>617</v>
      </c>
      <c r="F3042" s="839">
        <v>1419</v>
      </c>
      <c r="G3042" s="916">
        <f>VLOOKUP($A3042,'Tech Litons'!$A:$I,8,FALSE)</f>
        <v>2.1540000000000001E-3</v>
      </c>
      <c r="H3042" s="917">
        <f>VLOOKUP($A3042,'Tech Litons'!$A:$I,9,FALSE)</f>
        <v>195</v>
      </c>
      <c r="I3042" s="917" t="str">
        <f>VLOOKUP($A3042,'Tech Litons'!$A:$C,3,0)</f>
        <v>Facepieces</v>
      </c>
      <c r="J3042" s="918" t="str">
        <f t="shared" si="306"/>
        <v>IncomFacepieces</v>
      </c>
      <c r="K3042" s="919">
        <v>1</v>
      </c>
      <c r="L3042" s="920">
        <f t="shared" si="311"/>
        <v>3900</v>
      </c>
      <c r="M3042" s="920">
        <f t="shared" si="307"/>
        <v>8.4006000000000007</v>
      </c>
      <c r="N3042" s="920">
        <f t="shared" si="308"/>
        <v>20</v>
      </c>
      <c r="O3042" s="918" t="str">
        <f t="shared" si="309"/>
        <v>Jan</v>
      </c>
      <c r="P3042" s="921">
        <f t="shared" si="310"/>
        <v>5</v>
      </c>
    </row>
    <row r="3043" spans="1:16" ht="15" hidden="1" customHeight="1">
      <c r="A3043" s="839">
        <v>64771676</v>
      </c>
      <c r="B3043" s="839" t="s">
        <v>139</v>
      </c>
      <c r="C3043" s="906">
        <v>3900</v>
      </c>
      <c r="D3043" s="907" t="s">
        <v>1270</v>
      </c>
      <c r="E3043" s="839" t="s">
        <v>619</v>
      </c>
      <c r="F3043" s="839">
        <v>1419</v>
      </c>
      <c r="G3043" s="916">
        <f>VLOOKUP($A3043,'Tech Litons'!$A:$I,8,FALSE)</f>
        <v>2.16E-3</v>
      </c>
      <c r="H3043" s="917">
        <f>VLOOKUP($A3043,'Tech Litons'!$A:$I,9,FALSE)</f>
        <v>195</v>
      </c>
      <c r="I3043" s="917" t="str">
        <f>VLOOKUP($A3043,'Tech Litons'!$A:$C,3,0)</f>
        <v>Facepieces</v>
      </c>
      <c r="J3043" s="918" t="str">
        <f t="shared" si="306"/>
        <v>IncomFacepieces</v>
      </c>
      <c r="K3043" s="919">
        <v>1</v>
      </c>
      <c r="L3043" s="920">
        <f t="shared" si="311"/>
        <v>3900</v>
      </c>
      <c r="M3043" s="920">
        <f t="shared" si="307"/>
        <v>8.4239999999999995</v>
      </c>
      <c r="N3043" s="920">
        <f t="shared" si="308"/>
        <v>20</v>
      </c>
      <c r="O3043" s="918" t="str">
        <f t="shared" si="309"/>
        <v>Jan</v>
      </c>
      <c r="P3043" s="921">
        <f t="shared" si="310"/>
        <v>5</v>
      </c>
    </row>
    <row r="3044" spans="1:16" ht="15" hidden="1" customHeight="1">
      <c r="A3044" s="839">
        <v>64341108</v>
      </c>
      <c r="B3044" s="839" t="s">
        <v>139</v>
      </c>
      <c r="C3044" s="906">
        <v>4200</v>
      </c>
      <c r="D3044" s="907" t="s">
        <v>1270</v>
      </c>
      <c r="E3044" s="839" t="s">
        <v>615</v>
      </c>
      <c r="F3044" s="839">
        <v>1419</v>
      </c>
      <c r="G3044" s="916">
        <f>VLOOKUP($A3044,'Tech Litons'!$A:$I,8,FALSE)</f>
        <v>2.3599999999999997E-3</v>
      </c>
      <c r="H3044" s="917">
        <f>VLOOKUP($A3044,'Tech Litons'!$A:$I,9,FALSE)</f>
        <v>210</v>
      </c>
      <c r="I3044" s="917" t="str">
        <f>VLOOKUP($A3044,'Tech Litons'!$A:$C,3,0)</f>
        <v>Facepieces</v>
      </c>
      <c r="J3044" s="918" t="str">
        <f t="shared" si="306"/>
        <v>IncomFacepieces</v>
      </c>
      <c r="K3044" s="919">
        <v>1</v>
      </c>
      <c r="L3044" s="920">
        <f t="shared" si="311"/>
        <v>4200</v>
      </c>
      <c r="M3044" s="920">
        <f t="shared" si="307"/>
        <v>9.911999999999999</v>
      </c>
      <c r="N3044" s="920">
        <f t="shared" si="308"/>
        <v>20</v>
      </c>
      <c r="O3044" s="918" t="str">
        <f t="shared" si="309"/>
        <v>Jan</v>
      </c>
      <c r="P3044" s="921">
        <f t="shared" si="310"/>
        <v>5</v>
      </c>
    </row>
    <row r="3045" spans="1:16" ht="15" hidden="1" customHeight="1">
      <c r="A3045" s="839">
        <v>64341108</v>
      </c>
      <c r="B3045" s="839" t="s">
        <v>139</v>
      </c>
      <c r="C3045" s="906">
        <v>4200</v>
      </c>
      <c r="D3045" s="907" t="s">
        <v>1270</v>
      </c>
      <c r="E3045" s="839" t="s">
        <v>615</v>
      </c>
      <c r="F3045" s="839">
        <v>1419</v>
      </c>
      <c r="G3045" s="916">
        <f>VLOOKUP($A3045,'Tech Litons'!$A:$I,8,FALSE)</f>
        <v>2.3599999999999997E-3</v>
      </c>
      <c r="H3045" s="917">
        <f>VLOOKUP($A3045,'Tech Litons'!$A:$I,9,FALSE)</f>
        <v>210</v>
      </c>
      <c r="I3045" s="917" t="str">
        <f>VLOOKUP($A3045,'Tech Litons'!$A:$C,3,0)</f>
        <v>Facepieces</v>
      </c>
      <c r="J3045" s="918" t="str">
        <f t="shared" si="306"/>
        <v>IncomFacepieces</v>
      </c>
      <c r="K3045" s="919">
        <v>1</v>
      </c>
      <c r="L3045" s="920">
        <f t="shared" si="311"/>
        <v>4200</v>
      </c>
      <c r="M3045" s="920">
        <f t="shared" si="307"/>
        <v>9.911999999999999</v>
      </c>
      <c r="N3045" s="920">
        <f t="shared" si="308"/>
        <v>20</v>
      </c>
      <c r="O3045" s="918" t="str">
        <f t="shared" si="309"/>
        <v>Jan</v>
      </c>
      <c r="P3045" s="921">
        <f t="shared" si="310"/>
        <v>5</v>
      </c>
    </row>
    <row r="3046" spans="1:16" ht="15" hidden="1" customHeight="1">
      <c r="A3046" s="839">
        <v>64341108</v>
      </c>
      <c r="B3046" s="839" t="s">
        <v>139</v>
      </c>
      <c r="C3046" s="906">
        <v>4200</v>
      </c>
      <c r="D3046" s="907" t="s">
        <v>1270</v>
      </c>
      <c r="E3046" s="839" t="s">
        <v>615</v>
      </c>
      <c r="F3046" s="839">
        <v>1419</v>
      </c>
      <c r="G3046" s="916">
        <f>VLOOKUP($A3046,'Tech Litons'!$A:$I,8,FALSE)</f>
        <v>2.3599999999999997E-3</v>
      </c>
      <c r="H3046" s="917">
        <f>VLOOKUP($A3046,'Tech Litons'!$A:$I,9,FALSE)</f>
        <v>210</v>
      </c>
      <c r="I3046" s="917" t="str">
        <f>VLOOKUP($A3046,'Tech Litons'!$A:$C,3,0)</f>
        <v>Facepieces</v>
      </c>
      <c r="J3046" s="918" t="str">
        <f t="shared" si="306"/>
        <v>IncomFacepieces</v>
      </c>
      <c r="K3046" s="919">
        <v>1</v>
      </c>
      <c r="L3046" s="920">
        <f t="shared" si="311"/>
        <v>4200</v>
      </c>
      <c r="M3046" s="920">
        <f t="shared" si="307"/>
        <v>9.911999999999999</v>
      </c>
      <c r="N3046" s="920">
        <f t="shared" si="308"/>
        <v>20</v>
      </c>
      <c r="O3046" s="918" t="str">
        <f t="shared" si="309"/>
        <v>Jan</v>
      </c>
      <c r="P3046" s="921">
        <f t="shared" si="310"/>
        <v>5</v>
      </c>
    </row>
    <row r="3047" spans="1:16" ht="15" hidden="1" customHeight="1">
      <c r="A3047" s="839">
        <v>64365613</v>
      </c>
      <c r="B3047" s="839" t="s">
        <v>139</v>
      </c>
      <c r="C3047" s="906">
        <v>3900</v>
      </c>
      <c r="D3047" s="907" t="s">
        <v>1279</v>
      </c>
      <c r="E3047" s="839" t="s">
        <v>617</v>
      </c>
      <c r="F3047" s="839">
        <v>1419</v>
      </c>
      <c r="G3047" s="916">
        <f>VLOOKUP($A3047,'Tech Litons'!$A:$I,8,FALSE)</f>
        <v>2.1540000000000001E-3</v>
      </c>
      <c r="H3047" s="917">
        <f>VLOOKUP($A3047,'Tech Litons'!$A:$I,9,FALSE)</f>
        <v>195</v>
      </c>
      <c r="I3047" s="917" t="str">
        <f>VLOOKUP($A3047,'Tech Litons'!$A:$C,3,0)</f>
        <v>Facepieces</v>
      </c>
      <c r="J3047" s="918" t="str">
        <f t="shared" si="306"/>
        <v>IncomFacepieces</v>
      </c>
      <c r="K3047" s="919">
        <v>1</v>
      </c>
      <c r="L3047" s="920">
        <f t="shared" si="311"/>
        <v>3900</v>
      </c>
      <c r="M3047" s="920">
        <f t="shared" si="307"/>
        <v>8.4006000000000007</v>
      </c>
      <c r="N3047" s="920">
        <f t="shared" si="308"/>
        <v>20</v>
      </c>
      <c r="O3047" s="918" t="str">
        <f t="shared" si="309"/>
        <v>Jan</v>
      </c>
      <c r="P3047" s="921">
        <f t="shared" si="310"/>
        <v>5</v>
      </c>
    </row>
    <row r="3048" spans="1:16" ht="15" hidden="1" customHeight="1">
      <c r="A3048" s="839">
        <v>64341108</v>
      </c>
      <c r="B3048" s="839" t="s">
        <v>139</v>
      </c>
      <c r="C3048" s="906">
        <v>4200</v>
      </c>
      <c r="D3048" s="907" t="s">
        <v>1279</v>
      </c>
      <c r="E3048" s="839" t="s">
        <v>615</v>
      </c>
      <c r="F3048" s="839">
        <v>1419</v>
      </c>
      <c r="G3048" s="916">
        <f>VLOOKUP($A3048,'Tech Litons'!$A:$I,8,FALSE)</f>
        <v>2.3599999999999997E-3</v>
      </c>
      <c r="H3048" s="917">
        <f>VLOOKUP($A3048,'Tech Litons'!$A:$I,9,FALSE)</f>
        <v>210</v>
      </c>
      <c r="I3048" s="917" t="str">
        <f>VLOOKUP($A3048,'Tech Litons'!$A:$C,3,0)</f>
        <v>Facepieces</v>
      </c>
      <c r="J3048" s="918" t="str">
        <f t="shared" si="306"/>
        <v>IncomFacepieces</v>
      </c>
      <c r="K3048" s="919">
        <v>1</v>
      </c>
      <c r="L3048" s="920">
        <f t="shared" si="311"/>
        <v>4200</v>
      </c>
      <c r="M3048" s="920">
        <f t="shared" si="307"/>
        <v>9.911999999999999</v>
      </c>
      <c r="N3048" s="920">
        <f t="shared" si="308"/>
        <v>20</v>
      </c>
      <c r="O3048" s="918" t="str">
        <f t="shared" si="309"/>
        <v>Jan</v>
      </c>
      <c r="P3048" s="921">
        <f t="shared" si="310"/>
        <v>5</v>
      </c>
    </row>
    <row r="3049" spans="1:16" ht="15" hidden="1" customHeight="1">
      <c r="A3049" s="839">
        <v>64401837</v>
      </c>
      <c r="B3049" s="839" t="s">
        <v>139</v>
      </c>
      <c r="C3049" s="906">
        <v>3000</v>
      </c>
      <c r="D3049" s="907" t="s">
        <v>1271</v>
      </c>
      <c r="E3049" s="839" t="s">
        <v>618</v>
      </c>
      <c r="F3049" s="839">
        <v>1419</v>
      </c>
      <c r="G3049" s="916">
        <f>VLOOKUP($A3049,'Tech Litons'!$A:$I,8,FALSE)</f>
        <v>2.16E-3</v>
      </c>
      <c r="H3049" s="917">
        <f>VLOOKUP($A3049,'Tech Litons'!$A:$I,9,FALSE)</f>
        <v>150</v>
      </c>
      <c r="I3049" s="917" t="str">
        <f>VLOOKUP($A3049,'Tech Litons'!$A:$C,3,0)</f>
        <v>Facepieces</v>
      </c>
      <c r="J3049" s="918" t="str">
        <f t="shared" si="306"/>
        <v>IncomFacepieces</v>
      </c>
      <c r="K3049" s="919">
        <v>1</v>
      </c>
      <c r="L3049" s="920">
        <f t="shared" si="311"/>
        <v>3000</v>
      </c>
      <c r="M3049" s="920">
        <f t="shared" si="307"/>
        <v>6.48</v>
      </c>
      <c r="N3049" s="920">
        <f t="shared" si="308"/>
        <v>20</v>
      </c>
      <c r="O3049" s="918" t="str">
        <f t="shared" si="309"/>
        <v>Jan</v>
      </c>
      <c r="P3049" s="921">
        <f t="shared" si="310"/>
        <v>5</v>
      </c>
    </row>
    <row r="3050" spans="1:16" ht="15" hidden="1" customHeight="1">
      <c r="A3050" s="839">
        <v>64401837</v>
      </c>
      <c r="B3050" s="839" t="s">
        <v>139</v>
      </c>
      <c r="C3050" s="906">
        <v>3000</v>
      </c>
      <c r="D3050" s="907" t="s">
        <v>1271</v>
      </c>
      <c r="E3050" s="839" t="s">
        <v>618</v>
      </c>
      <c r="F3050" s="839">
        <v>1419</v>
      </c>
      <c r="G3050" s="916">
        <f>VLOOKUP($A3050,'Tech Litons'!$A:$I,8,FALSE)</f>
        <v>2.16E-3</v>
      </c>
      <c r="H3050" s="917">
        <f>VLOOKUP($A3050,'Tech Litons'!$A:$I,9,FALSE)</f>
        <v>150</v>
      </c>
      <c r="I3050" s="917" t="str">
        <f>VLOOKUP($A3050,'Tech Litons'!$A:$C,3,0)</f>
        <v>Facepieces</v>
      </c>
      <c r="J3050" s="918" t="str">
        <f t="shared" si="306"/>
        <v>IncomFacepieces</v>
      </c>
      <c r="K3050" s="919">
        <v>1</v>
      </c>
      <c r="L3050" s="920">
        <f t="shared" si="311"/>
        <v>3000</v>
      </c>
      <c r="M3050" s="920">
        <f t="shared" si="307"/>
        <v>6.48</v>
      </c>
      <c r="N3050" s="920">
        <f t="shared" si="308"/>
        <v>20</v>
      </c>
      <c r="O3050" s="918" t="str">
        <f t="shared" si="309"/>
        <v>Jan</v>
      </c>
      <c r="P3050" s="921">
        <f t="shared" si="310"/>
        <v>5</v>
      </c>
    </row>
    <row r="3051" spans="1:16" ht="15" hidden="1" customHeight="1">
      <c r="A3051" s="839">
        <v>64365613</v>
      </c>
      <c r="B3051" s="839" t="s">
        <v>139</v>
      </c>
      <c r="C3051" s="906">
        <v>3900</v>
      </c>
      <c r="D3051" s="907" t="s">
        <v>1271</v>
      </c>
      <c r="E3051" s="839" t="s">
        <v>617</v>
      </c>
      <c r="F3051" s="839">
        <v>1419</v>
      </c>
      <c r="G3051" s="916">
        <f>VLOOKUP($A3051,'Tech Litons'!$A:$I,8,FALSE)</f>
        <v>2.1540000000000001E-3</v>
      </c>
      <c r="H3051" s="917">
        <f>VLOOKUP($A3051,'Tech Litons'!$A:$I,9,FALSE)</f>
        <v>195</v>
      </c>
      <c r="I3051" s="917" t="str">
        <f>VLOOKUP($A3051,'Tech Litons'!$A:$C,3,0)</f>
        <v>Facepieces</v>
      </c>
      <c r="J3051" s="918" t="str">
        <f t="shared" si="306"/>
        <v>IncomFacepieces</v>
      </c>
      <c r="K3051" s="919">
        <v>1</v>
      </c>
      <c r="L3051" s="920">
        <f t="shared" si="311"/>
        <v>3900</v>
      </c>
      <c r="M3051" s="920">
        <f t="shared" si="307"/>
        <v>8.4006000000000007</v>
      </c>
      <c r="N3051" s="920">
        <f t="shared" si="308"/>
        <v>20</v>
      </c>
      <c r="O3051" s="918" t="str">
        <f t="shared" si="309"/>
        <v>Jan</v>
      </c>
      <c r="P3051" s="921">
        <f t="shared" si="310"/>
        <v>5</v>
      </c>
    </row>
    <row r="3052" spans="1:16" ht="15" hidden="1" customHeight="1">
      <c r="A3052" s="839">
        <v>64365613</v>
      </c>
      <c r="B3052" s="839" t="s">
        <v>139</v>
      </c>
      <c r="C3052" s="906">
        <v>3900</v>
      </c>
      <c r="D3052" s="907" t="s">
        <v>1271</v>
      </c>
      <c r="E3052" s="839" t="s">
        <v>617</v>
      </c>
      <c r="F3052" s="839">
        <v>1419</v>
      </c>
      <c r="G3052" s="916">
        <f>VLOOKUP($A3052,'Tech Litons'!$A:$I,8,FALSE)</f>
        <v>2.1540000000000001E-3</v>
      </c>
      <c r="H3052" s="917">
        <f>VLOOKUP($A3052,'Tech Litons'!$A:$I,9,FALSE)</f>
        <v>195</v>
      </c>
      <c r="I3052" s="917" t="str">
        <f>VLOOKUP($A3052,'Tech Litons'!$A:$C,3,0)</f>
        <v>Facepieces</v>
      </c>
      <c r="J3052" s="918" t="str">
        <f t="shared" si="306"/>
        <v>IncomFacepieces</v>
      </c>
      <c r="K3052" s="919">
        <v>1</v>
      </c>
      <c r="L3052" s="920">
        <f t="shared" si="311"/>
        <v>3900</v>
      </c>
      <c r="M3052" s="920">
        <f t="shared" si="307"/>
        <v>8.4006000000000007</v>
      </c>
      <c r="N3052" s="920">
        <f t="shared" si="308"/>
        <v>20</v>
      </c>
      <c r="O3052" s="918" t="str">
        <f t="shared" si="309"/>
        <v>Jan</v>
      </c>
      <c r="P3052" s="921">
        <f t="shared" si="310"/>
        <v>5</v>
      </c>
    </row>
    <row r="3053" spans="1:16" ht="15" hidden="1" customHeight="1">
      <c r="A3053" s="839">
        <v>64401837</v>
      </c>
      <c r="B3053" s="839" t="s">
        <v>139</v>
      </c>
      <c r="C3053" s="906">
        <v>3000</v>
      </c>
      <c r="D3053" s="907" t="s">
        <v>1280</v>
      </c>
      <c r="E3053" s="839" t="s">
        <v>618</v>
      </c>
      <c r="F3053" s="839">
        <v>3989</v>
      </c>
      <c r="G3053" s="916">
        <f>VLOOKUP($A3053,'Tech Litons'!$A:$I,8,FALSE)</f>
        <v>2.16E-3</v>
      </c>
      <c r="H3053" s="917">
        <f>VLOOKUP($A3053,'Tech Litons'!$A:$I,9,FALSE)</f>
        <v>150</v>
      </c>
      <c r="I3053" s="917" t="str">
        <f>VLOOKUP($A3053,'Tech Litons'!$A:$C,3,0)</f>
        <v>Facepieces</v>
      </c>
      <c r="J3053" s="918" t="str">
        <f t="shared" si="306"/>
        <v>IncomFacepieces</v>
      </c>
      <c r="K3053" s="919">
        <v>1</v>
      </c>
      <c r="L3053" s="920">
        <f t="shared" si="311"/>
        <v>3000</v>
      </c>
      <c r="M3053" s="920">
        <f t="shared" si="307"/>
        <v>6.48</v>
      </c>
      <c r="N3053" s="920">
        <f t="shared" si="308"/>
        <v>20</v>
      </c>
      <c r="O3053" s="918" t="str">
        <f t="shared" si="309"/>
        <v>Jan</v>
      </c>
      <c r="P3053" s="921">
        <f t="shared" si="310"/>
        <v>5</v>
      </c>
    </row>
    <row r="3054" spans="1:16" ht="15" hidden="1" customHeight="1">
      <c r="A3054" s="839">
        <v>64341108</v>
      </c>
      <c r="B3054" s="839" t="s">
        <v>139</v>
      </c>
      <c r="C3054" s="906">
        <v>4200</v>
      </c>
      <c r="D3054" s="907" t="s">
        <v>1280</v>
      </c>
      <c r="E3054" s="839" t="s">
        <v>615</v>
      </c>
      <c r="F3054" s="839">
        <v>1419</v>
      </c>
      <c r="G3054" s="916">
        <f>VLOOKUP($A3054,'Tech Litons'!$A:$I,8,FALSE)</f>
        <v>2.3599999999999997E-3</v>
      </c>
      <c r="H3054" s="917">
        <f>VLOOKUP($A3054,'Tech Litons'!$A:$I,9,FALSE)</f>
        <v>210</v>
      </c>
      <c r="I3054" s="917" t="str">
        <f>VLOOKUP($A3054,'Tech Litons'!$A:$C,3,0)</f>
        <v>Facepieces</v>
      </c>
      <c r="J3054" s="918" t="str">
        <f t="shared" si="306"/>
        <v>IncomFacepieces</v>
      </c>
      <c r="K3054" s="919">
        <v>1</v>
      </c>
      <c r="L3054" s="920">
        <f t="shared" si="311"/>
        <v>4200</v>
      </c>
      <c r="M3054" s="920">
        <f t="shared" si="307"/>
        <v>9.911999999999999</v>
      </c>
      <c r="N3054" s="920">
        <f t="shared" si="308"/>
        <v>20</v>
      </c>
      <c r="O3054" s="918" t="str">
        <f t="shared" si="309"/>
        <v>Jan</v>
      </c>
      <c r="P3054" s="921">
        <f t="shared" si="310"/>
        <v>5</v>
      </c>
    </row>
    <row r="3055" spans="1:16" ht="15" hidden="1" customHeight="1">
      <c r="A3055" s="839">
        <v>64341108</v>
      </c>
      <c r="B3055" s="839" t="s">
        <v>139</v>
      </c>
      <c r="C3055" s="906">
        <v>4200</v>
      </c>
      <c r="D3055" s="907" t="s">
        <v>1288</v>
      </c>
      <c r="E3055" s="839" t="s">
        <v>615</v>
      </c>
      <c r="F3055" s="839">
        <v>1419</v>
      </c>
      <c r="G3055" s="916">
        <f>VLOOKUP($A3055,'Tech Litons'!$A:$I,8,FALSE)</f>
        <v>2.3599999999999997E-3</v>
      </c>
      <c r="H3055" s="917">
        <f>VLOOKUP($A3055,'Tech Litons'!$A:$I,9,FALSE)</f>
        <v>210</v>
      </c>
      <c r="I3055" s="917" t="str">
        <f>VLOOKUP($A3055,'Tech Litons'!$A:$C,3,0)</f>
        <v>Facepieces</v>
      </c>
      <c r="J3055" s="918" t="str">
        <f t="shared" si="306"/>
        <v>IncomFacepieces</v>
      </c>
      <c r="K3055" s="919">
        <v>1</v>
      </c>
      <c r="L3055" s="920">
        <f t="shared" si="311"/>
        <v>4200</v>
      </c>
      <c r="M3055" s="920">
        <f t="shared" si="307"/>
        <v>9.911999999999999</v>
      </c>
      <c r="N3055" s="920">
        <f t="shared" si="308"/>
        <v>20</v>
      </c>
      <c r="O3055" s="918" t="str">
        <f t="shared" si="309"/>
        <v>Feb</v>
      </c>
      <c r="P3055" s="921">
        <f t="shared" si="310"/>
        <v>6</v>
      </c>
    </row>
    <row r="3056" spans="1:16" ht="15" hidden="1" customHeight="1">
      <c r="A3056" s="839">
        <v>64341108</v>
      </c>
      <c r="B3056" s="839" t="s">
        <v>139</v>
      </c>
      <c r="C3056" s="906">
        <v>4200</v>
      </c>
      <c r="D3056" s="907" t="s">
        <v>1272</v>
      </c>
      <c r="E3056" s="839" t="s">
        <v>615</v>
      </c>
      <c r="F3056" s="839">
        <v>1419</v>
      </c>
      <c r="G3056" s="916">
        <f>VLOOKUP($A3056,'Tech Litons'!$A:$I,8,FALSE)</f>
        <v>2.3599999999999997E-3</v>
      </c>
      <c r="H3056" s="917">
        <f>VLOOKUP($A3056,'Tech Litons'!$A:$I,9,FALSE)</f>
        <v>210</v>
      </c>
      <c r="I3056" s="917" t="str">
        <f>VLOOKUP($A3056,'Tech Litons'!$A:$C,3,0)</f>
        <v>Facepieces</v>
      </c>
      <c r="J3056" s="918" t="str">
        <f t="shared" si="306"/>
        <v>IncomFacepieces</v>
      </c>
      <c r="K3056" s="919">
        <v>1</v>
      </c>
      <c r="L3056" s="920">
        <f t="shared" si="311"/>
        <v>4200</v>
      </c>
      <c r="M3056" s="920">
        <f t="shared" si="307"/>
        <v>9.911999999999999</v>
      </c>
      <c r="N3056" s="920">
        <f t="shared" si="308"/>
        <v>20</v>
      </c>
      <c r="O3056" s="918" t="str">
        <f t="shared" si="309"/>
        <v>Feb</v>
      </c>
      <c r="P3056" s="921">
        <f t="shared" si="310"/>
        <v>6</v>
      </c>
    </row>
    <row r="3057" spans="1:16" ht="15" hidden="1" customHeight="1">
      <c r="A3057" s="839">
        <v>64956417</v>
      </c>
      <c r="B3057" s="839" t="s">
        <v>139</v>
      </c>
      <c r="C3057" s="906">
        <v>2860</v>
      </c>
      <c r="D3057" s="907" t="s">
        <v>1281</v>
      </c>
      <c r="E3057" s="839" t="s">
        <v>621</v>
      </c>
      <c r="F3057" s="839">
        <v>1419</v>
      </c>
      <c r="G3057" s="916">
        <f>VLOOKUP($A3057,'Tech Litons'!$A:$I,8,FALSE)</f>
        <v>2.16E-3</v>
      </c>
      <c r="H3057" s="917">
        <f>VLOOKUP($A3057,'Tech Litons'!$A:$I,9,FALSE)</f>
        <v>143</v>
      </c>
      <c r="I3057" s="917" t="str">
        <f>VLOOKUP($A3057,'Tech Litons'!$A:$C,3,0)</f>
        <v>Facepieces</v>
      </c>
      <c r="J3057" s="918" t="str">
        <f t="shared" si="306"/>
        <v>IncomFacepieces</v>
      </c>
      <c r="K3057" s="919">
        <v>1</v>
      </c>
      <c r="L3057" s="920">
        <f t="shared" si="311"/>
        <v>2860</v>
      </c>
      <c r="M3057" s="920">
        <f t="shared" si="307"/>
        <v>6.1776</v>
      </c>
      <c r="N3057" s="920">
        <f t="shared" si="308"/>
        <v>20</v>
      </c>
      <c r="O3057" s="918" t="str">
        <f t="shared" si="309"/>
        <v>Feb</v>
      </c>
      <c r="P3057" s="921">
        <f t="shared" si="310"/>
        <v>6</v>
      </c>
    </row>
    <row r="3058" spans="1:16" ht="15" hidden="1" customHeight="1">
      <c r="A3058" s="839">
        <v>64956417</v>
      </c>
      <c r="B3058" s="839" t="s">
        <v>139</v>
      </c>
      <c r="C3058" s="906">
        <v>2860</v>
      </c>
      <c r="D3058" s="907" t="s">
        <v>1281</v>
      </c>
      <c r="E3058" s="839" t="s">
        <v>621</v>
      </c>
      <c r="F3058" s="839">
        <v>1419</v>
      </c>
      <c r="G3058" s="916">
        <f>VLOOKUP($A3058,'Tech Litons'!$A:$I,8,FALSE)</f>
        <v>2.16E-3</v>
      </c>
      <c r="H3058" s="917">
        <f>VLOOKUP($A3058,'Tech Litons'!$A:$I,9,FALSE)</f>
        <v>143</v>
      </c>
      <c r="I3058" s="917" t="str">
        <f>VLOOKUP($A3058,'Tech Litons'!$A:$C,3,0)</f>
        <v>Facepieces</v>
      </c>
      <c r="J3058" s="918" t="str">
        <f t="shared" si="306"/>
        <v>IncomFacepieces</v>
      </c>
      <c r="K3058" s="919">
        <v>1</v>
      </c>
      <c r="L3058" s="920">
        <f t="shared" si="311"/>
        <v>2860</v>
      </c>
      <c r="M3058" s="920">
        <f t="shared" si="307"/>
        <v>6.1776</v>
      </c>
      <c r="N3058" s="920">
        <f t="shared" si="308"/>
        <v>20</v>
      </c>
      <c r="O3058" s="918" t="str">
        <f t="shared" si="309"/>
        <v>Feb</v>
      </c>
      <c r="P3058" s="921">
        <f t="shared" si="310"/>
        <v>6</v>
      </c>
    </row>
    <row r="3059" spans="1:16" ht="15" hidden="1" customHeight="1">
      <c r="A3059" s="839">
        <v>64956417</v>
      </c>
      <c r="B3059" s="839" t="s">
        <v>139</v>
      </c>
      <c r="C3059" s="906">
        <v>2860</v>
      </c>
      <c r="D3059" s="907" t="s">
        <v>1281</v>
      </c>
      <c r="E3059" s="839" t="s">
        <v>621</v>
      </c>
      <c r="F3059" s="839">
        <v>1419</v>
      </c>
      <c r="G3059" s="916">
        <f>VLOOKUP($A3059,'Tech Litons'!$A:$I,8,FALSE)</f>
        <v>2.16E-3</v>
      </c>
      <c r="H3059" s="917">
        <f>VLOOKUP($A3059,'Tech Litons'!$A:$I,9,FALSE)</f>
        <v>143</v>
      </c>
      <c r="I3059" s="917" t="str">
        <f>VLOOKUP($A3059,'Tech Litons'!$A:$C,3,0)</f>
        <v>Facepieces</v>
      </c>
      <c r="J3059" s="918" t="str">
        <f t="shared" si="306"/>
        <v>IncomFacepieces</v>
      </c>
      <c r="K3059" s="919">
        <v>1</v>
      </c>
      <c r="L3059" s="920">
        <f t="shared" si="311"/>
        <v>2860</v>
      </c>
      <c r="M3059" s="920">
        <f t="shared" si="307"/>
        <v>6.1776</v>
      </c>
      <c r="N3059" s="920">
        <f t="shared" si="308"/>
        <v>20</v>
      </c>
      <c r="O3059" s="918" t="str">
        <f t="shared" si="309"/>
        <v>Feb</v>
      </c>
      <c r="P3059" s="921">
        <f t="shared" si="310"/>
        <v>6</v>
      </c>
    </row>
    <row r="3060" spans="1:16" ht="15" hidden="1" customHeight="1">
      <c r="A3060" s="839">
        <v>64365613</v>
      </c>
      <c r="B3060" s="839" t="s">
        <v>139</v>
      </c>
      <c r="C3060" s="906">
        <v>3900</v>
      </c>
      <c r="D3060" s="907" t="s">
        <v>1281</v>
      </c>
      <c r="E3060" s="839" t="s">
        <v>617</v>
      </c>
      <c r="F3060" s="839">
        <v>1419</v>
      </c>
      <c r="G3060" s="916">
        <f>VLOOKUP($A3060,'Tech Litons'!$A:$I,8,FALSE)</f>
        <v>2.1540000000000001E-3</v>
      </c>
      <c r="H3060" s="917">
        <f>VLOOKUP($A3060,'Tech Litons'!$A:$I,9,FALSE)</f>
        <v>195</v>
      </c>
      <c r="I3060" s="917" t="str">
        <f>VLOOKUP($A3060,'Tech Litons'!$A:$C,3,0)</f>
        <v>Facepieces</v>
      </c>
      <c r="J3060" s="918" t="str">
        <f t="shared" si="306"/>
        <v>IncomFacepieces</v>
      </c>
      <c r="K3060" s="919">
        <v>1</v>
      </c>
      <c r="L3060" s="920">
        <f t="shared" si="311"/>
        <v>3900</v>
      </c>
      <c r="M3060" s="920">
        <f t="shared" si="307"/>
        <v>8.4006000000000007</v>
      </c>
      <c r="N3060" s="920">
        <f t="shared" si="308"/>
        <v>20</v>
      </c>
      <c r="O3060" s="918" t="str">
        <f t="shared" si="309"/>
        <v>Feb</v>
      </c>
      <c r="P3060" s="921">
        <f t="shared" si="310"/>
        <v>6</v>
      </c>
    </row>
    <row r="3061" spans="1:16" ht="15" hidden="1" customHeight="1">
      <c r="A3061" s="839">
        <v>64979444</v>
      </c>
      <c r="B3061" s="839" t="s">
        <v>139</v>
      </c>
      <c r="C3061" s="906">
        <v>3900</v>
      </c>
      <c r="D3061" s="907" t="s">
        <v>1281</v>
      </c>
      <c r="E3061" s="839" t="s">
        <v>622</v>
      </c>
      <c r="F3061" s="839">
        <v>1419</v>
      </c>
      <c r="G3061" s="916">
        <f>VLOOKUP($A3061,'Tech Litons'!$A:$I,8,FALSE)</f>
        <v>2.16E-3</v>
      </c>
      <c r="H3061" s="917">
        <f>VLOOKUP($A3061,'Tech Litons'!$A:$I,9,FALSE)</f>
        <v>195</v>
      </c>
      <c r="I3061" s="917" t="str">
        <f>VLOOKUP($A3061,'Tech Litons'!$A:$C,3,0)</f>
        <v>Facepieces</v>
      </c>
      <c r="J3061" s="918" t="str">
        <f t="shared" si="306"/>
        <v>IncomFacepieces</v>
      </c>
      <c r="K3061" s="919">
        <v>1</v>
      </c>
      <c r="L3061" s="920">
        <f t="shared" si="311"/>
        <v>3900</v>
      </c>
      <c r="M3061" s="920">
        <f t="shared" si="307"/>
        <v>8.4239999999999995</v>
      </c>
      <c r="N3061" s="920">
        <f t="shared" si="308"/>
        <v>20</v>
      </c>
      <c r="O3061" s="918" t="str">
        <f t="shared" si="309"/>
        <v>Feb</v>
      </c>
      <c r="P3061" s="921">
        <f t="shared" si="310"/>
        <v>6</v>
      </c>
    </row>
    <row r="3062" spans="1:16" ht="15" hidden="1" customHeight="1">
      <c r="A3062" s="839">
        <v>64401837</v>
      </c>
      <c r="B3062" s="839" t="s">
        <v>139</v>
      </c>
      <c r="C3062" s="906">
        <v>3000</v>
      </c>
      <c r="D3062" s="907" t="s">
        <v>1273</v>
      </c>
      <c r="E3062" s="839" t="s">
        <v>618</v>
      </c>
      <c r="F3062" s="839">
        <v>1419</v>
      </c>
      <c r="G3062" s="916">
        <f>VLOOKUP($A3062,'Tech Litons'!$A:$I,8,FALSE)</f>
        <v>2.16E-3</v>
      </c>
      <c r="H3062" s="917">
        <f>VLOOKUP($A3062,'Tech Litons'!$A:$I,9,FALSE)</f>
        <v>150</v>
      </c>
      <c r="I3062" s="917" t="str">
        <f>VLOOKUP($A3062,'Tech Litons'!$A:$C,3,0)</f>
        <v>Facepieces</v>
      </c>
      <c r="J3062" s="918" t="str">
        <f t="shared" si="306"/>
        <v>IncomFacepieces</v>
      </c>
      <c r="K3062" s="919">
        <v>1</v>
      </c>
      <c r="L3062" s="920">
        <f t="shared" si="311"/>
        <v>3000</v>
      </c>
      <c r="M3062" s="920">
        <f t="shared" si="307"/>
        <v>6.48</v>
      </c>
      <c r="N3062" s="920">
        <f t="shared" si="308"/>
        <v>20</v>
      </c>
      <c r="O3062" s="918" t="str">
        <f t="shared" si="309"/>
        <v>Feb</v>
      </c>
      <c r="P3062" s="921">
        <f t="shared" si="310"/>
        <v>6</v>
      </c>
    </row>
    <row r="3063" spans="1:16" ht="15" hidden="1" customHeight="1">
      <c r="A3063" s="839">
        <v>64365613</v>
      </c>
      <c r="B3063" s="839" t="s">
        <v>139</v>
      </c>
      <c r="C3063" s="906">
        <v>3900</v>
      </c>
      <c r="D3063" s="907" t="s">
        <v>1273</v>
      </c>
      <c r="E3063" s="839" t="s">
        <v>617</v>
      </c>
      <c r="F3063" s="839">
        <v>1419</v>
      </c>
      <c r="G3063" s="916">
        <f>VLOOKUP($A3063,'Tech Litons'!$A:$I,8,FALSE)</f>
        <v>2.1540000000000001E-3</v>
      </c>
      <c r="H3063" s="917">
        <f>VLOOKUP($A3063,'Tech Litons'!$A:$I,9,FALSE)</f>
        <v>195</v>
      </c>
      <c r="I3063" s="917" t="str">
        <f>VLOOKUP($A3063,'Tech Litons'!$A:$C,3,0)</f>
        <v>Facepieces</v>
      </c>
      <c r="J3063" s="918" t="str">
        <f t="shared" si="306"/>
        <v>IncomFacepieces</v>
      </c>
      <c r="K3063" s="919">
        <v>1</v>
      </c>
      <c r="L3063" s="920">
        <f t="shared" si="311"/>
        <v>3900</v>
      </c>
      <c r="M3063" s="920">
        <f t="shared" si="307"/>
        <v>8.4006000000000007</v>
      </c>
      <c r="N3063" s="920">
        <f t="shared" si="308"/>
        <v>20</v>
      </c>
      <c r="O3063" s="918" t="str">
        <f t="shared" si="309"/>
        <v>Feb</v>
      </c>
      <c r="P3063" s="921">
        <f t="shared" si="310"/>
        <v>6</v>
      </c>
    </row>
    <row r="3064" spans="1:16" ht="15" hidden="1" customHeight="1">
      <c r="A3064" s="839">
        <v>64365613</v>
      </c>
      <c r="B3064" s="839" t="s">
        <v>139</v>
      </c>
      <c r="C3064" s="906">
        <v>3900</v>
      </c>
      <c r="D3064" s="907" t="s">
        <v>1273</v>
      </c>
      <c r="E3064" s="839" t="s">
        <v>617</v>
      </c>
      <c r="F3064" s="839">
        <v>1419</v>
      </c>
      <c r="G3064" s="916">
        <f>VLOOKUP($A3064,'Tech Litons'!$A:$I,8,FALSE)</f>
        <v>2.1540000000000001E-3</v>
      </c>
      <c r="H3064" s="917">
        <f>VLOOKUP($A3064,'Tech Litons'!$A:$I,9,FALSE)</f>
        <v>195</v>
      </c>
      <c r="I3064" s="917" t="str">
        <f>VLOOKUP($A3064,'Tech Litons'!$A:$C,3,0)</f>
        <v>Facepieces</v>
      </c>
      <c r="J3064" s="918" t="str">
        <f t="shared" si="306"/>
        <v>IncomFacepieces</v>
      </c>
      <c r="K3064" s="919">
        <v>1</v>
      </c>
      <c r="L3064" s="920">
        <f t="shared" si="311"/>
        <v>3900</v>
      </c>
      <c r="M3064" s="920">
        <f t="shared" si="307"/>
        <v>8.4006000000000007</v>
      </c>
      <c r="N3064" s="920">
        <f t="shared" si="308"/>
        <v>20</v>
      </c>
      <c r="O3064" s="918" t="str">
        <f t="shared" si="309"/>
        <v>Feb</v>
      </c>
      <c r="P3064" s="921">
        <f t="shared" si="310"/>
        <v>6</v>
      </c>
    </row>
    <row r="3065" spans="1:16" ht="15" hidden="1" customHeight="1">
      <c r="A3065" s="839">
        <v>64771676</v>
      </c>
      <c r="B3065" s="839" t="s">
        <v>139</v>
      </c>
      <c r="C3065" s="906">
        <v>3900</v>
      </c>
      <c r="D3065" s="907" t="s">
        <v>1273</v>
      </c>
      <c r="E3065" s="839" t="s">
        <v>619</v>
      </c>
      <c r="F3065" s="839">
        <v>1419</v>
      </c>
      <c r="G3065" s="916">
        <f>VLOOKUP($A3065,'Tech Litons'!$A:$I,8,FALSE)</f>
        <v>2.16E-3</v>
      </c>
      <c r="H3065" s="917">
        <f>VLOOKUP($A3065,'Tech Litons'!$A:$I,9,FALSE)</f>
        <v>195</v>
      </c>
      <c r="I3065" s="917" t="str">
        <f>VLOOKUP($A3065,'Tech Litons'!$A:$C,3,0)</f>
        <v>Facepieces</v>
      </c>
      <c r="J3065" s="918" t="str">
        <f t="shared" si="306"/>
        <v>IncomFacepieces</v>
      </c>
      <c r="K3065" s="919">
        <v>1</v>
      </c>
      <c r="L3065" s="920">
        <f t="shared" si="311"/>
        <v>3900</v>
      </c>
      <c r="M3065" s="920">
        <f t="shared" si="307"/>
        <v>8.4239999999999995</v>
      </c>
      <c r="N3065" s="920">
        <f t="shared" si="308"/>
        <v>20</v>
      </c>
      <c r="O3065" s="918" t="str">
        <f t="shared" si="309"/>
        <v>Feb</v>
      </c>
      <c r="P3065" s="921">
        <f t="shared" si="310"/>
        <v>6</v>
      </c>
    </row>
    <row r="3066" spans="1:16" ht="15" hidden="1" customHeight="1">
      <c r="A3066" s="839">
        <v>64341108</v>
      </c>
      <c r="B3066" s="839" t="s">
        <v>139</v>
      </c>
      <c r="C3066" s="906">
        <v>4200</v>
      </c>
      <c r="D3066" s="907" t="s">
        <v>1273</v>
      </c>
      <c r="E3066" s="839" t="s">
        <v>615</v>
      </c>
      <c r="F3066" s="839">
        <v>1419</v>
      </c>
      <c r="G3066" s="916">
        <f>VLOOKUP($A3066,'Tech Litons'!$A:$I,8,FALSE)</f>
        <v>2.3599999999999997E-3</v>
      </c>
      <c r="H3066" s="917">
        <f>VLOOKUP($A3066,'Tech Litons'!$A:$I,9,FALSE)</f>
        <v>210</v>
      </c>
      <c r="I3066" s="917" t="str">
        <f>VLOOKUP($A3066,'Tech Litons'!$A:$C,3,0)</f>
        <v>Facepieces</v>
      </c>
      <c r="J3066" s="918" t="str">
        <f t="shared" si="306"/>
        <v>IncomFacepieces</v>
      </c>
      <c r="K3066" s="919">
        <v>1</v>
      </c>
      <c r="L3066" s="920">
        <f t="shared" si="311"/>
        <v>4200</v>
      </c>
      <c r="M3066" s="920">
        <f t="shared" si="307"/>
        <v>9.911999999999999</v>
      </c>
      <c r="N3066" s="920">
        <f t="shared" si="308"/>
        <v>20</v>
      </c>
      <c r="O3066" s="918" t="str">
        <f t="shared" si="309"/>
        <v>Feb</v>
      </c>
      <c r="P3066" s="921">
        <f t="shared" si="310"/>
        <v>6</v>
      </c>
    </row>
    <row r="3067" spans="1:16" ht="15" hidden="1" customHeight="1">
      <c r="A3067" s="839">
        <v>64341108</v>
      </c>
      <c r="B3067" s="839" t="s">
        <v>139</v>
      </c>
      <c r="C3067" s="906">
        <v>4200</v>
      </c>
      <c r="D3067" s="907" t="s">
        <v>1273</v>
      </c>
      <c r="E3067" s="839" t="s">
        <v>615</v>
      </c>
      <c r="F3067" s="839">
        <v>1419</v>
      </c>
      <c r="G3067" s="916">
        <f>VLOOKUP($A3067,'Tech Litons'!$A:$I,8,FALSE)</f>
        <v>2.3599999999999997E-3</v>
      </c>
      <c r="H3067" s="917">
        <f>VLOOKUP($A3067,'Tech Litons'!$A:$I,9,FALSE)</f>
        <v>210</v>
      </c>
      <c r="I3067" s="917" t="str">
        <f>VLOOKUP($A3067,'Tech Litons'!$A:$C,3,0)</f>
        <v>Facepieces</v>
      </c>
      <c r="J3067" s="918" t="str">
        <f t="shared" si="306"/>
        <v>IncomFacepieces</v>
      </c>
      <c r="K3067" s="919">
        <v>1</v>
      </c>
      <c r="L3067" s="920">
        <f t="shared" si="311"/>
        <v>4200</v>
      </c>
      <c r="M3067" s="920">
        <f t="shared" si="307"/>
        <v>9.911999999999999</v>
      </c>
      <c r="N3067" s="920">
        <f t="shared" si="308"/>
        <v>20</v>
      </c>
      <c r="O3067" s="918" t="str">
        <f t="shared" si="309"/>
        <v>Feb</v>
      </c>
      <c r="P3067" s="921">
        <f t="shared" si="310"/>
        <v>6</v>
      </c>
    </row>
    <row r="3068" spans="1:16" ht="15" hidden="1" customHeight="1">
      <c r="A3068" s="839">
        <v>64341109</v>
      </c>
      <c r="B3068" s="839" t="s">
        <v>139</v>
      </c>
      <c r="C3068" s="906">
        <v>4200</v>
      </c>
      <c r="D3068" s="907" t="s">
        <v>1273</v>
      </c>
      <c r="E3068" s="839" t="s">
        <v>616</v>
      </c>
      <c r="F3068" s="839">
        <v>1419</v>
      </c>
      <c r="G3068" s="916">
        <f>VLOOKUP($A3068,'Tech Litons'!$A:$I,8,FALSE)</f>
        <v>2E-3</v>
      </c>
      <c r="H3068" s="917">
        <f>VLOOKUP($A3068,'Tech Litons'!$A:$I,9,FALSE)</f>
        <v>210</v>
      </c>
      <c r="I3068" s="917" t="str">
        <f>VLOOKUP($A3068,'Tech Litons'!$A:$C,3,0)</f>
        <v>Facepieces</v>
      </c>
      <c r="J3068" s="918" t="str">
        <f t="shared" si="306"/>
        <v>IncomFacepieces</v>
      </c>
      <c r="K3068" s="919">
        <v>1</v>
      </c>
      <c r="L3068" s="920">
        <f t="shared" si="311"/>
        <v>4200</v>
      </c>
      <c r="M3068" s="920">
        <f t="shared" si="307"/>
        <v>8.4</v>
      </c>
      <c r="N3068" s="920">
        <f t="shared" si="308"/>
        <v>20</v>
      </c>
      <c r="O3068" s="918" t="str">
        <f t="shared" si="309"/>
        <v>Feb</v>
      </c>
      <c r="P3068" s="921">
        <f t="shared" si="310"/>
        <v>6</v>
      </c>
    </row>
    <row r="3069" spans="1:16" ht="15" hidden="1" customHeight="1">
      <c r="A3069" s="839">
        <v>64341108</v>
      </c>
      <c r="B3069" s="839" t="s">
        <v>139</v>
      </c>
      <c r="C3069" s="906">
        <v>4200</v>
      </c>
      <c r="D3069" s="907" t="s">
        <v>1273</v>
      </c>
      <c r="E3069" s="839" t="s">
        <v>615</v>
      </c>
      <c r="F3069" s="839">
        <v>1419</v>
      </c>
      <c r="G3069" s="916">
        <f>VLOOKUP($A3069,'Tech Litons'!$A:$I,8,FALSE)</f>
        <v>2.3599999999999997E-3</v>
      </c>
      <c r="H3069" s="917">
        <f>VLOOKUP($A3069,'Tech Litons'!$A:$I,9,FALSE)</f>
        <v>210</v>
      </c>
      <c r="I3069" s="917" t="str">
        <f>VLOOKUP($A3069,'Tech Litons'!$A:$C,3,0)</f>
        <v>Facepieces</v>
      </c>
      <c r="J3069" s="918" t="str">
        <f t="shared" si="306"/>
        <v>IncomFacepieces</v>
      </c>
      <c r="K3069" s="919">
        <v>1</v>
      </c>
      <c r="L3069" s="920">
        <f t="shared" si="311"/>
        <v>4200</v>
      </c>
      <c r="M3069" s="920">
        <f t="shared" si="307"/>
        <v>9.911999999999999</v>
      </c>
      <c r="N3069" s="920">
        <f t="shared" si="308"/>
        <v>20</v>
      </c>
      <c r="O3069" s="918" t="str">
        <f t="shared" si="309"/>
        <v>Feb</v>
      </c>
      <c r="P3069" s="921">
        <f t="shared" si="310"/>
        <v>6</v>
      </c>
    </row>
    <row r="3070" spans="1:16" ht="15" hidden="1" customHeight="1">
      <c r="A3070" s="839">
        <v>64403162</v>
      </c>
      <c r="B3070" s="839" t="s">
        <v>139</v>
      </c>
      <c r="C3070" s="906">
        <v>3900</v>
      </c>
      <c r="D3070" s="907" t="s">
        <v>1278</v>
      </c>
      <c r="E3070" s="839" t="s">
        <v>1203</v>
      </c>
      <c r="F3070" s="839">
        <v>1419</v>
      </c>
      <c r="G3070" s="916">
        <f>VLOOKUP($A3070,'Tech Litons'!$A:$I,8,FALSE)</f>
        <v>2.16E-3</v>
      </c>
      <c r="H3070" s="917">
        <f>VLOOKUP($A3070,'Tech Litons'!$A:$I,9,FALSE)</f>
        <v>195</v>
      </c>
      <c r="I3070" s="917" t="str">
        <f>VLOOKUP($A3070,'Tech Litons'!$A:$C,3,0)</f>
        <v>Facepieces</v>
      </c>
      <c r="J3070" s="918" t="str">
        <f t="shared" si="306"/>
        <v>IncomFacepieces</v>
      </c>
      <c r="K3070" s="919">
        <v>1</v>
      </c>
      <c r="L3070" s="920">
        <f t="shared" si="311"/>
        <v>3900</v>
      </c>
      <c r="M3070" s="920">
        <f t="shared" si="307"/>
        <v>8.4239999999999995</v>
      </c>
      <c r="N3070" s="920">
        <f t="shared" si="308"/>
        <v>20</v>
      </c>
      <c r="O3070" s="918" t="str">
        <f t="shared" si="309"/>
        <v>Feb</v>
      </c>
      <c r="P3070" s="921">
        <f t="shared" si="310"/>
        <v>7</v>
      </c>
    </row>
    <row r="3071" spans="1:16" ht="15" hidden="1" customHeight="1">
      <c r="A3071" s="839">
        <v>64403162</v>
      </c>
      <c r="B3071" s="839" t="s">
        <v>139</v>
      </c>
      <c r="C3071" s="906">
        <v>3900</v>
      </c>
      <c r="D3071" s="907" t="s">
        <v>1278</v>
      </c>
      <c r="E3071" s="839" t="s">
        <v>1203</v>
      </c>
      <c r="F3071" s="839">
        <v>1419</v>
      </c>
      <c r="G3071" s="916">
        <f>VLOOKUP($A3071,'Tech Litons'!$A:$I,8,FALSE)</f>
        <v>2.16E-3</v>
      </c>
      <c r="H3071" s="917">
        <f>VLOOKUP($A3071,'Tech Litons'!$A:$I,9,FALSE)</f>
        <v>195</v>
      </c>
      <c r="I3071" s="917" t="str">
        <f>VLOOKUP($A3071,'Tech Litons'!$A:$C,3,0)</f>
        <v>Facepieces</v>
      </c>
      <c r="J3071" s="918" t="str">
        <f t="shared" si="306"/>
        <v>IncomFacepieces</v>
      </c>
      <c r="K3071" s="919">
        <v>1</v>
      </c>
      <c r="L3071" s="920">
        <f t="shared" si="311"/>
        <v>3900</v>
      </c>
      <c r="M3071" s="920">
        <f t="shared" si="307"/>
        <v>8.4239999999999995</v>
      </c>
      <c r="N3071" s="920">
        <f t="shared" si="308"/>
        <v>20</v>
      </c>
      <c r="O3071" s="918" t="str">
        <f t="shared" si="309"/>
        <v>Feb</v>
      </c>
      <c r="P3071" s="921">
        <f t="shared" si="310"/>
        <v>7</v>
      </c>
    </row>
    <row r="3072" spans="1:16" ht="15" hidden="1" customHeight="1">
      <c r="A3072" s="839">
        <v>64403162</v>
      </c>
      <c r="B3072" s="839" t="s">
        <v>139</v>
      </c>
      <c r="C3072" s="906">
        <v>3900</v>
      </c>
      <c r="D3072" s="907" t="s">
        <v>1278</v>
      </c>
      <c r="E3072" s="839" t="s">
        <v>1203</v>
      </c>
      <c r="F3072" s="839">
        <v>1419</v>
      </c>
      <c r="G3072" s="916">
        <f>VLOOKUP($A3072,'Tech Litons'!$A:$I,8,FALSE)</f>
        <v>2.16E-3</v>
      </c>
      <c r="H3072" s="917">
        <f>VLOOKUP($A3072,'Tech Litons'!$A:$I,9,FALSE)</f>
        <v>195</v>
      </c>
      <c r="I3072" s="917" t="str">
        <f>VLOOKUP($A3072,'Tech Litons'!$A:$C,3,0)</f>
        <v>Facepieces</v>
      </c>
      <c r="J3072" s="918" t="str">
        <f t="shared" si="306"/>
        <v>IncomFacepieces</v>
      </c>
      <c r="K3072" s="919">
        <v>1</v>
      </c>
      <c r="L3072" s="920">
        <f t="shared" si="311"/>
        <v>3900</v>
      </c>
      <c r="M3072" s="920">
        <f t="shared" si="307"/>
        <v>8.4239999999999995</v>
      </c>
      <c r="N3072" s="920">
        <f t="shared" si="308"/>
        <v>20</v>
      </c>
      <c r="O3072" s="918" t="str">
        <f t="shared" si="309"/>
        <v>Feb</v>
      </c>
      <c r="P3072" s="921">
        <f t="shared" si="310"/>
        <v>7</v>
      </c>
    </row>
    <row r="3073" spans="1:16" ht="15" hidden="1" customHeight="1">
      <c r="A3073" s="839">
        <v>64979444</v>
      </c>
      <c r="B3073" s="839" t="s">
        <v>139</v>
      </c>
      <c r="C3073" s="906">
        <v>3900</v>
      </c>
      <c r="D3073" s="907" t="s">
        <v>1278</v>
      </c>
      <c r="E3073" s="839" t="s">
        <v>622</v>
      </c>
      <c r="F3073" s="839">
        <v>1419</v>
      </c>
      <c r="G3073" s="916">
        <f>VLOOKUP($A3073,'Tech Litons'!$A:$I,8,FALSE)</f>
        <v>2.16E-3</v>
      </c>
      <c r="H3073" s="917">
        <f>VLOOKUP($A3073,'Tech Litons'!$A:$I,9,FALSE)</f>
        <v>195</v>
      </c>
      <c r="I3073" s="917" t="str">
        <f>VLOOKUP($A3073,'Tech Litons'!$A:$C,3,0)</f>
        <v>Facepieces</v>
      </c>
      <c r="J3073" s="918" t="str">
        <f t="shared" si="306"/>
        <v>IncomFacepieces</v>
      </c>
      <c r="K3073" s="919">
        <v>1</v>
      </c>
      <c r="L3073" s="920">
        <f t="shared" si="311"/>
        <v>3900</v>
      </c>
      <c r="M3073" s="920">
        <f t="shared" si="307"/>
        <v>8.4239999999999995</v>
      </c>
      <c r="N3073" s="920">
        <f t="shared" si="308"/>
        <v>20</v>
      </c>
      <c r="O3073" s="918" t="str">
        <f t="shared" si="309"/>
        <v>Feb</v>
      </c>
      <c r="P3073" s="921">
        <f t="shared" si="310"/>
        <v>7</v>
      </c>
    </row>
    <row r="3074" spans="1:16" ht="15" hidden="1" customHeight="1">
      <c r="A3074" s="839">
        <v>64365613</v>
      </c>
      <c r="B3074" s="839" t="s">
        <v>139</v>
      </c>
      <c r="C3074" s="906">
        <v>3900</v>
      </c>
      <c r="D3074" s="907" t="s">
        <v>1274</v>
      </c>
      <c r="E3074" s="839" t="s">
        <v>617</v>
      </c>
      <c r="F3074" s="839">
        <v>1419</v>
      </c>
      <c r="G3074" s="916">
        <f>VLOOKUP($A3074,'Tech Litons'!$A:$I,8,FALSE)</f>
        <v>2.1540000000000001E-3</v>
      </c>
      <c r="H3074" s="917">
        <f>VLOOKUP($A3074,'Tech Litons'!$A:$I,9,FALSE)</f>
        <v>195</v>
      </c>
      <c r="I3074" s="917" t="str">
        <f>VLOOKUP($A3074,'Tech Litons'!$A:$C,3,0)</f>
        <v>Facepieces</v>
      </c>
      <c r="J3074" s="918" t="str">
        <f t="shared" si="306"/>
        <v>IncomFacepieces</v>
      </c>
      <c r="K3074" s="919">
        <v>1</v>
      </c>
      <c r="L3074" s="920">
        <f t="shared" si="311"/>
        <v>3900</v>
      </c>
      <c r="M3074" s="920">
        <f t="shared" si="307"/>
        <v>8.4006000000000007</v>
      </c>
      <c r="N3074" s="920">
        <f t="shared" si="308"/>
        <v>20</v>
      </c>
      <c r="O3074" s="918" t="str">
        <f t="shared" si="309"/>
        <v>Feb</v>
      </c>
      <c r="P3074" s="921">
        <f t="shared" si="310"/>
        <v>7</v>
      </c>
    </row>
    <row r="3075" spans="1:16" ht="15" hidden="1" customHeight="1">
      <c r="A3075" s="839">
        <v>64979444</v>
      </c>
      <c r="B3075" s="839" t="s">
        <v>139</v>
      </c>
      <c r="C3075" s="906">
        <v>3900</v>
      </c>
      <c r="D3075" s="907" t="s">
        <v>1274</v>
      </c>
      <c r="E3075" s="839" t="s">
        <v>622</v>
      </c>
      <c r="F3075" s="839">
        <v>1419</v>
      </c>
      <c r="G3075" s="916">
        <f>VLOOKUP($A3075,'Tech Litons'!$A:$I,8,FALSE)</f>
        <v>2.16E-3</v>
      </c>
      <c r="H3075" s="917">
        <f>VLOOKUP($A3075,'Tech Litons'!$A:$I,9,FALSE)</f>
        <v>195</v>
      </c>
      <c r="I3075" s="917" t="str">
        <f>VLOOKUP($A3075,'Tech Litons'!$A:$C,3,0)</f>
        <v>Facepieces</v>
      </c>
      <c r="J3075" s="918" t="str">
        <f t="shared" si="306"/>
        <v>IncomFacepieces</v>
      </c>
      <c r="K3075" s="919">
        <v>1</v>
      </c>
      <c r="L3075" s="920">
        <f t="shared" si="311"/>
        <v>3900</v>
      </c>
      <c r="M3075" s="920">
        <f t="shared" si="307"/>
        <v>8.4239999999999995</v>
      </c>
      <c r="N3075" s="920">
        <f t="shared" si="308"/>
        <v>20</v>
      </c>
      <c r="O3075" s="918" t="str">
        <f t="shared" si="309"/>
        <v>Feb</v>
      </c>
      <c r="P3075" s="921">
        <f t="shared" si="310"/>
        <v>7</v>
      </c>
    </row>
    <row r="3076" spans="1:16" ht="15" hidden="1" customHeight="1">
      <c r="A3076" s="839">
        <v>64771676</v>
      </c>
      <c r="B3076" s="839" t="s">
        <v>139</v>
      </c>
      <c r="C3076" s="906">
        <v>3900</v>
      </c>
      <c r="D3076" s="907" t="s">
        <v>1287</v>
      </c>
      <c r="E3076" s="839" t="s">
        <v>619</v>
      </c>
      <c r="F3076" s="839">
        <v>3989</v>
      </c>
      <c r="G3076" s="916">
        <f>VLOOKUP($A3076,'Tech Litons'!$A:$I,8,FALSE)</f>
        <v>2.16E-3</v>
      </c>
      <c r="H3076" s="917">
        <f>VLOOKUP($A3076,'Tech Litons'!$A:$I,9,FALSE)</f>
        <v>195</v>
      </c>
      <c r="I3076" s="917" t="str">
        <f>VLOOKUP($A3076,'Tech Litons'!$A:$C,3,0)</f>
        <v>Facepieces</v>
      </c>
      <c r="J3076" s="918" t="str">
        <f t="shared" si="306"/>
        <v>IncomFacepieces</v>
      </c>
      <c r="K3076" s="919">
        <v>1</v>
      </c>
      <c r="L3076" s="920">
        <f t="shared" si="311"/>
        <v>3900</v>
      </c>
      <c r="M3076" s="920">
        <f t="shared" si="307"/>
        <v>8.4239999999999995</v>
      </c>
      <c r="N3076" s="920">
        <f t="shared" si="308"/>
        <v>20</v>
      </c>
      <c r="O3076" s="918" t="str">
        <f t="shared" si="309"/>
        <v>Feb</v>
      </c>
      <c r="P3076" s="921">
        <f t="shared" si="310"/>
        <v>7</v>
      </c>
    </row>
    <row r="3077" spans="1:16" ht="15" hidden="1" customHeight="1">
      <c r="A3077" s="839">
        <v>64771676</v>
      </c>
      <c r="B3077" s="839" t="s">
        <v>139</v>
      </c>
      <c r="C3077" s="906">
        <v>3900</v>
      </c>
      <c r="D3077" s="907" t="s">
        <v>1287</v>
      </c>
      <c r="E3077" s="839" t="s">
        <v>619</v>
      </c>
      <c r="F3077" s="839">
        <v>3989</v>
      </c>
      <c r="G3077" s="916">
        <f>VLOOKUP($A3077,'Tech Litons'!$A:$I,8,FALSE)</f>
        <v>2.16E-3</v>
      </c>
      <c r="H3077" s="917">
        <f>VLOOKUP($A3077,'Tech Litons'!$A:$I,9,FALSE)</f>
        <v>195</v>
      </c>
      <c r="I3077" s="917" t="str">
        <f>VLOOKUP($A3077,'Tech Litons'!$A:$C,3,0)</f>
        <v>Facepieces</v>
      </c>
      <c r="J3077" s="918" t="str">
        <f t="shared" si="306"/>
        <v>IncomFacepieces</v>
      </c>
      <c r="K3077" s="919">
        <v>1</v>
      </c>
      <c r="L3077" s="920">
        <f t="shared" si="311"/>
        <v>3900</v>
      </c>
      <c r="M3077" s="920">
        <f t="shared" si="307"/>
        <v>8.4239999999999995</v>
      </c>
      <c r="N3077" s="920">
        <f t="shared" si="308"/>
        <v>20</v>
      </c>
      <c r="O3077" s="918" t="str">
        <f t="shared" si="309"/>
        <v>Feb</v>
      </c>
      <c r="P3077" s="921">
        <f t="shared" si="310"/>
        <v>7</v>
      </c>
    </row>
    <row r="3078" spans="1:16" ht="15" hidden="1" customHeight="1">
      <c r="A3078" s="839">
        <v>64341109</v>
      </c>
      <c r="B3078" s="839" t="s">
        <v>139</v>
      </c>
      <c r="C3078" s="906">
        <v>4290</v>
      </c>
      <c r="D3078" s="907" t="s">
        <v>1287</v>
      </c>
      <c r="E3078" s="839" t="s">
        <v>616</v>
      </c>
      <c r="F3078" s="839">
        <v>3989</v>
      </c>
      <c r="G3078" s="916">
        <f>VLOOKUP($A3078,'Tech Litons'!$A:$I,8,FALSE)</f>
        <v>2E-3</v>
      </c>
      <c r="H3078" s="917">
        <f>VLOOKUP($A3078,'Tech Litons'!$A:$I,9,FALSE)</f>
        <v>210</v>
      </c>
      <c r="I3078" s="917" t="str">
        <f>VLOOKUP($A3078,'Tech Litons'!$A:$C,3,0)</f>
        <v>Facepieces</v>
      </c>
      <c r="J3078" s="918" t="str">
        <f t="shared" si="306"/>
        <v>IncomFacepieces</v>
      </c>
      <c r="K3078" s="919">
        <v>1</v>
      </c>
      <c r="L3078" s="920">
        <f t="shared" si="311"/>
        <v>4290</v>
      </c>
      <c r="M3078" s="920">
        <f t="shared" si="307"/>
        <v>8.58</v>
      </c>
      <c r="N3078" s="920">
        <f t="shared" si="308"/>
        <v>20.428571428571427</v>
      </c>
      <c r="O3078" s="918" t="str">
        <f t="shared" si="309"/>
        <v>Feb</v>
      </c>
      <c r="P3078" s="921">
        <f t="shared" si="310"/>
        <v>7</v>
      </c>
    </row>
    <row r="3079" spans="1:16" ht="15" hidden="1" customHeight="1">
      <c r="A3079" s="839">
        <v>64956417</v>
      </c>
      <c r="B3079" s="839" t="s">
        <v>139</v>
      </c>
      <c r="C3079" s="906">
        <v>2860</v>
      </c>
      <c r="D3079" s="907" t="s">
        <v>1282</v>
      </c>
      <c r="E3079" s="839" t="s">
        <v>621</v>
      </c>
      <c r="F3079" s="839">
        <v>1419</v>
      </c>
      <c r="G3079" s="916">
        <f>VLOOKUP($A3079,'Tech Litons'!$A:$I,8,FALSE)</f>
        <v>2.16E-3</v>
      </c>
      <c r="H3079" s="917">
        <f>VLOOKUP($A3079,'Tech Litons'!$A:$I,9,FALSE)</f>
        <v>143</v>
      </c>
      <c r="I3079" s="917" t="str">
        <f>VLOOKUP($A3079,'Tech Litons'!$A:$C,3,0)</f>
        <v>Facepieces</v>
      </c>
      <c r="J3079" s="918" t="str">
        <f t="shared" si="306"/>
        <v>IncomFacepieces</v>
      </c>
      <c r="K3079" s="919">
        <v>1</v>
      </c>
      <c r="L3079" s="920">
        <f t="shared" si="311"/>
        <v>2860</v>
      </c>
      <c r="M3079" s="920">
        <f t="shared" si="307"/>
        <v>6.1776</v>
      </c>
      <c r="N3079" s="920">
        <f t="shared" si="308"/>
        <v>20</v>
      </c>
      <c r="O3079" s="918" t="str">
        <f t="shared" si="309"/>
        <v>Feb</v>
      </c>
      <c r="P3079" s="921">
        <f t="shared" si="310"/>
        <v>7</v>
      </c>
    </row>
    <row r="3080" spans="1:16" ht="15" hidden="1" customHeight="1">
      <c r="A3080" s="839">
        <v>64956417</v>
      </c>
      <c r="B3080" s="839" t="s">
        <v>139</v>
      </c>
      <c r="C3080" s="906">
        <v>2860</v>
      </c>
      <c r="D3080" s="907" t="s">
        <v>1282</v>
      </c>
      <c r="E3080" s="839" t="s">
        <v>621</v>
      </c>
      <c r="F3080" s="839">
        <v>3989</v>
      </c>
      <c r="G3080" s="916">
        <f>VLOOKUP($A3080,'Tech Litons'!$A:$I,8,FALSE)</f>
        <v>2.16E-3</v>
      </c>
      <c r="H3080" s="917">
        <f>VLOOKUP($A3080,'Tech Litons'!$A:$I,9,FALSE)</f>
        <v>143</v>
      </c>
      <c r="I3080" s="917" t="str">
        <f>VLOOKUP($A3080,'Tech Litons'!$A:$C,3,0)</f>
        <v>Facepieces</v>
      </c>
      <c r="J3080" s="918" t="str">
        <f t="shared" si="306"/>
        <v>IncomFacepieces</v>
      </c>
      <c r="K3080" s="919">
        <v>1</v>
      </c>
      <c r="L3080" s="920">
        <f t="shared" si="311"/>
        <v>2860</v>
      </c>
      <c r="M3080" s="920">
        <f t="shared" si="307"/>
        <v>6.1776</v>
      </c>
      <c r="N3080" s="920">
        <f t="shared" si="308"/>
        <v>20</v>
      </c>
      <c r="O3080" s="918" t="str">
        <f t="shared" si="309"/>
        <v>Feb</v>
      </c>
      <c r="P3080" s="921">
        <f t="shared" si="310"/>
        <v>7</v>
      </c>
    </row>
    <row r="3081" spans="1:16" ht="15" hidden="1" customHeight="1">
      <c r="A3081" s="839">
        <v>64956417</v>
      </c>
      <c r="B3081" s="839" t="s">
        <v>139</v>
      </c>
      <c r="C3081" s="906">
        <v>2860</v>
      </c>
      <c r="D3081" s="907" t="s">
        <v>1282</v>
      </c>
      <c r="E3081" s="839" t="s">
        <v>621</v>
      </c>
      <c r="F3081" s="839">
        <v>3989</v>
      </c>
      <c r="G3081" s="916">
        <f>VLOOKUP($A3081,'Tech Litons'!$A:$I,8,FALSE)</f>
        <v>2.16E-3</v>
      </c>
      <c r="H3081" s="917">
        <f>VLOOKUP($A3081,'Tech Litons'!$A:$I,9,FALSE)</f>
        <v>143</v>
      </c>
      <c r="I3081" s="917" t="str">
        <f>VLOOKUP($A3081,'Tech Litons'!$A:$C,3,0)</f>
        <v>Facepieces</v>
      </c>
      <c r="J3081" s="918" t="str">
        <f t="shared" si="306"/>
        <v>IncomFacepieces</v>
      </c>
      <c r="K3081" s="919">
        <v>1</v>
      </c>
      <c r="L3081" s="920">
        <f t="shared" si="311"/>
        <v>2860</v>
      </c>
      <c r="M3081" s="920">
        <f t="shared" si="307"/>
        <v>6.1776</v>
      </c>
      <c r="N3081" s="920">
        <f t="shared" si="308"/>
        <v>20</v>
      </c>
      <c r="O3081" s="918" t="str">
        <f t="shared" si="309"/>
        <v>Feb</v>
      </c>
      <c r="P3081" s="921">
        <f t="shared" si="310"/>
        <v>7</v>
      </c>
    </row>
    <row r="3082" spans="1:16" ht="15" hidden="1" customHeight="1">
      <c r="A3082" s="839">
        <v>64401837</v>
      </c>
      <c r="B3082" s="839" t="s">
        <v>139</v>
      </c>
      <c r="C3082" s="906">
        <v>3000</v>
      </c>
      <c r="D3082" s="907" t="s">
        <v>1282</v>
      </c>
      <c r="E3082" s="839" t="s">
        <v>618</v>
      </c>
      <c r="F3082" s="839">
        <v>3989</v>
      </c>
      <c r="G3082" s="916">
        <f>VLOOKUP($A3082,'Tech Litons'!$A:$I,8,FALSE)</f>
        <v>2.16E-3</v>
      </c>
      <c r="H3082" s="917">
        <f>VLOOKUP($A3082,'Tech Litons'!$A:$I,9,FALSE)</f>
        <v>150</v>
      </c>
      <c r="I3082" s="917" t="str">
        <f>VLOOKUP($A3082,'Tech Litons'!$A:$C,3,0)</f>
        <v>Facepieces</v>
      </c>
      <c r="J3082" s="918" t="str">
        <f t="shared" si="306"/>
        <v>IncomFacepieces</v>
      </c>
      <c r="K3082" s="919">
        <v>1</v>
      </c>
      <c r="L3082" s="920">
        <f t="shared" si="311"/>
        <v>3000</v>
      </c>
      <c r="M3082" s="920">
        <f t="shared" si="307"/>
        <v>6.48</v>
      </c>
      <c r="N3082" s="920">
        <f t="shared" si="308"/>
        <v>20</v>
      </c>
      <c r="O3082" s="918" t="str">
        <f t="shared" si="309"/>
        <v>Feb</v>
      </c>
      <c r="P3082" s="921">
        <f t="shared" si="310"/>
        <v>7</v>
      </c>
    </row>
    <row r="3083" spans="1:16" ht="15" hidden="1" customHeight="1">
      <c r="A3083" s="839">
        <v>64403162</v>
      </c>
      <c r="B3083" s="839" t="s">
        <v>139</v>
      </c>
      <c r="C3083" s="906">
        <v>3822</v>
      </c>
      <c r="D3083" s="907" t="s">
        <v>1282</v>
      </c>
      <c r="E3083" s="839" t="s">
        <v>1203</v>
      </c>
      <c r="F3083" s="839">
        <v>1419</v>
      </c>
      <c r="G3083" s="916">
        <f>VLOOKUP($A3083,'Tech Litons'!$A:$I,8,FALSE)</f>
        <v>2.16E-3</v>
      </c>
      <c r="H3083" s="917">
        <f>VLOOKUP($A3083,'Tech Litons'!$A:$I,9,FALSE)</f>
        <v>195</v>
      </c>
      <c r="I3083" s="917" t="str">
        <f>VLOOKUP($A3083,'Tech Litons'!$A:$C,3,0)</f>
        <v>Facepieces</v>
      </c>
      <c r="J3083" s="918" t="str">
        <f t="shared" si="306"/>
        <v>IncomFacepieces</v>
      </c>
      <c r="K3083" s="919">
        <v>1</v>
      </c>
      <c r="L3083" s="920">
        <f t="shared" si="311"/>
        <v>3822</v>
      </c>
      <c r="M3083" s="920">
        <f t="shared" si="307"/>
        <v>8.2555200000000006</v>
      </c>
      <c r="N3083" s="920">
        <f t="shared" si="308"/>
        <v>19.600000000000001</v>
      </c>
      <c r="O3083" s="918" t="str">
        <f t="shared" si="309"/>
        <v>Feb</v>
      </c>
      <c r="P3083" s="921">
        <f t="shared" si="310"/>
        <v>7</v>
      </c>
    </row>
    <row r="3084" spans="1:16" ht="15" hidden="1" customHeight="1">
      <c r="A3084" s="839">
        <v>64365613</v>
      </c>
      <c r="B3084" s="839" t="s">
        <v>139</v>
      </c>
      <c r="C3084" s="906">
        <v>3900</v>
      </c>
      <c r="D3084" s="907" t="s">
        <v>1282</v>
      </c>
      <c r="E3084" s="839" t="s">
        <v>617</v>
      </c>
      <c r="F3084" s="839">
        <v>1419</v>
      </c>
      <c r="G3084" s="916">
        <f>VLOOKUP($A3084,'Tech Litons'!$A:$I,8,FALSE)</f>
        <v>2.1540000000000001E-3</v>
      </c>
      <c r="H3084" s="917">
        <f>VLOOKUP($A3084,'Tech Litons'!$A:$I,9,FALSE)</f>
        <v>195</v>
      </c>
      <c r="I3084" s="917" t="str">
        <f>VLOOKUP($A3084,'Tech Litons'!$A:$C,3,0)</f>
        <v>Facepieces</v>
      </c>
      <c r="J3084" s="918" t="str">
        <f t="shared" si="306"/>
        <v>IncomFacepieces</v>
      </c>
      <c r="K3084" s="919">
        <v>1</v>
      </c>
      <c r="L3084" s="920">
        <f t="shared" si="311"/>
        <v>3900</v>
      </c>
      <c r="M3084" s="920">
        <f t="shared" si="307"/>
        <v>8.4006000000000007</v>
      </c>
      <c r="N3084" s="920">
        <f t="shared" si="308"/>
        <v>20</v>
      </c>
      <c r="O3084" s="918" t="str">
        <f t="shared" si="309"/>
        <v>Feb</v>
      </c>
      <c r="P3084" s="921">
        <f t="shared" si="310"/>
        <v>7</v>
      </c>
    </row>
    <row r="3085" spans="1:16" ht="15" hidden="1" customHeight="1">
      <c r="A3085" s="839">
        <v>64365613</v>
      </c>
      <c r="B3085" s="839" t="s">
        <v>139</v>
      </c>
      <c r="C3085" s="906">
        <v>3900</v>
      </c>
      <c r="D3085" s="907" t="s">
        <v>1282</v>
      </c>
      <c r="E3085" s="839" t="s">
        <v>617</v>
      </c>
      <c r="F3085" s="839">
        <v>1419</v>
      </c>
      <c r="G3085" s="916">
        <f>VLOOKUP($A3085,'Tech Litons'!$A:$I,8,FALSE)</f>
        <v>2.1540000000000001E-3</v>
      </c>
      <c r="H3085" s="917">
        <f>VLOOKUP($A3085,'Tech Litons'!$A:$I,9,FALSE)</f>
        <v>195</v>
      </c>
      <c r="I3085" s="917" t="str">
        <f>VLOOKUP($A3085,'Tech Litons'!$A:$C,3,0)</f>
        <v>Facepieces</v>
      </c>
      <c r="J3085" s="918" t="str">
        <f t="shared" si="306"/>
        <v>IncomFacepieces</v>
      </c>
      <c r="K3085" s="919">
        <v>1</v>
      </c>
      <c r="L3085" s="920">
        <f t="shared" si="311"/>
        <v>3900</v>
      </c>
      <c r="M3085" s="920">
        <f t="shared" si="307"/>
        <v>8.4006000000000007</v>
      </c>
      <c r="N3085" s="920">
        <f t="shared" si="308"/>
        <v>20</v>
      </c>
      <c r="O3085" s="918" t="str">
        <f t="shared" si="309"/>
        <v>Feb</v>
      </c>
      <c r="P3085" s="921">
        <f t="shared" si="310"/>
        <v>7</v>
      </c>
    </row>
    <row r="3086" spans="1:16" ht="15" hidden="1" customHeight="1">
      <c r="A3086" s="839">
        <v>64771676</v>
      </c>
      <c r="B3086" s="839" t="s">
        <v>139</v>
      </c>
      <c r="C3086" s="906">
        <v>3900</v>
      </c>
      <c r="D3086" s="907" t="s">
        <v>1282</v>
      </c>
      <c r="E3086" s="839" t="s">
        <v>619</v>
      </c>
      <c r="F3086" s="839">
        <v>1419</v>
      </c>
      <c r="G3086" s="916">
        <f>VLOOKUP($A3086,'Tech Litons'!$A:$I,8,FALSE)</f>
        <v>2.16E-3</v>
      </c>
      <c r="H3086" s="917">
        <f>VLOOKUP($A3086,'Tech Litons'!$A:$I,9,FALSE)</f>
        <v>195</v>
      </c>
      <c r="I3086" s="917" t="str">
        <f>VLOOKUP($A3086,'Tech Litons'!$A:$C,3,0)</f>
        <v>Facepieces</v>
      </c>
      <c r="J3086" s="918" t="str">
        <f t="shared" ref="J3086:J3139" si="312">B3086&amp;I3086</f>
        <v>IncomFacepieces</v>
      </c>
      <c r="K3086" s="919">
        <v>1</v>
      </c>
      <c r="L3086" s="920">
        <f t="shared" si="311"/>
        <v>3900</v>
      </c>
      <c r="M3086" s="920">
        <f t="shared" ref="M3086:M3139" si="313">L3086*G3086</f>
        <v>8.4239999999999995</v>
      </c>
      <c r="N3086" s="920">
        <f t="shared" ref="N3086:N3139" si="314">L3086/H3086</f>
        <v>20</v>
      </c>
      <c r="O3086" s="918" t="str">
        <f t="shared" ref="O3086:O3139" si="315">TEXT(D3086,"MMM")</f>
        <v>Feb</v>
      </c>
      <c r="P3086" s="921">
        <f t="shared" ref="P3086:P3139" si="316">WEEKNUM(D3086)</f>
        <v>7</v>
      </c>
    </row>
    <row r="3087" spans="1:16" ht="15" hidden="1" customHeight="1">
      <c r="A3087" s="839">
        <v>64771676</v>
      </c>
      <c r="B3087" s="839" t="s">
        <v>139</v>
      </c>
      <c r="C3087" s="906">
        <v>3900</v>
      </c>
      <c r="D3087" s="907" t="s">
        <v>1282</v>
      </c>
      <c r="E3087" s="839" t="s">
        <v>619</v>
      </c>
      <c r="F3087" s="839">
        <v>1419</v>
      </c>
      <c r="G3087" s="916">
        <f>VLOOKUP($A3087,'Tech Litons'!$A:$I,8,FALSE)</f>
        <v>2.16E-3</v>
      </c>
      <c r="H3087" s="917">
        <f>VLOOKUP($A3087,'Tech Litons'!$A:$I,9,FALSE)</f>
        <v>195</v>
      </c>
      <c r="I3087" s="917" t="str">
        <f>VLOOKUP($A3087,'Tech Litons'!$A:$C,3,0)</f>
        <v>Facepieces</v>
      </c>
      <c r="J3087" s="918" t="str">
        <f t="shared" si="312"/>
        <v>IncomFacepieces</v>
      </c>
      <c r="K3087" s="919">
        <v>1</v>
      </c>
      <c r="L3087" s="920">
        <f t="shared" si="311"/>
        <v>3900</v>
      </c>
      <c r="M3087" s="920">
        <f t="shared" si="313"/>
        <v>8.4239999999999995</v>
      </c>
      <c r="N3087" s="920">
        <f t="shared" si="314"/>
        <v>20</v>
      </c>
      <c r="O3087" s="918" t="str">
        <f t="shared" si="315"/>
        <v>Feb</v>
      </c>
      <c r="P3087" s="921">
        <f t="shared" si="316"/>
        <v>7</v>
      </c>
    </row>
    <row r="3088" spans="1:16" ht="15" hidden="1" customHeight="1">
      <c r="A3088" s="839">
        <v>64401837</v>
      </c>
      <c r="B3088" s="839" t="s">
        <v>139</v>
      </c>
      <c r="C3088" s="906">
        <v>3900</v>
      </c>
      <c r="D3088" s="907" t="s">
        <v>1282</v>
      </c>
      <c r="E3088" s="839" t="s">
        <v>618</v>
      </c>
      <c r="F3088" s="839">
        <v>1419</v>
      </c>
      <c r="G3088" s="916">
        <f>VLOOKUP($A3088,'Tech Litons'!$A:$I,8,FALSE)</f>
        <v>2.16E-3</v>
      </c>
      <c r="H3088" s="917">
        <f>VLOOKUP($A3088,'Tech Litons'!$A:$I,9,FALSE)</f>
        <v>150</v>
      </c>
      <c r="I3088" s="917" t="str">
        <f>VLOOKUP($A3088,'Tech Litons'!$A:$C,3,0)</f>
        <v>Facepieces</v>
      </c>
      <c r="J3088" s="918" t="str">
        <f t="shared" si="312"/>
        <v>IncomFacepieces</v>
      </c>
      <c r="K3088" s="919">
        <v>1</v>
      </c>
      <c r="L3088" s="920">
        <f t="shared" si="311"/>
        <v>3900</v>
      </c>
      <c r="M3088" s="920">
        <f t="shared" si="313"/>
        <v>8.4239999999999995</v>
      </c>
      <c r="N3088" s="920">
        <f t="shared" si="314"/>
        <v>26</v>
      </c>
      <c r="O3088" s="918" t="str">
        <f t="shared" si="315"/>
        <v>Feb</v>
      </c>
      <c r="P3088" s="921">
        <f t="shared" si="316"/>
        <v>7</v>
      </c>
    </row>
    <row r="3089" spans="1:16" ht="15" hidden="1" customHeight="1">
      <c r="A3089" s="839">
        <v>64365613</v>
      </c>
      <c r="B3089" s="839" t="s">
        <v>139</v>
      </c>
      <c r="C3089" s="906">
        <v>3900</v>
      </c>
      <c r="D3089" s="907" t="s">
        <v>1282</v>
      </c>
      <c r="E3089" s="839" t="s">
        <v>617</v>
      </c>
      <c r="F3089" s="839">
        <v>1419</v>
      </c>
      <c r="G3089" s="916">
        <f>VLOOKUP($A3089,'Tech Litons'!$A:$I,8,FALSE)</f>
        <v>2.1540000000000001E-3</v>
      </c>
      <c r="H3089" s="917">
        <f>VLOOKUP($A3089,'Tech Litons'!$A:$I,9,FALSE)</f>
        <v>195</v>
      </c>
      <c r="I3089" s="917" t="str">
        <f>VLOOKUP($A3089,'Tech Litons'!$A:$C,3,0)</f>
        <v>Facepieces</v>
      </c>
      <c r="J3089" s="918" t="str">
        <f t="shared" si="312"/>
        <v>IncomFacepieces</v>
      </c>
      <c r="K3089" s="919">
        <v>1</v>
      </c>
      <c r="L3089" s="920">
        <f t="shared" si="311"/>
        <v>3900</v>
      </c>
      <c r="M3089" s="920">
        <f t="shared" si="313"/>
        <v>8.4006000000000007</v>
      </c>
      <c r="N3089" s="920">
        <f t="shared" si="314"/>
        <v>20</v>
      </c>
      <c r="O3089" s="918" t="str">
        <f t="shared" si="315"/>
        <v>Feb</v>
      </c>
      <c r="P3089" s="921">
        <f t="shared" si="316"/>
        <v>7</v>
      </c>
    </row>
    <row r="3090" spans="1:16" ht="15" hidden="1" customHeight="1">
      <c r="A3090" s="839">
        <v>64403162</v>
      </c>
      <c r="B3090" s="839" t="s">
        <v>139</v>
      </c>
      <c r="C3090" s="906">
        <v>3900</v>
      </c>
      <c r="D3090" s="907" t="s">
        <v>1282</v>
      </c>
      <c r="E3090" s="839" t="s">
        <v>1203</v>
      </c>
      <c r="F3090" s="839">
        <v>1419</v>
      </c>
      <c r="G3090" s="916">
        <f>VLOOKUP($A3090,'Tech Litons'!$A:$I,8,FALSE)</f>
        <v>2.16E-3</v>
      </c>
      <c r="H3090" s="917">
        <f>VLOOKUP($A3090,'Tech Litons'!$A:$I,9,FALSE)</f>
        <v>195</v>
      </c>
      <c r="I3090" s="917" t="str">
        <f>VLOOKUP($A3090,'Tech Litons'!$A:$C,3,0)</f>
        <v>Facepieces</v>
      </c>
      <c r="J3090" s="918" t="str">
        <f t="shared" si="312"/>
        <v>IncomFacepieces</v>
      </c>
      <c r="K3090" s="919">
        <v>1</v>
      </c>
      <c r="L3090" s="920">
        <f t="shared" si="311"/>
        <v>3900</v>
      </c>
      <c r="M3090" s="920">
        <f t="shared" si="313"/>
        <v>8.4239999999999995</v>
      </c>
      <c r="N3090" s="920">
        <f t="shared" si="314"/>
        <v>20</v>
      </c>
      <c r="O3090" s="918" t="str">
        <f t="shared" si="315"/>
        <v>Feb</v>
      </c>
      <c r="P3090" s="921">
        <f t="shared" si="316"/>
        <v>7</v>
      </c>
    </row>
    <row r="3091" spans="1:16" ht="15" hidden="1" customHeight="1">
      <c r="A3091" s="839">
        <v>64403162</v>
      </c>
      <c r="B3091" s="839" t="s">
        <v>139</v>
      </c>
      <c r="C3091" s="906">
        <v>3900</v>
      </c>
      <c r="D3091" s="907" t="s">
        <v>1282</v>
      </c>
      <c r="E3091" s="839" t="s">
        <v>1203</v>
      </c>
      <c r="F3091" s="839">
        <v>1419</v>
      </c>
      <c r="G3091" s="916">
        <f>VLOOKUP($A3091,'Tech Litons'!$A:$I,8,FALSE)</f>
        <v>2.16E-3</v>
      </c>
      <c r="H3091" s="917">
        <f>VLOOKUP($A3091,'Tech Litons'!$A:$I,9,FALSE)</f>
        <v>195</v>
      </c>
      <c r="I3091" s="917" t="str">
        <f>VLOOKUP($A3091,'Tech Litons'!$A:$C,3,0)</f>
        <v>Facepieces</v>
      </c>
      <c r="J3091" s="918" t="str">
        <f t="shared" si="312"/>
        <v>IncomFacepieces</v>
      </c>
      <c r="K3091" s="919">
        <v>1</v>
      </c>
      <c r="L3091" s="920">
        <f t="shared" si="311"/>
        <v>3900</v>
      </c>
      <c r="M3091" s="920">
        <f t="shared" si="313"/>
        <v>8.4239999999999995</v>
      </c>
      <c r="N3091" s="920">
        <f t="shared" si="314"/>
        <v>20</v>
      </c>
      <c r="O3091" s="918" t="str">
        <f t="shared" si="315"/>
        <v>Feb</v>
      </c>
      <c r="P3091" s="921">
        <f t="shared" si="316"/>
        <v>7</v>
      </c>
    </row>
    <row r="3092" spans="1:16" ht="15" hidden="1" customHeight="1">
      <c r="A3092" s="839">
        <v>64341108</v>
      </c>
      <c r="B3092" s="839" t="s">
        <v>139</v>
      </c>
      <c r="C3092" s="906">
        <v>4200</v>
      </c>
      <c r="D3092" s="907" t="s">
        <v>1282</v>
      </c>
      <c r="E3092" s="839" t="s">
        <v>615</v>
      </c>
      <c r="F3092" s="839">
        <v>1419</v>
      </c>
      <c r="G3092" s="916">
        <f>VLOOKUP($A3092,'Tech Litons'!$A:$I,8,FALSE)</f>
        <v>2.3599999999999997E-3</v>
      </c>
      <c r="H3092" s="917">
        <f>VLOOKUP($A3092,'Tech Litons'!$A:$I,9,FALSE)</f>
        <v>210</v>
      </c>
      <c r="I3092" s="917" t="str">
        <f>VLOOKUP($A3092,'Tech Litons'!$A:$C,3,0)</f>
        <v>Facepieces</v>
      </c>
      <c r="J3092" s="918" t="str">
        <f t="shared" si="312"/>
        <v>IncomFacepieces</v>
      </c>
      <c r="K3092" s="919">
        <v>1</v>
      </c>
      <c r="L3092" s="920">
        <f t="shared" si="311"/>
        <v>4200</v>
      </c>
      <c r="M3092" s="920">
        <f t="shared" si="313"/>
        <v>9.911999999999999</v>
      </c>
      <c r="N3092" s="920">
        <f t="shared" si="314"/>
        <v>20</v>
      </c>
      <c r="O3092" s="918" t="str">
        <f t="shared" si="315"/>
        <v>Feb</v>
      </c>
      <c r="P3092" s="921">
        <f t="shared" si="316"/>
        <v>7</v>
      </c>
    </row>
    <row r="3093" spans="1:16" ht="15" hidden="1" customHeight="1">
      <c r="A3093" s="839">
        <v>64341108</v>
      </c>
      <c r="B3093" s="839" t="s">
        <v>139</v>
      </c>
      <c r="C3093" s="906">
        <v>4200</v>
      </c>
      <c r="D3093" s="907" t="s">
        <v>1282</v>
      </c>
      <c r="E3093" s="839" t="s">
        <v>615</v>
      </c>
      <c r="F3093" s="839">
        <v>3989</v>
      </c>
      <c r="G3093" s="916">
        <f>VLOOKUP($A3093,'Tech Litons'!$A:$I,8,FALSE)</f>
        <v>2.3599999999999997E-3</v>
      </c>
      <c r="H3093" s="917">
        <f>VLOOKUP($A3093,'Tech Litons'!$A:$I,9,FALSE)</f>
        <v>210</v>
      </c>
      <c r="I3093" s="917" t="str">
        <f>VLOOKUP($A3093,'Tech Litons'!$A:$C,3,0)</f>
        <v>Facepieces</v>
      </c>
      <c r="J3093" s="918" t="str">
        <f t="shared" si="312"/>
        <v>IncomFacepieces</v>
      </c>
      <c r="K3093" s="919">
        <v>1</v>
      </c>
      <c r="L3093" s="920">
        <f t="shared" si="311"/>
        <v>4200</v>
      </c>
      <c r="M3093" s="920">
        <f t="shared" si="313"/>
        <v>9.911999999999999</v>
      </c>
      <c r="N3093" s="920">
        <f t="shared" si="314"/>
        <v>20</v>
      </c>
      <c r="O3093" s="918" t="str">
        <f t="shared" si="315"/>
        <v>Feb</v>
      </c>
      <c r="P3093" s="921">
        <f t="shared" si="316"/>
        <v>7</v>
      </c>
    </row>
    <row r="3094" spans="1:16" ht="15" hidden="1" customHeight="1">
      <c r="A3094" s="839">
        <v>64341108</v>
      </c>
      <c r="B3094" s="839" t="s">
        <v>139</v>
      </c>
      <c r="C3094" s="906">
        <v>4200</v>
      </c>
      <c r="D3094" s="907" t="s">
        <v>1282</v>
      </c>
      <c r="E3094" s="839" t="s">
        <v>615</v>
      </c>
      <c r="F3094" s="839">
        <v>3989</v>
      </c>
      <c r="G3094" s="916">
        <f>VLOOKUP($A3094,'Tech Litons'!$A:$I,8,FALSE)</f>
        <v>2.3599999999999997E-3</v>
      </c>
      <c r="H3094" s="917">
        <f>VLOOKUP($A3094,'Tech Litons'!$A:$I,9,FALSE)</f>
        <v>210</v>
      </c>
      <c r="I3094" s="917" t="str">
        <f>VLOOKUP($A3094,'Tech Litons'!$A:$C,3,0)</f>
        <v>Facepieces</v>
      </c>
      <c r="J3094" s="918" t="str">
        <f t="shared" si="312"/>
        <v>IncomFacepieces</v>
      </c>
      <c r="K3094" s="919">
        <v>1</v>
      </c>
      <c r="L3094" s="920">
        <f t="shared" si="311"/>
        <v>4200</v>
      </c>
      <c r="M3094" s="920">
        <f t="shared" si="313"/>
        <v>9.911999999999999</v>
      </c>
      <c r="N3094" s="920">
        <f t="shared" si="314"/>
        <v>20</v>
      </c>
      <c r="O3094" s="918" t="str">
        <f t="shared" si="315"/>
        <v>Feb</v>
      </c>
      <c r="P3094" s="921">
        <f t="shared" si="316"/>
        <v>7</v>
      </c>
    </row>
    <row r="3095" spans="1:16" ht="15" hidden="1" customHeight="1">
      <c r="A3095" s="839">
        <v>64341108</v>
      </c>
      <c r="B3095" s="839" t="s">
        <v>139</v>
      </c>
      <c r="C3095" s="906">
        <v>4200</v>
      </c>
      <c r="D3095" s="907" t="s">
        <v>1282</v>
      </c>
      <c r="E3095" s="839" t="s">
        <v>615</v>
      </c>
      <c r="F3095" s="839">
        <v>3989</v>
      </c>
      <c r="G3095" s="916">
        <f>VLOOKUP($A3095,'Tech Litons'!$A:$I,8,FALSE)</f>
        <v>2.3599999999999997E-3</v>
      </c>
      <c r="H3095" s="917">
        <f>VLOOKUP($A3095,'Tech Litons'!$A:$I,9,FALSE)</f>
        <v>210</v>
      </c>
      <c r="I3095" s="917" t="str">
        <f>VLOOKUP($A3095,'Tech Litons'!$A:$C,3,0)</f>
        <v>Facepieces</v>
      </c>
      <c r="J3095" s="918" t="str">
        <f t="shared" si="312"/>
        <v>IncomFacepieces</v>
      </c>
      <c r="K3095" s="919">
        <v>1</v>
      </c>
      <c r="L3095" s="920">
        <f t="shared" si="311"/>
        <v>4200</v>
      </c>
      <c r="M3095" s="920">
        <f t="shared" si="313"/>
        <v>9.911999999999999</v>
      </c>
      <c r="N3095" s="920">
        <f t="shared" si="314"/>
        <v>20</v>
      </c>
      <c r="O3095" s="918" t="str">
        <f t="shared" si="315"/>
        <v>Feb</v>
      </c>
      <c r="P3095" s="921">
        <f t="shared" si="316"/>
        <v>7</v>
      </c>
    </row>
    <row r="3096" spans="1:16" ht="15" hidden="1" customHeight="1">
      <c r="A3096" s="839">
        <v>64341109</v>
      </c>
      <c r="B3096" s="839" t="s">
        <v>139</v>
      </c>
      <c r="C3096" s="906">
        <v>4200</v>
      </c>
      <c r="D3096" s="907" t="s">
        <v>1282</v>
      </c>
      <c r="E3096" s="839" t="s">
        <v>616</v>
      </c>
      <c r="F3096" s="839">
        <v>3989</v>
      </c>
      <c r="G3096" s="916">
        <f>VLOOKUP($A3096,'Tech Litons'!$A:$I,8,FALSE)</f>
        <v>2E-3</v>
      </c>
      <c r="H3096" s="917">
        <f>VLOOKUP($A3096,'Tech Litons'!$A:$I,9,FALSE)</f>
        <v>210</v>
      </c>
      <c r="I3096" s="917" t="str">
        <f>VLOOKUP($A3096,'Tech Litons'!$A:$C,3,0)</f>
        <v>Facepieces</v>
      </c>
      <c r="J3096" s="918" t="str">
        <f t="shared" si="312"/>
        <v>IncomFacepieces</v>
      </c>
      <c r="K3096" s="919">
        <v>1</v>
      </c>
      <c r="L3096" s="920">
        <f t="shared" si="311"/>
        <v>4200</v>
      </c>
      <c r="M3096" s="920">
        <f t="shared" si="313"/>
        <v>8.4</v>
      </c>
      <c r="N3096" s="920">
        <f t="shared" si="314"/>
        <v>20</v>
      </c>
      <c r="O3096" s="918" t="str">
        <f t="shared" si="315"/>
        <v>Feb</v>
      </c>
      <c r="P3096" s="921">
        <f t="shared" si="316"/>
        <v>7</v>
      </c>
    </row>
    <row r="3097" spans="1:16" ht="15" hidden="1" customHeight="1">
      <c r="A3097" s="839">
        <v>64401837</v>
      </c>
      <c r="B3097" s="839" t="s">
        <v>139</v>
      </c>
      <c r="C3097" s="906">
        <v>3000</v>
      </c>
      <c r="D3097" s="907" t="s">
        <v>1275</v>
      </c>
      <c r="E3097" s="839" t="s">
        <v>618</v>
      </c>
      <c r="F3097" s="839">
        <v>3989</v>
      </c>
      <c r="G3097" s="916">
        <f>VLOOKUP($A3097,'Tech Litons'!$A:$I,8,FALSE)</f>
        <v>2.16E-3</v>
      </c>
      <c r="H3097" s="917">
        <f>VLOOKUP($A3097,'Tech Litons'!$A:$I,9,FALSE)</f>
        <v>150</v>
      </c>
      <c r="I3097" s="917" t="str">
        <f>VLOOKUP($A3097,'Tech Litons'!$A:$C,3,0)</f>
        <v>Facepieces</v>
      </c>
      <c r="J3097" s="918" t="str">
        <f t="shared" si="312"/>
        <v>IncomFacepieces</v>
      </c>
      <c r="K3097" s="919">
        <v>1</v>
      </c>
      <c r="L3097" s="920">
        <f t="shared" si="311"/>
        <v>3000</v>
      </c>
      <c r="M3097" s="920">
        <f t="shared" si="313"/>
        <v>6.48</v>
      </c>
      <c r="N3097" s="920">
        <f t="shared" si="314"/>
        <v>20</v>
      </c>
      <c r="O3097" s="918" t="str">
        <f t="shared" si="315"/>
        <v>Feb</v>
      </c>
      <c r="P3097" s="921">
        <f t="shared" si="316"/>
        <v>7</v>
      </c>
    </row>
    <row r="3098" spans="1:16" ht="15" hidden="1" customHeight="1">
      <c r="A3098" s="839">
        <v>64365613</v>
      </c>
      <c r="B3098" s="839" t="s">
        <v>139</v>
      </c>
      <c r="C3098" s="906">
        <v>3900</v>
      </c>
      <c r="D3098" s="907" t="s">
        <v>1283</v>
      </c>
      <c r="E3098" s="839" t="s">
        <v>617</v>
      </c>
      <c r="F3098" s="839">
        <v>3989</v>
      </c>
      <c r="G3098" s="916">
        <f>VLOOKUP($A3098,'Tech Litons'!$A:$I,8,FALSE)</f>
        <v>2.1540000000000001E-3</v>
      </c>
      <c r="H3098" s="917">
        <f>VLOOKUP($A3098,'Tech Litons'!$A:$I,9,FALSE)</f>
        <v>195</v>
      </c>
      <c r="I3098" s="917" t="str">
        <f>VLOOKUP($A3098,'Tech Litons'!$A:$C,3,0)</f>
        <v>Facepieces</v>
      </c>
      <c r="J3098" s="918" t="str">
        <f t="shared" si="312"/>
        <v>IncomFacepieces</v>
      </c>
      <c r="K3098" s="919">
        <v>1</v>
      </c>
      <c r="L3098" s="920">
        <f t="shared" si="311"/>
        <v>3900</v>
      </c>
      <c r="M3098" s="920">
        <f t="shared" si="313"/>
        <v>8.4006000000000007</v>
      </c>
      <c r="N3098" s="920">
        <f t="shared" si="314"/>
        <v>20</v>
      </c>
      <c r="O3098" s="918" t="str">
        <f t="shared" si="315"/>
        <v>Feb</v>
      </c>
      <c r="P3098" s="921">
        <f t="shared" si="316"/>
        <v>8</v>
      </c>
    </row>
    <row r="3099" spans="1:16" ht="15" hidden="1" customHeight="1">
      <c r="A3099" s="839">
        <v>64365613</v>
      </c>
      <c r="B3099" s="839" t="s">
        <v>139</v>
      </c>
      <c r="C3099" s="906">
        <v>3900</v>
      </c>
      <c r="D3099" s="907" t="s">
        <v>1283</v>
      </c>
      <c r="E3099" s="839" t="s">
        <v>617</v>
      </c>
      <c r="F3099" s="839">
        <v>3989</v>
      </c>
      <c r="G3099" s="916">
        <f>VLOOKUP($A3099,'Tech Litons'!$A:$I,8,FALSE)</f>
        <v>2.1540000000000001E-3</v>
      </c>
      <c r="H3099" s="917">
        <f>VLOOKUP($A3099,'Tech Litons'!$A:$I,9,FALSE)</f>
        <v>195</v>
      </c>
      <c r="I3099" s="917" t="str">
        <f>VLOOKUP($A3099,'Tech Litons'!$A:$C,3,0)</f>
        <v>Facepieces</v>
      </c>
      <c r="J3099" s="918" t="str">
        <f t="shared" si="312"/>
        <v>IncomFacepieces</v>
      </c>
      <c r="K3099" s="919">
        <v>1</v>
      </c>
      <c r="L3099" s="920">
        <f t="shared" si="311"/>
        <v>3900</v>
      </c>
      <c r="M3099" s="920">
        <f t="shared" si="313"/>
        <v>8.4006000000000007</v>
      </c>
      <c r="N3099" s="920">
        <f t="shared" si="314"/>
        <v>20</v>
      </c>
      <c r="O3099" s="918" t="str">
        <f t="shared" si="315"/>
        <v>Feb</v>
      </c>
      <c r="P3099" s="921">
        <f t="shared" si="316"/>
        <v>8</v>
      </c>
    </row>
    <row r="3100" spans="1:16" ht="15" hidden="1" customHeight="1">
      <c r="A3100" s="839">
        <v>64979444</v>
      </c>
      <c r="B3100" s="839" t="s">
        <v>139</v>
      </c>
      <c r="C3100" s="906">
        <v>3900</v>
      </c>
      <c r="D3100" s="907" t="s">
        <v>1283</v>
      </c>
      <c r="E3100" s="839" t="s">
        <v>622</v>
      </c>
      <c r="F3100" s="839">
        <v>3989</v>
      </c>
      <c r="G3100" s="916">
        <f>VLOOKUP($A3100,'Tech Litons'!$A:$I,8,FALSE)</f>
        <v>2.16E-3</v>
      </c>
      <c r="H3100" s="917">
        <f>VLOOKUP($A3100,'Tech Litons'!$A:$I,9,FALSE)</f>
        <v>195</v>
      </c>
      <c r="I3100" s="917" t="str">
        <f>VLOOKUP($A3100,'Tech Litons'!$A:$C,3,0)</f>
        <v>Facepieces</v>
      </c>
      <c r="J3100" s="918" t="str">
        <f t="shared" si="312"/>
        <v>IncomFacepieces</v>
      </c>
      <c r="K3100" s="919">
        <v>1</v>
      </c>
      <c r="L3100" s="920">
        <f t="shared" ref="L3100:L3153" si="317">C3100*$K3100</f>
        <v>3900</v>
      </c>
      <c r="M3100" s="920">
        <f t="shared" si="313"/>
        <v>8.4239999999999995</v>
      </c>
      <c r="N3100" s="920">
        <f t="shared" si="314"/>
        <v>20</v>
      </c>
      <c r="O3100" s="918" t="str">
        <f t="shared" si="315"/>
        <v>Feb</v>
      </c>
      <c r="P3100" s="921">
        <f t="shared" si="316"/>
        <v>8</v>
      </c>
    </row>
    <row r="3101" spans="1:16" ht="15" hidden="1" customHeight="1">
      <c r="A3101" s="839">
        <v>64979444</v>
      </c>
      <c r="B3101" s="839" t="s">
        <v>139</v>
      </c>
      <c r="C3101" s="906">
        <v>3900</v>
      </c>
      <c r="D3101" s="907" t="s">
        <v>1283</v>
      </c>
      <c r="E3101" s="839" t="s">
        <v>622</v>
      </c>
      <c r="F3101" s="839">
        <v>3989</v>
      </c>
      <c r="G3101" s="916">
        <f>VLOOKUP($A3101,'Tech Litons'!$A:$I,8,FALSE)</f>
        <v>2.16E-3</v>
      </c>
      <c r="H3101" s="917">
        <f>VLOOKUP($A3101,'Tech Litons'!$A:$I,9,FALSE)</f>
        <v>195</v>
      </c>
      <c r="I3101" s="917" t="str">
        <f>VLOOKUP($A3101,'Tech Litons'!$A:$C,3,0)</f>
        <v>Facepieces</v>
      </c>
      <c r="J3101" s="918" t="str">
        <f t="shared" si="312"/>
        <v>IncomFacepieces</v>
      </c>
      <c r="K3101" s="919">
        <v>1</v>
      </c>
      <c r="L3101" s="920">
        <f t="shared" si="317"/>
        <v>3900</v>
      </c>
      <c r="M3101" s="920">
        <f t="shared" si="313"/>
        <v>8.4239999999999995</v>
      </c>
      <c r="N3101" s="920">
        <f t="shared" si="314"/>
        <v>20</v>
      </c>
      <c r="O3101" s="918" t="str">
        <f t="shared" si="315"/>
        <v>Feb</v>
      </c>
      <c r="P3101" s="921">
        <f t="shared" si="316"/>
        <v>8</v>
      </c>
    </row>
    <row r="3102" spans="1:16" ht="15" hidden="1" customHeight="1">
      <c r="A3102" s="839">
        <v>64771676</v>
      </c>
      <c r="B3102" s="839" t="s">
        <v>139</v>
      </c>
      <c r="C3102" s="906">
        <v>3900</v>
      </c>
      <c r="D3102" s="907" t="s">
        <v>1283</v>
      </c>
      <c r="E3102" s="839" t="s">
        <v>619</v>
      </c>
      <c r="F3102" s="839">
        <v>3989</v>
      </c>
      <c r="G3102" s="916">
        <f>VLOOKUP($A3102,'Tech Litons'!$A:$I,8,FALSE)</f>
        <v>2.16E-3</v>
      </c>
      <c r="H3102" s="917">
        <f>VLOOKUP($A3102,'Tech Litons'!$A:$I,9,FALSE)</f>
        <v>195</v>
      </c>
      <c r="I3102" s="917" t="str">
        <f>VLOOKUP($A3102,'Tech Litons'!$A:$C,3,0)</f>
        <v>Facepieces</v>
      </c>
      <c r="J3102" s="918" t="str">
        <f t="shared" si="312"/>
        <v>IncomFacepieces</v>
      </c>
      <c r="K3102" s="919">
        <v>1</v>
      </c>
      <c r="L3102" s="920">
        <f t="shared" si="317"/>
        <v>3900</v>
      </c>
      <c r="M3102" s="920">
        <f t="shared" si="313"/>
        <v>8.4239999999999995</v>
      </c>
      <c r="N3102" s="920">
        <f t="shared" si="314"/>
        <v>20</v>
      </c>
      <c r="O3102" s="918" t="str">
        <f t="shared" si="315"/>
        <v>Feb</v>
      </c>
      <c r="P3102" s="921">
        <f t="shared" si="316"/>
        <v>8</v>
      </c>
    </row>
    <row r="3103" spans="1:16" ht="15" hidden="1" customHeight="1">
      <c r="A3103" s="839">
        <v>64341108</v>
      </c>
      <c r="B3103" s="839" t="s">
        <v>139</v>
      </c>
      <c r="C3103" s="906">
        <v>4200</v>
      </c>
      <c r="D3103" s="907" t="s">
        <v>1283</v>
      </c>
      <c r="E3103" s="839" t="s">
        <v>615</v>
      </c>
      <c r="F3103" s="839">
        <v>3989</v>
      </c>
      <c r="G3103" s="916">
        <f>VLOOKUP($A3103,'Tech Litons'!$A:$I,8,FALSE)</f>
        <v>2.3599999999999997E-3</v>
      </c>
      <c r="H3103" s="917">
        <f>VLOOKUP($A3103,'Tech Litons'!$A:$I,9,FALSE)</f>
        <v>210</v>
      </c>
      <c r="I3103" s="917" t="str">
        <f>VLOOKUP($A3103,'Tech Litons'!$A:$C,3,0)</f>
        <v>Facepieces</v>
      </c>
      <c r="J3103" s="918" t="str">
        <f t="shared" si="312"/>
        <v>IncomFacepieces</v>
      </c>
      <c r="K3103" s="919">
        <v>1</v>
      </c>
      <c r="L3103" s="920">
        <f t="shared" si="317"/>
        <v>4200</v>
      </c>
      <c r="M3103" s="920">
        <f t="shared" si="313"/>
        <v>9.911999999999999</v>
      </c>
      <c r="N3103" s="920">
        <f t="shared" si="314"/>
        <v>20</v>
      </c>
      <c r="O3103" s="918" t="str">
        <f t="shared" si="315"/>
        <v>Feb</v>
      </c>
      <c r="P3103" s="921">
        <f t="shared" si="316"/>
        <v>8</v>
      </c>
    </row>
    <row r="3104" spans="1:16" ht="15" hidden="1" customHeight="1">
      <c r="A3104" s="839">
        <v>64341108</v>
      </c>
      <c r="B3104" s="839" t="s">
        <v>139</v>
      </c>
      <c r="C3104" s="906">
        <v>4200</v>
      </c>
      <c r="D3104" s="907" t="s">
        <v>1283</v>
      </c>
      <c r="E3104" s="839" t="s">
        <v>615</v>
      </c>
      <c r="F3104" s="839">
        <v>3989</v>
      </c>
      <c r="G3104" s="916">
        <f>VLOOKUP($A3104,'Tech Litons'!$A:$I,8,FALSE)</f>
        <v>2.3599999999999997E-3</v>
      </c>
      <c r="H3104" s="917">
        <f>VLOOKUP($A3104,'Tech Litons'!$A:$I,9,FALSE)</f>
        <v>210</v>
      </c>
      <c r="I3104" s="917" t="str">
        <f>VLOOKUP($A3104,'Tech Litons'!$A:$C,3,0)</f>
        <v>Facepieces</v>
      </c>
      <c r="J3104" s="918" t="str">
        <f t="shared" si="312"/>
        <v>IncomFacepieces</v>
      </c>
      <c r="K3104" s="919">
        <v>1</v>
      </c>
      <c r="L3104" s="920">
        <f t="shared" si="317"/>
        <v>4200</v>
      </c>
      <c r="M3104" s="920">
        <f t="shared" si="313"/>
        <v>9.911999999999999</v>
      </c>
      <c r="N3104" s="920">
        <f t="shared" si="314"/>
        <v>20</v>
      </c>
      <c r="O3104" s="918" t="str">
        <f t="shared" si="315"/>
        <v>Feb</v>
      </c>
      <c r="P3104" s="921">
        <f t="shared" si="316"/>
        <v>8</v>
      </c>
    </row>
    <row r="3105" spans="1:16" ht="15" hidden="1" customHeight="1">
      <c r="A3105" s="839">
        <v>64341108</v>
      </c>
      <c r="B3105" s="839" t="s">
        <v>139</v>
      </c>
      <c r="C3105" s="906">
        <v>4200</v>
      </c>
      <c r="D3105" s="907" t="s">
        <v>1283</v>
      </c>
      <c r="E3105" s="839" t="s">
        <v>615</v>
      </c>
      <c r="F3105" s="839">
        <v>3989</v>
      </c>
      <c r="G3105" s="916">
        <f>VLOOKUP($A3105,'Tech Litons'!$A:$I,8,FALSE)</f>
        <v>2.3599999999999997E-3</v>
      </c>
      <c r="H3105" s="917">
        <f>VLOOKUP($A3105,'Tech Litons'!$A:$I,9,FALSE)</f>
        <v>210</v>
      </c>
      <c r="I3105" s="917" t="str">
        <f>VLOOKUP($A3105,'Tech Litons'!$A:$C,3,0)</f>
        <v>Facepieces</v>
      </c>
      <c r="J3105" s="918" t="str">
        <f t="shared" si="312"/>
        <v>IncomFacepieces</v>
      </c>
      <c r="K3105" s="919">
        <v>1</v>
      </c>
      <c r="L3105" s="920">
        <f t="shared" si="317"/>
        <v>4200</v>
      </c>
      <c r="M3105" s="920">
        <f t="shared" si="313"/>
        <v>9.911999999999999</v>
      </c>
      <c r="N3105" s="920">
        <f t="shared" si="314"/>
        <v>20</v>
      </c>
      <c r="O3105" s="918" t="str">
        <f t="shared" si="315"/>
        <v>Feb</v>
      </c>
      <c r="P3105" s="921">
        <f t="shared" si="316"/>
        <v>8</v>
      </c>
    </row>
    <row r="3106" spans="1:16" ht="15" hidden="1" customHeight="1">
      <c r="A3106" s="839">
        <v>64341108</v>
      </c>
      <c r="B3106" s="839" t="s">
        <v>139</v>
      </c>
      <c r="C3106" s="906">
        <v>4200</v>
      </c>
      <c r="D3106" s="907" t="s">
        <v>1283</v>
      </c>
      <c r="E3106" s="839" t="s">
        <v>615</v>
      </c>
      <c r="F3106" s="839">
        <v>3989</v>
      </c>
      <c r="G3106" s="916">
        <f>VLOOKUP($A3106,'Tech Litons'!$A:$I,8,FALSE)</f>
        <v>2.3599999999999997E-3</v>
      </c>
      <c r="H3106" s="917">
        <f>VLOOKUP($A3106,'Tech Litons'!$A:$I,9,FALSE)</f>
        <v>210</v>
      </c>
      <c r="I3106" s="917" t="str">
        <f>VLOOKUP($A3106,'Tech Litons'!$A:$C,3,0)</f>
        <v>Facepieces</v>
      </c>
      <c r="J3106" s="918" t="str">
        <f t="shared" si="312"/>
        <v>IncomFacepieces</v>
      </c>
      <c r="K3106" s="919">
        <v>1</v>
      </c>
      <c r="L3106" s="920">
        <f t="shared" si="317"/>
        <v>4200</v>
      </c>
      <c r="M3106" s="920">
        <f t="shared" si="313"/>
        <v>9.911999999999999</v>
      </c>
      <c r="N3106" s="920">
        <f t="shared" si="314"/>
        <v>20</v>
      </c>
      <c r="O3106" s="918" t="str">
        <f t="shared" si="315"/>
        <v>Feb</v>
      </c>
      <c r="P3106" s="921">
        <f t="shared" si="316"/>
        <v>8</v>
      </c>
    </row>
    <row r="3107" spans="1:16" ht="15" hidden="1" customHeight="1">
      <c r="A3107" s="839">
        <v>64341108</v>
      </c>
      <c r="B3107" s="839" t="s">
        <v>139</v>
      </c>
      <c r="C3107" s="906">
        <v>4200</v>
      </c>
      <c r="D3107" s="907" t="s">
        <v>1283</v>
      </c>
      <c r="E3107" s="839" t="s">
        <v>615</v>
      </c>
      <c r="F3107" s="839">
        <v>3989</v>
      </c>
      <c r="G3107" s="916">
        <f>VLOOKUP($A3107,'Tech Litons'!$A:$I,8,FALSE)</f>
        <v>2.3599999999999997E-3</v>
      </c>
      <c r="H3107" s="917">
        <f>VLOOKUP($A3107,'Tech Litons'!$A:$I,9,FALSE)</f>
        <v>210</v>
      </c>
      <c r="I3107" s="917" t="str">
        <f>VLOOKUP($A3107,'Tech Litons'!$A:$C,3,0)</f>
        <v>Facepieces</v>
      </c>
      <c r="J3107" s="918" t="str">
        <f t="shared" si="312"/>
        <v>IncomFacepieces</v>
      </c>
      <c r="K3107" s="919">
        <v>1</v>
      </c>
      <c r="L3107" s="920">
        <f t="shared" si="317"/>
        <v>4200</v>
      </c>
      <c r="M3107" s="920">
        <f t="shared" si="313"/>
        <v>9.911999999999999</v>
      </c>
      <c r="N3107" s="920">
        <f t="shared" si="314"/>
        <v>20</v>
      </c>
      <c r="O3107" s="918" t="str">
        <f t="shared" si="315"/>
        <v>Feb</v>
      </c>
      <c r="P3107" s="921">
        <f t="shared" si="316"/>
        <v>8</v>
      </c>
    </row>
    <row r="3108" spans="1:16" ht="15" hidden="1" customHeight="1">
      <c r="A3108" s="839">
        <v>64341108</v>
      </c>
      <c r="B3108" s="839" t="s">
        <v>139</v>
      </c>
      <c r="C3108" s="906">
        <v>4200</v>
      </c>
      <c r="D3108" s="907" t="s">
        <v>1283</v>
      </c>
      <c r="E3108" s="839" t="s">
        <v>615</v>
      </c>
      <c r="F3108" s="839">
        <v>3989</v>
      </c>
      <c r="G3108" s="916">
        <f>VLOOKUP($A3108,'Tech Litons'!$A:$I,8,FALSE)</f>
        <v>2.3599999999999997E-3</v>
      </c>
      <c r="H3108" s="917">
        <f>VLOOKUP($A3108,'Tech Litons'!$A:$I,9,FALSE)</f>
        <v>210</v>
      </c>
      <c r="I3108" s="917" t="str">
        <f>VLOOKUP($A3108,'Tech Litons'!$A:$C,3,0)</f>
        <v>Facepieces</v>
      </c>
      <c r="J3108" s="918" t="str">
        <f t="shared" si="312"/>
        <v>IncomFacepieces</v>
      </c>
      <c r="K3108" s="919">
        <v>1</v>
      </c>
      <c r="L3108" s="920">
        <f t="shared" si="317"/>
        <v>4200</v>
      </c>
      <c r="M3108" s="920">
        <f t="shared" si="313"/>
        <v>9.911999999999999</v>
      </c>
      <c r="N3108" s="920">
        <f t="shared" si="314"/>
        <v>20</v>
      </c>
      <c r="O3108" s="918" t="str">
        <f t="shared" si="315"/>
        <v>Feb</v>
      </c>
      <c r="P3108" s="921">
        <f t="shared" si="316"/>
        <v>8</v>
      </c>
    </row>
    <row r="3109" spans="1:16" ht="15" hidden="1" customHeight="1">
      <c r="A3109" s="839">
        <v>64365613</v>
      </c>
      <c r="B3109" s="839" t="s">
        <v>139</v>
      </c>
      <c r="C3109" s="906">
        <v>3900</v>
      </c>
      <c r="D3109" s="907" t="s">
        <v>1284</v>
      </c>
      <c r="E3109" s="839" t="s">
        <v>617</v>
      </c>
      <c r="F3109" s="839">
        <v>3989</v>
      </c>
      <c r="G3109" s="916">
        <f>VLOOKUP($A3109,'Tech Litons'!$A:$I,8,FALSE)</f>
        <v>2.1540000000000001E-3</v>
      </c>
      <c r="H3109" s="917">
        <f>VLOOKUP($A3109,'Tech Litons'!$A:$I,9,FALSE)</f>
        <v>195</v>
      </c>
      <c r="I3109" s="917" t="str">
        <f>VLOOKUP($A3109,'Tech Litons'!$A:$C,3,0)</f>
        <v>Facepieces</v>
      </c>
      <c r="J3109" s="918" t="str">
        <f t="shared" si="312"/>
        <v>IncomFacepieces</v>
      </c>
      <c r="K3109" s="919">
        <v>1</v>
      </c>
      <c r="L3109" s="920">
        <f t="shared" si="317"/>
        <v>3900</v>
      </c>
      <c r="M3109" s="920">
        <f t="shared" si="313"/>
        <v>8.4006000000000007</v>
      </c>
      <c r="N3109" s="920">
        <f t="shared" si="314"/>
        <v>20</v>
      </c>
      <c r="O3109" s="918" t="str">
        <f t="shared" si="315"/>
        <v>Feb</v>
      </c>
      <c r="P3109" s="921">
        <f t="shared" si="316"/>
        <v>8</v>
      </c>
    </row>
    <row r="3110" spans="1:16" ht="15" hidden="1" customHeight="1">
      <c r="A3110" s="839">
        <v>64979444</v>
      </c>
      <c r="B3110" s="839" t="s">
        <v>139</v>
      </c>
      <c r="C3110" s="906">
        <v>3900</v>
      </c>
      <c r="D3110" s="907" t="s">
        <v>1284</v>
      </c>
      <c r="E3110" s="839" t="s">
        <v>622</v>
      </c>
      <c r="F3110" s="839">
        <v>3989</v>
      </c>
      <c r="G3110" s="916">
        <f>VLOOKUP($A3110,'Tech Litons'!$A:$I,8,FALSE)</f>
        <v>2.16E-3</v>
      </c>
      <c r="H3110" s="917">
        <f>VLOOKUP($A3110,'Tech Litons'!$A:$I,9,FALSE)</f>
        <v>195</v>
      </c>
      <c r="I3110" s="917" t="str">
        <f>VLOOKUP($A3110,'Tech Litons'!$A:$C,3,0)</f>
        <v>Facepieces</v>
      </c>
      <c r="J3110" s="918" t="str">
        <f t="shared" si="312"/>
        <v>IncomFacepieces</v>
      </c>
      <c r="K3110" s="919">
        <v>1</v>
      </c>
      <c r="L3110" s="920">
        <f t="shared" si="317"/>
        <v>3900</v>
      </c>
      <c r="M3110" s="920">
        <f t="shared" si="313"/>
        <v>8.4239999999999995</v>
      </c>
      <c r="N3110" s="920">
        <f t="shared" si="314"/>
        <v>20</v>
      </c>
      <c r="O3110" s="918" t="str">
        <f t="shared" si="315"/>
        <v>Feb</v>
      </c>
      <c r="P3110" s="921">
        <f t="shared" si="316"/>
        <v>8</v>
      </c>
    </row>
    <row r="3111" spans="1:16" ht="15" hidden="1" customHeight="1">
      <c r="A3111" s="839">
        <v>64365613</v>
      </c>
      <c r="B3111" s="839" t="s">
        <v>139</v>
      </c>
      <c r="C3111" s="906">
        <v>3900</v>
      </c>
      <c r="D3111" s="907" t="s">
        <v>1284</v>
      </c>
      <c r="E3111" s="839" t="s">
        <v>617</v>
      </c>
      <c r="F3111" s="839">
        <v>1419</v>
      </c>
      <c r="G3111" s="916">
        <f>VLOOKUP($A3111,'Tech Litons'!$A:$I,8,FALSE)</f>
        <v>2.1540000000000001E-3</v>
      </c>
      <c r="H3111" s="917">
        <f>VLOOKUP($A3111,'Tech Litons'!$A:$I,9,FALSE)</f>
        <v>195</v>
      </c>
      <c r="I3111" s="917" t="str">
        <f>VLOOKUP($A3111,'Tech Litons'!$A:$C,3,0)</f>
        <v>Facepieces</v>
      </c>
      <c r="J3111" s="918" t="str">
        <f t="shared" si="312"/>
        <v>IncomFacepieces</v>
      </c>
      <c r="K3111" s="919">
        <v>1</v>
      </c>
      <c r="L3111" s="920">
        <f t="shared" si="317"/>
        <v>3900</v>
      </c>
      <c r="M3111" s="920">
        <f t="shared" si="313"/>
        <v>8.4006000000000007</v>
      </c>
      <c r="N3111" s="920">
        <f t="shared" si="314"/>
        <v>20</v>
      </c>
      <c r="O3111" s="918" t="str">
        <f t="shared" si="315"/>
        <v>Feb</v>
      </c>
      <c r="P3111" s="921">
        <f t="shared" si="316"/>
        <v>8</v>
      </c>
    </row>
    <row r="3112" spans="1:16" ht="15" hidden="1" customHeight="1">
      <c r="A3112" s="839">
        <v>64365613</v>
      </c>
      <c r="B3112" s="839" t="s">
        <v>139</v>
      </c>
      <c r="C3112" s="906">
        <v>3900</v>
      </c>
      <c r="D3112" s="907" t="s">
        <v>1284</v>
      </c>
      <c r="E3112" s="839" t="s">
        <v>617</v>
      </c>
      <c r="F3112" s="839">
        <v>1419</v>
      </c>
      <c r="G3112" s="916">
        <f>VLOOKUP($A3112,'Tech Litons'!$A:$I,8,FALSE)</f>
        <v>2.1540000000000001E-3</v>
      </c>
      <c r="H3112" s="917">
        <f>VLOOKUP($A3112,'Tech Litons'!$A:$I,9,FALSE)</f>
        <v>195</v>
      </c>
      <c r="I3112" s="917" t="str">
        <f>VLOOKUP($A3112,'Tech Litons'!$A:$C,3,0)</f>
        <v>Facepieces</v>
      </c>
      <c r="J3112" s="918" t="str">
        <f t="shared" si="312"/>
        <v>IncomFacepieces</v>
      </c>
      <c r="K3112" s="919">
        <v>1</v>
      </c>
      <c r="L3112" s="920">
        <f t="shared" si="317"/>
        <v>3900</v>
      </c>
      <c r="M3112" s="920">
        <f t="shared" si="313"/>
        <v>8.4006000000000007</v>
      </c>
      <c r="N3112" s="920">
        <f t="shared" si="314"/>
        <v>20</v>
      </c>
      <c r="O3112" s="918" t="str">
        <f t="shared" si="315"/>
        <v>Feb</v>
      </c>
      <c r="P3112" s="921">
        <f t="shared" si="316"/>
        <v>8</v>
      </c>
    </row>
    <row r="3113" spans="1:16" ht="15" hidden="1" customHeight="1">
      <c r="A3113" s="839">
        <v>64365613</v>
      </c>
      <c r="B3113" s="839" t="s">
        <v>139</v>
      </c>
      <c r="C3113" s="906">
        <v>3900</v>
      </c>
      <c r="D3113" s="907" t="s">
        <v>1284</v>
      </c>
      <c r="E3113" s="839" t="s">
        <v>617</v>
      </c>
      <c r="F3113" s="839">
        <v>1419</v>
      </c>
      <c r="G3113" s="916">
        <f>VLOOKUP($A3113,'Tech Litons'!$A:$I,8,FALSE)</f>
        <v>2.1540000000000001E-3</v>
      </c>
      <c r="H3113" s="917">
        <f>VLOOKUP($A3113,'Tech Litons'!$A:$I,9,FALSE)</f>
        <v>195</v>
      </c>
      <c r="I3113" s="917" t="str">
        <f>VLOOKUP($A3113,'Tech Litons'!$A:$C,3,0)</f>
        <v>Facepieces</v>
      </c>
      <c r="J3113" s="918" t="str">
        <f t="shared" si="312"/>
        <v>IncomFacepieces</v>
      </c>
      <c r="K3113" s="919">
        <v>1</v>
      </c>
      <c r="L3113" s="920">
        <f t="shared" si="317"/>
        <v>3900</v>
      </c>
      <c r="M3113" s="920">
        <f t="shared" si="313"/>
        <v>8.4006000000000007</v>
      </c>
      <c r="N3113" s="920">
        <f t="shared" si="314"/>
        <v>20</v>
      </c>
      <c r="O3113" s="918" t="str">
        <f t="shared" si="315"/>
        <v>Feb</v>
      </c>
      <c r="P3113" s="921">
        <f t="shared" si="316"/>
        <v>8</v>
      </c>
    </row>
    <row r="3114" spans="1:16" ht="15" hidden="1" customHeight="1">
      <c r="A3114" s="839">
        <v>64771676</v>
      </c>
      <c r="B3114" s="839" t="s">
        <v>139</v>
      </c>
      <c r="C3114" s="906">
        <v>3900</v>
      </c>
      <c r="D3114" s="907" t="s">
        <v>1284</v>
      </c>
      <c r="E3114" s="839" t="s">
        <v>619</v>
      </c>
      <c r="F3114" s="839">
        <v>1419</v>
      </c>
      <c r="G3114" s="916">
        <f>VLOOKUP($A3114,'Tech Litons'!$A:$I,8,FALSE)</f>
        <v>2.16E-3</v>
      </c>
      <c r="H3114" s="917">
        <f>VLOOKUP($A3114,'Tech Litons'!$A:$I,9,FALSE)</f>
        <v>195</v>
      </c>
      <c r="I3114" s="917" t="str">
        <f>VLOOKUP($A3114,'Tech Litons'!$A:$C,3,0)</f>
        <v>Facepieces</v>
      </c>
      <c r="J3114" s="918" t="str">
        <f t="shared" si="312"/>
        <v>IncomFacepieces</v>
      </c>
      <c r="K3114" s="919">
        <v>1</v>
      </c>
      <c r="L3114" s="920">
        <f t="shared" si="317"/>
        <v>3900</v>
      </c>
      <c r="M3114" s="920">
        <f t="shared" si="313"/>
        <v>8.4239999999999995</v>
      </c>
      <c r="N3114" s="920">
        <f t="shared" si="314"/>
        <v>20</v>
      </c>
      <c r="O3114" s="918" t="str">
        <f t="shared" si="315"/>
        <v>Feb</v>
      </c>
      <c r="P3114" s="921">
        <f t="shared" si="316"/>
        <v>8</v>
      </c>
    </row>
    <row r="3115" spans="1:16" ht="15" hidden="1" customHeight="1">
      <c r="A3115" s="839">
        <v>64771676</v>
      </c>
      <c r="B3115" s="839" t="s">
        <v>139</v>
      </c>
      <c r="C3115" s="906">
        <v>3900</v>
      </c>
      <c r="D3115" s="907" t="s">
        <v>1284</v>
      </c>
      <c r="E3115" s="839" t="s">
        <v>619</v>
      </c>
      <c r="F3115" s="839">
        <v>1419</v>
      </c>
      <c r="G3115" s="916">
        <f>VLOOKUP($A3115,'Tech Litons'!$A:$I,8,FALSE)</f>
        <v>2.16E-3</v>
      </c>
      <c r="H3115" s="917">
        <f>VLOOKUP($A3115,'Tech Litons'!$A:$I,9,FALSE)</f>
        <v>195</v>
      </c>
      <c r="I3115" s="917" t="str">
        <f>VLOOKUP($A3115,'Tech Litons'!$A:$C,3,0)</f>
        <v>Facepieces</v>
      </c>
      <c r="J3115" s="918" t="str">
        <f t="shared" si="312"/>
        <v>IncomFacepieces</v>
      </c>
      <c r="K3115" s="919">
        <v>1</v>
      </c>
      <c r="L3115" s="920">
        <f t="shared" si="317"/>
        <v>3900</v>
      </c>
      <c r="M3115" s="920">
        <f t="shared" si="313"/>
        <v>8.4239999999999995</v>
      </c>
      <c r="N3115" s="920">
        <f t="shared" si="314"/>
        <v>20</v>
      </c>
      <c r="O3115" s="918" t="str">
        <f t="shared" si="315"/>
        <v>Feb</v>
      </c>
      <c r="P3115" s="921">
        <f t="shared" si="316"/>
        <v>8</v>
      </c>
    </row>
    <row r="3116" spans="1:16" ht="15" hidden="1" customHeight="1">
      <c r="A3116" s="839">
        <v>64341108</v>
      </c>
      <c r="B3116" s="839" t="s">
        <v>139</v>
      </c>
      <c r="C3116" s="906">
        <v>4200</v>
      </c>
      <c r="D3116" s="907" t="s">
        <v>1284</v>
      </c>
      <c r="E3116" s="839" t="s">
        <v>615</v>
      </c>
      <c r="F3116" s="839">
        <v>3989</v>
      </c>
      <c r="G3116" s="916">
        <f>VLOOKUP($A3116,'Tech Litons'!$A:$I,8,FALSE)</f>
        <v>2.3599999999999997E-3</v>
      </c>
      <c r="H3116" s="917">
        <f>VLOOKUP($A3116,'Tech Litons'!$A:$I,9,FALSE)</f>
        <v>210</v>
      </c>
      <c r="I3116" s="917" t="str">
        <f>VLOOKUP($A3116,'Tech Litons'!$A:$C,3,0)</f>
        <v>Facepieces</v>
      </c>
      <c r="J3116" s="918" t="str">
        <f t="shared" si="312"/>
        <v>IncomFacepieces</v>
      </c>
      <c r="K3116" s="919">
        <v>1</v>
      </c>
      <c r="L3116" s="920">
        <f t="shared" si="317"/>
        <v>4200</v>
      </c>
      <c r="M3116" s="920">
        <f t="shared" si="313"/>
        <v>9.911999999999999</v>
      </c>
      <c r="N3116" s="920">
        <f t="shared" si="314"/>
        <v>20</v>
      </c>
      <c r="O3116" s="918" t="str">
        <f t="shared" si="315"/>
        <v>Feb</v>
      </c>
      <c r="P3116" s="921">
        <f t="shared" si="316"/>
        <v>8</v>
      </c>
    </row>
    <row r="3117" spans="1:16" ht="15" hidden="1" customHeight="1">
      <c r="A3117" s="839">
        <v>64365613</v>
      </c>
      <c r="B3117" s="839" t="s">
        <v>139</v>
      </c>
      <c r="C3117" s="906">
        <v>3900</v>
      </c>
      <c r="D3117" s="907" t="s">
        <v>1276</v>
      </c>
      <c r="E3117" s="839" t="s">
        <v>617</v>
      </c>
      <c r="F3117" s="839">
        <v>3989</v>
      </c>
      <c r="G3117" s="916">
        <f>VLOOKUP($A3117,'Tech Litons'!$A:$I,8,FALSE)</f>
        <v>2.1540000000000001E-3</v>
      </c>
      <c r="H3117" s="917">
        <f>VLOOKUP($A3117,'Tech Litons'!$A:$I,9,FALSE)</f>
        <v>195</v>
      </c>
      <c r="I3117" s="917" t="str">
        <f>VLOOKUP($A3117,'Tech Litons'!$A:$C,3,0)</f>
        <v>Facepieces</v>
      </c>
      <c r="J3117" s="918" t="str">
        <f t="shared" si="312"/>
        <v>IncomFacepieces</v>
      </c>
      <c r="K3117" s="919">
        <v>1</v>
      </c>
      <c r="L3117" s="920">
        <f t="shared" si="317"/>
        <v>3900</v>
      </c>
      <c r="M3117" s="920">
        <f t="shared" si="313"/>
        <v>8.4006000000000007</v>
      </c>
      <c r="N3117" s="920">
        <f t="shared" si="314"/>
        <v>20</v>
      </c>
      <c r="O3117" s="918" t="str">
        <f t="shared" si="315"/>
        <v>Feb</v>
      </c>
      <c r="P3117" s="921">
        <f t="shared" si="316"/>
        <v>8</v>
      </c>
    </row>
    <row r="3118" spans="1:16" ht="15" hidden="1" customHeight="1">
      <c r="A3118" s="839">
        <v>64365613</v>
      </c>
      <c r="B3118" s="839" t="s">
        <v>139</v>
      </c>
      <c r="C3118" s="906">
        <v>3900</v>
      </c>
      <c r="D3118" s="907" t="s">
        <v>1276</v>
      </c>
      <c r="E3118" s="839" t="s">
        <v>617</v>
      </c>
      <c r="F3118" s="839">
        <v>3989</v>
      </c>
      <c r="G3118" s="916">
        <f>VLOOKUP($A3118,'Tech Litons'!$A:$I,8,FALSE)</f>
        <v>2.1540000000000001E-3</v>
      </c>
      <c r="H3118" s="917">
        <f>VLOOKUP($A3118,'Tech Litons'!$A:$I,9,FALSE)</f>
        <v>195</v>
      </c>
      <c r="I3118" s="917" t="str">
        <f>VLOOKUP($A3118,'Tech Litons'!$A:$C,3,0)</f>
        <v>Facepieces</v>
      </c>
      <c r="J3118" s="918" t="str">
        <f t="shared" si="312"/>
        <v>IncomFacepieces</v>
      </c>
      <c r="K3118" s="919">
        <v>1</v>
      </c>
      <c r="L3118" s="920">
        <f t="shared" si="317"/>
        <v>3900</v>
      </c>
      <c r="M3118" s="920">
        <f t="shared" si="313"/>
        <v>8.4006000000000007</v>
      </c>
      <c r="N3118" s="920">
        <f t="shared" si="314"/>
        <v>20</v>
      </c>
      <c r="O3118" s="918" t="str">
        <f t="shared" si="315"/>
        <v>Feb</v>
      </c>
      <c r="P3118" s="921">
        <f t="shared" si="316"/>
        <v>8</v>
      </c>
    </row>
    <row r="3119" spans="1:16" ht="15" hidden="1" customHeight="1">
      <c r="A3119" s="839">
        <v>64365613</v>
      </c>
      <c r="B3119" s="839" t="s">
        <v>139</v>
      </c>
      <c r="C3119" s="906">
        <v>3900</v>
      </c>
      <c r="D3119" s="907" t="s">
        <v>1276</v>
      </c>
      <c r="E3119" s="839" t="s">
        <v>617</v>
      </c>
      <c r="F3119" s="839">
        <v>3989</v>
      </c>
      <c r="G3119" s="916">
        <f>VLOOKUP($A3119,'Tech Litons'!$A:$I,8,FALSE)</f>
        <v>2.1540000000000001E-3</v>
      </c>
      <c r="H3119" s="917">
        <f>VLOOKUP($A3119,'Tech Litons'!$A:$I,9,FALSE)</f>
        <v>195</v>
      </c>
      <c r="I3119" s="917" t="str">
        <f>VLOOKUP($A3119,'Tech Litons'!$A:$C,3,0)</f>
        <v>Facepieces</v>
      </c>
      <c r="J3119" s="918" t="str">
        <f t="shared" si="312"/>
        <v>IncomFacepieces</v>
      </c>
      <c r="K3119" s="919">
        <v>1</v>
      </c>
      <c r="L3119" s="920">
        <f t="shared" si="317"/>
        <v>3900</v>
      </c>
      <c r="M3119" s="920">
        <f t="shared" si="313"/>
        <v>8.4006000000000007</v>
      </c>
      <c r="N3119" s="920">
        <f t="shared" si="314"/>
        <v>20</v>
      </c>
      <c r="O3119" s="918" t="str">
        <f t="shared" si="315"/>
        <v>Feb</v>
      </c>
      <c r="P3119" s="921">
        <f t="shared" si="316"/>
        <v>8</v>
      </c>
    </row>
    <row r="3120" spans="1:16" ht="15" hidden="1" customHeight="1">
      <c r="A3120" s="839">
        <v>64365613</v>
      </c>
      <c r="B3120" s="839" t="s">
        <v>139</v>
      </c>
      <c r="C3120" s="906">
        <v>3900</v>
      </c>
      <c r="D3120" s="907" t="s">
        <v>1276</v>
      </c>
      <c r="E3120" s="839" t="s">
        <v>617</v>
      </c>
      <c r="F3120" s="839">
        <v>3989</v>
      </c>
      <c r="G3120" s="916">
        <f>VLOOKUP($A3120,'Tech Litons'!$A:$I,8,FALSE)</f>
        <v>2.1540000000000001E-3</v>
      </c>
      <c r="H3120" s="917">
        <f>VLOOKUP($A3120,'Tech Litons'!$A:$I,9,FALSE)</f>
        <v>195</v>
      </c>
      <c r="I3120" s="917" t="str">
        <f>VLOOKUP($A3120,'Tech Litons'!$A:$C,3,0)</f>
        <v>Facepieces</v>
      </c>
      <c r="J3120" s="918" t="str">
        <f t="shared" si="312"/>
        <v>IncomFacepieces</v>
      </c>
      <c r="K3120" s="919">
        <v>1</v>
      </c>
      <c r="L3120" s="920">
        <f t="shared" si="317"/>
        <v>3900</v>
      </c>
      <c r="M3120" s="920">
        <f t="shared" si="313"/>
        <v>8.4006000000000007</v>
      </c>
      <c r="N3120" s="920">
        <f t="shared" si="314"/>
        <v>20</v>
      </c>
      <c r="O3120" s="918" t="str">
        <f t="shared" si="315"/>
        <v>Feb</v>
      </c>
      <c r="P3120" s="921">
        <f t="shared" si="316"/>
        <v>8</v>
      </c>
    </row>
    <row r="3121" spans="1:16" ht="15" hidden="1" customHeight="1">
      <c r="A3121" s="839">
        <v>64771676</v>
      </c>
      <c r="B3121" s="839" t="s">
        <v>139</v>
      </c>
      <c r="C3121" s="906">
        <v>3900</v>
      </c>
      <c r="D3121" s="907" t="s">
        <v>1276</v>
      </c>
      <c r="E3121" s="839" t="s">
        <v>619</v>
      </c>
      <c r="F3121" s="839">
        <v>3989</v>
      </c>
      <c r="G3121" s="916">
        <f>VLOOKUP($A3121,'Tech Litons'!$A:$I,8,FALSE)</f>
        <v>2.16E-3</v>
      </c>
      <c r="H3121" s="917">
        <f>VLOOKUP($A3121,'Tech Litons'!$A:$I,9,FALSE)</f>
        <v>195</v>
      </c>
      <c r="I3121" s="917" t="str">
        <f>VLOOKUP($A3121,'Tech Litons'!$A:$C,3,0)</f>
        <v>Facepieces</v>
      </c>
      <c r="J3121" s="918" t="str">
        <f t="shared" si="312"/>
        <v>IncomFacepieces</v>
      </c>
      <c r="K3121" s="919">
        <v>1</v>
      </c>
      <c r="L3121" s="920">
        <f t="shared" si="317"/>
        <v>3900</v>
      </c>
      <c r="M3121" s="920">
        <f t="shared" si="313"/>
        <v>8.4239999999999995</v>
      </c>
      <c r="N3121" s="920">
        <f t="shared" si="314"/>
        <v>20</v>
      </c>
      <c r="O3121" s="918" t="str">
        <f t="shared" si="315"/>
        <v>Feb</v>
      </c>
      <c r="P3121" s="921">
        <f t="shared" si="316"/>
        <v>8</v>
      </c>
    </row>
    <row r="3122" spans="1:16" ht="15" hidden="1" customHeight="1">
      <c r="A3122" s="839">
        <v>64365613</v>
      </c>
      <c r="B3122" s="839" t="s">
        <v>139</v>
      </c>
      <c r="C3122" s="906">
        <v>3900</v>
      </c>
      <c r="D3122" s="907" t="s">
        <v>1276</v>
      </c>
      <c r="E3122" s="839" t="s">
        <v>617</v>
      </c>
      <c r="F3122" s="839">
        <v>1419</v>
      </c>
      <c r="G3122" s="916">
        <f>VLOOKUP($A3122,'Tech Litons'!$A:$I,8,FALSE)</f>
        <v>2.1540000000000001E-3</v>
      </c>
      <c r="H3122" s="917">
        <f>VLOOKUP($A3122,'Tech Litons'!$A:$I,9,FALSE)</f>
        <v>195</v>
      </c>
      <c r="I3122" s="917" t="str">
        <f>VLOOKUP($A3122,'Tech Litons'!$A:$C,3,0)</f>
        <v>Facepieces</v>
      </c>
      <c r="J3122" s="918" t="str">
        <f t="shared" si="312"/>
        <v>IncomFacepieces</v>
      </c>
      <c r="K3122" s="919">
        <v>1</v>
      </c>
      <c r="L3122" s="920">
        <f t="shared" si="317"/>
        <v>3900</v>
      </c>
      <c r="M3122" s="920">
        <f t="shared" si="313"/>
        <v>8.4006000000000007</v>
      </c>
      <c r="N3122" s="920">
        <f t="shared" si="314"/>
        <v>20</v>
      </c>
      <c r="O3122" s="918" t="str">
        <f t="shared" si="315"/>
        <v>Feb</v>
      </c>
      <c r="P3122" s="921">
        <f t="shared" si="316"/>
        <v>8</v>
      </c>
    </row>
    <row r="3123" spans="1:16" ht="15" hidden="1" customHeight="1">
      <c r="A3123" s="839">
        <v>64365613</v>
      </c>
      <c r="B3123" s="839" t="s">
        <v>139</v>
      </c>
      <c r="C3123" s="906">
        <v>3900</v>
      </c>
      <c r="D3123" s="907" t="s">
        <v>1276</v>
      </c>
      <c r="E3123" s="839" t="s">
        <v>617</v>
      </c>
      <c r="F3123" s="839">
        <v>1419</v>
      </c>
      <c r="G3123" s="916">
        <f>VLOOKUP($A3123,'Tech Litons'!$A:$I,8,FALSE)</f>
        <v>2.1540000000000001E-3</v>
      </c>
      <c r="H3123" s="917">
        <f>VLOOKUP($A3123,'Tech Litons'!$A:$I,9,FALSE)</f>
        <v>195</v>
      </c>
      <c r="I3123" s="917" t="str">
        <f>VLOOKUP($A3123,'Tech Litons'!$A:$C,3,0)</f>
        <v>Facepieces</v>
      </c>
      <c r="J3123" s="918" t="str">
        <f t="shared" si="312"/>
        <v>IncomFacepieces</v>
      </c>
      <c r="K3123" s="919">
        <v>1</v>
      </c>
      <c r="L3123" s="920">
        <f t="shared" si="317"/>
        <v>3900</v>
      </c>
      <c r="M3123" s="920">
        <f t="shared" si="313"/>
        <v>8.4006000000000007</v>
      </c>
      <c r="N3123" s="920">
        <f t="shared" si="314"/>
        <v>20</v>
      </c>
      <c r="O3123" s="918" t="str">
        <f t="shared" si="315"/>
        <v>Feb</v>
      </c>
      <c r="P3123" s="921">
        <f t="shared" si="316"/>
        <v>8</v>
      </c>
    </row>
    <row r="3124" spans="1:16" ht="15" hidden="1" customHeight="1">
      <c r="A3124" s="839">
        <v>64341108</v>
      </c>
      <c r="B3124" s="839" t="s">
        <v>139</v>
      </c>
      <c r="C3124" s="906">
        <v>4200</v>
      </c>
      <c r="D3124" s="907" t="s">
        <v>1276</v>
      </c>
      <c r="E3124" s="839" t="s">
        <v>615</v>
      </c>
      <c r="F3124" s="839">
        <v>3989</v>
      </c>
      <c r="G3124" s="916">
        <f>VLOOKUP($A3124,'Tech Litons'!$A:$I,8,FALSE)</f>
        <v>2.3599999999999997E-3</v>
      </c>
      <c r="H3124" s="917">
        <f>VLOOKUP($A3124,'Tech Litons'!$A:$I,9,FALSE)</f>
        <v>210</v>
      </c>
      <c r="I3124" s="917" t="str">
        <f>VLOOKUP($A3124,'Tech Litons'!$A:$C,3,0)</f>
        <v>Facepieces</v>
      </c>
      <c r="J3124" s="918" t="str">
        <f t="shared" si="312"/>
        <v>IncomFacepieces</v>
      </c>
      <c r="K3124" s="919">
        <v>1</v>
      </c>
      <c r="L3124" s="920">
        <f t="shared" si="317"/>
        <v>4200</v>
      </c>
      <c r="M3124" s="920">
        <f t="shared" si="313"/>
        <v>9.911999999999999</v>
      </c>
      <c r="N3124" s="920">
        <f t="shared" si="314"/>
        <v>20</v>
      </c>
      <c r="O3124" s="918" t="str">
        <f t="shared" si="315"/>
        <v>Feb</v>
      </c>
      <c r="P3124" s="921">
        <f t="shared" si="316"/>
        <v>8</v>
      </c>
    </row>
    <row r="3125" spans="1:16" ht="15" hidden="1" customHeight="1">
      <c r="A3125" s="839">
        <v>64341108</v>
      </c>
      <c r="B3125" s="839" t="s">
        <v>139</v>
      </c>
      <c r="C3125" s="906">
        <v>4200</v>
      </c>
      <c r="D3125" s="907" t="s">
        <v>1276</v>
      </c>
      <c r="E3125" s="839" t="s">
        <v>615</v>
      </c>
      <c r="F3125" s="839">
        <v>3989</v>
      </c>
      <c r="G3125" s="916">
        <f>VLOOKUP($A3125,'Tech Litons'!$A:$I,8,FALSE)</f>
        <v>2.3599999999999997E-3</v>
      </c>
      <c r="H3125" s="917">
        <f>VLOOKUP($A3125,'Tech Litons'!$A:$I,9,FALSE)</f>
        <v>210</v>
      </c>
      <c r="I3125" s="917" t="str">
        <f>VLOOKUP($A3125,'Tech Litons'!$A:$C,3,0)</f>
        <v>Facepieces</v>
      </c>
      <c r="J3125" s="918" t="str">
        <f t="shared" si="312"/>
        <v>IncomFacepieces</v>
      </c>
      <c r="K3125" s="919">
        <v>1</v>
      </c>
      <c r="L3125" s="920">
        <f t="shared" si="317"/>
        <v>4200</v>
      </c>
      <c r="M3125" s="920">
        <f t="shared" si="313"/>
        <v>9.911999999999999</v>
      </c>
      <c r="N3125" s="920">
        <f t="shared" si="314"/>
        <v>20</v>
      </c>
      <c r="O3125" s="918" t="str">
        <f t="shared" si="315"/>
        <v>Feb</v>
      </c>
      <c r="P3125" s="921">
        <f t="shared" si="316"/>
        <v>8</v>
      </c>
    </row>
    <row r="3126" spans="1:16" ht="15" hidden="1" customHeight="1">
      <c r="A3126" s="839">
        <v>64771676</v>
      </c>
      <c r="B3126" s="839" t="s">
        <v>139</v>
      </c>
      <c r="C3126" s="906">
        <v>3900</v>
      </c>
      <c r="D3126" s="907" t="s">
        <v>1285</v>
      </c>
      <c r="E3126" s="839" t="s">
        <v>619</v>
      </c>
      <c r="F3126" s="839">
        <v>3989</v>
      </c>
      <c r="G3126" s="916">
        <f>VLOOKUP($A3126,'Tech Litons'!$A:$I,8,FALSE)</f>
        <v>2.16E-3</v>
      </c>
      <c r="H3126" s="917">
        <f>VLOOKUP($A3126,'Tech Litons'!$A:$I,9,FALSE)</f>
        <v>195</v>
      </c>
      <c r="I3126" s="917" t="str">
        <f>VLOOKUP($A3126,'Tech Litons'!$A:$C,3,0)</f>
        <v>Facepieces</v>
      </c>
      <c r="J3126" s="918" t="str">
        <f t="shared" si="312"/>
        <v>IncomFacepieces</v>
      </c>
      <c r="K3126" s="919">
        <v>1</v>
      </c>
      <c r="L3126" s="920">
        <f t="shared" si="317"/>
        <v>3900</v>
      </c>
      <c r="M3126" s="920">
        <f t="shared" si="313"/>
        <v>8.4239999999999995</v>
      </c>
      <c r="N3126" s="920">
        <f t="shared" si="314"/>
        <v>20</v>
      </c>
      <c r="O3126" s="918" t="str">
        <f t="shared" si="315"/>
        <v>Feb</v>
      </c>
      <c r="P3126" s="921">
        <f t="shared" si="316"/>
        <v>8</v>
      </c>
    </row>
    <row r="3127" spans="1:16" ht="15" hidden="1" customHeight="1">
      <c r="A3127" s="839">
        <v>64771676</v>
      </c>
      <c r="B3127" s="839" t="s">
        <v>139</v>
      </c>
      <c r="C3127" s="906">
        <v>3900</v>
      </c>
      <c r="D3127" s="907" t="s">
        <v>1285</v>
      </c>
      <c r="E3127" s="839" t="s">
        <v>619</v>
      </c>
      <c r="F3127" s="839">
        <v>3989</v>
      </c>
      <c r="G3127" s="916">
        <f>VLOOKUP($A3127,'Tech Litons'!$A:$I,8,FALSE)</f>
        <v>2.16E-3</v>
      </c>
      <c r="H3127" s="917">
        <f>VLOOKUP($A3127,'Tech Litons'!$A:$I,9,FALSE)</f>
        <v>195</v>
      </c>
      <c r="I3127" s="917" t="str">
        <f>VLOOKUP($A3127,'Tech Litons'!$A:$C,3,0)</f>
        <v>Facepieces</v>
      </c>
      <c r="J3127" s="918" t="str">
        <f t="shared" si="312"/>
        <v>IncomFacepieces</v>
      </c>
      <c r="K3127" s="919">
        <v>1</v>
      </c>
      <c r="L3127" s="920">
        <f t="shared" si="317"/>
        <v>3900</v>
      </c>
      <c r="M3127" s="920">
        <f t="shared" si="313"/>
        <v>8.4239999999999995</v>
      </c>
      <c r="N3127" s="920">
        <f t="shared" si="314"/>
        <v>20</v>
      </c>
      <c r="O3127" s="918" t="str">
        <f t="shared" si="315"/>
        <v>Feb</v>
      </c>
      <c r="P3127" s="921">
        <f t="shared" si="316"/>
        <v>8</v>
      </c>
    </row>
    <row r="3128" spans="1:16" ht="15" hidden="1" customHeight="1">
      <c r="A3128" s="839">
        <v>64771676</v>
      </c>
      <c r="B3128" s="839" t="s">
        <v>139</v>
      </c>
      <c r="C3128" s="906">
        <v>3900</v>
      </c>
      <c r="D3128" s="907" t="s">
        <v>1285</v>
      </c>
      <c r="E3128" s="839" t="s">
        <v>619</v>
      </c>
      <c r="F3128" s="839">
        <v>3989</v>
      </c>
      <c r="G3128" s="916">
        <f>VLOOKUP($A3128,'Tech Litons'!$A:$I,8,FALSE)</f>
        <v>2.16E-3</v>
      </c>
      <c r="H3128" s="917">
        <f>VLOOKUP($A3128,'Tech Litons'!$A:$I,9,FALSE)</f>
        <v>195</v>
      </c>
      <c r="I3128" s="917" t="str">
        <f>VLOOKUP($A3128,'Tech Litons'!$A:$C,3,0)</f>
        <v>Facepieces</v>
      </c>
      <c r="J3128" s="918" t="str">
        <f t="shared" si="312"/>
        <v>IncomFacepieces</v>
      </c>
      <c r="K3128" s="919">
        <v>1</v>
      </c>
      <c r="L3128" s="920">
        <f t="shared" si="317"/>
        <v>3900</v>
      </c>
      <c r="M3128" s="920">
        <f t="shared" si="313"/>
        <v>8.4239999999999995</v>
      </c>
      <c r="N3128" s="920">
        <f t="shared" si="314"/>
        <v>20</v>
      </c>
      <c r="O3128" s="918" t="str">
        <f t="shared" si="315"/>
        <v>Feb</v>
      </c>
      <c r="P3128" s="921">
        <f t="shared" si="316"/>
        <v>8</v>
      </c>
    </row>
    <row r="3129" spans="1:16" ht="15" hidden="1" customHeight="1">
      <c r="A3129" s="839">
        <v>64771676</v>
      </c>
      <c r="B3129" s="839" t="s">
        <v>139</v>
      </c>
      <c r="C3129" s="906">
        <v>3900</v>
      </c>
      <c r="D3129" s="907" t="s">
        <v>1285</v>
      </c>
      <c r="E3129" s="839" t="s">
        <v>619</v>
      </c>
      <c r="F3129" s="839">
        <v>1419</v>
      </c>
      <c r="G3129" s="916">
        <f>VLOOKUP($A3129,'Tech Litons'!$A:$I,8,FALSE)</f>
        <v>2.16E-3</v>
      </c>
      <c r="H3129" s="917">
        <f>VLOOKUP($A3129,'Tech Litons'!$A:$I,9,FALSE)</f>
        <v>195</v>
      </c>
      <c r="I3129" s="917" t="str">
        <f>VLOOKUP($A3129,'Tech Litons'!$A:$C,3,0)</f>
        <v>Facepieces</v>
      </c>
      <c r="J3129" s="918" t="str">
        <f t="shared" si="312"/>
        <v>IncomFacepieces</v>
      </c>
      <c r="K3129" s="919">
        <v>1</v>
      </c>
      <c r="L3129" s="920">
        <f t="shared" si="317"/>
        <v>3900</v>
      </c>
      <c r="M3129" s="920">
        <f t="shared" si="313"/>
        <v>8.4239999999999995</v>
      </c>
      <c r="N3129" s="920">
        <f t="shared" si="314"/>
        <v>20</v>
      </c>
      <c r="O3129" s="918" t="str">
        <f t="shared" si="315"/>
        <v>Feb</v>
      </c>
      <c r="P3129" s="921">
        <f t="shared" si="316"/>
        <v>8</v>
      </c>
    </row>
    <row r="3130" spans="1:16" ht="15" hidden="1" customHeight="1">
      <c r="A3130" s="839">
        <v>64771676</v>
      </c>
      <c r="B3130" s="839" t="s">
        <v>139</v>
      </c>
      <c r="C3130" s="906">
        <v>3900</v>
      </c>
      <c r="D3130" s="907" t="s">
        <v>1285</v>
      </c>
      <c r="E3130" s="839" t="s">
        <v>619</v>
      </c>
      <c r="F3130" s="839">
        <v>1419</v>
      </c>
      <c r="G3130" s="916">
        <f>VLOOKUP($A3130,'Tech Litons'!$A:$I,8,FALSE)</f>
        <v>2.16E-3</v>
      </c>
      <c r="H3130" s="917">
        <f>VLOOKUP($A3130,'Tech Litons'!$A:$I,9,FALSE)</f>
        <v>195</v>
      </c>
      <c r="I3130" s="917" t="str">
        <f>VLOOKUP($A3130,'Tech Litons'!$A:$C,3,0)</f>
        <v>Facepieces</v>
      </c>
      <c r="J3130" s="918" t="str">
        <f t="shared" si="312"/>
        <v>IncomFacepieces</v>
      </c>
      <c r="K3130" s="919">
        <v>1</v>
      </c>
      <c r="L3130" s="920">
        <f t="shared" si="317"/>
        <v>3900</v>
      </c>
      <c r="M3130" s="920">
        <f t="shared" si="313"/>
        <v>8.4239999999999995</v>
      </c>
      <c r="N3130" s="920">
        <f t="shared" si="314"/>
        <v>20</v>
      </c>
      <c r="O3130" s="918" t="str">
        <f t="shared" si="315"/>
        <v>Feb</v>
      </c>
      <c r="P3130" s="921">
        <f t="shared" si="316"/>
        <v>8</v>
      </c>
    </row>
    <row r="3131" spans="1:16" ht="15" hidden="1" customHeight="1">
      <c r="A3131" s="839">
        <v>64341108</v>
      </c>
      <c r="B3131" s="839" t="s">
        <v>139</v>
      </c>
      <c r="C3131" s="906">
        <v>4200</v>
      </c>
      <c r="D3131" s="907" t="s">
        <v>1285</v>
      </c>
      <c r="E3131" s="839" t="s">
        <v>615</v>
      </c>
      <c r="F3131" s="839">
        <v>3989</v>
      </c>
      <c r="G3131" s="916">
        <f>VLOOKUP($A3131,'Tech Litons'!$A:$I,8,FALSE)</f>
        <v>2.3599999999999997E-3</v>
      </c>
      <c r="H3131" s="917">
        <f>VLOOKUP($A3131,'Tech Litons'!$A:$I,9,FALSE)</f>
        <v>210</v>
      </c>
      <c r="I3131" s="917" t="str">
        <f>VLOOKUP($A3131,'Tech Litons'!$A:$C,3,0)</f>
        <v>Facepieces</v>
      </c>
      <c r="J3131" s="918" t="str">
        <f t="shared" si="312"/>
        <v>IncomFacepieces</v>
      </c>
      <c r="K3131" s="919">
        <v>1</v>
      </c>
      <c r="L3131" s="920">
        <f t="shared" si="317"/>
        <v>4200</v>
      </c>
      <c r="M3131" s="920">
        <f t="shared" si="313"/>
        <v>9.911999999999999</v>
      </c>
      <c r="N3131" s="920">
        <f t="shared" si="314"/>
        <v>20</v>
      </c>
      <c r="O3131" s="918" t="str">
        <f t="shared" si="315"/>
        <v>Feb</v>
      </c>
      <c r="P3131" s="921">
        <f t="shared" si="316"/>
        <v>8</v>
      </c>
    </row>
    <row r="3132" spans="1:16" ht="15" hidden="1" customHeight="1">
      <c r="A3132" s="839">
        <v>64341108</v>
      </c>
      <c r="B3132" s="839" t="s">
        <v>139</v>
      </c>
      <c r="C3132" s="906">
        <v>4200</v>
      </c>
      <c r="D3132" s="907" t="s">
        <v>1285</v>
      </c>
      <c r="E3132" s="839" t="s">
        <v>615</v>
      </c>
      <c r="F3132" s="839">
        <v>3989</v>
      </c>
      <c r="G3132" s="916">
        <f>VLOOKUP($A3132,'Tech Litons'!$A:$I,8,FALSE)</f>
        <v>2.3599999999999997E-3</v>
      </c>
      <c r="H3132" s="917">
        <f>VLOOKUP($A3132,'Tech Litons'!$A:$I,9,FALSE)</f>
        <v>210</v>
      </c>
      <c r="I3132" s="917" t="str">
        <f>VLOOKUP($A3132,'Tech Litons'!$A:$C,3,0)</f>
        <v>Facepieces</v>
      </c>
      <c r="J3132" s="918" t="str">
        <f t="shared" si="312"/>
        <v>IncomFacepieces</v>
      </c>
      <c r="K3132" s="919">
        <v>1</v>
      </c>
      <c r="L3132" s="920">
        <f t="shared" si="317"/>
        <v>4200</v>
      </c>
      <c r="M3132" s="920">
        <f t="shared" si="313"/>
        <v>9.911999999999999</v>
      </c>
      <c r="N3132" s="920">
        <f t="shared" si="314"/>
        <v>20</v>
      </c>
      <c r="O3132" s="918" t="str">
        <f t="shared" si="315"/>
        <v>Feb</v>
      </c>
      <c r="P3132" s="921">
        <f t="shared" si="316"/>
        <v>8</v>
      </c>
    </row>
    <row r="3133" spans="1:16" ht="15" hidden="1" customHeight="1">
      <c r="A3133" s="839">
        <v>64401837</v>
      </c>
      <c r="B3133" s="839" t="s">
        <v>139</v>
      </c>
      <c r="C3133" s="906">
        <v>3000</v>
      </c>
      <c r="D3133" s="907" t="s">
        <v>1286</v>
      </c>
      <c r="E3133" s="839" t="s">
        <v>618</v>
      </c>
      <c r="F3133" s="839">
        <v>3989</v>
      </c>
      <c r="G3133" s="916">
        <f>VLOOKUP($A3133,'Tech Litons'!$A:$I,8,FALSE)</f>
        <v>2.16E-3</v>
      </c>
      <c r="H3133" s="917">
        <f>VLOOKUP($A3133,'Tech Litons'!$A:$I,9,FALSE)</f>
        <v>150</v>
      </c>
      <c r="I3133" s="917" t="str">
        <f>VLOOKUP($A3133,'Tech Litons'!$A:$C,3,0)</f>
        <v>Facepieces</v>
      </c>
      <c r="J3133" s="918" t="str">
        <f t="shared" si="312"/>
        <v>IncomFacepieces</v>
      </c>
      <c r="K3133" s="919">
        <v>1</v>
      </c>
      <c r="L3133" s="920">
        <f t="shared" si="317"/>
        <v>3000</v>
      </c>
      <c r="M3133" s="920">
        <f t="shared" si="313"/>
        <v>6.48</v>
      </c>
      <c r="N3133" s="920">
        <f t="shared" si="314"/>
        <v>20</v>
      </c>
      <c r="O3133" s="918" t="str">
        <f t="shared" si="315"/>
        <v>Feb</v>
      </c>
      <c r="P3133" s="921">
        <f t="shared" si="316"/>
        <v>8</v>
      </c>
    </row>
    <row r="3134" spans="1:16" ht="15" hidden="1" customHeight="1">
      <c r="A3134" s="839">
        <v>64401837</v>
      </c>
      <c r="B3134" s="839" t="s">
        <v>139</v>
      </c>
      <c r="C3134" s="906">
        <v>3000</v>
      </c>
      <c r="D3134" s="907" t="s">
        <v>1286</v>
      </c>
      <c r="E3134" s="839" t="s">
        <v>618</v>
      </c>
      <c r="F3134" s="839">
        <v>3989</v>
      </c>
      <c r="G3134" s="916">
        <f>VLOOKUP($A3134,'Tech Litons'!$A:$I,8,FALSE)</f>
        <v>2.16E-3</v>
      </c>
      <c r="H3134" s="917">
        <f>VLOOKUP($A3134,'Tech Litons'!$A:$I,9,FALSE)</f>
        <v>150</v>
      </c>
      <c r="I3134" s="917" t="str">
        <f>VLOOKUP($A3134,'Tech Litons'!$A:$C,3,0)</f>
        <v>Facepieces</v>
      </c>
      <c r="J3134" s="918" t="str">
        <f t="shared" si="312"/>
        <v>IncomFacepieces</v>
      </c>
      <c r="K3134" s="919">
        <v>1</v>
      </c>
      <c r="L3134" s="920">
        <f t="shared" si="317"/>
        <v>3000</v>
      </c>
      <c r="M3134" s="920">
        <f t="shared" si="313"/>
        <v>6.48</v>
      </c>
      <c r="N3134" s="920">
        <f t="shared" si="314"/>
        <v>20</v>
      </c>
      <c r="O3134" s="918" t="str">
        <f t="shared" si="315"/>
        <v>Feb</v>
      </c>
      <c r="P3134" s="921">
        <f t="shared" si="316"/>
        <v>8</v>
      </c>
    </row>
    <row r="3135" spans="1:16" ht="15" hidden="1" customHeight="1">
      <c r="A3135" s="839">
        <v>64365613</v>
      </c>
      <c r="B3135" s="839" t="s">
        <v>139</v>
      </c>
      <c r="C3135" s="906">
        <v>3900</v>
      </c>
      <c r="D3135" s="907" t="s">
        <v>1286</v>
      </c>
      <c r="E3135" s="839" t="s">
        <v>617</v>
      </c>
      <c r="F3135" s="839">
        <v>3989</v>
      </c>
      <c r="G3135" s="916">
        <f>VLOOKUP($A3135,'Tech Litons'!$A:$I,8,FALSE)</f>
        <v>2.1540000000000001E-3</v>
      </c>
      <c r="H3135" s="917">
        <f>VLOOKUP($A3135,'Tech Litons'!$A:$I,9,FALSE)</f>
        <v>195</v>
      </c>
      <c r="I3135" s="917" t="str">
        <f>VLOOKUP($A3135,'Tech Litons'!$A:$C,3,0)</f>
        <v>Facepieces</v>
      </c>
      <c r="J3135" s="918" t="str">
        <f t="shared" si="312"/>
        <v>IncomFacepieces</v>
      </c>
      <c r="K3135" s="919">
        <v>1</v>
      </c>
      <c r="L3135" s="920">
        <f t="shared" si="317"/>
        <v>3900</v>
      </c>
      <c r="M3135" s="920">
        <f t="shared" si="313"/>
        <v>8.4006000000000007</v>
      </c>
      <c r="N3135" s="920">
        <f t="shared" si="314"/>
        <v>20</v>
      </c>
      <c r="O3135" s="918" t="str">
        <f t="shared" si="315"/>
        <v>Feb</v>
      </c>
      <c r="P3135" s="921">
        <f t="shared" si="316"/>
        <v>8</v>
      </c>
    </row>
    <row r="3136" spans="1:16" ht="15" hidden="1" customHeight="1">
      <c r="A3136" s="839">
        <v>64875812</v>
      </c>
      <c r="B3136" s="839">
        <v>6757</v>
      </c>
      <c r="C3136" s="906">
        <v>10691</v>
      </c>
      <c r="D3136" s="907">
        <v>46064</v>
      </c>
      <c r="E3136" s="839" t="s">
        <v>347</v>
      </c>
      <c r="F3136" s="839">
        <v>6757</v>
      </c>
      <c r="G3136" s="916">
        <f>VLOOKUP($A3136,'Tech Litons'!$A:$I,8,FALSE)</f>
        <v>6.0000000000000001E-3</v>
      </c>
      <c r="H3136" s="917">
        <f>VLOOKUP($A3136,'Tech Litons'!$A:$I,9,FALSE)</f>
        <v>108</v>
      </c>
      <c r="I3136" s="917" t="str">
        <f>VLOOKUP($A3136,'Tech Litons'!$A:$C,3,0)</f>
        <v>ESS</v>
      </c>
      <c r="J3136" s="918" t="str">
        <f t="shared" si="312"/>
        <v>6757ESS</v>
      </c>
      <c r="K3136" s="919">
        <v>1</v>
      </c>
      <c r="L3136" s="920">
        <f t="shared" si="317"/>
        <v>10691</v>
      </c>
      <c r="M3136" s="920">
        <f t="shared" si="313"/>
        <v>64.146000000000001</v>
      </c>
      <c r="N3136" s="920">
        <f t="shared" si="314"/>
        <v>98.990740740740748</v>
      </c>
      <c r="O3136" s="918" t="str">
        <f t="shared" si="315"/>
        <v>Feb</v>
      </c>
      <c r="P3136" s="921">
        <f t="shared" si="316"/>
        <v>7</v>
      </c>
    </row>
    <row r="3137" spans="1:16" ht="15" hidden="1" customHeight="1">
      <c r="A3137" s="839">
        <v>64875812</v>
      </c>
      <c r="B3137" s="839">
        <v>6757</v>
      </c>
      <c r="C3137" s="906">
        <v>13287</v>
      </c>
      <c r="D3137" s="907">
        <v>46064</v>
      </c>
      <c r="E3137" s="839" t="s">
        <v>347</v>
      </c>
      <c r="F3137" s="839">
        <v>6757</v>
      </c>
      <c r="G3137" s="916">
        <f>VLOOKUP($A3137,'Tech Litons'!$A:$I,8,FALSE)</f>
        <v>6.0000000000000001E-3</v>
      </c>
      <c r="H3137" s="917">
        <f>VLOOKUP($A3137,'Tech Litons'!$A:$I,9,FALSE)</f>
        <v>108</v>
      </c>
      <c r="I3137" s="917" t="str">
        <f>VLOOKUP($A3137,'Tech Litons'!$A:$C,3,0)</f>
        <v>ESS</v>
      </c>
      <c r="J3137" s="918" t="str">
        <f t="shared" si="312"/>
        <v>6757ESS</v>
      </c>
      <c r="K3137" s="919">
        <v>1</v>
      </c>
      <c r="L3137" s="920">
        <f t="shared" si="317"/>
        <v>13287</v>
      </c>
      <c r="M3137" s="920">
        <f t="shared" si="313"/>
        <v>79.722000000000008</v>
      </c>
      <c r="N3137" s="920">
        <f t="shared" si="314"/>
        <v>123.02777777777777</v>
      </c>
      <c r="O3137" s="918" t="str">
        <f t="shared" si="315"/>
        <v>Feb</v>
      </c>
      <c r="P3137" s="921">
        <f t="shared" si="316"/>
        <v>7</v>
      </c>
    </row>
    <row r="3138" spans="1:16" ht="15" hidden="1" customHeight="1">
      <c r="A3138" s="839">
        <v>64875812</v>
      </c>
      <c r="B3138" s="839">
        <v>6757</v>
      </c>
      <c r="C3138" s="906">
        <v>12756</v>
      </c>
      <c r="D3138" s="907">
        <v>46066</v>
      </c>
      <c r="E3138" s="839" t="s">
        <v>347</v>
      </c>
      <c r="F3138" s="839">
        <v>6757</v>
      </c>
      <c r="G3138" s="916">
        <f>VLOOKUP($A3138,'Tech Litons'!$A:$I,8,FALSE)</f>
        <v>6.0000000000000001E-3</v>
      </c>
      <c r="H3138" s="917">
        <f>VLOOKUP($A3138,'Tech Litons'!$A:$I,9,FALSE)</f>
        <v>108</v>
      </c>
      <c r="I3138" s="917" t="str">
        <f>VLOOKUP($A3138,'Tech Litons'!$A:$C,3,0)</f>
        <v>ESS</v>
      </c>
      <c r="J3138" s="918" t="str">
        <f t="shared" si="312"/>
        <v>6757ESS</v>
      </c>
      <c r="K3138" s="919">
        <v>1</v>
      </c>
      <c r="L3138" s="920">
        <f t="shared" si="317"/>
        <v>12756</v>
      </c>
      <c r="M3138" s="920">
        <f t="shared" si="313"/>
        <v>76.536000000000001</v>
      </c>
      <c r="N3138" s="920">
        <f t="shared" si="314"/>
        <v>118.11111111111111</v>
      </c>
      <c r="O3138" s="918" t="str">
        <f t="shared" si="315"/>
        <v>Feb</v>
      </c>
      <c r="P3138" s="921">
        <f t="shared" si="316"/>
        <v>7</v>
      </c>
    </row>
    <row r="3139" spans="1:16" ht="15" hidden="1" customHeight="1">
      <c r="A3139" s="839">
        <v>64957257</v>
      </c>
      <c r="B3139" s="839">
        <v>6757</v>
      </c>
      <c r="C3139" s="906">
        <v>33793</v>
      </c>
      <c r="D3139" s="907">
        <v>46072</v>
      </c>
      <c r="E3139" s="839" t="s">
        <v>609</v>
      </c>
      <c r="F3139" s="839">
        <v>6757</v>
      </c>
      <c r="G3139" s="916">
        <f>VLOOKUP($A3139,'Tech Litons'!$A:$I,8,FALSE)</f>
        <v>2.4880000000000002E-3</v>
      </c>
      <c r="H3139" s="917">
        <f>VLOOKUP($A3139,'Tech Litons'!$A:$I,9,FALSE)</f>
        <v>180</v>
      </c>
      <c r="I3139" s="917" t="str">
        <f>VLOOKUP($A3139,'Tech Litons'!$A:$C,3,0)</f>
        <v>Yasso Sandwich</v>
      </c>
      <c r="J3139" s="918" t="str">
        <f t="shared" si="312"/>
        <v>6757Yasso Sandwich</v>
      </c>
      <c r="K3139" s="919">
        <v>1</v>
      </c>
      <c r="L3139" s="920">
        <f t="shared" si="317"/>
        <v>33793</v>
      </c>
      <c r="M3139" s="920">
        <f t="shared" si="313"/>
        <v>84.07698400000001</v>
      </c>
      <c r="N3139" s="920">
        <f t="shared" si="314"/>
        <v>187.73888888888888</v>
      </c>
      <c r="O3139" s="918" t="str">
        <f t="shared" si="315"/>
        <v>Feb</v>
      </c>
      <c r="P3139" s="921">
        <f t="shared" si="316"/>
        <v>8</v>
      </c>
    </row>
    <row r="3140" spans="1:16" ht="15" hidden="1" customHeight="1">
      <c r="A3140" s="839">
        <v>69665113</v>
      </c>
      <c r="B3140" s="839" t="s">
        <v>118</v>
      </c>
      <c r="C3140" s="906">
        <v>15360</v>
      </c>
      <c r="D3140" s="907" t="s">
        <v>1271</v>
      </c>
      <c r="E3140" s="839" t="s">
        <v>896</v>
      </c>
      <c r="F3140" s="839">
        <v>1419</v>
      </c>
      <c r="G3140" s="916">
        <f>VLOOKUP($A3140,'Tech Litons'!$A:$I,8,FALSE)</f>
        <v>1.8160000000000001E-3</v>
      </c>
      <c r="H3140" s="917">
        <f>VLOOKUP($A3140,'Tech Litons'!$A:$I,9,FALSE)</f>
        <v>256</v>
      </c>
      <c r="I3140" s="917" t="str">
        <f>VLOOKUP($A3140,'Tech Litons'!$A:$C,3,0)</f>
        <v>Dough Bites</v>
      </c>
      <c r="J3140" s="918" t="str">
        <f t="shared" ref="J3140:J3184" si="318">B3140&amp;I3140</f>
        <v>RhinoDough Bites</v>
      </c>
      <c r="K3140" s="919">
        <v>1</v>
      </c>
      <c r="L3140" s="920">
        <f t="shared" si="317"/>
        <v>15360</v>
      </c>
      <c r="M3140" s="920">
        <f t="shared" ref="M3140:M3184" si="319">L3140*G3140</f>
        <v>27.89376</v>
      </c>
      <c r="N3140" s="920">
        <f t="shared" ref="N3140:N3184" si="320">L3140/H3140</f>
        <v>60</v>
      </c>
      <c r="O3140" s="918" t="str">
        <f t="shared" ref="O3140:O3184" si="321">TEXT(D3140,"MMM")</f>
        <v>Jan</v>
      </c>
      <c r="P3140" s="921">
        <f t="shared" ref="P3140:P3184" si="322">WEEKNUM(D3140)</f>
        <v>5</v>
      </c>
    </row>
    <row r="3141" spans="1:16" ht="15" hidden="1" customHeight="1">
      <c r="A3141" s="839">
        <v>69665113</v>
      </c>
      <c r="B3141" s="839" t="s">
        <v>118</v>
      </c>
      <c r="C3141" s="906">
        <v>13568</v>
      </c>
      <c r="D3141" s="907" t="s">
        <v>1273</v>
      </c>
      <c r="E3141" s="839" t="s">
        <v>896</v>
      </c>
      <c r="F3141" s="839">
        <v>1419</v>
      </c>
      <c r="G3141" s="916">
        <f>VLOOKUP($A3141,'Tech Litons'!$A:$I,8,FALSE)</f>
        <v>1.8160000000000001E-3</v>
      </c>
      <c r="H3141" s="917">
        <f>VLOOKUP($A3141,'Tech Litons'!$A:$I,9,FALSE)</f>
        <v>256</v>
      </c>
      <c r="I3141" s="917" t="str">
        <f>VLOOKUP($A3141,'Tech Litons'!$A:$C,3,0)</f>
        <v>Dough Bites</v>
      </c>
      <c r="J3141" s="918" t="str">
        <f t="shared" si="318"/>
        <v>RhinoDough Bites</v>
      </c>
      <c r="K3141" s="919">
        <v>1</v>
      </c>
      <c r="L3141" s="920">
        <f t="shared" si="317"/>
        <v>13568</v>
      </c>
      <c r="M3141" s="920">
        <f t="shared" si="319"/>
        <v>24.639488</v>
      </c>
      <c r="N3141" s="920">
        <f t="shared" si="320"/>
        <v>53</v>
      </c>
      <c r="O3141" s="918" t="str">
        <f t="shared" si="321"/>
        <v>Feb</v>
      </c>
      <c r="P3141" s="921">
        <f t="shared" si="322"/>
        <v>6</v>
      </c>
    </row>
    <row r="3142" spans="1:16" ht="15" hidden="1" customHeight="1">
      <c r="A3142" s="839">
        <v>69665113</v>
      </c>
      <c r="B3142" s="839" t="s">
        <v>118</v>
      </c>
      <c r="C3142" s="906">
        <v>14336</v>
      </c>
      <c r="D3142" s="907" t="s">
        <v>1276</v>
      </c>
      <c r="E3142" s="839" t="s">
        <v>896</v>
      </c>
      <c r="F3142" s="839">
        <v>1419</v>
      </c>
      <c r="G3142" s="916">
        <f>VLOOKUP($A3142,'Tech Litons'!$A:$I,8,FALSE)</f>
        <v>1.8160000000000001E-3</v>
      </c>
      <c r="H3142" s="917">
        <f>VLOOKUP($A3142,'Tech Litons'!$A:$I,9,FALSE)</f>
        <v>256</v>
      </c>
      <c r="I3142" s="917" t="str">
        <f>VLOOKUP($A3142,'Tech Litons'!$A:$C,3,0)</f>
        <v>Dough Bites</v>
      </c>
      <c r="J3142" s="918" t="str">
        <f t="shared" si="318"/>
        <v>RhinoDough Bites</v>
      </c>
      <c r="K3142" s="919">
        <v>1</v>
      </c>
      <c r="L3142" s="920">
        <f t="shared" si="317"/>
        <v>14336</v>
      </c>
      <c r="M3142" s="920">
        <f t="shared" si="319"/>
        <v>26.034176000000002</v>
      </c>
      <c r="N3142" s="920">
        <f t="shared" si="320"/>
        <v>56</v>
      </c>
      <c r="O3142" s="918" t="str">
        <f t="shared" si="321"/>
        <v>Feb</v>
      </c>
      <c r="P3142" s="921">
        <f t="shared" si="322"/>
        <v>8</v>
      </c>
    </row>
    <row r="3143" spans="1:16" ht="15" hidden="1" customHeight="1">
      <c r="A3143" s="839">
        <v>68654218</v>
      </c>
      <c r="B3143" s="839" t="s">
        <v>118</v>
      </c>
      <c r="C3143" s="906">
        <v>4352</v>
      </c>
      <c r="D3143" s="907" t="s">
        <v>1286</v>
      </c>
      <c r="E3143" s="839" t="s">
        <v>897</v>
      </c>
      <c r="F3143" s="839">
        <v>1419</v>
      </c>
      <c r="G3143" s="916">
        <f>VLOOKUP($A3143,'Tech Litons'!$A:$I,8,FALSE)</f>
        <v>1.892672E-3</v>
      </c>
      <c r="H3143" s="917">
        <f>VLOOKUP($A3143,'Tech Litons'!$A:$I,9,FALSE)</f>
        <v>256</v>
      </c>
      <c r="I3143" s="917" t="str">
        <f>VLOOKUP($A3143,'Tech Litons'!$A:$C,3,0)</f>
        <v>Dough Bites</v>
      </c>
      <c r="J3143" s="918" t="str">
        <f t="shared" si="318"/>
        <v>RhinoDough Bites</v>
      </c>
      <c r="K3143" s="919">
        <v>1</v>
      </c>
      <c r="L3143" s="920">
        <f t="shared" si="317"/>
        <v>4352</v>
      </c>
      <c r="M3143" s="920">
        <f t="shared" si="319"/>
        <v>8.2369085440000003</v>
      </c>
      <c r="N3143" s="920">
        <f t="shared" si="320"/>
        <v>17</v>
      </c>
      <c r="O3143" s="918" t="str">
        <f t="shared" si="321"/>
        <v>Feb</v>
      </c>
      <c r="P3143" s="921">
        <f t="shared" si="322"/>
        <v>8</v>
      </c>
    </row>
    <row r="3144" spans="1:16" ht="15" hidden="1" customHeight="1">
      <c r="A3144" s="839">
        <v>68264519</v>
      </c>
      <c r="B3144" s="839" t="s">
        <v>118</v>
      </c>
      <c r="C3144" s="906">
        <v>5632</v>
      </c>
      <c r="D3144" s="907" t="s">
        <v>1286</v>
      </c>
      <c r="E3144" s="839" t="s">
        <v>894</v>
      </c>
      <c r="F3144" s="839">
        <v>1419</v>
      </c>
      <c r="G3144" s="916">
        <f>VLOOKUP($A3144,'Tech Litons'!$A:$I,8,FALSE)</f>
        <v>1.419504E-3</v>
      </c>
      <c r="H3144" s="917">
        <f>VLOOKUP($A3144,'Tech Litons'!$A:$I,9,FALSE)</f>
        <v>256</v>
      </c>
      <c r="I3144" s="917" t="str">
        <f>VLOOKUP($A3144,'Tech Litons'!$A:$C,3,0)</f>
        <v>Dough Bites</v>
      </c>
      <c r="J3144" s="918" t="str">
        <f t="shared" si="318"/>
        <v>RhinoDough Bites</v>
      </c>
      <c r="K3144" s="919">
        <v>1</v>
      </c>
      <c r="L3144" s="920">
        <f t="shared" si="317"/>
        <v>5632</v>
      </c>
      <c r="M3144" s="920">
        <f t="shared" si="319"/>
        <v>7.9946465280000005</v>
      </c>
      <c r="N3144" s="920">
        <f t="shared" si="320"/>
        <v>22</v>
      </c>
      <c r="O3144" s="918" t="str">
        <f t="shared" si="321"/>
        <v>Feb</v>
      </c>
      <c r="P3144" s="921">
        <f t="shared" si="322"/>
        <v>8</v>
      </c>
    </row>
    <row r="3145" spans="1:16" ht="15" hidden="1" customHeight="1">
      <c r="A3145" s="839">
        <v>69665113</v>
      </c>
      <c r="B3145" s="839" t="s">
        <v>118</v>
      </c>
      <c r="C3145" s="906">
        <v>6144</v>
      </c>
      <c r="D3145" s="907" t="s">
        <v>1286</v>
      </c>
      <c r="E3145" s="839" t="s">
        <v>896</v>
      </c>
      <c r="F3145" s="839">
        <v>1419</v>
      </c>
      <c r="G3145" s="916">
        <f>VLOOKUP($A3145,'Tech Litons'!$A:$I,8,FALSE)</f>
        <v>1.8160000000000001E-3</v>
      </c>
      <c r="H3145" s="917">
        <f>VLOOKUP($A3145,'Tech Litons'!$A:$I,9,FALSE)</f>
        <v>256</v>
      </c>
      <c r="I3145" s="917" t="str">
        <f>VLOOKUP($A3145,'Tech Litons'!$A:$C,3,0)</f>
        <v>Dough Bites</v>
      </c>
      <c r="J3145" s="918" t="str">
        <f t="shared" si="318"/>
        <v>RhinoDough Bites</v>
      </c>
      <c r="K3145" s="919">
        <v>1</v>
      </c>
      <c r="L3145" s="920">
        <f t="shared" si="317"/>
        <v>6144</v>
      </c>
      <c r="M3145" s="920">
        <f t="shared" si="319"/>
        <v>11.157504000000001</v>
      </c>
      <c r="N3145" s="920">
        <f t="shared" si="320"/>
        <v>24</v>
      </c>
      <c r="O3145" s="918" t="str">
        <f t="shared" si="321"/>
        <v>Feb</v>
      </c>
      <c r="P3145" s="921">
        <f t="shared" si="322"/>
        <v>8</v>
      </c>
    </row>
    <row r="3146" spans="1:16" ht="15" hidden="1" customHeight="1">
      <c r="A3146" s="839">
        <v>64804365</v>
      </c>
      <c r="B3146" s="839">
        <v>1712</v>
      </c>
      <c r="C3146" s="906">
        <v>8073</v>
      </c>
      <c r="D3146" s="907" t="s">
        <v>1270</v>
      </c>
      <c r="E3146" s="839" t="s">
        <v>571</v>
      </c>
      <c r="F3146" s="839">
        <v>1712</v>
      </c>
      <c r="G3146" s="916">
        <f>VLOOKUP($A3146,'Tech Litons'!$A:$I,8,FALSE)</f>
        <v>2.8799999999999997E-3</v>
      </c>
      <c r="H3146" s="917">
        <f>VLOOKUP($A3146,'Tech Litons'!$A:$I,9,FALSE)</f>
        <v>180</v>
      </c>
      <c r="I3146" s="917" t="str">
        <f>VLOOKUP($A3146,'Tech Litons'!$A:$C,3,0)</f>
        <v>B&amp;J Cups</v>
      </c>
      <c r="J3146" s="918" t="str">
        <f t="shared" si="318"/>
        <v>1712B&amp;J Cups</v>
      </c>
      <c r="K3146" s="919">
        <v>1</v>
      </c>
      <c r="L3146" s="920">
        <f t="shared" si="317"/>
        <v>8073</v>
      </c>
      <c r="M3146" s="920">
        <f t="shared" si="319"/>
        <v>23.250239999999998</v>
      </c>
      <c r="N3146" s="920">
        <f t="shared" si="320"/>
        <v>44.85</v>
      </c>
      <c r="O3146" s="918" t="str">
        <f t="shared" si="321"/>
        <v>Jan</v>
      </c>
      <c r="P3146" s="921">
        <f t="shared" si="322"/>
        <v>5</v>
      </c>
    </row>
    <row r="3147" spans="1:16" ht="15" hidden="1" customHeight="1">
      <c r="A3147" s="839">
        <v>64413478</v>
      </c>
      <c r="B3147" s="839">
        <v>1712</v>
      </c>
      <c r="C3147" s="906">
        <v>31913</v>
      </c>
      <c r="D3147" s="907" t="s">
        <v>1270</v>
      </c>
      <c r="E3147" s="839" t="s">
        <v>569</v>
      </c>
      <c r="F3147" s="839">
        <v>1712</v>
      </c>
      <c r="G3147" s="916">
        <f>VLOOKUP($A3147,'Tech Litons'!$A:$I,8,FALSE)</f>
        <v>1.4159999999999999E-3</v>
      </c>
      <c r="H3147" s="917">
        <f>VLOOKUP($A3147,'Tech Litons'!$A:$I,9,FALSE)</f>
        <v>468</v>
      </c>
      <c r="I3147" s="917" t="str">
        <f>VLOOKUP($A3147,'Tech Litons'!$A:$C,3,0)</f>
        <v>B&amp;J Cups</v>
      </c>
      <c r="J3147" s="918" t="str">
        <f t="shared" si="318"/>
        <v>1712B&amp;J Cups</v>
      </c>
      <c r="K3147" s="919">
        <v>1</v>
      </c>
      <c r="L3147" s="920">
        <f t="shared" si="317"/>
        <v>31913</v>
      </c>
      <c r="M3147" s="920">
        <f t="shared" si="319"/>
        <v>45.188808000000002</v>
      </c>
      <c r="N3147" s="920">
        <f t="shared" si="320"/>
        <v>68.190170940170944</v>
      </c>
      <c r="O3147" s="918" t="str">
        <f t="shared" si="321"/>
        <v>Jan</v>
      </c>
      <c r="P3147" s="921">
        <f t="shared" si="322"/>
        <v>5</v>
      </c>
    </row>
    <row r="3148" spans="1:16" ht="15" hidden="1" customHeight="1">
      <c r="A3148" s="839">
        <v>64977494</v>
      </c>
      <c r="B3148" s="839">
        <v>1712</v>
      </c>
      <c r="C3148" s="906">
        <v>23724</v>
      </c>
      <c r="D3148" s="907" t="s">
        <v>1279</v>
      </c>
      <c r="E3148" s="839" t="s">
        <v>574</v>
      </c>
      <c r="F3148" s="839">
        <v>1712</v>
      </c>
      <c r="G3148" s="916">
        <f>VLOOKUP($A3148,'Tech Litons'!$A:$I,8,FALSE)</f>
        <v>2.8399999999999996E-3</v>
      </c>
      <c r="H3148" s="917">
        <f>VLOOKUP($A3148,'Tech Litons'!$A:$I,9,FALSE)</f>
        <v>130</v>
      </c>
      <c r="I3148" s="917" t="str">
        <f>VLOOKUP($A3148,'Tech Litons'!$A:$C,3,0)</f>
        <v>Other</v>
      </c>
      <c r="J3148" s="918" t="str">
        <f t="shared" si="318"/>
        <v>1712Other</v>
      </c>
      <c r="K3148" s="919">
        <v>1</v>
      </c>
      <c r="L3148" s="920">
        <f t="shared" si="317"/>
        <v>23724</v>
      </c>
      <c r="M3148" s="920">
        <f t="shared" si="319"/>
        <v>67.376159999999985</v>
      </c>
      <c r="N3148" s="920">
        <f t="shared" si="320"/>
        <v>182.49230769230769</v>
      </c>
      <c r="O3148" s="918" t="str">
        <f t="shared" si="321"/>
        <v>Jan</v>
      </c>
      <c r="P3148" s="921">
        <f t="shared" si="322"/>
        <v>5</v>
      </c>
    </row>
    <row r="3149" spans="1:16" ht="15" hidden="1" customHeight="1">
      <c r="A3149" s="839">
        <v>64806251</v>
      </c>
      <c r="B3149" s="839">
        <v>1712</v>
      </c>
      <c r="C3149" s="906">
        <v>8018</v>
      </c>
      <c r="D3149" s="907" t="s">
        <v>1288</v>
      </c>
      <c r="E3149" s="839" t="s">
        <v>572</v>
      </c>
      <c r="F3149" s="839">
        <v>1712</v>
      </c>
      <c r="G3149" s="916">
        <f>VLOOKUP($A3149,'Tech Litons'!$A:$I,8,FALSE)</f>
        <v>2.8799999999999997E-3</v>
      </c>
      <c r="H3149" s="917">
        <f>VLOOKUP($A3149,'Tech Litons'!$A:$I,9,FALSE)</f>
        <v>180</v>
      </c>
      <c r="I3149" s="917" t="str">
        <f>VLOOKUP($A3149,'Tech Litons'!$A:$C,3,0)</f>
        <v>B&amp;J Cups</v>
      </c>
      <c r="J3149" s="918" t="str">
        <f t="shared" si="318"/>
        <v>1712B&amp;J Cups</v>
      </c>
      <c r="K3149" s="919">
        <v>1</v>
      </c>
      <c r="L3149" s="920">
        <f t="shared" si="317"/>
        <v>8018</v>
      </c>
      <c r="M3149" s="920">
        <f t="shared" si="319"/>
        <v>23.091839999999998</v>
      </c>
      <c r="N3149" s="920">
        <f t="shared" si="320"/>
        <v>44.544444444444444</v>
      </c>
      <c r="O3149" s="918" t="str">
        <f t="shared" si="321"/>
        <v>Feb</v>
      </c>
      <c r="P3149" s="921">
        <f t="shared" si="322"/>
        <v>6</v>
      </c>
    </row>
    <row r="3150" spans="1:16" ht="15" hidden="1" customHeight="1">
      <c r="A3150" s="839">
        <v>64327161</v>
      </c>
      <c r="B3150" s="839">
        <v>1712</v>
      </c>
      <c r="C3150" s="906">
        <v>114286</v>
      </c>
      <c r="D3150" s="907" t="s">
        <v>1288</v>
      </c>
      <c r="E3150" s="839" t="s">
        <v>563</v>
      </c>
      <c r="F3150" s="839">
        <v>1712</v>
      </c>
      <c r="G3150" s="916">
        <f>VLOOKUP($A3150,'Tech Litons'!$A:$I,8,FALSE)</f>
        <v>1.56E-3</v>
      </c>
      <c r="H3150" s="917">
        <f>VLOOKUP($A3150,'Tech Litons'!$A:$I,9,FALSE)</f>
        <v>240</v>
      </c>
      <c r="I3150" s="917" t="str">
        <f>VLOOKUP($A3150,'Tech Litons'!$A:$C,3,0)</f>
        <v>Yasso Club</v>
      </c>
      <c r="J3150" s="918" t="str">
        <f t="shared" si="318"/>
        <v>1712Yasso Club</v>
      </c>
      <c r="K3150" s="919">
        <v>1</v>
      </c>
      <c r="L3150" s="920">
        <f t="shared" si="317"/>
        <v>114286</v>
      </c>
      <c r="M3150" s="920">
        <f t="shared" si="319"/>
        <v>178.28616</v>
      </c>
      <c r="N3150" s="920">
        <f t="shared" si="320"/>
        <v>476.19166666666666</v>
      </c>
      <c r="O3150" s="918" t="str">
        <f t="shared" si="321"/>
        <v>Feb</v>
      </c>
      <c r="P3150" s="921">
        <f t="shared" si="322"/>
        <v>6</v>
      </c>
    </row>
    <row r="3151" spans="1:16" ht="15" hidden="1" customHeight="1">
      <c r="A3151" s="839">
        <v>64376316</v>
      </c>
      <c r="B3151" s="839">
        <v>1712</v>
      </c>
      <c r="C3151" s="906">
        <v>118992</v>
      </c>
      <c r="D3151" s="907" t="s">
        <v>1288</v>
      </c>
      <c r="E3151" s="839" t="s">
        <v>565</v>
      </c>
      <c r="F3151" s="839">
        <v>1712</v>
      </c>
      <c r="G3151" s="916">
        <f>VLOOKUP($A3151,'Tech Litons'!$A:$I,8,FALSE)</f>
        <v>1.5449999999999999E-3</v>
      </c>
      <c r="H3151" s="917">
        <f>VLOOKUP($A3151,'Tech Litons'!$A:$I,9,FALSE)</f>
        <v>240</v>
      </c>
      <c r="I3151" s="917" t="str">
        <f>VLOOKUP($A3151,'Tech Litons'!$A:$C,3,0)</f>
        <v>Yasso Club</v>
      </c>
      <c r="J3151" s="918" t="str">
        <f t="shared" si="318"/>
        <v>1712Yasso Club</v>
      </c>
      <c r="K3151" s="919">
        <v>1</v>
      </c>
      <c r="L3151" s="920">
        <f t="shared" si="317"/>
        <v>118992</v>
      </c>
      <c r="M3151" s="920">
        <f t="shared" si="319"/>
        <v>183.84263999999999</v>
      </c>
      <c r="N3151" s="920">
        <f t="shared" si="320"/>
        <v>495.8</v>
      </c>
      <c r="O3151" s="918" t="str">
        <f t="shared" si="321"/>
        <v>Feb</v>
      </c>
      <c r="P3151" s="921">
        <f t="shared" si="322"/>
        <v>6</v>
      </c>
    </row>
    <row r="3152" spans="1:16" ht="15" hidden="1" customHeight="1">
      <c r="A3152" s="839">
        <v>64875812</v>
      </c>
      <c r="B3152" s="839">
        <v>1712</v>
      </c>
      <c r="C3152" s="906">
        <v>18221</v>
      </c>
      <c r="D3152" s="907" t="s">
        <v>1273</v>
      </c>
      <c r="E3152" s="839" t="s">
        <v>347</v>
      </c>
      <c r="F3152" s="839">
        <v>1712</v>
      </c>
      <c r="G3152" s="916">
        <f>VLOOKUP($A3152,'Tech Litons'!$A:$I,8,FALSE)</f>
        <v>6.0000000000000001E-3</v>
      </c>
      <c r="H3152" s="917">
        <f>VLOOKUP($A3152,'Tech Litons'!$A:$I,9,FALSE)</f>
        <v>108</v>
      </c>
      <c r="I3152" s="917" t="str">
        <f>VLOOKUP($A3152,'Tech Litons'!$A:$C,3,0)</f>
        <v>ESS</v>
      </c>
      <c r="J3152" s="918" t="str">
        <f t="shared" si="318"/>
        <v>1712ESS</v>
      </c>
      <c r="K3152" s="919">
        <v>1</v>
      </c>
      <c r="L3152" s="920">
        <f t="shared" si="317"/>
        <v>18221</v>
      </c>
      <c r="M3152" s="920">
        <f t="shared" si="319"/>
        <v>109.32600000000001</v>
      </c>
      <c r="N3152" s="920">
        <f t="shared" si="320"/>
        <v>168.71296296296296</v>
      </c>
      <c r="O3152" s="918" t="str">
        <f t="shared" si="321"/>
        <v>Feb</v>
      </c>
      <c r="P3152" s="921">
        <f t="shared" si="322"/>
        <v>6</v>
      </c>
    </row>
    <row r="3153" spans="1:16" ht="15" hidden="1" customHeight="1">
      <c r="A3153" s="839">
        <v>64413475</v>
      </c>
      <c r="B3153" s="839">
        <v>1712</v>
      </c>
      <c r="C3153" s="906">
        <v>10275</v>
      </c>
      <c r="D3153" s="907" t="s">
        <v>1278</v>
      </c>
      <c r="E3153" s="839" t="s">
        <v>566</v>
      </c>
      <c r="F3153" s="839">
        <v>1712</v>
      </c>
      <c r="G3153" s="916">
        <f>VLOOKUP($A3153,'Tech Litons'!$A:$I,8,FALSE)</f>
        <v>1.4159999999999999E-3</v>
      </c>
      <c r="H3153" s="917">
        <f>VLOOKUP($A3153,'Tech Litons'!$A:$I,9,FALSE)</f>
        <v>468</v>
      </c>
      <c r="I3153" s="917" t="str">
        <f>VLOOKUP($A3153,'Tech Litons'!$A:$C,3,0)</f>
        <v>B&amp;J Cups</v>
      </c>
      <c r="J3153" s="918" t="str">
        <f t="shared" si="318"/>
        <v>1712B&amp;J Cups</v>
      </c>
      <c r="K3153" s="919">
        <v>1</v>
      </c>
      <c r="L3153" s="920">
        <f t="shared" si="317"/>
        <v>10275</v>
      </c>
      <c r="M3153" s="920">
        <f t="shared" si="319"/>
        <v>14.549399999999999</v>
      </c>
      <c r="N3153" s="920">
        <f t="shared" si="320"/>
        <v>21.955128205128204</v>
      </c>
      <c r="O3153" s="918" t="str">
        <f t="shared" si="321"/>
        <v>Feb</v>
      </c>
      <c r="P3153" s="921">
        <f t="shared" si="322"/>
        <v>7</v>
      </c>
    </row>
    <row r="3154" spans="1:16" ht="15" hidden="1" customHeight="1">
      <c r="A3154" s="839">
        <v>64328806</v>
      </c>
      <c r="B3154" s="839">
        <v>1712</v>
      </c>
      <c r="C3154" s="906">
        <v>14982</v>
      </c>
      <c r="D3154" s="907" t="s">
        <v>1278</v>
      </c>
      <c r="E3154" s="839" t="s">
        <v>324</v>
      </c>
      <c r="F3154" s="839">
        <v>1712</v>
      </c>
      <c r="G3154" s="916">
        <f>VLOOKUP($A3154,'Tech Litons'!$A:$I,8,FALSE)</f>
        <v>2.8380000000000002E-3</v>
      </c>
      <c r="H3154" s="917">
        <f>VLOOKUP($A3154,'Tech Litons'!$A:$I,9,FALSE)</f>
        <v>189</v>
      </c>
      <c r="I3154" s="917" t="str">
        <f>VLOOKUP($A3154,'Tech Litons'!$A:$C,3,0)</f>
        <v>ESS</v>
      </c>
      <c r="J3154" s="918" t="str">
        <f t="shared" si="318"/>
        <v>1712ESS</v>
      </c>
      <c r="K3154" s="919">
        <v>1</v>
      </c>
      <c r="L3154" s="920">
        <f t="shared" ref="L3154:L3184" si="323">C3154*$K3154</f>
        <v>14982</v>
      </c>
      <c r="M3154" s="920">
        <f t="shared" si="319"/>
        <v>42.518916000000004</v>
      </c>
      <c r="N3154" s="920">
        <f t="shared" si="320"/>
        <v>79.269841269841265</v>
      </c>
      <c r="O3154" s="918" t="str">
        <f t="shared" si="321"/>
        <v>Feb</v>
      </c>
      <c r="P3154" s="921">
        <f t="shared" si="322"/>
        <v>7</v>
      </c>
    </row>
    <row r="3155" spans="1:16" ht="15" hidden="1" customHeight="1">
      <c r="A3155" s="839">
        <v>64413476</v>
      </c>
      <c r="B3155" s="839">
        <v>1712</v>
      </c>
      <c r="C3155" s="906">
        <v>20676</v>
      </c>
      <c r="D3155" s="907" t="s">
        <v>1278</v>
      </c>
      <c r="E3155" s="839" t="s">
        <v>567</v>
      </c>
      <c r="F3155" s="839">
        <v>1712</v>
      </c>
      <c r="G3155" s="916">
        <f>VLOOKUP($A3155,'Tech Litons'!$A:$I,8,FALSE)</f>
        <v>1.4399999999999999E-3</v>
      </c>
      <c r="H3155" s="917">
        <f>VLOOKUP($A3155,'Tech Litons'!$A:$I,9,FALSE)</f>
        <v>468</v>
      </c>
      <c r="I3155" s="917" t="str">
        <f>VLOOKUP($A3155,'Tech Litons'!$A:$C,3,0)</f>
        <v>B&amp;J Cups</v>
      </c>
      <c r="J3155" s="918" t="str">
        <f t="shared" si="318"/>
        <v>1712B&amp;J Cups</v>
      </c>
      <c r="K3155" s="919">
        <v>1</v>
      </c>
      <c r="L3155" s="920">
        <f t="shared" si="323"/>
        <v>20676</v>
      </c>
      <c r="M3155" s="920">
        <f t="shared" si="319"/>
        <v>29.773439999999997</v>
      </c>
      <c r="N3155" s="920">
        <f t="shared" si="320"/>
        <v>44.179487179487182</v>
      </c>
      <c r="O3155" s="918" t="str">
        <f t="shared" si="321"/>
        <v>Feb</v>
      </c>
      <c r="P3155" s="921">
        <f t="shared" si="322"/>
        <v>7</v>
      </c>
    </row>
    <row r="3156" spans="1:16" ht="15" hidden="1" customHeight="1">
      <c r="A3156" s="839">
        <v>64804365</v>
      </c>
      <c r="B3156" s="839">
        <v>1712</v>
      </c>
      <c r="C3156" s="906">
        <v>7898</v>
      </c>
      <c r="D3156" s="907" t="s">
        <v>1284</v>
      </c>
      <c r="E3156" s="839" t="s">
        <v>571</v>
      </c>
      <c r="F3156" s="839">
        <v>1712</v>
      </c>
      <c r="G3156" s="916">
        <f>VLOOKUP($A3156,'Tech Litons'!$A:$I,8,FALSE)</f>
        <v>2.8799999999999997E-3</v>
      </c>
      <c r="H3156" s="917">
        <f>VLOOKUP($A3156,'Tech Litons'!$A:$I,9,FALSE)</f>
        <v>180</v>
      </c>
      <c r="I3156" s="917" t="str">
        <f>VLOOKUP($A3156,'Tech Litons'!$A:$C,3,0)</f>
        <v>B&amp;J Cups</v>
      </c>
      <c r="J3156" s="918" t="str">
        <f t="shared" si="318"/>
        <v>1712B&amp;J Cups</v>
      </c>
      <c r="K3156" s="919">
        <v>1</v>
      </c>
      <c r="L3156" s="920">
        <f t="shared" si="323"/>
        <v>7898</v>
      </c>
      <c r="M3156" s="920">
        <f t="shared" si="319"/>
        <v>22.746239999999997</v>
      </c>
      <c r="N3156" s="920">
        <f t="shared" si="320"/>
        <v>43.87777777777778</v>
      </c>
      <c r="O3156" s="918" t="str">
        <f t="shared" si="321"/>
        <v>Feb</v>
      </c>
      <c r="P3156" s="921">
        <f t="shared" si="322"/>
        <v>8</v>
      </c>
    </row>
    <row r="3157" spans="1:16" ht="15" hidden="1" customHeight="1">
      <c r="A3157" s="839">
        <v>64977494</v>
      </c>
      <c r="B3157" s="839">
        <v>1712</v>
      </c>
      <c r="C3157" s="906">
        <v>12302</v>
      </c>
      <c r="D3157" s="907" t="s">
        <v>1284</v>
      </c>
      <c r="E3157" s="839" t="s">
        <v>574</v>
      </c>
      <c r="F3157" s="839">
        <v>1712</v>
      </c>
      <c r="G3157" s="916">
        <f>VLOOKUP($A3157,'Tech Litons'!$A:$I,8,FALSE)</f>
        <v>2.8399999999999996E-3</v>
      </c>
      <c r="H3157" s="917">
        <f>VLOOKUP($A3157,'Tech Litons'!$A:$I,9,FALSE)</f>
        <v>130</v>
      </c>
      <c r="I3157" s="917" t="str">
        <f>VLOOKUP($A3157,'Tech Litons'!$A:$C,3,0)</f>
        <v>Other</v>
      </c>
      <c r="J3157" s="918" t="str">
        <f t="shared" si="318"/>
        <v>1712Other</v>
      </c>
      <c r="K3157" s="919">
        <v>1</v>
      </c>
      <c r="L3157" s="920">
        <f t="shared" si="323"/>
        <v>12302</v>
      </c>
      <c r="M3157" s="920">
        <f t="shared" si="319"/>
        <v>34.937679999999993</v>
      </c>
      <c r="N3157" s="920">
        <f t="shared" si="320"/>
        <v>94.630769230769232</v>
      </c>
      <c r="O3157" s="918" t="str">
        <f t="shared" si="321"/>
        <v>Feb</v>
      </c>
      <c r="P3157" s="921">
        <f t="shared" si="322"/>
        <v>8</v>
      </c>
    </row>
    <row r="3158" spans="1:16" ht="15" hidden="1" customHeight="1">
      <c r="A3158" s="839">
        <v>64327161</v>
      </c>
      <c r="B3158" s="839">
        <v>1712</v>
      </c>
      <c r="C3158" s="906">
        <v>59177</v>
      </c>
      <c r="D3158" s="907" t="s">
        <v>1284</v>
      </c>
      <c r="E3158" s="839" t="s">
        <v>563</v>
      </c>
      <c r="F3158" s="839">
        <v>1712</v>
      </c>
      <c r="G3158" s="916">
        <f>VLOOKUP($A3158,'Tech Litons'!$A:$I,8,FALSE)</f>
        <v>1.56E-3</v>
      </c>
      <c r="H3158" s="917">
        <f>VLOOKUP($A3158,'Tech Litons'!$A:$I,9,FALSE)</f>
        <v>240</v>
      </c>
      <c r="I3158" s="917" t="str">
        <f>VLOOKUP($A3158,'Tech Litons'!$A:$C,3,0)</f>
        <v>Yasso Club</v>
      </c>
      <c r="J3158" s="918" t="str">
        <f t="shared" si="318"/>
        <v>1712Yasso Club</v>
      </c>
      <c r="K3158" s="919">
        <v>1</v>
      </c>
      <c r="L3158" s="920">
        <f t="shared" si="323"/>
        <v>59177</v>
      </c>
      <c r="M3158" s="920">
        <f t="shared" si="319"/>
        <v>92.316119999999998</v>
      </c>
      <c r="N3158" s="920">
        <f t="shared" si="320"/>
        <v>246.57083333333333</v>
      </c>
      <c r="O3158" s="918" t="str">
        <f t="shared" si="321"/>
        <v>Feb</v>
      </c>
      <c r="P3158" s="921">
        <f t="shared" si="322"/>
        <v>8</v>
      </c>
    </row>
    <row r="3159" spans="1:16" ht="15" hidden="1" customHeight="1">
      <c r="A3159" s="839">
        <v>64979101</v>
      </c>
      <c r="B3159" s="839">
        <v>1712</v>
      </c>
      <c r="C3159" s="906">
        <v>30495</v>
      </c>
      <c r="D3159" s="907" t="s">
        <v>1286</v>
      </c>
      <c r="E3159" s="839" t="s">
        <v>576</v>
      </c>
      <c r="F3159" s="839">
        <v>1712</v>
      </c>
      <c r="G3159" s="916">
        <f>VLOOKUP($A3159,'Tech Litons'!$A:$I,8,FALSE)</f>
        <v>1.9199999999999998E-3</v>
      </c>
      <c r="H3159" s="917">
        <f>VLOOKUP($A3159,'Tech Litons'!$A:$I,9,FALSE)</f>
        <v>360</v>
      </c>
      <c r="I3159" s="917" t="str">
        <f>VLOOKUP($A3159,'Tech Litons'!$A:$C,3,0)</f>
        <v>Other</v>
      </c>
      <c r="J3159" s="918" t="str">
        <f t="shared" si="318"/>
        <v>1712Other</v>
      </c>
      <c r="K3159" s="919">
        <v>1</v>
      </c>
      <c r="L3159" s="920">
        <f t="shared" si="323"/>
        <v>30495</v>
      </c>
      <c r="M3159" s="920">
        <f t="shared" si="319"/>
        <v>58.550399999999996</v>
      </c>
      <c r="N3159" s="920">
        <f t="shared" si="320"/>
        <v>84.708333333333329</v>
      </c>
      <c r="O3159" s="918" t="str">
        <f t="shared" si="321"/>
        <v>Feb</v>
      </c>
      <c r="P3159" s="921">
        <f t="shared" si="322"/>
        <v>8</v>
      </c>
    </row>
    <row r="3160" spans="1:16" ht="15" hidden="1" customHeight="1">
      <c r="A3160" s="839">
        <v>69629477</v>
      </c>
      <c r="B3160" s="839" t="s">
        <v>128</v>
      </c>
      <c r="C3160" s="906">
        <v>2700</v>
      </c>
      <c r="D3160" s="907" t="s">
        <v>1279</v>
      </c>
      <c r="E3160" s="839" t="s">
        <v>984</v>
      </c>
      <c r="F3160" s="839">
        <v>3989</v>
      </c>
      <c r="G3160" s="916">
        <f>VLOOKUP($A3160,'Tech Litons'!$A:$I,8,FALSE)</f>
        <v>5.3280000000000003E-3</v>
      </c>
      <c r="H3160" s="917">
        <f>VLOOKUP($A3160,'Tech Litons'!$A:$I,9,FALSE)</f>
        <v>108</v>
      </c>
      <c r="I3160" s="917" t="str">
        <f>VLOOKUP($A3160,'Tech Litons'!$A:$C,3,0)</f>
        <v>KL Mini Cones</v>
      </c>
      <c r="J3160" s="918" t="str">
        <f t="shared" si="318"/>
        <v>TultitlanKL Mini Cones</v>
      </c>
      <c r="K3160" s="919">
        <v>1</v>
      </c>
      <c r="L3160" s="920">
        <f t="shared" si="323"/>
        <v>2700</v>
      </c>
      <c r="M3160" s="920">
        <f t="shared" si="319"/>
        <v>14.3856</v>
      </c>
      <c r="N3160" s="920">
        <f t="shared" si="320"/>
        <v>25</v>
      </c>
      <c r="O3160" s="918" t="str">
        <f t="shared" si="321"/>
        <v>Jan</v>
      </c>
      <c r="P3160" s="921">
        <f t="shared" si="322"/>
        <v>5</v>
      </c>
    </row>
    <row r="3161" spans="1:16" ht="15" hidden="1" customHeight="1">
      <c r="A3161" s="839">
        <v>64409244</v>
      </c>
      <c r="B3161" s="839" t="s">
        <v>128</v>
      </c>
      <c r="C3161" s="906">
        <v>3749</v>
      </c>
      <c r="D3161" s="907" t="s">
        <v>1279</v>
      </c>
      <c r="E3161" s="839" t="s">
        <v>1044</v>
      </c>
      <c r="F3161" s="839">
        <v>3989</v>
      </c>
      <c r="G3161" s="916">
        <f>VLOOKUP($A3161,'Tech Litons'!$A:$I,8,FALSE)</f>
        <v>2.0800000000000003E-3</v>
      </c>
      <c r="H3161" s="917">
        <f>VLOOKUP($A3161,'Tech Litons'!$A:$I,9,FALSE)</f>
        <v>135</v>
      </c>
      <c r="I3161" s="917" t="str">
        <f>VLOOKUP($A3161,'Tech Litons'!$A:$C,3,0)</f>
        <v>Other</v>
      </c>
      <c r="J3161" s="918" t="str">
        <f t="shared" si="318"/>
        <v>TultitlanOther</v>
      </c>
      <c r="K3161" s="919">
        <v>1</v>
      </c>
      <c r="L3161" s="920">
        <f t="shared" si="323"/>
        <v>3749</v>
      </c>
      <c r="M3161" s="920">
        <f t="shared" si="319"/>
        <v>7.7979200000000013</v>
      </c>
      <c r="N3161" s="920">
        <f t="shared" si="320"/>
        <v>27.770370370370369</v>
      </c>
      <c r="O3161" s="918" t="str">
        <f t="shared" si="321"/>
        <v>Jan</v>
      </c>
      <c r="P3161" s="921">
        <f t="shared" si="322"/>
        <v>5</v>
      </c>
    </row>
    <row r="3162" spans="1:16" ht="15" hidden="1" customHeight="1">
      <c r="A3162" s="839">
        <v>69629477</v>
      </c>
      <c r="B3162" s="839" t="s">
        <v>128</v>
      </c>
      <c r="C3162" s="906">
        <v>972</v>
      </c>
      <c r="D3162" s="907" t="s">
        <v>1271</v>
      </c>
      <c r="E3162" s="839" t="s">
        <v>984</v>
      </c>
      <c r="F3162" s="839">
        <v>3989</v>
      </c>
      <c r="G3162" s="916">
        <f>VLOOKUP($A3162,'Tech Litons'!$A:$I,8,FALSE)</f>
        <v>5.3280000000000003E-3</v>
      </c>
      <c r="H3162" s="917">
        <f>VLOOKUP($A3162,'Tech Litons'!$A:$I,9,FALSE)</f>
        <v>108</v>
      </c>
      <c r="I3162" s="917" t="str">
        <f>VLOOKUP($A3162,'Tech Litons'!$A:$C,3,0)</f>
        <v>KL Mini Cones</v>
      </c>
      <c r="J3162" s="918" t="str">
        <f t="shared" si="318"/>
        <v>TultitlanKL Mini Cones</v>
      </c>
      <c r="K3162" s="919">
        <v>1</v>
      </c>
      <c r="L3162" s="920">
        <f t="shared" si="323"/>
        <v>972</v>
      </c>
      <c r="M3162" s="920">
        <f t="shared" si="319"/>
        <v>5.1788160000000003</v>
      </c>
      <c r="N3162" s="920">
        <f t="shared" si="320"/>
        <v>9</v>
      </c>
      <c r="O3162" s="918" t="str">
        <f t="shared" si="321"/>
        <v>Jan</v>
      </c>
      <c r="P3162" s="921">
        <f t="shared" si="322"/>
        <v>5</v>
      </c>
    </row>
    <row r="3163" spans="1:16" ht="15" hidden="1" customHeight="1">
      <c r="A3163" s="839">
        <v>64409241</v>
      </c>
      <c r="B3163" s="839" t="s">
        <v>128</v>
      </c>
      <c r="C3163" s="906">
        <v>1205</v>
      </c>
      <c r="D3163" s="907" t="s">
        <v>1271</v>
      </c>
      <c r="E3163" s="839" t="s">
        <v>1043</v>
      </c>
      <c r="F3163" s="839">
        <v>3989</v>
      </c>
      <c r="G3163" s="916">
        <f>VLOOKUP($A3163,'Tech Litons'!$A:$I,8,FALSE)</f>
        <v>2.0800000000000003E-3</v>
      </c>
      <c r="H3163" s="917">
        <f>VLOOKUP($A3163,'Tech Litons'!$A:$I,9,FALSE)</f>
        <v>135</v>
      </c>
      <c r="I3163" s="917" t="str">
        <f>VLOOKUP($A3163,'Tech Litons'!$A:$C,3,0)</f>
        <v>Other</v>
      </c>
      <c r="J3163" s="918" t="str">
        <f t="shared" si="318"/>
        <v>TultitlanOther</v>
      </c>
      <c r="K3163" s="919">
        <v>1</v>
      </c>
      <c r="L3163" s="920">
        <f t="shared" si="323"/>
        <v>1205</v>
      </c>
      <c r="M3163" s="920">
        <f t="shared" si="319"/>
        <v>2.5064000000000002</v>
      </c>
      <c r="N3163" s="920">
        <f t="shared" si="320"/>
        <v>8.9259259259259256</v>
      </c>
      <c r="O3163" s="918" t="str">
        <f t="shared" si="321"/>
        <v>Jan</v>
      </c>
      <c r="P3163" s="921">
        <f t="shared" si="322"/>
        <v>5</v>
      </c>
    </row>
    <row r="3164" spans="1:16" ht="15" hidden="1" customHeight="1">
      <c r="A3164" s="839">
        <v>64409244</v>
      </c>
      <c r="B3164" s="839" t="s">
        <v>128</v>
      </c>
      <c r="C3164" s="906">
        <v>1349</v>
      </c>
      <c r="D3164" s="907" t="s">
        <v>1271</v>
      </c>
      <c r="E3164" s="839" t="s">
        <v>1044</v>
      </c>
      <c r="F3164" s="839">
        <v>3989</v>
      </c>
      <c r="G3164" s="916">
        <f>VLOOKUP($A3164,'Tech Litons'!$A:$I,8,FALSE)</f>
        <v>2.0800000000000003E-3</v>
      </c>
      <c r="H3164" s="917">
        <f>VLOOKUP($A3164,'Tech Litons'!$A:$I,9,FALSE)</f>
        <v>135</v>
      </c>
      <c r="I3164" s="917" t="str">
        <f>VLOOKUP($A3164,'Tech Litons'!$A:$C,3,0)</f>
        <v>Other</v>
      </c>
      <c r="J3164" s="918" t="str">
        <f t="shared" si="318"/>
        <v>TultitlanOther</v>
      </c>
      <c r="K3164" s="919">
        <v>1</v>
      </c>
      <c r="L3164" s="920">
        <f t="shared" si="323"/>
        <v>1349</v>
      </c>
      <c r="M3164" s="920">
        <f t="shared" si="319"/>
        <v>2.8059200000000004</v>
      </c>
      <c r="N3164" s="920">
        <f t="shared" si="320"/>
        <v>9.992592592592592</v>
      </c>
      <c r="O3164" s="918" t="str">
        <f t="shared" si="321"/>
        <v>Jan</v>
      </c>
      <c r="P3164" s="921">
        <f t="shared" si="322"/>
        <v>5</v>
      </c>
    </row>
    <row r="3165" spans="1:16" ht="15" hidden="1" customHeight="1">
      <c r="A3165" s="839">
        <v>69629477</v>
      </c>
      <c r="B3165" s="839" t="s">
        <v>128</v>
      </c>
      <c r="C3165" s="906">
        <v>858</v>
      </c>
      <c r="D3165" s="907" t="s">
        <v>1281</v>
      </c>
      <c r="E3165" s="839" t="s">
        <v>984</v>
      </c>
      <c r="F3165" s="839">
        <v>3989</v>
      </c>
      <c r="G3165" s="916">
        <f>VLOOKUP($A3165,'Tech Litons'!$A:$I,8,FALSE)</f>
        <v>5.3280000000000003E-3</v>
      </c>
      <c r="H3165" s="917">
        <f>VLOOKUP($A3165,'Tech Litons'!$A:$I,9,FALSE)</f>
        <v>108</v>
      </c>
      <c r="I3165" s="917" t="str">
        <f>VLOOKUP($A3165,'Tech Litons'!$A:$C,3,0)</f>
        <v>KL Mini Cones</v>
      </c>
      <c r="J3165" s="918" t="str">
        <f t="shared" si="318"/>
        <v>TultitlanKL Mini Cones</v>
      </c>
      <c r="K3165" s="919">
        <v>1</v>
      </c>
      <c r="L3165" s="920">
        <f t="shared" si="323"/>
        <v>858</v>
      </c>
      <c r="M3165" s="920">
        <f t="shared" si="319"/>
        <v>4.5714240000000004</v>
      </c>
      <c r="N3165" s="920">
        <f t="shared" si="320"/>
        <v>7.9444444444444446</v>
      </c>
      <c r="O3165" s="918" t="str">
        <f t="shared" si="321"/>
        <v>Feb</v>
      </c>
      <c r="P3165" s="921">
        <f t="shared" si="322"/>
        <v>6</v>
      </c>
    </row>
    <row r="3166" spans="1:16" ht="15" hidden="1" customHeight="1">
      <c r="A3166" s="839">
        <v>64409241</v>
      </c>
      <c r="B3166" s="839" t="s">
        <v>128</v>
      </c>
      <c r="C3166" s="906">
        <v>1350</v>
      </c>
      <c r="D3166" s="907" t="s">
        <v>1281</v>
      </c>
      <c r="E3166" s="839" t="s">
        <v>1043</v>
      </c>
      <c r="F3166" s="839">
        <v>3989</v>
      </c>
      <c r="G3166" s="916">
        <f>VLOOKUP($A3166,'Tech Litons'!$A:$I,8,FALSE)</f>
        <v>2.0800000000000003E-3</v>
      </c>
      <c r="H3166" s="917">
        <f>VLOOKUP($A3166,'Tech Litons'!$A:$I,9,FALSE)</f>
        <v>135</v>
      </c>
      <c r="I3166" s="917" t="str">
        <f>VLOOKUP($A3166,'Tech Litons'!$A:$C,3,0)</f>
        <v>Other</v>
      </c>
      <c r="J3166" s="918" t="str">
        <f t="shared" si="318"/>
        <v>TultitlanOther</v>
      </c>
      <c r="K3166" s="919">
        <v>1</v>
      </c>
      <c r="L3166" s="920">
        <f t="shared" si="323"/>
        <v>1350</v>
      </c>
      <c r="M3166" s="920">
        <f t="shared" si="319"/>
        <v>2.8080000000000003</v>
      </c>
      <c r="N3166" s="920">
        <f t="shared" si="320"/>
        <v>10</v>
      </c>
      <c r="O3166" s="918" t="str">
        <f t="shared" si="321"/>
        <v>Feb</v>
      </c>
      <c r="P3166" s="921">
        <f t="shared" si="322"/>
        <v>6</v>
      </c>
    </row>
    <row r="3167" spans="1:16" ht="15" hidden="1" customHeight="1">
      <c r="A3167" s="839">
        <v>64409244</v>
      </c>
      <c r="B3167" s="839" t="s">
        <v>128</v>
      </c>
      <c r="C3167" s="906">
        <v>1350</v>
      </c>
      <c r="D3167" s="907" t="s">
        <v>1281</v>
      </c>
      <c r="E3167" s="839" t="s">
        <v>1044</v>
      </c>
      <c r="F3167" s="839">
        <v>3989</v>
      </c>
      <c r="G3167" s="916">
        <f>VLOOKUP($A3167,'Tech Litons'!$A:$I,8,FALSE)</f>
        <v>2.0800000000000003E-3</v>
      </c>
      <c r="H3167" s="917">
        <f>VLOOKUP($A3167,'Tech Litons'!$A:$I,9,FALSE)</f>
        <v>135</v>
      </c>
      <c r="I3167" s="917" t="str">
        <f>VLOOKUP($A3167,'Tech Litons'!$A:$C,3,0)</f>
        <v>Other</v>
      </c>
      <c r="J3167" s="918" t="str">
        <f t="shared" si="318"/>
        <v>TultitlanOther</v>
      </c>
      <c r="K3167" s="919">
        <v>1</v>
      </c>
      <c r="L3167" s="920">
        <f t="shared" si="323"/>
        <v>1350</v>
      </c>
      <c r="M3167" s="920">
        <f t="shared" si="319"/>
        <v>2.8080000000000003</v>
      </c>
      <c r="N3167" s="920">
        <f t="shared" si="320"/>
        <v>10</v>
      </c>
      <c r="O3167" s="918" t="str">
        <f t="shared" si="321"/>
        <v>Feb</v>
      </c>
      <c r="P3167" s="921">
        <f t="shared" si="322"/>
        <v>6</v>
      </c>
    </row>
    <row r="3168" spans="1:16" ht="15" hidden="1" customHeight="1">
      <c r="A3168" s="839">
        <v>69629477</v>
      </c>
      <c r="B3168" s="839" t="s">
        <v>128</v>
      </c>
      <c r="C3168" s="906">
        <v>1188</v>
      </c>
      <c r="D3168" s="907" t="s">
        <v>1277</v>
      </c>
      <c r="E3168" s="839" t="s">
        <v>984</v>
      </c>
      <c r="F3168" s="839">
        <v>3989</v>
      </c>
      <c r="G3168" s="916">
        <f>VLOOKUP($A3168,'Tech Litons'!$A:$I,8,FALSE)</f>
        <v>5.3280000000000003E-3</v>
      </c>
      <c r="H3168" s="917">
        <f>VLOOKUP($A3168,'Tech Litons'!$A:$I,9,FALSE)</f>
        <v>108</v>
      </c>
      <c r="I3168" s="917" t="str">
        <f>VLOOKUP($A3168,'Tech Litons'!$A:$C,3,0)</f>
        <v>KL Mini Cones</v>
      </c>
      <c r="J3168" s="918" t="str">
        <f t="shared" si="318"/>
        <v>TultitlanKL Mini Cones</v>
      </c>
      <c r="K3168" s="919">
        <v>1</v>
      </c>
      <c r="L3168" s="920">
        <f t="shared" si="323"/>
        <v>1188</v>
      </c>
      <c r="M3168" s="920">
        <f t="shared" si="319"/>
        <v>6.3296640000000002</v>
      </c>
      <c r="N3168" s="920">
        <f t="shared" si="320"/>
        <v>11</v>
      </c>
      <c r="O3168" s="918" t="str">
        <f t="shared" si="321"/>
        <v>Feb</v>
      </c>
      <c r="P3168" s="921">
        <f t="shared" si="322"/>
        <v>6</v>
      </c>
    </row>
    <row r="3169" spans="1:16" ht="15" hidden="1" customHeight="1">
      <c r="A3169" s="839">
        <v>64409241</v>
      </c>
      <c r="B3169" s="839" t="s">
        <v>128</v>
      </c>
      <c r="C3169" s="906">
        <v>2295</v>
      </c>
      <c r="D3169" s="907" t="s">
        <v>1277</v>
      </c>
      <c r="E3169" s="839" t="s">
        <v>1043</v>
      </c>
      <c r="F3169" s="839">
        <v>3989</v>
      </c>
      <c r="G3169" s="916">
        <f>VLOOKUP($A3169,'Tech Litons'!$A:$I,8,FALSE)</f>
        <v>2.0800000000000003E-3</v>
      </c>
      <c r="H3169" s="917">
        <f>VLOOKUP($A3169,'Tech Litons'!$A:$I,9,FALSE)</f>
        <v>135</v>
      </c>
      <c r="I3169" s="917" t="str">
        <f>VLOOKUP($A3169,'Tech Litons'!$A:$C,3,0)</f>
        <v>Other</v>
      </c>
      <c r="J3169" s="918" t="str">
        <f t="shared" si="318"/>
        <v>TultitlanOther</v>
      </c>
      <c r="K3169" s="919">
        <v>1</v>
      </c>
      <c r="L3169" s="920">
        <f t="shared" si="323"/>
        <v>2295</v>
      </c>
      <c r="M3169" s="920">
        <f t="shared" si="319"/>
        <v>4.773600000000001</v>
      </c>
      <c r="N3169" s="920">
        <f t="shared" si="320"/>
        <v>17</v>
      </c>
      <c r="O3169" s="918" t="str">
        <f t="shared" si="321"/>
        <v>Feb</v>
      </c>
      <c r="P3169" s="921">
        <f t="shared" si="322"/>
        <v>6</v>
      </c>
    </row>
    <row r="3170" spans="1:16" ht="15" hidden="1" customHeight="1">
      <c r="A3170" s="839">
        <v>64409241</v>
      </c>
      <c r="B3170" s="839" t="s">
        <v>128</v>
      </c>
      <c r="C3170" s="906">
        <v>538</v>
      </c>
      <c r="D3170" s="907" t="s">
        <v>1273</v>
      </c>
      <c r="E3170" s="839" t="s">
        <v>1043</v>
      </c>
      <c r="F3170" s="839">
        <v>3989</v>
      </c>
      <c r="G3170" s="916">
        <f>VLOOKUP($A3170,'Tech Litons'!$A:$I,8,FALSE)</f>
        <v>2.0800000000000003E-3</v>
      </c>
      <c r="H3170" s="917">
        <f>VLOOKUP($A3170,'Tech Litons'!$A:$I,9,FALSE)</f>
        <v>135</v>
      </c>
      <c r="I3170" s="917" t="str">
        <f>VLOOKUP($A3170,'Tech Litons'!$A:$C,3,0)</f>
        <v>Other</v>
      </c>
      <c r="J3170" s="918" t="str">
        <f t="shared" si="318"/>
        <v>TultitlanOther</v>
      </c>
      <c r="K3170" s="919">
        <v>1</v>
      </c>
      <c r="L3170" s="920">
        <f t="shared" si="323"/>
        <v>538</v>
      </c>
      <c r="M3170" s="920">
        <f t="shared" si="319"/>
        <v>1.11904</v>
      </c>
      <c r="N3170" s="920">
        <f t="shared" si="320"/>
        <v>3.9851851851851854</v>
      </c>
      <c r="O3170" s="918" t="str">
        <f t="shared" si="321"/>
        <v>Feb</v>
      </c>
      <c r="P3170" s="921">
        <f t="shared" si="322"/>
        <v>6</v>
      </c>
    </row>
    <row r="3171" spans="1:16" ht="15" hidden="1" customHeight="1">
      <c r="A3171" s="839">
        <v>69629477</v>
      </c>
      <c r="B3171" s="839" t="s">
        <v>128</v>
      </c>
      <c r="C3171" s="906">
        <v>639</v>
      </c>
      <c r="D3171" s="907" t="s">
        <v>1273</v>
      </c>
      <c r="E3171" s="839" t="s">
        <v>984</v>
      </c>
      <c r="F3171" s="839">
        <v>3989</v>
      </c>
      <c r="G3171" s="916">
        <f>VLOOKUP($A3171,'Tech Litons'!$A:$I,8,FALSE)</f>
        <v>5.3280000000000003E-3</v>
      </c>
      <c r="H3171" s="917">
        <f>VLOOKUP($A3171,'Tech Litons'!$A:$I,9,FALSE)</f>
        <v>108</v>
      </c>
      <c r="I3171" s="917" t="str">
        <f>VLOOKUP($A3171,'Tech Litons'!$A:$C,3,0)</f>
        <v>KL Mini Cones</v>
      </c>
      <c r="J3171" s="918" t="str">
        <f t="shared" si="318"/>
        <v>TultitlanKL Mini Cones</v>
      </c>
      <c r="K3171" s="919">
        <v>1</v>
      </c>
      <c r="L3171" s="920">
        <f t="shared" si="323"/>
        <v>639</v>
      </c>
      <c r="M3171" s="920">
        <f t="shared" si="319"/>
        <v>3.4045920000000001</v>
      </c>
      <c r="N3171" s="920">
        <f t="shared" si="320"/>
        <v>5.916666666666667</v>
      </c>
      <c r="O3171" s="918" t="str">
        <f t="shared" si="321"/>
        <v>Feb</v>
      </c>
      <c r="P3171" s="921">
        <f t="shared" si="322"/>
        <v>6</v>
      </c>
    </row>
    <row r="3172" spans="1:16" ht="15" hidden="1" customHeight="1">
      <c r="A3172" s="839">
        <v>64409244</v>
      </c>
      <c r="B3172" s="839" t="s">
        <v>128</v>
      </c>
      <c r="C3172" s="906">
        <v>799</v>
      </c>
      <c r="D3172" s="907" t="s">
        <v>1273</v>
      </c>
      <c r="E3172" s="839" t="s">
        <v>1044</v>
      </c>
      <c r="F3172" s="839">
        <v>3989</v>
      </c>
      <c r="G3172" s="916">
        <f>VLOOKUP($A3172,'Tech Litons'!$A:$I,8,FALSE)</f>
        <v>2.0800000000000003E-3</v>
      </c>
      <c r="H3172" s="917">
        <f>VLOOKUP($A3172,'Tech Litons'!$A:$I,9,FALSE)</f>
        <v>135</v>
      </c>
      <c r="I3172" s="917" t="str">
        <f>VLOOKUP($A3172,'Tech Litons'!$A:$C,3,0)</f>
        <v>Other</v>
      </c>
      <c r="J3172" s="918" t="str">
        <f t="shared" si="318"/>
        <v>TultitlanOther</v>
      </c>
      <c r="K3172" s="919">
        <v>1</v>
      </c>
      <c r="L3172" s="920">
        <f t="shared" si="323"/>
        <v>799</v>
      </c>
      <c r="M3172" s="920">
        <f t="shared" si="319"/>
        <v>1.6619200000000003</v>
      </c>
      <c r="N3172" s="920">
        <f t="shared" si="320"/>
        <v>5.9185185185185185</v>
      </c>
      <c r="O3172" s="918" t="str">
        <f t="shared" si="321"/>
        <v>Feb</v>
      </c>
      <c r="P3172" s="921">
        <f t="shared" si="322"/>
        <v>6</v>
      </c>
    </row>
    <row r="3173" spans="1:16" ht="15" hidden="1" customHeight="1">
      <c r="A3173" s="839">
        <v>69629477</v>
      </c>
      <c r="B3173" s="839" t="s">
        <v>128</v>
      </c>
      <c r="C3173" s="906">
        <v>3024</v>
      </c>
      <c r="D3173" s="907" t="s">
        <v>1287</v>
      </c>
      <c r="E3173" s="839" t="s">
        <v>984</v>
      </c>
      <c r="F3173" s="839">
        <v>3989</v>
      </c>
      <c r="G3173" s="916">
        <f>VLOOKUP($A3173,'Tech Litons'!$A:$I,8,FALSE)</f>
        <v>5.3280000000000003E-3</v>
      </c>
      <c r="H3173" s="917">
        <f>VLOOKUP($A3173,'Tech Litons'!$A:$I,9,FALSE)</f>
        <v>108</v>
      </c>
      <c r="I3173" s="917" t="str">
        <f>VLOOKUP($A3173,'Tech Litons'!$A:$C,3,0)</f>
        <v>KL Mini Cones</v>
      </c>
      <c r="J3173" s="918" t="str">
        <f t="shared" si="318"/>
        <v>TultitlanKL Mini Cones</v>
      </c>
      <c r="K3173" s="919">
        <v>1</v>
      </c>
      <c r="L3173" s="920">
        <f t="shared" si="323"/>
        <v>3024</v>
      </c>
      <c r="M3173" s="920">
        <f t="shared" si="319"/>
        <v>16.111872000000002</v>
      </c>
      <c r="N3173" s="920">
        <f t="shared" si="320"/>
        <v>28</v>
      </c>
      <c r="O3173" s="918" t="str">
        <f t="shared" si="321"/>
        <v>Feb</v>
      </c>
      <c r="P3173" s="921">
        <f t="shared" si="322"/>
        <v>7</v>
      </c>
    </row>
    <row r="3174" spans="1:16" ht="15" hidden="1" customHeight="1">
      <c r="A3174" s="839">
        <v>69629477</v>
      </c>
      <c r="B3174" s="839" t="s">
        <v>128</v>
      </c>
      <c r="C3174" s="906">
        <v>2916</v>
      </c>
      <c r="D3174" s="907" t="s">
        <v>1282</v>
      </c>
      <c r="E3174" s="839" t="s">
        <v>984</v>
      </c>
      <c r="F3174" s="839">
        <v>3989</v>
      </c>
      <c r="G3174" s="916">
        <f>VLOOKUP($A3174,'Tech Litons'!$A:$I,8,FALSE)</f>
        <v>5.3280000000000003E-3</v>
      </c>
      <c r="H3174" s="917">
        <f>VLOOKUP($A3174,'Tech Litons'!$A:$I,9,FALSE)</f>
        <v>108</v>
      </c>
      <c r="I3174" s="917" t="str">
        <f>VLOOKUP($A3174,'Tech Litons'!$A:$C,3,0)</f>
        <v>KL Mini Cones</v>
      </c>
      <c r="J3174" s="918" t="str">
        <f t="shared" si="318"/>
        <v>TultitlanKL Mini Cones</v>
      </c>
      <c r="K3174" s="919">
        <v>1</v>
      </c>
      <c r="L3174" s="920">
        <f t="shared" si="323"/>
        <v>2916</v>
      </c>
      <c r="M3174" s="920">
        <f t="shared" si="319"/>
        <v>15.536448</v>
      </c>
      <c r="N3174" s="920">
        <f t="shared" si="320"/>
        <v>27</v>
      </c>
      <c r="O3174" s="918" t="str">
        <f t="shared" si="321"/>
        <v>Feb</v>
      </c>
      <c r="P3174" s="921">
        <f t="shared" si="322"/>
        <v>7</v>
      </c>
    </row>
    <row r="3175" spans="1:16" ht="15" hidden="1" customHeight="1">
      <c r="A3175" s="839">
        <v>69629469</v>
      </c>
      <c r="B3175" s="839" t="s">
        <v>137</v>
      </c>
      <c r="C3175" s="906">
        <v>2400</v>
      </c>
      <c r="D3175" s="907" t="s">
        <v>1282</v>
      </c>
      <c r="E3175" s="839" t="s">
        <v>631</v>
      </c>
      <c r="F3175" s="839">
        <v>1419</v>
      </c>
      <c r="G3175" s="916">
        <f>VLOOKUP($A3175,'Tech Litons'!$A:$I,8,FALSE)</f>
        <v>5.3220000000000003E-3</v>
      </c>
      <c r="H3175" s="917">
        <f>VLOOKUP($A3175,'Tech Litons'!$A:$I,9,FALSE)</f>
        <v>120</v>
      </c>
      <c r="I3175" s="917" t="str">
        <f>VLOOKUP($A3175,'Tech Litons'!$A:$C,3,0)</f>
        <v>KL Mini Cones</v>
      </c>
      <c r="J3175" s="918" t="str">
        <f t="shared" si="318"/>
        <v>TurkeyKL Mini Cones</v>
      </c>
      <c r="K3175" s="919">
        <v>1</v>
      </c>
      <c r="L3175" s="920">
        <f t="shared" si="323"/>
        <v>2400</v>
      </c>
      <c r="M3175" s="920">
        <f t="shared" si="319"/>
        <v>12.7728</v>
      </c>
      <c r="N3175" s="920">
        <f t="shared" si="320"/>
        <v>20</v>
      </c>
      <c r="O3175" s="918" t="str">
        <f t="shared" si="321"/>
        <v>Feb</v>
      </c>
      <c r="P3175" s="921">
        <f t="shared" si="322"/>
        <v>7</v>
      </c>
    </row>
    <row r="3176" spans="1:16" ht="15" hidden="1" customHeight="1">
      <c r="A3176" s="839">
        <v>69629469</v>
      </c>
      <c r="B3176" s="839" t="s">
        <v>137</v>
      </c>
      <c r="C3176" s="906">
        <v>2400</v>
      </c>
      <c r="D3176" s="907" t="s">
        <v>1282</v>
      </c>
      <c r="E3176" s="839" t="s">
        <v>631</v>
      </c>
      <c r="F3176" s="839">
        <v>1419</v>
      </c>
      <c r="G3176" s="916">
        <f>VLOOKUP($A3176,'Tech Litons'!$A:$I,8,FALSE)</f>
        <v>5.3220000000000003E-3</v>
      </c>
      <c r="H3176" s="917">
        <f>VLOOKUP($A3176,'Tech Litons'!$A:$I,9,FALSE)</f>
        <v>120</v>
      </c>
      <c r="I3176" s="917" t="str">
        <f>VLOOKUP($A3176,'Tech Litons'!$A:$C,3,0)</f>
        <v>KL Mini Cones</v>
      </c>
      <c r="J3176" s="918" t="str">
        <f t="shared" si="318"/>
        <v>TurkeyKL Mini Cones</v>
      </c>
      <c r="K3176" s="919">
        <v>1</v>
      </c>
      <c r="L3176" s="920">
        <f t="shared" si="323"/>
        <v>2400</v>
      </c>
      <c r="M3176" s="920">
        <f t="shared" si="319"/>
        <v>12.7728</v>
      </c>
      <c r="N3176" s="920">
        <f t="shared" si="320"/>
        <v>20</v>
      </c>
      <c r="O3176" s="918" t="str">
        <f t="shared" si="321"/>
        <v>Feb</v>
      </c>
      <c r="P3176" s="921">
        <f t="shared" si="322"/>
        <v>7</v>
      </c>
    </row>
    <row r="3177" spans="1:16" ht="15" hidden="1" customHeight="1">
      <c r="A3177" s="839">
        <v>64327161</v>
      </c>
      <c r="B3177" s="839">
        <v>3985</v>
      </c>
      <c r="C3177" s="906">
        <v>9996</v>
      </c>
      <c r="D3177" s="907" t="s">
        <v>1273</v>
      </c>
      <c r="E3177" s="839" t="s">
        <v>563</v>
      </c>
      <c r="F3177" s="839">
        <v>3985</v>
      </c>
      <c r="G3177" s="916">
        <f>VLOOKUP($A3177,'Tech Litons'!$A:$I,8,FALSE)</f>
        <v>1.56E-3</v>
      </c>
      <c r="H3177" s="917">
        <f>VLOOKUP($A3177,'Tech Litons'!$A:$I,9,FALSE)</f>
        <v>240</v>
      </c>
      <c r="I3177" s="917" t="str">
        <f>VLOOKUP($A3177,'Tech Litons'!$A:$C,3,0)</f>
        <v>Yasso Club</v>
      </c>
      <c r="J3177" s="918" t="str">
        <f t="shared" si="318"/>
        <v>3985Yasso Club</v>
      </c>
      <c r="K3177" s="919">
        <v>1</v>
      </c>
      <c r="L3177" s="920">
        <f t="shared" si="323"/>
        <v>9996</v>
      </c>
      <c r="M3177" s="920">
        <f t="shared" si="319"/>
        <v>15.59376</v>
      </c>
      <c r="N3177" s="920">
        <f t="shared" si="320"/>
        <v>41.65</v>
      </c>
      <c r="O3177" s="918" t="str">
        <f t="shared" si="321"/>
        <v>Feb</v>
      </c>
      <c r="P3177" s="921">
        <f t="shared" si="322"/>
        <v>6</v>
      </c>
    </row>
    <row r="3178" spans="1:16" ht="15" hidden="1" customHeight="1">
      <c r="A3178" s="839">
        <v>64327161</v>
      </c>
      <c r="B3178" s="839">
        <v>3985</v>
      </c>
      <c r="C3178" s="906">
        <v>29949</v>
      </c>
      <c r="D3178" s="907" t="s">
        <v>1273</v>
      </c>
      <c r="E3178" s="839" t="s">
        <v>563</v>
      </c>
      <c r="F3178" s="839">
        <v>3985</v>
      </c>
      <c r="G3178" s="916">
        <f>VLOOKUP($A3178,'Tech Litons'!$A:$I,8,FALSE)</f>
        <v>1.56E-3</v>
      </c>
      <c r="H3178" s="917">
        <f>VLOOKUP($A3178,'Tech Litons'!$A:$I,9,FALSE)</f>
        <v>240</v>
      </c>
      <c r="I3178" s="917" t="str">
        <f>VLOOKUP($A3178,'Tech Litons'!$A:$C,3,0)</f>
        <v>Yasso Club</v>
      </c>
      <c r="J3178" s="918" t="str">
        <f t="shared" si="318"/>
        <v>3985Yasso Club</v>
      </c>
      <c r="K3178" s="919">
        <v>1</v>
      </c>
      <c r="L3178" s="920">
        <f t="shared" si="323"/>
        <v>29949</v>
      </c>
      <c r="M3178" s="920">
        <f t="shared" si="319"/>
        <v>46.720439999999996</v>
      </c>
      <c r="N3178" s="920">
        <f t="shared" si="320"/>
        <v>124.78749999999999</v>
      </c>
      <c r="O3178" s="918" t="str">
        <f t="shared" si="321"/>
        <v>Feb</v>
      </c>
      <c r="P3178" s="921">
        <f t="shared" si="322"/>
        <v>6</v>
      </c>
    </row>
    <row r="3179" spans="1:16" ht="15" hidden="1" customHeight="1">
      <c r="A3179" s="839">
        <v>64327161</v>
      </c>
      <c r="B3179" s="839">
        <v>3985</v>
      </c>
      <c r="C3179" s="906">
        <v>29965</v>
      </c>
      <c r="D3179" s="907" t="s">
        <v>1273</v>
      </c>
      <c r="E3179" s="839" t="s">
        <v>563</v>
      </c>
      <c r="F3179" s="839">
        <v>3985</v>
      </c>
      <c r="G3179" s="916">
        <f>VLOOKUP($A3179,'Tech Litons'!$A:$I,8,FALSE)</f>
        <v>1.56E-3</v>
      </c>
      <c r="H3179" s="917">
        <f>VLOOKUP($A3179,'Tech Litons'!$A:$I,9,FALSE)</f>
        <v>240</v>
      </c>
      <c r="I3179" s="917" t="str">
        <f>VLOOKUP($A3179,'Tech Litons'!$A:$C,3,0)</f>
        <v>Yasso Club</v>
      </c>
      <c r="J3179" s="918" t="str">
        <f t="shared" si="318"/>
        <v>3985Yasso Club</v>
      </c>
      <c r="K3179" s="919">
        <v>1</v>
      </c>
      <c r="L3179" s="920">
        <f t="shared" si="323"/>
        <v>29965</v>
      </c>
      <c r="M3179" s="920">
        <f t="shared" si="319"/>
        <v>46.745399999999997</v>
      </c>
      <c r="N3179" s="920">
        <f t="shared" si="320"/>
        <v>124.85416666666667</v>
      </c>
      <c r="O3179" s="918" t="str">
        <f t="shared" si="321"/>
        <v>Feb</v>
      </c>
      <c r="P3179" s="921">
        <f t="shared" si="322"/>
        <v>6</v>
      </c>
    </row>
    <row r="3180" spans="1:16" ht="15" hidden="1" customHeight="1">
      <c r="A3180" s="839">
        <v>65089667</v>
      </c>
      <c r="B3180" s="839">
        <v>3985</v>
      </c>
      <c r="C3180" s="906">
        <v>9982</v>
      </c>
      <c r="D3180" s="907" t="s">
        <v>1287</v>
      </c>
      <c r="E3180" s="839" t="s">
        <v>606</v>
      </c>
      <c r="F3180" s="839">
        <v>3985</v>
      </c>
      <c r="G3180" s="916">
        <f>VLOOKUP($A3180,'Tech Litons'!$A:$I,8,FALSE)</f>
        <v>8.8999999999999995E-5</v>
      </c>
      <c r="H3180" s="917">
        <f>VLOOKUP($A3180,'Tech Litons'!$A:$I,9,FALSE)</f>
        <v>150</v>
      </c>
      <c r="I3180" s="917" t="str">
        <f>VLOOKUP($A3180,'Tech Litons'!$A:$C,3,0)</f>
        <v>Other</v>
      </c>
      <c r="J3180" s="918" t="str">
        <f t="shared" si="318"/>
        <v>3985Other</v>
      </c>
      <c r="K3180" s="919">
        <v>1</v>
      </c>
      <c r="L3180" s="920">
        <f t="shared" si="323"/>
        <v>9982</v>
      </c>
      <c r="M3180" s="920">
        <f t="shared" si="319"/>
        <v>0.88839799999999991</v>
      </c>
      <c r="N3180" s="920">
        <f t="shared" si="320"/>
        <v>66.546666666666667</v>
      </c>
      <c r="O3180" s="918" t="str">
        <f t="shared" si="321"/>
        <v>Feb</v>
      </c>
      <c r="P3180" s="921">
        <f t="shared" si="322"/>
        <v>7</v>
      </c>
    </row>
    <row r="3181" spans="1:16" ht="15" hidden="1" customHeight="1">
      <c r="A3181" s="839">
        <v>64327161</v>
      </c>
      <c r="B3181" s="839">
        <v>3985</v>
      </c>
      <c r="C3181" s="906">
        <v>19950</v>
      </c>
      <c r="D3181" s="907" t="s">
        <v>1284</v>
      </c>
      <c r="E3181" s="839" t="s">
        <v>563</v>
      </c>
      <c r="F3181" s="839">
        <v>3985</v>
      </c>
      <c r="G3181" s="916">
        <f>VLOOKUP($A3181,'Tech Litons'!$A:$I,8,FALSE)</f>
        <v>1.56E-3</v>
      </c>
      <c r="H3181" s="917">
        <f>VLOOKUP($A3181,'Tech Litons'!$A:$I,9,FALSE)</f>
        <v>240</v>
      </c>
      <c r="I3181" s="917" t="str">
        <f>VLOOKUP($A3181,'Tech Litons'!$A:$C,3,0)</f>
        <v>Yasso Club</v>
      </c>
      <c r="J3181" s="918" t="str">
        <f t="shared" si="318"/>
        <v>3985Yasso Club</v>
      </c>
      <c r="K3181" s="919">
        <v>1</v>
      </c>
      <c r="L3181" s="920">
        <f t="shared" si="323"/>
        <v>19950</v>
      </c>
      <c r="M3181" s="920">
        <f t="shared" si="319"/>
        <v>31.122</v>
      </c>
      <c r="N3181" s="920">
        <f t="shared" si="320"/>
        <v>83.125</v>
      </c>
      <c r="O3181" s="918" t="str">
        <f t="shared" si="321"/>
        <v>Feb</v>
      </c>
      <c r="P3181" s="921">
        <f t="shared" si="322"/>
        <v>8</v>
      </c>
    </row>
    <row r="3182" spans="1:16" ht="15" hidden="1" customHeight="1">
      <c r="A3182" s="839">
        <v>64854330</v>
      </c>
      <c r="B3182" s="839">
        <v>3985</v>
      </c>
      <c r="C3182" s="906">
        <v>4992</v>
      </c>
      <c r="D3182" s="907" t="s">
        <v>1285</v>
      </c>
      <c r="E3182" s="839" t="s">
        <v>605</v>
      </c>
      <c r="F3182" s="839">
        <v>3985</v>
      </c>
      <c r="G3182" s="916">
        <f>VLOOKUP($A3182,'Tech Litons'!$A:$I,8,FALSE)</f>
        <v>6.4800000000000005E-3</v>
      </c>
      <c r="H3182" s="917">
        <f>VLOOKUP($A3182,'Tech Litons'!$A:$I,9,FALSE)</f>
        <v>30</v>
      </c>
      <c r="I3182" s="917" t="str">
        <f>VLOOKUP($A3182,'Tech Litons'!$A:$C,3,0)</f>
        <v>Repack MG Sticks</v>
      </c>
      <c r="J3182" s="918" t="str">
        <f t="shared" si="318"/>
        <v>3985Repack MG Sticks</v>
      </c>
      <c r="K3182" s="919">
        <v>1</v>
      </c>
      <c r="L3182" s="920">
        <f t="shared" si="323"/>
        <v>4992</v>
      </c>
      <c r="M3182" s="920">
        <f t="shared" si="319"/>
        <v>32.34816</v>
      </c>
      <c r="N3182" s="920">
        <f t="shared" si="320"/>
        <v>166.4</v>
      </c>
      <c r="O3182" s="918" t="str">
        <f t="shared" si="321"/>
        <v>Feb</v>
      </c>
      <c r="P3182" s="921">
        <f t="shared" si="322"/>
        <v>8</v>
      </c>
    </row>
    <row r="3183" spans="1:16" ht="15" hidden="1" customHeight="1">
      <c r="A3183" s="839">
        <v>64997059</v>
      </c>
      <c r="B3183" s="839">
        <v>3985</v>
      </c>
      <c r="C3183" s="906">
        <v>8064</v>
      </c>
      <c r="D3183" s="907" t="s">
        <v>1285</v>
      </c>
      <c r="E3183" s="839" t="s">
        <v>1050</v>
      </c>
      <c r="F3183" s="839">
        <v>3985</v>
      </c>
      <c r="G3183" s="916">
        <f>VLOOKUP($A3183,'Tech Litons'!$A:$I,8,FALSE)</f>
        <v>5.6760000000000005E-3</v>
      </c>
      <c r="H3183" s="917">
        <f>VLOOKUP($A3183,'Tech Litons'!$A:$I,9,FALSE)</f>
        <v>96</v>
      </c>
      <c r="I3183" s="917" t="str">
        <f>VLOOKUP($A3183,'Tech Litons'!$A:$C,3,0)</f>
        <v>Other</v>
      </c>
      <c r="J3183" s="918" t="str">
        <f t="shared" si="318"/>
        <v>3985Other</v>
      </c>
      <c r="K3183" s="919">
        <v>1</v>
      </c>
      <c r="L3183" s="920">
        <f t="shared" si="323"/>
        <v>8064</v>
      </c>
      <c r="M3183" s="920">
        <f t="shared" si="319"/>
        <v>45.771264000000002</v>
      </c>
      <c r="N3183" s="920">
        <f t="shared" si="320"/>
        <v>84</v>
      </c>
      <c r="O3183" s="918" t="str">
        <f t="shared" si="321"/>
        <v>Feb</v>
      </c>
      <c r="P3183" s="921">
        <f t="shared" si="322"/>
        <v>8</v>
      </c>
    </row>
    <row r="3184" spans="1:16" ht="15" hidden="1" customHeight="1">
      <c r="A3184" s="839">
        <v>65089667</v>
      </c>
      <c r="B3184" s="839">
        <v>3985</v>
      </c>
      <c r="C3184" s="906">
        <v>24965</v>
      </c>
      <c r="D3184" s="907" t="s">
        <v>1285</v>
      </c>
      <c r="E3184" s="839" t="s">
        <v>606</v>
      </c>
      <c r="F3184" s="839">
        <v>3985</v>
      </c>
      <c r="G3184" s="916">
        <f>VLOOKUP($A3184,'Tech Litons'!$A:$I,8,FALSE)</f>
        <v>8.8999999999999995E-5</v>
      </c>
      <c r="H3184" s="917">
        <f>VLOOKUP($A3184,'Tech Litons'!$A:$I,9,FALSE)</f>
        <v>150</v>
      </c>
      <c r="I3184" s="917" t="str">
        <f>VLOOKUP($A3184,'Tech Litons'!$A:$C,3,0)</f>
        <v>Other</v>
      </c>
      <c r="J3184" s="918" t="str">
        <f t="shared" si="318"/>
        <v>3985Other</v>
      </c>
      <c r="K3184" s="919">
        <v>1</v>
      </c>
      <c r="L3184" s="920">
        <f t="shared" si="323"/>
        <v>24965</v>
      </c>
      <c r="M3184" s="920">
        <f t="shared" si="319"/>
        <v>2.2218849999999999</v>
      </c>
      <c r="N3184" s="920">
        <f t="shared" si="320"/>
        <v>166.43333333333334</v>
      </c>
      <c r="O3184" s="918" t="str">
        <f t="shared" si="321"/>
        <v>Feb</v>
      </c>
      <c r="P3184" s="921">
        <f t="shared" si="322"/>
        <v>8</v>
      </c>
    </row>
    <row r="3185" spans="1:16" ht="15" hidden="1" customHeight="1">
      <c r="A3185" s="839">
        <v>64315721</v>
      </c>
      <c r="B3185" s="839">
        <v>1352</v>
      </c>
      <c r="C3185" s="906">
        <v>22</v>
      </c>
      <c r="D3185" s="907">
        <v>46076</v>
      </c>
      <c r="E3185" s="839" t="s">
        <v>380</v>
      </c>
      <c r="F3185" s="839" t="s">
        <v>261</v>
      </c>
      <c r="G3185" s="916">
        <f>VLOOKUP($A3185,'Tech Litons'!$A:$I,8,FALSE)</f>
        <v>8.5199999999999998E-3</v>
      </c>
      <c r="H3185" s="917">
        <f>VLOOKUP($A3185,'Tech Litons'!$A:$I,9,FALSE)</f>
        <v>176</v>
      </c>
      <c r="I3185" s="917" t="str">
        <f>VLOOKUP($A3185,'Tech Litons'!$A:$C,3,0)</f>
        <v>48oz</v>
      </c>
      <c r="J3185" s="918" t="str">
        <f t="shared" ref="J3185" si="324">B3185&amp;I3185</f>
        <v>135248oz</v>
      </c>
      <c r="K3185" s="919">
        <v>1</v>
      </c>
      <c r="L3185" s="920">
        <f t="shared" ref="L3185" si="325">C3185*$K3185</f>
        <v>22</v>
      </c>
      <c r="M3185" s="920">
        <f t="shared" ref="M3185" si="326">L3185*G3185</f>
        <v>0.18744</v>
      </c>
      <c r="N3185" s="920">
        <f t="shared" ref="N3185" si="327">L3185/H3185</f>
        <v>0.125</v>
      </c>
      <c r="O3185" s="918" t="str">
        <f t="shared" ref="O3185" si="328">TEXT(D3185,"MMM")</f>
        <v>Feb</v>
      </c>
      <c r="P3185" s="921">
        <f t="shared" ref="P3185" si="329">WEEKNUM(D3185)</f>
        <v>9</v>
      </c>
    </row>
    <row r="3186" spans="1:16" ht="15" hidden="1" customHeight="1">
      <c r="A3186" s="839">
        <v>64315721</v>
      </c>
      <c r="B3186" s="839">
        <v>1352</v>
      </c>
      <c r="C3186" s="906">
        <v>3344</v>
      </c>
      <c r="D3186" s="907">
        <v>46077</v>
      </c>
      <c r="E3186" s="839" t="s">
        <v>380</v>
      </c>
      <c r="F3186" s="839" t="s">
        <v>261</v>
      </c>
      <c r="G3186" s="916">
        <f>VLOOKUP($A3186,'Tech Litons'!$A:$I,8,FALSE)</f>
        <v>8.5199999999999998E-3</v>
      </c>
      <c r="H3186" s="917">
        <f>VLOOKUP($A3186,'Tech Litons'!$A:$I,9,FALSE)</f>
        <v>176</v>
      </c>
      <c r="I3186" s="917" t="str">
        <f>VLOOKUP($A3186,'Tech Litons'!$A:$C,3,0)</f>
        <v>48oz</v>
      </c>
      <c r="J3186" s="918" t="str">
        <f t="shared" ref="J3186:J3249" si="330">B3186&amp;I3186</f>
        <v>135248oz</v>
      </c>
      <c r="K3186" s="919">
        <v>1</v>
      </c>
      <c r="L3186" s="920">
        <f t="shared" ref="L3186:L3249" si="331">C3186*$K3186</f>
        <v>3344</v>
      </c>
      <c r="M3186" s="920">
        <f t="shared" ref="M3186:M3249" si="332">L3186*G3186</f>
        <v>28.490880000000001</v>
      </c>
      <c r="N3186" s="920">
        <f t="shared" ref="N3186:N3249" si="333">L3186/H3186</f>
        <v>19</v>
      </c>
      <c r="O3186" s="918" t="str">
        <f t="shared" ref="O3186:O3249" si="334">TEXT(D3186,"MMM")</f>
        <v>Feb</v>
      </c>
      <c r="P3186" s="921">
        <f t="shared" ref="P3186:P3249" si="335">WEEKNUM(D3186)</f>
        <v>9</v>
      </c>
    </row>
    <row r="3187" spans="1:16" ht="15" hidden="1" customHeight="1">
      <c r="A3187" s="839">
        <v>64315721</v>
      </c>
      <c r="B3187" s="839">
        <v>1352</v>
      </c>
      <c r="C3187" s="906">
        <v>7920</v>
      </c>
      <c r="D3187" s="907">
        <v>46078</v>
      </c>
      <c r="E3187" s="839" t="s">
        <v>380</v>
      </c>
      <c r="F3187" s="839" t="s">
        <v>261</v>
      </c>
      <c r="G3187" s="916">
        <f>VLOOKUP($A3187,'Tech Litons'!$A:$I,8,FALSE)</f>
        <v>8.5199999999999998E-3</v>
      </c>
      <c r="H3187" s="917">
        <f>VLOOKUP($A3187,'Tech Litons'!$A:$I,9,FALSE)</f>
        <v>176</v>
      </c>
      <c r="I3187" s="917" t="str">
        <f>VLOOKUP($A3187,'Tech Litons'!$A:$C,3,0)</f>
        <v>48oz</v>
      </c>
      <c r="J3187" s="918" t="str">
        <f t="shared" si="330"/>
        <v>135248oz</v>
      </c>
      <c r="K3187" s="919">
        <v>1</v>
      </c>
      <c r="L3187" s="920">
        <f t="shared" si="331"/>
        <v>7920</v>
      </c>
      <c r="M3187" s="920">
        <f t="shared" si="332"/>
        <v>67.478399999999993</v>
      </c>
      <c r="N3187" s="920">
        <f t="shared" si="333"/>
        <v>45</v>
      </c>
      <c r="O3187" s="918" t="str">
        <f t="shared" si="334"/>
        <v>Feb</v>
      </c>
      <c r="P3187" s="921">
        <f t="shared" si="335"/>
        <v>9</v>
      </c>
    </row>
    <row r="3188" spans="1:16" ht="15" hidden="1" customHeight="1">
      <c r="A3188" s="839">
        <v>64315721</v>
      </c>
      <c r="B3188" s="839">
        <v>1352</v>
      </c>
      <c r="C3188" s="906">
        <v>3001</v>
      </c>
      <c r="D3188" s="907">
        <v>46077</v>
      </c>
      <c r="E3188" s="839" t="s">
        <v>380</v>
      </c>
      <c r="F3188" s="839" t="s">
        <v>261</v>
      </c>
      <c r="G3188" s="916">
        <f>VLOOKUP($A3188,'Tech Litons'!$A:$I,8,FALSE)</f>
        <v>8.5199999999999998E-3</v>
      </c>
      <c r="H3188" s="917">
        <f>VLOOKUP($A3188,'Tech Litons'!$A:$I,9,FALSE)</f>
        <v>176</v>
      </c>
      <c r="I3188" s="917" t="str">
        <f>VLOOKUP($A3188,'Tech Litons'!$A:$C,3,0)</f>
        <v>48oz</v>
      </c>
      <c r="J3188" s="918" t="str">
        <f t="shared" si="330"/>
        <v>135248oz</v>
      </c>
      <c r="K3188" s="919">
        <v>1</v>
      </c>
      <c r="L3188" s="920">
        <f t="shared" si="331"/>
        <v>3001</v>
      </c>
      <c r="M3188" s="920">
        <f t="shared" si="332"/>
        <v>25.568519999999999</v>
      </c>
      <c r="N3188" s="920">
        <f t="shared" si="333"/>
        <v>17.051136363636363</v>
      </c>
      <c r="O3188" s="918" t="str">
        <f t="shared" si="334"/>
        <v>Feb</v>
      </c>
      <c r="P3188" s="921">
        <f t="shared" si="335"/>
        <v>9</v>
      </c>
    </row>
    <row r="3189" spans="1:16" ht="15" hidden="1" customHeight="1">
      <c r="A3189" s="839">
        <v>64315721</v>
      </c>
      <c r="B3189" s="839">
        <v>1352</v>
      </c>
      <c r="C3189" s="906">
        <v>3872</v>
      </c>
      <c r="D3189" s="907">
        <v>46076</v>
      </c>
      <c r="E3189" s="839" t="s">
        <v>380</v>
      </c>
      <c r="F3189" s="839" t="s">
        <v>261</v>
      </c>
      <c r="G3189" s="916">
        <f>VLOOKUP($A3189,'Tech Litons'!$A:$I,8,FALSE)</f>
        <v>8.5199999999999998E-3</v>
      </c>
      <c r="H3189" s="917">
        <f>VLOOKUP($A3189,'Tech Litons'!$A:$I,9,FALSE)</f>
        <v>176</v>
      </c>
      <c r="I3189" s="917" t="str">
        <f>VLOOKUP($A3189,'Tech Litons'!$A:$C,3,0)</f>
        <v>48oz</v>
      </c>
      <c r="J3189" s="918" t="str">
        <f t="shared" si="330"/>
        <v>135248oz</v>
      </c>
      <c r="K3189" s="919">
        <v>1</v>
      </c>
      <c r="L3189" s="920">
        <f t="shared" si="331"/>
        <v>3872</v>
      </c>
      <c r="M3189" s="920">
        <f t="shared" si="332"/>
        <v>32.989440000000002</v>
      </c>
      <c r="N3189" s="920">
        <f t="shared" si="333"/>
        <v>22</v>
      </c>
      <c r="O3189" s="918" t="str">
        <f t="shared" si="334"/>
        <v>Feb</v>
      </c>
      <c r="P3189" s="921">
        <f t="shared" si="335"/>
        <v>9</v>
      </c>
    </row>
    <row r="3190" spans="1:16" ht="15" hidden="1" customHeight="1">
      <c r="A3190" s="839">
        <v>64315721</v>
      </c>
      <c r="B3190" s="839">
        <v>1352</v>
      </c>
      <c r="C3190" s="906">
        <v>11</v>
      </c>
      <c r="D3190" s="907">
        <v>46078</v>
      </c>
      <c r="E3190" s="839" t="s">
        <v>380</v>
      </c>
      <c r="F3190" s="839" t="s">
        <v>261</v>
      </c>
      <c r="G3190" s="916">
        <f>VLOOKUP($A3190,'Tech Litons'!$A:$I,8,FALSE)</f>
        <v>8.5199999999999998E-3</v>
      </c>
      <c r="H3190" s="917">
        <f>VLOOKUP($A3190,'Tech Litons'!$A:$I,9,FALSE)</f>
        <v>176</v>
      </c>
      <c r="I3190" s="917" t="str">
        <f>VLOOKUP($A3190,'Tech Litons'!$A:$C,3,0)</f>
        <v>48oz</v>
      </c>
      <c r="J3190" s="918" t="str">
        <f t="shared" si="330"/>
        <v>135248oz</v>
      </c>
      <c r="K3190" s="919">
        <v>1</v>
      </c>
      <c r="L3190" s="920">
        <f t="shared" si="331"/>
        <v>11</v>
      </c>
      <c r="M3190" s="920">
        <f t="shared" si="332"/>
        <v>9.3719999999999998E-2</v>
      </c>
      <c r="N3190" s="920">
        <f t="shared" si="333"/>
        <v>6.25E-2</v>
      </c>
      <c r="O3190" s="918" t="str">
        <f t="shared" si="334"/>
        <v>Feb</v>
      </c>
      <c r="P3190" s="921">
        <f t="shared" si="335"/>
        <v>9</v>
      </c>
    </row>
    <row r="3191" spans="1:16" ht="15" hidden="1" customHeight="1">
      <c r="A3191" s="839">
        <v>64315721</v>
      </c>
      <c r="B3191" s="839">
        <v>1352</v>
      </c>
      <c r="C3191" s="906">
        <v>0</v>
      </c>
      <c r="D3191" s="907">
        <v>46079</v>
      </c>
      <c r="E3191" s="839" t="s">
        <v>380</v>
      </c>
      <c r="F3191" s="839" t="s">
        <v>261</v>
      </c>
      <c r="G3191" s="916">
        <f>VLOOKUP($A3191,'Tech Litons'!$A:$I,8,FALSE)</f>
        <v>8.5199999999999998E-3</v>
      </c>
      <c r="H3191" s="917">
        <f>VLOOKUP($A3191,'Tech Litons'!$A:$I,9,FALSE)</f>
        <v>176</v>
      </c>
      <c r="I3191" s="917" t="str">
        <f>VLOOKUP($A3191,'Tech Litons'!$A:$C,3,0)</f>
        <v>48oz</v>
      </c>
      <c r="J3191" s="918" t="str">
        <f t="shared" si="330"/>
        <v>135248oz</v>
      </c>
      <c r="K3191" s="919">
        <v>1</v>
      </c>
      <c r="L3191" s="920">
        <f t="shared" si="331"/>
        <v>0</v>
      </c>
      <c r="M3191" s="920">
        <f t="shared" si="332"/>
        <v>0</v>
      </c>
      <c r="N3191" s="920">
        <f t="shared" si="333"/>
        <v>0</v>
      </c>
      <c r="O3191" s="918" t="str">
        <f t="shared" si="334"/>
        <v>Feb</v>
      </c>
      <c r="P3191" s="921">
        <f t="shared" si="335"/>
        <v>9</v>
      </c>
    </row>
    <row r="3192" spans="1:16" ht="15" hidden="1" customHeight="1">
      <c r="A3192" s="839">
        <v>64315721</v>
      </c>
      <c r="B3192" s="839">
        <v>1352</v>
      </c>
      <c r="C3192" s="906">
        <v>176</v>
      </c>
      <c r="D3192" s="907">
        <v>46079</v>
      </c>
      <c r="E3192" s="839" t="s">
        <v>380</v>
      </c>
      <c r="F3192" s="839" t="s">
        <v>261</v>
      </c>
      <c r="G3192" s="916">
        <f>VLOOKUP($A3192,'Tech Litons'!$A:$I,8,FALSE)</f>
        <v>8.5199999999999998E-3</v>
      </c>
      <c r="H3192" s="917">
        <f>VLOOKUP($A3192,'Tech Litons'!$A:$I,9,FALSE)</f>
        <v>176</v>
      </c>
      <c r="I3192" s="917" t="str">
        <f>VLOOKUP($A3192,'Tech Litons'!$A:$C,3,0)</f>
        <v>48oz</v>
      </c>
      <c r="J3192" s="918" t="str">
        <f t="shared" si="330"/>
        <v>135248oz</v>
      </c>
      <c r="K3192" s="919">
        <v>1</v>
      </c>
      <c r="L3192" s="920">
        <f t="shared" si="331"/>
        <v>176</v>
      </c>
      <c r="M3192" s="920">
        <f t="shared" si="332"/>
        <v>1.49952</v>
      </c>
      <c r="N3192" s="920">
        <f t="shared" si="333"/>
        <v>1</v>
      </c>
      <c r="O3192" s="918" t="str">
        <f t="shared" si="334"/>
        <v>Feb</v>
      </c>
      <c r="P3192" s="921">
        <f t="shared" si="335"/>
        <v>9</v>
      </c>
    </row>
    <row r="3193" spans="1:16" ht="15" hidden="1" customHeight="1">
      <c r="A3193" s="839">
        <v>64315721</v>
      </c>
      <c r="B3193" s="839">
        <v>1352</v>
      </c>
      <c r="C3193" s="906">
        <v>478</v>
      </c>
      <c r="D3193" s="907">
        <v>46078</v>
      </c>
      <c r="E3193" s="839" t="s">
        <v>380</v>
      </c>
      <c r="F3193" s="839" t="s">
        <v>261</v>
      </c>
      <c r="G3193" s="916">
        <f>VLOOKUP($A3193,'Tech Litons'!$A:$I,8,FALSE)</f>
        <v>8.5199999999999998E-3</v>
      </c>
      <c r="H3193" s="917">
        <f>VLOOKUP($A3193,'Tech Litons'!$A:$I,9,FALSE)</f>
        <v>176</v>
      </c>
      <c r="I3193" s="917" t="str">
        <f>VLOOKUP($A3193,'Tech Litons'!$A:$C,3,0)</f>
        <v>48oz</v>
      </c>
      <c r="J3193" s="918" t="str">
        <f t="shared" si="330"/>
        <v>135248oz</v>
      </c>
      <c r="K3193" s="919">
        <v>1</v>
      </c>
      <c r="L3193" s="920">
        <f t="shared" si="331"/>
        <v>478</v>
      </c>
      <c r="M3193" s="920">
        <f t="shared" si="332"/>
        <v>4.0725600000000002</v>
      </c>
      <c r="N3193" s="920">
        <f t="shared" si="333"/>
        <v>2.7159090909090908</v>
      </c>
      <c r="O3193" s="918" t="str">
        <f t="shared" si="334"/>
        <v>Feb</v>
      </c>
      <c r="P3193" s="921">
        <f t="shared" si="335"/>
        <v>9</v>
      </c>
    </row>
    <row r="3194" spans="1:16" ht="15" hidden="1" customHeight="1">
      <c r="A3194" s="839">
        <v>64315721</v>
      </c>
      <c r="B3194" s="839">
        <v>1352</v>
      </c>
      <c r="C3194" s="906">
        <v>4414</v>
      </c>
      <c r="D3194" s="907">
        <v>46079</v>
      </c>
      <c r="E3194" s="839" t="s">
        <v>380</v>
      </c>
      <c r="F3194" s="839" t="s">
        <v>261</v>
      </c>
      <c r="G3194" s="916">
        <f>VLOOKUP($A3194,'Tech Litons'!$A:$I,8,FALSE)</f>
        <v>8.5199999999999998E-3</v>
      </c>
      <c r="H3194" s="917">
        <f>VLOOKUP($A3194,'Tech Litons'!$A:$I,9,FALSE)</f>
        <v>176</v>
      </c>
      <c r="I3194" s="917" t="str">
        <f>VLOOKUP($A3194,'Tech Litons'!$A:$C,3,0)</f>
        <v>48oz</v>
      </c>
      <c r="J3194" s="918" t="str">
        <f t="shared" si="330"/>
        <v>135248oz</v>
      </c>
      <c r="K3194" s="919">
        <v>1</v>
      </c>
      <c r="L3194" s="920">
        <f t="shared" si="331"/>
        <v>4414</v>
      </c>
      <c r="M3194" s="920">
        <f t="shared" si="332"/>
        <v>37.607279999999996</v>
      </c>
      <c r="N3194" s="920">
        <f t="shared" si="333"/>
        <v>25.079545454545453</v>
      </c>
      <c r="O3194" s="918" t="str">
        <f t="shared" si="334"/>
        <v>Feb</v>
      </c>
      <c r="P3194" s="921">
        <f t="shared" si="335"/>
        <v>9</v>
      </c>
    </row>
    <row r="3195" spans="1:16" ht="15" hidden="1" customHeight="1">
      <c r="A3195" s="839">
        <v>64341967</v>
      </c>
      <c r="B3195" s="839">
        <v>1352</v>
      </c>
      <c r="C3195" s="906">
        <v>4045</v>
      </c>
      <c r="D3195" s="907">
        <v>46102</v>
      </c>
      <c r="E3195" s="839" t="s">
        <v>260</v>
      </c>
      <c r="F3195" s="839" t="s">
        <v>261</v>
      </c>
      <c r="G3195" s="916">
        <f>VLOOKUP($A3195,'Tech Litons'!$A:$I,8,FALSE)</f>
        <v>8.513999999999999E-3</v>
      </c>
      <c r="H3195" s="917">
        <f>VLOOKUP($A3195,'Tech Litons'!$A:$I,9,FALSE)</f>
        <v>176</v>
      </c>
      <c r="I3195" s="917" t="str">
        <f>VLOOKUP($A3195,'Tech Litons'!$A:$C,3,0)</f>
        <v>48oz</v>
      </c>
      <c r="J3195" s="918" t="str">
        <f t="shared" si="330"/>
        <v>135248oz</v>
      </c>
      <c r="K3195" s="919">
        <v>1</v>
      </c>
      <c r="L3195" s="920">
        <f t="shared" si="331"/>
        <v>4045</v>
      </c>
      <c r="M3195" s="920">
        <f t="shared" si="332"/>
        <v>34.439129999999999</v>
      </c>
      <c r="N3195" s="920">
        <f t="shared" si="333"/>
        <v>22.982954545454547</v>
      </c>
      <c r="O3195" s="918" t="str">
        <f t="shared" si="334"/>
        <v>Mar</v>
      </c>
      <c r="P3195" s="921">
        <f t="shared" si="335"/>
        <v>12</v>
      </c>
    </row>
    <row r="3196" spans="1:16" ht="15" hidden="1" customHeight="1">
      <c r="A3196" s="839">
        <v>64341967</v>
      </c>
      <c r="B3196" s="839">
        <v>1352</v>
      </c>
      <c r="C3196" s="906">
        <v>4909</v>
      </c>
      <c r="D3196" s="907">
        <v>46103</v>
      </c>
      <c r="E3196" s="839" t="s">
        <v>260</v>
      </c>
      <c r="F3196" s="839" t="s">
        <v>261</v>
      </c>
      <c r="G3196" s="916">
        <f>VLOOKUP($A3196,'Tech Litons'!$A:$I,8,FALSE)</f>
        <v>8.513999999999999E-3</v>
      </c>
      <c r="H3196" s="917">
        <f>VLOOKUP($A3196,'Tech Litons'!$A:$I,9,FALSE)</f>
        <v>176</v>
      </c>
      <c r="I3196" s="917" t="str">
        <f>VLOOKUP($A3196,'Tech Litons'!$A:$C,3,0)</f>
        <v>48oz</v>
      </c>
      <c r="J3196" s="918" t="str">
        <f t="shared" si="330"/>
        <v>135248oz</v>
      </c>
      <c r="K3196" s="919">
        <v>1</v>
      </c>
      <c r="L3196" s="920">
        <f t="shared" si="331"/>
        <v>4909</v>
      </c>
      <c r="M3196" s="920">
        <f t="shared" si="332"/>
        <v>41.795225999999992</v>
      </c>
      <c r="N3196" s="920">
        <f t="shared" si="333"/>
        <v>27.892045454545453</v>
      </c>
      <c r="O3196" s="918" t="str">
        <f t="shared" si="334"/>
        <v>Mar</v>
      </c>
      <c r="P3196" s="921">
        <f t="shared" si="335"/>
        <v>13</v>
      </c>
    </row>
    <row r="3197" spans="1:16" ht="15" hidden="1" customHeight="1">
      <c r="A3197" s="839">
        <v>64341967</v>
      </c>
      <c r="B3197" s="839">
        <v>1352</v>
      </c>
      <c r="C3197" s="906">
        <v>4576</v>
      </c>
      <c r="D3197" s="907">
        <v>46103</v>
      </c>
      <c r="E3197" s="839" t="s">
        <v>260</v>
      </c>
      <c r="F3197" s="839" t="s">
        <v>261</v>
      </c>
      <c r="G3197" s="916">
        <f>VLOOKUP($A3197,'Tech Litons'!$A:$I,8,FALSE)</f>
        <v>8.513999999999999E-3</v>
      </c>
      <c r="H3197" s="917">
        <f>VLOOKUP($A3197,'Tech Litons'!$A:$I,9,FALSE)</f>
        <v>176</v>
      </c>
      <c r="I3197" s="917" t="str">
        <f>VLOOKUP($A3197,'Tech Litons'!$A:$C,3,0)</f>
        <v>48oz</v>
      </c>
      <c r="J3197" s="918" t="str">
        <f t="shared" si="330"/>
        <v>135248oz</v>
      </c>
      <c r="K3197" s="919">
        <v>1</v>
      </c>
      <c r="L3197" s="920">
        <f t="shared" si="331"/>
        <v>4576</v>
      </c>
      <c r="M3197" s="920">
        <f t="shared" si="332"/>
        <v>38.960063999999996</v>
      </c>
      <c r="N3197" s="920">
        <f t="shared" si="333"/>
        <v>26</v>
      </c>
      <c r="O3197" s="918" t="str">
        <f t="shared" si="334"/>
        <v>Mar</v>
      </c>
      <c r="P3197" s="921">
        <f t="shared" si="335"/>
        <v>13</v>
      </c>
    </row>
    <row r="3198" spans="1:16" ht="15" hidden="1" customHeight="1">
      <c r="A3198" s="839">
        <v>64341967</v>
      </c>
      <c r="B3198" s="839">
        <v>1352</v>
      </c>
      <c r="C3198" s="906">
        <v>4723</v>
      </c>
      <c r="D3198" s="907">
        <v>46104</v>
      </c>
      <c r="E3198" s="839" t="s">
        <v>260</v>
      </c>
      <c r="F3198" s="839" t="s">
        <v>261</v>
      </c>
      <c r="G3198" s="916">
        <f>VLOOKUP($A3198,'Tech Litons'!$A:$I,8,FALSE)</f>
        <v>8.513999999999999E-3</v>
      </c>
      <c r="H3198" s="917">
        <f>VLOOKUP($A3198,'Tech Litons'!$A:$I,9,FALSE)</f>
        <v>176</v>
      </c>
      <c r="I3198" s="917" t="str">
        <f>VLOOKUP($A3198,'Tech Litons'!$A:$C,3,0)</f>
        <v>48oz</v>
      </c>
      <c r="J3198" s="918" t="str">
        <f t="shared" si="330"/>
        <v>135248oz</v>
      </c>
      <c r="K3198" s="919">
        <v>1</v>
      </c>
      <c r="L3198" s="920">
        <f t="shared" si="331"/>
        <v>4723</v>
      </c>
      <c r="M3198" s="920">
        <f t="shared" si="332"/>
        <v>40.211621999999998</v>
      </c>
      <c r="N3198" s="920">
        <f t="shared" si="333"/>
        <v>26.835227272727273</v>
      </c>
      <c r="O3198" s="918" t="str">
        <f t="shared" si="334"/>
        <v>Mar</v>
      </c>
      <c r="P3198" s="921">
        <f t="shared" si="335"/>
        <v>13</v>
      </c>
    </row>
    <row r="3199" spans="1:16" ht="15" hidden="1" customHeight="1">
      <c r="A3199" s="839">
        <v>64341967</v>
      </c>
      <c r="B3199" s="839">
        <v>1352</v>
      </c>
      <c r="C3199" s="906">
        <v>4576</v>
      </c>
      <c r="D3199" s="907">
        <v>46104</v>
      </c>
      <c r="E3199" s="839" t="s">
        <v>260</v>
      </c>
      <c r="F3199" s="839" t="s">
        <v>261</v>
      </c>
      <c r="G3199" s="916">
        <f>VLOOKUP($A3199,'Tech Litons'!$A:$I,8,FALSE)</f>
        <v>8.513999999999999E-3</v>
      </c>
      <c r="H3199" s="917">
        <f>VLOOKUP($A3199,'Tech Litons'!$A:$I,9,FALSE)</f>
        <v>176</v>
      </c>
      <c r="I3199" s="917" t="str">
        <f>VLOOKUP($A3199,'Tech Litons'!$A:$C,3,0)</f>
        <v>48oz</v>
      </c>
      <c r="J3199" s="918" t="str">
        <f t="shared" si="330"/>
        <v>135248oz</v>
      </c>
      <c r="K3199" s="919">
        <v>1</v>
      </c>
      <c r="L3199" s="920">
        <f t="shared" si="331"/>
        <v>4576</v>
      </c>
      <c r="M3199" s="920">
        <f t="shared" si="332"/>
        <v>38.960063999999996</v>
      </c>
      <c r="N3199" s="920">
        <f t="shared" si="333"/>
        <v>26</v>
      </c>
      <c r="O3199" s="918" t="str">
        <f t="shared" si="334"/>
        <v>Mar</v>
      </c>
      <c r="P3199" s="921">
        <f t="shared" si="335"/>
        <v>13</v>
      </c>
    </row>
    <row r="3200" spans="1:16" ht="15" hidden="1" customHeight="1">
      <c r="A3200" s="839">
        <v>64341967</v>
      </c>
      <c r="B3200" s="839">
        <v>1352</v>
      </c>
      <c r="C3200" s="906">
        <v>7633</v>
      </c>
      <c r="D3200" s="907">
        <v>46105</v>
      </c>
      <c r="E3200" s="839" t="s">
        <v>260</v>
      </c>
      <c r="F3200" s="839" t="s">
        <v>261</v>
      </c>
      <c r="G3200" s="916">
        <f>VLOOKUP($A3200,'Tech Litons'!$A:$I,8,FALSE)</f>
        <v>8.513999999999999E-3</v>
      </c>
      <c r="H3200" s="917">
        <f>VLOOKUP($A3200,'Tech Litons'!$A:$I,9,FALSE)</f>
        <v>176</v>
      </c>
      <c r="I3200" s="917" t="str">
        <f>VLOOKUP($A3200,'Tech Litons'!$A:$C,3,0)</f>
        <v>48oz</v>
      </c>
      <c r="J3200" s="918" t="str">
        <f t="shared" si="330"/>
        <v>135248oz</v>
      </c>
      <c r="K3200" s="919">
        <v>1</v>
      </c>
      <c r="L3200" s="920">
        <f t="shared" si="331"/>
        <v>7633</v>
      </c>
      <c r="M3200" s="920">
        <f t="shared" si="332"/>
        <v>64.98736199999999</v>
      </c>
      <c r="N3200" s="920">
        <f t="shared" si="333"/>
        <v>43.36931818181818</v>
      </c>
      <c r="O3200" s="918" t="str">
        <f t="shared" si="334"/>
        <v>Mar</v>
      </c>
      <c r="P3200" s="921">
        <f t="shared" si="335"/>
        <v>13</v>
      </c>
    </row>
    <row r="3201" spans="1:16" ht="15" hidden="1" customHeight="1">
      <c r="A3201" s="839">
        <v>64341967</v>
      </c>
      <c r="B3201" s="839">
        <v>1352</v>
      </c>
      <c r="C3201" s="906">
        <v>5244</v>
      </c>
      <c r="D3201" s="907">
        <v>46105</v>
      </c>
      <c r="E3201" s="839" t="s">
        <v>260</v>
      </c>
      <c r="F3201" s="839" t="s">
        <v>261</v>
      </c>
      <c r="G3201" s="916">
        <f>VLOOKUP($A3201,'Tech Litons'!$A:$I,8,FALSE)</f>
        <v>8.513999999999999E-3</v>
      </c>
      <c r="H3201" s="917">
        <f>VLOOKUP($A3201,'Tech Litons'!$A:$I,9,FALSE)</f>
        <v>176</v>
      </c>
      <c r="I3201" s="917" t="str">
        <f>VLOOKUP($A3201,'Tech Litons'!$A:$C,3,0)</f>
        <v>48oz</v>
      </c>
      <c r="J3201" s="918" t="str">
        <f t="shared" si="330"/>
        <v>135248oz</v>
      </c>
      <c r="K3201" s="919">
        <v>1</v>
      </c>
      <c r="L3201" s="920">
        <f t="shared" si="331"/>
        <v>5244</v>
      </c>
      <c r="M3201" s="920">
        <f t="shared" si="332"/>
        <v>44.647415999999993</v>
      </c>
      <c r="N3201" s="920">
        <f t="shared" si="333"/>
        <v>29.795454545454547</v>
      </c>
      <c r="O3201" s="918" t="str">
        <f t="shared" si="334"/>
        <v>Mar</v>
      </c>
      <c r="P3201" s="921">
        <f t="shared" si="335"/>
        <v>13</v>
      </c>
    </row>
    <row r="3202" spans="1:16" ht="15" hidden="1" customHeight="1">
      <c r="A3202" s="839">
        <v>64341968</v>
      </c>
      <c r="B3202" s="839">
        <v>1352</v>
      </c>
      <c r="C3202" s="906">
        <v>3983</v>
      </c>
      <c r="D3202" s="907">
        <v>46080</v>
      </c>
      <c r="E3202" s="839" t="s">
        <v>322</v>
      </c>
      <c r="F3202" s="839" t="s">
        <v>261</v>
      </c>
      <c r="G3202" s="916">
        <f>VLOOKUP($A3202,'Tech Litons'!$A:$I,8,FALSE)</f>
        <v>8.5199999999999998E-3</v>
      </c>
      <c r="H3202" s="917">
        <f>VLOOKUP($A3202,'Tech Litons'!$A:$I,9,FALSE)</f>
        <v>176</v>
      </c>
      <c r="I3202" s="917" t="str">
        <f>VLOOKUP($A3202,'Tech Litons'!$A:$C,3,0)</f>
        <v>48oz</v>
      </c>
      <c r="J3202" s="918" t="str">
        <f t="shared" si="330"/>
        <v>135248oz</v>
      </c>
      <c r="K3202" s="919">
        <v>1</v>
      </c>
      <c r="L3202" s="920">
        <f t="shared" si="331"/>
        <v>3983</v>
      </c>
      <c r="M3202" s="920">
        <f t="shared" si="332"/>
        <v>33.935159999999996</v>
      </c>
      <c r="N3202" s="920">
        <f t="shared" si="333"/>
        <v>22.630681818181817</v>
      </c>
      <c r="O3202" s="918" t="str">
        <f t="shared" si="334"/>
        <v>Feb</v>
      </c>
      <c r="P3202" s="921">
        <f t="shared" si="335"/>
        <v>9</v>
      </c>
    </row>
    <row r="3203" spans="1:16" ht="15" hidden="1" customHeight="1">
      <c r="A3203" s="839">
        <v>64341968</v>
      </c>
      <c r="B3203" s="839">
        <v>1352</v>
      </c>
      <c r="C3203" s="906">
        <v>3928</v>
      </c>
      <c r="D3203" s="907">
        <v>46080</v>
      </c>
      <c r="E3203" s="839" t="s">
        <v>322</v>
      </c>
      <c r="F3203" s="839" t="s">
        <v>261</v>
      </c>
      <c r="G3203" s="916">
        <f>VLOOKUP($A3203,'Tech Litons'!$A:$I,8,FALSE)</f>
        <v>8.5199999999999998E-3</v>
      </c>
      <c r="H3203" s="917">
        <f>VLOOKUP($A3203,'Tech Litons'!$A:$I,9,FALSE)</f>
        <v>176</v>
      </c>
      <c r="I3203" s="917" t="str">
        <f>VLOOKUP($A3203,'Tech Litons'!$A:$C,3,0)</f>
        <v>48oz</v>
      </c>
      <c r="J3203" s="918" t="str">
        <f t="shared" si="330"/>
        <v>135248oz</v>
      </c>
      <c r="K3203" s="919">
        <v>1</v>
      </c>
      <c r="L3203" s="920">
        <f t="shared" si="331"/>
        <v>3928</v>
      </c>
      <c r="M3203" s="920">
        <f t="shared" si="332"/>
        <v>33.466560000000001</v>
      </c>
      <c r="N3203" s="920">
        <f t="shared" si="333"/>
        <v>22.318181818181817</v>
      </c>
      <c r="O3203" s="918" t="str">
        <f t="shared" si="334"/>
        <v>Feb</v>
      </c>
      <c r="P3203" s="921">
        <f t="shared" si="335"/>
        <v>9</v>
      </c>
    </row>
    <row r="3204" spans="1:16" ht="15" hidden="1" customHeight="1">
      <c r="A3204" s="839">
        <v>64341968</v>
      </c>
      <c r="B3204" s="839">
        <v>1352</v>
      </c>
      <c r="C3204" s="906">
        <v>6018</v>
      </c>
      <c r="D3204" s="907">
        <v>46081</v>
      </c>
      <c r="E3204" s="839" t="s">
        <v>322</v>
      </c>
      <c r="F3204" s="839" t="s">
        <v>261</v>
      </c>
      <c r="G3204" s="916">
        <f>VLOOKUP($A3204,'Tech Litons'!$A:$I,8,FALSE)</f>
        <v>8.5199999999999998E-3</v>
      </c>
      <c r="H3204" s="917">
        <f>VLOOKUP($A3204,'Tech Litons'!$A:$I,9,FALSE)</f>
        <v>176</v>
      </c>
      <c r="I3204" s="917" t="str">
        <f>VLOOKUP($A3204,'Tech Litons'!$A:$C,3,0)</f>
        <v>48oz</v>
      </c>
      <c r="J3204" s="918" t="str">
        <f t="shared" si="330"/>
        <v>135248oz</v>
      </c>
      <c r="K3204" s="919">
        <v>1</v>
      </c>
      <c r="L3204" s="920">
        <f t="shared" si="331"/>
        <v>6018</v>
      </c>
      <c r="M3204" s="920">
        <f t="shared" si="332"/>
        <v>51.273359999999997</v>
      </c>
      <c r="N3204" s="920">
        <f t="shared" si="333"/>
        <v>34.19318181818182</v>
      </c>
      <c r="O3204" s="918" t="str">
        <f t="shared" si="334"/>
        <v>Feb</v>
      </c>
      <c r="P3204" s="921">
        <f t="shared" si="335"/>
        <v>9</v>
      </c>
    </row>
    <row r="3205" spans="1:16" ht="15" hidden="1" customHeight="1">
      <c r="A3205" s="839">
        <v>64341968</v>
      </c>
      <c r="B3205" s="839">
        <v>1352</v>
      </c>
      <c r="C3205" s="906">
        <v>176</v>
      </c>
      <c r="D3205" s="907">
        <v>46086</v>
      </c>
      <c r="E3205" s="839" t="s">
        <v>322</v>
      </c>
      <c r="F3205" s="839" t="s">
        <v>261</v>
      </c>
      <c r="G3205" s="916">
        <f>VLOOKUP($A3205,'Tech Litons'!$A:$I,8,FALSE)</f>
        <v>8.5199999999999998E-3</v>
      </c>
      <c r="H3205" s="917">
        <f>VLOOKUP($A3205,'Tech Litons'!$A:$I,9,FALSE)</f>
        <v>176</v>
      </c>
      <c r="I3205" s="917" t="str">
        <f>VLOOKUP($A3205,'Tech Litons'!$A:$C,3,0)</f>
        <v>48oz</v>
      </c>
      <c r="J3205" s="918" t="str">
        <f t="shared" si="330"/>
        <v>135248oz</v>
      </c>
      <c r="K3205" s="919">
        <v>1</v>
      </c>
      <c r="L3205" s="920">
        <f t="shared" si="331"/>
        <v>176</v>
      </c>
      <c r="M3205" s="920">
        <f t="shared" si="332"/>
        <v>1.49952</v>
      </c>
      <c r="N3205" s="920">
        <f t="shared" si="333"/>
        <v>1</v>
      </c>
      <c r="O3205" s="918" t="str">
        <f t="shared" si="334"/>
        <v>Mar</v>
      </c>
      <c r="P3205" s="921">
        <f t="shared" si="335"/>
        <v>10</v>
      </c>
    </row>
    <row r="3206" spans="1:16" ht="15" hidden="1" customHeight="1">
      <c r="A3206" s="839">
        <v>64341968</v>
      </c>
      <c r="B3206" s="839">
        <v>1352</v>
      </c>
      <c r="C3206" s="906">
        <v>5632</v>
      </c>
      <c r="D3206" s="907">
        <v>46081</v>
      </c>
      <c r="E3206" s="839" t="s">
        <v>322</v>
      </c>
      <c r="F3206" s="839" t="s">
        <v>261</v>
      </c>
      <c r="G3206" s="916">
        <f>VLOOKUP($A3206,'Tech Litons'!$A:$I,8,FALSE)</f>
        <v>8.5199999999999998E-3</v>
      </c>
      <c r="H3206" s="917">
        <f>VLOOKUP($A3206,'Tech Litons'!$A:$I,9,FALSE)</f>
        <v>176</v>
      </c>
      <c r="I3206" s="917" t="str">
        <f>VLOOKUP($A3206,'Tech Litons'!$A:$C,3,0)</f>
        <v>48oz</v>
      </c>
      <c r="J3206" s="918" t="str">
        <f t="shared" si="330"/>
        <v>135248oz</v>
      </c>
      <c r="K3206" s="919">
        <v>1</v>
      </c>
      <c r="L3206" s="920">
        <f t="shared" si="331"/>
        <v>5632</v>
      </c>
      <c r="M3206" s="920">
        <f t="shared" si="332"/>
        <v>47.984639999999999</v>
      </c>
      <c r="N3206" s="920">
        <f t="shared" si="333"/>
        <v>32</v>
      </c>
      <c r="O3206" s="918" t="str">
        <f t="shared" si="334"/>
        <v>Feb</v>
      </c>
      <c r="P3206" s="921">
        <f t="shared" si="335"/>
        <v>9</v>
      </c>
    </row>
    <row r="3207" spans="1:16" ht="15" hidden="1" customHeight="1">
      <c r="A3207" s="839">
        <v>64341968</v>
      </c>
      <c r="B3207" s="839">
        <v>1352</v>
      </c>
      <c r="C3207" s="906">
        <v>6158</v>
      </c>
      <c r="D3207" s="907">
        <v>46082</v>
      </c>
      <c r="E3207" s="839" t="s">
        <v>322</v>
      </c>
      <c r="F3207" s="839" t="s">
        <v>261</v>
      </c>
      <c r="G3207" s="916">
        <f>VLOOKUP($A3207,'Tech Litons'!$A:$I,8,FALSE)</f>
        <v>8.5199999999999998E-3</v>
      </c>
      <c r="H3207" s="917">
        <f>VLOOKUP($A3207,'Tech Litons'!$A:$I,9,FALSE)</f>
        <v>176</v>
      </c>
      <c r="I3207" s="917" t="str">
        <f>VLOOKUP($A3207,'Tech Litons'!$A:$C,3,0)</f>
        <v>48oz</v>
      </c>
      <c r="J3207" s="918" t="str">
        <f t="shared" si="330"/>
        <v>135248oz</v>
      </c>
      <c r="K3207" s="919">
        <v>1</v>
      </c>
      <c r="L3207" s="920">
        <f t="shared" si="331"/>
        <v>6158</v>
      </c>
      <c r="M3207" s="920">
        <f t="shared" si="332"/>
        <v>52.466160000000002</v>
      </c>
      <c r="N3207" s="920">
        <f t="shared" si="333"/>
        <v>34.988636363636367</v>
      </c>
      <c r="O3207" s="918" t="str">
        <f t="shared" si="334"/>
        <v>Mar</v>
      </c>
      <c r="P3207" s="921">
        <f t="shared" si="335"/>
        <v>10</v>
      </c>
    </row>
    <row r="3208" spans="1:16" ht="15" hidden="1" customHeight="1">
      <c r="A3208" s="839">
        <v>64341968</v>
      </c>
      <c r="B3208" s="839">
        <v>1352</v>
      </c>
      <c r="C3208" s="906">
        <v>176</v>
      </c>
      <c r="D3208" s="907">
        <v>46093</v>
      </c>
      <c r="E3208" s="839" t="s">
        <v>322</v>
      </c>
      <c r="F3208" s="839" t="s">
        <v>261</v>
      </c>
      <c r="G3208" s="916">
        <f>VLOOKUP($A3208,'Tech Litons'!$A:$I,8,FALSE)</f>
        <v>8.5199999999999998E-3</v>
      </c>
      <c r="H3208" s="917">
        <f>VLOOKUP($A3208,'Tech Litons'!$A:$I,9,FALSE)</f>
        <v>176</v>
      </c>
      <c r="I3208" s="917" t="str">
        <f>VLOOKUP($A3208,'Tech Litons'!$A:$C,3,0)</f>
        <v>48oz</v>
      </c>
      <c r="J3208" s="918" t="str">
        <f t="shared" si="330"/>
        <v>135248oz</v>
      </c>
      <c r="K3208" s="919">
        <v>1</v>
      </c>
      <c r="L3208" s="920">
        <f t="shared" si="331"/>
        <v>176</v>
      </c>
      <c r="M3208" s="920">
        <f t="shared" si="332"/>
        <v>1.49952</v>
      </c>
      <c r="N3208" s="920">
        <f t="shared" si="333"/>
        <v>1</v>
      </c>
      <c r="O3208" s="918" t="str">
        <f t="shared" si="334"/>
        <v>Mar</v>
      </c>
      <c r="P3208" s="921">
        <f t="shared" si="335"/>
        <v>11</v>
      </c>
    </row>
    <row r="3209" spans="1:16" ht="15" hidden="1" customHeight="1">
      <c r="A3209" s="839">
        <v>64341968</v>
      </c>
      <c r="B3209" s="839">
        <v>1352</v>
      </c>
      <c r="C3209" s="906">
        <v>4928</v>
      </c>
      <c r="D3209" s="907">
        <v>46082</v>
      </c>
      <c r="E3209" s="839" t="s">
        <v>322</v>
      </c>
      <c r="F3209" s="839" t="s">
        <v>261</v>
      </c>
      <c r="G3209" s="916">
        <f>VLOOKUP($A3209,'Tech Litons'!$A:$I,8,FALSE)</f>
        <v>8.5199999999999998E-3</v>
      </c>
      <c r="H3209" s="917">
        <f>VLOOKUP($A3209,'Tech Litons'!$A:$I,9,FALSE)</f>
        <v>176</v>
      </c>
      <c r="I3209" s="917" t="str">
        <f>VLOOKUP($A3209,'Tech Litons'!$A:$C,3,0)</f>
        <v>48oz</v>
      </c>
      <c r="J3209" s="918" t="str">
        <f t="shared" si="330"/>
        <v>135248oz</v>
      </c>
      <c r="K3209" s="919">
        <v>1</v>
      </c>
      <c r="L3209" s="920">
        <f t="shared" si="331"/>
        <v>4928</v>
      </c>
      <c r="M3209" s="920">
        <f t="shared" si="332"/>
        <v>41.986559999999997</v>
      </c>
      <c r="N3209" s="920">
        <f t="shared" si="333"/>
        <v>28</v>
      </c>
      <c r="O3209" s="918" t="str">
        <f t="shared" si="334"/>
        <v>Mar</v>
      </c>
      <c r="P3209" s="921">
        <f t="shared" si="335"/>
        <v>10</v>
      </c>
    </row>
    <row r="3210" spans="1:16" ht="15" hidden="1" customHeight="1">
      <c r="A3210" s="839">
        <v>64341968</v>
      </c>
      <c r="B3210" s="839">
        <v>1352</v>
      </c>
      <c r="C3210" s="906">
        <v>9046</v>
      </c>
      <c r="D3210" s="907">
        <v>46083</v>
      </c>
      <c r="E3210" s="839" t="s">
        <v>322</v>
      </c>
      <c r="F3210" s="839" t="s">
        <v>261</v>
      </c>
      <c r="G3210" s="916">
        <f>VLOOKUP($A3210,'Tech Litons'!$A:$I,8,FALSE)</f>
        <v>8.5199999999999998E-3</v>
      </c>
      <c r="H3210" s="917">
        <f>VLOOKUP($A3210,'Tech Litons'!$A:$I,9,FALSE)</f>
        <v>176</v>
      </c>
      <c r="I3210" s="917" t="str">
        <f>VLOOKUP($A3210,'Tech Litons'!$A:$C,3,0)</f>
        <v>48oz</v>
      </c>
      <c r="J3210" s="918" t="str">
        <f t="shared" si="330"/>
        <v>135248oz</v>
      </c>
      <c r="K3210" s="919">
        <v>1</v>
      </c>
      <c r="L3210" s="920">
        <f t="shared" si="331"/>
        <v>9046</v>
      </c>
      <c r="M3210" s="920">
        <f t="shared" si="332"/>
        <v>77.071919999999992</v>
      </c>
      <c r="N3210" s="920">
        <f t="shared" si="333"/>
        <v>51.397727272727273</v>
      </c>
      <c r="O3210" s="918" t="str">
        <f t="shared" si="334"/>
        <v>Mar</v>
      </c>
      <c r="P3210" s="921">
        <f t="shared" si="335"/>
        <v>10</v>
      </c>
    </row>
    <row r="3211" spans="1:16" ht="15" hidden="1" customHeight="1">
      <c r="A3211" s="839">
        <v>64341968</v>
      </c>
      <c r="B3211" s="839">
        <v>1352</v>
      </c>
      <c r="C3211" s="906">
        <v>154</v>
      </c>
      <c r="D3211" s="907">
        <v>46084</v>
      </c>
      <c r="E3211" s="839" t="s">
        <v>322</v>
      </c>
      <c r="F3211" s="839" t="s">
        <v>261</v>
      </c>
      <c r="G3211" s="916">
        <f>VLOOKUP($A3211,'Tech Litons'!$A:$I,8,FALSE)</f>
        <v>8.5199999999999998E-3</v>
      </c>
      <c r="H3211" s="917">
        <f>VLOOKUP($A3211,'Tech Litons'!$A:$I,9,FALSE)</f>
        <v>176</v>
      </c>
      <c r="I3211" s="917" t="str">
        <f>VLOOKUP($A3211,'Tech Litons'!$A:$C,3,0)</f>
        <v>48oz</v>
      </c>
      <c r="J3211" s="918" t="str">
        <f t="shared" si="330"/>
        <v>135248oz</v>
      </c>
      <c r="K3211" s="919">
        <v>1</v>
      </c>
      <c r="L3211" s="920">
        <f t="shared" si="331"/>
        <v>154</v>
      </c>
      <c r="M3211" s="920">
        <f t="shared" si="332"/>
        <v>1.3120799999999999</v>
      </c>
      <c r="N3211" s="920">
        <f t="shared" si="333"/>
        <v>0.875</v>
      </c>
      <c r="O3211" s="918" t="str">
        <f t="shared" si="334"/>
        <v>Mar</v>
      </c>
      <c r="P3211" s="921">
        <f t="shared" si="335"/>
        <v>10</v>
      </c>
    </row>
    <row r="3212" spans="1:16" ht="15" hidden="1" customHeight="1">
      <c r="A3212" s="839">
        <v>64341968</v>
      </c>
      <c r="B3212" s="839">
        <v>1352</v>
      </c>
      <c r="C3212" s="906">
        <v>3696</v>
      </c>
      <c r="D3212" s="907">
        <v>46083</v>
      </c>
      <c r="E3212" s="839" t="s">
        <v>322</v>
      </c>
      <c r="F3212" s="839" t="s">
        <v>261</v>
      </c>
      <c r="G3212" s="916">
        <f>VLOOKUP($A3212,'Tech Litons'!$A:$I,8,FALSE)</f>
        <v>8.5199999999999998E-3</v>
      </c>
      <c r="H3212" s="917">
        <f>VLOOKUP($A3212,'Tech Litons'!$A:$I,9,FALSE)</f>
        <v>176</v>
      </c>
      <c r="I3212" s="917" t="str">
        <f>VLOOKUP($A3212,'Tech Litons'!$A:$C,3,0)</f>
        <v>48oz</v>
      </c>
      <c r="J3212" s="918" t="str">
        <f t="shared" si="330"/>
        <v>135248oz</v>
      </c>
      <c r="K3212" s="919">
        <v>1</v>
      </c>
      <c r="L3212" s="920">
        <f t="shared" si="331"/>
        <v>3696</v>
      </c>
      <c r="M3212" s="920">
        <f t="shared" si="332"/>
        <v>31.489919999999998</v>
      </c>
      <c r="N3212" s="920">
        <f t="shared" si="333"/>
        <v>21</v>
      </c>
      <c r="O3212" s="918" t="str">
        <f t="shared" si="334"/>
        <v>Mar</v>
      </c>
      <c r="P3212" s="921">
        <f t="shared" si="335"/>
        <v>10</v>
      </c>
    </row>
    <row r="3213" spans="1:16" ht="15" hidden="1" customHeight="1">
      <c r="A3213" s="839">
        <v>64341968</v>
      </c>
      <c r="B3213" s="839">
        <v>1352</v>
      </c>
      <c r="C3213" s="906">
        <v>1701</v>
      </c>
      <c r="D3213" s="907">
        <v>46084</v>
      </c>
      <c r="E3213" s="839" t="s">
        <v>322</v>
      </c>
      <c r="F3213" s="839" t="s">
        <v>261</v>
      </c>
      <c r="G3213" s="916">
        <f>VLOOKUP($A3213,'Tech Litons'!$A:$I,8,FALSE)</f>
        <v>8.5199999999999998E-3</v>
      </c>
      <c r="H3213" s="917">
        <f>VLOOKUP($A3213,'Tech Litons'!$A:$I,9,FALSE)</f>
        <v>176</v>
      </c>
      <c r="I3213" s="917" t="str">
        <f>VLOOKUP($A3213,'Tech Litons'!$A:$C,3,0)</f>
        <v>48oz</v>
      </c>
      <c r="J3213" s="918" t="str">
        <f t="shared" si="330"/>
        <v>135248oz</v>
      </c>
      <c r="K3213" s="919">
        <v>1</v>
      </c>
      <c r="L3213" s="920">
        <f t="shared" si="331"/>
        <v>1701</v>
      </c>
      <c r="M3213" s="920">
        <f t="shared" si="332"/>
        <v>14.492519999999999</v>
      </c>
      <c r="N3213" s="920">
        <f t="shared" si="333"/>
        <v>9.6647727272727266</v>
      </c>
      <c r="O3213" s="918" t="str">
        <f t="shared" si="334"/>
        <v>Mar</v>
      </c>
      <c r="P3213" s="921">
        <f t="shared" si="335"/>
        <v>10</v>
      </c>
    </row>
    <row r="3214" spans="1:16" ht="15" hidden="1" customHeight="1">
      <c r="A3214" s="839">
        <v>64341968</v>
      </c>
      <c r="B3214" s="839">
        <v>1352</v>
      </c>
      <c r="C3214" s="906">
        <v>4928</v>
      </c>
      <c r="D3214" s="907">
        <v>46084</v>
      </c>
      <c r="E3214" s="839" t="s">
        <v>322</v>
      </c>
      <c r="F3214" s="839" t="s">
        <v>261</v>
      </c>
      <c r="G3214" s="916">
        <f>VLOOKUP($A3214,'Tech Litons'!$A:$I,8,FALSE)</f>
        <v>8.5199999999999998E-3</v>
      </c>
      <c r="H3214" s="917">
        <f>VLOOKUP($A3214,'Tech Litons'!$A:$I,9,FALSE)</f>
        <v>176</v>
      </c>
      <c r="I3214" s="917" t="str">
        <f>VLOOKUP($A3214,'Tech Litons'!$A:$C,3,0)</f>
        <v>48oz</v>
      </c>
      <c r="J3214" s="918" t="str">
        <f t="shared" si="330"/>
        <v>135248oz</v>
      </c>
      <c r="K3214" s="919">
        <v>1</v>
      </c>
      <c r="L3214" s="920">
        <f t="shared" si="331"/>
        <v>4928</v>
      </c>
      <c r="M3214" s="920">
        <f t="shared" si="332"/>
        <v>41.986559999999997</v>
      </c>
      <c r="N3214" s="920">
        <f t="shared" si="333"/>
        <v>28</v>
      </c>
      <c r="O3214" s="918" t="str">
        <f t="shared" si="334"/>
        <v>Mar</v>
      </c>
      <c r="P3214" s="921">
        <f t="shared" si="335"/>
        <v>10</v>
      </c>
    </row>
    <row r="3215" spans="1:16" ht="15" hidden="1" customHeight="1">
      <c r="A3215" s="839">
        <v>64341968</v>
      </c>
      <c r="B3215" s="839">
        <v>1352</v>
      </c>
      <c r="C3215" s="906">
        <v>7860</v>
      </c>
      <c r="D3215" s="907">
        <v>46085</v>
      </c>
      <c r="E3215" s="839" t="s">
        <v>322</v>
      </c>
      <c r="F3215" s="839" t="s">
        <v>261</v>
      </c>
      <c r="G3215" s="916">
        <f>VLOOKUP($A3215,'Tech Litons'!$A:$I,8,FALSE)</f>
        <v>8.5199999999999998E-3</v>
      </c>
      <c r="H3215" s="917">
        <f>VLOOKUP($A3215,'Tech Litons'!$A:$I,9,FALSE)</f>
        <v>176</v>
      </c>
      <c r="I3215" s="917" t="str">
        <f>VLOOKUP($A3215,'Tech Litons'!$A:$C,3,0)</f>
        <v>48oz</v>
      </c>
      <c r="J3215" s="918" t="str">
        <f t="shared" si="330"/>
        <v>135248oz</v>
      </c>
      <c r="K3215" s="919">
        <v>1</v>
      </c>
      <c r="L3215" s="920">
        <f t="shared" si="331"/>
        <v>7860</v>
      </c>
      <c r="M3215" s="920">
        <f t="shared" si="332"/>
        <v>66.967200000000005</v>
      </c>
      <c r="N3215" s="920">
        <f t="shared" si="333"/>
        <v>44.659090909090907</v>
      </c>
      <c r="O3215" s="918" t="str">
        <f t="shared" si="334"/>
        <v>Mar</v>
      </c>
      <c r="P3215" s="921">
        <f t="shared" si="335"/>
        <v>10</v>
      </c>
    </row>
    <row r="3216" spans="1:16" ht="15" hidden="1" customHeight="1">
      <c r="A3216" s="839">
        <v>64341968</v>
      </c>
      <c r="B3216" s="839">
        <v>1352</v>
      </c>
      <c r="C3216" s="906">
        <v>4224</v>
      </c>
      <c r="D3216" s="907">
        <v>46085</v>
      </c>
      <c r="E3216" s="839" t="s">
        <v>322</v>
      </c>
      <c r="F3216" s="839" t="s">
        <v>261</v>
      </c>
      <c r="G3216" s="916">
        <f>VLOOKUP($A3216,'Tech Litons'!$A:$I,8,FALSE)</f>
        <v>8.5199999999999998E-3</v>
      </c>
      <c r="H3216" s="917">
        <f>VLOOKUP($A3216,'Tech Litons'!$A:$I,9,FALSE)</f>
        <v>176</v>
      </c>
      <c r="I3216" s="917" t="str">
        <f>VLOOKUP($A3216,'Tech Litons'!$A:$C,3,0)</f>
        <v>48oz</v>
      </c>
      <c r="J3216" s="918" t="str">
        <f t="shared" si="330"/>
        <v>135248oz</v>
      </c>
      <c r="K3216" s="919">
        <v>1</v>
      </c>
      <c r="L3216" s="920">
        <f t="shared" si="331"/>
        <v>4224</v>
      </c>
      <c r="M3216" s="920">
        <f t="shared" si="332"/>
        <v>35.988479999999996</v>
      </c>
      <c r="N3216" s="920">
        <f t="shared" si="333"/>
        <v>24</v>
      </c>
      <c r="O3216" s="918" t="str">
        <f t="shared" si="334"/>
        <v>Mar</v>
      </c>
      <c r="P3216" s="921">
        <f t="shared" si="335"/>
        <v>10</v>
      </c>
    </row>
    <row r="3217" spans="1:16" ht="15" hidden="1" customHeight="1">
      <c r="A3217" s="839">
        <v>64341968</v>
      </c>
      <c r="B3217" s="839">
        <v>1352</v>
      </c>
      <c r="C3217" s="906">
        <v>9338</v>
      </c>
      <c r="D3217" s="907">
        <v>46086</v>
      </c>
      <c r="E3217" s="839" t="s">
        <v>322</v>
      </c>
      <c r="F3217" s="839" t="s">
        <v>261</v>
      </c>
      <c r="G3217" s="916">
        <f>VLOOKUP($A3217,'Tech Litons'!$A:$I,8,FALSE)</f>
        <v>8.5199999999999998E-3</v>
      </c>
      <c r="H3217" s="917">
        <f>VLOOKUP($A3217,'Tech Litons'!$A:$I,9,FALSE)</f>
        <v>176</v>
      </c>
      <c r="I3217" s="917" t="str">
        <f>VLOOKUP($A3217,'Tech Litons'!$A:$C,3,0)</f>
        <v>48oz</v>
      </c>
      <c r="J3217" s="918" t="str">
        <f t="shared" si="330"/>
        <v>135248oz</v>
      </c>
      <c r="K3217" s="919">
        <v>1</v>
      </c>
      <c r="L3217" s="920">
        <f t="shared" si="331"/>
        <v>9338</v>
      </c>
      <c r="M3217" s="920">
        <f t="shared" si="332"/>
        <v>79.559759999999997</v>
      </c>
      <c r="N3217" s="920">
        <f t="shared" si="333"/>
        <v>53.05681818181818</v>
      </c>
      <c r="O3217" s="918" t="str">
        <f t="shared" si="334"/>
        <v>Mar</v>
      </c>
      <c r="P3217" s="921">
        <f t="shared" si="335"/>
        <v>10</v>
      </c>
    </row>
    <row r="3218" spans="1:16" ht="15" hidden="1" customHeight="1">
      <c r="A3218" s="839">
        <v>64341968</v>
      </c>
      <c r="B3218" s="839">
        <v>1352</v>
      </c>
      <c r="C3218" s="906">
        <v>1523</v>
      </c>
      <c r="D3218" s="907">
        <v>46086</v>
      </c>
      <c r="E3218" s="839" t="s">
        <v>322</v>
      </c>
      <c r="F3218" s="839" t="s">
        <v>261</v>
      </c>
      <c r="G3218" s="916">
        <f>VLOOKUP($A3218,'Tech Litons'!$A:$I,8,FALSE)</f>
        <v>8.5199999999999998E-3</v>
      </c>
      <c r="H3218" s="917">
        <f>VLOOKUP($A3218,'Tech Litons'!$A:$I,9,FALSE)</f>
        <v>176</v>
      </c>
      <c r="I3218" s="917" t="str">
        <f>VLOOKUP($A3218,'Tech Litons'!$A:$C,3,0)</f>
        <v>48oz</v>
      </c>
      <c r="J3218" s="918" t="str">
        <f t="shared" si="330"/>
        <v>135248oz</v>
      </c>
      <c r="K3218" s="919">
        <v>1</v>
      </c>
      <c r="L3218" s="920">
        <f t="shared" si="331"/>
        <v>1523</v>
      </c>
      <c r="M3218" s="920">
        <f t="shared" si="332"/>
        <v>12.975959999999999</v>
      </c>
      <c r="N3218" s="920">
        <f t="shared" si="333"/>
        <v>8.6534090909090917</v>
      </c>
      <c r="O3218" s="918" t="str">
        <f t="shared" si="334"/>
        <v>Mar</v>
      </c>
      <c r="P3218" s="921">
        <f t="shared" si="335"/>
        <v>10</v>
      </c>
    </row>
    <row r="3219" spans="1:16" ht="15" hidden="1" customHeight="1">
      <c r="A3219" s="839">
        <v>64341968</v>
      </c>
      <c r="B3219" s="839">
        <v>1352</v>
      </c>
      <c r="C3219" s="906">
        <v>8487</v>
      </c>
      <c r="D3219" s="907">
        <v>46087</v>
      </c>
      <c r="E3219" s="839" t="s">
        <v>322</v>
      </c>
      <c r="F3219" s="839" t="s">
        <v>261</v>
      </c>
      <c r="G3219" s="916">
        <f>VLOOKUP($A3219,'Tech Litons'!$A:$I,8,FALSE)</f>
        <v>8.5199999999999998E-3</v>
      </c>
      <c r="H3219" s="917">
        <f>VLOOKUP($A3219,'Tech Litons'!$A:$I,9,FALSE)</f>
        <v>176</v>
      </c>
      <c r="I3219" s="917" t="str">
        <f>VLOOKUP($A3219,'Tech Litons'!$A:$C,3,0)</f>
        <v>48oz</v>
      </c>
      <c r="J3219" s="918" t="str">
        <f t="shared" si="330"/>
        <v>135248oz</v>
      </c>
      <c r="K3219" s="919">
        <v>1</v>
      </c>
      <c r="L3219" s="920">
        <f t="shared" si="331"/>
        <v>8487</v>
      </c>
      <c r="M3219" s="920">
        <f t="shared" si="332"/>
        <v>72.309240000000003</v>
      </c>
      <c r="N3219" s="920">
        <f t="shared" si="333"/>
        <v>48.221590909090907</v>
      </c>
      <c r="O3219" s="918" t="str">
        <f t="shared" si="334"/>
        <v>Mar</v>
      </c>
      <c r="P3219" s="921">
        <f t="shared" si="335"/>
        <v>10</v>
      </c>
    </row>
    <row r="3220" spans="1:16" ht="15" hidden="1" customHeight="1">
      <c r="A3220" s="839">
        <v>64341968</v>
      </c>
      <c r="B3220" s="839">
        <v>1352</v>
      </c>
      <c r="C3220" s="906">
        <v>0</v>
      </c>
      <c r="D3220" s="907">
        <v>46079</v>
      </c>
      <c r="E3220" s="839" t="s">
        <v>322</v>
      </c>
      <c r="F3220" s="839" t="s">
        <v>261</v>
      </c>
      <c r="G3220" s="916">
        <f>VLOOKUP($A3220,'Tech Litons'!$A:$I,8,FALSE)</f>
        <v>8.5199999999999998E-3</v>
      </c>
      <c r="H3220" s="917">
        <f>VLOOKUP($A3220,'Tech Litons'!$A:$I,9,FALSE)</f>
        <v>176</v>
      </c>
      <c r="I3220" s="917" t="str">
        <f>VLOOKUP($A3220,'Tech Litons'!$A:$C,3,0)</f>
        <v>48oz</v>
      </c>
      <c r="J3220" s="918" t="str">
        <f t="shared" si="330"/>
        <v>135248oz</v>
      </c>
      <c r="K3220" s="919">
        <v>1</v>
      </c>
      <c r="L3220" s="920">
        <f t="shared" si="331"/>
        <v>0</v>
      </c>
      <c r="M3220" s="920">
        <f t="shared" si="332"/>
        <v>0</v>
      </c>
      <c r="N3220" s="920">
        <f t="shared" si="333"/>
        <v>0</v>
      </c>
      <c r="O3220" s="918" t="str">
        <f t="shared" si="334"/>
        <v>Feb</v>
      </c>
      <c r="P3220" s="921">
        <f t="shared" si="335"/>
        <v>9</v>
      </c>
    </row>
    <row r="3221" spans="1:16" ht="15" hidden="1" customHeight="1">
      <c r="A3221" s="839">
        <v>64341968</v>
      </c>
      <c r="B3221" s="839">
        <v>1352</v>
      </c>
      <c r="C3221" s="906">
        <v>1185</v>
      </c>
      <c r="D3221" s="907">
        <v>46096</v>
      </c>
      <c r="E3221" s="839" t="s">
        <v>322</v>
      </c>
      <c r="F3221" s="839" t="s">
        <v>261</v>
      </c>
      <c r="G3221" s="916">
        <f>VLOOKUP($A3221,'Tech Litons'!$A:$I,8,FALSE)</f>
        <v>8.5199999999999998E-3</v>
      </c>
      <c r="H3221" s="917">
        <f>VLOOKUP($A3221,'Tech Litons'!$A:$I,9,FALSE)</f>
        <v>176</v>
      </c>
      <c r="I3221" s="917" t="str">
        <f>VLOOKUP($A3221,'Tech Litons'!$A:$C,3,0)</f>
        <v>48oz</v>
      </c>
      <c r="J3221" s="918" t="str">
        <f t="shared" si="330"/>
        <v>135248oz</v>
      </c>
      <c r="K3221" s="919">
        <v>1</v>
      </c>
      <c r="L3221" s="920">
        <f t="shared" si="331"/>
        <v>1185</v>
      </c>
      <c r="M3221" s="920">
        <f t="shared" si="332"/>
        <v>10.0962</v>
      </c>
      <c r="N3221" s="920">
        <f t="shared" si="333"/>
        <v>6.7329545454545459</v>
      </c>
      <c r="O3221" s="918" t="str">
        <f t="shared" si="334"/>
        <v>Mar</v>
      </c>
      <c r="P3221" s="921">
        <f t="shared" si="335"/>
        <v>12</v>
      </c>
    </row>
    <row r="3222" spans="1:16" ht="15" hidden="1" customHeight="1">
      <c r="A3222" s="839">
        <v>64341968</v>
      </c>
      <c r="B3222" s="839">
        <v>1352</v>
      </c>
      <c r="C3222" s="906">
        <v>4375</v>
      </c>
      <c r="D3222" s="907">
        <v>46096</v>
      </c>
      <c r="E3222" s="839" t="s">
        <v>322</v>
      </c>
      <c r="F3222" s="839" t="s">
        <v>261</v>
      </c>
      <c r="G3222" s="916">
        <f>VLOOKUP($A3222,'Tech Litons'!$A:$I,8,FALSE)</f>
        <v>8.5199999999999998E-3</v>
      </c>
      <c r="H3222" s="917">
        <f>VLOOKUP($A3222,'Tech Litons'!$A:$I,9,FALSE)</f>
        <v>176</v>
      </c>
      <c r="I3222" s="917" t="str">
        <f>VLOOKUP($A3222,'Tech Litons'!$A:$C,3,0)</f>
        <v>48oz</v>
      </c>
      <c r="J3222" s="918" t="str">
        <f t="shared" si="330"/>
        <v>135248oz</v>
      </c>
      <c r="K3222" s="919">
        <v>1</v>
      </c>
      <c r="L3222" s="920">
        <f t="shared" si="331"/>
        <v>4375</v>
      </c>
      <c r="M3222" s="920">
        <f t="shared" si="332"/>
        <v>37.274999999999999</v>
      </c>
      <c r="N3222" s="920">
        <f t="shared" si="333"/>
        <v>24.857954545454547</v>
      </c>
      <c r="O3222" s="918" t="str">
        <f t="shared" si="334"/>
        <v>Mar</v>
      </c>
      <c r="P3222" s="921">
        <f t="shared" si="335"/>
        <v>12</v>
      </c>
    </row>
    <row r="3223" spans="1:16" ht="15" hidden="1" customHeight="1">
      <c r="A3223" s="839">
        <v>64341968</v>
      </c>
      <c r="B3223" s="839">
        <v>1352</v>
      </c>
      <c r="C3223" s="906">
        <v>4160</v>
      </c>
      <c r="D3223" s="907">
        <v>46097</v>
      </c>
      <c r="E3223" s="839" t="s">
        <v>322</v>
      </c>
      <c r="F3223" s="839" t="s">
        <v>261</v>
      </c>
      <c r="G3223" s="916">
        <f>VLOOKUP($A3223,'Tech Litons'!$A:$I,8,FALSE)</f>
        <v>8.5199999999999998E-3</v>
      </c>
      <c r="H3223" s="917">
        <f>VLOOKUP($A3223,'Tech Litons'!$A:$I,9,FALSE)</f>
        <v>176</v>
      </c>
      <c r="I3223" s="917" t="str">
        <f>VLOOKUP($A3223,'Tech Litons'!$A:$C,3,0)</f>
        <v>48oz</v>
      </c>
      <c r="J3223" s="918" t="str">
        <f t="shared" si="330"/>
        <v>135248oz</v>
      </c>
      <c r="K3223" s="919">
        <v>1</v>
      </c>
      <c r="L3223" s="920">
        <f t="shared" si="331"/>
        <v>4160</v>
      </c>
      <c r="M3223" s="920">
        <f t="shared" si="332"/>
        <v>35.443199999999997</v>
      </c>
      <c r="N3223" s="920">
        <f t="shared" si="333"/>
        <v>23.636363636363637</v>
      </c>
      <c r="O3223" s="918" t="str">
        <f t="shared" si="334"/>
        <v>Mar</v>
      </c>
      <c r="P3223" s="921">
        <f t="shared" si="335"/>
        <v>12</v>
      </c>
    </row>
    <row r="3224" spans="1:16" ht="15" hidden="1" customHeight="1">
      <c r="A3224" s="839">
        <v>64341968</v>
      </c>
      <c r="B3224" s="839">
        <v>1352</v>
      </c>
      <c r="C3224" s="906">
        <v>3872</v>
      </c>
      <c r="D3224" s="907">
        <v>46097</v>
      </c>
      <c r="E3224" s="839" t="s">
        <v>322</v>
      </c>
      <c r="F3224" s="839" t="s">
        <v>261</v>
      </c>
      <c r="G3224" s="916">
        <f>VLOOKUP($A3224,'Tech Litons'!$A:$I,8,FALSE)</f>
        <v>8.5199999999999998E-3</v>
      </c>
      <c r="H3224" s="917">
        <f>VLOOKUP($A3224,'Tech Litons'!$A:$I,9,FALSE)</f>
        <v>176</v>
      </c>
      <c r="I3224" s="917" t="str">
        <f>VLOOKUP($A3224,'Tech Litons'!$A:$C,3,0)</f>
        <v>48oz</v>
      </c>
      <c r="J3224" s="918" t="str">
        <f t="shared" si="330"/>
        <v>135248oz</v>
      </c>
      <c r="K3224" s="919">
        <v>1</v>
      </c>
      <c r="L3224" s="920">
        <f t="shared" si="331"/>
        <v>3872</v>
      </c>
      <c r="M3224" s="920">
        <f t="shared" si="332"/>
        <v>32.989440000000002</v>
      </c>
      <c r="N3224" s="920">
        <f t="shared" si="333"/>
        <v>22</v>
      </c>
      <c r="O3224" s="918" t="str">
        <f t="shared" si="334"/>
        <v>Mar</v>
      </c>
      <c r="P3224" s="921">
        <f t="shared" si="335"/>
        <v>12</v>
      </c>
    </row>
    <row r="3225" spans="1:16" ht="15" hidden="1" customHeight="1">
      <c r="A3225" s="839">
        <v>64341968</v>
      </c>
      <c r="B3225" s="839">
        <v>1352</v>
      </c>
      <c r="C3225" s="906">
        <v>8294</v>
      </c>
      <c r="D3225" s="907">
        <v>46098</v>
      </c>
      <c r="E3225" s="839" t="s">
        <v>322</v>
      </c>
      <c r="F3225" s="839" t="s">
        <v>261</v>
      </c>
      <c r="G3225" s="916">
        <f>VLOOKUP($A3225,'Tech Litons'!$A:$I,8,FALSE)</f>
        <v>8.5199999999999998E-3</v>
      </c>
      <c r="H3225" s="917">
        <f>VLOOKUP($A3225,'Tech Litons'!$A:$I,9,FALSE)</f>
        <v>176</v>
      </c>
      <c r="I3225" s="917" t="str">
        <f>VLOOKUP($A3225,'Tech Litons'!$A:$C,3,0)</f>
        <v>48oz</v>
      </c>
      <c r="J3225" s="918" t="str">
        <f t="shared" si="330"/>
        <v>135248oz</v>
      </c>
      <c r="K3225" s="919">
        <v>1</v>
      </c>
      <c r="L3225" s="920">
        <f t="shared" si="331"/>
        <v>8294</v>
      </c>
      <c r="M3225" s="920">
        <f t="shared" si="332"/>
        <v>70.664879999999997</v>
      </c>
      <c r="N3225" s="920">
        <f t="shared" si="333"/>
        <v>47.125</v>
      </c>
      <c r="O3225" s="918" t="str">
        <f t="shared" si="334"/>
        <v>Mar</v>
      </c>
      <c r="P3225" s="921">
        <f t="shared" si="335"/>
        <v>12</v>
      </c>
    </row>
    <row r="3226" spans="1:16" ht="15" hidden="1" customHeight="1">
      <c r="A3226" s="839">
        <v>64341968</v>
      </c>
      <c r="B3226" s="839">
        <v>1352</v>
      </c>
      <c r="C3226" s="906">
        <v>5280</v>
      </c>
      <c r="D3226" s="907">
        <v>46098</v>
      </c>
      <c r="E3226" s="839" t="s">
        <v>322</v>
      </c>
      <c r="F3226" s="839" t="s">
        <v>261</v>
      </c>
      <c r="G3226" s="916">
        <f>VLOOKUP($A3226,'Tech Litons'!$A:$I,8,FALSE)</f>
        <v>8.5199999999999998E-3</v>
      </c>
      <c r="H3226" s="917">
        <f>VLOOKUP($A3226,'Tech Litons'!$A:$I,9,FALSE)</f>
        <v>176</v>
      </c>
      <c r="I3226" s="917" t="str">
        <f>VLOOKUP($A3226,'Tech Litons'!$A:$C,3,0)</f>
        <v>48oz</v>
      </c>
      <c r="J3226" s="918" t="str">
        <f t="shared" si="330"/>
        <v>135248oz</v>
      </c>
      <c r="K3226" s="919">
        <v>1</v>
      </c>
      <c r="L3226" s="920">
        <f t="shared" si="331"/>
        <v>5280</v>
      </c>
      <c r="M3226" s="920">
        <f t="shared" si="332"/>
        <v>44.985599999999998</v>
      </c>
      <c r="N3226" s="920">
        <f t="shared" si="333"/>
        <v>30</v>
      </c>
      <c r="O3226" s="918" t="str">
        <f t="shared" si="334"/>
        <v>Mar</v>
      </c>
      <c r="P3226" s="921">
        <f t="shared" si="335"/>
        <v>12</v>
      </c>
    </row>
    <row r="3227" spans="1:16" ht="15" hidden="1" customHeight="1">
      <c r="A3227" s="839">
        <v>64341968</v>
      </c>
      <c r="B3227" s="839">
        <v>1352</v>
      </c>
      <c r="C3227" s="906">
        <v>6211</v>
      </c>
      <c r="D3227" s="907">
        <v>46099</v>
      </c>
      <c r="E3227" s="839" t="s">
        <v>322</v>
      </c>
      <c r="F3227" s="839" t="s">
        <v>261</v>
      </c>
      <c r="G3227" s="916">
        <f>VLOOKUP($A3227,'Tech Litons'!$A:$I,8,FALSE)</f>
        <v>8.5199999999999998E-3</v>
      </c>
      <c r="H3227" s="917">
        <f>VLOOKUP($A3227,'Tech Litons'!$A:$I,9,FALSE)</f>
        <v>176</v>
      </c>
      <c r="I3227" s="917" t="str">
        <f>VLOOKUP($A3227,'Tech Litons'!$A:$C,3,0)</f>
        <v>48oz</v>
      </c>
      <c r="J3227" s="918" t="str">
        <f t="shared" si="330"/>
        <v>135248oz</v>
      </c>
      <c r="K3227" s="919">
        <v>1</v>
      </c>
      <c r="L3227" s="920">
        <f t="shared" si="331"/>
        <v>6211</v>
      </c>
      <c r="M3227" s="920">
        <f t="shared" si="332"/>
        <v>52.917719999999996</v>
      </c>
      <c r="N3227" s="920">
        <f t="shared" si="333"/>
        <v>35.289772727272727</v>
      </c>
      <c r="O3227" s="918" t="str">
        <f t="shared" si="334"/>
        <v>Mar</v>
      </c>
      <c r="P3227" s="921">
        <f t="shared" si="335"/>
        <v>12</v>
      </c>
    </row>
    <row r="3228" spans="1:16" ht="15" hidden="1" customHeight="1">
      <c r="A3228" s="839">
        <v>64341968</v>
      </c>
      <c r="B3228" s="839">
        <v>1352</v>
      </c>
      <c r="C3228" s="906">
        <v>4707</v>
      </c>
      <c r="D3228" s="907">
        <v>46099</v>
      </c>
      <c r="E3228" s="839" t="s">
        <v>322</v>
      </c>
      <c r="F3228" s="839" t="s">
        <v>261</v>
      </c>
      <c r="G3228" s="916">
        <f>VLOOKUP($A3228,'Tech Litons'!$A:$I,8,FALSE)</f>
        <v>8.5199999999999998E-3</v>
      </c>
      <c r="H3228" s="917">
        <f>VLOOKUP($A3228,'Tech Litons'!$A:$I,9,FALSE)</f>
        <v>176</v>
      </c>
      <c r="I3228" s="917" t="str">
        <f>VLOOKUP($A3228,'Tech Litons'!$A:$C,3,0)</f>
        <v>48oz</v>
      </c>
      <c r="J3228" s="918" t="str">
        <f t="shared" si="330"/>
        <v>135248oz</v>
      </c>
      <c r="K3228" s="919">
        <v>1</v>
      </c>
      <c r="L3228" s="920">
        <f t="shared" si="331"/>
        <v>4707</v>
      </c>
      <c r="M3228" s="920">
        <f t="shared" si="332"/>
        <v>40.103639999999999</v>
      </c>
      <c r="N3228" s="920">
        <f t="shared" si="333"/>
        <v>26.744318181818183</v>
      </c>
      <c r="O3228" s="918" t="str">
        <f t="shared" si="334"/>
        <v>Mar</v>
      </c>
      <c r="P3228" s="921">
        <f t="shared" si="335"/>
        <v>12</v>
      </c>
    </row>
    <row r="3229" spans="1:16" ht="15" hidden="1" customHeight="1">
      <c r="A3229" s="839">
        <v>64341968</v>
      </c>
      <c r="B3229" s="839">
        <v>1352</v>
      </c>
      <c r="C3229" s="906">
        <v>6151</v>
      </c>
      <c r="D3229" s="907">
        <v>46100</v>
      </c>
      <c r="E3229" s="839" t="s">
        <v>322</v>
      </c>
      <c r="F3229" s="839" t="s">
        <v>261</v>
      </c>
      <c r="G3229" s="916">
        <f>VLOOKUP($A3229,'Tech Litons'!$A:$I,8,FALSE)</f>
        <v>8.5199999999999998E-3</v>
      </c>
      <c r="H3229" s="917">
        <f>VLOOKUP($A3229,'Tech Litons'!$A:$I,9,FALSE)</f>
        <v>176</v>
      </c>
      <c r="I3229" s="917" t="str">
        <f>VLOOKUP($A3229,'Tech Litons'!$A:$C,3,0)</f>
        <v>48oz</v>
      </c>
      <c r="J3229" s="918" t="str">
        <f t="shared" si="330"/>
        <v>135248oz</v>
      </c>
      <c r="K3229" s="919">
        <v>1</v>
      </c>
      <c r="L3229" s="920">
        <f t="shared" si="331"/>
        <v>6151</v>
      </c>
      <c r="M3229" s="920">
        <f t="shared" si="332"/>
        <v>52.40652</v>
      </c>
      <c r="N3229" s="920">
        <f t="shared" si="333"/>
        <v>34.948863636363633</v>
      </c>
      <c r="O3229" s="918" t="str">
        <f t="shared" si="334"/>
        <v>Mar</v>
      </c>
      <c r="P3229" s="921">
        <f t="shared" si="335"/>
        <v>12</v>
      </c>
    </row>
    <row r="3230" spans="1:16" ht="15" hidden="1" customHeight="1">
      <c r="A3230" s="839">
        <v>64341968</v>
      </c>
      <c r="B3230" s="839">
        <v>1352</v>
      </c>
      <c r="C3230" s="906">
        <v>4072</v>
      </c>
      <c r="D3230" s="907">
        <v>46101</v>
      </c>
      <c r="E3230" s="839" t="s">
        <v>322</v>
      </c>
      <c r="F3230" s="839" t="s">
        <v>261</v>
      </c>
      <c r="G3230" s="916">
        <f>VLOOKUP($A3230,'Tech Litons'!$A:$I,8,FALSE)</f>
        <v>8.5199999999999998E-3</v>
      </c>
      <c r="H3230" s="917">
        <f>VLOOKUP($A3230,'Tech Litons'!$A:$I,9,FALSE)</f>
        <v>176</v>
      </c>
      <c r="I3230" s="917" t="str">
        <f>VLOOKUP($A3230,'Tech Litons'!$A:$C,3,0)</f>
        <v>48oz</v>
      </c>
      <c r="J3230" s="918" t="str">
        <f t="shared" si="330"/>
        <v>135248oz</v>
      </c>
      <c r="K3230" s="919">
        <v>1</v>
      </c>
      <c r="L3230" s="920">
        <f t="shared" si="331"/>
        <v>4072</v>
      </c>
      <c r="M3230" s="920">
        <f t="shared" si="332"/>
        <v>34.693440000000002</v>
      </c>
      <c r="N3230" s="920">
        <f t="shared" si="333"/>
        <v>23.136363636363637</v>
      </c>
      <c r="O3230" s="918" t="str">
        <f t="shared" si="334"/>
        <v>Mar</v>
      </c>
      <c r="P3230" s="921">
        <f t="shared" si="335"/>
        <v>12</v>
      </c>
    </row>
    <row r="3231" spans="1:16" ht="15" hidden="1" customHeight="1">
      <c r="A3231" s="839">
        <v>64341968</v>
      </c>
      <c r="B3231" s="839">
        <v>1352</v>
      </c>
      <c r="C3231" s="906">
        <v>1149</v>
      </c>
      <c r="D3231" s="907">
        <v>46101</v>
      </c>
      <c r="E3231" s="839" t="s">
        <v>322</v>
      </c>
      <c r="F3231" s="839" t="s">
        <v>261</v>
      </c>
      <c r="G3231" s="916">
        <f>VLOOKUP($A3231,'Tech Litons'!$A:$I,8,FALSE)</f>
        <v>8.5199999999999998E-3</v>
      </c>
      <c r="H3231" s="917">
        <f>VLOOKUP($A3231,'Tech Litons'!$A:$I,9,FALSE)</f>
        <v>176</v>
      </c>
      <c r="I3231" s="917" t="str">
        <f>VLOOKUP($A3231,'Tech Litons'!$A:$C,3,0)</f>
        <v>48oz</v>
      </c>
      <c r="J3231" s="918" t="str">
        <f t="shared" si="330"/>
        <v>135248oz</v>
      </c>
      <c r="K3231" s="919">
        <v>1</v>
      </c>
      <c r="L3231" s="920">
        <f t="shared" si="331"/>
        <v>1149</v>
      </c>
      <c r="M3231" s="920">
        <f t="shared" si="332"/>
        <v>9.7894799999999993</v>
      </c>
      <c r="N3231" s="920">
        <f t="shared" si="333"/>
        <v>6.5284090909090908</v>
      </c>
      <c r="O3231" s="918" t="str">
        <f t="shared" si="334"/>
        <v>Mar</v>
      </c>
      <c r="P3231" s="921">
        <f t="shared" si="335"/>
        <v>12</v>
      </c>
    </row>
    <row r="3232" spans="1:16" ht="15" hidden="1" customHeight="1">
      <c r="A3232" s="839">
        <v>64399865</v>
      </c>
      <c r="B3232" s="839">
        <v>1352</v>
      </c>
      <c r="C3232" s="906">
        <v>1690</v>
      </c>
      <c r="D3232" s="907">
        <v>46097</v>
      </c>
      <c r="E3232" s="839" t="s">
        <v>456</v>
      </c>
      <c r="F3232" s="839" t="s">
        <v>289</v>
      </c>
      <c r="G3232" s="916">
        <f>VLOOKUP($A3232,'Tech Litons'!$A:$I,8,FALSE)</f>
        <v>4.2560000000000002E-3</v>
      </c>
      <c r="H3232" s="917">
        <f>VLOOKUP($A3232,'Tech Litons'!$A:$I,9,FALSE)</f>
        <v>154</v>
      </c>
      <c r="I3232" s="917" t="str">
        <f>VLOOKUP($A3232,'Tech Litons'!$A:$C,3,0)</f>
        <v>MBG</v>
      </c>
      <c r="J3232" s="918" t="str">
        <f t="shared" si="330"/>
        <v>1352MBG</v>
      </c>
      <c r="K3232" s="919">
        <v>1</v>
      </c>
      <c r="L3232" s="920">
        <f t="shared" si="331"/>
        <v>1690</v>
      </c>
      <c r="M3232" s="920">
        <f t="shared" si="332"/>
        <v>7.1926400000000008</v>
      </c>
      <c r="N3232" s="920">
        <f t="shared" si="333"/>
        <v>10.974025974025974</v>
      </c>
      <c r="O3232" s="918" t="str">
        <f t="shared" si="334"/>
        <v>Mar</v>
      </c>
      <c r="P3232" s="921">
        <f t="shared" si="335"/>
        <v>12</v>
      </c>
    </row>
    <row r="3233" spans="1:16" ht="15" hidden="1" customHeight="1">
      <c r="A3233" s="839">
        <v>64399865</v>
      </c>
      <c r="B3233" s="839">
        <v>1352</v>
      </c>
      <c r="C3233" s="906">
        <v>2091</v>
      </c>
      <c r="D3233" s="907">
        <v>46098</v>
      </c>
      <c r="E3233" s="839" t="s">
        <v>456</v>
      </c>
      <c r="F3233" s="839" t="s">
        <v>289</v>
      </c>
      <c r="G3233" s="916">
        <f>VLOOKUP($A3233,'Tech Litons'!$A:$I,8,FALSE)</f>
        <v>4.2560000000000002E-3</v>
      </c>
      <c r="H3233" s="917">
        <f>VLOOKUP($A3233,'Tech Litons'!$A:$I,9,FALSE)</f>
        <v>154</v>
      </c>
      <c r="I3233" s="917" t="str">
        <f>VLOOKUP($A3233,'Tech Litons'!$A:$C,3,0)</f>
        <v>MBG</v>
      </c>
      <c r="J3233" s="918" t="str">
        <f t="shared" si="330"/>
        <v>1352MBG</v>
      </c>
      <c r="K3233" s="919">
        <v>1</v>
      </c>
      <c r="L3233" s="920">
        <f t="shared" si="331"/>
        <v>2091</v>
      </c>
      <c r="M3233" s="920">
        <f t="shared" si="332"/>
        <v>8.8992959999999997</v>
      </c>
      <c r="N3233" s="920">
        <f t="shared" si="333"/>
        <v>13.577922077922079</v>
      </c>
      <c r="O3233" s="918" t="str">
        <f t="shared" si="334"/>
        <v>Mar</v>
      </c>
      <c r="P3233" s="921">
        <f t="shared" si="335"/>
        <v>12</v>
      </c>
    </row>
    <row r="3234" spans="1:16" ht="15" hidden="1" customHeight="1">
      <c r="A3234" s="839">
        <v>64399865</v>
      </c>
      <c r="B3234" s="839">
        <v>1352</v>
      </c>
      <c r="C3234" s="906">
        <v>1848</v>
      </c>
      <c r="D3234" s="907">
        <v>46098</v>
      </c>
      <c r="E3234" s="839" t="s">
        <v>456</v>
      </c>
      <c r="F3234" s="839" t="s">
        <v>289</v>
      </c>
      <c r="G3234" s="916">
        <f>VLOOKUP($A3234,'Tech Litons'!$A:$I,8,FALSE)</f>
        <v>4.2560000000000002E-3</v>
      </c>
      <c r="H3234" s="917">
        <f>VLOOKUP($A3234,'Tech Litons'!$A:$I,9,FALSE)</f>
        <v>154</v>
      </c>
      <c r="I3234" s="917" t="str">
        <f>VLOOKUP($A3234,'Tech Litons'!$A:$C,3,0)</f>
        <v>MBG</v>
      </c>
      <c r="J3234" s="918" t="str">
        <f t="shared" si="330"/>
        <v>1352MBG</v>
      </c>
      <c r="K3234" s="919">
        <v>1</v>
      </c>
      <c r="L3234" s="920">
        <f t="shared" si="331"/>
        <v>1848</v>
      </c>
      <c r="M3234" s="920">
        <f t="shared" si="332"/>
        <v>7.8650880000000001</v>
      </c>
      <c r="N3234" s="920">
        <f t="shared" si="333"/>
        <v>12</v>
      </c>
      <c r="O3234" s="918" t="str">
        <f t="shared" si="334"/>
        <v>Mar</v>
      </c>
      <c r="P3234" s="921">
        <f t="shared" si="335"/>
        <v>12</v>
      </c>
    </row>
    <row r="3235" spans="1:16" ht="15" hidden="1" customHeight="1">
      <c r="A3235" s="839">
        <v>64399865</v>
      </c>
      <c r="B3235" s="839">
        <v>1352</v>
      </c>
      <c r="C3235" s="906">
        <v>1687</v>
      </c>
      <c r="D3235" s="907">
        <v>46099</v>
      </c>
      <c r="E3235" s="839" t="s">
        <v>456</v>
      </c>
      <c r="F3235" s="839" t="s">
        <v>289</v>
      </c>
      <c r="G3235" s="916">
        <f>VLOOKUP($A3235,'Tech Litons'!$A:$I,8,FALSE)</f>
        <v>4.2560000000000002E-3</v>
      </c>
      <c r="H3235" s="917">
        <f>VLOOKUP($A3235,'Tech Litons'!$A:$I,9,FALSE)</f>
        <v>154</v>
      </c>
      <c r="I3235" s="917" t="str">
        <f>VLOOKUP($A3235,'Tech Litons'!$A:$C,3,0)</f>
        <v>MBG</v>
      </c>
      <c r="J3235" s="918" t="str">
        <f t="shared" si="330"/>
        <v>1352MBG</v>
      </c>
      <c r="K3235" s="919">
        <v>1</v>
      </c>
      <c r="L3235" s="920">
        <f t="shared" si="331"/>
        <v>1687</v>
      </c>
      <c r="M3235" s="920">
        <f t="shared" si="332"/>
        <v>7.1798720000000005</v>
      </c>
      <c r="N3235" s="920">
        <f t="shared" si="333"/>
        <v>10.954545454545455</v>
      </c>
      <c r="O3235" s="918" t="str">
        <f t="shared" si="334"/>
        <v>Mar</v>
      </c>
      <c r="P3235" s="921">
        <f t="shared" si="335"/>
        <v>12</v>
      </c>
    </row>
    <row r="3236" spans="1:16" ht="15" hidden="1" customHeight="1">
      <c r="A3236" s="839">
        <v>64399865</v>
      </c>
      <c r="B3236" s="839">
        <v>1352</v>
      </c>
      <c r="C3236" s="906">
        <v>1692</v>
      </c>
      <c r="D3236" s="907">
        <v>46099</v>
      </c>
      <c r="E3236" s="839" t="s">
        <v>456</v>
      </c>
      <c r="F3236" s="839" t="s">
        <v>289</v>
      </c>
      <c r="G3236" s="916">
        <f>VLOOKUP($A3236,'Tech Litons'!$A:$I,8,FALSE)</f>
        <v>4.2560000000000002E-3</v>
      </c>
      <c r="H3236" s="917">
        <f>VLOOKUP($A3236,'Tech Litons'!$A:$I,9,FALSE)</f>
        <v>154</v>
      </c>
      <c r="I3236" s="917" t="str">
        <f>VLOOKUP($A3236,'Tech Litons'!$A:$C,3,0)</f>
        <v>MBG</v>
      </c>
      <c r="J3236" s="918" t="str">
        <f t="shared" si="330"/>
        <v>1352MBG</v>
      </c>
      <c r="K3236" s="919">
        <v>1</v>
      </c>
      <c r="L3236" s="920">
        <f t="shared" si="331"/>
        <v>1692</v>
      </c>
      <c r="M3236" s="920">
        <f t="shared" si="332"/>
        <v>7.2011520000000004</v>
      </c>
      <c r="N3236" s="920">
        <f t="shared" si="333"/>
        <v>10.987012987012987</v>
      </c>
      <c r="O3236" s="918" t="str">
        <f t="shared" si="334"/>
        <v>Mar</v>
      </c>
      <c r="P3236" s="921">
        <f t="shared" si="335"/>
        <v>12</v>
      </c>
    </row>
    <row r="3237" spans="1:16" ht="15" hidden="1" customHeight="1">
      <c r="A3237" s="839">
        <v>64399865</v>
      </c>
      <c r="B3237" s="839">
        <v>1352</v>
      </c>
      <c r="C3237" s="906">
        <v>2464</v>
      </c>
      <c r="D3237" s="907">
        <v>46100</v>
      </c>
      <c r="E3237" s="839" t="s">
        <v>456</v>
      </c>
      <c r="F3237" s="839" t="s">
        <v>289</v>
      </c>
      <c r="G3237" s="916">
        <f>VLOOKUP($A3237,'Tech Litons'!$A:$I,8,FALSE)</f>
        <v>4.2560000000000002E-3</v>
      </c>
      <c r="H3237" s="917">
        <f>VLOOKUP($A3237,'Tech Litons'!$A:$I,9,FALSE)</f>
        <v>154</v>
      </c>
      <c r="I3237" s="917" t="str">
        <f>VLOOKUP($A3237,'Tech Litons'!$A:$C,3,0)</f>
        <v>MBG</v>
      </c>
      <c r="J3237" s="918" t="str">
        <f t="shared" si="330"/>
        <v>1352MBG</v>
      </c>
      <c r="K3237" s="919">
        <v>1</v>
      </c>
      <c r="L3237" s="920">
        <f t="shared" si="331"/>
        <v>2464</v>
      </c>
      <c r="M3237" s="920">
        <f t="shared" si="332"/>
        <v>10.486784</v>
      </c>
      <c r="N3237" s="920">
        <f t="shared" si="333"/>
        <v>16</v>
      </c>
      <c r="O3237" s="918" t="str">
        <f t="shared" si="334"/>
        <v>Mar</v>
      </c>
      <c r="P3237" s="921">
        <f t="shared" si="335"/>
        <v>12</v>
      </c>
    </row>
    <row r="3238" spans="1:16" ht="15" hidden="1" customHeight="1">
      <c r="A3238" s="839">
        <v>64399865</v>
      </c>
      <c r="B3238" s="839">
        <v>1352</v>
      </c>
      <c r="C3238" s="906">
        <v>2152</v>
      </c>
      <c r="D3238" s="907">
        <v>46100</v>
      </c>
      <c r="E3238" s="839" t="s">
        <v>456</v>
      </c>
      <c r="F3238" s="839" t="s">
        <v>289</v>
      </c>
      <c r="G3238" s="916">
        <f>VLOOKUP($A3238,'Tech Litons'!$A:$I,8,FALSE)</f>
        <v>4.2560000000000002E-3</v>
      </c>
      <c r="H3238" s="917">
        <f>VLOOKUP($A3238,'Tech Litons'!$A:$I,9,FALSE)</f>
        <v>154</v>
      </c>
      <c r="I3238" s="917" t="str">
        <f>VLOOKUP($A3238,'Tech Litons'!$A:$C,3,0)</f>
        <v>MBG</v>
      </c>
      <c r="J3238" s="918" t="str">
        <f t="shared" si="330"/>
        <v>1352MBG</v>
      </c>
      <c r="K3238" s="919">
        <v>1</v>
      </c>
      <c r="L3238" s="920">
        <f t="shared" si="331"/>
        <v>2152</v>
      </c>
      <c r="M3238" s="920">
        <f t="shared" si="332"/>
        <v>9.1589120000000008</v>
      </c>
      <c r="N3238" s="920">
        <f t="shared" si="333"/>
        <v>13.974025974025974</v>
      </c>
      <c r="O3238" s="918" t="str">
        <f t="shared" si="334"/>
        <v>Mar</v>
      </c>
      <c r="P3238" s="921">
        <f t="shared" si="335"/>
        <v>12</v>
      </c>
    </row>
    <row r="3239" spans="1:16" ht="15" hidden="1" customHeight="1">
      <c r="A3239" s="839">
        <v>64399865</v>
      </c>
      <c r="B3239" s="839">
        <v>1352</v>
      </c>
      <c r="C3239" s="906">
        <v>99</v>
      </c>
      <c r="D3239" s="907">
        <v>46101</v>
      </c>
      <c r="E3239" s="839" t="s">
        <v>456</v>
      </c>
      <c r="F3239" s="839" t="s">
        <v>289</v>
      </c>
      <c r="G3239" s="916">
        <f>VLOOKUP($A3239,'Tech Litons'!$A:$I,8,FALSE)</f>
        <v>4.2560000000000002E-3</v>
      </c>
      <c r="H3239" s="917">
        <f>VLOOKUP($A3239,'Tech Litons'!$A:$I,9,FALSE)</f>
        <v>154</v>
      </c>
      <c r="I3239" s="917" t="str">
        <f>VLOOKUP($A3239,'Tech Litons'!$A:$C,3,0)</f>
        <v>MBG</v>
      </c>
      <c r="J3239" s="918" t="str">
        <f t="shared" si="330"/>
        <v>1352MBG</v>
      </c>
      <c r="K3239" s="919">
        <v>1</v>
      </c>
      <c r="L3239" s="920">
        <f t="shared" si="331"/>
        <v>99</v>
      </c>
      <c r="M3239" s="920">
        <f t="shared" si="332"/>
        <v>0.421344</v>
      </c>
      <c r="N3239" s="920">
        <f t="shared" si="333"/>
        <v>0.6428571428571429</v>
      </c>
      <c r="O3239" s="918" t="str">
        <f t="shared" si="334"/>
        <v>Mar</v>
      </c>
      <c r="P3239" s="921">
        <f t="shared" si="335"/>
        <v>12</v>
      </c>
    </row>
    <row r="3240" spans="1:16" ht="15" hidden="1" customHeight="1">
      <c r="A3240" s="839">
        <v>64399865</v>
      </c>
      <c r="B3240" s="839">
        <v>1352</v>
      </c>
      <c r="C3240" s="906">
        <v>1</v>
      </c>
      <c r="D3240" s="907">
        <v>46105</v>
      </c>
      <c r="E3240" s="839" t="s">
        <v>456</v>
      </c>
      <c r="F3240" s="839" t="s">
        <v>289</v>
      </c>
      <c r="G3240" s="916">
        <f>VLOOKUP($A3240,'Tech Litons'!$A:$I,8,FALSE)</f>
        <v>4.2560000000000002E-3</v>
      </c>
      <c r="H3240" s="917">
        <f>VLOOKUP($A3240,'Tech Litons'!$A:$I,9,FALSE)</f>
        <v>154</v>
      </c>
      <c r="I3240" s="917" t="str">
        <f>VLOOKUP($A3240,'Tech Litons'!$A:$C,3,0)</f>
        <v>MBG</v>
      </c>
      <c r="J3240" s="918" t="str">
        <f t="shared" si="330"/>
        <v>1352MBG</v>
      </c>
      <c r="K3240" s="919">
        <v>1</v>
      </c>
      <c r="L3240" s="920">
        <f t="shared" si="331"/>
        <v>1</v>
      </c>
      <c r="M3240" s="920">
        <f t="shared" si="332"/>
        <v>4.2560000000000002E-3</v>
      </c>
      <c r="N3240" s="920">
        <f t="shared" si="333"/>
        <v>6.4935064935064939E-3</v>
      </c>
      <c r="O3240" s="918" t="str">
        <f t="shared" si="334"/>
        <v>Mar</v>
      </c>
      <c r="P3240" s="921">
        <f t="shared" si="335"/>
        <v>13</v>
      </c>
    </row>
    <row r="3241" spans="1:16" ht="15" hidden="1" customHeight="1">
      <c r="A3241" s="839">
        <v>64776952</v>
      </c>
      <c r="B3241" s="839">
        <v>1352</v>
      </c>
      <c r="C3241" s="906">
        <v>1560</v>
      </c>
      <c r="D3241" s="907">
        <v>46080</v>
      </c>
      <c r="E3241" s="839" t="s">
        <v>404</v>
      </c>
      <c r="F3241" s="839" t="s">
        <v>225</v>
      </c>
      <c r="G3241" s="916">
        <f>VLOOKUP($A3241,'Tech Litons'!$A:$I,8,FALSE)</f>
        <v>5.0940000000000004E-3</v>
      </c>
      <c r="H3241" s="917">
        <f>VLOOKUP($A3241,'Tech Litons'!$A:$I,9,FALSE)</f>
        <v>130</v>
      </c>
      <c r="I3241" s="917" t="str">
        <f>VLOOKUP($A3241,'Tech Litons'!$A:$C,3,0)</f>
        <v>PG</v>
      </c>
      <c r="J3241" s="918" t="str">
        <f t="shared" si="330"/>
        <v>1352PG</v>
      </c>
      <c r="K3241" s="919">
        <v>1</v>
      </c>
      <c r="L3241" s="920">
        <f t="shared" si="331"/>
        <v>1560</v>
      </c>
      <c r="M3241" s="920">
        <f t="shared" si="332"/>
        <v>7.9466400000000004</v>
      </c>
      <c r="N3241" s="920">
        <f t="shared" si="333"/>
        <v>12</v>
      </c>
      <c r="O3241" s="918" t="str">
        <f t="shared" si="334"/>
        <v>Feb</v>
      </c>
      <c r="P3241" s="921">
        <f t="shared" si="335"/>
        <v>9</v>
      </c>
    </row>
    <row r="3242" spans="1:16" ht="15" hidden="1" customHeight="1">
      <c r="A3242" s="839">
        <v>64776952</v>
      </c>
      <c r="B3242" s="839">
        <v>1352</v>
      </c>
      <c r="C3242" s="906">
        <v>2669</v>
      </c>
      <c r="D3242" s="907">
        <v>46081</v>
      </c>
      <c r="E3242" s="839" t="s">
        <v>404</v>
      </c>
      <c r="F3242" s="839" t="s">
        <v>225</v>
      </c>
      <c r="G3242" s="916">
        <f>VLOOKUP($A3242,'Tech Litons'!$A:$I,8,FALSE)</f>
        <v>5.0940000000000004E-3</v>
      </c>
      <c r="H3242" s="917">
        <f>VLOOKUP($A3242,'Tech Litons'!$A:$I,9,FALSE)</f>
        <v>130</v>
      </c>
      <c r="I3242" s="917" t="str">
        <f>VLOOKUP($A3242,'Tech Litons'!$A:$C,3,0)</f>
        <v>PG</v>
      </c>
      <c r="J3242" s="918" t="str">
        <f t="shared" si="330"/>
        <v>1352PG</v>
      </c>
      <c r="K3242" s="919">
        <v>1</v>
      </c>
      <c r="L3242" s="920">
        <f t="shared" si="331"/>
        <v>2669</v>
      </c>
      <c r="M3242" s="920">
        <f t="shared" si="332"/>
        <v>13.595886000000002</v>
      </c>
      <c r="N3242" s="920">
        <f t="shared" si="333"/>
        <v>20.530769230769231</v>
      </c>
      <c r="O3242" s="918" t="str">
        <f t="shared" si="334"/>
        <v>Feb</v>
      </c>
      <c r="P3242" s="921">
        <f t="shared" si="335"/>
        <v>9</v>
      </c>
    </row>
    <row r="3243" spans="1:16" ht="15" hidden="1" customHeight="1">
      <c r="A3243" s="839">
        <v>64776952</v>
      </c>
      <c r="B3243" s="839">
        <v>1352</v>
      </c>
      <c r="C3243" s="906">
        <v>1300</v>
      </c>
      <c r="D3243" s="907">
        <v>46077</v>
      </c>
      <c r="E3243" s="839" t="s">
        <v>404</v>
      </c>
      <c r="F3243" s="839" t="s">
        <v>225</v>
      </c>
      <c r="G3243" s="916">
        <f>VLOOKUP($A3243,'Tech Litons'!$A:$I,8,FALSE)</f>
        <v>5.0940000000000004E-3</v>
      </c>
      <c r="H3243" s="917">
        <f>VLOOKUP($A3243,'Tech Litons'!$A:$I,9,FALSE)</f>
        <v>130</v>
      </c>
      <c r="I3243" s="917" t="str">
        <f>VLOOKUP($A3243,'Tech Litons'!$A:$C,3,0)</f>
        <v>PG</v>
      </c>
      <c r="J3243" s="918" t="str">
        <f t="shared" si="330"/>
        <v>1352PG</v>
      </c>
      <c r="K3243" s="919">
        <v>1</v>
      </c>
      <c r="L3243" s="920">
        <f t="shared" si="331"/>
        <v>1300</v>
      </c>
      <c r="M3243" s="920">
        <f t="shared" si="332"/>
        <v>6.6222000000000003</v>
      </c>
      <c r="N3243" s="920">
        <f t="shared" si="333"/>
        <v>10</v>
      </c>
      <c r="O3243" s="918" t="str">
        <f t="shared" si="334"/>
        <v>Feb</v>
      </c>
      <c r="P3243" s="921">
        <f t="shared" si="335"/>
        <v>9</v>
      </c>
    </row>
    <row r="3244" spans="1:16" ht="15" hidden="1" customHeight="1">
      <c r="A3244" s="839">
        <v>64776952</v>
      </c>
      <c r="B3244" s="839">
        <v>1352</v>
      </c>
      <c r="C3244" s="906">
        <v>910</v>
      </c>
      <c r="D3244" s="907">
        <v>46078</v>
      </c>
      <c r="E3244" s="839" t="s">
        <v>404</v>
      </c>
      <c r="F3244" s="839" t="s">
        <v>225</v>
      </c>
      <c r="G3244" s="916">
        <f>VLOOKUP($A3244,'Tech Litons'!$A:$I,8,FALSE)</f>
        <v>5.0940000000000004E-3</v>
      </c>
      <c r="H3244" s="917">
        <f>VLOOKUP($A3244,'Tech Litons'!$A:$I,9,FALSE)</f>
        <v>130</v>
      </c>
      <c r="I3244" s="917" t="str">
        <f>VLOOKUP($A3244,'Tech Litons'!$A:$C,3,0)</f>
        <v>PG</v>
      </c>
      <c r="J3244" s="918" t="str">
        <f t="shared" si="330"/>
        <v>1352PG</v>
      </c>
      <c r="K3244" s="919">
        <v>1</v>
      </c>
      <c r="L3244" s="920">
        <f t="shared" si="331"/>
        <v>910</v>
      </c>
      <c r="M3244" s="920">
        <f t="shared" si="332"/>
        <v>4.6355400000000007</v>
      </c>
      <c r="N3244" s="920">
        <f t="shared" si="333"/>
        <v>7</v>
      </c>
      <c r="O3244" s="918" t="str">
        <f t="shared" si="334"/>
        <v>Feb</v>
      </c>
      <c r="P3244" s="921">
        <f t="shared" si="335"/>
        <v>9</v>
      </c>
    </row>
    <row r="3245" spans="1:16" ht="15" hidden="1" customHeight="1">
      <c r="A3245" s="839">
        <v>64776952</v>
      </c>
      <c r="B3245" s="839">
        <v>1352</v>
      </c>
      <c r="C3245" s="906">
        <v>520</v>
      </c>
      <c r="D3245" s="907">
        <v>46078</v>
      </c>
      <c r="E3245" s="839" t="s">
        <v>404</v>
      </c>
      <c r="F3245" s="839" t="s">
        <v>225</v>
      </c>
      <c r="G3245" s="916">
        <f>VLOOKUP($A3245,'Tech Litons'!$A:$I,8,FALSE)</f>
        <v>5.0940000000000004E-3</v>
      </c>
      <c r="H3245" s="917">
        <f>VLOOKUP($A3245,'Tech Litons'!$A:$I,9,FALSE)</f>
        <v>130</v>
      </c>
      <c r="I3245" s="917" t="str">
        <f>VLOOKUP($A3245,'Tech Litons'!$A:$C,3,0)</f>
        <v>PG</v>
      </c>
      <c r="J3245" s="918" t="str">
        <f t="shared" si="330"/>
        <v>1352PG</v>
      </c>
      <c r="K3245" s="919">
        <v>1</v>
      </c>
      <c r="L3245" s="920">
        <f t="shared" si="331"/>
        <v>520</v>
      </c>
      <c r="M3245" s="920">
        <f t="shared" si="332"/>
        <v>2.6488800000000001</v>
      </c>
      <c r="N3245" s="920">
        <f t="shared" si="333"/>
        <v>4</v>
      </c>
      <c r="O3245" s="918" t="str">
        <f t="shared" si="334"/>
        <v>Feb</v>
      </c>
      <c r="P3245" s="921">
        <f t="shared" si="335"/>
        <v>9</v>
      </c>
    </row>
    <row r="3246" spans="1:16" ht="15" hidden="1" customHeight="1">
      <c r="A3246" s="839">
        <v>64776952</v>
      </c>
      <c r="B3246" s="839">
        <v>1352</v>
      </c>
      <c r="C3246" s="906">
        <v>1872</v>
      </c>
      <c r="D3246" s="907">
        <v>46079</v>
      </c>
      <c r="E3246" s="839" t="s">
        <v>404</v>
      </c>
      <c r="F3246" s="839" t="s">
        <v>225</v>
      </c>
      <c r="G3246" s="916">
        <f>VLOOKUP($A3246,'Tech Litons'!$A:$I,8,FALSE)</f>
        <v>5.0940000000000004E-3</v>
      </c>
      <c r="H3246" s="917">
        <f>VLOOKUP($A3246,'Tech Litons'!$A:$I,9,FALSE)</f>
        <v>130</v>
      </c>
      <c r="I3246" s="917" t="str">
        <f>VLOOKUP($A3246,'Tech Litons'!$A:$C,3,0)</f>
        <v>PG</v>
      </c>
      <c r="J3246" s="918" t="str">
        <f t="shared" si="330"/>
        <v>1352PG</v>
      </c>
      <c r="K3246" s="919">
        <v>1</v>
      </c>
      <c r="L3246" s="920">
        <f t="shared" si="331"/>
        <v>1872</v>
      </c>
      <c r="M3246" s="920">
        <f t="shared" si="332"/>
        <v>9.5359680000000004</v>
      </c>
      <c r="N3246" s="920">
        <f t="shared" si="333"/>
        <v>14.4</v>
      </c>
      <c r="O3246" s="918" t="str">
        <f t="shared" si="334"/>
        <v>Feb</v>
      </c>
      <c r="P3246" s="921">
        <f t="shared" si="335"/>
        <v>9</v>
      </c>
    </row>
    <row r="3247" spans="1:16" ht="15" hidden="1" customHeight="1">
      <c r="A3247" s="839">
        <v>64776952</v>
      </c>
      <c r="B3247" s="839">
        <v>1352</v>
      </c>
      <c r="C3247" s="906">
        <v>910</v>
      </c>
      <c r="D3247" s="907">
        <v>46079</v>
      </c>
      <c r="E3247" s="839" t="s">
        <v>404</v>
      </c>
      <c r="F3247" s="839" t="s">
        <v>225</v>
      </c>
      <c r="G3247" s="916">
        <f>VLOOKUP($A3247,'Tech Litons'!$A:$I,8,FALSE)</f>
        <v>5.0940000000000004E-3</v>
      </c>
      <c r="H3247" s="917">
        <f>VLOOKUP($A3247,'Tech Litons'!$A:$I,9,FALSE)</f>
        <v>130</v>
      </c>
      <c r="I3247" s="917" t="str">
        <f>VLOOKUP($A3247,'Tech Litons'!$A:$C,3,0)</f>
        <v>PG</v>
      </c>
      <c r="J3247" s="918" t="str">
        <f t="shared" si="330"/>
        <v>1352PG</v>
      </c>
      <c r="K3247" s="919">
        <v>1</v>
      </c>
      <c r="L3247" s="920">
        <f t="shared" si="331"/>
        <v>910</v>
      </c>
      <c r="M3247" s="920">
        <f t="shared" si="332"/>
        <v>4.6355400000000007</v>
      </c>
      <c r="N3247" s="920">
        <f t="shared" si="333"/>
        <v>7</v>
      </c>
      <c r="O3247" s="918" t="str">
        <f t="shared" si="334"/>
        <v>Feb</v>
      </c>
      <c r="P3247" s="921">
        <f t="shared" si="335"/>
        <v>9</v>
      </c>
    </row>
    <row r="3248" spans="1:16" ht="15" hidden="1" customHeight="1">
      <c r="A3248" s="839">
        <v>64776952</v>
      </c>
      <c r="B3248" s="839">
        <v>1352</v>
      </c>
      <c r="C3248" s="906">
        <v>2274</v>
      </c>
      <c r="D3248" s="907">
        <v>46080</v>
      </c>
      <c r="E3248" s="839" t="s">
        <v>404</v>
      </c>
      <c r="F3248" s="839" t="s">
        <v>225</v>
      </c>
      <c r="G3248" s="916">
        <f>VLOOKUP($A3248,'Tech Litons'!$A:$I,8,FALSE)</f>
        <v>5.0940000000000004E-3</v>
      </c>
      <c r="H3248" s="917">
        <f>VLOOKUP($A3248,'Tech Litons'!$A:$I,9,FALSE)</f>
        <v>130</v>
      </c>
      <c r="I3248" s="917" t="str">
        <f>VLOOKUP($A3248,'Tech Litons'!$A:$C,3,0)</f>
        <v>PG</v>
      </c>
      <c r="J3248" s="918" t="str">
        <f t="shared" si="330"/>
        <v>1352PG</v>
      </c>
      <c r="K3248" s="919">
        <v>1</v>
      </c>
      <c r="L3248" s="920">
        <f t="shared" si="331"/>
        <v>2274</v>
      </c>
      <c r="M3248" s="920">
        <f t="shared" si="332"/>
        <v>11.583756000000001</v>
      </c>
      <c r="N3248" s="920">
        <f t="shared" si="333"/>
        <v>17.492307692307691</v>
      </c>
      <c r="O3248" s="918" t="str">
        <f t="shared" si="334"/>
        <v>Feb</v>
      </c>
      <c r="P3248" s="921">
        <f t="shared" si="335"/>
        <v>9</v>
      </c>
    </row>
    <row r="3249" spans="1:16" ht="15" hidden="1" customHeight="1">
      <c r="A3249" s="839">
        <v>64776952</v>
      </c>
      <c r="B3249" s="839">
        <v>1352</v>
      </c>
      <c r="C3249" s="906">
        <v>997</v>
      </c>
      <c r="D3249" s="907">
        <v>46077</v>
      </c>
      <c r="E3249" s="839" t="s">
        <v>404</v>
      </c>
      <c r="F3249" s="839" t="s">
        <v>225</v>
      </c>
      <c r="G3249" s="916">
        <f>VLOOKUP($A3249,'Tech Litons'!$A:$I,8,FALSE)</f>
        <v>5.0940000000000004E-3</v>
      </c>
      <c r="H3249" s="917">
        <f>VLOOKUP($A3249,'Tech Litons'!$A:$I,9,FALSE)</f>
        <v>130</v>
      </c>
      <c r="I3249" s="917" t="str">
        <f>VLOOKUP($A3249,'Tech Litons'!$A:$C,3,0)</f>
        <v>PG</v>
      </c>
      <c r="J3249" s="918" t="str">
        <f t="shared" si="330"/>
        <v>1352PG</v>
      </c>
      <c r="K3249" s="919">
        <v>1</v>
      </c>
      <c r="L3249" s="920">
        <f t="shared" si="331"/>
        <v>997</v>
      </c>
      <c r="M3249" s="920">
        <f t="shared" si="332"/>
        <v>5.0787180000000003</v>
      </c>
      <c r="N3249" s="920">
        <f t="shared" si="333"/>
        <v>7.6692307692307695</v>
      </c>
      <c r="O3249" s="918" t="str">
        <f t="shared" si="334"/>
        <v>Feb</v>
      </c>
      <c r="P3249" s="921">
        <f t="shared" si="335"/>
        <v>9</v>
      </c>
    </row>
    <row r="3250" spans="1:16" ht="15" hidden="1" customHeight="1">
      <c r="A3250" s="839">
        <v>64776952</v>
      </c>
      <c r="B3250" s="839">
        <v>1352</v>
      </c>
      <c r="C3250" s="906">
        <v>780</v>
      </c>
      <c r="D3250" s="907">
        <v>46083</v>
      </c>
      <c r="E3250" s="839" t="s">
        <v>404</v>
      </c>
      <c r="F3250" s="839" t="s">
        <v>225</v>
      </c>
      <c r="G3250" s="916">
        <f>VLOOKUP($A3250,'Tech Litons'!$A:$I,8,FALSE)</f>
        <v>5.0940000000000004E-3</v>
      </c>
      <c r="H3250" s="917">
        <f>VLOOKUP($A3250,'Tech Litons'!$A:$I,9,FALSE)</f>
        <v>130</v>
      </c>
      <c r="I3250" s="917" t="str">
        <f>VLOOKUP($A3250,'Tech Litons'!$A:$C,3,0)</f>
        <v>PG</v>
      </c>
      <c r="J3250" s="918" t="str">
        <f t="shared" ref="J3250:J3313" si="336">B3250&amp;I3250</f>
        <v>1352PG</v>
      </c>
      <c r="K3250" s="919">
        <v>1</v>
      </c>
      <c r="L3250" s="920">
        <f t="shared" ref="L3250:L3313" si="337">C3250*$K3250</f>
        <v>780</v>
      </c>
      <c r="M3250" s="920">
        <f t="shared" ref="M3250:M3313" si="338">L3250*G3250</f>
        <v>3.9733200000000002</v>
      </c>
      <c r="N3250" s="920">
        <f t="shared" ref="N3250:N3313" si="339">L3250/H3250</f>
        <v>6</v>
      </c>
      <c r="O3250" s="918" t="str">
        <f t="shared" ref="O3250:O3313" si="340">TEXT(D3250,"MMM")</f>
        <v>Mar</v>
      </c>
      <c r="P3250" s="921">
        <f t="shared" ref="P3250:P3313" si="341">WEEKNUM(D3250)</f>
        <v>10</v>
      </c>
    </row>
    <row r="3251" spans="1:16" ht="15" hidden="1" customHeight="1">
      <c r="A3251" s="839">
        <v>64776952</v>
      </c>
      <c r="B3251" s="839">
        <v>1352</v>
      </c>
      <c r="C3251" s="906">
        <v>2587</v>
      </c>
      <c r="D3251" s="907">
        <v>46084</v>
      </c>
      <c r="E3251" s="839" t="s">
        <v>404</v>
      </c>
      <c r="F3251" s="839" t="s">
        <v>225</v>
      </c>
      <c r="G3251" s="916">
        <f>VLOOKUP($A3251,'Tech Litons'!$A:$I,8,FALSE)</f>
        <v>5.0940000000000004E-3</v>
      </c>
      <c r="H3251" s="917">
        <f>VLOOKUP($A3251,'Tech Litons'!$A:$I,9,FALSE)</f>
        <v>130</v>
      </c>
      <c r="I3251" s="917" t="str">
        <f>VLOOKUP($A3251,'Tech Litons'!$A:$C,3,0)</f>
        <v>PG</v>
      </c>
      <c r="J3251" s="918" t="str">
        <f t="shared" si="336"/>
        <v>1352PG</v>
      </c>
      <c r="K3251" s="919">
        <v>1</v>
      </c>
      <c r="L3251" s="920">
        <f t="shared" si="337"/>
        <v>2587</v>
      </c>
      <c r="M3251" s="920">
        <f t="shared" si="338"/>
        <v>13.178178000000001</v>
      </c>
      <c r="N3251" s="920">
        <f t="shared" si="339"/>
        <v>19.899999999999999</v>
      </c>
      <c r="O3251" s="918" t="str">
        <f t="shared" si="340"/>
        <v>Mar</v>
      </c>
      <c r="P3251" s="921">
        <f t="shared" si="341"/>
        <v>10</v>
      </c>
    </row>
    <row r="3252" spans="1:16" ht="15" hidden="1" customHeight="1">
      <c r="A3252" s="839">
        <v>64776952</v>
      </c>
      <c r="B3252" s="839">
        <v>1352</v>
      </c>
      <c r="C3252" s="906">
        <v>130</v>
      </c>
      <c r="D3252" s="907">
        <v>46105</v>
      </c>
      <c r="E3252" s="839" t="s">
        <v>404</v>
      </c>
      <c r="F3252" s="839" t="s">
        <v>225</v>
      </c>
      <c r="G3252" s="916">
        <f>VLOOKUP($A3252,'Tech Litons'!$A:$I,8,FALSE)</f>
        <v>5.0940000000000004E-3</v>
      </c>
      <c r="H3252" s="917">
        <f>VLOOKUP($A3252,'Tech Litons'!$A:$I,9,FALSE)</f>
        <v>130</v>
      </c>
      <c r="I3252" s="917" t="str">
        <f>VLOOKUP($A3252,'Tech Litons'!$A:$C,3,0)</f>
        <v>PG</v>
      </c>
      <c r="J3252" s="918" t="str">
        <f t="shared" si="336"/>
        <v>1352PG</v>
      </c>
      <c r="K3252" s="919">
        <v>1</v>
      </c>
      <c r="L3252" s="920">
        <f t="shared" si="337"/>
        <v>130</v>
      </c>
      <c r="M3252" s="920">
        <f t="shared" si="338"/>
        <v>0.66222000000000003</v>
      </c>
      <c r="N3252" s="920">
        <f t="shared" si="339"/>
        <v>1</v>
      </c>
      <c r="O3252" s="918" t="str">
        <f t="shared" si="340"/>
        <v>Mar</v>
      </c>
      <c r="P3252" s="921">
        <f t="shared" si="341"/>
        <v>13</v>
      </c>
    </row>
    <row r="3253" spans="1:16" ht="15" hidden="1" customHeight="1">
      <c r="A3253" s="839">
        <v>64776952</v>
      </c>
      <c r="B3253" s="839">
        <v>1352</v>
      </c>
      <c r="C3253" s="906">
        <v>1430</v>
      </c>
      <c r="D3253" s="907">
        <v>46084</v>
      </c>
      <c r="E3253" s="839" t="s">
        <v>404</v>
      </c>
      <c r="F3253" s="839" t="s">
        <v>225</v>
      </c>
      <c r="G3253" s="916">
        <f>VLOOKUP($A3253,'Tech Litons'!$A:$I,8,FALSE)</f>
        <v>5.0940000000000004E-3</v>
      </c>
      <c r="H3253" s="917">
        <f>VLOOKUP($A3253,'Tech Litons'!$A:$I,9,FALSE)</f>
        <v>130</v>
      </c>
      <c r="I3253" s="917" t="str">
        <f>VLOOKUP($A3253,'Tech Litons'!$A:$C,3,0)</f>
        <v>PG</v>
      </c>
      <c r="J3253" s="918" t="str">
        <f t="shared" si="336"/>
        <v>1352PG</v>
      </c>
      <c r="K3253" s="919">
        <v>1</v>
      </c>
      <c r="L3253" s="920">
        <f t="shared" si="337"/>
        <v>1430</v>
      </c>
      <c r="M3253" s="920">
        <f t="shared" si="338"/>
        <v>7.2844200000000008</v>
      </c>
      <c r="N3253" s="920">
        <f t="shared" si="339"/>
        <v>11</v>
      </c>
      <c r="O3253" s="918" t="str">
        <f t="shared" si="340"/>
        <v>Mar</v>
      </c>
      <c r="P3253" s="921">
        <f t="shared" si="341"/>
        <v>10</v>
      </c>
    </row>
    <row r="3254" spans="1:16" ht="15" hidden="1" customHeight="1">
      <c r="A3254" s="839">
        <v>64776952</v>
      </c>
      <c r="B3254" s="839">
        <v>1352</v>
      </c>
      <c r="C3254" s="906">
        <v>1814</v>
      </c>
      <c r="D3254" s="907">
        <v>46085</v>
      </c>
      <c r="E3254" s="839" t="s">
        <v>404</v>
      </c>
      <c r="F3254" s="839" t="s">
        <v>225</v>
      </c>
      <c r="G3254" s="916">
        <f>VLOOKUP($A3254,'Tech Litons'!$A:$I,8,FALSE)</f>
        <v>5.0940000000000004E-3</v>
      </c>
      <c r="H3254" s="917">
        <f>VLOOKUP($A3254,'Tech Litons'!$A:$I,9,FALSE)</f>
        <v>130</v>
      </c>
      <c r="I3254" s="917" t="str">
        <f>VLOOKUP($A3254,'Tech Litons'!$A:$C,3,0)</f>
        <v>PG</v>
      </c>
      <c r="J3254" s="918" t="str">
        <f t="shared" si="336"/>
        <v>1352PG</v>
      </c>
      <c r="K3254" s="919">
        <v>1</v>
      </c>
      <c r="L3254" s="920">
        <f t="shared" si="337"/>
        <v>1814</v>
      </c>
      <c r="M3254" s="920">
        <f t="shared" si="338"/>
        <v>9.2405160000000013</v>
      </c>
      <c r="N3254" s="920">
        <f t="shared" si="339"/>
        <v>13.953846153846154</v>
      </c>
      <c r="O3254" s="918" t="str">
        <f t="shared" si="340"/>
        <v>Mar</v>
      </c>
      <c r="P3254" s="921">
        <f t="shared" si="341"/>
        <v>10</v>
      </c>
    </row>
    <row r="3255" spans="1:16" ht="15" hidden="1" customHeight="1">
      <c r="A3255" s="839">
        <v>64776952</v>
      </c>
      <c r="B3255" s="839">
        <v>1352</v>
      </c>
      <c r="C3255" s="906">
        <v>1300</v>
      </c>
      <c r="D3255" s="907">
        <v>46085</v>
      </c>
      <c r="E3255" s="839" t="s">
        <v>404</v>
      </c>
      <c r="F3255" s="839" t="s">
        <v>225</v>
      </c>
      <c r="G3255" s="916">
        <f>VLOOKUP($A3255,'Tech Litons'!$A:$I,8,FALSE)</f>
        <v>5.0940000000000004E-3</v>
      </c>
      <c r="H3255" s="917">
        <f>VLOOKUP($A3255,'Tech Litons'!$A:$I,9,FALSE)</f>
        <v>130</v>
      </c>
      <c r="I3255" s="917" t="str">
        <f>VLOOKUP($A3255,'Tech Litons'!$A:$C,3,0)</f>
        <v>PG</v>
      </c>
      <c r="J3255" s="918" t="str">
        <f t="shared" si="336"/>
        <v>1352PG</v>
      </c>
      <c r="K3255" s="919">
        <v>1</v>
      </c>
      <c r="L3255" s="920">
        <f t="shared" si="337"/>
        <v>1300</v>
      </c>
      <c r="M3255" s="920">
        <f t="shared" si="338"/>
        <v>6.6222000000000003</v>
      </c>
      <c r="N3255" s="920">
        <f t="shared" si="339"/>
        <v>10</v>
      </c>
      <c r="O3255" s="918" t="str">
        <f t="shared" si="340"/>
        <v>Mar</v>
      </c>
      <c r="P3255" s="921">
        <f t="shared" si="341"/>
        <v>10</v>
      </c>
    </row>
    <row r="3256" spans="1:16" ht="15" hidden="1" customHeight="1">
      <c r="A3256" s="839">
        <v>64776952</v>
      </c>
      <c r="B3256" s="839">
        <v>1352</v>
      </c>
      <c r="C3256" s="906">
        <v>2704</v>
      </c>
      <c r="D3256" s="907">
        <v>46086</v>
      </c>
      <c r="E3256" s="839" t="s">
        <v>404</v>
      </c>
      <c r="F3256" s="839" t="s">
        <v>225</v>
      </c>
      <c r="G3256" s="916">
        <f>VLOOKUP($A3256,'Tech Litons'!$A:$I,8,FALSE)</f>
        <v>5.0940000000000004E-3</v>
      </c>
      <c r="H3256" s="917">
        <f>VLOOKUP($A3256,'Tech Litons'!$A:$I,9,FALSE)</f>
        <v>130</v>
      </c>
      <c r="I3256" s="917" t="str">
        <f>VLOOKUP($A3256,'Tech Litons'!$A:$C,3,0)</f>
        <v>PG</v>
      </c>
      <c r="J3256" s="918" t="str">
        <f t="shared" si="336"/>
        <v>1352PG</v>
      </c>
      <c r="K3256" s="919">
        <v>1</v>
      </c>
      <c r="L3256" s="920">
        <f t="shared" si="337"/>
        <v>2704</v>
      </c>
      <c r="M3256" s="920">
        <f t="shared" si="338"/>
        <v>13.774176000000001</v>
      </c>
      <c r="N3256" s="920">
        <f t="shared" si="339"/>
        <v>20.8</v>
      </c>
      <c r="O3256" s="918" t="str">
        <f t="shared" si="340"/>
        <v>Mar</v>
      </c>
      <c r="P3256" s="921">
        <f t="shared" si="341"/>
        <v>10</v>
      </c>
    </row>
    <row r="3257" spans="1:16" ht="15" hidden="1" customHeight="1">
      <c r="A3257" s="839">
        <v>64776952</v>
      </c>
      <c r="B3257" s="839">
        <v>1352</v>
      </c>
      <c r="C3257" s="906">
        <v>1560</v>
      </c>
      <c r="D3257" s="907">
        <v>46086</v>
      </c>
      <c r="E3257" s="839" t="s">
        <v>404</v>
      </c>
      <c r="F3257" s="839" t="s">
        <v>225</v>
      </c>
      <c r="G3257" s="916">
        <f>VLOOKUP($A3257,'Tech Litons'!$A:$I,8,FALSE)</f>
        <v>5.0940000000000004E-3</v>
      </c>
      <c r="H3257" s="917">
        <f>VLOOKUP($A3257,'Tech Litons'!$A:$I,9,FALSE)</f>
        <v>130</v>
      </c>
      <c r="I3257" s="917" t="str">
        <f>VLOOKUP($A3257,'Tech Litons'!$A:$C,3,0)</f>
        <v>PG</v>
      </c>
      <c r="J3257" s="918" t="str">
        <f t="shared" si="336"/>
        <v>1352PG</v>
      </c>
      <c r="K3257" s="919">
        <v>1</v>
      </c>
      <c r="L3257" s="920">
        <f t="shared" si="337"/>
        <v>1560</v>
      </c>
      <c r="M3257" s="920">
        <f t="shared" si="338"/>
        <v>7.9466400000000004</v>
      </c>
      <c r="N3257" s="920">
        <f t="shared" si="339"/>
        <v>12</v>
      </c>
      <c r="O3257" s="918" t="str">
        <f t="shared" si="340"/>
        <v>Mar</v>
      </c>
      <c r="P3257" s="921">
        <f t="shared" si="341"/>
        <v>10</v>
      </c>
    </row>
    <row r="3258" spans="1:16" ht="15" hidden="1" customHeight="1">
      <c r="A3258" s="839">
        <v>64776952</v>
      </c>
      <c r="B3258" s="839">
        <v>1352</v>
      </c>
      <c r="C3258" s="906">
        <v>2210</v>
      </c>
      <c r="D3258" s="907">
        <v>46087</v>
      </c>
      <c r="E3258" s="839" t="s">
        <v>404</v>
      </c>
      <c r="F3258" s="839" t="s">
        <v>225</v>
      </c>
      <c r="G3258" s="916">
        <f>VLOOKUP($A3258,'Tech Litons'!$A:$I,8,FALSE)</f>
        <v>5.0940000000000004E-3</v>
      </c>
      <c r="H3258" s="917">
        <f>VLOOKUP($A3258,'Tech Litons'!$A:$I,9,FALSE)</f>
        <v>130</v>
      </c>
      <c r="I3258" s="917" t="str">
        <f>VLOOKUP($A3258,'Tech Litons'!$A:$C,3,0)</f>
        <v>PG</v>
      </c>
      <c r="J3258" s="918" t="str">
        <f t="shared" si="336"/>
        <v>1352PG</v>
      </c>
      <c r="K3258" s="919">
        <v>1</v>
      </c>
      <c r="L3258" s="920">
        <f t="shared" si="337"/>
        <v>2210</v>
      </c>
      <c r="M3258" s="920">
        <f t="shared" si="338"/>
        <v>11.25774</v>
      </c>
      <c r="N3258" s="920">
        <f t="shared" si="339"/>
        <v>17</v>
      </c>
      <c r="O3258" s="918" t="str">
        <f t="shared" si="340"/>
        <v>Mar</v>
      </c>
      <c r="P3258" s="921">
        <f t="shared" si="341"/>
        <v>10</v>
      </c>
    </row>
    <row r="3259" spans="1:16" ht="15" hidden="1" customHeight="1">
      <c r="A3259" s="839">
        <v>64776952</v>
      </c>
      <c r="B3259" s="839">
        <v>1352</v>
      </c>
      <c r="C3259" s="906">
        <v>1560</v>
      </c>
      <c r="D3259" s="907">
        <v>46087</v>
      </c>
      <c r="E3259" s="839" t="s">
        <v>404</v>
      </c>
      <c r="F3259" s="839" t="s">
        <v>225</v>
      </c>
      <c r="G3259" s="916">
        <f>VLOOKUP($A3259,'Tech Litons'!$A:$I,8,FALSE)</f>
        <v>5.0940000000000004E-3</v>
      </c>
      <c r="H3259" s="917">
        <f>VLOOKUP($A3259,'Tech Litons'!$A:$I,9,FALSE)</f>
        <v>130</v>
      </c>
      <c r="I3259" s="917" t="str">
        <f>VLOOKUP($A3259,'Tech Litons'!$A:$C,3,0)</f>
        <v>PG</v>
      </c>
      <c r="J3259" s="918" t="str">
        <f t="shared" si="336"/>
        <v>1352PG</v>
      </c>
      <c r="K3259" s="919">
        <v>1</v>
      </c>
      <c r="L3259" s="920">
        <f t="shared" si="337"/>
        <v>1560</v>
      </c>
      <c r="M3259" s="920">
        <f t="shared" si="338"/>
        <v>7.9466400000000004</v>
      </c>
      <c r="N3259" s="920">
        <f t="shared" si="339"/>
        <v>12</v>
      </c>
      <c r="O3259" s="918" t="str">
        <f t="shared" si="340"/>
        <v>Mar</v>
      </c>
      <c r="P3259" s="921">
        <f t="shared" si="341"/>
        <v>10</v>
      </c>
    </row>
    <row r="3260" spans="1:16" ht="15" hidden="1" customHeight="1">
      <c r="A3260" s="839">
        <v>64776952</v>
      </c>
      <c r="B3260" s="839">
        <v>1352</v>
      </c>
      <c r="C3260" s="906">
        <v>2571</v>
      </c>
      <c r="D3260" s="907">
        <v>46088</v>
      </c>
      <c r="E3260" s="839" t="s">
        <v>404</v>
      </c>
      <c r="F3260" s="839" t="s">
        <v>225</v>
      </c>
      <c r="G3260" s="916">
        <f>VLOOKUP($A3260,'Tech Litons'!$A:$I,8,FALSE)</f>
        <v>5.0940000000000004E-3</v>
      </c>
      <c r="H3260" s="917">
        <f>VLOOKUP($A3260,'Tech Litons'!$A:$I,9,FALSE)</f>
        <v>130</v>
      </c>
      <c r="I3260" s="917" t="str">
        <f>VLOOKUP($A3260,'Tech Litons'!$A:$C,3,0)</f>
        <v>PG</v>
      </c>
      <c r="J3260" s="918" t="str">
        <f t="shared" si="336"/>
        <v>1352PG</v>
      </c>
      <c r="K3260" s="919">
        <v>1</v>
      </c>
      <c r="L3260" s="920">
        <f t="shared" si="337"/>
        <v>2571</v>
      </c>
      <c r="M3260" s="920">
        <f t="shared" si="338"/>
        <v>13.096674000000002</v>
      </c>
      <c r="N3260" s="920">
        <f t="shared" si="339"/>
        <v>19.776923076923076</v>
      </c>
      <c r="O3260" s="918" t="str">
        <f t="shared" si="340"/>
        <v>Mar</v>
      </c>
      <c r="P3260" s="921">
        <f t="shared" si="341"/>
        <v>10</v>
      </c>
    </row>
    <row r="3261" spans="1:16" ht="15" hidden="1" customHeight="1">
      <c r="A3261" s="839">
        <v>64776952</v>
      </c>
      <c r="B3261" s="839">
        <v>1352</v>
      </c>
      <c r="C3261" s="906">
        <v>1170</v>
      </c>
      <c r="D3261" s="907">
        <v>46104</v>
      </c>
      <c r="E3261" s="839" t="s">
        <v>404</v>
      </c>
      <c r="F3261" s="839" t="s">
        <v>225</v>
      </c>
      <c r="G3261" s="916">
        <f>VLOOKUP($A3261,'Tech Litons'!$A:$I,8,FALSE)</f>
        <v>5.0940000000000004E-3</v>
      </c>
      <c r="H3261" s="917">
        <f>VLOOKUP($A3261,'Tech Litons'!$A:$I,9,FALSE)</f>
        <v>130</v>
      </c>
      <c r="I3261" s="917" t="str">
        <f>VLOOKUP($A3261,'Tech Litons'!$A:$C,3,0)</f>
        <v>PG</v>
      </c>
      <c r="J3261" s="918" t="str">
        <f t="shared" si="336"/>
        <v>1352PG</v>
      </c>
      <c r="K3261" s="919">
        <v>1</v>
      </c>
      <c r="L3261" s="920">
        <f t="shared" si="337"/>
        <v>1170</v>
      </c>
      <c r="M3261" s="920">
        <f t="shared" si="338"/>
        <v>5.9599800000000007</v>
      </c>
      <c r="N3261" s="920">
        <f t="shared" si="339"/>
        <v>9</v>
      </c>
      <c r="O3261" s="918" t="str">
        <f t="shared" si="340"/>
        <v>Mar</v>
      </c>
      <c r="P3261" s="921">
        <f t="shared" si="341"/>
        <v>13</v>
      </c>
    </row>
    <row r="3262" spans="1:16" ht="15" hidden="1" customHeight="1">
      <c r="A3262" s="839">
        <v>64776952</v>
      </c>
      <c r="B3262" s="839">
        <v>1352</v>
      </c>
      <c r="C3262" s="906">
        <v>427</v>
      </c>
      <c r="D3262" s="907">
        <v>46105</v>
      </c>
      <c r="E3262" s="839" t="s">
        <v>404</v>
      </c>
      <c r="F3262" s="839" t="s">
        <v>225</v>
      </c>
      <c r="G3262" s="916">
        <f>VLOOKUP($A3262,'Tech Litons'!$A:$I,8,FALSE)</f>
        <v>5.0940000000000004E-3</v>
      </c>
      <c r="H3262" s="917">
        <f>VLOOKUP($A3262,'Tech Litons'!$A:$I,9,FALSE)</f>
        <v>130</v>
      </c>
      <c r="I3262" s="917" t="str">
        <f>VLOOKUP($A3262,'Tech Litons'!$A:$C,3,0)</f>
        <v>PG</v>
      </c>
      <c r="J3262" s="918" t="str">
        <f t="shared" si="336"/>
        <v>1352PG</v>
      </c>
      <c r="K3262" s="919">
        <v>1</v>
      </c>
      <c r="L3262" s="920">
        <f t="shared" si="337"/>
        <v>427</v>
      </c>
      <c r="M3262" s="920">
        <f t="shared" si="338"/>
        <v>2.175138</v>
      </c>
      <c r="N3262" s="920">
        <f t="shared" si="339"/>
        <v>3.2846153846153845</v>
      </c>
      <c r="O3262" s="918" t="str">
        <f t="shared" si="340"/>
        <v>Mar</v>
      </c>
      <c r="P3262" s="921">
        <f t="shared" si="341"/>
        <v>13</v>
      </c>
    </row>
    <row r="3263" spans="1:16" ht="15" hidden="1" customHeight="1">
      <c r="A3263" s="839">
        <v>64776952</v>
      </c>
      <c r="B3263" s="839">
        <v>1352</v>
      </c>
      <c r="C3263" s="906">
        <v>1170</v>
      </c>
      <c r="D3263" s="907">
        <v>46105</v>
      </c>
      <c r="E3263" s="839" t="s">
        <v>404</v>
      </c>
      <c r="F3263" s="839" t="s">
        <v>225</v>
      </c>
      <c r="G3263" s="916">
        <f>VLOOKUP($A3263,'Tech Litons'!$A:$I,8,FALSE)</f>
        <v>5.0940000000000004E-3</v>
      </c>
      <c r="H3263" s="917">
        <f>VLOOKUP($A3263,'Tech Litons'!$A:$I,9,FALSE)</f>
        <v>130</v>
      </c>
      <c r="I3263" s="917" t="str">
        <f>VLOOKUP($A3263,'Tech Litons'!$A:$C,3,0)</f>
        <v>PG</v>
      </c>
      <c r="J3263" s="918" t="str">
        <f t="shared" si="336"/>
        <v>1352PG</v>
      </c>
      <c r="K3263" s="919">
        <v>1</v>
      </c>
      <c r="L3263" s="920">
        <f t="shared" si="337"/>
        <v>1170</v>
      </c>
      <c r="M3263" s="920">
        <f t="shared" si="338"/>
        <v>5.9599800000000007</v>
      </c>
      <c r="N3263" s="920">
        <f t="shared" si="339"/>
        <v>9</v>
      </c>
      <c r="O3263" s="918" t="str">
        <f t="shared" si="340"/>
        <v>Mar</v>
      </c>
      <c r="P3263" s="921">
        <f t="shared" si="341"/>
        <v>13</v>
      </c>
    </row>
    <row r="3264" spans="1:16" ht="15" hidden="1" customHeight="1">
      <c r="A3264" s="839">
        <v>64776954</v>
      </c>
      <c r="B3264" s="839">
        <v>1352</v>
      </c>
      <c r="C3264" s="906">
        <v>390</v>
      </c>
      <c r="D3264" s="907">
        <v>46083</v>
      </c>
      <c r="E3264" s="839" t="s">
        <v>285</v>
      </c>
      <c r="F3264" s="839" t="s">
        <v>224</v>
      </c>
      <c r="G3264" s="916">
        <f>VLOOKUP($A3264,'Tech Litons'!$A:$I,8,FALSE)</f>
        <v>3.8340000000000002E-3</v>
      </c>
      <c r="H3264" s="917">
        <f>VLOOKUP($A3264,'Tech Litons'!$A:$I,9,FALSE)</f>
        <v>130</v>
      </c>
      <c r="I3264" s="917" t="str">
        <f>VLOOKUP($A3264,'Tech Litons'!$A:$C,3,0)</f>
        <v>pG</v>
      </c>
      <c r="J3264" s="918" t="str">
        <f t="shared" si="336"/>
        <v>1352pG</v>
      </c>
      <c r="K3264" s="919">
        <v>1</v>
      </c>
      <c r="L3264" s="920">
        <f t="shared" si="337"/>
        <v>390</v>
      </c>
      <c r="M3264" s="920">
        <f t="shared" si="338"/>
        <v>1.49526</v>
      </c>
      <c r="N3264" s="920">
        <f t="shared" si="339"/>
        <v>3</v>
      </c>
      <c r="O3264" s="918" t="str">
        <f t="shared" si="340"/>
        <v>Mar</v>
      </c>
      <c r="P3264" s="921">
        <f t="shared" si="341"/>
        <v>10</v>
      </c>
    </row>
    <row r="3265" spans="1:16" ht="15" hidden="1" customHeight="1">
      <c r="A3265" s="839">
        <v>64776954</v>
      </c>
      <c r="B3265" s="839">
        <v>1352</v>
      </c>
      <c r="C3265" s="906">
        <v>3314</v>
      </c>
      <c r="D3265" s="907">
        <v>46084</v>
      </c>
      <c r="E3265" s="839" t="s">
        <v>285</v>
      </c>
      <c r="F3265" s="839" t="s">
        <v>224</v>
      </c>
      <c r="G3265" s="916">
        <f>VLOOKUP($A3265,'Tech Litons'!$A:$I,8,FALSE)</f>
        <v>3.8340000000000002E-3</v>
      </c>
      <c r="H3265" s="917">
        <f>VLOOKUP($A3265,'Tech Litons'!$A:$I,9,FALSE)</f>
        <v>130</v>
      </c>
      <c r="I3265" s="917" t="str">
        <f>VLOOKUP($A3265,'Tech Litons'!$A:$C,3,0)</f>
        <v>pG</v>
      </c>
      <c r="J3265" s="918" t="str">
        <f t="shared" si="336"/>
        <v>1352pG</v>
      </c>
      <c r="K3265" s="919">
        <v>1</v>
      </c>
      <c r="L3265" s="920">
        <f t="shared" si="337"/>
        <v>3314</v>
      </c>
      <c r="M3265" s="920">
        <f t="shared" si="338"/>
        <v>12.705876</v>
      </c>
      <c r="N3265" s="920">
        <f t="shared" si="339"/>
        <v>25.492307692307691</v>
      </c>
      <c r="O3265" s="918" t="str">
        <f t="shared" si="340"/>
        <v>Mar</v>
      </c>
      <c r="P3265" s="921">
        <f t="shared" si="341"/>
        <v>10</v>
      </c>
    </row>
    <row r="3266" spans="1:16" ht="15" hidden="1" customHeight="1">
      <c r="A3266" s="839">
        <v>64776954</v>
      </c>
      <c r="B3266" s="839">
        <v>1352</v>
      </c>
      <c r="C3266" s="906">
        <v>1560</v>
      </c>
      <c r="D3266" s="907">
        <v>46084</v>
      </c>
      <c r="E3266" s="839" t="s">
        <v>285</v>
      </c>
      <c r="F3266" s="839" t="s">
        <v>224</v>
      </c>
      <c r="G3266" s="916">
        <f>VLOOKUP($A3266,'Tech Litons'!$A:$I,8,FALSE)</f>
        <v>3.8340000000000002E-3</v>
      </c>
      <c r="H3266" s="917">
        <f>VLOOKUP($A3266,'Tech Litons'!$A:$I,9,FALSE)</f>
        <v>130</v>
      </c>
      <c r="I3266" s="917" t="str">
        <f>VLOOKUP($A3266,'Tech Litons'!$A:$C,3,0)</f>
        <v>pG</v>
      </c>
      <c r="J3266" s="918" t="str">
        <f t="shared" si="336"/>
        <v>1352pG</v>
      </c>
      <c r="K3266" s="919">
        <v>1</v>
      </c>
      <c r="L3266" s="920">
        <f t="shared" si="337"/>
        <v>1560</v>
      </c>
      <c r="M3266" s="920">
        <f t="shared" si="338"/>
        <v>5.9810400000000001</v>
      </c>
      <c r="N3266" s="920">
        <f t="shared" si="339"/>
        <v>12</v>
      </c>
      <c r="O3266" s="918" t="str">
        <f t="shared" si="340"/>
        <v>Mar</v>
      </c>
      <c r="P3266" s="921">
        <f t="shared" si="341"/>
        <v>10</v>
      </c>
    </row>
    <row r="3267" spans="1:16" ht="15" hidden="1" customHeight="1">
      <c r="A3267" s="839">
        <v>64776954</v>
      </c>
      <c r="B3267" s="839">
        <v>1352</v>
      </c>
      <c r="C3267" s="906">
        <v>1683</v>
      </c>
      <c r="D3267" s="907">
        <v>46085</v>
      </c>
      <c r="E3267" s="839" t="s">
        <v>285</v>
      </c>
      <c r="F3267" s="839" t="s">
        <v>224</v>
      </c>
      <c r="G3267" s="916">
        <f>VLOOKUP($A3267,'Tech Litons'!$A:$I,8,FALSE)</f>
        <v>3.8340000000000002E-3</v>
      </c>
      <c r="H3267" s="917">
        <f>VLOOKUP($A3267,'Tech Litons'!$A:$I,9,FALSE)</f>
        <v>130</v>
      </c>
      <c r="I3267" s="917" t="str">
        <f>VLOOKUP($A3267,'Tech Litons'!$A:$C,3,0)</f>
        <v>pG</v>
      </c>
      <c r="J3267" s="918" t="str">
        <f t="shared" si="336"/>
        <v>1352pG</v>
      </c>
      <c r="K3267" s="919">
        <v>1</v>
      </c>
      <c r="L3267" s="920">
        <f t="shared" si="337"/>
        <v>1683</v>
      </c>
      <c r="M3267" s="920">
        <f t="shared" si="338"/>
        <v>6.4526219999999999</v>
      </c>
      <c r="N3267" s="920">
        <f t="shared" si="339"/>
        <v>12.946153846153846</v>
      </c>
      <c r="O3267" s="918" t="str">
        <f t="shared" si="340"/>
        <v>Mar</v>
      </c>
      <c r="P3267" s="921">
        <f t="shared" si="341"/>
        <v>10</v>
      </c>
    </row>
    <row r="3268" spans="1:16" ht="15" hidden="1" customHeight="1">
      <c r="A3268" s="839">
        <v>64776954</v>
      </c>
      <c r="B3268" s="839">
        <v>1352</v>
      </c>
      <c r="C3268" s="906">
        <v>1040</v>
      </c>
      <c r="D3268" s="907">
        <v>46085</v>
      </c>
      <c r="E3268" s="839" t="s">
        <v>285</v>
      </c>
      <c r="F3268" s="839" t="s">
        <v>224</v>
      </c>
      <c r="G3268" s="916">
        <f>VLOOKUP($A3268,'Tech Litons'!$A:$I,8,FALSE)</f>
        <v>3.8340000000000002E-3</v>
      </c>
      <c r="H3268" s="917">
        <f>VLOOKUP($A3268,'Tech Litons'!$A:$I,9,FALSE)</f>
        <v>130</v>
      </c>
      <c r="I3268" s="917" t="str">
        <f>VLOOKUP($A3268,'Tech Litons'!$A:$C,3,0)</f>
        <v>pG</v>
      </c>
      <c r="J3268" s="918" t="str">
        <f t="shared" si="336"/>
        <v>1352pG</v>
      </c>
      <c r="K3268" s="919">
        <v>1</v>
      </c>
      <c r="L3268" s="920">
        <f t="shared" si="337"/>
        <v>1040</v>
      </c>
      <c r="M3268" s="920">
        <f t="shared" si="338"/>
        <v>3.9873600000000002</v>
      </c>
      <c r="N3268" s="920">
        <f t="shared" si="339"/>
        <v>8</v>
      </c>
      <c r="O3268" s="918" t="str">
        <f t="shared" si="340"/>
        <v>Mar</v>
      </c>
      <c r="P3268" s="921">
        <f t="shared" si="341"/>
        <v>10</v>
      </c>
    </row>
    <row r="3269" spans="1:16" ht="15" hidden="1" customHeight="1">
      <c r="A3269" s="839">
        <v>64776954</v>
      </c>
      <c r="B3269" s="839">
        <v>1352</v>
      </c>
      <c r="C3269" s="906">
        <v>3141</v>
      </c>
      <c r="D3269" s="907">
        <v>46086</v>
      </c>
      <c r="E3269" s="839" t="s">
        <v>285</v>
      </c>
      <c r="F3269" s="839" t="s">
        <v>224</v>
      </c>
      <c r="G3269" s="916">
        <f>VLOOKUP($A3269,'Tech Litons'!$A:$I,8,FALSE)</f>
        <v>3.8340000000000002E-3</v>
      </c>
      <c r="H3269" s="917">
        <f>VLOOKUP($A3269,'Tech Litons'!$A:$I,9,FALSE)</f>
        <v>130</v>
      </c>
      <c r="I3269" s="917" t="str">
        <f>VLOOKUP($A3269,'Tech Litons'!$A:$C,3,0)</f>
        <v>pG</v>
      </c>
      <c r="J3269" s="918" t="str">
        <f t="shared" si="336"/>
        <v>1352pG</v>
      </c>
      <c r="K3269" s="919">
        <v>1</v>
      </c>
      <c r="L3269" s="920">
        <f t="shared" si="337"/>
        <v>3141</v>
      </c>
      <c r="M3269" s="920">
        <f t="shared" si="338"/>
        <v>12.042594000000001</v>
      </c>
      <c r="N3269" s="920">
        <f t="shared" si="339"/>
        <v>24.161538461538463</v>
      </c>
      <c r="O3269" s="918" t="str">
        <f t="shared" si="340"/>
        <v>Mar</v>
      </c>
      <c r="P3269" s="921">
        <f t="shared" si="341"/>
        <v>10</v>
      </c>
    </row>
    <row r="3270" spans="1:16" ht="15" hidden="1" customHeight="1">
      <c r="A3270" s="839">
        <v>64776954</v>
      </c>
      <c r="B3270" s="839">
        <v>1352</v>
      </c>
      <c r="C3270" s="906">
        <v>1430</v>
      </c>
      <c r="D3270" s="907">
        <v>46086</v>
      </c>
      <c r="E3270" s="839" t="s">
        <v>285</v>
      </c>
      <c r="F3270" s="839" t="s">
        <v>224</v>
      </c>
      <c r="G3270" s="916">
        <f>VLOOKUP($A3270,'Tech Litons'!$A:$I,8,FALSE)</f>
        <v>3.8340000000000002E-3</v>
      </c>
      <c r="H3270" s="917">
        <f>VLOOKUP($A3270,'Tech Litons'!$A:$I,9,FALSE)</f>
        <v>130</v>
      </c>
      <c r="I3270" s="917" t="str">
        <f>VLOOKUP($A3270,'Tech Litons'!$A:$C,3,0)</f>
        <v>pG</v>
      </c>
      <c r="J3270" s="918" t="str">
        <f t="shared" si="336"/>
        <v>1352pG</v>
      </c>
      <c r="K3270" s="919">
        <v>1</v>
      </c>
      <c r="L3270" s="920">
        <f t="shared" si="337"/>
        <v>1430</v>
      </c>
      <c r="M3270" s="920">
        <f t="shared" si="338"/>
        <v>5.4826199999999998</v>
      </c>
      <c r="N3270" s="920">
        <f t="shared" si="339"/>
        <v>11</v>
      </c>
      <c r="O3270" s="918" t="str">
        <f t="shared" si="340"/>
        <v>Mar</v>
      </c>
      <c r="P3270" s="921">
        <f t="shared" si="341"/>
        <v>10</v>
      </c>
    </row>
    <row r="3271" spans="1:16" ht="15" hidden="1" customHeight="1">
      <c r="A3271" s="839">
        <v>64776954</v>
      </c>
      <c r="B3271" s="839">
        <v>1352</v>
      </c>
      <c r="C3271" s="906">
        <v>2728</v>
      </c>
      <c r="D3271" s="907">
        <v>46087</v>
      </c>
      <c r="E3271" s="839" t="s">
        <v>285</v>
      </c>
      <c r="F3271" s="839" t="s">
        <v>224</v>
      </c>
      <c r="G3271" s="916">
        <f>VLOOKUP($A3271,'Tech Litons'!$A:$I,8,FALSE)</f>
        <v>3.8340000000000002E-3</v>
      </c>
      <c r="H3271" s="917">
        <f>VLOOKUP($A3271,'Tech Litons'!$A:$I,9,FALSE)</f>
        <v>130</v>
      </c>
      <c r="I3271" s="917" t="str">
        <f>VLOOKUP($A3271,'Tech Litons'!$A:$C,3,0)</f>
        <v>pG</v>
      </c>
      <c r="J3271" s="918" t="str">
        <f t="shared" si="336"/>
        <v>1352pG</v>
      </c>
      <c r="K3271" s="919">
        <v>1</v>
      </c>
      <c r="L3271" s="920">
        <f t="shared" si="337"/>
        <v>2728</v>
      </c>
      <c r="M3271" s="920">
        <f t="shared" si="338"/>
        <v>10.459152000000001</v>
      </c>
      <c r="N3271" s="920">
        <f t="shared" si="339"/>
        <v>20.984615384615385</v>
      </c>
      <c r="O3271" s="918" t="str">
        <f t="shared" si="340"/>
        <v>Mar</v>
      </c>
      <c r="P3271" s="921">
        <f t="shared" si="341"/>
        <v>10</v>
      </c>
    </row>
    <row r="3272" spans="1:16" ht="15" hidden="1" customHeight="1">
      <c r="A3272" s="839">
        <v>64776954</v>
      </c>
      <c r="B3272" s="839">
        <v>1352</v>
      </c>
      <c r="C3272" s="906">
        <v>1430</v>
      </c>
      <c r="D3272" s="907">
        <v>46087</v>
      </c>
      <c r="E3272" s="839" t="s">
        <v>285</v>
      </c>
      <c r="F3272" s="839" t="s">
        <v>224</v>
      </c>
      <c r="G3272" s="916">
        <f>VLOOKUP($A3272,'Tech Litons'!$A:$I,8,FALSE)</f>
        <v>3.8340000000000002E-3</v>
      </c>
      <c r="H3272" s="917">
        <f>VLOOKUP($A3272,'Tech Litons'!$A:$I,9,FALSE)</f>
        <v>130</v>
      </c>
      <c r="I3272" s="917" t="str">
        <f>VLOOKUP($A3272,'Tech Litons'!$A:$C,3,0)</f>
        <v>pG</v>
      </c>
      <c r="J3272" s="918" t="str">
        <f t="shared" si="336"/>
        <v>1352pG</v>
      </c>
      <c r="K3272" s="919">
        <v>1</v>
      </c>
      <c r="L3272" s="920">
        <f t="shared" si="337"/>
        <v>1430</v>
      </c>
      <c r="M3272" s="920">
        <f t="shared" si="338"/>
        <v>5.4826199999999998</v>
      </c>
      <c r="N3272" s="920">
        <f t="shared" si="339"/>
        <v>11</v>
      </c>
      <c r="O3272" s="918" t="str">
        <f t="shared" si="340"/>
        <v>Mar</v>
      </c>
      <c r="P3272" s="921">
        <f t="shared" si="341"/>
        <v>10</v>
      </c>
    </row>
    <row r="3273" spans="1:16" ht="15" hidden="1" customHeight="1">
      <c r="A3273" s="839">
        <v>64776954</v>
      </c>
      <c r="B3273" s="839">
        <v>1352</v>
      </c>
      <c r="C3273" s="906">
        <v>2178</v>
      </c>
      <c r="D3273" s="907">
        <v>46088</v>
      </c>
      <c r="E3273" s="839" t="s">
        <v>285</v>
      </c>
      <c r="F3273" s="839" t="s">
        <v>224</v>
      </c>
      <c r="G3273" s="916">
        <f>VLOOKUP($A3273,'Tech Litons'!$A:$I,8,FALSE)</f>
        <v>3.8340000000000002E-3</v>
      </c>
      <c r="H3273" s="917">
        <f>VLOOKUP($A3273,'Tech Litons'!$A:$I,9,FALSE)</f>
        <v>130</v>
      </c>
      <c r="I3273" s="917" t="str">
        <f>VLOOKUP($A3273,'Tech Litons'!$A:$C,3,0)</f>
        <v>pG</v>
      </c>
      <c r="J3273" s="918" t="str">
        <f t="shared" si="336"/>
        <v>1352pG</v>
      </c>
      <c r="K3273" s="919">
        <v>1</v>
      </c>
      <c r="L3273" s="920">
        <f t="shared" si="337"/>
        <v>2178</v>
      </c>
      <c r="M3273" s="920">
        <f t="shared" si="338"/>
        <v>8.3504520000000007</v>
      </c>
      <c r="N3273" s="920">
        <f t="shared" si="339"/>
        <v>16.753846153846155</v>
      </c>
      <c r="O3273" s="918" t="str">
        <f t="shared" si="340"/>
        <v>Mar</v>
      </c>
      <c r="P3273" s="921">
        <f t="shared" si="341"/>
        <v>10</v>
      </c>
    </row>
    <row r="3274" spans="1:16" ht="15" hidden="1" customHeight="1">
      <c r="A3274" s="839">
        <v>64776954</v>
      </c>
      <c r="B3274" s="839">
        <v>1352</v>
      </c>
      <c r="C3274" s="906">
        <v>1690</v>
      </c>
      <c r="D3274" s="907">
        <v>46090</v>
      </c>
      <c r="E3274" s="839" t="s">
        <v>285</v>
      </c>
      <c r="F3274" s="839" t="s">
        <v>224</v>
      </c>
      <c r="G3274" s="916">
        <f>VLOOKUP($A3274,'Tech Litons'!$A:$I,8,FALSE)</f>
        <v>3.8340000000000002E-3</v>
      </c>
      <c r="H3274" s="917">
        <f>VLOOKUP($A3274,'Tech Litons'!$A:$I,9,FALSE)</f>
        <v>130</v>
      </c>
      <c r="I3274" s="917" t="str">
        <f>VLOOKUP($A3274,'Tech Litons'!$A:$C,3,0)</f>
        <v>pG</v>
      </c>
      <c r="J3274" s="918" t="str">
        <f t="shared" si="336"/>
        <v>1352pG</v>
      </c>
      <c r="K3274" s="919">
        <v>1</v>
      </c>
      <c r="L3274" s="920">
        <f t="shared" si="337"/>
        <v>1690</v>
      </c>
      <c r="M3274" s="920">
        <f t="shared" si="338"/>
        <v>6.4794600000000004</v>
      </c>
      <c r="N3274" s="920">
        <f t="shared" si="339"/>
        <v>13</v>
      </c>
      <c r="O3274" s="918" t="str">
        <f t="shared" si="340"/>
        <v>Mar</v>
      </c>
      <c r="P3274" s="921">
        <f t="shared" si="341"/>
        <v>11</v>
      </c>
    </row>
    <row r="3275" spans="1:16" ht="15" hidden="1" customHeight="1">
      <c r="A3275" s="839">
        <v>64776954</v>
      </c>
      <c r="B3275" s="839">
        <v>1352</v>
      </c>
      <c r="C3275" s="906">
        <v>1766</v>
      </c>
      <c r="D3275" s="907">
        <v>46091</v>
      </c>
      <c r="E3275" s="839" t="s">
        <v>285</v>
      </c>
      <c r="F3275" s="839" t="s">
        <v>224</v>
      </c>
      <c r="G3275" s="916">
        <f>VLOOKUP($A3275,'Tech Litons'!$A:$I,8,FALSE)</f>
        <v>3.8340000000000002E-3</v>
      </c>
      <c r="H3275" s="917">
        <f>VLOOKUP($A3275,'Tech Litons'!$A:$I,9,FALSE)</f>
        <v>130</v>
      </c>
      <c r="I3275" s="917" t="str">
        <f>VLOOKUP($A3275,'Tech Litons'!$A:$C,3,0)</f>
        <v>pG</v>
      </c>
      <c r="J3275" s="918" t="str">
        <f t="shared" si="336"/>
        <v>1352pG</v>
      </c>
      <c r="K3275" s="919">
        <v>1</v>
      </c>
      <c r="L3275" s="920">
        <f t="shared" si="337"/>
        <v>1766</v>
      </c>
      <c r="M3275" s="920">
        <f t="shared" si="338"/>
        <v>6.7708440000000003</v>
      </c>
      <c r="N3275" s="920">
        <f t="shared" si="339"/>
        <v>13.584615384615384</v>
      </c>
      <c r="O3275" s="918" t="str">
        <f t="shared" si="340"/>
        <v>Mar</v>
      </c>
      <c r="P3275" s="921">
        <f t="shared" si="341"/>
        <v>11</v>
      </c>
    </row>
    <row r="3276" spans="1:16" ht="15" hidden="1" customHeight="1">
      <c r="A3276" s="839">
        <v>64776954</v>
      </c>
      <c r="B3276" s="839">
        <v>1352</v>
      </c>
      <c r="C3276" s="906">
        <v>2080</v>
      </c>
      <c r="D3276" s="907">
        <v>46091</v>
      </c>
      <c r="E3276" s="839" t="s">
        <v>285</v>
      </c>
      <c r="F3276" s="839" t="s">
        <v>224</v>
      </c>
      <c r="G3276" s="916">
        <f>VLOOKUP($A3276,'Tech Litons'!$A:$I,8,FALSE)</f>
        <v>3.8340000000000002E-3</v>
      </c>
      <c r="H3276" s="917">
        <f>VLOOKUP($A3276,'Tech Litons'!$A:$I,9,FALSE)</f>
        <v>130</v>
      </c>
      <c r="I3276" s="917" t="str">
        <f>VLOOKUP($A3276,'Tech Litons'!$A:$C,3,0)</f>
        <v>pG</v>
      </c>
      <c r="J3276" s="918" t="str">
        <f t="shared" si="336"/>
        <v>1352pG</v>
      </c>
      <c r="K3276" s="919">
        <v>1</v>
      </c>
      <c r="L3276" s="920">
        <f t="shared" si="337"/>
        <v>2080</v>
      </c>
      <c r="M3276" s="920">
        <f t="shared" si="338"/>
        <v>7.9747200000000005</v>
      </c>
      <c r="N3276" s="920">
        <f t="shared" si="339"/>
        <v>16</v>
      </c>
      <c r="O3276" s="918" t="str">
        <f t="shared" si="340"/>
        <v>Mar</v>
      </c>
      <c r="P3276" s="921">
        <f t="shared" si="341"/>
        <v>11</v>
      </c>
    </row>
    <row r="3277" spans="1:16" ht="15" hidden="1" customHeight="1">
      <c r="A3277" s="839">
        <v>64776954</v>
      </c>
      <c r="B3277" s="839">
        <v>1352</v>
      </c>
      <c r="C3277" s="906">
        <v>2436</v>
      </c>
      <c r="D3277" s="907">
        <v>46092</v>
      </c>
      <c r="E3277" s="839" t="s">
        <v>285</v>
      </c>
      <c r="F3277" s="839" t="s">
        <v>224</v>
      </c>
      <c r="G3277" s="916">
        <f>VLOOKUP($A3277,'Tech Litons'!$A:$I,8,FALSE)</f>
        <v>3.8340000000000002E-3</v>
      </c>
      <c r="H3277" s="917">
        <f>VLOOKUP($A3277,'Tech Litons'!$A:$I,9,FALSE)</f>
        <v>130</v>
      </c>
      <c r="I3277" s="917" t="str">
        <f>VLOOKUP($A3277,'Tech Litons'!$A:$C,3,0)</f>
        <v>pG</v>
      </c>
      <c r="J3277" s="918" t="str">
        <f t="shared" si="336"/>
        <v>1352pG</v>
      </c>
      <c r="K3277" s="919">
        <v>1</v>
      </c>
      <c r="L3277" s="920">
        <f t="shared" si="337"/>
        <v>2436</v>
      </c>
      <c r="M3277" s="920">
        <f t="shared" si="338"/>
        <v>9.3396240000000006</v>
      </c>
      <c r="N3277" s="920">
        <f t="shared" si="339"/>
        <v>18.738461538461539</v>
      </c>
      <c r="O3277" s="918" t="str">
        <f t="shared" si="340"/>
        <v>Mar</v>
      </c>
      <c r="P3277" s="921">
        <f t="shared" si="341"/>
        <v>11</v>
      </c>
    </row>
    <row r="3278" spans="1:16" ht="15" hidden="1" customHeight="1">
      <c r="A3278" s="839">
        <v>64776954</v>
      </c>
      <c r="B3278" s="839">
        <v>1352</v>
      </c>
      <c r="C3278" s="906">
        <v>1560</v>
      </c>
      <c r="D3278" s="907">
        <v>46092</v>
      </c>
      <c r="E3278" s="839" t="s">
        <v>285</v>
      </c>
      <c r="F3278" s="839" t="s">
        <v>224</v>
      </c>
      <c r="G3278" s="916">
        <f>VLOOKUP($A3278,'Tech Litons'!$A:$I,8,FALSE)</f>
        <v>3.8340000000000002E-3</v>
      </c>
      <c r="H3278" s="917">
        <f>VLOOKUP($A3278,'Tech Litons'!$A:$I,9,FALSE)</f>
        <v>130</v>
      </c>
      <c r="I3278" s="917" t="str">
        <f>VLOOKUP($A3278,'Tech Litons'!$A:$C,3,0)</f>
        <v>pG</v>
      </c>
      <c r="J3278" s="918" t="str">
        <f t="shared" si="336"/>
        <v>1352pG</v>
      </c>
      <c r="K3278" s="919">
        <v>1</v>
      </c>
      <c r="L3278" s="920">
        <f t="shared" si="337"/>
        <v>1560</v>
      </c>
      <c r="M3278" s="920">
        <f t="shared" si="338"/>
        <v>5.9810400000000001</v>
      </c>
      <c r="N3278" s="920">
        <f t="shared" si="339"/>
        <v>12</v>
      </c>
      <c r="O3278" s="918" t="str">
        <f t="shared" si="340"/>
        <v>Mar</v>
      </c>
      <c r="P3278" s="921">
        <f t="shared" si="341"/>
        <v>11</v>
      </c>
    </row>
    <row r="3279" spans="1:16" ht="15" hidden="1" customHeight="1">
      <c r="A3279" s="839">
        <v>64776954</v>
      </c>
      <c r="B3279" s="839">
        <v>1352</v>
      </c>
      <c r="C3279" s="906">
        <v>2696</v>
      </c>
      <c r="D3279" s="907">
        <v>46093</v>
      </c>
      <c r="E3279" s="839" t="s">
        <v>285</v>
      </c>
      <c r="F3279" s="839" t="s">
        <v>224</v>
      </c>
      <c r="G3279" s="916">
        <f>VLOOKUP($A3279,'Tech Litons'!$A:$I,8,FALSE)</f>
        <v>3.8340000000000002E-3</v>
      </c>
      <c r="H3279" s="917">
        <f>VLOOKUP($A3279,'Tech Litons'!$A:$I,9,FALSE)</f>
        <v>130</v>
      </c>
      <c r="I3279" s="917" t="str">
        <f>VLOOKUP($A3279,'Tech Litons'!$A:$C,3,0)</f>
        <v>pG</v>
      </c>
      <c r="J3279" s="918" t="str">
        <f t="shared" si="336"/>
        <v>1352pG</v>
      </c>
      <c r="K3279" s="919">
        <v>1</v>
      </c>
      <c r="L3279" s="920">
        <f t="shared" si="337"/>
        <v>2696</v>
      </c>
      <c r="M3279" s="920">
        <f t="shared" si="338"/>
        <v>10.336464000000001</v>
      </c>
      <c r="N3279" s="920">
        <f t="shared" si="339"/>
        <v>20.738461538461539</v>
      </c>
      <c r="O3279" s="918" t="str">
        <f t="shared" si="340"/>
        <v>Mar</v>
      </c>
      <c r="P3279" s="921">
        <f t="shared" si="341"/>
        <v>11</v>
      </c>
    </row>
    <row r="3280" spans="1:16" ht="15" hidden="1" customHeight="1">
      <c r="A3280" s="839">
        <v>64776954</v>
      </c>
      <c r="B3280" s="839">
        <v>1352</v>
      </c>
      <c r="C3280" s="906">
        <v>1560</v>
      </c>
      <c r="D3280" s="907">
        <v>46093</v>
      </c>
      <c r="E3280" s="839" t="s">
        <v>285</v>
      </c>
      <c r="F3280" s="839" t="s">
        <v>224</v>
      </c>
      <c r="G3280" s="916">
        <f>VLOOKUP($A3280,'Tech Litons'!$A:$I,8,FALSE)</f>
        <v>3.8340000000000002E-3</v>
      </c>
      <c r="H3280" s="917">
        <f>VLOOKUP($A3280,'Tech Litons'!$A:$I,9,FALSE)</f>
        <v>130</v>
      </c>
      <c r="I3280" s="917" t="str">
        <f>VLOOKUP($A3280,'Tech Litons'!$A:$C,3,0)</f>
        <v>pG</v>
      </c>
      <c r="J3280" s="918" t="str">
        <f t="shared" si="336"/>
        <v>1352pG</v>
      </c>
      <c r="K3280" s="919">
        <v>1</v>
      </c>
      <c r="L3280" s="920">
        <f t="shared" si="337"/>
        <v>1560</v>
      </c>
      <c r="M3280" s="920">
        <f t="shared" si="338"/>
        <v>5.9810400000000001</v>
      </c>
      <c r="N3280" s="920">
        <f t="shared" si="339"/>
        <v>12</v>
      </c>
      <c r="O3280" s="918" t="str">
        <f t="shared" si="340"/>
        <v>Mar</v>
      </c>
      <c r="P3280" s="921">
        <f t="shared" si="341"/>
        <v>11</v>
      </c>
    </row>
    <row r="3281" spans="1:16" ht="15" hidden="1" customHeight="1">
      <c r="A3281" s="839">
        <v>64776954</v>
      </c>
      <c r="B3281" s="839">
        <v>1352</v>
      </c>
      <c r="C3281" s="906">
        <v>2360</v>
      </c>
      <c r="D3281" s="907">
        <v>46094</v>
      </c>
      <c r="E3281" s="839" t="s">
        <v>285</v>
      </c>
      <c r="F3281" s="839" t="s">
        <v>224</v>
      </c>
      <c r="G3281" s="916">
        <f>VLOOKUP($A3281,'Tech Litons'!$A:$I,8,FALSE)</f>
        <v>3.8340000000000002E-3</v>
      </c>
      <c r="H3281" s="917">
        <f>VLOOKUP($A3281,'Tech Litons'!$A:$I,9,FALSE)</f>
        <v>130</v>
      </c>
      <c r="I3281" s="917" t="str">
        <f>VLOOKUP($A3281,'Tech Litons'!$A:$C,3,0)</f>
        <v>pG</v>
      </c>
      <c r="J3281" s="918" t="str">
        <f t="shared" si="336"/>
        <v>1352pG</v>
      </c>
      <c r="K3281" s="919">
        <v>1</v>
      </c>
      <c r="L3281" s="920">
        <f t="shared" si="337"/>
        <v>2360</v>
      </c>
      <c r="M3281" s="920">
        <f t="shared" si="338"/>
        <v>9.0482399999999998</v>
      </c>
      <c r="N3281" s="920">
        <f t="shared" si="339"/>
        <v>18.153846153846153</v>
      </c>
      <c r="O3281" s="918" t="str">
        <f t="shared" si="340"/>
        <v>Mar</v>
      </c>
      <c r="P3281" s="921">
        <f t="shared" si="341"/>
        <v>11</v>
      </c>
    </row>
    <row r="3282" spans="1:16" ht="15" hidden="1" customHeight="1">
      <c r="A3282" s="839">
        <v>64776954</v>
      </c>
      <c r="B3282" s="839">
        <v>1352</v>
      </c>
      <c r="C3282" s="906">
        <v>130</v>
      </c>
      <c r="D3282" s="907">
        <v>46096</v>
      </c>
      <c r="E3282" s="839" t="s">
        <v>285</v>
      </c>
      <c r="F3282" s="839" t="s">
        <v>224</v>
      </c>
      <c r="G3282" s="916">
        <f>VLOOKUP($A3282,'Tech Litons'!$A:$I,8,FALSE)</f>
        <v>3.8340000000000002E-3</v>
      </c>
      <c r="H3282" s="917">
        <f>VLOOKUP($A3282,'Tech Litons'!$A:$I,9,FALSE)</f>
        <v>130</v>
      </c>
      <c r="I3282" s="917" t="str">
        <f>VLOOKUP($A3282,'Tech Litons'!$A:$C,3,0)</f>
        <v>pG</v>
      </c>
      <c r="J3282" s="918" t="str">
        <f t="shared" si="336"/>
        <v>1352pG</v>
      </c>
      <c r="K3282" s="919">
        <v>1</v>
      </c>
      <c r="L3282" s="920">
        <f t="shared" si="337"/>
        <v>130</v>
      </c>
      <c r="M3282" s="920">
        <f t="shared" si="338"/>
        <v>0.49842000000000003</v>
      </c>
      <c r="N3282" s="920">
        <f t="shared" si="339"/>
        <v>1</v>
      </c>
      <c r="O3282" s="918" t="str">
        <f t="shared" si="340"/>
        <v>Mar</v>
      </c>
      <c r="P3282" s="921">
        <f t="shared" si="341"/>
        <v>12</v>
      </c>
    </row>
    <row r="3283" spans="1:16" ht="15" hidden="1" customHeight="1">
      <c r="A3283" s="839">
        <v>64776954</v>
      </c>
      <c r="B3283" s="839">
        <v>1352</v>
      </c>
      <c r="C3283" s="906">
        <v>1040</v>
      </c>
      <c r="D3283" s="907">
        <v>46094</v>
      </c>
      <c r="E3283" s="839" t="s">
        <v>285</v>
      </c>
      <c r="F3283" s="839" t="s">
        <v>224</v>
      </c>
      <c r="G3283" s="916">
        <f>VLOOKUP($A3283,'Tech Litons'!$A:$I,8,FALSE)</f>
        <v>3.8340000000000002E-3</v>
      </c>
      <c r="H3283" s="917">
        <f>VLOOKUP($A3283,'Tech Litons'!$A:$I,9,FALSE)</f>
        <v>130</v>
      </c>
      <c r="I3283" s="917" t="str">
        <f>VLOOKUP($A3283,'Tech Litons'!$A:$C,3,0)</f>
        <v>pG</v>
      </c>
      <c r="J3283" s="918" t="str">
        <f t="shared" si="336"/>
        <v>1352pG</v>
      </c>
      <c r="K3283" s="919">
        <v>1</v>
      </c>
      <c r="L3283" s="920">
        <f t="shared" si="337"/>
        <v>1040</v>
      </c>
      <c r="M3283" s="920">
        <f t="shared" si="338"/>
        <v>3.9873600000000002</v>
      </c>
      <c r="N3283" s="920">
        <f t="shared" si="339"/>
        <v>8</v>
      </c>
      <c r="O3283" s="918" t="str">
        <f t="shared" si="340"/>
        <v>Mar</v>
      </c>
      <c r="P3283" s="921">
        <f t="shared" si="341"/>
        <v>11</v>
      </c>
    </row>
    <row r="3284" spans="1:16" ht="15" hidden="1" customHeight="1">
      <c r="A3284" s="839">
        <v>64776954</v>
      </c>
      <c r="B3284" s="839">
        <v>1352</v>
      </c>
      <c r="C3284" s="906">
        <v>1395</v>
      </c>
      <c r="D3284" s="907">
        <v>46095</v>
      </c>
      <c r="E3284" s="839" t="s">
        <v>285</v>
      </c>
      <c r="F3284" s="839" t="s">
        <v>224</v>
      </c>
      <c r="G3284" s="916">
        <f>VLOOKUP($A3284,'Tech Litons'!$A:$I,8,FALSE)</f>
        <v>3.8340000000000002E-3</v>
      </c>
      <c r="H3284" s="917">
        <f>VLOOKUP($A3284,'Tech Litons'!$A:$I,9,FALSE)</f>
        <v>130</v>
      </c>
      <c r="I3284" s="917" t="str">
        <f>VLOOKUP($A3284,'Tech Litons'!$A:$C,3,0)</f>
        <v>pG</v>
      </c>
      <c r="J3284" s="918" t="str">
        <f t="shared" si="336"/>
        <v>1352pG</v>
      </c>
      <c r="K3284" s="919">
        <v>1</v>
      </c>
      <c r="L3284" s="920">
        <f t="shared" si="337"/>
        <v>1395</v>
      </c>
      <c r="M3284" s="920">
        <f t="shared" si="338"/>
        <v>5.3484300000000005</v>
      </c>
      <c r="N3284" s="920">
        <f t="shared" si="339"/>
        <v>10.73076923076923</v>
      </c>
      <c r="O3284" s="918" t="str">
        <f t="shared" si="340"/>
        <v>Mar</v>
      </c>
      <c r="P3284" s="921">
        <f t="shared" si="341"/>
        <v>11</v>
      </c>
    </row>
    <row r="3285" spans="1:16" ht="15" hidden="1" customHeight="1">
      <c r="A3285" s="839">
        <v>64776954</v>
      </c>
      <c r="B3285" s="839">
        <v>1352</v>
      </c>
      <c r="C3285" s="906">
        <v>650</v>
      </c>
      <c r="D3285" s="907">
        <v>46097</v>
      </c>
      <c r="E3285" s="839" t="s">
        <v>285</v>
      </c>
      <c r="F3285" s="839" t="s">
        <v>224</v>
      </c>
      <c r="G3285" s="916">
        <f>VLOOKUP($A3285,'Tech Litons'!$A:$I,8,FALSE)</f>
        <v>3.8340000000000002E-3</v>
      </c>
      <c r="H3285" s="917">
        <f>VLOOKUP($A3285,'Tech Litons'!$A:$I,9,FALSE)</f>
        <v>130</v>
      </c>
      <c r="I3285" s="917" t="str">
        <f>VLOOKUP($A3285,'Tech Litons'!$A:$C,3,0)</f>
        <v>pG</v>
      </c>
      <c r="J3285" s="918" t="str">
        <f t="shared" si="336"/>
        <v>1352pG</v>
      </c>
      <c r="K3285" s="919">
        <v>1</v>
      </c>
      <c r="L3285" s="920">
        <f t="shared" si="337"/>
        <v>650</v>
      </c>
      <c r="M3285" s="920">
        <f t="shared" si="338"/>
        <v>2.4921000000000002</v>
      </c>
      <c r="N3285" s="920">
        <f t="shared" si="339"/>
        <v>5</v>
      </c>
      <c r="O3285" s="918" t="str">
        <f t="shared" si="340"/>
        <v>Mar</v>
      </c>
      <c r="P3285" s="921">
        <f t="shared" si="341"/>
        <v>12</v>
      </c>
    </row>
    <row r="3286" spans="1:16" ht="15" hidden="1" customHeight="1">
      <c r="A3286" s="839">
        <v>64776954</v>
      </c>
      <c r="B3286" s="839">
        <v>1352</v>
      </c>
      <c r="C3286" s="906">
        <v>2384</v>
      </c>
      <c r="D3286" s="907">
        <v>46098</v>
      </c>
      <c r="E3286" s="839" t="s">
        <v>285</v>
      </c>
      <c r="F3286" s="839" t="s">
        <v>224</v>
      </c>
      <c r="G3286" s="916">
        <f>VLOOKUP($A3286,'Tech Litons'!$A:$I,8,FALSE)</f>
        <v>3.8340000000000002E-3</v>
      </c>
      <c r="H3286" s="917">
        <f>VLOOKUP($A3286,'Tech Litons'!$A:$I,9,FALSE)</f>
        <v>130</v>
      </c>
      <c r="I3286" s="917" t="str">
        <f>VLOOKUP($A3286,'Tech Litons'!$A:$C,3,0)</f>
        <v>pG</v>
      </c>
      <c r="J3286" s="918" t="str">
        <f t="shared" si="336"/>
        <v>1352pG</v>
      </c>
      <c r="K3286" s="919">
        <v>1</v>
      </c>
      <c r="L3286" s="920">
        <f t="shared" si="337"/>
        <v>2384</v>
      </c>
      <c r="M3286" s="920">
        <f t="shared" si="338"/>
        <v>9.1402560000000008</v>
      </c>
      <c r="N3286" s="920">
        <f t="shared" si="339"/>
        <v>18.338461538461537</v>
      </c>
      <c r="O3286" s="918" t="str">
        <f t="shared" si="340"/>
        <v>Mar</v>
      </c>
      <c r="P3286" s="921">
        <f t="shared" si="341"/>
        <v>12</v>
      </c>
    </row>
    <row r="3287" spans="1:16" ht="15" hidden="1" customHeight="1">
      <c r="A3287" s="839">
        <v>64776954</v>
      </c>
      <c r="B3287" s="839">
        <v>1352</v>
      </c>
      <c r="C3287" s="906">
        <v>2457</v>
      </c>
      <c r="D3287" s="907">
        <v>46098</v>
      </c>
      <c r="E3287" s="839" t="s">
        <v>285</v>
      </c>
      <c r="F3287" s="839" t="s">
        <v>224</v>
      </c>
      <c r="G3287" s="916">
        <f>VLOOKUP($A3287,'Tech Litons'!$A:$I,8,FALSE)</f>
        <v>3.8340000000000002E-3</v>
      </c>
      <c r="H3287" s="917">
        <f>VLOOKUP($A3287,'Tech Litons'!$A:$I,9,FALSE)</f>
        <v>130</v>
      </c>
      <c r="I3287" s="917" t="str">
        <f>VLOOKUP($A3287,'Tech Litons'!$A:$C,3,0)</f>
        <v>pG</v>
      </c>
      <c r="J3287" s="918" t="str">
        <f t="shared" si="336"/>
        <v>1352pG</v>
      </c>
      <c r="K3287" s="919">
        <v>1</v>
      </c>
      <c r="L3287" s="920">
        <f t="shared" si="337"/>
        <v>2457</v>
      </c>
      <c r="M3287" s="920">
        <f t="shared" si="338"/>
        <v>9.4201379999999997</v>
      </c>
      <c r="N3287" s="920">
        <f t="shared" si="339"/>
        <v>18.899999999999999</v>
      </c>
      <c r="O3287" s="918" t="str">
        <f t="shared" si="340"/>
        <v>Mar</v>
      </c>
      <c r="P3287" s="921">
        <f t="shared" si="341"/>
        <v>12</v>
      </c>
    </row>
    <row r="3288" spans="1:16" ht="15" hidden="1" customHeight="1">
      <c r="A3288" s="839">
        <v>64776954</v>
      </c>
      <c r="B3288" s="839">
        <v>1352</v>
      </c>
      <c r="C3288" s="906">
        <v>3022</v>
      </c>
      <c r="D3288" s="907">
        <v>46099</v>
      </c>
      <c r="E3288" s="839" t="s">
        <v>285</v>
      </c>
      <c r="F3288" s="839" t="s">
        <v>224</v>
      </c>
      <c r="G3288" s="916">
        <f>VLOOKUP($A3288,'Tech Litons'!$A:$I,8,FALSE)</f>
        <v>3.8340000000000002E-3</v>
      </c>
      <c r="H3288" s="917">
        <f>VLOOKUP($A3288,'Tech Litons'!$A:$I,9,FALSE)</f>
        <v>130</v>
      </c>
      <c r="I3288" s="917" t="str">
        <f>VLOOKUP($A3288,'Tech Litons'!$A:$C,3,0)</f>
        <v>pG</v>
      </c>
      <c r="J3288" s="918" t="str">
        <f t="shared" si="336"/>
        <v>1352pG</v>
      </c>
      <c r="K3288" s="919">
        <v>1</v>
      </c>
      <c r="L3288" s="920">
        <f t="shared" si="337"/>
        <v>3022</v>
      </c>
      <c r="M3288" s="920">
        <f t="shared" si="338"/>
        <v>11.586348000000001</v>
      </c>
      <c r="N3288" s="920">
        <f t="shared" si="339"/>
        <v>23.246153846153845</v>
      </c>
      <c r="O3288" s="918" t="str">
        <f t="shared" si="340"/>
        <v>Mar</v>
      </c>
      <c r="P3288" s="921">
        <f t="shared" si="341"/>
        <v>12</v>
      </c>
    </row>
    <row r="3289" spans="1:16" ht="15" hidden="1" customHeight="1">
      <c r="A3289" s="839">
        <v>64776954</v>
      </c>
      <c r="B3289" s="839">
        <v>1352</v>
      </c>
      <c r="C3289" s="906">
        <v>1690</v>
      </c>
      <c r="D3289" s="907">
        <v>46099</v>
      </c>
      <c r="E3289" s="839" t="s">
        <v>285</v>
      </c>
      <c r="F3289" s="839" t="s">
        <v>224</v>
      </c>
      <c r="G3289" s="916">
        <f>VLOOKUP($A3289,'Tech Litons'!$A:$I,8,FALSE)</f>
        <v>3.8340000000000002E-3</v>
      </c>
      <c r="H3289" s="917">
        <f>VLOOKUP($A3289,'Tech Litons'!$A:$I,9,FALSE)</f>
        <v>130</v>
      </c>
      <c r="I3289" s="917" t="str">
        <f>VLOOKUP($A3289,'Tech Litons'!$A:$C,3,0)</f>
        <v>pG</v>
      </c>
      <c r="J3289" s="918" t="str">
        <f t="shared" si="336"/>
        <v>1352pG</v>
      </c>
      <c r="K3289" s="919">
        <v>1</v>
      </c>
      <c r="L3289" s="920">
        <f t="shared" si="337"/>
        <v>1690</v>
      </c>
      <c r="M3289" s="920">
        <f t="shared" si="338"/>
        <v>6.4794600000000004</v>
      </c>
      <c r="N3289" s="920">
        <f t="shared" si="339"/>
        <v>13</v>
      </c>
      <c r="O3289" s="918" t="str">
        <f t="shared" si="340"/>
        <v>Mar</v>
      </c>
      <c r="P3289" s="921">
        <f t="shared" si="341"/>
        <v>12</v>
      </c>
    </row>
    <row r="3290" spans="1:16" ht="15" hidden="1" customHeight="1">
      <c r="A3290" s="839">
        <v>64776954</v>
      </c>
      <c r="B3290" s="839">
        <v>1352</v>
      </c>
      <c r="C3290" s="906">
        <v>2637</v>
      </c>
      <c r="D3290" s="907">
        <v>46100</v>
      </c>
      <c r="E3290" s="839" t="s">
        <v>285</v>
      </c>
      <c r="F3290" s="839" t="s">
        <v>224</v>
      </c>
      <c r="G3290" s="916">
        <f>VLOOKUP($A3290,'Tech Litons'!$A:$I,8,FALSE)</f>
        <v>3.8340000000000002E-3</v>
      </c>
      <c r="H3290" s="917">
        <f>VLOOKUP($A3290,'Tech Litons'!$A:$I,9,FALSE)</f>
        <v>130</v>
      </c>
      <c r="I3290" s="917" t="str">
        <f>VLOOKUP($A3290,'Tech Litons'!$A:$C,3,0)</f>
        <v>pG</v>
      </c>
      <c r="J3290" s="918" t="str">
        <f t="shared" si="336"/>
        <v>1352pG</v>
      </c>
      <c r="K3290" s="919">
        <v>1</v>
      </c>
      <c r="L3290" s="920">
        <f t="shared" si="337"/>
        <v>2637</v>
      </c>
      <c r="M3290" s="920">
        <f t="shared" si="338"/>
        <v>10.110258</v>
      </c>
      <c r="N3290" s="920">
        <f t="shared" si="339"/>
        <v>20.284615384615385</v>
      </c>
      <c r="O3290" s="918" t="str">
        <f t="shared" si="340"/>
        <v>Mar</v>
      </c>
      <c r="P3290" s="921">
        <f t="shared" si="341"/>
        <v>12</v>
      </c>
    </row>
    <row r="3291" spans="1:16" ht="15" hidden="1" customHeight="1">
      <c r="A3291" s="839">
        <v>64776954</v>
      </c>
      <c r="B3291" s="839">
        <v>1352</v>
      </c>
      <c r="C3291" s="906">
        <v>1820</v>
      </c>
      <c r="D3291" s="907">
        <v>46100</v>
      </c>
      <c r="E3291" s="839" t="s">
        <v>285</v>
      </c>
      <c r="F3291" s="839" t="s">
        <v>224</v>
      </c>
      <c r="G3291" s="916">
        <f>VLOOKUP($A3291,'Tech Litons'!$A:$I,8,FALSE)</f>
        <v>3.8340000000000002E-3</v>
      </c>
      <c r="H3291" s="917">
        <f>VLOOKUP($A3291,'Tech Litons'!$A:$I,9,FALSE)</f>
        <v>130</v>
      </c>
      <c r="I3291" s="917" t="str">
        <f>VLOOKUP($A3291,'Tech Litons'!$A:$C,3,0)</f>
        <v>pG</v>
      </c>
      <c r="J3291" s="918" t="str">
        <f t="shared" si="336"/>
        <v>1352pG</v>
      </c>
      <c r="K3291" s="919">
        <v>1</v>
      </c>
      <c r="L3291" s="920">
        <f t="shared" si="337"/>
        <v>1820</v>
      </c>
      <c r="M3291" s="920">
        <f t="shared" si="338"/>
        <v>6.9778800000000007</v>
      </c>
      <c r="N3291" s="920">
        <f t="shared" si="339"/>
        <v>14</v>
      </c>
      <c r="O3291" s="918" t="str">
        <f t="shared" si="340"/>
        <v>Mar</v>
      </c>
      <c r="P3291" s="921">
        <f t="shared" si="341"/>
        <v>12</v>
      </c>
    </row>
    <row r="3292" spans="1:16" ht="15" hidden="1" customHeight="1">
      <c r="A3292" s="839">
        <v>64776954</v>
      </c>
      <c r="B3292" s="839">
        <v>1352</v>
      </c>
      <c r="C3292" s="906">
        <v>3404</v>
      </c>
      <c r="D3292" s="907">
        <v>46101</v>
      </c>
      <c r="E3292" s="839" t="s">
        <v>285</v>
      </c>
      <c r="F3292" s="839" t="s">
        <v>224</v>
      </c>
      <c r="G3292" s="916">
        <f>VLOOKUP($A3292,'Tech Litons'!$A:$I,8,FALSE)</f>
        <v>3.8340000000000002E-3</v>
      </c>
      <c r="H3292" s="917">
        <f>VLOOKUP($A3292,'Tech Litons'!$A:$I,9,FALSE)</f>
        <v>130</v>
      </c>
      <c r="I3292" s="917" t="str">
        <f>VLOOKUP($A3292,'Tech Litons'!$A:$C,3,0)</f>
        <v>pG</v>
      </c>
      <c r="J3292" s="918" t="str">
        <f t="shared" si="336"/>
        <v>1352pG</v>
      </c>
      <c r="K3292" s="919">
        <v>1</v>
      </c>
      <c r="L3292" s="920">
        <f t="shared" si="337"/>
        <v>3404</v>
      </c>
      <c r="M3292" s="920">
        <f t="shared" si="338"/>
        <v>13.050936</v>
      </c>
      <c r="N3292" s="920">
        <f t="shared" si="339"/>
        <v>26.184615384615384</v>
      </c>
      <c r="O3292" s="918" t="str">
        <f t="shared" si="340"/>
        <v>Mar</v>
      </c>
      <c r="P3292" s="921">
        <f t="shared" si="341"/>
        <v>12</v>
      </c>
    </row>
    <row r="3293" spans="1:16" ht="15" hidden="1" customHeight="1">
      <c r="A3293" s="839">
        <v>64776954</v>
      </c>
      <c r="B3293" s="839">
        <v>1352</v>
      </c>
      <c r="C3293" s="906">
        <v>2470</v>
      </c>
      <c r="D3293" s="907">
        <v>46101</v>
      </c>
      <c r="E3293" s="839" t="s">
        <v>285</v>
      </c>
      <c r="F3293" s="839" t="s">
        <v>224</v>
      </c>
      <c r="G3293" s="916">
        <f>VLOOKUP($A3293,'Tech Litons'!$A:$I,8,FALSE)</f>
        <v>3.8340000000000002E-3</v>
      </c>
      <c r="H3293" s="917">
        <f>VLOOKUP($A3293,'Tech Litons'!$A:$I,9,FALSE)</f>
        <v>130</v>
      </c>
      <c r="I3293" s="917" t="str">
        <f>VLOOKUP($A3293,'Tech Litons'!$A:$C,3,0)</f>
        <v>pG</v>
      </c>
      <c r="J3293" s="918" t="str">
        <f t="shared" si="336"/>
        <v>1352pG</v>
      </c>
      <c r="K3293" s="919">
        <v>1</v>
      </c>
      <c r="L3293" s="920">
        <f t="shared" si="337"/>
        <v>2470</v>
      </c>
      <c r="M3293" s="920">
        <f t="shared" si="338"/>
        <v>9.4699799999999996</v>
      </c>
      <c r="N3293" s="920">
        <f t="shared" si="339"/>
        <v>19</v>
      </c>
      <c r="O3293" s="918" t="str">
        <f t="shared" si="340"/>
        <v>Mar</v>
      </c>
      <c r="P3293" s="921">
        <f t="shared" si="341"/>
        <v>12</v>
      </c>
    </row>
    <row r="3294" spans="1:16" ht="15" hidden="1" customHeight="1">
      <c r="A3294" s="839">
        <v>64776954</v>
      </c>
      <c r="B3294" s="839">
        <v>1352</v>
      </c>
      <c r="C3294" s="906">
        <v>355</v>
      </c>
      <c r="D3294" s="907">
        <v>46102</v>
      </c>
      <c r="E3294" s="839" t="s">
        <v>285</v>
      </c>
      <c r="F3294" s="839" t="s">
        <v>224</v>
      </c>
      <c r="G3294" s="916">
        <f>VLOOKUP($A3294,'Tech Litons'!$A:$I,8,FALSE)</f>
        <v>3.8340000000000002E-3</v>
      </c>
      <c r="H3294" s="917">
        <f>VLOOKUP($A3294,'Tech Litons'!$A:$I,9,FALSE)</f>
        <v>130</v>
      </c>
      <c r="I3294" s="917" t="str">
        <f>VLOOKUP($A3294,'Tech Litons'!$A:$C,3,0)</f>
        <v>pG</v>
      </c>
      <c r="J3294" s="918" t="str">
        <f t="shared" si="336"/>
        <v>1352pG</v>
      </c>
      <c r="K3294" s="919">
        <v>1</v>
      </c>
      <c r="L3294" s="920">
        <f t="shared" si="337"/>
        <v>355</v>
      </c>
      <c r="M3294" s="920">
        <f t="shared" si="338"/>
        <v>1.36107</v>
      </c>
      <c r="N3294" s="920">
        <f t="shared" si="339"/>
        <v>2.7307692307692308</v>
      </c>
      <c r="O3294" s="918" t="str">
        <f t="shared" si="340"/>
        <v>Mar</v>
      </c>
      <c r="P3294" s="921">
        <f t="shared" si="341"/>
        <v>12</v>
      </c>
    </row>
    <row r="3295" spans="1:16" ht="15" hidden="1" customHeight="1">
      <c r="A3295" s="839">
        <v>64776954</v>
      </c>
      <c r="B3295" s="839">
        <v>1352</v>
      </c>
      <c r="C3295" s="906">
        <v>1430</v>
      </c>
      <c r="D3295" s="907">
        <v>46104</v>
      </c>
      <c r="E3295" s="839" t="s">
        <v>285</v>
      </c>
      <c r="F3295" s="839" t="s">
        <v>224</v>
      </c>
      <c r="G3295" s="916">
        <f>VLOOKUP($A3295,'Tech Litons'!$A:$I,8,FALSE)</f>
        <v>3.8340000000000002E-3</v>
      </c>
      <c r="H3295" s="917">
        <f>VLOOKUP($A3295,'Tech Litons'!$A:$I,9,FALSE)</f>
        <v>130</v>
      </c>
      <c r="I3295" s="917" t="str">
        <f>VLOOKUP($A3295,'Tech Litons'!$A:$C,3,0)</f>
        <v>pG</v>
      </c>
      <c r="J3295" s="918" t="str">
        <f t="shared" si="336"/>
        <v>1352pG</v>
      </c>
      <c r="K3295" s="919">
        <v>1</v>
      </c>
      <c r="L3295" s="920">
        <f t="shared" si="337"/>
        <v>1430</v>
      </c>
      <c r="M3295" s="920">
        <f t="shared" si="338"/>
        <v>5.4826199999999998</v>
      </c>
      <c r="N3295" s="920">
        <f t="shared" si="339"/>
        <v>11</v>
      </c>
      <c r="O3295" s="918" t="str">
        <f t="shared" si="340"/>
        <v>Mar</v>
      </c>
      <c r="P3295" s="921">
        <f t="shared" si="341"/>
        <v>13</v>
      </c>
    </row>
    <row r="3296" spans="1:16" ht="15" hidden="1" customHeight="1">
      <c r="A3296" s="839">
        <v>64776954</v>
      </c>
      <c r="B3296" s="839">
        <v>1352</v>
      </c>
      <c r="C3296" s="906">
        <v>3007</v>
      </c>
      <c r="D3296" s="907">
        <v>46105</v>
      </c>
      <c r="E3296" s="839" t="s">
        <v>285</v>
      </c>
      <c r="F3296" s="839" t="s">
        <v>224</v>
      </c>
      <c r="G3296" s="916">
        <f>VLOOKUP($A3296,'Tech Litons'!$A:$I,8,FALSE)</f>
        <v>3.8340000000000002E-3</v>
      </c>
      <c r="H3296" s="917">
        <f>VLOOKUP($A3296,'Tech Litons'!$A:$I,9,FALSE)</f>
        <v>130</v>
      </c>
      <c r="I3296" s="917" t="str">
        <f>VLOOKUP($A3296,'Tech Litons'!$A:$C,3,0)</f>
        <v>pG</v>
      </c>
      <c r="J3296" s="918" t="str">
        <f t="shared" si="336"/>
        <v>1352pG</v>
      </c>
      <c r="K3296" s="919">
        <v>1</v>
      </c>
      <c r="L3296" s="920">
        <f t="shared" si="337"/>
        <v>3007</v>
      </c>
      <c r="M3296" s="920">
        <f t="shared" si="338"/>
        <v>11.528838</v>
      </c>
      <c r="N3296" s="920">
        <f t="shared" si="339"/>
        <v>23.130769230769232</v>
      </c>
      <c r="O3296" s="918" t="str">
        <f t="shared" si="340"/>
        <v>Mar</v>
      </c>
      <c r="P3296" s="921">
        <f t="shared" si="341"/>
        <v>13</v>
      </c>
    </row>
    <row r="3297" spans="1:16" ht="15" hidden="1" customHeight="1">
      <c r="A3297" s="839">
        <v>64776954</v>
      </c>
      <c r="B3297" s="839">
        <v>1352</v>
      </c>
      <c r="C3297" s="906">
        <v>2080</v>
      </c>
      <c r="D3297" s="907">
        <v>46105</v>
      </c>
      <c r="E3297" s="839" t="s">
        <v>285</v>
      </c>
      <c r="F3297" s="839" t="s">
        <v>224</v>
      </c>
      <c r="G3297" s="916">
        <f>VLOOKUP($A3297,'Tech Litons'!$A:$I,8,FALSE)</f>
        <v>3.8340000000000002E-3</v>
      </c>
      <c r="H3297" s="917">
        <f>VLOOKUP($A3297,'Tech Litons'!$A:$I,9,FALSE)</f>
        <v>130</v>
      </c>
      <c r="I3297" s="917" t="str">
        <f>VLOOKUP($A3297,'Tech Litons'!$A:$C,3,0)</f>
        <v>pG</v>
      </c>
      <c r="J3297" s="918" t="str">
        <f t="shared" si="336"/>
        <v>1352pG</v>
      </c>
      <c r="K3297" s="919">
        <v>1</v>
      </c>
      <c r="L3297" s="920">
        <f t="shared" si="337"/>
        <v>2080</v>
      </c>
      <c r="M3297" s="920">
        <f t="shared" si="338"/>
        <v>7.9747200000000005</v>
      </c>
      <c r="N3297" s="920">
        <f t="shared" si="339"/>
        <v>16</v>
      </c>
      <c r="O3297" s="918" t="str">
        <f t="shared" si="340"/>
        <v>Mar</v>
      </c>
      <c r="P3297" s="921">
        <f t="shared" si="341"/>
        <v>13</v>
      </c>
    </row>
    <row r="3298" spans="1:16" ht="15" hidden="1" customHeight="1">
      <c r="A3298" s="839">
        <v>64786654</v>
      </c>
      <c r="B3298" s="839">
        <v>1352</v>
      </c>
      <c r="C3298" s="906">
        <v>154</v>
      </c>
      <c r="D3298" s="907">
        <v>46076</v>
      </c>
      <c r="E3298" s="839" t="s">
        <v>484</v>
      </c>
      <c r="F3298" s="839" t="s">
        <v>289</v>
      </c>
      <c r="G3298" s="916">
        <f>VLOOKUP($A3298,'Tech Litons'!$A:$I,8,FALSE)</f>
        <v>3.8959999999999997E-3</v>
      </c>
      <c r="H3298" s="917">
        <f>VLOOKUP($A3298,'Tech Litons'!$A:$I,9,FALSE)</f>
        <v>154</v>
      </c>
      <c r="I3298" s="917" t="str">
        <f>VLOOKUP($A3298,'Tech Litons'!$A:$C,3,0)</f>
        <v>MBG</v>
      </c>
      <c r="J3298" s="918" t="str">
        <f t="shared" si="336"/>
        <v>1352MBG</v>
      </c>
      <c r="K3298" s="919">
        <v>1</v>
      </c>
      <c r="L3298" s="920">
        <f t="shared" si="337"/>
        <v>154</v>
      </c>
      <c r="M3298" s="920">
        <f t="shared" si="338"/>
        <v>0.59998399999999996</v>
      </c>
      <c r="N3298" s="920">
        <f t="shared" si="339"/>
        <v>1</v>
      </c>
      <c r="O3298" s="918" t="str">
        <f t="shared" si="340"/>
        <v>Feb</v>
      </c>
      <c r="P3298" s="921">
        <f t="shared" si="341"/>
        <v>9</v>
      </c>
    </row>
    <row r="3299" spans="1:16" ht="15" hidden="1" customHeight="1">
      <c r="A3299" s="839">
        <v>64786654</v>
      </c>
      <c r="B3299" s="839">
        <v>1352</v>
      </c>
      <c r="C3299" s="906">
        <v>3201</v>
      </c>
      <c r="D3299" s="907">
        <v>46077</v>
      </c>
      <c r="E3299" s="839" t="s">
        <v>484</v>
      </c>
      <c r="F3299" s="839" t="s">
        <v>289</v>
      </c>
      <c r="G3299" s="916">
        <f>VLOOKUP($A3299,'Tech Litons'!$A:$I,8,FALSE)</f>
        <v>3.8959999999999997E-3</v>
      </c>
      <c r="H3299" s="917">
        <f>VLOOKUP($A3299,'Tech Litons'!$A:$I,9,FALSE)</f>
        <v>154</v>
      </c>
      <c r="I3299" s="917" t="str">
        <f>VLOOKUP($A3299,'Tech Litons'!$A:$C,3,0)</f>
        <v>MBG</v>
      </c>
      <c r="J3299" s="918" t="str">
        <f t="shared" si="336"/>
        <v>1352MBG</v>
      </c>
      <c r="K3299" s="919">
        <v>1</v>
      </c>
      <c r="L3299" s="920">
        <f t="shared" si="337"/>
        <v>3201</v>
      </c>
      <c r="M3299" s="920">
        <f t="shared" si="338"/>
        <v>12.471095999999999</v>
      </c>
      <c r="N3299" s="920">
        <f t="shared" si="339"/>
        <v>20.785714285714285</v>
      </c>
      <c r="O3299" s="918" t="str">
        <f t="shared" si="340"/>
        <v>Feb</v>
      </c>
      <c r="P3299" s="921">
        <f t="shared" si="341"/>
        <v>9</v>
      </c>
    </row>
    <row r="3300" spans="1:16" ht="15" hidden="1" customHeight="1">
      <c r="A3300" s="839">
        <v>64786654</v>
      </c>
      <c r="B3300" s="839">
        <v>1352</v>
      </c>
      <c r="C3300" s="906">
        <v>1078</v>
      </c>
      <c r="D3300" s="907">
        <v>46077</v>
      </c>
      <c r="E3300" s="839" t="s">
        <v>484</v>
      </c>
      <c r="F3300" s="839" t="s">
        <v>289</v>
      </c>
      <c r="G3300" s="916">
        <f>VLOOKUP($A3300,'Tech Litons'!$A:$I,8,FALSE)</f>
        <v>3.8959999999999997E-3</v>
      </c>
      <c r="H3300" s="917">
        <f>VLOOKUP($A3300,'Tech Litons'!$A:$I,9,FALSE)</f>
        <v>154</v>
      </c>
      <c r="I3300" s="917" t="str">
        <f>VLOOKUP($A3300,'Tech Litons'!$A:$C,3,0)</f>
        <v>MBG</v>
      </c>
      <c r="J3300" s="918" t="str">
        <f t="shared" si="336"/>
        <v>1352MBG</v>
      </c>
      <c r="K3300" s="919">
        <v>1</v>
      </c>
      <c r="L3300" s="920">
        <f t="shared" si="337"/>
        <v>1078</v>
      </c>
      <c r="M3300" s="920">
        <f t="shared" si="338"/>
        <v>4.1998879999999996</v>
      </c>
      <c r="N3300" s="920">
        <f t="shared" si="339"/>
        <v>7</v>
      </c>
      <c r="O3300" s="918" t="str">
        <f t="shared" si="340"/>
        <v>Feb</v>
      </c>
      <c r="P3300" s="921">
        <f t="shared" si="341"/>
        <v>9</v>
      </c>
    </row>
    <row r="3301" spans="1:16" ht="15" hidden="1" customHeight="1">
      <c r="A3301" s="839">
        <v>64786654</v>
      </c>
      <c r="B3301" s="839">
        <v>1352</v>
      </c>
      <c r="C3301" s="906">
        <v>2480</v>
      </c>
      <c r="D3301" s="907">
        <v>46078</v>
      </c>
      <c r="E3301" s="839" t="s">
        <v>484</v>
      </c>
      <c r="F3301" s="839" t="s">
        <v>289</v>
      </c>
      <c r="G3301" s="916">
        <f>VLOOKUP($A3301,'Tech Litons'!$A:$I,8,FALSE)</f>
        <v>3.8959999999999997E-3</v>
      </c>
      <c r="H3301" s="917">
        <f>VLOOKUP($A3301,'Tech Litons'!$A:$I,9,FALSE)</f>
        <v>154</v>
      </c>
      <c r="I3301" s="917" t="str">
        <f>VLOOKUP($A3301,'Tech Litons'!$A:$C,3,0)</f>
        <v>MBG</v>
      </c>
      <c r="J3301" s="918" t="str">
        <f t="shared" si="336"/>
        <v>1352MBG</v>
      </c>
      <c r="K3301" s="919">
        <v>1</v>
      </c>
      <c r="L3301" s="920">
        <f t="shared" si="337"/>
        <v>2480</v>
      </c>
      <c r="M3301" s="920">
        <f t="shared" si="338"/>
        <v>9.6620799999999996</v>
      </c>
      <c r="N3301" s="920">
        <f t="shared" si="339"/>
        <v>16.103896103896105</v>
      </c>
      <c r="O3301" s="918" t="str">
        <f t="shared" si="340"/>
        <v>Feb</v>
      </c>
      <c r="P3301" s="921">
        <f t="shared" si="341"/>
        <v>9</v>
      </c>
    </row>
    <row r="3302" spans="1:16" ht="15" hidden="1" customHeight="1">
      <c r="A3302" s="839">
        <v>64786654</v>
      </c>
      <c r="B3302" s="839">
        <v>1352</v>
      </c>
      <c r="C3302" s="906">
        <v>1232</v>
      </c>
      <c r="D3302" s="907">
        <v>46078</v>
      </c>
      <c r="E3302" s="839" t="s">
        <v>484</v>
      </c>
      <c r="F3302" s="839" t="s">
        <v>289</v>
      </c>
      <c r="G3302" s="916">
        <f>VLOOKUP($A3302,'Tech Litons'!$A:$I,8,FALSE)</f>
        <v>3.8959999999999997E-3</v>
      </c>
      <c r="H3302" s="917">
        <f>VLOOKUP($A3302,'Tech Litons'!$A:$I,9,FALSE)</f>
        <v>154</v>
      </c>
      <c r="I3302" s="917" t="str">
        <f>VLOOKUP($A3302,'Tech Litons'!$A:$C,3,0)</f>
        <v>MBG</v>
      </c>
      <c r="J3302" s="918" t="str">
        <f t="shared" si="336"/>
        <v>1352MBG</v>
      </c>
      <c r="K3302" s="919">
        <v>1</v>
      </c>
      <c r="L3302" s="920">
        <f t="shared" si="337"/>
        <v>1232</v>
      </c>
      <c r="M3302" s="920">
        <f t="shared" si="338"/>
        <v>4.7998719999999997</v>
      </c>
      <c r="N3302" s="920">
        <f t="shared" si="339"/>
        <v>8</v>
      </c>
      <c r="O3302" s="918" t="str">
        <f t="shared" si="340"/>
        <v>Feb</v>
      </c>
      <c r="P3302" s="921">
        <f t="shared" si="341"/>
        <v>9</v>
      </c>
    </row>
    <row r="3303" spans="1:16" ht="15" hidden="1" customHeight="1">
      <c r="A3303" s="839">
        <v>64786654</v>
      </c>
      <c r="B3303" s="839">
        <v>1352</v>
      </c>
      <c r="C3303" s="906">
        <v>2413</v>
      </c>
      <c r="D3303" s="907">
        <v>46079</v>
      </c>
      <c r="E3303" s="839" t="s">
        <v>484</v>
      </c>
      <c r="F3303" s="839" t="s">
        <v>289</v>
      </c>
      <c r="G3303" s="916">
        <f>VLOOKUP($A3303,'Tech Litons'!$A:$I,8,FALSE)</f>
        <v>3.8959999999999997E-3</v>
      </c>
      <c r="H3303" s="917">
        <f>VLOOKUP($A3303,'Tech Litons'!$A:$I,9,FALSE)</f>
        <v>154</v>
      </c>
      <c r="I3303" s="917" t="str">
        <f>VLOOKUP($A3303,'Tech Litons'!$A:$C,3,0)</f>
        <v>MBG</v>
      </c>
      <c r="J3303" s="918" t="str">
        <f t="shared" si="336"/>
        <v>1352MBG</v>
      </c>
      <c r="K3303" s="919">
        <v>1</v>
      </c>
      <c r="L3303" s="920">
        <f t="shared" si="337"/>
        <v>2413</v>
      </c>
      <c r="M3303" s="920">
        <f t="shared" si="338"/>
        <v>9.4010479999999994</v>
      </c>
      <c r="N3303" s="920">
        <f t="shared" si="339"/>
        <v>15.668831168831169</v>
      </c>
      <c r="O3303" s="918" t="str">
        <f t="shared" si="340"/>
        <v>Feb</v>
      </c>
      <c r="P3303" s="921">
        <f t="shared" si="341"/>
        <v>9</v>
      </c>
    </row>
    <row r="3304" spans="1:16" ht="15" hidden="1" customHeight="1">
      <c r="A3304" s="839">
        <v>64786654</v>
      </c>
      <c r="B3304" s="839">
        <v>1352</v>
      </c>
      <c r="C3304" s="906">
        <v>1694</v>
      </c>
      <c r="D3304" s="907">
        <v>46079</v>
      </c>
      <c r="E3304" s="839" t="s">
        <v>484</v>
      </c>
      <c r="F3304" s="839" t="s">
        <v>289</v>
      </c>
      <c r="G3304" s="916">
        <f>VLOOKUP($A3304,'Tech Litons'!$A:$I,8,FALSE)</f>
        <v>3.8959999999999997E-3</v>
      </c>
      <c r="H3304" s="917">
        <f>VLOOKUP($A3304,'Tech Litons'!$A:$I,9,FALSE)</f>
        <v>154</v>
      </c>
      <c r="I3304" s="917" t="str">
        <f>VLOOKUP($A3304,'Tech Litons'!$A:$C,3,0)</f>
        <v>MBG</v>
      </c>
      <c r="J3304" s="918" t="str">
        <f t="shared" si="336"/>
        <v>1352MBG</v>
      </c>
      <c r="K3304" s="919">
        <v>1</v>
      </c>
      <c r="L3304" s="920">
        <f t="shared" si="337"/>
        <v>1694</v>
      </c>
      <c r="M3304" s="920">
        <f t="shared" si="338"/>
        <v>6.5998239999999999</v>
      </c>
      <c r="N3304" s="920">
        <f t="shared" si="339"/>
        <v>11</v>
      </c>
      <c r="O3304" s="918" t="str">
        <f t="shared" si="340"/>
        <v>Feb</v>
      </c>
      <c r="P3304" s="921">
        <f t="shared" si="341"/>
        <v>9</v>
      </c>
    </row>
    <row r="3305" spans="1:16" ht="15" hidden="1" customHeight="1">
      <c r="A3305" s="839">
        <v>64786654</v>
      </c>
      <c r="B3305" s="839">
        <v>1352</v>
      </c>
      <c r="C3305" s="906">
        <v>2417</v>
      </c>
      <c r="D3305" s="907">
        <v>46080</v>
      </c>
      <c r="E3305" s="839" t="s">
        <v>484</v>
      </c>
      <c r="F3305" s="839" t="s">
        <v>289</v>
      </c>
      <c r="G3305" s="916">
        <f>VLOOKUP($A3305,'Tech Litons'!$A:$I,8,FALSE)</f>
        <v>3.8959999999999997E-3</v>
      </c>
      <c r="H3305" s="917">
        <f>VLOOKUP($A3305,'Tech Litons'!$A:$I,9,FALSE)</f>
        <v>154</v>
      </c>
      <c r="I3305" s="917" t="str">
        <f>VLOOKUP($A3305,'Tech Litons'!$A:$C,3,0)</f>
        <v>MBG</v>
      </c>
      <c r="J3305" s="918" t="str">
        <f t="shared" si="336"/>
        <v>1352MBG</v>
      </c>
      <c r="K3305" s="919">
        <v>1</v>
      </c>
      <c r="L3305" s="920">
        <f t="shared" si="337"/>
        <v>2417</v>
      </c>
      <c r="M3305" s="920">
        <f t="shared" si="338"/>
        <v>9.4166319999999999</v>
      </c>
      <c r="N3305" s="920">
        <f t="shared" si="339"/>
        <v>15.694805194805195</v>
      </c>
      <c r="O3305" s="918" t="str">
        <f t="shared" si="340"/>
        <v>Feb</v>
      </c>
      <c r="P3305" s="921">
        <f t="shared" si="341"/>
        <v>9</v>
      </c>
    </row>
    <row r="3306" spans="1:16" ht="15" hidden="1" customHeight="1">
      <c r="A3306" s="839">
        <v>64786654</v>
      </c>
      <c r="B3306" s="839">
        <v>1352</v>
      </c>
      <c r="C3306" s="906">
        <v>1540</v>
      </c>
      <c r="D3306" s="907">
        <v>46080</v>
      </c>
      <c r="E3306" s="839" t="s">
        <v>484</v>
      </c>
      <c r="F3306" s="839" t="s">
        <v>289</v>
      </c>
      <c r="G3306" s="916">
        <f>VLOOKUP($A3306,'Tech Litons'!$A:$I,8,FALSE)</f>
        <v>3.8959999999999997E-3</v>
      </c>
      <c r="H3306" s="917">
        <f>VLOOKUP($A3306,'Tech Litons'!$A:$I,9,FALSE)</f>
        <v>154</v>
      </c>
      <c r="I3306" s="917" t="str">
        <f>VLOOKUP($A3306,'Tech Litons'!$A:$C,3,0)</f>
        <v>MBG</v>
      </c>
      <c r="J3306" s="918" t="str">
        <f t="shared" si="336"/>
        <v>1352MBG</v>
      </c>
      <c r="K3306" s="919">
        <v>1</v>
      </c>
      <c r="L3306" s="920">
        <f t="shared" si="337"/>
        <v>1540</v>
      </c>
      <c r="M3306" s="920">
        <f t="shared" si="338"/>
        <v>5.9998399999999998</v>
      </c>
      <c r="N3306" s="920">
        <f t="shared" si="339"/>
        <v>10</v>
      </c>
      <c r="O3306" s="918" t="str">
        <f t="shared" si="340"/>
        <v>Feb</v>
      </c>
      <c r="P3306" s="921">
        <f t="shared" si="341"/>
        <v>9</v>
      </c>
    </row>
    <row r="3307" spans="1:16" ht="15" hidden="1" customHeight="1">
      <c r="A3307" s="839">
        <v>64786654</v>
      </c>
      <c r="B3307" s="839">
        <v>1352</v>
      </c>
      <c r="C3307" s="906">
        <v>1891</v>
      </c>
      <c r="D3307" s="907">
        <v>46081</v>
      </c>
      <c r="E3307" s="839" t="s">
        <v>484</v>
      </c>
      <c r="F3307" s="839" t="s">
        <v>289</v>
      </c>
      <c r="G3307" s="916">
        <f>VLOOKUP($A3307,'Tech Litons'!$A:$I,8,FALSE)</f>
        <v>3.8959999999999997E-3</v>
      </c>
      <c r="H3307" s="917">
        <f>VLOOKUP($A3307,'Tech Litons'!$A:$I,9,FALSE)</f>
        <v>154</v>
      </c>
      <c r="I3307" s="917" t="str">
        <f>VLOOKUP($A3307,'Tech Litons'!$A:$C,3,0)</f>
        <v>MBG</v>
      </c>
      <c r="J3307" s="918" t="str">
        <f t="shared" si="336"/>
        <v>1352MBG</v>
      </c>
      <c r="K3307" s="919">
        <v>1</v>
      </c>
      <c r="L3307" s="920">
        <f t="shared" si="337"/>
        <v>1891</v>
      </c>
      <c r="M3307" s="920">
        <f t="shared" si="338"/>
        <v>7.3673359999999999</v>
      </c>
      <c r="N3307" s="920">
        <f t="shared" si="339"/>
        <v>12.279220779220779</v>
      </c>
      <c r="O3307" s="918" t="str">
        <f t="shared" si="340"/>
        <v>Feb</v>
      </c>
      <c r="P3307" s="921">
        <f t="shared" si="341"/>
        <v>9</v>
      </c>
    </row>
    <row r="3308" spans="1:16" ht="15" hidden="1" customHeight="1">
      <c r="A3308" s="839">
        <v>64786654</v>
      </c>
      <c r="B3308" s="839">
        <v>1352</v>
      </c>
      <c r="C3308" s="906">
        <v>1540</v>
      </c>
      <c r="D3308" s="907">
        <v>46104</v>
      </c>
      <c r="E3308" s="839" t="s">
        <v>484</v>
      </c>
      <c r="F3308" s="839" t="s">
        <v>289</v>
      </c>
      <c r="G3308" s="916">
        <f>VLOOKUP($A3308,'Tech Litons'!$A:$I,8,FALSE)</f>
        <v>3.8959999999999997E-3</v>
      </c>
      <c r="H3308" s="917">
        <f>VLOOKUP($A3308,'Tech Litons'!$A:$I,9,FALSE)</f>
        <v>154</v>
      </c>
      <c r="I3308" s="917" t="str">
        <f>VLOOKUP($A3308,'Tech Litons'!$A:$C,3,0)</f>
        <v>MBG</v>
      </c>
      <c r="J3308" s="918" t="str">
        <f t="shared" si="336"/>
        <v>1352MBG</v>
      </c>
      <c r="K3308" s="919">
        <v>1</v>
      </c>
      <c r="L3308" s="920">
        <f t="shared" si="337"/>
        <v>1540</v>
      </c>
      <c r="M3308" s="920">
        <f t="shared" si="338"/>
        <v>5.9998399999999998</v>
      </c>
      <c r="N3308" s="920">
        <f t="shared" si="339"/>
        <v>10</v>
      </c>
      <c r="O3308" s="918" t="str">
        <f t="shared" si="340"/>
        <v>Mar</v>
      </c>
      <c r="P3308" s="921">
        <f t="shared" si="341"/>
        <v>13</v>
      </c>
    </row>
    <row r="3309" spans="1:16" ht="15" hidden="1" customHeight="1">
      <c r="A3309" s="839">
        <v>64786654</v>
      </c>
      <c r="B3309" s="839">
        <v>1352</v>
      </c>
      <c r="C3309" s="906">
        <v>2980</v>
      </c>
      <c r="D3309" s="907">
        <v>46105</v>
      </c>
      <c r="E3309" s="839" t="s">
        <v>484</v>
      </c>
      <c r="F3309" s="839" t="s">
        <v>289</v>
      </c>
      <c r="G3309" s="916">
        <f>VLOOKUP($A3309,'Tech Litons'!$A:$I,8,FALSE)</f>
        <v>3.8959999999999997E-3</v>
      </c>
      <c r="H3309" s="917">
        <f>VLOOKUP($A3309,'Tech Litons'!$A:$I,9,FALSE)</f>
        <v>154</v>
      </c>
      <c r="I3309" s="917" t="str">
        <f>VLOOKUP($A3309,'Tech Litons'!$A:$C,3,0)</f>
        <v>MBG</v>
      </c>
      <c r="J3309" s="918" t="str">
        <f t="shared" si="336"/>
        <v>1352MBG</v>
      </c>
      <c r="K3309" s="919">
        <v>1</v>
      </c>
      <c r="L3309" s="920">
        <f t="shared" si="337"/>
        <v>2980</v>
      </c>
      <c r="M3309" s="920">
        <f t="shared" si="338"/>
        <v>11.61008</v>
      </c>
      <c r="N3309" s="920">
        <f t="shared" si="339"/>
        <v>19.350649350649352</v>
      </c>
      <c r="O3309" s="918" t="str">
        <f t="shared" si="340"/>
        <v>Mar</v>
      </c>
      <c r="P3309" s="921">
        <f t="shared" si="341"/>
        <v>13</v>
      </c>
    </row>
    <row r="3310" spans="1:16" ht="15" hidden="1" customHeight="1">
      <c r="A3310" s="839">
        <v>64786654</v>
      </c>
      <c r="B3310" s="839">
        <v>1352</v>
      </c>
      <c r="C3310" s="906">
        <v>2618</v>
      </c>
      <c r="D3310" s="907">
        <v>46105</v>
      </c>
      <c r="E3310" s="839" t="s">
        <v>484</v>
      </c>
      <c r="F3310" s="839" t="s">
        <v>289</v>
      </c>
      <c r="G3310" s="916">
        <f>VLOOKUP($A3310,'Tech Litons'!$A:$I,8,FALSE)</f>
        <v>3.8959999999999997E-3</v>
      </c>
      <c r="H3310" s="917">
        <f>VLOOKUP($A3310,'Tech Litons'!$A:$I,9,FALSE)</f>
        <v>154</v>
      </c>
      <c r="I3310" s="917" t="str">
        <f>VLOOKUP($A3310,'Tech Litons'!$A:$C,3,0)</f>
        <v>MBG</v>
      </c>
      <c r="J3310" s="918" t="str">
        <f t="shared" si="336"/>
        <v>1352MBG</v>
      </c>
      <c r="K3310" s="919">
        <v>1</v>
      </c>
      <c r="L3310" s="920">
        <f t="shared" si="337"/>
        <v>2618</v>
      </c>
      <c r="M3310" s="920">
        <f t="shared" si="338"/>
        <v>10.199727999999999</v>
      </c>
      <c r="N3310" s="920">
        <f t="shared" si="339"/>
        <v>17</v>
      </c>
      <c r="O3310" s="918" t="str">
        <f t="shared" si="340"/>
        <v>Mar</v>
      </c>
      <c r="P3310" s="921">
        <f t="shared" si="341"/>
        <v>13</v>
      </c>
    </row>
    <row r="3311" spans="1:16" ht="15" hidden="1" customHeight="1">
      <c r="A3311" s="839">
        <v>64789262</v>
      </c>
      <c r="B3311" s="839">
        <v>1352</v>
      </c>
      <c r="C3311" s="906">
        <v>1350</v>
      </c>
      <c r="D3311" s="907">
        <v>46076</v>
      </c>
      <c r="E3311" s="839" t="s">
        <v>424</v>
      </c>
      <c r="F3311" s="839" t="s">
        <v>287</v>
      </c>
      <c r="G3311" s="916">
        <f>VLOOKUP($A3311,'Tech Litons'!$A:$I,8,FALSE)</f>
        <v>2.8319999999999999E-3</v>
      </c>
      <c r="H3311" s="917">
        <f>VLOOKUP($A3311,'Tech Litons'!$A:$I,9,FALSE)</f>
        <v>225</v>
      </c>
      <c r="I3311" s="917" t="str">
        <f>VLOOKUP($A3311,'Tech Litons'!$A:$C,3,0)</f>
        <v>MBG</v>
      </c>
      <c r="J3311" s="918" t="str">
        <f t="shared" si="336"/>
        <v>1352MBG</v>
      </c>
      <c r="K3311" s="919">
        <v>1</v>
      </c>
      <c r="L3311" s="920">
        <f t="shared" si="337"/>
        <v>1350</v>
      </c>
      <c r="M3311" s="920">
        <f t="shared" si="338"/>
        <v>3.8231999999999999</v>
      </c>
      <c r="N3311" s="920">
        <f t="shared" si="339"/>
        <v>6</v>
      </c>
      <c r="O3311" s="918" t="str">
        <f t="shared" si="340"/>
        <v>Feb</v>
      </c>
      <c r="P3311" s="921">
        <f t="shared" si="341"/>
        <v>9</v>
      </c>
    </row>
    <row r="3312" spans="1:16" ht="15" hidden="1" customHeight="1">
      <c r="A3312" s="839">
        <v>64789262</v>
      </c>
      <c r="B3312" s="839">
        <v>1352</v>
      </c>
      <c r="C3312" s="906">
        <v>3641</v>
      </c>
      <c r="D3312" s="907">
        <v>46077</v>
      </c>
      <c r="E3312" s="839" t="s">
        <v>424</v>
      </c>
      <c r="F3312" s="839" t="s">
        <v>287</v>
      </c>
      <c r="G3312" s="916">
        <f>VLOOKUP($A3312,'Tech Litons'!$A:$I,8,FALSE)</f>
        <v>2.8319999999999999E-3</v>
      </c>
      <c r="H3312" s="917">
        <f>VLOOKUP($A3312,'Tech Litons'!$A:$I,9,FALSE)</f>
        <v>225</v>
      </c>
      <c r="I3312" s="917" t="str">
        <f>VLOOKUP($A3312,'Tech Litons'!$A:$C,3,0)</f>
        <v>MBG</v>
      </c>
      <c r="J3312" s="918" t="str">
        <f t="shared" si="336"/>
        <v>1352MBG</v>
      </c>
      <c r="K3312" s="919">
        <v>1</v>
      </c>
      <c r="L3312" s="920">
        <f t="shared" si="337"/>
        <v>3641</v>
      </c>
      <c r="M3312" s="920">
        <f t="shared" si="338"/>
        <v>10.311311999999999</v>
      </c>
      <c r="N3312" s="920">
        <f t="shared" si="339"/>
        <v>16.182222222222222</v>
      </c>
      <c r="O3312" s="918" t="str">
        <f t="shared" si="340"/>
        <v>Feb</v>
      </c>
      <c r="P3312" s="921">
        <f t="shared" si="341"/>
        <v>9</v>
      </c>
    </row>
    <row r="3313" spans="1:16" ht="15" hidden="1" customHeight="1">
      <c r="A3313" s="839">
        <v>64789262</v>
      </c>
      <c r="B3313" s="839">
        <v>1352</v>
      </c>
      <c r="C3313" s="906">
        <v>2700</v>
      </c>
      <c r="D3313" s="907">
        <v>46077</v>
      </c>
      <c r="E3313" s="839" t="s">
        <v>424</v>
      </c>
      <c r="F3313" s="839" t="s">
        <v>287</v>
      </c>
      <c r="G3313" s="916">
        <f>VLOOKUP($A3313,'Tech Litons'!$A:$I,8,FALSE)</f>
        <v>2.8319999999999999E-3</v>
      </c>
      <c r="H3313" s="917">
        <f>VLOOKUP($A3313,'Tech Litons'!$A:$I,9,FALSE)</f>
        <v>225</v>
      </c>
      <c r="I3313" s="917" t="str">
        <f>VLOOKUP($A3313,'Tech Litons'!$A:$C,3,0)</f>
        <v>MBG</v>
      </c>
      <c r="J3313" s="918" t="str">
        <f t="shared" si="336"/>
        <v>1352MBG</v>
      </c>
      <c r="K3313" s="919">
        <v>1</v>
      </c>
      <c r="L3313" s="920">
        <f t="shared" si="337"/>
        <v>2700</v>
      </c>
      <c r="M3313" s="920">
        <f t="shared" si="338"/>
        <v>7.6463999999999999</v>
      </c>
      <c r="N3313" s="920">
        <f t="shared" si="339"/>
        <v>12</v>
      </c>
      <c r="O3313" s="918" t="str">
        <f t="shared" si="340"/>
        <v>Feb</v>
      </c>
      <c r="P3313" s="921">
        <f t="shared" si="341"/>
        <v>9</v>
      </c>
    </row>
    <row r="3314" spans="1:16" ht="15" hidden="1" customHeight="1">
      <c r="A3314" s="839">
        <v>64789262</v>
      </c>
      <c r="B3314" s="839">
        <v>1352</v>
      </c>
      <c r="C3314" s="906">
        <v>3885</v>
      </c>
      <c r="D3314" s="907">
        <v>46078</v>
      </c>
      <c r="E3314" s="839" t="s">
        <v>424</v>
      </c>
      <c r="F3314" s="839" t="s">
        <v>287</v>
      </c>
      <c r="G3314" s="916">
        <f>VLOOKUP($A3314,'Tech Litons'!$A:$I,8,FALSE)</f>
        <v>2.8319999999999999E-3</v>
      </c>
      <c r="H3314" s="917">
        <f>VLOOKUP($A3314,'Tech Litons'!$A:$I,9,FALSE)</f>
        <v>225</v>
      </c>
      <c r="I3314" s="917" t="str">
        <f>VLOOKUP($A3314,'Tech Litons'!$A:$C,3,0)</f>
        <v>MBG</v>
      </c>
      <c r="J3314" s="918" t="str">
        <f t="shared" ref="J3314:J3377" si="342">B3314&amp;I3314</f>
        <v>1352MBG</v>
      </c>
      <c r="K3314" s="919">
        <v>1</v>
      </c>
      <c r="L3314" s="920">
        <f t="shared" ref="L3314:L3377" si="343">C3314*$K3314</f>
        <v>3885</v>
      </c>
      <c r="M3314" s="920">
        <f t="shared" ref="M3314:M3377" si="344">L3314*G3314</f>
        <v>11.002319999999999</v>
      </c>
      <c r="N3314" s="920">
        <f t="shared" ref="N3314:N3377" si="345">L3314/H3314</f>
        <v>17.266666666666666</v>
      </c>
      <c r="O3314" s="918" t="str">
        <f t="shared" ref="O3314:O3377" si="346">TEXT(D3314,"MMM")</f>
        <v>Feb</v>
      </c>
      <c r="P3314" s="921">
        <f t="shared" ref="P3314:P3377" si="347">WEEKNUM(D3314)</f>
        <v>9</v>
      </c>
    </row>
    <row r="3315" spans="1:16" ht="15" hidden="1" customHeight="1">
      <c r="A3315" s="839">
        <v>64789262</v>
      </c>
      <c r="B3315" s="839">
        <v>1352</v>
      </c>
      <c r="C3315" s="906">
        <v>1575</v>
      </c>
      <c r="D3315" s="907">
        <v>46078</v>
      </c>
      <c r="E3315" s="839" t="s">
        <v>424</v>
      </c>
      <c r="F3315" s="839" t="s">
        <v>287</v>
      </c>
      <c r="G3315" s="916">
        <f>VLOOKUP($A3315,'Tech Litons'!$A:$I,8,FALSE)</f>
        <v>2.8319999999999999E-3</v>
      </c>
      <c r="H3315" s="917">
        <f>VLOOKUP($A3315,'Tech Litons'!$A:$I,9,FALSE)</f>
        <v>225</v>
      </c>
      <c r="I3315" s="917" t="str">
        <f>VLOOKUP($A3315,'Tech Litons'!$A:$C,3,0)</f>
        <v>MBG</v>
      </c>
      <c r="J3315" s="918" t="str">
        <f t="shared" si="342"/>
        <v>1352MBG</v>
      </c>
      <c r="K3315" s="919">
        <v>1</v>
      </c>
      <c r="L3315" s="920">
        <f t="shared" si="343"/>
        <v>1575</v>
      </c>
      <c r="M3315" s="920">
        <f t="shared" si="344"/>
        <v>4.4603999999999999</v>
      </c>
      <c r="N3315" s="920">
        <f t="shared" si="345"/>
        <v>7</v>
      </c>
      <c r="O3315" s="918" t="str">
        <f t="shared" si="346"/>
        <v>Feb</v>
      </c>
      <c r="P3315" s="921">
        <f t="shared" si="347"/>
        <v>9</v>
      </c>
    </row>
    <row r="3316" spans="1:16" ht="15" hidden="1" customHeight="1">
      <c r="A3316" s="839">
        <v>64789262</v>
      </c>
      <c r="B3316" s="839">
        <v>1352</v>
      </c>
      <c r="C3316" s="906">
        <v>4746</v>
      </c>
      <c r="D3316" s="907">
        <v>46079</v>
      </c>
      <c r="E3316" s="839" t="s">
        <v>424</v>
      </c>
      <c r="F3316" s="839" t="s">
        <v>287</v>
      </c>
      <c r="G3316" s="916">
        <f>VLOOKUP($A3316,'Tech Litons'!$A:$I,8,FALSE)</f>
        <v>2.8319999999999999E-3</v>
      </c>
      <c r="H3316" s="917">
        <f>VLOOKUP($A3316,'Tech Litons'!$A:$I,9,FALSE)</f>
        <v>225</v>
      </c>
      <c r="I3316" s="917" t="str">
        <f>VLOOKUP($A3316,'Tech Litons'!$A:$C,3,0)</f>
        <v>MBG</v>
      </c>
      <c r="J3316" s="918" t="str">
        <f t="shared" si="342"/>
        <v>1352MBG</v>
      </c>
      <c r="K3316" s="919">
        <v>1</v>
      </c>
      <c r="L3316" s="920">
        <f t="shared" si="343"/>
        <v>4746</v>
      </c>
      <c r="M3316" s="920">
        <f t="shared" si="344"/>
        <v>13.440671999999999</v>
      </c>
      <c r="N3316" s="920">
        <f t="shared" si="345"/>
        <v>21.093333333333334</v>
      </c>
      <c r="O3316" s="918" t="str">
        <f t="shared" si="346"/>
        <v>Feb</v>
      </c>
      <c r="P3316" s="921">
        <f t="shared" si="347"/>
        <v>9</v>
      </c>
    </row>
    <row r="3317" spans="1:16" ht="15" hidden="1" customHeight="1">
      <c r="A3317" s="839">
        <v>64789262</v>
      </c>
      <c r="B3317" s="839">
        <v>1352</v>
      </c>
      <c r="C3317" s="906">
        <v>225</v>
      </c>
      <c r="D3317" s="907">
        <v>46079</v>
      </c>
      <c r="E3317" s="839" t="s">
        <v>424</v>
      </c>
      <c r="F3317" s="839" t="s">
        <v>287</v>
      </c>
      <c r="G3317" s="916">
        <f>VLOOKUP($A3317,'Tech Litons'!$A:$I,8,FALSE)</f>
        <v>2.8319999999999999E-3</v>
      </c>
      <c r="H3317" s="917">
        <f>VLOOKUP($A3317,'Tech Litons'!$A:$I,9,FALSE)</f>
        <v>225</v>
      </c>
      <c r="I3317" s="917" t="str">
        <f>VLOOKUP($A3317,'Tech Litons'!$A:$C,3,0)</f>
        <v>MBG</v>
      </c>
      <c r="J3317" s="918" t="str">
        <f t="shared" si="342"/>
        <v>1352MBG</v>
      </c>
      <c r="K3317" s="919">
        <v>1</v>
      </c>
      <c r="L3317" s="920">
        <f t="shared" si="343"/>
        <v>225</v>
      </c>
      <c r="M3317" s="920">
        <f t="shared" si="344"/>
        <v>0.63719999999999999</v>
      </c>
      <c r="N3317" s="920">
        <f t="shared" si="345"/>
        <v>1</v>
      </c>
      <c r="O3317" s="918" t="str">
        <f t="shared" si="346"/>
        <v>Feb</v>
      </c>
      <c r="P3317" s="921">
        <f t="shared" si="347"/>
        <v>9</v>
      </c>
    </row>
    <row r="3318" spans="1:16" ht="15" hidden="1" customHeight="1">
      <c r="A3318" s="839">
        <v>64789262</v>
      </c>
      <c r="B3318" s="839">
        <v>1352</v>
      </c>
      <c r="C3318" s="906">
        <v>4050</v>
      </c>
      <c r="D3318" s="907">
        <v>46080</v>
      </c>
      <c r="E3318" s="839" t="s">
        <v>424</v>
      </c>
      <c r="F3318" s="839" t="s">
        <v>287</v>
      </c>
      <c r="G3318" s="916">
        <f>VLOOKUP($A3318,'Tech Litons'!$A:$I,8,FALSE)</f>
        <v>2.8319999999999999E-3</v>
      </c>
      <c r="H3318" s="917">
        <f>VLOOKUP($A3318,'Tech Litons'!$A:$I,9,FALSE)</f>
        <v>225</v>
      </c>
      <c r="I3318" s="917" t="str">
        <f>VLOOKUP($A3318,'Tech Litons'!$A:$C,3,0)</f>
        <v>MBG</v>
      </c>
      <c r="J3318" s="918" t="str">
        <f t="shared" si="342"/>
        <v>1352MBG</v>
      </c>
      <c r="K3318" s="919">
        <v>1</v>
      </c>
      <c r="L3318" s="920">
        <f t="shared" si="343"/>
        <v>4050</v>
      </c>
      <c r="M3318" s="920">
        <f t="shared" si="344"/>
        <v>11.4696</v>
      </c>
      <c r="N3318" s="920">
        <f t="shared" si="345"/>
        <v>18</v>
      </c>
      <c r="O3318" s="918" t="str">
        <f t="shared" si="346"/>
        <v>Feb</v>
      </c>
      <c r="P3318" s="921">
        <f t="shared" si="347"/>
        <v>9</v>
      </c>
    </row>
    <row r="3319" spans="1:16" ht="15" hidden="1" customHeight="1">
      <c r="A3319" s="839">
        <v>64789262</v>
      </c>
      <c r="B3319" s="839">
        <v>1352</v>
      </c>
      <c r="C3319" s="906">
        <v>2250</v>
      </c>
      <c r="D3319" s="907">
        <v>46080</v>
      </c>
      <c r="E3319" s="839" t="s">
        <v>424</v>
      </c>
      <c r="F3319" s="839" t="s">
        <v>287</v>
      </c>
      <c r="G3319" s="916">
        <f>VLOOKUP($A3319,'Tech Litons'!$A:$I,8,FALSE)</f>
        <v>2.8319999999999999E-3</v>
      </c>
      <c r="H3319" s="917">
        <f>VLOOKUP($A3319,'Tech Litons'!$A:$I,9,FALSE)</f>
        <v>225</v>
      </c>
      <c r="I3319" s="917" t="str">
        <f>VLOOKUP($A3319,'Tech Litons'!$A:$C,3,0)</f>
        <v>MBG</v>
      </c>
      <c r="J3319" s="918" t="str">
        <f t="shared" si="342"/>
        <v>1352MBG</v>
      </c>
      <c r="K3319" s="919">
        <v>1</v>
      </c>
      <c r="L3319" s="920">
        <f t="shared" si="343"/>
        <v>2250</v>
      </c>
      <c r="M3319" s="920">
        <f t="shared" si="344"/>
        <v>6.3719999999999999</v>
      </c>
      <c r="N3319" s="920">
        <f t="shared" si="345"/>
        <v>10</v>
      </c>
      <c r="O3319" s="918" t="str">
        <f t="shared" si="346"/>
        <v>Feb</v>
      </c>
      <c r="P3319" s="921">
        <f t="shared" si="347"/>
        <v>9</v>
      </c>
    </row>
    <row r="3320" spans="1:16" ht="15" hidden="1" customHeight="1">
      <c r="A3320" s="839">
        <v>64789262</v>
      </c>
      <c r="B3320" s="839">
        <v>1352</v>
      </c>
      <c r="C3320" s="906">
        <v>4800</v>
      </c>
      <c r="D3320" s="907">
        <v>46081</v>
      </c>
      <c r="E3320" s="839" t="s">
        <v>424</v>
      </c>
      <c r="F3320" s="839" t="s">
        <v>287</v>
      </c>
      <c r="G3320" s="916">
        <f>VLOOKUP($A3320,'Tech Litons'!$A:$I,8,FALSE)</f>
        <v>2.8319999999999999E-3</v>
      </c>
      <c r="H3320" s="917">
        <f>VLOOKUP($A3320,'Tech Litons'!$A:$I,9,FALSE)</f>
        <v>225</v>
      </c>
      <c r="I3320" s="917" t="str">
        <f>VLOOKUP($A3320,'Tech Litons'!$A:$C,3,0)</f>
        <v>MBG</v>
      </c>
      <c r="J3320" s="918" t="str">
        <f t="shared" si="342"/>
        <v>1352MBG</v>
      </c>
      <c r="K3320" s="919">
        <v>1</v>
      </c>
      <c r="L3320" s="920">
        <f t="shared" si="343"/>
        <v>4800</v>
      </c>
      <c r="M3320" s="920">
        <f t="shared" si="344"/>
        <v>13.593599999999999</v>
      </c>
      <c r="N3320" s="920">
        <f t="shared" si="345"/>
        <v>21.333333333333332</v>
      </c>
      <c r="O3320" s="918" t="str">
        <f t="shared" si="346"/>
        <v>Feb</v>
      </c>
      <c r="P3320" s="921">
        <f t="shared" si="347"/>
        <v>9</v>
      </c>
    </row>
    <row r="3321" spans="1:16" ht="15" hidden="1" customHeight="1">
      <c r="A3321" s="839">
        <v>64789262</v>
      </c>
      <c r="B3321" s="839">
        <v>1352</v>
      </c>
      <c r="C3321" s="906">
        <v>2700</v>
      </c>
      <c r="D3321" s="907">
        <v>46104</v>
      </c>
      <c r="E3321" s="839" t="s">
        <v>424</v>
      </c>
      <c r="F3321" s="839" t="s">
        <v>287</v>
      </c>
      <c r="G3321" s="916">
        <f>VLOOKUP($A3321,'Tech Litons'!$A:$I,8,FALSE)</f>
        <v>2.8319999999999999E-3</v>
      </c>
      <c r="H3321" s="917">
        <f>VLOOKUP($A3321,'Tech Litons'!$A:$I,9,FALSE)</f>
        <v>225</v>
      </c>
      <c r="I3321" s="917" t="str">
        <f>VLOOKUP($A3321,'Tech Litons'!$A:$C,3,0)</f>
        <v>MBG</v>
      </c>
      <c r="J3321" s="918" t="str">
        <f t="shared" si="342"/>
        <v>1352MBG</v>
      </c>
      <c r="K3321" s="919">
        <v>1</v>
      </c>
      <c r="L3321" s="920">
        <f t="shared" si="343"/>
        <v>2700</v>
      </c>
      <c r="M3321" s="920">
        <f t="shared" si="344"/>
        <v>7.6463999999999999</v>
      </c>
      <c r="N3321" s="920">
        <f t="shared" si="345"/>
        <v>12</v>
      </c>
      <c r="O3321" s="918" t="str">
        <f t="shared" si="346"/>
        <v>Mar</v>
      </c>
      <c r="P3321" s="921">
        <f t="shared" si="347"/>
        <v>13</v>
      </c>
    </row>
    <row r="3322" spans="1:16" ht="15" hidden="1" customHeight="1">
      <c r="A3322" s="839">
        <v>64789262</v>
      </c>
      <c r="B3322" s="839">
        <v>1352</v>
      </c>
      <c r="C3322" s="906">
        <v>4600</v>
      </c>
      <c r="D3322" s="907">
        <v>46105</v>
      </c>
      <c r="E3322" s="839" t="s">
        <v>424</v>
      </c>
      <c r="F3322" s="839" t="s">
        <v>287</v>
      </c>
      <c r="G3322" s="916">
        <f>VLOOKUP($A3322,'Tech Litons'!$A:$I,8,FALSE)</f>
        <v>2.8319999999999999E-3</v>
      </c>
      <c r="H3322" s="917">
        <f>VLOOKUP($A3322,'Tech Litons'!$A:$I,9,FALSE)</f>
        <v>225</v>
      </c>
      <c r="I3322" s="917" t="str">
        <f>VLOOKUP($A3322,'Tech Litons'!$A:$C,3,0)</f>
        <v>MBG</v>
      </c>
      <c r="J3322" s="918" t="str">
        <f t="shared" si="342"/>
        <v>1352MBG</v>
      </c>
      <c r="K3322" s="919">
        <v>1</v>
      </c>
      <c r="L3322" s="920">
        <f t="shared" si="343"/>
        <v>4600</v>
      </c>
      <c r="M3322" s="920">
        <f t="shared" si="344"/>
        <v>13.027199999999999</v>
      </c>
      <c r="N3322" s="920">
        <f t="shared" si="345"/>
        <v>20.444444444444443</v>
      </c>
      <c r="O3322" s="918" t="str">
        <f t="shared" si="346"/>
        <v>Mar</v>
      </c>
      <c r="P3322" s="921">
        <f t="shared" si="347"/>
        <v>13</v>
      </c>
    </row>
    <row r="3323" spans="1:16" ht="15" hidden="1" customHeight="1">
      <c r="A3323" s="839">
        <v>64789262</v>
      </c>
      <c r="B3323" s="839">
        <v>1352</v>
      </c>
      <c r="C3323" s="906">
        <v>3823</v>
      </c>
      <c r="D3323" s="907">
        <v>46105</v>
      </c>
      <c r="E3323" s="839" t="s">
        <v>424</v>
      </c>
      <c r="F3323" s="839" t="s">
        <v>287</v>
      </c>
      <c r="G3323" s="916">
        <f>VLOOKUP($A3323,'Tech Litons'!$A:$I,8,FALSE)</f>
        <v>2.8319999999999999E-3</v>
      </c>
      <c r="H3323" s="917">
        <f>VLOOKUP($A3323,'Tech Litons'!$A:$I,9,FALSE)</f>
        <v>225</v>
      </c>
      <c r="I3323" s="917" t="str">
        <f>VLOOKUP($A3323,'Tech Litons'!$A:$C,3,0)</f>
        <v>MBG</v>
      </c>
      <c r="J3323" s="918" t="str">
        <f t="shared" si="342"/>
        <v>1352MBG</v>
      </c>
      <c r="K3323" s="919">
        <v>1</v>
      </c>
      <c r="L3323" s="920">
        <f t="shared" si="343"/>
        <v>3823</v>
      </c>
      <c r="M3323" s="920">
        <f t="shared" si="344"/>
        <v>10.826736</v>
      </c>
      <c r="N3323" s="920">
        <f t="shared" si="345"/>
        <v>16.99111111111111</v>
      </c>
      <c r="O3323" s="918" t="str">
        <f t="shared" si="346"/>
        <v>Mar</v>
      </c>
      <c r="P3323" s="921">
        <f t="shared" si="347"/>
        <v>13</v>
      </c>
    </row>
    <row r="3324" spans="1:16" ht="15" hidden="1" customHeight="1">
      <c r="A3324" s="839">
        <v>64977528</v>
      </c>
      <c r="B3324" s="839">
        <v>1352</v>
      </c>
      <c r="C3324" s="906">
        <v>6509</v>
      </c>
      <c r="D3324" s="907">
        <v>46080</v>
      </c>
      <c r="E3324" s="839" t="s">
        <v>425</v>
      </c>
      <c r="F3324" s="839" t="s">
        <v>266</v>
      </c>
      <c r="G3324" s="916">
        <f>VLOOKUP($A3324,'Tech Litons'!$A:$I,8,FALSE)</f>
        <v>8.513999999999999E-3</v>
      </c>
      <c r="H3324" s="917">
        <f>VLOOKUP($A3324,'Tech Litons'!$A:$I,9,FALSE)</f>
        <v>176</v>
      </c>
      <c r="I3324" s="917" t="str">
        <f>VLOOKUP($A3324,'Tech Litons'!$A:$C,3,0)</f>
        <v>48oz</v>
      </c>
      <c r="J3324" s="918" t="str">
        <f t="shared" si="342"/>
        <v>135248oz</v>
      </c>
      <c r="K3324" s="919">
        <v>1</v>
      </c>
      <c r="L3324" s="920">
        <f t="shared" si="343"/>
        <v>6509</v>
      </c>
      <c r="M3324" s="920">
        <f t="shared" si="344"/>
        <v>55.417625999999991</v>
      </c>
      <c r="N3324" s="920">
        <f t="shared" si="345"/>
        <v>36.982954545454547</v>
      </c>
      <c r="O3324" s="918" t="str">
        <f t="shared" si="346"/>
        <v>Feb</v>
      </c>
      <c r="P3324" s="921">
        <f t="shared" si="347"/>
        <v>9</v>
      </c>
    </row>
    <row r="3325" spans="1:16" ht="15" hidden="1" customHeight="1">
      <c r="A3325" s="839">
        <v>64977528</v>
      </c>
      <c r="B3325" s="839">
        <v>1352</v>
      </c>
      <c r="C3325" s="906">
        <v>6866</v>
      </c>
      <c r="D3325" s="907">
        <v>46077</v>
      </c>
      <c r="E3325" s="839" t="s">
        <v>425</v>
      </c>
      <c r="F3325" s="839" t="s">
        <v>266</v>
      </c>
      <c r="G3325" s="916">
        <f>VLOOKUP($A3325,'Tech Litons'!$A:$I,8,FALSE)</f>
        <v>8.513999999999999E-3</v>
      </c>
      <c r="H3325" s="917">
        <f>VLOOKUP($A3325,'Tech Litons'!$A:$I,9,FALSE)</f>
        <v>176</v>
      </c>
      <c r="I3325" s="917" t="str">
        <f>VLOOKUP($A3325,'Tech Litons'!$A:$C,3,0)</f>
        <v>48oz</v>
      </c>
      <c r="J3325" s="918" t="str">
        <f t="shared" si="342"/>
        <v>135248oz</v>
      </c>
      <c r="K3325" s="919">
        <v>1</v>
      </c>
      <c r="L3325" s="920">
        <f t="shared" si="343"/>
        <v>6866</v>
      </c>
      <c r="M3325" s="920">
        <f t="shared" si="344"/>
        <v>58.457123999999993</v>
      </c>
      <c r="N3325" s="920">
        <f t="shared" si="345"/>
        <v>39.011363636363633</v>
      </c>
      <c r="O3325" s="918" t="str">
        <f t="shared" si="346"/>
        <v>Feb</v>
      </c>
      <c r="P3325" s="921">
        <f t="shared" si="347"/>
        <v>9</v>
      </c>
    </row>
    <row r="3326" spans="1:16" ht="15" hidden="1" customHeight="1">
      <c r="A3326" s="839">
        <v>64977528</v>
      </c>
      <c r="B3326" s="839">
        <v>1352</v>
      </c>
      <c r="C3326" s="906">
        <v>5060</v>
      </c>
      <c r="D3326" s="907">
        <v>46077</v>
      </c>
      <c r="E3326" s="839" t="s">
        <v>425</v>
      </c>
      <c r="F3326" s="839" t="s">
        <v>266</v>
      </c>
      <c r="G3326" s="916">
        <f>VLOOKUP($A3326,'Tech Litons'!$A:$I,8,FALSE)</f>
        <v>8.513999999999999E-3</v>
      </c>
      <c r="H3326" s="917">
        <f>VLOOKUP($A3326,'Tech Litons'!$A:$I,9,FALSE)</f>
        <v>176</v>
      </c>
      <c r="I3326" s="917" t="str">
        <f>VLOOKUP($A3326,'Tech Litons'!$A:$C,3,0)</f>
        <v>48oz</v>
      </c>
      <c r="J3326" s="918" t="str">
        <f t="shared" si="342"/>
        <v>135248oz</v>
      </c>
      <c r="K3326" s="919">
        <v>1</v>
      </c>
      <c r="L3326" s="920">
        <f t="shared" si="343"/>
        <v>5060</v>
      </c>
      <c r="M3326" s="920">
        <f t="shared" si="344"/>
        <v>43.080839999999995</v>
      </c>
      <c r="N3326" s="920">
        <f t="shared" si="345"/>
        <v>28.75</v>
      </c>
      <c r="O3326" s="918" t="str">
        <f t="shared" si="346"/>
        <v>Feb</v>
      </c>
      <c r="P3326" s="921">
        <f t="shared" si="347"/>
        <v>9</v>
      </c>
    </row>
    <row r="3327" spans="1:16" ht="15" hidden="1" customHeight="1">
      <c r="A3327" s="839">
        <v>64977528</v>
      </c>
      <c r="B3327" s="839">
        <v>1352</v>
      </c>
      <c r="C3327" s="906">
        <v>9114</v>
      </c>
      <c r="D3327" s="907">
        <v>46078</v>
      </c>
      <c r="E3327" s="839" t="s">
        <v>425</v>
      </c>
      <c r="F3327" s="839" t="s">
        <v>266</v>
      </c>
      <c r="G3327" s="916">
        <f>VLOOKUP($A3327,'Tech Litons'!$A:$I,8,FALSE)</f>
        <v>8.513999999999999E-3</v>
      </c>
      <c r="H3327" s="917">
        <f>VLOOKUP($A3327,'Tech Litons'!$A:$I,9,FALSE)</f>
        <v>176</v>
      </c>
      <c r="I3327" s="917" t="str">
        <f>VLOOKUP($A3327,'Tech Litons'!$A:$C,3,0)</f>
        <v>48oz</v>
      </c>
      <c r="J3327" s="918" t="str">
        <f t="shared" si="342"/>
        <v>135248oz</v>
      </c>
      <c r="K3327" s="919">
        <v>1</v>
      </c>
      <c r="L3327" s="920">
        <f t="shared" si="343"/>
        <v>9114</v>
      </c>
      <c r="M3327" s="920">
        <f t="shared" si="344"/>
        <v>77.596595999999991</v>
      </c>
      <c r="N3327" s="920">
        <f t="shared" si="345"/>
        <v>51.784090909090907</v>
      </c>
      <c r="O3327" s="918" t="str">
        <f t="shared" si="346"/>
        <v>Feb</v>
      </c>
      <c r="P3327" s="921">
        <f t="shared" si="347"/>
        <v>9</v>
      </c>
    </row>
    <row r="3328" spans="1:16" ht="15" hidden="1" customHeight="1">
      <c r="A3328" s="839">
        <v>64977528</v>
      </c>
      <c r="B3328" s="839">
        <v>1352</v>
      </c>
      <c r="C3328" s="906">
        <v>1853</v>
      </c>
      <c r="D3328" s="907">
        <v>46078</v>
      </c>
      <c r="E3328" s="839" t="s">
        <v>425</v>
      </c>
      <c r="F3328" s="839" t="s">
        <v>266</v>
      </c>
      <c r="G3328" s="916">
        <f>VLOOKUP($A3328,'Tech Litons'!$A:$I,8,FALSE)</f>
        <v>8.513999999999999E-3</v>
      </c>
      <c r="H3328" s="917">
        <f>VLOOKUP($A3328,'Tech Litons'!$A:$I,9,FALSE)</f>
        <v>176</v>
      </c>
      <c r="I3328" s="917" t="str">
        <f>VLOOKUP($A3328,'Tech Litons'!$A:$C,3,0)</f>
        <v>48oz</v>
      </c>
      <c r="J3328" s="918" t="str">
        <f t="shared" si="342"/>
        <v>135248oz</v>
      </c>
      <c r="K3328" s="919">
        <v>1</v>
      </c>
      <c r="L3328" s="920">
        <f t="shared" si="343"/>
        <v>1853</v>
      </c>
      <c r="M3328" s="920">
        <f t="shared" si="344"/>
        <v>15.776441999999998</v>
      </c>
      <c r="N3328" s="920">
        <f t="shared" si="345"/>
        <v>10.528409090909092</v>
      </c>
      <c r="O3328" s="918" t="str">
        <f t="shared" si="346"/>
        <v>Feb</v>
      </c>
      <c r="P3328" s="921">
        <f t="shared" si="347"/>
        <v>9</v>
      </c>
    </row>
    <row r="3329" spans="1:16" ht="15" hidden="1" customHeight="1">
      <c r="A3329" s="839">
        <v>64977528</v>
      </c>
      <c r="B3329" s="839">
        <v>1352</v>
      </c>
      <c r="C3329" s="906">
        <v>7473</v>
      </c>
      <c r="D3329" s="907">
        <v>46079</v>
      </c>
      <c r="E3329" s="839" t="s">
        <v>425</v>
      </c>
      <c r="F3329" s="839" t="s">
        <v>266</v>
      </c>
      <c r="G3329" s="916">
        <f>VLOOKUP($A3329,'Tech Litons'!$A:$I,8,FALSE)</f>
        <v>8.513999999999999E-3</v>
      </c>
      <c r="H3329" s="917">
        <f>VLOOKUP($A3329,'Tech Litons'!$A:$I,9,FALSE)</f>
        <v>176</v>
      </c>
      <c r="I3329" s="917" t="str">
        <f>VLOOKUP($A3329,'Tech Litons'!$A:$C,3,0)</f>
        <v>48oz</v>
      </c>
      <c r="J3329" s="918" t="str">
        <f t="shared" si="342"/>
        <v>135248oz</v>
      </c>
      <c r="K3329" s="919">
        <v>1</v>
      </c>
      <c r="L3329" s="920">
        <f t="shared" si="343"/>
        <v>7473</v>
      </c>
      <c r="M3329" s="920">
        <f t="shared" si="344"/>
        <v>63.62512199999999</v>
      </c>
      <c r="N3329" s="920">
        <f t="shared" si="345"/>
        <v>42.460227272727273</v>
      </c>
      <c r="O3329" s="918" t="str">
        <f t="shared" si="346"/>
        <v>Feb</v>
      </c>
      <c r="P3329" s="921">
        <f t="shared" si="347"/>
        <v>9</v>
      </c>
    </row>
    <row r="3330" spans="1:16" ht="15" hidden="1" customHeight="1">
      <c r="A3330" s="839">
        <v>64977530</v>
      </c>
      <c r="B3330" s="839">
        <v>1352</v>
      </c>
      <c r="C3330" s="906">
        <v>125</v>
      </c>
      <c r="D3330" s="907">
        <v>46078</v>
      </c>
      <c r="E3330" s="839" t="s">
        <v>310</v>
      </c>
      <c r="F3330" s="839" t="s">
        <v>266</v>
      </c>
      <c r="G3330" s="916">
        <f>VLOOKUP($A3330,'Tech Litons'!$A:$I,8,FALSE)</f>
        <v>8.513999999999999E-3</v>
      </c>
      <c r="H3330" s="917">
        <f>VLOOKUP($A3330,'Tech Litons'!$A:$I,9,FALSE)</f>
        <v>176</v>
      </c>
      <c r="I3330" s="917" t="str">
        <f>VLOOKUP($A3330,'Tech Litons'!$A:$C,3,0)</f>
        <v>48oz</v>
      </c>
      <c r="J3330" s="918" t="str">
        <f t="shared" si="342"/>
        <v>135248oz</v>
      </c>
      <c r="K3330" s="919">
        <v>1</v>
      </c>
      <c r="L3330" s="920">
        <f t="shared" si="343"/>
        <v>125</v>
      </c>
      <c r="M3330" s="920">
        <f t="shared" si="344"/>
        <v>1.0642499999999999</v>
      </c>
      <c r="N3330" s="920">
        <f t="shared" si="345"/>
        <v>0.71022727272727271</v>
      </c>
      <c r="O3330" s="918" t="str">
        <f t="shared" si="346"/>
        <v>Feb</v>
      </c>
      <c r="P3330" s="921">
        <f t="shared" si="347"/>
        <v>9</v>
      </c>
    </row>
    <row r="3331" spans="1:16" ht="15" hidden="1" customHeight="1">
      <c r="A3331" s="839">
        <v>64977530</v>
      </c>
      <c r="B3331" s="839">
        <v>1352</v>
      </c>
      <c r="C3331" s="906">
        <v>579</v>
      </c>
      <c r="D3331" s="907">
        <v>46078</v>
      </c>
      <c r="E3331" s="839" t="s">
        <v>310</v>
      </c>
      <c r="F3331" s="839" t="s">
        <v>266</v>
      </c>
      <c r="G3331" s="916">
        <f>VLOOKUP($A3331,'Tech Litons'!$A:$I,8,FALSE)</f>
        <v>8.513999999999999E-3</v>
      </c>
      <c r="H3331" s="917">
        <f>VLOOKUP($A3331,'Tech Litons'!$A:$I,9,FALSE)</f>
        <v>176</v>
      </c>
      <c r="I3331" s="917" t="str">
        <f>VLOOKUP($A3331,'Tech Litons'!$A:$C,3,0)</f>
        <v>48oz</v>
      </c>
      <c r="J3331" s="918" t="str">
        <f t="shared" si="342"/>
        <v>135248oz</v>
      </c>
      <c r="K3331" s="919">
        <v>1</v>
      </c>
      <c r="L3331" s="920">
        <f t="shared" si="343"/>
        <v>579</v>
      </c>
      <c r="M3331" s="920">
        <f t="shared" si="344"/>
        <v>4.9296059999999997</v>
      </c>
      <c r="N3331" s="920">
        <f t="shared" si="345"/>
        <v>3.2897727272727271</v>
      </c>
      <c r="O3331" s="918" t="str">
        <f t="shared" si="346"/>
        <v>Feb</v>
      </c>
      <c r="P3331" s="921">
        <f t="shared" si="347"/>
        <v>9</v>
      </c>
    </row>
    <row r="3332" spans="1:16" ht="15" hidden="1" customHeight="1">
      <c r="A3332" s="839">
        <v>64977530</v>
      </c>
      <c r="B3332" s="839">
        <v>1352</v>
      </c>
      <c r="C3332" s="906">
        <v>431</v>
      </c>
      <c r="D3332" s="907">
        <v>46076</v>
      </c>
      <c r="E3332" s="839" t="s">
        <v>310</v>
      </c>
      <c r="F3332" s="839" t="s">
        <v>266</v>
      </c>
      <c r="G3332" s="916">
        <f>VLOOKUP($A3332,'Tech Litons'!$A:$I,8,FALSE)</f>
        <v>8.513999999999999E-3</v>
      </c>
      <c r="H3332" s="917">
        <f>VLOOKUP($A3332,'Tech Litons'!$A:$I,9,FALSE)</f>
        <v>176</v>
      </c>
      <c r="I3332" s="917" t="str">
        <f>VLOOKUP($A3332,'Tech Litons'!$A:$C,3,0)</f>
        <v>48oz</v>
      </c>
      <c r="J3332" s="918" t="str">
        <f t="shared" si="342"/>
        <v>135248oz</v>
      </c>
      <c r="K3332" s="919">
        <v>1</v>
      </c>
      <c r="L3332" s="920">
        <f t="shared" si="343"/>
        <v>431</v>
      </c>
      <c r="M3332" s="920">
        <f t="shared" si="344"/>
        <v>3.6695339999999996</v>
      </c>
      <c r="N3332" s="920">
        <f t="shared" si="345"/>
        <v>2.4488636363636362</v>
      </c>
      <c r="O3332" s="918" t="str">
        <f t="shared" si="346"/>
        <v>Feb</v>
      </c>
      <c r="P3332" s="921">
        <f t="shared" si="347"/>
        <v>9</v>
      </c>
    </row>
    <row r="3333" spans="1:16" ht="15" hidden="1" customHeight="1">
      <c r="A3333" s="839">
        <v>68300738</v>
      </c>
      <c r="B3333" s="839">
        <v>1352</v>
      </c>
      <c r="C3333" s="906">
        <v>4545</v>
      </c>
      <c r="D3333" s="907">
        <v>46076</v>
      </c>
      <c r="E3333" s="839" t="s">
        <v>325</v>
      </c>
      <c r="F3333" s="839" t="s">
        <v>240</v>
      </c>
      <c r="G3333" s="916">
        <f>VLOOKUP($A3333,'Tech Litons'!$A:$I,8,FALSE)</f>
        <v>8.4960000000000001E-3</v>
      </c>
      <c r="H3333" s="917">
        <f>VLOOKUP($A3333,'Tech Litons'!$A:$I,9,FALSE)</f>
        <v>132</v>
      </c>
      <c r="I3333" s="917" t="str">
        <f>VLOOKUP($A3333,'Tech Litons'!$A:$C,3,0)</f>
        <v>EDF</v>
      </c>
      <c r="J3333" s="918" t="str">
        <f t="shared" si="342"/>
        <v>1352EDF</v>
      </c>
      <c r="K3333" s="919">
        <v>1</v>
      </c>
      <c r="L3333" s="920">
        <f t="shared" si="343"/>
        <v>4545</v>
      </c>
      <c r="M3333" s="920">
        <f t="shared" si="344"/>
        <v>38.614319999999999</v>
      </c>
      <c r="N3333" s="920">
        <f t="shared" si="345"/>
        <v>34.43181818181818</v>
      </c>
      <c r="O3333" s="918" t="str">
        <f t="shared" si="346"/>
        <v>Feb</v>
      </c>
      <c r="P3333" s="921">
        <f t="shared" si="347"/>
        <v>9</v>
      </c>
    </row>
    <row r="3334" spans="1:16" ht="15" hidden="1" customHeight="1">
      <c r="A3334" s="839">
        <v>68300738</v>
      </c>
      <c r="B3334" s="839">
        <v>1352</v>
      </c>
      <c r="C3334" s="906">
        <v>16</v>
      </c>
      <c r="D3334" s="907">
        <v>46079</v>
      </c>
      <c r="E3334" s="839" t="s">
        <v>325</v>
      </c>
      <c r="F3334" s="839" t="s">
        <v>240</v>
      </c>
      <c r="G3334" s="916">
        <f>VLOOKUP($A3334,'Tech Litons'!$A:$I,8,FALSE)</f>
        <v>8.4960000000000001E-3</v>
      </c>
      <c r="H3334" s="917">
        <f>VLOOKUP($A3334,'Tech Litons'!$A:$I,9,FALSE)</f>
        <v>132</v>
      </c>
      <c r="I3334" s="917" t="str">
        <f>VLOOKUP($A3334,'Tech Litons'!$A:$C,3,0)</f>
        <v>EDF</v>
      </c>
      <c r="J3334" s="918" t="str">
        <f t="shared" si="342"/>
        <v>1352EDF</v>
      </c>
      <c r="K3334" s="919">
        <v>1</v>
      </c>
      <c r="L3334" s="920">
        <f t="shared" si="343"/>
        <v>16</v>
      </c>
      <c r="M3334" s="920">
        <f t="shared" si="344"/>
        <v>0.135936</v>
      </c>
      <c r="N3334" s="920">
        <f t="shared" si="345"/>
        <v>0.12121212121212122</v>
      </c>
      <c r="O3334" s="918" t="str">
        <f t="shared" si="346"/>
        <v>Feb</v>
      </c>
      <c r="P3334" s="921">
        <f t="shared" si="347"/>
        <v>9</v>
      </c>
    </row>
    <row r="3335" spans="1:16" ht="15" hidden="1" customHeight="1">
      <c r="A3335" s="839">
        <v>68300738</v>
      </c>
      <c r="B3335" s="839">
        <v>1352</v>
      </c>
      <c r="C3335" s="906">
        <v>264</v>
      </c>
      <c r="D3335" s="907">
        <v>46094</v>
      </c>
      <c r="E3335" s="839" t="s">
        <v>325</v>
      </c>
      <c r="F3335" s="839" t="s">
        <v>240</v>
      </c>
      <c r="G3335" s="916">
        <f>VLOOKUP($A3335,'Tech Litons'!$A:$I,8,FALSE)</f>
        <v>8.4960000000000001E-3</v>
      </c>
      <c r="H3335" s="917">
        <f>VLOOKUP($A3335,'Tech Litons'!$A:$I,9,FALSE)</f>
        <v>132</v>
      </c>
      <c r="I3335" s="917" t="str">
        <f>VLOOKUP($A3335,'Tech Litons'!$A:$C,3,0)</f>
        <v>EDF</v>
      </c>
      <c r="J3335" s="918" t="str">
        <f t="shared" si="342"/>
        <v>1352EDF</v>
      </c>
      <c r="K3335" s="919">
        <v>1</v>
      </c>
      <c r="L3335" s="920">
        <f t="shared" si="343"/>
        <v>264</v>
      </c>
      <c r="M3335" s="920">
        <f t="shared" si="344"/>
        <v>2.242944</v>
      </c>
      <c r="N3335" s="920">
        <f t="shared" si="345"/>
        <v>2</v>
      </c>
      <c r="O3335" s="918" t="str">
        <f t="shared" si="346"/>
        <v>Mar</v>
      </c>
      <c r="P3335" s="921">
        <f t="shared" si="347"/>
        <v>11</v>
      </c>
    </row>
    <row r="3336" spans="1:16" ht="15" hidden="1" customHeight="1">
      <c r="A3336" s="839">
        <v>68300738</v>
      </c>
      <c r="B3336" s="839">
        <v>1352</v>
      </c>
      <c r="C3336" s="906">
        <v>2904</v>
      </c>
      <c r="D3336" s="907">
        <v>46076</v>
      </c>
      <c r="E3336" s="839" t="s">
        <v>325</v>
      </c>
      <c r="F3336" s="839" t="s">
        <v>240</v>
      </c>
      <c r="G3336" s="916">
        <f>VLOOKUP($A3336,'Tech Litons'!$A:$I,8,FALSE)</f>
        <v>8.4960000000000001E-3</v>
      </c>
      <c r="H3336" s="917">
        <f>VLOOKUP($A3336,'Tech Litons'!$A:$I,9,FALSE)</f>
        <v>132</v>
      </c>
      <c r="I3336" s="917" t="str">
        <f>VLOOKUP($A3336,'Tech Litons'!$A:$C,3,0)</f>
        <v>EDF</v>
      </c>
      <c r="J3336" s="918" t="str">
        <f t="shared" si="342"/>
        <v>1352EDF</v>
      </c>
      <c r="K3336" s="919">
        <v>1</v>
      </c>
      <c r="L3336" s="920">
        <f t="shared" si="343"/>
        <v>2904</v>
      </c>
      <c r="M3336" s="920">
        <f t="shared" si="344"/>
        <v>24.672384000000001</v>
      </c>
      <c r="N3336" s="920">
        <f t="shared" si="345"/>
        <v>22</v>
      </c>
      <c r="O3336" s="918" t="str">
        <f t="shared" si="346"/>
        <v>Feb</v>
      </c>
      <c r="P3336" s="921">
        <f t="shared" si="347"/>
        <v>9</v>
      </c>
    </row>
    <row r="3337" spans="1:16" ht="15" hidden="1" customHeight="1">
      <c r="A3337" s="839">
        <v>68300738</v>
      </c>
      <c r="B3337" s="839">
        <v>1352</v>
      </c>
      <c r="C3337" s="906">
        <v>1980</v>
      </c>
      <c r="D3337" s="907">
        <v>46077</v>
      </c>
      <c r="E3337" s="839" t="s">
        <v>325</v>
      </c>
      <c r="F3337" s="839" t="s">
        <v>240</v>
      </c>
      <c r="G3337" s="916">
        <f>VLOOKUP($A3337,'Tech Litons'!$A:$I,8,FALSE)</f>
        <v>8.4960000000000001E-3</v>
      </c>
      <c r="H3337" s="917">
        <f>VLOOKUP($A3337,'Tech Litons'!$A:$I,9,FALSE)</f>
        <v>132</v>
      </c>
      <c r="I3337" s="917" t="str">
        <f>VLOOKUP($A3337,'Tech Litons'!$A:$C,3,0)</f>
        <v>EDF</v>
      </c>
      <c r="J3337" s="918" t="str">
        <f t="shared" si="342"/>
        <v>1352EDF</v>
      </c>
      <c r="K3337" s="919">
        <v>1</v>
      </c>
      <c r="L3337" s="920">
        <f t="shared" si="343"/>
        <v>1980</v>
      </c>
      <c r="M3337" s="920">
        <f t="shared" si="344"/>
        <v>16.82208</v>
      </c>
      <c r="N3337" s="920">
        <f t="shared" si="345"/>
        <v>15</v>
      </c>
      <c r="O3337" s="918" t="str">
        <f t="shared" si="346"/>
        <v>Feb</v>
      </c>
      <c r="P3337" s="921">
        <f t="shared" si="347"/>
        <v>9</v>
      </c>
    </row>
    <row r="3338" spans="1:16" ht="15" hidden="1" customHeight="1">
      <c r="A3338" s="839">
        <v>68300738</v>
      </c>
      <c r="B3338" s="839">
        <v>1352</v>
      </c>
      <c r="C3338" s="906">
        <v>1584</v>
      </c>
      <c r="D3338" s="907">
        <v>46077</v>
      </c>
      <c r="E3338" s="839" t="s">
        <v>325</v>
      </c>
      <c r="F3338" s="839" t="s">
        <v>240</v>
      </c>
      <c r="G3338" s="916">
        <f>VLOOKUP($A3338,'Tech Litons'!$A:$I,8,FALSE)</f>
        <v>8.4960000000000001E-3</v>
      </c>
      <c r="H3338" s="917">
        <f>VLOOKUP($A3338,'Tech Litons'!$A:$I,9,FALSE)</f>
        <v>132</v>
      </c>
      <c r="I3338" s="917" t="str">
        <f>VLOOKUP($A3338,'Tech Litons'!$A:$C,3,0)</f>
        <v>EDF</v>
      </c>
      <c r="J3338" s="918" t="str">
        <f t="shared" si="342"/>
        <v>1352EDF</v>
      </c>
      <c r="K3338" s="919">
        <v>1</v>
      </c>
      <c r="L3338" s="920">
        <f t="shared" si="343"/>
        <v>1584</v>
      </c>
      <c r="M3338" s="920">
        <f t="shared" si="344"/>
        <v>13.457663999999999</v>
      </c>
      <c r="N3338" s="920">
        <f t="shared" si="345"/>
        <v>12</v>
      </c>
      <c r="O3338" s="918" t="str">
        <f t="shared" si="346"/>
        <v>Feb</v>
      </c>
      <c r="P3338" s="921">
        <f t="shared" si="347"/>
        <v>9</v>
      </c>
    </row>
    <row r="3339" spans="1:16" ht="15" hidden="1" customHeight="1">
      <c r="A3339" s="839">
        <v>68300738</v>
      </c>
      <c r="B3339" s="839">
        <v>1352</v>
      </c>
      <c r="C3339" s="906">
        <v>3438</v>
      </c>
      <c r="D3339" s="907">
        <v>46078</v>
      </c>
      <c r="E3339" s="839" t="s">
        <v>325</v>
      </c>
      <c r="F3339" s="839" t="s">
        <v>240</v>
      </c>
      <c r="G3339" s="916">
        <f>VLOOKUP($A3339,'Tech Litons'!$A:$I,8,FALSE)</f>
        <v>8.4960000000000001E-3</v>
      </c>
      <c r="H3339" s="917">
        <f>VLOOKUP($A3339,'Tech Litons'!$A:$I,9,FALSE)</f>
        <v>132</v>
      </c>
      <c r="I3339" s="917" t="str">
        <f>VLOOKUP($A3339,'Tech Litons'!$A:$C,3,0)</f>
        <v>EDF</v>
      </c>
      <c r="J3339" s="918" t="str">
        <f t="shared" si="342"/>
        <v>1352EDF</v>
      </c>
      <c r="K3339" s="919">
        <v>1</v>
      </c>
      <c r="L3339" s="920">
        <f t="shared" si="343"/>
        <v>3438</v>
      </c>
      <c r="M3339" s="920">
        <f t="shared" si="344"/>
        <v>29.209247999999999</v>
      </c>
      <c r="N3339" s="920">
        <f t="shared" si="345"/>
        <v>26.045454545454547</v>
      </c>
      <c r="O3339" s="918" t="str">
        <f t="shared" si="346"/>
        <v>Feb</v>
      </c>
      <c r="P3339" s="921">
        <f t="shared" si="347"/>
        <v>9</v>
      </c>
    </row>
    <row r="3340" spans="1:16" ht="15" hidden="1" customHeight="1">
      <c r="A3340" s="839">
        <v>68300738</v>
      </c>
      <c r="B3340" s="839">
        <v>1352</v>
      </c>
      <c r="C3340" s="906">
        <v>3300</v>
      </c>
      <c r="D3340" s="907">
        <v>46078</v>
      </c>
      <c r="E3340" s="839" t="s">
        <v>325</v>
      </c>
      <c r="F3340" s="839" t="s">
        <v>240</v>
      </c>
      <c r="G3340" s="916">
        <f>VLOOKUP($A3340,'Tech Litons'!$A:$I,8,FALSE)</f>
        <v>8.4960000000000001E-3</v>
      </c>
      <c r="H3340" s="917">
        <f>VLOOKUP($A3340,'Tech Litons'!$A:$I,9,FALSE)</f>
        <v>132</v>
      </c>
      <c r="I3340" s="917" t="str">
        <f>VLOOKUP($A3340,'Tech Litons'!$A:$C,3,0)</f>
        <v>EDF</v>
      </c>
      <c r="J3340" s="918" t="str">
        <f t="shared" si="342"/>
        <v>1352EDF</v>
      </c>
      <c r="K3340" s="919">
        <v>1</v>
      </c>
      <c r="L3340" s="920">
        <f t="shared" si="343"/>
        <v>3300</v>
      </c>
      <c r="M3340" s="920">
        <f t="shared" si="344"/>
        <v>28.036799999999999</v>
      </c>
      <c r="N3340" s="920">
        <f t="shared" si="345"/>
        <v>25</v>
      </c>
      <c r="O3340" s="918" t="str">
        <f t="shared" si="346"/>
        <v>Feb</v>
      </c>
      <c r="P3340" s="921">
        <f t="shared" si="347"/>
        <v>9</v>
      </c>
    </row>
    <row r="3341" spans="1:16" ht="15" hidden="1" customHeight="1">
      <c r="A3341" s="839">
        <v>68300738</v>
      </c>
      <c r="B3341" s="839">
        <v>1352</v>
      </c>
      <c r="C3341" s="906">
        <v>4811</v>
      </c>
      <c r="D3341" s="907">
        <v>46079</v>
      </c>
      <c r="E3341" s="839" t="s">
        <v>325</v>
      </c>
      <c r="F3341" s="839" t="s">
        <v>240</v>
      </c>
      <c r="G3341" s="916">
        <f>VLOOKUP($A3341,'Tech Litons'!$A:$I,8,FALSE)</f>
        <v>8.4960000000000001E-3</v>
      </c>
      <c r="H3341" s="917">
        <f>VLOOKUP($A3341,'Tech Litons'!$A:$I,9,FALSE)</f>
        <v>132</v>
      </c>
      <c r="I3341" s="917" t="str">
        <f>VLOOKUP($A3341,'Tech Litons'!$A:$C,3,0)</f>
        <v>EDF</v>
      </c>
      <c r="J3341" s="918" t="str">
        <f t="shared" si="342"/>
        <v>1352EDF</v>
      </c>
      <c r="K3341" s="919">
        <v>1</v>
      </c>
      <c r="L3341" s="920">
        <f t="shared" si="343"/>
        <v>4811</v>
      </c>
      <c r="M3341" s="920">
        <f t="shared" si="344"/>
        <v>40.874256000000003</v>
      </c>
      <c r="N3341" s="920">
        <f t="shared" si="345"/>
        <v>36.446969696969695</v>
      </c>
      <c r="O3341" s="918" t="str">
        <f t="shared" si="346"/>
        <v>Feb</v>
      </c>
      <c r="P3341" s="921">
        <f t="shared" si="347"/>
        <v>9</v>
      </c>
    </row>
    <row r="3342" spans="1:16" ht="15" hidden="1" customHeight="1">
      <c r="A3342" s="839">
        <v>68300738</v>
      </c>
      <c r="B3342" s="839">
        <v>1352</v>
      </c>
      <c r="C3342" s="906">
        <v>3432</v>
      </c>
      <c r="D3342" s="907">
        <v>46079</v>
      </c>
      <c r="E3342" s="839" t="s">
        <v>325</v>
      </c>
      <c r="F3342" s="839" t="s">
        <v>240</v>
      </c>
      <c r="G3342" s="916">
        <f>VLOOKUP($A3342,'Tech Litons'!$A:$I,8,FALSE)</f>
        <v>8.4960000000000001E-3</v>
      </c>
      <c r="H3342" s="917">
        <f>VLOOKUP($A3342,'Tech Litons'!$A:$I,9,FALSE)</f>
        <v>132</v>
      </c>
      <c r="I3342" s="917" t="str">
        <f>VLOOKUP($A3342,'Tech Litons'!$A:$C,3,0)</f>
        <v>EDF</v>
      </c>
      <c r="J3342" s="918" t="str">
        <f t="shared" si="342"/>
        <v>1352EDF</v>
      </c>
      <c r="K3342" s="919">
        <v>1</v>
      </c>
      <c r="L3342" s="920">
        <f t="shared" si="343"/>
        <v>3432</v>
      </c>
      <c r="M3342" s="920">
        <f t="shared" si="344"/>
        <v>29.158272</v>
      </c>
      <c r="N3342" s="920">
        <f t="shared" si="345"/>
        <v>26</v>
      </c>
      <c r="O3342" s="918" t="str">
        <f t="shared" si="346"/>
        <v>Feb</v>
      </c>
      <c r="P3342" s="921">
        <f t="shared" si="347"/>
        <v>9</v>
      </c>
    </row>
    <row r="3343" spans="1:16" ht="15" hidden="1" customHeight="1">
      <c r="A3343" s="839">
        <v>68300738</v>
      </c>
      <c r="B3343" s="839">
        <v>1352</v>
      </c>
      <c r="C3343" s="906">
        <v>3920</v>
      </c>
      <c r="D3343" s="907">
        <v>46080</v>
      </c>
      <c r="E3343" s="839" t="s">
        <v>325</v>
      </c>
      <c r="F3343" s="839" t="s">
        <v>240</v>
      </c>
      <c r="G3343" s="916">
        <f>VLOOKUP($A3343,'Tech Litons'!$A:$I,8,FALSE)</f>
        <v>8.4960000000000001E-3</v>
      </c>
      <c r="H3343" s="917">
        <f>VLOOKUP($A3343,'Tech Litons'!$A:$I,9,FALSE)</f>
        <v>132</v>
      </c>
      <c r="I3343" s="917" t="str">
        <f>VLOOKUP($A3343,'Tech Litons'!$A:$C,3,0)</f>
        <v>EDF</v>
      </c>
      <c r="J3343" s="918" t="str">
        <f t="shared" si="342"/>
        <v>1352EDF</v>
      </c>
      <c r="K3343" s="919">
        <v>1</v>
      </c>
      <c r="L3343" s="920">
        <f t="shared" si="343"/>
        <v>3920</v>
      </c>
      <c r="M3343" s="920">
        <f t="shared" si="344"/>
        <v>33.304319999999997</v>
      </c>
      <c r="N3343" s="920">
        <f t="shared" si="345"/>
        <v>29.696969696969695</v>
      </c>
      <c r="O3343" s="918" t="str">
        <f t="shared" si="346"/>
        <v>Feb</v>
      </c>
      <c r="P3343" s="921">
        <f t="shared" si="347"/>
        <v>9</v>
      </c>
    </row>
    <row r="3344" spans="1:16" ht="15" hidden="1" customHeight="1">
      <c r="A3344" s="839">
        <v>68300738</v>
      </c>
      <c r="B3344" s="839">
        <v>1352</v>
      </c>
      <c r="C3344" s="906">
        <v>1320</v>
      </c>
      <c r="D3344" s="907">
        <v>46081</v>
      </c>
      <c r="E3344" s="839" t="s">
        <v>325</v>
      </c>
      <c r="F3344" s="839" t="s">
        <v>240</v>
      </c>
      <c r="G3344" s="916">
        <f>VLOOKUP($A3344,'Tech Litons'!$A:$I,8,FALSE)</f>
        <v>8.4960000000000001E-3</v>
      </c>
      <c r="H3344" s="917">
        <f>VLOOKUP($A3344,'Tech Litons'!$A:$I,9,FALSE)</f>
        <v>132</v>
      </c>
      <c r="I3344" s="917" t="str">
        <f>VLOOKUP($A3344,'Tech Litons'!$A:$C,3,0)</f>
        <v>EDF</v>
      </c>
      <c r="J3344" s="918" t="str">
        <f t="shared" si="342"/>
        <v>1352EDF</v>
      </c>
      <c r="K3344" s="919">
        <v>1</v>
      </c>
      <c r="L3344" s="920">
        <f t="shared" si="343"/>
        <v>1320</v>
      </c>
      <c r="M3344" s="920">
        <f t="shared" si="344"/>
        <v>11.21472</v>
      </c>
      <c r="N3344" s="920">
        <f t="shared" si="345"/>
        <v>10</v>
      </c>
      <c r="O3344" s="918" t="str">
        <f t="shared" si="346"/>
        <v>Feb</v>
      </c>
      <c r="P3344" s="921">
        <f t="shared" si="347"/>
        <v>9</v>
      </c>
    </row>
    <row r="3345" spans="1:16" ht="15" hidden="1" customHeight="1">
      <c r="A3345" s="839">
        <v>68300738</v>
      </c>
      <c r="B3345" s="839">
        <v>1352</v>
      </c>
      <c r="C3345" s="906">
        <v>2001</v>
      </c>
      <c r="D3345" s="907">
        <v>46082</v>
      </c>
      <c r="E3345" s="839" t="s">
        <v>325</v>
      </c>
      <c r="F3345" s="839" t="s">
        <v>240</v>
      </c>
      <c r="G3345" s="916">
        <f>VLOOKUP($A3345,'Tech Litons'!$A:$I,8,FALSE)</f>
        <v>8.4960000000000001E-3</v>
      </c>
      <c r="H3345" s="917">
        <f>VLOOKUP($A3345,'Tech Litons'!$A:$I,9,FALSE)</f>
        <v>132</v>
      </c>
      <c r="I3345" s="917" t="str">
        <f>VLOOKUP($A3345,'Tech Litons'!$A:$C,3,0)</f>
        <v>EDF</v>
      </c>
      <c r="J3345" s="918" t="str">
        <f t="shared" si="342"/>
        <v>1352EDF</v>
      </c>
      <c r="K3345" s="919">
        <v>1</v>
      </c>
      <c r="L3345" s="920">
        <f t="shared" si="343"/>
        <v>2001</v>
      </c>
      <c r="M3345" s="920">
        <f t="shared" si="344"/>
        <v>17.000496000000002</v>
      </c>
      <c r="N3345" s="920">
        <f t="shared" si="345"/>
        <v>15.159090909090908</v>
      </c>
      <c r="O3345" s="918" t="str">
        <f t="shared" si="346"/>
        <v>Mar</v>
      </c>
      <c r="P3345" s="921">
        <f t="shared" si="347"/>
        <v>10</v>
      </c>
    </row>
    <row r="3346" spans="1:16" ht="15" hidden="1" customHeight="1">
      <c r="A3346" s="839">
        <v>68300738</v>
      </c>
      <c r="B3346" s="839">
        <v>1352</v>
      </c>
      <c r="C3346" s="906">
        <v>264</v>
      </c>
      <c r="D3346" s="907">
        <v>46093</v>
      </c>
      <c r="E3346" s="839" t="s">
        <v>325</v>
      </c>
      <c r="F3346" s="839" t="s">
        <v>240</v>
      </c>
      <c r="G3346" s="916">
        <f>VLOOKUP($A3346,'Tech Litons'!$A:$I,8,FALSE)</f>
        <v>8.4960000000000001E-3</v>
      </c>
      <c r="H3346" s="917">
        <f>VLOOKUP($A3346,'Tech Litons'!$A:$I,9,FALSE)</f>
        <v>132</v>
      </c>
      <c r="I3346" s="917" t="str">
        <f>VLOOKUP($A3346,'Tech Litons'!$A:$C,3,0)</f>
        <v>EDF</v>
      </c>
      <c r="J3346" s="918" t="str">
        <f t="shared" si="342"/>
        <v>1352EDF</v>
      </c>
      <c r="K3346" s="919">
        <v>1</v>
      </c>
      <c r="L3346" s="920">
        <f t="shared" si="343"/>
        <v>264</v>
      </c>
      <c r="M3346" s="920">
        <f t="shared" si="344"/>
        <v>2.242944</v>
      </c>
      <c r="N3346" s="920">
        <f t="shared" si="345"/>
        <v>2</v>
      </c>
      <c r="O3346" s="918" t="str">
        <f t="shared" si="346"/>
        <v>Mar</v>
      </c>
      <c r="P3346" s="921">
        <f t="shared" si="347"/>
        <v>11</v>
      </c>
    </row>
    <row r="3347" spans="1:16" ht="15" hidden="1" customHeight="1">
      <c r="A3347" s="839">
        <v>68300738</v>
      </c>
      <c r="B3347" s="839">
        <v>1352</v>
      </c>
      <c r="C3347" s="906">
        <v>2508</v>
      </c>
      <c r="D3347" s="907">
        <v>46080</v>
      </c>
      <c r="E3347" s="839" t="s">
        <v>325</v>
      </c>
      <c r="F3347" s="839" t="s">
        <v>240</v>
      </c>
      <c r="G3347" s="916">
        <f>VLOOKUP($A3347,'Tech Litons'!$A:$I,8,FALSE)</f>
        <v>8.4960000000000001E-3</v>
      </c>
      <c r="H3347" s="917">
        <f>VLOOKUP($A3347,'Tech Litons'!$A:$I,9,FALSE)</f>
        <v>132</v>
      </c>
      <c r="I3347" s="917" t="str">
        <f>VLOOKUP($A3347,'Tech Litons'!$A:$C,3,0)</f>
        <v>EDF</v>
      </c>
      <c r="J3347" s="918" t="str">
        <f t="shared" si="342"/>
        <v>1352EDF</v>
      </c>
      <c r="K3347" s="919">
        <v>1</v>
      </c>
      <c r="L3347" s="920">
        <f t="shared" si="343"/>
        <v>2508</v>
      </c>
      <c r="M3347" s="920">
        <f t="shared" si="344"/>
        <v>21.307967999999999</v>
      </c>
      <c r="N3347" s="920">
        <f t="shared" si="345"/>
        <v>19</v>
      </c>
      <c r="O3347" s="918" t="str">
        <f t="shared" si="346"/>
        <v>Feb</v>
      </c>
      <c r="P3347" s="921">
        <f t="shared" si="347"/>
        <v>9</v>
      </c>
    </row>
    <row r="3348" spans="1:16" ht="15" hidden="1" customHeight="1">
      <c r="A3348" s="839">
        <v>68300738</v>
      </c>
      <c r="B3348" s="839">
        <v>1352</v>
      </c>
      <c r="C3348" s="906">
        <v>4877</v>
      </c>
      <c r="D3348" s="907">
        <v>46081</v>
      </c>
      <c r="E3348" s="839" t="s">
        <v>325</v>
      </c>
      <c r="F3348" s="839" t="s">
        <v>240</v>
      </c>
      <c r="G3348" s="916">
        <f>VLOOKUP($A3348,'Tech Litons'!$A:$I,8,FALSE)</f>
        <v>8.4960000000000001E-3</v>
      </c>
      <c r="H3348" s="917">
        <f>VLOOKUP($A3348,'Tech Litons'!$A:$I,9,FALSE)</f>
        <v>132</v>
      </c>
      <c r="I3348" s="917" t="str">
        <f>VLOOKUP($A3348,'Tech Litons'!$A:$C,3,0)</f>
        <v>EDF</v>
      </c>
      <c r="J3348" s="918" t="str">
        <f t="shared" si="342"/>
        <v>1352EDF</v>
      </c>
      <c r="K3348" s="919">
        <v>1</v>
      </c>
      <c r="L3348" s="920">
        <f t="shared" si="343"/>
        <v>4877</v>
      </c>
      <c r="M3348" s="920">
        <f t="shared" si="344"/>
        <v>41.434992000000001</v>
      </c>
      <c r="N3348" s="920">
        <f t="shared" si="345"/>
        <v>36.946969696969695</v>
      </c>
      <c r="O3348" s="918" t="str">
        <f t="shared" si="346"/>
        <v>Feb</v>
      </c>
      <c r="P3348" s="921">
        <f t="shared" si="347"/>
        <v>9</v>
      </c>
    </row>
    <row r="3349" spans="1:16" ht="15" hidden="1" customHeight="1">
      <c r="A3349" s="839">
        <v>68300738</v>
      </c>
      <c r="B3349" s="839">
        <v>1352</v>
      </c>
      <c r="C3349" s="906">
        <v>2244</v>
      </c>
      <c r="D3349" s="907">
        <v>46082</v>
      </c>
      <c r="E3349" s="839" t="s">
        <v>325</v>
      </c>
      <c r="F3349" s="839" t="s">
        <v>240</v>
      </c>
      <c r="G3349" s="916">
        <f>VLOOKUP($A3349,'Tech Litons'!$A:$I,8,FALSE)</f>
        <v>8.4960000000000001E-3</v>
      </c>
      <c r="H3349" s="917">
        <f>VLOOKUP($A3349,'Tech Litons'!$A:$I,9,FALSE)</f>
        <v>132</v>
      </c>
      <c r="I3349" s="917" t="str">
        <f>VLOOKUP($A3349,'Tech Litons'!$A:$C,3,0)</f>
        <v>EDF</v>
      </c>
      <c r="J3349" s="918" t="str">
        <f t="shared" si="342"/>
        <v>1352EDF</v>
      </c>
      <c r="K3349" s="919">
        <v>1</v>
      </c>
      <c r="L3349" s="920">
        <f t="shared" si="343"/>
        <v>2244</v>
      </c>
      <c r="M3349" s="920">
        <f t="shared" si="344"/>
        <v>19.065024000000001</v>
      </c>
      <c r="N3349" s="920">
        <f t="shared" si="345"/>
        <v>17</v>
      </c>
      <c r="O3349" s="918" t="str">
        <f t="shared" si="346"/>
        <v>Mar</v>
      </c>
      <c r="P3349" s="921">
        <f t="shared" si="347"/>
        <v>10</v>
      </c>
    </row>
    <row r="3350" spans="1:16" ht="15" hidden="1" customHeight="1">
      <c r="A3350" s="839">
        <v>68300738</v>
      </c>
      <c r="B3350" s="839">
        <v>1352</v>
      </c>
      <c r="C3350" s="906">
        <v>3285</v>
      </c>
      <c r="D3350" s="907">
        <v>46083</v>
      </c>
      <c r="E3350" s="839" t="s">
        <v>325</v>
      </c>
      <c r="F3350" s="839" t="s">
        <v>240</v>
      </c>
      <c r="G3350" s="916">
        <f>VLOOKUP($A3350,'Tech Litons'!$A:$I,8,FALSE)</f>
        <v>8.4960000000000001E-3</v>
      </c>
      <c r="H3350" s="917">
        <f>VLOOKUP($A3350,'Tech Litons'!$A:$I,9,FALSE)</f>
        <v>132</v>
      </c>
      <c r="I3350" s="917" t="str">
        <f>VLOOKUP($A3350,'Tech Litons'!$A:$C,3,0)</f>
        <v>EDF</v>
      </c>
      <c r="J3350" s="918" t="str">
        <f t="shared" si="342"/>
        <v>1352EDF</v>
      </c>
      <c r="K3350" s="919">
        <v>1</v>
      </c>
      <c r="L3350" s="920">
        <f t="shared" si="343"/>
        <v>3285</v>
      </c>
      <c r="M3350" s="920">
        <f t="shared" si="344"/>
        <v>27.90936</v>
      </c>
      <c r="N3350" s="920">
        <f t="shared" si="345"/>
        <v>24.886363636363637</v>
      </c>
      <c r="O3350" s="918" t="str">
        <f t="shared" si="346"/>
        <v>Mar</v>
      </c>
      <c r="P3350" s="921">
        <f t="shared" si="347"/>
        <v>10</v>
      </c>
    </row>
    <row r="3351" spans="1:16" ht="15" hidden="1" customHeight="1">
      <c r="A3351" s="839">
        <v>68300738</v>
      </c>
      <c r="B3351" s="839">
        <v>1352</v>
      </c>
      <c r="C3351" s="906">
        <v>2244</v>
      </c>
      <c r="D3351" s="907">
        <v>46083</v>
      </c>
      <c r="E3351" s="839" t="s">
        <v>325</v>
      </c>
      <c r="F3351" s="839" t="s">
        <v>240</v>
      </c>
      <c r="G3351" s="916">
        <f>VLOOKUP($A3351,'Tech Litons'!$A:$I,8,FALSE)</f>
        <v>8.4960000000000001E-3</v>
      </c>
      <c r="H3351" s="917">
        <f>VLOOKUP($A3351,'Tech Litons'!$A:$I,9,FALSE)</f>
        <v>132</v>
      </c>
      <c r="I3351" s="917" t="str">
        <f>VLOOKUP($A3351,'Tech Litons'!$A:$C,3,0)</f>
        <v>EDF</v>
      </c>
      <c r="J3351" s="918" t="str">
        <f t="shared" si="342"/>
        <v>1352EDF</v>
      </c>
      <c r="K3351" s="919">
        <v>1</v>
      </c>
      <c r="L3351" s="920">
        <f t="shared" si="343"/>
        <v>2244</v>
      </c>
      <c r="M3351" s="920">
        <f t="shared" si="344"/>
        <v>19.065024000000001</v>
      </c>
      <c r="N3351" s="920">
        <f t="shared" si="345"/>
        <v>17</v>
      </c>
      <c r="O3351" s="918" t="str">
        <f t="shared" si="346"/>
        <v>Mar</v>
      </c>
      <c r="P3351" s="921">
        <f t="shared" si="347"/>
        <v>10</v>
      </c>
    </row>
    <row r="3352" spans="1:16" ht="15" hidden="1" customHeight="1">
      <c r="A3352" s="839">
        <v>68300738</v>
      </c>
      <c r="B3352" s="839">
        <v>1352</v>
      </c>
      <c r="C3352" s="906">
        <v>3629</v>
      </c>
      <c r="D3352" s="907">
        <v>46084</v>
      </c>
      <c r="E3352" s="839" t="s">
        <v>325</v>
      </c>
      <c r="F3352" s="839" t="s">
        <v>240</v>
      </c>
      <c r="G3352" s="916">
        <f>VLOOKUP($A3352,'Tech Litons'!$A:$I,8,FALSE)</f>
        <v>8.4960000000000001E-3</v>
      </c>
      <c r="H3352" s="917">
        <f>VLOOKUP($A3352,'Tech Litons'!$A:$I,9,FALSE)</f>
        <v>132</v>
      </c>
      <c r="I3352" s="917" t="str">
        <f>VLOOKUP($A3352,'Tech Litons'!$A:$C,3,0)</f>
        <v>EDF</v>
      </c>
      <c r="J3352" s="918" t="str">
        <f t="shared" si="342"/>
        <v>1352EDF</v>
      </c>
      <c r="K3352" s="919">
        <v>1</v>
      </c>
      <c r="L3352" s="920">
        <f t="shared" si="343"/>
        <v>3629</v>
      </c>
      <c r="M3352" s="920">
        <f t="shared" si="344"/>
        <v>30.831984000000002</v>
      </c>
      <c r="N3352" s="920">
        <f t="shared" si="345"/>
        <v>27.492424242424242</v>
      </c>
      <c r="O3352" s="918" t="str">
        <f t="shared" si="346"/>
        <v>Mar</v>
      </c>
      <c r="P3352" s="921">
        <f t="shared" si="347"/>
        <v>10</v>
      </c>
    </row>
    <row r="3353" spans="1:16" ht="15" hidden="1" customHeight="1">
      <c r="A3353" s="839">
        <v>68300738</v>
      </c>
      <c r="B3353" s="839">
        <v>1352</v>
      </c>
      <c r="C3353" s="906">
        <v>2508</v>
      </c>
      <c r="D3353" s="907">
        <v>46084</v>
      </c>
      <c r="E3353" s="839" t="s">
        <v>325</v>
      </c>
      <c r="F3353" s="839" t="s">
        <v>240</v>
      </c>
      <c r="G3353" s="916">
        <f>VLOOKUP($A3353,'Tech Litons'!$A:$I,8,FALSE)</f>
        <v>8.4960000000000001E-3</v>
      </c>
      <c r="H3353" s="917">
        <f>VLOOKUP($A3353,'Tech Litons'!$A:$I,9,FALSE)</f>
        <v>132</v>
      </c>
      <c r="I3353" s="917" t="str">
        <f>VLOOKUP($A3353,'Tech Litons'!$A:$C,3,0)</f>
        <v>EDF</v>
      </c>
      <c r="J3353" s="918" t="str">
        <f t="shared" si="342"/>
        <v>1352EDF</v>
      </c>
      <c r="K3353" s="919">
        <v>1</v>
      </c>
      <c r="L3353" s="920">
        <f t="shared" si="343"/>
        <v>2508</v>
      </c>
      <c r="M3353" s="920">
        <f t="shared" si="344"/>
        <v>21.307967999999999</v>
      </c>
      <c r="N3353" s="920">
        <f t="shared" si="345"/>
        <v>19</v>
      </c>
      <c r="O3353" s="918" t="str">
        <f t="shared" si="346"/>
        <v>Mar</v>
      </c>
      <c r="P3353" s="921">
        <f t="shared" si="347"/>
        <v>10</v>
      </c>
    </row>
    <row r="3354" spans="1:16" ht="15" hidden="1" customHeight="1">
      <c r="A3354" s="839">
        <v>68300738</v>
      </c>
      <c r="B3354" s="839">
        <v>1352</v>
      </c>
      <c r="C3354" s="906">
        <v>3529</v>
      </c>
      <c r="D3354" s="907">
        <v>46085</v>
      </c>
      <c r="E3354" s="839" t="s">
        <v>325</v>
      </c>
      <c r="F3354" s="839" t="s">
        <v>240</v>
      </c>
      <c r="G3354" s="916">
        <f>VLOOKUP($A3354,'Tech Litons'!$A:$I,8,FALSE)</f>
        <v>8.4960000000000001E-3</v>
      </c>
      <c r="H3354" s="917">
        <f>VLOOKUP($A3354,'Tech Litons'!$A:$I,9,FALSE)</f>
        <v>132</v>
      </c>
      <c r="I3354" s="917" t="str">
        <f>VLOOKUP($A3354,'Tech Litons'!$A:$C,3,0)</f>
        <v>EDF</v>
      </c>
      <c r="J3354" s="918" t="str">
        <f t="shared" si="342"/>
        <v>1352EDF</v>
      </c>
      <c r="K3354" s="919">
        <v>1</v>
      </c>
      <c r="L3354" s="920">
        <f t="shared" si="343"/>
        <v>3529</v>
      </c>
      <c r="M3354" s="920">
        <f t="shared" si="344"/>
        <v>29.982384</v>
      </c>
      <c r="N3354" s="920">
        <f t="shared" si="345"/>
        <v>26.734848484848484</v>
      </c>
      <c r="O3354" s="918" t="str">
        <f t="shared" si="346"/>
        <v>Mar</v>
      </c>
      <c r="P3354" s="921">
        <f t="shared" si="347"/>
        <v>10</v>
      </c>
    </row>
    <row r="3355" spans="1:16" ht="15" hidden="1" customHeight="1">
      <c r="A3355" s="839">
        <v>68689251</v>
      </c>
      <c r="B3355" s="839">
        <v>1352</v>
      </c>
      <c r="C3355" s="906">
        <v>0</v>
      </c>
      <c r="D3355" s="907">
        <v>46079</v>
      </c>
      <c r="E3355" s="839" t="s">
        <v>262</v>
      </c>
      <c r="F3355" s="839" t="s">
        <v>240</v>
      </c>
      <c r="G3355" s="916">
        <f>VLOOKUP($A3355,'Tech Litons'!$A:$I,8,FALSE)</f>
        <v>9.5760000000000012E-3</v>
      </c>
      <c r="H3355" s="917">
        <f>VLOOKUP($A3355,'Tech Litons'!$A:$I,9,FALSE)</f>
        <v>132</v>
      </c>
      <c r="I3355" s="917" t="str">
        <f>VLOOKUP($A3355,'Tech Litons'!$A:$C,3,0)</f>
        <v>EDF</v>
      </c>
      <c r="J3355" s="918" t="str">
        <f t="shared" si="342"/>
        <v>1352EDF</v>
      </c>
      <c r="K3355" s="919">
        <v>1</v>
      </c>
      <c r="L3355" s="920">
        <f t="shared" si="343"/>
        <v>0</v>
      </c>
      <c r="M3355" s="920">
        <f t="shared" si="344"/>
        <v>0</v>
      </c>
      <c r="N3355" s="920">
        <f t="shared" si="345"/>
        <v>0</v>
      </c>
      <c r="O3355" s="918" t="str">
        <f t="shared" si="346"/>
        <v>Feb</v>
      </c>
      <c r="P3355" s="921">
        <f t="shared" si="347"/>
        <v>9</v>
      </c>
    </row>
    <row r="3356" spans="1:16" ht="15" hidden="1" customHeight="1">
      <c r="A3356" s="839">
        <v>68689251</v>
      </c>
      <c r="B3356" s="839">
        <v>1352</v>
      </c>
      <c r="C3356" s="906">
        <v>0</v>
      </c>
      <c r="D3356" s="907">
        <v>46079</v>
      </c>
      <c r="E3356" s="839" t="s">
        <v>262</v>
      </c>
      <c r="F3356" s="839" t="s">
        <v>242</v>
      </c>
      <c r="G3356" s="916">
        <f>VLOOKUP($A3356,'Tech Litons'!$A:$I,8,FALSE)</f>
        <v>9.5760000000000012E-3</v>
      </c>
      <c r="H3356" s="917">
        <f>VLOOKUP($A3356,'Tech Litons'!$A:$I,9,FALSE)</f>
        <v>132</v>
      </c>
      <c r="I3356" s="917" t="str">
        <f>VLOOKUP($A3356,'Tech Litons'!$A:$C,3,0)</f>
        <v>EDF</v>
      </c>
      <c r="J3356" s="918" t="str">
        <f t="shared" si="342"/>
        <v>1352EDF</v>
      </c>
      <c r="K3356" s="919">
        <v>1</v>
      </c>
      <c r="L3356" s="920">
        <f t="shared" si="343"/>
        <v>0</v>
      </c>
      <c r="M3356" s="920">
        <f t="shared" si="344"/>
        <v>0</v>
      </c>
      <c r="N3356" s="920">
        <f t="shared" si="345"/>
        <v>0</v>
      </c>
      <c r="O3356" s="918" t="str">
        <f t="shared" si="346"/>
        <v>Feb</v>
      </c>
      <c r="P3356" s="921">
        <f t="shared" si="347"/>
        <v>9</v>
      </c>
    </row>
    <row r="3357" spans="1:16" ht="15" hidden="1" customHeight="1">
      <c r="A3357" s="839">
        <v>68689251</v>
      </c>
      <c r="B3357" s="839">
        <v>1352</v>
      </c>
      <c r="C3357" s="906">
        <v>0</v>
      </c>
      <c r="D3357" s="907">
        <v>46076</v>
      </c>
      <c r="E3357" s="839" t="s">
        <v>262</v>
      </c>
      <c r="F3357" s="839" t="s">
        <v>242</v>
      </c>
      <c r="G3357" s="916">
        <f>VLOOKUP($A3357,'Tech Litons'!$A:$I,8,FALSE)</f>
        <v>9.5760000000000012E-3</v>
      </c>
      <c r="H3357" s="917">
        <f>VLOOKUP($A3357,'Tech Litons'!$A:$I,9,FALSE)</f>
        <v>132</v>
      </c>
      <c r="I3357" s="917" t="str">
        <f>VLOOKUP($A3357,'Tech Litons'!$A:$C,3,0)</f>
        <v>EDF</v>
      </c>
      <c r="J3357" s="918" t="str">
        <f t="shared" si="342"/>
        <v>1352EDF</v>
      </c>
      <c r="K3357" s="919">
        <v>1</v>
      </c>
      <c r="L3357" s="920">
        <f t="shared" si="343"/>
        <v>0</v>
      </c>
      <c r="M3357" s="920">
        <f t="shared" si="344"/>
        <v>0</v>
      </c>
      <c r="N3357" s="920">
        <f t="shared" si="345"/>
        <v>0</v>
      </c>
      <c r="O3357" s="918" t="str">
        <f t="shared" si="346"/>
        <v>Feb</v>
      </c>
      <c r="P3357" s="921">
        <f t="shared" si="347"/>
        <v>9</v>
      </c>
    </row>
    <row r="3358" spans="1:16" ht="15" hidden="1" customHeight="1">
      <c r="A3358" s="839">
        <v>68689251</v>
      </c>
      <c r="B3358" s="839">
        <v>1352</v>
      </c>
      <c r="C3358" s="906">
        <v>2244</v>
      </c>
      <c r="D3358" s="907">
        <v>46090</v>
      </c>
      <c r="E3358" s="839" t="s">
        <v>262</v>
      </c>
      <c r="F3358" s="839" t="s">
        <v>241</v>
      </c>
      <c r="G3358" s="916">
        <f>VLOOKUP($A3358,'Tech Litons'!$A:$I,8,FALSE)</f>
        <v>9.5760000000000012E-3</v>
      </c>
      <c r="H3358" s="917">
        <f>VLOOKUP($A3358,'Tech Litons'!$A:$I,9,FALSE)</f>
        <v>132</v>
      </c>
      <c r="I3358" s="917" t="str">
        <f>VLOOKUP($A3358,'Tech Litons'!$A:$C,3,0)</f>
        <v>EDF</v>
      </c>
      <c r="J3358" s="918" t="str">
        <f t="shared" si="342"/>
        <v>1352EDF</v>
      </c>
      <c r="K3358" s="919">
        <v>1</v>
      </c>
      <c r="L3358" s="920">
        <f t="shared" si="343"/>
        <v>2244</v>
      </c>
      <c r="M3358" s="920">
        <f t="shared" si="344"/>
        <v>21.488544000000001</v>
      </c>
      <c r="N3358" s="920">
        <f t="shared" si="345"/>
        <v>17</v>
      </c>
      <c r="O3358" s="918" t="str">
        <f t="shared" si="346"/>
        <v>Mar</v>
      </c>
      <c r="P3358" s="921">
        <f t="shared" si="347"/>
        <v>11</v>
      </c>
    </row>
    <row r="3359" spans="1:16" ht="15" hidden="1" customHeight="1">
      <c r="A3359" s="839">
        <v>68689251</v>
      </c>
      <c r="B3359" s="839">
        <v>1352</v>
      </c>
      <c r="C3359" s="906">
        <v>3714</v>
      </c>
      <c r="D3359" s="907">
        <v>46091</v>
      </c>
      <c r="E3359" s="839" t="s">
        <v>262</v>
      </c>
      <c r="F3359" s="839" t="s">
        <v>241</v>
      </c>
      <c r="G3359" s="916">
        <f>VLOOKUP($A3359,'Tech Litons'!$A:$I,8,FALSE)</f>
        <v>9.5760000000000012E-3</v>
      </c>
      <c r="H3359" s="917">
        <f>VLOOKUP($A3359,'Tech Litons'!$A:$I,9,FALSE)</f>
        <v>132</v>
      </c>
      <c r="I3359" s="917" t="str">
        <f>VLOOKUP($A3359,'Tech Litons'!$A:$C,3,0)</f>
        <v>EDF</v>
      </c>
      <c r="J3359" s="918" t="str">
        <f t="shared" si="342"/>
        <v>1352EDF</v>
      </c>
      <c r="K3359" s="919">
        <v>1</v>
      </c>
      <c r="L3359" s="920">
        <f t="shared" si="343"/>
        <v>3714</v>
      </c>
      <c r="M3359" s="920">
        <f t="shared" si="344"/>
        <v>35.565264000000006</v>
      </c>
      <c r="N3359" s="920">
        <f t="shared" si="345"/>
        <v>28.136363636363637</v>
      </c>
      <c r="O3359" s="918" t="str">
        <f t="shared" si="346"/>
        <v>Mar</v>
      </c>
      <c r="P3359" s="921">
        <f t="shared" si="347"/>
        <v>11</v>
      </c>
    </row>
    <row r="3360" spans="1:16" ht="15" hidden="1" customHeight="1">
      <c r="A3360" s="839">
        <v>68689251</v>
      </c>
      <c r="B3360" s="839">
        <v>1352</v>
      </c>
      <c r="C3360" s="906">
        <v>2508</v>
      </c>
      <c r="D3360" s="907">
        <v>46091</v>
      </c>
      <c r="E3360" s="839" t="s">
        <v>262</v>
      </c>
      <c r="F3360" s="839" t="s">
        <v>241</v>
      </c>
      <c r="G3360" s="916">
        <f>VLOOKUP($A3360,'Tech Litons'!$A:$I,8,FALSE)</f>
        <v>9.5760000000000012E-3</v>
      </c>
      <c r="H3360" s="917">
        <f>VLOOKUP($A3360,'Tech Litons'!$A:$I,9,FALSE)</f>
        <v>132</v>
      </c>
      <c r="I3360" s="917" t="str">
        <f>VLOOKUP($A3360,'Tech Litons'!$A:$C,3,0)</f>
        <v>EDF</v>
      </c>
      <c r="J3360" s="918" t="str">
        <f t="shared" si="342"/>
        <v>1352EDF</v>
      </c>
      <c r="K3360" s="919">
        <v>1</v>
      </c>
      <c r="L3360" s="920">
        <f t="shared" si="343"/>
        <v>2508</v>
      </c>
      <c r="M3360" s="920">
        <f t="shared" si="344"/>
        <v>24.016608000000002</v>
      </c>
      <c r="N3360" s="920">
        <f t="shared" si="345"/>
        <v>19</v>
      </c>
      <c r="O3360" s="918" t="str">
        <f t="shared" si="346"/>
        <v>Mar</v>
      </c>
      <c r="P3360" s="921">
        <f t="shared" si="347"/>
        <v>11</v>
      </c>
    </row>
    <row r="3361" spans="1:16" ht="15" hidden="1" customHeight="1">
      <c r="A3361" s="839">
        <v>68689251</v>
      </c>
      <c r="B3361" s="839">
        <v>1352</v>
      </c>
      <c r="C3361" s="906">
        <v>3729</v>
      </c>
      <c r="D3361" s="907">
        <v>46092</v>
      </c>
      <c r="E3361" s="839" t="s">
        <v>262</v>
      </c>
      <c r="F3361" s="839" t="s">
        <v>241</v>
      </c>
      <c r="G3361" s="916">
        <f>VLOOKUP($A3361,'Tech Litons'!$A:$I,8,FALSE)</f>
        <v>9.5760000000000012E-3</v>
      </c>
      <c r="H3361" s="917">
        <f>VLOOKUP($A3361,'Tech Litons'!$A:$I,9,FALSE)</f>
        <v>132</v>
      </c>
      <c r="I3361" s="917" t="str">
        <f>VLOOKUP($A3361,'Tech Litons'!$A:$C,3,0)</f>
        <v>EDF</v>
      </c>
      <c r="J3361" s="918" t="str">
        <f t="shared" si="342"/>
        <v>1352EDF</v>
      </c>
      <c r="K3361" s="919">
        <v>1</v>
      </c>
      <c r="L3361" s="920">
        <f t="shared" si="343"/>
        <v>3729</v>
      </c>
      <c r="M3361" s="920">
        <f t="shared" si="344"/>
        <v>35.708904000000004</v>
      </c>
      <c r="N3361" s="920">
        <f t="shared" si="345"/>
        <v>28.25</v>
      </c>
      <c r="O3361" s="918" t="str">
        <f t="shared" si="346"/>
        <v>Mar</v>
      </c>
      <c r="P3361" s="921">
        <f t="shared" si="347"/>
        <v>11</v>
      </c>
    </row>
    <row r="3362" spans="1:16" ht="15" hidden="1" customHeight="1">
      <c r="A3362" s="839">
        <v>68689251</v>
      </c>
      <c r="B3362" s="839">
        <v>1352</v>
      </c>
      <c r="C3362" s="906">
        <v>3108</v>
      </c>
      <c r="D3362" s="907">
        <v>46092</v>
      </c>
      <c r="E3362" s="839" t="s">
        <v>262</v>
      </c>
      <c r="F3362" s="839" t="s">
        <v>241</v>
      </c>
      <c r="G3362" s="916">
        <f>VLOOKUP($A3362,'Tech Litons'!$A:$I,8,FALSE)</f>
        <v>9.5760000000000012E-3</v>
      </c>
      <c r="H3362" s="917">
        <f>VLOOKUP($A3362,'Tech Litons'!$A:$I,9,FALSE)</f>
        <v>132</v>
      </c>
      <c r="I3362" s="917" t="str">
        <f>VLOOKUP($A3362,'Tech Litons'!$A:$C,3,0)</f>
        <v>EDF</v>
      </c>
      <c r="J3362" s="918" t="str">
        <f t="shared" si="342"/>
        <v>1352EDF</v>
      </c>
      <c r="K3362" s="919">
        <v>1</v>
      </c>
      <c r="L3362" s="920">
        <f t="shared" si="343"/>
        <v>3108</v>
      </c>
      <c r="M3362" s="920">
        <f t="shared" si="344"/>
        <v>29.762208000000005</v>
      </c>
      <c r="N3362" s="920">
        <f t="shared" si="345"/>
        <v>23.545454545454547</v>
      </c>
      <c r="O3362" s="918" t="str">
        <f t="shared" si="346"/>
        <v>Mar</v>
      </c>
      <c r="P3362" s="921">
        <f t="shared" si="347"/>
        <v>11</v>
      </c>
    </row>
    <row r="3363" spans="1:16" ht="15" hidden="1" customHeight="1">
      <c r="A3363" s="839">
        <v>68689251</v>
      </c>
      <c r="B3363" s="839">
        <v>1352</v>
      </c>
      <c r="C3363" s="906">
        <v>2726</v>
      </c>
      <c r="D3363" s="907">
        <v>46093</v>
      </c>
      <c r="E3363" s="839" t="s">
        <v>262</v>
      </c>
      <c r="F3363" s="839" t="s">
        <v>241</v>
      </c>
      <c r="G3363" s="916">
        <f>VLOOKUP($A3363,'Tech Litons'!$A:$I,8,FALSE)</f>
        <v>9.5760000000000012E-3</v>
      </c>
      <c r="H3363" s="917">
        <f>VLOOKUP($A3363,'Tech Litons'!$A:$I,9,FALSE)</f>
        <v>132</v>
      </c>
      <c r="I3363" s="917" t="str">
        <f>VLOOKUP($A3363,'Tech Litons'!$A:$C,3,0)</f>
        <v>EDF</v>
      </c>
      <c r="J3363" s="918" t="str">
        <f t="shared" si="342"/>
        <v>1352EDF</v>
      </c>
      <c r="K3363" s="919">
        <v>1</v>
      </c>
      <c r="L3363" s="920">
        <f t="shared" si="343"/>
        <v>2726</v>
      </c>
      <c r="M3363" s="920">
        <f t="shared" si="344"/>
        <v>26.104176000000002</v>
      </c>
      <c r="N3363" s="920">
        <f t="shared" si="345"/>
        <v>20.651515151515152</v>
      </c>
      <c r="O3363" s="918" t="str">
        <f t="shared" si="346"/>
        <v>Mar</v>
      </c>
      <c r="P3363" s="921">
        <f t="shared" si="347"/>
        <v>11</v>
      </c>
    </row>
    <row r="3364" spans="1:16" ht="15" hidden="1" customHeight="1">
      <c r="A3364" s="839">
        <v>68689251</v>
      </c>
      <c r="B3364" s="839">
        <v>1352</v>
      </c>
      <c r="C3364" s="906">
        <v>2376</v>
      </c>
      <c r="D3364" s="907">
        <v>46094</v>
      </c>
      <c r="E3364" s="839" t="s">
        <v>262</v>
      </c>
      <c r="F3364" s="839" t="s">
        <v>241</v>
      </c>
      <c r="G3364" s="916">
        <f>VLOOKUP($A3364,'Tech Litons'!$A:$I,8,FALSE)</f>
        <v>9.5760000000000012E-3</v>
      </c>
      <c r="H3364" s="917">
        <f>VLOOKUP($A3364,'Tech Litons'!$A:$I,9,FALSE)</f>
        <v>132</v>
      </c>
      <c r="I3364" s="917" t="str">
        <f>VLOOKUP($A3364,'Tech Litons'!$A:$C,3,0)</f>
        <v>EDF</v>
      </c>
      <c r="J3364" s="918" t="str">
        <f t="shared" si="342"/>
        <v>1352EDF</v>
      </c>
      <c r="K3364" s="919">
        <v>1</v>
      </c>
      <c r="L3364" s="920">
        <f t="shared" si="343"/>
        <v>2376</v>
      </c>
      <c r="M3364" s="920">
        <f t="shared" si="344"/>
        <v>22.752576000000001</v>
      </c>
      <c r="N3364" s="920">
        <f t="shared" si="345"/>
        <v>18</v>
      </c>
      <c r="O3364" s="918" t="str">
        <f t="shared" si="346"/>
        <v>Mar</v>
      </c>
      <c r="P3364" s="921">
        <f t="shared" si="347"/>
        <v>11</v>
      </c>
    </row>
    <row r="3365" spans="1:16" ht="15" hidden="1" customHeight="1">
      <c r="A3365" s="839">
        <v>68689251</v>
      </c>
      <c r="B3365" s="839">
        <v>1352</v>
      </c>
      <c r="C3365" s="906">
        <v>3810</v>
      </c>
      <c r="D3365" s="907">
        <v>46095</v>
      </c>
      <c r="E3365" s="839" t="s">
        <v>262</v>
      </c>
      <c r="F3365" s="839" t="s">
        <v>241</v>
      </c>
      <c r="G3365" s="916">
        <f>VLOOKUP($A3365,'Tech Litons'!$A:$I,8,FALSE)</f>
        <v>9.5760000000000012E-3</v>
      </c>
      <c r="H3365" s="917">
        <f>VLOOKUP($A3365,'Tech Litons'!$A:$I,9,FALSE)</f>
        <v>132</v>
      </c>
      <c r="I3365" s="917" t="str">
        <f>VLOOKUP($A3365,'Tech Litons'!$A:$C,3,0)</f>
        <v>EDF</v>
      </c>
      <c r="J3365" s="918" t="str">
        <f t="shared" si="342"/>
        <v>1352EDF</v>
      </c>
      <c r="K3365" s="919">
        <v>1</v>
      </c>
      <c r="L3365" s="920">
        <f t="shared" si="343"/>
        <v>3810</v>
      </c>
      <c r="M3365" s="920">
        <f t="shared" si="344"/>
        <v>36.484560000000002</v>
      </c>
      <c r="N3365" s="920">
        <f t="shared" si="345"/>
        <v>28.863636363636363</v>
      </c>
      <c r="O3365" s="918" t="str">
        <f t="shared" si="346"/>
        <v>Mar</v>
      </c>
      <c r="P3365" s="921">
        <f t="shared" si="347"/>
        <v>11</v>
      </c>
    </row>
    <row r="3366" spans="1:16" ht="15" hidden="1" customHeight="1">
      <c r="A3366" s="839">
        <v>68689251</v>
      </c>
      <c r="B3366" s="839">
        <v>1352</v>
      </c>
      <c r="C3366" s="906">
        <v>1320</v>
      </c>
      <c r="D3366" s="907">
        <v>46095</v>
      </c>
      <c r="E3366" s="839" t="s">
        <v>262</v>
      </c>
      <c r="F3366" s="839" t="s">
        <v>241</v>
      </c>
      <c r="G3366" s="916">
        <f>VLOOKUP($A3366,'Tech Litons'!$A:$I,8,FALSE)</f>
        <v>9.5760000000000012E-3</v>
      </c>
      <c r="H3366" s="917">
        <f>VLOOKUP($A3366,'Tech Litons'!$A:$I,9,FALSE)</f>
        <v>132</v>
      </c>
      <c r="I3366" s="917" t="str">
        <f>VLOOKUP($A3366,'Tech Litons'!$A:$C,3,0)</f>
        <v>EDF</v>
      </c>
      <c r="J3366" s="918" t="str">
        <f t="shared" si="342"/>
        <v>1352EDF</v>
      </c>
      <c r="K3366" s="919">
        <v>1</v>
      </c>
      <c r="L3366" s="920">
        <f t="shared" si="343"/>
        <v>1320</v>
      </c>
      <c r="M3366" s="920">
        <f t="shared" si="344"/>
        <v>12.640320000000001</v>
      </c>
      <c r="N3366" s="920">
        <f t="shared" si="345"/>
        <v>10</v>
      </c>
      <c r="O3366" s="918" t="str">
        <f t="shared" si="346"/>
        <v>Mar</v>
      </c>
      <c r="P3366" s="921">
        <f t="shared" si="347"/>
        <v>11</v>
      </c>
    </row>
    <row r="3367" spans="1:16" ht="15" hidden="1" customHeight="1">
      <c r="A3367" s="839">
        <v>68689251</v>
      </c>
      <c r="B3367" s="839">
        <v>1352</v>
      </c>
      <c r="C3367" s="906">
        <v>3738</v>
      </c>
      <c r="D3367" s="907">
        <v>46096</v>
      </c>
      <c r="E3367" s="839" t="s">
        <v>262</v>
      </c>
      <c r="F3367" s="839" t="s">
        <v>241</v>
      </c>
      <c r="G3367" s="916">
        <f>VLOOKUP($A3367,'Tech Litons'!$A:$I,8,FALSE)</f>
        <v>9.5760000000000012E-3</v>
      </c>
      <c r="H3367" s="917">
        <f>VLOOKUP($A3367,'Tech Litons'!$A:$I,9,FALSE)</f>
        <v>132</v>
      </c>
      <c r="I3367" s="917" t="str">
        <f>VLOOKUP($A3367,'Tech Litons'!$A:$C,3,0)</f>
        <v>EDF</v>
      </c>
      <c r="J3367" s="918" t="str">
        <f t="shared" si="342"/>
        <v>1352EDF</v>
      </c>
      <c r="K3367" s="919">
        <v>1</v>
      </c>
      <c r="L3367" s="920">
        <f t="shared" si="343"/>
        <v>3738</v>
      </c>
      <c r="M3367" s="920">
        <f t="shared" si="344"/>
        <v>35.795088000000007</v>
      </c>
      <c r="N3367" s="920">
        <f t="shared" si="345"/>
        <v>28.318181818181817</v>
      </c>
      <c r="O3367" s="918" t="str">
        <f t="shared" si="346"/>
        <v>Mar</v>
      </c>
      <c r="P3367" s="921">
        <f t="shared" si="347"/>
        <v>12</v>
      </c>
    </row>
    <row r="3368" spans="1:16" ht="15" hidden="1" customHeight="1">
      <c r="A3368" s="839">
        <v>68689251</v>
      </c>
      <c r="B3368" s="839">
        <v>1352</v>
      </c>
      <c r="C3368" s="906">
        <v>3300</v>
      </c>
      <c r="D3368" s="907">
        <v>46096</v>
      </c>
      <c r="E3368" s="839" t="s">
        <v>262</v>
      </c>
      <c r="F3368" s="839" t="s">
        <v>241</v>
      </c>
      <c r="G3368" s="916">
        <f>VLOOKUP($A3368,'Tech Litons'!$A:$I,8,FALSE)</f>
        <v>9.5760000000000012E-3</v>
      </c>
      <c r="H3368" s="917">
        <f>VLOOKUP($A3368,'Tech Litons'!$A:$I,9,FALSE)</f>
        <v>132</v>
      </c>
      <c r="I3368" s="917" t="str">
        <f>VLOOKUP($A3368,'Tech Litons'!$A:$C,3,0)</f>
        <v>EDF</v>
      </c>
      <c r="J3368" s="918" t="str">
        <f t="shared" si="342"/>
        <v>1352EDF</v>
      </c>
      <c r="K3368" s="919">
        <v>1</v>
      </c>
      <c r="L3368" s="920">
        <f t="shared" si="343"/>
        <v>3300</v>
      </c>
      <c r="M3368" s="920">
        <f t="shared" si="344"/>
        <v>31.600800000000003</v>
      </c>
      <c r="N3368" s="920">
        <f t="shared" si="345"/>
        <v>25</v>
      </c>
      <c r="O3368" s="918" t="str">
        <f t="shared" si="346"/>
        <v>Mar</v>
      </c>
      <c r="P3368" s="921">
        <f t="shared" si="347"/>
        <v>12</v>
      </c>
    </row>
    <row r="3369" spans="1:16" ht="15" hidden="1" customHeight="1">
      <c r="A3369" s="839">
        <v>68689251</v>
      </c>
      <c r="B3369" s="839">
        <v>1352</v>
      </c>
      <c r="C3369" s="906">
        <v>1034</v>
      </c>
      <c r="D3369" s="907">
        <v>46097</v>
      </c>
      <c r="E3369" s="839" t="s">
        <v>262</v>
      </c>
      <c r="F3369" s="839" t="s">
        <v>241</v>
      </c>
      <c r="G3369" s="916">
        <f>VLOOKUP($A3369,'Tech Litons'!$A:$I,8,FALSE)</f>
        <v>9.5760000000000012E-3</v>
      </c>
      <c r="H3369" s="917">
        <f>VLOOKUP($A3369,'Tech Litons'!$A:$I,9,FALSE)</f>
        <v>132</v>
      </c>
      <c r="I3369" s="917" t="str">
        <f>VLOOKUP($A3369,'Tech Litons'!$A:$C,3,0)</f>
        <v>EDF</v>
      </c>
      <c r="J3369" s="918" t="str">
        <f t="shared" si="342"/>
        <v>1352EDF</v>
      </c>
      <c r="K3369" s="919">
        <v>1</v>
      </c>
      <c r="L3369" s="920">
        <f t="shared" si="343"/>
        <v>1034</v>
      </c>
      <c r="M3369" s="920">
        <f t="shared" si="344"/>
        <v>9.9015840000000015</v>
      </c>
      <c r="N3369" s="920">
        <f t="shared" si="345"/>
        <v>7.833333333333333</v>
      </c>
      <c r="O3369" s="918" t="str">
        <f t="shared" si="346"/>
        <v>Mar</v>
      </c>
      <c r="P3369" s="921">
        <f t="shared" si="347"/>
        <v>12</v>
      </c>
    </row>
    <row r="3370" spans="1:16" ht="15" hidden="1" customHeight="1">
      <c r="A3370" s="839">
        <v>68689251</v>
      </c>
      <c r="B3370" s="839">
        <v>1352</v>
      </c>
      <c r="C3370" s="906">
        <v>2508</v>
      </c>
      <c r="D3370" s="907">
        <v>46097</v>
      </c>
      <c r="E3370" s="839" t="s">
        <v>262</v>
      </c>
      <c r="F3370" s="839" t="s">
        <v>241</v>
      </c>
      <c r="G3370" s="916">
        <f>VLOOKUP($A3370,'Tech Litons'!$A:$I,8,FALSE)</f>
        <v>9.5760000000000012E-3</v>
      </c>
      <c r="H3370" s="917">
        <f>VLOOKUP($A3370,'Tech Litons'!$A:$I,9,FALSE)</f>
        <v>132</v>
      </c>
      <c r="I3370" s="917" t="str">
        <f>VLOOKUP($A3370,'Tech Litons'!$A:$C,3,0)</f>
        <v>EDF</v>
      </c>
      <c r="J3370" s="918" t="str">
        <f t="shared" si="342"/>
        <v>1352EDF</v>
      </c>
      <c r="K3370" s="919">
        <v>1</v>
      </c>
      <c r="L3370" s="920">
        <f t="shared" si="343"/>
        <v>2508</v>
      </c>
      <c r="M3370" s="920">
        <f t="shared" si="344"/>
        <v>24.016608000000002</v>
      </c>
      <c r="N3370" s="920">
        <f t="shared" si="345"/>
        <v>19</v>
      </c>
      <c r="O3370" s="918" t="str">
        <f t="shared" si="346"/>
        <v>Mar</v>
      </c>
      <c r="P3370" s="921">
        <f t="shared" si="347"/>
        <v>12</v>
      </c>
    </row>
    <row r="3371" spans="1:16" ht="15" hidden="1" customHeight="1">
      <c r="A3371" s="839">
        <v>68689251</v>
      </c>
      <c r="B3371" s="839">
        <v>1352</v>
      </c>
      <c r="C3371" s="906">
        <v>431</v>
      </c>
      <c r="D3371" s="907">
        <v>46098</v>
      </c>
      <c r="E3371" s="839" t="s">
        <v>262</v>
      </c>
      <c r="F3371" s="839" t="s">
        <v>241</v>
      </c>
      <c r="G3371" s="916">
        <f>VLOOKUP($A3371,'Tech Litons'!$A:$I,8,FALSE)</f>
        <v>9.5760000000000012E-3</v>
      </c>
      <c r="H3371" s="917">
        <f>VLOOKUP($A3371,'Tech Litons'!$A:$I,9,FALSE)</f>
        <v>132</v>
      </c>
      <c r="I3371" s="917" t="str">
        <f>VLOOKUP($A3371,'Tech Litons'!$A:$C,3,0)</f>
        <v>EDF</v>
      </c>
      <c r="J3371" s="918" t="str">
        <f t="shared" si="342"/>
        <v>1352EDF</v>
      </c>
      <c r="K3371" s="919">
        <v>1</v>
      </c>
      <c r="L3371" s="920">
        <f t="shared" si="343"/>
        <v>431</v>
      </c>
      <c r="M3371" s="920">
        <f t="shared" si="344"/>
        <v>4.1272560000000009</v>
      </c>
      <c r="N3371" s="920">
        <f t="shared" si="345"/>
        <v>3.2651515151515151</v>
      </c>
      <c r="O3371" s="918" t="str">
        <f t="shared" si="346"/>
        <v>Mar</v>
      </c>
      <c r="P3371" s="921">
        <f t="shared" si="347"/>
        <v>12</v>
      </c>
    </row>
    <row r="3372" spans="1:16" ht="15" hidden="1" customHeight="1">
      <c r="A3372" s="839">
        <v>68689251</v>
      </c>
      <c r="B3372" s="839">
        <v>1352</v>
      </c>
      <c r="C3372" s="906">
        <v>4092</v>
      </c>
      <c r="D3372" s="907">
        <v>46098</v>
      </c>
      <c r="E3372" s="839" t="s">
        <v>262</v>
      </c>
      <c r="F3372" s="839" t="s">
        <v>241</v>
      </c>
      <c r="G3372" s="916">
        <f>VLOOKUP($A3372,'Tech Litons'!$A:$I,8,FALSE)</f>
        <v>9.5760000000000012E-3</v>
      </c>
      <c r="H3372" s="917">
        <f>VLOOKUP($A3372,'Tech Litons'!$A:$I,9,FALSE)</f>
        <v>132</v>
      </c>
      <c r="I3372" s="917" t="str">
        <f>VLOOKUP($A3372,'Tech Litons'!$A:$C,3,0)</f>
        <v>EDF</v>
      </c>
      <c r="J3372" s="918" t="str">
        <f t="shared" si="342"/>
        <v>1352EDF</v>
      </c>
      <c r="K3372" s="919">
        <v>1</v>
      </c>
      <c r="L3372" s="920">
        <f t="shared" si="343"/>
        <v>4092</v>
      </c>
      <c r="M3372" s="920">
        <f t="shared" si="344"/>
        <v>39.184992000000008</v>
      </c>
      <c r="N3372" s="920">
        <f t="shared" si="345"/>
        <v>31</v>
      </c>
      <c r="O3372" s="918" t="str">
        <f t="shared" si="346"/>
        <v>Mar</v>
      </c>
      <c r="P3372" s="921">
        <f t="shared" si="347"/>
        <v>12</v>
      </c>
    </row>
    <row r="3373" spans="1:16" ht="15" hidden="1" customHeight="1">
      <c r="A3373" s="839">
        <v>68689251</v>
      </c>
      <c r="B3373" s="839">
        <v>1352</v>
      </c>
      <c r="C3373" s="906">
        <v>3940</v>
      </c>
      <c r="D3373" s="907">
        <v>46099</v>
      </c>
      <c r="E3373" s="839" t="s">
        <v>262</v>
      </c>
      <c r="F3373" s="839" t="s">
        <v>241</v>
      </c>
      <c r="G3373" s="916">
        <f>VLOOKUP($A3373,'Tech Litons'!$A:$I,8,FALSE)</f>
        <v>9.5760000000000012E-3</v>
      </c>
      <c r="H3373" s="917">
        <f>VLOOKUP($A3373,'Tech Litons'!$A:$I,9,FALSE)</f>
        <v>132</v>
      </c>
      <c r="I3373" s="917" t="str">
        <f>VLOOKUP($A3373,'Tech Litons'!$A:$C,3,0)</f>
        <v>EDF</v>
      </c>
      <c r="J3373" s="918" t="str">
        <f t="shared" si="342"/>
        <v>1352EDF</v>
      </c>
      <c r="K3373" s="919">
        <v>1</v>
      </c>
      <c r="L3373" s="920">
        <f t="shared" si="343"/>
        <v>3940</v>
      </c>
      <c r="M3373" s="920">
        <f t="shared" si="344"/>
        <v>37.729440000000004</v>
      </c>
      <c r="N3373" s="920">
        <f t="shared" si="345"/>
        <v>29.848484848484848</v>
      </c>
      <c r="O3373" s="918" t="str">
        <f t="shared" si="346"/>
        <v>Mar</v>
      </c>
      <c r="P3373" s="921">
        <f t="shared" si="347"/>
        <v>12</v>
      </c>
    </row>
    <row r="3374" spans="1:16" ht="15" hidden="1" customHeight="1">
      <c r="A3374" s="839">
        <v>68689251</v>
      </c>
      <c r="B3374" s="839">
        <v>1352</v>
      </c>
      <c r="C3374" s="906">
        <v>1716</v>
      </c>
      <c r="D3374" s="907">
        <v>46099</v>
      </c>
      <c r="E3374" s="839" t="s">
        <v>262</v>
      </c>
      <c r="F3374" s="839" t="s">
        <v>241</v>
      </c>
      <c r="G3374" s="916">
        <f>VLOOKUP($A3374,'Tech Litons'!$A:$I,8,FALSE)</f>
        <v>9.5760000000000012E-3</v>
      </c>
      <c r="H3374" s="917">
        <f>VLOOKUP($A3374,'Tech Litons'!$A:$I,9,FALSE)</f>
        <v>132</v>
      </c>
      <c r="I3374" s="917" t="str">
        <f>VLOOKUP($A3374,'Tech Litons'!$A:$C,3,0)</f>
        <v>EDF</v>
      </c>
      <c r="J3374" s="918" t="str">
        <f t="shared" si="342"/>
        <v>1352EDF</v>
      </c>
      <c r="K3374" s="919">
        <v>1</v>
      </c>
      <c r="L3374" s="920">
        <f t="shared" si="343"/>
        <v>1716</v>
      </c>
      <c r="M3374" s="920">
        <f t="shared" si="344"/>
        <v>16.432416000000003</v>
      </c>
      <c r="N3374" s="920">
        <f t="shared" si="345"/>
        <v>13</v>
      </c>
      <c r="O3374" s="918" t="str">
        <f t="shared" si="346"/>
        <v>Mar</v>
      </c>
      <c r="P3374" s="921">
        <f t="shared" si="347"/>
        <v>12</v>
      </c>
    </row>
    <row r="3375" spans="1:16" ht="15" hidden="1" customHeight="1">
      <c r="A3375" s="839">
        <v>68689251</v>
      </c>
      <c r="B3375" s="839">
        <v>1352</v>
      </c>
      <c r="C3375" s="906">
        <v>4031</v>
      </c>
      <c r="D3375" s="907">
        <v>46100</v>
      </c>
      <c r="E3375" s="839" t="s">
        <v>262</v>
      </c>
      <c r="F3375" s="839" t="s">
        <v>241</v>
      </c>
      <c r="G3375" s="916">
        <f>VLOOKUP($A3375,'Tech Litons'!$A:$I,8,FALSE)</f>
        <v>9.5760000000000012E-3</v>
      </c>
      <c r="H3375" s="917">
        <f>VLOOKUP($A3375,'Tech Litons'!$A:$I,9,FALSE)</f>
        <v>132</v>
      </c>
      <c r="I3375" s="917" t="str">
        <f>VLOOKUP($A3375,'Tech Litons'!$A:$C,3,0)</f>
        <v>EDF</v>
      </c>
      <c r="J3375" s="918" t="str">
        <f t="shared" si="342"/>
        <v>1352EDF</v>
      </c>
      <c r="K3375" s="919">
        <v>1</v>
      </c>
      <c r="L3375" s="920">
        <f t="shared" si="343"/>
        <v>4031</v>
      </c>
      <c r="M3375" s="920">
        <f t="shared" si="344"/>
        <v>38.600856000000007</v>
      </c>
      <c r="N3375" s="920">
        <f t="shared" si="345"/>
        <v>30.537878787878789</v>
      </c>
      <c r="O3375" s="918" t="str">
        <f t="shared" si="346"/>
        <v>Mar</v>
      </c>
      <c r="P3375" s="921">
        <f t="shared" si="347"/>
        <v>12</v>
      </c>
    </row>
    <row r="3376" spans="1:16" ht="15" hidden="1" customHeight="1">
      <c r="A3376" s="839">
        <v>68689251</v>
      </c>
      <c r="B3376" s="839">
        <v>1352</v>
      </c>
      <c r="C3376" s="906">
        <v>924</v>
      </c>
      <c r="D3376" s="907">
        <v>46101</v>
      </c>
      <c r="E3376" s="839" t="s">
        <v>262</v>
      </c>
      <c r="F3376" s="839" t="s">
        <v>241</v>
      </c>
      <c r="G3376" s="916">
        <f>VLOOKUP($A3376,'Tech Litons'!$A:$I,8,FALSE)</f>
        <v>9.5760000000000012E-3</v>
      </c>
      <c r="H3376" s="917">
        <f>VLOOKUP($A3376,'Tech Litons'!$A:$I,9,FALSE)</f>
        <v>132</v>
      </c>
      <c r="I3376" s="917" t="str">
        <f>VLOOKUP($A3376,'Tech Litons'!$A:$C,3,0)</f>
        <v>EDF</v>
      </c>
      <c r="J3376" s="918" t="str">
        <f t="shared" si="342"/>
        <v>1352EDF</v>
      </c>
      <c r="K3376" s="919">
        <v>1</v>
      </c>
      <c r="L3376" s="920">
        <f t="shared" si="343"/>
        <v>924</v>
      </c>
      <c r="M3376" s="920">
        <f t="shared" si="344"/>
        <v>8.8482240000000019</v>
      </c>
      <c r="N3376" s="920">
        <f t="shared" si="345"/>
        <v>7</v>
      </c>
      <c r="O3376" s="918" t="str">
        <f t="shared" si="346"/>
        <v>Mar</v>
      </c>
      <c r="P3376" s="921">
        <f t="shared" si="347"/>
        <v>12</v>
      </c>
    </row>
    <row r="3377" spans="1:16" ht="15" hidden="1" customHeight="1">
      <c r="A3377" s="839">
        <v>68689251</v>
      </c>
      <c r="B3377" s="839">
        <v>1352</v>
      </c>
      <c r="C3377" s="906">
        <v>4231</v>
      </c>
      <c r="D3377" s="907">
        <v>46102</v>
      </c>
      <c r="E3377" s="839" t="s">
        <v>262</v>
      </c>
      <c r="F3377" s="839" t="s">
        <v>241</v>
      </c>
      <c r="G3377" s="916">
        <f>VLOOKUP($A3377,'Tech Litons'!$A:$I,8,FALSE)</f>
        <v>9.5760000000000012E-3</v>
      </c>
      <c r="H3377" s="917">
        <f>VLOOKUP($A3377,'Tech Litons'!$A:$I,9,FALSE)</f>
        <v>132</v>
      </c>
      <c r="I3377" s="917" t="str">
        <f>VLOOKUP($A3377,'Tech Litons'!$A:$C,3,0)</f>
        <v>EDF</v>
      </c>
      <c r="J3377" s="918" t="str">
        <f t="shared" si="342"/>
        <v>1352EDF</v>
      </c>
      <c r="K3377" s="919">
        <v>1</v>
      </c>
      <c r="L3377" s="920">
        <f t="shared" si="343"/>
        <v>4231</v>
      </c>
      <c r="M3377" s="920">
        <f t="shared" si="344"/>
        <v>40.516056000000006</v>
      </c>
      <c r="N3377" s="920">
        <f t="shared" si="345"/>
        <v>32.053030303030305</v>
      </c>
      <c r="O3377" s="918" t="str">
        <f t="shared" si="346"/>
        <v>Mar</v>
      </c>
      <c r="P3377" s="921">
        <f t="shared" si="347"/>
        <v>12</v>
      </c>
    </row>
    <row r="3378" spans="1:16" ht="15" hidden="1" customHeight="1">
      <c r="A3378" s="839">
        <v>68689251</v>
      </c>
      <c r="B3378" s="839">
        <v>1352</v>
      </c>
      <c r="C3378" s="906">
        <v>2904</v>
      </c>
      <c r="D3378" s="907">
        <v>46102</v>
      </c>
      <c r="E3378" s="839" t="s">
        <v>262</v>
      </c>
      <c r="F3378" s="839" t="s">
        <v>241</v>
      </c>
      <c r="G3378" s="916">
        <f>VLOOKUP($A3378,'Tech Litons'!$A:$I,8,FALSE)</f>
        <v>9.5760000000000012E-3</v>
      </c>
      <c r="H3378" s="917">
        <f>VLOOKUP($A3378,'Tech Litons'!$A:$I,9,FALSE)</f>
        <v>132</v>
      </c>
      <c r="I3378" s="917" t="str">
        <f>VLOOKUP($A3378,'Tech Litons'!$A:$C,3,0)</f>
        <v>EDF</v>
      </c>
      <c r="J3378" s="918" t="str">
        <f t="shared" ref="J3378:J3441" si="348">B3378&amp;I3378</f>
        <v>1352EDF</v>
      </c>
      <c r="K3378" s="919">
        <v>1</v>
      </c>
      <c r="L3378" s="920">
        <f t="shared" ref="L3378:L3441" si="349">C3378*$K3378</f>
        <v>2904</v>
      </c>
      <c r="M3378" s="920">
        <f t="shared" ref="M3378:M3441" si="350">L3378*G3378</f>
        <v>27.808704000000002</v>
      </c>
      <c r="N3378" s="920">
        <f t="shared" ref="N3378:N3441" si="351">L3378/H3378</f>
        <v>22</v>
      </c>
      <c r="O3378" s="918" t="str">
        <f t="shared" ref="O3378:O3441" si="352">TEXT(D3378,"MMM")</f>
        <v>Mar</v>
      </c>
      <c r="P3378" s="921">
        <f t="shared" ref="P3378:P3441" si="353">WEEKNUM(D3378)</f>
        <v>12</v>
      </c>
    </row>
    <row r="3379" spans="1:16" ht="15" hidden="1" customHeight="1">
      <c r="A3379" s="839">
        <v>68689251</v>
      </c>
      <c r="B3379" s="839">
        <v>1352</v>
      </c>
      <c r="C3379" s="906">
        <v>2810</v>
      </c>
      <c r="D3379" s="907">
        <v>46103</v>
      </c>
      <c r="E3379" s="839" t="s">
        <v>262</v>
      </c>
      <c r="F3379" s="839" t="s">
        <v>241</v>
      </c>
      <c r="G3379" s="916">
        <f>VLOOKUP($A3379,'Tech Litons'!$A:$I,8,FALSE)</f>
        <v>9.5760000000000012E-3</v>
      </c>
      <c r="H3379" s="917">
        <f>VLOOKUP($A3379,'Tech Litons'!$A:$I,9,FALSE)</f>
        <v>132</v>
      </c>
      <c r="I3379" s="917" t="str">
        <f>VLOOKUP($A3379,'Tech Litons'!$A:$C,3,0)</f>
        <v>EDF</v>
      </c>
      <c r="J3379" s="918" t="str">
        <f t="shared" si="348"/>
        <v>1352EDF</v>
      </c>
      <c r="K3379" s="919">
        <v>1</v>
      </c>
      <c r="L3379" s="920">
        <f t="shared" si="349"/>
        <v>2810</v>
      </c>
      <c r="M3379" s="920">
        <f t="shared" si="350"/>
        <v>26.908560000000005</v>
      </c>
      <c r="N3379" s="920">
        <f t="shared" si="351"/>
        <v>21.287878787878789</v>
      </c>
      <c r="O3379" s="918" t="str">
        <f t="shared" si="352"/>
        <v>Mar</v>
      </c>
      <c r="P3379" s="921">
        <f t="shared" si="353"/>
        <v>13</v>
      </c>
    </row>
    <row r="3380" spans="1:16" ht="15" hidden="1" customHeight="1">
      <c r="A3380" s="839">
        <v>68689251</v>
      </c>
      <c r="B3380" s="839">
        <v>1352</v>
      </c>
      <c r="C3380" s="906">
        <v>3036</v>
      </c>
      <c r="D3380" s="907">
        <v>46103</v>
      </c>
      <c r="E3380" s="839" t="s">
        <v>262</v>
      </c>
      <c r="F3380" s="839" t="s">
        <v>241</v>
      </c>
      <c r="G3380" s="916">
        <f>VLOOKUP($A3380,'Tech Litons'!$A:$I,8,FALSE)</f>
        <v>9.5760000000000012E-3</v>
      </c>
      <c r="H3380" s="917">
        <f>VLOOKUP($A3380,'Tech Litons'!$A:$I,9,FALSE)</f>
        <v>132</v>
      </c>
      <c r="I3380" s="917" t="str">
        <f>VLOOKUP($A3380,'Tech Litons'!$A:$C,3,0)</f>
        <v>EDF</v>
      </c>
      <c r="J3380" s="918" t="str">
        <f t="shared" si="348"/>
        <v>1352EDF</v>
      </c>
      <c r="K3380" s="919">
        <v>1</v>
      </c>
      <c r="L3380" s="920">
        <f t="shared" si="349"/>
        <v>3036</v>
      </c>
      <c r="M3380" s="920">
        <f t="shared" si="350"/>
        <v>29.072736000000003</v>
      </c>
      <c r="N3380" s="920">
        <f t="shared" si="351"/>
        <v>23</v>
      </c>
      <c r="O3380" s="918" t="str">
        <f t="shared" si="352"/>
        <v>Mar</v>
      </c>
      <c r="P3380" s="921">
        <f t="shared" si="353"/>
        <v>13</v>
      </c>
    </row>
    <row r="3381" spans="1:16" ht="15" hidden="1" customHeight="1">
      <c r="A3381" s="839">
        <v>68689251</v>
      </c>
      <c r="B3381" s="839">
        <v>1352</v>
      </c>
      <c r="C3381" s="906">
        <v>3964</v>
      </c>
      <c r="D3381" s="907">
        <v>46104</v>
      </c>
      <c r="E3381" s="839" t="s">
        <v>262</v>
      </c>
      <c r="F3381" s="839" t="s">
        <v>241</v>
      </c>
      <c r="G3381" s="916">
        <f>VLOOKUP($A3381,'Tech Litons'!$A:$I,8,FALSE)</f>
        <v>9.5760000000000012E-3</v>
      </c>
      <c r="H3381" s="917">
        <f>VLOOKUP($A3381,'Tech Litons'!$A:$I,9,FALSE)</f>
        <v>132</v>
      </c>
      <c r="I3381" s="917" t="str">
        <f>VLOOKUP($A3381,'Tech Litons'!$A:$C,3,0)</f>
        <v>EDF</v>
      </c>
      <c r="J3381" s="918" t="str">
        <f t="shared" si="348"/>
        <v>1352EDF</v>
      </c>
      <c r="K3381" s="919">
        <v>1</v>
      </c>
      <c r="L3381" s="920">
        <f t="shared" si="349"/>
        <v>3964</v>
      </c>
      <c r="M3381" s="920">
        <f t="shared" si="350"/>
        <v>37.959264000000005</v>
      </c>
      <c r="N3381" s="920">
        <f t="shared" si="351"/>
        <v>30.030303030303031</v>
      </c>
      <c r="O3381" s="918" t="str">
        <f t="shared" si="352"/>
        <v>Mar</v>
      </c>
      <c r="P3381" s="921">
        <f t="shared" si="353"/>
        <v>13</v>
      </c>
    </row>
    <row r="3382" spans="1:16" ht="15" hidden="1" customHeight="1">
      <c r="A3382" s="839">
        <v>68689251</v>
      </c>
      <c r="B3382" s="839">
        <v>1352</v>
      </c>
      <c r="C3382" s="906">
        <v>3564</v>
      </c>
      <c r="D3382" s="907">
        <v>46104</v>
      </c>
      <c r="E3382" s="839" t="s">
        <v>262</v>
      </c>
      <c r="F3382" s="839" t="s">
        <v>241</v>
      </c>
      <c r="G3382" s="916">
        <f>VLOOKUP($A3382,'Tech Litons'!$A:$I,8,FALSE)</f>
        <v>9.5760000000000012E-3</v>
      </c>
      <c r="H3382" s="917">
        <f>VLOOKUP($A3382,'Tech Litons'!$A:$I,9,FALSE)</f>
        <v>132</v>
      </c>
      <c r="I3382" s="917" t="str">
        <f>VLOOKUP($A3382,'Tech Litons'!$A:$C,3,0)</f>
        <v>EDF</v>
      </c>
      <c r="J3382" s="918" t="str">
        <f t="shared" si="348"/>
        <v>1352EDF</v>
      </c>
      <c r="K3382" s="919">
        <v>1</v>
      </c>
      <c r="L3382" s="920">
        <f t="shared" si="349"/>
        <v>3564</v>
      </c>
      <c r="M3382" s="920">
        <f t="shared" si="350"/>
        <v>34.128864000000007</v>
      </c>
      <c r="N3382" s="920">
        <f t="shared" si="351"/>
        <v>27</v>
      </c>
      <c r="O3382" s="918" t="str">
        <f t="shared" si="352"/>
        <v>Mar</v>
      </c>
      <c r="P3382" s="921">
        <f t="shared" si="353"/>
        <v>13</v>
      </c>
    </row>
    <row r="3383" spans="1:16" ht="15" hidden="1" customHeight="1">
      <c r="A3383" s="839">
        <v>68689251</v>
      </c>
      <c r="B3383" s="839">
        <v>1352</v>
      </c>
      <c r="C3383" s="906">
        <v>3353</v>
      </c>
      <c r="D3383" s="907">
        <v>46105</v>
      </c>
      <c r="E3383" s="839" t="s">
        <v>262</v>
      </c>
      <c r="F3383" s="839" t="s">
        <v>241</v>
      </c>
      <c r="G3383" s="916">
        <f>VLOOKUP($A3383,'Tech Litons'!$A:$I,8,FALSE)</f>
        <v>9.5760000000000012E-3</v>
      </c>
      <c r="H3383" s="917">
        <f>VLOOKUP($A3383,'Tech Litons'!$A:$I,9,FALSE)</f>
        <v>132</v>
      </c>
      <c r="I3383" s="917" t="str">
        <f>VLOOKUP($A3383,'Tech Litons'!$A:$C,3,0)</f>
        <v>EDF</v>
      </c>
      <c r="J3383" s="918" t="str">
        <f t="shared" si="348"/>
        <v>1352EDF</v>
      </c>
      <c r="K3383" s="919">
        <v>1</v>
      </c>
      <c r="L3383" s="920">
        <f t="shared" si="349"/>
        <v>3353</v>
      </c>
      <c r="M3383" s="920">
        <f t="shared" si="350"/>
        <v>32.108328000000007</v>
      </c>
      <c r="N3383" s="920">
        <f t="shared" si="351"/>
        <v>25.401515151515152</v>
      </c>
      <c r="O3383" s="918" t="str">
        <f t="shared" si="352"/>
        <v>Mar</v>
      </c>
      <c r="P3383" s="921">
        <f t="shared" si="353"/>
        <v>13</v>
      </c>
    </row>
    <row r="3384" spans="1:16" ht="15" hidden="1" customHeight="1">
      <c r="A3384" s="839">
        <v>68689251</v>
      </c>
      <c r="B3384" s="839">
        <v>1352</v>
      </c>
      <c r="C3384" s="906">
        <v>4092</v>
      </c>
      <c r="D3384" s="907">
        <v>46076</v>
      </c>
      <c r="E3384" s="839" t="s">
        <v>262</v>
      </c>
      <c r="F3384" s="839" t="s">
        <v>242</v>
      </c>
      <c r="G3384" s="916">
        <f>VLOOKUP($A3384,'Tech Litons'!$A:$I,8,FALSE)</f>
        <v>9.5760000000000012E-3</v>
      </c>
      <c r="H3384" s="917">
        <f>VLOOKUP($A3384,'Tech Litons'!$A:$I,9,FALSE)</f>
        <v>132</v>
      </c>
      <c r="I3384" s="917" t="str">
        <f>VLOOKUP($A3384,'Tech Litons'!$A:$C,3,0)</f>
        <v>EDF</v>
      </c>
      <c r="J3384" s="918" t="str">
        <f t="shared" si="348"/>
        <v>1352EDF</v>
      </c>
      <c r="K3384" s="919">
        <v>1</v>
      </c>
      <c r="L3384" s="920">
        <f t="shared" si="349"/>
        <v>4092</v>
      </c>
      <c r="M3384" s="920">
        <f t="shared" si="350"/>
        <v>39.184992000000008</v>
      </c>
      <c r="N3384" s="920">
        <f t="shared" si="351"/>
        <v>31</v>
      </c>
      <c r="O3384" s="918" t="str">
        <f t="shared" si="352"/>
        <v>Feb</v>
      </c>
      <c r="P3384" s="921">
        <f t="shared" si="353"/>
        <v>9</v>
      </c>
    </row>
    <row r="3385" spans="1:16" ht="15" hidden="1" customHeight="1">
      <c r="A3385" s="839">
        <v>68689251</v>
      </c>
      <c r="B3385" s="839">
        <v>1352</v>
      </c>
      <c r="C3385" s="906">
        <v>3549</v>
      </c>
      <c r="D3385" s="907">
        <v>46076</v>
      </c>
      <c r="E3385" s="839" t="s">
        <v>262</v>
      </c>
      <c r="F3385" s="839" t="s">
        <v>242</v>
      </c>
      <c r="G3385" s="916">
        <f>VLOOKUP($A3385,'Tech Litons'!$A:$I,8,FALSE)</f>
        <v>9.5760000000000012E-3</v>
      </c>
      <c r="H3385" s="917">
        <f>VLOOKUP($A3385,'Tech Litons'!$A:$I,9,FALSE)</f>
        <v>132</v>
      </c>
      <c r="I3385" s="917" t="str">
        <f>VLOOKUP($A3385,'Tech Litons'!$A:$C,3,0)</f>
        <v>EDF</v>
      </c>
      <c r="J3385" s="918" t="str">
        <f t="shared" si="348"/>
        <v>1352EDF</v>
      </c>
      <c r="K3385" s="919">
        <v>1</v>
      </c>
      <c r="L3385" s="920">
        <f t="shared" si="349"/>
        <v>3549</v>
      </c>
      <c r="M3385" s="920">
        <f t="shared" si="350"/>
        <v>33.985224000000002</v>
      </c>
      <c r="N3385" s="920">
        <f t="shared" si="351"/>
        <v>26.886363636363637</v>
      </c>
      <c r="O3385" s="918" t="str">
        <f t="shared" si="352"/>
        <v>Feb</v>
      </c>
      <c r="P3385" s="921">
        <f t="shared" si="353"/>
        <v>9</v>
      </c>
    </row>
    <row r="3386" spans="1:16" ht="15" hidden="1" customHeight="1">
      <c r="A3386" s="839">
        <v>68689251</v>
      </c>
      <c r="B3386" s="839">
        <v>1352</v>
      </c>
      <c r="C3386" s="906">
        <v>4125</v>
      </c>
      <c r="D3386" s="907">
        <v>46077</v>
      </c>
      <c r="E3386" s="839" t="s">
        <v>262</v>
      </c>
      <c r="F3386" s="839" t="s">
        <v>242</v>
      </c>
      <c r="G3386" s="916">
        <f>VLOOKUP($A3386,'Tech Litons'!$A:$I,8,FALSE)</f>
        <v>9.5760000000000012E-3</v>
      </c>
      <c r="H3386" s="917">
        <f>VLOOKUP($A3386,'Tech Litons'!$A:$I,9,FALSE)</f>
        <v>132</v>
      </c>
      <c r="I3386" s="917" t="str">
        <f>VLOOKUP($A3386,'Tech Litons'!$A:$C,3,0)</f>
        <v>EDF</v>
      </c>
      <c r="J3386" s="918" t="str">
        <f t="shared" si="348"/>
        <v>1352EDF</v>
      </c>
      <c r="K3386" s="919">
        <v>1</v>
      </c>
      <c r="L3386" s="920">
        <f t="shared" si="349"/>
        <v>4125</v>
      </c>
      <c r="M3386" s="920">
        <f t="shared" si="350"/>
        <v>39.501000000000005</v>
      </c>
      <c r="N3386" s="920">
        <f t="shared" si="351"/>
        <v>31.25</v>
      </c>
      <c r="O3386" s="918" t="str">
        <f t="shared" si="352"/>
        <v>Feb</v>
      </c>
      <c r="P3386" s="921">
        <f t="shared" si="353"/>
        <v>9</v>
      </c>
    </row>
    <row r="3387" spans="1:16" ht="15" hidden="1" customHeight="1">
      <c r="A3387" s="839">
        <v>68689251</v>
      </c>
      <c r="B3387" s="839">
        <v>1352</v>
      </c>
      <c r="C3387" s="906">
        <v>992</v>
      </c>
      <c r="D3387" s="907">
        <v>46078</v>
      </c>
      <c r="E3387" s="839" t="s">
        <v>262</v>
      </c>
      <c r="F3387" s="839" t="s">
        <v>242</v>
      </c>
      <c r="G3387" s="916">
        <f>VLOOKUP($A3387,'Tech Litons'!$A:$I,8,FALSE)</f>
        <v>9.5760000000000012E-3</v>
      </c>
      <c r="H3387" s="917">
        <f>VLOOKUP($A3387,'Tech Litons'!$A:$I,9,FALSE)</f>
        <v>132</v>
      </c>
      <c r="I3387" s="917" t="str">
        <f>VLOOKUP($A3387,'Tech Litons'!$A:$C,3,0)</f>
        <v>EDF</v>
      </c>
      <c r="J3387" s="918" t="str">
        <f t="shared" si="348"/>
        <v>1352EDF</v>
      </c>
      <c r="K3387" s="919">
        <v>1</v>
      </c>
      <c r="L3387" s="920">
        <f t="shared" si="349"/>
        <v>992</v>
      </c>
      <c r="M3387" s="920">
        <f t="shared" si="350"/>
        <v>9.4993920000000003</v>
      </c>
      <c r="N3387" s="920">
        <f t="shared" si="351"/>
        <v>7.5151515151515156</v>
      </c>
      <c r="O3387" s="918" t="str">
        <f t="shared" si="352"/>
        <v>Feb</v>
      </c>
      <c r="P3387" s="921">
        <f t="shared" si="353"/>
        <v>9</v>
      </c>
    </row>
    <row r="3388" spans="1:16" ht="15" hidden="1" customHeight="1">
      <c r="A3388" s="839">
        <v>68689251</v>
      </c>
      <c r="B3388" s="839">
        <v>1352</v>
      </c>
      <c r="C3388" s="906">
        <v>2904</v>
      </c>
      <c r="D3388" s="907">
        <v>46078</v>
      </c>
      <c r="E3388" s="839" t="s">
        <v>262</v>
      </c>
      <c r="F3388" s="839" t="s">
        <v>242</v>
      </c>
      <c r="G3388" s="916">
        <f>VLOOKUP($A3388,'Tech Litons'!$A:$I,8,FALSE)</f>
        <v>9.5760000000000012E-3</v>
      </c>
      <c r="H3388" s="917">
        <f>VLOOKUP($A3388,'Tech Litons'!$A:$I,9,FALSE)</f>
        <v>132</v>
      </c>
      <c r="I3388" s="917" t="str">
        <f>VLOOKUP($A3388,'Tech Litons'!$A:$C,3,0)</f>
        <v>EDF</v>
      </c>
      <c r="J3388" s="918" t="str">
        <f t="shared" si="348"/>
        <v>1352EDF</v>
      </c>
      <c r="K3388" s="919">
        <v>1</v>
      </c>
      <c r="L3388" s="920">
        <f t="shared" si="349"/>
        <v>2904</v>
      </c>
      <c r="M3388" s="920">
        <f t="shared" si="350"/>
        <v>27.808704000000002</v>
      </c>
      <c r="N3388" s="920">
        <f t="shared" si="351"/>
        <v>22</v>
      </c>
      <c r="O3388" s="918" t="str">
        <f t="shared" si="352"/>
        <v>Feb</v>
      </c>
      <c r="P3388" s="921">
        <f t="shared" si="353"/>
        <v>9</v>
      </c>
    </row>
    <row r="3389" spans="1:16" ht="15" hidden="1" customHeight="1">
      <c r="A3389" s="839">
        <v>68689251</v>
      </c>
      <c r="B3389" s="839">
        <v>1352</v>
      </c>
      <c r="C3389" s="906">
        <v>4892</v>
      </c>
      <c r="D3389" s="907">
        <v>46079</v>
      </c>
      <c r="E3389" s="839" t="s">
        <v>262</v>
      </c>
      <c r="F3389" s="839" t="s">
        <v>242</v>
      </c>
      <c r="G3389" s="916">
        <f>VLOOKUP($A3389,'Tech Litons'!$A:$I,8,FALSE)</f>
        <v>9.5760000000000012E-3</v>
      </c>
      <c r="H3389" s="917">
        <f>VLOOKUP($A3389,'Tech Litons'!$A:$I,9,FALSE)</f>
        <v>132</v>
      </c>
      <c r="I3389" s="917" t="str">
        <f>VLOOKUP($A3389,'Tech Litons'!$A:$C,3,0)</f>
        <v>EDF</v>
      </c>
      <c r="J3389" s="918" t="str">
        <f t="shared" si="348"/>
        <v>1352EDF</v>
      </c>
      <c r="K3389" s="919">
        <v>1</v>
      </c>
      <c r="L3389" s="920">
        <f t="shared" si="349"/>
        <v>4892</v>
      </c>
      <c r="M3389" s="920">
        <f t="shared" si="350"/>
        <v>46.845792000000003</v>
      </c>
      <c r="N3389" s="920">
        <f t="shared" si="351"/>
        <v>37.060606060606062</v>
      </c>
      <c r="O3389" s="918" t="str">
        <f t="shared" si="352"/>
        <v>Feb</v>
      </c>
      <c r="P3389" s="921">
        <f t="shared" si="353"/>
        <v>9</v>
      </c>
    </row>
    <row r="3390" spans="1:16" ht="15" hidden="1" customHeight="1">
      <c r="A3390" s="839">
        <v>68689251</v>
      </c>
      <c r="B3390" s="839">
        <v>1352</v>
      </c>
      <c r="C3390" s="906">
        <v>3564</v>
      </c>
      <c r="D3390" s="907">
        <v>46080</v>
      </c>
      <c r="E3390" s="839" t="s">
        <v>262</v>
      </c>
      <c r="F3390" s="839" t="s">
        <v>242</v>
      </c>
      <c r="G3390" s="916">
        <f>VLOOKUP($A3390,'Tech Litons'!$A:$I,8,FALSE)</f>
        <v>9.5760000000000012E-3</v>
      </c>
      <c r="H3390" s="917">
        <f>VLOOKUP($A3390,'Tech Litons'!$A:$I,9,FALSE)</f>
        <v>132</v>
      </c>
      <c r="I3390" s="917" t="str">
        <f>VLOOKUP($A3390,'Tech Litons'!$A:$C,3,0)</f>
        <v>EDF</v>
      </c>
      <c r="J3390" s="918" t="str">
        <f t="shared" si="348"/>
        <v>1352EDF</v>
      </c>
      <c r="K3390" s="919">
        <v>1</v>
      </c>
      <c r="L3390" s="920">
        <f t="shared" si="349"/>
        <v>3564</v>
      </c>
      <c r="M3390" s="920">
        <f t="shared" si="350"/>
        <v>34.128864000000007</v>
      </c>
      <c r="N3390" s="920">
        <f t="shared" si="351"/>
        <v>27</v>
      </c>
      <c r="O3390" s="918" t="str">
        <f t="shared" si="352"/>
        <v>Feb</v>
      </c>
      <c r="P3390" s="921">
        <f t="shared" si="353"/>
        <v>9</v>
      </c>
    </row>
    <row r="3391" spans="1:16" ht="15" hidden="1" customHeight="1">
      <c r="A3391" s="839">
        <v>68689251</v>
      </c>
      <c r="B3391" s="839">
        <v>1352</v>
      </c>
      <c r="C3391" s="906">
        <v>2644</v>
      </c>
      <c r="D3391" s="907">
        <v>46081</v>
      </c>
      <c r="E3391" s="839" t="s">
        <v>262</v>
      </c>
      <c r="F3391" s="839" t="s">
        <v>242</v>
      </c>
      <c r="G3391" s="916">
        <f>VLOOKUP($A3391,'Tech Litons'!$A:$I,8,FALSE)</f>
        <v>9.5760000000000012E-3</v>
      </c>
      <c r="H3391" s="917">
        <f>VLOOKUP($A3391,'Tech Litons'!$A:$I,9,FALSE)</f>
        <v>132</v>
      </c>
      <c r="I3391" s="917" t="str">
        <f>VLOOKUP($A3391,'Tech Litons'!$A:$C,3,0)</f>
        <v>EDF</v>
      </c>
      <c r="J3391" s="918" t="str">
        <f t="shared" si="348"/>
        <v>1352EDF</v>
      </c>
      <c r="K3391" s="919">
        <v>1</v>
      </c>
      <c r="L3391" s="920">
        <f t="shared" si="349"/>
        <v>2644</v>
      </c>
      <c r="M3391" s="920">
        <f t="shared" si="350"/>
        <v>25.318944000000002</v>
      </c>
      <c r="N3391" s="920">
        <f t="shared" si="351"/>
        <v>20.030303030303031</v>
      </c>
      <c r="O3391" s="918" t="str">
        <f t="shared" si="352"/>
        <v>Feb</v>
      </c>
      <c r="P3391" s="921">
        <f t="shared" si="353"/>
        <v>9</v>
      </c>
    </row>
    <row r="3392" spans="1:16" ht="15" hidden="1" customHeight="1">
      <c r="A3392" s="839">
        <v>68689251</v>
      </c>
      <c r="B3392" s="839">
        <v>1352</v>
      </c>
      <c r="C3392" s="906">
        <v>132</v>
      </c>
      <c r="D3392" s="907">
        <v>46086</v>
      </c>
      <c r="E3392" s="839" t="s">
        <v>262</v>
      </c>
      <c r="F3392" s="839" t="s">
        <v>242</v>
      </c>
      <c r="G3392" s="916">
        <f>VLOOKUP($A3392,'Tech Litons'!$A:$I,8,FALSE)</f>
        <v>9.5760000000000012E-3</v>
      </c>
      <c r="H3392" s="917">
        <f>VLOOKUP($A3392,'Tech Litons'!$A:$I,9,FALSE)</f>
        <v>132</v>
      </c>
      <c r="I3392" s="917" t="str">
        <f>VLOOKUP($A3392,'Tech Litons'!$A:$C,3,0)</f>
        <v>EDF</v>
      </c>
      <c r="J3392" s="918" t="str">
        <f t="shared" si="348"/>
        <v>1352EDF</v>
      </c>
      <c r="K3392" s="919">
        <v>1</v>
      </c>
      <c r="L3392" s="920">
        <f t="shared" si="349"/>
        <v>132</v>
      </c>
      <c r="M3392" s="920">
        <f t="shared" si="350"/>
        <v>1.2640320000000003</v>
      </c>
      <c r="N3392" s="920">
        <f t="shared" si="351"/>
        <v>1</v>
      </c>
      <c r="O3392" s="918" t="str">
        <f t="shared" si="352"/>
        <v>Mar</v>
      </c>
      <c r="P3392" s="921">
        <f t="shared" si="353"/>
        <v>10</v>
      </c>
    </row>
    <row r="3393" spans="1:16" ht="15" hidden="1" customHeight="1">
      <c r="A3393" s="839">
        <v>68689251</v>
      </c>
      <c r="B3393" s="839">
        <v>1352</v>
      </c>
      <c r="C3393" s="906">
        <v>2112</v>
      </c>
      <c r="D3393" s="907">
        <v>46081</v>
      </c>
      <c r="E3393" s="839" t="s">
        <v>262</v>
      </c>
      <c r="F3393" s="839" t="s">
        <v>242</v>
      </c>
      <c r="G3393" s="916">
        <f>VLOOKUP($A3393,'Tech Litons'!$A:$I,8,FALSE)</f>
        <v>9.5760000000000012E-3</v>
      </c>
      <c r="H3393" s="917">
        <f>VLOOKUP($A3393,'Tech Litons'!$A:$I,9,FALSE)</f>
        <v>132</v>
      </c>
      <c r="I3393" s="917" t="str">
        <f>VLOOKUP($A3393,'Tech Litons'!$A:$C,3,0)</f>
        <v>EDF</v>
      </c>
      <c r="J3393" s="918" t="str">
        <f t="shared" si="348"/>
        <v>1352EDF</v>
      </c>
      <c r="K3393" s="919">
        <v>1</v>
      </c>
      <c r="L3393" s="920">
        <f t="shared" si="349"/>
        <v>2112</v>
      </c>
      <c r="M3393" s="920">
        <f t="shared" si="350"/>
        <v>20.224512000000004</v>
      </c>
      <c r="N3393" s="920">
        <f t="shared" si="351"/>
        <v>16</v>
      </c>
      <c r="O3393" s="918" t="str">
        <f t="shared" si="352"/>
        <v>Feb</v>
      </c>
      <c r="P3393" s="921">
        <f t="shared" si="353"/>
        <v>9</v>
      </c>
    </row>
    <row r="3394" spans="1:16" ht="15" hidden="1" customHeight="1">
      <c r="A3394" s="839">
        <v>68689251</v>
      </c>
      <c r="B3394" s="839">
        <v>1352</v>
      </c>
      <c r="C3394" s="906">
        <v>2314</v>
      </c>
      <c r="D3394" s="907">
        <v>46082</v>
      </c>
      <c r="E3394" s="839" t="s">
        <v>262</v>
      </c>
      <c r="F3394" s="839" t="s">
        <v>242</v>
      </c>
      <c r="G3394" s="916">
        <f>VLOOKUP($A3394,'Tech Litons'!$A:$I,8,FALSE)</f>
        <v>9.5760000000000012E-3</v>
      </c>
      <c r="H3394" s="917">
        <f>VLOOKUP($A3394,'Tech Litons'!$A:$I,9,FALSE)</f>
        <v>132</v>
      </c>
      <c r="I3394" s="917" t="str">
        <f>VLOOKUP($A3394,'Tech Litons'!$A:$C,3,0)</f>
        <v>EDF</v>
      </c>
      <c r="J3394" s="918" t="str">
        <f t="shared" si="348"/>
        <v>1352EDF</v>
      </c>
      <c r="K3394" s="919">
        <v>1</v>
      </c>
      <c r="L3394" s="920">
        <f t="shared" si="349"/>
        <v>2314</v>
      </c>
      <c r="M3394" s="920">
        <f t="shared" si="350"/>
        <v>22.158864000000001</v>
      </c>
      <c r="N3394" s="920">
        <f t="shared" si="351"/>
        <v>17.530303030303031</v>
      </c>
      <c r="O3394" s="918" t="str">
        <f t="shared" si="352"/>
        <v>Mar</v>
      </c>
      <c r="P3394" s="921">
        <f t="shared" si="353"/>
        <v>10</v>
      </c>
    </row>
    <row r="3395" spans="1:16" ht="15" hidden="1" customHeight="1">
      <c r="A3395" s="839">
        <v>68689251</v>
      </c>
      <c r="B3395" s="839">
        <v>1352</v>
      </c>
      <c r="C3395" s="906">
        <v>90</v>
      </c>
      <c r="D3395" s="907">
        <v>46080</v>
      </c>
      <c r="E3395" s="839" t="s">
        <v>262</v>
      </c>
      <c r="F3395" s="839" t="s">
        <v>242</v>
      </c>
      <c r="G3395" s="916">
        <f>VLOOKUP($A3395,'Tech Litons'!$A:$I,8,FALSE)</f>
        <v>9.5760000000000012E-3</v>
      </c>
      <c r="H3395" s="917">
        <f>VLOOKUP($A3395,'Tech Litons'!$A:$I,9,FALSE)</f>
        <v>132</v>
      </c>
      <c r="I3395" s="917" t="str">
        <f>VLOOKUP($A3395,'Tech Litons'!$A:$C,3,0)</f>
        <v>EDF</v>
      </c>
      <c r="J3395" s="918" t="str">
        <f t="shared" si="348"/>
        <v>1352EDF</v>
      </c>
      <c r="K3395" s="919">
        <v>1</v>
      </c>
      <c r="L3395" s="920">
        <f t="shared" si="349"/>
        <v>90</v>
      </c>
      <c r="M3395" s="920">
        <f t="shared" si="350"/>
        <v>0.86184000000000016</v>
      </c>
      <c r="N3395" s="920">
        <f t="shared" si="351"/>
        <v>0.68181818181818177</v>
      </c>
      <c r="O3395" s="918" t="str">
        <f t="shared" si="352"/>
        <v>Feb</v>
      </c>
      <c r="P3395" s="921">
        <f t="shared" si="353"/>
        <v>9</v>
      </c>
    </row>
    <row r="3396" spans="1:16" ht="15" hidden="1" customHeight="1">
      <c r="A3396" s="839">
        <v>68689251</v>
      </c>
      <c r="B3396" s="839">
        <v>1352</v>
      </c>
      <c r="C3396" s="906">
        <v>3168</v>
      </c>
      <c r="D3396" s="907">
        <v>46082</v>
      </c>
      <c r="E3396" s="839" t="s">
        <v>262</v>
      </c>
      <c r="F3396" s="839" t="s">
        <v>242</v>
      </c>
      <c r="G3396" s="916">
        <f>VLOOKUP($A3396,'Tech Litons'!$A:$I,8,FALSE)</f>
        <v>9.5760000000000012E-3</v>
      </c>
      <c r="H3396" s="917">
        <f>VLOOKUP($A3396,'Tech Litons'!$A:$I,9,FALSE)</f>
        <v>132</v>
      </c>
      <c r="I3396" s="917" t="str">
        <f>VLOOKUP($A3396,'Tech Litons'!$A:$C,3,0)</f>
        <v>EDF</v>
      </c>
      <c r="J3396" s="918" t="str">
        <f t="shared" si="348"/>
        <v>1352EDF</v>
      </c>
      <c r="K3396" s="919">
        <v>1</v>
      </c>
      <c r="L3396" s="920">
        <f t="shared" si="349"/>
        <v>3168</v>
      </c>
      <c r="M3396" s="920">
        <f t="shared" si="350"/>
        <v>30.336768000000003</v>
      </c>
      <c r="N3396" s="920">
        <f t="shared" si="351"/>
        <v>24</v>
      </c>
      <c r="O3396" s="918" t="str">
        <f t="shared" si="352"/>
        <v>Mar</v>
      </c>
      <c r="P3396" s="921">
        <f t="shared" si="353"/>
        <v>10</v>
      </c>
    </row>
    <row r="3397" spans="1:16" ht="15" hidden="1" customHeight="1">
      <c r="A3397" s="839">
        <v>68689251</v>
      </c>
      <c r="B3397" s="839">
        <v>1352</v>
      </c>
      <c r="C3397" s="906">
        <v>4846</v>
      </c>
      <c r="D3397" s="907">
        <v>46083</v>
      </c>
      <c r="E3397" s="839" t="s">
        <v>262</v>
      </c>
      <c r="F3397" s="839" t="s">
        <v>242</v>
      </c>
      <c r="G3397" s="916">
        <f>VLOOKUP($A3397,'Tech Litons'!$A:$I,8,FALSE)</f>
        <v>9.5760000000000012E-3</v>
      </c>
      <c r="H3397" s="917">
        <f>VLOOKUP($A3397,'Tech Litons'!$A:$I,9,FALSE)</f>
        <v>132</v>
      </c>
      <c r="I3397" s="917" t="str">
        <f>VLOOKUP($A3397,'Tech Litons'!$A:$C,3,0)</f>
        <v>EDF</v>
      </c>
      <c r="J3397" s="918" t="str">
        <f t="shared" si="348"/>
        <v>1352EDF</v>
      </c>
      <c r="K3397" s="919">
        <v>1</v>
      </c>
      <c r="L3397" s="920">
        <f t="shared" si="349"/>
        <v>4846</v>
      </c>
      <c r="M3397" s="920">
        <f t="shared" si="350"/>
        <v>46.405296000000007</v>
      </c>
      <c r="N3397" s="920">
        <f t="shared" si="351"/>
        <v>36.712121212121211</v>
      </c>
      <c r="O3397" s="918" t="str">
        <f t="shared" si="352"/>
        <v>Mar</v>
      </c>
      <c r="P3397" s="921">
        <f t="shared" si="353"/>
        <v>10</v>
      </c>
    </row>
    <row r="3398" spans="1:16" ht="15" hidden="1" customHeight="1">
      <c r="A3398" s="839">
        <v>68689251</v>
      </c>
      <c r="B3398" s="839">
        <v>1352</v>
      </c>
      <c r="C3398" s="906">
        <v>3564</v>
      </c>
      <c r="D3398" s="907">
        <v>46079</v>
      </c>
      <c r="E3398" s="839" t="s">
        <v>262</v>
      </c>
      <c r="F3398" s="839" t="s">
        <v>242</v>
      </c>
      <c r="G3398" s="916">
        <f>VLOOKUP($A3398,'Tech Litons'!$A:$I,8,FALSE)</f>
        <v>9.5760000000000012E-3</v>
      </c>
      <c r="H3398" s="917">
        <f>VLOOKUP($A3398,'Tech Litons'!$A:$I,9,FALSE)</f>
        <v>132</v>
      </c>
      <c r="I3398" s="917" t="str">
        <f>VLOOKUP($A3398,'Tech Litons'!$A:$C,3,0)</f>
        <v>EDF</v>
      </c>
      <c r="J3398" s="918" t="str">
        <f t="shared" si="348"/>
        <v>1352EDF</v>
      </c>
      <c r="K3398" s="919">
        <v>1</v>
      </c>
      <c r="L3398" s="920">
        <f t="shared" si="349"/>
        <v>3564</v>
      </c>
      <c r="M3398" s="920">
        <f t="shared" si="350"/>
        <v>34.128864000000007</v>
      </c>
      <c r="N3398" s="920">
        <f t="shared" si="351"/>
        <v>27</v>
      </c>
      <c r="O3398" s="918" t="str">
        <f t="shared" si="352"/>
        <v>Feb</v>
      </c>
      <c r="P3398" s="921">
        <f t="shared" si="353"/>
        <v>9</v>
      </c>
    </row>
    <row r="3399" spans="1:16" ht="15" hidden="1" customHeight="1">
      <c r="A3399" s="839">
        <v>68689251</v>
      </c>
      <c r="B3399" s="839">
        <v>1352</v>
      </c>
      <c r="C3399" s="906">
        <v>4858</v>
      </c>
      <c r="D3399" s="907">
        <v>46080</v>
      </c>
      <c r="E3399" s="839" t="s">
        <v>262</v>
      </c>
      <c r="F3399" s="839" t="s">
        <v>242</v>
      </c>
      <c r="G3399" s="916">
        <f>VLOOKUP($A3399,'Tech Litons'!$A:$I,8,FALSE)</f>
        <v>9.5760000000000012E-3</v>
      </c>
      <c r="H3399" s="917">
        <f>VLOOKUP($A3399,'Tech Litons'!$A:$I,9,FALSE)</f>
        <v>132</v>
      </c>
      <c r="I3399" s="917" t="str">
        <f>VLOOKUP($A3399,'Tech Litons'!$A:$C,3,0)</f>
        <v>EDF</v>
      </c>
      <c r="J3399" s="918" t="str">
        <f t="shared" si="348"/>
        <v>1352EDF</v>
      </c>
      <c r="K3399" s="919">
        <v>1</v>
      </c>
      <c r="L3399" s="920">
        <f t="shared" si="349"/>
        <v>4858</v>
      </c>
      <c r="M3399" s="920">
        <f t="shared" si="350"/>
        <v>46.520208000000004</v>
      </c>
      <c r="N3399" s="920">
        <f t="shared" si="351"/>
        <v>36.803030303030305</v>
      </c>
      <c r="O3399" s="918" t="str">
        <f t="shared" si="352"/>
        <v>Feb</v>
      </c>
      <c r="P3399" s="921">
        <f t="shared" si="353"/>
        <v>9</v>
      </c>
    </row>
    <row r="3400" spans="1:16" ht="15" hidden="1" customHeight="1">
      <c r="A3400" s="839">
        <v>68689251</v>
      </c>
      <c r="B3400" s="839">
        <v>1352</v>
      </c>
      <c r="C3400" s="906">
        <v>3564</v>
      </c>
      <c r="D3400" s="907">
        <v>46083</v>
      </c>
      <c r="E3400" s="839" t="s">
        <v>262</v>
      </c>
      <c r="F3400" s="839" t="s">
        <v>242</v>
      </c>
      <c r="G3400" s="916">
        <f>VLOOKUP($A3400,'Tech Litons'!$A:$I,8,FALSE)</f>
        <v>9.5760000000000012E-3</v>
      </c>
      <c r="H3400" s="917">
        <f>VLOOKUP($A3400,'Tech Litons'!$A:$I,9,FALSE)</f>
        <v>132</v>
      </c>
      <c r="I3400" s="917" t="str">
        <f>VLOOKUP($A3400,'Tech Litons'!$A:$C,3,0)</f>
        <v>EDF</v>
      </c>
      <c r="J3400" s="918" t="str">
        <f t="shared" si="348"/>
        <v>1352EDF</v>
      </c>
      <c r="K3400" s="919">
        <v>1</v>
      </c>
      <c r="L3400" s="920">
        <f t="shared" si="349"/>
        <v>3564</v>
      </c>
      <c r="M3400" s="920">
        <f t="shared" si="350"/>
        <v>34.128864000000007</v>
      </c>
      <c r="N3400" s="920">
        <f t="shared" si="351"/>
        <v>27</v>
      </c>
      <c r="O3400" s="918" t="str">
        <f t="shared" si="352"/>
        <v>Mar</v>
      </c>
      <c r="P3400" s="921">
        <f t="shared" si="353"/>
        <v>10</v>
      </c>
    </row>
    <row r="3401" spans="1:16" ht="15" hidden="1" customHeight="1">
      <c r="A3401" s="839">
        <v>68689251</v>
      </c>
      <c r="B3401" s="839">
        <v>1352</v>
      </c>
      <c r="C3401" s="906">
        <v>5358</v>
      </c>
      <c r="D3401" s="907">
        <v>46084</v>
      </c>
      <c r="E3401" s="839" t="s">
        <v>262</v>
      </c>
      <c r="F3401" s="839" t="s">
        <v>242</v>
      </c>
      <c r="G3401" s="916">
        <f>VLOOKUP($A3401,'Tech Litons'!$A:$I,8,FALSE)</f>
        <v>9.5760000000000012E-3</v>
      </c>
      <c r="H3401" s="917">
        <f>VLOOKUP($A3401,'Tech Litons'!$A:$I,9,FALSE)</f>
        <v>132</v>
      </c>
      <c r="I3401" s="917" t="str">
        <f>VLOOKUP($A3401,'Tech Litons'!$A:$C,3,0)</f>
        <v>EDF</v>
      </c>
      <c r="J3401" s="918" t="str">
        <f t="shared" si="348"/>
        <v>1352EDF</v>
      </c>
      <c r="K3401" s="919">
        <v>1</v>
      </c>
      <c r="L3401" s="920">
        <f t="shared" si="349"/>
        <v>5358</v>
      </c>
      <c r="M3401" s="920">
        <f t="shared" si="350"/>
        <v>51.308208000000008</v>
      </c>
      <c r="N3401" s="920">
        <f t="shared" si="351"/>
        <v>40.590909090909093</v>
      </c>
      <c r="O3401" s="918" t="str">
        <f t="shared" si="352"/>
        <v>Mar</v>
      </c>
      <c r="P3401" s="921">
        <f t="shared" si="353"/>
        <v>10</v>
      </c>
    </row>
    <row r="3402" spans="1:16" ht="15" hidden="1" customHeight="1">
      <c r="A3402" s="839">
        <v>68689251</v>
      </c>
      <c r="B3402" s="839">
        <v>1352</v>
      </c>
      <c r="C3402" s="906">
        <v>1769</v>
      </c>
      <c r="D3402" s="907">
        <v>46087</v>
      </c>
      <c r="E3402" s="839" t="s">
        <v>262</v>
      </c>
      <c r="F3402" s="839" t="s">
        <v>240</v>
      </c>
      <c r="G3402" s="916">
        <f>VLOOKUP($A3402,'Tech Litons'!$A:$I,8,FALSE)</f>
        <v>9.5760000000000012E-3</v>
      </c>
      <c r="H3402" s="917">
        <f>VLOOKUP($A3402,'Tech Litons'!$A:$I,9,FALSE)</f>
        <v>132</v>
      </c>
      <c r="I3402" s="917" t="str">
        <f>VLOOKUP($A3402,'Tech Litons'!$A:$C,3,0)</f>
        <v>EDF</v>
      </c>
      <c r="J3402" s="918" t="str">
        <f t="shared" si="348"/>
        <v>1352EDF</v>
      </c>
      <c r="K3402" s="919">
        <v>1</v>
      </c>
      <c r="L3402" s="920">
        <f t="shared" si="349"/>
        <v>1769</v>
      </c>
      <c r="M3402" s="920">
        <f t="shared" si="350"/>
        <v>16.939944000000001</v>
      </c>
      <c r="N3402" s="920">
        <f t="shared" si="351"/>
        <v>13.401515151515152</v>
      </c>
      <c r="O3402" s="918" t="str">
        <f t="shared" si="352"/>
        <v>Mar</v>
      </c>
      <c r="P3402" s="921">
        <f t="shared" si="353"/>
        <v>10</v>
      </c>
    </row>
    <row r="3403" spans="1:16" ht="15" hidden="1" customHeight="1">
      <c r="A3403" s="839">
        <v>68689251</v>
      </c>
      <c r="B3403" s="839">
        <v>1352</v>
      </c>
      <c r="C3403" s="906">
        <v>2904</v>
      </c>
      <c r="D3403" s="907">
        <v>46087</v>
      </c>
      <c r="E3403" s="839" t="s">
        <v>262</v>
      </c>
      <c r="F3403" s="839" t="s">
        <v>240</v>
      </c>
      <c r="G3403" s="916">
        <f>VLOOKUP($A3403,'Tech Litons'!$A:$I,8,FALSE)</f>
        <v>9.5760000000000012E-3</v>
      </c>
      <c r="H3403" s="917">
        <f>VLOOKUP($A3403,'Tech Litons'!$A:$I,9,FALSE)</f>
        <v>132</v>
      </c>
      <c r="I3403" s="917" t="str">
        <f>VLOOKUP($A3403,'Tech Litons'!$A:$C,3,0)</f>
        <v>EDF</v>
      </c>
      <c r="J3403" s="918" t="str">
        <f t="shared" si="348"/>
        <v>1352EDF</v>
      </c>
      <c r="K3403" s="919">
        <v>1</v>
      </c>
      <c r="L3403" s="920">
        <f t="shared" si="349"/>
        <v>2904</v>
      </c>
      <c r="M3403" s="920">
        <f t="shared" si="350"/>
        <v>27.808704000000002</v>
      </c>
      <c r="N3403" s="920">
        <f t="shared" si="351"/>
        <v>22</v>
      </c>
      <c r="O3403" s="918" t="str">
        <f t="shared" si="352"/>
        <v>Mar</v>
      </c>
      <c r="P3403" s="921">
        <f t="shared" si="353"/>
        <v>10</v>
      </c>
    </row>
    <row r="3404" spans="1:16" ht="15" hidden="1" customHeight="1">
      <c r="A3404" s="839">
        <v>68689251</v>
      </c>
      <c r="B3404" s="839">
        <v>1352</v>
      </c>
      <c r="C3404" s="906">
        <v>3940</v>
      </c>
      <c r="D3404" s="907">
        <v>46088</v>
      </c>
      <c r="E3404" s="839" t="s">
        <v>262</v>
      </c>
      <c r="F3404" s="839" t="s">
        <v>240</v>
      </c>
      <c r="G3404" s="916">
        <f>VLOOKUP($A3404,'Tech Litons'!$A:$I,8,FALSE)</f>
        <v>9.5760000000000012E-3</v>
      </c>
      <c r="H3404" s="917">
        <f>VLOOKUP($A3404,'Tech Litons'!$A:$I,9,FALSE)</f>
        <v>132</v>
      </c>
      <c r="I3404" s="917" t="str">
        <f>VLOOKUP($A3404,'Tech Litons'!$A:$C,3,0)</f>
        <v>EDF</v>
      </c>
      <c r="J3404" s="918" t="str">
        <f t="shared" si="348"/>
        <v>1352EDF</v>
      </c>
      <c r="K3404" s="919">
        <v>1</v>
      </c>
      <c r="L3404" s="920">
        <f t="shared" si="349"/>
        <v>3940</v>
      </c>
      <c r="M3404" s="920">
        <f t="shared" si="350"/>
        <v>37.729440000000004</v>
      </c>
      <c r="N3404" s="920">
        <f t="shared" si="351"/>
        <v>29.848484848484848</v>
      </c>
      <c r="O3404" s="918" t="str">
        <f t="shared" si="352"/>
        <v>Mar</v>
      </c>
      <c r="P3404" s="921">
        <f t="shared" si="353"/>
        <v>10</v>
      </c>
    </row>
    <row r="3405" spans="1:16" ht="15" hidden="1" customHeight="1">
      <c r="A3405" s="839">
        <v>68689251</v>
      </c>
      <c r="B3405" s="839">
        <v>1352</v>
      </c>
      <c r="C3405" s="906">
        <v>1980</v>
      </c>
      <c r="D3405" s="907">
        <v>46088</v>
      </c>
      <c r="E3405" s="839" t="s">
        <v>262</v>
      </c>
      <c r="F3405" s="839" t="s">
        <v>240</v>
      </c>
      <c r="G3405" s="916">
        <f>VLOOKUP($A3405,'Tech Litons'!$A:$I,8,FALSE)</f>
        <v>9.5760000000000012E-3</v>
      </c>
      <c r="H3405" s="917">
        <f>VLOOKUP($A3405,'Tech Litons'!$A:$I,9,FALSE)</f>
        <v>132</v>
      </c>
      <c r="I3405" s="917" t="str">
        <f>VLOOKUP($A3405,'Tech Litons'!$A:$C,3,0)</f>
        <v>EDF</v>
      </c>
      <c r="J3405" s="918" t="str">
        <f t="shared" si="348"/>
        <v>1352EDF</v>
      </c>
      <c r="K3405" s="919">
        <v>1</v>
      </c>
      <c r="L3405" s="920">
        <f t="shared" si="349"/>
        <v>1980</v>
      </c>
      <c r="M3405" s="920">
        <f t="shared" si="350"/>
        <v>18.960480000000004</v>
      </c>
      <c r="N3405" s="920">
        <f t="shared" si="351"/>
        <v>15</v>
      </c>
      <c r="O3405" s="918" t="str">
        <f t="shared" si="352"/>
        <v>Mar</v>
      </c>
      <c r="P3405" s="921">
        <f t="shared" si="353"/>
        <v>10</v>
      </c>
    </row>
    <row r="3406" spans="1:16" ht="15" hidden="1" customHeight="1">
      <c r="A3406" s="839">
        <v>68689251</v>
      </c>
      <c r="B3406" s="839">
        <v>1352</v>
      </c>
      <c r="C3406" s="906">
        <v>2921</v>
      </c>
      <c r="D3406" s="907">
        <v>46089</v>
      </c>
      <c r="E3406" s="839" t="s">
        <v>262</v>
      </c>
      <c r="F3406" s="839" t="s">
        <v>240</v>
      </c>
      <c r="G3406" s="916">
        <f>VLOOKUP($A3406,'Tech Litons'!$A:$I,8,FALSE)</f>
        <v>9.5760000000000012E-3</v>
      </c>
      <c r="H3406" s="917">
        <f>VLOOKUP($A3406,'Tech Litons'!$A:$I,9,FALSE)</f>
        <v>132</v>
      </c>
      <c r="I3406" s="917" t="str">
        <f>VLOOKUP($A3406,'Tech Litons'!$A:$C,3,0)</f>
        <v>EDF</v>
      </c>
      <c r="J3406" s="918" t="str">
        <f t="shared" si="348"/>
        <v>1352EDF</v>
      </c>
      <c r="K3406" s="919">
        <v>1</v>
      </c>
      <c r="L3406" s="920">
        <f t="shared" si="349"/>
        <v>2921</v>
      </c>
      <c r="M3406" s="920">
        <f t="shared" si="350"/>
        <v>27.971496000000002</v>
      </c>
      <c r="N3406" s="920">
        <f t="shared" si="351"/>
        <v>22.128787878787879</v>
      </c>
      <c r="O3406" s="918" t="str">
        <f t="shared" si="352"/>
        <v>Mar</v>
      </c>
      <c r="P3406" s="921">
        <f t="shared" si="353"/>
        <v>11</v>
      </c>
    </row>
    <row r="3407" spans="1:16" ht="15" hidden="1" customHeight="1">
      <c r="A3407" s="839">
        <v>68689251</v>
      </c>
      <c r="B3407" s="839">
        <v>1352</v>
      </c>
      <c r="C3407" s="906">
        <v>3432</v>
      </c>
      <c r="D3407" s="907">
        <v>46089</v>
      </c>
      <c r="E3407" s="839" t="s">
        <v>262</v>
      </c>
      <c r="F3407" s="839" t="s">
        <v>240</v>
      </c>
      <c r="G3407" s="916">
        <f>VLOOKUP($A3407,'Tech Litons'!$A:$I,8,FALSE)</f>
        <v>9.5760000000000012E-3</v>
      </c>
      <c r="H3407" s="917">
        <f>VLOOKUP($A3407,'Tech Litons'!$A:$I,9,FALSE)</f>
        <v>132</v>
      </c>
      <c r="I3407" s="917" t="str">
        <f>VLOOKUP($A3407,'Tech Litons'!$A:$C,3,0)</f>
        <v>EDF</v>
      </c>
      <c r="J3407" s="918" t="str">
        <f t="shared" si="348"/>
        <v>1352EDF</v>
      </c>
      <c r="K3407" s="919">
        <v>1</v>
      </c>
      <c r="L3407" s="920">
        <f t="shared" si="349"/>
        <v>3432</v>
      </c>
      <c r="M3407" s="920">
        <f t="shared" si="350"/>
        <v>32.864832000000007</v>
      </c>
      <c r="N3407" s="920">
        <f t="shared" si="351"/>
        <v>26</v>
      </c>
      <c r="O3407" s="918" t="str">
        <f t="shared" si="352"/>
        <v>Mar</v>
      </c>
      <c r="P3407" s="921">
        <f t="shared" si="353"/>
        <v>11</v>
      </c>
    </row>
    <row r="3408" spans="1:16" ht="15" hidden="1" customHeight="1">
      <c r="A3408" s="839">
        <v>68689251</v>
      </c>
      <c r="B3408" s="839">
        <v>1352</v>
      </c>
      <c r="C3408" s="906">
        <v>4237</v>
      </c>
      <c r="D3408" s="907">
        <v>46090</v>
      </c>
      <c r="E3408" s="839" t="s">
        <v>262</v>
      </c>
      <c r="F3408" s="839" t="s">
        <v>240</v>
      </c>
      <c r="G3408" s="916">
        <f>VLOOKUP($A3408,'Tech Litons'!$A:$I,8,FALSE)</f>
        <v>9.5760000000000012E-3</v>
      </c>
      <c r="H3408" s="917">
        <f>VLOOKUP($A3408,'Tech Litons'!$A:$I,9,FALSE)</f>
        <v>132</v>
      </c>
      <c r="I3408" s="917" t="str">
        <f>VLOOKUP($A3408,'Tech Litons'!$A:$C,3,0)</f>
        <v>EDF</v>
      </c>
      <c r="J3408" s="918" t="str">
        <f t="shared" si="348"/>
        <v>1352EDF</v>
      </c>
      <c r="K3408" s="919">
        <v>1</v>
      </c>
      <c r="L3408" s="920">
        <f t="shared" si="349"/>
        <v>4237</v>
      </c>
      <c r="M3408" s="920">
        <f t="shared" si="350"/>
        <v>40.573512000000008</v>
      </c>
      <c r="N3408" s="920">
        <f t="shared" si="351"/>
        <v>32.098484848484851</v>
      </c>
      <c r="O3408" s="918" t="str">
        <f t="shared" si="352"/>
        <v>Mar</v>
      </c>
      <c r="P3408" s="921">
        <f t="shared" si="353"/>
        <v>11</v>
      </c>
    </row>
    <row r="3409" spans="1:16" ht="15" hidden="1" customHeight="1">
      <c r="A3409" s="839">
        <v>68689251</v>
      </c>
      <c r="B3409" s="839">
        <v>1352</v>
      </c>
      <c r="C3409" s="906">
        <v>1130</v>
      </c>
      <c r="D3409" s="907">
        <v>46093</v>
      </c>
      <c r="E3409" s="839" t="s">
        <v>262</v>
      </c>
      <c r="F3409" s="839" t="s">
        <v>241</v>
      </c>
      <c r="G3409" s="916">
        <f>VLOOKUP($A3409,'Tech Litons'!$A:$I,8,FALSE)</f>
        <v>9.5760000000000012E-3</v>
      </c>
      <c r="H3409" s="917">
        <f>VLOOKUP($A3409,'Tech Litons'!$A:$I,9,FALSE)</f>
        <v>132</v>
      </c>
      <c r="I3409" s="917" t="str">
        <f>VLOOKUP($A3409,'Tech Litons'!$A:$C,3,0)</f>
        <v>EDF</v>
      </c>
      <c r="J3409" s="918" t="str">
        <f t="shared" si="348"/>
        <v>1352EDF</v>
      </c>
      <c r="K3409" s="919">
        <v>1</v>
      </c>
      <c r="L3409" s="920">
        <f t="shared" si="349"/>
        <v>1130</v>
      </c>
      <c r="M3409" s="920">
        <f t="shared" si="350"/>
        <v>10.820880000000001</v>
      </c>
      <c r="N3409" s="920">
        <f t="shared" si="351"/>
        <v>8.5606060606060606</v>
      </c>
      <c r="O3409" s="918" t="str">
        <f t="shared" si="352"/>
        <v>Mar</v>
      </c>
      <c r="P3409" s="921">
        <f t="shared" si="353"/>
        <v>11</v>
      </c>
    </row>
    <row r="3410" spans="1:16" ht="15" hidden="1" customHeight="1">
      <c r="A3410" s="839">
        <v>68689251</v>
      </c>
      <c r="B3410" s="839">
        <v>1352</v>
      </c>
      <c r="C3410" s="906">
        <v>1056</v>
      </c>
      <c r="D3410" s="907">
        <v>46089</v>
      </c>
      <c r="E3410" s="839" t="s">
        <v>262</v>
      </c>
      <c r="F3410" s="839" t="s">
        <v>241</v>
      </c>
      <c r="G3410" s="916">
        <f>VLOOKUP($A3410,'Tech Litons'!$A:$I,8,FALSE)</f>
        <v>9.5760000000000012E-3</v>
      </c>
      <c r="H3410" s="917">
        <f>VLOOKUP($A3410,'Tech Litons'!$A:$I,9,FALSE)</f>
        <v>132</v>
      </c>
      <c r="I3410" s="917" t="str">
        <f>VLOOKUP($A3410,'Tech Litons'!$A:$C,3,0)</f>
        <v>EDF</v>
      </c>
      <c r="J3410" s="918" t="str">
        <f t="shared" si="348"/>
        <v>1352EDF</v>
      </c>
      <c r="K3410" s="919">
        <v>1</v>
      </c>
      <c r="L3410" s="920">
        <f t="shared" si="349"/>
        <v>1056</v>
      </c>
      <c r="M3410" s="920">
        <f t="shared" si="350"/>
        <v>10.112256000000002</v>
      </c>
      <c r="N3410" s="920">
        <f t="shared" si="351"/>
        <v>8</v>
      </c>
      <c r="O3410" s="918" t="str">
        <f t="shared" si="352"/>
        <v>Mar</v>
      </c>
      <c r="P3410" s="921">
        <f t="shared" si="353"/>
        <v>11</v>
      </c>
    </row>
    <row r="3411" spans="1:16" ht="15" hidden="1" customHeight="1">
      <c r="A3411" s="839">
        <v>68689251</v>
      </c>
      <c r="B3411" s="839">
        <v>1352</v>
      </c>
      <c r="C3411" s="906">
        <v>1999</v>
      </c>
      <c r="D3411" s="907">
        <v>46090</v>
      </c>
      <c r="E3411" s="839" t="s">
        <v>262</v>
      </c>
      <c r="F3411" s="839" t="s">
        <v>241</v>
      </c>
      <c r="G3411" s="916">
        <f>VLOOKUP($A3411,'Tech Litons'!$A:$I,8,FALSE)</f>
        <v>9.5760000000000012E-3</v>
      </c>
      <c r="H3411" s="917">
        <f>VLOOKUP($A3411,'Tech Litons'!$A:$I,9,FALSE)</f>
        <v>132</v>
      </c>
      <c r="I3411" s="917" t="str">
        <f>VLOOKUP($A3411,'Tech Litons'!$A:$C,3,0)</f>
        <v>EDF</v>
      </c>
      <c r="J3411" s="918" t="str">
        <f t="shared" si="348"/>
        <v>1352EDF</v>
      </c>
      <c r="K3411" s="919">
        <v>1</v>
      </c>
      <c r="L3411" s="920">
        <f t="shared" si="349"/>
        <v>1999</v>
      </c>
      <c r="M3411" s="920">
        <f t="shared" si="350"/>
        <v>19.142424000000002</v>
      </c>
      <c r="N3411" s="920">
        <f t="shared" si="351"/>
        <v>15.143939393939394</v>
      </c>
      <c r="O3411" s="918" t="str">
        <f t="shared" si="352"/>
        <v>Mar</v>
      </c>
      <c r="P3411" s="921">
        <f t="shared" si="353"/>
        <v>11</v>
      </c>
    </row>
    <row r="3412" spans="1:16" ht="15" hidden="1" customHeight="1">
      <c r="A3412" s="839">
        <v>68689251</v>
      </c>
      <c r="B3412" s="839">
        <v>1352</v>
      </c>
      <c r="C3412" s="906">
        <v>264</v>
      </c>
      <c r="D3412" s="907">
        <v>46090</v>
      </c>
      <c r="E3412" s="839" t="s">
        <v>262</v>
      </c>
      <c r="F3412" s="839" t="s">
        <v>240</v>
      </c>
      <c r="G3412" s="916">
        <f>VLOOKUP($A3412,'Tech Litons'!$A:$I,8,FALSE)</f>
        <v>9.5760000000000012E-3</v>
      </c>
      <c r="H3412" s="917">
        <f>VLOOKUP($A3412,'Tech Litons'!$A:$I,9,FALSE)</f>
        <v>132</v>
      </c>
      <c r="I3412" s="917" t="str">
        <f>VLOOKUP($A3412,'Tech Litons'!$A:$C,3,0)</f>
        <v>EDF</v>
      </c>
      <c r="J3412" s="918" t="str">
        <f t="shared" si="348"/>
        <v>1352EDF</v>
      </c>
      <c r="K3412" s="919">
        <v>1</v>
      </c>
      <c r="L3412" s="920">
        <f t="shared" si="349"/>
        <v>264</v>
      </c>
      <c r="M3412" s="920">
        <f t="shared" si="350"/>
        <v>2.5280640000000005</v>
      </c>
      <c r="N3412" s="920">
        <f t="shared" si="351"/>
        <v>2</v>
      </c>
      <c r="O3412" s="918" t="str">
        <f t="shared" si="352"/>
        <v>Mar</v>
      </c>
      <c r="P3412" s="921">
        <f t="shared" si="353"/>
        <v>11</v>
      </c>
    </row>
    <row r="3413" spans="1:16" ht="15" hidden="1" customHeight="1">
      <c r="A3413" s="839">
        <v>68689251</v>
      </c>
      <c r="B3413" s="839">
        <v>1352</v>
      </c>
      <c r="C3413" s="906">
        <v>2273</v>
      </c>
      <c r="D3413" s="907">
        <v>46091</v>
      </c>
      <c r="E3413" s="839" t="s">
        <v>262</v>
      </c>
      <c r="F3413" s="839" t="s">
        <v>240</v>
      </c>
      <c r="G3413" s="916">
        <f>VLOOKUP($A3413,'Tech Litons'!$A:$I,8,FALSE)</f>
        <v>9.5760000000000012E-3</v>
      </c>
      <c r="H3413" s="917">
        <f>VLOOKUP($A3413,'Tech Litons'!$A:$I,9,FALSE)</f>
        <v>132</v>
      </c>
      <c r="I3413" s="917" t="str">
        <f>VLOOKUP($A3413,'Tech Litons'!$A:$C,3,0)</f>
        <v>EDF</v>
      </c>
      <c r="J3413" s="918" t="str">
        <f t="shared" si="348"/>
        <v>1352EDF</v>
      </c>
      <c r="K3413" s="919">
        <v>1</v>
      </c>
      <c r="L3413" s="920">
        <f t="shared" si="349"/>
        <v>2273</v>
      </c>
      <c r="M3413" s="920">
        <f t="shared" si="350"/>
        <v>21.766248000000001</v>
      </c>
      <c r="N3413" s="920">
        <f t="shared" si="351"/>
        <v>17.219696969696969</v>
      </c>
      <c r="O3413" s="918" t="str">
        <f t="shared" si="352"/>
        <v>Mar</v>
      </c>
      <c r="P3413" s="921">
        <f t="shared" si="353"/>
        <v>11</v>
      </c>
    </row>
    <row r="3414" spans="1:16" ht="15" hidden="1" customHeight="1">
      <c r="A3414" s="839">
        <v>68689251</v>
      </c>
      <c r="B3414" s="839">
        <v>1352</v>
      </c>
      <c r="C3414" s="906">
        <v>2282</v>
      </c>
      <c r="D3414" s="907">
        <v>46094</v>
      </c>
      <c r="E3414" s="839" t="s">
        <v>262</v>
      </c>
      <c r="F3414" s="839" t="s">
        <v>241</v>
      </c>
      <c r="G3414" s="916">
        <f>VLOOKUP($A3414,'Tech Litons'!$A:$I,8,FALSE)</f>
        <v>9.5760000000000012E-3</v>
      </c>
      <c r="H3414" s="917">
        <f>VLOOKUP($A3414,'Tech Litons'!$A:$I,9,FALSE)</f>
        <v>132</v>
      </c>
      <c r="I3414" s="917" t="str">
        <f>VLOOKUP($A3414,'Tech Litons'!$A:$C,3,0)</f>
        <v>EDF</v>
      </c>
      <c r="J3414" s="918" t="str">
        <f t="shared" si="348"/>
        <v>1352EDF</v>
      </c>
      <c r="K3414" s="919">
        <v>1</v>
      </c>
      <c r="L3414" s="920">
        <f t="shared" si="349"/>
        <v>2282</v>
      </c>
      <c r="M3414" s="920">
        <f t="shared" si="350"/>
        <v>21.852432000000004</v>
      </c>
      <c r="N3414" s="920">
        <f t="shared" si="351"/>
        <v>17.287878787878789</v>
      </c>
      <c r="O3414" s="918" t="str">
        <f t="shared" si="352"/>
        <v>Mar</v>
      </c>
      <c r="P3414" s="921">
        <f t="shared" si="353"/>
        <v>11</v>
      </c>
    </row>
    <row r="3415" spans="1:16" ht="15" hidden="1" customHeight="1">
      <c r="A3415" s="839">
        <v>68689251</v>
      </c>
      <c r="B3415" s="839">
        <v>1352</v>
      </c>
      <c r="C3415" s="906">
        <v>1848</v>
      </c>
      <c r="D3415" s="907">
        <v>46100</v>
      </c>
      <c r="E3415" s="839" t="s">
        <v>262</v>
      </c>
      <c r="F3415" s="839" t="s">
        <v>241</v>
      </c>
      <c r="G3415" s="916">
        <f>VLOOKUP($A3415,'Tech Litons'!$A:$I,8,FALSE)</f>
        <v>9.5760000000000012E-3</v>
      </c>
      <c r="H3415" s="917">
        <f>VLOOKUP($A3415,'Tech Litons'!$A:$I,9,FALSE)</f>
        <v>132</v>
      </c>
      <c r="I3415" s="917" t="str">
        <f>VLOOKUP($A3415,'Tech Litons'!$A:$C,3,0)</f>
        <v>EDF</v>
      </c>
      <c r="J3415" s="918" t="str">
        <f t="shared" si="348"/>
        <v>1352EDF</v>
      </c>
      <c r="K3415" s="919">
        <v>1</v>
      </c>
      <c r="L3415" s="920">
        <f t="shared" si="349"/>
        <v>1848</v>
      </c>
      <c r="M3415" s="920">
        <f t="shared" si="350"/>
        <v>17.696448000000004</v>
      </c>
      <c r="N3415" s="920">
        <f t="shared" si="351"/>
        <v>14</v>
      </c>
      <c r="O3415" s="918" t="str">
        <f t="shared" si="352"/>
        <v>Mar</v>
      </c>
      <c r="P3415" s="921">
        <f t="shared" si="353"/>
        <v>12</v>
      </c>
    </row>
    <row r="3416" spans="1:16" ht="15" hidden="1" customHeight="1">
      <c r="A3416" s="839">
        <v>68689251</v>
      </c>
      <c r="B3416" s="839">
        <v>1352</v>
      </c>
      <c r="C3416" s="906">
        <v>3514</v>
      </c>
      <c r="D3416" s="907">
        <v>46101</v>
      </c>
      <c r="E3416" s="839" t="s">
        <v>262</v>
      </c>
      <c r="F3416" s="839" t="s">
        <v>241</v>
      </c>
      <c r="G3416" s="916">
        <f>VLOOKUP($A3416,'Tech Litons'!$A:$I,8,FALSE)</f>
        <v>9.5760000000000012E-3</v>
      </c>
      <c r="H3416" s="917">
        <f>VLOOKUP($A3416,'Tech Litons'!$A:$I,9,FALSE)</f>
        <v>132</v>
      </c>
      <c r="I3416" s="917" t="str">
        <f>VLOOKUP($A3416,'Tech Litons'!$A:$C,3,0)</f>
        <v>EDF</v>
      </c>
      <c r="J3416" s="918" t="str">
        <f t="shared" si="348"/>
        <v>1352EDF</v>
      </c>
      <c r="K3416" s="919">
        <v>1</v>
      </c>
      <c r="L3416" s="920">
        <f t="shared" si="349"/>
        <v>3514</v>
      </c>
      <c r="M3416" s="920">
        <f t="shared" si="350"/>
        <v>33.650064000000008</v>
      </c>
      <c r="N3416" s="920">
        <f t="shared" si="351"/>
        <v>26.621212121212121</v>
      </c>
      <c r="O3416" s="918" t="str">
        <f t="shared" si="352"/>
        <v>Mar</v>
      </c>
      <c r="P3416" s="921">
        <f t="shared" si="353"/>
        <v>12</v>
      </c>
    </row>
    <row r="3417" spans="1:16" ht="15" hidden="1" customHeight="1">
      <c r="A3417" s="839">
        <v>68689251</v>
      </c>
      <c r="B3417" s="839">
        <v>1352</v>
      </c>
      <c r="C3417" s="906">
        <v>14</v>
      </c>
      <c r="D3417" s="907">
        <v>46103</v>
      </c>
      <c r="E3417" s="839" t="s">
        <v>262</v>
      </c>
      <c r="F3417" s="839" t="s">
        <v>241</v>
      </c>
      <c r="G3417" s="916">
        <f>VLOOKUP($A3417,'Tech Litons'!$A:$I,8,FALSE)</f>
        <v>9.5760000000000012E-3</v>
      </c>
      <c r="H3417" s="917">
        <f>VLOOKUP($A3417,'Tech Litons'!$A:$I,9,FALSE)</f>
        <v>132</v>
      </c>
      <c r="I3417" s="917" t="str">
        <f>VLOOKUP($A3417,'Tech Litons'!$A:$C,3,0)</f>
        <v>EDF</v>
      </c>
      <c r="J3417" s="918" t="str">
        <f t="shared" si="348"/>
        <v>1352EDF</v>
      </c>
      <c r="K3417" s="919">
        <v>1</v>
      </c>
      <c r="L3417" s="920">
        <f t="shared" si="349"/>
        <v>14</v>
      </c>
      <c r="M3417" s="920">
        <f t="shared" si="350"/>
        <v>0.13406400000000002</v>
      </c>
      <c r="N3417" s="920">
        <f t="shared" si="351"/>
        <v>0.10606060606060606</v>
      </c>
      <c r="O3417" s="918" t="str">
        <f t="shared" si="352"/>
        <v>Mar</v>
      </c>
      <c r="P3417" s="921">
        <f t="shared" si="353"/>
        <v>13</v>
      </c>
    </row>
    <row r="3418" spans="1:16" ht="15" hidden="1" customHeight="1">
      <c r="A3418" s="839">
        <v>68709233</v>
      </c>
      <c r="B3418" s="839">
        <v>1352</v>
      </c>
      <c r="C3418" s="906">
        <v>4110</v>
      </c>
      <c r="D3418" s="907">
        <v>46102</v>
      </c>
      <c r="E3418" s="839" t="s">
        <v>426</v>
      </c>
      <c r="F3418" s="839" t="s">
        <v>242</v>
      </c>
      <c r="G3418" s="916">
        <f>VLOOKUP($A3418,'Tech Litons'!$A:$I,8,FALSE)</f>
        <v>8.4960000000000001E-3</v>
      </c>
      <c r="H3418" s="917">
        <f>VLOOKUP($A3418,'Tech Litons'!$A:$I,9,FALSE)</f>
        <v>132</v>
      </c>
      <c r="I3418" s="917" t="str">
        <f>VLOOKUP($A3418,'Tech Litons'!$A:$C,3,0)</f>
        <v>EDF</v>
      </c>
      <c r="J3418" s="918" t="str">
        <f t="shared" si="348"/>
        <v>1352EDF</v>
      </c>
      <c r="K3418" s="919">
        <v>1</v>
      </c>
      <c r="L3418" s="920">
        <f t="shared" si="349"/>
        <v>4110</v>
      </c>
      <c r="M3418" s="920">
        <f t="shared" si="350"/>
        <v>34.918559999999999</v>
      </c>
      <c r="N3418" s="920">
        <f t="shared" si="351"/>
        <v>31.136363636363637</v>
      </c>
      <c r="O3418" s="918" t="str">
        <f t="shared" si="352"/>
        <v>Mar</v>
      </c>
      <c r="P3418" s="921">
        <f t="shared" si="353"/>
        <v>12</v>
      </c>
    </row>
    <row r="3419" spans="1:16" ht="15" hidden="1" customHeight="1">
      <c r="A3419" s="839">
        <v>68709233</v>
      </c>
      <c r="B3419" s="839">
        <v>1352</v>
      </c>
      <c r="C3419" s="906">
        <v>3394</v>
      </c>
      <c r="D3419" s="907">
        <v>46103</v>
      </c>
      <c r="E3419" s="839" t="s">
        <v>426</v>
      </c>
      <c r="F3419" s="839" t="s">
        <v>242</v>
      </c>
      <c r="G3419" s="916">
        <f>VLOOKUP($A3419,'Tech Litons'!$A:$I,8,FALSE)</f>
        <v>8.4960000000000001E-3</v>
      </c>
      <c r="H3419" s="917">
        <f>VLOOKUP($A3419,'Tech Litons'!$A:$I,9,FALSE)</f>
        <v>132</v>
      </c>
      <c r="I3419" s="917" t="str">
        <f>VLOOKUP($A3419,'Tech Litons'!$A:$C,3,0)</f>
        <v>EDF</v>
      </c>
      <c r="J3419" s="918" t="str">
        <f t="shared" si="348"/>
        <v>1352EDF</v>
      </c>
      <c r="K3419" s="919">
        <v>1</v>
      </c>
      <c r="L3419" s="920">
        <f t="shared" si="349"/>
        <v>3394</v>
      </c>
      <c r="M3419" s="920">
        <f t="shared" si="350"/>
        <v>28.835424</v>
      </c>
      <c r="N3419" s="920">
        <f t="shared" si="351"/>
        <v>25.712121212121211</v>
      </c>
      <c r="O3419" s="918" t="str">
        <f t="shared" si="352"/>
        <v>Mar</v>
      </c>
      <c r="P3419" s="921">
        <f t="shared" si="353"/>
        <v>13</v>
      </c>
    </row>
    <row r="3420" spans="1:16" ht="15" hidden="1" customHeight="1">
      <c r="A3420" s="839">
        <v>68709233</v>
      </c>
      <c r="B3420" s="839">
        <v>1352</v>
      </c>
      <c r="C3420" s="906">
        <v>2904</v>
      </c>
      <c r="D3420" s="907">
        <v>46103</v>
      </c>
      <c r="E3420" s="839" t="s">
        <v>426</v>
      </c>
      <c r="F3420" s="839" t="s">
        <v>242</v>
      </c>
      <c r="G3420" s="916">
        <f>VLOOKUP($A3420,'Tech Litons'!$A:$I,8,FALSE)</f>
        <v>8.4960000000000001E-3</v>
      </c>
      <c r="H3420" s="917">
        <f>VLOOKUP($A3420,'Tech Litons'!$A:$I,9,FALSE)</f>
        <v>132</v>
      </c>
      <c r="I3420" s="917" t="str">
        <f>VLOOKUP($A3420,'Tech Litons'!$A:$C,3,0)</f>
        <v>EDF</v>
      </c>
      <c r="J3420" s="918" t="str">
        <f t="shared" si="348"/>
        <v>1352EDF</v>
      </c>
      <c r="K3420" s="919">
        <v>1</v>
      </c>
      <c r="L3420" s="920">
        <f t="shared" si="349"/>
        <v>2904</v>
      </c>
      <c r="M3420" s="920">
        <f t="shared" si="350"/>
        <v>24.672384000000001</v>
      </c>
      <c r="N3420" s="920">
        <f t="shared" si="351"/>
        <v>22</v>
      </c>
      <c r="O3420" s="918" t="str">
        <f t="shared" si="352"/>
        <v>Mar</v>
      </c>
      <c r="P3420" s="921">
        <f t="shared" si="353"/>
        <v>13</v>
      </c>
    </row>
    <row r="3421" spans="1:16" ht="15" hidden="1" customHeight="1">
      <c r="A3421" s="839">
        <v>68709233</v>
      </c>
      <c r="B3421" s="839">
        <v>1352</v>
      </c>
      <c r="C3421" s="906">
        <v>4089</v>
      </c>
      <c r="D3421" s="907">
        <v>46104</v>
      </c>
      <c r="E3421" s="839" t="s">
        <v>426</v>
      </c>
      <c r="F3421" s="839" t="s">
        <v>242</v>
      </c>
      <c r="G3421" s="916">
        <f>VLOOKUP($A3421,'Tech Litons'!$A:$I,8,FALSE)</f>
        <v>8.4960000000000001E-3</v>
      </c>
      <c r="H3421" s="917">
        <f>VLOOKUP($A3421,'Tech Litons'!$A:$I,9,FALSE)</f>
        <v>132</v>
      </c>
      <c r="I3421" s="917" t="str">
        <f>VLOOKUP($A3421,'Tech Litons'!$A:$C,3,0)</f>
        <v>EDF</v>
      </c>
      <c r="J3421" s="918" t="str">
        <f t="shared" si="348"/>
        <v>1352EDF</v>
      </c>
      <c r="K3421" s="919">
        <v>1</v>
      </c>
      <c r="L3421" s="920">
        <f t="shared" si="349"/>
        <v>4089</v>
      </c>
      <c r="M3421" s="920">
        <f t="shared" si="350"/>
        <v>34.740144000000001</v>
      </c>
      <c r="N3421" s="920">
        <f t="shared" si="351"/>
        <v>30.977272727272727</v>
      </c>
      <c r="O3421" s="918" t="str">
        <f t="shared" si="352"/>
        <v>Mar</v>
      </c>
      <c r="P3421" s="921">
        <f t="shared" si="353"/>
        <v>13</v>
      </c>
    </row>
    <row r="3422" spans="1:16" ht="15" hidden="1" customHeight="1">
      <c r="A3422" s="839">
        <v>68709233</v>
      </c>
      <c r="B3422" s="839">
        <v>1352</v>
      </c>
      <c r="C3422" s="906">
        <v>3300</v>
      </c>
      <c r="D3422" s="907">
        <v>46104</v>
      </c>
      <c r="E3422" s="839" t="s">
        <v>426</v>
      </c>
      <c r="F3422" s="839" t="s">
        <v>240</v>
      </c>
      <c r="G3422" s="916">
        <f>VLOOKUP($A3422,'Tech Litons'!$A:$I,8,FALSE)</f>
        <v>8.4960000000000001E-3</v>
      </c>
      <c r="H3422" s="917">
        <f>VLOOKUP($A3422,'Tech Litons'!$A:$I,9,FALSE)</f>
        <v>132</v>
      </c>
      <c r="I3422" s="917" t="str">
        <f>VLOOKUP($A3422,'Tech Litons'!$A:$C,3,0)</f>
        <v>EDF</v>
      </c>
      <c r="J3422" s="918" t="str">
        <f t="shared" si="348"/>
        <v>1352EDF</v>
      </c>
      <c r="K3422" s="919">
        <v>1</v>
      </c>
      <c r="L3422" s="920">
        <f t="shared" si="349"/>
        <v>3300</v>
      </c>
      <c r="M3422" s="920">
        <f t="shared" si="350"/>
        <v>28.036799999999999</v>
      </c>
      <c r="N3422" s="920">
        <f t="shared" si="351"/>
        <v>25</v>
      </c>
      <c r="O3422" s="918" t="str">
        <f t="shared" si="352"/>
        <v>Mar</v>
      </c>
      <c r="P3422" s="921">
        <f t="shared" si="353"/>
        <v>13</v>
      </c>
    </row>
    <row r="3423" spans="1:16" ht="15" hidden="1" customHeight="1">
      <c r="A3423" s="839">
        <v>68709233</v>
      </c>
      <c r="B3423" s="839">
        <v>1352</v>
      </c>
      <c r="C3423" s="906">
        <v>3887</v>
      </c>
      <c r="D3423" s="907">
        <v>46105</v>
      </c>
      <c r="E3423" s="839" t="s">
        <v>426</v>
      </c>
      <c r="F3423" s="839" t="s">
        <v>240</v>
      </c>
      <c r="G3423" s="916">
        <f>VLOOKUP($A3423,'Tech Litons'!$A:$I,8,FALSE)</f>
        <v>8.4960000000000001E-3</v>
      </c>
      <c r="H3423" s="917">
        <f>VLOOKUP($A3423,'Tech Litons'!$A:$I,9,FALSE)</f>
        <v>132</v>
      </c>
      <c r="I3423" s="917" t="str">
        <f>VLOOKUP($A3423,'Tech Litons'!$A:$C,3,0)</f>
        <v>EDF</v>
      </c>
      <c r="J3423" s="918" t="str">
        <f t="shared" si="348"/>
        <v>1352EDF</v>
      </c>
      <c r="K3423" s="919">
        <v>1</v>
      </c>
      <c r="L3423" s="920">
        <f t="shared" si="349"/>
        <v>3887</v>
      </c>
      <c r="M3423" s="920">
        <f t="shared" si="350"/>
        <v>33.023952000000001</v>
      </c>
      <c r="N3423" s="920">
        <f t="shared" si="351"/>
        <v>29.446969696969695</v>
      </c>
      <c r="O3423" s="918" t="str">
        <f t="shared" si="352"/>
        <v>Mar</v>
      </c>
      <c r="P3423" s="921">
        <f t="shared" si="353"/>
        <v>13</v>
      </c>
    </row>
    <row r="3424" spans="1:16" ht="15" hidden="1" customHeight="1">
      <c r="A3424" s="839">
        <v>68709233</v>
      </c>
      <c r="B3424" s="839">
        <v>1352</v>
      </c>
      <c r="C3424" s="906">
        <v>1955</v>
      </c>
      <c r="D3424" s="907">
        <v>46105</v>
      </c>
      <c r="E3424" s="839" t="s">
        <v>426</v>
      </c>
      <c r="F3424" s="839" t="s">
        <v>240</v>
      </c>
      <c r="G3424" s="916">
        <f>VLOOKUP($A3424,'Tech Litons'!$A:$I,8,FALSE)</f>
        <v>8.4960000000000001E-3</v>
      </c>
      <c r="H3424" s="917">
        <f>VLOOKUP($A3424,'Tech Litons'!$A:$I,9,FALSE)</f>
        <v>132</v>
      </c>
      <c r="I3424" s="917" t="str">
        <f>VLOOKUP($A3424,'Tech Litons'!$A:$C,3,0)</f>
        <v>EDF</v>
      </c>
      <c r="J3424" s="918" t="str">
        <f t="shared" si="348"/>
        <v>1352EDF</v>
      </c>
      <c r="K3424" s="919">
        <v>1</v>
      </c>
      <c r="L3424" s="920">
        <f t="shared" si="349"/>
        <v>1955</v>
      </c>
      <c r="M3424" s="920">
        <f t="shared" si="350"/>
        <v>16.609680000000001</v>
      </c>
      <c r="N3424" s="920">
        <f t="shared" si="351"/>
        <v>14.810606060606061</v>
      </c>
      <c r="O3424" s="918" t="str">
        <f t="shared" si="352"/>
        <v>Mar</v>
      </c>
      <c r="P3424" s="921">
        <f t="shared" si="353"/>
        <v>13</v>
      </c>
    </row>
    <row r="3425" spans="1:16" ht="15" hidden="1" customHeight="1">
      <c r="A3425" s="839">
        <v>68709233</v>
      </c>
      <c r="B3425" s="839">
        <v>1352</v>
      </c>
      <c r="C3425" s="906">
        <v>1946</v>
      </c>
      <c r="D3425" s="907">
        <v>46099</v>
      </c>
      <c r="E3425" s="839" t="s">
        <v>426</v>
      </c>
      <c r="F3425" s="839" t="s">
        <v>242</v>
      </c>
      <c r="G3425" s="916">
        <f>VLOOKUP($A3425,'Tech Litons'!$A:$I,8,FALSE)</f>
        <v>8.4960000000000001E-3</v>
      </c>
      <c r="H3425" s="917">
        <f>VLOOKUP($A3425,'Tech Litons'!$A:$I,9,FALSE)</f>
        <v>132</v>
      </c>
      <c r="I3425" s="917" t="str">
        <f>VLOOKUP($A3425,'Tech Litons'!$A:$C,3,0)</f>
        <v>EDF</v>
      </c>
      <c r="J3425" s="918" t="str">
        <f t="shared" si="348"/>
        <v>1352EDF</v>
      </c>
      <c r="K3425" s="919">
        <v>1</v>
      </c>
      <c r="L3425" s="920">
        <f t="shared" si="349"/>
        <v>1946</v>
      </c>
      <c r="M3425" s="920">
        <f t="shared" si="350"/>
        <v>16.533215999999999</v>
      </c>
      <c r="N3425" s="920">
        <f t="shared" si="351"/>
        <v>14.742424242424242</v>
      </c>
      <c r="O3425" s="918" t="str">
        <f t="shared" si="352"/>
        <v>Mar</v>
      </c>
      <c r="P3425" s="921">
        <f t="shared" si="353"/>
        <v>12</v>
      </c>
    </row>
    <row r="3426" spans="1:16" ht="15" hidden="1" customHeight="1">
      <c r="A3426" s="839">
        <v>68709233</v>
      </c>
      <c r="B3426" s="839">
        <v>1352</v>
      </c>
      <c r="C3426" s="906">
        <v>3036</v>
      </c>
      <c r="D3426" s="907">
        <v>46099</v>
      </c>
      <c r="E3426" s="839" t="s">
        <v>426</v>
      </c>
      <c r="F3426" s="839" t="s">
        <v>242</v>
      </c>
      <c r="G3426" s="916">
        <f>VLOOKUP($A3426,'Tech Litons'!$A:$I,8,FALSE)</f>
        <v>8.4960000000000001E-3</v>
      </c>
      <c r="H3426" s="917">
        <f>VLOOKUP($A3426,'Tech Litons'!$A:$I,9,FALSE)</f>
        <v>132</v>
      </c>
      <c r="I3426" s="917" t="str">
        <f>VLOOKUP($A3426,'Tech Litons'!$A:$C,3,0)</f>
        <v>EDF</v>
      </c>
      <c r="J3426" s="918" t="str">
        <f t="shared" si="348"/>
        <v>1352EDF</v>
      </c>
      <c r="K3426" s="919">
        <v>1</v>
      </c>
      <c r="L3426" s="920">
        <f t="shared" si="349"/>
        <v>3036</v>
      </c>
      <c r="M3426" s="920">
        <f t="shared" si="350"/>
        <v>25.793856000000002</v>
      </c>
      <c r="N3426" s="920">
        <f t="shared" si="351"/>
        <v>23</v>
      </c>
      <c r="O3426" s="918" t="str">
        <f t="shared" si="352"/>
        <v>Mar</v>
      </c>
      <c r="P3426" s="921">
        <f t="shared" si="353"/>
        <v>12</v>
      </c>
    </row>
    <row r="3427" spans="1:16" ht="15" hidden="1" customHeight="1">
      <c r="A3427" s="839">
        <v>68709233</v>
      </c>
      <c r="B3427" s="839">
        <v>1352</v>
      </c>
      <c r="C3427" s="906">
        <v>3854</v>
      </c>
      <c r="D3427" s="907">
        <v>46100</v>
      </c>
      <c r="E3427" s="839" t="s">
        <v>426</v>
      </c>
      <c r="F3427" s="839" t="s">
        <v>242</v>
      </c>
      <c r="G3427" s="916">
        <f>VLOOKUP($A3427,'Tech Litons'!$A:$I,8,FALSE)</f>
        <v>8.4960000000000001E-3</v>
      </c>
      <c r="H3427" s="917">
        <f>VLOOKUP($A3427,'Tech Litons'!$A:$I,9,FALSE)</f>
        <v>132</v>
      </c>
      <c r="I3427" s="917" t="str">
        <f>VLOOKUP($A3427,'Tech Litons'!$A:$C,3,0)</f>
        <v>EDF</v>
      </c>
      <c r="J3427" s="918" t="str">
        <f t="shared" si="348"/>
        <v>1352EDF</v>
      </c>
      <c r="K3427" s="919">
        <v>1</v>
      </c>
      <c r="L3427" s="920">
        <f t="shared" si="349"/>
        <v>3854</v>
      </c>
      <c r="M3427" s="920">
        <f t="shared" si="350"/>
        <v>32.743583999999998</v>
      </c>
      <c r="N3427" s="920">
        <f t="shared" si="351"/>
        <v>29.196969696969695</v>
      </c>
      <c r="O3427" s="918" t="str">
        <f t="shared" si="352"/>
        <v>Mar</v>
      </c>
      <c r="P3427" s="921">
        <f t="shared" si="353"/>
        <v>12</v>
      </c>
    </row>
    <row r="3428" spans="1:16" ht="15" hidden="1" customHeight="1">
      <c r="A3428" s="839">
        <v>68709233</v>
      </c>
      <c r="B3428" s="839">
        <v>1352</v>
      </c>
      <c r="C3428" s="906">
        <v>3168</v>
      </c>
      <c r="D3428" s="907">
        <v>46104</v>
      </c>
      <c r="E3428" s="839" t="s">
        <v>426</v>
      </c>
      <c r="F3428" s="839" t="s">
        <v>242</v>
      </c>
      <c r="G3428" s="916">
        <f>VLOOKUP($A3428,'Tech Litons'!$A:$I,8,FALSE)</f>
        <v>8.4960000000000001E-3</v>
      </c>
      <c r="H3428" s="917">
        <f>VLOOKUP($A3428,'Tech Litons'!$A:$I,9,FALSE)</f>
        <v>132</v>
      </c>
      <c r="I3428" s="917" t="str">
        <f>VLOOKUP($A3428,'Tech Litons'!$A:$C,3,0)</f>
        <v>EDF</v>
      </c>
      <c r="J3428" s="918" t="str">
        <f t="shared" si="348"/>
        <v>1352EDF</v>
      </c>
      <c r="K3428" s="919">
        <v>1</v>
      </c>
      <c r="L3428" s="920">
        <f t="shared" si="349"/>
        <v>3168</v>
      </c>
      <c r="M3428" s="920">
        <f t="shared" si="350"/>
        <v>26.915327999999999</v>
      </c>
      <c r="N3428" s="920">
        <f t="shared" si="351"/>
        <v>24</v>
      </c>
      <c r="O3428" s="918" t="str">
        <f t="shared" si="352"/>
        <v>Mar</v>
      </c>
      <c r="P3428" s="921">
        <f t="shared" si="353"/>
        <v>13</v>
      </c>
    </row>
    <row r="3429" spans="1:16" ht="15" hidden="1" customHeight="1">
      <c r="A3429" s="839">
        <v>68709233</v>
      </c>
      <c r="B3429" s="839">
        <v>1352</v>
      </c>
      <c r="C3429" s="906">
        <v>252</v>
      </c>
      <c r="D3429" s="907">
        <v>46105</v>
      </c>
      <c r="E3429" s="839" t="s">
        <v>426</v>
      </c>
      <c r="F3429" s="839" t="s">
        <v>242</v>
      </c>
      <c r="G3429" s="916">
        <f>VLOOKUP($A3429,'Tech Litons'!$A:$I,8,FALSE)</f>
        <v>8.4960000000000001E-3</v>
      </c>
      <c r="H3429" s="917">
        <f>VLOOKUP($A3429,'Tech Litons'!$A:$I,9,FALSE)</f>
        <v>132</v>
      </c>
      <c r="I3429" s="917" t="str">
        <f>VLOOKUP($A3429,'Tech Litons'!$A:$C,3,0)</f>
        <v>EDF</v>
      </c>
      <c r="J3429" s="918" t="str">
        <f t="shared" si="348"/>
        <v>1352EDF</v>
      </c>
      <c r="K3429" s="919">
        <v>1</v>
      </c>
      <c r="L3429" s="920">
        <f t="shared" si="349"/>
        <v>252</v>
      </c>
      <c r="M3429" s="920">
        <f t="shared" si="350"/>
        <v>2.1409920000000002</v>
      </c>
      <c r="N3429" s="920">
        <f t="shared" si="351"/>
        <v>1.9090909090909092</v>
      </c>
      <c r="O3429" s="918" t="str">
        <f t="shared" si="352"/>
        <v>Mar</v>
      </c>
      <c r="P3429" s="921">
        <f t="shared" si="353"/>
        <v>13</v>
      </c>
    </row>
    <row r="3430" spans="1:16" ht="15" hidden="1" customHeight="1">
      <c r="A3430" s="839">
        <v>68709233</v>
      </c>
      <c r="B3430" s="839">
        <v>1352</v>
      </c>
      <c r="C3430" s="906">
        <v>1716</v>
      </c>
      <c r="D3430" s="907">
        <v>46105</v>
      </c>
      <c r="E3430" s="839" t="s">
        <v>426</v>
      </c>
      <c r="F3430" s="839" t="s">
        <v>242</v>
      </c>
      <c r="G3430" s="916">
        <f>VLOOKUP($A3430,'Tech Litons'!$A:$I,8,FALSE)</f>
        <v>8.4960000000000001E-3</v>
      </c>
      <c r="H3430" s="917">
        <f>VLOOKUP($A3430,'Tech Litons'!$A:$I,9,FALSE)</f>
        <v>132</v>
      </c>
      <c r="I3430" s="917" t="str">
        <f>VLOOKUP($A3430,'Tech Litons'!$A:$C,3,0)</f>
        <v>EDF</v>
      </c>
      <c r="J3430" s="918" t="str">
        <f t="shared" si="348"/>
        <v>1352EDF</v>
      </c>
      <c r="K3430" s="919">
        <v>1</v>
      </c>
      <c r="L3430" s="920">
        <f t="shared" si="349"/>
        <v>1716</v>
      </c>
      <c r="M3430" s="920">
        <f t="shared" si="350"/>
        <v>14.579136</v>
      </c>
      <c r="N3430" s="920">
        <f t="shared" si="351"/>
        <v>13</v>
      </c>
      <c r="O3430" s="918" t="str">
        <f t="shared" si="352"/>
        <v>Mar</v>
      </c>
      <c r="P3430" s="921">
        <f t="shared" si="353"/>
        <v>13</v>
      </c>
    </row>
    <row r="3431" spans="1:16" ht="15" hidden="1" customHeight="1">
      <c r="A3431" s="839">
        <v>68709233</v>
      </c>
      <c r="B3431" s="839">
        <v>1352</v>
      </c>
      <c r="C3431" s="906">
        <v>2640</v>
      </c>
      <c r="D3431" s="907">
        <v>46101</v>
      </c>
      <c r="E3431" s="839" t="s">
        <v>426</v>
      </c>
      <c r="F3431" s="839" t="s">
        <v>242</v>
      </c>
      <c r="G3431" s="916">
        <f>VLOOKUP($A3431,'Tech Litons'!$A:$I,8,FALSE)</f>
        <v>8.4960000000000001E-3</v>
      </c>
      <c r="H3431" s="917">
        <f>VLOOKUP($A3431,'Tech Litons'!$A:$I,9,FALSE)</f>
        <v>132</v>
      </c>
      <c r="I3431" s="917" t="str">
        <f>VLOOKUP($A3431,'Tech Litons'!$A:$C,3,0)</f>
        <v>EDF</v>
      </c>
      <c r="J3431" s="918" t="str">
        <f t="shared" si="348"/>
        <v>1352EDF</v>
      </c>
      <c r="K3431" s="919">
        <v>1</v>
      </c>
      <c r="L3431" s="920">
        <f t="shared" si="349"/>
        <v>2640</v>
      </c>
      <c r="M3431" s="920">
        <f t="shared" si="350"/>
        <v>22.42944</v>
      </c>
      <c r="N3431" s="920">
        <f t="shared" si="351"/>
        <v>20</v>
      </c>
      <c r="O3431" s="918" t="str">
        <f t="shared" si="352"/>
        <v>Mar</v>
      </c>
      <c r="P3431" s="921">
        <f t="shared" si="353"/>
        <v>12</v>
      </c>
    </row>
    <row r="3432" spans="1:16" ht="15" hidden="1" customHeight="1">
      <c r="A3432" s="839">
        <v>68709233</v>
      </c>
      <c r="B3432" s="839">
        <v>1352</v>
      </c>
      <c r="C3432" s="906">
        <v>855</v>
      </c>
      <c r="D3432" s="907">
        <v>46102</v>
      </c>
      <c r="E3432" s="839" t="s">
        <v>426</v>
      </c>
      <c r="F3432" s="839" t="s">
        <v>242</v>
      </c>
      <c r="G3432" s="916">
        <f>VLOOKUP($A3432,'Tech Litons'!$A:$I,8,FALSE)</f>
        <v>8.4960000000000001E-3</v>
      </c>
      <c r="H3432" s="917">
        <f>VLOOKUP($A3432,'Tech Litons'!$A:$I,9,FALSE)</f>
        <v>132</v>
      </c>
      <c r="I3432" s="917" t="str">
        <f>VLOOKUP($A3432,'Tech Litons'!$A:$C,3,0)</f>
        <v>EDF</v>
      </c>
      <c r="J3432" s="918" t="str">
        <f t="shared" si="348"/>
        <v>1352EDF</v>
      </c>
      <c r="K3432" s="919">
        <v>1</v>
      </c>
      <c r="L3432" s="920">
        <f t="shared" si="349"/>
        <v>855</v>
      </c>
      <c r="M3432" s="920">
        <f t="shared" si="350"/>
        <v>7.2640799999999999</v>
      </c>
      <c r="N3432" s="920">
        <f t="shared" si="351"/>
        <v>6.4772727272727275</v>
      </c>
      <c r="O3432" s="918" t="str">
        <f t="shared" si="352"/>
        <v>Mar</v>
      </c>
      <c r="P3432" s="921">
        <f t="shared" si="353"/>
        <v>12</v>
      </c>
    </row>
    <row r="3433" spans="1:16" ht="15" hidden="1" customHeight="1">
      <c r="A3433" s="839">
        <v>68709233</v>
      </c>
      <c r="B3433" s="839">
        <v>1352</v>
      </c>
      <c r="C3433" s="906">
        <v>528</v>
      </c>
      <c r="D3433" s="907">
        <v>46097</v>
      </c>
      <c r="E3433" s="839" t="s">
        <v>426</v>
      </c>
      <c r="F3433" s="839" t="s">
        <v>240</v>
      </c>
      <c r="G3433" s="916">
        <f>VLOOKUP($A3433,'Tech Litons'!$A:$I,8,FALSE)</f>
        <v>8.4960000000000001E-3</v>
      </c>
      <c r="H3433" s="917">
        <f>VLOOKUP($A3433,'Tech Litons'!$A:$I,9,FALSE)</f>
        <v>132</v>
      </c>
      <c r="I3433" s="917" t="str">
        <f>VLOOKUP($A3433,'Tech Litons'!$A:$C,3,0)</f>
        <v>EDF</v>
      </c>
      <c r="J3433" s="918" t="str">
        <f t="shared" si="348"/>
        <v>1352EDF</v>
      </c>
      <c r="K3433" s="919">
        <v>1</v>
      </c>
      <c r="L3433" s="920">
        <f t="shared" si="349"/>
        <v>528</v>
      </c>
      <c r="M3433" s="920">
        <f t="shared" si="350"/>
        <v>4.4858880000000001</v>
      </c>
      <c r="N3433" s="920">
        <f t="shared" si="351"/>
        <v>4</v>
      </c>
      <c r="O3433" s="918" t="str">
        <f t="shared" si="352"/>
        <v>Mar</v>
      </c>
      <c r="P3433" s="921">
        <f t="shared" si="353"/>
        <v>12</v>
      </c>
    </row>
    <row r="3434" spans="1:16" ht="15" hidden="1" customHeight="1">
      <c r="A3434" s="839">
        <v>68709233</v>
      </c>
      <c r="B3434" s="839">
        <v>1352</v>
      </c>
      <c r="C3434" s="906">
        <v>3620</v>
      </c>
      <c r="D3434" s="907">
        <v>46098</v>
      </c>
      <c r="E3434" s="839" t="s">
        <v>426</v>
      </c>
      <c r="F3434" s="839" t="s">
        <v>240</v>
      </c>
      <c r="G3434" s="916">
        <f>VLOOKUP($A3434,'Tech Litons'!$A:$I,8,FALSE)</f>
        <v>8.4960000000000001E-3</v>
      </c>
      <c r="H3434" s="917">
        <f>VLOOKUP($A3434,'Tech Litons'!$A:$I,9,FALSE)</f>
        <v>132</v>
      </c>
      <c r="I3434" s="917" t="str">
        <f>VLOOKUP($A3434,'Tech Litons'!$A:$C,3,0)</f>
        <v>EDF</v>
      </c>
      <c r="J3434" s="918" t="str">
        <f t="shared" si="348"/>
        <v>1352EDF</v>
      </c>
      <c r="K3434" s="919">
        <v>1</v>
      </c>
      <c r="L3434" s="920">
        <f t="shared" si="349"/>
        <v>3620</v>
      </c>
      <c r="M3434" s="920">
        <f t="shared" si="350"/>
        <v>30.755520000000001</v>
      </c>
      <c r="N3434" s="920">
        <f t="shared" si="351"/>
        <v>27.424242424242426</v>
      </c>
      <c r="O3434" s="918" t="str">
        <f t="shared" si="352"/>
        <v>Mar</v>
      </c>
      <c r="P3434" s="921">
        <f t="shared" si="353"/>
        <v>12</v>
      </c>
    </row>
    <row r="3435" spans="1:16" ht="15" hidden="1" customHeight="1">
      <c r="A3435" s="839">
        <v>68709233</v>
      </c>
      <c r="B3435" s="839">
        <v>1352</v>
      </c>
      <c r="C3435" s="906">
        <v>3696</v>
      </c>
      <c r="D3435" s="907">
        <v>46098</v>
      </c>
      <c r="E3435" s="839" t="s">
        <v>426</v>
      </c>
      <c r="F3435" s="839" t="s">
        <v>240</v>
      </c>
      <c r="G3435" s="916">
        <f>VLOOKUP($A3435,'Tech Litons'!$A:$I,8,FALSE)</f>
        <v>8.4960000000000001E-3</v>
      </c>
      <c r="H3435" s="917">
        <f>VLOOKUP($A3435,'Tech Litons'!$A:$I,9,FALSE)</f>
        <v>132</v>
      </c>
      <c r="I3435" s="917" t="str">
        <f>VLOOKUP($A3435,'Tech Litons'!$A:$C,3,0)</f>
        <v>EDF</v>
      </c>
      <c r="J3435" s="918" t="str">
        <f t="shared" si="348"/>
        <v>1352EDF</v>
      </c>
      <c r="K3435" s="919">
        <v>1</v>
      </c>
      <c r="L3435" s="920">
        <f t="shared" si="349"/>
        <v>3696</v>
      </c>
      <c r="M3435" s="920">
        <f t="shared" si="350"/>
        <v>31.401216000000002</v>
      </c>
      <c r="N3435" s="920">
        <f t="shared" si="351"/>
        <v>28</v>
      </c>
      <c r="O3435" s="918" t="str">
        <f t="shared" si="352"/>
        <v>Mar</v>
      </c>
      <c r="P3435" s="921">
        <f t="shared" si="353"/>
        <v>12</v>
      </c>
    </row>
    <row r="3436" spans="1:16" ht="15" hidden="1" customHeight="1">
      <c r="A3436" s="839">
        <v>68709233</v>
      </c>
      <c r="B3436" s="839">
        <v>1352</v>
      </c>
      <c r="C3436" s="906">
        <v>2772</v>
      </c>
      <c r="D3436" s="907">
        <v>46099</v>
      </c>
      <c r="E3436" s="839" t="s">
        <v>426</v>
      </c>
      <c r="F3436" s="839" t="s">
        <v>240</v>
      </c>
      <c r="G3436" s="916">
        <f>VLOOKUP($A3436,'Tech Litons'!$A:$I,8,FALSE)</f>
        <v>8.4960000000000001E-3</v>
      </c>
      <c r="H3436" s="917">
        <f>VLOOKUP($A3436,'Tech Litons'!$A:$I,9,FALSE)</f>
        <v>132</v>
      </c>
      <c r="I3436" s="917" t="str">
        <f>VLOOKUP($A3436,'Tech Litons'!$A:$C,3,0)</f>
        <v>EDF</v>
      </c>
      <c r="J3436" s="918" t="str">
        <f t="shared" si="348"/>
        <v>1352EDF</v>
      </c>
      <c r="K3436" s="919">
        <v>1</v>
      </c>
      <c r="L3436" s="920">
        <f t="shared" si="349"/>
        <v>2772</v>
      </c>
      <c r="M3436" s="920">
        <f t="shared" si="350"/>
        <v>23.550912</v>
      </c>
      <c r="N3436" s="920">
        <f t="shared" si="351"/>
        <v>21</v>
      </c>
      <c r="O3436" s="918" t="str">
        <f t="shared" si="352"/>
        <v>Mar</v>
      </c>
      <c r="P3436" s="921">
        <f t="shared" si="353"/>
        <v>12</v>
      </c>
    </row>
    <row r="3437" spans="1:16" ht="15" hidden="1" customHeight="1">
      <c r="A3437" s="839">
        <v>68709233</v>
      </c>
      <c r="B3437" s="839">
        <v>1352</v>
      </c>
      <c r="C3437" s="906">
        <v>2376</v>
      </c>
      <c r="D3437" s="907">
        <v>46099</v>
      </c>
      <c r="E3437" s="839" t="s">
        <v>426</v>
      </c>
      <c r="F3437" s="839" t="s">
        <v>240</v>
      </c>
      <c r="G3437" s="916">
        <f>VLOOKUP($A3437,'Tech Litons'!$A:$I,8,FALSE)</f>
        <v>8.4960000000000001E-3</v>
      </c>
      <c r="H3437" s="917">
        <f>VLOOKUP($A3437,'Tech Litons'!$A:$I,9,FALSE)</f>
        <v>132</v>
      </c>
      <c r="I3437" s="917" t="str">
        <f>VLOOKUP($A3437,'Tech Litons'!$A:$C,3,0)</f>
        <v>EDF</v>
      </c>
      <c r="J3437" s="918" t="str">
        <f t="shared" si="348"/>
        <v>1352EDF</v>
      </c>
      <c r="K3437" s="919">
        <v>1</v>
      </c>
      <c r="L3437" s="920">
        <f t="shared" si="349"/>
        <v>2376</v>
      </c>
      <c r="M3437" s="920">
        <f t="shared" si="350"/>
        <v>20.186496000000002</v>
      </c>
      <c r="N3437" s="920">
        <f t="shared" si="351"/>
        <v>18</v>
      </c>
      <c r="O3437" s="918" t="str">
        <f t="shared" si="352"/>
        <v>Mar</v>
      </c>
      <c r="P3437" s="921">
        <f t="shared" si="353"/>
        <v>12</v>
      </c>
    </row>
    <row r="3438" spans="1:16" ht="15" hidden="1" customHeight="1">
      <c r="A3438" s="839">
        <v>68709233</v>
      </c>
      <c r="B3438" s="839">
        <v>1352</v>
      </c>
      <c r="C3438" s="906">
        <v>4234</v>
      </c>
      <c r="D3438" s="907">
        <v>46100</v>
      </c>
      <c r="E3438" s="839" t="s">
        <v>426</v>
      </c>
      <c r="F3438" s="839" t="s">
        <v>240</v>
      </c>
      <c r="G3438" s="916">
        <f>VLOOKUP($A3438,'Tech Litons'!$A:$I,8,FALSE)</f>
        <v>8.4960000000000001E-3</v>
      </c>
      <c r="H3438" s="917">
        <f>VLOOKUP($A3438,'Tech Litons'!$A:$I,9,FALSE)</f>
        <v>132</v>
      </c>
      <c r="I3438" s="917" t="str">
        <f>VLOOKUP($A3438,'Tech Litons'!$A:$C,3,0)</f>
        <v>EDF</v>
      </c>
      <c r="J3438" s="918" t="str">
        <f t="shared" si="348"/>
        <v>1352EDF</v>
      </c>
      <c r="K3438" s="919">
        <v>1</v>
      </c>
      <c r="L3438" s="920">
        <f t="shared" si="349"/>
        <v>4234</v>
      </c>
      <c r="M3438" s="920">
        <f t="shared" si="350"/>
        <v>35.972064000000003</v>
      </c>
      <c r="N3438" s="920">
        <f t="shared" si="351"/>
        <v>32.075757575757578</v>
      </c>
      <c r="O3438" s="918" t="str">
        <f t="shared" si="352"/>
        <v>Mar</v>
      </c>
      <c r="P3438" s="921">
        <f t="shared" si="353"/>
        <v>12</v>
      </c>
    </row>
    <row r="3439" spans="1:16" ht="15" hidden="1" customHeight="1">
      <c r="A3439" s="839">
        <v>68709233</v>
      </c>
      <c r="B3439" s="839">
        <v>1352</v>
      </c>
      <c r="C3439" s="906">
        <v>2376</v>
      </c>
      <c r="D3439" s="907">
        <v>46100</v>
      </c>
      <c r="E3439" s="839" t="s">
        <v>426</v>
      </c>
      <c r="F3439" s="839" t="s">
        <v>240</v>
      </c>
      <c r="G3439" s="916">
        <f>VLOOKUP($A3439,'Tech Litons'!$A:$I,8,FALSE)</f>
        <v>8.4960000000000001E-3</v>
      </c>
      <c r="H3439" s="917">
        <f>VLOOKUP($A3439,'Tech Litons'!$A:$I,9,FALSE)</f>
        <v>132</v>
      </c>
      <c r="I3439" s="917" t="str">
        <f>VLOOKUP($A3439,'Tech Litons'!$A:$C,3,0)</f>
        <v>EDF</v>
      </c>
      <c r="J3439" s="918" t="str">
        <f t="shared" si="348"/>
        <v>1352EDF</v>
      </c>
      <c r="K3439" s="919">
        <v>1</v>
      </c>
      <c r="L3439" s="920">
        <f t="shared" si="349"/>
        <v>2376</v>
      </c>
      <c r="M3439" s="920">
        <f t="shared" si="350"/>
        <v>20.186496000000002</v>
      </c>
      <c r="N3439" s="920">
        <f t="shared" si="351"/>
        <v>18</v>
      </c>
      <c r="O3439" s="918" t="str">
        <f t="shared" si="352"/>
        <v>Mar</v>
      </c>
      <c r="P3439" s="921">
        <f t="shared" si="353"/>
        <v>12</v>
      </c>
    </row>
    <row r="3440" spans="1:16" ht="15" hidden="1" customHeight="1">
      <c r="A3440" s="839">
        <v>68709233</v>
      </c>
      <c r="B3440" s="839">
        <v>1352</v>
      </c>
      <c r="C3440" s="906">
        <v>1959</v>
      </c>
      <c r="D3440" s="907">
        <v>46101</v>
      </c>
      <c r="E3440" s="839" t="s">
        <v>426</v>
      </c>
      <c r="F3440" s="839" t="s">
        <v>240</v>
      </c>
      <c r="G3440" s="916">
        <f>VLOOKUP($A3440,'Tech Litons'!$A:$I,8,FALSE)</f>
        <v>8.4960000000000001E-3</v>
      </c>
      <c r="H3440" s="917">
        <f>VLOOKUP($A3440,'Tech Litons'!$A:$I,9,FALSE)</f>
        <v>132</v>
      </c>
      <c r="I3440" s="917" t="str">
        <f>VLOOKUP($A3440,'Tech Litons'!$A:$C,3,0)</f>
        <v>EDF</v>
      </c>
      <c r="J3440" s="918" t="str">
        <f t="shared" si="348"/>
        <v>1352EDF</v>
      </c>
      <c r="K3440" s="919">
        <v>1</v>
      </c>
      <c r="L3440" s="920">
        <f t="shared" si="349"/>
        <v>1959</v>
      </c>
      <c r="M3440" s="920">
        <f t="shared" si="350"/>
        <v>16.643664000000001</v>
      </c>
      <c r="N3440" s="920">
        <f t="shared" si="351"/>
        <v>14.840909090909092</v>
      </c>
      <c r="O3440" s="918" t="str">
        <f t="shared" si="352"/>
        <v>Mar</v>
      </c>
      <c r="P3440" s="921">
        <f t="shared" si="353"/>
        <v>12</v>
      </c>
    </row>
    <row r="3441" spans="1:16" ht="15" hidden="1" customHeight="1">
      <c r="A3441" s="839">
        <v>68709233</v>
      </c>
      <c r="B3441" s="839">
        <v>1352</v>
      </c>
      <c r="C3441" s="906">
        <v>597</v>
      </c>
      <c r="D3441" s="907">
        <v>46101</v>
      </c>
      <c r="E3441" s="839" t="s">
        <v>426</v>
      </c>
      <c r="F3441" s="839" t="s">
        <v>240</v>
      </c>
      <c r="G3441" s="916">
        <f>VLOOKUP($A3441,'Tech Litons'!$A:$I,8,FALSE)</f>
        <v>8.4960000000000001E-3</v>
      </c>
      <c r="H3441" s="917">
        <f>VLOOKUP($A3441,'Tech Litons'!$A:$I,9,FALSE)</f>
        <v>132</v>
      </c>
      <c r="I3441" s="917" t="str">
        <f>VLOOKUP($A3441,'Tech Litons'!$A:$C,3,0)</f>
        <v>EDF</v>
      </c>
      <c r="J3441" s="918" t="str">
        <f t="shared" si="348"/>
        <v>1352EDF</v>
      </c>
      <c r="K3441" s="919">
        <v>1</v>
      </c>
      <c r="L3441" s="920">
        <f t="shared" si="349"/>
        <v>597</v>
      </c>
      <c r="M3441" s="920">
        <f t="shared" si="350"/>
        <v>5.0721119999999997</v>
      </c>
      <c r="N3441" s="920">
        <f t="shared" si="351"/>
        <v>4.5227272727272725</v>
      </c>
      <c r="O3441" s="918" t="str">
        <f t="shared" si="352"/>
        <v>Mar</v>
      </c>
      <c r="P3441" s="921">
        <f t="shared" si="353"/>
        <v>12</v>
      </c>
    </row>
    <row r="3442" spans="1:16" ht="15" hidden="1" customHeight="1">
      <c r="A3442" s="839">
        <v>68709233</v>
      </c>
      <c r="B3442" s="839">
        <v>1352</v>
      </c>
      <c r="C3442" s="906">
        <v>3036</v>
      </c>
      <c r="D3442" s="907">
        <v>46102</v>
      </c>
      <c r="E3442" s="839" t="s">
        <v>426</v>
      </c>
      <c r="F3442" s="839" t="s">
        <v>240</v>
      </c>
      <c r="G3442" s="916">
        <f>VLOOKUP($A3442,'Tech Litons'!$A:$I,8,FALSE)</f>
        <v>8.4960000000000001E-3</v>
      </c>
      <c r="H3442" s="917">
        <f>VLOOKUP($A3442,'Tech Litons'!$A:$I,9,FALSE)</f>
        <v>132</v>
      </c>
      <c r="I3442" s="917" t="str">
        <f>VLOOKUP($A3442,'Tech Litons'!$A:$C,3,0)</f>
        <v>EDF</v>
      </c>
      <c r="J3442" s="918" t="str">
        <f t="shared" ref="J3442:J3505" si="354">B3442&amp;I3442</f>
        <v>1352EDF</v>
      </c>
      <c r="K3442" s="919">
        <v>1</v>
      </c>
      <c r="L3442" s="920">
        <f t="shared" ref="L3442:L3505" si="355">C3442*$K3442</f>
        <v>3036</v>
      </c>
      <c r="M3442" s="920">
        <f t="shared" ref="M3442:M3505" si="356">L3442*G3442</f>
        <v>25.793856000000002</v>
      </c>
      <c r="N3442" s="920">
        <f t="shared" ref="N3442:N3505" si="357">L3442/H3442</f>
        <v>23</v>
      </c>
      <c r="O3442" s="918" t="str">
        <f t="shared" ref="O3442:O3505" si="358">TEXT(D3442,"MMM")</f>
        <v>Mar</v>
      </c>
      <c r="P3442" s="921">
        <f t="shared" ref="P3442:P3505" si="359">WEEKNUM(D3442)</f>
        <v>12</v>
      </c>
    </row>
    <row r="3443" spans="1:16" ht="15" hidden="1" customHeight="1">
      <c r="A3443" s="839">
        <v>68709233</v>
      </c>
      <c r="B3443" s="839">
        <v>1352</v>
      </c>
      <c r="C3443" s="906">
        <v>4241</v>
      </c>
      <c r="D3443" s="907">
        <v>46103</v>
      </c>
      <c r="E3443" s="839" t="s">
        <v>426</v>
      </c>
      <c r="F3443" s="839" t="s">
        <v>240</v>
      </c>
      <c r="G3443" s="916">
        <f>VLOOKUP($A3443,'Tech Litons'!$A:$I,8,FALSE)</f>
        <v>8.4960000000000001E-3</v>
      </c>
      <c r="H3443" s="917">
        <f>VLOOKUP($A3443,'Tech Litons'!$A:$I,9,FALSE)</f>
        <v>132</v>
      </c>
      <c r="I3443" s="917" t="str">
        <f>VLOOKUP($A3443,'Tech Litons'!$A:$C,3,0)</f>
        <v>EDF</v>
      </c>
      <c r="J3443" s="918" t="str">
        <f t="shared" si="354"/>
        <v>1352EDF</v>
      </c>
      <c r="K3443" s="919">
        <v>1</v>
      </c>
      <c r="L3443" s="920">
        <f t="shared" si="355"/>
        <v>4241</v>
      </c>
      <c r="M3443" s="920">
        <f t="shared" si="356"/>
        <v>36.031536000000003</v>
      </c>
      <c r="N3443" s="920">
        <f t="shared" si="357"/>
        <v>32.128787878787875</v>
      </c>
      <c r="O3443" s="918" t="str">
        <f t="shared" si="358"/>
        <v>Mar</v>
      </c>
      <c r="P3443" s="921">
        <f t="shared" si="359"/>
        <v>13</v>
      </c>
    </row>
    <row r="3444" spans="1:16" ht="15" hidden="1" customHeight="1">
      <c r="A3444" s="839">
        <v>68709233</v>
      </c>
      <c r="B3444" s="839">
        <v>1352</v>
      </c>
      <c r="C3444" s="906">
        <v>3432</v>
      </c>
      <c r="D3444" s="907">
        <v>46103</v>
      </c>
      <c r="E3444" s="839" t="s">
        <v>426</v>
      </c>
      <c r="F3444" s="839" t="s">
        <v>240</v>
      </c>
      <c r="G3444" s="916">
        <f>VLOOKUP($A3444,'Tech Litons'!$A:$I,8,FALSE)</f>
        <v>8.4960000000000001E-3</v>
      </c>
      <c r="H3444" s="917">
        <f>VLOOKUP($A3444,'Tech Litons'!$A:$I,9,FALSE)</f>
        <v>132</v>
      </c>
      <c r="I3444" s="917" t="str">
        <f>VLOOKUP($A3444,'Tech Litons'!$A:$C,3,0)</f>
        <v>EDF</v>
      </c>
      <c r="J3444" s="918" t="str">
        <f t="shared" si="354"/>
        <v>1352EDF</v>
      </c>
      <c r="K3444" s="919">
        <v>1</v>
      </c>
      <c r="L3444" s="920">
        <f t="shared" si="355"/>
        <v>3432</v>
      </c>
      <c r="M3444" s="920">
        <f t="shared" si="356"/>
        <v>29.158272</v>
      </c>
      <c r="N3444" s="920">
        <f t="shared" si="357"/>
        <v>26</v>
      </c>
      <c r="O3444" s="918" t="str">
        <f t="shared" si="358"/>
        <v>Mar</v>
      </c>
      <c r="P3444" s="921">
        <f t="shared" si="359"/>
        <v>13</v>
      </c>
    </row>
    <row r="3445" spans="1:16" ht="15" hidden="1" customHeight="1">
      <c r="A3445" s="839">
        <v>68709233</v>
      </c>
      <c r="B3445" s="839">
        <v>1352</v>
      </c>
      <c r="C3445" s="906">
        <v>4863</v>
      </c>
      <c r="D3445" s="907">
        <v>46104</v>
      </c>
      <c r="E3445" s="839" t="s">
        <v>426</v>
      </c>
      <c r="F3445" s="839" t="s">
        <v>240</v>
      </c>
      <c r="G3445" s="916">
        <f>VLOOKUP($A3445,'Tech Litons'!$A:$I,8,FALSE)</f>
        <v>8.4960000000000001E-3</v>
      </c>
      <c r="H3445" s="917">
        <f>VLOOKUP($A3445,'Tech Litons'!$A:$I,9,FALSE)</f>
        <v>132</v>
      </c>
      <c r="I3445" s="917" t="str">
        <f>VLOOKUP($A3445,'Tech Litons'!$A:$C,3,0)</f>
        <v>EDF</v>
      </c>
      <c r="J3445" s="918" t="str">
        <f t="shared" si="354"/>
        <v>1352EDF</v>
      </c>
      <c r="K3445" s="919">
        <v>1</v>
      </c>
      <c r="L3445" s="920">
        <f t="shared" si="355"/>
        <v>4863</v>
      </c>
      <c r="M3445" s="920">
        <f t="shared" si="356"/>
        <v>41.316048000000002</v>
      </c>
      <c r="N3445" s="920">
        <f t="shared" si="357"/>
        <v>36.840909090909093</v>
      </c>
      <c r="O3445" s="918" t="str">
        <f t="shared" si="358"/>
        <v>Mar</v>
      </c>
      <c r="P3445" s="921">
        <f t="shared" si="359"/>
        <v>13</v>
      </c>
    </row>
    <row r="3446" spans="1:16" ht="15" hidden="1" customHeight="1">
      <c r="A3446" s="839">
        <v>68709233</v>
      </c>
      <c r="B3446" s="839">
        <v>1352</v>
      </c>
      <c r="C3446" s="906">
        <v>3168</v>
      </c>
      <c r="D3446" s="907">
        <v>46100</v>
      </c>
      <c r="E3446" s="839" t="s">
        <v>426</v>
      </c>
      <c r="F3446" s="839" t="s">
        <v>242</v>
      </c>
      <c r="G3446" s="916">
        <f>VLOOKUP($A3446,'Tech Litons'!$A:$I,8,FALSE)</f>
        <v>8.4960000000000001E-3</v>
      </c>
      <c r="H3446" s="917">
        <f>VLOOKUP($A3446,'Tech Litons'!$A:$I,9,FALSE)</f>
        <v>132</v>
      </c>
      <c r="I3446" s="917" t="str">
        <f>VLOOKUP($A3446,'Tech Litons'!$A:$C,3,0)</f>
        <v>EDF</v>
      </c>
      <c r="J3446" s="918" t="str">
        <f t="shared" si="354"/>
        <v>1352EDF</v>
      </c>
      <c r="K3446" s="919">
        <v>1</v>
      </c>
      <c r="L3446" s="920">
        <f t="shared" si="355"/>
        <v>3168</v>
      </c>
      <c r="M3446" s="920">
        <f t="shared" si="356"/>
        <v>26.915327999999999</v>
      </c>
      <c r="N3446" s="920">
        <f t="shared" si="357"/>
        <v>24</v>
      </c>
      <c r="O3446" s="918" t="str">
        <f t="shared" si="358"/>
        <v>Mar</v>
      </c>
      <c r="P3446" s="921">
        <f t="shared" si="359"/>
        <v>12</v>
      </c>
    </row>
    <row r="3447" spans="1:16" ht="15" hidden="1" customHeight="1">
      <c r="A3447" s="839">
        <v>68709233</v>
      </c>
      <c r="B3447" s="839">
        <v>1352</v>
      </c>
      <c r="C3447" s="906">
        <v>4181</v>
      </c>
      <c r="D3447" s="907">
        <v>46101</v>
      </c>
      <c r="E3447" s="839" t="s">
        <v>426</v>
      </c>
      <c r="F3447" s="839" t="s">
        <v>242</v>
      </c>
      <c r="G3447" s="916">
        <f>VLOOKUP($A3447,'Tech Litons'!$A:$I,8,FALSE)</f>
        <v>8.4960000000000001E-3</v>
      </c>
      <c r="H3447" s="917">
        <f>VLOOKUP($A3447,'Tech Litons'!$A:$I,9,FALSE)</f>
        <v>132</v>
      </c>
      <c r="I3447" s="917" t="str">
        <f>VLOOKUP($A3447,'Tech Litons'!$A:$C,3,0)</f>
        <v>EDF</v>
      </c>
      <c r="J3447" s="918" t="str">
        <f t="shared" si="354"/>
        <v>1352EDF</v>
      </c>
      <c r="K3447" s="919">
        <v>1</v>
      </c>
      <c r="L3447" s="920">
        <f t="shared" si="355"/>
        <v>4181</v>
      </c>
      <c r="M3447" s="920">
        <f t="shared" si="356"/>
        <v>35.521776000000003</v>
      </c>
      <c r="N3447" s="920">
        <f t="shared" si="357"/>
        <v>31.674242424242426</v>
      </c>
      <c r="O3447" s="918" t="str">
        <f t="shared" si="358"/>
        <v>Mar</v>
      </c>
      <c r="P3447" s="921">
        <f t="shared" si="359"/>
        <v>12</v>
      </c>
    </row>
    <row r="3448" spans="1:16" ht="15" hidden="1" customHeight="1">
      <c r="A3448" s="839">
        <v>68709233</v>
      </c>
      <c r="B3448" s="839">
        <v>1352</v>
      </c>
      <c r="C3448" s="906">
        <v>264</v>
      </c>
      <c r="D3448" s="907">
        <v>46101</v>
      </c>
      <c r="E3448" s="839" t="s">
        <v>426</v>
      </c>
      <c r="F3448" s="839" t="s">
        <v>240</v>
      </c>
      <c r="G3448" s="916">
        <f>VLOOKUP($A3448,'Tech Litons'!$A:$I,8,FALSE)</f>
        <v>8.4960000000000001E-3</v>
      </c>
      <c r="H3448" s="917">
        <f>VLOOKUP($A3448,'Tech Litons'!$A:$I,9,FALSE)</f>
        <v>132</v>
      </c>
      <c r="I3448" s="917" t="str">
        <f>VLOOKUP($A3448,'Tech Litons'!$A:$C,3,0)</f>
        <v>EDF</v>
      </c>
      <c r="J3448" s="918" t="str">
        <f t="shared" si="354"/>
        <v>1352EDF</v>
      </c>
      <c r="K3448" s="919">
        <v>1</v>
      </c>
      <c r="L3448" s="920">
        <f t="shared" si="355"/>
        <v>264</v>
      </c>
      <c r="M3448" s="920">
        <f t="shared" si="356"/>
        <v>2.242944</v>
      </c>
      <c r="N3448" s="920">
        <f t="shared" si="357"/>
        <v>2</v>
      </c>
      <c r="O3448" s="918" t="str">
        <f t="shared" si="358"/>
        <v>Mar</v>
      </c>
      <c r="P3448" s="921">
        <f t="shared" si="359"/>
        <v>12</v>
      </c>
    </row>
    <row r="3449" spans="1:16" ht="15" hidden="1" customHeight="1">
      <c r="A3449" s="839">
        <v>68709233</v>
      </c>
      <c r="B3449" s="839">
        <v>1352</v>
      </c>
      <c r="C3449" s="906">
        <v>3918</v>
      </c>
      <c r="D3449" s="907">
        <v>46102</v>
      </c>
      <c r="E3449" s="839" t="s">
        <v>426</v>
      </c>
      <c r="F3449" s="839" t="s">
        <v>240</v>
      </c>
      <c r="G3449" s="916">
        <f>VLOOKUP($A3449,'Tech Litons'!$A:$I,8,FALSE)</f>
        <v>8.4960000000000001E-3</v>
      </c>
      <c r="H3449" s="917">
        <f>VLOOKUP($A3449,'Tech Litons'!$A:$I,9,FALSE)</f>
        <v>132</v>
      </c>
      <c r="I3449" s="917" t="str">
        <f>VLOOKUP($A3449,'Tech Litons'!$A:$C,3,0)</f>
        <v>EDF</v>
      </c>
      <c r="J3449" s="918" t="str">
        <f t="shared" si="354"/>
        <v>1352EDF</v>
      </c>
      <c r="K3449" s="919">
        <v>1</v>
      </c>
      <c r="L3449" s="920">
        <f t="shared" si="355"/>
        <v>3918</v>
      </c>
      <c r="M3449" s="920">
        <f t="shared" si="356"/>
        <v>33.287328000000002</v>
      </c>
      <c r="N3449" s="920">
        <f t="shared" si="357"/>
        <v>29.681818181818183</v>
      </c>
      <c r="O3449" s="918" t="str">
        <f t="shared" si="358"/>
        <v>Mar</v>
      </c>
      <c r="P3449" s="921">
        <f t="shared" si="359"/>
        <v>12</v>
      </c>
    </row>
    <row r="3450" spans="1:16" ht="15" hidden="1" customHeight="1">
      <c r="A3450" s="839">
        <v>68709237</v>
      </c>
      <c r="B3450" s="839">
        <v>1352</v>
      </c>
      <c r="C3450" s="906">
        <v>155</v>
      </c>
      <c r="D3450" s="907">
        <v>46079</v>
      </c>
      <c r="E3450" s="839" t="s">
        <v>459</v>
      </c>
      <c r="F3450" s="839" t="s">
        <v>241</v>
      </c>
      <c r="G3450" s="916">
        <f>VLOOKUP($A3450,'Tech Litons'!$A:$I,8,FALSE)</f>
        <v>9.5760000000000012E-3</v>
      </c>
      <c r="H3450" s="917">
        <f>VLOOKUP($A3450,'Tech Litons'!$A:$I,9,FALSE)</f>
        <v>132</v>
      </c>
      <c r="I3450" s="917" t="str">
        <f>VLOOKUP($A3450,'Tech Litons'!$A:$C,3,0)</f>
        <v>EDF</v>
      </c>
      <c r="J3450" s="918" t="str">
        <f t="shared" si="354"/>
        <v>1352EDF</v>
      </c>
      <c r="K3450" s="919">
        <v>1</v>
      </c>
      <c r="L3450" s="920">
        <f t="shared" si="355"/>
        <v>155</v>
      </c>
      <c r="M3450" s="920">
        <f t="shared" si="356"/>
        <v>1.4842800000000003</v>
      </c>
      <c r="N3450" s="920">
        <f t="shared" si="357"/>
        <v>1.1742424242424243</v>
      </c>
      <c r="O3450" s="918" t="str">
        <f t="shared" si="358"/>
        <v>Feb</v>
      </c>
      <c r="P3450" s="921">
        <f t="shared" si="359"/>
        <v>9</v>
      </c>
    </row>
    <row r="3451" spans="1:16" ht="15" hidden="1" customHeight="1">
      <c r="A3451" s="839">
        <v>68710277</v>
      </c>
      <c r="B3451" s="839">
        <v>1352</v>
      </c>
      <c r="C3451" s="906">
        <v>2267</v>
      </c>
      <c r="D3451" s="907">
        <v>46085</v>
      </c>
      <c r="E3451" s="839" t="s">
        <v>533</v>
      </c>
      <c r="F3451" s="839" t="s">
        <v>242</v>
      </c>
      <c r="G3451" s="916">
        <f>VLOOKUP($A3451,'Tech Litons'!$A:$I,8,FALSE)</f>
        <v>8.5199999999999998E-3</v>
      </c>
      <c r="H3451" s="917">
        <f>VLOOKUP($A3451,'Tech Litons'!$A:$I,9,FALSE)</f>
        <v>132</v>
      </c>
      <c r="I3451" s="917" t="str">
        <f>VLOOKUP($A3451,'Tech Litons'!$A:$C,3,0)</f>
        <v>EDF</v>
      </c>
      <c r="J3451" s="918" t="str">
        <f t="shared" si="354"/>
        <v>1352EDF</v>
      </c>
      <c r="K3451" s="919">
        <v>1</v>
      </c>
      <c r="L3451" s="920">
        <f t="shared" si="355"/>
        <v>2267</v>
      </c>
      <c r="M3451" s="920">
        <f t="shared" si="356"/>
        <v>19.31484</v>
      </c>
      <c r="N3451" s="920">
        <f t="shared" si="357"/>
        <v>17.174242424242426</v>
      </c>
      <c r="O3451" s="918" t="str">
        <f t="shared" si="358"/>
        <v>Mar</v>
      </c>
      <c r="P3451" s="921">
        <f t="shared" si="359"/>
        <v>10</v>
      </c>
    </row>
    <row r="3452" spans="1:16" ht="15" hidden="1" customHeight="1">
      <c r="A3452" s="839">
        <v>68710277</v>
      </c>
      <c r="B3452" s="839">
        <v>1352</v>
      </c>
      <c r="C3452" s="906">
        <v>2508</v>
      </c>
      <c r="D3452" s="907">
        <v>46085</v>
      </c>
      <c r="E3452" s="839" t="s">
        <v>533</v>
      </c>
      <c r="F3452" s="839" t="s">
        <v>242</v>
      </c>
      <c r="G3452" s="916">
        <f>VLOOKUP($A3452,'Tech Litons'!$A:$I,8,FALSE)</f>
        <v>8.5199999999999998E-3</v>
      </c>
      <c r="H3452" s="917">
        <f>VLOOKUP($A3452,'Tech Litons'!$A:$I,9,FALSE)</f>
        <v>132</v>
      </c>
      <c r="I3452" s="917" t="str">
        <f>VLOOKUP($A3452,'Tech Litons'!$A:$C,3,0)</f>
        <v>EDF</v>
      </c>
      <c r="J3452" s="918" t="str">
        <f t="shared" si="354"/>
        <v>1352EDF</v>
      </c>
      <c r="K3452" s="919">
        <v>1</v>
      </c>
      <c r="L3452" s="920">
        <f t="shared" si="355"/>
        <v>2508</v>
      </c>
      <c r="M3452" s="920">
        <f t="shared" si="356"/>
        <v>21.36816</v>
      </c>
      <c r="N3452" s="920">
        <f t="shared" si="357"/>
        <v>19</v>
      </c>
      <c r="O3452" s="918" t="str">
        <f t="shared" si="358"/>
        <v>Mar</v>
      </c>
      <c r="P3452" s="921">
        <f t="shared" si="359"/>
        <v>10</v>
      </c>
    </row>
    <row r="3453" spans="1:16" ht="15" hidden="1" customHeight="1">
      <c r="A3453" s="839">
        <v>68710277</v>
      </c>
      <c r="B3453" s="839">
        <v>1352</v>
      </c>
      <c r="C3453" s="906">
        <v>4612</v>
      </c>
      <c r="D3453" s="907">
        <v>46086</v>
      </c>
      <c r="E3453" s="839" t="s">
        <v>533</v>
      </c>
      <c r="F3453" s="839" t="s">
        <v>242</v>
      </c>
      <c r="G3453" s="916">
        <f>VLOOKUP($A3453,'Tech Litons'!$A:$I,8,FALSE)</f>
        <v>8.5199999999999998E-3</v>
      </c>
      <c r="H3453" s="917">
        <f>VLOOKUP($A3453,'Tech Litons'!$A:$I,9,FALSE)</f>
        <v>132</v>
      </c>
      <c r="I3453" s="917" t="str">
        <f>VLOOKUP($A3453,'Tech Litons'!$A:$C,3,0)</f>
        <v>EDF</v>
      </c>
      <c r="J3453" s="918" t="str">
        <f t="shared" si="354"/>
        <v>1352EDF</v>
      </c>
      <c r="K3453" s="919">
        <v>1</v>
      </c>
      <c r="L3453" s="920">
        <f t="shared" si="355"/>
        <v>4612</v>
      </c>
      <c r="M3453" s="920">
        <f t="shared" si="356"/>
        <v>39.294240000000002</v>
      </c>
      <c r="N3453" s="920">
        <f t="shared" si="357"/>
        <v>34.939393939393938</v>
      </c>
      <c r="O3453" s="918" t="str">
        <f t="shared" si="358"/>
        <v>Mar</v>
      </c>
      <c r="P3453" s="921">
        <f t="shared" si="359"/>
        <v>10</v>
      </c>
    </row>
    <row r="3454" spans="1:16" ht="15" hidden="1" customHeight="1">
      <c r="A3454" s="839">
        <v>68710277</v>
      </c>
      <c r="B3454" s="839">
        <v>1352</v>
      </c>
      <c r="C3454" s="906">
        <v>2244</v>
      </c>
      <c r="D3454" s="907">
        <v>46086</v>
      </c>
      <c r="E3454" s="839" t="s">
        <v>533</v>
      </c>
      <c r="F3454" s="839" t="s">
        <v>242</v>
      </c>
      <c r="G3454" s="916">
        <f>VLOOKUP($A3454,'Tech Litons'!$A:$I,8,FALSE)</f>
        <v>8.5199999999999998E-3</v>
      </c>
      <c r="H3454" s="917">
        <f>VLOOKUP($A3454,'Tech Litons'!$A:$I,9,FALSE)</f>
        <v>132</v>
      </c>
      <c r="I3454" s="917" t="str">
        <f>VLOOKUP($A3454,'Tech Litons'!$A:$C,3,0)</f>
        <v>EDF</v>
      </c>
      <c r="J3454" s="918" t="str">
        <f t="shared" si="354"/>
        <v>1352EDF</v>
      </c>
      <c r="K3454" s="919">
        <v>1</v>
      </c>
      <c r="L3454" s="920">
        <f t="shared" si="355"/>
        <v>2244</v>
      </c>
      <c r="M3454" s="920">
        <f t="shared" si="356"/>
        <v>19.118880000000001</v>
      </c>
      <c r="N3454" s="920">
        <f t="shared" si="357"/>
        <v>17</v>
      </c>
      <c r="O3454" s="918" t="str">
        <f t="shared" si="358"/>
        <v>Mar</v>
      </c>
      <c r="P3454" s="921">
        <f t="shared" si="359"/>
        <v>10</v>
      </c>
    </row>
    <row r="3455" spans="1:16" ht="15" hidden="1" customHeight="1">
      <c r="A3455" s="839">
        <v>68710277</v>
      </c>
      <c r="B3455" s="839">
        <v>1352</v>
      </c>
      <c r="C3455" s="906">
        <v>2315</v>
      </c>
      <c r="D3455" s="907">
        <v>46087</v>
      </c>
      <c r="E3455" s="839" t="s">
        <v>533</v>
      </c>
      <c r="F3455" s="839" t="s">
        <v>242</v>
      </c>
      <c r="G3455" s="916">
        <f>VLOOKUP($A3455,'Tech Litons'!$A:$I,8,FALSE)</f>
        <v>8.5199999999999998E-3</v>
      </c>
      <c r="H3455" s="917">
        <f>VLOOKUP($A3455,'Tech Litons'!$A:$I,9,FALSE)</f>
        <v>132</v>
      </c>
      <c r="I3455" s="917" t="str">
        <f>VLOOKUP($A3455,'Tech Litons'!$A:$C,3,0)</f>
        <v>EDF</v>
      </c>
      <c r="J3455" s="918" t="str">
        <f t="shared" si="354"/>
        <v>1352EDF</v>
      </c>
      <c r="K3455" s="919">
        <v>1</v>
      </c>
      <c r="L3455" s="920">
        <f t="shared" si="355"/>
        <v>2315</v>
      </c>
      <c r="M3455" s="920">
        <f t="shared" si="356"/>
        <v>19.723800000000001</v>
      </c>
      <c r="N3455" s="920">
        <f t="shared" si="357"/>
        <v>17.537878787878789</v>
      </c>
      <c r="O3455" s="918" t="str">
        <f t="shared" si="358"/>
        <v>Mar</v>
      </c>
      <c r="P3455" s="921">
        <f t="shared" si="359"/>
        <v>10</v>
      </c>
    </row>
    <row r="3456" spans="1:16" ht="15" hidden="1" customHeight="1">
      <c r="A3456" s="839">
        <v>68710277</v>
      </c>
      <c r="B3456" s="839">
        <v>1352</v>
      </c>
      <c r="C3456" s="906">
        <v>1848</v>
      </c>
      <c r="D3456" s="907">
        <v>46087</v>
      </c>
      <c r="E3456" s="839" t="s">
        <v>533</v>
      </c>
      <c r="F3456" s="839" t="s">
        <v>242</v>
      </c>
      <c r="G3456" s="916">
        <f>VLOOKUP($A3456,'Tech Litons'!$A:$I,8,FALSE)</f>
        <v>8.5199999999999998E-3</v>
      </c>
      <c r="H3456" s="917">
        <f>VLOOKUP($A3456,'Tech Litons'!$A:$I,9,FALSE)</f>
        <v>132</v>
      </c>
      <c r="I3456" s="917" t="str">
        <f>VLOOKUP($A3456,'Tech Litons'!$A:$C,3,0)</f>
        <v>EDF</v>
      </c>
      <c r="J3456" s="918" t="str">
        <f t="shared" si="354"/>
        <v>1352EDF</v>
      </c>
      <c r="K3456" s="919">
        <v>1</v>
      </c>
      <c r="L3456" s="920">
        <f t="shared" si="355"/>
        <v>1848</v>
      </c>
      <c r="M3456" s="920">
        <f t="shared" si="356"/>
        <v>15.744959999999999</v>
      </c>
      <c r="N3456" s="920">
        <f t="shared" si="357"/>
        <v>14</v>
      </c>
      <c r="O3456" s="918" t="str">
        <f t="shared" si="358"/>
        <v>Mar</v>
      </c>
      <c r="P3456" s="921">
        <f t="shared" si="359"/>
        <v>10</v>
      </c>
    </row>
    <row r="3457" spans="1:16" ht="15" hidden="1" customHeight="1">
      <c r="A3457" s="839">
        <v>68710277</v>
      </c>
      <c r="B3457" s="839">
        <v>1352</v>
      </c>
      <c r="C3457" s="906">
        <v>1247</v>
      </c>
      <c r="D3457" s="907">
        <v>46088</v>
      </c>
      <c r="E3457" s="839" t="s">
        <v>533</v>
      </c>
      <c r="F3457" s="839" t="s">
        <v>242</v>
      </c>
      <c r="G3457" s="916">
        <f>VLOOKUP($A3457,'Tech Litons'!$A:$I,8,FALSE)</f>
        <v>8.5199999999999998E-3</v>
      </c>
      <c r="H3457" s="917">
        <f>VLOOKUP($A3457,'Tech Litons'!$A:$I,9,FALSE)</f>
        <v>132</v>
      </c>
      <c r="I3457" s="917" t="str">
        <f>VLOOKUP($A3457,'Tech Litons'!$A:$C,3,0)</f>
        <v>EDF</v>
      </c>
      <c r="J3457" s="918" t="str">
        <f t="shared" si="354"/>
        <v>1352EDF</v>
      </c>
      <c r="K3457" s="919">
        <v>1</v>
      </c>
      <c r="L3457" s="920">
        <f t="shared" si="355"/>
        <v>1247</v>
      </c>
      <c r="M3457" s="920">
        <f t="shared" si="356"/>
        <v>10.62444</v>
      </c>
      <c r="N3457" s="920">
        <f t="shared" si="357"/>
        <v>9.4469696969696972</v>
      </c>
      <c r="O3457" s="918" t="str">
        <f t="shared" si="358"/>
        <v>Mar</v>
      </c>
      <c r="P3457" s="921">
        <f t="shared" si="359"/>
        <v>10</v>
      </c>
    </row>
    <row r="3458" spans="1:16" ht="15" hidden="1" customHeight="1">
      <c r="A3458" s="839">
        <v>68710277</v>
      </c>
      <c r="B3458" s="839">
        <v>1352</v>
      </c>
      <c r="C3458" s="906">
        <v>2508</v>
      </c>
      <c r="D3458" s="907">
        <v>46088</v>
      </c>
      <c r="E3458" s="839" t="s">
        <v>533</v>
      </c>
      <c r="F3458" s="839" t="s">
        <v>242</v>
      </c>
      <c r="G3458" s="916">
        <f>VLOOKUP($A3458,'Tech Litons'!$A:$I,8,FALSE)</f>
        <v>8.5199999999999998E-3</v>
      </c>
      <c r="H3458" s="917">
        <f>VLOOKUP($A3458,'Tech Litons'!$A:$I,9,FALSE)</f>
        <v>132</v>
      </c>
      <c r="I3458" s="917" t="str">
        <f>VLOOKUP($A3458,'Tech Litons'!$A:$C,3,0)</f>
        <v>EDF</v>
      </c>
      <c r="J3458" s="918" t="str">
        <f t="shared" si="354"/>
        <v>1352EDF</v>
      </c>
      <c r="K3458" s="919">
        <v>1</v>
      </c>
      <c r="L3458" s="920">
        <f t="shared" si="355"/>
        <v>2508</v>
      </c>
      <c r="M3458" s="920">
        <f t="shared" si="356"/>
        <v>21.36816</v>
      </c>
      <c r="N3458" s="920">
        <f t="shared" si="357"/>
        <v>19</v>
      </c>
      <c r="O3458" s="918" t="str">
        <f t="shared" si="358"/>
        <v>Mar</v>
      </c>
      <c r="P3458" s="921">
        <f t="shared" si="359"/>
        <v>10</v>
      </c>
    </row>
    <row r="3459" spans="1:16" ht="15" hidden="1" customHeight="1">
      <c r="A3459" s="839">
        <v>68710277</v>
      </c>
      <c r="B3459" s="839">
        <v>1352</v>
      </c>
      <c r="C3459" s="906">
        <v>3205</v>
      </c>
      <c r="D3459" s="907">
        <v>46089</v>
      </c>
      <c r="E3459" s="839" t="s">
        <v>533</v>
      </c>
      <c r="F3459" s="839" t="s">
        <v>242</v>
      </c>
      <c r="G3459" s="916">
        <f>VLOOKUP($A3459,'Tech Litons'!$A:$I,8,FALSE)</f>
        <v>8.5199999999999998E-3</v>
      </c>
      <c r="H3459" s="917">
        <f>VLOOKUP($A3459,'Tech Litons'!$A:$I,9,FALSE)</f>
        <v>132</v>
      </c>
      <c r="I3459" s="917" t="str">
        <f>VLOOKUP($A3459,'Tech Litons'!$A:$C,3,0)</f>
        <v>EDF</v>
      </c>
      <c r="J3459" s="918" t="str">
        <f t="shared" si="354"/>
        <v>1352EDF</v>
      </c>
      <c r="K3459" s="919">
        <v>1</v>
      </c>
      <c r="L3459" s="920">
        <f t="shared" si="355"/>
        <v>3205</v>
      </c>
      <c r="M3459" s="920">
        <f t="shared" si="356"/>
        <v>27.3066</v>
      </c>
      <c r="N3459" s="920">
        <f t="shared" si="357"/>
        <v>24.280303030303031</v>
      </c>
      <c r="O3459" s="918" t="str">
        <f t="shared" si="358"/>
        <v>Mar</v>
      </c>
      <c r="P3459" s="921">
        <f t="shared" si="359"/>
        <v>11</v>
      </c>
    </row>
    <row r="3460" spans="1:16" ht="15" hidden="1" customHeight="1">
      <c r="A3460" s="839">
        <v>68710277</v>
      </c>
      <c r="B3460" s="839">
        <v>1352</v>
      </c>
      <c r="C3460" s="906">
        <v>2640</v>
      </c>
      <c r="D3460" s="907">
        <v>46089</v>
      </c>
      <c r="E3460" s="839" t="s">
        <v>533</v>
      </c>
      <c r="F3460" s="839" t="s">
        <v>242</v>
      </c>
      <c r="G3460" s="916">
        <f>VLOOKUP($A3460,'Tech Litons'!$A:$I,8,FALSE)</f>
        <v>8.5199999999999998E-3</v>
      </c>
      <c r="H3460" s="917">
        <f>VLOOKUP($A3460,'Tech Litons'!$A:$I,9,FALSE)</f>
        <v>132</v>
      </c>
      <c r="I3460" s="917" t="str">
        <f>VLOOKUP($A3460,'Tech Litons'!$A:$C,3,0)</f>
        <v>EDF</v>
      </c>
      <c r="J3460" s="918" t="str">
        <f t="shared" si="354"/>
        <v>1352EDF</v>
      </c>
      <c r="K3460" s="919">
        <v>1</v>
      </c>
      <c r="L3460" s="920">
        <f t="shared" si="355"/>
        <v>2640</v>
      </c>
      <c r="M3460" s="920">
        <f t="shared" si="356"/>
        <v>22.492799999999999</v>
      </c>
      <c r="N3460" s="920">
        <f t="shared" si="357"/>
        <v>20</v>
      </c>
      <c r="O3460" s="918" t="str">
        <f t="shared" si="358"/>
        <v>Mar</v>
      </c>
      <c r="P3460" s="921">
        <f t="shared" si="359"/>
        <v>11</v>
      </c>
    </row>
    <row r="3461" spans="1:16" ht="15" hidden="1" customHeight="1">
      <c r="A3461" s="839">
        <v>68710277</v>
      </c>
      <c r="B3461" s="839">
        <v>1352</v>
      </c>
      <c r="C3461" s="906">
        <v>3118</v>
      </c>
      <c r="D3461" s="907">
        <v>46090</v>
      </c>
      <c r="E3461" s="839" t="s">
        <v>533</v>
      </c>
      <c r="F3461" s="839" t="s">
        <v>242</v>
      </c>
      <c r="G3461" s="916">
        <f>VLOOKUP($A3461,'Tech Litons'!$A:$I,8,FALSE)</f>
        <v>8.5199999999999998E-3</v>
      </c>
      <c r="H3461" s="917">
        <f>VLOOKUP($A3461,'Tech Litons'!$A:$I,9,FALSE)</f>
        <v>132</v>
      </c>
      <c r="I3461" s="917" t="str">
        <f>VLOOKUP($A3461,'Tech Litons'!$A:$C,3,0)</f>
        <v>EDF</v>
      </c>
      <c r="J3461" s="918" t="str">
        <f t="shared" si="354"/>
        <v>1352EDF</v>
      </c>
      <c r="K3461" s="919">
        <v>1</v>
      </c>
      <c r="L3461" s="920">
        <f t="shared" si="355"/>
        <v>3118</v>
      </c>
      <c r="M3461" s="920">
        <f t="shared" si="356"/>
        <v>26.565359999999998</v>
      </c>
      <c r="N3461" s="920">
        <f t="shared" si="357"/>
        <v>23.621212121212121</v>
      </c>
      <c r="O3461" s="918" t="str">
        <f t="shared" si="358"/>
        <v>Mar</v>
      </c>
      <c r="P3461" s="921">
        <f t="shared" si="359"/>
        <v>11</v>
      </c>
    </row>
    <row r="3462" spans="1:16" ht="15" hidden="1" customHeight="1">
      <c r="A3462" s="839">
        <v>68710277</v>
      </c>
      <c r="B3462" s="839">
        <v>1352</v>
      </c>
      <c r="C3462" s="906">
        <v>2904</v>
      </c>
      <c r="D3462" s="907">
        <v>46090</v>
      </c>
      <c r="E3462" s="839" t="s">
        <v>533</v>
      </c>
      <c r="F3462" s="839" t="s">
        <v>242</v>
      </c>
      <c r="G3462" s="916">
        <f>VLOOKUP($A3462,'Tech Litons'!$A:$I,8,FALSE)</f>
        <v>8.5199999999999998E-3</v>
      </c>
      <c r="H3462" s="917">
        <f>VLOOKUP($A3462,'Tech Litons'!$A:$I,9,FALSE)</f>
        <v>132</v>
      </c>
      <c r="I3462" s="917" t="str">
        <f>VLOOKUP($A3462,'Tech Litons'!$A:$C,3,0)</f>
        <v>EDF</v>
      </c>
      <c r="J3462" s="918" t="str">
        <f t="shared" si="354"/>
        <v>1352EDF</v>
      </c>
      <c r="K3462" s="919">
        <v>1</v>
      </c>
      <c r="L3462" s="920">
        <f t="shared" si="355"/>
        <v>2904</v>
      </c>
      <c r="M3462" s="920">
        <f t="shared" si="356"/>
        <v>24.742079999999998</v>
      </c>
      <c r="N3462" s="920">
        <f t="shared" si="357"/>
        <v>22</v>
      </c>
      <c r="O3462" s="918" t="str">
        <f t="shared" si="358"/>
        <v>Mar</v>
      </c>
      <c r="P3462" s="921">
        <f t="shared" si="359"/>
        <v>11</v>
      </c>
    </row>
    <row r="3463" spans="1:16" ht="15" hidden="1" customHeight="1">
      <c r="A3463" s="839">
        <v>68710277</v>
      </c>
      <c r="B3463" s="839">
        <v>1352</v>
      </c>
      <c r="C3463" s="906">
        <v>1503</v>
      </c>
      <c r="D3463" s="907">
        <v>46091</v>
      </c>
      <c r="E3463" s="839" t="s">
        <v>533</v>
      </c>
      <c r="F3463" s="839" t="s">
        <v>242</v>
      </c>
      <c r="G3463" s="916">
        <f>VLOOKUP($A3463,'Tech Litons'!$A:$I,8,FALSE)</f>
        <v>8.5199999999999998E-3</v>
      </c>
      <c r="H3463" s="917">
        <f>VLOOKUP($A3463,'Tech Litons'!$A:$I,9,FALSE)</f>
        <v>132</v>
      </c>
      <c r="I3463" s="917" t="str">
        <f>VLOOKUP($A3463,'Tech Litons'!$A:$C,3,0)</f>
        <v>EDF</v>
      </c>
      <c r="J3463" s="918" t="str">
        <f t="shared" si="354"/>
        <v>1352EDF</v>
      </c>
      <c r="K3463" s="919">
        <v>1</v>
      </c>
      <c r="L3463" s="920">
        <f t="shared" si="355"/>
        <v>1503</v>
      </c>
      <c r="M3463" s="920">
        <f t="shared" si="356"/>
        <v>12.80556</v>
      </c>
      <c r="N3463" s="920">
        <f t="shared" si="357"/>
        <v>11.386363636363637</v>
      </c>
      <c r="O3463" s="918" t="str">
        <f t="shared" si="358"/>
        <v>Mar</v>
      </c>
      <c r="P3463" s="921">
        <f t="shared" si="359"/>
        <v>11</v>
      </c>
    </row>
    <row r="3464" spans="1:16" ht="15" hidden="1" customHeight="1">
      <c r="A3464" s="839">
        <v>68710277</v>
      </c>
      <c r="B3464" s="839">
        <v>1352</v>
      </c>
      <c r="C3464" s="906">
        <v>2640</v>
      </c>
      <c r="D3464" s="907">
        <v>46091</v>
      </c>
      <c r="E3464" s="839" t="s">
        <v>533</v>
      </c>
      <c r="F3464" s="839" t="s">
        <v>242</v>
      </c>
      <c r="G3464" s="916">
        <f>VLOOKUP($A3464,'Tech Litons'!$A:$I,8,FALSE)</f>
        <v>8.5199999999999998E-3</v>
      </c>
      <c r="H3464" s="917">
        <f>VLOOKUP($A3464,'Tech Litons'!$A:$I,9,FALSE)</f>
        <v>132</v>
      </c>
      <c r="I3464" s="917" t="str">
        <f>VLOOKUP($A3464,'Tech Litons'!$A:$C,3,0)</f>
        <v>EDF</v>
      </c>
      <c r="J3464" s="918" t="str">
        <f t="shared" si="354"/>
        <v>1352EDF</v>
      </c>
      <c r="K3464" s="919">
        <v>1</v>
      </c>
      <c r="L3464" s="920">
        <f t="shared" si="355"/>
        <v>2640</v>
      </c>
      <c r="M3464" s="920">
        <f t="shared" si="356"/>
        <v>22.492799999999999</v>
      </c>
      <c r="N3464" s="920">
        <f t="shared" si="357"/>
        <v>20</v>
      </c>
      <c r="O3464" s="918" t="str">
        <f t="shared" si="358"/>
        <v>Mar</v>
      </c>
      <c r="P3464" s="921">
        <f t="shared" si="359"/>
        <v>11</v>
      </c>
    </row>
    <row r="3465" spans="1:16" ht="15" hidden="1" customHeight="1">
      <c r="A3465" s="839">
        <v>68710277</v>
      </c>
      <c r="B3465" s="839">
        <v>1352</v>
      </c>
      <c r="C3465" s="906">
        <v>3622</v>
      </c>
      <c r="D3465" s="907">
        <v>46092</v>
      </c>
      <c r="E3465" s="839" t="s">
        <v>533</v>
      </c>
      <c r="F3465" s="839" t="s">
        <v>242</v>
      </c>
      <c r="G3465" s="916">
        <f>VLOOKUP($A3465,'Tech Litons'!$A:$I,8,FALSE)</f>
        <v>8.5199999999999998E-3</v>
      </c>
      <c r="H3465" s="917">
        <f>VLOOKUP($A3465,'Tech Litons'!$A:$I,9,FALSE)</f>
        <v>132</v>
      </c>
      <c r="I3465" s="917" t="str">
        <f>VLOOKUP($A3465,'Tech Litons'!$A:$C,3,0)</f>
        <v>EDF</v>
      </c>
      <c r="J3465" s="918" t="str">
        <f t="shared" si="354"/>
        <v>1352EDF</v>
      </c>
      <c r="K3465" s="919">
        <v>1</v>
      </c>
      <c r="L3465" s="920">
        <f t="shared" si="355"/>
        <v>3622</v>
      </c>
      <c r="M3465" s="920">
        <f t="shared" si="356"/>
        <v>30.859439999999999</v>
      </c>
      <c r="N3465" s="920">
        <f t="shared" si="357"/>
        <v>27.439393939393938</v>
      </c>
      <c r="O3465" s="918" t="str">
        <f t="shared" si="358"/>
        <v>Mar</v>
      </c>
      <c r="P3465" s="921">
        <f t="shared" si="359"/>
        <v>11</v>
      </c>
    </row>
    <row r="3466" spans="1:16" ht="15" hidden="1" customHeight="1">
      <c r="A3466" s="839">
        <v>68710277</v>
      </c>
      <c r="B3466" s="839">
        <v>1352</v>
      </c>
      <c r="C3466" s="906">
        <v>2772</v>
      </c>
      <c r="D3466" s="907">
        <v>46092</v>
      </c>
      <c r="E3466" s="839" t="s">
        <v>533</v>
      </c>
      <c r="F3466" s="839" t="s">
        <v>242</v>
      </c>
      <c r="G3466" s="916">
        <f>VLOOKUP($A3466,'Tech Litons'!$A:$I,8,FALSE)</f>
        <v>8.5199999999999998E-3</v>
      </c>
      <c r="H3466" s="917">
        <f>VLOOKUP($A3466,'Tech Litons'!$A:$I,9,FALSE)</f>
        <v>132</v>
      </c>
      <c r="I3466" s="917" t="str">
        <f>VLOOKUP($A3466,'Tech Litons'!$A:$C,3,0)</f>
        <v>EDF</v>
      </c>
      <c r="J3466" s="918" t="str">
        <f t="shared" si="354"/>
        <v>1352EDF</v>
      </c>
      <c r="K3466" s="919">
        <v>1</v>
      </c>
      <c r="L3466" s="920">
        <f t="shared" si="355"/>
        <v>2772</v>
      </c>
      <c r="M3466" s="920">
        <f t="shared" si="356"/>
        <v>23.617439999999998</v>
      </c>
      <c r="N3466" s="920">
        <f t="shared" si="357"/>
        <v>21</v>
      </c>
      <c r="O3466" s="918" t="str">
        <f t="shared" si="358"/>
        <v>Mar</v>
      </c>
      <c r="P3466" s="921">
        <f t="shared" si="359"/>
        <v>11</v>
      </c>
    </row>
    <row r="3467" spans="1:16" ht="15" hidden="1" customHeight="1">
      <c r="A3467" s="839">
        <v>68710277</v>
      </c>
      <c r="B3467" s="839">
        <v>1352</v>
      </c>
      <c r="C3467" s="906">
        <v>3755</v>
      </c>
      <c r="D3467" s="907">
        <v>46093</v>
      </c>
      <c r="E3467" s="839" t="s">
        <v>533</v>
      </c>
      <c r="F3467" s="839" t="s">
        <v>242</v>
      </c>
      <c r="G3467" s="916">
        <f>VLOOKUP($A3467,'Tech Litons'!$A:$I,8,FALSE)</f>
        <v>8.5199999999999998E-3</v>
      </c>
      <c r="H3467" s="917">
        <f>VLOOKUP($A3467,'Tech Litons'!$A:$I,9,FALSE)</f>
        <v>132</v>
      </c>
      <c r="I3467" s="917" t="str">
        <f>VLOOKUP($A3467,'Tech Litons'!$A:$C,3,0)</f>
        <v>EDF</v>
      </c>
      <c r="J3467" s="918" t="str">
        <f t="shared" si="354"/>
        <v>1352EDF</v>
      </c>
      <c r="K3467" s="919">
        <v>1</v>
      </c>
      <c r="L3467" s="920">
        <f t="shared" si="355"/>
        <v>3755</v>
      </c>
      <c r="M3467" s="920">
        <f t="shared" si="356"/>
        <v>31.992599999999999</v>
      </c>
      <c r="N3467" s="920">
        <f t="shared" si="357"/>
        <v>28.446969696969695</v>
      </c>
      <c r="O3467" s="918" t="str">
        <f t="shared" si="358"/>
        <v>Mar</v>
      </c>
      <c r="P3467" s="921">
        <f t="shared" si="359"/>
        <v>11</v>
      </c>
    </row>
    <row r="3468" spans="1:16" ht="15" hidden="1" customHeight="1">
      <c r="A3468" s="839">
        <v>68710277</v>
      </c>
      <c r="B3468" s="839">
        <v>1352</v>
      </c>
      <c r="C3468" s="906">
        <v>2772</v>
      </c>
      <c r="D3468" s="907">
        <v>46093</v>
      </c>
      <c r="E3468" s="839" t="s">
        <v>533</v>
      </c>
      <c r="F3468" s="839" t="s">
        <v>242</v>
      </c>
      <c r="G3468" s="916">
        <f>VLOOKUP($A3468,'Tech Litons'!$A:$I,8,FALSE)</f>
        <v>8.5199999999999998E-3</v>
      </c>
      <c r="H3468" s="917">
        <f>VLOOKUP($A3468,'Tech Litons'!$A:$I,9,FALSE)</f>
        <v>132</v>
      </c>
      <c r="I3468" s="917" t="str">
        <f>VLOOKUP($A3468,'Tech Litons'!$A:$C,3,0)</f>
        <v>EDF</v>
      </c>
      <c r="J3468" s="918" t="str">
        <f t="shared" si="354"/>
        <v>1352EDF</v>
      </c>
      <c r="K3468" s="919">
        <v>1</v>
      </c>
      <c r="L3468" s="920">
        <f t="shared" si="355"/>
        <v>2772</v>
      </c>
      <c r="M3468" s="920">
        <f t="shared" si="356"/>
        <v>23.617439999999998</v>
      </c>
      <c r="N3468" s="920">
        <f t="shared" si="357"/>
        <v>21</v>
      </c>
      <c r="O3468" s="918" t="str">
        <f t="shared" si="358"/>
        <v>Mar</v>
      </c>
      <c r="P3468" s="921">
        <f t="shared" si="359"/>
        <v>11</v>
      </c>
    </row>
    <row r="3469" spans="1:16" ht="15" hidden="1" customHeight="1">
      <c r="A3469" s="839">
        <v>68710277</v>
      </c>
      <c r="B3469" s="839">
        <v>1352</v>
      </c>
      <c r="C3469" s="906">
        <v>2611</v>
      </c>
      <c r="D3469" s="907">
        <v>46094</v>
      </c>
      <c r="E3469" s="839" t="s">
        <v>533</v>
      </c>
      <c r="F3469" s="839" t="s">
        <v>242</v>
      </c>
      <c r="G3469" s="916">
        <f>VLOOKUP($A3469,'Tech Litons'!$A:$I,8,FALSE)</f>
        <v>8.5199999999999998E-3</v>
      </c>
      <c r="H3469" s="917">
        <f>VLOOKUP($A3469,'Tech Litons'!$A:$I,9,FALSE)</f>
        <v>132</v>
      </c>
      <c r="I3469" s="917" t="str">
        <f>VLOOKUP($A3469,'Tech Litons'!$A:$C,3,0)</f>
        <v>EDF</v>
      </c>
      <c r="J3469" s="918" t="str">
        <f t="shared" si="354"/>
        <v>1352EDF</v>
      </c>
      <c r="K3469" s="919">
        <v>1</v>
      </c>
      <c r="L3469" s="920">
        <f t="shared" si="355"/>
        <v>2611</v>
      </c>
      <c r="M3469" s="920">
        <f t="shared" si="356"/>
        <v>22.245719999999999</v>
      </c>
      <c r="N3469" s="920">
        <f t="shared" si="357"/>
        <v>19.780303030303031</v>
      </c>
      <c r="O3469" s="918" t="str">
        <f t="shared" si="358"/>
        <v>Mar</v>
      </c>
      <c r="P3469" s="921">
        <f t="shared" si="359"/>
        <v>11</v>
      </c>
    </row>
    <row r="3470" spans="1:16" ht="15" hidden="1" customHeight="1">
      <c r="A3470" s="839">
        <v>68710277</v>
      </c>
      <c r="B3470" s="839">
        <v>1352</v>
      </c>
      <c r="C3470" s="906">
        <v>1716</v>
      </c>
      <c r="D3470" s="907">
        <v>46094</v>
      </c>
      <c r="E3470" s="839" t="s">
        <v>533</v>
      </c>
      <c r="F3470" s="839" t="s">
        <v>242</v>
      </c>
      <c r="G3470" s="916">
        <f>VLOOKUP($A3470,'Tech Litons'!$A:$I,8,FALSE)</f>
        <v>8.5199999999999998E-3</v>
      </c>
      <c r="H3470" s="917">
        <f>VLOOKUP($A3470,'Tech Litons'!$A:$I,9,FALSE)</f>
        <v>132</v>
      </c>
      <c r="I3470" s="917" t="str">
        <f>VLOOKUP($A3470,'Tech Litons'!$A:$C,3,0)</f>
        <v>EDF</v>
      </c>
      <c r="J3470" s="918" t="str">
        <f t="shared" si="354"/>
        <v>1352EDF</v>
      </c>
      <c r="K3470" s="919">
        <v>1</v>
      </c>
      <c r="L3470" s="920">
        <f t="shared" si="355"/>
        <v>1716</v>
      </c>
      <c r="M3470" s="920">
        <f t="shared" si="356"/>
        <v>14.62032</v>
      </c>
      <c r="N3470" s="920">
        <f t="shared" si="357"/>
        <v>13</v>
      </c>
      <c r="O3470" s="918" t="str">
        <f t="shared" si="358"/>
        <v>Mar</v>
      </c>
      <c r="P3470" s="921">
        <f t="shared" si="359"/>
        <v>11</v>
      </c>
    </row>
    <row r="3471" spans="1:16" ht="15" hidden="1" customHeight="1">
      <c r="A3471" s="839">
        <v>68710277</v>
      </c>
      <c r="B3471" s="839">
        <v>1352</v>
      </c>
      <c r="C3471" s="906">
        <v>2957</v>
      </c>
      <c r="D3471" s="907">
        <v>46095</v>
      </c>
      <c r="E3471" s="839" t="s">
        <v>533</v>
      </c>
      <c r="F3471" s="839" t="s">
        <v>242</v>
      </c>
      <c r="G3471" s="916">
        <f>VLOOKUP($A3471,'Tech Litons'!$A:$I,8,FALSE)</f>
        <v>8.5199999999999998E-3</v>
      </c>
      <c r="H3471" s="917">
        <f>VLOOKUP($A3471,'Tech Litons'!$A:$I,9,FALSE)</f>
        <v>132</v>
      </c>
      <c r="I3471" s="917" t="str">
        <f>VLOOKUP($A3471,'Tech Litons'!$A:$C,3,0)</f>
        <v>EDF</v>
      </c>
      <c r="J3471" s="918" t="str">
        <f t="shared" si="354"/>
        <v>1352EDF</v>
      </c>
      <c r="K3471" s="919">
        <v>1</v>
      </c>
      <c r="L3471" s="920">
        <f t="shared" si="355"/>
        <v>2957</v>
      </c>
      <c r="M3471" s="920">
        <f t="shared" si="356"/>
        <v>25.193639999999998</v>
      </c>
      <c r="N3471" s="920">
        <f t="shared" si="357"/>
        <v>22.401515151515152</v>
      </c>
      <c r="O3471" s="918" t="str">
        <f t="shared" si="358"/>
        <v>Mar</v>
      </c>
      <c r="P3471" s="921">
        <f t="shared" si="359"/>
        <v>11</v>
      </c>
    </row>
    <row r="3472" spans="1:16" ht="15" hidden="1" customHeight="1">
      <c r="A3472" s="839">
        <v>68710277</v>
      </c>
      <c r="B3472" s="839">
        <v>1352</v>
      </c>
      <c r="C3472" s="906">
        <v>2269</v>
      </c>
      <c r="D3472" s="907">
        <v>46095</v>
      </c>
      <c r="E3472" s="839" t="s">
        <v>533</v>
      </c>
      <c r="F3472" s="839" t="s">
        <v>242</v>
      </c>
      <c r="G3472" s="916">
        <f>VLOOKUP($A3472,'Tech Litons'!$A:$I,8,FALSE)</f>
        <v>8.5199999999999998E-3</v>
      </c>
      <c r="H3472" s="917">
        <f>VLOOKUP($A3472,'Tech Litons'!$A:$I,9,FALSE)</f>
        <v>132</v>
      </c>
      <c r="I3472" s="917" t="str">
        <f>VLOOKUP($A3472,'Tech Litons'!$A:$C,3,0)</f>
        <v>EDF</v>
      </c>
      <c r="J3472" s="918" t="str">
        <f t="shared" si="354"/>
        <v>1352EDF</v>
      </c>
      <c r="K3472" s="919">
        <v>1</v>
      </c>
      <c r="L3472" s="920">
        <f t="shared" si="355"/>
        <v>2269</v>
      </c>
      <c r="M3472" s="920">
        <f t="shared" si="356"/>
        <v>19.331879999999998</v>
      </c>
      <c r="N3472" s="920">
        <f t="shared" si="357"/>
        <v>17.189393939393938</v>
      </c>
      <c r="O3472" s="918" t="str">
        <f t="shared" si="358"/>
        <v>Mar</v>
      </c>
      <c r="P3472" s="921">
        <f t="shared" si="359"/>
        <v>11</v>
      </c>
    </row>
    <row r="3473" spans="1:16" ht="15" hidden="1" customHeight="1">
      <c r="A3473" s="839">
        <v>68710277</v>
      </c>
      <c r="B3473" s="839">
        <v>1352</v>
      </c>
      <c r="C3473" s="906">
        <v>3506</v>
      </c>
      <c r="D3473" s="907">
        <v>46096</v>
      </c>
      <c r="E3473" s="839" t="s">
        <v>533</v>
      </c>
      <c r="F3473" s="839" t="s">
        <v>242</v>
      </c>
      <c r="G3473" s="916">
        <f>VLOOKUP($A3473,'Tech Litons'!$A:$I,8,FALSE)</f>
        <v>8.5199999999999998E-3</v>
      </c>
      <c r="H3473" s="917">
        <f>VLOOKUP($A3473,'Tech Litons'!$A:$I,9,FALSE)</f>
        <v>132</v>
      </c>
      <c r="I3473" s="917" t="str">
        <f>VLOOKUP($A3473,'Tech Litons'!$A:$C,3,0)</f>
        <v>EDF</v>
      </c>
      <c r="J3473" s="918" t="str">
        <f t="shared" si="354"/>
        <v>1352EDF</v>
      </c>
      <c r="K3473" s="919">
        <v>1</v>
      </c>
      <c r="L3473" s="920">
        <f t="shared" si="355"/>
        <v>3506</v>
      </c>
      <c r="M3473" s="920">
        <f t="shared" si="356"/>
        <v>29.871119999999998</v>
      </c>
      <c r="N3473" s="920">
        <f t="shared" si="357"/>
        <v>26.560606060606062</v>
      </c>
      <c r="O3473" s="918" t="str">
        <f t="shared" si="358"/>
        <v>Mar</v>
      </c>
      <c r="P3473" s="921">
        <f t="shared" si="359"/>
        <v>12</v>
      </c>
    </row>
    <row r="3474" spans="1:16" ht="15" hidden="1" customHeight="1">
      <c r="A3474" s="839">
        <v>68710277</v>
      </c>
      <c r="B3474" s="839">
        <v>1352</v>
      </c>
      <c r="C3474" s="906">
        <v>2244</v>
      </c>
      <c r="D3474" s="907">
        <v>46096</v>
      </c>
      <c r="E3474" s="839" t="s">
        <v>533</v>
      </c>
      <c r="F3474" s="839" t="s">
        <v>242</v>
      </c>
      <c r="G3474" s="916">
        <f>VLOOKUP($A3474,'Tech Litons'!$A:$I,8,FALSE)</f>
        <v>8.5199999999999998E-3</v>
      </c>
      <c r="H3474" s="917">
        <f>VLOOKUP($A3474,'Tech Litons'!$A:$I,9,FALSE)</f>
        <v>132</v>
      </c>
      <c r="I3474" s="917" t="str">
        <f>VLOOKUP($A3474,'Tech Litons'!$A:$C,3,0)</f>
        <v>EDF</v>
      </c>
      <c r="J3474" s="918" t="str">
        <f t="shared" si="354"/>
        <v>1352EDF</v>
      </c>
      <c r="K3474" s="919">
        <v>1</v>
      </c>
      <c r="L3474" s="920">
        <f t="shared" si="355"/>
        <v>2244</v>
      </c>
      <c r="M3474" s="920">
        <f t="shared" si="356"/>
        <v>19.118880000000001</v>
      </c>
      <c r="N3474" s="920">
        <f t="shared" si="357"/>
        <v>17</v>
      </c>
      <c r="O3474" s="918" t="str">
        <f t="shared" si="358"/>
        <v>Mar</v>
      </c>
      <c r="P3474" s="921">
        <f t="shared" si="359"/>
        <v>12</v>
      </c>
    </row>
    <row r="3475" spans="1:16" ht="15" hidden="1" customHeight="1">
      <c r="A3475" s="839">
        <v>68710277</v>
      </c>
      <c r="B3475" s="839">
        <v>1352</v>
      </c>
      <c r="C3475" s="906">
        <v>2537</v>
      </c>
      <c r="D3475" s="907">
        <v>46097</v>
      </c>
      <c r="E3475" s="839" t="s">
        <v>533</v>
      </c>
      <c r="F3475" s="839" t="s">
        <v>242</v>
      </c>
      <c r="G3475" s="916">
        <f>VLOOKUP($A3475,'Tech Litons'!$A:$I,8,FALSE)</f>
        <v>8.5199999999999998E-3</v>
      </c>
      <c r="H3475" s="917">
        <f>VLOOKUP($A3475,'Tech Litons'!$A:$I,9,FALSE)</f>
        <v>132</v>
      </c>
      <c r="I3475" s="917" t="str">
        <f>VLOOKUP($A3475,'Tech Litons'!$A:$C,3,0)</f>
        <v>EDF</v>
      </c>
      <c r="J3475" s="918" t="str">
        <f t="shared" si="354"/>
        <v>1352EDF</v>
      </c>
      <c r="K3475" s="919">
        <v>1</v>
      </c>
      <c r="L3475" s="920">
        <f t="shared" si="355"/>
        <v>2537</v>
      </c>
      <c r="M3475" s="920">
        <f t="shared" si="356"/>
        <v>21.61524</v>
      </c>
      <c r="N3475" s="920">
        <f t="shared" si="357"/>
        <v>19.219696969696969</v>
      </c>
      <c r="O3475" s="918" t="str">
        <f t="shared" si="358"/>
        <v>Mar</v>
      </c>
      <c r="P3475" s="921">
        <f t="shared" si="359"/>
        <v>12</v>
      </c>
    </row>
    <row r="3476" spans="1:16" ht="15" hidden="1" customHeight="1">
      <c r="A3476" s="839">
        <v>68710277</v>
      </c>
      <c r="B3476" s="839">
        <v>1352</v>
      </c>
      <c r="C3476" s="906">
        <v>1917</v>
      </c>
      <c r="D3476" s="907">
        <v>46097</v>
      </c>
      <c r="E3476" s="839" t="s">
        <v>533</v>
      </c>
      <c r="F3476" s="839" t="s">
        <v>242</v>
      </c>
      <c r="G3476" s="916">
        <f>VLOOKUP($A3476,'Tech Litons'!$A:$I,8,FALSE)</f>
        <v>8.5199999999999998E-3</v>
      </c>
      <c r="H3476" s="917">
        <f>VLOOKUP($A3476,'Tech Litons'!$A:$I,9,FALSE)</f>
        <v>132</v>
      </c>
      <c r="I3476" s="917" t="str">
        <f>VLOOKUP($A3476,'Tech Litons'!$A:$C,3,0)</f>
        <v>EDF</v>
      </c>
      <c r="J3476" s="918" t="str">
        <f t="shared" si="354"/>
        <v>1352EDF</v>
      </c>
      <c r="K3476" s="919">
        <v>1</v>
      </c>
      <c r="L3476" s="920">
        <f t="shared" si="355"/>
        <v>1917</v>
      </c>
      <c r="M3476" s="920">
        <f t="shared" si="356"/>
        <v>16.332840000000001</v>
      </c>
      <c r="N3476" s="920">
        <f t="shared" si="357"/>
        <v>14.522727272727273</v>
      </c>
      <c r="O3476" s="918" t="str">
        <f t="shared" si="358"/>
        <v>Mar</v>
      </c>
      <c r="P3476" s="921">
        <f t="shared" si="359"/>
        <v>12</v>
      </c>
    </row>
    <row r="3477" spans="1:16" ht="15" hidden="1" customHeight="1">
      <c r="A3477" s="839">
        <v>68710277</v>
      </c>
      <c r="B3477" s="839">
        <v>1352</v>
      </c>
      <c r="C3477" s="906">
        <v>7</v>
      </c>
      <c r="D3477" s="907">
        <v>46098</v>
      </c>
      <c r="E3477" s="839" t="s">
        <v>533</v>
      </c>
      <c r="F3477" s="839" t="s">
        <v>242</v>
      </c>
      <c r="G3477" s="916">
        <f>VLOOKUP($A3477,'Tech Litons'!$A:$I,8,FALSE)</f>
        <v>8.5199999999999998E-3</v>
      </c>
      <c r="H3477" s="917">
        <f>VLOOKUP($A3477,'Tech Litons'!$A:$I,9,FALSE)</f>
        <v>132</v>
      </c>
      <c r="I3477" s="917" t="str">
        <f>VLOOKUP($A3477,'Tech Litons'!$A:$C,3,0)</f>
        <v>EDF</v>
      </c>
      <c r="J3477" s="918" t="str">
        <f t="shared" si="354"/>
        <v>1352EDF</v>
      </c>
      <c r="K3477" s="919">
        <v>1</v>
      </c>
      <c r="L3477" s="920">
        <f t="shared" si="355"/>
        <v>7</v>
      </c>
      <c r="M3477" s="920">
        <f t="shared" si="356"/>
        <v>5.9639999999999999E-2</v>
      </c>
      <c r="N3477" s="920">
        <f t="shared" si="357"/>
        <v>5.3030303030303032E-2</v>
      </c>
      <c r="O3477" s="918" t="str">
        <f t="shared" si="358"/>
        <v>Mar</v>
      </c>
      <c r="P3477" s="921">
        <f t="shared" si="359"/>
        <v>12</v>
      </c>
    </row>
    <row r="3478" spans="1:16" ht="15" hidden="1" customHeight="1">
      <c r="A3478" s="839">
        <v>68710285</v>
      </c>
      <c r="B3478" s="839">
        <v>1352</v>
      </c>
      <c r="C3478" s="906">
        <v>1584</v>
      </c>
      <c r="D3478" s="907">
        <v>46091</v>
      </c>
      <c r="E3478" s="839" t="s">
        <v>367</v>
      </c>
      <c r="F3478" s="839" t="s">
        <v>240</v>
      </c>
      <c r="G3478" s="916">
        <f>VLOOKUP($A3478,'Tech Litons'!$A:$I,8,FALSE)</f>
        <v>9.5760000000000012E-3</v>
      </c>
      <c r="H3478" s="917">
        <f>VLOOKUP($A3478,'Tech Litons'!$A:$I,9,FALSE)</f>
        <v>132</v>
      </c>
      <c r="I3478" s="917" t="str">
        <f>VLOOKUP($A3478,'Tech Litons'!$A:$C,3,0)</f>
        <v>EDF</v>
      </c>
      <c r="J3478" s="918" t="str">
        <f t="shared" si="354"/>
        <v>1352EDF</v>
      </c>
      <c r="K3478" s="919">
        <v>1</v>
      </c>
      <c r="L3478" s="920">
        <f t="shared" si="355"/>
        <v>1584</v>
      </c>
      <c r="M3478" s="920">
        <f t="shared" si="356"/>
        <v>15.168384000000001</v>
      </c>
      <c r="N3478" s="920">
        <f t="shared" si="357"/>
        <v>12</v>
      </c>
      <c r="O3478" s="918" t="str">
        <f t="shared" si="358"/>
        <v>Mar</v>
      </c>
      <c r="P3478" s="921">
        <f t="shared" si="359"/>
        <v>11</v>
      </c>
    </row>
    <row r="3479" spans="1:16" ht="15" hidden="1" customHeight="1">
      <c r="A3479" s="839">
        <v>68710285</v>
      </c>
      <c r="B3479" s="839">
        <v>1352</v>
      </c>
      <c r="C3479" s="906">
        <v>3307</v>
      </c>
      <c r="D3479" s="907">
        <v>46092</v>
      </c>
      <c r="E3479" s="839" t="s">
        <v>367</v>
      </c>
      <c r="F3479" s="839" t="s">
        <v>240</v>
      </c>
      <c r="G3479" s="916">
        <f>VLOOKUP($A3479,'Tech Litons'!$A:$I,8,FALSE)</f>
        <v>9.5760000000000012E-3</v>
      </c>
      <c r="H3479" s="917">
        <f>VLOOKUP($A3479,'Tech Litons'!$A:$I,9,FALSE)</f>
        <v>132</v>
      </c>
      <c r="I3479" s="917" t="str">
        <f>VLOOKUP($A3479,'Tech Litons'!$A:$C,3,0)</f>
        <v>EDF</v>
      </c>
      <c r="J3479" s="918" t="str">
        <f t="shared" si="354"/>
        <v>1352EDF</v>
      </c>
      <c r="K3479" s="919">
        <v>1</v>
      </c>
      <c r="L3479" s="920">
        <f t="shared" si="355"/>
        <v>3307</v>
      </c>
      <c r="M3479" s="920">
        <f t="shared" si="356"/>
        <v>31.667832000000004</v>
      </c>
      <c r="N3479" s="920">
        <f t="shared" si="357"/>
        <v>25.053030303030305</v>
      </c>
      <c r="O3479" s="918" t="str">
        <f t="shared" si="358"/>
        <v>Mar</v>
      </c>
      <c r="P3479" s="921">
        <f t="shared" si="359"/>
        <v>11</v>
      </c>
    </row>
    <row r="3480" spans="1:16" ht="15" hidden="1" customHeight="1">
      <c r="A3480" s="839">
        <v>68710285</v>
      </c>
      <c r="B3480" s="839">
        <v>1352</v>
      </c>
      <c r="C3480" s="906">
        <v>2376</v>
      </c>
      <c r="D3480" s="907">
        <v>46092</v>
      </c>
      <c r="E3480" s="839" t="s">
        <v>367</v>
      </c>
      <c r="F3480" s="839" t="s">
        <v>240</v>
      </c>
      <c r="G3480" s="916">
        <f>VLOOKUP($A3480,'Tech Litons'!$A:$I,8,FALSE)</f>
        <v>9.5760000000000012E-3</v>
      </c>
      <c r="H3480" s="917">
        <f>VLOOKUP($A3480,'Tech Litons'!$A:$I,9,FALSE)</f>
        <v>132</v>
      </c>
      <c r="I3480" s="917" t="str">
        <f>VLOOKUP($A3480,'Tech Litons'!$A:$C,3,0)</f>
        <v>EDF</v>
      </c>
      <c r="J3480" s="918" t="str">
        <f t="shared" si="354"/>
        <v>1352EDF</v>
      </c>
      <c r="K3480" s="919">
        <v>1</v>
      </c>
      <c r="L3480" s="920">
        <f t="shared" si="355"/>
        <v>2376</v>
      </c>
      <c r="M3480" s="920">
        <f t="shared" si="356"/>
        <v>22.752576000000001</v>
      </c>
      <c r="N3480" s="920">
        <f t="shared" si="357"/>
        <v>18</v>
      </c>
      <c r="O3480" s="918" t="str">
        <f t="shared" si="358"/>
        <v>Mar</v>
      </c>
      <c r="P3480" s="921">
        <f t="shared" si="359"/>
        <v>11</v>
      </c>
    </row>
    <row r="3481" spans="1:16" ht="15" hidden="1" customHeight="1">
      <c r="A3481" s="839">
        <v>68710285</v>
      </c>
      <c r="B3481" s="839">
        <v>1352</v>
      </c>
      <c r="C3481" s="906">
        <v>4124</v>
      </c>
      <c r="D3481" s="907">
        <v>46093</v>
      </c>
      <c r="E3481" s="839" t="s">
        <v>367</v>
      </c>
      <c r="F3481" s="839" t="s">
        <v>240</v>
      </c>
      <c r="G3481" s="916">
        <f>VLOOKUP($A3481,'Tech Litons'!$A:$I,8,FALSE)</f>
        <v>9.5760000000000012E-3</v>
      </c>
      <c r="H3481" s="917">
        <f>VLOOKUP($A3481,'Tech Litons'!$A:$I,9,FALSE)</f>
        <v>132</v>
      </c>
      <c r="I3481" s="917" t="str">
        <f>VLOOKUP($A3481,'Tech Litons'!$A:$C,3,0)</f>
        <v>EDF</v>
      </c>
      <c r="J3481" s="918" t="str">
        <f t="shared" si="354"/>
        <v>1352EDF</v>
      </c>
      <c r="K3481" s="919">
        <v>1</v>
      </c>
      <c r="L3481" s="920">
        <f t="shared" si="355"/>
        <v>4124</v>
      </c>
      <c r="M3481" s="920">
        <f t="shared" si="356"/>
        <v>39.491424000000002</v>
      </c>
      <c r="N3481" s="920">
        <f t="shared" si="357"/>
        <v>31.242424242424242</v>
      </c>
      <c r="O3481" s="918" t="str">
        <f t="shared" si="358"/>
        <v>Mar</v>
      </c>
      <c r="P3481" s="921">
        <f t="shared" si="359"/>
        <v>11</v>
      </c>
    </row>
    <row r="3482" spans="1:16" ht="15" hidden="1" customHeight="1">
      <c r="A3482" s="839">
        <v>68710285</v>
      </c>
      <c r="B3482" s="839">
        <v>1352</v>
      </c>
      <c r="C3482" s="906">
        <v>2376</v>
      </c>
      <c r="D3482" s="907">
        <v>46093</v>
      </c>
      <c r="E3482" s="839" t="s">
        <v>367</v>
      </c>
      <c r="F3482" s="839" t="s">
        <v>240</v>
      </c>
      <c r="G3482" s="916">
        <f>VLOOKUP($A3482,'Tech Litons'!$A:$I,8,FALSE)</f>
        <v>9.5760000000000012E-3</v>
      </c>
      <c r="H3482" s="917">
        <f>VLOOKUP($A3482,'Tech Litons'!$A:$I,9,FALSE)</f>
        <v>132</v>
      </c>
      <c r="I3482" s="917" t="str">
        <f>VLOOKUP($A3482,'Tech Litons'!$A:$C,3,0)</f>
        <v>EDF</v>
      </c>
      <c r="J3482" s="918" t="str">
        <f t="shared" si="354"/>
        <v>1352EDF</v>
      </c>
      <c r="K3482" s="919">
        <v>1</v>
      </c>
      <c r="L3482" s="920">
        <f t="shared" si="355"/>
        <v>2376</v>
      </c>
      <c r="M3482" s="920">
        <f t="shared" si="356"/>
        <v>22.752576000000001</v>
      </c>
      <c r="N3482" s="920">
        <f t="shared" si="357"/>
        <v>18</v>
      </c>
      <c r="O3482" s="918" t="str">
        <f t="shared" si="358"/>
        <v>Mar</v>
      </c>
      <c r="P3482" s="921">
        <f t="shared" si="359"/>
        <v>11</v>
      </c>
    </row>
    <row r="3483" spans="1:16" ht="15" hidden="1" customHeight="1">
      <c r="A3483" s="839">
        <v>68710285</v>
      </c>
      <c r="B3483" s="839">
        <v>1352</v>
      </c>
      <c r="C3483" s="906">
        <v>3270</v>
      </c>
      <c r="D3483" s="907">
        <v>46094</v>
      </c>
      <c r="E3483" s="839" t="s">
        <v>367</v>
      </c>
      <c r="F3483" s="839" t="s">
        <v>240</v>
      </c>
      <c r="G3483" s="916">
        <f>VLOOKUP($A3483,'Tech Litons'!$A:$I,8,FALSE)</f>
        <v>9.5760000000000012E-3</v>
      </c>
      <c r="H3483" s="917">
        <f>VLOOKUP($A3483,'Tech Litons'!$A:$I,9,FALSE)</f>
        <v>132</v>
      </c>
      <c r="I3483" s="917" t="str">
        <f>VLOOKUP($A3483,'Tech Litons'!$A:$C,3,0)</f>
        <v>EDF</v>
      </c>
      <c r="J3483" s="918" t="str">
        <f t="shared" si="354"/>
        <v>1352EDF</v>
      </c>
      <c r="K3483" s="919">
        <v>1</v>
      </c>
      <c r="L3483" s="920">
        <f t="shared" si="355"/>
        <v>3270</v>
      </c>
      <c r="M3483" s="920">
        <f t="shared" si="356"/>
        <v>31.313520000000004</v>
      </c>
      <c r="N3483" s="920">
        <f t="shared" si="357"/>
        <v>24.772727272727273</v>
      </c>
      <c r="O3483" s="918" t="str">
        <f t="shared" si="358"/>
        <v>Mar</v>
      </c>
      <c r="P3483" s="921">
        <f t="shared" si="359"/>
        <v>11</v>
      </c>
    </row>
    <row r="3484" spans="1:16" ht="15" hidden="1" customHeight="1">
      <c r="A3484" s="839">
        <v>68710285</v>
      </c>
      <c r="B3484" s="839">
        <v>1352</v>
      </c>
      <c r="C3484" s="906">
        <v>1716</v>
      </c>
      <c r="D3484" s="907">
        <v>46094</v>
      </c>
      <c r="E3484" s="839" t="s">
        <v>367</v>
      </c>
      <c r="F3484" s="839" t="s">
        <v>240</v>
      </c>
      <c r="G3484" s="916">
        <f>VLOOKUP($A3484,'Tech Litons'!$A:$I,8,FALSE)</f>
        <v>9.5760000000000012E-3</v>
      </c>
      <c r="H3484" s="917">
        <f>VLOOKUP($A3484,'Tech Litons'!$A:$I,9,FALSE)</f>
        <v>132</v>
      </c>
      <c r="I3484" s="917" t="str">
        <f>VLOOKUP($A3484,'Tech Litons'!$A:$C,3,0)</f>
        <v>EDF</v>
      </c>
      <c r="J3484" s="918" t="str">
        <f t="shared" si="354"/>
        <v>1352EDF</v>
      </c>
      <c r="K3484" s="919">
        <v>1</v>
      </c>
      <c r="L3484" s="920">
        <f t="shared" si="355"/>
        <v>1716</v>
      </c>
      <c r="M3484" s="920">
        <f t="shared" si="356"/>
        <v>16.432416000000003</v>
      </c>
      <c r="N3484" s="920">
        <f t="shared" si="357"/>
        <v>13</v>
      </c>
      <c r="O3484" s="918" t="str">
        <f t="shared" si="358"/>
        <v>Mar</v>
      </c>
      <c r="P3484" s="921">
        <f t="shared" si="359"/>
        <v>11</v>
      </c>
    </row>
    <row r="3485" spans="1:16" ht="15" hidden="1" customHeight="1">
      <c r="A3485" s="839">
        <v>68710285</v>
      </c>
      <c r="B3485" s="839">
        <v>1352</v>
      </c>
      <c r="C3485" s="906">
        <v>2772</v>
      </c>
      <c r="D3485" s="907">
        <v>46095</v>
      </c>
      <c r="E3485" s="839" t="s">
        <v>367</v>
      </c>
      <c r="F3485" s="839" t="s">
        <v>240</v>
      </c>
      <c r="G3485" s="916">
        <f>VLOOKUP($A3485,'Tech Litons'!$A:$I,8,FALSE)</f>
        <v>9.5760000000000012E-3</v>
      </c>
      <c r="H3485" s="917">
        <f>VLOOKUP($A3485,'Tech Litons'!$A:$I,9,FALSE)</f>
        <v>132</v>
      </c>
      <c r="I3485" s="917" t="str">
        <f>VLOOKUP($A3485,'Tech Litons'!$A:$C,3,0)</f>
        <v>EDF</v>
      </c>
      <c r="J3485" s="918" t="str">
        <f t="shared" si="354"/>
        <v>1352EDF</v>
      </c>
      <c r="K3485" s="919">
        <v>1</v>
      </c>
      <c r="L3485" s="920">
        <f t="shared" si="355"/>
        <v>2772</v>
      </c>
      <c r="M3485" s="920">
        <f t="shared" si="356"/>
        <v>26.544672000000002</v>
      </c>
      <c r="N3485" s="920">
        <f t="shared" si="357"/>
        <v>21</v>
      </c>
      <c r="O3485" s="918" t="str">
        <f t="shared" si="358"/>
        <v>Mar</v>
      </c>
      <c r="P3485" s="921">
        <f t="shared" si="359"/>
        <v>11</v>
      </c>
    </row>
    <row r="3486" spans="1:16" ht="15" hidden="1" customHeight="1">
      <c r="A3486" s="839">
        <v>68710285</v>
      </c>
      <c r="B3486" s="839">
        <v>1352</v>
      </c>
      <c r="C3486" s="906">
        <v>3878</v>
      </c>
      <c r="D3486" s="907">
        <v>46096</v>
      </c>
      <c r="E3486" s="839" t="s">
        <v>367</v>
      </c>
      <c r="F3486" s="839" t="s">
        <v>240</v>
      </c>
      <c r="G3486" s="916">
        <f>VLOOKUP($A3486,'Tech Litons'!$A:$I,8,FALSE)</f>
        <v>9.5760000000000012E-3</v>
      </c>
      <c r="H3486" s="917">
        <f>VLOOKUP($A3486,'Tech Litons'!$A:$I,9,FALSE)</f>
        <v>132</v>
      </c>
      <c r="I3486" s="917" t="str">
        <f>VLOOKUP($A3486,'Tech Litons'!$A:$C,3,0)</f>
        <v>EDF</v>
      </c>
      <c r="J3486" s="918" t="str">
        <f t="shared" si="354"/>
        <v>1352EDF</v>
      </c>
      <c r="K3486" s="919">
        <v>1</v>
      </c>
      <c r="L3486" s="920">
        <f t="shared" si="355"/>
        <v>3878</v>
      </c>
      <c r="M3486" s="920">
        <f t="shared" si="356"/>
        <v>37.135728000000007</v>
      </c>
      <c r="N3486" s="920">
        <f t="shared" si="357"/>
        <v>29.378787878787879</v>
      </c>
      <c r="O3486" s="918" t="str">
        <f t="shared" si="358"/>
        <v>Mar</v>
      </c>
      <c r="P3486" s="921">
        <f t="shared" si="359"/>
        <v>12</v>
      </c>
    </row>
    <row r="3487" spans="1:16" ht="15" hidden="1" customHeight="1">
      <c r="A3487" s="839">
        <v>68710285</v>
      </c>
      <c r="B3487" s="839">
        <v>1352</v>
      </c>
      <c r="C3487" s="906">
        <v>3036</v>
      </c>
      <c r="D3487" s="907">
        <v>46096</v>
      </c>
      <c r="E3487" s="839" t="s">
        <v>367</v>
      </c>
      <c r="F3487" s="839" t="s">
        <v>240</v>
      </c>
      <c r="G3487" s="916">
        <f>VLOOKUP($A3487,'Tech Litons'!$A:$I,8,FALSE)</f>
        <v>9.5760000000000012E-3</v>
      </c>
      <c r="H3487" s="917">
        <f>VLOOKUP($A3487,'Tech Litons'!$A:$I,9,FALSE)</f>
        <v>132</v>
      </c>
      <c r="I3487" s="917" t="str">
        <f>VLOOKUP($A3487,'Tech Litons'!$A:$C,3,0)</f>
        <v>EDF</v>
      </c>
      <c r="J3487" s="918" t="str">
        <f t="shared" si="354"/>
        <v>1352EDF</v>
      </c>
      <c r="K3487" s="919">
        <v>1</v>
      </c>
      <c r="L3487" s="920">
        <f t="shared" si="355"/>
        <v>3036</v>
      </c>
      <c r="M3487" s="920">
        <f t="shared" si="356"/>
        <v>29.072736000000003</v>
      </c>
      <c r="N3487" s="920">
        <f t="shared" si="357"/>
        <v>23</v>
      </c>
      <c r="O3487" s="918" t="str">
        <f t="shared" si="358"/>
        <v>Mar</v>
      </c>
      <c r="P3487" s="921">
        <f t="shared" si="359"/>
        <v>12</v>
      </c>
    </row>
    <row r="3488" spans="1:16" ht="15" hidden="1" customHeight="1">
      <c r="A3488" s="839">
        <v>68710285</v>
      </c>
      <c r="B3488" s="839">
        <v>1352</v>
      </c>
      <c r="C3488" s="906">
        <v>4653</v>
      </c>
      <c r="D3488" s="907">
        <v>46097</v>
      </c>
      <c r="E3488" s="839" t="s">
        <v>367</v>
      </c>
      <c r="F3488" s="839" t="s">
        <v>240</v>
      </c>
      <c r="G3488" s="916">
        <f>VLOOKUP($A3488,'Tech Litons'!$A:$I,8,FALSE)</f>
        <v>9.5760000000000012E-3</v>
      </c>
      <c r="H3488" s="917">
        <f>VLOOKUP($A3488,'Tech Litons'!$A:$I,9,FALSE)</f>
        <v>132</v>
      </c>
      <c r="I3488" s="917" t="str">
        <f>VLOOKUP($A3488,'Tech Litons'!$A:$C,3,0)</f>
        <v>EDF</v>
      </c>
      <c r="J3488" s="918" t="str">
        <f t="shared" si="354"/>
        <v>1352EDF</v>
      </c>
      <c r="K3488" s="919">
        <v>1</v>
      </c>
      <c r="L3488" s="920">
        <f t="shared" si="355"/>
        <v>4653</v>
      </c>
      <c r="M3488" s="920">
        <f t="shared" si="356"/>
        <v>44.557128000000006</v>
      </c>
      <c r="N3488" s="920">
        <f t="shared" si="357"/>
        <v>35.25</v>
      </c>
      <c r="O3488" s="918" t="str">
        <f t="shared" si="358"/>
        <v>Mar</v>
      </c>
      <c r="P3488" s="921">
        <f t="shared" si="359"/>
        <v>12</v>
      </c>
    </row>
    <row r="3489" spans="1:16" ht="15" hidden="1" customHeight="1">
      <c r="A3489" s="839">
        <v>68710285</v>
      </c>
      <c r="B3489" s="839">
        <v>1352</v>
      </c>
      <c r="C3489" s="906">
        <v>132</v>
      </c>
      <c r="D3489" s="907">
        <v>46098</v>
      </c>
      <c r="E3489" s="839" t="s">
        <v>367</v>
      </c>
      <c r="F3489" s="839" t="s">
        <v>240</v>
      </c>
      <c r="G3489" s="916">
        <f>VLOOKUP($A3489,'Tech Litons'!$A:$I,8,FALSE)</f>
        <v>9.5760000000000012E-3</v>
      </c>
      <c r="H3489" s="917">
        <f>VLOOKUP($A3489,'Tech Litons'!$A:$I,9,FALSE)</f>
        <v>132</v>
      </c>
      <c r="I3489" s="917" t="str">
        <f>VLOOKUP($A3489,'Tech Litons'!$A:$C,3,0)</f>
        <v>EDF</v>
      </c>
      <c r="J3489" s="918" t="str">
        <f t="shared" si="354"/>
        <v>1352EDF</v>
      </c>
      <c r="K3489" s="919">
        <v>1</v>
      </c>
      <c r="L3489" s="920">
        <f t="shared" si="355"/>
        <v>132</v>
      </c>
      <c r="M3489" s="920">
        <f t="shared" si="356"/>
        <v>1.2640320000000003</v>
      </c>
      <c r="N3489" s="920">
        <f t="shared" si="357"/>
        <v>1</v>
      </c>
      <c r="O3489" s="918" t="str">
        <f t="shared" si="358"/>
        <v>Mar</v>
      </c>
      <c r="P3489" s="921">
        <f t="shared" si="359"/>
        <v>12</v>
      </c>
    </row>
    <row r="3490" spans="1:16" ht="15" hidden="1" customHeight="1">
      <c r="A3490" s="839">
        <v>68710285</v>
      </c>
      <c r="B3490" s="839">
        <v>1352</v>
      </c>
      <c r="C3490" s="906">
        <v>74</v>
      </c>
      <c r="D3490" s="907">
        <v>46094</v>
      </c>
      <c r="E3490" s="839" t="s">
        <v>367</v>
      </c>
      <c r="F3490" s="839" t="s">
        <v>240</v>
      </c>
      <c r="G3490" s="916">
        <f>VLOOKUP($A3490,'Tech Litons'!$A:$I,8,FALSE)</f>
        <v>9.5760000000000012E-3</v>
      </c>
      <c r="H3490" s="917">
        <f>VLOOKUP($A3490,'Tech Litons'!$A:$I,9,FALSE)</f>
        <v>132</v>
      </c>
      <c r="I3490" s="917" t="str">
        <f>VLOOKUP($A3490,'Tech Litons'!$A:$C,3,0)</f>
        <v>EDF</v>
      </c>
      <c r="J3490" s="918" t="str">
        <f t="shared" si="354"/>
        <v>1352EDF</v>
      </c>
      <c r="K3490" s="919">
        <v>1</v>
      </c>
      <c r="L3490" s="920">
        <f t="shared" si="355"/>
        <v>74</v>
      </c>
      <c r="M3490" s="920">
        <f t="shared" si="356"/>
        <v>0.70862400000000014</v>
      </c>
      <c r="N3490" s="920">
        <f t="shared" si="357"/>
        <v>0.56060606060606055</v>
      </c>
      <c r="O3490" s="918" t="str">
        <f t="shared" si="358"/>
        <v>Mar</v>
      </c>
      <c r="P3490" s="921">
        <f t="shared" si="359"/>
        <v>11</v>
      </c>
    </row>
    <row r="3491" spans="1:16" ht="15" hidden="1" customHeight="1">
      <c r="A3491" s="839">
        <v>68710285</v>
      </c>
      <c r="B3491" s="839">
        <v>1352</v>
      </c>
      <c r="C3491" s="906">
        <v>3093</v>
      </c>
      <c r="D3491" s="907">
        <v>46095</v>
      </c>
      <c r="E3491" s="839" t="s">
        <v>367</v>
      </c>
      <c r="F3491" s="839" t="s">
        <v>240</v>
      </c>
      <c r="G3491" s="916">
        <f>VLOOKUP($A3491,'Tech Litons'!$A:$I,8,FALSE)</f>
        <v>9.5760000000000012E-3</v>
      </c>
      <c r="H3491" s="917">
        <f>VLOOKUP($A3491,'Tech Litons'!$A:$I,9,FALSE)</f>
        <v>132</v>
      </c>
      <c r="I3491" s="917" t="str">
        <f>VLOOKUP($A3491,'Tech Litons'!$A:$C,3,0)</f>
        <v>EDF</v>
      </c>
      <c r="J3491" s="918" t="str">
        <f t="shared" si="354"/>
        <v>1352EDF</v>
      </c>
      <c r="K3491" s="919">
        <v>1</v>
      </c>
      <c r="L3491" s="920">
        <f t="shared" si="355"/>
        <v>3093</v>
      </c>
      <c r="M3491" s="920">
        <f t="shared" si="356"/>
        <v>29.618568000000003</v>
      </c>
      <c r="N3491" s="920">
        <f t="shared" si="357"/>
        <v>23.431818181818183</v>
      </c>
      <c r="O3491" s="918" t="str">
        <f t="shared" si="358"/>
        <v>Mar</v>
      </c>
      <c r="P3491" s="921">
        <f t="shared" si="359"/>
        <v>11</v>
      </c>
    </row>
    <row r="3492" spans="1:16" ht="15" hidden="1" customHeight="1">
      <c r="A3492" s="839">
        <v>68737750</v>
      </c>
      <c r="B3492" s="839">
        <v>1352</v>
      </c>
      <c r="C3492" s="906">
        <v>8463</v>
      </c>
      <c r="D3492" s="907">
        <v>46089</v>
      </c>
      <c r="E3492" s="839" t="s">
        <v>407</v>
      </c>
      <c r="F3492" s="839" t="s">
        <v>261</v>
      </c>
      <c r="G3492" s="916">
        <f>VLOOKUP($A3492,'Tech Litons'!$A:$I,8,FALSE)</f>
        <v>8.5199999999999998E-3</v>
      </c>
      <c r="H3492" s="917">
        <f>VLOOKUP($A3492,'Tech Litons'!$A:$I,9,FALSE)</f>
        <v>176</v>
      </c>
      <c r="I3492" s="917" t="str">
        <f>VLOOKUP($A3492,'Tech Litons'!$A:$C,3,0)</f>
        <v>48oz</v>
      </c>
      <c r="J3492" s="918" t="str">
        <f t="shared" si="354"/>
        <v>135248oz</v>
      </c>
      <c r="K3492" s="919">
        <v>1</v>
      </c>
      <c r="L3492" s="920">
        <f t="shared" si="355"/>
        <v>8463</v>
      </c>
      <c r="M3492" s="920">
        <f t="shared" si="356"/>
        <v>72.104759999999999</v>
      </c>
      <c r="N3492" s="920">
        <f t="shared" si="357"/>
        <v>48.085227272727273</v>
      </c>
      <c r="O3492" s="918" t="str">
        <f t="shared" si="358"/>
        <v>Mar</v>
      </c>
      <c r="P3492" s="921">
        <f t="shared" si="359"/>
        <v>11</v>
      </c>
    </row>
    <row r="3493" spans="1:16" ht="15" hidden="1" customHeight="1">
      <c r="A3493" s="839">
        <v>68737750</v>
      </c>
      <c r="B3493" s="839">
        <v>1352</v>
      </c>
      <c r="C3493" s="906">
        <v>5104</v>
      </c>
      <c r="D3493" s="907">
        <v>46089</v>
      </c>
      <c r="E3493" s="839" t="s">
        <v>407</v>
      </c>
      <c r="F3493" s="839" t="s">
        <v>261</v>
      </c>
      <c r="G3493" s="916">
        <f>VLOOKUP($A3493,'Tech Litons'!$A:$I,8,FALSE)</f>
        <v>8.5199999999999998E-3</v>
      </c>
      <c r="H3493" s="917">
        <f>VLOOKUP($A3493,'Tech Litons'!$A:$I,9,FALSE)</f>
        <v>176</v>
      </c>
      <c r="I3493" s="917" t="str">
        <f>VLOOKUP($A3493,'Tech Litons'!$A:$C,3,0)</f>
        <v>48oz</v>
      </c>
      <c r="J3493" s="918" t="str">
        <f t="shared" si="354"/>
        <v>135248oz</v>
      </c>
      <c r="K3493" s="919">
        <v>1</v>
      </c>
      <c r="L3493" s="920">
        <f t="shared" si="355"/>
        <v>5104</v>
      </c>
      <c r="M3493" s="920">
        <f t="shared" si="356"/>
        <v>43.486080000000001</v>
      </c>
      <c r="N3493" s="920">
        <f t="shared" si="357"/>
        <v>29</v>
      </c>
      <c r="O3493" s="918" t="str">
        <f t="shared" si="358"/>
        <v>Mar</v>
      </c>
      <c r="P3493" s="921">
        <f t="shared" si="359"/>
        <v>11</v>
      </c>
    </row>
    <row r="3494" spans="1:16" ht="15" hidden="1" customHeight="1">
      <c r="A3494" s="839">
        <v>68737750</v>
      </c>
      <c r="B3494" s="839">
        <v>1352</v>
      </c>
      <c r="C3494" s="906">
        <v>9413</v>
      </c>
      <c r="D3494" s="907">
        <v>46090</v>
      </c>
      <c r="E3494" s="839" t="s">
        <v>407</v>
      </c>
      <c r="F3494" s="839" t="s">
        <v>261</v>
      </c>
      <c r="G3494" s="916">
        <f>VLOOKUP($A3494,'Tech Litons'!$A:$I,8,FALSE)</f>
        <v>8.5199999999999998E-3</v>
      </c>
      <c r="H3494" s="917">
        <f>VLOOKUP($A3494,'Tech Litons'!$A:$I,9,FALSE)</f>
        <v>176</v>
      </c>
      <c r="I3494" s="917" t="str">
        <f>VLOOKUP($A3494,'Tech Litons'!$A:$C,3,0)</f>
        <v>48oz</v>
      </c>
      <c r="J3494" s="918" t="str">
        <f t="shared" si="354"/>
        <v>135248oz</v>
      </c>
      <c r="K3494" s="919">
        <v>1</v>
      </c>
      <c r="L3494" s="920">
        <f t="shared" si="355"/>
        <v>9413</v>
      </c>
      <c r="M3494" s="920">
        <f t="shared" si="356"/>
        <v>80.198759999999993</v>
      </c>
      <c r="N3494" s="920">
        <f t="shared" si="357"/>
        <v>53.482954545454547</v>
      </c>
      <c r="O3494" s="918" t="str">
        <f t="shared" si="358"/>
        <v>Mar</v>
      </c>
      <c r="P3494" s="921">
        <f t="shared" si="359"/>
        <v>11</v>
      </c>
    </row>
    <row r="3495" spans="1:16" ht="15" hidden="1" customHeight="1">
      <c r="A3495" s="839">
        <v>68737750</v>
      </c>
      <c r="B3495" s="839">
        <v>1352</v>
      </c>
      <c r="C3495" s="906">
        <v>5702</v>
      </c>
      <c r="D3495" s="907">
        <v>46090</v>
      </c>
      <c r="E3495" s="839" t="s">
        <v>407</v>
      </c>
      <c r="F3495" s="839" t="s">
        <v>261</v>
      </c>
      <c r="G3495" s="916">
        <f>VLOOKUP($A3495,'Tech Litons'!$A:$I,8,FALSE)</f>
        <v>8.5199999999999998E-3</v>
      </c>
      <c r="H3495" s="917">
        <f>VLOOKUP($A3495,'Tech Litons'!$A:$I,9,FALSE)</f>
        <v>176</v>
      </c>
      <c r="I3495" s="917" t="str">
        <f>VLOOKUP($A3495,'Tech Litons'!$A:$C,3,0)</f>
        <v>48oz</v>
      </c>
      <c r="J3495" s="918" t="str">
        <f t="shared" si="354"/>
        <v>135248oz</v>
      </c>
      <c r="K3495" s="919">
        <v>1</v>
      </c>
      <c r="L3495" s="920">
        <f t="shared" si="355"/>
        <v>5702</v>
      </c>
      <c r="M3495" s="920">
        <f t="shared" si="356"/>
        <v>48.581040000000002</v>
      </c>
      <c r="N3495" s="920">
        <f t="shared" si="357"/>
        <v>32.397727272727273</v>
      </c>
      <c r="O3495" s="918" t="str">
        <f t="shared" si="358"/>
        <v>Mar</v>
      </c>
      <c r="P3495" s="921">
        <f t="shared" si="359"/>
        <v>11</v>
      </c>
    </row>
    <row r="3496" spans="1:16" ht="15" hidden="1" customHeight="1">
      <c r="A3496" s="839">
        <v>68737750</v>
      </c>
      <c r="B3496" s="839">
        <v>1352</v>
      </c>
      <c r="C3496" s="906">
        <v>8569</v>
      </c>
      <c r="D3496" s="907">
        <v>46091</v>
      </c>
      <c r="E3496" s="839" t="s">
        <v>407</v>
      </c>
      <c r="F3496" s="839" t="s">
        <v>261</v>
      </c>
      <c r="G3496" s="916">
        <f>VLOOKUP($A3496,'Tech Litons'!$A:$I,8,FALSE)</f>
        <v>8.5199999999999998E-3</v>
      </c>
      <c r="H3496" s="917">
        <f>VLOOKUP($A3496,'Tech Litons'!$A:$I,9,FALSE)</f>
        <v>176</v>
      </c>
      <c r="I3496" s="917" t="str">
        <f>VLOOKUP($A3496,'Tech Litons'!$A:$C,3,0)</f>
        <v>48oz</v>
      </c>
      <c r="J3496" s="918" t="str">
        <f t="shared" si="354"/>
        <v>135248oz</v>
      </c>
      <c r="K3496" s="919">
        <v>1</v>
      </c>
      <c r="L3496" s="920">
        <f t="shared" si="355"/>
        <v>8569</v>
      </c>
      <c r="M3496" s="920">
        <f t="shared" si="356"/>
        <v>73.00788</v>
      </c>
      <c r="N3496" s="920">
        <f t="shared" si="357"/>
        <v>48.6875</v>
      </c>
      <c r="O3496" s="918" t="str">
        <f t="shared" si="358"/>
        <v>Mar</v>
      </c>
      <c r="P3496" s="921">
        <f t="shared" si="359"/>
        <v>11</v>
      </c>
    </row>
    <row r="3497" spans="1:16" ht="15" hidden="1" customHeight="1">
      <c r="A3497" s="839">
        <v>68737750</v>
      </c>
      <c r="B3497" s="839">
        <v>1352</v>
      </c>
      <c r="C3497" s="906">
        <v>176</v>
      </c>
      <c r="D3497" s="907">
        <v>46092</v>
      </c>
      <c r="E3497" s="839" t="s">
        <v>407</v>
      </c>
      <c r="F3497" s="839" t="s">
        <v>261</v>
      </c>
      <c r="G3497" s="916">
        <f>VLOOKUP($A3497,'Tech Litons'!$A:$I,8,FALSE)</f>
        <v>8.5199999999999998E-3</v>
      </c>
      <c r="H3497" s="917">
        <f>VLOOKUP($A3497,'Tech Litons'!$A:$I,9,FALSE)</f>
        <v>176</v>
      </c>
      <c r="I3497" s="917" t="str">
        <f>VLOOKUP($A3497,'Tech Litons'!$A:$C,3,0)</f>
        <v>48oz</v>
      </c>
      <c r="J3497" s="918" t="str">
        <f t="shared" si="354"/>
        <v>135248oz</v>
      </c>
      <c r="K3497" s="919">
        <v>1</v>
      </c>
      <c r="L3497" s="920">
        <f t="shared" si="355"/>
        <v>176</v>
      </c>
      <c r="M3497" s="920">
        <f t="shared" si="356"/>
        <v>1.49952</v>
      </c>
      <c r="N3497" s="920">
        <f t="shared" si="357"/>
        <v>1</v>
      </c>
      <c r="O3497" s="918" t="str">
        <f t="shared" si="358"/>
        <v>Mar</v>
      </c>
      <c r="P3497" s="921">
        <f t="shared" si="359"/>
        <v>11</v>
      </c>
    </row>
    <row r="3498" spans="1:16" ht="15" hidden="1" customHeight="1">
      <c r="A3498" s="839">
        <v>68737750</v>
      </c>
      <c r="B3498" s="839">
        <v>1352</v>
      </c>
      <c r="C3498" s="906">
        <v>6225</v>
      </c>
      <c r="D3498" s="907">
        <v>46091</v>
      </c>
      <c r="E3498" s="839" t="s">
        <v>407</v>
      </c>
      <c r="F3498" s="839" t="s">
        <v>261</v>
      </c>
      <c r="G3498" s="916">
        <f>VLOOKUP($A3498,'Tech Litons'!$A:$I,8,FALSE)</f>
        <v>8.5199999999999998E-3</v>
      </c>
      <c r="H3498" s="917">
        <f>VLOOKUP($A3498,'Tech Litons'!$A:$I,9,FALSE)</f>
        <v>176</v>
      </c>
      <c r="I3498" s="917" t="str">
        <f>VLOOKUP($A3498,'Tech Litons'!$A:$C,3,0)</f>
        <v>48oz</v>
      </c>
      <c r="J3498" s="918" t="str">
        <f t="shared" si="354"/>
        <v>135248oz</v>
      </c>
      <c r="K3498" s="919">
        <v>1</v>
      </c>
      <c r="L3498" s="920">
        <f t="shared" si="355"/>
        <v>6225</v>
      </c>
      <c r="M3498" s="920">
        <f t="shared" si="356"/>
        <v>53.036999999999999</v>
      </c>
      <c r="N3498" s="920">
        <f t="shared" si="357"/>
        <v>35.36931818181818</v>
      </c>
      <c r="O3498" s="918" t="str">
        <f t="shared" si="358"/>
        <v>Mar</v>
      </c>
      <c r="P3498" s="921">
        <f t="shared" si="359"/>
        <v>11</v>
      </c>
    </row>
    <row r="3499" spans="1:16" ht="15" hidden="1" customHeight="1">
      <c r="A3499" s="839">
        <v>68737750</v>
      </c>
      <c r="B3499" s="839">
        <v>1352</v>
      </c>
      <c r="C3499" s="906">
        <v>9622</v>
      </c>
      <c r="D3499" s="907">
        <v>46092</v>
      </c>
      <c r="E3499" s="839" t="s">
        <v>407</v>
      </c>
      <c r="F3499" s="839" t="s">
        <v>261</v>
      </c>
      <c r="G3499" s="916">
        <f>VLOOKUP($A3499,'Tech Litons'!$A:$I,8,FALSE)</f>
        <v>8.5199999999999998E-3</v>
      </c>
      <c r="H3499" s="917">
        <f>VLOOKUP($A3499,'Tech Litons'!$A:$I,9,FALSE)</f>
        <v>176</v>
      </c>
      <c r="I3499" s="917" t="str">
        <f>VLOOKUP($A3499,'Tech Litons'!$A:$C,3,0)</f>
        <v>48oz</v>
      </c>
      <c r="J3499" s="918" t="str">
        <f t="shared" si="354"/>
        <v>135248oz</v>
      </c>
      <c r="K3499" s="919">
        <v>1</v>
      </c>
      <c r="L3499" s="920">
        <f t="shared" si="355"/>
        <v>9622</v>
      </c>
      <c r="M3499" s="920">
        <f t="shared" si="356"/>
        <v>81.979439999999997</v>
      </c>
      <c r="N3499" s="920">
        <f t="shared" si="357"/>
        <v>54.670454545454547</v>
      </c>
      <c r="O3499" s="918" t="str">
        <f t="shared" si="358"/>
        <v>Mar</v>
      </c>
      <c r="P3499" s="921">
        <f t="shared" si="359"/>
        <v>11</v>
      </c>
    </row>
    <row r="3500" spans="1:16" ht="15" hidden="1" customHeight="1">
      <c r="A3500" s="839">
        <v>68737750</v>
      </c>
      <c r="B3500" s="839">
        <v>1352</v>
      </c>
      <c r="C3500" s="906">
        <v>1417</v>
      </c>
      <c r="D3500" s="907">
        <v>46092</v>
      </c>
      <c r="E3500" s="839" t="s">
        <v>407</v>
      </c>
      <c r="F3500" s="839" t="s">
        <v>261</v>
      </c>
      <c r="G3500" s="916">
        <f>VLOOKUP($A3500,'Tech Litons'!$A:$I,8,FALSE)</f>
        <v>8.5199999999999998E-3</v>
      </c>
      <c r="H3500" s="917">
        <f>VLOOKUP($A3500,'Tech Litons'!$A:$I,9,FALSE)</f>
        <v>176</v>
      </c>
      <c r="I3500" s="917" t="str">
        <f>VLOOKUP($A3500,'Tech Litons'!$A:$C,3,0)</f>
        <v>48oz</v>
      </c>
      <c r="J3500" s="918" t="str">
        <f t="shared" si="354"/>
        <v>135248oz</v>
      </c>
      <c r="K3500" s="919">
        <v>1</v>
      </c>
      <c r="L3500" s="920">
        <f t="shared" si="355"/>
        <v>1417</v>
      </c>
      <c r="M3500" s="920">
        <f t="shared" si="356"/>
        <v>12.072839999999999</v>
      </c>
      <c r="N3500" s="920">
        <f t="shared" si="357"/>
        <v>8.0511363636363633</v>
      </c>
      <c r="O3500" s="918" t="str">
        <f t="shared" si="358"/>
        <v>Mar</v>
      </c>
      <c r="P3500" s="921">
        <f t="shared" si="359"/>
        <v>11</v>
      </c>
    </row>
    <row r="3501" spans="1:16" ht="15" hidden="1" customHeight="1">
      <c r="A3501" s="839">
        <v>68737750</v>
      </c>
      <c r="B3501" s="839">
        <v>1352</v>
      </c>
      <c r="C3501" s="906">
        <v>6160</v>
      </c>
      <c r="D3501" s="907">
        <v>46093</v>
      </c>
      <c r="E3501" s="839" t="s">
        <v>407</v>
      </c>
      <c r="F3501" s="839" t="s">
        <v>261</v>
      </c>
      <c r="G3501" s="916">
        <f>VLOOKUP($A3501,'Tech Litons'!$A:$I,8,FALSE)</f>
        <v>8.5199999999999998E-3</v>
      </c>
      <c r="H3501" s="917">
        <f>VLOOKUP($A3501,'Tech Litons'!$A:$I,9,FALSE)</f>
        <v>176</v>
      </c>
      <c r="I3501" s="917" t="str">
        <f>VLOOKUP($A3501,'Tech Litons'!$A:$C,3,0)</f>
        <v>48oz</v>
      </c>
      <c r="J3501" s="918" t="str">
        <f t="shared" si="354"/>
        <v>135248oz</v>
      </c>
      <c r="K3501" s="919">
        <v>1</v>
      </c>
      <c r="L3501" s="920">
        <f t="shared" si="355"/>
        <v>6160</v>
      </c>
      <c r="M3501" s="920">
        <f t="shared" si="356"/>
        <v>52.483199999999997</v>
      </c>
      <c r="N3501" s="920">
        <f t="shared" si="357"/>
        <v>35</v>
      </c>
      <c r="O3501" s="918" t="str">
        <f t="shared" si="358"/>
        <v>Mar</v>
      </c>
      <c r="P3501" s="921">
        <f t="shared" si="359"/>
        <v>11</v>
      </c>
    </row>
    <row r="3502" spans="1:16" ht="15" hidden="1" customHeight="1">
      <c r="A3502" s="839">
        <v>68737750</v>
      </c>
      <c r="B3502" s="839">
        <v>1352</v>
      </c>
      <c r="C3502" s="906">
        <v>9906</v>
      </c>
      <c r="D3502" s="907">
        <v>46094</v>
      </c>
      <c r="E3502" s="839" t="s">
        <v>407</v>
      </c>
      <c r="F3502" s="839" t="s">
        <v>261</v>
      </c>
      <c r="G3502" s="916">
        <f>VLOOKUP($A3502,'Tech Litons'!$A:$I,8,FALSE)</f>
        <v>8.5199999999999998E-3</v>
      </c>
      <c r="H3502" s="917">
        <f>VLOOKUP($A3502,'Tech Litons'!$A:$I,9,FALSE)</f>
        <v>176</v>
      </c>
      <c r="I3502" s="917" t="str">
        <f>VLOOKUP($A3502,'Tech Litons'!$A:$C,3,0)</f>
        <v>48oz</v>
      </c>
      <c r="J3502" s="918" t="str">
        <f t="shared" si="354"/>
        <v>135248oz</v>
      </c>
      <c r="K3502" s="919">
        <v>1</v>
      </c>
      <c r="L3502" s="920">
        <f t="shared" si="355"/>
        <v>9906</v>
      </c>
      <c r="M3502" s="920">
        <f t="shared" si="356"/>
        <v>84.399119999999996</v>
      </c>
      <c r="N3502" s="920">
        <f t="shared" si="357"/>
        <v>56.284090909090907</v>
      </c>
      <c r="O3502" s="918" t="str">
        <f t="shared" si="358"/>
        <v>Mar</v>
      </c>
      <c r="P3502" s="921">
        <f t="shared" si="359"/>
        <v>11</v>
      </c>
    </row>
    <row r="3503" spans="1:16" ht="15" hidden="1" customHeight="1">
      <c r="A3503" s="839">
        <v>68737750</v>
      </c>
      <c r="B3503" s="839">
        <v>1352</v>
      </c>
      <c r="C3503" s="906">
        <v>5335</v>
      </c>
      <c r="D3503" s="907">
        <v>46094</v>
      </c>
      <c r="E3503" s="839" t="s">
        <v>407</v>
      </c>
      <c r="F3503" s="839" t="s">
        <v>261</v>
      </c>
      <c r="G3503" s="916">
        <f>VLOOKUP($A3503,'Tech Litons'!$A:$I,8,FALSE)</f>
        <v>8.5199999999999998E-3</v>
      </c>
      <c r="H3503" s="917">
        <f>VLOOKUP($A3503,'Tech Litons'!$A:$I,9,FALSE)</f>
        <v>176</v>
      </c>
      <c r="I3503" s="917" t="str">
        <f>VLOOKUP($A3503,'Tech Litons'!$A:$C,3,0)</f>
        <v>48oz</v>
      </c>
      <c r="J3503" s="918" t="str">
        <f t="shared" si="354"/>
        <v>135248oz</v>
      </c>
      <c r="K3503" s="919">
        <v>1</v>
      </c>
      <c r="L3503" s="920">
        <f t="shared" si="355"/>
        <v>5335</v>
      </c>
      <c r="M3503" s="920">
        <f t="shared" si="356"/>
        <v>45.4542</v>
      </c>
      <c r="N3503" s="920">
        <f t="shared" si="357"/>
        <v>30.3125</v>
      </c>
      <c r="O3503" s="918" t="str">
        <f t="shared" si="358"/>
        <v>Mar</v>
      </c>
      <c r="P3503" s="921">
        <f t="shared" si="359"/>
        <v>11</v>
      </c>
    </row>
    <row r="3504" spans="1:16" ht="15" hidden="1" customHeight="1">
      <c r="A3504" s="839">
        <v>68737750</v>
      </c>
      <c r="B3504" s="839">
        <v>1352</v>
      </c>
      <c r="C3504" s="906">
        <v>9593</v>
      </c>
      <c r="D3504" s="907">
        <v>46095</v>
      </c>
      <c r="E3504" s="839" t="s">
        <v>407</v>
      </c>
      <c r="F3504" s="839" t="s">
        <v>261</v>
      </c>
      <c r="G3504" s="916">
        <f>VLOOKUP($A3504,'Tech Litons'!$A:$I,8,FALSE)</f>
        <v>8.5199999999999998E-3</v>
      </c>
      <c r="H3504" s="917">
        <f>VLOOKUP($A3504,'Tech Litons'!$A:$I,9,FALSE)</f>
        <v>176</v>
      </c>
      <c r="I3504" s="917" t="str">
        <f>VLOOKUP($A3504,'Tech Litons'!$A:$C,3,0)</f>
        <v>48oz</v>
      </c>
      <c r="J3504" s="918" t="str">
        <f t="shared" si="354"/>
        <v>135248oz</v>
      </c>
      <c r="K3504" s="919">
        <v>1</v>
      </c>
      <c r="L3504" s="920">
        <f t="shared" si="355"/>
        <v>9593</v>
      </c>
      <c r="M3504" s="920">
        <f t="shared" si="356"/>
        <v>81.73236</v>
      </c>
      <c r="N3504" s="920">
        <f t="shared" si="357"/>
        <v>54.50568181818182</v>
      </c>
      <c r="O3504" s="918" t="str">
        <f t="shared" si="358"/>
        <v>Mar</v>
      </c>
      <c r="P3504" s="921">
        <f t="shared" si="359"/>
        <v>11</v>
      </c>
    </row>
    <row r="3505" spans="1:16" ht="15" hidden="1" customHeight="1">
      <c r="A3505" s="839">
        <v>68737750</v>
      </c>
      <c r="B3505" s="839">
        <v>1352</v>
      </c>
      <c r="C3505" s="906">
        <v>5175</v>
      </c>
      <c r="D3505" s="907">
        <v>46095</v>
      </c>
      <c r="E3505" s="839" t="s">
        <v>407</v>
      </c>
      <c r="F3505" s="839" t="s">
        <v>261</v>
      </c>
      <c r="G3505" s="916">
        <f>VLOOKUP($A3505,'Tech Litons'!$A:$I,8,FALSE)</f>
        <v>8.5199999999999998E-3</v>
      </c>
      <c r="H3505" s="917">
        <f>VLOOKUP($A3505,'Tech Litons'!$A:$I,9,FALSE)</f>
        <v>176</v>
      </c>
      <c r="I3505" s="917" t="str">
        <f>VLOOKUP($A3505,'Tech Litons'!$A:$C,3,0)</f>
        <v>48oz</v>
      </c>
      <c r="J3505" s="918" t="str">
        <f t="shared" si="354"/>
        <v>135248oz</v>
      </c>
      <c r="K3505" s="919">
        <v>1</v>
      </c>
      <c r="L3505" s="920">
        <f t="shared" si="355"/>
        <v>5175</v>
      </c>
      <c r="M3505" s="920">
        <f t="shared" si="356"/>
        <v>44.091000000000001</v>
      </c>
      <c r="N3505" s="920">
        <f t="shared" si="357"/>
        <v>29.40340909090909</v>
      </c>
      <c r="O3505" s="918" t="str">
        <f t="shared" si="358"/>
        <v>Mar</v>
      </c>
      <c r="P3505" s="921">
        <f t="shared" si="359"/>
        <v>11</v>
      </c>
    </row>
    <row r="3506" spans="1:16" ht="15" hidden="1" customHeight="1">
      <c r="A3506" s="839">
        <v>68737750</v>
      </c>
      <c r="B3506" s="839">
        <v>1352</v>
      </c>
      <c r="C3506" s="906">
        <v>3696</v>
      </c>
      <c r="D3506" s="907">
        <v>46093</v>
      </c>
      <c r="E3506" s="839" t="s">
        <v>407</v>
      </c>
      <c r="F3506" s="839" t="s">
        <v>261</v>
      </c>
      <c r="G3506" s="916">
        <f>VLOOKUP($A3506,'Tech Litons'!$A:$I,8,FALSE)</f>
        <v>8.5199999999999998E-3</v>
      </c>
      <c r="H3506" s="917">
        <f>VLOOKUP($A3506,'Tech Litons'!$A:$I,9,FALSE)</f>
        <v>176</v>
      </c>
      <c r="I3506" s="917" t="str">
        <f>VLOOKUP($A3506,'Tech Litons'!$A:$C,3,0)</f>
        <v>48oz</v>
      </c>
      <c r="J3506" s="918" t="str">
        <f t="shared" ref="J3506:J3569" si="360">B3506&amp;I3506</f>
        <v>135248oz</v>
      </c>
      <c r="K3506" s="919">
        <v>1</v>
      </c>
      <c r="L3506" s="920">
        <f t="shared" ref="L3506:L3569" si="361">C3506*$K3506</f>
        <v>3696</v>
      </c>
      <c r="M3506" s="920">
        <f t="shared" ref="M3506:M3569" si="362">L3506*G3506</f>
        <v>31.489919999999998</v>
      </c>
      <c r="N3506" s="920">
        <f t="shared" ref="N3506:N3569" si="363">L3506/H3506</f>
        <v>21</v>
      </c>
      <c r="O3506" s="918" t="str">
        <f t="shared" ref="O3506:O3569" si="364">TEXT(D3506,"MMM")</f>
        <v>Mar</v>
      </c>
      <c r="P3506" s="921">
        <f t="shared" ref="P3506:P3569" si="365">WEEKNUM(D3506)</f>
        <v>11</v>
      </c>
    </row>
    <row r="3507" spans="1:16" ht="15" hidden="1" customHeight="1">
      <c r="A3507" s="839">
        <v>68741714</v>
      </c>
      <c r="B3507" s="839">
        <v>1352</v>
      </c>
      <c r="C3507" s="906">
        <v>1575</v>
      </c>
      <c r="D3507" s="907">
        <v>46097</v>
      </c>
      <c r="E3507" s="839" t="s">
        <v>286</v>
      </c>
      <c r="F3507" s="839" t="s">
        <v>287</v>
      </c>
      <c r="G3507" s="916">
        <f>VLOOKUP($A3507,'Tech Litons'!$A:$I,8,FALSE)</f>
        <v>2.8319999999999999E-3</v>
      </c>
      <c r="H3507" s="917">
        <f>VLOOKUP($A3507,'Tech Litons'!$A:$I,9,FALSE)</f>
        <v>225</v>
      </c>
      <c r="I3507" s="917" t="str">
        <f>VLOOKUP($A3507,'Tech Litons'!$A:$C,3,0)</f>
        <v>MBG</v>
      </c>
      <c r="J3507" s="918" t="str">
        <f t="shared" si="360"/>
        <v>1352MBG</v>
      </c>
      <c r="K3507" s="919">
        <v>1</v>
      </c>
      <c r="L3507" s="920">
        <f t="shared" si="361"/>
        <v>1575</v>
      </c>
      <c r="M3507" s="920">
        <f t="shared" si="362"/>
        <v>4.4603999999999999</v>
      </c>
      <c r="N3507" s="920">
        <f t="shared" si="363"/>
        <v>7</v>
      </c>
      <c r="O3507" s="918" t="str">
        <f t="shared" si="364"/>
        <v>Mar</v>
      </c>
      <c r="P3507" s="921">
        <f t="shared" si="365"/>
        <v>12</v>
      </c>
    </row>
    <row r="3508" spans="1:16" ht="15" hidden="1" customHeight="1">
      <c r="A3508" s="839">
        <v>68741714</v>
      </c>
      <c r="B3508" s="839">
        <v>1352</v>
      </c>
      <c r="C3508" s="906">
        <v>3307</v>
      </c>
      <c r="D3508" s="907">
        <v>46098</v>
      </c>
      <c r="E3508" s="839" t="s">
        <v>286</v>
      </c>
      <c r="F3508" s="839" t="s">
        <v>287</v>
      </c>
      <c r="G3508" s="916">
        <f>VLOOKUP($A3508,'Tech Litons'!$A:$I,8,FALSE)</f>
        <v>2.8319999999999999E-3</v>
      </c>
      <c r="H3508" s="917">
        <f>VLOOKUP($A3508,'Tech Litons'!$A:$I,9,FALSE)</f>
        <v>225</v>
      </c>
      <c r="I3508" s="917" t="str">
        <f>VLOOKUP($A3508,'Tech Litons'!$A:$C,3,0)</f>
        <v>MBG</v>
      </c>
      <c r="J3508" s="918" t="str">
        <f t="shared" si="360"/>
        <v>1352MBG</v>
      </c>
      <c r="K3508" s="919">
        <v>1</v>
      </c>
      <c r="L3508" s="920">
        <f t="shared" si="361"/>
        <v>3307</v>
      </c>
      <c r="M3508" s="920">
        <f t="shared" si="362"/>
        <v>9.3654239999999991</v>
      </c>
      <c r="N3508" s="920">
        <f t="shared" si="363"/>
        <v>14.697777777777778</v>
      </c>
      <c r="O3508" s="918" t="str">
        <f t="shared" si="364"/>
        <v>Mar</v>
      </c>
      <c r="P3508" s="921">
        <f t="shared" si="365"/>
        <v>12</v>
      </c>
    </row>
    <row r="3509" spans="1:16" ht="15" hidden="1" customHeight="1">
      <c r="A3509" s="839">
        <v>68741714</v>
      </c>
      <c r="B3509" s="839">
        <v>1352</v>
      </c>
      <c r="C3509" s="906">
        <v>2949</v>
      </c>
      <c r="D3509" s="907">
        <v>46098</v>
      </c>
      <c r="E3509" s="839" t="s">
        <v>286</v>
      </c>
      <c r="F3509" s="839" t="s">
        <v>287</v>
      </c>
      <c r="G3509" s="916">
        <f>VLOOKUP($A3509,'Tech Litons'!$A:$I,8,FALSE)</f>
        <v>2.8319999999999999E-3</v>
      </c>
      <c r="H3509" s="917">
        <f>VLOOKUP($A3509,'Tech Litons'!$A:$I,9,FALSE)</f>
        <v>225</v>
      </c>
      <c r="I3509" s="917" t="str">
        <f>VLOOKUP($A3509,'Tech Litons'!$A:$C,3,0)</f>
        <v>MBG</v>
      </c>
      <c r="J3509" s="918" t="str">
        <f t="shared" si="360"/>
        <v>1352MBG</v>
      </c>
      <c r="K3509" s="919">
        <v>1</v>
      </c>
      <c r="L3509" s="920">
        <f t="shared" si="361"/>
        <v>2949</v>
      </c>
      <c r="M3509" s="920">
        <f t="shared" si="362"/>
        <v>8.3515680000000003</v>
      </c>
      <c r="N3509" s="920">
        <f t="shared" si="363"/>
        <v>13.106666666666667</v>
      </c>
      <c r="O3509" s="918" t="str">
        <f t="shared" si="364"/>
        <v>Mar</v>
      </c>
      <c r="P3509" s="921">
        <f t="shared" si="365"/>
        <v>12</v>
      </c>
    </row>
    <row r="3510" spans="1:16" ht="15" hidden="1" customHeight="1">
      <c r="A3510" s="839">
        <v>68741714</v>
      </c>
      <c r="B3510" s="839">
        <v>1352</v>
      </c>
      <c r="C3510" s="906">
        <v>4949</v>
      </c>
      <c r="D3510" s="907">
        <v>46099</v>
      </c>
      <c r="E3510" s="839" t="s">
        <v>286</v>
      </c>
      <c r="F3510" s="839" t="s">
        <v>287</v>
      </c>
      <c r="G3510" s="916">
        <f>VLOOKUP($A3510,'Tech Litons'!$A:$I,8,FALSE)</f>
        <v>2.8319999999999999E-3</v>
      </c>
      <c r="H3510" s="917">
        <f>VLOOKUP($A3510,'Tech Litons'!$A:$I,9,FALSE)</f>
        <v>225</v>
      </c>
      <c r="I3510" s="917" t="str">
        <f>VLOOKUP($A3510,'Tech Litons'!$A:$C,3,0)</f>
        <v>MBG</v>
      </c>
      <c r="J3510" s="918" t="str">
        <f t="shared" si="360"/>
        <v>1352MBG</v>
      </c>
      <c r="K3510" s="919">
        <v>1</v>
      </c>
      <c r="L3510" s="920">
        <f t="shared" si="361"/>
        <v>4949</v>
      </c>
      <c r="M3510" s="920">
        <f t="shared" si="362"/>
        <v>14.015568</v>
      </c>
      <c r="N3510" s="920">
        <f t="shared" si="363"/>
        <v>21.995555555555555</v>
      </c>
      <c r="O3510" s="918" t="str">
        <f t="shared" si="364"/>
        <v>Mar</v>
      </c>
      <c r="P3510" s="921">
        <f t="shared" si="365"/>
        <v>12</v>
      </c>
    </row>
    <row r="3511" spans="1:16" ht="15" hidden="1" customHeight="1">
      <c r="A3511" s="839">
        <v>68741714</v>
      </c>
      <c r="B3511" s="839">
        <v>1352</v>
      </c>
      <c r="C3511" s="906">
        <v>3375</v>
      </c>
      <c r="D3511" s="907">
        <v>46099</v>
      </c>
      <c r="E3511" s="839" t="s">
        <v>286</v>
      </c>
      <c r="F3511" s="839" t="s">
        <v>287</v>
      </c>
      <c r="G3511" s="916">
        <f>VLOOKUP($A3511,'Tech Litons'!$A:$I,8,FALSE)</f>
        <v>2.8319999999999999E-3</v>
      </c>
      <c r="H3511" s="917">
        <f>VLOOKUP($A3511,'Tech Litons'!$A:$I,9,FALSE)</f>
        <v>225</v>
      </c>
      <c r="I3511" s="917" t="str">
        <f>VLOOKUP($A3511,'Tech Litons'!$A:$C,3,0)</f>
        <v>MBG</v>
      </c>
      <c r="J3511" s="918" t="str">
        <f t="shared" si="360"/>
        <v>1352MBG</v>
      </c>
      <c r="K3511" s="919">
        <v>1</v>
      </c>
      <c r="L3511" s="920">
        <f t="shared" si="361"/>
        <v>3375</v>
      </c>
      <c r="M3511" s="920">
        <f t="shared" si="362"/>
        <v>9.5579999999999998</v>
      </c>
      <c r="N3511" s="920">
        <f t="shared" si="363"/>
        <v>15</v>
      </c>
      <c r="O3511" s="918" t="str">
        <f t="shared" si="364"/>
        <v>Mar</v>
      </c>
      <c r="P3511" s="921">
        <f t="shared" si="365"/>
        <v>12</v>
      </c>
    </row>
    <row r="3512" spans="1:16" ht="15" hidden="1" customHeight="1">
      <c r="A3512" s="839">
        <v>68741714</v>
      </c>
      <c r="B3512" s="839">
        <v>1352</v>
      </c>
      <c r="C3512" s="906">
        <v>4097</v>
      </c>
      <c r="D3512" s="907">
        <v>46100</v>
      </c>
      <c r="E3512" s="839" t="s">
        <v>286</v>
      </c>
      <c r="F3512" s="839" t="s">
        <v>287</v>
      </c>
      <c r="G3512" s="916">
        <f>VLOOKUP($A3512,'Tech Litons'!$A:$I,8,FALSE)</f>
        <v>2.8319999999999999E-3</v>
      </c>
      <c r="H3512" s="917">
        <f>VLOOKUP($A3512,'Tech Litons'!$A:$I,9,FALSE)</f>
        <v>225</v>
      </c>
      <c r="I3512" s="917" t="str">
        <f>VLOOKUP($A3512,'Tech Litons'!$A:$C,3,0)</f>
        <v>MBG</v>
      </c>
      <c r="J3512" s="918" t="str">
        <f t="shared" si="360"/>
        <v>1352MBG</v>
      </c>
      <c r="K3512" s="919">
        <v>1</v>
      </c>
      <c r="L3512" s="920">
        <f t="shared" si="361"/>
        <v>4097</v>
      </c>
      <c r="M3512" s="920">
        <f t="shared" si="362"/>
        <v>11.602703999999999</v>
      </c>
      <c r="N3512" s="920">
        <f t="shared" si="363"/>
        <v>18.20888888888889</v>
      </c>
      <c r="O3512" s="918" t="str">
        <f t="shared" si="364"/>
        <v>Mar</v>
      </c>
      <c r="P3512" s="921">
        <f t="shared" si="365"/>
        <v>12</v>
      </c>
    </row>
    <row r="3513" spans="1:16" ht="15" hidden="1" customHeight="1">
      <c r="A3513" s="839">
        <v>68741714</v>
      </c>
      <c r="B3513" s="839">
        <v>1352</v>
      </c>
      <c r="C3513" s="906">
        <v>3375</v>
      </c>
      <c r="D3513" s="907">
        <v>46100</v>
      </c>
      <c r="E3513" s="839" t="s">
        <v>286</v>
      </c>
      <c r="F3513" s="839" t="s">
        <v>287</v>
      </c>
      <c r="G3513" s="916">
        <f>VLOOKUP($A3513,'Tech Litons'!$A:$I,8,FALSE)</f>
        <v>2.8319999999999999E-3</v>
      </c>
      <c r="H3513" s="917">
        <f>VLOOKUP($A3513,'Tech Litons'!$A:$I,9,FALSE)</f>
        <v>225</v>
      </c>
      <c r="I3513" s="917" t="str">
        <f>VLOOKUP($A3513,'Tech Litons'!$A:$C,3,0)</f>
        <v>MBG</v>
      </c>
      <c r="J3513" s="918" t="str">
        <f t="shared" si="360"/>
        <v>1352MBG</v>
      </c>
      <c r="K3513" s="919">
        <v>1</v>
      </c>
      <c r="L3513" s="920">
        <f t="shared" si="361"/>
        <v>3375</v>
      </c>
      <c r="M3513" s="920">
        <f t="shared" si="362"/>
        <v>9.5579999999999998</v>
      </c>
      <c r="N3513" s="920">
        <f t="shared" si="363"/>
        <v>15</v>
      </c>
      <c r="O3513" s="918" t="str">
        <f t="shared" si="364"/>
        <v>Mar</v>
      </c>
      <c r="P3513" s="921">
        <f t="shared" si="365"/>
        <v>12</v>
      </c>
    </row>
    <row r="3514" spans="1:16" ht="15" hidden="1" customHeight="1">
      <c r="A3514" s="839">
        <v>68741714</v>
      </c>
      <c r="B3514" s="839">
        <v>1352</v>
      </c>
      <c r="C3514" s="906">
        <v>4488</v>
      </c>
      <c r="D3514" s="907">
        <v>46101</v>
      </c>
      <c r="E3514" s="839" t="s">
        <v>286</v>
      </c>
      <c r="F3514" s="839" t="s">
        <v>287</v>
      </c>
      <c r="G3514" s="916">
        <f>VLOOKUP($A3514,'Tech Litons'!$A:$I,8,FALSE)</f>
        <v>2.8319999999999999E-3</v>
      </c>
      <c r="H3514" s="917">
        <f>VLOOKUP($A3514,'Tech Litons'!$A:$I,9,FALSE)</f>
        <v>225</v>
      </c>
      <c r="I3514" s="917" t="str">
        <f>VLOOKUP($A3514,'Tech Litons'!$A:$C,3,0)</f>
        <v>MBG</v>
      </c>
      <c r="J3514" s="918" t="str">
        <f t="shared" si="360"/>
        <v>1352MBG</v>
      </c>
      <c r="K3514" s="919">
        <v>1</v>
      </c>
      <c r="L3514" s="920">
        <f t="shared" si="361"/>
        <v>4488</v>
      </c>
      <c r="M3514" s="920">
        <f t="shared" si="362"/>
        <v>12.710016</v>
      </c>
      <c r="N3514" s="920">
        <f t="shared" si="363"/>
        <v>19.946666666666665</v>
      </c>
      <c r="O3514" s="918" t="str">
        <f t="shared" si="364"/>
        <v>Mar</v>
      </c>
      <c r="P3514" s="921">
        <f t="shared" si="365"/>
        <v>12</v>
      </c>
    </row>
    <row r="3515" spans="1:16" ht="15" hidden="1" customHeight="1">
      <c r="A3515" s="839">
        <v>68741714</v>
      </c>
      <c r="B3515" s="839">
        <v>1352</v>
      </c>
      <c r="C3515" s="906">
        <v>3600</v>
      </c>
      <c r="D3515" s="907">
        <v>46101</v>
      </c>
      <c r="E3515" s="839" t="s">
        <v>286</v>
      </c>
      <c r="F3515" s="839" t="s">
        <v>287</v>
      </c>
      <c r="G3515" s="916">
        <f>VLOOKUP($A3515,'Tech Litons'!$A:$I,8,FALSE)</f>
        <v>2.8319999999999999E-3</v>
      </c>
      <c r="H3515" s="917">
        <f>VLOOKUP($A3515,'Tech Litons'!$A:$I,9,FALSE)</f>
        <v>225</v>
      </c>
      <c r="I3515" s="917" t="str">
        <f>VLOOKUP($A3515,'Tech Litons'!$A:$C,3,0)</f>
        <v>MBG</v>
      </c>
      <c r="J3515" s="918" t="str">
        <f t="shared" si="360"/>
        <v>1352MBG</v>
      </c>
      <c r="K3515" s="919">
        <v>1</v>
      </c>
      <c r="L3515" s="920">
        <f t="shared" si="361"/>
        <v>3600</v>
      </c>
      <c r="M3515" s="920">
        <f t="shared" si="362"/>
        <v>10.1952</v>
      </c>
      <c r="N3515" s="920">
        <f t="shared" si="363"/>
        <v>16</v>
      </c>
      <c r="O3515" s="918" t="str">
        <f t="shared" si="364"/>
        <v>Mar</v>
      </c>
      <c r="P3515" s="921">
        <f t="shared" si="365"/>
        <v>12</v>
      </c>
    </row>
    <row r="3516" spans="1:16" ht="15" hidden="1" customHeight="1">
      <c r="A3516" s="839">
        <v>68741714</v>
      </c>
      <c r="B3516" s="839">
        <v>1352</v>
      </c>
      <c r="C3516" s="906">
        <v>223</v>
      </c>
      <c r="D3516" s="907">
        <v>46102</v>
      </c>
      <c r="E3516" s="839" t="s">
        <v>286</v>
      </c>
      <c r="F3516" s="839" t="s">
        <v>287</v>
      </c>
      <c r="G3516" s="916">
        <f>VLOOKUP($A3516,'Tech Litons'!$A:$I,8,FALSE)</f>
        <v>2.8319999999999999E-3</v>
      </c>
      <c r="H3516" s="917">
        <f>VLOOKUP($A3516,'Tech Litons'!$A:$I,9,FALSE)</f>
        <v>225</v>
      </c>
      <c r="I3516" s="917" t="str">
        <f>VLOOKUP($A3516,'Tech Litons'!$A:$C,3,0)</f>
        <v>MBG</v>
      </c>
      <c r="J3516" s="918" t="str">
        <f t="shared" si="360"/>
        <v>1352MBG</v>
      </c>
      <c r="K3516" s="919">
        <v>1</v>
      </c>
      <c r="L3516" s="920">
        <f t="shared" si="361"/>
        <v>223</v>
      </c>
      <c r="M3516" s="920">
        <f t="shared" si="362"/>
        <v>0.63153599999999999</v>
      </c>
      <c r="N3516" s="920">
        <f t="shared" si="363"/>
        <v>0.99111111111111116</v>
      </c>
      <c r="O3516" s="918" t="str">
        <f t="shared" si="364"/>
        <v>Mar</v>
      </c>
      <c r="P3516" s="921">
        <f t="shared" si="365"/>
        <v>12</v>
      </c>
    </row>
    <row r="3517" spans="1:16" ht="15" hidden="1" customHeight="1">
      <c r="A3517" s="839">
        <v>68741714</v>
      </c>
      <c r="B3517" s="839">
        <v>1352</v>
      </c>
      <c r="C3517" s="906">
        <v>1349</v>
      </c>
      <c r="D3517" s="907">
        <v>46090</v>
      </c>
      <c r="E3517" s="839" t="s">
        <v>286</v>
      </c>
      <c r="F3517" s="839" t="s">
        <v>287</v>
      </c>
      <c r="G3517" s="916">
        <f>VLOOKUP($A3517,'Tech Litons'!$A:$I,8,FALSE)</f>
        <v>2.8319999999999999E-3</v>
      </c>
      <c r="H3517" s="917">
        <f>VLOOKUP($A3517,'Tech Litons'!$A:$I,9,FALSE)</f>
        <v>225</v>
      </c>
      <c r="I3517" s="917" t="str">
        <f>VLOOKUP($A3517,'Tech Litons'!$A:$C,3,0)</f>
        <v>MBG</v>
      </c>
      <c r="J3517" s="918" t="str">
        <f t="shared" si="360"/>
        <v>1352MBG</v>
      </c>
      <c r="K3517" s="919">
        <v>1</v>
      </c>
      <c r="L3517" s="920">
        <f t="shared" si="361"/>
        <v>1349</v>
      </c>
      <c r="M3517" s="920">
        <f t="shared" si="362"/>
        <v>3.8203679999999998</v>
      </c>
      <c r="N3517" s="920">
        <f t="shared" si="363"/>
        <v>5.9955555555555557</v>
      </c>
      <c r="O3517" s="918" t="str">
        <f t="shared" si="364"/>
        <v>Mar</v>
      </c>
      <c r="P3517" s="921">
        <f t="shared" si="365"/>
        <v>11</v>
      </c>
    </row>
    <row r="3518" spans="1:16" ht="15" hidden="1" customHeight="1">
      <c r="A3518" s="839">
        <v>68741714</v>
      </c>
      <c r="B3518" s="839">
        <v>1352</v>
      </c>
      <c r="C3518" s="906">
        <v>4419</v>
      </c>
      <c r="D3518" s="907">
        <v>46091</v>
      </c>
      <c r="E3518" s="839" t="s">
        <v>286</v>
      </c>
      <c r="F3518" s="839" t="s">
        <v>287</v>
      </c>
      <c r="G3518" s="916">
        <f>VLOOKUP($A3518,'Tech Litons'!$A:$I,8,FALSE)</f>
        <v>2.8319999999999999E-3</v>
      </c>
      <c r="H3518" s="917">
        <f>VLOOKUP($A3518,'Tech Litons'!$A:$I,9,FALSE)</f>
        <v>225</v>
      </c>
      <c r="I3518" s="917" t="str">
        <f>VLOOKUP($A3518,'Tech Litons'!$A:$C,3,0)</f>
        <v>MBG</v>
      </c>
      <c r="J3518" s="918" t="str">
        <f t="shared" si="360"/>
        <v>1352MBG</v>
      </c>
      <c r="K3518" s="919">
        <v>1</v>
      </c>
      <c r="L3518" s="920">
        <f t="shared" si="361"/>
        <v>4419</v>
      </c>
      <c r="M3518" s="920">
        <f t="shared" si="362"/>
        <v>12.514607999999999</v>
      </c>
      <c r="N3518" s="920">
        <f t="shared" si="363"/>
        <v>19.64</v>
      </c>
      <c r="O3518" s="918" t="str">
        <f t="shared" si="364"/>
        <v>Mar</v>
      </c>
      <c r="P3518" s="921">
        <f t="shared" si="365"/>
        <v>11</v>
      </c>
    </row>
    <row r="3519" spans="1:16" ht="15" hidden="1" customHeight="1">
      <c r="A3519" s="839">
        <v>68741714</v>
      </c>
      <c r="B3519" s="839">
        <v>1352</v>
      </c>
      <c r="C3519" s="906">
        <v>2250</v>
      </c>
      <c r="D3519" s="907">
        <v>46091</v>
      </c>
      <c r="E3519" s="839" t="s">
        <v>286</v>
      </c>
      <c r="F3519" s="839" t="s">
        <v>287</v>
      </c>
      <c r="G3519" s="916">
        <f>VLOOKUP($A3519,'Tech Litons'!$A:$I,8,FALSE)</f>
        <v>2.8319999999999999E-3</v>
      </c>
      <c r="H3519" s="917">
        <f>VLOOKUP($A3519,'Tech Litons'!$A:$I,9,FALSE)</f>
        <v>225</v>
      </c>
      <c r="I3519" s="917" t="str">
        <f>VLOOKUP($A3519,'Tech Litons'!$A:$C,3,0)</f>
        <v>MBG</v>
      </c>
      <c r="J3519" s="918" t="str">
        <f t="shared" si="360"/>
        <v>1352MBG</v>
      </c>
      <c r="K3519" s="919">
        <v>1</v>
      </c>
      <c r="L3519" s="920">
        <f t="shared" si="361"/>
        <v>2250</v>
      </c>
      <c r="M3519" s="920">
        <f t="shared" si="362"/>
        <v>6.3719999999999999</v>
      </c>
      <c r="N3519" s="920">
        <f t="shared" si="363"/>
        <v>10</v>
      </c>
      <c r="O3519" s="918" t="str">
        <f t="shared" si="364"/>
        <v>Mar</v>
      </c>
      <c r="P3519" s="921">
        <f t="shared" si="365"/>
        <v>11</v>
      </c>
    </row>
    <row r="3520" spans="1:16" ht="15" hidden="1" customHeight="1">
      <c r="A3520" s="839">
        <v>68741714</v>
      </c>
      <c r="B3520" s="839">
        <v>1352</v>
      </c>
      <c r="C3520" s="906">
        <v>4449</v>
      </c>
      <c r="D3520" s="907">
        <v>46092</v>
      </c>
      <c r="E3520" s="839" t="s">
        <v>286</v>
      </c>
      <c r="F3520" s="839" t="s">
        <v>287</v>
      </c>
      <c r="G3520" s="916">
        <f>VLOOKUP($A3520,'Tech Litons'!$A:$I,8,FALSE)</f>
        <v>2.8319999999999999E-3</v>
      </c>
      <c r="H3520" s="917">
        <f>VLOOKUP($A3520,'Tech Litons'!$A:$I,9,FALSE)</f>
        <v>225</v>
      </c>
      <c r="I3520" s="917" t="str">
        <f>VLOOKUP($A3520,'Tech Litons'!$A:$C,3,0)</f>
        <v>MBG</v>
      </c>
      <c r="J3520" s="918" t="str">
        <f t="shared" si="360"/>
        <v>1352MBG</v>
      </c>
      <c r="K3520" s="919">
        <v>1</v>
      </c>
      <c r="L3520" s="920">
        <f t="shared" si="361"/>
        <v>4449</v>
      </c>
      <c r="M3520" s="920">
        <f t="shared" si="362"/>
        <v>12.599568</v>
      </c>
      <c r="N3520" s="920">
        <f t="shared" si="363"/>
        <v>19.773333333333333</v>
      </c>
      <c r="O3520" s="918" t="str">
        <f t="shared" si="364"/>
        <v>Mar</v>
      </c>
      <c r="P3520" s="921">
        <f t="shared" si="365"/>
        <v>11</v>
      </c>
    </row>
    <row r="3521" spans="1:16" ht="15" hidden="1" customHeight="1">
      <c r="A3521" s="839">
        <v>68741714</v>
      </c>
      <c r="B3521" s="839">
        <v>1352</v>
      </c>
      <c r="C3521" s="906">
        <v>2475</v>
      </c>
      <c r="D3521" s="907">
        <v>46092</v>
      </c>
      <c r="E3521" s="839" t="s">
        <v>286</v>
      </c>
      <c r="F3521" s="839" t="s">
        <v>287</v>
      </c>
      <c r="G3521" s="916">
        <f>VLOOKUP($A3521,'Tech Litons'!$A:$I,8,FALSE)</f>
        <v>2.8319999999999999E-3</v>
      </c>
      <c r="H3521" s="917">
        <f>VLOOKUP($A3521,'Tech Litons'!$A:$I,9,FALSE)</f>
        <v>225</v>
      </c>
      <c r="I3521" s="917" t="str">
        <f>VLOOKUP($A3521,'Tech Litons'!$A:$C,3,0)</f>
        <v>MBG</v>
      </c>
      <c r="J3521" s="918" t="str">
        <f t="shared" si="360"/>
        <v>1352MBG</v>
      </c>
      <c r="K3521" s="919">
        <v>1</v>
      </c>
      <c r="L3521" s="920">
        <f t="shared" si="361"/>
        <v>2475</v>
      </c>
      <c r="M3521" s="920">
        <f t="shared" si="362"/>
        <v>7.0091999999999999</v>
      </c>
      <c r="N3521" s="920">
        <f t="shared" si="363"/>
        <v>11</v>
      </c>
      <c r="O3521" s="918" t="str">
        <f t="shared" si="364"/>
        <v>Mar</v>
      </c>
      <c r="P3521" s="921">
        <f t="shared" si="365"/>
        <v>11</v>
      </c>
    </row>
    <row r="3522" spans="1:16" ht="15" hidden="1" customHeight="1">
      <c r="A3522" s="839">
        <v>68741714</v>
      </c>
      <c r="B3522" s="839">
        <v>1352</v>
      </c>
      <c r="C3522" s="906">
        <v>4786</v>
      </c>
      <c r="D3522" s="907">
        <v>46093</v>
      </c>
      <c r="E3522" s="839" t="s">
        <v>286</v>
      </c>
      <c r="F3522" s="839" t="s">
        <v>287</v>
      </c>
      <c r="G3522" s="916">
        <f>VLOOKUP($A3522,'Tech Litons'!$A:$I,8,FALSE)</f>
        <v>2.8319999999999999E-3</v>
      </c>
      <c r="H3522" s="917">
        <f>VLOOKUP($A3522,'Tech Litons'!$A:$I,9,FALSE)</f>
        <v>225</v>
      </c>
      <c r="I3522" s="917" t="str">
        <f>VLOOKUP($A3522,'Tech Litons'!$A:$C,3,0)</f>
        <v>MBG</v>
      </c>
      <c r="J3522" s="918" t="str">
        <f t="shared" si="360"/>
        <v>1352MBG</v>
      </c>
      <c r="K3522" s="919">
        <v>1</v>
      </c>
      <c r="L3522" s="920">
        <f t="shared" si="361"/>
        <v>4786</v>
      </c>
      <c r="M3522" s="920">
        <f t="shared" si="362"/>
        <v>13.553951999999999</v>
      </c>
      <c r="N3522" s="920">
        <f t="shared" si="363"/>
        <v>21.271111111111111</v>
      </c>
      <c r="O3522" s="918" t="str">
        <f t="shared" si="364"/>
        <v>Mar</v>
      </c>
      <c r="P3522" s="921">
        <f t="shared" si="365"/>
        <v>11</v>
      </c>
    </row>
    <row r="3523" spans="1:16" ht="15" hidden="1" customHeight="1">
      <c r="A3523" s="839">
        <v>68741714</v>
      </c>
      <c r="B3523" s="839">
        <v>1352</v>
      </c>
      <c r="C3523" s="906">
        <v>3600</v>
      </c>
      <c r="D3523" s="907">
        <v>46093</v>
      </c>
      <c r="E3523" s="839" t="s">
        <v>286</v>
      </c>
      <c r="F3523" s="839" t="s">
        <v>287</v>
      </c>
      <c r="G3523" s="916">
        <f>VLOOKUP($A3523,'Tech Litons'!$A:$I,8,FALSE)</f>
        <v>2.8319999999999999E-3</v>
      </c>
      <c r="H3523" s="917">
        <f>VLOOKUP($A3523,'Tech Litons'!$A:$I,9,FALSE)</f>
        <v>225</v>
      </c>
      <c r="I3523" s="917" t="str">
        <f>VLOOKUP($A3523,'Tech Litons'!$A:$C,3,0)</f>
        <v>MBG</v>
      </c>
      <c r="J3523" s="918" t="str">
        <f t="shared" si="360"/>
        <v>1352MBG</v>
      </c>
      <c r="K3523" s="919">
        <v>1</v>
      </c>
      <c r="L3523" s="920">
        <f t="shared" si="361"/>
        <v>3600</v>
      </c>
      <c r="M3523" s="920">
        <f t="shared" si="362"/>
        <v>10.1952</v>
      </c>
      <c r="N3523" s="920">
        <f t="shared" si="363"/>
        <v>16</v>
      </c>
      <c r="O3523" s="918" t="str">
        <f t="shared" si="364"/>
        <v>Mar</v>
      </c>
      <c r="P3523" s="921">
        <f t="shared" si="365"/>
        <v>11</v>
      </c>
    </row>
    <row r="3524" spans="1:16" ht="15" hidden="1" customHeight="1">
      <c r="A3524" s="839">
        <v>68741714</v>
      </c>
      <c r="B3524" s="839">
        <v>1352</v>
      </c>
      <c r="C3524" s="906">
        <v>4681</v>
      </c>
      <c r="D3524" s="907">
        <v>46094</v>
      </c>
      <c r="E3524" s="839" t="s">
        <v>286</v>
      </c>
      <c r="F3524" s="839" t="s">
        <v>287</v>
      </c>
      <c r="G3524" s="916">
        <f>VLOOKUP($A3524,'Tech Litons'!$A:$I,8,FALSE)</f>
        <v>2.8319999999999999E-3</v>
      </c>
      <c r="H3524" s="917">
        <f>VLOOKUP($A3524,'Tech Litons'!$A:$I,9,FALSE)</f>
        <v>225</v>
      </c>
      <c r="I3524" s="917" t="str">
        <f>VLOOKUP($A3524,'Tech Litons'!$A:$C,3,0)</f>
        <v>MBG</v>
      </c>
      <c r="J3524" s="918" t="str">
        <f t="shared" si="360"/>
        <v>1352MBG</v>
      </c>
      <c r="K3524" s="919">
        <v>1</v>
      </c>
      <c r="L3524" s="920">
        <f t="shared" si="361"/>
        <v>4681</v>
      </c>
      <c r="M3524" s="920">
        <f t="shared" si="362"/>
        <v>13.256591999999999</v>
      </c>
      <c r="N3524" s="920">
        <f t="shared" si="363"/>
        <v>20.804444444444446</v>
      </c>
      <c r="O3524" s="918" t="str">
        <f t="shared" si="364"/>
        <v>Mar</v>
      </c>
      <c r="P3524" s="921">
        <f t="shared" si="365"/>
        <v>11</v>
      </c>
    </row>
    <row r="3525" spans="1:16" ht="15" hidden="1" customHeight="1">
      <c r="A3525" s="839">
        <v>68741714</v>
      </c>
      <c r="B3525" s="839">
        <v>1352</v>
      </c>
      <c r="C3525" s="906">
        <v>3825</v>
      </c>
      <c r="D3525" s="907">
        <v>46094</v>
      </c>
      <c r="E3525" s="839" t="s">
        <v>286</v>
      </c>
      <c r="F3525" s="839" t="s">
        <v>287</v>
      </c>
      <c r="G3525" s="916">
        <f>VLOOKUP($A3525,'Tech Litons'!$A:$I,8,FALSE)</f>
        <v>2.8319999999999999E-3</v>
      </c>
      <c r="H3525" s="917">
        <f>VLOOKUP($A3525,'Tech Litons'!$A:$I,9,FALSE)</f>
        <v>225</v>
      </c>
      <c r="I3525" s="917" t="str">
        <f>VLOOKUP($A3525,'Tech Litons'!$A:$C,3,0)</f>
        <v>MBG</v>
      </c>
      <c r="J3525" s="918" t="str">
        <f t="shared" si="360"/>
        <v>1352MBG</v>
      </c>
      <c r="K3525" s="919">
        <v>1</v>
      </c>
      <c r="L3525" s="920">
        <f t="shared" si="361"/>
        <v>3825</v>
      </c>
      <c r="M3525" s="920">
        <f t="shared" si="362"/>
        <v>10.8324</v>
      </c>
      <c r="N3525" s="920">
        <f t="shared" si="363"/>
        <v>17</v>
      </c>
      <c r="O3525" s="918" t="str">
        <f t="shared" si="364"/>
        <v>Mar</v>
      </c>
      <c r="P3525" s="921">
        <f t="shared" si="365"/>
        <v>11</v>
      </c>
    </row>
    <row r="3526" spans="1:16" ht="15" hidden="1" customHeight="1">
      <c r="A3526" s="839">
        <v>68741714</v>
      </c>
      <c r="B3526" s="839">
        <v>1352</v>
      </c>
      <c r="C3526" s="906">
        <v>1994</v>
      </c>
      <c r="D3526" s="907">
        <v>46095</v>
      </c>
      <c r="E3526" s="839" t="s">
        <v>286</v>
      </c>
      <c r="F3526" s="839" t="s">
        <v>287</v>
      </c>
      <c r="G3526" s="916">
        <f>VLOOKUP($A3526,'Tech Litons'!$A:$I,8,FALSE)</f>
        <v>2.8319999999999999E-3</v>
      </c>
      <c r="H3526" s="917">
        <f>VLOOKUP($A3526,'Tech Litons'!$A:$I,9,FALSE)</f>
        <v>225</v>
      </c>
      <c r="I3526" s="917" t="str">
        <f>VLOOKUP($A3526,'Tech Litons'!$A:$C,3,0)</f>
        <v>MBG</v>
      </c>
      <c r="J3526" s="918" t="str">
        <f t="shared" si="360"/>
        <v>1352MBG</v>
      </c>
      <c r="K3526" s="919">
        <v>1</v>
      </c>
      <c r="L3526" s="920">
        <f t="shared" si="361"/>
        <v>1994</v>
      </c>
      <c r="M3526" s="920">
        <f t="shared" si="362"/>
        <v>5.6470079999999996</v>
      </c>
      <c r="N3526" s="920">
        <f t="shared" si="363"/>
        <v>8.862222222222222</v>
      </c>
      <c r="O3526" s="918" t="str">
        <f t="shared" si="364"/>
        <v>Mar</v>
      </c>
      <c r="P3526" s="921">
        <f t="shared" si="365"/>
        <v>11</v>
      </c>
    </row>
    <row r="3527" spans="1:16" ht="15" hidden="1" customHeight="1">
      <c r="A3527" s="839">
        <v>68741742</v>
      </c>
      <c r="B3527" s="839">
        <v>1352</v>
      </c>
      <c r="C3527" s="906">
        <v>0</v>
      </c>
      <c r="D3527" s="907">
        <v>46079</v>
      </c>
      <c r="E3527" s="839" t="s">
        <v>288</v>
      </c>
      <c r="F3527" s="839" t="s">
        <v>289</v>
      </c>
      <c r="G3527" s="916">
        <f>VLOOKUP($A3527,'Tech Litons'!$A:$I,8,FALSE)</f>
        <v>4.2560000000000002E-3</v>
      </c>
      <c r="H3527" s="917">
        <f>VLOOKUP($A3527,'Tech Litons'!$A:$I,9,FALSE)</f>
        <v>154</v>
      </c>
      <c r="I3527" s="917" t="str">
        <f>VLOOKUP($A3527,'Tech Litons'!$A:$C,3,0)</f>
        <v>MBG</v>
      </c>
      <c r="J3527" s="918" t="str">
        <f t="shared" si="360"/>
        <v>1352MBG</v>
      </c>
      <c r="K3527" s="919">
        <v>1</v>
      </c>
      <c r="L3527" s="920">
        <f t="shared" si="361"/>
        <v>0</v>
      </c>
      <c r="M3527" s="920">
        <f t="shared" si="362"/>
        <v>0</v>
      </c>
      <c r="N3527" s="920">
        <f t="shared" si="363"/>
        <v>0</v>
      </c>
      <c r="O3527" s="918" t="str">
        <f t="shared" si="364"/>
        <v>Feb</v>
      </c>
      <c r="P3527" s="921">
        <f t="shared" si="365"/>
        <v>9</v>
      </c>
    </row>
    <row r="3528" spans="1:16" ht="15" hidden="1" customHeight="1">
      <c r="A3528" s="839">
        <v>68741742</v>
      </c>
      <c r="B3528" s="839">
        <v>1352</v>
      </c>
      <c r="C3528" s="906">
        <v>1386</v>
      </c>
      <c r="D3528" s="907">
        <v>46084</v>
      </c>
      <c r="E3528" s="839" t="s">
        <v>288</v>
      </c>
      <c r="F3528" s="839" t="s">
        <v>289</v>
      </c>
      <c r="G3528" s="916">
        <f>VLOOKUP($A3528,'Tech Litons'!$A:$I,8,FALSE)</f>
        <v>4.2560000000000002E-3</v>
      </c>
      <c r="H3528" s="917">
        <f>VLOOKUP($A3528,'Tech Litons'!$A:$I,9,FALSE)</f>
        <v>154</v>
      </c>
      <c r="I3528" s="917" t="str">
        <f>VLOOKUP($A3528,'Tech Litons'!$A:$C,3,0)</f>
        <v>MBG</v>
      </c>
      <c r="J3528" s="918" t="str">
        <f t="shared" si="360"/>
        <v>1352MBG</v>
      </c>
      <c r="K3528" s="919">
        <v>1</v>
      </c>
      <c r="L3528" s="920">
        <f t="shared" si="361"/>
        <v>1386</v>
      </c>
      <c r="M3528" s="920">
        <f t="shared" si="362"/>
        <v>5.8988160000000001</v>
      </c>
      <c r="N3528" s="920">
        <f t="shared" si="363"/>
        <v>9</v>
      </c>
      <c r="O3528" s="918" t="str">
        <f t="shared" si="364"/>
        <v>Mar</v>
      </c>
      <c r="P3528" s="921">
        <f t="shared" si="365"/>
        <v>10</v>
      </c>
    </row>
    <row r="3529" spans="1:16" ht="15" hidden="1" customHeight="1">
      <c r="A3529" s="839">
        <v>68741742</v>
      </c>
      <c r="B3529" s="839">
        <v>1352</v>
      </c>
      <c r="C3529" s="906">
        <v>3348</v>
      </c>
      <c r="D3529" s="907">
        <v>46085</v>
      </c>
      <c r="E3529" s="839" t="s">
        <v>288</v>
      </c>
      <c r="F3529" s="839" t="s">
        <v>289</v>
      </c>
      <c r="G3529" s="916">
        <f>VLOOKUP($A3529,'Tech Litons'!$A:$I,8,FALSE)</f>
        <v>4.2560000000000002E-3</v>
      </c>
      <c r="H3529" s="917">
        <f>VLOOKUP($A3529,'Tech Litons'!$A:$I,9,FALSE)</f>
        <v>154</v>
      </c>
      <c r="I3529" s="917" t="str">
        <f>VLOOKUP($A3529,'Tech Litons'!$A:$C,3,0)</f>
        <v>MBG</v>
      </c>
      <c r="J3529" s="918" t="str">
        <f t="shared" si="360"/>
        <v>1352MBG</v>
      </c>
      <c r="K3529" s="919">
        <v>1</v>
      </c>
      <c r="L3529" s="920">
        <f t="shared" si="361"/>
        <v>3348</v>
      </c>
      <c r="M3529" s="920">
        <f t="shared" si="362"/>
        <v>14.249088</v>
      </c>
      <c r="N3529" s="920">
        <f t="shared" si="363"/>
        <v>21.740259740259742</v>
      </c>
      <c r="O3529" s="918" t="str">
        <f t="shared" si="364"/>
        <v>Mar</v>
      </c>
      <c r="P3529" s="921">
        <f t="shared" si="365"/>
        <v>10</v>
      </c>
    </row>
    <row r="3530" spans="1:16" ht="15" hidden="1" customHeight="1">
      <c r="A3530" s="839">
        <v>68741742</v>
      </c>
      <c r="B3530" s="839">
        <v>1352</v>
      </c>
      <c r="C3530" s="906">
        <v>1540</v>
      </c>
      <c r="D3530" s="907">
        <v>46085</v>
      </c>
      <c r="E3530" s="839" t="s">
        <v>288</v>
      </c>
      <c r="F3530" s="839" t="s">
        <v>289</v>
      </c>
      <c r="G3530" s="916">
        <f>VLOOKUP($A3530,'Tech Litons'!$A:$I,8,FALSE)</f>
        <v>4.2560000000000002E-3</v>
      </c>
      <c r="H3530" s="917">
        <f>VLOOKUP($A3530,'Tech Litons'!$A:$I,9,FALSE)</f>
        <v>154</v>
      </c>
      <c r="I3530" s="917" t="str">
        <f>VLOOKUP($A3530,'Tech Litons'!$A:$C,3,0)</f>
        <v>MBG</v>
      </c>
      <c r="J3530" s="918" t="str">
        <f t="shared" si="360"/>
        <v>1352MBG</v>
      </c>
      <c r="K3530" s="919">
        <v>1</v>
      </c>
      <c r="L3530" s="920">
        <f t="shared" si="361"/>
        <v>1540</v>
      </c>
      <c r="M3530" s="920">
        <f t="shared" si="362"/>
        <v>6.5542400000000001</v>
      </c>
      <c r="N3530" s="920">
        <f t="shared" si="363"/>
        <v>10</v>
      </c>
      <c r="O3530" s="918" t="str">
        <f t="shared" si="364"/>
        <v>Mar</v>
      </c>
      <c r="P3530" s="921">
        <f t="shared" si="365"/>
        <v>10</v>
      </c>
    </row>
    <row r="3531" spans="1:16" ht="15" hidden="1" customHeight="1">
      <c r="A3531" s="839">
        <v>68741742</v>
      </c>
      <c r="B3531" s="839">
        <v>1352</v>
      </c>
      <c r="C3531" s="906">
        <v>4107</v>
      </c>
      <c r="D3531" s="907">
        <v>46086</v>
      </c>
      <c r="E3531" s="839" t="s">
        <v>288</v>
      </c>
      <c r="F3531" s="839" t="s">
        <v>289</v>
      </c>
      <c r="G3531" s="916">
        <f>VLOOKUP($A3531,'Tech Litons'!$A:$I,8,FALSE)</f>
        <v>4.2560000000000002E-3</v>
      </c>
      <c r="H3531" s="917">
        <f>VLOOKUP($A3531,'Tech Litons'!$A:$I,9,FALSE)</f>
        <v>154</v>
      </c>
      <c r="I3531" s="917" t="str">
        <f>VLOOKUP($A3531,'Tech Litons'!$A:$C,3,0)</f>
        <v>MBG</v>
      </c>
      <c r="J3531" s="918" t="str">
        <f t="shared" si="360"/>
        <v>1352MBG</v>
      </c>
      <c r="K3531" s="919">
        <v>1</v>
      </c>
      <c r="L3531" s="920">
        <f t="shared" si="361"/>
        <v>4107</v>
      </c>
      <c r="M3531" s="920">
        <f t="shared" si="362"/>
        <v>17.479392000000001</v>
      </c>
      <c r="N3531" s="920">
        <f t="shared" si="363"/>
        <v>26.668831168831169</v>
      </c>
      <c r="O3531" s="918" t="str">
        <f t="shared" si="364"/>
        <v>Mar</v>
      </c>
      <c r="P3531" s="921">
        <f t="shared" si="365"/>
        <v>10</v>
      </c>
    </row>
    <row r="3532" spans="1:16" ht="15" hidden="1" customHeight="1">
      <c r="A3532" s="839">
        <v>68741742</v>
      </c>
      <c r="B3532" s="839">
        <v>1352</v>
      </c>
      <c r="C3532" s="906">
        <v>154</v>
      </c>
      <c r="D3532" s="907">
        <v>46093</v>
      </c>
      <c r="E3532" s="839" t="s">
        <v>288</v>
      </c>
      <c r="F3532" s="839" t="s">
        <v>289</v>
      </c>
      <c r="G3532" s="916">
        <f>VLOOKUP($A3532,'Tech Litons'!$A:$I,8,FALSE)</f>
        <v>4.2560000000000002E-3</v>
      </c>
      <c r="H3532" s="917">
        <f>VLOOKUP($A3532,'Tech Litons'!$A:$I,9,FALSE)</f>
        <v>154</v>
      </c>
      <c r="I3532" s="917" t="str">
        <f>VLOOKUP($A3532,'Tech Litons'!$A:$C,3,0)</f>
        <v>MBG</v>
      </c>
      <c r="J3532" s="918" t="str">
        <f t="shared" si="360"/>
        <v>1352MBG</v>
      </c>
      <c r="K3532" s="919">
        <v>1</v>
      </c>
      <c r="L3532" s="920">
        <f t="shared" si="361"/>
        <v>154</v>
      </c>
      <c r="M3532" s="920">
        <f t="shared" si="362"/>
        <v>0.65542400000000001</v>
      </c>
      <c r="N3532" s="920">
        <f t="shared" si="363"/>
        <v>1</v>
      </c>
      <c r="O3532" s="918" t="str">
        <f t="shared" si="364"/>
        <v>Mar</v>
      </c>
      <c r="P3532" s="921">
        <f t="shared" si="365"/>
        <v>11</v>
      </c>
    </row>
    <row r="3533" spans="1:16" ht="15" hidden="1" customHeight="1">
      <c r="A3533" s="839">
        <v>68741742</v>
      </c>
      <c r="B3533" s="839">
        <v>1352</v>
      </c>
      <c r="C3533" s="906">
        <v>2772</v>
      </c>
      <c r="D3533" s="907">
        <v>46086</v>
      </c>
      <c r="E3533" s="839" t="s">
        <v>288</v>
      </c>
      <c r="F3533" s="839" t="s">
        <v>289</v>
      </c>
      <c r="G3533" s="916">
        <f>VLOOKUP($A3533,'Tech Litons'!$A:$I,8,FALSE)</f>
        <v>4.2560000000000002E-3</v>
      </c>
      <c r="H3533" s="917">
        <f>VLOOKUP($A3533,'Tech Litons'!$A:$I,9,FALSE)</f>
        <v>154</v>
      </c>
      <c r="I3533" s="917" t="str">
        <f>VLOOKUP($A3533,'Tech Litons'!$A:$C,3,0)</f>
        <v>MBG</v>
      </c>
      <c r="J3533" s="918" t="str">
        <f t="shared" si="360"/>
        <v>1352MBG</v>
      </c>
      <c r="K3533" s="919">
        <v>1</v>
      </c>
      <c r="L3533" s="920">
        <f t="shared" si="361"/>
        <v>2772</v>
      </c>
      <c r="M3533" s="920">
        <f t="shared" si="362"/>
        <v>11.797632</v>
      </c>
      <c r="N3533" s="920">
        <f t="shared" si="363"/>
        <v>18</v>
      </c>
      <c r="O3533" s="918" t="str">
        <f t="shared" si="364"/>
        <v>Mar</v>
      </c>
      <c r="P3533" s="921">
        <f t="shared" si="365"/>
        <v>10</v>
      </c>
    </row>
    <row r="3534" spans="1:16" ht="15" hidden="1" customHeight="1">
      <c r="A3534" s="839">
        <v>68741742</v>
      </c>
      <c r="B3534" s="839">
        <v>1352</v>
      </c>
      <c r="C3534" s="906">
        <v>3233</v>
      </c>
      <c r="D3534" s="907">
        <v>46087</v>
      </c>
      <c r="E3534" s="839" t="s">
        <v>288</v>
      </c>
      <c r="F3534" s="839" t="s">
        <v>289</v>
      </c>
      <c r="G3534" s="916">
        <f>VLOOKUP($A3534,'Tech Litons'!$A:$I,8,FALSE)</f>
        <v>4.2560000000000002E-3</v>
      </c>
      <c r="H3534" s="917">
        <f>VLOOKUP($A3534,'Tech Litons'!$A:$I,9,FALSE)</f>
        <v>154</v>
      </c>
      <c r="I3534" s="917" t="str">
        <f>VLOOKUP($A3534,'Tech Litons'!$A:$C,3,0)</f>
        <v>MBG</v>
      </c>
      <c r="J3534" s="918" t="str">
        <f t="shared" si="360"/>
        <v>1352MBG</v>
      </c>
      <c r="K3534" s="919">
        <v>1</v>
      </c>
      <c r="L3534" s="920">
        <f t="shared" si="361"/>
        <v>3233</v>
      </c>
      <c r="M3534" s="920">
        <f t="shared" si="362"/>
        <v>13.759648</v>
      </c>
      <c r="N3534" s="920">
        <f t="shared" si="363"/>
        <v>20.993506493506494</v>
      </c>
      <c r="O3534" s="918" t="str">
        <f t="shared" si="364"/>
        <v>Mar</v>
      </c>
      <c r="P3534" s="921">
        <f t="shared" si="365"/>
        <v>10</v>
      </c>
    </row>
    <row r="3535" spans="1:16" ht="15" hidden="1" customHeight="1">
      <c r="A3535" s="839">
        <v>68741742</v>
      </c>
      <c r="B3535" s="839">
        <v>1352</v>
      </c>
      <c r="C3535" s="906">
        <v>2090</v>
      </c>
      <c r="D3535" s="907">
        <v>46087</v>
      </c>
      <c r="E3535" s="839" t="s">
        <v>288</v>
      </c>
      <c r="F3535" s="839" t="s">
        <v>289</v>
      </c>
      <c r="G3535" s="916">
        <f>VLOOKUP($A3535,'Tech Litons'!$A:$I,8,FALSE)</f>
        <v>4.2560000000000002E-3</v>
      </c>
      <c r="H3535" s="917">
        <f>VLOOKUP($A3535,'Tech Litons'!$A:$I,9,FALSE)</f>
        <v>154</v>
      </c>
      <c r="I3535" s="917" t="str">
        <f>VLOOKUP($A3535,'Tech Litons'!$A:$C,3,0)</f>
        <v>MBG</v>
      </c>
      <c r="J3535" s="918" t="str">
        <f t="shared" si="360"/>
        <v>1352MBG</v>
      </c>
      <c r="K3535" s="919">
        <v>1</v>
      </c>
      <c r="L3535" s="920">
        <f t="shared" si="361"/>
        <v>2090</v>
      </c>
      <c r="M3535" s="920">
        <f t="shared" si="362"/>
        <v>8.8950399999999998</v>
      </c>
      <c r="N3535" s="920">
        <f t="shared" si="363"/>
        <v>13.571428571428571</v>
      </c>
      <c r="O3535" s="918" t="str">
        <f t="shared" si="364"/>
        <v>Mar</v>
      </c>
      <c r="P3535" s="921">
        <f t="shared" si="365"/>
        <v>10</v>
      </c>
    </row>
    <row r="3536" spans="1:16" ht="15" hidden="1" customHeight="1">
      <c r="A3536" s="839">
        <v>68741742</v>
      </c>
      <c r="B3536" s="839">
        <v>1352</v>
      </c>
      <c r="C3536" s="906">
        <v>28</v>
      </c>
      <c r="D3536" s="907">
        <v>46088</v>
      </c>
      <c r="E3536" s="839" t="s">
        <v>288</v>
      </c>
      <c r="F3536" s="839" t="s">
        <v>289</v>
      </c>
      <c r="G3536" s="916">
        <f>VLOOKUP($A3536,'Tech Litons'!$A:$I,8,FALSE)</f>
        <v>4.2560000000000002E-3</v>
      </c>
      <c r="H3536" s="917">
        <f>VLOOKUP($A3536,'Tech Litons'!$A:$I,9,FALSE)</f>
        <v>154</v>
      </c>
      <c r="I3536" s="917" t="str">
        <f>VLOOKUP($A3536,'Tech Litons'!$A:$C,3,0)</f>
        <v>MBG</v>
      </c>
      <c r="J3536" s="918" t="str">
        <f t="shared" si="360"/>
        <v>1352MBG</v>
      </c>
      <c r="K3536" s="919">
        <v>1</v>
      </c>
      <c r="L3536" s="920">
        <f t="shared" si="361"/>
        <v>28</v>
      </c>
      <c r="M3536" s="920">
        <f t="shared" si="362"/>
        <v>0.11916800000000001</v>
      </c>
      <c r="N3536" s="920">
        <f t="shared" si="363"/>
        <v>0.18181818181818182</v>
      </c>
      <c r="O3536" s="918" t="str">
        <f t="shared" si="364"/>
        <v>Mar</v>
      </c>
      <c r="P3536" s="921">
        <f t="shared" si="365"/>
        <v>10</v>
      </c>
    </row>
    <row r="3537" spans="1:16" ht="15" hidden="1" customHeight="1">
      <c r="A3537" s="839">
        <v>68741742</v>
      </c>
      <c r="B3537" s="839">
        <v>1352</v>
      </c>
      <c r="C3537" s="906">
        <v>770</v>
      </c>
      <c r="D3537" s="907">
        <v>46083</v>
      </c>
      <c r="E3537" s="839" t="s">
        <v>288</v>
      </c>
      <c r="F3537" s="839" t="s">
        <v>289</v>
      </c>
      <c r="G3537" s="916">
        <f>VLOOKUP($A3537,'Tech Litons'!$A:$I,8,FALSE)</f>
        <v>4.2560000000000002E-3</v>
      </c>
      <c r="H3537" s="917">
        <f>VLOOKUP($A3537,'Tech Litons'!$A:$I,9,FALSE)</f>
        <v>154</v>
      </c>
      <c r="I3537" s="917" t="str">
        <f>VLOOKUP($A3537,'Tech Litons'!$A:$C,3,0)</f>
        <v>MBG</v>
      </c>
      <c r="J3537" s="918" t="str">
        <f t="shared" si="360"/>
        <v>1352MBG</v>
      </c>
      <c r="K3537" s="919">
        <v>1</v>
      </c>
      <c r="L3537" s="920">
        <f t="shared" si="361"/>
        <v>770</v>
      </c>
      <c r="M3537" s="920">
        <f t="shared" si="362"/>
        <v>3.27712</v>
      </c>
      <c r="N3537" s="920">
        <f t="shared" si="363"/>
        <v>5</v>
      </c>
      <c r="O3537" s="918" t="str">
        <f t="shared" si="364"/>
        <v>Mar</v>
      </c>
      <c r="P3537" s="921">
        <f t="shared" si="365"/>
        <v>10</v>
      </c>
    </row>
    <row r="3538" spans="1:16" ht="15" hidden="1" customHeight="1">
      <c r="A3538" s="839">
        <v>68741742</v>
      </c>
      <c r="B3538" s="839">
        <v>1352</v>
      </c>
      <c r="C3538" s="906">
        <v>1130</v>
      </c>
      <c r="D3538" s="907">
        <v>46084</v>
      </c>
      <c r="E3538" s="839" t="s">
        <v>288</v>
      </c>
      <c r="F3538" s="839" t="s">
        <v>289</v>
      </c>
      <c r="G3538" s="916">
        <f>VLOOKUP($A3538,'Tech Litons'!$A:$I,8,FALSE)</f>
        <v>4.2560000000000002E-3</v>
      </c>
      <c r="H3538" s="917">
        <f>VLOOKUP($A3538,'Tech Litons'!$A:$I,9,FALSE)</f>
        <v>154</v>
      </c>
      <c r="I3538" s="917" t="str">
        <f>VLOOKUP($A3538,'Tech Litons'!$A:$C,3,0)</f>
        <v>MBG</v>
      </c>
      <c r="J3538" s="918" t="str">
        <f t="shared" si="360"/>
        <v>1352MBG</v>
      </c>
      <c r="K3538" s="919">
        <v>1</v>
      </c>
      <c r="L3538" s="920">
        <f t="shared" si="361"/>
        <v>1130</v>
      </c>
      <c r="M3538" s="920">
        <f t="shared" si="362"/>
        <v>4.8092800000000002</v>
      </c>
      <c r="N3538" s="920">
        <f t="shared" si="363"/>
        <v>7.337662337662338</v>
      </c>
      <c r="O3538" s="918" t="str">
        <f t="shared" si="364"/>
        <v>Mar</v>
      </c>
      <c r="P3538" s="921">
        <f t="shared" si="365"/>
        <v>10</v>
      </c>
    </row>
    <row r="3539" spans="1:16" ht="15" hidden="1" customHeight="1">
      <c r="A3539" s="839">
        <v>68741742</v>
      </c>
      <c r="B3539" s="839">
        <v>1352</v>
      </c>
      <c r="C3539" s="906">
        <v>1232</v>
      </c>
      <c r="D3539" s="907">
        <v>46090</v>
      </c>
      <c r="E3539" s="839" t="s">
        <v>288</v>
      </c>
      <c r="F3539" s="839" t="s">
        <v>289</v>
      </c>
      <c r="G3539" s="916">
        <f>VLOOKUP($A3539,'Tech Litons'!$A:$I,8,FALSE)</f>
        <v>4.2560000000000002E-3</v>
      </c>
      <c r="H3539" s="917">
        <f>VLOOKUP($A3539,'Tech Litons'!$A:$I,9,FALSE)</f>
        <v>154</v>
      </c>
      <c r="I3539" s="917" t="str">
        <f>VLOOKUP($A3539,'Tech Litons'!$A:$C,3,0)</f>
        <v>MBG</v>
      </c>
      <c r="J3539" s="918" t="str">
        <f t="shared" si="360"/>
        <v>1352MBG</v>
      </c>
      <c r="K3539" s="919">
        <v>1</v>
      </c>
      <c r="L3539" s="920">
        <f t="shared" si="361"/>
        <v>1232</v>
      </c>
      <c r="M3539" s="920">
        <f t="shared" si="362"/>
        <v>5.2433920000000001</v>
      </c>
      <c r="N3539" s="920">
        <f t="shared" si="363"/>
        <v>8</v>
      </c>
      <c r="O3539" s="918" t="str">
        <f t="shared" si="364"/>
        <v>Mar</v>
      </c>
      <c r="P3539" s="921">
        <f t="shared" si="365"/>
        <v>11</v>
      </c>
    </row>
    <row r="3540" spans="1:16" ht="15" hidden="1" customHeight="1">
      <c r="A3540" s="839">
        <v>68741742</v>
      </c>
      <c r="B3540" s="839">
        <v>1352</v>
      </c>
      <c r="C3540" s="906">
        <v>2665</v>
      </c>
      <c r="D3540" s="907">
        <v>46091</v>
      </c>
      <c r="E3540" s="839" t="s">
        <v>288</v>
      </c>
      <c r="F3540" s="839" t="s">
        <v>289</v>
      </c>
      <c r="G3540" s="916">
        <f>VLOOKUP($A3540,'Tech Litons'!$A:$I,8,FALSE)</f>
        <v>4.2560000000000002E-3</v>
      </c>
      <c r="H3540" s="917">
        <f>VLOOKUP($A3540,'Tech Litons'!$A:$I,9,FALSE)</f>
        <v>154</v>
      </c>
      <c r="I3540" s="917" t="str">
        <f>VLOOKUP($A3540,'Tech Litons'!$A:$C,3,0)</f>
        <v>MBG</v>
      </c>
      <c r="J3540" s="918" t="str">
        <f t="shared" si="360"/>
        <v>1352MBG</v>
      </c>
      <c r="K3540" s="919">
        <v>1</v>
      </c>
      <c r="L3540" s="920">
        <f t="shared" si="361"/>
        <v>2665</v>
      </c>
      <c r="M3540" s="920">
        <f t="shared" si="362"/>
        <v>11.34224</v>
      </c>
      <c r="N3540" s="920">
        <f t="shared" si="363"/>
        <v>17.305194805194805</v>
      </c>
      <c r="O3540" s="918" t="str">
        <f t="shared" si="364"/>
        <v>Mar</v>
      </c>
      <c r="P3540" s="921">
        <f t="shared" si="365"/>
        <v>11</v>
      </c>
    </row>
    <row r="3541" spans="1:16" ht="15" hidden="1" customHeight="1">
      <c r="A3541" s="839">
        <v>68741742</v>
      </c>
      <c r="B3541" s="839">
        <v>1352</v>
      </c>
      <c r="C3541" s="906">
        <v>2926</v>
      </c>
      <c r="D3541" s="907">
        <v>46091</v>
      </c>
      <c r="E3541" s="839" t="s">
        <v>288</v>
      </c>
      <c r="F3541" s="839" t="s">
        <v>289</v>
      </c>
      <c r="G3541" s="916">
        <f>VLOOKUP($A3541,'Tech Litons'!$A:$I,8,FALSE)</f>
        <v>4.2560000000000002E-3</v>
      </c>
      <c r="H3541" s="917">
        <f>VLOOKUP($A3541,'Tech Litons'!$A:$I,9,FALSE)</f>
        <v>154</v>
      </c>
      <c r="I3541" s="917" t="str">
        <f>VLOOKUP($A3541,'Tech Litons'!$A:$C,3,0)</f>
        <v>MBG</v>
      </c>
      <c r="J3541" s="918" t="str">
        <f t="shared" si="360"/>
        <v>1352MBG</v>
      </c>
      <c r="K3541" s="919">
        <v>1</v>
      </c>
      <c r="L3541" s="920">
        <f t="shared" si="361"/>
        <v>2926</v>
      </c>
      <c r="M3541" s="920">
        <f t="shared" si="362"/>
        <v>12.453056</v>
      </c>
      <c r="N3541" s="920">
        <f t="shared" si="363"/>
        <v>19</v>
      </c>
      <c r="O3541" s="918" t="str">
        <f t="shared" si="364"/>
        <v>Mar</v>
      </c>
      <c r="P3541" s="921">
        <f t="shared" si="365"/>
        <v>11</v>
      </c>
    </row>
    <row r="3542" spans="1:16" ht="15" hidden="1" customHeight="1">
      <c r="A3542" s="839">
        <v>68741742</v>
      </c>
      <c r="B3542" s="839">
        <v>1352</v>
      </c>
      <c r="C3542" s="906">
        <v>3155</v>
      </c>
      <c r="D3542" s="907">
        <v>46092</v>
      </c>
      <c r="E3542" s="839" t="s">
        <v>288</v>
      </c>
      <c r="F3542" s="839" t="s">
        <v>289</v>
      </c>
      <c r="G3542" s="916">
        <f>VLOOKUP($A3542,'Tech Litons'!$A:$I,8,FALSE)</f>
        <v>4.2560000000000002E-3</v>
      </c>
      <c r="H3542" s="917">
        <f>VLOOKUP($A3542,'Tech Litons'!$A:$I,9,FALSE)</f>
        <v>154</v>
      </c>
      <c r="I3542" s="917" t="str">
        <f>VLOOKUP($A3542,'Tech Litons'!$A:$C,3,0)</f>
        <v>MBG</v>
      </c>
      <c r="J3542" s="918" t="str">
        <f t="shared" si="360"/>
        <v>1352MBG</v>
      </c>
      <c r="K3542" s="919">
        <v>1</v>
      </c>
      <c r="L3542" s="920">
        <f t="shared" si="361"/>
        <v>3155</v>
      </c>
      <c r="M3542" s="920">
        <f t="shared" si="362"/>
        <v>13.427680000000001</v>
      </c>
      <c r="N3542" s="920">
        <f t="shared" si="363"/>
        <v>20.487012987012989</v>
      </c>
      <c r="O3542" s="918" t="str">
        <f t="shared" si="364"/>
        <v>Mar</v>
      </c>
      <c r="P3542" s="921">
        <f t="shared" si="365"/>
        <v>11</v>
      </c>
    </row>
    <row r="3543" spans="1:16" ht="15" hidden="1" customHeight="1">
      <c r="A3543" s="839">
        <v>68741742</v>
      </c>
      <c r="B3543" s="839">
        <v>1352</v>
      </c>
      <c r="C3543" s="906">
        <v>2310</v>
      </c>
      <c r="D3543" s="907">
        <v>46092</v>
      </c>
      <c r="E3543" s="839" t="s">
        <v>288</v>
      </c>
      <c r="F3543" s="839" t="s">
        <v>289</v>
      </c>
      <c r="G3543" s="916">
        <f>VLOOKUP($A3543,'Tech Litons'!$A:$I,8,FALSE)</f>
        <v>4.2560000000000002E-3</v>
      </c>
      <c r="H3543" s="917">
        <f>VLOOKUP($A3543,'Tech Litons'!$A:$I,9,FALSE)</f>
        <v>154</v>
      </c>
      <c r="I3543" s="917" t="str">
        <f>VLOOKUP($A3543,'Tech Litons'!$A:$C,3,0)</f>
        <v>MBG</v>
      </c>
      <c r="J3543" s="918" t="str">
        <f t="shared" si="360"/>
        <v>1352MBG</v>
      </c>
      <c r="K3543" s="919">
        <v>1</v>
      </c>
      <c r="L3543" s="920">
        <f t="shared" si="361"/>
        <v>2310</v>
      </c>
      <c r="M3543" s="920">
        <f t="shared" si="362"/>
        <v>9.8313600000000001</v>
      </c>
      <c r="N3543" s="920">
        <f t="shared" si="363"/>
        <v>15</v>
      </c>
      <c r="O3543" s="918" t="str">
        <f t="shared" si="364"/>
        <v>Mar</v>
      </c>
      <c r="P3543" s="921">
        <f t="shared" si="365"/>
        <v>11</v>
      </c>
    </row>
    <row r="3544" spans="1:16" ht="15" hidden="1" customHeight="1">
      <c r="A3544" s="839">
        <v>68741742</v>
      </c>
      <c r="B3544" s="839">
        <v>1352</v>
      </c>
      <c r="C3544" s="906">
        <v>3052</v>
      </c>
      <c r="D3544" s="907">
        <v>46093</v>
      </c>
      <c r="E3544" s="839" t="s">
        <v>288</v>
      </c>
      <c r="F3544" s="839" t="s">
        <v>289</v>
      </c>
      <c r="G3544" s="916">
        <f>VLOOKUP($A3544,'Tech Litons'!$A:$I,8,FALSE)</f>
        <v>4.2560000000000002E-3</v>
      </c>
      <c r="H3544" s="917">
        <f>VLOOKUP($A3544,'Tech Litons'!$A:$I,9,FALSE)</f>
        <v>154</v>
      </c>
      <c r="I3544" s="917" t="str">
        <f>VLOOKUP($A3544,'Tech Litons'!$A:$C,3,0)</f>
        <v>MBG</v>
      </c>
      <c r="J3544" s="918" t="str">
        <f t="shared" si="360"/>
        <v>1352MBG</v>
      </c>
      <c r="K3544" s="919">
        <v>1</v>
      </c>
      <c r="L3544" s="920">
        <f t="shared" si="361"/>
        <v>3052</v>
      </c>
      <c r="M3544" s="920">
        <f t="shared" si="362"/>
        <v>12.989312</v>
      </c>
      <c r="N3544" s="920">
        <f t="shared" si="363"/>
        <v>19.818181818181817</v>
      </c>
      <c r="O3544" s="918" t="str">
        <f t="shared" si="364"/>
        <v>Mar</v>
      </c>
      <c r="P3544" s="921">
        <f t="shared" si="365"/>
        <v>11</v>
      </c>
    </row>
    <row r="3545" spans="1:16" ht="15" hidden="1" customHeight="1">
      <c r="A3545" s="839">
        <v>68741742</v>
      </c>
      <c r="B3545" s="839">
        <v>1352</v>
      </c>
      <c r="C3545" s="906">
        <v>2464</v>
      </c>
      <c r="D3545" s="907">
        <v>46094</v>
      </c>
      <c r="E3545" s="839" t="s">
        <v>288</v>
      </c>
      <c r="F3545" s="839" t="s">
        <v>289</v>
      </c>
      <c r="G3545" s="916">
        <f>VLOOKUP($A3545,'Tech Litons'!$A:$I,8,FALSE)</f>
        <v>4.2560000000000002E-3</v>
      </c>
      <c r="H3545" s="917">
        <f>VLOOKUP($A3545,'Tech Litons'!$A:$I,9,FALSE)</f>
        <v>154</v>
      </c>
      <c r="I3545" s="917" t="str">
        <f>VLOOKUP($A3545,'Tech Litons'!$A:$C,3,0)</f>
        <v>MBG</v>
      </c>
      <c r="J3545" s="918" t="str">
        <f t="shared" si="360"/>
        <v>1352MBG</v>
      </c>
      <c r="K3545" s="919">
        <v>1</v>
      </c>
      <c r="L3545" s="920">
        <f t="shared" si="361"/>
        <v>2464</v>
      </c>
      <c r="M3545" s="920">
        <f t="shared" si="362"/>
        <v>10.486784</v>
      </c>
      <c r="N3545" s="920">
        <f t="shared" si="363"/>
        <v>16</v>
      </c>
      <c r="O3545" s="918" t="str">
        <f t="shared" si="364"/>
        <v>Mar</v>
      </c>
      <c r="P3545" s="921">
        <f t="shared" si="365"/>
        <v>11</v>
      </c>
    </row>
    <row r="3546" spans="1:16" ht="15" hidden="1" customHeight="1">
      <c r="A3546" s="839">
        <v>68741742</v>
      </c>
      <c r="B3546" s="839">
        <v>1352</v>
      </c>
      <c r="C3546" s="906">
        <v>565</v>
      </c>
      <c r="D3546" s="907">
        <v>46095</v>
      </c>
      <c r="E3546" s="839" t="s">
        <v>288</v>
      </c>
      <c r="F3546" s="839" t="s">
        <v>289</v>
      </c>
      <c r="G3546" s="916">
        <f>VLOOKUP($A3546,'Tech Litons'!$A:$I,8,FALSE)</f>
        <v>4.2560000000000002E-3</v>
      </c>
      <c r="H3546" s="917">
        <f>VLOOKUP($A3546,'Tech Litons'!$A:$I,9,FALSE)</f>
        <v>154</v>
      </c>
      <c r="I3546" s="917" t="str">
        <f>VLOOKUP($A3546,'Tech Litons'!$A:$C,3,0)</f>
        <v>MBG</v>
      </c>
      <c r="J3546" s="918" t="str">
        <f t="shared" si="360"/>
        <v>1352MBG</v>
      </c>
      <c r="K3546" s="919">
        <v>1</v>
      </c>
      <c r="L3546" s="920">
        <f t="shared" si="361"/>
        <v>565</v>
      </c>
      <c r="M3546" s="920">
        <f t="shared" si="362"/>
        <v>2.4046400000000001</v>
      </c>
      <c r="N3546" s="920">
        <f t="shared" si="363"/>
        <v>3.668831168831169</v>
      </c>
      <c r="O3546" s="918" t="str">
        <f t="shared" si="364"/>
        <v>Mar</v>
      </c>
      <c r="P3546" s="921">
        <f t="shared" si="365"/>
        <v>11</v>
      </c>
    </row>
    <row r="3547" spans="1:16" ht="15" hidden="1" customHeight="1">
      <c r="A3547" s="839">
        <v>68741742</v>
      </c>
      <c r="B3547" s="839">
        <v>1352</v>
      </c>
      <c r="C3547" s="906">
        <v>2002</v>
      </c>
      <c r="D3547" s="907">
        <v>46093</v>
      </c>
      <c r="E3547" s="839" t="s">
        <v>288</v>
      </c>
      <c r="F3547" s="839" t="s">
        <v>289</v>
      </c>
      <c r="G3547" s="916">
        <f>VLOOKUP($A3547,'Tech Litons'!$A:$I,8,FALSE)</f>
        <v>4.2560000000000002E-3</v>
      </c>
      <c r="H3547" s="917">
        <f>VLOOKUP($A3547,'Tech Litons'!$A:$I,9,FALSE)</f>
        <v>154</v>
      </c>
      <c r="I3547" s="917" t="str">
        <f>VLOOKUP($A3547,'Tech Litons'!$A:$C,3,0)</f>
        <v>MBG</v>
      </c>
      <c r="J3547" s="918" t="str">
        <f t="shared" si="360"/>
        <v>1352MBG</v>
      </c>
      <c r="K3547" s="919">
        <v>1</v>
      </c>
      <c r="L3547" s="920">
        <f t="shared" si="361"/>
        <v>2002</v>
      </c>
      <c r="M3547" s="920">
        <f t="shared" si="362"/>
        <v>8.5205120000000001</v>
      </c>
      <c r="N3547" s="920">
        <f t="shared" si="363"/>
        <v>13</v>
      </c>
      <c r="O3547" s="918" t="str">
        <f t="shared" si="364"/>
        <v>Mar</v>
      </c>
      <c r="P3547" s="921">
        <f t="shared" si="365"/>
        <v>11</v>
      </c>
    </row>
    <row r="3548" spans="1:16" ht="15" hidden="1" customHeight="1">
      <c r="A3548" s="839">
        <v>68741742</v>
      </c>
      <c r="B3548" s="839">
        <v>1352</v>
      </c>
      <c r="C3548" s="906">
        <v>2921</v>
      </c>
      <c r="D3548" s="907">
        <v>46094</v>
      </c>
      <c r="E3548" s="839" t="s">
        <v>288</v>
      </c>
      <c r="F3548" s="839" t="s">
        <v>289</v>
      </c>
      <c r="G3548" s="916">
        <f>VLOOKUP($A3548,'Tech Litons'!$A:$I,8,FALSE)</f>
        <v>4.2560000000000002E-3</v>
      </c>
      <c r="H3548" s="917">
        <f>VLOOKUP($A3548,'Tech Litons'!$A:$I,9,FALSE)</f>
        <v>154</v>
      </c>
      <c r="I3548" s="917" t="str">
        <f>VLOOKUP($A3548,'Tech Litons'!$A:$C,3,0)</f>
        <v>MBG</v>
      </c>
      <c r="J3548" s="918" t="str">
        <f t="shared" si="360"/>
        <v>1352MBG</v>
      </c>
      <c r="K3548" s="919">
        <v>1</v>
      </c>
      <c r="L3548" s="920">
        <f t="shared" si="361"/>
        <v>2921</v>
      </c>
      <c r="M3548" s="920">
        <f t="shared" si="362"/>
        <v>12.431776000000001</v>
      </c>
      <c r="N3548" s="920">
        <f t="shared" si="363"/>
        <v>18.967532467532468</v>
      </c>
      <c r="O3548" s="918" t="str">
        <f t="shared" si="364"/>
        <v>Mar</v>
      </c>
      <c r="P3548" s="921">
        <f t="shared" si="365"/>
        <v>11</v>
      </c>
    </row>
    <row r="3549" spans="1:16" ht="15" hidden="1" customHeight="1">
      <c r="A3549" s="839">
        <v>68817792</v>
      </c>
      <c r="B3549" s="839">
        <v>1352</v>
      </c>
      <c r="C3549" s="906">
        <v>3674</v>
      </c>
      <c r="D3549" s="907">
        <v>46085</v>
      </c>
      <c r="E3549" s="839" t="s">
        <v>384</v>
      </c>
      <c r="F3549" s="839" t="s">
        <v>290</v>
      </c>
      <c r="G3549" s="916">
        <f>VLOOKUP($A3549,'Tech Litons'!$A:$I,8,FALSE)</f>
        <v>8.5199999999999998E-3</v>
      </c>
      <c r="H3549" s="917">
        <f>VLOOKUP($A3549,'Tech Litons'!$A:$I,9,FALSE)</f>
        <v>154</v>
      </c>
      <c r="I3549" s="917" t="str">
        <f>VLOOKUP($A3549,'Tech Litons'!$A:$C,3,0)</f>
        <v>48oz</v>
      </c>
      <c r="J3549" s="918" t="str">
        <f t="shared" si="360"/>
        <v>135248oz</v>
      </c>
      <c r="K3549" s="919">
        <v>1</v>
      </c>
      <c r="L3549" s="920">
        <f t="shared" si="361"/>
        <v>3674</v>
      </c>
      <c r="M3549" s="920">
        <f t="shared" si="362"/>
        <v>31.302479999999999</v>
      </c>
      <c r="N3549" s="920">
        <f t="shared" si="363"/>
        <v>23.857142857142858</v>
      </c>
      <c r="O3549" s="918" t="str">
        <f t="shared" si="364"/>
        <v>Mar</v>
      </c>
      <c r="P3549" s="921">
        <f t="shared" si="365"/>
        <v>10</v>
      </c>
    </row>
    <row r="3550" spans="1:16" ht="15" hidden="1" customHeight="1">
      <c r="A3550" s="839">
        <v>68817792</v>
      </c>
      <c r="B3550" s="839">
        <v>1352</v>
      </c>
      <c r="C3550" s="906">
        <v>5140</v>
      </c>
      <c r="D3550" s="907">
        <v>46086</v>
      </c>
      <c r="E3550" s="839" t="s">
        <v>384</v>
      </c>
      <c r="F3550" s="839" t="s">
        <v>290</v>
      </c>
      <c r="G3550" s="916">
        <f>VLOOKUP($A3550,'Tech Litons'!$A:$I,8,FALSE)</f>
        <v>8.5199999999999998E-3</v>
      </c>
      <c r="H3550" s="917">
        <f>VLOOKUP($A3550,'Tech Litons'!$A:$I,9,FALSE)</f>
        <v>154</v>
      </c>
      <c r="I3550" s="917" t="str">
        <f>VLOOKUP($A3550,'Tech Litons'!$A:$C,3,0)</f>
        <v>48oz</v>
      </c>
      <c r="J3550" s="918" t="str">
        <f t="shared" si="360"/>
        <v>135248oz</v>
      </c>
      <c r="K3550" s="919">
        <v>1</v>
      </c>
      <c r="L3550" s="920">
        <f t="shared" si="361"/>
        <v>5140</v>
      </c>
      <c r="M3550" s="920">
        <f t="shared" si="362"/>
        <v>43.7928</v>
      </c>
      <c r="N3550" s="920">
        <f t="shared" si="363"/>
        <v>33.376623376623378</v>
      </c>
      <c r="O3550" s="918" t="str">
        <f t="shared" si="364"/>
        <v>Mar</v>
      </c>
      <c r="P3550" s="921">
        <f t="shared" si="365"/>
        <v>10</v>
      </c>
    </row>
    <row r="3551" spans="1:16" ht="15" hidden="1" customHeight="1">
      <c r="A3551" s="839">
        <v>68817792</v>
      </c>
      <c r="B3551" s="839">
        <v>1352</v>
      </c>
      <c r="C3551" s="906">
        <v>1057</v>
      </c>
      <c r="D3551" s="907">
        <v>46085</v>
      </c>
      <c r="E3551" s="839" t="s">
        <v>384</v>
      </c>
      <c r="F3551" s="839" t="s">
        <v>290</v>
      </c>
      <c r="G3551" s="916">
        <f>VLOOKUP($A3551,'Tech Litons'!$A:$I,8,FALSE)</f>
        <v>8.5199999999999998E-3</v>
      </c>
      <c r="H3551" s="917">
        <f>VLOOKUP($A3551,'Tech Litons'!$A:$I,9,FALSE)</f>
        <v>154</v>
      </c>
      <c r="I3551" s="917" t="str">
        <f>VLOOKUP($A3551,'Tech Litons'!$A:$C,3,0)</f>
        <v>48oz</v>
      </c>
      <c r="J3551" s="918" t="str">
        <f t="shared" si="360"/>
        <v>135248oz</v>
      </c>
      <c r="K3551" s="919">
        <v>1</v>
      </c>
      <c r="L3551" s="920">
        <f t="shared" si="361"/>
        <v>1057</v>
      </c>
      <c r="M3551" s="920">
        <f t="shared" si="362"/>
        <v>9.0056399999999996</v>
      </c>
      <c r="N3551" s="920">
        <f t="shared" si="363"/>
        <v>6.8636363636363633</v>
      </c>
      <c r="O3551" s="918" t="str">
        <f t="shared" si="364"/>
        <v>Mar</v>
      </c>
      <c r="P3551" s="921">
        <f t="shared" si="365"/>
        <v>10</v>
      </c>
    </row>
    <row r="3552" spans="1:16" ht="15" hidden="1" customHeight="1">
      <c r="A3552" s="839">
        <v>68817793</v>
      </c>
      <c r="B3552" s="839">
        <v>1352</v>
      </c>
      <c r="C3552" s="906">
        <v>1309</v>
      </c>
      <c r="D3552" s="907">
        <v>46080</v>
      </c>
      <c r="E3552" s="839" t="s">
        <v>353</v>
      </c>
      <c r="F3552" s="839" t="s">
        <v>266</v>
      </c>
      <c r="G3552" s="916">
        <f>VLOOKUP($A3552,'Tech Litons'!$A:$I,8,FALSE)</f>
        <v>8.5199999999999998E-3</v>
      </c>
      <c r="H3552" s="917">
        <f>VLOOKUP($A3552,'Tech Litons'!$A:$I,9,FALSE)</f>
        <v>176</v>
      </c>
      <c r="I3552" s="917" t="str">
        <f>VLOOKUP($A3552,'Tech Litons'!$A:$C,3,0)</f>
        <v>48oz</v>
      </c>
      <c r="J3552" s="918" t="str">
        <f t="shared" si="360"/>
        <v>135248oz</v>
      </c>
      <c r="K3552" s="919">
        <v>1</v>
      </c>
      <c r="L3552" s="920">
        <f t="shared" si="361"/>
        <v>1309</v>
      </c>
      <c r="M3552" s="920">
        <f t="shared" si="362"/>
        <v>11.15268</v>
      </c>
      <c r="N3552" s="920">
        <f t="shared" si="363"/>
        <v>7.4375</v>
      </c>
      <c r="O3552" s="918" t="str">
        <f t="shared" si="364"/>
        <v>Feb</v>
      </c>
      <c r="P3552" s="921">
        <f t="shared" si="365"/>
        <v>9</v>
      </c>
    </row>
    <row r="3553" spans="1:16" ht="15" hidden="1" customHeight="1">
      <c r="A3553" s="839">
        <v>68817793</v>
      </c>
      <c r="B3553" s="839">
        <v>1352</v>
      </c>
      <c r="C3553" s="906">
        <v>10232</v>
      </c>
      <c r="D3553" s="907">
        <v>46081</v>
      </c>
      <c r="E3553" s="839" t="s">
        <v>353</v>
      </c>
      <c r="F3553" s="839" t="s">
        <v>266</v>
      </c>
      <c r="G3553" s="916">
        <f>VLOOKUP($A3553,'Tech Litons'!$A:$I,8,FALSE)</f>
        <v>8.5199999999999998E-3</v>
      </c>
      <c r="H3553" s="917">
        <f>VLOOKUP($A3553,'Tech Litons'!$A:$I,9,FALSE)</f>
        <v>176</v>
      </c>
      <c r="I3553" s="917" t="str">
        <f>VLOOKUP($A3553,'Tech Litons'!$A:$C,3,0)</f>
        <v>48oz</v>
      </c>
      <c r="J3553" s="918" t="str">
        <f t="shared" si="360"/>
        <v>135248oz</v>
      </c>
      <c r="K3553" s="919">
        <v>1</v>
      </c>
      <c r="L3553" s="920">
        <f t="shared" si="361"/>
        <v>10232</v>
      </c>
      <c r="M3553" s="920">
        <f t="shared" si="362"/>
        <v>87.176639999999992</v>
      </c>
      <c r="N3553" s="920">
        <f t="shared" si="363"/>
        <v>58.136363636363633</v>
      </c>
      <c r="O3553" s="918" t="str">
        <f t="shared" si="364"/>
        <v>Feb</v>
      </c>
      <c r="P3553" s="921">
        <f t="shared" si="365"/>
        <v>9</v>
      </c>
    </row>
    <row r="3554" spans="1:16" ht="15" hidden="1" customHeight="1">
      <c r="A3554" s="839">
        <v>68817793</v>
      </c>
      <c r="B3554" s="839">
        <v>1352</v>
      </c>
      <c r="C3554" s="906">
        <v>8272</v>
      </c>
      <c r="D3554" s="907">
        <v>46081</v>
      </c>
      <c r="E3554" s="839" t="s">
        <v>353</v>
      </c>
      <c r="F3554" s="839" t="s">
        <v>266</v>
      </c>
      <c r="G3554" s="916">
        <f>VLOOKUP($A3554,'Tech Litons'!$A:$I,8,FALSE)</f>
        <v>8.5199999999999998E-3</v>
      </c>
      <c r="H3554" s="917">
        <f>VLOOKUP($A3554,'Tech Litons'!$A:$I,9,FALSE)</f>
        <v>176</v>
      </c>
      <c r="I3554" s="917" t="str">
        <f>VLOOKUP($A3554,'Tech Litons'!$A:$C,3,0)</f>
        <v>48oz</v>
      </c>
      <c r="J3554" s="918" t="str">
        <f t="shared" si="360"/>
        <v>135248oz</v>
      </c>
      <c r="K3554" s="919">
        <v>1</v>
      </c>
      <c r="L3554" s="920">
        <f t="shared" si="361"/>
        <v>8272</v>
      </c>
      <c r="M3554" s="920">
        <f t="shared" si="362"/>
        <v>70.477440000000001</v>
      </c>
      <c r="N3554" s="920">
        <f t="shared" si="363"/>
        <v>47</v>
      </c>
      <c r="O3554" s="918" t="str">
        <f t="shared" si="364"/>
        <v>Feb</v>
      </c>
      <c r="P3554" s="921">
        <f t="shared" si="365"/>
        <v>9</v>
      </c>
    </row>
    <row r="3555" spans="1:16" ht="15" hidden="1" customHeight="1">
      <c r="A3555" s="839">
        <v>68817793</v>
      </c>
      <c r="B3555" s="839">
        <v>1352</v>
      </c>
      <c r="C3555" s="906">
        <v>4918</v>
      </c>
      <c r="D3555" s="907">
        <v>46082</v>
      </c>
      <c r="E3555" s="839" t="s">
        <v>353</v>
      </c>
      <c r="F3555" s="839" t="s">
        <v>266</v>
      </c>
      <c r="G3555" s="916">
        <f>VLOOKUP($A3555,'Tech Litons'!$A:$I,8,FALSE)</f>
        <v>8.5199999999999998E-3</v>
      </c>
      <c r="H3555" s="917">
        <f>VLOOKUP($A3555,'Tech Litons'!$A:$I,9,FALSE)</f>
        <v>176</v>
      </c>
      <c r="I3555" s="917" t="str">
        <f>VLOOKUP($A3555,'Tech Litons'!$A:$C,3,0)</f>
        <v>48oz</v>
      </c>
      <c r="J3555" s="918" t="str">
        <f t="shared" si="360"/>
        <v>135248oz</v>
      </c>
      <c r="K3555" s="919">
        <v>1</v>
      </c>
      <c r="L3555" s="920">
        <f t="shared" si="361"/>
        <v>4918</v>
      </c>
      <c r="M3555" s="920">
        <f t="shared" si="362"/>
        <v>41.901359999999997</v>
      </c>
      <c r="N3555" s="920">
        <f t="shared" si="363"/>
        <v>27.943181818181817</v>
      </c>
      <c r="O3555" s="918" t="str">
        <f t="shared" si="364"/>
        <v>Mar</v>
      </c>
      <c r="P3555" s="921">
        <f t="shared" si="365"/>
        <v>10</v>
      </c>
    </row>
    <row r="3556" spans="1:16" ht="15" hidden="1" customHeight="1">
      <c r="A3556" s="839">
        <v>68817793</v>
      </c>
      <c r="B3556" s="839">
        <v>1352</v>
      </c>
      <c r="C3556" s="906">
        <v>176</v>
      </c>
      <c r="D3556" s="907">
        <v>46083</v>
      </c>
      <c r="E3556" s="839" t="s">
        <v>353</v>
      </c>
      <c r="F3556" s="839" t="s">
        <v>266</v>
      </c>
      <c r="G3556" s="916">
        <f>VLOOKUP($A3556,'Tech Litons'!$A:$I,8,FALSE)</f>
        <v>8.5199999999999998E-3</v>
      </c>
      <c r="H3556" s="917">
        <f>VLOOKUP($A3556,'Tech Litons'!$A:$I,9,FALSE)</f>
        <v>176</v>
      </c>
      <c r="I3556" s="917" t="str">
        <f>VLOOKUP($A3556,'Tech Litons'!$A:$C,3,0)</f>
        <v>48oz</v>
      </c>
      <c r="J3556" s="918" t="str">
        <f t="shared" si="360"/>
        <v>135248oz</v>
      </c>
      <c r="K3556" s="919">
        <v>1</v>
      </c>
      <c r="L3556" s="920">
        <f t="shared" si="361"/>
        <v>176</v>
      </c>
      <c r="M3556" s="920">
        <f t="shared" si="362"/>
        <v>1.49952</v>
      </c>
      <c r="N3556" s="920">
        <f t="shared" si="363"/>
        <v>1</v>
      </c>
      <c r="O3556" s="918" t="str">
        <f t="shared" si="364"/>
        <v>Mar</v>
      </c>
      <c r="P3556" s="921">
        <f t="shared" si="365"/>
        <v>10</v>
      </c>
    </row>
    <row r="3557" spans="1:16" ht="15" hidden="1" customHeight="1">
      <c r="A3557" s="839">
        <v>68817793</v>
      </c>
      <c r="B3557" s="839">
        <v>1352</v>
      </c>
      <c r="C3557" s="906">
        <v>2992</v>
      </c>
      <c r="D3557" s="907">
        <v>46082</v>
      </c>
      <c r="E3557" s="839" t="s">
        <v>353</v>
      </c>
      <c r="F3557" s="839" t="s">
        <v>266</v>
      </c>
      <c r="G3557" s="916">
        <f>VLOOKUP($A3557,'Tech Litons'!$A:$I,8,FALSE)</f>
        <v>8.5199999999999998E-3</v>
      </c>
      <c r="H3557" s="917">
        <f>VLOOKUP($A3557,'Tech Litons'!$A:$I,9,FALSE)</f>
        <v>176</v>
      </c>
      <c r="I3557" s="917" t="str">
        <f>VLOOKUP($A3557,'Tech Litons'!$A:$C,3,0)</f>
        <v>48oz</v>
      </c>
      <c r="J3557" s="918" t="str">
        <f t="shared" si="360"/>
        <v>135248oz</v>
      </c>
      <c r="K3557" s="919">
        <v>1</v>
      </c>
      <c r="L3557" s="920">
        <f t="shared" si="361"/>
        <v>2992</v>
      </c>
      <c r="M3557" s="920">
        <f t="shared" si="362"/>
        <v>25.49184</v>
      </c>
      <c r="N3557" s="920">
        <f t="shared" si="363"/>
        <v>17</v>
      </c>
      <c r="O3557" s="918" t="str">
        <f t="shared" si="364"/>
        <v>Mar</v>
      </c>
      <c r="P3557" s="921">
        <f t="shared" si="365"/>
        <v>10</v>
      </c>
    </row>
    <row r="3558" spans="1:16" ht="15" hidden="1" customHeight="1">
      <c r="A3558" s="839">
        <v>68817793</v>
      </c>
      <c r="B3558" s="839">
        <v>1352</v>
      </c>
      <c r="C3558" s="906">
        <v>7533</v>
      </c>
      <c r="D3558" s="907">
        <v>46083</v>
      </c>
      <c r="E3558" s="839" t="s">
        <v>353</v>
      </c>
      <c r="F3558" s="839" t="s">
        <v>266</v>
      </c>
      <c r="G3558" s="916">
        <f>VLOOKUP($A3558,'Tech Litons'!$A:$I,8,FALSE)</f>
        <v>8.5199999999999998E-3</v>
      </c>
      <c r="H3558" s="917">
        <f>VLOOKUP($A3558,'Tech Litons'!$A:$I,9,FALSE)</f>
        <v>176</v>
      </c>
      <c r="I3558" s="917" t="str">
        <f>VLOOKUP($A3558,'Tech Litons'!$A:$C,3,0)</f>
        <v>48oz</v>
      </c>
      <c r="J3558" s="918" t="str">
        <f t="shared" si="360"/>
        <v>135248oz</v>
      </c>
      <c r="K3558" s="919">
        <v>1</v>
      </c>
      <c r="L3558" s="920">
        <f t="shared" si="361"/>
        <v>7533</v>
      </c>
      <c r="M3558" s="920">
        <f t="shared" si="362"/>
        <v>64.181160000000006</v>
      </c>
      <c r="N3558" s="920">
        <f t="shared" si="363"/>
        <v>42.801136363636367</v>
      </c>
      <c r="O3558" s="918" t="str">
        <f t="shared" si="364"/>
        <v>Mar</v>
      </c>
      <c r="P3558" s="921">
        <f t="shared" si="365"/>
        <v>10</v>
      </c>
    </row>
    <row r="3559" spans="1:16" ht="15" hidden="1" customHeight="1">
      <c r="A3559" s="839">
        <v>68817793</v>
      </c>
      <c r="B3559" s="839">
        <v>1352</v>
      </c>
      <c r="C3559" s="906">
        <v>4048</v>
      </c>
      <c r="D3559" s="907">
        <v>46083</v>
      </c>
      <c r="E3559" s="839" t="s">
        <v>353</v>
      </c>
      <c r="F3559" s="839" t="s">
        <v>266</v>
      </c>
      <c r="G3559" s="916">
        <f>VLOOKUP($A3559,'Tech Litons'!$A:$I,8,FALSE)</f>
        <v>8.5199999999999998E-3</v>
      </c>
      <c r="H3559" s="917">
        <f>VLOOKUP($A3559,'Tech Litons'!$A:$I,9,FALSE)</f>
        <v>176</v>
      </c>
      <c r="I3559" s="917" t="str">
        <f>VLOOKUP($A3559,'Tech Litons'!$A:$C,3,0)</f>
        <v>48oz</v>
      </c>
      <c r="J3559" s="918" t="str">
        <f t="shared" si="360"/>
        <v>135248oz</v>
      </c>
      <c r="K3559" s="919">
        <v>1</v>
      </c>
      <c r="L3559" s="920">
        <f t="shared" si="361"/>
        <v>4048</v>
      </c>
      <c r="M3559" s="920">
        <f t="shared" si="362"/>
        <v>34.488959999999999</v>
      </c>
      <c r="N3559" s="920">
        <f t="shared" si="363"/>
        <v>23</v>
      </c>
      <c r="O3559" s="918" t="str">
        <f t="shared" si="364"/>
        <v>Mar</v>
      </c>
      <c r="P3559" s="921">
        <f t="shared" si="365"/>
        <v>10</v>
      </c>
    </row>
    <row r="3560" spans="1:16" ht="15" hidden="1" customHeight="1">
      <c r="A3560" s="839">
        <v>68817793</v>
      </c>
      <c r="B3560" s="839">
        <v>1352</v>
      </c>
      <c r="C3560" s="906">
        <v>3369</v>
      </c>
      <c r="D3560" s="907">
        <v>46084</v>
      </c>
      <c r="E3560" s="839" t="s">
        <v>353</v>
      </c>
      <c r="F3560" s="839" t="s">
        <v>266</v>
      </c>
      <c r="G3560" s="916">
        <f>VLOOKUP($A3560,'Tech Litons'!$A:$I,8,FALSE)</f>
        <v>8.5199999999999998E-3</v>
      </c>
      <c r="H3560" s="917">
        <f>VLOOKUP($A3560,'Tech Litons'!$A:$I,9,FALSE)</f>
        <v>176</v>
      </c>
      <c r="I3560" s="917" t="str">
        <f>VLOOKUP($A3560,'Tech Litons'!$A:$C,3,0)</f>
        <v>48oz</v>
      </c>
      <c r="J3560" s="918" t="str">
        <f t="shared" si="360"/>
        <v>135248oz</v>
      </c>
      <c r="K3560" s="919">
        <v>1</v>
      </c>
      <c r="L3560" s="920">
        <f t="shared" si="361"/>
        <v>3369</v>
      </c>
      <c r="M3560" s="920">
        <f t="shared" si="362"/>
        <v>28.703879999999998</v>
      </c>
      <c r="N3560" s="920">
        <f t="shared" si="363"/>
        <v>19.142045454545453</v>
      </c>
      <c r="O3560" s="918" t="str">
        <f t="shared" si="364"/>
        <v>Mar</v>
      </c>
      <c r="P3560" s="921">
        <f t="shared" si="365"/>
        <v>10</v>
      </c>
    </row>
    <row r="3561" spans="1:16" ht="15" hidden="1" customHeight="1">
      <c r="A3561" s="839">
        <v>68817793</v>
      </c>
      <c r="B3561" s="839">
        <v>1352</v>
      </c>
      <c r="C3561" s="906">
        <v>4981</v>
      </c>
      <c r="D3561" s="907">
        <v>46100</v>
      </c>
      <c r="E3561" s="839" t="s">
        <v>353</v>
      </c>
      <c r="F3561" s="839" t="s">
        <v>290</v>
      </c>
      <c r="G3561" s="916">
        <f>VLOOKUP($A3561,'Tech Litons'!$A:$I,8,FALSE)</f>
        <v>8.5199999999999998E-3</v>
      </c>
      <c r="H3561" s="917">
        <f>VLOOKUP($A3561,'Tech Litons'!$A:$I,9,FALSE)</f>
        <v>176</v>
      </c>
      <c r="I3561" s="917" t="str">
        <f>VLOOKUP($A3561,'Tech Litons'!$A:$C,3,0)</f>
        <v>48oz</v>
      </c>
      <c r="J3561" s="918" t="str">
        <f t="shared" si="360"/>
        <v>135248oz</v>
      </c>
      <c r="K3561" s="919">
        <v>1</v>
      </c>
      <c r="L3561" s="920">
        <f t="shared" si="361"/>
        <v>4981</v>
      </c>
      <c r="M3561" s="920">
        <f t="shared" si="362"/>
        <v>42.438119999999998</v>
      </c>
      <c r="N3561" s="920">
        <f t="shared" si="363"/>
        <v>28.301136363636363</v>
      </c>
      <c r="O3561" s="918" t="str">
        <f t="shared" si="364"/>
        <v>Mar</v>
      </c>
      <c r="P3561" s="921">
        <f t="shared" si="365"/>
        <v>12</v>
      </c>
    </row>
    <row r="3562" spans="1:16" ht="15" hidden="1" customHeight="1">
      <c r="A3562" s="839">
        <v>68817793</v>
      </c>
      <c r="B3562" s="839">
        <v>1352</v>
      </c>
      <c r="C3562" s="906">
        <v>8770</v>
      </c>
      <c r="D3562" s="907">
        <v>46101</v>
      </c>
      <c r="E3562" s="839" t="s">
        <v>353</v>
      </c>
      <c r="F3562" s="839" t="s">
        <v>290</v>
      </c>
      <c r="G3562" s="916">
        <f>VLOOKUP($A3562,'Tech Litons'!$A:$I,8,FALSE)</f>
        <v>8.5199999999999998E-3</v>
      </c>
      <c r="H3562" s="917">
        <f>VLOOKUP($A3562,'Tech Litons'!$A:$I,9,FALSE)</f>
        <v>176</v>
      </c>
      <c r="I3562" s="917" t="str">
        <f>VLOOKUP($A3562,'Tech Litons'!$A:$C,3,0)</f>
        <v>48oz</v>
      </c>
      <c r="J3562" s="918" t="str">
        <f t="shared" si="360"/>
        <v>135248oz</v>
      </c>
      <c r="K3562" s="919">
        <v>1</v>
      </c>
      <c r="L3562" s="920">
        <f t="shared" si="361"/>
        <v>8770</v>
      </c>
      <c r="M3562" s="920">
        <f t="shared" si="362"/>
        <v>74.720399999999998</v>
      </c>
      <c r="N3562" s="920">
        <f t="shared" si="363"/>
        <v>49.829545454545453</v>
      </c>
      <c r="O3562" s="918" t="str">
        <f t="shared" si="364"/>
        <v>Mar</v>
      </c>
      <c r="P3562" s="921">
        <f t="shared" si="365"/>
        <v>12</v>
      </c>
    </row>
    <row r="3563" spans="1:16" ht="15" hidden="1" customHeight="1">
      <c r="A3563" s="839">
        <v>68817793</v>
      </c>
      <c r="B3563" s="839">
        <v>1352</v>
      </c>
      <c r="C3563" s="906">
        <v>5796</v>
      </c>
      <c r="D3563" s="907">
        <v>46101</v>
      </c>
      <c r="E3563" s="839" t="s">
        <v>353</v>
      </c>
      <c r="F3563" s="839" t="s">
        <v>290</v>
      </c>
      <c r="G3563" s="916">
        <f>VLOOKUP($A3563,'Tech Litons'!$A:$I,8,FALSE)</f>
        <v>8.5199999999999998E-3</v>
      </c>
      <c r="H3563" s="917">
        <f>VLOOKUP($A3563,'Tech Litons'!$A:$I,9,FALSE)</f>
        <v>176</v>
      </c>
      <c r="I3563" s="917" t="str">
        <f>VLOOKUP($A3563,'Tech Litons'!$A:$C,3,0)</f>
        <v>48oz</v>
      </c>
      <c r="J3563" s="918" t="str">
        <f t="shared" si="360"/>
        <v>135248oz</v>
      </c>
      <c r="K3563" s="919">
        <v>1</v>
      </c>
      <c r="L3563" s="920">
        <f t="shared" si="361"/>
        <v>5796</v>
      </c>
      <c r="M3563" s="920">
        <f t="shared" si="362"/>
        <v>49.381920000000001</v>
      </c>
      <c r="N3563" s="920">
        <f t="shared" si="363"/>
        <v>32.93181818181818</v>
      </c>
      <c r="O3563" s="918" t="str">
        <f t="shared" si="364"/>
        <v>Mar</v>
      </c>
      <c r="P3563" s="921">
        <f t="shared" si="365"/>
        <v>12</v>
      </c>
    </row>
    <row r="3564" spans="1:16" ht="15" hidden="1" customHeight="1">
      <c r="A3564" s="839">
        <v>68817793</v>
      </c>
      <c r="B3564" s="839">
        <v>1352</v>
      </c>
      <c r="C3564" s="906">
        <v>9126</v>
      </c>
      <c r="D3564" s="907">
        <v>46102</v>
      </c>
      <c r="E3564" s="839" t="s">
        <v>353</v>
      </c>
      <c r="F3564" s="839" t="s">
        <v>290</v>
      </c>
      <c r="G3564" s="916">
        <f>VLOOKUP($A3564,'Tech Litons'!$A:$I,8,FALSE)</f>
        <v>8.5199999999999998E-3</v>
      </c>
      <c r="H3564" s="917">
        <f>VLOOKUP($A3564,'Tech Litons'!$A:$I,9,FALSE)</f>
        <v>176</v>
      </c>
      <c r="I3564" s="917" t="str">
        <f>VLOOKUP($A3564,'Tech Litons'!$A:$C,3,0)</f>
        <v>48oz</v>
      </c>
      <c r="J3564" s="918" t="str">
        <f t="shared" si="360"/>
        <v>135248oz</v>
      </c>
      <c r="K3564" s="919">
        <v>1</v>
      </c>
      <c r="L3564" s="920">
        <f t="shared" si="361"/>
        <v>9126</v>
      </c>
      <c r="M3564" s="920">
        <f t="shared" si="362"/>
        <v>77.753519999999995</v>
      </c>
      <c r="N3564" s="920">
        <f t="shared" si="363"/>
        <v>51.852272727272727</v>
      </c>
      <c r="O3564" s="918" t="str">
        <f t="shared" si="364"/>
        <v>Mar</v>
      </c>
      <c r="P3564" s="921">
        <f t="shared" si="365"/>
        <v>12</v>
      </c>
    </row>
    <row r="3565" spans="1:16" ht="15" hidden="1" customHeight="1">
      <c r="A3565" s="839">
        <v>68817793</v>
      </c>
      <c r="B3565" s="839">
        <v>1352</v>
      </c>
      <c r="C3565" s="906">
        <v>6149</v>
      </c>
      <c r="D3565" s="907">
        <v>46102</v>
      </c>
      <c r="E3565" s="839" t="s">
        <v>353</v>
      </c>
      <c r="F3565" s="839" t="s">
        <v>290</v>
      </c>
      <c r="G3565" s="916">
        <f>VLOOKUP($A3565,'Tech Litons'!$A:$I,8,FALSE)</f>
        <v>8.5199999999999998E-3</v>
      </c>
      <c r="H3565" s="917">
        <f>VLOOKUP($A3565,'Tech Litons'!$A:$I,9,FALSE)</f>
        <v>176</v>
      </c>
      <c r="I3565" s="917" t="str">
        <f>VLOOKUP($A3565,'Tech Litons'!$A:$C,3,0)</f>
        <v>48oz</v>
      </c>
      <c r="J3565" s="918" t="str">
        <f t="shared" si="360"/>
        <v>135248oz</v>
      </c>
      <c r="K3565" s="919">
        <v>1</v>
      </c>
      <c r="L3565" s="920">
        <f t="shared" si="361"/>
        <v>6149</v>
      </c>
      <c r="M3565" s="920">
        <f t="shared" si="362"/>
        <v>52.389479999999999</v>
      </c>
      <c r="N3565" s="920">
        <f t="shared" si="363"/>
        <v>34.9375</v>
      </c>
      <c r="O3565" s="918" t="str">
        <f t="shared" si="364"/>
        <v>Mar</v>
      </c>
      <c r="P3565" s="921">
        <f t="shared" si="365"/>
        <v>12</v>
      </c>
    </row>
    <row r="3566" spans="1:16" ht="15" hidden="1" customHeight="1">
      <c r="A3566" s="839">
        <v>68817793</v>
      </c>
      <c r="B3566" s="839">
        <v>1352</v>
      </c>
      <c r="C3566" s="906">
        <v>6899</v>
      </c>
      <c r="D3566" s="907">
        <v>46103</v>
      </c>
      <c r="E3566" s="839" t="s">
        <v>353</v>
      </c>
      <c r="F3566" s="839" t="s">
        <v>290</v>
      </c>
      <c r="G3566" s="916">
        <f>VLOOKUP($A3566,'Tech Litons'!$A:$I,8,FALSE)</f>
        <v>8.5199999999999998E-3</v>
      </c>
      <c r="H3566" s="917">
        <f>VLOOKUP($A3566,'Tech Litons'!$A:$I,9,FALSE)</f>
        <v>176</v>
      </c>
      <c r="I3566" s="917" t="str">
        <f>VLOOKUP($A3566,'Tech Litons'!$A:$C,3,0)</f>
        <v>48oz</v>
      </c>
      <c r="J3566" s="918" t="str">
        <f t="shared" si="360"/>
        <v>135248oz</v>
      </c>
      <c r="K3566" s="919">
        <v>1</v>
      </c>
      <c r="L3566" s="920">
        <f t="shared" si="361"/>
        <v>6899</v>
      </c>
      <c r="M3566" s="920">
        <f t="shared" si="362"/>
        <v>58.77948</v>
      </c>
      <c r="N3566" s="920">
        <f t="shared" si="363"/>
        <v>39.198863636363633</v>
      </c>
      <c r="O3566" s="918" t="str">
        <f t="shared" si="364"/>
        <v>Mar</v>
      </c>
      <c r="P3566" s="921">
        <f t="shared" si="365"/>
        <v>13</v>
      </c>
    </row>
    <row r="3567" spans="1:16" ht="15" hidden="1" customHeight="1">
      <c r="A3567" s="839">
        <v>68817793</v>
      </c>
      <c r="B3567" s="839">
        <v>1352</v>
      </c>
      <c r="C3567" s="906">
        <v>4928</v>
      </c>
      <c r="D3567" s="907">
        <v>46103</v>
      </c>
      <c r="E3567" s="839" t="s">
        <v>353</v>
      </c>
      <c r="F3567" s="839" t="s">
        <v>290</v>
      </c>
      <c r="G3567" s="916">
        <f>VLOOKUP($A3567,'Tech Litons'!$A:$I,8,FALSE)</f>
        <v>8.5199999999999998E-3</v>
      </c>
      <c r="H3567" s="917">
        <f>VLOOKUP($A3567,'Tech Litons'!$A:$I,9,FALSE)</f>
        <v>176</v>
      </c>
      <c r="I3567" s="917" t="str">
        <f>VLOOKUP($A3567,'Tech Litons'!$A:$C,3,0)</f>
        <v>48oz</v>
      </c>
      <c r="J3567" s="918" t="str">
        <f t="shared" si="360"/>
        <v>135248oz</v>
      </c>
      <c r="K3567" s="919">
        <v>1</v>
      </c>
      <c r="L3567" s="920">
        <f t="shared" si="361"/>
        <v>4928</v>
      </c>
      <c r="M3567" s="920">
        <f t="shared" si="362"/>
        <v>41.986559999999997</v>
      </c>
      <c r="N3567" s="920">
        <f t="shared" si="363"/>
        <v>28</v>
      </c>
      <c r="O3567" s="918" t="str">
        <f t="shared" si="364"/>
        <v>Mar</v>
      </c>
      <c r="P3567" s="921">
        <f t="shared" si="365"/>
        <v>13</v>
      </c>
    </row>
    <row r="3568" spans="1:16" ht="15" hidden="1" customHeight="1">
      <c r="A3568" s="839">
        <v>68817793</v>
      </c>
      <c r="B3568" s="839">
        <v>1352</v>
      </c>
      <c r="C3568" s="906">
        <v>8783</v>
      </c>
      <c r="D3568" s="907">
        <v>46104</v>
      </c>
      <c r="E3568" s="839" t="s">
        <v>353</v>
      </c>
      <c r="F3568" s="839" t="s">
        <v>290</v>
      </c>
      <c r="G3568" s="916">
        <f>VLOOKUP($A3568,'Tech Litons'!$A:$I,8,FALSE)</f>
        <v>8.5199999999999998E-3</v>
      </c>
      <c r="H3568" s="917">
        <f>VLOOKUP($A3568,'Tech Litons'!$A:$I,9,FALSE)</f>
        <v>176</v>
      </c>
      <c r="I3568" s="917" t="str">
        <f>VLOOKUP($A3568,'Tech Litons'!$A:$C,3,0)</f>
        <v>48oz</v>
      </c>
      <c r="J3568" s="918" t="str">
        <f t="shared" si="360"/>
        <v>135248oz</v>
      </c>
      <c r="K3568" s="919">
        <v>1</v>
      </c>
      <c r="L3568" s="920">
        <f t="shared" si="361"/>
        <v>8783</v>
      </c>
      <c r="M3568" s="920">
        <f t="shared" si="362"/>
        <v>74.831159999999997</v>
      </c>
      <c r="N3568" s="920">
        <f t="shared" si="363"/>
        <v>49.903409090909093</v>
      </c>
      <c r="O3568" s="918" t="str">
        <f t="shared" si="364"/>
        <v>Mar</v>
      </c>
      <c r="P3568" s="921">
        <f t="shared" si="365"/>
        <v>13</v>
      </c>
    </row>
    <row r="3569" spans="1:16" ht="15" hidden="1" customHeight="1">
      <c r="A3569" s="839">
        <v>68817793</v>
      </c>
      <c r="B3569" s="839">
        <v>1352</v>
      </c>
      <c r="C3569" s="906">
        <v>5217</v>
      </c>
      <c r="D3569" s="907">
        <v>46104</v>
      </c>
      <c r="E3569" s="839" t="s">
        <v>353</v>
      </c>
      <c r="F3569" s="839" t="s">
        <v>290</v>
      </c>
      <c r="G3569" s="916">
        <f>VLOOKUP($A3569,'Tech Litons'!$A:$I,8,FALSE)</f>
        <v>8.5199999999999998E-3</v>
      </c>
      <c r="H3569" s="917">
        <f>VLOOKUP($A3569,'Tech Litons'!$A:$I,9,FALSE)</f>
        <v>176</v>
      </c>
      <c r="I3569" s="917" t="str">
        <f>VLOOKUP($A3569,'Tech Litons'!$A:$C,3,0)</f>
        <v>48oz</v>
      </c>
      <c r="J3569" s="918" t="str">
        <f t="shared" si="360"/>
        <v>135248oz</v>
      </c>
      <c r="K3569" s="919">
        <v>1</v>
      </c>
      <c r="L3569" s="920">
        <f t="shared" si="361"/>
        <v>5217</v>
      </c>
      <c r="M3569" s="920">
        <f t="shared" si="362"/>
        <v>44.448839999999997</v>
      </c>
      <c r="N3569" s="920">
        <f t="shared" si="363"/>
        <v>29.642045454545453</v>
      </c>
      <c r="O3569" s="918" t="str">
        <f t="shared" si="364"/>
        <v>Mar</v>
      </c>
      <c r="P3569" s="921">
        <f t="shared" si="365"/>
        <v>13</v>
      </c>
    </row>
    <row r="3570" spans="1:16" ht="15" hidden="1" customHeight="1">
      <c r="A3570" s="839">
        <v>68817793</v>
      </c>
      <c r="B3570" s="839">
        <v>1352</v>
      </c>
      <c r="C3570" s="906">
        <v>2303</v>
      </c>
      <c r="D3570" s="907">
        <v>46105</v>
      </c>
      <c r="E3570" s="839" t="s">
        <v>353</v>
      </c>
      <c r="F3570" s="839" t="s">
        <v>290</v>
      </c>
      <c r="G3570" s="916">
        <f>VLOOKUP($A3570,'Tech Litons'!$A:$I,8,FALSE)</f>
        <v>8.5199999999999998E-3</v>
      </c>
      <c r="H3570" s="917">
        <f>VLOOKUP($A3570,'Tech Litons'!$A:$I,9,FALSE)</f>
        <v>176</v>
      </c>
      <c r="I3570" s="917" t="str">
        <f>VLOOKUP($A3570,'Tech Litons'!$A:$C,3,0)</f>
        <v>48oz</v>
      </c>
      <c r="J3570" s="918" t="str">
        <f t="shared" ref="J3570:J3633" si="366">B3570&amp;I3570</f>
        <v>135248oz</v>
      </c>
      <c r="K3570" s="919">
        <v>1</v>
      </c>
      <c r="L3570" s="920">
        <f t="shared" ref="L3570:L3633" si="367">C3570*$K3570</f>
        <v>2303</v>
      </c>
      <c r="M3570" s="920">
        <f t="shared" ref="M3570:M3633" si="368">L3570*G3570</f>
        <v>19.621559999999999</v>
      </c>
      <c r="N3570" s="920">
        <f t="shared" ref="N3570:N3633" si="369">L3570/H3570</f>
        <v>13.085227272727273</v>
      </c>
      <c r="O3570" s="918" t="str">
        <f t="shared" ref="O3570:O3633" si="370">TEXT(D3570,"MMM")</f>
        <v>Mar</v>
      </c>
      <c r="P3570" s="921">
        <f t="shared" ref="P3570:P3633" si="371">WEEKNUM(D3570)</f>
        <v>13</v>
      </c>
    </row>
    <row r="3571" spans="1:16" ht="15" hidden="1" customHeight="1">
      <c r="A3571" s="839">
        <v>68817796</v>
      </c>
      <c r="B3571" s="839">
        <v>1352</v>
      </c>
      <c r="C3571" s="906">
        <v>5238</v>
      </c>
      <c r="D3571" s="907">
        <v>46094</v>
      </c>
      <c r="E3571" s="839" t="s">
        <v>263</v>
      </c>
      <c r="F3571" s="839" t="s">
        <v>264</v>
      </c>
      <c r="G3571" s="916">
        <f>VLOOKUP($A3571,'Tech Litons'!$A:$I,8,FALSE)</f>
        <v>8.513999999999999E-3</v>
      </c>
      <c r="H3571" s="917">
        <f>VLOOKUP($A3571,'Tech Litons'!$A:$I,9,FALSE)</f>
        <v>176</v>
      </c>
      <c r="I3571" s="917" t="str">
        <f>VLOOKUP($A3571,'Tech Litons'!$A:$C,3,0)</f>
        <v>48oz</v>
      </c>
      <c r="J3571" s="918" t="str">
        <f t="shared" si="366"/>
        <v>135248oz</v>
      </c>
      <c r="K3571" s="919">
        <v>1</v>
      </c>
      <c r="L3571" s="920">
        <f t="shared" si="367"/>
        <v>5238</v>
      </c>
      <c r="M3571" s="920">
        <f t="shared" si="368"/>
        <v>44.596331999999997</v>
      </c>
      <c r="N3571" s="920">
        <f t="shared" si="369"/>
        <v>29.761363636363637</v>
      </c>
      <c r="O3571" s="918" t="str">
        <f t="shared" si="370"/>
        <v>Mar</v>
      </c>
      <c r="P3571" s="921">
        <f t="shared" si="371"/>
        <v>11</v>
      </c>
    </row>
    <row r="3572" spans="1:16" ht="15" hidden="1" customHeight="1">
      <c r="A3572" s="839">
        <v>68817796</v>
      </c>
      <c r="B3572" s="839">
        <v>1352</v>
      </c>
      <c r="C3572" s="906">
        <v>11352</v>
      </c>
      <c r="D3572" s="907">
        <v>46095</v>
      </c>
      <c r="E3572" s="839" t="s">
        <v>263</v>
      </c>
      <c r="F3572" s="839" t="s">
        <v>264</v>
      </c>
      <c r="G3572" s="916">
        <f>VLOOKUP($A3572,'Tech Litons'!$A:$I,8,FALSE)</f>
        <v>8.513999999999999E-3</v>
      </c>
      <c r="H3572" s="917">
        <f>VLOOKUP($A3572,'Tech Litons'!$A:$I,9,FALSE)</f>
        <v>176</v>
      </c>
      <c r="I3572" s="917" t="str">
        <f>VLOOKUP($A3572,'Tech Litons'!$A:$C,3,0)</f>
        <v>48oz</v>
      </c>
      <c r="J3572" s="918" t="str">
        <f t="shared" si="366"/>
        <v>135248oz</v>
      </c>
      <c r="K3572" s="919">
        <v>1</v>
      </c>
      <c r="L3572" s="920">
        <f t="shared" si="367"/>
        <v>11352</v>
      </c>
      <c r="M3572" s="920">
        <f t="shared" si="368"/>
        <v>96.650927999999993</v>
      </c>
      <c r="N3572" s="920">
        <f t="shared" si="369"/>
        <v>64.5</v>
      </c>
      <c r="O3572" s="918" t="str">
        <f t="shared" si="370"/>
        <v>Mar</v>
      </c>
      <c r="P3572" s="921">
        <f t="shared" si="371"/>
        <v>11</v>
      </c>
    </row>
    <row r="3573" spans="1:16" ht="15" hidden="1" customHeight="1">
      <c r="A3573" s="839">
        <v>68817796</v>
      </c>
      <c r="B3573" s="839">
        <v>1352</v>
      </c>
      <c r="C3573" s="906">
        <v>6686</v>
      </c>
      <c r="D3573" s="907">
        <v>46093</v>
      </c>
      <c r="E3573" s="839" t="s">
        <v>263</v>
      </c>
      <c r="F3573" s="839" t="s">
        <v>264</v>
      </c>
      <c r="G3573" s="916">
        <f>VLOOKUP($A3573,'Tech Litons'!$A:$I,8,FALSE)</f>
        <v>8.513999999999999E-3</v>
      </c>
      <c r="H3573" s="917">
        <f>VLOOKUP($A3573,'Tech Litons'!$A:$I,9,FALSE)</f>
        <v>176</v>
      </c>
      <c r="I3573" s="917" t="str">
        <f>VLOOKUP($A3573,'Tech Litons'!$A:$C,3,0)</f>
        <v>48oz</v>
      </c>
      <c r="J3573" s="918" t="str">
        <f t="shared" si="366"/>
        <v>135248oz</v>
      </c>
      <c r="K3573" s="919">
        <v>1</v>
      </c>
      <c r="L3573" s="920">
        <f t="shared" si="367"/>
        <v>6686</v>
      </c>
      <c r="M3573" s="920">
        <f t="shared" si="368"/>
        <v>56.924603999999995</v>
      </c>
      <c r="N3573" s="920">
        <f t="shared" si="369"/>
        <v>37.988636363636367</v>
      </c>
      <c r="O3573" s="918" t="str">
        <f t="shared" si="370"/>
        <v>Mar</v>
      </c>
      <c r="P3573" s="921">
        <f t="shared" si="371"/>
        <v>11</v>
      </c>
    </row>
    <row r="3574" spans="1:16" ht="15" hidden="1" customHeight="1">
      <c r="A3574" s="839">
        <v>68817796</v>
      </c>
      <c r="B3574" s="839">
        <v>1352</v>
      </c>
      <c r="C3574" s="906">
        <v>10110</v>
      </c>
      <c r="D3574" s="907">
        <v>46094</v>
      </c>
      <c r="E3574" s="839" t="s">
        <v>263</v>
      </c>
      <c r="F3574" s="839" t="s">
        <v>264</v>
      </c>
      <c r="G3574" s="916">
        <f>VLOOKUP($A3574,'Tech Litons'!$A:$I,8,FALSE)</f>
        <v>8.513999999999999E-3</v>
      </c>
      <c r="H3574" s="917">
        <f>VLOOKUP($A3574,'Tech Litons'!$A:$I,9,FALSE)</f>
        <v>176</v>
      </c>
      <c r="I3574" s="917" t="str">
        <f>VLOOKUP($A3574,'Tech Litons'!$A:$C,3,0)</f>
        <v>48oz</v>
      </c>
      <c r="J3574" s="918" t="str">
        <f t="shared" si="366"/>
        <v>135248oz</v>
      </c>
      <c r="K3574" s="919">
        <v>1</v>
      </c>
      <c r="L3574" s="920">
        <f t="shared" si="367"/>
        <v>10110</v>
      </c>
      <c r="M3574" s="920">
        <f t="shared" si="368"/>
        <v>86.076539999999994</v>
      </c>
      <c r="N3574" s="920">
        <f t="shared" si="369"/>
        <v>57.44318181818182</v>
      </c>
      <c r="O3574" s="918" t="str">
        <f t="shared" si="370"/>
        <v>Mar</v>
      </c>
      <c r="P3574" s="921">
        <f t="shared" si="371"/>
        <v>11</v>
      </c>
    </row>
    <row r="3575" spans="1:16" ht="15" hidden="1" customHeight="1">
      <c r="A3575" s="839">
        <v>68817796</v>
      </c>
      <c r="B3575" s="839">
        <v>1352</v>
      </c>
      <c r="C3575" s="906">
        <v>8308</v>
      </c>
      <c r="D3575" s="907">
        <v>46097</v>
      </c>
      <c r="E3575" s="839" t="s">
        <v>263</v>
      </c>
      <c r="F3575" s="839" t="s">
        <v>264</v>
      </c>
      <c r="G3575" s="916">
        <f>VLOOKUP($A3575,'Tech Litons'!$A:$I,8,FALSE)</f>
        <v>8.513999999999999E-3</v>
      </c>
      <c r="H3575" s="917">
        <f>VLOOKUP($A3575,'Tech Litons'!$A:$I,9,FALSE)</f>
        <v>176</v>
      </c>
      <c r="I3575" s="917" t="str">
        <f>VLOOKUP($A3575,'Tech Litons'!$A:$C,3,0)</f>
        <v>48oz</v>
      </c>
      <c r="J3575" s="918" t="str">
        <f t="shared" si="366"/>
        <v>135248oz</v>
      </c>
      <c r="K3575" s="919">
        <v>1</v>
      </c>
      <c r="L3575" s="920">
        <f t="shared" si="367"/>
        <v>8308</v>
      </c>
      <c r="M3575" s="920">
        <f t="shared" si="368"/>
        <v>70.734311999999989</v>
      </c>
      <c r="N3575" s="920">
        <f t="shared" si="369"/>
        <v>47.204545454545453</v>
      </c>
      <c r="O3575" s="918" t="str">
        <f t="shared" si="370"/>
        <v>Mar</v>
      </c>
      <c r="P3575" s="921">
        <f t="shared" si="371"/>
        <v>12</v>
      </c>
    </row>
    <row r="3576" spans="1:16" ht="15" hidden="1" customHeight="1">
      <c r="A3576" s="839">
        <v>68817796</v>
      </c>
      <c r="B3576" s="839">
        <v>1352</v>
      </c>
      <c r="C3576" s="906">
        <v>9315</v>
      </c>
      <c r="D3576" s="907">
        <v>46092</v>
      </c>
      <c r="E3576" s="839" t="s">
        <v>263</v>
      </c>
      <c r="F3576" s="839" t="s">
        <v>264</v>
      </c>
      <c r="G3576" s="916">
        <f>VLOOKUP($A3576,'Tech Litons'!$A:$I,8,FALSE)</f>
        <v>8.513999999999999E-3</v>
      </c>
      <c r="H3576" s="917">
        <f>VLOOKUP($A3576,'Tech Litons'!$A:$I,9,FALSE)</f>
        <v>176</v>
      </c>
      <c r="I3576" s="917" t="str">
        <f>VLOOKUP($A3576,'Tech Litons'!$A:$C,3,0)</f>
        <v>48oz</v>
      </c>
      <c r="J3576" s="918" t="str">
        <f t="shared" si="366"/>
        <v>135248oz</v>
      </c>
      <c r="K3576" s="919">
        <v>1</v>
      </c>
      <c r="L3576" s="920">
        <f t="shared" si="367"/>
        <v>9315</v>
      </c>
      <c r="M3576" s="920">
        <f t="shared" si="368"/>
        <v>79.307909999999993</v>
      </c>
      <c r="N3576" s="920">
        <f t="shared" si="369"/>
        <v>52.926136363636367</v>
      </c>
      <c r="O3576" s="918" t="str">
        <f t="shared" si="370"/>
        <v>Mar</v>
      </c>
      <c r="P3576" s="921">
        <f t="shared" si="371"/>
        <v>11</v>
      </c>
    </row>
    <row r="3577" spans="1:16" ht="15" hidden="1" customHeight="1">
      <c r="A3577" s="839">
        <v>68817796</v>
      </c>
      <c r="B3577" s="839">
        <v>1352</v>
      </c>
      <c r="C3577" s="906">
        <v>8258</v>
      </c>
      <c r="D3577" s="907">
        <v>46093</v>
      </c>
      <c r="E3577" s="839" t="s">
        <v>263</v>
      </c>
      <c r="F3577" s="839" t="s">
        <v>264</v>
      </c>
      <c r="G3577" s="916">
        <f>VLOOKUP($A3577,'Tech Litons'!$A:$I,8,FALSE)</f>
        <v>8.513999999999999E-3</v>
      </c>
      <c r="H3577" s="917">
        <f>VLOOKUP($A3577,'Tech Litons'!$A:$I,9,FALSE)</f>
        <v>176</v>
      </c>
      <c r="I3577" s="917" t="str">
        <f>VLOOKUP($A3577,'Tech Litons'!$A:$C,3,0)</f>
        <v>48oz</v>
      </c>
      <c r="J3577" s="918" t="str">
        <f t="shared" si="366"/>
        <v>135248oz</v>
      </c>
      <c r="K3577" s="919">
        <v>1</v>
      </c>
      <c r="L3577" s="920">
        <f t="shared" si="367"/>
        <v>8258</v>
      </c>
      <c r="M3577" s="920">
        <f t="shared" si="368"/>
        <v>70.308611999999997</v>
      </c>
      <c r="N3577" s="920">
        <f t="shared" si="369"/>
        <v>46.920454545454547</v>
      </c>
      <c r="O3577" s="918" t="str">
        <f t="shared" si="370"/>
        <v>Mar</v>
      </c>
      <c r="P3577" s="921">
        <f t="shared" si="371"/>
        <v>11</v>
      </c>
    </row>
    <row r="3578" spans="1:16" ht="15" hidden="1" customHeight="1">
      <c r="A3578" s="839">
        <v>68817796</v>
      </c>
      <c r="B3578" s="839">
        <v>1352</v>
      </c>
      <c r="C3578" s="906">
        <v>154</v>
      </c>
      <c r="D3578" s="907">
        <v>46105</v>
      </c>
      <c r="E3578" s="839" t="s">
        <v>263</v>
      </c>
      <c r="F3578" s="839" t="s">
        <v>264</v>
      </c>
      <c r="G3578" s="916">
        <f>VLOOKUP($A3578,'Tech Litons'!$A:$I,8,FALSE)</f>
        <v>8.513999999999999E-3</v>
      </c>
      <c r="H3578" s="917">
        <f>VLOOKUP($A3578,'Tech Litons'!$A:$I,9,FALSE)</f>
        <v>176</v>
      </c>
      <c r="I3578" s="917" t="str">
        <f>VLOOKUP($A3578,'Tech Litons'!$A:$C,3,0)</f>
        <v>48oz</v>
      </c>
      <c r="J3578" s="918" t="str">
        <f t="shared" si="366"/>
        <v>135248oz</v>
      </c>
      <c r="K3578" s="919">
        <v>1</v>
      </c>
      <c r="L3578" s="920">
        <f t="shared" si="367"/>
        <v>154</v>
      </c>
      <c r="M3578" s="920">
        <f t="shared" si="368"/>
        <v>1.3111559999999998</v>
      </c>
      <c r="N3578" s="920">
        <f t="shared" si="369"/>
        <v>0.875</v>
      </c>
      <c r="O3578" s="918" t="str">
        <f t="shared" si="370"/>
        <v>Mar</v>
      </c>
      <c r="P3578" s="921">
        <f t="shared" si="371"/>
        <v>13</v>
      </c>
    </row>
    <row r="3579" spans="1:16" ht="15" hidden="1" customHeight="1">
      <c r="A3579" s="839">
        <v>68817796</v>
      </c>
      <c r="B3579" s="839">
        <v>1352</v>
      </c>
      <c r="C3579" s="906">
        <v>352</v>
      </c>
      <c r="D3579" s="907">
        <v>46095</v>
      </c>
      <c r="E3579" s="839" t="s">
        <v>263</v>
      </c>
      <c r="F3579" s="839" t="s">
        <v>264</v>
      </c>
      <c r="G3579" s="916">
        <f>VLOOKUP($A3579,'Tech Litons'!$A:$I,8,FALSE)</f>
        <v>8.513999999999999E-3</v>
      </c>
      <c r="H3579" s="917">
        <f>VLOOKUP($A3579,'Tech Litons'!$A:$I,9,FALSE)</f>
        <v>176</v>
      </c>
      <c r="I3579" s="917" t="str">
        <f>VLOOKUP($A3579,'Tech Litons'!$A:$C,3,0)</f>
        <v>48oz</v>
      </c>
      <c r="J3579" s="918" t="str">
        <f t="shared" si="366"/>
        <v>135248oz</v>
      </c>
      <c r="K3579" s="919">
        <v>1</v>
      </c>
      <c r="L3579" s="920">
        <f t="shared" si="367"/>
        <v>352</v>
      </c>
      <c r="M3579" s="920">
        <f t="shared" si="368"/>
        <v>2.9969279999999996</v>
      </c>
      <c r="N3579" s="920">
        <f t="shared" si="369"/>
        <v>2</v>
      </c>
      <c r="O3579" s="918" t="str">
        <f t="shared" si="370"/>
        <v>Mar</v>
      </c>
      <c r="P3579" s="921">
        <f t="shared" si="371"/>
        <v>11</v>
      </c>
    </row>
    <row r="3580" spans="1:16" ht="15" hidden="1" customHeight="1">
      <c r="A3580" s="839">
        <v>68817796</v>
      </c>
      <c r="B3580" s="839">
        <v>1352</v>
      </c>
      <c r="C3580" s="906">
        <v>7415</v>
      </c>
      <c r="D3580" s="907">
        <v>46096</v>
      </c>
      <c r="E3580" s="839" t="s">
        <v>263</v>
      </c>
      <c r="F3580" s="839" t="s">
        <v>264</v>
      </c>
      <c r="G3580" s="916">
        <f>VLOOKUP($A3580,'Tech Litons'!$A:$I,8,FALSE)</f>
        <v>8.513999999999999E-3</v>
      </c>
      <c r="H3580" s="917">
        <f>VLOOKUP($A3580,'Tech Litons'!$A:$I,9,FALSE)</f>
        <v>176</v>
      </c>
      <c r="I3580" s="917" t="str">
        <f>VLOOKUP($A3580,'Tech Litons'!$A:$C,3,0)</f>
        <v>48oz</v>
      </c>
      <c r="J3580" s="918" t="str">
        <f t="shared" si="366"/>
        <v>135248oz</v>
      </c>
      <c r="K3580" s="919">
        <v>1</v>
      </c>
      <c r="L3580" s="920">
        <f t="shared" si="367"/>
        <v>7415</v>
      </c>
      <c r="M3580" s="920">
        <f t="shared" si="368"/>
        <v>63.131309999999992</v>
      </c>
      <c r="N3580" s="920">
        <f t="shared" si="369"/>
        <v>42.13068181818182</v>
      </c>
      <c r="O3580" s="918" t="str">
        <f t="shared" si="370"/>
        <v>Mar</v>
      </c>
      <c r="P3580" s="921">
        <f t="shared" si="371"/>
        <v>12</v>
      </c>
    </row>
    <row r="3581" spans="1:16" ht="15" hidden="1" customHeight="1">
      <c r="A3581" s="839">
        <v>68817796</v>
      </c>
      <c r="B3581" s="839">
        <v>1352</v>
      </c>
      <c r="C3581" s="906">
        <v>5632</v>
      </c>
      <c r="D3581" s="907">
        <v>46097</v>
      </c>
      <c r="E3581" s="839" t="s">
        <v>263</v>
      </c>
      <c r="F3581" s="839" t="s">
        <v>264</v>
      </c>
      <c r="G3581" s="916">
        <f>VLOOKUP($A3581,'Tech Litons'!$A:$I,8,FALSE)</f>
        <v>8.513999999999999E-3</v>
      </c>
      <c r="H3581" s="917">
        <f>VLOOKUP($A3581,'Tech Litons'!$A:$I,9,FALSE)</f>
        <v>176</v>
      </c>
      <c r="I3581" s="917" t="str">
        <f>VLOOKUP($A3581,'Tech Litons'!$A:$C,3,0)</f>
        <v>48oz</v>
      </c>
      <c r="J3581" s="918" t="str">
        <f t="shared" si="366"/>
        <v>135248oz</v>
      </c>
      <c r="K3581" s="919">
        <v>1</v>
      </c>
      <c r="L3581" s="920">
        <f t="shared" si="367"/>
        <v>5632</v>
      </c>
      <c r="M3581" s="920">
        <f t="shared" si="368"/>
        <v>47.950847999999993</v>
      </c>
      <c r="N3581" s="920">
        <f t="shared" si="369"/>
        <v>32</v>
      </c>
      <c r="O3581" s="918" t="str">
        <f t="shared" si="370"/>
        <v>Mar</v>
      </c>
      <c r="P3581" s="921">
        <f t="shared" si="371"/>
        <v>12</v>
      </c>
    </row>
    <row r="3582" spans="1:16" ht="15" hidden="1" customHeight="1">
      <c r="A3582" s="839">
        <v>68817796</v>
      </c>
      <c r="B3582" s="839">
        <v>1352</v>
      </c>
      <c r="C3582" s="906">
        <v>3629</v>
      </c>
      <c r="D3582" s="907">
        <v>46098</v>
      </c>
      <c r="E3582" s="839" t="s">
        <v>263</v>
      </c>
      <c r="F3582" s="839" t="s">
        <v>264</v>
      </c>
      <c r="G3582" s="916">
        <f>VLOOKUP($A3582,'Tech Litons'!$A:$I,8,FALSE)</f>
        <v>8.513999999999999E-3</v>
      </c>
      <c r="H3582" s="917">
        <f>VLOOKUP($A3582,'Tech Litons'!$A:$I,9,FALSE)</f>
        <v>176</v>
      </c>
      <c r="I3582" s="917" t="str">
        <f>VLOOKUP($A3582,'Tech Litons'!$A:$C,3,0)</f>
        <v>48oz</v>
      </c>
      <c r="J3582" s="918" t="str">
        <f t="shared" si="366"/>
        <v>135248oz</v>
      </c>
      <c r="K3582" s="919">
        <v>1</v>
      </c>
      <c r="L3582" s="920">
        <f t="shared" si="367"/>
        <v>3629</v>
      </c>
      <c r="M3582" s="920">
        <f t="shared" si="368"/>
        <v>30.897305999999997</v>
      </c>
      <c r="N3582" s="920">
        <f t="shared" si="369"/>
        <v>20.619318181818183</v>
      </c>
      <c r="O3582" s="918" t="str">
        <f t="shared" si="370"/>
        <v>Mar</v>
      </c>
      <c r="P3582" s="921">
        <f t="shared" si="371"/>
        <v>12</v>
      </c>
    </row>
    <row r="3583" spans="1:16" ht="15" hidden="1" customHeight="1">
      <c r="A3583" s="839">
        <v>68817799</v>
      </c>
      <c r="B3583" s="839">
        <v>1352</v>
      </c>
      <c r="C3583" s="906">
        <v>11</v>
      </c>
      <c r="D3583" s="907">
        <v>46079</v>
      </c>
      <c r="E3583" s="839" t="s">
        <v>410</v>
      </c>
      <c r="F3583" s="839" t="s">
        <v>290</v>
      </c>
      <c r="G3583" s="916">
        <f>VLOOKUP($A3583,'Tech Litons'!$A:$I,8,FALSE)</f>
        <v>8.5199999999999998E-3</v>
      </c>
      <c r="H3583" s="917">
        <f>VLOOKUP($A3583,'Tech Litons'!$A:$I,9,FALSE)</f>
        <v>176</v>
      </c>
      <c r="I3583" s="917" t="str">
        <f>VLOOKUP($A3583,'Tech Litons'!$A:$C,3,0)</f>
        <v>48oz</v>
      </c>
      <c r="J3583" s="918" t="str">
        <f t="shared" si="366"/>
        <v>135248oz</v>
      </c>
      <c r="K3583" s="919">
        <v>1</v>
      </c>
      <c r="L3583" s="920">
        <f t="shared" si="367"/>
        <v>11</v>
      </c>
      <c r="M3583" s="920">
        <f t="shared" si="368"/>
        <v>9.3719999999999998E-2</v>
      </c>
      <c r="N3583" s="920">
        <f t="shared" si="369"/>
        <v>6.25E-2</v>
      </c>
      <c r="O3583" s="918" t="str">
        <f t="shared" si="370"/>
        <v>Feb</v>
      </c>
      <c r="P3583" s="921">
        <f t="shared" si="371"/>
        <v>9</v>
      </c>
    </row>
    <row r="3584" spans="1:16" ht="15" hidden="1" customHeight="1">
      <c r="A3584" s="839">
        <v>68817799</v>
      </c>
      <c r="B3584" s="839">
        <v>1352</v>
      </c>
      <c r="C3584" s="906">
        <v>9126</v>
      </c>
      <c r="D3584" s="907">
        <v>46091</v>
      </c>
      <c r="E3584" s="839" t="s">
        <v>410</v>
      </c>
      <c r="F3584" s="839" t="s">
        <v>290</v>
      </c>
      <c r="G3584" s="916">
        <f>VLOOKUP($A3584,'Tech Litons'!$A:$I,8,FALSE)</f>
        <v>8.5199999999999998E-3</v>
      </c>
      <c r="H3584" s="917">
        <f>VLOOKUP($A3584,'Tech Litons'!$A:$I,9,FALSE)</f>
        <v>176</v>
      </c>
      <c r="I3584" s="917" t="str">
        <f>VLOOKUP($A3584,'Tech Litons'!$A:$C,3,0)</f>
        <v>48oz</v>
      </c>
      <c r="J3584" s="918" t="str">
        <f t="shared" si="366"/>
        <v>135248oz</v>
      </c>
      <c r="K3584" s="919">
        <v>1</v>
      </c>
      <c r="L3584" s="920">
        <f t="shared" si="367"/>
        <v>9126</v>
      </c>
      <c r="M3584" s="920">
        <f t="shared" si="368"/>
        <v>77.753519999999995</v>
      </c>
      <c r="N3584" s="920">
        <f t="shared" si="369"/>
        <v>51.852272727272727</v>
      </c>
      <c r="O3584" s="918" t="str">
        <f t="shared" si="370"/>
        <v>Mar</v>
      </c>
      <c r="P3584" s="921">
        <f t="shared" si="371"/>
        <v>11</v>
      </c>
    </row>
    <row r="3585" spans="1:16" ht="15" hidden="1" customHeight="1">
      <c r="A3585" s="839">
        <v>68817799</v>
      </c>
      <c r="B3585" s="839">
        <v>1352</v>
      </c>
      <c r="C3585" s="906">
        <v>8847</v>
      </c>
      <c r="D3585" s="907">
        <v>46092</v>
      </c>
      <c r="E3585" s="839" t="s">
        <v>410</v>
      </c>
      <c r="F3585" s="839" t="s">
        <v>290</v>
      </c>
      <c r="G3585" s="916">
        <f>VLOOKUP($A3585,'Tech Litons'!$A:$I,8,FALSE)</f>
        <v>8.5199999999999998E-3</v>
      </c>
      <c r="H3585" s="917">
        <f>VLOOKUP($A3585,'Tech Litons'!$A:$I,9,FALSE)</f>
        <v>176</v>
      </c>
      <c r="I3585" s="917" t="str">
        <f>VLOOKUP($A3585,'Tech Litons'!$A:$C,3,0)</f>
        <v>48oz</v>
      </c>
      <c r="J3585" s="918" t="str">
        <f t="shared" si="366"/>
        <v>135248oz</v>
      </c>
      <c r="K3585" s="919">
        <v>1</v>
      </c>
      <c r="L3585" s="920">
        <f t="shared" si="367"/>
        <v>8847</v>
      </c>
      <c r="M3585" s="920">
        <f t="shared" si="368"/>
        <v>75.376440000000002</v>
      </c>
      <c r="N3585" s="920">
        <f t="shared" si="369"/>
        <v>50.267045454545453</v>
      </c>
      <c r="O3585" s="918" t="str">
        <f t="shared" si="370"/>
        <v>Mar</v>
      </c>
      <c r="P3585" s="921">
        <f t="shared" si="371"/>
        <v>11</v>
      </c>
    </row>
    <row r="3586" spans="1:16" ht="15" hidden="1" customHeight="1">
      <c r="A3586" s="839">
        <v>68817799</v>
      </c>
      <c r="B3586" s="839">
        <v>1352</v>
      </c>
      <c r="C3586" s="906">
        <v>5280</v>
      </c>
      <c r="D3586" s="907">
        <v>46092</v>
      </c>
      <c r="E3586" s="839" t="s">
        <v>410</v>
      </c>
      <c r="F3586" s="839" t="s">
        <v>290</v>
      </c>
      <c r="G3586" s="916">
        <f>VLOOKUP($A3586,'Tech Litons'!$A:$I,8,FALSE)</f>
        <v>8.5199999999999998E-3</v>
      </c>
      <c r="H3586" s="917">
        <f>VLOOKUP($A3586,'Tech Litons'!$A:$I,9,FALSE)</f>
        <v>176</v>
      </c>
      <c r="I3586" s="917" t="str">
        <f>VLOOKUP($A3586,'Tech Litons'!$A:$C,3,0)</f>
        <v>48oz</v>
      </c>
      <c r="J3586" s="918" t="str">
        <f t="shared" si="366"/>
        <v>135248oz</v>
      </c>
      <c r="K3586" s="919">
        <v>1</v>
      </c>
      <c r="L3586" s="920">
        <f t="shared" si="367"/>
        <v>5280</v>
      </c>
      <c r="M3586" s="920">
        <f t="shared" si="368"/>
        <v>44.985599999999998</v>
      </c>
      <c r="N3586" s="920">
        <f t="shared" si="369"/>
        <v>30</v>
      </c>
      <c r="O3586" s="918" t="str">
        <f t="shared" si="370"/>
        <v>Mar</v>
      </c>
      <c r="P3586" s="921">
        <f t="shared" si="371"/>
        <v>11</v>
      </c>
    </row>
    <row r="3587" spans="1:16" ht="15" hidden="1" customHeight="1">
      <c r="A3587" s="839">
        <v>68817799</v>
      </c>
      <c r="B3587" s="839">
        <v>1352</v>
      </c>
      <c r="C3587" s="906">
        <v>7870</v>
      </c>
      <c r="D3587" s="907">
        <v>46093</v>
      </c>
      <c r="E3587" s="839" t="s">
        <v>410</v>
      </c>
      <c r="F3587" s="839" t="s">
        <v>290</v>
      </c>
      <c r="G3587" s="916">
        <f>VLOOKUP($A3587,'Tech Litons'!$A:$I,8,FALSE)</f>
        <v>8.5199999999999998E-3</v>
      </c>
      <c r="H3587" s="917">
        <f>VLOOKUP($A3587,'Tech Litons'!$A:$I,9,FALSE)</f>
        <v>176</v>
      </c>
      <c r="I3587" s="917" t="str">
        <f>VLOOKUP($A3587,'Tech Litons'!$A:$C,3,0)</f>
        <v>48oz</v>
      </c>
      <c r="J3587" s="918" t="str">
        <f t="shared" si="366"/>
        <v>135248oz</v>
      </c>
      <c r="K3587" s="919">
        <v>1</v>
      </c>
      <c r="L3587" s="920">
        <f t="shared" si="367"/>
        <v>7870</v>
      </c>
      <c r="M3587" s="920">
        <f t="shared" si="368"/>
        <v>67.052399999999992</v>
      </c>
      <c r="N3587" s="920">
        <f t="shared" si="369"/>
        <v>44.715909090909093</v>
      </c>
      <c r="O3587" s="918" t="str">
        <f t="shared" si="370"/>
        <v>Mar</v>
      </c>
      <c r="P3587" s="921">
        <f t="shared" si="371"/>
        <v>11</v>
      </c>
    </row>
    <row r="3588" spans="1:16" ht="15" hidden="1" customHeight="1">
      <c r="A3588" s="839">
        <v>68817799</v>
      </c>
      <c r="B3588" s="839">
        <v>1352</v>
      </c>
      <c r="C3588" s="906">
        <v>5104</v>
      </c>
      <c r="D3588" s="907">
        <v>46093</v>
      </c>
      <c r="E3588" s="839" t="s">
        <v>410</v>
      </c>
      <c r="F3588" s="839" t="s">
        <v>290</v>
      </c>
      <c r="G3588" s="916">
        <f>VLOOKUP($A3588,'Tech Litons'!$A:$I,8,FALSE)</f>
        <v>8.5199999999999998E-3</v>
      </c>
      <c r="H3588" s="917">
        <f>VLOOKUP($A3588,'Tech Litons'!$A:$I,9,FALSE)</f>
        <v>176</v>
      </c>
      <c r="I3588" s="917" t="str">
        <f>VLOOKUP($A3588,'Tech Litons'!$A:$C,3,0)</f>
        <v>48oz</v>
      </c>
      <c r="J3588" s="918" t="str">
        <f t="shared" si="366"/>
        <v>135248oz</v>
      </c>
      <c r="K3588" s="919">
        <v>1</v>
      </c>
      <c r="L3588" s="920">
        <f t="shared" si="367"/>
        <v>5104</v>
      </c>
      <c r="M3588" s="920">
        <f t="shared" si="368"/>
        <v>43.486080000000001</v>
      </c>
      <c r="N3588" s="920">
        <f t="shared" si="369"/>
        <v>29</v>
      </c>
      <c r="O3588" s="918" t="str">
        <f t="shared" si="370"/>
        <v>Mar</v>
      </c>
      <c r="P3588" s="921">
        <f t="shared" si="371"/>
        <v>11</v>
      </c>
    </row>
    <row r="3589" spans="1:16" ht="15" hidden="1" customHeight="1">
      <c r="A3589" s="839">
        <v>68817799</v>
      </c>
      <c r="B3589" s="839">
        <v>1352</v>
      </c>
      <c r="C3589" s="906">
        <v>9675</v>
      </c>
      <c r="D3589" s="907">
        <v>46094</v>
      </c>
      <c r="E3589" s="839" t="s">
        <v>410</v>
      </c>
      <c r="F3589" s="839" t="s">
        <v>290</v>
      </c>
      <c r="G3589" s="916">
        <f>VLOOKUP($A3589,'Tech Litons'!$A:$I,8,FALSE)</f>
        <v>8.5199999999999998E-3</v>
      </c>
      <c r="H3589" s="917">
        <f>VLOOKUP($A3589,'Tech Litons'!$A:$I,9,FALSE)</f>
        <v>176</v>
      </c>
      <c r="I3589" s="917" t="str">
        <f>VLOOKUP($A3589,'Tech Litons'!$A:$C,3,0)</f>
        <v>48oz</v>
      </c>
      <c r="J3589" s="918" t="str">
        <f t="shared" si="366"/>
        <v>135248oz</v>
      </c>
      <c r="K3589" s="919">
        <v>1</v>
      </c>
      <c r="L3589" s="920">
        <f t="shared" si="367"/>
        <v>9675</v>
      </c>
      <c r="M3589" s="920">
        <f t="shared" si="368"/>
        <v>82.430999999999997</v>
      </c>
      <c r="N3589" s="920">
        <f t="shared" si="369"/>
        <v>54.971590909090907</v>
      </c>
      <c r="O3589" s="918" t="str">
        <f t="shared" si="370"/>
        <v>Mar</v>
      </c>
      <c r="P3589" s="921">
        <f t="shared" si="371"/>
        <v>11</v>
      </c>
    </row>
    <row r="3590" spans="1:16" ht="15" hidden="1" customHeight="1">
      <c r="A3590" s="839">
        <v>68817799</v>
      </c>
      <c r="B3590" s="839">
        <v>1352</v>
      </c>
      <c r="C3590" s="906">
        <v>5335</v>
      </c>
      <c r="D3590" s="907">
        <v>46094</v>
      </c>
      <c r="E3590" s="839" t="s">
        <v>410</v>
      </c>
      <c r="F3590" s="839" t="s">
        <v>290</v>
      </c>
      <c r="G3590" s="916">
        <f>VLOOKUP($A3590,'Tech Litons'!$A:$I,8,FALSE)</f>
        <v>8.5199999999999998E-3</v>
      </c>
      <c r="H3590" s="917">
        <f>VLOOKUP($A3590,'Tech Litons'!$A:$I,9,FALSE)</f>
        <v>176</v>
      </c>
      <c r="I3590" s="917" t="str">
        <f>VLOOKUP($A3590,'Tech Litons'!$A:$C,3,0)</f>
        <v>48oz</v>
      </c>
      <c r="J3590" s="918" t="str">
        <f t="shared" si="366"/>
        <v>135248oz</v>
      </c>
      <c r="K3590" s="919">
        <v>1</v>
      </c>
      <c r="L3590" s="920">
        <f t="shared" si="367"/>
        <v>5335</v>
      </c>
      <c r="M3590" s="920">
        <f t="shared" si="368"/>
        <v>45.4542</v>
      </c>
      <c r="N3590" s="920">
        <f t="shared" si="369"/>
        <v>30.3125</v>
      </c>
      <c r="O3590" s="918" t="str">
        <f t="shared" si="370"/>
        <v>Mar</v>
      </c>
      <c r="P3590" s="921">
        <f t="shared" si="371"/>
        <v>11</v>
      </c>
    </row>
    <row r="3591" spans="1:16" ht="15" hidden="1" customHeight="1">
      <c r="A3591" s="839">
        <v>68817799</v>
      </c>
      <c r="B3591" s="839">
        <v>1352</v>
      </c>
      <c r="C3591" s="906">
        <v>3208</v>
      </c>
      <c r="D3591" s="907">
        <v>46095</v>
      </c>
      <c r="E3591" s="839" t="s">
        <v>410</v>
      </c>
      <c r="F3591" s="839" t="s">
        <v>290</v>
      </c>
      <c r="G3591" s="916">
        <f>VLOOKUP($A3591,'Tech Litons'!$A:$I,8,FALSE)</f>
        <v>8.5199999999999998E-3</v>
      </c>
      <c r="H3591" s="917">
        <f>VLOOKUP($A3591,'Tech Litons'!$A:$I,9,FALSE)</f>
        <v>176</v>
      </c>
      <c r="I3591" s="917" t="str">
        <f>VLOOKUP($A3591,'Tech Litons'!$A:$C,3,0)</f>
        <v>48oz</v>
      </c>
      <c r="J3591" s="918" t="str">
        <f t="shared" si="366"/>
        <v>135248oz</v>
      </c>
      <c r="K3591" s="919">
        <v>1</v>
      </c>
      <c r="L3591" s="920">
        <f t="shared" si="367"/>
        <v>3208</v>
      </c>
      <c r="M3591" s="920">
        <f t="shared" si="368"/>
        <v>27.332159999999998</v>
      </c>
      <c r="N3591" s="920">
        <f t="shared" si="369"/>
        <v>18.227272727272727</v>
      </c>
      <c r="O3591" s="918" t="str">
        <f t="shared" si="370"/>
        <v>Mar</v>
      </c>
      <c r="P3591" s="921">
        <f t="shared" si="371"/>
        <v>11</v>
      </c>
    </row>
    <row r="3592" spans="1:16" ht="15" hidden="1" customHeight="1">
      <c r="A3592" s="839">
        <v>68817799</v>
      </c>
      <c r="B3592" s="839">
        <v>1352</v>
      </c>
      <c r="C3592" s="906">
        <v>3979</v>
      </c>
      <c r="D3592" s="907">
        <v>46095</v>
      </c>
      <c r="E3592" s="839" t="s">
        <v>410</v>
      </c>
      <c r="F3592" s="839" t="s">
        <v>290</v>
      </c>
      <c r="G3592" s="916">
        <f>VLOOKUP($A3592,'Tech Litons'!$A:$I,8,FALSE)</f>
        <v>8.5199999999999998E-3</v>
      </c>
      <c r="H3592" s="917">
        <f>VLOOKUP($A3592,'Tech Litons'!$A:$I,9,FALSE)</f>
        <v>176</v>
      </c>
      <c r="I3592" s="917" t="str">
        <f>VLOOKUP($A3592,'Tech Litons'!$A:$C,3,0)</f>
        <v>48oz</v>
      </c>
      <c r="J3592" s="918" t="str">
        <f t="shared" si="366"/>
        <v>135248oz</v>
      </c>
      <c r="K3592" s="919">
        <v>1</v>
      </c>
      <c r="L3592" s="920">
        <f t="shared" si="367"/>
        <v>3979</v>
      </c>
      <c r="M3592" s="920">
        <f t="shared" si="368"/>
        <v>33.90108</v>
      </c>
      <c r="N3592" s="920">
        <f t="shared" si="369"/>
        <v>22.607954545454547</v>
      </c>
      <c r="O3592" s="918" t="str">
        <f t="shared" si="370"/>
        <v>Mar</v>
      </c>
      <c r="P3592" s="921">
        <f t="shared" si="371"/>
        <v>11</v>
      </c>
    </row>
    <row r="3593" spans="1:16" ht="15" hidden="1" customHeight="1">
      <c r="A3593" s="839">
        <v>68817799</v>
      </c>
      <c r="B3593" s="839">
        <v>1352</v>
      </c>
      <c r="C3593" s="906">
        <v>4850</v>
      </c>
      <c r="D3593" s="907">
        <v>46086</v>
      </c>
      <c r="E3593" s="839" t="s">
        <v>410</v>
      </c>
      <c r="F3593" s="839" t="s">
        <v>290</v>
      </c>
      <c r="G3593" s="916">
        <f>VLOOKUP($A3593,'Tech Litons'!$A:$I,8,FALSE)</f>
        <v>8.5199999999999998E-3</v>
      </c>
      <c r="H3593" s="917">
        <f>VLOOKUP($A3593,'Tech Litons'!$A:$I,9,FALSE)</f>
        <v>176</v>
      </c>
      <c r="I3593" s="917" t="str">
        <f>VLOOKUP($A3593,'Tech Litons'!$A:$C,3,0)</f>
        <v>48oz</v>
      </c>
      <c r="J3593" s="918" t="str">
        <f t="shared" si="366"/>
        <v>135248oz</v>
      </c>
      <c r="K3593" s="919">
        <v>1</v>
      </c>
      <c r="L3593" s="920">
        <f t="shared" si="367"/>
        <v>4850</v>
      </c>
      <c r="M3593" s="920">
        <f t="shared" si="368"/>
        <v>41.321999999999996</v>
      </c>
      <c r="N3593" s="920">
        <f t="shared" si="369"/>
        <v>27.556818181818183</v>
      </c>
      <c r="O3593" s="918" t="str">
        <f t="shared" si="370"/>
        <v>Mar</v>
      </c>
      <c r="P3593" s="921">
        <f t="shared" si="371"/>
        <v>10</v>
      </c>
    </row>
    <row r="3594" spans="1:16" ht="15" hidden="1" customHeight="1">
      <c r="A3594" s="839">
        <v>68817799</v>
      </c>
      <c r="B3594" s="839">
        <v>1352</v>
      </c>
      <c r="C3594" s="906">
        <v>8500</v>
      </c>
      <c r="D3594" s="907">
        <v>46087</v>
      </c>
      <c r="E3594" s="839" t="s">
        <v>410</v>
      </c>
      <c r="F3594" s="839" t="s">
        <v>290</v>
      </c>
      <c r="G3594" s="916">
        <f>VLOOKUP($A3594,'Tech Litons'!$A:$I,8,FALSE)</f>
        <v>8.5199999999999998E-3</v>
      </c>
      <c r="H3594" s="917">
        <f>VLOOKUP($A3594,'Tech Litons'!$A:$I,9,FALSE)</f>
        <v>176</v>
      </c>
      <c r="I3594" s="917" t="str">
        <f>VLOOKUP($A3594,'Tech Litons'!$A:$C,3,0)</f>
        <v>48oz</v>
      </c>
      <c r="J3594" s="918" t="str">
        <f t="shared" si="366"/>
        <v>135248oz</v>
      </c>
      <c r="K3594" s="919">
        <v>1</v>
      </c>
      <c r="L3594" s="920">
        <f t="shared" si="367"/>
        <v>8500</v>
      </c>
      <c r="M3594" s="920">
        <f t="shared" si="368"/>
        <v>72.42</v>
      </c>
      <c r="N3594" s="920">
        <f t="shared" si="369"/>
        <v>48.295454545454547</v>
      </c>
      <c r="O3594" s="918" t="str">
        <f t="shared" si="370"/>
        <v>Mar</v>
      </c>
      <c r="P3594" s="921">
        <f t="shared" si="371"/>
        <v>10</v>
      </c>
    </row>
    <row r="3595" spans="1:16" ht="15" hidden="1" customHeight="1">
      <c r="A3595" s="839">
        <v>68817799</v>
      </c>
      <c r="B3595" s="839">
        <v>1352</v>
      </c>
      <c r="C3595" s="906">
        <v>5555</v>
      </c>
      <c r="D3595" s="907">
        <v>46087</v>
      </c>
      <c r="E3595" s="839" t="s">
        <v>410</v>
      </c>
      <c r="F3595" s="839" t="s">
        <v>290</v>
      </c>
      <c r="G3595" s="916">
        <f>VLOOKUP($A3595,'Tech Litons'!$A:$I,8,FALSE)</f>
        <v>8.5199999999999998E-3</v>
      </c>
      <c r="H3595" s="917">
        <f>VLOOKUP($A3595,'Tech Litons'!$A:$I,9,FALSE)</f>
        <v>176</v>
      </c>
      <c r="I3595" s="917" t="str">
        <f>VLOOKUP($A3595,'Tech Litons'!$A:$C,3,0)</f>
        <v>48oz</v>
      </c>
      <c r="J3595" s="918" t="str">
        <f t="shared" si="366"/>
        <v>135248oz</v>
      </c>
      <c r="K3595" s="919">
        <v>1</v>
      </c>
      <c r="L3595" s="920">
        <f t="shared" si="367"/>
        <v>5555</v>
      </c>
      <c r="M3595" s="920">
        <f t="shared" si="368"/>
        <v>47.328600000000002</v>
      </c>
      <c r="N3595" s="920">
        <f t="shared" si="369"/>
        <v>31.5625</v>
      </c>
      <c r="O3595" s="918" t="str">
        <f t="shared" si="370"/>
        <v>Mar</v>
      </c>
      <c r="P3595" s="921">
        <f t="shared" si="371"/>
        <v>10</v>
      </c>
    </row>
    <row r="3596" spans="1:16" ht="15" hidden="1" customHeight="1">
      <c r="A3596" s="839">
        <v>68817799</v>
      </c>
      <c r="B3596" s="839">
        <v>1352</v>
      </c>
      <c r="C3596" s="906">
        <v>7349</v>
      </c>
      <c r="D3596" s="907">
        <v>46088</v>
      </c>
      <c r="E3596" s="839" t="s">
        <v>410</v>
      </c>
      <c r="F3596" s="839" t="s">
        <v>290</v>
      </c>
      <c r="G3596" s="916">
        <f>VLOOKUP($A3596,'Tech Litons'!$A:$I,8,FALSE)</f>
        <v>8.5199999999999998E-3</v>
      </c>
      <c r="H3596" s="917">
        <f>VLOOKUP($A3596,'Tech Litons'!$A:$I,9,FALSE)</f>
        <v>176</v>
      </c>
      <c r="I3596" s="917" t="str">
        <f>VLOOKUP($A3596,'Tech Litons'!$A:$C,3,0)</f>
        <v>48oz</v>
      </c>
      <c r="J3596" s="918" t="str">
        <f t="shared" si="366"/>
        <v>135248oz</v>
      </c>
      <c r="K3596" s="919">
        <v>1</v>
      </c>
      <c r="L3596" s="920">
        <f t="shared" si="367"/>
        <v>7349</v>
      </c>
      <c r="M3596" s="920">
        <f t="shared" si="368"/>
        <v>62.613479999999996</v>
      </c>
      <c r="N3596" s="920">
        <f t="shared" si="369"/>
        <v>41.75568181818182</v>
      </c>
      <c r="O3596" s="918" t="str">
        <f t="shared" si="370"/>
        <v>Mar</v>
      </c>
      <c r="P3596" s="921">
        <f t="shared" si="371"/>
        <v>10</v>
      </c>
    </row>
    <row r="3597" spans="1:16" ht="15" hidden="1" customHeight="1">
      <c r="A3597" s="839">
        <v>68817799</v>
      </c>
      <c r="B3597" s="839">
        <v>1352</v>
      </c>
      <c r="C3597" s="906">
        <v>4199</v>
      </c>
      <c r="D3597" s="907">
        <v>46088</v>
      </c>
      <c r="E3597" s="839" t="s">
        <v>410</v>
      </c>
      <c r="F3597" s="839" t="s">
        <v>290</v>
      </c>
      <c r="G3597" s="916">
        <f>VLOOKUP($A3597,'Tech Litons'!$A:$I,8,FALSE)</f>
        <v>8.5199999999999998E-3</v>
      </c>
      <c r="H3597" s="917">
        <f>VLOOKUP($A3597,'Tech Litons'!$A:$I,9,FALSE)</f>
        <v>176</v>
      </c>
      <c r="I3597" s="917" t="str">
        <f>VLOOKUP($A3597,'Tech Litons'!$A:$C,3,0)</f>
        <v>48oz</v>
      </c>
      <c r="J3597" s="918" t="str">
        <f t="shared" si="366"/>
        <v>135248oz</v>
      </c>
      <c r="K3597" s="919">
        <v>1</v>
      </c>
      <c r="L3597" s="920">
        <f t="shared" si="367"/>
        <v>4199</v>
      </c>
      <c r="M3597" s="920">
        <f t="shared" si="368"/>
        <v>35.775480000000002</v>
      </c>
      <c r="N3597" s="920">
        <f t="shared" si="369"/>
        <v>23.857954545454547</v>
      </c>
      <c r="O3597" s="918" t="str">
        <f t="shared" si="370"/>
        <v>Mar</v>
      </c>
      <c r="P3597" s="921">
        <f t="shared" si="371"/>
        <v>10</v>
      </c>
    </row>
    <row r="3598" spans="1:16" ht="15" hidden="1" customHeight="1">
      <c r="A3598" s="839">
        <v>68817799</v>
      </c>
      <c r="B3598" s="839">
        <v>1352</v>
      </c>
      <c r="C3598" s="906">
        <v>9750</v>
      </c>
      <c r="D3598" s="907">
        <v>46089</v>
      </c>
      <c r="E3598" s="839" t="s">
        <v>410</v>
      </c>
      <c r="F3598" s="839" t="s">
        <v>290</v>
      </c>
      <c r="G3598" s="916">
        <f>VLOOKUP($A3598,'Tech Litons'!$A:$I,8,FALSE)</f>
        <v>8.5199999999999998E-3</v>
      </c>
      <c r="H3598" s="917">
        <f>VLOOKUP($A3598,'Tech Litons'!$A:$I,9,FALSE)</f>
        <v>176</v>
      </c>
      <c r="I3598" s="917" t="str">
        <f>VLOOKUP($A3598,'Tech Litons'!$A:$C,3,0)</f>
        <v>48oz</v>
      </c>
      <c r="J3598" s="918" t="str">
        <f t="shared" si="366"/>
        <v>135248oz</v>
      </c>
      <c r="K3598" s="919">
        <v>1</v>
      </c>
      <c r="L3598" s="920">
        <f t="shared" si="367"/>
        <v>9750</v>
      </c>
      <c r="M3598" s="920">
        <f t="shared" si="368"/>
        <v>83.07</v>
      </c>
      <c r="N3598" s="920">
        <f t="shared" si="369"/>
        <v>55.397727272727273</v>
      </c>
      <c r="O3598" s="918" t="str">
        <f t="shared" si="370"/>
        <v>Mar</v>
      </c>
      <c r="P3598" s="921">
        <f t="shared" si="371"/>
        <v>11</v>
      </c>
    </row>
    <row r="3599" spans="1:16" ht="15" hidden="1" customHeight="1">
      <c r="A3599" s="839">
        <v>68817799</v>
      </c>
      <c r="B3599" s="839">
        <v>1352</v>
      </c>
      <c r="C3599" s="906">
        <v>176</v>
      </c>
      <c r="D3599" s="907">
        <v>46090</v>
      </c>
      <c r="E3599" s="839" t="s">
        <v>410</v>
      </c>
      <c r="F3599" s="839" t="s">
        <v>290</v>
      </c>
      <c r="G3599" s="916">
        <f>VLOOKUP($A3599,'Tech Litons'!$A:$I,8,FALSE)</f>
        <v>8.5199999999999998E-3</v>
      </c>
      <c r="H3599" s="917">
        <f>VLOOKUP($A3599,'Tech Litons'!$A:$I,9,FALSE)</f>
        <v>176</v>
      </c>
      <c r="I3599" s="917" t="str">
        <f>VLOOKUP($A3599,'Tech Litons'!$A:$C,3,0)</f>
        <v>48oz</v>
      </c>
      <c r="J3599" s="918" t="str">
        <f t="shared" si="366"/>
        <v>135248oz</v>
      </c>
      <c r="K3599" s="919">
        <v>1</v>
      </c>
      <c r="L3599" s="920">
        <f t="shared" si="367"/>
        <v>176</v>
      </c>
      <c r="M3599" s="920">
        <f t="shared" si="368"/>
        <v>1.49952</v>
      </c>
      <c r="N3599" s="920">
        <f t="shared" si="369"/>
        <v>1</v>
      </c>
      <c r="O3599" s="918" t="str">
        <f t="shared" si="370"/>
        <v>Mar</v>
      </c>
      <c r="P3599" s="921">
        <f t="shared" si="371"/>
        <v>11</v>
      </c>
    </row>
    <row r="3600" spans="1:16" ht="15" hidden="1" customHeight="1">
      <c r="A3600" s="839">
        <v>68817799</v>
      </c>
      <c r="B3600" s="839">
        <v>1352</v>
      </c>
      <c r="C3600" s="906">
        <v>4400</v>
      </c>
      <c r="D3600" s="907">
        <v>46089</v>
      </c>
      <c r="E3600" s="839" t="s">
        <v>410</v>
      </c>
      <c r="F3600" s="839" t="s">
        <v>290</v>
      </c>
      <c r="G3600" s="916">
        <f>VLOOKUP($A3600,'Tech Litons'!$A:$I,8,FALSE)</f>
        <v>8.5199999999999998E-3</v>
      </c>
      <c r="H3600" s="917">
        <f>VLOOKUP($A3600,'Tech Litons'!$A:$I,9,FALSE)</f>
        <v>176</v>
      </c>
      <c r="I3600" s="917" t="str">
        <f>VLOOKUP($A3600,'Tech Litons'!$A:$C,3,0)</f>
        <v>48oz</v>
      </c>
      <c r="J3600" s="918" t="str">
        <f t="shared" si="366"/>
        <v>135248oz</v>
      </c>
      <c r="K3600" s="919">
        <v>1</v>
      </c>
      <c r="L3600" s="920">
        <f t="shared" si="367"/>
        <v>4400</v>
      </c>
      <c r="M3600" s="920">
        <f t="shared" si="368"/>
        <v>37.488</v>
      </c>
      <c r="N3600" s="920">
        <f t="shared" si="369"/>
        <v>25</v>
      </c>
      <c r="O3600" s="918" t="str">
        <f t="shared" si="370"/>
        <v>Mar</v>
      </c>
      <c r="P3600" s="921">
        <f t="shared" si="371"/>
        <v>11</v>
      </c>
    </row>
    <row r="3601" spans="1:16" ht="15" hidden="1" customHeight="1">
      <c r="A3601" s="839">
        <v>68817799</v>
      </c>
      <c r="B3601" s="839">
        <v>1352</v>
      </c>
      <c r="C3601" s="906">
        <v>4222</v>
      </c>
      <c r="D3601" s="907">
        <v>46090</v>
      </c>
      <c r="E3601" s="839" t="s">
        <v>410</v>
      </c>
      <c r="F3601" s="839" t="s">
        <v>290</v>
      </c>
      <c r="G3601" s="916">
        <f>VLOOKUP($A3601,'Tech Litons'!$A:$I,8,FALSE)</f>
        <v>8.5199999999999998E-3</v>
      </c>
      <c r="H3601" s="917">
        <f>VLOOKUP($A3601,'Tech Litons'!$A:$I,9,FALSE)</f>
        <v>176</v>
      </c>
      <c r="I3601" s="917" t="str">
        <f>VLOOKUP($A3601,'Tech Litons'!$A:$C,3,0)</f>
        <v>48oz</v>
      </c>
      <c r="J3601" s="918" t="str">
        <f t="shared" si="366"/>
        <v>135248oz</v>
      </c>
      <c r="K3601" s="919">
        <v>1</v>
      </c>
      <c r="L3601" s="920">
        <f t="shared" si="367"/>
        <v>4222</v>
      </c>
      <c r="M3601" s="920">
        <f t="shared" si="368"/>
        <v>35.971440000000001</v>
      </c>
      <c r="N3601" s="920">
        <f t="shared" si="369"/>
        <v>23.988636363636363</v>
      </c>
      <c r="O3601" s="918" t="str">
        <f t="shared" si="370"/>
        <v>Mar</v>
      </c>
      <c r="P3601" s="921">
        <f t="shared" si="371"/>
        <v>11</v>
      </c>
    </row>
    <row r="3602" spans="1:16" ht="15" hidden="1" customHeight="1">
      <c r="A3602" s="839">
        <v>68817800</v>
      </c>
      <c r="B3602" s="839">
        <v>1352</v>
      </c>
      <c r="C3602" s="906">
        <v>4165</v>
      </c>
      <c r="D3602" s="907">
        <v>46079</v>
      </c>
      <c r="E3602" s="839" t="s">
        <v>421</v>
      </c>
      <c r="F3602" s="839" t="s">
        <v>264</v>
      </c>
      <c r="G3602" s="916">
        <f>VLOOKUP($A3602,'Tech Litons'!$A:$I,8,FALSE)</f>
        <v>8.513999999999999E-3</v>
      </c>
      <c r="H3602" s="917">
        <f>VLOOKUP($A3602,'Tech Litons'!$A:$I,9,FALSE)</f>
        <v>176</v>
      </c>
      <c r="I3602" s="917" t="str">
        <f>VLOOKUP($A3602,'Tech Litons'!$A:$C,3,0)</f>
        <v>48oz</v>
      </c>
      <c r="J3602" s="918" t="str">
        <f t="shared" si="366"/>
        <v>135248oz</v>
      </c>
      <c r="K3602" s="919">
        <v>1</v>
      </c>
      <c r="L3602" s="920">
        <f t="shared" si="367"/>
        <v>4165</v>
      </c>
      <c r="M3602" s="920">
        <f t="shared" si="368"/>
        <v>35.460809999999995</v>
      </c>
      <c r="N3602" s="920">
        <f t="shared" si="369"/>
        <v>23.664772727272727</v>
      </c>
      <c r="O3602" s="918" t="str">
        <f t="shared" si="370"/>
        <v>Feb</v>
      </c>
      <c r="P3602" s="921">
        <f t="shared" si="371"/>
        <v>9</v>
      </c>
    </row>
    <row r="3603" spans="1:16" ht="15" hidden="1" customHeight="1">
      <c r="A3603" s="839">
        <v>68817800</v>
      </c>
      <c r="B3603" s="839">
        <v>1352</v>
      </c>
      <c r="C3603" s="906">
        <v>6057</v>
      </c>
      <c r="D3603" s="907">
        <v>46080</v>
      </c>
      <c r="E3603" s="839" t="s">
        <v>421</v>
      </c>
      <c r="F3603" s="839" t="s">
        <v>264</v>
      </c>
      <c r="G3603" s="916">
        <f>VLOOKUP($A3603,'Tech Litons'!$A:$I,8,FALSE)</f>
        <v>8.513999999999999E-3</v>
      </c>
      <c r="H3603" s="917">
        <f>VLOOKUP($A3603,'Tech Litons'!$A:$I,9,FALSE)</f>
        <v>176</v>
      </c>
      <c r="I3603" s="917" t="str">
        <f>VLOOKUP($A3603,'Tech Litons'!$A:$C,3,0)</f>
        <v>48oz</v>
      </c>
      <c r="J3603" s="918" t="str">
        <f t="shared" si="366"/>
        <v>135248oz</v>
      </c>
      <c r="K3603" s="919">
        <v>1</v>
      </c>
      <c r="L3603" s="920">
        <f t="shared" si="367"/>
        <v>6057</v>
      </c>
      <c r="M3603" s="920">
        <f t="shared" si="368"/>
        <v>51.569297999999996</v>
      </c>
      <c r="N3603" s="920">
        <f t="shared" si="369"/>
        <v>34.414772727272727</v>
      </c>
      <c r="O3603" s="918" t="str">
        <f t="shared" si="370"/>
        <v>Feb</v>
      </c>
      <c r="P3603" s="921">
        <f t="shared" si="371"/>
        <v>9</v>
      </c>
    </row>
    <row r="3604" spans="1:16" ht="15" hidden="1" customHeight="1">
      <c r="A3604" s="839">
        <v>68817800</v>
      </c>
      <c r="B3604" s="839">
        <v>1352</v>
      </c>
      <c r="C3604" s="906">
        <v>6665</v>
      </c>
      <c r="D3604" s="907">
        <v>46078</v>
      </c>
      <c r="E3604" s="839" t="s">
        <v>421</v>
      </c>
      <c r="F3604" s="839" t="s">
        <v>264</v>
      </c>
      <c r="G3604" s="916">
        <f>VLOOKUP($A3604,'Tech Litons'!$A:$I,8,FALSE)</f>
        <v>8.513999999999999E-3</v>
      </c>
      <c r="H3604" s="917">
        <f>VLOOKUP($A3604,'Tech Litons'!$A:$I,9,FALSE)</f>
        <v>176</v>
      </c>
      <c r="I3604" s="917" t="str">
        <f>VLOOKUP($A3604,'Tech Litons'!$A:$C,3,0)</f>
        <v>48oz</v>
      </c>
      <c r="J3604" s="918" t="str">
        <f t="shared" si="366"/>
        <v>135248oz</v>
      </c>
      <c r="K3604" s="919">
        <v>1</v>
      </c>
      <c r="L3604" s="920">
        <f t="shared" si="367"/>
        <v>6665</v>
      </c>
      <c r="M3604" s="920">
        <f t="shared" si="368"/>
        <v>56.745809999999992</v>
      </c>
      <c r="N3604" s="920">
        <f t="shared" si="369"/>
        <v>37.86931818181818</v>
      </c>
      <c r="O3604" s="918" t="str">
        <f t="shared" si="370"/>
        <v>Feb</v>
      </c>
      <c r="P3604" s="921">
        <f t="shared" si="371"/>
        <v>9</v>
      </c>
    </row>
    <row r="3605" spans="1:16" ht="15" hidden="1" customHeight="1">
      <c r="A3605" s="839">
        <v>68817800</v>
      </c>
      <c r="B3605" s="839">
        <v>1352</v>
      </c>
      <c r="C3605" s="906">
        <v>6</v>
      </c>
      <c r="D3605" s="907">
        <v>46079</v>
      </c>
      <c r="E3605" s="839" t="s">
        <v>421</v>
      </c>
      <c r="F3605" s="839" t="s">
        <v>264</v>
      </c>
      <c r="G3605" s="916">
        <f>VLOOKUP($A3605,'Tech Litons'!$A:$I,8,FALSE)</f>
        <v>8.513999999999999E-3</v>
      </c>
      <c r="H3605" s="917">
        <f>VLOOKUP($A3605,'Tech Litons'!$A:$I,9,FALSE)</f>
        <v>176</v>
      </c>
      <c r="I3605" s="917" t="str">
        <f>VLOOKUP($A3605,'Tech Litons'!$A:$C,3,0)</f>
        <v>48oz</v>
      </c>
      <c r="J3605" s="918" t="str">
        <f t="shared" si="366"/>
        <v>135248oz</v>
      </c>
      <c r="K3605" s="919">
        <v>1</v>
      </c>
      <c r="L3605" s="920">
        <f t="shared" si="367"/>
        <v>6</v>
      </c>
      <c r="M3605" s="920">
        <f t="shared" si="368"/>
        <v>5.1083999999999991E-2</v>
      </c>
      <c r="N3605" s="920">
        <f t="shared" si="369"/>
        <v>3.4090909090909088E-2</v>
      </c>
      <c r="O3605" s="918" t="str">
        <f t="shared" si="370"/>
        <v>Feb</v>
      </c>
      <c r="P3605" s="921">
        <f t="shared" si="371"/>
        <v>9</v>
      </c>
    </row>
    <row r="3606" spans="1:16" ht="15" hidden="1" customHeight="1">
      <c r="A3606" s="839">
        <v>68817800</v>
      </c>
      <c r="B3606" s="839">
        <v>1352</v>
      </c>
      <c r="C3606" s="906">
        <v>5010</v>
      </c>
      <c r="D3606" s="907">
        <v>46078</v>
      </c>
      <c r="E3606" s="839" t="s">
        <v>421</v>
      </c>
      <c r="F3606" s="839" t="s">
        <v>264</v>
      </c>
      <c r="G3606" s="916">
        <f>VLOOKUP($A3606,'Tech Litons'!$A:$I,8,FALSE)</f>
        <v>8.513999999999999E-3</v>
      </c>
      <c r="H3606" s="917">
        <f>VLOOKUP($A3606,'Tech Litons'!$A:$I,9,FALSE)</f>
        <v>176</v>
      </c>
      <c r="I3606" s="917" t="str">
        <f>VLOOKUP($A3606,'Tech Litons'!$A:$C,3,0)</f>
        <v>48oz</v>
      </c>
      <c r="J3606" s="918" t="str">
        <f t="shared" si="366"/>
        <v>135248oz</v>
      </c>
      <c r="K3606" s="919">
        <v>1</v>
      </c>
      <c r="L3606" s="920">
        <f t="shared" si="367"/>
        <v>5010</v>
      </c>
      <c r="M3606" s="920">
        <f t="shared" si="368"/>
        <v>42.655139999999996</v>
      </c>
      <c r="N3606" s="920">
        <f t="shared" si="369"/>
        <v>28.46590909090909</v>
      </c>
      <c r="O3606" s="918" t="str">
        <f t="shared" si="370"/>
        <v>Feb</v>
      </c>
      <c r="P3606" s="921">
        <f t="shared" si="371"/>
        <v>9</v>
      </c>
    </row>
    <row r="3607" spans="1:16" ht="15" hidden="1" customHeight="1">
      <c r="A3607" s="839">
        <v>68817800</v>
      </c>
      <c r="B3607" s="839">
        <v>1352</v>
      </c>
      <c r="C3607" s="906">
        <v>9025</v>
      </c>
      <c r="D3607" s="907">
        <v>46079</v>
      </c>
      <c r="E3607" s="839" t="s">
        <v>421</v>
      </c>
      <c r="F3607" s="839" t="s">
        <v>264</v>
      </c>
      <c r="G3607" s="916">
        <f>VLOOKUP($A3607,'Tech Litons'!$A:$I,8,FALSE)</f>
        <v>8.513999999999999E-3</v>
      </c>
      <c r="H3607" s="917">
        <f>VLOOKUP($A3607,'Tech Litons'!$A:$I,9,FALSE)</f>
        <v>176</v>
      </c>
      <c r="I3607" s="917" t="str">
        <f>VLOOKUP($A3607,'Tech Litons'!$A:$C,3,0)</f>
        <v>48oz</v>
      </c>
      <c r="J3607" s="918" t="str">
        <f t="shared" si="366"/>
        <v>135248oz</v>
      </c>
      <c r="K3607" s="919">
        <v>1</v>
      </c>
      <c r="L3607" s="920">
        <f t="shared" si="367"/>
        <v>9025</v>
      </c>
      <c r="M3607" s="920">
        <f t="shared" si="368"/>
        <v>76.838849999999994</v>
      </c>
      <c r="N3607" s="920">
        <f t="shared" si="369"/>
        <v>51.278409090909093</v>
      </c>
      <c r="O3607" s="918" t="str">
        <f t="shared" si="370"/>
        <v>Feb</v>
      </c>
      <c r="P3607" s="921">
        <f t="shared" si="371"/>
        <v>9</v>
      </c>
    </row>
    <row r="3608" spans="1:16" ht="15" hidden="1" customHeight="1">
      <c r="A3608" s="839">
        <v>68817801</v>
      </c>
      <c r="B3608" s="839">
        <v>1352</v>
      </c>
      <c r="C3608" s="906">
        <v>7561</v>
      </c>
      <c r="D3608" s="907">
        <v>46088</v>
      </c>
      <c r="E3608" s="839" t="s">
        <v>333</v>
      </c>
      <c r="F3608" s="839" t="s">
        <v>264</v>
      </c>
      <c r="G3608" s="916">
        <f>VLOOKUP($A3608,'Tech Litons'!$A:$I,8,FALSE)</f>
        <v>8.5199999999999998E-3</v>
      </c>
      <c r="H3608" s="917">
        <f>VLOOKUP($A3608,'Tech Litons'!$A:$I,9,FALSE)</f>
        <v>176</v>
      </c>
      <c r="I3608" s="917" t="str">
        <f>VLOOKUP($A3608,'Tech Litons'!$A:$C,3,0)</f>
        <v>48oz</v>
      </c>
      <c r="J3608" s="918" t="str">
        <f t="shared" si="366"/>
        <v>135248oz</v>
      </c>
      <c r="K3608" s="919">
        <v>1</v>
      </c>
      <c r="L3608" s="920">
        <f t="shared" si="367"/>
        <v>7561</v>
      </c>
      <c r="M3608" s="920">
        <f t="shared" si="368"/>
        <v>64.419719999999998</v>
      </c>
      <c r="N3608" s="920">
        <f t="shared" si="369"/>
        <v>42.960227272727273</v>
      </c>
      <c r="O3608" s="918" t="str">
        <f t="shared" si="370"/>
        <v>Mar</v>
      </c>
      <c r="P3608" s="921">
        <f t="shared" si="371"/>
        <v>10</v>
      </c>
    </row>
    <row r="3609" spans="1:16" ht="15" hidden="1" customHeight="1">
      <c r="A3609" s="839">
        <v>68817801</v>
      </c>
      <c r="B3609" s="839">
        <v>1352</v>
      </c>
      <c r="C3609" s="906">
        <v>7534</v>
      </c>
      <c r="D3609" s="907">
        <v>46089</v>
      </c>
      <c r="E3609" s="839" t="s">
        <v>333</v>
      </c>
      <c r="F3609" s="839" t="s">
        <v>264</v>
      </c>
      <c r="G3609" s="916">
        <f>VLOOKUP($A3609,'Tech Litons'!$A:$I,8,FALSE)</f>
        <v>8.5199999999999998E-3</v>
      </c>
      <c r="H3609" s="917">
        <f>VLOOKUP($A3609,'Tech Litons'!$A:$I,9,FALSE)</f>
        <v>176</v>
      </c>
      <c r="I3609" s="917" t="str">
        <f>VLOOKUP($A3609,'Tech Litons'!$A:$C,3,0)</f>
        <v>48oz</v>
      </c>
      <c r="J3609" s="918" t="str">
        <f t="shared" si="366"/>
        <v>135248oz</v>
      </c>
      <c r="K3609" s="919">
        <v>1</v>
      </c>
      <c r="L3609" s="920">
        <f t="shared" si="367"/>
        <v>7534</v>
      </c>
      <c r="M3609" s="920">
        <f t="shared" si="368"/>
        <v>64.189679999999996</v>
      </c>
      <c r="N3609" s="920">
        <f t="shared" si="369"/>
        <v>42.80681818181818</v>
      </c>
      <c r="O3609" s="918" t="str">
        <f t="shared" si="370"/>
        <v>Mar</v>
      </c>
      <c r="P3609" s="921">
        <f t="shared" si="371"/>
        <v>11</v>
      </c>
    </row>
    <row r="3610" spans="1:16" ht="15" hidden="1" customHeight="1">
      <c r="A3610" s="839">
        <v>68817801</v>
      </c>
      <c r="B3610" s="839">
        <v>1352</v>
      </c>
      <c r="C3610" s="906">
        <v>4752</v>
      </c>
      <c r="D3610" s="907">
        <v>46089</v>
      </c>
      <c r="E3610" s="839" t="s">
        <v>333</v>
      </c>
      <c r="F3610" s="839" t="s">
        <v>264</v>
      </c>
      <c r="G3610" s="916">
        <f>VLOOKUP($A3610,'Tech Litons'!$A:$I,8,FALSE)</f>
        <v>8.5199999999999998E-3</v>
      </c>
      <c r="H3610" s="917">
        <f>VLOOKUP($A3610,'Tech Litons'!$A:$I,9,FALSE)</f>
        <v>176</v>
      </c>
      <c r="I3610" s="917" t="str">
        <f>VLOOKUP($A3610,'Tech Litons'!$A:$C,3,0)</f>
        <v>48oz</v>
      </c>
      <c r="J3610" s="918" t="str">
        <f t="shared" si="366"/>
        <v>135248oz</v>
      </c>
      <c r="K3610" s="919">
        <v>1</v>
      </c>
      <c r="L3610" s="920">
        <f t="shared" si="367"/>
        <v>4752</v>
      </c>
      <c r="M3610" s="920">
        <f t="shared" si="368"/>
        <v>40.48704</v>
      </c>
      <c r="N3610" s="920">
        <f t="shared" si="369"/>
        <v>27</v>
      </c>
      <c r="O3610" s="918" t="str">
        <f t="shared" si="370"/>
        <v>Mar</v>
      </c>
      <c r="P3610" s="921">
        <f t="shared" si="371"/>
        <v>11</v>
      </c>
    </row>
    <row r="3611" spans="1:16" ht="15" hidden="1" customHeight="1">
      <c r="A3611" s="839">
        <v>68817801</v>
      </c>
      <c r="B3611" s="839">
        <v>1352</v>
      </c>
      <c r="C3611" s="906">
        <v>5928</v>
      </c>
      <c r="D3611" s="907">
        <v>46090</v>
      </c>
      <c r="E3611" s="839" t="s">
        <v>333</v>
      </c>
      <c r="F3611" s="839" t="s">
        <v>264</v>
      </c>
      <c r="G3611" s="916">
        <f>VLOOKUP($A3611,'Tech Litons'!$A:$I,8,FALSE)</f>
        <v>8.5199999999999998E-3</v>
      </c>
      <c r="H3611" s="917">
        <f>VLOOKUP($A3611,'Tech Litons'!$A:$I,9,FALSE)</f>
        <v>176</v>
      </c>
      <c r="I3611" s="917" t="str">
        <f>VLOOKUP($A3611,'Tech Litons'!$A:$C,3,0)</f>
        <v>48oz</v>
      </c>
      <c r="J3611" s="918" t="str">
        <f t="shared" si="366"/>
        <v>135248oz</v>
      </c>
      <c r="K3611" s="919">
        <v>1</v>
      </c>
      <c r="L3611" s="920">
        <f t="shared" si="367"/>
        <v>5928</v>
      </c>
      <c r="M3611" s="920">
        <f t="shared" si="368"/>
        <v>50.50656</v>
      </c>
      <c r="N3611" s="920">
        <f t="shared" si="369"/>
        <v>33.68181818181818</v>
      </c>
      <c r="O3611" s="918" t="str">
        <f t="shared" si="370"/>
        <v>Mar</v>
      </c>
      <c r="P3611" s="921">
        <f t="shared" si="371"/>
        <v>11</v>
      </c>
    </row>
    <row r="3612" spans="1:16" ht="15" hidden="1" customHeight="1">
      <c r="A3612" s="839">
        <v>68850683</v>
      </c>
      <c r="B3612" s="839">
        <v>1352</v>
      </c>
      <c r="C3612" s="906">
        <v>3435</v>
      </c>
      <c r="D3612" s="907">
        <v>46105</v>
      </c>
      <c r="E3612" s="839" t="s">
        <v>311</v>
      </c>
      <c r="F3612" s="839" t="s">
        <v>264</v>
      </c>
      <c r="G3612" s="916">
        <f>VLOOKUP($A3612,'Tech Litons'!$A:$I,8,FALSE)</f>
        <v>8.5199999999999998E-3</v>
      </c>
      <c r="H3612" s="917">
        <f>VLOOKUP($A3612,'Tech Litons'!$A:$I,9,FALSE)</f>
        <v>176</v>
      </c>
      <c r="I3612" s="917" t="str">
        <f>VLOOKUP($A3612,'Tech Litons'!$A:$C,3,0)</f>
        <v>48oz</v>
      </c>
      <c r="J3612" s="918" t="str">
        <f t="shared" si="366"/>
        <v>135248oz</v>
      </c>
      <c r="K3612" s="919">
        <v>1</v>
      </c>
      <c r="L3612" s="920">
        <f t="shared" si="367"/>
        <v>3435</v>
      </c>
      <c r="M3612" s="920">
        <f t="shared" si="368"/>
        <v>29.266199999999998</v>
      </c>
      <c r="N3612" s="920">
        <f t="shared" si="369"/>
        <v>19.517045454545453</v>
      </c>
      <c r="O3612" s="918" t="str">
        <f t="shared" si="370"/>
        <v>Mar</v>
      </c>
      <c r="P3612" s="921">
        <f t="shared" si="371"/>
        <v>13</v>
      </c>
    </row>
    <row r="3613" spans="1:16" ht="15" hidden="1" customHeight="1">
      <c r="A3613" s="839">
        <v>68850683</v>
      </c>
      <c r="B3613" s="839">
        <v>1352</v>
      </c>
      <c r="C3613" s="906">
        <v>704</v>
      </c>
      <c r="D3613" s="907">
        <v>46104</v>
      </c>
      <c r="E3613" s="839" t="s">
        <v>311</v>
      </c>
      <c r="F3613" s="839" t="s">
        <v>264</v>
      </c>
      <c r="G3613" s="916">
        <f>VLOOKUP($A3613,'Tech Litons'!$A:$I,8,FALSE)</f>
        <v>8.5199999999999998E-3</v>
      </c>
      <c r="H3613" s="917">
        <f>VLOOKUP($A3613,'Tech Litons'!$A:$I,9,FALSE)</f>
        <v>176</v>
      </c>
      <c r="I3613" s="917" t="str">
        <f>VLOOKUP($A3613,'Tech Litons'!$A:$C,3,0)</f>
        <v>48oz</v>
      </c>
      <c r="J3613" s="918" t="str">
        <f t="shared" si="366"/>
        <v>135248oz</v>
      </c>
      <c r="K3613" s="919">
        <v>1</v>
      </c>
      <c r="L3613" s="920">
        <f t="shared" si="367"/>
        <v>704</v>
      </c>
      <c r="M3613" s="920">
        <f t="shared" si="368"/>
        <v>5.9980799999999999</v>
      </c>
      <c r="N3613" s="920">
        <f t="shared" si="369"/>
        <v>4</v>
      </c>
      <c r="O3613" s="918" t="str">
        <f t="shared" si="370"/>
        <v>Mar</v>
      </c>
      <c r="P3613" s="921">
        <f t="shared" si="371"/>
        <v>13</v>
      </c>
    </row>
    <row r="3614" spans="1:16" ht="15" hidden="1" customHeight="1">
      <c r="A3614" s="839">
        <v>68850683</v>
      </c>
      <c r="B3614" s="839">
        <v>1352</v>
      </c>
      <c r="C3614" s="906">
        <v>9449</v>
      </c>
      <c r="D3614" s="907">
        <v>46105</v>
      </c>
      <c r="E3614" s="839" t="s">
        <v>311</v>
      </c>
      <c r="F3614" s="839" t="s">
        <v>264</v>
      </c>
      <c r="G3614" s="916">
        <f>VLOOKUP($A3614,'Tech Litons'!$A:$I,8,FALSE)</f>
        <v>8.5199999999999998E-3</v>
      </c>
      <c r="H3614" s="917">
        <f>VLOOKUP($A3614,'Tech Litons'!$A:$I,9,FALSE)</f>
        <v>176</v>
      </c>
      <c r="I3614" s="917" t="str">
        <f>VLOOKUP($A3614,'Tech Litons'!$A:$C,3,0)</f>
        <v>48oz</v>
      </c>
      <c r="J3614" s="918" t="str">
        <f t="shared" si="366"/>
        <v>135248oz</v>
      </c>
      <c r="K3614" s="919">
        <v>1</v>
      </c>
      <c r="L3614" s="920">
        <f t="shared" si="367"/>
        <v>9449</v>
      </c>
      <c r="M3614" s="920">
        <f t="shared" si="368"/>
        <v>80.505479999999991</v>
      </c>
      <c r="N3614" s="920">
        <f t="shared" si="369"/>
        <v>53.6875</v>
      </c>
      <c r="O3614" s="918" t="str">
        <f t="shared" si="370"/>
        <v>Mar</v>
      </c>
      <c r="P3614" s="921">
        <f t="shared" si="371"/>
        <v>13</v>
      </c>
    </row>
    <row r="3615" spans="1:16" ht="15" hidden="1" customHeight="1">
      <c r="A3615" s="839">
        <v>68850684</v>
      </c>
      <c r="B3615" s="839">
        <v>1352</v>
      </c>
      <c r="C3615" s="906">
        <v>7382</v>
      </c>
      <c r="D3615" s="907">
        <v>46078</v>
      </c>
      <c r="E3615" s="839" t="s">
        <v>381</v>
      </c>
      <c r="F3615" s="839" t="s">
        <v>290</v>
      </c>
      <c r="G3615" s="916">
        <f>VLOOKUP($A3615,'Tech Litons'!$A:$I,8,FALSE)</f>
        <v>8.5199999999999998E-3</v>
      </c>
      <c r="H3615" s="917">
        <f>VLOOKUP($A3615,'Tech Litons'!$A:$I,9,FALSE)</f>
        <v>176</v>
      </c>
      <c r="I3615" s="917" t="str">
        <f>VLOOKUP($A3615,'Tech Litons'!$A:$C,3,0)</f>
        <v>48oz</v>
      </c>
      <c r="J3615" s="918" t="str">
        <f t="shared" si="366"/>
        <v>135248oz</v>
      </c>
      <c r="K3615" s="919">
        <v>1</v>
      </c>
      <c r="L3615" s="920">
        <f t="shared" si="367"/>
        <v>7382</v>
      </c>
      <c r="M3615" s="920">
        <f t="shared" si="368"/>
        <v>62.894639999999995</v>
      </c>
      <c r="N3615" s="920">
        <f t="shared" si="369"/>
        <v>41.94318181818182</v>
      </c>
      <c r="O3615" s="918" t="str">
        <f t="shared" si="370"/>
        <v>Feb</v>
      </c>
      <c r="P3615" s="921">
        <f t="shared" si="371"/>
        <v>9</v>
      </c>
    </row>
    <row r="3616" spans="1:16" ht="15" hidden="1" customHeight="1">
      <c r="A3616" s="839">
        <v>68850684</v>
      </c>
      <c r="B3616" s="839">
        <v>1352</v>
      </c>
      <c r="C3616" s="906">
        <v>8049</v>
      </c>
      <c r="D3616" s="907">
        <v>46079</v>
      </c>
      <c r="E3616" s="839" t="s">
        <v>381</v>
      </c>
      <c r="F3616" s="839" t="s">
        <v>290</v>
      </c>
      <c r="G3616" s="916">
        <f>VLOOKUP($A3616,'Tech Litons'!$A:$I,8,FALSE)</f>
        <v>8.5199999999999998E-3</v>
      </c>
      <c r="H3616" s="917">
        <f>VLOOKUP($A3616,'Tech Litons'!$A:$I,9,FALSE)</f>
        <v>176</v>
      </c>
      <c r="I3616" s="917" t="str">
        <f>VLOOKUP($A3616,'Tech Litons'!$A:$C,3,0)</f>
        <v>48oz</v>
      </c>
      <c r="J3616" s="918" t="str">
        <f t="shared" si="366"/>
        <v>135248oz</v>
      </c>
      <c r="K3616" s="919">
        <v>1</v>
      </c>
      <c r="L3616" s="920">
        <f t="shared" si="367"/>
        <v>8049</v>
      </c>
      <c r="M3616" s="920">
        <f t="shared" si="368"/>
        <v>68.577479999999994</v>
      </c>
      <c r="N3616" s="920">
        <f t="shared" si="369"/>
        <v>45.732954545454547</v>
      </c>
      <c r="O3616" s="918" t="str">
        <f t="shared" si="370"/>
        <v>Feb</v>
      </c>
      <c r="P3616" s="921">
        <f t="shared" si="371"/>
        <v>9</v>
      </c>
    </row>
    <row r="3617" spans="1:16" ht="15" hidden="1" customHeight="1">
      <c r="A3617" s="839">
        <v>68850684</v>
      </c>
      <c r="B3617" s="839">
        <v>1352</v>
      </c>
      <c r="C3617" s="906">
        <v>166</v>
      </c>
      <c r="D3617" s="907">
        <v>46084</v>
      </c>
      <c r="E3617" s="839" t="s">
        <v>381</v>
      </c>
      <c r="F3617" s="839" t="s">
        <v>290</v>
      </c>
      <c r="G3617" s="916">
        <f>VLOOKUP($A3617,'Tech Litons'!$A:$I,8,FALSE)</f>
        <v>8.5199999999999998E-3</v>
      </c>
      <c r="H3617" s="917">
        <f>VLOOKUP($A3617,'Tech Litons'!$A:$I,9,FALSE)</f>
        <v>176</v>
      </c>
      <c r="I3617" s="917" t="str">
        <f>VLOOKUP($A3617,'Tech Litons'!$A:$C,3,0)</f>
        <v>48oz</v>
      </c>
      <c r="J3617" s="918" t="str">
        <f t="shared" si="366"/>
        <v>135248oz</v>
      </c>
      <c r="K3617" s="919">
        <v>1</v>
      </c>
      <c r="L3617" s="920">
        <f t="shared" si="367"/>
        <v>166</v>
      </c>
      <c r="M3617" s="920">
        <f t="shared" si="368"/>
        <v>1.41432</v>
      </c>
      <c r="N3617" s="920">
        <f t="shared" si="369"/>
        <v>0.94318181818181823</v>
      </c>
      <c r="O3617" s="918" t="str">
        <f t="shared" si="370"/>
        <v>Mar</v>
      </c>
      <c r="P3617" s="921">
        <f t="shared" si="371"/>
        <v>10</v>
      </c>
    </row>
    <row r="3618" spans="1:16" ht="15" hidden="1" customHeight="1">
      <c r="A3618" s="839">
        <v>68850684</v>
      </c>
      <c r="B3618" s="839">
        <v>1352</v>
      </c>
      <c r="C3618" s="906">
        <v>0</v>
      </c>
      <c r="D3618" s="907">
        <v>46085</v>
      </c>
      <c r="E3618" s="839" t="s">
        <v>381</v>
      </c>
      <c r="F3618" s="839" t="s">
        <v>290</v>
      </c>
      <c r="G3618" s="916">
        <f>VLOOKUP($A3618,'Tech Litons'!$A:$I,8,FALSE)</f>
        <v>8.5199999999999998E-3</v>
      </c>
      <c r="H3618" s="917">
        <f>VLOOKUP($A3618,'Tech Litons'!$A:$I,9,FALSE)</f>
        <v>176</v>
      </c>
      <c r="I3618" s="917" t="str">
        <f>VLOOKUP($A3618,'Tech Litons'!$A:$C,3,0)</f>
        <v>48oz</v>
      </c>
      <c r="J3618" s="918" t="str">
        <f t="shared" si="366"/>
        <v>135248oz</v>
      </c>
      <c r="K3618" s="919">
        <v>1</v>
      </c>
      <c r="L3618" s="920">
        <f t="shared" si="367"/>
        <v>0</v>
      </c>
      <c r="M3618" s="920">
        <f t="shared" si="368"/>
        <v>0</v>
      </c>
      <c r="N3618" s="920">
        <f t="shared" si="369"/>
        <v>0</v>
      </c>
      <c r="O3618" s="918" t="str">
        <f t="shared" si="370"/>
        <v>Mar</v>
      </c>
      <c r="P3618" s="921">
        <f t="shared" si="371"/>
        <v>10</v>
      </c>
    </row>
    <row r="3619" spans="1:16" ht="15" hidden="1" customHeight="1">
      <c r="A3619" s="839">
        <v>68850684</v>
      </c>
      <c r="B3619" s="839">
        <v>1352</v>
      </c>
      <c r="C3619" s="906">
        <v>3872</v>
      </c>
      <c r="D3619" s="907">
        <v>46079</v>
      </c>
      <c r="E3619" s="839" t="s">
        <v>381</v>
      </c>
      <c r="F3619" s="839" t="s">
        <v>290</v>
      </c>
      <c r="G3619" s="916">
        <f>VLOOKUP($A3619,'Tech Litons'!$A:$I,8,FALSE)</f>
        <v>8.5199999999999998E-3</v>
      </c>
      <c r="H3619" s="917">
        <f>VLOOKUP($A3619,'Tech Litons'!$A:$I,9,FALSE)</f>
        <v>176</v>
      </c>
      <c r="I3619" s="917" t="str">
        <f>VLOOKUP($A3619,'Tech Litons'!$A:$C,3,0)</f>
        <v>48oz</v>
      </c>
      <c r="J3619" s="918" t="str">
        <f t="shared" si="366"/>
        <v>135248oz</v>
      </c>
      <c r="K3619" s="919">
        <v>1</v>
      </c>
      <c r="L3619" s="920">
        <f t="shared" si="367"/>
        <v>3872</v>
      </c>
      <c r="M3619" s="920">
        <f t="shared" si="368"/>
        <v>32.989440000000002</v>
      </c>
      <c r="N3619" s="920">
        <f t="shared" si="369"/>
        <v>22</v>
      </c>
      <c r="O3619" s="918" t="str">
        <f t="shared" si="370"/>
        <v>Feb</v>
      </c>
      <c r="P3619" s="921">
        <f t="shared" si="371"/>
        <v>9</v>
      </c>
    </row>
    <row r="3620" spans="1:16" ht="15" hidden="1" customHeight="1">
      <c r="A3620" s="839">
        <v>68850684</v>
      </c>
      <c r="B3620" s="839">
        <v>1352</v>
      </c>
      <c r="C3620" s="906">
        <v>586</v>
      </c>
      <c r="D3620" s="907">
        <v>46080</v>
      </c>
      <c r="E3620" s="839" t="s">
        <v>381</v>
      </c>
      <c r="F3620" s="839" t="s">
        <v>290</v>
      </c>
      <c r="G3620" s="916">
        <f>VLOOKUP($A3620,'Tech Litons'!$A:$I,8,FALSE)</f>
        <v>8.5199999999999998E-3</v>
      </c>
      <c r="H3620" s="917">
        <f>VLOOKUP($A3620,'Tech Litons'!$A:$I,9,FALSE)</f>
        <v>176</v>
      </c>
      <c r="I3620" s="917" t="str">
        <f>VLOOKUP($A3620,'Tech Litons'!$A:$C,3,0)</f>
        <v>48oz</v>
      </c>
      <c r="J3620" s="918" t="str">
        <f t="shared" si="366"/>
        <v>135248oz</v>
      </c>
      <c r="K3620" s="919">
        <v>1</v>
      </c>
      <c r="L3620" s="920">
        <f t="shared" si="367"/>
        <v>586</v>
      </c>
      <c r="M3620" s="920">
        <f t="shared" si="368"/>
        <v>4.9927200000000003</v>
      </c>
      <c r="N3620" s="920">
        <f t="shared" si="369"/>
        <v>3.3295454545454546</v>
      </c>
      <c r="O3620" s="918" t="str">
        <f t="shared" si="370"/>
        <v>Feb</v>
      </c>
      <c r="P3620" s="921">
        <f t="shared" si="371"/>
        <v>9</v>
      </c>
    </row>
    <row r="3621" spans="1:16" ht="15" hidden="1" customHeight="1">
      <c r="A3621" s="839">
        <v>68851104</v>
      </c>
      <c r="B3621" s="839">
        <v>1352</v>
      </c>
      <c r="C3621" s="906">
        <v>6442</v>
      </c>
      <c r="D3621" s="907">
        <v>46081</v>
      </c>
      <c r="E3621" s="839" t="s">
        <v>270</v>
      </c>
      <c r="F3621" s="839" t="s">
        <v>264</v>
      </c>
      <c r="G3621" s="916">
        <f>VLOOKUP($A3621,'Tech Litons'!$A:$I,8,FALSE)</f>
        <v>8.5199999999999998E-3</v>
      </c>
      <c r="H3621" s="917">
        <f>VLOOKUP($A3621,'Tech Litons'!$A:$I,9,FALSE)</f>
        <v>176</v>
      </c>
      <c r="I3621" s="917" t="str">
        <f>VLOOKUP($A3621,'Tech Litons'!$A:$C,3,0)</f>
        <v>48oz</v>
      </c>
      <c r="J3621" s="918" t="str">
        <f t="shared" si="366"/>
        <v>135248oz</v>
      </c>
      <c r="K3621" s="919">
        <v>1</v>
      </c>
      <c r="L3621" s="920">
        <f t="shared" si="367"/>
        <v>6442</v>
      </c>
      <c r="M3621" s="920">
        <f t="shared" si="368"/>
        <v>54.885840000000002</v>
      </c>
      <c r="N3621" s="920">
        <f t="shared" si="369"/>
        <v>36.602272727272727</v>
      </c>
      <c r="O3621" s="918" t="str">
        <f t="shared" si="370"/>
        <v>Feb</v>
      </c>
      <c r="P3621" s="921">
        <f t="shared" si="371"/>
        <v>9</v>
      </c>
    </row>
    <row r="3622" spans="1:16" ht="15" hidden="1" customHeight="1">
      <c r="A3622" s="839">
        <v>68851104</v>
      </c>
      <c r="B3622" s="839">
        <v>1352</v>
      </c>
      <c r="C3622" s="906">
        <v>4785</v>
      </c>
      <c r="D3622" s="907">
        <v>46082</v>
      </c>
      <c r="E3622" s="839" t="s">
        <v>270</v>
      </c>
      <c r="F3622" s="839" t="s">
        <v>264</v>
      </c>
      <c r="G3622" s="916">
        <f>VLOOKUP($A3622,'Tech Litons'!$A:$I,8,FALSE)</f>
        <v>8.5199999999999998E-3</v>
      </c>
      <c r="H3622" s="917">
        <f>VLOOKUP($A3622,'Tech Litons'!$A:$I,9,FALSE)</f>
        <v>176</v>
      </c>
      <c r="I3622" s="917" t="str">
        <f>VLOOKUP($A3622,'Tech Litons'!$A:$C,3,0)</f>
        <v>48oz</v>
      </c>
      <c r="J3622" s="918" t="str">
        <f t="shared" si="366"/>
        <v>135248oz</v>
      </c>
      <c r="K3622" s="919">
        <v>1</v>
      </c>
      <c r="L3622" s="920">
        <f t="shared" si="367"/>
        <v>4785</v>
      </c>
      <c r="M3622" s="920">
        <f t="shared" si="368"/>
        <v>40.7682</v>
      </c>
      <c r="N3622" s="920">
        <f t="shared" si="369"/>
        <v>27.1875</v>
      </c>
      <c r="O3622" s="918" t="str">
        <f t="shared" si="370"/>
        <v>Mar</v>
      </c>
      <c r="P3622" s="921">
        <f t="shared" si="371"/>
        <v>10</v>
      </c>
    </row>
    <row r="3623" spans="1:16" ht="15" hidden="1" customHeight="1">
      <c r="A3623" s="839">
        <v>68851104</v>
      </c>
      <c r="B3623" s="839">
        <v>1352</v>
      </c>
      <c r="C3623" s="906">
        <v>2390</v>
      </c>
      <c r="D3623" s="907">
        <v>46082</v>
      </c>
      <c r="E3623" s="839" t="s">
        <v>270</v>
      </c>
      <c r="F3623" s="839" t="s">
        <v>264</v>
      </c>
      <c r="G3623" s="916">
        <f>VLOOKUP($A3623,'Tech Litons'!$A:$I,8,FALSE)</f>
        <v>8.5199999999999998E-3</v>
      </c>
      <c r="H3623" s="917">
        <f>VLOOKUP($A3623,'Tech Litons'!$A:$I,9,FALSE)</f>
        <v>176</v>
      </c>
      <c r="I3623" s="917" t="str">
        <f>VLOOKUP($A3623,'Tech Litons'!$A:$C,3,0)</f>
        <v>48oz</v>
      </c>
      <c r="J3623" s="918" t="str">
        <f t="shared" si="366"/>
        <v>135248oz</v>
      </c>
      <c r="K3623" s="919">
        <v>1</v>
      </c>
      <c r="L3623" s="920">
        <f t="shared" si="367"/>
        <v>2390</v>
      </c>
      <c r="M3623" s="920">
        <f t="shared" si="368"/>
        <v>20.3628</v>
      </c>
      <c r="N3623" s="920">
        <f t="shared" si="369"/>
        <v>13.579545454545455</v>
      </c>
      <c r="O3623" s="918" t="str">
        <f t="shared" si="370"/>
        <v>Mar</v>
      </c>
      <c r="P3623" s="921">
        <f t="shared" si="371"/>
        <v>10</v>
      </c>
    </row>
    <row r="3624" spans="1:16" ht="15" hidden="1" customHeight="1">
      <c r="A3624" s="839">
        <v>68851104</v>
      </c>
      <c r="B3624" s="839">
        <v>1352</v>
      </c>
      <c r="C3624" s="906">
        <v>8624</v>
      </c>
      <c r="D3624" s="907">
        <v>46083</v>
      </c>
      <c r="E3624" s="839" t="s">
        <v>270</v>
      </c>
      <c r="F3624" s="839" t="s">
        <v>264</v>
      </c>
      <c r="G3624" s="916">
        <f>VLOOKUP($A3624,'Tech Litons'!$A:$I,8,FALSE)</f>
        <v>8.5199999999999998E-3</v>
      </c>
      <c r="H3624" s="917">
        <f>VLOOKUP($A3624,'Tech Litons'!$A:$I,9,FALSE)</f>
        <v>176</v>
      </c>
      <c r="I3624" s="917" t="str">
        <f>VLOOKUP($A3624,'Tech Litons'!$A:$C,3,0)</f>
        <v>48oz</v>
      </c>
      <c r="J3624" s="918" t="str">
        <f t="shared" si="366"/>
        <v>135248oz</v>
      </c>
      <c r="K3624" s="919">
        <v>1</v>
      </c>
      <c r="L3624" s="920">
        <f t="shared" si="367"/>
        <v>8624</v>
      </c>
      <c r="M3624" s="920">
        <f t="shared" si="368"/>
        <v>73.476479999999995</v>
      </c>
      <c r="N3624" s="920">
        <f t="shared" si="369"/>
        <v>49</v>
      </c>
      <c r="O3624" s="918" t="str">
        <f t="shared" si="370"/>
        <v>Mar</v>
      </c>
      <c r="P3624" s="921">
        <f t="shared" si="371"/>
        <v>10</v>
      </c>
    </row>
    <row r="3625" spans="1:16" ht="15" hidden="1" customHeight="1">
      <c r="A3625" s="839">
        <v>68851104</v>
      </c>
      <c r="B3625" s="839">
        <v>1352</v>
      </c>
      <c r="C3625" s="906">
        <v>5214</v>
      </c>
      <c r="D3625" s="907">
        <v>46083</v>
      </c>
      <c r="E3625" s="839" t="s">
        <v>270</v>
      </c>
      <c r="F3625" s="839" t="s">
        <v>264</v>
      </c>
      <c r="G3625" s="916">
        <f>VLOOKUP($A3625,'Tech Litons'!$A:$I,8,FALSE)</f>
        <v>8.5199999999999998E-3</v>
      </c>
      <c r="H3625" s="917">
        <f>VLOOKUP($A3625,'Tech Litons'!$A:$I,9,FALSE)</f>
        <v>176</v>
      </c>
      <c r="I3625" s="917" t="str">
        <f>VLOOKUP($A3625,'Tech Litons'!$A:$C,3,0)</f>
        <v>48oz</v>
      </c>
      <c r="J3625" s="918" t="str">
        <f t="shared" si="366"/>
        <v>135248oz</v>
      </c>
      <c r="K3625" s="919">
        <v>1</v>
      </c>
      <c r="L3625" s="920">
        <f t="shared" si="367"/>
        <v>5214</v>
      </c>
      <c r="M3625" s="920">
        <f t="shared" si="368"/>
        <v>44.423279999999998</v>
      </c>
      <c r="N3625" s="920">
        <f t="shared" si="369"/>
        <v>29.625</v>
      </c>
      <c r="O3625" s="918" t="str">
        <f t="shared" si="370"/>
        <v>Mar</v>
      </c>
      <c r="P3625" s="921">
        <f t="shared" si="371"/>
        <v>10</v>
      </c>
    </row>
    <row r="3626" spans="1:16" ht="15" hidden="1" customHeight="1">
      <c r="A3626" s="839">
        <v>68851104</v>
      </c>
      <c r="B3626" s="839">
        <v>1352</v>
      </c>
      <c r="C3626" s="906">
        <v>9695</v>
      </c>
      <c r="D3626" s="907">
        <v>46084</v>
      </c>
      <c r="E3626" s="839" t="s">
        <v>270</v>
      </c>
      <c r="F3626" s="839" t="s">
        <v>264</v>
      </c>
      <c r="G3626" s="916">
        <f>VLOOKUP($A3626,'Tech Litons'!$A:$I,8,FALSE)</f>
        <v>8.5199999999999998E-3</v>
      </c>
      <c r="H3626" s="917">
        <f>VLOOKUP($A3626,'Tech Litons'!$A:$I,9,FALSE)</f>
        <v>176</v>
      </c>
      <c r="I3626" s="917" t="str">
        <f>VLOOKUP($A3626,'Tech Litons'!$A:$C,3,0)</f>
        <v>48oz</v>
      </c>
      <c r="J3626" s="918" t="str">
        <f t="shared" si="366"/>
        <v>135248oz</v>
      </c>
      <c r="K3626" s="919">
        <v>1</v>
      </c>
      <c r="L3626" s="920">
        <f t="shared" si="367"/>
        <v>9695</v>
      </c>
      <c r="M3626" s="920">
        <f t="shared" si="368"/>
        <v>82.601399999999998</v>
      </c>
      <c r="N3626" s="920">
        <f t="shared" si="369"/>
        <v>55.085227272727273</v>
      </c>
      <c r="O3626" s="918" t="str">
        <f t="shared" si="370"/>
        <v>Mar</v>
      </c>
      <c r="P3626" s="921">
        <f t="shared" si="371"/>
        <v>10</v>
      </c>
    </row>
    <row r="3627" spans="1:16" ht="15" hidden="1" customHeight="1">
      <c r="A3627" s="839">
        <v>68851104</v>
      </c>
      <c r="B3627" s="839">
        <v>1352</v>
      </c>
      <c r="C3627" s="906">
        <v>176</v>
      </c>
      <c r="D3627" s="907">
        <v>46105</v>
      </c>
      <c r="E3627" s="839" t="s">
        <v>270</v>
      </c>
      <c r="F3627" s="839" t="s">
        <v>264</v>
      </c>
      <c r="G3627" s="916">
        <f>VLOOKUP($A3627,'Tech Litons'!$A:$I,8,FALSE)</f>
        <v>8.5199999999999998E-3</v>
      </c>
      <c r="H3627" s="917">
        <f>VLOOKUP($A3627,'Tech Litons'!$A:$I,9,FALSE)</f>
        <v>176</v>
      </c>
      <c r="I3627" s="917" t="str">
        <f>VLOOKUP($A3627,'Tech Litons'!$A:$C,3,0)</f>
        <v>48oz</v>
      </c>
      <c r="J3627" s="918" t="str">
        <f t="shared" si="366"/>
        <v>135248oz</v>
      </c>
      <c r="K3627" s="919">
        <v>1</v>
      </c>
      <c r="L3627" s="920">
        <f t="shared" si="367"/>
        <v>176</v>
      </c>
      <c r="M3627" s="920">
        <f t="shared" si="368"/>
        <v>1.49952</v>
      </c>
      <c r="N3627" s="920">
        <f t="shared" si="369"/>
        <v>1</v>
      </c>
      <c r="O3627" s="918" t="str">
        <f t="shared" si="370"/>
        <v>Mar</v>
      </c>
      <c r="P3627" s="921">
        <f t="shared" si="371"/>
        <v>13</v>
      </c>
    </row>
    <row r="3628" spans="1:16" ht="15" hidden="1" customHeight="1">
      <c r="A3628" s="839">
        <v>68851104</v>
      </c>
      <c r="B3628" s="839">
        <v>1352</v>
      </c>
      <c r="C3628" s="906">
        <v>3200</v>
      </c>
      <c r="D3628" s="907">
        <v>46084</v>
      </c>
      <c r="E3628" s="839" t="s">
        <v>270</v>
      </c>
      <c r="F3628" s="839" t="s">
        <v>264</v>
      </c>
      <c r="G3628" s="916">
        <f>VLOOKUP($A3628,'Tech Litons'!$A:$I,8,FALSE)</f>
        <v>8.5199999999999998E-3</v>
      </c>
      <c r="H3628" s="917">
        <f>VLOOKUP($A3628,'Tech Litons'!$A:$I,9,FALSE)</f>
        <v>176</v>
      </c>
      <c r="I3628" s="917" t="str">
        <f>VLOOKUP($A3628,'Tech Litons'!$A:$C,3,0)</f>
        <v>48oz</v>
      </c>
      <c r="J3628" s="918" t="str">
        <f t="shared" si="366"/>
        <v>135248oz</v>
      </c>
      <c r="K3628" s="919">
        <v>1</v>
      </c>
      <c r="L3628" s="920">
        <f t="shared" si="367"/>
        <v>3200</v>
      </c>
      <c r="M3628" s="920">
        <f t="shared" si="368"/>
        <v>27.263999999999999</v>
      </c>
      <c r="N3628" s="920">
        <f t="shared" si="369"/>
        <v>18.181818181818183</v>
      </c>
      <c r="O3628" s="918" t="str">
        <f t="shared" si="370"/>
        <v>Mar</v>
      </c>
      <c r="P3628" s="921">
        <f t="shared" si="371"/>
        <v>10</v>
      </c>
    </row>
    <row r="3629" spans="1:16" ht="15" hidden="1" customHeight="1">
      <c r="A3629" s="839">
        <v>68851104</v>
      </c>
      <c r="B3629" s="839">
        <v>1352</v>
      </c>
      <c r="C3629" s="906">
        <v>6793</v>
      </c>
      <c r="D3629" s="907">
        <v>46085</v>
      </c>
      <c r="E3629" s="839" t="s">
        <v>270</v>
      </c>
      <c r="F3629" s="839" t="s">
        <v>264</v>
      </c>
      <c r="G3629" s="916">
        <f>VLOOKUP($A3629,'Tech Litons'!$A:$I,8,FALSE)</f>
        <v>8.5199999999999998E-3</v>
      </c>
      <c r="H3629" s="917">
        <f>VLOOKUP($A3629,'Tech Litons'!$A:$I,9,FALSE)</f>
        <v>176</v>
      </c>
      <c r="I3629" s="917" t="str">
        <f>VLOOKUP($A3629,'Tech Litons'!$A:$C,3,0)</f>
        <v>48oz</v>
      </c>
      <c r="J3629" s="918" t="str">
        <f t="shared" si="366"/>
        <v>135248oz</v>
      </c>
      <c r="K3629" s="919">
        <v>1</v>
      </c>
      <c r="L3629" s="920">
        <f t="shared" si="367"/>
        <v>6793</v>
      </c>
      <c r="M3629" s="920">
        <f t="shared" si="368"/>
        <v>57.876359999999998</v>
      </c>
      <c r="N3629" s="920">
        <f t="shared" si="369"/>
        <v>38.596590909090907</v>
      </c>
      <c r="O3629" s="918" t="str">
        <f t="shared" si="370"/>
        <v>Mar</v>
      </c>
      <c r="P3629" s="921">
        <f t="shared" si="371"/>
        <v>10</v>
      </c>
    </row>
    <row r="3630" spans="1:16" ht="15" hidden="1" customHeight="1">
      <c r="A3630" s="839">
        <v>68851104</v>
      </c>
      <c r="B3630" s="839">
        <v>1352</v>
      </c>
      <c r="C3630" s="906">
        <v>0</v>
      </c>
      <c r="D3630" s="907">
        <v>46093</v>
      </c>
      <c r="E3630" s="839" t="s">
        <v>270</v>
      </c>
      <c r="F3630" s="839" t="s">
        <v>264</v>
      </c>
      <c r="G3630" s="916">
        <f>VLOOKUP($A3630,'Tech Litons'!$A:$I,8,FALSE)</f>
        <v>8.5199999999999998E-3</v>
      </c>
      <c r="H3630" s="917">
        <f>VLOOKUP($A3630,'Tech Litons'!$A:$I,9,FALSE)</f>
        <v>176</v>
      </c>
      <c r="I3630" s="917" t="str">
        <f>VLOOKUP($A3630,'Tech Litons'!$A:$C,3,0)</f>
        <v>48oz</v>
      </c>
      <c r="J3630" s="918" t="str">
        <f t="shared" si="366"/>
        <v>135248oz</v>
      </c>
      <c r="K3630" s="919">
        <v>1</v>
      </c>
      <c r="L3630" s="920">
        <f t="shared" si="367"/>
        <v>0</v>
      </c>
      <c r="M3630" s="920">
        <f t="shared" si="368"/>
        <v>0</v>
      </c>
      <c r="N3630" s="920">
        <f t="shared" si="369"/>
        <v>0</v>
      </c>
      <c r="O3630" s="918" t="str">
        <f t="shared" si="370"/>
        <v>Mar</v>
      </c>
      <c r="P3630" s="921">
        <f t="shared" si="371"/>
        <v>11</v>
      </c>
    </row>
    <row r="3631" spans="1:16" ht="15" hidden="1" customHeight="1">
      <c r="A3631" s="839">
        <v>68851104</v>
      </c>
      <c r="B3631" s="839">
        <v>1352</v>
      </c>
      <c r="C3631" s="906">
        <v>5177</v>
      </c>
      <c r="D3631" s="907">
        <v>46103</v>
      </c>
      <c r="E3631" s="839" t="s">
        <v>270</v>
      </c>
      <c r="F3631" s="839" t="s">
        <v>264</v>
      </c>
      <c r="G3631" s="916">
        <f>VLOOKUP($A3631,'Tech Litons'!$A:$I,8,FALSE)</f>
        <v>8.5199999999999998E-3</v>
      </c>
      <c r="H3631" s="917">
        <f>VLOOKUP($A3631,'Tech Litons'!$A:$I,9,FALSE)</f>
        <v>176</v>
      </c>
      <c r="I3631" s="917" t="str">
        <f>VLOOKUP($A3631,'Tech Litons'!$A:$C,3,0)</f>
        <v>48oz</v>
      </c>
      <c r="J3631" s="918" t="str">
        <f t="shared" si="366"/>
        <v>135248oz</v>
      </c>
      <c r="K3631" s="919">
        <v>1</v>
      </c>
      <c r="L3631" s="920">
        <f t="shared" si="367"/>
        <v>5177</v>
      </c>
      <c r="M3631" s="920">
        <f t="shared" si="368"/>
        <v>44.108039999999995</v>
      </c>
      <c r="N3631" s="920">
        <f t="shared" si="369"/>
        <v>29.414772727272727</v>
      </c>
      <c r="O3631" s="918" t="str">
        <f t="shared" si="370"/>
        <v>Mar</v>
      </c>
      <c r="P3631" s="921">
        <f t="shared" si="371"/>
        <v>13</v>
      </c>
    </row>
    <row r="3632" spans="1:16" ht="15" hidden="1" customHeight="1">
      <c r="A3632" s="839">
        <v>68851104</v>
      </c>
      <c r="B3632" s="839">
        <v>1352</v>
      </c>
      <c r="C3632" s="906">
        <v>4543</v>
      </c>
      <c r="D3632" s="907">
        <v>46104</v>
      </c>
      <c r="E3632" s="839" t="s">
        <v>270</v>
      </c>
      <c r="F3632" s="839" t="s">
        <v>264</v>
      </c>
      <c r="G3632" s="916">
        <f>VLOOKUP($A3632,'Tech Litons'!$A:$I,8,FALSE)</f>
        <v>8.5199999999999998E-3</v>
      </c>
      <c r="H3632" s="917">
        <f>VLOOKUP($A3632,'Tech Litons'!$A:$I,9,FALSE)</f>
        <v>176</v>
      </c>
      <c r="I3632" s="917" t="str">
        <f>VLOOKUP($A3632,'Tech Litons'!$A:$C,3,0)</f>
        <v>48oz</v>
      </c>
      <c r="J3632" s="918" t="str">
        <f t="shared" si="366"/>
        <v>135248oz</v>
      </c>
      <c r="K3632" s="919">
        <v>1</v>
      </c>
      <c r="L3632" s="920">
        <f t="shared" si="367"/>
        <v>4543</v>
      </c>
      <c r="M3632" s="920">
        <f t="shared" si="368"/>
        <v>38.706359999999997</v>
      </c>
      <c r="N3632" s="920">
        <f t="shared" si="369"/>
        <v>25.8125</v>
      </c>
      <c r="O3632" s="918" t="str">
        <f t="shared" si="370"/>
        <v>Mar</v>
      </c>
      <c r="P3632" s="921">
        <f t="shared" si="371"/>
        <v>13</v>
      </c>
    </row>
    <row r="3633" spans="1:16" ht="15" hidden="1" customHeight="1">
      <c r="A3633" s="839">
        <v>68851104</v>
      </c>
      <c r="B3633" s="839">
        <v>1352</v>
      </c>
      <c r="C3633" s="906">
        <v>11379</v>
      </c>
      <c r="D3633" s="907">
        <v>46099</v>
      </c>
      <c r="E3633" s="839" t="s">
        <v>270</v>
      </c>
      <c r="F3633" s="839" t="s">
        <v>264</v>
      </c>
      <c r="G3633" s="916">
        <f>VLOOKUP($A3633,'Tech Litons'!$A:$I,8,FALSE)</f>
        <v>8.5199999999999998E-3</v>
      </c>
      <c r="H3633" s="917">
        <f>VLOOKUP($A3633,'Tech Litons'!$A:$I,9,FALSE)</f>
        <v>176</v>
      </c>
      <c r="I3633" s="917" t="str">
        <f>VLOOKUP($A3633,'Tech Litons'!$A:$C,3,0)</f>
        <v>48oz</v>
      </c>
      <c r="J3633" s="918" t="str">
        <f t="shared" si="366"/>
        <v>135248oz</v>
      </c>
      <c r="K3633" s="919">
        <v>1</v>
      </c>
      <c r="L3633" s="920">
        <f t="shared" si="367"/>
        <v>11379</v>
      </c>
      <c r="M3633" s="920">
        <f t="shared" si="368"/>
        <v>96.949079999999995</v>
      </c>
      <c r="N3633" s="920">
        <f t="shared" si="369"/>
        <v>64.653409090909093</v>
      </c>
      <c r="O3633" s="918" t="str">
        <f t="shared" si="370"/>
        <v>Mar</v>
      </c>
      <c r="P3633" s="921">
        <f t="shared" si="371"/>
        <v>12</v>
      </c>
    </row>
    <row r="3634" spans="1:16" ht="15" hidden="1" customHeight="1">
      <c r="A3634" s="839">
        <v>68851104</v>
      </c>
      <c r="B3634" s="839">
        <v>1352</v>
      </c>
      <c r="C3634" s="906">
        <v>12486</v>
      </c>
      <c r="D3634" s="907">
        <v>46102</v>
      </c>
      <c r="E3634" s="839" t="s">
        <v>270</v>
      </c>
      <c r="F3634" s="839" t="s">
        <v>264</v>
      </c>
      <c r="G3634" s="916">
        <f>VLOOKUP($A3634,'Tech Litons'!$A:$I,8,FALSE)</f>
        <v>8.5199999999999998E-3</v>
      </c>
      <c r="H3634" s="917">
        <f>VLOOKUP($A3634,'Tech Litons'!$A:$I,9,FALSE)</f>
        <v>176</v>
      </c>
      <c r="I3634" s="917" t="str">
        <f>VLOOKUP($A3634,'Tech Litons'!$A:$C,3,0)</f>
        <v>48oz</v>
      </c>
      <c r="J3634" s="918" t="str">
        <f t="shared" ref="J3634:J3697" si="372">B3634&amp;I3634</f>
        <v>135248oz</v>
      </c>
      <c r="K3634" s="919">
        <v>1</v>
      </c>
      <c r="L3634" s="920">
        <f t="shared" ref="L3634:L3697" si="373">C3634*$K3634</f>
        <v>12486</v>
      </c>
      <c r="M3634" s="920">
        <f t="shared" ref="M3634:M3697" si="374">L3634*G3634</f>
        <v>106.38072</v>
      </c>
      <c r="N3634" s="920">
        <f t="shared" ref="N3634:N3697" si="375">L3634/H3634</f>
        <v>70.943181818181813</v>
      </c>
      <c r="O3634" s="918" t="str">
        <f t="shared" ref="O3634:O3697" si="376">TEXT(D3634,"MMM")</f>
        <v>Mar</v>
      </c>
      <c r="P3634" s="921">
        <f t="shared" ref="P3634:P3697" si="377">WEEKNUM(D3634)</f>
        <v>12</v>
      </c>
    </row>
    <row r="3635" spans="1:16" ht="15" hidden="1" customHeight="1">
      <c r="A3635" s="839">
        <v>68851104</v>
      </c>
      <c r="B3635" s="839">
        <v>1352</v>
      </c>
      <c r="C3635" s="906">
        <v>9061</v>
      </c>
      <c r="D3635" s="907">
        <v>46103</v>
      </c>
      <c r="E3635" s="839" t="s">
        <v>270</v>
      </c>
      <c r="F3635" s="839" t="s">
        <v>264</v>
      </c>
      <c r="G3635" s="916">
        <f>VLOOKUP($A3635,'Tech Litons'!$A:$I,8,FALSE)</f>
        <v>8.5199999999999998E-3</v>
      </c>
      <c r="H3635" s="917">
        <f>VLOOKUP($A3635,'Tech Litons'!$A:$I,9,FALSE)</f>
        <v>176</v>
      </c>
      <c r="I3635" s="917" t="str">
        <f>VLOOKUP($A3635,'Tech Litons'!$A:$C,3,0)</f>
        <v>48oz</v>
      </c>
      <c r="J3635" s="918" t="str">
        <f t="shared" si="372"/>
        <v>135248oz</v>
      </c>
      <c r="K3635" s="919">
        <v>1</v>
      </c>
      <c r="L3635" s="920">
        <f t="shared" si="373"/>
        <v>9061</v>
      </c>
      <c r="M3635" s="920">
        <f t="shared" si="374"/>
        <v>77.199719999999999</v>
      </c>
      <c r="N3635" s="920">
        <f t="shared" si="375"/>
        <v>51.482954545454547</v>
      </c>
      <c r="O3635" s="918" t="str">
        <f t="shared" si="376"/>
        <v>Mar</v>
      </c>
      <c r="P3635" s="921">
        <f t="shared" si="377"/>
        <v>13</v>
      </c>
    </row>
    <row r="3636" spans="1:16" ht="15" hidden="1" customHeight="1">
      <c r="A3636" s="839">
        <v>68851104</v>
      </c>
      <c r="B3636" s="839">
        <v>1352</v>
      </c>
      <c r="C3636" s="906">
        <v>4663</v>
      </c>
      <c r="D3636" s="907">
        <v>46086</v>
      </c>
      <c r="E3636" s="839" t="s">
        <v>270</v>
      </c>
      <c r="F3636" s="839" t="s">
        <v>264</v>
      </c>
      <c r="G3636" s="916">
        <f>VLOOKUP($A3636,'Tech Litons'!$A:$I,8,FALSE)</f>
        <v>8.5199999999999998E-3</v>
      </c>
      <c r="H3636" s="917">
        <f>VLOOKUP($A3636,'Tech Litons'!$A:$I,9,FALSE)</f>
        <v>176</v>
      </c>
      <c r="I3636" s="917" t="str">
        <f>VLOOKUP($A3636,'Tech Litons'!$A:$C,3,0)</f>
        <v>48oz</v>
      </c>
      <c r="J3636" s="918" t="str">
        <f t="shared" si="372"/>
        <v>135248oz</v>
      </c>
      <c r="K3636" s="919">
        <v>1</v>
      </c>
      <c r="L3636" s="920">
        <f t="shared" si="373"/>
        <v>4663</v>
      </c>
      <c r="M3636" s="920">
        <f t="shared" si="374"/>
        <v>39.728760000000001</v>
      </c>
      <c r="N3636" s="920">
        <f t="shared" si="375"/>
        <v>26.494318181818183</v>
      </c>
      <c r="O3636" s="918" t="str">
        <f t="shared" si="376"/>
        <v>Mar</v>
      </c>
      <c r="P3636" s="921">
        <f t="shared" si="377"/>
        <v>10</v>
      </c>
    </row>
    <row r="3637" spans="1:16" ht="15" hidden="1" customHeight="1">
      <c r="A3637" s="839">
        <v>68851104</v>
      </c>
      <c r="B3637" s="839">
        <v>1352</v>
      </c>
      <c r="C3637" s="906">
        <v>8442</v>
      </c>
      <c r="D3637" s="907">
        <v>46087</v>
      </c>
      <c r="E3637" s="839" t="s">
        <v>270</v>
      </c>
      <c r="F3637" s="839" t="s">
        <v>264</v>
      </c>
      <c r="G3637" s="916">
        <f>VLOOKUP($A3637,'Tech Litons'!$A:$I,8,FALSE)</f>
        <v>8.5199999999999998E-3</v>
      </c>
      <c r="H3637" s="917">
        <f>VLOOKUP($A3637,'Tech Litons'!$A:$I,9,FALSE)</f>
        <v>176</v>
      </c>
      <c r="I3637" s="917" t="str">
        <f>VLOOKUP($A3637,'Tech Litons'!$A:$C,3,0)</f>
        <v>48oz</v>
      </c>
      <c r="J3637" s="918" t="str">
        <f t="shared" si="372"/>
        <v>135248oz</v>
      </c>
      <c r="K3637" s="919">
        <v>1</v>
      </c>
      <c r="L3637" s="920">
        <f t="shared" si="373"/>
        <v>8442</v>
      </c>
      <c r="M3637" s="920">
        <f t="shared" si="374"/>
        <v>71.925839999999994</v>
      </c>
      <c r="N3637" s="920">
        <f t="shared" si="375"/>
        <v>47.965909090909093</v>
      </c>
      <c r="O3637" s="918" t="str">
        <f t="shared" si="376"/>
        <v>Mar</v>
      </c>
      <c r="P3637" s="921">
        <f t="shared" si="377"/>
        <v>10</v>
      </c>
    </row>
    <row r="3638" spans="1:16" ht="15" hidden="1" customHeight="1">
      <c r="A3638" s="839">
        <v>68851104</v>
      </c>
      <c r="B3638" s="839">
        <v>1352</v>
      </c>
      <c r="C3638" s="906">
        <v>4752</v>
      </c>
      <c r="D3638" s="907">
        <v>46087</v>
      </c>
      <c r="E3638" s="839" t="s">
        <v>270</v>
      </c>
      <c r="F3638" s="839" t="s">
        <v>264</v>
      </c>
      <c r="G3638" s="916">
        <f>VLOOKUP($A3638,'Tech Litons'!$A:$I,8,FALSE)</f>
        <v>8.5199999999999998E-3</v>
      </c>
      <c r="H3638" s="917">
        <f>VLOOKUP($A3638,'Tech Litons'!$A:$I,9,FALSE)</f>
        <v>176</v>
      </c>
      <c r="I3638" s="917" t="str">
        <f>VLOOKUP($A3638,'Tech Litons'!$A:$C,3,0)</f>
        <v>48oz</v>
      </c>
      <c r="J3638" s="918" t="str">
        <f t="shared" si="372"/>
        <v>135248oz</v>
      </c>
      <c r="K3638" s="919">
        <v>1</v>
      </c>
      <c r="L3638" s="920">
        <f t="shared" si="373"/>
        <v>4752</v>
      </c>
      <c r="M3638" s="920">
        <f t="shared" si="374"/>
        <v>40.48704</v>
      </c>
      <c r="N3638" s="920">
        <f t="shared" si="375"/>
        <v>27</v>
      </c>
      <c r="O3638" s="918" t="str">
        <f t="shared" si="376"/>
        <v>Mar</v>
      </c>
      <c r="P3638" s="921">
        <f t="shared" si="377"/>
        <v>10</v>
      </c>
    </row>
    <row r="3639" spans="1:16" ht="15" hidden="1" customHeight="1">
      <c r="A3639" s="839">
        <v>68851104</v>
      </c>
      <c r="B3639" s="839">
        <v>1352</v>
      </c>
      <c r="C3639" s="906">
        <v>4324</v>
      </c>
      <c r="D3639" s="907">
        <v>46088</v>
      </c>
      <c r="E3639" s="839" t="s">
        <v>270</v>
      </c>
      <c r="F3639" s="839" t="s">
        <v>264</v>
      </c>
      <c r="G3639" s="916">
        <f>VLOOKUP($A3639,'Tech Litons'!$A:$I,8,FALSE)</f>
        <v>8.5199999999999998E-3</v>
      </c>
      <c r="H3639" s="917">
        <f>VLOOKUP($A3639,'Tech Litons'!$A:$I,9,FALSE)</f>
        <v>176</v>
      </c>
      <c r="I3639" s="917" t="str">
        <f>VLOOKUP($A3639,'Tech Litons'!$A:$C,3,0)</f>
        <v>48oz</v>
      </c>
      <c r="J3639" s="918" t="str">
        <f t="shared" si="372"/>
        <v>135248oz</v>
      </c>
      <c r="K3639" s="919">
        <v>1</v>
      </c>
      <c r="L3639" s="920">
        <f t="shared" si="373"/>
        <v>4324</v>
      </c>
      <c r="M3639" s="920">
        <f t="shared" si="374"/>
        <v>36.840479999999999</v>
      </c>
      <c r="N3639" s="920">
        <f t="shared" si="375"/>
        <v>24.568181818181817</v>
      </c>
      <c r="O3639" s="918" t="str">
        <f t="shared" si="376"/>
        <v>Mar</v>
      </c>
      <c r="P3639" s="921">
        <f t="shared" si="377"/>
        <v>10</v>
      </c>
    </row>
    <row r="3640" spans="1:16" ht="15" hidden="1" customHeight="1">
      <c r="A3640" s="839">
        <v>68851104</v>
      </c>
      <c r="B3640" s="839">
        <v>1352</v>
      </c>
      <c r="C3640" s="906">
        <v>3831</v>
      </c>
      <c r="D3640" s="907">
        <v>46085</v>
      </c>
      <c r="E3640" s="839" t="s">
        <v>270</v>
      </c>
      <c r="F3640" s="839" t="s">
        <v>264</v>
      </c>
      <c r="G3640" s="916">
        <f>VLOOKUP($A3640,'Tech Litons'!$A:$I,8,FALSE)</f>
        <v>8.5199999999999998E-3</v>
      </c>
      <c r="H3640" s="917">
        <f>VLOOKUP($A3640,'Tech Litons'!$A:$I,9,FALSE)</f>
        <v>176</v>
      </c>
      <c r="I3640" s="917" t="str">
        <f>VLOOKUP($A3640,'Tech Litons'!$A:$C,3,0)</f>
        <v>48oz</v>
      </c>
      <c r="J3640" s="918" t="str">
        <f t="shared" si="372"/>
        <v>135248oz</v>
      </c>
      <c r="K3640" s="919">
        <v>1</v>
      </c>
      <c r="L3640" s="920">
        <f t="shared" si="373"/>
        <v>3831</v>
      </c>
      <c r="M3640" s="920">
        <f t="shared" si="374"/>
        <v>32.640119999999996</v>
      </c>
      <c r="N3640" s="920">
        <f t="shared" si="375"/>
        <v>21.767045454545453</v>
      </c>
      <c r="O3640" s="918" t="str">
        <f t="shared" si="376"/>
        <v>Mar</v>
      </c>
      <c r="P3640" s="921">
        <f t="shared" si="377"/>
        <v>10</v>
      </c>
    </row>
    <row r="3641" spans="1:16" ht="15" hidden="1" customHeight="1">
      <c r="A3641" s="839">
        <v>68851104</v>
      </c>
      <c r="B3641" s="839">
        <v>1352</v>
      </c>
      <c r="C3641" s="906">
        <v>3838</v>
      </c>
      <c r="D3641" s="907">
        <v>46086</v>
      </c>
      <c r="E3641" s="839" t="s">
        <v>270</v>
      </c>
      <c r="F3641" s="839" t="s">
        <v>264</v>
      </c>
      <c r="G3641" s="916">
        <f>VLOOKUP($A3641,'Tech Litons'!$A:$I,8,FALSE)</f>
        <v>8.5199999999999998E-3</v>
      </c>
      <c r="H3641" s="917">
        <f>VLOOKUP($A3641,'Tech Litons'!$A:$I,9,FALSE)</f>
        <v>176</v>
      </c>
      <c r="I3641" s="917" t="str">
        <f>VLOOKUP($A3641,'Tech Litons'!$A:$C,3,0)</f>
        <v>48oz</v>
      </c>
      <c r="J3641" s="918" t="str">
        <f t="shared" si="372"/>
        <v>135248oz</v>
      </c>
      <c r="K3641" s="919">
        <v>1</v>
      </c>
      <c r="L3641" s="920">
        <f t="shared" si="373"/>
        <v>3838</v>
      </c>
      <c r="M3641" s="920">
        <f t="shared" si="374"/>
        <v>32.699759999999998</v>
      </c>
      <c r="N3641" s="920">
        <f t="shared" si="375"/>
        <v>21.806818181818183</v>
      </c>
      <c r="O3641" s="918" t="str">
        <f t="shared" si="376"/>
        <v>Mar</v>
      </c>
      <c r="P3641" s="921">
        <f t="shared" si="377"/>
        <v>10</v>
      </c>
    </row>
    <row r="3642" spans="1:16" ht="15" hidden="1" customHeight="1">
      <c r="A3642" s="839">
        <v>68851104</v>
      </c>
      <c r="B3642" s="839">
        <v>1352</v>
      </c>
      <c r="C3642" s="906">
        <v>33</v>
      </c>
      <c r="D3642" s="907">
        <v>46093</v>
      </c>
      <c r="E3642" s="839" t="s">
        <v>270</v>
      </c>
      <c r="F3642" s="839" t="s">
        <v>264</v>
      </c>
      <c r="G3642" s="916">
        <f>VLOOKUP($A3642,'Tech Litons'!$A:$I,8,FALSE)</f>
        <v>8.5199999999999998E-3</v>
      </c>
      <c r="H3642" s="917">
        <f>VLOOKUP($A3642,'Tech Litons'!$A:$I,9,FALSE)</f>
        <v>176</v>
      </c>
      <c r="I3642" s="917" t="str">
        <f>VLOOKUP($A3642,'Tech Litons'!$A:$C,3,0)</f>
        <v>48oz</v>
      </c>
      <c r="J3642" s="918" t="str">
        <f t="shared" si="372"/>
        <v>135248oz</v>
      </c>
      <c r="K3642" s="919">
        <v>1</v>
      </c>
      <c r="L3642" s="920">
        <f t="shared" si="373"/>
        <v>33</v>
      </c>
      <c r="M3642" s="920">
        <f t="shared" si="374"/>
        <v>0.28115999999999997</v>
      </c>
      <c r="N3642" s="920">
        <f t="shared" si="375"/>
        <v>0.1875</v>
      </c>
      <c r="O3642" s="918" t="str">
        <f t="shared" si="376"/>
        <v>Mar</v>
      </c>
      <c r="P3642" s="921">
        <f t="shared" si="377"/>
        <v>11</v>
      </c>
    </row>
    <row r="3643" spans="1:16" ht="15" hidden="1" customHeight="1">
      <c r="A3643" s="839">
        <v>68851104</v>
      </c>
      <c r="B3643" s="839">
        <v>1352</v>
      </c>
      <c r="C3643" s="906">
        <v>165</v>
      </c>
      <c r="D3643" s="907">
        <v>46105</v>
      </c>
      <c r="E3643" s="839" t="s">
        <v>270</v>
      </c>
      <c r="F3643" s="839" t="s">
        <v>264</v>
      </c>
      <c r="G3643" s="916">
        <f>VLOOKUP($A3643,'Tech Litons'!$A:$I,8,FALSE)</f>
        <v>8.5199999999999998E-3</v>
      </c>
      <c r="H3643" s="917">
        <f>VLOOKUP($A3643,'Tech Litons'!$A:$I,9,FALSE)</f>
        <v>176</v>
      </c>
      <c r="I3643" s="917" t="str">
        <f>VLOOKUP($A3643,'Tech Litons'!$A:$C,3,0)</f>
        <v>48oz</v>
      </c>
      <c r="J3643" s="918" t="str">
        <f t="shared" si="372"/>
        <v>135248oz</v>
      </c>
      <c r="K3643" s="919">
        <v>1</v>
      </c>
      <c r="L3643" s="920">
        <f t="shared" si="373"/>
        <v>165</v>
      </c>
      <c r="M3643" s="920">
        <f t="shared" si="374"/>
        <v>1.4057999999999999</v>
      </c>
      <c r="N3643" s="920">
        <f t="shared" si="375"/>
        <v>0.9375</v>
      </c>
      <c r="O3643" s="918" t="str">
        <f t="shared" si="376"/>
        <v>Mar</v>
      </c>
      <c r="P3643" s="921">
        <f t="shared" si="377"/>
        <v>13</v>
      </c>
    </row>
    <row r="3644" spans="1:16" ht="15" hidden="1" customHeight="1">
      <c r="A3644" s="839">
        <v>68851104</v>
      </c>
      <c r="B3644" s="839">
        <v>1352</v>
      </c>
      <c r="C3644" s="906">
        <v>6378</v>
      </c>
      <c r="D3644" s="907">
        <v>46076</v>
      </c>
      <c r="E3644" s="839" t="s">
        <v>270</v>
      </c>
      <c r="F3644" s="839" t="s">
        <v>264</v>
      </c>
      <c r="G3644" s="916">
        <f>VLOOKUP($A3644,'Tech Litons'!$A:$I,8,FALSE)</f>
        <v>8.5199999999999998E-3</v>
      </c>
      <c r="H3644" s="917">
        <f>VLOOKUP($A3644,'Tech Litons'!$A:$I,9,FALSE)</f>
        <v>176</v>
      </c>
      <c r="I3644" s="917" t="str">
        <f>VLOOKUP($A3644,'Tech Litons'!$A:$C,3,0)</f>
        <v>48oz</v>
      </c>
      <c r="J3644" s="918" t="str">
        <f t="shared" si="372"/>
        <v>135248oz</v>
      </c>
      <c r="K3644" s="919">
        <v>1</v>
      </c>
      <c r="L3644" s="920">
        <f t="shared" si="373"/>
        <v>6378</v>
      </c>
      <c r="M3644" s="920">
        <f t="shared" si="374"/>
        <v>54.340559999999996</v>
      </c>
      <c r="N3644" s="920">
        <f t="shared" si="375"/>
        <v>36.238636363636367</v>
      </c>
      <c r="O3644" s="918" t="str">
        <f t="shared" si="376"/>
        <v>Feb</v>
      </c>
      <c r="P3644" s="921">
        <f t="shared" si="377"/>
        <v>9</v>
      </c>
    </row>
    <row r="3645" spans="1:16" ht="15" hidden="1" customHeight="1">
      <c r="A3645" s="839">
        <v>68851104</v>
      </c>
      <c r="B3645" s="839">
        <v>1352</v>
      </c>
      <c r="C3645" s="906">
        <v>148</v>
      </c>
      <c r="D3645" s="907">
        <v>46076</v>
      </c>
      <c r="E3645" s="839" t="s">
        <v>270</v>
      </c>
      <c r="F3645" s="839" t="s">
        <v>264</v>
      </c>
      <c r="G3645" s="916">
        <f>VLOOKUP($A3645,'Tech Litons'!$A:$I,8,FALSE)</f>
        <v>8.5199999999999998E-3</v>
      </c>
      <c r="H3645" s="917">
        <f>VLOOKUP($A3645,'Tech Litons'!$A:$I,9,FALSE)</f>
        <v>176</v>
      </c>
      <c r="I3645" s="917" t="str">
        <f>VLOOKUP($A3645,'Tech Litons'!$A:$C,3,0)</f>
        <v>48oz</v>
      </c>
      <c r="J3645" s="918" t="str">
        <f t="shared" si="372"/>
        <v>135248oz</v>
      </c>
      <c r="K3645" s="919">
        <v>1</v>
      </c>
      <c r="L3645" s="920">
        <f t="shared" si="373"/>
        <v>148</v>
      </c>
      <c r="M3645" s="920">
        <f t="shared" si="374"/>
        <v>1.2609599999999999</v>
      </c>
      <c r="N3645" s="920">
        <f t="shared" si="375"/>
        <v>0.84090909090909094</v>
      </c>
      <c r="O3645" s="918" t="str">
        <f t="shared" si="376"/>
        <v>Feb</v>
      </c>
      <c r="P3645" s="921">
        <f t="shared" si="377"/>
        <v>9</v>
      </c>
    </row>
    <row r="3646" spans="1:16" ht="15" hidden="1" customHeight="1">
      <c r="A3646" s="839">
        <v>68851104</v>
      </c>
      <c r="B3646" s="839">
        <v>1352</v>
      </c>
      <c r="C3646" s="906">
        <v>9284</v>
      </c>
      <c r="D3646" s="907">
        <v>46077</v>
      </c>
      <c r="E3646" s="839" t="s">
        <v>270</v>
      </c>
      <c r="F3646" s="839" t="s">
        <v>264</v>
      </c>
      <c r="G3646" s="916">
        <f>VLOOKUP($A3646,'Tech Litons'!$A:$I,8,FALSE)</f>
        <v>8.5199999999999998E-3</v>
      </c>
      <c r="H3646" s="917">
        <f>VLOOKUP($A3646,'Tech Litons'!$A:$I,9,FALSE)</f>
        <v>176</v>
      </c>
      <c r="I3646" s="917" t="str">
        <f>VLOOKUP($A3646,'Tech Litons'!$A:$C,3,0)</f>
        <v>48oz</v>
      </c>
      <c r="J3646" s="918" t="str">
        <f t="shared" si="372"/>
        <v>135248oz</v>
      </c>
      <c r="K3646" s="919">
        <v>1</v>
      </c>
      <c r="L3646" s="920">
        <f t="shared" si="373"/>
        <v>9284</v>
      </c>
      <c r="M3646" s="920">
        <f t="shared" si="374"/>
        <v>79.099679999999992</v>
      </c>
      <c r="N3646" s="920">
        <f t="shared" si="375"/>
        <v>52.75</v>
      </c>
      <c r="O3646" s="918" t="str">
        <f t="shared" si="376"/>
        <v>Feb</v>
      </c>
      <c r="P3646" s="921">
        <f t="shared" si="377"/>
        <v>9</v>
      </c>
    </row>
    <row r="3647" spans="1:16" ht="15" hidden="1" customHeight="1">
      <c r="A3647" s="839">
        <v>68851104</v>
      </c>
      <c r="B3647" s="839">
        <v>1352</v>
      </c>
      <c r="C3647" s="906">
        <v>0</v>
      </c>
      <c r="D3647" s="907">
        <v>46079</v>
      </c>
      <c r="E3647" s="839" t="s">
        <v>270</v>
      </c>
      <c r="F3647" s="839" t="s">
        <v>264</v>
      </c>
      <c r="G3647" s="916">
        <f>VLOOKUP($A3647,'Tech Litons'!$A:$I,8,FALSE)</f>
        <v>8.5199999999999998E-3</v>
      </c>
      <c r="H3647" s="917">
        <f>VLOOKUP($A3647,'Tech Litons'!$A:$I,9,FALSE)</f>
        <v>176</v>
      </c>
      <c r="I3647" s="917" t="str">
        <f>VLOOKUP($A3647,'Tech Litons'!$A:$C,3,0)</f>
        <v>48oz</v>
      </c>
      <c r="J3647" s="918" t="str">
        <f t="shared" si="372"/>
        <v>135248oz</v>
      </c>
      <c r="K3647" s="919">
        <v>1</v>
      </c>
      <c r="L3647" s="920">
        <f t="shared" si="373"/>
        <v>0</v>
      </c>
      <c r="M3647" s="920">
        <f t="shared" si="374"/>
        <v>0</v>
      </c>
      <c r="N3647" s="920">
        <f t="shared" si="375"/>
        <v>0</v>
      </c>
      <c r="O3647" s="918" t="str">
        <f t="shared" si="376"/>
        <v>Feb</v>
      </c>
      <c r="P3647" s="921">
        <f t="shared" si="377"/>
        <v>9</v>
      </c>
    </row>
    <row r="3648" spans="1:16" ht="15" hidden="1" customHeight="1">
      <c r="A3648" s="839">
        <v>68851104</v>
      </c>
      <c r="B3648" s="839">
        <v>1352</v>
      </c>
      <c r="C3648" s="906">
        <v>-148</v>
      </c>
      <c r="D3648" s="907">
        <v>46082</v>
      </c>
      <c r="E3648" s="839" t="s">
        <v>270</v>
      </c>
      <c r="F3648" s="839" t="s">
        <v>264</v>
      </c>
      <c r="G3648" s="916">
        <f>VLOOKUP($A3648,'Tech Litons'!$A:$I,8,FALSE)</f>
        <v>8.5199999999999998E-3</v>
      </c>
      <c r="H3648" s="917">
        <f>VLOOKUP($A3648,'Tech Litons'!$A:$I,9,FALSE)</f>
        <v>176</v>
      </c>
      <c r="I3648" s="917" t="str">
        <f>VLOOKUP($A3648,'Tech Litons'!$A:$C,3,0)</f>
        <v>48oz</v>
      </c>
      <c r="J3648" s="918" t="str">
        <f t="shared" si="372"/>
        <v>135248oz</v>
      </c>
      <c r="K3648" s="919">
        <v>1</v>
      </c>
      <c r="L3648" s="920">
        <f t="shared" si="373"/>
        <v>-148</v>
      </c>
      <c r="M3648" s="920">
        <f t="shared" si="374"/>
        <v>-1.2609599999999999</v>
      </c>
      <c r="N3648" s="920">
        <f t="shared" si="375"/>
        <v>-0.84090909090909094</v>
      </c>
      <c r="O3648" s="918" t="str">
        <f t="shared" si="376"/>
        <v>Mar</v>
      </c>
      <c r="P3648" s="921">
        <f t="shared" si="377"/>
        <v>10</v>
      </c>
    </row>
    <row r="3649" spans="1:16" ht="15" hidden="1" customHeight="1">
      <c r="A3649" s="839">
        <v>68851104</v>
      </c>
      <c r="B3649" s="839">
        <v>1352</v>
      </c>
      <c r="C3649" s="906">
        <v>126</v>
      </c>
      <c r="D3649" s="907">
        <v>46090</v>
      </c>
      <c r="E3649" s="839" t="s">
        <v>270</v>
      </c>
      <c r="F3649" s="839" t="s">
        <v>264</v>
      </c>
      <c r="G3649" s="916">
        <f>VLOOKUP($A3649,'Tech Litons'!$A:$I,8,FALSE)</f>
        <v>8.5199999999999998E-3</v>
      </c>
      <c r="H3649" s="917">
        <f>VLOOKUP($A3649,'Tech Litons'!$A:$I,9,FALSE)</f>
        <v>176</v>
      </c>
      <c r="I3649" s="917" t="str">
        <f>VLOOKUP($A3649,'Tech Litons'!$A:$C,3,0)</f>
        <v>48oz</v>
      </c>
      <c r="J3649" s="918" t="str">
        <f t="shared" si="372"/>
        <v>135248oz</v>
      </c>
      <c r="K3649" s="919">
        <v>1</v>
      </c>
      <c r="L3649" s="920">
        <f t="shared" si="373"/>
        <v>126</v>
      </c>
      <c r="M3649" s="920">
        <f t="shared" si="374"/>
        <v>1.07352</v>
      </c>
      <c r="N3649" s="920">
        <f t="shared" si="375"/>
        <v>0.71590909090909094</v>
      </c>
      <c r="O3649" s="918" t="str">
        <f t="shared" si="376"/>
        <v>Mar</v>
      </c>
      <c r="P3649" s="921">
        <f t="shared" si="377"/>
        <v>11</v>
      </c>
    </row>
    <row r="3650" spans="1:16" ht="15" hidden="1" customHeight="1">
      <c r="A3650" s="839">
        <v>68851104</v>
      </c>
      <c r="B3650" s="839">
        <v>1352</v>
      </c>
      <c r="C3650" s="906">
        <v>5104</v>
      </c>
      <c r="D3650" s="907">
        <v>46077</v>
      </c>
      <c r="E3650" s="839" t="s">
        <v>270</v>
      </c>
      <c r="F3650" s="839" t="s">
        <v>264</v>
      </c>
      <c r="G3650" s="916">
        <f>VLOOKUP($A3650,'Tech Litons'!$A:$I,8,FALSE)</f>
        <v>8.5199999999999998E-3</v>
      </c>
      <c r="H3650" s="917">
        <f>VLOOKUP($A3650,'Tech Litons'!$A:$I,9,FALSE)</f>
        <v>176</v>
      </c>
      <c r="I3650" s="917" t="str">
        <f>VLOOKUP($A3650,'Tech Litons'!$A:$C,3,0)</f>
        <v>48oz</v>
      </c>
      <c r="J3650" s="918" t="str">
        <f t="shared" si="372"/>
        <v>135248oz</v>
      </c>
      <c r="K3650" s="919">
        <v>1</v>
      </c>
      <c r="L3650" s="920">
        <f t="shared" si="373"/>
        <v>5104</v>
      </c>
      <c r="M3650" s="920">
        <f t="shared" si="374"/>
        <v>43.486080000000001</v>
      </c>
      <c r="N3650" s="920">
        <f t="shared" si="375"/>
        <v>29</v>
      </c>
      <c r="O3650" s="918" t="str">
        <f t="shared" si="376"/>
        <v>Feb</v>
      </c>
      <c r="P3650" s="921">
        <f t="shared" si="377"/>
        <v>9</v>
      </c>
    </row>
    <row r="3651" spans="1:16" ht="15" hidden="1" customHeight="1">
      <c r="A3651" s="839">
        <v>68851104</v>
      </c>
      <c r="B3651" s="839">
        <v>1352</v>
      </c>
      <c r="C3651" s="906">
        <v>2402</v>
      </c>
      <c r="D3651" s="907">
        <v>46078</v>
      </c>
      <c r="E3651" s="839" t="s">
        <v>270</v>
      </c>
      <c r="F3651" s="839" t="s">
        <v>264</v>
      </c>
      <c r="G3651" s="916">
        <f>VLOOKUP($A3651,'Tech Litons'!$A:$I,8,FALSE)</f>
        <v>8.5199999999999998E-3</v>
      </c>
      <c r="H3651" s="917">
        <f>VLOOKUP($A3651,'Tech Litons'!$A:$I,9,FALSE)</f>
        <v>176</v>
      </c>
      <c r="I3651" s="917" t="str">
        <f>VLOOKUP($A3651,'Tech Litons'!$A:$C,3,0)</f>
        <v>48oz</v>
      </c>
      <c r="J3651" s="918" t="str">
        <f t="shared" si="372"/>
        <v>135248oz</v>
      </c>
      <c r="K3651" s="919">
        <v>1</v>
      </c>
      <c r="L3651" s="920">
        <f t="shared" si="373"/>
        <v>2402</v>
      </c>
      <c r="M3651" s="920">
        <f t="shared" si="374"/>
        <v>20.465039999999998</v>
      </c>
      <c r="N3651" s="920">
        <f t="shared" si="375"/>
        <v>13.647727272727273</v>
      </c>
      <c r="O3651" s="918" t="str">
        <f t="shared" si="376"/>
        <v>Feb</v>
      </c>
      <c r="P3651" s="921">
        <f t="shared" si="377"/>
        <v>9</v>
      </c>
    </row>
    <row r="3652" spans="1:16" ht="15" hidden="1" customHeight="1">
      <c r="A3652" s="839">
        <v>68851104</v>
      </c>
      <c r="B3652" s="839">
        <v>1352</v>
      </c>
      <c r="C3652" s="906">
        <v>5913</v>
      </c>
      <c r="D3652" s="907">
        <v>46099</v>
      </c>
      <c r="E3652" s="839" t="s">
        <v>270</v>
      </c>
      <c r="F3652" s="839" t="s">
        <v>264</v>
      </c>
      <c r="G3652" s="916">
        <f>VLOOKUP($A3652,'Tech Litons'!$A:$I,8,FALSE)</f>
        <v>8.5199999999999998E-3</v>
      </c>
      <c r="H3652" s="917">
        <f>VLOOKUP($A3652,'Tech Litons'!$A:$I,9,FALSE)</f>
        <v>176</v>
      </c>
      <c r="I3652" s="917" t="str">
        <f>VLOOKUP($A3652,'Tech Litons'!$A:$C,3,0)</f>
        <v>48oz</v>
      </c>
      <c r="J3652" s="918" t="str">
        <f t="shared" si="372"/>
        <v>135248oz</v>
      </c>
      <c r="K3652" s="919">
        <v>1</v>
      </c>
      <c r="L3652" s="920">
        <f t="shared" si="373"/>
        <v>5913</v>
      </c>
      <c r="M3652" s="920">
        <f t="shared" si="374"/>
        <v>50.37876</v>
      </c>
      <c r="N3652" s="920">
        <f t="shared" si="375"/>
        <v>33.596590909090907</v>
      </c>
      <c r="O3652" s="918" t="str">
        <f t="shared" si="376"/>
        <v>Mar</v>
      </c>
      <c r="P3652" s="921">
        <f t="shared" si="377"/>
        <v>12</v>
      </c>
    </row>
    <row r="3653" spans="1:16" ht="15" hidden="1" customHeight="1">
      <c r="A3653" s="839">
        <v>68851104</v>
      </c>
      <c r="B3653" s="839">
        <v>1352</v>
      </c>
      <c r="C3653" s="906">
        <v>9877</v>
      </c>
      <c r="D3653" s="907">
        <v>46100</v>
      </c>
      <c r="E3653" s="839" t="s">
        <v>270</v>
      </c>
      <c r="F3653" s="839" t="s">
        <v>264</v>
      </c>
      <c r="G3653" s="916">
        <f>VLOOKUP($A3653,'Tech Litons'!$A:$I,8,FALSE)</f>
        <v>8.5199999999999998E-3</v>
      </c>
      <c r="H3653" s="917">
        <f>VLOOKUP($A3653,'Tech Litons'!$A:$I,9,FALSE)</f>
        <v>176</v>
      </c>
      <c r="I3653" s="917" t="str">
        <f>VLOOKUP($A3653,'Tech Litons'!$A:$C,3,0)</f>
        <v>48oz</v>
      </c>
      <c r="J3653" s="918" t="str">
        <f t="shared" si="372"/>
        <v>135248oz</v>
      </c>
      <c r="K3653" s="919">
        <v>1</v>
      </c>
      <c r="L3653" s="920">
        <f t="shared" si="373"/>
        <v>9877</v>
      </c>
      <c r="M3653" s="920">
        <f t="shared" si="374"/>
        <v>84.15204</v>
      </c>
      <c r="N3653" s="920">
        <f t="shared" si="375"/>
        <v>56.11931818181818</v>
      </c>
      <c r="O3653" s="918" t="str">
        <f t="shared" si="376"/>
        <v>Mar</v>
      </c>
      <c r="P3653" s="921">
        <f t="shared" si="377"/>
        <v>12</v>
      </c>
    </row>
    <row r="3654" spans="1:16" ht="15" hidden="1" customHeight="1">
      <c r="A3654" s="839">
        <v>68851104</v>
      </c>
      <c r="B3654" s="839">
        <v>1352</v>
      </c>
      <c r="C3654" s="906">
        <v>6512</v>
      </c>
      <c r="D3654" s="907">
        <v>46100</v>
      </c>
      <c r="E3654" s="839" t="s">
        <v>270</v>
      </c>
      <c r="F3654" s="839" t="s">
        <v>264</v>
      </c>
      <c r="G3654" s="916">
        <f>VLOOKUP($A3654,'Tech Litons'!$A:$I,8,FALSE)</f>
        <v>8.5199999999999998E-3</v>
      </c>
      <c r="H3654" s="917">
        <f>VLOOKUP($A3654,'Tech Litons'!$A:$I,9,FALSE)</f>
        <v>176</v>
      </c>
      <c r="I3654" s="917" t="str">
        <f>VLOOKUP($A3654,'Tech Litons'!$A:$C,3,0)</f>
        <v>48oz</v>
      </c>
      <c r="J3654" s="918" t="str">
        <f t="shared" si="372"/>
        <v>135248oz</v>
      </c>
      <c r="K3654" s="919">
        <v>1</v>
      </c>
      <c r="L3654" s="920">
        <f t="shared" si="373"/>
        <v>6512</v>
      </c>
      <c r="M3654" s="920">
        <f t="shared" si="374"/>
        <v>55.482239999999997</v>
      </c>
      <c r="N3654" s="920">
        <f t="shared" si="375"/>
        <v>37</v>
      </c>
      <c r="O3654" s="918" t="str">
        <f t="shared" si="376"/>
        <v>Mar</v>
      </c>
      <c r="P3654" s="921">
        <f t="shared" si="377"/>
        <v>12</v>
      </c>
    </row>
    <row r="3655" spans="1:16" ht="15" hidden="1" customHeight="1">
      <c r="A3655" s="839">
        <v>68851104</v>
      </c>
      <c r="B3655" s="839">
        <v>1352</v>
      </c>
      <c r="C3655" s="906">
        <v>9204</v>
      </c>
      <c r="D3655" s="907">
        <v>46101</v>
      </c>
      <c r="E3655" s="839" t="s">
        <v>270</v>
      </c>
      <c r="F3655" s="839" t="s">
        <v>264</v>
      </c>
      <c r="G3655" s="916">
        <f>VLOOKUP($A3655,'Tech Litons'!$A:$I,8,FALSE)</f>
        <v>8.5199999999999998E-3</v>
      </c>
      <c r="H3655" s="917">
        <f>VLOOKUP($A3655,'Tech Litons'!$A:$I,9,FALSE)</f>
        <v>176</v>
      </c>
      <c r="I3655" s="917" t="str">
        <f>VLOOKUP($A3655,'Tech Litons'!$A:$C,3,0)</f>
        <v>48oz</v>
      </c>
      <c r="J3655" s="918" t="str">
        <f t="shared" si="372"/>
        <v>135248oz</v>
      </c>
      <c r="K3655" s="919">
        <v>1</v>
      </c>
      <c r="L3655" s="920">
        <f t="shared" si="373"/>
        <v>9204</v>
      </c>
      <c r="M3655" s="920">
        <f t="shared" si="374"/>
        <v>78.418080000000003</v>
      </c>
      <c r="N3655" s="920">
        <f t="shared" si="375"/>
        <v>52.295454545454547</v>
      </c>
      <c r="O3655" s="918" t="str">
        <f t="shared" si="376"/>
        <v>Mar</v>
      </c>
      <c r="P3655" s="921">
        <f t="shared" si="377"/>
        <v>12</v>
      </c>
    </row>
    <row r="3656" spans="1:16" ht="15" hidden="1" customHeight="1">
      <c r="A3656" s="839">
        <v>68851107</v>
      </c>
      <c r="B3656" s="839">
        <v>1352</v>
      </c>
      <c r="C3656" s="906">
        <v>0</v>
      </c>
      <c r="D3656" s="907">
        <v>46078</v>
      </c>
      <c r="E3656" s="839" t="s">
        <v>272</v>
      </c>
      <c r="F3656" s="839" t="s">
        <v>290</v>
      </c>
      <c r="G3656" s="916">
        <f>VLOOKUP($A3656,'Tech Litons'!$A:$I,8,FALSE)</f>
        <v>8.5199999999999998E-3</v>
      </c>
      <c r="H3656" s="917">
        <f>VLOOKUP($A3656,'Tech Litons'!$A:$I,9,FALSE)</f>
        <v>176</v>
      </c>
      <c r="I3656" s="917" t="str">
        <f>VLOOKUP($A3656,'Tech Litons'!$A:$C,3,0)</f>
        <v>48oz</v>
      </c>
      <c r="J3656" s="918" t="str">
        <f t="shared" si="372"/>
        <v>135248oz</v>
      </c>
      <c r="K3656" s="919">
        <v>1</v>
      </c>
      <c r="L3656" s="920">
        <f t="shared" si="373"/>
        <v>0</v>
      </c>
      <c r="M3656" s="920">
        <f t="shared" si="374"/>
        <v>0</v>
      </c>
      <c r="N3656" s="920">
        <f t="shared" si="375"/>
        <v>0</v>
      </c>
      <c r="O3656" s="918" t="str">
        <f t="shared" si="376"/>
        <v>Feb</v>
      </c>
      <c r="P3656" s="921">
        <f t="shared" si="377"/>
        <v>9</v>
      </c>
    </row>
    <row r="3657" spans="1:16" ht="15" hidden="1" customHeight="1">
      <c r="A3657" s="839">
        <v>68851107</v>
      </c>
      <c r="B3657" s="839">
        <v>1352</v>
      </c>
      <c r="C3657" s="906">
        <v>0</v>
      </c>
      <c r="D3657" s="907">
        <v>46079</v>
      </c>
      <c r="E3657" s="839" t="s">
        <v>272</v>
      </c>
      <c r="F3657" s="839" t="s">
        <v>290</v>
      </c>
      <c r="G3657" s="916">
        <f>VLOOKUP($A3657,'Tech Litons'!$A:$I,8,FALSE)</f>
        <v>8.5199999999999998E-3</v>
      </c>
      <c r="H3657" s="917">
        <f>VLOOKUP($A3657,'Tech Litons'!$A:$I,9,FALSE)</f>
        <v>176</v>
      </c>
      <c r="I3657" s="917" t="str">
        <f>VLOOKUP($A3657,'Tech Litons'!$A:$C,3,0)</f>
        <v>48oz</v>
      </c>
      <c r="J3657" s="918" t="str">
        <f t="shared" si="372"/>
        <v>135248oz</v>
      </c>
      <c r="K3657" s="919">
        <v>1</v>
      </c>
      <c r="L3657" s="920">
        <f t="shared" si="373"/>
        <v>0</v>
      </c>
      <c r="M3657" s="920">
        <f t="shared" si="374"/>
        <v>0</v>
      </c>
      <c r="N3657" s="920">
        <f t="shared" si="375"/>
        <v>0</v>
      </c>
      <c r="O3657" s="918" t="str">
        <f t="shared" si="376"/>
        <v>Feb</v>
      </c>
      <c r="P3657" s="921">
        <f t="shared" si="377"/>
        <v>9</v>
      </c>
    </row>
    <row r="3658" spans="1:16" ht="15" hidden="1" customHeight="1">
      <c r="A3658" s="839">
        <v>68851107</v>
      </c>
      <c r="B3658" s="839">
        <v>1352</v>
      </c>
      <c r="C3658" s="906">
        <v>0</v>
      </c>
      <c r="D3658" s="907">
        <v>46076</v>
      </c>
      <c r="E3658" s="839" t="s">
        <v>272</v>
      </c>
      <c r="F3658" s="839" t="s">
        <v>290</v>
      </c>
      <c r="G3658" s="916">
        <f>VLOOKUP($A3658,'Tech Litons'!$A:$I,8,FALSE)</f>
        <v>8.5199999999999998E-3</v>
      </c>
      <c r="H3658" s="917">
        <f>VLOOKUP($A3658,'Tech Litons'!$A:$I,9,FALSE)</f>
        <v>176</v>
      </c>
      <c r="I3658" s="917" t="str">
        <f>VLOOKUP($A3658,'Tech Litons'!$A:$C,3,0)</f>
        <v>48oz</v>
      </c>
      <c r="J3658" s="918" t="str">
        <f t="shared" si="372"/>
        <v>135248oz</v>
      </c>
      <c r="K3658" s="919">
        <v>1</v>
      </c>
      <c r="L3658" s="920">
        <f t="shared" si="373"/>
        <v>0</v>
      </c>
      <c r="M3658" s="920">
        <f t="shared" si="374"/>
        <v>0</v>
      </c>
      <c r="N3658" s="920">
        <f t="shared" si="375"/>
        <v>0</v>
      </c>
      <c r="O3658" s="918" t="str">
        <f t="shared" si="376"/>
        <v>Feb</v>
      </c>
      <c r="P3658" s="921">
        <f t="shared" si="377"/>
        <v>9</v>
      </c>
    </row>
    <row r="3659" spans="1:16" ht="15" hidden="1" customHeight="1">
      <c r="A3659" s="839">
        <v>68851107</v>
      </c>
      <c r="B3659" s="839">
        <v>1352</v>
      </c>
      <c r="C3659" s="906">
        <v>0</v>
      </c>
      <c r="D3659" s="907">
        <v>46079</v>
      </c>
      <c r="E3659" s="839" t="s">
        <v>272</v>
      </c>
      <c r="F3659" s="839" t="s">
        <v>290</v>
      </c>
      <c r="G3659" s="916">
        <f>VLOOKUP($A3659,'Tech Litons'!$A:$I,8,FALSE)</f>
        <v>8.5199999999999998E-3</v>
      </c>
      <c r="H3659" s="917">
        <f>VLOOKUP($A3659,'Tech Litons'!$A:$I,9,FALSE)</f>
        <v>176</v>
      </c>
      <c r="I3659" s="917" t="str">
        <f>VLOOKUP($A3659,'Tech Litons'!$A:$C,3,0)</f>
        <v>48oz</v>
      </c>
      <c r="J3659" s="918" t="str">
        <f t="shared" si="372"/>
        <v>135248oz</v>
      </c>
      <c r="K3659" s="919">
        <v>1</v>
      </c>
      <c r="L3659" s="920">
        <f t="shared" si="373"/>
        <v>0</v>
      </c>
      <c r="M3659" s="920">
        <f t="shared" si="374"/>
        <v>0</v>
      </c>
      <c r="N3659" s="920">
        <f t="shared" si="375"/>
        <v>0</v>
      </c>
      <c r="O3659" s="918" t="str">
        <f t="shared" si="376"/>
        <v>Feb</v>
      </c>
      <c r="P3659" s="921">
        <f t="shared" si="377"/>
        <v>9</v>
      </c>
    </row>
    <row r="3660" spans="1:16" ht="15" hidden="1" customHeight="1">
      <c r="A3660" s="839">
        <v>68851107</v>
      </c>
      <c r="B3660" s="839">
        <v>1352</v>
      </c>
      <c r="C3660" s="906">
        <v>5651</v>
      </c>
      <c r="D3660" s="907">
        <v>46076</v>
      </c>
      <c r="E3660" s="839" t="s">
        <v>272</v>
      </c>
      <c r="F3660" s="839" t="s">
        <v>290</v>
      </c>
      <c r="G3660" s="916">
        <f>VLOOKUP($A3660,'Tech Litons'!$A:$I,8,FALSE)</f>
        <v>8.5199999999999998E-3</v>
      </c>
      <c r="H3660" s="917">
        <f>VLOOKUP($A3660,'Tech Litons'!$A:$I,9,FALSE)</f>
        <v>176</v>
      </c>
      <c r="I3660" s="917" t="str">
        <f>VLOOKUP($A3660,'Tech Litons'!$A:$C,3,0)</f>
        <v>48oz</v>
      </c>
      <c r="J3660" s="918" t="str">
        <f t="shared" si="372"/>
        <v>135248oz</v>
      </c>
      <c r="K3660" s="919">
        <v>1</v>
      </c>
      <c r="L3660" s="920">
        <f t="shared" si="373"/>
        <v>5651</v>
      </c>
      <c r="M3660" s="920">
        <f t="shared" si="374"/>
        <v>48.146519999999995</v>
      </c>
      <c r="N3660" s="920">
        <f t="shared" si="375"/>
        <v>32.107954545454547</v>
      </c>
      <c r="O3660" s="918" t="str">
        <f t="shared" si="376"/>
        <v>Feb</v>
      </c>
      <c r="P3660" s="921">
        <f t="shared" si="377"/>
        <v>9</v>
      </c>
    </row>
    <row r="3661" spans="1:16" ht="15" hidden="1" customHeight="1">
      <c r="A3661" s="839">
        <v>68851107</v>
      </c>
      <c r="B3661" s="839">
        <v>1352</v>
      </c>
      <c r="C3661" s="906">
        <v>139</v>
      </c>
      <c r="D3661" s="907">
        <v>46076</v>
      </c>
      <c r="E3661" s="839" t="s">
        <v>272</v>
      </c>
      <c r="F3661" s="839" t="s">
        <v>290</v>
      </c>
      <c r="G3661" s="916">
        <f>VLOOKUP($A3661,'Tech Litons'!$A:$I,8,FALSE)</f>
        <v>8.5199999999999998E-3</v>
      </c>
      <c r="H3661" s="917">
        <f>VLOOKUP($A3661,'Tech Litons'!$A:$I,9,FALSE)</f>
        <v>176</v>
      </c>
      <c r="I3661" s="917" t="str">
        <f>VLOOKUP($A3661,'Tech Litons'!$A:$C,3,0)</f>
        <v>48oz</v>
      </c>
      <c r="J3661" s="918" t="str">
        <f t="shared" si="372"/>
        <v>135248oz</v>
      </c>
      <c r="K3661" s="919">
        <v>1</v>
      </c>
      <c r="L3661" s="920">
        <f t="shared" si="373"/>
        <v>139</v>
      </c>
      <c r="M3661" s="920">
        <f t="shared" si="374"/>
        <v>1.18428</v>
      </c>
      <c r="N3661" s="920">
        <f t="shared" si="375"/>
        <v>0.78977272727272729</v>
      </c>
      <c r="O3661" s="918" t="str">
        <f t="shared" si="376"/>
        <v>Feb</v>
      </c>
      <c r="P3661" s="921">
        <f t="shared" si="377"/>
        <v>9</v>
      </c>
    </row>
    <row r="3662" spans="1:16" ht="15" hidden="1" customHeight="1">
      <c r="A3662" s="839">
        <v>68851107</v>
      </c>
      <c r="B3662" s="839">
        <v>1352</v>
      </c>
      <c r="C3662" s="906">
        <v>9296</v>
      </c>
      <c r="D3662" s="907">
        <v>46077</v>
      </c>
      <c r="E3662" s="839" t="s">
        <v>272</v>
      </c>
      <c r="F3662" s="839" t="s">
        <v>290</v>
      </c>
      <c r="G3662" s="916">
        <f>VLOOKUP($A3662,'Tech Litons'!$A:$I,8,FALSE)</f>
        <v>8.5199999999999998E-3</v>
      </c>
      <c r="H3662" s="917">
        <f>VLOOKUP($A3662,'Tech Litons'!$A:$I,9,FALSE)</f>
        <v>176</v>
      </c>
      <c r="I3662" s="917" t="str">
        <f>VLOOKUP($A3662,'Tech Litons'!$A:$C,3,0)</f>
        <v>48oz</v>
      </c>
      <c r="J3662" s="918" t="str">
        <f t="shared" si="372"/>
        <v>135248oz</v>
      </c>
      <c r="K3662" s="919">
        <v>1</v>
      </c>
      <c r="L3662" s="920">
        <f t="shared" si="373"/>
        <v>9296</v>
      </c>
      <c r="M3662" s="920">
        <f t="shared" si="374"/>
        <v>79.201920000000001</v>
      </c>
      <c r="N3662" s="920">
        <f t="shared" si="375"/>
        <v>52.81818181818182</v>
      </c>
      <c r="O3662" s="918" t="str">
        <f t="shared" si="376"/>
        <v>Feb</v>
      </c>
      <c r="P3662" s="921">
        <f t="shared" si="377"/>
        <v>9</v>
      </c>
    </row>
    <row r="3663" spans="1:16" ht="15" hidden="1" customHeight="1">
      <c r="A3663" s="839">
        <v>68851107</v>
      </c>
      <c r="B3663" s="839">
        <v>1352</v>
      </c>
      <c r="C3663" s="906">
        <v>4326</v>
      </c>
      <c r="D3663" s="907">
        <v>46077</v>
      </c>
      <c r="E3663" s="839" t="s">
        <v>272</v>
      </c>
      <c r="F3663" s="839" t="s">
        <v>290</v>
      </c>
      <c r="G3663" s="916">
        <f>VLOOKUP($A3663,'Tech Litons'!$A:$I,8,FALSE)</f>
        <v>8.5199999999999998E-3</v>
      </c>
      <c r="H3663" s="917">
        <f>VLOOKUP($A3663,'Tech Litons'!$A:$I,9,FALSE)</f>
        <v>176</v>
      </c>
      <c r="I3663" s="917" t="str">
        <f>VLOOKUP($A3663,'Tech Litons'!$A:$C,3,0)</f>
        <v>48oz</v>
      </c>
      <c r="J3663" s="918" t="str">
        <f t="shared" si="372"/>
        <v>135248oz</v>
      </c>
      <c r="K3663" s="919">
        <v>1</v>
      </c>
      <c r="L3663" s="920">
        <f t="shared" si="373"/>
        <v>4326</v>
      </c>
      <c r="M3663" s="920">
        <f t="shared" si="374"/>
        <v>36.857520000000001</v>
      </c>
      <c r="N3663" s="920">
        <f t="shared" si="375"/>
        <v>24.579545454545453</v>
      </c>
      <c r="O3663" s="918" t="str">
        <f t="shared" si="376"/>
        <v>Feb</v>
      </c>
      <c r="P3663" s="921">
        <f t="shared" si="377"/>
        <v>9</v>
      </c>
    </row>
    <row r="3664" spans="1:16" ht="15" hidden="1" customHeight="1">
      <c r="A3664" s="839">
        <v>68851107</v>
      </c>
      <c r="B3664" s="839">
        <v>1352</v>
      </c>
      <c r="C3664" s="906">
        <v>6191</v>
      </c>
      <c r="D3664" s="907">
        <v>46078</v>
      </c>
      <c r="E3664" s="839" t="s">
        <v>272</v>
      </c>
      <c r="F3664" s="839" t="s">
        <v>290</v>
      </c>
      <c r="G3664" s="916">
        <f>VLOOKUP($A3664,'Tech Litons'!$A:$I,8,FALSE)</f>
        <v>8.5199999999999998E-3</v>
      </c>
      <c r="H3664" s="917">
        <f>VLOOKUP($A3664,'Tech Litons'!$A:$I,9,FALSE)</f>
        <v>176</v>
      </c>
      <c r="I3664" s="917" t="str">
        <f>VLOOKUP($A3664,'Tech Litons'!$A:$C,3,0)</f>
        <v>48oz</v>
      </c>
      <c r="J3664" s="918" t="str">
        <f t="shared" si="372"/>
        <v>135248oz</v>
      </c>
      <c r="K3664" s="919">
        <v>1</v>
      </c>
      <c r="L3664" s="920">
        <f t="shared" si="373"/>
        <v>6191</v>
      </c>
      <c r="M3664" s="920">
        <f t="shared" si="374"/>
        <v>52.747320000000002</v>
      </c>
      <c r="N3664" s="920">
        <f t="shared" si="375"/>
        <v>35.176136363636367</v>
      </c>
      <c r="O3664" s="918" t="str">
        <f t="shared" si="376"/>
        <v>Feb</v>
      </c>
      <c r="P3664" s="921">
        <f t="shared" si="377"/>
        <v>9</v>
      </c>
    </row>
    <row r="3665" spans="1:16" ht="15" hidden="1" customHeight="1">
      <c r="A3665" s="839">
        <v>68851109</v>
      </c>
      <c r="B3665" s="839">
        <v>1352</v>
      </c>
      <c r="C3665" s="906">
        <v>3690</v>
      </c>
      <c r="D3665" s="907">
        <v>46098</v>
      </c>
      <c r="E3665" s="839" t="s">
        <v>297</v>
      </c>
      <c r="F3665" s="839" t="s">
        <v>264</v>
      </c>
      <c r="G3665" s="916">
        <f>VLOOKUP($A3665,'Tech Litons'!$A:$I,8,FALSE)</f>
        <v>8.5199999999999998E-3</v>
      </c>
      <c r="H3665" s="917">
        <f>VLOOKUP($A3665,'Tech Litons'!$A:$I,9,FALSE)</f>
        <v>154</v>
      </c>
      <c r="I3665" s="917" t="str">
        <f>VLOOKUP($A3665,'Tech Litons'!$A:$C,3,0)</f>
        <v>48oz</v>
      </c>
      <c r="J3665" s="918" t="str">
        <f t="shared" si="372"/>
        <v>135248oz</v>
      </c>
      <c r="K3665" s="919">
        <v>1</v>
      </c>
      <c r="L3665" s="920">
        <f t="shared" si="373"/>
        <v>3690</v>
      </c>
      <c r="M3665" s="920">
        <f t="shared" si="374"/>
        <v>31.438800000000001</v>
      </c>
      <c r="N3665" s="920">
        <f t="shared" si="375"/>
        <v>23.961038961038962</v>
      </c>
      <c r="O3665" s="918" t="str">
        <f t="shared" si="376"/>
        <v>Mar</v>
      </c>
      <c r="P3665" s="921">
        <f t="shared" si="377"/>
        <v>12</v>
      </c>
    </row>
    <row r="3666" spans="1:16" ht="15" hidden="1" customHeight="1">
      <c r="A3666" s="839">
        <v>68852591</v>
      </c>
      <c r="B3666" s="839">
        <v>1352</v>
      </c>
      <c r="C3666" s="906">
        <v>2376</v>
      </c>
      <c r="D3666" s="907">
        <v>46083</v>
      </c>
      <c r="E3666" s="839" t="s">
        <v>326</v>
      </c>
      <c r="F3666" s="839" t="s">
        <v>241</v>
      </c>
      <c r="G3666" s="916">
        <f>VLOOKUP($A3666,'Tech Litons'!$A:$I,8,FALSE)</f>
        <v>8.5199999999999998E-3</v>
      </c>
      <c r="H3666" s="917">
        <f>VLOOKUP($A3666,'Tech Litons'!$A:$I,9,FALSE)</f>
        <v>132</v>
      </c>
      <c r="I3666" s="917" t="str">
        <f>VLOOKUP($A3666,'Tech Litons'!$A:$C,3,0)</f>
        <v>EDF</v>
      </c>
      <c r="J3666" s="918" t="str">
        <f t="shared" si="372"/>
        <v>1352EDF</v>
      </c>
      <c r="K3666" s="919">
        <v>1</v>
      </c>
      <c r="L3666" s="920">
        <f t="shared" si="373"/>
        <v>2376</v>
      </c>
      <c r="M3666" s="920">
        <f t="shared" si="374"/>
        <v>20.24352</v>
      </c>
      <c r="N3666" s="920">
        <f t="shared" si="375"/>
        <v>18</v>
      </c>
      <c r="O3666" s="918" t="str">
        <f t="shared" si="376"/>
        <v>Mar</v>
      </c>
      <c r="P3666" s="921">
        <f t="shared" si="377"/>
        <v>10</v>
      </c>
    </row>
    <row r="3667" spans="1:16" ht="15" hidden="1" customHeight="1">
      <c r="A3667" s="839">
        <v>68852591</v>
      </c>
      <c r="B3667" s="839">
        <v>1352</v>
      </c>
      <c r="C3667" s="906">
        <v>1050</v>
      </c>
      <c r="D3667" s="907">
        <v>46084</v>
      </c>
      <c r="E3667" s="839" t="s">
        <v>326</v>
      </c>
      <c r="F3667" s="839" t="s">
        <v>241</v>
      </c>
      <c r="G3667" s="916">
        <f>VLOOKUP($A3667,'Tech Litons'!$A:$I,8,FALSE)</f>
        <v>8.5199999999999998E-3</v>
      </c>
      <c r="H3667" s="917">
        <f>VLOOKUP($A3667,'Tech Litons'!$A:$I,9,FALSE)</f>
        <v>132</v>
      </c>
      <c r="I3667" s="917" t="str">
        <f>VLOOKUP($A3667,'Tech Litons'!$A:$C,3,0)</f>
        <v>EDF</v>
      </c>
      <c r="J3667" s="918" t="str">
        <f t="shared" si="372"/>
        <v>1352EDF</v>
      </c>
      <c r="K3667" s="919">
        <v>1</v>
      </c>
      <c r="L3667" s="920">
        <f t="shared" si="373"/>
        <v>1050</v>
      </c>
      <c r="M3667" s="920">
        <f t="shared" si="374"/>
        <v>8.9459999999999997</v>
      </c>
      <c r="N3667" s="920">
        <f t="shared" si="375"/>
        <v>7.9545454545454541</v>
      </c>
      <c r="O3667" s="918" t="str">
        <f t="shared" si="376"/>
        <v>Mar</v>
      </c>
      <c r="P3667" s="921">
        <f t="shared" si="377"/>
        <v>10</v>
      </c>
    </row>
    <row r="3668" spans="1:16" ht="15" hidden="1" customHeight="1">
      <c r="A3668" s="839">
        <v>68852591</v>
      </c>
      <c r="B3668" s="839">
        <v>1352</v>
      </c>
      <c r="C3668" s="906">
        <v>1980</v>
      </c>
      <c r="D3668" s="907">
        <v>46084</v>
      </c>
      <c r="E3668" s="839" t="s">
        <v>326</v>
      </c>
      <c r="F3668" s="839" t="s">
        <v>241</v>
      </c>
      <c r="G3668" s="916">
        <f>VLOOKUP($A3668,'Tech Litons'!$A:$I,8,FALSE)</f>
        <v>8.5199999999999998E-3</v>
      </c>
      <c r="H3668" s="917">
        <f>VLOOKUP($A3668,'Tech Litons'!$A:$I,9,FALSE)</f>
        <v>132</v>
      </c>
      <c r="I3668" s="917" t="str">
        <f>VLOOKUP($A3668,'Tech Litons'!$A:$C,3,0)</f>
        <v>EDF</v>
      </c>
      <c r="J3668" s="918" t="str">
        <f t="shared" si="372"/>
        <v>1352EDF</v>
      </c>
      <c r="K3668" s="919">
        <v>1</v>
      </c>
      <c r="L3668" s="920">
        <f t="shared" si="373"/>
        <v>1980</v>
      </c>
      <c r="M3668" s="920">
        <f t="shared" si="374"/>
        <v>16.869599999999998</v>
      </c>
      <c r="N3668" s="920">
        <f t="shared" si="375"/>
        <v>15</v>
      </c>
      <c r="O3668" s="918" t="str">
        <f t="shared" si="376"/>
        <v>Mar</v>
      </c>
      <c r="P3668" s="921">
        <f t="shared" si="377"/>
        <v>10</v>
      </c>
    </row>
    <row r="3669" spans="1:16" ht="15" hidden="1" customHeight="1">
      <c r="A3669" s="839">
        <v>68852591</v>
      </c>
      <c r="B3669" s="839">
        <v>1352</v>
      </c>
      <c r="C3669" s="906">
        <v>1042</v>
      </c>
      <c r="D3669" s="907">
        <v>46085</v>
      </c>
      <c r="E3669" s="839" t="s">
        <v>326</v>
      </c>
      <c r="F3669" s="839" t="s">
        <v>241</v>
      </c>
      <c r="G3669" s="916">
        <f>VLOOKUP($A3669,'Tech Litons'!$A:$I,8,FALSE)</f>
        <v>8.5199999999999998E-3</v>
      </c>
      <c r="H3669" s="917">
        <f>VLOOKUP($A3669,'Tech Litons'!$A:$I,9,FALSE)</f>
        <v>132</v>
      </c>
      <c r="I3669" s="917" t="str">
        <f>VLOOKUP($A3669,'Tech Litons'!$A:$C,3,0)</f>
        <v>EDF</v>
      </c>
      <c r="J3669" s="918" t="str">
        <f t="shared" si="372"/>
        <v>1352EDF</v>
      </c>
      <c r="K3669" s="919">
        <v>1</v>
      </c>
      <c r="L3669" s="920">
        <f t="shared" si="373"/>
        <v>1042</v>
      </c>
      <c r="M3669" s="920">
        <f t="shared" si="374"/>
        <v>8.8778399999999991</v>
      </c>
      <c r="N3669" s="920">
        <f t="shared" si="375"/>
        <v>7.8939393939393936</v>
      </c>
      <c r="O3669" s="918" t="str">
        <f t="shared" si="376"/>
        <v>Mar</v>
      </c>
      <c r="P3669" s="921">
        <f t="shared" si="377"/>
        <v>10</v>
      </c>
    </row>
    <row r="3670" spans="1:16" ht="15" hidden="1" customHeight="1">
      <c r="A3670" s="839">
        <v>68852591</v>
      </c>
      <c r="B3670" s="839">
        <v>1352</v>
      </c>
      <c r="C3670" s="906">
        <v>3036</v>
      </c>
      <c r="D3670" s="907">
        <v>46085</v>
      </c>
      <c r="E3670" s="839" t="s">
        <v>326</v>
      </c>
      <c r="F3670" s="839" t="s">
        <v>241</v>
      </c>
      <c r="G3670" s="916">
        <f>VLOOKUP($A3670,'Tech Litons'!$A:$I,8,FALSE)</f>
        <v>8.5199999999999998E-3</v>
      </c>
      <c r="H3670" s="917">
        <f>VLOOKUP($A3670,'Tech Litons'!$A:$I,9,FALSE)</f>
        <v>132</v>
      </c>
      <c r="I3670" s="917" t="str">
        <f>VLOOKUP($A3670,'Tech Litons'!$A:$C,3,0)</f>
        <v>EDF</v>
      </c>
      <c r="J3670" s="918" t="str">
        <f t="shared" si="372"/>
        <v>1352EDF</v>
      </c>
      <c r="K3670" s="919">
        <v>1</v>
      </c>
      <c r="L3670" s="920">
        <f t="shared" si="373"/>
        <v>3036</v>
      </c>
      <c r="M3670" s="920">
        <f t="shared" si="374"/>
        <v>25.866720000000001</v>
      </c>
      <c r="N3670" s="920">
        <f t="shared" si="375"/>
        <v>23</v>
      </c>
      <c r="O3670" s="918" t="str">
        <f t="shared" si="376"/>
        <v>Mar</v>
      </c>
      <c r="P3670" s="921">
        <f t="shared" si="377"/>
        <v>10</v>
      </c>
    </row>
    <row r="3671" spans="1:16" ht="15" hidden="1" customHeight="1">
      <c r="A3671" s="839">
        <v>68852591</v>
      </c>
      <c r="B3671" s="839">
        <v>1352</v>
      </c>
      <c r="C3671" s="906">
        <v>3686</v>
      </c>
      <c r="D3671" s="907">
        <v>46086</v>
      </c>
      <c r="E3671" s="839" t="s">
        <v>326</v>
      </c>
      <c r="F3671" s="839" t="s">
        <v>241</v>
      </c>
      <c r="G3671" s="916">
        <f>VLOOKUP($A3671,'Tech Litons'!$A:$I,8,FALSE)</f>
        <v>8.5199999999999998E-3</v>
      </c>
      <c r="H3671" s="917">
        <f>VLOOKUP($A3671,'Tech Litons'!$A:$I,9,FALSE)</f>
        <v>132</v>
      </c>
      <c r="I3671" s="917" t="str">
        <f>VLOOKUP($A3671,'Tech Litons'!$A:$C,3,0)</f>
        <v>EDF</v>
      </c>
      <c r="J3671" s="918" t="str">
        <f t="shared" si="372"/>
        <v>1352EDF</v>
      </c>
      <c r="K3671" s="919">
        <v>1</v>
      </c>
      <c r="L3671" s="920">
        <f t="shared" si="373"/>
        <v>3686</v>
      </c>
      <c r="M3671" s="920">
        <f t="shared" si="374"/>
        <v>31.404719999999998</v>
      </c>
      <c r="N3671" s="920">
        <f t="shared" si="375"/>
        <v>27.924242424242426</v>
      </c>
      <c r="O3671" s="918" t="str">
        <f t="shared" si="376"/>
        <v>Mar</v>
      </c>
      <c r="P3671" s="921">
        <f t="shared" si="377"/>
        <v>10</v>
      </c>
    </row>
    <row r="3672" spans="1:16" ht="15" hidden="1" customHeight="1">
      <c r="A3672" s="839">
        <v>68852591</v>
      </c>
      <c r="B3672" s="839">
        <v>1352</v>
      </c>
      <c r="C3672" s="906">
        <v>2376</v>
      </c>
      <c r="D3672" s="907">
        <v>46087</v>
      </c>
      <c r="E3672" s="839" t="s">
        <v>326</v>
      </c>
      <c r="F3672" s="839" t="s">
        <v>241</v>
      </c>
      <c r="G3672" s="916">
        <f>VLOOKUP($A3672,'Tech Litons'!$A:$I,8,FALSE)</f>
        <v>8.5199999999999998E-3</v>
      </c>
      <c r="H3672" s="917">
        <f>VLOOKUP($A3672,'Tech Litons'!$A:$I,9,FALSE)</f>
        <v>132</v>
      </c>
      <c r="I3672" s="917" t="str">
        <f>VLOOKUP($A3672,'Tech Litons'!$A:$C,3,0)</f>
        <v>EDF</v>
      </c>
      <c r="J3672" s="918" t="str">
        <f t="shared" si="372"/>
        <v>1352EDF</v>
      </c>
      <c r="K3672" s="919">
        <v>1</v>
      </c>
      <c r="L3672" s="920">
        <f t="shared" si="373"/>
        <v>2376</v>
      </c>
      <c r="M3672" s="920">
        <f t="shared" si="374"/>
        <v>20.24352</v>
      </c>
      <c r="N3672" s="920">
        <f t="shared" si="375"/>
        <v>18</v>
      </c>
      <c r="O3672" s="918" t="str">
        <f t="shared" si="376"/>
        <v>Mar</v>
      </c>
      <c r="P3672" s="921">
        <f t="shared" si="377"/>
        <v>10</v>
      </c>
    </row>
    <row r="3673" spans="1:16" ht="15" hidden="1" customHeight="1">
      <c r="A3673" s="839">
        <v>68852591</v>
      </c>
      <c r="B3673" s="839">
        <v>1352</v>
      </c>
      <c r="C3673" s="906">
        <v>3523</v>
      </c>
      <c r="D3673" s="907">
        <v>46088</v>
      </c>
      <c r="E3673" s="839" t="s">
        <v>326</v>
      </c>
      <c r="F3673" s="839" t="s">
        <v>241</v>
      </c>
      <c r="G3673" s="916">
        <f>VLOOKUP($A3673,'Tech Litons'!$A:$I,8,FALSE)</f>
        <v>8.5199999999999998E-3</v>
      </c>
      <c r="H3673" s="917">
        <f>VLOOKUP($A3673,'Tech Litons'!$A:$I,9,FALSE)</f>
        <v>132</v>
      </c>
      <c r="I3673" s="917" t="str">
        <f>VLOOKUP($A3673,'Tech Litons'!$A:$C,3,0)</f>
        <v>EDF</v>
      </c>
      <c r="J3673" s="918" t="str">
        <f t="shared" si="372"/>
        <v>1352EDF</v>
      </c>
      <c r="K3673" s="919">
        <v>1</v>
      </c>
      <c r="L3673" s="920">
        <f t="shared" si="373"/>
        <v>3523</v>
      </c>
      <c r="M3673" s="920">
        <f t="shared" si="374"/>
        <v>30.01596</v>
      </c>
      <c r="N3673" s="920">
        <f t="shared" si="375"/>
        <v>26.689393939393938</v>
      </c>
      <c r="O3673" s="918" t="str">
        <f t="shared" si="376"/>
        <v>Mar</v>
      </c>
      <c r="P3673" s="921">
        <f t="shared" si="377"/>
        <v>10</v>
      </c>
    </row>
    <row r="3674" spans="1:16" ht="15" hidden="1" customHeight="1">
      <c r="A3674" s="839">
        <v>68852591</v>
      </c>
      <c r="B3674" s="839">
        <v>1352</v>
      </c>
      <c r="C3674" s="906">
        <v>2244</v>
      </c>
      <c r="D3674" s="907">
        <v>46088</v>
      </c>
      <c r="E3674" s="839" t="s">
        <v>326</v>
      </c>
      <c r="F3674" s="839" t="s">
        <v>241</v>
      </c>
      <c r="G3674" s="916">
        <f>VLOOKUP($A3674,'Tech Litons'!$A:$I,8,FALSE)</f>
        <v>8.5199999999999998E-3</v>
      </c>
      <c r="H3674" s="917">
        <f>VLOOKUP($A3674,'Tech Litons'!$A:$I,9,FALSE)</f>
        <v>132</v>
      </c>
      <c r="I3674" s="917" t="str">
        <f>VLOOKUP($A3674,'Tech Litons'!$A:$C,3,0)</f>
        <v>EDF</v>
      </c>
      <c r="J3674" s="918" t="str">
        <f t="shared" si="372"/>
        <v>1352EDF</v>
      </c>
      <c r="K3674" s="919">
        <v>1</v>
      </c>
      <c r="L3674" s="920">
        <f t="shared" si="373"/>
        <v>2244</v>
      </c>
      <c r="M3674" s="920">
        <f t="shared" si="374"/>
        <v>19.118880000000001</v>
      </c>
      <c r="N3674" s="920">
        <f t="shared" si="375"/>
        <v>17</v>
      </c>
      <c r="O3674" s="918" t="str">
        <f t="shared" si="376"/>
        <v>Mar</v>
      </c>
      <c r="P3674" s="921">
        <f t="shared" si="377"/>
        <v>10</v>
      </c>
    </row>
    <row r="3675" spans="1:16" ht="15" hidden="1" customHeight="1">
      <c r="A3675" s="839">
        <v>68852591</v>
      </c>
      <c r="B3675" s="839">
        <v>1352</v>
      </c>
      <c r="C3675" s="906">
        <v>2053</v>
      </c>
      <c r="D3675" s="907">
        <v>46089</v>
      </c>
      <c r="E3675" s="839" t="s">
        <v>326</v>
      </c>
      <c r="F3675" s="839" t="s">
        <v>241</v>
      </c>
      <c r="G3675" s="916">
        <f>VLOOKUP($A3675,'Tech Litons'!$A:$I,8,FALSE)</f>
        <v>8.5199999999999998E-3</v>
      </c>
      <c r="H3675" s="917">
        <f>VLOOKUP($A3675,'Tech Litons'!$A:$I,9,FALSE)</f>
        <v>132</v>
      </c>
      <c r="I3675" s="917" t="str">
        <f>VLOOKUP($A3675,'Tech Litons'!$A:$C,3,0)</f>
        <v>EDF</v>
      </c>
      <c r="J3675" s="918" t="str">
        <f t="shared" si="372"/>
        <v>1352EDF</v>
      </c>
      <c r="K3675" s="919">
        <v>1</v>
      </c>
      <c r="L3675" s="920">
        <f t="shared" si="373"/>
        <v>2053</v>
      </c>
      <c r="M3675" s="920">
        <f t="shared" si="374"/>
        <v>17.49156</v>
      </c>
      <c r="N3675" s="920">
        <f t="shared" si="375"/>
        <v>15.553030303030303</v>
      </c>
      <c r="O3675" s="918" t="str">
        <f t="shared" si="376"/>
        <v>Mar</v>
      </c>
      <c r="P3675" s="921">
        <f t="shared" si="377"/>
        <v>11</v>
      </c>
    </row>
    <row r="3676" spans="1:16" ht="15" hidden="1" customHeight="1">
      <c r="A3676" s="839">
        <v>68852591</v>
      </c>
      <c r="B3676" s="839">
        <v>1352</v>
      </c>
      <c r="C3676" s="906">
        <v>699</v>
      </c>
      <c r="D3676" s="907">
        <v>46076</v>
      </c>
      <c r="E3676" s="839" t="s">
        <v>326</v>
      </c>
      <c r="F3676" s="839" t="s">
        <v>241</v>
      </c>
      <c r="G3676" s="916">
        <f>VLOOKUP($A3676,'Tech Litons'!$A:$I,8,FALSE)</f>
        <v>8.5199999999999998E-3</v>
      </c>
      <c r="H3676" s="917">
        <f>VLOOKUP($A3676,'Tech Litons'!$A:$I,9,FALSE)</f>
        <v>132</v>
      </c>
      <c r="I3676" s="917" t="str">
        <f>VLOOKUP($A3676,'Tech Litons'!$A:$C,3,0)</f>
        <v>EDF</v>
      </c>
      <c r="J3676" s="918" t="str">
        <f t="shared" si="372"/>
        <v>1352EDF</v>
      </c>
      <c r="K3676" s="919">
        <v>1</v>
      </c>
      <c r="L3676" s="920">
        <f t="shared" si="373"/>
        <v>699</v>
      </c>
      <c r="M3676" s="920">
        <f t="shared" si="374"/>
        <v>5.9554799999999997</v>
      </c>
      <c r="N3676" s="920">
        <f t="shared" si="375"/>
        <v>5.2954545454545459</v>
      </c>
      <c r="O3676" s="918" t="str">
        <f t="shared" si="376"/>
        <v>Feb</v>
      </c>
      <c r="P3676" s="921">
        <f t="shared" si="377"/>
        <v>9</v>
      </c>
    </row>
    <row r="3677" spans="1:16" ht="15" hidden="1" customHeight="1">
      <c r="A3677" s="839">
        <v>68852591</v>
      </c>
      <c r="B3677" s="839">
        <v>1352</v>
      </c>
      <c r="C3677" s="906">
        <v>231</v>
      </c>
      <c r="D3677" s="907">
        <v>46077</v>
      </c>
      <c r="E3677" s="839" t="s">
        <v>326</v>
      </c>
      <c r="F3677" s="839" t="s">
        <v>241</v>
      </c>
      <c r="G3677" s="916">
        <f>VLOOKUP($A3677,'Tech Litons'!$A:$I,8,FALSE)</f>
        <v>8.5199999999999998E-3</v>
      </c>
      <c r="H3677" s="917">
        <f>VLOOKUP($A3677,'Tech Litons'!$A:$I,9,FALSE)</f>
        <v>132</v>
      </c>
      <c r="I3677" s="917" t="str">
        <f>VLOOKUP($A3677,'Tech Litons'!$A:$C,3,0)</f>
        <v>EDF</v>
      </c>
      <c r="J3677" s="918" t="str">
        <f t="shared" si="372"/>
        <v>1352EDF</v>
      </c>
      <c r="K3677" s="919">
        <v>1</v>
      </c>
      <c r="L3677" s="920">
        <f t="shared" si="373"/>
        <v>231</v>
      </c>
      <c r="M3677" s="920">
        <f t="shared" si="374"/>
        <v>1.9681199999999999</v>
      </c>
      <c r="N3677" s="920">
        <f t="shared" si="375"/>
        <v>1.75</v>
      </c>
      <c r="O3677" s="918" t="str">
        <f t="shared" si="376"/>
        <v>Feb</v>
      </c>
      <c r="P3677" s="921">
        <f t="shared" si="377"/>
        <v>9</v>
      </c>
    </row>
    <row r="3678" spans="1:16" ht="15" hidden="1" customHeight="1">
      <c r="A3678" s="839">
        <v>68852591</v>
      </c>
      <c r="B3678" s="839">
        <v>1352</v>
      </c>
      <c r="C3678" s="906">
        <v>2376</v>
      </c>
      <c r="D3678" s="907">
        <v>46077</v>
      </c>
      <c r="E3678" s="839" t="s">
        <v>326</v>
      </c>
      <c r="F3678" s="839" t="s">
        <v>241</v>
      </c>
      <c r="G3678" s="916">
        <f>VLOOKUP($A3678,'Tech Litons'!$A:$I,8,FALSE)</f>
        <v>8.5199999999999998E-3</v>
      </c>
      <c r="H3678" s="917">
        <f>VLOOKUP($A3678,'Tech Litons'!$A:$I,9,FALSE)</f>
        <v>132</v>
      </c>
      <c r="I3678" s="917" t="str">
        <f>VLOOKUP($A3678,'Tech Litons'!$A:$C,3,0)</f>
        <v>EDF</v>
      </c>
      <c r="J3678" s="918" t="str">
        <f t="shared" si="372"/>
        <v>1352EDF</v>
      </c>
      <c r="K3678" s="919">
        <v>1</v>
      </c>
      <c r="L3678" s="920">
        <f t="shared" si="373"/>
        <v>2376</v>
      </c>
      <c r="M3678" s="920">
        <f t="shared" si="374"/>
        <v>20.24352</v>
      </c>
      <c r="N3678" s="920">
        <f t="shared" si="375"/>
        <v>18</v>
      </c>
      <c r="O3678" s="918" t="str">
        <f t="shared" si="376"/>
        <v>Feb</v>
      </c>
      <c r="P3678" s="921">
        <f t="shared" si="377"/>
        <v>9</v>
      </c>
    </row>
    <row r="3679" spans="1:16" ht="15" hidden="1" customHeight="1">
      <c r="A3679" s="839">
        <v>68852591</v>
      </c>
      <c r="B3679" s="839">
        <v>1352</v>
      </c>
      <c r="C3679" s="906">
        <v>4195</v>
      </c>
      <c r="D3679" s="907">
        <v>46078</v>
      </c>
      <c r="E3679" s="839" t="s">
        <v>326</v>
      </c>
      <c r="F3679" s="839" t="s">
        <v>241</v>
      </c>
      <c r="G3679" s="916">
        <f>VLOOKUP($A3679,'Tech Litons'!$A:$I,8,FALSE)</f>
        <v>8.5199999999999998E-3</v>
      </c>
      <c r="H3679" s="917">
        <f>VLOOKUP($A3679,'Tech Litons'!$A:$I,9,FALSE)</f>
        <v>132</v>
      </c>
      <c r="I3679" s="917" t="str">
        <f>VLOOKUP($A3679,'Tech Litons'!$A:$C,3,0)</f>
        <v>EDF</v>
      </c>
      <c r="J3679" s="918" t="str">
        <f t="shared" si="372"/>
        <v>1352EDF</v>
      </c>
      <c r="K3679" s="919">
        <v>1</v>
      </c>
      <c r="L3679" s="920">
        <f t="shared" si="373"/>
        <v>4195</v>
      </c>
      <c r="M3679" s="920">
        <f t="shared" si="374"/>
        <v>35.741399999999999</v>
      </c>
      <c r="N3679" s="920">
        <f t="shared" si="375"/>
        <v>31.780303030303031</v>
      </c>
      <c r="O3679" s="918" t="str">
        <f t="shared" si="376"/>
        <v>Feb</v>
      </c>
      <c r="P3679" s="921">
        <f t="shared" si="377"/>
        <v>9</v>
      </c>
    </row>
    <row r="3680" spans="1:16" ht="15" hidden="1" customHeight="1">
      <c r="A3680" s="839">
        <v>68852591</v>
      </c>
      <c r="B3680" s="839">
        <v>1352</v>
      </c>
      <c r="C3680" s="906">
        <v>2376</v>
      </c>
      <c r="D3680" s="907">
        <v>46078</v>
      </c>
      <c r="E3680" s="839" t="s">
        <v>326</v>
      </c>
      <c r="F3680" s="839" t="s">
        <v>241</v>
      </c>
      <c r="G3680" s="916">
        <f>VLOOKUP($A3680,'Tech Litons'!$A:$I,8,FALSE)</f>
        <v>8.5199999999999998E-3</v>
      </c>
      <c r="H3680" s="917">
        <f>VLOOKUP($A3680,'Tech Litons'!$A:$I,9,FALSE)</f>
        <v>132</v>
      </c>
      <c r="I3680" s="917" t="str">
        <f>VLOOKUP($A3680,'Tech Litons'!$A:$C,3,0)</f>
        <v>EDF</v>
      </c>
      <c r="J3680" s="918" t="str">
        <f t="shared" si="372"/>
        <v>1352EDF</v>
      </c>
      <c r="K3680" s="919">
        <v>1</v>
      </c>
      <c r="L3680" s="920">
        <f t="shared" si="373"/>
        <v>2376</v>
      </c>
      <c r="M3680" s="920">
        <f t="shared" si="374"/>
        <v>20.24352</v>
      </c>
      <c r="N3680" s="920">
        <f t="shared" si="375"/>
        <v>18</v>
      </c>
      <c r="O3680" s="918" t="str">
        <f t="shared" si="376"/>
        <v>Feb</v>
      </c>
      <c r="P3680" s="921">
        <f t="shared" si="377"/>
        <v>9</v>
      </c>
    </row>
    <row r="3681" spans="1:16" ht="15" hidden="1" customHeight="1">
      <c r="A3681" s="839">
        <v>68852591</v>
      </c>
      <c r="B3681" s="839">
        <v>1352</v>
      </c>
      <c r="C3681" s="906">
        <v>3526</v>
      </c>
      <c r="D3681" s="907">
        <v>46079</v>
      </c>
      <c r="E3681" s="839" t="s">
        <v>326</v>
      </c>
      <c r="F3681" s="839" t="s">
        <v>241</v>
      </c>
      <c r="G3681" s="916">
        <f>VLOOKUP($A3681,'Tech Litons'!$A:$I,8,FALSE)</f>
        <v>8.5199999999999998E-3</v>
      </c>
      <c r="H3681" s="917">
        <f>VLOOKUP($A3681,'Tech Litons'!$A:$I,9,FALSE)</f>
        <v>132</v>
      </c>
      <c r="I3681" s="917" t="str">
        <f>VLOOKUP($A3681,'Tech Litons'!$A:$C,3,0)</f>
        <v>EDF</v>
      </c>
      <c r="J3681" s="918" t="str">
        <f t="shared" si="372"/>
        <v>1352EDF</v>
      </c>
      <c r="K3681" s="919">
        <v>1</v>
      </c>
      <c r="L3681" s="920">
        <f t="shared" si="373"/>
        <v>3526</v>
      </c>
      <c r="M3681" s="920">
        <f t="shared" si="374"/>
        <v>30.041519999999998</v>
      </c>
      <c r="N3681" s="920">
        <f t="shared" si="375"/>
        <v>26.712121212121211</v>
      </c>
      <c r="O3681" s="918" t="str">
        <f t="shared" si="376"/>
        <v>Feb</v>
      </c>
      <c r="P3681" s="921">
        <f t="shared" si="377"/>
        <v>9</v>
      </c>
    </row>
    <row r="3682" spans="1:16" ht="15" hidden="1" customHeight="1">
      <c r="A3682" s="839">
        <v>68852591</v>
      </c>
      <c r="B3682" s="839">
        <v>1352</v>
      </c>
      <c r="C3682" s="906">
        <v>3036</v>
      </c>
      <c r="D3682" s="907">
        <v>46079</v>
      </c>
      <c r="E3682" s="839" t="s">
        <v>326</v>
      </c>
      <c r="F3682" s="839" t="s">
        <v>241</v>
      </c>
      <c r="G3682" s="916">
        <f>VLOOKUP($A3682,'Tech Litons'!$A:$I,8,FALSE)</f>
        <v>8.5199999999999998E-3</v>
      </c>
      <c r="H3682" s="917">
        <f>VLOOKUP($A3682,'Tech Litons'!$A:$I,9,FALSE)</f>
        <v>132</v>
      </c>
      <c r="I3682" s="917" t="str">
        <f>VLOOKUP($A3682,'Tech Litons'!$A:$C,3,0)</f>
        <v>EDF</v>
      </c>
      <c r="J3682" s="918" t="str">
        <f t="shared" si="372"/>
        <v>1352EDF</v>
      </c>
      <c r="K3682" s="919">
        <v>1</v>
      </c>
      <c r="L3682" s="920">
        <f t="shared" si="373"/>
        <v>3036</v>
      </c>
      <c r="M3682" s="920">
        <f t="shared" si="374"/>
        <v>25.866720000000001</v>
      </c>
      <c r="N3682" s="920">
        <f t="shared" si="375"/>
        <v>23</v>
      </c>
      <c r="O3682" s="918" t="str">
        <f t="shared" si="376"/>
        <v>Feb</v>
      </c>
      <c r="P3682" s="921">
        <f t="shared" si="377"/>
        <v>9</v>
      </c>
    </row>
    <row r="3683" spans="1:16" ht="15" hidden="1" customHeight="1">
      <c r="A3683" s="839">
        <v>68852591</v>
      </c>
      <c r="B3683" s="839">
        <v>1352</v>
      </c>
      <c r="C3683" s="906">
        <v>3468</v>
      </c>
      <c r="D3683" s="907">
        <v>46080</v>
      </c>
      <c r="E3683" s="839" t="s">
        <v>326</v>
      </c>
      <c r="F3683" s="839" t="s">
        <v>241</v>
      </c>
      <c r="G3683" s="916">
        <f>VLOOKUP($A3683,'Tech Litons'!$A:$I,8,FALSE)</f>
        <v>8.5199999999999998E-3</v>
      </c>
      <c r="H3683" s="917">
        <f>VLOOKUP($A3683,'Tech Litons'!$A:$I,9,FALSE)</f>
        <v>132</v>
      </c>
      <c r="I3683" s="917" t="str">
        <f>VLOOKUP($A3683,'Tech Litons'!$A:$C,3,0)</f>
        <v>EDF</v>
      </c>
      <c r="J3683" s="918" t="str">
        <f t="shared" si="372"/>
        <v>1352EDF</v>
      </c>
      <c r="K3683" s="919">
        <v>1</v>
      </c>
      <c r="L3683" s="920">
        <f t="shared" si="373"/>
        <v>3468</v>
      </c>
      <c r="M3683" s="920">
        <f t="shared" si="374"/>
        <v>29.547359999999998</v>
      </c>
      <c r="N3683" s="920">
        <f t="shared" si="375"/>
        <v>26.272727272727273</v>
      </c>
      <c r="O3683" s="918" t="str">
        <f t="shared" si="376"/>
        <v>Feb</v>
      </c>
      <c r="P3683" s="921">
        <f t="shared" si="377"/>
        <v>9</v>
      </c>
    </row>
    <row r="3684" spans="1:16" ht="15" hidden="1" customHeight="1">
      <c r="A3684" s="839">
        <v>68852591</v>
      </c>
      <c r="B3684" s="839">
        <v>1352</v>
      </c>
      <c r="C3684" s="906">
        <v>2386</v>
      </c>
      <c r="D3684" s="907">
        <v>46080</v>
      </c>
      <c r="E3684" s="839" t="s">
        <v>326</v>
      </c>
      <c r="F3684" s="839" t="s">
        <v>241</v>
      </c>
      <c r="G3684" s="916">
        <f>VLOOKUP($A3684,'Tech Litons'!$A:$I,8,FALSE)</f>
        <v>8.5199999999999998E-3</v>
      </c>
      <c r="H3684" s="917">
        <f>VLOOKUP($A3684,'Tech Litons'!$A:$I,9,FALSE)</f>
        <v>132</v>
      </c>
      <c r="I3684" s="917" t="str">
        <f>VLOOKUP($A3684,'Tech Litons'!$A:$C,3,0)</f>
        <v>EDF</v>
      </c>
      <c r="J3684" s="918" t="str">
        <f t="shared" si="372"/>
        <v>1352EDF</v>
      </c>
      <c r="K3684" s="919">
        <v>1</v>
      </c>
      <c r="L3684" s="920">
        <f t="shared" si="373"/>
        <v>2386</v>
      </c>
      <c r="M3684" s="920">
        <f t="shared" si="374"/>
        <v>20.328720000000001</v>
      </c>
      <c r="N3684" s="920">
        <f t="shared" si="375"/>
        <v>18.075757575757574</v>
      </c>
      <c r="O3684" s="918" t="str">
        <f t="shared" si="376"/>
        <v>Feb</v>
      </c>
      <c r="P3684" s="921">
        <f t="shared" si="377"/>
        <v>9</v>
      </c>
    </row>
    <row r="3685" spans="1:16" ht="15" hidden="1" customHeight="1">
      <c r="A3685" s="839">
        <v>68852591</v>
      </c>
      <c r="B3685" s="839">
        <v>1352</v>
      </c>
      <c r="C3685" s="906">
        <v>2508</v>
      </c>
      <c r="D3685" s="907">
        <v>46081</v>
      </c>
      <c r="E3685" s="839" t="s">
        <v>326</v>
      </c>
      <c r="F3685" s="839" t="s">
        <v>241</v>
      </c>
      <c r="G3685" s="916">
        <f>VLOOKUP($A3685,'Tech Litons'!$A:$I,8,FALSE)</f>
        <v>8.5199999999999998E-3</v>
      </c>
      <c r="H3685" s="917">
        <f>VLOOKUP($A3685,'Tech Litons'!$A:$I,9,FALSE)</f>
        <v>132</v>
      </c>
      <c r="I3685" s="917" t="str">
        <f>VLOOKUP($A3685,'Tech Litons'!$A:$C,3,0)</f>
        <v>EDF</v>
      </c>
      <c r="J3685" s="918" t="str">
        <f t="shared" si="372"/>
        <v>1352EDF</v>
      </c>
      <c r="K3685" s="919">
        <v>1</v>
      </c>
      <c r="L3685" s="920">
        <f t="shared" si="373"/>
        <v>2508</v>
      </c>
      <c r="M3685" s="920">
        <f t="shared" si="374"/>
        <v>21.36816</v>
      </c>
      <c r="N3685" s="920">
        <f t="shared" si="375"/>
        <v>19</v>
      </c>
      <c r="O3685" s="918" t="str">
        <f t="shared" si="376"/>
        <v>Feb</v>
      </c>
      <c r="P3685" s="921">
        <f t="shared" si="377"/>
        <v>9</v>
      </c>
    </row>
    <row r="3686" spans="1:16" ht="15" hidden="1" customHeight="1">
      <c r="A3686" s="839">
        <v>68852591</v>
      </c>
      <c r="B3686" s="839">
        <v>1352</v>
      </c>
      <c r="C3686" s="906">
        <v>2334</v>
      </c>
      <c r="D3686" s="907">
        <v>46082</v>
      </c>
      <c r="E3686" s="839" t="s">
        <v>326</v>
      </c>
      <c r="F3686" s="839" t="s">
        <v>241</v>
      </c>
      <c r="G3686" s="916">
        <f>VLOOKUP($A3686,'Tech Litons'!$A:$I,8,FALSE)</f>
        <v>8.5199999999999998E-3</v>
      </c>
      <c r="H3686" s="917">
        <f>VLOOKUP($A3686,'Tech Litons'!$A:$I,9,FALSE)</f>
        <v>132</v>
      </c>
      <c r="I3686" s="917" t="str">
        <f>VLOOKUP($A3686,'Tech Litons'!$A:$C,3,0)</f>
        <v>EDF</v>
      </c>
      <c r="J3686" s="918" t="str">
        <f t="shared" si="372"/>
        <v>1352EDF</v>
      </c>
      <c r="K3686" s="919">
        <v>1</v>
      </c>
      <c r="L3686" s="920">
        <f t="shared" si="373"/>
        <v>2334</v>
      </c>
      <c r="M3686" s="920">
        <f t="shared" si="374"/>
        <v>19.885680000000001</v>
      </c>
      <c r="N3686" s="920">
        <f t="shared" si="375"/>
        <v>17.681818181818183</v>
      </c>
      <c r="O3686" s="918" t="str">
        <f t="shared" si="376"/>
        <v>Mar</v>
      </c>
      <c r="P3686" s="921">
        <f t="shared" si="377"/>
        <v>10</v>
      </c>
    </row>
    <row r="3687" spans="1:16" ht="15" hidden="1" customHeight="1">
      <c r="A3687" s="839">
        <v>68852591</v>
      </c>
      <c r="B3687" s="839">
        <v>1352</v>
      </c>
      <c r="C3687" s="906">
        <v>262</v>
      </c>
      <c r="D3687" s="907">
        <v>46093</v>
      </c>
      <c r="E3687" s="839" t="s">
        <v>326</v>
      </c>
      <c r="F3687" s="839" t="s">
        <v>241</v>
      </c>
      <c r="G3687" s="916">
        <f>VLOOKUP($A3687,'Tech Litons'!$A:$I,8,FALSE)</f>
        <v>8.5199999999999998E-3</v>
      </c>
      <c r="H3687" s="917">
        <f>VLOOKUP($A3687,'Tech Litons'!$A:$I,9,FALSE)</f>
        <v>132</v>
      </c>
      <c r="I3687" s="917" t="str">
        <f>VLOOKUP($A3687,'Tech Litons'!$A:$C,3,0)</f>
        <v>EDF</v>
      </c>
      <c r="J3687" s="918" t="str">
        <f t="shared" si="372"/>
        <v>1352EDF</v>
      </c>
      <c r="K3687" s="919">
        <v>1</v>
      </c>
      <c r="L3687" s="920">
        <f t="shared" si="373"/>
        <v>262</v>
      </c>
      <c r="M3687" s="920">
        <f t="shared" si="374"/>
        <v>2.23224</v>
      </c>
      <c r="N3687" s="920">
        <f t="shared" si="375"/>
        <v>1.9848484848484849</v>
      </c>
      <c r="O3687" s="918" t="str">
        <f t="shared" si="376"/>
        <v>Mar</v>
      </c>
      <c r="P3687" s="921">
        <f t="shared" si="377"/>
        <v>11</v>
      </c>
    </row>
    <row r="3688" spans="1:16" ht="15" hidden="1" customHeight="1">
      <c r="A3688" s="839">
        <v>68852591</v>
      </c>
      <c r="B3688" s="839">
        <v>1352</v>
      </c>
      <c r="C3688" s="906">
        <v>2244</v>
      </c>
      <c r="D3688" s="907">
        <v>46082</v>
      </c>
      <c r="E3688" s="839" t="s">
        <v>326</v>
      </c>
      <c r="F3688" s="839" t="s">
        <v>241</v>
      </c>
      <c r="G3688" s="916">
        <f>VLOOKUP($A3688,'Tech Litons'!$A:$I,8,FALSE)</f>
        <v>8.5199999999999998E-3</v>
      </c>
      <c r="H3688" s="917">
        <f>VLOOKUP($A3688,'Tech Litons'!$A:$I,9,FALSE)</f>
        <v>132</v>
      </c>
      <c r="I3688" s="917" t="str">
        <f>VLOOKUP($A3688,'Tech Litons'!$A:$C,3,0)</f>
        <v>EDF</v>
      </c>
      <c r="J3688" s="918" t="str">
        <f t="shared" si="372"/>
        <v>1352EDF</v>
      </c>
      <c r="K3688" s="919">
        <v>1</v>
      </c>
      <c r="L3688" s="920">
        <f t="shared" si="373"/>
        <v>2244</v>
      </c>
      <c r="M3688" s="920">
        <f t="shared" si="374"/>
        <v>19.118880000000001</v>
      </c>
      <c r="N3688" s="920">
        <f t="shared" si="375"/>
        <v>17</v>
      </c>
      <c r="O3688" s="918" t="str">
        <f t="shared" si="376"/>
        <v>Mar</v>
      </c>
      <c r="P3688" s="921">
        <f t="shared" si="377"/>
        <v>10</v>
      </c>
    </row>
    <row r="3689" spans="1:16" ht="15" hidden="1" customHeight="1">
      <c r="A3689" s="839">
        <v>68852591</v>
      </c>
      <c r="B3689" s="839">
        <v>1352</v>
      </c>
      <c r="C3689" s="906">
        <v>2153</v>
      </c>
      <c r="D3689" s="907">
        <v>46083</v>
      </c>
      <c r="E3689" s="839" t="s">
        <v>326</v>
      </c>
      <c r="F3689" s="839" t="s">
        <v>241</v>
      </c>
      <c r="G3689" s="916">
        <f>VLOOKUP($A3689,'Tech Litons'!$A:$I,8,FALSE)</f>
        <v>8.5199999999999998E-3</v>
      </c>
      <c r="H3689" s="917">
        <f>VLOOKUP($A3689,'Tech Litons'!$A:$I,9,FALSE)</f>
        <v>132</v>
      </c>
      <c r="I3689" s="917" t="str">
        <f>VLOOKUP($A3689,'Tech Litons'!$A:$C,3,0)</f>
        <v>EDF</v>
      </c>
      <c r="J3689" s="918" t="str">
        <f t="shared" si="372"/>
        <v>1352EDF</v>
      </c>
      <c r="K3689" s="919">
        <v>1</v>
      </c>
      <c r="L3689" s="920">
        <f t="shared" si="373"/>
        <v>2153</v>
      </c>
      <c r="M3689" s="920">
        <f t="shared" si="374"/>
        <v>18.34356</v>
      </c>
      <c r="N3689" s="920">
        <f t="shared" si="375"/>
        <v>16.310606060606062</v>
      </c>
      <c r="O3689" s="918" t="str">
        <f t="shared" si="376"/>
        <v>Mar</v>
      </c>
      <c r="P3689" s="921">
        <f t="shared" si="377"/>
        <v>10</v>
      </c>
    </row>
    <row r="3690" spans="1:16" ht="15" hidden="1" customHeight="1">
      <c r="A3690" s="839">
        <v>68852591</v>
      </c>
      <c r="B3690" s="839">
        <v>1352</v>
      </c>
      <c r="C3690" s="906">
        <v>2772</v>
      </c>
      <c r="D3690" s="907">
        <v>46086</v>
      </c>
      <c r="E3690" s="839" t="s">
        <v>326</v>
      </c>
      <c r="F3690" s="839" t="s">
        <v>241</v>
      </c>
      <c r="G3690" s="916">
        <f>VLOOKUP($A3690,'Tech Litons'!$A:$I,8,FALSE)</f>
        <v>8.5199999999999998E-3</v>
      </c>
      <c r="H3690" s="917">
        <f>VLOOKUP($A3690,'Tech Litons'!$A:$I,9,FALSE)</f>
        <v>132</v>
      </c>
      <c r="I3690" s="917" t="str">
        <f>VLOOKUP($A3690,'Tech Litons'!$A:$C,3,0)</f>
        <v>EDF</v>
      </c>
      <c r="J3690" s="918" t="str">
        <f t="shared" si="372"/>
        <v>1352EDF</v>
      </c>
      <c r="K3690" s="919">
        <v>1</v>
      </c>
      <c r="L3690" s="920">
        <f t="shared" si="373"/>
        <v>2772</v>
      </c>
      <c r="M3690" s="920">
        <f t="shared" si="374"/>
        <v>23.617439999999998</v>
      </c>
      <c r="N3690" s="920">
        <f t="shared" si="375"/>
        <v>21</v>
      </c>
      <c r="O3690" s="918" t="str">
        <f t="shared" si="376"/>
        <v>Mar</v>
      </c>
      <c r="P3690" s="921">
        <f t="shared" si="377"/>
        <v>10</v>
      </c>
    </row>
    <row r="3691" spans="1:16" ht="15" hidden="1" customHeight="1">
      <c r="A3691" s="839">
        <v>68852591</v>
      </c>
      <c r="B3691" s="839">
        <v>1352</v>
      </c>
      <c r="C3691" s="906">
        <v>3703</v>
      </c>
      <c r="D3691" s="907">
        <v>46087</v>
      </c>
      <c r="E3691" s="839" t="s">
        <v>326</v>
      </c>
      <c r="F3691" s="839" t="s">
        <v>241</v>
      </c>
      <c r="G3691" s="916">
        <f>VLOOKUP($A3691,'Tech Litons'!$A:$I,8,FALSE)</f>
        <v>8.5199999999999998E-3</v>
      </c>
      <c r="H3691" s="917">
        <f>VLOOKUP($A3691,'Tech Litons'!$A:$I,9,FALSE)</f>
        <v>132</v>
      </c>
      <c r="I3691" s="917" t="str">
        <f>VLOOKUP($A3691,'Tech Litons'!$A:$C,3,0)</f>
        <v>EDF</v>
      </c>
      <c r="J3691" s="918" t="str">
        <f t="shared" si="372"/>
        <v>1352EDF</v>
      </c>
      <c r="K3691" s="919">
        <v>1</v>
      </c>
      <c r="L3691" s="920">
        <f t="shared" si="373"/>
        <v>3703</v>
      </c>
      <c r="M3691" s="920">
        <f t="shared" si="374"/>
        <v>31.54956</v>
      </c>
      <c r="N3691" s="920">
        <f t="shared" si="375"/>
        <v>28.053030303030305</v>
      </c>
      <c r="O3691" s="918" t="str">
        <f t="shared" si="376"/>
        <v>Mar</v>
      </c>
      <c r="P3691" s="921">
        <f t="shared" si="377"/>
        <v>10</v>
      </c>
    </row>
    <row r="3692" spans="1:16" ht="15" hidden="1" customHeight="1">
      <c r="A3692" s="839">
        <v>68852591</v>
      </c>
      <c r="B3692" s="839">
        <v>1352</v>
      </c>
      <c r="C3692" s="906">
        <v>2430</v>
      </c>
      <c r="D3692" s="907">
        <v>46076</v>
      </c>
      <c r="E3692" s="839" t="s">
        <v>326</v>
      </c>
      <c r="F3692" s="839" t="s">
        <v>241</v>
      </c>
      <c r="G3692" s="916">
        <f>VLOOKUP($A3692,'Tech Litons'!$A:$I,8,FALSE)</f>
        <v>8.5199999999999998E-3</v>
      </c>
      <c r="H3692" s="917">
        <f>VLOOKUP($A3692,'Tech Litons'!$A:$I,9,FALSE)</f>
        <v>132</v>
      </c>
      <c r="I3692" s="917" t="str">
        <f>VLOOKUP($A3692,'Tech Litons'!$A:$C,3,0)</f>
        <v>EDF</v>
      </c>
      <c r="J3692" s="918" t="str">
        <f t="shared" si="372"/>
        <v>1352EDF</v>
      </c>
      <c r="K3692" s="919">
        <v>1</v>
      </c>
      <c r="L3692" s="920">
        <f t="shared" si="373"/>
        <v>2430</v>
      </c>
      <c r="M3692" s="920">
        <f t="shared" si="374"/>
        <v>20.703599999999998</v>
      </c>
      <c r="N3692" s="920">
        <f t="shared" si="375"/>
        <v>18.40909090909091</v>
      </c>
      <c r="O3692" s="918" t="str">
        <f t="shared" si="376"/>
        <v>Feb</v>
      </c>
      <c r="P3692" s="921">
        <f t="shared" si="377"/>
        <v>9</v>
      </c>
    </row>
    <row r="3693" spans="1:16" ht="15" hidden="1" customHeight="1">
      <c r="A3693" s="839">
        <v>68852591</v>
      </c>
      <c r="B3693" s="839">
        <v>1352</v>
      </c>
      <c r="C3693" s="906">
        <v>3960</v>
      </c>
      <c r="D3693" s="907">
        <v>46077</v>
      </c>
      <c r="E3693" s="839" t="s">
        <v>326</v>
      </c>
      <c r="F3693" s="839" t="s">
        <v>241</v>
      </c>
      <c r="G3693" s="916">
        <f>VLOOKUP($A3693,'Tech Litons'!$A:$I,8,FALSE)</f>
        <v>8.5199999999999998E-3</v>
      </c>
      <c r="H3693" s="917">
        <f>VLOOKUP($A3693,'Tech Litons'!$A:$I,9,FALSE)</f>
        <v>132</v>
      </c>
      <c r="I3693" s="917" t="str">
        <f>VLOOKUP($A3693,'Tech Litons'!$A:$C,3,0)</f>
        <v>EDF</v>
      </c>
      <c r="J3693" s="918" t="str">
        <f t="shared" si="372"/>
        <v>1352EDF</v>
      </c>
      <c r="K3693" s="919">
        <v>1</v>
      </c>
      <c r="L3693" s="920">
        <f t="shared" si="373"/>
        <v>3960</v>
      </c>
      <c r="M3693" s="920">
        <f t="shared" si="374"/>
        <v>33.739199999999997</v>
      </c>
      <c r="N3693" s="920">
        <f t="shared" si="375"/>
        <v>30</v>
      </c>
      <c r="O3693" s="918" t="str">
        <f t="shared" si="376"/>
        <v>Feb</v>
      </c>
      <c r="P3693" s="921">
        <f t="shared" si="377"/>
        <v>9</v>
      </c>
    </row>
    <row r="3694" spans="1:16" ht="15" hidden="1" customHeight="1">
      <c r="A3694" s="839">
        <v>68852591</v>
      </c>
      <c r="B3694" s="839">
        <v>1352</v>
      </c>
      <c r="C3694" s="906">
        <v>2037</v>
      </c>
      <c r="D3694" s="907">
        <v>46081</v>
      </c>
      <c r="E3694" s="839" t="s">
        <v>326</v>
      </c>
      <c r="F3694" s="839" t="s">
        <v>241</v>
      </c>
      <c r="G3694" s="916">
        <f>VLOOKUP($A3694,'Tech Litons'!$A:$I,8,FALSE)</f>
        <v>8.5199999999999998E-3</v>
      </c>
      <c r="H3694" s="917">
        <f>VLOOKUP($A3694,'Tech Litons'!$A:$I,9,FALSE)</f>
        <v>132</v>
      </c>
      <c r="I3694" s="917" t="str">
        <f>VLOOKUP($A3694,'Tech Litons'!$A:$C,3,0)</f>
        <v>EDF</v>
      </c>
      <c r="J3694" s="918" t="str">
        <f t="shared" si="372"/>
        <v>1352EDF</v>
      </c>
      <c r="K3694" s="919">
        <v>1</v>
      </c>
      <c r="L3694" s="920">
        <f t="shared" si="373"/>
        <v>2037</v>
      </c>
      <c r="M3694" s="920">
        <f t="shared" si="374"/>
        <v>17.355239999999998</v>
      </c>
      <c r="N3694" s="920">
        <f t="shared" si="375"/>
        <v>15.431818181818182</v>
      </c>
      <c r="O3694" s="918" t="str">
        <f t="shared" si="376"/>
        <v>Feb</v>
      </c>
      <c r="P3694" s="921">
        <f t="shared" si="377"/>
        <v>9</v>
      </c>
    </row>
    <row r="3695" spans="1:16" ht="15" hidden="1" customHeight="1">
      <c r="A3695" s="839">
        <v>68881268</v>
      </c>
      <c r="B3695" s="839">
        <v>1352</v>
      </c>
      <c r="C3695" s="906">
        <v>5591</v>
      </c>
      <c r="D3695" s="907">
        <v>46080</v>
      </c>
      <c r="E3695" s="839" t="s">
        <v>327</v>
      </c>
      <c r="F3695" s="839" t="s">
        <v>290</v>
      </c>
      <c r="G3695" s="916">
        <f>VLOOKUP($A3695,'Tech Litons'!$A:$I,8,FALSE)</f>
        <v>8.5199999999999998E-3</v>
      </c>
      <c r="H3695" s="917">
        <f>VLOOKUP($A3695,'Tech Litons'!$A:$I,9,FALSE)</f>
        <v>154</v>
      </c>
      <c r="I3695" s="917" t="str">
        <f>VLOOKUP($A3695,'Tech Litons'!$A:$C,3,0)</f>
        <v>48oz</v>
      </c>
      <c r="J3695" s="918" t="str">
        <f t="shared" si="372"/>
        <v>135248oz</v>
      </c>
      <c r="K3695" s="919">
        <v>1</v>
      </c>
      <c r="L3695" s="920">
        <f t="shared" si="373"/>
        <v>5591</v>
      </c>
      <c r="M3695" s="920">
        <f t="shared" si="374"/>
        <v>47.63532</v>
      </c>
      <c r="N3695" s="920">
        <f t="shared" si="375"/>
        <v>36.305194805194802</v>
      </c>
      <c r="O3695" s="918" t="str">
        <f t="shared" si="376"/>
        <v>Feb</v>
      </c>
      <c r="P3695" s="921">
        <f t="shared" si="377"/>
        <v>9</v>
      </c>
    </row>
    <row r="3696" spans="1:16" ht="15" hidden="1" customHeight="1">
      <c r="A3696" s="839">
        <v>68881268</v>
      </c>
      <c r="B3696" s="839">
        <v>1352</v>
      </c>
      <c r="C3696" s="906">
        <v>573</v>
      </c>
      <c r="D3696" s="907">
        <v>46081</v>
      </c>
      <c r="E3696" s="839" t="s">
        <v>327</v>
      </c>
      <c r="F3696" s="839" t="s">
        <v>290</v>
      </c>
      <c r="G3696" s="916">
        <f>VLOOKUP($A3696,'Tech Litons'!$A:$I,8,FALSE)</f>
        <v>8.5199999999999998E-3</v>
      </c>
      <c r="H3696" s="917">
        <f>VLOOKUP($A3696,'Tech Litons'!$A:$I,9,FALSE)</f>
        <v>154</v>
      </c>
      <c r="I3696" s="917" t="str">
        <f>VLOOKUP($A3696,'Tech Litons'!$A:$C,3,0)</f>
        <v>48oz</v>
      </c>
      <c r="J3696" s="918" t="str">
        <f t="shared" si="372"/>
        <v>135248oz</v>
      </c>
      <c r="K3696" s="919">
        <v>1</v>
      </c>
      <c r="L3696" s="920">
        <f t="shared" si="373"/>
        <v>573</v>
      </c>
      <c r="M3696" s="920">
        <f t="shared" si="374"/>
        <v>4.8819600000000003</v>
      </c>
      <c r="N3696" s="920">
        <f t="shared" si="375"/>
        <v>3.720779220779221</v>
      </c>
      <c r="O3696" s="918" t="str">
        <f t="shared" si="376"/>
        <v>Feb</v>
      </c>
      <c r="P3696" s="921">
        <f t="shared" si="377"/>
        <v>9</v>
      </c>
    </row>
    <row r="3697" spans="1:16" ht="15" hidden="1" customHeight="1">
      <c r="A3697" s="839">
        <v>68881268</v>
      </c>
      <c r="B3697" s="839">
        <v>1352</v>
      </c>
      <c r="C3697" s="906">
        <v>2475</v>
      </c>
      <c r="D3697" s="907">
        <v>46095</v>
      </c>
      <c r="E3697" s="839" t="s">
        <v>327</v>
      </c>
      <c r="F3697" s="839" t="s">
        <v>266</v>
      </c>
      <c r="G3697" s="916">
        <f>VLOOKUP($A3697,'Tech Litons'!$A:$I,8,FALSE)</f>
        <v>8.5199999999999998E-3</v>
      </c>
      <c r="H3697" s="917">
        <f>VLOOKUP($A3697,'Tech Litons'!$A:$I,9,FALSE)</f>
        <v>154</v>
      </c>
      <c r="I3697" s="917" t="str">
        <f>VLOOKUP($A3697,'Tech Litons'!$A:$C,3,0)</f>
        <v>48oz</v>
      </c>
      <c r="J3697" s="918" t="str">
        <f t="shared" si="372"/>
        <v>135248oz</v>
      </c>
      <c r="K3697" s="919">
        <v>1</v>
      </c>
      <c r="L3697" s="920">
        <f t="shared" si="373"/>
        <v>2475</v>
      </c>
      <c r="M3697" s="920">
        <f t="shared" si="374"/>
        <v>21.087</v>
      </c>
      <c r="N3697" s="920">
        <f t="shared" si="375"/>
        <v>16.071428571428573</v>
      </c>
      <c r="O3697" s="918" t="str">
        <f t="shared" si="376"/>
        <v>Mar</v>
      </c>
      <c r="P3697" s="921">
        <f t="shared" si="377"/>
        <v>11</v>
      </c>
    </row>
    <row r="3698" spans="1:16" ht="15" hidden="1" customHeight="1">
      <c r="A3698" s="839">
        <v>68881268</v>
      </c>
      <c r="B3698" s="839">
        <v>1352</v>
      </c>
      <c r="C3698" s="906">
        <v>1796</v>
      </c>
      <c r="D3698" s="907">
        <v>46096</v>
      </c>
      <c r="E3698" s="839" t="s">
        <v>327</v>
      </c>
      <c r="F3698" s="839" t="s">
        <v>266</v>
      </c>
      <c r="G3698" s="916">
        <f>VLOOKUP($A3698,'Tech Litons'!$A:$I,8,FALSE)</f>
        <v>8.5199999999999998E-3</v>
      </c>
      <c r="H3698" s="917">
        <f>VLOOKUP($A3698,'Tech Litons'!$A:$I,9,FALSE)</f>
        <v>154</v>
      </c>
      <c r="I3698" s="917" t="str">
        <f>VLOOKUP($A3698,'Tech Litons'!$A:$C,3,0)</f>
        <v>48oz</v>
      </c>
      <c r="J3698" s="918" t="str">
        <f t="shared" ref="J3698:J3761" si="378">B3698&amp;I3698</f>
        <v>135248oz</v>
      </c>
      <c r="K3698" s="919">
        <v>1</v>
      </c>
      <c r="L3698" s="920">
        <f t="shared" ref="L3698:L3761" si="379">C3698*$K3698</f>
        <v>1796</v>
      </c>
      <c r="M3698" s="920">
        <f t="shared" ref="M3698:M3761" si="380">L3698*G3698</f>
        <v>15.301919999999999</v>
      </c>
      <c r="N3698" s="920">
        <f t="shared" ref="N3698:N3761" si="381">L3698/H3698</f>
        <v>11.662337662337663</v>
      </c>
      <c r="O3698" s="918" t="str">
        <f t="shared" ref="O3698:O3761" si="382">TEXT(D3698,"MMM")</f>
        <v>Mar</v>
      </c>
      <c r="P3698" s="921">
        <f t="shared" ref="P3698:P3761" si="383">WEEKNUM(D3698)</f>
        <v>12</v>
      </c>
    </row>
    <row r="3699" spans="1:16" ht="15" hidden="1" customHeight="1">
      <c r="A3699" s="839">
        <v>68881268</v>
      </c>
      <c r="B3699" s="839">
        <v>1352</v>
      </c>
      <c r="C3699" s="906">
        <v>5646</v>
      </c>
      <c r="D3699" s="907">
        <v>46085</v>
      </c>
      <c r="E3699" s="839" t="s">
        <v>327</v>
      </c>
      <c r="F3699" s="839" t="s">
        <v>266</v>
      </c>
      <c r="G3699" s="916">
        <f>VLOOKUP($A3699,'Tech Litons'!$A:$I,8,FALSE)</f>
        <v>8.5199999999999998E-3</v>
      </c>
      <c r="H3699" s="917">
        <f>VLOOKUP($A3699,'Tech Litons'!$A:$I,9,FALSE)</f>
        <v>154</v>
      </c>
      <c r="I3699" s="917" t="str">
        <f>VLOOKUP($A3699,'Tech Litons'!$A:$C,3,0)</f>
        <v>48oz</v>
      </c>
      <c r="J3699" s="918" t="str">
        <f t="shared" si="378"/>
        <v>135248oz</v>
      </c>
      <c r="K3699" s="919">
        <v>1</v>
      </c>
      <c r="L3699" s="920">
        <f t="shared" si="379"/>
        <v>5646</v>
      </c>
      <c r="M3699" s="920">
        <f t="shared" si="380"/>
        <v>48.103920000000002</v>
      </c>
      <c r="N3699" s="920">
        <f t="shared" si="381"/>
        <v>36.662337662337663</v>
      </c>
      <c r="O3699" s="918" t="str">
        <f t="shared" si="382"/>
        <v>Mar</v>
      </c>
      <c r="P3699" s="921">
        <f t="shared" si="383"/>
        <v>10</v>
      </c>
    </row>
    <row r="3700" spans="1:16" ht="15" hidden="1" customHeight="1">
      <c r="A3700" s="839">
        <v>68881268</v>
      </c>
      <c r="B3700" s="839">
        <v>1352</v>
      </c>
      <c r="C3700" s="906">
        <v>308</v>
      </c>
      <c r="D3700" s="907">
        <v>46086</v>
      </c>
      <c r="E3700" s="839" t="s">
        <v>327</v>
      </c>
      <c r="F3700" s="839" t="s">
        <v>266</v>
      </c>
      <c r="G3700" s="916">
        <f>VLOOKUP($A3700,'Tech Litons'!$A:$I,8,FALSE)</f>
        <v>8.5199999999999998E-3</v>
      </c>
      <c r="H3700" s="917">
        <f>VLOOKUP($A3700,'Tech Litons'!$A:$I,9,FALSE)</f>
        <v>154</v>
      </c>
      <c r="I3700" s="917" t="str">
        <f>VLOOKUP($A3700,'Tech Litons'!$A:$C,3,0)</f>
        <v>48oz</v>
      </c>
      <c r="J3700" s="918" t="str">
        <f t="shared" si="378"/>
        <v>135248oz</v>
      </c>
      <c r="K3700" s="919">
        <v>1</v>
      </c>
      <c r="L3700" s="920">
        <f t="shared" si="379"/>
        <v>308</v>
      </c>
      <c r="M3700" s="920">
        <f t="shared" si="380"/>
        <v>2.6241599999999998</v>
      </c>
      <c r="N3700" s="920">
        <f t="shared" si="381"/>
        <v>2</v>
      </c>
      <c r="O3700" s="918" t="str">
        <f t="shared" si="382"/>
        <v>Mar</v>
      </c>
      <c r="P3700" s="921">
        <f t="shared" si="383"/>
        <v>10</v>
      </c>
    </row>
    <row r="3701" spans="1:16" ht="15" hidden="1" customHeight="1">
      <c r="A3701" s="839">
        <v>68881270</v>
      </c>
      <c r="B3701" s="839">
        <v>1352</v>
      </c>
      <c r="C3701" s="906">
        <v>4</v>
      </c>
      <c r="D3701" s="907">
        <v>46098</v>
      </c>
      <c r="E3701" s="839" t="s">
        <v>383</v>
      </c>
      <c r="F3701" s="839" t="s">
        <v>290</v>
      </c>
      <c r="G3701" s="916">
        <f>VLOOKUP($A3701,'Tech Litons'!$A:$I,8,FALSE)</f>
        <v>8.5199999999999998E-3</v>
      </c>
      <c r="H3701" s="917">
        <f>VLOOKUP($A3701,'Tech Litons'!$A:$I,9,FALSE)</f>
        <v>176</v>
      </c>
      <c r="I3701" s="917" t="str">
        <f>VLOOKUP($A3701,'Tech Litons'!$A:$C,3,0)</f>
        <v>48oz</v>
      </c>
      <c r="J3701" s="918" t="str">
        <f t="shared" si="378"/>
        <v>135248oz</v>
      </c>
      <c r="K3701" s="919">
        <v>1</v>
      </c>
      <c r="L3701" s="920">
        <f t="shared" si="379"/>
        <v>4</v>
      </c>
      <c r="M3701" s="920">
        <f t="shared" si="380"/>
        <v>3.4079999999999999E-2</v>
      </c>
      <c r="N3701" s="920">
        <f t="shared" si="381"/>
        <v>2.2727272727272728E-2</v>
      </c>
      <c r="O3701" s="918" t="str">
        <f t="shared" si="382"/>
        <v>Mar</v>
      </c>
      <c r="P3701" s="921">
        <f t="shared" si="383"/>
        <v>12</v>
      </c>
    </row>
    <row r="3702" spans="1:16" ht="15" hidden="1" customHeight="1">
      <c r="A3702" s="839">
        <v>68881270</v>
      </c>
      <c r="B3702" s="839">
        <v>1352</v>
      </c>
      <c r="C3702" s="906">
        <v>11</v>
      </c>
      <c r="D3702" s="907">
        <v>46086</v>
      </c>
      <c r="E3702" s="839" t="s">
        <v>383</v>
      </c>
      <c r="F3702" s="839" t="s">
        <v>290</v>
      </c>
      <c r="G3702" s="916">
        <f>VLOOKUP($A3702,'Tech Litons'!$A:$I,8,FALSE)</f>
        <v>8.5199999999999998E-3</v>
      </c>
      <c r="H3702" s="917">
        <f>VLOOKUP($A3702,'Tech Litons'!$A:$I,9,FALSE)</f>
        <v>176</v>
      </c>
      <c r="I3702" s="917" t="str">
        <f>VLOOKUP($A3702,'Tech Litons'!$A:$C,3,0)</f>
        <v>48oz</v>
      </c>
      <c r="J3702" s="918" t="str">
        <f t="shared" si="378"/>
        <v>135248oz</v>
      </c>
      <c r="K3702" s="919">
        <v>1</v>
      </c>
      <c r="L3702" s="920">
        <f t="shared" si="379"/>
        <v>11</v>
      </c>
      <c r="M3702" s="920">
        <f t="shared" si="380"/>
        <v>9.3719999999999998E-2</v>
      </c>
      <c r="N3702" s="920">
        <f t="shared" si="381"/>
        <v>6.25E-2</v>
      </c>
      <c r="O3702" s="918" t="str">
        <f t="shared" si="382"/>
        <v>Mar</v>
      </c>
      <c r="P3702" s="921">
        <f t="shared" si="383"/>
        <v>10</v>
      </c>
    </row>
    <row r="3703" spans="1:16" ht="15" hidden="1" customHeight="1">
      <c r="A3703" s="839">
        <v>68881270</v>
      </c>
      <c r="B3703" s="839">
        <v>1352</v>
      </c>
      <c r="C3703" s="906">
        <v>0</v>
      </c>
      <c r="D3703" s="907">
        <v>46086</v>
      </c>
      <c r="E3703" s="839" t="s">
        <v>383</v>
      </c>
      <c r="F3703" s="839" t="s">
        <v>290</v>
      </c>
      <c r="G3703" s="916">
        <f>VLOOKUP($A3703,'Tech Litons'!$A:$I,8,FALSE)</f>
        <v>8.5199999999999998E-3</v>
      </c>
      <c r="H3703" s="917">
        <f>VLOOKUP($A3703,'Tech Litons'!$A:$I,9,FALSE)</f>
        <v>176</v>
      </c>
      <c r="I3703" s="917" t="str">
        <f>VLOOKUP($A3703,'Tech Litons'!$A:$C,3,0)</f>
        <v>48oz</v>
      </c>
      <c r="J3703" s="918" t="str">
        <f t="shared" si="378"/>
        <v>135248oz</v>
      </c>
      <c r="K3703" s="919">
        <v>1</v>
      </c>
      <c r="L3703" s="920">
        <f t="shared" si="379"/>
        <v>0</v>
      </c>
      <c r="M3703" s="920">
        <f t="shared" si="380"/>
        <v>0</v>
      </c>
      <c r="N3703" s="920">
        <f t="shared" si="381"/>
        <v>0</v>
      </c>
      <c r="O3703" s="918" t="str">
        <f t="shared" si="382"/>
        <v>Mar</v>
      </c>
      <c r="P3703" s="921">
        <f t="shared" si="383"/>
        <v>10</v>
      </c>
    </row>
    <row r="3704" spans="1:16" ht="15" hidden="1" customHeight="1">
      <c r="A3704" s="839">
        <v>68881270</v>
      </c>
      <c r="B3704" s="839">
        <v>1352</v>
      </c>
      <c r="C3704" s="906">
        <v>7200</v>
      </c>
      <c r="D3704" s="907">
        <v>46081</v>
      </c>
      <c r="E3704" s="839" t="s">
        <v>383</v>
      </c>
      <c r="F3704" s="839" t="s">
        <v>290</v>
      </c>
      <c r="G3704" s="916">
        <f>VLOOKUP($A3704,'Tech Litons'!$A:$I,8,FALSE)</f>
        <v>8.5199999999999998E-3</v>
      </c>
      <c r="H3704" s="917">
        <f>VLOOKUP($A3704,'Tech Litons'!$A:$I,9,FALSE)</f>
        <v>176</v>
      </c>
      <c r="I3704" s="917" t="str">
        <f>VLOOKUP($A3704,'Tech Litons'!$A:$C,3,0)</f>
        <v>48oz</v>
      </c>
      <c r="J3704" s="918" t="str">
        <f t="shared" si="378"/>
        <v>135248oz</v>
      </c>
      <c r="K3704" s="919">
        <v>1</v>
      </c>
      <c r="L3704" s="920">
        <f t="shared" si="379"/>
        <v>7200</v>
      </c>
      <c r="M3704" s="920">
        <f t="shared" si="380"/>
        <v>61.344000000000001</v>
      </c>
      <c r="N3704" s="920">
        <f t="shared" si="381"/>
        <v>40.909090909090907</v>
      </c>
      <c r="O3704" s="918" t="str">
        <f t="shared" si="382"/>
        <v>Feb</v>
      </c>
      <c r="P3704" s="921">
        <f t="shared" si="383"/>
        <v>9</v>
      </c>
    </row>
    <row r="3705" spans="1:16" ht="15" hidden="1" customHeight="1">
      <c r="A3705" s="839">
        <v>68881270</v>
      </c>
      <c r="B3705" s="839">
        <v>1352</v>
      </c>
      <c r="C3705" s="906">
        <v>5232</v>
      </c>
      <c r="D3705" s="907">
        <v>46082</v>
      </c>
      <c r="E3705" s="839" t="s">
        <v>383</v>
      </c>
      <c r="F3705" s="839" t="s">
        <v>290</v>
      </c>
      <c r="G3705" s="916">
        <f>VLOOKUP($A3705,'Tech Litons'!$A:$I,8,FALSE)</f>
        <v>8.5199999999999998E-3</v>
      </c>
      <c r="H3705" s="917">
        <f>VLOOKUP($A3705,'Tech Litons'!$A:$I,9,FALSE)</f>
        <v>176</v>
      </c>
      <c r="I3705" s="917" t="str">
        <f>VLOOKUP($A3705,'Tech Litons'!$A:$C,3,0)</f>
        <v>48oz</v>
      </c>
      <c r="J3705" s="918" t="str">
        <f t="shared" si="378"/>
        <v>135248oz</v>
      </c>
      <c r="K3705" s="919">
        <v>1</v>
      </c>
      <c r="L3705" s="920">
        <f t="shared" si="379"/>
        <v>5232</v>
      </c>
      <c r="M3705" s="920">
        <f t="shared" si="380"/>
        <v>44.576639999999998</v>
      </c>
      <c r="N3705" s="920">
        <f t="shared" si="381"/>
        <v>29.727272727272727</v>
      </c>
      <c r="O3705" s="918" t="str">
        <f t="shared" si="382"/>
        <v>Mar</v>
      </c>
      <c r="P3705" s="921">
        <f t="shared" si="383"/>
        <v>10</v>
      </c>
    </row>
    <row r="3706" spans="1:16" ht="15" hidden="1" customHeight="1">
      <c r="A3706" s="839">
        <v>68881270</v>
      </c>
      <c r="B3706" s="839">
        <v>1352</v>
      </c>
      <c r="C3706" s="906">
        <v>176</v>
      </c>
      <c r="D3706" s="907">
        <v>46093</v>
      </c>
      <c r="E3706" s="839" t="s">
        <v>383</v>
      </c>
      <c r="F3706" s="839" t="s">
        <v>290</v>
      </c>
      <c r="G3706" s="916">
        <f>VLOOKUP($A3706,'Tech Litons'!$A:$I,8,FALSE)</f>
        <v>8.5199999999999998E-3</v>
      </c>
      <c r="H3706" s="917">
        <f>VLOOKUP($A3706,'Tech Litons'!$A:$I,9,FALSE)</f>
        <v>176</v>
      </c>
      <c r="I3706" s="917" t="str">
        <f>VLOOKUP($A3706,'Tech Litons'!$A:$C,3,0)</f>
        <v>48oz</v>
      </c>
      <c r="J3706" s="918" t="str">
        <f t="shared" si="378"/>
        <v>135248oz</v>
      </c>
      <c r="K3706" s="919">
        <v>1</v>
      </c>
      <c r="L3706" s="920">
        <f t="shared" si="379"/>
        <v>176</v>
      </c>
      <c r="M3706" s="920">
        <f t="shared" si="380"/>
        <v>1.49952</v>
      </c>
      <c r="N3706" s="920">
        <f t="shared" si="381"/>
        <v>1</v>
      </c>
      <c r="O3706" s="918" t="str">
        <f t="shared" si="382"/>
        <v>Mar</v>
      </c>
      <c r="P3706" s="921">
        <f t="shared" si="383"/>
        <v>11</v>
      </c>
    </row>
    <row r="3707" spans="1:16" ht="15" hidden="1" customHeight="1">
      <c r="A3707" s="839">
        <v>68881270</v>
      </c>
      <c r="B3707" s="839">
        <v>1352</v>
      </c>
      <c r="C3707" s="906">
        <v>2622</v>
      </c>
      <c r="D3707" s="907">
        <v>46082</v>
      </c>
      <c r="E3707" s="839" t="s">
        <v>383</v>
      </c>
      <c r="F3707" s="839" t="s">
        <v>290</v>
      </c>
      <c r="G3707" s="916">
        <f>VLOOKUP($A3707,'Tech Litons'!$A:$I,8,FALSE)</f>
        <v>8.5199999999999998E-3</v>
      </c>
      <c r="H3707" s="917">
        <f>VLOOKUP($A3707,'Tech Litons'!$A:$I,9,FALSE)</f>
        <v>176</v>
      </c>
      <c r="I3707" s="917" t="str">
        <f>VLOOKUP($A3707,'Tech Litons'!$A:$C,3,0)</f>
        <v>48oz</v>
      </c>
      <c r="J3707" s="918" t="str">
        <f t="shared" si="378"/>
        <v>135248oz</v>
      </c>
      <c r="K3707" s="919">
        <v>1</v>
      </c>
      <c r="L3707" s="920">
        <f t="shared" si="379"/>
        <v>2622</v>
      </c>
      <c r="M3707" s="920">
        <f t="shared" si="380"/>
        <v>22.33944</v>
      </c>
      <c r="N3707" s="920">
        <f t="shared" si="381"/>
        <v>14.897727272727273</v>
      </c>
      <c r="O3707" s="918" t="str">
        <f t="shared" si="382"/>
        <v>Mar</v>
      </c>
      <c r="P3707" s="921">
        <f t="shared" si="383"/>
        <v>10</v>
      </c>
    </row>
    <row r="3708" spans="1:16" ht="15" hidden="1" customHeight="1">
      <c r="A3708" s="839">
        <v>68881270</v>
      </c>
      <c r="B3708" s="839">
        <v>1352</v>
      </c>
      <c r="C3708" s="906">
        <v>7082</v>
      </c>
      <c r="D3708" s="907">
        <v>46083</v>
      </c>
      <c r="E3708" s="839" t="s">
        <v>383</v>
      </c>
      <c r="F3708" s="839" t="s">
        <v>290</v>
      </c>
      <c r="G3708" s="916">
        <f>VLOOKUP($A3708,'Tech Litons'!$A:$I,8,FALSE)</f>
        <v>8.5199999999999998E-3</v>
      </c>
      <c r="H3708" s="917">
        <f>VLOOKUP($A3708,'Tech Litons'!$A:$I,9,FALSE)</f>
        <v>176</v>
      </c>
      <c r="I3708" s="917" t="str">
        <f>VLOOKUP($A3708,'Tech Litons'!$A:$C,3,0)</f>
        <v>48oz</v>
      </c>
      <c r="J3708" s="918" t="str">
        <f t="shared" si="378"/>
        <v>135248oz</v>
      </c>
      <c r="K3708" s="919">
        <v>1</v>
      </c>
      <c r="L3708" s="920">
        <f t="shared" si="379"/>
        <v>7082</v>
      </c>
      <c r="M3708" s="920">
        <f t="shared" si="380"/>
        <v>60.338639999999998</v>
      </c>
      <c r="N3708" s="920">
        <f t="shared" si="381"/>
        <v>40.238636363636367</v>
      </c>
      <c r="O3708" s="918" t="str">
        <f t="shared" si="382"/>
        <v>Mar</v>
      </c>
      <c r="P3708" s="921">
        <f t="shared" si="383"/>
        <v>10</v>
      </c>
    </row>
    <row r="3709" spans="1:16" ht="15" hidden="1" customHeight="1">
      <c r="A3709" s="839">
        <v>68881270</v>
      </c>
      <c r="B3709" s="839">
        <v>1352</v>
      </c>
      <c r="C3709" s="906">
        <v>4917</v>
      </c>
      <c r="D3709" s="907">
        <v>46083</v>
      </c>
      <c r="E3709" s="839" t="s">
        <v>383</v>
      </c>
      <c r="F3709" s="839" t="s">
        <v>290</v>
      </c>
      <c r="G3709" s="916">
        <f>VLOOKUP($A3709,'Tech Litons'!$A:$I,8,FALSE)</f>
        <v>8.5199999999999998E-3</v>
      </c>
      <c r="H3709" s="917">
        <f>VLOOKUP($A3709,'Tech Litons'!$A:$I,9,FALSE)</f>
        <v>176</v>
      </c>
      <c r="I3709" s="917" t="str">
        <f>VLOOKUP($A3709,'Tech Litons'!$A:$C,3,0)</f>
        <v>48oz</v>
      </c>
      <c r="J3709" s="918" t="str">
        <f t="shared" si="378"/>
        <v>135248oz</v>
      </c>
      <c r="K3709" s="919">
        <v>1</v>
      </c>
      <c r="L3709" s="920">
        <f t="shared" si="379"/>
        <v>4917</v>
      </c>
      <c r="M3709" s="920">
        <f t="shared" si="380"/>
        <v>41.89284</v>
      </c>
      <c r="N3709" s="920">
        <f t="shared" si="381"/>
        <v>27.9375</v>
      </c>
      <c r="O3709" s="918" t="str">
        <f t="shared" si="382"/>
        <v>Mar</v>
      </c>
      <c r="P3709" s="921">
        <f t="shared" si="383"/>
        <v>10</v>
      </c>
    </row>
    <row r="3710" spans="1:16" ht="15" hidden="1" customHeight="1">
      <c r="A3710" s="839">
        <v>68881270</v>
      </c>
      <c r="B3710" s="839">
        <v>1352</v>
      </c>
      <c r="C3710" s="906">
        <v>9113</v>
      </c>
      <c r="D3710" s="907">
        <v>46084</v>
      </c>
      <c r="E3710" s="839" t="s">
        <v>383</v>
      </c>
      <c r="F3710" s="839" t="s">
        <v>290</v>
      </c>
      <c r="G3710" s="916">
        <f>VLOOKUP($A3710,'Tech Litons'!$A:$I,8,FALSE)</f>
        <v>8.5199999999999998E-3</v>
      </c>
      <c r="H3710" s="917">
        <f>VLOOKUP($A3710,'Tech Litons'!$A:$I,9,FALSE)</f>
        <v>176</v>
      </c>
      <c r="I3710" s="917" t="str">
        <f>VLOOKUP($A3710,'Tech Litons'!$A:$C,3,0)</f>
        <v>48oz</v>
      </c>
      <c r="J3710" s="918" t="str">
        <f t="shared" si="378"/>
        <v>135248oz</v>
      </c>
      <c r="K3710" s="919">
        <v>1</v>
      </c>
      <c r="L3710" s="920">
        <f t="shared" si="379"/>
        <v>9113</v>
      </c>
      <c r="M3710" s="920">
        <f t="shared" si="380"/>
        <v>77.642759999999996</v>
      </c>
      <c r="N3710" s="920">
        <f t="shared" si="381"/>
        <v>51.778409090909093</v>
      </c>
      <c r="O3710" s="918" t="str">
        <f t="shared" si="382"/>
        <v>Mar</v>
      </c>
      <c r="P3710" s="921">
        <f t="shared" si="383"/>
        <v>10</v>
      </c>
    </row>
    <row r="3711" spans="1:16" ht="15" hidden="1" customHeight="1">
      <c r="A3711" s="839">
        <v>68881270</v>
      </c>
      <c r="B3711" s="839">
        <v>1352</v>
      </c>
      <c r="C3711" s="906">
        <v>11</v>
      </c>
      <c r="D3711" s="907">
        <v>46093</v>
      </c>
      <c r="E3711" s="839" t="s">
        <v>383</v>
      </c>
      <c r="F3711" s="839" t="s">
        <v>290</v>
      </c>
      <c r="G3711" s="916">
        <f>VLOOKUP($A3711,'Tech Litons'!$A:$I,8,FALSE)</f>
        <v>8.5199999999999998E-3</v>
      </c>
      <c r="H3711" s="917">
        <f>VLOOKUP($A3711,'Tech Litons'!$A:$I,9,FALSE)</f>
        <v>176</v>
      </c>
      <c r="I3711" s="917" t="str">
        <f>VLOOKUP($A3711,'Tech Litons'!$A:$C,3,0)</f>
        <v>48oz</v>
      </c>
      <c r="J3711" s="918" t="str">
        <f t="shared" si="378"/>
        <v>135248oz</v>
      </c>
      <c r="K3711" s="919">
        <v>1</v>
      </c>
      <c r="L3711" s="920">
        <f t="shared" si="379"/>
        <v>11</v>
      </c>
      <c r="M3711" s="920">
        <f t="shared" si="380"/>
        <v>9.3719999999999998E-2</v>
      </c>
      <c r="N3711" s="920">
        <f t="shared" si="381"/>
        <v>6.25E-2</v>
      </c>
      <c r="O3711" s="918" t="str">
        <f t="shared" si="382"/>
        <v>Mar</v>
      </c>
      <c r="P3711" s="921">
        <f t="shared" si="383"/>
        <v>11</v>
      </c>
    </row>
    <row r="3712" spans="1:16" ht="15" hidden="1" customHeight="1">
      <c r="A3712" s="839">
        <v>68881270</v>
      </c>
      <c r="B3712" s="839">
        <v>1352</v>
      </c>
      <c r="C3712" s="906">
        <v>5218</v>
      </c>
      <c r="D3712" s="907">
        <v>46084</v>
      </c>
      <c r="E3712" s="839" t="s">
        <v>383</v>
      </c>
      <c r="F3712" s="839" t="s">
        <v>290</v>
      </c>
      <c r="G3712" s="916">
        <f>VLOOKUP($A3712,'Tech Litons'!$A:$I,8,FALSE)</f>
        <v>8.5199999999999998E-3</v>
      </c>
      <c r="H3712" s="917">
        <f>VLOOKUP($A3712,'Tech Litons'!$A:$I,9,FALSE)</f>
        <v>176</v>
      </c>
      <c r="I3712" s="917" t="str">
        <f>VLOOKUP($A3712,'Tech Litons'!$A:$C,3,0)</f>
        <v>48oz</v>
      </c>
      <c r="J3712" s="918" t="str">
        <f t="shared" si="378"/>
        <v>135248oz</v>
      </c>
      <c r="K3712" s="919">
        <v>1</v>
      </c>
      <c r="L3712" s="920">
        <f t="shared" si="379"/>
        <v>5218</v>
      </c>
      <c r="M3712" s="920">
        <f t="shared" si="380"/>
        <v>44.457360000000001</v>
      </c>
      <c r="N3712" s="920">
        <f t="shared" si="381"/>
        <v>29.647727272727273</v>
      </c>
      <c r="O3712" s="918" t="str">
        <f t="shared" si="382"/>
        <v>Mar</v>
      </c>
      <c r="P3712" s="921">
        <f t="shared" si="383"/>
        <v>10</v>
      </c>
    </row>
    <row r="3713" spans="1:16" ht="15" hidden="1" customHeight="1">
      <c r="A3713" s="839">
        <v>68881270</v>
      </c>
      <c r="B3713" s="839">
        <v>1352</v>
      </c>
      <c r="C3713" s="906">
        <v>714</v>
      </c>
      <c r="D3713" s="907">
        <v>46085</v>
      </c>
      <c r="E3713" s="839" t="s">
        <v>383</v>
      </c>
      <c r="F3713" s="839" t="s">
        <v>290</v>
      </c>
      <c r="G3713" s="916">
        <f>VLOOKUP($A3713,'Tech Litons'!$A:$I,8,FALSE)</f>
        <v>8.5199999999999998E-3</v>
      </c>
      <c r="H3713" s="917">
        <f>VLOOKUP($A3713,'Tech Litons'!$A:$I,9,FALSE)</f>
        <v>176</v>
      </c>
      <c r="I3713" s="917" t="str">
        <f>VLOOKUP($A3713,'Tech Litons'!$A:$C,3,0)</f>
        <v>48oz</v>
      </c>
      <c r="J3713" s="918" t="str">
        <f t="shared" si="378"/>
        <v>135248oz</v>
      </c>
      <c r="K3713" s="919">
        <v>1</v>
      </c>
      <c r="L3713" s="920">
        <f t="shared" si="379"/>
        <v>714</v>
      </c>
      <c r="M3713" s="920">
        <f t="shared" si="380"/>
        <v>6.0832800000000002</v>
      </c>
      <c r="N3713" s="920">
        <f t="shared" si="381"/>
        <v>4.0568181818181817</v>
      </c>
      <c r="O3713" s="918" t="str">
        <f t="shared" si="382"/>
        <v>Mar</v>
      </c>
      <c r="P3713" s="921">
        <f t="shared" si="383"/>
        <v>10</v>
      </c>
    </row>
    <row r="3714" spans="1:16" ht="15" hidden="1" customHeight="1">
      <c r="A3714" s="839">
        <v>68881270</v>
      </c>
      <c r="B3714" s="839">
        <v>1352</v>
      </c>
      <c r="C3714" s="906">
        <v>7649</v>
      </c>
      <c r="D3714" s="907">
        <v>46081</v>
      </c>
      <c r="E3714" s="839" t="s">
        <v>383</v>
      </c>
      <c r="F3714" s="839" t="s">
        <v>290</v>
      </c>
      <c r="G3714" s="916">
        <f>VLOOKUP($A3714,'Tech Litons'!$A:$I,8,FALSE)</f>
        <v>8.5199999999999998E-3</v>
      </c>
      <c r="H3714" s="917">
        <f>VLOOKUP($A3714,'Tech Litons'!$A:$I,9,FALSE)</f>
        <v>176</v>
      </c>
      <c r="I3714" s="917" t="str">
        <f>VLOOKUP($A3714,'Tech Litons'!$A:$C,3,0)</f>
        <v>48oz</v>
      </c>
      <c r="J3714" s="918" t="str">
        <f t="shared" si="378"/>
        <v>135248oz</v>
      </c>
      <c r="K3714" s="919">
        <v>1</v>
      </c>
      <c r="L3714" s="920">
        <f t="shared" si="379"/>
        <v>7649</v>
      </c>
      <c r="M3714" s="920">
        <f t="shared" si="380"/>
        <v>65.169479999999993</v>
      </c>
      <c r="N3714" s="920">
        <f t="shared" si="381"/>
        <v>43.460227272727273</v>
      </c>
      <c r="O3714" s="918" t="str">
        <f t="shared" si="382"/>
        <v>Feb</v>
      </c>
      <c r="P3714" s="921">
        <f t="shared" si="383"/>
        <v>9</v>
      </c>
    </row>
    <row r="3715" spans="1:16" ht="15" hidden="1" customHeight="1">
      <c r="A3715" s="839">
        <v>68881270</v>
      </c>
      <c r="B3715" s="839">
        <v>1352</v>
      </c>
      <c r="C3715" s="906">
        <v>176</v>
      </c>
      <c r="D3715" s="907">
        <v>46086</v>
      </c>
      <c r="E3715" s="839" t="s">
        <v>383</v>
      </c>
      <c r="F3715" s="839" t="s">
        <v>290</v>
      </c>
      <c r="G3715" s="916">
        <f>VLOOKUP($A3715,'Tech Litons'!$A:$I,8,FALSE)</f>
        <v>8.5199999999999998E-3</v>
      </c>
      <c r="H3715" s="917">
        <f>VLOOKUP($A3715,'Tech Litons'!$A:$I,9,FALSE)</f>
        <v>176</v>
      </c>
      <c r="I3715" s="917" t="str">
        <f>VLOOKUP($A3715,'Tech Litons'!$A:$C,3,0)</f>
        <v>48oz</v>
      </c>
      <c r="J3715" s="918" t="str">
        <f t="shared" si="378"/>
        <v>135248oz</v>
      </c>
      <c r="K3715" s="919">
        <v>1</v>
      </c>
      <c r="L3715" s="920">
        <f t="shared" si="379"/>
        <v>176</v>
      </c>
      <c r="M3715" s="920">
        <f t="shared" si="380"/>
        <v>1.49952</v>
      </c>
      <c r="N3715" s="920">
        <f t="shared" si="381"/>
        <v>1</v>
      </c>
      <c r="O3715" s="918" t="str">
        <f t="shared" si="382"/>
        <v>Mar</v>
      </c>
      <c r="P3715" s="921">
        <f t="shared" si="383"/>
        <v>10</v>
      </c>
    </row>
    <row r="3716" spans="1:16" ht="15" hidden="1" customHeight="1">
      <c r="A3716" s="839">
        <v>68881270</v>
      </c>
      <c r="B3716" s="839">
        <v>1352</v>
      </c>
      <c r="C3716" s="906">
        <v>8997</v>
      </c>
      <c r="D3716" s="907">
        <v>46096</v>
      </c>
      <c r="E3716" s="839" t="s">
        <v>383</v>
      </c>
      <c r="F3716" s="839" t="s">
        <v>266</v>
      </c>
      <c r="G3716" s="916">
        <f>VLOOKUP($A3716,'Tech Litons'!$A:$I,8,FALSE)</f>
        <v>8.5199999999999998E-3</v>
      </c>
      <c r="H3716" s="917">
        <f>VLOOKUP($A3716,'Tech Litons'!$A:$I,9,FALSE)</f>
        <v>176</v>
      </c>
      <c r="I3716" s="917" t="str">
        <f>VLOOKUP($A3716,'Tech Litons'!$A:$C,3,0)</f>
        <v>48oz</v>
      </c>
      <c r="J3716" s="918" t="str">
        <f t="shared" si="378"/>
        <v>135248oz</v>
      </c>
      <c r="K3716" s="919">
        <v>1</v>
      </c>
      <c r="L3716" s="920">
        <f t="shared" si="379"/>
        <v>8997</v>
      </c>
      <c r="M3716" s="920">
        <f t="shared" si="380"/>
        <v>76.654439999999994</v>
      </c>
      <c r="N3716" s="920">
        <f t="shared" si="381"/>
        <v>51.11931818181818</v>
      </c>
      <c r="O3716" s="918" t="str">
        <f t="shared" si="382"/>
        <v>Mar</v>
      </c>
      <c r="P3716" s="921">
        <f t="shared" si="383"/>
        <v>12</v>
      </c>
    </row>
    <row r="3717" spans="1:16" ht="15" hidden="1" customHeight="1">
      <c r="A3717" s="839">
        <v>68881270</v>
      </c>
      <c r="B3717" s="839">
        <v>1352</v>
      </c>
      <c r="C3717" s="906">
        <v>5280</v>
      </c>
      <c r="D3717" s="907">
        <v>46097</v>
      </c>
      <c r="E3717" s="839" t="s">
        <v>383</v>
      </c>
      <c r="F3717" s="839" t="s">
        <v>266</v>
      </c>
      <c r="G3717" s="916">
        <f>VLOOKUP($A3717,'Tech Litons'!$A:$I,8,FALSE)</f>
        <v>8.5199999999999998E-3</v>
      </c>
      <c r="H3717" s="917">
        <f>VLOOKUP($A3717,'Tech Litons'!$A:$I,9,FALSE)</f>
        <v>176</v>
      </c>
      <c r="I3717" s="917" t="str">
        <f>VLOOKUP($A3717,'Tech Litons'!$A:$C,3,0)</f>
        <v>48oz</v>
      </c>
      <c r="J3717" s="918" t="str">
        <f t="shared" si="378"/>
        <v>135248oz</v>
      </c>
      <c r="K3717" s="919">
        <v>1</v>
      </c>
      <c r="L3717" s="920">
        <f t="shared" si="379"/>
        <v>5280</v>
      </c>
      <c r="M3717" s="920">
        <f t="shared" si="380"/>
        <v>44.985599999999998</v>
      </c>
      <c r="N3717" s="920">
        <f t="shared" si="381"/>
        <v>30</v>
      </c>
      <c r="O3717" s="918" t="str">
        <f t="shared" si="382"/>
        <v>Mar</v>
      </c>
      <c r="P3717" s="921">
        <f t="shared" si="383"/>
        <v>12</v>
      </c>
    </row>
    <row r="3718" spans="1:16" ht="15" hidden="1" customHeight="1">
      <c r="A3718" s="839">
        <v>68881270</v>
      </c>
      <c r="B3718" s="839">
        <v>1352</v>
      </c>
      <c r="C3718" s="906">
        <v>5577</v>
      </c>
      <c r="D3718" s="907">
        <v>46098</v>
      </c>
      <c r="E3718" s="839" t="s">
        <v>383</v>
      </c>
      <c r="F3718" s="839" t="s">
        <v>266</v>
      </c>
      <c r="G3718" s="916">
        <f>VLOOKUP($A3718,'Tech Litons'!$A:$I,8,FALSE)</f>
        <v>8.5199999999999998E-3</v>
      </c>
      <c r="H3718" s="917">
        <f>VLOOKUP($A3718,'Tech Litons'!$A:$I,9,FALSE)</f>
        <v>176</v>
      </c>
      <c r="I3718" s="917" t="str">
        <f>VLOOKUP($A3718,'Tech Litons'!$A:$C,3,0)</f>
        <v>48oz</v>
      </c>
      <c r="J3718" s="918" t="str">
        <f t="shared" si="378"/>
        <v>135248oz</v>
      </c>
      <c r="K3718" s="919">
        <v>1</v>
      </c>
      <c r="L3718" s="920">
        <f t="shared" si="379"/>
        <v>5577</v>
      </c>
      <c r="M3718" s="920">
        <f t="shared" si="380"/>
        <v>47.516039999999997</v>
      </c>
      <c r="N3718" s="920">
        <f t="shared" si="381"/>
        <v>31.6875</v>
      </c>
      <c r="O3718" s="918" t="str">
        <f t="shared" si="382"/>
        <v>Mar</v>
      </c>
      <c r="P3718" s="921">
        <f t="shared" si="383"/>
        <v>12</v>
      </c>
    </row>
    <row r="3719" spans="1:16" ht="15" hidden="1" customHeight="1">
      <c r="A3719" s="839">
        <v>68881270</v>
      </c>
      <c r="B3719" s="839">
        <v>1352</v>
      </c>
      <c r="C3719" s="906">
        <v>4928</v>
      </c>
      <c r="D3719" s="907">
        <v>46099</v>
      </c>
      <c r="E3719" s="839" t="s">
        <v>383</v>
      </c>
      <c r="F3719" s="839" t="s">
        <v>266</v>
      </c>
      <c r="G3719" s="916">
        <f>VLOOKUP($A3719,'Tech Litons'!$A:$I,8,FALSE)</f>
        <v>8.5199999999999998E-3</v>
      </c>
      <c r="H3719" s="917">
        <f>VLOOKUP($A3719,'Tech Litons'!$A:$I,9,FALSE)</f>
        <v>176</v>
      </c>
      <c r="I3719" s="917" t="str">
        <f>VLOOKUP($A3719,'Tech Litons'!$A:$C,3,0)</f>
        <v>48oz</v>
      </c>
      <c r="J3719" s="918" t="str">
        <f t="shared" si="378"/>
        <v>135248oz</v>
      </c>
      <c r="K3719" s="919">
        <v>1</v>
      </c>
      <c r="L3719" s="920">
        <f t="shared" si="379"/>
        <v>4928</v>
      </c>
      <c r="M3719" s="920">
        <f t="shared" si="380"/>
        <v>41.986559999999997</v>
      </c>
      <c r="N3719" s="920">
        <f t="shared" si="381"/>
        <v>28</v>
      </c>
      <c r="O3719" s="918" t="str">
        <f t="shared" si="382"/>
        <v>Mar</v>
      </c>
      <c r="P3719" s="921">
        <f t="shared" si="383"/>
        <v>12</v>
      </c>
    </row>
    <row r="3720" spans="1:16" ht="15" hidden="1" customHeight="1">
      <c r="A3720" s="839">
        <v>68881270</v>
      </c>
      <c r="B3720" s="839">
        <v>1352</v>
      </c>
      <c r="C3720" s="906">
        <v>7637</v>
      </c>
      <c r="D3720" s="907">
        <v>46100</v>
      </c>
      <c r="E3720" s="839" t="s">
        <v>383</v>
      </c>
      <c r="F3720" s="839" t="s">
        <v>266</v>
      </c>
      <c r="G3720" s="916">
        <f>VLOOKUP($A3720,'Tech Litons'!$A:$I,8,FALSE)</f>
        <v>8.5199999999999998E-3</v>
      </c>
      <c r="H3720" s="917">
        <f>VLOOKUP($A3720,'Tech Litons'!$A:$I,9,FALSE)</f>
        <v>176</v>
      </c>
      <c r="I3720" s="917" t="str">
        <f>VLOOKUP($A3720,'Tech Litons'!$A:$C,3,0)</f>
        <v>48oz</v>
      </c>
      <c r="J3720" s="918" t="str">
        <f t="shared" si="378"/>
        <v>135248oz</v>
      </c>
      <c r="K3720" s="919">
        <v>1</v>
      </c>
      <c r="L3720" s="920">
        <f t="shared" si="379"/>
        <v>7637</v>
      </c>
      <c r="M3720" s="920">
        <f t="shared" si="380"/>
        <v>65.067239999999998</v>
      </c>
      <c r="N3720" s="920">
        <f t="shared" si="381"/>
        <v>43.392045454545453</v>
      </c>
      <c r="O3720" s="918" t="str">
        <f t="shared" si="382"/>
        <v>Mar</v>
      </c>
      <c r="P3720" s="921">
        <f t="shared" si="383"/>
        <v>12</v>
      </c>
    </row>
    <row r="3721" spans="1:16" ht="15" hidden="1" customHeight="1">
      <c r="A3721" s="839">
        <v>68881270</v>
      </c>
      <c r="B3721" s="839">
        <v>1352</v>
      </c>
      <c r="C3721" s="906">
        <v>176</v>
      </c>
      <c r="D3721" s="907">
        <v>46101</v>
      </c>
      <c r="E3721" s="839" t="s">
        <v>383</v>
      </c>
      <c r="F3721" s="839" t="s">
        <v>266</v>
      </c>
      <c r="G3721" s="916">
        <f>VLOOKUP($A3721,'Tech Litons'!$A:$I,8,FALSE)</f>
        <v>8.5199999999999998E-3</v>
      </c>
      <c r="H3721" s="917">
        <f>VLOOKUP($A3721,'Tech Litons'!$A:$I,9,FALSE)</f>
        <v>176</v>
      </c>
      <c r="I3721" s="917" t="str">
        <f>VLOOKUP($A3721,'Tech Litons'!$A:$C,3,0)</f>
        <v>48oz</v>
      </c>
      <c r="J3721" s="918" t="str">
        <f t="shared" si="378"/>
        <v>135248oz</v>
      </c>
      <c r="K3721" s="919">
        <v>1</v>
      </c>
      <c r="L3721" s="920">
        <f t="shared" si="379"/>
        <v>176</v>
      </c>
      <c r="M3721" s="920">
        <f t="shared" si="380"/>
        <v>1.49952</v>
      </c>
      <c r="N3721" s="920">
        <f t="shared" si="381"/>
        <v>1</v>
      </c>
      <c r="O3721" s="918" t="str">
        <f t="shared" si="382"/>
        <v>Mar</v>
      </c>
      <c r="P3721" s="921">
        <f t="shared" si="383"/>
        <v>12</v>
      </c>
    </row>
    <row r="3722" spans="1:16" ht="15" hidden="1" customHeight="1">
      <c r="A3722" s="839">
        <v>68881270</v>
      </c>
      <c r="B3722" s="839">
        <v>1352</v>
      </c>
      <c r="C3722" s="906">
        <v>4917</v>
      </c>
      <c r="D3722" s="907">
        <v>46098</v>
      </c>
      <c r="E3722" s="839" t="s">
        <v>383</v>
      </c>
      <c r="F3722" s="839" t="s">
        <v>266</v>
      </c>
      <c r="G3722" s="916">
        <f>VLOOKUP($A3722,'Tech Litons'!$A:$I,8,FALSE)</f>
        <v>8.5199999999999998E-3</v>
      </c>
      <c r="H3722" s="917">
        <f>VLOOKUP($A3722,'Tech Litons'!$A:$I,9,FALSE)</f>
        <v>176</v>
      </c>
      <c r="I3722" s="917" t="str">
        <f>VLOOKUP($A3722,'Tech Litons'!$A:$C,3,0)</f>
        <v>48oz</v>
      </c>
      <c r="J3722" s="918" t="str">
        <f t="shared" si="378"/>
        <v>135248oz</v>
      </c>
      <c r="K3722" s="919">
        <v>1</v>
      </c>
      <c r="L3722" s="920">
        <f t="shared" si="379"/>
        <v>4917</v>
      </c>
      <c r="M3722" s="920">
        <f t="shared" si="380"/>
        <v>41.89284</v>
      </c>
      <c r="N3722" s="920">
        <f t="shared" si="381"/>
        <v>27.9375</v>
      </c>
      <c r="O3722" s="918" t="str">
        <f t="shared" si="382"/>
        <v>Mar</v>
      </c>
      <c r="P3722" s="921">
        <f t="shared" si="383"/>
        <v>12</v>
      </c>
    </row>
    <row r="3723" spans="1:16" ht="15" hidden="1" customHeight="1">
      <c r="A3723" s="839">
        <v>68881270</v>
      </c>
      <c r="B3723" s="839">
        <v>1352</v>
      </c>
      <c r="C3723" s="906">
        <v>5962</v>
      </c>
      <c r="D3723" s="907">
        <v>46099</v>
      </c>
      <c r="E3723" s="839" t="s">
        <v>383</v>
      </c>
      <c r="F3723" s="839" t="s">
        <v>266</v>
      </c>
      <c r="G3723" s="916">
        <f>VLOOKUP($A3723,'Tech Litons'!$A:$I,8,FALSE)</f>
        <v>8.5199999999999998E-3</v>
      </c>
      <c r="H3723" s="917">
        <f>VLOOKUP($A3723,'Tech Litons'!$A:$I,9,FALSE)</f>
        <v>176</v>
      </c>
      <c r="I3723" s="917" t="str">
        <f>VLOOKUP($A3723,'Tech Litons'!$A:$C,3,0)</f>
        <v>48oz</v>
      </c>
      <c r="J3723" s="918" t="str">
        <f t="shared" si="378"/>
        <v>135248oz</v>
      </c>
      <c r="K3723" s="919">
        <v>1</v>
      </c>
      <c r="L3723" s="920">
        <f t="shared" si="379"/>
        <v>5962</v>
      </c>
      <c r="M3723" s="920">
        <f t="shared" si="380"/>
        <v>50.796239999999997</v>
      </c>
      <c r="N3723" s="920">
        <f t="shared" si="381"/>
        <v>33.875</v>
      </c>
      <c r="O3723" s="918" t="str">
        <f t="shared" si="382"/>
        <v>Mar</v>
      </c>
      <c r="P3723" s="921">
        <f t="shared" si="383"/>
        <v>12</v>
      </c>
    </row>
    <row r="3724" spans="1:16" ht="15" hidden="1" customHeight="1">
      <c r="A3724" s="839">
        <v>68881270</v>
      </c>
      <c r="B3724" s="839">
        <v>1352</v>
      </c>
      <c r="C3724" s="906">
        <v>3377</v>
      </c>
      <c r="D3724" s="907">
        <v>46100</v>
      </c>
      <c r="E3724" s="839" t="s">
        <v>383</v>
      </c>
      <c r="F3724" s="839" t="s">
        <v>266</v>
      </c>
      <c r="G3724" s="916">
        <f>VLOOKUP($A3724,'Tech Litons'!$A:$I,8,FALSE)</f>
        <v>8.5199999999999998E-3</v>
      </c>
      <c r="H3724" s="917">
        <f>VLOOKUP($A3724,'Tech Litons'!$A:$I,9,FALSE)</f>
        <v>176</v>
      </c>
      <c r="I3724" s="917" t="str">
        <f>VLOOKUP($A3724,'Tech Litons'!$A:$C,3,0)</f>
        <v>48oz</v>
      </c>
      <c r="J3724" s="918" t="str">
        <f t="shared" si="378"/>
        <v>135248oz</v>
      </c>
      <c r="K3724" s="919">
        <v>1</v>
      </c>
      <c r="L3724" s="920">
        <f t="shared" si="379"/>
        <v>3377</v>
      </c>
      <c r="M3724" s="920">
        <f t="shared" si="380"/>
        <v>28.772040000000001</v>
      </c>
      <c r="N3724" s="920">
        <f t="shared" si="381"/>
        <v>19.1875</v>
      </c>
      <c r="O3724" s="918" t="str">
        <f t="shared" si="382"/>
        <v>Mar</v>
      </c>
      <c r="P3724" s="921">
        <f t="shared" si="383"/>
        <v>12</v>
      </c>
    </row>
    <row r="3725" spans="1:16" ht="15" hidden="1" customHeight="1">
      <c r="A3725" s="839">
        <v>68881270</v>
      </c>
      <c r="B3725" s="839">
        <v>1352</v>
      </c>
      <c r="C3725" s="906">
        <v>1416</v>
      </c>
      <c r="D3725" s="907">
        <v>46101</v>
      </c>
      <c r="E3725" s="839" t="s">
        <v>383</v>
      </c>
      <c r="F3725" s="839" t="s">
        <v>266</v>
      </c>
      <c r="G3725" s="916">
        <f>VLOOKUP($A3725,'Tech Litons'!$A:$I,8,FALSE)</f>
        <v>8.5199999999999998E-3</v>
      </c>
      <c r="H3725" s="917">
        <f>VLOOKUP($A3725,'Tech Litons'!$A:$I,9,FALSE)</f>
        <v>176</v>
      </c>
      <c r="I3725" s="917" t="str">
        <f>VLOOKUP($A3725,'Tech Litons'!$A:$C,3,0)</f>
        <v>48oz</v>
      </c>
      <c r="J3725" s="918" t="str">
        <f t="shared" si="378"/>
        <v>135248oz</v>
      </c>
      <c r="K3725" s="919">
        <v>1</v>
      </c>
      <c r="L3725" s="920">
        <f t="shared" si="379"/>
        <v>1416</v>
      </c>
      <c r="M3725" s="920">
        <f t="shared" si="380"/>
        <v>12.06432</v>
      </c>
      <c r="N3725" s="920">
        <f t="shared" si="381"/>
        <v>8.045454545454545</v>
      </c>
      <c r="O3725" s="918" t="str">
        <f t="shared" si="382"/>
        <v>Mar</v>
      </c>
      <c r="P3725" s="921">
        <f t="shared" si="383"/>
        <v>12</v>
      </c>
    </row>
    <row r="3726" spans="1:16" ht="15" hidden="1" customHeight="1">
      <c r="A3726" s="839">
        <v>68881270</v>
      </c>
      <c r="B3726" s="839">
        <v>1352</v>
      </c>
      <c r="C3726" s="906">
        <v>5984</v>
      </c>
      <c r="D3726" s="907">
        <v>46101</v>
      </c>
      <c r="E3726" s="839" t="s">
        <v>383</v>
      </c>
      <c r="F3726" s="839" t="s">
        <v>266</v>
      </c>
      <c r="G3726" s="916">
        <f>VLOOKUP($A3726,'Tech Litons'!$A:$I,8,FALSE)</f>
        <v>8.5199999999999998E-3</v>
      </c>
      <c r="H3726" s="917">
        <f>VLOOKUP($A3726,'Tech Litons'!$A:$I,9,FALSE)</f>
        <v>176</v>
      </c>
      <c r="I3726" s="917" t="str">
        <f>VLOOKUP($A3726,'Tech Litons'!$A:$C,3,0)</f>
        <v>48oz</v>
      </c>
      <c r="J3726" s="918" t="str">
        <f t="shared" si="378"/>
        <v>135248oz</v>
      </c>
      <c r="K3726" s="919">
        <v>1</v>
      </c>
      <c r="L3726" s="920">
        <f t="shared" si="379"/>
        <v>5984</v>
      </c>
      <c r="M3726" s="920">
        <f t="shared" si="380"/>
        <v>50.98368</v>
      </c>
      <c r="N3726" s="920">
        <f t="shared" si="381"/>
        <v>34</v>
      </c>
      <c r="O3726" s="918" t="str">
        <f t="shared" si="382"/>
        <v>Mar</v>
      </c>
      <c r="P3726" s="921">
        <f t="shared" si="383"/>
        <v>12</v>
      </c>
    </row>
    <row r="3727" spans="1:16" ht="15" hidden="1" customHeight="1">
      <c r="A3727" s="839">
        <v>68881270</v>
      </c>
      <c r="B3727" s="839">
        <v>1352</v>
      </c>
      <c r="C3727" s="906">
        <v>8817</v>
      </c>
      <c r="D3727" s="907">
        <v>46102</v>
      </c>
      <c r="E3727" s="839" t="s">
        <v>383</v>
      </c>
      <c r="F3727" s="839" t="s">
        <v>266</v>
      </c>
      <c r="G3727" s="916">
        <f>VLOOKUP($A3727,'Tech Litons'!$A:$I,8,FALSE)</f>
        <v>8.5199999999999998E-3</v>
      </c>
      <c r="H3727" s="917">
        <f>VLOOKUP($A3727,'Tech Litons'!$A:$I,9,FALSE)</f>
        <v>176</v>
      </c>
      <c r="I3727" s="917" t="str">
        <f>VLOOKUP($A3727,'Tech Litons'!$A:$C,3,0)</f>
        <v>48oz</v>
      </c>
      <c r="J3727" s="918" t="str">
        <f t="shared" si="378"/>
        <v>135248oz</v>
      </c>
      <c r="K3727" s="919">
        <v>1</v>
      </c>
      <c r="L3727" s="920">
        <f t="shared" si="379"/>
        <v>8817</v>
      </c>
      <c r="M3727" s="920">
        <f t="shared" si="380"/>
        <v>75.120840000000001</v>
      </c>
      <c r="N3727" s="920">
        <f t="shared" si="381"/>
        <v>50.096590909090907</v>
      </c>
      <c r="O3727" s="918" t="str">
        <f t="shared" si="382"/>
        <v>Mar</v>
      </c>
      <c r="P3727" s="921">
        <f t="shared" si="383"/>
        <v>12</v>
      </c>
    </row>
    <row r="3728" spans="1:16" ht="15" hidden="1" customHeight="1">
      <c r="A3728" s="839">
        <v>68881270</v>
      </c>
      <c r="B3728" s="839">
        <v>1352</v>
      </c>
      <c r="C3728" s="906">
        <v>1056</v>
      </c>
      <c r="D3728" s="907">
        <v>46085</v>
      </c>
      <c r="E3728" s="839" t="s">
        <v>383</v>
      </c>
      <c r="F3728" s="839" t="s">
        <v>266</v>
      </c>
      <c r="G3728" s="916">
        <f>VLOOKUP($A3728,'Tech Litons'!$A:$I,8,FALSE)</f>
        <v>8.5199999999999998E-3</v>
      </c>
      <c r="H3728" s="917">
        <f>VLOOKUP($A3728,'Tech Litons'!$A:$I,9,FALSE)</f>
        <v>176</v>
      </c>
      <c r="I3728" s="917" t="str">
        <f>VLOOKUP($A3728,'Tech Litons'!$A:$C,3,0)</f>
        <v>48oz</v>
      </c>
      <c r="J3728" s="918" t="str">
        <f t="shared" si="378"/>
        <v>135248oz</v>
      </c>
      <c r="K3728" s="919">
        <v>1</v>
      </c>
      <c r="L3728" s="920">
        <f t="shared" si="379"/>
        <v>1056</v>
      </c>
      <c r="M3728" s="920">
        <f t="shared" si="380"/>
        <v>8.9971199999999989</v>
      </c>
      <c r="N3728" s="920">
        <f t="shared" si="381"/>
        <v>6</v>
      </c>
      <c r="O3728" s="918" t="str">
        <f t="shared" si="382"/>
        <v>Mar</v>
      </c>
      <c r="P3728" s="921">
        <f t="shared" si="383"/>
        <v>10</v>
      </c>
    </row>
    <row r="3729" spans="1:16" ht="15" hidden="1" customHeight="1">
      <c r="A3729" s="839">
        <v>68881270</v>
      </c>
      <c r="B3729" s="839">
        <v>1352</v>
      </c>
      <c r="C3729" s="906">
        <v>6842</v>
      </c>
      <c r="D3729" s="907">
        <v>46086</v>
      </c>
      <c r="E3729" s="839" t="s">
        <v>383</v>
      </c>
      <c r="F3729" s="839" t="s">
        <v>266</v>
      </c>
      <c r="G3729" s="916">
        <f>VLOOKUP($A3729,'Tech Litons'!$A:$I,8,FALSE)</f>
        <v>8.5199999999999998E-3</v>
      </c>
      <c r="H3729" s="917">
        <f>VLOOKUP($A3729,'Tech Litons'!$A:$I,9,FALSE)</f>
        <v>176</v>
      </c>
      <c r="I3729" s="917" t="str">
        <f>VLOOKUP($A3729,'Tech Litons'!$A:$C,3,0)</f>
        <v>48oz</v>
      </c>
      <c r="J3729" s="918" t="str">
        <f t="shared" si="378"/>
        <v>135248oz</v>
      </c>
      <c r="K3729" s="919">
        <v>1</v>
      </c>
      <c r="L3729" s="920">
        <f t="shared" si="379"/>
        <v>6842</v>
      </c>
      <c r="M3729" s="920">
        <f t="shared" si="380"/>
        <v>58.293839999999996</v>
      </c>
      <c r="N3729" s="920">
        <f t="shared" si="381"/>
        <v>38.875</v>
      </c>
      <c r="O3729" s="918" t="str">
        <f t="shared" si="382"/>
        <v>Mar</v>
      </c>
      <c r="P3729" s="921">
        <f t="shared" si="383"/>
        <v>10</v>
      </c>
    </row>
    <row r="3730" spans="1:16" ht="15" hidden="1" customHeight="1">
      <c r="A3730" s="839">
        <v>68881270</v>
      </c>
      <c r="B3730" s="839">
        <v>1352</v>
      </c>
      <c r="C3730" s="906">
        <v>434</v>
      </c>
      <c r="D3730" s="907">
        <v>46087</v>
      </c>
      <c r="E3730" s="839" t="s">
        <v>383</v>
      </c>
      <c r="F3730" s="839" t="s">
        <v>266</v>
      </c>
      <c r="G3730" s="916">
        <f>VLOOKUP($A3730,'Tech Litons'!$A:$I,8,FALSE)</f>
        <v>8.5199999999999998E-3</v>
      </c>
      <c r="H3730" s="917">
        <f>VLOOKUP($A3730,'Tech Litons'!$A:$I,9,FALSE)</f>
        <v>176</v>
      </c>
      <c r="I3730" s="917" t="str">
        <f>VLOOKUP($A3730,'Tech Litons'!$A:$C,3,0)</f>
        <v>48oz</v>
      </c>
      <c r="J3730" s="918" t="str">
        <f t="shared" si="378"/>
        <v>135248oz</v>
      </c>
      <c r="K3730" s="919">
        <v>1</v>
      </c>
      <c r="L3730" s="920">
        <f t="shared" si="379"/>
        <v>434</v>
      </c>
      <c r="M3730" s="920">
        <f t="shared" si="380"/>
        <v>3.6976800000000001</v>
      </c>
      <c r="N3730" s="920">
        <f t="shared" si="381"/>
        <v>2.4659090909090908</v>
      </c>
      <c r="O3730" s="918" t="str">
        <f t="shared" si="382"/>
        <v>Mar</v>
      </c>
      <c r="P3730" s="921">
        <f t="shared" si="383"/>
        <v>10</v>
      </c>
    </row>
    <row r="3731" spans="1:16" ht="15" hidden="1" customHeight="1">
      <c r="A3731" s="839">
        <v>68881270</v>
      </c>
      <c r="B3731" s="839">
        <v>1352</v>
      </c>
      <c r="C3731" s="906">
        <v>4114</v>
      </c>
      <c r="D3731" s="907">
        <v>46086</v>
      </c>
      <c r="E3731" s="839" t="s">
        <v>383</v>
      </c>
      <c r="F3731" s="839" t="s">
        <v>266</v>
      </c>
      <c r="G3731" s="916">
        <f>VLOOKUP($A3731,'Tech Litons'!$A:$I,8,FALSE)</f>
        <v>8.5199999999999998E-3</v>
      </c>
      <c r="H3731" s="917">
        <f>VLOOKUP($A3731,'Tech Litons'!$A:$I,9,FALSE)</f>
        <v>176</v>
      </c>
      <c r="I3731" s="917" t="str">
        <f>VLOOKUP($A3731,'Tech Litons'!$A:$C,3,0)</f>
        <v>48oz</v>
      </c>
      <c r="J3731" s="918" t="str">
        <f t="shared" si="378"/>
        <v>135248oz</v>
      </c>
      <c r="K3731" s="919">
        <v>1</v>
      </c>
      <c r="L3731" s="920">
        <f t="shared" si="379"/>
        <v>4114</v>
      </c>
      <c r="M3731" s="920">
        <f t="shared" si="380"/>
        <v>35.051279999999998</v>
      </c>
      <c r="N3731" s="920">
        <f t="shared" si="381"/>
        <v>23.375</v>
      </c>
      <c r="O3731" s="918" t="str">
        <f t="shared" si="382"/>
        <v>Mar</v>
      </c>
      <c r="P3731" s="921">
        <f t="shared" si="383"/>
        <v>10</v>
      </c>
    </row>
    <row r="3732" spans="1:16" ht="15" hidden="1" customHeight="1">
      <c r="A3732" s="839">
        <v>68881270</v>
      </c>
      <c r="B3732" s="839">
        <v>1352</v>
      </c>
      <c r="C3732" s="906">
        <v>9149</v>
      </c>
      <c r="D3732" s="907">
        <v>46087</v>
      </c>
      <c r="E3732" s="839" t="s">
        <v>383</v>
      </c>
      <c r="F3732" s="839" t="s">
        <v>266</v>
      </c>
      <c r="G3732" s="916">
        <f>VLOOKUP($A3732,'Tech Litons'!$A:$I,8,FALSE)</f>
        <v>8.5199999999999998E-3</v>
      </c>
      <c r="H3732" s="917">
        <f>VLOOKUP($A3732,'Tech Litons'!$A:$I,9,FALSE)</f>
        <v>176</v>
      </c>
      <c r="I3732" s="917" t="str">
        <f>VLOOKUP($A3732,'Tech Litons'!$A:$C,3,0)</f>
        <v>48oz</v>
      </c>
      <c r="J3732" s="918" t="str">
        <f t="shared" si="378"/>
        <v>135248oz</v>
      </c>
      <c r="K3732" s="919">
        <v>1</v>
      </c>
      <c r="L3732" s="920">
        <f t="shared" si="379"/>
        <v>9149</v>
      </c>
      <c r="M3732" s="920">
        <f t="shared" si="380"/>
        <v>77.949479999999994</v>
      </c>
      <c r="N3732" s="920">
        <f t="shared" si="381"/>
        <v>51.982954545454547</v>
      </c>
      <c r="O3732" s="918" t="str">
        <f t="shared" si="382"/>
        <v>Mar</v>
      </c>
      <c r="P3732" s="921">
        <f t="shared" si="383"/>
        <v>10</v>
      </c>
    </row>
    <row r="3733" spans="1:16" ht="15" hidden="1" customHeight="1">
      <c r="A3733" s="839">
        <v>68881270</v>
      </c>
      <c r="B3733" s="839">
        <v>1352</v>
      </c>
      <c r="C3733" s="906">
        <v>434</v>
      </c>
      <c r="D3733" s="907">
        <v>46090</v>
      </c>
      <c r="E3733" s="839" t="s">
        <v>383</v>
      </c>
      <c r="F3733" s="839" t="s">
        <v>266</v>
      </c>
      <c r="G3733" s="916">
        <f>VLOOKUP($A3733,'Tech Litons'!$A:$I,8,FALSE)</f>
        <v>8.5199999999999998E-3</v>
      </c>
      <c r="H3733" s="917">
        <f>VLOOKUP($A3733,'Tech Litons'!$A:$I,9,FALSE)</f>
        <v>176</v>
      </c>
      <c r="I3733" s="917" t="str">
        <f>VLOOKUP($A3733,'Tech Litons'!$A:$C,3,0)</f>
        <v>48oz</v>
      </c>
      <c r="J3733" s="918" t="str">
        <f t="shared" si="378"/>
        <v>135248oz</v>
      </c>
      <c r="K3733" s="919">
        <v>1</v>
      </c>
      <c r="L3733" s="920">
        <f t="shared" si="379"/>
        <v>434</v>
      </c>
      <c r="M3733" s="920">
        <f t="shared" si="380"/>
        <v>3.6976800000000001</v>
      </c>
      <c r="N3733" s="920">
        <f t="shared" si="381"/>
        <v>2.4659090909090908</v>
      </c>
      <c r="O3733" s="918" t="str">
        <f t="shared" si="382"/>
        <v>Mar</v>
      </c>
      <c r="P3733" s="921">
        <f t="shared" si="383"/>
        <v>11</v>
      </c>
    </row>
    <row r="3734" spans="1:16" ht="15" hidden="1" customHeight="1">
      <c r="A3734" s="839">
        <v>68881270</v>
      </c>
      <c r="B3734" s="839">
        <v>1352</v>
      </c>
      <c r="C3734" s="906">
        <v>77</v>
      </c>
      <c r="D3734" s="907">
        <v>46105</v>
      </c>
      <c r="E3734" s="839" t="s">
        <v>383</v>
      </c>
      <c r="F3734" s="839" t="s">
        <v>266</v>
      </c>
      <c r="G3734" s="916">
        <f>VLOOKUP($A3734,'Tech Litons'!$A:$I,8,FALSE)</f>
        <v>8.5199999999999998E-3</v>
      </c>
      <c r="H3734" s="917">
        <f>VLOOKUP($A3734,'Tech Litons'!$A:$I,9,FALSE)</f>
        <v>176</v>
      </c>
      <c r="I3734" s="917" t="str">
        <f>VLOOKUP($A3734,'Tech Litons'!$A:$C,3,0)</f>
        <v>48oz</v>
      </c>
      <c r="J3734" s="918" t="str">
        <f t="shared" si="378"/>
        <v>135248oz</v>
      </c>
      <c r="K3734" s="919">
        <v>1</v>
      </c>
      <c r="L3734" s="920">
        <f t="shared" si="379"/>
        <v>77</v>
      </c>
      <c r="M3734" s="920">
        <f t="shared" si="380"/>
        <v>0.65603999999999996</v>
      </c>
      <c r="N3734" s="920">
        <f t="shared" si="381"/>
        <v>0.4375</v>
      </c>
      <c r="O3734" s="918" t="str">
        <f t="shared" si="382"/>
        <v>Mar</v>
      </c>
      <c r="P3734" s="921">
        <f t="shared" si="383"/>
        <v>13</v>
      </c>
    </row>
    <row r="3735" spans="1:16" ht="15" hidden="1" customHeight="1">
      <c r="A3735" s="839">
        <v>68881270</v>
      </c>
      <c r="B3735" s="839">
        <v>1352</v>
      </c>
      <c r="C3735" s="906">
        <v>4928</v>
      </c>
      <c r="D3735" s="907">
        <v>46087</v>
      </c>
      <c r="E3735" s="839" t="s">
        <v>383</v>
      </c>
      <c r="F3735" s="839" t="s">
        <v>266</v>
      </c>
      <c r="G3735" s="916">
        <f>VLOOKUP($A3735,'Tech Litons'!$A:$I,8,FALSE)</f>
        <v>8.5199999999999998E-3</v>
      </c>
      <c r="H3735" s="917">
        <f>VLOOKUP($A3735,'Tech Litons'!$A:$I,9,FALSE)</f>
        <v>176</v>
      </c>
      <c r="I3735" s="917" t="str">
        <f>VLOOKUP($A3735,'Tech Litons'!$A:$C,3,0)</f>
        <v>48oz</v>
      </c>
      <c r="J3735" s="918" t="str">
        <f t="shared" si="378"/>
        <v>135248oz</v>
      </c>
      <c r="K3735" s="919">
        <v>1</v>
      </c>
      <c r="L3735" s="920">
        <f t="shared" si="379"/>
        <v>4928</v>
      </c>
      <c r="M3735" s="920">
        <f t="shared" si="380"/>
        <v>41.986559999999997</v>
      </c>
      <c r="N3735" s="920">
        <f t="shared" si="381"/>
        <v>28</v>
      </c>
      <c r="O3735" s="918" t="str">
        <f t="shared" si="382"/>
        <v>Mar</v>
      </c>
      <c r="P3735" s="921">
        <f t="shared" si="383"/>
        <v>10</v>
      </c>
    </row>
    <row r="3736" spans="1:16" ht="15" hidden="1" customHeight="1">
      <c r="A3736" s="839">
        <v>68881270</v>
      </c>
      <c r="B3736" s="839">
        <v>1352</v>
      </c>
      <c r="C3736" s="906">
        <v>9724</v>
      </c>
      <c r="D3736" s="907">
        <v>46088</v>
      </c>
      <c r="E3736" s="839" t="s">
        <v>383</v>
      </c>
      <c r="F3736" s="839" t="s">
        <v>266</v>
      </c>
      <c r="G3736" s="916">
        <f>VLOOKUP($A3736,'Tech Litons'!$A:$I,8,FALSE)</f>
        <v>8.5199999999999998E-3</v>
      </c>
      <c r="H3736" s="917">
        <f>VLOOKUP($A3736,'Tech Litons'!$A:$I,9,FALSE)</f>
        <v>176</v>
      </c>
      <c r="I3736" s="917" t="str">
        <f>VLOOKUP($A3736,'Tech Litons'!$A:$C,3,0)</f>
        <v>48oz</v>
      </c>
      <c r="J3736" s="918" t="str">
        <f t="shared" si="378"/>
        <v>135248oz</v>
      </c>
      <c r="K3736" s="919">
        <v>1</v>
      </c>
      <c r="L3736" s="920">
        <f t="shared" si="379"/>
        <v>9724</v>
      </c>
      <c r="M3736" s="920">
        <f t="shared" si="380"/>
        <v>82.848479999999995</v>
      </c>
      <c r="N3736" s="920">
        <f t="shared" si="381"/>
        <v>55.25</v>
      </c>
      <c r="O3736" s="918" t="str">
        <f t="shared" si="382"/>
        <v>Mar</v>
      </c>
      <c r="P3736" s="921">
        <f t="shared" si="383"/>
        <v>10</v>
      </c>
    </row>
    <row r="3737" spans="1:16" ht="15" hidden="1" customHeight="1">
      <c r="A3737" s="839">
        <v>68881270</v>
      </c>
      <c r="B3737" s="839">
        <v>1352</v>
      </c>
      <c r="C3737" s="906">
        <v>6791</v>
      </c>
      <c r="D3737" s="907">
        <v>46089</v>
      </c>
      <c r="E3737" s="839" t="s">
        <v>383</v>
      </c>
      <c r="F3737" s="839" t="s">
        <v>266</v>
      </c>
      <c r="G3737" s="916">
        <f>VLOOKUP($A3737,'Tech Litons'!$A:$I,8,FALSE)</f>
        <v>8.5199999999999998E-3</v>
      </c>
      <c r="H3737" s="917">
        <f>VLOOKUP($A3737,'Tech Litons'!$A:$I,9,FALSE)</f>
        <v>176</v>
      </c>
      <c r="I3737" s="917" t="str">
        <f>VLOOKUP($A3737,'Tech Litons'!$A:$C,3,0)</f>
        <v>48oz</v>
      </c>
      <c r="J3737" s="918" t="str">
        <f t="shared" si="378"/>
        <v>135248oz</v>
      </c>
      <c r="K3737" s="919">
        <v>1</v>
      </c>
      <c r="L3737" s="920">
        <f t="shared" si="379"/>
        <v>6791</v>
      </c>
      <c r="M3737" s="920">
        <f t="shared" si="380"/>
        <v>57.859319999999997</v>
      </c>
      <c r="N3737" s="920">
        <f t="shared" si="381"/>
        <v>38.585227272727273</v>
      </c>
      <c r="O3737" s="918" t="str">
        <f t="shared" si="382"/>
        <v>Mar</v>
      </c>
      <c r="P3737" s="921">
        <f t="shared" si="383"/>
        <v>11</v>
      </c>
    </row>
    <row r="3738" spans="1:16" ht="15" hidden="1" customHeight="1">
      <c r="A3738" s="839">
        <v>68881270</v>
      </c>
      <c r="B3738" s="839">
        <v>1352</v>
      </c>
      <c r="C3738" s="906">
        <v>5250</v>
      </c>
      <c r="D3738" s="907">
        <v>46089</v>
      </c>
      <c r="E3738" s="839" t="s">
        <v>383</v>
      </c>
      <c r="F3738" s="839" t="s">
        <v>266</v>
      </c>
      <c r="G3738" s="916">
        <f>VLOOKUP($A3738,'Tech Litons'!$A:$I,8,FALSE)</f>
        <v>8.5199999999999998E-3</v>
      </c>
      <c r="H3738" s="917">
        <f>VLOOKUP($A3738,'Tech Litons'!$A:$I,9,FALSE)</f>
        <v>176</v>
      </c>
      <c r="I3738" s="917" t="str">
        <f>VLOOKUP($A3738,'Tech Litons'!$A:$C,3,0)</f>
        <v>48oz</v>
      </c>
      <c r="J3738" s="918" t="str">
        <f t="shared" si="378"/>
        <v>135248oz</v>
      </c>
      <c r="K3738" s="919">
        <v>1</v>
      </c>
      <c r="L3738" s="920">
        <f t="shared" si="379"/>
        <v>5250</v>
      </c>
      <c r="M3738" s="920">
        <f t="shared" si="380"/>
        <v>44.73</v>
      </c>
      <c r="N3738" s="920">
        <f t="shared" si="381"/>
        <v>29.829545454545453</v>
      </c>
      <c r="O3738" s="918" t="str">
        <f t="shared" si="382"/>
        <v>Mar</v>
      </c>
      <c r="P3738" s="921">
        <f t="shared" si="383"/>
        <v>11</v>
      </c>
    </row>
    <row r="3739" spans="1:16" ht="15" hidden="1" customHeight="1">
      <c r="A3739" s="839">
        <v>68881270</v>
      </c>
      <c r="B3739" s="839">
        <v>1352</v>
      </c>
      <c r="C3739" s="906">
        <v>9993</v>
      </c>
      <c r="D3739" s="907">
        <v>46090</v>
      </c>
      <c r="E3739" s="839" t="s">
        <v>383</v>
      </c>
      <c r="F3739" s="839" t="s">
        <v>266</v>
      </c>
      <c r="G3739" s="916">
        <f>VLOOKUP($A3739,'Tech Litons'!$A:$I,8,FALSE)</f>
        <v>8.5199999999999998E-3</v>
      </c>
      <c r="H3739" s="917">
        <f>VLOOKUP($A3739,'Tech Litons'!$A:$I,9,FALSE)</f>
        <v>176</v>
      </c>
      <c r="I3739" s="917" t="str">
        <f>VLOOKUP($A3739,'Tech Litons'!$A:$C,3,0)</f>
        <v>48oz</v>
      </c>
      <c r="J3739" s="918" t="str">
        <f t="shared" si="378"/>
        <v>135248oz</v>
      </c>
      <c r="K3739" s="919">
        <v>1</v>
      </c>
      <c r="L3739" s="920">
        <f t="shared" si="379"/>
        <v>9993</v>
      </c>
      <c r="M3739" s="920">
        <f t="shared" si="380"/>
        <v>85.140360000000001</v>
      </c>
      <c r="N3739" s="920">
        <f t="shared" si="381"/>
        <v>56.778409090909093</v>
      </c>
      <c r="O3739" s="918" t="str">
        <f t="shared" si="382"/>
        <v>Mar</v>
      </c>
      <c r="P3739" s="921">
        <f t="shared" si="383"/>
        <v>11</v>
      </c>
    </row>
    <row r="3740" spans="1:16" ht="15" hidden="1" customHeight="1">
      <c r="A3740" s="839">
        <v>68881270</v>
      </c>
      <c r="B3740" s="839">
        <v>1352</v>
      </c>
      <c r="C3740" s="906">
        <v>165</v>
      </c>
      <c r="D3740" s="907">
        <v>46091</v>
      </c>
      <c r="E3740" s="839" t="s">
        <v>383</v>
      </c>
      <c r="F3740" s="839" t="s">
        <v>266</v>
      </c>
      <c r="G3740" s="916">
        <f>VLOOKUP($A3740,'Tech Litons'!$A:$I,8,FALSE)</f>
        <v>8.5199999999999998E-3</v>
      </c>
      <c r="H3740" s="917">
        <f>VLOOKUP($A3740,'Tech Litons'!$A:$I,9,FALSE)</f>
        <v>176</v>
      </c>
      <c r="I3740" s="917" t="str">
        <f>VLOOKUP($A3740,'Tech Litons'!$A:$C,3,0)</f>
        <v>48oz</v>
      </c>
      <c r="J3740" s="918" t="str">
        <f t="shared" si="378"/>
        <v>135248oz</v>
      </c>
      <c r="K3740" s="919">
        <v>1</v>
      </c>
      <c r="L3740" s="920">
        <f t="shared" si="379"/>
        <v>165</v>
      </c>
      <c r="M3740" s="920">
        <f t="shared" si="380"/>
        <v>1.4057999999999999</v>
      </c>
      <c r="N3740" s="920">
        <f t="shared" si="381"/>
        <v>0.9375</v>
      </c>
      <c r="O3740" s="918" t="str">
        <f t="shared" si="382"/>
        <v>Mar</v>
      </c>
      <c r="P3740" s="921">
        <f t="shared" si="383"/>
        <v>11</v>
      </c>
    </row>
    <row r="3741" spans="1:16" ht="15" hidden="1" customHeight="1">
      <c r="A3741" s="839">
        <v>68881270</v>
      </c>
      <c r="B3741" s="839">
        <v>1352</v>
      </c>
      <c r="C3741" s="906">
        <v>4048</v>
      </c>
      <c r="D3741" s="907">
        <v>46090</v>
      </c>
      <c r="E3741" s="839" t="s">
        <v>383</v>
      </c>
      <c r="F3741" s="839" t="s">
        <v>266</v>
      </c>
      <c r="G3741" s="916">
        <f>VLOOKUP($A3741,'Tech Litons'!$A:$I,8,FALSE)</f>
        <v>8.5199999999999998E-3</v>
      </c>
      <c r="H3741" s="917">
        <f>VLOOKUP($A3741,'Tech Litons'!$A:$I,9,FALSE)</f>
        <v>176</v>
      </c>
      <c r="I3741" s="917" t="str">
        <f>VLOOKUP($A3741,'Tech Litons'!$A:$C,3,0)</f>
        <v>48oz</v>
      </c>
      <c r="J3741" s="918" t="str">
        <f t="shared" si="378"/>
        <v>135248oz</v>
      </c>
      <c r="K3741" s="919">
        <v>1</v>
      </c>
      <c r="L3741" s="920">
        <f t="shared" si="379"/>
        <v>4048</v>
      </c>
      <c r="M3741" s="920">
        <f t="shared" si="380"/>
        <v>34.488959999999999</v>
      </c>
      <c r="N3741" s="920">
        <f t="shared" si="381"/>
        <v>23</v>
      </c>
      <c r="O3741" s="918" t="str">
        <f t="shared" si="382"/>
        <v>Mar</v>
      </c>
      <c r="P3741" s="921">
        <f t="shared" si="383"/>
        <v>11</v>
      </c>
    </row>
    <row r="3742" spans="1:16" ht="15" hidden="1" customHeight="1">
      <c r="A3742" s="839">
        <v>68881270</v>
      </c>
      <c r="B3742" s="839">
        <v>1352</v>
      </c>
      <c r="C3742" s="906">
        <v>7151</v>
      </c>
      <c r="D3742" s="907">
        <v>46091</v>
      </c>
      <c r="E3742" s="839" t="s">
        <v>383</v>
      </c>
      <c r="F3742" s="839" t="s">
        <v>266</v>
      </c>
      <c r="G3742" s="916">
        <f>VLOOKUP($A3742,'Tech Litons'!$A:$I,8,FALSE)</f>
        <v>8.5199999999999998E-3</v>
      </c>
      <c r="H3742" s="917">
        <f>VLOOKUP($A3742,'Tech Litons'!$A:$I,9,FALSE)</f>
        <v>176</v>
      </c>
      <c r="I3742" s="917" t="str">
        <f>VLOOKUP($A3742,'Tech Litons'!$A:$C,3,0)</f>
        <v>48oz</v>
      </c>
      <c r="J3742" s="918" t="str">
        <f t="shared" si="378"/>
        <v>135248oz</v>
      </c>
      <c r="K3742" s="919">
        <v>1</v>
      </c>
      <c r="L3742" s="920">
        <f t="shared" si="379"/>
        <v>7151</v>
      </c>
      <c r="M3742" s="920">
        <f t="shared" si="380"/>
        <v>60.926519999999996</v>
      </c>
      <c r="N3742" s="920">
        <f t="shared" si="381"/>
        <v>40.63068181818182</v>
      </c>
      <c r="O3742" s="918" t="str">
        <f t="shared" si="382"/>
        <v>Mar</v>
      </c>
      <c r="P3742" s="921">
        <f t="shared" si="383"/>
        <v>11</v>
      </c>
    </row>
    <row r="3743" spans="1:16" ht="15" hidden="1" customHeight="1">
      <c r="A3743" s="839">
        <v>68881270</v>
      </c>
      <c r="B3743" s="839">
        <v>1352</v>
      </c>
      <c r="C3743" s="906">
        <v>4818</v>
      </c>
      <c r="D3743" s="907">
        <v>46091</v>
      </c>
      <c r="E3743" s="839" t="s">
        <v>383</v>
      </c>
      <c r="F3743" s="839" t="s">
        <v>266</v>
      </c>
      <c r="G3743" s="916">
        <f>VLOOKUP($A3743,'Tech Litons'!$A:$I,8,FALSE)</f>
        <v>8.5199999999999998E-3</v>
      </c>
      <c r="H3743" s="917">
        <f>VLOOKUP($A3743,'Tech Litons'!$A:$I,9,FALSE)</f>
        <v>176</v>
      </c>
      <c r="I3743" s="917" t="str">
        <f>VLOOKUP($A3743,'Tech Litons'!$A:$C,3,0)</f>
        <v>48oz</v>
      </c>
      <c r="J3743" s="918" t="str">
        <f t="shared" si="378"/>
        <v>135248oz</v>
      </c>
      <c r="K3743" s="919">
        <v>1</v>
      </c>
      <c r="L3743" s="920">
        <f t="shared" si="379"/>
        <v>4818</v>
      </c>
      <c r="M3743" s="920">
        <f t="shared" si="380"/>
        <v>41.04936</v>
      </c>
      <c r="N3743" s="920">
        <f t="shared" si="381"/>
        <v>27.375</v>
      </c>
      <c r="O3743" s="918" t="str">
        <f t="shared" si="382"/>
        <v>Mar</v>
      </c>
      <c r="P3743" s="921">
        <f t="shared" si="383"/>
        <v>11</v>
      </c>
    </row>
    <row r="3744" spans="1:16" ht="15" hidden="1" customHeight="1">
      <c r="A3744" s="839">
        <v>68881270</v>
      </c>
      <c r="B3744" s="839">
        <v>1352</v>
      </c>
      <c r="C3744" s="906">
        <v>7442</v>
      </c>
      <c r="D3744" s="907">
        <v>46092</v>
      </c>
      <c r="E3744" s="839" t="s">
        <v>383</v>
      </c>
      <c r="F3744" s="839" t="s">
        <v>266</v>
      </c>
      <c r="G3744" s="916">
        <f>VLOOKUP($A3744,'Tech Litons'!$A:$I,8,FALSE)</f>
        <v>8.5199999999999998E-3</v>
      </c>
      <c r="H3744" s="917">
        <f>VLOOKUP($A3744,'Tech Litons'!$A:$I,9,FALSE)</f>
        <v>176</v>
      </c>
      <c r="I3744" s="917" t="str">
        <f>VLOOKUP($A3744,'Tech Litons'!$A:$C,3,0)</f>
        <v>48oz</v>
      </c>
      <c r="J3744" s="918" t="str">
        <f t="shared" si="378"/>
        <v>135248oz</v>
      </c>
      <c r="K3744" s="919">
        <v>1</v>
      </c>
      <c r="L3744" s="920">
        <f t="shared" si="379"/>
        <v>7442</v>
      </c>
      <c r="M3744" s="920">
        <f t="shared" si="380"/>
        <v>63.405839999999998</v>
      </c>
      <c r="N3744" s="920">
        <f t="shared" si="381"/>
        <v>42.284090909090907</v>
      </c>
      <c r="O3744" s="918" t="str">
        <f t="shared" si="382"/>
        <v>Mar</v>
      </c>
      <c r="P3744" s="921">
        <f t="shared" si="383"/>
        <v>11</v>
      </c>
    </row>
    <row r="3745" spans="1:16" ht="15" hidden="1" customHeight="1">
      <c r="A3745" s="839">
        <v>68881270</v>
      </c>
      <c r="B3745" s="839">
        <v>1352</v>
      </c>
      <c r="C3745" s="906">
        <v>5407</v>
      </c>
      <c r="D3745" s="907">
        <v>46097</v>
      </c>
      <c r="E3745" s="839" t="s">
        <v>383</v>
      </c>
      <c r="F3745" s="839" t="s">
        <v>266</v>
      </c>
      <c r="G3745" s="916">
        <f>VLOOKUP($A3745,'Tech Litons'!$A:$I,8,FALSE)</f>
        <v>8.5199999999999998E-3</v>
      </c>
      <c r="H3745" s="917">
        <f>VLOOKUP($A3745,'Tech Litons'!$A:$I,9,FALSE)</f>
        <v>176</v>
      </c>
      <c r="I3745" s="917" t="str">
        <f>VLOOKUP($A3745,'Tech Litons'!$A:$C,3,0)</f>
        <v>48oz</v>
      </c>
      <c r="J3745" s="918" t="str">
        <f t="shared" si="378"/>
        <v>135248oz</v>
      </c>
      <c r="K3745" s="919">
        <v>1</v>
      </c>
      <c r="L3745" s="920">
        <f t="shared" si="379"/>
        <v>5407</v>
      </c>
      <c r="M3745" s="920">
        <f t="shared" si="380"/>
        <v>46.067639999999997</v>
      </c>
      <c r="N3745" s="920">
        <f t="shared" si="381"/>
        <v>30.72159090909091</v>
      </c>
      <c r="O3745" s="918" t="str">
        <f t="shared" si="382"/>
        <v>Mar</v>
      </c>
      <c r="P3745" s="921">
        <f t="shared" si="383"/>
        <v>12</v>
      </c>
    </row>
    <row r="3746" spans="1:16" ht="15" hidden="1" customHeight="1">
      <c r="A3746" s="839">
        <v>68881270</v>
      </c>
      <c r="B3746" s="839">
        <v>1352</v>
      </c>
      <c r="C3746" s="906">
        <v>11</v>
      </c>
      <c r="D3746" s="907">
        <v>46098</v>
      </c>
      <c r="E3746" s="839" t="s">
        <v>383</v>
      </c>
      <c r="F3746" s="839" t="s">
        <v>266</v>
      </c>
      <c r="G3746" s="916">
        <f>VLOOKUP($A3746,'Tech Litons'!$A:$I,8,FALSE)</f>
        <v>8.5199999999999998E-3</v>
      </c>
      <c r="H3746" s="917">
        <f>VLOOKUP($A3746,'Tech Litons'!$A:$I,9,FALSE)</f>
        <v>176</v>
      </c>
      <c r="I3746" s="917" t="str">
        <f>VLOOKUP($A3746,'Tech Litons'!$A:$C,3,0)</f>
        <v>48oz</v>
      </c>
      <c r="J3746" s="918" t="str">
        <f t="shared" si="378"/>
        <v>135248oz</v>
      </c>
      <c r="K3746" s="919">
        <v>1</v>
      </c>
      <c r="L3746" s="920">
        <f t="shared" si="379"/>
        <v>11</v>
      </c>
      <c r="M3746" s="920">
        <f t="shared" si="380"/>
        <v>9.3719999999999998E-2</v>
      </c>
      <c r="N3746" s="920">
        <f t="shared" si="381"/>
        <v>6.25E-2</v>
      </c>
      <c r="O3746" s="918" t="str">
        <f t="shared" si="382"/>
        <v>Mar</v>
      </c>
      <c r="P3746" s="921">
        <f t="shared" si="383"/>
        <v>12</v>
      </c>
    </row>
    <row r="3747" spans="1:16" ht="15" hidden="1" customHeight="1">
      <c r="A3747" s="839">
        <v>68899821</v>
      </c>
      <c r="B3747" s="839">
        <v>1352</v>
      </c>
      <c r="C3747" s="906">
        <v>5982</v>
      </c>
      <c r="D3747" s="907">
        <v>46104</v>
      </c>
      <c r="E3747" s="839" t="s">
        <v>430</v>
      </c>
      <c r="F3747" s="839" t="s">
        <v>266</v>
      </c>
      <c r="G3747" s="916">
        <f>VLOOKUP($A3747,'Tech Litons'!$A:$I,8,FALSE)</f>
        <v>8.5199999999999998E-3</v>
      </c>
      <c r="H3747" s="917">
        <f>VLOOKUP($A3747,'Tech Litons'!$A:$I,9,FALSE)</f>
        <v>176</v>
      </c>
      <c r="I3747" s="917" t="str">
        <f>VLOOKUP($A3747,'Tech Litons'!$A:$C,3,0)</f>
        <v>48oz</v>
      </c>
      <c r="J3747" s="918" t="str">
        <f t="shared" si="378"/>
        <v>135248oz</v>
      </c>
      <c r="K3747" s="919">
        <v>1</v>
      </c>
      <c r="L3747" s="920">
        <f t="shared" si="379"/>
        <v>5982</v>
      </c>
      <c r="M3747" s="920">
        <f t="shared" si="380"/>
        <v>50.966639999999998</v>
      </c>
      <c r="N3747" s="920">
        <f t="shared" si="381"/>
        <v>33.988636363636367</v>
      </c>
      <c r="O3747" s="918" t="str">
        <f t="shared" si="382"/>
        <v>Mar</v>
      </c>
      <c r="P3747" s="921">
        <f t="shared" si="383"/>
        <v>13</v>
      </c>
    </row>
    <row r="3748" spans="1:16" ht="15" hidden="1" customHeight="1">
      <c r="A3748" s="839">
        <v>68899821</v>
      </c>
      <c r="B3748" s="839">
        <v>1352</v>
      </c>
      <c r="C3748" s="906">
        <v>8507</v>
      </c>
      <c r="D3748" s="907">
        <v>46105</v>
      </c>
      <c r="E3748" s="839" t="s">
        <v>430</v>
      </c>
      <c r="F3748" s="839" t="s">
        <v>266</v>
      </c>
      <c r="G3748" s="916">
        <f>VLOOKUP($A3748,'Tech Litons'!$A:$I,8,FALSE)</f>
        <v>8.5199999999999998E-3</v>
      </c>
      <c r="H3748" s="917">
        <f>VLOOKUP($A3748,'Tech Litons'!$A:$I,9,FALSE)</f>
        <v>176</v>
      </c>
      <c r="I3748" s="917" t="str">
        <f>VLOOKUP($A3748,'Tech Litons'!$A:$C,3,0)</f>
        <v>48oz</v>
      </c>
      <c r="J3748" s="918" t="str">
        <f t="shared" si="378"/>
        <v>135248oz</v>
      </c>
      <c r="K3748" s="919">
        <v>1</v>
      </c>
      <c r="L3748" s="920">
        <f t="shared" si="379"/>
        <v>8507</v>
      </c>
      <c r="M3748" s="920">
        <f t="shared" si="380"/>
        <v>72.479640000000003</v>
      </c>
      <c r="N3748" s="920">
        <f t="shared" si="381"/>
        <v>48.335227272727273</v>
      </c>
      <c r="O3748" s="918" t="str">
        <f t="shared" si="382"/>
        <v>Mar</v>
      </c>
      <c r="P3748" s="921">
        <f t="shared" si="383"/>
        <v>13</v>
      </c>
    </row>
    <row r="3749" spans="1:16" ht="15" hidden="1" customHeight="1">
      <c r="A3749" s="839">
        <v>68899821</v>
      </c>
      <c r="B3749" s="839">
        <v>1352</v>
      </c>
      <c r="C3749" s="906">
        <v>7082</v>
      </c>
      <c r="D3749" s="907">
        <v>46093</v>
      </c>
      <c r="E3749" s="839" t="s">
        <v>430</v>
      </c>
      <c r="F3749" s="839" t="s">
        <v>266</v>
      </c>
      <c r="G3749" s="916">
        <f>VLOOKUP($A3749,'Tech Litons'!$A:$I,8,FALSE)</f>
        <v>8.5199999999999998E-3</v>
      </c>
      <c r="H3749" s="917">
        <f>VLOOKUP($A3749,'Tech Litons'!$A:$I,9,FALSE)</f>
        <v>176</v>
      </c>
      <c r="I3749" s="917" t="str">
        <f>VLOOKUP($A3749,'Tech Litons'!$A:$C,3,0)</f>
        <v>48oz</v>
      </c>
      <c r="J3749" s="918" t="str">
        <f t="shared" si="378"/>
        <v>135248oz</v>
      </c>
      <c r="K3749" s="919">
        <v>1</v>
      </c>
      <c r="L3749" s="920">
        <f t="shared" si="379"/>
        <v>7082</v>
      </c>
      <c r="M3749" s="920">
        <f t="shared" si="380"/>
        <v>60.338639999999998</v>
      </c>
      <c r="N3749" s="920">
        <f t="shared" si="381"/>
        <v>40.238636363636367</v>
      </c>
      <c r="O3749" s="918" t="str">
        <f t="shared" si="382"/>
        <v>Mar</v>
      </c>
      <c r="P3749" s="921">
        <f t="shared" si="383"/>
        <v>11</v>
      </c>
    </row>
    <row r="3750" spans="1:16" ht="15" hidden="1" customHeight="1">
      <c r="A3750" s="839">
        <v>68899821</v>
      </c>
      <c r="B3750" s="839">
        <v>1352</v>
      </c>
      <c r="C3750" s="906">
        <v>5808</v>
      </c>
      <c r="D3750" s="907">
        <v>46093</v>
      </c>
      <c r="E3750" s="839" t="s">
        <v>430</v>
      </c>
      <c r="F3750" s="839" t="s">
        <v>266</v>
      </c>
      <c r="G3750" s="916">
        <f>VLOOKUP($A3750,'Tech Litons'!$A:$I,8,FALSE)</f>
        <v>8.5199999999999998E-3</v>
      </c>
      <c r="H3750" s="917">
        <f>VLOOKUP($A3750,'Tech Litons'!$A:$I,9,FALSE)</f>
        <v>176</v>
      </c>
      <c r="I3750" s="917" t="str">
        <f>VLOOKUP($A3750,'Tech Litons'!$A:$C,3,0)</f>
        <v>48oz</v>
      </c>
      <c r="J3750" s="918" t="str">
        <f t="shared" si="378"/>
        <v>135248oz</v>
      </c>
      <c r="K3750" s="919">
        <v>1</v>
      </c>
      <c r="L3750" s="920">
        <f t="shared" si="379"/>
        <v>5808</v>
      </c>
      <c r="M3750" s="920">
        <f t="shared" si="380"/>
        <v>49.484159999999996</v>
      </c>
      <c r="N3750" s="920">
        <f t="shared" si="381"/>
        <v>33</v>
      </c>
      <c r="O3750" s="918" t="str">
        <f t="shared" si="382"/>
        <v>Mar</v>
      </c>
      <c r="P3750" s="921">
        <f t="shared" si="383"/>
        <v>11</v>
      </c>
    </row>
    <row r="3751" spans="1:16" ht="15" hidden="1" customHeight="1">
      <c r="A3751" s="839">
        <v>68899821</v>
      </c>
      <c r="B3751" s="839">
        <v>1352</v>
      </c>
      <c r="C3751" s="906">
        <v>9150</v>
      </c>
      <c r="D3751" s="907">
        <v>46094</v>
      </c>
      <c r="E3751" s="839" t="s">
        <v>430</v>
      </c>
      <c r="F3751" s="839" t="s">
        <v>266</v>
      </c>
      <c r="G3751" s="916">
        <f>VLOOKUP($A3751,'Tech Litons'!$A:$I,8,FALSE)</f>
        <v>8.5199999999999998E-3</v>
      </c>
      <c r="H3751" s="917">
        <f>VLOOKUP($A3751,'Tech Litons'!$A:$I,9,FALSE)</f>
        <v>176</v>
      </c>
      <c r="I3751" s="917" t="str">
        <f>VLOOKUP($A3751,'Tech Litons'!$A:$C,3,0)</f>
        <v>48oz</v>
      </c>
      <c r="J3751" s="918" t="str">
        <f t="shared" si="378"/>
        <v>135248oz</v>
      </c>
      <c r="K3751" s="919">
        <v>1</v>
      </c>
      <c r="L3751" s="920">
        <f t="shared" si="379"/>
        <v>9150</v>
      </c>
      <c r="M3751" s="920">
        <f t="shared" si="380"/>
        <v>77.957999999999998</v>
      </c>
      <c r="N3751" s="920">
        <f t="shared" si="381"/>
        <v>51.988636363636367</v>
      </c>
      <c r="O3751" s="918" t="str">
        <f t="shared" si="382"/>
        <v>Mar</v>
      </c>
      <c r="P3751" s="921">
        <f t="shared" si="383"/>
        <v>11</v>
      </c>
    </row>
    <row r="3752" spans="1:16" ht="15" hidden="1" customHeight="1">
      <c r="A3752" s="839">
        <v>68899821</v>
      </c>
      <c r="B3752" s="839">
        <v>1352</v>
      </c>
      <c r="C3752" s="906">
        <v>5908</v>
      </c>
      <c r="D3752" s="907">
        <v>46094</v>
      </c>
      <c r="E3752" s="839" t="s">
        <v>430</v>
      </c>
      <c r="F3752" s="839" t="s">
        <v>266</v>
      </c>
      <c r="G3752" s="916">
        <f>VLOOKUP($A3752,'Tech Litons'!$A:$I,8,FALSE)</f>
        <v>8.5199999999999998E-3</v>
      </c>
      <c r="H3752" s="917">
        <f>VLOOKUP($A3752,'Tech Litons'!$A:$I,9,FALSE)</f>
        <v>176</v>
      </c>
      <c r="I3752" s="917" t="str">
        <f>VLOOKUP($A3752,'Tech Litons'!$A:$C,3,0)</f>
        <v>48oz</v>
      </c>
      <c r="J3752" s="918" t="str">
        <f t="shared" si="378"/>
        <v>135248oz</v>
      </c>
      <c r="K3752" s="919">
        <v>1</v>
      </c>
      <c r="L3752" s="920">
        <f t="shared" si="379"/>
        <v>5908</v>
      </c>
      <c r="M3752" s="920">
        <f t="shared" si="380"/>
        <v>50.33616</v>
      </c>
      <c r="N3752" s="920">
        <f t="shared" si="381"/>
        <v>33.56818181818182</v>
      </c>
      <c r="O3752" s="918" t="str">
        <f t="shared" si="382"/>
        <v>Mar</v>
      </c>
      <c r="P3752" s="921">
        <f t="shared" si="383"/>
        <v>11</v>
      </c>
    </row>
    <row r="3753" spans="1:16" ht="15" hidden="1" customHeight="1">
      <c r="A3753" s="839">
        <v>68899821</v>
      </c>
      <c r="B3753" s="839">
        <v>1352</v>
      </c>
      <c r="C3753" s="906">
        <v>8431</v>
      </c>
      <c r="D3753" s="907">
        <v>46095</v>
      </c>
      <c r="E3753" s="839" t="s">
        <v>430</v>
      </c>
      <c r="F3753" s="839" t="s">
        <v>266</v>
      </c>
      <c r="G3753" s="916">
        <f>VLOOKUP($A3753,'Tech Litons'!$A:$I,8,FALSE)</f>
        <v>8.5199999999999998E-3</v>
      </c>
      <c r="H3753" s="917">
        <f>VLOOKUP($A3753,'Tech Litons'!$A:$I,9,FALSE)</f>
        <v>176</v>
      </c>
      <c r="I3753" s="917" t="str">
        <f>VLOOKUP($A3753,'Tech Litons'!$A:$C,3,0)</f>
        <v>48oz</v>
      </c>
      <c r="J3753" s="918" t="str">
        <f t="shared" si="378"/>
        <v>135248oz</v>
      </c>
      <c r="K3753" s="919">
        <v>1</v>
      </c>
      <c r="L3753" s="920">
        <f t="shared" si="379"/>
        <v>8431</v>
      </c>
      <c r="M3753" s="920">
        <f t="shared" si="380"/>
        <v>71.832120000000003</v>
      </c>
      <c r="N3753" s="920">
        <f t="shared" si="381"/>
        <v>47.903409090909093</v>
      </c>
      <c r="O3753" s="918" t="str">
        <f t="shared" si="382"/>
        <v>Mar</v>
      </c>
      <c r="P3753" s="921">
        <f t="shared" si="383"/>
        <v>11</v>
      </c>
    </row>
    <row r="3754" spans="1:16" ht="15" hidden="1" customHeight="1">
      <c r="A3754" s="839">
        <v>68899821</v>
      </c>
      <c r="B3754" s="839">
        <v>1352</v>
      </c>
      <c r="C3754" s="906">
        <v>1872</v>
      </c>
      <c r="D3754" s="907">
        <v>46095</v>
      </c>
      <c r="E3754" s="839" t="s">
        <v>430</v>
      </c>
      <c r="F3754" s="839" t="s">
        <v>266</v>
      </c>
      <c r="G3754" s="916">
        <f>VLOOKUP($A3754,'Tech Litons'!$A:$I,8,FALSE)</f>
        <v>8.5199999999999998E-3</v>
      </c>
      <c r="H3754" s="917">
        <f>VLOOKUP($A3754,'Tech Litons'!$A:$I,9,FALSE)</f>
        <v>176</v>
      </c>
      <c r="I3754" s="917" t="str">
        <f>VLOOKUP($A3754,'Tech Litons'!$A:$C,3,0)</f>
        <v>48oz</v>
      </c>
      <c r="J3754" s="918" t="str">
        <f t="shared" si="378"/>
        <v>135248oz</v>
      </c>
      <c r="K3754" s="919">
        <v>1</v>
      </c>
      <c r="L3754" s="920">
        <f t="shared" si="379"/>
        <v>1872</v>
      </c>
      <c r="M3754" s="920">
        <f t="shared" si="380"/>
        <v>15.949439999999999</v>
      </c>
      <c r="N3754" s="920">
        <f t="shared" si="381"/>
        <v>10.636363636363637</v>
      </c>
      <c r="O3754" s="918" t="str">
        <f t="shared" si="382"/>
        <v>Mar</v>
      </c>
      <c r="P3754" s="921">
        <f t="shared" si="383"/>
        <v>11</v>
      </c>
    </row>
    <row r="3755" spans="1:16" ht="15" hidden="1" customHeight="1">
      <c r="A3755" s="839">
        <v>68899821</v>
      </c>
      <c r="B3755" s="839">
        <v>1352</v>
      </c>
      <c r="C3755" s="906">
        <v>1922</v>
      </c>
      <c r="D3755" s="907">
        <v>46102</v>
      </c>
      <c r="E3755" s="839" t="s">
        <v>430</v>
      </c>
      <c r="F3755" s="839" t="s">
        <v>266</v>
      </c>
      <c r="G3755" s="916">
        <f>VLOOKUP($A3755,'Tech Litons'!$A:$I,8,FALSE)</f>
        <v>8.5199999999999998E-3</v>
      </c>
      <c r="H3755" s="917">
        <f>VLOOKUP($A3755,'Tech Litons'!$A:$I,9,FALSE)</f>
        <v>176</v>
      </c>
      <c r="I3755" s="917" t="str">
        <f>VLOOKUP($A3755,'Tech Litons'!$A:$C,3,0)</f>
        <v>48oz</v>
      </c>
      <c r="J3755" s="918" t="str">
        <f t="shared" si="378"/>
        <v>135248oz</v>
      </c>
      <c r="K3755" s="919">
        <v>1</v>
      </c>
      <c r="L3755" s="920">
        <f t="shared" si="379"/>
        <v>1922</v>
      </c>
      <c r="M3755" s="920">
        <f t="shared" si="380"/>
        <v>16.375440000000001</v>
      </c>
      <c r="N3755" s="920">
        <f t="shared" si="381"/>
        <v>10.920454545454545</v>
      </c>
      <c r="O3755" s="918" t="str">
        <f t="shared" si="382"/>
        <v>Mar</v>
      </c>
      <c r="P3755" s="921">
        <f t="shared" si="383"/>
        <v>12</v>
      </c>
    </row>
    <row r="3756" spans="1:16" ht="15" hidden="1" customHeight="1">
      <c r="A3756" s="839">
        <v>68899821</v>
      </c>
      <c r="B3756" s="839">
        <v>1352</v>
      </c>
      <c r="C3756" s="906">
        <v>7522</v>
      </c>
      <c r="D3756" s="907">
        <v>46103</v>
      </c>
      <c r="E3756" s="839" t="s">
        <v>430</v>
      </c>
      <c r="F3756" s="839" t="s">
        <v>266</v>
      </c>
      <c r="G3756" s="916">
        <f>VLOOKUP($A3756,'Tech Litons'!$A:$I,8,FALSE)</f>
        <v>8.5199999999999998E-3</v>
      </c>
      <c r="H3756" s="917">
        <f>VLOOKUP($A3756,'Tech Litons'!$A:$I,9,FALSE)</f>
        <v>176</v>
      </c>
      <c r="I3756" s="917" t="str">
        <f>VLOOKUP($A3756,'Tech Litons'!$A:$C,3,0)</f>
        <v>48oz</v>
      </c>
      <c r="J3756" s="918" t="str">
        <f t="shared" si="378"/>
        <v>135248oz</v>
      </c>
      <c r="K3756" s="919">
        <v>1</v>
      </c>
      <c r="L3756" s="920">
        <f t="shared" si="379"/>
        <v>7522</v>
      </c>
      <c r="M3756" s="920">
        <f t="shared" si="380"/>
        <v>64.087440000000001</v>
      </c>
      <c r="N3756" s="920">
        <f t="shared" si="381"/>
        <v>42.738636363636367</v>
      </c>
      <c r="O3756" s="918" t="str">
        <f t="shared" si="382"/>
        <v>Mar</v>
      </c>
      <c r="P3756" s="921">
        <f t="shared" si="383"/>
        <v>13</v>
      </c>
    </row>
    <row r="3757" spans="1:16" ht="15" hidden="1" customHeight="1">
      <c r="A3757" s="839">
        <v>68899821</v>
      </c>
      <c r="B3757" s="839">
        <v>1352</v>
      </c>
      <c r="C3757" s="906">
        <v>5091</v>
      </c>
      <c r="D3757" s="907">
        <v>46103</v>
      </c>
      <c r="E3757" s="839" t="s">
        <v>430</v>
      </c>
      <c r="F3757" s="839" t="s">
        <v>266</v>
      </c>
      <c r="G3757" s="916">
        <f>VLOOKUP($A3757,'Tech Litons'!$A:$I,8,FALSE)</f>
        <v>8.5199999999999998E-3</v>
      </c>
      <c r="H3757" s="917">
        <f>VLOOKUP($A3757,'Tech Litons'!$A:$I,9,FALSE)</f>
        <v>176</v>
      </c>
      <c r="I3757" s="917" t="str">
        <f>VLOOKUP($A3757,'Tech Litons'!$A:$C,3,0)</f>
        <v>48oz</v>
      </c>
      <c r="J3757" s="918" t="str">
        <f t="shared" si="378"/>
        <v>135248oz</v>
      </c>
      <c r="K3757" s="919">
        <v>1</v>
      </c>
      <c r="L3757" s="920">
        <f t="shared" si="379"/>
        <v>5091</v>
      </c>
      <c r="M3757" s="920">
        <f t="shared" si="380"/>
        <v>43.375320000000002</v>
      </c>
      <c r="N3757" s="920">
        <f t="shared" si="381"/>
        <v>28.926136363636363</v>
      </c>
      <c r="O3757" s="918" t="str">
        <f t="shared" si="382"/>
        <v>Mar</v>
      </c>
      <c r="P3757" s="921">
        <f t="shared" si="383"/>
        <v>13</v>
      </c>
    </row>
    <row r="3758" spans="1:16" ht="15" hidden="1" customHeight="1">
      <c r="A3758" s="839">
        <v>68899821</v>
      </c>
      <c r="B3758" s="839">
        <v>1352</v>
      </c>
      <c r="C3758" s="906">
        <v>9314</v>
      </c>
      <c r="D3758" s="907">
        <v>46104</v>
      </c>
      <c r="E3758" s="839" t="s">
        <v>430</v>
      </c>
      <c r="F3758" s="839" t="s">
        <v>266</v>
      </c>
      <c r="G3758" s="916">
        <f>VLOOKUP($A3758,'Tech Litons'!$A:$I,8,FALSE)</f>
        <v>8.5199999999999998E-3</v>
      </c>
      <c r="H3758" s="917">
        <f>VLOOKUP($A3758,'Tech Litons'!$A:$I,9,FALSE)</f>
        <v>176</v>
      </c>
      <c r="I3758" s="917" t="str">
        <f>VLOOKUP($A3758,'Tech Litons'!$A:$C,3,0)</f>
        <v>48oz</v>
      </c>
      <c r="J3758" s="918" t="str">
        <f t="shared" si="378"/>
        <v>135248oz</v>
      </c>
      <c r="K3758" s="919">
        <v>1</v>
      </c>
      <c r="L3758" s="920">
        <f t="shared" si="379"/>
        <v>9314</v>
      </c>
      <c r="M3758" s="920">
        <f t="shared" si="380"/>
        <v>79.355279999999993</v>
      </c>
      <c r="N3758" s="920">
        <f t="shared" si="381"/>
        <v>52.920454545454547</v>
      </c>
      <c r="O3758" s="918" t="str">
        <f t="shared" si="382"/>
        <v>Mar</v>
      </c>
      <c r="P3758" s="921">
        <f t="shared" si="383"/>
        <v>13</v>
      </c>
    </row>
    <row r="3759" spans="1:16" ht="15" hidden="1" customHeight="1">
      <c r="A3759" s="839">
        <v>68899826</v>
      </c>
      <c r="B3759" s="839">
        <v>1352</v>
      </c>
      <c r="C3759" s="906">
        <v>7134</v>
      </c>
      <c r="D3759" s="907">
        <v>46105</v>
      </c>
      <c r="E3759" s="839" t="s">
        <v>460</v>
      </c>
      <c r="F3759" s="839" t="s">
        <v>290</v>
      </c>
      <c r="G3759" s="916">
        <f>VLOOKUP($A3759,'Tech Litons'!$A:$I,8,FALSE)</f>
        <v>8.5199999999999998E-3</v>
      </c>
      <c r="H3759" s="917">
        <f>VLOOKUP($A3759,'Tech Litons'!$A:$I,9,FALSE)</f>
        <v>176</v>
      </c>
      <c r="I3759" s="917" t="str">
        <f>VLOOKUP($A3759,'Tech Litons'!$A:$C,3,0)</f>
        <v>48oz</v>
      </c>
      <c r="J3759" s="918" t="str">
        <f t="shared" si="378"/>
        <v>135248oz</v>
      </c>
      <c r="K3759" s="919">
        <v>1</v>
      </c>
      <c r="L3759" s="920">
        <f t="shared" si="379"/>
        <v>7134</v>
      </c>
      <c r="M3759" s="920">
        <f t="shared" si="380"/>
        <v>60.781680000000001</v>
      </c>
      <c r="N3759" s="920">
        <f t="shared" si="381"/>
        <v>40.534090909090907</v>
      </c>
      <c r="O3759" s="918" t="str">
        <f t="shared" si="382"/>
        <v>Mar</v>
      </c>
      <c r="P3759" s="921">
        <f t="shared" si="383"/>
        <v>13</v>
      </c>
    </row>
    <row r="3760" spans="1:16" ht="15" hidden="1" customHeight="1">
      <c r="A3760" s="839">
        <v>68930545</v>
      </c>
      <c r="B3760" s="839">
        <v>1352</v>
      </c>
      <c r="C3760" s="906">
        <v>6391</v>
      </c>
      <c r="D3760" s="907">
        <v>46096</v>
      </c>
      <c r="E3760" s="839" t="s">
        <v>349</v>
      </c>
      <c r="F3760" s="839" t="s">
        <v>290</v>
      </c>
      <c r="G3760" s="916">
        <f>VLOOKUP($A3760,'Tech Litons'!$A:$I,8,FALSE)</f>
        <v>8.5199999999999998E-3</v>
      </c>
      <c r="H3760" s="917">
        <f>VLOOKUP($A3760,'Tech Litons'!$A:$I,9,FALSE)</f>
        <v>176</v>
      </c>
      <c r="I3760" s="917" t="str">
        <f>VLOOKUP($A3760,'Tech Litons'!$A:$C,3,0)</f>
        <v>48oz</v>
      </c>
      <c r="J3760" s="918" t="str">
        <f t="shared" si="378"/>
        <v>135248oz</v>
      </c>
      <c r="K3760" s="919">
        <v>1</v>
      </c>
      <c r="L3760" s="920">
        <f t="shared" si="379"/>
        <v>6391</v>
      </c>
      <c r="M3760" s="920">
        <f t="shared" si="380"/>
        <v>54.451319999999996</v>
      </c>
      <c r="N3760" s="920">
        <f t="shared" si="381"/>
        <v>36.3125</v>
      </c>
      <c r="O3760" s="918" t="str">
        <f t="shared" si="382"/>
        <v>Mar</v>
      </c>
      <c r="P3760" s="921">
        <f t="shared" si="383"/>
        <v>12</v>
      </c>
    </row>
    <row r="3761" spans="1:16" ht="15" hidden="1" customHeight="1">
      <c r="A3761" s="839">
        <v>68930545</v>
      </c>
      <c r="B3761" s="839">
        <v>1352</v>
      </c>
      <c r="C3761" s="906">
        <v>7407</v>
      </c>
      <c r="D3761" s="907">
        <v>46097</v>
      </c>
      <c r="E3761" s="839" t="s">
        <v>349</v>
      </c>
      <c r="F3761" s="839" t="s">
        <v>290</v>
      </c>
      <c r="G3761" s="916">
        <f>VLOOKUP($A3761,'Tech Litons'!$A:$I,8,FALSE)</f>
        <v>8.5199999999999998E-3</v>
      </c>
      <c r="H3761" s="917">
        <f>VLOOKUP($A3761,'Tech Litons'!$A:$I,9,FALSE)</f>
        <v>176</v>
      </c>
      <c r="I3761" s="917" t="str">
        <f>VLOOKUP($A3761,'Tech Litons'!$A:$C,3,0)</f>
        <v>48oz</v>
      </c>
      <c r="J3761" s="918" t="str">
        <f t="shared" si="378"/>
        <v>135248oz</v>
      </c>
      <c r="K3761" s="919">
        <v>1</v>
      </c>
      <c r="L3761" s="920">
        <f t="shared" si="379"/>
        <v>7407</v>
      </c>
      <c r="M3761" s="920">
        <f t="shared" si="380"/>
        <v>63.107639999999996</v>
      </c>
      <c r="N3761" s="920">
        <f t="shared" si="381"/>
        <v>42.085227272727273</v>
      </c>
      <c r="O3761" s="918" t="str">
        <f t="shared" si="382"/>
        <v>Mar</v>
      </c>
      <c r="P3761" s="921">
        <f t="shared" si="383"/>
        <v>12</v>
      </c>
    </row>
    <row r="3762" spans="1:16" ht="15" hidden="1" customHeight="1">
      <c r="A3762" s="839">
        <v>68930545</v>
      </c>
      <c r="B3762" s="839">
        <v>1352</v>
      </c>
      <c r="C3762" s="906">
        <v>5456</v>
      </c>
      <c r="D3762" s="907">
        <v>46097</v>
      </c>
      <c r="E3762" s="839" t="s">
        <v>349</v>
      </c>
      <c r="F3762" s="839" t="s">
        <v>290</v>
      </c>
      <c r="G3762" s="916">
        <f>VLOOKUP($A3762,'Tech Litons'!$A:$I,8,FALSE)</f>
        <v>8.5199999999999998E-3</v>
      </c>
      <c r="H3762" s="917">
        <f>VLOOKUP($A3762,'Tech Litons'!$A:$I,9,FALSE)</f>
        <v>176</v>
      </c>
      <c r="I3762" s="917" t="str">
        <f>VLOOKUP($A3762,'Tech Litons'!$A:$C,3,0)</f>
        <v>48oz</v>
      </c>
      <c r="J3762" s="918" t="str">
        <f t="shared" ref="J3762:J3825" si="384">B3762&amp;I3762</f>
        <v>135248oz</v>
      </c>
      <c r="K3762" s="919">
        <v>1</v>
      </c>
      <c r="L3762" s="920">
        <f t="shared" ref="L3762:L3825" si="385">C3762*$K3762</f>
        <v>5456</v>
      </c>
      <c r="M3762" s="920">
        <f t="shared" ref="M3762:M3825" si="386">L3762*G3762</f>
        <v>46.485120000000002</v>
      </c>
      <c r="N3762" s="920">
        <f t="shared" ref="N3762:N3825" si="387">L3762/H3762</f>
        <v>31</v>
      </c>
      <c r="O3762" s="918" t="str">
        <f t="shared" ref="O3762:O3825" si="388">TEXT(D3762,"MMM")</f>
        <v>Mar</v>
      </c>
      <c r="P3762" s="921">
        <f t="shared" ref="P3762:P3825" si="389">WEEKNUM(D3762)</f>
        <v>12</v>
      </c>
    </row>
    <row r="3763" spans="1:16" ht="15" hidden="1" customHeight="1">
      <c r="A3763" s="839">
        <v>68930545</v>
      </c>
      <c r="B3763" s="839">
        <v>1352</v>
      </c>
      <c r="C3763" s="906">
        <v>4273</v>
      </c>
      <c r="D3763" s="907">
        <v>46098</v>
      </c>
      <c r="E3763" s="839" t="s">
        <v>349</v>
      </c>
      <c r="F3763" s="839" t="s">
        <v>290</v>
      </c>
      <c r="G3763" s="916">
        <f>VLOOKUP($A3763,'Tech Litons'!$A:$I,8,FALSE)</f>
        <v>8.5199999999999998E-3</v>
      </c>
      <c r="H3763" s="917">
        <f>VLOOKUP($A3763,'Tech Litons'!$A:$I,9,FALSE)</f>
        <v>176</v>
      </c>
      <c r="I3763" s="917" t="str">
        <f>VLOOKUP($A3763,'Tech Litons'!$A:$C,3,0)</f>
        <v>48oz</v>
      </c>
      <c r="J3763" s="918" t="str">
        <f t="shared" si="384"/>
        <v>135248oz</v>
      </c>
      <c r="K3763" s="919">
        <v>1</v>
      </c>
      <c r="L3763" s="920">
        <f t="shared" si="385"/>
        <v>4273</v>
      </c>
      <c r="M3763" s="920">
        <f t="shared" si="386"/>
        <v>36.40596</v>
      </c>
      <c r="N3763" s="920">
        <f t="shared" si="387"/>
        <v>24.27840909090909</v>
      </c>
      <c r="O3763" s="918" t="str">
        <f t="shared" si="388"/>
        <v>Mar</v>
      </c>
      <c r="P3763" s="921">
        <f t="shared" si="389"/>
        <v>12</v>
      </c>
    </row>
    <row r="3764" spans="1:16" ht="15" hidden="1" customHeight="1">
      <c r="A3764" s="839">
        <v>68930545</v>
      </c>
      <c r="B3764" s="839">
        <v>1352</v>
      </c>
      <c r="C3764" s="906">
        <v>5600</v>
      </c>
      <c r="D3764" s="907">
        <v>46098</v>
      </c>
      <c r="E3764" s="839" t="s">
        <v>349</v>
      </c>
      <c r="F3764" s="839" t="s">
        <v>290</v>
      </c>
      <c r="G3764" s="916">
        <f>VLOOKUP($A3764,'Tech Litons'!$A:$I,8,FALSE)</f>
        <v>8.5199999999999998E-3</v>
      </c>
      <c r="H3764" s="917">
        <f>VLOOKUP($A3764,'Tech Litons'!$A:$I,9,FALSE)</f>
        <v>176</v>
      </c>
      <c r="I3764" s="917" t="str">
        <f>VLOOKUP($A3764,'Tech Litons'!$A:$C,3,0)</f>
        <v>48oz</v>
      </c>
      <c r="J3764" s="918" t="str">
        <f t="shared" si="384"/>
        <v>135248oz</v>
      </c>
      <c r="K3764" s="919">
        <v>1</v>
      </c>
      <c r="L3764" s="920">
        <f t="shared" si="385"/>
        <v>5600</v>
      </c>
      <c r="M3764" s="920">
        <f t="shared" si="386"/>
        <v>47.711999999999996</v>
      </c>
      <c r="N3764" s="920">
        <f t="shared" si="387"/>
        <v>31.818181818181817</v>
      </c>
      <c r="O3764" s="918" t="str">
        <f t="shared" si="388"/>
        <v>Mar</v>
      </c>
      <c r="P3764" s="921">
        <f t="shared" si="389"/>
        <v>12</v>
      </c>
    </row>
    <row r="3765" spans="1:16" ht="15" hidden="1" customHeight="1">
      <c r="A3765" s="839">
        <v>68930545</v>
      </c>
      <c r="B3765" s="839">
        <v>1352</v>
      </c>
      <c r="C3765" s="906">
        <v>7402</v>
      </c>
      <c r="D3765" s="907">
        <v>46099</v>
      </c>
      <c r="E3765" s="839" t="s">
        <v>349</v>
      </c>
      <c r="F3765" s="839" t="s">
        <v>290</v>
      </c>
      <c r="G3765" s="916">
        <f>VLOOKUP($A3765,'Tech Litons'!$A:$I,8,FALSE)</f>
        <v>8.5199999999999998E-3</v>
      </c>
      <c r="H3765" s="917">
        <f>VLOOKUP($A3765,'Tech Litons'!$A:$I,9,FALSE)</f>
        <v>176</v>
      </c>
      <c r="I3765" s="917" t="str">
        <f>VLOOKUP($A3765,'Tech Litons'!$A:$C,3,0)</f>
        <v>48oz</v>
      </c>
      <c r="J3765" s="918" t="str">
        <f t="shared" si="384"/>
        <v>135248oz</v>
      </c>
      <c r="K3765" s="919">
        <v>1</v>
      </c>
      <c r="L3765" s="920">
        <f t="shared" si="385"/>
        <v>7402</v>
      </c>
      <c r="M3765" s="920">
        <f t="shared" si="386"/>
        <v>63.065039999999996</v>
      </c>
      <c r="N3765" s="920">
        <f t="shared" si="387"/>
        <v>42.05681818181818</v>
      </c>
      <c r="O3765" s="918" t="str">
        <f t="shared" si="388"/>
        <v>Mar</v>
      </c>
      <c r="P3765" s="921">
        <f t="shared" si="389"/>
        <v>12</v>
      </c>
    </row>
    <row r="3766" spans="1:16" ht="15" hidden="1" customHeight="1">
      <c r="A3766" s="839">
        <v>68930545</v>
      </c>
      <c r="B3766" s="839">
        <v>1352</v>
      </c>
      <c r="C3766" s="906">
        <v>6339</v>
      </c>
      <c r="D3766" s="907">
        <v>46096</v>
      </c>
      <c r="E3766" s="839" t="s">
        <v>349</v>
      </c>
      <c r="F3766" s="839" t="s">
        <v>290</v>
      </c>
      <c r="G3766" s="916">
        <f>VLOOKUP($A3766,'Tech Litons'!$A:$I,8,FALSE)</f>
        <v>8.5199999999999998E-3</v>
      </c>
      <c r="H3766" s="917">
        <f>VLOOKUP($A3766,'Tech Litons'!$A:$I,9,FALSE)</f>
        <v>176</v>
      </c>
      <c r="I3766" s="917" t="str">
        <f>VLOOKUP($A3766,'Tech Litons'!$A:$C,3,0)</f>
        <v>48oz</v>
      </c>
      <c r="J3766" s="918" t="str">
        <f t="shared" si="384"/>
        <v>135248oz</v>
      </c>
      <c r="K3766" s="919">
        <v>1</v>
      </c>
      <c r="L3766" s="920">
        <f t="shared" si="385"/>
        <v>6339</v>
      </c>
      <c r="M3766" s="920">
        <f t="shared" si="386"/>
        <v>54.008279999999999</v>
      </c>
      <c r="N3766" s="920">
        <f t="shared" si="387"/>
        <v>36.017045454545453</v>
      </c>
      <c r="O3766" s="918" t="str">
        <f t="shared" si="388"/>
        <v>Mar</v>
      </c>
      <c r="P3766" s="921">
        <f t="shared" si="389"/>
        <v>12</v>
      </c>
    </row>
    <row r="3767" spans="1:16" ht="15" hidden="1" customHeight="1">
      <c r="A3767" s="839">
        <v>68930545</v>
      </c>
      <c r="B3767" s="839">
        <v>1352</v>
      </c>
      <c r="C3767" s="906">
        <v>27</v>
      </c>
      <c r="D3767" s="907">
        <v>46098</v>
      </c>
      <c r="E3767" s="839" t="s">
        <v>349</v>
      </c>
      <c r="F3767" s="839" t="s">
        <v>290</v>
      </c>
      <c r="G3767" s="916">
        <f>VLOOKUP($A3767,'Tech Litons'!$A:$I,8,FALSE)</f>
        <v>8.5199999999999998E-3</v>
      </c>
      <c r="H3767" s="917">
        <f>VLOOKUP($A3767,'Tech Litons'!$A:$I,9,FALSE)</f>
        <v>176</v>
      </c>
      <c r="I3767" s="917" t="str">
        <f>VLOOKUP($A3767,'Tech Litons'!$A:$C,3,0)</f>
        <v>48oz</v>
      </c>
      <c r="J3767" s="918" t="str">
        <f t="shared" si="384"/>
        <v>135248oz</v>
      </c>
      <c r="K3767" s="919">
        <v>1</v>
      </c>
      <c r="L3767" s="920">
        <f t="shared" si="385"/>
        <v>27</v>
      </c>
      <c r="M3767" s="920">
        <f t="shared" si="386"/>
        <v>0.23003999999999999</v>
      </c>
      <c r="N3767" s="920">
        <f t="shared" si="387"/>
        <v>0.15340909090909091</v>
      </c>
      <c r="O3767" s="918" t="str">
        <f t="shared" si="388"/>
        <v>Mar</v>
      </c>
      <c r="P3767" s="921">
        <f t="shared" si="389"/>
        <v>12</v>
      </c>
    </row>
    <row r="3768" spans="1:16" ht="15" hidden="1" customHeight="1">
      <c r="A3768" s="839">
        <v>68930545</v>
      </c>
      <c r="B3768" s="839">
        <v>1352</v>
      </c>
      <c r="C3768" s="906">
        <v>20</v>
      </c>
      <c r="D3768" s="907">
        <v>46104</v>
      </c>
      <c r="E3768" s="839" t="s">
        <v>349</v>
      </c>
      <c r="F3768" s="839" t="s">
        <v>290</v>
      </c>
      <c r="G3768" s="916">
        <f>VLOOKUP($A3768,'Tech Litons'!$A:$I,8,FALSE)</f>
        <v>8.5199999999999998E-3</v>
      </c>
      <c r="H3768" s="917">
        <f>VLOOKUP($A3768,'Tech Litons'!$A:$I,9,FALSE)</f>
        <v>176</v>
      </c>
      <c r="I3768" s="917" t="str">
        <f>VLOOKUP($A3768,'Tech Litons'!$A:$C,3,0)</f>
        <v>48oz</v>
      </c>
      <c r="J3768" s="918" t="str">
        <f t="shared" si="384"/>
        <v>135248oz</v>
      </c>
      <c r="K3768" s="919">
        <v>1</v>
      </c>
      <c r="L3768" s="920">
        <f t="shared" si="385"/>
        <v>20</v>
      </c>
      <c r="M3768" s="920">
        <f t="shared" si="386"/>
        <v>0.1704</v>
      </c>
      <c r="N3768" s="920">
        <f t="shared" si="387"/>
        <v>0.11363636363636363</v>
      </c>
      <c r="O3768" s="918" t="str">
        <f t="shared" si="388"/>
        <v>Mar</v>
      </c>
      <c r="P3768" s="921">
        <f t="shared" si="389"/>
        <v>13</v>
      </c>
    </row>
    <row r="3769" spans="1:16" ht="15" hidden="1" customHeight="1">
      <c r="A3769" s="839">
        <v>68930545</v>
      </c>
      <c r="B3769" s="839">
        <v>1352</v>
      </c>
      <c r="C3769" s="906">
        <v>5903</v>
      </c>
      <c r="D3769" s="907">
        <v>46099</v>
      </c>
      <c r="E3769" s="839" t="s">
        <v>349</v>
      </c>
      <c r="F3769" s="839" t="s">
        <v>290</v>
      </c>
      <c r="G3769" s="916">
        <f>VLOOKUP($A3769,'Tech Litons'!$A:$I,8,FALSE)</f>
        <v>8.5199999999999998E-3</v>
      </c>
      <c r="H3769" s="917">
        <f>VLOOKUP($A3769,'Tech Litons'!$A:$I,9,FALSE)</f>
        <v>176</v>
      </c>
      <c r="I3769" s="917" t="str">
        <f>VLOOKUP($A3769,'Tech Litons'!$A:$C,3,0)</f>
        <v>48oz</v>
      </c>
      <c r="J3769" s="918" t="str">
        <f t="shared" si="384"/>
        <v>135248oz</v>
      </c>
      <c r="K3769" s="919">
        <v>1</v>
      </c>
      <c r="L3769" s="920">
        <f t="shared" si="385"/>
        <v>5903</v>
      </c>
      <c r="M3769" s="920">
        <f t="shared" si="386"/>
        <v>50.293559999999999</v>
      </c>
      <c r="N3769" s="920">
        <f t="shared" si="387"/>
        <v>33.539772727272727</v>
      </c>
      <c r="O3769" s="918" t="str">
        <f t="shared" si="388"/>
        <v>Mar</v>
      </c>
      <c r="P3769" s="921">
        <f t="shared" si="389"/>
        <v>12</v>
      </c>
    </row>
    <row r="3770" spans="1:16" ht="15" hidden="1" customHeight="1">
      <c r="A3770" s="839">
        <v>68930545</v>
      </c>
      <c r="B3770" s="839">
        <v>1352</v>
      </c>
      <c r="C3770" s="906">
        <v>2743</v>
      </c>
      <c r="D3770" s="907">
        <v>46100</v>
      </c>
      <c r="E3770" s="839" t="s">
        <v>349</v>
      </c>
      <c r="F3770" s="839" t="s">
        <v>290</v>
      </c>
      <c r="G3770" s="916">
        <f>VLOOKUP($A3770,'Tech Litons'!$A:$I,8,FALSE)</f>
        <v>8.5199999999999998E-3</v>
      </c>
      <c r="H3770" s="917">
        <f>VLOOKUP($A3770,'Tech Litons'!$A:$I,9,FALSE)</f>
        <v>176</v>
      </c>
      <c r="I3770" s="917" t="str">
        <f>VLOOKUP($A3770,'Tech Litons'!$A:$C,3,0)</f>
        <v>48oz</v>
      </c>
      <c r="J3770" s="918" t="str">
        <f t="shared" si="384"/>
        <v>135248oz</v>
      </c>
      <c r="K3770" s="919">
        <v>1</v>
      </c>
      <c r="L3770" s="920">
        <f t="shared" si="385"/>
        <v>2743</v>
      </c>
      <c r="M3770" s="920">
        <f t="shared" si="386"/>
        <v>23.370359999999998</v>
      </c>
      <c r="N3770" s="920">
        <f t="shared" si="387"/>
        <v>15.585227272727273</v>
      </c>
      <c r="O3770" s="918" t="str">
        <f t="shared" si="388"/>
        <v>Mar</v>
      </c>
      <c r="P3770" s="921">
        <f t="shared" si="389"/>
        <v>12</v>
      </c>
    </row>
    <row r="3771" spans="1:16" ht="15" hidden="1" customHeight="1">
      <c r="A3771" s="839">
        <v>69568828</v>
      </c>
      <c r="B3771" s="839">
        <v>1352</v>
      </c>
      <c r="C3771" s="906">
        <v>11</v>
      </c>
      <c r="D3771" s="907">
        <v>46086</v>
      </c>
      <c r="E3771" s="839" t="s">
        <v>320</v>
      </c>
      <c r="F3771" s="839" t="s">
        <v>290</v>
      </c>
      <c r="G3771" s="916">
        <f>VLOOKUP($A3771,'Tech Litons'!$A:$I,8,FALSE)</f>
        <v>8.5199999999999998E-3</v>
      </c>
      <c r="H3771" s="917">
        <f>VLOOKUP($A3771,'Tech Litons'!$A:$I,9,FALSE)</f>
        <v>176</v>
      </c>
      <c r="I3771" s="917" t="str">
        <f>VLOOKUP($A3771,'Tech Litons'!$A:$C,3,0)</f>
        <v>48oz</v>
      </c>
      <c r="J3771" s="918" t="str">
        <f t="shared" si="384"/>
        <v>135248oz</v>
      </c>
      <c r="K3771" s="919">
        <v>1</v>
      </c>
      <c r="L3771" s="920">
        <f t="shared" si="385"/>
        <v>11</v>
      </c>
      <c r="M3771" s="920">
        <f t="shared" si="386"/>
        <v>9.3719999999999998E-2</v>
      </c>
      <c r="N3771" s="920">
        <f t="shared" si="387"/>
        <v>6.25E-2</v>
      </c>
      <c r="O3771" s="918" t="str">
        <f t="shared" si="388"/>
        <v>Mar</v>
      </c>
      <c r="P3771" s="921">
        <f t="shared" si="389"/>
        <v>10</v>
      </c>
    </row>
    <row r="3772" spans="1:16" ht="15" hidden="1" customHeight="1">
      <c r="A3772" s="839">
        <v>69568828</v>
      </c>
      <c r="B3772" s="839">
        <v>1352</v>
      </c>
      <c r="C3772" s="906">
        <v>6160</v>
      </c>
      <c r="D3772" s="907">
        <v>46091</v>
      </c>
      <c r="E3772" s="839" t="s">
        <v>320</v>
      </c>
      <c r="F3772" s="839" t="s">
        <v>264</v>
      </c>
      <c r="G3772" s="916">
        <f>VLOOKUP($A3772,'Tech Litons'!$A:$I,8,FALSE)</f>
        <v>8.5199999999999998E-3</v>
      </c>
      <c r="H3772" s="917">
        <f>VLOOKUP($A3772,'Tech Litons'!$A:$I,9,FALSE)</f>
        <v>176</v>
      </c>
      <c r="I3772" s="917" t="str">
        <f>VLOOKUP($A3772,'Tech Litons'!$A:$C,3,0)</f>
        <v>48oz</v>
      </c>
      <c r="J3772" s="918" t="str">
        <f t="shared" si="384"/>
        <v>135248oz</v>
      </c>
      <c r="K3772" s="919">
        <v>1</v>
      </c>
      <c r="L3772" s="920">
        <f t="shared" si="385"/>
        <v>6160</v>
      </c>
      <c r="M3772" s="920">
        <f t="shared" si="386"/>
        <v>52.483199999999997</v>
      </c>
      <c r="N3772" s="920">
        <f t="shared" si="387"/>
        <v>35</v>
      </c>
      <c r="O3772" s="918" t="str">
        <f t="shared" si="388"/>
        <v>Mar</v>
      </c>
      <c r="P3772" s="921">
        <f t="shared" si="389"/>
        <v>11</v>
      </c>
    </row>
    <row r="3773" spans="1:16" ht="15" hidden="1" customHeight="1">
      <c r="A3773" s="839">
        <v>69568828</v>
      </c>
      <c r="B3773" s="839">
        <v>1352</v>
      </c>
      <c r="C3773" s="906">
        <v>6316</v>
      </c>
      <c r="D3773" s="907">
        <v>46092</v>
      </c>
      <c r="E3773" s="839" t="s">
        <v>320</v>
      </c>
      <c r="F3773" s="839" t="s">
        <v>264</v>
      </c>
      <c r="G3773" s="916">
        <f>VLOOKUP($A3773,'Tech Litons'!$A:$I,8,FALSE)</f>
        <v>8.5199999999999998E-3</v>
      </c>
      <c r="H3773" s="917">
        <f>VLOOKUP($A3773,'Tech Litons'!$A:$I,9,FALSE)</f>
        <v>176</v>
      </c>
      <c r="I3773" s="917" t="str">
        <f>VLOOKUP($A3773,'Tech Litons'!$A:$C,3,0)</f>
        <v>48oz</v>
      </c>
      <c r="J3773" s="918" t="str">
        <f t="shared" si="384"/>
        <v>135248oz</v>
      </c>
      <c r="K3773" s="919">
        <v>1</v>
      </c>
      <c r="L3773" s="920">
        <f t="shared" si="385"/>
        <v>6316</v>
      </c>
      <c r="M3773" s="920">
        <f t="shared" si="386"/>
        <v>53.81232</v>
      </c>
      <c r="N3773" s="920">
        <f t="shared" si="387"/>
        <v>35.886363636363633</v>
      </c>
      <c r="O3773" s="918" t="str">
        <f t="shared" si="388"/>
        <v>Mar</v>
      </c>
      <c r="P3773" s="921">
        <f t="shared" si="389"/>
        <v>11</v>
      </c>
    </row>
    <row r="3774" spans="1:16" ht="15" hidden="1" customHeight="1">
      <c r="A3774" s="839">
        <v>69568828</v>
      </c>
      <c r="B3774" s="839">
        <v>1352</v>
      </c>
      <c r="C3774" s="906">
        <v>2816</v>
      </c>
      <c r="D3774" s="907">
        <v>46090</v>
      </c>
      <c r="E3774" s="839" t="s">
        <v>320</v>
      </c>
      <c r="F3774" s="839" t="s">
        <v>264</v>
      </c>
      <c r="G3774" s="916">
        <f>VLOOKUP($A3774,'Tech Litons'!$A:$I,8,FALSE)</f>
        <v>8.5199999999999998E-3</v>
      </c>
      <c r="H3774" s="917">
        <f>VLOOKUP($A3774,'Tech Litons'!$A:$I,9,FALSE)</f>
        <v>176</v>
      </c>
      <c r="I3774" s="917" t="str">
        <f>VLOOKUP($A3774,'Tech Litons'!$A:$C,3,0)</f>
        <v>48oz</v>
      </c>
      <c r="J3774" s="918" t="str">
        <f t="shared" si="384"/>
        <v>135248oz</v>
      </c>
      <c r="K3774" s="919">
        <v>1</v>
      </c>
      <c r="L3774" s="920">
        <f t="shared" si="385"/>
        <v>2816</v>
      </c>
      <c r="M3774" s="920">
        <f t="shared" si="386"/>
        <v>23.992319999999999</v>
      </c>
      <c r="N3774" s="920">
        <f t="shared" si="387"/>
        <v>16</v>
      </c>
      <c r="O3774" s="918" t="str">
        <f t="shared" si="388"/>
        <v>Mar</v>
      </c>
      <c r="P3774" s="921">
        <f t="shared" si="389"/>
        <v>11</v>
      </c>
    </row>
    <row r="3775" spans="1:16" ht="15" hidden="1" customHeight="1">
      <c r="A3775" s="839">
        <v>69568828</v>
      </c>
      <c r="B3775" s="839">
        <v>1352</v>
      </c>
      <c r="C3775" s="906">
        <v>8213</v>
      </c>
      <c r="D3775" s="907">
        <v>46091</v>
      </c>
      <c r="E3775" s="839" t="s">
        <v>320</v>
      </c>
      <c r="F3775" s="839" t="s">
        <v>264</v>
      </c>
      <c r="G3775" s="916">
        <f>VLOOKUP($A3775,'Tech Litons'!$A:$I,8,FALSE)</f>
        <v>8.5199999999999998E-3</v>
      </c>
      <c r="H3775" s="917">
        <f>VLOOKUP($A3775,'Tech Litons'!$A:$I,9,FALSE)</f>
        <v>176</v>
      </c>
      <c r="I3775" s="917" t="str">
        <f>VLOOKUP($A3775,'Tech Litons'!$A:$C,3,0)</f>
        <v>48oz</v>
      </c>
      <c r="J3775" s="918" t="str">
        <f t="shared" si="384"/>
        <v>135248oz</v>
      </c>
      <c r="K3775" s="919">
        <v>1</v>
      </c>
      <c r="L3775" s="920">
        <f t="shared" si="385"/>
        <v>8213</v>
      </c>
      <c r="M3775" s="920">
        <f t="shared" si="386"/>
        <v>69.974760000000003</v>
      </c>
      <c r="N3775" s="920">
        <f t="shared" si="387"/>
        <v>46.664772727272727</v>
      </c>
      <c r="O3775" s="918" t="str">
        <f t="shared" si="388"/>
        <v>Mar</v>
      </c>
      <c r="P3775" s="921">
        <f t="shared" si="389"/>
        <v>11</v>
      </c>
    </row>
    <row r="3776" spans="1:16" ht="15" hidden="1" customHeight="1">
      <c r="A3776" s="839">
        <v>69568828</v>
      </c>
      <c r="B3776" s="839">
        <v>1352</v>
      </c>
      <c r="C3776" s="906">
        <v>4464</v>
      </c>
      <c r="D3776" s="907">
        <v>46104</v>
      </c>
      <c r="E3776" s="839" t="s">
        <v>320</v>
      </c>
      <c r="F3776" s="839" t="s">
        <v>264</v>
      </c>
      <c r="G3776" s="916">
        <f>VLOOKUP($A3776,'Tech Litons'!$A:$I,8,FALSE)</f>
        <v>8.5199999999999998E-3</v>
      </c>
      <c r="H3776" s="917">
        <f>VLOOKUP($A3776,'Tech Litons'!$A:$I,9,FALSE)</f>
        <v>176</v>
      </c>
      <c r="I3776" s="917" t="str">
        <f>VLOOKUP($A3776,'Tech Litons'!$A:$C,3,0)</f>
        <v>48oz</v>
      </c>
      <c r="J3776" s="918" t="str">
        <f t="shared" si="384"/>
        <v>135248oz</v>
      </c>
      <c r="K3776" s="919">
        <v>1</v>
      </c>
      <c r="L3776" s="920">
        <f t="shared" si="385"/>
        <v>4464</v>
      </c>
      <c r="M3776" s="920">
        <f t="shared" si="386"/>
        <v>38.033279999999998</v>
      </c>
      <c r="N3776" s="920">
        <f t="shared" si="387"/>
        <v>25.363636363636363</v>
      </c>
      <c r="O3776" s="918" t="str">
        <f t="shared" si="388"/>
        <v>Mar</v>
      </c>
      <c r="P3776" s="921">
        <f t="shared" si="389"/>
        <v>13</v>
      </c>
    </row>
    <row r="3777" spans="1:16" ht="15" hidden="1" customHeight="1">
      <c r="A3777" s="839">
        <v>69568829</v>
      </c>
      <c r="B3777" s="839">
        <v>1352</v>
      </c>
      <c r="C3777" s="906">
        <v>2365</v>
      </c>
      <c r="D3777" s="907">
        <v>46081</v>
      </c>
      <c r="E3777" s="839" t="s">
        <v>487</v>
      </c>
      <c r="F3777" s="839" t="s">
        <v>264</v>
      </c>
      <c r="G3777" s="916">
        <f>VLOOKUP($A3777,'Tech Litons'!$A:$I,8,FALSE)</f>
        <v>8.5199999999999998E-3</v>
      </c>
      <c r="H3777" s="917">
        <f>VLOOKUP($A3777,'Tech Litons'!$A:$I,9,FALSE)</f>
        <v>176</v>
      </c>
      <c r="I3777" s="917" t="str">
        <f>VLOOKUP($A3777,'Tech Litons'!$A:$C,3,0)</f>
        <v>48oz</v>
      </c>
      <c r="J3777" s="918" t="str">
        <f t="shared" si="384"/>
        <v>135248oz</v>
      </c>
      <c r="K3777" s="919">
        <v>1</v>
      </c>
      <c r="L3777" s="920">
        <f t="shared" si="385"/>
        <v>2365</v>
      </c>
      <c r="M3777" s="920">
        <f t="shared" si="386"/>
        <v>20.149799999999999</v>
      </c>
      <c r="N3777" s="920">
        <f t="shared" si="387"/>
        <v>13.4375</v>
      </c>
      <c r="O3777" s="918" t="str">
        <f t="shared" si="388"/>
        <v>Feb</v>
      </c>
      <c r="P3777" s="921">
        <f t="shared" si="389"/>
        <v>9</v>
      </c>
    </row>
    <row r="3778" spans="1:16" ht="15" hidden="1" customHeight="1">
      <c r="A3778" s="839">
        <v>69600846</v>
      </c>
      <c r="B3778" s="839">
        <v>1352</v>
      </c>
      <c r="C3778" s="906">
        <v>5833</v>
      </c>
      <c r="D3778" s="907">
        <v>46088</v>
      </c>
      <c r="E3778" s="839" t="s">
        <v>432</v>
      </c>
      <c r="F3778" s="839" t="s">
        <v>261</v>
      </c>
      <c r="G3778" s="916">
        <f>VLOOKUP($A3778,'Tech Litons'!$A:$I,8,FALSE)</f>
        <v>8.5199999999999998E-3</v>
      </c>
      <c r="H3778" s="917">
        <f>VLOOKUP($A3778,'Tech Litons'!$A:$I,9,FALSE)</f>
        <v>154</v>
      </c>
      <c r="I3778" s="917" t="str">
        <f>VLOOKUP($A3778,'Tech Litons'!$A:$C,3,0)</f>
        <v>48oz</v>
      </c>
      <c r="J3778" s="918" t="str">
        <f t="shared" si="384"/>
        <v>135248oz</v>
      </c>
      <c r="K3778" s="919">
        <v>1</v>
      </c>
      <c r="L3778" s="920">
        <f t="shared" si="385"/>
        <v>5833</v>
      </c>
      <c r="M3778" s="920">
        <f t="shared" si="386"/>
        <v>49.697159999999997</v>
      </c>
      <c r="N3778" s="920">
        <f t="shared" si="387"/>
        <v>37.876623376623378</v>
      </c>
      <c r="O3778" s="918" t="str">
        <f t="shared" si="388"/>
        <v>Mar</v>
      </c>
      <c r="P3778" s="921">
        <f t="shared" si="389"/>
        <v>10</v>
      </c>
    </row>
    <row r="3779" spans="1:16" ht="15" hidden="1" customHeight="1">
      <c r="A3779" s="839">
        <v>69629468</v>
      </c>
      <c r="B3779" s="839">
        <v>1352</v>
      </c>
      <c r="C3779" s="906">
        <v>1</v>
      </c>
      <c r="D3779" s="907">
        <v>46079</v>
      </c>
      <c r="E3779" s="839" t="s">
        <v>291</v>
      </c>
      <c r="F3779" s="839" t="s">
        <v>222</v>
      </c>
      <c r="G3779" s="916">
        <f>VLOOKUP($A3779,'Tech Litons'!$A:$I,8,FALSE)</f>
        <v>5.2680000000000001E-3</v>
      </c>
      <c r="H3779" s="917">
        <f>VLOOKUP($A3779,'Tech Litons'!$A:$I,9,FALSE)</f>
        <v>130</v>
      </c>
      <c r="I3779" s="917" t="str">
        <f>VLOOKUP($A3779,'Tech Litons'!$A:$C,3,0)</f>
        <v>PG</v>
      </c>
      <c r="J3779" s="918" t="str">
        <f t="shared" si="384"/>
        <v>1352PG</v>
      </c>
      <c r="K3779" s="919">
        <v>1</v>
      </c>
      <c r="L3779" s="920">
        <f t="shared" si="385"/>
        <v>1</v>
      </c>
      <c r="M3779" s="920">
        <f t="shared" si="386"/>
        <v>5.2680000000000001E-3</v>
      </c>
      <c r="N3779" s="920">
        <f t="shared" si="387"/>
        <v>7.6923076923076927E-3</v>
      </c>
      <c r="O3779" s="918" t="str">
        <f t="shared" si="388"/>
        <v>Feb</v>
      </c>
      <c r="P3779" s="921">
        <f t="shared" si="389"/>
        <v>9</v>
      </c>
    </row>
    <row r="3780" spans="1:16" ht="15" hidden="1" customHeight="1">
      <c r="A3780" s="839">
        <v>69629468</v>
      </c>
      <c r="B3780" s="839">
        <v>1352</v>
      </c>
      <c r="C3780" s="906">
        <v>1820</v>
      </c>
      <c r="D3780" s="907">
        <v>46076</v>
      </c>
      <c r="E3780" s="839" t="s">
        <v>291</v>
      </c>
      <c r="F3780" s="839" t="s">
        <v>222</v>
      </c>
      <c r="G3780" s="916">
        <f>VLOOKUP($A3780,'Tech Litons'!$A:$I,8,FALSE)</f>
        <v>5.2680000000000001E-3</v>
      </c>
      <c r="H3780" s="917">
        <f>VLOOKUP($A3780,'Tech Litons'!$A:$I,9,FALSE)</f>
        <v>130</v>
      </c>
      <c r="I3780" s="917" t="str">
        <f>VLOOKUP($A3780,'Tech Litons'!$A:$C,3,0)</f>
        <v>PG</v>
      </c>
      <c r="J3780" s="918" t="str">
        <f t="shared" si="384"/>
        <v>1352PG</v>
      </c>
      <c r="K3780" s="919">
        <v>1</v>
      </c>
      <c r="L3780" s="920">
        <f t="shared" si="385"/>
        <v>1820</v>
      </c>
      <c r="M3780" s="920">
        <f t="shared" si="386"/>
        <v>9.5877599999999994</v>
      </c>
      <c r="N3780" s="920">
        <f t="shared" si="387"/>
        <v>14</v>
      </c>
      <c r="O3780" s="918" t="str">
        <f t="shared" si="388"/>
        <v>Feb</v>
      </c>
      <c r="P3780" s="921">
        <f t="shared" si="389"/>
        <v>9</v>
      </c>
    </row>
    <row r="3781" spans="1:16" ht="15" hidden="1" customHeight="1">
      <c r="A3781" s="839">
        <v>69629468</v>
      </c>
      <c r="B3781" s="839">
        <v>1352</v>
      </c>
      <c r="C3781" s="906">
        <v>3560</v>
      </c>
      <c r="D3781" s="907">
        <v>46077</v>
      </c>
      <c r="E3781" s="839" t="s">
        <v>291</v>
      </c>
      <c r="F3781" s="839" t="s">
        <v>222</v>
      </c>
      <c r="G3781" s="916">
        <f>VLOOKUP($A3781,'Tech Litons'!$A:$I,8,FALSE)</f>
        <v>5.2680000000000001E-3</v>
      </c>
      <c r="H3781" s="917">
        <f>VLOOKUP($A3781,'Tech Litons'!$A:$I,9,FALSE)</f>
        <v>130</v>
      </c>
      <c r="I3781" s="917" t="str">
        <f>VLOOKUP($A3781,'Tech Litons'!$A:$C,3,0)</f>
        <v>PG</v>
      </c>
      <c r="J3781" s="918" t="str">
        <f t="shared" si="384"/>
        <v>1352PG</v>
      </c>
      <c r="K3781" s="919">
        <v>1</v>
      </c>
      <c r="L3781" s="920">
        <f t="shared" si="385"/>
        <v>3560</v>
      </c>
      <c r="M3781" s="920">
        <f t="shared" si="386"/>
        <v>18.754080000000002</v>
      </c>
      <c r="N3781" s="920">
        <f t="shared" si="387"/>
        <v>27.384615384615383</v>
      </c>
      <c r="O3781" s="918" t="str">
        <f t="shared" si="388"/>
        <v>Feb</v>
      </c>
      <c r="P3781" s="921">
        <f t="shared" si="389"/>
        <v>9</v>
      </c>
    </row>
    <row r="3782" spans="1:16" ht="15" hidden="1" customHeight="1">
      <c r="A3782" s="839">
        <v>69629468</v>
      </c>
      <c r="B3782" s="839">
        <v>1352</v>
      </c>
      <c r="C3782" s="906">
        <v>1560</v>
      </c>
      <c r="D3782" s="907">
        <v>46077</v>
      </c>
      <c r="E3782" s="839" t="s">
        <v>291</v>
      </c>
      <c r="F3782" s="839" t="s">
        <v>222</v>
      </c>
      <c r="G3782" s="916">
        <f>VLOOKUP($A3782,'Tech Litons'!$A:$I,8,FALSE)</f>
        <v>5.2680000000000001E-3</v>
      </c>
      <c r="H3782" s="917">
        <f>VLOOKUP($A3782,'Tech Litons'!$A:$I,9,FALSE)</f>
        <v>130</v>
      </c>
      <c r="I3782" s="917" t="str">
        <f>VLOOKUP($A3782,'Tech Litons'!$A:$C,3,0)</f>
        <v>PG</v>
      </c>
      <c r="J3782" s="918" t="str">
        <f t="shared" si="384"/>
        <v>1352PG</v>
      </c>
      <c r="K3782" s="919">
        <v>1</v>
      </c>
      <c r="L3782" s="920">
        <f t="shared" si="385"/>
        <v>1560</v>
      </c>
      <c r="M3782" s="920">
        <f t="shared" si="386"/>
        <v>8.2180800000000005</v>
      </c>
      <c r="N3782" s="920">
        <f t="shared" si="387"/>
        <v>12</v>
      </c>
      <c r="O3782" s="918" t="str">
        <f t="shared" si="388"/>
        <v>Feb</v>
      </c>
      <c r="P3782" s="921">
        <f t="shared" si="389"/>
        <v>9</v>
      </c>
    </row>
    <row r="3783" spans="1:16" ht="15" hidden="1" customHeight="1">
      <c r="A3783" s="839">
        <v>69629468</v>
      </c>
      <c r="B3783" s="839">
        <v>1352</v>
      </c>
      <c r="C3783" s="906">
        <v>2407</v>
      </c>
      <c r="D3783" s="907">
        <v>46078</v>
      </c>
      <c r="E3783" s="839" t="s">
        <v>291</v>
      </c>
      <c r="F3783" s="839" t="s">
        <v>222</v>
      </c>
      <c r="G3783" s="916">
        <f>VLOOKUP($A3783,'Tech Litons'!$A:$I,8,FALSE)</f>
        <v>5.2680000000000001E-3</v>
      </c>
      <c r="H3783" s="917">
        <f>VLOOKUP($A3783,'Tech Litons'!$A:$I,9,FALSE)</f>
        <v>130</v>
      </c>
      <c r="I3783" s="917" t="str">
        <f>VLOOKUP($A3783,'Tech Litons'!$A:$C,3,0)</f>
        <v>PG</v>
      </c>
      <c r="J3783" s="918" t="str">
        <f t="shared" si="384"/>
        <v>1352PG</v>
      </c>
      <c r="K3783" s="919">
        <v>1</v>
      </c>
      <c r="L3783" s="920">
        <f t="shared" si="385"/>
        <v>2407</v>
      </c>
      <c r="M3783" s="920">
        <f t="shared" si="386"/>
        <v>12.680076</v>
      </c>
      <c r="N3783" s="920">
        <f t="shared" si="387"/>
        <v>18.515384615384615</v>
      </c>
      <c r="O3783" s="918" t="str">
        <f t="shared" si="388"/>
        <v>Feb</v>
      </c>
      <c r="P3783" s="921">
        <f t="shared" si="389"/>
        <v>9</v>
      </c>
    </row>
    <row r="3784" spans="1:16" ht="15" hidden="1" customHeight="1">
      <c r="A3784" s="839">
        <v>69629468</v>
      </c>
      <c r="B3784" s="839">
        <v>1352</v>
      </c>
      <c r="C3784" s="906">
        <v>1820</v>
      </c>
      <c r="D3784" s="907">
        <v>46078</v>
      </c>
      <c r="E3784" s="839" t="s">
        <v>291</v>
      </c>
      <c r="F3784" s="839" t="s">
        <v>222</v>
      </c>
      <c r="G3784" s="916">
        <f>VLOOKUP($A3784,'Tech Litons'!$A:$I,8,FALSE)</f>
        <v>5.2680000000000001E-3</v>
      </c>
      <c r="H3784" s="917">
        <f>VLOOKUP($A3784,'Tech Litons'!$A:$I,9,FALSE)</f>
        <v>130</v>
      </c>
      <c r="I3784" s="917" t="str">
        <f>VLOOKUP($A3784,'Tech Litons'!$A:$C,3,0)</f>
        <v>PG</v>
      </c>
      <c r="J3784" s="918" t="str">
        <f t="shared" si="384"/>
        <v>1352PG</v>
      </c>
      <c r="K3784" s="919">
        <v>1</v>
      </c>
      <c r="L3784" s="920">
        <f t="shared" si="385"/>
        <v>1820</v>
      </c>
      <c r="M3784" s="920">
        <f t="shared" si="386"/>
        <v>9.5877599999999994</v>
      </c>
      <c r="N3784" s="920">
        <f t="shared" si="387"/>
        <v>14</v>
      </c>
      <c r="O3784" s="918" t="str">
        <f t="shared" si="388"/>
        <v>Feb</v>
      </c>
      <c r="P3784" s="921">
        <f t="shared" si="389"/>
        <v>9</v>
      </c>
    </row>
    <row r="3785" spans="1:16" ht="15" hidden="1" customHeight="1">
      <c r="A3785" s="839">
        <v>69629468</v>
      </c>
      <c r="B3785" s="839">
        <v>1352</v>
      </c>
      <c r="C3785" s="906">
        <v>3180</v>
      </c>
      <c r="D3785" s="907">
        <v>46079</v>
      </c>
      <c r="E3785" s="839" t="s">
        <v>291</v>
      </c>
      <c r="F3785" s="839" t="s">
        <v>222</v>
      </c>
      <c r="G3785" s="916">
        <f>VLOOKUP($A3785,'Tech Litons'!$A:$I,8,FALSE)</f>
        <v>5.2680000000000001E-3</v>
      </c>
      <c r="H3785" s="917">
        <f>VLOOKUP($A3785,'Tech Litons'!$A:$I,9,FALSE)</f>
        <v>130</v>
      </c>
      <c r="I3785" s="917" t="str">
        <f>VLOOKUP($A3785,'Tech Litons'!$A:$C,3,0)</f>
        <v>PG</v>
      </c>
      <c r="J3785" s="918" t="str">
        <f t="shared" si="384"/>
        <v>1352PG</v>
      </c>
      <c r="K3785" s="919">
        <v>1</v>
      </c>
      <c r="L3785" s="920">
        <f t="shared" si="385"/>
        <v>3180</v>
      </c>
      <c r="M3785" s="920">
        <f t="shared" si="386"/>
        <v>16.75224</v>
      </c>
      <c r="N3785" s="920">
        <f t="shared" si="387"/>
        <v>24.46153846153846</v>
      </c>
      <c r="O3785" s="918" t="str">
        <f t="shared" si="388"/>
        <v>Feb</v>
      </c>
      <c r="P3785" s="921">
        <f t="shared" si="389"/>
        <v>9</v>
      </c>
    </row>
    <row r="3786" spans="1:16" ht="15" hidden="1" customHeight="1">
      <c r="A3786" s="839">
        <v>69629468</v>
      </c>
      <c r="B3786" s="839">
        <v>1352</v>
      </c>
      <c r="C3786" s="906">
        <v>1820</v>
      </c>
      <c r="D3786" s="907">
        <v>46079</v>
      </c>
      <c r="E3786" s="839" t="s">
        <v>291</v>
      </c>
      <c r="F3786" s="839" t="s">
        <v>222</v>
      </c>
      <c r="G3786" s="916">
        <f>VLOOKUP($A3786,'Tech Litons'!$A:$I,8,FALSE)</f>
        <v>5.2680000000000001E-3</v>
      </c>
      <c r="H3786" s="917">
        <f>VLOOKUP($A3786,'Tech Litons'!$A:$I,9,FALSE)</f>
        <v>130</v>
      </c>
      <c r="I3786" s="917" t="str">
        <f>VLOOKUP($A3786,'Tech Litons'!$A:$C,3,0)</f>
        <v>PG</v>
      </c>
      <c r="J3786" s="918" t="str">
        <f t="shared" si="384"/>
        <v>1352PG</v>
      </c>
      <c r="K3786" s="919">
        <v>1</v>
      </c>
      <c r="L3786" s="920">
        <f t="shared" si="385"/>
        <v>1820</v>
      </c>
      <c r="M3786" s="920">
        <f t="shared" si="386"/>
        <v>9.5877599999999994</v>
      </c>
      <c r="N3786" s="920">
        <f t="shared" si="387"/>
        <v>14</v>
      </c>
      <c r="O3786" s="918" t="str">
        <f t="shared" si="388"/>
        <v>Feb</v>
      </c>
      <c r="P3786" s="921">
        <f t="shared" si="389"/>
        <v>9</v>
      </c>
    </row>
    <row r="3787" spans="1:16" ht="15" hidden="1" customHeight="1">
      <c r="A3787" s="839">
        <v>69629468</v>
      </c>
      <c r="B3787" s="839">
        <v>1352</v>
      </c>
      <c r="C3787" s="906">
        <v>2205</v>
      </c>
      <c r="D3787" s="907">
        <v>46080</v>
      </c>
      <c r="E3787" s="839" t="s">
        <v>291</v>
      </c>
      <c r="F3787" s="839" t="s">
        <v>222</v>
      </c>
      <c r="G3787" s="916">
        <f>VLOOKUP($A3787,'Tech Litons'!$A:$I,8,FALSE)</f>
        <v>5.2680000000000001E-3</v>
      </c>
      <c r="H3787" s="917">
        <f>VLOOKUP($A3787,'Tech Litons'!$A:$I,9,FALSE)</f>
        <v>130</v>
      </c>
      <c r="I3787" s="917" t="str">
        <f>VLOOKUP($A3787,'Tech Litons'!$A:$C,3,0)</f>
        <v>PG</v>
      </c>
      <c r="J3787" s="918" t="str">
        <f t="shared" si="384"/>
        <v>1352PG</v>
      </c>
      <c r="K3787" s="919">
        <v>1</v>
      </c>
      <c r="L3787" s="920">
        <f t="shared" si="385"/>
        <v>2205</v>
      </c>
      <c r="M3787" s="920">
        <f t="shared" si="386"/>
        <v>11.61594</v>
      </c>
      <c r="N3787" s="920">
        <f t="shared" si="387"/>
        <v>16.96153846153846</v>
      </c>
      <c r="O3787" s="918" t="str">
        <f t="shared" si="388"/>
        <v>Feb</v>
      </c>
      <c r="P3787" s="921">
        <f t="shared" si="389"/>
        <v>9</v>
      </c>
    </row>
    <row r="3788" spans="1:16" ht="15" hidden="1" customHeight="1">
      <c r="A3788" s="839">
        <v>69629468</v>
      </c>
      <c r="B3788" s="839">
        <v>1352</v>
      </c>
      <c r="C3788" s="906">
        <v>910</v>
      </c>
      <c r="D3788" s="907">
        <v>46090</v>
      </c>
      <c r="E3788" s="839" t="s">
        <v>291</v>
      </c>
      <c r="F3788" s="839" t="s">
        <v>222</v>
      </c>
      <c r="G3788" s="916">
        <f>VLOOKUP($A3788,'Tech Litons'!$A:$I,8,FALSE)</f>
        <v>5.2680000000000001E-3</v>
      </c>
      <c r="H3788" s="917">
        <f>VLOOKUP($A3788,'Tech Litons'!$A:$I,9,FALSE)</f>
        <v>130</v>
      </c>
      <c r="I3788" s="917" t="str">
        <f>VLOOKUP($A3788,'Tech Litons'!$A:$C,3,0)</f>
        <v>PG</v>
      </c>
      <c r="J3788" s="918" t="str">
        <f t="shared" si="384"/>
        <v>1352PG</v>
      </c>
      <c r="K3788" s="919">
        <v>1</v>
      </c>
      <c r="L3788" s="920">
        <f t="shared" si="385"/>
        <v>910</v>
      </c>
      <c r="M3788" s="920">
        <f t="shared" si="386"/>
        <v>4.7938799999999997</v>
      </c>
      <c r="N3788" s="920">
        <f t="shared" si="387"/>
        <v>7</v>
      </c>
      <c r="O3788" s="918" t="str">
        <f t="shared" si="388"/>
        <v>Mar</v>
      </c>
      <c r="P3788" s="921">
        <f t="shared" si="389"/>
        <v>11</v>
      </c>
    </row>
    <row r="3789" spans="1:16" ht="15" hidden="1" customHeight="1">
      <c r="A3789" s="839">
        <v>69629468</v>
      </c>
      <c r="B3789" s="839">
        <v>1352</v>
      </c>
      <c r="C3789" s="906">
        <v>2965</v>
      </c>
      <c r="D3789" s="907">
        <v>46091</v>
      </c>
      <c r="E3789" s="839" t="s">
        <v>291</v>
      </c>
      <c r="F3789" s="839" t="s">
        <v>222</v>
      </c>
      <c r="G3789" s="916">
        <f>VLOOKUP($A3789,'Tech Litons'!$A:$I,8,FALSE)</f>
        <v>5.2680000000000001E-3</v>
      </c>
      <c r="H3789" s="917">
        <f>VLOOKUP($A3789,'Tech Litons'!$A:$I,9,FALSE)</f>
        <v>130</v>
      </c>
      <c r="I3789" s="917" t="str">
        <f>VLOOKUP($A3789,'Tech Litons'!$A:$C,3,0)</f>
        <v>PG</v>
      </c>
      <c r="J3789" s="918" t="str">
        <f t="shared" si="384"/>
        <v>1352PG</v>
      </c>
      <c r="K3789" s="919">
        <v>1</v>
      </c>
      <c r="L3789" s="920">
        <f t="shared" si="385"/>
        <v>2965</v>
      </c>
      <c r="M3789" s="920">
        <f t="shared" si="386"/>
        <v>15.619620000000001</v>
      </c>
      <c r="N3789" s="920">
        <f t="shared" si="387"/>
        <v>22.807692307692307</v>
      </c>
      <c r="O3789" s="918" t="str">
        <f t="shared" si="388"/>
        <v>Mar</v>
      </c>
      <c r="P3789" s="921">
        <f t="shared" si="389"/>
        <v>11</v>
      </c>
    </row>
    <row r="3790" spans="1:16" ht="15" hidden="1" customHeight="1">
      <c r="A3790" s="839">
        <v>69629468</v>
      </c>
      <c r="B3790" s="839">
        <v>1352</v>
      </c>
      <c r="C3790" s="906">
        <v>2730</v>
      </c>
      <c r="D3790" s="907">
        <v>46091</v>
      </c>
      <c r="E3790" s="839" t="s">
        <v>291</v>
      </c>
      <c r="F3790" s="839" t="s">
        <v>222</v>
      </c>
      <c r="G3790" s="916">
        <f>VLOOKUP($A3790,'Tech Litons'!$A:$I,8,FALSE)</f>
        <v>5.2680000000000001E-3</v>
      </c>
      <c r="H3790" s="917">
        <f>VLOOKUP($A3790,'Tech Litons'!$A:$I,9,FALSE)</f>
        <v>130</v>
      </c>
      <c r="I3790" s="917" t="str">
        <f>VLOOKUP($A3790,'Tech Litons'!$A:$C,3,0)</f>
        <v>PG</v>
      </c>
      <c r="J3790" s="918" t="str">
        <f t="shared" si="384"/>
        <v>1352PG</v>
      </c>
      <c r="K3790" s="919">
        <v>1</v>
      </c>
      <c r="L3790" s="920">
        <f t="shared" si="385"/>
        <v>2730</v>
      </c>
      <c r="M3790" s="920">
        <f t="shared" si="386"/>
        <v>14.381640000000001</v>
      </c>
      <c r="N3790" s="920">
        <f t="shared" si="387"/>
        <v>21</v>
      </c>
      <c r="O3790" s="918" t="str">
        <f t="shared" si="388"/>
        <v>Mar</v>
      </c>
      <c r="P3790" s="921">
        <f t="shared" si="389"/>
        <v>11</v>
      </c>
    </row>
    <row r="3791" spans="1:16" ht="15" hidden="1" customHeight="1">
      <c r="A3791" s="839">
        <v>69629468</v>
      </c>
      <c r="B3791" s="839">
        <v>1352</v>
      </c>
      <c r="C3791" s="906">
        <v>3074</v>
      </c>
      <c r="D3791" s="907">
        <v>46092</v>
      </c>
      <c r="E3791" s="839" t="s">
        <v>291</v>
      </c>
      <c r="F3791" s="839" t="s">
        <v>222</v>
      </c>
      <c r="G3791" s="916">
        <f>VLOOKUP($A3791,'Tech Litons'!$A:$I,8,FALSE)</f>
        <v>5.2680000000000001E-3</v>
      </c>
      <c r="H3791" s="917">
        <f>VLOOKUP($A3791,'Tech Litons'!$A:$I,9,FALSE)</f>
        <v>130</v>
      </c>
      <c r="I3791" s="917" t="str">
        <f>VLOOKUP($A3791,'Tech Litons'!$A:$C,3,0)</f>
        <v>PG</v>
      </c>
      <c r="J3791" s="918" t="str">
        <f t="shared" si="384"/>
        <v>1352PG</v>
      </c>
      <c r="K3791" s="919">
        <v>1</v>
      </c>
      <c r="L3791" s="920">
        <f t="shared" si="385"/>
        <v>3074</v>
      </c>
      <c r="M3791" s="920">
        <f t="shared" si="386"/>
        <v>16.193832</v>
      </c>
      <c r="N3791" s="920">
        <f t="shared" si="387"/>
        <v>23.646153846153847</v>
      </c>
      <c r="O3791" s="918" t="str">
        <f t="shared" si="388"/>
        <v>Mar</v>
      </c>
      <c r="P3791" s="921">
        <f t="shared" si="389"/>
        <v>11</v>
      </c>
    </row>
    <row r="3792" spans="1:16" ht="15" hidden="1" customHeight="1">
      <c r="A3792" s="839">
        <v>69629468</v>
      </c>
      <c r="B3792" s="839">
        <v>1352</v>
      </c>
      <c r="C3792" s="906">
        <v>650</v>
      </c>
      <c r="D3792" s="907">
        <v>46083</v>
      </c>
      <c r="E3792" s="839" t="s">
        <v>291</v>
      </c>
      <c r="F3792" s="839" t="s">
        <v>222</v>
      </c>
      <c r="G3792" s="916">
        <f>VLOOKUP($A3792,'Tech Litons'!$A:$I,8,FALSE)</f>
        <v>5.2680000000000001E-3</v>
      </c>
      <c r="H3792" s="917">
        <f>VLOOKUP($A3792,'Tech Litons'!$A:$I,9,FALSE)</f>
        <v>130</v>
      </c>
      <c r="I3792" s="917" t="str">
        <f>VLOOKUP($A3792,'Tech Litons'!$A:$C,3,0)</f>
        <v>PG</v>
      </c>
      <c r="J3792" s="918" t="str">
        <f t="shared" si="384"/>
        <v>1352PG</v>
      </c>
      <c r="K3792" s="919">
        <v>1</v>
      </c>
      <c r="L3792" s="920">
        <f t="shared" si="385"/>
        <v>650</v>
      </c>
      <c r="M3792" s="920">
        <f t="shared" si="386"/>
        <v>3.4241999999999999</v>
      </c>
      <c r="N3792" s="920">
        <f t="shared" si="387"/>
        <v>5</v>
      </c>
      <c r="O3792" s="918" t="str">
        <f t="shared" si="388"/>
        <v>Mar</v>
      </c>
      <c r="P3792" s="921">
        <f t="shared" si="389"/>
        <v>10</v>
      </c>
    </row>
    <row r="3793" spans="1:16" ht="15" hidden="1" customHeight="1">
      <c r="A3793" s="839">
        <v>69629468</v>
      </c>
      <c r="B3793" s="839">
        <v>1352</v>
      </c>
      <c r="C3793" s="906">
        <v>2886</v>
      </c>
      <c r="D3793" s="907">
        <v>46084</v>
      </c>
      <c r="E3793" s="839" t="s">
        <v>291</v>
      </c>
      <c r="F3793" s="839" t="s">
        <v>222</v>
      </c>
      <c r="G3793" s="916">
        <f>VLOOKUP($A3793,'Tech Litons'!$A:$I,8,FALSE)</f>
        <v>5.2680000000000001E-3</v>
      </c>
      <c r="H3793" s="917">
        <f>VLOOKUP($A3793,'Tech Litons'!$A:$I,9,FALSE)</f>
        <v>130</v>
      </c>
      <c r="I3793" s="917" t="str">
        <f>VLOOKUP($A3793,'Tech Litons'!$A:$C,3,0)</f>
        <v>PG</v>
      </c>
      <c r="J3793" s="918" t="str">
        <f t="shared" si="384"/>
        <v>1352PG</v>
      </c>
      <c r="K3793" s="919">
        <v>1</v>
      </c>
      <c r="L3793" s="920">
        <f t="shared" si="385"/>
        <v>2886</v>
      </c>
      <c r="M3793" s="920">
        <f t="shared" si="386"/>
        <v>15.203448</v>
      </c>
      <c r="N3793" s="920">
        <f t="shared" si="387"/>
        <v>22.2</v>
      </c>
      <c r="O3793" s="918" t="str">
        <f t="shared" si="388"/>
        <v>Mar</v>
      </c>
      <c r="P3793" s="921">
        <f t="shared" si="389"/>
        <v>10</v>
      </c>
    </row>
    <row r="3794" spans="1:16" ht="15" hidden="1" customHeight="1">
      <c r="A3794" s="839">
        <v>69629468</v>
      </c>
      <c r="B3794" s="839">
        <v>1352</v>
      </c>
      <c r="C3794" s="906">
        <v>1430</v>
      </c>
      <c r="D3794" s="907">
        <v>46084</v>
      </c>
      <c r="E3794" s="839" t="s">
        <v>291</v>
      </c>
      <c r="F3794" s="839" t="s">
        <v>222</v>
      </c>
      <c r="G3794" s="916">
        <f>VLOOKUP($A3794,'Tech Litons'!$A:$I,8,FALSE)</f>
        <v>5.2680000000000001E-3</v>
      </c>
      <c r="H3794" s="917">
        <f>VLOOKUP($A3794,'Tech Litons'!$A:$I,9,FALSE)</f>
        <v>130</v>
      </c>
      <c r="I3794" s="917" t="str">
        <f>VLOOKUP($A3794,'Tech Litons'!$A:$C,3,0)</f>
        <v>PG</v>
      </c>
      <c r="J3794" s="918" t="str">
        <f t="shared" si="384"/>
        <v>1352PG</v>
      </c>
      <c r="K3794" s="919">
        <v>1</v>
      </c>
      <c r="L3794" s="920">
        <f t="shared" si="385"/>
        <v>1430</v>
      </c>
      <c r="M3794" s="920">
        <f t="shared" si="386"/>
        <v>7.5332400000000002</v>
      </c>
      <c r="N3794" s="920">
        <f t="shared" si="387"/>
        <v>11</v>
      </c>
      <c r="O3794" s="918" t="str">
        <f t="shared" si="388"/>
        <v>Mar</v>
      </c>
      <c r="P3794" s="921">
        <f t="shared" si="389"/>
        <v>10</v>
      </c>
    </row>
    <row r="3795" spans="1:16" ht="15" hidden="1" customHeight="1">
      <c r="A3795" s="839">
        <v>69629468</v>
      </c>
      <c r="B3795" s="839">
        <v>1352</v>
      </c>
      <c r="C3795" s="906">
        <v>2515</v>
      </c>
      <c r="D3795" s="907">
        <v>46085</v>
      </c>
      <c r="E3795" s="839" t="s">
        <v>291</v>
      </c>
      <c r="F3795" s="839" t="s">
        <v>222</v>
      </c>
      <c r="G3795" s="916">
        <f>VLOOKUP($A3795,'Tech Litons'!$A:$I,8,FALSE)</f>
        <v>5.2680000000000001E-3</v>
      </c>
      <c r="H3795" s="917">
        <f>VLOOKUP($A3795,'Tech Litons'!$A:$I,9,FALSE)</f>
        <v>130</v>
      </c>
      <c r="I3795" s="917" t="str">
        <f>VLOOKUP($A3795,'Tech Litons'!$A:$C,3,0)</f>
        <v>PG</v>
      </c>
      <c r="J3795" s="918" t="str">
        <f t="shared" si="384"/>
        <v>1352PG</v>
      </c>
      <c r="K3795" s="919">
        <v>1</v>
      </c>
      <c r="L3795" s="920">
        <f t="shared" si="385"/>
        <v>2515</v>
      </c>
      <c r="M3795" s="920">
        <f t="shared" si="386"/>
        <v>13.24902</v>
      </c>
      <c r="N3795" s="920">
        <f t="shared" si="387"/>
        <v>19.346153846153847</v>
      </c>
      <c r="O3795" s="918" t="str">
        <f t="shared" si="388"/>
        <v>Mar</v>
      </c>
      <c r="P3795" s="921">
        <f t="shared" si="389"/>
        <v>10</v>
      </c>
    </row>
    <row r="3796" spans="1:16" ht="15" hidden="1" customHeight="1">
      <c r="A3796" s="839">
        <v>69629468</v>
      </c>
      <c r="B3796" s="839">
        <v>1352</v>
      </c>
      <c r="C3796" s="906">
        <v>130</v>
      </c>
      <c r="D3796" s="907">
        <v>46086</v>
      </c>
      <c r="E3796" s="839" t="s">
        <v>291</v>
      </c>
      <c r="F3796" s="839" t="s">
        <v>222</v>
      </c>
      <c r="G3796" s="916">
        <f>VLOOKUP($A3796,'Tech Litons'!$A:$I,8,FALSE)</f>
        <v>5.2680000000000001E-3</v>
      </c>
      <c r="H3796" s="917">
        <f>VLOOKUP($A3796,'Tech Litons'!$A:$I,9,FALSE)</f>
        <v>130</v>
      </c>
      <c r="I3796" s="917" t="str">
        <f>VLOOKUP($A3796,'Tech Litons'!$A:$C,3,0)</f>
        <v>PG</v>
      </c>
      <c r="J3796" s="918" t="str">
        <f t="shared" si="384"/>
        <v>1352PG</v>
      </c>
      <c r="K3796" s="919">
        <v>1</v>
      </c>
      <c r="L3796" s="920">
        <f t="shared" si="385"/>
        <v>130</v>
      </c>
      <c r="M3796" s="920">
        <f t="shared" si="386"/>
        <v>0.68484</v>
      </c>
      <c r="N3796" s="920">
        <f t="shared" si="387"/>
        <v>1</v>
      </c>
      <c r="O3796" s="918" t="str">
        <f t="shared" si="388"/>
        <v>Mar</v>
      </c>
      <c r="P3796" s="921">
        <f t="shared" si="389"/>
        <v>10</v>
      </c>
    </row>
    <row r="3797" spans="1:16" ht="15" hidden="1" customHeight="1">
      <c r="A3797" s="839">
        <v>69629468</v>
      </c>
      <c r="B3797" s="839">
        <v>1352</v>
      </c>
      <c r="C3797" s="906">
        <v>1690</v>
      </c>
      <c r="D3797" s="907">
        <v>46085</v>
      </c>
      <c r="E3797" s="839" t="s">
        <v>291</v>
      </c>
      <c r="F3797" s="839" t="s">
        <v>222</v>
      </c>
      <c r="G3797" s="916">
        <f>VLOOKUP($A3797,'Tech Litons'!$A:$I,8,FALSE)</f>
        <v>5.2680000000000001E-3</v>
      </c>
      <c r="H3797" s="917">
        <f>VLOOKUP($A3797,'Tech Litons'!$A:$I,9,FALSE)</f>
        <v>130</v>
      </c>
      <c r="I3797" s="917" t="str">
        <f>VLOOKUP($A3797,'Tech Litons'!$A:$C,3,0)</f>
        <v>PG</v>
      </c>
      <c r="J3797" s="918" t="str">
        <f t="shared" si="384"/>
        <v>1352PG</v>
      </c>
      <c r="K3797" s="919">
        <v>1</v>
      </c>
      <c r="L3797" s="920">
        <f t="shared" si="385"/>
        <v>1690</v>
      </c>
      <c r="M3797" s="920">
        <f t="shared" si="386"/>
        <v>8.9029199999999999</v>
      </c>
      <c r="N3797" s="920">
        <f t="shared" si="387"/>
        <v>13</v>
      </c>
      <c r="O3797" s="918" t="str">
        <f t="shared" si="388"/>
        <v>Mar</v>
      </c>
      <c r="P3797" s="921">
        <f t="shared" si="389"/>
        <v>10</v>
      </c>
    </row>
    <row r="3798" spans="1:16" ht="15" hidden="1" customHeight="1">
      <c r="A3798" s="839">
        <v>69629468</v>
      </c>
      <c r="B3798" s="839">
        <v>1352</v>
      </c>
      <c r="C3798" s="906">
        <v>3156</v>
      </c>
      <c r="D3798" s="907">
        <v>46086</v>
      </c>
      <c r="E3798" s="839" t="s">
        <v>291</v>
      </c>
      <c r="F3798" s="839" t="s">
        <v>222</v>
      </c>
      <c r="G3798" s="916">
        <f>VLOOKUP($A3798,'Tech Litons'!$A:$I,8,FALSE)</f>
        <v>5.2680000000000001E-3</v>
      </c>
      <c r="H3798" s="917">
        <f>VLOOKUP($A3798,'Tech Litons'!$A:$I,9,FALSE)</f>
        <v>130</v>
      </c>
      <c r="I3798" s="917" t="str">
        <f>VLOOKUP($A3798,'Tech Litons'!$A:$C,3,0)</f>
        <v>PG</v>
      </c>
      <c r="J3798" s="918" t="str">
        <f t="shared" si="384"/>
        <v>1352PG</v>
      </c>
      <c r="K3798" s="919">
        <v>1</v>
      </c>
      <c r="L3798" s="920">
        <f t="shared" si="385"/>
        <v>3156</v>
      </c>
      <c r="M3798" s="920">
        <f t="shared" si="386"/>
        <v>16.625807999999999</v>
      </c>
      <c r="N3798" s="920">
        <f t="shared" si="387"/>
        <v>24.276923076923076</v>
      </c>
      <c r="O3798" s="918" t="str">
        <f t="shared" si="388"/>
        <v>Mar</v>
      </c>
      <c r="P3798" s="921">
        <f t="shared" si="389"/>
        <v>10</v>
      </c>
    </row>
    <row r="3799" spans="1:16" ht="15" hidden="1" customHeight="1">
      <c r="A3799" s="839">
        <v>69629468</v>
      </c>
      <c r="B3799" s="839">
        <v>1352</v>
      </c>
      <c r="C3799" s="906">
        <v>1560</v>
      </c>
      <c r="D3799" s="907">
        <v>46086</v>
      </c>
      <c r="E3799" s="839" t="s">
        <v>291</v>
      </c>
      <c r="F3799" s="839" t="s">
        <v>222</v>
      </c>
      <c r="G3799" s="916">
        <f>VLOOKUP($A3799,'Tech Litons'!$A:$I,8,FALSE)</f>
        <v>5.2680000000000001E-3</v>
      </c>
      <c r="H3799" s="917">
        <f>VLOOKUP($A3799,'Tech Litons'!$A:$I,9,FALSE)</f>
        <v>130</v>
      </c>
      <c r="I3799" s="917" t="str">
        <f>VLOOKUP($A3799,'Tech Litons'!$A:$C,3,0)</f>
        <v>PG</v>
      </c>
      <c r="J3799" s="918" t="str">
        <f t="shared" si="384"/>
        <v>1352PG</v>
      </c>
      <c r="K3799" s="919">
        <v>1</v>
      </c>
      <c r="L3799" s="920">
        <f t="shared" si="385"/>
        <v>1560</v>
      </c>
      <c r="M3799" s="920">
        <f t="shared" si="386"/>
        <v>8.2180800000000005</v>
      </c>
      <c r="N3799" s="920">
        <f t="shared" si="387"/>
        <v>12</v>
      </c>
      <c r="O3799" s="918" t="str">
        <f t="shared" si="388"/>
        <v>Mar</v>
      </c>
      <c r="P3799" s="921">
        <f t="shared" si="389"/>
        <v>10</v>
      </c>
    </row>
    <row r="3800" spans="1:16" ht="15" hidden="1" customHeight="1">
      <c r="A3800" s="839">
        <v>69629468</v>
      </c>
      <c r="B3800" s="839">
        <v>1352</v>
      </c>
      <c r="C3800" s="906">
        <v>3250</v>
      </c>
      <c r="D3800" s="907">
        <v>46087</v>
      </c>
      <c r="E3800" s="839" t="s">
        <v>291</v>
      </c>
      <c r="F3800" s="839" t="s">
        <v>222</v>
      </c>
      <c r="G3800" s="916">
        <f>VLOOKUP($A3800,'Tech Litons'!$A:$I,8,FALSE)</f>
        <v>5.2680000000000001E-3</v>
      </c>
      <c r="H3800" s="917">
        <f>VLOOKUP($A3800,'Tech Litons'!$A:$I,9,FALSE)</f>
        <v>130</v>
      </c>
      <c r="I3800" s="917" t="str">
        <f>VLOOKUP($A3800,'Tech Litons'!$A:$C,3,0)</f>
        <v>PG</v>
      </c>
      <c r="J3800" s="918" t="str">
        <f t="shared" si="384"/>
        <v>1352PG</v>
      </c>
      <c r="K3800" s="919">
        <v>1</v>
      </c>
      <c r="L3800" s="920">
        <f t="shared" si="385"/>
        <v>3250</v>
      </c>
      <c r="M3800" s="920">
        <f t="shared" si="386"/>
        <v>17.120999999999999</v>
      </c>
      <c r="N3800" s="920">
        <f t="shared" si="387"/>
        <v>25</v>
      </c>
      <c r="O3800" s="918" t="str">
        <f t="shared" si="388"/>
        <v>Mar</v>
      </c>
      <c r="P3800" s="921">
        <f t="shared" si="389"/>
        <v>10</v>
      </c>
    </row>
    <row r="3801" spans="1:16" ht="15" hidden="1" customHeight="1">
      <c r="A3801" s="839">
        <v>69629468</v>
      </c>
      <c r="B3801" s="839">
        <v>1352</v>
      </c>
      <c r="C3801" s="906">
        <v>826</v>
      </c>
      <c r="D3801" s="907">
        <v>46087</v>
      </c>
      <c r="E3801" s="839" t="s">
        <v>291</v>
      </c>
      <c r="F3801" s="839" t="s">
        <v>222</v>
      </c>
      <c r="G3801" s="916">
        <f>VLOOKUP($A3801,'Tech Litons'!$A:$I,8,FALSE)</f>
        <v>5.2680000000000001E-3</v>
      </c>
      <c r="H3801" s="917">
        <f>VLOOKUP($A3801,'Tech Litons'!$A:$I,9,FALSE)</f>
        <v>130</v>
      </c>
      <c r="I3801" s="917" t="str">
        <f>VLOOKUP($A3801,'Tech Litons'!$A:$C,3,0)</f>
        <v>PG</v>
      </c>
      <c r="J3801" s="918" t="str">
        <f t="shared" si="384"/>
        <v>1352PG</v>
      </c>
      <c r="K3801" s="919">
        <v>1</v>
      </c>
      <c r="L3801" s="920">
        <f t="shared" si="385"/>
        <v>826</v>
      </c>
      <c r="M3801" s="920">
        <f t="shared" si="386"/>
        <v>4.3513679999999999</v>
      </c>
      <c r="N3801" s="920">
        <f t="shared" si="387"/>
        <v>6.3538461538461535</v>
      </c>
      <c r="O3801" s="918" t="str">
        <f t="shared" si="388"/>
        <v>Mar</v>
      </c>
      <c r="P3801" s="921">
        <f t="shared" si="389"/>
        <v>10</v>
      </c>
    </row>
    <row r="3802" spans="1:16" ht="15" hidden="1" customHeight="1">
      <c r="A3802" s="839">
        <v>69629468</v>
      </c>
      <c r="B3802" s="839">
        <v>1352</v>
      </c>
      <c r="C3802" s="906">
        <v>2080</v>
      </c>
      <c r="D3802" s="907">
        <v>46092</v>
      </c>
      <c r="E3802" s="839" t="s">
        <v>291</v>
      </c>
      <c r="F3802" s="839" t="s">
        <v>222</v>
      </c>
      <c r="G3802" s="916">
        <f>VLOOKUP($A3802,'Tech Litons'!$A:$I,8,FALSE)</f>
        <v>5.2680000000000001E-3</v>
      </c>
      <c r="H3802" s="917">
        <f>VLOOKUP($A3802,'Tech Litons'!$A:$I,9,FALSE)</f>
        <v>130</v>
      </c>
      <c r="I3802" s="917" t="str">
        <f>VLOOKUP($A3802,'Tech Litons'!$A:$C,3,0)</f>
        <v>PG</v>
      </c>
      <c r="J3802" s="918" t="str">
        <f t="shared" si="384"/>
        <v>1352PG</v>
      </c>
      <c r="K3802" s="919">
        <v>1</v>
      </c>
      <c r="L3802" s="920">
        <f t="shared" si="385"/>
        <v>2080</v>
      </c>
      <c r="M3802" s="920">
        <f t="shared" si="386"/>
        <v>10.95744</v>
      </c>
      <c r="N3802" s="920">
        <f t="shared" si="387"/>
        <v>16</v>
      </c>
      <c r="O3802" s="918" t="str">
        <f t="shared" si="388"/>
        <v>Mar</v>
      </c>
      <c r="P3802" s="921">
        <f t="shared" si="389"/>
        <v>11</v>
      </c>
    </row>
    <row r="3803" spans="1:16" ht="15" hidden="1" customHeight="1">
      <c r="A3803" s="839">
        <v>69629468</v>
      </c>
      <c r="B3803" s="839">
        <v>1352</v>
      </c>
      <c r="C3803" s="906">
        <v>3486</v>
      </c>
      <c r="D3803" s="907">
        <v>46093</v>
      </c>
      <c r="E3803" s="839" t="s">
        <v>291</v>
      </c>
      <c r="F3803" s="839" t="s">
        <v>222</v>
      </c>
      <c r="G3803" s="916">
        <f>VLOOKUP($A3803,'Tech Litons'!$A:$I,8,FALSE)</f>
        <v>5.2680000000000001E-3</v>
      </c>
      <c r="H3803" s="917">
        <f>VLOOKUP($A3803,'Tech Litons'!$A:$I,9,FALSE)</f>
        <v>130</v>
      </c>
      <c r="I3803" s="917" t="str">
        <f>VLOOKUP($A3803,'Tech Litons'!$A:$C,3,0)</f>
        <v>PG</v>
      </c>
      <c r="J3803" s="918" t="str">
        <f t="shared" si="384"/>
        <v>1352PG</v>
      </c>
      <c r="K3803" s="919">
        <v>1</v>
      </c>
      <c r="L3803" s="920">
        <f t="shared" si="385"/>
        <v>3486</v>
      </c>
      <c r="M3803" s="920">
        <f t="shared" si="386"/>
        <v>18.364248</v>
      </c>
      <c r="N3803" s="920">
        <f t="shared" si="387"/>
        <v>26.815384615384616</v>
      </c>
      <c r="O3803" s="918" t="str">
        <f t="shared" si="388"/>
        <v>Mar</v>
      </c>
      <c r="P3803" s="921">
        <f t="shared" si="389"/>
        <v>11</v>
      </c>
    </row>
    <row r="3804" spans="1:16" ht="15" hidden="1" customHeight="1">
      <c r="A3804" s="839">
        <v>69629468</v>
      </c>
      <c r="B3804" s="839">
        <v>1352</v>
      </c>
      <c r="C3804" s="906">
        <v>2080</v>
      </c>
      <c r="D3804" s="907">
        <v>46093</v>
      </c>
      <c r="E3804" s="839" t="s">
        <v>291</v>
      </c>
      <c r="F3804" s="839" t="s">
        <v>222</v>
      </c>
      <c r="G3804" s="916">
        <f>VLOOKUP($A3804,'Tech Litons'!$A:$I,8,FALSE)</f>
        <v>5.2680000000000001E-3</v>
      </c>
      <c r="H3804" s="917">
        <f>VLOOKUP($A3804,'Tech Litons'!$A:$I,9,FALSE)</f>
        <v>130</v>
      </c>
      <c r="I3804" s="917" t="str">
        <f>VLOOKUP($A3804,'Tech Litons'!$A:$C,3,0)</f>
        <v>PG</v>
      </c>
      <c r="J3804" s="918" t="str">
        <f t="shared" si="384"/>
        <v>1352PG</v>
      </c>
      <c r="K3804" s="919">
        <v>1</v>
      </c>
      <c r="L3804" s="920">
        <f t="shared" si="385"/>
        <v>2080</v>
      </c>
      <c r="M3804" s="920">
        <f t="shared" si="386"/>
        <v>10.95744</v>
      </c>
      <c r="N3804" s="920">
        <f t="shared" si="387"/>
        <v>16</v>
      </c>
      <c r="O3804" s="918" t="str">
        <f t="shared" si="388"/>
        <v>Mar</v>
      </c>
      <c r="P3804" s="921">
        <f t="shared" si="389"/>
        <v>11</v>
      </c>
    </row>
    <row r="3805" spans="1:16" ht="15" hidden="1" customHeight="1">
      <c r="A3805" s="839">
        <v>69629468</v>
      </c>
      <c r="B3805" s="839">
        <v>1352</v>
      </c>
      <c r="C3805" s="906">
        <v>1188</v>
      </c>
      <c r="D3805" s="907">
        <v>46094</v>
      </c>
      <c r="E3805" s="839" t="s">
        <v>291</v>
      </c>
      <c r="F3805" s="839" t="s">
        <v>222</v>
      </c>
      <c r="G3805" s="916">
        <f>VLOOKUP($A3805,'Tech Litons'!$A:$I,8,FALSE)</f>
        <v>5.2680000000000001E-3</v>
      </c>
      <c r="H3805" s="917">
        <f>VLOOKUP($A3805,'Tech Litons'!$A:$I,9,FALSE)</f>
        <v>130</v>
      </c>
      <c r="I3805" s="917" t="str">
        <f>VLOOKUP($A3805,'Tech Litons'!$A:$C,3,0)</f>
        <v>PG</v>
      </c>
      <c r="J3805" s="918" t="str">
        <f t="shared" si="384"/>
        <v>1352PG</v>
      </c>
      <c r="K3805" s="919">
        <v>1</v>
      </c>
      <c r="L3805" s="920">
        <f t="shared" si="385"/>
        <v>1188</v>
      </c>
      <c r="M3805" s="920">
        <f t="shared" si="386"/>
        <v>6.2583840000000004</v>
      </c>
      <c r="N3805" s="920">
        <f t="shared" si="387"/>
        <v>9.138461538461538</v>
      </c>
      <c r="O3805" s="918" t="str">
        <f t="shared" si="388"/>
        <v>Mar</v>
      </c>
      <c r="P3805" s="921">
        <f t="shared" si="389"/>
        <v>11</v>
      </c>
    </row>
    <row r="3806" spans="1:16" ht="15" hidden="1" customHeight="1">
      <c r="A3806" s="839">
        <v>69629468</v>
      </c>
      <c r="B3806" s="839">
        <v>1352</v>
      </c>
      <c r="C3806" s="906">
        <v>1430</v>
      </c>
      <c r="D3806" s="907">
        <v>46097</v>
      </c>
      <c r="E3806" s="839" t="s">
        <v>291</v>
      </c>
      <c r="F3806" s="839" t="s">
        <v>222</v>
      </c>
      <c r="G3806" s="916">
        <f>VLOOKUP($A3806,'Tech Litons'!$A:$I,8,FALSE)</f>
        <v>5.2680000000000001E-3</v>
      </c>
      <c r="H3806" s="917">
        <f>VLOOKUP($A3806,'Tech Litons'!$A:$I,9,FALSE)</f>
        <v>130</v>
      </c>
      <c r="I3806" s="917" t="str">
        <f>VLOOKUP($A3806,'Tech Litons'!$A:$C,3,0)</f>
        <v>PG</v>
      </c>
      <c r="J3806" s="918" t="str">
        <f t="shared" si="384"/>
        <v>1352PG</v>
      </c>
      <c r="K3806" s="919">
        <v>1</v>
      </c>
      <c r="L3806" s="920">
        <f t="shared" si="385"/>
        <v>1430</v>
      </c>
      <c r="M3806" s="920">
        <f t="shared" si="386"/>
        <v>7.5332400000000002</v>
      </c>
      <c r="N3806" s="920">
        <f t="shared" si="387"/>
        <v>11</v>
      </c>
      <c r="O3806" s="918" t="str">
        <f t="shared" si="388"/>
        <v>Mar</v>
      </c>
      <c r="P3806" s="921">
        <f t="shared" si="389"/>
        <v>12</v>
      </c>
    </row>
    <row r="3807" spans="1:16" ht="15" hidden="1" customHeight="1">
      <c r="A3807" s="839">
        <v>69629468</v>
      </c>
      <c r="B3807" s="839">
        <v>1352</v>
      </c>
      <c r="C3807" s="906">
        <v>1560</v>
      </c>
      <c r="D3807" s="907">
        <v>46098</v>
      </c>
      <c r="E3807" s="839" t="s">
        <v>291</v>
      </c>
      <c r="F3807" s="839" t="s">
        <v>222</v>
      </c>
      <c r="G3807" s="916">
        <f>VLOOKUP($A3807,'Tech Litons'!$A:$I,8,FALSE)</f>
        <v>5.2680000000000001E-3</v>
      </c>
      <c r="H3807" s="917">
        <f>VLOOKUP($A3807,'Tech Litons'!$A:$I,9,FALSE)</f>
        <v>130</v>
      </c>
      <c r="I3807" s="917" t="str">
        <f>VLOOKUP($A3807,'Tech Litons'!$A:$C,3,0)</f>
        <v>PG</v>
      </c>
      <c r="J3807" s="918" t="str">
        <f t="shared" si="384"/>
        <v>1352PG</v>
      </c>
      <c r="K3807" s="919">
        <v>1</v>
      </c>
      <c r="L3807" s="920">
        <f t="shared" si="385"/>
        <v>1560</v>
      </c>
      <c r="M3807" s="920">
        <f t="shared" si="386"/>
        <v>8.2180800000000005</v>
      </c>
      <c r="N3807" s="920">
        <f t="shared" si="387"/>
        <v>12</v>
      </c>
      <c r="O3807" s="918" t="str">
        <f t="shared" si="388"/>
        <v>Mar</v>
      </c>
      <c r="P3807" s="921">
        <f t="shared" si="389"/>
        <v>12</v>
      </c>
    </row>
    <row r="3808" spans="1:16" ht="15" hidden="1" customHeight="1">
      <c r="A3808" s="839">
        <v>69629468</v>
      </c>
      <c r="B3808" s="839">
        <v>1352</v>
      </c>
      <c r="C3808" s="906">
        <v>1950</v>
      </c>
      <c r="D3808" s="907">
        <v>46098</v>
      </c>
      <c r="E3808" s="839" t="s">
        <v>291</v>
      </c>
      <c r="F3808" s="839" t="s">
        <v>222</v>
      </c>
      <c r="G3808" s="916">
        <f>VLOOKUP($A3808,'Tech Litons'!$A:$I,8,FALSE)</f>
        <v>5.2680000000000001E-3</v>
      </c>
      <c r="H3808" s="917">
        <f>VLOOKUP($A3808,'Tech Litons'!$A:$I,9,FALSE)</f>
        <v>130</v>
      </c>
      <c r="I3808" s="917" t="str">
        <f>VLOOKUP($A3808,'Tech Litons'!$A:$C,3,0)</f>
        <v>PG</v>
      </c>
      <c r="J3808" s="918" t="str">
        <f t="shared" si="384"/>
        <v>1352PG</v>
      </c>
      <c r="K3808" s="919">
        <v>1</v>
      </c>
      <c r="L3808" s="920">
        <f t="shared" si="385"/>
        <v>1950</v>
      </c>
      <c r="M3808" s="920">
        <f t="shared" si="386"/>
        <v>10.272600000000001</v>
      </c>
      <c r="N3808" s="920">
        <f t="shared" si="387"/>
        <v>15</v>
      </c>
      <c r="O3808" s="918" t="str">
        <f t="shared" si="388"/>
        <v>Mar</v>
      </c>
      <c r="P3808" s="921">
        <f t="shared" si="389"/>
        <v>12</v>
      </c>
    </row>
    <row r="3809" spans="1:16" ht="15" hidden="1" customHeight="1">
      <c r="A3809" s="839">
        <v>69629468</v>
      </c>
      <c r="B3809" s="839">
        <v>1352</v>
      </c>
      <c r="C3809" s="906">
        <v>2361</v>
      </c>
      <c r="D3809" s="907">
        <v>46099</v>
      </c>
      <c r="E3809" s="839" t="s">
        <v>291</v>
      </c>
      <c r="F3809" s="839" t="s">
        <v>222</v>
      </c>
      <c r="G3809" s="916">
        <f>VLOOKUP($A3809,'Tech Litons'!$A:$I,8,FALSE)</f>
        <v>5.2680000000000001E-3</v>
      </c>
      <c r="H3809" s="917">
        <f>VLOOKUP($A3809,'Tech Litons'!$A:$I,9,FALSE)</f>
        <v>130</v>
      </c>
      <c r="I3809" s="917" t="str">
        <f>VLOOKUP($A3809,'Tech Litons'!$A:$C,3,0)</f>
        <v>PG</v>
      </c>
      <c r="J3809" s="918" t="str">
        <f t="shared" si="384"/>
        <v>1352PG</v>
      </c>
      <c r="K3809" s="919">
        <v>1</v>
      </c>
      <c r="L3809" s="920">
        <f t="shared" si="385"/>
        <v>2361</v>
      </c>
      <c r="M3809" s="920">
        <f t="shared" si="386"/>
        <v>12.437748000000001</v>
      </c>
      <c r="N3809" s="920">
        <f t="shared" si="387"/>
        <v>18.161538461538463</v>
      </c>
      <c r="O3809" s="918" t="str">
        <f t="shared" si="388"/>
        <v>Mar</v>
      </c>
      <c r="P3809" s="921">
        <f t="shared" si="389"/>
        <v>12</v>
      </c>
    </row>
    <row r="3810" spans="1:16" ht="15" hidden="1" customHeight="1">
      <c r="A3810" s="839">
        <v>69629468</v>
      </c>
      <c r="B3810" s="839">
        <v>1352</v>
      </c>
      <c r="C3810" s="906">
        <v>1690</v>
      </c>
      <c r="D3810" s="907">
        <v>46099</v>
      </c>
      <c r="E3810" s="839" t="s">
        <v>291</v>
      </c>
      <c r="F3810" s="839" t="s">
        <v>222</v>
      </c>
      <c r="G3810" s="916">
        <f>VLOOKUP($A3810,'Tech Litons'!$A:$I,8,FALSE)</f>
        <v>5.2680000000000001E-3</v>
      </c>
      <c r="H3810" s="917">
        <f>VLOOKUP($A3810,'Tech Litons'!$A:$I,9,FALSE)</f>
        <v>130</v>
      </c>
      <c r="I3810" s="917" t="str">
        <f>VLOOKUP($A3810,'Tech Litons'!$A:$C,3,0)</f>
        <v>PG</v>
      </c>
      <c r="J3810" s="918" t="str">
        <f t="shared" si="384"/>
        <v>1352PG</v>
      </c>
      <c r="K3810" s="919">
        <v>1</v>
      </c>
      <c r="L3810" s="920">
        <f t="shared" si="385"/>
        <v>1690</v>
      </c>
      <c r="M3810" s="920">
        <f t="shared" si="386"/>
        <v>8.9029199999999999</v>
      </c>
      <c r="N3810" s="920">
        <f t="shared" si="387"/>
        <v>13</v>
      </c>
      <c r="O3810" s="918" t="str">
        <f t="shared" si="388"/>
        <v>Mar</v>
      </c>
      <c r="P3810" s="921">
        <f t="shared" si="389"/>
        <v>12</v>
      </c>
    </row>
    <row r="3811" spans="1:16" ht="15" hidden="1" customHeight="1">
      <c r="A3811" s="839">
        <v>69629468</v>
      </c>
      <c r="B3811" s="839">
        <v>1352</v>
      </c>
      <c r="C3811" s="906">
        <v>3350</v>
      </c>
      <c r="D3811" s="907">
        <v>46100</v>
      </c>
      <c r="E3811" s="839" t="s">
        <v>291</v>
      </c>
      <c r="F3811" s="839" t="s">
        <v>222</v>
      </c>
      <c r="G3811" s="916">
        <f>VLOOKUP($A3811,'Tech Litons'!$A:$I,8,FALSE)</f>
        <v>5.2680000000000001E-3</v>
      </c>
      <c r="H3811" s="917">
        <f>VLOOKUP($A3811,'Tech Litons'!$A:$I,9,FALSE)</f>
        <v>130</v>
      </c>
      <c r="I3811" s="917" t="str">
        <f>VLOOKUP($A3811,'Tech Litons'!$A:$C,3,0)</f>
        <v>PG</v>
      </c>
      <c r="J3811" s="918" t="str">
        <f t="shared" si="384"/>
        <v>1352PG</v>
      </c>
      <c r="K3811" s="919">
        <v>1</v>
      </c>
      <c r="L3811" s="920">
        <f t="shared" si="385"/>
        <v>3350</v>
      </c>
      <c r="M3811" s="920">
        <f t="shared" si="386"/>
        <v>17.6478</v>
      </c>
      <c r="N3811" s="920">
        <f t="shared" si="387"/>
        <v>25.76923076923077</v>
      </c>
      <c r="O3811" s="918" t="str">
        <f t="shared" si="388"/>
        <v>Mar</v>
      </c>
      <c r="P3811" s="921">
        <f t="shared" si="389"/>
        <v>12</v>
      </c>
    </row>
    <row r="3812" spans="1:16" ht="15" hidden="1" customHeight="1">
      <c r="A3812" s="839">
        <v>69629468</v>
      </c>
      <c r="B3812" s="839">
        <v>1352</v>
      </c>
      <c r="C3812" s="906">
        <v>1950</v>
      </c>
      <c r="D3812" s="907">
        <v>46100</v>
      </c>
      <c r="E3812" s="839" t="s">
        <v>291</v>
      </c>
      <c r="F3812" s="839" t="s">
        <v>222</v>
      </c>
      <c r="G3812" s="916">
        <f>VLOOKUP($A3812,'Tech Litons'!$A:$I,8,FALSE)</f>
        <v>5.2680000000000001E-3</v>
      </c>
      <c r="H3812" s="917">
        <f>VLOOKUP($A3812,'Tech Litons'!$A:$I,9,FALSE)</f>
        <v>130</v>
      </c>
      <c r="I3812" s="917" t="str">
        <f>VLOOKUP($A3812,'Tech Litons'!$A:$C,3,0)</f>
        <v>PG</v>
      </c>
      <c r="J3812" s="918" t="str">
        <f t="shared" si="384"/>
        <v>1352PG</v>
      </c>
      <c r="K3812" s="919">
        <v>1</v>
      </c>
      <c r="L3812" s="920">
        <f t="shared" si="385"/>
        <v>1950</v>
      </c>
      <c r="M3812" s="920">
        <f t="shared" si="386"/>
        <v>10.272600000000001</v>
      </c>
      <c r="N3812" s="920">
        <f t="shared" si="387"/>
        <v>15</v>
      </c>
      <c r="O3812" s="918" t="str">
        <f t="shared" si="388"/>
        <v>Mar</v>
      </c>
      <c r="P3812" s="921">
        <f t="shared" si="389"/>
        <v>12</v>
      </c>
    </row>
    <row r="3813" spans="1:16" ht="15" hidden="1" customHeight="1">
      <c r="A3813" s="839">
        <v>69629468</v>
      </c>
      <c r="B3813" s="839">
        <v>1352</v>
      </c>
      <c r="C3813" s="906">
        <v>2438</v>
      </c>
      <c r="D3813" s="907">
        <v>46101</v>
      </c>
      <c r="E3813" s="839" t="s">
        <v>291</v>
      </c>
      <c r="F3813" s="839" t="s">
        <v>222</v>
      </c>
      <c r="G3813" s="916">
        <f>VLOOKUP($A3813,'Tech Litons'!$A:$I,8,FALSE)</f>
        <v>5.2680000000000001E-3</v>
      </c>
      <c r="H3813" s="917">
        <f>VLOOKUP($A3813,'Tech Litons'!$A:$I,9,FALSE)</f>
        <v>130</v>
      </c>
      <c r="I3813" s="917" t="str">
        <f>VLOOKUP($A3813,'Tech Litons'!$A:$C,3,0)</f>
        <v>PG</v>
      </c>
      <c r="J3813" s="918" t="str">
        <f t="shared" si="384"/>
        <v>1352PG</v>
      </c>
      <c r="K3813" s="919">
        <v>1</v>
      </c>
      <c r="L3813" s="920">
        <f t="shared" si="385"/>
        <v>2438</v>
      </c>
      <c r="M3813" s="920">
        <f t="shared" si="386"/>
        <v>12.843384</v>
      </c>
      <c r="N3813" s="920">
        <f t="shared" si="387"/>
        <v>18.753846153846155</v>
      </c>
      <c r="O3813" s="918" t="str">
        <f t="shared" si="388"/>
        <v>Mar</v>
      </c>
      <c r="P3813" s="921">
        <f t="shared" si="389"/>
        <v>12</v>
      </c>
    </row>
    <row r="3814" spans="1:16" ht="15" hidden="1" customHeight="1">
      <c r="A3814" s="839">
        <v>69629468</v>
      </c>
      <c r="B3814" s="839">
        <v>1352</v>
      </c>
      <c r="C3814" s="906">
        <v>390</v>
      </c>
      <c r="D3814" s="907">
        <v>46102</v>
      </c>
      <c r="E3814" s="839" t="s">
        <v>291</v>
      </c>
      <c r="F3814" s="839" t="s">
        <v>222</v>
      </c>
      <c r="G3814" s="916">
        <f>VLOOKUP($A3814,'Tech Litons'!$A:$I,8,FALSE)</f>
        <v>5.2680000000000001E-3</v>
      </c>
      <c r="H3814" s="917">
        <f>VLOOKUP($A3814,'Tech Litons'!$A:$I,9,FALSE)</f>
        <v>130</v>
      </c>
      <c r="I3814" s="917" t="str">
        <f>VLOOKUP($A3814,'Tech Litons'!$A:$C,3,0)</f>
        <v>PG</v>
      </c>
      <c r="J3814" s="918" t="str">
        <f t="shared" si="384"/>
        <v>1352PG</v>
      </c>
      <c r="K3814" s="919">
        <v>1</v>
      </c>
      <c r="L3814" s="920">
        <f t="shared" si="385"/>
        <v>390</v>
      </c>
      <c r="M3814" s="920">
        <f t="shared" si="386"/>
        <v>2.0545200000000001</v>
      </c>
      <c r="N3814" s="920">
        <f t="shared" si="387"/>
        <v>3</v>
      </c>
      <c r="O3814" s="918" t="str">
        <f t="shared" si="388"/>
        <v>Mar</v>
      </c>
      <c r="P3814" s="921">
        <f t="shared" si="389"/>
        <v>12</v>
      </c>
    </row>
    <row r="3815" spans="1:16" ht="15" hidden="1" customHeight="1">
      <c r="A3815" s="839">
        <v>69629468</v>
      </c>
      <c r="B3815" s="839">
        <v>1352</v>
      </c>
      <c r="C3815" s="906">
        <v>1262</v>
      </c>
      <c r="D3815" s="907">
        <v>46102</v>
      </c>
      <c r="E3815" s="839" t="s">
        <v>291</v>
      </c>
      <c r="F3815" s="839" t="s">
        <v>222</v>
      </c>
      <c r="G3815" s="916">
        <f>VLOOKUP($A3815,'Tech Litons'!$A:$I,8,FALSE)</f>
        <v>5.2680000000000001E-3</v>
      </c>
      <c r="H3815" s="917">
        <f>VLOOKUP($A3815,'Tech Litons'!$A:$I,9,FALSE)</f>
        <v>130</v>
      </c>
      <c r="I3815" s="917" t="str">
        <f>VLOOKUP($A3815,'Tech Litons'!$A:$C,3,0)</f>
        <v>PG</v>
      </c>
      <c r="J3815" s="918" t="str">
        <f t="shared" si="384"/>
        <v>1352PG</v>
      </c>
      <c r="K3815" s="919">
        <v>1</v>
      </c>
      <c r="L3815" s="920">
        <f t="shared" si="385"/>
        <v>1262</v>
      </c>
      <c r="M3815" s="920">
        <f t="shared" si="386"/>
        <v>6.6482160000000006</v>
      </c>
      <c r="N3815" s="920">
        <f t="shared" si="387"/>
        <v>9.707692307692307</v>
      </c>
      <c r="O3815" s="918" t="str">
        <f t="shared" si="388"/>
        <v>Mar</v>
      </c>
      <c r="P3815" s="921">
        <f t="shared" si="389"/>
        <v>12</v>
      </c>
    </row>
    <row r="3816" spans="1:16" ht="15" hidden="1" customHeight="1">
      <c r="A3816" s="839">
        <v>69629468</v>
      </c>
      <c r="B3816" s="839">
        <v>1352</v>
      </c>
      <c r="C3816" s="906">
        <v>390</v>
      </c>
      <c r="D3816" s="907">
        <v>46104</v>
      </c>
      <c r="E3816" s="839" t="s">
        <v>291</v>
      </c>
      <c r="F3816" s="839" t="s">
        <v>222</v>
      </c>
      <c r="G3816" s="916">
        <f>VLOOKUP($A3816,'Tech Litons'!$A:$I,8,FALSE)</f>
        <v>5.2680000000000001E-3</v>
      </c>
      <c r="H3816" s="917">
        <f>VLOOKUP($A3816,'Tech Litons'!$A:$I,9,FALSE)</f>
        <v>130</v>
      </c>
      <c r="I3816" s="917" t="str">
        <f>VLOOKUP($A3816,'Tech Litons'!$A:$C,3,0)</f>
        <v>PG</v>
      </c>
      <c r="J3816" s="918" t="str">
        <f t="shared" si="384"/>
        <v>1352PG</v>
      </c>
      <c r="K3816" s="919">
        <v>1</v>
      </c>
      <c r="L3816" s="920">
        <f t="shared" si="385"/>
        <v>390</v>
      </c>
      <c r="M3816" s="920">
        <f t="shared" si="386"/>
        <v>2.0545200000000001</v>
      </c>
      <c r="N3816" s="920">
        <f t="shared" si="387"/>
        <v>3</v>
      </c>
      <c r="O3816" s="918" t="str">
        <f t="shared" si="388"/>
        <v>Mar</v>
      </c>
      <c r="P3816" s="921">
        <f t="shared" si="389"/>
        <v>13</v>
      </c>
    </row>
    <row r="3817" spans="1:16" ht="15" hidden="1" customHeight="1">
      <c r="A3817" s="839">
        <v>69629468</v>
      </c>
      <c r="B3817" s="839">
        <v>1352</v>
      </c>
      <c r="C3817" s="906">
        <v>1683</v>
      </c>
      <c r="D3817" s="907">
        <v>46105</v>
      </c>
      <c r="E3817" s="839" t="s">
        <v>291</v>
      </c>
      <c r="F3817" s="839" t="s">
        <v>222</v>
      </c>
      <c r="G3817" s="916">
        <f>VLOOKUP($A3817,'Tech Litons'!$A:$I,8,FALSE)</f>
        <v>5.2680000000000001E-3</v>
      </c>
      <c r="H3817" s="917">
        <f>VLOOKUP($A3817,'Tech Litons'!$A:$I,9,FALSE)</f>
        <v>130</v>
      </c>
      <c r="I3817" s="917" t="str">
        <f>VLOOKUP($A3817,'Tech Litons'!$A:$C,3,0)</f>
        <v>PG</v>
      </c>
      <c r="J3817" s="918" t="str">
        <f t="shared" si="384"/>
        <v>1352PG</v>
      </c>
      <c r="K3817" s="919">
        <v>1</v>
      </c>
      <c r="L3817" s="920">
        <f t="shared" si="385"/>
        <v>1683</v>
      </c>
      <c r="M3817" s="920">
        <f t="shared" si="386"/>
        <v>8.8660440000000005</v>
      </c>
      <c r="N3817" s="920">
        <f t="shared" si="387"/>
        <v>12.946153846153846</v>
      </c>
      <c r="O3817" s="918" t="str">
        <f t="shared" si="388"/>
        <v>Mar</v>
      </c>
      <c r="P3817" s="921">
        <f t="shared" si="389"/>
        <v>13</v>
      </c>
    </row>
    <row r="3818" spans="1:16" ht="15" hidden="1" customHeight="1">
      <c r="A3818" s="839">
        <v>69629468</v>
      </c>
      <c r="B3818" s="839">
        <v>1352</v>
      </c>
      <c r="C3818" s="906">
        <v>2080</v>
      </c>
      <c r="D3818" s="907">
        <v>46105</v>
      </c>
      <c r="E3818" s="839" t="s">
        <v>291</v>
      </c>
      <c r="F3818" s="839" t="s">
        <v>222</v>
      </c>
      <c r="G3818" s="916">
        <f>VLOOKUP($A3818,'Tech Litons'!$A:$I,8,FALSE)</f>
        <v>5.2680000000000001E-3</v>
      </c>
      <c r="H3818" s="917">
        <f>VLOOKUP($A3818,'Tech Litons'!$A:$I,9,FALSE)</f>
        <v>130</v>
      </c>
      <c r="I3818" s="917" t="str">
        <f>VLOOKUP($A3818,'Tech Litons'!$A:$C,3,0)</f>
        <v>PG</v>
      </c>
      <c r="J3818" s="918" t="str">
        <f t="shared" si="384"/>
        <v>1352PG</v>
      </c>
      <c r="K3818" s="919">
        <v>1</v>
      </c>
      <c r="L3818" s="920">
        <f t="shared" si="385"/>
        <v>2080</v>
      </c>
      <c r="M3818" s="920">
        <f t="shared" si="386"/>
        <v>10.95744</v>
      </c>
      <c r="N3818" s="920">
        <f t="shared" si="387"/>
        <v>16</v>
      </c>
      <c r="O3818" s="918" t="str">
        <f t="shared" si="388"/>
        <v>Mar</v>
      </c>
      <c r="P3818" s="921">
        <f t="shared" si="389"/>
        <v>13</v>
      </c>
    </row>
    <row r="3819" spans="1:16" ht="15" hidden="1" customHeight="1">
      <c r="A3819" s="839">
        <v>69700048</v>
      </c>
      <c r="B3819" s="839">
        <v>1352</v>
      </c>
      <c r="C3819" s="906">
        <v>2475</v>
      </c>
      <c r="D3819" s="907">
        <v>46083</v>
      </c>
      <c r="E3819" s="839" t="s">
        <v>328</v>
      </c>
      <c r="F3819" s="839" t="s">
        <v>287</v>
      </c>
      <c r="G3819" s="916">
        <f>VLOOKUP($A3819,'Tech Litons'!$A:$I,8,FALSE)</f>
        <v>2.7360000000000002E-3</v>
      </c>
      <c r="H3819" s="917">
        <f>VLOOKUP($A3819,'Tech Litons'!$A:$I,9,FALSE)</f>
        <v>225</v>
      </c>
      <c r="I3819" s="917" t="str">
        <f>VLOOKUP($A3819,'Tech Litons'!$A:$C,3,0)</f>
        <v>MBG</v>
      </c>
      <c r="J3819" s="918" t="str">
        <f t="shared" si="384"/>
        <v>1352MBG</v>
      </c>
      <c r="K3819" s="919">
        <v>1</v>
      </c>
      <c r="L3819" s="920">
        <f t="shared" si="385"/>
        <v>2475</v>
      </c>
      <c r="M3819" s="920">
        <f t="shared" si="386"/>
        <v>6.7716000000000003</v>
      </c>
      <c r="N3819" s="920">
        <f t="shared" si="387"/>
        <v>11</v>
      </c>
      <c r="O3819" s="918" t="str">
        <f t="shared" si="388"/>
        <v>Mar</v>
      </c>
      <c r="P3819" s="921">
        <f t="shared" si="389"/>
        <v>10</v>
      </c>
    </row>
    <row r="3820" spans="1:16" ht="15" hidden="1" customHeight="1">
      <c r="A3820" s="839">
        <v>69700048</v>
      </c>
      <c r="B3820" s="839">
        <v>1352</v>
      </c>
      <c r="C3820" s="906">
        <v>5160</v>
      </c>
      <c r="D3820" s="907">
        <v>46084</v>
      </c>
      <c r="E3820" s="839" t="s">
        <v>328</v>
      </c>
      <c r="F3820" s="839" t="s">
        <v>287</v>
      </c>
      <c r="G3820" s="916">
        <f>VLOOKUP($A3820,'Tech Litons'!$A:$I,8,FALSE)</f>
        <v>2.7360000000000002E-3</v>
      </c>
      <c r="H3820" s="917">
        <f>VLOOKUP($A3820,'Tech Litons'!$A:$I,9,FALSE)</f>
        <v>225</v>
      </c>
      <c r="I3820" s="917" t="str">
        <f>VLOOKUP($A3820,'Tech Litons'!$A:$C,3,0)</f>
        <v>MBG</v>
      </c>
      <c r="J3820" s="918" t="str">
        <f t="shared" si="384"/>
        <v>1352MBG</v>
      </c>
      <c r="K3820" s="919">
        <v>1</v>
      </c>
      <c r="L3820" s="920">
        <f t="shared" si="385"/>
        <v>5160</v>
      </c>
      <c r="M3820" s="920">
        <f t="shared" si="386"/>
        <v>14.117760000000001</v>
      </c>
      <c r="N3820" s="920">
        <f t="shared" si="387"/>
        <v>22.933333333333334</v>
      </c>
      <c r="O3820" s="918" t="str">
        <f t="shared" si="388"/>
        <v>Mar</v>
      </c>
      <c r="P3820" s="921">
        <f t="shared" si="389"/>
        <v>10</v>
      </c>
    </row>
    <row r="3821" spans="1:16" ht="15" hidden="1" customHeight="1">
      <c r="A3821" s="839">
        <v>69700048</v>
      </c>
      <c r="B3821" s="839">
        <v>1352</v>
      </c>
      <c r="C3821" s="906">
        <v>225</v>
      </c>
      <c r="D3821" s="907">
        <v>46085</v>
      </c>
      <c r="E3821" s="839" t="s">
        <v>328</v>
      </c>
      <c r="F3821" s="839" t="s">
        <v>287</v>
      </c>
      <c r="G3821" s="916">
        <f>VLOOKUP($A3821,'Tech Litons'!$A:$I,8,FALSE)</f>
        <v>2.7360000000000002E-3</v>
      </c>
      <c r="H3821" s="917">
        <f>VLOOKUP($A3821,'Tech Litons'!$A:$I,9,FALSE)</f>
        <v>225</v>
      </c>
      <c r="I3821" s="917" t="str">
        <f>VLOOKUP($A3821,'Tech Litons'!$A:$C,3,0)</f>
        <v>MBG</v>
      </c>
      <c r="J3821" s="918" t="str">
        <f t="shared" si="384"/>
        <v>1352MBG</v>
      </c>
      <c r="K3821" s="919">
        <v>1</v>
      </c>
      <c r="L3821" s="920">
        <f t="shared" si="385"/>
        <v>225</v>
      </c>
      <c r="M3821" s="920">
        <f t="shared" si="386"/>
        <v>0.61560000000000004</v>
      </c>
      <c r="N3821" s="920">
        <f t="shared" si="387"/>
        <v>1</v>
      </c>
      <c r="O3821" s="918" t="str">
        <f t="shared" si="388"/>
        <v>Mar</v>
      </c>
      <c r="P3821" s="921">
        <f t="shared" si="389"/>
        <v>10</v>
      </c>
    </row>
    <row r="3822" spans="1:16" ht="15" hidden="1" customHeight="1">
      <c r="A3822" s="839">
        <v>69700048</v>
      </c>
      <c r="B3822" s="839">
        <v>1352</v>
      </c>
      <c r="C3822" s="906">
        <v>3375</v>
      </c>
      <c r="D3822" s="907">
        <v>46084</v>
      </c>
      <c r="E3822" s="839" t="s">
        <v>328</v>
      </c>
      <c r="F3822" s="839" t="s">
        <v>287</v>
      </c>
      <c r="G3822" s="916">
        <f>VLOOKUP($A3822,'Tech Litons'!$A:$I,8,FALSE)</f>
        <v>2.7360000000000002E-3</v>
      </c>
      <c r="H3822" s="917">
        <f>VLOOKUP($A3822,'Tech Litons'!$A:$I,9,FALSE)</f>
        <v>225</v>
      </c>
      <c r="I3822" s="917" t="str">
        <f>VLOOKUP($A3822,'Tech Litons'!$A:$C,3,0)</f>
        <v>MBG</v>
      </c>
      <c r="J3822" s="918" t="str">
        <f t="shared" si="384"/>
        <v>1352MBG</v>
      </c>
      <c r="K3822" s="919">
        <v>1</v>
      </c>
      <c r="L3822" s="920">
        <f t="shared" si="385"/>
        <v>3375</v>
      </c>
      <c r="M3822" s="920">
        <f t="shared" si="386"/>
        <v>9.234</v>
      </c>
      <c r="N3822" s="920">
        <f t="shared" si="387"/>
        <v>15</v>
      </c>
      <c r="O3822" s="918" t="str">
        <f t="shared" si="388"/>
        <v>Mar</v>
      </c>
      <c r="P3822" s="921">
        <f t="shared" si="389"/>
        <v>10</v>
      </c>
    </row>
    <row r="3823" spans="1:16" ht="15" hidden="1" customHeight="1">
      <c r="A3823" s="839">
        <v>69700048</v>
      </c>
      <c r="B3823" s="839">
        <v>1352</v>
      </c>
      <c r="C3823" s="906">
        <v>4326</v>
      </c>
      <c r="D3823" s="907">
        <v>46085</v>
      </c>
      <c r="E3823" s="839" t="s">
        <v>328</v>
      </c>
      <c r="F3823" s="839" t="s">
        <v>287</v>
      </c>
      <c r="G3823" s="916">
        <f>VLOOKUP($A3823,'Tech Litons'!$A:$I,8,FALSE)</f>
        <v>2.7360000000000002E-3</v>
      </c>
      <c r="H3823" s="917">
        <f>VLOOKUP($A3823,'Tech Litons'!$A:$I,9,FALSE)</f>
        <v>225</v>
      </c>
      <c r="I3823" s="917" t="str">
        <f>VLOOKUP($A3823,'Tech Litons'!$A:$C,3,0)</f>
        <v>MBG</v>
      </c>
      <c r="J3823" s="918" t="str">
        <f t="shared" si="384"/>
        <v>1352MBG</v>
      </c>
      <c r="K3823" s="919">
        <v>1</v>
      </c>
      <c r="L3823" s="920">
        <f t="shared" si="385"/>
        <v>4326</v>
      </c>
      <c r="M3823" s="920">
        <f t="shared" si="386"/>
        <v>11.835936</v>
      </c>
      <c r="N3823" s="920">
        <f t="shared" si="387"/>
        <v>19.226666666666667</v>
      </c>
      <c r="O3823" s="918" t="str">
        <f t="shared" si="388"/>
        <v>Mar</v>
      </c>
      <c r="P3823" s="921">
        <f t="shared" si="389"/>
        <v>10</v>
      </c>
    </row>
    <row r="3824" spans="1:16" ht="15" hidden="1" customHeight="1">
      <c r="A3824" s="839">
        <v>69700048</v>
      </c>
      <c r="B3824" s="839">
        <v>1352</v>
      </c>
      <c r="C3824" s="906">
        <v>2700</v>
      </c>
      <c r="D3824" s="907">
        <v>46085</v>
      </c>
      <c r="E3824" s="839" t="s">
        <v>328</v>
      </c>
      <c r="F3824" s="839" t="s">
        <v>287</v>
      </c>
      <c r="G3824" s="916">
        <f>VLOOKUP($A3824,'Tech Litons'!$A:$I,8,FALSE)</f>
        <v>2.7360000000000002E-3</v>
      </c>
      <c r="H3824" s="917">
        <f>VLOOKUP($A3824,'Tech Litons'!$A:$I,9,FALSE)</f>
        <v>225</v>
      </c>
      <c r="I3824" s="917" t="str">
        <f>VLOOKUP($A3824,'Tech Litons'!$A:$C,3,0)</f>
        <v>MBG</v>
      </c>
      <c r="J3824" s="918" t="str">
        <f t="shared" si="384"/>
        <v>1352MBG</v>
      </c>
      <c r="K3824" s="919">
        <v>1</v>
      </c>
      <c r="L3824" s="920">
        <f t="shared" si="385"/>
        <v>2700</v>
      </c>
      <c r="M3824" s="920">
        <f t="shared" si="386"/>
        <v>7.3872</v>
      </c>
      <c r="N3824" s="920">
        <f t="shared" si="387"/>
        <v>12</v>
      </c>
      <c r="O3824" s="918" t="str">
        <f t="shared" si="388"/>
        <v>Mar</v>
      </c>
      <c r="P3824" s="921">
        <f t="shared" si="389"/>
        <v>10</v>
      </c>
    </row>
    <row r="3825" spans="1:16" ht="15" hidden="1" customHeight="1">
      <c r="A3825" s="839">
        <v>69700048</v>
      </c>
      <c r="B3825" s="839">
        <v>1352</v>
      </c>
      <c r="C3825" s="906">
        <v>5400</v>
      </c>
      <c r="D3825" s="907">
        <v>46086</v>
      </c>
      <c r="E3825" s="839" t="s">
        <v>328</v>
      </c>
      <c r="F3825" s="839" t="s">
        <v>287</v>
      </c>
      <c r="G3825" s="916">
        <f>VLOOKUP($A3825,'Tech Litons'!$A:$I,8,FALSE)</f>
        <v>2.7360000000000002E-3</v>
      </c>
      <c r="H3825" s="917">
        <f>VLOOKUP($A3825,'Tech Litons'!$A:$I,9,FALSE)</f>
        <v>225</v>
      </c>
      <c r="I3825" s="917" t="str">
        <f>VLOOKUP($A3825,'Tech Litons'!$A:$C,3,0)</f>
        <v>MBG</v>
      </c>
      <c r="J3825" s="918" t="str">
        <f t="shared" si="384"/>
        <v>1352MBG</v>
      </c>
      <c r="K3825" s="919">
        <v>1</v>
      </c>
      <c r="L3825" s="920">
        <f t="shared" si="385"/>
        <v>5400</v>
      </c>
      <c r="M3825" s="920">
        <f t="shared" si="386"/>
        <v>14.7744</v>
      </c>
      <c r="N3825" s="920">
        <f t="shared" si="387"/>
        <v>24</v>
      </c>
      <c r="O3825" s="918" t="str">
        <f t="shared" si="388"/>
        <v>Mar</v>
      </c>
      <c r="P3825" s="921">
        <f t="shared" si="389"/>
        <v>10</v>
      </c>
    </row>
    <row r="3826" spans="1:16" ht="15" hidden="1" customHeight="1">
      <c r="A3826" s="839">
        <v>69700048</v>
      </c>
      <c r="B3826" s="839">
        <v>1352</v>
      </c>
      <c r="C3826" s="906">
        <v>3150</v>
      </c>
      <c r="D3826" s="907">
        <v>46086</v>
      </c>
      <c r="E3826" s="839" t="s">
        <v>328</v>
      </c>
      <c r="F3826" s="839" t="s">
        <v>287</v>
      </c>
      <c r="G3826" s="916">
        <f>VLOOKUP($A3826,'Tech Litons'!$A:$I,8,FALSE)</f>
        <v>2.7360000000000002E-3</v>
      </c>
      <c r="H3826" s="917">
        <f>VLOOKUP($A3826,'Tech Litons'!$A:$I,9,FALSE)</f>
        <v>225</v>
      </c>
      <c r="I3826" s="917" t="str">
        <f>VLOOKUP($A3826,'Tech Litons'!$A:$C,3,0)</f>
        <v>MBG</v>
      </c>
      <c r="J3826" s="918" t="str">
        <f t="shared" ref="J3826:J3889" si="390">B3826&amp;I3826</f>
        <v>1352MBG</v>
      </c>
      <c r="K3826" s="919">
        <v>1</v>
      </c>
      <c r="L3826" s="920">
        <f t="shared" ref="L3826:L3889" si="391">C3826*$K3826</f>
        <v>3150</v>
      </c>
      <c r="M3826" s="920">
        <f t="shared" ref="M3826:M3889" si="392">L3826*G3826</f>
        <v>8.6184000000000012</v>
      </c>
      <c r="N3826" s="920">
        <f t="shared" ref="N3826:N3889" si="393">L3826/H3826</f>
        <v>14</v>
      </c>
      <c r="O3826" s="918" t="str">
        <f t="shared" ref="O3826:O3889" si="394">TEXT(D3826,"MMM")</f>
        <v>Mar</v>
      </c>
      <c r="P3826" s="921">
        <f t="shared" ref="P3826:P3889" si="395">WEEKNUM(D3826)</f>
        <v>10</v>
      </c>
    </row>
    <row r="3827" spans="1:16" ht="15" hidden="1" customHeight="1">
      <c r="A3827" s="839">
        <v>69700048</v>
      </c>
      <c r="B3827" s="839">
        <v>1352</v>
      </c>
      <c r="C3827" s="906">
        <v>4274</v>
      </c>
      <c r="D3827" s="907">
        <v>46087</v>
      </c>
      <c r="E3827" s="839" t="s">
        <v>328</v>
      </c>
      <c r="F3827" s="839" t="s">
        <v>287</v>
      </c>
      <c r="G3827" s="916">
        <f>VLOOKUP($A3827,'Tech Litons'!$A:$I,8,FALSE)</f>
        <v>2.7360000000000002E-3</v>
      </c>
      <c r="H3827" s="917">
        <f>VLOOKUP($A3827,'Tech Litons'!$A:$I,9,FALSE)</f>
        <v>225</v>
      </c>
      <c r="I3827" s="917" t="str">
        <f>VLOOKUP($A3827,'Tech Litons'!$A:$C,3,0)</f>
        <v>MBG</v>
      </c>
      <c r="J3827" s="918" t="str">
        <f t="shared" si="390"/>
        <v>1352MBG</v>
      </c>
      <c r="K3827" s="919">
        <v>1</v>
      </c>
      <c r="L3827" s="920">
        <f t="shared" si="391"/>
        <v>4274</v>
      </c>
      <c r="M3827" s="920">
        <f t="shared" si="392"/>
        <v>11.693664</v>
      </c>
      <c r="N3827" s="920">
        <f t="shared" si="393"/>
        <v>18.995555555555555</v>
      </c>
      <c r="O3827" s="918" t="str">
        <f t="shared" si="394"/>
        <v>Mar</v>
      </c>
      <c r="P3827" s="921">
        <f t="shared" si="395"/>
        <v>10</v>
      </c>
    </row>
    <row r="3828" spans="1:16" ht="15" hidden="1" customHeight="1">
      <c r="A3828" s="839">
        <v>69700048</v>
      </c>
      <c r="B3828" s="839">
        <v>1352</v>
      </c>
      <c r="C3828" s="906">
        <v>1637</v>
      </c>
      <c r="D3828" s="907">
        <v>46087</v>
      </c>
      <c r="E3828" s="839" t="s">
        <v>328</v>
      </c>
      <c r="F3828" s="839" t="s">
        <v>287</v>
      </c>
      <c r="G3828" s="916">
        <f>VLOOKUP($A3828,'Tech Litons'!$A:$I,8,FALSE)</f>
        <v>2.7360000000000002E-3</v>
      </c>
      <c r="H3828" s="917">
        <f>VLOOKUP($A3828,'Tech Litons'!$A:$I,9,FALSE)</f>
        <v>225</v>
      </c>
      <c r="I3828" s="917" t="str">
        <f>VLOOKUP($A3828,'Tech Litons'!$A:$C,3,0)</f>
        <v>MBG</v>
      </c>
      <c r="J3828" s="918" t="str">
        <f t="shared" si="390"/>
        <v>1352MBG</v>
      </c>
      <c r="K3828" s="919">
        <v>1</v>
      </c>
      <c r="L3828" s="920">
        <f t="shared" si="391"/>
        <v>1637</v>
      </c>
      <c r="M3828" s="920">
        <f t="shared" si="392"/>
        <v>4.4788320000000006</v>
      </c>
      <c r="N3828" s="920">
        <f t="shared" si="393"/>
        <v>7.275555555555556</v>
      </c>
      <c r="O3828" s="918" t="str">
        <f t="shared" si="394"/>
        <v>Mar</v>
      </c>
      <c r="P3828" s="921">
        <f t="shared" si="395"/>
        <v>10</v>
      </c>
    </row>
    <row r="3829" spans="1:16" ht="15" hidden="1" customHeight="1">
      <c r="A3829" s="839">
        <v>69700048</v>
      </c>
      <c r="B3829" s="839">
        <v>1352</v>
      </c>
      <c r="C3829" s="906">
        <v>213</v>
      </c>
      <c r="D3829" s="907">
        <v>46088</v>
      </c>
      <c r="E3829" s="839" t="s">
        <v>328</v>
      </c>
      <c r="F3829" s="839" t="s">
        <v>287</v>
      </c>
      <c r="G3829" s="916">
        <f>VLOOKUP($A3829,'Tech Litons'!$A:$I,8,FALSE)</f>
        <v>2.7360000000000002E-3</v>
      </c>
      <c r="H3829" s="917">
        <f>VLOOKUP($A3829,'Tech Litons'!$A:$I,9,FALSE)</f>
        <v>225</v>
      </c>
      <c r="I3829" s="917" t="str">
        <f>VLOOKUP($A3829,'Tech Litons'!$A:$C,3,0)</f>
        <v>MBG</v>
      </c>
      <c r="J3829" s="918" t="str">
        <f t="shared" si="390"/>
        <v>1352MBG</v>
      </c>
      <c r="K3829" s="919">
        <v>1</v>
      </c>
      <c r="L3829" s="920">
        <f t="shared" si="391"/>
        <v>213</v>
      </c>
      <c r="M3829" s="920">
        <f t="shared" si="392"/>
        <v>0.58276800000000006</v>
      </c>
      <c r="N3829" s="920">
        <f t="shared" si="393"/>
        <v>0.94666666666666666</v>
      </c>
      <c r="O3829" s="918" t="str">
        <f t="shared" si="394"/>
        <v>Mar</v>
      </c>
      <c r="P3829" s="921">
        <f t="shared" si="395"/>
        <v>10</v>
      </c>
    </row>
    <row r="3830" spans="1:16" ht="15" hidden="1" customHeight="1">
      <c r="A3830" s="839">
        <v>69725082</v>
      </c>
      <c r="B3830" s="839">
        <v>1352</v>
      </c>
      <c r="C3830" s="906">
        <v>1689</v>
      </c>
      <c r="D3830" s="907">
        <v>46076</v>
      </c>
      <c r="E3830" s="839" t="s">
        <v>292</v>
      </c>
      <c r="F3830" s="839" t="s">
        <v>223</v>
      </c>
      <c r="G3830" s="916">
        <f>VLOOKUP($A3830,'Tech Litons'!$A:$I,8,FALSE)</f>
        <v>5.2680000000000001E-3</v>
      </c>
      <c r="H3830" s="917">
        <f>VLOOKUP($A3830,'Tech Litons'!$A:$I,9,FALSE)</f>
        <v>130</v>
      </c>
      <c r="I3830" s="917" t="str">
        <f>VLOOKUP($A3830,'Tech Litons'!$A:$C,3,0)</f>
        <v>PG</v>
      </c>
      <c r="J3830" s="918" t="str">
        <f t="shared" si="390"/>
        <v>1352PG</v>
      </c>
      <c r="K3830" s="919">
        <v>1</v>
      </c>
      <c r="L3830" s="920">
        <f t="shared" si="391"/>
        <v>1689</v>
      </c>
      <c r="M3830" s="920">
        <f t="shared" si="392"/>
        <v>8.8976520000000008</v>
      </c>
      <c r="N3830" s="920">
        <f t="shared" si="393"/>
        <v>12.992307692307692</v>
      </c>
      <c r="O3830" s="918" t="str">
        <f t="shared" si="394"/>
        <v>Feb</v>
      </c>
      <c r="P3830" s="921">
        <f t="shared" si="395"/>
        <v>9</v>
      </c>
    </row>
    <row r="3831" spans="1:16" ht="15" hidden="1" customHeight="1">
      <c r="A3831" s="839">
        <v>69725082</v>
      </c>
      <c r="B3831" s="839">
        <v>1352</v>
      </c>
      <c r="C3831" s="906">
        <v>1985</v>
      </c>
      <c r="D3831" s="907">
        <v>46077</v>
      </c>
      <c r="E3831" s="839" t="s">
        <v>292</v>
      </c>
      <c r="F3831" s="839" t="s">
        <v>223</v>
      </c>
      <c r="G3831" s="916">
        <f>VLOOKUP($A3831,'Tech Litons'!$A:$I,8,FALSE)</f>
        <v>5.2680000000000001E-3</v>
      </c>
      <c r="H3831" s="917">
        <f>VLOOKUP($A3831,'Tech Litons'!$A:$I,9,FALSE)</f>
        <v>130</v>
      </c>
      <c r="I3831" s="917" t="str">
        <f>VLOOKUP($A3831,'Tech Litons'!$A:$C,3,0)</f>
        <v>PG</v>
      </c>
      <c r="J3831" s="918" t="str">
        <f t="shared" si="390"/>
        <v>1352PG</v>
      </c>
      <c r="K3831" s="919">
        <v>1</v>
      </c>
      <c r="L3831" s="920">
        <f t="shared" si="391"/>
        <v>1985</v>
      </c>
      <c r="M3831" s="920">
        <f t="shared" si="392"/>
        <v>10.45698</v>
      </c>
      <c r="N3831" s="920">
        <f t="shared" si="393"/>
        <v>15.26923076923077</v>
      </c>
      <c r="O3831" s="918" t="str">
        <f t="shared" si="394"/>
        <v>Feb</v>
      </c>
      <c r="P3831" s="921">
        <f t="shared" si="395"/>
        <v>9</v>
      </c>
    </row>
    <row r="3832" spans="1:16" ht="15" hidden="1" customHeight="1">
      <c r="A3832" s="839">
        <v>69725082</v>
      </c>
      <c r="B3832" s="839">
        <v>1352</v>
      </c>
      <c r="C3832" s="906">
        <v>1819</v>
      </c>
      <c r="D3832" s="907">
        <v>46077</v>
      </c>
      <c r="E3832" s="839" t="s">
        <v>292</v>
      </c>
      <c r="F3832" s="839" t="s">
        <v>223</v>
      </c>
      <c r="G3832" s="916">
        <f>VLOOKUP($A3832,'Tech Litons'!$A:$I,8,FALSE)</f>
        <v>5.2680000000000001E-3</v>
      </c>
      <c r="H3832" s="917">
        <f>VLOOKUP($A3832,'Tech Litons'!$A:$I,9,FALSE)</f>
        <v>130</v>
      </c>
      <c r="I3832" s="917" t="str">
        <f>VLOOKUP($A3832,'Tech Litons'!$A:$C,3,0)</f>
        <v>PG</v>
      </c>
      <c r="J3832" s="918" t="str">
        <f t="shared" si="390"/>
        <v>1352PG</v>
      </c>
      <c r="K3832" s="919">
        <v>1</v>
      </c>
      <c r="L3832" s="920">
        <f t="shared" si="391"/>
        <v>1819</v>
      </c>
      <c r="M3832" s="920">
        <f t="shared" si="392"/>
        <v>9.5824920000000002</v>
      </c>
      <c r="N3832" s="920">
        <f t="shared" si="393"/>
        <v>13.992307692307692</v>
      </c>
      <c r="O3832" s="918" t="str">
        <f t="shared" si="394"/>
        <v>Feb</v>
      </c>
      <c r="P3832" s="921">
        <f t="shared" si="395"/>
        <v>9</v>
      </c>
    </row>
    <row r="3833" spans="1:16" ht="15" hidden="1" customHeight="1">
      <c r="A3833" s="839">
        <v>69725082</v>
      </c>
      <c r="B3833" s="839">
        <v>1352</v>
      </c>
      <c r="C3833" s="906">
        <v>2009</v>
      </c>
      <c r="D3833" s="907">
        <v>46078</v>
      </c>
      <c r="E3833" s="839" t="s">
        <v>292</v>
      </c>
      <c r="F3833" s="839" t="s">
        <v>223</v>
      </c>
      <c r="G3833" s="916">
        <f>VLOOKUP($A3833,'Tech Litons'!$A:$I,8,FALSE)</f>
        <v>5.2680000000000001E-3</v>
      </c>
      <c r="H3833" s="917">
        <f>VLOOKUP($A3833,'Tech Litons'!$A:$I,9,FALSE)</f>
        <v>130</v>
      </c>
      <c r="I3833" s="917" t="str">
        <f>VLOOKUP($A3833,'Tech Litons'!$A:$C,3,0)</f>
        <v>PG</v>
      </c>
      <c r="J3833" s="918" t="str">
        <f t="shared" si="390"/>
        <v>1352PG</v>
      </c>
      <c r="K3833" s="919">
        <v>1</v>
      </c>
      <c r="L3833" s="920">
        <f t="shared" si="391"/>
        <v>2009</v>
      </c>
      <c r="M3833" s="920">
        <f t="shared" si="392"/>
        <v>10.583412000000001</v>
      </c>
      <c r="N3833" s="920">
        <f t="shared" si="393"/>
        <v>15.453846153846154</v>
      </c>
      <c r="O3833" s="918" t="str">
        <f t="shared" si="394"/>
        <v>Feb</v>
      </c>
      <c r="P3833" s="921">
        <f t="shared" si="395"/>
        <v>9</v>
      </c>
    </row>
    <row r="3834" spans="1:16" ht="15" hidden="1" customHeight="1">
      <c r="A3834" s="839">
        <v>69725082</v>
      </c>
      <c r="B3834" s="839">
        <v>1352</v>
      </c>
      <c r="C3834" s="906">
        <v>2080</v>
      </c>
      <c r="D3834" s="907">
        <v>46078</v>
      </c>
      <c r="E3834" s="839" t="s">
        <v>292</v>
      </c>
      <c r="F3834" s="839" t="s">
        <v>223</v>
      </c>
      <c r="G3834" s="916">
        <f>VLOOKUP($A3834,'Tech Litons'!$A:$I,8,FALSE)</f>
        <v>5.2680000000000001E-3</v>
      </c>
      <c r="H3834" s="917">
        <f>VLOOKUP($A3834,'Tech Litons'!$A:$I,9,FALSE)</f>
        <v>130</v>
      </c>
      <c r="I3834" s="917" t="str">
        <f>VLOOKUP($A3834,'Tech Litons'!$A:$C,3,0)</f>
        <v>PG</v>
      </c>
      <c r="J3834" s="918" t="str">
        <f t="shared" si="390"/>
        <v>1352PG</v>
      </c>
      <c r="K3834" s="919">
        <v>1</v>
      </c>
      <c r="L3834" s="920">
        <f t="shared" si="391"/>
        <v>2080</v>
      </c>
      <c r="M3834" s="920">
        <f t="shared" si="392"/>
        <v>10.95744</v>
      </c>
      <c r="N3834" s="920">
        <f t="shared" si="393"/>
        <v>16</v>
      </c>
      <c r="O3834" s="918" t="str">
        <f t="shared" si="394"/>
        <v>Feb</v>
      </c>
      <c r="P3834" s="921">
        <f t="shared" si="395"/>
        <v>9</v>
      </c>
    </row>
    <row r="3835" spans="1:16" ht="15" hidden="1" customHeight="1">
      <c r="A3835" s="839">
        <v>69725082</v>
      </c>
      <c r="B3835" s="839">
        <v>1352</v>
      </c>
      <c r="C3835" s="906">
        <v>3579</v>
      </c>
      <c r="D3835" s="907">
        <v>46079</v>
      </c>
      <c r="E3835" s="839" t="s">
        <v>292</v>
      </c>
      <c r="F3835" s="839" t="s">
        <v>223</v>
      </c>
      <c r="G3835" s="916">
        <f>VLOOKUP($A3835,'Tech Litons'!$A:$I,8,FALSE)</f>
        <v>5.2680000000000001E-3</v>
      </c>
      <c r="H3835" s="917">
        <f>VLOOKUP($A3835,'Tech Litons'!$A:$I,9,FALSE)</f>
        <v>130</v>
      </c>
      <c r="I3835" s="917" t="str">
        <f>VLOOKUP($A3835,'Tech Litons'!$A:$C,3,0)</f>
        <v>PG</v>
      </c>
      <c r="J3835" s="918" t="str">
        <f t="shared" si="390"/>
        <v>1352PG</v>
      </c>
      <c r="K3835" s="919">
        <v>1</v>
      </c>
      <c r="L3835" s="920">
        <f t="shared" si="391"/>
        <v>3579</v>
      </c>
      <c r="M3835" s="920">
        <f t="shared" si="392"/>
        <v>18.854172000000002</v>
      </c>
      <c r="N3835" s="920">
        <f t="shared" si="393"/>
        <v>27.530769230769231</v>
      </c>
      <c r="O3835" s="918" t="str">
        <f t="shared" si="394"/>
        <v>Feb</v>
      </c>
      <c r="P3835" s="921">
        <f t="shared" si="395"/>
        <v>9</v>
      </c>
    </row>
    <row r="3836" spans="1:16" ht="15" hidden="1" customHeight="1">
      <c r="A3836" s="839">
        <v>69725082</v>
      </c>
      <c r="B3836" s="839">
        <v>1352</v>
      </c>
      <c r="C3836" s="906">
        <v>2210</v>
      </c>
      <c r="D3836" s="907">
        <v>46079</v>
      </c>
      <c r="E3836" s="839" t="s">
        <v>292</v>
      </c>
      <c r="F3836" s="839" t="s">
        <v>223</v>
      </c>
      <c r="G3836" s="916">
        <f>VLOOKUP($A3836,'Tech Litons'!$A:$I,8,FALSE)</f>
        <v>5.2680000000000001E-3</v>
      </c>
      <c r="H3836" s="917">
        <f>VLOOKUP($A3836,'Tech Litons'!$A:$I,9,FALSE)</f>
        <v>130</v>
      </c>
      <c r="I3836" s="917" t="str">
        <f>VLOOKUP($A3836,'Tech Litons'!$A:$C,3,0)</f>
        <v>PG</v>
      </c>
      <c r="J3836" s="918" t="str">
        <f t="shared" si="390"/>
        <v>1352PG</v>
      </c>
      <c r="K3836" s="919">
        <v>1</v>
      </c>
      <c r="L3836" s="920">
        <f t="shared" si="391"/>
        <v>2210</v>
      </c>
      <c r="M3836" s="920">
        <f t="shared" si="392"/>
        <v>11.64228</v>
      </c>
      <c r="N3836" s="920">
        <f t="shared" si="393"/>
        <v>17</v>
      </c>
      <c r="O3836" s="918" t="str">
        <f t="shared" si="394"/>
        <v>Feb</v>
      </c>
      <c r="P3836" s="921">
        <f t="shared" si="395"/>
        <v>9</v>
      </c>
    </row>
    <row r="3837" spans="1:16" ht="15" hidden="1" customHeight="1">
      <c r="A3837" s="839">
        <v>69725082</v>
      </c>
      <c r="B3837" s="839">
        <v>1352</v>
      </c>
      <c r="C3837" s="906">
        <v>3213</v>
      </c>
      <c r="D3837" s="907">
        <v>46080</v>
      </c>
      <c r="E3837" s="839" t="s">
        <v>292</v>
      </c>
      <c r="F3837" s="839" t="s">
        <v>223</v>
      </c>
      <c r="G3837" s="916">
        <f>VLOOKUP($A3837,'Tech Litons'!$A:$I,8,FALSE)</f>
        <v>5.2680000000000001E-3</v>
      </c>
      <c r="H3837" s="917">
        <f>VLOOKUP($A3837,'Tech Litons'!$A:$I,9,FALSE)</f>
        <v>130</v>
      </c>
      <c r="I3837" s="917" t="str">
        <f>VLOOKUP($A3837,'Tech Litons'!$A:$C,3,0)</f>
        <v>PG</v>
      </c>
      <c r="J3837" s="918" t="str">
        <f t="shared" si="390"/>
        <v>1352PG</v>
      </c>
      <c r="K3837" s="919">
        <v>1</v>
      </c>
      <c r="L3837" s="920">
        <f t="shared" si="391"/>
        <v>3213</v>
      </c>
      <c r="M3837" s="920">
        <f t="shared" si="392"/>
        <v>16.926083999999999</v>
      </c>
      <c r="N3837" s="920">
        <f t="shared" si="393"/>
        <v>24.715384615384615</v>
      </c>
      <c r="O3837" s="918" t="str">
        <f t="shared" si="394"/>
        <v>Feb</v>
      </c>
      <c r="P3837" s="921">
        <f t="shared" si="395"/>
        <v>9</v>
      </c>
    </row>
    <row r="3838" spans="1:16" ht="15" hidden="1" customHeight="1">
      <c r="A3838" s="839">
        <v>69725082</v>
      </c>
      <c r="B3838" s="839">
        <v>1352</v>
      </c>
      <c r="C3838" s="906">
        <v>2210</v>
      </c>
      <c r="D3838" s="907">
        <v>46080</v>
      </c>
      <c r="E3838" s="839" t="s">
        <v>292</v>
      </c>
      <c r="F3838" s="839" t="s">
        <v>223</v>
      </c>
      <c r="G3838" s="916">
        <f>VLOOKUP($A3838,'Tech Litons'!$A:$I,8,FALSE)</f>
        <v>5.2680000000000001E-3</v>
      </c>
      <c r="H3838" s="917">
        <f>VLOOKUP($A3838,'Tech Litons'!$A:$I,9,FALSE)</f>
        <v>130</v>
      </c>
      <c r="I3838" s="917" t="str">
        <f>VLOOKUP($A3838,'Tech Litons'!$A:$C,3,0)</f>
        <v>PG</v>
      </c>
      <c r="J3838" s="918" t="str">
        <f t="shared" si="390"/>
        <v>1352PG</v>
      </c>
      <c r="K3838" s="919">
        <v>1</v>
      </c>
      <c r="L3838" s="920">
        <f t="shared" si="391"/>
        <v>2210</v>
      </c>
      <c r="M3838" s="920">
        <f t="shared" si="392"/>
        <v>11.64228</v>
      </c>
      <c r="N3838" s="920">
        <f t="shared" si="393"/>
        <v>17</v>
      </c>
      <c r="O3838" s="918" t="str">
        <f t="shared" si="394"/>
        <v>Feb</v>
      </c>
      <c r="P3838" s="921">
        <f t="shared" si="395"/>
        <v>9</v>
      </c>
    </row>
    <row r="3839" spans="1:16" ht="15" hidden="1" customHeight="1">
      <c r="A3839" s="839">
        <v>69725082</v>
      </c>
      <c r="B3839" s="839">
        <v>1352</v>
      </c>
      <c r="C3839" s="906">
        <v>1129</v>
      </c>
      <c r="D3839" s="907">
        <v>46081</v>
      </c>
      <c r="E3839" s="839" t="s">
        <v>292</v>
      </c>
      <c r="F3839" s="839" t="s">
        <v>223</v>
      </c>
      <c r="G3839" s="916">
        <f>VLOOKUP($A3839,'Tech Litons'!$A:$I,8,FALSE)</f>
        <v>5.2680000000000001E-3</v>
      </c>
      <c r="H3839" s="917">
        <f>VLOOKUP($A3839,'Tech Litons'!$A:$I,9,FALSE)</f>
        <v>130</v>
      </c>
      <c r="I3839" s="917" t="str">
        <f>VLOOKUP($A3839,'Tech Litons'!$A:$C,3,0)</f>
        <v>PG</v>
      </c>
      <c r="J3839" s="918" t="str">
        <f t="shared" si="390"/>
        <v>1352PG</v>
      </c>
      <c r="K3839" s="919">
        <v>1</v>
      </c>
      <c r="L3839" s="920">
        <f t="shared" si="391"/>
        <v>1129</v>
      </c>
      <c r="M3839" s="920">
        <f t="shared" si="392"/>
        <v>5.9475720000000001</v>
      </c>
      <c r="N3839" s="920">
        <f t="shared" si="393"/>
        <v>8.684615384615384</v>
      </c>
      <c r="O3839" s="918" t="str">
        <f t="shared" si="394"/>
        <v>Feb</v>
      </c>
      <c r="P3839" s="921">
        <f t="shared" si="395"/>
        <v>9</v>
      </c>
    </row>
    <row r="3840" spans="1:16" ht="15" hidden="1" customHeight="1">
      <c r="A3840" s="839">
        <v>69725082</v>
      </c>
      <c r="B3840" s="839">
        <v>1352</v>
      </c>
      <c r="C3840" s="906">
        <v>130</v>
      </c>
      <c r="D3840" s="907">
        <v>46076</v>
      </c>
      <c r="E3840" s="839" t="s">
        <v>292</v>
      </c>
      <c r="F3840" s="839" t="s">
        <v>224</v>
      </c>
      <c r="G3840" s="916">
        <f>VLOOKUP($A3840,'Tech Litons'!$A:$I,8,FALSE)</f>
        <v>5.2680000000000001E-3</v>
      </c>
      <c r="H3840" s="917">
        <f>VLOOKUP($A3840,'Tech Litons'!$A:$I,9,FALSE)</f>
        <v>130</v>
      </c>
      <c r="I3840" s="917" t="str">
        <f>VLOOKUP($A3840,'Tech Litons'!$A:$C,3,0)</f>
        <v>PG</v>
      </c>
      <c r="J3840" s="918" t="str">
        <f t="shared" si="390"/>
        <v>1352PG</v>
      </c>
      <c r="K3840" s="919">
        <v>1</v>
      </c>
      <c r="L3840" s="920">
        <f t="shared" si="391"/>
        <v>130</v>
      </c>
      <c r="M3840" s="920">
        <f t="shared" si="392"/>
        <v>0.68484</v>
      </c>
      <c r="N3840" s="920">
        <f t="shared" si="393"/>
        <v>1</v>
      </c>
      <c r="O3840" s="918" t="str">
        <f t="shared" si="394"/>
        <v>Feb</v>
      </c>
      <c r="P3840" s="921">
        <f t="shared" si="395"/>
        <v>9</v>
      </c>
    </row>
    <row r="3841" spans="1:16" ht="15" hidden="1" customHeight="1">
      <c r="A3841" s="839">
        <v>69725082</v>
      </c>
      <c r="B3841" s="839">
        <v>1352</v>
      </c>
      <c r="C3841" s="906">
        <v>2080</v>
      </c>
      <c r="D3841" s="907">
        <v>46083</v>
      </c>
      <c r="E3841" s="839" t="s">
        <v>292</v>
      </c>
      <c r="F3841" s="839" t="s">
        <v>223</v>
      </c>
      <c r="G3841" s="916">
        <f>VLOOKUP($A3841,'Tech Litons'!$A:$I,8,FALSE)</f>
        <v>5.2680000000000001E-3</v>
      </c>
      <c r="H3841" s="917">
        <f>VLOOKUP($A3841,'Tech Litons'!$A:$I,9,FALSE)</f>
        <v>130</v>
      </c>
      <c r="I3841" s="917" t="str">
        <f>VLOOKUP($A3841,'Tech Litons'!$A:$C,3,0)</f>
        <v>PG</v>
      </c>
      <c r="J3841" s="918" t="str">
        <f t="shared" si="390"/>
        <v>1352PG</v>
      </c>
      <c r="K3841" s="919">
        <v>1</v>
      </c>
      <c r="L3841" s="920">
        <f t="shared" si="391"/>
        <v>2080</v>
      </c>
      <c r="M3841" s="920">
        <f t="shared" si="392"/>
        <v>10.95744</v>
      </c>
      <c r="N3841" s="920">
        <f t="shared" si="393"/>
        <v>16</v>
      </c>
      <c r="O3841" s="918" t="str">
        <f t="shared" si="394"/>
        <v>Mar</v>
      </c>
      <c r="P3841" s="921">
        <f t="shared" si="395"/>
        <v>10</v>
      </c>
    </row>
    <row r="3842" spans="1:16" ht="15" hidden="1" customHeight="1">
      <c r="A3842" s="839">
        <v>69725082</v>
      </c>
      <c r="B3842" s="839">
        <v>1352</v>
      </c>
      <c r="C3842" s="906">
        <v>3544</v>
      </c>
      <c r="D3842" s="907">
        <v>46084</v>
      </c>
      <c r="E3842" s="839" t="s">
        <v>292</v>
      </c>
      <c r="F3842" s="839" t="s">
        <v>223</v>
      </c>
      <c r="G3842" s="916">
        <f>VLOOKUP($A3842,'Tech Litons'!$A:$I,8,FALSE)</f>
        <v>5.2680000000000001E-3</v>
      </c>
      <c r="H3842" s="917">
        <f>VLOOKUP($A3842,'Tech Litons'!$A:$I,9,FALSE)</f>
        <v>130</v>
      </c>
      <c r="I3842" s="917" t="str">
        <f>VLOOKUP($A3842,'Tech Litons'!$A:$C,3,0)</f>
        <v>PG</v>
      </c>
      <c r="J3842" s="918" t="str">
        <f t="shared" si="390"/>
        <v>1352PG</v>
      </c>
      <c r="K3842" s="919">
        <v>1</v>
      </c>
      <c r="L3842" s="920">
        <f t="shared" si="391"/>
        <v>3544</v>
      </c>
      <c r="M3842" s="920">
        <f t="shared" si="392"/>
        <v>18.669792000000001</v>
      </c>
      <c r="N3842" s="920">
        <f t="shared" si="393"/>
        <v>27.261538461538461</v>
      </c>
      <c r="O3842" s="918" t="str">
        <f t="shared" si="394"/>
        <v>Mar</v>
      </c>
      <c r="P3842" s="921">
        <f t="shared" si="395"/>
        <v>10</v>
      </c>
    </row>
    <row r="3843" spans="1:16" ht="15" hidden="1" customHeight="1">
      <c r="A3843" s="839">
        <v>69725082</v>
      </c>
      <c r="B3843" s="839">
        <v>1352</v>
      </c>
      <c r="C3843" s="906">
        <v>2470</v>
      </c>
      <c r="D3843" s="907">
        <v>46084</v>
      </c>
      <c r="E3843" s="839" t="s">
        <v>292</v>
      </c>
      <c r="F3843" s="839" t="s">
        <v>223</v>
      </c>
      <c r="G3843" s="916">
        <f>VLOOKUP($A3843,'Tech Litons'!$A:$I,8,FALSE)</f>
        <v>5.2680000000000001E-3</v>
      </c>
      <c r="H3843" s="917">
        <f>VLOOKUP($A3843,'Tech Litons'!$A:$I,9,FALSE)</f>
        <v>130</v>
      </c>
      <c r="I3843" s="917" t="str">
        <f>VLOOKUP($A3843,'Tech Litons'!$A:$C,3,0)</f>
        <v>PG</v>
      </c>
      <c r="J3843" s="918" t="str">
        <f t="shared" si="390"/>
        <v>1352PG</v>
      </c>
      <c r="K3843" s="919">
        <v>1</v>
      </c>
      <c r="L3843" s="920">
        <f t="shared" si="391"/>
        <v>2470</v>
      </c>
      <c r="M3843" s="920">
        <f t="shared" si="392"/>
        <v>13.01196</v>
      </c>
      <c r="N3843" s="920">
        <f t="shared" si="393"/>
        <v>19</v>
      </c>
      <c r="O3843" s="918" t="str">
        <f t="shared" si="394"/>
        <v>Mar</v>
      </c>
      <c r="P3843" s="921">
        <f t="shared" si="395"/>
        <v>10</v>
      </c>
    </row>
    <row r="3844" spans="1:16" ht="15" hidden="1" customHeight="1">
      <c r="A3844" s="839">
        <v>69725082</v>
      </c>
      <c r="B3844" s="839">
        <v>1352</v>
      </c>
      <c r="C3844" s="906">
        <v>3315</v>
      </c>
      <c r="D3844" s="907">
        <v>46085</v>
      </c>
      <c r="E3844" s="839" t="s">
        <v>292</v>
      </c>
      <c r="F3844" s="839" t="s">
        <v>223</v>
      </c>
      <c r="G3844" s="916">
        <f>VLOOKUP($A3844,'Tech Litons'!$A:$I,8,FALSE)</f>
        <v>5.2680000000000001E-3</v>
      </c>
      <c r="H3844" s="917">
        <f>VLOOKUP($A3844,'Tech Litons'!$A:$I,9,FALSE)</f>
        <v>130</v>
      </c>
      <c r="I3844" s="917" t="str">
        <f>VLOOKUP($A3844,'Tech Litons'!$A:$C,3,0)</f>
        <v>PG</v>
      </c>
      <c r="J3844" s="918" t="str">
        <f t="shared" si="390"/>
        <v>1352PG</v>
      </c>
      <c r="K3844" s="919">
        <v>1</v>
      </c>
      <c r="L3844" s="920">
        <f t="shared" si="391"/>
        <v>3315</v>
      </c>
      <c r="M3844" s="920">
        <f t="shared" si="392"/>
        <v>17.463419999999999</v>
      </c>
      <c r="N3844" s="920">
        <f t="shared" si="393"/>
        <v>25.5</v>
      </c>
      <c r="O3844" s="918" t="str">
        <f t="shared" si="394"/>
        <v>Mar</v>
      </c>
      <c r="P3844" s="921">
        <f t="shared" si="395"/>
        <v>10</v>
      </c>
    </row>
    <row r="3845" spans="1:16" ht="15" hidden="1" customHeight="1">
      <c r="A3845" s="839">
        <v>69725082</v>
      </c>
      <c r="B3845" s="839">
        <v>1352</v>
      </c>
      <c r="C3845" s="906">
        <v>2080</v>
      </c>
      <c r="D3845" s="907">
        <v>46085</v>
      </c>
      <c r="E3845" s="839" t="s">
        <v>292</v>
      </c>
      <c r="F3845" s="839" t="s">
        <v>223</v>
      </c>
      <c r="G3845" s="916">
        <f>VLOOKUP($A3845,'Tech Litons'!$A:$I,8,FALSE)</f>
        <v>5.2680000000000001E-3</v>
      </c>
      <c r="H3845" s="917">
        <f>VLOOKUP($A3845,'Tech Litons'!$A:$I,9,FALSE)</f>
        <v>130</v>
      </c>
      <c r="I3845" s="917" t="str">
        <f>VLOOKUP($A3845,'Tech Litons'!$A:$C,3,0)</f>
        <v>PG</v>
      </c>
      <c r="J3845" s="918" t="str">
        <f t="shared" si="390"/>
        <v>1352PG</v>
      </c>
      <c r="K3845" s="919">
        <v>1</v>
      </c>
      <c r="L3845" s="920">
        <f t="shared" si="391"/>
        <v>2080</v>
      </c>
      <c r="M3845" s="920">
        <f t="shared" si="392"/>
        <v>10.95744</v>
      </c>
      <c r="N3845" s="920">
        <f t="shared" si="393"/>
        <v>16</v>
      </c>
      <c r="O3845" s="918" t="str">
        <f t="shared" si="394"/>
        <v>Mar</v>
      </c>
      <c r="P3845" s="921">
        <f t="shared" si="395"/>
        <v>10</v>
      </c>
    </row>
    <row r="3846" spans="1:16" ht="15" hidden="1" customHeight="1">
      <c r="A3846" s="839">
        <v>69725082</v>
      </c>
      <c r="B3846" s="839">
        <v>1352</v>
      </c>
      <c r="C3846" s="906">
        <v>368</v>
      </c>
      <c r="D3846" s="907">
        <v>46086</v>
      </c>
      <c r="E3846" s="839" t="s">
        <v>292</v>
      </c>
      <c r="F3846" s="839" t="s">
        <v>223</v>
      </c>
      <c r="G3846" s="916">
        <f>VLOOKUP($A3846,'Tech Litons'!$A:$I,8,FALSE)</f>
        <v>5.2680000000000001E-3</v>
      </c>
      <c r="H3846" s="917">
        <f>VLOOKUP($A3846,'Tech Litons'!$A:$I,9,FALSE)</f>
        <v>130</v>
      </c>
      <c r="I3846" s="917" t="str">
        <f>VLOOKUP($A3846,'Tech Litons'!$A:$C,3,0)</f>
        <v>PG</v>
      </c>
      <c r="J3846" s="918" t="str">
        <f t="shared" si="390"/>
        <v>1352PG</v>
      </c>
      <c r="K3846" s="919">
        <v>1</v>
      </c>
      <c r="L3846" s="920">
        <f t="shared" si="391"/>
        <v>368</v>
      </c>
      <c r="M3846" s="920">
        <f t="shared" si="392"/>
        <v>1.9386240000000001</v>
      </c>
      <c r="N3846" s="920">
        <f t="shared" si="393"/>
        <v>2.8307692307692309</v>
      </c>
      <c r="O3846" s="918" t="str">
        <f t="shared" si="394"/>
        <v>Mar</v>
      </c>
      <c r="P3846" s="921">
        <f t="shared" si="395"/>
        <v>10</v>
      </c>
    </row>
    <row r="3847" spans="1:16" ht="15" hidden="1" customHeight="1">
      <c r="A3847" s="839">
        <v>69725082</v>
      </c>
      <c r="B3847" s="839">
        <v>1352</v>
      </c>
      <c r="C3847" s="906">
        <v>2080</v>
      </c>
      <c r="D3847" s="907">
        <v>46086</v>
      </c>
      <c r="E3847" s="839" t="s">
        <v>292</v>
      </c>
      <c r="F3847" s="839" t="s">
        <v>223</v>
      </c>
      <c r="G3847" s="916">
        <f>VLOOKUP($A3847,'Tech Litons'!$A:$I,8,FALSE)</f>
        <v>5.2680000000000001E-3</v>
      </c>
      <c r="H3847" s="917">
        <f>VLOOKUP($A3847,'Tech Litons'!$A:$I,9,FALSE)</f>
        <v>130</v>
      </c>
      <c r="I3847" s="917" t="str">
        <f>VLOOKUP($A3847,'Tech Litons'!$A:$C,3,0)</f>
        <v>PG</v>
      </c>
      <c r="J3847" s="918" t="str">
        <f t="shared" si="390"/>
        <v>1352PG</v>
      </c>
      <c r="K3847" s="919">
        <v>1</v>
      </c>
      <c r="L3847" s="920">
        <f t="shared" si="391"/>
        <v>2080</v>
      </c>
      <c r="M3847" s="920">
        <f t="shared" si="392"/>
        <v>10.95744</v>
      </c>
      <c r="N3847" s="920">
        <f t="shared" si="393"/>
        <v>16</v>
      </c>
      <c r="O3847" s="918" t="str">
        <f t="shared" si="394"/>
        <v>Mar</v>
      </c>
      <c r="P3847" s="921">
        <f t="shared" si="395"/>
        <v>10</v>
      </c>
    </row>
    <row r="3848" spans="1:16" ht="15" hidden="1" customHeight="1">
      <c r="A3848" s="839">
        <v>69725082</v>
      </c>
      <c r="B3848" s="839">
        <v>1352</v>
      </c>
      <c r="C3848" s="906">
        <v>2990</v>
      </c>
      <c r="D3848" s="907">
        <v>46087</v>
      </c>
      <c r="E3848" s="839" t="s">
        <v>292</v>
      </c>
      <c r="F3848" s="839" t="s">
        <v>223</v>
      </c>
      <c r="G3848" s="916">
        <f>VLOOKUP($A3848,'Tech Litons'!$A:$I,8,FALSE)</f>
        <v>5.2680000000000001E-3</v>
      </c>
      <c r="H3848" s="917">
        <f>VLOOKUP($A3848,'Tech Litons'!$A:$I,9,FALSE)</f>
        <v>130</v>
      </c>
      <c r="I3848" s="917" t="str">
        <f>VLOOKUP($A3848,'Tech Litons'!$A:$C,3,0)</f>
        <v>PG</v>
      </c>
      <c r="J3848" s="918" t="str">
        <f t="shared" si="390"/>
        <v>1352PG</v>
      </c>
      <c r="K3848" s="919">
        <v>1</v>
      </c>
      <c r="L3848" s="920">
        <f t="shared" si="391"/>
        <v>2990</v>
      </c>
      <c r="M3848" s="920">
        <f t="shared" si="392"/>
        <v>15.75132</v>
      </c>
      <c r="N3848" s="920">
        <f t="shared" si="393"/>
        <v>23</v>
      </c>
      <c r="O3848" s="918" t="str">
        <f t="shared" si="394"/>
        <v>Mar</v>
      </c>
      <c r="P3848" s="921">
        <f t="shared" si="395"/>
        <v>10</v>
      </c>
    </row>
    <row r="3849" spans="1:16" ht="15" hidden="1" customHeight="1">
      <c r="A3849" s="839">
        <v>69725082</v>
      </c>
      <c r="B3849" s="839">
        <v>1352</v>
      </c>
      <c r="C3849" s="906">
        <v>1950</v>
      </c>
      <c r="D3849" s="907">
        <v>46087</v>
      </c>
      <c r="E3849" s="839" t="s">
        <v>292</v>
      </c>
      <c r="F3849" s="839" t="s">
        <v>223</v>
      </c>
      <c r="G3849" s="916">
        <f>VLOOKUP($A3849,'Tech Litons'!$A:$I,8,FALSE)</f>
        <v>5.2680000000000001E-3</v>
      </c>
      <c r="H3849" s="917">
        <f>VLOOKUP($A3849,'Tech Litons'!$A:$I,9,FALSE)</f>
        <v>130</v>
      </c>
      <c r="I3849" s="917" t="str">
        <f>VLOOKUP($A3849,'Tech Litons'!$A:$C,3,0)</f>
        <v>PG</v>
      </c>
      <c r="J3849" s="918" t="str">
        <f t="shared" si="390"/>
        <v>1352PG</v>
      </c>
      <c r="K3849" s="919">
        <v>1</v>
      </c>
      <c r="L3849" s="920">
        <f t="shared" si="391"/>
        <v>1950</v>
      </c>
      <c r="M3849" s="920">
        <f t="shared" si="392"/>
        <v>10.272600000000001</v>
      </c>
      <c r="N3849" s="920">
        <f t="shared" si="393"/>
        <v>15</v>
      </c>
      <c r="O3849" s="918" t="str">
        <f t="shared" si="394"/>
        <v>Mar</v>
      </c>
      <c r="P3849" s="921">
        <f t="shared" si="395"/>
        <v>10</v>
      </c>
    </row>
    <row r="3850" spans="1:16" ht="15" hidden="1" customHeight="1">
      <c r="A3850" s="839">
        <v>69725082</v>
      </c>
      <c r="B3850" s="839">
        <v>1352</v>
      </c>
      <c r="C3850" s="906">
        <v>2841</v>
      </c>
      <c r="D3850" s="907">
        <v>46088</v>
      </c>
      <c r="E3850" s="839" t="s">
        <v>292</v>
      </c>
      <c r="F3850" s="839" t="s">
        <v>223</v>
      </c>
      <c r="G3850" s="916">
        <f>VLOOKUP($A3850,'Tech Litons'!$A:$I,8,FALSE)</f>
        <v>5.2680000000000001E-3</v>
      </c>
      <c r="H3850" s="917">
        <f>VLOOKUP($A3850,'Tech Litons'!$A:$I,9,FALSE)</f>
        <v>130</v>
      </c>
      <c r="I3850" s="917" t="str">
        <f>VLOOKUP($A3850,'Tech Litons'!$A:$C,3,0)</f>
        <v>PG</v>
      </c>
      <c r="J3850" s="918" t="str">
        <f t="shared" si="390"/>
        <v>1352PG</v>
      </c>
      <c r="K3850" s="919">
        <v>1</v>
      </c>
      <c r="L3850" s="920">
        <f t="shared" si="391"/>
        <v>2841</v>
      </c>
      <c r="M3850" s="920">
        <f t="shared" si="392"/>
        <v>14.966388</v>
      </c>
      <c r="N3850" s="920">
        <f t="shared" si="393"/>
        <v>21.853846153846153</v>
      </c>
      <c r="O3850" s="918" t="str">
        <f t="shared" si="394"/>
        <v>Mar</v>
      </c>
      <c r="P3850" s="921">
        <f t="shared" si="395"/>
        <v>10</v>
      </c>
    </row>
    <row r="3851" spans="1:16" ht="15" hidden="1" customHeight="1">
      <c r="A3851" s="839">
        <v>69725082</v>
      </c>
      <c r="B3851" s="839">
        <v>1352</v>
      </c>
      <c r="C3851" s="906">
        <v>130</v>
      </c>
      <c r="D3851" s="907">
        <v>46093</v>
      </c>
      <c r="E3851" s="839" t="s">
        <v>292</v>
      </c>
      <c r="F3851" s="839" t="s">
        <v>223</v>
      </c>
      <c r="G3851" s="916">
        <f>VLOOKUP($A3851,'Tech Litons'!$A:$I,8,FALSE)</f>
        <v>5.2680000000000001E-3</v>
      </c>
      <c r="H3851" s="917">
        <f>VLOOKUP($A3851,'Tech Litons'!$A:$I,9,FALSE)</f>
        <v>130</v>
      </c>
      <c r="I3851" s="917" t="str">
        <f>VLOOKUP($A3851,'Tech Litons'!$A:$C,3,0)</f>
        <v>PG</v>
      </c>
      <c r="J3851" s="918" t="str">
        <f t="shared" si="390"/>
        <v>1352PG</v>
      </c>
      <c r="K3851" s="919">
        <v>1</v>
      </c>
      <c r="L3851" s="920">
        <f t="shared" si="391"/>
        <v>130</v>
      </c>
      <c r="M3851" s="920">
        <f t="shared" si="392"/>
        <v>0.68484</v>
      </c>
      <c r="N3851" s="920">
        <f t="shared" si="393"/>
        <v>1</v>
      </c>
      <c r="O3851" s="918" t="str">
        <f t="shared" si="394"/>
        <v>Mar</v>
      </c>
      <c r="P3851" s="921">
        <f t="shared" si="395"/>
        <v>11</v>
      </c>
    </row>
    <row r="3852" spans="1:16" ht="15" hidden="1" customHeight="1">
      <c r="A3852" s="839">
        <v>69725083</v>
      </c>
      <c r="B3852" s="839">
        <v>1352</v>
      </c>
      <c r="C3852" s="906">
        <v>2207</v>
      </c>
      <c r="D3852" s="907">
        <v>46091</v>
      </c>
      <c r="E3852" s="839" t="s">
        <v>358</v>
      </c>
      <c r="F3852" s="839" t="s">
        <v>225</v>
      </c>
      <c r="G3852" s="916">
        <f>VLOOKUP($A3852,'Tech Litons'!$A:$I,8,FALSE)</f>
        <v>5.2680000000000001E-3</v>
      </c>
      <c r="H3852" s="917">
        <f>VLOOKUP($A3852,'Tech Litons'!$A:$I,9,FALSE)</f>
        <v>130</v>
      </c>
      <c r="I3852" s="917" t="str">
        <f>VLOOKUP($A3852,'Tech Litons'!$A:$C,3,0)</f>
        <v>PG</v>
      </c>
      <c r="J3852" s="918" t="str">
        <f t="shared" si="390"/>
        <v>1352PG</v>
      </c>
      <c r="K3852" s="919">
        <v>1</v>
      </c>
      <c r="L3852" s="920">
        <f t="shared" si="391"/>
        <v>2207</v>
      </c>
      <c r="M3852" s="920">
        <f t="shared" si="392"/>
        <v>11.626476</v>
      </c>
      <c r="N3852" s="920">
        <f t="shared" si="393"/>
        <v>16.976923076923075</v>
      </c>
      <c r="O3852" s="918" t="str">
        <f t="shared" si="394"/>
        <v>Mar</v>
      </c>
      <c r="P3852" s="921">
        <f t="shared" si="395"/>
        <v>11</v>
      </c>
    </row>
    <row r="3853" spans="1:16" ht="15" hidden="1" customHeight="1">
      <c r="A3853" s="839">
        <v>69725083</v>
      </c>
      <c r="B3853" s="839">
        <v>1352</v>
      </c>
      <c r="C3853" s="906">
        <v>3075</v>
      </c>
      <c r="D3853" s="907">
        <v>46092</v>
      </c>
      <c r="E3853" s="839" t="s">
        <v>358</v>
      </c>
      <c r="F3853" s="839" t="s">
        <v>225</v>
      </c>
      <c r="G3853" s="916">
        <f>VLOOKUP($A3853,'Tech Litons'!$A:$I,8,FALSE)</f>
        <v>5.2680000000000001E-3</v>
      </c>
      <c r="H3853" s="917">
        <f>VLOOKUP($A3853,'Tech Litons'!$A:$I,9,FALSE)</f>
        <v>130</v>
      </c>
      <c r="I3853" s="917" t="str">
        <f>VLOOKUP($A3853,'Tech Litons'!$A:$C,3,0)</f>
        <v>PG</v>
      </c>
      <c r="J3853" s="918" t="str">
        <f t="shared" si="390"/>
        <v>1352PG</v>
      </c>
      <c r="K3853" s="919">
        <v>1</v>
      </c>
      <c r="L3853" s="920">
        <f t="shared" si="391"/>
        <v>3075</v>
      </c>
      <c r="M3853" s="920">
        <f t="shared" si="392"/>
        <v>16.199100000000001</v>
      </c>
      <c r="N3853" s="920">
        <f t="shared" si="393"/>
        <v>23.653846153846153</v>
      </c>
      <c r="O3853" s="918" t="str">
        <f t="shared" si="394"/>
        <v>Mar</v>
      </c>
      <c r="P3853" s="921">
        <f t="shared" si="395"/>
        <v>11</v>
      </c>
    </row>
    <row r="3854" spans="1:16" ht="15" hidden="1" customHeight="1">
      <c r="A3854" s="839">
        <v>69725083</v>
      </c>
      <c r="B3854" s="839">
        <v>1352</v>
      </c>
      <c r="C3854" s="906">
        <v>1950</v>
      </c>
      <c r="D3854" s="907">
        <v>46092</v>
      </c>
      <c r="E3854" s="839" t="s">
        <v>358</v>
      </c>
      <c r="F3854" s="839" t="s">
        <v>225</v>
      </c>
      <c r="G3854" s="916">
        <f>VLOOKUP($A3854,'Tech Litons'!$A:$I,8,FALSE)</f>
        <v>5.2680000000000001E-3</v>
      </c>
      <c r="H3854" s="917">
        <f>VLOOKUP($A3854,'Tech Litons'!$A:$I,9,FALSE)</f>
        <v>130</v>
      </c>
      <c r="I3854" s="917" t="str">
        <f>VLOOKUP($A3854,'Tech Litons'!$A:$C,3,0)</f>
        <v>PG</v>
      </c>
      <c r="J3854" s="918" t="str">
        <f t="shared" si="390"/>
        <v>1352PG</v>
      </c>
      <c r="K3854" s="919">
        <v>1</v>
      </c>
      <c r="L3854" s="920">
        <f t="shared" si="391"/>
        <v>1950</v>
      </c>
      <c r="M3854" s="920">
        <f t="shared" si="392"/>
        <v>10.272600000000001</v>
      </c>
      <c r="N3854" s="920">
        <f t="shared" si="393"/>
        <v>15</v>
      </c>
      <c r="O3854" s="918" t="str">
        <f t="shared" si="394"/>
        <v>Mar</v>
      </c>
      <c r="P3854" s="921">
        <f t="shared" si="395"/>
        <v>11</v>
      </c>
    </row>
    <row r="3855" spans="1:16" ht="15" hidden="1" customHeight="1">
      <c r="A3855" s="839">
        <v>69725083</v>
      </c>
      <c r="B3855" s="839">
        <v>1352</v>
      </c>
      <c r="C3855" s="906">
        <v>1853</v>
      </c>
      <c r="D3855" s="907">
        <v>46093</v>
      </c>
      <c r="E3855" s="839" t="s">
        <v>358</v>
      </c>
      <c r="F3855" s="839" t="s">
        <v>225</v>
      </c>
      <c r="G3855" s="916">
        <f>VLOOKUP($A3855,'Tech Litons'!$A:$I,8,FALSE)</f>
        <v>5.2680000000000001E-3</v>
      </c>
      <c r="H3855" s="917">
        <f>VLOOKUP($A3855,'Tech Litons'!$A:$I,9,FALSE)</f>
        <v>130</v>
      </c>
      <c r="I3855" s="917" t="str">
        <f>VLOOKUP($A3855,'Tech Litons'!$A:$C,3,0)</f>
        <v>PG</v>
      </c>
      <c r="J3855" s="918" t="str">
        <f t="shared" si="390"/>
        <v>1352PG</v>
      </c>
      <c r="K3855" s="919">
        <v>1</v>
      </c>
      <c r="L3855" s="920">
        <f t="shared" si="391"/>
        <v>1853</v>
      </c>
      <c r="M3855" s="920">
        <f t="shared" si="392"/>
        <v>9.7616040000000002</v>
      </c>
      <c r="N3855" s="920">
        <f t="shared" si="393"/>
        <v>14.253846153846155</v>
      </c>
      <c r="O3855" s="918" t="str">
        <f t="shared" si="394"/>
        <v>Mar</v>
      </c>
      <c r="P3855" s="921">
        <f t="shared" si="395"/>
        <v>11</v>
      </c>
    </row>
    <row r="3856" spans="1:16" ht="15" hidden="1" customHeight="1">
      <c r="A3856" s="839">
        <v>69725083</v>
      </c>
      <c r="B3856" s="839">
        <v>1352</v>
      </c>
      <c r="C3856" s="906">
        <v>1820</v>
      </c>
      <c r="D3856" s="907">
        <v>46093</v>
      </c>
      <c r="E3856" s="839" t="s">
        <v>358</v>
      </c>
      <c r="F3856" s="839" t="s">
        <v>225</v>
      </c>
      <c r="G3856" s="916">
        <f>VLOOKUP($A3856,'Tech Litons'!$A:$I,8,FALSE)</f>
        <v>5.2680000000000001E-3</v>
      </c>
      <c r="H3856" s="917">
        <f>VLOOKUP($A3856,'Tech Litons'!$A:$I,9,FALSE)</f>
        <v>130</v>
      </c>
      <c r="I3856" s="917" t="str">
        <f>VLOOKUP($A3856,'Tech Litons'!$A:$C,3,0)</f>
        <v>PG</v>
      </c>
      <c r="J3856" s="918" t="str">
        <f t="shared" si="390"/>
        <v>1352PG</v>
      </c>
      <c r="K3856" s="919">
        <v>1</v>
      </c>
      <c r="L3856" s="920">
        <f t="shared" si="391"/>
        <v>1820</v>
      </c>
      <c r="M3856" s="920">
        <f t="shared" si="392"/>
        <v>9.5877599999999994</v>
      </c>
      <c r="N3856" s="920">
        <f t="shared" si="393"/>
        <v>14</v>
      </c>
      <c r="O3856" s="918" t="str">
        <f t="shared" si="394"/>
        <v>Mar</v>
      </c>
      <c r="P3856" s="921">
        <f t="shared" si="395"/>
        <v>11</v>
      </c>
    </row>
    <row r="3857" spans="1:16" ht="15" hidden="1" customHeight="1">
      <c r="A3857" s="839">
        <v>69725083</v>
      </c>
      <c r="B3857" s="839">
        <v>1352</v>
      </c>
      <c r="C3857" s="906">
        <v>2990</v>
      </c>
      <c r="D3857" s="907">
        <v>46094</v>
      </c>
      <c r="E3857" s="839" t="s">
        <v>358</v>
      </c>
      <c r="F3857" s="839" t="s">
        <v>225</v>
      </c>
      <c r="G3857" s="916">
        <f>VLOOKUP($A3857,'Tech Litons'!$A:$I,8,FALSE)</f>
        <v>5.2680000000000001E-3</v>
      </c>
      <c r="H3857" s="917">
        <f>VLOOKUP($A3857,'Tech Litons'!$A:$I,9,FALSE)</f>
        <v>130</v>
      </c>
      <c r="I3857" s="917" t="str">
        <f>VLOOKUP($A3857,'Tech Litons'!$A:$C,3,0)</f>
        <v>PG</v>
      </c>
      <c r="J3857" s="918" t="str">
        <f t="shared" si="390"/>
        <v>1352PG</v>
      </c>
      <c r="K3857" s="919">
        <v>1</v>
      </c>
      <c r="L3857" s="920">
        <f t="shared" si="391"/>
        <v>2990</v>
      </c>
      <c r="M3857" s="920">
        <f t="shared" si="392"/>
        <v>15.75132</v>
      </c>
      <c r="N3857" s="920">
        <f t="shared" si="393"/>
        <v>23</v>
      </c>
      <c r="O3857" s="918" t="str">
        <f t="shared" si="394"/>
        <v>Mar</v>
      </c>
      <c r="P3857" s="921">
        <f t="shared" si="395"/>
        <v>11</v>
      </c>
    </row>
    <row r="3858" spans="1:16" ht="15" hidden="1" customHeight="1">
      <c r="A3858" s="839">
        <v>69725083</v>
      </c>
      <c r="B3858" s="839">
        <v>1352</v>
      </c>
      <c r="C3858" s="906">
        <v>1430</v>
      </c>
      <c r="D3858" s="907">
        <v>46094</v>
      </c>
      <c r="E3858" s="839" t="s">
        <v>358</v>
      </c>
      <c r="F3858" s="839" t="s">
        <v>225</v>
      </c>
      <c r="G3858" s="916">
        <f>VLOOKUP($A3858,'Tech Litons'!$A:$I,8,FALSE)</f>
        <v>5.2680000000000001E-3</v>
      </c>
      <c r="H3858" s="917">
        <f>VLOOKUP($A3858,'Tech Litons'!$A:$I,9,FALSE)</f>
        <v>130</v>
      </c>
      <c r="I3858" s="917" t="str">
        <f>VLOOKUP($A3858,'Tech Litons'!$A:$C,3,0)</f>
        <v>PG</v>
      </c>
      <c r="J3858" s="918" t="str">
        <f t="shared" si="390"/>
        <v>1352PG</v>
      </c>
      <c r="K3858" s="919">
        <v>1</v>
      </c>
      <c r="L3858" s="920">
        <f t="shared" si="391"/>
        <v>1430</v>
      </c>
      <c r="M3858" s="920">
        <f t="shared" si="392"/>
        <v>7.5332400000000002</v>
      </c>
      <c r="N3858" s="920">
        <f t="shared" si="393"/>
        <v>11</v>
      </c>
      <c r="O3858" s="918" t="str">
        <f t="shared" si="394"/>
        <v>Mar</v>
      </c>
      <c r="P3858" s="921">
        <f t="shared" si="395"/>
        <v>11</v>
      </c>
    </row>
    <row r="3859" spans="1:16" ht="15" hidden="1" customHeight="1">
      <c r="A3859" s="839">
        <v>69725083</v>
      </c>
      <c r="B3859" s="839">
        <v>1352</v>
      </c>
      <c r="C3859" s="906">
        <v>1746</v>
      </c>
      <c r="D3859" s="907">
        <v>46095</v>
      </c>
      <c r="E3859" s="839" t="s">
        <v>358</v>
      </c>
      <c r="F3859" s="839" t="s">
        <v>225</v>
      </c>
      <c r="G3859" s="916">
        <f>VLOOKUP($A3859,'Tech Litons'!$A:$I,8,FALSE)</f>
        <v>5.2680000000000001E-3</v>
      </c>
      <c r="H3859" s="917">
        <f>VLOOKUP($A3859,'Tech Litons'!$A:$I,9,FALSE)</f>
        <v>130</v>
      </c>
      <c r="I3859" s="917" t="str">
        <f>VLOOKUP($A3859,'Tech Litons'!$A:$C,3,0)</f>
        <v>PG</v>
      </c>
      <c r="J3859" s="918" t="str">
        <f t="shared" si="390"/>
        <v>1352PG</v>
      </c>
      <c r="K3859" s="919">
        <v>1</v>
      </c>
      <c r="L3859" s="920">
        <f t="shared" si="391"/>
        <v>1746</v>
      </c>
      <c r="M3859" s="920">
        <f t="shared" si="392"/>
        <v>9.197928000000001</v>
      </c>
      <c r="N3859" s="920">
        <f t="shared" si="393"/>
        <v>13.430769230769231</v>
      </c>
      <c r="O3859" s="918" t="str">
        <f t="shared" si="394"/>
        <v>Mar</v>
      </c>
      <c r="P3859" s="921">
        <f t="shared" si="395"/>
        <v>11</v>
      </c>
    </row>
    <row r="3860" spans="1:16" ht="15" hidden="1" customHeight="1">
      <c r="A3860" s="839">
        <v>69725083</v>
      </c>
      <c r="B3860" s="839">
        <v>1352</v>
      </c>
      <c r="C3860" s="906">
        <v>390</v>
      </c>
      <c r="D3860" s="907">
        <v>46090</v>
      </c>
      <c r="E3860" s="839" t="s">
        <v>358</v>
      </c>
      <c r="F3860" s="839" t="s">
        <v>225</v>
      </c>
      <c r="G3860" s="916">
        <f>VLOOKUP($A3860,'Tech Litons'!$A:$I,8,FALSE)</f>
        <v>5.2680000000000001E-3</v>
      </c>
      <c r="H3860" s="917">
        <f>VLOOKUP($A3860,'Tech Litons'!$A:$I,9,FALSE)</f>
        <v>130</v>
      </c>
      <c r="I3860" s="917" t="str">
        <f>VLOOKUP($A3860,'Tech Litons'!$A:$C,3,0)</f>
        <v>PG</v>
      </c>
      <c r="J3860" s="918" t="str">
        <f t="shared" si="390"/>
        <v>1352PG</v>
      </c>
      <c r="K3860" s="919">
        <v>1</v>
      </c>
      <c r="L3860" s="920">
        <f t="shared" si="391"/>
        <v>390</v>
      </c>
      <c r="M3860" s="920">
        <f t="shared" si="392"/>
        <v>2.0545200000000001</v>
      </c>
      <c r="N3860" s="920">
        <f t="shared" si="393"/>
        <v>3</v>
      </c>
      <c r="O3860" s="918" t="str">
        <f t="shared" si="394"/>
        <v>Mar</v>
      </c>
      <c r="P3860" s="921">
        <f t="shared" si="395"/>
        <v>11</v>
      </c>
    </row>
    <row r="3861" spans="1:16" ht="15" hidden="1" customHeight="1">
      <c r="A3861" s="839">
        <v>69725083</v>
      </c>
      <c r="B3861" s="839">
        <v>1352</v>
      </c>
      <c r="C3861" s="906">
        <v>3143</v>
      </c>
      <c r="D3861" s="907">
        <v>46091</v>
      </c>
      <c r="E3861" s="839" t="s">
        <v>358</v>
      </c>
      <c r="F3861" s="839" t="s">
        <v>225</v>
      </c>
      <c r="G3861" s="916">
        <f>VLOOKUP($A3861,'Tech Litons'!$A:$I,8,FALSE)</f>
        <v>5.2680000000000001E-3</v>
      </c>
      <c r="H3861" s="917">
        <f>VLOOKUP($A3861,'Tech Litons'!$A:$I,9,FALSE)</f>
        <v>130</v>
      </c>
      <c r="I3861" s="917" t="str">
        <f>VLOOKUP($A3861,'Tech Litons'!$A:$C,3,0)</f>
        <v>PG</v>
      </c>
      <c r="J3861" s="918" t="str">
        <f t="shared" si="390"/>
        <v>1352PG</v>
      </c>
      <c r="K3861" s="919">
        <v>1</v>
      </c>
      <c r="L3861" s="920">
        <f t="shared" si="391"/>
        <v>3143</v>
      </c>
      <c r="M3861" s="920">
        <f t="shared" si="392"/>
        <v>16.557324000000001</v>
      </c>
      <c r="N3861" s="920">
        <f t="shared" si="393"/>
        <v>24.176923076923078</v>
      </c>
      <c r="O3861" s="918" t="str">
        <f t="shared" si="394"/>
        <v>Mar</v>
      </c>
      <c r="P3861" s="921">
        <f t="shared" si="395"/>
        <v>11</v>
      </c>
    </row>
    <row r="3862" spans="1:16" ht="15" hidden="1" customHeight="1">
      <c r="A3862" s="839">
        <v>69725083</v>
      </c>
      <c r="B3862" s="839">
        <v>1352</v>
      </c>
      <c r="C3862" s="906">
        <v>1560</v>
      </c>
      <c r="D3862" s="907">
        <v>46097</v>
      </c>
      <c r="E3862" s="839" t="s">
        <v>358</v>
      </c>
      <c r="F3862" s="839" t="s">
        <v>225</v>
      </c>
      <c r="G3862" s="916">
        <f>VLOOKUP($A3862,'Tech Litons'!$A:$I,8,FALSE)</f>
        <v>5.2680000000000001E-3</v>
      </c>
      <c r="H3862" s="917">
        <f>VLOOKUP($A3862,'Tech Litons'!$A:$I,9,FALSE)</f>
        <v>130</v>
      </c>
      <c r="I3862" s="917" t="str">
        <f>VLOOKUP($A3862,'Tech Litons'!$A:$C,3,0)</f>
        <v>PG</v>
      </c>
      <c r="J3862" s="918" t="str">
        <f t="shared" si="390"/>
        <v>1352PG</v>
      </c>
      <c r="K3862" s="919">
        <v>1</v>
      </c>
      <c r="L3862" s="920">
        <f t="shared" si="391"/>
        <v>1560</v>
      </c>
      <c r="M3862" s="920">
        <f t="shared" si="392"/>
        <v>8.2180800000000005</v>
      </c>
      <c r="N3862" s="920">
        <f t="shared" si="393"/>
        <v>12</v>
      </c>
      <c r="O3862" s="918" t="str">
        <f t="shared" si="394"/>
        <v>Mar</v>
      </c>
      <c r="P3862" s="921">
        <f t="shared" si="395"/>
        <v>12</v>
      </c>
    </row>
    <row r="3863" spans="1:16" ht="15" hidden="1" customHeight="1">
      <c r="A3863" s="839">
        <v>69725083</v>
      </c>
      <c r="B3863" s="839">
        <v>1352</v>
      </c>
      <c r="C3863" s="906">
        <v>1584</v>
      </c>
      <c r="D3863" s="907">
        <v>46098</v>
      </c>
      <c r="E3863" s="839" t="s">
        <v>358</v>
      </c>
      <c r="F3863" s="839" t="s">
        <v>225</v>
      </c>
      <c r="G3863" s="916">
        <f>VLOOKUP($A3863,'Tech Litons'!$A:$I,8,FALSE)</f>
        <v>5.2680000000000001E-3</v>
      </c>
      <c r="H3863" s="917">
        <f>VLOOKUP($A3863,'Tech Litons'!$A:$I,9,FALSE)</f>
        <v>130</v>
      </c>
      <c r="I3863" s="917" t="str">
        <f>VLOOKUP($A3863,'Tech Litons'!$A:$C,3,0)</f>
        <v>PG</v>
      </c>
      <c r="J3863" s="918" t="str">
        <f t="shared" si="390"/>
        <v>1352PG</v>
      </c>
      <c r="K3863" s="919">
        <v>1</v>
      </c>
      <c r="L3863" s="920">
        <f t="shared" si="391"/>
        <v>1584</v>
      </c>
      <c r="M3863" s="920">
        <f t="shared" si="392"/>
        <v>8.3445119999999999</v>
      </c>
      <c r="N3863" s="920">
        <f t="shared" si="393"/>
        <v>12.184615384615384</v>
      </c>
      <c r="O3863" s="918" t="str">
        <f t="shared" si="394"/>
        <v>Mar</v>
      </c>
      <c r="P3863" s="921">
        <f t="shared" si="395"/>
        <v>12</v>
      </c>
    </row>
    <row r="3864" spans="1:16" ht="15" hidden="1" customHeight="1">
      <c r="A3864" s="839">
        <v>69725083</v>
      </c>
      <c r="B3864" s="839">
        <v>1352</v>
      </c>
      <c r="C3864" s="906">
        <v>2600</v>
      </c>
      <c r="D3864" s="907">
        <v>46098</v>
      </c>
      <c r="E3864" s="839" t="s">
        <v>358</v>
      </c>
      <c r="F3864" s="839" t="s">
        <v>225</v>
      </c>
      <c r="G3864" s="916">
        <f>VLOOKUP($A3864,'Tech Litons'!$A:$I,8,FALSE)</f>
        <v>5.2680000000000001E-3</v>
      </c>
      <c r="H3864" s="917">
        <f>VLOOKUP($A3864,'Tech Litons'!$A:$I,9,FALSE)</f>
        <v>130</v>
      </c>
      <c r="I3864" s="917" t="str">
        <f>VLOOKUP($A3864,'Tech Litons'!$A:$C,3,0)</f>
        <v>PG</v>
      </c>
      <c r="J3864" s="918" t="str">
        <f t="shared" si="390"/>
        <v>1352PG</v>
      </c>
      <c r="K3864" s="919">
        <v>1</v>
      </c>
      <c r="L3864" s="920">
        <f t="shared" si="391"/>
        <v>2600</v>
      </c>
      <c r="M3864" s="920">
        <f t="shared" si="392"/>
        <v>13.6968</v>
      </c>
      <c r="N3864" s="920">
        <f t="shared" si="393"/>
        <v>20</v>
      </c>
      <c r="O3864" s="918" t="str">
        <f t="shared" si="394"/>
        <v>Mar</v>
      </c>
      <c r="P3864" s="921">
        <f t="shared" si="395"/>
        <v>12</v>
      </c>
    </row>
    <row r="3865" spans="1:16" ht="15" hidden="1" customHeight="1">
      <c r="A3865" s="839">
        <v>69725083</v>
      </c>
      <c r="B3865" s="839">
        <v>1352</v>
      </c>
      <c r="C3865" s="906">
        <v>3193</v>
      </c>
      <c r="D3865" s="907">
        <v>46099</v>
      </c>
      <c r="E3865" s="839" t="s">
        <v>358</v>
      </c>
      <c r="F3865" s="839" t="s">
        <v>225</v>
      </c>
      <c r="G3865" s="916">
        <f>VLOOKUP($A3865,'Tech Litons'!$A:$I,8,FALSE)</f>
        <v>5.2680000000000001E-3</v>
      </c>
      <c r="H3865" s="917">
        <f>VLOOKUP($A3865,'Tech Litons'!$A:$I,9,FALSE)</f>
        <v>130</v>
      </c>
      <c r="I3865" s="917" t="str">
        <f>VLOOKUP($A3865,'Tech Litons'!$A:$C,3,0)</f>
        <v>PG</v>
      </c>
      <c r="J3865" s="918" t="str">
        <f t="shared" si="390"/>
        <v>1352PG</v>
      </c>
      <c r="K3865" s="919">
        <v>1</v>
      </c>
      <c r="L3865" s="920">
        <f t="shared" si="391"/>
        <v>3193</v>
      </c>
      <c r="M3865" s="920">
        <f t="shared" si="392"/>
        <v>16.820724000000002</v>
      </c>
      <c r="N3865" s="920">
        <f t="shared" si="393"/>
        <v>24.561538461538461</v>
      </c>
      <c r="O3865" s="918" t="str">
        <f t="shared" si="394"/>
        <v>Mar</v>
      </c>
      <c r="P3865" s="921">
        <f t="shared" si="395"/>
        <v>12</v>
      </c>
    </row>
    <row r="3866" spans="1:16" ht="15" hidden="1" customHeight="1">
      <c r="A3866" s="839">
        <v>69725083</v>
      </c>
      <c r="B3866" s="839">
        <v>1352</v>
      </c>
      <c r="C3866" s="906">
        <v>2340</v>
      </c>
      <c r="D3866" s="907">
        <v>46099</v>
      </c>
      <c r="E3866" s="839" t="s">
        <v>358</v>
      </c>
      <c r="F3866" s="839" t="s">
        <v>225</v>
      </c>
      <c r="G3866" s="916">
        <f>VLOOKUP($A3866,'Tech Litons'!$A:$I,8,FALSE)</f>
        <v>5.2680000000000001E-3</v>
      </c>
      <c r="H3866" s="917">
        <f>VLOOKUP($A3866,'Tech Litons'!$A:$I,9,FALSE)</f>
        <v>130</v>
      </c>
      <c r="I3866" s="917" t="str">
        <f>VLOOKUP($A3866,'Tech Litons'!$A:$C,3,0)</f>
        <v>PG</v>
      </c>
      <c r="J3866" s="918" t="str">
        <f t="shared" si="390"/>
        <v>1352PG</v>
      </c>
      <c r="K3866" s="919">
        <v>1</v>
      </c>
      <c r="L3866" s="920">
        <f t="shared" si="391"/>
        <v>2340</v>
      </c>
      <c r="M3866" s="920">
        <f t="shared" si="392"/>
        <v>12.327120000000001</v>
      </c>
      <c r="N3866" s="920">
        <f t="shared" si="393"/>
        <v>18</v>
      </c>
      <c r="O3866" s="918" t="str">
        <f t="shared" si="394"/>
        <v>Mar</v>
      </c>
      <c r="P3866" s="921">
        <f t="shared" si="395"/>
        <v>12</v>
      </c>
    </row>
    <row r="3867" spans="1:16" ht="15" hidden="1" customHeight="1">
      <c r="A3867" s="839">
        <v>69725083</v>
      </c>
      <c r="B3867" s="839">
        <v>1352</v>
      </c>
      <c r="C3867" s="906">
        <v>3013</v>
      </c>
      <c r="D3867" s="907">
        <v>46100</v>
      </c>
      <c r="E3867" s="839" t="s">
        <v>358</v>
      </c>
      <c r="F3867" s="839" t="s">
        <v>225</v>
      </c>
      <c r="G3867" s="916">
        <f>VLOOKUP($A3867,'Tech Litons'!$A:$I,8,FALSE)</f>
        <v>5.2680000000000001E-3</v>
      </c>
      <c r="H3867" s="917">
        <f>VLOOKUP($A3867,'Tech Litons'!$A:$I,9,FALSE)</f>
        <v>130</v>
      </c>
      <c r="I3867" s="917" t="str">
        <f>VLOOKUP($A3867,'Tech Litons'!$A:$C,3,0)</f>
        <v>PG</v>
      </c>
      <c r="J3867" s="918" t="str">
        <f t="shared" si="390"/>
        <v>1352PG</v>
      </c>
      <c r="K3867" s="919">
        <v>1</v>
      </c>
      <c r="L3867" s="920">
        <f t="shared" si="391"/>
        <v>3013</v>
      </c>
      <c r="M3867" s="920">
        <f t="shared" si="392"/>
        <v>15.872484</v>
      </c>
      <c r="N3867" s="920">
        <f t="shared" si="393"/>
        <v>23.176923076923078</v>
      </c>
      <c r="O3867" s="918" t="str">
        <f t="shared" si="394"/>
        <v>Mar</v>
      </c>
      <c r="P3867" s="921">
        <f t="shared" si="395"/>
        <v>12</v>
      </c>
    </row>
    <row r="3868" spans="1:16" ht="15" hidden="1" customHeight="1">
      <c r="A3868" s="839">
        <v>69725083</v>
      </c>
      <c r="B3868" s="839">
        <v>1352</v>
      </c>
      <c r="C3868" s="906">
        <v>2470</v>
      </c>
      <c r="D3868" s="907">
        <v>46100</v>
      </c>
      <c r="E3868" s="839" t="s">
        <v>358</v>
      </c>
      <c r="F3868" s="839" t="s">
        <v>225</v>
      </c>
      <c r="G3868" s="916">
        <f>VLOOKUP($A3868,'Tech Litons'!$A:$I,8,FALSE)</f>
        <v>5.2680000000000001E-3</v>
      </c>
      <c r="H3868" s="917">
        <f>VLOOKUP($A3868,'Tech Litons'!$A:$I,9,FALSE)</f>
        <v>130</v>
      </c>
      <c r="I3868" s="917" t="str">
        <f>VLOOKUP($A3868,'Tech Litons'!$A:$C,3,0)</f>
        <v>PG</v>
      </c>
      <c r="J3868" s="918" t="str">
        <f t="shared" si="390"/>
        <v>1352PG</v>
      </c>
      <c r="K3868" s="919">
        <v>1</v>
      </c>
      <c r="L3868" s="920">
        <f t="shared" si="391"/>
        <v>2470</v>
      </c>
      <c r="M3868" s="920">
        <f t="shared" si="392"/>
        <v>13.01196</v>
      </c>
      <c r="N3868" s="920">
        <f t="shared" si="393"/>
        <v>19</v>
      </c>
      <c r="O3868" s="918" t="str">
        <f t="shared" si="394"/>
        <v>Mar</v>
      </c>
      <c r="P3868" s="921">
        <f t="shared" si="395"/>
        <v>12</v>
      </c>
    </row>
    <row r="3869" spans="1:16" ht="15" hidden="1" customHeight="1">
      <c r="A3869" s="839">
        <v>69725083</v>
      </c>
      <c r="B3869" s="839">
        <v>1352</v>
      </c>
      <c r="C3869" s="906">
        <v>2433</v>
      </c>
      <c r="D3869" s="907">
        <v>46101</v>
      </c>
      <c r="E3869" s="839" t="s">
        <v>358</v>
      </c>
      <c r="F3869" s="839" t="s">
        <v>225</v>
      </c>
      <c r="G3869" s="916">
        <f>VLOOKUP($A3869,'Tech Litons'!$A:$I,8,FALSE)</f>
        <v>5.2680000000000001E-3</v>
      </c>
      <c r="H3869" s="917">
        <f>VLOOKUP($A3869,'Tech Litons'!$A:$I,9,FALSE)</f>
        <v>130</v>
      </c>
      <c r="I3869" s="917" t="str">
        <f>VLOOKUP($A3869,'Tech Litons'!$A:$C,3,0)</f>
        <v>PG</v>
      </c>
      <c r="J3869" s="918" t="str">
        <f t="shared" si="390"/>
        <v>1352PG</v>
      </c>
      <c r="K3869" s="919">
        <v>1</v>
      </c>
      <c r="L3869" s="920">
        <f t="shared" si="391"/>
        <v>2433</v>
      </c>
      <c r="M3869" s="920">
        <f t="shared" si="392"/>
        <v>12.817044000000001</v>
      </c>
      <c r="N3869" s="920">
        <f t="shared" si="393"/>
        <v>18.715384615384615</v>
      </c>
      <c r="O3869" s="918" t="str">
        <f t="shared" si="394"/>
        <v>Mar</v>
      </c>
      <c r="P3869" s="921">
        <f t="shared" si="395"/>
        <v>12</v>
      </c>
    </row>
    <row r="3870" spans="1:16" ht="15" hidden="1" customHeight="1">
      <c r="A3870" s="839">
        <v>69725083</v>
      </c>
      <c r="B3870" s="839">
        <v>1352</v>
      </c>
      <c r="C3870" s="906">
        <v>637</v>
      </c>
      <c r="D3870" s="907">
        <v>46101</v>
      </c>
      <c r="E3870" s="839" t="s">
        <v>358</v>
      </c>
      <c r="F3870" s="839" t="s">
        <v>225</v>
      </c>
      <c r="G3870" s="916">
        <f>VLOOKUP($A3870,'Tech Litons'!$A:$I,8,FALSE)</f>
        <v>5.2680000000000001E-3</v>
      </c>
      <c r="H3870" s="917">
        <f>VLOOKUP($A3870,'Tech Litons'!$A:$I,9,FALSE)</f>
        <v>130</v>
      </c>
      <c r="I3870" s="917" t="str">
        <f>VLOOKUP($A3870,'Tech Litons'!$A:$C,3,0)</f>
        <v>PG</v>
      </c>
      <c r="J3870" s="918" t="str">
        <f t="shared" si="390"/>
        <v>1352PG</v>
      </c>
      <c r="K3870" s="919">
        <v>1</v>
      </c>
      <c r="L3870" s="920">
        <f t="shared" si="391"/>
        <v>637</v>
      </c>
      <c r="M3870" s="920">
        <f t="shared" si="392"/>
        <v>3.3557160000000001</v>
      </c>
      <c r="N3870" s="920">
        <f t="shared" si="393"/>
        <v>4.9000000000000004</v>
      </c>
      <c r="O3870" s="918" t="str">
        <f t="shared" si="394"/>
        <v>Mar</v>
      </c>
      <c r="P3870" s="921">
        <f t="shared" si="395"/>
        <v>12</v>
      </c>
    </row>
    <row r="3871" spans="1:16" ht="15" hidden="1" customHeight="1">
      <c r="A3871" s="839">
        <v>69725083</v>
      </c>
      <c r="B3871" s="839">
        <v>1352</v>
      </c>
      <c r="C3871" s="906">
        <v>1903</v>
      </c>
      <c r="D3871" s="907">
        <v>46102</v>
      </c>
      <c r="E3871" s="839" t="s">
        <v>358</v>
      </c>
      <c r="F3871" s="839" t="s">
        <v>225</v>
      </c>
      <c r="G3871" s="916">
        <f>VLOOKUP($A3871,'Tech Litons'!$A:$I,8,FALSE)</f>
        <v>5.2680000000000001E-3</v>
      </c>
      <c r="H3871" s="917">
        <f>VLOOKUP($A3871,'Tech Litons'!$A:$I,9,FALSE)</f>
        <v>130</v>
      </c>
      <c r="I3871" s="917" t="str">
        <f>VLOOKUP($A3871,'Tech Litons'!$A:$C,3,0)</f>
        <v>PG</v>
      </c>
      <c r="J3871" s="918" t="str">
        <f t="shared" si="390"/>
        <v>1352PG</v>
      </c>
      <c r="K3871" s="919">
        <v>1</v>
      </c>
      <c r="L3871" s="920">
        <f t="shared" si="391"/>
        <v>1903</v>
      </c>
      <c r="M3871" s="920">
        <f t="shared" si="392"/>
        <v>10.025004000000001</v>
      </c>
      <c r="N3871" s="920">
        <f t="shared" si="393"/>
        <v>14.638461538461538</v>
      </c>
      <c r="O3871" s="918" t="str">
        <f t="shared" si="394"/>
        <v>Mar</v>
      </c>
      <c r="P3871" s="921">
        <f t="shared" si="395"/>
        <v>12</v>
      </c>
    </row>
    <row r="3872" spans="1:16" ht="15" hidden="1" customHeight="1">
      <c r="A3872" s="839">
        <v>69727314</v>
      </c>
      <c r="B3872" s="839">
        <v>1352</v>
      </c>
      <c r="C3872" s="906">
        <v>2210</v>
      </c>
      <c r="D3872" s="907">
        <v>46090</v>
      </c>
      <c r="E3872" s="839" t="s">
        <v>402</v>
      </c>
      <c r="F3872" s="839" t="s">
        <v>223</v>
      </c>
      <c r="G3872" s="916">
        <f>VLOOKUP($A3872,'Tech Litons'!$A:$I,8,FALSE)</f>
        <v>5.2680000000000001E-3</v>
      </c>
      <c r="H3872" s="917">
        <f>VLOOKUP($A3872,'Tech Litons'!$A:$I,9,FALSE)</f>
        <v>130</v>
      </c>
      <c r="I3872" s="917" t="str">
        <f>VLOOKUP($A3872,'Tech Litons'!$A:$C,3,0)</f>
        <v>PG</v>
      </c>
      <c r="J3872" s="918" t="str">
        <f t="shared" si="390"/>
        <v>1352PG</v>
      </c>
      <c r="K3872" s="919">
        <v>1</v>
      </c>
      <c r="L3872" s="920">
        <f t="shared" si="391"/>
        <v>2210</v>
      </c>
      <c r="M3872" s="920">
        <f t="shared" si="392"/>
        <v>11.64228</v>
      </c>
      <c r="N3872" s="920">
        <f t="shared" si="393"/>
        <v>17</v>
      </c>
      <c r="O3872" s="918" t="str">
        <f t="shared" si="394"/>
        <v>Mar</v>
      </c>
      <c r="P3872" s="921">
        <f t="shared" si="395"/>
        <v>11</v>
      </c>
    </row>
    <row r="3873" spans="1:16" ht="15" hidden="1" customHeight="1">
      <c r="A3873" s="839">
        <v>69727314</v>
      </c>
      <c r="B3873" s="839">
        <v>1352</v>
      </c>
      <c r="C3873" s="906">
        <v>3120</v>
      </c>
      <c r="D3873" s="907">
        <v>46091</v>
      </c>
      <c r="E3873" s="839" t="s">
        <v>402</v>
      </c>
      <c r="F3873" s="839" t="s">
        <v>223</v>
      </c>
      <c r="G3873" s="916">
        <f>VLOOKUP($A3873,'Tech Litons'!$A:$I,8,FALSE)</f>
        <v>5.2680000000000001E-3</v>
      </c>
      <c r="H3873" s="917">
        <f>VLOOKUP($A3873,'Tech Litons'!$A:$I,9,FALSE)</f>
        <v>130</v>
      </c>
      <c r="I3873" s="917" t="str">
        <f>VLOOKUP($A3873,'Tech Litons'!$A:$C,3,0)</f>
        <v>PG</v>
      </c>
      <c r="J3873" s="918" t="str">
        <f t="shared" si="390"/>
        <v>1352PG</v>
      </c>
      <c r="K3873" s="919">
        <v>1</v>
      </c>
      <c r="L3873" s="920">
        <f t="shared" si="391"/>
        <v>3120</v>
      </c>
      <c r="M3873" s="920">
        <f t="shared" si="392"/>
        <v>16.436160000000001</v>
      </c>
      <c r="N3873" s="920">
        <f t="shared" si="393"/>
        <v>24</v>
      </c>
      <c r="O3873" s="918" t="str">
        <f t="shared" si="394"/>
        <v>Mar</v>
      </c>
      <c r="P3873" s="921">
        <f t="shared" si="395"/>
        <v>11</v>
      </c>
    </row>
    <row r="3874" spans="1:16" ht="15" hidden="1" customHeight="1">
      <c r="A3874" s="839">
        <v>69727314</v>
      </c>
      <c r="B3874" s="839">
        <v>1352</v>
      </c>
      <c r="C3874" s="906">
        <v>1950</v>
      </c>
      <c r="D3874" s="907">
        <v>46091</v>
      </c>
      <c r="E3874" s="839" t="s">
        <v>402</v>
      </c>
      <c r="F3874" s="839" t="s">
        <v>223</v>
      </c>
      <c r="G3874" s="916">
        <f>VLOOKUP($A3874,'Tech Litons'!$A:$I,8,FALSE)</f>
        <v>5.2680000000000001E-3</v>
      </c>
      <c r="H3874" s="917">
        <f>VLOOKUP($A3874,'Tech Litons'!$A:$I,9,FALSE)</f>
        <v>130</v>
      </c>
      <c r="I3874" s="917" t="str">
        <f>VLOOKUP($A3874,'Tech Litons'!$A:$C,3,0)</f>
        <v>PG</v>
      </c>
      <c r="J3874" s="918" t="str">
        <f t="shared" si="390"/>
        <v>1352PG</v>
      </c>
      <c r="K3874" s="919">
        <v>1</v>
      </c>
      <c r="L3874" s="920">
        <f t="shared" si="391"/>
        <v>1950</v>
      </c>
      <c r="M3874" s="920">
        <f t="shared" si="392"/>
        <v>10.272600000000001</v>
      </c>
      <c r="N3874" s="920">
        <f t="shared" si="393"/>
        <v>15</v>
      </c>
      <c r="O3874" s="918" t="str">
        <f t="shared" si="394"/>
        <v>Mar</v>
      </c>
      <c r="P3874" s="921">
        <f t="shared" si="395"/>
        <v>11</v>
      </c>
    </row>
    <row r="3875" spans="1:16" ht="15" hidden="1" customHeight="1">
      <c r="A3875" s="839">
        <v>69727314</v>
      </c>
      <c r="B3875" s="839">
        <v>1352</v>
      </c>
      <c r="C3875" s="906">
        <v>2749</v>
      </c>
      <c r="D3875" s="907">
        <v>46092</v>
      </c>
      <c r="E3875" s="839" t="s">
        <v>402</v>
      </c>
      <c r="F3875" s="839" t="s">
        <v>223</v>
      </c>
      <c r="G3875" s="916">
        <f>VLOOKUP($A3875,'Tech Litons'!$A:$I,8,FALSE)</f>
        <v>5.2680000000000001E-3</v>
      </c>
      <c r="H3875" s="917">
        <f>VLOOKUP($A3875,'Tech Litons'!$A:$I,9,FALSE)</f>
        <v>130</v>
      </c>
      <c r="I3875" s="917" t="str">
        <f>VLOOKUP($A3875,'Tech Litons'!$A:$C,3,0)</f>
        <v>PG</v>
      </c>
      <c r="J3875" s="918" t="str">
        <f t="shared" si="390"/>
        <v>1352PG</v>
      </c>
      <c r="K3875" s="919">
        <v>1</v>
      </c>
      <c r="L3875" s="920">
        <f t="shared" si="391"/>
        <v>2749</v>
      </c>
      <c r="M3875" s="920">
        <f t="shared" si="392"/>
        <v>14.481732000000001</v>
      </c>
      <c r="N3875" s="920">
        <f t="shared" si="393"/>
        <v>21.146153846153847</v>
      </c>
      <c r="O3875" s="918" t="str">
        <f t="shared" si="394"/>
        <v>Mar</v>
      </c>
      <c r="P3875" s="921">
        <f t="shared" si="395"/>
        <v>11</v>
      </c>
    </row>
    <row r="3876" spans="1:16" ht="15" hidden="1" customHeight="1">
      <c r="A3876" s="839">
        <v>69727314</v>
      </c>
      <c r="B3876" s="839">
        <v>1352</v>
      </c>
      <c r="C3876" s="906">
        <v>2600</v>
      </c>
      <c r="D3876" s="907">
        <v>46092</v>
      </c>
      <c r="E3876" s="839" t="s">
        <v>402</v>
      </c>
      <c r="F3876" s="839" t="s">
        <v>223</v>
      </c>
      <c r="G3876" s="916">
        <f>VLOOKUP($A3876,'Tech Litons'!$A:$I,8,FALSE)</f>
        <v>5.2680000000000001E-3</v>
      </c>
      <c r="H3876" s="917">
        <f>VLOOKUP($A3876,'Tech Litons'!$A:$I,9,FALSE)</f>
        <v>130</v>
      </c>
      <c r="I3876" s="917" t="str">
        <f>VLOOKUP($A3876,'Tech Litons'!$A:$C,3,0)</f>
        <v>PG</v>
      </c>
      <c r="J3876" s="918" t="str">
        <f t="shared" si="390"/>
        <v>1352PG</v>
      </c>
      <c r="K3876" s="919">
        <v>1</v>
      </c>
      <c r="L3876" s="920">
        <f t="shared" si="391"/>
        <v>2600</v>
      </c>
      <c r="M3876" s="920">
        <f t="shared" si="392"/>
        <v>13.6968</v>
      </c>
      <c r="N3876" s="920">
        <f t="shared" si="393"/>
        <v>20</v>
      </c>
      <c r="O3876" s="918" t="str">
        <f t="shared" si="394"/>
        <v>Mar</v>
      </c>
      <c r="P3876" s="921">
        <f t="shared" si="395"/>
        <v>11</v>
      </c>
    </row>
    <row r="3877" spans="1:16" ht="15" hidden="1" customHeight="1">
      <c r="A3877" s="839">
        <v>69727314</v>
      </c>
      <c r="B3877" s="839">
        <v>1352</v>
      </c>
      <c r="C3877" s="906">
        <v>3396</v>
      </c>
      <c r="D3877" s="907">
        <v>46093</v>
      </c>
      <c r="E3877" s="839" t="s">
        <v>402</v>
      </c>
      <c r="F3877" s="839" t="s">
        <v>223</v>
      </c>
      <c r="G3877" s="916">
        <f>VLOOKUP($A3877,'Tech Litons'!$A:$I,8,FALSE)</f>
        <v>5.2680000000000001E-3</v>
      </c>
      <c r="H3877" s="917">
        <f>VLOOKUP($A3877,'Tech Litons'!$A:$I,9,FALSE)</f>
        <v>130</v>
      </c>
      <c r="I3877" s="917" t="str">
        <f>VLOOKUP($A3877,'Tech Litons'!$A:$C,3,0)</f>
        <v>PG</v>
      </c>
      <c r="J3877" s="918" t="str">
        <f t="shared" si="390"/>
        <v>1352PG</v>
      </c>
      <c r="K3877" s="919">
        <v>1</v>
      </c>
      <c r="L3877" s="920">
        <f t="shared" si="391"/>
        <v>3396</v>
      </c>
      <c r="M3877" s="920">
        <f t="shared" si="392"/>
        <v>17.890128000000001</v>
      </c>
      <c r="N3877" s="920">
        <f t="shared" si="393"/>
        <v>26.123076923076923</v>
      </c>
      <c r="O3877" s="918" t="str">
        <f t="shared" si="394"/>
        <v>Mar</v>
      </c>
      <c r="P3877" s="921">
        <f t="shared" si="395"/>
        <v>11</v>
      </c>
    </row>
    <row r="3878" spans="1:16" ht="15" hidden="1" customHeight="1">
      <c r="A3878" s="839">
        <v>69727314</v>
      </c>
      <c r="B3878" s="839">
        <v>1352</v>
      </c>
      <c r="C3878" s="906">
        <v>2730</v>
      </c>
      <c r="D3878" s="907">
        <v>46093</v>
      </c>
      <c r="E3878" s="839" t="s">
        <v>402</v>
      </c>
      <c r="F3878" s="839" t="s">
        <v>223</v>
      </c>
      <c r="G3878" s="916">
        <f>VLOOKUP($A3878,'Tech Litons'!$A:$I,8,FALSE)</f>
        <v>5.2680000000000001E-3</v>
      </c>
      <c r="H3878" s="917">
        <f>VLOOKUP($A3878,'Tech Litons'!$A:$I,9,FALSE)</f>
        <v>130</v>
      </c>
      <c r="I3878" s="917" t="str">
        <f>VLOOKUP($A3878,'Tech Litons'!$A:$C,3,0)</f>
        <v>PG</v>
      </c>
      <c r="J3878" s="918" t="str">
        <f t="shared" si="390"/>
        <v>1352PG</v>
      </c>
      <c r="K3878" s="919">
        <v>1</v>
      </c>
      <c r="L3878" s="920">
        <f t="shared" si="391"/>
        <v>2730</v>
      </c>
      <c r="M3878" s="920">
        <f t="shared" si="392"/>
        <v>14.381640000000001</v>
      </c>
      <c r="N3878" s="920">
        <f t="shared" si="393"/>
        <v>21</v>
      </c>
      <c r="O3878" s="918" t="str">
        <f t="shared" si="394"/>
        <v>Mar</v>
      </c>
      <c r="P3878" s="921">
        <f t="shared" si="395"/>
        <v>11</v>
      </c>
    </row>
    <row r="3879" spans="1:16" ht="15" hidden="1" customHeight="1">
      <c r="A3879" s="839">
        <v>69727314</v>
      </c>
      <c r="B3879" s="839">
        <v>1352</v>
      </c>
      <c r="C3879" s="906">
        <v>3169</v>
      </c>
      <c r="D3879" s="907">
        <v>46094</v>
      </c>
      <c r="E3879" s="839" t="s">
        <v>402</v>
      </c>
      <c r="F3879" s="839" t="s">
        <v>223</v>
      </c>
      <c r="G3879" s="916">
        <f>VLOOKUP($A3879,'Tech Litons'!$A:$I,8,FALSE)</f>
        <v>5.2680000000000001E-3</v>
      </c>
      <c r="H3879" s="917">
        <f>VLOOKUP($A3879,'Tech Litons'!$A:$I,9,FALSE)</f>
        <v>130</v>
      </c>
      <c r="I3879" s="917" t="str">
        <f>VLOOKUP($A3879,'Tech Litons'!$A:$C,3,0)</f>
        <v>PG</v>
      </c>
      <c r="J3879" s="918" t="str">
        <f t="shared" si="390"/>
        <v>1352PG</v>
      </c>
      <c r="K3879" s="919">
        <v>1</v>
      </c>
      <c r="L3879" s="920">
        <f t="shared" si="391"/>
        <v>3169</v>
      </c>
      <c r="M3879" s="920">
        <f t="shared" si="392"/>
        <v>16.694292000000001</v>
      </c>
      <c r="N3879" s="920">
        <f t="shared" si="393"/>
        <v>24.376923076923077</v>
      </c>
      <c r="O3879" s="918" t="str">
        <f t="shared" si="394"/>
        <v>Mar</v>
      </c>
      <c r="P3879" s="921">
        <f t="shared" si="395"/>
        <v>11</v>
      </c>
    </row>
    <row r="3880" spans="1:16" ht="15" hidden="1" customHeight="1">
      <c r="A3880" s="839">
        <v>69727314</v>
      </c>
      <c r="B3880" s="839">
        <v>1352</v>
      </c>
      <c r="C3880" s="906">
        <v>2080</v>
      </c>
      <c r="D3880" s="907">
        <v>46097</v>
      </c>
      <c r="E3880" s="839" t="s">
        <v>402</v>
      </c>
      <c r="F3880" s="839" t="s">
        <v>223</v>
      </c>
      <c r="G3880" s="916">
        <f>VLOOKUP($A3880,'Tech Litons'!$A:$I,8,FALSE)</f>
        <v>5.2680000000000001E-3</v>
      </c>
      <c r="H3880" s="917">
        <f>VLOOKUP($A3880,'Tech Litons'!$A:$I,9,FALSE)</f>
        <v>130</v>
      </c>
      <c r="I3880" s="917" t="str">
        <f>VLOOKUP($A3880,'Tech Litons'!$A:$C,3,0)</f>
        <v>PG</v>
      </c>
      <c r="J3880" s="918" t="str">
        <f t="shared" si="390"/>
        <v>1352PG</v>
      </c>
      <c r="K3880" s="919">
        <v>1</v>
      </c>
      <c r="L3880" s="920">
        <f t="shared" si="391"/>
        <v>2080</v>
      </c>
      <c r="M3880" s="920">
        <f t="shared" si="392"/>
        <v>10.95744</v>
      </c>
      <c r="N3880" s="920">
        <f t="shared" si="393"/>
        <v>16</v>
      </c>
      <c r="O3880" s="918" t="str">
        <f t="shared" si="394"/>
        <v>Mar</v>
      </c>
      <c r="P3880" s="921">
        <f t="shared" si="395"/>
        <v>12</v>
      </c>
    </row>
    <row r="3881" spans="1:16" ht="15" hidden="1" customHeight="1">
      <c r="A3881" s="839">
        <v>69727314</v>
      </c>
      <c r="B3881" s="839">
        <v>1352</v>
      </c>
      <c r="C3881" s="906">
        <v>3174</v>
      </c>
      <c r="D3881" s="907">
        <v>46098</v>
      </c>
      <c r="E3881" s="839" t="s">
        <v>402</v>
      </c>
      <c r="F3881" s="839" t="s">
        <v>223</v>
      </c>
      <c r="G3881" s="916">
        <f>VLOOKUP($A3881,'Tech Litons'!$A:$I,8,FALSE)</f>
        <v>5.2680000000000001E-3</v>
      </c>
      <c r="H3881" s="917">
        <f>VLOOKUP($A3881,'Tech Litons'!$A:$I,9,FALSE)</f>
        <v>130</v>
      </c>
      <c r="I3881" s="917" t="str">
        <f>VLOOKUP($A3881,'Tech Litons'!$A:$C,3,0)</f>
        <v>PG</v>
      </c>
      <c r="J3881" s="918" t="str">
        <f t="shared" si="390"/>
        <v>1352PG</v>
      </c>
      <c r="K3881" s="919">
        <v>1</v>
      </c>
      <c r="L3881" s="920">
        <f t="shared" si="391"/>
        <v>3174</v>
      </c>
      <c r="M3881" s="920">
        <f t="shared" si="392"/>
        <v>16.720632000000002</v>
      </c>
      <c r="N3881" s="920">
        <f t="shared" si="393"/>
        <v>24.415384615384614</v>
      </c>
      <c r="O3881" s="918" t="str">
        <f t="shared" si="394"/>
        <v>Mar</v>
      </c>
      <c r="P3881" s="921">
        <f t="shared" si="395"/>
        <v>12</v>
      </c>
    </row>
    <row r="3882" spans="1:16" ht="15" hidden="1" customHeight="1">
      <c r="A3882" s="839">
        <v>69727314</v>
      </c>
      <c r="B3882" s="839">
        <v>1352</v>
      </c>
      <c r="C3882" s="906">
        <v>2210</v>
      </c>
      <c r="D3882" s="907">
        <v>46098</v>
      </c>
      <c r="E3882" s="839" t="s">
        <v>402</v>
      </c>
      <c r="F3882" s="839" t="s">
        <v>223</v>
      </c>
      <c r="G3882" s="916">
        <f>VLOOKUP($A3882,'Tech Litons'!$A:$I,8,FALSE)</f>
        <v>5.2680000000000001E-3</v>
      </c>
      <c r="H3882" s="917">
        <f>VLOOKUP($A3882,'Tech Litons'!$A:$I,9,FALSE)</f>
        <v>130</v>
      </c>
      <c r="I3882" s="917" t="str">
        <f>VLOOKUP($A3882,'Tech Litons'!$A:$C,3,0)</f>
        <v>PG</v>
      </c>
      <c r="J3882" s="918" t="str">
        <f t="shared" si="390"/>
        <v>1352PG</v>
      </c>
      <c r="K3882" s="919">
        <v>1</v>
      </c>
      <c r="L3882" s="920">
        <f t="shared" si="391"/>
        <v>2210</v>
      </c>
      <c r="M3882" s="920">
        <f t="shared" si="392"/>
        <v>11.64228</v>
      </c>
      <c r="N3882" s="920">
        <f t="shared" si="393"/>
        <v>17</v>
      </c>
      <c r="O3882" s="918" t="str">
        <f t="shared" si="394"/>
        <v>Mar</v>
      </c>
      <c r="P3882" s="921">
        <f t="shared" si="395"/>
        <v>12</v>
      </c>
    </row>
    <row r="3883" spans="1:16" ht="15" hidden="1" customHeight="1">
      <c r="A3883" s="839">
        <v>69727314</v>
      </c>
      <c r="B3883" s="839">
        <v>1352</v>
      </c>
      <c r="C3883" s="906">
        <v>3364</v>
      </c>
      <c r="D3883" s="907">
        <v>46099</v>
      </c>
      <c r="E3883" s="839" t="s">
        <v>402</v>
      </c>
      <c r="F3883" s="839" t="s">
        <v>223</v>
      </c>
      <c r="G3883" s="916">
        <f>VLOOKUP($A3883,'Tech Litons'!$A:$I,8,FALSE)</f>
        <v>5.2680000000000001E-3</v>
      </c>
      <c r="H3883" s="917">
        <f>VLOOKUP($A3883,'Tech Litons'!$A:$I,9,FALSE)</f>
        <v>130</v>
      </c>
      <c r="I3883" s="917" t="str">
        <f>VLOOKUP($A3883,'Tech Litons'!$A:$C,3,0)</f>
        <v>PG</v>
      </c>
      <c r="J3883" s="918" t="str">
        <f t="shared" si="390"/>
        <v>1352PG</v>
      </c>
      <c r="K3883" s="919">
        <v>1</v>
      </c>
      <c r="L3883" s="920">
        <f t="shared" si="391"/>
        <v>3364</v>
      </c>
      <c r="M3883" s="920">
        <f t="shared" si="392"/>
        <v>17.721551999999999</v>
      </c>
      <c r="N3883" s="920">
        <f t="shared" si="393"/>
        <v>25.876923076923077</v>
      </c>
      <c r="O3883" s="918" t="str">
        <f t="shared" si="394"/>
        <v>Mar</v>
      </c>
      <c r="P3883" s="921">
        <f t="shared" si="395"/>
        <v>12</v>
      </c>
    </row>
    <row r="3884" spans="1:16" ht="15" hidden="1" customHeight="1">
      <c r="A3884" s="839">
        <v>69727314</v>
      </c>
      <c r="B3884" s="839">
        <v>1352</v>
      </c>
      <c r="C3884" s="906">
        <v>2470</v>
      </c>
      <c r="D3884" s="907">
        <v>46099</v>
      </c>
      <c r="E3884" s="839" t="s">
        <v>402</v>
      </c>
      <c r="F3884" s="839" t="s">
        <v>223</v>
      </c>
      <c r="G3884" s="916">
        <f>VLOOKUP($A3884,'Tech Litons'!$A:$I,8,FALSE)</f>
        <v>5.2680000000000001E-3</v>
      </c>
      <c r="H3884" s="917">
        <f>VLOOKUP($A3884,'Tech Litons'!$A:$I,9,FALSE)</f>
        <v>130</v>
      </c>
      <c r="I3884" s="917" t="str">
        <f>VLOOKUP($A3884,'Tech Litons'!$A:$C,3,0)</f>
        <v>PG</v>
      </c>
      <c r="J3884" s="918" t="str">
        <f t="shared" si="390"/>
        <v>1352PG</v>
      </c>
      <c r="K3884" s="919">
        <v>1</v>
      </c>
      <c r="L3884" s="920">
        <f t="shared" si="391"/>
        <v>2470</v>
      </c>
      <c r="M3884" s="920">
        <f t="shared" si="392"/>
        <v>13.01196</v>
      </c>
      <c r="N3884" s="920">
        <f t="shared" si="393"/>
        <v>19</v>
      </c>
      <c r="O3884" s="918" t="str">
        <f t="shared" si="394"/>
        <v>Mar</v>
      </c>
      <c r="P3884" s="921">
        <f t="shared" si="395"/>
        <v>12</v>
      </c>
    </row>
    <row r="3885" spans="1:16" ht="15" hidden="1" customHeight="1">
      <c r="A3885" s="839">
        <v>69727314</v>
      </c>
      <c r="B3885" s="839">
        <v>1352</v>
      </c>
      <c r="C3885" s="906">
        <v>2555</v>
      </c>
      <c r="D3885" s="907">
        <v>46100</v>
      </c>
      <c r="E3885" s="839" t="s">
        <v>402</v>
      </c>
      <c r="F3885" s="839" t="s">
        <v>223</v>
      </c>
      <c r="G3885" s="916">
        <f>VLOOKUP($A3885,'Tech Litons'!$A:$I,8,FALSE)</f>
        <v>5.2680000000000001E-3</v>
      </c>
      <c r="H3885" s="917">
        <f>VLOOKUP($A3885,'Tech Litons'!$A:$I,9,FALSE)</f>
        <v>130</v>
      </c>
      <c r="I3885" s="917" t="str">
        <f>VLOOKUP($A3885,'Tech Litons'!$A:$C,3,0)</f>
        <v>PG</v>
      </c>
      <c r="J3885" s="918" t="str">
        <f t="shared" si="390"/>
        <v>1352PG</v>
      </c>
      <c r="K3885" s="919">
        <v>1</v>
      </c>
      <c r="L3885" s="920">
        <f t="shared" si="391"/>
        <v>2555</v>
      </c>
      <c r="M3885" s="920">
        <f t="shared" si="392"/>
        <v>13.45974</v>
      </c>
      <c r="N3885" s="920">
        <f t="shared" si="393"/>
        <v>19.653846153846153</v>
      </c>
      <c r="O3885" s="918" t="str">
        <f t="shared" si="394"/>
        <v>Mar</v>
      </c>
      <c r="P3885" s="921">
        <f t="shared" si="395"/>
        <v>12</v>
      </c>
    </row>
    <row r="3886" spans="1:16" ht="15" hidden="1" customHeight="1">
      <c r="A3886" s="839">
        <v>69727314</v>
      </c>
      <c r="B3886" s="839">
        <v>1352</v>
      </c>
      <c r="C3886" s="906">
        <v>2080</v>
      </c>
      <c r="D3886" s="907">
        <v>46100</v>
      </c>
      <c r="E3886" s="839" t="s">
        <v>402</v>
      </c>
      <c r="F3886" s="839" t="s">
        <v>223</v>
      </c>
      <c r="G3886" s="916">
        <f>VLOOKUP($A3886,'Tech Litons'!$A:$I,8,FALSE)</f>
        <v>5.2680000000000001E-3</v>
      </c>
      <c r="H3886" s="917">
        <f>VLOOKUP($A3886,'Tech Litons'!$A:$I,9,FALSE)</f>
        <v>130</v>
      </c>
      <c r="I3886" s="917" t="str">
        <f>VLOOKUP($A3886,'Tech Litons'!$A:$C,3,0)</f>
        <v>PG</v>
      </c>
      <c r="J3886" s="918" t="str">
        <f t="shared" si="390"/>
        <v>1352PG</v>
      </c>
      <c r="K3886" s="919">
        <v>1</v>
      </c>
      <c r="L3886" s="920">
        <f t="shared" si="391"/>
        <v>2080</v>
      </c>
      <c r="M3886" s="920">
        <f t="shared" si="392"/>
        <v>10.95744</v>
      </c>
      <c r="N3886" s="920">
        <f t="shared" si="393"/>
        <v>16</v>
      </c>
      <c r="O3886" s="918" t="str">
        <f t="shared" si="394"/>
        <v>Mar</v>
      </c>
      <c r="P3886" s="921">
        <f t="shared" si="395"/>
        <v>12</v>
      </c>
    </row>
    <row r="3887" spans="1:16" ht="15" hidden="1" customHeight="1">
      <c r="A3887" s="839">
        <v>69727314</v>
      </c>
      <c r="B3887" s="839">
        <v>1352</v>
      </c>
      <c r="C3887" s="906">
        <v>3285</v>
      </c>
      <c r="D3887" s="907">
        <v>46101</v>
      </c>
      <c r="E3887" s="839" t="s">
        <v>402</v>
      </c>
      <c r="F3887" s="839" t="s">
        <v>223</v>
      </c>
      <c r="G3887" s="916">
        <f>VLOOKUP($A3887,'Tech Litons'!$A:$I,8,FALSE)</f>
        <v>5.2680000000000001E-3</v>
      </c>
      <c r="H3887" s="917">
        <f>VLOOKUP($A3887,'Tech Litons'!$A:$I,9,FALSE)</f>
        <v>130</v>
      </c>
      <c r="I3887" s="917" t="str">
        <f>VLOOKUP($A3887,'Tech Litons'!$A:$C,3,0)</f>
        <v>PG</v>
      </c>
      <c r="J3887" s="918" t="str">
        <f t="shared" si="390"/>
        <v>1352PG</v>
      </c>
      <c r="K3887" s="919">
        <v>1</v>
      </c>
      <c r="L3887" s="920">
        <f t="shared" si="391"/>
        <v>3285</v>
      </c>
      <c r="M3887" s="920">
        <f t="shared" si="392"/>
        <v>17.30538</v>
      </c>
      <c r="N3887" s="920">
        <f t="shared" si="393"/>
        <v>25.26923076923077</v>
      </c>
      <c r="O3887" s="918" t="str">
        <f t="shared" si="394"/>
        <v>Mar</v>
      </c>
      <c r="P3887" s="921">
        <f t="shared" si="395"/>
        <v>12</v>
      </c>
    </row>
    <row r="3888" spans="1:16" ht="15" hidden="1" customHeight="1">
      <c r="A3888" s="839">
        <v>69727314</v>
      </c>
      <c r="B3888" s="839">
        <v>1352</v>
      </c>
      <c r="C3888" s="906">
        <v>447</v>
      </c>
      <c r="D3888" s="907">
        <v>46101</v>
      </c>
      <c r="E3888" s="839" t="s">
        <v>402</v>
      </c>
      <c r="F3888" s="839" t="s">
        <v>223</v>
      </c>
      <c r="G3888" s="916">
        <f>VLOOKUP($A3888,'Tech Litons'!$A:$I,8,FALSE)</f>
        <v>5.2680000000000001E-3</v>
      </c>
      <c r="H3888" s="917">
        <f>VLOOKUP($A3888,'Tech Litons'!$A:$I,9,FALSE)</f>
        <v>130</v>
      </c>
      <c r="I3888" s="917" t="str">
        <f>VLOOKUP($A3888,'Tech Litons'!$A:$C,3,0)</f>
        <v>PG</v>
      </c>
      <c r="J3888" s="918" t="str">
        <f t="shared" si="390"/>
        <v>1352PG</v>
      </c>
      <c r="K3888" s="919">
        <v>1</v>
      </c>
      <c r="L3888" s="920">
        <f t="shared" si="391"/>
        <v>447</v>
      </c>
      <c r="M3888" s="920">
        <f t="shared" si="392"/>
        <v>2.3547959999999999</v>
      </c>
      <c r="N3888" s="920">
        <f t="shared" si="393"/>
        <v>3.4384615384615387</v>
      </c>
      <c r="O3888" s="918" t="str">
        <f t="shared" si="394"/>
        <v>Mar</v>
      </c>
      <c r="P3888" s="921">
        <f t="shared" si="395"/>
        <v>12</v>
      </c>
    </row>
    <row r="3889" spans="1:16" ht="15" hidden="1" customHeight="1">
      <c r="A3889" s="839">
        <v>69727314</v>
      </c>
      <c r="B3889" s="839">
        <v>1352</v>
      </c>
      <c r="C3889" s="906">
        <v>1690</v>
      </c>
      <c r="D3889" s="907">
        <v>46104</v>
      </c>
      <c r="E3889" s="839" t="s">
        <v>402</v>
      </c>
      <c r="F3889" s="839" t="s">
        <v>223</v>
      </c>
      <c r="G3889" s="916">
        <f>VLOOKUP($A3889,'Tech Litons'!$A:$I,8,FALSE)</f>
        <v>5.2680000000000001E-3</v>
      </c>
      <c r="H3889" s="917">
        <f>VLOOKUP($A3889,'Tech Litons'!$A:$I,9,FALSE)</f>
        <v>130</v>
      </c>
      <c r="I3889" s="917" t="str">
        <f>VLOOKUP($A3889,'Tech Litons'!$A:$C,3,0)</f>
        <v>PG</v>
      </c>
      <c r="J3889" s="918" t="str">
        <f t="shared" si="390"/>
        <v>1352PG</v>
      </c>
      <c r="K3889" s="919">
        <v>1</v>
      </c>
      <c r="L3889" s="920">
        <f t="shared" si="391"/>
        <v>1690</v>
      </c>
      <c r="M3889" s="920">
        <f t="shared" si="392"/>
        <v>8.9029199999999999</v>
      </c>
      <c r="N3889" s="920">
        <f t="shared" si="393"/>
        <v>13</v>
      </c>
      <c r="O3889" s="918" t="str">
        <f t="shared" si="394"/>
        <v>Mar</v>
      </c>
      <c r="P3889" s="921">
        <f t="shared" si="395"/>
        <v>13</v>
      </c>
    </row>
    <row r="3890" spans="1:16" ht="15" hidden="1" customHeight="1">
      <c r="A3890" s="839">
        <v>69727314</v>
      </c>
      <c r="B3890" s="839">
        <v>1352</v>
      </c>
      <c r="C3890" s="906">
        <v>3168</v>
      </c>
      <c r="D3890" s="907">
        <v>46105</v>
      </c>
      <c r="E3890" s="839" t="s">
        <v>402</v>
      </c>
      <c r="F3890" s="839" t="s">
        <v>223</v>
      </c>
      <c r="G3890" s="916">
        <f>VLOOKUP($A3890,'Tech Litons'!$A:$I,8,FALSE)</f>
        <v>5.2680000000000001E-3</v>
      </c>
      <c r="H3890" s="917">
        <f>VLOOKUP($A3890,'Tech Litons'!$A:$I,9,FALSE)</f>
        <v>130</v>
      </c>
      <c r="I3890" s="917" t="str">
        <f>VLOOKUP($A3890,'Tech Litons'!$A:$C,3,0)</f>
        <v>PG</v>
      </c>
      <c r="J3890" s="918" t="str">
        <f t="shared" ref="J3890:J3953" si="396">B3890&amp;I3890</f>
        <v>1352PG</v>
      </c>
      <c r="K3890" s="919">
        <v>1</v>
      </c>
      <c r="L3890" s="920">
        <f t="shared" ref="L3890:L3953" si="397">C3890*$K3890</f>
        <v>3168</v>
      </c>
      <c r="M3890" s="920">
        <f t="shared" ref="M3890:M3953" si="398">L3890*G3890</f>
        <v>16.689024</v>
      </c>
      <c r="N3890" s="920">
        <f t="shared" ref="N3890:N3953" si="399">L3890/H3890</f>
        <v>24.369230769230768</v>
      </c>
      <c r="O3890" s="918" t="str">
        <f t="shared" ref="O3890:O3953" si="400">TEXT(D3890,"MMM")</f>
        <v>Mar</v>
      </c>
      <c r="P3890" s="921">
        <f t="shared" ref="P3890:P3953" si="401">WEEKNUM(D3890)</f>
        <v>13</v>
      </c>
    </row>
    <row r="3891" spans="1:16" ht="15" hidden="1" customHeight="1">
      <c r="A3891" s="839">
        <v>69727314</v>
      </c>
      <c r="B3891" s="839">
        <v>1352</v>
      </c>
      <c r="C3891" s="906">
        <v>2730</v>
      </c>
      <c r="D3891" s="907">
        <v>46105</v>
      </c>
      <c r="E3891" s="839" t="s">
        <v>402</v>
      </c>
      <c r="F3891" s="839" t="s">
        <v>223</v>
      </c>
      <c r="G3891" s="916">
        <f>VLOOKUP($A3891,'Tech Litons'!$A:$I,8,FALSE)</f>
        <v>5.2680000000000001E-3</v>
      </c>
      <c r="H3891" s="917">
        <f>VLOOKUP($A3891,'Tech Litons'!$A:$I,9,FALSE)</f>
        <v>130</v>
      </c>
      <c r="I3891" s="917" t="str">
        <f>VLOOKUP($A3891,'Tech Litons'!$A:$C,3,0)</f>
        <v>PG</v>
      </c>
      <c r="J3891" s="918" t="str">
        <f t="shared" si="396"/>
        <v>1352PG</v>
      </c>
      <c r="K3891" s="919">
        <v>1</v>
      </c>
      <c r="L3891" s="920">
        <f t="shared" si="397"/>
        <v>2730</v>
      </c>
      <c r="M3891" s="920">
        <f t="shared" si="398"/>
        <v>14.381640000000001</v>
      </c>
      <c r="N3891" s="920">
        <f t="shared" si="399"/>
        <v>21</v>
      </c>
      <c r="O3891" s="918" t="str">
        <f t="shared" si="400"/>
        <v>Mar</v>
      </c>
      <c r="P3891" s="921">
        <f t="shared" si="401"/>
        <v>13</v>
      </c>
    </row>
    <row r="3892" spans="1:16" ht="15" hidden="1" customHeight="1">
      <c r="A3892" s="839">
        <v>64330596</v>
      </c>
      <c r="B3892" s="839">
        <v>2904</v>
      </c>
      <c r="C3892" s="906">
        <v>350</v>
      </c>
      <c r="D3892" s="907">
        <v>46084</v>
      </c>
      <c r="E3892" s="839" t="s">
        <v>280</v>
      </c>
      <c r="F3892" s="839" t="s">
        <v>281</v>
      </c>
      <c r="G3892" s="916">
        <f>VLOOKUP($A3892,'Tech Litons'!$A:$I,8,FALSE)</f>
        <v>1.98E-3</v>
      </c>
      <c r="H3892" s="917">
        <f>VLOOKUP($A3892,'Tech Litons'!$A:$I,9,FALSE)</f>
        <v>176</v>
      </c>
      <c r="I3892" s="917" t="str">
        <f>VLOOKUP($A3892,'Tech Litons'!$A:$C,3,0)</f>
        <v>MG Sticks</v>
      </c>
      <c r="J3892" s="918" t="str">
        <f t="shared" si="396"/>
        <v>2904MG Sticks</v>
      </c>
      <c r="K3892" s="919">
        <v>1</v>
      </c>
      <c r="L3892" s="920">
        <f t="shared" si="397"/>
        <v>350</v>
      </c>
      <c r="M3892" s="920">
        <f t="shared" si="398"/>
        <v>0.69299999999999995</v>
      </c>
      <c r="N3892" s="920">
        <f t="shared" si="399"/>
        <v>1.9886363636363635</v>
      </c>
      <c r="O3892" s="918" t="str">
        <f t="shared" si="400"/>
        <v>Mar</v>
      </c>
      <c r="P3892" s="921">
        <f t="shared" si="401"/>
        <v>10</v>
      </c>
    </row>
    <row r="3893" spans="1:16" ht="15" hidden="1" customHeight="1">
      <c r="A3893" s="839">
        <v>64330596</v>
      </c>
      <c r="B3893" s="839">
        <v>2904</v>
      </c>
      <c r="C3893" s="906">
        <v>2530</v>
      </c>
      <c r="D3893" s="907">
        <v>46084</v>
      </c>
      <c r="E3893" s="839" t="s">
        <v>280</v>
      </c>
      <c r="F3893" s="839" t="s">
        <v>281</v>
      </c>
      <c r="G3893" s="916">
        <f>VLOOKUP($A3893,'Tech Litons'!$A:$I,8,FALSE)</f>
        <v>1.98E-3</v>
      </c>
      <c r="H3893" s="917">
        <f>VLOOKUP($A3893,'Tech Litons'!$A:$I,9,FALSE)</f>
        <v>176</v>
      </c>
      <c r="I3893" s="917" t="str">
        <f>VLOOKUP($A3893,'Tech Litons'!$A:$C,3,0)</f>
        <v>MG Sticks</v>
      </c>
      <c r="J3893" s="918" t="str">
        <f t="shared" si="396"/>
        <v>2904MG Sticks</v>
      </c>
      <c r="K3893" s="919">
        <v>1</v>
      </c>
      <c r="L3893" s="920">
        <f t="shared" si="397"/>
        <v>2530</v>
      </c>
      <c r="M3893" s="920">
        <f t="shared" si="398"/>
        <v>5.0094000000000003</v>
      </c>
      <c r="N3893" s="920">
        <f t="shared" si="399"/>
        <v>14.375</v>
      </c>
      <c r="O3893" s="918" t="str">
        <f t="shared" si="400"/>
        <v>Mar</v>
      </c>
      <c r="P3893" s="921">
        <f t="shared" si="401"/>
        <v>10</v>
      </c>
    </row>
    <row r="3894" spans="1:16" ht="15" hidden="1" customHeight="1">
      <c r="A3894" s="839">
        <v>64330596</v>
      </c>
      <c r="B3894" s="839">
        <v>2904</v>
      </c>
      <c r="C3894" s="906">
        <v>3819</v>
      </c>
      <c r="D3894" s="907">
        <v>46085</v>
      </c>
      <c r="E3894" s="839" t="s">
        <v>280</v>
      </c>
      <c r="F3894" s="839" t="s">
        <v>281</v>
      </c>
      <c r="G3894" s="916">
        <f>VLOOKUP($A3894,'Tech Litons'!$A:$I,8,FALSE)</f>
        <v>1.98E-3</v>
      </c>
      <c r="H3894" s="917">
        <f>VLOOKUP($A3894,'Tech Litons'!$A:$I,9,FALSE)</f>
        <v>176</v>
      </c>
      <c r="I3894" s="917" t="str">
        <f>VLOOKUP($A3894,'Tech Litons'!$A:$C,3,0)</f>
        <v>MG Sticks</v>
      </c>
      <c r="J3894" s="918" t="str">
        <f t="shared" si="396"/>
        <v>2904MG Sticks</v>
      </c>
      <c r="K3894" s="919">
        <v>1</v>
      </c>
      <c r="L3894" s="920">
        <f t="shared" si="397"/>
        <v>3819</v>
      </c>
      <c r="M3894" s="920">
        <f t="shared" si="398"/>
        <v>7.5616199999999996</v>
      </c>
      <c r="N3894" s="920">
        <f t="shared" si="399"/>
        <v>21.698863636363637</v>
      </c>
      <c r="O3894" s="918" t="str">
        <f t="shared" si="400"/>
        <v>Mar</v>
      </c>
      <c r="P3894" s="921">
        <f t="shared" si="401"/>
        <v>10</v>
      </c>
    </row>
    <row r="3895" spans="1:16" ht="15" hidden="1" customHeight="1">
      <c r="A3895" s="839">
        <v>64330596</v>
      </c>
      <c r="B3895" s="839">
        <v>2904</v>
      </c>
      <c r="C3895" s="906">
        <v>176</v>
      </c>
      <c r="D3895" s="907">
        <v>46093</v>
      </c>
      <c r="E3895" s="839" t="s">
        <v>280</v>
      </c>
      <c r="F3895" s="839" t="s">
        <v>281</v>
      </c>
      <c r="G3895" s="916">
        <f>VLOOKUP($A3895,'Tech Litons'!$A:$I,8,FALSE)</f>
        <v>1.98E-3</v>
      </c>
      <c r="H3895" s="917">
        <f>VLOOKUP($A3895,'Tech Litons'!$A:$I,9,FALSE)</f>
        <v>176</v>
      </c>
      <c r="I3895" s="917" t="str">
        <f>VLOOKUP($A3895,'Tech Litons'!$A:$C,3,0)</f>
        <v>MG Sticks</v>
      </c>
      <c r="J3895" s="918" t="str">
        <f t="shared" si="396"/>
        <v>2904MG Sticks</v>
      </c>
      <c r="K3895" s="919">
        <v>1</v>
      </c>
      <c r="L3895" s="920">
        <f t="shared" si="397"/>
        <v>176</v>
      </c>
      <c r="M3895" s="920">
        <f t="shared" si="398"/>
        <v>0.34848000000000001</v>
      </c>
      <c r="N3895" s="920">
        <f t="shared" si="399"/>
        <v>1</v>
      </c>
      <c r="O3895" s="918" t="str">
        <f t="shared" si="400"/>
        <v>Mar</v>
      </c>
      <c r="P3895" s="921">
        <f t="shared" si="401"/>
        <v>11</v>
      </c>
    </row>
    <row r="3896" spans="1:16" ht="15" hidden="1" customHeight="1">
      <c r="A3896" s="839">
        <v>64330596</v>
      </c>
      <c r="B3896" s="839">
        <v>2904</v>
      </c>
      <c r="C3896" s="906">
        <v>4182</v>
      </c>
      <c r="D3896" s="907">
        <v>46085</v>
      </c>
      <c r="E3896" s="839" t="s">
        <v>280</v>
      </c>
      <c r="F3896" s="839" t="s">
        <v>281</v>
      </c>
      <c r="G3896" s="916">
        <f>VLOOKUP($A3896,'Tech Litons'!$A:$I,8,FALSE)</f>
        <v>1.98E-3</v>
      </c>
      <c r="H3896" s="917">
        <f>VLOOKUP($A3896,'Tech Litons'!$A:$I,9,FALSE)</f>
        <v>176</v>
      </c>
      <c r="I3896" s="917" t="str">
        <f>VLOOKUP($A3896,'Tech Litons'!$A:$C,3,0)</f>
        <v>MG Sticks</v>
      </c>
      <c r="J3896" s="918" t="str">
        <f t="shared" si="396"/>
        <v>2904MG Sticks</v>
      </c>
      <c r="K3896" s="919">
        <v>1</v>
      </c>
      <c r="L3896" s="920">
        <f t="shared" si="397"/>
        <v>4182</v>
      </c>
      <c r="M3896" s="920">
        <f t="shared" si="398"/>
        <v>8.2803599999999999</v>
      </c>
      <c r="N3896" s="920">
        <f t="shared" si="399"/>
        <v>23.761363636363637</v>
      </c>
      <c r="O3896" s="918" t="str">
        <f t="shared" si="400"/>
        <v>Mar</v>
      </c>
      <c r="P3896" s="921">
        <f t="shared" si="401"/>
        <v>10</v>
      </c>
    </row>
    <row r="3897" spans="1:16" ht="15" hidden="1" customHeight="1">
      <c r="A3897" s="839">
        <v>64330596</v>
      </c>
      <c r="B3897" s="839">
        <v>2904</v>
      </c>
      <c r="C3897" s="906">
        <v>5408</v>
      </c>
      <c r="D3897" s="907">
        <v>46086</v>
      </c>
      <c r="E3897" s="839" t="s">
        <v>280</v>
      </c>
      <c r="F3897" s="839" t="s">
        <v>281</v>
      </c>
      <c r="G3897" s="916">
        <f>VLOOKUP($A3897,'Tech Litons'!$A:$I,8,FALSE)</f>
        <v>1.98E-3</v>
      </c>
      <c r="H3897" s="917">
        <f>VLOOKUP($A3897,'Tech Litons'!$A:$I,9,FALSE)</f>
        <v>176</v>
      </c>
      <c r="I3897" s="917" t="str">
        <f>VLOOKUP($A3897,'Tech Litons'!$A:$C,3,0)</f>
        <v>MG Sticks</v>
      </c>
      <c r="J3897" s="918" t="str">
        <f t="shared" si="396"/>
        <v>2904MG Sticks</v>
      </c>
      <c r="K3897" s="919">
        <v>1</v>
      </c>
      <c r="L3897" s="920">
        <f t="shared" si="397"/>
        <v>5408</v>
      </c>
      <c r="M3897" s="920">
        <f t="shared" si="398"/>
        <v>10.707839999999999</v>
      </c>
      <c r="N3897" s="920">
        <f t="shared" si="399"/>
        <v>30.727272727272727</v>
      </c>
      <c r="O3897" s="918" t="str">
        <f t="shared" si="400"/>
        <v>Mar</v>
      </c>
      <c r="P3897" s="921">
        <f t="shared" si="401"/>
        <v>10</v>
      </c>
    </row>
    <row r="3898" spans="1:16" ht="15" hidden="1" customHeight="1">
      <c r="A3898" s="839">
        <v>64330596</v>
      </c>
      <c r="B3898" s="839">
        <v>2904</v>
      </c>
      <c r="C3898" s="906">
        <v>16</v>
      </c>
      <c r="D3898" s="907">
        <v>46098</v>
      </c>
      <c r="E3898" s="839" t="s">
        <v>280</v>
      </c>
      <c r="F3898" s="839" t="s">
        <v>281</v>
      </c>
      <c r="G3898" s="916">
        <f>VLOOKUP($A3898,'Tech Litons'!$A:$I,8,FALSE)</f>
        <v>1.98E-3</v>
      </c>
      <c r="H3898" s="917">
        <f>VLOOKUP($A3898,'Tech Litons'!$A:$I,9,FALSE)</f>
        <v>176</v>
      </c>
      <c r="I3898" s="917" t="str">
        <f>VLOOKUP($A3898,'Tech Litons'!$A:$C,3,0)</f>
        <v>MG Sticks</v>
      </c>
      <c r="J3898" s="918" t="str">
        <f t="shared" si="396"/>
        <v>2904MG Sticks</v>
      </c>
      <c r="K3898" s="919">
        <v>1</v>
      </c>
      <c r="L3898" s="920">
        <f t="shared" si="397"/>
        <v>16</v>
      </c>
      <c r="M3898" s="920">
        <f t="shared" si="398"/>
        <v>3.168E-2</v>
      </c>
      <c r="N3898" s="920">
        <f t="shared" si="399"/>
        <v>9.0909090909090912E-2</v>
      </c>
      <c r="O3898" s="918" t="str">
        <f t="shared" si="400"/>
        <v>Mar</v>
      </c>
      <c r="P3898" s="921">
        <f t="shared" si="401"/>
        <v>12</v>
      </c>
    </row>
    <row r="3899" spans="1:16" ht="15" hidden="1" customHeight="1">
      <c r="A3899" s="839">
        <v>64330596</v>
      </c>
      <c r="B3899" s="839">
        <v>2904</v>
      </c>
      <c r="C3899" s="906">
        <v>6078</v>
      </c>
      <c r="D3899" s="907">
        <v>46086</v>
      </c>
      <c r="E3899" s="839" t="s">
        <v>280</v>
      </c>
      <c r="F3899" s="839" t="s">
        <v>281</v>
      </c>
      <c r="G3899" s="916">
        <f>VLOOKUP($A3899,'Tech Litons'!$A:$I,8,FALSE)</f>
        <v>1.98E-3</v>
      </c>
      <c r="H3899" s="917">
        <f>VLOOKUP($A3899,'Tech Litons'!$A:$I,9,FALSE)</f>
        <v>176</v>
      </c>
      <c r="I3899" s="917" t="str">
        <f>VLOOKUP($A3899,'Tech Litons'!$A:$C,3,0)</f>
        <v>MG Sticks</v>
      </c>
      <c r="J3899" s="918" t="str">
        <f t="shared" si="396"/>
        <v>2904MG Sticks</v>
      </c>
      <c r="K3899" s="919">
        <v>1</v>
      </c>
      <c r="L3899" s="920">
        <f t="shared" si="397"/>
        <v>6078</v>
      </c>
      <c r="M3899" s="920">
        <f t="shared" si="398"/>
        <v>12.03444</v>
      </c>
      <c r="N3899" s="920">
        <f t="shared" si="399"/>
        <v>34.534090909090907</v>
      </c>
      <c r="O3899" s="918" t="str">
        <f t="shared" si="400"/>
        <v>Mar</v>
      </c>
      <c r="P3899" s="921">
        <f t="shared" si="401"/>
        <v>10</v>
      </c>
    </row>
    <row r="3900" spans="1:16" ht="15" hidden="1" customHeight="1">
      <c r="A3900" s="839">
        <v>64330596</v>
      </c>
      <c r="B3900" s="839">
        <v>2904</v>
      </c>
      <c r="C3900" s="906">
        <v>6864</v>
      </c>
      <c r="D3900" s="907">
        <v>46087</v>
      </c>
      <c r="E3900" s="839" t="s">
        <v>280</v>
      </c>
      <c r="F3900" s="839" t="s">
        <v>281</v>
      </c>
      <c r="G3900" s="916">
        <f>VLOOKUP($A3900,'Tech Litons'!$A:$I,8,FALSE)</f>
        <v>1.98E-3</v>
      </c>
      <c r="H3900" s="917">
        <f>VLOOKUP($A3900,'Tech Litons'!$A:$I,9,FALSE)</f>
        <v>176</v>
      </c>
      <c r="I3900" s="917" t="str">
        <f>VLOOKUP($A3900,'Tech Litons'!$A:$C,3,0)</f>
        <v>MG Sticks</v>
      </c>
      <c r="J3900" s="918" t="str">
        <f t="shared" si="396"/>
        <v>2904MG Sticks</v>
      </c>
      <c r="K3900" s="919">
        <v>1</v>
      </c>
      <c r="L3900" s="920">
        <f t="shared" si="397"/>
        <v>6864</v>
      </c>
      <c r="M3900" s="920">
        <f t="shared" si="398"/>
        <v>13.590719999999999</v>
      </c>
      <c r="N3900" s="920">
        <f t="shared" si="399"/>
        <v>39</v>
      </c>
      <c r="O3900" s="918" t="str">
        <f t="shared" si="400"/>
        <v>Mar</v>
      </c>
      <c r="P3900" s="921">
        <f t="shared" si="401"/>
        <v>10</v>
      </c>
    </row>
    <row r="3901" spans="1:16" ht="15" hidden="1" customHeight="1">
      <c r="A3901" s="839">
        <v>64330596</v>
      </c>
      <c r="B3901" s="839">
        <v>2904</v>
      </c>
      <c r="C3901" s="906">
        <v>31</v>
      </c>
      <c r="D3901" s="907">
        <v>46090</v>
      </c>
      <c r="E3901" s="839" t="s">
        <v>280</v>
      </c>
      <c r="F3901" s="839" t="s">
        <v>281</v>
      </c>
      <c r="G3901" s="916">
        <f>VLOOKUP($A3901,'Tech Litons'!$A:$I,8,FALSE)</f>
        <v>1.98E-3</v>
      </c>
      <c r="H3901" s="917">
        <f>VLOOKUP($A3901,'Tech Litons'!$A:$I,9,FALSE)</f>
        <v>176</v>
      </c>
      <c r="I3901" s="917" t="str">
        <f>VLOOKUP($A3901,'Tech Litons'!$A:$C,3,0)</f>
        <v>MG Sticks</v>
      </c>
      <c r="J3901" s="918" t="str">
        <f t="shared" si="396"/>
        <v>2904MG Sticks</v>
      </c>
      <c r="K3901" s="919">
        <v>1</v>
      </c>
      <c r="L3901" s="920">
        <f t="shared" si="397"/>
        <v>31</v>
      </c>
      <c r="M3901" s="920">
        <f t="shared" si="398"/>
        <v>6.1379999999999997E-2</v>
      </c>
      <c r="N3901" s="920">
        <f t="shared" si="399"/>
        <v>0.17613636363636365</v>
      </c>
      <c r="O3901" s="918" t="str">
        <f t="shared" si="400"/>
        <v>Mar</v>
      </c>
      <c r="P3901" s="921">
        <f t="shared" si="401"/>
        <v>11</v>
      </c>
    </row>
    <row r="3902" spans="1:16" ht="15" hidden="1" customHeight="1">
      <c r="A3902" s="839">
        <v>64330596</v>
      </c>
      <c r="B3902" s="839">
        <v>2904</v>
      </c>
      <c r="C3902" s="906">
        <v>-31</v>
      </c>
      <c r="D3902" s="907">
        <v>46094</v>
      </c>
      <c r="E3902" s="839" t="s">
        <v>280</v>
      </c>
      <c r="F3902" s="839" t="s">
        <v>281</v>
      </c>
      <c r="G3902" s="916">
        <f>VLOOKUP($A3902,'Tech Litons'!$A:$I,8,FALSE)</f>
        <v>1.98E-3</v>
      </c>
      <c r="H3902" s="917">
        <f>VLOOKUP($A3902,'Tech Litons'!$A:$I,9,FALSE)</f>
        <v>176</v>
      </c>
      <c r="I3902" s="917" t="str">
        <f>VLOOKUP($A3902,'Tech Litons'!$A:$C,3,0)</f>
        <v>MG Sticks</v>
      </c>
      <c r="J3902" s="918" t="str">
        <f t="shared" si="396"/>
        <v>2904MG Sticks</v>
      </c>
      <c r="K3902" s="919">
        <v>1</v>
      </c>
      <c r="L3902" s="920">
        <f t="shared" si="397"/>
        <v>-31</v>
      </c>
      <c r="M3902" s="920">
        <f t="shared" si="398"/>
        <v>-6.1379999999999997E-2</v>
      </c>
      <c r="N3902" s="920">
        <f t="shared" si="399"/>
        <v>-0.17613636363636365</v>
      </c>
      <c r="O3902" s="918" t="str">
        <f t="shared" si="400"/>
        <v>Mar</v>
      </c>
      <c r="P3902" s="921">
        <f t="shared" si="401"/>
        <v>11</v>
      </c>
    </row>
    <row r="3903" spans="1:16" ht="15" hidden="1" customHeight="1">
      <c r="A3903" s="839">
        <v>64330596</v>
      </c>
      <c r="B3903" s="839">
        <v>2904</v>
      </c>
      <c r="C3903" s="906">
        <v>3934</v>
      </c>
      <c r="D3903" s="907">
        <v>46087</v>
      </c>
      <c r="E3903" s="839" t="s">
        <v>280</v>
      </c>
      <c r="F3903" s="839" t="s">
        <v>281</v>
      </c>
      <c r="G3903" s="916">
        <f>VLOOKUP($A3903,'Tech Litons'!$A:$I,8,FALSE)</f>
        <v>1.98E-3</v>
      </c>
      <c r="H3903" s="917">
        <f>VLOOKUP($A3903,'Tech Litons'!$A:$I,9,FALSE)</f>
        <v>176</v>
      </c>
      <c r="I3903" s="917" t="str">
        <f>VLOOKUP($A3903,'Tech Litons'!$A:$C,3,0)</f>
        <v>MG Sticks</v>
      </c>
      <c r="J3903" s="918" t="str">
        <f t="shared" si="396"/>
        <v>2904MG Sticks</v>
      </c>
      <c r="K3903" s="919">
        <v>1</v>
      </c>
      <c r="L3903" s="920">
        <f t="shared" si="397"/>
        <v>3934</v>
      </c>
      <c r="M3903" s="920">
        <f t="shared" si="398"/>
        <v>7.78932</v>
      </c>
      <c r="N3903" s="920">
        <f t="shared" si="399"/>
        <v>22.352272727272727</v>
      </c>
      <c r="O3903" s="918" t="str">
        <f t="shared" si="400"/>
        <v>Mar</v>
      </c>
      <c r="P3903" s="921">
        <f t="shared" si="401"/>
        <v>10</v>
      </c>
    </row>
    <row r="3904" spans="1:16" ht="15" hidden="1" customHeight="1">
      <c r="A3904" s="839">
        <v>64330596</v>
      </c>
      <c r="B3904" s="839">
        <v>2904</v>
      </c>
      <c r="C3904" s="906">
        <v>5632</v>
      </c>
      <c r="D3904" s="907">
        <v>46088</v>
      </c>
      <c r="E3904" s="839" t="s">
        <v>280</v>
      </c>
      <c r="F3904" s="839" t="s">
        <v>281</v>
      </c>
      <c r="G3904" s="916">
        <f>VLOOKUP($A3904,'Tech Litons'!$A:$I,8,FALSE)</f>
        <v>1.98E-3</v>
      </c>
      <c r="H3904" s="917">
        <f>VLOOKUP($A3904,'Tech Litons'!$A:$I,9,FALSE)</f>
        <v>176</v>
      </c>
      <c r="I3904" s="917" t="str">
        <f>VLOOKUP($A3904,'Tech Litons'!$A:$C,3,0)</f>
        <v>MG Sticks</v>
      </c>
      <c r="J3904" s="918" t="str">
        <f t="shared" si="396"/>
        <v>2904MG Sticks</v>
      </c>
      <c r="K3904" s="919">
        <v>1</v>
      </c>
      <c r="L3904" s="920">
        <f t="shared" si="397"/>
        <v>5632</v>
      </c>
      <c r="M3904" s="920">
        <f t="shared" si="398"/>
        <v>11.15136</v>
      </c>
      <c r="N3904" s="920">
        <f t="shared" si="399"/>
        <v>32</v>
      </c>
      <c r="O3904" s="918" t="str">
        <f t="shared" si="400"/>
        <v>Mar</v>
      </c>
      <c r="P3904" s="921">
        <f t="shared" si="401"/>
        <v>10</v>
      </c>
    </row>
    <row r="3905" spans="1:16" ht="15" hidden="1" customHeight="1">
      <c r="A3905" s="839">
        <v>64330596</v>
      </c>
      <c r="B3905" s="839">
        <v>2904</v>
      </c>
      <c r="C3905" s="906">
        <v>5209</v>
      </c>
      <c r="D3905" s="907">
        <v>46088</v>
      </c>
      <c r="E3905" s="839" t="s">
        <v>280</v>
      </c>
      <c r="F3905" s="839" t="s">
        <v>281</v>
      </c>
      <c r="G3905" s="916">
        <f>VLOOKUP($A3905,'Tech Litons'!$A:$I,8,FALSE)</f>
        <v>1.98E-3</v>
      </c>
      <c r="H3905" s="917">
        <f>VLOOKUP($A3905,'Tech Litons'!$A:$I,9,FALSE)</f>
        <v>176</v>
      </c>
      <c r="I3905" s="917" t="str">
        <f>VLOOKUP($A3905,'Tech Litons'!$A:$C,3,0)</f>
        <v>MG Sticks</v>
      </c>
      <c r="J3905" s="918" t="str">
        <f t="shared" si="396"/>
        <v>2904MG Sticks</v>
      </c>
      <c r="K3905" s="919">
        <v>1</v>
      </c>
      <c r="L3905" s="920">
        <f t="shared" si="397"/>
        <v>5209</v>
      </c>
      <c r="M3905" s="920">
        <f t="shared" si="398"/>
        <v>10.31382</v>
      </c>
      <c r="N3905" s="920">
        <f t="shared" si="399"/>
        <v>29.59659090909091</v>
      </c>
      <c r="O3905" s="918" t="str">
        <f t="shared" si="400"/>
        <v>Mar</v>
      </c>
      <c r="P3905" s="921">
        <f t="shared" si="401"/>
        <v>10</v>
      </c>
    </row>
    <row r="3906" spans="1:16" ht="15" hidden="1" customHeight="1">
      <c r="A3906" s="839">
        <v>64330596</v>
      </c>
      <c r="B3906" s="839">
        <v>2904</v>
      </c>
      <c r="C3906" s="906">
        <v>5200</v>
      </c>
      <c r="D3906" s="907">
        <v>46089</v>
      </c>
      <c r="E3906" s="839" t="s">
        <v>280</v>
      </c>
      <c r="F3906" s="839" t="s">
        <v>281</v>
      </c>
      <c r="G3906" s="916">
        <f>VLOOKUP($A3906,'Tech Litons'!$A:$I,8,FALSE)</f>
        <v>1.98E-3</v>
      </c>
      <c r="H3906" s="917">
        <f>VLOOKUP($A3906,'Tech Litons'!$A:$I,9,FALSE)</f>
        <v>176</v>
      </c>
      <c r="I3906" s="917" t="str">
        <f>VLOOKUP($A3906,'Tech Litons'!$A:$C,3,0)</f>
        <v>MG Sticks</v>
      </c>
      <c r="J3906" s="918" t="str">
        <f t="shared" si="396"/>
        <v>2904MG Sticks</v>
      </c>
      <c r="K3906" s="919">
        <v>1</v>
      </c>
      <c r="L3906" s="920">
        <f t="shared" si="397"/>
        <v>5200</v>
      </c>
      <c r="M3906" s="920">
        <f t="shared" si="398"/>
        <v>10.295999999999999</v>
      </c>
      <c r="N3906" s="920">
        <f t="shared" si="399"/>
        <v>29.545454545454547</v>
      </c>
      <c r="O3906" s="918" t="str">
        <f t="shared" si="400"/>
        <v>Mar</v>
      </c>
      <c r="P3906" s="921">
        <f t="shared" si="401"/>
        <v>11</v>
      </c>
    </row>
    <row r="3907" spans="1:16" ht="15" hidden="1" customHeight="1">
      <c r="A3907" s="839">
        <v>64330596</v>
      </c>
      <c r="B3907" s="839">
        <v>2904</v>
      </c>
      <c r="C3907" s="906">
        <v>5068</v>
      </c>
      <c r="D3907" s="907">
        <v>46089</v>
      </c>
      <c r="E3907" s="839" t="s">
        <v>280</v>
      </c>
      <c r="F3907" s="839" t="s">
        <v>281</v>
      </c>
      <c r="G3907" s="916">
        <f>VLOOKUP($A3907,'Tech Litons'!$A:$I,8,FALSE)</f>
        <v>1.98E-3</v>
      </c>
      <c r="H3907" s="917">
        <f>VLOOKUP($A3907,'Tech Litons'!$A:$I,9,FALSE)</f>
        <v>176</v>
      </c>
      <c r="I3907" s="917" t="str">
        <f>VLOOKUP($A3907,'Tech Litons'!$A:$C,3,0)</f>
        <v>MG Sticks</v>
      </c>
      <c r="J3907" s="918" t="str">
        <f t="shared" si="396"/>
        <v>2904MG Sticks</v>
      </c>
      <c r="K3907" s="919">
        <v>1</v>
      </c>
      <c r="L3907" s="920">
        <f t="shared" si="397"/>
        <v>5068</v>
      </c>
      <c r="M3907" s="920">
        <f t="shared" si="398"/>
        <v>10.03464</v>
      </c>
      <c r="N3907" s="920">
        <f t="shared" si="399"/>
        <v>28.795454545454547</v>
      </c>
      <c r="O3907" s="918" t="str">
        <f t="shared" si="400"/>
        <v>Mar</v>
      </c>
      <c r="P3907" s="921">
        <f t="shared" si="401"/>
        <v>11</v>
      </c>
    </row>
    <row r="3908" spans="1:16" ht="15" hidden="1" customHeight="1">
      <c r="A3908" s="839">
        <v>64330596</v>
      </c>
      <c r="B3908" s="839">
        <v>2904</v>
      </c>
      <c r="C3908" s="906">
        <v>4912</v>
      </c>
      <c r="D3908" s="907">
        <v>46090</v>
      </c>
      <c r="E3908" s="839" t="s">
        <v>280</v>
      </c>
      <c r="F3908" s="839" t="s">
        <v>281</v>
      </c>
      <c r="G3908" s="916">
        <f>VLOOKUP($A3908,'Tech Litons'!$A:$I,8,FALSE)</f>
        <v>1.98E-3</v>
      </c>
      <c r="H3908" s="917">
        <f>VLOOKUP($A3908,'Tech Litons'!$A:$I,9,FALSE)</f>
        <v>176</v>
      </c>
      <c r="I3908" s="917" t="str">
        <f>VLOOKUP($A3908,'Tech Litons'!$A:$C,3,0)</f>
        <v>MG Sticks</v>
      </c>
      <c r="J3908" s="918" t="str">
        <f t="shared" si="396"/>
        <v>2904MG Sticks</v>
      </c>
      <c r="K3908" s="919">
        <v>1</v>
      </c>
      <c r="L3908" s="920">
        <f t="shared" si="397"/>
        <v>4912</v>
      </c>
      <c r="M3908" s="920">
        <f t="shared" si="398"/>
        <v>9.7257599999999993</v>
      </c>
      <c r="N3908" s="920">
        <f t="shared" si="399"/>
        <v>27.90909090909091</v>
      </c>
      <c r="O3908" s="918" t="str">
        <f t="shared" si="400"/>
        <v>Mar</v>
      </c>
      <c r="P3908" s="921">
        <f t="shared" si="401"/>
        <v>11</v>
      </c>
    </row>
    <row r="3909" spans="1:16" ht="15" hidden="1" customHeight="1">
      <c r="A3909" s="839">
        <v>64330596</v>
      </c>
      <c r="B3909" s="839">
        <v>2904</v>
      </c>
      <c r="C3909" s="906">
        <v>4007</v>
      </c>
      <c r="D3909" s="907">
        <v>46090</v>
      </c>
      <c r="E3909" s="839" t="s">
        <v>280</v>
      </c>
      <c r="F3909" s="839" t="s">
        <v>281</v>
      </c>
      <c r="G3909" s="916">
        <f>VLOOKUP($A3909,'Tech Litons'!$A:$I,8,FALSE)</f>
        <v>1.98E-3</v>
      </c>
      <c r="H3909" s="917">
        <f>VLOOKUP($A3909,'Tech Litons'!$A:$I,9,FALSE)</f>
        <v>176</v>
      </c>
      <c r="I3909" s="917" t="str">
        <f>VLOOKUP($A3909,'Tech Litons'!$A:$C,3,0)</f>
        <v>MG Sticks</v>
      </c>
      <c r="J3909" s="918" t="str">
        <f t="shared" si="396"/>
        <v>2904MG Sticks</v>
      </c>
      <c r="K3909" s="919">
        <v>1</v>
      </c>
      <c r="L3909" s="920">
        <f t="shared" si="397"/>
        <v>4007</v>
      </c>
      <c r="M3909" s="920">
        <f t="shared" si="398"/>
        <v>7.9338600000000001</v>
      </c>
      <c r="N3909" s="920">
        <f t="shared" si="399"/>
        <v>22.767045454545453</v>
      </c>
      <c r="O3909" s="918" t="str">
        <f t="shared" si="400"/>
        <v>Mar</v>
      </c>
      <c r="P3909" s="921">
        <f t="shared" si="401"/>
        <v>11</v>
      </c>
    </row>
    <row r="3910" spans="1:16" ht="15" hidden="1" customHeight="1">
      <c r="A3910" s="839">
        <v>64330596</v>
      </c>
      <c r="B3910" s="839">
        <v>2904</v>
      </c>
      <c r="C3910" s="906">
        <v>6224</v>
      </c>
      <c r="D3910" s="907">
        <v>46091</v>
      </c>
      <c r="E3910" s="839" t="s">
        <v>280</v>
      </c>
      <c r="F3910" s="839" t="s">
        <v>281</v>
      </c>
      <c r="G3910" s="916">
        <f>VLOOKUP($A3910,'Tech Litons'!$A:$I,8,FALSE)</f>
        <v>1.98E-3</v>
      </c>
      <c r="H3910" s="917">
        <f>VLOOKUP($A3910,'Tech Litons'!$A:$I,9,FALSE)</f>
        <v>176</v>
      </c>
      <c r="I3910" s="917" t="str">
        <f>VLOOKUP($A3910,'Tech Litons'!$A:$C,3,0)</f>
        <v>MG Sticks</v>
      </c>
      <c r="J3910" s="918" t="str">
        <f t="shared" si="396"/>
        <v>2904MG Sticks</v>
      </c>
      <c r="K3910" s="919">
        <v>1</v>
      </c>
      <c r="L3910" s="920">
        <f t="shared" si="397"/>
        <v>6224</v>
      </c>
      <c r="M3910" s="920">
        <f t="shared" si="398"/>
        <v>12.32352</v>
      </c>
      <c r="N3910" s="920">
        <f t="shared" si="399"/>
        <v>35.363636363636367</v>
      </c>
      <c r="O3910" s="918" t="str">
        <f t="shared" si="400"/>
        <v>Mar</v>
      </c>
      <c r="P3910" s="921">
        <f t="shared" si="401"/>
        <v>11</v>
      </c>
    </row>
    <row r="3911" spans="1:16" ht="15" hidden="1" customHeight="1">
      <c r="A3911" s="839">
        <v>64330596</v>
      </c>
      <c r="B3911" s="839">
        <v>2904</v>
      </c>
      <c r="C3911" s="906">
        <v>4341</v>
      </c>
      <c r="D3911" s="907">
        <v>46091</v>
      </c>
      <c r="E3911" s="839" t="s">
        <v>280</v>
      </c>
      <c r="F3911" s="839" t="s">
        <v>281</v>
      </c>
      <c r="G3911" s="916">
        <f>VLOOKUP($A3911,'Tech Litons'!$A:$I,8,FALSE)</f>
        <v>1.98E-3</v>
      </c>
      <c r="H3911" s="917">
        <f>VLOOKUP($A3911,'Tech Litons'!$A:$I,9,FALSE)</f>
        <v>176</v>
      </c>
      <c r="I3911" s="917" t="str">
        <f>VLOOKUP($A3911,'Tech Litons'!$A:$C,3,0)</f>
        <v>MG Sticks</v>
      </c>
      <c r="J3911" s="918" t="str">
        <f t="shared" si="396"/>
        <v>2904MG Sticks</v>
      </c>
      <c r="K3911" s="919">
        <v>1</v>
      </c>
      <c r="L3911" s="920">
        <f t="shared" si="397"/>
        <v>4341</v>
      </c>
      <c r="M3911" s="920">
        <f t="shared" si="398"/>
        <v>8.5951799999999992</v>
      </c>
      <c r="N3911" s="920">
        <f t="shared" si="399"/>
        <v>24.664772727272727</v>
      </c>
      <c r="O3911" s="918" t="str">
        <f t="shared" si="400"/>
        <v>Mar</v>
      </c>
      <c r="P3911" s="921">
        <f t="shared" si="401"/>
        <v>11</v>
      </c>
    </row>
    <row r="3912" spans="1:16" ht="15" hidden="1" customHeight="1">
      <c r="A3912" s="839">
        <v>64330596</v>
      </c>
      <c r="B3912" s="839">
        <v>2904</v>
      </c>
      <c r="C3912" s="906">
        <v>4656</v>
      </c>
      <c r="D3912" s="907">
        <v>46092</v>
      </c>
      <c r="E3912" s="839" t="s">
        <v>280</v>
      </c>
      <c r="F3912" s="839" t="s">
        <v>281</v>
      </c>
      <c r="G3912" s="916">
        <f>VLOOKUP($A3912,'Tech Litons'!$A:$I,8,FALSE)</f>
        <v>1.98E-3</v>
      </c>
      <c r="H3912" s="917">
        <f>VLOOKUP($A3912,'Tech Litons'!$A:$I,9,FALSE)</f>
        <v>176</v>
      </c>
      <c r="I3912" s="917" t="str">
        <f>VLOOKUP($A3912,'Tech Litons'!$A:$C,3,0)</f>
        <v>MG Sticks</v>
      </c>
      <c r="J3912" s="918" t="str">
        <f t="shared" si="396"/>
        <v>2904MG Sticks</v>
      </c>
      <c r="K3912" s="919">
        <v>1</v>
      </c>
      <c r="L3912" s="920">
        <f t="shared" si="397"/>
        <v>4656</v>
      </c>
      <c r="M3912" s="920">
        <f t="shared" si="398"/>
        <v>9.2188800000000004</v>
      </c>
      <c r="N3912" s="920">
        <f t="shared" si="399"/>
        <v>26.454545454545453</v>
      </c>
      <c r="O3912" s="918" t="str">
        <f t="shared" si="400"/>
        <v>Mar</v>
      </c>
      <c r="P3912" s="921">
        <f t="shared" si="401"/>
        <v>11</v>
      </c>
    </row>
    <row r="3913" spans="1:16" ht="15" hidden="1" customHeight="1">
      <c r="A3913" s="839">
        <v>64330596</v>
      </c>
      <c r="B3913" s="839">
        <v>2904</v>
      </c>
      <c r="C3913" s="906">
        <v>5325</v>
      </c>
      <c r="D3913" s="907">
        <v>46092</v>
      </c>
      <c r="E3913" s="839" t="s">
        <v>280</v>
      </c>
      <c r="F3913" s="839" t="s">
        <v>281</v>
      </c>
      <c r="G3913" s="916">
        <f>VLOOKUP($A3913,'Tech Litons'!$A:$I,8,FALSE)</f>
        <v>1.98E-3</v>
      </c>
      <c r="H3913" s="917">
        <f>VLOOKUP($A3913,'Tech Litons'!$A:$I,9,FALSE)</f>
        <v>176</v>
      </c>
      <c r="I3913" s="917" t="str">
        <f>VLOOKUP($A3913,'Tech Litons'!$A:$C,3,0)</f>
        <v>MG Sticks</v>
      </c>
      <c r="J3913" s="918" t="str">
        <f t="shared" si="396"/>
        <v>2904MG Sticks</v>
      </c>
      <c r="K3913" s="919">
        <v>1</v>
      </c>
      <c r="L3913" s="920">
        <f t="shared" si="397"/>
        <v>5325</v>
      </c>
      <c r="M3913" s="920">
        <f t="shared" si="398"/>
        <v>10.5435</v>
      </c>
      <c r="N3913" s="920">
        <f t="shared" si="399"/>
        <v>30.255681818181817</v>
      </c>
      <c r="O3913" s="918" t="str">
        <f t="shared" si="400"/>
        <v>Mar</v>
      </c>
      <c r="P3913" s="921">
        <f t="shared" si="401"/>
        <v>11</v>
      </c>
    </row>
    <row r="3914" spans="1:16" ht="15" hidden="1" customHeight="1">
      <c r="A3914" s="839">
        <v>64330596</v>
      </c>
      <c r="B3914" s="839">
        <v>2904</v>
      </c>
      <c r="C3914" s="906">
        <v>6336</v>
      </c>
      <c r="D3914" s="907">
        <v>46093</v>
      </c>
      <c r="E3914" s="839" t="s">
        <v>280</v>
      </c>
      <c r="F3914" s="839" t="s">
        <v>281</v>
      </c>
      <c r="G3914" s="916">
        <f>VLOOKUP($A3914,'Tech Litons'!$A:$I,8,FALSE)</f>
        <v>1.98E-3</v>
      </c>
      <c r="H3914" s="917">
        <f>VLOOKUP($A3914,'Tech Litons'!$A:$I,9,FALSE)</f>
        <v>176</v>
      </c>
      <c r="I3914" s="917" t="str">
        <f>VLOOKUP($A3914,'Tech Litons'!$A:$C,3,0)</f>
        <v>MG Sticks</v>
      </c>
      <c r="J3914" s="918" t="str">
        <f t="shared" si="396"/>
        <v>2904MG Sticks</v>
      </c>
      <c r="K3914" s="919">
        <v>1</v>
      </c>
      <c r="L3914" s="920">
        <f t="shared" si="397"/>
        <v>6336</v>
      </c>
      <c r="M3914" s="920">
        <f t="shared" si="398"/>
        <v>12.54528</v>
      </c>
      <c r="N3914" s="920">
        <f t="shared" si="399"/>
        <v>36</v>
      </c>
      <c r="O3914" s="918" t="str">
        <f t="shared" si="400"/>
        <v>Mar</v>
      </c>
      <c r="P3914" s="921">
        <f t="shared" si="401"/>
        <v>11</v>
      </c>
    </row>
    <row r="3915" spans="1:16" ht="15" hidden="1" customHeight="1">
      <c r="A3915" s="839">
        <v>64330596</v>
      </c>
      <c r="B3915" s="839">
        <v>2904</v>
      </c>
      <c r="C3915" s="906">
        <v>372</v>
      </c>
      <c r="D3915" s="907">
        <v>46093</v>
      </c>
      <c r="E3915" s="839" t="s">
        <v>280</v>
      </c>
      <c r="F3915" s="839" t="s">
        <v>281</v>
      </c>
      <c r="G3915" s="916">
        <f>VLOOKUP($A3915,'Tech Litons'!$A:$I,8,FALSE)</f>
        <v>1.98E-3</v>
      </c>
      <c r="H3915" s="917">
        <f>VLOOKUP($A3915,'Tech Litons'!$A:$I,9,FALSE)</f>
        <v>176</v>
      </c>
      <c r="I3915" s="917" t="str">
        <f>VLOOKUP($A3915,'Tech Litons'!$A:$C,3,0)</f>
        <v>MG Sticks</v>
      </c>
      <c r="J3915" s="918" t="str">
        <f t="shared" si="396"/>
        <v>2904MG Sticks</v>
      </c>
      <c r="K3915" s="919">
        <v>1</v>
      </c>
      <c r="L3915" s="920">
        <f t="shared" si="397"/>
        <v>372</v>
      </c>
      <c r="M3915" s="920">
        <f t="shared" si="398"/>
        <v>0.73655999999999999</v>
      </c>
      <c r="N3915" s="920">
        <f t="shared" si="399"/>
        <v>2.1136363636363638</v>
      </c>
      <c r="O3915" s="918" t="str">
        <f t="shared" si="400"/>
        <v>Mar</v>
      </c>
      <c r="P3915" s="921">
        <f t="shared" si="401"/>
        <v>11</v>
      </c>
    </row>
    <row r="3916" spans="1:16" ht="15" hidden="1" customHeight="1">
      <c r="A3916" s="839">
        <v>64330596</v>
      </c>
      <c r="B3916" s="839">
        <v>2904</v>
      </c>
      <c r="C3916" s="906">
        <v>2501</v>
      </c>
      <c r="D3916" s="907">
        <v>46094</v>
      </c>
      <c r="E3916" s="839" t="s">
        <v>280</v>
      </c>
      <c r="F3916" s="839" t="s">
        <v>281</v>
      </c>
      <c r="G3916" s="916">
        <f>VLOOKUP($A3916,'Tech Litons'!$A:$I,8,FALSE)</f>
        <v>1.98E-3</v>
      </c>
      <c r="H3916" s="917">
        <f>VLOOKUP($A3916,'Tech Litons'!$A:$I,9,FALSE)</f>
        <v>176</v>
      </c>
      <c r="I3916" s="917" t="str">
        <f>VLOOKUP($A3916,'Tech Litons'!$A:$C,3,0)</f>
        <v>MG Sticks</v>
      </c>
      <c r="J3916" s="918" t="str">
        <f t="shared" si="396"/>
        <v>2904MG Sticks</v>
      </c>
      <c r="K3916" s="919">
        <v>1</v>
      </c>
      <c r="L3916" s="920">
        <f t="shared" si="397"/>
        <v>2501</v>
      </c>
      <c r="M3916" s="920">
        <f t="shared" si="398"/>
        <v>4.9519799999999998</v>
      </c>
      <c r="N3916" s="920">
        <f t="shared" si="399"/>
        <v>14.210227272727273</v>
      </c>
      <c r="O3916" s="918" t="str">
        <f t="shared" si="400"/>
        <v>Mar</v>
      </c>
      <c r="P3916" s="921">
        <f t="shared" si="401"/>
        <v>11</v>
      </c>
    </row>
    <row r="3917" spans="1:16" ht="15" hidden="1" customHeight="1">
      <c r="A3917" s="839">
        <v>64330596</v>
      </c>
      <c r="B3917" s="839">
        <v>2904</v>
      </c>
      <c r="C3917" s="906">
        <v>4922</v>
      </c>
      <c r="D3917" s="907">
        <v>46094</v>
      </c>
      <c r="E3917" s="839" t="s">
        <v>280</v>
      </c>
      <c r="F3917" s="839" t="s">
        <v>281</v>
      </c>
      <c r="G3917" s="916">
        <f>VLOOKUP($A3917,'Tech Litons'!$A:$I,8,FALSE)</f>
        <v>1.98E-3</v>
      </c>
      <c r="H3917" s="917">
        <f>VLOOKUP($A3917,'Tech Litons'!$A:$I,9,FALSE)</f>
        <v>176</v>
      </c>
      <c r="I3917" s="917" t="str">
        <f>VLOOKUP($A3917,'Tech Litons'!$A:$C,3,0)</f>
        <v>MG Sticks</v>
      </c>
      <c r="J3917" s="918" t="str">
        <f t="shared" si="396"/>
        <v>2904MG Sticks</v>
      </c>
      <c r="K3917" s="919">
        <v>1</v>
      </c>
      <c r="L3917" s="920">
        <f t="shared" si="397"/>
        <v>4922</v>
      </c>
      <c r="M3917" s="920">
        <f t="shared" si="398"/>
        <v>9.7455599999999993</v>
      </c>
      <c r="N3917" s="920">
        <f t="shared" si="399"/>
        <v>27.96590909090909</v>
      </c>
      <c r="O3917" s="918" t="str">
        <f t="shared" si="400"/>
        <v>Mar</v>
      </c>
      <c r="P3917" s="921">
        <f t="shared" si="401"/>
        <v>11</v>
      </c>
    </row>
    <row r="3918" spans="1:16" ht="15" hidden="1" customHeight="1">
      <c r="A3918" s="839">
        <v>64330596</v>
      </c>
      <c r="B3918" s="839">
        <v>2904</v>
      </c>
      <c r="C3918" s="906">
        <v>5616</v>
      </c>
      <c r="D3918" s="907">
        <v>46095</v>
      </c>
      <c r="E3918" s="839" t="s">
        <v>280</v>
      </c>
      <c r="F3918" s="839" t="s">
        <v>281</v>
      </c>
      <c r="G3918" s="916">
        <f>VLOOKUP($A3918,'Tech Litons'!$A:$I,8,FALSE)</f>
        <v>1.98E-3</v>
      </c>
      <c r="H3918" s="917">
        <f>VLOOKUP($A3918,'Tech Litons'!$A:$I,9,FALSE)</f>
        <v>176</v>
      </c>
      <c r="I3918" s="917" t="str">
        <f>VLOOKUP($A3918,'Tech Litons'!$A:$C,3,0)</f>
        <v>MG Sticks</v>
      </c>
      <c r="J3918" s="918" t="str">
        <f t="shared" si="396"/>
        <v>2904MG Sticks</v>
      </c>
      <c r="K3918" s="919">
        <v>1</v>
      </c>
      <c r="L3918" s="920">
        <f t="shared" si="397"/>
        <v>5616</v>
      </c>
      <c r="M3918" s="920">
        <f t="shared" si="398"/>
        <v>11.119680000000001</v>
      </c>
      <c r="N3918" s="920">
        <f t="shared" si="399"/>
        <v>31.90909090909091</v>
      </c>
      <c r="O3918" s="918" t="str">
        <f t="shared" si="400"/>
        <v>Mar</v>
      </c>
      <c r="P3918" s="921">
        <f t="shared" si="401"/>
        <v>11</v>
      </c>
    </row>
    <row r="3919" spans="1:16" ht="15" hidden="1" customHeight="1">
      <c r="A3919" s="839">
        <v>64330596</v>
      </c>
      <c r="B3919" s="839">
        <v>2904</v>
      </c>
      <c r="C3919" s="906">
        <v>176</v>
      </c>
      <c r="D3919" s="907">
        <v>46097</v>
      </c>
      <c r="E3919" s="839" t="s">
        <v>280</v>
      </c>
      <c r="F3919" s="839" t="s">
        <v>281</v>
      </c>
      <c r="G3919" s="916">
        <f>VLOOKUP($A3919,'Tech Litons'!$A:$I,8,FALSE)</f>
        <v>1.98E-3</v>
      </c>
      <c r="H3919" s="917">
        <f>VLOOKUP($A3919,'Tech Litons'!$A:$I,9,FALSE)</f>
        <v>176</v>
      </c>
      <c r="I3919" s="917" t="str">
        <f>VLOOKUP($A3919,'Tech Litons'!$A:$C,3,0)</f>
        <v>MG Sticks</v>
      </c>
      <c r="J3919" s="918" t="str">
        <f t="shared" si="396"/>
        <v>2904MG Sticks</v>
      </c>
      <c r="K3919" s="919">
        <v>1</v>
      </c>
      <c r="L3919" s="920">
        <f t="shared" si="397"/>
        <v>176</v>
      </c>
      <c r="M3919" s="920">
        <f t="shared" si="398"/>
        <v>0.34848000000000001</v>
      </c>
      <c r="N3919" s="920">
        <f t="shared" si="399"/>
        <v>1</v>
      </c>
      <c r="O3919" s="918" t="str">
        <f t="shared" si="400"/>
        <v>Mar</v>
      </c>
      <c r="P3919" s="921">
        <f t="shared" si="401"/>
        <v>12</v>
      </c>
    </row>
    <row r="3920" spans="1:16" ht="15" hidden="1" customHeight="1">
      <c r="A3920" s="839">
        <v>64330596</v>
      </c>
      <c r="B3920" s="839">
        <v>2904</v>
      </c>
      <c r="C3920" s="906">
        <v>11209</v>
      </c>
      <c r="D3920" s="907">
        <v>46097</v>
      </c>
      <c r="E3920" s="839" t="s">
        <v>280</v>
      </c>
      <c r="F3920" s="839" t="s">
        <v>281</v>
      </c>
      <c r="G3920" s="916">
        <f>VLOOKUP($A3920,'Tech Litons'!$A:$I,8,FALSE)</f>
        <v>1.98E-3</v>
      </c>
      <c r="H3920" s="917">
        <f>VLOOKUP($A3920,'Tech Litons'!$A:$I,9,FALSE)</f>
        <v>176</v>
      </c>
      <c r="I3920" s="917" t="str">
        <f>VLOOKUP($A3920,'Tech Litons'!$A:$C,3,0)</f>
        <v>MG Sticks</v>
      </c>
      <c r="J3920" s="918" t="str">
        <f t="shared" si="396"/>
        <v>2904MG Sticks</v>
      </c>
      <c r="K3920" s="919">
        <v>1</v>
      </c>
      <c r="L3920" s="920">
        <f t="shared" si="397"/>
        <v>11209</v>
      </c>
      <c r="M3920" s="920">
        <f t="shared" si="398"/>
        <v>22.193819999999999</v>
      </c>
      <c r="N3920" s="920">
        <f t="shared" si="399"/>
        <v>63.6875</v>
      </c>
      <c r="O3920" s="918" t="str">
        <f t="shared" si="400"/>
        <v>Mar</v>
      </c>
      <c r="P3920" s="921">
        <f t="shared" si="401"/>
        <v>12</v>
      </c>
    </row>
    <row r="3921" spans="1:16" ht="15" hidden="1" customHeight="1">
      <c r="A3921" s="839">
        <v>64330596</v>
      </c>
      <c r="B3921" s="839">
        <v>2904</v>
      </c>
      <c r="C3921" s="906">
        <v>12609</v>
      </c>
      <c r="D3921" s="907">
        <v>46098</v>
      </c>
      <c r="E3921" s="839" t="s">
        <v>280</v>
      </c>
      <c r="F3921" s="839" t="s">
        <v>281</v>
      </c>
      <c r="G3921" s="916">
        <f>VLOOKUP($A3921,'Tech Litons'!$A:$I,8,FALSE)</f>
        <v>1.98E-3</v>
      </c>
      <c r="H3921" s="917">
        <f>VLOOKUP($A3921,'Tech Litons'!$A:$I,9,FALSE)</f>
        <v>176</v>
      </c>
      <c r="I3921" s="917" t="str">
        <f>VLOOKUP($A3921,'Tech Litons'!$A:$C,3,0)</f>
        <v>MG Sticks</v>
      </c>
      <c r="J3921" s="918" t="str">
        <f t="shared" si="396"/>
        <v>2904MG Sticks</v>
      </c>
      <c r="K3921" s="919">
        <v>1</v>
      </c>
      <c r="L3921" s="920">
        <f t="shared" si="397"/>
        <v>12609</v>
      </c>
      <c r="M3921" s="920">
        <f t="shared" si="398"/>
        <v>24.965820000000001</v>
      </c>
      <c r="N3921" s="920">
        <f t="shared" si="399"/>
        <v>71.642045454545453</v>
      </c>
      <c r="O3921" s="918" t="str">
        <f t="shared" si="400"/>
        <v>Mar</v>
      </c>
      <c r="P3921" s="921">
        <f t="shared" si="401"/>
        <v>12</v>
      </c>
    </row>
    <row r="3922" spans="1:16" ht="15" hidden="1" customHeight="1">
      <c r="A3922" s="839">
        <v>64330596</v>
      </c>
      <c r="B3922" s="839">
        <v>2904</v>
      </c>
      <c r="C3922" s="906">
        <v>-12609</v>
      </c>
      <c r="D3922" s="907">
        <v>46100</v>
      </c>
      <c r="E3922" s="839" t="s">
        <v>280</v>
      </c>
      <c r="F3922" s="839" t="s">
        <v>281</v>
      </c>
      <c r="G3922" s="916">
        <f>VLOOKUP($A3922,'Tech Litons'!$A:$I,8,FALSE)</f>
        <v>1.98E-3</v>
      </c>
      <c r="H3922" s="917">
        <f>VLOOKUP($A3922,'Tech Litons'!$A:$I,9,FALSE)</f>
        <v>176</v>
      </c>
      <c r="I3922" s="917" t="str">
        <f>VLOOKUP($A3922,'Tech Litons'!$A:$C,3,0)</f>
        <v>MG Sticks</v>
      </c>
      <c r="J3922" s="918" t="str">
        <f t="shared" si="396"/>
        <v>2904MG Sticks</v>
      </c>
      <c r="K3922" s="919">
        <v>1</v>
      </c>
      <c r="L3922" s="920">
        <f t="shared" si="397"/>
        <v>-12609</v>
      </c>
      <c r="M3922" s="920">
        <f t="shared" si="398"/>
        <v>-24.965820000000001</v>
      </c>
      <c r="N3922" s="920">
        <f t="shared" si="399"/>
        <v>-71.642045454545453</v>
      </c>
      <c r="O3922" s="918" t="str">
        <f t="shared" si="400"/>
        <v>Mar</v>
      </c>
      <c r="P3922" s="921">
        <f t="shared" si="401"/>
        <v>12</v>
      </c>
    </row>
    <row r="3923" spans="1:16" ht="15" hidden="1" customHeight="1">
      <c r="A3923" s="839">
        <v>64330596</v>
      </c>
      <c r="B3923" s="839">
        <v>2904</v>
      </c>
      <c r="C3923" s="906">
        <v>6336</v>
      </c>
      <c r="D3923" s="907">
        <v>46097</v>
      </c>
      <c r="E3923" s="839" t="s">
        <v>280</v>
      </c>
      <c r="F3923" s="839" t="s">
        <v>281</v>
      </c>
      <c r="G3923" s="916">
        <f>VLOOKUP($A3923,'Tech Litons'!$A:$I,8,FALSE)</f>
        <v>1.98E-3</v>
      </c>
      <c r="H3923" s="917">
        <f>VLOOKUP($A3923,'Tech Litons'!$A:$I,9,FALSE)</f>
        <v>176</v>
      </c>
      <c r="I3923" s="917" t="str">
        <f>VLOOKUP($A3923,'Tech Litons'!$A:$C,3,0)</f>
        <v>MG Sticks</v>
      </c>
      <c r="J3923" s="918" t="str">
        <f t="shared" si="396"/>
        <v>2904MG Sticks</v>
      </c>
      <c r="K3923" s="919">
        <v>1</v>
      </c>
      <c r="L3923" s="920">
        <f t="shared" si="397"/>
        <v>6336</v>
      </c>
      <c r="M3923" s="920">
        <f t="shared" si="398"/>
        <v>12.54528</v>
      </c>
      <c r="N3923" s="920">
        <f t="shared" si="399"/>
        <v>36</v>
      </c>
      <c r="O3923" s="918" t="str">
        <f t="shared" si="400"/>
        <v>Mar</v>
      </c>
      <c r="P3923" s="921">
        <f t="shared" si="401"/>
        <v>12</v>
      </c>
    </row>
    <row r="3924" spans="1:16" ht="15" hidden="1" customHeight="1">
      <c r="A3924" s="839">
        <v>64330596</v>
      </c>
      <c r="B3924" s="839">
        <v>2904</v>
      </c>
      <c r="C3924" s="906">
        <v>2694</v>
      </c>
      <c r="D3924" s="907">
        <v>46098</v>
      </c>
      <c r="E3924" s="839" t="s">
        <v>280</v>
      </c>
      <c r="F3924" s="839" t="s">
        <v>281</v>
      </c>
      <c r="G3924" s="916">
        <f>VLOOKUP($A3924,'Tech Litons'!$A:$I,8,FALSE)</f>
        <v>1.98E-3</v>
      </c>
      <c r="H3924" s="917">
        <f>VLOOKUP($A3924,'Tech Litons'!$A:$I,9,FALSE)</f>
        <v>176</v>
      </c>
      <c r="I3924" s="917" t="str">
        <f>VLOOKUP($A3924,'Tech Litons'!$A:$C,3,0)</f>
        <v>MG Sticks</v>
      </c>
      <c r="J3924" s="918" t="str">
        <f t="shared" si="396"/>
        <v>2904MG Sticks</v>
      </c>
      <c r="K3924" s="919">
        <v>1</v>
      </c>
      <c r="L3924" s="920">
        <f t="shared" si="397"/>
        <v>2694</v>
      </c>
      <c r="M3924" s="920">
        <f t="shared" si="398"/>
        <v>5.3341199999999995</v>
      </c>
      <c r="N3924" s="920">
        <f t="shared" si="399"/>
        <v>15.306818181818182</v>
      </c>
      <c r="O3924" s="918" t="str">
        <f t="shared" si="400"/>
        <v>Mar</v>
      </c>
      <c r="P3924" s="921">
        <f t="shared" si="401"/>
        <v>12</v>
      </c>
    </row>
    <row r="3925" spans="1:16" ht="15" hidden="1" customHeight="1">
      <c r="A3925" s="839">
        <v>64330596</v>
      </c>
      <c r="B3925" s="839">
        <v>2904</v>
      </c>
      <c r="C3925" s="906">
        <v>12609</v>
      </c>
      <c r="D3925" s="907">
        <v>46097</v>
      </c>
      <c r="E3925" s="839" t="s">
        <v>280</v>
      </c>
      <c r="F3925" s="839" t="s">
        <v>281</v>
      </c>
      <c r="G3925" s="916">
        <f>VLOOKUP($A3925,'Tech Litons'!$A:$I,8,FALSE)</f>
        <v>1.98E-3</v>
      </c>
      <c r="H3925" s="917">
        <f>VLOOKUP($A3925,'Tech Litons'!$A:$I,9,FALSE)</f>
        <v>176</v>
      </c>
      <c r="I3925" s="917" t="str">
        <f>VLOOKUP($A3925,'Tech Litons'!$A:$C,3,0)</f>
        <v>MG Sticks</v>
      </c>
      <c r="J3925" s="918" t="str">
        <f t="shared" si="396"/>
        <v>2904MG Sticks</v>
      </c>
      <c r="K3925" s="919">
        <v>1</v>
      </c>
      <c r="L3925" s="920">
        <f t="shared" si="397"/>
        <v>12609</v>
      </c>
      <c r="M3925" s="920">
        <f t="shared" si="398"/>
        <v>24.965820000000001</v>
      </c>
      <c r="N3925" s="920">
        <f t="shared" si="399"/>
        <v>71.642045454545453</v>
      </c>
      <c r="O3925" s="918" t="str">
        <f t="shared" si="400"/>
        <v>Mar</v>
      </c>
      <c r="P3925" s="921">
        <f t="shared" si="401"/>
        <v>12</v>
      </c>
    </row>
    <row r="3926" spans="1:16" ht="15" hidden="1" customHeight="1">
      <c r="A3926" s="839">
        <v>64330596</v>
      </c>
      <c r="B3926" s="839">
        <v>2904</v>
      </c>
      <c r="C3926" s="906">
        <v>-12609</v>
      </c>
      <c r="D3926" s="907">
        <v>46098</v>
      </c>
      <c r="E3926" s="839" t="s">
        <v>280</v>
      </c>
      <c r="F3926" s="839" t="s">
        <v>281</v>
      </c>
      <c r="G3926" s="916">
        <f>VLOOKUP($A3926,'Tech Litons'!$A:$I,8,FALSE)</f>
        <v>1.98E-3</v>
      </c>
      <c r="H3926" s="917">
        <f>VLOOKUP($A3926,'Tech Litons'!$A:$I,9,FALSE)</f>
        <v>176</v>
      </c>
      <c r="I3926" s="917" t="str">
        <f>VLOOKUP($A3926,'Tech Litons'!$A:$C,3,0)</f>
        <v>MG Sticks</v>
      </c>
      <c r="J3926" s="918" t="str">
        <f t="shared" si="396"/>
        <v>2904MG Sticks</v>
      </c>
      <c r="K3926" s="919">
        <v>1</v>
      </c>
      <c r="L3926" s="920">
        <f t="shared" si="397"/>
        <v>-12609</v>
      </c>
      <c r="M3926" s="920">
        <f t="shared" si="398"/>
        <v>-24.965820000000001</v>
      </c>
      <c r="N3926" s="920">
        <f t="shared" si="399"/>
        <v>-71.642045454545453</v>
      </c>
      <c r="O3926" s="918" t="str">
        <f t="shared" si="400"/>
        <v>Mar</v>
      </c>
      <c r="P3926" s="921">
        <f t="shared" si="401"/>
        <v>12</v>
      </c>
    </row>
    <row r="3927" spans="1:16" ht="15" hidden="1" customHeight="1">
      <c r="A3927" s="839">
        <v>64330596</v>
      </c>
      <c r="B3927" s="839">
        <v>2904</v>
      </c>
      <c r="C3927" s="906">
        <v>12609</v>
      </c>
      <c r="D3927" s="907">
        <v>46100</v>
      </c>
      <c r="E3927" s="839" t="s">
        <v>280</v>
      </c>
      <c r="F3927" s="839" t="s">
        <v>281</v>
      </c>
      <c r="G3927" s="916">
        <f>VLOOKUP($A3927,'Tech Litons'!$A:$I,8,FALSE)</f>
        <v>1.98E-3</v>
      </c>
      <c r="H3927" s="917">
        <f>VLOOKUP($A3927,'Tech Litons'!$A:$I,9,FALSE)</f>
        <v>176</v>
      </c>
      <c r="I3927" s="917" t="str">
        <f>VLOOKUP($A3927,'Tech Litons'!$A:$C,3,0)</f>
        <v>MG Sticks</v>
      </c>
      <c r="J3927" s="918" t="str">
        <f t="shared" si="396"/>
        <v>2904MG Sticks</v>
      </c>
      <c r="K3927" s="919">
        <v>1</v>
      </c>
      <c r="L3927" s="920">
        <f t="shared" si="397"/>
        <v>12609</v>
      </c>
      <c r="M3927" s="920">
        <f t="shared" si="398"/>
        <v>24.965820000000001</v>
      </c>
      <c r="N3927" s="920">
        <f t="shared" si="399"/>
        <v>71.642045454545453</v>
      </c>
      <c r="O3927" s="918" t="str">
        <f t="shared" si="400"/>
        <v>Mar</v>
      </c>
      <c r="P3927" s="921">
        <f t="shared" si="401"/>
        <v>12</v>
      </c>
    </row>
    <row r="3928" spans="1:16" ht="15" hidden="1" customHeight="1">
      <c r="A3928" s="839">
        <v>64330596</v>
      </c>
      <c r="B3928" s="839">
        <v>2904</v>
      </c>
      <c r="C3928" s="906">
        <v>1859</v>
      </c>
      <c r="D3928" s="907">
        <v>46098</v>
      </c>
      <c r="E3928" s="839" t="s">
        <v>280</v>
      </c>
      <c r="F3928" s="839" t="s">
        <v>281</v>
      </c>
      <c r="G3928" s="916">
        <f>VLOOKUP($A3928,'Tech Litons'!$A:$I,8,FALSE)</f>
        <v>1.98E-3</v>
      </c>
      <c r="H3928" s="917">
        <f>VLOOKUP($A3928,'Tech Litons'!$A:$I,9,FALSE)</f>
        <v>176</v>
      </c>
      <c r="I3928" s="917" t="str">
        <f>VLOOKUP($A3928,'Tech Litons'!$A:$C,3,0)</f>
        <v>MG Sticks</v>
      </c>
      <c r="J3928" s="918" t="str">
        <f t="shared" si="396"/>
        <v>2904MG Sticks</v>
      </c>
      <c r="K3928" s="919">
        <v>1</v>
      </c>
      <c r="L3928" s="920">
        <f t="shared" si="397"/>
        <v>1859</v>
      </c>
      <c r="M3928" s="920">
        <f t="shared" si="398"/>
        <v>3.6808199999999998</v>
      </c>
      <c r="N3928" s="920">
        <f t="shared" si="399"/>
        <v>10.5625</v>
      </c>
      <c r="O3928" s="918" t="str">
        <f t="shared" si="400"/>
        <v>Mar</v>
      </c>
      <c r="P3928" s="921">
        <f t="shared" si="401"/>
        <v>12</v>
      </c>
    </row>
    <row r="3929" spans="1:16" ht="15" hidden="1" customHeight="1">
      <c r="A3929" s="839">
        <v>64330596</v>
      </c>
      <c r="B3929" s="839">
        <v>2904</v>
      </c>
      <c r="C3929" s="906">
        <v>0</v>
      </c>
      <c r="D3929" s="907">
        <v>46099</v>
      </c>
      <c r="E3929" s="839" t="s">
        <v>280</v>
      </c>
      <c r="F3929" s="839" t="s">
        <v>281</v>
      </c>
      <c r="G3929" s="916">
        <f>VLOOKUP($A3929,'Tech Litons'!$A:$I,8,FALSE)</f>
        <v>1.98E-3</v>
      </c>
      <c r="H3929" s="917">
        <f>VLOOKUP($A3929,'Tech Litons'!$A:$I,9,FALSE)</f>
        <v>176</v>
      </c>
      <c r="I3929" s="917" t="str">
        <f>VLOOKUP($A3929,'Tech Litons'!$A:$C,3,0)</f>
        <v>MG Sticks</v>
      </c>
      <c r="J3929" s="918" t="str">
        <f t="shared" si="396"/>
        <v>2904MG Sticks</v>
      </c>
      <c r="K3929" s="919">
        <v>1</v>
      </c>
      <c r="L3929" s="920">
        <f t="shared" si="397"/>
        <v>0</v>
      </c>
      <c r="M3929" s="920">
        <f t="shared" si="398"/>
        <v>0</v>
      </c>
      <c r="N3929" s="920">
        <f t="shared" si="399"/>
        <v>0</v>
      </c>
      <c r="O3929" s="918" t="str">
        <f t="shared" si="400"/>
        <v>Mar</v>
      </c>
      <c r="P3929" s="921">
        <f t="shared" si="401"/>
        <v>12</v>
      </c>
    </row>
    <row r="3930" spans="1:16" ht="15" hidden="1" customHeight="1">
      <c r="A3930" s="839">
        <v>64330611</v>
      </c>
      <c r="B3930" s="839">
        <v>2904</v>
      </c>
      <c r="C3930" s="906">
        <v>6451</v>
      </c>
      <c r="D3930" s="907">
        <v>46076</v>
      </c>
      <c r="E3930" s="839" t="s">
        <v>354</v>
      </c>
      <c r="F3930" s="839" t="s">
        <v>281</v>
      </c>
      <c r="G3930" s="916">
        <f>VLOOKUP($A3930,'Tech Litons'!$A:$I,8,FALSE)</f>
        <v>2.16E-3</v>
      </c>
      <c r="H3930" s="917">
        <f>VLOOKUP($A3930,'Tech Litons'!$A:$I,9,FALSE)</f>
        <v>210</v>
      </c>
      <c r="I3930" s="917" t="str">
        <f>VLOOKUP($A3930,'Tech Litons'!$A:$C,3,0)</f>
        <v>MG Sticks</v>
      </c>
      <c r="J3930" s="918" t="str">
        <f t="shared" si="396"/>
        <v>2904MG Sticks</v>
      </c>
      <c r="K3930" s="919">
        <v>1</v>
      </c>
      <c r="L3930" s="920">
        <f t="shared" si="397"/>
        <v>6451</v>
      </c>
      <c r="M3930" s="920">
        <f t="shared" si="398"/>
        <v>13.93416</v>
      </c>
      <c r="N3930" s="920">
        <f t="shared" si="399"/>
        <v>30.719047619047618</v>
      </c>
      <c r="O3930" s="918" t="str">
        <f t="shared" si="400"/>
        <v>Feb</v>
      </c>
      <c r="P3930" s="921">
        <f t="shared" si="401"/>
        <v>9</v>
      </c>
    </row>
    <row r="3931" spans="1:16" ht="15" hidden="1" customHeight="1">
      <c r="A3931" s="839">
        <v>64330611</v>
      </c>
      <c r="B3931" s="839">
        <v>2904</v>
      </c>
      <c r="C3931" s="906">
        <v>8190</v>
      </c>
      <c r="D3931" s="907">
        <v>46076</v>
      </c>
      <c r="E3931" s="839" t="s">
        <v>354</v>
      </c>
      <c r="F3931" s="839" t="s">
        <v>281</v>
      </c>
      <c r="G3931" s="916">
        <f>VLOOKUP($A3931,'Tech Litons'!$A:$I,8,FALSE)</f>
        <v>2.16E-3</v>
      </c>
      <c r="H3931" s="917">
        <f>VLOOKUP($A3931,'Tech Litons'!$A:$I,9,FALSE)</f>
        <v>210</v>
      </c>
      <c r="I3931" s="917" t="str">
        <f>VLOOKUP($A3931,'Tech Litons'!$A:$C,3,0)</f>
        <v>MG Sticks</v>
      </c>
      <c r="J3931" s="918" t="str">
        <f t="shared" si="396"/>
        <v>2904MG Sticks</v>
      </c>
      <c r="K3931" s="919">
        <v>1</v>
      </c>
      <c r="L3931" s="920">
        <f t="shared" si="397"/>
        <v>8190</v>
      </c>
      <c r="M3931" s="920">
        <f t="shared" si="398"/>
        <v>17.6904</v>
      </c>
      <c r="N3931" s="920">
        <f t="shared" si="399"/>
        <v>39</v>
      </c>
      <c r="O3931" s="918" t="str">
        <f t="shared" si="400"/>
        <v>Feb</v>
      </c>
      <c r="P3931" s="921">
        <f t="shared" si="401"/>
        <v>9</v>
      </c>
    </row>
    <row r="3932" spans="1:16" ht="15" hidden="1" customHeight="1">
      <c r="A3932" s="839">
        <v>64330611</v>
      </c>
      <c r="B3932" s="839">
        <v>2904</v>
      </c>
      <c r="C3932" s="906">
        <v>2159</v>
      </c>
      <c r="D3932" s="907">
        <v>46077</v>
      </c>
      <c r="E3932" s="839" t="s">
        <v>354</v>
      </c>
      <c r="F3932" s="839" t="s">
        <v>281</v>
      </c>
      <c r="G3932" s="916">
        <f>VLOOKUP($A3932,'Tech Litons'!$A:$I,8,FALSE)</f>
        <v>2.16E-3</v>
      </c>
      <c r="H3932" s="917">
        <f>VLOOKUP($A3932,'Tech Litons'!$A:$I,9,FALSE)</f>
        <v>210</v>
      </c>
      <c r="I3932" s="917" t="str">
        <f>VLOOKUP($A3932,'Tech Litons'!$A:$C,3,0)</f>
        <v>MG Sticks</v>
      </c>
      <c r="J3932" s="918" t="str">
        <f t="shared" si="396"/>
        <v>2904MG Sticks</v>
      </c>
      <c r="K3932" s="919">
        <v>1</v>
      </c>
      <c r="L3932" s="920">
        <f t="shared" si="397"/>
        <v>2159</v>
      </c>
      <c r="M3932" s="920">
        <f t="shared" si="398"/>
        <v>4.6634400000000005</v>
      </c>
      <c r="N3932" s="920">
        <f t="shared" si="399"/>
        <v>10.280952380952382</v>
      </c>
      <c r="O3932" s="918" t="str">
        <f t="shared" si="400"/>
        <v>Feb</v>
      </c>
      <c r="P3932" s="921">
        <f t="shared" si="401"/>
        <v>9</v>
      </c>
    </row>
    <row r="3933" spans="1:16" ht="15" hidden="1" customHeight="1">
      <c r="A3933" s="839">
        <v>64330611</v>
      </c>
      <c r="B3933" s="839">
        <v>2904</v>
      </c>
      <c r="C3933" s="906">
        <v>1974</v>
      </c>
      <c r="D3933" s="907">
        <v>46077</v>
      </c>
      <c r="E3933" s="839" t="s">
        <v>354</v>
      </c>
      <c r="F3933" s="839" t="s">
        <v>281</v>
      </c>
      <c r="G3933" s="916">
        <f>VLOOKUP($A3933,'Tech Litons'!$A:$I,8,FALSE)</f>
        <v>2.16E-3</v>
      </c>
      <c r="H3933" s="917">
        <f>VLOOKUP($A3933,'Tech Litons'!$A:$I,9,FALSE)</f>
        <v>210</v>
      </c>
      <c r="I3933" s="917" t="str">
        <f>VLOOKUP($A3933,'Tech Litons'!$A:$C,3,0)</f>
        <v>MG Sticks</v>
      </c>
      <c r="J3933" s="918" t="str">
        <f t="shared" si="396"/>
        <v>2904MG Sticks</v>
      </c>
      <c r="K3933" s="919">
        <v>1</v>
      </c>
      <c r="L3933" s="920">
        <f t="shared" si="397"/>
        <v>1974</v>
      </c>
      <c r="M3933" s="920">
        <f t="shared" si="398"/>
        <v>4.2638400000000001</v>
      </c>
      <c r="N3933" s="920">
        <f t="shared" si="399"/>
        <v>9.4</v>
      </c>
      <c r="O3933" s="918" t="str">
        <f t="shared" si="400"/>
        <v>Feb</v>
      </c>
      <c r="P3933" s="921">
        <f t="shared" si="401"/>
        <v>9</v>
      </c>
    </row>
    <row r="3934" spans="1:16" ht="15" hidden="1" customHeight="1">
      <c r="A3934" s="839">
        <v>64330611</v>
      </c>
      <c r="B3934" s="839">
        <v>2904</v>
      </c>
      <c r="C3934" s="906">
        <v>6509</v>
      </c>
      <c r="D3934" s="907">
        <v>46078</v>
      </c>
      <c r="E3934" s="839" t="s">
        <v>354</v>
      </c>
      <c r="F3934" s="839" t="s">
        <v>281</v>
      </c>
      <c r="G3934" s="916">
        <f>VLOOKUP($A3934,'Tech Litons'!$A:$I,8,FALSE)</f>
        <v>2.16E-3</v>
      </c>
      <c r="H3934" s="917">
        <f>VLOOKUP($A3934,'Tech Litons'!$A:$I,9,FALSE)</f>
        <v>210</v>
      </c>
      <c r="I3934" s="917" t="str">
        <f>VLOOKUP($A3934,'Tech Litons'!$A:$C,3,0)</f>
        <v>MG Sticks</v>
      </c>
      <c r="J3934" s="918" t="str">
        <f t="shared" si="396"/>
        <v>2904MG Sticks</v>
      </c>
      <c r="K3934" s="919">
        <v>1</v>
      </c>
      <c r="L3934" s="920">
        <f t="shared" si="397"/>
        <v>6509</v>
      </c>
      <c r="M3934" s="920">
        <f t="shared" si="398"/>
        <v>14.05944</v>
      </c>
      <c r="N3934" s="920">
        <f t="shared" si="399"/>
        <v>30.995238095238093</v>
      </c>
      <c r="O3934" s="918" t="str">
        <f t="shared" si="400"/>
        <v>Feb</v>
      </c>
      <c r="P3934" s="921">
        <f t="shared" si="401"/>
        <v>9</v>
      </c>
    </row>
    <row r="3935" spans="1:16" ht="15" hidden="1" customHeight="1">
      <c r="A3935" s="839">
        <v>64330611</v>
      </c>
      <c r="B3935" s="839">
        <v>2904</v>
      </c>
      <c r="C3935" s="906">
        <v>7140</v>
      </c>
      <c r="D3935" s="907">
        <v>46078</v>
      </c>
      <c r="E3935" s="839" t="s">
        <v>354</v>
      </c>
      <c r="F3935" s="839" t="s">
        <v>281</v>
      </c>
      <c r="G3935" s="916">
        <f>VLOOKUP($A3935,'Tech Litons'!$A:$I,8,FALSE)</f>
        <v>2.16E-3</v>
      </c>
      <c r="H3935" s="917">
        <f>VLOOKUP($A3935,'Tech Litons'!$A:$I,9,FALSE)</f>
        <v>210</v>
      </c>
      <c r="I3935" s="917" t="str">
        <f>VLOOKUP($A3935,'Tech Litons'!$A:$C,3,0)</f>
        <v>MG Sticks</v>
      </c>
      <c r="J3935" s="918" t="str">
        <f t="shared" si="396"/>
        <v>2904MG Sticks</v>
      </c>
      <c r="K3935" s="919">
        <v>1</v>
      </c>
      <c r="L3935" s="920">
        <f t="shared" si="397"/>
        <v>7140</v>
      </c>
      <c r="M3935" s="920">
        <f t="shared" si="398"/>
        <v>15.4224</v>
      </c>
      <c r="N3935" s="920">
        <f t="shared" si="399"/>
        <v>34</v>
      </c>
      <c r="O3935" s="918" t="str">
        <f t="shared" si="400"/>
        <v>Feb</v>
      </c>
      <c r="P3935" s="921">
        <f t="shared" si="401"/>
        <v>9</v>
      </c>
    </row>
    <row r="3936" spans="1:16" ht="15" hidden="1" customHeight="1">
      <c r="A3936" s="839">
        <v>64330611</v>
      </c>
      <c r="B3936" s="839">
        <v>2904</v>
      </c>
      <c r="C3936" s="906">
        <v>7749</v>
      </c>
      <c r="D3936" s="907">
        <v>46079</v>
      </c>
      <c r="E3936" s="839" t="s">
        <v>354</v>
      </c>
      <c r="F3936" s="839" t="s">
        <v>281</v>
      </c>
      <c r="G3936" s="916">
        <f>VLOOKUP($A3936,'Tech Litons'!$A:$I,8,FALSE)</f>
        <v>2.16E-3</v>
      </c>
      <c r="H3936" s="917">
        <f>VLOOKUP($A3936,'Tech Litons'!$A:$I,9,FALSE)</f>
        <v>210</v>
      </c>
      <c r="I3936" s="917" t="str">
        <f>VLOOKUP($A3936,'Tech Litons'!$A:$C,3,0)</f>
        <v>MG Sticks</v>
      </c>
      <c r="J3936" s="918" t="str">
        <f t="shared" si="396"/>
        <v>2904MG Sticks</v>
      </c>
      <c r="K3936" s="919">
        <v>1</v>
      </c>
      <c r="L3936" s="920">
        <f t="shared" si="397"/>
        <v>7749</v>
      </c>
      <c r="M3936" s="920">
        <f t="shared" si="398"/>
        <v>16.737839999999998</v>
      </c>
      <c r="N3936" s="920">
        <f t="shared" si="399"/>
        <v>36.9</v>
      </c>
      <c r="O3936" s="918" t="str">
        <f t="shared" si="400"/>
        <v>Feb</v>
      </c>
      <c r="P3936" s="921">
        <f t="shared" si="401"/>
        <v>9</v>
      </c>
    </row>
    <row r="3937" spans="1:16" ht="15" hidden="1" customHeight="1">
      <c r="A3937" s="839">
        <v>64330611</v>
      </c>
      <c r="B3937" s="839">
        <v>2904</v>
      </c>
      <c r="C3937" s="906">
        <v>7770</v>
      </c>
      <c r="D3937" s="907">
        <v>46079</v>
      </c>
      <c r="E3937" s="839" t="s">
        <v>354</v>
      </c>
      <c r="F3937" s="839" t="s">
        <v>281</v>
      </c>
      <c r="G3937" s="916">
        <f>VLOOKUP($A3937,'Tech Litons'!$A:$I,8,FALSE)</f>
        <v>2.16E-3</v>
      </c>
      <c r="H3937" s="917">
        <f>VLOOKUP($A3937,'Tech Litons'!$A:$I,9,FALSE)</f>
        <v>210</v>
      </c>
      <c r="I3937" s="917" t="str">
        <f>VLOOKUP($A3937,'Tech Litons'!$A:$C,3,0)</f>
        <v>MG Sticks</v>
      </c>
      <c r="J3937" s="918" t="str">
        <f t="shared" si="396"/>
        <v>2904MG Sticks</v>
      </c>
      <c r="K3937" s="919">
        <v>1</v>
      </c>
      <c r="L3937" s="920">
        <f t="shared" si="397"/>
        <v>7770</v>
      </c>
      <c r="M3937" s="920">
        <f t="shared" si="398"/>
        <v>16.783200000000001</v>
      </c>
      <c r="N3937" s="920">
        <f t="shared" si="399"/>
        <v>37</v>
      </c>
      <c r="O3937" s="918" t="str">
        <f t="shared" si="400"/>
        <v>Feb</v>
      </c>
      <c r="P3937" s="921">
        <f t="shared" si="401"/>
        <v>9</v>
      </c>
    </row>
    <row r="3938" spans="1:16" ht="15" hidden="1" customHeight="1">
      <c r="A3938" s="839">
        <v>64330611</v>
      </c>
      <c r="B3938" s="839">
        <v>2904</v>
      </c>
      <c r="C3938" s="906">
        <v>5819</v>
      </c>
      <c r="D3938" s="907">
        <v>46080</v>
      </c>
      <c r="E3938" s="839" t="s">
        <v>354</v>
      </c>
      <c r="F3938" s="839" t="s">
        <v>281</v>
      </c>
      <c r="G3938" s="916">
        <f>VLOOKUP($A3938,'Tech Litons'!$A:$I,8,FALSE)</f>
        <v>2.16E-3</v>
      </c>
      <c r="H3938" s="917">
        <f>VLOOKUP($A3938,'Tech Litons'!$A:$I,9,FALSE)</f>
        <v>210</v>
      </c>
      <c r="I3938" s="917" t="str">
        <f>VLOOKUP($A3938,'Tech Litons'!$A:$C,3,0)</f>
        <v>MG Sticks</v>
      </c>
      <c r="J3938" s="918" t="str">
        <f t="shared" si="396"/>
        <v>2904MG Sticks</v>
      </c>
      <c r="K3938" s="919">
        <v>1</v>
      </c>
      <c r="L3938" s="920">
        <f t="shared" si="397"/>
        <v>5819</v>
      </c>
      <c r="M3938" s="920">
        <f t="shared" si="398"/>
        <v>12.569039999999999</v>
      </c>
      <c r="N3938" s="920">
        <f t="shared" si="399"/>
        <v>27.709523809523809</v>
      </c>
      <c r="O3938" s="918" t="str">
        <f t="shared" si="400"/>
        <v>Feb</v>
      </c>
      <c r="P3938" s="921">
        <f t="shared" si="401"/>
        <v>9</v>
      </c>
    </row>
    <row r="3939" spans="1:16" ht="15" hidden="1" customHeight="1">
      <c r="A3939" s="839">
        <v>64330611</v>
      </c>
      <c r="B3939" s="839">
        <v>2904</v>
      </c>
      <c r="C3939" s="906">
        <v>2938</v>
      </c>
      <c r="D3939" s="907">
        <v>46080</v>
      </c>
      <c r="E3939" s="839" t="s">
        <v>354</v>
      </c>
      <c r="F3939" s="839" t="s">
        <v>281</v>
      </c>
      <c r="G3939" s="916">
        <f>VLOOKUP($A3939,'Tech Litons'!$A:$I,8,FALSE)</f>
        <v>2.16E-3</v>
      </c>
      <c r="H3939" s="917">
        <f>VLOOKUP($A3939,'Tech Litons'!$A:$I,9,FALSE)</f>
        <v>210</v>
      </c>
      <c r="I3939" s="917" t="str">
        <f>VLOOKUP($A3939,'Tech Litons'!$A:$C,3,0)</f>
        <v>MG Sticks</v>
      </c>
      <c r="J3939" s="918" t="str">
        <f t="shared" si="396"/>
        <v>2904MG Sticks</v>
      </c>
      <c r="K3939" s="919">
        <v>1</v>
      </c>
      <c r="L3939" s="920">
        <f t="shared" si="397"/>
        <v>2938</v>
      </c>
      <c r="M3939" s="920">
        <f t="shared" si="398"/>
        <v>6.3460799999999997</v>
      </c>
      <c r="N3939" s="920">
        <f t="shared" si="399"/>
        <v>13.990476190476191</v>
      </c>
      <c r="O3939" s="918" t="str">
        <f t="shared" si="400"/>
        <v>Feb</v>
      </c>
      <c r="P3939" s="921">
        <f t="shared" si="401"/>
        <v>9</v>
      </c>
    </row>
    <row r="3940" spans="1:16" ht="15" hidden="1" customHeight="1">
      <c r="A3940" s="839">
        <v>64330611</v>
      </c>
      <c r="B3940" s="839">
        <v>2904</v>
      </c>
      <c r="C3940" s="906">
        <v>7512</v>
      </c>
      <c r="D3940" s="907">
        <v>46081</v>
      </c>
      <c r="E3940" s="839" t="s">
        <v>354</v>
      </c>
      <c r="F3940" s="839" t="s">
        <v>281</v>
      </c>
      <c r="G3940" s="916">
        <f>VLOOKUP($A3940,'Tech Litons'!$A:$I,8,FALSE)</f>
        <v>2.16E-3</v>
      </c>
      <c r="H3940" s="917">
        <f>VLOOKUP($A3940,'Tech Litons'!$A:$I,9,FALSE)</f>
        <v>210</v>
      </c>
      <c r="I3940" s="917" t="str">
        <f>VLOOKUP($A3940,'Tech Litons'!$A:$C,3,0)</f>
        <v>MG Sticks</v>
      </c>
      <c r="J3940" s="918" t="str">
        <f t="shared" si="396"/>
        <v>2904MG Sticks</v>
      </c>
      <c r="K3940" s="919">
        <v>1</v>
      </c>
      <c r="L3940" s="920">
        <f t="shared" si="397"/>
        <v>7512</v>
      </c>
      <c r="M3940" s="920">
        <f t="shared" si="398"/>
        <v>16.225919999999999</v>
      </c>
      <c r="N3940" s="920">
        <f t="shared" si="399"/>
        <v>35.771428571428572</v>
      </c>
      <c r="O3940" s="918" t="str">
        <f t="shared" si="400"/>
        <v>Feb</v>
      </c>
      <c r="P3940" s="921">
        <f t="shared" si="401"/>
        <v>9</v>
      </c>
    </row>
    <row r="3941" spans="1:16" ht="15" hidden="1" customHeight="1">
      <c r="A3941" s="839">
        <v>64330611</v>
      </c>
      <c r="B3941" s="839">
        <v>2904</v>
      </c>
      <c r="C3941" s="906">
        <v>8607</v>
      </c>
      <c r="D3941" s="907">
        <v>46081</v>
      </c>
      <c r="E3941" s="839" t="s">
        <v>354</v>
      </c>
      <c r="F3941" s="839" t="s">
        <v>281</v>
      </c>
      <c r="G3941" s="916">
        <f>VLOOKUP($A3941,'Tech Litons'!$A:$I,8,FALSE)</f>
        <v>2.16E-3</v>
      </c>
      <c r="H3941" s="917">
        <f>VLOOKUP($A3941,'Tech Litons'!$A:$I,9,FALSE)</f>
        <v>210</v>
      </c>
      <c r="I3941" s="917" t="str">
        <f>VLOOKUP($A3941,'Tech Litons'!$A:$C,3,0)</f>
        <v>MG Sticks</v>
      </c>
      <c r="J3941" s="918" t="str">
        <f t="shared" si="396"/>
        <v>2904MG Sticks</v>
      </c>
      <c r="K3941" s="919">
        <v>1</v>
      </c>
      <c r="L3941" s="920">
        <f t="shared" si="397"/>
        <v>8607</v>
      </c>
      <c r="M3941" s="920">
        <f t="shared" si="398"/>
        <v>18.59112</v>
      </c>
      <c r="N3941" s="920">
        <f t="shared" si="399"/>
        <v>40.985714285714288</v>
      </c>
      <c r="O3941" s="918" t="str">
        <f t="shared" si="400"/>
        <v>Feb</v>
      </c>
      <c r="P3941" s="921">
        <f t="shared" si="401"/>
        <v>9</v>
      </c>
    </row>
    <row r="3942" spans="1:16" ht="15" hidden="1" customHeight="1">
      <c r="A3942" s="839">
        <v>64330611</v>
      </c>
      <c r="B3942" s="839">
        <v>2904</v>
      </c>
      <c r="C3942" s="906">
        <v>5670</v>
      </c>
      <c r="D3942" s="907">
        <v>46082</v>
      </c>
      <c r="E3942" s="839" t="s">
        <v>354</v>
      </c>
      <c r="F3942" s="839" t="s">
        <v>281</v>
      </c>
      <c r="G3942" s="916">
        <f>VLOOKUP($A3942,'Tech Litons'!$A:$I,8,FALSE)</f>
        <v>2.16E-3</v>
      </c>
      <c r="H3942" s="917">
        <f>VLOOKUP($A3942,'Tech Litons'!$A:$I,9,FALSE)</f>
        <v>210</v>
      </c>
      <c r="I3942" s="917" t="str">
        <f>VLOOKUP($A3942,'Tech Litons'!$A:$C,3,0)</f>
        <v>MG Sticks</v>
      </c>
      <c r="J3942" s="918" t="str">
        <f t="shared" si="396"/>
        <v>2904MG Sticks</v>
      </c>
      <c r="K3942" s="919">
        <v>1</v>
      </c>
      <c r="L3942" s="920">
        <f t="shared" si="397"/>
        <v>5670</v>
      </c>
      <c r="M3942" s="920">
        <f t="shared" si="398"/>
        <v>12.247199999999999</v>
      </c>
      <c r="N3942" s="920">
        <f t="shared" si="399"/>
        <v>27</v>
      </c>
      <c r="O3942" s="918" t="str">
        <f t="shared" si="400"/>
        <v>Mar</v>
      </c>
      <c r="P3942" s="921">
        <f t="shared" si="401"/>
        <v>10</v>
      </c>
    </row>
    <row r="3943" spans="1:16" ht="15" hidden="1" customHeight="1">
      <c r="A3943" s="839">
        <v>64330611</v>
      </c>
      <c r="B3943" s="839">
        <v>2904</v>
      </c>
      <c r="C3943" s="906">
        <v>8400</v>
      </c>
      <c r="D3943" s="907">
        <v>46082</v>
      </c>
      <c r="E3943" s="839" t="s">
        <v>354</v>
      </c>
      <c r="F3943" s="839" t="s">
        <v>281</v>
      </c>
      <c r="G3943" s="916">
        <f>VLOOKUP($A3943,'Tech Litons'!$A:$I,8,FALSE)</f>
        <v>2.16E-3</v>
      </c>
      <c r="H3943" s="917">
        <f>VLOOKUP($A3943,'Tech Litons'!$A:$I,9,FALSE)</f>
        <v>210</v>
      </c>
      <c r="I3943" s="917" t="str">
        <f>VLOOKUP($A3943,'Tech Litons'!$A:$C,3,0)</f>
        <v>MG Sticks</v>
      </c>
      <c r="J3943" s="918" t="str">
        <f t="shared" si="396"/>
        <v>2904MG Sticks</v>
      </c>
      <c r="K3943" s="919">
        <v>1</v>
      </c>
      <c r="L3943" s="920">
        <f t="shared" si="397"/>
        <v>8400</v>
      </c>
      <c r="M3943" s="920">
        <f t="shared" si="398"/>
        <v>18.144000000000002</v>
      </c>
      <c r="N3943" s="920">
        <f t="shared" si="399"/>
        <v>40</v>
      </c>
      <c r="O3943" s="918" t="str">
        <f t="shared" si="400"/>
        <v>Mar</v>
      </c>
      <c r="P3943" s="921">
        <f t="shared" si="401"/>
        <v>10</v>
      </c>
    </row>
    <row r="3944" spans="1:16" ht="15" hidden="1" customHeight="1">
      <c r="A3944" s="839">
        <v>64330611</v>
      </c>
      <c r="B3944" s="839">
        <v>2904</v>
      </c>
      <c r="C3944" s="906">
        <v>6154</v>
      </c>
      <c r="D3944" s="907">
        <v>46083</v>
      </c>
      <c r="E3944" s="839" t="s">
        <v>354</v>
      </c>
      <c r="F3944" s="839" t="s">
        <v>281</v>
      </c>
      <c r="G3944" s="916">
        <f>VLOOKUP($A3944,'Tech Litons'!$A:$I,8,FALSE)</f>
        <v>2.16E-3</v>
      </c>
      <c r="H3944" s="917">
        <f>VLOOKUP($A3944,'Tech Litons'!$A:$I,9,FALSE)</f>
        <v>210</v>
      </c>
      <c r="I3944" s="917" t="str">
        <f>VLOOKUP($A3944,'Tech Litons'!$A:$C,3,0)</f>
        <v>MG Sticks</v>
      </c>
      <c r="J3944" s="918" t="str">
        <f t="shared" si="396"/>
        <v>2904MG Sticks</v>
      </c>
      <c r="K3944" s="919">
        <v>1</v>
      </c>
      <c r="L3944" s="920">
        <f t="shared" si="397"/>
        <v>6154</v>
      </c>
      <c r="M3944" s="920">
        <f t="shared" si="398"/>
        <v>13.29264</v>
      </c>
      <c r="N3944" s="920">
        <f t="shared" si="399"/>
        <v>29.304761904761904</v>
      </c>
      <c r="O3944" s="918" t="str">
        <f t="shared" si="400"/>
        <v>Mar</v>
      </c>
      <c r="P3944" s="921">
        <f t="shared" si="401"/>
        <v>10</v>
      </c>
    </row>
    <row r="3945" spans="1:16" ht="15" hidden="1" customHeight="1">
      <c r="A3945" s="839">
        <v>64330611</v>
      </c>
      <c r="B3945" s="839">
        <v>2904</v>
      </c>
      <c r="C3945" s="906">
        <v>2230</v>
      </c>
      <c r="D3945" s="907">
        <v>46083</v>
      </c>
      <c r="E3945" s="839" t="s">
        <v>354</v>
      </c>
      <c r="F3945" s="839" t="s">
        <v>281</v>
      </c>
      <c r="G3945" s="916">
        <f>VLOOKUP($A3945,'Tech Litons'!$A:$I,8,FALSE)</f>
        <v>2.16E-3</v>
      </c>
      <c r="H3945" s="917">
        <f>VLOOKUP($A3945,'Tech Litons'!$A:$I,9,FALSE)</f>
        <v>210</v>
      </c>
      <c r="I3945" s="917" t="str">
        <f>VLOOKUP($A3945,'Tech Litons'!$A:$C,3,0)</f>
        <v>MG Sticks</v>
      </c>
      <c r="J3945" s="918" t="str">
        <f t="shared" si="396"/>
        <v>2904MG Sticks</v>
      </c>
      <c r="K3945" s="919">
        <v>1</v>
      </c>
      <c r="L3945" s="920">
        <f t="shared" si="397"/>
        <v>2230</v>
      </c>
      <c r="M3945" s="920">
        <f t="shared" si="398"/>
        <v>4.8167999999999997</v>
      </c>
      <c r="N3945" s="920">
        <f t="shared" si="399"/>
        <v>10.619047619047619</v>
      </c>
      <c r="O3945" s="918" t="str">
        <f t="shared" si="400"/>
        <v>Mar</v>
      </c>
      <c r="P3945" s="921">
        <f t="shared" si="401"/>
        <v>10</v>
      </c>
    </row>
    <row r="3946" spans="1:16" ht="15" hidden="1" customHeight="1">
      <c r="A3946" s="839">
        <v>64330612</v>
      </c>
      <c r="B3946" s="839">
        <v>2904</v>
      </c>
      <c r="C3946" s="906">
        <v>2061</v>
      </c>
      <c r="D3946" s="907">
        <v>46101</v>
      </c>
      <c r="E3946" s="839" t="s">
        <v>506</v>
      </c>
      <c r="F3946" s="839" t="s">
        <v>281</v>
      </c>
      <c r="G3946" s="916">
        <f>VLOOKUP($A3946,'Tech Litons'!$A:$I,8,FALSE)</f>
        <v>3.2400000000000003E-3</v>
      </c>
      <c r="H3946" s="917">
        <f>VLOOKUP($A3946,'Tech Litons'!$A:$I,9,FALSE)</f>
        <v>143</v>
      </c>
      <c r="I3946" s="917" t="str">
        <f>VLOOKUP($A3946,'Tech Litons'!$A:$C,3,0)</f>
        <v>MG Sticks</v>
      </c>
      <c r="J3946" s="918" t="str">
        <f t="shared" si="396"/>
        <v>2904MG Sticks</v>
      </c>
      <c r="K3946" s="919">
        <v>1</v>
      </c>
      <c r="L3946" s="920">
        <f t="shared" si="397"/>
        <v>2061</v>
      </c>
      <c r="M3946" s="920">
        <f t="shared" si="398"/>
        <v>6.6776400000000002</v>
      </c>
      <c r="N3946" s="920">
        <f t="shared" si="399"/>
        <v>14.412587412587413</v>
      </c>
      <c r="O3946" s="918" t="str">
        <f t="shared" si="400"/>
        <v>Mar</v>
      </c>
      <c r="P3946" s="921">
        <f t="shared" si="401"/>
        <v>12</v>
      </c>
    </row>
    <row r="3947" spans="1:16" ht="15" hidden="1" customHeight="1">
      <c r="A3947" s="839">
        <v>64330612</v>
      </c>
      <c r="B3947" s="839">
        <v>2904</v>
      </c>
      <c r="C3947" s="906">
        <v>5434</v>
      </c>
      <c r="D3947" s="907">
        <v>46101</v>
      </c>
      <c r="E3947" s="839" t="s">
        <v>506</v>
      </c>
      <c r="F3947" s="839" t="s">
        <v>281</v>
      </c>
      <c r="G3947" s="916">
        <f>VLOOKUP($A3947,'Tech Litons'!$A:$I,8,FALSE)</f>
        <v>3.2400000000000003E-3</v>
      </c>
      <c r="H3947" s="917">
        <f>VLOOKUP($A3947,'Tech Litons'!$A:$I,9,FALSE)</f>
        <v>143</v>
      </c>
      <c r="I3947" s="917" t="str">
        <f>VLOOKUP($A3947,'Tech Litons'!$A:$C,3,0)</f>
        <v>MG Sticks</v>
      </c>
      <c r="J3947" s="918" t="str">
        <f t="shared" si="396"/>
        <v>2904MG Sticks</v>
      </c>
      <c r="K3947" s="919">
        <v>1</v>
      </c>
      <c r="L3947" s="920">
        <f t="shared" si="397"/>
        <v>5434</v>
      </c>
      <c r="M3947" s="920">
        <f t="shared" si="398"/>
        <v>17.606160000000003</v>
      </c>
      <c r="N3947" s="920">
        <f t="shared" si="399"/>
        <v>38</v>
      </c>
      <c r="O3947" s="918" t="str">
        <f t="shared" si="400"/>
        <v>Mar</v>
      </c>
      <c r="P3947" s="921">
        <f t="shared" si="401"/>
        <v>12</v>
      </c>
    </row>
    <row r="3948" spans="1:16" ht="15" hidden="1" customHeight="1">
      <c r="A3948" s="839">
        <v>64330612</v>
      </c>
      <c r="B3948" s="839">
        <v>2904</v>
      </c>
      <c r="C3948" s="906">
        <v>4105</v>
      </c>
      <c r="D3948" s="907">
        <v>46102</v>
      </c>
      <c r="E3948" s="839" t="s">
        <v>506</v>
      </c>
      <c r="F3948" s="839" t="s">
        <v>281</v>
      </c>
      <c r="G3948" s="916">
        <f>VLOOKUP($A3948,'Tech Litons'!$A:$I,8,FALSE)</f>
        <v>3.2400000000000003E-3</v>
      </c>
      <c r="H3948" s="917">
        <f>VLOOKUP($A3948,'Tech Litons'!$A:$I,9,FALSE)</f>
        <v>143</v>
      </c>
      <c r="I3948" s="917" t="str">
        <f>VLOOKUP($A3948,'Tech Litons'!$A:$C,3,0)</f>
        <v>MG Sticks</v>
      </c>
      <c r="J3948" s="918" t="str">
        <f t="shared" si="396"/>
        <v>2904MG Sticks</v>
      </c>
      <c r="K3948" s="919">
        <v>1</v>
      </c>
      <c r="L3948" s="920">
        <f t="shared" si="397"/>
        <v>4105</v>
      </c>
      <c r="M3948" s="920">
        <f t="shared" si="398"/>
        <v>13.3002</v>
      </c>
      <c r="N3948" s="920">
        <f t="shared" si="399"/>
        <v>28.706293706293707</v>
      </c>
      <c r="O3948" s="918" t="str">
        <f t="shared" si="400"/>
        <v>Mar</v>
      </c>
      <c r="P3948" s="921">
        <f t="shared" si="401"/>
        <v>12</v>
      </c>
    </row>
    <row r="3949" spans="1:16" ht="15" hidden="1" customHeight="1">
      <c r="A3949" s="839">
        <v>64330612</v>
      </c>
      <c r="B3949" s="839">
        <v>2904</v>
      </c>
      <c r="C3949" s="906">
        <v>4955</v>
      </c>
      <c r="D3949" s="907">
        <v>46102</v>
      </c>
      <c r="E3949" s="839" t="s">
        <v>506</v>
      </c>
      <c r="F3949" s="839" t="s">
        <v>281</v>
      </c>
      <c r="G3949" s="916">
        <f>VLOOKUP($A3949,'Tech Litons'!$A:$I,8,FALSE)</f>
        <v>3.2400000000000003E-3</v>
      </c>
      <c r="H3949" s="917">
        <f>VLOOKUP($A3949,'Tech Litons'!$A:$I,9,FALSE)</f>
        <v>143</v>
      </c>
      <c r="I3949" s="917" t="str">
        <f>VLOOKUP($A3949,'Tech Litons'!$A:$C,3,0)</f>
        <v>MG Sticks</v>
      </c>
      <c r="J3949" s="918" t="str">
        <f t="shared" si="396"/>
        <v>2904MG Sticks</v>
      </c>
      <c r="K3949" s="919">
        <v>1</v>
      </c>
      <c r="L3949" s="920">
        <f t="shared" si="397"/>
        <v>4955</v>
      </c>
      <c r="M3949" s="920">
        <f t="shared" si="398"/>
        <v>16.054200000000002</v>
      </c>
      <c r="N3949" s="920">
        <f t="shared" si="399"/>
        <v>34.650349650349654</v>
      </c>
      <c r="O3949" s="918" t="str">
        <f t="shared" si="400"/>
        <v>Mar</v>
      </c>
      <c r="P3949" s="921">
        <f t="shared" si="401"/>
        <v>12</v>
      </c>
    </row>
    <row r="3950" spans="1:16" ht="15" hidden="1" customHeight="1">
      <c r="A3950" s="839">
        <v>64330612</v>
      </c>
      <c r="B3950" s="839">
        <v>2904</v>
      </c>
      <c r="C3950" s="906">
        <v>3922</v>
      </c>
      <c r="D3950" s="907">
        <v>46103</v>
      </c>
      <c r="E3950" s="839" t="s">
        <v>506</v>
      </c>
      <c r="F3950" s="839" t="s">
        <v>281</v>
      </c>
      <c r="G3950" s="916">
        <f>VLOOKUP($A3950,'Tech Litons'!$A:$I,8,FALSE)</f>
        <v>3.2400000000000003E-3</v>
      </c>
      <c r="H3950" s="917">
        <f>VLOOKUP($A3950,'Tech Litons'!$A:$I,9,FALSE)</f>
        <v>143</v>
      </c>
      <c r="I3950" s="917" t="str">
        <f>VLOOKUP($A3950,'Tech Litons'!$A:$C,3,0)</f>
        <v>MG Sticks</v>
      </c>
      <c r="J3950" s="918" t="str">
        <f t="shared" si="396"/>
        <v>2904MG Sticks</v>
      </c>
      <c r="K3950" s="919">
        <v>1</v>
      </c>
      <c r="L3950" s="920">
        <f t="shared" si="397"/>
        <v>3922</v>
      </c>
      <c r="M3950" s="920">
        <f t="shared" si="398"/>
        <v>12.707280000000001</v>
      </c>
      <c r="N3950" s="920">
        <f t="shared" si="399"/>
        <v>27.426573426573427</v>
      </c>
      <c r="O3950" s="918" t="str">
        <f t="shared" si="400"/>
        <v>Mar</v>
      </c>
      <c r="P3950" s="921">
        <f t="shared" si="401"/>
        <v>13</v>
      </c>
    </row>
    <row r="3951" spans="1:16" ht="15" hidden="1" customHeight="1">
      <c r="A3951" s="839">
        <v>64330612</v>
      </c>
      <c r="B3951" s="839">
        <v>2904</v>
      </c>
      <c r="C3951" s="906">
        <v>0</v>
      </c>
      <c r="D3951" s="907">
        <v>46104</v>
      </c>
      <c r="E3951" s="839" t="s">
        <v>506</v>
      </c>
      <c r="F3951" s="839" t="s">
        <v>281</v>
      </c>
      <c r="G3951" s="916">
        <f>VLOOKUP($A3951,'Tech Litons'!$A:$I,8,FALSE)</f>
        <v>3.2400000000000003E-3</v>
      </c>
      <c r="H3951" s="917">
        <f>VLOOKUP($A3951,'Tech Litons'!$A:$I,9,FALSE)</f>
        <v>143</v>
      </c>
      <c r="I3951" s="917" t="str">
        <f>VLOOKUP($A3951,'Tech Litons'!$A:$C,3,0)</f>
        <v>MG Sticks</v>
      </c>
      <c r="J3951" s="918" t="str">
        <f t="shared" si="396"/>
        <v>2904MG Sticks</v>
      </c>
      <c r="K3951" s="919">
        <v>1</v>
      </c>
      <c r="L3951" s="920">
        <f t="shared" si="397"/>
        <v>0</v>
      </c>
      <c r="M3951" s="920">
        <f t="shared" si="398"/>
        <v>0</v>
      </c>
      <c r="N3951" s="920">
        <f t="shared" si="399"/>
        <v>0</v>
      </c>
      <c r="O3951" s="918" t="str">
        <f t="shared" si="400"/>
        <v>Mar</v>
      </c>
      <c r="P3951" s="921">
        <f t="shared" si="401"/>
        <v>13</v>
      </c>
    </row>
    <row r="3952" spans="1:16" ht="15" hidden="1" customHeight="1">
      <c r="A3952" s="839">
        <v>64331550</v>
      </c>
      <c r="B3952" s="839">
        <v>2904</v>
      </c>
      <c r="C3952" s="906">
        <v>9083</v>
      </c>
      <c r="D3952" s="907">
        <v>46082</v>
      </c>
      <c r="E3952" s="839" t="s">
        <v>461</v>
      </c>
      <c r="F3952" s="839" t="s">
        <v>283</v>
      </c>
      <c r="G3952" s="916">
        <f>VLOOKUP($A3952,'Tech Litons'!$A:$I,8,FALSE)</f>
        <v>1.08E-3</v>
      </c>
      <c r="H3952" s="917">
        <f>VLOOKUP($A3952,'Tech Litons'!$A:$I,9,FALSE)</f>
        <v>493</v>
      </c>
      <c r="I3952" s="917" t="str">
        <f>VLOOKUP($A3952,'Tech Litons'!$A:$C,3,0)</f>
        <v>MG Sticks</v>
      </c>
      <c r="J3952" s="918" t="str">
        <f t="shared" si="396"/>
        <v>2904MG Sticks</v>
      </c>
      <c r="K3952" s="919">
        <v>1</v>
      </c>
      <c r="L3952" s="920">
        <f t="shared" si="397"/>
        <v>9083</v>
      </c>
      <c r="M3952" s="920">
        <f t="shared" si="398"/>
        <v>9.8096399999999999</v>
      </c>
      <c r="N3952" s="920">
        <f t="shared" si="399"/>
        <v>18.42393509127789</v>
      </c>
      <c r="O3952" s="918" t="str">
        <f t="shared" si="400"/>
        <v>Mar</v>
      </c>
      <c r="P3952" s="921">
        <f t="shared" si="401"/>
        <v>10</v>
      </c>
    </row>
    <row r="3953" spans="1:16" ht="15" hidden="1" customHeight="1">
      <c r="A3953" s="839">
        <v>64331550</v>
      </c>
      <c r="B3953" s="839">
        <v>2904</v>
      </c>
      <c r="C3953" s="906">
        <v>7693</v>
      </c>
      <c r="D3953" s="907">
        <v>46083</v>
      </c>
      <c r="E3953" s="839" t="s">
        <v>461</v>
      </c>
      <c r="F3953" s="839" t="s">
        <v>283</v>
      </c>
      <c r="G3953" s="916">
        <f>VLOOKUP($A3953,'Tech Litons'!$A:$I,8,FALSE)</f>
        <v>1.08E-3</v>
      </c>
      <c r="H3953" s="917">
        <f>VLOOKUP($A3953,'Tech Litons'!$A:$I,9,FALSE)</f>
        <v>493</v>
      </c>
      <c r="I3953" s="917" t="str">
        <f>VLOOKUP($A3953,'Tech Litons'!$A:$C,3,0)</f>
        <v>MG Sticks</v>
      </c>
      <c r="J3953" s="918" t="str">
        <f t="shared" si="396"/>
        <v>2904MG Sticks</v>
      </c>
      <c r="K3953" s="919">
        <v>1</v>
      </c>
      <c r="L3953" s="920">
        <f t="shared" si="397"/>
        <v>7693</v>
      </c>
      <c r="M3953" s="920">
        <f t="shared" si="398"/>
        <v>8.3084400000000009</v>
      </c>
      <c r="N3953" s="920">
        <f t="shared" si="399"/>
        <v>15.604462474645031</v>
      </c>
      <c r="O3953" s="918" t="str">
        <f t="shared" si="400"/>
        <v>Mar</v>
      </c>
      <c r="P3953" s="921">
        <f t="shared" si="401"/>
        <v>10</v>
      </c>
    </row>
    <row r="3954" spans="1:16" ht="15" hidden="1" customHeight="1">
      <c r="A3954" s="839">
        <v>64331550</v>
      </c>
      <c r="B3954" s="839">
        <v>2904</v>
      </c>
      <c r="C3954" s="906">
        <v>11033</v>
      </c>
      <c r="D3954" s="907">
        <v>46084</v>
      </c>
      <c r="E3954" s="839" t="s">
        <v>461</v>
      </c>
      <c r="F3954" s="839" t="s">
        <v>283</v>
      </c>
      <c r="G3954" s="916">
        <f>VLOOKUP($A3954,'Tech Litons'!$A:$I,8,FALSE)</f>
        <v>1.08E-3</v>
      </c>
      <c r="H3954" s="917">
        <f>VLOOKUP($A3954,'Tech Litons'!$A:$I,9,FALSE)</f>
        <v>493</v>
      </c>
      <c r="I3954" s="917" t="str">
        <f>VLOOKUP($A3954,'Tech Litons'!$A:$C,3,0)</f>
        <v>MG Sticks</v>
      </c>
      <c r="J3954" s="918" t="str">
        <f t="shared" ref="J3954:J4017" si="402">B3954&amp;I3954</f>
        <v>2904MG Sticks</v>
      </c>
      <c r="K3954" s="919">
        <v>1</v>
      </c>
      <c r="L3954" s="920">
        <f t="shared" ref="L3954:L4017" si="403">C3954*$K3954</f>
        <v>11033</v>
      </c>
      <c r="M3954" s="920">
        <f t="shared" ref="M3954:M4017" si="404">L3954*G3954</f>
        <v>11.91564</v>
      </c>
      <c r="N3954" s="920">
        <f t="shared" ref="N3954:N4017" si="405">L3954/H3954</f>
        <v>22.379310344827587</v>
      </c>
      <c r="O3954" s="918" t="str">
        <f t="shared" ref="O3954:O4017" si="406">TEXT(D3954,"MMM")</f>
        <v>Mar</v>
      </c>
      <c r="P3954" s="921">
        <f t="shared" ref="P3954:P4017" si="407">WEEKNUM(D3954)</f>
        <v>10</v>
      </c>
    </row>
    <row r="3955" spans="1:16" ht="15" hidden="1" customHeight="1">
      <c r="A3955" s="839">
        <v>64331550</v>
      </c>
      <c r="B3955" s="839">
        <v>2904</v>
      </c>
      <c r="C3955" s="906">
        <v>9631</v>
      </c>
      <c r="D3955" s="907">
        <v>46085</v>
      </c>
      <c r="E3955" s="839" t="s">
        <v>461</v>
      </c>
      <c r="F3955" s="839" t="s">
        <v>283</v>
      </c>
      <c r="G3955" s="916">
        <f>VLOOKUP($A3955,'Tech Litons'!$A:$I,8,FALSE)</f>
        <v>1.08E-3</v>
      </c>
      <c r="H3955" s="917">
        <f>VLOOKUP($A3955,'Tech Litons'!$A:$I,9,FALSE)</f>
        <v>493</v>
      </c>
      <c r="I3955" s="917" t="str">
        <f>VLOOKUP($A3955,'Tech Litons'!$A:$C,3,0)</f>
        <v>MG Sticks</v>
      </c>
      <c r="J3955" s="918" t="str">
        <f t="shared" si="402"/>
        <v>2904MG Sticks</v>
      </c>
      <c r="K3955" s="919">
        <v>1</v>
      </c>
      <c r="L3955" s="920">
        <f t="shared" si="403"/>
        <v>9631</v>
      </c>
      <c r="M3955" s="920">
        <f t="shared" si="404"/>
        <v>10.401479999999999</v>
      </c>
      <c r="N3955" s="920">
        <f t="shared" si="405"/>
        <v>19.535496957403652</v>
      </c>
      <c r="O3955" s="918" t="str">
        <f t="shared" si="406"/>
        <v>Mar</v>
      </c>
      <c r="P3955" s="921">
        <f t="shared" si="407"/>
        <v>10</v>
      </c>
    </row>
    <row r="3956" spans="1:16" ht="15" hidden="1" customHeight="1">
      <c r="A3956" s="839">
        <v>64331550</v>
      </c>
      <c r="B3956" s="839">
        <v>2904</v>
      </c>
      <c r="C3956" s="906">
        <v>15277</v>
      </c>
      <c r="D3956" s="907">
        <v>46085</v>
      </c>
      <c r="E3956" s="839" t="s">
        <v>461</v>
      </c>
      <c r="F3956" s="839" t="s">
        <v>283</v>
      </c>
      <c r="G3956" s="916">
        <f>VLOOKUP($A3956,'Tech Litons'!$A:$I,8,FALSE)</f>
        <v>1.08E-3</v>
      </c>
      <c r="H3956" s="917">
        <f>VLOOKUP($A3956,'Tech Litons'!$A:$I,9,FALSE)</f>
        <v>493</v>
      </c>
      <c r="I3956" s="917" t="str">
        <f>VLOOKUP($A3956,'Tech Litons'!$A:$C,3,0)</f>
        <v>MG Sticks</v>
      </c>
      <c r="J3956" s="918" t="str">
        <f t="shared" si="402"/>
        <v>2904MG Sticks</v>
      </c>
      <c r="K3956" s="919">
        <v>1</v>
      </c>
      <c r="L3956" s="920">
        <f t="shared" si="403"/>
        <v>15277</v>
      </c>
      <c r="M3956" s="920">
        <f t="shared" si="404"/>
        <v>16.49916</v>
      </c>
      <c r="N3956" s="920">
        <f t="shared" si="405"/>
        <v>30.987829614604461</v>
      </c>
      <c r="O3956" s="918" t="str">
        <f t="shared" si="406"/>
        <v>Mar</v>
      </c>
      <c r="P3956" s="921">
        <f t="shared" si="407"/>
        <v>10</v>
      </c>
    </row>
    <row r="3957" spans="1:16" ht="15" hidden="1" customHeight="1">
      <c r="A3957" s="839">
        <v>64331550</v>
      </c>
      <c r="B3957" s="839">
        <v>2904</v>
      </c>
      <c r="C3957" s="906">
        <v>10176</v>
      </c>
      <c r="D3957" s="907">
        <v>46086</v>
      </c>
      <c r="E3957" s="839" t="s">
        <v>461</v>
      </c>
      <c r="F3957" s="839" t="s">
        <v>283</v>
      </c>
      <c r="G3957" s="916">
        <f>VLOOKUP($A3957,'Tech Litons'!$A:$I,8,FALSE)</f>
        <v>1.08E-3</v>
      </c>
      <c r="H3957" s="917">
        <f>VLOOKUP($A3957,'Tech Litons'!$A:$I,9,FALSE)</f>
        <v>493</v>
      </c>
      <c r="I3957" s="917" t="str">
        <f>VLOOKUP($A3957,'Tech Litons'!$A:$C,3,0)</f>
        <v>MG Sticks</v>
      </c>
      <c r="J3957" s="918" t="str">
        <f t="shared" si="402"/>
        <v>2904MG Sticks</v>
      </c>
      <c r="K3957" s="919">
        <v>1</v>
      </c>
      <c r="L3957" s="920">
        <f t="shared" si="403"/>
        <v>10176</v>
      </c>
      <c r="M3957" s="920">
        <f t="shared" si="404"/>
        <v>10.990080000000001</v>
      </c>
      <c r="N3957" s="920">
        <f t="shared" si="405"/>
        <v>20.640973630831642</v>
      </c>
      <c r="O3957" s="918" t="str">
        <f t="shared" si="406"/>
        <v>Mar</v>
      </c>
      <c r="P3957" s="921">
        <f t="shared" si="407"/>
        <v>10</v>
      </c>
    </row>
    <row r="3958" spans="1:16" ht="15" hidden="1" customHeight="1">
      <c r="A3958" s="839">
        <v>64331550</v>
      </c>
      <c r="B3958" s="839">
        <v>2904</v>
      </c>
      <c r="C3958" s="906">
        <v>3336</v>
      </c>
      <c r="D3958" s="907">
        <v>46086</v>
      </c>
      <c r="E3958" s="839" t="s">
        <v>461</v>
      </c>
      <c r="F3958" s="839" t="s">
        <v>283</v>
      </c>
      <c r="G3958" s="916">
        <f>VLOOKUP($A3958,'Tech Litons'!$A:$I,8,FALSE)</f>
        <v>1.08E-3</v>
      </c>
      <c r="H3958" s="917">
        <f>VLOOKUP($A3958,'Tech Litons'!$A:$I,9,FALSE)</f>
        <v>493</v>
      </c>
      <c r="I3958" s="917" t="str">
        <f>VLOOKUP($A3958,'Tech Litons'!$A:$C,3,0)</f>
        <v>MG Sticks</v>
      </c>
      <c r="J3958" s="918" t="str">
        <f t="shared" si="402"/>
        <v>2904MG Sticks</v>
      </c>
      <c r="K3958" s="919">
        <v>1</v>
      </c>
      <c r="L3958" s="920">
        <f t="shared" si="403"/>
        <v>3336</v>
      </c>
      <c r="M3958" s="920">
        <f t="shared" si="404"/>
        <v>3.6028799999999999</v>
      </c>
      <c r="N3958" s="920">
        <f t="shared" si="405"/>
        <v>6.7667342799188637</v>
      </c>
      <c r="O3958" s="918" t="str">
        <f t="shared" si="406"/>
        <v>Mar</v>
      </c>
      <c r="P3958" s="921">
        <f t="shared" si="407"/>
        <v>10</v>
      </c>
    </row>
    <row r="3959" spans="1:16" ht="15" hidden="1" customHeight="1">
      <c r="A3959" s="839">
        <v>64331550</v>
      </c>
      <c r="B3959" s="839">
        <v>2904</v>
      </c>
      <c r="C3959" s="906">
        <v>10317</v>
      </c>
      <c r="D3959" s="907">
        <v>46087</v>
      </c>
      <c r="E3959" s="839" t="s">
        <v>461</v>
      </c>
      <c r="F3959" s="839" t="s">
        <v>283</v>
      </c>
      <c r="G3959" s="916">
        <f>VLOOKUP($A3959,'Tech Litons'!$A:$I,8,FALSE)</f>
        <v>1.08E-3</v>
      </c>
      <c r="H3959" s="917">
        <f>VLOOKUP($A3959,'Tech Litons'!$A:$I,9,FALSE)</f>
        <v>493</v>
      </c>
      <c r="I3959" s="917" t="str">
        <f>VLOOKUP($A3959,'Tech Litons'!$A:$C,3,0)</f>
        <v>MG Sticks</v>
      </c>
      <c r="J3959" s="918" t="str">
        <f t="shared" si="402"/>
        <v>2904MG Sticks</v>
      </c>
      <c r="K3959" s="919">
        <v>1</v>
      </c>
      <c r="L3959" s="920">
        <f t="shared" si="403"/>
        <v>10317</v>
      </c>
      <c r="M3959" s="920">
        <f t="shared" si="404"/>
        <v>11.14236</v>
      </c>
      <c r="N3959" s="920">
        <f t="shared" si="405"/>
        <v>20.926977687626774</v>
      </c>
      <c r="O3959" s="918" t="str">
        <f t="shared" si="406"/>
        <v>Mar</v>
      </c>
      <c r="P3959" s="921">
        <f t="shared" si="407"/>
        <v>10</v>
      </c>
    </row>
    <row r="3960" spans="1:16" ht="15" hidden="1" customHeight="1">
      <c r="A3960" s="839">
        <v>64331550</v>
      </c>
      <c r="B3960" s="839">
        <v>2904</v>
      </c>
      <c r="C3960" s="906">
        <v>12685</v>
      </c>
      <c r="D3960" s="907">
        <v>46087</v>
      </c>
      <c r="E3960" s="839" t="s">
        <v>461</v>
      </c>
      <c r="F3960" s="839" t="s">
        <v>283</v>
      </c>
      <c r="G3960" s="916">
        <f>VLOOKUP($A3960,'Tech Litons'!$A:$I,8,FALSE)</f>
        <v>1.08E-3</v>
      </c>
      <c r="H3960" s="917">
        <f>VLOOKUP($A3960,'Tech Litons'!$A:$I,9,FALSE)</f>
        <v>493</v>
      </c>
      <c r="I3960" s="917" t="str">
        <f>VLOOKUP($A3960,'Tech Litons'!$A:$C,3,0)</f>
        <v>MG Sticks</v>
      </c>
      <c r="J3960" s="918" t="str">
        <f t="shared" si="402"/>
        <v>2904MG Sticks</v>
      </c>
      <c r="K3960" s="919">
        <v>1</v>
      </c>
      <c r="L3960" s="920">
        <f t="shared" si="403"/>
        <v>12685</v>
      </c>
      <c r="M3960" s="920">
        <f t="shared" si="404"/>
        <v>13.6998</v>
      </c>
      <c r="N3960" s="920">
        <f t="shared" si="405"/>
        <v>25.730223123732252</v>
      </c>
      <c r="O3960" s="918" t="str">
        <f t="shared" si="406"/>
        <v>Mar</v>
      </c>
      <c r="P3960" s="921">
        <f t="shared" si="407"/>
        <v>10</v>
      </c>
    </row>
    <row r="3961" spans="1:16" ht="15" hidden="1" customHeight="1">
      <c r="A3961" s="839">
        <v>64331550</v>
      </c>
      <c r="B3961" s="839">
        <v>2904</v>
      </c>
      <c r="C3961" s="906">
        <v>14670</v>
      </c>
      <c r="D3961" s="907">
        <v>46088</v>
      </c>
      <c r="E3961" s="839" t="s">
        <v>461</v>
      </c>
      <c r="F3961" s="839" t="s">
        <v>283</v>
      </c>
      <c r="G3961" s="916">
        <f>VLOOKUP($A3961,'Tech Litons'!$A:$I,8,FALSE)</f>
        <v>1.08E-3</v>
      </c>
      <c r="H3961" s="917">
        <f>VLOOKUP($A3961,'Tech Litons'!$A:$I,9,FALSE)</f>
        <v>493</v>
      </c>
      <c r="I3961" s="917" t="str">
        <f>VLOOKUP($A3961,'Tech Litons'!$A:$C,3,0)</f>
        <v>MG Sticks</v>
      </c>
      <c r="J3961" s="918" t="str">
        <f t="shared" si="402"/>
        <v>2904MG Sticks</v>
      </c>
      <c r="K3961" s="919">
        <v>1</v>
      </c>
      <c r="L3961" s="920">
        <f t="shared" si="403"/>
        <v>14670</v>
      </c>
      <c r="M3961" s="920">
        <f t="shared" si="404"/>
        <v>15.8436</v>
      </c>
      <c r="N3961" s="920">
        <f t="shared" si="405"/>
        <v>29.756592292089248</v>
      </c>
      <c r="O3961" s="918" t="str">
        <f t="shared" si="406"/>
        <v>Mar</v>
      </c>
      <c r="P3961" s="921">
        <f t="shared" si="407"/>
        <v>10</v>
      </c>
    </row>
    <row r="3962" spans="1:16" ht="15" hidden="1" customHeight="1">
      <c r="A3962" s="839">
        <v>64331550</v>
      </c>
      <c r="B3962" s="839">
        <v>2904</v>
      </c>
      <c r="C3962" s="906">
        <v>15981</v>
      </c>
      <c r="D3962" s="907">
        <v>46088</v>
      </c>
      <c r="E3962" s="839" t="s">
        <v>461</v>
      </c>
      <c r="F3962" s="839" t="s">
        <v>283</v>
      </c>
      <c r="G3962" s="916">
        <f>VLOOKUP($A3962,'Tech Litons'!$A:$I,8,FALSE)</f>
        <v>1.08E-3</v>
      </c>
      <c r="H3962" s="917">
        <f>VLOOKUP($A3962,'Tech Litons'!$A:$I,9,FALSE)</f>
        <v>493</v>
      </c>
      <c r="I3962" s="917" t="str">
        <f>VLOOKUP($A3962,'Tech Litons'!$A:$C,3,0)</f>
        <v>MG Sticks</v>
      </c>
      <c r="J3962" s="918" t="str">
        <f t="shared" si="402"/>
        <v>2904MG Sticks</v>
      </c>
      <c r="K3962" s="919">
        <v>1</v>
      </c>
      <c r="L3962" s="920">
        <f t="shared" si="403"/>
        <v>15981</v>
      </c>
      <c r="M3962" s="920">
        <f t="shared" si="404"/>
        <v>17.25948</v>
      </c>
      <c r="N3962" s="920">
        <f t="shared" si="405"/>
        <v>32.4158215010142</v>
      </c>
      <c r="O3962" s="918" t="str">
        <f t="shared" si="406"/>
        <v>Mar</v>
      </c>
      <c r="P3962" s="921">
        <f t="shared" si="407"/>
        <v>10</v>
      </c>
    </row>
    <row r="3963" spans="1:16" ht="15" hidden="1" customHeight="1">
      <c r="A3963" s="839">
        <v>64331550</v>
      </c>
      <c r="B3963" s="839">
        <v>2904</v>
      </c>
      <c r="C3963" s="906">
        <v>9926</v>
      </c>
      <c r="D3963" s="907">
        <v>46089</v>
      </c>
      <c r="E3963" s="839" t="s">
        <v>461</v>
      </c>
      <c r="F3963" s="839" t="s">
        <v>283</v>
      </c>
      <c r="G3963" s="916">
        <f>VLOOKUP($A3963,'Tech Litons'!$A:$I,8,FALSE)</f>
        <v>1.08E-3</v>
      </c>
      <c r="H3963" s="917">
        <f>VLOOKUP($A3963,'Tech Litons'!$A:$I,9,FALSE)</f>
        <v>493</v>
      </c>
      <c r="I3963" s="917" t="str">
        <f>VLOOKUP($A3963,'Tech Litons'!$A:$C,3,0)</f>
        <v>MG Sticks</v>
      </c>
      <c r="J3963" s="918" t="str">
        <f t="shared" si="402"/>
        <v>2904MG Sticks</v>
      </c>
      <c r="K3963" s="919">
        <v>1</v>
      </c>
      <c r="L3963" s="920">
        <f t="shared" si="403"/>
        <v>9926</v>
      </c>
      <c r="M3963" s="920">
        <f t="shared" si="404"/>
        <v>10.720079999999999</v>
      </c>
      <c r="N3963" s="920">
        <f t="shared" si="405"/>
        <v>20.133874239350913</v>
      </c>
      <c r="O3963" s="918" t="str">
        <f t="shared" si="406"/>
        <v>Mar</v>
      </c>
      <c r="P3963" s="921">
        <f t="shared" si="407"/>
        <v>11</v>
      </c>
    </row>
    <row r="3964" spans="1:16" ht="15" hidden="1" customHeight="1">
      <c r="A3964" s="839">
        <v>64331550</v>
      </c>
      <c r="B3964" s="839">
        <v>2904</v>
      </c>
      <c r="C3964" s="906">
        <v>17206</v>
      </c>
      <c r="D3964" s="907">
        <v>46089</v>
      </c>
      <c r="E3964" s="839" t="s">
        <v>461</v>
      </c>
      <c r="F3964" s="839" t="s">
        <v>283</v>
      </c>
      <c r="G3964" s="916">
        <f>VLOOKUP($A3964,'Tech Litons'!$A:$I,8,FALSE)</f>
        <v>1.08E-3</v>
      </c>
      <c r="H3964" s="917">
        <f>VLOOKUP($A3964,'Tech Litons'!$A:$I,9,FALSE)</f>
        <v>493</v>
      </c>
      <c r="I3964" s="917" t="str">
        <f>VLOOKUP($A3964,'Tech Litons'!$A:$C,3,0)</f>
        <v>MG Sticks</v>
      </c>
      <c r="J3964" s="918" t="str">
        <f t="shared" si="402"/>
        <v>2904MG Sticks</v>
      </c>
      <c r="K3964" s="919">
        <v>1</v>
      </c>
      <c r="L3964" s="920">
        <f t="shared" si="403"/>
        <v>17206</v>
      </c>
      <c r="M3964" s="920">
        <f t="shared" si="404"/>
        <v>18.58248</v>
      </c>
      <c r="N3964" s="920">
        <f t="shared" si="405"/>
        <v>34.900608519269774</v>
      </c>
      <c r="O3964" s="918" t="str">
        <f t="shared" si="406"/>
        <v>Mar</v>
      </c>
      <c r="P3964" s="921">
        <f t="shared" si="407"/>
        <v>11</v>
      </c>
    </row>
    <row r="3965" spans="1:16" ht="15" hidden="1" customHeight="1">
      <c r="A3965" s="839">
        <v>64331550</v>
      </c>
      <c r="B3965" s="839">
        <v>2904</v>
      </c>
      <c r="C3965" s="906">
        <v>1608</v>
      </c>
      <c r="D3965" s="907">
        <v>46090</v>
      </c>
      <c r="E3965" s="839" t="s">
        <v>461</v>
      </c>
      <c r="F3965" s="839" t="s">
        <v>283</v>
      </c>
      <c r="G3965" s="916">
        <f>VLOOKUP($A3965,'Tech Litons'!$A:$I,8,FALSE)</f>
        <v>1.08E-3</v>
      </c>
      <c r="H3965" s="917">
        <f>VLOOKUP($A3965,'Tech Litons'!$A:$I,9,FALSE)</f>
        <v>493</v>
      </c>
      <c r="I3965" s="917" t="str">
        <f>VLOOKUP($A3965,'Tech Litons'!$A:$C,3,0)</f>
        <v>MG Sticks</v>
      </c>
      <c r="J3965" s="918" t="str">
        <f t="shared" si="402"/>
        <v>2904MG Sticks</v>
      </c>
      <c r="K3965" s="919">
        <v>1</v>
      </c>
      <c r="L3965" s="920">
        <f t="shared" si="403"/>
        <v>1608</v>
      </c>
      <c r="M3965" s="920">
        <f t="shared" si="404"/>
        <v>1.73664</v>
      </c>
      <c r="N3965" s="920">
        <f t="shared" si="405"/>
        <v>3.2616632860040569</v>
      </c>
      <c r="O3965" s="918" t="str">
        <f t="shared" si="406"/>
        <v>Mar</v>
      </c>
      <c r="P3965" s="921">
        <f t="shared" si="407"/>
        <v>11</v>
      </c>
    </row>
    <row r="3966" spans="1:16" ht="15" hidden="1" customHeight="1">
      <c r="A3966" s="839">
        <v>64331550</v>
      </c>
      <c r="B3966" s="839">
        <v>2904</v>
      </c>
      <c r="C3966" s="906">
        <v>7658</v>
      </c>
      <c r="D3966" s="907">
        <v>46091</v>
      </c>
      <c r="E3966" s="839" t="s">
        <v>461</v>
      </c>
      <c r="F3966" s="839" t="s">
        <v>283</v>
      </c>
      <c r="G3966" s="916">
        <f>VLOOKUP($A3966,'Tech Litons'!$A:$I,8,FALSE)</f>
        <v>1.08E-3</v>
      </c>
      <c r="H3966" s="917">
        <f>VLOOKUP($A3966,'Tech Litons'!$A:$I,9,FALSE)</f>
        <v>493</v>
      </c>
      <c r="I3966" s="917" t="str">
        <f>VLOOKUP($A3966,'Tech Litons'!$A:$C,3,0)</f>
        <v>MG Sticks</v>
      </c>
      <c r="J3966" s="918" t="str">
        <f t="shared" si="402"/>
        <v>2904MG Sticks</v>
      </c>
      <c r="K3966" s="919">
        <v>1</v>
      </c>
      <c r="L3966" s="920">
        <f t="shared" si="403"/>
        <v>7658</v>
      </c>
      <c r="M3966" s="920">
        <f t="shared" si="404"/>
        <v>8.2706400000000002</v>
      </c>
      <c r="N3966" s="920">
        <f t="shared" si="405"/>
        <v>15.533468559837727</v>
      </c>
      <c r="O3966" s="918" t="str">
        <f t="shared" si="406"/>
        <v>Mar</v>
      </c>
      <c r="P3966" s="921">
        <f t="shared" si="407"/>
        <v>11</v>
      </c>
    </row>
    <row r="3967" spans="1:16" ht="15" hidden="1" customHeight="1">
      <c r="A3967" s="839">
        <v>64331550</v>
      </c>
      <c r="B3967" s="839">
        <v>2904</v>
      </c>
      <c r="C3967" s="906">
        <v>11679</v>
      </c>
      <c r="D3967" s="907">
        <v>46092</v>
      </c>
      <c r="E3967" s="839" t="s">
        <v>461</v>
      </c>
      <c r="F3967" s="839" t="s">
        <v>283</v>
      </c>
      <c r="G3967" s="916">
        <f>VLOOKUP($A3967,'Tech Litons'!$A:$I,8,FALSE)</f>
        <v>1.08E-3</v>
      </c>
      <c r="H3967" s="917">
        <f>VLOOKUP($A3967,'Tech Litons'!$A:$I,9,FALSE)</f>
        <v>493</v>
      </c>
      <c r="I3967" s="917" t="str">
        <f>VLOOKUP($A3967,'Tech Litons'!$A:$C,3,0)</f>
        <v>MG Sticks</v>
      </c>
      <c r="J3967" s="918" t="str">
        <f t="shared" si="402"/>
        <v>2904MG Sticks</v>
      </c>
      <c r="K3967" s="919">
        <v>1</v>
      </c>
      <c r="L3967" s="920">
        <f t="shared" si="403"/>
        <v>11679</v>
      </c>
      <c r="M3967" s="920">
        <f t="shared" si="404"/>
        <v>12.61332</v>
      </c>
      <c r="N3967" s="920">
        <f t="shared" si="405"/>
        <v>23.689655172413794</v>
      </c>
      <c r="O3967" s="918" t="str">
        <f t="shared" si="406"/>
        <v>Mar</v>
      </c>
      <c r="P3967" s="921">
        <f t="shared" si="407"/>
        <v>11</v>
      </c>
    </row>
    <row r="3968" spans="1:16" ht="15" hidden="1" customHeight="1">
      <c r="A3968" s="839">
        <v>64331550</v>
      </c>
      <c r="B3968" s="839">
        <v>2904</v>
      </c>
      <c r="C3968" s="906">
        <v>11014</v>
      </c>
      <c r="D3968" s="907">
        <v>46092</v>
      </c>
      <c r="E3968" s="839" t="s">
        <v>461</v>
      </c>
      <c r="F3968" s="839" t="s">
        <v>283</v>
      </c>
      <c r="G3968" s="916">
        <f>VLOOKUP($A3968,'Tech Litons'!$A:$I,8,FALSE)</f>
        <v>1.08E-3</v>
      </c>
      <c r="H3968" s="917">
        <f>VLOOKUP($A3968,'Tech Litons'!$A:$I,9,FALSE)</f>
        <v>493</v>
      </c>
      <c r="I3968" s="917" t="str">
        <f>VLOOKUP($A3968,'Tech Litons'!$A:$C,3,0)</f>
        <v>MG Sticks</v>
      </c>
      <c r="J3968" s="918" t="str">
        <f t="shared" si="402"/>
        <v>2904MG Sticks</v>
      </c>
      <c r="K3968" s="919">
        <v>1</v>
      </c>
      <c r="L3968" s="920">
        <f t="shared" si="403"/>
        <v>11014</v>
      </c>
      <c r="M3968" s="920">
        <f t="shared" si="404"/>
        <v>11.89512</v>
      </c>
      <c r="N3968" s="920">
        <f t="shared" si="405"/>
        <v>22.340770791075052</v>
      </c>
      <c r="O3968" s="918" t="str">
        <f t="shared" si="406"/>
        <v>Mar</v>
      </c>
      <c r="P3968" s="921">
        <f t="shared" si="407"/>
        <v>11</v>
      </c>
    </row>
    <row r="3969" spans="1:16" ht="15" hidden="1" customHeight="1">
      <c r="A3969" s="839">
        <v>64331550</v>
      </c>
      <c r="B3969" s="839">
        <v>2904</v>
      </c>
      <c r="C3969" s="906">
        <v>10350</v>
      </c>
      <c r="D3969" s="907">
        <v>46093</v>
      </c>
      <c r="E3969" s="839" t="s">
        <v>461</v>
      </c>
      <c r="F3969" s="839" t="s">
        <v>283</v>
      </c>
      <c r="G3969" s="916">
        <f>VLOOKUP($A3969,'Tech Litons'!$A:$I,8,FALSE)</f>
        <v>1.08E-3</v>
      </c>
      <c r="H3969" s="917">
        <f>VLOOKUP($A3969,'Tech Litons'!$A:$I,9,FALSE)</f>
        <v>493</v>
      </c>
      <c r="I3969" s="917" t="str">
        <f>VLOOKUP($A3969,'Tech Litons'!$A:$C,3,0)</f>
        <v>MG Sticks</v>
      </c>
      <c r="J3969" s="918" t="str">
        <f t="shared" si="402"/>
        <v>2904MG Sticks</v>
      </c>
      <c r="K3969" s="919">
        <v>1</v>
      </c>
      <c r="L3969" s="920">
        <f t="shared" si="403"/>
        <v>10350</v>
      </c>
      <c r="M3969" s="920">
        <f t="shared" si="404"/>
        <v>11.178000000000001</v>
      </c>
      <c r="N3969" s="920">
        <f t="shared" si="405"/>
        <v>20.993914807302232</v>
      </c>
      <c r="O3969" s="918" t="str">
        <f t="shared" si="406"/>
        <v>Mar</v>
      </c>
      <c r="P3969" s="921">
        <f t="shared" si="407"/>
        <v>11</v>
      </c>
    </row>
    <row r="3970" spans="1:16" ht="15" hidden="1" customHeight="1">
      <c r="A3970" s="839">
        <v>64331550</v>
      </c>
      <c r="B3970" s="839">
        <v>2904</v>
      </c>
      <c r="C3970" s="906">
        <v>14971</v>
      </c>
      <c r="D3970" s="907">
        <v>46093</v>
      </c>
      <c r="E3970" s="839" t="s">
        <v>461</v>
      </c>
      <c r="F3970" s="839" t="s">
        <v>283</v>
      </c>
      <c r="G3970" s="916">
        <f>VLOOKUP($A3970,'Tech Litons'!$A:$I,8,FALSE)</f>
        <v>1.08E-3</v>
      </c>
      <c r="H3970" s="917">
        <f>VLOOKUP($A3970,'Tech Litons'!$A:$I,9,FALSE)</f>
        <v>493</v>
      </c>
      <c r="I3970" s="917" t="str">
        <f>VLOOKUP($A3970,'Tech Litons'!$A:$C,3,0)</f>
        <v>MG Sticks</v>
      </c>
      <c r="J3970" s="918" t="str">
        <f t="shared" si="402"/>
        <v>2904MG Sticks</v>
      </c>
      <c r="K3970" s="919">
        <v>1</v>
      </c>
      <c r="L3970" s="920">
        <f t="shared" si="403"/>
        <v>14971</v>
      </c>
      <c r="M3970" s="920">
        <f t="shared" si="404"/>
        <v>16.168680000000002</v>
      </c>
      <c r="N3970" s="920">
        <f t="shared" si="405"/>
        <v>30.367139959432048</v>
      </c>
      <c r="O3970" s="918" t="str">
        <f t="shared" si="406"/>
        <v>Mar</v>
      </c>
      <c r="P3970" s="921">
        <f t="shared" si="407"/>
        <v>11</v>
      </c>
    </row>
    <row r="3971" spans="1:16" ht="15" hidden="1" customHeight="1">
      <c r="A3971" s="839">
        <v>64331550</v>
      </c>
      <c r="B3971" s="839">
        <v>2904</v>
      </c>
      <c r="C3971" s="906">
        <v>2730</v>
      </c>
      <c r="D3971" s="907">
        <v>46094</v>
      </c>
      <c r="E3971" s="839" t="s">
        <v>461</v>
      </c>
      <c r="F3971" s="839" t="s">
        <v>283</v>
      </c>
      <c r="G3971" s="916">
        <f>VLOOKUP($A3971,'Tech Litons'!$A:$I,8,FALSE)</f>
        <v>1.08E-3</v>
      </c>
      <c r="H3971" s="917">
        <f>VLOOKUP($A3971,'Tech Litons'!$A:$I,9,FALSE)</f>
        <v>493</v>
      </c>
      <c r="I3971" s="917" t="str">
        <f>VLOOKUP($A3971,'Tech Litons'!$A:$C,3,0)</f>
        <v>MG Sticks</v>
      </c>
      <c r="J3971" s="918" t="str">
        <f t="shared" si="402"/>
        <v>2904MG Sticks</v>
      </c>
      <c r="K3971" s="919">
        <v>1</v>
      </c>
      <c r="L3971" s="920">
        <f t="shared" si="403"/>
        <v>2730</v>
      </c>
      <c r="M3971" s="920">
        <f t="shared" si="404"/>
        <v>2.9483999999999999</v>
      </c>
      <c r="N3971" s="920">
        <f t="shared" si="405"/>
        <v>5.5375253549695742</v>
      </c>
      <c r="O3971" s="918" t="str">
        <f t="shared" si="406"/>
        <v>Mar</v>
      </c>
      <c r="P3971" s="921">
        <f t="shared" si="407"/>
        <v>11</v>
      </c>
    </row>
    <row r="3972" spans="1:16" ht="15" hidden="1" customHeight="1">
      <c r="A3972" s="839">
        <v>64331550</v>
      </c>
      <c r="B3972" s="839">
        <v>2904</v>
      </c>
      <c r="C3972" s="906">
        <v>11178</v>
      </c>
      <c r="D3972" s="907">
        <v>46083</v>
      </c>
      <c r="E3972" s="839" t="s">
        <v>461</v>
      </c>
      <c r="F3972" s="839" t="s">
        <v>283</v>
      </c>
      <c r="G3972" s="916">
        <f>VLOOKUP($A3972,'Tech Litons'!$A:$I,8,FALSE)</f>
        <v>1.08E-3</v>
      </c>
      <c r="H3972" s="917">
        <f>VLOOKUP($A3972,'Tech Litons'!$A:$I,9,FALSE)</f>
        <v>493</v>
      </c>
      <c r="I3972" s="917" t="str">
        <f>VLOOKUP($A3972,'Tech Litons'!$A:$C,3,0)</f>
        <v>MG Sticks</v>
      </c>
      <c r="J3972" s="918" t="str">
        <f t="shared" si="402"/>
        <v>2904MG Sticks</v>
      </c>
      <c r="K3972" s="919">
        <v>1</v>
      </c>
      <c r="L3972" s="920">
        <f t="shared" si="403"/>
        <v>11178</v>
      </c>
      <c r="M3972" s="920">
        <f t="shared" si="404"/>
        <v>12.072240000000001</v>
      </c>
      <c r="N3972" s="920">
        <f t="shared" si="405"/>
        <v>22.67342799188641</v>
      </c>
      <c r="O3972" s="918" t="str">
        <f t="shared" si="406"/>
        <v>Mar</v>
      </c>
      <c r="P3972" s="921">
        <f t="shared" si="407"/>
        <v>10</v>
      </c>
    </row>
    <row r="3973" spans="1:16" ht="15" hidden="1" customHeight="1">
      <c r="A3973" s="839">
        <v>64331550</v>
      </c>
      <c r="B3973" s="839">
        <v>2904</v>
      </c>
      <c r="C3973" s="906">
        <v>10584</v>
      </c>
      <c r="D3973" s="907">
        <v>46084</v>
      </c>
      <c r="E3973" s="839" t="s">
        <v>461</v>
      </c>
      <c r="F3973" s="839" t="s">
        <v>283</v>
      </c>
      <c r="G3973" s="916">
        <f>VLOOKUP($A3973,'Tech Litons'!$A:$I,8,FALSE)</f>
        <v>1.08E-3</v>
      </c>
      <c r="H3973" s="917">
        <f>VLOOKUP($A3973,'Tech Litons'!$A:$I,9,FALSE)</f>
        <v>493</v>
      </c>
      <c r="I3973" s="917" t="str">
        <f>VLOOKUP($A3973,'Tech Litons'!$A:$C,3,0)</f>
        <v>MG Sticks</v>
      </c>
      <c r="J3973" s="918" t="str">
        <f t="shared" si="402"/>
        <v>2904MG Sticks</v>
      </c>
      <c r="K3973" s="919">
        <v>1</v>
      </c>
      <c r="L3973" s="920">
        <f t="shared" si="403"/>
        <v>10584</v>
      </c>
      <c r="M3973" s="920">
        <f t="shared" si="404"/>
        <v>11.430720000000001</v>
      </c>
      <c r="N3973" s="920">
        <f t="shared" si="405"/>
        <v>21.468559837728193</v>
      </c>
      <c r="O3973" s="918" t="str">
        <f t="shared" si="406"/>
        <v>Mar</v>
      </c>
      <c r="P3973" s="921">
        <f t="shared" si="407"/>
        <v>10</v>
      </c>
    </row>
    <row r="3974" spans="1:16" ht="15" hidden="1" customHeight="1">
      <c r="A3974" s="839">
        <v>64331550</v>
      </c>
      <c r="B3974" s="839">
        <v>2904</v>
      </c>
      <c r="C3974" s="906">
        <v>214</v>
      </c>
      <c r="D3974" s="907">
        <v>46082</v>
      </c>
      <c r="E3974" s="839" t="s">
        <v>461</v>
      </c>
      <c r="F3974" s="839" t="s">
        <v>283</v>
      </c>
      <c r="G3974" s="916">
        <f>VLOOKUP($A3974,'Tech Litons'!$A:$I,8,FALSE)</f>
        <v>1.08E-3</v>
      </c>
      <c r="H3974" s="917">
        <f>VLOOKUP($A3974,'Tech Litons'!$A:$I,9,FALSE)</f>
        <v>493</v>
      </c>
      <c r="I3974" s="917" t="str">
        <f>VLOOKUP($A3974,'Tech Litons'!$A:$C,3,0)</f>
        <v>MG Sticks</v>
      </c>
      <c r="J3974" s="918" t="str">
        <f t="shared" si="402"/>
        <v>2904MG Sticks</v>
      </c>
      <c r="K3974" s="919">
        <v>1</v>
      </c>
      <c r="L3974" s="920">
        <f t="shared" si="403"/>
        <v>214</v>
      </c>
      <c r="M3974" s="920">
        <f t="shared" si="404"/>
        <v>0.23111999999999999</v>
      </c>
      <c r="N3974" s="920">
        <f t="shared" si="405"/>
        <v>0.43407707910750509</v>
      </c>
      <c r="O3974" s="918" t="str">
        <f t="shared" si="406"/>
        <v>Mar</v>
      </c>
      <c r="P3974" s="921">
        <f t="shared" si="407"/>
        <v>10</v>
      </c>
    </row>
    <row r="3975" spans="1:16" ht="15" hidden="1" customHeight="1">
      <c r="A3975" s="839">
        <v>64331550</v>
      </c>
      <c r="B3975" s="839">
        <v>2904</v>
      </c>
      <c r="C3975" s="906">
        <v>6099</v>
      </c>
      <c r="D3975" s="907">
        <v>46094</v>
      </c>
      <c r="E3975" s="839" t="s">
        <v>461</v>
      </c>
      <c r="F3975" s="839" t="s">
        <v>283</v>
      </c>
      <c r="G3975" s="916">
        <f>VLOOKUP($A3975,'Tech Litons'!$A:$I,8,FALSE)</f>
        <v>1.08E-3</v>
      </c>
      <c r="H3975" s="917">
        <f>VLOOKUP($A3975,'Tech Litons'!$A:$I,9,FALSE)</f>
        <v>493</v>
      </c>
      <c r="I3975" s="917" t="str">
        <f>VLOOKUP($A3975,'Tech Litons'!$A:$C,3,0)</f>
        <v>MG Sticks</v>
      </c>
      <c r="J3975" s="918" t="str">
        <f t="shared" si="402"/>
        <v>2904MG Sticks</v>
      </c>
      <c r="K3975" s="919">
        <v>1</v>
      </c>
      <c r="L3975" s="920">
        <f t="shared" si="403"/>
        <v>6099</v>
      </c>
      <c r="M3975" s="920">
        <f t="shared" si="404"/>
        <v>6.5869200000000001</v>
      </c>
      <c r="N3975" s="920">
        <f t="shared" si="405"/>
        <v>12.371196754563895</v>
      </c>
      <c r="O3975" s="918" t="str">
        <f t="shared" si="406"/>
        <v>Mar</v>
      </c>
      <c r="P3975" s="921">
        <f t="shared" si="407"/>
        <v>11</v>
      </c>
    </row>
    <row r="3976" spans="1:16" ht="15" hidden="1" customHeight="1">
      <c r="A3976" s="839">
        <v>64341106</v>
      </c>
      <c r="B3976" s="839">
        <v>2904</v>
      </c>
      <c r="C3976" s="906">
        <v>957</v>
      </c>
      <c r="D3976" s="907">
        <v>46076</v>
      </c>
      <c r="E3976" s="839" t="s">
        <v>293</v>
      </c>
      <c r="F3976" s="839" t="s">
        <v>227</v>
      </c>
      <c r="G3976" s="916">
        <f>VLOOKUP($A3976,'Tech Litons'!$A:$I,8,FALSE)</f>
        <v>5.2680000000000001E-3</v>
      </c>
      <c r="H3976" s="917">
        <f>VLOOKUP($A3976,'Tech Litons'!$A:$I,9,FALSE)</f>
        <v>130</v>
      </c>
      <c r="I3976" s="917" t="str">
        <f>VLOOKUP($A3976,'Tech Litons'!$A:$C,3,0)</f>
        <v>PG</v>
      </c>
      <c r="J3976" s="918" t="str">
        <f t="shared" si="402"/>
        <v>2904PG</v>
      </c>
      <c r="K3976" s="919">
        <v>1</v>
      </c>
      <c r="L3976" s="920">
        <f t="shared" si="403"/>
        <v>957</v>
      </c>
      <c r="M3976" s="920">
        <f t="shared" si="404"/>
        <v>5.0414760000000003</v>
      </c>
      <c r="N3976" s="920">
        <f t="shared" si="405"/>
        <v>7.3615384615384611</v>
      </c>
      <c r="O3976" s="918" t="str">
        <f t="shared" si="406"/>
        <v>Feb</v>
      </c>
      <c r="P3976" s="921">
        <f t="shared" si="407"/>
        <v>9</v>
      </c>
    </row>
    <row r="3977" spans="1:16" ht="15" hidden="1" customHeight="1">
      <c r="A3977" s="839">
        <v>64341106</v>
      </c>
      <c r="B3977" s="839">
        <v>2904</v>
      </c>
      <c r="C3977" s="906">
        <v>1643</v>
      </c>
      <c r="D3977" s="907">
        <v>46076</v>
      </c>
      <c r="E3977" s="839" t="s">
        <v>293</v>
      </c>
      <c r="F3977" s="839" t="s">
        <v>227</v>
      </c>
      <c r="G3977" s="916">
        <f>VLOOKUP($A3977,'Tech Litons'!$A:$I,8,FALSE)</f>
        <v>5.2680000000000001E-3</v>
      </c>
      <c r="H3977" s="917">
        <f>VLOOKUP($A3977,'Tech Litons'!$A:$I,9,FALSE)</f>
        <v>130</v>
      </c>
      <c r="I3977" s="917" t="str">
        <f>VLOOKUP($A3977,'Tech Litons'!$A:$C,3,0)</f>
        <v>PG</v>
      </c>
      <c r="J3977" s="918" t="str">
        <f t="shared" si="402"/>
        <v>2904PG</v>
      </c>
      <c r="K3977" s="919">
        <v>1</v>
      </c>
      <c r="L3977" s="920">
        <f t="shared" si="403"/>
        <v>1643</v>
      </c>
      <c r="M3977" s="920">
        <f t="shared" si="404"/>
        <v>8.6553240000000002</v>
      </c>
      <c r="N3977" s="920">
        <f t="shared" si="405"/>
        <v>12.638461538461538</v>
      </c>
      <c r="O3977" s="918" t="str">
        <f t="shared" si="406"/>
        <v>Feb</v>
      </c>
      <c r="P3977" s="921">
        <f t="shared" si="407"/>
        <v>9</v>
      </c>
    </row>
    <row r="3978" spans="1:16" ht="15" hidden="1" customHeight="1">
      <c r="A3978" s="839">
        <v>64341106</v>
      </c>
      <c r="B3978" s="839">
        <v>2904</v>
      </c>
      <c r="C3978" s="906">
        <v>2819</v>
      </c>
      <c r="D3978" s="907">
        <v>46077</v>
      </c>
      <c r="E3978" s="839" t="s">
        <v>293</v>
      </c>
      <c r="F3978" s="839" t="s">
        <v>227</v>
      </c>
      <c r="G3978" s="916">
        <f>VLOOKUP($A3978,'Tech Litons'!$A:$I,8,FALSE)</f>
        <v>5.2680000000000001E-3</v>
      </c>
      <c r="H3978" s="917">
        <f>VLOOKUP($A3978,'Tech Litons'!$A:$I,9,FALSE)</f>
        <v>130</v>
      </c>
      <c r="I3978" s="917" t="str">
        <f>VLOOKUP($A3978,'Tech Litons'!$A:$C,3,0)</f>
        <v>PG</v>
      </c>
      <c r="J3978" s="918" t="str">
        <f t="shared" si="402"/>
        <v>2904PG</v>
      </c>
      <c r="K3978" s="919">
        <v>1</v>
      </c>
      <c r="L3978" s="920">
        <f t="shared" si="403"/>
        <v>2819</v>
      </c>
      <c r="M3978" s="920">
        <f t="shared" si="404"/>
        <v>14.850492000000001</v>
      </c>
      <c r="N3978" s="920">
        <f t="shared" si="405"/>
        <v>21.684615384615384</v>
      </c>
      <c r="O3978" s="918" t="str">
        <f t="shared" si="406"/>
        <v>Feb</v>
      </c>
      <c r="P3978" s="921">
        <f t="shared" si="407"/>
        <v>9</v>
      </c>
    </row>
    <row r="3979" spans="1:16" ht="15" hidden="1" customHeight="1">
      <c r="A3979" s="839">
        <v>64341106</v>
      </c>
      <c r="B3979" s="839">
        <v>2904</v>
      </c>
      <c r="C3979" s="906">
        <v>438</v>
      </c>
      <c r="D3979" s="907">
        <v>46077</v>
      </c>
      <c r="E3979" s="839" t="s">
        <v>293</v>
      </c>
      <c r="F3979" s="839" t="s">
        <v>227</v>
      </c>
      <c r="G3979" s="916">
        <f>VLOOKUP($A3979,'Tech Litons'!$A:$I,8,FALSE)</f>
        <v>5.2680000000000001E-3</v>
      </c>
      <c r="H3979" s="917">
        <f>VLOOKUP($A3979,'Tech Litons'!$A:$I,9,FALSE)</f>
        <v>130</v>
      </c>
      <c r="I3979" s="917" t="str">
        <f>VLOOKUP($A3979,'Tech Litons'!$A:$C,3,0)</f>
        <v>PG</v>
      </c>
      <c r="J3979" s="918" t="str">
        <f t="shared" si="402"/>
        <v>2904PG</v>
      </c>
      <c r="K3979" s="919">
        <v>1</v>
      </c>
      <c r="L3979" s="920">
        <f t="shared" si="403"/>
        <v>438</v>
      </c>
      <c r="M3979" s="920">
        <f t="shared" si="404"/>
        <v>2.3073839999999999</v>
      </c>
      <c r="N3979" s="920">
        <f t="shared" si="405"/>
        <v>3.3692307692307693</v>
      </c>
      <c r="O3979" s="918" t="str">
        <f t="shared" si="406"/>
        <v>Feb</v>
      </c>
      <c r="P3979" s="921">
        <f t="shared" si="407"/>
        <v>9</v>
      </c>
    </row>
    <row r="3980" spans="1:16" ht="15" hidden="1" customHeight="1">
      <c r="A3980" s="839">
        <v>64341106</v>
      </c>
      <c r="B3980" s="839">
        <v>2904</v>
      </c>
      <c r="C3980" s="906">
        <v>1040</v>
      </c>
      <c r="D3980" s="907">
        <v>46078</v>
      </c>
      <c r="E3980" s="839" t="s">
        <v>293</v>
      </c>
      <c r="F3980" s="839" t="s">
        <v>227</v>
      </c>
      <c r="G3980" s="916">
        <f>VLOOKUP($A3980,'Tech Litons'!$A:$I,8,FALSE)</f>
        <v>5.2680000000000001E-3</v>
      </c>
      <c r="H3980" s="917">
        <f>VLOOKUP($A3980,'Tech Litons'!$A:$I,9,FALSE)</f>
        <v>130</v>
      </c>
      <c r="I3980" s="917" t="str">
        <f>VLOOKUP($A3980,'Tech Litons'!$A:$C,3,0)</f>
        <v>PG</v>
      </c>
      <c r="J3980" s="918" t="str">
        <f t="shared" si="402"/>
        <v>2904PG</v>
      </c>
      <c r="K3980" s="919">
        <v>1</v>
      </c>
      <c r="L3980" s="920">
        <f t="shared" si="403"/>
        <v>1040</v>
      </c>
      <c r="M3980" s="920">
        <f t="shared" si="404"/>
        <v>5.47872</v>
      </c>
      <c r="N3980" s="920">
        <f t="shared" si="405"/>
        <v>8</v>
      </c>
      <c r="O3980" s="918" t="str">
        <f t="shared" si="406"/>
        <v>Feb</v>
      </c>
      <c r="P3980" s="921">
        <f t="shared" si="407"/>
        <v>9</v>
      </c>
    </row>
    <row r="3981" spans="1:16" ht="15" hidden="1" customHeight="1">
      <c r="A3981" s="839">
        <v>64341106</v>
      </c>
      <c r="B3981" s="839">
        <v>2904</v>
      </c>
      <c r="C3981" s="906">
        <v>1215</v>
      </c>
      <c r="D3981" s="907">
        <v>46078</v>
      </c>
      <c r="E3981" s="839" t="s">
        <v>293</v>
      </c>
      <c r="F3981" s="839" t="s">
        <v>227</v>
      </c>
      <c r="G3981" s="916">
        <f>VLOOKUP($A3981,'Tech Litons'!$A:$I,8,FALSE)</f>
        <v>5.2680000000000001E-3</v>
      </c>
      <c r="H3981" s="917">
        <f>VLOOKUP($A3981,'Tech Litons'!$A:$I,9,FALSE)</f>
        <v>130</v>
      </c>
      <c r="I3981" s="917" t="str">
        <f>VLOOKUP($A3981,'Tech Litons'!$A:$C,3,0)</f>
        <v>PG</v>
      </c>
      <c r="J3981" s="918" t="str">
        <f t="shared" si="402"/>
        <v>2904PG</v>
      </c>
      <c r="K3981" s="919">
        <v>1</v>
      </c>
      <c r="L3981" s="920">
        <f t="shared" si="403"/>
        <v>1215</v>
      </c>
      <c r="M3981" s="920">
        <f t="shared" si="404"/>
        <v>6.40062</v>
      </c>
      <c r="N3981" s="920">
        <f t="shared" si="405"/>
        <v>9.3461538461538467</v>
      </c>
      <c r="O3981" s="918" t="str">
        <f t="shared" si="406"/>
        <v>Feb</v>
      </c>
      <c r="P3981" s="921">
        <f t="shared" si="407"/>
        <v>9</v>
      </c>
    </row>
    <row r="3982" spans="1:16" ht="15" hidden="1" customHeight="1">
      <c r="A3982" s="839">
        <v>64341106</v>
      </c>
      <c r="B3982" s="839">
        <v>2904</v>
      </c>
      <c r="C3982" s="906">
        <v>1383</v>
      </c>
      <c r="D3982" s="907">
        <v>46090</v>
      </c>
      <c r="E3982" s="839" t="s">
        <v>293</v>
      </c>
      <c r="F3982" s="839" t="s">
        <v>227</v>
      </c>
      <c r="G3982" s="916">
        <f>VLOOKUP($A3982,'Tech Litons'!$A:$I,8,FALSE)</f>
        <v>5.2680000000000001E-3</v>
      </c>
      <c r="H3982" s="917">
        <f>VLOOKUP($A3982,'Tech Litons'!$A:$I,9,FALSE)</f>
        <v>130</v>
      </c>
      <c r="I3982" s="917" t="str">
        <f>VLOOKUP($A3982,'Tech Litons'!$A:$C,3,0)</f>
        <v>PG</v>
      </c>
      <c r="J3982" s="918" t="str">
        <f t="shared" si="402"/>
        <v>2904PG</v>
      </c>
      <c r="K3982" s="919">
        <v>1</v>
      </c>
      <c r="L3982" s="920">
        <f t="shared" si="403"/>
        <v>1383</v>
      </c>
      <c r="M3982" s="920">
        <f t="shared" si="404"/>
        <v>7.2856440000000005</v>
      </c>
      <c r="N3982" s="920">
        <f t="shared" si="405"/>
        <v>10.638461538461538</v>
      </c>
      <c r="O3982" s="918" t="str">
        <f t="shared" si="406"/>
        <v>Mar</v>
      </c>
      <c r="P3982" s="921">
        <f t="shared" si="407"/>
        <v>11</v>
      </c>
    </row>
    <row r="3983" spans="1:16" ht="15" hidden="1" customHeight="1">
      <c r="A3983" s="839">
        <v>64341106</v>
      </c>
      <c r="B3983" s="839">
        <v>2904</v>
      </c>
      <c r="C3983" s="906">
        <v>1527</v>
      </c>
      <c r="D3983" s="907">
        <v>46091</v>
      </c>
      <c r="E3983" s="839" t="s">
        <v>293</v>
      </c>
      <c r="F3983" s="839" t="s">
        <v>227</v>
      </c>
      <c r="G3983" s="916">
        <f>VLOOKUP($A3983,'Tech Litons'!$A:$I,8,FALSE)</f>
        <v>5.2680000000000001E-3</v>
      </c>
      <c r="H3983" s="917">
        <f>VLOOKUP($A3983,'Tech Litons'!$A:$I,9,FALSE)</f>
        <v>130</v>
      </c>
      <c r="I3983" s="917" t="str">
        <f>VLOOKUP($A3983,'Tech Litons'!$A:$C,3,0)</f>
        <v>PG</v>
      </c>
      <c r="J3983" s="918" t="str">
        <f t="shared" si="402"/>
        <v>2904PG</v>
      </c>
      <c r="K3983" s="919">
        <v>1</v>
      </c>
      <c r="L3983" s="920">
        <f t="shared" si="403"/>
        <v>1527</v>
      </c>
      <c r="M3983" s="920">
        <f t="shared" si="404"/>
        <v>8.0442359999999997</v>
      </c>
      <c r="N3983" s="920">
        <f t="shared" si="405"/>
        <v>11.746153846153845</v>
      </c>
      <c r="O3983" s="918" t="str">
        <f t="shared" si="406"/>
        <v>Mar</v>
      </c>
      <c r="P3983" s="921">
        <f t="shared" si="407"/>
        <v>11</v>
      </c>
    </row>
    <row r="3984" spans="1:16" ht="15" hidden="1" customHeight="1">
      <c r="A3984" s="839">
        <v>64341106</v>
      </c>
      <c r="B3984" s="839">
        <v>2904</v>
      </c>
      <c r="C3984" s="906">
        <v>1922</v>
      </c>
      <c r="D3984" s="907">
        <v>46091</v>
      </c>
      <c r="E3984" s="839" t="s">
        <v>293</v>
      </c>
      <c r="F3984" s="839" t="s">
        <v>227</v>
      </c>
      <c r="G3984" s="916">
        <f>VLOOKUP($A3984,'Tech Litons'!$A:$I,8,FALSE)</f>
        <v>5.2680000000000001E-3</v>
      </c>
      <c r="H3984" s="917">
        <f>VLOOKUP($A3984,'Tech Litons'!$A:$I,9,FALSE)</f>
        <v>130</v>
      </c>
      <c r="I3984" s="917" t="str">
        <f>VLOOKUP($A3984,'Tech Litons'!$A:$C,3,0)</f>
        <v>PG</v>
      </c>
      <c r="J3984" s="918" t="str">
        <f t="shared" si="402"/>
        <v>2904PG</v>
      </c>
      <c r="K3984" s="919">
        <v>1</v>
      </c>
      <c r="L3984" s="920">
        <f t="shared" si="403"/>
        <v>1922</v>
      </c>
      <c r="M3984" s="920">
        <f t="shared" si="404"/>
        <v>10.125096000000001</v>
      </c>
      <c r="N3984" s="920">
        <f t="shared" si="405"/>
        <v>14.784615384615385</v>
      </c>
      <c r="O3984" s="918" t="str">
        <f t="shared" si="406"/>
        <v>Mar</v>
      </c>
      <c r="P3984" s="921">
        <f t="shared" si="407"/>
        <v>11</v>
      </c>
    </row>
    <row r="3985" spans="1:16" ht="15" hidden="1" customHeight="1">
      <c r="A3985" s="839">
        <v>64341106</v>
      </c>
      <c r="B3985" s="839">
        <v>2904</v>
      </c>
      <c r="C3985" s="906">
        <v>1300</v>
      </c>
      <c r="D3985" s="907">
        <v>46092</v>
      </c>
      <c r="E3985" s="839" t="s">
        <v>293</v>
      </c>
      <c r="F3985" s="839" t="s">
        <v>227</v>
      </c>
      <c r="G3985" s="916">
        <f>VLOOKUP($A3985,'Tech Litons'!$A:$I,8,FALSE)</f>
        <v>5.2680000000000001E-3</v>
      </c>
      <c r="H3985" s="917">
        <f>VLOOKUP($A3985,'Tech Litons'!$A:$I,9,FALSE)</f>
        <v>130</v>
      </c>
      <c r="I3985" s="917" t="str">
        <f>VLOOKUP($A3985,'Tech Litons'!$A:$C,3,0)</f>
        <v>PG</v>
      </c>
      <c r="J3985" s="918" t="str">
        <f t="shared" si="402"/>
        <v>2904PG</v>
      </c>
      <c r="K3985" s="919">
        <v>1</v>
      </c>
      <c r="L3985" s="920">
        <f t="shared" si="403"/>
        <v>1300</v>
      </c>
      <c r="M3985" s="920">
        <f t="shared" si="404"/>
        <v>6.8483999999999998</v>
      </c>
      <c r="N3985" s="920">
        <f t="shared" si="405"/>
        <v>10</v>
      </c>
      <c r="O3985" s="918" t="str">
        <f t="shared" si="406"/>
        <v>Mar</v>
      </c>
      <c r="P3985" s="921">
        <f t="shared" si="407"/>
        <v>11</v>
      </c>
    </row>
    <row r="3986" spans="1:16" ht="15" hidden="1" customHeight="1">
      <c r="A3986" s="839">
        <v>64341106</v>
      </c>
      <c r="B3986" s="839">
        <v>2904</v>
      </c>
      <c r="C3986" s="906">
        <v>1634</v>
      </c>
      <c r="D3986" s="907">
        <v>46092</v>
      </c>
      <c r="E3986" s="839" t="s">
        <v>293</v>
      </c>
      <c r="F3986" s="839" t="s">
        <v>227</v>
      </c>
      <c r="G3986" s="916">
        <f>VLOOKUP($A3986,'Tech Litons'!$A:$I,8,FALSE)</f>
        <v>5.2680000000000001E-3</v>
      </c>
      <c r="H3986" s="917">
        <f>VLOOKUP($A3986,'Tech Litons'!$A:$I,9,FALSE)</f>
        <v>130</v>
      </c>
      <c r="I3986" s="917" t="str">
        <f>VLOOKUP($A3986,'Tech Litons'!$A:$C,3,0)</f>
        <v>PG</v>
      </c>
      <c r="J3986" s="918" t="str">
        <f t="shared" si="402"/>
        <v>2904PG</v>
      </c>
      <c r="K3986" s="919">
        <v>1</v>
      </c>
      <c r="L3986" s="920">
        <f t="shared" si="403"/>
        <v>1634</v>
      </c>
      <c r="M3986" s="920">
        <f t="shared" si="404"/>
        <v>8.6079120000000007</v>
      </c>
      <c r="N3986" s="920">
        <f t="shared" si="405"/>
        <v>12.569230769230769</v>
      </c>
      <c r="O3986" s="918" t="str">
        <f t="shared" si="406"/>
        <v>Mar</v>
      </c>
      <c r="P3986" s="921">
        <f t="shared" si="407"/>
        <v>11</v>
      </c>
    </row>
    <row r="3987" spans="1:16" ht="15" hidden="1" customHeight="1">
      <c r="A3987" s="839">
        <v>64341106</v>
      </c>
      <c r="B3987" s="839">
        <v>2904</v>
      </c>
      <c r="C3987" s="906">
        <v>1950</v>
      </c>
      <c r="D3987" s="907">
        <v>46093</v>
      </c>
      <c r="E3987" s="839" t="s">
        <v>293</v>
      </c>
      <c r="F3987" s="839" t="s">
        <v>227</v>
      </c>
      <c r="G3987" s="916">
        <f>VLOOKUP($A3987,'Tech Litons'!$A:$I,8,FALSE)</f>
        <v>5.2680000000000001E-3</v>
      </c>
      <c r="H3987" s="917">
        <f>VLOOKUP($A3987,'Tech Litons'!$A:$I,9,FALSE)</f>
        <v>130</v>
      </c>
      <c r="I3987" s="917" t="str">
        <f>VLOOKUP($A3987,'Tech Litons'!$A:$C,3,0)</f>
        <v>PG</v>
      </c>
      <c r="J3987" s="918" t="str">
        <f t="shared" si="402"/>
        <v>2904PG</v>
      </c>
      <c r="K3987" s="919">
        <v>1</v>
      </c>
      <c r="L3987" s="920">
        <f t="shared" si="403"/>
        <v>1950</v>
      </c>
      <c r="M3987" s="920">
        <f t="shared" si="404"/>
        <v>10.272600000000001</v>
      </c>
      <c r="N3987" s="920">
        <f t="shared" si="405"/>
        <v>15</v>
      </c>
      <c r="O3987" s="918" t="str">
        <f t="shared" si="406"/>
        <v>Mar</v>
      </c>
      <c r="P3987" s="921">
        <f t="shared" si="407"/>
        <v>11</v>
      </c>
    </row>
    <row r="3988" spans="1:16" ht="15" hidden="1" customHeight="1">
      <c r="A3988" s="839">
        <v>64341106</v>
      </c>
      <c r="B3988" s="839">
        <v>2904</v>
      </c>
      <c r="C3988" s="906">
        <v>1869</v>
      </c>
      <c r="D3988" s="907">
        <v>46093</v>
      </c>
      <c r="E3988" s="839" t="s">
        <v>293</v>
      </c>
      <c r="F3988" s="839" t="s">
        <v>227</v>
      </c>
      <c r="G3988" s="916">
        <f>VLOOKUP($A3988,'Tech Litons'!$A:$I,8,FALSE)</f>
        <v>5.2680000000000001E-3</v>
      </c>
      <c r="H3988" s="917">
        <f>VLOOKUP($A3988,'Tech Litons'!$A:$I,9,FALSE)</f>
        <v>130</v>
      </c>
      <c r="I3988" s="917" t="str">
        <f>VLOOKUP($A3988,'Tech Litons'!$A:$C,3,0)</f>
        <v>PG</v>
      </c>
      <c r="J3988" s="918" t="str">
        <f t="shared" si="402"/>
        <v>2904PG</v>
      </c>
      <c r="K3988" s="919">
        <v>1</v>
      </c>
      <c r="L3988" s="920">
        <f t="shared" si="403"/>
        <v>1869</v>
      </c>
      <c r="M3988" s="920">
        <f t="shared" si="404"/>
        <v>9.845892000000001</v>
      </c>
      <c r="N3988" s="920">
        <f t="shared" si="405"/>
        <v>14.376923076923077</v>
      </c>
      <c r="O3988" s="918" t="str">
        <f t="shared" si="406"/>
        <v>Mar</v>
      </c>
      <c r="P3988" s="921">
        <f t="shared" si="407"/>
        <v>11</v>
      </c>
    </row>
    <row r="3989" spans="1:16" ht="15" hidden="1" customHeight="1">
      <c r="A3989" s="839">
        <v>64341106</v>
      </c>
      <c r="B3989" s="839">
        <v>2904</v>
      </c>
      <c r="C3989" s="906">
        <v>2056</v>
      </c>
      <c r="D3989" s="907">
        <v>46094</v>
      </c>
      <c r="E3989" s="839" t="s">
        <v>293</v>
      </c>
      <c r="F3989" s="839" t="s">
        <v>227</v>
      </c>
      <c r="G3989" s="916">
        <f>VLOOKUP($A3989,'Tech Litons'!$A:$I,8,FALSE)</f>
        <v>5.2680000000000001E-3</v>
      </c>
      <c r="H3989" s="917">
        <f>VLOOKUP($A3989,'Tech Litons'!$A:$I,9,FALSE)</f>
        <v>130</v>
      </c>
      <c r="I3989" s="917" t="str">
        <f>VLOOKUP($A3989,'Tech Litons'!$A:$C,3,0)</f>
        <v>PG</v>
      </c>
      <c r="J3989" s="918" t="str">
        <f t="shared" si="402"/>
        <v>2904PG</v>
      </c>
      <c r="K3989" s="919">
        <v>1</v>
      </c>
      <c r="L3989" s="920">
        <f t="shared" si="403"/>
        <v>2056</v>
      </c>
      <c r="M3989" s="920">
        <f t="shared" si="404"/>
        <v>10.831008000000001</v>
      </c>
      <c r="N3989" s="920">
        <f t="shared" si="405"/>
        <v>15.815384615384616</v>
      </c>
      <c r="O3989" s="918" t="str">
        <f t="shared" si="406"/>
        <v>Mar</v>
      </c>
      <c r="P3989" s="921">
        <f t="shared" si="407"/>
        <v>11</v>
      </c>
    </row>
    <row r="3990" spans="1:16" ht="15" hidden="1" customHeight="1">
      <c r="A3990" s="839">
        <v>64341106</v>
      </c>
      <c r="B3990" s="839">
        <v>2904</v>
      </c>
      <c r="C3990" s="906">
        <v>1582</v>
      </c>
      <c r="D3990" s="907">
        <v>46094</v>
      </c>
      <c r="E3990" s="839" t="s">
        <v>293</v>
      </c>
      <c r="F3990" s="839" t="s">
        <v>227</v>
      </c>
      <c r="G3990" s="916">
        <f>VLOOKUP($A3990,'Tech Litons'!$A:$I,8,FALSE)</f>
        <v>5.2680000000000001E-3</v>
      </c>
      <c r="H3990" s="917">
        <f>VLOOKUP($A3990,'Tech Litons'!$A:$I,9,FALSE)</f>
        <v>130</v>
      </c>
      <c r="I3990" s="917" t="str">
        <f>VLOOKUP($A3990,'Tech Litons'!$A:$C,3,0)</f>
        <v>PG</v>
      </c>
      <c r="J3990" s="918" t="str">
        <f t="shared" si="402"/>
        <v>2904PG</v>
      </c>
      <c r="K3990" s="919">
        <v>1</v>
      </c>
      <c r="L3990" s="920">
        <f t="shared" si="403"/>
        <v>1582</v>
      </c>
      <c r="M3990" s="920">
        <f t="shared" si="404"/>
        <v>8.3339759999999998</v>
      </c>
      <c r="N3990" s="920">
        <f t="shared" si="405"/>
        <v>12.169230769230769</v>
      </c>
      <c r="O3990" s="918" t="str">
        <f t="shared" si="406"/>
        <v>Mar</v>
      </c>
      <c r="P3990" s="921">
        <f t="shared" si="407"/>
        <v>11</v>
      </c>
    </row>
    <row r="3991" spans="1:16" ht="15" hidden="1" customHeight="1">
      <c r="A3991" s="839">
        <v>64341106</v>
      </c>
      <c r="B3991" s="839">
        <v>2904</v>
      </c>
      <c r="C3991" s="906">
        <v>1418</v>
      </c>
      <c r="D3991" s="907">
        <v>46095</v>
      </c>
      <c r="E3991" s="839" t="s">
        <v>293</v>
      </c>
      <c r="F3991" s="839" t="s">
        <v>227</v>
      </c>
      <c r="G3991" s="916">
        <f>VLOOKUP($A3991,'Tech Litons'!$A:$I,8,FALSE)</f>
        <v>5.2680000000000001E-3</v>
      </c>
      <c r="H3991" s="917">
        <f>VLOOKUP($A3991,'Tech Litons'!$A:$I,9,FALSE)</f>
        <v>130</v>
      </c>
      <c r="I3991" s="917" t="str">
        <f>VLOOKUP($A3991,'Tech Litons'!$A:$C,3,0)</f>
        <v>PG</v>
      </c>
      <c r="J3991" s="918" t="str">
        <f t="shared" si="402"/>
        <v>2904PG</v>
      </c>
      <c r="K3991" s="919">
        <v>1</v>
      </c>
      <c r="L3991" s="920">
        <f t="shared" si="403"/>
        <v>1418</v>
      </c>
      <c r="M3991" s="920">
        <f t="shared" si="404"/>
        <v>7.4700240000000004</v>
      </c>
      <c r="N3991" s="920">
        <f t="shared" si="405"/>
        <v>10.907692307692308</v>
      </c>
      <c r="O3991" s="918" t="str">
        <f t="shared" si="406"/>
        <v>Mar</v>
      </c>
      <c r="P3991" s="921">
        <f t="shared" si="407"/>
        <v>11</v>
      </c>
    </row>
    <row r="3992" spans="1:16" ht="15" hidden="1" customHeight="1">
      <c r="A3992" s="839">
        <v>64341106</v>
      </c>
      <c r="B3992" s="839">
        <v>2904</v>
      </c>
      <c r="C3992" s="906">
        <v>3221</v>
      </c>
      <c r="D3992" s="907">
        <v>46097</v>
      </c>
      <c r="E3992" s="839" t="s">
        <v>293</v>
      </c>
      <c r="F3992" s="839" t="s">
        <v>227</v>
      </c>
      <c r="G3992" s="916">
        <f>VLOOKUP($A3992,'Tech Litons'!$A:$I,8,FALSE)</f>
        <v>5.2680000000000001E-3</v>
      </c>
      <c r="H3992" s="917">
        <f>VLOOKUP($A3992,'Tech Litons'!$A:$I,9,FALSE)</f>
        <v>130</v>
      </c>
      <c r="I3992" s="917" t="str">
        <f>VLOOKUP($A3992,'Tech Litons'!$A:$C,3,0)</f>
        <v>PG</v>
      </c>
      <c r="J3992" s="918" t="str">
        <f t="shared" si="402"/>
        <v>2904PG</v>
      </c>
      <c r="K3992" s="919">
        <v>1</v>
      </c>
      <c r="L3992" s="920">
        <f t="shared" si="403"/>
        <v>3221</v>
      </c>
      <c r="M3992" s="920">
        <f t="shared" si="404"/>
        <v>16.968228</v>
      </c>
      <c r="N3992" s="920">
        <f t="shared" si="405"/>
        <v>24.776923076923076</v>
      </c>
      <c r="O3992" s="918" t="str">
        <f t="shared" si="406"/>
        <v>Mar</v>
      </c>
      <c r="P3992" s="921">
        <f t="shared" si="407"/>
        <v>12</v>
      </c>
    </row>
    <row r="3993" spans="1:16" ht="15" hidden="1" customHeight="1">
      <c r="A3993" s="839">
        <v>64341106</v>
      </c>
      <c r="B3993" s="839">
        <v>2904</v>
      </c>
      <c r="C3993" s="906">
        <v>2210</v>
      </c>
      <c r="D3993" s="907">
        <v>46097</v>
      </c>
      <c r="E3993" s="839" t="s">
        <v>293</v>
      </c>
      <c r="F3993" s="839" t="s">
        <v>227</v>
      </c>
      <c r="G3993" s="916">
        <f>VLOOKUP($A3993,'Tech Litons'!$A:$I,8,FALSE)</f>
        <v>5.2680000000000001E-3</v>
      </c>
      <c r="H3993" s="917">
        <f>VLOOKUP($A3993,'Tech Litons'!$A:$I,9,FALSE)</f>
        <v>130</v>
      </c>
      <c r="I3993" s="917" t="str">
        <f>VLOOKUP($A3993,'Tech Litons'!$A:$C,3,0)</f>
        <v>PG</v>
      </c>
      <c r="J3993" s="918" t="str">
        <f t="shared" si="402"/>
        <v>2904PG</v>
      </c>
      <c r="K3993" s="919">
        <v>1</v>
      </c>
      <c r="L3993" s="920">
        <f t="shared" si="403"/>
        <v>2210</v>
      </c>
      <c r="M3993" s="920">
        <f t="shared" si="404"/>
        <v>11.64228</v>
      </c>
      <c r="N3993" s="920">
        <f t="shared" si="405"/>
        <v>17</v>
      </c>
      <c r="O3993" s="918" t="str">
        <f t="shared" si="406"/>
        <v>Mar</v>
      </c>
      <c r="P3993" s="921">
        <f t="shared" si="407"/>
        <v>12</v>
      </c>
    </row>
    <row r="3994" spans="1:16" ht="15" hidden="1" customHeight="1">
      <c r="A3994" s="839">
        <v>64341106</v>
      </c>
      <c r="B3994" s="839">
        <v>2904</v>
      </c>
      <c r="C3994" s="906">
        <v>520</v>
      </c>
      <c r="D3994" s="907">
        <v>46098</v>
      </c>
      <c r="E3994" s="839" t="s">
        <v>293</v>
      </c>
      <c r="F3994" s="839" t="s">
        <v>227</v>
      </c>
      <c r="G3994" s="916">
        <f>VLOOKUP($A3994,'Tech Litons'!$A:$I,8,FALSE)</f>
        <v>5.2680000000000001E-3</v>
      </c>
      <c r="H3994" s="917">
        <f>VLOOKUP($A3994,'Tech Litons'!$A:$I,9,FALSE)</f>
        <v>130</v>
      </c>
      <c r="I3994" s="917" t="str">
        <f>VLOOKUP($A3994,'Tech Litons'!$A:$C,3,0)</f>
        <v>PG</v>
      </c>
      <c r="J3994" s="918" t="str">
        <f t="shared" si="402"/>
        <v>2904PG</v>
      </c>
      <c r="K3994" s="919">
        <v>1</v>
      </c>
      <c r="L3994" s="920">
        <f t="shared" si="403"/>
        <v>520</v>
      </c>
      <c r="M3994" s="920">
        <f t="shared" si="404"/>
        <v>2.73936</v>
      </c>
      <c r="N3994" s="920">
        <f t="shared" si="405"/>
        <v>4</v>
      </c>
      <c r="O3994" s="918" t="str">
        <f t="shared" si="406"/>
        <v>Mar</v>
      </c>
      <c r="P3994" s="921">
        <f t="shared" si="407"/>
        <v>12</v>
      </c>
    </row>
    <row r="3995" spans="1:16" ht="15" hidden="1" customHeight="1">
      <c r="A3995" s="839">
        <v>64341106</v>
      </c>
      <c r="B3995" s="839">
        <v>2904</v>
      </c>
      <c r="C3995" s="906">
        <v>309</v>
      </c>
      <c r="D3995" s="907">
        <v>46099</v>
      </c>
      <c r="E3995" s="839" t="s">
        <v>293</v>
      </c>
      <c r="F3995" s="839" t="s">
        <v>227</v>
      </c>
      <c r="G3995" s="916">
        <f>VLOOKUP($A3995,'Tech Litons'!$A:$I,8,FALSE)</f>
        <v>5.2680000000000001E-3</v>
      </c>
      <c r="H3995" s="917">
        <f>VLOOKUP($A3995,'Tech Litons'!$A:$I,9,FALSE)</f>
        <v>130</v>
      </c>
      <c r="I3995" s="917" t="str">
        <f>VLOOKUP($A3995,'Tech Litons'!$A:$C,3,0)</f>
        <v>PG</v>
      </c>
      <c r="J3995" s="918" t="str">
        <f t="shared" si="402"/>
        <v>2904PG</v>
      </c>
      <c r="K3995" s="919">
        <v>1</v>
      </c>
      <c r="L3995" s="920">
        <f t="shared" si="403"/>
        <v>309</v>
      </c>
      <c r="M3995" s="920">
        <f t="shared" si="404"/>
        <v>1.627812</v>
      </c>
      <c r="N3995" s="920">
        <f t="shared" si="405"/>
        <v>2.3769230769230769</v>
      </c>
      <c r="O3995" s="918" t="str">
        <f t="shared" si="406"/>
        <v>Mar</v>
      </c>
      <c r="P3995" s="921">
        <f t="shared" si="407"/>
        <v>12</v>
      </c>
    </row>
    <row r="3996" spans="1:16" ht="15" hidden="1" customHeight="1">
      <c r="A3996" s="839">
        <v>64341106</v>
      </c>
      <c r="B3996" s="839">
        <v>2904</v>
      </c>
      <c r="C3996" s="906">
        <v>1170</v>
      </c>
      <c r="D3996" s="907">
        <v>46084</v>
      </c>
      <c r="E3996" s="839" t="s">
        <v>293</v>
      </c>
      <c r="F3996" s="839" t="s">
        <v>227</v>
      </c>
      <c r="G3996" s="916">
        <f>VLOOKUP($A3996,'Tech Litons'!$A:$I,8,FALSE)</f>
        <v>5.2680000000000001E-3</v>
      </c>
      <c r="H3996" s="917">
        <f>VLOOKUP($A3996,'Tech Litons'!$A:$I,9,FALSE)</f>
        <v>130</v>
      </c>
      <c r="I3996" s="917" t="str">
        <f>VLOOKUP($A3996,'Tech Litons'!$A:$C,3,0)</f>
        <v>PG</v>
      </c>
      <c r="J3996" s="918" t="str">
        <f t="shared" si="402"/>
        <v>2904PG</v>
      </c>
      <c r="K3996" s="919">
        <v>1</v>
      </c>
      <c r="L3996" s="920">
        <f t="shared" si="403"/>
        <v>1170</v>
      </c>
      <c r="M3996" s="920">
        <f t="shared" si="404"/>
        <v>6.1635600000000004</v>
      </c>
      <c r="N3996" s="920">
        <f t="shared" si="405"/>
        <v>9</v>
      </c>
      <c r="O3996" s="918" t="str">
        <f t="shared" si="406"/>
        <v>Mar</v>
      </c>
      <c r="P3996" s="921">
        <f t="shared" si="407"/>
        <v>10</v>
      </c>
    </row>
    <row r="3997" spans="1:16" ht="15" hidden="1" customHeight="1">
      <c r="A3997" s="839">
        <v>64341106</v>
      </c>
      <c r="B3997" s="839">
        <v>2904</v>
      </c>
      <c r="C3997" s="906">
        <v>1146</v>
      </c>
      <c r="D3997" s="907">
        <v>46084</v>
      </c>
      <c r="E3997" s="839" t="s">
        <v>293</v>
      </c>
      <c r="F3997" s="839" t="s">
        <v>227</v>
      </c>
      <c r="G3997" s="916">
        <f>VLOOKUP($A3997,'Tech Litons'!$A:$I,8,FALSE)</f>
        <v>5.2680000000000001E-3</v>
      </c>
      <c r="H3997" s="917">
        <f>VLOOKUP($A3997,'Tech Litons'!$A:$I,9,FALSE)</f>
        <v>130</v>
      </c>
      <c r="I3997" s="917" t="str">
        <f>VLOOKUP($A3997,'Tech Litons'!$A:$C,3,0)</f>
        <v>PG</v>
      </c>
      <c r="J3997" s="918" t="str">
        <f t="shared" si="402"/>
        <v>2904PG</v>
      </c>
      <c r="K3997" s="919">
        <v>1</v>
      </c>
      <c r="L3997" s="920">
        <f t="shared" si="403"/>
        <v>1146</v>
      </c>
      <c r="M3997" s="920">
        <f t="shared" si="404"/>
        <v>6.037128</v>
      </c>
      <c r="N3997" s="920">
        <f t="shared" si="405"/>
        <v>8.815384615384616</v>
      </c>
      <c r="O3997" s="918" t="str">
        <f t="shared" si="406"/>
        <v>Mar</v>
      </c>
      <c r="P3997" s="921">
        <f t="shared" si="407"/>
        <v>10</v>
      </c>
    </row>
    <row r="3998" spans="1:16" ht="15" hidden="1" customHeight="1">
      <c r="A3998" s="839">
        <v>64341106</v>
      </c>
      <c r="B3998" s="839">
        <v>2904</v>
      </c>
      <c r="C3998" s="906">
        <v>1194</v>
      </c>
      <c r="D3998" s="907">
        <v>46085</v>
      </c>
      <c r="E3998" s="839" t="s">
        <v>293</v>
      </c>
      <c r="F3998" s="839" t="s">
        <v>227</v>
      </c>
      <c r="G3998" s="916">
        <f>VLOOKUP($A3998,'Tech Litons'!$A:$I,8,FALSE)</f>
        <v>5.2680000000000001E-3</v>
      </c>
      <c r="H3998" s="917">
        <f>VLOOKUP($A3998,'Tech Litons'!$A:$I,9,FALSE)</f>
        <v>130</v>
      </c>
      <c r="I3998" s="917" t="str">
        <f>VLOOKUP($A3998,'Tech Litons'!$A:$C,3,0)</f>
        <v>PG</v>
      </c>
      <c r="J3998" s="918" t="str">
        <f t="shared" si="402"/>
        <v>2904PG</v>
      </c>
      <c r="K3998" s="919">
        <v>1</v>
      </c>
      <c r="L3998" s="920">
        <f t="shared" si="403"/>
        <v>1194</v>
      </c>
      <c r="M3998" s="920">
        <f t="shared" si="404"/>
        <v>6.2899919999999998</v>
      </c>
      <c r="N3998" s="920">
        <f t="shared" si="405"/>
        <v>9.184615384615384</v>
      </c>
      <c r="O3998" s="918" t="str">
        <f t="shared" si="406"/>
        <v>Mar</v>
      </c>
      <c r="P3998" s="921">
        <f t="shared" si="407"/>
        <v>10</v>
      </c>
    </row>
    <row r="3999" spans="1:16" ht="15" hidden="1" customHeight="1">
      <c r="A3999" s="839">
        <v>64341106</v>
      </c>
      <c r="B3999" s="839">
        <v>2904</v>
      </c>
      <c r="C3999" s="906">
        <v>988</v>
      </c>
      <c r="D3999" s="907">
        <v>46085</v>
      </c>
      <c r="E3999" s="839" t="s">
        <v>293</v>
      </c>
      <c r="F3999" s="839" t="s">
        <v>227</v>
      </c>
      <c r="G3999" s="916">
        <f>VLOOKUP($A3999,'Tech Litons'!$A:$I,8,FALSE)</f>
        <v>5.2680000000000001E-3</v>
      </c>
      <c r="H3999" s="917">
        <f>VLOOKUP($A3999,'Tech Litons'!$A:$I,9,FALSE)</f>
        <v>130</v>
      </c>
      <c r="I3999" s="917" t="str">
        <f>VLOOKUP($A3999,'Tech Litons'!$A:$C,3,0)</f>
        <v>PG</v>
      </c>
      <c r="J3999" s="918" t="str">
        <f t="shared" si="402"/>
        <v>2904PG</v>
      </c>
      <c r="K3999" s="919">
        <v>1</v>
      </c>
      <c r="L3999" s="920">
        <f t="shared" si="403"/>
        <v>988</v>
      </c>
      <c r="M3999" s="920">
        <f t="shared" si="404"/>
        <v>5.2047840000000001</v>
      </c>
      <c r="N3999" s="920">
        <f t="shared" si="405"/>
        <v>7.6</v>
      </c>
      <c r="O3999" s="918" t="str">
        <f t="shared" si="406"/>
        <v>Mar</v>
      </c>
      <c r="P3999" s="921">
        <f t="shared" si="407"/>
        <v>10</v>
      </c>
    </row>
    <row r="4000" spans="1:16" ht="15" hidden="1" customHeight="1">
      <c r="A4000" s="839">
        <v>64341106</v>
      </c>
      <c r="B4000" s="839">
        <v>2904</v>
      </c>
      <c r="C4000" s="906">
        <v>1502</v>
      </c>
      <c r="D4000" s="907">
        <v>46086</v>
      </c>
      <c r="E4000" s="839" t="s">
        <v>293</v>
      </c>
      <c r="F4000" s="839" t="s">
        <v>227</v>
      </c>
      <c r="G4000" s="916">
        <f>VLOOKUP($A4000,'Tech Litons'!$A:$I,8,FALSE)</f>
        <v>5.2680000000000001E-3</v>
      </c>
      <c r="H4000" s="917">
        <f>VLOOKUP($A4000,'Tech Litons'!$A:$I,9,FALSE)</f>
        <v>130</v>
      </c>
      <c r="I4000" s="917" t="str">
        <f>VLOOKUP($A4000,'Tech Litons'!$A:$C,3,0)</f>
        <v>PG</v>
      </c>
      <c r="J4000" s="918" t="str">
        <f t="shared" si="402"/>
        <v>2904PG</v>
      </c>
      <c r="K4000" s="919">
        <v>1</v>
      </c>
      <c r="L4000" s="920">
        <f t="shared" si="403"/>
        <v>1502</v>
      </c>
      <c r="M4000" s="920">
        <f t="shared" si="404"/>
        <v>7.9125360000000002</v>
      </c>
      <c r="N4000" s="920">
        <f t="shared" si="405"/>
        <v>11.553846153846154</v>
      </c>
      <c r="O4000" s="918" t="str">
        <f t="shared" si="406"/>
        <v>Mar</v>
      </c>
      <c r="P4000" s="921">
        <f t="shared" si="407"/>
        <v>10</v>
      </c>
    </row>
    <row r="4001" spans="1:16" ht="15" hidden="1" customHeight="1">
      <c r="A4001" s="839">
        <v>64341106</v>
      </c>
      <c r="B4001" s="839">
        <v>2904</v>
      </c>
      <c r="C4001" s="906">
        <v>128</v>
      </c>
      <c r="D4001" s="907">
        <v>46087</v>
      </c>
      <c r="E4001" s="839" t="s">
        <v>293</v>
      </c>
      <c r="F4001" s="839" t="s">
        <v>227</v>
      </c>
      <c r="G4001" s="916">
        <f>VLOOKUP($A4001,'Tech Litons'!$A:$I,8,FALSE)</f>
        <v>5.2680000000000001E-3</v>
      </c>
      <c r="H4001" s="917">
        <f>VLOOKUP($A4001,'Tech Litons'!$A:$I,9,FALSE)</f>
        <v>130</v>
      </c>
      <c r="I4001" s="917" t="str">
        <f>VLOOKUP($A4001,'Tech Litons'!$A:$C,3,0)</f>
        <v>PG</v>
      </c>
      <c r="J4001" s="918" t="str">
        <f t="shared" si="402"/>
        <v>2904PG</v>
      </c>
      <c r="K4001" s="919">
        <v>1</v>
      </c>
      <c r="L4001" s="920">
        <f t="shared" si="403"/>
        <v>128</v>
      </c>
      <c r="M4001" s="920">
        <f t="shared" si="404"/>
        <v>0.67430400000000001</v>
      </c>
      <c r="N4001" s="920">
        <f t="shared" si="405"/>
        <v>0.98461538461538467</v>
      </c>
      <c r="O4001" s="918" t="str">
        <f t="shared" si="406"/>
        <v>Mar</v>
      </c>
      <c r="P4001" s="921">
        <f t="shared" si="407"/>
        <v>10</v>
      </c>
    </row>
    <row r="4002" spans="1:16" ht="15" hidden="1" customHeight="1">
      <c r="A4002" s="839">
        <v>64341106</v>
      </c>
      <c r="B4002" s="839">
        <v>2904</v>
      </c>
      <c r="C4002" s="906">
        <v>-139</v>
      </c>
      <c r="D4002" s="907">
        <v>46090</v>
      </c>
      <c r="E4002" s="839" t="s">
        <v>293</v>
      </c>
      <c r="F4002" s="839" t="s">
        <v>227</v>
      </c>
      <c r="G4002" s="916">
        <f>VLOOKUP($A4002,'Tech Litons'!$A:$I,8,FALSE)</f>
        <v>5.2680000000000001E-3</v>
      </c>
      <c r="H4002" s="917">
        <f>VLOOKUP($A4002,'Tech Litons'!$A:$I,9,FALSE)</f>
        <v>130</v>
      </c>
      <c r="I4002" s="917" t="str">
        <f>VLOOKUP($A4002,'Tech Litons'!$A:$C,3,0)</f>
        <v>PG</v>
      </c>
      <c r="J4002" s="918" t="str">
        <f t="shared" si="402"/>
        <v>2904PG</v>
      </c>
      <c r="K4002" s="919">
        <v>1</v>
      </c>
      <c r="L4002" s="920">
        <f t="shared" si="403"/>
        <v>-139</v>
      </c>
      <c r="M4002" s="920">
        <f t="shared" si="404"/>
        <v>-0.73225200000000001</v>
      </c>
      <c r="N4002" s="920">
        <f t="shared" si="405"/>
        <v>-1.0692307692307692</v>
      </c>
      <c r="O4002" s="918" t="str">
        <f t="shared" si="406"/>
        <v>Mar</v>
      </c>
      <c r="P4002" s="921">
        <f t="shared" si="407"/>
        <v>11</v>
      </c>
    </row>
    <row r="4003" spans="1:16" ht="15" hidden="1" customHeight="1">
      <c r="A4003" s="839">
        <v>64341106</v>
      </c>
      <c r="B4003" s="839">
        <v>2904</v>
      </c>
      <c r="C4003" s="906">
        <v>124</v>
      </c>
      <c r="D4003" s="907">
        <v>46086</v>
      </c>
      <c r="E4003" s="839" t="s">
        <v>293</v>
      </c>
      <c r="F4003" s="839" t="s">
        <v>227</v>
      </c>
      <c r="G4003" s="916">
        <f>VLOOKUP($A4003,'Tech Litons'!$A:$I,8,FALSE)</f>
        <v>5.2680000000000001E-3</v>
      </c>
      <c r="H4003" s="917">
        <f>VLOOKUP($A4003,'Tech Litons'!$A:$I,9,FALSE)</f>
        <v>130</v>
      </c>
      <c r="I4003" s="917" t="str">
        <f>VLOOKUP($A4003,'Tech Litons'!$A:$C,3,0)</f>
        <v>PG</v>
      </c>
      <c r="J4003" s="918" t="str">
        <f t="shared" si="402"/>
        <v>2904PG</v>
      </c>
      <c r="K4003" s="919">
        <v>1</v>
      </c>
      <c r="L4003" s="920">
        <f t="shared" si="403"/>
        <v>124</v>
      </c>
      <c r="M4003" s="920">
        <f t="shared" si="404"/>
        <v>0.65323200000000003</v>
      </c>
      <c r="N4003" s="920">
        <f t="shared" si="405"/>
        <v>0.9538461538461539</v>
      </c>
      <c r="O4003" s="918" t="str">
        <f t="shared" si="406"/>
        <v>Mar</v>
      </c>
      <c r="P4003" s="921">
        <f t="shared" si="407"/>
        <v>10</v>
      </c>
    </row>
    <row r="4004" spans="1:16" ht="15" hidden="1" customHeight="1">
      <c r="A4004" s="839">
        <v>64341106</v>
      </c>
      <c r="B4004" s="839">
        <v>2904</v>
      </c>
      <c r="C4004" s="906">
        <v>870</v>
      </c>
      <c r="D4004" s="907">
        <v>46087</v>
      </c>
      <c r="E4004" s="839" t="s">
        <v>293</v>
      </c>
      <c r="F4004" s="839" t="s">
        <v>227</v>
      </c>
      <c r="G4004" s="916">
        <f>VLOOKUP($A4004,'Tech Litons'!$A:$I,8,FALSE)</f>
        <v>5.2680000000000001E-3</v>
      </c>
      <c r="H4004" s="917">
        <f>VLOOKUP($A4004,'Tech Litons'!$A:$I,9,FALSE)</f>
        <v>130</v>
      </c>
      <c r="I4004" s="917" t="str">
        <f>VLOOKUP($A4004,'Tech Litons'!$A:$C,3,0)</f>
        <v>PG</v>
      </c>
      <c r="J4004" s="918" t="str">
        <f t="shared" si="402"/>
        <v>2904PG</v>
      </c>
      <c r="K4004" s="919">
        <v>1</v>
      </c>
      <c r="L4004" s="920">
        <f t="shared" si="403"/>
        <v>870</v>
      </c>
      <c r="M4004" s="920">
        <f t="shared" si="404"/>
        <v>4.5831600000000003</v>
      </c>
      <c r="N4004" s="920">
        <f t="shared" si="405"/>
        <v>6.6923076923076925</v>
      </c>
      <c r="O4004" s="918" t="str">
        <f t="shared" si="406"/>
        <v>Mar</v>
      </c>
      <c r="P4004" s="921">
        <f t="shared" si="407"/>
        <v>10</v>
      </c>
    </row>
    <row r="4005" spans="1:16" ht="15" hidden="1" customHeight="1">
      <c r="A4005" s="839">
        <v>64341106</v>
      </c>
      <c r="B4005" s="839">
        <v>2904</v>
      </c>
      <c r="C4005" s="906">
        <v>2047</v>
      </c>
      <c r="D4005" s="907">
        <v>46088</v>
      </c>
      <c r="E4005" s="839" t="s">
        <v>293</v>
      </c>
      <c r="F4005" s="839" t="s">
        <v>227</v>
      </c>
      <c r="G4005" s="916">
        <f>VLOOKUP($A4005,'Tech Litons'!$A:$I,8,FALSE)</f>
        <v>5.2680000000000001E-3</v>
      </c>
      <c r="H4005" s="917">
        <f>VLOOKUP($A4005,'Tech Litons'!$A:$I,9,FALSE)</f>
        <v>130</v>
      </c>
      <c r="I4005" s="917" t="str">
        <f>VLOOKUP($A4005,'Tech Litons'!$A:$C,3,0)</f>
        <v>PG</v>
      </c>
      <c r="J4005" s="918" t="str">
        <f t="shared" si="402"/>
        <v>2904PG</v>
      </c>
      <c r="K4005" s="919">
        <v>1</v>
      </c>
      <c r="L4005" s="920">
        <f t="shared" si="403"/>
        <v>2047</v>
      </c>
      <c r="M4005" s="920">
        <f t="shared" si="404"/>
        <v>10.783596000000001</v>
      </c>
      <c r="N4005" s="920">
        <f t="shared" si="405"/>
        <v>15.746153846153845</v>
      </c>
      <c r="O4005" s="918" t="str">
        <f t="shared" si="406"/>
        <v>Mar</v>
      </c>
      <c r="P4005" s="921">
        <f t="shared" si="407"/>
        <v>10</v>
      </c>
    </row>
    <row r="4006" spans="1:16" ht="15" hidden="1" customHeight="1">
      <c r="A4006" s="839">
        <v>64341106</v>
      </c>
      <c r="B4006" s="839">
        <v>2904</v>
      </c>
      <c r="C4006" s="906">
        <v>39</v>
      </c>
      <c r="D4006" s="907">
        <v>46088</v>
      </c>
      <c r="E4006" s="839" t="s">
        <v>293</v>
      </c>
      <c r="F4006" s="839" t="s">
        <v>227</v>
      </c>
      <c r="G4006" s="916">
        <f>VLOOKUP($A4006,'Tech Litons'!$A:$I,8,FALSE)</f>
        <v>5.2680000000000001E-3</v>
      </c>
      <c r="H4006" s="917">
        <f>VLOOKUP($A4006,'Tech Litons'!$A:$I,9,FALSE)</f>
        <v>130</v>
      </c>
      <c r="I4006" s="917" t="str">
        <f>VLOOKUP($A4006,'Tech Litons'!$A:$C,3,0)</f>
        <v>PG</v>
      </c>
      <c r="J4006" s="918" t="str">
        <f t="shared" si="402"/>
        <v>2904PG</v>
      </c>
      <c r="K4006" s="919">
        <v>1</v>
      </c>
      <c r="L4006" s="920">
        <f t="shared" si="403"/>
        <v>39</v>
      </c>
      <c r="M4006" s="920">
        <f t="shared" si="404"/>
        <v>0.205452</v>
      </c>
      <c r="N4006" s="920">
        <f t="shared" si="405"/>
        <v>0.3</v>
      </c>
      <c r="O4006" s="918" t="str">
        <f t="shared" si="406"/>
        <v>Mar</v>
      </c>
      <c r="P4006" s="921">
        <f t="shared" si="407"/>
        <v>10</v>
      </c>
    </row>
    <row r="4007" spans="1:16" ht="15" hidden="1" customHeight="1">
      <c r="A4007" s="839">
        <v>64341106</v>
      </c>
      <c r="B4007" s="839">
        <v>2904</v>
      </c>
      <c r="C4007" s="906">
        <v>837</v>
      </c>
      <c r="D4007" s="907">
        <v>46089</v>
      </c>
      <c r="E4007" s="839" t="s">
        <v>293</v>
      </c>
      <c r="F4007" s="839" t="s">
        <v>227</v>
      </c>
      <c r="G4007" s="916">
        <f>VLOOKUP($A4007,'Tech Litons'!$A:$I,8,FALSE)</f>
        <v>5.2680000000000001E-3</v>
      </c>
      <c r="H4007" s="917">
        <f>VLOOKUP($A4007,'Tech Litons'!$A:$I,9,FALSE)</f>
        <v>130</v>
      </c>
      <c r="I4007" s="917" t="str">
        <f>VLOOKUP($A4007,'Tech Litons'!$A:$C,3,0)</f>
        <v>PG</v>
      </c>
      <c r="J4007" s="918" t="str">
        <f t="shared" si="402"/>
        <v>2904PG</v>
      </c>
      <c r="K4007" s="919">
        <v>1</v>
      </c>
      <c r="L4007" s="920">
        <f t="shared" si="403"/>
        <v>837</v>
      </c>
      <c r="M4007" s="920">
        <f t="shared" si="404"/>
        <v>4.4093160000000005</v>
      </c>
      <c r="N4007" s="920">
        <f t="shared" si="405"/>
        <v>6.4384615384615387</v>
      </c>
      <c r="O4007" s="918" t="str">
        <f t="shared" si="406"/>
        <v>Mar</v>
      </c>
      <c r="P4007" s="921">
        <f t="shared" si="407"/>
        <v>11</v>
      </c>
    </row>
    <row r="4008" spans="1:16" ht="15" hidden="1" customHeight="1">
      <c r="A4008" s="839">
        <v>64341106</v>
      </c>
      <c r="B4008" s="839">
        <v>2904</v>
      </c>
      <c r="C4008" s="906">
        <v>166</v>
      </c>
      <c r="D4008" s="907">
        <v>46089</v>
      </c>
      <c r="E4008" s="839" t="s">
        <v>293</v>
      </c>
      <c r="F4008" s="839" t="s">
        <v>227</v>
      </c>
      <c r="G4008" s="916">
        <f>VLOOKUP($A4008,'Tech Litons'!$A:$I,8,FALSE)</f>
        <v>5.2680000000000001E-3</v>
      </c>
      <c r="H4008" s="917">
        <f>VLOOKUP($A4008,'Tech Litons'!$A:$I,9,FALSE)</f>
        <v>130</v>
      </c>
      <c r="I4008" s="917" t="str">
        <f>VLOOKUP($A4008,'Tech Litons'!$A:$C,3,0)</f>
        <v>PG</v>
      </c>
      <c r="J4008" s="918" t="str">
        <f t="shared" si="402"/>
        <v>2904PG</v>
      </c>
      <c r="K4008" s="919">
        <v>1</v>
      </c>
      <c r="L4008" s="920">
        <f t="shared" si="403"/>
        <v>166</v>
      </c>
      <c r="M4008" s="920">
        <f t="shared" si="404"/>
        <v>0.87448800000000004</v>
      </c>
      <c r="N4008" s="920">
        <f t="shared" si="405"/>
        <v>1.2769230769230768</v>
      </c>
      <c r="O4008" s="918" t="str">
        <f t="shared" si="406"/>
        <v>Mar</v>
      </c>
      <c r="P4008" s="921">
        <f t="shared" si="407"/>
        <v>11</v>
      </c>
    </row>
    <row r="4009" spans="1:16" ht="15" hidden="1" customHeight="1">
      <c r="A4009" s="839">
        <v>64341106</v>
      </c>
      <c r="B4009" s="839">
        <v>2904</v>
      </c>
      <c r="C4009" s="906">
        <v>1034</v>
      </c>
      <c r="D4009" s="907">
        <v>46090</v>
      </c>
      <c r="E4009" s="839" t="s">
        <v>293</v>
      </c>
      <c r="F4009" s="839" t="s">
        <v>227</v>
      </c>
      <c r="G4009" s="916">
        <f>VLOOKUP($A4009,'Tech Litons'!$A:$I,8,FALSE)</f>
        <v>5.2680000000000001E-3</v>
      </c>
      <c r="H4009" s="917">
        <f>VLOOKUP($A4009,'Tech Litons'!$A:$I,9,FALSE)</f>
        <v>130</v>
      </c>
      <c r="I4009" s="917" t="str">
        <f>VLOOKUP($A4009,'Tech Litons'!$A:$C,3,0)</f>
        <v>PG</v>
      </c>
      <c r="J4009" s="918" t="str">
        <f t="shared" si="402"/>
        <v>2904PG</v>
      </c>
      <c r="K4009" s="919">
        <v>1</v>
      </c>
      <c r="L4009" s="920">
        <f t="shared" si="403"/>
        <v>1034</v>
      </c>
      <c r="M4009" s="920">
        <f t="shared" si="404"/>
        <v>5.4471119999999997</v>
      </c>
      <c r="N4009" s="920">
        <f t="shared" si="405"/>
        <v>7.953846153846154</v>
      </c>
      <c r="O4009" s="918" t="str">
        <f t="shared" si="406"/>
        <v>Mar</v>
      </c>
      <c r="P4009" s="921">
        <f t="shared" si="407"/>
        <v>11</v>
      </c>
    </row>
    <row r="4010" spans="1:16" ht="15" hidden="1" customHeight="1">
      <c r="A4010" s="839">
        <v>64341106</v>
      </c>
      <c r="B4010" s="839">
        <v>2904</v>
      </c>
      <c r="C4010" s="906">
        <v>1690</v>
      </c>
      <c r="D4010" s="907">
        <v>46097</v>
      </c>
      <c r="E4010" s="839" t="s">
        <v>293</v>
      </c>
      <c r="F4010" s="839" t="s">
        <v>227</v>
      </c>
      <c r="G4010" s="916">
        <f>VLOOKUP($A4010,'Tech Litons'!$A:$I,8,FALSE)</f>
        <v>5.2680000000000001E-3</v>
      </c>
      <c r="H4010" s="917">
        <f>VLOOKUP($A4010,'Tech Litons'!$A:$I,9,FALSE)</f>
        <v>130</v>
      </c>
      <c r="I4010" s="917" t="str">
        <f>VLOOKUP($A4010,'Tech Litons'!$A:$C,3,0)</f>
        <v>PG</v>
      </c>
      <c r="J4010" s="918" t="str">
        <f t="shared" si="402"/>
        <v>2904PG</v>
      </c>
      <c r="K4010" s="919">
        <v>1</v>
      </c>
      <c r="L4010" s="920">
        <f t="shared" si="403"/>
        <v>1690</v>
      </c>
      <c r="M4010" s="920">
        <f t="shared" si="404"/>
        <v>8.9029199999999999</v>
      </c>
      <c r="N4010" s="920">
        <f t="shared" si="405"/>
        <v>13</v>
      </c>
      <c r="O4010" s="918" t="str">
        <f t="shared" si="406"/>
        <v>Mar</v>
      </c>
      <c r="P4010" s="921">
        <f t="shared" si="407"/>
        <v>12</v>
      </c>
    </row>
    <row r="4011" spans="1:16" ht="15" hidden="1" customHeight="1">
      <c r="A4011" s="839">
        <v>64341106</v>
      </c>
      <c r="B4011" s="839">
        <v>2904</v>
      </c>
      <c r="C4011" s="906">
        <v>3198</v>
      </c>
      <c r="D4011" s="907">
        <v>46098</v>
      </c>
      <c r="E4011" s="839" t="s">
        <v>293</v>
      </c>
      <c r="F4011" s="839" t="s">
        <v>227</v>
      </c>
      <c r="G4011" s="916">
        <f>VLOOKUP($A4011,'Tech Litons'!$A:$I,8,FALSE)</f>
        <v>5.2680000000000001E-3</v>
      </c>
      <c r="H4011" s="917">
        <f>VLOOKUP($A4011,'Tech Litons'!$A:$I,9,FALSE)</f>
        <v>130</v>
      </c>
      <c r="I4011" s="917" t="str">
        <f>VLOOKUP($A4011,'Tech Litons'!$A:$C,3,0)</f>
        <v>PG</v>
      </c>
      <c r="J4011" s="918" t="str">
        <f t="shared" si="402"/>
        <v>2904PG</v>
      </c>
      <c r="K4011" s="919">
        <v>1</v>
      </c>
      <c r="L4011" s="920">
        <f t="shared" si="403"/>
        <v>3198</v>
      </c>
      <c r="M4011" s="920">
        <f t="shared" si="404"/>
        <v>16.847064</v>
      </c>
      <c r="N4011" s="920">
        <f t="shared" si="405"/>
        <v>24.6</v>
      </c>
      <c r="O4011" s="918" t="str">
        <f t="shared" si="406"/>
        <v>Mar</v>
      </c>
      <c r="P4011" s="921">
        <f t="shared" si="407"/>
        <v>12</v>
      </c>
    </row>
    <row r="4012" spans="1:16" ht="15" hidden="1" customHeight="1">
      <c r="A4012" s="839">
        <v>64341106</v>
      </c>
      <c r="B4012" s="839">
        <v>2904</v>
      </c>
      <c r="C4012" s="906">
        <v>2730</v>
      </c>
      <c r="D4012" s="907">
        <v>46098</v>
      </c>
      <c r="E4012" s="839" t="s">
        <v>293</v>
      </c>
      <c r="F4012" s="839" t="s">
        <v>227</v>
      </c>
      <c r="G4012" s="916">
        <f>VLOOKUP($A4012,'Tech Litons'!$A:$I,8,FALSE)</f>
        <v>5.2680000000000001E-3</v>
      </c>
      <c r="H4012" s="917">
        <f>VLOOKUP($A4012,'Tech Litons'!$A:$I,9,FALSE)</f>
        <v>130</v>
      </c>
      <c r="I4012" s="917" t="str">
        <f>VLOOKUP($A4012,'Tech Litons'!$A:$C,3,0)</f>
        <v>PG</v>
      </c>
      <c r="J4012" s="918" t="str">
        <f t="shared" si="402"/>
        <v>2904PG</v>
      </c>
      <c r="K4012" s="919">
        <v>1</v>
      </c>
      <c r="L4012" s="920">
        <f t="shared" si="403"/>
        <v>2730</v>
      </c>
      <c r="M4012" s="920">
        <f t="shared" si="404"/>
        <v>14.381640000000001</v>
      </c>
      <c r="N4012" s="920">
        <f t="shared" si="405"/>
        <v>21</v>
      </c>
      <c r="O4012" s="918" t="str">
        <f t="shared" si="406"/>
        <v>Mar</v>
      </c>
      <c r="P4012" s="921">
        <f t="shared" si="407"/>
        <v>12</v>
      </c>
    </row>
    <row r="4013" spans="1:16" ht="15" hidden="1" customHeight="1">
      <c r="A4013" s="839">
        <v>64341106</v>
      </c>
      <c r="B4013" s="839">
        <v>2904</v>
      </c>
      <c r="C4013" s="906">
        <v>1977</v>
      </c>
      <c r="D4013" s="907">
        <v>46099</v>
      </c>
      <c r="E4013" s="839" t="s">
        <v>293</v>
      </c>
      <c r="F4013" s="839" t="s">
        <v>227</v>
      </c>
      <c r="G4013" s="916">
        <f>VLOOKUP($A4013,'Tech Litons'!$A:$I,8,FALSE)</f>
        <v>5.2680000000000001E-3</v>
      </c>
      <c r="H4013" s="917">
        <f>VLOOKUP($A4013,'Tech Litons'!$A:$I,9,FALSE)</f>
        <v>130</v>
      </c>
      <c r="I4013" s="917" t="str">
        <f>VLOOKUP($A4013,'Tech Litons'!$A:$C,3,0)</f>
        <v>PG</v>
      </c>
      <c r="J4013" s="918" t="str">
        <f t="shared" si="402"/>
        <v>2904PG</v>
      </c>
      <c r="K4013" s="919">
        <v>1</v>
      </c>
      <c r="L4013" s="920">
        <f t="shared" si="403"/>
        <v>1977</v>
      </c>
      <c r="M4013" s="920">
        <f t="shared" si="404"/>
        <v>10.414836000000001</v>
      </c>
      <c r="N4013" s="920">
        <f t="shared" si="405"/>
        <v>15.207692307692307</v>
      </c>
      <c r="O4013" s="918" t="str">
        <f t="shared" si="406"/>
        <v>Mar</v>
      </c>
      <c r="P4013" s="921">
        <f t="shared" si="407"/>
        <v>12</v>
      </c>
    </row>
    <row r="4014" spans="1:16" ht="15" hidden="1" customHeight="1">
      <c r="A4014" s="839">
        <v>64341106</v>
      </c>
      <c r="B4014" s="839">
        <v>2904</v>
      </c>
      <c r="C4014" s="906">
        <v>793</v>
      </c>
      <c r="D4014" s="907">
        <v>46099</v>
      </c>
      <c r="E4014" s="839" t="s">
        <v>293</v>
      </c>
      <c r="F4014" s="839" t="s">
        <v>227</v>
      </c>
      <c r="G4014" s="916">
        <f>VLOOKUP($A4014,'Tech Litons'!$A:$I,8,FALSE)</f>
        <v>5.2680000000000001E-3</v>
      </c>
      <c r="H4014" s="917">
        <f>VLOOKUP($A4014,'Tech Litons'!$A:$I,9,FALSE)</f>
        <v>130</v>
      </c>
      <c r="I4014" s="917" t="str">
        <f>VLOOKUP($A4014,'Tech Litons'!$A:$C,3,0)</f>
        <v>PG</v>
      </c>
      <c r="J4014" s="918" t="str">
        <f t="shared" si="402"/>
        <v>2904PG</v>
      </c>
      <c r="K4014" s="919">
        <v>1</v>
      </c>
      <c r="L4014" s="920">
        <f t="shared" si="403"/>
        <v>793</v>
      </c>
      <c r="M4014" s="920">
        <f t="shared" si="404"/>
        <v>4.177524</v>
      </c>
      <c r="N4014" s="920">
        <f t="shared" si="405"/>
        <v>6.1</v>
      </c>
      <c r="O4014" s="918" t="str">
        <f t="shared" si="406"/>
        <v>Mar</v>
      </c>
      <c r="P4014" s="921">
        <f t="shared" si="407"/>
        <v>12</v>
      </c>
    </row>
    <row r="4015" spans="1:16" ht="15" hidden="1" customHeight="1">
      <c r="A4015" s="839">
        <v>64341106</v>
      </c>
      <c r="B4015" s="839">
        <v>2904</v>
      </c>
      <c r="C4015" s="906">
        <v>1560</v>
      </c>
      <c r="D4015" s="907">
        <v>46100</v>
      </c>
      <c r="E4015" s="839" t="s">
        <v>293</v>
      </c>
      <c r="F4015" s="839" t="s">
        <v>227</v>
      </c>
      <c r="G4015" s="916">
        <f>VLOOKUP($A4015,'Tech Litons'!$A:$I,8,FALSE)</f>
        <v>5.2680000000000001E-3</v>
      </c>
      <c r="H4015" s="917">
        <f>VLOOKUP($A4015,'Tech Litons'!$A:$I,9,FALSE)</f>
        <v>130</v>
      </c>
      <c r="I4015" s="917" t="str">
        <f>VLOOKUP($A4015,'Tech Litons'!$A:$C,3,0)</f>
        <v>PG</v>
      </c>
      <c r="J4015" s="918" t="str">
        <f t="shared" si="402"/>
        <v>2904PG</v>
      </c>
      <c r="K4015" s="919">
        <v>1</v>
      </c>
      <c r="L4015" s="920">
        <f t="shared" si="403"/>
        <v>1560</v>
      </c>
      <c r="M4015" s="920">
        <f t="shared" si="404"/>
        <v>8.2180800000000005</v>
      </c>
      <c r="N4015" s="920">
        <f t="shared" si="405"/>
        <v>12</v>
      </c>
      <c r="O4015" s="918" t="str">
        <f t="shared" si="406"/>
        <v>Mar</v>
      </c>
      <c r="P4015" s="921">
        <f t="shared" si="407"/>
        <v>12</v>
      </c>
    </row>
    <row r="4016" spans="1:16" ht="15" hidden="1" customHeight="1">
      <c r="A4016" s="839">
        <v>64341106</v>
      </c>
      <c r="B4016" s="839">
        <v>2904</v>
      </c>
      <c r="C4016" s="906">
        <v>2821</v>
      </c>
      <c r="D4016" s="907">
        <v>46100</v>
      </c>
      <c r="E4016" s="839" t="s">
        <v>293</v>
      </c>
      <c r="F4016" s="839" t="s">
        <v>227</v>
      </c>
      <c r="G4016" s="916">
        <f>VLOOKUP($A4016,'Tech Litons'!$A:$I,8,FALSE)</f>
        <v>5.2680000000000001E-3</v>
      </c>
      <c r="H4016" s="917">
        <f>VLOOKUP($A4016,'Tech Litons'!$A:$I,9,FALSE)</f>
        <v>130</v>
      </c>
      <c r="I4016" s="917" t="str">
        <f>VLOOKUP($A4016,'Tech Litons'!$A:$C,3,0)</f>
        <v>PG</v>
      </c>
      <c r="J4016" s="918" t="str">
        <f t="shared" si="402"/>
        <v>2904PG</v>
      </c>
      <c r="K4016" s="919">
        <v>1</v>
      </c>
      <c r="L4016" s="920">
        <f t="shared" si="403"/>
        <v>2821</v>
      </c>
      <c r="M4016" s="920">
        <f t="shared" si="404"/>
        <v>14.861028000000001</v>
      </c>
      <c r="N4016" s="920">
        <f t="shared" si="405"/>
        <v>21.7</v>
      </c>
      <c r="O4016" s="918" t="str">
        <f t="shared" si="406"/>
        <v>Mar</v>
      </c>
      <c r="P4016" s="921">
        <f t="shared" si="407"/>
        <v>12</v>
      </c>
    </row>
    <row r="4017" spans="1:16" ht="15" hidden="1" customHeight="1">
      <c r="A4017" s="839">
        <v>64341106</v>
      </c>
      <c r="B4017" s="839">
        <v>2904</v>
      </c>
      <c r="C4017" s="906">
        <v>2028</v>
      </c>
      <c r="D4017" s="907">
        <v>46101</v>
      </c>
      <c r="E4017" s="839" t="s">
        <v>293</v>
      </c>
      <c r="F4017" s="839" t="s">
        <v>227</v>
      </c>
      <c r="G4017" s="916">
        <f>VLOOKUP($A4017,'Tech Litons'!$A:$I,8,FALSE)</f>
        <v>5.2680000000000001E-3</v>
      </c>
      <c r="H4017" s="917">
        <f>VLOOKUP($A4017,'Tech Litons'!$A:$I,9,FALSE)</f>
        <v>130</v>
      </c>
      <c r="I4017" s="917" t="str">
        <f>VLOOKUP($A4017,'Tech Litons'!$A:$C,3,0)</f>
        <v>PG</v>
      </c>
      <c r="J4017" s="918" t="str">
        <f t="shared" si="402"/>
        <v>2904PG</v>
      </c>
      <c r="K4017" s="919">
        <v>1</v>
      </c>
      <c r="L4017" s="920">
        <f t="shared" si="403"/>
        <v>2028</v>
      </c>
      <c r="M4017" s="920">
        <f t="shared" si="404"/>
        <v>10.683504000000001</v>
      </c>
      <c r="N4017" s="920">
        <f t="shared" si="405"/>
        <v>15.6</v>
      </c>
      <c r="O4017" s="918" t="str">
        <f t="shared" si="406"/>
        <v>Mar</v>
      </c>
      <c r="P4017" s="921">
        <f t="shared" si="407"/>
        <v>12</v>
      </c>
    </row>
    <row r="4018" spans="1:16" ht="15" hidden="1" customHeight="1">
      <c r="A4018" s="839">
        <v>64341106</v>
      </c>
      <c r="B4018" s="839">
        <v>2904</v>
      </c>
      <c r="C4018" s="906">
        <v>225</v>
      </c>
      <c r="D4018" s="907">
        <v>46101</v>
      </c>
      <c r="E4018" s="839" t="s">
        <v>293</v>
      </c>
      <c r="F4018" s="839" t="s">
        <v>227</v>
      </c>
      <c r="G4018" s="916">
        <f>VLOOKUP($A4018,'Tech Litons'!$A:$I,8,FALSE)</f>
        <v>5.2680000000000001E-3</v>
      </c>
      <c r="H4018" s="917">
        <f>VLOOKUP($A4018,'Tech Litons'!$A:$I,9,FALSE)</f>
        <v>130</v>
      </c>
      <c r="I4018" s="917" t="str">
        <f>VLOOKUP($A4018,'Tech Litons'!$A:$C,3,0)</f>
        <v>PG</v>
      </c>
      <c r="J4018" s="918" t="str">
        <f t="shared" ref="J4018:J4081" si="408">B4018&amp;I4018</f>
        <v>2904PG</v>
      </c>
      <c r="K4018" s="919">
        <v>1</v>
      </c>
      <c r="L4018" s="920">
        <f t="shared" ref="L4018:L4081" si="409">C4018*$K4018</f>
        <v>225</v>
      </c>
      <c r="M4018" s="920">
        <f t="shared" ref="M4018:M4081" si="410">L4018*G4018</f>
        <v>1.1853</v>
      </c>
      <c r="N4018" s="920">
        <f t="shared" ref="N4018:N4081" si="411">L4018/H4018</f>
        <v>1.7307692307692308</v>
      </c>
      <c r="O4018" s="918" t="str">
        <f t="shared" ref="O4018:O4081" si="412">TEXT(D4018,"MMM")</f>
        <v>Mar</v>
      </c>
      <c r="P4018" s="921">
        <f t="shared" ref="P4018:P4081" si="413">WEEKNUM(D4018)</f>
        <v>12</v>
      </c>
    </row>
    <row r="4019" spans="1:16" ht="15" hidden="1" customHeight="1">
      <c r="A4019" s="839">
        <v>64341106</v>
      </c>
      <c r="B4019" s="839">
        <v>2904</v>
      </c>
      <c r="C4019" s="906">
        <v>780</v>
      </c>
      <c r="D4019" s="907">
        <v>46102</v>
      </c>
      <c r="E4019" s="839" t="s">
        <v>293</v>
      </c>
      <c r="F4019" s="839" t="s">
        <v>227</v>
      </c>
      <c r="G4019" s="916">
        <f>VLOOKUP($A4019,'Tech Litons'!$A:$I,8,FALSE)</f>
        <v>5.2680000000000001E-3</v>
      </c>
      <c r="H4019" s="917">
        <f>VLOOKUP($A4019,'Tech Litons'!$A:$I,9,FALSE)</f>
        <v>130</v>
      </c>
      <c r="I4019" s="917" t="str">
        <f>VLOOKUP($A4019,'Tech Litons'!$A:$C,3,0)</f>
        <v>PG</v>
      </c>
      <c r="J4019" s="918" t="str">
        <f t="shared" si="408"/>
        <v>2904PG</v>
      </c>
      <c r="K4019" s="919">
        <v>1</v>
      </c>
      <c r="L4019" s="920">
        <f t="shared" si="409"/>
        <v>780</v>
      </c>
      <c r="M4019" s="920">
        <f t="shared" si="410"/>
        <v>4.1090400000000002</v>
      </c>
      <c r="N4019" s="920">
        <f t="shared" si="411"/>
        <v>6</v>
      </c>
      <c r="O4019" s="918" t="str">
        <f t="shared" si="412"/>
        <v>Mar</v>
      </c>
      <c r="P4019" s="921">
        <f t="shared" si="413"/>
        <v>12</v>
      </c>
    </row>
    <row r="4020" spans="1:16" ht="15" hidden="1" customHeight="1">
      <c r="A4020" s="839">
        <v>64341106</v>
      </c>
      <c r="B4020" s="839">
        <v>2904</v>
      </c>
      <c r="C4020" s="906">
        <v>259</v>
      </c>
      <c r="D4020" s="907">
        <v>46102</v>
      </c>
      <c r="E4020" s="839" t="s">
        <v>293</v>
      </c>
      <c r="F4020" s="839" t="s">
        <v>227</v>
      </c>
      <c r="G4020" s="916">
        <f>VLOOKUP($A4020,'Tech Litons'!$A:$I,8,FALSE)</f>
        <v>5.2680000000000001E-3</v>
      </c>
      <c r="H4020" s="917">
        <f>VLOOKUP($A4020,'Tech Litons'!$A:$I,9,FALSE)</f>
        <v>130</v>
      </c>
      <c r="I4020" s="917" t="str">
        <f>VLOOKUP($A4020,'Tech Litons'!$A:$C,3,0)</f>
        <v>PG</v>
      </c>
      <c r="J4020" s="918" t="str">
        <f t="shared" si="408"/>
        <v>2904PG</v>
      </c>
      <c r="K4020" s="919">
        <v>1</v>
      </c>
      <c r="L4020" s="920">
        <f t="shared" si="409"/>
        <v>259</v>
      </c>
      <c r="M4020" s="920">
        <f t="shared" si="410"/>
        <v>1.364412</v>
      </c>
      <c r="N4020" s="920">
        <f t="shared" si="411"/>
        <v>1.9923076923076923</v>
      </c>
      <c r="O4020" s="918" t="str">
        <f t="shared" si="412"/>
        <v>Mar</v>
      </c>
      <c r="P4020" s="921">
        <f t="shared" si="413"/>
        <v>12</v>
      </c>
    </row>
    <row r="4021" spans="1:16" ht="15" hidden="1" customHeight="1">
      <c r="A4021" s="839">
        <v>64341106</v>
      </c>
      <c r="B4021" s="839">
        <v>2904</v>
      </c>
      <c r="C4021" s="906">
        <v>9</v>
      </c>
      <c r="D4021" s="907">
        <v>46103</v>
      </c>
      <c r="E4021" s="839" t="s">
        <v>293</v>
      </c>
      <c r="F4021" s="839" t="s">
        <v>227</v>
      </c>
      <c r="G4021" s="916">
        <f>VLOOKUP($A4021,'Tech Litons'!$A:$I,8,FALSE)</f>
        <v>5.2680000000000001E-3</v>
      </c>
      <c r="H4021" s="917">
        <f>VLOOKUP($A4021,'Tech Litons'!$A:$I,9,FALSE)</f>
        <v>130</v>
      </c>
      <c r="I4021" s="917" t="str">
        <f>VLOOKUP($A4021,'Tech Litons'!$A:$C,3,0)</f>
        <v>PG</v>
      </c>
      <c r="J4021" s="918" t="str">
        <f t="shared" si="408"/>
        <v>2904PG</v>
      </c>
      <c r="K4021" s="919">
        <v>1</v>
      </c>
      <c r="L4021" s="920">
        <f t="shared" si="409"/>
        <v>9</v>
      </c>
      <c r="M4021" s="920">
        <f t="shared" si="410"/>
        <v>4.7412000000000003E-2</v>
      </c>
      <c r="N4021" s="920">
        <f t="shared" si="411"/>
        <v>6.9230769230769235E-2</v>
      </c>
      <c r="O4021" s="918" t="str">
        <f t="shared" si="412"/>
        <v>Mar</v>
      </c>
      <c r="P4021" s="921">
        <f t="shared" si="413"/>
        <v>13</v>
      </c>
    </row>
    <row r="4022" spans="1:16" ht="15" hidden="1" customHeight="1">
      <c r="A4022" s="839">
        <v>64341106</v>
      </c>
      <c r="B4022" s="839">
        <v>2904</v>
      </c>
      <c r="C4022" s="906">
        <v>688</v>
      </c>
      <c r="D4022" s="907">
        <v>46104</v>
      </c>
      <c r="E4022" s="839" t="s">
        <v>293</v>
      </c>
      <c r="F4022" s="839" t="s">
        <v>227</v>
      </c>
      <c r="G4022" s="916">
        <f>VLOOKUP($A4022,'Tech Litons'!$A:$I,8,FALSE)</f>
        <v>5.2680000000000001E-3</v>
      </c>
      <c r="H4022" s="917">
        <f>VLOOKUP($A4022,'Tech Litons'!$A:$I,9,FALSE)</f>
        <v>130</v>
      </c>
      <c r="I4022" s="917" t="str">
        <f>VLOOKUP($A4022,'Tech Litons'!$A:$C,3,0)</f>
        <v>PG</v>
      </c>
      <c r="J4022" s="918" t="str">
        <f t="shared" si="408"/>
        <v>2904PG</v>
      </c>
      <c r="K4022" s="919">
        <v>1</v>
      </c>
      <c r="L4022" s="920">
        <f t="shared" si="409"/>
        <v>688</v>
      </c>
      <c r="M4022" s="920">
        <f t="shared" si="410"/>
        <v>3.6243840000000001</v>
      </c>
      <c r="N4022" s="920">
        <f t="shared" si="411"/>
        <v>5.2923076923076922</v>
      </c>
      <c r="O4022" s="918" t="str">
        <f t="shared" si="412"/>
        <v>Mar</v>
      </c>
      <c r="P4022" s="921">
        <f t="shared" si="413"/>
        <v>13</v>
      </c>
    </row>
    <row r="4023" spans="1:16" ht="15" hidden="1" customHeight="1">
      <c r="A4023" s="839">
        <v>64341106</v>
      </c>
      <c r="B4023" s="839">
        <v>2904</v>
      </c>
      <c r="C4023" s="906">
        <v>2600</v>
      </c>
      <c r="D4023" s="907">
        <v>46104</v>
      </c>
      <c r="E4023" s="839" t="s">
        <v>293</v>
      </c>
      <c r="F4023" s="839" t="s">
        <v>227</v>
      </c>
      <c r="G4023" s="916">
        <f>VLOOKUP($A4023,'Tech Litons'!$A:$I,8,FALSE)</f>
        <v>5.2680000000000001E-3</v>
      </c>
      <c r="H4023" s="917">
        <f>VLOOKUP($A4023,'Tech Litons'!$A:$I,9,FALSE)</f>
        <v>130</v>
      </c>
      <c r="I4023" s="917" t="str">
        <f>VLOOKUP($A4023,'Tech Litons'!$A:$C,3,0)</f>
        <v>PG</v>
      </c>
      <c r="J4023" s="918" t="str">
        <f t="shared" si="408"/>
        <v>2904PG</v>
      </c>
      <c r="K4023" s="919">
        <v>1</v>
      </c>
      <c r="L4023" s="920">
        <f t="shared" si="409"/>
        <v>2600</v>
      </c>
      <c r="M4023" s="920">
        <f t="shared" si="410"/>
        <v>13.6968</v>
      </c>
      <c r="N4023" s="920">
        <f t="shared" si="411"/>
        <v>20</v>
      </c>
      <c r="O4023" s="918" t="str">
        <f t="shared" si="412"/>
        <v>Mar</v>
      </c>
      <c r="P4023" s="921">
        <f t="shared" si="413"/>
        <v>13</v>
      </c>
    </row>
    <row r="4024" spans="1:16" ht="15" hidden="1" customHeight="1">
      <c r="A4024" s="839">
        <v>64341106</v>
      </c>
      <c r="B4024" s="839">
        <v>2904</v>
      </c>
      <c r="C4024" s="906">
        <v>2067</v>
      </c>
      <c r="D4024" s="907">
        <v>46105</v>
      </c>
      <c r="E4024" s="839" t="s">
        <v>293</v>
      </c>
      <c r="F4024" s="839" t="s">
        <v>227</v>
      </c>
      <c r="G4024" s="916">
        <f>VLOOKUP($A4024,'Tech Litons'!$A:$I,8,FALSE)</f>
        <v>5.2680000000000001E-3</v>
      </c>
      <c r="H4024" s="917">
        <f>VLOOKUP($A4024,'Tech Litons'!$A:$I,9,FALSE)</f>
        <v>130</v>
      </c>
      <c r="I4024" s="917" t="str">
        <f>VLOOKUP($A4024,'Tech Litons'!$A:$C,3,0)</f>
        <v>PG</v>
      </c>
      <c r="J4024" s="918" t="str">
        <f t="shared" si="408"/>
        <v>2904PG</v>
      </c>
      <c r="K4024" s="919">
        <v>1</v>
      </c>
      <c r="L4024" s="920">
        <f t="shared" si="409"/>
        <v>2067</v>
      </c>
      <c r="M4024" s="920">
        <f t="shared" si="410"/>
        <v>10.888956</v>
      </c>
      <c r="N4024" s="920">
        <f t="shared" si="411"/>
        <v>15.9</v>
      </c>
      <c r="O4024" s="918" t="str">
        <f t="shared" si="412"/>
        <v>Mar</v>
      </c>
      <c r="P4024" s="921">
        <f t="shared" si="413"/>
        <v>13</v>
      </c>
    </row>
    <row r="4025" spans="1:16" ht="15" hidden="1" customHeight="1">
      <c r="A4025" s="839">
        <v>64341106</v>
      </c>
      <c r="B4025" s="839">
        <v>2904</v>
      </c>
      <c r="C4025" s="906">
        <v>3250</v>
      </c>
      <c r="D4025" s="907">
        <v>46105</v>
      </c>
      <c r="E4025" s="839" t="s">
        <v>293</v>
      </c>
      <c r="F4025" s="839" t="s">
        <v>227</v>
      </c>
      <c r="G4025" s="916">
        <f>VLOOKUP($A4025,'Tech Litons'!$A:$I,8,FALSE)</f>
        <v>5.2680000000000001E-3</v>
      </c>
      <c r="H4025" s="917">
        <f>VLOOKUP($A4025,'Tech Litons'!$A:$I,9,FALSE)</f>
        <v>130</v>
      </c>
      <c r="I4025" s="917" t="str">
        <f>VLOOKUP($A4025,'Tech Litons'!$A:$C,3,0)</f>
        <v>PG</v>
      </c>
      <c r="J4025" s="918" t="str">
        <f t="shared" si="408"/>
        <v>2904PG</v>
      </c>
      <c r="K4025" s="919">
        <v>1</v>
      </c>
      <c r="L4025" s="920">
        <f t="shared" si="409"/>
        <v>3250</v>
      </c>
      <c r="M4025" s="920">
        <f t="shared" si="410"/>
        <v>17.120999999999999</v>
      </c>
      <c r="N4025" s="920">
        <f t="shared" si="411"/>
        <v>25</v>
      </c>
      <c r="O4025" s="918" t="str">
        <f t="shared" si="412"/>
        <v>Mar</v>
      </c>
      <c r="P4025" s="921">
        <f t="shared" si="413"/>
        <v>13</v>
      </c>
    </row>
    <row r="4026" spans="1:16" ht="15" hidden="1" customHeight="1">
      <c r="A4026" s="839">
        <v>64369035</v>
      </c>
      <c r="B4026" s="839">
        <v>2904</v>
      </c>
      <c r="C4026" s="906">
        <v>8539</v>
      </c>
      <c r="D4026" s="907">
        <v>46105</v>
      </c>
      <c r="E4026" s="839" t="s">
        <v>457</v>
      </c>
      <c r="F4026" s="839" t="s">
        <v>275</v>
      </c>
      <c r="G4026" s="916">
        <f>VLOOKUP($A4026,'Tech Litons'!$A:$I,8,FALSE)</f>
        <v>3.7839999999999996E-3</v>
      </c>
      <c r="H4026" s="917">
        <f>VLOOKUP($A4026,'Tech Litons'!$A:$I,9,FALSE)</f>
        <v>255</v>
      </c>
      <c r="I4026" s="917" t="str">
        <f>VLOOKUP($A4026,'Tech Litons'!$A:$C,3,0)</f>
        <v>Talenti</v>
      </c>
      <c r="J4026" s="918" t="str">
        <f t="shared" si="408"/>
        <v>2904Talenti</v>
      </c>
      <c r="K4026" s="919">
        <v>1</v>
      </c>
      <c r="L4026" s="920">
        <f t="shared" si="409"/>
        <v>8539</v>
      </c>
      <c r="M4026" s="920">
        <f t="shared" si="410"/>
        <v>32.311575999999995</v>
      </c>
      <c r="N4026" s="920">
        <f t="shared" si="411"/>
        <v>33.48627450980392</v>
      </c>
      <c r="O4026" s="918" t="str">
        <f t="shared" si="412"/>
        <v>Mar</v>
      </c>
      <c r="P4026" s="921">
        <f t="shared" si="413"/>
        <v>13</v>
      </c>
    </row>
    <row r="4027" spans="1:16" ht="15" hidden="1" customHeight="1">
      <c r="A4027" s="839">
        <v>64369035</v>
      </c>
      <c r="B4027" s="839">
        <v>2904</v>
      </c>
      <c r="C4027" s="906">
        <v>2281</v>
      </c>
      <c r="D4027" s="907">
        <v>46105</v>
      </c>
      <c r="E4027" s="839" t="s">
        <v>457</v>
      </c>
      <c r="F4027" s="839" t="s">
        <v>275</v>
      </c>
      <c r="G4027" s="916">
        <f>VLOOKUP($A4027,'Tech Litons'!$A:$I,8,FALSE)</f>
        <v>3.7839999999999996E-3</v>
      </c>
      <c r="H4027" s="917">
        <f>VLOOKUP($A4027,'Tech Litons'!$A:$I,9,FALSE)</f>
        <v>255</v>
      </c>
      <c r="I4027" s="917" t="str">
        <f>VLOOKUP($A4027,'Tech Litons'!$A:$C,3,0)</f>
        <v>Talenti</v>
      </c>
      <c r="J4027" s="918" t="str">
        <f t="shared" si="408"/>
        <v>2904Talenti</v>
      </c>
      <c r="K4027" s="919">
        <v>1</v>
      </c>
      <c r="L4027" s="920">
        <f t="shared" si="409"/>
        <v>2281</v>
      </c>
      <c r="M4027" s="920">
        <f t="shared" si="410"/>
        <v>8.6313039999999983</v>
      </c>
      <c r="N4027" s="920">
        <f t="shared" si="411"/>
        <v>8.9450980392156865</v>
      </c>
      <c r="O4027" s="918" t="str">
        <f t="shared" si="412"/>
        <v>Mar</v>
      </c>
      <c r="P4027" s="921">
        <f t="shared" si="413"/>
        <v>13</v>
      </c>
    </row>
    <row r="4028" spans="1:16" ht="15" hidden="1" customHeight="1">
      <c r="A4028" s="839">
        <v>64373718</v>
      </c>
      <c r="B4028" s="839">
        <v>2904</v>
      </c>
      <c r="C4028" s="906">
        <v>7039</v>
      </c>
      <c r="D4028" s="907">
        <v>46102</v>
      </c>
      <c r="E4028" s="839" t="s">
        <v>316</v>
      </c>
      <c r="F4028" s="839" t="s">
        <v>269</v>
      </c>
      <c r="G4028" s="916">
        <f>VLOOKUP($A4028,'Tech Litons'!$A:$I,8,FALSE)</f>
        <v>8.5199999999999998E-3</v>
      </c>
      <c r="H4028" s="917">
        <f>VLOOKUP($A4028,'Tech Litons'!$A:$I,9,FALSE)</f>
        <v>176</v>
      </c>
      <c r="I4028" s="917" t="str">
        <f>VLOOKUP($A4028,'Tech Litons'!$A:$C,3,0)</f>
        <v>48oz</v>
      </c>
      <c r="J4028" s="918" t="str">
        <f t="shared" si="408"/>
        <v>290448oz</v>
      </c>
      <c r="K4028" s="919">
        <v>1</v>
      </c>
      <c r="L4028" s="920">
        <f t="shared" si="409"/>
        <v>7039</v>
      </c>
      <c r="M4028" s="920">
        <f t="shared" si="410"/>
        <v>59.972279999999998</v>
      </c>
      <c r="N4028" s="920">
        <f t="shared" si="411"/>
        <v>39.99431818181818</v>
      </c>
      <c r="O4028" s="918" t="str">
        <f t="shared" si="412"/>
        <v>Mar</v>
      </c>
      <c r="P4028" s="921">
        <f t="shared" si="413"/>
        <v>12</v>
      </c>
    </row>
    <row r="4029" spans="1:16" ht="15" hidden="1" customHeight="1">
      <c r="A4029" s="839">
        <v>64373718</v>
      </c>
      <c r="B4029" s="839">
        <v>2904</v>
      </c>
      <c r="C4029" s="906">
        <v>6965</v>
      </c>
      <c r="D4029" s="907">
        <v>46103</v>
      </c>
      <c r="E4029" s="839" t="s">
        <v>316</v>
      </c>
      <c r="F4029" s="839" t="s">
        <v>269</v>
      </c>
      <c r="G4029" s="916">
        <f>VLOOKUP($A4029,'Tech Litons'!$A:$I,8,FALSE)</f>
        <v>8.5199999999999998E-3</v>
      </c>
      <c r="H4029" s="917">
        <f>VLOOKUP($A4029,'Tech Litons'!$A:$I,9,FALSE)</f>
        <v>176</v>
      </c>
      <c r="I4029" s="917" t="str">
        <f>VLOOKUP($A4029,'Tech Litons'!$A:$C,3,0)</f>
        <v>48oz</v>
      </c>
      <c r="J4029" s="918" t="str">
        <f t="shared" si="408"/>
        <v>290448oz</v>
      </c>
      <c r="K4029" s="919">
        <v>1</v>
      </c>
      <c r="L4029" s="920">
        <f t="shared" si="409"/>
        <v>6965</v>
      </c>
      <c r="M4029" s="920">
        <f t="shared" si="410"/>
        <v>59.341799999999999</v>
      </c>
      <c r="N4029" s="920">
        <f t="shared" si="411"/>
        <v>39.573863636363633</v>
      </c>
      <c r="O4029" s="918" t="str">
        <f t="shared" si="412"/>
        <v>Mar</v>
      </c>
      <c r="P4029" s="921">
        <f t="shared" si="413"/>
        <v>13</v>
      </c>
    </row>
    <row r="4030" spans="1:16" ht="15" hidden="1" customHeight="1">
      <c r="A4030" s="839">
        <v>64373718</v>
      </c>
      <c r="B4030" s="839">
        <v>2904</v>
      </c>
      <c r="C4030" s="906">
        <v>4130</v>
      </c>
      <c r="D4030" s="907">
        <v>46104</v>
      </c>
      <c r="E4030" s="839" t="s">
        <v>316</v>
      </c>
      <c r="F4030" s="839" t="s">
        <v>269</v>
      </c>
      <c r="G4030" s="916">
        <f>VLOOKUP($A4030,'Tech Litons'!$A:$I,8,FALSE)</f>
        <v>8.5199999999999998E-3</v>
      </c>
      <c r="H4030" s="917">
        <f>VLOOKUP($A4030,'Tech Litons'!$A:$I,9,FALSE)</f>
        <v>176</v>
      </c>
      <c r="I4030" s="917" t="str">
        <f>VLOOKUP($A4030,'Tech Litons'!$A:$C,3,0)</f>
        <v>48oz</v>
      </c>
      <c r="J4030" s="918" t="str">
        <f t="shared" si="408"/>
        <v>290448oz</v>
      </c>
      <c r="K4030" s="919">
        <v>1</v>
      </c>
      <c r="L4030" s="920">
        <f t="shared" si="409"/>
        <v>4130</v>
      </c>
      <c r="M4030" s="920">
        <f t="shared" si="410"/>
        <v>35.187599999999996</v>
      </c>
      <c r="N4030" s="920">
        <f t="shared" si="411"/>
        <v>23.46590909090909</v>
      </c>
      <c r="O4030" s="918" t="str">
        <f t="shared" si="412"/>
        <v>Mar</v>
      </c>
      <c r="P4030" s="921">
        <f t="shared" si="413"/>
        <v>13</v>
      </c>
    </row>
    <row r="4031" spans="1:16" ht="15" hidden="1" customHeight="1">
      <c r="A4031" s="839">
        <v>64373718</v>
      </c>
      <c r="B4031" s="839">
        <v>2904</v>
      </c>
      <c r="C4031" s="906">
        <v>986</v>
      </c>
      <c r="D4031" s="907">
        <v>46104</v>
      </c>
      <c r="E4031" s="839" t="s">
        <v>316</v>
      </c>
      <c r="F4031" s="839" t="s">
        <v>269</v>
      </c>
      <c r="G4031" s="916">
        <f>VLOOKUP($A4031,'Tech Litons'!$A:$I,8,FALSE)</f>
        <v>8.5199999999999998E-3</v>
      </c>
      <c r="H4031" s="917">
        <f>VLOOKUP($A4031,'Tech Litons'!$A:$I,9,FALSE)</f>
        <v>176</v>
      </c>
      <c r="I4031" s="917" t="str">
        <f>VLOOKUP($A4031,'Tech Litons'!$A:$C,3,0)</f>
        <v>48oz</v>
      </c>
      <c r="J4031" s="918" t="str">
        <f t="shared" si="408"/>
        <v>290448oz</v>
      </c>
      <c r="K4031" s="919">
        <v>1</v>
      </c>
      <c r="L4031" s="920">
        <f t="shared" si="409"/>
        <v>986</v>
      </c>
      <c r="M4031" s="920">
        <f t="shared" si="410"/>
        <v>8.4007199999999997</v>
      </c>
      <c r="N4031" s="920">
        <f t="shared" si="411"/>
        <v>5.6022727272727275</v>
      </c>
      <c r="O4031" s="918" t="str">
        <f t="shared" si="412"/>
        <v>Mar</v>
      </c>
      <c r="P4031" s="921">
        <f t="shared" si="413"/>
        <v>13</v>
      </c>
    </row>
    <row r="4032" spans="1:16" ht="15" hidden="1" customHeight="1">
      <c r="A4032" s="839">
        <v>64373718</v>
      </c>
      <c r="B4032" s="839">
        <v>2904</v>
      </c>
      <c r="C4032" s="906">
        <v>8272</v>
      </c>
      <c r="D4032" s="907">
        <v>46102</v>
      </c>
      <c r="E4032" s="839" t="s">
        <v>316</v>
      </c>
      <c r="F4032" s="839" t="s">
        <v>269</v>
      </c>
      <c r="G4032" s="916">
        <f>VLOOKUP($A4032,'Tech Litons'!$A:$I,8,FALSE)</f>
        <v>8.5199999999999998E-3</v>
      </c>
      <c r="H4032" s="917">
        <f>VLOOKUP($A4032,'Tech Litons'!$A:$I,9,FALSE)</f>
        <v>176</v>
      </c>
      <c r="I4032" s="917" t="str">
        <f>VLOOKUP($A4032,'Tech Litons'!$A:$C,3,0)</f>
        <v>48oz</v>
      </c>
      <c r="J4032" s="918" t="str">
        <f t="shared" si="408"/>
        <v>290448oz</v>
      </c>
      <c r="K4032" s="919">
        <v>1</v>
      </c>
      <c r="L4032" s="920">
        <f t="shared" si="409"/>
        <v>8272</v>
      </c>
      <c r="M4032" s="920">
        <f t="shared" si="410"/>
        <v>70.477440000000001</v>
      </c>
      <c r="N4032" s="920">
        <f t="shared" si="411"/>
        <v>47</v>
      </c>
      <c r="O4032" s="918" t="str">
        <f t="shared" si="412"/>
        <v>Mar</v>
      </c>
      <c r="P4032" s="921">
        <f t="shared" si="413"/>
        <v>12</v>
      </c>
    </row>
    <row r="4033" spans="1:16" ht="15" hidden="1" customHeight="1">
      <c r="A4033" s="839">
        <v>64373718</v>
      </c>
      <c r="B4033" s="839">
        <v>2904</v>
      </c>
      <c r="C4033" s="906">
        <v>6063</v>
      </c>
      <c r="D4033" s="907">
        <v>46103</v>
      </c>
      <c r="E4033" s="839" t="s">
        <v>316</v>
      </c>
      <c r="F4033" s="839" t="s">
        <v>269</v>
      </c>
      <c r="G4033" s="916">
        <f>VLOOKUP($A4033,'Tech Litons'!$A:$I,8,FALSE)</f>
        <v>8.5199999999999998E-3</v>
      </c>
      <c r="H4033" s="917">
        <f>VLOOKUP($A4033,'Tech Litons'!$A:$I,9,FALSE)</f>
        <v>176</v>
      </c>
      <c r="I4033" s="917" t="str">
        <f>VLOOKUP($A4033,'Tech Litons'!$A:$C,3,0)</f>
        <v>48oz</v>
      </c>
      <c r="J4033" s="918" t="str">
        <f t="shared" si="408"/>
        <v>290448oz</v>
      </c>
      <c r="K4033" s="919">
        <v>1</v>
      </c>
      <c r="L4033" s="920">
        <f t="shared" si="409"/>
        <v>6063</v>
      </c>
      <c r="M4033" s="920">
        <f t="shared" si="410"/>
        <v>51.656759999999998</v>
      </c>
      <c r="N4033" s="920">
        <f t="shared" si="411"/>
        <v>34.448863636363633</v>
      </c>
      <c r="O4033" s="918" t="str">
        <f t="shared" si="412"/>
        <v>Mar</v>
      </c>
      <c r="P4033" s="921">
        <f t="shared" si="413"/>
        <v>13</v>
      </c>
    </row>
    <row r="4034" spans="1:16" ht="15" hidden="1" customHeight="1">
      <c r="A4034" s="839">
        <v>64389651</v>
      </c>
      <c r="B4034" s="839">
        <v>2904</v>
      </c>
      <c r="C4034" s="906">
        <v>1408</v>
      </c>
      <c r="D4034" s="907">
        <v>46090</v>
      </c>
      <c r="E4034" s="839" t="s">
        <v>355</v>
      </c>
      <c r="F4034" s="839" t="s">
        <v>271</v>
      </c>
      <c r="G4034" s="916">
        <f>VLOOKUP($A4034,'Tech Litons'!$A:$I,8,FALSE)</f>
        <v>8.5199999999999998E-3</v>
      </c>
      <c r="H4034" s="917">
        <f>VLOOKUP($A4034,'Tech Litons'!$A:$I,9,FALSE)</f>
        <v>176</v>
      </c>
      <c r="I4034" s="917" t="str">
        <f>VLOOKUP($A4034,'Tech Litons'!$A:$C,3,0)</f>
        <v>48oz</v>
      </c>
      <c r="J4034" s="918" t="str">
        <f t="shared" si="408"/>
        <v>290448oz</v>
      </c>
      <c r="K4034" s="919">
        <v>1</v>
      </c>
      <c r="L4034" s="920">
        <f t="shared" si="409"/>
        <v>1408</v>
      </c>
      <c r="M4034" s="920">
        <f t="shared" si="410"/>
        <v>11.99616</v>
      </c>
      <c r="N4034" s="920">
        <f t="shared" si="411"/>
        <v>8</v>
      </c>
      <c r="O4034" s="918" t="str">
        <f t="shared" si="412"/>
        <v>Mar</v>
      </c>
      <c r="P4034" s="921">
        <f t="shared" si="413"/>
        <v>11</v>
      </c>
    </row>
    <row r="4035" spans="1:16" ht="15" hidden="1" customHeight="1">
      <c r="A4035" s="839">
        <v>64389651</v>
      </c>
      <c r="B4035" s="839">
        <v>2904</v>
      </c>
      <c r="C4035" s="906">
        <v>6864</v>
      </c>
      <c r="D4035" s="907">
        <v>46091</v>
      </c>
      <c r="E4035" s="839" t="s">
        <v>355</v>
      </c>
      <c r="F4035" s="839" t="s">
        <v>271</v>
      </c>
      <c r="G4035" s="916">
        <f>VLOOKUP($A4035,'Tech Litons'!$A:$I,8,FALSE)</f>
        <v>8.5199999999999998E-3</v>
      </c>
      <c r="H4035" s="917">
        <f>VLOOKUP($A4035,'Tech Litons'!$A:$I,9,FALSE)</f>
        <v>176</v>
      </c>
      <c r="I4035" s="917" t="str">
        <f>VLOOKUP($A4035,'Tech Litons'!$A:$C,3,0)</f>
        <v>48oz</v>
      </c>
      <c r="J4035" s="918" t="str">
        <f t="shared" si="408"/>
        <v>290448oz</v>
      </c>
      <c r="K4035" s="919">
        <v>1</v>
      </c>
      <c r="L4035" s="920">
        <f t="shared" si="409"/>
        <v>6864</v>
      </c>
      <c r="M4035" s="920">
        <f t="shared" si="410"/>
        <v>58.481279999999998</v>
      </c>
      <c r="N4035" s="920">
        <f t="shared" si="411"/>
        <v>39</v>
      </c>
      <c r="O4035" s="918" t="str">
        <f t="shared" si="412"/>
        <v>Mar</v>
      </c>
      <c r="P4035" s="921">
        <f t="shared" si="413"/>
        <v>11</v>
      </c>
    </row>
    <row r="4036" spans="1:16" ht="15" hidden="1" customHeight="1">
      <c r="A4036" s="839">
        <v>64389651</v>
      </c>
      <c r="B4036" s="839">
        <v>2904</v>
      </c>
      <c r="C4036" s="906">
        <v>5808</v>
      </c>
      <c r="D4036" s="907">
        <v>46091</v>
      </c>
      <c r="E4036" s="839" t="s">
        <v>355</v>
      </c>
      <c r="F4036" s="839" t="s">
        <v>271</v>
      </c>
      <c r="G4036" s="916">
        <f>VLOOKUP($A4036,'Tech Litons'!$A:$I,8,FALSE)</f>
        <v>8.5199999999999998E-3</v>
      </c>
      <c r="H4036" s="917">
        <f>VLOOKUP($A4036,'Tech Litons'!$A:$I,9,FALSE)</f>
        <v>176</v>
      </c>
      <c r="I4036" s="917" t="str">
        <f>VLOOKUP($A4036,'Tech Litons'!$A:$C,3,0)</f>
        <v>48oz</v>
      </c>
      <c r="J4036" s="918" t="str">
        <f t="shared" si="408"/>
        <v>290448oz</v>
      </c>
      <c r="K4036" s="919">
        <v>1</v>
      </c>
      <c r="L4036" s="920">
        <f t="shared" si="409"/>
        <v>5808</v>
      </c>
      <c r="M4036" s="920">
        <f t="shared" si="410"/>
        <v>49.484159999999996</v>
      </c>
      <c r="N4036" s="920">
        <f t="shared" si="411"/>
        <v>33</v>
      </c>
      <c r="O4036" s="918" t="str">
        <f t="shared" si="412"/>
        <v>Mar</v>
      </c>
      <c r="P4036" s="921">
        <f t="shared" si="413"/>
        <v>11</v>
      </c>
    </row>
    <row r="4037" spans="1:16" ht="15" hidden="1" customHeight="1">
      <c r="A4037" s="839">
        <v>64389651</v>
      </c>
      <c r="B4037" s="839">
        <v>2904</v>
      </c>
      <c r="C4037" s="906">
        <v>5808</v>
      </c>
      <c r="D4037" s="907">
        <v>46092</v>
      </c>
      <c r="E4037" s="839" t="s">
        <v>355</v>
      </c>
      <c r="F4037" s="839" t="s">
        <v>271</v>
      </c>
      <c r="G4037" s="916">
        <f>VLOOKUP($A4037,'Tech Litons'!$A:$I,8,FALSE)</f>
        <v>8.5199999999999998E-3</v>
      </c>
      <c r="H4037" s="917">
        <f>VLOOKUP($A4037,'Tech Litons'!$A:$I,9,FALSE)</f>
        <v>176</v>
      </c>
      <c r="I4037" s="917" t="str">
        <f>VLOOKUP($A4037,'Tech Litons'!$A:$C,3,0)</f>
        <v>48oz</v>
      </c>
      <c r="J4037" s="918" t="str">
        <f t="shared" si="408"/>
        <v>290448oz</v>
      </c>
      <c r="K4037" s="919">
        <v>1</v>
      </c>
      <c r="L4037" s="920">
        <f t="shared" si="409"/>
        <v>5808</v>
      </c>
      <c r="M4037" s="920">
        <f t="shared" si="410"/>
        <v>49.484159999999996</v>
      </c>
      <c r="N4037" s="920">
        <f t="shared" si="411"/>
        <v>33</v>
      </c>
      <c r="O4037" s="918" t="str">
        <f t="shared" si="412"/>
        <v>Mar</v>
      </c>
      <c r="P4037" s="921">
        <f t="shared" si="413"/>
        <v>11</v>
      </c>
    </row>
    <row r="4038" spans="1:16" ht="15" hidden="1" customHeight="1">
      <c r="A4038" s="839">
        <v>64389651</v>
      </c>
      <c r="B4038" s="839">
        <v>2904</v>
      </c>
      <c r="C4038" s="906">
        <v>7216</v>
      </c>
      <c r="D4038" s="907">
        <v>46092</v>
      </c>
      <c r="E4038" s="839" t="s">
        <v>355</v>
      </c>
      <c r="F4038" s="839" t="s">
        <v>271</v>
      </c>
      <c r="G4038" s="916">
        <f>VLOOKUP($A4038,'Tech Litons'!$A:$I,8,FALSE)</f>
        <v>8.5199999999999998E-3</v>
      </c>
      <c r="H4038" s="917">
        <f>VLOOKUP($A4038,'Tech Litons'!$A:$I,9,FALSE)</f>
        <v>176</v>
      </c>
      <c r="I4038" s="917" t="str">
        <f>VLOOKUP($A4038,'Tech Litons'!$A:$C,3,0)</f>
        <v>48oz</v>
      </c>
      <c r="J4038" s="918" t="str">
        <f t="shared" si="408"/>
        <v>290448oz</v>
      </c>
      <c r="K4038" s="919">
        <v>1</v>
      </c>
      <c r="L4038" s="920">
        <f t="shared" si="409"/>
        <v>7216</v>
      </c>
      <c r="M4038" s="920">
        <f t="shared" si="410"/>
        <v>61.480319999999999</v>
      </c>
      <c r="N4038" s="920">
        <f t="shared" si="411"/>
        <v>41</v>
      </c>
      <c r="O4038" s="918" t="str">
        <f t="shared" si="412"/>
        <v>Mar</v>
      </c>
      <c r="P4038" s="921">
        <f t="shared" si="413"/>
        <v>11</v>
      </c>
    </row>
    <row r="4039" spans="1:16" ht="15" hidden="1" customHeight="1">
      <c r="A4039" s="839">
        <v>64389651</v>
      </c>
      <c r="B4039" s="839">
        <v>2904</v>
      </c>
      <c r="C4039" s="906">
        <v>6864</v>
      </c>
      <c r="D4039" s="907">
        <v>46093</v>
      </c>
      <c r="E4039" s="839" t="s">
        <v>355</v>
      </c>
      <c r="F4039" s="839" t="s">
        <v>271</v>
      </c>
      <c r="G4039" s="916">
        <f>VLOOKUP($A4039,'Tech Litons'!$A:$I,8,FALSE)</f>
        <v>8.5199999999999998E-3</v>
      </c>
      <c r="H4039" s="917">
        <f>VLOOKUP($A4039,'Tech Litons'!$A:$I,9,FALSE)</f>
        <v>176</v>
      </c>
      <c r="I4039" s="917" t="str">
        <f>VLOOKUP($A4039,'Tech Litons'!$A:$C,3,0)</f>
        <v>48oz</v>
      </c>
      <c r="J4039" s="918" t="str">
        <f t="shared" si="408"/>
        <v>290448oz</v>
      </c>
      <c r="K4039" s="919">
        <v>1</v>
      </c>
      <c r="L4039" s="920">
        <f t="shared" si="409"/>
        <v>6864</v>
      </c>
      <c r="M4039" s="920">
        <f t="shared" si="410"/>
        <v>58.481279999999998</v>
      </c>
      <c r="N4039" s="920">
        <f t="shared" si="411"/>
        <v>39</v>
      </c>
      <c r="O4039" s="918" t="str">
        <f t="shared" si="412"/>
        <v>Mar</v>
      </c>
      <c r="P4039" s="921">
        <f t="shared" si="413"/>
        <v>11</v>
      </c>
    </row>
    <row r="4040" spans="1:16" ht="15" hidden="1" customHeight="1">
      <c r="A4040" s="839">
        <v>64389651</v>
      </c>
      <c r="B4040" s="839">
        <v>2904</v>
      </c>
      <c r="C4040" s="906">
        <v>7216</v>
      </c>
      <c r="D4040" s="907">
        <v>46093</v>
      </c>
      <c r="E4040" s="839" t="s">
        <v>355</v>
      </c>
      <c r="F4040" s="839" t="s">
        <v>271</v>
      </c>
      <c r="G4040" s="916">
        <f>VLOOKUP($A4040,'Tech Litons'!$A:$I,8,FALSE)</f>
        <v>8.5199999999999998E-3</v>
      </c>
      <c r="H4040" s="917">
        <f>VLOOKUP($A4040,'Tech Litons'!$A:$I,9,FALSE)</f>
        <v>176</v>
      </c>
      <c r="I4040" s="917" t="str">
        <f>VLOOKUP($A4040,'Tech Litons'!$A:$C,3,0)</f>
        <v>48oz</v>
      </c>
      <c r="J4040" s="918" t="str">
        <f t="shared" si="408"/>
        <v>290448oz</v>
      </c>
      <c r="K4040" s="919">
        <v>1</v>
      </c>
      <c r="L4040" s="920">
        <f t="shared" si="409"/>
        <v>7216</v>
      </c>
      <c r="M4040" s="920">
        <f t="shared" si="410"/>
        <v>61.480319999999999</v>
      </c>
      <c r="N4040" s="920">
        <f t="shared" si="411"/>
        <v>41</v>
      </c>
      <c r="O4040" s="918" t="str">
        <f t="shared" si="412"/>
        <v>Mar</v>
      </c>
      <c r="P4040" s="921">
        <f t="shared" si="413"/>
        <v>11</v>
      </c>
    </row>
    <row r="4041" spans="1:16" ht="15" hidden="1" customHeight="1">
      <c r="A4041" s="839">
        <v>64389651</v>
      </c>
      <c r="B4041" s="839">
        <v>2904</v>
      </c>
      <c r="C4041" s="906">
        <v>2176</v>
      </c>
      <c r="D4041" s="907">
        <v>46094</v>
      </c>
      <c r="E4041" s="839" t="s">
        <v>355</v>
      </c>
      <c r="F4041" s="839" t="s">
        <v>271</v>
      </c>
      <c r="G4041" s="916">
        <f>VLOOKUP($A4041,'Tech Litons'!$A:$I,8,FALSE)</f>
        <v>8.5199999999999998E-3</v>
      </c>
      <c r="H4041" s="917">
        <f>VLOOKUP($A4041,'Tech Litons'!$A:$I,9,FALSE)</f>
        <v>176</v>
      </c>
      <c r="I4041" s="917" t="str">
        <f>VLOOKUP($A4041,'Tech Litons'!$A:$C,3,0)</f>
        <v>48oz</v>
      </c>
      <c r="J4041" s="918" t="str">
        <f t="shared" si="408"/>
        <v>290448oz</v>
      </c>
      <c r="K4041" s="919">
        <v>1</v>
      </c>
      <c r="L4041" s="920">
        <f t="shared" si="409"/>
        <v>2176</v>
      </c>
      <c r="M4041" s="920">
        <f t="shared" si="410"/>
        <v>18.53952</v>
      </c>
      <c r="N4041" s="920">
        <f t="shared" si="411"/>
        <v>12.363636363636363</v>
      </c>
      <c r="O4041" s="918" t="str">
        <f t="shared" si="412"/>
        <v>Mar</v>
      </c>
      <c r="P4041" s="921">
        <f t="shared" si="413"/>
        <v>11</v>
      </c>
    </row>
    <row r="4042" spans="1:16" ht="15" hidden="1" customHeight="1">
      <c r="A4042" s="839">
        <v>64393723</v>
      </c>
      <c r="B4042" s="839">
        <v>2904</v>
      </c>
      <c r="C4042" s="906">
        <v>3778</v>
      </c>
      <c r="D4042" s="907">
        <v>46077</v>
      </c>
      <c r="E4042" s="839" t="s">
        <v>317</v>
      </c>
      <c r="F4042" s="839" t="s">
        <v>283</v>
      </c>
      <c r="G4042" s="916">
        <f>VLOOKUP($A4042,'Tech Litons'!$A:$I,8,FALSE)</f>
        <v>2.16E-3</v>
      </c>
      <c r="H4042" s="917">
        <f>VLOOKUP($A4042,'Tech Litons'!$A:$I,9,FALSE)</f>
        <v>210</v>
      </c>
      <c r="I4042" s="917" t="str">
        <f>VLOOKUP($A4042,'Tech Litons'!$A:$C,3,0)</f>
        <v>MG Sticks</v>
      </c>
      <c r="J4042" s="918" t="str">
        <f t="shared" si="408"/>
        <v>2904MG Sticks</v>
      </c>
      <c r="K4042" s="919">
        <v>1</v>
      </c>
      <c r="L4042" s="920">
        <f t="shared" si="409"/>
        <v>3778</v>
      </c>
      <c r="M4042" s="920">
        <f t="shared" si="410"/>
        <v>8.1604799999999997</v>
      </c>
      <c r="N4042" s="920">
        <f t="shared" si="411"/>
        <v>17.990476190476191</v>
      </c>
      <c r="O4042" s="918" t="str">
        <f t="shared" si="412"/>
        <v>Feb</v>
      </c>
      <c r="P4042" s="921">
        <f t="shared" si="413"/>
        <v>9</v>
      </c>
    </row>
    <row r="4043" spans="1:16" ht="15" hidden="1" customHeight="1">
      <c r="A4043" s="839">
        <v>64393723</v>
      </c>
      <c r="B4043" s="839">
        <v>2904</v>
      </c>
      <c r="C4043" s="906">
        <v>3683</v>
      </c>
      <c r="D4043" s="907">
        <v>46078</v>
      </c>
      <c r="E4043" s="839" t="s">
        <v>317</v>
      </c>
      <c r="F4043" s="839" t="s">
        <v>283</v>
      </c>
      <c r="G4043" s="916">
        <f>VLOOKUP($A4043,'Tech Litons'!$A:$I,8,FALSE)</f>
        <v>2.16E-3</v>
      </c>
      <c r="H4043" s="917">
        <f>VLOOKUP($A4043,'Tech Litons'!$A:$I,9,FALSE)</f>
        <v>210</v>
      </c>
      <c r="I4043" s="917" t="str">
        <f>VLOOKUP($A4043,'Tech Litons'!$A:$C,3,0)</f>
        <v>MG Sticks</v>
      </c>
      <c r="J4043" s="918" t="str">
        <f t="shared" si="408"/>
        <v>2904MG Sticks</v>
      </c>
      <c r="K4043" s="919">
        <v>1</v>
      </c>
      <c r="L4043" s="920">
        <f t="shared" si="409"/>
        <v>3683</v>
      </c>
      <c r="M4043" s="920">
        <f t="shared" si="410"/>
        <v>7.9552800000000001</v>
      </c>
      <c r="N4043" s="920">
        <f t="shared" si="411"/>
        <v>17.538095238095238</v>
      </c>
      <c r="O4043" s="918" t="str">
        <f t="shared" si="412"/>
        <v>Feb</v>
      </c>
      <c r="P4043" s="921">
        <f t="shared" si="413"/>
        <v>9</v>
      </c>
    </row>
    <row r="4044" spans="1:16" ht="15" hidden="1" customHeight="1">
      <c r="A4044" s="839">
        <v>64393723</v>
      </c>
      <c r="B4044" s="839">
        <v>2904</v>
      </c>
      <c r="C4044" s="906">
        <v>4215</v>
      </c>
      <c r="D4044" s="907">
        <v>46078</v>
      </c>
      <c r="E4044" s="839" t="s">
        <v>317</v>
      </c>
      <c r="F4044" s="839" t="s">
        <v>283</v>
      </c>
      <c r="G4044" s="916">
        <f>VLOOKUP($A4044,'Tech Litons'!$A:$I,8,FALSE)</f>
        <v>2.16E-3</v>
      </c>
      <c r="H4044" s="917">
        <f>VLOOKUP($A4044,'Tech Litons'!$A:$I,9,FALSE)</f>
        <v>210</v>
      </c>
      <c r="I4044" s="917" t="str">
        <f>VLOOKUP($A4044,'Tech Litons'!$A:$C,3,0)</f>
        <v>MG Sticks</v>
      </c>
      <c r="J4044" s="918" t="str">
        <f t="shared" si="408"/>
        <v>2904MG Sticks</v>
      </c>
      <c r="K4044" s="919">
        <v>1</v>
      </c>
      <c r="L4044" s="920">
        <f t="shared" si="409"/>
        <v>4215</v>
      </c>
      <c r="M4044" s="920">
        <f t="shared" si="410"/>
        <v>9.1044</v>
      </c>
      <c r="N4044" s="920">
        <f t="shared" si="411"/>
        <v>20.071428571428573</v>
      </c>
      <c r="O4044" s="918" t="str">
        <f t="shared" si="412"/>
        <v>Feb</v>
      </c>
      <c r="P4044" s="921">
        <f t="shared" si="413"/>
        <v>9</v>
      </c>
    </row>
    <row r="4045" spans="1:16" ht="15" hidden="1" customHeight="1">
      <c r="A4045" s="839">
        <v>64393723</v>
      </c>
      <c r="B4045" s="839">
        <v>2904</v>
      </c>
      <c r="C4045" s="906">
        <v>4989</v>
      </c>
      <c r="D4045" s="907">
        <v>46079</v>
      </c>
      <c r="E4045" s="839" t="s">
        <v>317</v>
      </c>
      <c r="F4045" s="839" t="s">
        <v>283</v>
      </c>
      <c r="G4045" s="916">
        <f>VLOOKUP($A4045,'Tech Litons'!$A:$I,8,FALSE)</f>
        <v>2.16E-3</v>
      </c>
      <c r="H4045" s="917">
        <f>VLOOKUP($A4045,'Tech Litons'!$A:$I,9,FALSE)</f>
        <v>210</v>
      </c>
      <c r="I4045" s="917" t="str">
        <f>VLOOKUP($A4045,'Tech Litons'!$A:$C,3,0)</f>
        <v>MG Sticks</v>
      </c>
      <c r="J4045" s="918" t="str">
        <f t="shared" si="408"/>
        <v>2904MG Sticks</v>
      </c>
      <c r="K4045" s="919">
        <v>1</v>
      </c>
      <c r="L4045" s="920">
        <f t="shared" si="409"/>
        <v>4989</v>
      </c>
      <c r="M4045" s="920">
        <f t="shared" si="410"/>
        <v>10.77624</v>
      </c>
      <c r="N4045" s="920">
        <f t="shared" si="411"/>
        <v>23.757142857142856</v>
      </c>
      <c r="O4045" s="918" t="str">
        <f t="shared" si="412"/>
        <v>Feb</v>
      </c>
      <c r="P4045" s="921">
        <f t="shared" si="413"/>
        <v>9</v>
      </c>
    </row>
    <row r="4046" spans="1:16" ht="15" hidden="1" customHeight="1">
      <c r="A4046" s="839">
        <v>64393723</v>
      </c>
      <c r="B4046" s="839">
        <v>2904</v>
      </c>
      <c r="C4046" s="906">
        <v>7980</v>
      </c>
      <c r="D4046" s="907">
        <v>46079</v>
      </c>
      <c r="E4046" s="839" t="s">
        <v>317</v>
      </c>
      <c r="F4046" s="839" t="s">
        <v>283</v>
      </c>
      <c r="G4046" s="916">
        <f>VLOOKUP($A4046,'Tech Litons'!$A:$I,8,FALSE)</f>
        <v>2.16E-3</v>
      </c>
      <c r="H4046" s="917">
        <f>VLOOKUP($A4046,'Tech Litons'!$A:$I,9,FALSE)</f>
        <v>210</v>
      </c>
      <c r="I4046" s="917" t="str">
        <f>VLOOKUP($A4046,'Tech Litons'!$A:$C,3,0)</f>
        <v>MG Sticks</v>
      </c>
      <c r="J4046" s="918" t="str">
        <f t="shared" si="408"/>
        <v>2904MG Sticks</v>
      </c>
      <c r="K4046" s="919">
        <v>1</v>
      </c>
      <c r="L4046" s="920">
        <f t="shared" si="409"/>
        <v>7980</v>
      </c>
      <c r="M4046" s="920">
        <f t="shared" si="410"/>
        <v>17.236799999999999</v>
      </c>
      <c r="N4046" s="920">
        <f t="shared" si="411"/>
        <v>38</v>
      </c>
      <c r="O4046" s="918" t="str">
        <f t="shared" si="412"/>
        <v>Feb</v>
      </c>
      <c r="P4046" s="921">
        <f t="shared" si="413"/>
        <v>9</v>
      </c>
    </row>
    <row r="4047" spans="1:16" ht="15" hidden="1" customHeight="1">
      <c r="A4047" s="839">
        <v>64393723</v>
      </c>
      <c r="B4047" s="839">
        <v>2904</v>
      </c>
      <c r="C4047" s="906">
        <v>5151</v>
      </c>
      <c r="D4047" s="907">
        <v>46080</v>
      </c>
      <c r="E4047" s="839" t="s">
        <v>317</v>
      </c>
      <c r="F4047" s="839" t="s">
        <v>283</v>
      </c>
      <c r="G4047" s="916">
        <f>VLOOKUP($A4047,'Tech Litons'!$A:$I,8,FALSE)</f>
        <v>2.16E-3</v>
      </c>
      <c r="H4047" s="917">
        <f>VLOOKUP($A4047,'Tech Litons'!$A:$I,9,FALSE)</f>
        <v>210</v>
      </c>
      <c r="I4047" s="917" t="str">
        <f>VLOOKUP($A4047,'Tech Litons'!$A:$C,3,0)</f>
        <v>MG Sticks</v>
      </c>
      <c r="J4047" s="918" t="str">
        <f t="shared" si="408"/>
        <v>2904MG Sticks</v>
      </c>
      <c r="K4047" s="919">
        <v>1</v>
      </c>
      <c r="L4047" s="920">
        <f t="shared" si="409"/>
        <v>5151</v>
      </c>
      <c r="M4047" s="920">
        <f t="shared" si="410"/>
        <v>11.12616</v>
      </c>
      <c r="N4047" s="920">
        <f t="shared" si="411"/>
        <v>24.528571428571428</v>
      </c>
      <c r="O4047" s="918" t="str">
        <f t="shared" si="412"/>
        <v>Feb</v>
      </c>
      <c r="P4047" s="921">
        <f t="shared" si="413"/>
        <v>9</v>
      </c>
    </row>
    <row r="4048" spans="1:16" ht="15" hidden="1" customHeight="1">
      <c r="A4048" s="839">
        <v>64393723</v>
      </c>
      <c r="B4048" s="839">
        <v>2904</v>
      </c>
      <c r="C4048" s="906">
        <v>7183</v>
      </c>
      <c r="D4048" s="907">
        <v>46080</v>
      </c>
      <c r="E4048" s="839" t="s">
        <v>317</v>
      </c>
      <c r="F4048" s="839" t="s">
        <v>283</v>
      </c>
      <c r="G4048" s="916">
        <f>VLOOKUP($A4048,'Tech Litons'!$A:$I,8,FALSE)</f>
        <v>2.16E-3</v>
      </c>
      <c r="H4048" s="917">
        <f>VLOOKUP($A4048,'Tech Litons'!$A:$I,9,FALSE)</f>
        <v>210</v>
      </c>
      <c r="I4048" s="917" t="str">
        <f>VLOOKUP($A4048,'Tech Litons'!$A:$C,3,0)</f>
        <v>MG Sticks</v>
      </c>
      <c r="J4048" s="918" t="str">
        <f t="shared" si="408"/>
        <v>2904MG Sticks</v>
      </c>
      <c r="K4048" s="919">
        <v>1</v>
      </c>
      <c r="L4048" s="920">
        <f t="shared" si="409"/>
        <v>7183</v>
      </c>
      <c r="M4048" s="920">
        <f t="shared" si="410"/>
        <v>15.515280000000001</v>
      </c>
      <c r="N4048" s="920">
        <f t="shared" si="411"/>
        <v>34.204761904761902</v>
      </c>
      <c r="O4048" s="918" t="str">
        <f t="shared" si="412"/>
        <v>Feb</v>
      </c>
      <c r="P4048" s="921">
        <f t="shared" si="413"/>
        <v>9</v>
      </c>
    </row>
    <row r="4049" spans="1:16" ht="15" hidden="1" customHeight="1">
      <c r="A4049" s="839">
        <v>64393723</v>
      </c>
      <c r="B4049" s="839">
        <v>2904</v>
      </c>
      <c r="C4049" s="906">
        <v>3414</v>
      </c>
      <c r="D4049" s="907">
        <v>46081</v>
      </c>
      <c r="E4049" s="839" t="s">
        <v>317</v>
      </c>
      <c r="F4049" s="839" t="s">
        <v>283</v>
      </c>
      <c r="G4049" s="916">
        <f>VLOOKUP($A4049,'Tech Litons'!$A:$I,8,FALSE)</f>
        <v>2.16E-3</v>
      </c>
      <c r="H4049" s="917">
        <f>VLOOKUP($A4049,'Tech Litons'!$A:$I,9,FALSE)</f>
        <v>210</v>
      </c>
      <c r="I4049" s="917" t="str">
        <f>VLOOKUP($A4049,'Tech Litons'!$A:$C,3,0)</f>
        <v>MG Sticks</v>
      </c>
      <c r="J4049" s="918" t="str">
        <f t="shared" si="408"/>
        <v>2904MG Sticks</v>
      </c>
      <c r="K4049" s="919">
        <v>1</v>
      </c>
      <c r="L4049" s="920">
        <f t="shared" si="409"/>
        <v>3414</v>
      </c>
      <c r="M4049" s="920">
        <f t="shared" si="410"/>
        <v>7.3742400000000004</v>
      </c>
      <c r="N4049" s="920">
        <f t="shared" si="411"/>
        <v>16.257142857142856</v>
      </c>
      <c r="O4049" s="918" t="str">
        <f t="shared" si="412"/>
        <v>Feb</v>
      </c>
      <c r="P4049" s="921">
        <f t="shared" si="413"/>
        <v>9</v>
      </c>
    </row>
    <row r="4050" spans="1:16" ht="15" hidden="1" customHeight="1">
      <c r="A4050" s="839">
        <v>64394583</v>
      </c>
      <c r="B4050" s="839">
        <v>2904</v>
      </c>
      <c r="C4050" s="906">
        <v>239</v>
      </c>
      <c r="D4050" s="907">
        <v>46078</v>
      </c>
      <c r="E4050" s="839" t="s">
        <v>462</v>
      </c>
      <c r="F4050" s="839" t="s">
        <v>40</v>
      </c>
      <c r="G4050" s="916">
        <f>VLOOKUP($A4050,'Tech Litons'!$A:$I,8,FALSE)</f>
        <v>3.4159999999999998E-3</v>
      </c>
      <c r="H4050" s="917">
        <f>VLOOKUP($A4050,'Tech Litons'!$A:$I,9,FALSE)</f>
        <v>240</v>
      </c>
      <c r="I4050" s="917" t="str">
        <f>VLOOKUP($A4050,'Tech Litons'!$A:$C,3,0)</f>
        <v>Sundaes</v>
      </c>
      <c r="J4050" s="918" t="str">
        <f t="shared" si="408"/>
        <v>2904Sundaes</v>
      </c>
      <c r="K4050" s="919">
        <v>1</v>
      </c>
      <c r="L4050" s="920">
        <f t="shared" si="409"/>
        <v>239</v>
      </c>
      <c r="M4050" s="920">
        <f t="shared" si="410"/>
        <v>0.81642399999999993</v>
      </c>
      <c r="N4050" s="920">
        <f t="shared" si="411"/>
        <v>0.99583333333333335</v>
      </c>
      <c r="O4050" s="918" t="str">
        <f t="shared" si="412"/>
        <v>Feb</v>
      </c>
      <c r="P4050" s="921">
        <f t="shared" si="413"/>
        <v>9</v>
      </c>
    </row>
    <row r="4051" spans="1:16" ht="15" hidden="1" customHeight="1">
      <c r="A4051" s="839">
        <v>64394583</v>
      </c>
      <c r="B4051" s="839">
        <v>2904</v>
      </c>
      <c r="C4051" s="906">
        <v>111</v>
      </c>
      <c r="D4051" s="907">
        <v>46078</v>
      </c>
      <c r="E4051" s="839" t="s">
        <v>462</v>
      </c>
      <c r="F4051" s="839" t="s">
        <v>40</v>
      </c>
      <c r="G4051" s="916">
        <f>VLOOKUP($A4051,'Tech Litons'!$A:$I,8,FALSE)</f>
        <v>3.4159999999999998E-3</v>
      </c>
      <c r="H4051" s="917">
        <f>VLOOKUP($A4051,'Tech Litons'!$A:$I,9,FALSE)</f>
        <v>240</v>
      </c>
      <c r="I4051" s="917" t="str">
        <f>VLOOKUP($A4051,'Tech Litons'!$A:$C,3,0)</f>
        <v>Sundaes</v>
      </c>
      <c r="J4051" s="918" t="str">
        <f t="shared" si="408"/>
        <v>2904Sundaes</v>
      </c>
      <c r="K4051" s="919">
        <v>1</v>
      </c>
      <c r="L4051" s="920">
        <f t="shared" si="409"/>
        <v>111</v>
      </c>
      <c r="M4051" s="920">
        <f t="shared" si="410"/>
        <v>0.37917599999999996</v>
      </c>
      <c r="N4051" s="920">
        <f t="shared" si="411"/>
        <v>0.46250000000000002</v>
      </c>
      <c r="O4051" s="918" t="str">
        <f t="shared" si="412"/>
        <v>Feb</v>
      </c>
      <c r="P4051" s="921">
        <f t="shared" si="413"/>
        <v>9</v>
      </c>
    </row>
    <row r="4052" spans="1:16" ht="15" hidden="1" customHeight="1">
      <c r="A4052" s="839">
        <v>64394585</v>
      </c>
      <c r="B4052" s="839">
        <v>2904</v>
      </c>
      <c r="C4052" s="906">
        <v>2160</v>
      </c>
      <c r="D4052" s="907">
        <v>46079</v>
      </c>
      <c r="E4052" s="839" t="s">
        <v>523</v>
      </c>
      <c r="F4052" s="839" t="s">
        <v>40</v>
      </c>
      <c r="G4052" s="916">
        <f>VLOOKUP($A4052,'Tech Litons'!$A:$I,8,FALSE)</f>
        <v>3.4159999999999998E-3</v>
      </c>
      <c r="H4052" s="917">
        <f>VLOOKUP($A4052,'Tech Litons'!$A:$I,9,FALSE)</f>
        <v>240</v>
      </c>
      <c r="I4052" s="917" t="str">
        <f>VLOOKUP($A4052,'Tech Litons'!$A:$C,3,0)</f>
        <v>Sundaes</v>
      </c>
      <c r="J4052" s="918" t="str">
        <f t="shared" si="408"/>
        <v>2904Sundaes</v>
      </c>
      <c r="K4052" s="919">
        <v>1</v>
      </c>
      <c r="L4052" s="920">
        <f t="shared" si="409"/>
        <v>2160</v>
      </c>
      <c r="M4052" s="920">
        <f t="shared" si="410"/>
        <v>7.3785599999999993</v>
      </c>
      <c r="N4052" s="920">
        <f t="shared" si="411"/>
        <v>9</v>
      </c>
      <c r="O4052" s="918" t="str">
        <f t="shared" si="412"/>
        <v>Feb</v>
      </c>
      <c r="P4052" s="921">
        <f t="shared" si="413"/>
        <v>9</v>
      </c>
    </row>
    <row r="4053" spans="1:16" ht="15" hidden="1" customHeight="1">
      <c r="A4053" s="839">
        <v>64394585</v>
      </c>
      <c r="B4053" s="839">
        <v>2904</v>
      </c>
      <c r="C4053" s="906">
        <v>6060</v>
      </c>
      <c r="D4053" s="907">
        <v>46080</v>
      </c>
      <c r="E4053" s="839" t="s">
        <v>523</v>
      </c>
      <c r="F4053" s="839" t="s">
        <v>40</v>
      </c>
      <c r="G4053" s="916">
        <f>VLOOKUP($A4053,'Tech Litons'!$A:$I,8,FALSE)</f>
        <v>3.4159999999999998E-3</v>
      </c>
      <c r="H4053" s="917">
        <f>VLOOKUP($A4053,'Tech Litons'!$A:$I,9,FALSE)</f>
        <v>240</v>
      </c>
      <c r="I4053" s="917" t="str">
        <f>VLOOKUP($A4053,'Tech Litons'!$A:$C,3,0)</f>
        <v>Sundaes</v>
      </c>
      <c r="J4053" s="918" t="str">
        <f t="shared" si="408"/>
        <v>2904Sundaes</v>
      </c>
      <c r="K4053" s="919">
        <v>1</v>
      </c>
      <c r="L4053" s="920">
        <f t="shared" si="409"/>
        <v>6060</v>
      </c>
      <c r="M4053" s="920">
        <f t="shared" si="410"/>
        <v>20.700959999999998</v>
      </c>
      <c r="N4053" s="920">
        <f t="shared" si="411"/>
        <v>25.25</v>
      </c>
      <c r="O4053" s="918" t="str">
        <f t="shared" si="412"/>
        <v>Feb</v>
      </c>
      <c r="P4053" s="921">
        <f t="shared" si="413"/>
        <v>9</v>
      </c>
    </row>
    <row r="4054" spans="1:16" ht="15" hidden="1" customHeight="1">
      <c r="A4054" s="839">
        <v>64394585</v>
      </c>
      <c r="B4054" s="839">
        <v>2904</v>
      </c>
      <c r="C4054" s="906">
        <v>9722</v>
      </c>
      <c r="D4054" s="907">
        <v>46080</v>
      </c>
      <c r="E4054" s="839" t="s">
        <v>523</v>
      </c>
      <c r="F4054" s="839" t="s">
        <v>40</v>
      </c>
      <c r="G4054" s="916">
        <f>VLOOKUP($A4054,'Tech Litons'!$A:$I,8,FALSE)</f>
        <v>3.4159999999999998E-3</v>
      </c>
      <c r="H4054" s="917">
        <f>VLOOKUP($A4054,'Tech Litons'!$A:$I,9,FALSE)</f>
        <v>240</v>
      </c>
      <c r="I4054" s="917" t="str">
        <f>VLOOKUP($A4054,'Tech Litons'!$A:$C,3,0)</f>
        <v>Sundaes</v>
      </c>
      <c r="J4054" s="918" t="str">
        <f t="shared" si="408"/>
        <v>2904Sundaes</v>
      </c>
      <c r="K4054" s="919">
        <v>1</v>
      </c>
      <c r="L4054" s="920">
        <f t="shared" si="409"/>
        <v>9722</v>
      </c>
      <c r="M4054" s="920">
        <f t="shared" si="410"/>
        <v>33.210352</v>
      </c>
      <c r="N4054" s="920">
        <f t="shared" si="411"/>
        <v>40.508333333333333</v>
      </c>
      <c r="O4054" s="918" t="str">
        <f t="shared" si="412"/>
        <v>Feb</v>
      </c>
      <c r="P4054" s="921">
        <f t="shared" si="413"/>
        <v>9</v>
      </c>
    </row>
    <row r="4055" spans="1:16" ht="15" hidden="1" customHeight="1">
      <c r="A4055" s="839">
        <v>64394585</v>
      </c>
      <c r="B4055" s="839">
        <v>2904</v>
      </c>
      <c r="C4055" s="906">
        <v>5729</v>
      </c>
      <c r="D4055" s="907">
        <v>46081</v>
      </c>
      <c r="E4055" s="839" t="s">
        <v>523</v>
      </c>
      <c r="F4055" s="839" t="s">
        <v>40</v>
      </c>
      <c r="G4055" s="916">
        <f>VLOOKUP($A4055,'Tech Litons'!$A:$I,8,FALSE)</f>
        <v>3.4159999999999998E-3</v>
      </c>
      <c r="H4055" s="917">
        <f>VLOOKUP($A4055,'Tech Litons'!$A:$I,9,FALSE)</f>
        <v>240</v>
      </c>
      <c r="I4055" s="917" t="str">
        <f>VLOOKUP($A4055,'Tech Litons'!$A:$C,3,0)</f>
        <v>Sundaes</v>
      </c>
      <c r="J4055" s="918" t="str">
        <f t="shared" si="408"/>
        <v>2904Sundaes</v>
      </c>
      <c r="K4055" s="919">
        <v>1</v>
      </c>
      <c r="L4055" s="920">
        <f t="shared" si="409"/>
        <v>5729</v>
      </c>
      <c r="M4055" s="920">
        <f t="shared" si="410"/>
        <v>19.570263999999998</v>
      </c>
      <c r="N4055" s="920">
        <f t="shared" si="411"/>
        <v>23.870833333333334</v>
      </c>
      <c r="O4055" s="918" t="str">
        <f t="shared" si="412"/>
        <v>Feb</v>
      </c>
      <c r="P4055" s="921">
        <f t="shared" si="413"/>
        <v>9</v>
      </c>
    </row>
    <row r="4056" spans="1:16" ht="15" hidden="1" customHeight="1">
      <c r="A4056" s="839">
        <v>64775327</v>
      </c>
      <c r="B4056" s="839">
        <v>2904</v>
      </c>
      <c r="C4056" s="906">
        <v>5104</v>
      </c>
      <c r="D4056" s="907">
        <v>46076</v>
      </c>
      <c r="E4056" s="839" t="s">
        <v>429</v>
      </c>
      <c r="F4056" s="839" t="s">
        <v>269</v>
      </c>
      <c r="G4056" s="916">
        <f>VLOOKUP($A4056,'Tech Litons'!$A:$I,8,FALSE)</f>
        <v>8.5199999999999998E-3</v>
      </c>
      <c r="H4056" s="917">
        <f>VLOOKUP($A4056,'Tech Litons'!$A:$I,9,FALSE)</f>
        <v>176</v>
      </c>
      <c r="I4056" s="917" t="str">
        <f>VLOOKUP($A4056,'Tech Litons'!$A:$C,3,0)</f>
        <v>48oz</v>
      </c>
      <c r="J4056" s="918" t="str">
        <f t="shared" si="408"/>
        <v>290448oz</v>
      </c>
      <c r="K4056" s="919">
        <v>1</v>
      </c>
      <c r="L4056" s="920">
        <f t="shared" si="409"/>
        <v>5104</v>
      </c>
      <c r="M4056" s="920">
        <f t="shared" si="410"/>
        <v>43.486080000000001</v>
      </c>
      <c r="N4056" s="920">
        <f t="shared" si="411"/>
        <v>29</v>
      </c>
      <c r="O4056" s="918" t="str">
        <f t="shared" si="412"/>
        <v>Feb</v>
      </c>
      <c r="P4056" s="921">
        <f t="shared" si="413"/>
        <v>9</v>
      </c>
    </row>
    <row r="4057" spans="1:16" ht="15" hidden="1" customHeight="1">
      <c r="A4057" s="839">
        <v>64775327</v>
      </c>
      <c r="B4057" s="839">
        <v>2904</v>
      </c>
      <c r="C4057" s="906">
        <v>7136</v>
      </c>
      <c r="D4057" s="907">
        <v>46077</v>
      </c>
      <c r="E4057" s="839" t="s">
        <v>429</v>
      </c>
      <c r="F4057" s="839" t="s">
        <v>269</v>
      </c>
      <c r="G4057" s="916">
        <f>VLOOKUP($A4057,'Tech Litons'!$A:$I,8,FALSE)</f>
        <v>8.5199999999999998E-3</v>
      </c>
      <c r="H4057" s="917">
        <f>VLOOKUP($A4057,'Tech Litons'!$A:$I,9,FALSE)</f>
        <v>176</v>
      </c>
      <c r="I4057" s="917" t="str">
        <f>VLOOKUP($A4057,'Tech Litons'!$A:$C,3,0)</f>
        <v>48oz</v>
      </c>
      <c r="J4057" s="918" t="str">
        <f t="shared" si="408"/>
        <v>290448oz</v>
      </c>
      <c r="K4057" s="919">
        <v>1</v>
      </c>
      <c r="L4057" s="920">
        <f t="shared" si="409"/>
        <v>7136</v>
      </c>
      <c r="M4057" s="920">
        <f t="shared" si="410"/>
        <v>60.798719999999996</v>
      </c>
      <c r="N4057" s="920">
        <f t="shared" si="411"/>
        <v>40.545454545454547</v>
      </c>
      <c r="O4057" s="918" t="str">
        <f t="shared" si="412"/>
        <v>Feb</v>
      </c>
      <c r="P4057" s="921">
        <f t="shared" si="413"/>
        <v>9</v>
      </c>
    </row>
    <row r="4058" spans="1:16" ht="15" hidden="1" customHeight="1">
      <c r="A4058" s="839">
        <v>64775327</v>
      </c>
      <c r="B4058" s="839">
        <v>2904</v>
      </c>
      <c r="C4058" s="906">
        <v>5057</v>
      </c>
      <c r="D4058" s="907">
        <v>46077</v>
      </c>
      <c r="E4058" s="839" t="s">
        <v>429</v>
      </c>
      <c r="F4058" s="839" t="s">
        <v>269</v>
      </c>
      <c r="G4058" s="916">
        <f>VLOOKUP($A4058,'Tech Litons'!$A:$I,8,FALSE)</f>
        <v>8.5199999999999998E-3</v>
      </c>
      <c r="H4058" s="917">
        <f>VLOOKUP($A4058,'Tech Litons'!$A:$I,9,FALSE)</f>
        <v>176</v>
      </c>
      <c r="I4058" s="917" t="str">
        <f>VLOOKUP($A4058,'Tech Litons'!$A:$C,3,0)</f>
        <v>48oz</v>
      </c>
      <c r="J4058" s="918" t="str">
        <f t="shared" si="408"/>
        <v>290448oz</v>
      </c>
      <c r="K4058" s="919">
        <v>1</v>
      </c>
      <c r="L4058" s="920">
        <f t="shared" si="409"/>
        <v>5057</v>
      </c>
      <c r="M4058" s="920">
        <f t="shared" si="410"/>
        <v>43.085639999999998</v>
      </c>
      <c r="N4058" s="920">
        <f t="shared" si="411"/>
        <v>28.732954545454547</v>
      </c>
      <c r="O4058" s="918" t="str">
        <f t="shared" si="412"/>
        <v>Feb</v>
      </c>
      <c r="P4058" s="921">
        <f t="shared" si="413"/>
        <v>9</v>
      </c>
    </row>
    <row r="4059" spans="1:16" ht="15" hidden="1" customHeight="1">
      <c r="A4059" s="839">
        <v>64775327</v>
      </c>
      <c r="B4059" s="839">
        <v>2904</v>
      </c>
      <c r="C4059" s="906">
        <v>6686</v>
      </c>
      <c r="D4059" s="907">
        <v>46078</v>
      </c>
      <c r="E4059" s="839" t="s">
        <v>429</v>
      </c>
      <c r="F4059" s="839" t="s">
        <v>269</v>
      </c>
      <c r="G4059" s="916">
        <f>VLOOKUP($A4059,'Tech Litons'!$A:$I,8,FALSE)</f>
        <v>8.5199999999999998E-3</v>
      </c>
      <c r="H4059" s="917">
        <f>VLOOKUP($A4059,'Tech Litons'!$A:$I,9,FALSE)</f>
        <v>176</v>
      </c>
      <c r="I4059" s="917" t="str">
        <f>VLOOKUP($A4059,'Tech Litons'!$A:$C,3,0)</f>
        <v>48oz</v>
      </c>
      <c r="J4059" s="918" t="str">
        <f t="shared" si="408"/>
        <v>290448oz</v>
      </c>
      <c r="K4059" s="919">
        <v>1</v>
      </c>
      <c r="L4059" s="920">
        <f t="shared" si="409"/>
        <v>6686</v>
      </c>
      <c r="M4059" s="920">
        <f t="shared" si="410"/>
        <v>56.96472</v>
      </c>
      <c r="N4059" s="920">
        <f t="shared" si="411"/>
        <v>37.988636363636367</v>
      </c>
      <c r="O4059" s="918" t="str">
        <f t="shared" si="412"/>
        <v>Feb</v>
      </c>
      <c r="P4059" s="921">
        <f t="shared" si="413"/>
        <v>9</v>
      </c>
    </row>
    <row r="4060" spans="1:16" ht="15" hidden="1" customHeight="1">
      <c r="A4060" s="839">
        <v>64775327</v>
      </c>
      <c r="B4060" s="839">
        <v>2904</v>
      </c>
      <c r="C4060" s="906">
        <v>5565</v>
      </c>
      <c r="D4060" s="907">
        <v>46078</v>
      </c>
      <c r="E4060" s="839" t="s">
        <v>429</v>
      </c>
      <c r="F4060" s="839" t="s">
        <v>269</v>
      </c>
      <c r="G4060" s="916">
        <f>VLOOKUP($A4060,'Tech Litons'!$A:$I,8,FALSE)</f>
        <v>8.5199999999999998E-3</v>
      </c>
      <c r="H4060" s="917">
        <f>VLOOKUP($A4060,'Tech Litons'!$A:$I,9,FALSE)</f>
        <v>176</v>
      </c>
      <c r="I4060" s="917" t="str">
        <f>VLOOKUP($A4060,'Tech Litons'!$A:$C,3,0)</f>
        <v>48oz</v>
      </c>
      <c r="J4060" s="918" t="str">
        <f t="shared" si="408"/>
        <v>290448oz</v>
      </c>
      <c r="K4060" s="919">
        <v>1</v>
      </c>
      <c r="L4060" s="920">
        <f t="shared" si="409"/>
        <v>5565</v>
      </c>
      <c r="M4060" s="920">
        <f t="shared" si="410"/>
        <v>47.413800000000002</v>
      </c>
      <c r="N4060" s="920">
        <f t="shared" si="411"/>
        <v>31.619318181818183</v>
      </c>
      <c r="O4060" s="918" t="str">
        <f t="shared" si="412"/>
        <v>Feb</v>
      </c>
      <c r="P4060" s="921">
        <f t="shared" si="413"/>
        <v>9</v>
      </c>
    </row>
    <row r="4061" spans="1:16" ht="15" hidden="1" customHeight="1">
      <c r="A4061" s="839">
        <v>64775327</v>
      </c>
      <c r="B4061" s="839">
        <v>2904</v>
      </c>
      <c r="C4061" s="906">
        <v>539</v>
      </c>
      <c r="D4061" s="907">
        <v>46079</v>
      </c>
      <c r="E4061" s="839" t="s">
        <v>429</v>
      </c>
      <c r="F4061" s="839" t="s">
        <v>269</v>
      </c>
      <c r="G4061" s="916">
        <f>VLOOKUP($A4061,'Tech Litons'!$A:$I,8,FALSE)</f>
        <v>8.5199999999999998E-3</v>
      </c>
      <c r="H4061" s="917">
        <f>VLOOKUP($A4061,'Tech Litons'!$A:$I,9,FALSE)</f>
        <v>176</v>
      </c>
      <c r="I4061" s="917" t="str">
        <f>VLOOKUP($A4061,'Tech Litons'!$A:$C,3,0)</f>
        <v>48oz</v>
      </c>
      <c r="J4061" s="918" t="str">
        <f t="shared" si="408"/>
        <v>290448oz</v>
      </c>
      <c r="K4061" s="919">
        <v>1</v>
      </c>
      <c r="L4061" s="920">
        <f t="shared" si="409"/>
        <v>539</v>
      </c>
      <c r="M4061" s="920">
        <f t="shared" si="410"/>
        <v>4.5922799999999997</v>
      </c>
      <c r="N4061" s="920">
        <f t="shared" si="411"/>
        <v>3.0625</v>
      </c>
      <c r="O4061" s="918" t="str">
        <f t="shared" si="412"/>
        <v>Feb</v>
      </c>
      <c r="P4061" s="921">
        <f t="shared" si="413"/>
        <v>9</v>
      </c>
    </row>
    <row r="4062" spans="1:16" ht="15" hidden="1" customHeight="1">
      <c r="A4062" s="839">
        <v>64775327</v>
      </c>
      <c r="B4062" s="839">
        <v>2904</v>
      </c>
      <c r="C4062" s="906">
        <v>5456</v>
      </c>
      <c r="D4062" s="907">
        <v>46076</v>
      </c>
      <c r="E4062" s="839" t="s">
        <v>429</v>
      </c>
      <c r="F4062" s="839" t="s">
        <v>269</v>
      </c>
      <c r="G4062" s="916">
        <f>VLOOKUP($A4062,'Tech Litons'!$A:$I,8,FALSE)</f>
        <v>8.5199999999999998E-3</v>
      </c>
      <c r="H4062" s="917">
        <f>VLOOKUP($A4062,'Tech Litons'!$A:$I,9,FALSE)</f>
        <v>176</v>
      </c>
      <c r="I4062" s="917" t="str">
        <f>VLOOKUP($A4062,'Tech Litons'!$A:$C,3,0)</f>
        <v>48oz</v>
      </c>
      <c r="J4062" s="918" t="str">
        <f t="shared" si="408"/>
        <v>290448oz</v>
      </c>
      <c r="K4062" s="919">
        <v>1</v>
      </c>
      <c r="L4062" s="920">
        <f t="shared" si="409"/>
        <v>5456</v>
      </c>
      <c r="M4062" s="920">
        <f t="shared" si="410"/>
        <v>46.485120000000002</v>
      </c>
      <c r="N4062" s="920">
        <f t="shared" si="411"/>
        <v>31</v>
      </c>
      <c r="O4062" s="918" t="str">
        <f t="shared" si="412"/>
        <v>Feb</v>
      </c>
      <c r="P4062" s="921">
        <f t="shared" si="413"/>
        <v>9</v>
      </c>
    </row>
    <row r="4063" spans="1:16" ht="15" hidden="1" customHeight="1">
      <c r="A4063" s="839">
        <v>64782365</v>
      </c>
      <c r="B4063" s="839">
        <v>2904</v>
      </c>
      <c r="C4063" s="906">
        <v>3647</v>
      </c>
      <c r="D4063" s="907">
        <v>46076</v>
      </c>
      <c r="E4063" s="839" t="s">
        <v>519</v>
      </c>
      <c r="F4063" s="839" t="s">
        <v>283</v>
      </c>
      <c r="G4063" s="916">
        <f>VLOOKUP($A4063,'Tech Litons'!$A:$I,8,FALSE)</f>
        <v>1.9199999999999998E-3</v>
      </c>
      <c r="H4063" s="917">
        <f>VLOOKUP($A4063,'Tech Litons'!$A:$I,9,FALSE)</f>
        <v>210</v>
      </c>
      <c r="I4063" s="917" t="str">
        <f>VLOOKUP($A4063,'Tech Litons'!$A:$C,3,0)</f>
        <v>MG Sticks</v>
      </c>
      <c r="J4063" s="918" t="str">
        <f t="shared" si="408"/>
        <v>2904MG Sticks</v>
      </c>
      <c r="K4063" s="919">
        <v>1</v>
      </c>
      <c r="L4063" s="920">
        <f t="shared" si="409"/>
        <v>3647</v>
      </c>
      <c r="M4063" s="920">
        <f t="shared" si="410"/>
        <v>7.0022399999999996</v>
      </c>
      <c r="N4063" s="920">
        <f t="shared" si="411"/>
        <v>17.366666666666667</v>
      </c>
      <c r="O4063" s="918" t="str">
        <f t="shared" si="412"/>
        <v>Feb</v>
      </c>
      <c r="P4063" s="921">
        <f t="shared" si="413"/>
        <v>9</v>
      </c>
    </row>
    <row r="4064" spans="1:16" ht="15" hidden="1" customHeight="1">
      <c r="A4064" s="839">
        <v>64782365</v>
      </c>
      <c r="B4064" s="839">
        <v>2904</v>
      </c>
      <c r="C4064" s="906">
        <v>7743</v>
      </c>
      <c r="D4064" s="907">
        <v>46076</v>
      </c>
      <c r="E4064" s="839" t="s">
        <v>519</v>
      </c>
      <c r="F4064" s="839" t="s">
        <v>283</v>
      </c>
      <c r="G4064" s="916">
        <f>VLOOKUP($A4064,'Tech Litons'!$A:$I,8,FALSE)</f>
        <v>1.9199999999999998E-3</v>
      </c>
      <c r="H4064" s="917">
        <f>VLOOKUP($A4064,'Tech Litons'!$A:$I,9,FALSE)</f>
        <v>210</v>
      </c>
      <c r="I4064" s="917" t="str">
        <f>VLOOKUP($A4064,'Tech Litons'!$A:$C,3,0)</f>
        <v>MG Sticks</v>
      </c>
      <c r="J4064" s="918" t="str">
        <f t="shared" si="408"/>
        <v>2904MG Sticks</v>
      </c>
      <c r="K4064" s="919">
        <v>1</v>
      </c>
      <c r="L4064" s="920">
        <f t="shared" si="409"/>
        <v>7743</v>
      </c>
      <c r="M4064" s="920">
        <f t="shared" si="410"/>
        <v>14.866559999999998</v>
      </c>
      <c r="N4064" s="920">
        <f t="shared" si="411"/>
        <v>36.871428571428574</v>
      </c>
      <c r="O4064" s="918" t="str">
        <f t="shared" si="412"/>
        <v>Feb</v>
      </c>
      <c r="P4064" s="921">
        <f t="shared" si="413"/>
        <v>9</v>
      </c>
    </row>
    <row r="4065" spans="1:16" ht="15" hidden="1" customHeight="1">
      <c r="A4065" s="839">
        <v>64782365</v>
      </c>
      <c r="B4065" s="839">
        <v>2904</v>
      </c>
      <c r="C4065" s="906">
        <v>1260</v>
      </c>
      <c r="D4065" s="907">
        <v>46077</v>
      </c>
      <c r="E4065" s="839" t="s">
        <v>519</v>
      </c>
      <c r="F4065" s="839" t="s">
        <v>283</v>
      </c>
      <c r="G4065" s="916">
        <f>VLOOKUP($A4065,'Tech Litons'!$A:$I,8,FALSE)</f>
        <v>1.9199999999999998E-3</v>
      </c>
      <c r="H4065" s="917">
        <f>VLOOKUP($A4065,'Tech Litons'!$A:$I,9,FALSE)</f>
        <v>210</v>
      </c>
      <c r="I4065" s="917" t="str">
        <f>VLOOKUP($A4065,'Tech Litons'!$A:$C,3,0)</f>
        <v>MG Sticks</v>
      </c>
      <c r="J4065" s="918" t="str">
        <f t="shared" si="408"/>
        <v>2904MG Sticks</v>
      </c>
      <c r="K4065" s="919">
        <v>1</v>
      </c>
      <c r="L4065" s="920">
        <f t="shared" si="409"/>
        <v>1260</v>
      </c>
      <c r="M4065" s="920">
        <f t="shared" si="410"/>
        <v>2.4191999999999996</v>
      </c>
      <c r="N4065" s="920">
        <f t="shared" si="411"/>
        <v>6</v>
      </c>
      <c r="O4065" s="918" t="str">
        <f t="shared" si="412"/>
        <v>Feb</v>
      </c>
      <c r="P4065" s="921">
        <f t="shared" si="413"/>
        <v>9</v>
      </c>
    </row>
    <row r="4066" spans="1:16" ht="15" hidden="1" customHeight="1">
      <c r="A4066" s="839">
        <v>64958122</v>
      </c>
      <c r="B4066" s="839">
        <v>2904</v>
      </c>
      <c r="C4066" s="906">
        <v>15477</v>
      </c>
      <c r="D4066" s="907">
        <v>46097</v>
      </c>
      <c r="E4066" s="839" t="s">
        <v>236</v>
      </c>
      <c r="F4066" s="839" t="s">
        <v>234</v>
      </c>
      <c r="G4066" s="916">
        <f>VLOOKUP($A4066,'Tech Litons'!$A:$I,8,FALSE)</f>
        <v>3.3119999999999998E-3</v>
      </c>
      <c r="H4066" s="917">
        <f>VLOOKUP($A4066,'Tech Litons'!$A:$I,9,FALSE)</f>
        <v>165</v>
      </c>
      <c r="I4066" s="917" t="str">
        <f>VLOOKUP($A4066,'Tech Litons'!$A:$C,3,0)</f>
        <v>Yasso Sticks</v>
      </c>
      <c r="J4066" s="918" t="str">
        <f t="shared" si="408"/>
        <v>2904Yasso Sticks</v>
      </c>
      <c r="K4066" s="919">
        <v>1</v>
      </c>
      <c r="L4066" s="920">
        <f t="shared" si="409"/>
        <v>15477</v>
      </c>
      <c r="M4066" s="920">
        <f t="shared" si="410"/>
        <v>51.259823999999995</v>
      </c>
      <c r="N4066" s="920">
        <f t="shared" si="411"/>
        <v>93.8</v>
      </c>
      <c r="O4066" s="918" t="str">
        <f t="shared" si="412"/>
        <v>Mar</v>
      </c>
      <c r="P4066" s="921">
        <f t="shared" si="413"/>
        <v>12</v>
      </c>
    </row>
    <row r="4067" spans="1:16" ht="15" hidden="1" customHeight="1">
      <c r="A4067" s="839">
        <v>64958122</v>
      </c>
      <c r="B4067" s="839">
        <v>2904</v>
      </c>
      <c r="C4067" s="906">
        <v>2970</v>
      </c>
      <c r="D4067" s="907">
        <v>46097</v>
      </c>
      <c r="E4067" s="839" t="s">
        <v>236</v>
      </c>
      <c r="F4067" s="839" t="s">
        <v>234</v>
      </c>
      <c r="G4067" s="916">
        <f>VLOOKUP($A4067,'Tech Litons'!$A:$I,8,FALSE)</f>
        <v>3.3119999999999998E-3</v>
      </c>
      <c r="H4067" s="917">
        <f>VLOOKUP($A4067,'Tech Litons'!$A:$I,9,FALSE)</f>
        <v>165</v>
      </c>
      <c r="I4067" s="917" t="str">
        <f>VLOOKUP($A4067,'Tech Litons'!$A:$C,3,0)</f>
        <v>Yasso Sticks</v>
      </c>
      <c r="J4067" s="918" t="str">
        <f t="shared" si="408"/>
        <v>2904Yasso Sticks</v>
      </c>
      <c r="K4067" s="919">
        <v>1</v>
      </c>
      <c r="L4067" s="920">
        <f t="shared" si="409"/>
        <v>2970</v>
      </c>
      <c r="M4067" s="920">
        <f t="shared" si="410"/>
        <v>9.8366399999999992</v>
      </c>
      <c r="N4067" s="920">
        <f t="shared" si="411"/>
        <v>18</v>
      </c>
      <c r="O4067" s="918" t="str">
        <f t="shared" si="412"/>
        <v>Mar</v>
      </c>
      <c r="P4067" s="921">
        <f t="shared" si="413"/>
        <v>12</v>
      </c>
    </row>
    <row r="4068" spans="1:16" ht="15" hidden="1" customHeight="1">
      <c r="A4068" s="839">
        <v>64958122</v>
      </c>
      <c r="B4068" s="839">
        <v>2904</v>
      </c>
      <c r="C4068" s="906">
        <v>660</v>
      </c>
      <c r="D4068" s="907">
        <v>46098</v>
      </c>
      <c r="E4068" s="839" t="s">
        <v>236</v>
      </c>
      <c r="F4068" s="839" t="s">
        <v>234</v>
      </c>
      <c r="G4068" s="916">
        <f>VLOOKUP($A4068,'Tech Litons'!$A:$I,8,FALSE)</f>
        <v>3.3119999999999998E-3</v>
      </c>
      <c r="H4068" s="917">
        <f>VLOOKUP($A4068,'Tech Litons'!$A:$I,9,FALSE)</f>
        <v>165</v>
      </c>
      <c r="I4068" s="917" t="str">
        <f>VLOOKUP($A4068,'Tech Litons'!$A:$C,3,0)</f>
        <v>Yasso Sticks</v>
      </c>
      <c r="J4068" s="918" t="str">
        <f t="shared" si="408"/>
        <v>2904Yasso Sticks</v>
      </c>
      <c r="K4068" s="919">
        <v>1</v>
      </c>
      <c r="L4068" s="920">
        <f t="shared" si="409"/>
        <v>660</v>
      </c>
      <c r="M4068" s="920">
        <f t="shared" si="410"/>
        <v>2.1859199999999999</v>
      </c>
      <c r="N4068" s="920">
        <f t="shared" si="411"/>
        <v>4</v>
      </c>
      <c r="O4068" s="918" t="str">
        <f t="shared" si="412"/>
        <v>Mar</v>
      </c>
      <c r="P4068" s="921">
        <f t="shared" si="413"/>
        <v>12</v>
      </c>
    </row>
    <row r="4069" spans="1:16" ht="15" hidden="1" customHeight="1">
      <c r="A4069" s="839">
        <v>64958122</v>
      </c>
      <c r="B4069" s="839">
        <v>2904</v>
      </c>
      <c r="C4069" s="906">
        <v>330</v>
      </c>
      <c r="D4069" s="907">
        <v>46099</v>
      </c>
      <c r="E4069" s="839" t="s">
        <v>236</v>
      </c>
      <c r="F4069" s="839" t="s">
        <v>234</v>
      </c>
      <c r="G4069" s="916">
        <f>VLOOKUP($A4069,'Tech Litons'!$A:$I,8,FALSE)</f>
        <v>3.3119999999999998E-3</v>
      </c>
      <c r="H4069" s="917">
        <f>VLOOKUP($A4069,'Tech Litons'!$A:$I,9,FALSE)</f>
        <v>165</v>
      </c>
      <c r="I4069" s="917" t="str">
        <f>VLOOKUP($A4069,'Tech Litons'!$A:$C,3,0)</f>
        <v>Yasso Sticks</v>
      </c>
      <c r="J4069" s="918" t="str">
        <f t="shared" si="408"/>
        <v>2904Yasso Sticks</v>
      </c>
      <c r="K4069" s="919">
        <v>1</v>
      </c>
      <c r="L4069" s="920">
        <f t="shared" si="409"/>
        <v>330</v>
      </c>
      <c r="M4069" s="920">
        <f t="shared" si="410"/>
        <v>1.0929599999999999</v>
      </c>
      <c r="N4069" s="920">
        <f t="shared" si="411"/>
        <v>2</v>
      </c>
      <c r="O4069" s="918" t="str">
        <f t="shared" si="412"/>
        <v>Mar</v>
      </c>
      <c r="P4069" s="921">
        <f t="shared" si="413"/>
        <v>12</v>
      </c>
    </row>
    <row r="4070" spans="1:16" ht="15" hidden="1" customHeight="1">
      <c r="A4070" s="839">
        <v>64958122</v>
      </c>
      <c r="B4070" s="839">
        <v>2904</v>
      </c>
      <c r="C4070" s="906">
        <v>5610</v>
      </c>
      <c r="D4070" s="907">
        <v>46090</v>
      </c>
      <c r="E4070" s="839" t="s">
        <v>236</v>
      </c>
      <c r="F4070" s="839" t="s">
        <v>234</v>
      </c>
      <c r="G4070" s="916">
        <f>VLOOKUP($A4070,'Tech Litons'!$A:$I,8,FALSE)</f>
        <v>3.3119999999999998E-3</v>
      </c>
      <c r="H4070" s="917">
        <f>VLOOKUP($A4070,'Tech Litons'!$A:$I,9,FALSE)</f>
        <v>165</v>
      </c>
      <c r="I4070" s="917" t="str">
        <f>VLOOKUP($A4070,'Tech Litons'!$A:$C,3,0)</f>
        <v>Yasso Sticks</v>
      </c>
      <c r="J4070" s="918" t="str">
        <f t="shared" si="408"/>
        <v>2904Yasso Sticks</v>
      </c>
      <c r="K4070" s="919">
        <v>1</v>
      </c>
      <c r="L4070" s="920">
        <f t="shared" si="409"/>
        <v>5610</v>
      </c>
      <c r="M4070" s="920">
        <f t="shared" si="410"/>
        <v>18.58032</v>
      </c>
      <c r="N4070" s="920">
        <f t="shared" si="411"/>
        <v>34</v>
      </c>
      <c r="O4070" s="918" t="str">
        <f t="shared" si="412"/>
        <v>Mar</v>
      </c>
      <c r="P4070" s="921">
        <f t="shared" si="413"/>
        <v>11</v>
      </c>
    </row>
    <row r="4071" spans="1:16" ht="15" hidden="1" customHeight="1">
      <c r="A4071" s="839">
        <v>64958122</v>
      </c>
      <c r="B4071" s="839">
        <v>2904</v>
      </c>
      <c r="C4071" s="906">
        <v>8085</v>
      </c>
      <c r="D4071" s="907">
        <v>46091</v>
      </c>
      <c r="E4071" s="839" t="s">
        <v>236</v>
      </c>
      <c r="F4071" s="839" t="s">
        <v>234</v>
      </c>
      <c r="G4071" s="916">
        <f>VLOOKUP($A4071,'Tech Litons'!$A:$I,8,FALSE)</f>
        <v>3.3119999999999998E-3</v>
      </c>
      <c r="H4071" s="917">
        <f>VLOOKUP($A4071,'Tech Litons'!$A:$I,9,FALSE)</f>
        <v>165</v>
      </c>
      <c r="I4071" s="917" t="str">
        <f>VLOOKUP($A4071,'Tech Litons'!$A:$C,3,0)</f>
        <v>Yasso Sticks</v>
      </c>
      <c r="J4071" s="918" t="str">
        <f t="shared" si="408"/>
        <v>2904Yasso Sticks</v>
      </c>
      <c r="K4071" s="919">
        <v>1</v>
      </c>
      <c r="L4071" s="920">
        <f t="shared" si="409"/>
        <v>8085</v>
      </c>
      <c r="M4071" s="920">
        <f t="shared" si="410"/>
        <v>26.777519999999999</v>
      </c>
      <c r="N4071" s="920">
        <f t="shared" si="411"/>
        <v>49</v>
      </c>
      <c r="O4071" s="918" t="str">
        <f t="shared" si="412"/>
        <v>Mar</v>
      </c>
      <c r="P4071" s="921">
        <f t="shared" si="413"/>
        <v>11</v>
      </c>
    </row>
    <row r="4072" spans="1:16" ht="15" hidden="1" customHeight="1">
      <c r="A4072" s="839">
        <v>64958122</v>
      </c>
      <c r="B4072" s="839">
        <v>2904</v>
      </c>
      <c r="C4072" s="906">
        <v>8580</v>
      </c>
      <c r="D4072" s="907">
        <v>46091</v>
      </c>
      <c r="E4072" s="839" t="s">
        <v>236</v>
      </c>
      <c r="F4072" s="839" t="s">
        <v>234</v>
      </c>
      <c r="G4072" s="916">
        <f>VLOOKUP($A4072,'Tech Litons'!$A:$I,8,FALSE)</f>
        <v>3.3119999999999998E-3</v>
      </c>
      <c r="H4072" s="917">
        <f>VLOOKUP($A4072,'Tech Litons'!$A:$I,9,FALSE)</f>
        <v>165</v>
      </c>
      <c r="I4072" s="917" t="str">
        <f>VLOOKUP($A4072,'Tech Litons'!$A:$C,3,0)</f>
        <v>Yasso Sticks</v>
      </c>
      <c r="J4072" s="918" t="str">
        <f t="shared" si="408"/>
        <v>2904Yasso Sticks</v>
      </c>
      <c r="K4072" s="919">
        <v>1</v>
      </c>
      <c r="L4072" s="920">
        <f t="shared" si="409"/>
        <v>8580</v>
      </c>
      <c r="M4072" s="920">
        <f t="shared" si="410"/>
        <v>28.41696</v>
      </c>
      <c r="N4072" s="920">
        <f t="shared" si="411"/>
        <v>52</v>
      </c>
      <c r="O4072" s="918" t="str">
        <f t="shared" si="412"/>
        <v>Mar</v>
      </c>
      <c r="P4072" s="921">
        <f t="shared" si="413"/>
        <v>11</v>
      </c>
    </row>
    <row r="4073" spans="1:16" ht="15" hidden="1" customHeight="1">
      <c r="A4073" s="839">
        <v>64958122</v>
      </c>
      <c r="B4073" s="839">
        <v>2904</v>
      </c>
      <c r="C4073" s="906">
        <v>6509</v>
      </c>
      <c r="D4073" s="907">
        <v>46092</v>
      </c>
      <c r="E4073" s="839" t="s">
        <v>236</v>
      </c>
      <c r="F4073" s="839" t="s">
        <v>234</v>
      </c>
      <c r="G4073" s="916">
        <f>VLOOKUP($A4073,'Tech Litons'!$A:$I,8,FALSE)</f>
        <v>3.3119999999999998E-3</v>
      </c>
      <c r="H4073" s="917">
        <f>VLOOKUP($A4073,'Tech Litons'!$A:$I,9,FALSE)</f>
        <v>165</v>
      </c>
      <c r="I4073" s="917" t="str">
        <f>VLOOKUP($A4073,'Tech Litons'!$A:$C,3,0)</f>
        <v>Yasso Sticks</v>
      </c>
      <c r="J4073" s="918" t="str">
        <f t="shared" si="408"/>
        <v>2904Yasso Sticks</v>
      </c>
      <c r="K4073" s="919">
        <v>1</v>
      </c>
      <c r="L4073" s="920">
        <f t="shared" si="409"/>
        <v>6509</v>
      </c>
      <c r="M4073" s="920">
        <f t="shared" si="410"/>
        <v>21.557807999999998</v>
      </c>
      <c r="N4073" s="920">
        <f t="shared" si="411"/>
        <v>39.448484848484846</v>
      </c>
      <c r="O4073" s="918" t="str">
        <f t="shared" si="412"/>
        <v>Mar</v>
      </c>
      <c r="P4073" s="921">
        <f t="shared" si="413"/>
        <v>11</v>
      </c>
    </row>
    <row r="4074" spans="1:16" ht="15" hidden="1" customHeight="1">
      <c r="A4074" s="839">
        <v>64958122</v>
      </c>
      <c r="B4074" s="839">
        <v>2904</v>
      </c>
      <c r="C4074" s="906">
        <v>165</v>
      </c>
      <c r="D4074" s="907">
        <v>46093</v>
      </c>
      <c r="E4074" s="839" t="s">
        <v>236</v>
      </c>
      <c r="F4074" s="839" t="s">
        <v>234</v>
      </c>
      <c r="G4074" s="916">
        <f>VLOOKUP($A4074,'Tech Litons'!$A:$I,8,FALSE)</f>
        <v>3.3119999999999998E-3</v>
      </c>
      <c r="H4074" s="917">
        <f>VLOOKUP($A4074,'Tech Litons'!$A:$I,9,FALSE)</f>
        <v>165</v>
      </c>
      <c r="I4074" s="917" t="str">
        <f>VLOOKUP($A4074,'Tech Litons'!$A:$C,3,0)</f>
        <v>Yasso Sticks</v>
      </c>
      <c r="J4074" s="918" t="str">
        <f t="shared" si="408"/>
        <v>2904Yasso Sticks</v>
      </c>
      <c r="K4074" s="919">
        <v>1</v>
      </c>
      <c r="L4074" s="920">
        <f t="shared" si="409"/>
        <v>165</v>
      </c>
      <c r="M4074" s="920">
        <f t="shared" si="410"/>
        <v>0.54647999999999997</v>
      </c>
      <c r="N4074" s="920">
        <f t="shared" si="411"/>
        <v>1</v>
      </c>
      <c r="O4074" s="918" t="str">
        <f t="shared" si="412"/>
        <v>Mar</v>
      </c>
      <c r="P4074" s="921">
        <f t="shared" si="413"/>
        <v>11</v>
      </c>
    </row>
    <row r="4075" spans="1:16" ht="15" hidden="1" customHeight="1">
      <c r="A4075" s="839">
        <v>64958122</v>
      </c>
      <c r="B4075" s="839">
        <v>2904</v>
      </c>
      <c r="C4075" s="906">
        <v>7539</v>
      </c>
      <c r="D4075" s="907">
        <v>46092</v>
      </c>
      <c r="E4075" s="839" t="s">
        <v>236</v>
      </c>
      <c r="F4075" s="839" t="s">
        <v>234</v>
      </c>
      <c r="G4075" s="916">
        <f>VLOOKUP($A4075,'Tech Litons'!$A:$I,8,FALSE)</f>
        <v>3.3119999999999998E-3</v>
      </c>
      <c r="H4075" s="917">
        <f>VLOOKUP($A4075,'Tech Litons'!$A:$I,9,FALSE)</f>
        <v>165</v>
      </c>
      <c r="I4075" s="917" t="str">
        <f>VLOOKUP($A4075,'Tech Litons'!$A:$C,3,0)</f>
        <v>Yasso Sticks</v>
      </c>
      <c r="J4075" s="918" t="str">
        <f t="shared" si="408"/>
        <v>2904Yasso Sticks</v>
      </c>
      <c r="K4075" s="919">
        <v>1</v>
      </c>
      <c r="L4075" s="920">
        <f t="shared" si="409"/>
        <v>7539</v>
      </c>
      <c r="M4075" s="920">
        <f t="shared" si="410"/>
        <v>24.969168</v>
      </c>
      <c r="N4075" s="920">
        <f t="shared" si="411"/>
        <v>45.690909090909088</v>
      </c>
      <c r="O4075" s="918" t="str">
        <f t="shared" si="412"/>
        <v>Mar</v>
      </c>
      <c r="P4075" s="921">
        <f t="shared" si="413"/>
        <v>11</v>
      </c>
    </row>
    <row r="4076" spans="1:16" ht="15" hidden="1" customHeight="1">
      <c r="A4076" s="839">
        <v>64958122</v>
      </c>
      <c r="B4076" s="839">
        <v>2904</v>
      </c>
      <c r="C4076" s="906">
        <v>9570</v>
      </c>
      <c r="D4076" s="907">
        <v>46093</v>
      </c>
      <c r="E4076" s="839" t="s">
        <v>236</v>
      </c>
      <c r="F4076" s="839" t="s">
        <v>234</v>
      </c>
      <c r="G4076" s="916">
        <f>VLOOKUP($A4076,'Tech Litons'!$A:$I,8,FALSE)</f>
        <v>3.3119999999999998E-3</v>
      </c>
      <c r="H4076" s="917">
        <f>VLOOKUP($A4076,'Tech Litons'!$A:$I,9,FALSE)</f>
        <v>165</v>
      </c>
      <c r="I4076" s="917" t="str">
        <f>VLOOKUP($A4076,'Tech Litons'!$A:$C,3,0)</f>
        <v>Yasso Sticks</v>
      </c>
      <c r="J4076" s="918" t="str">
        <f t="shared" si="408"/>
        <v>2904Yasso Sticks</v>
      </c>
      <c r="K4076" s="919">
        <v>1</v>
      </c>
      <c r="L4076" s="920">
        <f t="shared" si="409"/>
        <v>9570</v>
      </c>
      <c r="M4076" s="920">
        <f t="shared" si="410"/>
        <v>31.695839999999997</v>
      </c>
      <c r="N4076" s="920">
        <f t="shared" si="411"/>
        <v>58</v>
      </c>
      <c r="O4076" s="918" t="str">
        <f t="shared" si="412"/>
        <v>Mar</v>
      </c>
      <c r="P4076" s="921">
        <f t="shared" si="413"/>
        <v>11</v>
      </c>
    </row>
    <row r="4077" spans="1:16" ht="15" hidden="1" customHeight="1">
      <c r="A4077" s="839">
        <v>64958122</v>
      </c>
      <c r="B4077" s="839">
        <v>2904</v>
      </c>
      <c r="C4077" s="906">
        <v>4315</v>
      </c>
      <c r="D4077" s="907">
        <v>46093</v>
      </c>
      <c r="E4077" s="839" t="s">
        <v>236</v>
      </c>
      <c r="F4077" s="839" t="s">
        <v>234</v>
      </c>
      <c r="G4077" s="916">
        <f>VLOOKUP($A4077,'Tech Litons'!$A:$I,8,FALSE)</f>
        <v>3.3119999999999998E-3</v>
      </c>
      <c r="H4077" s="917">
        <f>VLOOKUP($A4077,'Tech Litons'!$A:$I,9,FALSE)</f>
        <v>165</v>
      </c>
      <c r="I4077" s="917" t="str">
        <f>VLOOKUP($A4077,'Tech Litons'!$A:$C,3,0)</f>
        <v>Yasso Sticks</v>
      </c>
      <c r="J4077" s="918" t="str">
        <f t="shared" si="408"/>
        <v>2904Yasso Sticks</v>
      </c>
      <c r="K4077" s="919">
        <v>1</v>
      </c>
      <c r="L4077" s="920">
        <f t="shared" si="409"/>
        <v>4315</v>
      </c>
      <c r="M4077" s="920">
        <f t="shared" si="410"/>
        <v>14.291279999999999</v>
      </c>
      <c r="N4077" s="920">
        <f t="shared" si="411"/>
        <v>26.151515151515152</v>
      </c>
      <c r="O4077" s="918" t="str">
        <f t="shared" si="412"/>
        <v>Mar</v>
      </c>
      <c r="P4077" s="921">
        <f t="shared" si="413"/>
        <v>11</v>
      </c>
    </row>
    <row r="4078" spans="1:16" ht="15" hidden="1" customHeight="1">
      <c r="A4078" s="839">
        <v>64958122</v>
      </c>
      <c r="B4078" s="839">
        <v>2904</v>
      </c>
      <c r="C4078" s="906">
        <v>6582</v>
      </c>
      <c r="D4078" s="907">
        <v>46094</v>
      </c>
      <c r="E4078" s="839" t="s">
        <v>236</v>
      </c>
      <c r="F4078" s="839" t="s">
        <v>234</v>
      </c>
      <c r="G4078" s="916">
        <f>VLOOKUP($A4078,'Tech Litons'!$A:$I,8,FALSE)</f>
        <v>3.3119999999999998E-3</v>
      </c>
      <c r="H4078" s="917">
        <f>VLOOKUP($A4078,'Tech Litons'!$A:$I,9,FALSE)</f>
        <v>165</v>
      </c>
      <c r="I4078" s="917" t="str">
        <f>VLOOKUP($A4078,'Tech Litons'!$A:$C,3,0)</f>
        <v>Yasso Sticks</v>
      </c>
      <c r="J4078" s="918" t="str">
        <f t="shared" si="408"/>
        <v>2904Yasso Sticks</v>
      </c>
      <c r="K4078" s="919">
        <v>1</v>
      </c>
      <c r="L4078" s="920">
        <f t="shared" si="409"/>
        <v>6582</v>
      </c>
      <c r="M4078" s="920">
        <f t="shared" si="410"/>
        <v>21.799583999999999</v>
      </c>
      <c r="N4078" s="920">
        <f t="shared" si="411"/>
        <v>39.890909090909091</v>
      </c>
      <c r="O4078" s="918" t="str">
        <f t="shared" si="412"/>
        <v>Mar</v>
      </c>
      <c r="P4078" s="921">
        <f t="shared" si="413"/>
        <v>11</v>
      </c>
    </row>
    <row r="4079" spans="1:16" ht="15" hidden="1" customHeight="1">
      <c r="A4079" s="839">
        <v>64958122</v>
      </c>
      <c r="B4079" s="839">
        <v>2904</v>
      </c>
      <c r="C4079" s="906">
        <v>165</v>
      </c>
      <c r="D4079" s="907">
        <v>46104</v>
      </c>
      <c r="E4079" s="839" t="s">
        <v>236</v>
      </c>
      <c r="F4079" s="839" t="s">
        <v>234</v>
      </c>
      <c r="G4079" s="916">
        <f>VLOOKUP($A4079,'Tech Litons'!$A:$I,8,FALSE)</f>
        <v>3.3119999999999998E-3</v>
      </c>
      <c r="H4079" s="917">
        <f>VLOOKUP($A4079,'Tech Litons'!$A:$I,9,FALSE)</f>
        <v>165</v>
      </c>
      <c r="I4079" s="917" t="str">
        <f>VLOOKUP($A4079,'Tech Litons'!$A:$C,3,0)</f>
        <v>Yasso Sticks</v>
      </c>
      <c r="J4079" s="918" t="str">
        <f t="shared" si="408"/>
        <v>2904Yasso Sticks</v>
      </c>
      <c r="K4079" s="919">
        <v>1</v>
      </c>
      <c r="L4079" s="920">
        <f t="shared" si="409"/>
        <v>165</v>
      </c>
      <c r="M4079" s="920">
        <f t="shared" si="410"/>
        <v>0.54647999999999997</v>
      </c>
      <c r="N4079" s="920">
        <f t="shared" si="411"/>
        <v>1</v>
      </c>
      <c r="O4079" s="918" t="str">
        <f t="shared" si="412"/>
        <v>Mar</v>
      </c>
      <c r="P4079" s="921">
        <f t="shared" si="413"/>
        <v>13</v>
      </c>
    </row>
    <row r="4080" spans="1:16" ht="15" hidden="1" customHeight="1">
      <c r="A4080" s="839">
        <v>64958122</v>
      </c>
      <c r="B4080" s="839">
        <v>2904</v>
      </c>
      <c r="C4080" s="906">
        <v>2310</v>
      </c>
      <c r="D4080" s="907">
        <v>46094</v>
      </c>
      <c r="E4080" s="839" t="s">
        <v>236</v>
      </c>
      <c r="F4080" s="839" t="s">
        <v>234</v>
      </c>
      <c r="G4080" s="916">
        <f>VLOOKUP($A4080,'Tech Litons'!$A:$I,8,FALSE)</f>
        <v>3.3119999999999998E-3</v>
      </c>
      <c r="H4080" s="917">
        <f>VLOOKUP($A4080,'Tech Litons'!$A:$I,9,FALSE)</f>
        <v>165</v>
      </c>
      <c r="I4080" s="917" t="str">
        <f>VLOOKUP($A4080,'Tech Litons'!$A:$C,3,0)</f>
        <v>Yasso Sticks</v>
      </c>
      <c r="J4080" s="918" t="str">
        <f t="shared" si="408"/>
        <v>2904Yasso Sticks</v>
      </c>
      <c r="K4080" s="919">
        <v>1</v>
      </c>
      <c r="L4080" s="920">
        <f t="shared" si="409"/>
        <v>2310</v>
      </c>
      <c r="M4080" s="920">
        <f t="shared" si="410"/>
        <v>7.6507199999999997</v>
      </c>
      <c r="N4080" s="920">
        <f t="shared" si="411"/>
        <v>14</v>
      </c>
      <c r="O4080" s="918" t="str">
        <f t="shared" si="412"/>
        <v>Mar</v>
      </c>
      <c r="P4080" s="921">
        <f t="shared" si="413"/>
        <v>11</v>
      </c>
    </row>
    <row r="4081" spans="1:16" ht="15" hidden="1" customHeight="1">
      <c r="A4081" s="839">
        <v>64958122</v>
      </c>
      <c r="B4081" s="839">
        <v>2904</v>
      </c>
      <c r="C4081" s="906">
        <v>7590</v>
      </c>
      <c r="D4081" s="907">
        <v>46095</v>
      </c>
      <c r="E4081" s="839" t="s">
        <v>236</v>
      </c>
      <c r="F4081" s="839" t="s">
        <v>234</v>
      </c>
      <c r="G4081" s="916">
        <f>VLOOKUP($A4081,'Tech Litons'!$A:$I,8,FALSE)</f>
        <v>3.3119999999999998E-3</v>
      </c>
      <c r="H4081" s="917">
        <f>VLOOKUP($A4081,'Tech Litons'!$A:$I,9,FALSE)</f>
        <v>165</v>
      </c>
      <c r="I4081" s="917" t="str">
        <f>VLOOKUP($A4081,'Tech Litons'!$A:$C,3,0)</f>
        <v>Yasso Sticks</v>
      </c>
      <c r="J4081" s="918" t="str">
        <f t="shared" si="408"/>
        <v>2904Yasso Sticks</v>
      </c>
      <c r="K4081" s="919">
        <v>1</v>
      </c>
      <c r="L4081" s="920">
        <f t="shared" si="409"/>
        <v>7590</v>
      </c>
      <c r="M4081" s="920">
        <f t="shared" si="410"/>
        <v>25.138079999999999</v>
      </c>
      <c r="N4081" s="920">
        <f t="shared" si="411"/>
        <v>46</v>
      </c>
      <c r="O4081" s="918" t="str">
        <f t="shared" si="412"/>
        <v>Mar</v>
      </c>
      <c r="P4081" s="921">
        <f t="shared" si="413"/>
        <v>11</v>
      </c>
    </row>
    <row r="4082" spans="1:16" ht="15" hidden="1" customHeight="1">
      <c r="A4082" s="839">
        <v>64958122</v>
      </c>
      <c r="B4082" s="839">
        <v>2904</v>
      </c>
      <c r="C4082" s="906">
        <v>495</v>
      </c>
      <c r="D4082" s="907">
        <v>46097</v>
      </c>
      <c r="E4082" s="839" t="s">
        <v>236</v>
      </c>
      <c r="F4082" s="839" t="s">
        <v>234</v>
      </c>
      <c r="G4082" s="916">
        <f>VLOOKUP($A4082,'Tech Litons'!$A:$I,8,FALSE)</f>
        <v>3.3119999999999998E-3</v>
      </c>
      <c r="H4082" s="917">
        <f>VLOOKUP($A4082,'Tech Litons'!$A:$I,9,FALSE)</f>
        <v>165</v>
      </c>
      <c r="I4082" s="917" t="str">
        <f>VLOOKUP($A4082,'Tech Litons'!$A:$C,3,0)</f>
        <v>Yasso Sticks</v>
      </c>
      <c r="J4082" s="918" t="str">
        <f t="shared" ref="J4082:J4145" si="414">B4082&amp;I4082</f>
        <v>2904Yasso Sticks</v>
      </c>
      <c r="K4082" s="919">
        <v>1</v>
      </c>
      <c r="L4082" s="920">
        <f t="shared" ref="L4082:L4145" si="415">C4082*$K4082</f>
        <v>495</v>
      </c>
      <c r="M4082" s="920">
        <f t="shared" ref="M4082:M4145" si="416">L4082*G4082</f>
        <v>1.63944</v>
      </c>
      <c r="N4082" s="920">
        <f t="shared" ref="N4082:N4145" si="417">L4082/H4082</f>
        <v>3</v>
      </c>
      <c r="O4082" s="918" t="str">
        <f t="shared" ref="O4082:O4145" si="418">TEXT(D4082,"MMM")</f>
        <v>Mar</v>
      </c>
      <c r="P4082" s="921">
        <f t="shared" ref="P4082:P4145" si="419">WEEKNUM(D4082)</f>
        <v>12</v>
      </c>
    </row>
    <row r="4083" spans="1:16" ht="15" hidden="1" customHeight="1">
      <c r="A4083" s="839">
        <v>64958122</v>
      </c>
      <c r="B4083" s="839">
        <v>2904</v>
      </c>
      <c r="C4083" s="906">
        <v>-88</v>
      </c>
      <c r="D4083" s="907">
        <v>46100</v>
      </c>
      <c r="E4083" s="839" t="s">
        <v>236</v>
      </c>
      <c r="F4083" s="839" t="s">
        <v>234</v>
      </c>
      <c r="G4083" s="916">
        <f>VLOOKUP($A4083,'Tech Litons'!$A:$I,8,FALSE)</f>
        <v>3.3119999999999998E-3</v>
      </c>
      <c r="H4083" s="917">
        <f>VLOOKUP($A4083,'Tech Litons'!$A:$I,9,FALSE)</f>
        <v>165</v>
      </c>
      <c r="I4083" s="917" t="str">
        <f>VLOOKUP($A4083,'Tech Litons'!$A:$C,3,0)</f>
        <v>Yasso Sticks</v>
      </c>
      <c r="J4083" s="918" t="str">
        <f t="shared" si="414"/>
        <v>2904Yasso Sticks</v>
      </c>
      <c r="K4083" s="919">
        <v>1</v>
      </c>
      <c r="L4083" s="920">
        <f t="shared" si="415"/>
        <v>-88</v>
      </c>
      <c r="M4083" s="920">
        <f t="shared" si="416"/>
        <v>-0.29145599999999999</v>
      </c>
      <c r="N4083" s="920">
        <f t="shared" si="417"/>
        <v>-0.53333333333333333</v>
      </c>
      <c r="O4083" s="918" t="str">
        <f t="shared" si="418"/>
        <v>Mar</v>
      </c>
      <c r="P4083" s="921">
        <f t="shared" si="419"/>
        <v>12</v>
      </c>
    </row>
    <row r="4084" spans="1:16" ht="15" hidden="1" customHeight="1">
      <c r="A4084" s="839">
        <v>64958122</v>
      </c>
      <c r="B4084" s="839">
        <v>2904</v>
      </c>
      <c r="C4084" s="906">
        <v>1880</v>
      </c>
      <c r="D4084" s="907">
        <v>46097</v>
      </c>
      <c r="E4084" s="839" t="s">
        <v>236</v>
      </c>
      <c r="F4084" s="839" t="s">
        <v>234</v>
      </c>
      <c r="G4084" s="916">
        <f>VLOOKUP($A4084,'Tech Litons'!$A:$I,8,FALSE)</f>
        <v>3.3119999999999998E-3</v>
      </c>
      <c r="H4084" s="917">
        <f>VLOOKUP($A4084,'Tech Litons'!$A:$I,9,FALSE)</f>
        <v>165</v>
      </c>
      <c r="I4084" s="917" t="str">
        <f>VLOOKUP($A4084,'Tech Litons'!$A:$C,3,0)</f>
        <v>Yasso Sticks</v>
      </c>
      <c r="J4084" s="918" t="str">
        <f t="shared" si="414"/>
        <v>2904Yasso Sticks</v>
      </c>
      <c r="K4084" s="919">
        <v>1</v>
      </c>
      <c r="L4084" s="920">
        <f t="shared" si="415"/>
        <v>1880</v>
      </c>
      <c r="M4084" s="920">
        <f t="shared" si="416"/>
        <v>6.2265600000000001</v>
      </c>
      <c r="N4084" s="920">
        <f t="shared" si="417"/>
        <v>11.393939393939394</v>
      </c>
      <c r="O4084" s="918" t="str">
        <f t="shared" si="418"/>
        <v>Mar</v>
      </c>
      <c r="P4084" s="921">
        <f t="shared" si="419"/>
        <v>12</v>
      </c>
    </row>
    <row r="4085" spans="1:16" ht="15" hidden="1" customHeight="1">
      <c r="A4085" s="839">
        <v>64958122</v>
      </c>
      <c r="B4085" s="839">
        <v>2904</v>
      </c>
      <c r="C4085" s="906">
        <v>165</v>
      </c>
      <c r="D4085" s="907">
        <v>46098</v>
      </c>
      <c r="E4085" s="839" t="s">
        <v>236</v>
      </c>
      <c r="F4085" s="839" t="s">
        <v>234</v>
      </c>
      <c r="G4085" s="916">
        <f>VLOOKUP($A4085,'Tech Litons'!$A:$I,8,FALSE)</f>
        <v>3.3119999999999998E-3</v>
      </c>
      <c r="H4085" s="917">
        <f>VLOOKUP($A4085,'Tech Litons'!$A:$I,9,FALSE)</f>
        <v>165</v>
      </c>
      <c r="I4085" s="917" t="str">
        <f>VLOOKUP($A4085,'Tech Litons'!$A:$C,3,0)</f>
        <v>Yasso Sticks</v>
      </c>
      <c r="J4085" s="918" t="str">
        <f t="shared" si="414"/>
        <v>2904Yasso Sticks</v>
      </c>
      <c r="K4085" s="919">
        <v>1</v>
      </c>
      <c r="L4085" s="920">
        <f t="shared" si="415"/>
        <v>165</v>
      </c>
      <c r="M4085" s="920">
        <f t="shared" si="416"/>
        <v>0.54647999999999997</v>
      </c>
      <c r="N4085" s="920">
        <f t="shared" si="417"/>
        <v>1</v>
      </c>
      <c r="O4085" s="918" t="str">
        <f t="shared" si="418"/>
        <v>Mar</v>
      </c>
      <c r="P4085" s="921">
        <f t="shared" si="419"/>
        <v>12</v>
      </c>
    </row>
    <row r="4086" spans="1:16" ht="15" hidden="1" customHeight="1">
      <c r="A4086" s="839">
        <v>64958125</v>
      </c>
      <c r="B4086" s="839">
        <v>2904</v>
      </c>
      <c r="C4086" s="906">
        <v>165</v>
      </c>
      <c r="D4086" s="907">
        <v>46076</v>
      </c>
      <c r="E4086" s="839" t="s">
        <v>238</v>
      </c>
      <c r="F4086" s="839" t="s">
        <v>234</v>
      </c>
      <c r="G4086" s="916">
        <f>VLOOKUP($A4086,'Tech Litons'!$A:$I,8,FALSE)</f>
        <v>3.3119999999999998E-3</v>
      </c>
      <c r="H4086" s="917">
        <f>VLOOKUP($A4086,'Tech Litons'!$A:$I,9,FALSE)</f>
        <v>165</v>
      </c>
      <c r="I4086" s="917" t="str">
        <f>VLOOKUP($A4086,'Tech Litons'!$A:$C,3,0)</f>
        <v>Yasso Sticks</v>
      </c>
      <c r="J4086" s="918" t="str">
        <f t="shared" si="414"/>
        <v>2904Yasso Sticks</v>
      </c>
      <c r="K4086" s="919">
        <v>1</v>
      </c>
      <c r="L4086" s="920">
        <f t="shared" si="415"/>
        <v>165</v>
      </c>
      <c r="M4086" s="920">
        <f t="shared" si="416"/>
        <v>0.54647999999999997</v>
      </c>
      <c r="N4086" s="920">
        <f t="shared" si="417"/>
        <v>1</v>
      </c>
      <c r="O4086" s="918" t="str">
        <f t="shared" si="418"/>
        <v>Feb</v>
      </c>
      <c r="P4086" s="921">
        <f t="shared" si="419"/>
        <v>9</v>
      </c>
    </row>
    <row r="4087" spans="1:16" ht="15" hidden="1" customHeight="1">
      <c r="A4087" s="839">
        <v>64958127</v>
      </c>
      <c r="B4087" s="839">
        <v>2904</v>
      </c>
      <c r="C4087" s="906">
        <v>5717</v>
      </c>
      <c r="D4087" s="907">
        <v>46098</v>
      </c>
      <c r="E4087" s="839" t="s">
        <v>237</v>
      </c>
      <c r="F4087" s="839" t="s">
        <v>234</v>
      </c>
      <c r="G4087" s="916">
        <f>VLOOKUP($A4087,'Tech Litons'!$A:$I,8,FALSE)</f>
        <v>3.3119999999999998E-3</v>
      </c>
      <c r="H4087" s="917">
        <f>VLOOKUP($A4087,'Tech Litons'!$A:$I,9,FALSE)</f>
        <v>165</v>
      </c>
      <c r="I4087" s="917" t="str">
        <f>VLOOKUP($A4087,'Tech Litons'!$A:$C,3,0)</f>
        <v>Yasso Sticks</v>
      </c>
      <c r="J4087" s="918" t="str">
        <f t="shared" si="414"/>
        <v>2904Yasso Sticks</v>
      </c>
      <c r="K4087" s="919">
        <v>1</v>
      </c>
      <c r="L4087" s="920">
        <f t="shared" si="415"/>
        <v>5717</v>
      </c>
      <c r="M4087" s="920">
        <f t="shared" si="416"/>
        <v>18.934704</v>
      </c>
      <c r="N4087" s="920">
        <f t="shared" si="417"/>
        <v>34.648484848484848</v>
      </c>
      <c r="O4087" s="918" t="str">
        <f t="shared" si="418"/>
        <v>Mar</v>
      </c>
      <c r="P4087" s="921">
        <f t="shared" si="419"/>
        <v>12</v>
      </c>
    </row>
    <row r="4088" spans="1:16" ht="15" hidden="1" customHeight="1">
      <c r="A4088" s="839">
        <v>64958127</v>
      </c>
      <c r="B4088" s="839">
        <v>2904</v>
      </c>
      <c r="C4088" s="906">
        <v>-2103</v>
      </c>
      <c r="D4088" s="907">
        <v>46101</v>
      </c>
      <c r="E4088" s="839" t="s">
        <v>237</v>
      </c>
      <c r="F4088" s="839" t="s">
        <v>234</v>
      </c>
      <c r="G4088" s="916">
        <f>VLOOKUP($A4088,'Tech Litons'!$A:$I,8,FALSE)</f>
        <v>3.3119999999999998E-3</v>
      </c>
      <c r="H4088" s="917">
        <f>VLOOKUP($A4088,'Tech Litons'!$A:$I,9,FALSE)</f>
        <v>165</v>
      </c>
      <c r="I4088" s="917" t="str">
        <f>VLOOKUP($A4088,'Tech Litons'!$A:$C,3,0)</f>
        <v>Yasso Sticks</v>
      </c>
      <c r="J4088" s="918" t="str">
        <f t="shared" si="414"/>
        <v>2904Yasso Sticks</v>
      </c>
      <c r="K4088" s="919">
        <v>1</v>
      </c>
      <c r="L4088" s="920">
        <f t="shared" si="415"/>
        <v>-2103</v>
      </c>
      <c r="M4088" s="920">
        <f t="shared" si="416"/>
        <v>-6.9651359999999993</v>
      </c>
      <c r="N4088" s="920">
        <f t="shared" si="417"/>
        <v>-12.745454545454546</v>
      </c>
      <c r="O4088" s="918" t="str">
        <f t="shared" si="418"/>
        <v>Mar</v>
      </c>
      <c r="P4088" s="921">
        <f t="shared" si="419"/>
        <v>12</v>
      </c>
    </row>
    <row r="4089" spans="1:16" ht="15" hidden="1" customHeight="1">
      <c r="A4089" s="839">
        <v>64958127</v>
      </c>
      <c r="B4089" s="839">
        <v>2904</v>
      </c>
      <c r="C4089" s="906">
        <v>13530</v>
      </c>
      <c r="D4089" s="907">
        <v>46100</v>
      </c>
      <c r="E4089" s="839" t="s">
        <v>237</v>
      </c>
      <c r="F4089" s="839" t="s">
        <v>234</v>
      </c>
      <c r="G4089" s="916">
        <f>VLOOKUP($A4089,'Tech Litons'!$A:$I,8,FALSE)</f>
        <v>3.3119999999999998E-3</v>
      </c>
      <c r="H4089" s="917">
        <f>VLOOKUP($A4089,'Tech Litons'!$A:$I,9,FALSE)</f>
        <v>165</v>
      </c>
      <c r="I4089" s="917" t="str">
        <f>VLOOKUP($A4089,'Tech Litons'!$A:$C,3,0)</f>
        <v>Yasso Sticks</v>
      </c>
      <c r="J4089" s="918" t="str">
        <f t="shared" si="414"/>
        <v>2904Yasso Sticks</v>
      </c>
      <c r="K4089" s="919">
        <v>1</v>
      </c>
      <c r="L4089" s="920">
        <f t="shared" si="415"/>
        <v>13530</v>
      </c>
      <c r="M4089" s="920">
        <f t="shared" si="416"/>
        <v>44.811360000000001</v>
      </c>
      <c r="N4089" s="920">
        <f t="shared" si="417"/>
        <v>82</v>
      </c>
      <c r="O4089" s="918" t="str">
        <f t="shared" si="418"/>
        <v>Mar</v>
      </c>
      <c r="P4089" s="921">
        <f t="shared" si="419"/>
        <v>12</v>
      </c>
    </row>
    <row r="4090" spans="1:16" ht="15" hidden="1" customHeight="1">
      <c r="A4090" s="839">
        <v>64958127</v>
      </c>
      <c r="B4090" s="839">
        <v>2904</v>
      </c>
      <c r="C4090" s="906">
        <v>8906</v>
      </c>
      <c r="D4090" s="907">
        <v>46100</v>
      </c>
      <c r="E4090" s="839" t="s">
        <v>237</v>
      </c>
      <c r="F4090" s="839" t="s">
        <v>234</v>
      </c>
      <c r="G4090" s="916">
        <f>VLOOKUP($A4090,'Tech Litons'!$A:$I,8,FALSE)</f>
        <v>3.3119999999999998E-3</v>
      </c>
      <c r="H4090" s="917">
        <f>VLOOKUP($A4090,'Tech Litons'!$A:$I,9,FALSE)</f>
        <v>165</v>
      </c>
      <c r="I4090" s="917" t="str">
        <f>VLOOKUP($A4090,'Tech Litons'!$A:$C,3,0)</f>
        <v>Yasso Sticks</v>
      </c>
      <c r="J4090" s="918" t="str">
        <f t="shared" si="414"/>
        <v>2904Yasso Sticks</v>
      </c>
      <c r="K4090" s="919">
        <v>1</v>
      </c>
      <c r="L4090" s="920">
        <f t="shared" si="415"/>
        <v>8906</v>
      </c>
      <c r="M4090" s="920">
        <f t="shared" si="416"/>
        <v>29.496672</v>
      </c>
      <c r="N4090" s="920">
        <f t="shared" si="417"/>
        <v>53.975757575757576</v>
      </c>
      <c r="O4090" s="918" t="str">
        <f t="shared" si="418"/>
        <v>Mar</v>
      </c>
      <c r="P4090" s="921">
        <f t="shared" si="419"/>
        <v>12</v>
      </c>
    </row>
    <row r="4091" spans="1:16" ht="15" hidden="1" customHeight="1">
      <c r="A4091" s="839">
        <v>64958127</v>
      </c>
      <c r="B4091" s="839">
        <v>2904</v>
      </c>
      <c r="C4091" s="906">
        <v>6765</v>
      </c>
      <c r="D4091" s="907">
        <v>46101</v>
      </c>
      <c r="E4091" s="839" t="s">
        <v>237</v>
      </c>
      <c r="F4091" s="839" t="s">
        <v>234</v>
      </c>
      <c r="G4091" s="916">
        <f>VLOOKUP($A4091,'Tech Litons'!$A:$I,8,FALSE)</f>
        <v>3.3119999999999998E-3</v>
      </c>
      <c r="H4091" s="917">
        <f>VLOOKUP($A4091,'Tech Litons'!$A:$I,9,FALSE)</f>
        <v>165</v>
      </c>
      <c r="I4091" s="917" t="str">
        <f>VLOOKUP($A4091,'Tech Litons'!$A:$C,3,0)</f>
        <v>Yasso Sticks</v>
      </c>
      <c r="J4091" s="918" t="str">
        <f t="shared" si="414"/>
        <v>2904Yasso Sticks</v>
      </c>
      <c r="K4091" s="919">
        <v>1</v>
      </c>
      <c r="L4091" s="920">
        <f t="shared" si="415"/>
        <v>6765</v>
      </c>
      <c r="M4091" s="920">
        <f t="shared" si="416"/>
        <v>22.40568</v>
      </c>
      <c r="N4091" s="920">
        <f t="shared" si="417"/>
        <v>41</v>
      </c>
      <c r="O4091" s="918" t="str">
        <f t="shared" si="418"/>
        <v>Mar</v>
      </c>
      <c r="P4091" s="921">
        <f t="shared" si="419"/>
        <v>12</v>
      </c>
    </row>
    <row r="4092" spans="1:16" ht="15" hidden="1" customHeight="1">
      <c r="A4092" s="839">
        <v>64958127</v>
      </c>
      <c r="B4092" s="839">
        <v>2904</v>
      </c>
      <c r="C4092" s="906">
        <v>4019</v>
      </c>
      <c r="D4092" s="907">
        <v>46101</v>
      </c>
      <c r="E4092" s="839" t="s">
        <v>237</v>
      </c>
      <c r="F4092" s="839" t="s">
        <v>234</v>
      </c>
      <c r="G4092" s="916">
        <f>VLOOKUP($A4092,'Tech Litons'!$A:$I,8,FALSE)</f>
        <v>3.3119999999999998E-3</v>
      </c>
      <c r="H4092" s="917">
        <f>VLOOKUP($A4092,'Tech Litons'!$A:$I,9,FALSE)</f>
        <v>165</v>
      </c>
      <c r="I4092" s="917" t="str">
        <f>VLOOKUP($A4092,'Tech Litons'!$A:$C,3,0)</f>
        <v>Yasso Sticks</v>
      </c>
      <c r="J4092" s="918" t="str">
        <f t="shared" si="414"/>
        <v>2904Yasso Sticks</v>
      </c>
      <c r="K4092" s="919">
        <v>1</v>
      </c>
      <c r="L4092" s="920">
        <f t="shared" si="415"/>
        <v>4019</v>
      </c>
      <c r="M4092" s="920">
        <f t="shared" si="416"/>
        <v>13.310927999999999</v>
      </c>
      <c r="N4092" s="920">
        <f t="shared" si="417"/>
        <v>24.357575757575759</v>
      </c>
      <c r="O4092" s="918" t="str">
        <f t="shared" si="418"/>
        <v>Mar</v>
      </c>
      <c r="P4092" s="921">
        <f t="shared" si="419"/>
        <v>12</v>
      </c>
    </row>
    <row r="4093" spans="1:16" ht="15" hidden="1" customHeight="1">
      <c r="A4093" s="839">
        <v>64958127</v>
      </c>
      <c r="B4093" s="839">
        <v>2904</v>
      </c>
      <c r="C4093" s="906">
        <v>6105</v>
      </c>
      <c r="D4093" s="907">
        <v>46102</v>
      </c>
      <c r="E4093" s="839" t="s">
        <v>237</v>
      </c>
      <c r="F4093" s="839" t="s">
        <v>234</v>
      </c>
      <c r="G4093" s="916">
        <f>VLOOKUP($A4093,'Tech Litons'!$A:$I,8,FALSE)</f>
        <v>3.3119999999999998E-3</v>
      </c>
      <c r="H4093" s="917">
        <f>VLOOKUP($A4093,'Tech Litons'!$A:$I,9,FALSE)</f>
        <v>165</v>
      </c>
      <c r="I4093" s="917" t="str">
        <f>VLOOKUP($A4093,'Tech Litons'!$A:$C,3,0)</f>
        <v>Yasso Sticks</v>
      </c>
      <c r="J4093" s="918" t="str">
        <f t="shared" si="414"/>
        <v>2904Yasso Sticks</v>
      </c>
      <c r="K4093" s="919">
        <v>1</v>
      </c>
      <c r="L4093" s="920">
        <f t="shared" si="415"/>
        <v>6105</v>
      </c>
      <c r="M4093" s="920">
        <f t="shared" si="416"/>
        <v>20.219759999999997</v>
      </c>
      <c r="N4093" s="920">
        <f t="shared" si="417"/>
        <v>37</v>
      </c>
      <c r="O4093" s="918" t="str">
        <f t="shared" si="418"/>
        <v>Mar</v>
      </c>
      <c r="P4093" s="921">
        <f t="shared" si="419"/>
        <v>12</v>
      </c>
    </row>
    <row r="4094" spans="1:16" ht="15" hidden="1" customHeight="1">
      <c r="A4094" s="839">
        <v>64958127</v>
      </c>
      <c r="B4094" s="839">
        <v>2904</v>
      </c>
      <c r="C4094" s="906">
        <v>10725</v>
      </c>
      <c r="D4094" s="907">
        <v>46102</v>
      </c>
      <c r="E4094" s="839" t="s">
        <v>237</v>
      </c>
      <c r="F4094" s="839" t="s">
        <v>234</v>
      </c>
      <c r="G4094" s="916">
        <f>VLOOKUP($A4094,'Tech Litons'!$A:$I,8,FALSE)</f>
        <v>3.3119999999999998E-3</v>
      </c>
      <c r="H4094" s="917">
        <f>VLOOKUP($A4094,'Tech Litons'!$A:$I,9,FALSE)</f>
        <v>165</v>
      </c>
      <c r="I4094" s="917" t="str">
        <f>VLOOKUP($A4094,'Tech Litons'!$A:$C,3,0)</f>
        <v>Yasso Sticks</v>
      </c>
      <c r="J4094" s="918" t="str">
        <f t="shared" si="414"/>
        <v>2904Yasso Sticks</v>
      </c>
      <c r="K4094" s="919">
        <v>1</v>
      </c>
      <c r="L4094" s="920">
        <f t="shared" si="415"/>
        <v>10725</v>
      </c>
      <c r="M4094" s="920">
        <f t="shared" si="416"/>
        <v>35.5212</v>
      </c>
      <c r="N4094" s="920">
        <f t="shared" si="417"/>
        <v>65</v>
      </c>
      <c r="O4094" s="918" t="str">
        <f t="shared" si="418"/>
        <v>Mar</v>
      </c>
      <c r="P4094" s="921">
        <f t="shared" si="419"/>
        <v>12</v>
      </c>
    </row>
    <row r="4095" spans="1:16" ht="15" hidden="1" customHeight="1">
      <c r="A4095" s="839">
        <v>64958127</v>
      </c>
      <c r="B4095" s="839">
        <v>2904</v>
      </c>
      <c r="C4095" s="906">
        <v>9239</v>
      </c>
      <c r="D4095" s="907">
        <v>46103</v>
      </c>
      <c r="E4095" s="839" t="s">
        <v>237</v>
      </c>
      <c r="F4095" s="839" t="s">
        <v>234</v>
      </c>
      <c r="G4095" s="916">
        <f>VLOOKUP($A4095,'Tech Litons'!$A:$I,8,FALSE)</f>
        <v>3.3119999999999998E-3</v>
      </c>
      <c r="H4095" s="917">
        <f>VLOOKUP($A4095,'Tech Litons'!$A:$I,9,FALSE)</f>
        <v>165</v>
      </c>
      <c r="I4095" s="917" t="str">
        <f>VLOOKUP($A4095,'Tech Litons'!$A:$C,3,0)</f>
        <v>Yasso Sticks</v>
      </c>
      <c r="J4095" s="918" t="str">
        <f t="shared" si="414"/>
        <v>2904Yasso Sticks</v>
      </c>
      <c r="K4095" s="919">
        <v>1</v>
      </c>
      <c r="L4095" s="920">
        <f t="shared" si="415"/>
        <v>9239</v>
      </c>
      <c r="M4095" s="920">
        <f t="shared" si="416"/>
        <v>30.599567999999998</v>
      </c>
      <c r="N4095" s="920">
        <f t="shared" si="417"/>
        <v>55.993939393939392</v>
      </c>
      <c r="O4095" s="918" t="str">
        <f t="shared" si="418"/>
        <v>Mar</v>
      </c>
      <c r="P4095" s="921">
        <f t="shared" si="419"/>
        <v>13</v>
      </c>
    </row>
    <row r="4096" spans="1:16" ht="15" hidden="1" customHeight="1">
      <c r="A4096" s="839">
        <v>64958127</v>
      </c>
      <c r="B4096" s="839">
        <v>2904</v>
      </c>
      <c r="C4096" s="906">
        <v>9570</v>
      </c>
      <c r="D4096" s="907">
        <v>46103</v>
      </c>
      <c r="E4096" s="839" t="s">
        <v>237</v>
      </c>
      <c r="F4096" s="839" t="s">
        <v>234</v>
      </c>
      <c r="G4096" s="916">
        <f>VLOOKUP($A4096,'Tech Litons'!$A:$I,8,FALSE)</f>
        <v>3.3119999999999998E-3</v>
      </c>
      <c r="H4096" s="917">
        <f>VLOOKUP($A4096,'Tech Litons'!$A:$I,9,FALSE)</f>
        <v>165</v>
      </c>
      <c r="I4096" s="917" t="str">
        <f>VLOOKUP($A4096,'Tech Litons'!$A:$C,3,0)</f>
        <v>Yasso Sticks</v>
      </c>
      <c r="J4096" s="918" t="str">
        <f t="shared" si="414"/>
        <v>2904Yasso Sticks</v>
      </c>
      <c r="K4096" s="919">
        <v>1</v>
      </c>
      <c r="L4096" s="920">
        <f t="shared" si="415"/>
        <v>9570</v>
      </c>
      <c r="M4096" s="920">
        <f t="shared" si="416"/>
        <v>31.695839999999997</v>
      </c>
      <c r="N4096" s="920">
        <f t="shared" si="417"/>
        <v>58</v>
      </c>
      <c r="O4096" s="918" t="str">
        <f t="shared" si="418"/>
        <v>Mar</v>
      </c>
      <c r="P4096" s="921">
        <f t="shared" si="419"/>
        <v>13</v>
      </c>
    </row>
    <row r="4097" spans="1:16" ht="15" hidden="1" customHeight="1">
      <c r="A4097" s="839">
        <v>64958127</v>
      </c>
      <c r="B4097" s="839">
        <v>2904</v>
      </c>
      <c r="C4097" s="906">
        <v>155</v>
      </c>
      <c r="D4097" s="907">
        <v>46104</v>
      </c>
      <c r="E4097" s="839" t="s">
        <v>237</v>
      </c>
      <c r="F4097" s="839" t="s">
        <v>234</v>
      </c>
      <c r="G4097" s="916">
        <f>VLOOKUP($A4097,'Tech Litons'!$A:$I,8,FALSE)</f>
        <v>3.3119999999999998E-3</v>
      </c>
      <c r="H4097" s="917">
        <f>VLOOKUP($A4097,'Tech Litons'!$A:$I,9,FALSE)</f>
        <v>165</v>
      </c>
      <c r="I4097" s="917" t="str">
        <f>VLOOKUP($A4097,'Tech Litons'!$A:$C,3,0)</f>
        <v>Yasso Sticks</v>
      </c>
      <c r="J4097" s="918" t="str">
        <f t="shared" si="414"/>
        <v>2904Yasso Sticks</v>
      </c>
      <c r="K4097" s="919">
        <v>1</v>
      </c>
      <c r="L4097" s="920">
        <f t="shared" si="415"/>
        <v>155</v>
      </c>
      <c r="M4097" s="920">
        <f t="shared" si="416"/>
        <v>0.51335999999999993</v>
      </c>
      <c r="N4097" s="920">
        <f t="shared" si="417"/>
        <v>0.93939393939393945</v>
      </c>
      <c r="O4097" s="918" t="str">
        <f t="shared" si="418"/>
        <v>Mar</v>
      </c>
      <c r="P4097" s="921">
        <f t="shared" si="419"/>
        <v>13</v>
      </c>
    </row>
    <row r="4098" spans="1:16" ht="15" hidden="1" customHeight="1">
      <c r="A4098" s="839">
        <v>64958127</v>
      </c>
      <c r="B4098" s="839">
        <v>2904</v>
      </c>
      <c r="C4098" s="906">
        <v>7053</v>
      </c>
      <c r="D4098" s="907">
        <v>46098</v>
      </c>
      <c r="E4098" s="839" t="s">
        <v>237</v>
      </c>
      <c r="F4098" s="839" t="s">
        <v>234</v>
      </c>
      <c r="G4098" s="916">
        <f>VLOOKUP($A4098,'Tech Litons'!$A:$I,8,FALSE)</f>
        <v>3.3119999999999998E-3</v>
      </c>
      <c r="H4098" s="917">
        <f>VLOOKUP($A4098,'Tech Litons'!$A:$I,9,FALSE)</f>
        <v>165</v>
      </c>
      <c r="I4098" s="917" t="str">
        <f>VLOOKUP($A4098,'Tech Litons'!$A:$C,3,0)</f>
        <v>Yasso Sticks</v>
      </c>
      <c r="J4098" s="918" t="str">
        <f t="shared" si="414"/>
        <v>2904Yasso Sticks</v>
      </c>
      <c r="K4098" s="919">
        <v>1</v>
      </c>
      <c r="L4098" s="920">
        <f t="shared" si="415"/>
        <v>7053</v>
      </c>
      <c r="M4098" s="920">
        <f t="shared" si="416"/>
        <v>23.359535999999999</v>
      </c>
      <c r="N4098" s="920">
        <f t="shared" si="417"/>
        <v>42.745454545454542</v>
      </c>
      <c r="O4098" s="918" t="str">
        <f t="shared" si="418"/>
        <v>Mar</v>
      </c>
      <c r="P4098" s="921">
        <f t="shared" si="419"/>
        <v>12</v>
      </c>
    </row>
    <row r="4099" spans="1:16" ht="15" hidden="1" customHeight="1">
      <c r="A4099" s="839">
        <v>64958127</v>
      </c>
      <c r="B4099" s="839">
        <v>2904</v>
      </c>
      <c r="C4099" s="906">
        <v>8085</v>
      </c>
      <c r="D4099" s="907">
        <v>46099</v>
      </c>
      <c r="E4099" s="839" t="s">
        <v>237</v>
      </c>
      <c r="F4099" s="839" t="s">
        <v>234</v>
      </c>
      <c r="G4099" s="916">
        <f>VLOOKUP($A4099,'Tech Litons'!$A:$I,8,FALSE)</f>
        <v>3.3119999999999998E-3</v>
      </c>
      <c r="H4099" s="917">
        <f>VLOOKUP($A4099,'Tech Litons'!$A:$I,9,FALSE)</f>
        <v>165</v>
      </c>
      <c r="I4099" s="917" t="str">
        <f>VLOOKUP($A4099,'Tech Litons'!$A:$C,3,0)</f>
        <v>Yasso Sticks</v>
      </c>
      <c r="J4099" s="918" t="str">
        <f t="shared" si="414"/>
        <v>2904Yasso Sticks</v>
      </c>
      <c r="K4099" s="919">
        <v>1</v>
      </c>
      <c r="L4099" s="920">
        <f t="shared" si="415"/>
        <v>8085</v>
      </c>
      <c r="M4099" s="920">
        <f t="shared" si="416"/>
        <v>26.777519999999999</v>
      </c>
      <c r="N4099" s="920">
        <f t="shared" si="417"/>
        <v>49</v>
      </c>
      <c r="O4099" s="918" t="str">
        <f t="shared" si="418"/>
        <v>Mar</v>
      </c>
      <c r="P4099" s="921">
        <f t="shared" si="419"/>
        <v>12</v>
      </c>
    </row>
    <row r="4100" spans="1:16" ht="15" hidden="1" customHeight="1">
      <c r="A4100" s="839">
        <v>64958128</v>
      </c>
      <c r="B4100" s="839">
        <v>2904</v>
      </c>
      <c r="C4100" s="906">
        <v>165</v>
      </c>
      <c r="D4100" s="907">
        <v>46077</v>
      </c>
      <c r="E4100" s="839" t="s">
        <v>235</v>
      </c>
      <c r="F4100" s="839" t="s">
        <v>234</v>
      </c>
      <c r="G4100" s="916">
        <f>VLOOKUP($A4100,'Tech Litons'!$A:$I,8,FALSE)</f>
        <v>3.3119999999999998E-3</v>
      </c>
      <c r="H4100" s="917">
        <f>VLOOKUP($A4100,'Tech Litons'!$A:$I,9,FALSE)</f>
        <v>165</v>
      </c>
      <c r="I4100" s="917" t="str">
        <f>VLOOKUP($A4100,'Tech Litons'!$A:$C,3,0)</f>
        <v>Yasso Sticks</v>
      </c>
      <c r="J4100" s="918" t="str">
        <f t="shared" si="414"/>
        <v>2904Yasso Sticks</v>
      </c>
      <c r="K4100" s="919">
        <v>1</v>
      </c>
      <c r="L4100" s="920">
        <f t="shared" si="415"/>
        <v>165</v>
      </c>
      <c r="M4100" s="920">
        <f t="shared" si="416"/>
        <v>0.54647999999999997</v>
      </c>
      <c r="N4100" s="920">
        <f t="shared" si="417"/>
        <v>1</v>
      </c>
      <c r="O4100" s="918" t="str">
        <f t="shared" si="418"/>
        <v>Feb</v>
      </c>
      <c r="P4100" s="921">
        <f t="shared" si="419"/>
        <v>9</v>
      </c>
    </row>
    <row r="4101" spans="1:16" ht="15" hidden="1" customHeight="1">
      <c r="A4101" s="839">
        <v>64958128</v>
      </c>
      <c r="B4101" s="839">
        <v>2904</v>
      </c>
      <c r="C4101" s="906">
        <v>585</v>
      </c>
      <c r="D4101" s="907">
        <v>46084</v>
      </c>
      <c r="E4101" s="839" t="s">
        <v>235</v>
      </c>
      <c r="F4101" s="839" t="s">
        <v>234</v>
      </c>
      <c r="G4101" s="916">
        <f>VLOOKUP($A4101,'Tech Litons'!$A:$I,8,FALSE)</f>
        <v>3.3119999999999998E-3</v>
      </c>
      <c r="H4101" s="917">
        <f>VLOOKUP($A4101,'Tech Litons'!$A:$I,9,FALSE)</f>
        <v>165</v>
      </c>
      <c r="I4101" s="917" t="str">
        <f>VLOOKUP($A4101,'Tech Litons'!$A:$C,3,0)</f>
        <v>Yasso Sticks</v>
      </c>
      <c r="J4101" s="918" t="str">
        <f t="shared" si="414"/>
        <v>2904Yasso Sticks</v>
      </c>
      <c r="K4101" s="919">
        <v>1</v>
      </c>
      <c r="L4101" s="920">
        <f t="shared" si="415"/>
        <v>585</v>
      </c>
      <c r="M4101" s="920">
        <f t="shared" si="416"/>
        <v>1.9375199999999999</v>
      </c>
      <c r="N4101" s="920">
        <f t="shared" si="417"/>
        <v>3.5454545454545454</v>
      </c>
      <c r="O4101" s="918" t="str">
        <f t="shared" si="418"/>
        <v>Mar</v>
      </c>
      <c r="P4101" s="921">
        <f t="shared" si="419"/>
        <v>10</v>
      </c>
    </row>
    <row r="4102" spans="1:16" ht="15" hidden="1" customHeight="1">
      <c r="A4102" s="839">
        <v>64958128</v>
      </c>
      <c r="B4102" s="839">
        <v>2904</v>
      </c>
      <c r="C4102" s="906">
        <v>8580</v>
      </c>
      <c r="D4102" s="907">
        <v>46084</v>
      </c>
      <c r="E4102" s="839" t="s">
        <v>235</v>
      </c>
      <c r="F4102" s="839" t="s">
        <v>234</v>
      </c>
      <c r="G4102" s="916">
        <f>VLOOKUP($A4102,'Tech Litons'!$A:$I,8,FALSE)</f>
        <v>3.3119999999999998E-3</v>
      </c>
      <c r="H4102" s="917">
        <f>VLOOKUP($A4102,'Tech Litons'!$A:$I,9,FALSE)</f>
        <v>165</v>
      </c>
      <c r="I4102" s="917" t="str">
        <f>VLOOKUP($A4102,'Tech Litons'!$A:$C,3,0)</f>
        <v>Yasso Sticks</v>
      </c>
      <c r="J4102" s="918" t="str">
        <f t="shared" si="414"/>
        <v>2904Yasso Sticks</v>
      </c>
      <c r="K4102" s="919">
        <v>1</v>
      </c>
      <c r="L4102" s="920">
        <f t="shared" si="415"/>
        <v>8580</v>
      </c>
      <c r="M4102" s="920">
        <f t="shared" si="416"/>
        <v>28.41696</v>
      </c>
      <c r="N4102" s="920">
        <f t="shared" si="417"/>
        <v>52</v>
      </c>
      <c r="O4102" s="918" t="str">
        <f t="shared" si="418"/>
        <v>Mar</v>
      </c>
      <c r="P4102" s="921">
        <f t="shared" si="419"/>
        <v>10</v>
      </c>
    </row>
    <row r="4103" spans="1:16" ht="15" hidden="1" customHeight="1">
      <c r="A4103" s="839">
        <v>64958128</v>
      </c>
      <c r="B4103" s="839">
        <v>2904</v>
      </c>
      <c r="C4103" s="906">
        <v>9356</v>
      </c>
      <c r="D4103" s="907">
        <v>46085</v>
      </c>
      <c r="E4103" s="839" t="s">
        <v>235</v>
      </c>
      <c r="F4103" s="839" t="s">
        <v>234</v>
      </c>
      <c r="G4103" s="916">
        <f>VLOOKUP($A4103,'Tech Litons'!$A:$I,8,FALSE)</f>
        <v>3.3119999999999998E-3</v>
      </c>
      <c r="H4103" s="917">
        <f>VLOOKUP($A4103,'Tech Litons'!$A:$I,9,FALSE)</f>
        <v>165</v>
      </c>
      <c r="I4103" s="917" t="str">
        <f>VLOOKUP($A4103,'Tech Litons'!$A:$C,3,0)</f>
        <v>Yasso Sticks</v>
      </c>
      <c r="J4103" s="918" t="str">
        <f t="shared" si="414"/>
        <v>2904Yasso Sticks</v>
      </c>
      <c r="K4103" s="919">
        <v>1</v>
      </c>
      <c r="L4103" s="920">
        <f t="shared" si="415"/>
        <v>9356</v>
      </c>
      <c r="M4103" s="920">
        <f t="shared" si="416"/>
        <v>30.987071999999998</v>
      </c>
      <c r="N4103" s="920">
        <f t="shared" si="417"/>
        <v>56.703030303030303</v>
      </c>
      <c r="O4103" s="918" t="str">
        <f t="shared" si="418"/>
        <v>Mar</v>
      </c>
      <c r="P4103" s="921">
        <f t="shared" si="419"/>
        <v>10</v>
      </c>
    </row>
    <row r="4104" spans="1:16" ht="15" hidden="1" customHeight="1">
      <c r="A4104" s="839">
        <v>64958128</v>
      </c>
      <c r="B4104" s="839">
        <v>2904</v>
      </c>
      <c r="C4104" s="906">
        <v>8745</v>
      </c>
      <c r="D4104" s="907">
        <v>46085</v>
      </c>
      <c r="E4104" s="839" t="s">
        <v>235</v>
      </c>
      <c r="F4104" s="839" t="s">
        <v>234</v>
      </c>
      <c r="G4104" s="916">
        <f>VLOOKUP($A4104,'Tech Litons'!$A:$I,8,FALSE)</f>
        <v>3.3119999999999998E-3</v>
      </c>
      <c r="H4104" s="917">
        <f>VLOOKUP($A4104,'Tech Litons'!$A:$I,9,FALSE)</f>
        <v>165</v>
      </c>
      <c r="I4104" s="917" t="str">
        <f>VLOOKUP($A4104,'Tech Litons'!$A:$C,3,0)</f>
        <v>Yasso Sticks</v>
      </c>
      <c r="J4104" s="918" t="str">
        <f t="shared" si="414"/>
        <v>2904Yasso Sticks</v>
      </c>
      <c r="K4104" s="919">
        <v>1</v>
      </c>
      <c r="L4104" s="920">
        <f t="shared" si="415"/>
        <v>8745</v>
      </c>
      <c r="M4104" s="920">
        <f t="shared" si="416"/>
        <v>28.963439999999999</v>
      </c>
      <c r="N4104" s="920">
        <f t="shared" si="417"/>
        <v>53</v>
      </c>
      <c r="O4104" s="918" t="str">
        <f t="shared" si="418"/>
        <v>Mar</v>
      </c>
      <c r="P4104" s="921">
        <f t="shared" si="419"/>
        <v>10</v>
      </c>
    </row>
    <row r="4105" spans="1:16" ht="15" hidden="1" customHeight="1">
      <c r="A4105" s="839">
        <v>64958128</v>
      </c>
      <c r="B4105" s="839">
        <v>2904</v>
      </c>
      <c r="C4105" s="906">
        <v>8580</v>
      </c>
      <c r="D4105" s="907">
        <v>46086</v>
      </c>
      <c r="E4105" s="839" t="s">
        <v>235</v>
      </c>
      <c r="F4105" s="839" t="s">
        <v>234</v>
      </c>
      <c r="G4105" s="916">
        <f>VLOOKUP($A4105,'Tech Litons'!$A:$I,8,FALSE)</f>
        <v>3.3119999999999998E-3</v>
      </c>
      <c r="H4105" s="917">
        <f>VLOOKUP($A4105,'Tech Litons'!$A:$I,9,FALSE)</f>
        <v>165</v>
      </c>
      <c r="I4105" s="917" t="str">
        <f>VLOOKUP($A4105,'Tech Litons'!$A:$C,3,0)</f>
        <v>Yasso Sticks</v>
      </c>
      <c r="J4105" s="918" t="str">
        <f t="shared" si="414"/>
        <v>2904Yasso Sticks</v>
      </c>
      <c r="K4105" s="919">
        <v>1</v>
      </c>
      <c r="L4105" s="920">
        <f t="shared" si="415"/>
        <v>8580</v>
      </c>
      <c r="M4105" s="920">
        <f t="shared" si="416"/>
        <v>28.41696</v>
      </c>
      <c r="N4105" s="920">
        <f t="shared" si="417"/>
        <v>52</v>
      </c>
      <c r="O4105" s="918" t="str">
        <f t="shared" si="418"/>
        <v>Mar</v>
      </c>
      <c r="P4105" s="921">
        <f t="shared" si="419"/>
        <v>10</v>
      </c>
    </row>
    <row r="4106" spans="1:16" ht="15" hidden="1" customHeight="1">
      <c r="A4106" s="839">
        <v>64958128</v>
      </c>
      <c r="B4106" s="839">
        <v>2904</v>
      </c>
      <c r="C4106" s="906">
        <v>7862</v>
      </c>
      <c r="D4106" s="907">
        <v>46086</v>
      </c>
      <c r="E4106" s="839" t="s">
        <v>235</v>
      </c>
      <c r="F4106" s="839" t="s">
        <v>234</v>
      </c>
      <c r="G4106" s="916">
        <f>VLOOKUP($A4106,'Tech Litons'!$A:$I,8,FALSE)</f>
        <v>3.3119999999999998E-3</v>
      </c>
      <c r="H4106" s="917">
        <f>VLOOKUP($A4106,'Tech Litons'!$A:$I,9,FALSE)</f>
        <v>165</v>
      </c>
      <c r="I4106" s="917" t="str">
        <f>VLOOKUP($A4106,'Tech Litons'!$A:$C,3,0)</f>
        <v>Yasso Sticks</v>
      </c>
      <c r="J4106" s="918" t="str">
        <f t="shared" si="414"/>
        <v>2904Yasso Sticks</v>
      </c>
      <c r="K4106" s="919">
        <v>1</v>
      </c>
      <c r="L4106" s="920">
        <f t="shared" si="415"/>
        <v>7862</v>
      </c>
      <c r="M4106" s="920">
        <f t="shared" si="416"/>
        <v>26.038943999999997</v>
      </c>
      <c r="N4106" s="920">
        <f t="shared" si="417"/>
        <v>47.648484848484848</v>
      </c>
      <c r="O4106" s="918" t="str">
        <f t="shared" si="418"/>
        <v>Mar</v>
      </c>
      <c r="P4106" s="921">
        <f t="shared" si="419"/>
        <v>10</v>
      </c>
    </row>
    <row r="4107" spans="1:16" ht="15" hidden="1" customHeight="1">
      <c r="A4107" s="839">
        <v>64958128</v>
      </c>
      <c r="B4107" s="839">
        <v>2904</v>
      </c>
      <c r="C4107" s="906">
        <v>9045</v>
      </c>
      <c r="D4107" s="907">
        <v>46087</v>
      </c>
      <c r="E4107" s="839" t="s">
        <v>235</v>
      </c>
      <c r="F4107" s="839" t="s">
        <v>234</v>
      </c>
      <c r="G4107" s="916">
        <f>VLOOKUP($A4107,'Tech Litons'!$A:$I,8,FALSE)</f>
        <v>3.3119999999999998E-3</v>
      </c>
      <c r="H4107" s="917">
        <f>VLOOKUP($A4107,'Tech Litons'!$A:$I,9,FALSE)</f>
        <v>165</v>
      </c>
      <c r="I4107" s="917" t="str">
        <f>VLOOKUP($A4107,'Tech Litons'!$A:$C,3,0)</f>
        <v>Yasso Sticks</v>
      </c>
      <c r="J4107" s="918" t="str">
        <f t="shared" si="414"/>
        <v>2904Yasso Sticks</v>
      </c>
      <c r="K4107" s="919">
        <v>1</v>
      </c>
      <c r="L4107" s="920">
        <f t="shared" si="415"/>
        <v>9045</v>
      </c>
      <c r="M4107" s="920">
        <f t="shared" si="416"/>
        <v>29.957039999999999</v>
      </c>
      <c r="N4107" s="920">
        <f t="shared" si="417"/>
        <v>54.81818181818182</v>
      </c>
      <c r="O4107" s="918" t="str">
        <f t="shared" si="418"/>
        <v>Mar</v>
      </c>
      <c r="P4107" s="921">
        <f t="shared" si="419"/>
        <v>10</v>
      </c>
    </row>
    <row r="4108" spans="1:16" ht="15" hidden="1" customHeight="1">
      <c r="A4108" s="839">
        <v>64958128</v>
      </c>
      <c r="B4108" s="839">
        <v>2904</v>
      </c>
      <c r="C4108" s="906">
        <v>1320</v>
      </c>
      <c r="D4108" s="907">
        <v>46087</v>
      </c>
      <c r="E4108" s="839" t="s">
        <v>235</v>
      </c>
      <c r="F4108" s="839" t="s">
        <v>234</v>
      </c>
      <c r="G4108" s="916">
        <f>VLOOKUP($A4108,'Tech Litons'!$A:$I,8,FALSE)</f>
        <v>3.3119999999999998E-3</v>
      </c>
      <c r="H4108" s="917">
        <f>VLOOKUP($A4108,'Tech Litons'!$A:$I,9,FALSE)</f>
        <v>165</v>
      </c>
      <c r="I4108" s="917" t="str">
        <f>VLOOKUP($A4108,'Tech Litons'!$A:$C,3,0)</f>
        <v>Yasso Sticks</v>
      </c>
      <c r="J4108" s="918" t="str">
        <f t="shared" si="414"/>
        <v>2904Yasso Sticks</v>
      </c>
      <c r="K4108" s="919">
        <v>1</v>
      </c>
      <c r="L4108" s="920">
        <f t="shared" si="415"/>
        <v>1320</v>
      </c>
      <c r="M4108" s="920">
        <f t="shared" si="416"/>
        <v>4.3718399999999997</v>
      </c>
      <c r="N4108" s="920">
        <f t="shared" si="417"/>
        <v>8</v>
      </c>
      <c r="O4108" s="918" t="str">
        <f t="shared" si="418"/>
        <v>Mar</v>
      </c>
      <c r="P4108" s="921">
        <f t="shared" si="419"/>
        <v>10</v>
      </c>
    </row>
    <row r="4109" spans="1:16" ht="15" hidden="1" customHeight="1">
      <c r="A4109" s="839">
        <v>64958128</v>
      </c>
      <c r="B4109" s="839">
        <v>2904</v>
      </c>
      <c r="C4109" s="906">
        <v>9540</v>
      </c>
      <c r="D4109" s="907">
        <v>46088</v>
      </c>
      <c r="E4109" s="839" t="s">
        <v>235</v>
      </c>
      <c r="F4109" s="839" t="s">
        <v>234</v>
      </c>
      <c r="G4109" s="916">
        <f>VLOOKUP($A4109,'Tech Litons'!$A:$I,8,FALSE)</f>
        <v>3.3119999999999998E-3</v>
      </c>
      <c r="H4109" s="917">
        <f>VLOOKUP($A4109,'Tech Litons'!$A:$I,9,FALSE)</f>
        <v>165</v>
      </c>
      <c r="I4109" s="917" t="str">
        <f>VLOOKUP($A4109,'Tech Litons'!$A:$C,3,0)</f>
        <v>Yasso Sticks</v>
      </c>
      <c r="J4109" s="918" t="str">
        <f t="shared" si="414"/>
        <v>2904Yasso Sticks</v>
      </c>
      <c r="K4109" s="919">
        <v>1</v>
      </c>
      <c r="L4109" s="920">
        <f t="shared" si="415"/>
        <v>9540</v>
      </c>
      <c r="M4109" s="920">
        <f t="shared" si="416"/>
        <v>31.59648</v>
      </c>
      <c r="N4109" s="920">
        <f t="shared" si="417"/>
        <v>57.81818181818182</v>
      </c>
      <c r="O4109" s="918" t="str">
        <f t="shared" si="418"/>
        <v>Mar</v>
      </c>
      <c r="P4109" s="921">
        <f t="shared" si="419"/>
        <v>10</v>
      </c>
    </row>
    <row r="4110" spans="1:16" ht="15" hidden="1" customHeight="1">
      <c r="A4110" s="839">
        <v>64958128</v>
      </c>
      <c r="B4110" s="839">
        <v>2904</v>
      </c>
      <c r="C4110" s="906">
        <v>10230</v>
      </c>
      <c r="D4110" s="907">
        <v>46088</v>
      </c>
      <c r="E4110" s="839" t="s">
        <v>235</v>
      </c>
      <c r="F4110" s="839" t="s">
        <v>234</v>
      </c>
      <c r="G4110" s="916">
        <f>VLOOKUP($A4110,'Tech Litons'!$A:$I,8,FALSE)</f>
        <v>3.3119999999999998E-3</v>
      </c>
      <c r="H4110" s="917">
        <f>VLOOKUP($A4110,'Tech Litons'!$A:$I,9,FALSE)</f>
        <v>165</v>
      </c>
      <c r="I4110" s="917" t="str">
        <f>VLOOKUP($A4110,'Tech Litons'!$A:$C,3,0)</f>
        <v>Yasso Sticks</v>
      </c>
      <c r="J4110" s="918" t="str">
        <f t="shared" si="414"/>
        <v>2904Yasso Sticks</v>
      </c>
      <c r="K4110" s="919">
        <v>1</v>
      </c>
      <c r="L4110" s="920">
        <f t="shared" si="415"/>
        <v>10230</v>
      </c>
      <c r="M4110" s="920">
        <f t="shared" si="416"/>
        <v>33.88176</v>
      </c>
      <c r="N4110" s="920">
        <f t="shared" si="417"/>
        <v>62</v>
      </c>
      <c r="O4110" s="918" t="str">
        <f t="shared" si="418"/>
        <v>Mar</v>
      </c>
      <c r="P4110" s="921">
        <f t="shared" si="419"/>
        <v>10</v>
      </c>
    </row>
    <row r="4111" spans="1:16" ht="15" hidden="1" customHeight="1">
      <c r="A4111" s="839">
        <v>64958128</v>
      </c>
      <c r="B4111" s="839">
        <v>2904</v>
      </c>
      <c r="C4111" s="906">
        <v>9075</v>
      </c>
      <c r="D4111" s="907">
        <v>46089</v>
      </c>
      <c r="E4111" s="839" t="s">
        <v>235</v>
      </c>
      <c r="F4111" s="839" t="s">
        <v>234</v>
      </c>
      <c r="G4111" s="916">
        <f>VLOOKUP($A4111,'Tech Litons'!$A:$I,8,FALSE)</f>
        <v>3.3119999999999998E-3</v>
      </c>
      <c r="H4111" s="917">
        <f>VLOOKUP($A4111,'Tech Litons'!$A:$I,9,FALSE)</f>
        <v>165</v>
      </c>
      <c r="I4111" s="917" t="str">
        <f>VLOOKUP($A4111,'Tech Litons'!$A:$C,3,0)</f>
        <v>Yasso Sticks</v>
      </c>
      <c r="J4111" s="918" t="str">
        <f t="shared" si="414"/>
        <v>2904Yasso Sticks</v>
      </c>
      <c r="K4111" s="919">
        <v>1</v>
      </c>
      <c r="L4111" s="920">
        <f t="shared" si="415"/>
        <v>9075</v>
      </c>
      <c r="M4111" s="920">
        <f t="shared" si="416"/>
        <v>30.0564</v>
      </c>
      <c r="N4111" s="920">
        <f t="shared" si="417"/>
        <v>55</v>
      </c>
      <c r="O4111" s="918" t="str">
        <f t="shared" si="418"/>
        <v>Mar</v>
      </c>
      <c r="P4111" s="921">
        <f t="shared" si="419"/>
        <v>11</v>
      </c>
    </row>
    <row r="4112" spans="1:16" ht="15" hidden="1" customHeight="1">
      <c r="A4112" s="839">
        <v>64958128</v>
      </c>
      <c r="B4112" s="839">
        <v>2904</v>
      </c>
      <c r="C4112" s="906">
        <v>7229</v>
      </c>
      <c r="D4112" s="907">
        <v>46089</v>
      </c>
      <c r="E4112" s="839" t="s">
        <v>235</v>
      </c>
      <c r="F4112" s="839" t="s">
        <v>234</v>
      </c>
      <c r="G4112" s="916">
        <f>VLOOKUP($A4112,'Tech Litons'!$A:$I,8,FALSE)</f>
        <v>3.3119999999999998E-3</v>
      </c>
      <c r="H4112" s="917">
        <f>VLOOKUP($A4112,'Tech Litons'!$A:$I,9,FALSE)</f>
        <v>165</v>
      </c>
      <c r="I4112" s="917" t="str">
        <f>VLOOKUP($A4112,'Tech Litons'!$A:$C,3,0)</f>
        <v>Yasso Sticks</v>
      </c>
      <c r="J4112" s="918" t="str">
        <f t="shared" si="414"/>
        <v>2904Yasso Sticks</v>
      </c>
      <c r="K4112" s="919">
        <v>1</v>
      </c>
      <c r="L4112" s="920">
        <f t="shared" si="415"/>
        <v>7229</v>
      </c>
      <c r="M4112" s="920">
        <f t="shared" si="416"/>
        <v>23.942447999999999</v>
      </c>
      <c r="N4112" s="920">
        <f t="shared" si="417"/>
        <v>43.812121212121212</v>
      </c>
      <c r="O4112" s="918" t="str">
        <f t="shared" si="418"/>
        <v>Mar</v>
      </c>
      <c r="P4112" s="921">
        <f t="shared" si="419"/>
        <v>11</v>
      </c>
    </row>
    <row r="4113" spans="1:16" ht="15" hidden="1" customHeight="1">
      <c r="A4113" s="839">
        <v>64958128</v>
      </c>
      <c r="B4113" s="839">
        <v>2904</v>
      </c>
      <c r="C4113" s="906">
        <v>207</v>
      </c>
      <c r="D4113" s="907">
        <v>46090</v>
      </c>
      <c r="E4113" s="839" t="s">
        <v>235</v>
      </c>
      <c r="F4113" s="839" t="s">
        <v>234</v>
      </c>
      <c r="G4113" s="916">
        <f>VLOOKUP($A4113,'Tech Litons'!$A:$I,8,FALSE)</f>
        <v>3.3119999999999998E-3</v>
      </c>
      <c r="H4113" s="917">
        <f>VLOOKUP($A4113,'Tech Litons'!$A:$I,9,FALSE)</f>
        <v>165</v>
      </c>
      <c r="I4113" s="917" t="str">
        <f>VLOOKUP($A4113,'Tech Litons'!$A:$C,3,0)</f>
        <v>Yasso Sticks</v>
      </c>
      <c r="J4113" s="918" t="str">
        <f t="shared" si="414"/>
        <v>2904Yasso Sticks</v>
      </c>
      <c r="K4113" s="919">
        <v>1</v>
      </c>
      <c r="L4113" s="920">
        <f t="shared" si="415"/>
        <v>207</v>
      </c>
      <c r="M4113" s="920">
        <f t="shared" si="416"/>
        <v>0.68558399999999997</v>
      </c>
      <c r="N4113" s="920">
        <f t="shared" si="417"/>
        <v>1.2545454545454546</v>
      </c>
      <c r="O4113" s="918" t="str">
        <f t="shared" si="418"/>
        <v>Mar</v>
      </c>
      <c r="P4113" s="921">
        <f t="shared" si="419"/>
        <v>11</v>
      </c>
    </row>
    <row r="4114" spans="1:16" ht="15" hidden="1" customHeight="1">
      <c r="A4114" s="839">
        <v>64976837</v>
      </c>
      <c r="B4114" s="839">
        <v>2904</v>
      </c>
      <c r="C4114" s="906">
        <v>2475</v>
      </c>
      <c r="D4114" s="907">
        <v>46081</v>
      </c>
      <c r="E4114" s="839" t="s">
        <v>239</v>
      </c>
      <c r="F4114" s="839" t="s">
        <v>234</v>
      </c>
      <c r="G4114" s="916">
        <f>VLOOKUP($A4114,'Tech Litons'!$A:$I,8,FALSE)</f>
        <v>2.5040000000000001E-3</v>
      </c>
      <c r="H4114" s="917">
        <f>VLOOKUP($A4114,'Tech Litons'!$A:$I,9,FALSE)</f>
        <v>165</v>
      </c>
      <c r="I4114" s="917" t="str">
        <f>VLOOKUP($A4114,'Tech Litons'!$A:$C,3,0)</f>
        <v>Yasso Sticks</v>
      </c>
      <c r="J4114" s="918" t="str">
        <f t="shared" si="414"/>
        <v>2904Yasso Sticks</v>
      </c>
      <c r="K4114" s="919">
        <v>1</v>
      </c>
      <c r="L4114" s="920">
        <f t="shared" si="415"/>
        <v>2475</v>
      </c>
      <c r="M4114" s="920">
        <f t="shared" si="416"/>
        <v>6.1974</v>
      </c>
      <c r="N4114" s="920">
        <f t="shared" si="417"/>
        <v>15</v>
      </c>
      <c r="O4114" s="918" t="str">
        <f t="shared" si="418"/>
        <v>Feb</v>
      </c>
      <c r="P4114" s="921">
        <f t="shared" si="419"/>
        <v>9</v>
      </c>
    </row>
    <row r="4115" spans="1:16" ht="15" hidden="1" customHeight="1">
      <c r="A4115" s="839">
        <v>64976837</v>
      </c>
      <c r="B4115" s="839">
        <v>2904</v>
      </c>
      <c r="C4115" s="906">
        <v>2101</v>
      </c>
      <c r="D4115" s="907">
        <v>46082</v>
      </c>
      <c r="E4115" s="839" t="s">
        <v>239</v>
      </c>
      <c r="F4115" s="839" t="s">
        <v>234</v>
      </c>
      <c r="G4115" s="916">
        <f>VLOOKUP($A4115,'Tech Litons'!$A:$I,8,FALSE)</f>
        <v>2.5040000000000001E-3</v>
      </c>
      <c r="H4115" s="917">
        <f>VLOOKUP($A4115,'Tech Litons'!$A:$I,9,FALSE)</f>
        <v>165</v>
      </c>
      <c r="I4115" s="917" t="str">
        <f>VLOOKUP($A4115,'Tech Litons'!$A:$C,3,0)</f>
        <v>Yasso Sticks</v>
      </c>
      <c r="J4115" s="918" t="str">
        <f t="shared" si="414"/>
        <v>2904Yasso Sticks</v>
      </c>
      <c r="K4115" s="919">
        <v>1</v>
      </c>
      <c r="L4115" s="920">
        <f t="shared" si="415"/>
        <v>2101</v>
      </c>
      <c r="M4115" s="920">
        <f t="shared" si="416"/>
        <v>5.260904</v>
      </c>
      <c r="N4115" s="920">
        <f t="shared" si="417"/>
        <v>12.733333333333333</v>
      </c>
      <c r="O4115" s="918" t="str">
        <f t="shared" si="418"/>
        <v>Mar</v>
      </c>
      <c r="P4115" s="921">
        <f t="shared" si="419"/>
        <v>10</v>
      </c>
    </row>
    <row r="4116" spans="1:16" ht="15" hidden="1" customHeight="1">
      <c r="A4116" s="839">
        <v>64976837</v>
      </c>
      <c r="B4116" s="839">
        <v>2904</v>
      </c>
      <c r="C4116" s="906">
        <v>6248</v>
      </c>
      <c r="D4116" s="907">
        <v>46082</v>
      </c>
      <c r="E4116" s="839" t="s">
        <v>239</v>
      </c>
      <c r="F4116" s="839" t="s">
        <v>234</v>
      </c>
      <c r="G4116" s="916">
        <f>VLOOKUP($A4116,'Tech Litons'!$A:$I,8,FALSE)</f>
        <v>2.5040000000000001E-3</v>
      </c>
      <c r="H4116" s="917">
        <f>VLOOKUP($A4116,'Tech Litons'!$A:$I,9,FALSE)</f>
        <v>165</v>
      </c>
      <c r="I4116" s="917" t="str">
        <f>VLOOKUP($A4116,'Tech Litons'!$A:$C,3,0)</f>
        <v>Yasso Sticks</v>
      </c>
      <c r="J4116" s="918" t="str">
        <f t="shared" si="414"/>
        <v>2904Yasso Sticks</v>
      </c>
      <c r="K4116" s="919">
        <v>1</v>
      </c>
      <c r="L4116" s="920">
        <f t="shared" si="415"/>
        <v>6248</v>
      </c>
      <c r="M4116" s="920">
        <f t="shared" si="416"/>
        <v>15.644992</v>
      </c>
      <c r="N4116" s="920">
        <f t="shared" si="417"/>
        <v>37.866666666666667</v>
      </c>
      <c r="O4116" s="918" t="str">
        <f t="shared" si="418"/>
        <v>Mar</v>
      </c>
      <c r="P4116" s="921">
        <f t="shared" si="419"/>
        <v>10</v>
      </c>
    </row>
    <row r="4117" spans="1:16" ht="15" hidden="1" customHeight="1">
      <c r="A4117" s="839">
        <v>64976837</v>
      </c>
      <c r="B4117" s="839">
        <v>2904</v>
      </c>
      <c r="C4117" s="906">
        <v>5115</v>
      </c>
      <c r="D4117" s="907">
        <v>46083</v>
      </c>
      <c r="E4117" s="839" t="s">
        <v>239</v>
      </c>
      <c r="F4117" s="839" t="s">
        <v>234</v>
      </c>
      <c r="G4117" s="916">
        <f>VLOOKUP($A4117,'Tech Litons'!$A:$I,8,FALSE)</f>
        <v>2.5040000000000001E-3</v>
      </c>
      <c r="H4117" s="917">
        <f>VLOOKUP($A4117,'Tech Litons'!$A:$I,9,FALSE)</f>
        <v>165</v>
      </c>
      <c r="I4117" s="917" t="str">
        <f>VLOOKUP($A4117,'Tech Litons'!$A:$C,3,0)</f>
        <v>Yasso Sticks</v>
      </c>
      <c r="J4117" s="918" t="str">
        <f t="shared" si="414"/>
        <v>2904Yasso Sticks</v>
      </c>
      <c r="K4117" s="919">
        <v>1</v>
      </c>
      <c r="L4117" s="920">
        <f t="shared" si="415"/>
        <v>5115</v>
      </c>
      <c r="M4117" s="920">
        <f t="shared" si="416"/>
        <v>12.807960000000001</v>
      </c>
      <c r="N4117" s="920">
        <f t="shared" si="417"/>
        <v>31</v>
      </c>
      <c r="O4117" s="918" t="str">
        <f t="shared" si="418"/>
        <v>Mar</v>
      </c>
      <c r="P4117" s="921">
        <f t="shared" si="419"/>
        <v>10</v>
      </c>
    </row>
    <row r="4118" spans="1:16" ht="15" hidden="1" customHeight="1">
      <c r="A4118" s="839">
        <v>64976837</v>
      </c>
      <c r="B4118" s="839">
        <v>2904</v>
      </c>
      <c r="C4118" s="906">
        <v>1819</v>
      </c>
      <c r="D4118" s="907">
        <v>46083</v>
      </c>
      <c r="E4118" s="839" t="s">
        <v>239</v>
      </c>
      <c r="F4118" s="839" t="s">
        <v>234</v>
      </c>
      <c r="G4118" s="916">
        <f>VLOOKUP($A4118,'Tech Litons'!$A:$I,8,FALSE)</f>
        <v>2.5040000000000001E-3</v>
      </c>
      <c r="H4118" s="917">
        <f>VLOOKUP($A4118,'Tech Litons'!$A:$I,9,FALSE)</f>
        <v>165</v>
      </c>
      <c r="I4118" s="917" t="str">
        <f>VLOOKUP($A4118,'Tech Litons'!$A:$C,3,0)</f>
        <v>Yasso Sticks</v>
      </c>
      <c r="J4118" s="918" t="str">
        <f t="shared" si="414"/>
        <v>2904Yasso Sticks</v>
      </c>
      <c r="K4118" s="919">
        <v>1</v>
      </c>
      <c r="L4118" s="920">
        <f t="shared" si="415"/>
        <v>1819</v>
      </c>
      <c r="M4118" s="920">
        <f t="shared" si="416"/>
        <v>4.5547760000000004</v>
      </c>
      <c r="N4118" s="920">
        <f t="shared" si="417"/>
        <v>11.024242424242424</v>
      </c>
      <c r="O4118" s="918" t="str">
        <f t="shared" si="418"/>
        <v>Mar</v>
      </c>
      <c r="P4118" s="921">
        <f t="shared" si="419"/>
        <v>10</v>
      </c>
    </row>
    <row r="4119" spans="1:16" ht="15" hidden="1" customHeight="1">
      <c r="A4119" s="839">
        <v>64976848</v>
      </c>
      <c r="B4119" s="839">
        <v>2904</v>
      </c>
      <c r="C4119" s="906">
        <v>150</v>
      </c>
      <c r="D4119" s="907">
        <v>46078</v>
      </c>
      <c r="E4119" s="839" t="s">
        <v>232</v>
      </c>
      <c r="F4119" s="839" t="s">
        <v>231</v>
      </c>
      <c r="G4119" s="916">
        <f>VLOOKUP($A4119,'Tech Litons'!$A:$I,8,FALSE)</f>
        <v>2.5040000000000001E-3</v>
      </c>
      <c r="H4119" s="917">
        <f>VLOOKUP($A4119,'Tech Litons'!$A:$I,9,FALSE)</f>
        <v>165</v>
      </c>
      <c r="I4119" s="917" t="str">
        <f>VLOOKUP($A4119,'Tech Litons'!$A:$C,3,0)</f>
        <v>Yasso Sticks</v>
      </c>
      <c r="J4119" s="918" t="str">
        <f t="shared" si="414"/>
        <v>2904Yasso Sticks</v>
      </c>
      <c r="K4119" s="919">
        <v>1</v>
      </c>
      <c r="L4119" s="920">
        <f t="shared" si="415"/>
        <v>150</v>
      </c>
      <c r="M4119" s="920">
        <f t="shared" si="416"/>
        <v>0.37560000000000004</v>
      </c>
      <c r="N4119" s="920">
        <f t="shared" si="417"/>
        <v>0.90909090909090906</v>
      </c>
      <c r="O4119" s="918" t="str">
        <f t="shared" si="418"/>
        <v>Feb</v>
      </c>
      <c r="P4119" s="921">
        <f t="shared" si="419"/>
        <v>9</v>
      </c>
    </row>
    <row r="4120" spans="1:16" ht="15" hidden="1" customHeight="1">
      <c r="A4120" s="839">
        <v>64976849</v>
      </c>
      <c r="B4120" s="839">
        <v>2904</v>
      </c>
      <c r="C4120" s="906">
        <v>495</v>
      </c>
      <c r="D4120" s="907">
        <v>46077</v>
      </c>
      <c r="E4120" s="839" t="s">
        <v>233</v>
      </c>
      <c r="F4120" s="839" t="s">
        <v>234</v>
      </c>
      <c r="G4120" s="916">
        <f>VLOOKUP($A4120,'Tech Litons'!$A:$I,8,FALSE)</f>
        <v>2.5040000000000001E-3</v>
      </c>
      <c r="H4120" s="917">
        <f>VLOOKUP($A4120,'Tech Litons'!$A:$I,9,FALSE)</f>
        <v>165</v>
      </c>
      <c r="I4120" s="917" t="str">
        <f>VLOOKUP($A4120,'Tech Litons'!$A:$C,3,0)</f>
        <v>Yasso Sticks</v>
      </c>
      <c r="J4120" s="918" t="str">
        <f t="shared" si="414"/>
        <v>2904Yasso Sticks</v>
      </c>
      <c r="K4120" s="919">
        <v>1</v>
      </c>
      <c r="L4120" s="920">
        <f t="shared" si="415"/>
        <v>495</v>
      </c>
      <c r="M4120" s="920">
        <f t="shared" si="416"/>
        <v>1.2394800000000001</v>
      </c>
      <c r="N4120" s="920">
        <f t="shared" si="417"/>
        <v>3</v>
      </c>
      <c r="O4120" s="918" t="str">
        <f t="shared" si="418"/>
        <v>Feb</v>
      </c>
      <c r="P4120" s="921">
        <f t="shared" si="419"/>
        <v>9</v>
      </c>
    </row>
    <row r="4121" spans="1:16" ht="15" hidden="1" customHeight="1">
      <c r="A4121" s="839">
        <v>64976849</v>
      </c>
      <c r="B4121" s="839">
        <v>2904</v>
      </c>
      <c r="C4121" s="906">
        <v>1425</v>
      </c>
      <c r="D4121" s="907">
        <v>46078</v>
      </c>
      <c r="E4121" s="839" t="s">
        <v>233</v>
      </c>
      <c r="F4121" s="839" t="s">
        <v>234</v>
      </c>
      <c r="G4121" s="916">
        <f>VLOOKUP($A4121,'Tech Litons'!$A:$I,8,FALSE)</f>
        <v>2.5040000000000001E-3</v>
      </c>
      <c r="H4121" s="917">
        <f>VLOOKUP($A4121,'Tech Litons'!$A:$I,9,FALSE)</f>
        <v>165</v>
      </c>
      <c r="I4121" s="917" t="str">
        <f>VLOOKUP($A4121,'Tech Litons'!$A:$C,3,0)</f>
        <v>Yasso Sticks</v>
      </c>
      <c r="J4121" s="918" t="str">
        <f t="shared" si="414"/>
        <v>2904Yasso Sticks</v>
      </c>
      <c r="K4121" s="919">
        <v>1</v>
      </c>
      <c r="L4121" s="920">
        <f t="shared" si="415"/>
        <v>1425</v>
      </c>
      <c r="M4121" s="920">
        <f t="shared" si="416"/>
        <v>3.5682</v>
      </c>
      <c r="N4121" s="920">
        <f t="shared" si="417"/>
        <v>8.6363636363636367</v>
      </c>
      <c r="O4121" s="918" t="str">
        <f t="shared" si="418"/>
        <v>Feb</v>
      </c>
      <c r="P4121" s="921">
        <f t="shared" si="419"/>
        <v>9</v>
      </c>
    </row>
    <row r="4122" spans="1:16" ht="15" hidden="1" customHeight="1">
      <c r="A4122" s="839">
        <v>64976849</v>
      </c>
      <c r="B4122" s="839">
        <v>2904</v>
      </c>
      <c r="C4122" s="906">
        <v>4708</v>
      </c>
      <c r="D4122" s="907">
        <v>46078</v>
      </c>
      <c r="E4122" s="839" t="s">
        <v>233</v>
      </c>
      <c r="F4122" s="839" t="s">
        <v>234</v>
      </c>
      <c r="G4122" s="916">
        <f>VLOOKUP($A4122,'Tech Litons'!$A:$I,8,FALSE)</f>
        <v>2.5040000000000001E-3</v>
      </c>
      <c r="H4122" s="917">
        <f>VLOOKUP($A4122,'Tech Litons'!$A:$I,9,FALSE)</f>
        <v>165</v>
      </c>
      <c r="I4122" s="917" t="str">
        <f>VLOOKUP($A4122,'Tech Litons'!$A:$C,3,0)</f>
        <v>Yasso Sticks</v>
      </c>
      <c r="J4122" s="918" t="str">
        <f t="shared" si="414"/>
        <v>2904Yasso Sticks</v>
      </c>
      <c r="K4122" s="919">
        <v>1</v>
      </c>
      <c r="L4122" s="920">
        <f t="shared" si="415"/>
        <v>4708</v>
      </c>
      <c r="M4122" s="920">
        <f t="shared" si="416"/>
        <v>11.788832000000001</v>
      </c>
      <c r="N4122" s="920">
        <f t="shared" si="417"/>
        <v>28.533333333333335</v>
      </c>
      <c r="O4122" s="918" t="str">
        <f t="shared" si="418"/>
        <v>Feb</v>
      </c>
      <c r="P4122" s="921">
        <f t="shared" si="419"/>
        <v>9</v>
      </c>
    </row>
    <row r="4123" spans="1:16" ht="15" hidden="1" customHeight="1">
      <c r="A4123" s="839">
        <v>64976849</v>
      </c>
      <c r="B4123" s="839">
        <v>2904</v>
      </c>
      <c r="C4123" s="906">
        <v>5260</v>
      </c>
      <c r="D4123" s="907">
        <v>46079</v>
      </c>
      <c r="E4123" s="839" t="s">
        <v>233</v>
      </c>
      <c r="F4123" s="839" t="s">
        <v>234</v>
      </c>
      <c r="G4123" s="916">
        <f>VLOOKUP($A4123,'Tech Litons'!$A:$I,8,FALSE)</f>
        <v>2.5040000000000001E-3</v>
      </c>
      <c r="H4123" s="917">
        <f>VLOOKUP($A4123,'Tech Litons'!$A:$I,9,FALSE)</f>
        <v>165</v>
      </c>
      <c r="I4123" s="917" t="str">
        <f>VLOOKUP($A4123,'Tech Litons'!$A:$C,3,0)</f>
        <v>Yasso Sticks</v>
      </c>
      <c r="J4123" s="918" t="str">
        <f t="shared" si="414"/>
        <v>2904Yasso Sticks</v>
      </c>
      <c r="K4123" s="919">
        <v>1</v>
      </c>
      <c r="L4123" s="920">
        <f t="shared" si="415"/>
        <v>5260</v>
      </c>
      <c r="M4123" s="920">
        <f t="shared" si="416"/>
        <v>13.171040000000001</v>
      </c>
      <c r="N4123" s="920">
        <f t="shared" si="417"/>
        <v>31.878787878787879</v>
      </c>
      <c r="O4123" s="918" t="str">
        <f t="shared" si="418"/>
        <v>Feb</v>
      </c>
      <c r="P4123" s="921">
        <f t="shared" si="419"/>
        <v>9</v>
      </c>
    </row>
    <row r="4124" spans="1:16" ht="15" hidden="1" customHeight="1">
      <c r="A4124" s="839">
        <v>64976849</v>
      </c>
      <c r="B4124" s="839">
        <v>2904</v>
      </c>
      <c r="C4124" s="906">
        <v>2708</v>
      </c>
      <c r="D4124" s="907">
        <v>46079</v>
      </c>
      <c r="E4124" s="839" t="s">
        <v>233</v>
      </c>
      <c r="F4124" s="839" t="s">
        <v>234</v>
      </c>
      <c r="G4124" s="916">
        <f>VLOOKUP($A4124,'Tech Litons'!$A:$I,8,FALSE)</f>
        <v>2.5040000000000001E-3</v>
      </c>
      <c r="H4124" s="917">
        <f>VLOOKUP($A4124,'Tech Litons'!$A:$I,9,FALSE)</f>
        <v>165</v>
      </c>
      <c r="I4124" s="917" t="str">
        <f>VLOOKUP($A4124,'Tech Litons'!$A:$C,3,0)</f>
        <v>Yasso Sticks</v>
      </c>
      <c r="J4124" s="918" t="str">
        <f t="shared" si="414"/>
        <v>2904Yasso Sticks</v>
      </c>
      <c r="K4124" s="919">
        <v>1</v>
      </c>
      <c r="L4124" s="920">
        <f t="shared" si="415"/>
        <v>2708</v>
      </c>
      <c r="M4124" s="920">
        <f t="shared" si="416"/>
        <v>6.7808320000000002</v>
      </c>
      <c r="N4124" s="920">
        <f t="shared" si="417"/>
        <v>16.412121212121214</v>
      </c>
      <c r="O4124" s="918" t="str">
        <f t="shared" si="418"/>
        <v>Feb</v>
      </c>
      <c r="P4124" s="921">
        <f t="shared" si="419"/>
        <v>9</v>
      </c>
    </row>
    <row r="4125" spans="1:16" ht="15" hidden="1" customHeight="1">
      <c r="A4125" s="839">
        <v>64976849</v>
      </c>
      <c r="B4125" s="839">
        <v>2904</v>
      </c>
      <c r="C4125" s="906">
        <v>6930</v>
      </c>
      <c r="D4125" s="907">
        <v>46080</v>
      </c>
      <c r="E4125" s="839" t="s">
        <v>233</v>
      </c>
      <c r="F4125" s="839" t="s">
        <v>234</v>
      </c>
      <c r="G4125" s="916">
        <f>VLOOKUP($A4125,'Tech Litons'!$A:$I,8,FALSE)</f>
        <v>2.5040000000000001E-3</v>
      </c>
      <c r="H4125" s="917">
        <f>VLOOKUP($A4125,'Tech Litons'!$A:$I,9,FALSE)</f>
        <v>165</v>
      </c>
      <c r="I4125" s="917" t="str">
        <f>VLOOKUP($A4125,'Tech Litons'!$A:$C,3,0)</f>
        <v>Yasso Sticks</v>
      </c>
      <c r="J4125" s="918" t="str">
        <f t="shared" si="414"/>
        <v>2904Yasso Sticks</v>
      </c>
      <c r="K4125" s="919">
        <v>1</v>
      </c>
      <c r="L4125" s="920">
        <f t="shared" si="415"/>
        <v>6930</v>
      </c>
      <c r="M4125" s="920">
        <f t="shared" si="416"/>
        <v>17.352720000000001</v>
      </c>
      <c r="N4125" s="920">
        <f t="shared" si="417"/>
        <v>42</v>
      </c>
      <c r="O4125" s="918" t="str">
        <f t="shared" si="418"/>
        <v>Feb</v>
      </c>
      <c r="P4125" s="921">
        <f t="shared" si="419"/>
        <v>9</v>
      </c>
    </row>
    <row r="4126" spans="1:16" ht="15" hidden="1" customHeight="1">
      <c r="A4126" s="839">
        <v>64976849</v>
      </c>
      <c r="B4126" s="839">
        <v>2904</v>
      </c>
      <c r="C4126" s="906">
        <v>2083</v>
      </c>
      <c r="D4126" s="907">
        <v>46080</v>
      </c>
      <c r="E4126" s="839" t="s">
        <v>233</v>
      </c>
      <c r="F4126" s="839" t="s">
        <v>234</v>
      </c>
      <c r="G4126" s="916">
        <f>VLOOKUP($A4126,'Tech Litons'!$A:$I,8,FALSE)</f>
        <v>2.5040000000000001E-3</v>
      </c>
      <c r="H4126" s="917">
        <f>VLOOKUP($A4126,'Tech Litons'!$A:$I,9,FALSE)</f>
        <v>165</v>
      </c>
      <c r="I4126" s="917" t="str">
        <f>VLOOKUP($A4126,'Tech Litons'!$A:$C,3,0)</f>
        <v>Yasso Sticks</v>
      </c>
      <c r="J4126" s="918" t="str">
        <f t="shared" si="414"/>
        <v>2904Yasso Sticks</v>
      </c>
      <c r="K4126" s="919">
        <v>1</v>
      </c>
      <c r="L4126" s="920">
        <f t="shared" si="415"/>
        <v>2083</v>
      </c>
      <c r="M4126" s="920">
        <f t="shared" si="416"/>
        <v>5.2158320000000007</v>
      </c>
      <c r="N4126" s="920">
        <f t="shared" si="417"/>
        <v>12.624242424242425</v>
      </c>
      <c r="O4126" s="918" t="str">
        <f t="shared" si="418"/>
        <v>Feb</v>
      </c>
      <c r="P4126" s="921">
        <f t="shared" si="419"/>
        <v>9</v>
      </c>
    </row>
    <row r="4127" spans="1:16" ht="15" hidden="1" customHeight="1">
      <c r="A4127" s="839">
        <v>64976851</v>
      </c>
      <c r="B4127" s="839">
        <v>2904</v>
      </c>
      <c r="C4127" s="906">
        <v>2805</v>
      </c>
      <c r="D4127" s="907">
        <v>46104</v>
      </c>
      <c r="E4127" s="839" t="s">
        <v>592</v>
      </c>
      <c r="F4127" s="839" t="s">
        <v>234</v>
      </c>
      <c r="G4127" s="916">
        <f>VLOOKUP($A4127,'Tech Litons'!$A:$I,8,FALSE)</f>
        <v>2.5040000000000001E-3</v>
      </c>
      <c r="H4127" s="917">
        <f>VLOOKUP($A4127,'Tech Litons'!$A:$I,9,FALSE)</f>
        <v>165</v>
      </c>
      <c r="I4127" s="917" t="str">
        <f>VLOOKUP($A4127,'Tech Litons'!$A:$C,3,0)</f>
        <v>Yasso Sticks</v>
      </c>
      <c r="J4127" s="918" t="str">
        <f t="shared" si="414"/>
        <v>2904Yasso Sticks</v>
      </c>
      <c r="K4127" s="919">
        <v>1</v>
      </c>
      <c r="L4127" s="920">
        <f t="shared" si="415"/>
        <v>2805</v>
      </c>
      <c r="M4127" s="920">
        <f t="shared" si="416"/>
        <v>7.0237200000000009</v>
      </c>
      <c r="N4127" s="920">
        <f t="shared" si="417"/>
        <v>17</v>
      </c>
      <c r="O4127" s="918" t="str">
        <f t="shared" si="418"/>
        <v>Mar</v>
      </c>
      <c r="P4127" s="921">
        <f t="shared" si="419"/>
        <v>13</v>
      </c>
    </row>
    <row r="4128" spans="1:16" ht="15" hidden="1" customHeight="1">
      <c r="A4128" s="839">
        <v>64976851</v>
      </c>
      <c r="B4128" s="839">
        <v>2904</v>
      </c>
      <c r="C4128" s="906">
        <v>3436</v>
      </c>
      <c r="D4128" s="907">
        <v>46105</v>
      </c>
      <c r="E4128" s="839" t="s">
        <v>592</v>
      </c>
      <c r="F4128" s="839" t="s">
        <v>234</v>
      </c>
      <c r="G4128" s="916">
        <f>VLOOKUP($A4128,'Tech Litons'!$A:$I,8,FALSE)</f>
        <v>2.5040000000000001E-3</v>
      </c>
      <c r="H4128" s="917">
        <f>VLOOKUP($A4128,'Tech Litons'!$A:$I,9,FALSE)</f>
        <v>165</v>
      </c>
      <c r="I4128" s="917" t="str">
        <f>VLOOKUP($A4128,'Tech Litons'!$A:$C,3,0)</f>
        <v>Yasso Sticks</v>
      </c>
      <c r="J4128" s="918" t="str">
        <f t="shared" si="414"/>
        <v>2904Yasso Sticks</v>
      </c>
      <c r="K4128" s="919">
        <v>1</v>
      </c>
      <c r="L4128" s="920">
        <f t="shared" si="415"/>
        <v>3436</v>
      </c>
      <c r="M4128" s="920">
        <f t="shared" si="416"/>
        <v>8.6037440000000007</v>
      </c>
      <c r="N4128" s="920">
        <f t="shared" si="417"/>
        <v>20.824242424242424</v>
      </c>
      <c r="O4128" s="918" t="str">
        <f t="shared" si="418"/>
        <v>Mar</v>
      </c>
      <c r="P4128" s="921">
        <f t="shared" si="419"/>
        <v>13</v>
      </c>
    </row>
    <row r="4129" spans="1:16" ht="15" hidden="1" customHeight="1">
      <c r="A4129" s="839">
        <v>64976851</v>
      </c>
      <c r="B4129" s="839">
        <v>2904</v>
      </c>
      <c r="C4129" s="906">
        <v>5558</v>
      </c>
      <c r="D4129" s="907">
        <v>46105</v>
      </c>
      <c r="E4129" s="839" t="s">
        <v>592</v>
      </c>
      <c r="F4129" s="839" t="s">
        <v>234</v>
      </c>
      <c r="G4129" s="916">
        <f>VLOOKUP($A4129,'Tech Litons'!$A:$I,8,FALSE)</f>
        <v>2.5040000000000001E-3</v>
      </c>
      <c r="H4129" s="917">
        <f>VLOOKUP($A4129,'Tech Litons'!$A:$I,9,FALSE)</f>
        <v>165</v>
      </c>
      <c r="I4129" s="917" t="str">
        <f>VLOOKUP($A4129,'Tech Litons'!$A:$C,3,0)</f>
        <v>Yasso Sticks</v>
      </c>
      <c r="J4129" s="918" t="str">
        <f t="shared" si="414"/>
        <v>2904Yasso Sticks</v>
      </c>
      <c r="K4129" s="919">
        <v>1</v>
      </c>
      <c r="L4129" s="920">
        <f t="shared" si="415"/>
        <v>5558</v>
      </c>
      <c r="M4129" s="920">
        <f t="shared" si="416"/>
        <v>13.917232</v>
      </c>
      <c r="N4129" s="920">
        <f t="shared" si="417"/>
        <v>33.684848484848487</v>
      </c>
      <c r="O4129" s="918" t="str">
        <f t="shared" si="418"/>
        <v>Mar</v>
      </c>
      <c r="P4129" s="921">
        <f t="shared" si="419"/>
        <v>13</v>
      </c>
    </row>
    <row r="4130" spans="1:16" ht="15" hidden="1" customHeight="1">
      <c r="A4130" s="839">
        <v>64979407</v>
      </c>
      <c r="B4130" s="839">
        <v>2904</v>
      </c>
      <c r="C4130" s="906">
        <v>1325</v>
      </c>
      <c r="D4130" s="907">
        <v>46079</v>
      </c>
      <c r="E4130" s="839" t="s">
        <v>284</v>
      </c>
      <c r="F4130" s="839" t="s">
        <v>231</v>
      </c>
      <c r="G4130" s="916">
        <f>VLOOKUP($A4130,'Tech Litons'!$A:$I,8,FALSE)</f>
        <v>4.2560000000000002E-3</v>
      </c>
      <c r="H4130" s="917">
        <f>VLOOKUP($A4130,'Tech Litons'!$A:$I,9,FALSE)</f>
        <v>143</v>
      </c>
      <c r="I4130" s="917" t="str">
        <f>VLOOKUP($A4130,'Tech Litons'!$A:$C,3,0)</f>
        <v>MG Sticks</v>
      </c>
      <c r="J4130" s="918" t="str">
        <f t="shared" si="414"/>
        <v>2904MG Sticks</v>
      </c>
      <c r="K4130" s="919">
        <v>1</v>
      </c>
      <c r="L4130" s="920">
        <f t="shared" si="415"/>
        <v>1325</v>
      </c>
      <c r="M4130" s="920">
        <f t="shared" si="416"/>
        <v>5.6392000000000007</v>
      </c>
      <c r="N4130" s="920">
        <f t="shared" si="417"/>
        <v>9.265734265734265</v>
      </c>
      <c r="O4130" s="918" t="str">
        <f t="shared" si="418"/>
        <v>Feb</v>
      </c>
      <c r="P4130" s="921">
        <f t="shared" si="419"/>
        <v>9</v>
      </c>
    </row>
    <row r="4131" spans="1:16" ht="15" hidden="1" customHeight="1">
      <c r="A4131" s="839">
        <v>64979407</v>
      </c>
      <c r="B4131" s="839">
        <v>2904</v>
      </c>
      <c r="C4131" s="906">
        <v>4004</v>
      </c>
      <c r="D4131" s="907">
        <v>46080</v>
      </c>
      <c r="E4131" s="839" t="s">
        <v>284</v>
      </c>
      <c r="F4131" s="839" t="s">
        <v>231</v>
      </c>
      <c r="G4131" s="916">
        <f>VLOOKUP($A4131,'Tech Litons'!$A:$I,8,FALSE)</f>
        <v>4.2560000000000002E-3</v>
      </c>
      <c r="H4131" s="917">
        <f>VLOOKUP($A4131,'Tech Litons'!$A:$I,9,FALSE)</f>
        <v>143</v>
      </c>
      <c r="I4131" s="917" t="str">
        <f>VLOOKUP($A4131,'Tech Litons'!$A:$C,3,0)</f>
        <v>MG Sticks</v>
      </c>
      <c r="J4131" s="918" t="str">
        <f t="shared" si="414"/>
        <v>2904MG Sticks</v>
      </c>
      <c r="K4131" s="919">
        <v>1</v>
      </c>
      <c r="L4131" s="920">
        <f t="shared" si="415"/>
        <v>4004</v>
      </c>
      <c r="M4131" s="920">
        <f t="shared" si="416"/>
        <v>17.041024</v>
      </c>
      <c r="N4131" s="920">
        <f t="shared" si="417"/>
        <v>28</v>
      </c>
      <c r="O4131" s="918" t="str">
        <f t="shared" si="418"/>
        <v>Feb</v>
      </c>
      <c r="P4131" s="921">
        <f t="shared" si="419"/>
        <v>9</v>
      </c>
    </row>
    <row r="4132" spans="1:16" ht="15" hidden="1" customHeight="1">
      <c r="A4132" s="839">
        <v>64979407</v>
      </c>
      <c r="B4132" s="839">
        <v>2904</v>
      </c>
      <c r="C4132" s="906">
        <v>5148</v>
      </c>
      <c r="D4132" s="907">
        <v>46077</v>
      </c>
      <c r="E4132" s="839" t="s">
        <v>284</v>
      </c>
      <c r="F4132" s="839" t="s">
        <v>231</v>
      </c>
      <c r="G4132" s="916">
        <f>VLOOKUP($A4132,'Tech Litons'!$A:$I,8,FALSE)</f>
        <v>4.2560000000000002E-3</v>
      </c>
      <c r="H4132" s="917">
        <f>VLOOKUP($A4132,'Tech Litons'!$A:$I,9,FALSE)</f>
        <v>143</v>
      </c>
      <c r="I4132" s="917" t="str">
        <f>VLOOKUP($A4132,'Tech Litons'!$A:$C,3,0)</f>
        <v>MG Sticks</v>
      </c>
      <c r="J4132" s="918" t="str">
        <f t="shared" si="414"/>
        <v>2904MG Sticks</v>
      </c>
      <c r="K4132" s="919">
        <v>1</v>
      </c>
      <c r="L4132" s="920">
        <f t="shared" si="415"/>
        <v>5148</v>
      </c>
      <c r="M4132" s="920">
        <f t="shared" si="416"/>
        <v>21.909888000000002</v>
      </c>
      <c r="N4132" s="920">
        <f t="shared" si="417"/>
        <v>36</v>
      </c>
      <c r="O4132" s="918" t="str">
        <f t="shared" si="418"/>
        <v>Feb</v>
      </c>
      <c r="P4132" s="921">
        <f t="shared" si="419"/>
        <v>9</v>
      </c>
    </row>
    <row r="4133" spans="1:16" ht="15" hidden="1" customHeight="1">
      <c r="A4133" s="839">
        <v>64979407</v>
      </c>
      <c r="B4133" s="839">
        <v>2904</v>
      </c>
      <c r="C4133" s="906">
        <v>4121</v>
      </c>
      <c r="D4133" s="907">
        <v>46078</v>
      </c>
      <c r="E4133" s="839" t="s">
        <v>284</v>
      </c>
      <c r="F4133" s="839" t="s">
        <v>231</v>
      </c>
      <c r="G4133" s="916">
        <f>VLOOKUP($A4133,'Tech Litons'!$A:$I,8,FALSE)</f>
        <v>4.2560000000000002E-3</v>
      </c>
      <c r="H4133" s="917">
        <f>VLOOKUP($A4133,'Tech Litons'!$A:$I,9,FALSE)</f>
        <v>143</v>
      </c>
      <c r="I4133" s="917" t="str">
        <f>VLOOKUP($A4133,'Tech Litons'!$A:$C,3,0)</f>
        <v>MG Sticks</v>
      </c>
      <c r="J4133" s="918" t="str">
        <f t="shared" si="414"/>
        <v>2904MG Sticks</v>
      </c>
      <c r="K4133" s="919">
        <v>1</v>
      </c>
      <c r="L4133" s="920">
        <f t="shared" si="415"/>
        <v>4121</v>
      </c>
      <c r="M4133" s="920">
        <f t="shared" si="416"/>
        <v>17.538976000000002</v>
      </c>
      <c r="N4133" s="920">
        <f t="shared" si="417"/>
        <v>28.818181818181817</v>
      </c>
      <c r="O4133" s="918" t="str">
        <f t="shared" si="418"/>
        <v>Feb</v>
      </c>
      <c r="P4133" s="921">
        <f t="shared" si="419"/>
        <v>9</v>
      </c>
    </row>
    <row r="4134" spans="1:16" ht="15" hidden="1" customHeight="1">
      <c r="A4134" s="839">
        <v>64979407</v>
      </c>
      <c r="B4134" s="839">
        <v>2904</v>
      </c>
      <c r="C4134" s="906">
        <v>715</v>
      </c>
      <c r="D4134" s="907">
        <v>46077</v>
      </c>
      <c r="E4134" s="839" t="s">
        <v>284</v>
      </c>
      <c r="F4134" s="839" t="s">
        <v>231</v>
      </c>
      <c r="G4134" s="916">
        <f>VLOOKUP($A4134,'Tech Litons'!$A:$I,8,FALSE)</f>
        <v>4.2560000000000002E-3</v>
      </c>
      <c r="H4134" s="917">
        <f>VLOOKUP($A4134,'Tech Litons'!$A:$I,9,FALSE)</f>
        <v>143</v>
      </c>
      <c r="I4134" s="917" t="str">
        <f>VLOOKUP($A4134,'Tech Litons'!$A:$C,3,0)</f>
        <v>MG Sticks</v>
      </c>
      <c r="J4134" s="918" t="str">
        <f t="shared" si="414"/>
        <v>2904MG Sticks</v>
      </c>
      <c r="K4134" s="919">
        <v>1</v>
      </c>
      <c r="L4134" s="920">
        <f t="shared" si="415"/>
        <v>715</v>
      </c>
      <c r="M4134" s="920">
        <f t="shared" si="416"/>
        <v>3.04304</v>
      </c>
      <c r="N4134" s="920">
        <f t="shared" si="417"/>
        <v>5</v>
      </c>
      <c r="O4134" s="918" t="str">
        <f t="shared" si="418"/>
        <v>Feb</v>
      </c>
      <c r="P4134" s="921">
        <f t="shared" si="419"/>
        <v>9</v>
      </c>
    </row>
    <row r="4135" spans="1:16" ht="15" hidden="1" customHeight="1">
      <c r="A4135" s="839">
        <v>64979407</v>
      </c>
      <c r="B4135" s="839">
        <v>2904</v>
      </c>
      <c r="C4135" s="906">
        <v>3861</v>
      </c>
      <c r="D4135" s="907">
        <v>46080</v>
      </c>
      <c r="E4135" s="839" t="s">
        <v>284</v>
      </c>
      <c r="F4135" s="839" t="s">
        <v>231</v>
      </c>
      <c r="G4135" s="916">
        <f>VLOOKUP($A4135,'Tech Litons'!$A:$I,8,FALSE)</f>
        <v>4.2560000000000002E-3</v>
      </c>
      <c r="H4135" s="917">
        <f>VLOOKUP($A4135,'Tech Litons'!$A:$I,9,FALSE)</f>
        <v>143</v>
      </c>
      <c r="I4135" s="917" t="str">
        <f>VLOOKUP($A4135,'Tech Litons'!$A:$C,3,0)</f>
        <v>MG Sticks</v>
      </c>
      <c r="J4135" s="918" t="str">
        <f t="shared" si="414"/>
        <v>2904MG Sticks</v>
      </c>
      <c r="K4135" s="919">
        <v>1</v>
      </c>
      <c r="L4135" s="920">
        <f t="shared" si="415"/>
        <v>3861</v>
      </c>
      <c r="M4135" s="920">
        <f t="shared" si="416"/>
        <v>16.432416</v>
      </c>
      <c r="N4135" s="920">
        <f t="shared" si="417"/>
        <v>27</v>
      </c>
      <c r="O4135" s="918" t="str">
        <f t="shared" si="418"/>
        <v>Feb</v>
      </c>
      <c r="P4135" s="921">
        <f t="shared" si="419"/>
        <v>9</v>
      </c>
    </row>
    <row r="4136" spans="1:16" ht="15" hidden="1" customHeight="1">
      <c r="A4136" s="839">
        <v>64979407</v>
      </c>
      <c r="B4136" s="839">
        <v>2904</v>
      </c>
      <c r="C4136" s="906">
        <v>5005</v>
      </c>
      <c r="D4136" s="907">
        <v>46081</v>
      </c>
      <c r="E4136" s="839" t="s">
        <v>284</v>
      </c>
      <c r="F4136" s="839" t="s">
        <v>231</v>
      </c>
      <c r="G4136" s="916">
        <f>VLOOKUP($A4136,'Tech Litons'!$A:$I,8,FALSE)</f>
        <v>4.2560000000000002E-3</v>
      </c>
      <c r="H4136" s="917">
        <f>VLOOKUP($A4136,'Tech Litons'!$A:$I,9,FALSE)</f>
        <v>143</v>
      </c>
      <c r="I4136" s="917" t="str">
        <f>VLOOKUP($A4136,'Tech Litons'!$A:$C,3,0)</f>
        <v>MG Sticks</v>
      </c>
      <c r="J4136" s="918" t="str">
        <f t="shared" si="414"/>
        <v>2904MG Sticks</v>
      </c>
      <c r="K4136" s="919">
        <v>1</v>
      </c>
      <c r="L4136" s="920">
        <f t="shared" si="415"/>
        <v>5005</v>
      </c>
      <c r="M4136" s="920">
        <f t="shared" si="416"/>
        <v>21.301280000000002</v>
      </c>
      <c r="N4136" s="920">
        <f t="shared" si="417"/>
        <v>35</v>
      </c>
      <c r="O4136" s="918" t="str">
        <f t="shared" si="418"/>
        <v>Feb</v>
      </c>
      <c r="P4136" s="921">
        <f t="shared" si="419"/>
        <v>9</v>
      </c>
    </row>
    <row r="4137" spans="1:16" ht="15" hidden="1" customHeight="1">
      <c r="A4137" s="839">
        <v>64979407</v>
      </c>
      <c r="B4137" s="839">
        <v>2904</v>
      </c>
      <c r="C4137" s="906">
        <v>4433</v>
      </c>
      <c r="D4137" s="907">
        <v>46078</v>
      </c>
      <c r="E4137" s="839" t="s">
        <v>284</v>
      </c>
      <c r="F4137" s="839" t="s">
        <v>231</v>
      </c>
      <c r="G4137" s="916">
        <f>VLOOKUP($A4137,'Tech Litons'!$A:$I,8,FALSE)</f>
        <v>4.2560000000000002E-3</v>
      </c>
      <c r="H4137" s="917">
        <f>VLOOKUP($A4137,'Tech Litons'!$A:$I,9,FALSE)</f>
        <v>143</v>
      </c>
      <c r="I4137" s="917" t="str">
        <f>VLOOKUP($A4137,'Tech Litons'!$A:$C,3,0)</f>
        <v>MG Sticks</v>
      </c>
      <c r="J4137" s="918" t="str">
        <f t="shared" si="414"/>
        <v>2904MG Sticks</v>
      </c>
      <c r="K4137" s="919">
        <v>1</v>
      </c>
      <c r="L4137" s="920">
        <f t="shared" si="415"/>
        <v>4433</v>
      </c>
      <c r="M4137" s="920">
        <f t="shared" si="416"/>
        <v>18.866848000000001</v>
      </c>
      <c r="N4137" s="920">
        <f t="shared" si="417"/>
        <v>31</v>
      </c>
      <c r="O4137" s="918" t="str">
        <f t="shared" si="418"/>
        <v>Feb</v>
      </c>
      <c r="P4137" s="921">
        <f t="shared" si="419"/>
        <v>9</v>
      </c>
    </row>
    <row r="4138" spans="1:16" ht="15" hidden="1" customHeight="1">
      <c r="A4138" s="839">
        <v>64979407</v>
      </c>
      <c r="B4138" s="839">
        <v>2904</v>
      </c>
      <c r="C4138" s="906">
        <v>4240</v>
      </c>
      <c r="D4138" s="907">
        <v>46079</v>
      </c>
      <c r="E4138" s="839" t="s">
        <v>284</v>
      </c>
      <c r="F4138" s="839" t="s">
        <v>231</v>
      </c>
      <c r="G4138" s="916">
        <f>VLOOKUP($A4138,'Tech Litons'!$A:$I,8,FALSE)</f>
        <v>4.2560000000000002E-3</v>
      </c>
      <c r="H4138" s="917">
        <f>VLOOKUP($A4138,'Tech Litons'!$A:$I,9,FALSE)</f>
        <v>143</v>
      </c>
      <c r="I4138" s="917" t="str">
        <f>VLOOKUP($A4138,'Tech Litons'!$A:$C,3,0)</f>
        <v>MG Sticks</v>
      </c>
      <c r="J4138" s="918" t="str">
        <f t="shared" si="414"/>
        <v>2904MG Sticks</v>
      </c>
      <c r="K4138" s="919">
        <v>1</v>
      </c>
      <c r="L4138" s="920">
        <f t="shared" si="415"/>
        <v>4240</v>
      </c>
      <c r="M4138" s="920">
        <f t="shared" si="416"/>
        <v>18.045439999999999</v>
      </c>
      <c r="N4138" s="920">
        <f t="shared" si="417"/>
        <v>29.65034965034965</v>
      </c>
      <c r="O4138" s="918" t="str">
        <f t="shared" si="418"/>
        <v>Feb</v>
      </c>
      <c r="P4138" s="921">
        <f t="shared" si="419"/>
        <v>9</v>
      </c>
    </row>
    <row r="4139" spans="1:16" ht="15" hidden="1" customHeight="1">
      <c r="A4139" s="839">
        <v>64979407</v>
      </c>
      <c r="B4139" s="839">
        <v>2904</v>
      </c>
      <c r="C4139" s="906">
        <v>6435</v>
      </c>
      <c r="D4139" s="907">
        <v>46081</v>
      </c>
      <c r="E4139" s="839" t="s">
        <v>284</v>
      </c>
      <c r="F4139" s="839" t="s">
        <v>231</v>
      </c>
      <c r="G4139" s="916">
        <f>VLOOKUP($A4139,'Tech Litons'!$A:$I,8,FALSE)</f>
        <v>4.2560000000000002E-3</v>
      </c>
      <c r="H4139" s="917">
        <f>VLOOKUP($A4139,'Tech Litons'!$A:$I,9,FALSE)</f>
        <v>143</v>
      </c>
      <c r="I4139" s="917" t="str">
        <f>VLOOKUP($A4139,'Tech Litons'!$A:$C,3,0)</f>
        <v>MG Sticks</v>
      </c>
      <c r="J4139" s="918" t="str">
        <f t="shared" si="414"/>
        <v>2904MG Sticks</v>
      </c>
      <c r="K4139" s="919">
        <v>1</v>
      </c>
      <c r="L4139" s="920">
        <f t="shared" si="415"/>
        <v>6435</v>
      </c>
      <c r="M4139" s="920">
        <f t="shared" si="416"/>
        <v>27.387360000000001</v>
      </c>
      <c r="N4139" s="920">
        <f t="shared" si="417"/>
        <v>45</v>
      </c>
      <c r="O4139" s="918" t="str">
        <f t="shared" si="418"/>
        <v>Feb</v>
      </c>
      <c r="P4139" s="921">
        <f t="shared" si="419"/>
        <v>9</v>
      </c>
    </row>
    <row r="4140" spans="1:16" ht="15" hidden="1" customHeight="1">
      <c r="A4140" s="839">
        <v>64979407</v>
      </c>
      <c r="B4140" s="839">
        <v>2904</v>
      </c>
      <c r="C4140" s="906">
        <v>1056</v>
      </c>
      <c r="D4140" s="907">
        <v>46082</v>
      </c>
      <c r="E4140" s="839" t="s">
        <v>284</v>
      </c>
      <c r="F4140" s="839" t="s">
        <v>231</v>
      </c>
      <c r="G4140" s="916">
        <f>VLOOKUP($A4140,'Tech Litons'!$A:$I,8,FALSE)</f>
        <v>4.2560000000000002E-3</v>
      </c>
      <c r="H4140" s="917">
        <f>VLOOKUP($A4140,'Tech Litons'!$A:$I,9,FALSE)</f>
        <v>143</v>
      </c>
      <c r="I4140" s="917" t="str">
        <f>VLOOKUP($A4140,'Tech Litons'!$A:$C,3,0)</f>
        <v>MG Sticks</v>
      </c>
      <c r="J4140" s="918" t="str">
        <f t="shared" si="414"/>
        <v>2904MG Sticks</v>
      </c>
      <c r="K4140" s="919">
        <v>1</v>
      </c>
      <c r="L4140" s="920">
        <f t="shared" si="415"/>
        <v>1056</v>
      </c>
      <c r="M4140" s="920">
        <f t="shared" si="416"/>
        <v>4.4943360000000006</v>
      </c>
      <c r="N4140" s="920">
        <f t="shared" si="417"/>
        <v>7.384615384615385</v>
      </c>
      <c r="O4140" s="918" t="str">
        <f t="shared" si="418"/>
        <v>Mar</v>
      </c>
      <c r="P4140" s="921">
        <f t="shared" si="419"/>
        <v>10</v>
      </c>
    </row>
    <row r="4141" spans="1:16" ht="15" hidden="1" customHeight="1">
      <c r="A4141" s="839">
        <v>64979407</v>
      </c>
      <c r="B4141" s="839">
        <v>2904</v>
      </c>
      <c r="C4141" s="906">
        <v>286</v>
      </c>
      <c r="D4141" s="907">
        <v>46083</v>
      </c>
      <c r="E4141" s="839" t="s">
        <v>284</v>
      </c>
      <c r="F4141" s="839" t="s">
        <v>231</v>
      </c>
      <c r="G4141" s="916">
        <f>VLOOKUP($A4141,'Tech Litons'!$A:$I,8,FALSE)</f>
        <v>4.2560000000000002E-3</v>
      </c>
      <c r="H4141" s="917">
        <f>VLOOKUP($A4141,'Tech Litons'!$A:$I,9,FALSE)</f>
        <v>143</v>
      </c>
      <c r="I4141" s="917" t="str">
        <f>VLOOKUP($A4141,'Tech Litons'!$A:$C,3,0)</f>
        <v>MG Sticks</v>
      </c>
      <c r="J4141" s="918" t="str">
        <f t="shared" si="414"/>
        <v>2904MG Sticks</v>
      </c>
      <c r="K4141" s="919">
        <v>1</v>
      </c>
      <c r="L4141" s="920">
        <f t="shared" si="415"/>
        <v>286</v>
      </c>
      <c r="M4141" s="920">
        <f t="shared" si="416"/>
        <v>1.2172160000000001</v>
      </c>
      <c r="N4141" s="920">
        <f t="shared" si="417"/>
        <v>2</v>
      </c>
      <c r="O4141" s="918" t="str">
        <f t="shared" si="418"/>
        <v>Mar</v>
      </c>
      <c r="P4141" s="921">
        <f t="shared" si="419"/>
        <v>10</v>
      </c>
    </row>
    <row r="4142" spans="1:16" ht="15" hidden="1" customHeight="1">
      <c r="A4142" s="839">
        <v>64984152</v>
      </c>
      <c r="B4142" s="839">
        <v>2904</v>
      </c>
      <c r="C4142" s="906">
        <v>-6</v>
      </c>
      <c r="D4142" s="907">
        <v>46094</v>
      </c>
      <c r="E4142" s="839" t="s">
        <v>396</v>
      </c>
      <c r="F4142" s="839" t="s">
        <v>40</v>
      </c>
      <c r="G4142" s="916">
        <f>VLOOKUP($A4142,'Tech Litons'!$A:$I,8,FALSE)</f>
        <v>3.4159999999999998E-3</v>
      </c>
      <c r="H4142" s="917">
        <f>VLOOKUP($A4142,'Tech Litons'!$A:$I,9,FALSE)</f>
        <v>240</v>
      </c>
      <c r="I4142" s="917" t="str">
        <f>VLOOKUP($A4142,'Tech Litons'!$A:$C,3,0)</f>
        <v>Sundaes</v>
      </c>
      <c r="J4142" s="918" t="str">
        <f t="shared" si="414"/>
        <v>2904Sundaes</v>
      </c>
      <c r="K4142" s="919">
        <v>1</v>
      </c>
      <c r="L4142" s="920">
        <f t="shared" si="415"/>
        <v>-6</v>
      </c>
      <c r="M4142" s="920">
        <f t="shared" si="416"/>
        <v>-2.0496E-2</v>
      </c>
      <c r="N4142" s="920">
        <f t="shared" si="417"/>
        <v>-2.5000000000000001E-2</v>
      </c>
      <c r="O4142" s="918" t="str">
        <f t="shared" si="418"/>
        <v>Mar</v>
      </c>
      <c r="P4142" s="921">
        <f t="shared" si="419"/>
        <v>11</v>
      </c>
    </row>
    <row r="4143" spans="1:16" ht="15" hidden="1" customHeight="1">
      <c r="A4143" s="839">
        <v>64986251</v>
      </c>
      <c r="B4143" s="839">
        <v>2904</v>
      </c>
      <c r="C4143" s="906">
        <v>-120</v>
      </c>
      <c r="D4143" s="907">
        <v>46078</v>
      </c>
      <c r="E4143" s="839" t="s">
        <v>313</v>
      </c>
      <c r="F4143" s="839" t="s">
        <v>40</v>
      </c>
      <c r="G4143" s="916">
        <f>VLOOKUP($A4143,'Tech Litons'!$A:$I,8,FALSE)</f>
        <v>3.4159999999999998E-3</v>
      </c>
      <c r="H4143" s="917">
        <f>VLOOKUP($A4143,'Tech Litons'!$A:$I,9,FALSE)</f>
        <v>240</v>
      </c>
      <c r="I4143" s="917" t="str">
        <f>VLOOKUP($A4143,'Tech Litons'!$A:$C,3,0)</f>
        <v>Sundaes</v>
      </c>
      <c r="J4143" s="918" t="str">
        <f t="shared" si="414"/>
        <v>2904Sundaes</v>
      </c>
      <c r="K4143" s="919">
        <v>1</v>
      </c>
      <c r="L4143" s="920">
        <f t="shared" si="415"/>
        <v>-120</v>
      </c>
      <c r="M4143" s="920">
        <f t="shared" si="416"/>
        <v>-0.40991999999999995</v>
      </c>
      <c r="N4143" s="920">
        <f t="shared" si="417"/>
        <v>-0.5</v>
      </c>
      <c r="O4143" s="918" t="str">
        <f t="shared" si="418"/>
        <v>Feb</v>
      </c>
      <c r="P4143" s="921">
        <f t="shared" si="419"/>
        <v>9</v>
      </c>
    </row>
    <row r="4144" spans="1:16" ht="15" hidden="1" customHeight="1">
      <c r="A4144" s="839">
        <v>64986251</v>
      </c>
      <c r="B4144" s="839">
        <v>2904</v>
      </c>
      <c r="C4144" s="906">
        <v>3118</v>
      </c>
      <c r="D4144" s="907">
        <v>46083</v>
      </c>
      <c r="E4144" s="839" t="s">
        <v>313</v>
      </c>
      <c r="F4144" s="839" t="s">
        <v>40</v>
      </c>
      <c r="G4144" s="916">
        <f>VLOOKUP($A4144,'Tech Litons'!$A:$I,8,FALSE)</f>
        <v>3.4159999999999998E-3</v>
      </c>
      <c r="H4144" s="917">
        <f>VLOOKUP($A4144,'Tech Litons'!$A:$I,9,FALSE)</f>
        <v>240</v>
      </c>
      <c r="I4144" s="917" t="str">
        <f>VLOOKUP($A4144,'Tech Litons'!$A:$C,3,0)</f>
        <v>Sundaes</v>
      </c>
      <c r="J4144" s="918" t="str">
        <f t="shared" si="414"/>
        <v>2904Sundaes</v>
      </c>
      <c r="K4144" s="919">
        <v>1</v>
      </c>
      <c r="L4144" s="920">
        <f t="shared" si="415"/>
        <v>3118</v>
      </c>
      <c r="M4144" s="920">
        <f t="shared" si="416"/>
        <v>10.651088</v>
      </c>
      <c r="N4144" s="920">
        <f t="shared" si="417"/>
        <v>12.991666666666667</v>
      </c>
      <c r="O4144" s="918" t="str">
        <f t="shared" si="418"/>
        <v>Mar</v>
      </c>
      <c r="P4144" s="921">
        <f t="shared" si="419"/>
        <v>10</v>
      </c>
    </row>
    <row r="4145" spans="1:16" ht="15" hidden="1" customHeight="1">
      <c r="A4145" s="839">
        <v>64986251</v>
      </c>
      <c r="B4145" s="839">
        <v>2904</v>
      </c>
      <c r="C4145" s="906">
        <v>9425</v>
      </c>
      <c r="D4145" s="907">
        <v>46084</v>
      </c>
      <c r="E4145" s="839" t="s">
        <v>313</v>
      </c>
      <c r="F4145" s="839" t="s">
        <v>40</v>
      </c>
      <c r="G4145" s="916">
        <f>VLOOKUP($A4145,'Tech Litons'!$A:$I,8,FALSE)</f>
        <v>3.4159999999999998E-3</v>
      </c>
      <c r="H4145" s="917">
        <f>VLOOKUP($A4145,'Tech Litons'!$A:$I,9,FALSE)</f>
        <v>240</v>
      </c>
      <c r="I4145" s="917" t="str">
        <f>VLOOKUP($A4145,'Tech Litons'!$A:$C,3,0)</f>
        <v>Sundaes</v>
      </c>
      <c r="J4145" s="918" t="str">
        <f t="shared" si="414"/>
        <v>2904Sundaes</v>
      </c>
      <c r="K4145" s="919">
        <v>1</v>
      </c>
      <c r="L4145" s="920">
        <f t="shared" si="415"/>
        <v>9425</v>
      </c>
      <c r="M4145" s="920">
        <f t="shared" si="416"/>
        <v>32.195799999999998</v>
      </c>
      <c r="N4145" s="920">
        <f t="shared" si="417"/>
        <v>39.270833333333336</v>
      </c>
      <c r="O4145" s="918" t="str">
        <f t="shared" si="418"/>
        <v>Mar</v>
      </c>
      <c r="P4145" s="921">
        <f t="shared" si="419"/>
        <v>10</v>
      </c>
    </row>
    <row r="4146" spans="1:16" ht="15" hidden="1" customHeight="1">
      <c r="A4146" s="839">
        <v>64986251</v>
      </c>
      <c r="B4146" s="839">
        <v>2904</v>
      </c>
      <c r="C4146" s="906">
        <v>8258</v>
      </c>
      <c r="D4146" s="907">
        <v>46084</v>
      </c>
      <c r="E4146" s="839" t="s">
        <v>313</v>
      </c>
      <c r="F4146" s="839" t="s">
        <v>40</v>
      </c>
      <c r="G4146" s="916">
        <f>VLOOKUP($A4146,'Tech Litons'!$A:$I,8,FALSE)</f>
        <v>3.4159999999999998E-3</v>
      </c>
      <c r="H4146" s="917">
        <f>VLOOKUP($A4146,'Tech Litons'!$A:$I,9,FALSE)</f>
        <v>240</v>
      </c>
      <c r="I4146" s="917" t="str">
        <f>VLOOKUP($A4146,'Tech Litons'!$A:$C,3,0)</f>
        <v>Sundaes</v>
      </c>
      <c r="J4146" s="918" t="str">
        <f t="shared" ref="J4146:J4209" si="420">B4146&amp;I4146</f>
        <v>2904Sundaes</v>
      </c>
      <c r="K4146" s="919">
        <v>1</v>
      </c>
      <c r="L4146" s="920">
        <f t="shared" ref="L4146:L4209" si="421">C4146*$K4146</f>
        <v>8258</v>
      </c>
      <c r="M4146" s="920">
        <f t="shared" ref="M4146:M4209" si="422">L4146*G4146</f>
        <v>28.209327999999999</v>
      </c>
      <c r="N4146" s="920">
        <f t="shared" ref="N4146:N4209" si="423">L4146/H4146</f>
        <v>34.408333333333331</v>
      </c>
      <c r="O4146" s="918" t="str">
        <f t="shared" ref="O4146:O4209" si="424">TEXT(D4146,"MMM")</f>
        <v>Mar</v>
      </c>
      <c r="P4146" s="921">
        <f t="shared" ref="P4146:P4209" si="425">WEEKNUM(D4146)</f>
        <v>10</v>
      </c>
    </row>
    <row r="4147" spans="1:16" ht="15" hidden="1" customHeight="1">
      <c r="A4147" s="839">
        <v>64986251</v>
      </c>
      <c r="B4147" s="839">
        <v>2904</v>
      </c>
      <c r="C4147" s="906">
        <v>10457</v>
      </c>
      <c r="D4147" s="907">
        <v>46085</v>
      </c>
      <c r="E4147" s="839" t="s">
        <v>313</v>
      </c>
      <c r="F4147" s="839" t="s">
        <v>40</v>
      </c>
      <c r="G4147" s="916">
        <f>VLOOKUP($A4147,'Tech Litons'!$A:$I,8,FALSE)</f>
        <v>3.4159999999999998E-3</v>
      </c>
      <c r="H4147" s="917">
        <f>VLOOKUP($A4147,'Tech Litons'!$A:$I,9,FALSE)</f>
        <v>240</v>
      </c>
      <c r="I4147" s="917" t="str">
        <f>VLOOKUP($A4147,'Tech Litons'!$A:$C,3,0)</f>
        <v>Sundaes</v>
      </c>
      <c r="J4147" s="918" t="str">
        <f t="shared" si="420"/>
        <v>2904Sundaes</v>
      </c>
      <c r="K4147" s="919">
        <v>1</v>
      </c>
      <c r="L4147" s="920">
        <f t="shared" si="421"/>
        <v>10457</v>
      </c>
      <c r="M4147" s="920">
        <f t="shared" si="422"/>
        <v>35.721111999999998</v>
      </c>
      <c r="N4147" s="920">
        <f t="shared" si="423"/>
        <v>43.570833333333333</v>
      </c>
      <c r="O4147" s="918" t="str">
        <f t="shared" si="424"/>
        <v>Mar</v>
      </c>
      <c r="P4147" s="921">
        <f t="shared" si="425"/>
        <v>10</v>
      </c>
    </row>
    <row r="4148" spans="1:16" ht="15" hidden="1" customHeight="1">
      <c r="A4148" s="839">
        <v>64986251</v>
      </c>
      <c r="B4148" s="839">
        <v>2904</v>
      </c>
      <c r="C4148" s="906">
        <v>-15</v>
      </c>
      <c r="D4148" s="907">
        <v>46094</v>
      </c>
      <c r="E4148" s="839" t="s">
        <v>313</v>
      </c>
      <c r="F4148" s="839" t="s">
        <v>40</v>
      </c>
      <c r="G4148" s="916">
        <f>VLOOKUP($A4148,'Tech Litons'!$A:$I,8,FALSE)</f>
        <v>3.4159999999999998E-3</v>
      </c>
      <c r="H4148" s="917">
        <f>VLOOKUP($A4148,'Tech Litons'!$A:$I,9,FALSE)</f>
        <v>240</v>
      </c>
      <c r="I4148" s="917" t="str">
        <f>VLOOKUP($A4148,'Tech Litons'!$A:$C,3,0)</f>
        <v>Sundaes</v>
      </c>
      <c r="J4148" s="918" t="str">
        <f t="shared" si="420"/>
        <v>2904Sundaes</v>
      </c>
      <c r="K4148" s="919">
        <v>1</v>
      </c>
      <c r="L4148" s="920">
        <f t="shared" si="421"/>
        <v>-15</v>
      </c>
      <c r="M4148" s="920">
        <f t="shared" si="422"/>
        <v>-5.1239999999999994E-2</v>
      </c>
      <c r="N4148" s="920">
        <f t="shared" si="423"/>
        <v>-6.25E-2</v>
      </c>
      <c r="O4148" s="918" t="str">
        <f t="shared" si="424"/>
        <v>Mar</v>
      </c>
      <c r="P4148" s="921">
        <f t="shared" si="425"/>
        <v>11</v>
      </c>
    </row>
    <row r="4149" spans="1:16" ht="15" hidden="1" customHeight="1">
      <c r="A4149" s="839">
        <v>64986251</v>
      </c>
      <c r="B4149" s="839">
        <v>2904</v>
      </c>
      <c r="C4149" s="906">
        <v>6433</v>
      </c>
      <c r="D4149" s="907">
        <v>46085</v>
      </c>
      <c r="E4149" s="839" t="s">
        <v>313</v>
      </c>
      <c r="F4149" s="839" t="s">
        <v>40</v>
      </c>
      <c r="G4149" s="916">
        <f>VLOOKUP($A4149,'Tech Litons'!$A:$I,8,FALSE)</f>
        <v>3.4159999999999998E-3</v>
      </c>
      <c r="H4149" s="917">
        <f>VLOOKUP($A4149,'Tech Litons'!$A:$I,9,FALSE)</f>
        <v>240</v>
      </c>
      <c r="I4149" s="917" t="str">
        <f>VLOOKUP($A4149,'Tech Litons'!$A:$C,3,0)</f>
        <v>Sundaes</v>
      </c>
      <c r="J4149" s="918" t="str">
        <f t="shared" si="420"/>
        <v>2904Sundaes</v>
      </c>
      <c r="K4149" s="919">
        <v>1</v>
      </c>
      <c r="L4149" s="920">
        <f t="shared" si="421"/>
        <v>6433</v>
      </c>
      <c r="M4149" s="920">
        <f t="shared" si="422"/>
        <v>21.975127999999998</v>
      </c>
      <c r="N4149" s="920">
        <f t="shared" si="423"/>
        <v>26.804166666666667</v>
      </c>
      <c r="O4149" s="918" t="str">
        <f t="shared" si="424"/>
        <v>Mar</v>
      </c>
      <c r="P4149" s="921">
        <f t="shared" si="425"/>
        <v>10</v>
      </c>
    </row>
    <row r="4150" spans="1:16" ht="15" hidden="1" customHeight="1">
      <c r="A4150" s="839">
        <v>64986251</v>
      </c>
      <c r="B4150" s="839">
        <v>2904</v>
      </c>
      <c r="C4150" s="906">
        <v>240</v>
      </c>
      <c r="D4150" s="907">
        <v>46086</v>
      </c>
      <c r="E4150" s="839" t="s">
        <v>313</v>
      </c>
      <c r="F4150" s="839" t="s">
        <v>40</v>
      </c>
      <c r="G4150" s="916">
        <f>VLOOKUP($A4150,'Tech Litons'!$A:$I,8,FALSE)</f>
        <v>3.4159999999999998E-3</v>
      </c>
      <c r="H4150" s="917">
        <f>VLOOKUP($A4150,'Tech Litons'!$A:$I,9,FALSE)</f>
        <v>240</v>
      </c>
      <c r="I4150" s="917" t="str">
        <f>VLOOKUP($A4150,'Tech Litons'!$A:$C,3,0)</f>
        <v>Sundaes</v>
      </c>
      <c r="J4150" s="918" t="str">
        <f t="shared" si="420"/>
        <v>2904Sundaes</v>
      </c>
      <c r="K4150" s="919">
        <v>1</v>
      </c>
      <c r="L4150" s="920">
        <f t="shared" si="421"/>
        <v>240</v>
      </c>
      <c r="M4150" s="920">
        <f t="shared" si="422"/>
        <v>0.8198399999999999</v>
      </c>
      <c r="N4150" s="920">
        <f t="shared" si="423"/>
        <v>1</v>
      </c>
      <c r="O4150" s="918" t="str">
        <f t="shared" si="424"/>
        <v>Mar</v>
      </c>
      <c r="P4150" s="921">
        <f t="shared" si="425"/>
        <v>10</v>
      </c>
    </row>
    <row r="4151" spans="1:16" ht="15" hidden="1" customHeight="1">
      <c r="A4151" s="839">
        <v>64988055</v>
      </c>
      <c r="B4151" s="839">
        <v>2904</v>
      </c>
      <c r="C4151" s="906">
        <v>3965</v>
      </c>
      <c r="D4151" s="907">
        <v>46103</v>
      </c>
      <c r="E4151" s="839" t="s">
        <v>360</v>
      </c>
      <c r="F4151" s="839" t="s">
        <v>271</v>
      </c>
      <c r="G4151" s="916">
        <f>VLOOKUP($A4151,'Tech Litons'!$A:$I,8,FALSE)</f>
        <v>8.513999999999999E-3</v>
      </c>
      <c r="H4151" s="917">
        <f>VLOOKUP($A4151,'Tech Litons'!$A:$I,9,FALSE)</f>
        <v>176</v>
      </c>
      <c r="I4151" s="917" t="str">
        <f>VLOOKUP($A4151,'Tech Litons'!$A:$C,3,0)</f>
        <v>48oz</v>
      </c>
      <c r="J4151" s="918" t="str">
        <f t="shared" si="420"/>
        <v>290448oz</v>
      </c>
      <c r="K4151" s="919">
        <v>1</v>
      </c>
      <c r="L4151" s="920">
        <f t="shared" si="421"/>
        <v>3965</v>
      </c>
      <c r="M4151" s="920">
        <f t="shared" si="422"/>
        <v>33.758009999999999</v>
      </c>
      <c r="N4151" s="920">
        <f t="shared" si="423"/>
        <v>22.52840909090909</v>
      </c>
      <c r="O4151" s="918" t="str">
        <f t="shared" si="424"/>
        <v>Mar</v>
      </c>
      <c r="P4151" s="921">
        <f t="shared" si="425"/>
        <v>13</v>
      </c>
    </row>
    <row r="4152" spans="1:16" ht="15" hidden="1" customHeight="1">
      <c r="A4152" s="839">
        <v>64988055</v>
      </c>
      <c r="B4152" s="839">
        <v>2904</v>
      </c>
      <c r="C4152" s="906">
        <v>4333</v>
      </c>
      <c r="D4152" s="907">
        <v>46103</v>
      </c>
      <c r="E4152" s="839" t="s">
        <v>360</v>
      </c>
      <c r="F4152" s="839" t="s">
        <v>271</v>
      </c>
      <c r="G4152" s="916">
        <f>VLOOKUP($A4152,'Tech Litons'!$A:$I,8,FALSE)</f>
        <v>8.513999999999999E-3</v>
      </c>
      <c r="H4152" s="917">
        <f>VLOOKUP($A4152,'Tech Litons'!$A:$I,9,FALSE)</f>
        <v>176</v>
      </c>
      <c r="I4152" s="917" t="str">
        <f>VLOOKUP($A4152,'Tech Litons'!$A:$C,3,0)</f>
        <v>48oz</v>
      </c>
      <c r="J4152" s="918" t="str">
        <f t="shared" si="420"/>
        <v>290448oz</v>
      </c>
      <c r="K4152" s="919">
        <v>1</v>
      </c>
      <c r="L4152" s="920">
        <f t="shared" si="421"/>
        <v>4333</v>
      </c>
      <c r="M4152" s="920">
        <f t="shared" si="422"/>
        <v>36.891161999999994</v>
      </c>
      <c r="N4152" s="920">
        <f t="shared" si="423"/>
        <v>24.619318181818183</v>
      </c>
      <c r="O4152" s="918" t="str">
        <f t="shared" si="424"/>
        <v>Mar</v>
      </c>
      <c r="P4152" s="921">
        <f t="shared" si="425"/>
        <v>13</v>
      </c>
    </row>
    <row r="4153" spans="1:16" ht="15" hidden="1" customHeight="1">
      <c r="A4153" s="839">
        <v>64988055</v>
      </c>
      <c r="B4153" s="839">
        <v>2904</v>
      </c>
      <c r="C4153" s="906">
        <v>4290</v>
      </c>
      <c r="D4153" s="907">
        <v>46104</v>
      </c>
      <c r="E4153" s="839" t="s">
        <v>360</v>
      </c>
      <c r="F4153" s="839" t="s">
        <v>271</v>
      </c>
      <c r="G4153" s="916">
        <f>VLOOKUP($A4153,'Tech Litons'!$A:$I,8,FALSE)</f>
        <v>8.513999999999999E-3</v>
      </c>
      <c r="H4153" s="917">
        <f>VLOOKUP($A4153,'Tech Litons'!$A:$I,9,FALSE)</f>
        <v>176</v>
      </c>
      <c r="I4153" s="917" t="str">
        <f>VLOOKUP($A4153,'Tech Litons'!$A:$C,3,0)</f>
        <v>48oz</v>
      </c>
      <c r="J4153" s="918" t="str">
        <f t="shared" si="420"/>
        <v>290448oz</v>
      </c>
      <c r="K4153" s="919">
        <v>1</v>
      </c>
      <c r="L4153" s="920">
        <f t="shared" si="421"/>
        <v>4290</v>
      </c>
      <c r="M4153" s="920">
        <f t="shared" si="422"/>
        <v>36.525059999999996</v>
      </c>
      <c r="N4153" s="920">
        <f t="shared" si="423"/>
        <v>24.375</v>
      </c>
      <c r="O4153" s="918" t="str">
        <f t="shared" si="424"/>
        <v>Mar</v>
      </c>
      <c r="P4153" s="921">
        <f t="shared" si="425"/>
        <v>13</v>
      </c>
    </row>
    <row r="4154" spans="1:16" ht="15" hidden="1" customHeight="1">
      <c r="A4154" s="839">
        <v>64988055</v>
      </c>
      <c r="B4154" s="839">
        <v>2904</v>
      </c>
      <c r="C4154" s="906">
        <v>5104</v>
      </c>
      <c r="D4154" s="907">
        <v>46104</v>
      </c>
      <c r="E4154" s="839" t="s">
        <v>360</v>
      </c>
      <c r="F4154" s="839" t="s">
        <v>271</v>
      </c>
      <c r="G4154" s="916">
        <f>VLOOKUP($A4154,'Tech Litons'!$A:$I,8,FALSE)</f>
        <v>8.513999999999999E-3</v>
      </c>
      <c r="H4154" s="917">
        <f>VLOOKUP($A4154,'Tech Litons'!$A:$I,9,FALSE)</f>
        <v>176</v>
      </c>
      <c r="I4154" s="917" t="str">
        <f>VLOOKUP($A4154,'Tech Litons'!$A:$C,3,0)</f>
        <v>48oz</v>
      </c>
      <c r="J4154" s="918" t="str">
        <f t="shared" si="420"/>
        <v>290448oz</v>
      </c>
      <c r="K4154" s="919">
        <v>1</v>
      </c>
      <c r="L4154" s="920">
        <f t="shared" si="421"/>
        <v>5104</v>
      </c>
      <c r="M4154" s="920">
        <f t="shared" si="422"/>
        <v>43.455455999999998</v>
      </c>
      <c r="N4154" s="920">
        <f t="shared" si="423"/>
        <v>29</v>
      </c>
      <c r="O4154" s="918" t="str">
        <f t="shared" si="424"/>
        <v>Mar</v>
      </c>
      <c r="P4154" s="921">
        <f t="shared" si="425"/>
        <v>13</v>
      </c>
    </row>
    <row r="4155" spans="1:16" ht="15" hidden="1" customHeight="1">
      <c r="A4155" s="839">
        <v>64988055</v>
      </c>
      <c r="B4155" s="839">
        <v>2904</v>
      </c>
      <c r="C4155" s="906">
        <v>168</v>
      </c>
      <c r="D4155" s="907">
        <v>46105</v>
      </c>
      <c r="E4155" s="839" t="s">
        <v>360</v>
      </c>
      <c r="F4155" s="839" t="s">
        <v>271</v>
      </c>
      <c r="G4155" s="916">
        <f>VLOOKUP($A4155,'Tech Litons'!$A:$I,8,FALSE)</f>
        <v>8.513999999999999E-3</v>
      </c>
      <c r="H4155" s="917">
        <f>VLOOKUP($A4155,'Tech Litons'!$A:$I,9,FALSE)</f>
        <v>176</v>
      </c>
      <c r="I4155" s="917" t="str">
        <f>VLOOKUP($A4155,'Tech Litons'!$A:$C,3,0)</f>
        <v>48oz</v>
      </c>
      <c r="J4155" s="918" t="str">
        <f t="shared" si="420"/>
        <v>290448oz</v>
      </c>
      <c r="K4155" s="919">
        <v>1</v>
      </c>
      <c r="L4155" s="920">
        <f t="shared" si="421"/>
        <v>168</v>
      </c>
      <c r="M4155" s="920">
        <f t="shared" si="422"/>
        <v>1.4303519999999998</v>
      </c>
      <c r="N4155" s="920">
        <f t="shared" si="423"/>
        <v>0.95454545454545459</v>
      </c>
      <c r="O4155" s="918" t="str">
        <f t="shared" si="424"/>
        <v>Mar</v>
      </c>
      <c r="P4155" s="921">
        <f t="shared" si="425"/>
        <v>13</v>
      </c>
    </row>
    <row r="4156" spans="1:16" ht="15" hidden="1" customHeight="1">
      <c r="A4156" s="839">
        <v>64988056</v>
      </c>
      <c r="B4156" s="839">
        <v>2904</v>
      </c>
      <c r="C4156" s="906">
        <v>5984</v>
      </c>
      <c r="D4156" s="907">
        <v>46084</v>
      </c>
      <c r="E4156" s="839" t="s">
        <v>268</v>
      </c>
      <c r="F4156" s="839" t="s">
        <v>269</v>
      </c>
      <c r="G4156" s="916">
        <f>VLOOKUP($A4156,'Tech Litons'!$A:$I,8,FALSE)</f>
        <v>8.513999999999999E-3</v>
      </c>
      <c r="H4156" s="917">
        <f>VLOOKUP($A4156,'Tech Litons'!$A:$I,9,FALSE)</f>
        <v>176</v>
      </c>
      <c r="I4156" s="917" t="str">
        <f>VLOOKUP($A4156,'Tech Litons'!$A:$C,3,0)</f>
        <v>48oz</v>
      </c>
      <c r="J4156" s="918" t="str">
        <f t="shared" si="420"/>
        <v>290448oz</v>
      </c>
      <c r="K4156" s="919">
        <v>1</v>
      </c>
      <c r="L4156" s="920">
        <f t="shared" si="421"/>
        <v>5984</v>
      </c>
      <c r="M4156" s="920">
        <f t="shared" si="422"/>
        <v>50.947775999999998</v>
      </c>
      <c r="N4156" s="920">
        <f t="shared" si="423"/>
        <v>34</v>
      </c>
      <c r="O4156" s="918" t="str">
        <f t="shared" si="424"/>
        <v>Mar</v>
      </c>
      <c r="P4156" s="921">
        <f t="shared" si="425"/>
        <v>10</v>
      </c>
    </row>
    <row r="4157" spans="1:16" ht="15" hidden="1" customHeight="1">
      <c r="A4157" s="839">
        <v>64988056</v>
      </c>
      <c r="B4157" s="839">
        <v>2904</v>
      </c>
      <c r="C4157" s="906">
        <v>6684</v>
      </c>
      <c r="D4157" s="907">
        <v>46085</v>
      </c>
      <c r="E4157" s="839" t="s">
        <v>268</v>
      </c>
      <c r="F4157" s="839" t="s">
        <v>269</v>
      </c>
      <c r="G4157" s="916">
        <f>VLOOKUP($A4157,'Tech Litons'!$A:$I,8,FALSE)</f>
        <v>8.513999999999999E-3</v>
      </c>
      <c r="H4157" s="917">
        <f>VLOOKUP($A4157,'Tech Litons'!$A:$I,9,FALSE)</f>
        <v>176</v>
      </c>
      <c r="I4157" s="917" t="str">
        <f>VLOOKUP($A4157,'Tech Litons'!$A:$C,3,0)</f>
        <v>48oz</v>
      </c>
      <c r="J4157" s="918" t="str">
        <f t="shared" si="420"/>
        <v>290448oz</v>
      </c>
      <c r="K4157" s="919">
        <v>1</v>
      </c>
      <c r="L4157" s="920">
        <f t="shared" si="421"/>
        <v>6684</v>
      </c>
      <c r="M4157" s="920">
        <f t="shared" si="422"/>
        <v>56.907575999999992</v>
      </c>
      <c r="N4157" s="920">
        <f t="shared" si="423"/>
        <v>37.977272727272727</v>
      </c>
      <c r="O4157" s="918" t="str">
        <f t="shared" si="424"/>
        <v>Mar</v>
      </c>
      <c r="P4157" s="921">
        <f t="shared" si="425"/>
        <v>10</v>
      </c>
    </row>
    <row r="4158" spans="1:16" ht="15" hidden="1" customHeight="1">
      <c r="A4158" s="839">
        <v>64988056</v>
      </c>
      <c r="B4158" s="839">
        <v>2904</v>
      </c>
      <c r="C4158" s="906">
        <v>2992</v>
      </c>
      <c r="D4158" s="907">
        <v>46085</v>
      </c>
      <c r="E4158" s="839" t="s">
        <v>268</v>
      </c>
      <c r="F4158" s="839" t="s">
        <v>269</v>
      </c>
      <c r="G4158" s="916">
        <f>VLOOKUP($A4158,'Tech Litons'!$A:$I,8,FALSE)</f>
        <v>8.513999999999999E-3</v>
      </c>
      <c r="H4158" s="917">
        <f>VLOOKUP($A4158,'Tech Litons'!$A:$I,9,FALSE)</f>
        <v>176</v>
      </c>
      <c r="I4158" s="917" t="str">
        <f>VLOOKUP($A4158,'Tech Litons'!$A:$C,3,0)</f>
        <v>48oz</v>
      </c>
      <c r="J4158" s="918" t="str">
        <f t="shared" si="420"/>
        <v>290448oz</v>
      </c>
      <c r="K4158" s="919">
        <v>1</v>
      </c>
      <c r="L4158" s="920">
        <f t="shared" si="421"/>
        <v>2992</v>
      </c>
      <c r="M4158" s="920">
        <f t="shared" si="422"/>
        <v>25.473887999999999</v>
      </c>
      <c r="N4158" s="920">
        <f t="shared" si="423"/>
        <v>17</v>
      </c>
      <c r="O4158" s="918" t="str">
        <f t="shared" si="424"/>
        <v>Mar</v>
      </c>
      <c r="P4158" s="921">
        <f t="shared" si="425"/>
        <v>10</v>
      </c>
    </row>
    <row r="4159" spans="1:16" ht="15" hidden="1" customHeight="1">
      <c r="A4159" s="839">
        <v>64988056</v>
      </c>
      <c r="B4159" s="839">
        <v>2904</v>
      </c>
      <c r="C4159" s="906">
        <v>6688</v>
      </c>
      <c r="D4159" s="907">
        <v>46086</v>
      </c>
      <c r="E4159" s="839" t="s">
        <v>268</v>
      </c>
      <c r="F4159" s="839" t="s">
        <v>269</v>
      </c>
      <c r="G4159" s="916">
        <f>VLOOKUP($A4159,'Tech Litons'!$A:$I,8,FALSE)</f>
        <v>8.513999999999999E-3</v>
      </c>
      <c r="H4159" s="917">
        <f>VLOOKUP($A4159,'Tech Litons'!$A:$I,9,FALSE)</f>
        <v>176</v>
      </c>
      <c r="I4159" s="917" t="str">
        <f>VLOOKUP($A4159,'Tech Litons'!$A:$C,3,0)</f>
        <v>48oz</v>
      </c>
      <c r="J4159" s="918" t="str">
        <f t="shared" si="420"/>
        <v>290448oz</v>
      </c>
      <c r="K4159" s="919">
        <v>1</v>
      </c>
      <c r="L4159" s="920">
        <f t="shared" si="421"/>
        <v>6688</v>
      </c>
      <c r="M4159" s="920">
        <f t="shared" si="422"/>
        <v>56.941631999999991</v>
      </c>
      <c r="N4159" s="920">
        <f t="shared" si="423"/>
        <v>38</v>
      </c>
      <c r="O4159" s="918" t="str">
        <f t="shared" si="424"/>
        <v>Mar</v>
      </c>
      <c r="P4159" s="921">
        <f t="shared" si="425"/>
        <v>10</v>
      </c>
    </row>
    <row r="4160" spans="1:16" ht="15" hidden="1" customHeight="1">
      <c r="A4160" s="839">
        <v>64988056</v>
      </c>
      <c r="B4160" s="839">
        <v>2904</v>
      </c>
      <c r="C4160" s="906">
        <v>1400</v>
      </c>
      <c r="D4160" s="907">
        <v>46086</v>
      </c>
      <c r="E4160" s="839" t="s">
        <v>268</v>
      </c>
      <c r="F4160" s="839" t="s">
        <v>269</v>
      </c>
      <c r="G4160" s="916">
        <f>VLOOKUP($A4160,'Tech Litons'!$A:$I,8,FALSE)</f>
        <v>8.513999999999999E-3</v>
      </c>
      <c r="H4160" s="917">
        <f>VLOOKUP($A4160,'Tech Litons'!$A:$I,9,FALSE)</f>
        <v>176</v>
      </c>
      <c r="I4160" s="917" t="str">
        <f>VLOOKUP($A4160,'Tech Litons'!$A:$C,3,0)</f>
        <v>48oz</v>
      </c>
      <c r="J4160" s="918" t="str">
        <f t="shared" si="420"/>
        <v>290448oz</v>
      </c>
      <c r="K4160" s="919">
        <v>1</v>
      </c>
      <c r="L4160" s="920">
        <f t="shared" si="421"/>
        <v>1400</v>
      </c>
      <c r="M4160" s="920">
        <f t="shared" si="422"/>
        <v>11.919599999999999</v>
      </c>
      <c r="N4160" s="920">
        <f t="shared" si="423"/>
        <v>7.9545454545454541</v>
      </c>
      <c r="O4160" s="918" t="str">
        <f t="shared" si="424"/>
        <v>Mar</v>
      </c>
      <c r="P4160" s="921">
        <f t="shared" si="425"/>
        <v>10</v>
      </c>
    </row>
    <row r="4161" spans="1:16" ht="15" hidden="1" customHeight="1">
      <c r="A4161" s="839">
        <v>64988056</v>
      </c>
      <c r="B4161" s="839">
        <v>2904</v>
      </c>
      <c r="C4161" s="906">
        <v>3872</v>
      </c>
      <c r="D4161" s="907">
        <v>46094</v>
      </c>
      <c r="E4161" s="839" t="s">
        <v>268</v>
      </c>
      <c r="F4161" s="839" t="s">
        <v>271</v>
      </c>
      <c r="G4161" s="916">
        <f>VLOOKUP($A4161,'Tech Litons'!$A:$I,8,FALSE)</f>
        <v>8.513999999999999E-3</v>
      </c>
      <c r="H4161" s="917">
        <f>VLOOKUP($A4161,'Tech Litons'!$A:$I,9,FALSE)</f>
        <v>176</v>
      </c>
      <c r="I4161" s="917" t="str">
        <f>VLOOKUP($A4161,'Tech Litons'!$A:$C,3,0)</f>
        <v>48oz</v>
      </c>
      <c r="J4161" s="918" t="str">
        <f t="shared" si="420"/>
        <v>290448oz</v>
      </c>
      <c r="K4161" s="919">
        <v>1</v>
      </c>
      <c r="L4161" s="920">
        <f t="shared" si="421"/>
        <v>3872</v>
      </c>
      <c r="M4161" s="920">
        <f t="shared" si="422"/>
        <v>32.966207999999995</v>
      </c>
      <c r="N4161" s="920">
        <f t="shared" si="423"/>
        <v>22</v>
      </c>
      <c r="O4161" s="918" t="str">
        <f t="shared" si="424"/>
        <v>Mar</v>
      </c>
      <c r="P4161" s="921">
        <f t="shared" si="425"/>
        <v>11</v>
      </c>
    </row>
    <row r="4162" spans="1:16" ht="15" hidden="1" customHeight="1">
      <c r="A4162" s="839">
        <v>64988056</v>
      </c>
      <c r="B4162" s="839">
        <v>2904</v>
      </c>
      <c r="C4162" s="906">
        <v>6512</v>
      </c>
      <c r="D4162" s="907">
        <v>46095</v>
      </c>
      <c r="E4162" s="839" t="s">
        <v>268</v>
      </c>
      <c r="F4162" s="839" t="s">
        <v>271</v>
      </c>
      <c r="G4162" s="916">
        <f>VLOOKUP($A4162,'Tech Litons'!$A:$I,8,FALSE)</f>
        <v>8.513999999999999E-3</v>
      </c>
      <c r="H4162" s="917">
        <f>VLOOKUP($A4162,'Tech Litons'!$A:$I,9,FALSE)</f>
        <v>176</v>
      </c>
      <c r="I4162" s="917" t="str">
        <f>VLOOKUP($A4162,'Tech Litons'!$A:$C,3,0)</f>
        <v>48oz</v>
      </c>
      <c r="J4162" s="918" t="str">
        <f t="shared" si="420"/>
        <v>290448oz</v>
      </c>
      <c r="K4162" s="919">
        <v>1</v>
      </c>
      <c r="L4162" s="920">
        <f t="shared" si="421"/>
        <v>6512</v>
      </c>
      <c r="M4162" s="920">
        <f t="shared" si="422"/>
        <v>55.443167999999993</v>
      </c>
      <c r="N4162" s="920">
        <f t="shared" si="423"/>
        <v>37</v>
      </c>
      <c r="O4162" s="918" t="str">
        <f t="shared" si="424"/>
        <v>Mar</v>
      </c>
      <c r="P4162" s="921">
        <f t="shared" si="425"/>
        <v>11</v>
      </c>
    </row>
    <row r="4163" spans="1:16" ht="15" hidden="1" customHeight="1">
      <c r="A4163" s="839">
        <v>64988056</v>
      </c>
      <c r="B4163" s="839">
        <v>2904</v>
      </c>
      <c r="C4163" s="906">
        <v>704</v>
      </c>
      <c r="D4163" s="907">
        <v>46097</v>
      </c>
      <c r="E4163" s="839" t="s">
        <v>268</v>
      </c>
      <c r="F4163" s="839" t="s">
        <v>271</v>
      </c>
      <c r="G4163" s="916">
        <f>VLOOKUP($A4163,'Tech Litons'!$A:$I,8,FALSE)</f>
        <v>8.513999999999999E-3</v>
      </c>
      <c r="H4163" s="917">
        <f>VLOOKUP($A4163,'Tech Litons'!$A:$I,9,FALSE)</f>
        <v>176</v>
      </c>
      <c r="I4163" s="917" t="str">
        <f>VLOOKUP($A4163,'Tech Litons'!$A:$C,3,0)</f>
        <v>48oz</v>
      </c>
      <c r="J4163" s="918" t="str">
        <f t="shared" si="420"/>
        <v>290448oz</v>
      </c>
      <c r="K4163" s="919">
        <v>1</v>
      </c>
      <c r="L4163" s="920">
        <f t="shared" si="421"/>
        <v>704</v>
      </c>
      <c r="M4163" s="920">
        <f t="shared" si="422"/>
        <v>5.9938559999999992</v>
      </c>
      <c r="N4163" s="920">
        <f t="shared" si="423"/>
        <v>4</v>
      </c>
      <c r="O4163" s="918" t="str">
        <f t="shared" si="424"/>
        <v>Mar</v>
      </c>
      <c r="P4163" s="921">
        <f t="shared" si="425"/>
        <v>12</v>
      </c>
    </row>
    <row r="4164" spans="1:16" ht="15" hidden="1" customHeight="1">
      <c r="A4164" s="839">
        <v>64988056</v>
      </c>
      <c r="B4164" s="839">
        <v>2904</v>
      </c>
      <c r="C4164" s="906">
        <v>12406</v>
      </c>
      <c r="D4164" s="907">
        <v>46097</v>
      </c>
      <c r="E4164" s="839" t="s">
        <v>268</v>
      </c>
      <c r="F4164" s="839" t="s">
        <v>271</v>
      </c>
      <c r="G4164" s="916">
        <f>VLOOKUP($A4164,'Tech Litons'!$A:$I,8,FALSE)</f>
        <v>8.513999999999999E-3</v>
      </c>
      <c r="H4164" s="917">
        <f>VLOOKUP($A4164,'Tech Litons'!$A:$I,9,FALSE)</f>
        <v>176</v>
      </c>
      <c r="I4164" s="917" t="str">
        <f>VLOOKUP($A4164,'Tech Litons'!$A:$C,3,0)</f>
        <v>48oz</v>
      </c>
      <c r="J4164" s="918" t="str">
        <f t="shared" si="420"/>
        <v>290448oz</v>
      </c>
      <c r="K4164" s="919">
        <v>1</v>
      </c>
      <c r="L4164" s="920">
        <f t="shared" si="421"/>
        <v>12406</v>
      </c>
      <c r="M4164" s="920">
        <f t="shared" si="422"/>
        <v>105.62468399999999</v>
      </c>
      <c r="N4164" s="920">
        <f t="shared" si="423"/>
        <v>70.48863636363636</v>
      </c>
      <c r="O4164" s="918" t="str">
        <f t="shared" si="424"/>
        <v>Mar</v>
      </c>
      <c r="P4164" s="921">
        <f t="shared" si="425"/>
        <v>12</v>
      </c>
    </row>
    <row r="4165" spans="1:16" ht="15" hidden="1" customHeight="1">
      <c r="A4165" s="839">
        <v>64988056</v>
      </c>
      <c r="B4165" s="839">
        <v>2904</v>
      </c>
      <c r="C4165" s="906">
        <v>9047</v>
      </c>
      <c r="D4165" s="907">
        <v>46097</v>
      </c>
      <c r="E4165" s="839" t="s">
        <v>268</v>
      </c>
      <c r="F4165" s="839" t="s">
        <v>271</v>
      </c>
      <c r="G4165" s="916">
        <f>VLOOKUP($A4165,'Tech Litons'!$A:$I,8,FALSE)</f>
        <v>8.513999999999999E-3</v>
      </c>
      <c r="H4165" s="917">
        <f>VLOOKUP($A4165,'Tech Litons'!$A:$I,9,FALSE)</f>
        <v>176</v>
      </c>
      <c r="I4165" s="917" t="str">
        <f>VLOOKUP($A4165,'Tech Litons'!$A:$C,3,0)</f>
        <v>48oz</v>
      </c>
      <c r="J4165" s="918" t="str">
        <f t="shared" si="420"/>
        <v>290448oz</v>
      </c>
      <c r="K4165" s="919">
        <v>1</v>
      </c>
      <c r="L4165" s="920">
        <f t="shared" si="421"/>
        <v>9047</v>
      </c>
      <c r="M4165" s="920">
        <f t="shared" si="422"/>
        <v>77.026157999999995</v>
      </c>
      <c r="N4165" s="920">
        <f t="shared" si="423"/>
        <v>51.403409090909093</v>
      </c>
      <c r="O4165" s="918" t="str">
        <f t="shared" si="424"/>
        <v>Mar</v>
      </c>
      <c r="P4165" s="921">
        <f t="shared" si="425"/>
        <v>12</v>
      </c>
    </row>
    <row r="4166" spans="1:16" ht="15" hidden="1" customHeight="1">
      <c r="A4166" s="839">
        <v>64988056</v>
      </c>
      <c r="B4166" s="839">
        <v>2904</v>
      </c>
      <c r="C4166" s="906">
        <v>0</v>
      </c>
      <c r="D4166" s="907">
        <v>46083</v>
      </c>
      <c r="E4166" s="839" t="s">
        <v>268</v>
      </c>
      <c r="F4166" s="839" t="s">
        <v>271</v>
      </c>
      <c r="G4166" s="916">
        <f>VLOOKUP($A4166,'Tech Litons'!$A:$I,8,FALSE)</f>
        <v>8.513999999999999E-3</v>
      </c>
      <c r="H4166" s="917">
        <f>VLOOKUP($A4166,'Tech Litons'!$A:$I,9,FALSE)</f>
        <v>176</v>
      </c>
      <c r="I4166" s="917" t="str">
        <f>VLOOKUP($A4166,'Tech Litons'!$A:$C,3,0)</f>
        <v>48oz</v>
      </c>
      <c r="J4166" s="918" t="str">
        <f t="shared" si="420"/>
        <v>290448oz</v>
      </c>
      <c r="K4166" s="919">
        <v>1</v>
      </c>
      <c r="L4166" s="920">
        <f t="shared" si="421"/>
        <v>0</v>
      </c>
      <c r="M4166" s="920">
        <f t="shared" si="422"/>
        <v>0</v>
      </c>
      <c r="N4166" s="920">
        <f t="shared" si="423"/>
        <v>0</v>
      </c>
      <c r="O4166" s="918" t="str">
        <f t="shared" si="424"/>
        <v>Mar</v>
      </c>
      <c r="P4166" s="921">
        <f t="shared" si="425"/>
        <v>10</v>
      </c>
    </row>
    <row r="4167" spans="1:16" ht="15" hidden="1" customHeight="1">
      <c r="A4167" s="839">
        <v>64988056</v>
      </c>
      <c r="B4167" s="839">
        <v>2904</v>
      </c>
      <c r="C4167" s="906">
        <v>682</v>
      </c>
      <c r="D4167" s="907">
        <v>46083</v>
      </c>
      <c r="E4167" s="839" t="s">
        <v>268</v>
      </c>
      <c r="F4167" s="839" t="s">
        <v>269</v>
      </c>
      <c r="G4167" s="916">
        <f>VLOOKUP($A4167,'Tech Litons'!$A:$I,8,FALSE)</f>
        <v>8.513999999999999E-3</v>
      </c>
      <c r="H4167" s="917">
        <f>VLOOKUP($A4167,'Tech Litons'!$A:$I,9,FALSE)</f>
        <v>176</v>
      </c>
      <c r="I4167" s="917" t="str">
        <f>VLOOKUP($A4167,'Tech Litons'!$A:$C,3,0)</f>
        <v>48oz</v>
      </c>
      <c r="J4167" s="918" t="str">
        <f t="shared" si="420"/>
        <v>290448oz</v>
      </c>
      <c r="K4167" s="919">
        <v>1</v>
      </c>
      <c r="L4167" s="920">
        <f t="shared" si="421"/>
        <v>682</v>
      </c>
      <c r="M4167" s="920">
        <f t="shared" si="422"/>
        <v>5.8065479999999994</v>
      </c>
      <c r="N4167" s="920">
        <f t="shared" si="423"/>
        <v>3.875</v>
      </c>
      <c r="O4167" s="918" t="str">
        <f t="shared" si="424"/>
        <v>Mar</v>
      </c>
      <c r="P4167" s="921">
        <f t="shared" si="425"/>
        <v>10</v>
      </c>
    </row>
    <row r="4168" spans="1:16" ht="15" hidden="1" customHeight="1">
      <c r="A4168" s="839">
        <v>64988056</v>
      </c>
      <c r="B4168" s="839">
        <v>2904</v>
      </c>
      <c r="C4168" s="906">
        <v>4290</v>
      </c>
      <c r="D4168" s="907">
        <v>46084</v>
      </c>
      <c r="E4168" s="839" t="s">
        <v>268</v>
      </c>
      <c r="F4168" s="839" t="s">
        <v>269</v>
      </c>
      <c r="G4168" s="916">
        <f>VLOOKUP($A4168,'Tech Litons'!$A:$I,8,FALSE)</f>
        <v>8.513999999999999E-3</v>
      </c>
      <c r="H4168" s="917">
        <f>VLOOKUP($A4168,'Tech Litons'!$A:$I,9,FALSE)</f>
        <v>176</v>
      </c>
      <c r="I4168" s="917" t="str">
        <f>VLOOKUP($A4168,'Tech Litons'!$A:$C,3,0)</f>
        <v>48oz</v>
      </c>
      <c r="J4168" s="918" t="str">
        <f t="shared" si="420"/>
        <v>290448oz</v>
      </c>
      <c r="K4168" s="919">
        <v>1</v>
      </c>
      <c r="L4168" s="920">
        <f t="shared" si="421"/>
        <v>4290</v>
      </c>
      <c r="M4168" s="920">
        <f t="shared" si="422"/>
        <v>36.525059999999996</v>
      </c>
      <c r="N4168" s="920">
        <f t="shared" si="423"/>
        <v>24.375</v>
      </c>
      <c r="O4168" s="918" t="str">
        <f t="shared" si="424"/>
        <v>Mar</v>
      </c>
      <c r="P4168" s="921">
        <f t="shared" si="425"/>
        <v>10</v>
      </c>
    </row>
    <row r="4169" spans="1:16" ht="15" hidden="1" customHeight="1">
      <c r="A4169" s="839">
        <v>64988056</v>
      </c>
      <c r="B4169" s="839">
        <v>2904</v>
      </c>
      <c r="C4169" s="906">
        <v>3861</v>
      </c>
      <c r="D4169" s="907">
        <v>46083</v>
      </c>
      <c r="E4169" s="839" t="s">
        <v>268</v>
      </c>
      <c r="F4169" s="839" t="s">
        <v>269</v>
      </c>
      <c r="G4169" s="916">
        <f>VLOOKUP($A4169,'Tech Litons'!$A:$I,8,FALSE)</f>
        <v>8.513999999999999E-3</v>
      </c>
      <c r="H4169" s="917">
        <f>VLOOKUP($A4169,'Tech Litons'!$A:$I,9,FALSE)</f>
        <v>176</v>
      </c>
      <c r="I4169" s="917" t="str">
        <f>VLOOKUP($A4169,'Tech Litons'!$A:$C,3,0)</f>
        <v>48oz</v>
      </c>
      <c r="J4169" s="918" t="str">
        <f t="shared" si="420"/>
        <v>290448oz</v>
      </c>
      <c r="K4169" s="919">
        <v>1</v>
      </c>
      <c r="L4169" s="920">
        <f t="shared" si="421"/>
        <v>3861</v>
      </c>
      <c r="M4169" s="920">
        <f t="shared" si="422"/>
        <v>32.872553999999994</v>
      </c>
      <c r="N4169" s="920">
        <f t="shared" si="423"/>
        <v>21.9375</v>
      </c>
      <c r="O4169" s="918" t="str">
        <f t="shared" si="424"/>
        <v>Mar</v>
      </c>
      <c r="P4169" s="921">
        <f t="shared" si="425"/>
        <v>10</v>
      </c>
    </row>
    <row r="4170" spans="1:16" ht="15" hidden="1" customHeight="1">
      <c r="A4170" s="839">
        <v>64988056</v>
      </c>
      <c r="B4170" s="839">
        <v>2904</v>
      </c>
      <c r="C4170" s="906">
        <v>-88</v>
      </c>
      <c r="D4170" s="907">
        <v>46084</v>
      </c>
      <c r="E4170" s="839" t="s">
        <v>268</v>
      </c>
      <c r="F4170" s="839" t="s">
        <v>269</v>
      </c>
      <c r="G4170" s="916">
        <f>VLOOKUP($A4170,'Tech Litons'!$A:$I,8,FALSE)</f>
        <v>8.513999999999999E-3</v>
      </c>
      <c r="H4170" s="917">
        <f>VLOOKUP($A4170,'Tech Litons'!$A:$I,9,FALSE)</f>
        <v>176</v>
      </c>
      <c r="I4170" s="917" t="str">
        <f>VLOOKUP($A4170,'Tech Litons'!$A:$C,3,0)</f>
        <v>48oz</v>
      </c>
      <c r="J4170" s="918" t="str">
        <f t="shared" si="420"/>
        <v>290448oz</v>
      </c>
      <c r="K4170" s="919">
        <v>1</v>
      </c>
      <c r="L4170" s="920">
        <f t="shared" si="421"/>
        <v>-88</v>
      </c>
      <c r="M4170" s="920">
        <f t="shared" si="422"/>
        <v>-0.7492319999999999</v>
      </c>
      <c r="N4170" s="920">
        <f t="shared" si="423"/>
        <v>-0.5</v>
      </c>
      <c r="O4170" s="918" t="str">
        <f t="shared" si="424"/>
        <v>Mar</v>
      </c>
      <c r="P4170" s="921">
        <f t="shared" si="425"/>
        <v>10</v>
      </c>
    </row>
    <row r="4171" spans="1:16" ht="15" hidden="1" customHeight="1">
      <c r="A4171" s="839">
        <v>64988056</v>
      </c>
      <c r="B4171" s="839">
        <v>2904</v>
      </c>
      <c r="C4171" s="906">
        <v>479</v>
      </c>
      <c r="D4171" s="907">
        <v>46097</v>
      </c>
      <c r="E4171" s="839" t="s">
        <v>268</v>
      </c>
      <c r="F4171" s="839" t="s">
        <v>271</v>
      </c>
      <c r="G4171" s="916">
        <f>VLOOKUP($A4171,'Tech Litons'!$A:$I,8,FALSE)</f>
        <v>8.513999999999999E-3</v>
      </c>
      <c r="H4171" s="917">
        <f>VLOOKUP($A4171,'Tech Litons'!$A:$I,9,FALSE)</f>
        <v>176</v>
      </c>
      <c r="I4171" s="917" t="str">
        <f>VLOOKUP($A4171,'Tech Litons'!$A:$C,3,0)</f>
        <v>48oz</v>
      </c>
      <c r="J4171" s="918" t="str">
        <f t="shared" si="420"/>
        <v>290448oz</v>
      </c>
      <c r="K4171" s="919">
        <v>1</v>
      </c>
      <c r="L4171" s="920">
        <f t="shared" si="421"/>
        <v>479</v>
      </c>
      <c r="M4171" s="920">
        <f t="shared" si="422"/>
        <v>4.0782059999999998</v>
      </c>
      <c r="N4171" s="920">
        <f t="shared" si="423"/>
        <v>2.7215909090909092</v>
      </c>
      <c r="O4171" s="918" t="str">
        <f t="shared" si="424"/>
        <v>Mar</v>
      </c>
      <c r="P4171" s="921">
        <f t="shared" si="425"/>
        <v>12</v>
      </c>
    </row>
    <row r="4172" spans="1:16" ht="15" hidden="1" customHeight="1">
      <c r="A4172" s="839">
        <v>64988056</v>
      </c>
      <c r="B4172" s="839">
        <v>2904</v>
      </c>
      <c r="C4172" s="906">
        <v>704</v>
      </c>
      <c r="D4172" s="907">
        <v>46098</v>
      </c>
      <c r="E4172" s="839" t="s">
        <v>268</v>
      </c>
      <c r="F4172" s="839" t="s">
        <v>271</v>
      </c>
      <c r="G4172" s="916">
        <f>VLOOKUP($A4172,'Tech Litons'!$A:$I,8,FALSE)</f>
        <v>8.513999999999999E-3</v>
      </c>
      <c r="H4172" s="917">
        <f>VLOOKUP($A4172,'Tech Litons'!$A:$I,9,FALSE)</f>
        <v>176</v>
      </c>
      <c r="I4172" s="917" t="str">
        <f>VLOOKUP($A4172,'Tech Litons'!$A:$C,3,0)</f>
        <v>48oz</v>
      </c>
      <c r="J4172" s="918" t="str">
        <f t="shared" si="420"/>
        <v>290448oz</v>
      </c>
      <c r="K4172" s="919">
        <v>1</v>
      </c>
      <c r="L4172" s="920">
        <f t="shared" si="421"/>
        <v>704</v>
      </c>
      <c r="M4172" s="920">
        <f t="shared" si="422"/>
        <v>5.9938559999999992</v>
      </c>
      <c r="N4172" s="920">
        <f t="shared" si="423"/>
        <v>4</v>
      </c>
      <c r="O4172" s="918" t="str">
        <f t="shared" si="424"/>
        <v>Mar</v>
      </c>
      <c r="P4172" s="921">
        <f t="shared" si="425"/>
        <v>12</v>
      </c>
    </row>
    <row r="4173" spans="1:16" ht="15" hidden="1" customHeight="1">
      <c r="A4173" s="839">
        <v>64988056</v>
      </c>
      <c r="B4173" s="839">
        <v>2904</v>
      </c>
      <c r="C4173" s="906">
        <v>-704</v>
      </c>
      <c r="D4173" s="907">
        <v>46101</v>
      </c>
      <c r="E4173" s="839" t="s">
        <v>268</v>
      </c>
      <c r="F4173" s="839" t="s">
        <v>271</v>
      </c>
      <c r="G4173" s="916">
        <f>VLOOKUP($A4173,'Tech Litons'!$A:$I,8,FALSE)</f>
        <v>8.513999999999999E-3</v>
      </c>
      <c r="H4173" s="917">
        <f>VLOOKUP($A4173,'Tech Litons'!$A:$I,9,FALSE)</f>
        <v>176</v>
      </c>
      <c r="I4173" s="917" t="str">
        <f>VLOOKUP($A4173,'Tech Litons'!$A:$C,3,0)</f>
        <v>48oz</v>
      </c>
      <c r="J4173" s="918" t="str">
        <f t="shared" si="420"/>
        <v>290448oz</v>
      </c>
      <c r="K4173" s="919">
        <v>1</v>
      </c>
      <c r="L4173" s="920">
        <f t="shared" si="421"/>
        <v>-704</v>
      </c>
      <c r="M4173" s="920">
        <f t="shared" si="422"/>
        <v>-5.9938559999999992</v>
      </c>
      <c r="N4173" s="920">
        <f t="shared" si="423"/>
        <v>-4</v>
      </c>
      <c r="O4173" s="918" t="str">
        <f t="shared" si="424"/>
        <v>Mar</v>
      </c>
      <c r="P4173" s="921">
        <f t="shared" si="425"/>
        <v>12</v>
      </c>
    </row>
    <row r="4174" spans="1:16" ht="15" hidden="1" customHeight="1">
      <c r="A4174" s="839">
        <v>64988927</v>
      </c>
      <c r="B4174" s="839">
        <v>2904</v>
      </c>
      <c r="C4174" s="906">
        <v>9456</v>
      </c>
      <c r="D4174" s="907">
        <v>46076</v>
      </c>
      <c r="E4174" s="839" t="s">
        <v>1058</v>
      </c>
      <c r="F4174" s="839" t="s">
        <v>40</v>
      </c>
      <c r="G4174" s="916">
        <f>VLOOKUP($A4174,'Tech Litons'!$A:$I,8,FALSE)</f>
        <v>3.4159999999999998E-3</v>
      </c>
      <c r="H4174" s="917">
        <f>VLOOKUP($A4174,'Tech Litons'!$A:$I,9,FALSE)</f>
        <v>240</v>
      </c>
      <c r="I4174" s="917" t="str">
        <f>VLOOKUP($A4174,'Tech Litons'!$A:$C,3,0)</f>
        <v>Sundaes</v>
      </c>
      <c r="J4174" s="918" t="str">
        <f t="shared" si="420"/>
        <v>2904Sundaes</v>
      </c>
      <c r="K4174" s="919">
        <v>1</v>
      </c>
      <c r="L4174" s="920">
        <f t="shared" si="421"/>
        <v>9456</v>
      </c>
      <c r="M4174" s="920">
        <f t="shared" si="422"/>
        <v>32.301696</v>
      </c>
      <c r="N4174" s="920">
        <f t="shared" si="423"/>
        <v>39.4</v>
      </c>
      <c r="O4174" s="918" t="str">
        <f t="shared" si="424"/>
        <v>Feb</v>
      </c>
      <c r="P4174" s="921">
        <f t="shared" si="425"/>
        <v>9</v>
      </c>
    </row>
    <row r="4175" spans="1:16" ht="15" hidden="1" customHeight="1">
      <c r="A4175" s="839">
        <v>64988927</v>
      </c>
      <c r="B4175" s="839">
        <v>2904</v>
      </c>
      <c r="C4175" s="906">
        <v>1761</v>
      </c>
      <c r="D4175" s="907">
        <v>46077</v>
      </c>
      <c r="E4175" s="839" t="s">
        <v>1058</v>
      </c>
      <c r="F4175" s="839" t="s">
        <v>40</v>
      </c>
      <c r="G4175" s="916">
        <f>VLOOKUP($A4175,'Tech Litons'!$A:$I,8,FALSE)</f>
        <v>3.4159999999999998E-3</v>
      </c>
      <c r="H4175" s="917">
        <f>VLOOKUP($A4175,'Tech Litons'!$A:$I,9,FALSE)</f>
        <v>240</v>
      </c>
      <c r="I4175" s="917" t="str">
        <f>VLOOKUP($A4175,'Tech Litons'!$A:$C,3,0)</f>
        <v>Sundaes</v>
      </c>
      <c r="J4175" s="918" t="str">
        <f t="shared" si="420"/>
        <v>2904Sundaes</v>
      </c>
      <c r="K4175" s="919">
        <v>1</v>
      </c>
      <c r="L4175" s="920">
        <f t="shared" si="421"/>
        <v>1761</v>
      </c>
      <c r="M4175" s="920">
        <f t="shared" si="422"/>
        <v>6.0155759999999994</v>
      </c>
      <c r="N4175" s="920">
        <f t="shared" si="423"/>
        <v>7.3375000000000004</v>
      </c>
      <c r="O4175" s="918" t="str">
        <f t="shared" si="424"/>
        <v>Feb</v>
      </c>
      <c r="P4175" s="921">
        <f t="shared" si="425"/>
        <v>9</v>
      </c>
    </row>
    <row r="4176" spans="1:16" ht="15" hidden="1" customHeight="1">
      <c r="A4176" s="839">
        <v>64999042</v>
      </c>
      <c r="B4176" s="839">
        <v>2904</v>
      </c>
      <c r="C4176" s="906">
        <v>3360</v>
      </c>
      <c r="D4176" s="907">
        <v>46076</v>
      </c>
      <c r="E4176" s="839" t="s">
        <v>489</v>
      </c>
      <c r="F4176" s="839" t="s">
        <v>299</v>
      </c>
      <c r="G4176" s="916">
        <f>VLOOKUP($A4176,'Tech Litons'!$A:$I,8,FALSE)</f>
        <v>3.3119999999999998E-3</v>
      </c>
      <c r="H4176" s="917">
        <f>VLOOKUP($A4176,'Tech Litons'!$A:$I,9,FALSE)</f>
        <v>240</v>
      </c>
      <c r="I4176" s="917" t="str">
        <f>VLOOKUP($A4176,'Tech Litons'!$A:$C,3,0)</f>
        <v>YS PTS</v>
      </c>
      <c r="J4176" s="918" t="str">
        <f t="shared" si="420"/>
        <v>2904YS PTS</v>
      </c>
      <c r="K4176" s="919">
        <v>1</v>
      </c>
      <c r="L4176" s="920">
        <f t="shared" si="421"/>
        <v>3360</v>
      </c>
      <c r="M4176" s="920">
        <f t="shared" si="422"/>
        <v>11.128319999999999</v>
      </c>
      <c r="N4176" s="920">
        <f t="shared" si="423"/>
        <v>14</v>
      </c>
      <c r="O4176" s="918" t="str">
        <f t="shared" si="424"/>
        <v>Feb</v>
      </c>
      <c r="P4176" s="921">
        <f t="shared" si="425"/>
        <v>9</v>
      </c>
    </row>
    <row r="4177" spans="1:16" ht="15" hidden="1" customHeight="1">
      <c r="A4177" s="839">
        <v>64999042</v>
      </c>
      <c r="B4177" s="839">
        <v>2904</v>
      </c>
      <c r="C4177" s="906">
        <v>8396</v>
      </c>
      <c r="D4177" s="907">
        <v>46077</v>
      </c>
      <c r="E4177" s="839" t="s">
        <v>489</v>
      </c>
      <c r="F4177" s="839" t="s">
        <v>299</v>
      </c>
      <c r="G4177" s="916">
        <f>VLOOKUP($A4177,'Tech Litons'!$A:$I,8,FALSE)</f>
        <v>3.3119999999999998E-3</v>
      </c>
      <c r="H4177" s="917">
        <f>VLOOKUP($A4177,'Tech Litons'!$A:$I,9,FALSE)</f>
        <v>240</v>
      </c>
      <c r="I4177" s="917" t="str">
        <f>VLOOKUP($A4177,'Tech Litons'!$A:$C,3,0)</f>
        <v>YS PTS</v>
      </c>
      <c r="J4177" s="918" t="str">
        <f t="shared" si="420"/>
        <v>2904YS PTS</v>
      </c>
      <c r="K4177" s="919">
        <v>1</v>
      </c>
      <c r="L4177" s="920">
        <f t="shared" si="421"/>
        <v>8396</v>
      </c>
      <c r="M4177" s="920">
        <f t="shared" si="422"/>
        <v>27.807551999999998</v>
      </c>
      <c r="N4177" s="920">
        <f t="shared" si="423"/>
        <v>34.983333333333334</v>
      </c>
      <c r="O4177" s="918" t="str">
        <f t="shared" si="424"/>
        <v>Feb</v>
      </c>
      <c r="P4177" s="921">
        <f t="shared" si="425"/>
        <v>9</v>
      </c>
    </row>
    <row r="4178" spans="1:16" ht="15" hidden="1" customHeight="1">
      <c r="A4178" s="839">
        <v>64999042</v>
      </c>
      <c r="B4178" s="839">
        <v>2904</v>
      </c>
      <c r="C4178" s="906">
        <v>6048</v>
      </c>
      <c r="D4178" s="907">
        <v>46077</v>
      </c>
      <c r="E4178" s="839" t="s">
        <v>489</v>
      </c>
      <c r="F4178" s="839" t="s">
        <v>299</v>
      </c>
      <c r="G4178" s="916">
        <f>VLOOKUP($A4178,'Tech Litons'!$A:$I,8,FALSE)</f>
        <v>3.3119999999999998E-3</v>
      </c>
      <c r="H4178" s="917">
        <f>VLOOKUP($A4178,'Tech Litons'!$A:$I,9,FALSE)</f>
        <v>240</v>
      </c>
      <c r="I4178" s="917" t="str">
        <f>VLOOKUP($A4178,'Tech Litons'!$A:$C,3,0)</f>
        <v>YS PTS</v>
      </c>
      <c r="J4178" s="918" t="str">
        <f t="shared" si="420"/>
        <v>2904YS PTS</v>
      </c>
      <c r="K4178" s="919">
        <v>1</v>
      </c>
      <c r="L4178" s="920">
        <f t="shared" si="421"/>
        <v>6048</v>
      </c>
      <c r="M4178" s="920">
        <f t="shared" si="422"/>
        <v>20.030975999999999</v>
      </c>
      <c r="N4178" s="920">
        <f t="shared" si="423"/>
        <v>25.2</v>
      </c>
      <c r="O4178" s="918" t="str">
        <f t="shared" si="424"/>
        <v>Feb</v>
      </c>
      <c r="P4178" s="921">
        <f t="shared" si="425"/>
        <v>9</v>
      </c>
    </row>
    <row r="4179" spans="1:16" ht="15" hidden="1" customHeight="1">
      <c r="A4179" s="839">
        <v>64999042</v>
      </c>
      <c r="B4179" s="839">
        <v>2904</v>
      </c>
      <c r="C4179" s="906">
        <v>10018</v>
      </c>
      <c r="D4179" s="907">
        <v>46078</v>
      </c>
      <c r="E4179" s="839" t="s">
        <v>489</v>
      </c>
      <c r="F4179" s="839" t="s">
        <v>299</v>
      </c>
      <c r="G4179" s="916">
        <f>VLOOKUP($A4179,'Tech Litons'!$A:$I,8,FALSE)</f>
        <v>3.3119999999999998E-3</v>
      </c>
      <c r="H4179" s="917">
        <f>VLOOKUP($A4179,'Tech Litons'!$A:$I,9,FALSE)</f>
        <v>240</v>
      </c>
      <c r="I4179" s="917" t="str">
        <f>VLOOKUP($A4179,'Tech Litons'!$A:$C,3,0)</f>
        <v>YS PTS</v>
      </c>
      <c r="J4179" s="918" t="str">
        <f t="shared" si="420"/>
        <v>2904YS PTS</v>
      </c>
      <c r="K4179" s="919">
        <v>1</v>
      </c>
      <c r="L4179" s="920">
        <f t="shared" si="421"/>
        <v>10018</v>
      </c>
      <c r="M4179" s="920">
        <f t="shared" si="422"/>
        <v>33.179615999999996</v>
      </c>
      <c r="N4179" s="920">
        <f t="shared" si="423"/>
        <v>41.741666666666667</v>
      </c>
      <c r="O4179" s="918" t="str">
        <f t="shared" si="424"/>
        <v>Feb</v>
      </c>
      <c r="P4179" s="921">
        <f t="shared" si="425"/>
        <v>9</v>
      </c>
    </row>
    <row r="4180" spans="1:16" ht="15" hidden="1" customHeight="1">
      <c r="A4180" s="839">
        <v>64999042</v>
      </c>
      <c r="B4180" s="839">
        <v>2904</v>
      </c>
      <c r="C4180" s="906">
        <v>2401</v>
      </c>
      <c r="D4180" s="907">
        <v>46078</v>
      </c>
      <c r="E4180" s="839" t="s">
        <v>489</v>
      </c>
      <c r="F4180" s="839" t="s">
        <v>299</v>
      </c>
      <c r="G4180" s="916">
        <f>VLOOKUP($A4180,'Tech Litons'!$A:$I,8,FALSE)</f>
        <v>3.3119999999999998E-3</v>
      </c>
      <c r="H4180" s="917">
        <f>VLOOKUP($A4180,'Tech Litons'!$A:$I,9,FALSE)</f>
        <v>240</v>
      </c>
      <c r="I4180" s="917" t="str">
        <f>VLOOKUP($A4180,'Tech Litons'!$A:$C,3,0)</f>
        <v>YS PTS</v>
      </c>
      <c r="J4180" s="918" t="str">
        <f t="shared" si="420"/>
        <v>2904YS PTS</v>
      </c>
      <c r="K4180" s="919">
        <v>1</v>
      </c>
      <c r="L4180" s="920">
        <f t="shared" si="421"/>
        <v>2401</v>
      </c>
      <c r="M4180" s="920">
        <f t="shared" si="422"/>
        <v>7.9521119999999996</v>
      </c>
      <c r="N4180" s="920">
        <f t="shared" si="423"/>
        <v>10.004166666666666</v>
      </c>
      <c r="O4180" s="918" t="str">
        <f t="shared" si="424"/>
        <v>Feb</v>
      </c>
      <c r="P4180" s="921">
        <f t="shared" si="425"/>
        <v>9</v>
      </c>
    </row>
    <row r="4181" spans="1:16" ht="15" hidden="1" customHeight="1">
      <c r="A4181" s="839">
        <v>64999042</v>
      </c>
      <c r="B4181" s="839">
        <v>2904</v>
      </c>
      <c r="C4181" s="906">
        <v>5121</v>
      </c>
      <c r="D4181" s="907">
        <v>46079</v>
      </c>
      <c r="E4181" s="839" t="s">
        <v>489</v>
      </c>
      <c r="F4181" s="839" t="s">
        <v>299</v>
      </c>
      <c r="G4181" s="916">
        <f>VLOOKUP($A4181,'Tech Litons'!$A:$I,8,FALSE)</f>
        <v>3.3119999999999998E-3</v>
      </c>
      <c r="H4181" s="917">
        <f>VLOOKUP($A4181,'Tech Litons'!$A:$I,9,FALSE)</f>
        <v>240</v>
      </c>
      <c r="I4181" s="917" t="str">
        <f>VLOOKUP($A4181,'Tech Litons'!$A:$C,3,0)</f>
        <v>YS PTS</v>
      </c>
      <c r="J4181" s="918" t="str">
        <f t="shared" si="420"/>
        <v>2904YS PTS</v>
      </c>
      <c r="K4181" s="919">
        <v>1</v>
      </c>
      <c r="L4181" s="920">
        <f t="shared" si="421"/>
        <v>5121</v>
      </c>
      <c r="M4181" s="920">
        <f t="shared" si="422"/>
        <v>16.960751999999999</v>
      </c>
      <c r="N4181" s="920">
        <f t="shared" si="423"/>
        <v>21.337499999999999</v>
      </c>
      <c r="O4181" s="918" t="str">
        <f t="shared" si="424"/>
        <v>Feb</v>
      </c>
      <c r="P4181" s="921">
        <f t="shared" si="425"/>
        <v>9</v>
      </c>
    </row>
    <row r="4182" spans="1:16" ht="15" hidden="1" customHeight="1">
      <c r="A4182" s="839">
        <v>64999042</v>
      </c>
      <c r="B4182" s="839">
        <v>2904</v>
      </c>
      <c r="C4182" s="906">
        <v>-15</v>
      </c>
      <c r="D4182" s="907">
        <v>46100</v>
      </c>
      <c r="E4182" s="839" t="s">
        <v>489</v>
      </c>
      <c r="F4182" s="839" t="s">
        <v>299</v>
      </c>
      <c r="G4182" s="916">
        <f>VLOOKUP($A4182,'Tech Litons'!$A:$I,8,FALSE)</f>
        <v>3.3119999999999998E-3</v>
      </c>
      <c r="H4182" s="917">
        <f>VLOOKUP($A4182,'Tech Litons'!$A:$I,9,FALSE)</f>
        <v>240</v>
      </c>
      <c r="I4182" s="917" t="str">
        <f>VLOOKUP($A4182,'Tech Litons'!$A:$C,3,0)</f>
        <v>YS PTS</v>
      </c>
      <c r="J4182" s="918" t="str">
        <f t="shared" si="420"/>
        <v>2904YS PTS</v>
      </c>
      <c r="K4182" s="919">
        <v>1</v>
      </c>
      <c r="L4182" s="920">
        <f t="shared" si="421"/>
        <v>-15</v>
      </c>
      <c r="M4182" s="920">
        <f t="shared" si="422"/>
        <v>-4.9679999999999995E-2</v>
      </c>
      <c r="N4182" s="920">
        <f t="shared" si="423"/>
        <v>-6.25E-2</v>
      </c>
      <c r="O4182" s="918" t="str">
        <f t="shared" si="424"/>
        <v>Mar</v>
      </c>
      <c r="P4182" s="921">
        <f t="shared" si="425"/>
        <v>12</v>
      </c>
    </row>
    <row r="4183" spans="1:16" ht="15" hidden="1" customHeight="1">
      <c r="A4183" s="839">
        <v>64999042</v>
      </c>
      <c r="B4183" s="839">
        <v>2904</v>
      </c>
      <c r="C4183" s="906">
        <v>7890</v>
      </c>
      <c r="D4183" s="907">
        <v>46079</v>
      </c>
      <c r="E4183" s="839" t="s">
        <v>489</v>
      </c>
      <c r="F4183" s="839" t="s">
        <v>299</v>
      </c>
      <c r="G4183" s="916">
        <f>VLOOKUP($A4183,'Tech Litons'!$A:$I,8,FALSE)</f>
        <v>3.3119999999999998E-3</v>
      </c>
      <c r="H4183" s="917">
        <f>VLOOKUP($A4183,'Tech Litons'!$A:$I,9,FALSE)</f>
        <v>240</v>
      </c>
      <c r="I4183" s="917" t="str">
        <f>VLOOKUP($A4183,'Tech Litons'!$A:$C,3,0)</f>
        <v>YS PTS</v>
      </c>
      <c r="J4183" s="918" t="str">
        <f t="shared" si="420"/>
        <v>2904YS PTS</v>
      </c>
      <c r="K4183" s="919">
        <v>1</v>
      </c>
      <c r="L4183" s="920">
        <f t="shared" si="421"/>
        <v>7890</v>
      </c>
      <c r="M4183" s="920">
        <f t="shared" si="422"/>
        <v>26.131679999999999</v>
      </c>
      <c r="N4183" s="920">
        <f t="shared" si="423"/>
        <v>32.875</v>
      </c>
      <c r="O4183" s="918" t="str">
        <f t="shared" si="424"/>
        <v>Feb</v>
      </c>
      <c r="P4183" s="921">
        <f t="shared" si="425"/>
        <v>9</v>
      </c>
    </row>
    <row r="4184" spans="1:16" ht="15" hidden="1" customHeight="1">
      <c r="A4184" s="839">
        <v>64999042</v>
      </c>
      <c r="B4184" s="839">
        <v>2904</v>
      </c>
      <c r="C4184" s="906">
        <v>10860</v>
      </c>
      <c r="D4184" s="907">
        <v>46080</v>
      </c>
      <c r="E4184" s="839" t="s">
        <v>489</v>
      </c>
      <c r="F4184" s="839" t="s">
        <v>299</v>
      </c>
      <c r="G4184" s="916">
        <f>VLOOKUP($A4184,'Tech Litons'!$A:$I,8,FALSE)</f>
        <v>3.3119999999999998E-3</v>
      </c>
      <c r="H4184" s="917">
        <f>VLOOKUP($A4184,'Tech Litons'!$A:$I,9,FALSE)</f>
        <v>240</v>
      </c>
      <c r="I4184" s="917" t="str">
        <f>VLOOKUP($A4184,'Tech Litons'!$A:$C,3,0)</f>
        <v>YS PTS</v>
      </c>
      <c r="J4184" s="918" t="str">
        <f t="shared" si="420"/>
        <v>2904YS PTS</v>
      </c>
      <c r="K4184" s="919">
        <v>1</v>
      </c>
      <c r="L4184" s="920">
        <f t="shared" si="421"/>
        <v>10860</v>
      </c>
      <c r="M4184" s="920">
        <f t="shared" si="422"/>
        <v>35.968319999999999</v>
      </c>
      <c r="N4184" s="920">
        <f t="shared" si="423"/>
        <v>45.25</v>
      </c>
      <c r="O4184" s="918" t="str">
        <f t="shared" si="424"/>
        <v>Feb</v>
      </c>
      <c r="P4184" s="921">
        <f t="shared" si="425"/>
        <v>9</v>
      </c>
    </row>
    <row r="4185" spans="1:16" ht="15" hidden="1" customHeight="1">
      <c r="A4185" s="839">
        <v>64999042</v>
      </c>
      <c r="B4185" s="839">
        <v>2904</v>
      </c>
      <c r="C4185" s="906">
        <v>5416</v>
      </c>
      <c r="D4185" s="907">
        <v>46080</v>
      </c>
      <c r="E4185" s="839" t="s">
        <v>489</v>
      </c>
      <c r="F4185" s="839" t="s">
        <v>299</v>
      </c>
      <c r="G4185" s="916">
        <f>VLOOKUP($A4185,'Tech Litons'!$A:$I,8,FALSE)</f>
        <v>3.3119999999999998E-3</v>
      </c>
      <c r="H4185" s="917">
        <f>VLOOKUP($A4185,'Tech Litons'!$A:$I,9,FALSE)</f>
        <v>240</v>
      </c>
      <c r="I4185" s="917" t="str">
        <f>VLOOKUP($A4185,'Tech Litons'!$A:$C,3,0)</f>
        <v>YS PTS</v>
      </c>
      <c r="J4185" s="918" t="str">
        <f t="shared" si="420"/>
        <v>2904YS PTS</v>
      </c>
      <c r="K4185" s="919">
        <v>1</v>
      </c>
      <c r="L4185" s="920">
        <f t="shared" si="421"/>
        <v>5416</v>
      </c>
      <c r="M4185" s="920">
        <f t="shared" si="422"/>
        <v>17.937791999999998</v>
      </c>
      <c r="N4185" s="920">
        <f t="shared" si="423"/>
        <v>22.566666666666666</v>
      </c>
      <c r="O4185" s="918" t="str">
        <f t="shared" si="424"/>
        <v>Feb</v>
      </c>
      <c r="P4185" s="921">
        <f t="shared" si="425"/>
        <v>9</v>
      </c>
    </row>
    <row r="4186" spans="1:16" ht="15" hidden="1" customHeight="1">
      <c r="A4186" s="839">
        <v>64999042</v>
      </c>
      <c r="B4186" s="839">
        <v>2904</v>
      </c>
      <c r="C4186" s="906">
        <v>386</v>
      </c>
      <c r="D4186" s="907">
        <v>46081</v>
      </c>
      <c r="E4186" s="839" t="s">
        <v>489</v>
      </c>
      <c r="F4186" s="839" t="s">
        <v>299</v>
      </c>
      <c r="G4186" s="916">
        <f>VLOOKUP($A4186,'Tech Litons'!$A:$I,8,FALSE)</f>
        <v>3.3119999999999998E-3</v>
      </c>
      <c r="H4186" s="917">
        <f>VLOOKUP($A4186,'Tech Litons'!$A:$I,9,FALSE)</f>
        <v>240</v>
      </c>
      <c r="I4186" s="917" t="str">
        <f>VLOOKUP($A4186,'Tech Litons'!$A:$C,3,0)</f>
        <v>YS PTS</v>
      </c>
      <c r="J4186" s="918" t="str">
        <f t="shared" si="420"/>
        <v>2904YS PTS</v>
      </c>
      <c r="K4186" s="919">
        <v>1</v>
      </c>
      <c r="L4186" s="920">
        <f t="shared" si="421"/>
        <v>386</v>
      </c>
      <c r="M4186" s="920">
        <f t="shared" si="422"/>
        <v>1.278432</v>
      </c>
      <c r="N4186" s="920">
        <f t="shared" si="423"/>
        <v>1.6083333333333334</v>
      </c>
      <c r="O4186" s="918" t="str">
        <f t="shared" si="424"/>
        <v>Feb</v>
      </c>
      <c r="P4186" s="921">
        <f t="shared" si="425"/>
        <v>9</v>
      </c>
    </row>
    <row r="4187" spans="1:16" ht="15" hidden="1" customHeight="1">
      <c r="A4187" s="839">
        <v>65242605</v>
      </c>
      <c r="B4187" s="839">
        <v>2904</v>
      </c>
      <c r="C4187" s="906">
        <v>5813</v>
      </c>
      <c r="D4187" s="907">
        <v>46093</v>
      </c>
      <c r="E4187" s="839" t="s">
        <v>1193</v>
      </c>
      <c r="F4187" s="839" t="s">
        <v>277</v>
      </c>
      <c r="G4187" s="916">
        <f>VLOOKUP($A4187,'Tech Litons'!$A:$I,8,FALSE)</f>
        <v>3.7839999999999996E-3</v>
      </c>
      <c r="H4187" s="917">
        <f>VLOOKUP($A4187,'Tech Litons'!$A:$I,9,FALSE)</f>
        <v>240</v>
      </c>
      <c r="I4187" s="917" t="str">
        <f>VLOOKUP($A4187,'Tech Litons'!$A:$C,3,0)</f>
        <v>Talenti</v>
      </c>
      <c r="J4187" s="918" t="str">
        <f t="shared" si="420"/>
        <v>2904Talenti</v>
      </c>
      <c r="K4187" s="919">
        <v>1</v>
      </c>
      <c r="L4187" s="920">
        <f t="shared" si="421"/>
        <v>5813</v>
      </c>
      <c r="M4187" s="920">
        <f t="shared" si="422"/>
        <v>21.996391999999997</v>
      </c>
      <c r="N4187" s="920">
        <f t="shared" si="423"/>
        <v>24.220833333333335</v>
      </c>
      <c r="O4187" s="918" t="str">
        <f t="shared" si="424"/>
        <v>Mar</v>
      </c>
      <c r="P4187" s="921">
        <f t="shared" si="425"/>
        <v>11</v>
      </c>
    </row>
    <row r="4188" spans="1:16" ht="15" hidden="1" customHeight="1">
      <c r="A4188" s="839">
        <v>65242605</v>
      </c>
      <c r="B4188" s="839">
        <v>2904</v>
      </c>
      <c r="C4188" s="906">
        <v>5746</v>
      </c>
      <c r="D4188" s="907">
        <v>46093</v>
      </c>
      <c r="E4188" s="839" t="s">
        <v>1193</v>
      </c>
      <c r="F4188" s="839" t="s">
        <v>277</v>
      </c>
      <c r="G4188" s="916">
        <f>VLOOKUP($A4188,'Tech Litons'!$A:$I,8,FALSE)</f>
        <v>3.7839999999999996E-3</v>
      </c>
      <c r="H4188" s="917">
        <f>VLOOKUP($A4188,'Tech Litons'!$A:$I,9,FALSE)</f>
        <v>240</v>
      </c>
      <c r="I4188" s="917" t="str">
        <f>VLOOKUP($A4188,'Tech Litons'!$A:$C,3,0)</f>
        <v>Talenti</v>
      </c>
      <c r="J4188" s="918" t="str">
        <f t="shared" si="420"/>
        <v>2904Talenti</v>
      </c>
      <c r="K4188" s="919">
        <v>1</v>
      </c>
      <c r="L4188" s="920">
        <f t="shared" si="421"/>
        <v>5746</v>
      </c>
      <c r="M4188" s="920">
        <f t="shared" si="422"/>
        <v>21.742863999999997</v>
      </c>
      <c r="N4188" s="920">
        <f t="shared" si="423"/>
        <v>23.941666666666666</v>
      </c>
      <c r="O4188" s="918" t="str">
        <f t="shared" si="424"/>
        <v>Mar</v>
      </c>
      <c r="P4188" s="921">
        <f t="shared" si="425"/>
        <v>11</v>
      </c>
    </row>
    <row r="4189" spans="1:16" ht="15" hidden="1" customHeight="1">
      <c r="A4189" s="839">
        <v>65458353</v>
      </c>
      <c r="B4189" s="839">
        <v>2904</v>
      </c>
      <c r="C4189" s="906">
        <v>0</v>
      </c>
      <c r="D4189" s="907">
        <v>46085</v>
      </c>
      <c r="E4189" s="839" t="s">
        <v>1230</v>
      </c>
      <c r="F4189" s="839" t="s">
        <v>40</v>
      </c>
      <c r="G4189" s="916">
        <f>VLOOKUP($A4189,'Tech Litons'!$A:$I,8,FALSE)</f>
        <v>3.4159999999999998E-3</v>
      </c>
      <c r="H4189" s="917">
        <f>VLOOKUP($A4189,'Tech Litons'!$A:$I,9,FALSE)</f>
        <v>240</v>
      </c>
      <c r="I4189" s="917" t="str">
        <f>VLOOKUP($A4189,'Tech Litons'!$A:$C,3,0)</f>
        <v>Sundaes</v>
      </c>
      <c r="J4189" s="918" t="str">
        <f t="shared" si="420"/>
        <v>2904Sundaes</v>
      </c>
      <c r="K4189" s="919">
        <v>1</v>
      </c>
      <c r="L4189" s="920">
        <f t="shared" si="421"/>
        <v>0</v>
      </c>
      <c r="M4189" s="920">
        <f t="shared" si="422"/>
        <v>0</v>
      </c>
      <c r="N4189" s="920">
        <f t="shared" si="423"/>
        <v>0</v>
      </c>
      <c r="O4189" s="918" t="str">
        <f t="shared" si="424"/>
        <v>Mar</v>
      </c>
      <c r="P4189" s="921">
        <f t="shared" si="425"/>
        <v>10</v>
      </c>
    </row>
    <row r="4190" spans="1:16" ht="15" hidden="1" customHeight="1">
      <c r="A4190" s="839">
        <v>65458353</v>
      </c>
      <c r="B4190" s="839">
        <v>2904</v>
      </c>
      <c r="C4190" s="906">
        <v>7680</v>
      </c>
      <c r="D4190" s="907">
        <v>46086</v>
      </c>
      <c r="E4190" s="839" t="s">
        <v>1230</v>
      </c>
      <c r="F4190" s="839" t="s">
        <v>40</v>
      </c>
      <c r="G4190" s="916">
        <f>VLOOKUP($A4190,'Tech Litons'!$A:$I,8,FALSE)</f>
        <v>3.4159999999999998E-3</v>
      </c>
      <c r="H4190" s="917">
        <f>VLOOKUP($A4190,'Tech Litons'!$A:$I,9,FALSE)</f>
        <v>240</v>
      </c>
      <c r="I4190" s="917" t="str">
        <f>VLOOKUP($A4190,'Tech Litons'!$A:$C,3,0)</f>
        <v>Sundaes</v>
      </c>
      <c r="J4190" s="918" t="str">
        <f t="shared" si="420"/>
        <v>2904Sundaes</v>
      </c>
      <c r="K4190" s="919">
        <v>1</v>
      </c>
      <c r="L4190" s="920">
        <f t="shared" si="421"/>
        <v>7680</v>
      </c>
      <c r="M4190" s="920">
        <f t="shared" si="422"/>
        <v>26.234879999999997</v>
      </c>
      <c r="N4190" s="920">
        <f t="shared" si="423"/>
        <v>32</v>
      </c>
      <c r="O4190" s="918" t="str">
        <f t="shared" si="424"/>
        <v>Mar</v>
      </c>
      <c r="P4190" s="921">
        <f t="shared" si="425"/>
        <v>10</v>
      </c>
    </row>
    <row r="4191" spans="1:16" ht="15" hidden="1" customHeight="1">
      <c r="A4191" s="839">
        <v>65458353</v>
      </c>
      <c r="B4191" s="839">
        <v>2904</v>
      </c>
      <c r="C4191" s="906">
        <v>382</v>
      </c>
      <c r="D4191" s="907">
        <v>46087</v>
      </c>
      <c r="E4191" s="839" t="s">
        <v>1230</v>
      </c>
      <c r="F4191" s="839" t="s">
        <v>40</v>
      </c>
      <c r="G4191" s="916">
        <f>VLOOKUP($A4191,'Tech Litons'!$A:$I,8,FALSE)</f>
        <v>3.4159999999999998E-3</v>
      </c>
      <c r="H4191" s="917">
        <f>VLOOKUP($A4191,'Tech Litons'!$A:$I,9,FALSE)</f>
        <v>240</v>
      </c>
      <c r="I4191" s="917" t="str">
        <f>VLOOKUP($A4191,'Tech Litons'!$A:$C,3,0)</f>
        <v>Sundaes</v>
      </c>
      <c r="J4191" s="918" t="str">
        <f t="shared" si="420"/>
        <v>2904Sundaes</v>
      </c>
      <c r="K4191" s="919">
        <v>1</v>
      </c>
      <c r="L4191" s="920">
        <f t="shared" si="421"/>
        <v>382</v>
      </c>
      <c r="M4191" s="920">
        <f t="shared" si="422"/>
        <v>1.3049119999999998</v>
      </c>
      <c r="N4191" s="920">
        <f t="shared" si="423"/>
        <v>1.5916666666666666</v>
      </c>
      <c r="O4191" s="918" t="str">
        <f t="shared" si="424"/>
        <v>Mar</v>
      </c>
      <c r="P4191" s="921">
        <f t="shared" si="425"/>
        <v>10</v>
      </c>
    </row>
    <row r="4192" spans="1:16" ht="15" hidden="1" customHeight="1">
      <c r="A4192" s="839">
        <v>65459033</v>
      </c>
      <c r="B4192" s="839">
        <v>2904</v>
      </c>
      <c r="C4192" s="906">
        <v>15</v>
      </c>
      <c r="D4192" s="907">
        <v>46097</v>
      </c>
      <c r="E4192" s="839" t="s">
        <v>1060</v>
      </c>
      <c r="F4192" s="839" t="s">
        <v>299</v>
      </c>
      <c r="G4192" s="916">
        <f>VLOOKUP($A4192,'Tech Litons'!$A:$I,8,FALSE)</f>
        <v>3.7839999999999996E-3</v>
      </c>
      <c r="H4192" s="917">
        <f>VLOOKUP($A4192,'Tech Litons'!$A:$I,9,FALSE)</f>
        <v>240</v>
      </c>
      <c r="I4192" s="917" t="str">
        <f>VLOOKUP($A4192,'Tech Litons'!$A:$C,3,0)</f>
        <v>Other</v>
      </c>
      <c r="J4192" s="918" t="str">
        <f t="shared" si="420"/>
        <v>2904Other</v>
      </c>
      <c r="K4192" s="919">
        <v>1</v>
      </c>
      <c r="L4192" s="920">
        <f t="shared" si="421"/>
        <v>15</v>
      </c>
      <c r="M4192" s="920">
        <f t="shared" si="422"/>
        <v>5.6759999999999991E-2</v>
      </c>
      <c r="N4192" s="920">
        <f t="shared" si="423"/>
        <v>6.25E-2</v>
      </c>
      <c r="O4192" s="918" t="str">
        <f t="shared" si="424"/>
        <v>Mar</v>
      </c>
      <c r="P4192" s="921">
        <f t="shared" si="425"/>
        <v>12</v>
      </c>
    </row>
    <row r="4193" spans="1:16" ht="15" hidden="1" customHeight="1">
      <c r="A4193" s="839">
        <v>65471855</v>
      </c>
      <c r="B4193" s="839">
        <v>2904</v>
      </c>
      <c r="C4193" s="906">
        <v>960</v>
      </c>
      <c r="D4193" s="907">
        <v>46076</v>
      </c>
      <c r="E4193" s="839" t="s">
        <v>248</v>
      </c>
      <c r="F4193" s="839" t="s">
        <v>299</v>
      </c>
      <c r="G4193" s="916">
        <f>VLOOKUP($A4193,'Tech Litons'!$A:$I,8,FALSE)</f>
        <v>3.7839999999999996E-3</v>
      </c>
      <c r="H4193" s="917">
        <f>VLOOKUP($A4193,'Tech Litons'!$A:$I,9,FALSE)</f>
        <v>240</v>
      </c>
      <c r="I4193" s="917" t="str">
        <f>VLOOKUP($A4193,'Tech Litons'!$A:$C,3,0)</f>
        <v>Other</v>
      </c>
      <c r="J4193" s="918" t="str">
        <f t="shared" si="420"/>
        <v>2904Other</v>
      </c>
      <c r="K4193" s="919">
        <v>1</v>
      </c>
      <c r="L4193" s="920">
        <f t="shared" si="421"/>
        <v>960</v>
      </c>
      <c r="M4193" s="920">
        <f t="shared" si="422"/>
        <v>3.6326399999999994</v>
      </c>
      <c r="N4193" s="920">
        <f t="shared" si="423"/>
        <v>4</v>
      </c>
      <c r="O4193" s="918" t="str">
        <f t="shared" si="424"/>
        <v>Feb</v>
      </c>
      <c r="P4193" s="921">
        <f t="shared" si="425"/>
        <v>9</v>
      </c>
    </row>
    <row r="4194" spans="1:16" ht="15" customHeight="1">
      <c r="A4194" s="839">
        <v>65594416</v>
      </c>
      <c r="B4194" s="839">
        <v>2904</v>
      </c>
      <c r="C4194" s="906">
        <v>3456</v>
      </c>
      <c r="D4194" s="907">
        <v>46100</v>
      </c>
      <c r="E4194" s="839" t="s">
        <v>1241</v>
      </c>
      <c r="F4194" s="839" t="s">
        <v>283</v>
      </c>
      <c r="G4194" s="916">
        <f>VLOOKUP($A4194,'Tech Litons'!$A:$I,8,FALSE)</f>
        <v>9.5999999999999992E-4</v>
      </c>
      <c r="H4194" s="917">
        <f>VLOOKUP($A4194,'Tech Litons'!$A:$I,9,FALSE)</f>
        <v>432</v>
      </c>
      <c r="I4194" s="917" t="str">
        <f>VLOOKUP($A4194,'Tech Litons'!$A:$C,3,0)</f>
        <v>MG Sticks</v>
      </c>
      <c r="J4194" s="918" t="str">
        <f t="shared" si="420"/>
        <v>2904MG Sticks</v>
      </c>
      <c r="K4194" s="919">
        <v>1</v>
      </c>
      <c r="L4194" s="920">
        <f t="shared" si="421"/>
        <v>3456</v>
      </c>
      <c r="M4194" s="920">
        <f t="shared" si="422"/>
        <v>3.3177599999999998</v>
      </c>
      <c r="N4194" s="920">
        <f t="shared" si="423"/>
        <v>8</v>
      </c>
      <c r="O4194" s="918" t="str">
        <f t="shared" si="424"/>
        <v>Mar</v>
      </c>
      <c r="P4194" s="921">
        <f t="shared" si="425"/>
        <v>12</v>
      </c>
    </row>
    <row r="4195" spans="1:16" ht="15" customHeight="1">
      <c r="A4195" s="839">
        <v>65594416</v>
      </c>
      <c r="B4195" s="839">
        <v>2904</v>
      </c>
      <c r="C4195" s="906">
        <v>5532</v>
      </c>
      <c r="D4195" s="907">
        <v>46101</v>
      </c>
      <c r="E4195" s="839" t="s">
        <v>1241</v>
      </c>
      <c r="F4195" s="839" t="s">
        <v>283</v>
      </c>
      <c r="G4195" s="916">
        <f>VLOOKUP($A4195,'Tech Litons'!$A:$I,8,FALSE)</f>
        <v>9.5999999999999992E-4</v>
      </c>
      <c r="H4195" s="917">
        <f>VLOOKUP($A4195,'Tech Litons'!$A:$I,9,FALSE)</f>
        <v>432</v>
      </c>
      <c r="I4195" s="917" t="str">
        <f>VLOOKUP($A4195,'Tech Litons'!$A:$C,3,0)</f>
        <v>MG Sticks</v>
      </c>
      <c r="J4195" s="918" t="str">
        <f t="shared" si="420"/>
        <v>2904MG Sticks</v>
      </c>
      <c r="K4195" s="919">
        <v>1</v>
      </c>
      <c r="L4195" s="920">
        <f t="shared" si="421"/>
        <v>5532</v>
      </c>
      <c r="M4195" s="920">
        <f t="shared" si="422"/>
        <v>5.3107199999999999</v>
      </c>
      <c r="N4195" s="920">
        <f t="shared" si="423"/>
        <v>12.805555555555555</v>
      </c>
      <c r="O4195" s="918" t="str">
        <f t="shared" si="424"/>
        <v>Mar</v>
      </c>
      <c r="P4195" s="921">
        <f t="shared" si="425"/>
        <v>12</v>
      </c>
    </row>
    <row r="4196" spans="1:16" ht="15" customHeight="1">
      <c r="A4196" s="839">
        <v>65594416</v>
      </c>
      <c r="B4196" s="839">
        <v>2904</v>
      </c>
      <c r="C4196" s="906">
        <v>8405</v>
      </c>
      <c r="D4196" s="907">
        <v>46101</v>
      </c>
      <c r="E4196" s="839" t="s">
        <v>1241</v>
      </c>
      <c r="F4196" s="839" t="s">
        <v>283</v>
      </c>
      <c r="G4196" s="916">
        <f>VLOOKUP($A4196,'Tech Litons'!$A:$I,8,FALSE)</f>
        <v>9.5999999999999992E-4</v>
      </c>
      <c r="H4196" s="917">
        <f>VLOOKUP($A4196,'Tech Litons'!$A:$I,9,FALSE)</f>
        <v>432</v>
      </c>
      <c r="I4196" s="917" t="str">
        <f>VLOOKUP($A4196,'Tech Litons'!$A:$C,3,0)</f>
        <v>MG Sticks</v>
      </c>
      <c r="J4196" s="918" t="str">
        <f t="shared" si="420"/>
        <v>2904MG Sticks</v>
      </c>
      <c r="K4196" s="919">
        <v>1</v>
      </c>
      <c r="L4196" s="920">
        <f t="shared" si="421"/>
        <v>8405</v>
      </c>
      <c r="M4196" s="920">
        <f t="shared" si="422"/>
        <v>8.0687999999999995</v>
      </c>
      <c r="N4196" s="920">
        <f t="shared" si="423"/>
        <v>19.456018518518519</v>
      </c>
      <c r="O4196" s="918" t="str">
        <f t="shared" si="424"/>
        <v>Mar</v>
      </c>
      <c r="P4196" s="921">
        <f t="shared" si="425"/>
        <v>12</v>
      </c>
    </row>
    <row r="4197" spans="1:16" ht="15" customHeight="1">
      <c r="A4197" s="839">
        <v>65594416</v>
      </c>
      <c r="B4197" s="839">
        <v>2904</v>
      </c>
      <c r="C4197" s="906">
        <v>9263</v>
      </c>
      <c r="D4197" s="907">
        <v>46102</v>
      </c>
      <c r="E4197" s="839" t="s">
        <v>1241</v>
      </c>
      <c r="F4197" s="839" t="s">
        <v>283</v>
      </c>
      <c r="G4197" s="916">
        <f>VLOOKUP($A4197,'Tech Litons'!$A:$I,8,FALSE)</f>
        <v>9.5999999999999992E-4</v>
      </c>
      <c r="H4197" s="917">
        <f>VLOOKUP($A4197,'Tech Litons'!$A:$I,9,FALSE)</f>
        <v>432</v>
      </c>
      <c r="I4197" s="917" t="str">
        <f>VLOOKUP($A4197,'Tech Litons'!$A:$C,3,0)</f>
        <v>MG Sticks</v>
      </c>
      <c r="J4197" s="918" t="str">
        <f t="shared" si="420"/>
        <v>2904MG Sticks</v>
      </c>
      <c r="K4197" s="919">
        <v>1</v>
      </c>
      <c r="L4197" s="920">
        <f t="shared" si="421"/>
        <v>9263</v>
      </c>
      <c r="M4197" s="920">
        <f t="shared" si="422"/>
        <v>8.8924799999999991</v>
      </c>
      <c r="N4197" s="920">
        <f t="shared" si="423"/>
        <v>21.44212962962963</v>
      </c>
      <c r="O4197" s="918" t="str">
        <f t="shared" si="424"/>
        <v>Mar</v>
      </c>
      <c r="P4197" s="921">
        <f t="shared" si="425"/>
        <v>12</v>
      </c>
    </row>
    <row r="4198" spans="1:16" ht="15" customHeight="1">
      <c r="A4198" s="839">
        <v>65594416</v>
      </c>
      <c r="B4198" s="839">
        <v>2904</v>
      </c>
      <c r="C4198" s="906">
        <v>19871</v>
      </c>
      <c r="D4198" s="907">
        <v>46102</v>
      </c>
      <c r="E4198" s="839" t="s">
        <v>1241</v>
      </c>
      <c r="F4198" s="839" t="s">
        <v>283</v>
      </c>
      <c r="G4198" s="916">
        <f>VLOOKUP($A4198,'Tech Litons'!$A:$I,8,FALSE)</f>
        <v>9.5999999999999992E-4</v>
      </c>
      <c r="H4198" s="917">
        <f>VLOOKUP($A4198,'Tech Litons'!$A:$I,9,FALSE)</f>
        <v>432</v>
      </c>
      <c r="I4198" s="917" t="str">
        <f>VLOOKUP($A4198,'Tech Litons'!$A:$C,3,0)</f>
        <v>MG Sticks</v>
      </c>
      <c r="J4198" s="918" t="str">
        <f t="shared" si="420"/>
        <v>2904MG Sticks</v>
      </c>
      <c r="K4198" s="919">
        <v>1</v>
      </c>
      <c r="L4198" s="920">
        <f t="shared" si="421"/>
        <v>19871</v>
      </c>
      <c r="M4198" s="920">
        <f t="shared" si="422"/>
        <v>19.076159999999998</v>
      </c>
      <c r="N4198" s="920">
        <f t="shared" si="423"/>
        <v>45.997685185185183</v>
      </c>
      <c r="O4198" s="918" t="str">
        <f t="shared" si="424"/>
        <v>Mar</v>
      </c>
      <c r="P4198" s="921">
        <f t="shared" si="425"/>
        <v>12</v>
      </c>
    </row>
    <row r="4199" spans="1:16" ht="15" customHeight="1">
      <c r="A4199" s="839">
        <v>65594416</v>
      </c>
      <c r="B4199" s="839">
        <v>2904</v>
      </c>
      <c r="C4199" s="906">
        <v>14256</v>
      </c>
      <c r="D4199" s="907">
        <v>46103</v>
      </c>
      <c r="E4199" s="839" t="s">
        <v>1241</v>
      </c>
      <c r="F4199" s="839" t="s">
        <v>283</v>
      </c>
      <c r="G4199" s="916">
        <f>VLOOKUP($A4199,'Tech Litons'!$A:$I,8,FALSE)</f>
        <v>9.5999999999999992E-4</v>
      </c>
      <c r="H4199" s="917">
        <f>VLOOKUP($A4199,'Tech Litons'!$A:$I,9,FALSE)</f>
        <v>432</v>
      </c>
      <c r="I4199" s="917" t="str">
        <f>VLOOKUP($A4199,'Tech Litons'!$A:$C,3,0)</f>
        <v>MG Sticks</v>
      </c>
      <c r="J4199" s="918" t="str">
        <f t="shared" si="420"/>
        <v>2904MG Sticks</v>
      </c>
      <c r="K4199" s="919">
        <v>1</v>
      </c>
      <c r="L4199" s="920">
        <f t="shared" si="421"/>
        <v>14256</v>
      </c>
      <c r="M4199" s="920">
        <f t="shared" si="422"/>
        <v>13.685759999999998</v>
      </c>
      <c r="N4199" s="920">
        <f t="shared" si="423"/>
        <v>33</v>
      </c>
      <c r="O4199" s="918" t="str">
        <f t="shared" si="424"/>
        <v>Mar</v>
      </c>
      <c r="P4199" s="921">
        <f t="shared" si="425"/>
        <v>13</v>
      </c>
    </row>
    <row r="4200" spans="1:16" ht="15" customHeight="1">
      <c r="A4200" s="839">
        <v>65594416</v>
      </c>
      <c r="B4200" s="839">
        <v>2904</v>
      </c>
      <c r="C4200" s="906">
        <v>10629</v>
      </c>
      <c r="D4200" s="907">
        <v>46103</v>
      </c>
      <c r="E4200" s="839" t="s">
        <v>1241</v>
      </c>
      <c r="F4200" s="839" t="s">
        <v>283</v>
      </c>
      <c r="G4200" s="916">
        <f>VLOOKUP($A4200,'Tech Litons'!$A:$I,8,FALSE)</f>
        <v>9.5999999999999992E-4</v>
      </c>
      <c r="H4200" s="917">
        <f>VLOOKUP($A4200,'Tech Litons'!$A:$I,9,FALSE)</f>
        <v>432</v>
      </c>
      <c r="I4200" s="917" t="str">
        <f>VLOOKUP($A4200,'Tech Litons'!$A:$C,3,0)</f>
        <v>MG Sticks</v>
      </c>
      <c r="J4200" s="918" t="str">
        <f t="shared" si="420"/>
        <v>2904MG Sticks</v>
      </c>
      <c r="K4200" s="919">
        <v>1</v>
      </c>
      <c r="L4200" s="920">
        <f t="shared" si="421"/>
        <v>10629</v>
      </c>
      <c r="M4200" s="920">
        <f t="shared" si="422"/>
        <v>10.20384</v>
      </c>
      <c r="N4200" s="920">
        <f t="shared" si="423"/>
        <v>24.604166666666668</v>
      </c>
      <c r="O4200" s="918" t="str">
        <f t="shared" si="424"/>
        <v>Mar</v>
      </c>
      <c r="P4200" s="921">
        <f t="shared" si="425"/>
        <v>13</v>
      </c>
    </row>
    <row r="4201" spans="1:16" ht="15" customHeight="1">
      <c r="A4201" s="839">
        <v>65594416</v>
      </c>
      <c r="B4201" s="839">
        <v>2904</v>
      </c>
      <c r="C4201" s="906">
        <v>11118</v>
      </c>
      <c r="D4201" s="907">
        <v>46104</v>
      </c>
      <c r="E4201" s="839" t="s">
        <v>1241</v>
      </c>
      <c r="F4201" s="839" t="s">
        <v>283</v>
      </c>
      <c r="G4201" s="916">
        <f>VLOOKUP($A4201,'Tech Litons'!$A:$I,8,FALSE)</f>
        <v>9.5999999999999992E-4</v>
      </c>
      <c r="H4201" s="917">
        <f>VLOOKUP($A4201,'Tech Litons'!$A:$I,9,FALSE)</f>
        <v>432</v>
      </c>
      <c r="I4201" s="917" t="str">
        <f>VLOOKUP($A4201,'Tech Litons'!$A:$C,3,0)</f>
        <v>MG Sticks</v>
      </c>
      <c r="J4201" s="918" t="str">
        <f t="shared" si="420"/>
        <v>2904MG Sticks</v>
      </c>
      <c r="K4201" s="919">
        <v>1</v>
      </c>
      <c r="L4201" s="920">
        <f t="shared" si="421"/>
        <v>11118</v>
      </c>
      <c r="M4201" s="920">
        <f t="shared" si="422"/>
        <v>10.673279999999998</v>
      </c>
      <c r="N4201" s="920">
        <f t="shared" si="423"/>
        <v>25.736111111111111</v>
      </c>
      <c r="O4201" s="918" t="str">
        <f t="shared" si="424"/>
        <v>Mar</v>
      </c>
      <c r="P4201" s="921">
        <f t="shared" si="425"/>
        <v>13</v>
      </c>
    </row>
    <row r="4202" spans="1:16" ht="15" customHeight="1">
      <c r="A4202" s="839">
        <v>65594416</v>
      </c>
      <c r="B4202" s="839">
        <v>2904</v>
      </c>
      <c r="C4202" s="906">
        <v>7479</v>
      </c>
      <c r="D4202" s="907">
        <v>46104</v>
      </c>
      <c r="E4202" s="839" t="s">
        <v>1241</v>
      </c>
      <c r="F4202" s="839" t="s">
        <v>283</v>
      </c>
      <c r="G4202" s="916">
        <f>VLOOKUP($A4202,'Tech Litons'!$A:$I,8,FALSE)</f>
        <v>9.5999999999999992E-4</v>
      </c>
      <c r="H4202" s="917">
        <f>VLOOKUP($A4202,'Tech Litons'!$A:$I,9,FALSE)</f>
        <v>432</v>
      </c>
      <c r="I4202" s="917" t="str">
        <f>VLOOKUP($A4202,'Tech Litons'!$A:$C,3,0)</f>
        <v>MG Sticks</v>
      </c>
      <c r="J4202" s="918" t="str">
        <f t="shared" si="420"/>
        <v>2904MG Sticks</v>
      </c>
      <c r="K4202" s="919">
        <v>1</v>
      </c>
      <c r="L4202" s="920">
        <f t="shared" si="421"/>
        <v>7479</v>
      </c>
      <c r="M4202" s="920">
        <f t="shared" si="422"/>
        <v>7.1798399999999996</v>
      </c>
      <c r="N4202" s="920">
        <f t="shared" si="423"/>
        <v>17.3125</v>
      </c>
      <c r="O4202" s="918" t="str">
        <f t="shared" si="424"/>
        <v>Mar</v>
      </c>
      <c r="P4202" s="921">
        <f t="shared" si="425"/>
        <v>13</v>
      </c>
    </row>
    <row r="4203" spans="1:16" ht="15" customHeight="1">
      <c r="A4203" s="839">
        <v>65594416</v>
      </c>
      <c r="B4203" s="839">
        <v>2904</v>
      </c>
      <c r="C4203" s="906">
        <v>12744</v>
      </c>
      <c r="D4203" s="907">
        <v>46105</v>
      </c>
      <c r="E4203" s="839" t="s">
        <v>1241</v>
      </c>
      <c r="F4203" s="839" t="s">
        <v>283</v>
      </c>
      <c r="G4203" s="916">
        <f>VLOOKUP($A4203,'Tech Litons'!$A:$I,8,FALSE)</f>
        <v>9.5999999999999992E-4</v>
      </c>
      <c r="H4203" s="917">
        <f>VLOOKUP($A4203,'Tech Litons'!$A:$I,9,FALSE)</f>
        <v>432</v>
      </c>
      <c r="I4203" s="917" t="str">
        <f>VLOOKUP($A4203,'Tech Litons'!$A:$C,3,0)</f>
        <v>MG Sticks</v>
      </c>
      <c r="J4203" s="918" t="str">
        <f t="shared" si="420"/>
        <v>2904MG Sticks</v>
      </c>
      <c r="K4203" s="919">
        <v>1</v>
      </c>
      <c r="L4203" s="920">
        <f t="shared" si="421"/>
        <v>12744</v>
      </c>
      <c r="M4203" s="920">
        <f t="shared" si="422"/>
        <v>12.23424</v>
      </c>
      <c r="N4203" s="920">
        <f t="shared" si="423"/>
        <v>29.5</v>
      </c>
      <c r="O4203" s="918" t="str">
        <f t="shared" si="424"/>
        <v>Mar</v>
      </c>
      <c r="P4203" s="921">
        <f t="shared" si="425"/>
        <v>13</v>
      </c>
    </row>
    <row r="4204" spans="1:16" ht="15" customHeight="1">
      <c r="A4204" s="839">
        <v>65594416</v>
      </c>
      <c r="B4204" s="839">
        <v>2904</v>
      </c>
      <c r="C4204" s="906">
        <v>16722</v>
      </c>
      <c r="D4204" s="907">
        <v>46105</v>
      </c>
      <c r="E4204" s="839" t="s">
        <v>1241</v>
      </c>
      <c r="F4204" s="839" t="s">
        <v>283</v>
      </c>
      <c r="G4204" s="916">
        <f>VLOOKUP($A4204,'Tech Litons'!$A:$I,8,FALSE)</f>
        <v>9.5999999999999992E-4</v>
      </c>
      <c r="H4204" s="917">
        <f>VLOOKUP($A4204,'Tech Litons'!$A:$I,9,FALSE)</f>
        <v>432</v>
      </c>
      <c r="I4204" s="917" t="str">
        <f>VLOOKUP($A4204,'Tech Litons'!$A:$C,3,0)</f>
        <v>MG Sticks</v>
      </c>
      <c r="J4204" s="918" t="str">
        <f t="shared" si="420"/>
        <v>2904MG Sticks</v>
      </c>
      <c r="K4204" s="919">
        <v>1</v>
      </c>
      <c r="L4204" s="920">
        <f t="shared" si="421"/>
        <v>16722</v>
      </c>
      <c r="M4204" s="920">
        <f t="shared" si="422"/>
        <v>16.05312</v>
      </c>
      <c r="N4204" s="920">
        <f t="shared" si="423"/>
        <v>38.708333333333336</v>
      </c>
      <c r="O4204" s="918" t="str">
        <f t="shared" si="424"/>
        <v>Mar</v>
      </c>
      <c r="P4204" s="921">
        <f t="shared" si="425"/>
        <v>13</v>
      </c>
    </row>
    <row r="4205" spans="1:16" ht="15" hidden="1" customHeight="1">
      <c r="A4205" s="839">
        <v>67826412</v>
      </c>
      <c r="B4205" s="839">
        <v>2904</v>
      </c>
      <c r="C4205" s="906">
        <v>120</v>
      </c>
      <c r="D4205" s="907">
        <v>46076</v>
      </c>
      <c r="E4205" s="839" t="s">
        <v>312</v>
      </c>
      <c r="F4205" s="839" t="s">
        <v>299</v>
      </c>
      <c r="G4205" s="916">
        <f>VLOOKUP($A4205,'Tech Litons'!$A:$I,8,FALSE)</f>
        <v>3.7853439999999999E-3</v>
      </c>
      <c r="H4205" s="917">
        <f>VLOOKUP($A4205,'Tech Litons'!$A:$I,9,FALSE)</f>
        <v>240</v>
      </c>
      <c r="I4205" s="917" t="str">
        <f>VLOOKUP($A4205,'Tech Litons'!$A:$C,3,0)</f>
        <v>BJ PTS</v>
      </c>
      <c r="J4205" s="918" t="str">
        <f t="shared" si="420"/>
        <v>2904BJ PTS</v>
      </c>
      <c r="K4205" s="919">
        <v>1</v>
      </c>
      <c r="L4205" s="920">
        <f t="shared" si="421"/>
        <v>120</v>
      </c>
      <c r="M4205" s="920">
        <f t="shared" si="422"/>
        <v>0.45424127999999997</v>
      </c>
      <c r="N4205" s="920">
        <f t="shared" si="423"/>
        <v>0.5</v>
      </c>
      <c r="O4205" s="918" t="str">
        <f t="shared" si="424"/>
        <v>Feb</v>
      </c>
      <c r="P4205" s="921">
        <f t="shared" si="425"/>
        <v>9</v>
      </c>
    </row>
    <row r="4206" spans="1:16" ht="15" hidden="1" customHeight="1">
      <c r="A4206" s="839">
        <v>67826412</v>
      </c>
      <c r="B4206" s="839">
        <v>2904</v>
      </c>
      <c r="C4206" s="906">
        <v>10884</v>
      </c>
      <c r="D4206" s="907">
        <v>46092</v>
      </c>
      <c r="E4206" s="839" t="s">
        <v>312</v>
      </c>
      <c r="F4206" s="839" t="s">
        <v>299</v>
      </c>
      <c r="G4206" s="916">
        <f>VLOOKUP($A4206,'Tech Litons'!$A:$I,8,FALSE)</f>
        <v>3.7853439999999999E-3</v>
      </c>
      <c r="H4206" s="917">
        <f>VLOOKUP($A4206,'Tech Litons'!$A:$I,9,FALSE)</f>
        <v>240</v>
      </c>
      <c r="I4206" s="917" t="str">
        <f>VLOOKUP($A4206,'Tech Litons'!$A:$C,3,0)</f>
        <v>BJ PTS</v>
      </c>
      <c r="J4206" s="918" t="str">
        <f t="shared" si="420"/>
        <v>2904BJ PTS</v>
      </c>
      <c r="K4206" s="919">
        <v>1</v>
      </c>
      <c r="L4206" s="920">
        <f t="shared" si="421"/>
        <v>10884</v>
      </c>
      <c r="M4206" s="920">
        <f t="shared" si="422"/>
        <v>41.199684095999999</v>
      </c>
      <c r="N4206" s="920">
        <f t="shared" si="423"/>
        <v>45.35</v>
      </c>
      <c r="O4206" s="918" t="str">
        <f t="shared" si="424"/>
        <v>Mar</v>
      </c>
      <c r="P4206" s="921">
        <f t="shared" si="425"/>
        <v>11</v>
      </c>
    </row>
    <row r="4207" spans="1:16" ht="15" hidden="1" customHeight="1">
      <c r="A4207" s="839">
        <v>67826412</v>
      </c>
      <c r="B4207" s="839">
        <v>2904</v>
      </c>
      <c r="C4207" s="906">
        <v>9360</v>
      </c>
      <c r="D4207" s="907">
        <v>46093</v>
      </c>
      <c r="E4207" s="839" t="s">
        <v>312</v>
      </c>
      <c r="F4207" s="839" t="s">
        <v>299</v>
      </c>
      <c r="G4207" s="916">
        <f>VLOOKUP($A4207,'Tech Litons'!$A:$I,8,FALSE)</f>
        <v>3.7853439999999999E-3</v>
      </c>
      <c r="H4207" s="917">
        <f>VLOOKUP($A4207,'Tech Litons'!$A:$I,9,FALSE)</f>
        <v>240</v>
      </c>
      <c r="I4207" s="917" t="str">
        <f>VLOOKUP($A4207,'Tech Litons'!$A:$C,3,0)</f>
        <v>BJ PTS</v>
      </c>
      <c r="J4207" s="918" t="str">
        <f t="shared" si="420"/>
        <v>2904BJ PTS</v>
      </c>
      <c r="K4207" s="919">
        <v>1</v>
      </c>
      <c r="L4207" s="920">
        <f t="shared" si="421"/>
        <v>9360</v>
      </c>
      <c r="M4207" s="920">
        <f t="shared" si="422"/>
        <v>35.430819839999998</v>
      </c>
      <c r="N4207" s="920">
        <f t="shared" si="423"/>
        <v>39</v>
      </c>
      <c r="O4207" s="918" t="str">
        <f t="shared" si="424"/>
        <v>Mar</v>
      </c>
      <c r="P4207" s="921">
        <f t="shared" si="425"/>
        <v>11</v>
      </c>
    </row>
    <row r="4208" spans="1:16" ht="15" hidden="1" customHeight="1">
      <c r="A4208" s="839">
        <v>67826412</v>
      </c>
      <c r="B4208" s="839">
        <v>2904</v>
      </c>
      <c r="C4208" s="906">
        <v>10800</v>
      </c>
      <c r="D4208" s="907">
        <v>46093</v>
      </c>
      <c r="E4208" s="839" t="s">
        <v>312</v>
      </c>
      <c r="F4208" s="839" t="s">
        <v>299</v>
      </c>
      <c r="G4208" s="916">
        <f>VLOOKUP($A4208,'Tech Litons'!$A:$I,8,FALSE)</f>
        <v>3.7853439999999999E-3</v>
      </c>
      <c r="H4208" s="917">
        <f>VLOOKUP($A4208,'Tech Litons'!$A:$I,9,FALSE)</f>
        <v>240</v>
      </c>
      <c r="I4208" s="917" t="str">
        <f>VLOOKUP($A4208,'Tech Litons'!$A:$C,3,0)</f>
        <v>BJ PTS</v>
      </c>
      <c r="J4208" s="918" t="str">
        <f t="shared" si="420"/>
        <v>2904BJ PTS</v>
      </c>
      <c r="K4208" s="919">
        <v>1</v>
      </c>
      <c r="L4208" s="920">
        <f t="shared" si="421"/>
        <v>10800</v>
      </c>
      <c r="M4208" s="920">
        <f t="shared" si="422"/>
        <v>40.881715200000002</v>
      </c>
      <c r="N4208" s="920">
        <f t="shared" si="423"/>
        <v>45</v>
      </c>
      <c r="O4208" s="918" t="str">
        <f t="shared" si="424"/>
        <v>Mar</v>
      </c>
      <c r="P4208" s="921">
        <f t="shared" si="425"/>
        <v>11</v>
      </c>
    </row>
    <row r="4209" spans="1:16" ht="15" hidden="1" customHeight="1">
      <c r="A4209" s="839">
        <v>67826412</v>
      </c>
      <c r="B4209" s="839">
        <v>2904</v>
      </c>
      <c r="C4209" s="906">
        <v>8321</v>
      </c>
      <c r="D4209" s="907">
        <v>46094</v>
      </c>
      <c r="E4209" s="839" t="s">
        <v>312</v>
      </c>
      <c r="F4209" s="839" t="s">
        <v>299</v>
      </c>
      <c r="G4209" s="916">
        <f>VLOOKUP($A4209,'Tech Litons'!$A:$I,8,FALSE)</f>
        <v>3.7853439999999999E-3</v>
      </c>
      <c r="H4209" s="917">
        <f>VLOOKUP($A4209,'Tech Litons'!$A:$I,9,FALSE)</f>
        <v>240</v>
      </c>
      <c r="I4209" s="917" t="str">
        <f>VLOOKUP($A4209,'Tech Litons'!$A:$C,3,0)</f>
        <v>BJ PTS</v>
      </c>
      <c r="J4209" s="918" t="str">
        <f t="shared" si="420"/>
        <v>2904BJ PTS</v>
      </c>
      <c r="K4209" s="919">
        <v>1</v>
      </c>
      <c r="L4209" s="920">
        <f t="shared" si="421"/>
        <v>8321</v>
      </c>
      <c r="M4209" s="920">
        <f t="shared" si="422"/>
        <v>31.497847424</v>
      </c>
      <c r="N4209" s="920">
        <f t="shared" si="423"/>
        <v>34.670833333333334</v>
      </c>
      <c r="O4209" s="918" t="str">
        <f t="shared" si="424"/>
        <v>Mar</v>
      </c>
      <c r="P4209" s="921">
        <f t="shared" si="425"/>
        <v>11</v>
      </c>
    </row>
    <row r="4210" spans="1:16" ht="15" hidden="1" customHeight="1">
      <c r="A4210" s="839">
        <v>67826412</v>
      </c>
      <c r="B4210" s="839">
        <v>2904</v>
      </c>
      <c r="C4210" s="906">
        <v>-481</v>
      </c>
      <c r="D4210" s="907">
        <v>46100</v>
      </c>
      <c r="E4210" s="839" t="s">
        <v>312</v>
      </c>
      <c r="F4210" s="839" t="s">
        <v>299</v>
      </c>
      <c r="G4210" s="916">
        <f>VLOOKUP($A4210,'Tech Litons'!$A:$I,8,FALSE)</f>
        <v>3.7853439999999999E-3</v>
      </c>
      <c r="H4210" s="917">
        <f>VLOOKUP($A4210,'Tech Litons'!$A:$I,9,FALSE)</f>
        <v>240</v>
      </c>
      <c r="I4210" s="917" t="str">
        <f>VLOOKUP($A4210,'Tech Litons'!$A:$C,3,0)</f>
        <v>BJ PTS</v>
      </c>
      <c r="J4210" s="918" t="str">
        <f t="shared" ref="J4210:J4273" si="426">B4210&amp;I4210</f>
        <v>2904BJ PTS</v>
      </c>
      <c r="K4210" s="919">
        <v>1</v>
      </c>
      <c r="L4210" s="920">
        <f t="shared" ref="L4210:L4273" si="427">C4210*$K4210</f>
        <v>-481</v>
      </c>
      <c r="M4210" s="920">
        <f t="shared" ref="M4210:M4273" si="428">L4210*G4210</f>
        <v>-1.8207504640000001</v>
      </c>
      <c r="N4210" s="920">
        <f t="shared" ref="N4210:N4273" si="429">L4210/H4210</f>
        <v>-2.0041666666666669</v>
      </c>
      <c r="O4210" s="918" t="str">
        <f t="shared" ref="O4210:O4273" si="430">TEXT(D4210,"MMM")</f>
        <v>Mar</v>
      </c>
      <c r="P4210" s="921">
        <f t="shared" ref="P4210:P4273" si="431">WEEKNUM(D4210)</f>
        <v>12</v>
      </c>
    </row>
    <row r="4211" spans="1:16" ht="15" hidden="1" customHeight="1">
      <c r="A4211" s="839">
        <v>67826412</v>
      </c>
      <c r="B4211" s="839">
        <v>2904</v>
      </c>
      <c r="C4211" s="906">
        <v>9600</v>
      </c>
      <c r="D4211" s="907">
        <v>46094</v>
      </c>
      <c r="E4211" s="839" t="s">
        <v>312</v>
      </c>
      <c r="F4211" s="839" t="s">
        <v>299</v>
      </c>
      <c r="G4211" s="916">
        <f>VLOOKUP($A4211,'Tech Litons'!$A:$I,8,FALSE)</f>
        <v>3.7853439999999999E-3</v>
      </c>
      <c r="H4211" s="917">
        <f>VLOOKUP($A4211,'Tech Litons'!$A:$I,9,FALSE)</f>
        <v>240</v>
      </c>
      <c r="I4211" s="917" t="str">
        <f>VLOOKUP($A4211,'Tech Litons'!$A:$C,3,0)</f>
        <v>BJ PTS</v>
      </c>
      <c r="J4211" s="918" t="str">
        <f t="shared" si="426"/>
        <v>2904BJ PTS</v>
      </c>
      <c r="K4211" s="919">
        <v>1</v>
      </c>
      <c r="L4211" s="920">
        <f t="shared" si="427"/>
        <v>9600</v>
      </c>
      <c r="M4211" s="920">
        <f t="shared" si="428"/>
        <v>36.339302400000001</v>
      </c>
      <c r="N4211" s="920">
        <f t="shared" si="429"/>
        <v>40</v>
      </c>
      <c r="O4211" s="918" t="str">
        <f t="shared" si="430"/>
        <v>Mar</v>
      </c>
      <c r="P4211" s="921">
        <f t="shared" si="431"/>
        <v>11</v>
      </c>
    </row>
    <row r="4212" spans="1:16" ht="15" hidden="1" customHeight="1">
      <c r="A4212" s="839">
        <v>67826412</v>
      </c>
      <c r="B4212" s="839">
        <v>2904</v>
      </c>
      <c r="C4212" s="906">
        <v>240</v>
      </c>
      <c r="D4212" s="907">
        <v>46095</v>
      </c>
      <c r="E4212" s="839" t="s">
        <v>312</v>
      </c>
      <c r="F4212" s="839" t="s">
        <v>299</v>
      </c>
      <c r="G4212" s="916">
        <f>VLOOKUP($A4212,'Tech Litons'!$A:$I,8,FALSE)</f>
        <v>3.7853439999999999E-3</v>
      </c>
      <c r="H4212" s="917">
        <f>VLOOKUP($A4212,'Tech Litons'!$A:$I,9,FALSE)</f>
        <v>240</v>
      </c>
      <c r="I4212" s="917" t="str">
        <f>VLOOKUP($A4212,'Tech Litons'!$A:$C,3,0)</f>
        <v>BJ PTS</v>
      </c>
      <c r="J4212" s="918" t="str">
        <f t="shared" si="426"/>
        <v>2904BJ PTS</v>
      </c>
      <c r="K4212" s="919">
        <v>1</v>
      </c>
      <c r="L4212" s="920">
        <f t="shared" si="427"/>
        <v>240</v>
      </c>
      <c r="M4212" s="920">
        <f t="shared" si="428"/>
        <v>0.90848255999999994</v>
      </c>
      <c r="N4212" s="920">
        <f t="shared" si="429"/>
        <v>1</v>
      </c>
      <c r="O4212" s="918" t="str">
        <f t="shared" si="430"/>
        <v>Mar</v>
      </c>
      <c r="P4212" s="921">
        <f t="shared" si="431"/>
        <v>11</v>
      </c>
    </row>
    <row r="4213" spans="1:16" ht="15" hidden="1" customHeight="1">
      <c r="A4213" s="839">
        <v>67826412</v>
      </c>
      <c r="B4213" s="839">
        <v>2904</v>
      </c>
      <c r="C4213" s="906">
        <v>196</v>
      </c>
      <c r="D4213" s="907">
        <v>46097</v>
      </c>
      <c r="E4213" s="839" t="s">
        <v>312</v>
      </c>
      <c r="F4213" s="839" t="s">
        <v>299</v>
      </c>
      <c r="G4213" s="916">
        <f>VLOOKUP($A4213,'Tech Litons'!$A:$I,8,FALSE)</f>
        <v>3.7853439999999999E-3</v>
      </c>
      <c r="H4213" s="917">
        <f>VLOOKUP($A4213,'Tech Litons'!$A:$I,9,FALSE)</f>
        <v>240</v>
      </c>
      <c r="I4213" s="917" t="str">
        <f>VLOOKUP($A4213,'Tech Litons'!$A:$C,3,0)</f>
        <v>BJ PTS</v>
      </c>
      <c r="J4213" s="918" t="str">
        <f t="shared" si="426"/>
        <v>2904BJ PTS</v>
      </c>
      <c r="K4213" s="919">
        <v>1</v>
      </c>
      <c r="L4213" s="920">
        <f t="shared" si="427"/>
        <v>196</v>
      </c>
      <c r="M4213" s="920">
        <f t="shared" si="428"/>
        <v>0.741927424</v>
      </c>
      <c r="N4213" s="920">
        <f t="shared" si="429"/>
        <v>0.81666666666666665</v>
      </c>
      <c r="O4213" s="918" t="str">
        <f t="shared" si="430"/>
        <v>Mar</v>
      </c>
      <c r="P4213" s="921">
        <f t="shared" si="431"/>
        <v>12</v>
      </c>
    </row>
    <row r="4214" spans="1:16" ht="15" hidden="1" customHeight="1">
      <c r="A4214" s="839">
        <v>67826412</v>
      </c>
      <c r="B4214" s="839">
        <v>2904</v>
      </c>
      <c r="C4214" s="906">
        <v>2400</v>
      </c>
      <c r="D4214" s="907">
        <v>46092</v>
      </c>
      <c r="E4214" s="839" t="s">
        <v>312</v>
      </c>
      <c r="F4214" s="839" t="s">
        <v>299</v>
      </c>
      <c r="G4214" s="916">
        <f>VLOOKUP($A4214,'Tech Litons'!$A:$I,8,FALSE)</f>
        <v>3.7853439999999999E-3</v>
      </c>
      <c r="H4214" s="917">
        <f>VLOOKUP($A4214,'Tech Litons'!$A:$I,9,FALSE)</f>
        <v>240</v>
      </c>
      <c r="I4214" s="917" t="str">
        <f>VLOOKUP($A4214,'Tech Litons'!$A:$C,3,0)</f>
        <v>BJ PTS</v>
      </c>
      <c r="J4214" s="918" t="str">
        <f t="shared" si="426"/>
        <v>2904BJ PTS</v>
      </c>
      <c r="K4214" s="919">
        <v>1</v>
      </c>
      <c r="L4214" s="920">
        <f t="shared" si="427"/>
        <v>2400</v>
      </c>
      <c r="M4214" s="920">
        <f t="shared" si="428"/>
        <v>9.0848256000000003</v>
      </c>
      <c r="N4214" s="920">
        <f t="shared" si="429"/>
        <v>10</v>
      </c>
      <c r="O4214" s="918" t="str">
        <f t="shared" si="430"/>
        <v>Mar</v>
      </c>
      <c r="P4214" s="921">
        <f t="shared" si="431"/>
        <v>11</v>
      </c>
    </row>
    <row r="4215" spans="1:16" ht="15" hidden="1" customHeight="1">
      <c r="A4215" s="839">
        <v>68354587</v>
      </c>
      <c r="B4215" s="839">
        <v>2904</v>
      </c>
      <c r="C4215" s="906">
        <v>6404</v>
      </c>
      <c r="D4215" s="907">
        <v>46100</v>
      </c>
      <c r="E4215" s="839" t="s">
        <v>490</v>
      </c>
      <c r="F4215" s="839" t="s">
        <v>40</v>
      </c>
      <c r="G4215" s="916">
        <f>VLOOKUP($A4215,'Tech Litons'!$A:$I,8,FALSE)</f>
        <v>3.5999999999999999E-3</v>
      </c>
      <c r="H4215" s="917">
        <f>VLOOKUP($A4215,'Tech Litons'!$A:$I,9,FALSE)</f>
        <v>240</v>
      </c>
      <c r="I4215" s="917" t="str">
        <f>VLOOKUP($A4215,'Tech Litons'!$A:$C,3,0)</f>
        <v>Topped</v>
      </c>
      <c r="J4215" s="918" t="str">
        <f t="shared" si="426"/>
        <v>2904Topped</v>
      </c>
      <c r="K4215" s="919">
        <v>1</v>
      </c>
      <c r="L4215" s="920">
        <f t="shared" si="427"/>
        <v>6404</v>
      </c>
      <c r="M4215" s="920">
        <f t="shared" si="428"/>
        <v>23.054400000000001</v>
      </c>
      <c r="N4215" s="920">
        <f t="shared" si="429"/>
        <v>26.683333333333334</v>
      </c>
      <c r="O4215" s="918" t="str">
        <f t="shared" si="430"/>
        <v>Mar</v>
      </c>
      <c r="P4215" s="921">
        <f t="shared" si="431"/>
        <v>12</v>
      </c>
    </row>
    <row r="4216" spans="1:16" ht="15" hidden="1" customHeight="1">
      <c r="A4216" s="839">
        <v>68354587</v>
      </c>
      <c r="B4216" s="839">
        <v>2904</v>
      </c>
      <c r="C4216" s="906">
        <v>8720</v>
      </c>
      <c r="D4216" s="907">
        <v>46101</v>
      </c>
      <c r="E4216" s="839" t="s">
        <v>490</v>
      </c>
      <c r="F4216" s="839" t="s">
        <v>40</v>
      </c>
      <c r="G4216" s="916">
        <f>VLOOKUP($A4216,'Tech Litons'!$A:$I,8,FALSE)</f>
        <v>3.5999999999999999E-3</v>
      </c>
      <c r="H4216" s="917">
        <f>VLOOKUP($A4216,'Tech Litons'!$A:$I,9,FALSE)</f>
        <v>240</v>
      </c>
      <c r="I4216" s="917" t="str">
        <f>VLOOKUP($A4216,'Tech Litons'!$A:$C,3,0)</f>
        <v>Topped</v>
      </c>
      <c r="J4216" s="918" t="str">
        <f t="shared" si="426"/>
        <v>2904Topped</v>
      </c>
      <c r="K4216" s="919">
        <v>1</v>
      </c>
      <c r="L4216" s="920">
        <f t="shared" si="427"/>
        <v>8720</v>
      </c>
      <c r="M4216" s="920">
        <f t="shared" si="428"/>
        <v>31.391999999999999</v>
      </c>
      <c r="N4216" s="920">
        <f t="shared" si="429"/>
        <v>36.333333333333336</v>
      </c>
      <c r="O4216" s="918" t="str">
        <f t="shared" si="430"/>
        <v>Mar</v>
      </c>
      <c r="P4216" s="921">
        <f t="shared" si="431"/>
        <v>12</v>
      </c>
    </row>
    <row r="4217" spans="1:16" ht="15" hidden="1" customHeight="1">
      <c r="A4217" s="839">
        <v>68354587</v>
      </c>
      <c r="B4217" s="839">
        <v>2904</v>
      </c>
      <c r="C4217" s="906">
        <v>10136</v>
      </c>
      <c r="D4217" s="907">
        <v>46101</v>
      </c>
      <c r="E4217" s="839" t="s">
        <v>490</v>
      </c>
      <c r="F4217" s="839" t="s">
        <v>40</v>
      </c>
      <c r="G4217" s="916">
        <f>VLOOKUP($A4217,'Tech Litons'!$A:$I,8,FALSE)</f>
        <v>3.5999999999999999E-3</v>
      </c>
      <c r="H4217" s="917">
        <f>VLOOKUP($A4217,'Tech Litons'!$A:$I,9,FALSE)</f>
        <v>240</v>
      </c>
      <c r="I4217" s="917" t="str">
        <f>VLOOKUP($A4217,'Tech Litons'!$A:$C,3,0)</f>
        <v>Topped</v>
      </c>
      <c r="J4217" s="918" t="str">
        <f t="shared" si="426"/>
        <v>2904Topped</v>
      </c>
      <c r="K4217" s="919">
        <v>1</v>
      </c>
      <c r="L4217" s="920">
        <f t="shared" si="427"/>
        <v>10136</v>
      </c>
      <c r="M4217" s="920">
        <f t="shared" si="428"/>
        <v>36.489599999999996</v>
      </c>
      <c r="N4217" s="920">
        <f t="shared" si="429"/>
        <v>42.233333333333334</v>
      </c>
      <c r="O4217" s="918" t="str">
        <f t="shared" si="430"/>
        <v>Mar</v>
      </c>
      <c r="P4217" s="921">
        <f t="shared" si="431"/>
        <v>12</v>
      </c>
    </row>
    <row r="4218" spans="1:16" ht="15" hidden="1" customHeight="1">
      <c r="A4218" s="839">
        <v>68354587</v>
      </c>
      <c r="B4218" s="839">
        <v>2904</v>
      </c>
      <c r="C4218" s="906">
        <v>5531</v>
      </c>
      <c r="D4218" s="907">
        <v>46102</v>
      </c>
      <c r="E4218" s="839" t="s">
        <v>490</v>
      </c>
      <c r="F4218" s="839" t="s">
        <v>40</v>
      </c>
      <c r="G4218" s="916">
        <f>VLOOKUP($A4218,'Tech Litons'!$A:$I,8,FALSE)</f>
        <v>3.5999999999999999E-3</v>
      </c>
      <c r="H4218" s="917">
        <f>VLOOKUP($A4218,'Tech Litons'!$A:$I,9,FALSE)</f>
        <v>240</v>
      </c>
      <c r="I4218" s="917" t="str">
        <f>VLOOKUP($A4218,'Tech Litons'!$A:$C,3,0)</f>
        <v>Topped</v>
      </c>
      <c r="J4218" s="918" t="str">
        <f t="shared" si="426"/>
        <v>2904Topped</v>
      </c>
      <c r="K4218" s="919">
        <v>1</v>
      </c>
      <c r="L4218" s="920">
        <f t="shared" si="427"/>
        <v>5531</v>
      </c>
      <c r="M4218" s="920">
        <f t="shared" si="428"/>
        <v>19.9116</v>
      </c>
      <c r="N4218" s="920">
        <f t="shared" si="429"/>
        <v>23.045833333333334</v>
      </c>
      <c r="O4218" s="918" t="str">
        <f t="shared" si="430"/>
        <v>Mar</v>
      </c>
      <c r="P4218" s="921">
        <f t="shared" si="431"/>
        <v>12</v>
      </c>
    </row>
    <row r="4219" spans="1:16" ht="15" hidden="1" customHeight="1">
      <c r="A4219" s="839">
        <v>68354588</v>
      </c>
      <c r="B4219" s="839">
        <v>2904</v>
      </c>
      <c r="C4219" s="906">
        <v>4695</v>
      </c>
      <c r="D4219" s="907">
        <v>46076</v>
      </c>
      <c r="E4219" s="839" t="s">
        <v>332</v>
      </c>
      <c r="F4219" s="839" t="s">
        <v>40</v>
      </c>
      <c r="G4219" s="916">
        <f>VLOOKUP($A4219,'Tech Litons'!$A:$I,8,FALSE)</f>
        <v>3.5999999999999999E-3</v>
      </c>
      <c r="H4219" s="917">
        <f>VLOOKUP($A4219,'Tech Litons'!$A:$I,9,FALSE)</f>
        <v>240</v>
      </c>
      <c r="I4219" s="917" t="str">
        <f>VLOOKUP($A4219,'Tech Litons'!$A:$C,3,0)</f>
        <v>Topped</v>
      </c>
      <c r="J4219" s="918" t="str">
        <f t="shared" si="426"/>
        <v>2904Topped</v>
      </c>
      <c r="K4219" s="919">
        <v>1</v>
      </c>
      <c r="L4219" s="920">
        <f t="shared" si="427"/>
        <v>4695</v>
      </c>
      <c r="M4219" s="920">
        <f t="shared" si="428"/>
        <v>16.902000000000001</v>
      </c>
      <c r="N4219" s="920">
        <f t="shared" si="429"/>
        <v>19.5625</v>
      </c>
      <c r="O4219" s="918" t="str">
        <f t="shared" si="430"/>
        <v>Feb</v>
      </c>
      <c r="P4219" s="921">
        <f t="shared" si="431"/>
        <v>9</v>
      </c>
    </row>
    <row r="4220" spans="1:16" ht="15" hidden="1" customHeight="1">
      <c r="A4220" s="839">
        <v>68354588</v>
      </c>
      <c r="B4220" s="839">
        <v>2904</v>
      </c>
      <c r="C4220" s="906">
        <v>7398</v>
      </c>
      <c r="D4220" s="907">
        <v>46077</v>
      </c>
      <c r="E4220" s="839" t="s">
        <v>332</v>
      </c>
      <c r="F4220" s="839" t="s">
        <v>40</v>
      </c>
      <c r="G4220" s="916">
        <f>VLOOKUP($A4220,'Tech Litons'!$A:$I,8,FALSE)</f>
        <v>3.5999999999999999E-3</v>
      </c>
      <c r="H4220" s="917">
        <f>VLOOKUP($A4220,'Tech Litons'!$A:$I,9,FALSE)</f>
        <v>240</v>
      </c>
      <c r="I4220" s="917" t="str">
        <f>VLOOKUP($A4220,'Tech Litons'!$A:$C,3,0)</f>
        <v>Topped</v>
      </c>
      <c r="J4220" s="918" t="str">
        <f t="shared" si="426"/>
        <v>2904Topped</v>
      </c>
      <c r="K4220" s="919">
        <v>1</v>
      </c>
      <c r="L4220" s="920">
        <f t="shared" si="427"/>
        <v>7398</v>
      </c>
      <c r="M4220" s="920">
        <f t="shared" si="428"/>
        <v>26.6328</v>
      </c>
      <c r="N4220" s="920">
        <f t="shared" si="429"/>
        <v>30.824999999999999</v>
      </c>
      <c r="O4220" s="918" t="str">
        <f t="shared" si="430"/>
        <v>Feb</v>
      </c>
      <c r="P4220" s="921">
        <f t="shared" si="431"/>
        <v>9</v>
      </c>
    </row>
    <row r="4221" spans="1:16" ht="15" hidden="1" customHeight="1">
      <c r="A4221" s="839">
        <v>68354588</v>
      </c>
      <c r="B4221" s="839">
        <v>2904</v>
      </c>
      <c r="C4221" s="906">
        <v>-15</v>
      </c>
      <c r="D4221" s="907">
        <v>46094</v>
      </c>
      <c r="E4221" s="839" t="s">
        <v>332</v>
      </c>
      <c r="F4221" s="839" t="s">
        <v>40</v>
      </c>
      <c r="G4221" s="916">
        <f>VLOOKUP($A4221,'Tech Litons'!$A:$I,8,FALSE)</f>
        <v>3.5999999999999999E-3</v>
      </c>
      <c r="H4221" s="917">
        <f>VLOOKUP($A4221,'Tech Litons'!$A:$I,9,FALSE)</f>
        <v>240</v>
      </c>
      <c r="I4221" s="917" t="str">
        <f>VLOOKUP($A4221,'Tech Litons'!$A:$C,3,0)</f>
        <v>Topped</v>
      </c>
      <c r="J4221" s="918" t="str">
        <f t="shared" si="426"/>
        <v>2904Topped</v>
      </c>
      <c r="K4221" s="919">
        <v>1</v>
      </c>
      <c r="L4221" s="920">
        <f t="shared" si="427"/>
        <v>-15</v>
      </c>
      <c r="M4221" s="920">
        <f t="shared" si="428"/>
        <v>-5.3999999999999999E-2</v>
      </c>
      <c r="N4221" s="920">
        <f t="shared" si="429"/>
        <v>-6.25E-2</v>
      </c>
      <c r="O4221" s="918" t="str">
        <f t="shared" si="430"/>
        <v>Mar</v>
      </c>
      <c r="P4221" s="921">
        <f t="shared" si="431"/>
        <v>11</v>
      </c>
    </row>
    <row r="4222" spans="1:16" ht="15" hidden="1" customHeight="1">
      <c r="A4222" s="839">
        <v>68354588</v>
      </c>
      <c r="B4222" s="839">
        <v>2904</v>
      </c>
      <c r="C4222" s="906">
        <v>11430</v>
      </c>
      <c r="D4222" s="907">
        <v>46077</v>
      </c>
      <c r="E4222" s="839" t="s">
        <v>332</v>
      </c>
      <c r="F4222" s="839" t="s">
        <v>40</v>
      </c>
      <c r="G4222" s="916">
        <f>VLOOKUP($A4222,'Tech Litons'!$A:$I,8,FALSE)</f>
        <v>3.5999999999999999E-3</v>
      </c>
      <c r="H4222" s="917">
        <f>VLOOKUP($A4222,'Tech Litons'!$A:$I,9,FALSE)</f>
        <v>240</v>
      </c>
      <c r="I4222" s="917" t="str">
        <f>VLOOKUP($A4222,'Tech Litons'!$A:$C,3,0)</f>
        <v>Topped</v>
      </c>
      <c r="J4222" s="918" t="str">
        <f t="shared" si="426"/>
        <v>2904Topped</v>
      </c>
      <c r="K4222" s="919">
        <v>1</v>
      </c>
      <c r="L4222" s="920">
        <f t="shared" si="427"/>
        <v>11430</v>
      </c>
      <c r="M4222" s="920">
        <f t="shared" si="428"/>
        <v>41.147999999999996</v>
      </c>
      <c r="N4222" s="920">
        <f t="shared" si="429"/>
        <v>47.625</v>
      </c>
      <c r="O4222" s="918" t="str">
        <f t="shared" si="430"/>
        <v>Feb</v>
      </c>
      <c r="P4222" s="921">
        <f t="shared" si="431"/>
        <v>9</v>
      </c>
    </row>
    <row r="4223" spans="1:16" ht="15" hidden="1" customHeight="1">
      <c r="A4223" s="839">
        <v>68354588</v>
      </c>
      <c r="B4223" s="839">
        <v>2904</v>
      </c>
      <c r="C4223" s="906">
        <v>8635</v>
      </c>
      <c r="D4223" s="907">
        <v>46078</v>
      </c>
      <c r="E4223" s="839" t="s">
        <v>332</v>
      </c>
      <c r="F4223" s="839" t="s">
        <v>40</v>
      </c>
      <c r="G4223" s="916">
        <f>VLOOKUP($A4223,'Tech Litons'!$A:$I,8,FALSE)</f>
        <v>3.5999999999999999E-3</v>
      </c>
      <c r="H4223" s="917">
        <f>VLOOKUP($A4223,'Tech Litons'!$A:$I,9,FALSE)</f>
        <v>240</v>
      </c>
      <c r="I4223" s="917" t="str">
        <f>VLOOKUP($A4223,'Tech Litons'!$A:$C,3,0)</f>
        <v>Topped</v>
      </c>
      <c r="J4223" s="918" t="str">
        <f t="shared" si="426"/>
        <v>2904Topped</v>
      </c>
      <c r="K4223" s="919">
        <v>1</v>
      </c>
      <c r="L4223" s="920">
        <f t="shared" si="427"/>
        <v>8635</v>
      </c>
      <c r="M4223" s="920">
        <f t="shared" si="428"/>
        <v>31.085999999999999</v>
      </c>
      <c r="N4223" s="920">
        <f t="shared" si="429"/>
        <v>35.979166666666664</v>
      </c>
      <c r="O4223" s="918" t="str">
        <f t="shared" si="430"/>
        <v>Feb</v>
      </c>
      <c r="P4223" s="921">
        <f t="shared" si="431"/>
        <v>9</v>
      </c>
    </row>
    <row r="4224" spans="1:16" ht="15" hidden="1" customHeight="1">
      <c r="A4224" s="839">
        <v>68354588</v>
      </c>
      <c r="B4224" s="839">
        <v>2904</v>
      </c>
      <c r="C4224" s="906">
        <v>-229</v>
      </c>
      <c r="D4224" s="907">
        <v>46080</v>
      </c>
      <c r="E4224" s="839" t="s">
        <v>332</v>
      </c>
      <c r="F4224" s="839" t="s">
        <v>40</v>
      </c>
      <c r="G4224" s="916">
        <f>VLOOKUP($A4224,'Tech Litons'!$A:$I,8,FALSE)</f>
        <v>3.5999999999999999E-3</v>
      </c>
      <c r="H4224" s="917">
        <f>VLOOKUP($A4224,'Tech Litons'!$A:$I,9,FALSE)</f>
        <v>240</v>
      </c>
      <c r="I4224" s="917" t="str">
        <f>VLOOKUP($A4224,'Tech Litons'!$A:$C,3,0)</f>
        <v>Topped</v>
      </c>
      <c r="J4224" s="918" t="str">
        <f t="shared" si="426"/>
        <v>2904Topped</v>
      </c>
      <c r="K4224" s="919">
        <v>1</v>
      </c>
      <c r="L4224" s="920">
        <f t="shared" si="427"/>
        <v>-229</v>
      </c>
      <c r="M4224" s="920">
        <f t="shared" si="428"/>
        <v>-0.82440000000000002</v>
      </c>
      <c r="N4224" s="920">
        <f t="shared" si="429"/>
        <v>-0.95416666666666672</v>
      </c>
      <c r="O4224" s="918" t="str">
        <f t="shared" si="430"/>
        <v>Feb</v>
      </c>
      <c r="P4224" s="921">
        <f t="shared" si="431"/>
        <v>9</v>
      </c>
    </row>
    <row r="4225" spans="1:16" ht="15" hidden="1" customHeight="1">
      <c r="A4225" s="839">
        <v>68354588</v>
      </c>
      <c r="B4225" s="839">
        <v>2904</v>
      </c>
      <c r="C4225" s="906">
        <v>11369</v>
      </c>
      <c r="D4225" s="907">
        <v>46078</v>
      </c>
      <c r="E4225" s="839" t="s">
        <v>332</v>
      </c>
      <c r="F4225" s="839" t="s">
        <v>40</v>
      </c>
      <c r="G4225" s="916">
        <f>VLOOKUP($A4225,'Tech Litons'!$A:$I,8,FALSE)</f>
        <v>3.5999999999999999E-3</v>
      </c>
      <c r="H4225" s="917">
        <f>VLOOKUP($A4225,'Tech Litons'!$A:$I,9,FALSE)</f>
        <v>240</v>
      </c>
      <c r="I4225" s="917" t="str">
        <f>VLOOKUP($A4225,'Tech Litons'!$A:$C,3,0)</f>
        <v>Topped</v>
      </c>
      <c r="J4225" s="918" t="str">
        <f t="shared" si="426"/>
        <v>2904Topped</v>
      </c>
      <c r="K4225" s="919">
        <v>1</v>
      </c>
      <c r="L4225" s="920">
        <f t="shared" si="427"/>
        <v>11369</v>
      </c>
      <c r="M4225" s="920">
        <f t="shared" si="428"/>
        <v>40.928399999999996</v>
      </c>
      <c r="N4225" s="920">
        <f t="shared" si="429"/>
        <v>47.37083333333333</v>
      </c>
      <c r="O4225" s="918" t="str">
        <f t="shared" si="430"/>
        <v>Feb</v>
      </c>
      <c r="P4225" s="921">
        <f t="shared" si="431"/>
        <v>9</v>
      </c>
    </row>
    <row r="4226" spans="1:16" ht="15" hidden="1" customHeight="1">
      <c r="A4226" s="839">
        <v>68354588</v>
      </c>
      <c r="B4226" s="839">
        <v>2904</v>
      </c>
      <c r="C4226" s="906">
        <v>6880</v>
      </c>
      <c r="D4226" s="907">
        <v>46079</v>
      </c>
      <c r="E4226" s="839" t="s">
        <v>332</v>
      </c>
      <c r="F4226" s="839" t="s">
        <v>40</v>
      </c>
      <c r="G4226" s="916">
        <f>VLOOKUP($A4226,'Tech Litons'!$A:$I,8,FALSE)</f>
        <v>3.5999999999999999E-3</v>
      </c>
      <c r="H4226" s="917">
        <f>VLOOKUP($A4226,'Tech Litons'!$A:$I,9,FALSE)</f>
        <v>240</v>
      </c>
      <c r="I4226" s="917" t="str">
        <f>VLOOKUP($A4226,'Tech Litons'!$A:$C,3,0)</f>
        <v>Topped</v>
      </c>
      <c r="J4226" s="918" t="str">
        <f t="shared" si="426"/>
        <v>2904Topped</v>
      </c>
      <c r="K4226" s="919">
        <v>1</v>
      </c>
      <c r="L4226" s="920">
        <f t="shared" si="427"/>
        <v>6880</v>
      </c>
      <c r="M4226" s="920">
        <f t="shared" si="428"/>
        <v>24.768000000000001</v>
      </c>
      <c r="N4226" s="920">
        <f t="shared" si="429"/>
        <v>28.666666666666668</v>
      </c>
      <c r="O4226" s="918" t="str">
        <f t="shared" si="430"/>
        <v>Feb</v>
      </c>
      <c r="P4226" s="921">
        <f t="shared" si="431"/>
        <v>9</v>
      </c>
    </row>
    <row r="4227" spans="1:16" ht="15" hidden="1" customHeight="1">
      <c r="A4227" s="839">
        <v>68626039</v>
      </c>
      <c r="B4227" s="839">
        <v>2904</v>
      </c>
      <c r="C4227" s="906">
        <v>1859</v>
      </c>
      <c r="D4227" s="907">
        <v>46097</v>
      </c>
      <c r="E4227" s="839" t="s">
        <v>246</v>
      </c>
      <c r="F4227" s="839" t="s">
        <v>40</v>
      </c>
      <c r="G4227" s="916">
        <f>VLOOKUP($A4227,'Tech Litons'!$A:$I,8,FALSE)</f>
        <v>3.7839999999999996E-3</v>
      </c>
      <c r="H4227" s="917">
        <f>VLOOKUP($A4227,'Tech Litons'!$A:$I,9,FALSE)</f>
        <v>240</v>
      </c>
      <c r="I4227" s="917" t="str">
        <f>VLOOKUP($A4227,'Tech Litons'!$A:$C,3,0)</f>
        <v>PTS</v>
      </c>
      <c r="J4227" s="918" t="str">
        <f t="shared" si="426"/>
        <v>2904PTS</v>
      </c>
      <c r="K4227" s="919">
        <v>1</v>
      </c>
      <c r="L4227" s="920">
        <f t="shared" si="427"/>
        <v>1859</v>
      </c>
      <c r="M4227" s="920">
        <f t="shared" si="428"/>
        <v>7.0344559999999996</v>
      </c>
      <c r="N4227" s="920">
        <f t="shared" si="429"/>
        <v>7.7458333333333336</v>
      </c>
      <c r="O4227" s="918" t="str">
        <f t="shared" si="430"/>
        <v>Mar</v>
      </c>
      <c r="P4227" s="921">
        <f t="shared" si="431"/>
        <v>12</v>
      </c>
    </row>
    <row r="4228" spans="1:16" ht="15" hidden="1" customHeight="1">
      <c r="A4228" s="839">
        <v>68626039</v>
      </c>
      <c r="B4228" s="839">
        <v>2904</v>
      </c>
      <c r="C4228" s="906">
        <v>5993</v>
      </c>
      <c r="D4228" s="907">
        <v>46098</v>
      </c>
      <c r="E4228" s="839" t="s">
        <v>246</v>
      </c>
      <c r="F4228" s="839" t="s">
        <v>40</v>
      </c>
      <c r="G4228" s="916">
        <f>VLOOKUP($A4228,'Tech Litons'!$A:$I,8,FALSE)</f>
        <v>3.7839999999999996E-3</v>
      </c>
      <c r="H4228" s="917">
        <f>VLOOKUP($A4228,'Tech Litons'!$A:$I,9,FALSE)</f>
        <v>240</v>
      </c>
      <c r="I4228" s="917" t="str">
        <f>VLOOKUP($A4228,'Tech Litons'!$A:$C,3,0)</f>
        <v>PTS</v>
      </c>
      <c r="J4228" s="918" t="str">
        <f t="shared" si="426"/>
        <v>2904PTS</v>
      </c>
      <c r="K4228" s="919">
        <v>1</v>
      </c>
      <c r="L4228" s="920">
        <f t="shared" si="427"/>
        <v>5993</v>
      </c>
      <c r="M4228" s="920">
        <f t="shared" si="428"/>
        <v>22.677511999999997</v>
      </c>
      <c r="N4228" s="920">
        <f t="shared" si="429"/>
        <v>24.970833333333335</v>
      </c>
      <c r="O4228" s="918" t="str">
        <f t="shared" si="430"/>
        <v>Mar</v>
      </c>
      <c r="P4228" s="921">
        <f t="shared" si="431"/>
        <v>12</v>
      </c>
    </row>
    <row r="4229" spans="1:16" ht="15" hidden="1" customHeight="1">
      <c r="A4229" s="839">
        <v>68626039</v>
      </c>
      <c r="B4229" s="839">
        <v>2904</v>
      </c>
      <c r="C4229" s="906">
        <v>9232</v>
      </c>
      <c r="D4229" s="907">
        <v>46098</v>
      </c>
      <c r="E4229" s="839" t="s">
        <v>246</v>
      </c>
      <c r="F4229" s="839" t="s">
        <v>40</v>
      </c>
      <c r="G4229" s="916">
        <f>VLOOKUP($A4229,'Tech Litons'!$A:$I,8,FALSE)</f>
        <v>3.7839999999999996E-3</v>
      </c>
      <c r="H4229" s="917">
        <f>VLOOKUP($A4229,'Tech Litons'!$A:$I,9,FALSE)</f>
        <v>240</v>
      </c>
      <c r="I4229" s="917" t="str">
        <f>VLOOKUP($A4229,'Tech Litons'!$A:$C,3,0)</f>
        <v>PTS</v>
      </c>
      <c r="J4229" s="918" t="str">
        <f t="shared" si="426"/>
        <v>2904PTS</v>
      </c>
      <c r="K4229" s="919">
        <v>1</v>
      </c>
      <c r="L4229" s="920">
        <f t="shared" si="427"/>
        <v>9232</v>
      </c>
      <c r="M4229" s="920">
        <f t="shared" si="428"/>
        <v>34.933887999999996</v>
      </c>
      <c r="N4229" s="920">
        <f t="shared" si="429"/>
        <v>38.466666666666669</v>
      </c>
      <c r="O4229" s="918" t="str">
        <f t="shared" si="430"/>
        <v>Mar</v>
      </c>
      <c r="P4229" s="921">
        <f t="shared" si="431"/>
        <v>12</v>
      </c>
    </row>
    <row r="4230" spans="1:16" ht="15" hidden="1" customHeight="1">
      <c r="A4230" s="839">
        <v>68626039</v>
      </c>
      <c r="B4230" s="839">
        <v>2904</v>
      </c>
      <c r="C4230" s="906">
        <v>7416</v>
      </c>
      <c r="D4230" s="907">
        <v>46099</v>
      </c>
      <c r="E4230" s="839" t="s">
        <v>246</v>
      </c>
      <c r="F4230" s="839" t="s">
        <v>40</v>
      </c>
      <c r="G4230" s="916">
        <f>VLOOKUP($A4230,'Tech Litons'!$A:$I,8,FALSE)</f>
        <v>3.7839999999999996E-3</v>
      </c>
      <c r="H4230" s="917">
        <f>VLOOKUP($A4230,'Tech Litons'!$A:$I,9,FALSE)</f>
        <v>240</v>
      </c>
      <c r="I4230" s="917" t="str">
        <f>VLOOKUP($A4230,'Tech Litons'!$A:$C,3,0)</f>
        <v>PTS</v>
      </c>
      <c r="J4230" s="918" t="str">
        <f t="shared" si="426"/>
        <v>2904PTS</v>
      </c>
      <c r="K4230" s="919">
        <v>1</v>
      </c>
      <c r="L4230" s="920">
        <f t="shared" si="427"/>
        <v>7416</v>
      </c>
      <c r="M4230" s="920">
        <f t="shared" si="428"/>
        <v>28.062143999999996</v>
      </c>
      <c r="N4230" s="920">
        <f t="shared" si="429"/>
        <v>30.9</v>
      </c>
      <c r="O4230" s="918" t="str">
        <f t="shared" si="430"/>
        <v>Mar</v>
      </c>
      <c r="P4230" s="921">
        <f t="shared" si="431"/>
        <v>12</v>
      </c>
    </row>
    <row r="4231" spans="1:16" ht="15" hidden="1" customHeight="1">
      <c r="A4231" s="839">
        <v>68626039</v>
      </c>
      <c r="B4231" s="839">
        <v>2904</v>
      </c>
      <c r="C4231" s="906">
        <v>11379</v>
      </c>
      <c r="D4231" s="907">
        <v>46099</v>
      </c>
      <c r="E4231" s="839" t="s">
        <v>246</v>
      </c>
      <c r="F4231" s="839" t="s">
        <v>40</v>
      </c>
      <c r="G4231" s="916">
        <f>VLOOKUP($A4231,'Tech Litons'!$A:$I,8,FALSE)</f>
        <v>3.7839999999999996E-3</v>
      </c>
      <c r="H4231" s="917">
        <f>VLOOKUP($A4231,'Tech Litons'!$A:$I,9,FALSE)</f>
        <v>240</v>
      </c>
      <c r="I4231" s="917" t="str">
        <f>VLOOKUP($A4231,'Tech Litons'!$A:$C,3,0)</f>
        <v>PTS</v>
      </c>
      <c r="J4231" s="918" t="str">
        <f t="shared" si="426"/>
        <v>2904PTS</v>
      </c>
      <c r="K4231" s="919">
        <v>1</v>
      </c>
      <c r="L4231" s="920">
        <f t="shared" si="427"/>
        <v>11379</v>
      </c>
      <c r="M4231" s="920">
        <f t="shared" si="428"/>
        <v>43.058135999999998</v>
      </c>
      <c r="N4231" s="920">
        <f t="shared" si="429"/>
        <v>47.412500000000001</v>
      </c>
      <c r="O4231" s="918" t="str">
        <f t="shared" si="430"/>
        <v>Mar</v>
      </c>
      <c r="P4231" s="921">
        <f t="shared" si="431"/>
        <v>12</v>
      </c>
    </row>
    <row r="4232" spans="1:16" ht="15" hidden="1" customHeight="1">
      <c r="A4232" s="839">
        <v>68626039</v>
      </c>
      <c r="B4232" s="839">
        <v>2904</v>
      </c>
      <c r="C4232" s="906">
        <v>2147</v>
      </c>
      <c r="D4232" s="907">
        <v>46100</v>
      </c>
      <c r="E4232" s="839" t="s">
        <v>246</v>
      </c>
      <c r="F4232" s="839" t="s">
        <v>40</v>
      </c>
      <c r="G4232" s="916">
        <f>VLOOKUP($A4232,'Tech Litons'!$A:$I,8,FALSE)</f>
        <v>3.7839999999999996E-3</v>
      </c>
      <c r="H4232" s="917">
        <f>VLOOKUP($A4232,'Tech Litons'!$A:$I,9,FALSE)</f>
        <v>240</v>
      </c>
      <c r="I4232" s="917" t="str">
        <f>VLOOKUP($A4232,'Tech Litons'!$A:$C,3,0)</f>
        <v>PTS</v>
      </c>
      <c r="J4232" s="918" t="str">
        <f t="shared" si="426"/>
        <v>2904PTS</v>
      </c>
      <c r="K4232" s="919">
        <v>1</v>
      </c>
      <c r="L4232" s="920">
        <f t="shared" si="427"/>
        <v>2147</v>
      </c>
      <c r="M4232" s="920">
        <f t="shared" si="428"/>
        <v>8.1242479999999997</v>
      </c>
      <c r="N4232" s="920">
        <f t="shared" si="429"/>
        <v>8.9458333333333329</v>
      </c>
      <c r="O4232" s="918" t="str">
        <f t="shared" si="430"/>
        <v>Mar</v>
      </c>
      <c r="P4232" s="921">
        <f t="shared" si="431"/>
        <v>12</v>
      </c>
    </row>
    <row r="4233" spans="1:16" ht="15" hidden="1" customHeight="1">
      <c r="A4233" s="839">
        <v>68649095</v>
      </c>
      <c r="B4233" s="839">
        <v>2904</v>
      </c>
      <c r="C4233" s="906">
        <v>8922</v>
      </c>
      <c r="D4233" s="907">
        <v>46092</v>
      </c>
      <c r="E4233" s="839" t="s">
        <v>294</v>
      </c>
      <c r="F4233" s="839" t="s">
        <v>40</v>
      </c>
      <c r="G4233" s="916">
        <f>VLOOKUP($A4233,'Tech Litons'!$A:$I,8,FALSE)</f>
        <v>3.5999999999999999E-3</v>
      </c>
      <c r="H4233" s="917">
        <f>VLOOKUP($A4233,'Tech Litons'!$A:$I,9,FALSE)</f>
        <v>240</v>
      </c>
      <c r="I4233" s="917" t="str">
        <f>VLOOKUP($A4233,'Tech Litons'!$A:$C,3,0)</f>
        <v>Topped</v>
      </c>
      <c r="J4233" s="918" t="str">
        <f t="shared" si="426"/>
        <v>2904Topped</v>
      </c>
      <c r="K4233" s="919">
        <v>1</v>
      </c>
      <c r="L4233" s="920">
        <f t="shared" si="427"/>
        <v>8922</v>
      </c>
      <c r="M4233" s="920">
        <f t="shared" si="428"/>
        <v>32.119199999999999</v>
      </c>
      <c r="N4233" s="920">
        <f t="shared" si="429"/>
        <v>37.174999999999997</v>
      </c>
      <c r="O4233" s="918" t="str">
        <f t="shared" si="430"/>
        <v>Mar</v>
      </c>
      <c r="P4233" s="921">
        <f t="shared" si="431"/>
        <v>11</v>
      </c>
    </row>
    <row r="4234" spans="1:16" ht="15" hidden="1" customHeight="1">
      <c r="A4234" s="839">
        <v>68649095</v>
      </c>
      <c r="B4234" s="839">
        <v>2904</v>
      </c>
      <c r="C4234" s="906">
        <v>6584</v>
      </c>
      <c r="D4234" s="907">
        <v>46093</v>
      </c>
      <c r="E4234" s="839" t="s">
        <v>294</v>
      </c>
      <c r="F4234" s="839" t="s">
        <v>40</v>
      </c>
      <c r="G4234" s="916">
        <f>VLOOKUP($A4234,'Tech Litons'!$A:$I,8,FALSE)</f>
        <v>3.5999999999999999E-3</v>
      </c>
      <c r="H4234" s="917">
        <f>VLOOKUP($A4234,'Tech Litons'!$A:$I,9,FALSE)</f>
        <v>240</v>
      </c>
      <c r="I4234" s="917" t="str">
        <f>VLOOKUP($A4234,'Tech Litons'!$A:$C,3,0)</f>
        <v>Topped</v>
      </c>
      <c r="J4234" s="918" t="str">
        <f t="shared" si="426"/>
        <v>2904Topped</v>
      </c>
      <c r="K4234" s="919">
        <v>1</v>
      </c>
      <c r="L4234" s="920">
        <f t="shared" si="427"/>
        <v>6584</v>
      </c>
      <c r="M4234" s="920">
        <f t="shared" si="428"/>
        <v>23.702400000000001</v>
      </c>
      <c r="N4234" s="920">
        <f t="shared" si="429"/>
        <v>27.433333333333334</v>
      </c>
      <c r="O4234" s="918" t="str">
        <f t="shared" si="430"/>
        <v>Mar</v>
      </c>
      <c r="P4234" s="921">
        <f t="shared" si="431"/>
        <v>11</v>
      </c>
    </row>
    <row r="4235" spans="1:16" ht="15" hidden="1" customHeight="1">
      <c r="A4235" s="839">
        <v>68649095</v>
      </c>
      <c r="B4235" s="839">
        <v>2904</v>
      </c>
      <c r="C4235" s="906">
        <v>3000</v>
      </c>
      <c r="D4235" s="907">
        <v>46090</v>
      </c>
      <c r="E4235" s="839" t="s">
        <v>294</v>
      </c>
      <c r="F4235" s="839" t="s">
        <v>40</v>
      </c>
      <c r="G4235" s="916">
        <f>VLOOKUP($A4235,'Tech Litons'!$A:$I,8,FALSE)</f>
        <v>3.5999999999999999E-3</v>
      </c>
      <c r="H4235" s="917">
        <f>VLOOKUP($A4235,'Tech Litons'!$A:$I,9,FALSE)</f>
        <v>240</v>
      </c>
      <c r="I4235" s="917" t="str">
        <f>VLOOKUP($A4235,'Tech Litons'!$A:$C,3,0)</f>
        <v>Topped</v>
      </c>
      <c r="J4235" s="918" t="str">
        <f t="shared" si="426"/>
        <v>2904Topped</v>
      </c>
      <c r="K4235" s="919">
        <v>1</v>
      </c>
      <c r="L4235" s="920">
        <f t="shared" si="427"/>
        <v>3000</v>
      </c>
      <c r="M4235" s="920">
        <f t="shared" si="428"/>
        <v>10.799999999999999</v>
      </c>
      <c r="N4235" s="920">
        <f t="shared" si="429"/>
        <v>12.5</v>
      </c>
      <c r="O4235" s="918" t="str">
        <f t="shared" si="430"/>
        <v>Mar</v>
      </c>
      <c r="P4235" s="921">
        <f t="shared" si="431"/>
        <v>11</v>
      </c>
    </row>
    <row r="4236" spans="1:16" ht="15" hidden="1" customHeight="1">
      <c r="A4236" s="839">
        <v>68649095</v>
      </c>
      <c r="B4236" s="839">
        <v>2904</v>
      </c>
      <c r="C4236" s="906">
        <v>7805</v>
      </c>
      <c r="D4236" s="907">
        <v>46091</v>
      </c>
      <c r="E4236" s="839" t="s">
        <v>294</v>
      </c>
      <c r="F4236" s="839" t="s">
        <v>40</v>
      </c>
      <c r="G4236" s="916">
        <f>VLOOKUP($A4236,'Tech Litons'!$A:$I,8,FALSE)</f>
        <v>3.5999999999999999E-3</v>
      </c>
      <c r="H4236" s="917">
        <f>VLOOKUP($A4236,'Tech Litons'!$A:$I,9,FALSE)</f>
        <v>240</v>
      </c>
      <c r="I4236" s="917" t="str">
        <f>VLOOKUP($A4236,'Tech Litons'!$A:$C,3,0)</f>
        <v>Topped</v>
      </c>
      <c r="J4236" s="918" t="str">
        <f t="shared" si="426"/>
        <v>2904Topped</v>
      </c>
      <c r="K4236" s="919">
        <v>1</v>
      </c>
      <c r="L4236" s="920">
        <f t="shared" si="427"/>
        <v>7805</v>
      </c>
      <c r="M4236" s="920">
        <f t="shared" si="428"/>
        <v>28.097999999999999</v>
      </c>
      <c r="N4236" s="920">
        <f t="shared" si="429"/>
        <v>32.520833333333336</v>
      </c>
      <c r="O4236" s="918" t="str">
        <f t="shared" si="430"/>
        <v>Mar</v>
      </c>
      <c r="P4236" s="921">
        <f t="shared" si="431"/>
        <v>11</v>
      </c>
    </row>
    <row r="4237" spans="1:16" ht="15" hidden="1" customHeight="1">
      <c r="A4237" s="839">
        <v>68649095</v>
      </c>
      <c r="B4237" s="839">
        <v>2904</v>
      </c>
      <c r="C4237" s="906">
        <v>4742</v>
      </c>
      <c r="D4237" s="907">
        <v>46091</v>
      </c>
      <c r="E4237" s="839" t="s">
        <v>294</v>
      </c>
      <c r="F4237" s="839" t="s">
        <v>40</v>
      </c>
      <c r="G4237" s="916">
        <f>VLOOKUP($A4237,'Tech Litons'!$A:$I,8,FALSE)</f>
        <v>3.5999999999999999E-3</v>
      </c>
      <c r="H4237" s="917">
        <f>VLOOKUP($A4237,'Tech Litons'!$A:$I,9,FALSE)</f>
        <v>240</v>
      </c>
      <c r="I4237" s="917" t="str">
        <f>VLOOKUP($A4237,'Tech Litons'!$A:$C,3,0)</f>
        <v>Topped</v>
      </c>
      <c r="J4237" s="918" t="str">
        <f t="shared" si="426"/>
        <v>2904Topped</v>
      </c>
      <c r="K4237" s="919">
        <v>1</v>
      </c>
      <c r="L4237" s="920">
        <f t="shared" si="427"/>
        <v>4742</v>
      </c>
      <c r="M4237" s="920">
        <f t="shared" si="428"/>
        <v>17.071200000000001</v>
      </c>
      <c r="N4237" s="920">
        <f t="shared" si="429"/>
        <v>19.758333333333333</v>
      </c>
      <c r="O4237" s="918" t="str">
        <f t="shared" si="430"/>
        <v>Mar</v>
      </c>
      <c r="P4237" s="921">
        <f t="shared" si="431"/>
        <v>11</v>
      </c>
    </row>
    <row r="4238" spans="1:16" ht="15" hidden="1" customHeight="1">
      <c r="A4238" s="839">
        <v>68649095</v>
      </c>
      <c r="B4238" s="839">
        <v>2904</v>
      </c>
      <c r="C4238" s="906">
        <v>5424</v>
      </c>
      <c r="D4238" s="907">
        <v>46092</v>
      </c>
      <c r="E4238" s="839" t="s">
        <v>294</v>
      </c>
      <c r="F4238" s="839" t="s">
        <v>40</v>
      </c>
      <c r="G4238" s="916">
        <f>VLOOKUP($A4238,'Tech Litons'!$A:$I,8,FALSE)</f>
        <v>3.5999999999999999E-3</v>
      </c>
      <c r="H4238" s="917">
        <f>VLOOKUP($A4238,'Tech Litons'!$A:$I,9,FALSE)</f>
        <v>240</v>
      </c>
      <c r="I4238" s="917" t="str">
        <f>VLOOKUP($A4238,'Tech Litons'!$A:$C,3,0)</f>
        <v>Topped</v>
      </c>
      <c r="J4238" s="918" t="str">
        <f t="shared" si="426"/>
        <v>2904Topped</v>
      </c>
      <c r="K4238" s="919">
        <v>1</v>
      </c>
      <c r="L4238" s="920">
        <f t="shared" si="427"/>
        <v>5424</v>
      </c>
      <c r="M4238" s="920">
        <f t="shared" si="428"/>
        <v>19.526399999999999</v>
      </c>
      <c r="N4238" s="920">
        <f t="shared" si="429"/>
        <v>22.6</v>
      </c>
      <c r="O4238" s="918" t="str">
        <f t="shared" si="430"/>
        <v>Mar</v>
      </c>
      <c r="P4238" s="921">
        <f t="shared" si="431"/>
        <v>11</v>
      </c>
    </row>
    <row r="4239" spans="1:16" ht="15" hidden="1" customHeight="1">
      <c r="A4239" s="839">
        <v>68649095</v>
      </c>
      <c r="B4239" s="839">
        <v>2904</v>
      </c>
      <c r="C4239" s="906">
        <v>675</v>
      </c>
      <c r="D4239" s="907">
        <v>46093</v>
      </c>
      <c r="E4239" s="839" t="s">
        <v>294</v>
      </c>
      <c r="F4239" s="839" t="s">
        <v>40</v>
      </c>
      <c r="G4239" s="916">
        <f>VLOOKUP($A4239,'Tech Litons'!$A:$I,8,FALSE)</f>
        <v>3.5999999999999999E-3</v>
      </c>
      <c r="H4239" s="917">
        <f>VLOOKUP($A4239,'Tech Litons'!$A:$I,9,FALSE)</f>
        <v>240</v>
      </c>
      <c r="I4239" s="917" t="str">
        <f>VLOOKUP($A4239,'Tech Litons'!$A:$C,3,0)</f>
        <v>Topped</v>
      </c>
      <c r="J4239" s="918" t="str">
        <f t="shared" si="426"/>
        <v>2904Topped</v>
      </c>
      <c r="K4239" s="919">
        <v>1</v>
      </c>
      <c r="L4239" s="920">
        <f t="shared" si="427"/>
        <v>675</v>
      </c>
      <c r="M4239" s="920">
        <f t="shared" si="428"/>
        <v>2.4299999999999997</v>
      </c>
      <c r="N4239" s="920">
        <f t="shared" si="429"/>
        <v>2.8125</v>
      </c>
      <c r="O4239" s="918" t="str">
        <f t="shared" si="430"/>
        <v>Mar</v>
      </c>
      <c r="P4239" s="921">
        <f t="shared" si="431"/>
        <v>11</v>
      </c>
    </row>
    <row r="4240" spans="1:16" ht="15" hidden="1" customHeight="1">
      <c r="A4240" s="839">
        <v>68649095</v>
      </c>
      <c r="B4240" s="839">
        <v>2904</v>
      </c>
      <c r="C4240" s="906">
        <v>-30</v>
      </c>
      <c r="D4240" s="907">
        <v>46104</v>
      </c>
      <c r="E4240" s="839" t="s">
        <v>294</v>
      </c>
      <c r="F4240" s="839" t="s">
        <v>40</v>
      </c>
      <c r="G4240" s="916">
        <f>VLOOKUP($A4240,'Tech Litons'!$A:$I,8,FALSE)</f>
        <v>3.5999999999999999E-3</v>
      </c>
      <c r="H4240" s="917">
        <f>VLOOKUP($A4240,'Tech Litons'!$A:$I,9,FALSE)</f>
        <v>240</v>
      </c>
      <c r="I4240" s="917" t="str">
        <f>VLOOKUP($A4240,'Tech Litons'!$A:$C,3,0)</f>
        <v>Topped</v>
      </c>
      <c r="J4240" s="918" t="str">
        <f t="shared" si="426"/>
        <v>2904Topped</v>
      </c>
      <c r="K4240" s="919">
        <v>1</v>
      </c>
      <c r="L4240" s="920">
        <f t="shared" si="427"/>
        <v>-30</v>
      </c>
      <c r="M4240" s="920">
        <f t="shared" si="428"/>
        <v>-0.108</v>
      </c>
      <c r="N4240" s="920">
        <f t="shared" si="429"/>
        <v>-0.125</v>
      </c>
      <c r="O4240" s="918" t="str">
        <f t="shared" si="430"/>
        <v>Mar</v>
      </c>
      <c r="P4240" s="921">
        <f t="shared" si="431"/>
        <v>13</v>
      </c>
    </row>
    <row r="4241" spans="1:16" ht="15" hidden="1" customHeight="1">
      <c r="A4241" s="839">
        <v>68649095</v>
      </c>
      <c r="B4241" s="839">
        <v>2904</v>
      </c>
      <c r="C4241" s="906">
        <v>8629</v>
      </c>
      <c r="D4241" s="907">
        <v>46093</v>
      </c>
      <c r="E4241" s="839" t="s">
        <v>294</v>
      </c>
      <c r="F4241" s="839" t="s">
        <v>40</v>
      </c>
      <c r="G4241" s="916">
        <f>VLOOKUP($A4241,'Tech Litons'!$A:$I,8,FALSE)</f>
        <v>3.5999999999999999E-3</v>
      </c>
      <c r="H4241" s="917">
        <f>VLOOKUP($A4241,'Tech Litons'!$A:$I,9,FALSE)</f>
        <v>240</v>
      </c>
      <c r="I4241" s="917" t="str">
        <f>VLOOKUP($A4241,'Tech Litons'!$A:$C,3,0)</f>
        <v>Topped</v>
      </c>
      <c r="J4241" s="918" t="str">
        <f t="shared" si="426"/>
        <v>2904Topped</v>
      </c>
      <c r="K4241" s="919">
        <v>1</v>
      </c>
      <c r="L4241" s="920">
        <f t="shared" si="427"/>
        <v>8629</v>
      </c>
      <c r="M4241" s="920">
        <f t="shared" si="428"/>
        <v>31.064399999999999</v>
      </c>
      <c r="N4241" s="920">
        <f t="shared" si="429"/>
        <v>35.954166666666666</v>
      </c>
      <c r="O4241" s="918" t="str">
        <f t="shared" si="430"/>
        <v>Mar</v>
      </c>
      <c r="P4241" s="921">
        <f t="shared" si="431"/>
        <v>11</v>
      </c>
    </row>
    <row r="4242" spans="1:16" ht="15" hidden="1" customHeight="1">
      <c r="A4242" s="839">
        <v>68649095</v>
      </c>
      <c r="B4242" s="839">
        <v>2904</v>
      </c>
      <c r="C4242" s="906">
        <v>-240</v>
      </c>
      <c r="D4242" s="907">
        <v>46100</v>
      </c>
      <c r="E4242" s="839" t="s">
        <v>294</v>
      </c>
      <c r="F4242" s="839" t="s">
        <v>40</v>
      </c>
      <c r="G4242" s="916">
        <f>VLOOKUP($A4242,'Tech Litons'!$A:$I,8,FALSE)</f>
        <v>3.5999999999999999E-3</v>
      </c>
      <c r="H4242" s="917">
        <f>VLOOKUP($A4242,'Tech Litons'!$A:$I,9,FALSE)</f>
        <v>240</v>
      </c>
      <c r="I4242" s="917" t="str">
        <f>VLOOKUP($A4242,'Tech Litons'!$A:$C,3,0)</f>
        <v>Topped</v>
      </c>
      <c r="J4242" s="918" t="str">
        <f t="shared" si="426"/>
        <v>2904Topped</v>
      </c>
      <c r="K4242" s="919">
        <v>1</v>
      </c>
      <c r="L4242" s="920">
        <f t="shared" si="427"/>
        <v>-240</v>
      </c>
      <c r="M4242" s="920">
        <f t="shared" si="428"/>
        <v>-0.86399999999999999</v>
      </c>
      <c r="N4242" s="920">
        <f t="shared" si="429"/>
        <v>-1</v>
      </c>
      <c r="O4242" s="918" t="str">
        <f t="shared" si="430"/>
        <v>Mar</v>
      </c>
      <c r="P4242" s="921">
        <f t="shared" si="431"/>
        <v>12</v>
      </c>
    </row>
    <row r="4243" spans="1:16" ht="15" hidden="1" customHeight="1">
      <c r="A4243" s="839">
        <v>68649097</v>
      </c>
      <c r="B4243" s="839">
        <v>2904</v>
      </c>
      <c r="C4243" s="906">
        <v>720</v>
      </c>
      <c r="D4243" s="907">
        <v>46094</v>
      </c>
      <c r="E4243" s="839" t="s">
        <v>534</v>
      </c>
      <c r="F4243" s="839" t="s">
        <v>40</v>
      </c>
      <c r="G4243" s="916">
        <f>VLOOKUP($A4243,'Tech Litons'!$A:$I,8,FALSE)</f>
        <v>3.5999999999999999E-3</v>
      </c>
      <c r="H4243" s="917">
        <f>VLOOKUP($A4243,'Tech Litons'!$A:$I,9,FALSE)</f>
        <v>240</v>
      </c>
      <c r="I4243" s="917" t="str">
        <f>VLOOKUP($A4243,'Tech Litons'!$A:$C,3,0)</f>
        <v>Topped</v>
      </c>
      <c r="J4243" s="918" t="str">
        <f t="shared" si="426"/>
        <v>2904Topped</v>
      </c>
      <c r="K4243" s="919">
        <v>1</v>
      </c>
      <c r="L4243" s="920">
        <f t="shared" si="427"/>
        <v>720</v>
      </c>
      <c r="M4243" s="920">
        <f t="shared" si="428"/>
        <v>2.5920000000000001</v>
      </c>
      <c r="N4243" s="920">
        <f t="shared" si="429"/>
        <v>3</v>
      </c>
      <c r="O4243" s="918" t="str">
        <f t="shared" si="430"/>
        <v>Mar</v>
      </c>
      <c r="P4243" s="921">
        <f t="shared" si="431"/>
        <v>11</v>
      </c>
    </row>
    <row r="4244" spans="1:16" ht="15" hidden="1" customHeight="1">
      <c r="A4244" s="839">
        <v>68649097</v>
      </c>
      <c r="B4244" s="839">
        <v>2904</v>
      </c>
      <c r="C4244" s="906">
        <v>11204</v>
      </c>
      <c r="D4244" s="907">
        <v>46094</v>
      </c>
      <c r="E4244" s="839" t="s">
        <v>534</v>
      </c>
      <c r="F4244" s="839" t="s">
        <v>40</v>
      </c>
      <c r="G4244" s="916">
        <f>VLOOKUP($A4244,'Tech Litons'!$A:$I,8,FALSE)</f>
        <v>3.5999999999999999E-3</v>
      </c>
      <c r="H4244" s="917">
        <f>VLOOKUP($A4244,'Tech Litons'!$A:$I,9,FALSE)</f>
        <v>240</v>
      </c>
      <c r="I4244" s="917" t="str">
        <f>VLOOKUP($A4244,'Tech Litons'!$A:$C,3,0)</f>
        <v>Topped</v>
      </c>
      <c r="J4244" s="918" t="str">
        <f t="shared" si="426"/>
        <v>2904Topped</v>
      </c>
      <c r="K4244" s="919">
        <v>1</v>
      </c>
      <c r="L4244" s="920">
        <f t="shared" si="427"/>
        <v>11204</v>
      </c>
      <c r="M4244" s="920">
        <f t="shared" si="428"/>
        <v>40.334400000000002</v>
      </c>
      <c r="N4244" s="920">
        <f t="shared" si="429"/>
        <v>46.68333333333333</v>
      </c>
      <c r="O4244" s="918" t="str">
        <f t="shared" si="430"/>
        <v>Mar</v>
      </c>
      <c r="P4244" s="921">
        <f t="shared" si="431"/>
        <v>11</v>
      </c>
    </row>
    <row r="4245" spans="1:16" ht="15" hidden="1" customHeight="1">
      <c r="A4245" s="839">
        <v>68649097</v>
      </c>
      <c r="B4245" s="839">
        <v>2904</v>
      </c>
      <c r="C4245" s="906">
        <v>5284</v>
      </c>
      <c r="D4245" s="907">
        <v>46095</v>
      </c>
      <c r="E4245" s="839" t="s">
        <v>534</v>
      </c>
      <c r="F4245" s="839" t="s">
        <v>40</v>
      </c>
      <c r="G4245" s="916">
        <f>VLOOKUP($A4245,'Tech Litons'!$A:$I,8,FALSE)</f>
        <v>3.5999999999999999E-3</v>
      </c>
      <c r="H4245" s="917">
        <f>VLOOKUP($A4245,'Tech Litons'!$A:$I,9,FALSE)</f>
        <v>240</v>
      </c>
      <c r="I4245" s="917" t="str">
        <f>VLOOKUP($A4245,'Tech Litons'!$A:$C,3,0)</f>
        <v>Topped</v>
      </c>
      <c r="J4245" s="918" t="str">
        <f t="shared" si="426"/>
        <v>2904Topped</v>
      </c>
      <c r="K4245" s="919">
        <v>1</v>
      </c>
      <c r="L4245" s="920">
        <f t="shared" si="427"/>
        <v>5284</v>
      </c>
      <c r="M4245" s="920">
        <f t="shared" si="428"/>
        <v>19.022400000000001</v>
      </c>
      <c r="N4245" s="920">
        <f t="shared" si="429"/>
        <v>22.016666666666666</v>
      </c>
      <c r="O4245" s="918" t="str">
        <f t="shared" si="430"/>
        <v>Mar</v>
      </c>
      <c r="P4245" s="921">
        <f t="shared" si="431"/>
        <v>11</v>
      </c>
    </row>
    <row r="4246" spans="1:16" ht="15" hidden="1" customHeight="1">
      <c r="A4246" s="839">
        <v>68649097</v>
      </c>
      <c r="B4246" s="839">
        <v>2904</v>
      </c>
      <c r="C4246" s="906">
        <v>0</v>
      </c>
      <c r="D4246" s="907">
        <v>46097</v>
      </c>
      <c r="E4246" s="839" t="s">
        <v>534</v>
      </c>
      <c r="F4246" s="839" t="s">
        <v>40</v>
      </c>
      <c r="G4246" s="916">
        <f>VLOOKUP($A4246,'Tech Litons'!$A:$I,8,FALSE)</f>
        <v>3.5999999999999999E-3</v>
      </c>
      <c r="H4246" s="917">
        <f>VLOOKUP($A4246,'Tech Litons'!$A:$I,9,FALSE)</f>
        <v>240</v>
      </c>
      <c r="I4246" s="917" t="str">
        <f>VLOOKUP($A4246,'Tech Litons'!$A:$C,3,0)</f>
        <v>Topped</v>
      </c>
      <c r="J4246" s="918" t="str">
        <f t="shared" si="426"/>
        <v>2904Topped</v>
      </c>
      <c r="K4246" s="919">
        <v>1</v>
      </c>
      <c r="L4246" s="920">
        <f t="shared" si="427"/>
        <v>0</v>
      </c>
      <c r="M4246" s="920">
        <f t="shared" si="428"/>
        <v>0</v>
      </c>
      <c r="N4246" s="920">
        <f t="shared" si="429"/>
        <v>0</v>
      </c>
      <c r="O4246" s="918" t="str">
        <f t="shared" si="430"/>
        <v>Mar</v>
      </c>
      <c r="P4246" s="921">
        <f t="shared" si="431"/>
        <v>12</v>
      </c>
    </row>
    <row r="4247" spans="1:16" ht="15" hidden="1" customHeight="1">
      <c r="A4247" s="839">
        <v>68654238</v>
      </c>
      <c r="B4247" s="839">
        <v>2904</v>
      </c>
      <c r="C4247" s="906">
        <v>3762</v>
      </c>
      <c r="D4247" s="907">
        <v>46090</v>
      </c>
      <c r="E4247" s="839" t="s">
        <v>551</v>
      </c>
      <c r="F4247" s="839" t="s">
        <v>299</v>
      </c>
      <c r="G4247" s="916">
        <f>VLOOKUP($A4247,'Tech Litons'!$A:$I,8,FALSE)</f>
        <v>3.7839999999999996E-3</v>
      </c>
      <c r="H4247" s="917">
        <f>VLOOKUP($A4247,'Tech Litons'!$A:$I,9,FALSE)</f>
        <v>240</v>
      </c>
      <c r="I4247" s="917" t="str">
        <f>VLOOKUP($A4247,'Tech Litons'!$A:$C,3,0)</f>
        <v>BJ PTS</v>
      </c>
      <c r="J4247" s="918" t="str">
        <f t="shared" si="426"/>
        <v>2904BJ PTS</v>
      </c>
      <c r="K4247" s="919">
        <v>1</v>
      </c>
      <c r="L4247" s="920">
        <f t="shared" si="427"/>
        <v>3762</v>
      </c>
      <c r="M4247" s="920">
        <f t="shared" si="428"/>
        <v>14.235407999999998</v>
      </c>
      <c r="N4247" s="920">
        <f t="shared" si="429"/>
        <v>15.675000000000001</v>
      </c>
      <c r="O4247" s="918" t="str">
        <f t="shared" si="430"/>
        <v>Mar</v>
      </c>
      <c r="P4247" s="921">
        <f t="shared" si="431"/>
        <v>11</v>
      </c>
    </row>
    <row r="4248" spans="1:16" ht="15" hidden="1" customHeight="1">
      <c r="A4248" s="839">
        <v>68654238</v>
      </c>
      <c r="B4248" s="839">
        <v>2904</v>
      </c>
      <c r="C4248" s="906">
        <v>9933</v>
      </c>
      <c r="D4248" s="907">
        <v>46091</v>
      </c>
      <c r="E4248" s="839" t="s">
        <v>551</v>
      </c>
      <c r="F4248" s="839" t="s">
        <v>299</v>
      </c>
      <c r="G4248" s="916">
        <f>VLOOKUP($A4248,'Tech Litons'!$A:$I,8,FALSE)</f>
        <v>3.7839999999999996E-3</v>
      </c>
      <c r="H4248" s="917">
        <f>VLOOKUP($A4248,'Tech Litons'!$A:$I,9,FALSE)</f>
        <v>240</v>
      </c>
      <c r="I4248" s="917" t="str">
        <f>VLOOKUP($A4248,'Tech Litons'!$A:$C,3,0)</f>
        <v>BJ PTS</v>
      </c>
      <c r="J4248" s="918" t="str">
        <f t="shared" si="426"/>
        <v>2904BJ PTS</v>
      </c>
      <c r="K4248" s="919">
        <v>1</v>
      </c>
      <c r="L4248" s="920">
        <f t="shared" si="427"/>
        <v>9933</v>
      </c>
      <c r="M4248" s="920">
        <f t="shared" si="428"/>
        <v>37.586471999999993</v>
      </c>
      <c r="N4248" s="920">
        <f t="shared" si="429"/>
        <v>41.387500000000003</v>
      </c>
      <c r="O4248" s="918" t="str">
        <f t="shared" si="430"/>
        <v>Mar</v>
      </c>
      <c r="P4248" s="921">
        <f t="shared" si="431"/>
        <v>11</v>
      </c>
    </row>
    <row r="4249" spans="1:16" ht="15" hidden="1" customHeight="1">
      <c r="A4249" s="839">
        <v>68654238</v>
      </c>
      <c r="B4249" s="839">
        <v>2904</v>
      </c>
      <c r="C4249" s="906">
        <v>7893</v>
      </c>
      <c r="D4249" s="907">
        <v>46091</v>
      </c>
      <c r="E4249" s="839" t="s">
        <v>551</v>
      </c>
      <c r="F4249" s="839" t="s">
        <v>299</v>
      </c>
      <c r="G4249" s="916">
        <f>VLOOKUP($A4249,'Tech Litons'!$A:$I,8,FALSE)</f>
        <v>3.7839999999999996E-3</v>
      </c>
      <c r="H4249" s="917">
        <f>VLOOKUP($A4249,'Tech Litons'!$A:$I,9,FALSE)</f>
        <v>240</v>
      </c>
      <c r="I4249" s="917" t="str">
        <f>VLOOKUP($A4249,'Tech Litons'!$A:$C,3,0)</f>
        <v>BJ PTS</v>
      </c>
      <c r="J4249" s="918" t="str">
        <f t="shared" si="426"/>
        <v>2904BJ PTS</v>
      </c>
      <c r="K4249" s="919">
        <v>1</v>
      </c>
      <c r="L4249" s="920">
        <f t="shared" si="427"/>
        <v>7893</v>
      </c>
      <c r="M4249" s="920">
        <f t="shared" si="428"/>
        <v>29.867111999999995</v>
      </c>
      <c r="N4249" s="920">
        <f t="shared" si="429"/>
        <v>32.887500000000003</v>
      </c>
      <c r="O4249" s="918" t="str">
        <f t="shared" si="430"/>
        <v>Mar</v>
      </c>
      <c r="P4249" s="921">
        <f t="shared" si="431"/>
        <v>11</v>
      </c>
    </row>
    <row r="4250" spans="1:16" ht="15" hidden="1" customHeight="1">
      <c r="A4250" s="839">
        <v>68654238</v>
      </c>
      <c r="B4250" s="839">
        <v>2904</v>
      </c>
      <c r="C4250" s="906">
        <v>213</v>
      </c>
      <c r="D4250" s="907">
        <v>46092</v>
      </c>
      <c r="E4250" s="839" t="s">
        <v>551</v>
      </c>
      <c r="F4250" s="839" t="s">
        <v>299</v>
      </c>
      <c r="G4250" s="916">
        <f>VLOOKUP($A4250,'Tech Litons'!$A:$I,8,FALSE)</f>
        <v>3.7839999999999996E-3</v>
      </c>
      <c r="H4250" s="917">
        <f>VLOOKUP($A4250,'Tech Litons'!$A:$I,9,FALSE)</f>
        <v>240</v>
      </c>
      <c r="I4250" s="917" t="str">
        <f>VLOOKUP($A4250,'Tech Litons'!$A:$C,3,0)</f>
        <v>BJ PTS</v>
      </c>
      <c r="J4250" s="918" t="str">
        <f t="shared" si="426"/>
        <v>2904BJ PTS</v>
      </c>
      <c r="K4250" s="919">
        <v>1</v>
      </c>
      <c r="L4250" s="920">
        <f t="shared" si="427"/>
        <v>213</v>
      </c>
      <c r="M4250" s="920">
        <f t="shared" si="428"/>
        <v>0.80599199999999993</v>
      </c>
      <c r="N4250" s="920">
        <f t="shared" si="429"/>
        <v>0.88749999999999996</v>
      </c>
      <c r="O4250" s="918" t="str">
        <f t="shared" si="430"/>
        <v>Mar</v>
      </c>
      <c r="P4250" s="921">
        <f t="shared" si="431"/>
        <v>11</v>
      </c>
    </row>
    <row r="4251" spans="1:16" ht="15" hidden="1" customHeight="1">
      <c r="A4251" s="839">
        <v>68654238</v>
      </c>
      <c r="B4251" s="839">
        <v>2904</v>
      </c>
      <c r="C4251" s="906">
        <v>267</v>
      </c>
      <c r="D4251" s="907">
        <v>46093</v>
      </c>
      <c r="E4251" s="839" t="s">
        <v>551</v>
      </c>
      <c r="F4251" s="839" t="s">
        <v>299</v>
      </c>
      <c r="G4251" s="916">
        <f>VLOOKUP($A4251,'Tech Litons'!$A:$I,8,FALSE)</f>
        <v>3.7839999999999996E-3</v>
      </c>
      <c r="H4251" s="917">
        <f>VLOOKUP($A4251,'Tech Litons'!$A:$I,9,FALSE)</f>
        <v>240</v>
      </c>
      <c r="I4251" s="917" t="str">
        <f>VLOOKUP($A4251,'Tech Litons'!$A:$C,3,0)</f>
        <v>BJ PTS</v>
      </c>
      <c r="J4251" s="918" t="str">
        <f t="shared" si="426"/>
        <v>2904BJ PTS</v>
      </c>
      <c r="K4251" s="919">
        <v>1</v>
      </c>
      <c r="L4251" s="920">
        <f t="shared" si="427"/>
        <v>267</v>
      </c>
      <c r="M4251" s="920">
        <f t="shared" si="428"/>
        <v>1.0103279999999999</v>
      </c>
      <c r="N4251" s="920">
        <f t="shared" si="429"/>
        <v>1.1125</v>
      </c>
      <c r="O4251" s="918" t="str">
        <f t="shared" si="430"/>
        <v>Mar</v>
      </c>
      <c r="P4251" s="921">
        <f t="shared" si="431"/>
        <v>11</v>
      </c>
    </row>
    <row r="4252" spans="1:16" ht="15" hidden="1" customHeight="1">
      <c r="A4252" s="839">
        <v>68741742</v>
      </c>
      <c r="B4252" s="839">
        <v>2904</v>
      </c>
      <c r="C4252" s="906">
        <v>154</v>
      </c>
      <c r="D4252" s="907">
        <v>46097</v>
      </c>
      <c r="E4252" s="839" t="s">
        <v>288</v>
      </c>
      <c r="F4252" s="839" t="s">
        <v>295</v>
      </c>
      <c r="G4252" s="916">
        <f>VLOOKUP($A4252,'Tech Litons'!$A:$I,8,FALSE)</f>
        <v>4.2560000000000002E-3</v>
      </c>
      <c r="H4252" s="917">
        <f>VLOOKUP($A4252,'Tech Litons'!$A:$I,9,FALSE)</f>
        <v>154</v>
      </c>
      <c r="I4252" s="917" t="str">
        <f>VLOOKUP($A4252,'Tech Litons'!$A:$C,3,0)</f>
        <v>MBG</v>
      </c>
      <c r="J4252" s="918" t="str">
        <f t="shared" si="426"/>
        <v>2904MBG</v>
      </c>
      <c r="K4252" s="919">
        <v>1</v>
      </c>
      <c r="L4252" s="920">
        <f t="shared" si="427"/>
        <v>154</v>
      </c>
      <c r="M4252" s="920">
        <f t="shared" si="428"/>
        <v>0.65542400000000001</v>
      </c>
      <c r="N4252" s="920">
        <f t="shared" si="429"/>
        <v>1</v>
      </c>
      <c r="O4252" s="918" t="str">
        <f t="shared" si="430"/>
        <v>Mar</v>
      </c>
      <c r="P4252" s="921">
        <f t="shared" si="431"/>
        <v>12</v>
      </c>
    </row>
    <row r="4253" spans="1:16" ht="15" hidden="1" customHeight="1">
      <c r="A4253" s="839">
        <v>68741742</v>
      </c>
      <c r="B4253" s="839">
        <v>2904</v>
      </c>
      <c r="C4253" s="906">
        <v>1694</v>
      </c>
      <c r="D4253" s="907">
        <v>46098</v>
      </c>
      <c r="E4253" s="839" t="s">
        <v>288</v>
      </c>
      <c r="F4253" s="839" t="s">
        <v>295</v>
      </c>
      <c r="G4253" s="916">
        <f>VLOOKUP($A4253,'Tech Litons'!$A:$I,8,FALSE)</f>
        <v>4.2560000000000002E-3</v>
      </c>
      <c r="H4253" s="917">
        <f>VLOOKUP($A4253,'Tech Litons'!$A:$I,9,FALSE)</f>
        <v>154</v>
      </c>
      <c r="I4253" s="917" t="str">
        <f>VLOOKUP($A4253,'Tech Litons'!$A:$C,3,0)</f>
        <v>MBG</v>
      </c>
      <c r="J4253" s="918" t="str">
        <f t="shared" si="426"/>
        <v>2904MBG</v>
      </c>
      <c r="K4253" s="919">
        <v>1</v>
      </c>
      <c r="L4253" s="920">
        <f t="shared" si="427"/>
        <v>1694</v>
      </c>
      <c r="M4253" s="920">
        <f t="shared" si="428"/>
        <v>7.2096640000000001</v>
      </c>
      <c r="N4253" s="920">
        <f t="shared" si="429"/>
        <v>11</v>
      </c>
      <c r="O4253" s="918" t="str">
        <f t="shared" si="430"/>
        <v>Mar</v>
      </c>
      <c r="P4253" s="921">
        <f t="shared" si="431"/>
        <v>12</v>
      </c>
    </row>
    <row r="4254" spans="1:16" ht="15" hidden="1" customHeight="1">
      <c r="A4254" s="839">
        <v>68741742</v>
      </c>
      <c r="B4254" s="839">
        <v>2904</v>
      </c>
      <c r="C4254" s="906">
        <v>2200</v>
      </c>
      <c r="D4254" s="907">
        <v>46098</v>
      </c>
      <c r="E4254" s="839" t="s">
        <v>288</v>
      </c>
      <c r="F4254" s="839" t="s">
        <v>295</v>
      </c>
      <c r="G4254" s="916">
        <f>VLOOKUP($A4254,'Tech Litons'!$A:$I,8,FALSE)</f>
        <v>4.2560000000000002E-3</v>
      </c>
      <c r="H4254" s="917">
        <f>VLOOKUP($A4254,'Tech Litons'!$A:$I,9,FALSE)</f>
        <v>154</v>
      </c>
      <c r="I4254" s="917" t="str">
        <f>VLOOKUP($A4254,'Tech Litons'!$A:$C,3,0)</f>
        <v>MBG</v>
      </c>
      <c r="J4254" s="918" t="str">
        <f t="shared" si="426"/>
        <v>2904MBG</v>
      </c>
      <c r="K4254" s="919">
        <v>1</v>
      </c>
      <c r="L4254" s="920">
        <f t="shared" si="427"/>
        <v>2200</v>
      </c>
      <c r="M4254" s="920">
        <f t="shared" si="428"/>
        <v>9.3632000000000009</v>
      </c>
      <c r="N4254" s="920">
        <f t="shared" si="429"/>
        <v>14.285714285714286</v>
      </c>
      <c r="O4254" s="918" t="str">
        <f t="shared" si="430"/>
        <v>Mar</v>
      </c>
      <c r="P4254" s="921">
        <f t="shared" si="431"/>
        <v>12</v>
      </c>
    </row>
    <row r="4255" spans="1:16" ht="15" hidden="1" customHeight="1">
      <c r="A4255" s="839">
        <v>68741742</v>
      </c>
      <c r="B4255" s="839">
        <v>2904</v>
      </c>
      <c r="C4255" s="906">
        <v>1904</v>
      </c>
      <c r="D4255" s="907">
        <v>46099</v>
      </c>
      <c r="E4255" s="839" t="s">
        <v>288</v>
      </c>
      <c r="F4255" s="839" t="s">
        <v>295</v>
      </c>
      <c r="G4255" s="916">
        <f>VLOOKUP($A4255,'Tech Litons'!$A:$I,8,FALSE)</f>
        <v>4.2560000000000002E-3</v>
      </c>
      <c r="H4255" s="917">
        <f>VLOOKUP($A4255,'Tech Litons'!$A:$I,9,FALSE)</f>
        <v>154</v>
      </c>
      <c r="I4255" s="917" t="str">
        <f>VLOOKUP($A4255,'Tech Litons'!$A:$C,3,0)</f>
        <v>MBG</v>
      </c>
      <c r="J4255" s="918" t="str">
        <f t="shared" si="426"/>
        <v>2904MBG</v>
      </c>
      <c r="K4255" s="919">
        <v>1</v>
      </c>
      <c r="L4255" s="920">
        <f t="shared" si="427"/>
        <v>1904</v>
      </c>
      <c r="M4255" s="920">
        <f t="shared" si="428"/>
        <v>8.1034240000000004</v>
      </c>
      <c r="N4255" s="920">
        <f t="shared" si="429"/>
        <v>12.363636363636363</v>
      </c>
      <c r="O4255" s="918" t="str">
        <f t="shared" si="430"/>
        <v>Mar</v>
      </c>
      <c r="P4255" s="921">
        <f t="shared" si="431"/>
        <v>12</v>
      </c>
    </row>
    <row r="4256" spans="1:16" ht="15" hidden="1" customHeight="1">
      <c r="A4256" s="839">
        <v>68741742</v>
      </c>
      <c r="B4256" s="839">
        <v>2904</v>
      </c>
      <c r="C4256" s="906">
        <v>-112</v>
      </c>
      <c r="D4256" s="907">
        <v>46105</v>
      </c>
      <c r="E4256" s="839" t="s">
        <v>288</v>
      </c>
      <c r="F4256" s="839" t="s">
        <v>295</v>
      </c>
      <c r="G4256" s="916">
        <f>VLOOKUP($A4256,'Tech Litons'!$A:$I,8,FALSE)</f>
        <v>4.2560000000000002E-3</v>
      </c>
      <c r="H4256" s="917">
        <f>VLOOKUP($A4256,'Tech Litons'!$A:$I,9,FALSE)</f>
        <v>154</v>
      </c>
      <c r="I4256" s="917" t="str">
        <f>VLOOKUP($A4256,'Tech Litons'!$A:$C,3,0)</f>
        <v>MBG</v>
      </c>
      <c r="J4256" s="918" t="str">
        <f t="shared" si="426"/>
        <v>2904MBG</v>
      </c>
      <c r="K4256" s="919">
        <v>1</v>
      </c>
      <c r="L4256" s="920">
        <f t="shared" si="427"/>
        <v>-112</v>
      </c>
      <c r="M4256" s="920">
        <f t="shared" si="428"/>
        <v>-0.47667200000000004</v>
      </c>
      <c r="N4256" s="920">
        <f t="shared" si="429"/>
        <v>-0.72727272727272729</v>
      </c>
      <c r="O4256" s="918" t="str">
        <f t="shared" si="430"/>
        <v>Mar</v>
      </c>
      <c r="P4256" s="921">
        <f t="shared" si="431"/>
        <v>13</v>
      </c>
    </row>
    <row r="4257" spans="1:16" ht="15" hidden="1" customHeight="1">
      <c r="A4257" s="839">
        <v>68741742</v>
      </c>
      <c r="B4257" s="839">
        <v>2904</v>
      </c>
      <c r="C4257" s="906">
        <v>480</v>
      </c>
      <c r="D4257" s="907">
        <v>46099</v>
      </c>
      <c r="E4257" s="839" t="s">
        <v>288</v>
      </c>
      <c r="F4257" s="839" t="s">
        <v>295</v>
      </c>
      <c r="G4257" s="916">
        <f>VLOOKUP($A4257,'Tech Litons'!$A:$I,8,FALSE)</f>
        <v>4.2560000000000002E-3</v>
      </c>
      <c r="H4257" s="917">
        <f>VLOOKUP($A4257,'Tech Litons'!$A:$I,9,FALSE)</f>
        <v>154</v>
      </c>
      <c r="I4257" s="917" t="str">
        <f>VLOOKUP($A4257,'Tech Litons'!$A:$C,3,0)</f>
        <v>MBG</v>
      </c>
      <c r="J4257" s="918" t="str">
        <f t="shared" si="426"/>
        <v>2904MBG</v>
      </c>
      <c r="K4257" s="919">
        <v>1</v>
      </c>
      <c r="L4257" s="920">
        <f t="shared" si="427"/>
        <v>480</v>
      </c>
      <c r="M4257" s="920">
        <f t="shared" si="428"/>
        <v>2.0428800000000003</v>
      </c>
      <c r="N4257" s="920">
        <f t="shared" si="429"/>
        <v>3.116883116883117</v>
      </c>
      <c r="O4257" s="918" t="str">
        <f t="shared" si="430"/>
        <v>Mar</v>
      </c>
      <c r="P4257" s="921">
        <f t="shared" si="431"/>
        <v>12</v>
      </c>
    </row>
    <row r="4258" spans="1:16" ht="15" hidden="1" customHeight="1">
      <c r="A4258" s="839">
        <v>68741742</v>
      </c>
      <c r="B4258" s="839">
        <v>2904</v>
      </c>
      <c r="C4258" s="906">
        <v>1680</v>
      </c>
      <c r="D4258" s="907">
        <v>46100</v>
      </c>
      <c r="E4258" s="839" t="s">
        <v>288</v>
      </c>
      <c r="F4258" s="839" t="s">
        <v>295</v>
      </c>
      <c r="G4258" s="916">
        <f>VLOOKUP($A4258,'Tech Litons'!$A:$I,8,FALSE)</f>
        <v>4.2560000000000002E-3</v>
      </c>
      <c r="H4258" s="917">
        <f>VLOOKUP($A4258,'Tech Litons'!$A:$I,9,FALSE)</f>
        <v>154</v>
      </c>
      <c r="I4258" s="917" t="str">
        <f>VLOOKUP($A4258,'Tech Litons'!$A:$C,3,0)</f>
        <v>MBG</v>
      </c>
      <c r="J4258" s="918" t="str">
        <f t="shared" si="426"/>
        <v>2904MBG</v>
      </c>
      <c r="K4258" s="919">
        <v>1</v>
      </c>
      <c r="L4258" s="920">
        <f t="shared" si="427"/>
        <v>1680</v>
      </c>
      <c r="M4258" s="920">
        <f t="shared" si="428"/>
        <v>7.15008</v>
      </c>
      <c r="N4258" s="920">
        <f t="shared" si="429"/>
        <v>10.909090909090908</v>
      </c>
      <c r="O4258" s="918" t="str">
        <f t="shared" si="430"/>
        <v>Mar</v>
      </c>
      <c r="P4258" s="921">
        <f t="shared" si="431"/>
        <v>12</v>
      </c>
    </row>
    <row r="4259" spans="1:16" ht="15" hidden="1" customHeight="1">
      <c r="A4259" s="839">
        <v>68741742</v>
      </c>
      <c r="B4259" s="839">
        <v>2904</v>
      </c>
      <c r="C4259" s="906">
        <v>1540</v>
      </c>
      <c r="D4259" s="907">
        <v>46100</v>
      </c>
      <c r="E4259" s="839" t="s">
        <v>288</v>
      </c>
      <c r="F4259" s="839" t="s">
        <v>295</v>
      </c>
      <c r="G4259" s="916">
        <f>VLOOKUP($A4259,'Tech Litons'!$A:$I,8,FALSE)</f>
        <v>4.2560000000000002E-3</v>
      </c>
      <c r="H4259" s="917">
        <f>VLOOKUP($A4259,'Tech Litons'!$A:$I,9,FALSE)</f>
        <v>154</v>
      </c>
      <c r="I4259" s="917" t="str">
        <f>VLOOKUP($A4259,'Tech Litons'!$A:$C,3,0)</f>
        <v>MBG</v>
      </c>
      <c r="J4259" s="918" t="str">
        <f t="shared" si="426"/>
        <v>2904MBG</v>
      </c>
      <c r="K4259" s="919">
        <v>1</v>
      </c>
      <c r="L4259" s="920">
        <f t="shared" si="427"/>
        <v>1540</v>
      </c>
      <c r="M4259" s="920">
        <f t="shared" si="428"/>
        <v>6.5542400000000001</v>
      </c>
      <c r="N4259" s="920">
        <f t="shared" si="429"/>
        <v>10</v>
      </c>
      <c r="O4259" s="918" t="str">
        <f t="shared" si="430"/>
        <v>Mar</v>
      </c>
      <c r="P4259" s="921">
        <f t="shared" si="431"/>
        <v>12</v>
      </c>
    </row>
    <row r="4260" spans="1:16" ht="15" hidden="1" customHeight="1">
      <c r="A4260" s="839">
        <v>68741742</v>
      </c>
      <c r="B4260" s="839">
        <v>2904</v>
      </c>
      <c r="C4260" s="906">
        <v>1834</v>
      </c>
      <c r="D4260" s="907">
        <v>46101</v>
      </c>
      <c r="E4260" s="839" t="s">
        <v>288</v>
      </c>
      <c r="F4260" s="839" t="s">
        <v>295</v>
      </c>
      <c r="G4260" s="916">
        <f>VLOOKUP($A4260,'Tech Litons'!$A:$I,8,FALSE)</f>
        <v>4.2560000000000002E-3</v>
      </c>
      <c r="H4260" s="917">
        <f>VLOOKUP($A4260,'Tech Litons'!$A:$I,9,FALSE)</f>
        <v>154</v>
      </c>
      <c r="I4260" s="917" t="str">
        <f>VLOOKUP($A4260,'Tech Litons'!$A:$C,3,0)</f>
        <v>MBG</v>
      </c>
      <c r="J4260" s="918" t="str">
        <f t="shared" si="426"/>
        <v>2904MBG</v>
      </c>
      <c r="K4260" s="919">
        <v>1</v>
      </c>
      <c r="L4260" s="920">
        <f t="shared" si="427"/>
        <v>1834</v>
      </c>
      <c r="M4260" s="920">
        <f t="shared" si="428"/>
        <v>7.805504</v>
      </c>
      <c r="N4260" s="920">
        <f t="shared" si="429"/>
        <v>11.909090909090908</v>
      </c>
      <c r="O4260" s="918" t="str">
        <f t="shared" si="430"/>
        <v>Mar</v>
      </c>
      <c r="P4260" s="921">
        <f t="shared" si="431"/>
        <v>12</v>
      </c>
    </row>
    <row r="4261" spans="1:16" ht="15" hidden="1" customHeight="1">
      <c r="A4261" s="839">
        <v>68741742</v>
      </c>
      <c r="B4261" s="839">
        <v>2904</v>
      </c>
      <c r="C4261" s="906">
        <v>2002</v>
      </c>
      <c r="D4261" s="907">
        <v>46101</v>
      </c>
      <c r="E4261" s="839" t="s">
        <v>288</v>
      </c>
      <c r="F4261" s="839" t="s">
        <v>295</v>
      </c>
      <c r="G4261" s="916">
        <f>VLOOKUP($A4261,'Tech Litons'!$A:$I,8,FALSE)</f>
        <v>4.2560000000000002E-3</v>
      </c>
      <c r="H4261" s="917">
        <f>VLOOKUP($A4261,'Tech Litons'!$A:$I,9,FALSE)</f>
        <v>154</v>
      </c>
      <c r="I4261" s="917" t="str">
        <f>VLOOKUP($A4261,'Tech Litons'!$A:$C,3,0)</f>
        <v>MBG</v>
      </c>
      <c r="J4261" s="918" t="str">
        <f t="shared" si="426"/>
        <v>2904MBG</v>
      </c>
      <c r="K4261" s="919">
        <v>1</v>
      </c>
      <c r="L4261" s="920">
        <f t="shared" si="427"/>
        <v>2002</v>
      </c>
      <c r="M4261" s="920">
        <f t="shared" si="428"/>
        <v>8.5205120000000001</v>
      </c>
      <c r="N4261" s="920">
        <f t="shared" si="429"/>
        <v>13</v>
      </c>
      <c r="O4261" s="918" t="str">
        <f t="shared" si="430"/>
        <v>Mar</v>
      </c>
      <c r="P4261" s="921">
        <f t="shared" si="431"/>
        <v>12</v>
      </c>
    </row>
    <row r="4262" spans="1:16" ht="15" hidden="1" customHeight="1">
      <c r="A4262" s="839">
        <v>68741742</v>
      </c>
      <c r="B4262" s="839">
        <v>2904</v>
      </c>
      <c r="C4262" s="906">
        <v>1566</v>
      </c>
      <c r="D4262" s="907">
        <v>46102</v>
      </c>
      <c r="E4262" s="839" t="s">
        <v>288</v>
      </c>
      <c r="F4262" s="839" t="s">
        <v>295</v>
      </c>
      <c r="G4262" s="916">
        <f>VLOOKUP($A4262,'Tech Litons'!$A:$I,8,FALSE)</f>
        <v>4.2560000000000002E-3</v>
      </c>
      <c r="H4262" s="917">
        <f>VLOOKUP($A4262,'Tech Litons'!$A:$I,9,FALSE)</f>
        <v>154</v>
      </c>
      <c r="I4262" s="917" t="str">
        <f>VLOOKUP($A4262,'Tech Litons'!$A:$C,3,0)</f>
        <v>MBG</v>
      </c>
      <c r="J4262" s="918" t="str">
        <f t="shared" si="426"/>
        <v>2904MBG</v>
      </c>
      <c r="K4262" s="919">
        <v>1</v>
      </c>
      <c r="L4262" s="920">
        <f t="shared" si="427"/>
        <v>1566</v>
      </c>
      <c r="M4262" s="920">
        <f t="shared" si="428"/>
        <v>6.6648960000000006</v>
      </c>
      <c r="N4262" s="920">
        <f t="shared" si="429"/>
        <v>10.168831168831169</v>
      </c>
      <c r="O4262" s="918" t="str">
        <f t="shared" si="430"/>
        <v>Mar</v>
      </c>
      <c r="P4262" s="921">
        <f t="shared" si="431"/>
        <v>12</v>
      </c>
    </row>
    <row r="4263" spans="1:16" ht="15" hidden="1" customHeight="1">
      <c r="A4263" s="839">
        <v>68741742</v>
      </c>
      <c r="B4263" s="839">
        <v>2904</v>
      </c>
      <c r="C4263" s="906">
        <v>1694</v>
      </c>
      <c r="D4263" s="907">
        <v>46104</v>
      </c>
      <c r="E4263" s="839" t="s">
        <v>288</v>
      </c>
      <c r="F4263" s="839" t="s">
        <v>295</v>
      </c>
      <c r="G4263" s="916">
        <f>VLOOKUP($A4263,'Tech Litons'!$A:$I,8,FALSE)</f>
        <v>4.2560000000000002E-3</v>
      </c>
      <c r="H4263" s="917">
        <f>VLOOKUP($A4263,'Tech Litons'!$A:$I,9,FALSE)</f>
        <v>154</v>
      </c>
      <c r="I4263" s="917" t="str">
        <f>VLOOKUP($A4263,'Tech Litons'!$A:$C,3,0)</f>
        <v>MBG</v>
      </c>
      <c r="J4263" s="918" t="str">
        <f t="shared" si="426"/>
        <v>2904MBG</v>
      </c>
      <c r="K4263" s="919">
        <v>1</v>
      </c>
      <c r="L4263" s="920">
        <f t="shared" si="427"/>
        <v>1694</v>
      </c>
      <c r="M4263" s="920">
        <f t="shared" si="428"/>
        <v>7.2096640000000001</v>
      </c>
      <c r="N4263" s="920">
        <f t="shared" si="429"/>
        <v>11</v>
      </c>
      <c r="O4263" s="918" t="str">
        <f t="shared" si="430"/>
        <v>Mar</v>
      </c>
      <c r="P4263" s="921">
        <f t="shared" si="431"/>
        <v>13</v>
      </c>
    </row>
    <row r="4264" spans="1:16" ht="15" hidden="1" customHeight="1">
      <c r="A4264" s="839">
        <v>68741742</v>
      </c>
      <c r="B4264" s="839">
        <v>2904</v>
      </c>
      <c r="C4264" s="906">
        <v>1732</v>
      </c>
      <c r="D4264" s="907">
        <v>46105</v>
      </c>
      <c r="E4264" s="839" t="s">
        <v>288</v>
      </c>
      <c r="F4264" s="839" t="s">
        <v>295</v>
      </c>
      <c r="G4264" s="916">
        <f>VLOOKUP($A4264,'Tech Litons'!$A:$I,8,FALSE)</f>
        <v>4.2560000000000002E-3</v>
      </c>
      <c r="H4264" s="917">
        <f>VLOOKUP($A4264,'Tech Litons'!$A:$I,9,FALSE)</f>
        <v>154</v>
      </c>
      <c r="I4264" s="917" t="str">
        <f>VLOOKUP($A4264,'Tech Litons'!$A:$C,3,0)</f>
        <v>MBG</v>
      </c>
      <c r="J4264" s="918" t="str">
        <f t="shared" si="426"/>
        <v>2904MBG</v>
      </c>
      <c r="K4264" s="919">
        <v>1</v>
      </c>
      <c r="L4264" s="920">
        <f t="shared" si="427"/>
        <v>1732</v>
      </c>
      <c r="M4264" s="920">
        <f t="shared" si="428"/>
        <v>7.3713920000000002</v>
      </c>
      <c r="N4264" s="920">
        <f t="shared" si="429"/>
        <v>11.246753246753247</v>
      </c>
      <c r="O4264" s="918" t="str">
        <f t="shared" si="430"/>
        <v>Mar</v>
      </c>
      <c r="P4264" s="921">
        <f t="shared" si="431"/>
        <v>13</v>
      </c>
    </row>
    <row r="4265" spans="1:16" ht="15" hidden="1" customHeight="1">
      <c r="A4265" s="839">
        <v>68741742</v>
      </c>
      <c r="B4265" s="839">
        <v>2904</v>
      </c>
      <c r="C4265" s="906">
        <v>2273</v>
      </c>
      <c r="D4265" s="907">
        <v>46105</v>
      </c>
      <c r="E4265" s="839" t="s">
        <v>288</v>
      </c>
      <c r="F4265" s="839" t="s">
        <v>295</v>
      </c>
      <c r="G4265" s="916">
        <f>VLOOKUP($A4265,'Tech Litons'!$A:$I,8,FALSE)</f>
        <v>4.2560000000000002E-3</v>
      </c>
      <c r="H4265" s="917">
        <f>VLOOKUP($A4265,'Tech Litons'!$A:$I,9,FALSE)</f>
        <v>154</v>
      </c>
      <c r="I4265" s="917" t="str">
        <f>VLOOKUP($A4265,'Tech Litons'!$A:$C,3,0)</f>
        <v>MBG</v>
      </c>
      <c r="J4265" s="918" t="str">
        <f t="shared" si="426"/>
        <v>2904MBG</v>
      </c>
      <c r="K4265" s="919">
        <v>1</v>
      </c>
      <c r="L4265" s="920">
        <f t="shared" si="427"/>
        <v>2273</v>
      </c>
      <c r="M4265" s="920">
        <f t="shared" si="428"/>
        <v>9.6738879999999998</v>
      </c>
      <c r="N4265" s="920">
        <f t="shared" si="429"/>
        <v>14.75974025974026</v>
      </c>
      <c r="O4265" s="918" t="str">
        <f t="shared" si="430"/>
        <v>Mar</v>
      </c>
      <c r="P4265" s="921">
        <f t="shared" si="431"/>
        <v>13</v>
      </c>
    </row>
    <row r="4266" spans="1:16" ht="15" hidden="1" customHeight="1">
      <c r="A4266" s="839">
        <v>68746232</v>
      </c>
      <c r="B4266" s="839">
        <v>2904</v>
      </c>
      <c r="C4266" s="906">
        <v>2109</v>
      </c>
      <c r="D4266" s="907">
        <v>46079</v>
      </c>
      <c r="E4266" s="839" t="s">
        <v>508</v>
      </c>
      <c r="F4266" s="839" t="s">
        <v>243</v>
      </c>
      <c r="G4266" s="916">
        <f>VLOOKUP($A4266,'Tech Litons'!$A:$I,8,FALSE)</f>
        <v>8.5199999999999998E-3</v>
      </c>
      <c r="H4266" s="917">
        <f>VLOOKUP($A4266,'Tech Litons'!$A:$I,9,FALSE)</f>
        <v>132</v>
      </c>
      <c r="I4266" s="917" t="str">
        <f>VLOOKUP($A4266,'Tech Litons'!$A:$C,3,0)</f>
        <v>EDF</v>
      </c>
      <c r="J4266" s="918" t="str">
        <f t="shared" si="426"/>
        <v>2904EDF</v>
      </c>
      <c r="K4266" s="919">
        <v>1</v>
      </c>
      <c r="L4266" s="920">
        <f t="shared" si="427"/>
        <v>2109</v>
      </c>
      <c r="M4266" s="920">
        <f t="shared" si="428"/>
        <v>17.968679999999999</v>
      </c>
      <c r="N4266" s="920">
        <f t="shared" si="429"/>
        <v>15.977272727272727</v>
      </c>
      <c r="O4266" s="918" t="str">
        <f t="shared" si="430"/>
        <v>Feb</v>
      </c>
      <c r="P4266" s="921">
        <f t="shared" si="431"/>
        <v>9</v>
      </c>
    </row>
    <row r="4267" spans="1:16" ht="15" hidden="1" customHeight="1">
      <c r="A4267" s="839">
        <v>68746232</v>
      </c>
      <c r="B4267" s="839">
        <v>2904</v>
      </c>
      <c r="C4267" s="906">
        <v>1382</v>
      </c>
      <c r="D4267" s="907">
        <v>46080</v>
      </c>
      <c r="E4267" s="839" t="s">
        <v>508</v>
      </c>
      <c r="F4267" s="839" t="s">
        <v>243</v>
      </c>
      <c r="G4267" s="916">
        <f>VLOOKUP($A4267,'Tech Litons'!$A:$I,8,FALSE)</f>
        <v>8.5199999999999998E-3</v>
      </c>
      <c r="H4267" s="917">
        <f>VLOOKUP($A4267,'Tech Litons'!$A:$I,9,FALSE)</f>
        <v>132</v>
      </c>
      <c r="I4267" s="917" t="str">
        <f>VLOOKUP($A4267,'Tech Litons'!$A:$C,3,0)</f>
        <v>EDF</v>
      </c>
      <c r="J4267" s="918" t="str">
        <f t="shared" si="426"/>
        <v>2904EDF</v>
      </c>
      <c r="K4267" s="919">
        <v>1</v>
      </c>
      <c r="L4267" s="920">
        <f t="shared" si="427"/>
        <v>1382</v>
      </c>
      <c r="M4267" s="920">
        <f t="shared" si="428"/>
        <v>11.77464</v>
      </c>
      <c r="N4267" s="920">
        <f t="shared" si="429"/>
        <v>10.469696969696969</v>
      </c>
      <c r="O4267" s="918" t="str">
        <f t="shared" si="430"/>
        <v>Feb</v>
      </c>
      <c r="P4267" s="921">
        <f t="shared" si="431"/>
        <v>9</v>
      </c>
    </row>
    <row r="4268" spans="1:16" ht="15" hidden="1" customHeight="1">
      <c r="A4268" s="839">
        <v>68746232</v>
      </c>
      <c r="B4268" s="839">
        <v>2904</v>
      </c>
      <c r="C4268" s="906">
        <v>1243</v>
      </c>
      <c r="D4268" s="907">
        <v>46078</v>
      </c>
      <c r="E4268" s="839" t="s">
        <v>508</v>
      </c>
      <c r="F4268" s="839" t="s">
        <v>243</v>
      </c>
      <c r="G4268" s="916">
        <f>VLOOKUP($A4268,'Tech Litons'!$A:$I,8,FALSE)</f>
        <v>8.5199999999999998E-3</v>
      </c>
      <c r="H4268" s="917">
        <f>VLOOKUP($A4268,'Tech Litons'!$A:$I,9,FALSE)</f>
        <v>132</v>
      </c>
      <c r="I4268" s="917" t="str">
        <f>VLOOKUP($A4268,'Tech Litons'!$A:$C,3,0)</f>
        <v>EDF</v>
      </c>
      <c r="J4268" s="918" t="str">
        <f t="shared" si="426"/>
        <v>2904EDF</v>
      </c>
      <c r="K4268" s="919">
        <v>1</v>
      </c>
      <c r="L4268" s="920">
        <f t="shared" si="427"/>
        <v>1243</v>
      </c>
      <c r="M4268" s="920">
        <f t="shared" si="428"/>
        <v>10.59036</v>
      </c>
      <c r="N4268" s="920">
        <f t="shared" si="429"/>
        <v>9.4166666666666661</v>
      </c>
      <c r="O4268" s="918" t="str">
        <f t="shared" si="430"/>
        <v>Feb</v>
      </c>
      <c r="P4268" s="921">
        <f t="shared" si="431"/>
        <v>9</v>
      </c>
    </row>
    <row r="4269" spans="1:16" ht="15" hidden="1" customHeight="1">
      <c r="A4269" s="839">
        <v>68746232</v>
      </c>
      <c r="B4269" s="839">
        <v>2904</v>
      </c>
      <c r="C4269" s="906">
        <v>1372</v>
      </c>
      <c r="D4269" s="907">
        <v>46079</v>
      </c>
      <c r="E4269" s="839" t="s">
        <v>508</v>
      </c>
      <c r="F4269" s="839" t="s">
        <v>243</v>
      </c>
      <c r="G4269" s="916">
        <f>VLOOKUP($A4269,'Tech Litons'!$A:$I,8,FALSE)</f>
        <v>8.5199999999999998E-3</v>
      </c>
      <c r="H4269" s="917">
        <f>VLOOKUP($A4269,'Tech Litons'!$A:$I,9,FALSE)</f>
        <v>132</v>
      </c>
      <c r="I4269" s="917" t="str">
        <f>VLOOKUP($A4269,'Tech Litons'!$A:$C,3,0)</f>
        <v>EDF</v>
      </c>
      <c r="J4269" s="918" t="str">
        <f t="shared" si="426"/>
        <v>2904EDF</v>
      </c>
      <c r="K4269" s="919">
        <v>1</v>
      </c>
      <c r="L4269" s="920">
        <f t="shared" si="427"/>
        <v>1372</v>
      </c>
      <c r="M4269" s="920">
        <f t="shared" si="428"/>
        <v>11.689439999999999</v>
      </c>
      <c r="N4269" s="920">
        <f t="shared" si="429"/>
        <v>10.393939393939394</v>
      </c>
      <c r="O4269" s="918" t="str">
        <f t="shared" si="430"/>
        <v>Feb</v>
      </c>
      <c r="P4269" s="921">
        <f t="shared" si="431"/>
        <v>9</v>
      </c>
    </row>
    <row r="4270" spans="1:16" ht="15" hidden="1" customHeight="1">
      <c r="A4270" s="839">
        <v>68746232</v>
      </c>
      <c r="B4270" s="839">
        <v>2904</v>
      </c>
      <c r="C4270" s="906">
        <v>1188</v>
      </c>
      <c r="D4270" s="907">
        <v>46080</v>
      </c>
      <c r="E4270" s="839" t="s">
        <v>508</v>
      </c>
      <c r="F4270" s="839" t="s">
        <v>243</v>
      </c>
      <c r="G4270" s="916">
        <f>VLOOKUP($A4270,'Tech Litons'!$A:$I,8,FALSE)</f>
        <v>8.5199999999999998E-3</v>
      </c>
      <c r="H4270" s="917">
        <f>VLOOKUP($A4270,'Tech Litons'!$A:$I,9,FALSE)</f>
        <v>132</v>
      </c>
      <c r="I4270" s="917" t="str">
        <f>VLOOKUP($A4270,'Tech Litons'!$A:$C,3,0)</f>
        <v>EDF</v>
      </c>
      <c r="J4270" s="918" t="str">
        <f t="shared" si="426"/>
        <v>2904EDF</v>
      </c>
      <c r="K4270" s="919">
        <v>1</v>
      </c>
      <c r="L4270" s="920">
        <f t="shared" si="427"/>
        <v>1188</v>
      </c>
      <c r="M4270" s="920">
        <f t="shared" si="428"/>
        <v>10.12176</v>
      </c>
      <c r="N4270" s="920">
        <f t="shared" si="429"/>
        <v>9</v>
      </c>
      <c r="O4270" s="918" t="str">
        <f t="shared" si="430"/>
        <v>Feb</v>
      </c>
      <c r="P4270" s="921">
        <f t="shared" si="431"/>
        <v>9</v>
      </c>
    </row>
    <row r="4271" spans="1:16" ht="15" hidden="1" customHeight="1">
      <c r="A4271" s="839">
        <v>68746232</v>
      </c>
      <c r="B4271" s="839">
        <v>2904</v>
      </c>
      <c r="C4271" s="906">
        <v>296</v>
      </c>
      <c r="D4271" s="907">
        <v>46081</v>
      </c>
      <c r="E4271" s="839" t="s">
        <v>508</v>
      </c>
      <c r="F4271" s="839" t="s">
        <v>243</v>
      </c>
      <c r="G4271" s="916">
        <f>VLOOKUP($A4271,'Tech Litons'!$A:$I,8,FALSE)</f>
        <v>8.5199999999999998E-3</v>
      </c>
      <c r="H4271" s="917">
        <f>VLOOKUP($A4271,'Tech Litons'!$A:$I,9,FALSE)</f>
        <v>132</v>
      </c>
      <c r="I4271" s="917" t="str">
        <f>VLOOKUP($A4271,'Tech Litons'!$A:$C,3,0)</f>
        <v>EDF</v>
      </c>
      <c r="J4271" s="918" t="str">
        <f t="shared" si="426"/>
        <v>2904EDF</v>
      </c>
      <c r="K4271" s="919">
        <v>1</v>
      </c>
      <c r="L4271" s="920">
        <f t="shared" si="427"/>
        <v>296</v>
      </c>
      <c r="M4271" s="920">
        <f t="shared" si="428"/>
        <v>2.5219199999999997</v>
      </c>
      <c r="N4271" s="920">
        <f t="shared" si="429"/>
        <v>2.2424242424242422</v>
      </c>
      <c r="O4271" s="918" t="str">
        <f t="shared" si="430"/>
        <v>Feb</v>
      </c>
      <c r="P4271" s="921">
        <f t="shared" si="431"/>
        <v>9</v>
      </c>
    </row>
    <row r="4272" spans="1:16" ht="15" hidden="1" customHeight="1">
      <c r="A4272" s="839">
        <v>68746232</v>
      </c>
      <c r="B4272" s="839">
        <v>2904</v>
      </c>
      <c r="C4272" s="906">
        <v>998</v>
      </c>
      <c r="D4272" s="907">
        <v>46081</v>
      </c>
      <c r="E4272" s="839" t="s">
        <v>508</v>
      </c>
      <c r="F4272" s="839" t="s">
        <v>243</v>
      </c>
      <c r="G4272" s="916">
        <f>VLOOKUP($A4272,'Tech Litons'!$A:$I,8,FALSE)</f>
        <v>8.5199999999999998E-3</v>
      </c>
      <c r="H4272" s="917">
        <f>VLOOKUP($A4272,'Tech Litons'!$A:$I,9,FALSE)</f>
        <v>132</v>
      </c>
      <c r="I4272" s="917" t="str">
        <f>VLOOKUP($A4272,'Tech Litons'!$A:$C,3,0)</f>
        <v>EDF</v>
      </c>
      <c r="J4272" s="918" t="str">
        <f t="shared" si="426"/>
        <v>2904EDF</v>
      </c>
      <c r="K4272" s="919">
        <v>1</v>
      </c>
      <c r="L4272" s="920">
        <f t="shared" si="427"/>
        <v>998</v>
      </c>
      <c r="M4272" s="920">
        <f t="shared" si="428"/>
        <v>8.5029599999999999</v>
      </c>
      <c r="N4272" s="920">
        <f t="shared" si="429"/>
        <v>7.5606060606060606</v>
      </c>
      <c r="O4272" s="918" t="str">
        <f t="shared" si="430"/>
        <v>Feb</v>
      </c>
      <c r="P4272" s="921">
        <f t="shared" si="431"/>
        <v>9</v>
      </c>
    </row>
    <row r="4273" spans="1:16" ht="15" hidden="1" customHeight="1">
      <c r="A4273" s="839">
        <v>68746232</v>
      </c>
      <c r="B4273" s="839">
        <v>2904</v>
      </c>
      <c r="C4273" s="906">
        <v>1188</v>
      </c>
      <c r="D4273" s="907">
        <v>46082</v>
      </c>
      <c r="E4273" s="839" t="s">
        <v>508</v>
      </c>
      <c r="F4273" s="839" t="s">
        <v>243</v>
      </c>
      <c r="G4273" s="916">
        <f>VLOOKUP($A4273,'Tech Litons'!$A:$I,8,FALSE)</f>
        <v>8.5199999999999998E-3</v>
      </c>
      <c r="H4273" s="917">
        <f>VLOOKUP($A4273,'Tech Litons'!$A:$I,9,FALSE)</f>
        <v>132</v>
      </c>
      <c r="I4273" s="917" t="str">
        <f>VLOOKUP($A4273,'Tech Litons'!$A:$C,3,0)</f>
        <v>EDF</v>
      </c>
      <c r="J4273" s="918" t="str">
        <f t="shared" si="426"/>
        <v>2904EDF</v>
      </c>
      <c r="K4273" s="919">
        <v>1</v>
      </c>
      <c r="L4273" s="920">
        <f t="shared" si="427"/>
        <v>1188</v>
      </c>
      <c r="M4273" s="920">
        <f t="shared" si="428"/>
        <v>10.12176</v>
      </c>
      <c r="N4273" s="920">
        <f t="shared" si="429"/>
        <v>9</v>
      </c>
      <c r="O4273" s="918" t="str">
        <f t="shared" si="430"/>
        <v>Mar</v>
      </c>
      <c r="P4273" s="921">
        <f t="shared" si="431"/>
        <v>10</v>
      </c>
    </row>
    <row r="4274" spans="1:16" ht="15" hidden="1" customHeight="1">
      <c r="A4274" s="839">
        <v>68746232</v>
      </c>
      <c r="B4274" s="839">
        <v>2904</v>
      </c>
      <c r="C4274" s="906">
        <v>1556</v>
      </c>
      <c r="D4274" s="907">
        <v>46082</v>
      </c>
      <c r="E4274" s="839" t="s">
        <v>508</v>
      </c>
      <c r="F4274" s="839" t="s">
        <v>243</v>
      </c>
      <c r="G4274" s="916">
        <f>VLOOKUP($A4274,'Tech Litons'!$A:$I,8,FALSE)</f>
        <v>8.5199999999999998E-3</v>
      </c>
      <c r="H4274" s="917">
        <f>VLOOKUP($A4274,'Tech Litons'!$A:$I,9,FALSE)</f>
        <v>132</v>
      </c>
      <c r="I4274" s="917" t="str">
        <f>VLOOKUP($A4274,'Tech Litons'!$A:$C,3,0)</f>
        <v>EDF</v>
      </c>
      <c r="J4274" s="918" t="str">
        <f t="shared" ref="J4274:J4337" si="432">B4274&amp;I4274</f>
        <v>2904EDF</v>
      </c>
      <c r="K4274" s="919">
        <v>1</v>
      </c>
      <c r="L4274" s="920">
        <f t="shared" ref="L4274:L4337" si="433">C4274*$K4274</f>
        <v>1556</v>
      </c>
      <c r="M4274" s="920">
        <f t="shared" ref="M4274:M4337" si="434">L4274*G4274</f>
        <v>13.25712</v>
      </c>
      <c r="N4274" s="920">
        <f t="shared" ref="N4274:N4337" si="435">L4274/H4274</f>
        <v>11.787878787878787</v>
      </c>
      <c r="O4274" s="918" t="str">
        <f t="shared" ref="O4274:O4337" si="436">TEXT(D4274,"MMM")</f>
        <v>Mar</v>
      </c>
      <c r="P4274" s="921">
        <f t="shared" ref="P4274:P4337" si="437">WEEKNUM(D4274)</f>
        <v>10</v>
      </c>
    </row>
    <row r="4275" spans="1:16" ht="15" hidden="1" customHeight="1">
      <c r="A4275" s="839">
        <v>68746232</v>
      </c>
      <c r="B4275" s="839">
        <v>2904</v>
      </c>
      <c r="C4275" s="906">
        <v>1428</v>
      </c>
      <c r="D4275" s="907">
        <v>46083</v>
      </c>
      <c r="E4275" s="839" t="s">
        <v>508</v>
      </c>
      <c r="F4275" s="839" t="s">
        <v>243</v>
      </c>
      <c r="G4275" s="916">
        <f>VLOOKUP($A4275,'Tech Litons'!$A:$I,8,FALSE)</f>
        <v>8.5199999999999998E-3</v>
      </c>
      <c r="H4275" s="917">
        <f>VLOOKUP($A4275,'Tech Litons'!$A:$I,9,FALSE)</f>
        <v>132</v>
      </c>
      <c r="I4275" s="917" t="str">
        <f>VLOOKUP($A4275,'Tech Litons'!$A:$C,3,0)</f>
        <v>EDF</v>
      </c>
      <c r="J4275" s="918" t="str">
        <f t="shared" si="432"/>
        <v>2904EDF</v>
      </c>
      <c r="K4275" s="919">
        <v>1</v>
      </c>
      <c r="L4275" s="920">
        <f t="shared" si="433"/>
        <v>1428</v>
      </c>
      <c r="M4275" s="920">
        <f t="shared" si="434"/>
        <v>12.16656</v>
      </c>
      <c r="N4275" s="920">
        <f t="shared" si="435"/>
        <v>10.818181818181818</v>
      </c>
      <c r="O4275" s="918" t="str">
        <f t="shared" si="436"/>
        <v>Mar</v>
      </c>
      <c r="P4275" s="921">
        <f t="shared" si="437"/>
        <v>10</v>
      </c>
    </row>
    <row r="4276" spans="1:16" ht="15" hidden="1" customHeight="1">
      <c r="A4276" s="839">
        <v>68746232</v>
      </c>
      <c r="B4276" s="839">
        <v>2904</v>
      </c>
      <c r="C4276" s="906">
        <v>132</v>
      </c>
      <c r="D4276" s="907">
        <v>46076</v>
      </c>
      <c r="E4276" s="839" t="s">
        <v>508</v>
      </c>
      <c r="F4276" s="839" t="s">
        <v>243</v>
      </c>
      <c r="G4276" s="916">
        <f>VLOOKUP($A4276,'Tech Litons'!$A:$I,8,FALSE)</f>
        <v>8.5199999999999998E-3</v>
      </c>
      <c r="H4276" s="917">
        <f>VLOOKUP($A4276,'Tech Litons'!$A:$I,9,FALSE)</f>
        <v>132</v>
      </c>
      <c r="I4276" s="917" t="str">
        <f>VLOOKUP($A4276,'Tech Litons'!$A:$C,3,0)</f>
        <v>EDF</v>
      </c>
      <c r="J4276" s="918" t="str">
        <f t="shared" si="432"/>
        <v>2904EDF</v>
      </c>
      <c r="K4276" s="919">
        <v>1</v>
      </c>
      <c r="L4276" s="920">
        <f t="shared" si="433"/>
        <v>132</v>
      </c>
      <c r="M4276" s="920">
        <f t="shared" si="434"/>
        <v>1.1246399999999999</v>
      </c>
      <c r="N4276" s="920">
        <f t="shared" si="435"/>
        <v>1</v>
      </c>
      <c r="O4276" s="918" t="str">
        <f t="shared" si="436"/>
        <v>Feb</v>
      </c>
      <c r="P4276" s="921">
        <f t="shared" si="437"/>
        <v>9</v>
      </c>
    </row>
    <row r="4277" spans="1:16" ht="15" hidden="1" customHeight="1">
      <c r="A4277" s="839">
        <v>68746232</v>
      </c>
      <c r="B4277" s="839">
        <v>2904</v>
      </c>
      <c r="C4277" s="906">
        <v>926</v>
      </c>
      <c r="D4277" s="907">
        <v>46076</v>
      </c>
      <c r="E4277" s="839" t="s">
        <v>508</v>
      </c>
      <c r="F4277" s="839" t="s">
        <v>243</v>
      </c>
      <c r="G4277" s="916">
        <f>VLOOKUP($A4277,'Tech Litons'!$A:$I,8,FALSE)</f>
        <v>8.5199999999999998E-3</v>
      </c>
      <c r="H4277" s="917">
        <f>VLOOKUP($A4277,'Tech Litons'!$A:$I,9,FALSE)</f>
        <v>132</v>
      </c>
      <c r="I4277" s="917" t="str">
        <f>VLOOKUP($A4277,'Tech Litons'!$A:$C,3,0)</f>
        <v>EDF</v>
      </c>
      <c r="J4277" s="918" t="str">
        <f t="shared" si="432"/>
        <v>2904EDF</v>
      </c>
      <c r="K4277" s="919">
        <v>1</v>
      </c>
      <c r="L4277" s="920">
        <f t="shared" si="433"/>
        <v>926</v>
      </c>
      <c r="M4277" s="920">
        <f t="shared" si="434"/>
        <v>7.8895200000000001</v>
      </c>
      <c r="N4277" s="920">
        <f t="shared" si="435"/>
        <v>7.0151515151515156</v>
      </c>
      <c r="O4277" s="918" t="str">
        <f t="shared" si="436"/>
        <v>Feb</v>
      </c>
      <c r="P4277" s="921">
        <f t="shared" si="437"/>
        <v>9</v>
      </c>
    </row>
    <row r="4278" spans="1:16" ht="15" hidden="1" customHeight="1">
      <c r="A4278" s="839">
        <v>68746232</v>
      </c>
      <c r="B4278" s="839">
        <v>2904</v>
      </c>
      <c r="C4278" s="906">
        <v>381</v>
      </c>
      <c r="D4278" s="907">
        <v>46076</v>
      </c>
      <c r="E4278" s="839" t="s">
        <v>508</v>
      </c>
      <c r="F4278" s="839" t="s">
        <v>243</v>
      </c>
      <c r="G4278" s="916">
        <f>VLOOKUP($A4278,'Tech Litons'!$A:$I,8,FALSE)</f>
        <v>8.5199999999999998E-3</v>
      </c>
      <c r="H4278" s="917">
        <f>VLOOKUP($A4278,'Tech Litons'!$A:$I,9,FALSE)</f>
        <v>132</v>
      </c>
      <c r="I4278" s="917" t="str">
        <f>VLOOKUP($A4278,'Tech Litons'!$A:$C,3,0)</f>
        <v>EDF</v>
      </c>
      <c r="J4278" s="918" t="str">
        <f t="shared" si="432"/>
        <v>2904EDF</v>
      </c>
      <c r="K4278" s="919">
        <v>1</v>
      </c>
      <c r="L4278" s="920">
        <f t="shared" si="433"/>
        <v>381</v>
      </c>
      <c r="M4278" s="920">
        <f t="shared" si="434"/>
        <v>3.2461199999999999</v>
      </c>
      <c r="N4278" s="920">
        <f t="shared" si="435"/>
        <v>2.8863636363636362</v>
      </c>
      <c r="O4278" s="918" t="str">
        <f t="shared" si="436"/>
        <v>Feb</v>
      </c>
      <c r="P4278" s="921">
        <f t="shared" si="437"/>
        <v>9</v>
      </c>
    </row>
    <row r="4279" spans="1:16" ht="15" hidden="1" customHeight="1">
      <c r="A4279" s="839">
        <v>68746232</v>
      </c>
      <c r="B4279" s="839">
        <v>2904</v>
      </c>
      <c r="C4279" s="906">
        <v>1056</v>
      </c>
      <c r="D4279" s="907">
        <v>46077</v>
      </c>
      <c r="E4279" s="839" t="s">
        <v>508</v>
      </c>
      <c r="F4279" s="839" t="s">
        <v>243</v>
      </c>
      <c r="G4279" s="916">
        <f>VLOOKUP($A4279,'Tech Litons'!$A:$I,8,FALSE)</f>
        <v>8.5199999999999998E-3</v>
      </c>
      <c r="H4279" s="917">
        <f>VLOOKUP($A4279,'Tech Litons'!$A:$I,9,FALSE)</f>
        <v>132</v>
      </c>
      <c r="I4279" s="917" t="str">
        <f>VLOOKUP($A4279,'Tech Litons'!$A:$C,3,0)</f>
        <v>EDF</v>
      </c>
      <c r="J4279" s="918" t="str">
        <f t="shared" si="432"/>
        <v>2904EDF</v>
      </c>
      <c r="K4279" s="919">
        <v>1</v>
      </c>
      <c r="L4279" s="920">
        <f t="shared" si="433"/>
        <v>1056</v>
      </c>
      <c r="M4279" s="920">
        <f t="shared" si="434"/>
        <v>8.9971199999999989</v>
      </c>
      <c r="N4279" s="920">
        <f t="shared" si="435"/>
        <v>8</v>
      </c>
      <c r="O4279" s="918" t="str">
        <f t="shared" si="436"/>
        <v>Feb</v>
      </c>
      <c r="P4279" s="921">
        <f t="shared" si="437"/>
        <v>9</v>
      </c>
    </row>
    <row r="4280" spans="1:16" ht="15" hidden="1" customHeight="1">
      <c r="A4280" s="839">
        <v>68746232</v>
      </c>
      <c r="B4280" s="839">
        <v>2904</v>
      </c>
      <c r="C4280" s="906">
        <v>447</v>
      </c>
      <c r="D4280" s="907">
        <v>46077</v>
      </c>
      <c r="E4280" s="839" t="s">
        <v>508</v>
      </c>
      <c r="F4280" s="839" t="s">
        <v>243</v>
      </c>
      <c r="G4280" s="916">
        <f>VLOOKUP($A4280,'Tech Litons'!$A:$I,8,FALSE)</f>
        <v>8.5199999999999998E-3</v>
      </c>
      <c r="H4280" s="917">
        <f>VLOOKUP($A4280,'Tech Litons'!$A:$I,9,FALSE)</f>
        <v>132</v>
      </c>
      <c r="I4280" s="917" t="str">
        <f>VLOOKUP($A4280,'Tech Litons'!$A:$C,3,0)</f>
        <v>EDF</v>
      </c>
      <c r="J4280" s="918" t="str">
        <f t="shared" si="432"/>
        <v>2904EDF</v>
      </c>
      <c r="K4280" s="919">
        <v>1</v>
      </c>
      <c r="L4280" s="920">
        <f t="shared" si="433"/>
        <v>447</v>
      </c>
      <c r="M4280" s="920">
        <f t="shared" si="434"/>
        <v>3.80844</v>
      </c>
      <c r="N4280" s="920">
        <f t="shared" si="435"/>
        <v>3.3863636363636362</v>
      </c>
      <c r="O4280" s="918" t="str">
        <f t="shared" si="436"/>
        <v>Feb</v>
      </c>
      <c r="P4280" s="921">
        <f t="shared" si="437"/>
        <v>9</v>
      </c>
    </row>
    <row r="4281" spans="1:16" ht="15" hidden="1" customHeight="1">
      <c r="A4281" s="839">
        <v>68746232</v>
      </c>
      <c r="B4281" s="839">
        <v>2904</v>
      </c>
      <c r="C4281" s="906">
        <v>1056</v>
      </c>
      <c r="D4281" s="907">
        <v>46078</v>
      </c>
      <c r="E4281" s="839" t="s">
        <v>508</v>
      </c>
      <c r="F4281" s="839" t="s">
        <v>243</v>
      </c>
      <c r="G4281" s="916">
        <f>VLOOKUP($A4281,'Tech Litons'!$A:$I,8,FALSE)</f>
        <v>8.5199999999999998E-3</v>
      </c>
      <c r="H4281" s="917">
        <f>VLOOKUP($A4281,'Tech Litons'!$A:$I,9,FALSE)</f>
        <v>132</v>
      </c>
      <c r="I4281" s="917" t="str">
        <f>VLOOKUP($A4281,'Tech Litons'!$A:$C,3,0)</f>
        <v>EDF</v>
      </c>
      <c r="J4281" s="918" t="str">
        <f t="shared" si="432"/>
        <v>2904EDF</v>
      </c>
      <c r="K4281" s="919">
        <v>1</v>
      </c>
      <c r="L4281" s="920">
        <f t="shared" si="433"/>
        <v>1056</v>
      </c>
      <c r="M4281" s="920">
        <f t="shared" si="434"/>
        <v>8.9971199999999989</v>
      </c>
      <c r="N4281" s="920">
        <f t="shared" si="435"/>
        <v>8</v>
      </c>
      <c r="O4281" s="918" t="str">
        <f t="shared" si="436"/>
        <v>Feb</v>
      </c>
      <c r="P4281" s="921">
        <f t="shared" si="437"/>
        <v>9</v>
      </c>
    </row>
    <row r="4282" spans="1:16" ht="15" hidden="1" customHeight="1">
      <c r="A4282" s="839">
        <v>68746232</v>
      </c>
      <c r="B4282" s="839">
        <v>2904</v>
      </c>
      <c r="C4282" s="906">
        <v>1245</v>
      </c>
      <c r="D4282" s="907">
        <v>46083</v>
      </c>
      <c r="E4282" s="839" t="s">
        <v>508</v>
      </c>
      <c r="F4282" s="839" t="s">
        <v>243</v>
      </c>
      <c r="G4282" s="916">
        <f>VLOOKUP($A4282,'Tech Litons'!$A:$I,8,FALSE)</f>
        <v>8.5199999999999998E-3</v>
      </c>
      <c r="H4282" s="917">
        <f>VLOOKUP($A4282,'Tech Litons'!$A:$I,9,FALSE)</f>
        <v>132</v>
      </c>
      <c r="I4282" s="917" t="str">
        <f>VLOOKUP($A4282,'Tech Litons'!$A:$C,3,0)</f>
        <v>EDF</v>
      </c>
      <c r="J4282" s="918" t="str">
        <f t="shared" si="432"/>
        <v>2904EDF</v>
      </c>
      <c r="K4282" s="919">
        <v>1</v>
      </c>
      <c r="L4282" s="920">
        <f t="shared" si="433"/>
        <v>1245</v>
      </c>
      <c r="M4282" s="920">
        <f t="shared" si="434"/>
        <v>10.6074</v>
      </c>
      <c r="N4282" s="920">
        <f t="shared" si="435"/>
        <v>9.4318181818181817</v>
      </c>
      <c r="O4282" s="918" t="str">
        <f t="shared" si="436"/>
        <v>Mar</v>
      </c>
      <c r="P4282" s="921">
        <f t="shared" si="437"/>
        <v>10</v>
      </c>
    </row>
    <row r="4283" spans="1:16" ht="15" hidden="1" customHeight="1">
      <c r="A4283" s="839">
        <v>68746232</v>
      </c>
      <c r="B4283" s="839">
        <v>2904</v>
      </c>
      <c r="C4283" s="906">
        <v>1403</v>
      </c>
      <c r="D4283" s="907">
        <v>46084</v>
      </c>
      <c r="E4283" s="839" t="s">
        <v>508</v>
      </c>
      <c r="F4283" s="839" t="s">
        <v>243</v>
      </c>
      <c r="G4283" s="916">
        <f>VLOOKUP($A4283,'Tech Litons'!$A:$I,8,FALSE)</f>
        <v>8.5199999999999998E-3</v>
      </c>
      <c r="H4283" s="917">
        <f>VLOOKUP($A4283,'Tech Litons'!$A:$I,9,FALSE)</f>
        <v>132</v>
      </c>
      <c r="I4283" s="917" t="str">
        <f>VLOOKUP($A4283,'Tech Litons'!$A:$C,3,0)</f>
        <v>EDF</v>
      </c>
      <c r="J4283" s="918" t="str">
        <f t="shared" si="432"/>
        <v>2904EDF</v>
      </c>
      <c r="K4283" s="919">
        <v>1</v>
      </c>
      <c r="L4283" s="920">
        <f t="shared" si="433"/>
        <v>1403</v>
      </c>
      <c r="M4283" s="920">
        <f t="shared" si="434"/>
        <v>11.95356</v>
      </c>
      <c r="N4283" s="920">
        <f t="shared" si="435"/>
        <v>10.628787878787879</v>
      </c>
      <c r="O4283" s="918" t="str">
        <f t="shared" si="436"/>
        <v>Mar</v>
      </c>
      <c r="P4283" s="921">
        <f t="shared" si="437"/>
        <v>10</v>
      </c>
    </row>
    <row r="4284" spans="1:16" ht="15" hidden="1" customHeight="1">
      <c r="A4284" s="839">
        <v>68746232</v>
      </c>
      <c r="B4284" s="839">
        <v>2904</v>
      </c>
      <c r="C4284" s="906">
        <v>1861</v>
      </c>
      <c r="D4284" s="907">
        <v>46084</v>
      </c>
      <c r="E4284" s="839" t="s">
        <v>508</v>
      </c>
      <c r="F4284" s="839" t="s">
        <v>243</v>
      </c>
      <c r="G4284" s="916">
        <f>VLOOKUP($A4284,'Tech Litons'!$A:$I,8,FALSE)</f>
        <v>8.5199999999999998E-3</v>
      </c>
      <c r="H4284" s="917">
        <f>VLOOKUP($A4284,'Tech Litons'!$A:$I,9,FALSE)</f>
        <v>132</v>
      </c>
      <c r="I4284" s="917" t="str">
        <f>VLOOKUP($A4284,'Tech Litons'!$A:$C,3,0)</f>
        <v>EDF</v>
      </c>
      <c r="J4284" s="918" t="str">
        <f t="shared" si="432"/>
        <v>2904EDF</v>
      </c>
      <c r="K4284" s="919">
        <v>1</v>
      </c>
      <c r="L4284" s="920">
        <f t="shared" si="433"/>
        <v>1861</v>
      </c>
      <c r="M4284" s="920">
        <f t="shared" si="434"/>
        <v>15.85572</v>
      </c>
      <c r="N4284" s="920">
        <f t="shared" si="435"/>
        <v>14.098484848484848</v>
      </c>
      <c r="O4284" s="918" t="str">
        <f t="shared" si="436"/>
        <v>Mar</v>
      </c>
      <c r="P4284" s="921">
        <f t="shared" si="437"/>
        <v>10</v>
      </c>
    </row>
    <row r="4285" spans="1:16" ht="15" hidden="1" customHeight="1">
      <c r="A4285" s="839">
        <v>68746232</v>
      </c>
      <c r="B4285" s="839">
        <v>2904</v>
      </c>
      <c r="C4285" s="906">
        <v>1618</v>
      </c>
      <c r="D4285" s="907">
        <v>46085</v>
      </c>
      <c r="E4285" s="839" t="s">
        <v>508</v>
      </c>
      <c r="F4285" s="839" t="s">
        <v>243</v>
      </c>
      <c r="G4285" s="916">
        <f>VLOOKUP($A4285,'Tech Litons'!$A:$I,8,FALSE)</f>
        <v>8.5199999999999998E-3</v>
      </c>
      <c r="H4285" s="917">
        <f>VLOOKUP($A4285,'Tech Litons'!$A:$I,9,FALSE)</f>
        <v>132</v>
      </c>
      <c r="I4285" s="917" t="str">
        <f>VLOOKUP($A4285,'Tech Litons'!$A:$C,3,0)</f>
        <v>EDF</v>
      </c>
      <c r="J4285" s="918" t="str">
        <f t="shared" si="432"/>
        <v>2904EDF</v>
      </c>
      <c r="K4285" s="919">
        <v>1</v>
      </c>
      <c r="L4285" s="920">
        <f t="shared" si="433"/>
        <v>1618</v>
      </c>
      <c r="M4285" s="920">
        <f t="shared" si="434"/>
        <v>13.785359999999999</v>
      </c>
      <c r="N4285" s="920">
        <f t="shared" si="435"/>
        <v>12.257575757575758</v>
      </c>
      <c r="O4285" s="918" t="str">
        <f t="shared" si="436"/>
        <v>Mar</v>
      </c>
      <c r="P4285" s="921">
        <f t="shared" si="437"/>
        <v>10</v>
      </c>
    </row>
    <row r="4286" spans="1:16" ht="15" hidden="1" customHeight="1">
      <c r="A4286" s="839">
        <v>68746232</v>
      </c>
      <c r="B4286" s="839">
        <v>2904</v>
      </c>
      <c r="C4286" s="906">
        <v>-137</v>
      </c>
      <c r="D4286" s="907">
        <v>46090</v>
      </c>
      <c r="E4286" s="839" t="s">
        <v>508</v>
      </c>
      <c r="F4286" s="839" t="s">
        <v>243</v>
      </c>
      <c r="G4286" s="916">
        <f>VLOOKUP($A4286,'Tech Litons'!$A:$I,8,FALSE)</f>
        <v>8.5199999999999998E-3</v>
      </c>
      <c r="H4286" s="917">
        <f>VLOOKUP($A4286,'Tech Litons'!$A:$I,9,FALSE)</f>
        <v>132</v>
      </c>
      <c r="I4286" s="917" t="str">
        <f>VLOOKUP($A4286,'Tech Litons'!$A:$C,3,0)</f>
        <v>EDF</v>
      </c>
      <c r="J4286" s="918" t="str">
        <f t="shared" si="432"/>
        <v>2904EDF</v>
      </c>
      <c r="K4286" s="919">
        <v>1</v>
      </c>
      <c r="L4286" s="920">
        <f t="shared" si="433"/>
        <v>-137</v>
      </c>
      <c r="M4286" s="920">
        <f t="shared" si="434"/>
        <v>-1.1672400000000001</v>
      </c>
      <c r="N4286" s="920">
        <f t="shared" si="435"/>
        <v>-1.0378787878787878</v>
      </c>
      <c r="O4286" s="918" t="str">
        <f t="shared" si="436"/>
        <v>Mar</v>
      </c>
      <c r="P4286" s="921">
        <f t="shared" si="437"/>
        <v>11</v>
      </c>
    </row>
    <row r="4287" spans="1:16" ht="15" hidden="1" customHeight="1">
      <c r="A4287" s="839">
        <v>68746232</v>
      </c>
      <c r="B4287" s="839">
        <v>2904</v>
      </c>
      <c r="C4287" s="906">
        <v>1848</v>
      </c>
      <c r="D4287" s="907">
        <v>46085</v>
      </c>
      <c r="E4287" s="839" t="s">
        <v>508</v>
      </c>
      <c r="F4287" s="839" t="s">
        <v>243</v>
      </c>
      <c r="G4287" s="916">
        <f>VLOOKUP($A4287,'Tech Litons'!$A:$I,8,FALSE)</f>
        <v>8.5199999999999998E-3</v>
      </c>
      <c r="H4287" s="917">
        <f>VLOOKUP($A4287,'Tech Litons'!$A:$I,9,FALSE)</f>
        <v>132</v>
      </c>
      <c r="I4287" s="917" t="str">
        <f>VLOOKUP($A4287,'Tech Litons'!$A:$C,3,0)</f>
        <v>EDF</v>
      </c>
      <c r="J4287" s="918" t="str">
        <f t="shared" si="432"/>
        <v>2904EDF</v>
      </c>
      <c r="K4287" s="919">
        <v>1</v>
      </c>
      <c r="L4287" s="920">
        <f t="shared" si="433"/>
        <v>1848</v>
      </c>
      <c r="M4287" s="920">
        <f t="shared" si="434"/>
        <v>15.744959999999999</v>
      </c>
      <c r="N4287" s="920">
        <f t="shared" si="435"/>
        <v>14</v>
      </c>
      <c r="O4287" s="918" t="str">
        <f t="shared" si="436"/>
        <v>Mar</v>
      </c>
      <c r="P4287" s="921">
        <f t="shared" si="437"/>
        <v>10</v>
      </c>
    </row>
    <row r="4288" spans="1:16" ht="15" hidden="1" customHeight="1">
      <c r="A4288" s="839">
        <v>68746232</v>
      </c>
      <c r="B4288" s="839">
        <v>2904</v>
      </c>
      <c r="C4288" s="906">
        <v>1397</v>
      </c>
      <c r="D4288" s="907">
        <v>46086</v>
      </c>
      <c r="E4288" s="839" t="s">
        <v>508</v>
      </c>
      <c r="F4288" s="839" t="s">
        <v>243</v>
      </c>
      <c r="G4288" s="916">
        <f>VLOOKUP($A4288,'Tech Litons'!$A:$I,8,FALSE)</f>
        <v>8.5199999999999998E-3</v>
      </c>
      <c r="H4288" s="917">
        <f>VLOOKUP($A4288,'Tech Litons'!$A:$I,9,FALSE)</f>
        <v>132</v>
      </c>
      <c r="I4288" s="917" t="str">
        <f>VLOOKUP($A4288,'Tech Litons'!$A:$C,3,0)</f>
        <v>EDF</v>
      </c>
      <c r="J4288" s="918" t="str">
        <f t="shared" si="432"/>
        <v>2904EDF</v>
      </c>
      <c r="K4288" s="919">
        <v>1</v>
      </c>
      <c r="L4288" s="920">
        <f t="shared" si="433"/>
        <v>1397</v>
      </c>
      <c r="M4288" s="920">
        <f t="shared" si="434"/>
        <v>11.90244</v>
      </c>
      <c r="N4288" s="920">
        <f t="shared" si="435"/>
        <v>10.583333333333334</v>
      </c>
      <c r="O4288" s="918" t="str">
        <f t="shared" si="436"/>
        <v>Mar</v>
      </c>
      <c r="P4288" s="921">
        <f t="shared" si="437"/>
        <v>10</v>
      </c>
    </row>
    <row r="4289" spans="1:16" ht="15" hidden="1" customHeight="1">
      <c r="A4289" s="839">
        <v>68746232</v>
      </c>
      <c r="B4289" s="839">
        <v>2904</v>
      </c>
      <c r="C4289" s="906">
        <v>337</v>
      </c>
      <c r="D4289" s="907">
        <v>46086</v>
      </c>
      <c r="E4289" s="839" t="s">
        <v>508</v>
      </c>
      <c r="F4289" s="839" t="s">
        <v>243</v>
      </c>
      <c r="G4289" s="916">
        <f>VLOOKUP($A4289,'Tech Litons'!$A:$I,8,FALSE)</f>
        <v>8.5199999999999998E-3</v>
      </c>
      <c r="H4289" s="917">
        <f>VLOOKUP($A4289,'Tech Litons'!$A:$I,9,FALSE)</f>
        <v>132</v>
      </c>
      <c r="I4289" s="917" t="str">
        <f>VLOOKUP($A4289,'Tech Litons'!$A:$C,3,0)</f>
        <v>EDF</v>
      </c>
      <c r="J4289" s="918" t="str">
        <f t="shared" si="432"/>
        <v>2904EDF</v>
      </c>
      <c r="K4289" s="919">
        <v>1</v>
      </c>
      <c r="L4289" s="920">
        <f t="shared" si="433"/>
        <v>337</v>
      </c>
      <c r="M4289" s="920">
        <f t="shared" si="434"/>
        <v>2.8712399999999998</v>
      </c>
      <c r="N4289" s="920">
        <f t="shared" si="435"/>
        <v>2.5530303030303032</v>
      </c>
      <c r="O4289" s="918" t="str">
        <f t="shared" si="436"/>
        <v>Mar</v>
      </c>
      <c r="P4289" s="921">
        <f t="shared" si="437"/>
        <v>10</v>
      </c>
    </row>
    <row r="4290" spans="1:16" ht="15" hidden="1" customHeight="1">
      <c r="A4290" s="839">
        <v>68746232</v>
      </c>
      <c r="B4290" s="839">
        <v>2904</v>
      </c>
      <c r="C4290" s="906">
        <v>932</v>
      </c>
      <c r="D4290" s="907">
        <v>46087</v>
      </c>
      <c r="E4290" s="839" t="s">
        <v>508</v>
      </c>
      <c r="F4290" s="839" t="s">
        <v>243</v>
      </c>
      <c r="G4290" s="916">
        <f>VLOOKUP($A4290,'Tech Litons'!$A:$I,8,FALSE)</f>
        <v>8.5199999999999998E-3</v>
      </c>
      <c r="H4290" s="917">
        <f>VLOOKUP($A4290,'Tech Litons'!$A:$I,9,FALSE)</f>
        <v>132</v>
      </c>
      <c r="I4290" s="917" t="str">
        <f>VLOOKUP($A4290,'Tech Litons'!$A:$C,3,0)</f>
        <v>EDF</v>
      </c>
      <c r="J4290" s="918" t="str">
        <f t="shared" si="432"/>
        <v>2904EDF</v>
      </c>
      <c r="K4290" s="919">
        <v>1</v>
      </c>
      <c r="L4290" s="920">
        <f t="shared" si="433"/>
        <v>932</v>
      </c>
      <c r="M4290" s="920">
        <f t="shared" si="434"/>
        <v>7.9406400000000001</v>
      </c>
      <c r="N4290" s="920">
        <f t="shared" si="435"/>
        <v>7.0606060606060606</v>
      </c>
      <c r="O4290" s="918" t="str">
        <f t="shared" si="436"/>
        <v>Mar</v>
      </c>
      <c r="P4290" s="921">
        <f t="shared" si="437"/>
        <v>10</v>
      </c>
    </row>
    <row r="4291" spans="1:16" ht="15" hidden="1" customHeight="1">
      <c r="A4291" s="839">
        <v>68746232</v>
      </c>
      <c r="B4291" s="839">
        <v>2904</v>
      </c>
      <c r="C4291" s="906">
        <v>13</v>
      </c>
      <c r="D4291" s="907">
        <v>46090</v>
      </c>
      <c r="E4291" s="839" t="s">
        <v>508</v>
      </c>
      <c r="F4291" s="839" t="s">
        <v>243</v>
      </c>
      <c r="G4291" s="916">
        <f>VLOOKUP($A4291,'Tech Litons'!$A:$I,8,FALSE)</f>
        <v>8.5199999999999998E-3</v>
      </c>
      <c r="H4291" s="917">
        <f>VLOOKUP($A4291,'Tech Litons'!$A:$I,9,FALSE)</f>
        <v>132</v>
      </c>
      <c r="I4291" s="917" t="str">
        <f>VLOOKUP($A4291,'Tech Litons'!$A:$C,3,0)</f>
        <v>EDF</v>
      </c>
      <c r="J4291" s="918" t="str">
        <f t="shared" si="432"/>
        <v>2904EDF</v>
      </c>
      <c r="K4291" s="919">
        <v>1</v>
      </c>
      <c r="L4291" s="920">
        <f t="shared" si="433"/>
        <v>13</v>
      </c>
      <c r="M4291" s="920">
        <f t="shared" si="434"/>
        <v>0.11076</v>
      </c>
      <c r="N4291" s="920">
        <f t="shared" si="435"/>
        <v>9.8484848484848481E-2</v>
      </c>
      <c r="O4291" s="918" t="str">
        <f t="shared" si="436"/>
        <v>Mar</v>
      </c>
      <c r="P4291" s="921">
        <f t="shared" si="437"/>
        <v>11</v>
      </c>
    </row>
    <row r="4292" spans="1:16" ht="15" hidden="1" customHeight="1">
      <c r="A4292" s="839">
        <v>68746232</v>
      </c>
      <c r="B4292" s="839">
        <v>2904</v>
      </c>
      <c r="C4292" s="906">
        <v>1320</v>
      </c>
      <c r="D4292" s="907">
        <v>46087</v>
      </c>
      <c r="E4292" s="839" t="s">
        <v>508</v>
      </c>
      <c r="F4292" s="839" t="s">
        <v>243</v>
      </c>
      <c r="G4292" s="916">
        <f>VLOOKUP($A4292,'Tech Litons'!$A:$I,8,FALSE)</f>
        <v>8.5199999999999998E-3</v>
      </c>
      <c r="H4292" s="917">
        <f>VLOOKUP($A4292,'Tech Litons'!$A:$I,9,FALSE)</f>
        <v>132</v>
      </c>
      <c r="I4292" s="917" t="str">
        <f>VLOOKUP($A4292,'Tech Litons'!$A:$C,3,0)</f>
        <v>EDF</v>
      </c>
      <c r="J4292" s="918" t="str">
        <f t="shared" si="432"/>
        <v>2904EDF</v>
      </c>
      <c r="K4292" s="919">
        <v>1</v>
      </c>
      <c r="L4292" s="920">
        <f t="shared" si="433"/>
        <v>1320</v>
      </c>
      <c r="M4292" s="920">
        <f t="shared" si="434"/>
        <v>11.2464</v>
      </c>
      <c r="N4292" s="920">
        <f t="shared" si="435"/>
        <v>10</v>
      </c>
      <c r="O4292" s="918" t="str">
        <f t="shared" si="436"/>
        <v>Mar</v>
      </c>
      <c r="P4292" s="921">
        <f t="shared" si="437"/>
        <v>10</v>
      </c>
    </row>
    <row r="4293" spans="1:16" ht="15" hidden="1" customHeight="1">
      <c r="A4293" s="839">
        <v>68746232</v>
      </c>
      <c r="B4293" s="839">
        <v>2904</v>
      </c>
      <c r="C4293" s="906">
        <v>1194</v>
      </c>
      <c r="D4293" s="907">
        <v>46088</v>
      </c>
      <c r="E4293" s="839" t="s">
        <v>508</v>
      </c>
      <c r="F4293" s="839" t="s">
        <v>243</v>
      </c>
      <c r="G4293" s="916">
        <f>VLOOKUP($A4293,'Tech Litons'!$A:$I,8,FALSE)</f>
        <v>8.5199999999999998E-3</v>
      </c>
      <c r="H4293" s="917">
        <f>VLOOKUP($A4293,'Tech Litons'!$A:$I,9,FALSE)</f>
        <v>132</v>
      </c>
      <c r="I4293" s="917" t="str">
        <f>VLOOKUP($A4293,'Tech Litons'!$A:$C,3,0)</f>
        <v>EDF</v>
      </c>
      <c r="J4293" s="918" t="str">
        <f t="shared" si="432"/>
        <v>2904EDF</v>
      </c>
      <c r="K4293" s="919">
        <v>1</v>
      </c>
      <c r="L4293" s="920">
        <f t="shared" si="433"/>
        <v>1194</v>
      </c>
      <c r="M4293" s="920">
        <f t="shared" si="434"/>
        <v>10.172879999999999</v>
      </c>
      <c r="N4293" s="920">
        <f t="shared" si="435"/>
        <v>9.045454545454545</v>
      </c>
      <c r="O4293" s="918" t="str">
        <f t="shared" si="436"/>
        <v>Mar</v>
      </c>
      <c r="P4293" s="921">
        <f t="shared" si="437"/>
        <v>10</v>
      </c>
    </row>
    <row r="4294" spans="1:16" ht="15" hidden="1" customHeight="1">
      <c r="A4294" s="839">
        <v>68746232</v>
      </c>
      <c r="B4294" s="839">
        <v>2904</v>
      </c>
      <c r="C4294" s="906">
        <v>69</v>
      </c>
      <c r="D4294" s="907">
        <v>46090</v>
      </c>
      <c r="E4294" s="839" t="s">
        <v>508</v>
      </c>
      <c r="F4294" s="839" t="s">
        <v>243</v>
      </c>
      <c r="G4294" s="916">
        <f>VLOOKUP($A4294,'Tech Litons'!$A:$I,8,FALSE)</f>
        <v>8.5199999999999998E-3</v>
      </c>
      <c r="H4294" s="917">
        <f>VLOOKUP($A4294,'Tech Litons'!$A:$I,9,FALSE)</f>
        <v>132</v>
      </c>
      <c r="I4294" s="917" t="str">
        <f>VLOOKUP($A4294,'Tech Litons'!$A:$C,3,0)</f>
        <v>EDF</v>
      </c>
      <c r="J4294" s="918" t="str">
        <f t="shared" si="432"/>
        <v>2904EDF</v>
      </c>
      <c r="K4294" s="919">
        <v>1</v>
      </c>
      <c r="L4294" s="920">
        <f t="shared" si="433"/>
        <v>69</v>
      </c>
      <c r="M4294" s="920">
        <f t="shared" si="434"/>
        <v>0.58787999999999996</v>
      </c>
      <c r="N4294" s="920">
        <f t="shared" si="435"/>
        <v>0.52272727272727271</v>
      </c>
      <c r="O4294" s="918" t="str">
        <f t="shared" si="436"/>
        <v>Mar</v>
      </c>
      <c r="P4294" s="921">
        <f t="shared" si="437"/>
        <v>11</v>
      </c>
    </row>
    <row r="4295" spans="1:16" ht="15" hidden="1" customHeight="1">
      <c r="A4295" s="839">
        <v>68746232</v>
      </c>
      <c r="B4295" s="839">
        <v>2904</v>
      </c>
      <c r="C4295" s="906">
        <v>1243</v>
      </c>
      <c r="D4295" s="907">
        <v>46088</v>
      </c>
      <c r="E4295" s="839" t="s">
        <v>508</v>
      </c>
      <c r="F4295" s="839" t="s">
        <v>243</v>
      </c>
      <c r="G4295" s="916">
        <f>VLOOKUP($A4295,'Tech Litons'!$A:$I,8,FALSE)</f>
        <v>8.5199999999999998E-3</v>
      </c>
      <c r="H4295" s="917">
        <f>VLOOKUP($A4295,'Tech Litons'!$A:$I,9,FALSE)</f>
        <v>132</v>
      </c>
      <c r="I4295" s="917" t="str">
        <f>VLOOKUP($A4295,'Tech Litons'!$A:$C,3,0)</f>
        <v>EDF</v>
      </c>
      <c r="J4295" s="918" t="str">
        <f t="shared" si="432"/>
        <v>2904EDF</v>
      </c>
      <c r="K4295" s="919">
        <v>1</v>
      </c>
      <c r="L4295" s="920">
        <f t="shared" si="433"/>
        <v>1243</v>
      </c>
      <c r="M4295" s="920">
        <f t="shared" si="434"/>
        <v>10.59036</v>
      </c>
      <c r="N4295" s="920">
        <f t="shared" si="435"/>
        <v>9.4166666666666661</v>
      </c>
      <c r="O4295" s="918" t="str">
        <f t="shared" si="436"/>
        <v>Mar</v>
      </c>
      <c r="P4295" s="921">
        <f t="shared" si="437"/>
        <v>10</v>
      </c>
    </row>
    <row r="4296" spans="1:16" ht="15" hidden="1" customHeight="1">
      <c r="A4296" s="839">
        <v>68746232</v>
      </c>
      <c r="B4296" s="839">
        <v>2904</v>
      </c>
      <c r="C4296" s="906">
        <v>1421</v>
      </c>
      <c r="D4296" s="907">
        <v>46089</v>
      </c>
      <c r="E4296" s="839" t="s">
        <v>508</v>
      </c>
      <c r="F4296" s="839" t="s">
        <v>243</v>
      </c>
      <c r="G4296" s="916">
        <f>VLOOKUP($A4296,'Tech Litons'!$A:$I,8,FALSE)</f>
        <v>8.5199999999999998E-3</v>
      </c>
      <c r="H4296" s="917">
        <f>VLOOKUP($A4296,'Tech Litons'!$A:$I,9,FALSE)</f>
        <v>132</v>
      </c>
      <c r="I4296" s="917" t="str">
        <f>VLOOKUP($A4296,'Tech Litons'!$A:$C,3,0)</f>
        <v>EDF</v>
      </c>
      <c r="J4296" s="918" t="str">
        <f t="shared" si="432"/>
        <v>2904EDF</v>
      </c>
      <c r="K4296" s="919">
        <v>1</v>
      </c>
      <c r="L4296" s="920">
        <f t="shared" si="433"/>
        <v>1421</v>
      </c>
      <c r="M4296" s="920">
        <f t="shared" si="434"/>
        <v>12.106920000000001</v>
      </c>
      <c r="N4296" s="920">
        <f t="shared" si="435"/>
        <v>10.765151515151516</v>
      </c>
      <c r="O4296" s="918" t="str">
        <f t="shared" si="436"/>
        <v>Mar</v>
      </c>
      <c r="P4296" s="921">
        <f t="shared" si="437"/>
        <v>11</v>
      </c>
    </row>
    <row r="4297" spans="1:16" ht="15" hidden="1" customHeight="1">
      <c r="A4297" s="839">
        <v>68746232</v>
      </c>
      <c r="B4297" s="839">
        <v>2904</v>
      </c>
      <c r="C4297" s="906">
        <v>1013</v>
      </c>
      <c r="D4297" s="907">
        <v>46089</v>
      </c>
      <c r="E4297" s="839" t="s">
        <v>508</v>
      </c>
      <c r="F4297" s="839" t="s">
        <v>243</v>
      </c>
      <c r="G4297" s="916">
        <f>VLOOKUP($A4297,'Tech Litons'!$A:$I,8,FALSE)</f>
        <v>8.5199999999999998E-3</v>
      </c>
      <c r="H4297" s="917">
        <f>VLOOKUP($A4297,'Tech Litons'!$A:$I,9,FALSE)</f>
        <v>132</v>
      </c>
      <c r="I4297" s="917" t="str">
        <f>VLOOKUP($A4297,'Tech Litons'!$A:$C,3,0)</f>
        <v>EDF</v>
      </c>
      <c r="J4297" s="918" t="str">
        <f t="shared" si="432"/>
        <v>2904EDF</v>
      </c>
      <c r="K4297" s="919">
        <v>1</v>
      </c>
      <c r="L4297" s="920">
        <f t="shared" si="433"/>
        <v>1013</v>
      </c>
      <c r="M4297" s="920">
        <f t="shared" si="434"/>
        <v>8.6307600000000004</v>
      </c>
      <c r="N4297" s="920">
        <f t="shared" si="435"/>
        <v>7.6742424242424239</v>
      </c>
      <c r="O4297" s="918" t="str">
        <f t="shared" si="436"/>
        <v>Mar</v>
      </c>
      <c r="P4297" s="921">
        <f t="shared" si="437"/>
        <v>11</v>
      </c>
    </row>
    <row r="4298" spans="1:16" ht="15" hidden="1" customHeight="1">
      <c r="A4298" s="839">
        <v>68746232</v>
      </c>
      <c r="B4298" s="839">
        <v>2904</v>
      </c>
      <c r="C4298" s="906">
        <v>957</v>
      </c>
      <c r="D4298" s="907">
        <v>46090</v>
      </c>
      <c r="E4298" s="839" t="s">
        <v>508</v>
      </c>
      <c r="F4298" s="839" t="s">
        <v>243</v>
      </c>
      <c r="G4298" s="916">
        <f>VLOOKUP($A4298,'Tech Litons'!$A:$I,8,FALSE)</f>
        <v>8.5199999999999998E-3</v>
      </c>
      <c r="H4298" s="917">
        <f>VLOOKUP($A4298,'Tech Litons'!$A:$I,9,FALSE)</f>
        <v>132</v>
      </c>
      <c r="I4298" s="917" t="str">
        <f>VLOOKUP($A4298,'Tech Litons'!$A:$C,3,0)</f>
        <v>EDF</v>
      </c>
      <c r="J4298" s="918" t="str">
        <f t="shared" si="432"/>
        <v>2904EDF</v>
      </c>
      <c r="K4298" s="919">
        <v>1</v>
      </c>
      <c r="L4298" s="920">
        <f t="shared" si="433"/>
        <v>957</v>
      </c>
      <c r="M4298" s="920">
        <f t="shared" si="434"/>
        <v>8.1536399999999993</v>
      </c>
      <c r="N4298" s="920">
        <f t="shared" si="435"/>
        <v>7.25</v>
      </c>
      <c r="O4298" s="918" t="str">
        <f t="shared" si="436"/>
        <v>Mar</v>
      </c>
      <c r="P4298" s="921">
        <f t="shared" si="437"/>
        <v>11</v>
      </c>
    </row>
    <row r="4299" spans="1:16" ht="15" hidden="1" customHeight="1">
      <c r="A4299" s="839">
        <v>68746232</v>
      </c>
      <c r="B4299" s="839">
        <v>2904</v>
      </c>
      <c r="C4299" s="906">
        <v>1314</v>
      </c>
      <c r="D4299" s="907">
        <v>46090</v>
      </c>
      <c r="E4299" s="839" t="s">
        <v>508</v>
      </c>
      <c r="F4299" s="839" t="s">
        <v>243</v>
      </c>
      <c r="G4299" s="916">
        <f>VLOOKUP($A4299,'Tech Litons'!$A:$I,8,FALSE)</f>
        <v>8.5199999999999998E-3</v>
      </c>
      <c r="H4299" s="917">
        <f>VLOOKUP($A4299,'Tech Litons'!$A:$I,9,FALSE)</f>
        <v>132</v>
      </c>
      <c r="I4299" s="917" t="str">
        <f>VLOOKUP($A4299,'Tech Litons'!$A:$C,3,0)</f>
        <v>EDF</v>
      </c>
      <c r="J4299" s="918" t="str">
        <f t="shared" si="432"/>
        <v>2904EDF</v>
      </c>
      <c r="K4299" s="919">
        <v>1</v>
      </c>
      <c r="L4299" s="920">
        <f t="shared" si="433"/>
        <v>1314</v>
      </c>
      <c r="M4299" s="920">
        <f t="shared" si="434"/>
        <v>11.19528</v>
      </c>
      <c r="N4299" s="920">
        <f t="shared" si="435"/>
        <v>9.954545454545455</v>
      </c>
      <c r="O4299" s="918" t="str">
        <f t="shared" si="436"/>
        <v>Mar</v>
      </c>
      <c r="P4299" s="921">
        <f t="shared" si="437"/>
        <v>11</v>
      </c>
    </row>
    <row r="4300" spans="1:16" ht="15" hidden="1" customHeight="1">
      <c r="A4300" s="839">
        <v>68746232</v>
      </c>
      <c r="B4300" s="839">
        <v>2904</v>
      </c>
      <c r="C4300" s="906">
        <v>948</v>
      </c>
      <c r="D4300" s="907">
        <v>46091</v>
      </c>
      <c r="E4300" s="839" t="s">
        <v>508</v>
      </c>
      <c r="F4300" s="839" t="s">
        <v>243</v>
      </c>
      <c r="G4300" s="916">
        <f>VLOOKUP($A4300,'Tech Litons'!$A:$I,8,FALSE)</f>
        <v>8.5199999999999998E-3</v>
      </c>
      <c r="H4300" s="917">
        <f>VLOOKUP($A4300,'Tech Litons'!$A:$I,9,FALSE)</f>
        <v>132</v>
      </c>
      <c r="I4300" s="917" t="str">
        <f>VLOOKUP($A4300,'Tech Litons'!$A:$C,3,0)</f>
        <v>EDF</v>
      </c>
      <c r="J4300" s="918" t="str">
        <f t="shared" si="432"/>
        <v>2904EDF</v>
      </c>
      <c r="K4300" s="919">
        <v>1</v>
      </c>
      <c r="L4300" s="920">
        <f t="shared" si="433"/>
        <v>948</v>
      </c>
      <c r="M4300" s="920">
        <f t="shared" si="434"/>
        <v>8.0769599999999997</v>
      </c>
      <c r="N4300" s="920">
        <f t="shared" si="435"/>
        <v>7.1818181818181817</v>
      </c>
      <c r="O4300" s="918" t="str">
        <f t="shared" si="436"/>
        <v>Mar</v>
      </c>
      <c r="P4300" s="921">
        <f t="shared" si="437"/>
        <v>11</v>
      </c>
    </row>
    <row r="4301" spans="1:16" ht="15" hidden="1" customHeight="1">
      <c r="A4301" s="839">
        <v>68746232</v>
      </c>
      <c r="B4301" s="839">
        <v>2904</v>
      </c>
      <c r="C4301" s="906">
        <v>60</v>
      </c>
      <c r="D4301" s="907">
        <v>46091</v>
      </c>
      <c r="E4301" s="839" t="s">
        <v>508</v>
      </c>
      <c r="F4301" s="839" t="s">
        <v>243</v>
      </c>
      <c r="G4301" s="916">
        <f>VLOOKUP($A4301,'Tech Litons'!$A:$I,8,FALSE)</f>
        <v>8.5199999999999998E-3</v>
      </c>
      <c r="H4301" s="917">
        <f>VLOOKUP($A4301,'Tech Litons'!$A:$I,9,FALSE)</f>
        <v>132</v>
      </c>
      <c r="I4301" s="917" t="str">
        <f>VLOOKUP($A4301,'Tech Litons'!$A:$C,3,0)</f>
        <v>EDF</v>
      </c>
      <c r="J4301" s="918" t="str">
        <f t="shared" si="432"/>
        <v>2904EDF</v>
      </c>
      <c r="K4301" s="919">
        <v>1</v>
      </c>
      <c r="L4301" s="920">
        <f t="shared" si="433"/>
        <v>60</v>
      </c>
      <c r="M4301" s="920">
        <f t="shared" si="434"/>
        <v>0.51119999999999999</v>
      </c>
      <c r="N4301" s="920">
        <f t="shared" si="435"/>
        <v>0.45454545454545453</v>
      </c>
      <c r="O4301" s="918" t="str">
        <f t="shared" si="436"/>
        <v>Mar</v>
      </c>
      <c r="P4301" s="921">
        <f t="shared" si="437"/>
        <v>11</v>
      </c>
    </row>
    <row r="4302" spans="1:16" ht="15" hidden="1" customHeight="1">
      <c r="A4302" s="839">
        <v>68746232</v>
      </c>
      <c r="B4302" s="839">
        <v>2904</v>
      </c>
      <c r="C4302" s="906">
        <v>924</v>
      </c>
      <c r="D4302" s="907">
        <v>46092</v>
      </c>
      <c r="E4302" s="839" t="s">
        <v>508</v>
      </c>
      <c r="F4302" s="839" t="s">
        <v>243</v>
      </c>
      <c r="G4302" s="916">
        <f>VLOOKUP($A4302,'Tech Litons'!$A:$I,8,FALSE)</f>
        <v>8.5199999999999998E-3</v>
      </c>
      <c r="H4302" s="917">
        <f>VLOOKUP($A4302,'Tech Litons'!$A:$I,9,FALSE)</f>
        <v>132</v>
      </c>
      <c r="I4302" s="917" t="str">
        <f>VLOOKUP($A4302,'Tech Litons'!$A:$C,3,0)</f>
        <v>EDF</v>
      </c>
      <c r="J4302" s="918" t="str">
        <f t="shared" si="432"/>
        <v>2904EDF</v>
      </c>
      <c r="K4302" s="919">
        <v>1</v>
      </c>
      <c r="L4302" s="920">
        <f t="shared" si="433"/>
        <v>924</v>
      </c>
      <c r="M4302" s="920">
        <f t="shared" si="434"/>
        <v>7.8724799999999995</v>
      </c>
      <c r="N4302" s="920">
        <f t="shared" si="435"/>
        <v>7</v>
      </c>
      <c r="O4302" s="918" t="str">
        <f t="shared" si="436"/>
        <v>Mar</v>
      </c>
      <c r="P4302" s="921">
        <f t="shared" si="437"/>
        <v>11</v>
      </c>
    </row>
    <row r="4303" spans="1:16" ht="15" hidden="1" customHeight="1">
      <c r="A4303" s="839">
        <v>68746232</v>
      </c>
      <c r="B4303" s="839">
        <v>2904</v>
      </c>
      <c r="C4303" s="906">
        <v>2247</v>
      </c>
      <c r="D4303" s="907">
        <v>46092</v>
      </c>
      <c r="E4303" s="839" t="s">
        <v>508</v>
      </c>
      <c r="F4303" s="839" t="s">
        <v>243</v>
      </c>
      <c r="G4303" s="916">
        <f>VLOOKUP($A4303,'Tech Litons'!$A:$I,8,FALSE)</f>
        <v>8.5199999999999998E-3</v>
      </c>
      <c r="H4303" s="917">
        <f>VLOOKUP($A4303,'Tech Litons'!$A:$I,9,FALSE)</f>
        <v>132</v>
      </c>
      <c r="I4303" s="917" t="str">
        <f>VLOOKUP($A4303,'Tech Litons'!$A:$C,3,0)</f>
        <v>EDF</v>
      </c>
      <c r="J4303" s="918" t="str">
        <f t="shared" si="432"/>
        <v>2904EDF</v>
      </c>
      <c r="K4303" s="919">
        <v>1</v>
      </c>
      <c r="L4303" s="920">
        <f t="shared" si="433"/>
        <v>2247</v>
      </c>
      <c r="M4303" s="920">
        <f t="shared" si="434"/>
        <v>19.144439999999999</v>
      </c>
      <c r="N4303" s="920">
        <f t="shared" si="435"/>
        <v>17.022727272727273</v>
      </c>
      <c r="O4303" s="918" t="str">
        <f t="shared" si="436"/>
        <v>Mar</v>
      </c>
      <c r="P4303" s="921">
        <f t="shared" si="437"/>
        <v>11</v>
      </c>
    </row>
    <row r="4304" spans="1:16" ht="15" hidden="1" customHeight="1">
      <c r="A4304" s="839">
        <v>68746232</v>
      </c>
      <c r="B4304" s="839">
        <v>2904</v>
      </c>
      <c r="C4304" s="906">
        <v>924</v>
      </c>
      <c r="D4304" s="907">
        <v>46093</v>
      </c>
      <c r="E4304" s="839" t="s">
        <v>508</v>
      </c>
      <c r="F4304" s="839" t="s">
        <v>243</v>
      </c>
      <c r="G4304" s="916">
        <f>VLOOKUP($A4304,'Tech Litons'!$A:$I,8,FALSE)</f>
        <v>8.5199999999999998E-3</v>
      </c>
      <c r="H4304" s="917">
        <f>VLOOKUP($A4304,'Tech Litons'!$A:$I,9,FALSE)</f>
        <v>132</v>
      </c>
      <c r="I4304" s="917" t="str">
        <f>VLOOKUP($A4304,'Tech Litons'!$A:$C,3,0)</f>
        <v>EDF</v>
      </c>
      <c r="J4304" s="918" t="str">
        <f t="shared" si="432"/>
        <v>2904EDF</v>
      </c>
      <c r="K4304" s="919">
        <v>1</v>
      </c>
      <c r="L4304" s="920">
        <f t="shared" si="433"/>
        <v>924</v>
      </c>
      <c r="M4304" s="920">
        <f t="shared" si="434"/>
        <v>7.8724799999999995</v>
      </c>
      <c r="N4304" s="920">
        <f t="shared" si="435"/>
        <v>7</v>
      </c>
      <c r="O4304" s="918" t="str">
        <f t="shared" si="436"/>
        <v>Mar</v>
      </c>
      <c r="P4304" s="921">
        <f t="shared" si="437"/>
        <v>11</v>
      </c>
    </row>
    <row r="4305" spans="1:16" ht="15" hidden="1" customHeight="1">
      <c r="A4305" s="839">
        <v>68746232</v>
      </c>
      <c r="B4305" s="839">
        <v>2904</v>
      </c>
      <c r="C4305" s="906">
        <v>1495</v>
      </c>
      <c r="D4305" s="907">
        <v>46093</v>
      </c>
      <c r="E4305" s="839" t="s">
        <v>508</v>
      </c>
      <c r="F4305" s="839" t="s">
        <v>243</v>
      </c>
      <c r="G4305" s="916">
        <f>VLOOKUP($A4305,'Tech Litons'!$A:$I,8,FALSE)</f>
        <v>8.5199999999999998E-3</v>
      </c>
      <c r="H4305" s="917">
        <f>VLOOKUP($A4305,'Tech Litons'!$A:$I,9,FALSE)</f>
        <v>132</v>
      </c>
      <c r="I4305" s="917" t="str">
        <f>VLOOKUP($A4305,'Tech Litons'!$A:$C,3,0)</f>
        <v>EDF</v>
      </c>
      <c r="J4305" s="918" t="str">
        <f t="shared" si="432"/>
        <v>2904EDF</v>
      </c>
      <c r="K4305" s="919">
        <v>1</v>
      </c>
      <c r="L4305" s="920">
        <f t="shared" si="433"/>
        <v>1495</v>
      </c>
      <c r="M4305" s="920">
        <f t="shared" si="434"/>
        <v>12.737399999999999</v>
      </c>
      <c r="N4305" s="920">
        <f t="shared" si="435"/>
        <v>11.325757575757576</v>
      </c>
      <c r="O4305" s="918" t="str">
        <f t="shared" si="436"/>
        <v>Mar</v>
      </c>
      <c r="P4305" s="921">
        <f t="shared" si="437"/>
        <v>11</v>
      </c>
    </row>
    <row r="4306" spans="1:16" ht="15" hidden="1" customHeight="1">
      <c r="A4306" s="839">
        <v>68746232</v>
      </c>
      <c r="B4306" s="839">
        <v>2904</v>
      </c>
      <c r="C4306" s="906">
        <v>1429</v>
      </c>
      <c r="D4306" s="907">
        <v>46094</v>
      </c>
      <c r="E4306" s="839" t="s">
        <v>508</v>
      </c>
      <c r="F4306" s="839" t="s">
        <v>243</v>
      </c>
      <c r="G4306" s="916">
        <f>VLOOKUP($A4306,'Tech Litons'!$A:$I,8,FALSE)</f>
        <v>8.5199999999999998E-3</v>
      </c>
      <c r="H4306" s="917">
        <f>VLOOKUP($A4306,'Tech Litons'!$A:$I,9,FALSE)</f>
        <v>132</v>
      </c>
      <c r="I4306" s="917" t="str">
        <f>VLOOKUP($A4306,'Tech Litons'!$A:$C,3,0)</f>
        <v>EDF</v>
      </c>
      <c r="J4306" s="918" t="str">
        <f t="shared" si="432"/>
        <v>2904EDF</v>
      </c>
      <c r="K4306" s="919">
        <v>1</v>
      </c>
      <c r="L4306" s="920">
        <f t="shared" si="433"/>
        <v>1429</v>
      </c>
      <c r="M4306" s="920">
        <f t="shared" si="434"/>
        <v>12.175079999999999</v>
      </c>
      <c r="N4306" s="920">
        <f t="shared" si="435"/>
        <v>10.825757575757576</v>
      </c>
      <c r="O4306" s="918" t="str">
        <f t="shared" si="436"/>
        <v>Mar</v>
      </c>
      <c r="P4306" s="921">
        <f t="shared" si="437"/>
        <v>11</v>
      </c>
    </row>
    <row r="4307" spans="1:16" ht="15" hidden="1" customHeight="1">
      <c r="A4307" s="839">
        <v>68746232</v>
      </c>
      <c r="B4307" s="839">
        <v>2904</v>
      </c>
      <c r="C4307" s="906">
        <v>2112</v>
      </c>
      <c r="D4307" s="907">
        <v>46094</v>
      </c>
      <c r="E4307" s="839" t="s">
        <v>508</v>
      </c>
      <c r="F4307" s="839" t="s">
        <v>243</v>
      </c>
      <c r="G4307" s="916">
        <f>VLOOKUP($A4307,'Tech Litons'!$A:$I,8,FALSE)</f>
        <v>8.5199999999999998E-3</v>
      </c>
      <c r="H4307" s="917">
        <f>VLOOKUP($A4307,'Tech Litons'!$A:$I,9,FALSE)</f>
        <v>132</v>
      </c>
      <c r="I4307" s="917" t="str">
        <f>VLOOKUP($A4307,'Tech Litons'!$A:$C,3,0)</f>
        <v>EDF</v>
      </c>
      <c r="J4307" s="918" t="str">
        <f t="shared" si="432"/>
        <v>2904EDF</v>
      </c>
      <c r="K4307" s="919">
        <v>1</v>
      </c>
      <c r="L4307" s="920">
        <f t="shared" si="433"/>
        <v>2112</v>
      </c>
      <c r="M4307" s="920">
        <f t="shared" si="434"/>
        <v>17.994239999999998</v>
      </c>
      <c r="N4307" s="920">
        <f t="shared" si="435"/>
        <v>16</v>
      </c>
      <c r="O4307" s="918" t="str">
        <f t="shared" si="436"/>
        <v>Mar</v>
      </c>
      <c r="P4307" s="921">
        <f t="shared" si="437"/>
        <v>11</v>
      </c>
    </row>
    <row r="4308" spans="1:16" ht="15" hidden="1" customHeight="1">
      <c r="A4308" s="839">
        <v>68746232</v>
      </c>
      <c r="B4308" s="839">
        <v>2904</v>
      </c>
      <c r="C4308" s="906">
        <v>1320</v>
      </c>
      <c r="D4308" s="907">
        <v>46095</v>
      </c>
      <c r="E4308" s="839" t="s">
        <v>508</v>
      </c>
      <c r="F4308" s="839" t="s">
        <v>243</v>
      </c>
      <c r="G4308" s="916">
        <f>VLOOKUP($A4308,'Tech Litons'!$A:$I,8,FALSE)</f>
        <v>8.5199999999999998E-3</v>
      </c>
      <c r="H4308" s="917">
        <f>VLOOKUP($A4308,'Tech Litons'!$A:$I,9,FALSE)</f>
        <v>132</v>
      </c>
      <c r="I4308" s="917" t="str">
        <f>VLOOKUP($A4308,'Tech Litons'!$A:$C,3,0)</f>
        <v>EDF</v>
      </c>
      <c r="J4308" s="918" t="str">
        <f t="shared" si="432"/>
        <v>2904EDF</v>
      </c>
      <c r="K4308" s="919">
        <v>1</v>
      </c>
      <c r="L4308" s="920">
        <f t="shared" si="433"/>
        <v>1320</v>
      </c>
      <c r="M4308" s="920">
        <f t="shared" si="434"/>
        <v>11.2464</v>
      </c>
      <c r="N4308" s="920">
        <f t="shared" si="435"/>
        <v>10</v>
      </c>
      <c r="O4308" s="918" t="str">
        <f t="shared" si="436"/>
        <v>Mar</v>
      </c>
      <c r="P4308" s="921">
        <f t="shared" si="437"/>
        <v>11</v>
      </c>
    </row>
    <row r="4309" spans="1:16" ht="15" hidden="1" customHeight="1">
      <c r="A4309" s="839">
        <v>68746232</v>
      </c>
      <c r="B4309" s="839">
        <v>2904</v>
      </c>
      <c r="C4309" s="906">
        <v>132</v>
      </c>
      <c r="D4309" s="907">
        <v>46097</v>
      </c>
      <c r="E4309" s="839" t="s">
        <v>508</v>
      </c>
      <c r="F4309" s="839" t="s">
        <v>243</v>
      </c>
      <c r="G4309" s="916">
        <f>VLOOKUP($A4309,'Tech Litons'!$A:$I,8,FALSE)</f>
        <v>8.5199999999999998E-3</v>
      </c>
      <c r="H4309" s="917">
        <f>VLOOKUP($A4309,'Tech Litons'!$A:$I,9,FALSE)</f>
        <v>132</v>
      </c>
      <c r="I4309" s="917" t="str">
        <f>VLOOKUP($A4309,'Tech Litons'!$A:$C,3,0)</f>
        <v>EDF</v>
      </c>
      <c r="J4309" s="918" t="str">
        <f t="shared" si="432"/>
        <v>2904EDF</v>
      </c>
      <c r="K4309" s="919">
        <v>1</v>
      </c>
      <c r="L4309" s="920">
        <f t="shared" si="433"/>
        <v>132</v>
      </c>
      <c r="M4309" s="920">
        <f t="shared" si="434"/>
        <v>1.1246399999999999</v>
      </c>
      <c r="N4309" s="920">
        <f t="shared" si="435"/>
        <v>1</v>
      </c>
      <c r="O4309" s="918" t="str">
        <f t="shared" si="436"/>
        <v>Mar</v>
      </c>
      <c r="P4309" s="921">
        <f t="shared" si="437"/>
        <v>12</v>
      </c>
    </row>
    <row r="4310" spans="1:16" ht="15" hidden="1" customHeight="1">
      <c r="A4310" s="839">
        <v>68746232</v>
      </c>
      <c r="B4310" s="839">
        <v>2904</v>
      </c>
      <c r="C4310" s="906">
        <v>3087</v>
      </c>
      <c r="D4310" s="907">
        <v>46097</v>
      </c>
      <c r="E4310" s="839" t="s">
        <v>508</v>
      </c>
      <c r="F4310" s="839" t="s">
        <v>243</v>
      </c>
      <c r="G4310" s="916">
        <f>VLOOKUP($A4310,'Tech Litons'!$A:$I,8,FALSE)</f>
        <v>8.5199999999999998E-3</v>
      </c>
      <c r="H4310" s="917">
        <f>VLOOKUP($A4310,'Tech Litons'!$A:$I,9,FALSE)</f>
        <v>132</v>
      </c>
      <c r="I4310" s="917" t="str">
        <f>VLOOKUP($A4310,'Tech Litons'!$A:$C,3,0)</f>
        <v>EDF</v>
      </c>
      <c r="J4310" s="918" t="str">
        <f t="shared" si="432"/>
        <v>2904EDF</v>
      </c>
      <c r="K4310" s="919">
        <v>1</v>
      </c>
      <c r="L4310" s="920">
        <f t="shared" si="433"/>
        <v>3087</v>
      </c>
      <c r="M4310" s="920">
        <f t="shared" si="434"/>
        <v>26.30124</v>
      </c>
      <c r="N4310" s="920">
        <f t="shared" si="435"/>
        <v>23.386363636363637</v>
      </c>
      <c r="O4310" s="918" t="str">
        <f t="shared" si="436"/>
        <v>Mar</v>
      </c>
      <c r="P4310" s="921">
        <f t="shared" si="437"/>
        <v>12</v>
      </c>
    </row>
    <row r="4311" spans="1:16" ht="15" hidden="1" customHeight="1">
      <c r="A4311" s="839">
        <v>68746232</v>
      </c>
      <c r="B4311" s="839">
        <v>2904</v>
      </c>
      <c r="C4311" s="906">
        <v>1277</v>
      </c>
      <c r="D4311" s="907">
        <v>46098</v>
      </c>
      <c r="E4311" s="839" t="s">
        <v>508</v>
      </c>
      <c r="F4311" s="839" t="s">
        <v>243</v>
      </c>
      <c r="G4311" s="916">
        <f>VLOOKUP($A4311,'Tech Litons'!$A:$I,8,FALSE)</f>
        <v>8.5199999999999998E-3</v>
      </c>
      <c r="H4311" s="917">
        <f>VLOOKUP($A4311,'Tech Litons'!$A:$I,9,FALSE)</f>
        <v>132</v>
      </c>
      <c r="I4311" s="917" t="str">
        <f>VLOOKUP($A4311,'Tech Litons'!$A:$C,3,0)</f>
        <v>EDF</v>
      </c>
      <c r="J4311" s="918" t="str">
        <f t="shared" si="432"/>
        <v>2904EDF</v>
      </c>
      <c r="K4311" s="919">
        <v>1</v>
      </c>
      <c r="L4311" s="920">
        <f t="shared" si="433"/>
        <v>1277</v>
      </c>
      <c r="M4311" s="920">
        <f t="shared" si="434"/>
        <v>10.880039999999999</v>
      </c>
      <c r="N4311" s="920">
        <f t="shared" si="435"/>
        <v>9.6742424242424239</v>
      </c>
      <c r="O4311" s="918" t="str">
        <f t="shared" si="436"/>
        <v>Mar</v>
      </c>
      <c r="P4311" s="921">
        <f t="shared" si="437"/>
        <v>12</v>
      </c>
    </row>
    <row r="4312" spans="1:16" ht="15" hidden="1" customHeight="1">
      <c r="A4312" s="839">
        <v>68746232</v>
      </c>
      <c r="B4312" s="839">
        <v>2904</v>
      </c>
      <c r="C4312" s="906">
        <v>-1277</v>
      </c>
      <c r="D4312" s="907">
        <v>46100</v>
      </c>
      <c r="E4312" s="839" t="s">
        <v>508</v>
      </c>
      <c r="F4312" s="839" t="s">
        <v>243</v>
      </c>
      <c r="G4312" s="916">
        <f>VLOOKUP($A4312,'Tech Litons'!$A:$I,8,FALSE)</f>
        <v>8.5199999999999998E-3</v>
      </c>
      <c r="H4312" s="917">
        <f>VLOOKUP($A4312,'Tech Litons'!$A:$I,9,FALSE)</f>
        <v>132</v>
      </c>
      <c r="I4312" s="917" t="str">
        <f>VLOOKUP($A4312,'Tech Litons'!$A:$C,3,0)</f>
        <v>EDF</v>
      </c>
      <c r="J4312" s="918" t="str">
        <f t="shared" si="432"/>
        <v>2904EDF</v>
      </c>
      <c r="K4312" s="919">
        <v>1</v>
      </c>
      <c r="L4312" s="920">
        <f t="shared" si="433"/>
        <v>-1277</v>
      </c>
      <c r="M4312" s="920">
        <f t="shared" si="434"/>
        <v>-10.880039999999999</v>
      </c>
      <c r="N4312" s="920">
        <f t="shared" si="435"/>
        <v>-9.6742424242424239</v>
      </c>
      <c r="O4312" s="918" t="str">
        <f t="shared" si="436"/>
        <v>Mar</v>
      </c>
      <c r="P4312" s="921">
        <f t="shared" si="437"/>
        <v>12</v>
      </c>
    </row>
    <row r="4313" spans="1:16" ht="15" hidden="1" customHeight="1">
      <c r="A4313" s="839">
        <v>68746232</v>
      </c>
      <c r="B4313" s="839">
        <v>2904</v>
      </c>
      <c r="C4313" s="906">
        <v>1277</v>
      </c>
      <c r="D4313" s="907">
        <v>46097</v>
      </c>
      <c r="E4313" s="839" t="s">
        <v>508</v>
      </c>
      <c r="F4313" s="839" t="s">
        <v>243</v>
      </c>
      <c r="G4313" s="916">
        <f>VLOOKUP($A4313,'Tech Litons'!$A:$I,8,FALSE)</f>
        <v>8.5199999999999998E-3</v>
      </c>
      <c r="H4313" s="917">
        <f>VLOOKUP($A4313,'Tech Litons'!$A:$I,9,FALSE)</f>
        <v>132</v>
      </c>
      <c r="I4313" s="917" t="str">
        <f>VLOOKUP($A4313,'Tech Litons'!$A:$C,3,0)</f>
        <v>EDF</v>
      </c>
      <c r="J4313" s="918" t="str">
        <f t="shared" si="432"/>
        <v>2904EDF</v>
      </c>
      <c r="K4313" s="919">
        <v>1</v>
      </c>
      <c r="L4313" s="920">
        <f t="shared" si="433"/>
        <v>1277</v>
      </c>
      <c r="M4313" s="920">
        <f t="shared" si="434"/>
        <v>10.880039999999999</v>
      </c>
      <c r="N4313" s="920">
        <f t="shared" si="435"/>
        <v>9.6742424242424239</v>
      </c>
      <c r="O4313" s="918" t="str">
        <f t="shared" si="436"/>
        <v>Mar</v>
      </c>
      <c r="P4313" s="921">
        <f t="shared" si="437"/>
        <v>12</v>
      </c>
    </row>
    <row r="4314" spans="1:16" ht="15" hidden="1" customHeight="1">
      <c r="A4314" s="839">
        <v>68746232</v>
      </c>
      <c r="B4314" s="839">
        <v>2904</v>
      </c>
      <c r="C4314" s="906">
        <v>-1277</v>
      </c>
      <c r="D4314" s="907">
        <v>46098</v>
      </c>
      <c r="E4314" s="839" t="s">
        <v>508</v>
      </c>
      <c r="F4314" s="839" t="s">
        <v>243</v>
      </c>
      <c r="G4314" s="916">
        <f>VLOOKUP($A4314,'Tech Litons'!$A:$I,8,FALSE)</f>
        <v>8.5199999999999998E-3</v>
      </c>
      <c r="H4314" s="917">
        <f>VLOOKUP($A4314,'Tech Litons'!$A:$I,9,FALSE)</f>
        <v>132</v>
      </c>
      <c r="I4314" s="917" t="str">
        <f>VLOOKUP($A4314,'Tech Litons'!$A:$C,3,0)</f>
        <v>EDF</v>
      </c>
      <c r="J4314" s="918" t="str">
        <f t="shared" si="432"/>
        <v>2904EDF</v>
      </c>
      <c r="K4314" s="919">
        <v>1</v>
      </c>
      <c r="L4314" s="920">
        <f t="shared" si="433"/>
        <v>-1277</v>
      </c>
      <c r="M4314" s="920">
        <f t="shared" si="434"/>
        <v>-10.880039999999999</v>
      </c>
      <c r="N4314" s="920">
        <f t="shared" si="435"/>
        <v>-9.6742424242424239</v>
      </c>
      <c r="O4314" s="918" t="str">
        <f t="shared" si="436"/>
        <v>Mar</v>
      </c>
      <c r="P4314" s="921">
        <f t="shared" si="437"/>
        <v>12</v>
      </c>
    </row>
    <row r="4315" spans="1:16" ht="15" hidden="1" customHeight="1">
      <c r="A4315" s="839">
        <v>68746232</v>
      </c>
      <c r="B4315" s="839">
        <v>2904</v>
      </c>
      <c r="C4315" s="906">
        <v>1277</v>
      </c>
      <c r="D4315" s="907">
        <v>46100</v>
      </c>
      <c r="E4315" s="839" t="s">
        <v>508</v>
      </c>
      <c r="F4315" s="839" t="s">
        <v>243</v>
      </c>
      <c r="G4315" s="916">
        <f>VLOOKUP($A4315,'Tech Litons'!$A:$I,8,FALSE)</f>
        <v>8.5199999999999998E-3</v>
      </c>
      <c r="H4315" s="917">
        <f>VLOOKUP($A4315,'Tech Litons'!$A:$I,9,FALSE)</f>
        <v>132</v>
      </c>
      <c r="I4315" s="917" t="str">
        <f>VLOOKUP($A4315,'Tech Litons'!$A:$C,3,0)</f>
        <v>EDF</v>
      </c>
      <c r="J4315" s="918" t="str">
        <f t="shared" si="432"/>
        <v>2904EDF</v>
      </c>
      <c r="K4315" s="919">
        <v>1</v>
      </c>
      <c r="L4315" s="920">
        <f t="shared" si="433"/>
        <v>1277</v>
      </c>
      <c r="M4315" s="920">
        <f t="shared" si="434"/>
        <v>10.880039999999999</v>
      </c>
      <c r="N4315" s="920">
        <f t="shared" si="435"/>
        <v>9.6742424242424239</v>
      </c>
      <c r="O4315" s="918" t="str">
        <f t="shared" si="436"/>
        <v>Mar</v>
      </c>
      <c r="P4315" s="921">
        <f t="shared" si="437"/>
        <v>12</v>
      </c>
    </row>
    <row r="4316" spans="1:16" ht="15" hidden="1" customHeight="1">
      <c r="A4316" s="839">
        <v>68817796</v>
      </c>
      <c r="B4316" s="839">
        <v>2904</v>
      </c>
      <c r="C4316" s="906">
        <v>6595</v>
      </c>
      <c r="D4316" s="907">
        <v>46094</v>
      </c>
      <c r="E4316" s="839" t="s">
        <v>263</v>
      </c>
      <c r="F4316" s="839" t="s">
        <v>269</v>
      </c>
      <c r="G4316" s="916">
        <f>VLOOKUP($A4316,'Tech Litons'!$A:$I,8,FALSE)</f>
        <v>8.513999999999999E-3</v>
      </c>
      <c r="H4316" s="917">
        <f>VLOOKUP($A4316,'Tech Litons'!$A:$I,9,FALSE)</f>
        <v>176</v>
      </c>
      <c r="I4316" s="917" t="str">
        <f>VLOOKUP($A4316,'Tech Litons'!$A:$C,3,0)</f>
        <v>48oz</v>
      </c>
      <c r="J4316" s="918" t="str">
        <f t="shared" si="432"/>
        <v>290448oz</v>
      </c>
      <c r="K4316" s="919">
        <v>1</v>
      </c>
      <c r="L4316" s="920">
        <f t="shared" si="433"/>
        <v>6595</v>
      </c>
      <c r="M4316" s="920">
        <f t="shared" si="434"/>
        <v>56.149829999999994</v>
      </c>
      <c r="N4316" s="920">
        <f t="shared" si="435"/>
        <v>37.471590909090907</v>
      </c>
      <c r="O4316" s="918" t="str">
        <f t="shared" si="436"/>
        <v>Mar</v>
      </c>
      <c r="P4316" s="921">
        <f t="shared" si="437"/>
        <v>11</v>
      </c>
    </row>
    <row r="4317" spans="1:16" ht="15" hidden="1" customHeight="1">
      <c r="A4317" s="839">
        <v>68817796</v>
      </c>
      <c r="B4317" s="839">
        <v>2904</v>
      </c>
      <c r="C4317" s="906">
        <v>5631</v>
      </c>
      <c r="D4317" s="907">
        <v>46095</v>
      </c>
      <c r="E4317" s="839" t="s">
        <v>263</v>
      </c>
      <c r="F4317" s="839" t="s">
        <v>269</v>
      </c>
      <c r="G4317" s="916">
        <f>VLOOKUP($A4317,'Tech Litons'!$A:$I,8,FALSE)</f>
        <v>8.513999999999999E-3</v>
      </c>
      <c r="H4317" s="917">
        <f>VLOOKUP($A4317,'Tech Litons'!$A:$I,9,FALSE)</f>
        <v>176</v>
      </c>
      <c r="I4317" s="917" t="str">
        <f>VLOOKUP($A4317,'Tech Litons'!$A:$C,3,0)</f>
        <v>48oz</v>
      </c>
      <c r="J4317" s="918" t="str">
        <f t="shared" si="432"/>
        <v>290448oz</v>
      </c>
      <c r="K4317" s="919">
        <v>1</v>
      </c>
      <c r="L4317" s="920">
        <f t="shared" si="433"/>
        <v>5631</v>
      </c>
      <c r="M4317" s="920">
        <f t="shared" si="434"/>
        <v>47.942333999999995</v>
      </c>
      <c r="N4317" s="920">
        <f t="shared" si="435"/>
        <v>31.994318181818183</v>
      </c>
      <c r="O4317" s="918" t="str">
        <f t="shared" si="436"/>
        <v>Mar</v>
      </c>
      <c r="P4317" s="921">
        <f t="shared" si="437"/>
        <v>11</v>
      </c>
    </row>
    <row r="4318" spans="1:16" ht="15" hidden="1" customHeight="1">
      <c r="A4318" s="839">
        <v>68817796</v>
      </c>
      <c r="B4318" s="839">
        <v>2904</v>
      </c>
      <c r="C4318" s="906">
        <v>704</v>
      </c>
      <c r="D4318" s="907">
        <v>46097</v>
      </c>
      <c r="E4318" s="839" t="s">
        <v>263</v>
      </c>
      <c r="F4318" s="839" t="s">
        <v>269</v>
      </c>
      <c r="G4318" s="916">
        <f>VLOOKUP($A4318,'Tech Litons'!$A:$I,8,FALSE)</f>
        <v>8.513999999999999E-3</v>
      </c>
      <c r="H4318" s="917">
        <f>VLOOKUP($A4318,'Tech Litons'!$A:$I,9,FALSE)</f>
        <v>176</v>
      </c>
      <c r="I4318" s="917" t="str">
        <f>VLOOKUP($A4318,'Tech Litons'!$A:$C,3,0)</f>
        <v>48oz</v>
      </c>
      <c r="J4318" s="918" t="str">
        <f t="shared" si="432"/>
        <v>290448oz</v>
      </c>
      <c r="K4318" s="919">
        <v>1</v>
      </c>
      <c r="L4318" s="920">
        <f t="shared" si="433"/>
        <v>704</v>
      </c>
      <c r="M4318" s="920">
        <f t="shared" si="434"/>
        <v>5.9938559999999992</v>
      </c>
      <c r="N4318" s="920">
        <f t="shared" si="435"/>
        <v>4</v>
      </c>
      <c r="O4318" s="918" t="str">
        <f t="shared" si="436"/>
        <v>Mar</v>
      </c>
      <c r="P4318" s="921">
        <f t="shared" si="437"/>
        <v>12</v>
      </c>
    </row>
    <row r="4319" spans="1:16" ht="15" hidden="1" customHeight="1">
      <c r="A4319" s="839">
        <v>68817796</v>
      </c>
      <c r="B4319" s="839">
        <v>2904</v>
      </c>
      <c r="C4319" s="906">
        <v>12616</v>
      </c>
      <c r="D4319" s="907">
        <v>46097</v>
      </c>
      <c r="E4319" s="839" t="s">
        <v>263</v>
      </c>
      <c r="F4319" s="839" t="s">
        <v>269</v>
      </c>
      <c r="G4319" s="916">
        <f>VLOOKUP($A4319,'Tech Litons'!$A:$I,8,FALSE)</f>
        <v>8.513999999999999E-3</v>
      </c>
      <c r="H4319" s="917">
        <f>VLOOKUP($A4319,'Tech Litons'!$A:$I,9,FALSE)</f>
        <v>176</v>
      </c>
      <c r="I4319" s="917" t="str">
        <f>VLOOKUP($A4319,'Tech Litons'!$A:$C,3,0)</f>
        <v>48oz</v>
      </c>
      <c r="J4319" s="918" t="str">
        <f t="shared" si="432"/>
        <v>290448oz</v>
      </c>
      <c r="K4319" s="919">
        <v>1</v>
      </c>
      <c r="L4319" s="920">
        <f t="shared" si="433"/>
        <v>12616</v>
      </c>
      <c r="M4319" s="920">
        <f t="shared" si="434"/>
        <v>107.41262399999999</v>
      </c>
      <c r="N4319" s="920">
        <f t="shared" si="435"/>
        <v>71.681818181818187</v>
      </c>
      <c r="O4319" s="918" t="str">
        <f t="shared" si="436"/>
        <v>Mar</v>
      </c>
      <c r="P4319" s="921">
        <f t="shared" si="437"/>
        <v>12</v>
      </c>
    </row>
    <row r="4320" spans="1:16" ht="15" hidden="1" customHeight="1">
      <c r="A4320" s="839">
        <v>68817796</v>
      </c>
      <c r="B4320" s="839">
        <v>2904</v>
      </c>
      <c r="C4320" s="906">
        <v>352</v>
      </c>
      <c r="D4320" s="907">
        <v>46098</v>
      </c>
      <c r="E4320" s="839" t="s">
        <v>263</v>
      </c>
      <c r="F4320" s="839" t="s">
        <v>269</v>
      </c>
      <c r="G4320" s="916">
        <f>VLOOKUP($A4320,'Tech Litons'!$A:$I,8,FALSE)</f>
        <v>8.513999999999999E-3</v>
      </c>
      <c r="H4320" s="917">
        <f>VLOOKUP($A4320,'Tech Litons'!$A:$I,9,FALSE)</f>
        <v>176</v>
      </c>
      <c r="I4320" s="917" t="str">
        <f>VLOOKUP($A4320,'Tech Litons'!$A:$C,3,0)</f>
        <v>48oz</v>
      </c>
      <c r="J4320" s="918" t="str">
        <f t="shared" si="432"/>
        <v>290448oz</v>
      </c>
      <c r="K4320" s="919">
        <v>1</v>
      </c>
      <c r="L4320" s="920">
        <f t="shared" si="433"/>
        <v>352</v>
      </c>
      <c r="M4320" s="920">
        <f t="shared" si="434"/>
        <v>2.9969279999999996</v>
      </c>
      <c r="N4320" s="920">
        <f t="shared" si="435"/>
        <v>2</v>
      </c>
      <c r="O4320" s="918" t="str">
        <f t="shared" si="436"/>
        <v>Mar</v>
      </c>
      <c r="P4320" s="921">
        <f t="shared" si="437"/>
        <v>12</v>
      </c>
    </row>
    <row r="4321" spans="1:16" ht="15" hidden="1" customHeight="1">
      <c r="A4321" s="839">
        <v>68817796</v>
      </c>
      <c r="B4321" s="839">
        <v>2904</v>
      </c>
      <c r="C4321" s="906">
        <v>226</v>
      </c>
      <c r="D4321" s="907">
        <v>46099</v>
      </c>
      <c r="E4321" s="839" t="s">
        <v>263</v>
      </c>
      <c r="F4321" s="839" t="s">
        <v>269</v>
      </c>
      <c r="G4321" s="916">
        <f>VLOOKUP($A4321,'Tech Litons'!$A:$I,8,FALSE)</f>
        <v>8.513999999999999E-3</v>
      </c>
      <c r="H4321" s="917">
        <f>VLOOKUP($A4321,'Tech Litons'!$A:$I,9,FALSE)</f>
        <v>176</v>
      </c>
      <c r="I4321" s="917" t="str">
        <f>VLOOKUP($A4321,'Tech Litons'!$A:$C,3,0)</f>
        <v>48oz</v>
      </c>
      <c r="J4321" s="918" t="str">
        <f t="shared" si="432"/>
        <v>290448oz</v>
      </c>
      <c r="K4321" s="919">
        <v>1</v>
      </c>
      <c r="L4321" s="920">
        <f t="shared" si="433"/>
        <v>226</v>
      </c>
      <c r="M4321" s="920">
        <f t="shared" si="434"/>
        <v>1.9241639999999998</v>
      </c>
      <c r="N4321" s="920">
        <f t="shared" si="435"/>
        <v>1.2840909090909092</v>
      </c>
      <c r="O4321" s="918" t="str">
        <f t="shared" si="436"/>
        <v>Mar</v>
      </c>
      <c r="P4321" s="921">
        <f t="shared" si="437"/>
        <v>12</v>
      </c>
    </row>
    <row r="4322" spans="1:16" ht="15" hidden="1" customHeight="1">
      <c r="A4322" s="839">
        <v>68817796</v>
      </c>
      <c r="B4322" s="839">
        <v>2904</v>
      </c>
      <c r="C4322" s="906">
        <v>528</v>
      </c>
      <c r="D4322" s="907">
        <v>46093</v>
      </c>
      <c r="E4322" s="839" t="s">
        <v>263</v>
      </c>
      <c r="F4322" s="839" t="s">
        <v>269</v>
      </c>
      <c r="G4322" s="916">
        <f>VLOOKUP($A4322,'Tech Litons'!$A:$I,8,FALSE)</f>
        <v>8.513999999999999E-3</v>
      </c>
      <c r="H4322" s="917">
        <f>VLOOKUP($A4322,'Tech Litons'!$A:$I,9,FALSE)</f>
        <v>176</v>
      </c>
      <c r="I4322" s="917" t="str">
        <f>VLOOKUP($A4322,'Tech Litons'!$A:$C,3,0)</f>
        <v>48oz</v>
      </c>
      <c r="J4322" s="918" t="str">
        <f t="shared" si="432"/>
        <v>290448oz</v>
      </c>
      <c r="K4322" s="919">
        <v>1</v>
      </c>
      <c r="L4322" s="920">
        <f t="shared" si="433"/>
        <v>528</v>
      </c>
      <c r="M4322" s="920">
        <f t="shared" si="434"/>
        <v>4.4953919999999998</v>
      </c>
      <c r="N4322" s="920">
        <f t="shared" si="435"/>
        <v>3</v>
      </c>
      <c r="O4322" s="918" t="str">
        <f t="shared" si="436"/>
        <v>Mar</v>
      </c>
      <c r="P4322" s="921">
        <f t="shared" si="437"/>
        <v>11</v>
      </c>
    </row>
    <row r="4323" spans="1:16" ht="15" hidden="1" customHeight="1">
      <c r="A4323" s="839">
        <v>68817796</v>
      </c>
      <c r="B4323" s="839">
        <v>2904</v>
      </c>
      <c r="C4323" s="906">
        <v>6688</v>
      </c>
      <c r="D4323" s="907">
        <v>46094</v>
      </c>
      <c r="E4323" s="839" t="s">
        <v>263</v>
      </c>
      <c r="F4323" s="839" t="s">
        <v>269</v>
      </c>
      <c r="G4323" s="916">
        <f>VLOOKUP($A4323,'Tech Litons'!$A:$I,8,FALSE)</f>
        <v>8.513999999999999E-3</v>
      </c>
      <c r="H4323" s="917">
        <f>VLOOKUP($A4323,'Tech Litons'!$A:$I,9,FALSE)</f>
        <v>176</v>
      </c>
      <c r="I4323" s="917" t="str">
        <f>VLOOKUP($A4323,'Tech Litons'!$A:$C,3,0)</f>
        <v>48oz</v>
      </c>
      <c r="J4323" s="918" t="str">
        <f t="shared" si="432"/>
        <v>290448oz</v>
      </c>
      <c r="K4323" s="919">
        <v>1</v>
      </c>
      <c r="L4323" s="920">
        <f t="shared" si="433"/>
        <v>6688</v>
      </c>
      <c r="M4323" s="920">
        <f t="shared" si="434"/>
        <v>56.941631999999991</v>
      </c>
      <c r="N4323" s="920">
        <f t="shared" si="435"/>
        <v>38</v>
      </c>
      <c r="O4323" s="918" t="str">
        <f t="shared" si="436"/>
        <v>Mar</v>
      </c>
      <c r="P4323" s="921">
        <f t="shared" si="437"/>
        <v>11</v>
      </c>
    </row>
    <row r="4324" spans="1:16" ht="15" hidden="1" customHeight="1">
      <c r="A4324" s="839">
        <v>68817800</v>
      </c>
      <c r="B4324" s="839">
        <v>2904</v>
      </c>
      <c r="C4324" s="906">
        <v>2894</v>
      </c>
      <c r="D4324" s="907">
        <v>46076</v>
      </c>
      <c r="E4324" s="839" t="s">
        <v>421</v>
      </c>
      <c r="F4324" s="839" t="s">
        <v>271</v>
      </c>
      <c r="G4324" s="916">
        <f>VLOOKUP($A4324,'Tech Litons'!$A:$I,8,FALSE)</f>
        <v>8.513999999999999E-3</v>
      </c>
      <c r="H4324" s="917">
        <f>VLOOKUP($A4324,'Tech Litons'!$A:$I,9,FALSE)</f>
        <v>176</v>
      </c>
      <c r="I4324" s="917" t="str">
        <f>VLOOKUP($A4324,'Tech Litons'!$A:$C,3,0)</f>
        <v>48oz</v>
      </c>
      <c r="J4324" s="918" t="str">
        <f t="shared" si="432"/>
        <v>290448oz</v>
      </c>
      <c r="K4324" s="919">
        <v>1</v>
      </c>
      <c r="L4324" s="920">
        <f t="shared" si="433"/>
        <v>2894</v>
      </c>
      <c r="M4324" s="920">
        <f t="shared" si="434"/>
        <v>24.639515999999997</v>
      </c>
      <c r="N4324" s="920">
        <f t="shared" si="435"/>
        <v>16.443181818181817</v>
      </c>
      <c r="O4324" s="918" t="str">
        <f t="shared" si="436"/>
        <v>Feb</v>
      </c>
      <c r="P4324" s="921">
        <f t="shared" si="437"/>
        <v>9</v>
      </c>
    </row>
    <row r="4325" spans="1:16" ht="15" hidden="1" customHeight="1">
      <c r="A4325" s="839">
        <v>68817801</v>
      </c>
      <c r="B4325" s="839">
        <v>2904</v>
      </c>
      <c r="C4325" s="906">
        <v>528</v>
      </c>
      <c r="D4325" s="907">
        <v>46090</v>
      </c>
      <c r="E4325" s="839" t="s">
        <v>333</v>
      </c>
      <c r="F4325" s="839" t="s">
        <v>269</v>
      </c>
      <c r="G4325" s="916">
        <f>VLOOKUP($A4325,'Tech Litons'!$A:$I,8,FALSE)</f>
        <v>8.5199999999999998E-3</v>
      </c>
      <c r="H4325" s="917">
        <f>VLOOKUP($A4325,'Tech Litons'!$A:$I,9,FALSE)</f>
        <v>176</v>
      </c>
      <c r="I4325" s="917" t="str">
        <f>VLOOKUP($A4325,'Tech Litons'!$A:$C,3,0)</f>
        <v>48oz</v>
      </c>
      <c r="J4325" s="918" t="str">
        <f t="shared" si="432"/>
        <v>290448oz</v>
      </c>
      <c r="K4325" s="919">
        <v>1</v>
      </c>
      <c r="L4325" s="920">
        <f t="shared" si="433"/>
        <v>528</v>
      </c>
      <c r="M4325" s="920">
        <f t="shared" si="434"/>
        <v>4.4985599999999994</v>
      </c>
      <c r="N4325" s="920">
        <f t="shared" si="435"/>
        <v>3</v>
      </c>
      <c r="O4325" s="918" t="str">
        <f t="shared" si="436"/>
        <v>Mar</v>
      </c>
      <c r="P4325" s="921">
        <f t="shared" si="437"/>
        <v>11</v>
      </c>
    </row>
    <row r="4326" spans="1:16" ht="15" hidden="1" customHeight="1">
      <c r="A4326" s="839">
        <v>68817801</v>
      </c>
      <c r="B4326" s="839">
        <v>2904</v>
      </c>
      <c r="C4326" s="906">
        <v>4928</v>
      </c>
      <c r="D4326" s="907">
        <v>46091</v>
      </c>
      <c r="E4326" s="839" t="s">
        <v>333</v>
      </c>
      <c r="F4326" s="839" t="s">
        <v>269</v>
      </c>
      <c r="G4326" s="916">
        <f>VLOOKUP($A4326,'Tech Litons'!$A:$I,8,FALSE)</f>
        <v>8.5199999999999998E-3</v>
      </c>
      <c r="H4326" s="917">
        <f>VLOOKUP($A4326,'Tech Litons'!$A:$I,9,FALSE)</f>
        <v>176</v>
      </c>
      <c r="I4326" s="917" t="str">
        <f>VLOOKUP($A4326,'Tech Litons'!$A:$C,3,0)</f>
        <v>48oz</v>
      </c>
      <c r="J4326" s="918" t="str">
        <f t="shared" si="432"/>
        <v>290448oz</v>
      </c>
      <c r="K4326" s="919">
        <v>1</v>
      </c>
      <c r="L4326" s="920">
        <f t="shared" si="433"/>
        <v>4928</v>
      </c>
      <c r="M4326" s="920">
        <f t="shared" si="434"/>
        <v>41.986559999999997</v>
      </c>
      <c r="N4326" s="920">
        <f t="shared" si="435"/>
        <v>28</v>
      </c>
      <c r="O4326" s="918" t="str">
        <f t="shared" si="436"/>
        <v>Mar</v>
      </c>
      <c r="P4326" s="921">
        <f t="shared" si="437"/>
        <v>11</v>
      </c>
    </row>
    <row r="4327" spans="1:16" ht="15" hidden="1" customHeight="1">
      <c r="A4327" s="839">
        <v>68817801</v>
      </c>
      <c r="B4327" s="839">
        <v>2904</v>
      </c>
      <c r="C4327" s="906">
        <v>7295</v>
      </c>
      <c r="D4327" s="907">
        <v>46091</v>
      </c>
      <c r="E4327" s="839" t="s">
        <v>333</v>
      </c>
      <c r="F4327" s="839" t="s">
        <v>269</v>
      </c>
      <c r="G4327" s="916">
        <f>VLOOKUP($A4327,'Tech Litons'!$A:$I,8,FALSE)</f>
        <v>8.5199999999999998E-3</v>
      </c>
      <c r="H4327" s="917">
        <f>VLOOKUP($A4327,'Tech Litons'!$A:$I,9,FALSE)</f>
        <v>176</v>
      </c>
      <c r="I4327" s="917" t="str">
        <f>VLOOKUP($A4327,'Tech Litons'!$A:$C,3,0)</f>
        <v>48oz</v>
      </c>
      <c r="J4327" s="918" t="str">
        <f t="shared" si="432"/>
        <v>290448oz</v>
      </c>
      <c r="K4327" s="919">
        <v>1</v>
      </c>
      <c r="L4327" s="920">
        <f t="shared" si="433"/>
        <v>7295</v>
      </c>
      <c r="M4327" s="920">
        <f t="shared" si="434"/>
        <v>62.153399999999998</v>
      </c>
      <c r="N4327" s="920">
        <f t="shared" si="435"/>
        <v>41.448863636363633</v>
      </c>
      <c r="O4327" s="918" t="str">
        <f t="shared" si="436"/>
        <v>Mar</v>
      </c>
      <c r="P4327" s="921">
        <f t="shared" si="437"/>
        <v>11</v>
      </c>
    </row>
    <row r="4328" spans="1:16" ht="15" hidden="1" customHeight="1">
      <c r="A4328" s="839">
        <v>68817801</v>
      </c>
      <c r="B4328" s="839">
        <v>2904</v>
      </c>
      <c r="C4328" s="906">
        <v>5808</v>
      </c>
      <c r="D4328" s="907">
        <v>46092</v>
      </c>
      <c r="E4328" s="839" t="s">
        <v>333</v>
      </c>
      <c r="F4328" s="839" t="s">
        <v>269</v>
      </c>
      <c r="G4328" s="916">
        <f>VLOOKUP($A4328,'Tech Litons'!$A:$I,8,FALSE)</f>
        <v>8.5199999999999998E-3</v>
      </c>
      <c r="H4328" s="917">
        <f>VLOOKUP($A4328,'Tech Litons'!$A:$I,9,FALSE)</f>
        <v>176</v>
      </c>
      <c r="I4328" s="917" t="str">
        <f>VLOOKUP($A4328,'Tech Litons'!$A:$C,3,0)</f>
        <v>48oz</v>
      </c>
      <c r="J4328" s="918" t="str">
        <f t="shared" si="432"/>
        <v>290448oz</v>
      </c>
      <c r="K4328" s="919">
        <v>1</v>
      </c>
      <c r="L4328" s="920">
        <f t="shared" si="433"/>
        <v>5808</v>
      </c>
      <c r="M4328" s="920">
        <f t="shared" si="434"/>
        <v>49.484159999999996</v>
      </c>
      <c r="N4328" s="920">
        <f t="shared" si="435"/>
        <v>33</v>
      </c>
      <c r="O4328" s="918" t="str">
        <f t="shared" si="436"/>
        <v>Mar</v>
      </c>
      <c r="P4328" s="921">
        <f t="shared" si="437"/>
        <v>11</v>
      </c>
    </row>
    <row r="4329" spans="1:16" ht="15" hidden="1" customHeight="1">
      <c r="A4329" s="839">
        <v>68817801</v>
      </c>
      <c r="B4329" s="839">
        <v>2904</v>
      </c>
      <c r="C4329" s="906">
        <v>8258</v>
      </c>
      <c r="D4329" s="907">
        <v>46092</v>
      </c>
      <c r="E4329" s="839" t="s">
        <v>333</v>
      </c>
      <c r="F4329" s="839" t="s">
        <v>269</v>
      </c>
      <c r="G4329" s="916">
        <f>VLOOKUP($A4329,'Tech Litons'!$A:$I,8,FALSE)</f>
        <v>8.5199999999999998E-3</v>
      </c>
      <c r="H4329" s="917">
        <f>VLOOKUP($A4329,'Tech Litons'!$A:$I,9,FALSE)</f>
        <v>176</v>
      </c>
      <c r="I4329" s="917" t="str">
        <f>VLOOKUP($A4329,'Tech Litons'!$A:$C,3,0)</f>
        <v>48oz</v>
      </c>
      <c r="J4329" s="918" t="str">
        <f t="shared" si="432"/>
        <v>290448oz</v>
      </c>
      <c r="K4329" s="919">
        <v>1</v>
      </c>
      <c r="L4329" s="920">
        <f t="shared" si="433"/>
        <v>8258</v>
      </c>
      <c r="M4329" s="920">
        <f t="shared" si="434"/>
        <v>70.358159999999998</v>
      </c>
      <c r="N4329" s="920">
        <f t="shared" si="435"/>
        <v>46.920454545454547</v>
      </c>
      <c r="O4329" s="918" t="str">
        <f t="shared" si="436"/>
        <v>Mar</v>
      </c>
      <c r="P4329" s="921">
        <f t="shared" si="437"/>
        <v>11</v>
      </c>
    </row>
    <row r="4330" spans="1:16" ht="15" hidden="1" customHeight="1">
      <c r="A4330" s="839">
        <v>68817801</v>
      </c>
      <c r="B4330" s="839">
        <v>2904</v>
      </c>
      <c r="C4330" s="906">
        <v>6801</v>
      </c>
      <c r="D4330" s="907">
        <v>46093</v>
      </c>
      <c r="E4330" s="839" t="s">
        <v>333</v>
      </c>
      <c r="F4330" s="839" t="s">
        <v>269</v>
      </c>
      <c r="G4330" s="916">
        <f>VLOOKUP($A4330,'Tech Litons'!$A:$I,8,FALSE)</f>
        <v>8.5199999999999998E-3</v>
      </c>
      <c r="H4330" s="917">
        <f>VLOOKUP($A4330,'Tech Litons'!$A:$I,9,FALSE)</f>
        <v>176</v>
      </c>
      <c r="I4330" s="917" t="str">
        <f>VLOOKUP($A4330,'Tech Litons'!$A:$C,3,0)</f>
        <v>48oz</v>
      </c>
      <c r="J4330" s="918" t="str">
        <f t="shared" si="432"/>
        <v>290448oz</v>
      </c>
      <c r="K4330" s="919">
        <v>1</v>
      </c>
      <c r="L4330" s="920">
        <f t="shared" si="433"/>
        <v>6801</v>
      </c>
      <c r="M4330" s="920">
        <f t="shared" si="434"/>
        <v>57.944519999999997</v>
      </c>
      <c r="N4330" s="920">
        <f t="shared" si="435"/>
        <v>38.642045454545453</v>
      </c>
      <c r="O4330" s="918" t="str">
        <f t="shared" si="436"/>
        <v>Mar</v>
      </c>
      <c r="P4330" s="921">
        <f t="shared" si="437"/>
        <v>11</v>
      </c>
    </row>
    <row r="4331" spans="1:16" ht="15" hidden="1" customHeight="1">
      <c r="A4331" s="839">
        <v>68817801</v>
      </c>
      <c r="B4331" s="839">
        <v>2904</v>
      </c>
      <c r="C4331" s="906">
        <v>5132</v>
      </c>
      <c r="D4331" s="907">
        <v>46093</v>
      </c>
      <c r="E4331" s="839" t="s">
        <v>333</v>
      </c>
      <c r="F4331" s="839" t="s">
        <v>269</v>
      </c>
      <c r="G4331" s="916">
        <f>VLOOKUP($A4331,'Tech Litons'!$A:$I,8,FALSE)</f>
        <v>8.5199999999999998E-3</v>
      </c>
      <c r="H4331" s="917">
        <f>VLOOKUP($A4331,'Tech Litons'!$A:$I,9,FALSE)</f>
        <v>176</v>
      </c>
      <c r="I4331" s="917" t="str">
        <f>VLOOKUP($A4331,'Tech Litons'!$A:$C,3,0)</f>
        <v>48oz</v>
      </c>
      <c r="J4331" s="918" t="str">
        <f t="shared" si="432"/>
        <v>290448oz</v>
      </c>
      <c r="K4331" s="919">
        <v>1</v>
      </c>
      <c r="L4331" s="920">
        <f t="shared" si="433"/>
        <v>5132</v>
      </c>
      <c r="M4331" s="920">
        <f t="shared" si="434"/>
        <v>43.724640000000001</v>
      </c>
      <c r="N4331" s="920">
        <f t="shared" si="435"/>
        <v>29.15909090909091</v>
      </c>
      <c r="O4331" s="918" t="str">
        <f t="shared" si="436"/>
        <v>Mar</v>
      </c>
      <c r="P4331" s="921">
        <f t="shared" si="437"/>
        <v>11</v>
      </c>
    </row>
    <row r="4332" spans="1:16" ht="15" hidden="1" customHeight="1">
      <c r="A4332" s="839">
        <v>68817801</v>
      </c>
      <c r="B4332" s="839">
        <v>2904</v>
      </c>
      <c r="C4332" s="906">
        <v>5766</v>
      </c>
      <c r="D4332" s="907">
        <v>46097</v>
      </c>
      <c r="E4332" s="839" t="s">
        <v>333</v>
      </c>
      <c r="F4332" s="839" t="s">
        <v>269</v>
      </c>
      <c r="G4332" s="916">
        <f>VLOOKUP($A4332,'Tech Litons'!$A:$I,8,FALSE)</f>
        <v>8.5199999999999998E-3</v>
      </c>
      <c r="H4332" s="917">
        <f>VLOOKUP($A4332,'Tech Litons'!$A:$I,9,FALSE)</f>
        <v>176</v>
      </c>
      <c r="I4332" s="917" t="str">
        <f>VLOOKUP($A4332,'Tech Litons'!$A:$C,3,0)</f>
        <v>48oz</v>
      </c>
      <c r="J4332" s="918" t="str">
        <f t="shared" si="432"/>
        <v>290448oz</v>
      </c>
      <c r="K4332" s="919">
        <v>1</v>
      </c>
      <c r="L4332" s="920">
        <f t="shared" si="433"/>
        <v>5766</v>
      </c>
      <c r="M4332" s="920">
        <f t="shared" si="434"/>
        <v>49.12632</v>
      </c>
      <c r="N4332" s="920">
        <f t="shared" si="435"/>
        <v>32.761363636363633</v>
      </c>
      <c r="O4332" s="918" t="str">
        <f t="shared" si="436"/>
        <v>Mar</v>
      </c>
      <c r="P4332" s="921">
        <f t="shared" si="437"/>
        <v>12</v>
      </c>
    </row>
    <row r="4333" spans="1:16" ht="15" hidden="1" customHeight="1">
      <c r="A4333" s="839">
        <v>68817801</v>
      </c>
      <c r="B4333" s="839">
        <v>2904</v>
      </c>
      <c r="C4333" s="906">
        <v>528</v>
      </c>
      <c r="D4333" s="907">
        <v>46098</v>
      </c>
      <c r="E4333" s="839" t="s">
        <v>333</v>
      </c>
      <c r="F4333" s="839" t="s">
        <v>269</v>
      </c>
      <c r="G4333" s="916">
        <f>VLOOKUP($A4333,'Tech Litons'!$A:$I,8,FALSE)</f>
        <v>8.5199999999999998E-3</v>
      </c>
      <c r="H4333" s="917">
        <f>VLOOKUP($A4333,'Tech Litons'!$A:$I,9,FALSE)</f>
        <v>176</v>
      </c>
      <c r="I4333" s="917" t="str">
        <f>VLOOKUP($A4333,'Tech Litons'!$A:$C,3,0)</f>
        <v>48oz</v>
      </c>
      <c r="J4333" s="918" t="str">
        <f t="shared" si="432"/>
        <v>290448oz</v>
      </c>
      <c r="K4333" s="919">
        <v>1</v>
      </c>
      <c r="L4333" s="920">
        <f t="shared" si="433"/>
        <v>528</v>
      </c>
      <c r="M4333" s="920">
        <f t="shared" si="434"/>
        <v>4.4985599999999994</v>
      </c>
      <c r="N4333" s="920">
        <f t="shared" si="435"/>
        <v>3</v>
      </c>
      <c r="O4333" s="918" t="str">
        <f t="shared" si="436"/>
        <v>Mar</v>
      </c>
      <c r="P4333" s="921">
        <f t="shared" si="437"/>
        <v>12</v>
      </c>
    </row>
    <row r="4334" spans="1:16" ht="15" hidden="1" customHeight="1">
      <c r="A4334" s="839">
        <v>68821728</v>
      </c>
      <c r="B4334" s="839">
        <v>2904</v>
      </c>
      <c r="C4334" s="906">
        <v>2152</v>
      </c>
      <c r="D4334" s="907">
        <v>46087</v>
      </c>
      <c r="E4334" s="839" t="s">
        <v>386</v>
      </c>
      <c r="F4334" s="839" t="s">
        <v>269</v>
      </c>
      <c r="G4334" s="916">
        <f>VLOOKUP($A4334,'Tech Litons'!$A:$I,8,FALSE)</f>
        <v>8.5199999999999998E-3</v>
      </c>
      <c r="H4334" s="917">
        <f>VLOOKUP($A4334,'Tech Litons'!$A:$I,9,FALSE)</f>
        <v>176</v>
      </c>
      <c r="I4334" s="917" t="str">
        <f>VLOOKUP($A4334,'Tech Litons'!$A:$C,3,0)</f>
        <v>48oz</v>
      </c>
      <c r="J4334" s="918" t="str">
        <f t="shared" si="432"/>
        <v>290448oz</v>
      </c>
      <c r="K4334" s="919">
        <v>1</v>
      </c>
      <c r="L4334" s="920">
        <f t="shared" si="433"/>
        <v>2152</v>
      </c>
      <c r="M4334" s="920">
        <f t="shared" si="434"/>
        <v>18.335039999999999</v>
      </c>
      <c r="N4334" s="920">
        <f t="shared" si="435"/>
        <v>12.227272727272727</v>
      </c>
      <c r="O4334" s="918" t="str">
        <f t="shared" si="436"/>
        <v>Mar</v>
      </c>
      <c r="P4334" s="921">
        <f t="shared" si="437"/>
        <v>10</v>
      </c>
    </row>
    <row r="4335" spans="1:16" ht="15" hidden="1" customHeight="1">
      <c r="A4335" s="839">
        <v>68821728</v>
      </c>
      <c r="B4335" s="839">
        <v>2904</v>
      </c>
      <c r="C4335" s="906">
        <v>6688</v>
      </c>
      <c r="D4335" s="907">
        <v>46087</v>
      </c>
      <c r="E4335" s="839" t="s">
        <v>386</v>
      </c>
      <c r="F4335" s="839" t="s">
        <v>269</v>
      </c>
      <c r="G4335" s="916">
        <f>VLOOKUP($A4335,'Tech Litons'!$A:$I,8,FALSE)</f>
        <v>8.5199999999999998E-3</v>
      </c>
      <c r="H4335" s="917">
        <f>VLOOKUP($A4335,'Tech Litons'!$A:$I,9,FALSE)</f>
        <v>176</v>
      </c>
      <c r="I4335" s="917" t="str">
        <f>VLOOKUP($A4335,'Tech Litons'!$A:$C,3,0)</f>
        <v>48oz</v>
      </c>
      <c r="J4335" s="918" t="str">
        <f t="shared" si="432"/>
        <v>290448oz</v>
      </c>
      <c r="K4335" s="919">
        <v>1</v>
      </c>
      <c r="L4335" s="920">
        <f t="shared" si="433"/>
        <v>6688</v>
      </c>
      <c r="M4335" s="920">
        <f t="shared" si="434"/>
        <v>56.981760000000001</v>
      </c>
      <c r="N4335" s="920">
        <f t="shared" si="435"/>
        <v>38</v>
      </c>
      <c r="O4335" s="918" t="str">
        <f t="shared" si="436"/>
        <v>Mar</v>
      </c>
      <c r="P4335" s="921">
        <f t="shared" si="437"/>
        <v>10</v>
      </c>
    </row>
    <row r="4336" spans="1:16" ht="15" hidden="1" customHeight="1">
      <c r="A4336" s="839">
        <v>68821728</v>
      </c>
      <c r="B4336" s="839">
        <v>2904</v>
      </c>
      <c r="C4336" s="906">
        <v>6516</v>
      </c>
      <c r="D4336" s="907">
        <v>46088</v>
      </c>
      <c r="E4336" s="839" t="s">
        <v>386</v>
      </c>
      <c r="F4336" s="839" t="s">
        <v>269</v>
      </c>
      <c r="G4336" s="916">
        <f>VLOOKUP($A4336,'Tech Litons'!$A:$I,8,FALSE)</f>
        <v>8.5199999999999998E-3</v>
      </c>
      <c r="H4336" s="917">
        <f>VLOOKUP($A4336,'Tech Litons'!$A:$I,9,FALSE)</f>
        <v>176</v>
      </c>
      <c r="I4336" s="917" t="str">
        <f>VLOOKUP($A4336,'Tech Litons'!$A:$C,3,0)</f>
        <v>48oz</v>
      </c>
      <c r="J4336" s="918" t="str">
        <f t="shared" si="432"/>
        <v>290448oz</v>
      </c>
      <c r="K4336" s="919">
        <v>1</v>
      </c>
      <c r="L4336" s="920">
        <f t="shared" si="433"/>
        <v>6516</v>
      </c>
      <c r="M4336" s="920">
        <f t="shared" si="434"/>
        <v>55.51632</v>
      </c>
      <c r="N4336" s="920">
        <f t="shared" si="435"/>
        <v>37.022727272727273</v>
      </c>
      <c r="O4336" s="918" t="str">
        <f t="shared" si="436"/>
        <v>Mar</v>
      </c>
      <c r="P4336" s="921">
        <f t="shared" si="437"/>
        <v>10</v>
      </c>
    </row>
    <row r="4337" spans="1:16" ht="15" hidden="1" customHeight="1">
      <c r="A4337" s="839">
        <v>68821728</v>
      </c>
      <c r="B4337" s="839">
        <v>2904</v>
      </c>
      <c r="C4337" s="906">
        <v>6336</v>
      </c>
      <c r="D4337" s="907">
        <v>46088</v>
      </c>
      <c r="E4337" s="839" t="s">
        <v>386</v>
      </c>
      <c r="F4337" s="839" t="s">
        <v>269</v>
      </c>
      <c r="G4337" s="916">
        <f>VLOOKUP($A4337,'Tech Litons'!$A:$I,8,FALSE)</f>
        <v>8.5199999999999998E-3</v>
      </c>
      <c r="H4337" s="917">
        <f>VLOOKUP($A4337,'Tech Litons'!$A:$I,9,FALSE)</f>
        <v>176</v>
      </c>
      <c r="I4337" s="917" t="str">
        <f>VLOOKUP($A4337,'Tech Litons'!$A:$C,3,0)</f>
        <v>48oz</v>
      </c>
      <c r="J4337" s="918" t="str">
        <f t="shared" si="432"/>
        <v>290448oz</v>
      </c>
      <c r="K4337" s="919">
        <v>1</v>
      </c>
      <c r="L4337" s="920">
        <f t="shared" si="433"/>
        <v>6336</v>
      </c>
      <c r="M4337" s="920">
        <f t="shared" si="434"/>
        <v>53.98272</v>
      </c>
      <c r="N4337" s="920">
        <f t="shared" si="435"/>
        <v>36</v>
      </c>
      <c r="O4337" s="918" t="str">
        <f t="shared" si="436"/>
        <v>Mar</v>
      </c>
      <c r="P4337" s="921">
        <f t="shared" si="437"/>
        <v>10</v>
      </c>
    </row>
    <row r="4338" spans="1:16" ht="15" hidden="1" customHeight="1">
      <c r="A4338" s="839">
        <v>68821728</v>
      </c>
      <c r="B4338" s="839">
        <v>2904</v>
      </c>
      <c r="C4338" s="906">
        <v>5894</v>
      </c>
      <c r="D4338" s="907">
        <v>46089</v>
      </c>
      <c r="E4338" s="839" t="s">
        <v>386</v>
      </c>
      <c r="F4338" s="839" t="s">
        <v>269</v>
      </c>
      <c r="G4338" s="916">
        <f>VLOOKUP($A4338,'Tech Litons'!$A:$I,8,FALSE)</f>
        <v>8.5199999999999998E-3</v>
      </c>
      <c r="H4338" s="917">
        <f>VLOOKUP($A4338,'Tech Litons'!$A:$I,9,FALSE)</f>
        <v>176</v>
      </c>
      <c r="I4338" s="917" t="str">
        <f>VLOOKUP($A4338,'Tech Litons'!$A:$C,3,0)</f>
        <v>48oz</v>
      </c>
      <c r="J4338" s="918" t="str">
        <f t="shared" ref="J4338:J4401" si="438">B4338&amp;I4338</f>
        <v>290448oz</v>
      </c>
      <c r="K4338" s="919">
        <v>1</v>
      </c>
      <c r="L4338" s="920">
        <f t="shared" ref="L4338:L4401" si="439">C4338*$K4338</f>
        <v>5894</v>
      </c>
      <c r="M4338" s="920">
        <f t="shared" ref="M4338:M4401" si="440">L4338*G4338</f>
        <v>50.216879999999996</v>
      </c>
      <c r="N4338" s="920">
        <f t="shared" ref="N4338:N4401" si="441">L4338/H4338</f>
        <v>33.488636363636367</v>
      </c>
      <c r="O4338" s="918" t="str">
        <f t="shared" ref="O4338:O4401" si="442">TEXT(D4338,"MMM")</f>
        <v>Mar</v>
      </c>
      <c r="P4338" s="921">
        <f t="shared" ref="P4338:P4401" si="443">WEEKNUM(D4338)</f>
        <v>11</v>
      </c>
    </row>
    <row r="4339" spans="1:16" ht="15" hidden="1" customHeight="1">
      <c r="A4339" s="839">
        <v>68821728</v>
      </c>
      <c r="B4339" s="839">
        <v>2904</v>
      </c>
      <c r="C4339" s="906">
        <v>-9</v>
      </c>
      <c r="D4339" s="907">
        <v>46100</v>
      </c>
      <c r="E4339" s="839" t="s">
        <v>386</v>
      </c>
      <c r="F4339" s="839" t="s">
        <v>269</v>
      </c>
      <c r="G4339" s="916">
        <f>VLOOKUP($A4339,'Tech Litons'!$A:$I,8,FALSE)</f>
        <v>8.5199999999999998E-3</v>
      </c>
      <c r="H4339" s="917">
        <f>VLOOKUP($A4339,'Tech Litons'!$A:$I,9,FALSE)</f>
        <v>176</v>
      </c>
      <c r="I4339" s="917" t="str">
        <f>VLOOKUP($A4339,'Tech Litons'!$A:$C,3,0)</f>
        <v>48oz</v>
      </c>
      <c r="J4339" s="918" t="str">
        <f t="shared" si="438"/>
        <v>290448oz</v>
      </c>
      <c r="K4339" s="919">
        <v>1</v>
      </c>
      <c r="L4339" s="920">
        <f t="shared" si="439"/>
        <v>-9</v>
      </c>
      <c r="M4339" s="920">
        <f t="shared" si="440"/>
        <v>-7.6679999999999998E-2</v>
      </c>
      <c r="N4339" s="920">
        <f t="shared" si="441"/>
        <v>-5.113636363636364E-2</v>
      </c>
      <c r="O4339" s="918" t="str">
        <f t="shared" si="442"/>
        <v>Mar</v>
      </c>
      <c r="P4339" s="921">
        <f t="shared" si="443"/>
        <v>12</v>
      </c>
    </row>
    <row r="4340" spans="1:16" ht="15" hidden="1" customHeight="1">
      <c r="A4340" s="839">
        <v>68821728</v>
      </c>
      <c r="B4340" s="839">
        <v>2904</v>
      </c>
      <c r="C4340" s="906">
        <v>4282</v>
      </c>
      <c r="D4340" s="907">
        <v>46089</v>
      </c>
      <c r="E4340" s="839" t="s">
        <v>386</v>
      </c>
      <c r="F4340" s="839" t="s">
        <v>1333</v>
      </c>
      <c r="G4340" s="916">
        <f>VLOOKUP($A4340,'Tech Litons'!$A:$I,8,FALSE)</f>
        <v>8.5199999999999998E-3</v>
      </c>
      <c r="H4340" s="917">
        <f>VLOOKUP($A4340,'Tech Litons'!$A:$I,9,FALSE)</f>
        <v>176</v>
      </c>
      <c r="I4340" s="917" t="str">
        <f>VLOOKUP($A4340,'Tech Litons'!$A:$C,3,0)</f>
        <v>48oz</v>
      </c>
      <c r="J4340" s="918" t="str">
        <f t="shared" si="438"/>
        <v>290448oz</v>
      </c>
      <c r="K4340" s="919">
        <v>1</v>
      </c>
      <c r="L4340" s="920">
        <f t="shared" si="439"/>
        <v>4282</v>
      </c>
      <c r="M4340" s="920">
        <f t="shared" si="440"/>
        <v>36.482639999999996</v>
      </c>
      <c r="N4340" s="920">
        <f t="shared" si="441"/>
        <v>24.329545454545453</v>
      </c>
      <c r="O4340" s="918" t="str">
        <f t="shared" si="442"/>
        <v>Mar</v>
      </c>
      <c r="P4340" s="921">
        <f t="shared" si="443"/>
        <v>11</v>
      </c>
    </row>
    <row r="4341" spans="1:16" ht="15" hidden="1" customHeight="1">
      <c r="A4341" s="839">
        <v>68821734</v>
      </c>
      <c r="B4341" s="839">
        <v>2904</v>
      </c>
      <c r="C4341" s="906">
        <v>704</v>
      </c>
      <c r="D4341" s="907">
        <v>46097</v>
      </c>
      <c r="E4341" s="839" t="s">
        <v>370</v>
      </c>
      <c r="F4341" s="839" t="s">
        <v>273</v>
      </c>
      <c r="G4341" s="916">
        <f>VLOOKUP($A4341,'Tech Litons'!$A:$I,8,FALSE)</f>
        <v>8.5199999999999998E-3</v>
      </c>
      <c r="H4341" s="917">
        <f>VLOOKUP($A4341,'Tech Litons'!$A:$I,9,FALSE)</f>
        <v>176</v>
      </c>
      <c r="I4341" s="917" t="str">
        <f>VLOOKUP($A4341,'Tech Litons'!$A:$C,3,0)</f>
        <v>48oz</v>
      </c>
      <c r="J4341" s="918" t="str">
        <f t="shared" si="438"/>
        <v>290448oz</v>
      </c>
      <c r="K4341" s="919">
        <v>1</v>
      </c>
      <c r="L4341" s="920">
        <f t="shared" si="439"/>
        <v>704</v>
      </c>
      <c r="M4341" s="920">
        <f t="shared" si="440"/>
        <v>5.9980799999999999</v>
      </c>
      <c r="N4341" s="920">
        <f t="shared" si="441"/>
        <v>4</v>
      </c>
      <c r="O4341" s="918" t="str">
        <f t="shared" si="442"/>
        <v>Mar</v>
      </c>
      <c r="P4341" s="921">
        <f t="shared" si="443"/>
        <v>12</v>
      </c>
    </row>
    <row r="4342" spans="1:16" ht="15" hidden="1" customHeight="1">
      <c r="A4342" s="839">
        <v>68821734</v>
      </c>
      <c r="B4342" s="839">
        <v>2904</v>
      </c>
      <c r="C4342" s="906">
        <v>9680</v>
      </c>
      <c r="D4342" s="907">
        <v>46097</v>
      </c>
      <c r="E4342" s="839" t="s">
        <v>370</v>
      </c>
      <c r="F4342" s="839" t="s">
        <v>273</v>
      </c>
      <c r="G4342" s="916">
        <f>VLOOKUP($A4342,'Tech Litons'!$A:$I,8,FALSE)</f>
        <v>8.5199999999999998E-3</v>
      </c>
      <c r="H4342" s="917">
        <f>VLOOKUP($A4342,'Tech Litons'!$A:$I,9,FALSE)</f>
        <v>176</v>
      </c>
      <c r="I4342" s="917" t="str">
        <f>VLOOKUP($A4342,'Tech Litons'!$A:$C,3,0)</f>
        <v>48oz</v>
      </c>
      <c r="J4342" s="918" t="str">
        <f t="shared" si="438"/>
        <v>290448oz</v>
      </c>
      <c r="K4342" s="919">
        <v>1</v>
      </c>
      <c r="L4342" s="920">
        <f t="shared" si="439"/>
        <v>9680</v>
      </c>
      <c r="M4342" s="920">
        <f t="shared" si="440"/>
        <v>82.473600000000005</v>
      </c>
      <c r="N4342" s="920">
        <f t="shared" si="441"/>
        <v>55</v>
      </c>
      <c r="O4342" s="918" t="str">
        <f t="shared" si="442"/>
        <v>Mar</v>
      </c>
      <c r="P4342" s="921">
        <f t="shared" si="443"/>
        <v>12</v>
      </c>
    </row>
    <row r="4343" spans="1:16" ht="15" hidden="1" customHeight="1">
      <c r="A4343" s="839">
        <v>68821734</v>
      </c>
      <c r="B4343" s="839">
        <v>2904</v>
      </c>
      <c r="C4343" s="906">
        <v>8448</v>
      </c>
      <c r="D4343" s="907">
        <v>46098</v>
      </c>
      <c r="E4343" s="839" t="s">
        <v>370</v>
      </c>
      <c r="F4343" s="839" t="s">
        <v>273</v>
      </c>
      <c r="G4343" s="916">
        <f>VLOOKUP($A4343,'Tech Litons'!$A:$I,8,FALSE)</f>
        <v>8.5199999999999998E-3</v>
      </c>
      <c r="H4343" s="917">
        <f>VLOOKUP($A4343,'Tech Litons'!$A:$I,9,FALSE)</f>
        <v>176</v>
      </c>
      <c r="I4343" s="917" t="str">
        <f>VLOOKUP($A4343,'Tech Litons'!$A:$C,3,0)</f>
        <v>48oz</v>
      </c>
      <c r="J4343" s="918" t="str">
        <f t="shared" si="438"/>
        <v>290448oz</v>
      </c>
      <c r="K4343" s="919">
        <v>1</v>
      </c>
      <c r="L4343" s="920">
        <f t="shared" si="439"/>
        <v>8448</v>
      </c>
      <c r="M4343" s="920">
        <f t="shared" si="440"/>
        <v>71.976959999999991</v>
      </c>
      <c r="N4343" s="920">
        <f t="shared" si="441"/>
        <v>48</v>
      </c>
      <c r="O4343" s="918" t="str">
        <f t="shared" si="442"/>
        <v>Mar</v>
      </c>
      <c r="P4343" s="921">
        <f t="shared" si="443"/>
        <v>12</v>
      </c>
    </row>
    <row r="4344" spans="1:16" ht="15" hidden="1" customHeight="1">
      <c r="A4344" s="839">
        <v>68821734</v>
      </c>
      <c r="B4344" s="839">
        <v>2904</v>
      </c>
      <c r="C4344" s="906">
        <v>12320</v>
      </c>
      <c r="D4344" s="907">
        <v>46098</v>
      </c>
      <c r="E4344" s="839" t="s">
        <v>370</v>
      </c>
      <c r="F4344" s="839" t="s">
        <v>273</v>
      </c>
      <c r="G4344" s="916">
        <f>VLOOKUP($A4344,'Tech Litons'!$A:$I,8,FALSE)</f>
        <v>8.5199999999999998E-3</v>
      </c>
      <c r="H4344" s="917">
        <f>VLOOKUP($A4344,'Tech Litons'!$A:$I,9,FALSE)</f>
        <v>176</v>
      </c>
      <c r="I4344" s="917" t="str">
        <f>VLOOKUP($A4344,'Tech Litons'!$A:$C,3,0)</f>
        <v>48oz</v>
      </c>
      <c r="J4344" s="918" t="str">
        <f t="shared" si="438"/>
        <v>290448oz</v>
      </c>
      <c r="K4344" s="919">
        <v>1</v>
      </c>
      <c r="L4344" s="920">
        <f t="shared" si="439"/>
        <v>12320</v>
      </c>
      <c r="M4344" s="920">
        <f t="shared" si="440"/>
        <v>104.96639999999999</v>
      </c>
      <c r="N4344" s="920">
        <f t="shared" si="441"/>
        <v>70</v>
      </c>
      <c r="O4344" s="918" t="str">
        <f t="shared" si="442"/>
        <v>Mar</v>
      </c>
      <c r="P4344" s="921">
        <f t="shared" si="443"/>
        <v>12</v>
      </c>
    </row>
    <row r="4345" spans="1:16" ht="15" hidden="1" customHeight="1">
      <c r="A4345" s="839">
        <v>68821734</v>
      </c>
      <c r="B4345" s="839">
        <v>2904</v>
      </c>
      <c r="C4345" s="906">
        <v>5199</v>
      </c>
      <c r="D4345" s="907">
        <v>46099</v>
      </c>
      <c r="E4345" s="839" t="s">
        <v>370</v>
      </c>
      <c r="F4345" s="839" t="s">
        <v>273</v>
      </c>
      <c r="G4345" s="916">
        <f>VLOOKUP($A4345,'Tech Litons'!$A:$I,8,FALSE)</f>
        <v>8.5199999999999998E-3</v>
      </c>
      <c r="H4345" s="917">
        <f>VLOOKUP($A4345,'Tech Litons'!$A:$I,9,FALSE)</f>
        <v>176</v>
      </c>
      <c r="I4345" s="917" t="str">
        <f>VLOOKUP($A4345,'Tech Litons'!$A:$C,3,0)</f>
        <v>48oz</v>
      </c>
      <c r="J4345" s="918" t="str">
        <f t="shared" si="438"/>
        <v>290448oz</v>
      </c>
      <c r="K4345" s="919">
        <v>1</v>
      </c>
      <c r="L4345" s="920">
        <f t="shared" si="439"/>
        <v>5199</v>
      </c>
      <c r="M4345" s="920">
        <f t="shared" si="440"/>
        <v>44.295479999999998</v>
      </c>
      <c r="N4345" s="920">
        <f t="shared" si="441"/>
        <v>29.539772727272727</v>
      </c>
      <c r="O4345" s="918" t="str">
        <f t="shared" si="442"/>
        <v>Mar</v>
      </c>
      <c r="P4345" s="921">
        <f t="shared" si="443"/>
        <v>12</v>
      </c>
    </row>
    <row r="4346" spans="1:16" ht="15" hidden="1" customHeight="1">
      <c r="A4346" s="839">
        <v>68821734</v>
      </c>
      <c r="B4346" s="839">
        <v>2904</v>
      </c>
      <c r="C4346" s="906">
        <v>176</v>
      </c>
      <c r="D4346" s="907">
        <v>46099</v>
      </c>
      <c r="E4346" s="839" t="s">
        <v>370</v>
      </c>
      <c r="F4346" s="839" t="s">
        <v>273</v>
      </c>
      <c r="G4346" s="916">
        <f>VLOOKUP($A4346,'Tech Litons'!$A:$I,8,FALSE)</f>
        <v>8.5199999999999998E-3</v>
      </c>
      <c r="H4346" s="917">
        <f>VLOOKUP($A4346,'Tech Litons'!$A:$I,9,FALSE)</f>
        <v>176</v>
      </c>
      <c r="I4346" s="917" t="str">
        <f>VLOOKUP($A4346,'Tech Litons'!$A:$C,3,0)</f>
        <v>48oz</v>
      </c>
      <c r="J4346" s="918" t="str">
        <f t="shared" si="438"/>
        <v>290448oz</v>
      </c>
      <c r="K4346" s="919">
        <v>1</v>
      </c>
      <c r="L4346" s="920">
        <f t="shared" si="439"/>
        <v>176</v>
      </c>
      <c r="M4346" s="920">
        <f t="shared" si="440"/>
        <v>1.49952</v>
      </c>
      <c r="N4346" s="920">
        <f t="shared" si="441"/>
        <v>1</v>
      </c>
      <c r="O4346" s="918" t="str">
        <f t="shared" si="442"/>
        <v>Mar</v>
      </c>
      <c r="P4346" s="921">
        <f t="shared" si="443"/>
        <v>12</v>
      </c>
    </row>
    <row r="4347" spans="1:16" ht="15" hidden="1" customHeight="1">
      <c r="A4347" s="839">
        <v>68821734</v>
      </c>
      <c r="B4347" s="839">
        <v>2904</v>
      </c>
      <c r="C4347" s="906">
        <v>4048</v>
      </c>
      <c r="D4347" s="907">
        <v>46100</v>
      </c>
      <c r="E4347" s="839" t="s">
        <v>370</v>
      </c>
      <c r="F4347" s="839" t="s">
        <v>273</v>
      </c>
      <c r="G4347" s="916">
        <f>VLOOKUP($A4347,'Tech Litons'!$A:$I,8,FALSE)</f>
        <v>8.5199999999999998E-3</v>
      </c>
      <c r="H4347" s="917">
        <f>VLOOKUP($A4347,'Tech Litons'!$A:$I,9,FALSE)</f>
        <v>176</v>
      </c>
      <c r="I4347" s="917" t="str">
        <f>VLOOKUP($A4347,'Tech Litons'!$A:$C,3,0)</f>
        <v>48oz</v>
      </c>
      <c r="J4347" s="918" t="str">
        <f t="shared" si="438"/>
        <v>290448oz</v>
      </c>
      <c r="K4347" s="919">
        <v>1</v>
      </c>
      <c r="L4347" s="920">
        <f t="shared" si="439"/>
        <v>4048</v>
      </c>
      <c r="M4347" s="920">
        <f t="shared" si="440"/>
        <v>34.488959999999999</v>
      </c>
      <c r="N4347" s="920">
        <f t="shared" si="441"/>
        <v>23</v>
      </c>
      <c r="O4347" s="918" t="str">
        <f t="shared" si="442"/>
        <v>Mar</v>
      </c>
      <c r="P4347" s="921">
        <f t="shared" si="443"/>
        <v>12</v>
      </c>
    </row>
    <row r="4348" spans="1:16" ht="15" hidden="1" customHeight="1">
      <c r="A4348" s="839">
        <v>68821734</v>
      </c>
      <c r="B4348" s="839">
        <v>2904</v>
      </c>
      <c r="C4348" s="906">
        <v>13200</v>
      </c>
      <c r="D4348" s="907">
        <v>46100</v>
      </c>
      <c r="E4348" s="839" t="s">
        <v>370</v>
      </c>
      <c r="F4348" s="839" t="s">
        <v>273</v>
      </c>
      <c r="G4348" s="916">
        <f>VLOOKUP($A4348,'Tech Litons'!$A:$I,8,FALSE)</f>
        <v>8.5199999999999998E-3</v>
      </c>
      <c r="H4348" s="917">
        <f>VLOOKUP($A4348,'Tech Litons'!$A:$I,9,FALSE)</f>
        <v>176</v>
      </c>
      <c r="I4348" s="917" t="str">
        <f>VLOOKUP($A4348,'Tech Litons'!$A:$C,3,0)</f>
        <v>48oz</v>
      </c>
      <c r="J4348" s="918" t="str">
        <f t="shared" si="438"/>
        <v>290448oz</v>
      </c>
      <c r="K4348" s="919">
        <v>1</v>
      </c>
      <c r="L4348" s="920">
        <f t="shared" si="439"/>
        <v>13200</v>
      </c>
      <c r="M4348" s="920">
        <f t="shared" si="440"/>
        <v>112.464</v>
      </c>
      <c r="N4348" s="920">
        <f t="shared" si="441"/>
        <v>75</v>
      </c>
      <c r="O4348" s="918" t="str">
        <f t="shared" si="442"/>
        <v>Mar</v>
      </c>
      <c r="P4348" s="921">
        <f t="shared" si="443"/>
        <v>12</v>
      </c>
    </row>
    <row r="4349" spans="1:16" ht="15" hidden="1" customHeight="1">
      <c r="A4349" s="839">
        <v>68821734</v>
      </c>
      <c r="B4349" s="839">
        <v>2904</v>
      </c>
      <c r="C4349" s="906">
        <v>11385</v>
      </c>
      <c r="D4349" s="907">
        <v>46101</v>
      </c>
      <c r="E4349" s="839" t="s">
        <v>370</v>
      </c>
      <c r="F4349" s="839" t="s">
        <v>273</v>
      </c>
      <c r="G4349" s="916">
        <f>VLOOKUP($A4349,'Tech Litons'!$A:$I,8,FALSE)</f>
        <v>8.5199999999999998E-3</v>
      </c>
      <c r="H4349" s="917">
        <f>VLOOKUP($A4349,'Tech Litons'!$A:$I,9,FALSE)</f>
        <v>176</v>
      </c>
      <c r="I4349" s="917" t="str">
        <f>VLOOKUP($A4349,'Tech Litons'!$A:$C,3,0)</f>
        <v>48oz</v>
      </c>
      <c r="J4349" s="918" t="str">
        <f t="shared" si="438"/>
        <v>290448oz</v>
      </c>
      <c r="K4349" s="919">
        <v>1</v>
      </c>
      <c r="L4349" s="920">
        <f t="shared" si="439"/>
        <v>11385</v>
      </c>
      <c r="M4349" s="920">
        <f t="shared" si="440"/>
        <v>97.000199999999992</v>
      </c>
      <c r="N4349" s="920">
        <f t="shared" si="441"/>
        <v>64.6875</v>
      </c>
      <c r="O4349" s="918" t="str">
        <f t="shared" si="442"/>
        <v>Mar</v>
      </c>
      <c r="P4349" s="921">
        <f t="shared" si="443"/>
        <v>12</v>
      </c>
    </row>
    <row r="4350" spans="1:16" ht="15" hidden="1" customHeight="1">
      <c r="A4350" s="839">
        <v>68821734</v>
      </c>
      <c r="B4350" s="839">
        <v>2904</v>
      </c>
      <c r="C4350" s="906">
        <v>9328</v>
      </c>
      <c r="D4350" s="907">
        <v>46101</v>
      </c>
      <c r="E4350" s="839" t="s">
        <v>370</v>
      </c>
      <c r="F4350" s="839" t="s">
        <v>273</v>
      </c>
      <c r="G4350" s="916">
        <f>VLOOKUP($A4350,'Tech Litons'!$A:$I,8,FALSE)</f>
        <v>8.5199999999999998E-3</v>
      </c>
      <c r="H4350" s="917">
        <f>VLOOKUP($A4350,'Tech Litons'!$A:$I,9,FALSE)</f>
        <v>176</v>
      </c>
      <c r="I4350" s="917" t="str">
        <f>VLOOKUP($A4350,'Tech Litons'!$A:$C,3,0)</f>
        <v>48oz</v>
      </c>
      <c r="J4350" s="918" t="str">
        <f t="shared" si="438"/>
        <v>290448oz</v>
      </c>
      <c r="K4350" s="919">
        <v>1</v>
      </c>
      <c r="L4350" s="920">
        <f t="shared" si="439"/>
        <v>9328</v>
      </c>
      <c r="M4350" s="920">
        <f t="shared" si="440"/>
        <v>79.474559999999997</v>
      </c>
      <c r="N4350" s="920">
        <f t="shared" si="441"/>
        <v>53</v>
      </c>
      <c r="O4350" s="918" t="str">
        <f t="shared" si="442"/>
        <v>Mar</v>
      </c>
      <c r="P4350" s="921">
        <f t="shared" si="443"/>
        <v>12</v>
      </c>
    </row>
    <row r="4351" spans="1:16" ht="15" hidden="1" customHeight="1">
      <c r="A4351" s="839">
        <v>68821734</v>
      </c>
      <c r="B4351" s="839">
        <v>2904</v>
      </c>
      <c r="C4351" s="906">
        <v>25</v>
      </c>
      <c r="D4351" s="907">
        <v>46102</v>
      </c>
      <c r="E4351" s="839" t="s">
        <v>370</v>
      </c>
      <c r="F4351" s="839" t="s">
        <v>273</v>
      </c>
      <c r="G4351" s="916">
        <f>VLOOKUP($A4351,'Tech Litons'!$A:$I,8,FALSE)</f>
        <v>8.5199999999999998E-3</v>
      </c>
      <c r="H4351" s="917">
        <f>VLOOKUP($A4351,'Tech Litons'!$A:$I,9,FALSE)</f>
        <v>176</v>
      </c>
      <c r="I4351" s="917" t="str">
        <f>VLOOKUP($A4351,'Tech Litons'!$A:$C,3,0)</f>
        <v>48oz</v>
      </c>
      <c r="J4351" s="918" t="str">
        <f t="shared" si="438"/>
        <v>290448oz</v>
      </c>
      <c r="K4351" s="919">
        <v>1</v>
      </c>
      <c r="L4351" s="920">
        <f t="shared" si="439"/>
        <v>25</v>
      </c>
      <c r="M4351" s="920">
        <f t="shared" si="440"/>
        <v>0.21299999999999999</v>
      </c>
      <c r="N4351" s="920">
        <f t="shared" si="441"/>
        <v>0.14204545454545456</v>
      </c>
      <c r="O4351" s="918" t="str">
        <f t="shared" si="442"/>
        <v>Mar</v>
      </c>
      <c r="P4351" s="921">
        <f t="shared" si="443"/>
        <v>12</v>
      </c>
    </row>
    <row r="4352" spans="1:16" ht="15" hidden="1" customHeight="1">
      <c r="A4352" s="839">
        <v>68821735</v>
      </c>
      <c r="B4352" s="839">
        <v>2904</v>
      </c>
      <c r="C4352" s="906">
        <v>6864</v>
      </c>
      <c r="D4352" s="907">
        <v>46090</v>
      </c>
      <c r="E4352" s="839" t="s">
        <v>318</v>
      </c>
      <c r="F4352" s="839" t="s">
        <v>269</v>
      </c>
      <c r="G4352" s="916">
        <f>VLOOKUP($A4352,'Tech Litons'!$A:$I,8,FALSE)</f>
        <v>8.5199999999999998E-3</v>
      </c>
      <c r="H4352" s="917">
        <f>VLOOKUP($A4352,'Tech Litons'!$A:$I,9,FALSE)</f>
        <v>176</v>
      </c>
      <c r="I4352" s="917" t="str">
        <f>VLOOKUP($A4352,'Tech Litons'!$A:$C,3,0)</f>
        <v>48oz</v>
      </c>
      <c r="J4352" s="918" t="str">
        <f t="shared" si="438"/>
        <v>290448oz</v>
      </c>
      <c r="K4352" s="919">
        <v>1</v>
      </c>
      <c r="L4352" s="920">
        <f t="shared" si="439"/>
        <v>6864</v>
      </c>
      <c r="M4352" s="920">
        <f t="shared" si="440"/>
        <v>58.481279999999998</v>
      </c>
      <c r="N4352" s="920">
        <f t="shared" si="441"/>
        <v>39</v>
      </c>
      <c r="O4352" s="918" t="str">
        <f t="shared" si="442"/>
        <v>Mar</v>
      </c>
      <c r="P4352" s="921">
        <f t="shared" si="443"/>
        <v>11</v>
      </c>
    </row>
    <row r="4353" spans="1:16" ht="15" hidden="1" customHeight="1">
      <c r="A4353" s="839">
        <v>68821735</v>
      </c>
      <c r="B4353" s="839">
        <v>2904</v>
      </c>
      <c r="C4353" s="906">
        <v>2992</v>
      </c>
      <c r="D4353" s="907">
        <v>46088</v>
      </c>
      <c r="E4353" s="839" t="s">
        <v>318</v>
      </c>
      <c r="F4353" s="839" t="s">
        <v>271</v>
      </c>
      <c r="G4353" s="916">
        <f>VLOOKUP($A4353,'Tech Litons'!$A:$I,8,FALSE)</f>
        <v>8.5199999999999998E-3</v>
      </c>
      <c r="H4353" s="917">
        <f>VLOOKUP($A4353,'Tech Litons'!$A:$I,9,FALSE)</f>
        <v>176</v>
      </c>
      <c r="I4353" s="917" t="str">
        <f>VLOOKUP($A4353,'Tech Litons'!$A:$C,3,0)</f>
        <v>48oz</v>
      </c>
      <c r="J4353" s="918" t="str">
        <f t="shared" si="438"/>
        <v>290448oz</v>
      </c>
      <c r="K4353" s="919">
        <v>1</v>
      </c>
      <c r="L4353" s="920">
        <f t="shared" si="439"/>
        <v>2992</v>
      </c>
      <c r="M4353" s="920">
        <f t="shared" si="440"/>
        <v>25.49184</v>
      </c>
      <c r="N4353" s="920">
        <f t="shared" si="441"/>
        <v>17</v>
      </c>
      <c r="O4353" s="918" t="str">
        <f t="shared" si="442"/>
        <v>Mar</v>
      </c>
      <c r="P4353" s="921">
        <f t="shared" si="443"/>
        <v>10</v>
      </c>
    </row>
    <row r="4354" spans="1:16" ht="15" hidden="1" customHeight="1">
      <c r="A4354" s="839">
        <v>68821735</v>
      </c>
      <c r="B4354" s="839">
        <v>2904</v>
      </c>
      <c r="C4354" s="906">
        <v>5225</v>
      </c>
      <c r="D4354" s="907">
        <v>46089</v>
      </c>
      <c r="E4354" s="839" t="s">
        <v>318</v>
      </c>
      <c r="F4354" s="839" t="s">
        <v>271</v>
      </c>
      <c r="G4354" s="916">
        <f>VLOOKUP($A4354,'Tech Litons'!$A:$I,8,FALSE)</f>
        <v>8.5199999999999998E-3</v>
      </c>
      <c r="H4354" s="917">
        <f>VLOOKUP($A4354,'Tech Litons'!$A:$I,9,FALSE)</f>
        <v>176</v>
      </c>
      <c r="I4354" s="917" t="str">
        <f>VLOOKUP($A4354,'Tech Litons'!$A:$C,3,0)</f>
        <v>48oz</v>
      </c>
      <c r="J4354" s="918" t="str">
        <f t="shared" si="438"/>
        <v>290448oz</v>
      </c>
      <c r="K4354" s="919">
        <v>1</v>
      </c>
      <c r="L4354" s="920">
        <f t="shared" si="439"/>
        <v>5225</v>
      </c>
      <c r="M4354" s="920">
        <f t="shared" si="440"/>
        <v>44.516999999999996</v>
      </c>
      <c r="N4354" s="920">
        <f t="shared" si="441"/>
        <v>29.6875</v>
      </c>
      <c r="O4354" s="918" t="str">
        <f t="shared" si="442"/>
        <v>Mar</v>
      </c>
      <c r="P4354" s="921">
        <f t="shared" si="443"/>
        <v>11</v>
      </c>
    </row>
    <row r="4355" spans="1:16" ht="15" hidden="1" customHeight="1">
      <c r="A4355" s="839">
        <v>68821735</v>
      </c>
      <c r="B4355" s="839">
        <v>2904</v>
      </c>
      <c r="C4355" s="906">
        <v>6988</v>
      </c>
      <c r="D4355" s="907">
        <v>46089</v>
      </c>
      <c r="E4355" s="839" t="s">
        <v>318</v>
      </c>
      <c r="F4355" s="839" t="s">
        <v>271</v>
      </c>
      <c r="G4355" s="916">
        <f>VLOOKUP($A4355,'Tech Litons'!$A:$I,8,FALSE)</f>
        <v>8.5199999999999998E-3</v>
      </c>
      <c r="H4355" s="917">
        <f>VLOOKUP($A4355,'Tech Litons'!$A:$I,9,FALSE)</f>
        <v>176</v>
      </c>
      <c r="I4355" s="917" t="str">
        <f>VLOOKUP($A4355,'Tech Litons'!$A:$C,3,0)</f>
        <v>48oz</v>
      </c>
      <c r="J4355" s="918" t="str">
        <f t="shared" si="438"/>
        <v>290448oz</v>
      </c>
      <c r="K4355" s="919">
        <v>1</v>
      </c>
      <c r="L4355" s="920">
        <f t="shared" si="439"/>
        <v>6988</v>
      </c>
      <c r="M4355" s="920">
        <f t="shared" si="440"/>
        <v>59.537759999999999</v>
      </c>
      <c r="N4355" s="920">
        <f t="shared" si="441"/>
        <v>39.704545454545453</v>
      </c>
      <c r="O4355" s="918" t="str">
        <f t="shared" si="442"/>
        <v>Mar</v>
      </c>
      <c r="P4355" s="921">
        <f t="shared" si="443"/>
        <v>11</v>
      </c>
    </row>
    <row r="4356" spans="1:16" ht="15" hidden="1" customHeight="1">
      <c r="A4356" s="839">
        <v>68821735</v>
      </c>
      <c r="B4356" s="839">
        <v>2904</v>
      </c>
      <c r="C4356" s="906">
        <v>5984</v>
      </c>
      <c r="D4356" s="907">
        <v>46090</v>
      </c>
      <c r="E4356" s="839" t="s">
        <v>318</v>
      </c>
      <c r="F4356" s="839" t="s">
        <v>271</v>
      </c>
      <c r="G4356" s="916">
        <f>VLOOKUP($A4356,'Tech Litons'!$A:$I,8,FALSE)</f>
        <v>8.5199999999999998E-3</v>
      </c>
      <c r="H4356" s="917">
        <f>VLOOKUP($A4356,'Tech Litons'!$A:$I,9,FALSE)</f>
        <v>176</v>
      </c>
      <c r="I4356" s="917" t="str">
        <f>VLOOKUP($A4356,'Tech Litons'!$A:$C,3,0)</f>
        <v>48oz</v>
      </c>
      <c r="J4356" s="918" t="str">
        <f t="shared" si="438"/>
        <v>290448oz</v>
      </c>
      <c r="K4356" s="919">
        <v>1</v>
      </c>
      <c r="L4356" s="920">
        <f t="shared" si="439"/>
        <v>5984</v>
      </c>
      <c r="M4356" s="920">
        <f t="shared" si="440"/>
        <v>50.98368</v>
      </c>
      <c r="N4356" s="920">
        <f t="shared" si="441"/>
        <v>34</v>
      </c>
      <c r="O4356" s="918" t="str">
        <f t="shared" si="442"/>
        <v>Mar</v>
      </c>
      <c r="P4356" s="921">
        <f t="shared" si="443"/>
        <v>11</v>
      </c>
    </row>
    <row r="4357" spans="1:16" ht="15" hidden="1" customHeight="1">
      <c r="A4357" s="839">
        <v>68821735</v>
      </c>
      <c r="B4357" s="839">
        <v>2904</v>
      </c>
      <c r="C4357" s="906">
        <v>7040</v>
      </c>
      <c r="D4357" s="907">
        <v>46105</v>
      </c>
      <c r="E4357" s="839" t="s">
        <v>318</v>
      </c>
      <c r="F4357" s="839" t="s">
        <v>269</v>
      </c>
      <c r="G4357" s="916">
        <f>VLOOKUP($A4357,'Tech Litons'!$A:$I,8,FALSE)</f>
        <v>8.5199999999999998E-3</v>
      </c>
      <c r="H4357" s="917">
        <f>VLOOKUP($A4357,'Tech Litons'!$A:$I,9,FALSE)</f>
        <v>176</v>
      </c>
      <c r="I4357" s="917" t="str">
        <f>VLOOKUP($A4357,'Tech Litons'!$A:$C,3,0)</f>
        <v>48oz</v>
      </c>
      <c r="J4357" s="918" t="str">
        <f t="shared" si="438"/>
        <v>290448oz</v>
      </c>
      <c r="K4357" s="919">
        <v>1</v>
      </c>
      <c r="L4357" s="920">
        <f t="shared" si="439"/>
        <v>7040</v>
      </c>
      <c r="M4357" s="920">
        <f t="shared" si="440"/>
        <v>59.980800000000002</v>
      </c>
      <c r="N4357" s="920">
        <f t="shared" si="441"/>
        <v>40</v>
      </c>
      <c r="O4357" s="918" t="str">
        <f t="shared" si="442"/>
        <v>Mar</v>
      </c>
      <c r="P4357" s="921">
        <f t="shared" si="443"/>
        <v>13</v>
      </c>
    </row>
    <row r="4358" spans="1:16" ht="15" hidden="1" customHeight="1">
      <c r="A4358" s="839">
        <v>68821735</v>
      </c>
      <c r="B4358" s="839">
        <v>2904</v>
      </c>
      <c r="C4358" s="906">
        <v>3120</v>
      </c>
      <c r="D4358" s="907">
        <v>46090</v>
      </c>
      <c r="E4358" s="839" t="s">
        <v>318</v>
      </c>
      <c r="F4358" s="839" t="s">
        <v>271</v>
      </c>
      <c r="G4358" s="916">
        <f>VLOOKUP($A4358,'Tech Litons'!$A:$I,8,FALSE)</f>
        <v>8.5199999999999998E-3</v>
      </c>
      <c r="H4358" s="917">
        <f>VLOOKUP($A4358,'Tech Litons'!$A:$I,9,FALSE)</f>
        <v>176</v>
      </c>
      <c r="I4358" s="917" t="str">
        <f>VLOOKUP($A4358,'Tech Litons'!$A:$C,3,0)</f>
        <v>48oz</v>
      </c>
      <c r="J4358" s="918" t="str">
        <f t="shared" si="438"/>
        <v>290448oz</v>
      </c>
      <c r="K4358" s="919">
        <v>1</v>
      </c>
      <c r="L4358" s="920">
        <f t="shared" si="439"/>
        <v>3120</v>
      </c>
      <c r="M4358" s="920">
        <f t="shared" si="440"/>
        <v>26.5824</v>
      </c>
      <c r="N4358" s="920">
        <f t="shared" si="441"/>
        <v>17.727272727272727</v>
      </c>
      <c r="O4358" s="918" t="str">
        <f t="shared" si="442"/>
        <v>Mar</v>
      </c>
      <c r="P4358" s="921">
        <f t="shared" si="443"/>
        <v>11</v>
      </c>
    </row>
    <row r="4359" spans="1:16" ht="15" hidden="1" customHeight="1">
      <c r="A4359" s="839">
        <v>68821735</v>
      </c>
      <c r="B4359" s="839">
        <v>2904</v>
      </c>
      <c r="C4359" s="906">
        <v>2659</v>
      </c>
      <c r="D4359" s="907">
        <v>46090</v>
      </c>
      <c r="E4359" s="839" t="s">
        <v>318</v>
      </c>
      <c r="F4359" s="839" t="s">
        <v>269</v>
      </c>
      <c r="G4359" s="916">
        <f>VLOOKUP($A4359,'Tech Litons'!$A:$I,8,FALSE)</f>
        <v>8.5199999999999998E-3</v>
      </c>
      <c r="H4359" s="917">
        <f>VLOOKUP($A4359,'Tech Litons'!$A:$I,9,FALSE)</f>
        <v>176</v>
      </c>
      <c r="I4359" s="917" t="str">
        <f>VLOOKUP($A4359,'Tech Litons'!$A:$C,3,0)</f>
        <v>48oz</v>
      </c>
      <c r="J4359" s="918" t="str">
        <f t="shared" si="438"/>
        <v>290448oz</v>
      </c>
      <c r="K4359" s="919">
        <v>1</v>
      </c>
      <c r="L4359" s="920">
        <f t="shared" si="439"/>
        <v>2659</v>
      </c>
      <c r="M4359" s="920">
        <f t="shared" si="440"/>
        <v>22.654679999999999</v>
      </c>
      <c r="N4359" s="920">
        <f t="shared" si="441"/>
        <v>15.107954545454545</v>
      </c>
      <c r="O4359" s="918" t="str">
        <f t="shared" si="442"/>
        <v>Mar</v>
      </c>
      <c r="P4359" s="921">
        <f t="shared" si="443"/>
        <v>11</v>
      </c>
    </row>
    <row r="4360" spans="1:16" ht="15" hidden="1" customHeight="1">
      <c r="A4360" s="839">
        <v>68821735</v>
      </c>
      <c r="B4360" s="839">
        <v>2904</v>
      </c>
      <c r="C4360" s="906">
        <v>704</v>
      </c>
      <c r="D4360" s="907">
        <v>46104</v>
      </c>
      <c r="E4360" s="839" t="s">
        <v>318</v>
      </c>
      <c r="F4360" s="839" t="s">
        <v>269</v>
      </c>
      <c r="G4360" s="916">
        <f>VLOOKUP($A4360,'Tech Litons'!$A:$I,8,FALSE)</f>
        <v>8.5199999999999998E-3</v>
      </c>
      <c r="H4360" s="917">
        <f>VLOOKUP($A4360,'Tech Litons'!$A:$I,9,FALSE)</f>
        <v>176</v>
      </c>
      <c r="I4360" s="917" t="str">
        <f>VLOOKUP($A4360,'Tech Litons'!$A:$C,3,0)</f>
        <v>48oz</v>
      </c>
      <c r="J4360" s="918" t="str">
        <f t="shared" si="438"/>
        <v>290448oz</v>
      </c>
      <c r="K4360" s="919">
        <v>1</v>
      </c>
      <c r="L4360" s="920">
        <f t="shared" si="439"/>
        <v>704</v>
      </c>
      <c r="M4360" s="920">
        <f t="shared" si="440"/>
        <v>5.9980799999999999</v>
      </c>
      <c r="N4360" s="920">
        <f t="shared" si="441"/>
        <v>4</v>
      </c>
      <c r="O4360" s="918" t="str">
        <f t="shared" si="442"/>
        <v>Mar</v>
      </c>
      <c r="P4360" s="921">
        <f t="shared" si="443"/>
        <v>13</v>
      </c>
    </row>
    <row r="4361" spans="1:16" ht="15" hidden="1" customHeight="1">
      <c r="A4361" s="839">
        <v>68821735</v>
      </c>
      <c r="B4361" s="839">
        <v>2904</v>
      </c>
      <c r="C4361" s="906">
        <v>5236</v>
      </c>
      <c r="D4361" s="907">
        <v>46105</v>
      </c>
      <c r="E4361" s="839" t="s">
        <v>318</v>
      </c>
      <c r="F4361" s="839" t="s">
        <v>269</v>
      </c>
      <c r="G4361" s="916">
        <f>VLOOKUP($A4361,'Tech Litons'!$A:$I,8,FALSE)</f>
        <v>8.5199999999999998E-3</v>
      </c>
      <c r="H4361" s="917">
        <f>VLOOKUP($A4361,'Tech Litons'!$A:$I,9,FALSE)</f>
        <v>176</v>
      </c>
      <c r="I4361" s="917" t="str">
        <f>VLOOKUP($A4361,'Tech Litons'!$A:$C,3,0)</f>
        <v>48oz</v>
      </c>
      <c r="J4361" s="918" t="str">
        <f t="shared" si="438"/>
        <v>290448oz</v>
      </c>
      <c r="K4361" s="919">
        <v>1</v>
      </c>
      <c r="L4361" s="920">
        <f t="shared" si="439"/>
        <v>5236</v>
      </c>
      <c r="M4361" s="920">
        <f t="shared" si="440"/>
        <v>44.610720000000001</v>
      </c>
      <c r="N4361" s="920">
        <f t="shared" si="441"/>
        <v>29.75</v>
      </c>
      <c r="O4361" s="918" t="str">
        <f t="shared" si="442"/>
        <v>Mar</v>
      </c>
      <c r="P4361" s="921">
        <f t="shared" si="443"/>
        <v>13</v>
      </c>
    </row>
    <row r="4362" spans="1:16" ht="15" hidden="1" customHeight="1">
      <c r="A4362" s="839">
        <v>68851104</v>
      </c>
      <c r="B4362" s="839">
        <v>2904</v>
      </c>
      <c r="C4362" s="906">
        <v>30</v>
      </c>
      <c r="D4362" s="907">
        <v>46076</v>
      </c>
      <c r="E4362" s="839" t="s">
        <v>270</v>
      </c>
      <c r="F4362" s="839" t="s">
        <v>269</v>
      </c>
      <c r="G4362" s="916">
        <f>VLOOKUP($A4362,'Tech Litons'!$A:$I,8,FALSE)</f>
        <v>8.5199999999999998E-3</v>
      </c>
      <c r="H4362" s="917">
        <f>VLOOKUP($A4362,'Tech Litons'!$A:$I,9,FALSE)</f>
        <v>176</v>
      </c>
      <c r="I4362" s="917" t="str">
        <f>VLOOKUP($A4362,'Tech Litons'!$A:$C,3,0)</f>
        <v>48oz</v>
      </c>
      <c r="J4362" s="918" t="str">
        <f t="shared" si="438"/>
        <v>290448oz</v>
      </c>
      <c r="K4362" s="919">
        <v>1</v>
      </c>
      <c r="L4362" s="920">
        <f t="shared" si="439"/>
        <v>30</v>
      </c>
      <c r="M4362" s="920">
        <f t="shared" si="440"/>
        <v>0.25559999999999999</v>
      </c>
      <c r="N4362" s="920">
        <f t="shared" si="441"/>
        <v>0.17045454545454544</v>
      </c>
      <c r="O4362" s="918" t="str">
        <f t="shared" si="442"/>
        <v>Feb</v>
      </c>
      <c r="P4362" s="921">
        <f t="shared" si="443"/>
        <v>9</v>
      </c>
    </row>
    <row r="4363" spans="1:16" ht="15" hidden="1" customHeight="1">
      <c r="A4363" s="839">
        <v>68851104</v>
      </c>
      <c r="B4363" s="839">
        <v>2904</v>
      </c>
      <c r="C4363" s="906">
        <v>3905</v>
      </c>
      <c r="D4363" s="907">
        <v>46097</v>
      </c>
      <c r="E4363" s="839" t="s">
        <v>270</v>
      </c>
      <c r="F4363" s="839" t="s">
        <v>269</v>
      </c>
      <c r="G4363" s="916">
        <f>VLOOKUP($A4363,'Tech Litons'!$A:$I,8,FALSE)</f>
        <v>8.5199999999999998E-3</v>
      </c>
      <c r="H4363" s="917">
        <f>VLOOKUP($A4363,'Tech Litons'!$A:$I,9,FALSE)</f>
        <v>176</v>
      </c>
      <c r="I4363" s="917" t="str">
        <f>VLOOKUP($A4363,'Tech Litons'!$A:$C,3,0)</f>
        <v>48oz</v>
      </c>
      <c r="J4363" s="918" t="str">
        <f t="shared" si="438"/>
        <v>290448oz</v>
      </c>
      <c r="K4363" s="919">
        <v>1</v>
      </c>
      <c r="L4363" s="920">
        <f t="shared" si="439"/>
        <v>3905</v>
      </c>
      <c r="M4363" s="920">
        <f t="shared" si="440"/>
        <v>33.270600000000002</v>
      </c>
      <c r="N4363" s="920">
        <f t="shared" si="441"/>
        <v>22.1875</v>
      </c>
      <c r="O4363" s="918" t="str">
        <f t="shared" si="442"/>
        <v>Mar</v>
      </c>
      <c r="P4363" s="921">
        <f t="shared" si="443"/>
        <v>12</v>
      </c>
    </row>
    <row r="4364" spans="1:16" ht="15" hidden="1" customHeight="1">
      <c r="A4364" s="839">
        <v>68851104</v>
      </c>
      <c r="B4364" s="839">
        <v>2904</v>
      </c>
      <c r="C4364" s="906">
        <v>5443</v>
      </c>
      <c r="D4364" s="907">
        <v>46098</v>
      </c>
      <c r="E4364" s="839" t="s">
        <v>270</v>
      </c>
      <c r="F4364" s="839" t="s">
        <v>269</v>
      </c>
      <c r="G4364" s="916">
        <f>VLOOKUP($A4364,'Tech Litons'!$A:$I,8,FALSE)</f>
        <v>8.5199999999999998E-3</v>
      </c>
      <c r="H4364" s="917">
        <f>VLOOKUP($A4364,'Tech Litons'!$A:$I,9,FALSE)</f>
        <v>176</v>
      </c>
      <c r="I4364" s="917" t="str">
        <f>VLOOKUP($A4364,'Tech Litons'!$A:$C,3,0)</f>
        <v>48oz</v>
      </c>
      <c r="J4364" s="918" t="str">
        <f t="shared" si="438"/>
        <v>290448oz</v>
      </c>
      <c r="K4364" s="919">
        <v>1</v>
      </c>
      <c r="L4364" s="920">
        <f t="shared" si="439"/>
        <v>5443</v>
      </c>
      <c r="M4364" s="920">
        <f t="shared" si="440"/>
        <v>46.374359999999996</v>
      </c>
      <c r="N4364" s="920">
        <f t="shared" si="441"/>
        <v>30.926136363636363</v>
      </c>
      <c r="O4364" s="918" t="str">
        <f t="shared" si="442"/>
        <v>Mar</v>
      </c>
      <c r="P4364" s="921">
        <f t="shared" si="443"/>
        <v>12</v>
      </c>
    </row>
    <row r="4365" spans="1:16" ht="15" hidden="1" customHeight="1">
      <c r="A4365" s="839">
        <v>68851104</v>
      </c>
      <c r="B4365" s="839">
        <v>2904</v>
      </c>
      <c r="C4365" s="906">
        <v>-98</v>
      </c>
      <c r="D4365" s="907">
        <v>46100</v>
      </c>
      <c r="E4365" s="839" t="s">
        <v>270</v>
      </c>
      <c r="F4365" s="839" t="s">
        <v>269</v>
      </c>
      <c r="G4365" s="916">
        <f>VLOOKUP($A4365,'Tech Litons'!$A:$I,8,FALSE)</f>
        <v>8.5199999999999998E-3</v>
      </c>
      <c r="H4365" s="917">
        <f>VLOOKUP($A4365,'Tech Litons'!$A:$I,9,FALSE)</f>
        <v>176</v>
      </c>
      <c r="I4365" s="917" t="str">
        <f>VLOOKUP($A4365,'Tech Litons'!$A:$C,3,0)</f>
        <v>48oz</v>
      </c>
      <c r="J4365" s="918" t="str">
        <f t="shared" si="438"/>
        <v>290448oz</v>
      </c>
      <c r="K4365" s="919">
        <v>1</v>
      </c>
      <c r="L4365" s="920">
        <f t="shared" si="439"/>
        <v>-98</v>
      </c>
      <c r="M4365" s="920">
        <f t="shared" si="440"/>
        <v>-0.83495999999999992</v>
      </c>
      <c r="N4365" s="920">
        <f t="shared" si="441"/>
        <v>-0.55681818181818177</v>
      </c>
      <c r="O4365" s="918" t="str">
        <f t="shared" si="442"/>
        <v>Mar</v>
      </c>
      <c r="P4365" s="921">
        <f t="shared" si="443"/>
        <v>12</v>
      </c>
    </row>
    <row r="4366" spans="1:16" ht="15" hidden="1" customHeight="1">
      <c r="A4366" s="839">
        <v>68851104</v>
      </c>
      <c r="B4366" s="839">
        <v>2904</v>
      </c>
      <c r="C4366" s="906">
        <v>7920</v>
      </c>
      <c r="D4366" s="907">
        <v>46098</v>
      </c>
      <c r="E4366" s="839" t="s">
        <v>270</v>
      </c>
      <c r="F4366" s="839" t="s">
        <v>269</v>
      </c>
      <c r="G4366" s="916">
        <f>VLOOKUP($A4366,'Tech Litons'!$A:$I,8,FALSE)</f>
        <v>8.5199999999999998E-3</v>
      </c>
      <c r="H4366" s="917">
        <f>VLOOKUP($A4366,'Tech Litons'!$A:$I,9,FALSE)</f>
        <v>176</v>
      </c>
      <c r="I4366" s="917" t="str">
        <f>VLOOKUP($A4366,'Tech Litons'!$A:$C,3,0)</f>
        <v>48oz</v>
      </c>
      <c r="J4366" s="918" t="str">
        <f t="shared" si="438"/>
        <v>290448oz</v>
      </c>
      <c r="K4366" s="919">
        <v>1</v>
      </c>
      <c r="L4366" s="920">
        <f t="shared" si="439"/>
        <v>7920</v>
      </c>
      <c r="M4366" s="920">
        <f t="shared" si="440"/>
        <v>67.478399999999993</v>
      </c>
      <c r="N4366" s="920">
        <f t="shared" si="441"/>
        <v>45</v>
      </c>
      <c r="O4366" s="918" t="str">
        <f t="shared" si="442"/>
        <v>Mar</v>
      </c>
      <c r="P4366" s="921">
        <f t="shared" si="443"/>
        <v>12</v>
      </c>
    </row>
    <row r="4367" spans="1:16" ht="15" hidden="1" customHeight="1">
      <c r="A4367" s="839">
        <v>68851104</v>
      </c>
      <c r="B4367" s="839">
        <v>2904</v>
      </c>
      <c r="C4367" s="906">
        <v>5632</v>
      </c>
      <c r="D4367" s="907">
        <v>46099</v>
      </c>
      <c r="E4367" s="839" t="s">
        <v>270</v>
      </c>
      <c r="F4367" s="839" t="s">
        <v>269</v>
      </c>
      <c r="G4367" s="916">
        <f>VLOOKUP($A4367,'Tech Litons'!$A:$I,8,FALSE)</f>
        <v>8.5199999999999998E-3</v>
      </c>
      <c r="H4367" s="917">
        <f>VLOOKUP($A4367,'Tech Litons'!$A:$I,9,FALSE)</f>
        <v>176</v>
      </c>
      <c r="I4367" s="917" t="str">
        <f>VLOOKUP($A4367,'Tech Litons'!$A:$C,3,0)</f>
        <v>48oz</v>
      </c>
      <c r="J4367" s="918" t="str">
        <f t="shared" si="438"/>
        <v>290448oz</v>
      </c>
      <c r="K4367" s="919">
        <v>1</v>
      </c>
      <c r="L4367" s="920">
        <f t="shared" si="439"/>
        <v>5632</v>
      </c>
      <c r="M4367" s="920">
        <f t="shared" si="440"/>
        <v>47.984639999999999</v>
      </c>
      <c r="N4367" s="920">
        <f t="shared" si="441"/>
        <v>32</v>
      </c>
      <c r="O4367" s="918" t="str">
        <f t="shared" si="442"/>
        <v>Mar</v>
      </c>
      <c r="P4367" s="921">
        <f t="shared" si="443"/>
        <v>12</v>
      </c>
    </row>
    <row r="4368" spans="1:16" ht="15" hidden="1" customHeight="1">
      <c r="A4368" s="839">
        <v>68851104</v>
      </c>
      <c r="B4368" s="839">
        <v>2904</v>
      </c>
      <c r="C4368" s="906">
        <v>634</v>
      </c>
      <c r="D4368" s="907">
        <v>46099</v>
      </c>
      <c r="E4368" s="839" t="s">
        <v>270</v>
      </c>
      <c r="F4368" s="839" t="s">
        <v>269</v>
      </c>
      <c r="G4368" s="916">
        <f>VLOOKUP($A4368,'Tech Litons'!$A:$I,8,FALSE)</f>
        <v>8.5199999999999998E-3</v>
      </c>
      <c r="H4368" s="917">
        <f>VLOOKUP($A4368,'Tech Litons'!$A:$I,9,FALSE)</f>
        <v>176</v>
      </c>
      <c r="I4368" s="917" t="str">
        <f>VLOOKUP($A4368,'Tech Litons'!$A:$C,3,0)</f>
        <v>48oz</v>
      </c>
      <c r="J4368" s="918" t="str">
        <f t="shared" si="438"/>
        <v>290448oz</v>
      </c>
      <c r="K4368" s="919">
        <v>1</v>
      </c>
      <c r="L4368" s="920">
        <f t="shared" si="439"/>
        <v>634</v>
      </c>
      <c r="M4368" s="920">
        <f t="shared" si="440"/>
        <v>5.4016799999999998</v>
      </c>
      <c r="N4368" s="920">
        <f t="shared" si="441"/>
        <v>3.6022727272727271</v>
      </c>
      <c r="O4368" s="918" t="str">
        <f t="shared" si="442"/>
        <v>Mar</v>
      </c>
      <c r="P4368" s="921">
        <f t="shared" si="443"/>
        <v>12</v>
      </c>
    </row>
    <row r="4369" spans="1:16" ht="15" hidden="1" customHeight="1">
      <c r="A4369" s="839">
        <v>68851104</v>
      </c>
      <c r="B4369" s="839">
        <v>2904</v>
      </c>
      <c r="C4369" s="906">
        <v>1232</v>
      </c>
      <c r="D4369" s="907">
        <v>46100</v>
      </c>
      <c r="E4369" s="839" t="s">
        <v>270</v>
      </c>
      <c r="F4369" s="839" t="s">
        <v>269</v>
      </c>
      <c r="G4369" s="916">
        <f>VLOOKUP($A4369,'Tech Litons'!$A:$I,8,FALSE)</f>
        <v>8.5199999999999998E-3</v>
      </c>
      <c r="H4369" s="917">
        <f>VLOOKUP($A4369,'Tech Litons'!$A:$I,9,FALSE)</f>
        <v>176</v>
      </c>
      <c r="I4369" s="917" t="str">
        <f>VLOOKUP($A4369,'Tech Litons'!$A:$C,3,0)</f>
        <v>48oz</v>
      </c>
      <c r="J4369" s="918" t="str">
        <f t="shared" si="438"/>
        <v>290448oz</v>
      </c>
      <c r="K4369" s="919">
        <v>1</v>
      </c>
      <c r="L4369" s="920">
        <f t="shared" si="439"/>
        <v>1232</v>
      </c>
      <c r="M4369" s="920">
        <f t="shared" si="440"/>
        <v>10.496639999999999</v>
      </c>
      <c r="N4369" s="920">
        <f t="shared" si="441"/>
        <v>7</v>
      </c>
      <c r="O4369" s="918" t="str">
        <f t="shared" si="442"/>
        <v>Mar</v>
      </c>
      <c r="P4369" s="921">
        <f t="shared" si="443"/>
        <v>12</v>
      </c>
    </row>
    <row r="4370" spans="1:16" ht="15" hidden="1" customHeight="1">
      <c r="A4370" s="839">
        <v>68851104</v>
      </c>
      <c r="B4370" s="839">
        <v>2904</v>
      </c>
      <c r="C4370" s="906">
        <v>7524</v>
      </c>
      <c r="D4370" s="907">
        <v>46100</v>
      </c>
      <c r="E4370" s="839" t="s">
        <v>270</v>
      </c>
      <c r="F4370" s="839" t="s">
        <v>269</v>
      </c>
      <c r="G4370" s="916">
        <f>VLOOKUP($A4370,'Tech Litons'!$A:$I,8,FALSE)</f>
        <v>8.5199999999999998E-3</v>
      </c>
      <c r="H4370" s="917">
        <f>VLOOKUP($A4370,'Tech Litons'!$A:$I,9,FALSE)</f>
        <v>176</v>
      </c>
      <c r="I4370" s="917" t="str">
        <f>VLOOKUP($A4370,'Tech Litons'!$A:$C,3,0)</f>
        <v>48oz</v>
      </c>
      <c r="J4370" s="918" t="str">
        <f t="shared" si="438"/>
        <v>290448oz</v>
      </c>
      <c r="K4370" s="919">
        <v>1</v>
      </c>
      <c r="L4370" s="920">
        <f t="shared" si="439"/>
        <v>7524</v>
      </c>
      <c r="M4370" s="920">
        <f t="shared" si="440"/>
        <v>64.104479999999995</v>
      </c>
      <c r="N4370" s="920">
        <f t="shared" si="441"/>
        <v>42.75</v>
      </c>
      <c r="O4370" s="918" t="str">
        <f t="shared" si="442"/>
        <v>Mar</v>
      </c>
      <c r="P4370" s="921">
        <f t="shared" si="443"/>
        <v>12</v>
      </c>
    </row>
    <row r="4371" spans="1:16" ht="15" hidden="1" customHeight="1">
      <c r="A4371" s="839">
        <v>68851104</v>
      </c>
      <c r="B4371" s="839">
        <v>2904</v>
      </c>
      <c r="C4371" s="906">
        <v>7139</v>
      </c>
      <c r="D4371" s="907">
        <v>46101</v>
      </c>
      <c r="E4371" s="839" t="s">
        <v>270</v>
      </c>
      <c r="F4371" s="839" t="s">
        <v>269</v>
      </c>
      <c r="G4371" s="916">
        <f>VLOOKUP($A4371,'Tech Litons'!$A:$I,8,FALSE)</f>
        <v>8.5199999999999998E-3</v>
      </c>
      <c r="H4371" s="917">
        <f>VLOOKUP($A4371,'Tech Litons'!$A:$I,9,FALSE)</f>
        <v>176</v>
      </c>
      <c r="I4371" s="917" t="str">
        <f>VLOOKUP($A4371,'Tech Litons'!$A:$C,3,0)</f>
        <v>48oz</v>
      </c>
      <c r="J4371" s="918" t="str">
        <f t="shared" si="438"/>
        <v>290448oz</v>
      </c>
      <c r="K4371" s="919">
        <v>1</v>
      </c>
      <c r="L4371" s="920">
        <f t="shared" si="439"/>
        <v>7139</v>
      </c>
      <c r="M4371" s="920">
        <f t="shared" si="440"/>
        <v>60.824280000000002</v>
      </c>
      <c r="N4371" s="920">
        <f t="shared" si="441"/>
        <v>40.5625</v>
      </c>
      <c r="O4371" s="918" t="str">
        <f t="shared" si="442"/>
        <v>Mar</v>
      </c>
      <c r="P4371" s="921">
        <f t="shared" si="443"/>
        <v>12</v>
      </c>
    </row>
    <row r="4372" spans="1:16" ht="15" hidden="1" customHeight="1">
      <c r="A4372" s="839">
        <v>68851104</v>
      </c>
      <c r="B4372" s="839">
        <v>2904</v>
      </c>
      <c r="C4372" s="906">
        <v>176</v>
      </c>
      <c r="D4372" s="907">
        <v>46076</v>
      </c>
      <c r="E4372" s="839" t="s">
        <v>270</v>
      </c>
      <c r="F4372" s="839" t="s">
        <v>271</v>
      </c>
      <c r="G4372" s="916">
        <f>VLOOKUP($A4372,'Tech Litons'!$A:$I,8,FALSE)</f>
        <v>8.5199999999999998E-3</v>
      </c>
      <c r="H4372" s="917">
        <f>VLOOKUP($A4372,'Tech Litons'!$A:$I,9,FALSE)</f>
        <v>176</v>
      </c>
      <c r="I4372" s="917" t="str">
        <f>VLOOKUP($A4372,'Tech Litons'!$A:$C,3,0)</f>
        <v>48oz</v>
      </c>
      <c r="J4372" s="918" t="str">
        <f t="shared" si="438"/>
        <v>290448oz</v>
      </c>
      <c r="K4372" s="919">
        <v>1</v>
      </c>
      <c r="L4372" s="920">
        <f t="shared" si="439"/>
        <v>176</v>
      </c>
      <c r="M4372" s="920">
        <f t="shared" si="440"/>
        <v>1.49952</v>
      </c>
      <c r="N4372" s="920">
        <f t="shared" si="441"/>
        <v>1</v>
      </c>
      <c r="O4372" s="918" t="str">
        <f t="shared" si="442"/>
        <v>Feb</v>
      </c>
      <c r="P4372" s="921">
        <f t="shared" si="443"/>
        <v>9</v>
      </c>
    </row>
    <row r="4373" spans="1:16" ht="15" hidden="1" customHeight="1">
      <c r="A4373" s="839">
        <v>68851104</v>
      </c>
      <c r="B4373" s="839">
        <v>2904</v>
      </c>
      <c r="C4373" s="906">
        <v>5341</v>
      </c>
      <c r="D4373" s="907">
        <v>46076</v>
      </c>
      <c r="E4373" s="839" t="s">
        <v>270</v>
      </c>
      <c r="F4373" s="839" t="s">
        <v>271</v>
      </c>
      <c r="G4373" s="916">
        <f>VLOOKUP($A4373,'Tech Litons'!$A:$I,8,FALSE)</f>
        <v>8.5199999999999998E-3</v>
      </c>
      <c r="H4373" s="917">
        <f>VLOOKUP($A4373,'Tech Litons'!$A:$I,9,FALSE)</f>
        <v>176</v>
      </c>
      <c r="I4373" s="917" t="str">
        <f>VLOOKUP($A4373,'Tech Litons'!$A:$C,3,0)</f>
        <v>48oz</v>
      </c>
      <c r="J4373" s="918" t="str">
        <f t="shared" si="438"/>
        <v>290448oz</v>
      </c>
      <c r="K4373" s="919">
        <v>1</v>
      </c>
      <c r="L4373" s="920">
        <f t="shared" si="439"/>
        <v>5341</v>
      </c>
      <c r="M4373" s="920">
        <f t="shared" si="440"/>
        <v>45.505319999999998</v>
      </c>
      <c r="N4373" s="920">
        <f t="shared" si="441"/>
        <v>30.34659090909091</v>
      </c>
      <c r="O4373" s="918" t="str">
        <f t="shared" si="442"/>
        <v>Feb</v>
      </c>
      <c r="P4373" s="921">
        <f t="shared" si="443"/>
        <v>9</v>
      </c>
    </row>
    <row r="4374" spans="1:16" ht="15" hidden="1" customHeight="1">
      <c r="A4374" s="839">
        <v>68851104</v>
      </c>
      <c r="B4374" s="839">
        <v>2904</v>
      </c>
      <c r="C4374" s="906">
        <v>7216</v>
      </c>
      <c r="D4374" s="907">
        <v>46077</v>
      </c>
      <c r="E4374" s="839" t="s">
        <v>270</v>
      </c>
      <c r="F4374" s="839" t="s">
        <v>271</v>
      </c>
      <c r="G4374" s="916">
        <f>VLOOKUP($A4374,'Tech Litons'!$A:$I,8,FALSE)</f>
        <v>8.5199999999999998E-3</v>
      </c>
      <c r="H4374" s="917">
        <f>VLOOKUP($A4374,'Tech Litons'!$A:$I,9,FALSE)</f>
        <v>176</v>
      </c>
      <c r="I4374" s="917" t="str">
        <f>VLOOKUP($A4374,'Tech Litons'!$A:$C,3,0)</f>
        <v>48oz</v>
      </c>
      <c r="J4374" s="918" t="str">
        <f t="shared" si="438"/>
        <v>290448oz</v>
      </c>
      <c r="K4374" s="919">
        <v>1</v>
      </c>
      <c r="L4374" s="920">
        <f t="shared" si="439"/>
        <v>7216</v>
      </c>
      <c r="M4374" s="920">
        <f t="shared" si="440"/>
        <v>61.480319999999999</v>
      </c>
      <c r="N4374" s="920">
        <f t="shared" si="441"/>
        <v>41</v>
      </c>
      <c r="O4374" s="918" t="str">
        <f t="shared" si="442"/>
        <v>Feb</v>
      </c>
      <c r="P4374" s="921">
        <f t="shared" si="443"/>
        <v>9</v>
      </c>
    </row>
    <row r="4375" spans="1:16" ht="15" hidden="1" customHeight="1">
      <c r="A4375" s="839">
        <v>68851104</v>
      </c>
      <c r="B4375" s="839">
        <v>2904</v>
      </c>
      <c r="C4375" s="906">
        <v>1149</v>
      </c>
      <c r="D4375" s="907">
        <v>46077</v>
      </c>
      <c r="E4375" s="839" t="s">
        <v>270</v>
      </c>
      <c r="F4375" s="839" t="s">
        <v>271</v>
      </c>
      <c r="G4375" s="916">
        <f>VLOOKUP($A4375,'Tech Litons'!$A:$I,8,FALSE)</f>
        <v>8.5199999999999998E-3</v>
      </c>
      <c r="H4375" s="917">
        <f>VLOOKUP($A4375,'Tech Litons'!$A:$I,9,FALSE)</f>
        <v>176</v>
      </c>
      <c r="I4375" s="917" t="str">
        <f>VLOOKUP($A4375,'Tech Litons'!$A:$C,3,0)</f>
        <v>48oz</v>
      </c>
      <c r="J4375" s="918" t="str">
        <f t="shared" si="438"/>
        <v>290448oz</v>
      </c>
      <c r="K4375" s="919">
        <v>1</v>
      </c>
      <c r="L4375" s="920">
        <f t="shared" si="439"/>
        <v>1149</v>
      </c>
      <c r="M4375" s="920">
        <f t="shared" si="440"/>
        <v>9.7894799999999993</v>
      </c>
      <c r="N4375" s="920">
        <f t="shared" si="441"/>
        <v>6.5284090909090908</v>
      </c>
      <c r="O4375" s="918" t="str">
        <f t="shared" si="442"/>
        <v>Feb</v>
      </c>
      <c r="P4375" s="921">
        <f t="shared" si="443"/>
        <v>9</v>
      </c>
    </row>
    <row r="4376" spans="1:16" ht="15" hidden="1" customHeight="1">
      <c r="A4376" s="839">
        <v>68851104</v>
      </c>
      <c r="B4376" s="839">
        <v>2904</v>
      </c>
      <c r="C4376" s="906">
        <v>352</v>
      </c>
      <c r="D4376" s="907">
        <v>46078</v>
      </c>
      <c r="E4376" s="839" t="s">
        <v>270</v>
      </c>
      <c r="F4376" s="839" t="s">
        <v>271</v>
      </c>
      <c r="G4376" s="916">
        <f>VLOOKUP($A4376,'Tech Litons'!$A:$I,8,FALSE)</f>
        <v>8.5199999999999998E-3</v>
      </c>
      <c r="H4376" s="917">
        <f>VLOOKUP($A4376,'Tech Litons'!$A:$I,9,FALSE)</f>
        <v>176</v>
      </c>
      <c r="I4376" s="917" t="str">
        <f>VLOOKUP($A4376,'Tech Litons'!$A:$C,3,0)</f>
        <v>48oz</v>
      </c>
      <c r="J4376" s="918" t="str">
        <f t="shared" si="438"/>
        <v>290448oz</v>
      </c>
      <c r="K4376" s="919">
        <v>1</v>
      </c>
      <c r="L4376" s="920">
        <f t="shared" si="439"/>
        <v>352</v>
      </c>
      <c r="M4376" s="920">
        <f t="shared" si="440"/>
        <v>2.9990399999999999</v>
      </c>
      <c r="N4376" s="920">
        <f t="shared" si="441"/>
        <v>2</v>
      </c>
      <c r="O4376" s="918" t="str">
        <f t="shared" si="442"/>
        <v>Feb</v>
      </c>
      <c r="P4376" s="921">
        <f t="shared" si="443"/>
        <v>9</v>
      </c>
    </row>
    <row r="4377" spans="1:16" ht="15" hidden="1" customHeight="1">
      <c r="A4377" s="839">
        <v>68851104</v>
      </c>
      <c r="B4377" s="839">
        <v>2904</v>
      </c>
      <c r="C4377" s="906">
        <v>141</v>
      </c>
      <c r="D4377" s="907">
        <v>46098</v>
      </c>
      <c r="E4377" s="839" t="s">
        <v>270</v>
      </c>
      <c r="F4377" s="839" t="s">
        <v>269</v>
      </c>
      <c r="G4377" s="916">
        <f>VLOOKUP($A4377,'Tech Litons'!$A:$I,8,FALSE)</f>
        <v>8.5199999999999998E-3</v>
      </c>
      <c r="H4377" s="917">
        <f>VLOOKUP($A4377,'Tech Litons'!$A:$I,9,FALSE)</f>
        <v>176</v>
      </c>
      <c r="I4377" s="917" t="str">
        <f>VLOOKUP($A4377,'Tech Litons'!$A:$C,3,0)</f>
        <v>48oz</v>
      </c>
      <c r="J4377" s="918" t="str">
        <f t="shared" si="438"/>
        <v>290448oz</v>
      </c>
      <c r="K4377" s="919">
        <v>1</v>
      </c>
      <c r="L4377" s="920">
        <f t="shared" si="439"/>
        <v>141</v>
      </c>
      <c r="M4377" s="920">
        <f t="shared" si="440"/>
        <v>1.2013199999999999</v>
      </c>
      <c r="N4377" s="920">
        <f t="shared" si="441"/>
        <v>0.80113636363636365</v>
      </c>
      <c r="O4377" s="918" t="str">
        <f t="shared" si="442"/>
        <v>Mar</v>
      </c>
      <c r="P4377" s="921">
        <f t="shared" si="443"/>
        <v>12</v>
      </c>
    </row>
    <row r="4378" spans="1:16" ht="15" hidden="1" customHeight="1">
      <c r="A4378" s="839">
        <v>68851104</v>
      </c>
      <c r="B4378" s="839">
        <v>2904</v>
      </c>
      <c r="C4378" s="906">
        <v>3591</v>
      </c>
      <c r="D4378" s="907">
        <v>46101</v>
      </c>
      <c r="E4378" s="839" t="s">
        <v>270</v>
      </c>
      <c r="F4378" s="839" t="s">
        <v>269</v>
      </c>
      <c r="G4378" s="916">
        <f>VLOOKUP($A4378,'Tech Litons'!$A:$I,8,FALSE)</f>
        <v>8.5199999999999998E-3</v>
      </c>
      <c r="H4378" s="917">
        <f>VLOOKUP($A4378,'Tech Litons'!$A:$I,9,FALSE)</f>
        <v>176</v>
      </c>
      <c r="I4378" s="917" t="str">
        <f>VLOOKUP($A4378,'Tech Litons'!$A:$C,3,0)</f>
        <v>48oz</v>
      </c>
      <c r="J4378" s="918" t="str">
        <f t="shared" si="438"/>
        <v>290448oz</v>
      </c>
      <c r="K4378" s="919">
        <v>1</v>
      </c>
      <c r="L4378" s="920">
        <f t="shared" si="439"/>
        <v>3591</v>
      </c>
      <c r="M4378" s="920">
        <f t="shared" si="440"/>
        <v>30.595320000000001</v>
      </c>
      <c r="N4378" s="920">
        <f t="shared" si="441"/>
        <v>20.40340909090909</v>
      </c>
      <c r="O4378" s="918" t="str">
        <f t="shared" si="442"/>
        <v>Mar</v>
      </c>
      <c r="P4378" s="921">
        <f t="shared" si="443"/>
        <v>12</v>
      </c>
    </row>
    <row r="4379" spans="1:16" ht="15" hidden="1" customHeight="1">
      <c r="A4379" s="839">
        <v>68851105</v>
      </c>
      <c r="B4379" s="839">
        <v>2904</v>
      </c>
      <c r="C4379" s="906">
        <v>-45</v>
      </c>
      <c r="D4379" s="907">
        <v>46076</v>
      </c>
      <c r="E4379" s="839" t="s">
        <v>400</v>
      </c>
      <c r="F4379" s="839" t="s">
        <v>273</v>
      </c>
      <c r="G4379" s="916">
        <f>VLOOKUP($A4379,'Tech Litons'!$A:$I,8,FALSE)</f>
        <v>8.5199999999999998E-3</v>
      </c>
      <c r="H4379" s="917">
        <f>VLOOKUP($A4379,'Tech Litons'!$A:$I,9,FALSE)</f>
        <v>154</v>
      </c>
      <c r="I4379" s="917" t="str">
        <f>VLOOKUP($A4379,'Tech Litons'!$A:$C,3,0)</f>
        <v>48oz</v>
      </c>
      <c r="J4379" s="918" t="str">
        <f t="shared" si="438"/>
        <v>290448oz</v>
      </c>
      <c r="K4379" s="919">
        <v>1</v>
      </c>
      <c r="L4379" s="920">
        <f t="shared" si="439"/>
        <v>-45</v>
      </c>
      <c r="M4379" s="920">
        <f t="shared" si="440"/>
        <v>-0.38339999999999996</v>
      </c>
      <c r="N4379" s="920">
        <f t="shared" si="441"/>
        <v>-0.29220779220779219</v>
      </c>
      <c r="O4379" s="918" t="str">
        <f t="shared" si="442"/>
        <v>Feb</v>
      </c>
      <c r="P4379" s="921">
        <f t="shared" si="443"/>
        <v>9</v>
      </c>
    </row>
    <row r="4380" spans="1:16" ht="15" hidden="1" customHeight="1">
      <c r="A4380" s="839">
        <v>68851105</v>
      </c>
      <c r="B4380" s="839">
        <v>2904</v>
      </c>
      <c r="C4380" s="906">
        <v>-11</v>
      </c>
      <c r="D4380" s="907">
        <v>46094</v>
      </c>
      <c r="E4380" s="839" t="s">
        <v>400</v>
      </c>
      <c r="F4380" s="839" t="s">
        <v>273</v>
      </c>
      <c r="G4380" s="916">
        <f>VLOOKUP($A4380,'Tech Litons'!$A:$I,8,FALSE)</f>
        <v>8.5199999999999998E-3</v>
      </c>
      <c r="H4380" s="917">
        <f>VLOOKUP($A4380,'Tech Litons'!$A:$I,9,FALSE)</f>
        <v>154</v>
      </c>
      <c r="I4380" s="917" t="str">
        <f>VLOOKUP($A4380,'Tech Litons'!$A:$C,3,0)</f>
        <v>48oz</v>
      </c>
      <c r="J4380" s="918" t="str">
        <f t="shared" si="438"/>
        <v>290448oz</v>
      </c>
      <c r="K4380" s="919">
        <v>1</v>
      </c>
      <c r="L4380" s="920">
        <f t="shared" si="439"/>
        <v>-11</v>
      </c>
      <c r="M4380" s="920">
        <f t="shared" si="440"/>
        <v>-9.3719999999999998E-2</v>
      </c>
      <c r="N4380" s="920">
        <f t="shared" si="441"/>
        <v>-7.1428571428571425E-2</v>
      </c>
      <c r="O4380" s="918" t="str">
        <f t="shared" si="442"/>
        <v>Mar</v>
      </c>
      <c r="P4380" s="921">
        <f t="shared" si="443"/>
        <v>11</v>
      </c>
    </row>
    <row r="4381" spans="1:16" ht="15" hidden="1" customHeight="1">
      <c r="A4381" s="839">
        <v>68851105</v>
      </c>
      <c r="B4381" s="839">
        <v>2904</v>
      </c>
      <c r="C4381" s="906">
        <v>4466</v>
      </c>
      <c r="D4381" s="907">
        <v>46077</v>
      </c>
      <c r="E4381" s="839" t="s">
        <v>400</v>
      </c>
      <c r="F4381" s="839" t="s">
        <v>273</v>
      </c>
      <c r="G4381" s="916">
        <f>VLOOKUP($A4381,'Tech Litons'!$A:$I,8,FALSE)</f>
        <v>8.5199999999999998E-3</v>
      </c>
      <c r="H4381" s="917">
        <f>VLOOKUP($A4381,'Tech Litons'!$A:$I,9,FALSE)</f>
        <v>154</v>
      </c>
      <c r="I4381" s="917" t="str">
        <f>VLOOKUP($A4381,'Tech Litons'!$A:$C,3,0)</f>
        <v>48oz</v>
      </c>
      <c r="J4381" s="918" t="str">
        <f t="shared" si="438"/>
        <v>290448oz</v>
      </c>
      <c r="K4381" s="919">
        <v>1</v>
      </c>
      <c r="L4381" s="920">
        <f t="shared" si="439"/>
        <v>4466</v>
      </c>
      <c r="M4381" s="920">
        <f t="shared" si="440"/>
        <v>38.050319999999999</v>
      </c>
      <c r="N4381" s="920">
        <f t="shared" si="441"/>
        <v>29</v>
      </c>
      <c r="O4381" s="918" t="str">
        <f t="shared" si="442"/>
        <v>Feb</v>
      </c>
      <c r="P4381" s="921">
        <f t="shared" si="443"/>
        <v>9</v>
      </c>
    </row>
    <row r="4382" spans="1:16" ht="15" hidden="1" customHeight="1">
      <c r="A4382" s="839">
        <v>68851105</v>
      </c>
      <c r="B4382" s="839">
        <v>2904</v>
      </c>
      <c r="C4382" s="906">
        <v>5163</v>
      </c>
      <c r="D4382" s="907">
        <v>46078</v>
      </c>
      <c r="E4382" s="839" t="s">
        <v>400</v>
      </c>
      <c r="F4382" s="839" t="s">
        <v>273</v>
      </c>
      <c r="G4382" s="916">
        <f>VLOOKUP($A4382,'Tech Litons'!$A:$I,8,FALSE)</f>
        <v>8.5199999999999998E-3</v>
      </c>
      <c r="H4382" s="917">
        <f>VLOOKUP($A4382,'Tech Litons'!$A:$I,9,FALSE)</f>
        <v>154</v>
      </c>
      <c r="I4382" s="917" t="str">
        <f>VLOOKUP($A4382,'Tech Litons'!$A:$C,3,0)</f>
        <v>48oz</v>
      </c>
      <c r="J4382" s="918" t="str">
        <f t="shared" si="438"/>
        <v>290448oz</v>
      </c>
      <c r="K4382" s="919">
        <v>1</v>
      </c>
      <c r="L4382" s="920">
        <f t="shared" si="439"/>
        <v>5163</v>
      </c>
      <c r="M4382" s="920">
        <f t="shared" si="440"/>
        <v>43.988759999999999</v>
      </c>
      <c r="N4382" s="920">
        <f t="shared" si="441"/>
        <v>33.525974025974023</v>
      </c>
      <c r="O4382" s="918" t="str">
        <f t="shared" si="442"/>
        <v>Feb</v>
      </c>
      <c r="P4382" s="921">
        <f t="shared" si="443"/>
        <v>9</v>
      </c>
    </row>
    <row r="4383" spans="1:16" ht="15" hidden="1" customHeight="1">
      <c r="A4383" s="839">
        <v>68851105</v>
      </c>
      <c r="B4383" s="839">
        <v>2904</v>
      </c>
      <c r="C4383" s="906">
        <v>8624</v>
      </c>
      <c r="D4383" s="907">
        <v>46104</v>
      </c>
      <c r="E4383" s="839" t="s">
        <v>400</v>
      </c>
      <c r="F4383" s="839" t="s">
        <v>273</v>
      </c>
      <c r="G4383" s="916">
        <f>VLOOKUP($A4383,'Tech Litons'!$A:$I,8,FALSE)</f>
        <v>8.5199999999999998E-3</v>
      </c>
      <c r="H4383" s="917">
        <f>VLOOKUP($A4383,'Tech Litons'!$A:$I,9,FALSE)</f>
        <v>154</v>
      </c>
      <c r="I4383" s="917" t="str">
        <f>VLOOKUP($A4383,'Tech Litons'!$A:$C,3,0)</f>
        <v>48oz</v>
      </c>
      <c r="J4383" s="918" t="str">
        <f t="shared" si="438"/>
        <v>290448oz</v>
      </c>
      <c r="K4383" s="919">
        <v>1</v>
      </c>
      <c r="L4383" s="920">
        <f t="shared" si="439"/>
        <v>8624</v>
      </c>
      <c r="M4383" s="920">
        <f t="shared" si="440"/>
        <v>73.476479999999995</v>
      </c>
      <c r="N4383" s="920">
        <f t="shared" si="441"/>
        <v>56</v>
      </c>
      <c r="O4383" s="918" t="str">
        <f t="shared" si="442"/>
        <v>Mar</v>
      </c>
      <c r="P4383" s="921">
        <f t="shared" si="443"/>
        <v>13</v>
      </c>
    </row>
    <row r="4384" spans="1:16" ht="15" hidden="1" customHeight="1">
      <c r="A4384" s="839">
        <v>68851105</v>
      </c>
      <c r="B4384" s="839">
        <v>2904</v>
      </c>
      <c r="C4384" s="906">
        <v>3609</v>
      </c>
      <c r="D4384" s="907">
        <v>46105</v>
      </c>
      <c r="E4384" s="839" t="s">
        <v>400</v>
      </c>
      <c r="F4384" s="839" t="s">
        <v>273</v>
      </c>
      <c r="G4384" s="916">
        <f>VLOOKUP($A4384,'Tech Litons'!$A:$I,8,FALSE)</f>
        <v>8.5199999999999998E-3</v>
      </c>
      <c r="H4384" s="917">
        <f>VLOOKUP($A4384,'Tech Litons'!$A:$I,9,FALSE)</f>
        <v>154</v>
      </c>
      <c r="I4384" s="917" t="str">
        <f>VLOOKUP($A4384,'Tech Litons'!$A:$C,3,0)</f>
        <v>48oz</v>
      </c>
      <c r="J4384" s="918" t="str">
        <f t="shared" si="438"/>
        <v>290448oz</v>
      </c>
      <c r="K4384" s="919">
        <v>1</v>
      </c>
      <c r="L4384" s="920">
        <f t="shared" si="439"/>
        <v>3609</v>
      </c>
      <c r="M4384" s="920">
        <f t="shared" si="440"/>
        <v>30.74868</v>
      </c>
      <c r="N4384" s="920">
        <f t="shared" si="441"/>
        <v>23.435064935064936</v>
      </c>
      <c r="O4384" s="918" t="str">
        <f t="shared" si="442"/>
        <v>Mar</v>
      </c>
      <c r="P4384" s="921">
        <f t="shared" si="443"/>
        <v>13</v>
      </c>
    </row>
    <row r="4385" spans="1:16" ht="15" hidden="1" customHeight="1">
      <c r="A4385" s="839">
        <v>68851106</v>
      </c>
      <c r="B4385" s="839">
        <v>2904</v>
      </c>
      <c r="C4385" s="906">
        <v>9856</v>
      </c>
      <c r="D4385" s="907">
        <v>46081</v>
      </c>
      <c r="E4385" s="839" t="s">
        <v>359</v>
      </c>
      <c r="F4385" s="839" t="s">
        <v>273</v>
      </c>
      <c r="G4385" s="916">
        <f>VLOOKUP($A4385,'Tech Litons'!$A:$I,8,FALSE)</f>
        <v>8.5199999999999998E-3</v>
      </c>
      <c r="H4385" s="917">
        <f>VLOOKUP($A4385,'Tech Litons'!$A:$I,9,FALSE)</f>
        <v>154</v>
      </c>
      <c r="I4385" s="917" t="str">
        <f>VLOOKUP($A4385,'Tech Litons'!$A:$C,3,0)</f>
        <v>48oz</v>
      </c>
      <c r="J4385" s="918" t="str">
        <f t="shared" si="438"/>
        <v>290448oz</v>
      </c>
      <c r="K4385" s="919">
        <v>1</v>
      </c>
      <c r="L4385" s="920">
        <f t="shared" si="439"/>
        <v>9856</v>
      </c>
      <c r="M4385" s="920">
        <f t="shared" si="440"/>
        <v>83.973119999999994</v>
      </c>
      <c r="N4385" s="920">
        <f t="shared" si="441"/>
        <v>64</v>
      </c>
      <c r="O4385" s="918" t="str">
        <f t="shared" si="442"/>
        <v>Feb</v>
      </c>
      <c r="P4385" s="921">
        <f t="shared" si="443"/>
        <v>9</v>
      </c>
    </row>
    <row r="4386" spans="1:16" ht="15" hidden="1" customHeight="1">
      <c r="A4386" s="839">
        <v>68851106</v>
      </c>
      <c r="B4386" s="839">
        <v>2904</v>
      </c>
      <c r="C4386" s="906">
        <v>6462</v>
      </c>
      <c r="D4386" s="907">
        <v>46082</v>
      </c>
      <c r="E4386" s="839" t="s">
        <v>359</v>
      </c>
      <c r="F4386" s="839" t="s">
        <v>273</v>
      </c>
      <c r="G4386" s="916">
        <f>VLOOKUP($A4386,'Tech Litons'!$A:$I,8,FALSE)</f>
        <v>8.5199999999999998E-3</v>
      </c>
      <c r="H4386" s="917">
        <f>VLOOKUP($A4386,'Tech Litons'!$A:$I,9,FALSE)</f>
        <v>154</v>
      </c>
      <c r="I4386" s="917" t="str">
        <f>VLOOKUP($A4386,'Tech Litons'!$A:$C,3,0)</f>
        <v>48oz</v>
      </c>
      <c r="J4386" s="918" t="str">
        <f t="shared" si="438"/>
        <v>290448oz</v>
      </c>
      <c r="K4386" s="919">
        <v>1</v>
      </c>
      <c r="L4386" s="920">
        <f t="shared" si="439"/>
        <v>6462</v>
      </c>
      <c r="M4386" s="920">
        <f t="shared" si="440"/>
        <v>55.056239999999995</v>
      </c>
      <c r="N4386" s="920">
        <f t="shared" si="441"/>
        <v>41.961038961038959</v>
      </c>
      <c r="O4386" s="918" t="str">
        <f t="shared" si="442"/>
        <v>Mar</v>
      </c>
      <c r="P4386" s="921">
        <f t="shared" si="443"/>
        <v>10</v>
      </c>
    </row>
    <row r="4387" spans="1:16" ht="15" hidden="1" customHeight="1">
      <c r="A4387" s="839">
        <v>68851106</v>
      </c>
      <c r="B4387" s="839">
        <v>2904</v>
      </c>
      <c r="C4387" s="906">
        <v>2618</v>
      </c>
      <c r="D4387" s="907">
        <v>46081</v>
      </c>
      <c r="E4387" s="839" t="s">
        <v>359</v>
      </c>
      <c r="F4387" s="839" t="s">
        <v>273</v>
      </c>
      <c r="G4387" s="916">
        <f>VLOOKUP($A4387,'Tech Litons'!$A:$I,8,FALSE)</f>
        <v>8.5199999999999998E-3</v>
      </c>
      <c r="H4387" s="917">
        <f>VLOOKUP($A4387,'Tech Litons'!$A:$I,9,FALSE)</f>
        <v>154</v>
      </c>
      <c r="I4387" s="917" t="str">
        <f>VLOOKUP($A4387,'Tech Litons'!$A:$C,3,0)</f>
        <v>48oz</v>
      </c>
      <c r="J4387" s="918" t="str">
        <f t="shared" si="438"/>
        <v>290448oz</v>
      </c>
      <c r="K4387" s="919">
        <v>1</v>
      </c>
      <c r="L4387" s="920">
        <f t="shared" si="439"/>
        <v>2618</v>
      </c>
      <c r="M4387" s="920">
        <f t="shared" si="440"/>
        <v>22.30536</v>
      </c>
      <c r="N4387" s="920">
        <f t="shared" si="441"/>
        <v>17</v>
      </c>
      <c r="O4387" s="918" t="str">
        <f t="shared" si="442"/>
        <v>Feb</v>
      </c>
      <c r="P4387" s="921">
        <f t="shared" si="443"/>
        <v>9</v>
      </c>
    </row>
    <row r="4388" spans="1:16" ht="15" hidden="1" customHeight="1">
      <c r="A4388" s="839">
        <v>68851107</v>
      </c>
      <c r="B4388" s="839">
        <v>2904</v>
      </c>
      <c r="C4388" s="906">
        <v>-80</v>
      </c>
      <c r="D4388" s="907">
        <v>46101</v>
      </c>
      <c r="E4388" s="839" t="s">
        <v>272</v>
      </c>
      <c r="F4388" s="839" t="s">
        <v>273</v>
      </c>
      <c r="G4388" s="916">
        <f>VLOOKUP($A4388,'Tech Litons'!$A:$I,8,FALSE)</f>
        <v>8.5199999999999998E-3</v>
      </c>
      <c r="H4388" s="917">
        <f>VLOOKUP($A4388,'Tech Litons'!$A:$I,9,FALSE)</f>
        <v>176</v>
      </c>
      <c r="I4388" s="917" t="str">
        <f>VLOOKUP($A4388,'Tech Litons'!$A:$C,3,0)</f>
        <v>48oz</v>
      </c>
      <c r="J4388" s="918" t="str">
        <f t="shared" si="438"/>
        <v>290448oz</v>
      </c>
      <c r="K4388" s="919">
        <v>1</v>
      </c>
      <c r="L4388" s="920">
        <f t="shared" si="439"/>
        <v>-80</v>
      </c>
      <c r="M4388" s="920">
        <f t="shared" si="440"/>
        <v>-0.68159999999999998</v>
      </c>
      <c r="N4388" s="920">
        <f t="shared" si="441"/>
        <v>-0.45454545454545453</v>
      </c>
      <c r="O4388" s="918" t="str">
        <f t="shared" si="442"/>
        <v>Mar</v>
      </c>
      <c r="P4388" s="921">
        <f t="shared" si="443"/>
        <v>12</v>
      </c>
    </row>
    <row r="4389" spans="1:16" ht="15" hidden="1" customHeight="1">
      <c r="A4389" s="839">
        <v>68851107</v>
      </c>
      <c r="B4389" s="839">
        <v>2904</v>
      </c>
      <c r="C4389" s="906">
        <v>14080</v>
      </c>
      <c r="D4389" s="907">
        <v>46076</v>
      </c>
      <c r="E4389" s="839" t="s">
        <v>272</v>
      </c>
      <c r="F4389" s="839" t="s">
        <v>273</v>
      </c>
      <c r="G4389" s="916">
        <f>VLOOKUP($A4389,'Tech Litons'!$A:$I,8,FALSE)</f>
        <v>8.5199999999999998E-3</v>
      </c>
      <c r="H4389" s="917">
        <f>VLOOKUP($A4389,'Tech Litons'!$A:$I,9,FALSE)</f>
        <v>176</v>
      </c>
      <c r="I4389" s="917" t="str">
        <f>VLOOKUP($A4389,'Tech Litons'!$A:$C,3,0)</f>
        <v>48oz</v>
      </c>
      <c r="J4389" s="918" t="str">
        <f t="shared" si="438"/>
        <v>290448oz</v>
      </c>
      <c r="K4389" s="919">
        <v>1</v>
      </c>
      <c r="L4389" s="920">
        <f t="shared" si="439"/>
        <v>14080</v>
      </c>
      <c r="M4389" s="920">
        <f t="shared" si="440"/>
        <v>119.9616</v>
      </c>
      <c r="N4389" s="920">
        <f t="shared" si="441"/>
        <v>80</v>
      </c>
      <c r="O4389" s="918" t="str">
        <f t="shared" si="442"/>
        <v>Feb</v>
      </c>
      <c r="P4389" s="921">
        <f t="shared" si="443"/>
        <v>9</v>
      </c>
    </row>
    <row r="4390" spans="1:16" ht="15" hidden="1" customHeight="1">
      <c r="A4390" s="839">
        <v>68851107</v>
      </c>
      <c r="B4390" s="839">
        <v>2904</v>
      </c>
      <c r="C4390" s="906">
        <v>10701</v>
      </c>
      <c r="D4390" s="907">
        <v>46076</v>
      </c>
      <c r="E4390" s="839" t="s">
        <v>272</v>
      </c>
      <c r="F4390" s="839" t="s">
        <v>273</v>
      </c>
      <c r="G4390" s="916">
        <f>VLOOKUP($A4390,'Tech Litons'!$A:$I,8,FALSE)</f>
        <v>8.5199999999999998E-3</v>
      </c>
      <c r="H4390" s="917">
        <f>VLOOKUP($A4390,'Tech Litons'!$A:$I,9,FALSE)</f>
        <v>176</v>
      </c>
      <c r="I4390" s="917" t="str">
        <f>VLOOKUP($A4390,'Tech Litons'!$A:$C,3,0)</f>
        <v>48oz</v>
      </c>
      <c r="J4390" s="918" t="str">
        <f t="shared" si="438"/>
        <v>290448oz</v>
      </c>
      <c r="K4390" s="919">
        <v>1</v>
      </c>
      <c r="L4390" s="920">
        <f t="shared" si="439"/>
        <v>10701</v>
      </c>
      <c r="M4390" s="920">
        <f t="shared" si="440"/>
        <v>91.172519999999992</v>
      </c>
      <c r="N4390" s="920">
        <f t="shared" si="441"/>
        <v>60.801136363636367</v>
      </c>
      <c r="O4390" s="918" t="str">
        <f t="shared" si="442"/>
        <v>Feb</v>
      </c>
      <c r="P4390" s="921">
        <f t="shared" si="443"/>
        <v>9</v>
      </c>
    </row>
    <row r="4391" spans="1:16" ht="15" hidden="1" customHeight="1">
      <c r="A4391" s="839">
        <v>68851107</v>
      </c>
      <c r="B4391" s="839">
        <v>2904</v>
      </c>
      <c r="C4391" s="906">
        <v>11967</v>
      </c>
      <c r="D4391" s="907">
        <v>46077</v>
      </c>
      <c r="E4391" s="839" t="s">
        <v>272</v>
      </c>
      <c r="F4391" s="839" t="s">
        <v>273</v>
      </c>
      <c r="G4391" s="916">
        <f>VLOOKUP($A4391,'Tech Litons'!$A:$I,8,FALSE)</f>
        <v>8.5199999999999998E-3</v>
      </c>
      <c r="H4391" s="917">
        <f>VLOOKUP($A4391,'Tech Litons'!$A:$I,9,FALSE)</f>
        <v>176</v>
      </c>
      <c r="I4391" s="917" t="str">
        <f>VLOOKUP($A4391,'Tech Litons'!$A:$C,3,0)</f>
        <v>48oz</v>
      </c>
      <c r="J4391" s="918" t="str">
        <f t="shared" si="438"/>
        <v>290448oz</v>
      </c>
      <c r="K4391" s="919">
        <v>1</v>
      </c>
      <c r="L4391" s="920">
        <f t="shared" si="439"/>
        <v>11967</v>
      </c>
      <c r="M4391" s="920">
        <f t="shared" si="440"/>
        <v>101.95884</v>
      </c>
      <c r="N4391" s="920">
        <f t="shared" si="441"/>
        <v>67.994318181818187</v>
      </c>
      <c r="O4391" s="918" t="str">
        <f t="shared" si="442"/>
        <v>Feb</v>
      </c>
      <c r="P4391" s="921">
        <f t="shared" si="443"/>
        <v>9</v>
      </c>
    </row>
    <row r="4392" spans="1:16" ht="15" hidden="1" customHeight="1">
      <c r="A4392" s="839">
        <v>68851107</v>
      </c>
      <c r="B4392" s="839">
        <v>2904</v>
      </c>
      <c r="C4392" s="906">
        <v>-214</v>
      </c>
      <c r="D4392" s="907">
        <v>46080</v>
      </c>
      <c r="E4392" s="839" t="s">
        <v>272</v>
      </c>
      <c r="F4392" s="839" t="s">
        <v>273</v>
      </c>
      <c r="G4392" s="916">
        <f>VLOOKUP($A4392,'Tech Litons'!$A:$I,8,FALSE)</f>
        <v>8.5199999999999998E-3</v>
      </c>
      <c r="H4392" s="917">
        <f>VLOOKUP($A4392,'Tech Litons'!$A:$I,9,FALSE)</f>
        <v>176</v>
      </c>
      <c r="I4392" s="917" t="str">
        <f>VLOOKUP($A4392,'Tech Litons'!$A:$C,3,0)</f>
        <v>48oz</v>
      </c>
      <c r="J4392" s="918" t="str">
        <f t="shared" si="438"/>
        <v>290448oz</v>
      </c>
      <c r="K4392" s="919">
        <v>1</v>
      </c>
      <c r="L4392" s="920">
        <f t="shared" si="439"/>
        <v>-214</v>
      </c>
      <c r="M4392" s="920">
        <f t="shared" si="440"/>
        <v>-1.82328</v>
      </c>
      <c r="N4392" s="920">
        <f t="shared" si="441"/>
        <v>-1.2159090909090908</v>
      </c>
      <c r="O4392" s="918" t="str">
        <f t="shared" si="442"/>
        <v>Feb</v>
      </c>
      <c r="P4392" s="921">
        <f t="shared" si="443"/>
        <v>9</v>
      </c>
    </row>
    <row r="4393" spans="1:16" ht="15" hidden="1" customHeight="1">
      <c r="A4393" s="839">
        <v>68851107</v>
      </c>
      <c r="B4393" s="839">
        <v>2904</v>
      </c>
      <c r="C4393" s="906">
        <v>11616</v>
      </c>
      <c r="D4393" s="907">
        <v>46084</v>
      </c>
      <c r="E4393" s="839" t="s">
        <v>272</v>
      </c>
      <c r="F4393" s="839" t="s">
        <v>273</v>
      </c>
      <c r="G4393" s="916">
        <f>VLOOKUP($A4393,'Tech Litons'!$A:$I,8,FALSE)</f>
        <v>8.5199999999999998E-3</v>
      </c>
      <c r="H4393" s="917">
        <f>VLOOKUP($A4393,'Tech Litons'!$A:$I,9,FALSE)</f>
        <v>176</v>
      </c>
      <c r="I4393" s="917" t="str">
        <f>VLOOKUP($A4393,'Tech Litons'!$A:$C,3,0)</f>
        <v>48oz</v>
      </c>
      <c r="J4393" s="918" t="str">
        <f t="shared" si="438"/>
        <v>290448oz</v>
      </c>
      <c r="K4393" s="919">
        <v>1</v>
      </c>
      <c r="L4393" s="920">
        <f t="shared" si="439"/>
        <v>11616</v>
      </c>
      <c r="M4393" s="920">
        <f t="shared" si="440"/>
        <v>98.968319999999991</v>
      </c>
      <c r="N4393" s="920">
        <f t="shared" si="441"/>
        <v>66</v>
      </c>
      <c r="O4393" s="918" t="str">
        <f t="shared" si="442"/>
        <v>Mar</v>
      </c>
      <c r="P4393" s="921">
        <f t="shared" si="443"/>
        <v>10</v>
      </c>
    </row>
    <row r="4394" spans="1:16" ht="15" hidden="1" customHeight="1">
      <c r="A4394" s="839">
        <v>68851107</v>
      </c>
      <c r="B4394" s="839">
        <v>2904</v>
      </c>
      <c r="C4394" s="906">
        <v>12143</v>
      </c>
      <c r="D4394" s="907">
        <v>46085</v>
      </c>
      <c r="E4394" s="839" t="s">
        <v>272</v>
      </c>
      <c r="F4394" s="839" t="s">
        <v>273</v>
      </c>
      <c r="G4394" s="916">
        <f>VLOOKUP($A4394,'Tech Litons'!$A:$I,8,FALSE)</f>
        <v>8.5199999999999998E-3</v>
      </c>
      <c r="H4394" s="917">
        <f>VLOOKUP($A4394,'Tech Litons'!$A:$I,9,FALSE)</f>
        <v>176</v>
      </c>
      <c r="I4394" s="917" t="str">
        <f>VLOOKUP($A4394,'Tech Litons'!$A:$C,3,0)</f>
        <v>48oz</v>
      </c>
      <c r="J4394" s="918" t="str">
        <f t="shared" si="438"/>
        <v>290448oz</v>
      </c>
      <c r="K4394" s="919">
        <v>1</v>
      </c>
      <c r="L4394" s="920">
        <f t="shared" si="439"/>
        <v>12143</v>
      </c>
      <c r="M4394" s="920">
        <f t="shared" si="440"/>
        <v>103.45836</v>
      </c>
      <c r="N4394" s="920">
        <f t="shared" si="441"/>
        <v>68.994318181818187</v>
      </c>
      <c r="O4394" s="918" t="str">
        <f t="shared" si="442"/>
        <v>Mar</v>
      </c>
      <c r="P4394" s="921">
        <f t="shared" si="443"/>
        <v>10</v>
      </c>
    </row>
    <row r="4395" spans="1:16" ht="15" hidden="1" customHeight="1">
      <c r="A4395" s="839">
        <v>68851107</v>
      </c>
      <c r="B4395" s="839">
        <v>2904</v>
      </c>
      <c r="C4395" s="906">
        <v>176</v>
      </c>
      <c r="D4395" s="907">
        <v>46086</v>
      </c>
      <c r="E4395" s="839" t="s">
        <v>272</v>
      </c>
      <c r="F4395" s="839" t="s">
        <v>273</v>
      </c>
      <c r="G4395" s="916">
        <f>VLOOKUP($A4395,'Tech Litons'!$A:$I,8,FALSE)</f>
        <v>8.5199999999999998E-3</v>
      </c>
      <c r="H4395" s="917">
        <f>VLOOKUP($A4395,'Tech Litons'!$A:$I,9,FALSE)</f>
        <v>176</v>
      </c>
      <c r="I4395" s="917" t="str">
        <f>VLOOKUP($A4395,'Tech Litons'!$A:$C,3,0)</f>
        <v>48oz</v>
      </c>
      <c r="J4395" s="918" t="str">
        <f t="shared" si="438"/>
        <v>290448oz</v>
      </c>
      <c r="K4395" s="919">
        <v>1</v>
      </c>
      <c r="L4395" s="920">
        <f t="shared" si="439"/>
        <v>176</v>
      </c>
      <c r="M4395" s="920">
        <f t="shared" si="440"/>
        <v>1.49952</v>
      </c>
      <c r="N4395" s="920">
        <f t="shared" si="441"/>
        <v>1</v>
      </c>
      <c r="O4395" s="918" t="str">
        <f t="shared" si="442"/>
        <v>Mar</v>
      </c>
      <c r="P4395" s="921">
        <f t="shared" si="443"/>
        <v>10</v>
      </c>
    </row>
    <row r="4396" spans="1:16" ht="15" hidden="1" customHeight="1">
      <c r="A4396" s="839">
        <v>68851107</v>
      </c>
      <c r="B4396" s="839">
        <v>2904</v>
      </c>
      <c r="C4396" s="906">
        <v>11792</v>
      </c>
      <c r="D4396" s="907">
        <v>46085</v>
      </c>
      <c r="E4396" s="839" t="s">
        <v>272</v>
      </c>
      <c r="F4396" s="839" t="s">
        <v>273</v>
      </c>
      <c r="G4396" s="916">
        <f>VLOOKUP($A4396,'Tech Litons'!$A:$I,8,FALSE)</f>
        <v>8.5199999999999998E-3</v>
      </c>
      <c r="H4396" s="917">
        <f>VLOOKUP($A4396,'Tech Litons'!$A:$I,9,FALSE)</f>
        <v>176</v>
      </c>
      <c r="I4396" s="917" t="str">
        <f>VLOOKUP($A4396,'Tech Litons'!$A:$C,3,0)</f>
        <v>48oz</v>
      </c>
      <c r="J4396" s="918" t="str">
        <f t="shared" si="438"/>
        <v>290448oz</v>
      </c>
      <c r="K4396" s="919">
        <v>1</v>
      </c>
      <c r="L4396" s="920">
        <f t="shared" si="439"/>
        <v>11792</v>
      </c>
      <c r="M4396" s="920">
        <f t="shared" si="440"/>
        <v>100.46784</v>
      </c>
      <c r="N4396" s="920">
        <f t="shared" si="441"/>
        <v>67</v>
      </c>
      <c r="O4396" s="918" t="str">
        <f t="shared" si="442"/>
        <v>Mar</v>
      </c>
      <c r="P4396" s="921">
        <f t="shared" si="443"/>
        <v>10</v>
      </c>
    </row>
    <row r="4397" spans="1:16" ht="15" hidden="1" customHeight="1">
      <c r="A4397" s="839">
        <v>68851107</v>
      </c>
      <c r="B4397" s="839">
        <v>2904</v>
      </c>
      <c r="C4397" s="906">
        <v>12496</v>
      </c>
      <c r="D4397" s="907">
        <v>46086</v>
      </c>
      <c r="E4397" s="839" t="s">
        <v>272</v>
      </c>
      <c r="F4397" s="839" t="s">
        <v>273</v>
      </c>
      <c r="G4397" s="916">
        <f>VLOOKUP($A4397,'Tech Litons'!$A:$I,8,FALSE)</f>
        <v>8.5199999999999998E-3</v>
      </c>
      <c r="H4397" s="917">
        <f>VLOOKUP($A4397,'Tech Litons'!$A:$I,9,FALSE)</f>
        <v>176</v>
      </c>
      <c r="I4397" s="917" t="str">
        <f>VLOOKUP($A4397,'Tech Litons'!$A:$C,3,0)</f>
        <v>48oz</v>
      </c>
      <c r="J4397" s="918" t="str">
        <f t="shared" si="438"/>
        <v>290448oz</v>
      </c>
      <c r="K4397" s="919">
        <v>1</v>
      </c>
      <c r="L4397" s="920">
        <f t="shared" si="439"/>
        <v>12496</v>
      </c>
      <c r="M4397" s="920">
        <f t="shared" si="440"/>
        <v>106.46592</v>
      </c>
      <c r="N4397" s="920">
        <f t="shared" si="441"/>
        <v>71</v>
      </c>
      <c r="O4397" s="918" t="str">
        <f t="shared" si="442"/>
        <v>Mar</v>
      </c>
      <c r="P4397" s="921">
        <f t="shared" si="443"/>
        <v>10</v>
      </c>
    </row>
    <row r="4398" spans="1:16" ht="15" hidden="1" customHeight="1">
      <c r="A4398" s="839">
        <v>68851107</v>
      </c>
      <c r="B4398" s="839">
        <v>2904</v>
      </c>
      <c r="C4398" s="906">
        <v>12496</v>
      </c>
      <c r="D4398" s="907">
        <v>46086</v>
      </c>
      <c r="E4398" s="839" t="s">
        <v>272</v>
      </c>
      <c r="F4398" s="839" t="s">
        <v>273</v>
      </c>
      <c r="G4398" s="916">
        <f>VLOOKUP($A4398,'Tech Litons'!$A:$I,8,FALSE)</f>
        <v>8.5199999999999998E-3</v>
      </c>
      <c r="H4398" s="917">
        <f>VLOOKUP($A4398,'Tech Litons'!$A:$I,9,FALSE)</f>
        <v>176</v>
      </c>
      <c r="I4398" s="917" t="str">
        <f>VLOOKUP($A4398,'Tech Litons'!$A:$C,3,0)</f>
        <v>48oz</v>
      </c>
      <c r="J4398" s="918" t="str">
        <f t="shared" si="438"/>
        <v>290448oz</v>
      </c>
      <c r="K4398" s="919">
        <v>1</v>
      </c>
      <c r="L4398" s="920">
        <f t="shared" si="439"/>
        <v>12496</v>
      </c>
      <c r="M4398" s="920">
        <f t="shared" si="440"/>
        <v>106.46592</v>
      </c>
      <c r="N4398" s="920">
        <f t="shared" si="441"/>
        <v>71</v>
      </c>
      <c r="O4398" s="918" t="str">
        <f t="shared" si="442"/>
        <v>Mar</v>
      </c>
      <c r="P4398" s="921">
        <f t="shared" si="443"/>
        <v>10</v>
      </c>
    </row>
    <row r="4399" spans="1:16" ht="15" hidden="1" customHeight="1">
      <c r="A4399" s="839">
        <v>68851107</v>
      </c>
      <c r="B4399" s="839">
        <v>2904</v>
      </c>
      <c r="C4399" s="906">
        <v>13012</v>
      </c>
      <c r="D4399" s="907">
        <v>46087</v>
      </c>
      <c r="E4399" s="839" t="s">
        <v>272</v>
      </c>
      <c r="F4399" s="839" t="s">
        <v>273</v>
      </c>
      <c r="G4399" s="916">
        <f>VLOOKUP($A4399,'Tech Litons'!$A:$I,8,FALSE)</f>
        <v>8.5199999999999998E-3</v>
      </c>
      <c r="H4399" s="917">
        <f>VLOOKUP($A4399,'Tech Litons'!$A:$I,9,FALSE)</f>
        <v>176</v>
      </c>
      <c r="I4399" s="917" t="str">
        <f>VLOOKUP($A4399,'Tech Litons'!$A:$C,3,0)</f>
        <v>48oz</v>
      </c>
      <c r="J4399" s="918" t="str">
        <f t="shared" si="438"/>
        <v>290448oz</v>
      </c>
      <c r="K4399" s="919">
        <v>1</v>
      </c>
      <c r="L4399" s="920">
        <f t="shared" si="439"/>
        <v>13012</v>
      </c>
      <c r="M4399" s="920">
        <f t="shared" si="440"/>
        <v>110.86224</v>
      </c>
      <c r="N4399" s="920">
        <f t="shared" si="441"/>
        <v>73.931818181818187</v>
      </c>
      <c r="O4399" s="918" t="str">
        <f t="shared" si="442"/>
        <v>Mar</v>
      </c>
      <c r="P4399" s="921">
        <f t="shared" si="443"/>
        <v>10</v>
      </c>
    </row>
    <row r="4400" spans="1:16" ht="15" hidden="1" customHeight="1">
      <c r="A4400" s="839">
        <v>68851107</v>
      </c>
      <c r="B4400" s="839">
        <v>2904</v>
      </c>
      <c r="C4400" s="906">
        <v>9856</v>
      </c>
      <c r="D4400" s="907">
        <v>46087</v>
      </c>
      <c r="E4400" s="839" t="s">
        <v>272</v>
      </c>
      <c r="F4400" s="839" t="s">
        <v>273</v>
      </c>
      <c r="G4400" s="916">
        <f>VLOOKUP($A4400,'Tech Litons'!$A:$I,8,FALSE)</f>
        <v>8.5199999999999998E-3</v>
      </c>
      <c r="H4400" s="917">
        <f>VLOOKUP($A4400,'Tech Litons'!$A:$I,9,FALSE)</f>
        <v>176</v>
      </c>
      <c r="I4400" s="917" t="str">
        <f>VLOOKUP($A4400,'Tech Litons'!$A:$C,3,0)</f>
        <v>48oz</v>
      </c>
      <c r="J4400" s="918" t="str">
        <f t="shared" si="438"/>
        <v>290448oz</v>
      </c>
      <c r="K4400" s="919">
        <v>1</v>
      </c>
      <c r="L4400" s="920">
        <f t="shared" si="439"/>
        <v>9856</v>
      </c>
      <c r="M4400" s="920">
        <f t="shared" si="440"/>
        <v>83.973119999999994</v>
      </c>
      <c r="N4400" s="920">
        <f t="shared" si="441"/>
        <v>56</v>
      </c>
      <c r="O4400" s="918" t="str">
        <f t="shared" si="442"/>
        <v>Mar</v>
      </c>
      <c r="P4400" s="921">
        <f t="shared" si="443"/>
        <v>10</v>
      </c>
    </row>
    <row r="4401" spans="1:16" ht="15" hidden="1" customHeight="1">
      <c r="A4401" s="839">
        <v>68851107</v>
      </c>
      <c r="B4401" s="839">
        <v>2904</v>
      </c>
      <c r="C4401" s="906">
        <v>4455</v>
      </c>
      <c r="D4401" s="907">
        <v>46088</v>
      </c>
      <c r="E4401" s="839" t="s">
        <v>272</v>
      </c>
      <c r="F4401" s="839" t="s">
        <v>273</v>
      </c>
      <c r="G4401" s="916">
        <f>VLOOKUP($A4401,'Tech Litons'!$A:$I,8,FALSE)</f>
        <v>8.5199999999999998E-3</v>
      </c>
      <c r="H4401" s="917">
        <f>VLOOKUP($A4401,'Tech Litons'!$A:$I,9,FALSE)</f>
        <v>176</v>
      </c>
      <c r="I4401" s="917" t="str">
        <f>VLOOKUP($A4401,'Tech Litons'!$A:$C,3,0)</f>
        <v>48oz</v>
      </c>
      <c r="J4401" s="918" t="str">
        <f t="shared" si="438"/>
        <v>290448oz</v>
      </c>
      <c r="K4401" s="919">
        <v>1</v>
      </c>
      <c r="L4401" s="920">
        <f t="shared" si="439"/>
        <v>4455</v>
      </c>
      <c r="M4401" s="920">
        <f t="shared" si="440"/>
        <v>37.956600000000002</v>
      </c>
      <c r="N4401" s="920">
        <f t="shared" si="441"/>
        <v>25.3125</v>
      </c>
      <c r="O4401" s="918" t="str">
        <f t="shared" si="442"/>
        <v>Mar</v>
      </c>
      <c r="P4401" s="921">
        <f t="shared" si="443"/>
        <v>10</v>
      </c>
    </row>
    <row r="4402" spans="1:16" ht="15" hidden="1" customHeight="1">
      <c r="A4402" s="839">
        <v>68851107</v>
      </c>
      <c r="B4402" s="839">
        <v>2904</v>
      </c>
      <c r="C4402" s="906">
        <v>1760</v>
      </c>
      <c r="D4402" s="907">
        <v>46082</v>
      </c>
      <c r="E4402" s="839" t="s">
        <v>272</v>
      </c>
      <c r="F4402" s="839" t="s">
        <v>273</v>
      </c>
      <c r="G4402" s="916">
        <f>VLOOKUP($A4402,'Tech Litons'!$A:$I,8,FALSE)</f>
        <v>8.5199999999999998E-3</v>
      </c>
      <c r="H4402" s="917">
        <f>VLOOKUP($A4402,'Tech Litons'!$A:$I,9,FALSE)</f>
        <v>176</v>
      </c>
      <c r="I4402" s="917" t="str">
        <f>VLOOKUP($A4402,'Tech Litons'!$A:$C,3,0)</f>
        <v>48oz</v>
      </c>
      <c r="J4402" s="918" t="str">
        <f t="shared" ref="J4402:J4465" si="444">B4402&amp;I4402</f>
        <v>290448oz</v>
      </c>
      <c r="K4402" s="919">
        <v>1</v>
      </c>
      <c r="L4402" s="920">
        <f t="shared" ref="L4402:L4465" si="445">C4402*$K4402</f>
        <v>1760</v>
      </c>
      <c r="M4402" s="920">
        <f t="shared" ref="M4402:M4465" si="446">L4402*G4402</f>
        <v>14.995200000000001</v>
      </c>
      <c r="N4402" s="920">
        <f t="shared" ref="N4402:N4465" si="447">L4402/H4402</f>
        <v>10</v>
      </c>
      <c r="O4402" s="918" t="str">
        <f t="shared" ref="O4402:O4465" si="448">TEXT(D4402,"MMM")</f>
        <v>Mar</v>
      </c>
      <c r="P4402" s="921">
        <f t="shared" ref="P4402:P4465" si="449">WEEKNUM(D4402)</f>
        <v>10</v>
      </c>
    </row>
    <row r="4403" spans="1:16" ht="15" hidden="1" customHeight="1">
      <c r="A4403" s="839">
        <v>68851107</v>
      </c>
      <c r="B4403" s="839">
        <v>2904</v>
      </c>
      <c r="C4403" s="906">
        <v>10560</v>
      </c>
      <c r="D4403" s="907">
        <v>46082</v>
      </c>
      <c r="E4403" s="839" t="s">
        <v>272</v>
      </c>
      <c r="F4403" s="839" t="s">
        <v>273</v>
      </c>
      <c r="G4403" s="916">
        <f>VLOOKUP($A4403,'Tech Litons'!$A:$I,8,FALSE)</f>
        <v>8.5199999999999998E-3</v>
      </c>
      <c r="H4403" s="917">
        <f>VLOOKUP($A4403,'Tech Litons'!$A:$I,9,FALSE)</f>
        <v>176</v>
      </c>
      <c r="I4403" s="917" t="str">
        <f>VLOOKUP($A4403,'Tech Litons'!$A:$C,3,0)</f>
        <v>48oz</v>
      </c>
      <c r="J4403" s="918" t="str">
        <f t="shared" si="444"/>
        <v>290448oz</v>
      </c>
      <c r="K4403" s="919">
        <v>1</v>
      </c>
      <c r="L4403" s="920">
        <f t="shared" si="445"/>
        <v>10560</v>
      </c>
      <c r="M4403" s="920">
        <f t="shared" si="446"/>
        <v>89.971199999999996</v>
      </c>
      <c r="N4403" s="920">
        <f t="shared" si="447"/>
        <v>60</v>
      </c>
      <c r="O4403" s="918" t="str">
        <f t="shared" si="448"/>
        <v>Mar</v>
      </c>
      <c r="P4403" s="921">
        <f t="shared" si="449"/>
        <v>10</v>
      </c>
    </row>
    <row r="4404" spans="1:16" ht="15" hidden="1" customHeight="1">
      <c r="A4404" s="839">
        <v>68851107</v>
      </c>
      <c r="B4404" s="839">
        <v>2904</v>
      </c>
      <c r="C4404" s="906">
        <v>7557</v>
      </c>
      <c r="D4404" s="907">
        <v>46083</v>
      </c>
      <c r="E4404" s="839" t="s">
        <v>272</v>
      </c>
      <c r="F4404" s="839" t="s">
        <v>273</v>
      </c>
      <c r="G4404" s="916">
        <f>VLOOKUP($A4404,'Tech Litons'!$A:$I,8,FALSE)</f>
        <v>8.5199999999999998E-3</v>
      </c>
      <c r="H4404" s="917">
        <f>VLOOKUP($A4404,'Tech Litons'!$A:$I,9,FALSE)</f>
        <v>176</v>
      </c>
      <c r="I4404" s="917" t="str">
        <f>VLOOKUP($A4404,'Tech Litons'!$A:$C,3,0)</f>
        <v>48oz</v>
      </c>
      <c r="J4404" s="918" t="str">
        <f t="shared" si="444"/>
        <v>290448oz</v>
      </c>
      <c r="K4404" s="919">
        <v>1</v>
      </c>
      <c r="L4404" s="920">
        <f t="shared" si="445"/>
        <v>7557</v>
      </c>
      <c r="M4404" s="920">
        <f t="shared" si="446"/>
        <v>64.385639999999995</v>
      </c>
      <c r="N4404" s="920">
        <f t="shared" si="447"/>
        <v>42.9375</v>
      </c>
      <c r="O4404" s="918" t="str">
        <f t="shared" si="448"/>
        <v>Mar</v>
      </c>
      <c r="P4404" s="921">
        <f t="shared" si="449"/>
        <v>10</v>
      </c>
    </row>
    <row r="4405" spans="1:16" ht="15" hidden="1" customHeight="1">
      <c r="A4405" s="839">
        <v>68851107</v>
      </c>
      <c r="B4405" s="839">
        <v>2904</v>
      </c>
      <c r="C4405" s="906">
        <v>12848</v>
      </c>
      <c r="D4405" s="907">
        <v>46092</v>
      </c>
      <c r="E4405" s="839" t="s">
        <v>272</v>
      </c>
      <c r="F4405" s="839" t="s">
        <v>273</v>
      </c>
      <c r="G4405" s="916">
        <f>VLOOKUP($A4405,'Tech Litons'!$A:$I,8,FALSE)</f>
        <v>8.5199999999999998E-3</v>
      </c>
      <c r="H4405" s="917">
        <f>VLOOKUP($A4405,'Tech Litons'!$A:$I,9,FALSE)</f>
        <v>176</v>
      </c>
      <c r="I4405" s="917" t="str">
        <f>VLOOKUP($A4405,'Tech Litons'!$A:$C,3,0)</f>
        <v>48oz</v>
      </c>
      <c r="J4405" s="918" t="str">
        <f t="shared" si="444"/>
        <v>290448oz</v>
      </c>
      <c r="K4405" s="919">
        <v>1</v>
      </c>
      <c r="L4405" s="920">
        <f t="shared" si="445"/>
        <v>12848</v>
      </c>
      <c r="M4405" s="920">
        <f t="shared" si="446"/>
        <v>109.46495999999999</v>
      </c>
      <c r="N4405" s="920">
        <f t="shared" si="447"/>
        <v>73</v>
      </c>
      <c r="O4405" s="918" t="str">
        <f t="shared" si="448"/>
        <v>Mar</v>
      </c>
      <c r="P4405" s="921">
        <f t="shared" si="449"/>
        <v>11</v>
      </c>
    </row>
    <row r="4406" spans="1:16" ht="15" hidden="1" customHeight="1">
      <c r="A4406" s="839">
        <v>68851107</v>
      </c>
      <c r="B4406" s="839">
        <v>2904</v>
      </c>
      <c r="C4406" s="906">
        <v>9680</v>
      </c>
      <c r="D4406" s="907">
        <v>46093</v>
      </c>
      <c r="E4406" s="839" t="s">
        <v>272</v>
      </c>
      <c r="F4406" s="839" t="s">
        <v>273</v>
      </c>
      <c r="G4406" s="916">
        <f>VLOOKUP($A4406,'Tech Litons'!$A:$I,8,FALSE)</f>
        <v>8.5199999999999998E-3</v>
      </c>
      <c r="H4406" s="917">
        <f>VLOOKUP($A4406,'Tech Litons'!$A:$I,9,FALSE)</f>
        <v>176</v>
      </c>
      <c r="I4406" s="917" t="str">
        <f>VLOOKUP($A4406,'Tech Litons'!$A:$C,3,0)</f>
        <v>48oz</v>
      </c>
      <c r="J4406" s="918" t="str">
        <f t="shared" si="444"/>
        <v>290448oz</v>
      </c>
      <c r="K4406" s="919">
        <v>1</v>
      </c>
      <c r="L4406" s="920">
        <f t="shared" si="445"/>
        <v>9680</v>
      </c>
      <c r="M4406" s="920">
        <f t="shared" si="446"/>
        <v>82.473600000000005</v>
      </c>
      <c r="N4406" s="920">
        <f t="shared" si="447"/>
        <v>55</v>
      </c>
      <c r="O4406" s="918" t="str">
        <f t="shared" si="448"/>
        <v>Mar</v>
      </c>
      <c r="P4406" s="921">
        <f t="shared" si="449"/>
        <v>11</v>
      </c>
    </row>
    <row r="4407" spans="1:16" ht="15" hidden="1" customHeight="1">
      <c r="A4407" s="839">
        <v>68851107</v>
      </c>
      <c r="B4407" s="839">
        <v>2904</v>
      </c>
      <c r="C4407" s="906">
        <v>12232</v>
      </c>
      <c r="D4407" s="907">
        <v>46093</v>
      </c>
      <c r="E4407" s="839" t="s">
        <v>272</v>
      </c>
      <c r="F4407" s="839" t="s">
        <v>273</v>
      </c>
      <c r="G4407" s="916">
        <f>VLOOKUP($A4407,'Tech Litons'!$A:$I,8,FALSE)</f>
        <v>8.5199999999999998E-3</v>
      </c>
      <c r="H4407" s="917">
        <f>VLOOKUP($A4407,'Tech Litons'!$A:$I,9,FALSE)</f>
        <v>176</v>
      </c>
      <c r="I4407" s="917" t="str">
        <f>VLOOKUP($A4407,'Tech Litons'!$A:$C,3,0)</f>
        <v>48oz</v>
      </c>
      <c r="J4407" s="918" t="str">
        <f t="shared" si="444"/>
        <v>290448oz</v>
      </c>
      <c r="K4407" s="919">
        <v>1</v>
      </c>
      <c r="L4407" s="920">
        <f t="shared" si="445"/>
        <v>12232</v>
      </c>
      <c r="M4407" s="920">
        <f t="shared" si="446"/>
        <v>104.21664</v>
      </c>
      <c r="N4407" s="920">
        <f t="shared" si="447"/>
        <v>69.5</v>
      </c>
      <c r="O4407" s="918" t="str">
        <f t="shared" si="448"/>
        <v>Mar</v>
      </c>
      <c r="P4407" s="921">
        <f t="shared" si="449"/>
        <v>11</v>
      </c>
    </row>
    <row r="4408" spans="1:16" ht="15" hidden="1" customHeight="1">
      <c r="A4408" s="839">
        <v>68851107</v>
      </c>
      <c r="B4408" s="839">
        <v>2904</v>
      </c>
      <c r="C4408" s="906">
        <v>9152</v>
      </c>
      <c r="D4408" s="907">
        <v>46094</v>
      </c>
      <c r="E4408" s="839" t="s">
        <v>272</v>
      </c>
      <c r="F4408" s="839" t="s">
        <v>273</v>
      </c>
      <c r="G4408" s="916">
        <f>VLOOKUP($A4408,'Tech Litons'!$A:$I,8,FALSE)</f>
        <v>8.5199999999999998E-3</v>
      </c>
      <c r="H4408" s="917">
        <f>VLOOKUP($A4408,'Tech Litons'!$A:$I,9,FALSE)</f>
        <v>176</v>
      </c>
      <c r="I4408" s="917" t="str">
        <f>VLOOKUP($A4408,'Tech Litons'!$A:$C,3,0)</f>
        <v>48oz</v>
      </c>
      <c r="J4408" s="918" t="str">
        <f t="shared" si="444"/>
        <v>290448oz</v>
      </c>
      <c r="K4408" s="919">
        <v>1</v>
      </c>
      <c r="L4408" s="920">
        <f t="shared" si="445"/>
        <v>9152</v>
      </c>
      <c r="M4408" s="920">
        <f t="shared" si="446"/>
        <v>77.975039999999993</v>
      </c>
      <c r="N4408" s="920">
        <f t="shared" si="447"/>
        <v>52</v>
      </c>
      <c r="O4408" s="918" t="str">
        <f t="shared" si="448"/>
        <v>Mar</v>
      </c>
      <c r="P4408" s="921">
        <f t="shared" si="449"/>
        <v>11</v>
      </c>
    </row>
    <row r="4409" spans="1:16" ht="15" hidden="1" customHeight="1">
      <c r="A4409" s="839">
        <v>68851107</v>
      </c>
      <c r="B4409" s="839">
        <v>2904</v>
      </c>
      <c r="C4409" s="906">
        <v>12672</v>
      </c>
      <c r="D4409" s="907">
        <v>46094</v>
      </c>
      <c r="E4409" s="839" t="s">
        <v>272</v>
      </c>
      <c r="F4409" s="839" t="s">
        <v>273</v>
      </c>
      <c r="G4409" s="916">
        <f>VLOOKUP($A4409,'Tech Litons'!$A:$I,8,FALSE)</f>
        <v>8.5199999999999998E-3</v>
      </c>
      <c r="H4409" s="917">
        <f>VLOOKUP($A4409,'Tech Litons'!$A:$I,9,FALSE)</f>
        <v>176</v>
      </c>
      <c r="I4409" s="917" t="str">
        <f>VLOOKUP($A4409,'Tech Litons'!$A:$C,3,0)</f>
        <v>48oz</v>
      </c>
      <c r="J4409" s="918" t="str">
        <f t="shared" si="444"/>
        <v>290448oz</v>
      </c>
      <c r="K4409" s="919">
        <v>1</v>
      </c>
      <c r="L4409" s="920">
        <f t="shared" si="445"/>
        <v>12672</v>
      </c>
      <c r="M4409" s="920">
        <f t="shared" si="446"/>
        <v>107.96544</v>
      </c>
      <c r="N4409" s="920">
        <f t="shared" si="447"/>
        <v>72</v>
      </c>
      <c r="O4409" s="918" t="str">
        <f t="shared" si="448"/>
        <v>Mar</v>
      </c>
      <c r="P4409" s="921">
        <f t="shared" si="449"/>
        <v>11</v>
      </c>
    </row>
    <row r="4410" spans="1:16" ht="15" hidden="1" customHeight="1">
      <c r="A4410" s="839">
        <v>68851107</v>
      </c>
      <c r="B4410" s="839">
        <v>2904</v>
      </c>
      <c r="C4410" s="906">
        <v>10724</v>
      </c>
      <c r="D4410" s="907">
        <v>46095</v>
      </c>
      <c r="E4410" s="839" t="s">
        <v>272</v>
      </c>
      <c r="F4410" s="839" t="s">
        <v>273</v>
      </c>
      <c r="G4410" s="916">
        <f>VLOOKUP($A4410,'Tech Litons'!$A:$I,8,FALSE)</f>
        <v>8.5199999999999998E-3</v>
      </c>
      <c r="H4410" s="917">
        <f>VLOOKUP($A4410,'Tech Litons'!$A:$I,9,FALSE)</f>
        <v>176</v>
      </c>
      <c r="I4410" s="917" t="str">
        <f>VLOOKUP($A4410,'Tech Litons'!$A:$C,3,0)</f>
        <v>48oz</v>
      </c>
      <c r="J4410" s="918" t="str">
        <f t="shared" si="444"/>
        <v>290448oz</v>
      </c>
      <c r="K4410" s="919">
        <v>1</v>
      </c>
      <c r="L4410" s="920">
        <f t="shared" si="445"/>
        <v>10724</v>
      </c>
      <c r="M4410" s="920">
        <f t="shared" si="446"/>
        <v>91.368479999999991</v>
      </c>
      <c r="N4410" s="920">
        <f t="shared" si="447"/>
        <v>60.93181818181818</v>
      </c>
      <c r="O4410" s="918" t="str">
        <f t="shared" si="448"/>
        <v>Mar</v>
      </c>
      <c r="P4410" s="921">
        <f t="shared" si="449"/>
        <v>11</v>
      </c>
    </row>
    <row r="4411" spans="1:16" ht="15" hidden="1" customHeight="1">
      <c r="A4411" s="839">
        <v>68851107</v>
      </c>
      <c r="B4411" s="839">
        <v>2904</v>
      </c>
      <c r="C4411" s="906">
        <v>1232</v>
      </c>
      <c r="D4411" s="907">
        <v>46097</v>
      </c>
      <c r="E4411" s="839" t="s">
        <v>272</v>
      </c>
      <c r="F4411" s="839" t="s">
        <v>273</v>
      </c>
      <c r="G4411" s="916">
        <f>VLOOKUP($A4411,'Tech Litons'!$A:$I,8,FALSE)</f>
        <v>8.5199999999999998E-3</v>
      </c>
      <c r="H4411" s="917">
        <f>VLOOKUP($A4411,'Tech Litons'!$A:$I,9,FALSE)</f>
        <v>176</v>
      </c>
      <c r="I4411" s="917" t="str">
        <f>VLOOKUP($A4411,'Tech Litons'!$A:$C,3,0)</f>
        <v>48oz</v>
      </c>
      <c r="J4411" s="918" t="str">
        <f t="shared" si="444"/>
        <v>290448oz</v>
      </c>
      <c r="K4411" s="919">
        <v>1</v>
      </c>
      <c r="L4411" s="920">
        <f t="shared" si="445"/>
        <v>1232</v>
      </c>
      <c r="M4411" s="920">
        <f t="shared" si="446"/>
        <v>10.496639999999999</v>
      </c>
      <c r="N4411" s="920">
        <f t="shared" si="447"/>
        <v>7</v>
      </c>
      <c r="O4411" s="918" t="str">
        <f t="shared" si="448"/>
        <v>Mar</v>
      </c>
      <c r="P4411" s="921">
        <f t="shared" si="449"/>
        <v>12</v>
      </c>
    </row>
    <row r="4412" spans="1:16" ht="15" hidden="1" customHeight="1">
      <c r="A4412" s="839">
        <v>68851107</v>
      </c>
      <c r="B4412" s="839">
        <v>2904</v>
      </c>
      <c r="C4412" s="906">
        <v>23538</v>
      </c>
      <c r="D4412" s="907">
        <v>46097</v>
      </c>
      <c r="E4412" s="839" t="s">
        <v>272</v>
      </c>
      <c r="F4412" s="839" t="s">
        <v>273</v>
      </c>
      <c r="G4412" s="916">
        <f>VLOOKUP($A4412,'Tech Litons'!$A:$I,8,FALSE)</f>
        <v>8.5199999999999998E-3</v>
      </c>
      <c r="H4412" s="917">
        <f>VLOOKUP($A4412,'Tech Litons'!$A:$I,9,FALSE)</f>
        <v>176</v>
      </c>
      <c r="I4412" s="917" t="str">
        <f>VLOOKUP($A4412,'Tech Litons'!$A:$C,3,0)</f>
        <v>48oz</v>
      </c>
      <c r="J4412" s="918" t="str">
        <f t="shared" si="444"/>
        <v>290448oz</v>
      </c>
      <c r="K4412" s="919">
        <v>1</v>
      </c>
      <c r="L4412" s="920">
        <f t="shared" si="445"/>
        <v>23538</v>
      </c>
      <c r="M4412" s="920">
        <f t="shared" si="446"/>
        <v>200.54375999999999</v>
      </c>
      <c r="N4412" s="920">
        <f t="shared" si="447"/>
        <v>133.73863636363637</v>
      </c>
      <c r="O4412" s="918" t="str">
        <f t="shared" si="448"/>
        <v>Mar</v>
      </c>
      <c r="P4412" s="921">
        <f t="shared" si="449"/>
        <v>12</v>
      </c>
    </row>
    <row r="4413" spans="1:16" ht="15" hidden="1" customHeight="1">
      <c r="A4413" s="839">
        <v>68851107</v>
      </c>
      <c r="B4413" s="839">
        <v>2904</v>
      </c>
      <c r="C4413" s="906">
        <v>2112</v>
      </c>
      <c r="D4413" s="907">
        <v>46102</v>
      </c>
      <c r="E4413" s="839" t="s">
        <v>272</v>
      </c>
      <c r="F4413" s="839" t="s">
        <v>273</v>
      </c>
      <c r="G4413" s="916">
        <f>VLOOKUP($A4413,'Tech Litons'!$A:$I,8,FALSE)</f>
        <v>8.5199999999999998E-3</v>
      </c>
      <c r="H4413" s="917">
        <f>VLOOKUP($A4413,'Tech Litons'!$A:$I,9,FALSE)</f>
        <v>176</v>
      </c>
      <c r="I4413" s="917" t="str">
        <f>VLOOKUP($A4413,'Tech Litons'!$A:$C,3,0)</f>
        <v>48oz</v>
      </c>
      <c r="J4413" s="918" t="str">
        <f t="shared" si="444"/>
        <v>290448oz</v>
      </c>
      <c r="K4413" s="919">
        <v>1</v>
      </c>
      <c r="L4413" s="920">
        <f t="shared" si="445"/>
        <v>2112</v>
      </c>
      <c r="M4413" s="920">
        <f t="shared" si="446"/>
        <v>17.994239999999998</v>
      </c>
      <c r="N4413" s="920">
        <f t="shared" si="447"/>
        <v>12</v>
      </c>
      <c r="O4413" s="918" t="str">
        <f t="shared" si="448"/>
        <v>Mar</v>
      </c>
      <c r="P4413" s="921">
        <f t="shared" si="449"/>
        <v>12</v>
      </c>
    </row>
    <row r="4414" spans="1:16" ht="15" hidden="1" customHeight="1">
      <c r="A4414" s="839">
        <v>68851107</v>
      </c>
      <c r="B4414" s="839">
        <v>2904</v>
      </c>
      <c r="C4414" s="906">
        <v>176</v>
      </c>
      <c r="D4414" s="907">
        <v>46101</v>
      </c>
      <c r="E4414" s="839" t="s">
        <v>272</v>
      </c>
      <c r="F4414" s="839" t="s">
        <v>273</v>
      </c>
      <c r="G4414" s="916">
        <f>VLOOKUP($A4414,'Tech Litons'!$A:$I,8,FALSE)</f>
        <v>8.5199999999999998E-3</v>
      </c>
      <c r="H4414" s="917">
        <f>VLOOKUP($A4414,'Tech Litons'!$A:$I,9,FALSE)</f>
        <v>176</v>
      </c>
      <c r="I4414" s="917" t="str">
        <f>VLOOKUP($A4414,'Tech Litons'!$A:$C,3,0)</f>
        <v>48oz</v>
      </c>
      <c r="J4414" s="918" t="str">
        <f t="shared" si="444"/>
        <v>290448oz</v>
      </c>
      <c r="K4414" s="919">
        <v>1</v>
      </c>
      <c r="L4414" s="920">
        <f t="shared" si="445"/>
        <v>176</v>
      </c>
      <c r="M4414" s="920">
        <f t="shared" si="446"/>
        <v>1.49952</v>
      </c>
      <c r="N4414" s="920">
        <f t="shared" si="447"/>
        <v>1</v>
      </c>
      <c r="O4414" s="918" t="str">
        <f t="shared" si="448"/>
        <v>Mar</v>
      </c>
      <c r="P4414" s="921">
        <f t="shared" si="449"/>
        <v>12</v>
      </c>
    </row>
    <row r="4415" spans="1:16" ht="15" hidden="1" customHeight="1">
      <c r="A4415" s="839">
        <v>68851107</v>
      </c>
      <c r="B4415" s="839">
        <v>2904</v>
      </c>
      <c r="C4415" s="906">
        <v>840</v>
      </c>
      <c r="D4415" s="907">
        <v>46083</v>
      </c>
      <c r="E4415" s="839" t="s">
        <v>272</v>
      </c>
      <c r="F4415" s="839" t="s">
        <v>273</v>
      </c>
      <c r="G4415" s="916">
        <f>VLOOKUP($A4415,'Tech Litons'!$A:$I,8,FALSE)</f>
        <v>8.5199999999999998E-3</v>
      </c>
      <c r="H4415" s="917">
        <f>VLOOKUP($A4415,'Tech Litons'!$A:$I,9,FALSE)</f>
        <v>176</v>
      </c>
      <c r="I4415" s="917" t="str">
        <f>VLOOKUP($A4415,'Tech Litons'!$A:$C,3,0)</f>
        <v>48oz</v>
      </c>
      <c r="J4415" s="918" t="str">
        <f t="shared" si="444"/>
        <v>290448oz</v>
      </c>
      <c r="K4415" s="919">
        <v>1</v>
      </c>
      <c r="L4415" s="920">
        <f t="shared" si="445"/>
        <v>840</v>
      </c>
      <c r="M4415" s="920">
        <f t="shared" si="446"/>
        <v>7.1567999999999996</v>
      </c>
      <c r="N4415" s="920">
        <f t="shared" si="447"/>
        <v>4.7727272727272725</v>
      </c>
      <c r="O4415" s="918" t="str">
        <f t="shared" si="448"/>
        <v>Mar</v>
      </c>
      <c r="P4415" s="921">
        <f t="shared" si="449"/>
        <v>10</v>
      </c>
    </row>
    <row r="4416" spans="1:16" ht="15" hidden="1" customHeight="1">
      <c r="A4416" s="839">
        <v>68851107</v>
      </c>
      <c r="B4416" s="839">
        <v>2904</v>
      </c>
      <c r="C4416" s="906">
        <v>4636</v>
      </c>
      <c r="D4416" s="907">
        <v>46084</v>
      </c>
      <c r="E4416" s="839" t="s">
        <v>272</v>
      </c>
      <c r="F4416" s="839" t="s">
        <v>273</v>
      </c>
      <c r="G4416" s="916">
        <f>VLOOKUP($A4416,'Tech Litons'!$A:$I,8,FALSE)</f>
        <v>8.5199999999999998E-3</v>
      </c>
      <c r="H4416" s="917">
        <f>VLOOKUP($A4416,'Tech Litons'!$A:$I,9,FALSE)</f>
        <v>176</v>
      </c>
      <c r="I4416" s="917" t="str">
        <f>VLOOKUP($A4416,'Tech Litons'!$A:$C,3,0)</f>
        <v>48oz</v>
      </c>
      <c r="J4416" s="918" t="str">
        <f t="shared" si="444"/>
        <v>290448oz</v>
      </c>
      <c r="K4416" s="919">
        <v>1</v>
      </c>
      <c r="L4416" s="920">
        <f t="shared" si="445"/>
        <v>4636</v>
      </c>
      <c r="M4416" s="920">
        <f t="shared" si="446"/>
        <v>39.498719999999999</v>
      </c>
      <c r="N4416" s="920">
        <f t="shared" si="447"/>
        <v>26.34090909090909</v>
      </c>
      <c r="O4416" s="918" t="str">
        <f t="shared" si="448"/>
        <v>Mar</v>
      </c>
      <c r="P4416" s="921">
        <f t="shared" si="449"/>
        <v>10</v>
      </c>
    </row>
    <row r="4417" spans="1:16" ht="15" hidden="1" customHeight="1">
      <c r="A4417" s="839">
        <v>68851107</v>
      </c>
      <c r="B4417" s="839">
        <v>2904</v>
      </c>
      <c r="C4417" s="906">
        <v>3143</v>
      </c>
      <c r="D4417" s="907">
        <v>46092</v>
      </c>
      <c r="E4417" s="839" t="s">
        <v>272</v>
      </c>
      <c r="F4417" s="839" t="s">
        <v>273</v>
      </c>
      <c r="G4417" s="916">
        <f>VLOOKUP($A4417,'Tech Litons'!$A:$I,8,FALSE)</f>
        <v>8.5199999999999998E-3</v>
      </c>
      <c r="H4417" s="917">
        <f>VLOOKUP($A4417,'Tech Litons'!$A:$I,9,FALSE)</f>
        <v>176</v>
      </c>
      <c r="I4417" s="917" t="str">
        <f>VLOOKUP($A4417,'Tech Litons'!$A:$C,3,0)</f>
        <v>48oz</v>
      </c>
      <c r="J4417" s="918" t="str">
        <f t="shared" si="444"/>
        <v>290448oz</v>
      </c>
      <c r="K4417" s="919">
        <v>1</v>
      </c>
      <c r="L4417" s="920">
        <f t="shared" si="445"/>
        <v>3143</v>
      </c>
      <c r="M4417" s="920">
        <f t="shared" si="446"/>
        <v>26.778359999999999</v>
      </c>
      <c r="N4417" s="920">
        <f t="shared" si="447"/>
        <v>17.857954545454547</v>
      </c>
      <c r="O4417" s="918" t="str">
        <f t="shared" si="448"/>
        <v>Mar</v>
      </c>
      <c r="P4417" s="921">
        <f t="shared" si="449"/>
        <v>11</v>
      </c>
    </row>
    <row r="4418" spans="1:16" ht="15" hidden="1" customHeight="1">
      <c r="A4418" s="839">
        <v>68851107</v>
      </c>
      <c r="B4418" s="839">
        <v>2904</v>
      </c>
      <c r="C4418" s="906">
        <v>176</v>
      </c>
      <c r="D4418" s="907">
        <v>46093</v>
      </c>
      <c r="E4418" s="839" t="s">
        <v>272</v>
      </c>
      <c r="F4418" s="839" t="s">
        <v>273</v>
      </c>
      <c r="G4418" s="916">
        <f>VLOOKUP($A4418,'Tech Litons'!$A:$I,8,FALSE)</f>
        <v>8.5199999999999998E-3</v>
      </c>
      <c r="H4418" s="917">
        <f>VLOOKUP($A4418,'Tech Litons'!$A:$I,9,FALSE)</f>
        <v>176</v>
      </c>
      <c r="I4418" s="917" t="str">
        <f>VLOOKUP($A4418,'Tech Litons'!$A:$C,3,0)</f>
        <v>48oz</v>
      </c>
      <c r="J4418" s="918" t="str">
        <f t="shared" si="444"/>
        <v>290448oz</v>
      </c>
      <c r="K4418" s="919">
        <v>1</v>
      </c>
      <c r="L4418" s="920">
        <f t="shared" si="445"/>
        <v>176</v>
      </c>
      <c r="M4418" s="920">
        <f t="shared" si="446"/>
        <v>1.49952</v>
      </c>
      <c r="N4418" s="920">
        <f t="shared" si="447"/>
        <v>1</v>
      </c>
      <c r="O4418" s="918" t="str">
        <f t="shared" si="448"/>
        <v>Mar</v>
      </c>
      <c r="P4418" s="921">
        <f t="shared" si="449"/>
        <v>11</v>
      </c>
    </row>
    <row r="4419" spans="1:16" ht="15" hidden="1" customHeight="1">
      <c r="A4419" s="839">
        <v>68851107</v>
      </c>
      <c r="B4419" s="839">
        <v>2904</v>
      </c>
      <c r="C4419" s="906">
        <v>8800</v>
      </c>
      <c r="D4419" s="907">
        <v>46097</v>
      </c>
      <c r="E4419" s="839" t="s">
        <v>272</v>
      </c>
      <c r="F4419" s="839" t="s">
        <v>273</v>
      </c>
      <c r="G4419" s="916">
        <f>VLOOKUP($A4419,'Tech Litons'!$A:$I,8,FALSE)</f>
        <v>8.5199999999999998E-3</v>
      </c>
      <c r="H4419" s="917">
        <f>VLOOKUP($A4419,'Tech Litons'!$A:$I,9,FALSE)</f>
        <v>176</v>
      </c>
      <c r="I4419" s="917" t="str">
        <f>VLOOKUP($A4419,'Tech Litons'!$A:$C,3,0)</f>
        <v>48oz</v>
      </c>
      <c r="J4419" s="918" t="str">
        <f t="shared" si="444"/>
        <v>290448oz</v>
      </c>
      <c r="K4419" s="919">
        <v>1</v>
      </c>
      <c r="L4419" s="920">
        <f t="shared" si="445"/>
        <v>8800</v>
      </c>
      <c r="M4419" s="920">
        <f t="shared" si="446"/>
        <v>74.975999999999999</v>
      </c>
      <c r="N4419" s="920">
        <f t="shared" si="447"/>
        <v>50</v>
      </c>
      <c r="O4419" s="918" t="str">
        <f t="shared" si="448"/>
        <v>Mar</v>
      </c>
      <c r="P4419" s="921">
        <f t="shared" si="449"/>
        <v>12</v>
      </c>
    </row>
    <row r="4420" spans="1:16" ht="15" hidden="1" customHeight="1">
      <c r="A4420" s="839">
        <v>68851107</v>
      </c>
      <c r="B4420" s="839">
        <v>2904</v>
      </c>
      <c r="C4420" s="906">
        <v>352</v>
      </c>
      <c r="D4420" s="907">
        <v>46098</v>
      </c>
      <c r="E4420" s="839" t="s">
        <v>272</v>
      </c>
      <c r="F4420" s="839" t="s">
        <v>273</v>
      </c>
      <c r="G4420" s="916">
        <f>VLOOKUP($A4420,'Tech Litons'!$A:$I,8,FALSE)</f>
        <v>8.5199999999999998E-3</v>
      </c>
      <c r="H4420" s="917">
        <f>VLOOKUP($A4420,'Tech Litons'!$A:$I,9,FALSE)</f>
        <v>176</v>
      </c>
      <c r="I4420" s="917" t="str">
        <f>VLOOKUP($A4420,'Tech Litons'!$A:$C,3,0)</f>
        <v>48oz</v>
      </c>
      <c r="J4420" s="918" t="str">
        <f t="shared" si="444"/>
        <v>290448oz</v>
      </c>
      <c r="K4420" s="919">
        <v>1</v>
      </c>
      <c r="L4420" s="920">
        <f t="shared" si="445"/>
        <v>352</v>
      </c>
      <c r="M4420" s="920">
        <f t="shared" si="446"/>
        <v>2.9990399999999999</v>
      </c>
      <c r="N4420" s="920">
        <f t="shared" si="447"/>
        <v>2</v>
      </c>
      <c r="O4420" s="918" t="str">
        <f t="shared" si="448"/>
        <v>Mar</v>
      </c>
      <c r="P4420" s="921">
        <f t="shared" si="449"/>
        <v>12</v>
      </c>
    </row>
    <row r="4421" spans="1:16" ht="15" hidden="1" customHeight="1">
      <c r="A4421" s="839">
        <v>68851107</v>
      </c>
      <c r="B4421" s="839">
        <v>2904</v>
      </c>
      <c r="C4421" s="906">
        <v>203</v>
      </c>
      <c r="D4421" s="907">
        <v>46099</v>
      </c>
      <c r="E4421" s="839" t="s">
        <v>272</v>
      </c>
      <c r="F4421" s="839" t="s">
        <v>273</v>
      </c>
      <c r="G4421" s="916">
        <f>VLOOKUP($A4421,'Tech Litons'!$A:$I,8,FALSE)</f>
        <v>8.5199999999999998E-3</v>
      </c>
      <c r="H4421" s="917">
        <f>VLOOKUP($A4421,'Tech Litons'!$A:$I,9,FALSE)</f>
        <v>176</v>
      </c>
      <c r="I4421" s="917" t="str">
        <f>VLOOKUP($A4421,'Tech Litons'!$A:$C,3,0)</f>
        <v>48oz</v>
      </c>
      <c r="J4421" s="918" t="str">
        <f t="shared" si="444"/>
        <v>290448oz</v>
      </c>
      <c r="K4421" s="919">
        <v>1</v>
      </c>
      <c r="L4421" s="920">
        <f t="shared" si="445"/>
        <v>203</v>
      </c>
      <c r="M4421" s="920">
        <f t="shared" si="446"/>
        <v>1.72956</v>
      </c>
      <c r="N4421" s="920">
        <f t="shared" si="447"/>
        <v>1.1534090909090908</v>
      </c>
      <c r="O4421" s="918" t="str">
        <f t="shared" si="448"/>
        <v>Mar</v>
      </c>
      <c r="P4421" s="921">
        <f t="shared" si="449"/>
        <v>12</v>
      </c>
    </row>
    <row r="4422" spans="1:16" ht="15" hidden="1" customHeight="1">
      <c r="A4422" s="839">
        <v>68851107</v>
      </c>
      <c r="B4422" s="839">
        <v>2904</v>
      </c>
      <c r="C4422" s="906">
        <v>10994</v>
      </c>
      <c r="D4422" s="907">
        <v>46102</v>
      </c>
      <c r="E4422" s="839" t="s">
        <v>272</v>
      </c>
      <c r="F4422" s="839" t="s">
        <v>273</v>
      </c>
      <c r="G4422" s="916">
        <f>VLOOKUP($A4422,'Tech Litons'!$A:$I,8,FALSE)</f>
        <v>8.5199999999999998E-3</v>
      </c>
      <c r="H4422" s="917">
        <f>VLOOKUP($A4422,'Tech Litons'!$A:$I,9,FALSE)</f>
        <v>176</v>
      </c>
      <c r="I4422" s="917" t="str">
        <f>VLOOKUP($A4422,'Tech Litons'!$A:$C,3,0)</f>
        <v>48oz</v>
      </c>
      <c r="J4422" s="918" t="str">
        <f t="shared" si="444"/>
        <v>290448oz</v>
      </c>
      <c r="K4422" s="919">
        <v>1</v>
      </c>
      <c r="L4422" s="920">
        <f t="shared" si="445"/>
        <v>10994</v>
      </c>
      <c r="M4422" s="920">
        <f t="shared" si="446"/>
        <v>93.668880000000001</v>
      </c>
      <c r="N4422" s="920">
        <f t="shared" si="447"/>
        <v>62.465909090909093</v>
      </c>
      <c r="O4422" s="918" t="str">
        <f t="shared" si="448"/>
        <v>Mar</v>
      </c>
      <c r="P4422" s="921">
        <f t="shared" si="449"/>
        <v>12</v>
      </c>
    </row>
    <row r="4423" spans="1:16" ht="15" hidden="1" customHeight="1">
      <c r="A4423" s="839">
        <v>68851107</v>
      </c>
      <c r="B4423" s="839">
        <v>2904</v>
      </c>
      <c r="C4423" s="906">
        <v>9427</v>
      </c>
      <c r="D4423" s="907">
        <v>46103</v>
      </c>
      <c r="E4423" s="839" t="s">
        <v>272</v>
      </c>
      <c r="F4423" s="839" t="s">
        <v>273</v>
      </c>
      <c r="G4423" s="916">
        <f>VLOOKUP($A4423,'Tech Litons'!$A:$I,8,FALSE)</f>
        <v>8.5199999999999998E-3</v>
      </c>
      <c r="H4423" s="917">
        <f>VLOOKUP($A4423,'Tech Litons'!$A:$I,9,FALSE)</f>
        <v>176</v>
      </c>
      <c r="I4423" s="917" t="str">
        <f>VLOOKUP($A4423,'Tech Litons'!$A:$C,3,0)</f>
        <v>48oz</v>
      </c>
      <c r="J4423" s="918" t="str">
        <f t="shared" si="444"/>
        <v>290448oz</v>
      </c>
      <c r="K4423" s="919">
        <v>1</v>
      </c>
      <c r="L4423" s="920">
        <f t="shared" si="445"/>
        <v>9427</v>
      </c>
      <c r="M4423" s="920">
        <f t="shared" si="446"/>
        <v>80.318039999999996</v>
      </c>
      <c r="N4423" s="920">
        <f t="shared" si="447"/>
        <v>53.5625</v>
      </c>
      <c r="O4423" s="918" t="str">
        <f t="shared" si="448"/>
        <v>Mar</v>
      </c>
      <c r="P4423" s="921">
        <f t="shared" si="449"/>
        <v>13</v>
      </c>
    </row>
    <row r="4424" spans="1:16" ht="15" hidden="1" customHeight="1">
      <c r="A4424" s="839">
        <v>68851107</v>
      </c>
      <c r="B4424" s="839">
        <v>2904</v>
      </c>
      <c r="C4424" s="906">
        <v>176</v>
      </c>
      <c r="D4424" s="907">
        <v>46104</v>
      </c>
      <c r="E4424" s="839" t="s">
        <v>272</v>
      </c>
      <c r="F4424" s="839" t="s">
        <v>273</v>
      </c>
      <c r="G4424" s="916">
        <f>VLOOKUP($A4424,'Tech Litons'!$A:$I,8,FALSE)</f>
        <v>8.5199999999999998E-3</v>
      </c>
      <c r="H4424" s="917">
        <f>VLOOKUP($A4424,'Tech Litons'!$A:$I,9,FALSE)</f>
        <v>176</v>
      </c>
      <c r="I4424" s="917" t="str">
        <f>VLOOKUP($A4424,'Tech Litons'!$A:$C,3,0)</f>
        <v>48oz</v>
      </c>
      <c r="J4424" s="918" t="str">
        <f t="shared" si="444"/>
        <v>290448oz</v>
      </c>
      <c r="K4424" s="919">
        <v>1</v>
      </c>
      <c r="L4424" s="920">
        <f t="shared" si="445"/>
        <v>176</v>
      </c>
      <c r="M4424" s="920">
        <f t="shared" si="446"/>
        <v>1.49952</v>
      </c>
      <c r="N4424" s="920">
        <f t="shared" si="447"/>
        <v>1</v>
      </c>
      <c r="O4424" s="918" t="str">
        <f t="shared" si="448"/>
        <v>Mar</v>
      </c>
      <c r="P4424" s="921">
        <f t="shared" si="449"/>
        <v>13</v>
      </c>
    </row>
    <row r="4425" spans="1:16" ht="15" hidden="1" customHeight="1">
      <c r="A4425" s="839">
        <v>68851107</v>
      </c>
      <c r="B4425" s="839">
        <v>2904</v>
      </c>
      <c r="C4425" s="906">
        <v>11002</v>
      </c>
      <c r="D4425" s="907">
        <v>46103</v>
      </c>
      <c r="E4425" s="839" t="s">
        <v>272</v>
      </c>
      <c r="F4425" s="839" t="s">
        <v>273</v>
      </c>
      <c r="G4425" s="916">
        <f>VLOOKUP($A4425,'Tech Litons'!$A:$I,8,FALSE)</f>
        <v>8.5199999999999998E-3</v>
      </c>
      <c r="H4425" s="917">
        <f>VLOOKUP($A4425,'Tech Litons'!$A:$I,9,FALSE)</f>
        <v>176</v>
      </c>
      <c r="I4425" s="917" t="str">
        <f>VLOOKUP($A4425,'Tech Litons'!$A:$C,3,0)</f>
        <v>48oz</v>
      </c>
      <c r="J4425" s="918" t="str">
        <f t="shared" si="444"/>
        <v>290448oz</v>
      </c>
      <c r="K4425" s="919">
        <v>1</v>
      </c>
      <c r="L4425" s="920">
        <f t="shared" si="445"/>
        <v>11002</v>
      </c>
      <c r="M4425" s="920">
        <f t="shared" si="446"/>
        <v>93.737039999999993</v>
      </c>
      <c r="N4425" s="920">
        <f t="shared" si="447"/>
        <v>62.511363636363633</v>
      </c>
      <c r="O4425" s="918" t="str">
        <f t="shared" si="448"/>
        <v>Mar</v>
      </c>
      <c r="P4425" s="921">
        <f t="shared" si="449"/>
        <v>13</v>
      </c>
    </row>
    <row r="4426" spans="1:16" ht="15" hidden="1" customHeight="1">
      <c r="A4426" s="839">
        <v>68851107</v>
      </c>
      <c r="B4426" s="839">
        <v>2904</v>
      </c>
      <c r="C4426" s="906">
        <v>6711</v>
      </c>
      <c r="D4426" s="907">
        <v>46104</v>
      </c>
      <c r="E4426" s="839" t="s">
        <v>272</v>
      </c>
      <c r="F4426" s="839" t="s">
        <v>273</v>
      </c>
      <c r="G4426" s="916">
        <f>VLOOKUP($A4426,'Tech Litons'!$A:$I,8,FALSE)</f>
        <v>8.5199999999999998E-3</v>
      </c>
      <c r="H4426" s="917">
        <f>VLOOKUP($A4426,'Tech Litons'!$A:$I,9,FALSE)</f>
        <v>176</v>
      </c>
      <c r="I4426" s="917" t="str">
        <f>VLOOKUP($A4426,'Tech Litons'!$A:$C,3,0)</f>
        <v>48oz</v>
      </c>
      <c r="J4426" s="918" t="str">
        <f t="shared" si="444"/>
        <v>290448oz</v>
      </c>
      <c r="K4426" s="919">
        <v>1</v>
      </c>
      <c r="L4426" s="920">
        <f t="shared" si="445"/>
        <v>6711</v>
      </c>
      <c r="M4426" s="920">
        <f t="shared" si="446"/>
        <v>57.177720000000001</v>
      </c>
      <c r="N4426" s="920">
        <f t="shared" si="447"/>
        <v>38.13068181818182</v>
      </c>
      <c r="O4426" s="918" t="str">
        <f t="shared" si="448"/>
        <v>Mar</v>
      </c>
      <c r="P4426" s="921">
        <f t="shared" si="449"/>
        <v>13</v>
      </c>
    </row>
    <row r="4427" spans="1:16" ht="15" hidden="1" customHeight="1">
      <c r="A4427" s="839">
        <v>68851108</v>
      </c>
      <c r="B4427" s="839">
        <v>2904</v>
      </c>
      <c r="C4427" s="906">
        <v>2997</v>
      </c>
      <c r="D4427" s="907">
        <v>46078</v>
      </c>
      <c r="E4427" s="839" t="s">
        <v>296</v>
      </c>
      <c r="F4427" s="839" t="s">
        <v>273</v>
      </c>
      <c r="G4427" s="916">
        <f>VLOOKUP($A4427,'Tech Litons'!$A:$I,8,FALSE)</f>
        <v>8.5199999999999998E-3</v>
      </c>
      <c r="H4427" s="917">
        <f>VLOOKUP($A4427,'Tech Litons'!$A:$I,9,FALSE)</f>
        <v>176</v>
      </c>
      <c r="I4427" s="917" t="str">
        <f>VLOOKUP($A4427,'Tech Litons'!$A:$C,3,0)</f>
        <v>48oz</v>
      </c>
      <c r="J4427" s="918" t="str">
        <f t="shared" si="444"/>
        <v>290448oz</v>
      </c>
      <c r="K4427" s="919">
        <v>1</v>
      </c>
      <c r="L4427" s="920">
        <f t="shared" si="445"/>
        <v>2997</v>
      </c>
      <c r="M4427" s="920">
        <f t="shared" si="446"/>
        <v>25.53444</v>
      </c>
      <c r="N4427" s="920">
        <f t="shared" si="447"/>
        <v>17.02840909090909</v>
      </c>
      <c r="O4427" s="918" t="str">
        <f t="shared" si="448"/>
        <v>Feb</v>
      </c>
      <c r="P4427" s="921">
        <f t="shared" si="449"/>
        <v>9</v>
      </c>
    </row>
    <row r="4428" spans="1:16" ht="15" hidden="1" customHeight="1">
      <c r="A4428" s="839">
        <v>68851108</v>
      </c>
      <c r="B4428" s="839">
        <v>2904</v>
      </c>
      <c r="C4428" s="906">
        <v>4576</v>
      </c>
      <c r="D4428" s="907">
        <v>46079</v>
      </c>
      <c r="E4428" s="839" t="s">
        <v>296</v>
      </c>
      <c r="F4428" s="839" t="s">
        <v>273</v>
      </c>
      <c r="G4428" s="916">
        <f>VLOOKUP($A4428,'Tech Litons'!$A:$I,8,FALSE)</f>
        <v>8.5199999999999998E-3</v>
      </c>
      <c r="H4428" s="917">
        <f>VLOOKUP($A4428,'Tech Litons'!$A:$I,9,FALSE)</f>
        <v>176</v>
      </c>
      <c r="I4428" s="917" t="str">
        <f>VLOOKUP($A4428,'Tech Litons'!$A:$C,3,0)</f>
        <v>48oz</v>
      </c>
      <c r="J4428" s="918" t="str">
        <f t="shared" si="444"/>
        <v>290448oz</v>
      </c>
      <c r="K4428" s="919">
        <v>1</v>
      </c>
      <c r="L4428" s="920">
        <f t="shared" si="445"/>
        <v>4576</v>
      </c>
      <c r="M4428" s="920">
        <f t="shared" si="446"/>
        <v>38.987519999999996</v>
      </c>
      <c r="N4428" s="920">
        <f t="shared" si="447"/>
        <v>26</v>
      </c>
      <c r="O4428" s="918" t="str">
        <f t="shared" si="448"/>
        <v>Feb</v>
      </c>
      <c r="P4428" s="921">
        <f t="shared" si="449"/>
        <v>9</v>
      </c>
    </row>
    <row r="4429" spans="1:16" ht="15" hidden="1" customHeight="1">
      <c r="A4429" s="839">
        <v>68851108</v>
      </c>
      <c r="B4429" s="839">
        <v>2904</v>
      </c>
      <c r="C4429" s="906">
        <v>2902</v>
      </c>
      <c r="D4429" s="907">
        <v>46088</v>
      </c>
      <c r="E4429" s="839" t="s">
        <v>296</v>
      </c>
      <c r="F4429" s="839" t="s">
        <v>273</v>
      </c>
      <c r="G4429" s="916">
        <f>VLOOKUP($A4429,'Tech Litons'!$A:$I,8,FALSE)</f>
        <v>8.5199999999999998E-3</v>
      </c>
      <c r="H4429" s="917">
        <f>VLOOKUP($A4429,'Tech Litons'!$A:$I,9,FALSE)</f>
        <v>176</v>
      </c>
      <c r="I4429" s="917" t="str">
        <f>VLOOKUP($A4429,'Tech Litons'!$A:$C,3,0)</f>
        <v>48oz</v>
      </c>
      <c r="J4429" s="918" t="str">
        <f t="shared" si="444"/>
        <v>290448oz</v>
      </c>
      <c r="K4429" s="919">
        <v>1</v>
      </c>
      <c r="L4429" s="920">
        <f t="shared" si="445"/>
        <v>2902</v>
      </c>
      <c r="M4429" s="920">
        <f t="shared" si="446"/>
        <v>24.72504</v>
      </c>
      <c r="N4429" s="920">
        <f t="shared" si="447"/>
        <v>16.488636363636363</v>
      </c>
      <c r="O4429" s="918" t="str">
        <f t="shared" si="448"/>
        <v>Mar</v>
      </c>
      <c r="P4429" s="921">
        <f t="shared" si="449"/>
        <v>10</v>
      </c>
    </row>
    <row r="4430" spans="1:16" ht="15" hidden="1" customHeight="1">
      <c r="A4430" s="839">
        <v>68851108</v>
      </c>
      <c r="B4430" s="839">
        <v>2904</v>
      </c>
      <c r="C4430" s="906">
        <v>11566</v>
      </c>
      <c r="D4430" s="907">
        <v>46089</v>
      </c>
      <c r="E4430" s="839" t="s">
        <v>296</v>
      </c>
      <c r="F4430" s="839" t="s">
        <v>273</v>
      </c>
      <c r="G4430" s="916">
        <f>VLOOKUP($A4430,'Tech Litons'!$A:$I,8,FALSE)</f>
        <v>8.5199999999999998E-3</v>
      </c>
      <c r="H4430" s="917">
        <f>VLOOKUP($A4430,'Tech Litons'!$A:$I,9,FALSE)</f>
        <v>176</v>
      </c>
      <c r="I4430" s="917" t="str">
        <f>VLOOKUP($A4430,'Tech Litons'!$A:$C,3,0)</f>
        <v>48oz</v>
      </c>
      <c r="J4430" s="918" t="str">
        <f t="shared" si="444"/>
        <v>290448oz</v>
      </c>
      <c r="K4430" s="919">
        <v>1</v>
      </c>
      <c r="L4430" s="920">
        <f t="shared" si="445"/>
        <v>11566</v>
      </c>
      <c r="M4430" s="920">
        <f t="shared" si="446"/>
        <v>98.542320000000004</v>
      </c>
      <c r="N4430" s="920">
        <f t="shared" si="447"/>
        <v>65.715909090909093</v>
      </c>
      <c r="O4430" s="918" t="str">
        <f t="shared" si="448"/>
        <v>Mar</v>
      </c>
      <c r="P4430" s="921">
        <f t="shared" si="449"/>
        <v>11</v>
      </c>
    </row>
    <row r="4431" spans="1:16" ht="15" hidden="1" customHeight="1">
      <c r="A4431" s="839">
        <v>68851108</v>
      </c>
      <c r="B4431" s="839">
        <v>2904</v>
      </c>
      <c r="C4431" s="906">
        <v>12320</v>
      </c>
      <c r="D4431" s="907">
        <v>46089</v>
      </c>
      <c r="E4431" s="839" t="s">
        <v>296</v>
      </c>
      <c r="F4431" s="839" t="s">
        <v>273</v>
      </c>
      <c r="G4431" s="916">
        <f>VLOOKUP($A4431,'Tech Litons'!$A:$I,8,FALSE)</f>
        <v>8.5199999999999998E-3</v>
      </c>
      <c r="H4431" s="917">
        <f>VLOOKUP($A4431,'Tech Litons'!$A:$I,9,FALSE)</f>
        <v>176</v>
      </c>
      <c r="I4431" s="917" t="str">
        <f>VLOOKUP($A4431,'Tech Litons'!$A:$C,3,0)</f>
        <v>48oz</v>
      </c>
      <c r="J4431" s="918" t="str">
        <f t="shared" si="444"/>
        <v>290448oz</v>
      </c>
      <c r="K4431" s="919">
        <v>1</v>
      </c>
      <c r="L4431" s="920">
        <f t="shared" si="445"/>
        <v>12320</v>
      </c>
      <c r="M4431" s="920">
        <f t="shared" si="446"/>
        <v>104.96639999999999</v>
      </c>
      <c r="N4431" s="920">
        <f t="shared" si="447"/>
        <v>70</v>
      </c>
      <c r="O4431" s="918" t="str">
        <f t="shared" si="448"/>
        <v>Mar</v>
      </c>
      <c r="P4431" s="921">
        <f t="shared" si="449"/>
        <v>11</v>
      </c>
    </row>
    <row r="4432" spans="1:16" ht="15" hidden="1" customHeight="1">
      <c r="A4432" s="839">
        <v>68851108</v>
      </c>
      <c r="B4432" s="839">
        <v>2904</v>
      </c>
      <c r="C4432" s="906">
        <v>10384</v>
      </c>
      <c r="D4432" s="907">
        <v>46090</v>
      </c>
      <c r="E4432" s="839" t="s">
        <v>296</v>
      </c>
      <c r="F4432" s="839" t="s">
        <v>273</v>
      </c>
      <c r="G4432" s="916">
        <f>VLOOKUP($A4432,'Tech Litons'!$A:$I,8,FALSE)</f>
        <v>8.5199999999999998E-3</v>
      </c>
      <c r="H4432" s="917">
        <f>VLOOKUP($A4432,'Tech Litons'!$A:$I,9,FALSE)</f>
        <v>176</v>
      </c>
      <c r="I4432" s="917" t="str">
        <f>VLOOKUP($A4432,'Tech Litons'!$A:$C,3,0)</f>
        <v>48oz</v>
      </c>
      <c r="J4432" s="918" t="str">
        <f t="shared" si="444"/>
        <v>290448oz</v>
      </c>
      <c r="K4432" s="919">
        <v>1</v>
      </c>
      <c r="L4432" s="920">
        <f t="shared" si="445"/>
        <v>10384</v>
      </c>
      <c r="M4432" s="920">
        <f t="shared" si="446"/>
        <v>88.471679999999992</v>
      </c>
      <c r="N4432" s="920">
        <f t="shared" si="447"/>
        <v>59</v>
      </c>
      <c r="O4432" s="918" t="str">
        <f t="shared" si="448"/>
        <v>Mar</v>
      </c>
      <c r="P4432" s="921">
        <f t="shared" si="449"/>
        <v>11</v>
      </c>
    </row>
    <row r="4433" spans="1:16" ht="15" hidden="1" customHeight="1">
      <c r="A4433" s="839">
        <v>68851108</v>
      </c>
      <c r="B4433" s="839">
        <v>2904</v>
      </c>
      <c r="C4433" s="906">
        <v>13024</v>
      </c>
      <c r="D4433" s="907">
        <v>46090</v>
      </c>
      <c r="E4433" s="839" t="s">
        <v>296</v>
      </c>
      <c r="F4433" s="839" t="s">
        <v>273</v>
      </c>
      <c r="G4433" s="916">
        <f>VLOOKUP($A4433,'Tech Litons'!$A:$I,8,FALSE)</f>
        <v>8.5199999999999998E-3</v>
      </c>
      <c r="H4433" s="917">
        <f>VLOOKUP($A4433,'Tech Litons'!$A:$I,9,FALSE)</f>
        <v>176</v>
      </c>
      <c r="I4433" s="917" t="str">
        <f>VLOOKUP($A4433,'Tech Litons'!$A:$C,3,0)</f>
        <v>48oz</v>
      </c>
      <c r="J4433" s="918" t="str">
        <f t="shared" si="444"/>
        <v>290448oz</v>
      </c>
      <c r="K4433" s="919">
        <v>1</v>
      </c>
      <c r="L4433" s="920">
        <f t="shared" si="445"/>
        <v>13024</v>
      </c>
      <c r="M4433" s="920">
        <f t="shared" si="446"/>
        <v>110.96447999999999</v>
      </c>
      <c r="N4433" s="920">
        <f t="shared" si="447"/>
        <v>74</v>
      </c>
      <c r="O4433" s="918" t="str">
        <f t="shared" si="448"/>
        <v>Mar</v>
      </c>
      <c r="P4433" s="921">
        <f t="shared" si="449"/>
        <v>11</v>
      </c>
    </row>
    <row r="4434" spans="1:16" ht="15" hidden="1" customHeight="1">
      <c r="A4434" s="839">
        <v>68851108</v>
      </c>
      <c r="B4434" s="839">
        <v>2904</v>
      </c>
      <c r="C4434" s="906">
        <v>10032</v>
      </c>
      <c r="D4434" s="907">
        <v>46091</v>
      </c>
      <c r="E4434" s="839" t="s">
        <v>296</v>
      </c>
      <c r="F4434" s="839" t="s">
        <v>273</v>
      </c>
      <c r="G4434" s="916">
        <f>VLOOKUP($A4434,'Tech Litons'!$A:$I,8,FALSE)</f>
        <v>8.5199999999999998E-3</v>
      </c>
      <c r="H4434" s="917">
        <f>VLOOKUP($A4434,'Tech Litons'!$A:$I,9,FALSE)</f>
        <v>176</v>
      </c>
      <c r="I4434" s="917" t="str">
        <f>VLOOKUP($A4434,'Tech Litons'!$A:$C,3,0)</f>
        <v>48oz</v>
      </c>
      <c r="J4434" s="918" t="str">
        <f t="shared" si="444"/>
        <v>290448oz</v>
      </c>
      <c r="K4434" s="919">
        <v>1</v>
      </c>
      <c r="L4434" s="920">
        <f t="shared" si="445"/>
        <v>10032</v>
      </c>
      <c r="M4434" s="920">
        <f t="shared" si="446"/>
        <v>85.472639999999998</v>
      </c>
      <c r="N4434" s="920">
        <f t="shared" si="447"/>
        <v>57</v>
      </c>
      <c r="O4434" s="918" t="str">
        <f t="shared" si="448"/>
        <v>Mar</v>
      </c>
      <c r="P4434" s="921">
        <f t="shared" si="449"/>
        <v>11</v>
      </c>
    </row>
    <row r="4435" spans="1:16" ht="15" hidden="1" customHeight="1">
      <c r="A4435" s="839">
        <v>68851108</v>
      </c>
      <c r="B4435" s="839">
        <v>2904</v>
      </c>
      <c r="C4435" s="906">
        <v>10384</v>
      </c>
      <c r="D4435" s="907">
        <v>46079</v>
      </c>
      <c r="E4435" s="839" t="s">
        <v>296</v>
      </c>
      <c r="F4435" s="839" t="s">
        <v>273</v>
      </c>
      <c r="G4435" s="916">
        <f>VLOOKUP($A4435,'Tech Litons'!$A:$I,8,FALSE)</f>
        <v>8.5199999999999998E-3</v>
      </c>
      <c r="H4435" s="917">
        <f>VLOOKUP($A4435,'Tech Litons'!$A:$I,9,FALSE)</f>
        <v>176</v>
      </c>
      <c r="I4435" s="917" t="str">
        <f>VLOOKUP($A4435,'Tech Litons'!$A:$C,3,0)</f>
        <v>48oz</v>
      </c>
      <c r="J4435" s="918" t="str">
        <f t="shared" si="444"/>
        <v>290448oz</v>
      </c>
      <c r="K4435" s="919">
        <v>1</v>
      </c>
      <c r="L4435" s="920">
        <f t="shared" si="445"/>
        <v>10384</v>
      </c>
      <c r="M4435" s="920">
        <f t="shared" si="446"/>
        <v>88.471679999999992</v>
      </c>
      <c r="N4435" s="920">
        <f t="shared" si="447"/>
        <v>59</v>
      </c>
      <c r="O4435" s="918" t="str">
        <f t="shared" si="448"/>
        <v>Feb</v>
      </c>
      <c r="P4435" s="921">
        <f t="shared" si="449"/>
        <v>9</v>
      </c>
    </row>
    <row r="4436" spans="1:16" ht="15" hidden="1" customHeight="1">
      <c r="A4436" s="839">
        <v>68851108</v>
      </c>
      <c r="B4436" s="839">
        <v>2904</v>
      </c>
      <c r="C4436" s="906">
        <v>9064</v>
      </c>
      <c r="D4436" s="907">
        <v>46080</v>
      </c>
      <c r="E4436" s="839" t="s">
        <v>296</v>
      </c>
      <c r="F4436" s="839" t="s">
        <v>273</v>
      </c>
      <c r="G4436" s="916">
        <f>VLOOKUP($A4436,'Tech Litons'!$A:$I,8,FALSE)</f>
        <v>8.5199999999999998E-3</v>
      </c>
      <c r="H4436" s="917">
        <f>VLOOKUP($A4436,'Tech Litons'!$A:$I,9,FALSE)</f>
        <v>176</v>
      </c>
      <c r="I4436" s="917" t="str">
        <f>VLOOKUP($A4436,'Tech Litons'!$A:$C,3,0)</f>
        <v>48oz</v>
      </c>
      <c r="J4436" s="918" t="str">
        <f t="shared" si="444"/>
        <v>290448oz</v>
      </c>
      <c r="K4436" s="919">
        <v>1</v>
      </c>
      <c r="L4436" s="920">
        <f t="shared" si="445"/>
        <v>9064</v>
      </c>
      <c r="M4436" s="920">
        <f t="shared" si="446"/>
        <v>77.225279999999998</v>
      </c>
      <c r="N4436" s="920">
        <f t="shared" si="447"/>
        <v>51.5</v>
      </c>
      <c r="O4436" s="918" t="str">
        <f t="shared" si="448"/>
        <v>Feb</v>
      </c>
      <c r="P4436" s="921">
        <f t="shared" si="449"/>
        <v>9</v>
      </c>
    </row>
    <row r="4437" spans="1:16" ht="15" hidden="1" customHeight="1">
      <c r="A4437" s="839">
        <v>68851108</v>
      </c>
      <c r="B4437" s="839">
        <v>2904</v>
      </c>
      <c r="C4437" s="906">
        <v>10032</v>
      </c>
      <c r="D4437" s="907">
        <v>46080</v>
      </c>
      <c r="E4437" s="839" t="s">
        <v>296</v>
      </c>
      <c r="F4437" s="839" t="s">
        <v>273</v>
      </c>
      <c r="G4437" s="916">
        <f>VLOOKUP($A4437,'Tech Litons'!$A:$I,8,FALSE)</f>
        <v>8.5199999999999998E-3</v>
      </c>
      <c r="H4437" s="917">
        <f>VLOOKUP($A4437,'Tech Litons'!$A:$I,9,FALSE)</f>
        <v>176</v>
      </c>
      <c r="I4437" s="917" t="str">
        <f>VLOOKUP($A4437,'Tech Litons'!$A:$C,3,0)</f>
        <v>48oz</v>
      </c>
      <c r="J4437" s="918" t="str">
        <f t="shared" si="444"/>
        <v>290448oz</v>
      </c>
      <c r="K4437" s="919">
        <v>1</v>
      </c>
      <c r="L4437" s="920">
        <f t="shared" si="445"/>
        <v>10032</v>
      </c>
      <c r="M4437" s="920">
        <f t="shared" si="446"/>
        <v>85.472639999999998</v>
      </c>
      <c r="N4437" s="920">
        <f t="shared" si="447"/>
        <v>57</v>
      </c>
      <c r="O4437" s="918" t="str">
        <f t="shared" si="448"/>
        <v>Feb</v>
      </c>
      <c r="P4437" s="921">
        <f t="shared" si="449"/>
        <v>9</v>
      </c>
    </row>
    <row r="4438" spans="1:16" ht="15" hidden="1" customHeight="1">
      <c r="A4438" s="839">
        <v>68851108</v>
      </c>
      <c r="B4438" s="839">
        <v>2904</v>
      </c>
      <c r="C4438" s="906">
        <v>2248</v>
      </c>
      <c r="D4438" s="907">
        <v>46081</v>
      </c>
      <c r="E4438" s="839" t="s">
        <v>296</v>
      </c>
      <c r="F4438" s="839" t="s">
        <v>273</v>
      </c>
      <c r="G4438" s="916">
        <f>VLOOKUP($A4438,'Tech Litons'!$A:$I,8,FALSE)</f>
        <v>8.5199999999999998E-3</v>
      </c>
      <c r="H4438" s="917">
        <f>VLOOKUP($A4438,'Tech Litons'!$A:$I,9,FALSE)</f>
        <v>176</v>
      </c>
      <c r="I4438" s="917" t="str">
        <f>VLOOKUP($A4438,'Tech Litons'!$A:$C,3,0)</f>
        <v>48oz</v>
      </c>
      <c r="J4438" s="918" t="str">
        <f t="shared" si="444"/>
        <v>290448oz</v>
      </c>
      <c r="K4438" s="919">
        <v>1</v>
      </c>
      <c r="L4438" s="920">
        <f t="shared" si="445"/>
        <v>2248</v>
      </c>
      <c r="M4438" s="920">
        <f t="shared" si="446"/>
        <v>19.15296</v>
      </c>
      <c r="N4438" s="920">
        <f t="shared" si="447"/>
        <v>12.772727272727273</v>
      </c>
      <c r="O4438" s="918" t="str">
        <f t="shared" si="448"/>
        <v>Feb</v>
      </c>
      <c r="P4438" s="921">
        <f t="shared" si="449"/>
        <v>9</v>
      </c>
    </row>
    <row r="4439" spans="1:16" ht="15" hidden="1" customHeight="1">
      <c r="A4439" s="839">
        <v>68851108</v>
      </c>
      <c r="B4439" s="839">
        <v>2904</v>
      </c>
      <c r="C4439" s="906">
        <v>4862</v>
      </c>
      <c r="D4439" s="907">
        <v>46105</v>
      </c>
      <c r="E4439" s="839" t="s">
        <v>296</v>
      </c>
      <c r="F4439" s="839" t="s">
        <v>273</v>
      </c>
      <c r="G4439" s="916">
        <f>VLOOKUP($A4439,'Tech Litons'!$A:$I,8,FALSE)</f>
        <v>8.5199999999999998E-3</v>
      </c>
      <c r="H4439" s="917">
        <f>VLOOKUP($A4439,'Tech Litons'!$A:$I,9,FALSE)</f>
        <v>176</v>
      </c>
      <c r="I4439" s="917" t="str">
        <f>VLOOKUP($A4439,'Tech Litons'!$A:$C,3,0)</f>
        <v>48oz</v>
      </c>
      <c r="J4439" s="918" t="str">
        <f t="shared" si="444"/>
        <v>290448oz</v>
      </c>
      <c r="K4439" s="919">
        <v>1</v>
      </c>
      <c r="L4439" s="920">
        <f t="shared" si="445"/>
        <v>4862</v>
      </c>
      <c r="M4439" s="920">
        <f t="shared" si="446"/>
        <v>41.424239999999998</v>
      </c>
      <c r="N4439" s="920">
        <f t="shared" si="447"/>
        <v>27.625</v>
      </c>
      <c r="O4439" s="918" t="str">
        <f t="shared" si="448"/>
        <v>Mar</v>
      </c>
      <c r="P4439" s="921">
        <f t="shared" si="449"/>
        <v>13</v>
      </c>
    </row>
    <row r="4440" spans="1:16" ht="15" hidden="1" customHeight="1">
      <c r="A4440" s="839">
        <v>68851108</v>
      </c>
      <c r="B4440" s="839">
        <v>2904</v>
      </c>
      <c r="C4440" s="906">
        <v>2112</v>
      </c>
      <c r="D4440" s="907">
        <v>46078</v>
      </c>
      <c r="E4440" s="839" t="s">
        <v>296</v>
      </c>
      <c r="F4440" s="839" t="s">
        <v>273</v>
      </c>
      <c r="G4440" s="916">
        <f>VLOOKUP($A4440,'Tech Litons'!$A:$I,8,FALSE)</f>
        <v>8.5199999999999998E-3</v>
      </c>
      <c r="H4440" s="917">
        <f>VLOOKUP($A4440,'Tech Litons'!$A:$I,9,FALSE)</f>
        <v>176</v>
      </c>
      <c r="I4440" s="917" t="str">
        <f>VLOOKUP($A4440,'Tech Litons'!$A:$C,3,0)</f>
        <v>48oz</v>
      </c>
      <c r="J4440" s="918" t="str">
        <f t="shared" si="444"/>
        <v>290448oz</v>
      </c>
      <c r="K4440" s="919">
        <v>1</v>
      </c>
      <c r="L4440" s="920">
        <f t="shared" si="445"/>
        <v>2112</v>
      </c>
      <c r="M4440" s="920">
        <f t="shared" si="446"/>
        <v>17.994239999999998</v>
      </c>
      <c r="N4440" s="920">
        <f t="shared" si="447"/>
        <v>12</v>
      </c>
      <c r="O4440" s="918" t="str">
        <f t="shared" si="448"/>
        <v>Feb</v>
      </c>
      <c r="P4440" s="921">
        <f t="shared" si="449"/>
        <v>9</v>
      </c>
    </row>
    <row r="4441" spans="1:16" ht="15" hidden="1" customHeight="1">
      <c r="A4441" s="839">
        <v>68851108</v>
      </c>
      <c r="B4441" s="839">
        <v>2904</v>
      </c>
      <c r="C4441" s="906">
        <v>9742</v>
      </c>
      <c r="D4441" s="907">
        <v>46091</v>
      </c>
      <c r="E4441" s="839" t="s">
        <v>296</v>
      </c>
      <c r="F4441" s="839" t="s">
        <v>273</v>
      </c>
      <c r="G4441" s="916">
        <f>VLOOKUP($A4441,'Tech Litons'!$A:$I,8,FALSE)</f>
        <v>8.5199999999999998E-3</v>
      </c>
      <c r="H4441" s="917">
        <f>VLOOKUP($A4441,'Tech Litons'!$A:$I,9,FALSE)</f>
        <v>176</v>
      </c>
      <c r="I4441" s="917" t="str">
        <f>VLOOKUP($A4441,'Tech Litons'!$A:$C,3,0)</f>
        <v>48oz</v>
      </c>
      <c r="J4441" s="918" t="str">
        <f t="shared" si="444"/>
        <v>290448oz</v>
      </c>
      <c r="K4441" s="919">
        <v>1</v>
      </c>
      <c r="L4441" s="920">
        <f t="shared" si="445"/>
        <v>9742</v>
      </c>
      <c r="M4441" s="920">
        <f t="shared" si="446"/>
        <v>83.001840000000001</v>
      </c>
      <c r="N4441" s="920">
        <f t="shared" si="447"/>
        <v>55.352272727272727</v>
      </c>
      <c r="O4441" s="918" t="str">
        <f t="shared" si="448"/>
        <v>Mar</v>
      </c>
      <c r="P4441" s="921">
        <f t="shared" si="449"/>
        <v>11</v>
      </c>
    </row>
    <row r="4442" spans="1:16" ht="15" hidden="1" customHeight="1">
      <c r="A4442" s="839">
        <v>68851108</v>
      </c>
      <c r="B4442" s="839">
        <v>2904</v>
      </c>
      <c r="C4442" s="906">
        <v>13728</v>
      </c>
      <c r="D4442" s="907">
        <v>46105</v>
      </c>
      <c r="E4442" s="839" t="s">
        <v>296</v>
      </c>
      <c r="F4442" s="839" t="s">
        <v>273</v>
      </c>
      <c r="G4442" s="916">
        <f>VLOOKUP($A4442,'Tech Litons'!$A:$I,8,FALSE)</f>
        <v>8.5199999999999998E-3</v>
      </c>
      <c r="H4442" s="917">
        <f>VLOOKUP($A4442,'Tech Litons'!$A:$I,9,FALSE)</f>
        <v>176</v>
      </c>
      <c r="I4442" s="917" t="str">
        <f>VLOOKUP($A4442,'Tech Litons'!$A:$C,3,0)</f>
        <v>48oz</v>
      </c>
      <c r="J4442" s="918" t="str">
        <f t="shared" si="444"/>
        <v>290448oz</v>
      </c>
      <c r="K4442" s="919">
        <v>1</v>
      </c>
      <c r="L4442" s="920">
        <f t="shared" si="445"/>
        <v>13728</v>
      </c>
      <c r="M4442" s="920">
        <f t="shared" si="446"/>
        <v>116.96256</v>
      </c>
      <c r="N4442" s="920">
        <f t="shared" si="447"/>
        <v>78</v>
      </c>
      <c r="O4442" s="918" t="str">
        <f t="shared" si="448"/>
        <v>Mar</v>
      </c>
      <c r="P4442" s="921">
        <f t="shared" si="449"/>
        <v>13</v>
      </c>
    </row>
    <row r="4443" spans="1:16" ht="15" hidden="1" customHeight="1">
      <c r="A4443" s="839">
        <v>68852591</v>
      </c>
      <c r="B4443" s="839">
        <v>2904</v>
      </c>
      <c r="C4443" s="906">
        <v>396</v>
      </c>
      <c r="D4443" s="907">
        <v>46097</v>
      </c>
      <c r="E4443" s="839" t="s">
        <v>326</v>
      </c>
      <c r="F4443" s="839" t="s">
        <v>243</v>
      </c>
      <c r="G4443" s="916">
        <f>VLOOKUP($A4443,'Tech Litons'!$A:$I,8,FALSE)</f>
        <v>8.5199999999999998E-3</v>
      </c>
      <c r="H4443" s="917">
        <f>VLOOKUP($A4443,'Tech Litons'!$A:$I,9,FALSE)</f>
        <v>132</v>
      </c>
      <c r="I4443" s="917" t="str">
        <f>VLOOKUP($A4443,'Tech Litons'!$A:$C,3,0)</f>
        <v>EDF</v>
      </c>
      <c r="J4443" s="918" t="str">
        <f t="shared" si="444"/>
        <v>2904EDF</v>
      </c>
      <c r="K4443" s="919">
        <v>1</v>
      </c>
      <c r="L4443" s="920">
        <f t="shared" si="445"/>
        <v>396</v>
      </c>
      <c r="M4443" s="920">
        <f t="shared" si="446"/>
        <v>3.37392</v>
      </c>
      <c r="N4443" s="920">
        <f t="shared" si="447"/>
        <v>3</v>
      </c>
      <c r="O4443" s="918" t="str">
        <f t="shared" si="448"/>
        <v>Mar</v>
      </c>
      <c r="P4443" s="921">
        <f t="shared" si="449"/>
        <v>12</v>
      </c>
    </row>
    <row r="4444" spans="1:16" ht="15" hidden="1" customHeight="1">
      <c r="A4444" s="839">
        <v>68852591</v>
      </c>
      <c r="B4444" s="839">
        <v>2904</v>
      </c>
      <c r="C4444" s="906">
        <v>779</v>
      </c>
      <c r="D4444" s="907">
        <v>46098</v>
      </c>
      <c r="E4444" s="839" t="s">
        <v>326</v>
      </c>
      <c r="F4444" s="839" t="s">
        <v>243</v>
      </c>
      <c r="G4444" s="916">
        <f>VLOOKUP($A4444,'Tech Litons'!$A:$I,8,FALSE)</f>
        <v>8.5199999999999998E-3</v>
      </c>
      <c r="H4444" s="917">
        <f>VLOOKUP($A4444,'Tech Litons'!$A:$I,9,FALSE)</f>
        <v>132</v>
      </c>
      <c r="I4444" s="917" t="str">
        <f>VLOOKUP($A4444,'Tech Litons'!$A:$C,3,0)</f>
        <v>EDF</v>
      </c>
      <c r="J4444" s="918" t="str">
        <f t="shared" si="444"/>
        <v>2904EDF</v>
      </c>
      <c r="K4444" s="919">
        <v>1</v>
      </c>
      <c r="L4444" s="920">
        <f t="shared" si="445"/>
        <v>779</v>
      </c>
      <c r="M4444" s="920">
        <f t="shared" si="446"/>
        <v>6.6370800000000001</v>
      </c>
      <c r="N4444" s="920">
        <f t="shared" si="447"/>
        <v>5.9015151515151514</v>
      </c>
      <c r="O4444" s="918" t="str">
        <f t="shared" si="448"/>
        <v>Mar</v>
      </c>
      <c r="P4444" s="921">
        <f t="shared" si="449"/>
        <v>12</v>
      </c>
    </row>
    <row r="4445" spans="1:16" ht="15" hidden="1" customHeight="1">
      <c r="A4445" s="839">
        <v>68852591</v>
      </c>
      <c r="B4445" s="839">
        <v>2904</v>
      </c>
      <c r="C4445" s="906">
        <v>2112</v>
      </c>
      <c r="D4445" s="907">
        <v>46098</v>
      </c>
      <c r="E4445" s="839" t="s">
        <v>326</v>
      </c>
      <c r="F4445" s="839" t="s">
        <v>243</v>
      </c>
      <c r="G4445" s="916">
        <f>VLOOKUP($A4445,'Tech Litons'!$A:$I,8,FALSE)</f>
        <v>8.5199999999999998E-3</v>
      </c>
      <c r="H4445" s="917">
        <f>VLOOKUP($A4445,'Tech Litons'!$A:$I,9,FALSE)</f>
        <v>132</v>
      </c>
      <c r="I4445" s="917" t="str">
        <f>VLOOKUP($A4445,'Tech Litons'!$A:$C,3,0)</f>
        <v>EDF</v>
      </c>
      <c r="J4445" s="918" t="str">
        <f t="shared" si="444"/>
        <v>2904EDF</v>
      </c>
      <c r="K4445" s="919">
        <v>1</v>
      </c>
      <c r="L4445" s="920">
        <f t="shared" si="445"/>
        <v>2112</v>
      </c>
      <c r="M4445" s="920">
        <f t="shared" si="446"/>
        <v>17.994239999999998</v>
      </c>
      <c r="N4445" s="920">
        <f t="shared" si="447"/>
        <v>16</v>
      </c>
      <c r="O4445" s="918" t="str">
        <f t="shared" si="448"/>
        <v>Mar</v>
      </c>
      <c r="P4445" s="921">
        <f t="shared" si="449"/>
        <v>12</v>
      </c>
    </row>
    <row r="4446" spans="1:16" ht="15" hidden="1" customHeight="1">
      <c r="A4446" s="839">
        <v>68852591</v>
      </c>
      <c r="B4446" s="839">
        <v>2904</v>
      </c>
      <c r="C4446" s="906">
        <v>1056</v>
      </c>
      <c r="D4446" s="907">
        <v>46099</v>
      </c>
      <c r="E4446" s="839" t="s">
        <v>326</v>
      </c>
      <c r="F4446" s="839" t="s">
        <v>243</v>
      </c>
      <c r="G4446" s="916">
        <f>VLOOKUP($A4446,'Tech Litons'!$A:$I,8,FALSE)</f>
        <v>8.5199999999999998E-3</v>
      </c>
      <c r="H4446" s="917">
        <f>VLOOKUP($A4446,'Tech Litons'!$A:$I,9,FALSE)</f>
        <v>132</v>
      </c>
      <c r="I4446" s="917" t="str">
        <f>VLOOKUP($A4446,'Tech Litons'!$A:$C,3,0)</f>
        <v>EDF</v>
      </c>
      <c r="J4446" s="918" t="str">
        <f t="shared" si="444"/>
        <v>2904EDF</v>
      </c>
      <c r="K4446" s="919">
        <v>1</v>
      </c>
      <c r="L4446" s="920">
        <f t="shared" si="445"/>
        <v>1056</v>
      </c>
      <c r="M4446" s="920">
        <f t="shared" si="446"/>
        <v>8.9971199999999989</v>
      </c>
      <c r="N4446" s="920">
        <f t="shared" si="447"/>
        <v>8</v>
      </c>
      <c r="O4446" s="918" t="str">
        <f t="shared" si="448"/>
        <v>Mar</v>
      </c>
      <c r="P4446" s="921">
        <f t="shared" si="449"/>
        <v>12</v>
      </c>
    </row>
    <row r="4447" spans="1:16" ht="15" hidden="1" customHeight="1">
      <c r="A4447" s="839">
        <v>68852591</v>
      </c>
      <c r="B4447" s="839">
        <v>2904</v>
      </c>
      <c r="C4447" s="906">
        <v>-13</v>
      </c>
      <c r="D4447" s="907">
        <v>46105</v>
      </c>
      <c r="E4447" s="839" t="s">
        <v>326</v>
      </c>
      <c r="F4447" s="839" t="s">
        <v>243</v>
      </c>
      <c r="G4447" s="916">
        <f>VLOOKUP($A4447,'Tech Litons'!$A:$I,8,FALSE)</f>
        <v>8.5199999999999998E-3</v>
      </c>
      <c r="H4447" s="917">
        <f>VLOOKUP($A4447,'Tech Litons'!$A:$I,9,FALSE)</f>
        <v>132</v>
      </c>
      <c r="I4447" s="917" t="str">
        <f>VLOOKUP($A4447,'Tech Litons'!$A:$C,3,0)</f>
        <v>EDF</v>
      </c>
      <c r="J4447" s="918" t="str">
        <f t="shared" si="444"/>
        <v>2904EDF</v>
      </c>
      <c r="K4447" s="919">
        <v>1</v>
      </c>
      <c r="L4447" s="920">
        <f t="shared" si="445"/>
        <v>-13</v>
      </c>
      <c r="M4447" s="920">
        <f t="shared" si="446"/>
        <v>-0.11076</v>
      </c>
      <c r="N4447" s="920">
        <f t="shared" si="447"/>
        <v>-9.8484848484848481E-2</v>
      </c>
      <c r="O4447" s="918" t="str">
        <f t="shared" si="448"/>
        <v>Mar</v>
      </c>
      <c r="P4447" s="921">
        <f t="shared" si="449"/>
        <v>13</v>
      </c>
    </row>
    <row r="4448" spans="1:16" ht="15" hidden="1" customHeight="1">
      <c r="A4448" s="839">
        <v>68852591</v>
      </c>
      <c r="B4448" s="839">
        <v>2904</v>
      </c>
      <c r="C4448" s="906">
        <v>1794</v>
      </c>
      <c r="D4448" s="907">
        <v>46099</v>
      </c>
      <c r="E4448" s="839" t="s">
        <v>326</v>
      </c>
      <c r="F4448" s="839" t="s">
        <v>243</v>
      </c>
      <c r="G4448" s="916">
        <f>VLOOKUP($A4448,'Tech Litons'!$A:$I,8,FALSE)</f>
        <v>8.5199999999999998E-3</v>
      </c>
      <c r="H4448" s="917">
        <f>VLOOKUP($A4448,'Tech Litons'!$A:$I,9,FALSE)</f>
        <v>132</v>
      </c>
      <c r="I4448" s="917" t="str">
        <f>VLOOKUP($A4448,'Tech Litons'!$A:$C,3,0)</f>
        <v>EDF</v>
      </c>
      <c r="J4448" s="918" t="str">
        <f t="shared" si="444"/>
        <v>2904EDF</v>
      </c>
      <c r="K4448" s="919">
        <v>1</v>
      </c>
      <c r="L4448" s="920">
        <f t="shared" si="445"/>
        <v>1794</v>
      </c>
      <c r="M4448" s="920">
        <f t="shared" si="446"/>
        <v>15.284879999999999</v>
      </c>
      <c r="N4448" s="920">
        <f t="shared" si="447"/>
        <v>13.590909090909092</v>
      </c>
      <c r="O4448" s="918" t="str">
        <f t="shared" si="448"/>
        <v>Mar</v>
      </c>
      <c r="P4448" s="921">
        <f t="shared" si="449"/>
        <v>12</v>
      </c>
    </row>
    <row r="4449" spans="1:16" ht="15" hidden="1" customHeight="1">
      <c r="A4449" s="839">
        <v>68852591</v>
      </c>
      <c r="B4449" s="839">
        <v>2904</v>
      </c>
      <c r="C4449" s="906">
        <v>1716</v>
      </c>
      <c r="D4449" s="907">
        <v>46100</v>
      </c>
      <c r="E4449" s="839" t="s">
        <v>326</v>
      </c>
      <c r="F4449" s="839" t="s">
        <v>243</v>
      </c>
      <c r="G4449" s="916">
        <f>VLOOKUP($A4449,'Tech Litons'!$A:$I,8,FALSE)</f>
        <v>8.5199999999999998E-3</v>
      </c>
      <c r="H4449" s="917">
        <f>VLOOKUP($A4449,'Tech Litons'!$A:$I,9,FALSE)</f>
        <v>132</v>
      </c>
      <c r="I4449" s="917" t="str">
        <f>VLOOKUP($A4449,'Tech Litons'!$A:$C,3,0)</f>
        <v>EDF</v>
      </c>
      <c r="J4449" s="918" t="str">
        <f t="shared" si="444"/>
        <v>2904EDF</v>
      </c>
      <c r="K4449" s="919">
        <v>1</v>
      </c>
      <c r="L4449" s="920">
        <f t="shared" si="445"/>
        <v>1716</v>
      </c>
      <c r="M4449" s="920">
        <f t="shared" si="446"/>
        <v>14.62032</v>
      </c>
      <c r="N4449" s="920">
        <f t="shared" si="447"/>
        <v>13</v>
      </c>
      <c r="O4449" s="918" t="str">
        <f t="shared" si="448"/>
        <v>Mar</v>
      </c>
      <c r="P4449" s="921">
        <f t="shared" si="449"/>
        <v>12</v>
      </c>
    </row>
    <row r="4450" spans="1:16" ht="15" hidden="1" customHeight="1">
      <c r="A4450" s="839">
        <v>68852591</v>
      </c>
      <c r="B4450" s="839">
        <v>2904</v>
      </c>
      <c r="C4450" s="906">
        <v>1297</v>
      </c>
      <c r="D4450" s="907">
        <v>46100</v>
      </c>
      <c r="E4450" s="839" t="s">
        <v>326</v>
      </c>
      <c r="F4450" s="839" t="s">
        <v>243</v>
      </c>
      <c r="G4450" s="916">
        <f>VLOOKUP($A4450,'Tech Litons'!$A:$I,8,FALSE)</f>
        <v>8.5199999999999998E-3</v>
      </c>
      <c r="H4450" s="917">
        <f>VLOOKUP($A4450,'Tech Litons'!$A:$I,9,FALSE)</f>
        <v>132</v>
      </c>
      <c r="I4450" s="917" t="str">
        <f>VLOOKUP($A4450,'Tech Litons'!$A:$C,3,0)</f>
        <v>EDF</v>
      </c>
      <c r="J4450" s="918" t="str">
        <f t="shared" si="444"/>
        <v>2904EDF</v>
      </c>
      <c r="K4450" s="919">
        <v>1</v>
      </c>
      <c r="L4450" s="920">
        <f t="shared" si="445"/>
        <v>1297</v>
      </c>
      <c r="M4450" s="920">
        <f t="shared" si="446"/>
        <v>11.05044</v>
      </c>
      <c r="N4450" s="920">
        <f t="shared" si="447"/>
        <v>9.8257575757575761</v>
      </c>
      <c r="O4450" s="918" t="str">
        <f t="shared" si="448"/>
        <v>Mar</v>
      </c>
      <c r="P4450" s="921">
        <f t="shared" si="449"/>
        <v>12</v>
      </c>
    </row>
    <row r="4451" spans="1:16" ht="15" hidden="1" customHeight="1">
      <c r="A4451" s="839">
        <v>68852591</v>
      </c>
      <c r="B4451" s="839">
        <v>2904</v>
      </c>
      <c r="C4451" s="906">
        <v>1452</v>
      </c>
      <c r="D4451" s="907">
        <v>46101</v>
      </c>
      <c r="E4451" s="839" t="s">
        <v>326</v>
      </c>
      <c r="F4451" s="839" t="s">
        <v>243</v>
      </c>
      <c r="G4451" s="916">
        <f>VLOOKUP($A4451,'Tech Litons'!$A:$I,8,FALSE)</f>
        <v>8.5199999999999998E-3</v>
      </c>
      <c r="H4451" s="917">
        <f>VLOOKUP($A4451,'Tech Litons'!$A:$I,9,FALSE)</f>
        <v>132</v>
      </c>
      <c r="I4451" s="917" t="str">
        <f>VLOOKUP($A4451,'Tech Litons'!$A:$C,3,0)</f>
        <v>EDF</v>
      </c>
      <c r="J4451" s="918" t="str">
        <f t="shared" si="444"/>
        <v>2904EDF</v>
      </c>
      <c r="K4451" s="919">
        <v>1</v>
      </c>
      <c r="L4451" s="920">
        <f t="shared" si="445"/>
        <v>1452</v>
      </c>
      <c r="M4451" s="920">
        <f t="shared" si="446"/>
        <v>12.371039999999999</v>
      </c>
      <c r="N4451" s="920">
        <f t="shared" si="447"/>
        <v>11</v>
      </c>
      <c r="O4451" s="918" t="str">
        <f t="shared" si="448"/>
        <v>Mar</v>
      </c>
      <c r="P4451" s="921">
        <f t="shared" si="449"/>
        <v>12</v>
      </c>
    </row>
    <row r="4452" spans="1:16" ht="15" hidden="1" customHeight="1">
      <c r="A4452" s="839">
        <v>68852591</v>
      </c>
      <c r="B4452" s="839">
        <v>2904</v>
      </c>
      <c r="C4452" s="906">
        <v>527</v>
      </c>
      <c r="D4452" s="907">
        <v>46101</v>
      </c>
      <c r="E4452" s="839" t="s">
        <v>326</v>
      </c>
      <c r="F4452" s="839" t="s">
        <v>243</v>
      </c>
      <c r="G4452" s="916">
        <f>VLOOKUP($A4452,'Tech Litons'!$A:$I,8,FALSE)</f>
        <v>8.5199999999999998E-3</v>
      </c>
      <c r="H4452" s="917">
        <f>VLOOKUP($A4452,'Tech Litons'!$A:$I,9,FALSE)</f>
        <v>132</v>
      </c>
      <c r="I4452" s="917" t="str">
        <f>VLOOKUP($A4452,'Tech Litons'!$A:$C,3,0)</f>
        <v>EDF</v>
      </c>
      <c r="J4452" s="918" t="str">
        <f t="shared" si="444"/>
        <v>2904EDF</v>
      </c>
      <c r="K4452" s="919">
        <v>1</v>
      </c>
      <c r="L4452" s="920">
        <f t="shared" si="445"/>
        <v>527</v>
      </c>
      <c r="M4452" s="920">
        <f t="shared" si="446"/>
        <v>4.4900399999999996</v>
      </c>
      <c r="N4452" s="920">
        <f t="shared" si="447"/>
        <v>3.9924242424242422</v>
      </c>
      <c r="O4452" s="918" t="str">
        <f t="shared" si="448"/>
        <v>Mar</v>
      </c>
      <c r="P4452" s="921">
        <f t="shared" si="449"/>
        <v>12</v>
      </c>
    </row>
    <row r="4453" spans="1:16" ht="15" hidden="1" customHeight="1">
      <c r="A4453" s="839">
        <v>68852591</v>
      </c>
      <c r="B4453" s="839">
        <v>2904</v>
      </c>
      <c r="C4453" s="906">
        <v>1383</v>
      </c>
      <c r="D4453" s="907">
        <v>46102</v>
      </c>
      <c r="E4453" s="839" t="s">
        <v>326</v>
      </c>
      <c r="F4453" s="839" t="s">
        <v>243</v>
      </c>
      <c r="G4453" s="916">
        <f>VLOOKUP($A4453,'Tech Litons'!$A:$I,8,FALSE)</f>
        <v>8.5199999999999998E-3</v>
      </c>
      <c r="H4453" s="917">
        <f>VLOOKUP($A4453,'Tech Litons'!$A:$I,9,FALSE)</f>
        <v>132</v>
      </c>
      <c r="I4453" s="917" t="str">
        <f>VLOOKUP($A4453,'Tech Litons'!$A:$C,3,0)</f>
        <v>EDF</v>
      </c>
      <c r="J4453" s="918" t="str">
        <f t="shared" si="444"/>
        <v>2904EDF</v>
      </c>
      <c r="K4453" s="919">
        <v>1</v>
      </c>
      <c r="L4453" s="920">
        <f t="shared" si="445"/>
        <v>1383</v>
      </c>
      <c r="M4453" s="920">
        <f t="shared" si="446"/>
        <v>11.783160000000001</v>
      </c>
      <c r="N4453" s="920">
        <f t="shared" si="447"/>
        <v>10.477272727272727</v>
      </c>
      <c r="O4453" s="918" t="str">
        <f t="shared" si="448"/>
        <v>Mar</v>
      </c>
      <c r="P4453" s="921">
        <f t="shared" si="449"/>
        <v>12</v>
      </c>
    </row>
    <row r="4454" spans="1:16" ht="15" hidden="1" customHeight="1">
      <c r="A4454" s="839">
        <v>68852591</v>
      </c>
      <c r="B4454" s="839">
        <v>2904</v>
      </c>
      <c r="C4454" s="906">
        <v>1471</v>
      </c>
      <c r="D4454" s="907">
        <v>46102</v>
      </c>
      <c r="E4454" s="839" t="s">
        <v>326</v>
      </c>
      <c r="F4454" s="839" t="s">
        <v>243</v>
      </c>
      <c r="G4454" s="916">
        <f>VLOOKUP($A4454,'Tech Litons'!$A:$I,8,FALSE)</f>
        <v>8.5199999999999998E-3</v>
      </c>
      <c r="H4454" s="917">
        <f>VLOOKUP($A4454,'Tech Litons'!$A:$I,9,FALSE)</f>
        <v>132</v>
      </c>
      <c r="I4454" s="917" t="str">
        <f>VLOOKUP($A4454,'Tech Litons'!$A:$C,3,0)</f>
        <v>EDF</v>
      </c>
      <c r="J4454" s="918" t="str">
        <f t="shared" si="444"/>
        <v>2904EDF</v>
      </c>
      <c r="K4454" s="919">
        <v>1</v>
      </c>
      <c r="L4454" s="920">
        <f t="shared" si="445"/>
        <v>1471</v>
      </c>
      <c r="M4454" s="920">
        <f t="shared" si="446"/>
        <v>12.532919999999999</v>
      </c>
      <c r="N4454" s="920">
        <f t="shared" si="447"/>
        <v>11.143939393939394</v>
      </c>
      <c r="O4454" s="918" t="str">
        <f t="shared" si="448"/>
        <v>Mar</v>
      </c>
      <c r="P4454" s="921">
        <f t="shared" si="449"/>
        <v>12</v>
      </c>
    </row>
    <row r="4455" spans="1:16" ht="15" hidden="1" customHeight="1">
      <c r="A4455" s="839">
        <v>68852591</v>
      </c>
      <c r="B4455" s="839">
        <v>2904</v>
      </c>
      <c r="C4455" s="906">
        <v>1320</v>
      </c>
      <c r="D4455" s="907">
        <v>46103</v>
      </c>
      <c r="E4455" s="839" t="s">
        <v>326</v>
      </c>
      <c r="F4455" s="839" t="s">
        <v>243</v>
      </c>
      <c r="G4455" s="916">
        <f>VLOOKUP($A4455,'Tech Litons'!$A:$I,8,FALSE)</f>
        <v>8.5199999999999998E-3</v>
      </c>
      <c r="H4455" s="917">
        <f>VLOOKUP($A4455,'Tech Litons'!$A:$I,9,FALSE)</f>
        <v>132</v>
      </c>
      <c r="I4455" s="917" t="str">
        <f>VLOOKUP($A4455,'Tech Litons'!$A:$C,3,0)</f>
        <v>EDF</v>
      </c>
      <c r="J4455" s="918" t="str">
        <f t="shared" si="444"/>
        <v>2904EDF</v>
      </c>
      <c r="K4455" s="919">
        <v>1</v>
      </c>
      <c r="L4455" s="920">
        <f t="shared" si="445"/>
        <v>1320</v>
      </c>
      <c r="M4455" s="920">
        <f t="shared" si="446"/>
        <v>11.2464</v>
      </c>
      <c r="N4455" s="920">
        <f t="shared" si="447"/>
        <v>10</v>
      </c>
      <c r="O4455" s="918" t="str">
        <f t="shared" si="448"/>
        <v>Mar</v>
      </c>
      <c r="P4455" s="921">
        <f t="shared" si="449"/>
        <v>13</v>
      </c>
    </row>
    <row r="4456" spans="1:16" ht="15" hidden="1" customHeight="1">
      <c r="A4456" s="839">
        <v>68852591</v>
      </c>
      <c r="B4456" s="839">
        <v>2904</v>
      </c>
      <c r="C4456" s="906">
        <v>1797</v>
      </c>
      <c r="D4456" s="907">
        <v>46103</v>
      </c>
      <c r="E4456" s="839" t="s">
        <v>326</v>
      </c>
      <c r="F4456" s="839" t="s">
        <v>243</v>
      </c>
      <c r="G4456" s="916">
        <f>VLOOKUP($A4456,'Tech Litons'!$A:$I,8,FALSE)</f>
        <v>8.5199999999999998E-3</v>
      </c>
      <c r="H4456" s="917">
        <f>VLOOKUP($A4456,'Tech Litons'!$A:$I,9,FALSE)</f>
        <v>132</v>
      </c>
      <c r="I4456" s="917" t="str">
        <f>VLOOKUP($A4456,'Tech Litons'!$A:$C,3,0)</f>
        <v>EDF</v>
      </c>
      <c r="J4456" s="918" t="str">
        <f t="shared" si="444"/>
        <v>2904EDF</v>
      </c>
      <c r="K4456" s="919">
        <v>1</v>
      </c>
      <c r="L4456" s="920">
        <f t="shared" si="445"/>
        <v>1797</v>
      </c>
      <c r="M4456" s="920">
        <f t="shared" si="446"/>
        <v>15.31044</v>
      </c>
      <c r="N4456" s="920">
        <f t="shared" si="447"/>
        <v>13.613636363636363</v>
      </c>
      <c r="O4456" s="918" t="str">
        <f t="shared" si="448"/>
        <v>Mar</v>
      </c>
      <c r="P4456" s="921">
        <f t="shared" si="449"/>
        <v>13</v>
      </c>
    </row>
    <row r="4457" spans="1:16" ht="15" hidden="1" customHeight="1">
      <c r="A4457" s="839">
        <v>68852591</v>
      </c>
      <c r="B4457" s="839">
        <v>2904</v>
      </c>
      <c r="C4457" s="906">
        <v>923</v>
      </c>
      <c r="D4457" s="907">
        <v>46104</v>
      </c>
      <c r="E4457" s="839" t="s">
        <v>326</v>
      </c>
      <c r="F4457" s="839" t="s">
        <v>243</v>
      </c>
      <c r="G4457" s="916">
        <f>VLOOKUP($A4457,'Tech Litons'!$A:$I,8,FALSE)</f>
        <v>8.5199999999999998E-3</v>
      </c>
      <c r="H4457" s="917">
        <f>VLOOKUP($A4457,'Tech Litons'!$A:$I,9,FALSE)</f>
        <v>132</v>
      </c>
      <c r="I4457" s="917" t="str">
        <f>VLOOKUP($A4457,'Tech Litons'!$A:$C,3,0)</f>
        <v>EDF</v>
      </c>
      <c r="J4457" s="918" t="str">
        <f t="shared" si="444"/>
        <v>2904EDF</v>
      </c>
      <c r="K4457" s="919">
        <v>1</v>
      </c>
      <c r="L4457" s="920">
        <f t="shared" si="445"/>
        <v>923</v>
      </c>
      <c r="M4457" s="920">
        <f t="shared" si="446"/>
        <v>7.8639599999999996</v>
      </c>
      <c r="N4457" s="920">
        <f t="shared" si="447"/>
        <v>6.9924242424242422</v>
      </c>
      <c r="O4457" s="918" t="str">
        <f t="shared" si="448"/>
        <v>Mar</v>
      </c>
      <c r="P4457" s="921">
        <f t="shared" si="449"/>
        <v>13</v>
      </c>
    </row>
    <row r="4458" spans="1:16" ht="15" hidden="1" customHeight="1">
      <c r="A4458" s="839">
        <v>68852591</v>
      </c>
      <c r="B4458" s="839">
        <v>2904</v>
      </c>
      <c r="C4458" s="906">
        <v>729</v>
      </c>
      <c r="D4458" s="907">
        <v>46104</v>
      </c>
      <c r="E4458" s="839" t="s">
        <v>326</v>
      </c>
      <c r="F4458" s="839" t="s">
        <v>243</v>
      </c>
      <c r="G4458" s="916">
        <f>VLOOKUP($A4458,'Tech Litons'!$A:$I,8,FALSE)</f>
        <v>8.5199999999999998E-3</v>
      </c>
      <c r="H4458" s="917">
        <f>VLOOKUP($A4458,'Tech Litons'!$A:$I,9,FALSE)</f>
        <v>132</v>
      </c>
      <c r="I4458" s="917" t="str">
        <f>VLOOKUP($A4458,'Tech Litons'!$A:$C,3,0)</f>
        <v>EDF</v>
      </c>
      <c r="J4458" s="918" t="str">
        <f t="shared" si="444"/>
        <v>2904EDF</v>
      </c>
      <c r="K4458" s="919">
        <v>1</v>
      </c>
      <c r="L4458" s="920">
        <f t="shared" si="445"/>
        <v>729</v>
      </c>
      <c r="M4458" s="920">
        <f t="shared" si="446"/>
        <v>6.2110799999999999</v>
      </c>
      <c r="N4458" s="920">
        <f t="shared" si="447"/>
        <v>5.5227272727272725</v>
      </c>
      <c r="O4458" s="918" t="str">
        <f t="shared" si="448"/>
        <v>Mar</v>
      </c>
      <c r="P4458" s="921">
        <f t="shared" si="449"/>
        <v>13</v>
      </c>
    </row>
    <row r="4459" spans="1:16" ht="15" hidden="1" customHeight="1">
      <c r="A4459" s="839">
        <v>68852591</v>
      </c>
      <c r="B4459" s="839">
        <v>2904</v>
      </c>
      <c r="C4459" s="906">
        <v>264</v>
      </c>
      <c r="D4459" s="907">
        <v>46105</v>
      </c>
      <c r="E4459" s="839" t="s">
        <v>326</v>
      </c>
      <c r="F4459" s="839" t="s">
        <v>243</v>
      </c>
      <c r="G4459" s="916">
        <f>VLOOKUP($A4459,'Tech Litons'!$A:$I,8,FALSE)</f>
        <v>8.5199999999999998E-3</v>
      </c>
      <c r="H4459" s="917">
        <f>VLOOKUP($A4459,'Tech Litons'!$A:$I,9,FALSE)</f>
        <v>132</v>
      </c>
      <c r="I4459" s="917" t="str">
        <f>VLOOKUP($A4459,'Tech Litons'!$A:$C,3,0)</f>
        <v>EDF</v>
      </c>
      <c r="J4459" s="918" t="str">
        <f t="shared" si="444"/>
        <v>2904EDF</v>
      </c>
      <c r="K4459" s="919">
        <v>1</v>
      </c>
      <c r="L4459" s="920">
        <f t="shared" si="445"/>
        <v>264</v>
      </c>
      <c r="M4459" s="920">
        <f t="shared" si="446"/>
        <v>2.2492799999999997</v>
      </c>
      <c r="N4459" s="920">
        <f t="shared" si="447"/>
        <v>2</v>
      </c>
      <c r="O4459" s="918" t="str">
        <f t="shared" si="448"/>
        <v>Mar</v>
      </c>
      <c r="P4459" s="921">
        <f t="shared" si="449"/>
        <v>13</v>
      </c>
    </row>
    <row r="4460" spans="1:16" ht="15" hidden="1" customHeight="1">
      <c r="A4460" s="839">
        <v>68852591</v>
      </c>
      <c r="B4460" s="839">
        <v>2904</v>
      </c>
      <c r="C4460" s="906">
        <v>1848</v>
      </c>
      <c r="D4460" s="907">
        <v>46105</v>
      </c>
      <c r="E4460" s="839" t="s">
        <v>326</v>
      </c>
      <c r="F4460" s="839" t="s">
        <v>243</v>
      </c>
      <c r="G4460" s="916">
        <f>VLOOKUP($A4460,'Tech Litons'!$A:$I,8,FALSE)</f>
        <v>8.5199999999999998E-3</v>
      </c>
      <c r="H4460" s="917">
        <f>VLOOKUP($A4460,'Tech Litons'!$A:$I,9,FALSE)</f>
        <v>132</v>
      </c>
      <c r="I4460" s="917" t="str">
        <f>VLOOKUP($A4460,'Tech Litons'!$A:$C,3,0)</f>
        <v>EDF</v>
      </c>
      <c r="J4460" s="918" t="str">
        <f t="shared" si="444"/>
        <v>2904EDF</v>
      </c>
      <c r="K4460" s="919">
        <v>1</v>
      </c>
      <c r="L4460" s="920">
        <f t="shared" si="445"/>
        <v>1848</v>
      </c>
      <c r="M4460" s="920">
        <f t="shared" si="446"/>
        <v>15.744959999999999</v>
      </c>
      <c r="N4460" s="920">
        <f t="shared" si="447"/>
        <v>14</v>
      </c>
      <c r="O4460" s="918" t="str">
        <f t="shared" si="448"/>
        <v>Mar</v>
      </c>
      <c r="P4460" s="921">
        <f t="shared" si="449"/>
        <v>13</v>
      </c>
    </row>
    <row r="4461" spans="1:16" ht="15" hidden="1" customHeight="1">
      <c r="A4461" s="839">
        <v>68852625</v>
      </c>
      <c r="B4461" s="839">
        <v>2904</v>
      </c>
      <c r="C4461" s="906">
        <v>13817</v>
      </c>
      <c r="D4461" s="907">
        <v>46089</v>
      </c>
      <c r="E4461" s="839" t="s">
        <v>525</v>
      </c>
      <c r="F4461" s="839" t="s">
        <v>277</v>
      </c>
      <c r="G4461" s="916">
        <f>VLOOKUP($A4461,'Tech Litons'!$A:$I,8,FALSE)</f>
        <v>3.7839999999999996E-3</v>
      </c>
      <c r="H4461" s="917">
        <f>VLOOKUP($A4461,'Tech Litons'!$A:$I,9,FALSE)</f>
        <v>255</v>
      </c>
      <c r="I4461" s="917" t="str">
        <f>VLOOKUP($A4461,'Tech Litons'!$A:$C,3,0)</f>
        <v>Talenti</v>
      </c>
      <c r="J4461" s="918" t="str">
        <f t="shared" si="444"/>
        <v>2904Talenti</v>
      </c>
      <c r="K4461" s="919">
        <v>1</v>
      </c>
      <c r="L4461" s="920">
        <f t="shared" si="445"/>
        <v>13817</v>
      </c>
      <c r="M4461" s="920">
        <f t="shared" si="446"/>
        <v>52.283527999999997</v>
      </c>
      <c r="N4461" s="920">
        <f t="shared" si="447"/>
        <v>54.184313725490199</v>
      </c>
      <c r="O4461" s="918" t="str">
        <f t="shared" si="448"/>
        <v>Mar</v>
      </c>
      <c r="P4461" s="921">
        <f t="shared" si="449"/>
        <v>11</v>
      </c>
    </row>
    <row r="4462" spans="1:16" ht="15" hidden="1" customHeight="1">
      <c r="A4462" s="839">
        <v>68852625</v>
      </c>
      <c r="B4462" s="839">
        <v>2904</v>
      </c>
      <c r="C4462" s="906">
        <v>12175</v>
      </c>
      <c r="D4462" s="907">
        <v>46090</v>
      </c>
      <c r="E4462" s="839" t="s">
        <v>525</v>
      </c>
      <c r="F4462" s="839" t="s">
        <v>277</v>
      </c>
      <c r="G4462" s="916">
        <f>VLOOKUP($A4462,'Tech Litons'!$A:$I,8,FALSE)</f>
        <v>3.7839999999999996E-3</v>
      </c>
      <c r="H4462" s="917">
        <f>VLOOKUP($A4462,'Tech Litons'!$A:$I,9,FALSE)</f>
        <v>255</v>
      </c>
      <c r="I4462" s="917" t="str">
        <f>VLOOKUP($A4462,'Tech Litons'!$A:$C,3,0)</f>
        <v>Talenti</v>
      </c>
      <c r="J4462" s="918" t="str">
        <f t="shared" si="444"/>
        <v>2904Talenti</v>
      </c>
      <c r="K4462" s="919">
        <v>1</v>
      </c>
      <c r="L4462" s="920">
        <f t="shared" si="445"/>
        <v>12175</v>
      </c>
      <c r="M4462" s="920">
        <f t="shared" si="446"/>
        <v>46.070199999999993</v>
      </c>
      <c r="N4462" s="920">
        <f t="shared" si="447"/>
        <v>47.745098039215684</v>
      </c>
      <c r="O4462" s="918" t="str">
        <f t="shared" si="448"/>
        <v>Mar</v>
      </c>
      <c r="P4462" s="921">
        <f t="shared" si="449"/>
        <v>11</v>
      </c>
    </row>
    <row r="4463" spans="1:16" ht="15" hidden="1" customHeight="1">
      <c r="A4463" s="839">
        <v>68852625</v>
      </c>
      <c r="B4463" s="839">
        <v>2904</v>
      </c>
      <c r="C4463" s="906">
        <v>15233</v>
      </c>
      <c r="D4463" s="907">
        <v>46090</v>
      </c>
      <c r="E4463" s="839" t="s">
        <v>525</v>
      </c>
      <c r="F4463" s="839" t="s">
        <v>277</v>
      </c>
      <c r="G4463" s="916">
        <f>VLOOKUP($A4463,'Tech Litons'!$A:$I,8,FALSE)</f>
        <v>3.7839999999999996E-3</v>
      </c>
      <c r="H4463" s="917">
        <f>VLOOKUP($A4463,'Tech Litons'!$A:$I,9,FALSE)</f>
        <v>255</v>
      </c>
      <c r="I4463" s="917" t="str">
        <f>VLOOKUP($A4463,'Tech Litons'!$A:$C,3,0)</f>
        <v>Talenti</v>
      </c>
      <c r="J4463" s="918" t="str">
        <f t="shared" si="444"/>
        <v>2904Talenti</v>
      </c>
      <c r="K4463" s="919">
        <v>1</v>
      </c>
      <c r="L4463" s="920">
        <f t="shared" si="445"/>
        <v>15233</v>
      </c>
      <c r="M4463" s="920">
        <f t="shared" si="446"/>
        <v>57.641671999999993</v>
      </c>
      <c r="N4463" s="920">
        <f t="shared" si="447"/>
        <v>59.737254901960782</v>
      </c>
      <c r="O4463" s="918" t="str">
        <f t="shared" si="448"/>
        <v>Mar</v>
      </c>
      <c r="P4463" s="921">
        <f t="shared" si="449"/>
        <v>11</v>
      </c>
    </row>
    <row r="4464" spans="1:16" ht="15" hidden="1" customHeight="1">
      <c r="A4464" s="839">
        <v>68852625</v>
      </c>
      <c r="B4464" s="839">
        <v>2904</v>
      </c>
      <c r="C4464" s="906">
        <v>11599</v>
      </c>
      <c r="D4464" s="907">
        <v>46091</v>
      </c>
      <c r="E4464" s="839" t="s">
        <v>525</v>
      </c>
      <c r="F4464" s="839" t="s">
        <v>277</v>
      </c>
      <c r="G4464" s="916">
        <f>VLOOKUP($A4464,'Tech Litons'!$A:$I,8,FALSE)</f>
        <v>3.7839999999999996E-3</v>
      </c>
      <c r="H4464" s="917">
        <f>VLOOKUP($A4464,'Tech Litons'!$A:$I,9,FALSE)</f>
        <v>255</v>
      </c>
      <c r="I4464" s="917" t="str">
        <f>VLOOKUP($A4464,'Tech Litons'!$A:$C,3,0)</f>
        <v>Talenti</v>
      </c>
      <c r="J4464" s="918" t="str">
        <f t="shared" si="444"/>
        <v>2904Talenti</v>
      </c>
      <c r="K4464" s="919">
        <v>1</v>
      </c>
      <c r="L4464" s="920">
        <f t="shared" si="445"/>
        <v>11599</v>
      </c>
      <c r="M4464" s="920">
        <f t="shared" si="446"/>
        <v>43.890615999999994</v>
      </c>
      <c r="N4464" s="920">
        <f t="shared" si="447"/>
        <v>45.48627450980392</v>
      </c>
      <c r="O4464" s="918" t="str">
        <f t="shared" si="448"/>
        <v>Mar</v>
      </c>
      <c r="P4464" s="921">
        <f t="shared" si="449"/>
        <v>11</v>
      </c>
    </row>
    <row r="4465" spans="1:16" ht="15" hidden="1" customHeight="1">
      <c r="A4465" s="839">
        <v>68852625</v>
      </c>
      <c r="B4465" s="839">
        <v>2904</v>
      </c>
      <c r="C4465" s="906">
        <v>16487</v>
      </c>
      <c r="D4465" s="907">
        <v>46091</v>
      </c>
      <c r="E4465" s="839" t="s">
        <v>525</v>
      </c>
      <c r="F4465" s="839" t="s">
        <v>277</v>
      </c>
      <c r="G4465" s="916">
        <f>VLOOKUP($A4465,'Tech Litons'!$A:$I,8,FALSE)</f>
        <v>3.7839999999999996E-3</v>
      </c>
      <c r="H4465" s="917">
        <f>VLOOKUP($A4465,'Tech Litons'!$A:$I,9,FALSE)</f>
        <v>255</v>
      </c>
      <c r="I4465" s="917" t="str">
        <f>VLOOKUP($A4465,'Tech Litons'!$A:$C,3,0)</f>
        <v>Talenti</v>
      </c>
      <c r="J4465" s="918" t="str">
        <f t="shared" si="444"/>
        <v>2904Talenti</v>
      </c>
      <c r="K4465" s="919">
        <v>1</v>
      </c>
      <c r="L4465" s="920">
        <f t="shared" si="445"/>
        <v>16487</v>
      </c>
      <c r="M4465" s="920">
        <f t="shared" si="446"/>
        <v>62.386807999999995</v>
      </c>
      <c r="N4465" s="920">
        <f t="shared" si="447"/>
        <v>64.654901960784315</v>
      </c>
      <c r="O4465" s="918" t="str">
        <f t="shared" si="448"/>
        <v>Mar</v>
      </c>
      <c r="P4465" s="921">
        <f t="shared" si="449"/>
        <v>11</v>
      </c>
    </row>
    <row r="4466" spans="1:16" ht="15" hidden="1" customHeight="1">
      <c r="A4466" s="839">
        <v>68852625</v>
      </c>
      <c r="B4466" s="839">
        <v>2904</v>
      </c>
      <c r="C4466" s="906">
        <v>13711</v>
      </c>
      <c r="D4466" s="907">
        <v>46092</v>
      </c>
      <c r="E4466" s="839" t="s">
        <v>525</v>
      </c>
      <c r="F4466" s="839" t="s">
        <v>277</v>
      </c>
      <c r="G4466" s="916">
        <f>VLOOKUP($A4466,'Tech Litons'!$A:$I,8,FALSE)</f>
        <v>3.7839999999999996E-3</v>
      </c>
      <c r="H4466" s="917">
        <f>VLOOKUP($A4466,'Tech Litons'!$A:$I,9,FALSE)</f>
        <v>255</v>
      </c>
      <c r="I4466" s="917" t="str">
        <f>VLOOKUP($A4466,'Tech Litons'!$A:$C,3,0)</f>
        <v>Talenti</v>
      </c>
      <c r="J4466" s="918" t="str">
        <f t="shared" ref="J4466:J4529" si="450">B4466&amp;I4466</f>
        <v>2904Talenti</v>
      </c>
      <c r="K4466" s="919">
        <v>1</v>
      </c>
      <c r="L4466" s="920">
        <f t="shared" ref="L4466:L4529" si="451">C4466*$K4466</f>
        <v>13711</v>
      </c>
      <c r="M4466" s="920">
        <f t="shared" ref="M4466:M4529" si="452">L4466*G4466</f>
        <v>51.882423999999993</v>
      </c>
      <c r="N4466" s="920">
        <f t="shared" ref="N4466:N4529" si="453">L4466/H4466</f>
        <v>53.768627450980389</v>
      </c>
      <c r="O4466" s="918" t="str">
        <f t="shared" ref="O4466:O4529" si="454">TEXT(D4466,"MMM")</f>
        <v>Mar</v>
      </c>
      <c r="P4466" s="921">
        <f t="shared" ref="P4466:P4529" si="455">WEEKNUM(D4466)</f>
        <v>11</v>
      </c>
    </row>
    <row r="4467" spans="1:16" ht="15" hidden="1" customHeight="1">
      <c r="A4467" s="839">
        <v>68852625</v>
      </c>
      <c r="B4467" s="839">
        <v>2904</v>
      </c>
      <c r="C4467" s="906">
        <v>17814</v>
      </c>
      <c r="D4467" s="907">
        <v>46092</v>
      </c>
      <c r="E4467" s="839" t="s">
        <v>525</v>
      </c>
      <c r="F4467" s="839" t="s">
        <v>277</v>
      </c>
      <c r="G4467" s="916">
        <f>VLOOKUP($A4467,'Tech Litons'!$A:$I,8,FALSE)</f>
        <v>3.7839999999999996E-3</v>
      </c>
      <c r="H4467" s="917">
        <f>VLOOKUP($A4467,'Tech Litons'!$A:$I,9,FALSE)</f>
        <v>255</v>
      </c>
      <c r="I4467" s="917" t="str">
        <f>VLOOKUP($A4467,'Tech Litons'!$A:$C,3,0)</f>
        <v>Talenti</v>
      </c>
      <c r="J4467" s="918" t="str">
        <f t="shared" si="450"/>
        <v>2904Talenti</v>
      </c>
      <c r="K4467" s="919">
        <v>1</v>
      </c>
      <c r="L4467" s="920">
        <f t="shared" si="451"/>
        <v>17814</v>
      </c>
      <c r="M4467" s="920">
        <f t="shared" si="452"/>
        <v>67.408175999999997</v>
      </c>
      <c r="N4467" s="920">
        <f t="shared" si="453"/>
        <v>69.858823529411765</v>
      </c>
      <c r="O4467" s="918" t="str">
        <f t="shared" si="454"/>
        <v>Mar</v>
      </c>
      <c r="P4467" s="921">
        <f t="shared" si="455"/>
        <v>11</v>
      </c>
    </row>
    <row r="4468" spans="1:16" ht="15" hidden="1" customHeight="1">
      <c r="A4468" s="839">
        <v>68852625</v>
      </c>
      <c r="B4468" s="839">
        <v>2904</v>
      </c>
      <c r="C4468" s="906">
        <v>1569</v>
      </c>
      <c r="D4468" s="907">
        <v>46093</v>
      </c>
      <c r="E4468" s="839" t="s">
        <v>525</v>
      </c>
      <c r="F4468" s="839" t="s">
        <v>277</v>
      </c>
      <c r="G4468" s="916">
        <f>VLOOKUP($A4468,'Tech Litons'!$A:$I,8,FALSE)</f>
        <v>3.7839999999999996E-3</v>
      </c>
      <c r="H4468" s="917">
        <f>VLOOKUP($A4468,'Tech Litons'!$A:$I,9,FALSE)</f>
        <v>255</v>
      </c>
      <c r="I4468" s="917" t="str">
        <f>VLOOKUP($A4468,'Tech Litons'!$A:$C,3,0)</f>
        <v>Talenti</v>
      </c>
      <c r="J4468" s="918" t="str">
        <f t="shared" si="450"/>
        <v>2904Talenti</v>
      </c>
      <c r="K4468" s="919">
        <v>1</v>
      </c>
      <c r="L4468" s="920">
        <f t="shared" si="451"/>
        <v>1569</v>
      </c>
      <c r="M4468" s="920">
        <f t="shared" si="452"/>
        <v>5.9370959999999995</v>
      </c>
      <c r="N4468" s="920">
        <f t="shared" si="453"/>
        <v>6.1529411764705886</v>
      </c>
      <c r="O4468" s="918" t="str">
        <f t="shared" si="454"/>
        <v>Mar</v>
      </c>
      <c r="P4468" s="921">
        <f t="shared" si="455"/>
        <v>11</v>
      </c>
    </row>
    <row r="4469" spans="1:16" ht="15" hidden="1" customHeight="1">
      <c r="A4469" s="839">
        <v>68860059</v>
      </c>
      <c r="B4469" s="839">
        <v>2904</v>
      </c>
      <c r="C4469" s="906">
        <v>15045</v>
      </c>
      <c r="D4469" s="907">
        <v>46085</v>
      </c>
      <c r="E4469" s="839" t="s">
        <v>319</v>
      </c>
      <c r="F4469" s="839" t="s">
        <v>277</v>
      </c>
      <c r="G4469" s="916">
        <f>VLOOKUP($A4469,'Tech Litons'!$A:$I,8,FALSE)</f>
        <v>3.7839999999999996E-3</v>
      </c>
      <c r="H4469" s="917">
        <f>VLOOKUP($A4469,'Tech Litons'!$A:$I,9,FALSE)</f>
        <v>255</v>
      </c>
      <c r="I4469" s="917" t="str">
        <f>VLOOKUP($A4469,'Tech Litons'!$A:$C,3,0)</f>
        <v>Talenti</v>
      </c>
      <c r="J4469" s="918" t="str">
        <f t="shared" si="450"/>
        <v>2904Talenti</v>
      </c>
      <c r="K4469" s="919">
        <v>1</v>
      </c>
      <c r="L4469" s="920">
        <f t="shared" si="451"/>
        <v>15045</v>
      </c>
      <c r="M4469" s="920">
        <f t="shared" si="452"/>
        <v>56.930279999999996</v>
      </c>
      <c r="N4469" s="920">
        <f t="shared" si="453"/>
        <v>59</v>
      </c>
      <c r="O4469" s="918" t="str">
        <f t="shared" si="454"/>
        <v>Mar</v>
      </c>
      <c r="P4469" s="921">
        <f t="shared" si="455"/>
        <v>10</v>
      </c>
    </row>
    <row r="4470" spans="1:16" ht="15" hidden="1" customHeight="1">
      <c r="A4470" s="839">
        <v>68860059</v>
      </c>
      <c r="B4470" s="839">
        <v>2904</v>
      </c>
      <c r="C4470" s="906">
        <v>10850</v>
      </c>
      <c r="D4470" s="907">
        <v>46086</v>
      </c>
      <c r="E4470" s="839" t="s">
        <v>319</v>
      </c>
      <c r="F4470" s="839" t="s">
        <v>277</v>
      </c>
      <c r="G4470" s="916">
        <f>VLOOKUP($A4470,'Tech Litons'!$A:$I,8,FALSE)</f>
        <v>3.7839999999999996E-3</v>
      </c>
      <c r="H4470" s="917">
        <f>VLOOKUP($A4470,'Tech Litons'!$A:$I,9,FALSE)</f>
        <v>255</v>
      </c>
      <c r="I4470" s="917" t="str">
        <f>VLOOKUP($A4470,'Tech Litons'!$A:$C,3,0)</f>
        <v>Talenti</v>
      </c>
      <c r="J4470" s="918" t="str">
        <f t="shared" si="450"/>
        <v>2904Talenti</v>
      </c>
      <c r="K4470" s="919">
        <v>1</v>
      </c>
      <c r="L4470" s="920">
        <f t="shared" si="451"/>
        <v>10850</v>
      </c>
      <c r="M4470" s="920">
        <f t="shared" si="452"/>
        <v>41.056399999999996</v>
      </c>
      <c r="N4470" s="920">
        <f t="shared" si="453"/>
        <v>42.549019607843135</v>
      </c>
      <c r="O4470" s="918" t="str">
        <f t="shared" si="454"/>
        <v>Mar</v>
      </c>
      <c r="P4470" s="921">
        <f t="shared" si="455"/>
        <v>10</v>
      </c>
    </row>
    <row r="4471" spans="1:16" ht="15" hidden="1" customHeight="1">
      <c r="A4471" s="839">
        <v>68860059</v>
      </c>
      <c r="B4471" s="839">
        <v>2904</v>
      </c>
      <c r="C4471" s="906">
        <v>20703</v>
      </c>
      <c r="D4471" s="907">
        <v>46086</v>
      </c>
      <c r="E4471" s="839" t="s">
        <v>319</v>
      </c>
      <c r="F4471" s="839" t="s">
        <v>277</v>
      </c>
      <c r="G4471" s="916">
        <f>VLOOKUP($A4471,'Tech Litons'!$A:$I,8,FALSE)</f>
        <v>3.7839999999999996E-3</v>
      </c>
      <c r="H4471" s="917">
        <f>VLOOKUP($A4471,'Tech Litons'!$A:$I,9,FALSE)</f>
        <v>255</v>
      </c>
      <c r="I4471" s="917" t="str">
        <f>VLOOKUP($A4471,'Tech Litons'!$A:$C,3,0)</f>
        <v>Talenti</v>
      </c>
      <c r="J4471" s="918" t="str">
        <f t="shared" si="450"/>
        <v>2904Talenti</v>
      </c>
      <c r="K4471" s="919">
        <v>1</v>
      </c>
      <c r="L4471" s="920">
        <f t="shared" si="451"/>
        <v>20703</v>
      </c>
      <c r="M4471" s="920">
        <f t="shared" si="452"/>
        <v>78.340151999999989</v>
      </c>
      <c r="N4471" s="920">
        <f t="shared" si="453"/>
        <v>81.188235294117646</v>
      </c>
      <c r="O4471" s="918" t="str">
        <f t="shared" si="454"/>
        <v>Mar</v>
      </c>
      <c r="P4471" s="921">
        <f t="shared" si="455"/>
        <v>10</v>
      </c>
    </row>
    <row r="4472" spans="1:16" ht="15" hidden="1" customHeight="1">
      <c r="A4472" s="839">
        <v>68860059</v>
      </c>
      <c r="B4472" s="839">
        <v>2904</v>
      </c>
      <c r="C4472" s="906">
        <v>17760</v>
      </c>
      <c r="D4472" s="907">
        <v>46087</v>
      </c>
      <c r="E4472" s="839" t="s">
        <v>319</v>
      </c>
      <c r="F4472" s="839" t="s">
        <v>277</v>
      </c>
      <c r="G4472" s="916">
        <f>VLOOKUP($A4472,'Tech Litons'!$A:$I,8,FALSE)</f>
        <v>3.7839999999999996E-3</v>
      </c>
      <c r="H4472" s="917">
        <f>VLOOKUP($A4472,'Tech Litons'!$A:$I,9,FALSE)</f>
        <v>255</v>
      </c>
      <c r="I4472" s="917" t="str">
        <f>VLOOKUP($A4472,'Tech Litons'!$A:$C,3,0)</f>
        <v>Talenti</v>
      </c>
      <c r="J4472" s="918" t="str">
        <f t="shared" si="450"/>
        <v>2904Talenti</v>
      </c>
      <c r="K4472" s="919">
        <v>1</v>
      </c>
      <c r="L4472" s="920">
        <f t="shared" si="451"/>
        <v>17760</v>
      </c>
      <c r="M4472" s="920">
        <f t="shared" si="452"/>
        <v>67.20384</v>
      </c>
      <c r="N4472" s="920">
        <f t="shared" si="453"/>
        <v>69.647058823529406</v>
      </c>
      <c r="O4472" s="918" t="str">
        <f t="shared" si="454"/>
        <v>Mar</v>
      </c>
      <c r="P4472" s="921">
        <f t="shared" si="455"/>
        <v>10</v>
      </c>
    </row>
    <row r="4473" spans="1:16" ht="15" hidden="1" customHeight="1">
      <c r="A4473" s="839">
        <v>68860059</v>
      </c>
      <c r="B4473" s="839">
        <v>2904</v>
      </c>
      <c r="C4473" s="906">
        <v>15545</v>
      </c>
      <c r="D4473" s="907">
        <v>46087</v>
      </c>
      <c r="E4473" s="839" t="s">
        <v>319</v>
      </c>
      <c r="F4473" s="839" t="s">
        <v>277</v>
      </c>
      <c r="G4473" s="916">
        <f>VLOOKUP($A4473,'Tech Litons'!$A:$I,8,FALSE)</f>
        <v>3.7839999999999996E-3</v>
      </c>
      <c r="H4473" s="917">
        <f>VLOOKUP($A4473,'Tech Litons'!$A:$I,9,FALSE)</f>
        <v>255</v>
      </c>
      <c r="I4473" s="917" t="str">
        <f>VLOOKUP($A4473,'Tech Litons'!$A:$C,3,0)</f>
        <v>Talenti</v>
      </c>
      <c r="J4473" s="918" t="str">
        <f t="shared" si="450"/>
        <v>2904Talenti</v>
      </c>
      <c r="K4473" s="919">
        <v>1</v>
      </c>
      <c r="L4473" s="920">
        <f t="shared" si="451"/>
        <v>15545</v>
      </c>
      <c r="M4473" s="920">
        <f t="shared" si="452"/>
        <v>58.822279999999992</v>
      </c>
      <c r="N4473" s="920">
        <f t="shared" si="453"/>
        <v>60.96078431372549</v>
      </c>
      <c r="O4473" s="918" t="str">
        <f t="shared" si="454"/>
        <v>Mar</v>
      </c>
      <c r="P4473" s="921">
        <f t="shared" si="455"/>
        <v>10</v>
      </c>
    </row>
    <row r="4474" spans="1:16" ht="15" hidden="1" customHeight="1">
      <c r="A4474" s="839">
        <v>68860059</v>
      </c>
      <c r="B4474" s="839">
        <v>2904</v>
      </c>
      <c r="C4474" s="906">
        <v>6353</v>
      </c>
      <c r="D4474" s="907">
        <v>46088</v>
      </c>
      <c r="E4474" s="839" t="s">
        <v>319</v>
      </c>
      <c r="F4474" s="839" t="s">
        <v>277</v>
      </c>
      <c r="G4474" s="916">
        <f>VLOOKUP($A4474,'Tech Litons'!$A:$I,8,FALSE)</f>
        <v>3.7839999999999996E-3</v>
      </c>
      <c r="H4474" s="917">
        <f>VLOOKUP($A4474,'Tech Litons'!$A:$I,9,FALSE)</f>
        <v>255</v>
      </c>
      <c r="I4474" s="917" t="str">
        <f>VLOOKUP($A4474,'Tech Litons'!$A:$C,3,0)</f>
        <v>Talenti</v>
      </c>
      <c r="J4474" s="918" t="str">
        <f t="shared" si="450"/>
        <v>2904Talenti</v>
      </c>
      <c r="K4474" s="919">
        <v>1</v>
      </c>
      <c r="L4474" s="920">
        <f t="shared" si="451"/>
        <v>6353</v>
      </c>
      <c r="M4474" s="920">
        <f t="shared" si="452"/>
        <v>24.039751999999996</v>
      </c>
      <c r="N4474" s="920">
        <f t="shared" si="453"/>
        <v>24.913725490196079</v>
      </c>
      <c r="O4474" s="918" t="str">
        <f t="shared" si="454"/>
        <v>Mar</v>
      </c>
      <c r="P4474" s="921">
        <f t="shared" si="455"/>
        <v>10</v>
      </c>
    </row>
    <row r="4475" spans="1:16" ht="15" hidden="1" customHeight="1">
      <c r="A4475" s="839">
        <v>68860059</v>
      </c>
      <c r="B4475" s="839">
        <v>2904</v>
      </c>
      <c r="C4475" s="906">
        <v>255</v>
      </c>
      <c r="D4475" s="907">
        <v>46090</v>
      </c>
      <c r="E4475" s="839" t="s">
        <v>319</v>
      </c>
      <c r="F4475" s="839" t="s">
        <v>277</v>
      </c>
      <c r="G4475" s="916">
        <f>VLOOKUP($A4475,'Tech Litons'!$A:$I,8,FALSE)</f>
        <v>3.7839999999999996E-3</v>
      </c>
      <c r="H4475" s="917">
        <f>VLOOKUP($A4475,'Tech Litons'!$A:$I,9,FALSE)</f>
        <v>255</v>
      </c>
      <c r="I4475" s="917" t="str">
        <f>VLOOKUP($A4475,'Tech Litons'!$A:$C,3,0)</f>
        <v>Talenti</v>
      </c>
      <c r="J4475" s="918" t="str">
        <f t="shared" si="450"/>
        <v>2904Talenti</v>
      </c>
      <c r="K4475" s="919">
        <v>1</v>
      </c>
      <c r="L4475" s="920">
        <f t="shared" si="451"/>
        <v>255</v>
      </c>
      <c r="M4475" s="920">
        <f t="shared" si="452"/>
        <v>0.96491999999999989</v>
      </c>
      <c r="N4475" s="920">
        <f t="shared" si="453"/>
        <v>1</v>
      </c>
      <c r="O4475" s="918" t="str">
        <f t="shared" si="454"/>
        <v>Mar</v>
      </c>
      <c r="P4475" s="921">
        <f t="shared" si="455"/>
        <v>11</v>
      </c>
    </row>
    <row r="4476" spans="1:16" ht="15" hidden="1" customHeight="1">
      <c r="A4476" s="839">
        <v>68860059</v>
      </c>
      <c r="B4476" s="839">
        <v>2904</v>
      </c>
      <c r="C4476" s="906">
        <v>2535</v>
      </c>
      <c r="D4476" s="907">
        <v>46085</v>
      </c>
      <c r="E4476" s="839" t="s">
        <v>319</v>
      </c>
      <c r="F4476" s="839" t="s">
        <v>277</v>
      </c>
      <c r="G4476" s="916">
        <f>VLOOKUP($A4476,'Tech Litons'!$A:$I,8,FALSE)</f>
        <v>3.7839999999999996E-3</v>
      </c>
      <c r="H4476" s="917">
        <f>VLOOKUP($A4476,'Tech Litons'!$A:$I,9,FALSE)</f>
        <v>255</v>
      </c>
      <c r="I4476" s="917" t="str">
        <f>VLOOKUP($A4476,'Tech Litons'!$A:$C,3,0)</f>
        <v>Talenti</v>
      </c>
      <c r="J4476" s="918" t="str">
        <f t="shared" si="450"/>
        <v>2904Talenti</v>
      </c>
      <c r="K4476" s="919">
        <v>1</v>
      </c>
      <c r="L4476" s="920">
        <f t="shared" si="451"/>
        <v>2535</v>
      </c>
      <c r="M4476" s="920">
        <f t="shared" si="452"/>
        <v>9.5924399999999999</v>
      </c>
      <c r="N4476" s="920">
        <f t="shared" si="453"/>
        <v>9.9411764705882355</v>
      </c>
      <c r="O4476" s="918" t="str">
        <f t="shared" si="454"/>
        <v>Mar</v>
      </c>
      <c r="P4476" s="921">
        <f t="shared" si="455"/>
        <v>10</v>
      </c>
    </row>
    <row r="4477" spans="1:16" ht="15" hidden="1" customHeight="1">
      <c r="A4477" s="839">
        <v>68860061</v>
      </c>
      <c r="B4477" s="839">
        <v>2904</v>
      </c>
      <c r="C4477" s="906">
        <v>193</v>
      </c>
      <c r="D4477" s="907">
        <v>46076</v>
      </c>
      <c r="E4477" s="839" t="s">
        <v>452</v>
      </c>
      <c r="F4477" s="839" t="s">
        <v>275</v>
      </c>
      <c r="G4477" s="916">
        <f>VLOOKUP($A4477,'Tech Litons'!$A:$I,8,FALSE)</f>
        <v>3.552E-3</v>
      </c>
      <c r="H4477" s="917">
        <f>VLOOKUP($A4477,'Tech Litons'!$A:$I,9,FALSE)</f>
        <v>255</v>
      </c>
      <c r="I4477" s="917" t="str">
        <f>VLOOKUP($A4477,'Tech Litons'!$A:$C,3,0)</f>
        <v>Talenti</v>
      </c>
      <c r="J4477" s="918" t="str">
        <f t="shared" si="450"/>
        <v>2904Talenti</v>
      </c>
      <c r="K4477" s="919">
        <v>1</v>
      </c>
      <c r="L4477" s="920">
        <f t="shared" si="451"/>
        <v>193</v>
      </c>
      <c r="M4477" s="920">
        <f t="shared" si="452"/>
        <v>0.68553600000000003</v>
      </c>
      <c r="N4477" s="920">
        <f t="shared" si="453"/>
        <v>0.75686274509803919</v>
      </c>
      <c r="O4477" s="918" t="str">
        <f t="shared" si="454"/>
        <v>Feb</v>
      </c>
      <c r="P4477" s="921">
        <f t="shared" si="455"/>
        <v>9</v>
      </c>
    </row>
    <row r="4478" spans="1:16" ht="15" hidden="1" customHeight="1">
      <c r="A4478" s="839">
        <v>68860061</v>
      </c>
      <c r="B4478" s="839">
        <v>2904</v>
      </c>
      <c r="C4478" s="906">
        <v>4741</v>
      </c>
      <c r="D4478" s="907">
        <v>46076</v>
      </c>
      <c r="E4478" s="839" t="s">
        <v>452</v>
      </c>
      <c r="F4478" s="839" t="s">
        <v>275</v>
      </c>
      <c r="G4478" s="916">
        <f>VLOOKUP($A4478,'Tech Litons'!$A:$I,8,FALSE)</f>
        <v>3.552E-3</v>
      </c>
      <c r="H4478" s="917">
        <f>VLOOKUP($A4478,'Tech Litons'!$A:$I,9,FALSE)</f>
        <v>255</v>
      </c>
      <c r="I4478" s="917" t="str">
        <f>VLOOKUP($A4478,'Tech Litons'!$A:$C,3,0)</f>
        <v>Talenti</v>
      </c>
      <c r="J4478" s="918" t="str">
        <f t="shared" si="450"/>
        <v>2904Talenti</v>
      </c>
      <c r="K4478" s="919">
        <v>1</v>
      </c>
      <c r="L4478" s="920">
        <f t="shared" si="451"/>
        <v>4741</v>
      </c>
      <c r="M4478" s="920">
        <f t="shared" si="452"/>
        <v>16.840032000000001</v>
      </c>
      <c r="N4478" s="920">
        <f t="shared" si="453"/>
        <v>18.592156862745099</v>
      </c>
      <c r="O4478" s="918" t="str">
        <f t="shared" si="454"/>
        <v>Feb</v>
      </c>
      <c r="P4478" s="921">
        <f t="shared" si="455"/>
        <v>9</v>
      </c>
    </row>
    <row r="4479" spans="1:16" ht="15" hidden="1" customHeight="1">
      <c r="A4479" s="839">
        <v>68860061</v>
      </c>
      <c r="B4479" s="839">
        <v>2904</v>
      </c>
      <c r="C4479" s="906">
        <v>6724</v>
      </c>
      <c r="D4479" s="907">
        <v>46092</v>
      </c>
      <c r="E4479" s="839" t="s">
        <v>452</v>
      </c>
      <c r="F4479" s="839" t="s">
        <v>275</v>
      </c>
      <c r="G4479" s="916">
        <f>VLOOKUP($A4479,'Tech Litons'!$A:$I,8,FALSE)</f>
        <v>3.552E-3</v>
      </c>
      <c r="H4479" s="917">
        <f>VLOOKUP($A4479,'Tech Litons'!$A:$I,9,FALSE)</f>
        <v>255</v>
      </c>
      <c r="I4479" s="917" t="str">
        <f>VLOOKUP($A4479,'Tech Litons'!$A:$C,3,0)</f>
        <v>Talenti</v>
      </c>
      <c r="J4479" s="918" t="str">
        <f t="shared" si="450"/>
        <v>2904Talenti</v>
      </c>
      <c r="K4479" s="919">
        <v>1</v>
      </c>
      <c r="L4479" s="920">
        <f t="shared" si="451"/>
        <v>6724</v>
      </c>
      <c r="M4479" s="920">
        <f t="shared" si="452"/>
        <v>23.883648000000001</v>
      </c>
      <c r="N4479" s="920">
        <f t="shared" si="453"/>
        <v>26.368627450980391</v>
      </c>
      <c r="O4479" s="918" t="str">
        <f t="shared" si="454"/>
        <v>Mar</v>
      </c>
      <c r="P4479" s="921">
        <f t="shared" si="455"/>
        <v>11</v>
      </c>
    </row>
    <row r="4480" spans="1:16" ht="15" hidden="1" customHeight="1">
      <c r="A4480" s="839">
        <v>68860061</v>
      </c>
      <c r="B4480" s="839">
        <v>2904</v>
      </c>
      <c r="C4480" s="906">
        <v>7349</v>
      </c>
      <c r="D4480" s="907">
        <v>46093</v>
      </c>
      <c r="E4480" s="839" t="s">
        <v>452</v>
      </c>
      <c r="F4480" s="839" t="s">
        <v>275</v>
      </c>
      <c r="G4480" s="916">
        <f>VLOOKUP($A4480,'Tech Litons'!$A:$I,8,FALSE)</f>
        <v>3.552E-3</v>
      </c>
      <c r="H4480" s="917">
        <f>VLOOKUP($A4480,'Tech Litons'!$A:$I,9,FALSE)</f>
        <v>255</v>
      </c>
      <c r="I4480" s="917" t="str">
        <f>VLOOKUP($A4480,'Tech Litons'!$A:$C,3,0)</f>
        <v>Talenti</v>
      </c>
      <c r="J4480" s="918" t="str">
        <f t="shared" si="450"/>
        <v>2904Talenti</v>
      </c>
      <c r="K4480" s="919">
        <v>1</v>
      </c>
      <c r="L4480" s="920">
        <f t="shared" si="451"/>
        <v>7349</v>
      </c>
      <c r="M4480" s="920">
        <f t="shared" si="452"/>
        <v>26.103648</v>
      </c>
      <c r="N4480" s="920">
        <f t="shared" si="453"/>
        <v>28.819607843137256</v>
      </c>
      <c r="O4480" s="918" t="str">
        <f t="shared" si="454"/>
        <v>Mar</v>
      </c>
      <c r="P4480" s="921">
        <f t="shared" si="455"/>
        <v>11</v>
      </c>
    </row>
    <row r="4481" spans="1:16" ht="15" hidden="1" customHeight="1">
      <c r="A4481" s="839">
        <v>68860061</v>
      </c>
      <c r="B4481" s="839">
        <v>2904</v>
      </c>
      <c r="C4481" s="906">
        <v>7559</v>
      </c>
      <c r="D4481" s="907">
        <v>46093</v>
      </c>
      <c r="E4481" s="839" t="s">
        <v>452</v>
      </c>
      <c r="F4481" s="839" t="s">
        <v>275</v>
      </c>
      <c r="G4481" s="916">
        <f>VLOOKUP($A4481,'Tech Litons'!$A:$I,8,FALSE)</f>
        <v>3.552E-3</v>
      </c>
      <c r="H4481" s="917">
        <f>VLOOKUP($A4481,'Tech Litons'!$A:$I,9,FALSE)</f>
        <v>255</v>
      </c>
      <c r="I4481" s="917" t="str">
        <f>VLOOKUP($A4481,'Tech Litons'!$A:$C,3,0)</f>
        <v>Talenti</v>
      </c>
      <c r="J4481" s="918" t="str">
        <f t="shared" si="450"/>
        <v>2904Talenti</v>
      </c>
      <c r="K4481" s="919">
        <v>1</v>
      </c>
      <c r="L4481" s="920">
        <f t="shared" si="451"/>
        <v>7559</v>
      </c>
      <c r="M4481" s="920">
        <f t="shared" si="452"/>
        <v>26.849568000000001</v>
      </c>
      <c r="N4481" s="920">
        <f t="shared" si="453"/>
        <v>29.643137254901962</v>
      </c>
      <c r="O4481" s="918" t="str">
        <f t="shared" si="454"/>
        <v>Mar</v>
      </c>
      <c r="P4481" s="921">
        <f t="shared" si="455"/>
        <v>11</v>
      </c>
    </row>
    <row r="4482" spans="1:16" ht="15" hidden="1" customHeight="1">
      <c r="A4482" s="839">
        <v>68860061</v>
      </c>
      <c r="B4482" s="839">
        <v>2904</v>
      </c>
      <c r="C4482" s="906">
        <v>7234</v>
      </c>
      <c r="D4482" s="907">
        <v>46094</v>
      </c>
      <c r="E4482" s="839" t="s">
        <v>452</v>
      </c>
      <c r="F4482" s="839" t="s">
        <v>275</v>
      </c>
      <c r="G4482" s="916">
        <f>VLOOKUP($A4482,'Tech Litons'!$A:$I,8,FALSE)</f>
        <v>3.552E-3</v>
      </c>
      <c r="H4482" s="917">
        <f>VLOOKUP($A4482,'Tech Litons'!$A:$I,9,FALSE)</f>
        <v>255</v>
      </c>
      <c r="I4482" s="917" t="str">
        <f>VLOOKUP($A4482,'Tech Litons'!$A:$C,3,0)</f>
        <v>Talenti</v>
      </c>
      <c r="J4482" s="918" t="str">
        <f t="shared" si="450"/>
        <v>2904Talenti</v>
      </c>
      <c r="K4482" s="919">
        <v>1</v>
      </c>
      <c r="L4482" s="920">
        <f t="shared" si="451"/>
        <v>7234</v>
      </c>
      <c r="M4482" s="920">
        <f t="shared" si="452"/>
        <v>25.695167999999999</v>
      </c>
      <c r="N4482" s="920">
        <f t="shared" si="453"/>
        <v>28.368627450980391</v>
      </c>
      <c r="O4482" s="918" t="str">
        <f t="shared" si="454"/>
        <v>Mar</v>
      </c>
      <c r="P4482" s="921">
        <f t="shared" si="455"/>
        <v>11</v>
      </c>
    </row>
    <row r="4483" spans="1:16" ht="15" hidden="1" customHeight="1">
      <c r="A4483" s="839">
        <v>68860061</v>
      </c>
      <c r="B4483" s="839">
        <v>2904</v>
      </c>
      <c r="C4483" s="906">
        <v>871</v>
      </c>
      <c r="D4483" s="907">
        <v>46094</v>
      </c>
      <c r="E4483" s="839" t="s">
        <v>452</v>
      </c>
      <c r="F4483" s="839" t="s">
        <v>275</v>
      </c>
      <c r="G4483" s="916">
        <f>VLOOKUP($A4483,'Tech Litons'!$A:$I,8,FALSE)</f>
        <v>3.552E-3</v>
      </c>
      <c r="H4483" s="917">
        <f>VLOOKUP($A4483,'Tech Litons'!$A:$I,9,FALSE)</f>
        <v>255</v>
      </c>
      <c r="I4483" s="917" t="str">
        <f>VLOOKUP($A4483,'Tech Litons'!$A:$C,3,0)</f>
        <v>Talenti</v>
      </c>
      <c r="J4483" s="918" t="str">
        <f t="shared" si="450"/>
        <v>2904Talenti</v>
      </c>
      <c r="K4483" s="919">
        <v>1</v>
      </c>
      <c r="L4483" s="920">
        <f t="shared" si="451"/>
        <v>871</v>
      </c>
      <c r="M4483" s="920">
        <f t="shared" si="452"/>
        <v>3.0937920000000001</v>
      </c>
      <c r="N4483" s="920">
        <f t="shared" si="453"/>
        <v>3.4156862745098038</v>
      </c>
      <c r="O4483" s="918" t="str">
        <f t="shared" si="454"/>
        <v>Mar</v>
      </c>
      <c r="P4483" s="921">
        <f t="shared" si="455"/>
        <v>11</v>
      </c>
    </row>
    <row r="4484" spans="1:16" ht="15" hidden="1" customHeight="1">
      <c r="A4484" s="839">
        <v>68860061</v>
      </c>
      <c r="B4484" s="839">
        <v>2904</v>
      </c>
      <c r="C4484" s="906">
        <v>510</v>
      </c>
      <c r="D4484" s="907">
        <v>46095</v>
      </c>
      <c r="E4484" s="839" t="s">
        <v>452</v>
      </c>
      <c r="F4484" s="839" t="s">
        <v>275</v>
      </c>
      <c r="G4484" s="916">
        <f>VLOOKUP($A4484,'Tech Litons'!$A:$I,8,FALSE)</f>
        <v>3.552E-3</v>
      </c>
      <c r="H4484" s="917">
        <f>VLOOKUP($A4484,'Tech Litons'!$A:$I,9,FALSE)</f>
        <v>255</v>
      </c>
      <c r="I4484" s="917" t="str">
        <f>VLOOKUP($A4484,'Tech Litons'!$A:$C,3,0)</f>
        <v>Talenti</v>
      </c>
      <c r="J4484" s="918" t="str">
        <f t="shared" si="450"/>
        <v>2904Talenti</v>
      </c>
      <c r="K4484" s="919">
        <v>1</v>
      </c>
      <c r="L4484" s="920">
        <f t="shared" si="451"/>
        <v>510</v>
      </c>
      <c r="M4484" s="920">
        <f t="shared" si="452"/>
        <v>1.81152</v>
      </c>
      <c r="N4484" s="920">
        <f t="shared" si="453"/>
        <v>2</v>
      </c>
      <c r="O4484" s="918" t="str">
        <f t="shared" si="454"/>
        <v>Mar</v>
      </c>
      <c r="P4484" s="921">
        <f t="shared" si="455"/>
        <v>11</v>
      </c>
    </row>
    <row r="4485" spans="1:16" ht="15" hidden="1" customHeight="1">
      <c r="A4485" s="839">
        <v>68860061</v>
      </c>
      <c r="B4485" s="839">
        <v>2904</v>
      </c>
      <c r="C4485" s="906">
        <v>10424</v>
      </c>
      <c r="D4485" s="907">
        <v>46101</v>
      </c>
      <c r="E4485" s="839" t="s">
        <v>452</v>
      </c>
      <c r="F4485" s="839" t="s">
        <v>275</v>
      </c>
      <c r="G4485" s="916">
        <f>VLOOKUP($A4485,'Tech Litons'!$A:$I,8,FALSE)</f>
        <v>3.552E-3</v>
      </c>
      <c r="H4485" s="917">
        <f>VLOOKUP($A4485,'Tech Litons'!$A:$I,9,FALSE)</f>
        <v>255</v>
      </c>
      <c r="I4485" s="917" t="str">
        <f>VLOOKUP($A4485,'Tech Litons'!$A:$C,3,0)</f>
        <v>Talenti</v>
      </c>
      <c r="J4485" s="918" t="str">
        <f t="shared" si="450"/>
        <v>2904Talenti</v>
      </c>
      <c r="K4485" s="919">
        <v>1</v>
      </c>
      <c r="L4485" s="920">
        <f t="shared" si="451"/>
        <v>10424</v>
      </c>
      <c r="M4485" s="920">
        <f t="shared" si="452"/>
        <v>37.026048000000003</v>
      </c>
      <c r="N4485" s="920">
        <f t="shared" si="453"/>
        <v>40.878431372549016</v>
      </c>
      <c r="O4485" s="918" t="str">
        <f t="shared" si="454"/>
        <v>Mar</v>
      </c>
      <c r="P4485" s="921">
        <f t="shared" si="455"/>
        <v>12</v>
      </c>
    </row>
    <row r="4486" spans="1:16" ht="15" hidden="1" customHeight="1">
      <c r="A4486" s="839">
        <v>68860061</v>
      </c>
      <c r="B4486" s="839">
        <v>2904</v>
      </c>
      <c r="C4486" s="906">
        <v>7611</v>
      </c>
      <c r="D4486" s="907">
        <v>46102</v>
      </c>
      <c r="E4486" s="839" t="s">
        <v>452</v>
      </c>
      <c r="F4486" s="839" t="s">
        <v>275</v>
      </c>
      <c r="G4486" s="916">
        <f>VLOOKUP($A4486,'Tech Litons'!$A:$I,8,FALSE)</f>
        <v>3.552E-3</v>
      </c>
      <c r="H4486" s="917">
        <f>VLOOKUP($A4486,'Tech Litons'!$A:$I,9,FALSE)</f>
        <v>255</v>
      </c>
      <c r="I4486" s="917" t="str">
        <f>VLOOKUP($A4486,'Tech Litons'!$A:$C,3,0)</f>
        <v>Talenti</v>
      </c>
      <c r="J4486" s="918" t="str">
        <f t="shared" si="450"/>
        <v>2904Talenti</v>
      </c>
      <c r="K4486" s="919">
        <v>1</v>
      </c>
      <c r="L4486" s="920">
        <f t="shared" si="451"/>
        <v>7611</v>
      </c>
      <c r="M4486" s="920">
        <f t="shared" si="452"/>
        <v>27.034272000000001</v>
      </c>
      <c r="N4486" s="920">
        <f t="shared" si="453"/>
        <v>29.847058823529412</v>
      </c>
      <c r="O4486" s="918" t="str">
        <f t="shared" si="454"/>
        <v>Mar</v>
      </c>
      <c r="P4486" s="921">
        <f t="shared" si="455"/>
        <v>12</v>
      </c>
    </row>
    <row r="4487" spans="1:16" ht="15" hidden="1" customHeight="1">
      <c r="A4487" s="839">
        <v>68860061</v>
      </c>
      <c r="B4487" s="839">
        <v>2904</v>
      </c>
      <c r="C4487" s="906">
        <v>5929</v>
      </c>
      <c r="D4487" s="907">
        <v>46102</v>
      </c>
      <c r="E4487" s="839" t="s">
        <v>452</v>
      </c>
      <c r="F4487" s="839" t="s">
        <v>275</v>
      </c>
      <c r="G4487" s="916">
        <f>VLOOKUP($A4487,'Tech Litons'!$A:$I,8,FALSE)</f>
        <v>3.552E-3</v>
      </c>
      <c r="H4487" s="917">
        <f>VLOOKUP($A4487,'Tech Litons'!$A:$I,9,FALSE)</f>
        <v>255</v>
      </c>
      <c r="I4487" s="917" t="str">
        <f>VLOOKUP($A4487,'Tech Litons'!$A:$C,3,0)</f>
        <v>Talenti</v>
      </c>
      <c r="J4487" s="918" t="str">
        <f t="shared" si="450"/>
        <v>2904Talenti</v>
      </c>
      <c r="K4487" s="919">
        <v>1</v>
      </c>
      <c r="L4487" s="920">
        <f t="shared" si="451"/>
        <v>5929</v>
      </c>
      <c r="M4487" s="920">
        <f t="shared" si="452"/>
        <v>21.059808</v>
      </c>
      <c r="N4487" s="920">
        <f t="shared" si="453"/>
        <v>23.250980392156862</v>
      </c>
      <c r="O4487" s="918" t="str">
        <f t="shared" si="454"/>
        <v>Mar</v>
      </c>
      <c r="P4487" s="921">
        <f t="shared" si="455"/>
        <v>12</v>
      </c>
    </row>
    <row r="4488" spans="1:16" ht="15" hidden="1" customHeight="1">
      <c r="A4488" s="839">
        <v>68860061</v>
      </c>
      <c r="B4488" s="839">
        <v>2904</v>
      </c>
      <c r="C4488" s="906">
        <v>255</v>
      </c>
      <c r="D4488" s="907">
        <v>46103</v>
      </c>
      <c r="E4488" s="839" t="s">
        <v>452</v>
      </c>
      <c r="F4488" s="839" t="s">
        <v>275</v>
      </c>
      <c r="G4488" s="916">
        <f>VLOOKUP($A4488,'Tech Litons'!$A:$I,8,FALSE)</f>
        <v>3.552E-3</v>
      </c>
      <c r="H4488" s="917">
        <f>VLOOKUP($A4488,'Tech Litons'!$A:$I,9,FALSE)</f>
        <v>255</v>
      </c>
      <c r="I4488" s="917" t="str">
        <f>VLOOKUP($A4488,'Tech Litons'!$A:$C,3,0)</f>
        <v>Talenti</v>
      </c>
      <c r="J4488" s="918" t="str">
        <f t="shared" si="450"/>
        <v>2904Talenti</v>
      </c>
      <c r="K4488" s="919">
        <v>1</v>
      </c>
      <c r="L4488" s="920">
        <f t="shared" si="451"/>
        <v>255</v>
      </c>
      <c r="M4488" s="920">
        <f t="shared" si="452"/>
        <v>0.90576000000000001</v>
      </c>
      <c r="N4488" s="920">
        <f t="shared" si="453"/>
        <v>1</v>
      </c>
      <c r="O4488" s="918" t="str">
        <f t="shared" si="454"/>
        <v>Mar</v>
      </c>
      <c r="P4488" s="921">
        <f t="shared" si="455"/>
        <v>13</v>
      </c>
    </row>
    <row r="4489" spans="1:16" ht="15" hidden="1" customHeight="1">
      <c r="A4489" s="839">
        <v>68860061</v>
      </c>
      <c r="B4489" s="839">
        <v>2904</v>
      </c>
      <c r="C4489" s="906">
        <v>3766</v>
      </c>
      <c r="D4489" s="907">
        <v>46076</v>
      </c>
      <c r="E4489" s="839" t="s">
        <v>452</v>
      </c>
      <c r="F4489" s="839" t="s">
        <v>275</v>
      </c>
      <c r="G4489" s="916">
        <f>VLOOKUP($A4489,'Tech Litons'!$A:$I,8,FALSE)</f>
        <v>3.552E-3</v>
      </c>
      <c r="H4489" s="917">
        <f>VLOOKUP($A4489,'Tech Litons'!$A:$I,9,FALSE)</f>
        <v>255</v>
      </c>
      <c r="I4489" s="917" t="str">
        <f>VLOOKUP($A4489,'Tech Litons'!$A:$C,3,0)</f>
        <v>Talenti</v>
      </c>
      <c r="J4489" s="918" t="str">
        <f t="shared" si="450"/>
        <v>2904Talenti</v>
      </c>
      <c r="K4489" s="919">
        <v>1</v>
      </c>
      <c r="L4489" s="920">
        <f t="shared" si="451"/>
        <v>3766</v>
      </c>
      <c r="M4489" s="920">
        <f t="shared" si="452"/>
        <v>13.376832</v>
      </c>
      <c r="N4489" s="920">
        <f t="shared" si="453"/>
        <v>14.768627450980393</v>
      </c>
      <c r="O4489" s="918" t="str">
        <f t="shared" si="454"/>
        <v>Feb</v>
      </c>
      <c r="P4489" s="921">
        <f t="shared" si="455"/>
        <v>9</v>
      </c>
    </row>
    <row r="4490" spans="1:16" ht="15" hidden="1" customHeight="1">
      <c r="A4490" s="839">
        <v>68860061</v>
      </c>
      <c r="B4490" s="839">
        <v>2904</v>
      </c>
      <c r="C4490" s="906">
        <v>4422</v>
      </c>
      <c r="D4490" s="907">
        <v>46077</v>
      </c>
      <c r="E4490" s="839" t="s">
        <v>452</v>
      </c>
      <c r="F4490" s="839" t="s">
        <v>275</v>
      </c>
      <c r="G4490" s="916">
        <f>VLOOKUP($A4490,'Tech Litons'!$A:$I,8,FALSE)</f>
        <v>3.552E-3</v>
      </c>
      <c r="H4490" s="917">
        <f>VLOOKUP($A4490,'Tech Litons'!$A:$I,9,FALSE)</f>
        <v>255</v>
      </c>
      <c r="I4490" s="917" t="str">
        <f>VLOOKUP($A4490,'Tech Litons'!$A:$C,3,0)</f>
        <v>Talenti</v>
      </c>
      <c r="J4490" s="918" t="str">
        <f t="shared" si="450"/>
        <v>2904Talenti</v>
      </c>
      <c r="K4490" s="919">
        <v>1</v>
      </c>
      <c r="L4490" s="920">
        <f t="shared" si="451"/>
        <v>4422</v>
      </c>
      <c r="M4490" s="920">
        <f t="shared" si="452"/>
        <v>15.706944</v>
      </c>
      <c r="N4490" s="920">
        <f t="shared" si="453"/>
        <v>17.341176470588234</v>
      </c>
      <c r="O4490" s="918" t="str">
        <f t="shared" si="454"/>
        <v>Feb</v>
      </c>
      <c r="P4490" s="921">
        <f t="shared" si="455"/>
        <v>9</v>
      </c>
    </row>
    <row r="4491" spans="1:16" ht="15" hidden="1" customHeight="1">
      <c r="A4491" s="839">
        <v>68860061</v>
      </c>
      <c r="B4491" s="839">
        <v>2904</v>
      </c>
      <c r="C4491" s="906">
        <v>1020</v>
      </c>
      <c r="D4491" s="907">
        <v>46092</v>
      </c>
      <c r="E4491" s="839" t="s">
        <v>452</v>
      </c>
      <c r="F4491" s="839" t="s">
        <v>275</v>
      </c>
      <c r="G4491" s="916">
        <f>VLOOKUP($A4491,'Tech Litons'!$A:$I,8,FALSE)</f>
        <v>3.552E-3</v>
      </c>
      <c r="H4491" s="917">
        <f>VLOOKUP($A4491,'Tech Litons'!$A:$I,9,FALSE)</f>
        <v>255</v>
      </c>
      <c r="I4491" s="917" t="str">
        <f>VLOOKUP($A4491,'Tech Litons'!$A:$C,3,0)</f>
        <v>Talenti</v>
      </c>
      <c r="J4491" s="918" t="str">
        <f t="shared" si="450"/>
        <v>2904Talenti</v>
      </c>
      <c r="K4491" s="919">
        <v>1</v>
      </c>
      <c r="L4491" s="920">
        <f t="shared" si="451"/>
        <v>1020</v>
      </c>
      <c r="M4491" s="920">
        <f t="shared" si="452"/>
        <v>3.62304</v>
      </c>
      <c r="N4491" s="920">
        <f t="shared" si="453"/>
        <v>4</v>
      </c>
      <c r="O4491" s="918" t="str">
        <f t="shared" si="454"/>
        <v>Mar</v>
      </c>
      <c r="P4491" s="921">
        <f t="shared" si="455"/>
        <v>11</v>
      </c>
    </row>
    <row r="4492" spans="1:16" ht="15" hidden="1" customHeight="1">
      <c r="A4492" s="839">
        <v>68860061</v>
      </c>
      <c r="B4492" s="839">
        <v>2904</v>
      </c>
      <c r="C4492" s="906">
        <v>3039</v>
      </c>
      <c r="D4492" s="907">
        <v>46100</v>
      </c>
      <c r="E4492" s="839" t="s">
        <v>452</v>
      </c>
      <c r="F4492" s="839" t="s">
        <v>275</v>
      </c>
      <c r="G4492" s="916">
        <f>VLOOKUP($A4492,'Tech Litons'!$A:$I,8,FALSE)</f>
        <v>3.552E-3</v>
      </c>
      <c r="H4492" s="917">
        <f>VLOOKUP($A4492,'Tech Litons'!$A:$I,9,FALSE)</f>
        <v>255</v>
      </c>
      <c r="I4492" s="917" t="str">
        <f>VLOOKUP($A4492,'Tech Litons'!$A:$C,3,0)</f>
        <v>Talenti</v>
      </c>
      <c r="J4492" s="918" t="str">
        <f t="shared" si="450"/>
        <v>2904Talenti</v>
      </c>
      <c r="K4492" s="919">
        <v>1</v>
      </c>
      <c r="L4492" s="920">
        <f t="shared" si="451"/>
        <v>3039</v>
      </c>
      <c r="M4492" s="920">
        <f t="shared" si="452"/>
        <v>10.794528</v>
      </c>
      <c r="N4492" s="920">
        <f t="shared" si="453"/>
        <v>11.91764705882353</v>
      </c>
      <c r="O4492" s="918" t="str">
        <f t="shared" si="454"/>
        <v>Mar</v>
      </c>
      <c r="P4492" s="921">
        <f t="shared" si="455"/>
        <v>12</v>
      </c>
    </row>
    <row r="4493" spans="1:16" ht="15" hidden="1" customHeight="1">
      <c r="A4493" s="839">
        <v>68860061</v>
      </c>
      <c r="B4493" s="839">
        <v>2904</v>
      </c>
      <c r="C4493" s="906">
        <v>6375</v>
      </c>
      <c r="D4493" s="907">
        <v>46101</v>
      </c>
      <c r="E4493" s="839" t="s">
        <v>452</v>
      </c>
      <c r="F4493" s="839" t="s">
        <v>275</v>
      </c>
      <c r="G4493" s="916">
        <f>VLOOKUP($A4493,'Tech Litons'!$A:$I,8,FALSE)</f>
        <v>3.552E-3</v>
      </c>
      <c r="H4493" s="917">
        <f>VLOOKUP($A4493,'Tech Litons'!$A:$I,9,FALSE)</f>
        <v>255</v>
      </c>
      <c r="I4493" s="917" t="str">
        <f>VLOOKUP($A4493,'Tech Litons'!$A:$C,3,0)</f>
        <v>Talenti</v>
      </c>
      <c r="J4493" s="918" t="str">
        <f t="shared" si="450"/>
        <v>2904Talenti</v>
      </c>
      <c r="K4493" s="919">
        <v>1</v>
      </c>
      <c r="L4493" s="920">
        <f t="shared" si="451"/>
        <v>6375</v>
      </c>
      <c r="M4493" s="920">
        <f t="shared" si="452"/>
        <v>22.644000000000002</v>
      </c>
      <c r="N4493" s="920">
        <f t="shared" si="453"/>
        <v>25</v>
      </c>
      <c r="O4493" s="918" t="str">
        <f t="shared" si="454"/>
        <v>Mar</v>
      </c>
      <c r="P4493" s="921">
        <f t="shared" si="455"/>
        <v>12</v>
      </c>
    </row>
    <row r="4494" spans="1:16" ht="15" hidden="1" customHeight="1">
      <c r="A4494" s="839">
        <v>68860129</v>
      </c>
      <c r="B4494" s="839">
        <v>2904</v>
      </c>
      <c r="C4494" s="906">
        <v>9511</v>
      </c>
      <c r="D4494" s="907">
        <v>46083</v>
      </c>
      <c r="E4494" s="839" t="s">
        <v>502</v>
      </c>
      <c r="F4494" s="839" t="s">
        <v>277</v>
      </c>
      <c r="G4494" s="916">
        <f>VLOOKUP($A4494,'Tech Litons'!$A:$I,8,FALSE)</f>
        <v>3.7839999999999996E-3</v>
      </c>
      <c r="H4494" s="917">
        <f>VLOOKUP($A4494,'Tech Litons'!$A:$I,9,FALSE)</f>
        <v>255</v>
      </c>
      <c r="I4494" s="917" t="str">
        <f>VLOOKUP($A4494,'Tech Litons'!$A:$C,3,0)</f>
        <v>Talenti</v>
      </c>
      <c r="J4494" s="918" t="str">
        <f t="shared" si="450"/>
        <v>2904Talenti</v>
      </c>
      <c r="K4494" s="919">
        <v>1</v>
      </c>
      <c r="L4494" s="920">
        <f t="shared" si="451"/>
        <v>9511</v>
      </c>
      <c r="M4494" s="920">
        <f t="shared" si="452"/>
        <v>35.989623999999999</v>
      </c>
      <c r="N4494" s="920">
        <f t="shared" si="453"/>
        <v>37.298039215686273</v>
      </c>
      <c r="O4494" s="918" t="str">
        <f t="shared" si="454"/>
        <v>Mar</v>
      </c>
      <c r="P4494" s="921">
        <f t="shared" si="455"/>
        <v>10</v>
      </c>
    </row>
    <row r="4495" spans="1:16" ht="15" hidden="1" customHeight="1">
      <c r="A4495" s="839">
        <v>68860129</v>
      </c>
      <c r="B4495" s="839">
        <v>2904</v>
      </c>
      <c r="C4495" s="906">
        <v>12384</v>
      </c>
      <c r="D4495" s="907">
        <v>46084</v>
      </c>
      <c r="E4495" s="839" t="s">
        <v>502</v>
      </c>
      <c r="F4495" s="839" t="s">
        <v>277</v>
      </c>
      <c r="G4495" s="916">
        <f>VLOOKUP($A4495,'Tech Litons'!$A:$I,8,FALSE)</f>
        <v>3.7839999999999996E-3</v>
      </c>
      <c r="H4495" s="917">
        <f>VLOOKUP($A4495,'Tech Litons'!$A:$I,9,FALSE)</f>
        <v>255</v>
      </c>
      <c r="I4495" s="917" t="str">
        <f>VLOOKUP($A4495,'Tech Litons'!$A:$C,3,0)</f>
        <v>Talenti</v>
      </c>
      <c r="J4495" s="918" t="str">
        <f t="shared" si="450"/>
        <v>2904Talenti</v>
      </c>
      <c r="K4495" s="919">
        <v>1</v>
      </c>
      <c r="L4495" s="920">
        <f t="shared" si="451"/>
        <v>12384</v>
      </c>
      <c r="M4495" s="920">
        <f t="shared" si="452"/>
        <v>46.861055999999998</v>
      </c>
      <c r="N4495" s="920">
        <f t="shared" si="453"/>
        <v>48.564705882352939</v>
      </c>
      <c r="O4495" s="918" t="str">
        <f t="shared" si="454"/>
        <v>Mar</v>
      </c>
      <c r="P4495" s="921">
        <f t="shared" si="455"/>
        <v>10</v>
      </c>
    </row>
    <row r="4496" spans="1:16" ht="15" hidden="1" customHeight="1">
      <c r="A4496" s="839">
        <v>68860129</v>
      </c>
      <c r="B4496" s="839">
        <v>2904</v>
      </c>
      <c r="C4496" s="906">
        <v>6552</v>
      </c>
      <c r="D4496" s="907">
        <v>46084</v>
      </c>
      <c r="E4496" s="839" t="s">
        <v>502</v>
      </c>
      <c r="F4496" s="839" t="s">
        <v>277</v>
      </c>
      <c r="G4496" s="916">
        <f>VLOOKUP($A4496,'Tech Litons'!$A:$I,8,FALSE)</f>
        <v>3.7839999999999996E-3</v>
      </c>
      <c r="H4496" s="917">
        <f>VLOOKUP($A4496,'Tech Litons'!$A:$I,9,FALSE)</f>
        <v>255</v>
      </c>
      <c r="I4496" s="917" t="str">
        <f>VLOOKUP($A4496,'Tech Litons'!$A:$C,3,0)</f>
        <v>Talenti</v>
      </c>
      <c r="J4496" s="918" t="str">
        <f t="shared" si="450"/>
        <v>2904Talenti</v>
      </c>
      <c r="K4496" s="919">
        <v>1</v>
      </c>
      <c r="L4496" s="920">
        <f t="shared" si="451"/>
        <v>6552</v>
      </c>
      <c r="M4496" s="920">
        <f t="shared" si="452"/>
        <v>24.792767999999999</v>
      </c>
      <c r="N4496" s="920">
        <f t="shared" si="453"/>
        <v>25.694117647058825</v>
      </c>
      <c r="O4496" s="918" t="str">
        <f t="shared" si="454"/>
        <v>Mar</v>
      </c>
      <c r="P4496" s="921">
        <f t="shared" si="455"/>
        <v>10</v>
      </c>
    </row>
    <row r="4497" spans="1:16" ht="15" hidden="1" customHeight="1">
      <c r="A4497" s="839">
        <v>68860136</v>
      </c>
      <c r="B4497" s="839">
        <v>2904</v>
      </c>
      <c r="C4497" s="906">
        <v>15371</v>
      </c>
      <c r="D4497" s="907">
        <v>46077</v>
      </c>
      <c r="E4497" s="839" t="s">
        <v>503</v>
      </c>
      <c r="F4497" s="839" t="s">
        <v>277</v>
      </c>
      <c r="G4497" s="916">
        <f>VLOOKUP($A4497,'Tech Litons'!$A:$I,8,FALSE)</f>
        <v>3.7839999999999996E-3</v>
      </c>
      <c r="H4497" s="917">
        <f>VLOOKUP($A4497,'Tech Litons'!$A:$I,9,FALSE)</f>
        <v>255</v>
      </c>
      <c r="I4497" s="917" t="str">
        <f>VLOOKUP($A4497,'Tech Litons'!$A:$C,3,0)</f>
        <v>TALENTI</v>
      </c>
      <c r="J4497" s="918" t="str">
        <f t="shared" si="450"/>
        <v>2904TALENTI</v>
      </c>
      <c r="K4497" s="919">
        <v>1</v>
      </c>
      <c r="L4497" s="920">
        <f t="shared" si="451"/>
        <v>15371</v>
      </c>
      <c r="M4497" s="920">
        <f t="shared" si="452"/>
        <v>58.163863999999997</v>
      </c>
      <c r="N4497" s="920">
        <f t="shared" si="453"/>
        <v>60.278431372549022</v>
      </c>
      <c r="O4497" s="918" t="str">
        <f t="shared" si="454"/>
        <v>Feb</v>
      </c>
      <c r="P4497" s="921">
        <f t="shared" si="455"/>
        <v>9</v>
      </c>
    </row>
    <row r="4498" spans="1:16" ht="15" hidden="1" customHeight="1">
      <c r="A4498" s="839">
        <v>68860136</v>
      </c>
      <c r="B4498" s="839">
        <v>2904</v>
      </c>
      <c r="C4498" s="906">
        <v>12384</v>
      </c>
      <c r="D4498" s="907">
        <v>46078</v>
      </c>
      <c r="E4498" s="839" t="s">
        <v>503</v>
      </c>
      <c r="F4498" s="839" t="s">
        <v>277</v>
      </c>
      <c r="G4498" s="916">
        <f>VLOOKUP($A4498,'Tech Litons'!$A:$I,8,FALSE)</f>
        <v>3.7839999999999996E-3</v>
      </c>
      <c r="H4498" s="917">
        <f>VLOOKUP($A4498,'Tech Litons'!$A:$I,9,FALSE)</f>
        <v>255</v>
      </c>
      <c r="I4498" s="917" t="str">
        <f>VLOOKUP($A4498,'Tech Litons'!$A:$C,3,0)</f>
        <v>TALENTI</v>
      </c>
      <c r="J4498" s="918" t="str">
        <f t="shared" si="450"/>
        <v>2904TALENTI</v>
      </c>
      <c r="K4498" s="919">
        <v>1</v>
      </c>
      <c r="L4498" s="920">
        <f t="shared" si="451"/>
        <v>12384</v>
      </c>
      <c r="M4498" s="920">
        <f t="shared" si="452"/>
        <v>46.861055999999998</v>
      </c>
      <c r="N4498" s="920">
        <f t="shared" si="453"/>
        <v>48.564705882352939</v>
      </c>
      <c r="O4498" s="918" t="str">
        <f t="shared" si="454"/>
        <v>Feb</v>
      </c>
      <c r="P4498" s="921">
        <f t="shared" si="455"/>
        <v>9</v>
      </c>
    </row>
    <row r="4499" spans="1:16" ht="15" hidden="1" customHeight="1">
      <c r="A4499" s="839">
        <v>68860136</v>
      </c>
      <c r="B4499" s="839">
        <v>2904</v>
      </c>
      <c r="C4499" s="906">
        <v>12408</v>
      </c>
      <c r="D4499" s="907">
        <v>46078</v>
      </c>
      <c r="E4499" s="839" t="s">
        <v>503</v>
      </c>
      <c r="F4499" s="839" t="s">
        <v>277</v>
      </c>
      <c r="G4499" s="916">
        <f>VLOOKUP($A4499,'Tech Litons'!$A:$I,8,FALSE)</f>
        <v>3.7839999999999996E-3</v>
      </c>
      <c r="H4499" s="917">
        <f>VLOOKUP($A4499,'Tech Litons'!$A:$I,9,FALSE)</f>
        <v>255</v>
      </c>
      <c r="I4499" s="917" t="str">
        <f>VLOOKUP($A4499,'Tech Litons'!$A:$C,3,0)</f>
        <v>TALENTI</v>
      </c>
      <c r="J4499" s="918" t="str">
        <f t="shared" si="450"/>
        <v>2904TALENTI</v>
      </c>
      <c r="K4499" s="919">
        <v>1</v>
      </c>
      <c r="L4499" s="920">
        <f t="shared" si="451"/>
        <v>12408</v>
      </c>
      <c r="M4499" s="920">
        <f t="shared" si="452"/>
        <v>46.951871999999995</v>
      </c>
      <c r="N4499" s="920">
        <f t="shared" si="453"/>
        <v>48.658823529411762</v>
      </c>
      <c r="O4499" s="918" t="str">
        <f t="shared" si="454"/>
        <v>Feb</v>
      </c>
      <c r="P4499" s="921">
        <f t="shared" si="455"/>
        <v>9</v>
      </c>
    </row>
    <row r="4500" spans="1:16" ht="15" hidden="1" customHeight="1">
      <c r="A4500" s="839">
        <v>68860136</v>
      </c>
      <c r="B4500" s="839">
        <v>2904</v>
      </c>
      <c r="C4500" s="906">
        <v>2263</v>
      </c>
      <c r="D4500" s="907">
        <v>46079</v>
      </c>
      <c r="E4500" s="839" t="s">
        <v>503</v>
      </c>
      <c r="F4500" s="839" t="s">
        <v>277</v>
      </c>
      <c r="G4500" s="916">
        <f>VLOOKUP($A4500,'Tech Litons'!$A:$I,8,FALSE)</f>
        <v>3.7839999999999996E-3</v>
      </c>
      <c r="H4500" s="917">
        <f>VLOOKUP($A4500,'Tech Litons'!$A:$I,9,FALSE)</f>
        <v>255</v>
      </c>
      <c r="I4500" s="917" t="str">
        <f>VLOOKUP($A4500,'Tech Litons'!$A:$C,3,0)</f>
        <v>TALENTI</v>
      </c>
      <c r="J4500" s="918" t="str">
        <f t="shared" si="450"/>
        <v>2904TALENTI</v>
      </c>
      <c r="K4500" s="919">
        <v>1</v>
      </c>
      <c r="L4500" s="920">
        <f t="shared" si="451"/>
        <v>2263</v>
      </c>
      <c r="M4500" s="920">
        <f t="shared" si="452"/>
        <v>8.563191999999999</v>
      </c>
      <c r="N4500" s="920">
        <f t="shared" si="453"/>
        <v>8.8745098039215691</v>
      </c>
      <c r="O4500" s="918" t="str">
        <f t="shared" si="454"/>
        <v>Feb</v>
      </c>
      <c r="P4500" s="921">
        <f t="shared" si="455"/>
        <v>9</v>
      </c>
    </row>
    <row r="4501" spans="1:16" ht="15" hidden="1" customHeight="1">
      <c r="A4501" s="839">
        <v>68860136</v>
      </c>
      <c r="B4501" s="839">
        <v>2904</v>
      </c>
      <c r="C4501" s="906">
        <v>6254</v>
      </c>
      <c r="D4501" s="907">
        <v>46077</v>
      </c>
      <c r="E4501" s="839" t="s">
        <v>503</v>
      </c>
      <c r="F4501" s="839" t="s">
        <v>277</v>
      </c>
      <c r="G4501" s="916">
        <f>VLOOKUP($A4501,'Tech Litons'!$A:$I,8,FALSE)</f>
        <v>3.7839999999999996E-3</v>
      </c>
      <c r="H4501" s="917">
        <f>VLOOKUP($A4501,'Tech Litons'!$A:$I,9,FALSE)</f>
        <v>255</v>
      </c>
      <c r="I4501" s="917" t="str">
        <f>VLOOKUP($A4501,'Tech Litons'!$A:$C,3,0)</f>
        <v>TALENTI</v>
      </c>
      <c r="J4501" s="918" t="str">
        <f t="shared" si="450"/>
        <v>2904TALENTI</v>
      </c>
      <c r="K4501" s="919">
        <v>1</v>
      </c>
      <c r="L4501" s="920">
        <f t="shared" si="451"/>
        <v>6254</v>
      </c>
      <c r="M4501" s="920">
        <f t="shared" si="452"/>
        <v>23.665135999999997</v>
      </c>
      <c r="N4501" s="920">
        <f t="shared" si="453"/>
        <v>24.525490196078433</v>
      </c>
      <c r="O4501" s="918" t="str">
        <f t="shared" si="454"/>
        <v>Feb</v>
      </c>
      <c r="P4501" s="921">
        <f t="shared" si="455"/>
        <v>9</v>
      </c>
    </row>
    <row r="4502" spans="1:16" ht="15" hidden="1" customHeight="1">
      <c r="A4502" s="839">
        <v>68860659</v>
      </c>
      <c r="B4502" s="839">
        <v>2904</v>
      </c>
      <c r="C4502" s="906">
        <v>6035</v>
      </c>
      <c r="D4502" s="907">
        <v>46094</v>
      </c>
      <c r="E4502" s="839" t="s">
        <v>453</v>
      </c>
      <c r="F4502" s="839" t="s">
        <v>277</v>
      </c>
      <c r="G4502" s="916">
        <f>VLOOKUP($A4502,'Tech Litons'!$A:$I,8,FALSE)</f>
        <v>3.7839999999999996E-3</v>
      </c>
      <c r="H4502" s="917">
        <f>VLOOKUP($A4502,'Tech Litons'!$A:$I,9,FALSE)</f>
        <v>255</v>
      </c>
      <c r="I4502" s="917" t="str">
        <f>VLOOKUP($A4502,'Tech Litons'!$A:$C,3,0)</f>
        <v>Talenti</v>
      </c>
      <c r="J4502" s="918" t="str">
        <f t="shared" si="450"/>
        <v>2904Talenti</v>
      </c>
      <c r="K4502" s="919">
        <v>1</v>
      </c>
      <c r="L4502" s="920">
        <f t="shared" si="451"/>
        <v>6035</v>
      </c>
      <c r="M4502" s="920">
        <f t="shared" si="452"/>
        <v>22.836439999999996</v>
      </c>
      <c r="N4502" s="920">
        <f t="shared" si="453"/>
        <v>23.666666666666668</v>
      </c>
      <c r="O4502" s="918" t="str">
        <f t="shared" si="454"/>
        <v>Mar</v>
      </c>
      <c r="P4502" s="921">
        <f t="shared" si="455"/>
        <v>11</v>
      </c>
    </row>
    <row r="4503" spans="1:16" ht="15" hidden="1" customHeight="1">
      <c r="A4503" s="839">
        <v>68860659</v>
      </c>
      <c r="B4503" s="839">
        <v>2904</v>
      </c>
      <c r="C4503" s="906">
        <v>17741</v>
      </c>
      <c r="D4503" s="907">
        <v>46094</v>
      </c>
      <c r="E4503" s="839" t="s">
        <v>453</v>
      </c>
      <c r="F4503" s="839" t="s">
        <v>277</v>
      </c>
      <c r="G4503" s="916">
        <f>VLOOKUP($A4503,'Tech Litons'!$A:$I,8,FALSE)</f>
        <v>3.7839999999999996E-3</v>
      </c>
      <c r="H4503" s="917">
        <f>VLOOKUP($A4503,'Tech Litons'!$A:$I,9,FALSE)</f>
        <v>255</v>
      </c>
      <c r="I4503" s="917" t="str">
        <f>VLOOKUP($A4503,'Tech Litons'!$A:$C,3,0)</f>
        <v>Talenti</v>
      </c>
      <c r="J4503" s="918" t="str">
        <f t="shared" si="450"/>
        <v>2904Talenti</v>
      </c>
      <c r="K4503" s="919">
        <v>1</v>
      </c>
      <c r="L4503" s="920">
        <f t="shared" si="451"/>
        <v>17741</v>
      </c>
      <c r="M4503" s="920">
        <f t="shared" si="452"/>
        <v>67.13194399999999</v>
      </c>
      <c r="N4503" s="920">
        <f t="shared" si="453"/>
        <v>69.572549019607848</v>
      </c>
      <c r="O4503" s="918" t="str">
        <f t="shared" si="454"/>
        <v>Mar</v>
      </c>
      <c r="P4503" s="921">
        <f t="shared" si="455"/>
        <v>11</v>
      </c>
    </row>
    <row r="4504" spans="1:16" ht="15" hidden="1" customHeight="1">
      <c r="A4504" s="839">
        <v>68860659</v>
      </c>
      <c r="B4504" s="839">
        <v>2904</v>
      </c>
      <c r="C4504" s="906">
        <v>15300</v>
      </c>
      <c r="D4504" s="907">
        <v>46095</v>
      </c>
      <c r="E4504" s="839" t="s">
        <v>453</v>
      </c>
      <c r="F4504" s="839" t="s">
        <v>277</v>
      </c>
      <c r="G4504" s="916">
        <f>VLOOKUP($A4504,'Tech Litons'!$A:$I,8,FALSE)</f>
        <v>3.7839999999999996E-3</v>
      </c>
      <c r="H4504" s="917">
        <f>VLOOKUP($A4504,'Tech Litons'!$A:$I,9,FALSE)</f>
        <v>255</v>
      </c>
      <c r="I4504" s="917" t="str">
        <f>VLOOKUP($A4504,'Tech Litons'!$A:$C,3,0)</f>
        <v>Talenti</v>
      </c>
      <c r="J4504" s="918" t="str">
        <f t="shared" si="450"/>
        <v>2904Talenti</v>
      </c>
      <c r="K4504" s="919">
        <v>1</v>
      </c>
      <c r="L4504" s="920">
        <f t="shared" si="451"/>
        <v>15300</v>
      </c>
      <c r="M4504" s="920">
        <f t="shared" si="452"/>
        <v>57.895199999999996</v>
      </c>
      <c r="N4504" s="920">
        <f t="shared" si="453"/>
        <v>60</v>
      </c>
      <c r="O4504" s="918" t="str">
        <f t="shared" si="454"/>
        <v>Mar</v>
      </c>
      <c r="P4504" s="921">
        <f t="shared" si="455"/>
        <v>11</v>
      </c>
    </row>
    <row r="4505" spans="1:16" ht="15" hidden="1" customHeight="1">
      <c r="A4505" s="839">
        <v>68860659</v>
      </c>
      <c r="B4505" s="839">
        <v>2904</v>
      </c>
      <c r="C4505" s="906">
        <v>510</v>
      </c>
      <c r="D4505" s="907">
        <v>46097</v>
      </c>
      <c r="E4505" s="839" t="s">
        <v>453</v>
      </c>
      <c r="F4505" s="839" t="s">
        <v>277</v>
      </c>
      <c r="G4505" s="916">
        <f>VLOOKUP($A4505,'Tech Litons'!$A:$I,8,FALSE)</f>
        <v>3.7839999999999996E-3</v>
      </c>
      <c r="H4505" s="917">
        <f>VLOOKUP($A4505,'Tech Litons'!$A:$I,9,FALSE)</f>
        <v>255</v>
      </c>
      <c r="I4505" s="917" t="str">
        <f>VLOOKUP($A4505,'Tech Litons'!$A:$C,3,0)</f>
        <v>Talenti</v>
      </c>
      <c r="J4505" s="918" t="str">
        <f t="shared" si="450"/>
        <v>2904Talenti</v>
      </c>
      <c r="K4505" s="919">
        <v>1</v>
      </c>
      <c r="L4505" s="920">
        <f t="shared" si="451"/>
        <v>510</v>
      </c>
      <c r="M4505" s="920">
        <f t="shared" si="452"/>
        <v>1.9298399999999998</v>
      </c>
      <c r="N4505" s="920">
        <f t="shared" si="453"/>
        <v>2</v>
      </c>
      <c r="O4505" s="918" t="str">
        <f t="shared" si="454"/>
        <v>Mar</v>
      </c>
      <c r="P4505" s="921">
        <f t="shared" si="455"/>
        <v>12</v>
      </c>
    </row>
    <row r="4506" spans="1:16" ht="15" hidden="1" customHeight="1">
      <c r="A4506" s="839">
        <v>68860659</v>
      </c>
      <c r="B4506" s="839">
        <v>2904</v>
      </c>
      <c r="C4506" s="906">
        <v>39015</v>
      </c>
      <c r="D4506" s="907">
        <v>46097</v>
      </c>
      <c r="E4506" s="839" t="s">
        <v>453</v>
      </c>
      <c r="F4506" s="839" t="s">
        <v>277</v>
      </c>
      <c r="G4506" s="916">
        <f>VLOOKUP($A4506,'Tech Litons'!$A:$I,8,FALSE)</f>
        <v>3.7839999999999996E-3</v>
      </c>
      <c r="H4506" s="917">
        <f>VLOOKUP($A4506,'Tech Litons'!$A:$I,9,FALSE)</f>
        <v>255</v>
      </c>
      <c r="I4506" s="917" t="str">
        <f>VLOOKUP($A4506,'Tech Litons'!$A:$C,3,0)</f>
        <v>Talenti</v>
      </c>
      <c r="J4506" s="918" t="str">
        <f t="shared" si="450"/>
        <v>2904Talenti</v>
      </c>
      <c r="K4506" s="919">
        <v>1</v>
      </c>
      <c r="L4506" s="920">
        <f t="shared" si="451"/>
        <v>39015</v>
      </c>
      <c r="M4506" s="920">
        <f t="shared" si="452"/>
        <v>147.63275999999999</v>
      </c>
      <c r="N4506" s="920">
        <f t="shared" si="453"/>
        <v>153</v>
      </c>
      <c r="O4506" s="918" t="str">
        <f t="shared" si="454"/>
        <v>Mar</v>
      </c>
      <c r="P4506" s="921">
        <f t="shared" si="455"/>
        <v>12</v>
      </c>
    </row>
    <row r="4507" spans="1:16" ht="15" hidden="1" customHeight="1">
      <c r="A4507" s="839">
        <v>68860659</v>
      </c>
      <c r="B4507" s="839">
        <v>2904</v>
      </c>
      <c r="C4507" s="906">
        <v>26265</v>
      </c>
      <c r="D4507" s="907">
        <v>46097</v>
      </c>
      <c r="E4507" s="839" t="s">
        <v>453</v>
      </c>
      <c r="F4507" s="839" t="s">
        <v>277</v>
      </c>
      <c r="G4507" s="916">
        <f>VLOOKUP($A4507,'Tech Litons'!$A:$I,8,FALSE)</f>
        <v>3.7839999999999996E-3</v>
      </c>
      <c r="H4507" s="917">
        <f>VLOOKUP($A4507,'Tech Litons'!$A:$I,9,FALSE)</f>
        <v>255</v>
      </c>
      <c r="I4507" s="917" t="str">
        <f>VLOOKUP($A4507,'Tech Litons'!$A:$C,3,0)</f>
        <v>Talenti</v>
      </c>
      <c r="J4507" s="918" t="str">
        <f t="shared" si="450"/>
        <v>2904Talenti</v>
      </c>
      <c r="K4507" s="919">
        <v>1</v>
      </c>
      <c r="L4507" s="920">
        <f t="shared" si="451"/>
        <v>26265</v>
      </c>
      <c r="M4507" s="920">
        <f t="shared" si="452"/>
        <v>99.386759999999995</v>
      </c>
      <c r="N4507" s="920">
        <f t="shared" si="453"/>
        <v>103</v>
      </c>
      <c r="O4507" s="918" t="str">
        <f t="shared" si="454"/>
        <v>Mar</v>
      </c>
      <c r="P4507" s="921">
        <f t="shared" si="455"/>
        <v>12</v>
      </c>
    </row>
    <row r="4508" spans="1:16" ht="15" hidden="1" customHeight="1">
      <c r="A4508" s="839">
        <v>68860659</v>
      </c>
      <c r="B4508" s="839">
        <v>2904</v>
      </c>
      <c r="C4508" s="906">
        <v>3608</v>
      </c>
      <c r="D4508" s="907">
        <v>46100</v>
      </c>
      <c r="E4508" s="839" t="s">
        <v>453</v>
      </c>
      <c r="F4508" s="839" t="s">
        <v>277</v>
      </c>
      <c r="G4508" s="916">
        <f>VLOOKUP($A4508,'Tech Litons'!$A:$I,8,FALSE)</f>
        <v>3.7839999999999996E-3</v>
      </c>
      <c r="H4508" s="917">
        <f>VLOOKUP($A4508,'Tech Litons'!$A:$I,9,FALSE)</f>
        <v>255</v>
      </c>
      <c r="I4508" s="917" t="str">
        <f>VLOOKUP($A4508,'Tech Litons'!$A:$C,3,0)</f>
        <v>Talenti</v>
      </c>
      <c r="J4508" s="918" t="str">
        <f t="shared" si="450"/>
        <v>2904Talenti</v>
      </c>
      <c r="K4508" s="919">
        <v>1</v>
      </c>
      <c r="L4508" s="920">
        <f t="shared" si="451"/>
        <v>3608</v>
      </c>
      <c r="M4508" s="920">
        <f t="shared" si="452"/>
        <v>13.652671999999999</v>
      </c>
      <c r="N4508" s="920">
        <f t="shared" si="453"/>
        <v>14.149019607843137</v>
      </c>
      <c r="O4508" s="918" t="str">
        <f t="shared" si="454"/>
        <v>Mar</v>
      </c>
      <c r="P4508" s="921">
        <f t="shared" si="455"/>
        <v>12</v>
      </c>
    </row>
    <row r="4509" spans="1:16" ht="15" hidden="1" customHeight="1">
      <c r="A4509" s="839">
        <v>68860659</v>
      </c>
      <c r="B4509" s="839">
        <v>2904</v>
      </c>
      <c r="C4509" s="906">
        <v>17265</v>
      </c>
      <c r="D4509" s="907">
        <v>46098</v>
      </c>
      <c r="E4509" s="839" t="s">
        <v>453</v>
      </c>
      <c r="F4509" s="839" t="s">
        <v>277</v>
      </c>
      <c r="G4509" s="916">
        <f>VLOOKUP($A4509,'Tech Litons'!$A:$I,8,FALSE)</f>
        <v>3.7839999999999996E-3</v>
      </c>
      <c r="H4509" s="917">
        <f>VLOOKUP($A4509,'Tech Litons'!$A:$I,9,FALSE)</f>
        <v>255</v>
      </c>
      <c r="I4509" s="917" t="str">
        <f>VLOOKUP($A4509,'Tech Litons'!$A:$C,3,0)</f>
        <v>Talenti</v>
      </c>
      <c r="J4509" s="918" t="str">
        <f t="shared" si="450"/>
        <v>2904Talenti</v>
      </c>
      <c r="K4509" s="919">
        <v>1</v>
      </c>
      <c r="L4509" s="920">
        <f t="shared" si="451"/>
        <v>17265</v>
      </c>
      <c r="M4509" s="920">
        <f t="shared" si="452"/>
        <v>65.330759999999998</v>
      </c>
      <c r="N4509" s="920">
        <f t="shared" si="453"/>
        <v>67.705882352941174</v>
      </c>
      <c r="O4509" s="918" t="str">
        <f t="shared" si="454"/>
        <v>Mar</v>
      </c>
      <c r="P4509" s="921">
        <f t="shared" si="455"/>
        <v>12</v>
      </c>
    </row>
    <row r="4510" spans="1:16" ht="15" hidden="1" customHeight="1">
      <c r="A4510" s="839">
        <v>68860659</v>
      </c>
      <c r="B4510" s="839">
        <v>2904</v>
      </c>
      <c r="C4510" s="906">
        <v>10704</v>
      </c>
      <c r="D4510" s="907">
        <v>46097</v>
      </c>
      <c r="E4510" s="839" t="s">
        <v>453</v>
      </c>
      <c r="F4510" s="839" t="s">
        <v>277</v>
      </c>
      <c r="G4510" s="916">
        <f>VLOOKUP($A4510,'Tech Litons'!$A:$I,8,FALSE)</f>
        <v>3.7839999999999996E-3</v>
      </c>
      <c r="H4510" s="917">
        <f>VLOOKUP($A4510,'Tech Litons'!$A:$I,9,FALSE)</f>
        <v>255</v>
      </c>
      <c r="I4510" s="917" t="str">
        <f>VLOOKUP($A4510,'Tech Litons'!$A:$C,3,0)</f>
        <v>Talenti</v>
      </c>
      <c r="J4510" s="918" t="str">
        <f t="shared" si="450"/>
        <v>2904Talenti</v>
      </c>
      <c r="K4510" s="919">
        <v>1</v>
      </c>
      <c r="L4510" s="920">
        <f t="shared" si="451"/>
        <v>10704</v>
      </c>
      <c r="M4510" s="920">
        <f t="shared" si="452"/>
        <v>40.503935999999996</v>
      </c>
      <c r="N4510" s="920">
        <f t="shared" si="453"/>
        <v>41.976470588235294</v>
      </c>
      <c r="O4510" s="918" t="str">
        <f t="shared" si="454"/>
        <v>Mar</v>
      </c>
      <c r="P4510" s="921">
        <f t="shared" si="455"/>
        <v>12</v>
      </c>
    </row>
    <row r="4511" spans="1:16" ht="15" hidden="1" customHeight="1">
      <c r="A4511" s="839">
        <v>68860659</v>
      </c>
      <c r="B4511" s="839">
        <v>2904</v>
      </c>
      <c r="C4511" s="906">
        <v>-10704</v>
      </c>
      <c r="D4511" s="907">
        <v>46101</v>
      </c>
      <c r="E4511" s="839" t="s">
        <v>453</v>
      </c>
      <c r="F4511" s="839" t="s">
        <v>277</v>
      </c>
      <c r="G4511" s="916">
        <f>VLOOKUP($A4511,'Tech Litons'!$A:$I,8,FALSE)</f>
        <v>3.7839999999999996E-3</v>
      </c>
      <c r="H4511" s="917">
        <f>VLOOKUP($A4511,'Tech Litons'!$A:$I,9,FALSE)</f>
        <v>255</v>
      </c>
      <c r="I4511" s="917" t="str">
        <f>VLOOKUP($A4511,'Tech Litons'!$A:$C,3,0)</f>
        <v>Talenti</v>
      </c>
      <c r="J4511" s="918" t="str">
        <f t="shared" si="450"/>
        <v>2904Talenti</v>
      </c>
      <c r="K4511" s="919">
        <v>1</v>
      </c>
      <c r="L4511" s="920">
        <f t="shared" si="451"/>
        <v>-10704</v>
      </c>
      <c r="M4511" s="920">
        <f t="shared" si="452"/>
        <v>-40.503935999999996</v>
      </c>
      <c r="N4511" s="920">
        <f t="shared" si="453"/>
        <v>-41.976470588235294</v>
      </c>
      <c r="O4511" s="918" t="str">
        <f t="shared" si="454"/>
        <v>Mar</v>
      </c>
      <c r="P4511" s="921">
        <f t="shared" si="455"/>
        <v>12</v>
      </c>
    </row>
    <row r="4512" spans="1:16" ht="15" hidden="1" customHeight="1">
      <c r="A4512" s="839">
        <v>68860662</v>
      </c>
      <c r="B4512" s="839">
        <v>2904</v>
      </c>
      <c r="C4512" s="906">
        <v>18071</v>
      </c>
      <c r="D4512" s="907">
        <v>46076</v>
      </c>
      <c r="E4512" s="839" t="s">
        <v>411</v>
      </c>
      <c r="F4512" s="839" t="s">
        <v>277</v>
      </c>
      <c r="G4512" s="916">
        <f>VLOOKUP($A4512,'Tech Litons'!$A:$I,8,FALSE)</f>
        <v>3.7839999999999996E-3</v>
      </c>
      <c r="H4512" s="917">
        <f>VLOOKUP($A4512,'Tech Litons'!$A:$I,9,FALSE)</f>
        <v>255</v>
      </c>
      <c r="I4512" s="917" t="str">
        <f>VLOOKUP($A4512,'Tech Litons'!$A:$C,3,0)</f>
        <v>Talenti</v>
      </c>
      <c r="J4512" s="918" t="str">
        <f t="shared" si="450"/>
        <v>2904Talenti</v>
      </c>
      <c r="K4512" s="919">
        <v>1</v>
      </c>
      <c r="L4512" s="920">
        <f t="shared" si="451"/>
        <v>18071</v>
      </c>
      <c r="M4512" s="920">
        <f t="shared" si="452"/>
        <v>68.380663999999996</v>
      </c>
      <c r="N4512" s="920">
        <f t="shared" si="453"/>
        <v>70.86666666666666</v>
      </c>
      <c r="O4512" s="918" t="str">
        <f t="shared" si="454"/>
        <v>Feb</v>
      </c>
      <c r="P4512" s="921">
        <f t="shared" si="455"/>
        <v>9</v>
      </c>
    </row>
    <row r="4513" spans="1:16" ht="15" hidden="1" customHeight="1">
      <c r="A4513" s="839">
        <v>68860662</v>
      </c>
      <c r="B4513" s="839">
        <v>2904</v>
      </c>
      <c r="C4513" s="906">
        <v>16143</v>
      </c>
      <c r="D4513" s="907">
        <v>46076</v>
      </c>
      <c r="E4513" s="839" t="s">
        <v>411</v>
      </c>
      <c r="F4513" s="839" t="s">
        <v>277</v>
      </c>
      <c r="G4513" s="916">
        <f>VLOOKUP($A4513,'Tech Litons'!$A:$I,8,FALSE)</f>
        <v>3.7839999999999996E-3</v>
      </c>
      <c r="H4513" s="917">
        <f>VLOOKUP($A4513,'Tech Litons'!$A:$I,9,FALSE)</f>
        <v>255</v>
      </c>
      <c r="I4513" s="917" t="str">
        <f>VLOOKUP($A4513,'Tech Litons'!$A:$C,3,0)</f>
        <v>Talenti</v>
      </c>
      <c r="J4513" s="918" t="str">
        <f t="shared" si="450"/>
        <v>2904Talenti</v>
      </c>
      <c r="K4513" s="919">
        <v>1</v>
      </c>
      <c r="L4513" s="920">
        <f t="shared" si="451"/>
        <v>16143</v>
      </c>
      <c r="M4513" s="920">
        <f t="shared" si="452"/>
        <v>61.085111999999995</v>
      </c>
      <c r="N4513" s="920">
        <f t="shared" si="453"/>
        <v>63.305882352941175</v>
      </c>
      <c r="O4513" s="918" t="str">
        <f t="shared" si="454"/>
        <v>Feb</v>
      </c>
      <c r="P4513" s="921">
        <f t="shared" si="455"/>
        <v>9</v>
      </c>
    </row>
    <row r="4514" spans="1:16" ht="15" hidden="1" customHeight="1">
      <c r="A4514" s="839">
        <v>68860662</v>
      </c>
      <c r="B4514" s="839">
        <v>2904</v>
      </c>
      <c r="C4514" s="906">
        <v>1089</v>
      </c>
      <c r="D4514" s="907">
        <v>46077</v>
      </c>
      <c r="E4514" s="839" t="s">
        <v>411</v>
      </c>
      <c r="F4514" s="839" t="s">
        <v>277</v>
      </c>
      <c r="G4514" s="916">
        <f>VLOOKUP($A4514,'Tech Litons'!$A:$I,8,FALSE)</f>
        <v>3.7839999999999996E-3</v>
      </c>
      <c r="H4514" s="917">
        <f>VLOOKUP($A4514,'Tech Litons'!$A:$I,9,FALSE)</f>
        <v>255</v>
      </c>
      <c r="I4514" s="917" t="str">
        <f>VLOOKUP($A4514,'Tech Litons'!$A:$C,3,0)</f>
        <v>Talenti</v>
      </c>
      <c r="J4514" s="918" t="str">
        <f t="shared" si="450"/>
        <v>2904Talenti</v>
      </c>
      <c r="K4514" s="919">
        <v>1</v>
      </c>
      <c r="L4514" s="920">
        <f t="shared" si="451"/>
        <v>1089</v>
      </c>
      <c r="M4514" s="920">
        <f t="shared" si="452"/>
        <v>4.1207759999999993</v>
      </c>
      <c r="N4514" s="920">
        <f t="shared" si="453"/>
        <v>4.2705882352941176</v>
      </c>
      <c r="O4514" s="918" t="str">
        <f t="shared" si="454"/>
        <v>Feb</v>
      </c>
      <c r="P4514" s="921">
        <f t="shared" si="455"/>
        <v>9</v>
      </c>
    </row>
    <row r="4515" spans="1:16" ht="15" hidden="1" customHeight="1">
      <c r="A4515" s="839">
        <v>68860662</v>
      </c>
      <c r="B4515" s="839">
        <v>2904</v>
      </c>
      <c r="C4515" s="906">
        <v>3654</v>
      </c>
      <c r="D4515" s="907">
        <v>46088</v>
      </c>
      <c r="E4515" s="839" t="s">
        <v>411</v>
      </c>
      <c r="F4515" s="839" t="s">
        <v>277</v>
      </c>
      <c r="G4515" s="916">
        <f>VLOOKUP($A4515,'Tech Litons'!$A:$I,8,FALSE)</f>
        <v>3.7839999999999996E-3</v>
      </c>
      <c r="H4515" s="917">
        <f>VLOOKUP($A4515,'Tech Litons'!$A:$I,9,FALSE)</f>
        <v>255</v>
      </c>
      <c r="I4515" s="917" t="str">
        <f>VLOOKUP($A4515,'Tech Litons'!$A:$C,3,0)</f>
        <v>Talenti</v>
      </c>
      <c r="J4515" s="918" t="str">
        <f t="shared" si="450"/>
        <v>2904Talenti</v>
      </c>
      <c r="K4515" s="919">
        <v>1</v>
      </c>
      <c r="L4515" s="920">
        <f t="shared" si="451"/>
        <v>3654</v>
      </c>
      <c r="M4515" s="920">
        <f t="shared" si="452"/>
        <v>13.826735999999999</v>
      </c>
      <c r="N4515" s="920">
        <f t="shared" si="453"/>
        <v>14.329411764705883</v>
      </c>
      <c r="O4515" s="918" t="str">
        <f t="shared" si="454"/>
        <v>Mar</v>
      </c>
      <c r="P4515" s="921">
        <f t="shared" si="455"/>
        <v>10</v>
      </c>
    </row>
    <row r="4516" spans="1:16" ht="15" hidden="1" customHeight="1">
      <c r="A4516" s="839">
        <v>68860662</v>
      </c>
      <c r="B4516" s="839">
        <v>2904</v>
      </c>
      <c r="C4516" s="906">
        <v>11533</v>
      </c>
      <c r="D4516" s="907">
        <v>46089</v>
      </c>
      <c r="E4516" s="839" t="s">
        <v>411</v>
      </c>
      <c r="F4516" s="839" t="s">
        <v>277</v>
      </c>
      <c r="G4516" s="916">
        <f>VLOOKUP($A4516,'Tech Litons'!$A:$I,8,FALSE)</f>
        <v>3.7839999999999996E-3</v>
      </c>
      <c r="H4516" s="917">
        <f>VLOOKUP($A4516,'Tech Litons'!$A:$I,9,FALSE)</f>
        <v>255</v>
      </c>
      <c r="I4516" s="917" t="str">
        <f>VLOOKUP($A4516,'Tech Litons'!$A:$C,3,0)</f>
        <v>Talenti</v>
      </c>
      <c r="J4516" s="918" t="str">
        <f t="shared" si="450"/>
        <v>2904Talenti</v>
      </c>
      <c r="K4516" s="919">
        <v>1</v>
      </c>
      <c r="L4516" s="920">
        <f t="shared" si="451"/>
        <v>11533</v>
      </c>
      <c r="M4516" s="920">
        <f t="shared" si="452"/>
        <v>43.640871999999995</v>
      </c>
      <c r="N4516" s="920">
        <f t="shared" si="453"/>
        <v>45.227450980392156</v>
      </c>
      <c r="O4516" s="918" t="str">
        <f t="shared" si="454"/>
        <v>Mar</v>
      </c>
      <c r="P4516" s="921">
        <f t="shared" si="455"/>
        <v>11</v>
      </c>
    </row>
    <row r="4517" spans="1:16" ht="15" hidden="1" customHeight="1">
      <c r="A4517" s="839">
        <v>68860663</v>
      </c>
      <c r="B4517" s="839">
        <v>2904</v>
      </c>
      <c r="C4517" s="906">
        <v>4972</v>
      </c>
      <c r="D4517" s="907">
        <v>46085</v>
      </c>
      <c r="E4517" s="839" t="s">
        <v>433</v>
      </c>
      <c r="F4517" s="839" t="s">
        <v>275</v>
      </c>
      <c r="G4517" s="916">
        <f>VLOOKUP($A4517,'Tech Litons'!$A:$I,8,FALSE)</f>
        <v>3.7839999999999996E-3</v>
      </c>
      <c r="H4517" s="917">
        <f>VLOOKUP($A4517,'Tech Litons'!$A:$I,9,FALSE)</f>
        <v>255</v>
      </c>
      <c r="I4517" s="917" t="str">
        <f>VLOOKUP($A4517,'Tech Litons'!$A:$C,3,0)</f>
        <v>Talenti</v>
      </c>
      <c r="J4517" s="918" t="str">
        <f t="shared" si="450"/>
        <v>2904Talenti</v>
      </c>
      <c r="K4517" s="919">
        <v>1</v>
      </c>
      <c r="L4517" s="920">
        <f t="shared" si="451"/>
        <v>4972</v>
      </c>
      <c r="M4517" s="920">
        <f t="shared" si="452"/>
        <v>18.814048</v>
      </c>
      <c r="N4517" s="920">
        <f t="shared" si="453"/>
        <v>19.498039215686273</v>
      </c>
      <c r="O4517" s="918" t="str">
        <f t="shared" si="454"/>
        <v>Mar</v>
      </c>
      <c r="P4517" s="921">
        <f t="shared" si="455"/>
        <v>10</v>
      </c>
    </row>
    <row r="4518" spans="1:16" ht="15" hidden="1" customHeight="1">
      <c r="A4518" s="839">
        <v>68860663</v>
      </c>
      <c r="B4518" s="839">
        <v>2904</v>
      </c>
      <c r="C4518" s="906">
        <v>4200</v>
      </c>
      <c r="D4518" s="907">
        <v>46086</v>
      </c>
      <c r="E4518" s="839" t="s">
        <v>433</v>
      </c>
      <c r="F4518" s="839" t="s">
        <v>275</v>
      </c>
      <c r="G4518" s="916">
        <f>VLOOKUP($A4518,'Tech Litons'!$A:$I,8,FALSE)</f>
        <v>3.7839999999999996E-3</v>
      </c>
      <c r="H4518" s="917">
        <f>VLOOKUP($A4518,'Tech Litons'!$A:$I,9,FALSE)</f>
        <v>255</v>
      </c>
      <c r="I4518" s="917" t="str">
        <f>VLOOKUP($A4518,'Tech Litons'!$A:$C,3,0)</f>
        <v>Talenti</v>
      </c>
      <c r="J4518" s="918" t="str">
        <f t="shared" si="450"/>
        <v>2904Talenti</v>
      </c>
      <c r="K4518" s="919">
        <v>1</v>
      </c>
      <c r="L4518" s="920">
        <f t="shared" si="451"/>
        <v>4200</v>
      </c>
      <c r="M4518" s="920">
        <f t="shared" si="452"/>
        <v>15.892799999999998</v>
      </c>
      <c r="N4518" s="920">
        <f t="shared" si="453"/>
        <v>16.470588235294116</v>
      </c>
      <c r="O4518" s="918" t="str">
        <f t="shared" si="454"/>
        <v>Mar</v>
      </c>
      <c r="P4518" s="921">
        <f t="shared" si="455"/>
        <v>10</v>
      </c>
    </row>
    <row r="4519" spans="1:16" ht="15" hidden="1" customHeight="1">
      <c r="A4519" s="839">
        <v>68860663</v>
      </c>
      <c r="B4519" s="839">
        <v>2904</v>
      </c>
      <c r="C4519" s="906">
        <v>2347</v>
      </c>
      <c r="D4519" s="907">
        <v>46086</v>
      </c>
      <c r="E4519" s="839" t="s">
        <v>433</v>
      </c>
      <c r="F4519" s="839" t="s">
        <v>275</v>
      </c>
      <c r="G4519" s="916">
        <f>VLOOKUP($A4519,'Tech Litons'!$A:$I,8,FALSE)</f>
        <v>3.7839999999999996E-3</v>
      </c>
      <c r="H4519" s="917">
        <f>VLOOKUP($A4519,'Tech Litons'!$A:$I,9,FALSE)</f>
        <v>255</v>
      </c>
      <c r="I4519" s="917" t="str">
        <f>VLOOKUP($A4519,'Tech Litons'!$A:$C,3,0)</f>
        <v>Talenti</v>
      </c>
      <c r="J4519" s="918" t="str">
        <f t="shared" si="450"/>
        <v>2904Talenti</v>
      </c>
      <c r="K4519" s="919">
        <v>1</v>
      </c>
      <c r="L4519" s="920">
        <f t="shared" si="451"/>
        <v>2347</v>
      </c>
      <c r="M4519" s="920">
        <f t="shared" si="452"/>
        <v>8.8810479999999998</v>
      </c>
      <c r="N4519" s="920">
        <f t="shared" si="453"/>
        <v>9.2039215686274503</v>
      </c>
      <c r="O4519" s="918" t="str">
        <f t="shared" si="454"/>
        <v>Mar</v>
      </c>
      <c r="P4519" s="921">
        <f t="shared" si="455"/>
        <v>10</v>
      </c>
    </row>
    <row r="4520" spans="1:16" ht="15" hidden="1" customHeight="1">
      <c r="A4520" s="839">
        <v>68860663</v>
      </c>
      <c r="B4520" s="839">
        <v>2904</v>
      </c>
      <c r="C4520" s="906">
        <v>9435</v>
      </c>
      <c r="D4520" s="907">
        <v>46087</v>
      </c>
      <c r="E4520" s="839" t="s">
        <v>433</v>
      </c>
      <c r="F4520" s="839" t="s">
        <v>275</v>
      </c>
      <c r="G4520" s="916">
        <f>VLOOKUP($A4520,'Tech Litons'!$A:$I,8,FALSE)</f>
        <v>3.7839999999999996E-3</v>
      </c>
      <c r="H4520" s="917">
        <f>VLOOKUP($A4520,'Tech Litons'!$A:$I,9,FALSE)</f>
        <v>255</v>
      </c>
      <c r="I4520" s="917" t="str">
        <f>VLOOKUP($A4520,'Tech Litons'!$A:$C,3,0)</f>
        <v>Talenti</v>
      </c>
      <c r="J4520" s="918" t="str">
        <f t="shared" si="450"/>
        <v>2904Talenti</v>
      </c>
      <c r="K4520" s="919">
        <v>1</v>
      </c>
      <c r="L4520" s="920">
        <f t="shared" si="451"/>
        <v>9435</v>
      </c>
      <c r="M4520" s="920">
        <f t="shared" si="452"/>
        <v>35.702039999999997</v>
      </c>
      <c r="N4520" s="920">
        <f t="shared" si="453"/>
        <v>37</v>
      </c>
      <c r="O4520" s="918" t="str">
        <f t="shared" si="454"/>
        <v>Mar</v>
      </c>
      <c r="P4520" s="921">
        <f t="shared" si="455"/>
        <v>10</v>
      </c>
    </row>
    <row r="4521" spans="1:16" ht="15" hidden="1" customHeight="1">
      <c r="A4521" s="839">
        <v>68860663</v>
      </c>
      <c r="B4521" s="839">
        <v>2904</v>
      </c>
      <c r="C4521" s="906">
        <v>8925</v>
      </c>
      <c r="D4521" s="907">
        <v>46087</v>
      </c>
      <c r="E4521" s="839" t="s">
        <v>433</v>
      </c>
      <c r="F4521" s="839" t="s">
        <v>275</v>
      </c>
      <c r="G4521" s="916">
        <f>VLOOKUP($A4521,'Tech Litons'!$A:$I,8,FALSE)</f>
        <v>3.7839999999999996E-3</v>
      </c>
      <c r="H4521" s="917">
        <f>VLOOKUP($A4521,'Tech Litons'!$A:$I,9,FALSE)</f>
        <v>255</v>
      </c>
      <c r="I4521" s="917" t="str">
        <f>VLOOKUP($A4521,'Tech Litons'!$A:$C,3,0)</f>
        <v>Talenti</v>
      </c>
      <c r="J4521" s="918" t="str">
        <f t="shared" si="450"/>
        <v>2904Talenti</v>
      </c>
      <c r="K4521" s="919">
        <v>1</v>
      </c>
      <c r="L4521" s="920">
        <f t="shared" si="451"/>
        <v>8925</v>
      </c>
      <c r="M4521" s="920">
        <f t="shared" si="452"/>
        <v>33.772199999999998</v>
      </c>
      <c r="N4521" s="920">
        <f t="shared" si="453"/>
        <v>35</v>
      </c>
      <c r="O4521" s="918" t="str">
        <f t="shared" si="454"/>
        <v>Mar</v>
      </c>
      <c r="P4521" s="921">
        <f t="shared" si="455"/>
        <v>10</v>
      </c>
    </row>
    <row r="4522" spans="1:16" ht="15" hidden="1" customHeight="1">
      <c r="A4522" s="839">
        <v>68860663</v>
      </c>
      <c r="B4522" s="839">
        <v>2904</v>
      </c>
      <c r="C4522" s="906">
        <v>9135</v>
      </c>
      <c r="D4522" s="907">
        <v>46088</v>
      </c>
      <c r="E4522" s="839" t="s">
        <v>433</v>
      </c>
      <c r="F4522" s="839" t="s">
        <v>275</v>
      </c>
      <c r="G4522" s="916">
        <f>VLOOKUP($A4522,'Tech Litons'!$A:$I,8,FALSE)</f>
        <v>3.7839999999999996E-3</v>
      </c>
      <c r="H4522" s="917">
        <f>VLOOKUP($A4522,'Tech Litons'!$A:$I,9,FALSE)</f>
        <v>255</v>
      </c>
      <c r="I4522" s="917" t="str">
        <f>VLOOKUP($A4522,'Tech Litons'!$A:$C,3,0)</f>
        <v>Talenti</v>
      </c>
      <c r="J4522" s="918" t="str">
        <f t="shared" si="450"/>
        <v>2904Talenti</v>
      </c>
      <c r="K4522" s="919">
        <v>1</v>
      </c>
      <c r="L4522" s="920">
        <f t="shared" si="451"/>
        <v>9135</v>
      </c>
      <c r="M4522" s="920">
        <f t="shared" si="452"/>
        <v>34.566839999999999</v>
      </c>
      <c r="N4522" s="920">
        <f t="shared" si="453"/>
        <v>35.823529411764703</v>
      </c>
      <c r="O4522" s="918" t="str">
        <f t="shared" si="454"/>
        <v>Mar</v>
      </c>
      <c r="P4522" s="921">
        <f t="shared" si="455"/>
        <v>10</v>
      </c>
    </row>
    <row r="4523" spans="1:16" ht="15" hidden="1" customHeight="1">
      <c r="A4523" s="839">
        <v>68860663</v>
      </c>
      <c r="B4523" s="839">
        <v>2904</v>
      </c>
      <c r="C4523" s="906">
        <v>255</v>
      </c>
      <c r="D4523" s="907">
        <v>46090</v>
      </c>
      <c r="E4523" s="839" t="s">
        <v>433</v>
      </c>
      <c r="F4523" s="839" t="s">
        <v>275</v>
      </c>
      <c r="G4523" s="916">
        <f>VLOOKUP($A4523,'Tech Litons'!$A:$I,8,FALSE)</f>
        <v>3.7839999999999996E-3</v>
      </c>
      <c r="H4523" s="917">
        <f>VLOOKUP($A4523,'Tech Litons'!$A:$I,9,FALSE)</f>
        <v>255</v>
      </c>
      <c r="I4523" s="917" t="str">
        <f>VLOOKUP($A4523,'Tech Litons'!$A:$C,3,0)</f>
        <v>Talenti</v>
      </c>
      <c r="J4523" s="918" t="str">
        <f t="shared" si="450"/>
        <v>2904Talenti</v>
      </c>
      <c r="K4523" s="919">
        <v>1</v>
      </c>
      <c r="L4523" s="920">
        <f t="shared" si="451"/>
        <v>255</v>
      </c>
      <c r="M4523" s="920">
        <f t="shared" si="452"/>
        <v>0.96491999999999989</v>
      </c>
      <c r="N4523" s="920">
        <f t="shared" si="453"/>
        <v>1</v>
      </c>
      <c r="O4523" s="918" t="str">
        <f t="shared" si="454"/>
        <v>Mar</v>
      </c>
      <c r="P4523" s="921">
        <f t="shared" si="455"/>
        <v>11</v>
      </c>
    </row>
    <row r="4524" spans="1:16" ht="15" hidden="1" customHeight="1">
      <c r="A4524" s="839">
        <v>68860663</v>
      </c>
      <c r="B4524" s="839">
        <v>2904</v>
      </c>
      <c r="C4524" s="906">
        <v>9120</v>
      </c>
      <c r="D4524" s="907">
        <v>46088</v>
      </c>
      <c r="E4524" s="839" t="s">
        <v>433</v>
      </c>
      <c r="F4524" s="839" t="s">
        <v>275</v>
      </c>
      <c r="G4524" s="916">
        <f>VLOOKUP($A4524,'Tech Litons'!$A:$I,8,FALSE)</f>
        <v>3.7839999999999996E-3</v>
      </c>
      <c r="H4524" s="917">
        <f>VLOOKUP($A4524,'Tech Litons'!$A:$I,9,FALSE)</f>
        <v>255</v>
      </c>
      <c r="I4524" s="917" t="str">
        <f>VLOOKUP($A4524,'Tech Litons'!$A:$C,3,0)</f>
        <v>Talenti</v>
      </c>
      <c r="J4524" s="918" t="str">
        <f t="shared" si="450"/>
        <v>2904Talenti</v>
      </c>
      <c r="K4524" s="919">
        <v>1</v>
      </c>
      <c r="L4524" s="920">
        <f t="shared" si="451"/>
        <v>9120</v>
      </c>
      <c r="M4524" s="920">
        <f t="shared" si="452"/>
        <v>34.510079999999995</v>
      </c>
      <c r="N4524" s="920">
        <f t="shared" si="453"/>
        <v>35.764705882352942</v>
      </c>
      <c r="O4524" s="918" t="str">
        <f t="shared" si="454"/>
        <v>Mar</v>
      </c>
      <c r="P4524" s="921">
        <f t="shared" si="455"/>
        <v>10</v>
      </c>
    </row>
    <row r="4525" spans="1:16" ht="15" hidden="1" customHeight="1">
      <c r="A4525" s="839">
        <v>68860663</v>
      </c>
      <c r="B4525" s="839">
        <v>2904</v>
      </c>
      <c r="C4525" s="906">
        <v>1275</v>
      </c>
      <c r="D4525" s="907">
        <v>46089</v>
      </c>
      <c r="E4525" s="839" t="s">
        <v>433</v>
      </c>
      <c r="F4525" s="839" t="s">
        <v>275</v>
      </c>
      <c r="G4525" s="916">
        <f>VLOOKUP($A4525,'Tech Litons'!$A:$I,8,FALSE)</f>
        <v>3.7839999999999996E-3</v>
      </c>
      <c r="H4525" s="917">
        <f>VLOOKUP($A4525,'Tech Litons'!$A:$I,9,FALSE)</f>
        <v>255</v>
      </c>
      <c r="I4525" s="917" t="str">
        <f>VLOOKUP($A4525,'Tech Litons'!$A:$C,3,0)</f>
        <v>Talenti</v>
      </c>
      <c r="J4525" s="918" t="str">
        <f t="shared" si="450"/>
        <v>2904Talenti</v>
      </c>
      <c r="K4525" s="919">
        <v>1</v>
      </c>
      <c r="L4525" s="920">
        <f t="shared" si="451"/>
        <v>1275</v>
      </c>
      <c r="M4525" s="920">
        <f t="shared" si="452"/>
        <v>4.8245999999999993</v>
      </c>
      <c r="N4525" s="920">
        <f t="shared" si="453"/>
        <v>5</v>
      </c>
      <c r="O4525" s="918" t="str">
        <f t="shared" si="454"/>
        <v>Mar</v>
      </c>
      <c r="P4525" s="921">
        <f t="shared" si="455"/>
        <v>11</v>
      </c>
    </row>
    <row r="4526" spans="1:16" ht="15" hidden="1" customHeight="1">
      <c r="A4526" s="839">
        <v>68860673</v>
      </c>
      <c r="B4526" s="839">
        <v>2904</v>
      </c>
      <c r="C4526" s="906">
        <v>14756</v>
      </c>
      <c r="D4526" s="907">
        <v>46102</v>
      </c>
      <c r="E4526" s="839" t="s">
        <v>526</v>
      </c>
      <c r="F4526" s="839" t="s">
        <v>277</v>
      </c>
      <c r="G4526" s="916">
        <f>VLOOKUP($A4526,'Tech Litons'!$A:$I,8,FALSE)</f>
        <v>3.7839999999999996E-3</v>
      </c>
      <c r="H4526" s="917">
        <f>VLOOKUP($A4526,'Tech Litons'!$A:$I,9,FALSE)</f>
        <v>255</v>
      </c>
      <c r="I4526" s="917" t="str">
        <f>VLOOKUP($A4526,'Tech Litons'!$A:$C,3,0)</f>
        <v>Talenti</v>
      </c>
      <c r="J4526" s="918" t="str">
        <f t="shared" si="450"/>
        <v>2904Talenti</v>
      </c>
      <c r="K4526" s="919">
        <v>1</v>
      </c>
      <c r="L4526" s="920">
        <f t="shared" si="451"/>
        <v>14756</v>
      </c>
      <c r="M4526" s="920">
        <f t="shared" si="452"/>
        <v>55.836703999999997</v>
      </c>
      <c r="N4526" s="920">
        <f t="shared" si="453"/>
        <v>57.866666666666667</v>
      </c>
      <c r="O4526" s="918" t="str">
        <f t="shared" si="454"/>
        <v>Mar</v>
      </c>
      <c r="P4526" s="921">
        <f t="shared" si="455"/>
        <v>12</v>
      </c>
    </row>
    <row r="4527" spans="1:16" ht="15" hidden="1" customHeight="1">
      <c r="A4527" s="839">
        <v>68860673</v>
      </c>
      <c r="B4527" s="839">
        <v>2904</v>
      </c>
      <c r="C4527" s="906">
        <v>14729</v>
      </c>
      <c r="D4527" s="907">
        <v>46103</v>
      </c>
      <c r="E4527" s="839" t="s">
        <v>526</v>
      </c>
      <c r="F4527" s="839" t="s">
        <v>277</v>
      </c>
      <c r="G4527" s="916">
        <f>VLOOKUP($A4527,'Tech Litons'!$A:$I,8,FALSE)</f>
        <v>3.7839999999999996E-3</v>
      </c>
      <c r="H4527" s="917">
        <f>VLOOKUP($A4527,'Tech Litons'!$A:$I,9,FALSE)</f>
        <v>255</v>
      </c>
      <c r="I4527" s="917" t="str">
        <f>VLOOKUP($A4527,'Tech Litons'!$A:$C,3,0)</f>
        <v>Talenti</v>
      </c>
      <c r="J4527" s="918" t="str">
        <f t="shared" si="450"/>
        <v>2904Talenti</v>
      </c>
      <c r="K4527" s="919">
        <v>1</v>
      </c>
      <c r="L4527" s="920">
        <f t="shared" si="451"/>
        <v>14729</v>
      </c>
      <c r="M4527" s="920">
        <f t="shared" si="452"/>
        <v>55.734535999999991</v>
      </c>
      <c r="N4527" s="920">
        <f t="shared" si="453"/>
        <v>57.760784313725487</v>
      </c>
      <c r="O4527" s="918" t="str">
        <f t="shared" si="454"/>
        <v>Mar</v>
      </c>
      <c r="P4527" s="921">
        <f t="shared" si="455"/>
        <v>13</v>
      </c>
    </row>
    <row r="4528" spans="1:16" ht="15" hidden="1" customHeight="1">
      <c r="A4528" s="839">
        <v>68860673</v>
      </c>
      <c r="B4528" s="839">
        <v>2904</v>
      </c>
      <c r="C4528" s="906">
        <v>13038</v>
      </c>
      <c r="D4528" s="907">
        <v>46103</v>
      </c>
      <c r="E4528" s="839" t="s">
        <v>526</v>
      </c>
      <c r="F4528" s="839" t="s">
        <v>277</v>
      </c>
      <c r="G4528" s="916">
        <f>VLOOKUP($A4528,'Tech Litons'!$A:$I,8,FALSE)</f>
        <v>3.7839999999999996E-3</v>
      </c>
      <c r="H4528" s="917">
        <f>VLOOKUP($A4528,'Tech Litons'!$A:$I,9,FALSE)</f>
        <v>255</v>
      </c>
      <c r="I4528" s="917" t="str">
        <f>VLOOKUP($A4528,'Tech Litons'!$A:$C,3,0)</f>
        <v>Talenti</v>
      </c>
      <c r="J4528" s="918" t="str">
        <f t="shared" si="450"/>
        <v>2904Talenti</v>
      </c>
      <c r="K4528" s="919">
        <v>1</v>
      </c>
      <c r="L4528" s="920">
        <f t="shared" si="451"/>
        <v>13038</v>
      </c>
      <c r="M4528" s="920">
        <f t="shared" si="452"/>
        <v>49.335791999999998</v>
      </c>
      <c r="N4528" s="920">
        <f t="shared" si="453"/>
        <v>51.129411764705885</v>
      </c>
      <c r="O4528" s="918" t="str">
        <f t="shared" si="454"/>
        <v>Mar</v>
      </c>
      <c r="P4528" s="921">
        <f t="shared" si="455"/>
        <v>13</v>
      </c>
    </row>
    <row r="4529" spans="1:16" ht="15" hidden="1" customHeight="1">
      <c r="A4529" s="839">
        <v>68860673</v>
      </c>
      <c r="B4529" s="839">
        <v>2904</v>
      </c>
      <c r="C4529" s="906">
        <v>175</v>
      </c>
      <c r="D4529" s="907">
        <v>46104</v>
      </c>
      <c r="E4529" s="839" t="s">
        <v>526</v>
      </c>
      <c r="F4529" s="839" t="s">
        <v>277</v>
      </c>
      <c r="G4529" s="916">
        <f>VLOOKUP($A4529,'Tech Litons'!$A:$I,8,FALSE)</f>
        <v>3.7839999999999996E-3</v>
      </c>
      <c r="H4529" s="917">
        <f>VLOOKUP($A4529,'Tech Litons'!$A:$I,9,FALSE)</f>
        <v>255</v>
      </c>
      <c r="I4529" s="917" t="str">
        <f>VLOOKUP($A4529,'Tech Litons'!$A:$C,3,0)</f>
        <v>Talenti</v>
      </c>
      <c r="J4529" s="918" t="str">
        <f t="shared" si="450"/>
        <v>2904Talenti</v>
      </c>
      <c r="K4529" s="919">
        <v>1</v>
      </c>
      <c r="L4529" s="920">
        <f t="shared" si="451"/>
        <v>175</v>
      </c>
      <c r="M4529" s="920">
        <f t="shared" si="452"/>
        <v>0.6621999999999999</v>
      </c>
      <c r="N4529" s="920">
        <f t="shared" si="453"/>
        <v>0.68627450980392157</v>
      </c>
      <c r="O4529" s="918" t="str">
        <f t="shared" si="454"/>
        <v>Mar</v>
      </c>
      <c r="P4529" s="921">
        <f t="shared" si="455"/>
        <v>13</v>
      </c>
    </row>
    <row r="4530" spans="1:16" ht="15" hidden="1" customHeight="1">
      <c r="A4530" s="839">
        <v>68860673</v>
      </c>
      <c r="B4530" s="839">
        <v>2904</v>
      </c>
      <c r="C4530" s="906">
        <v>1905</v>
      </c>
      <c r="D4530" s="907">
        <v>46102</v>
      </c>
      <c r="E4530" s="839" t="s">
        <v>526</v>
      </c>
      <c r="F4530" s="839" t="s">
        <v>277</v>
      </c>
      <c r="G4530" s="916">
        <f>VLOOKUP($A4530,'Tech Litons'!$A:$I,8,FALSE)</f>
        <v>3.7839999999999996E-3</v>
      </c>
      <c r="H4530" s="917">
        <f>VLOOKUP($A4530,'Tech Litons'!$A:$I,9,FALSE)</f>
        <v>255</v>
      </c>
      <c r="I4530" s="917" t="str">
        <f>VLOOKUP($A4530,'Tech Litons'!$A:$C,3,0)</f>
        <v>Talenti</v>
      </c>
      <c r="J4530" s="918" t="str">
        <f t="shared" ref="J4530:J4593" si="456">B4530&amp;I4530</f>
        <v>2904Talenti</v>
      </c>
      <c r="K4530" s="919">
        <v>1</v>
      </c>
      <c r="L4530" s="920">
        <f t="shared" ref="L4530:L4593" si="457">C4530*$K4530</f>
        <v>1905</v>
      </c>
      <c r="M4530" s="920">
        <f t="shared" ref="M4530:M4593" si="458">L4530*G4530</f>
        <v>7.2085199999999992</v>
      </c>
      <c r="N4530" s="920">
        <f t="shared" ref="N4530:N4593" si="459">L4530/H4530</f>
        <v>7.4705882352941178</v>
      </c>
      <c r="O4530" s="918" t="str">
        <f t="shared" ref="O4530:O4593" si="460">TEXT(D4530,"MMM")</f>
        <v>Mar</v>
      </c>
      <c r="P4530" s="921">
        <f t="shared" ref="P4530:P4593" si="461">WEEKNUM(D4530)</f>
        <v>12</v>
      </c>
    </row>
    <row r="4531" spans="1:16" ht="15" hidden="1" customHeight="1">
      <c r="A4531" s="839">
        <v>68862496</v>
      </c>
      <c r="B4531" s="839">
        <v>2904</v>
      </c>
      <c r="C4531" s="906">
        <v>14276</v>
      </c>
      <c r="D4531" s="907">
        <v>46105</v>
      </c>
      <c r="E4531" s="839" t="s">
        <v>356</v>
      </c>
      <c r="F4531" s="839" t="s">
        <v>277</v>
      </c>
      <c r="G4531" s="916">
        <f>VLOOKUP($A4531,'Tech Litons'!$A:$I,8,FALSE)</f>
        <v>3.7839999999999996E-3</v>
      </c>
      <c r="H4531" s="917">
        <f>VLOOKUP($A4531,'Tech Litons'!$A:$I,9,FALSE)</f>
        <v>255</v>
      </c>
      <c r="I4531" s="917" t="str">
        <f>VLOOKUP($A4531,'Tech Litons'!$A:$C,3,0)</f>
        <v>TALENTI</v>
      </c>
      <c r="J4531" s="918" t="str">
        <f t="shared" si="456"/>
        <v>2904TALENTI</v>
      </c>
      <c r="K4531" s="919">
        <v>1</v>
      </c>
      <c r="L4531" s="920">
        <f t="shared" si="457"/>
        <v>14276</v>
      </c>
      <c r="M4531" s="920">
        <f t="shared" si="458"/>
        <v>54.020383999999993</v>
      </c>
      <c r="N4531" s="920">
        <f t="shared" si="459"/>
        <v>55.984313725490196</v>
      </c>
      <c r="O4531" s="918" t="str">
        <f t="shared" si="460"/>
        <v>Mar</v>
      </c>
      <c r="P4531" s="921">
        <f t="shared" si="461"/>
        <v>13</v>
      </c>
    </row>
    <row r="4532" spans="1:16" ht="15" hidden="1" customHeight="1">
      <c r="A4532" s="839">
        <v>68862496</v>
      </c>
      <c r="B4532" s="839">
        <v>2904</v>
      </c>
      <c r="C4532" s="906">
        <v>6100</v>
      </c>
      <c r="D4532" s="907">
        <v>46103</v>
      </c>
      <c r="E4532" s="839" t="s">
        <v>356</v>
      </c>
      <c r="F4532" s="839" t="s">
        <v>275</v>
      </c>
      <c r="G4532" s="916">
        <f>VLOOKUP($A4532,'Tech Litons'!$A:$I,8,FALSE)</f>
        <v>3.7839999999999996E-3</v>
      </c>
      <c r="H4532" s="917">
        <f>VLOOKUP($A4532,'Tech Litons'!$A:$I,9,FALSE)</f>
        <v>255</v>
      </c>
      <c r="I4532" s="917" t="str">
        <f>VLOOKUP($A4532,'Tech Litons'!$A:$C,3,0)</f>
        <v>TALENTI</v>
      </c>
      <c r="J4532" s="918" t="str">
        <f t="shared" si="456"/>
        <v>2904TALENTI</v>
      </c>
      <c r="K4532" s="919">
        <v>1</v>
      </c>
      <c r="L4532" s="920">
        <f t="shared" si="457"/>
        <v>6100</v>
      </c>
      <c r="M4532" s="920">
        <f t="shared" si="458"/>
        <v>23.082399999999996</v>
      </c>
      <c r="N4532" s="920">
        <f t="shared" si="459"/>
        <v>23.921568627450981</v>
      </c>
      <c r="O4532" s="918" t="str">
        <f t="shared" si="460"/>
        <v>Mar</v>
      </c>
      <c r="P4532" s="921">
        <f t="shared" si="461"/>
        <v>13</v>
      </c>
    </row>
    <row r="4533" spans="1:16" ht="15" hidden="1" customHeight="1">
      <c r="A4533" s="839">
        <v>68862496</v>
      </c>
      <c r="B4533" s="839">
        <v>2904</v>
      </c>
      <c r="C4533" s="906">
        <v>2663</v>
      </c>
      <c r="D4533" s="907">
        <v>46104</v>
      </c>
      <c r="E4533" s="839" t="s">
        <v>356</v>
      </c>
      <c r="F4533" s="839" t="s">
        <v>275</v>
      </c>
      <c r="G4533" s="916">
        <f>VLOOKUP($A4533,'Tech Litons'!$A:$I,8,FALSE)</f>
        <v>3.7839999999999996E-3</v>
      </c>
      <c r="H4533" s="917">
        <f>VLOOKUP($A4533,'Tech Litons'!$A:$I,9,FALSE)</f>
        <v>255</v>
      </c>
      <c r="I4533" s="917" t="str">
        <f>VLOOKUP($A4533,'Tech Litons'!$A:$C,3,0)</f>
        <v>TALENTI</v>
      </c>
      <c r="J4533" s="918" t="str">
        <f t="shared" si="456"/>
        <v>2904TALENTI</v>
      </c>
      <c r="K4533" s="919">
        <v>1</v>
      </c>
      <c r="L4533" s="920">
        <f t="shared" si="457"/>
        <v>2663</v>
      </c>
      <c r="M4533" s="920">
        <f t="shared" si="458"/>
        <v>10.076791999999999</v>
      </c>
      <c r="N4533" s="920">
        <f t="shared" si="459"/>
        <v>10.443137254901961</v>
      </c>
      <c r="O4533" s="918" t="str">
        <f t="shared" si="460"/>
        <v>Mar</v>
      </c>
      <c r="P4533" s="921">
        <f t="shared" si="461"/>
        <v>13</v>
      </c>
    </row>
    <row r="4534" spans="1:16" ht="15" hidden="1" customHeight="1">
      <c r="A4534" s="839">
        <v>68862496</v>
      </c>
      <c r="B4534" s="839">
        <v>2904</v>
      </c>
      <c r="C4534" s="906">
        <v>1404</v>
      </c>
      <c r="D4534" s="907">
        <v>46103</v>
      </c>
      <c r="E4534" s="839" t="s">
        <v>356</v>
      </c>
      <c r="F4534" s="839" t="s">
        <v>275</v>
      </c>
      <c r="G4534" s="916">
        <f>VLOOKUP($A4534,'Tech Litons'!$A:$I,8,FALSE)</f>
        <v>3.7839999999999996E-3</v>
      </c>
      <c r="H4534" s="917">
        <f>VLOOKUP($A4534,'Tech Litons'!$A:$I,9,FALSE)</f>
        <v>255</v>
      </c>
      <c r="I4534" s="917" t="str">
        <f>VLOOKUP($A4534,'Tech Litons'!$A:$C,3,0)</f>
        <v>TALENTI</v>
      </c>
      <c r="J4534" s="918" t="str">
        <f t="shared" si="456"/>
        <v>2904TALENTI</v>
      </c>
      <c r="K4534" s="919">
        <v>1</v>
      </c>
      <c r="L4534" s="920">
        <f t="shared" si="457"/>
        <v>1404</v>
      </c>
      <c r="M4534" s="920">
        <f t="shared" si="458"/>
        <v>5.3127359999999992</v>
      </c>
      <c r="N4534" s="920">
        <f t="shared" si="459"/>
        <v>5.5058823529411764</v>
      </c>
      <c r="O4534" s="918" t="str">
        <f t="shared" si="460"/>
        <v>Mar</v>
      </c>
      <c r="P4534" s="921">
        <f t="shared" si="461"/>
        <v>13</v>
      </c>
    </row>
    <row r="4535" spans="1:16" ht="15" hidden="1" customHeight="1">
      <c r="A4535" s="839">
        <v>68862496</v>
      </c>
      <c r="B4535" s="839">
        <v>2904</v>
      </c>
      <c r="C4535" s="906">
        <v>10194</v>
      </c>
      <c r="D4535" s="907">
        <v>46105</v>
      </c>
      <c r="E4535" s="839" t="s">
        <v>356</v>
      </c>
      <c r="F4535" s="839" t="s">
        <v>277</v>
      </c>
      <c r="G4535" s="916">
        <f>VLOOKUP($A4535,'Tech Litons'!$A:$I,8,FALSE)</f>
        <v>3.7839999999999996E-3</v>
      </c>
      <c r="H4535" s="917">
        <f>VLOOKUP($A4535,'Tech Litons'!$A:$I,9,FALSE)</f>
        <v>255</v>
      </c>
      <c r="I4535" s="917" t="str">
        <f>VLOOKUP($A4535,'Tech Litons'!$A:$C,3,0)</f>
        <v>TALENTI</v>
      </c>
      <c r="J4535" s="918" t="str">
        <f t="shared" si="456"/>
        <v>2904TALENTI</v>
      </c>
      <c r="K4535" s="919">
        <v>1</v>
      </c>
      <c r="L4535" s="920">
        <f t="shared" si="457"/>
        <v>10194</v>
      </c>
      <c r="M4535" s="920">
        <f t="shared" si="458"/>
        <v>38.574095999999997</v>
      </c>
      <c r="N4535" s="920">
        <f t="shared" si="459"/>
        <v>39.976470588235294</v>
      </c>
      <c r="O4535" s="918" t="str">
        <f t="shared" si="460"/>
        <v>Mar</v>
      </c>
      <c r="P4535" s="921">
        <f t="shared" si="461"/>
        <v>13</v>
      </c>
    </row>
    <row r="4536" spans="1:16" ht="15" hidden="1" customHeight="1">
      <c r="A4536" s="839">
        <v>68862496</v>
      </c>
      <c r="B4536" s="839">
        <v>2904</v>
      </c>
      <c r="C4536" s="906">
        <v>1439</v>
      </c>
      <c r="D4536" s="907">
        <v>46104</v>
      </c>
      <c r="E4536" s="839" t="s">
        <v>356</v>
      </c>
      <c r="F4536" s="839" t="s">
        <v>275</v>
      </c>
      <c r="G4536" s="916">
        <f>VLOOKUP($A4536,'Tech Litons'!$A:$I,8,FALSE)</f>
        <v>3.7839999999999996E-3</v>
      </c>
      <c r="H4536" s="917">
        <f>VLOOKUP($A4536,'Tech Litons'!$A:$I,9,FALSE)</f>
        <v>255</v>
      </c>
      <c r="I4536" s="917" t="str">
        <f>VLOOKUP($A4536,'Tech Litons'!$A:$C,3,0)</f>
        <v>TALENTI</v>
      </c>
      <c r="J4536" s="918" t="str">
        <f t="shared" si="456"/>
        <v>2904TALENTI</v>
      </c>
      <c r="K4536" s="919">
        <v>1</v>
      </c>
      <c r="L4536" s="920">
        <f t="shared" si="457"/>
        <v>1439</v>
      </c>
      <c r="M4536" s="920">
        <f t="shared" si="458"/>
        <v>5.4451759999999991</v>
      </c>
      <c r="N4536" s="920">
        <f t="shared" si="459"/>
        <v>5.6431372549019612</v>
      </c>
      <c r="O4536" s="918" t="str">
        <f t="shared" si="460"/>
        <v>Mar</v>
      </c>
      <c r="P4536" s="921">
        <f t="shared" si="461"/>
        <v>13</v>
      </c>
    </row>
    <row r="4537" spans="1:16" ht="15" hidden="1" customHeight="1">
      <c r="A4537" s="839">
        <v>68867744</v>
      </c>
      <c r="B4537" s="839">
        <v>2904</v>
      </c>
      <c r="C4537" s="906">
        <v>6630</v>
      </c>
      <c r="D4537" s="907">
        <v>46082</v>
      </c>
      <c r="E4537" s="839" t="s">
        <v>306</v>
      </c>
      <c r="F4537" s="839" t="s">
        <v>275</v>
      </c>
      <c r="G4537" s="916">
        <f>VLOOKUP($A4537,'Tech Litons'!$A:$I,8,FALSE)</f>
        <v>3.552E-3</v>
      </c>
      <c r="H4537" s="917">
        <f>VLOOKUP($A4537,'Tech Litons'!$A:$I,9,FALSE)</f>
        <v>255</v>
      </c>
      <c r="I4537" s="917" t="str">
        <f>VLOOKUP($A4537,'Tech Litons'!$A:$C,3,0)</f>
        <v>Talenti</v>
      </c>
      <c r="J4537" s="918" t="str">
        <f t="shared" si="456"/>
        <v>2904Talenti</v>
      </c>
      <c r="K4537" s="919">
        <v>1</v>
      </c>
      <c r="L4537" s="920">
        <f t="shared" si="457"/>
        <v>6630</v>
      </c>
      <c r="M4537" s="920">
        <f t="shared" si="458"/>
        <v>23.549759999999999</v>
      </c>
      <c r="N4537" s="920">
        <f t="shared" si="459"/>
        <v>26</v>
      </c>
      <c r="O4537" s="918" t="str">
        <f t="shared" si="460"/>
        <v>Mar</v>
      </c>
      <c r="P4537" s="921">
        <f t="shared" si="461"/>
        <v>10</v>
      </c>
    </row>
    <row r="4538" spans="1:16" ht="15" hidden="1" customHeight="1">
      <c r="A4538" s="839">
        <v>68867744</v>
      </c>
      <c r="B4538" s="839">
        <v>2904</v>
      </c>
      <c r="C4538" s="906">
        <v>5763</v>
      </c>
      <c r="D4538" s="907">
        <v>46083</v>
      </c>
      <c r="E4538" s="839" t="s">
        <v>306</v>
      </c>
      <c r="F4538" s="839" t="s">
        <v>275</v>
      </c>
      <c r="G4538" s="916">
        <f>VLOOKUP($A4538,'Tech Litons'!$A:$I,8,FALSE)</f>
        <v>3.552E-3</v>
      </c>
      <c r="H4538" s="917">
        <f>VLOOKUP($A4538,'Tech Litons'!$A:$I,9,FALSE)</f>
        <v>255</v>
      </c>
      <c r="I4538" s="917" t="str">
        <f>VLOOKUP($A4538,'Tech Litons'!$A:$C,3,0)</f>
        <v>Talenti</v>
      </c>
      <c r="J4538" s="918" t="str">
        <f t="shared" si="456"/>
        <v>2904Talenti</v>
      </c>
      <c r="K4538" s="919">
        <v>1</v>
      </c>
      <c r="L4538" s="920">
        <f t="shared" si="457"/>
        <v>5763</v>
      </c>
      <c r="M4538" s="920">
        <f t="shared" si="458"/>
        <v>20.470175999999999</v>
      </c>
      <c r="N4538" s="920">
        <f t="shared" si="459"/>
        <v>22.6</v>
      </c>
      <c r="O4538" s="918" t="str">
        <f t="shared" si="460"/>
        <v>Mar</v>
      </c>
      <c r="P4538" s="921">
        <f t="shared" si="461"/>
        <v>10</v>
      </c>
    </row>
    <row r="4539" spans="1:16" ht="15" hidden="1" customHeight="1">
      <c r="A4539" s="839">
        <v>68867744</v>
      </c>
      <c r="B4539" s="839">
        <v>2904</v>
      </c>
      <c r="C4539" s="906">
        <v>6754</v>
      </c>
      <c r="D4539" s="907">
        <v>46083</v>
      </c>
      <c r="E4539" s="839" t="s">
        <v>306</v>
      </c>
      <c r="F4539" s="839" t="s">
        <v>275</v>
      </c>
      <c r="G4539" s="916">
        <f>VLOOKUP($A4539,'Tech Litons'!$A:$I,8,FALSE)</f>
        <v>3.552E-3</v>
      </c>
      <c r="H4539" s="917">
        <f>VLOOKUP($A4539,'Tech Litons'!$A:$I,9,FALSE)</f>
        <v>255</v>
      </c>
      <c r="I4539" s="917" t="str">
        <f>VLOOKUP($A4539,'Tech Litons'!$A:$C,3,0)</f>
        <v>Talenti</v>
      </c>
      <c r="J4539" s="918" t="str">
        <f t="shared" si="456"/>
        <v>2904Talenti</v>
      </c>
      <c r="K4539" s="919">
        <v>1</v>
      </c>
      <c r="L4539" s="920">
        <f t="shared" si="457"/>
        <v>6754</v>
      </c>
      <c r="M4539" s="920">
        <f t="shared" si="458"/>
        <v>23.990207999999999</v>
      </c>
      <c r="N4539" s="920">
        <f t="shared" si="459"/>
        <v>26.48627450980392</v>
      </c>
      <c r="O4539" s="918" t="str">
        <f t="shared" si="460"/>
        <v>Mar</v>
      </c>
      <c r="P4539" s="921">
        <f t="shared" si="461"/>
        <v>10</v>
      </c>
    </row>
    <row r="4540" spans="1:16" ht="15" hidden="1" customHeight="1">
      <c r="A4540" s="839">
        <v>68867744</v>
      </c>
      <c r="B4540" s="839">
        <v>2904</v>
      </c>
      <c r="C4540" s="906">
        <v>7905</v>
      </c>
      <c r="D4540" s="907">
        <v>46084</v>
      </c>
      <c r="E4540" s="839" t="s">
        <v>306</v>
      </c>
      <c r="F4540" s="839" t="s">
        <v>275</v>
      </c>
      <c r="G4540" s="916">
        <f>VLOOKUP($A4540,'Tech Litons'!$A:$I,8,FALSE)</f>
        <v>3.552E-3</v>
      </c>
      <c r="H4540" s="917">
        <f>VLOOKUP($A4540,'Tech Litons'!$A:$I,9,FALSE)</f>
        <v>255</v>
      </c>
      <c r="I4540" s="917" t="str">
        <f>VLOOKUP($A4540,'Tech Litons'!$A:$C,3,0)</f>
        <v>Talenti</v>
      </c>
      <c r="J4540" s="918" t="str">
        <f t="shared" si="456"/>
        <v>2904Talenti</v>
      </c>
      <c r="K4540" s="919">
        <v>1</v>
      </c>
      <c r="L4540" s="920">
        <f t="shared" si="457"/>
        <v>7905</v>
      </c>
      <c r="M4540" s="920">
        <f t="shared" si="458"/>
        <v>28.07856</v>
      </c>
      <c r="N4540" s="920">
        <f t="shared" si="459"/>
        <v>31</v>
      </c>
      <c r="O4540" s="918" t="str">
        <f t="shared" si="460"/>
        <v>Mar</v>
      </c>
      <c r="P4540" s="921">
        <f t="shared" si="461"/>
        <v>10</v>
      </c>
    </row>
    <row r="4541" spans="1:16" ht="15" hidden="1" customHeight="1">
      <c r="A4541" s="839">
        <v>68867744</v>
      </c>
      <c r="B4541" s="839">
        <v>2904</v>
      </c>
      <c r="C4541" s="906">
        <v>14651</v>
      </c>
      <c r="D4541" s="907">
        <v>46097</v>
      </c>
      <c r="E4541" s="839" t="s">
        <v>306</v>
      </c>
      <c r="F4541" s="839" t="s">
        <v>275</v>
      </c>
      <c r="G4541" s="916">
        <f>VLOOKUP($A4541,'Tech Litons'!$A:$I,8,FALSE)</f>
        <v>3.552E-3</v>
      </c>
      <c r="H4541" s="917">
        <f>VLOOKUP($A4541,'Tech Litons'!$A:$I,9,FALSE)</f>
        <v>255</v>
      </c>
      <c r="I4541" s="917" t="str">
        <f>VLOOKUP($A4541,'Tech Litons'!$A:$C,3,0)</f>
        <v>Talenti</v>
      </c>
      <c r="J4541" s="918" t="str">
        <f t="shared" si="456"/>
        <v>2904Talenti</v>
      </c>
      <c r="K4541" s="919">
        <v>1</v>
      </c>
      <c r="L4541" s="920">
        <f t="shared" si="457"/>
        <v>14651</v>
      </c>
      <c r="M4541" s="920">
        <f t="shared" si="458"/>
        <v>52.040351999999999</v>
      </c>
      <c r="N4541" s="920">
        <f t="shared" si="459"/>
        <v>57.454901960784312</v>
      </c>
      <c r="O4541" s="918" t="str">
        <f t="shared" si="460"/>
        <v>Mar</v>
      </c>
      <c r="P4541" s="921">
        <f t="shared" si="461"/>
        <v>12</v>
      </c>
    </row>
    <row r="4542" spans="1:16" ht="15" hidden="1" customHeight="1">
      <c r="A4542" s="839">
        <v>68867744</v>
      </c>
      <c r="B4542" s="839">
        <v>2904</v>
      </c>
      <c r="C4542" s="906">
        <v>10137</v>
      </c>
      <c r="D4542" s="907">
        <v>46098</v>
      </c>
      <c r="E4542" s="839" t="s">
        <v>306</v>
      </c>
      <c r="F4542" s="839" t="s">
        <v>275</v>
      </c>
      <c r="G4542" s="916">
        <f>VLOOKUP($A4542,'Tech Litons'!$A:$I,8,FALSE)</f>
        <v>3.552E-3</v>
      </c>
      <c r="H4542" s="917">
        <f>VLOOKUP($A4542,'Tech Litons'!$A:$I,9,FALSE)</f>
        <v>255</v>
      </c>
      <c r="I4542" s="917" t="str">
        <f>VLOOKUP($A4542,'Tech Litons'!$A:$C,3,0)</f>
        <v>Talenti</v>
      </c>
      <c r="J4542" s="918" t="str">
        <f t="shared" si="456"/>
        <v>2904Talenti</v>
      </c>
      <c r="K4542" s="919">
        <v>1</v>
      </c>
      <c r="L4542" s="920">
        <f t="shared" si="457"/>
        <v>10137</v>
      </c>
      <c r="M4542" s="920">
        <f t="shared" si="458"/>
        <v>36.006624000000002</v>
      </c>
      <c r="N4542" s="920">
        <f t="shared" si="459"/>
        <v>39.752941176470586</v>
      </c>
      <c r="O4542" s="918" t="str">
        <f t="shared" si="460"/>
        <v>Mar</v>
      </c>
      <c r="P4542" s="921">
        <f t="shared" si="461"/>
        <v>12</v>
      </c>
    </row>
    <row r="4543" spans="1:16" ht="15" hidden="1" customHeight="1">
      <c r="A4543" s="839">
        <v>68867744</v>
      </c>
      <c r="B4543" s="839">
        <v>2904</v>
      </c>
      <c r="C4543" s="906">
        <v>-10137</v>
      </c>
      <c r="D4543" s="907">
        <v>46100</v>
      </c>
      <c r="E4543" s="839" t="s">
        <v>306</v>
      </c>
      <c r="F4543" s="839" t="s">
        <v>275</v>
      </c>
      <c r="G4543" s="916">
        <f>VLOOKUP($A4543,'Tech Litons'!$A:$I,8,FALSE)</f>
        <v>3.552E-3</v>
      </c>
      <c r="H4543" s="917">
        <f>VLOOKUP($A4543,'Tech Litons'!$A:$I,9,FALSE)</f>
        <v>255</v>
      </c>
      <c r="I4543" s="917" t="str">
        <f>VLOOKUP($A4543,'Tech Litons'!$A:$C,3,0)</f>
        <v>Talenti</v>
      </c>
      <c r="J4543" s="918" t="str">
        <f t="shared" si="456"/>
        <v>2904Talenti</v>
      </c>
      <c r="K4543" s="919">
        <v>1</v>
      </c>
      <c r="L4543" s="920">
        <f t="shared" si="457"/>
        <v>-10137</v>
      </c>
      <c r="M4543" s="920">
        <f t="shared" si="458"/>
        <v>-36.006624000000002</v>
      </c>
      <c r="N4543" s="920">
        <f t="shared" si="459"/>
        <v>-39.752941176470586</v>
      </c>
      <c r="O4543" s="918" t="str">
        <f t="shared" si="460"/>
        <v>Mar</v>
      </c>
      <c r="P4543" s="921">
        <f t="shared" si="461"/>
        <v>12</v>
      </c>
    </row>
    <row r="4544" spans="1:16" ht="15" hidden="1" customHeight="1">
      <c r="A4544" s="839">
        <v>68867744</v>
      </c>
      <c r="B4544" s="839">
        <v>2904</v>
      </c>
      <c r="C4544" s="906">
        <v>232</v>
      </c>
      <c r="D4544" s="907">
        <v>46097</v>
      </c>
      <c r="E4544" s="839" t="s">
        <v>306</v>
      </c>
      <c r="F4544" s="839" t="s">
        <v>275</v>
      </c>
      <c r="G4544" s="916">
        <f>VLOOKUP($A4544,'Tech Litons'!$A:$I,8,FALSE)</f>
        <v>3.552E-3</v>
      </c>
      <c r="H4544" s="917">
        <f>VLOOKUP($A4544,'Tech Litons'!$A:$I,9,FALSE)</f>
        <v>255</v>
      </c>
      <c r="I4544" s="917" t="str">
        <f>VLOOKUP($A4544,'Tech Litons'!$A:$C,3,0)</f>
        <v>Talenti</v>
      </c>
      <c r="J4544" s="918" t="str">
        <f t="shared" si="456"/>
        <v>2904Talenti</v>
      </c>
      <c r="K4544" s="919">
        <v>1</v>
      </c>
      <c r="L4544" s="920">
        <f t="shared" si="457"/>
        <v>232</v>
      </c>
      <c r="M4544" s="920">
        <f t="shared" si="458"/>
        <v>0.82406400000000002</v>
      </c>
      <c r="N4544" s="920">
        <f t="shared" si="459"/>
        <v>0.90980392156862744</v>
      </c>
      <c r="O4544" s="918" t="str">
        <f t="shared" si="460"/>
        <v>Mar</v>
      </c>
      <c r="P4544" s="921">
        <f t="shared" si="461"/>
        <v>12</v>
      </c>
    </row>
    <row r="4545" spans="1:16" ht="15" hidden="1" customHeight="1">
      <c r="A4545" s="839">
        <v>68867744</v>
      </c>
      <c r="B4545" s="839">
        <v>2904</v>
      </c>
      <c r="C4545" s="906">
        <v>6120</v>
      </c>
      <c r="D4545" s="907">
        <v>46081</v>
      </c>
      <c r="E4545" s="839" t="s">
        <v>306</v>
      </c>
      <c r="F4545" s="839" t="s">
        <v>275</v>
      </c>
      <c r="G4545" s="916">
        <f>VLOOKUP($A4545,'Tech Litons'!$A:$I,8,FALSE)</f>
        <v>3.552E-3</v>
      </c>
      <c r="H4545" s="917">
        <f>VLOOKUP($A4545,'Tech Litons'!$A:$I,9,FALSE)</f>
        <v>255</v>
      </c>
      <c r="I4545" s="917" t="str">
        <f>VLOOKUP($A4545,'Tech Litons'!$A:$C,3,0)</f>
        <v>Talenti</v>
      </c>
      <c r="J4545" s="918" t="str">
        <f t="shared" si="456"/>
        <v>2904Talenti</v>
      </c>
      <c r="K4545" s="919">
        <v>1</v>
      </c>
      <c r="L4545" s="920">
        <f t="shared" si="457"/>
        <v>6120</v>
      </c>
      <c r="M4545" s="920">
        <f t="shared" si="458"/>
        <v>21.738240000000001</v>
      </c>
      <c r="N4545" s="920">
        <f t="shared" si="459"/>
        <v>24</v>
      </c>
      <c r="O4545" s="918" t="str">
        <f t="shared" si="460"/>
        <v>Feb</v>
      </c>
      <c r="P4545" s="921">
        <f t="shared" si="461"/>
        <v>9</v>
      </c>
    </row>
    <row r="4546" spans="1:16" ht="15" hidden="1" customHeight="1">
      <c r="A4546" s="839">
        <v>68867744</v>
      </c>
      <c r="B4546" s="839">
        <v>2904</v>
      </c>
      <c r="C4546" s="906">
        <v>4589</v>
      </c>
      <c r="D4546" s="907">
        <v>46082</v>
      </c>
      <c r="E4546" s="839" t="s">
        <v>306</v>
      </c>
      <c r="F4546" s="839" t="s">
        <v>275</v>
      </c>
      <c r="G4546" s="916">
        <f>VLOOKUP($A4546,'Tech Litons'!$A:$I,8,FALSE)</f>
        <v>3.552E-3</v>
      </c>
      <c r="H4546" s="917">
        <f>VLOOKUP($A4546,'Tech Litons'!$A:$I,9,FALSE)</f>
        <v>255</v>
      </c>
      <c r="I4546" s="917" t="str">
        <f>VLOOKUP($A4546,'Tech Litons'!$A:$C,3,0)</f>
        <v>Talenti</v>
      </c>
      <c r="J4546" s="918" t="str">
        <f t="shared" si="456"/>
        <v>2904Talenti</v>
      </c>
      <c r="K4546" s="919">
        <v>1</v>
      </c>
      <c r="L4546" s="920">
        <f t="shared" si="457"/>
        <v>4589</v>
      </c>
      <c r="M4546" s="920">
        <f t="shared" si="458"/>
        <v>16.300128000000001</v>
      </c>
      <c r="N4546" s="920">
        <f t="shared" si="459"/>
        <v>17.996078431372549</v>
      </c>
      <c r="O4546" s="918" t="str">
        <f t="shared" si="460"/>
        <v>Mar</v>
      </c>
      <c r="P4546" s="921">
        <f t="shared" si="461"/>
        <v>10</v>
      </c>
    </row>
    <row r="4547" spans="1:16" ht="15" hidden="1" customHeight="1">
      <c r="A4547" s="839">
        <v>68867744</v>
      </c>
      <c r="B4547" s="839">
        <v>2904</v>
      </c>
      <c r="C4547" s="906">
        <v>1013</v>
      </c>
      <c r="D4547" s="907">
        <v>46084</v>
      </c>
      <c r="E4547" s="839" t="s">
        <v>306</v>
      </c>
      <c r="F4547" s="839" t="s">
        <v>275</v>
      </c>
      <c r="G4547" s="916">
        <f>VLOOKUP($A4547,'Tech Litons'!$A:$I,8,FALSE)</f>
        <v>3.552E-3</v>
      </c>
      <c r="H4547" s="917">
        <f>VLOOKUP($A4547,'Tech Litons'!$A:$I,9,FALSE)</f>
        <v>255</v>
      </c>
      <c r="I4547" s="917" t="str">
        <f>VLOOKUP($A4547,'Tech Litons'!$A:$C,3,0)</f>
        <v>Talenti</v>
      </c>
      <c r="J4547" s="918" t="str">
        <f t="shared" si="456"/>
        <v>2904Talenti</v>
      </c>
      <c r="K4547" s="919">
        <v>1</v>
      </c>
      <c r="L4547" s="920">
        <f t="shared" si="457"/>
        <v>1013</v>
      </c>
      <c r="M4547" s="920">
        <f t="shared" si="458"/>
        <v>3.598176</v>
      </c>
      <c r="N4547" s="920">
        <f t="shared" si="459"/>
        <v>3.9725490196078432</v>
      </c>
      <c r="O4547" s="918" t="str">
        <f t="shared" si="460"/>
        <v>Mar</v>
      </c>
      <c r="P4547" s="921">
        <f t="shared" si="461"/>
        <v>10</v>
      </c>
    </row>
    <row r="4548" spans="1:16" ht="15" hidden="1" customHeight="1">
      <c r="A4548" s="839">
        <v>68867744</v>
      </c>
      <c r="B4548" s="839">
        <v>2904</v>
      </c>
      <c r="C4548" s="906">
        <v>3735</v>
      </c>
      <c r="D4548" s="907">
        <v>46095</v>
      </c>
      <c r="E4548" s="839" t="s">
        <v>306</v>
      </c>
      <c r="F4548" s="839" t="s">
        <v>275</v>
      </c>
      <c r="G4548" s="916">
        <f>VLOOKUP($A4548,'Tech Litons'!$A:$I,8,FALSE)</f>
        <v>3.552E-3</v>
      </c>
      <c r="H4548" s="917">
        <f>VLOOKUP($A4548,'Tech Litons'!$A:$I,9,FALSE)</f>
        <v>255</v>
      </c>
      <c r="I4548" s="917" t="str">
        <f>VLOOKUP($A4548,'Tech Litons'!$A:$C,3,0)</f>
        <v>Talenti</v>
      </c>
      <c r="J4548" s="918" t="str">
        <f t="shared" si="456"/>
        <v>2904Talenti</v>
      </c>
      <c r="K4548" s="919">
        <v>1</v>
      </c>
      <c r="L4548" s="920">
        <f t="shared" si="457"/>
        <v>3735</v>
      </c>
      <c r="M4548" s="920">
        <f t="shared" si="458"/>
        <v>13.266719999999999</v>
      </c>
      <c r="N4548" s="920">
        <f t="shared" si="459"/>
        <v>14.647058823529411</v>
      </c>
      <c r="O4548" s="918" t="str">
        <f t="shared" si="460"/>
        <v>Mar</v>
      </c>
      <c r="P4548" s="921">
        <f t="shared" si="461"/>
        <v>11</v>
      </c>
    </row>
    <row r="4549" spans="1:16" ht="15" hidden="1" customHeight="1">
      <c r="A4549" s="839">
        <v>68867744</v>
      </c>
      <c r="B4549" s="839">
        <v>2904</v>
      </c>
      <c r="C4549" s="906">
        <v>150</v>
      </c>
      <c r="D4549" s="907">
        <v>46097</v>
      </c>
      <c r="E4549" s="839" t="s">
        <v>306</v>
      </c>
      <c r="F4549" s="839" t="s">
        <v>275</v>
      </c>
      <c r="G4549" s="916">
        <f>VLOOKUP($A4549,'Tech Litons'!$A:$I,8,FALSE)</f>
        <v>3.552E-3</v>
      </c>
      <c r="H4549" s="917">
        <f>VLOOKUP($A4549,'Tech Litons'!$A:$I,9,FALSE)</f>
        <v>255</v>
      </c>
      <c r="I4549" s="917" t="str">
        <f>VLOOKUP($A4549,'Tech Litons'!$A:$C,3,0)</f>
        <v>Talenti</v>
      </c>
      <c r="J4549" s="918" t="str">
        <f t="shared" si="456"/>
        <v>2904Talenti</v>
      </c>
      <c r="K4549" s="919">
        <v>1</v>
      </c>
      <c r="L4549" s="920">
        <f t="shared" si="457"/>
        <v>150</v>
      </c>
      <c r="M4549" s="920">
        <f t="shared" si="458"/>
        <v>0.53280000000000005</v>
      </c>
      <c r="N4549" s="920">
        <f t="shared" si="459"/>
        <v>0.58823529411764708</v>
      </c>
      <c r="O4549" s="918" t="str">
        <f t="shared" si="460"/>
        <v>Mar</v>
      </c>
      <c r="P4549" s="921">
        <f t="shared" si="461"/>
        <v>12</v>
      </c>
    </row>
    <row r="4550" spans="1:16" ht="15" hidden="1" customHeight="1">
      <c r="A4550" s="839">
        <v>68867744</v>
      </c>
      <c r="B4550" s="839">
        <v>2904</v>
      </c>
      <c r="C4550" s="906">
        <v>10137</v>
      </c>
      <c r="D4550" s="907">
        <v>46097</v>
      </c>
      <c r="E4550" s="839" t="s">
        <v>306</v>
      </c>
      <c r="F4550" s="839" t="s">
        <v>275</v>
      </c>
      <c r="G4550" s="916">
        <f>VLOOKUP($A4550,'Tech Litons'!$A:$I,8,FALSE)</f>
        <v>3.552E-3</v>
      </c>
      <c r="H4550" s="917">
        <f>VLOOKUP($A4550,'Tech Litons'!$A:$I,9,FALSE)</f>
        <v>255</v>
      </c>
      <c r="I4550" s="917" t="str">
        <f>VLOOKUP($A4550,'Tech Litons'!$A:$C,3,0)</f>
        <v>Talenti</v>
      </c>
      <c r="J4550" s="918" t="str">
        <f t="shared" si="456"/>
        <v>2904Talenti</v>
      </c>
      <c r="K4550" s="919">
        <v>1</v>
      </c>
      <c r="L4550" s="920">
        <f t="shared" si="457"/>
        <v>10137</v>
      </c>
      <c r="M4550" s="920">
        <f t="shared" si="458"/>
        <v>36.006624000000002</v>
      </c>
      <c r="N4550" s="920">
        <f t="shared" si="459"/>
        <v>39.752941176470586</v>
      </c>
      <c r="O4550" s="918" t="str">
        <f t="shared" si="460"/>
        <v>Mar</v>
      </c>
      <c r="P4550" s="921">
        <f t="shared" si="461"/>
        <v>12</v>
      </c>
    </row>
    <row r="4551" spans="1:16" ht="15" hidden="1" customHeight="1">
      <c r="A4551" s="839">
        <v>68867744</v>
      </c>
      <c r="B4551" s="839">
        <v>2904</v>
      </c>
      <c r="C4551" s="906">
        <v>-10137</v>
      </c>
      <c r="D4551" s="907">
        <v>46098</v>
      </c>
      <c r="E4551" s="839" t="s">
        <v>306</v>
      </c>
      <c r="F4551" s="839" t="s">
        <v>275</v>
      </c>
      <c r="G4551" s="916">
        <f>VLOOKUP($A4551,'Tech Litons'!$A:$I,8,FALSE)</f>
        <v>3.552E-3</v>
      </c>
      <c r="H4551" s="917">
        <f>VLOOKUP($A4551,'Tech Litons'!$A:$I,9,FALSE)</f>
        <v>255</v>
      </c>
      <c r="I4551" s="917" t="str">
        <f>VLOOKUP($A4551,'Tech Litons'!$A:$C,3,0)</f>
        <v>Talenti</v>
      </c>
      <c r="J4551" s="918" t="str">
        <f t="shared" si="456"/>
        <v>2904Talenti</v>
      </c>
      <c r="K4551" s="919">
        <v>1</v>
      </c>
      <c r="L4551" s="920">
        <f t="shared" si="457"/>
        <v>-10137</v>
      </c>
      <c r="M4551" s="920">
        <f t="shared" si="458"/>
        <v>-36.006624000000002</v>
      </c>
      <c r="N4551" s="920">
        <f t="shared" si="459"/>
        <v>-39.752941176470586</v>
      </c>
      <c r="O4551" s="918" t="str">
        <f t="shared" si="460"/>
        <v>Mar</v>
      </c>
      <c r="P4551" s="921">
        <f t="shared" si="461"/>
        <v>12</v>
      </c>
    </row>
    <row r="4552" spans="1:16" ht="15" hidden="1" customHeight="1">
      <c r="A4552" s="839">
        <v>68867744</v>
      </c>
      <c r="B4552" s="839">
        <v>2904</v>
      </c>
      <c r="C4552" s="906">
        <v>10137</v>
      </c>
      <c r="D4552" s="907">
        <v>46100</v>
      </c>
      <c r="E4552" s="839" t="s">
        <v>306</v>
      </c>
      <c r="F4552" s="839" t="s">
        <v>275</v>
      </c>
      <c r="G4552" s="916">
        <f>VLOOKUP($A4552,'Tech Litons'!$A:$I,8,FALSE)</f>
        <v>3.552E-3</v>
      </c>
      <c r="H4552" s="917">
        <f>VLOOKUP($A4552,'Tech Litons'!$A:$I,9,FALSE)</f>
        <v>255</v>
      </c>
      <c r="I4552" s="917" t="str">
        <f>VLOOKUP($A4552,'Tech Litons'!$A:$C,3,0)</f>
        <v>Talenti</v>
      </c>
      <c r="J4552" s="918" t="str">
        <f t="shared" si="456"/>
        <v>2904Talenti</v>
      </c>
      <c r="K4552" s="919">
        <v>1</v>
      </c>
      <c r="L4552" s="920">
        <f t="shared" si="457"/>
        <v>10137</v>
      </c>
      <c r="M4552" s="920">
        <f t="shared" si="458"/>
        <v>36.006624000000002</v>
      </c>
      <c r="N4552" s="920">
        <f t="shared" si="459"/>
        <v>39.752941176470586</v>
      </c>
      <c r="O4552" s="918" t="str">
        <f t="shared" si="460"/>
        <v>Mar</v>
      </c>
      <c r="P4552" s="921">
        <f t="shared" si="461"/>
        <v>12</v>
      </c>
    </row>
    <row r="4553" spans="1:16" ht="15" hidden="1" customHeight="1">
      <c r="A4553" s="839">
        <v>68867744</v>
      </c>
      <c r="B4553" s="839">
        <v>2904</v>
      </c>
      <c r="C4553" s="906">
        <v>-255</v>
      </c>
      <c r="D4553" s="907">
        <v>46101</v>
      </c>
      <c r="E4553" s="839" t="s">
        <v>306</v>
      </c>
      <c r="F4553" s="839" t="s">
        <v>275</v>
      </c>
      <c r="G4553" s="916">
        <f>VLOOKUP($A4553,'Tech Litons'!$A:$I,8,FALSE)</f>
        <v>3.552E-3</v>
      </c>
      <c r="H4553" s="917">
        <f>VLOOKUP($A4553,'Tech Litons'!$A:$I,9,FALSE)</f>
        <v>255</v>
      </c>
      <c r="I4553" s="917" t="str">
        <f>VLOOKUP($A4553,'Tech Litons'!$A:$C,3,0)</f>
        <v>Talenti</v>
      </c>
      <c r="J4553" s="918" t="str">
        <f t="shared" si="456"/>
        <v>2904Talenti</v>
      </c>
      <c r="K4553" s="919">
        <v>1</v>
      </c>
      <c r="L4553" s="920">
        <f t="shared" si="457"/>
        <v>-255</v>
      </c>
      <c r="M4553" s="920">
        <f t="shared" si="458"/>
        <v>-0.90576000000000001</v>
      </c>
      <c r="N4553" s="920">
        <f t="shared" si="459"/>
        <v>-1</v>
      </c>
      <c r="O4553" s="918" t="str">
        <f t="shared" si="460"/>
        <v>Mar</v>
      </c>
      <c r="P4553" s="921">
        <f t="shared" si="461"/>
        <v>12</v>
      </c>
    </row>
    <row r="4554" spans="1:16" ht="15" hidden="1" customHeight="1">
      <c r="A4554" s="839">
        <v>68867755</v>
      </c>
      <c r="B4554" s="839">
        <v>2904</v>
      </c>
      <c r="C4554" s="906">
        <v>2550</v>
      </c>
      <c r="D4554" s="907">
        <v>46077</v>
      </c>
      <c r="E4554" s="839" t="s">
        <v>274</v>
      </c>
      <c r="F4554" s="839" t="s">
        <v>275</v>
      </c>
      <c r="G4554" s="916">
        <f>VLOOKUP($A4554,'Tech Litons'!$A:$I,8,FALSE)</f>
        <v>3.552E-3</v>
      </c>
      <c r="H4554" s="917">
        <f>VLOOKUP($A4554,'Tech Litons'!$A:$I,9,FALSE)</f>
        <v>255</v>
      </c>
      <c r="I4554" s="917" t="str">
        <f>VLOOKUP($A4554,'Tech Litons'!$A:$C,3,0)</f>
        <v>Talenti</v>
      </c>
      <c r="J4554" s="918" t="str">
        <f t="shared" si="456"/>
        <v>2904Talenti</v>
      </c>
      <c r="K4554" s="919">
        <v>1</v>
      </c>
      <c r="L4554" s="920">
        <f t="shared" si="457"/>
        <v>2550</v>
      </c>
      <c r="M4554" s="920">
        <f t="shared" si="458"/>
        <v>9.0576000000000008</v>
      </c>
      <c r="N4554" s="920">
        <f t="shared" si="459"/>
        <v>10</v>
      </c>
      <c r="O4554" s="918" t="str">
        <f t="shared" si="460"/>
        <v>Feb</v>
      </c>
      <c r="P4554" s="921">
        <f t="shared" si="461"/>
        <v>9</v>
      </c>
    </row>
    <row r="4555" spans="1:16" ht="15" hidden="1" customHeight="1">
      <c r="A4555" s="839">
        <v>68867755</v>
      </c>
      <c r="B4555" s="839">
        <v>2904</v>
      </c>
      <c r="C4555" s="906">
        <v>6375</v>
      </c>
      <c r="D4555" s="907">
        <v>46078</v>
      </c>
      <c r="E4555" s="839" t="s">
        <v>274</v>
      </c>
      <c r="F4555" s="839" t="s">
        <v>275</v>
      </c>
      <c r="G4555" s="916">
        <f>VLOOKUP($A4555,'Tech Litons'!$A:$I,8,FALSE)</f>
        <v>3.552E-3</v>
      </c>
      <c r="H4555" s="917">
        <f>VLOOKUP($A4555,'Tech Litons'!$A:$I,9,FALSE)</f>
        <v>255</v>
      </c>
      <c r="I4555" s="917" t="str">
        <f>VLOOKUP($A4555,'Tech Litons'!$A:$C,3,0)</f>
        <v>Talenti</v>
      </c>
      <c r="J4555" s="918" t="str">
        <f t="shared" si="456"/>
        <v>2904Talenti</v>
      </c>
      <c r="K4555" s="919">
        <v>1</v>
      </c>
      <c r="L4555" s="920">
        <f t="shared" si="457"/>
        <v>6375</v>
      </c>
      <c r="M4555" s="920">
        <f t="shared" si="458"/>
        <v>22.644000000000002</v>
      </c>
      <c r="N4555" s="920">
        <f t="shared" si="459"/>
        <v>25</v>
      </c>
      <c r="O4555" s="918" t="str">
        <f t="shared" si="460"/>
        <v>Feb</v>
      </c>
      <c r="P4555" s="921">
        <f t="shared" si="461"/>
        <v>9</v>
      </c>
    </row>
    <row r="4556" spans="1:16" ht="15" hidden="1" customHeight="1">
      <c r="A4556" s="839">
        <v>68867755</v>
      </c>
      <c r="B4556" s="839">
        <v>2904</v>
      </c>
      <c r="C4556" s="906">
        <v>6285</v>
      </c>
      <c r="D4556" s="907">
        <v>46078</v>
      </c>
      <c r="E4556" s="839" t="s">
        <v>274</v>
      </c>
      <c r="F4556" s="839" t="s">
        <v>275</v>
      </c>
      <c r="G4556" s="916">
        <f>VLOOKUP($A4556,'Tech Litons'!$A:$I,8,FALSE)</f>
        <v>3.552E-3</v>
      </c>
      <c r="H4556" s="917">
        <f>VLOOKUP($A4556,'Tech Litons'!$A:$I,9,FALSE)</f>
        <v>255</v>
      </c>
      <c r="I4556" s="917" t="str">
        <f>VLOOKUP($A4556,'Tech Litons'!$A:$C,3,0)</f>
        <v>Talenti</v>
      </c>
      <c r="J4556" s="918" t="str">
        <f t="shared" si="456"/>
        <v>2904Talenti</v>
      </c>
      <c r="K4556" s="919">
        <v>1</v>
      </c>
      <c r="L4556" s="920">
        <f t="shared" si="457"/>
        <v>6285</v>
      </c>
      <c r="M4556" s="920">
        <f t="shared" si="458"/>
        <v>22.32432</v>
      </c>
      <c r="N4556" s="920">
        <f t="shared" si="459"/>
        <v>24.647058823529413</v>
      </c>
      <c r="O4556" s="918" t="str">
        <f t="shared" si="460"/>
        <v>Feb</v>
      </c>
      <c r="P4556" s="921">
        <f t="shared" si="461"/>
        <v>9</v>
      </c>
    </row>
    <row r="4557" spans="1:16" ht="15" hidden="1" customHeight="1">
      <c r="A4557" s="839">
        <v>68867755</v>
      </c>
      <c r="B4557" s="839">
        <v>2904</v>
      </c>
      <c r="C4557" s="906">
        <v>6931</v>
      </c>
      <c r="D4557" s="907">
        <v>46079</v>
      </c>
      <c r="E4557" s="839" t="s">
        <v>274</v>
      </c>
      <c r="F4557" s="839" t="s">
        <v>275</v>
      </c>
      <c r="G4557" s="916">
        <f>VLOOKUP($A4557,'Tech Litons'!$A:$I,8,FALSE)</f>
        <v>3.552E-3</v>
      </c>
      <c r="H4557" s="917">
        <f>VLOOKUP($A4557,'Tech Litons'!$A:$I,9,FALSE)</f>
        <v>255</v>
      </c>
      <c r="I4557" s="917" t="str">
        <f>VLOOKUP($A4557,'Tech Litons'!$A:$C,3,0)</f>
        <v>Talenti</v>
      </c>
      <c r="J4557" s="918" t="str">
        <f t="shared" si="456"/>
        <v>2904Talenti</v>
      </c>
      <c r="K4557" s="919">
        <v>1</v>
      </c>
      <c r="L4557" s="920">
        <f t="shared" si="457"/>
        <v>6931</v>
      </c>
      <c r="M4557" s="920">
        <f t="shared" si="458"/>
        <v>24.618912000000002</v>
      </c>
      <c r="N4557" s="920">
        <f t="shared" si="459"/>
        <v>27.180392156862744</v>
      </c>
      <c r="O4557" s="918" t="str">
        <f t="shared" si="460"/>
        <v>Feb</v>
      </c>
      <c r="P4557" s="921">
        <f t="shared" si="461"/>
        <v>9</v>
      </c>
    </row>
    <row r="4558" spans="1:16" ht="15" hidden="1" customHeight="1">
      <c r="A4558" s="839">
        <v>68867755</v>
      </c>
      <c r="B4558" s="839">
        <v>2904</v>
      </c>
      <c r="C4558" s="906">
        <v>5941</v>
      </c>
      <c r="D4558" s="907">
        <v>46079</v>
      </c>
      <c r="E4558" s="839" t="s">
        <v>274</v>
      </c>
      <c r="F4558" s="839" t="s">
        <v>275</v>
      </c>
      <c r="G4558" s="916">
        <f>VLOOKUP($A4558,'Tech Litons'!$A:$I,8,FALSE)</f>
        <v>3.552E-3</v>
      </c>
      <c r="H4558" s="917">
        <f>VLOOKUP($A4558,'Tech Litons'!$A:$I,9,FALSE)</f>
        <v>255</v>
      </c>
      <c r="I4558" s="917" t="str">
        <f>VLOOKUP($A4558,'Tech Litons'!$A:$C,3,0)</f>
        <v>Talenti</v>
      </c>
      <c r="J4558" s="918" t="str">
        <f t="shared" si="456"/>
        <v>2904Talenti</v>
      </c>
      <c r="K4558" s="919">
        <v>1</v>
      </c>
      <c r="L4558" s="920">
        <f t="shared" si="457"/>
        <v>5941</v>
      </c>
      <c r="M4558" s="920">
        <f t="shared" si="458"/>
        <v>21.102432</v>
      </c>
      <c r="N4558" s="920">
        <f t="shared" si="459"/>
        <v>23.298039215686273</v>
      </c>
      <c r="O4558" s="918" t="str">
        <f t="shared" si="460"/>
        <v>Feb</v>
      </c>
      <c r="P4558" s="921">
        <f t="shared" si="461"/>
        <v>9</v>
      </c>
    </row>
    <row r="4559" spans="1:16" ht="15" hidden="1" customHeight="1">
      <c r="A4559" s="839">
        <v>68867755</v>
      </c>
      <c r="B4559" s="839">
        <v>2904</v>
      </c>
      <c r="C4559" s="906">
        <v>7030</v>
      </c>
      <c r="D4559" s="907">
        <v>46080</v>
      </c>
      <c r="E4559" s="839" t="s">
        <v>274</v>
      </c>
      <c r="F4559" s="839" t="s">
        <v>275</v>
      </c>
      <c r="G4559" s="916">
        <f>VLOOKUP($A4559,'Tech Litons'!$A:$I,8,FALSE)</f>
        <v>3.552E-3</v>
      </c>
      <c r="H4559" s="917">
        <f>VLOOKUP($A4559,'Tech Litons'!$A:$I,9,FALSE)</f>
        <v>255</v>
      </c>
      <c r="I4559" s="917" t="str">
        <f>VLOOKUP($A4559,'Tech Litons'!$A:$C,3,0)</f>
        <v>Talenti</v>
      </c>
      <c r="J4559" s="918" t="str">
        <f t="shared" si="456"/>
        <v>2904Talenti</v>
      </c>
      <c r="K4559" s="919">
        <v>1</v>
      </c>
      <c r="L4559" s="920">
        <f t="shared" si="457"/>
        <v>7030</v>
      </c>
      <c r="M4559" s="920">
        <f t="shared" si="458"/>
        <v>24.970559999999999</v>
      </c>
      <c r="N4559" s="920">
        <f t="shared" si="459"/>
        <v>27.568627450980394</v>
      </c>
      <c r="O4559" s="918" t="str">
        <f t="shared" si="460"/>
        <v>Feb</v>
      </c>
      <c r="P4559" s="921">
        <f t="shared" si="461"/>
        <v>9</v>
      </c>
    </row>
    <row r="4560" spans="1:16" ht="15" hidden="1" customHeight="1">
      <c r="A4560" s="839">
        <v>68867755</v>
      </c>
      <c r="B4560" s="839">
        <v>2904</v>
      </c>
      <c r="C4560" s="906">
        <v>8286</v>
      </c>
      <c r="D4560" s="907">
        <v>46089</v>
      </c>
      <c r="E4560" s="839" t="s">
        <v>274</v>
      </c>
      <c r="F4560" s="839" t="s">
        <v>275</v>
      </c>
      <c r="G4560" s="916">
        <f>VLOOKUP($A4560,'Tech Litons'!$A:$I,8,FALSE)</f>
        <v>3.552E-3</v>
      </c>
      <c r="H4560" s="917">
        <f>VLOOKUP($A4560,'Tech Litons'!$A:$I,9,FALSE)</f>
        <v>255</v>
      </c>
      <c r="I4560" s="917" t="str">
        <f>VLOOKUP($A4560,'Tech Litons'!$A:$C,3,0)</f>
        <v>Talenti</v>
      </c>
      <c r="J4560" s="918" t="str">
        <f t="shared" si="456"/>
        <v>2904Talenti</v>
      </c>
      <c r="K4560" s="919">
        <v>1</v>
      </c>
      <c r="L4560" s="920">
        <f t="shared" si="457"/>
        <v>8286</v>
      </c>
      <c r="M4560" s="920">
        <f t="shared" si="458"/>
        <v>29.431872000000002</v>
      </c>
      <c r="N4560" s="920">
        <f t="shared" si="459"/>
        <v>32.494117647058822</v>
      </c>
      <c r="O4560" s="918" t="str">
        <f t="shared" si="460"/>
        <v>Mar</v>
      </c>
      <c r="P4560" s="921">
        <f t="shared" si="461"/>
        <v>11</v>
      </c>
    </row>
    <row r="4561" spans="1:16" ht="15" hidden="1" customHeight="1">
      <c r="A4561" s="839">
        <v>68867755</v>
      </c>
      <c r="B4561" s="839">
        <v>2904</v>
      </c>
      <c r="C4561" s="906">
        <v>6015</v>
      </c>
      <c r="D4561" s="907">
        <v>46090</v>
      </c>
      <c r="E4561" s="839" t="s">
        <v>274</v>
      </c>
      <c r="F4561" s="839" t="s">
        <v>275</v>
      </c>
      <c r="G4561" s="916">
        <f>VLOOKUP($A4561,'Tech Litons'!$A:$I,8,FALSE)</f>
        <v>3.552E-3</v>
      </c>
      <c r="H4561" s="917">
        <f>VLOOKUP($A4561,'Tech Litons'!$A:$I,9,FALSE)</f>
        <v>255</v>
      </c>
      <c r="I4561" s="917" t="str">
        <f>VLOOKUP($A4561,'Tech Litons'!$A:$C,3,0)</f>
        <v>Talenti</v>
      </c>
      <c r="J4561" s="918" t="str">
        <f t="shared" si="456"/>
        <v>2904Talenti</v>
      </c>
      <c r="K4561" s="919">
        <v>1</v>
      </c>
      <c r="L4561" s="920">
        <f t="shared" si="457"/>
        <v>6015</v>
      </c>
      <c r="M4561" s="920">
        <f t="shared" si="458"/>
        <v>21.365279999999998</v>
      </c>
      <c r="N4561" s="920">
        <f t="shared" si="459"/>
        <v>23.588235294117649</v>
      </c>
      <c r="O4561" s="918" t="str">
        <f t="shared" si="460"/>
        <v>Mar</v>
      </c>
      <c r="P4561" s="921">
        <f t="shared" si="461"/>
        <v>11</v>
      </c>
    </row>
    <row r="4562" spans="1:16" ht="15" hidden="1" customHeight="1">
      <c r="A4562" s="839">
        <v>68867755</v>
      </c>
      <c r="B4562" s="839">
        <v>2904</v>
      </c>
      <c r="C4562" s="906">
        <v>7812</v>
      </c>
      <c r="D4562" s="907">
        <v>46090</v>
      </c>
      <c r="E4562" s="839" t="s">
        <v>274</v>
      </c>
      <c r="F4562" s="839" t="s">
        <v>275</v>
      </c>
      <c r="G4562" s="916">
        <f>VLOOKUP($A4562,'Tech Litons'!$A:$I,8,FALSE)</f>
        <v>3.552E-3</v>
      </c>
      <c r="H4562" s="917">
        <f>VLOOKUP($A4562,'Tech Litons'!$A:$I,9,FALSE)</f>
        <v>255</v>
      </c>
      <c r="I4562" s="917" t="str">
        <f>VLOOKUP($A4562,'Tech Litons'!$A:$C,3,0)</f>
        <v>Talenti</v>
      </c>
      <c r="J4562" s="918" t="str">
        <f t="shared" si="456"/>
        <v>2904Talenti</v>
      </c>
      <c r="K4562" s="919">
        <v>1</v>
      </c>
      <c r="L4562" s="920">
        <f t="shared" si="457"/>
        <v>7812</v>
      </c>
      <c r="M4562" s="920">
        <f t="shared" si="458"/>
        <v>27.748224</v>
      </c>
      <c r="N4562" s="920">
        <f t="shared" si="459"/>
        <v>30.63529411764706</v>
      </c>
      <c r="O4562" s="918" t="str">
        <f t="shared" si="460"/>
        <v>Mar</v>
      </c>
      <c r="P4562" s="921">
        <f t="shared" si="461"/>
        <v>11</v>
      </c>
    </row>
    <row r="4563" spans="1:16" ht="15" hidden="1" customHeight="1">
      <c r="A4563" s="839">
        <v>68867755</v>
      </c>
      <c r="B4563" s="839">
        <v>2904</v>
      </c>
      <c r="C4563" s="906">
        <v>4065</v>
      </c>
      <c r="D4563" s="907">
        <v>46091</v>
      </c>
      <c r="E4563" s="839" t="s">
        <v>274</v>
      </c>
      <c r="F4563" s="839" t="s">
        <v>275</v>
      </c>
      <c r="G4563" s="916">
        <f>VLOOKUP($A4563,'Tech Litons'!$A:$I,8,FALSE)</f>
        <v>3.552E-3</v>
      </c>
      <c r="H4563" s="917">
        <f>VLOOKUP($A4563,'Tech Litons'!$A:$I,9,FALSE)</f>
        <v>255</v>
      </c>
      <c r="I4563" s="917" t="str">
        <f>VLOOKUP($A4563,'Tech Litons'!$A:$C,3,0)</f>
        <v>Talenti</v>
      </c>
      <c r="J4563" s="918" t="str">
        <f t="shared" si="456"/>
        <v>2904Talenti</v>
      </c>
      <c r="K4563" s="919">
        <v>1</v>
      </c>
      <c r="L4563" s="920">
        <f t="shared" si="457"/>
        <v>4065</v>
      </c>
      <c r="M4563" s="920">
        <f t="shared" si="458"/>
        <v>14.438879999999999</v>
      </c>
      <c r="N4563" s="920">
        <f t="shared" si="459"/>
        <v>15.941176470588236</v>
      </c>
      <c r="O4563" s="918" t="str">
        <f t="shared" si="460"/>
        <v>Mar</v>
      </c>
      <c r="P4563" s="921">
        <f t="shared" si="461"/>
        <v>11</v>
      </c>
    </row>
    <row r="4564" spans="1:16" ht="15" hidden="1" customHeight="1">
      <c r="A4564" s="839">
        <v>68867755</v>
      </c>
      <c r="B4564" s="839">
        <v>2904</v>
      </c>
      <c r="C4564" s="906">
        <v>1533</v>
      </c>
      <c r="D4564" s="907">
        <v>46091</v>
      </c>
      <c r="E4564" s="839" t="s">
        <v>274</v>
      </c>
      <c r="F4564" s="839" t="s">
        <v>275</v>
      </c>
      <c r="G4564" s="916">
        <f>VLOOKUP($A4564,'Tech Litons'!$A:$I,8,FALSE)</f>
        <v>3.552E-3</v>
      </c>
      <c r="H4564" s="917">
        <f>VLOOKUP($A4564,'Tech Litons'!$A:$I,9,FALSE)</f>
        <v>255</v>
      </c>
      <c r="I4564" s="917" t="str">
        <f>VLOOKUP($A4564,'Tech Litons'!$A:$C,3,0)</f>
        <v>Talenti</v>
      </c>
      <c r="J4564" s="918" t="str">
        <f t="shared" si="456"/>
        <v>2904Talenti</v>
      </c>
      <c r="K4564" s="919">
        <v>1</v>
      </c>
      <c r="L4564" s="920">
        <f t="shared" si="457"/>
        <v>1533</v>
      </c>
      <c r="M4564" s="920">
        <f t="shared" si="458"/>
        <v>5.4452160000000003</v>
      </c>
      <c r="N4564" s="920">
        <f t="shared" si="459"/>
        <v>6.0117647058823529</v>
      </c>
      <c r="O4564" s="918" t="str">
        <f t="shared" si="460"/>
        <v>Mar</v>
      </c>
      <c r="P4564" s="921">
        <f t="shared" si="461"/>
        <v>11</v>
      </c>
    </row>
    <row r="4565" spans="1:16" ht="15" hidden="1" customHeight="1">
      <c r="A4565" s="839">
        <v>68867755</v>
      </c>
      <c r="B4565" s="839">
        <v>2904</v>
      </c>
      <c r="C4565" s="906">
        <v>7519</v>
      </c>
      <c r="D4565" s="907">
        <v>46098</v>
      </c>
      <c r="E4565" s="839" t="s">
        <v>274</v>
      </c>
      <c r="F4565" s="839" t="s">
        <v>275</v>
      </c>
      <c r="G4565" s="916">
        <f>VLOOKUP($A4565,'Tech Litons'!$A:$I,8,FALSE)</f>
        <v>3.552E-3</v>
      </c>
      <c r="H4565" s="917">
        <f>VLOOKUP($A4565,'Tech Litons'!$A:$I,9,FALSE)</f>
        <v>255</v>
      </c>
      <c r="I4565" s="917" t="str">
        <f>VLOOKUP($A4565,'Tech Litons'!$A:$C,3,0)</f>
        <v>Talenti</v>
      </c>
      <c r="J4565" s="918" t="str">
        <f t="shared" si="456"/>
        <v>2904Talenti</v>
      </c>
      <c r="K4565" s="919">
        <v>1</v>
      </c>
      <c r="L4565" s="920">
        <f t="shared" si="457"/>
        <v>7519</v>
      </c>
      <c r="M4565" s="920">
        <f t="shared" si="458"/>
        <v>26.707488000000001</v>
      </c>
      <c r="N4565" s="920">
        <f t="shared" si="459"/>
        <v>29.48627450980392</v>
      </c>
      <c r="O4565" s="918" t="str">
        <f t="shared" si="460"/>
        <v>Mar</v>
      </c>
      <c r="P4565" s="921">
        <f t="shared" si="461"/>
        <v>12</v>
      </c>
    </row>
    <row r="4566" spans="1:16" ht="15" hidden="1" customHeight="1">
      <c r="A4566" s="839">
        <v>68867755</v>
      </c>
      <c r="B4566" s="839">
        <v>2904</v>
      </c>
      <c r="C4566" s="906">
        <v>6975</v>
      </c>
      <c r="D4566" s="907">
        <v>46099</v>
      </c>
      <c r="E4566" s="839" t="s">
        <v>274</v>
      </c>
      <c r="F4566" s="839" t="s">
        <v>275</v>
      </c>
      <c r="G4566" s="916">
        <f>VLOOKUP($A4566,'Tech Litons'!$A:$I,8,FALSE)</f>
        <v>3.552E-3</v>
      </c>
      <c r="H4566" s="917">
        <f>VLOOKUP($A4566,'Tech Litons'!$A:$I,9,FALSE)</f>
        <v>255</v>
      </c>
      <c r="I4566" s="917" t="str">
        <f>VLOOKUP($A4566,'Tech Litons'!$A:$C,3,0)</f>
        <v>Talenti</v>
      </c>
      <c r="J4566" s="918" t="str">
        <f t="shared" si="456"/>
        <v>2904Talenti</v>
      </c>
      <c r="K4566" s="919">
        <v>1</v>
      </c>
      <c r="L4566" s="920">
        <f t="shared" si="457"/>
        <v>6975</v>
      </c>
      <c r="M4566" s="920">
        <f t="shared" si="458"/>
        <v>24.775200000000002</v>
      </c>
      <c r="N4566" s="920">
        <f t="shared" si="459"/>
        <v>27.352941176470587</v>
      </c>
      <c r="O4566" s="918" t="str">
        <f t="shared" si="460"/>
        <v>Mar</v>
      </c>
      <c r="P4566" s="921">
        <f t="shared" si="461"/>
        <v>12</v>
      </c>
    </row>
    <row r="4567" spans="1:16" ht="15" hidden="1" customHeight="1">
      <c r="A4567" s="839">
        <v>68867755</v>
      </c>
      <c r="B4567" s="839">
        <v>2904</v>
      </c>
      <c r="C4567" s="906">
        <v>8325</v>
      </c>
      <c r="D4567" s="907">
        <v>46099</v>
      </c>
      <c r="E4567" s="839" t="s">
        <v>274</v>
      </c>
      <c r="F4567" s="839" t="s">
        <v>275</v>
      </c>
      <c r="G4567" s="916">
        <f>VLOOKUP($A4567,'Tech Litons'!$A:$I,8,FALSE)</f>
        <v>3.552E-3</v>
      </c>
      <c r="H4567" s="917">
        <f>VLOOKUP($A4567,'Tech Litons'!$A:$I,9,FALSE)</f>
        <v>255</v>
      </c>
      <c r="I4567" s="917" t="str">
        <f>VLOOKUP($A4567,'Tech Litons'!$A:$C,3,0)</f>
        <v>Talenti</v>
      </c>
      <c r="J4567" s="918" t="str">
        <f t="shared" si="456"/>
        <v>2904Talenti</v>
      </c>
      <c r="K4567" s="919">
        <v>1</v>
      </c>
      <c r="L4567" s="920">
        <f t="shared" si="457"/>
        <v>8325</v>
      </c>
      <c r="M4567" s="920">
        <f t="shared" si="458"/>
        <v>29.570399999999999</v>
      </c>
      <c r="N4567" s="920">
        <f t="shared" si="459"/>
        <v>32.647058823529413</v>
      </c>
      <c r="O4567" s="918" t="str">
        <f t="shared" si="460"/>
        <v>Mar</v>
      </c>
      <c r="P4567" s="921">
        <f t="shared" si="461"/>
        <v>12</v>
      </c>
    </row>
    <row r="4568" spans="1:16" ht="15" hidden="1" customHeight="1">
      <c r="A4568" s="839">
        <v>68867755</v>
      </c>
      <c r="B4568" s="839">
        <v>2904</v>
      </c>
      <c r="C4568" s="906">
        <v>3948</v>
      </c>
      <c r="D4568" s="907">
        <v>46100</v>
      </c>
      <c r="E4568" s="839" t="s">
        <v>274</v>
      </c>
      <c r="F4568" s="839" t="s">
        <v>275</v>
      </c>
      <c r="G4568" s="916">
        <f>VLOOKUP($A4568,'Tech Litons'!$A:$I,8,FALSE)</f>
        <v>3.552E-3</v>
      </c>
      <c r="H4568" s="917">
        <f>VLOOKUP($A4568,'Tech Litons'!$A:$I,9,FALSE)</f>
        <v>255</v>
      </c>
      <c r="I4568" s="917" t="str">
        <f>VLOOKUP($A4568,'Tech Litons'!$A:$C,3,0)</f>
        <v>Talenti</v>
      </c>
      <c r="J4568" s="918" t="str">
        <f t="shared" si="456"/>
        <v>2904Talenti</v>
      </c>
      <c r="K4568" s="919">
        <v>1</v>
      </c>
      <c r="L4568" s="920">
        <f t="shared" si="457"/>
        <v>3948</v>
      </c>
      <c r="M4568" s="920">
        <f t="shared" si="458"/>
        <v>14.023296</v>
      </c>
      <c r="N4568" s="920">
        <f t="shared" si="459"/>
        <v>15.482352941176471</v>
      </c>
      <c r="O4568" s="918" t="str">
        <f t="shared" si="460"/>
        <v>Mar</v>
      </c>
      <c r="P4568" s="921">
        <f t="shared" si="461"/>
        <v>12</v>
      </c>
    </row>
    <row r="4569" spans="1:16" ht="15" hidden="1" customHeight="1">
      <c r="A4569" s="839">
        <v>68867755</v>
      </c>
      <c r="B4569" s="839">
        <v>2904</v>
      </c>
      <c r="C4569" s="906">
        <v>8531</v>
      </c>
      <c r="D4569" s="907">
        <v>46080</v>
      </c>
      <c r="E4569" s="839" t="s">
        <v>274</v>
      </c>
      <c r="F4569" s="839" t="s">
        <v>275</v>
      </c>
      <c r="G4569" s="916">
        <f>VLOOKUP($A4569,'Tech Litons'!$A:$I,8,FALSE)</f>
        <v>3.552E-3</v>
      </c>
      <c r="H4569" s="917">
        <f>VLOOKUP($A4569,'Tech Litons'!$A:$I,9,FALSE)</f>
        <v>255</v>
      </c>
      <c r="I4569" s="917" t="str">
        <f>VLOOKUP($A4569,'Tech Litons'!$A:$C,3,0)</f>
        <v>Talenti</v>
      </c>
      <c r="J4569" s="918" t="str">
        <f t="shared" si="456"/>
        <v>2904Talenti</v>
      </c>
      <c r="K4569" s="919">
        <v>1</v>
      </c>
      <c r="L4569" s="920">
        <f t="shared" si="457"/>
        <v>8531</v>
      </c>
      <c r="M4569" s="920">
        <f t="shared" si="458"/>
        <v>30.302112000000001</v>
      </c>
      <c r="N4569" s="920">
        <f t="shared" si="459"/>
        <v>33.454901960784312</v>
      </c>
      <c r="O4569" s="918" t="str">
        <f t="shared" si="460"/>
        <v>Feb</v>
      </c>
      <c r="P4569" s="921">
        <f t="shared" si="461"/>
        <v>9</v>
      </c>
    </row>
    <row r="4570" spans="1:16" ht="15" hidden="1" customHeight="1">
      <c r="A4570" s="839">
        <v>68867755</v>
      </c>
      <c r="B4570" s="839">
        <v>2904</v>
      </c>
      <c r="C4570" s="906">
        <v>3980</v>
      </c>
      <c r="D4570" s="907">
        <v>46081</v>
      </c>
      <c r="E4570" s="839" t="s">
        <v>274</v>
      </c>
      <c r="F4570" s="839" t="s">
        <v>275</v>
      </c>
      <c r="G4570" s="916">
        <f>VLOOKUP($A4570,'Tech Litons'!$A:$I,8,FALSE)</f>
        <v>3.552E-3</v>
      </c>
      <c r="H4570" s="917">
        <f>VLOOKUP($A4570,'Tech Litons'!$A:$I,9,FALSE)</f>
        <v>255</v>
      </c>
      <c r="I4570" s="917" t="str">
        <f>VLOOKUP($A4570,'Tech Litons'!$A:$C,3,0)</f>
        <v>Talenti</v>
      </c>
      <c r="J4570" s="918" t="str">
        <f t="shared" si="456"/>
        <v>2904Talenti</v>
      </c>
      <c r="K4570" s="919">
        <v>1</v>
      </c>
      <c r="L4570" s="920">
        <f t="shared" si="457"/>
        <v>3980</v>
      </c>
      <c r="M4570" s="920">
        <f t="shared" si="458"/>
        <v>14.13696</v>
      </c>
      <c r="N4570" s="920">
        <f t="shared" si="459"/>
        <v>15.607843137254902</v>
      </c>
      <c r="O4570" s="918" t="str">
        <f t="shared" si="460"/>
        <v>Feb</v>
      </c>
      <c r="P4570" s="921">
        <f t="shared" si="461"/>
        <v>9</v>
      </c>
    </row>
    <row r="4571" spans="1:16" ht="15" hidden="1" customHeight="1">
      <c r="A4571" s="839">
        <v>68867755</v>
      </c>
      <c r="B4571" s="839">
        <v>2904</v>
      </c>
      <c r="C4571" s="906">
        <v>2670</v>
      </c>
      <c r="D4571" s="907">
        <v>46089</v>
      </c>
      <c r="E4571" s="839" t="s">
        <v>274</v>
      </c>
      <c r="F4571" s="839" t="s">
        <v>275</v>
      </c>
      <c r="G4571" s="916">
        <f>VLOOKUP($A4571,'Tech Litons'!$A:$I,8,FALSE)</f>
        <v>3.552E-3</v>
      </c>
      <c r="H4571" s="917">
        <f>VLOOKUP($A4571,'Tech Litons'!$A:$I,9,FALSE)</f>
        <v>255</v>
      </c>
      <c r="I4571" s="917" t="str">
        <f>VLOOKUP($A4571,'Tech Litons'!$A:$C,3,0)</f>
        <v>Talenti</v>
      </c>
      <c r="J4571" s="918" t="str">
        <f t="shared" si="456"/>
        <v>2904Talenti</v>
      </c>
      <c r="K4571" s="919">
        <v>1</v>
      </c>
      <c r="L4571" s="920">
        <f t="shared" si="457"/>
        <v>2670</v>
      </c>
      <c r="M4571" s="920">
        <f t="shared" si="458"/>
        <v>9.4838400000000007</v>
      </c>
      <c r="N4571" s="920">
        <f t="shared" si="459"/>
        <v>10.470588235294118</v>
      </c>
      <c r="O4571" s="918" t="str">
        <f t="shared" si="460"/>
        <v>Mar</v>
      </c>
      <c r="P4571" s="921">
        <f t="shared" si="461"/>
        <v>11</v>
      </c>
    </row>
    <row r="4572" spans="1:16" ht="15" hidden="1" customHeight="1">
      <c r="A4572" s="839">
        <v>68867755</v>
      </c>
      <c r="B4572" s="839">
        <v>2904</v>
      </c>
      <c r="C4572" s="906">
        <v>1005</v>
      </c>
      <c r="D4572" s="907">
        <v>46097</v>
      </c>
      <c r="E4572" s="839" t="s">
        <v>274</v>
      </c>
      <c r="F4572" s="839" t="s">
        <v>275</v>
      </c>
      <c r="G4572" s="916">
        <f>VLOOKUP($A4572,'Tech Litons'!$A:$I,8,FALSE)</f>
        <v>3.552E-3</v>
      </c>
      <c r="H4572" s="917">
        <f>VLOOKUP($A4572,'Tech Litons'!$A:$I,9,FALSE)</f>
        <v>255</v>
      </c>
      <c r="I4572" s="917" t="str">
        <f>VLOOKUP($A4572,'Tech Litons'!$A:$C,3,0)</f>
        <v>Talenti</v>
      </c>
      <c r="J4572" s="918" t="str">
        <f t="shared" si="456"/>
        <v>2904Talenti</v>
      </c>
      <c r="K4572" s="919">
        <v>1</v>
      </c>
      <c r="L4572" s="920">
        <f t="shared" si="457"/>
        <v>1005</v>
      </c>
      <c r="M4572" s="920">
        <f t="shared" si="458"/>
        <v>3.56976</v>
      </c>
      <c r="N4572" s="920">
        <f t="shared" si="459"/>
        <v>3.9411764705882355</v>
      </c>
      <c r="O4572" s="918" t="str">
        <f t="shared" si="460"/>
        <v>Mar</v>
      </c>
      <c r="P4572" s="921">
        <f t="shared" si="461"/>
        <v>12</v>
      </c>
    </row>
    <row r="4573" spans="1:16" ht="15" hidden="1" customHeight="1">
      <c r="A4573" s="839">
        <v>68867755</v>
      </c>
      <c r="B4573" s="839">
        <v>2904</v>
      </c>
      <c r="C4573" s="906">
        <v>6120</v>
      </c>
      <c r="D4573" s="907">
        <v>46098</v>
      </c>
      <c r="E4573" s="839" t="s">
        <v>274</v>
      </c>
      <c r="F4573" s="839" t="s">
        <v>275</v>
      </c>
      <c r="G4573" s="916">
        <f>VLOOKUP($A4573,'Tech Litons'!$A:$I,8,FALSE)</f>
        <v>3.552E-3</v>
      </c>
      <c r="H4573" s="917">
        <f>VLOOKUP($A4573,'Tech Litons'!$A:$I,9,FALSE)</f>
        <v>255</v>
      </c>
      <c r="I4573" s="917" t="str">
        <f>VLOOKUP($A4573,'Tech Litons'!$A:$C,3,0)</f>
        <v>Talenti</v>
      </c>
      <c r="J4573" s="918" t="str">
        <f t="shared" si="456"/>
        <v>2904Talenti</v>
      </c>
      <c r="K4573" s="919">
        <v>1</v>
      </c>
      <c r="L4573" s="920">
        <f t="shared" si="457"/>
        <v>6120</v>
      </c>
      <c r="M4573" s="920">
        <f t="shared" si="458"/>
        <v>21.738240000000001</v>
      </c>
      <c r="N4573" s="920">
        <f t="shared" si="459"/>
        <v>24</v>
      </c>
      <c r="O4573" s="918" t="str">
        <f t="shared" si="460"/>
        <v>Mar</v>
      </c>
      <c r="P4573" s="921">
        <f t="shared" si="461"/>
        <v>12</v>
      </c>
    </row>
    <row r="4574" spans="1:16" ht="15" hidden="1" customHeight="1">
      <c r="A4574" s="839">
        <v>68867756</v>
      </c>
      <c r="B4574" s="839">
        <v>2904</v>
      </c>
      <c r="C4574" s="906">
        <v>14932</v>
      </c>
      <c r="D4574" s="907">
        <v>46079</v>
      </c>
      <c r="E4574" s="839" t="s">
        <v>527</v>
      </c>
      <c r="F4574" s="839" t="s">
        <v>277</v>
      </c>
      <c r="G4574" s="916">
        <f>VLOOKUP($A4574,'Tech Litons'!$A:$I,8,FALSE)</f>
        <v>3.7839999999999996E-3</v>
      </c>
      <c r="H4574" s="917">
        <f>VLOOKUP($A4574,'Tech Litons'!$A:$I,9,FALSE)</f>
        <v>255</v>
      </c>
      <c r="I4574" s="917" t="str">
        <f>VLOOKUP($A4574,'Tech Litons'!$A:$C,3,0)</f>
        <v>Talenti</v>
      </c>
      <c r="J4574" s="918" t="str">
        <f t="shared" si="456"/>
        <v>2904Talenti</v>
      </c>
      <c r="K4574" s="919">
        <v>1</v>
      </c>
      <c r="L4574" s="920">
        <f t="shared" si="457"/>
        <v>14932</v>
      </c>
      <c r="M4574" s="920">
        <f t="shared" si="458"/>
        <v>56.502687999999992</v>
      </c>
      <c r="N4574" s="920">
        <f t="shared" si="459"/>
        <v>58.556862745098037</v>
      </c>
      <c r="O4574" s="918" t="str">
        <f t="shared" si="460"/>
        <v>Feb</v>
      </c>
      <c r="P4574" s="921">
        <f t="shared" si="461"/>
        <v>9</v>
      </c>
    </row>
    <row r="4575" spans="1:16" ht="15" hidden="1" customHeight="1">
      <c r="A4575" s="839">
        <v>68867756</v>
      </c>
      <c r="B4575" s="839">
        <v>2904</v>
      </c>
      <c r="C4575" s="906">
        <v>15228</v>
      </c>
      <c r="D4575" s="907">
        <v>46080</v>
      </c>
      <c r="E4575" s="839" t="s">
        <v>527</v>
      </c>
      <c r="F4575" s="839" t="s">
        <v>277</v>
      </c>
      <c r="G4575" s="916">
        <f>VLOOKUP($A4575,'Tech Litons'!$A:$I,8,FALSE)</f>
        <v>3.7839999999999996E-3</v>
      </c>
      <c r="H4575" s="917">
        <f>VLOOKUP($A4575,'Tech Litons'!$A:$I,9,FALSE)</f>
        <v>255</v>
      </c>
      <c r="I4575" s="917" t="str">
        <f>VLOOKUP($A4575,'Tech Litons'!$A:$C,3,0)</f>
        <v>Talenti</v>
      </c>
      <c r="J4575" s="918" t="str">
        <f t="shared" si="456"/>
        <v>2904Talenti</v>
      </c>
      <c r="K4575" s="919">
        <v>1</v>
      </c>
      <c r="L4575" s="920">
        <f t="shared" si="457"/>
        <v>15228</v>
      </c>
      <c r="M4575" s="920">
        <f t="shared" si="458"/>
        <v>57.622751999999991</v>
      </c>
      <c r="N4575" s="920">
        <f t="shared" si="459"/>
        <v>59.71764705882353</v>
      </c>
      <c r="O4575" s="918" t="str">
        <f t="shared" si="460"/>
        <v>Feb</v>
      </c>
      <c r="P4575" s="921">
        <f t="shared" si="461"/>
        <v>9</v>
      </c>
    </row>
    <row r="4576" spans="1:16" ht="15" hidden="1" customHeight="1">
      <c r="A4576" s="839">
        <v>68867756</v>
      </c>
      <c r="B4576" s="839">
        <v>2904</v>
      </c>
      <c r="C4576" s="906">
        <v>15555</v>
      </c>
      <c r="D4576" s="907">
        <v>46080</v>
      </c>
      <c r="E4576" s="839" t="s">
        <v>527</v>
      </c>
      <c r="F4576" s="839" t="s">
        <v>277</v>
      </c>
      <c r="G4576" s="916">
        <f>VLOOKUP($A4576,'Tech Litons'!$A:$I,8,FALSE)</f>
        <v>3.7839999999999996E-3</v>
      </c>
      <c r="H4576" s="917">
        <f>VLOOKUP($A4576,'Tech Litons'!$A:$I,9,FALSE)</f>
        <v>255</v>
      </c>
      <c r="I4576" s="917" t="str">
        <f>VLOOKUP($A4576,'Tech Litons'!$A:$C,3,0)</f>
        <v>Talenti</v>
      </c>
      <c r="J4576" s="918" t="str">
        <f t="shared" si="456"/>
        <v>2904Talenti</v>
      </c>
      <c r="K4576" s="919">
        <v>1</v>
      </c>
      <c r="L4576" s="920">
        <f t="shared" si="457"/>
        <v>15555</v>
      </c>
      <c r="M4576" s="920">
        <f t="shared" si="458"/>
        <v>58.860119999999995</v>
      </c>
      <c r="N4576" s="920">
        <f t="shared" si="459"/>
        <v>61</v>
      </c>
      <c r="O4576" s="918" t="str">
        <f t="shared" si="460"/>
        <v>Feb</v>
      </c>
      <c r="P4576" s="921">
        <f t="shared" si="461"/>
        <v>9</v>
      </c>
    </row>
    <row r="4577" spans="1:16" ht="15" hidden="1" customHeight="1">
      <c r="A4577" s="839">
        <v>68867756</v>
      </c>
      <c r="B4577" s="839">
        <v>2904</v>
      </c>
      <c r="C4577" s="906">
        <v>10215</v>
      </c>
      <c r="D4577" s="907">
        <v>46081</v>
      </c>
      <c r="E4577" s="839" t="s">
        <v>527</v>
      </c>
      <c r="F4577" s="839" t="s">
        <v>277</v>
      </c>
      <c r="G4577" s="916">
        <f>VLOOKUP($A4577,'Tech Litons'!$A:$I,8,FALSE)</f>
        <v>3.7839999999999996E-3</v>
      </c>
      <c r="H4577" s="917">
        <f>VLOOKUP($A4577,'Tech Litons'!$A:$I,9,FALSE)</f>
        <v>255</v>
      </c>
      <c r="I4577" s="917" t="str">
        <f>VLOOKUP($A4577,'Tech Litons'!$A:$C,3,0)</f>
        <v>Talenti</v>
      </c>
      <c r="J4577" s="918" t="str">
        <f t="shared" si="456"/>
        <v>2904Talenti</v>
      </c>
      <c r="K4577" s="919">
        <v>1</v>
      </c>
      <c r="L4577" s="920">
        <f t="shared" si="457"/>
        <v>10215</v>
      </c>
      <c r="M4577" s="920">
        <f t="shared" si="458"/>
        <v>38.653559999999999</v>
      </c>
      <c r="N4577" s="920">
        <f t="shared" si="459"/>
        <v>40.058823529411768</v>
      </c>
      <c r="O4577" s="918" t="str">
        <f t="shared" si="460"/>
        <v>Feb</v>
      </c>
      <c r="P4577" s="921">
        <f t="shared" si="461"/>
        <v>9</v>
      </c>
    </row>
    <row r="4578" spans="1:16" ht="15" hidden="1" customHeight="1">
      <c r="A4578" s="839">
        <v>68867756</v>
      </c>
      <c r="B4578" s="839">
        <v>2904</v>
      </c>
      <c r="C4578" s="906">
        <v>17775</v>
      </c>
      <c r="D4578" s="907">
        <v>46081</v>
      </c>
      <c r="E4578" s="839" t="s">
        <v>527</v>
      </c>
      <c r="F4578" s="839" t="s">
        <v>277</v>
      </c>
      <c r="G4578" s="916">
        <f>VLOOKUP($A4578,'Tech Litons'!$A:$I,8,FALSE)</f>
        <v>3.7839999999999996E-3</v>
      </c>
      <c r="H4578" s="917">
        <f>VLOOKUP($A4578,'Tech Litons'!$A:$I,9,FALSE)</f>
        <v>255</v>
      </c>
      <c r="I4578" s="917" t="str">
        <f>VLOOKUP($A4578,'Tech Litons'!$A:$C,3,0)</f>
        <v>Talenti</v>
      </c>
      <c r="J4578" s="918" t="str">
        <f t="shared" si="456"/>
        <v>2904Talenti</v>
      </c>
      <c r="K4578" s="919">
        <v>1</v>
      </c>
      <c r="L4578" s="920">
        <f t="shared" si="457"/>
        <v>17775</v>
      </c>
      <c r="M4578" s="920">
        <f t="shared" si="458"/>
        <v>67.260599999999997</v>
      </c>
      <c r="N4578" s="920">
        <f t="shared" si="459"/>
        <v>69.705882352941174</v>
      </c>
      <c r="O4578" s="918" t="str">
        <f t="shared" si="460"/>
        <v>Feb</v>
      </c>
      <c r="P4578" s="921">
        <f t="shared" si="461"/>
        <v>9</v>
      </c>
    </row>
    <row r="4579" spans="1:16" ht="15" hidden="1" customHeight="1">
      <c r="A4579" s="839">
        <v>68867756</v>
      </c>
      <c r="B4579" s="839">
        <v>2904</v>
      </c>
      <c r="C4579" s="906">
        <v>8052</v>
      </c>
      <c r="D4579" s="907">
        <v>46082</v>
      </c>
      <c r="E4579" s="839" t="s">
        <v>527</v>
      </c>
      <c r="F4579" s="839" t="s">
        <v>277</v>
      </c>
      <c r="G4579" s="916">
        <f>VLOOKUP($A4579,'Tech Litons'!$A:$I,8,FALSE)</f>
        <v>3.7839999999999996E-3</v>
      </c>
      <c r="H4579" s="917">
        <f>VLOOKUP($A4579,'Tech Litons'!$A:$I,9,FALSE)</f>
        <v>255</v>
      </c>
      <c r="I4579" s="917" t="str">
        <f>VLOOKUP($A4579,'Tech Litons'!$A:$C,3,0)</f>
        <v>Talenti</v>
      </c>
      <c r="J4579" s="918" t="str">
        <f t="shared" si="456"/>
        <v>2904Talenti</v>
      </c>
      <c r="K4579" s="919">
        <v>1</v>
      </c>
      <c r="L4579" s="920">
        <f t="shared" si="457"/>
        <v>8052</v>
      </c>
      <c r="M4579" s="920">
        <f t="shared" si="458"/>
        <v>30.468767999999997</v>
      </c>
      <c r="N4579" s="920">
        <f t="shared" si="459"/>
        <v>31.576470588235296</v>
      </c>
      <c r="O4579" s="918" t="str">
        <f t="shared" si="460"/>
        <v>Mar</v>
      </c>
      <c r="P4579" s="921">
        <f t="shared" si="461"/>
        <v>10</v>
      </c>
    </row>
    <row r="4580" spans="1:16" ht="15" hidden="1" customHeight="1">
      <c r="A4580" s="839">
        <v>68867756</v>
      </c>
      <c r="B4580" s="839">
        <v>2904</v>
      </c>
      <c r="C4580" s="906">
        <v>13842</v>
      </c>
      <c r="D4580" s="907">
        <v>46082</v>
      </c>
      <c r="E4580" s="839" t="s">
        <v>527</v>
      </c>
      <c r="F4580" s="839" t="s">
        <v>277</v>
      </c>
      <c r="G4580" s="916">
        <f>VLOOKUP($A4580,'Tech Litons'!$A:$I,8,FALSE)</f>
        <v>3.7839999999999996E-3</v>
      </c>
      <c r="H4580" s="917">
        <f>VLOOKUP($A4580,'Tech Litons'!$A:$I,9,FALSE)</f>
        <v>255</v>
      </c>
      <c r="I4580" s="917" t="str">
        <f>VLOOKUP($A4580,'Tech Litons'!$A:$C,3,0)</f>
        <v>Talenti</v>
      </c>
      <c r="J4580" s="918" t="str">
        <f t="shared" si="456"/>
        <v>2904Talenti</v>
      </c>
      <c r="K4580" s="919">
        <v>1</v>
      </c>
      <c r="L4580" s="920">
        <f t="shared" si="457"/>
        <v>13842</v>
      </c>
      <c r="M4580" s="920">
        <f t="shared" si="458"/>
        <v>52.378127999999997</v>
      </c>
      <c r="N4580" s="920">
        <f t="shared" si="459"/>
        <v>54.28235294117647</v>
      </c>
      <c r="O4580" s="918" t="str">
        <f t="shared" si="460"/>
        <v>Mar</v>
      </c>
      <c r="P4580" s="921">
        <f t="shared" si="461"/>
        <v>10</v>
      </c>
    </row>
    <row r="4581" spans="1:16" ht="15" hidden="1" customHeight="1">
      <c r="A4581" s="839">
        <v>68867756</v>
      </c>
      <c r="B4581" s="839">
        <v>2904</v>
      </c>
      <c r="C4581" s="906">
        <v>9216</v>
      </c>
      <c r="D4581" s="907">
        <v>46083</v>
      </c>
      <c r="E4581" s="839" t="s">
        <v>527</v>
      </c>
      <c r="F4581" s="839" t="s">
        <v>277</v>
      </c>
      <c r="G4581" s="916">
        <f>VLOOKUP($A4581,'Tech Litons'!$A:$I,8,FALSE)</f>
        <v>3.7839999999999996E-3</v>
      </c>
      <c r="H4581" s="917">
        <f>VLOOKUP($A4581,'Tech Litons'!$A:$I,9,FALSE)</f>
        <v>255</v>
      </c>
      <c r="I4581" s="917" t="str">
        <f>VLOOKUP($A4581,'Tech Litons'!$A:$C,3,0)</f>
        <v>Talenti</v>
      </c>
      <c r="J4581" s="918" t="str">
        <f t="shared" si="456"/>
        <v>2904Talenti</v>
      </c>
      <c r="K4581" s="919">
        <v>1</v>
      </c>
      <c r="L4581" s="920">
        <f t="shared" si="457"/>
        <v>9216</v>
      </c>
      <c r="M4581" s="920">
        <f t="shared" si="458"/>
        <v>34.873343999999996</v>
      </c>
      <c r="N4581" s="920">
        <f t="shared" si="459"/>
        <v>36.141176470588235</v>
      </c>
      <c r="O4581" s="918" t="str">
        <f t="shared" si="460"/>
        <v>Mar</v>
      </c>
      <c r="P4581" s="921">
        <f t="shared" si="461"/>
        <v>10</v>
      </c>
    </row>
    <row r="4582" spans="1:16" ht="15" hidden="1" customHeight="1">
      <c r="A4582" s="839">
        <v>68867756</v>
      </c>
      <c r="B4582" s="839">
        <v>2904</v>
      </c>
      <c r="C4582" s="906">
        <v>1418</v>
      </c>
      <c r="D4582" s="907">
        <v>46079</v>
      </c>
      <c r="E4582" s="839" t="s">
        <v>527</v>
      </c>
      <c r="F4582" s="839" t="s">
        <v>277</v>
      </c>
      <c r="G4582" s="916">
        <f>VLOOKUP($A4582,'Tech Litons'!$A:$I,8,FALSE)</f>
        <v>3.7839999999999996E-3</v>
      </c>
      <c r="H4582" s="917">
        <f>VLOOKUP($A4582,'Tech Litons'!$A:$I,9,FALSE)</f>
        <v>255</v>
      </c>
      <c r="I4582" s="917" t="str">
        <f>VLOOKUP($A4582,'Tech Litons'!$A:$C,3,0)</f>
        <v>Talenti</v>
      </c>
      <c r="J4582" s="918" t="str">
        <f t="shared" si="456"/>
        <v>2904Talenti</v>
      </c>
      <c r="K4582" s="919">
        <v>1</v>
      </c>
      <c r="L4582" s="920">
        <f t="shared" si="457"/>
        <v>1418</v>
      </c>
      <c r="M4582" s="920">
        <f t="shared" si="458"/>
        <v>5.3657119999999994</v>
      </c>
      <c r="N4582" s="920">
        <f t="shared" si="459"/>
        <v>5.56078431372549</v>
      </c>
      <c r="O4582" s="918" t="str">
        <f t="shared" si="460"/>
        <v>Feb</v>
      </c>
      <c r="P4582" s="921">
        <f t="shared" si="461"/>
        <v>9</v>
      </c>
    </row>
    <row r="4583" spans="1:16" ht="15" hidden="1" customHeight="1">
      <c r="A4583" s="839">
        <v>68896054</v>
      </c>
      <c r="B4583" s="839">
        <v>2904</v>
      </c>
      <c r="C4583" s="906">
        <v>3571</v>
      </c>
      <c r="D4583" s="907">
        <v>46082</v>
      </c>
      <c r="E4583" s="839" t="s">
        <v>265</v>
      </c>
      <c r="F4583" s="839" t="s">
        <v>271</v>
      </c>
      <c r="G4583" s="916">
        <f>VLOOKUP($A4583,'Tech Litons'!$A:$I,8,FALSE)</f>
        <v>8.5199999999999998E-3</v>
      </c>
      <c r="H4583" s="917">
        <f>VLOOKUP($A4583,'Tech Litons'!$A:$I,9,FALSE)</f>
        <v>176</v>
      </c>
      <c r="I4583" s="917" t="str">
        <f>VLOOKUP($A4583,'Tech Litons'!$A:$C,3,0)</f>
        <v>48oz</v>
      </c>
      <c r="J4583" s="918" t="str">
        <f t="shared" si="456"/>
        <v>290448oz</v>
      </c>
      <c r="K4583" s="919">
        <v>1</v>
      </c>
      <c r="L4583" s="920">
        <f t="shared" si="457"/>
        <v>3571</v>
      </c>
      <c r="M4583" s="920">
        <f t="shared" si="458"/>
        <v>30.42492</v>
      </c>
      <c r="N4583" s="920">
        <f t="shared" si="459"/>
        <v>20.289772727272727</v>
      </c>
      <c r="O4583" s="918" t="str">
        <f t="shared" si="460"/>
        <v>Mar</v>
      </c>
      <c r="P4583" s="921">
        <f t="shared" si="461"/>
        <v>10</v>
      </c>
    </row>
    <row r="4584" spans="1:16" ht="15" hidden="1" customHeight="1">
      <c r="A4584" s="839">
        <v>68896054</v>
      </c>
      <c r="B4584" s="839">
        <v>2904</v>
      </c>
      <c r="C4584" s="906">
        <v>176</v>
      </c>
      <c r="D4584" s="907">
        <v>46083</v>
      </c>
      <c r="E4584" s="839" t="s">
        <v>265</v>
      </c>
      <c r="F4584" s="839" t="s">
        <v>271</v>
      </c>
      <c r="G4584" s="916">
        <f>VLOOKUP($A4584,'Tech Litons'!$A:$I,8,FALSE)</f>
        <v>8.5199999999999998E-3</v>
      </c>
      <c r="H4584" s="917">
        <f>VLOOKUP($A4584,'Tech Litons'!$A:$I,9,FALSE)</f>
        <v>176</v>
      </c>
      <c r="I4584" s="917" t="str">
        <f>VLOOKUP($A4584,'Tech Litons'!$A:$C,3,0)</f>
        <v>48oz</v>
      </c>
      <c r="J4584" s="918" t="str">
        <f t="shared" si="456"/>
        <v>290448oz</v>
      </c>
      <c r="K4584" s="919">
        <v>1</v>
      </c>
      <c r="L4584" s="920">
        <f t="shared" si="457"/>
        <v>176</v>
      </c>
      <c r="M4584" s="920">
        <f t="shared" si="458"/>
        <v>1.49952</v>
      </c>
      <c r="N4584" s="920">
        <f t="shared" si="459"/>
        <v>1</v>
      </c>
      <c r="O4584" s="918" t="str">
        <f t="shared" si="460"/>
        <v>Mar</v>
      </c>
      <c r="P4584" s="921">
        <f t="shared" si="461"/>
        <v>10</v>
      </c>
    </row>
    <row r="4585" spans="1:16" ht="15" hidden="1" customHeight="1">
      <c r="A4585" s="839">
        <v>68896054</v>
      </c>
      <c r="B4585" s="839">
        <v>2904</v>
      </c>
      <c r="C4585" s="906">
        <v>4928</v>
      </c>
      <c r="D4585" s="907">
        <v>46082</v>
      </c>
      <c r="E4585" s="839" t="s">
        <v>265</v>
      </c>
      <c r="F4585" s="839" t="s">
        <v>271</v>
      </c>
      <c r="G4585" s="916">
        <f>VLOOKUP($A4585,'Tech Litons'!$A:$I,8,FALSE)</f>
        <v>8.5199999999999998E-3</v>
      </c>
      <c r="H4585" s="917">
        <f>VLOOKUP($A4585,'Tech Litons'!$A:$I,9,FALSE)</f>
        <v>176</v>
      </c>
      <c r="I4585" s="917" t="str">
        <f>VLOOKUP($A4585,'Tech Litons'!$A:$C,3,0)</f>
        <v>48oz</v>
      </c>
      <c r="J4585" s="918" t="str">
        <f t="shared" si="456"/>
        <v>290448oz</v>
      </c>
      <c r="K4585" s="919">
        <v>1</v>
      </c>
      <c r="L4585" s="920">
        <f t="shared" si="457"/>
        <v>4928</v>
      </c>
      <c r="M4585" s="920">
        <f t="shared" si="458"/>
        <v>41.986559999999997</v>
      </c>
      <c r="N4585" s="920">
        <f t="shared" si="459"/>
        <v>28</v>
      </c>
      <c r="O4585" s="918" t="str">
        <f t="shared" si="460"/>
        <v>Mar</v>
      </c>
      <c r="P4585" s="921">
        <f t="shared" si="461"/>
        <v>10</v>
      </c>
    </row>
    <row r="4586" spans="1:16" ht="15" hidden="1" customHeight="1">
      <c r="A4586" s="839">
        <v>68896054</v>
      </c>
      <c r="B4586" s="839">
        <v>2904</v>
      </c>
      <c r="C4586" s="906">
        <v>4442</v>
      </c>
      <c r="D4586" s="907">
        <v>46083</v>
      </c>
      <c r="E4586" s="839" t="s">
        <v>265</v>
      </c>
      <c r="F4586" s="839" t="s">
        <v>271</v>
      </c>
      <c r="G4586" s="916">
        <f>VLOOKUP($A4586,'Tech Litons'!$A:$I,8,FALSE)</f>
        <v>8.5199999999999998E-3</v>
      </c>
      <c r="H4586" s="917">
        <f>VLOOKUP($A4586,'Tech Litons'!$A:$I,9,FALSE)</f>
        <v>176</v>
      </c>
      <c r="I4586" s="917" t="str">
        <f>VLOOKUP($A4586,'Tech Litons'!$A:$C,3,0)</f>
        <v>48oz</v>
      </c>
      <c r="J4586" s="918" t="str">
        <f t="shared" si="456"/>
        <v>290448oz</v>
      </c>
      <c r="K4586" s="919">
        <v>1</v>
      </c>
      <c r="L4586" s="920">
        <f t="shared" si="457"/>
        <v>4442</v>
      </c>
      <c r="M4586" s="920">
        <f t="shared" si="458"/>
        <v>37.845840000000003</v>
      </c>
      <c r="N4586" s="920">
        <f t="shared" si="459"/>
        <v>25.238636363636363</v>
      </c>
      <c r="O4586" s="918" t="str">
        <f t="shared" si="460"/>
        <v>Mar</v>
      </c>
      <c r="P4586" s="921">
        <f t="shared" si="461"/>
        <v>10</v>
      </c>
    </row>
    <row r="4587" spans="1:16" ht="15" hidden="1" customHeight="1">
      <c r="A4587" s="839">
        <v>68896054</v>
      </c>
      <c r="B4587" s="839">
        <v>2904</v>
      </c>
      <c r="C4587" s="906">
        <v>603</v>
      </c>
      <c r="D4587" s="907">
        <v>46083</v>
      </c>
      <c r="E4587" s="839" t="s">
        <v>265</v>
      </c>
      <c r="F4587" s="839" t="s">
        <v>271</v>
      </c>
      <c r="G4587" s="916">
        <f>VLOOKUP($A4587,'Tech Litons'!$A:$I,8,FALSE)</f>
        <v>8.5199999999999998E-3</v>
      </c>
      <c r="H4587" s="917">
        <f>VLOOKUP($A4587,'Tech Litons'!$A:$I,9,FALSE)</f>
        <v>176</v>
      </c>
      <c r="I4587" s="917" t="str">
        <f>VLOOKUP($A4587,'Tech Litons'!$A:$C,3,0)</f>
        <v>48oz</v>
      </c>
      <c r="J4587" s="918" t="str">
        <f t="shared" si="456"/>
        <v>290448oz</v>
      </c>
      <c r="K4587" s="919">
        <v>1</v>
      </c>
      <c r="L4587" s="920">
        <f t="shared" si="457"/>
        <v>603</v>
      </c>
      <c r="M4587" s="920">
        <f t="shared" si="458"/>
        <v>5.1375599999999997</v>
      </c>
      <c r="N4587" s="920">
        <f t="shared" si="459"/>
        <v>3.4261363636363638</v>
      </c>
      <c r="O4587" s="918" t="str">
        <f t="shared" si="460"/>
        <v>Mar</v>
      </c>
      <c r="P4587" s="921">
        <f t="shared" si="461"/>
        <v>10</v>
      </c>
    </row>
    <row r="4588" spans="1:16" ht="15" hidden="1" customHeight="1">
      <c r="A4588" s="839">
        <v>68896054</v>
      </c>
      <c r="B4588" s="839">
        <v>2904</v>
      </c>
      <c r="C4588" s="906">
        <v>3872</v>
      </c>
      <c r="D4588" s="907">
        <v>46084</v>
      </c>
      <c r="E4588" s="839" t="s">
        <v>265</v>
      </c>
      <c r="F4588" s="839" t="s">
        <v>271</v>
      </c>
      <c r="G4588" s="916">
        <f>VLOOKUP($A4588,'Tech Litons'!$A:$I,8,FALSE)</f>
        <v>8.5199999999999998E-3</v>
      </c>
      <c r="H4588" s="917">
        <f>VLOOKUP($A4588,'Tech Litons'!$A:$I,9,FALSE)</f>
        <v>176</v>
      </c>
      <c r="I4588" s="917" t="str">
        <f>VLOOKUP($A4588,'Tech Litons'!$A:$C,3,0)</f>
        <v>48oz</v>
      </c>
      <c r="J4588" s="918" t="str">
        <f t="shared" si="456"/>
        <v>290448oz</v>
      </c>
      <c r="K4588" s="919">
        <v>1</v>
      </c>
      <c r="L4588" s="920">
        <f t="shared" si="457"/>
        <v>3872</v>
      </c>
      <c r="M4588" s="920">
        <f t="shared" si="458"/>
        <v>32.989440000000002</v>
      </c>
      <c r="N4588" s="920">
        <f t="shared" si="459"/>
        <v>22</v>
      </c>
      <c r="O4588" s="918" t="str">
        <f t="shared" si="460"/>
        <v>Mar</v>
      </c>
      <c r="P4588" s="921">
        <f t="shared" si="461"/>
        <v>10</v>
      </c>
    </row>
    <row r="4589" spans="1:16" ht="15" hidden="1" customHeight="1">
      <c r="A4589" s="839">
        <v>68896054</v>
      </c>
      <c r="B4589" s="839">
        <v>2904</v>
      </c>
      <c r="C4589" s="906">
        <v>6144</v>
      </c>
      <c r="D4589" s="907">
        <v>46084</v>
      </c>
      <c r="E4589" s="839" t="s">
        <v>265</v>
      </c>
      <c r="F4589" s="839" t="s">
        <v>271</v>
      </c>
      <c r="G4589" s="916">
        <f>VLOOKUP($A4589,'Tech Litons'!$A:$I,8,FALSE)</f>
        <v>8.5199999999999998E-3</v>
      </c>
      <c r="H4589" s="917">
        <f>VLOOKUP($A4589,'Tech Litons'!$A:$I,9,FALSE)</f>
        <v>176</v>
      </c>
      <c r="I4589" s="917" t="str">
        <f>VLOOKUP($A4589,'Tech Litons'!$A:$C,3,0)</f>
        <v>48oz</v>
      </c>
      <c r="J4589" s="918" t="str">
        <f t="shared" si="456"/>
        <v>290448oz</v>
      </c>
      <c r="K4589" s="919">
        <v>1</v>
      </c>
      <c r="L4589" s="920">
        <f t="shared" si="457"/>
        <v>6144</v>
      </c>
      <c r="M4589" s="920">
        <f t="shared" si="458"/>
        <v>52.346879999999999</v>
      </c>
      <c r="N4589" s="920">
        <f t="shared" si="459"/>
        <v>34.909090909090907</v>
      </c>
      <c r="O4589" s="918" t="str">
        <f t="shared" si="460"/>
        <v>Mar</v>
      </c>
      <c r="P4589" s="921">
        <f t="shared" si="461"/>
        <v>10</v>
      </c>
    </row>
    <row r="4590" spans="1:16" ht="15" hidden="1" customHeight="1">
      <c r="A4590" s="839">
        <v>68896054</v>
      </c>
      <c r="B4590" s="839">
        <v>2904</v>
      </c>
      <c r="C4590" s="906">
        <v>3615</v>
      </c>
      <c r="D4590" s="907">
        <v>46085</v>
      </c>
      <c r="E4590" s="839" t="s">
        <v>265</v>
      </c>
      <c r="F4590" s="839" t="s">
        <v>271</v>
      </c>
      <c r="G4590" s="916">
        <f>VLOOKUP($A4590,'Tech Litons'!$A:$I,8,FALSE)</f>
        <v>8.5199999999999998E-3</v>
      </c>
      <c r="H4590" s="917">
        <f>VLOOKUP($A4590,'Tech Litons'!$A:$I,9,FALSE)</f>
        <v>176</v>
      </c>
      <c r="I4590" s="917" t="str">
        <f>VLOOKUP($A4590,'Tech Litons'!$A:$C,3,0)</f>
        <v>48oz</v>
      </c>
      <c r="J4590" s="918" t="str">
        <f t="shared" si="456"/>
        <v>290448oz</v>
      </c>
      <c r="K4590" s="919">
        <v>1</v>
      </c>
      <c r="L4590" s="920">
        <f t="shared" si="457"/>
        <v>3615</v>
      </c>
      <c r="M4590" s="920">
        <f t="shared" si="458"/>
        <v>30.799799999999998</v>
      </c>
      <c r="N4590" s="920">
        <f t="shared" si="459"/>
        <v>20.539772727272727</v>
      </c>
      <c r="O4590" s="918" t="str">
        <f t="shared" si="460"/>
        <v>Mar</v>
      </c>
      <c r="P4590" s="921">
        <f t="shared" si="461"/>
        <v>10</v>
      </c>
    </row>
    <row r="4591" spans="1:16" ht="15" hidden="1" customHeight="1">
      <c r="A4591" s="839">
        <v>68922108</v>
      </c>
      <c r="B4591" s="839">
        <v>2904</v>
      </c>
      <c r="C4591" s="906">
        <v>11730</v>
      </c>
      <c r="D4591" s="907">
        <v>46098</v>
      </c>
      <c r="E4591" s="839" t="s">
        <v>276</v>
      </c>
      <c r="F4591" s="839" t="s">
        <v>277</v>
      </c>
      <c r="G4591" s="916">
        <f>VLOOKUP($A4591,'Tech Litons'!$A:$I,8,FALSE)</f>
        <v>3.7839999999999996E-3</v>
      </c>
      <c r="H4591" s="917">
        <f>VLOOKUP($A4591,'Tech Litons'!$A:$I,9,FALSE)</f>
        <v>255</v>
      </c>
      <c r="I4591" s="917" t="str">
        <f>VLOOKUP($A4591,'Tech Litons'!$A:$C,3,0)</f>
        <v>TALENTI</v>
      </c>
      <c r="J4591" s="918" t="str">
        <f t="shared" si="456"/>
        <v>2904TALENTI</v>
      </c>
      <c r="K4591" s="919">
        <v>1</v>
      </c>
      <c r="L4591" s="920">
        <f t="shared" si="457"/>
        <v>11730</v>
      </c>
      <c r="M4591" s="920">
        <f t="shared" si="458"/>
        <v>44.386319999999998</v>
      </c>
      <c r="N4591" s="920">
        <f t="shared" si="459"/>
        <v>46</v>
      </c>
      <c r="O4591" s="918" t="str">
        <f t="shared" si="460"/>
        <v>Mar</v>
      </c>
      <c r="P4591" s="921">
        <f t="shared" si="461"/>
        <v>12</v>
      </c>
    </row>
    <row r="4592" spans="1:16" ht="15" hidden="1" customHeight="1">
      <c r="A4592" s="839">
        <v>68922108</v>
      </c>
      <c r="B4592" s="839">
        <v>2904</v>
      </c>
      <c r="C4592" s="906">
        <v>15669</v>
      </c>
      <c r="D4592" s="907">
        <v>46099</v>
      </c>
      <c r="E4592" s="839" t="s">
        <v>276</v>
      </c>
      <c r="F4592" s="839" t="s">
        <v>277</v>
      </c>
      <c r="G4592" s="916">
        <f>VLOOKUP($A4592,'Tech Litons'!$A:$I,8,FALSE)</f>
        <v>3.7839999999999996E-3</v>
      </c>
      <c r="H4592" s="917">
        <f>VLOOKUP($A4592,'Tech Litons'!$A:$I,9,FALSE)</f>
        <v>255</v>
      </c>
      <c r="I4592" s="917" t="str">
        <f>VLOOKUP($A4592,'Tech Litons'!$A:$C,3,0)</f>
        <v>TALENTI</v>
      </c>
      <c r="J4592" s="918" t="str">
        <f t="shared" si="456"/>
        <v>2904TALENTI</v>
      </c>
      <c r="K4592" s="919">
        <v>1</v>
      </c>
      <c r="L4592" s="920">
        <f t="shared" si="457"/>
        <v>15669</v>
      </c>
      <c r="M4592" s="920">
        <f t="shared" si="458"/>
        <v>59.291495999999995</v>
      </c>
      <c r="N4592" s="920">
        <f t="shared" si="459"/>
        <v>61.44705882352941</v>
      </c>
      <c r="O4592" s="918" t="str">
        <f t="shared" si="460"/>
        <v>Mar</v>
      </c>
      <c r="P4592" s="921">
        <f t="shared" si="461"/>
        <v>12</v>
      </c>
    </row>
    <row r="4593" spans="1:16" ht="15" hidden="1" customHeight="1">
      <c r="A4593" s="839">
        <v>68922108</v>
      </c>
      <c r="B4593" s="839">
        <v>2904</v>
      </c>
      <c r="C4593" s="906">
        <v>16550</v>
      </c>
      <c r="D4593" s="907">
        <v>46099</v>
      </c>
      <c r="E4593" s="839" t="s">
        <v>276</v>
      </c>
      <c r="F4593" s="839" t="s">
        <v>277</v>
      </c>
      <c r="G4593" s="916">
        <f>VLOOKUP($A4593,'Tech Litons'!$A:$I,8,FALSE)</f>
        <v>3.7839999999999996E-3</v>
      </c>
      <c r="H4593" s="917">
        <f>VLOOKUP($A4593,'Tech Litons'!$A:$I,9,FALSE)</f>
        <v>255</v>
      </c>
      <c r="I4593" s="917" t="str">
        <f>VLOOKUP($A4593,'Tech Litons'!$A:$C,3,0)</f>
        <v>TALENTI</v>
      </c>
      <c r="J4593" s="918" t="str">
        <f t="shared" si="456"/>
        <v>2904TALENTI</v>
      </c>
      <c r="K4593" s="919">
        <v>1</v>
      </c>
      <c r="L4593" s="920">
        <f t="shared" si="457"/>
        <v>16550</v>
      </c>
      <c r="M4593" s="920">
        <f t="shared" si="458"/>
        <v>62.625199999999992</v>
      </c>
      <c r="N4593" s="920">
        <f t="shared" si="459"/>
        <v>64.901960784313729</v>
      </c>
      <c r="O4593" s="918" t="str">
        <f t="shared" si="460"/>
        <v>Mar</v>
      </c>
      <c r="P4593" s="921">
        <f t="shared" si="461"/>
        <v>12</v>
      </c>
    </row>
    <row r="4594" spans="1:16" ht="15" hidden="1" customHeight="1">
      <c r="A4594" s="839">
        <v>68922108</v>
      </c>
      <c r="B4594" s="839">
        <v>2904</v>
      </c>
      <c r="C4594" s="906">
        <v>16815</v>
      </c>
      <c r="D4594" s="907">
        <v>46100</v>
      </c>
      <c r="E4594" s="839" t="s">
        <v>276</v>
      </c>
      <c r="F4594" s="839" t="s">
        <v>277</v>
      </c>
      <c r="G4594" s="916">
        <f>VLOOKUP($A4594,'Tech Litons'!$A:$I,8,FALSE)</f>
        <v>3.7839999999999996E-3</v>
      </c>
      <c r="H4594" s="917">
        <f>VLOOKUP($A4594,'Tech Litons'!$A:$I,9,FALSE)</f>
        <v>255</v>
      </c>
      <c r="I4594" s="917" t="str">
        <f>VLOOKUP($A4594,'Tech Litons'!$A:$C,3,0)</f>
        <v>TALENTI</v>
      </c>
      <c r="J4594" s="918" t="str">
        <f t="shared" ref="J4594:J4657" si="462">B4594&amp;I4594</f>
        <v>2904TALENTI</v>
      </c>
      <c r="K4594" s="919">
        <v>1</v>
      </c>
      <c r="L4594" s="920">
        <f t="shared" ref="L4594:L4657" si="463">C4594*$K4594</f>
        <v>16815</v>
      </c>
      <c r="M4594" s="920">
        <f t="shared" ref="M4594:M4657" si="464">L4594*G4594</f>
        <v>63.627959999999995</v>
      </c>
      <c r="N4594" s="920">
        <f t="shared" ref="N4594:N4657" si="465">L4594/H4594</f>
        <v>65.941176470588232</v>
      </c>
      <c r="O4594" s="918" t="str">
        <f t="shared" ref="O4594:O4657" si="466">TEXT(D4594,"MMM")</f>
        <v>Mar</v>
      </c>
      <c r="P4594" s="921">
        <f t="shared" ref="P4594:P4657" si="467">WEEKNUM(D4594)</f>
        <v>12</v>
      </c>
    </row>
    <row r="4595" spans="1:16" ht="15" hidden="1" customHeight="1">
      <c r="A4595" s="839">
        <v>68922108</v>
      </c>
      <c r="B4595" s="839">
        <v>2904</v>
      </c>
      <c r="C4595" s="906">
        <v>16608</v>
      </c>
      <c r="D4595" s="907">
        <v>46100</v>
      </c>
      <c r="E4595" s="839" t="s">
        <v>276</v>
      </c>
      <c r="F4595" s="839" t="s">
        <v>277</v>
      </c>
      <c r="G4595" s="916">
        <f>VLOOKUP($A4595,'Tech Litons'!$A:$I,8,FALSE)</f>
        <v>3.7839999999999996E-3</v>
      </c>
      <c r="H4595" s="917">
        <f>VLOOKUP($A4595,'Tech Litons'!$A:$I,9,FALSE)</f>
        <v>255</v>
      </c>
      <c r="I4595" s="917" t="str">
        <f>VLOOKUP($A4595,'Tech Litons'!$A:$C,3,0)</f>
        <v>TALENTI</v>
      </c>
      <c r="J4595" s="918" t="str">
        <f t="shared" si="462"/>
        <v>2904TALENTI</v>
      </c>
      <c r="K4595" s="919">
        <v>1</v>
      </c>
      <c r="L4595" s="920">
        <f t="shared" si="463"/>
        <v>16608</v>
      </c>
      <c r="M4595" s="920">
        <f t="shared" si="464"/>
        <v>62.844671999999996</v>
      </c>
      <c r="N4595" s="920">
        <f t="shared" si="465"/>
        <v>65.129411764705878</v>
      </c>
      <c r="O4595" s="918" t="str">
        <f t="shared" si="466"/>
        <v>Mar</v>
      </c>
      <c r="P4595" s="921">
        <f t="shared" si="467"/>
        <v>12</v>
      </c>
    </row>
    <row r="4596" spans="1:16" ht="15" hidden="1" customHeight="1">
      <c r="A4596" s="839">
        <v>68922108</v>
      </c>
      <c r="B4596" s="839">
        <v>2904</v>
      </c>
      <c r="C4596" s="906">
        <v>14685</v>
      </c>
      <c r="D4596" s="907">
        <v>46101</v>
      </c>
      <c r="E4596" s="839" t="s">
        <v>276</v>
      </c>
      <c r="F4596" s="839" t="s">
        <v>277</v>
      </c>
      <c r="G4596" s="916">
        <f>VLOOKUP($A4596,'Tech Litons'!$A:$I,8,FALSE)</f>
        <v>3.7839999999999996E-3</v>
      </c>
      <c r="H4596" s="917">
        <f>VLOOKUP($A4596,'Tech Litons'!$A:$I,9,FALSE)</f>
        <v>255</v>
      </c>
      <c r="I4596" s="917" t="str">
        <f>VLOOKUP($A4596,'Tech Litons'!$A:$C,3,0)</f>
        <v>TALENTI</v>
      </c>
      <c r="J4596" s="918" t="str">
        <f t="shared" si="462"/>
        <v>2904TALENTI</v>
      </c>
      <c r="K4596" s="919">
        <v>1</v>
      </c>
      <c r="L4596" s="920">
        <f t="shared" si="463"/>
        <v>14685</v>
      </c>
      <c r="M4596" s="920">
        <f t="shared" si="464"/>
        <v>55.568039999999996</v>
      </c>
      <c r="N4596" s="920">
        <f t="shared" si="465"/>
        <v>57.588235294117645</v>
      </c>
      <c r="O4596" s="918" t="str">
        <f t="shared" si="466"/>
        <v>Mar</v>
      </c>
      <c r="P4596" s="921">
        <f t="shared" si="467"/>
        <v>12</v>
      </c>
    </row>
    <row r="4597" spans="1:16" ht="15" hidden="1" customHeight="1">
      <c r="A4597" s="839">
        <v>68922108</v>
      </c>
      <c r="B4597" s="839">
        <v>2904</v>
      </c>
      <c r="C4597" s="906">
        <v>254</v>
      </c>
      <c r="D4597" s="907">
        <v>46102</v>
      </c>
      <c r="E4597" s="839" t="s">
        <v>276</v>
      </c>
      <c r="F4597" s="839" t="s">
        <v>277</v>
      </c>
      <c r="G4597" s="916">
        <f>VLOOKUP($A4597,'Tech Litons'!$A:$I,8,FALSE)</f>
        <v>3.7839999999999996E-3</v>
      </c>
      <c r="H4597" s="917">
        <f>VLOOKUP($A4597,'Tech Litons'!$A:$I,9,FALSE)</f>
        <v>255</v>
      </c>
      <c r="I4597" s="917" t="str">
        <f>VLOOKUP($A4597,'Tech Litons'!$A:$C,3,0)</f>
        <v>TALENTI</v>
      </c>
      <c r="J4597" s="918" t="str">
        <f t="shared" si="462"/>
        <v>2904TALENTI</v>
      </c>
      <c r="K4597" s="919">
        <v>1</v>
      </c>
      <c r="L4597" s="920">
        <f t="shared" si="463"/>
        <v>254</v>
      </c>
      <c r="M4597" s="920">
        <f t="shared" si="464"/>
        <v>0.96113599999999988</v>
      </c>
      <c r="N4597" s="920">
        <f t="shared" si="465"/>
        <v>0.99607843137254903</v>
      </c>
      <c r="O4597" s="918" t="str">
        <f t="shared" si="466"/>
        <v>Mar</v>
      </c>
      <c r="P4597" s="921">
        <f t="shared" si="467"/>
        <v>12</v>
      </c>
    </row>
    <row r="4598" spans="1:16" ht="15" hidden="1" customHeight="1">
      <c r="A4598" s="839">
        <v>68922108</v>
      </c>
      <c r="B4598" s="839">
        <v>2904</v>
      </c>
      <c r="C4598" s="906">
        <v>16410</v>
      </c>
      <c r="D4598" s="907">
        <v>46101</v>
      </c>
      <c r="E4598" s="839" t="s">
        <v>276</v>
      </c>
      <c r="F4598" s="839" t="s">
        <v>277</v>
      </c>
      <c r="G4598" s="916">
        <f>VLOOKUP($A4598,'Tech Litons'!$A:$I,8,FALSE)</f>
        <v>3.7839999999999996E-3</v>
      </c>
      <c r="H4598" s="917">
        <f>VLOOKUP($A4598,'Tech Litons'!$A:$I,9,FALSE)</f>
        <v>255</v>
      </c>
      <c r="I4598" s="917" t="str">
        <f>VLOOKUP($A4598,'Tech Litons'!$A:$C,3,0)</f>
        <v>TALENTI</v>
      </c>
      <c r="J4598" s="918" t="str">
        <f t="shared" si="462"/>
        <v>2904TALENTI</v>
      </c>
      <c r="K4598" s="919">
        <v>1</v>
      </c>
      <c r="L4598" s="920">
        <f t="shared" si="463"/>
        <v>16410</v>
      </c>
      <c r="M4598" s="920">
        <f t="shared" si="464"/>
        <v>62.095439999999996</v>
      </c>
      <c r="N4598" s="920">
        <f t="shared" si="465"/>
        <v>64.352941176470594</v>
      </c>
      <c r="O4598" s="918" t="str">
        <f t="shared" si="466"/>
        <v>Mar</v>
      </c>
      <c r="P4598" s="921">
        <f t="shared" si="467"/>
        <v>12</v>
      </c>
    </row>
    <row r="4599" spans="1:16" ht="15" hidden="1" customHeight="1">
      <c r="A4599" s="839">
        <v>68922108</v>
      </c>
      <c r="B4599" s="839">
        <v>2904</v>
      </c>
      <c r="C4599" s="906">
        <v>287</v>
      </c>
      <c r="D4599" s="907">
        <v>46102</v>
      </c>
      <c r="E4599" s="839" t="s">
        <v>276</v>
      </c>
      <c r="F4599" s="839" t="s">
        <v>277</v>
      </c>
      <c r="G4599" s="916">
        <f>VLOOKUP($A4599,'Tech Litons'!$A:$I,8,FALSE)</f>
        <v>3.7839999999999996E-3</v>
      </c>
      <c r="H4599" s="917">
        <f>VLOOKUP($A4599,'Tech Litons'!$A:$I,9,FALSE)</f>
        <v>255</v>
      </c>
      <c r="I4599" s="917" t="str">
        <f>VLOOKUP($A4599,'Tech Litons'!$A:$C,3,0)</f>
        <v>TALENTI</v>
      </c>
      <c r="J4599" s="918" t="str">
        <f t="shared" si="462"/>
        <v>2904TALENTI</v>
      </c>
      <c r="K4599" s="919">
        <v>1</v>
      </c>
      <c r="L4599" s="920">
        <f t="shared" si="463"/>
        <v>287</v>
      </c>
      <c r="M4599" s="920">
        <f t="shared" si="464"/>
        <v>1.0860079999999999</v>
      </c>
      <c r="N4599" s="920">
        <f t="shared" si="465"/>
        <v>1.1254901960784314</v>
      </c>
      <c r="O4599" s="918" t="str">
        <f t="shared" si="466"/>
        <v>Mar</v>
      </c>
      <c r="P4599" s="921">
        <f t="shared" si="467"/>
        <v>12</v>
      </c>
    </row>
    <row r="4600" spans="1:16" ht="15" hidden="1" customHeight="1">
      <c r="A4600" s="839">
        <v>68938272</v>
      </c>
      <c r="B4600" s="839">
        <v>2904</v>
      </c>
      <c r="C4600" s="906">
        <v>6244</v>
      </c>
      <c r="D4600" s="907">
        <v>46087</v>
      </c>
      <c r="E4600" s="839" t="s">
        <v>483</v>
      </c>
      <c r="F4600" s="839" t="s">
        <v>40</v>
      </c>
      <c r="G4600" s="916">
        <f>VLOOKUP($A4600,'Tech Litons'!$A:$I,8,FALSE)</f>
        <v>3.5999999999999999E-3</v>
      </c>
      <c r="H4600" s="917">
        <f>VLOOKUP($A4600,'Tech Litons'!$A:$I,9,FALSE)</f>
        <v>240</v>
      </c>
      <c r="I4600" s="917" t="str">
        <f>VLOOKUP($A4600,'Tech Litons'!$A:$C,3,0)</f>
        <v>Topped</v>
      </c>
      <c r="J4600" s="918" t="str">
        <f t="shared" si="462"/>
        <v>2904Topped</v>
      </c>
      <c r="K4600" s="919">
        <v>1</v>
      </c>
      <c r="L4600" s="920">
        <f t="shared" si="463"/>
        <v>6244</v>
      </c>
      <c r="M4600" s="920">
        <f t="shared" si="464"/>
        <v>22.478400000000001</v>
      </c>
      <c r="N4600" s="920">
        <f t="shared" si="465"/>
        <v>26.016666666666666</v>
      </c>
      <c r="O4600" s="918" t="str">
        <f t="shared" si="466"/>
        <v>Mar</v>
      </c>
      <c r="P4600" s="921">
        <f t="shared" si="467"/>
        <v>10</v>
      </c>
    </row>
    <row r="4601" spans="1:16" ht="15" hidden="1" customHeight="1">
      <c r="A4601" s="839">
        <v>68938272</v>
      </c>
      <c r="B4601" s="839">
        <v>2904</v>
      </c>
      <c r="C4601" s="906">
        <v>3720</v>
      </c>
      <c r="D4601" s="907">
        <v>46088</v>
      </c>
      <c r="E4601" s="839" t="s">
        <v>483</v>
      </c>
      <c r="F4601" s="839" t="s">
        <v>40</v>
      </c>
      <c r="G4601" s="916">
        <f>VLOOKUP($A4601,'Tech Litons'!$A:$I,8,FALSE)</f>
        <v>3.5999999999999999E-3</v>
      </c>
      <c r="H4601" s="917">
        <f>VLOOKUP($A4601,'Tech Litons'!$A:$I,9,FALSE)</f>
        <v>240</v>
      </c>
      <c r="I4601" s="917" t="str">
        <f>VLOOKUP($A4601,'Tech Litons'!$A:$C,3,0)</f>
        <v>Topped</v>
      </c>
      <c r="J4601" s="918" t="str">
        <f t="shared" si="462"/>
        <v>2904Topped</v>
      </c>
      <c r="K4601" s="919">
        <v>1</v>
      </c>
      <c r="L4601" s="920">
        <f t="shared" si="463"/>
        <v>3720</v>
      </c>
      <c r="M4601" s="920">
        <f t="shared" si="464"/>
        <v>13.391999999999999</v>
      </c>
      <c r="N4601" s="920">
        <f t="shared" si="465"/>
        <v>15.5</v>
      </c>
      <c r="O4601" s="918" t="str">
        <f t="shared" si="466"/>
        <v>Mar</v>
      </c>
      <c r="P4601" s="921">
        <f t="shared" si="467"/>
        <v>10</v>
      </c>
    </row>
    <row r="4602" spans="1:16" ht="15" hidden="1" customHeight="1">
      <c r="A4602" s="839">
        <v>68938272</v>
      </c>
      <c r="B4602" s="839">
        <v>2904</v>
      </c>
      <c r="C4602" s="906">
        <v>912</v>
      </c>
      <c r="D4602" s="907">
        <v>46086</v>
      </c>
      <c r="E4602" s="839" t="s">
        <v>483</v>
      </c>
      <c r="F4602" s="839" t="s">
        <v>40</v>
      </c>
      <c r="G4602" s="916">
        <f>VLOOKUP($A4602,'Tech Litons'!$A:$I,8,FALSE)</f>
        <v>3.5999999999999999E-3</v>
      </c>
      <c r="H4602" s="917">
        <f>VLOOKUP($A4602,'Tech Litons'!$A:$I,9,FALSE)</f>
        <v>240</v>
      </c>
      <c r="I4602" s="917" t="str">
        <f>VLOOKUP($A4602,'Tech Litons'!$A:$C,3,0)</f>
        <v>Topped</v>
      </c>
      <c r="J4602" s="918" t="str">
        <f t="shared" si="462"/>
        <v>2904Topped</v>
      </c>
      <c r="K4602" s="919">
        <v>1</v>
      </c>
      <c r="L4602" s="920">
        <f t="shared" si="463"/>
        <v>912</v>
      </c>
      <c r="M4602" s="920">
        <f t="shared" si="464"/>
        <v>3.2831999999999999</v>
      </c>
      <c r="N4602" s="920">
        <f t="shared" si="465"/>
        <v>3.8</v>
      </c>
      <c r="O4602" s="918" t="str">
        <f t="shared" si="466"/>
        <v>Mar</v>
      </c>
      <c r="P4602" s="921">
        <f t="shared" si="467"/>
        <v>10</v>
      </c>
    </row>
    <row r="4603" spans="1:16" ht="15" hidden="1" customHeight="1">
      <c r="A4603" s="839">
        <v>68938272</v>
      </c>
      <c r="B4603" s="839">
        <v>2904</v>
      </c>
      <c r="C4603" s="906">
        <v>6238</v>
      </c>
      <c r="D4603" s="907">
        <v>46087</v>
      </c>
      <c r="E4603" s="839" t="s">
        <v>483</v>
      </c>
      <c r="F4603" s="839" t="s">
        <v>40</v>
      </c>
      <c r="G4603" s="916">
        <f>VLOOKUP($A4603,'Tech Litons'!$A:$I,8,FALSE)</f>
        <v>3.5999999999999999E-3</v>
      </c>
      <c r="H4603" s="917">
        <f>VLOOKUP($A4603,'Tech Litons'!$A:$I,9,FALSE)</f>
        <v>240</v>
      </c>
      <c r="I4603" s="917" t="str">
        <f>VLOOKUP($A4603,'Tech Litons'!$A:$C,3,0)</f>
        <v>Topped</v>
      </c>
      <c r="J4603" s="918" t="str">
        <f t="shared" si="462"/>
        <v>2904Topped</v>
      </c>
      <c r="K4603" s="919">
        <v>1</v>
      </c>
      <c r="L4603" s="920">
        <f t="shared" si="463"/>
        <v>6238</v>
      </c>
      <c r="M4603" s="920">
        <f t="shared" si="464"/>
        <v>22.456799999999998</v>
      </c>
      <c r="N4603" s="920">
        <f t="shared" si="465"/>
        <v>25.991666666666667</v>
      </c>
      <c r="O4603" s="918" t="str">
        <f t="shared" si="466"/>
        <v>Mar</v>
      </c>
      <c r="P4603" s="921">
        <f t="shared" si="467"/>
        <v>10</v>
      </c>
    </row>
    <row r="4604" spans="1:16" ht="15" hidden="1" customHeight="1">
      <c r="A4604" s="839">
        <v>69554197</v>
      </c>
      <c r="B4604" s="839">
        <v>2904</v>
      </c>
      <c r="C4604" s="906">
        <v>4890</v>
      </c>
      <c r="D4604" s="907">
        <v>46104</v>
      </c>
      <c r="E4604" s="839" t="s">
        <v>244</v>
      </c>
      <c r="F4604" s="839" t="s">
        <v>40</v>
      </c>
      <c r="G4604" s="916">
        <f>VLOOKUP($A4604,'Tech Litons'!$A:$I,8,FALSE)</f>
        <v>3.7839999999999996E-3</v>
      </c>
      <c r="H4604" s="917">
        <f>VLOOKUP($A4604,'Tech Litons'!$A:$I,9,FALSE)</f>
        <v>240</v>
      </c>
      <c r="I4604" s="917" t="str">
        <f>VLOOKUP($A4604,'Tech Litons'!$A:$C,3,0)</f>
        <v>PTS</v>
      </c>
      <c r="J4604" s="918" t="str">
        <f t="shared" si="462"/>
        <v>2904PTS</v>
      </c>
      <c r="K4604" s="919">
        <v>1</v>
      </c>
      <c r="L4604" s="920">
        <f t="shared" si="463"/>
        <v>4890</v>
      </c>
      <c r="M4604" s="920">
        <f t="shared" si="464"/>
        <v>18.50376</v>
      </c>
      <c r="N4604" s="920">
        <f t="shared" si="465"/>
        <v>20.375</v>
      </c>
      <c r="O4604" s="918" t="str">
        <f t="shared" si="466"/>
        <v>Mar</v>
      </c>
      <c r="P4604" s="921">
        <f t="shared" si="467"/>
        <v>13</v>
      </c>
    </row>
    <row r="4605" spans="1:16" ht="15" hidden="1" customHeight="1">
      <c r="A4605" s="839">
        <v>69554197</v>
      </c>
      <c r="B4605" s="839">
        <v>2904</v>
      </c>
      <c r="C4605" s="906">
        <v>1218</v>
      </c>
      <c r="D4605" s="907">
        <v>46105</v>
      </c>
      <c r="E4605" s="839" t="s">
        <v>244</v>
      </c>
      <c r="F4605" s="839" t="s">
        <v>40</v>
      </c>
      <c r="G4605" s="916">
        <f>VLOOKUP($A4605,'Tech Litons'!$A:$I,8,FALSE)</f>
        <v>3.7839999999999996E-3</v>
      </c>
      <c r="H4605" s="917">
        <f>VLOOKUP($A4605,'Tech Litons'!$A:$I,9,FALSE)</f>
        <v>240</v>
      </c>
      <c r="I4605" s="917" t="str">
        <f>VLOOKUP($A4605,'Tech Litons'!$A:$C,3,0)</f>
        <v>PTS</v>
      </c>
      <c r="J4605" s="918" t="str">
        <f t="shared" si="462"/>
        <v>2904PTS</v>
      </c>
      <c r="K4605" s="919">
        <v>1</v>
      </c>
      <c r="L4605" s="920">
        <f t="shared" si="463"/>
        <v>1218</v>
      </c>
      <c r="M4605" s="920">
        <f t="shared" si="464"/>
        <v>4.6089119999999992</v>
      </c>
      <c r="N4605" s="920">
        <f t="shared" si="465"/>
        <v>5.0750000000000002</v>
      </c>
      <c r="O4605" s="918" t="str">
        <f t="shared" si="466"/>
        <v>Mar</v>
      </c>
      <c r="P4605" s="921">
        <f t="shared" si="467"/>
        <v>13</v>
      </c>
    </row>
    <row r="4606" spans="1:16" ht="15" hidden="1" customHeight="1">
      <c r="A4606" s="839">
        <v>69554197</v>
      </c>
      <c r="B4606" s="839">
        <v>2904</v>
      </c>
      <c r="C4606" s="906">
        <v>3224</v>
      </c>
      <c r="D4606" s="907">
        <v>46105</v>
      </c>
      <c r="E4606" s="839" t="s">
        <v>244</v>
      </c>
      <c r="F4606" s="839" t="s">
        <v>40</v>
      </c>
      <c r="G4606" s="916">
        <f>VLOOKUP($A4606,'Tech Litons'!$A:$I,8,FALSE)</f>
        <v>3.7839999999999996E-3</v>
      </c>
      <c r="H4606" s="917">
        <f>VLOOKUP($A4606,'Tech Litons'!$A:$I,9,FALSE)</f>
        <v>240</v>
      </c>
      <c r="I4606" s="917" t="str">
        <f>VLOOKUP($A4606,'Tech Litons'!$A:$C,3,0)</f>
        <v>PTS</v>
      </c>
      <c r="J4606" s="918" t="str">
        <f t="shared" si="462"/>
        <v>2904PTS</v>
      </c>
      <c r="K4606" s="919">
        <v>1</v>
      </c>
      <c r="L4606" s="920">
        <f t="shared" si="463"/>
        <v>3224</v>
      </c>
      <c r="M4606" s="920">
        <f t="shared" si="464"/>
        <v>12.199615999999999</v>
      </c>
      <c r="N4606" s="920">
        <f t="shared" si="465"/>
        <v>13.433333333333334</v>
      </c>
      <c r="O4606" s="918" t="str">
        <f t="shared" si="466"/>
        <v>Mar</v>
      </c>
      <c r="P4606" s="921">
        <f t="shared" si="467"/>
        <v>13</v>
      </c>
    </row>
    <row r="4607" spans="1:16" ht="15" hidden="1" customHeight="1">
      <c r="A4607" s="839">
        <v>69564623</v>
      </c>
      <c r="B4607" s="839">
        <v>2904</v>
      </c>
      <c r="C4607" s="906">
        <v>4576</v>
      </c>
      <c r="D4607" s="907">
        <v>46085</v>
      </c>
      <c r="E4607" s="839" t="s">
        <v>378</v>
      </c>
      <c r="F4607" s="839" t="s">
        <v>271</v>
      </c>
      <c r="G4607" s="916">
        <f>VLOOKUP($A4607,'Tech Litons'!$A:$I,8,FALSE)</f>
        <v>8.5199999999999998E-3</v>
      </c>
      <c r="H4607" s="917">
        <f>VLOOKUP($A4607,'Tech Litons'!$A:$I,9,FALSE)</f>
        <v>176</v>
      </c>
      <c r="I4607" s="917" t="str">
        <f>VLOOKUP($A4607,'Tech Litons'!$A:$C,3,0)</f>
        <v>48oz</v>
      </c>
      <c r="J4607" s="918" t="str">
        <f t="shared" si="462"/>
        <v>290448oz</v>
      </c>
      <c r="K4607" s="919">
        <v>1</v>
      </c>
      <c r="L4607" s="920">
        <f t="shared" si="463"/>
        <v>4576</v>
      </c>
      <c r="M4607" s="920">
        <f t="shared" si="464"/>
        <v>38.987519999999996</v>
      </c>
      <c r="N4607" s="920">
        <f t="shared" si="465"/>
        <v>26</v>
      </c>
      <c r="O4607" s="918" t="str">
        <f t="shared" si="466"/>
        <v>Mar</v>
      </c>
      <c r="P4607" s="921">
        <f t="shared" si="467"/>
        <v>10</v>
      </c>
    </row>
    <row r="4608" spans="1:16" ht="15" hidden="1" customHeight="1">
      <c r="A4608" s="839">
        <v>69564623</v>
      </c>
      <c r="B4608" s="839">
        <v>2904</v>
      </c>
      <c r="C4608" s="906">
        <v>7689</v>
      </c>
      <c r="D4608" s="907">
        <v>46086</v>
      </c>
      <c r="E4608" s="839" t="s">
        <v>378</v>
      </c>
      <c r="F4608" s="839" t="s">
        <v>271</v>
      </c>
      <c r="G4608" s="916">
        <f>VLOOKUP($A4608,'Tech Litons'!$A:$I,8,FALSE)</f>
        <v>8.5199999999999998E-3</v>
      </c>
      <c r="H4608" s="917">
        <f>VLOOKUP($A4608,'Tech Litons'!$A:$I,9,FALSE)</f>
        <v>176</v>
      </c>
      <c r="I4608" s="917" t="str">
        <f>VLOOKUP($A4608,'Tech Litons'!$A:$C,3,0)</f>
        <v>48oz</v>
      </c>
      <c r="J4608" s="918" t="str">
        <f t="shared" si="462"/>
        <v>290448oz</v>
      </c>
      <c r="K4608" s="919">
        <v>1</v>
      </c>
      <c r="L4608" s="920">
        <f t="shared" si="463"/>
        <v>7689</v>
      </c>
      <c r="M4608" s="920">
        <f t="shared" si="464"/>
        <v>65.510279999999995</v>
      </c>
      <c r="N4608" s="920">
        <f t="shared" si="465"/>
        <v>43.6875</v>
      </c>
      <c r="O4608" s="918" t="str">
        <f t="shared" si="466"/>
        <v>Mar</v>
      </c>
      <c r="P4608" s="921">
        <f t="shared" si="467"/>
        <v>10</v>
      </c>
    </row>
    <row r="4609" spans="1:16" ht="15" hidden="1" customHeight="1">
      <c r="A4609" s="839">
        <v>69564623</v>
      </c>
      <c r="B4609" s="839">
        <v>2904</v>
      </c>
      <c r="C4609" s="906">
        <v>6160</v>
      </c>
      <c r="D4609" s="907">
        <v>46086</v>
      </c>
      <c r="E4609" s="839" t="s">
        <v>378</v>
      </c>
      <c r="F4609" s="839" t="s">
        <v>271</v>
      </c>
      <c r="G4609" s="916">
        <f>VLOOKUP($A4609,'Tech Litons'!$A:$I,8,FALSE)</f>
        <v>8.5199999999999998E-3</v>
      </c>
      <c r="H4609" s="917">
        <f>VLOOKUP($A4609,'Tech Litons'!$A:$I,9,FALSE)</f>
        <v>176</v>
      </c>
      <c r="I4609" s="917" t="str">
        <f>VLOOKUP($A4609,'Tech Litons'!$A:$C,3,0)</f>
        <v>48oz</v>
      </c>
      <c r="J4609" s="918" t="str">
        <f t="shared" si="462"/>
        <v>290448oz</v>
      </c>
      <c r="K4609" s="919">
        <v>1</v>
      </c>
      <c r="L4609" s="920">
        <f t="shared" si="463"/>
        <v>6160</v>
      </c>
      <c r="M4609" s="920">
        <f t="shared" si="464"/>
        <v>52.483199999999997</v>
      </c>
      <c r="N4609" s="920">
        <f t="shared" si="465"/>
        <v>35</v>
      </c>
      <c r="O4609" s="918" t="str">
        <f t="shared" si="466"/>
        <v>Mar</v>
      </c>
      <c r="P4609" s="921">
        <f t="shared" si="467"/>
        <v>10</v>
      </c>
    </row>
    <row r="4610" spans="1:16" ht="15" hidden="1" customHeight="1">
      <c r="A4610" s="839">
        <v>69564623</v>
      </c>
      <c r="B4610" s="839">
        <v>2904</v>
      </c>
      <c r="C4610" s="906">
        <v>6160</v>
      </c>
      <c r="D4610" s="907">
        <v>46087</v>
      </c>
      <c r="E4610" s="839" t="s">
        <v>378</v>
      </c>
      <c r="F4610" s="839" t="s">
        <v>271</v>
      </c>
      <c r="G4610" s="916">
        <f>VLOOKUP($A4610,'Tech Litons'!$A:$I,8,FALSE)</f>
        <v>8.5199999999999998E-3</v>
      </c>
      <c r="H4610" s="917">
        <f>VLOOKUP($A4610,'Tech Litons'!$A:$I,9,FALSE)</f>
        <v>176</v>
      </c>
      <c r="I4610" s="917" t="str">
        <f>VLOOKUP($A4610,'Tech Litons'!$A:$C,3,0)</f>
        <v>48oz</v>
      </c>
      <c r="J4610" s="918" t="str">
        <f t="shared" si="462"/>
        <v>290448oz</v>
      </c>
      <c r="K4610" s="919">
        <v>1</v>
      </c>
      <c r="L4610" s="920">
        <f t="shared" si="463"/>
        <v>6160</v>
      </c>
      <c r="M4610" s="920">
        <f t="shared" si="464"/>
        <v>52.483199999999997</v>
      </c>
      <c r="N4610" s="920">
        <f t="shared" si="465"/>
        <v>35</v>
      </c>
      <c r="O4610" s="918" t="str">
        <f t="shared" si="466"/>
        <v>Mar</v>
      </c>
      <c r="P4610" s="921">
        <f t="shared" si="467"/>
        <v>10</v>
      </c>
    </row>
    <row r="4611" spans="1:16" ht="15" hidden="1" customHeight="1">
      <c r="A4611" s="839">
        <v>69564623</v>
      </c>
      <c r="B4611" s="839">
        <v>2904</v>
      </c>
      <c r="C4611" s="906">
        <v>7318</v>
      </c>
      <c r="D4611" s="907">
        <v>46087</v>
      </c>
      <c r="E4611" s="839" t="s">
        <v>378</v>
      </c>
      <c r="F4611" s="839" t="s">
        <v>271</v>
      </c>
      <c r="G4611" s="916">
        <f>VLOOKUP($A4611,'Tech Litons'!$A:$I,8,FALSE)</f>
        <v>8.5199999999999998E-3</v>
      </c>
      <c r="H4611" s="917">
        <f>VLOOKUP($A4611,'Tech Litons'!$A:$I,9,FALSE)</f>
        <v>176</v>
      </c>
      <c r="I4611" s="917" t="str">
        <f>VLOOKUP($A4611,'Tech Litons'!$A:$C,3,0)</f>
        <v>48oz</v>
      </c>
      <c r="J4611" s="918" t="str">
        <f t="shared" si="462"/>
        <v>290448oz</v>
      </c>
      <c r="K4611" s="919">
        <v>1</v>
      </c>
      <c r="L4611" s="920">
        <f t="shared" si="463"/>
        <v>7318</v>
      </c>
      <c r="M4611" s="920">
        <f t="shared" si="464"/>
        <v>62.349359999999997</v>
      </c>
      <c r="N4611" s="920">
        <f t="shared" si="465"/>
        <v>41.579545454545453</v>
      </c>
      <c r="O4611" s="918" t="str">
        <f t="shared" si="466"/>
        <v>Mar</v>
      </c>
      <c r="P4611" s="921">
        <f t="shared" si="467"/>
        <v>10</v>
      </c>
    </row>
    <row r="4612" spans="1:16" ht="15" hidden="1" customHeight="1">
      <c r="A4612" s="839">
        <v>69564623</v>
      </c>
      <c r="B4612" s="839">
        <v>2904</v>
      </c>
      <c r="C4612" s="906">
        <v>2612</v>
      </c>
      <c r="D4612" s="907">
        <v>46088</v>
      </c>
      <c r="E4612" s="839" t="s">
        <v>378</v>
      </c>
      <c r="F4612" s="839" t="s">
        <v>271</v>
      </c>
      <c r="G4612" s="916">
        <f>VLOOKUP($A4612,'Tech Litons'!$A:$I,8,FALSE)</f>
        <v>8.5199999999999998E-3</v>
      </c>
      <c r="H4612" s="917">
        <f>VLOOKUP($A4612,'Tech Litons'!$A:$I,9,FALSE)</f>
        <v>176</v>
      </c>
      <c r="I4612" s="917" t="str">
        <f>VLOOKUP($A4612,'Tech Litons'!$A:$C,3,0)</f>
        <v>48oz</v>
      </c>
      <c r="J4612" s="918" t="str">
        <f t="shared" si="462"/>
        <v>290448oz</v>
      </c>
      <c r="K4612" s="919">
        <v>1</v>
      </c>
      <c r="L4612" s="920">
        <f t="shared" si="463"/>
        <v>2612</v>
      </c>
      <c r="M4612" s="920">
        <f t="shared" si="464"/>
        <v>22.254239999999999</v>
      </c>
      <c r="N4612" s="920">
        <f t="shared" si="465"/>
        <v>14.840909090909092</v>
      </c>
      <c r="O4612" s="918" t="str">
        <f t="shared" si="466"/>
        <v>Mar</v>
      </c>
      <c r="P4612" s="921">
        <f t="shared" si="467"/>
        <v>10</v>
      </c>
    </row>
    <row r="4613" spans="1:16" ht="15" hidden="1" customHeight="1">
      <c r="A4613" s="839">
        <v>69568828</v>
      </c>
      <c r="B4613" s="839">
        <v>2904</v>
      </c>
      <c r="C4613" s="906">
        <v>704</v>
      </c>
      <c r="D4613" s="907">
        <v>46077</v>
      </c>
      <c r="E4613" s="839" t="s">
        <v>320</v>
      </c>
      <c r="F4613" s="839" t="s">
        <v>271</v>
      </c>
      <c r="G4613" s="916">
        <f>VLOOKUP($A4613,'Tech Litons'!$A:$I,8,FALSE)</f>
        <v>8.5199999999999998E-3</v>
      </c>
      <c r="H4613" s="917">
        <f>VLOOKUP($A4613,'Tech Litons'!$A:$I,9,FALSE)</f>
        <v>176</v>
      </c>
      <c r="I4613" s="917" t="str">
        <f>VLOOKUP($A4613,'Tech Litons'!$A:$C,3,0)</f>
        <v>48oz</v>
      </c>
      <c r="J4613" s="918" t="str">
        <f t="shared" si="462"/>
        <v>290448oz</v>
      </c>
      <c r="K4613" s="919">
        <v>1</v>
      </c>
      <c r="L4613" s="920">
        <f t="shared" si="463"/>
        <v>704</v>
      </c>
      <c r="M4613" s="920">
        <f t="shared" si="464"/>
        <v>5.9980799999999999</v>
      </c>
      <c r="N4613" s="920">
        <f t="shared" si="465"/>
        <v>4</v>
      </c>
      <c r="O4613" s="918" t="str">
        <f t="shared" si="466"/>
        <v>Feb</v>
      </c>
      <c r="P4613" s="921">
        <f t="shared" si="467"/>
        <v>9</v>
      </c>
    </row>
    <row r="4614" spans="1:16" ht="15" hidden="1" customHeight="1">
      <c r="A4614" s="839">
        <v>69568828</v>
      </c>
      <c r="B4614" s="839">
        <v>2904</v>
      </c>
      <c r="C4614" s="906">
        <v>-704</v>
      </c>
      <c r="D4614" s="907">
        <v>46078</v>
      </c>
      <c r="E4614" s="839" t="s">
        <v>320</v>
      </c>
      <c r="F4614" s="839" t="s">
        <v>271</v>
      </c>
      <c r="G4614" s="916">
        <f>VLOOKUP($A4614,'Tech Litons'!$A:$I,8,FALSE)</f>
        <v>8.5199999999999998E-3</v>
      </c>
      <c r="H4614" s="917">
        <f>VLOOKUP($A4614,'Tech Litons'!$A:$I,9,FALSE)</f>
        <v>176</v>
      </c>
      <c r="I4614" s="917" t="str">
        <f>VLOOKUP($A4614,'Tech Litons'!$A:$C,3,0)</f>
        <v>48oz</v>
      </c>
      <c r="J4614" s="918" t="str">
        <f t="shared" si="462"/>
        <v>290448oz</v>
      </c>
      <c r="K4614" s="919">
        <v>1</v>
      </c>
      <c r="L4614" s="920">
        <f t="shared" si="463"/>
        <v>-704</v>
      </c>
      <c r="M4614" s="920">
        <f t="shared" si="464"/>
        <v>-5.9980799999999999</v>
      </c>
      <c r="N4614" s="920">
        <f t="shared" si="465"/>
        <v>-4</v>
      </c>
      <c r="O4614" s="918" t="str">
        <f t="shared" si="466"/>
        <v>Feb</v>
      </c>
      <c r="P4614" s="921">
        <f t="shared" si="467"/>
        <v>9</v>
      </c>
    </row>
    <row r="4615" spans="1:16" ht="15" hidden="1" customHeight="1">
      <c r="A4615" s="839">
        <v>69568828</v>
      </c>
      <c r="B4615" s="839">
        <v>2904</v>
      </c>
      <c r="C4615" s="906">
        <v>1232</v>
      </c>
      <c r="D4615" s="907">
        <v>46077</v>
      </c>
      <c r="E4615" s="839" t="s">
        <v>320</v>
      </c>
      <c r="F4615" s="839" t="s">
        <v>271</v>
      </c>
      <c r="G4615" s="916">
        <f>VLOOKUP($A4615,'Tech Litons'!$A:$I,8,FALSE)</f>
        <v>8.5199999999999998E-3</v>
      </c>
      <c r="H4615" s="917">
        <f>VLOOKUP($A4615,'Tech Litons'!$A:$I,9,FALSE)</f>
        <v>176</v>
      </c>
      <c r="I4615" s="917" t="str">
        <f>VLOOKUP($A4615,'Tech Litons'!$A:$C,3,0)</f>
        <v>48oz</v>
      </c>
      <c r="J4615" s="918" t="str">
        <f t="shared" si="462"/>
        <v>290448oz</v>
      </c>
      <c r="K4615" s="919">
        <v>1</v>
      </c>
      <c r="L4615" s="920">
        <f t="shared" si="463"/>
        <v>1232</v>
      </c>
      <c r="M4615" s="920">
        <f t="shared" si="464"/>
        <v>10.496639999999999</v>
      </c>
      <c r="N4615" s="920">
        <f t="shared" si="465"/>
        <v>7</v>
      </c>
      <c r="O4615" s="918" t="str">
        <f t="shared" si="466"/>
        <v>Feb</v>
      </c>
      <c r="P4615" s="921">
        <f t="shared" si="467"/>
        <v>9</v>
      </c>
    </row>
    <row r="4616" spans="1:16" ht="15" hidden="1" customHeight="1">
      <c r="A4616" s="839">
        <v>69568828</v>
      </c>
      <c r="B4616" s="839">
        <v>2904</v>
      </c>
      <c r="C4616" s="906">
        <v>3401</v>
      </c>
      <c r="D4616" s="907">
        <v>46078</v>
      </c>
      <c r="E4616" s="839" t="s">
        <v>320</v>
      </c>
      <c r="F4616" s="839" t="s">
        <v>271</v>
      </c>
      <c r="G4616" s="916">
        <f>VLOOKUP($A4616,'Tech Litons'!$A:$I,8,FALSE)</f>
        <v>8.5199999999999998E-3</v>
      </c>
      <c r="H4616" s="917">
        <f>VLOOKUP($A4616,'Tech Litons'!$A:$I,9,FALSE)</f>
        <v>176</v>
      </c>
      <c r="I4616" s="917" t="str">
        <f>VLOOKUP($A4616,'Tech Litons'!$A:$C,3,0)</f>
        <v>48oz</v>
      </c>
      <c r="J4616" s="918" t="str">
        <f t="shared" si="462"/>
        <v>290448oz</v>
      </c>
      <c r="K4616" s="919">
        <v>1</v>
      </c>
      <c r="L4616" s="920">
        <f t="shared" si="463"/>
        <v>3401</v>
      </c>
      <c r="M4616" s="920">
        <f t="shared" si="464"/>
        <v>28.976520000000001</v>
      </c>
      <c r="N4616" s="920">
        <f t="shared" si="465"/>
        <v>19.323863636363637</v>
      </c>
      <c r="O4616" s="918" t="str">
        <f t="shared" si="466"/>
        <v>Feb</v>
      </c>
      <c r="P4616" s="921">
        <f t="shared" si="467"/>
        <v>9</v>
      </c>
    </row>
    <row r="4617" spans="1:16" ht="15" hidden="1" customHeight="1">
      <c r="A4617" s="839">
        <v>69568828</v>
      </c>
      <c r="B4617" s="839">
        <v>2904</v>
      </c>
      <c r="C4617" s="906">
        <v>5609</v>
      </c>
      <c r="D4617" s="907">
        <v>46078</v>
      </c>
      <c r="E4617" s="839" t="s">
        <v>320</v>
      </c>
      <c r="F4617" s="839" t="s">
        <v>271</v>
      </c>
      <c r="G4617" s="916">
        <f>VLOOKUP($A4617,'Tech Litons'!$A:$I,8,FALSE)</f>
        <v>8.5199999999999998E-3</v>
      </c>
      <c r="H4617" s="917">
        <f>VLOOKUP($A4617,'Tech Litons'!$A:$I,9,FALSE)</f>
        <v>176</v>
      </c>
      <c r="I4617" s="917" t="str">
        <f>VLOOKUP($A4617,'Tech Litons'!$A:$C,3,0)</f>
        <v>48oz</v>
      </c>
      <c r="J4617" s="918" t="str">
        <f t="shared" si="462"/>
        <v>290448oz</v>
      </c>
      <c r="K4617" s="919">
        <v>1</v>
      </c>
      <c r="L4617" s="920">
        <f t="shared" si="463"/>
        <v>5609</v>
      </c>
      <c r="M4617" s="920">
        <f t="shared" si="464"/>
        <v>47.788679999999999</v>
      </c>
      <c r="N4617" s="920">
        <f t="shared" si="465"/>
        <v>31.869318181818183</v>
      </c>
      <c r="O4617" s="918" t="str">
        <f t="shared" si="466"/>
        <v>Feb</v>
      </c>
      <c r="P4617" s="921">
        <f t="shared" si="467"/>
        <v>9</v>
      </c>
    </row>
    <row r="4618" spans="1:16" ht="15" hidden="1" customHeight="1">
      <c r="A4618" s="839">
        <v>69568828</v>
      </c>
      <c r="B4618" s="839">
        <v>2904</v>
      </c>
      <c r="C4618" s="906">
        <v>6821</v>
      </c>
      <c r="D4618" s="907">
        <v>46079</v>
      </c>
      <c r="E4618" s="839" t="s">
        <v>320</v>
      </c>
      <c r="F4618" s="839" t="s">
        <v>271</v>
      </c>
      <c r="G4618" s="916">
        <f>VLOOKUP($A4618,'Tech Litons'!$A:$I,8,FALSE)</f>
        <v>8.5199999999999998E-3</v>
      </c>
      <c r="H4618" s="917">
        <f>VLOOKUP($A4618,'Tech Litons'!$A:$I,9,FALSE)</f>
        <v>176</v>
      </c>
      <c r="I4618" s="917" t="str">
        <f>VLOOKUP($A4618,'Tech Litons'!$A:$C,3,0)</f>
        <v>48oz</v>
      </c>
      <c r="J4618" s="918" t="str">
        <f t="shared" si="462"/>
        <v>290448oz</v>
      </c>
      <c r="K4618" s="919">
        <v>1</v>
      </c>
      <c r="L4618" s="920">
        <f t="shared" si="463"/>
        <v>6821</v>
      </c>
      <c r="M4618" s="920">
        <f t="shared" si="464"/>
        <v>58.114919999999998</v>
      </c>
      <c r="N4618" s="920">
        <f t="shared" si="465"/>
        <v>38.75568181818182</v>
      </c>
      <c r="O4618" s="918" t="str">
        <f t="shared" si="466"/>
        <v>Feb</v>
      </c>
      <c r="P4618" s="921">
        <f t="shared" si="467"/>
        <v>9</v>
      </c>
    </row>
    <row r="4619" spans="1:16" ht="15" hidden="1" customHeight="1">
      <c r="A4619" s="839">
        <v>69568828</v>
      </c>
      <c r="B4619" s="839">
        <v>2904</v>
      </c>
      <c r="C4619" s="906">
        <v>7127</v>
      </c>
      <c r="D4619" s="907">
        <v>46079</v>
      </c>
      <c r="E4619" s="839" t="s">
        <v>320</v>
      </c>
      <c r="F4619" s="839" t="s">
        <v>271</v>
      </c>
      <c r="G4619" s="916">
        <f>VLOOKUP($A4619,'Tech Litons'!$A:$I,8,FALSE)</f>
        <v>8.5199999999999998E-3</v>
      </c>
      <c r="H4619" s="917">
        <f>VLOOKUP($A4619,'Tech Litons'!$A:$I,9,FALSE)</f>
        <v>176</v>
      </c>
      <c r="I4619" s="917" t="str">
        <f>VLOOKUP($A4619,'Tech Litons'!$A:$C,3,0)</f>
        <v>48oz</v>
      </c>
      <c r="J4619" s="918" t="str">
        <f t="shared" si="462"/>
        <v>290448oz</v>
      </c>
      <c r="K4619" s="919">
        <v>1</v>
      </c>
      <c r="L4619" s="920">
        <f t="shared" si="463"/>
        <v>7127</v>
      </c>
      <c r="M4619" s="920">
        <f t="shared" si="464"/>
        <v>60.72204</v>
      </c>
      <c r="N4619" s="920">
        <f t="shared" si="465"/>
        <v>40.49431818181818</v>
      </c>
      <c r="O4619" s="918" t="str">
        <f t="shared" si="466"/>
        <v>Feb</v>
      </c>
      <c r="P4619" s="921">
        <f t="shared" si="467"/>
        <v>9</v>
      </c>
    </row>
    <row r="4620" spans="1:16" ht="15" hidden="1" customHeight="1">
      <c r="A4620" s="839">
        <v>69568828</v>
      </c>
      <c r="B4620" s="839">
        <v>2904</v>
      </c>
      <c r="C4620" s="906">
        <v>5088</v>
      </c>
      <c r="D4620" s="907">
        <v>46080</v>
      </c>
      <c r="E4620" s="839" t="s">
        <v>320</v>
      </c>
      <c r="F4620" s="839" t="s">
        <v>271</v>
      </c>
      <c r="G4620" s="916">
        <f>VLOOKUP($A4620,'Tech Litons'!$A:$I,8,FALSE)</f>
        <v>8.5199999999999998E-3</v>
      </c>
      <c r="H4620" s="917">
        <f>VLOOKUP($A4620,'Tech Litons'!$A:$I,9,FALSE)</f>
        <v>176</v>
      </c>
      <c r="I4620" s="917" t="str">
        <f>VLOOKUP($A4620,'Tech Litons'!$A:$C,3,0)</f>
        <v>48oz</v>
      </c>
      <c r="J4620" s="918" t="str">
        <f t="shared" si="462"/>
        <v>290448oz</v>
      </c>
      <c r="K4620" s="919">
        <v>1</v>
      </c>
      <c r="L4620" s="920">
        <f t="shared" si="463"/>
        <v>5088</v>
      </c>
      <c r="M4620" s="920">
        <f t="shared" si="464"/>
        <v>43.349759999999996</v>
      </c>
      <c r="N4620" s="920">
        <f t="shared" si="465"/>
        <v>28.90909090909091</v>
      </c>
      <c r="O4620" s="918" t="str">
        <f t="shared" si="466"/>
        <v>Feb</v>
      </c>
      <c r="P4620" s="921">
        <f t="shared" si="467"/>
        <v>9</v>
      </c>
    </row>
    <row r="4621" spans="1:16" ht="15" hidden="1" customHeight="1">
      <c r="A4621" s="839">
        <v>69568828</v>
      </c>
      <c r="B4621" s="839">
        <v>2904</v>
      </c>
      <c r="C4621" s="906">
        <v>3630</v>
      </c>
      <c r="D4621" s="907">
        <v>46098</v>
      </c>
      <c r="E4621" s="839" t="s">
        <v>320</v>
      </c>
      <c r="F4621" s="839" t="s">
        <v>271</v>
      </c>
      <c r="G4621" s="916">
        <f>VLOOKUP($A4621,'Tech Litons'!$A:$I,8,FALSE)</f>
        <v>8.5199999999999998E-3</v>
      </c>
      <c r="H4621" s="917">
        <f>VLOOKUP($A4621,'Tech Litons'!$A:$I,9,FALSE)</f>
        <v>176</v>
      </c>
      <c r="I4621" s="917" t="str">
        <f>VLOOKUP($A4621,'Tech Litons'!$A:$C,3,0)</f>
        <v>48oz</v>
      </c>
      <c r="J4621" s="918" t="str">
        <f t="shared" si="462"/>
        <v>290448oz</v>
      </c>
      <c r="K4621" s="919">
        <v>1</v>
      </c>
      <c r="L4621" s="920">
        <f t="shared" si="463"/>
        <v>3630</v>
      </c>
      <c r="M4621" s="920">
        <f t="shared" si="464"/>
        <v>30.927599999999998</v>
      </c>
      <c r="N4621" s="920">
        <f t="shared" si="465"/>
        <v>20.625</v>
      </c>
      <c r="O4621" s="918" t="str">
        <f t="shared" si="466"/>
        <v>Mar</v>
      </c>
      <c r="P4621" s="921">
        <f t="shared" si="467"/>
        <v>12</v>
      </c>
    </row>
    <row r="4622" spans="1:16" ht="15" hidden="1" customHeight="1">
      <c r="A4622" s="839">
        <v>69568828</v>
      </c>
      <c r="B4622" s="839">
        <v>2904</v>
      </c>
      <c r="C4622" s="906">
        <v>6688</v>
      </c>
      <c r="D4622" s="907">
        <v>46098</v>
      </c>
      <c r="E4622" s="839" t="s">
        <v>320</v>
      </c>
      <c r="F4622" s="839" t="s">
        <v>271</v>
      </c>
      <c r="G4622" s="916">
        <f>VLOOKUP($A4622,'Tech Litons'!$A:$I,8,FALSE)</f>
        <v>8.5199999999999998E-3</v>
      </c>
      <c r="H4622" s="917">
        <f>VLOOKUP($A4622,'Tech Litons'!$A:$I,9,FALSE)</f>
        <v>176</v>
      </c>
      <c r="I4622" s="917" t="str">
        <f>VLOOKUP($A4622,'Tech Litons'!$A:$C,3,0)</f>
        <v>48oz</v>
      </c>
      <c r="J4622" s="918" t="str">
        <f t="shared" si="462"/>
        <v>290448oz</v>
      </c>
      <c r="K4622" s="919">
        <v>1</v>
      </c>
      <c r="L4622" s="920">
        <f t="shared" si="463"/>
        <v>6688</v>
      </c>
      <c r="M4622" s="920">
        <f t="shared" si="464"/>
        <v>56.981760000000001</v>
      </c>
      <c r="N4622" s="920">
        <f t="shared" si="465"/>
        <v>38</v>
      </c>
      <c r="O4622" s="918" t="str">
        <f t="shared" si="466"/>
        <v>Mar</v>
      </c>
      <c r="P4622" s="921">
        <f t="shared" si="467"/>
        <v>12</v>
      </c>
    </row>
    <row r="4623" spans="1:16" ht="15" hidden="1" customHeight="1">
      <c r="A4623" s="839">
        <v>69568828</v>
      </c>
      <c r="B4623" s="839">
        <v>2904</v>
      </c>
      <c r="C4623" s="906">
        <v>4677</v>
      </c>
      <c r="D4623" s="907">
        <v>46099</v>
      </c>
      <c r="E4623" s="839" t="s">
        <v>320</v>
      </c>
      <c r="F4623" s="839" t="s">
        <v>271</v>
      </c>
      <c r="G4623" s="916">
        <f>VLOOKUP($A4623,'Tech Litons'!$A:$I,8,FALSE)</f>
        <v>8.5199999999999998E-3</v>
      </c>
      <c r="H4623" s="917">
        <f>VLOOKUP($A4623,'Tech Litons'!$A:$I,9,FALSE)</f>
        <v>176</v>
      </c>
      <c r="I4623" s="917" t="str">
        <f>VLOOKUP($A4623,'Tech Litons'!$A:$C,3,0)</f>
        <v>48oz</v>
      </c>
      <c r="J4623" s="918" t="str">
        <f t="shared" si="462"/>
        <v>290448oz</v>
      </c>
      <c r="K4623" s="919">
        <v>1</v>
      </c>
      <c r="L4623" s="920">
        <f t="shared" si="463"/>
        <v>4677</v>
      </c>
      <c r="M4623" s="920">
        <f t="shared" si="464"/>
        <v>39.848039999999997</v>
      </c>
      <c r="N4623" s="920">
        <f t="shared" si="465"/>
        <v>26.573863636363637</v>
      </c>
      <c r="O4623" s="918" t="str">
        <f t="shared" si="466"/>
        <v>Mar</v>
      </c>
      <c r="P4623" s="921">
        <f t="shared" si="467"/>
        <v>12</v>
      </c>
    </row>
    <row r="4624" spans="1:16" ht="15" hidden="1" customHeight="1">
      <c r="A4624" s="839">
        <v>69568828</v>
      </c>
      <c r="B4624" s="839">
        <v>2904</v>
      </c>
      <c r="C4624" s="906">
        <v>513</v>
      </c>
      <c r="D4624" s="907">
        <v>46099</v>
      </c>
      <c r="E4624" s="839" t="s">
        <v>320</v>
      </c>
      <c r="F4624" s="839" t="s">
        <v>271</v>
      </c>
      <c r="G4624" s="916">
        <f>VLOOKUP($A4624,'Tech Litons'!$A:$I,8,FALSE)</f>
        <v>8.5199999999999998E-3</v>
      </c>
      <c r="H4624" s="917">
        <f>VLOOKUP($A4624,'Tech Litons'!$A:$I,9,FALSE)</f>
        <v>176</v>
      </c>
      <c r="I4624" s="917" t="str">
        <f>VLOOKUP($A4624,'Tech Litons'!$A:$C,3,0)</f>
        <v>48oz</v>
      </c>
      <c r="J4624" s="918" t="str">
        <f t="shared" si="462"/>
        <v>290448oz</v>
      </c>
      <c r="K4624" s="919">
        <v>1</v>
      </c>
      <c r="L4624" s="920">
        <f t="shared" si="463"/>
        <v>513</v>
      </c>
      <c r="M4624" s="920">
        <f t="shared" si="464"/>
        <v>4.3707599999999998</v>
      </c>
      <c r="N4624" s="920">
        <f t="shared" si="465"/>
        <v>2.9147727272727271</v>
      </c>
      <c r="O4624" s="918" t="str">
        <f t="shared" si="466"/>
        <v>Mar</v>
      </c>
      <c r="P4624" s="921">
        <f t="shared" si="467"/>
        <v>12</v>
      </c>
    </row>
    <row r="4625" spans="1:16" ht="15" hidden="1" customHeight="1">
      <c r="A4625" s="839">
        <v>69568828</v>
      </c>
      <c r="B4625" s="839">
        <v>2904</v>
      </c>
      <c r="C4625" s="906">
        <v>1605</v>
      </c>
      <c r="D4625" s="907">
        <v>46100</v>
      </c>
      <c r="E4625" s="839" t="s">
        <v>320</v>
      </c>
      <c r="F4625" s="839" t="s">
        <v>271</v>
      </c>
      <c r="G4625" s="916">
        <f>VLOOKUP($A4625,'Tech Litons'!$A:$I,8,FALSE)</f>
        <v>8.5199999999999998E-3</v>
      </c>
      <c r="H4625" s="917">
        <f>VLOOKUP($A4625,'Tech Litons'!$A:$I,9,FALSE)</f>
        <v>176</v>
      </c>
      <c r="I4625" s="917" t="str">
        <f>VLOOKUP($A4625,'Tech Litons'!$A:$C,3,0)</f>
        <v>48oz</v>
      </c>
      <c r="J4625" s="918" t="str">
        <f t="shared" si="462"/>
        <v>290448oz</v>
      </c>
      <c r="K4625" s="919">
        <v>1</v>
      </c>
      <c r="L4625" s="920">
        <f t="shared" si="463"/>
        <v>1605</v>
      </c>
      <c r="M4625" s="920">
        <f t="shared" si="464"/>
        <v>13.6746</v>
      </c>
      <c r="N4625" s="920">
        <f t="shared" si="465"/>
        <v>9.1193181818181817</v>
      </c>
      <c r="O4625" s="918" t="str">
        <f t="shared" si="466"/>
        <v>Mar</v>
      </c>
      <c r="P4625" s="921">
        <f t="shared" si="467"/>
        <v>12</v>
      </c>
    </row>
    <row r="4626" spans="1:16" ht="15" hidden="1" customHeight="1">
      <c r="A4626" s="839">
        <v>69568828</v>
      </c>
      <c r="B4626" s="839">
        <v>2904</v>
      </c>
      <c r="C4626" s="906">
        <v>7040</v>
      </c>
      <c r="D4626" s="907">
        <v>46100</v>
      </c>
      <c r="E4626" s="839" t="s">
        <v>320</v>
      </c>
      <c r="F4626" s="839" t="s">
        <v>271</v>
      </c>
      <c r="G4626" s="916">
        <f>VLOOKUP($A4626,'Tech Litons'!$A:$I,8,FALSE)</f>
        <v>8.5199999999999998E-3</v>
      </c>
      <c r="H4626" s="917">
        <f>VLOOKUP($A4626,'Tech Litons'!$A:$I,9,FALSE)</f>
        <v>176</v>
      </c>
      <c r="I4626" s="917" t="str">
        <f>VLOOKUP($A4626,'Tech Litons'!$A:$C,3,0)</f>
        <v>48oz</v>
      </c>
      <c r="J4626" s="918" t="str">
        <f t="shared" si="462"/>
        <v>290448oz</v>
      </c>
      <c r="K4626" s="919">
        <v>1</v>
      </c>
      <c r="L4626" s="920">
        <f t="shared" si="463"/>
        <v>7040</v>
      </c>
      <c r="M4626" s="920">
        <f t="shared" si="464"/>
        <v>59.980800000000002</v>
      </c>
      <c r="N4626" s="920">
        <f t="shared" si="465"/>
        <v>40</v>
      </c>
      <c r="O4626" s="918" t="str">
        <f t="shared" si="466"/>
        <v>Mar</v>
      </c>
      <c r="P4626" s="921">
        <f t="shared" si="467"/>
        <v>12</v>
      </c>
    </row>
    <row r="4627" spans="1:16" ht="15" hidden="1" customHeight="1">
      <c r="A4627" s="839">
        <v>69568828</v>
      </c>
      <c r="B4627" s="839">
        <v>2904</v>
      </c>
      <c r="C4627" s="906">
        <v>6050</v>
      </c>
      <c r="D4627" s="907">
        <v>46101</v>
      </c>
      <c r="E4627" s="839" t="s">
        <v>320</v>
      </c>
      <c r="F4627" s="839" t="s">
        <v>271</v>
      </c>
      <c r="G4627" s="916">
        <f>VLOOKUP($A4627,'Tech Litons'!$A:$I,8,FALSE)</f>
        <v>8.5199999999999998E-3</v>
      </c>
      <c r="H4627" s="917">
        <f>VLOOKUP($A4627,'Tech Litons'!$A:$I,9,FALSE)</f>
        <v>176</v>
      </c>
      <c r="I4627" s="917" t="str">
        <f>VLOOKUP($A4627,'Tech Litons'!$A:$C,3,0)</f>
        <v>48oz</v>
      </c>
      <c r="J4627" s="918" t="str">
        <f t="shared" si="462"/>
        <v>290448oz</v>
      </c>
      <c r="K4627" s="919">
        <v>1</v>
      </c>
      <c r="L4627" s="920">
        <f t="shared" si="463"/>
        <v>6050</v>
      </c>
      <c r="M4627" s="920">
        <f t="shared" si="464"/>
        <v>51.545999999999999</v>
      </c>
      <c r="N4627" s="920">
        <f t="shared" si="465"/>
        <v>34.375</v>
      </c>
      <c r="O4627" s="918" t="str">
        <f t="shared" si="466"/>
        <v>Mar</v>
      </c>
      <c r="P4627" s="921">
        <f t="shared" si="467"/>
        <v>12</v>
      </c>
    </row>
    <row r="4628" spans="1:16" ht="15" hidden="1" customHeight="1">
      <c r="A4628" s="839">
        <v>69568828</v>
      </c>
      <c r="B4628" s="839">
        <v>2904</v>
      </c>
      <c r="C4628" s="906">
        <v>5632</v>
      </c>
      <c r="D4628" s="907">
        <v>46080</v>
      </c>
      <c r="E4628" s="839" t="s">
        <v>320</v>
      </c>
      <c r="F4628" s="839" t="s">
        <v>271</v>
      </c>
      <c r="G4628" s="916">
        <f>VLOOKUP($A4628,'Tech Litons'!$A:$I,8,FALSE)</f>
        <v>8.5199999999999998E-3</v>
      </c>
      <c r="H4628" s="917">
        <f>VLOOKUP($A4628,'Tech Litons'!$A:$I,9,FALSE)</f>
        <v>176</v>
      </c>
      <c r="I4628" s="917" t="str">
        <f>VLOOKUP($A4628,'Tech Litons'!$A:$C,3,0)</f>
        <v>48oz</v>
      </c>
      <c r="J4628" s="918" t="str">
        <f t="shared" si="462"/>
        <v>290448oz</v>
      </c>
      <c r="K4628" s="919">
        <v>1</v>
      </c>
      <c r="L4628" s="920">
        <f t="shared" si="463"/>
        <v>5632</v>
      </c>
      <c r="M4628" s="920">
        <f t="shared" si="464"/>
        <v>47.984639999999999</v>
      </c>
      <c r="N4628" s="920">
        <f t="shared" si="465"/>
        <v>32</v>
      </c>
      <c r="O4628" s="918" t="str">
        <f t="shared" si="466"/>
        <v>Feb</v>
      </c>
      <c r="P4628" s="921">
        <f t="shared" si="467"/>
        <v>9</v>
      </c>
    </row>
    <row r="4629" spans="1:16" ht="15" hidden="1" customHeight="1">
      <c r="A4629" s="839">
        <v>69568828</v>
      </c>
      <c r="B4629" s="839">
        <v>2904</v>
      </c>
      <c r="C4629" s="906">
        <v>6227</v>
      </c>
      <c r="D4629" s="907">
        <v>46081</v>
      </c>
      <c r="E4629" s="839" t="s">
        <v>320</v>
      </c>
      <c r="F4629" s="839" t="s">
        <v>271</v>
      </c>
      <c r="G4629" s="916">
        <f>VLOOKUP($A4629,'Tech Litons'!$A:$I,8,FALSE)</f>
        <v>8.5199999999999998E-3</v>
      </c>
      <c r="H4629" s="917">
        <f>VLOOKUP($A4629,'Tech Litons'!$A:$I,9,FALSE)</f>
        <v>176</v>
      </c>
      <c r="I4629" s="917" t="str">
        <f>VLOOKUP($A4629,'Tech Litons'!$A:$C,3,0)</f>
        <v>48oz</v>
      </c>
      <c r="J4629" s="918" t="str">
        <f t="shared" si="462"/>
        <v>290448oz</v>
      </c>
      <c r="K4629" s="919">
        <v>1</v>
      </c>
      <c r="L4629" s="920">
        <f t="shared" si="463"/>
        <v>6227</v>
      </c>
      <c r="M4629" s="920">
        <f t="shared" si="464"/>
        <v>53.054040000000001</v>
      </c>
      <c r="N4629" s="920">
        <f t="shared" si="465"/>
        <v>35.38068181818182</v>
      </c>
      <c r="O4629" s="918" t="str">
        <f t="shared" si="466"/>
        <v>Feb</v>
      </c>
      <c r="P4629" s="921">
        <f t="shared" si="467"/>
        <v>9</v>
      </c>
    </row>
    <row r="4630" spans="1:16" ht="15" hidden="1" customHeight="1">
      <c r="A4630" s="839">
        <v>69568828</v>
      </c>
      <c r="B4630" s="839">
        <v>2904</v>
      </c>
      <c r="C4630" s="906">
        <v>-176</v>
      </c>
      <c r="D4630" s="907">
        <v>46091</v>
      </c>
      <c r="E4630" s="839" t="s">
        <v>320</v>
      </c>
      <c r="F4630" s="839" t="s">
        <v>271</v>
      </c>
      <c r="G4630" s="916">
        <f>VLOOKUP($A4630,'Tech Litons'!$A:$I,8,FALSE)</f>
        <v>8.5199999999999998E-3</v>
      </c>
      <c r="H4630" s="917">
        <f>VLOOKUP($A4630,'Tech Litons'!$A:$I,9,FALSE)</f>
        <v>176</v>
      </c>
      <c r="I4630" s="917" t="str">
        <f>VLOOKUP($A4630,'Tech Litons'!$A:$C,3,0)</f>
        <v>48oz</v>
      </c>
      <c r="J4630" s="918" t="str">
        <f t="shared" si="462"/>
        <v>290448oz</v>
      </c>
      <c r="K4630" s="919">
        <v>1</v>
      </c>
      <c r="L4630" s="920">
        <f t="shared" si="463"/>
        <v>-176</v>
      </c>
      <c r="M4630" s="920">
        <f t="shared" si="464"/>
        <v>-1.49952</v>
      </c>
      <c r="N4630" s="920">
        <f t="shared" si="465"/>
        <v>-1</v>
      </c>
      <c r="O4630" s="918" t="str">
        <f t="shared" si="466"/>
        <v>Mar</v>
      </c>
      <c r="P4630" s="921">
        <f t="shared" si="467"/>
        <v>11</v>
      </c>
    </row>
    <row r="4631" spans="1:16" ht="15" hidden="1" customHeight="1">
      <c r="A4631" s="839">
        <v>69568828</v>
      </c>
      <c r="B4631" s="839">
        <v>2904</v>
      </c>
      <c r="C4631" s="906">
        <v>3652</v>
      </c>
      <c r="D4631" s="907">
        <v>46081</v>
      </c>
      <c r="E4631" s="839" t="s">
        <v>320</v>
      </c>
      <c r="F4631" s="839" t="s">
        <v>271</v>
      </c>
      <c r="G4631" s="916">
        <f>VLOOKUP($A4631,'Tech Litons'!$A:$I,8,FALSE)</f>
        <v>8.5199999999999998E-3</v>
      </c>
      <c r="H4631" s="917">
        <f>VLOOKUP($A4631,'Tech Litons'!$A:$I,9,FALSE)</f>
        <v>176</v>
      </c>
      <c r="I4631" s="917" t="str">
        <f>VLOOKUP($A4631,'Tech Litons'!$A:$C,3,0)</f>
        <v>48oz</v>
      </c>
      <c r="J4631" s="918" t="str">
        <f t="shared" si="462"/>
        <v>290448oz</v>
      </c>
      <c r="K4631" s="919">
        <v>1</v>
      </c>
      <c r="L4631" s="920">
        <f t="shared" si="463"/>
        <v>3652</v>
      </c>
      <c r="M4631" s="920">
        <f t="shared" si="464"/>
        <v>31.11504</v>
      </c>
      <c r="N4631" s="920">
        <f t="shared" si="465"/>
        <v>20.75</v>
      </c>
      <c r="O4631" s="918" t="str">
        <f t="shared" si="466"/>
        <v>Feb</v>
      </c>
      <c r="P4631" s="921">
        <f t="shared" si="467"/>
        <v>9</v>
      </c>
    </row>
    <row r="4632" spans="1:16" ht="15" hidden="1" customHeight="1">
      <c r="A4632" s="839">
        <v>69568828</v>
      </c>
      <c r="B4632" s="839">
        <v>2904</v>
      </c>
      <c r="C4632" s="906">
        <v>26</v>
      </c>
      <c r="D4632" s="907">
        <v>46082</v>
      </c>
      <c r="E4632" s="839" t="s">
        <v>320</v>
      </c>
      <c r="F4632" s="839" t="s">
        <v>271</v>
      </c>
      <c r="G4632" s="916">
        <f>VLOOKUP($A4632,'Tech Litons'!$A:$I,8,FALSE)</f>
        <v>8.5199999999999998E-3</v>
      </c>
      <c r="H4632" s="917">
        <f>VLOOKUP($A4632,'Tech Litons'!$A:$I,9,FALSE)</f>
        <v>176</v>
      </c>
      <c r="I4632" s="917" t="str">
        <f>VLOOKUP($A4632,'Tech Litons'!$A:$C,3,0)</f>
        <v>48oz</v>
      </c>
      <c r="J4632" s="918" t="str">
        <f t="shared" si="462"/>
        <v>290448oz</v>
      </c>
      <c r="K4632" s="919">
        <v>1</v>
      </c>
      <c r="L4632" s="920">
        <f t="shared" si="463"/>
        <v>26</v>
      </c>
      <c r="M4632" s="920">
        <f t="shared" si="464"/>
        <v>0.22151999999999999</v>
      </c>
      <c r="N4632" s="920">
        <f t="shared" si="465"/>
        <v>0.14772727272727273</v>
      </c>
      <c r="O4632" s="918" t="str">
        <f t="shared" si="466"/>
        <v>Mar</v>
      </c>
      <c r="P4632" s="921">
        <f t="shared" si="467"/>
        <v>10</v>
      </c>
    </row>
    <row r="4633" spans="1:16" ht="15" hidden="1" customHeight="1">
      <c r="A4633" s="839">
        <v>69568828</v>
      </c>
      <c r="B4633" s="839">
        <v>2904</v>
      </c>
      <c r="C4633" s="906">
        <v>7392</v>
      </c>
      <c r="D4633" s="907">
        <v>46101</v>
      </c>
      <c r="E4633" s="839" t="s">
        <v>320</v>
      </c>
      <c r="F4633" s="839" t="s">
        <v>271</v>
      </c>
      <c r="G4633" s="916">
        <f>VLOOKUP($A4633,'Tech Litons'!$A:$I,8,FALSE)</f>
        <v>8.5199999999999998E-3</v>
      </c>
      <c r="H4633" s="917">
        <f>VLOOKUP($A4633,'Tech Litons'!$A:$I,9,FALSE)</f>
        <v>176</v>
      </c>
      <c r="I4633" s="917" t="str">
        <f>VLOOKUP($A4633,'Tech Litons'!$A:$C,3,0)</f>
        <v>48oz</v>
      </c>
      <c r="J4633" s="918" t="str">
        <f t="shared" si="462"/>
        <v>290448oz</v>
      </c>
      <c r="K4633" s="919">
        <v>1</v>
      </c>
      <c r="L4633" s="920">
        <f t="shared" si="463"/>
        <v>7392</v>
      </c>
      <c r="M4633" s="920">
        <f t="shared" si="464"/>
        <v>62.979839999999996</v>
      </c>
      <c r="N4633" s="920">
        <f t="shared" si="465"/>
        <v>42</v>
      </c>
      <c r="O4633" s="918" t="str">
        <f t="shared" si="466"/>
        <v>Mar</v>
      </c>
      <c r="P4633" s="921">
        <f t="shared" si="467"/>
        <v>12</v>
      </c>
    </row>
    <row r="4634" spans="1:16" ht="15" hidden="1" customHeight="1">
      <c r="A4634" s="839">
        <v>69568828</v>
      </c>
      <c r="B4634" s="839">
        <v>2904</v>
      </c>
      <c r="C4634" s="906">
        <v>6688</v>
      </c>
      <c r="D4634" s="907">
        <v>46102</v>
      </c>
      <c r="E4634" s="839" t="s">
        <v>320</v>
      </c>
      <c r="F4634" s="839" t="s">
        <v>271</v>
      </c>
      <c r="G4634" s="916">
        <f>VLOOKUP($A4634,'Tech Litons'!$A:$I,8,FALSE)</f>
        <v>8.5199999999999998E-3</v>
      </c>
      <c r="H4634" s="917">
        <f>VLOOKUP($A4634,'Tech Litons'!$A:$I,9,FALSE)</f>
        <v>176</v>
      </c>
      <c r="I4634" s="917" t="str">
        <f>VLOOKUP($A4634,'Tech Litons'!$A:$C,3,0)</f>
        <v>48oz</v>
      </c>
      <c r="J4634" s="918" t="str">
        <f t="shared" si="462"/>
        <v>290448oz</v>
      </c>
      <c r="K4634" s="919">
        <v>1</v>
      </c>
      <c r="L4634" s="920">
        <f t="shared" si="463"/>
        <v>6688</v>
      </c>
      <c r="M4634" s="920">
        <f t="shared" si="464"/>
        <v>56.981760000000001</v>
      </c>
      <c r="N4634" s="920">
        <f t="shared" si="465"/>
        <v>38</v>
      </c>
      <c r="O4634" s="918" t="str">
        <f t="shared" si="466"/>
        <v>Mar</v>
      </c>
      <c r="P4634" s="921">
        <f t="shared" si="467"/>
        <v>12</v>
      </c>
    </row>
    <row r="4635" spans="1:16" ht="15" hidden="1" customHeight="1">
      <c r="A4635" s="839">
        <v>69568828</v>
      </c>
      <c r="B4635" s="839">
        <v>2904</v>
      </c>
      <c r="C4635" s="906">
        <v>2464</v>
      </c>
      <c r="D4635" s="907">
        <v>46102</v>
      </c>
      <c r="E4635" s="839" t="s">
        <v>320</v>
      </c>
      <c r="F4635" s="839" t="s">
        <v>271</v>
      </c>
      <c r="G4635" s="916">
        <f>VLOOKUP($A4635,'Tech Litons'!$A:$I,8,FALSE)</f>
        <v>8.5199999999999998E-3</v>
      </c>
      <c r="H4635" s="917">
        <f>VLOOKUP($A4635,'Tech Litons'!$A:$I,9,FALSE)</f>
        <v>176</v>
      </c>
      <c r="I4635" s="917" t="str">
        <f>VLOOKUP($A4635,'Tech Litons'!$A:$C,3,0)</f>
        <v>48oz</v>
      </c>
      <c r="J4635" s="918" t="str">
        <f t="shared" si="462"/>
        <v>290448oz</v>
      </c>
      <c r="K4635" s="919">
        <v>1</v>
      </c>
      <c r="L4635" s="920">
        <f t="shared" si="463"/>
        <v>2464</v>
      </c>
      <c r="M4635" s="920">
        <f t="shared" si="464"/>
        <v>20.993279999999999</v>
      </c>
      <c r="N4635" s="920">
        <f t="shared" si="465"/>
        <v>14</v>
      </c>
      <c r="O4635" s="918" t="str">
        <f t="shared" si="466"/>
        <v>Mar</v>
      </c>
      <c r="P4635" s="921">
        <f t="shared" si="467"/>
        <v>12</v>
      </c>
    </row>
    <row r="4636" spans="1:16" ht="15" hidden="1" customHeight="1">
      <c r="A4636" s="839">
        <v>69568829</v>
      </c>
      <c r="B4636" s="839">
        <v>2904</v>
      </c>
      <c r="C4636" s="906">
        <v>5632</v>
      </c>
      <c r="D4636" s="907">
        <v>46079</v>
      </c>
      <c r="E4636" s="839" t="s">
        <v>487</v>
      </c>
      <c r="F4636" s="839" t="s">
        <v>269</v>
      </c>
      <c r="G4636" s="916">
        <f>VLOOKUP($A4636,'Tech Litons'!$A:$I,8,FALSE)</f>
        <v>8.5199999999999998E-3</v>
      </c>
      <c r="H4636" s="917">
        <f>VLOOKUP($A4636,'Tech Litons'!$A:$I,9,FALSE)</f>
        <v>176</v>
      </c>
      <c r="I4636" s="917" t="str">
        <f>VLOOKUP($A4636,'Tech Litons'!$A:$C,3,0)</f>
        <v>48oz</v>
      </c>
      <c r="J4636" s="918" t="str">
        <f t="shared" si="462"/>
        <v>290448oz</v>
      </c>
      <c r="K4636" s="919">
        <v>1</v>
      </c>
      <c r="L4636" s="920">
        <f t="shared" si="463"/>
        <v>5632</v>
      </c>
      <c r="M4636" s="920">
        <f t="shared" si="464"/>
        <v>47.984639999999999</v>
      </c>
      <c r="N4636" s="920">
        <f t="shared" si="465"/>
        <v>32</v>
      </c>
      <c r="O4636" s="918" t="str">
        <f t="shared" si="466"/>
        <v>Feb</v>
      </c>
      <c r="P4636" s="921">
        <f t="shared" si="467"/>
        <v>9</v>
      </c>
    </row>
    <row r="4637" spans="1:16" ht="15" hidden="1" customHeight="1">
      <c r="A4637" s="839">
        <v>69568829</v>
      </c>
      <c r="B4637" s="839">
        <v>2904</v>
      </c>
      <c r="C4637" s="906">
        <v>7649</v>
      </c>
      <c r="D4637" s="907">
        <v>46080</v>
      </c>
      <c r="E4637" s="839" t="s">
        <v>487</v>
      </c>
      <c r="F4637" s="839" t="s">
        <v>269</v>
      </c>
      <c r="G4637" s="916">
        <f>VLOOKUP($A4637,'Tech Litons'!$A:$I,8,FALSE)</f>
        <v>8.5199999999999998E-3</v>
      </c>
      <c r="H4637" s="917">
        <f>VLOOKUP($A4637,'Tech Litons'!$A:$I,9,FALSE)</f>
        <v>176</v>
      </c>
      <c r="I4637" s="917" t="str">
        <f>VLOOKUP($A4637,'Tech Litons'!$A:$C,3,0)</f>
        <v>48oz</v>
      </c>
      <c r="J4637" s="918" t="str">
        <f t="shared" si="462"/>
        <v>290448oz</v>
      </c>
      <c r="K4637" s="919">
        <v>1</v>
      </c>
      <c r="L4637" s="920">
        <f t="shared" si="463"/>
        <v>7649</v>
      </c>
      <c r="M4637" s="920">
        <f t="shared" si="464"/>
        <v>65.169479999999993</v>
      </c>
      <c r="N4637" s="920">
        <f t="shared" si="465"/>
        <v>43.460227272727273</v>
      </c>
      <c r="O4637" s="918" t="str">
        <f t="shared" si="466"/>
        <v>Feb</v>
      </c>
      <c r="P4637" s="921">
        <f t="shared" si="467"/>
        <v>9</v>
      </c>
    </row>
    <row r="4638" spans="1:16" ht="15" hidden="1" customHeight="1">
      <c r="A4638" s="839">
        <v>69568829</v>
      </c>
      <c r="B4638" s="839">
        <v>2904</v>
      </c>
      <c r="C4638" s="906">
        <v>5984</v>
      </c>
      <c r="D4638" s="907">
        <v>46080</v>
      </c>
      <c r="E4638" s="839" t="s">
        <v>487</v>
      </c>
      <c r="F4638" s="839" t="s">
        <v>269</v>
      </c>
      <c r="G4638" s="916">
        <f>VLOOKUP($A4638,'Tech Litons'!$A:$I,8,FALSE)</f>
        <v>8.5199999999999998E-3</v>
      </c>
      <c r="H4638" s="917">
        <f>VLOOKUP($A4638,'Tech Litons'!$A:$I,9,FALSE)</f>
        <v>176</v>
      </c>
      <c r="I4638" s="917" t="str">
        <f>VLOOKUP($A4638,'Tech Litons'!$A:$C,3,0)</f>
        <v>48oz</v>
      </c>
      <c r="J4638" s="918" t="str">
        <f t="shared" si="462"/>
        <v>290448oz</v>
      </c>
      <c r="K4638" s="919">
        <v>1</v>
      </c>
      <c r="L4638" s="920">
        <f t="shared" si="463"/>
        <v>5984</v>
      </c>
      <c r="M4638" s="920">
        <f t="shared" si="464"/>
        <v>50.98368</v>
      </c>
      <c r="N4638" s="920">
        <f t="shared" si="465"/>
        <v>34</v>
      </c>
      <c r="O4638" s="918" t="str">
        <f t="shared" si="466"/>
        <v>Feb</v>
      </c>
      <c r="P4638" s="921">
        <f t="shared" si="467"/>
        <v>9</v>
      </c>
    </row>
    <row r="4639" spans="1:16" ht="15" hidden="1" customHeight="1">
      <c r="A4639" s="839">
        <v>69568829</v>
      </c>
      <c r="B4639" s="839">
        <v>2904</v>
      </c>
      <c r="C4639" s="906">
        <v>5566</v>
      </c>
      <c r="D4639" s="907">
        <v>46081</v>
      </c>
      <c r="E4639" s="839" t="s">
        <v>487</v>
      </c>
      <c r="F4639" s="839" t="s">
        <v>269</v>
      </c>
      <c r="G4639" s="916">
        <f>VLOOKUP($A4639,'Tech Litons'!$A:$I,8,FALSE)</f>
        <v>8.5199999999999998E-3</v>
      </c>
      <c r="H4639" s="917">
        <f>VLOOKUP($A4639,'Tech Litons'!$A:$I,9,FALSE)</f>
        <v>176</v>
      </c>
      <c r="I4639" s="917" t="str">
        <f>VLOOKUP($A4639,'Tech Litons'!$A:$C,3,0)</f>
        <v>48oz</v>
      </c>
      <c r="J4639" s="918" t="str">
        <f t="shared" si="462"/>
        <v>290448oz</v>
      </c>
      <c r="K4639" s="919">
        <v>1</v>
      </c>
      <c r="L4639" s="920">
        <f t="shared" si="463"/>
        <v>5566</v>
      </c>
      <c r="M4639" s="920">
        <f t="shared" si="464"/>
        <v>47.422319999999999</v>
      </c>
      <c r="N4639" s="920">
        <f t="shared" si="465"/>
        <v>31.625</v>
      </c>
      <c r="O4639" s="918" t="str">
        <f t="shared" si="466"/>
        <v>Feb</v>
      </c>
      <c r="P4639" s="921">
        <f t="shared" si="467"/>
        <v>9</v>
      </c>
    </row>
    <row r="4640" spans="1:16" ht="15" hidden="1" customHeight="1">
      <c r="A4640" s="839">
        <v>69568829</v>
      </c>
      <c r="B4640" s="839">
        <v>2904</v>
      </c>
      <c r="C4640" s="906">
        <v>5760</v>
      </c>
      <c r="D4640" s="907">
        <v>46081</v>
      </c>
      <c r="E4640" s="839" t="s">
        <v>487</v>
      </c>
      <c r="F4640" s="839" t="s">
        <v>269</v>
      </c>
      <c r="G4640" s="916">
        <f>VLOOKUP($A4640,'Tech Litons'!$A:$I,8,FALSE)</f>
        <v>8.5199999999999998E-3</v>
      </c>
      <c r="H4640" s="917">
        <f>VLOOKUP($A4640,'Tech Litons'!$A:$I,9,FALSE)</f>
        <v>176</v>
      </c>
      <c r="I4640" s="917" t="str">
        <f>VLOOKUP($A4640,'Tech Litons'!$A:$C,3,0)</f>
        <v>48oz</v>
      </c>
      <c r="J4640" s="918" t="str">
        <f t="shared" si="462"/>
        <v>290448oz</v>
      </c>
      <c r="K4640" s="919">
        <v>1</v>
      </c>
      <c r="L4640" s="920">
        <f t="shared" si="463"/>
        <v>5760</v>
      </c>
      <c r="M4640" s="920">
        <f t="shared" si="464"/>
        <v>49.075199999999995</v>
      </c>
      <c r="N4640" s="920">
        <f t="shared" si="465"/>
        <v>32.727272727272727</v>
      </c>
      <c r="O4640" s="918" t="str">
        <f t="shared" si="466"/>
        <v>Feb</v>
      </c>
      <c r="P4640" s="921">
        <f t="shared" si="467"/>
        <v>9</v>
      </c>
    </row>
    <row r="4641" spans="1:16" ht="15" hidden="1" customHeight="1">
      <c r="A4641" s="839">
        <v>69568829</v>
      </c>
      <c r="B4641" s="839">
        <v>2904</v>
      </c>
      <c r="C4641" s="906">
        <v>5808</v>
      </c>
      <c r="D4641" s="907">
        <v>46082</v>
      </c>
      <c r="E4641" s="839" t="s">
        <v>487</v>
      </c>
      <c r="F4641" s="839" t="s">
        <v>269</v>
      </c>
      <c r="G4641" s="916">
        <f>VLOOKUP($A4641,'Tech Litons'!$A:$I,8,FALSE)</f>
        <v>8.5199999999999998E-3</v>
      </c>
      <c r="H4641" s="917">
        <f>VLOOKUP($A4641,'Tech Litons'!$A:$I,9,FALSE)</f>
        <v>176</v>
      </c>
      <c r="I4641" s="917" t="str">
        <f>VLOOKUP($A4641,'Tech Litons'!$A:$C,3,0)</f>
        <v>48oz</v>
      </c>
      <c r="J4641" s="918" t="str">
        <f t="shared" si="462"/>
        <v>290448oz</v>
      </c>
      <c r="K4641" s="919">
        <v>1</v>
      </c>
      <c r="L4641" s="920">
        <f t="shared" si="463"/>
        <v>5808</v>
      </c>
      <c r="M4641" s="920">
        <f t="shared" si="464"/>
        <v>49.484159999999996</v>
      </c>
      <c r="N4641" s="920">
        <f t="shared" si="465"/>
        <v>33</v>
      </c>
      <c r="O4641" s="918" t="str">
        <f t="shared" si="466"/>
        <v>Mar</v>
      </c>
      <c r="P4641" s="921">
        <f t="shared" si="467"/>
        <v>10</v>
      </c>
    </row>
    <row r="4642" spans="1:16" ht="15" hidden="1" customHeight="1">
      <c r="A4642" s="839">
        <v>69568829</v>
      </c>
      <c r="B4642" s="839">
        <v>2904</v>
      </c>
      <c r="C4642" s="906">
        <v>2145</v>
      </c>
      <c r="D4642" s="907">
        <v>46082</v>
      </c>
      <c r="E4642" s="839" t="s">
        <v>487</v>
      </c>
      <c r="F4642" s="839" t="s">
        <v>269</v>
      </c>
      <c r="G4642" s="916">
        <f>VLOOKUP($A4642,'Tech Litons'!$A:$I,8,FALSE)</f>
        <v>8.5199999999999998E-3</v>
      </c>
      <c r="H4642" s="917">
        <f>VLOOKUP($A4642,'Tech Litons'!$A:$I,9,FALSE)</f>
        <v>176</v>
      </c>
      <c r="I4642" s="917" t="str">
        <f>VLOOKUP($A4642,'Tech Litons'!$A:$C,3,0)</f>
        <v>48oz</v>
      </c>
      <c r="J4642" s="918" t="str">
        <f t="shared" si="462"/>
        <v>290448oz</v>
      </c>
      <c r="K4642" s="919">
        <v>1</v>
      </c>
      <c r="L4642" s="920">
        <f t="shared" si="463"/>
        <v>2145</v>
      </c>
      <c r="M4642" s="920">
        <f t="shared" si="464"/>
        <v>18.275400000000001</v>
      </c>
      <c r="N4642" s="920">
        <f t="shared" si="465"/>
        <v>12.1875</v>
      </c>
      <c r="O4642" s="918" t="str">
        <f t="shared" si="466"/>
        <v>Mar</v>
      </c>
      <c r="P4642" s="921">
        <f t="shared" si="467"/>
        <v>10</v>
      </c>
    </row>
    <row r="4643" spans="1:16" ht="15" hidden="1" customHeight="1">
      <c r="A4643" s="839">
        <v>69568829</v>
      </c>
      <c r="B4643" s="839">
        <v>2904</v>
      </c>
      <c r="C4643" s="906">
        <v>2603</v>
      </c>
      <c r="D4643" s="907">
        <v>46079</v>
      </c>
      <c r="E4643" s="839" t="s">
        <v>487</v>
      </c>
      <c r="F4643" s="839" t="s">
        <v>269</v>
      </c>
      <c r="G4643" s="916">
        <f>VLOOKUP($A4643,'Tech Litons'!$A:$I,8,FALSE)</f>
        <v>8.5199999999999998E-3</v>
      </c>
      <c r="H4643" s="917">
        <f>VLOOKUP($A4643,'Tech Litons'!$A:$I,9,FALSE)</f>
        <v>176</v>
      </c>
      <c r="I4643" s="917" t="str">
        <f>VLOOKUP($A4643,'Tech Litons'!$A:$C,3,0)</f>
        <v>48oz</v>
      </c>
      <c r="J4643" s="918" t="str">
        <f t="shared" si="462"/>
        <v>290448oz</v>
      </c>
      <c r="K4643" s="919">
        <v>1</v>
      </c>
      <c r="L4643" s="920">
        <f t="shared" si="463"/>
        <v>2603</v>
      </c>
      <c r="M4643" s="920">
        <f t="shared" si="464"/>
        <v>22.17756</v>
      </c>
      <c r="N4643" s="920">
        <f t="shared" si="465"/>
        <v>14.789772727272727</v>
      </c>
      <c r="O4643" s="918" t="str">
        <f t="shared" si="466"/>
        <v>Feb</v>
      </c>
      <c r="P4643" s="921">
        <f t="shared" si="467"/>
        <v>9</v>
      </c>
    </row>
    <row r="4644" spans="1:16" ht="15" hidden="1" customHeight="1">
      <c r="A4644" s="839">
        <v>69568964</v>
      </c>
      <c r="B4644" s="839">
        <v>2904</v>
      </c>
      <c r="C4644" s="906">
        <v>0</v>
      </c>
      <c r="D4644" s="907">
        <v>46078</v>
      </c>
      <c r="E4644" s="839" t="s">
        <v>444</v>
      </c>
      <c r="F4644" s="839" t="s">
        <v>271</v>
      </c>
      <c r="G4644" s="916">
        <f>VLOOKUP($A4644,'Tech Litons'!$A:$I,8,FALSE)</f>
        <v>8.5199999999999998E-3</v>
      </c>
      <c r="H4644" s="917">
        <f>VLOOKUP($A4644,'Tech Litons'!$A:$I,9,FALSE)</f>
        <v>176</v>
      </c>
      <c r="I4644" s="917" t="str">
        <f>VLOOKUP($A4644,'Tech Litons'!$A:$C,3,0)</f>
        <v>48oz</v>
      </c>
      <c r="J4644" s="918" t="str">
        <f t="shared" si="462"/>
        <v>290448oz</v>
      </c>
      <c r="K4644" s="919">
        <v>1</v>
      </c>
      <c r="L4644" s="920">
        <f t="shared" si="463"/>
        <v>0</v>
      </c>
      <c r="M4644" s="920">
        <f t="shared" si="464"/>
        <v>0</v>
      </c>
      <c r="N4644" s="920">
        <f t="shared" si="465"/>
        <v>0</v>
      </c>
      <c r="O4644" s="918" t="str">
        <f t="shared" si="466"/>
        <v>Feb</v>
      </c>
      <c r="P4644" s="921">
        <f t="shared" si="467"/>
        <v>9</v>
      </c>
    </row>
    <row r="4645" spans="1:16" ht="15" hidden="1" customHeight="1">
      <c r="A4645" s="839">
        <v>69568964</v>
      </c>
      <c r="B4645" s="839">
        <v>2904</v>
      </c>
      <c r="C4645" s="906">
        <v>2464</v>
      </c>
      <c r="D4645" s="907">
        <v>46105</v>
      </c>
      <c r="E4645" s="839" t="s">
        <v>444</v>
      </c>
      <c r="F4645" s="839" t="s">
        <v>271</v>
      </c>
      <c r="G4645" s="916">
        <f>VLOOKUP($A4645,'Tech Litons'!$A:$I,8,FALSE)</f>
        <v>8.5199999999999998E-3</v>
      </c>
      <c r="H4645" s="917">
        <f>VLOOKUP($A4645,'Tech Litons'!$A:$I,9,FALSE)</f>
        <v>176</v>
      </c>
      <c r="I4645" s="917" t="str">
        <f>VLOOKUP($A4645,'Tech Litons'!$A:$C,3,0)</f>
        <v>48oz</v>
      </c>
      <c r="J4645" s="918" t="str">
        <f t="shared" si="462"/>
        <v>290448oz</v>
      </c>
      <c r="K4645" s="919">
        <v>1</v>
      </c>
      <c r="L4645" s="920">
        <f t="shared" si="463"/>
        <v>2464</v>
      </c>
      <c r="M4645" s="920">
        <f t="shared" si="464"/>
        <v>20.993279999999999</v>
      </c>
      <c r="N4645" s="920">
        <f t="shared" si="465"/>
        <v>14</v>
      </c>
      <c r="O4645" s="918" t="str">
        <f t="shared" si="466"/>
        <v>Mar</v>
      </c>
      <c r="P4645" s="921">
        <f t="shared" si="467"/>
        <v>13</v>
      </c>
    </row>
    <row r="4646" spans="1:16" ht="15" hidden="1" customHeight="1">
      <c r="A4646" s="839">
        <v>69568964</v>
      </c>
      <c r="B4646" s="839">
        <v>2904</v>
      </c>
      <c r="C4646" s="906">
        <v>7744</v>
      </c>
      <c r="D4646" s="907">
        <v>46105</v>
      </c>
      <c r="E4646" s="839" t="s">
        <v>444</v>
      </c>
      <c r="F4646" s="839" t="s">
        <v>271</v>
      </c>
      <c r="G4646" s="916">
        <f>VLOOKUP($A4646,'Tech Litons'!$A:$I,8,FALSE)</f>
        <v>8.5199999999999998E-3</v>
      </c>
      <c r="H4646" s="917">
        <f>VLOOKUP($A4646,'Tech Litons'!$A:$I,9,FALSE)</f>
        <v>176</v>
      </c>
      <c r="I4646" s="917" t="str">
        <f>VLOOKUP($A4646,'Tech Litons'!$A:$C,3,0)</f>
        <v>48oz</v>
      </c>
      <c r="J4646" s="918" t="str">
        <f t="shared" si="462"/>
        <v>290448oz</v>
      </c>
      <c r="K4646" s="919">
        <v>1</v>
      </c>
      <c r="L4646" s="920">
        <f t="shared" si="463"/>
        <v>7744</v>
      </c>
      <c r="M4646" s="920">
        <f t="shared" si="464"/>
        <v>65.978880000000004</v>
      </c>
      <c r="N4646" s="920">
        <f t="shared" si="465"/>
        <v>44</v>
      </c>
      <c r="O4646" s="918" t="str">
        <f t="shared" si="466"/>
        <v>Mar</v>
      </c>
      <c r="P4646" s="921">
        <f t="shared" si="467"/>
        <v>13</v>
      </c>
    </row>
    <row r="4647" spans="1:16" ht="15" hidden="1" customHeight="1">
      <c r="A4647" s="839">
        <v>69629468</v>
      </c>
      <c r="B4647" s="839">
        <v>2904</v>
      </c>
      <c r="C4647" s="906">
        <v>39</v>
      </c>
      <c r="D4647" s="907">
        <v>46077</v>
      </c>
      <c r="E4647" s="839" t="s">
        <v>291</v>
      </c>
      <c r="F4647" s="839" t="s">
        <v>226</v>
      </c>
      <c r="G4647" s="916">
        <f>VLOOKUP($A4647,'Tech Litons'!$A:$I,8,FALSE)</f>
        <v>5.2680000000000001E-3</v>
      </c>
      <c r="H4647" s="917">
        <f>VLOOKUP($A4647,'Tech Litons'!$A:$I,9,FALSE)</f>
        <v>130</v>
      </c>
      <c r="I4647" s="917" t="str">
        <f>VLOOKUP($A4647,'Tech Litons'!$A:$C,3,0)</f>
        <v>PG</v>
      </c>
      <c r="J4647" s="918" t="str">
        <f t="shared" si="462"/>
        <v>2904PG</v>
      </c>
      <c r="K4647" s="919">
        <v>1</v>
      </c>
      <c r="L4647" s="920">
        <f t="shared" si="463"/>
        <v>39</v>
      </c>
      <c r="M4647" s="920">
        <f t="shared" si="464"/>
        <v>0.205452</v>
      </c>
      <c r="N4647" s="920">
        <f t="shared" si="465"/>
        <v>0.3</v>
      </c>
      <c r="O4647" s="918" t="str">
        <f t="shared" si="466"/>
        <v>Feb</v>
      </c>
      <c r="P4647" s="921">
        <f t="shared" si="467"/>
        <v>9</v>
      </c>
    </row>
    <row r="4648" spans="1:16" ht="15" hidden="1" customHeight="1">
      <c r="A4648" s="839">
        <v>69629468</v>
      </c>
      <c r="B4648" s="839">
        <v>2904</v>
      </c>
      <c r="C4648" s="906">
        <v>1820</v>
      </c>
      <c r="D4648" s="907">
        <v>46076</v>
      </c>
      <c r="E4648" s="839" t="s">
        <v>291</v>
      </c>
      <c r="F4648" s="839" t="s">
        <v>226</v>
      </c>
      <c r="G4648" s="916">
        <f>VLOOKUP($A4648,'Tech Litons'!$A:$I,8,FALSE)</f>
        <v>5.2680000000000001E-3</v>
      </c>
      <c r="H4648" s="917">
        <f>VLOOKUP($A4648,'Tech Litons'!$A:$I,9,FALSE)</f>
        <v>130</v>
      </c>
      <c r="I4648" s="917" t="str">
        <f>VLOOKUP($A4648,'Tech Litons'!$A:$C,3,0)</f>
        <v>PG</v>
      </c>
      <c r="J4648" s="918" t="str">
        <f t="shared" si="462"/>
        <v>2904PG</v>
      </c>
      <c r="K4648" s="919">
        <v>1</v>
      </c>
      <c r="L4648" s="920">
        <f t="shared" si="463"/>
        <v>1820</v>
      </c>
      <c r="M4648" s="920">
        <f t="shared" si="464"/>
        <v>9.5877599999999994</v>
      </c>
      <c r="N4648" s="920">
        <f t="shared" si="465"/>
        <v>14</v>
      </c>
      <c r="O4648" s="918" t="str">
        <f t="shared" si="466"/>
        <v>Feb</v>
      </c>
      <c r="P4648" s="921">
        <f t="shared" si="467"/>
        <v>9</v>
      </c>
    </row>
    <row r="4649" spans="1:16" ht="15" hidden="1" customHeight="1">
      <c r="A4649" s="839">
        <v>69629468</v>
      </c>
      <c r="B4649" s="839">
        <v>2904</v>
      </c>
      <c r="C4649" s="906">
        <v>1625</v>
      </c>
      <c r="D4649" s="907">
        <v>46077</v>
      </c>
      <c r="E4649" s="839" t="s">
        <v>291</v>
      </c>
      <c r="F4649" s="839" t="s">
        <v>226</v>
      </c>
      <c r="G4649" s="916">
        <f>VLOOKUP($A4649,'Tech Litons'!$A:$I,8,FALSE)</f>
        <v>5.2680000000000001E-3</v>
      </c>
      <c r="H4649" s="917">
        <f>VLOOKUP($A4649,'Tech Litons'!$A:$I,9,FALSE)</f>
        <v>130</v>
      </c>
      <c r="I4649" s="917" t="str">
        <f>VLOOKUP($A4649,'Tech Litons'!$A:$C,3,0)</f>
        <v>PG</v>
      </c>
      <c r="J4649" s="918" t="str">
        <f t="shared" si="462"/>
        <v>2904PG</v>
      </c>
      <c r="K4649" s="919">
        <v>1</v>
      </c>
      <c r="L4649" s="920">
        <f t="shared" si="463"/>
        <v>1625</v>
      </c>
      <c r="M4649" s="920">
        <f t="shared" si="464"/>
        <v>8.5604999999999993</v>
      </c>
      <c r="N4649" s="920">
        <f t="shared" si="465"/>
        <v>12.5</v>
      </c>
      <c r="O4649" s="918" t="str">
        <f t="shared" si="466"/>
        <v>Feb</v>
      </c>
      <c r="P4649" s="921">
        <f t="shared" si="467"/>
        <v>9</v>
      </c>
    </row>
    <row r="4650" spans="1:16" ht="15" hidden="1" customHeight="1">
      <c r="A4650" s="839">
        <v>69629468</v>
      </c>
      <c r="B4650" s="839">
        <v>2904</v>
      </c>
      <c r="C4650" s="906">
        <v>1950</v>
      </c>
      <c r="D4650" s="907">
        <v>46077</v>
      </c>
      <c r="E4650" s="839" t="s">
        <v>291</v>
      </c>
      <c r="F4650" s="839" t="s">
        <v>226</v>
      </c>
      <c r="G4650" s="916">
        <f>VLOOKUP($A4650,'Tech Litons'!$A:$I,8,FALSE)</f>
        <v>5.2680000000000001E-3</v>
      </c>
      <c r="H4650" s="917">
        <f>VLOOKUP($A4650,'Tech Litons'!$A:$I,9,FALSE)</f>
        <v>130</v>
      </c>
      <c r="I4650" s="917" t="str">
        <f>VLOOKUP($A4650,'Tech Litons'!$A:$C,3,0)</f>
        <v>PG</v>
      </c>
      <c r="J4650" s="918" t="str">
        <f t="shared" si="462"/>
        <v>2904PG</v>
      </c>
      <c r="K4650" s="919">
        <v>1</v>
      </c>
      <c r="L4650" s="920">
        <f t="shared" si="463"/>
        <v>1950</v>
      </c>
      <c r="M4650" s="920">
        <f t="shared" si="464"/>
        <v>10.272600000000001</v>
      </c>
      <c r="N4650" s="920">
        <f t="shared" si="465"/>
        <v>15</v>
      </c>
      <c r="O4650" s="918" t="str">
        <f t="shared" si="466"/>
        <v>Feb</v>
      </c>
      <c r="P4650" s="921">
        <f t="shared" si="467"/>
        <v>9</v>
      </c>
    </row>
    <row r="4651" spans="1:16" ht="15" hidden="1" customHeight="1">
      <c r="A4651" s="839">
        <v>69629468</v>
      </c>
      <c r="B4651" s="839">
        <v>2904</v>
      </c>
      <c r="C4651" s="906">
        <v>1300</v>
      </c>
      <c r="D4651" s="907">
        <v>46078</v>
      </c>
      <c r="E4651" s="839" t="s">
        <v>291</v>
      </c>
      <c r="F4651" s="839" t="s">
        <v>226</v>
      </c>
      <c r="G4651" s="916">
        <f>VLOOKUP($A4651,'Tech Litons'!$A:$I,8,FALSE)</f>
        <v>5.2680000000000001E-3</v>
      </c>
      <c r="H4651" s="917">
        <f>VLOOKUP($A4651,'Tech Litons'!$A:$I,9,FALSE)</f>
        <v>130</v>
      </c>
      <c r="I4651" s="917" t="str">
        <f>VLOOKUP($A4651,'Tech Litons'!$A:$C,3,0)</f>
        <v>PG</v>
      </c>
      <c r="J4651" s="918" t="str">
        <f t="shared" si="462"/>
        <v>2904PG</v>
      </c>
      <c r="K4651" s="919">
        <v>1</v>
      </c>
      <c r="L4651" s="920">
        <f t="shared" si="463"/>
        <v>1300</v>
      </c>
      <c r="M4651" s="920">
        <f t="shared" si="464"/>
        <v>6.8483999999999998</v>
      </c>
      <c r="N4651" s="920">
        <f t="shared" si="465"/>
        <v>10</v>
      </c>
      <c r="O4651" s="918" t="str">
        <f t="shared" si="466"/>
        <v>Feb</v>
      </c>
      <c r="P4651" s="921">
        <f t="shared" si="467"/>
        <v>9</v>
      </c>
    </row>
    <row r="4652" spans="1:16" ht="15" hidden="1" customHeight="1">
      <c r="A4652" s="839">
        <v>69629468</v>
      </c>
      <c r="B4652" s="839">
        <v>2904</v>
      </c>
      <c r="C4652" s="906">
        <v>626</v>
      </c>
      <c r="D4652" s="907">
        <v>46078</v>
      </c>
      <c r="E4652" s="839" t="s">
        <v>291</v>
      </c>
      <c r="F4652" s="839" t="s">
        <v>226</v>
      </c>
      <c r="G4652" s="916">
        <f>VLOOKUP($A4652,'Tech Litons'!$A:$I,8,FALSE)</f>
        <v>5.2680000000000001E-3</v>
      </c>
      <c r="H4652" s="917">
        <f>VLOOKUP($A4652,'Tech Litons'!$A:$I,9,FALSE)</f>
        <v>130</v>
      </c>
      <c r="I4652" s="917" t="str">
        <f>VLOOKUP($A4652,'Tech Litons'!$A:$C,3,0)</f>
        <v>PG</v>
      </c>
      <c r="J4652" s="918" t="str">
        <f t="shared" si="462"/>
        <v>2904PG</v>
      </c>
      <c r="K4652" s="919">
        <v>1</v>
      </c>
      <c r="L4652" s="920">
        <f t="shared" si="463"/>
        <v>626</v>
      </c>
      <c r="M4652" s="920">
        <f t="shared" si="464"/>
        <v>3.297768</v>
      </c>
      <c r="N4652" s="920">
        <f t="shared" si="465"/>
        <v>4.8153846153846152</v>
      </c>
      <c r="O4652" s="918" t="str">
        <f t="shared" si="466"/>
        <v>Feb</v>
      </c>
      <c r="P4652" s="921">
        <f t="shared" si="467"/>
        <v>9</v>
      </c>
    </row>
    <row r="4653" spans="1:16" ht="15" hidden="1" customHeight="1">
      <c r="A4653" s="839">
        <v>69629468</v>
      </c>
      <c r="B4653" s="839">
        <v>2904</v>
      </c>
      <c r="C4653" s="906">
        <v>1456</v>
      </c>
      <c r="D4653" s="907">
        <v>46079</v>
      </c>
      <c r="E4653" s="839" t="s">
        <v>291</v>
      </c>
      <c r="F4653" s="839" t="s">
        <v>226</v>
      </c>
      <c r="G4653" s="916">
        <f>VLOOKUP($A4653,'Tech Litons'!$A:$I,8,FALSE)</f>
        <v>5.2680000000000001E-3</v>
      </c>
      <c r="H4653" s="917">
        <f>VLOOKUP($A4653,'Tech Litons'!$A:$I,9,FALSE)</f>
        <v>130</v>
      </c>
      <c r="I4653" s="917" t="str">
        <f>VLOOKUP($A4653,'Tech Litons'!$A:$C,3,0)</f>
        <v>PG</v>
      </c>
      <c r="J4653" s="918" t="str">
        <f t="shared" si="462"/>
        <v>2904PG</v>
      </c>
      <c r="K4653" s="919">
        <v>1</v>
      </c>
      <c r="L4653" s="920">
        <f t="shared" si="463"/>
        <v>1456</v>
      </c>
      <c r="M4653" s="920">
        <f t="shared" si="464"/>
        <v>7.6702080000000006</v>
      </c>
      <c r="N4653" s="920">
        <f t="shared" si="465"/>
        <v>11.2</v>
      </c>
      <c r="O4653" s="918" t="str">
        <f t="shared" si="466"/>
        <v>Feb</v>
      </c>
      <c r="P4653" s="921">
        <f t="shared" si="467"/>
        <v>9</v>
      </c>
    </row>
    <row r="4654" spans="1:16" ht="15" hidden="1" customHeight="1">
      <c r="A4654" s="839">
        <v>69629468</v>
      </c>
      <c r="B4654" s="839">
        <v>2904</v>
      </c>
      <c r="C4654" s="906">
        <v>1560</v>
      </c>
      <c r="D4654" s="907">
        <v>46080</v>
      </c>
      <c r="E4654" s="839" t="s">
        <v>291</v>
      </c>
      <c r="F4654" s="839" t="s">
        <v>226</v>
      </c>
      <c r="G4654" s="916">
        <f>VLOOKUP($A4654,'Tech Litons'!$A:$I,8,FALSE)</f>
        <v>5.2680000000000001E-3</v>
      </c>
      <c r="H4654" s="917">
        <f>VLOOKUP($A4654,'Tech Litons'!$A:$I,9,FALSE)</f>
        <v>130</v>
      </c>
      <c r="I4654" s="917" t="str">
        <f>VLOOKUP($A4654,'Tech Litons'!$A:$C,3,0)</f>
        <v>PG</v>
      </c>
      <c r="J4654" s="918" t="str">
        <f t="shared" si="462"/>
        <v>2904PG</v>
      </c>
      <c r="K4654" s="919">
        <v>1</v>
      </c>
      <c r="L4654" s="920">
        <f t="shared" si="463"/>
        <v>1560</v>
      </c>
      <c r="M4654" s="920">
        <f t="shared" si="464"/>
        <v>8.2180800000000005</v>
      </c>
      <c r="N4654" s="920">
        <f t="shared" si="465"/>
        <v>12</v>
      </c>
      <c r="O4654" s="918" t="str">
        <f t="shared" si="466"/>
        <v>Feb</v>
      </c>
      <c r="P4654" s="921">
        <f t="shared" si="467"/>
        <v>9</v>
      </c>
    </row>
    <row r="4655" spans="1:16" ht="15" hidden="1" customHeight="1">
      <c r="A4655" s="839">
        <v>69629468</v>
      </c>
      <c r="B4655" s="839">
        <v>2904</v>
      </c>
      <c r="C4655" s="906">
        <v>2376</v>
      </c>
      <c r="D4655" s="907">
        <v>46080</v>
      </c>
      <c r="E4655" s="839" t="s">
        <v>291</v>
      </c>
      <c r="F4655" s="839" t="s">
        <v>226</v>
      </c>
      <c r="G4655" s="916">
        <f>VLOOKUP($A4655,'Tech Litons'!$A:$I,8,FALSE)</f>
        <v>5.2680000000000001E-3</v>
      </c>
      <c r="H4655" s="917">
        <f>VLOOKUP($A4655,'Tech Litons'!$A:$I,9,FALSE)</f>
        <v>130</v>
      </c>
      <c r="I4655" s="917" t="str">
        <f>VLOOKUP($A4655,'Tech Litons'!$A:$C,3,0)</f>
        <v>PG</v>
      </c>
      <c r="J4655" s="918" t="str">
        <f t="shared" si="462"/>
        <v>2904PG</v>
      </c>
      <c r="K4655" s="919">
        <v>1</v>
      </c>
      <c r="L4655" s="920">
        <f t="shared" si="463"/>
        <v>2376</v>
      </c>
      <c r="M4655" s="920">
        <f t="shared" si="464"/>
        <v>12.516768000000001</v>
      </c>
      <c r="N4655" s="920">
        <f t="shared" si="465"/>
        <v>18.276923076923076</v>
      </c>
      <c r="O4655" s="918" t="str">
        <f t="shared" si="466"/>
        <v>Feb</v>
      </c>
      <c r="P4655" s="921">
        <f t="shared" si="467"/>
        <v>9</v>
      </c>
    </row>
    <row r="4656" spans="1:16" ht="15" hidden="1" customHeight="1">
      <c r="A4656" s="839">
        <v>69629468</v>
      </c>
      <c r="B4656" s="839">
        <v>2904</v>
      </c>
      <c r="C4656" s="906">
        <v>840</v>
      </c>
      <c r="D4656" s="907">
        <v>46081</v>
      </c>
      <c r="E4656" s="839" t="s">
        <v>291</v>
      </c>
      <c r="F4656" s="839" t="s">
        <v>226</v>
      </c>
      <c r="G4656" s="916">
        <f>VLOOKUP($A4656,'Tech Litons'!$A:$I,8,FALSE)</f>
        <v>5.2680000000000001E-3</v>
      </c>
      <c r="H4656" s="917">
        <f>VLOOKUP($A4656,'Tech Litons'!$A:$I,9,FALSE)</f>
        <v>130</v>
      </c>
      <c r="I4656" s="917" t="str">
        <f>VLOOKUP($A4656,'Tech Litons'!$A:$C,3,0)</f>
        <v>PG</v>
      </c>
      <c r="J4656" s="918" t="str">
        <f t="shared" si="462"/>
        <v>2904PG</v>
      </c>
      <c r="K4656" s="919">
        <v>1</v>
      </c>
      <c r="L4656" s="920">
        <f t="shared" si="463"/>
        <v>840</v>
      </c>
      <c r="M4656" s="920">
        <f t="shared" si="464"/>
        <v>4.4251199999999997</v>
      </c>
      <c r="N4656" s="920">
        <f t="shared" si="465"/>
        <v>6.4615384615384617</v>
      </c>
      <c r="O4656" s="918" t="str">
        <f t="shared" si="466"/>
        <v>Feb</v>
      </c>
      <c r="P4656" s="921">
        <f t="shared" si="467"/>
        <v>9</v>
      </c>
    </row>
    <row r="4657" spans="1:16" ht="15" hidden="1" customHeight="1">
      <c r="A4657" s="839">
        <v>69629468</v>
      </c>
      <c r="B4657" s="839">
        <v>2904</v>
      </c>
      <c r="C4657" s="906">
        <v>1646</v>
      </c>
      <c r="D4657" s="907">
        <v>46083</v>
      </c>
      <c r="E4657" s="839" t="s">
        <v>291</v>
      </c>
      <c r="F4657" s="839" t="s">
        <v>226</v>
      </c>
      <c r="G4657" s="916">
        <f>VLOOKUP($A4657,'Tech Litons'!$A:$I,8,FALSE)</f>
        <v>5.2680000000000001E-3</v>
      </c>
      <c r="H4657" s="917">
        <f>VLOOKUP($A4657,'Tech Litons'!$A:$I,9,FALSE)</f>
        <v>130</v>
      </c>
      <c r="I4657" s="917" t="str">
        <f>VLOOKUP($A4657,'Tech Litons'!$A:$C,3,0)</f>
        <v>PG</v>
      </c>
      <c r="J4657" s="918" t="str">
        <f t="shared" si="462"/>
        <v>2904PG</v>
      </c>
      <c r="K4657" s="919">
        <v>1</v>
      </c>
      <c r="L4657" s="920">
        <f t="shared" si="463"/>
        <v>1646</v>
      </c>
      <c r="M4657" s="920">
        <f t="shared" si="464"/>
        <v>8.6711279999999995</v>
      </c>
      <c r="N4657" s="920">
        <f t="shared" si="465"/>
        <v>12.661538461538461</v>
      </c>
      <c r="O4657" s="918" t="str">
        <f t="shared" si="466"/>
        <v>Mar</v>
      </c>
      <c r="P4657" s="921">
        <f t="shared" si="467"/>
        <v>10</v>
      </c>
    </row>
    <row r="4658" spans="1:16" ht="15" hidden="1" customHeight="1">
      <c r="A4658" s="839">
        <v>69629468</v>
      </c>
      <c r="B4658" s="839">
        <v>2904</v>
      </c>
      <c r="C4658" s="906">
        <v>1404</v>
      </c>
      <c r="D4658" s="907">
        <v>46084</v>
      </c>
      <c r="E4658" s="839" t="s">
        <v>291</v>
      </c>
      <c r="F4658" s="839" t="s">
        <v>226</v>
      </c>
      <c r="G4658" s="916">
        <f>VLOOKUP($A4658,'Tech Litons'!$A:$I,8,FALSE)</f>
        <v>5.2680000000000001E-3</v>
      </c>
      <c r="H4658" s="917">
        <f>VLOOKUP($A4658,'Tech Litons'!$A:$I,9,FALSE)</f>
        <v>130</v>
      </c>
      <c r="I4658" s="917" t="str">
        <f>VLOOKUP($A4658,'Tech Litons'!$A:$C,3,0)</f>
        <v>PG</v>
      </c>
      <c r="J4658" s="918" t="str">
        <f t="shared" ref="J4658:J4721" si="468">B4658&amp;I4658</f>
        <v>2904PG</v>
      </c>
      <c r="K4658" s="919">
        <v>1</v>
      </c>
      <c r="L4658" s="920">
        <f t="shared" ref="L4658:L4721" si="469">C4658*$K4658</f>
        <v>1404</v>
      </c>
      <c r="M4658" s="920">
        <f t="shared" ref="M4658:M4721" si="470">L4658*G4658</f>
        <v>7.3962719999999997</v>
      </c>
      <c r="N4658" s="920">
        <f t="shared" ref="N4658:N4721" si="471">L4658/H4658</f>
        <v>10.8</v>
      </c>
      <c r="O4658" s="918" t="str">
        <f t="shared" ref="O4658:O4721" si="472">TEXT(D4658,"MMM")</f>
        <v>Mar</v>
      </c>
      <c r="P4658" s="921">
        <f t="shared" ref="P4658:P4721" si="473">WEEKNUM(D4658)</f>
        <v>10</v>
      </c>
    </row>
    <row r="4659" spans="1:16" ht="15" hidden="1" customHeight="1">
      <c r="A4659" s="839">
        <v>69629468</v>
      </c>
      <c r="B4659" s="839">
        <v>2904</v>
      </c>
      <c r="C4659" s="906">
        <v>2552</v>
      </c>
      <c r="D4659" s="907">
        <v>46084</v>
      </c>
      <c r="E4659" s="839" t="s">
        <v>291</v>
      </c>
      <c r="F4659" s="839" t="s">
        <v>226</v>
      </c>
      <c r="G4659" s="916">
        <f>VLOOKUP($A4659,'Tech Litons'!$A:$I,8,FALSE)</f>
        <v>5.2680000000000001E-3</v>
      </c>
      <c r="H4659" s="917">
        <f>VLOOKUP($A4659,'Tech Litons'!$A:$I,9,FALSE)</f>
        <v>130</v>
      </c>
      <c r="I4659" s="917" t="str">
        <f>VLOOKUP($A4659,'Tech Litons'!$A:$C,3,0)</f>
        <v>PG</v>
      </c>
      <c r="J4659" s="918" t="str">
        <f t="shared" si="468"/>
        <v>2904PG</v>
      </c>
      <c r="K4659" s="919">
        <v>1</v>
      </c>
      <c r="L4659" s="920">
        <f t="shared" si="469"/>
        <v>2552</v>
      </c>
      <c r="M4659" s="920">
        <f t="shared" si="470"/>
        <v>13.443936000000001</v>
      </c>
      <c r="N4659" s="920">
        <f t="shared" si="471"/>
        <v>19.630769230769232</v>
      </c>
      <c r="O4659" s="918" t="str">
        <f t="shared" si="472"/>
        <v>Mar</v>
      </c>
      <c r="P4659" s="921">
        <f t="shared" si="473"/>
        <v>10</v>
      </c>
    </row>
    <row r="4660" spans="1:16" ht="15" hidden="1" customHeight="1">
      <c r="A4660" s="839">
        <v>69629468</v>
      </c>
      <c r="B4660" s="839">
        <v>2904</v>
      </c>
      <c r="C4660" s="906">
        <v>2140</v>
      </c>
      <c r="D4660" s="907">
        <v>46085</v>
      </c>
      <c r="E4660" s="839" t="s">
        <v>291</v>
      </c>
      <c r="F4660" s="839" t="s">
        <v>226</v>
      </c>
      <c r="G4660" s="916">
        <f>VLOOKUP($A4660,'Tech Litons'!$A:$I,8,FALSE)</f>
        <v>5.2680000000000001E-3</v>
      </c>
      <c r="H4660" s="917">
        <f>VLOOKUP($A4660,'Tech Litons'!$A:$I,9,FALSE)</f>
        <v>130</v>
      </c>
      <c r="I4660" s="917" t="str">
        <f>VLOOKUP($A4660,'Tech Litons'!$A:$C,3,0)</f>
        <v>PG</v>
      </c>
      <c r="J4660" s="918" t="str">
        <f t="shared" si="468"/>
        <v>2904PG</v>
      </c>
      <c r="K4660" s="919">
        <v>1</v>
      </c>
      <c r="L4660" s="920">
        <f t="shared" si="469"/>
        <v>2140</v>
      </c>
      <c r="M4660" s="920">
        <f t="shared" si="470"/>
        <v>11.27352</v>
      </c>
      <c r="N4660" s="920">
        <f t="shared" si="471"/>
        <v>16.46153846153846</v>
      </c>
      <c r="O4660" s="918" t="str">
        <f t="shared" si="472"/>
        <v>Mar</v>
      </c>
      <c r="P4660" s="921">
        <f t="shared" si="473"/>
        <v>10</v>
      </c>
    </row>
    <row r="4661" spans="1:16" ht="15" hidden="1" customHeight="1">
      <c r="A4661" s="839">
        <v>69629468</v>
      </c>
      <c r="B4661" s="839">
        <v>2904</v>
      </c>
      <c r="C4661" s="906">
        <v>520</v>
      </c>
      <c r="D4661" s="907">
        <v>46085</v>
      </c>
      <c r="E4661" s="839" t="s">
        <v>291</v>
      </c>
      <c r="F4661" s="839" t="s">
        <v>226</v>
      </c>
      <c r="G4661" s="916">
        <f>VLOOKUP($A4661,'Tech Litons'!$A:$I,8,FALSE)</f>
        <v>5.2680000000000001E-3</v>
      </c>
      <c r="H4661" s="917">
        <f>VLOOKUP($A4661,'Tech Litons'!$A:$I,9,FALSE)</f>
        <v>130</v>
      </c>
      <c r="I4661" s="917" t="str">
        <f>VLOOKUP($A4661,'Tech Litons'!$A:$C,3,0)</f>
        <v>PG</v>
      </c>
      <c r="J4661" s="918" t="str">
        <f t="shared" si="468"/>
        <v>2904PG</v>
      </c>
      <c r="K4661" s="919">
        <v>1</v>
      </c>
      <c r="L4661" s="920">
        <f t="shared" si="469"/>
        <v>520</v>
      </c>
      <c r="M4661" s="920">
        <f t="shared" si="470"/>
        <v>2.73936</v>
      </c>
      <c r="N4661" s="920">
        <f t="shared" si="471"/>
        <v>4</v>
      </c>
      <c r="O4661" s="918" t="str">
        <f t="shared" si="472"/>
        <v>Mar</v>
      </c>
      <c r="P4661" s="921">
        <f t="shared" si="473"/>
        <v>10</v>
      </c>
    </row>
    <row r="4662" spans="1:16" ht="15" hidden="1" customHeight="1">
      <c r="A4662" s="839">
        <v>69629468</v>
      </c>
      <c r="B4662" s="839">
        <v>2904</v>
      </c>
      <c r="C4662" s="906">
        <v>1911</v>
      </c>
      <c r="D4662" s="907">
        <v>46086</v>
      </c>
      <c r="E4662" s="839" t="s">
        <v>291</v>
      </c>
      <c r="F4662" s="839" t="s">
        <v>226</v>
      </c>
      <c r="G4662" s="916">
        <f>VLOOKUP($A4662,'Tech Litons'!$A:$I,8,FALSE)</f>
        <v>5.2680000000000001E-3</v>
      </c>
      <c r="H4662" s="917">
        <f>VLOOKUP($A4662,'Tech Litons'!$A:$I,9,FALSE)</f>
        <v>130</v>
      </c>
      <c r="I4662" s="917" t="str">
        <f>VLOOKUP($A4662,'Tech Litons'!$A:$C,3,0)</f>
        <v>PG</v>
      </c>
      <c r="J4662" s="918" t="str">
        <f t="shared" si="468"/>
        <v>2904PG</v>
      </c>
      <c r="K4662" s="919">
        <v>1</v>
      </c>
      <c r="L4662" s="920">
        <f t="shared" si="469"/>
        <v>1911</v>
      </c>
      <c r="M4662" s="920">
        <f t="shared" si="470"/>
        <v>10.067148</v>
      </c>
      <c r="N4662" s="920">
        <f t="shared" si="471"/>
        <v>14.7</v>
      </c>
      <c r="O4662" s="918" t="str">
        <f t="shared" si="472"/>
        <v>Mar</v>
      </c>
      <c r="P4662" s="921">
        <f t="shared" si="473"/>
        <v>10</v>
      </c>
    </row>
    <row r="4663" spans="1:16" ht="15" hidden="1" customHeight="1">
      <c r="A4663" s="839">
        <v>69629468</v>
      </c>
      <c r="B4663" s="839">
        <v>2904</v>
      </c>
      <c r="C4663" s="906">
        <v>2280</v>
      </c>
      <c r="D4663" s="907">
        <v>46086</v>
      </c>
      <c r="E4663" s="839" t="s">
        <v>291</v>
      </c>
      <c r="F4663" s="839" t="s">
        <v>226</v>
      </c>
      <c r="G4663" s="916">
        <f>VLOOKUP($A4663,'Tech Litons'!$A:$I,8,FALSE)</f>
        <v>5.2680000000000001E-3</v>
      </c>
      <c r="H4663" s="917">
        <f>VLOOKUP($A4663,'Tech Litons'!$A:$I,9,FALSE)</f>
        <v>130</v>
      </c>
      <c r="I4663" s="917" t="str">
        <f>VLOOKUP($A4663,'Tech Litons'!$A:$C,3,0)</f>
        <v>PG</v>
      </c>
      <c r="J4663" s="918" t="str">
        <f t="shared" si="468"/>
        <v>2904PG</v>
      </c>
      <c r="K4663" s="919">
        <v>1</v>
      </c>
      <c r="L4663" s="920">
        <f t="shared" si="469"/>
        <v>2280</v>
      </c>
      <c r="M4663" s="920">
        <f t="shared" si="470"/>
        <v>12.011039999999999</v>
      </c>
      <c r="N4663" s="920">
        <f t="shared" si="471"/>
        <v>17.53846153846154</v>
      </c>
      <c r="O4663" s="918" t="str">
        <f t="shared" si="472"/>
        <v>Mar</v>
      </c>
      <c r="P4663" s="921">
        <f t="shared" si="473"/>
        <v>10</v>
      </c>
    </row>
    <row r="4664" spans="1:16" ht="15" hidden="1" customHeight="1">
      <c r="A4664" s="839">
        <v>69629468</v>
      </c>
      <c r="B4664" s="839">
        <v>2904</v>
      </c>
      <c r="C4664" s="906">
        <v>2009</v>
      </c>
      <c r="D4664" s="907">
        <v>46087</v>
      </c>
      <c r="E4664" s="839" t="s">
        <v>291</v>
      </c>
      <c r="F4664" s="839" t="s">
        <v>226</v>
      </c>
      <c r="G4664" s="916">
        <f>VLOOKUP($A4664,'Tech Litons'!$A:$I,8,FALSE)</f>
        <v>5.2680000000000001E-3</v>
      </c>
      <c r="H4664" s="917">
        <f>VLOOKUP($A4664,'Tech Litons'!$A:$I,9,FALSE)</f>
        <v>130</v>
      </c>
      <c r="I4664" s="917" t="str">
        <f>VLOOKUP($A4664,'Tech Litons'!$A:$C,3,0)</f>
        <v>PG</v>
      </c>
      <c r="J4664" s="918" t="str">
        <f t="shared" si="468"/>
        <v>2904PG</v>
      </c>
      <c r="K4664" s="919">
        <v>1</v>
      </c>
      <c r="L4664" s="920">
        <f t="shared" si="469"/>
        <v>2009</v>
      </c>
      <c r="M4664" s="920">
        <f t="shared" si="470"/>
        <v>10.583412000000001</v>
      </c>
      <c r="N4664" s="920">
        <f t="shared" si="471"/>
        <v>15.453846153846154</v>
      </c>
      <c r="O4664" s="918" t="str">
        <f t="shared" si="472"/>
        <v>Mar</v>
      </c>
      <c r="P4664" s="921">
        <f t="shared" si="473"/>
        <v>10</v>
      </c>
    </row>
    <row r="4665" spans="1:16" ht="15" hidden="1" customHeight="1">
      <c r="A4665" s="839">
        <v>69629468</v>
      </c>
      <c r="B4665" s="839">
        <v>2904</v>
      </c>
      <c r="C4665" s="906">
        <v>2258</v>
      </c>
      <c r="D4665" s="907">
        <v>46087</v>
      </c>
      <c r="E4665" s="839" t="s">
        <v>291</v>
      </c>
      <c r="F4665" s="839" t="s">
        <v>226</v>
      </c>
      <c r="G4665" s="916">
        <f>VLOOKUP($A4665,'Tech Litons'!$A:$I,8,FALSE)</f>
        <v>5.2680000000000001E-3</v>
      </c>
      <c r="H4665" s="917">
        <f>VLOOKUP($A4665,'Tech Litons'!$A:$I,9,FALSE)</f>
        <v>130</v>
      </c>
      <c r="I4665" s="917" t="str">
        <f>VLOOKUP($A4665,'Tech Litons'!$A:$C,3,0)</f>
        <v>PG</v>
      </c>
      <c r="J4665" s="918" t="str">
        <f t="shared" si="468"/>
        <v>2904PG</v>
      </c>
      <c r="K4665" s="919">
        <v>1</v>
      </c>
      <c r="L4665" s="920">
        <f t="shared" si="469"/>
        <v>2258</v>
      </c>
      <c r="M4665" s="920">
        <f t="shared" si="470"/>
        <v>11.895144</v>
      </c>
      <c r="N4665" s="920">
        <f t="shared" si="471"/>
        <v>17.369230769230768</v>
      </c>
      <c r="O4665" s="918" t="str">
        <f t="shared" si="472"/>
        <v>Mar</v>
      </c>
      <c r="P4665" s="921">
        <f t="shared" si="473"/>
        <v>10</v>
      </c>
    </row>
    <row r="4666" spans="1:16" ht="15" hidden="1" customHeight="1">
      <c r="A4666" s="839">
        <v>69629468</v>
      </c>
      <c r="B4666" s="839">
        <v>2904</v>
      </c>
      <c r="C4666" s="906">
        <v>1165</v>
      </c>
      <c r="D4666" s="907">
        <v>46088</v>
      </c>
      <c r="E4666" s="839" t="s">
        <v>291</v>
      </c>
      <c r="F4666" s="839" t="s">
        <v>226</v>
      </c>
      <c r="G4666" s="916">
        <f>VLOOKUP($A4666,'Tech Litons'!$A:$I,8,FALSE)</f>
        <v>5.2680000000000001E-3</v>
      </c>
      <c r="H4666" s="917">
        <f>VLOOKUP($A4666,'Tech Litons'!$A:$I,9,FALSE)</f>
        <v>130</v>
      </c>
      <c r="I4666" s="917" t="str">
        <f>VLOOKUP($A4666,'Tech Litons'!$A:$C,3,0)</f>
        <v>PG</v>
      </c>
      <c r="J4666" s="918" t="str">
        <f t="shared" si="468"/>
        <v>2904PG</v>
      </c>
      <c r="K4666" s="919">
        <v>1</v>
      </c>
      <c r="L4666" s="920">
        <f t="shared" si="469"/>
        <v>1165</v>
      </c>
      <c r="M4666" s="920">
        <f t="shared" si="470"/>
        <v>6.1372200000000001</v>
      </c>
      <c r="N4666" s="920">
        <f t="shared" si="471"/>
        <v>8.9615384615384617</v>
      </c>
      <c r="O4666" s="918" t="str">
        <f t="shared" si="472"/>
        <v>Mar</v>
      </c>
      <c r="P4666" s="921">
        <f t="shared" si="473"/>
        <v>10</v>
      </c>
    </row>
    <row r="4667" spans="1:16" ht="15" hidden="1" customHeight="1">
      <c r="A4667" s="839">
        <v>69629468</v>
      </c>
      <c r="B4667" s="839">
        <v>2904</v>
      </c>
      <c r="C4667" s="906">
        <v>1820</v>
      </c>
      <c r="D4667" s="907">
        <v>46090</v>
      </c>
      <c r="E4667" s="839" t="s">
        <v>291</v>
      </c>
      <c r="F4667" s="839" t="s">
        <v>226</v>
      </c>
      <c r="G4667" s="916">
        <f>VLOOKUP($A4667,'Tech Litons'!$A:$I,8,FALSE)</f>
        <v>5.2680000000000001E-3</v>
      </c>
      <c r="H4667" s="917">
        <f>VLOOKUP($A4667,'Tech Litons'!$A:$I,9,FALSE)</f>
        <v>130</v>
      </c>
      <c r="I4667" s="917" t="str">
        <f>VLOOKUP($A4667,'Tech Litons'!$A:$C,3,0)</f>
        <v>PG</v>
      </c>
      <c r="J4667" s="918" t="str">
        <f t="shared" si="468"/>
        <v>2904PG</v>
      </c>
      <c r="K4667" s="919">
        <v>1</v>
      </c>
      <c r="L4667" s="920">
        <f t="shared" si="469"/>
        <v>1820</v>
      </c>
      <c r="M4667" s="920">
        <f t="shared" si="470"/>
        <v>9.5877599999999994</v>
      </c>
      <c r="N4667" s="920">
        <f t="shared" si="471"/>
        <v>14</v>
      </c>
      <c r="O4667" s="918" t="str">
        <f t="shared" si="472"/>
        <v>Mar</v>
      </c>
      <c r="P4667" s="921">
        <f t="shared" si="473"/>
        <v>11</v>
      </c>
    </row>
    <row r="4668" spans="1:16" ht="15" hidden="1" customHeight="1">
      <c r="A4668" s="839">
        <v>69629468</v>
      </c>
      <c r="B4668" s="839">
        <v>2904</v>
      </c>
      <c r="C4668" s="906">
        <v>238</v>
      </c>
      <c r="D4668" s="907">
        <v>46091</v>
      </c>
      <c r="E4668" s="839" t="s">
        <v>291</v>
      </c>
      <c r="F4668" s="839" t="s">
        <v>226</v>
      </c>
      <c r="G4668" s="916">
        <f>VLOOKUP($A4668,'Tech Litons'!$A:$I,8,FALSE)</f>
        <v>5.2680000000000001E-3</v>
      </c>
      <c r="H4668" s="917">
        <f>VLOOKUP($A4668,'Tech Litons'!$A:$I,9,FALSE)</f>
        <v>130</v>
      </c>
      <c r="I4668" s="917" t="str">
        <f>VLOOKUP($A4668,'Tech Litons'!$A:$C,3,0)</f>
        <v>PG</v>
      </c>
      <c r="J4668" s="918" t="str">
        <f t="shared" si="468"/>
        <v>2904PG</v>
      </c>
      <c r="K4668" s="919">
        <v>1</v>
      </c>
      <c r="L4668" s="920">
        <f t="shared" si="469"/>
        <v>238</v>
      </c>
      <c r="M4668" s="920">
        <f t="shared" si="470"/>
        <v>1.253784</v>
      </c>
      <c r="N4668" s="920">
        <f t="shared" si="471"/>
        <v>1.8307692307692307</v>
      </c>
      <c r="O4668" s="918" t="str">
        <f t="shared" si="472"/>
        <v>Mar</v>
      </c>
      <c r="P4668" s="921">
        <f t="shared" si="473"/>
        <v>11</v>
      </c>
    </row>
    <row r="4669" spans="1:16" ht="15" hidden="1" customHeight="1">
      <c r="A4669" s="839">
        <v>69629468</v>
      </c>
      <c r="B4669" s="839">
        <v>2904</v>
      </c>
      <c r="C4669" s="906">
        <v>1518</v>
      </c>
      <c r="D4669" s="907">
        <v>46091</v>
      </c>
      <c r="E4669" s="839" t="s">
        <v>291</v>
      </c>
      <c r="F4669" s="839" t="s">
        <v>226</v>
      </c>
      <c r="G4669" s="916">
        <f>VLOOKUP($A4669,'Tech Litons'!$A:$I,8,FALSE)</f>
        <v>5.2680000000000001E-3</v>
      </c>
      <c r="H4669" s="917">
        <f>VLOOKUP($A4669,'Tech Litons'!$A:$I,9,FALSE)</f>
        <v>130</v>
      </c>
      <c r="I4669" s="917" t="str">
        <f>VLOOKUP($A4669,'Tech Litons'!$A:$C,3,0)</f>
        <v>PG</v>
      </c>
      <c r="J4669" s="918" t="str">
        <f t="shared" si="468"/>
        <v>2904PG</v>
      </c>
      <c r="K4669" s="919">
        <v>1</v>
      </c>
      <c r="L4669" s="920">
        <f t="shared" si="469"/>
        <v>1518</v>
      </c>
      <c r="M4669" s="920">
        <f t="shared" si="470"/>
        <v>7.9968240000000002</v>
      </c>
      <c r="N4669" s="920">
        <f t="shared" si="471"/>
        <v>11.676923076923076</v>
      </c>
      <c r="O4669" s="918" t="str">
        <f t="shared" si="472"/>
        <v>Mar</v>
      </c>
      <c r="P4669" s="921">
        <f t="shared" si="473"/>
        <v>11</v>
      </c>
    </row>
    <row r="4670" spans="1:16" ht="15" hidden="1" customHeight="1">
      <c r="A4670" s="839">
        <v>69629468</v>
      </c>
      <c r="B4670" s="839">
        <v>2904</v>
      </c>
      <c r="C4670" s="906">
        <v>1585</v>
      </c>
      <c r="D4670" s="907">
        <v>46092</v>
      </c>
      <c r="E4670" s="839" t="s">
        <v>291</v>
      </c>
      <c r="F4670" s="839" t="s">
        <v>226</v>
      </c>
      <c r="G4670" s="916">
        <f>VLOOKUP($A4670,'Tech Litons'!$A:$I,8,FALSE)</f>
        <v>5.2680000000000001E-3</v>
      </c>
      <c r="H4670" s="917">
        <f>VLOOKUP($A4670,'Tech Litons'!$A:$I,9,FALSE)</f>
        <v>130</v>
      </c>
      <c r="I4670" s="917" t="str">
        <f>VLOOKUP($A4670,'Tech Litons'!$A:$C,3,0)</f>
        <v>PG</v>
      </c>
      <c r="J4670" s="918" t="str">
        <f t="shared" si="468"/>
        <v>2904PG</v>
      </c>
      <c r="K4670" s="919">
        <v>1</v>
      </c>
      <c r="L4670" s="920">
        <f t="shared" si="469"/>
        <v>1585</v>
      </c>
      <c r="M4670" s="920">
        <f t="shared" si="470"/>
        <v>8.3497800000000009</v>
      </c>
      <c r="N4670" s="920">
        <f t="shared" si="471"/>
        <v>12.192307692307692</v>
      </c>
      <c r="O4670" s="918" t="str">
        <f t="shared" si="472"/>
        <v>Mar</v>
      </c>
      <c r="P4670" s="921">
        <f t="shared" si="473"/>
        <v>11</v>
      </c>
    </row>
    <row r="4671" spans="1:16" ht="15" hidden="1" customHeight="1">
      <c r="A4671" s="839">
        <v>69629468</v>
      </c>
      <c r="B4671" s="839">
        <v>2904</v>
      </c>
      <c r="C4671" s="906">
        <v>1703</v>
      </c>
      <c r="D4671" s="907">
        <v>46092</v>
      </c>
      <c r="E4671" s="839" t="s">
        <v>291</v>
      </c>
      <c r="F4671" s="839" t="s">
        <v>226</v>
      </c>
      <c r="G4671" s="916">
        <f>VLOOKUP($A4671,'Tech Litons'!$A:$I,8,FALSE)</f>
        <v>5.2680000000000001E-3</v>
      </c>
      <c r="H4671" s="917">
        <f>VLOOKUP($A4671,'Tech Litons'!$A:$I,9,FALSE)</f>
        <v>130</v>
      </c>
      <c r="I4671" s="917" t="str">
        <f>VLOOKUP($A4671,'Tech Litons'!$A:$C,3,0)</f>
        <v>PG</v>
      </c>
      <c r="J4671" s="918" t="str">
        <f t="shared" si="468"/>
        <v>2904PG</v>
      </c>
      <c r="K4671" s="919">
        <v>1</v>
      </c>
      <c r="L4671" s="920">
        <f t="shared" si="469"/>
        <v>1703</v>
      </c>
      <c r="M4671" s="920">
        <f t="shared" si="470"/>
        <v>8.9714039999999997</v>
      </c>
      <c r="N4671" s="920">
        <f t="shared" si="471"/>
        <v>13.1</v>
      </c>
      <c r="O4671" s="918" t="str">
        <f t="shared" si="472"/>
        <v>Mar</v>
      </c>
      <c r="P4671" s="921">
        <f t="shared" si="473"/>
        <v>11</v>
      </c>
    </row>
    <row r="4672" spans="1:16" ht="15" hidden="1" customHeight="1">
      <c r="A4672" s="839">
        <v>69629468</v>
      </c>
      <c r="B4672" s="839">
        <v>2904</v>
      </c>
      <c r="C4672" s="906">
        <v>626</v>
      </c>
      <c r="D4672" s="907">
        <v>46093</v>
      </c>
      <c r="E4672" s="839" t="s">
        <v>291</v>
      </c>
      <c r="F4672" s="839" t="s">
        <v>226</v>
      </c>
      <c r="G4672" s="916">
        <f>VLOOKUP($A4672,'Tech Litons'!$A:$I,8,FALSE)</f>
        <v>5.2680000000000001E-3</v>
      </c>
      <c r="H4672" s="917">
        <f>VLOOKUP($A4672,'Tech Litons'!$A:$I,9,FALSE)</f>
        <v>130</v>
      </c>
      <c r="I4672" s="917" t="str">
        <f>VLOOKUP($A4672,'Tech Litons'!$A:$C,3,0)</f>
        <v>PG</v>
      </c>
      <c r="J4672" s="918" t="str">
        <f t="shared" si="468"/>
        <v>2904PG</v>
      </c>
      <c r="K4672" s="919">
        <v>1</v>
      </c>
      <c r="L4672" s="920">
        <f t="shared" si="469"/>
        <v>626</v>
      </c>
      <c r="M4672" s="920">
        <f t="shared" si="470"/>
        <v>3.297768</v>
      </c>
      <c r="N4672" s="920">
        <f t="shared" si="471"/>
        <v>4.8153846153846152</v>
      </c>
      <c r="O4672" s="918" t="str">
        <f t="shared" si="472"/>
        <v>Mar</v>
      </c>
      <c r="P4672" s="921">
        <f t="shared" si="473"/>
        <v>11</v>
      </c>
    </row>
    <row r="4673" spans="1:16" ht="15" hidden="1" customHeight="1">
      <c r="A4673" s="839">
        <v>69629468</v>
      </c>
      <c r="B4673" s="839">
        <v>2904</v>
      </c>
      <c r="C4673" s="906">
        <v>791</v>
      </c>
      <c r="D4673" s="907">
        <v>46093</v>
      </c>
      <c r="E4673" s="839" t="s">
        <v>291</v>
      </c>
      <c r="F4673" s="839" t="s">
        <v>226</v>
      </c>
      <c r="G4673" s="916">
        <f>VLOOKUP($A4673,'Tech Litons'!$A:$I,8,FALSE)</f>
        <v>5.2680000000000001E-3</v>
      </c>
      <c r="H4673" s="917">
        <f>VLOOKUP($A4673,'Tech Litons'!$A:$I,9,FALSE)</f>
        <v>130</v>
      </c>
      <c r="I4673" s="917" t="str">
        <f>VLOOKUP($A4673,'Tech Litons'!$A:$C,3,0)</f>
        <v>PG</v>
      </c>
      <c r="J4673" s="918" t="str">
        <f t="shared" si="468"/>
        <v>2904PG</v>
      </c>
      <c r="K4673" s="919">
        <v>1</v>
      </c>
      <c r="L4673" s="920">
        <f t="shared" si="469"/>
        <v>791</v>
      </c>
      <c r="M4673" s="920">
        <f t="shared" si="470"/>
        <v>4.1669879999999999</v>
      </c>
      <c r="N4673" s="920">
        <f t="shared" si="471"/>
        <v>6.0846153846153843</v>
      </c>
      <c r="O4673" s="918" t="str">
        <f t="shared" si="472"/>
        <v>Mar</v>
      </c>
      <c r="P4673" s="921">
        <f t="shared" si="473"/>
        <v>11</v>
      </c>
    </row>
    <row r="4674" spans="1:16" ht="15" hidden="1" customHeight="1">
      <c r="A4674" s="839">
        <v>69629468</v>
      </c>
      <c r="B4674" s="839">
        <v>2904</v>
      </c>
      <c r="C4674" s="906">
        <v>1505</v>
      </c>
      <c r="D4674" s="907">
        <v>46094</v>
      </c>
      <c r="E4674" s="839" t="s">
        <v>291</v>
      </c>
      <c r="F4674" s="839" t="s">
        <v>226</v>
      </c>
      <c r="G4674" s="916">
        <f>VLOOKUP($A4674,'Tech Litons'!$A:$I,8,FALSE)</f>
        <v>5.2680000000000001E-3</v>
      </c>
      <c r="H4674" s="917">
        <f>VLOOKUP($A4674,'Tech Litons'!$A:$I,9,FALSE)</f>
        <v>130</v>
      </c>
      <c r="I4674" s="917" t="str">
        <f>VLOOKUP($A4674,'Tech Litons'!$A:$C,3,0)</f>
        <v>PG</v>
      </c>
      <c r="J4674" s="918" t="str">
        <f t="shared" si="468"/>
        <v>2904PG</v>
      </c>
      <c r="K4674" s="919">
        <v>1</v>
      </c>
      <c r="L4674" s="920">
        <f t="shared" si="469"/>
        <v>1505</v>
      </c>
      <c r="M4674" s="920">
        <f t="shared" si="470"/>
        <v>7.9283400000000004</v>
      </c>
      <c r="N4674" s="920">
        <f t="shared" si="471"/>
        <v>11.576923076923077</v>
      </c>
      <c r="O4674" s="918" t="str">
        <f t="shared" si="472"/>
        <v>Mar</v>
      </c>
      <c r="P4674" s="921">
        <f t="shared" si="473"/>
        <v>11</v>
      </c>
    </row>
    <row r="4675" spans="1:16" ht="15" hidden="1" customHeight="1">
      <c r="A4675" s="839">
        <v>69629468</v>
      </c>
      <c r="B4675" s="839">
        <v>2904</v>
      </c>
      <c r="C4675" s="906">
        <v>1546</v>
      </c>
      <c r="D4675" s="907">
        <v>46094</v>
      </c>
      <c r="E4675" s="839" t="s">
        <v>291</v>
      </c>
      <c r="F4675" s="839" t="s">
        <v>226</v>
      </c>
      <c r="G4675" s="916">
        <f>VLOOKUP($A4675,'Tech Litons'!$A:$I,8,FALSE)</f>
        <v>5.2680000000000001E-3</v>
      </c>
      <c r="H4675" s="917">
        <f>VLOOKUP($A4675,'Tech Litons'!$A:$I,9,FALSE)</f>
        <v>130</v>
      </c>
      <c r="I4675" s="917" t="str">
        <f>VLOOKUP($A4675,'Tech Litons'!$A:$C,3,0)</f>
        <v>PG</v>
      </c>
      <c r="J4675" s="918" t="str">
        <f t="shared" si="468"/>
        <v>2904PG</v>
      </c>
      <c r="K4675" s="919">
        <v>1</v>
      </c>
      <c r="L4675" s="920">
        <f t="shared" si="469"/>
        <v>1546</v>
      </c>
      <c r="M4675" s="920">
        <f t="shared" si="470"/>
        <v>8.1443279999999998</v>
      </c>
      <c r="N4675" s="920">
        <f t="shared" si="471"/>
        <v>11.892307692307693</v>
      </c>
      <c r="O4675" s="918" t="str">
        <f t="shared" si="472"/>
        <v>Mar</v>
      </c>
      <c r="P4675" s="921">
        <f t="shared" si="473"/>
        <v>11</v>
      </c>
    </row>
    <row r="4676" spans="1:16" ht="15" hidden="1" customHeight="1">
      <c r="A4676" s="839">
        <v>69629468</v>
      </c>
      <c r="B4676" s="839">
        <v>2904</v>
      </c>
      <c r="C4676" s="906">
        <v>1226</v>
      </c>
      <c r="D4676" s="907">
        <v>46095</v>
      </c>
      <c r="E4676" s="839" t="s">
        <v>291</v>
      </c>
      <c r="F4676" s="839" t="s">
        <v>226</v>
      </c>
      <c r="G4676" s="916">
        <f>VLOOKUP($A4676,'Tech Litons'!$A:$I,8,FALSE)</f>
        <v>5.2680000000000001E-3</v>
      </c>
      <c r="H4676" s="917">
        <f>VLOOKUP($A4676,'Tech Litons'!$A:$I,9,FALSE)</f>
        <v>130</v>
      </c>
      <c r="I4676" s="917" t="str">
        <f>VLOOKUP($A4676,'Tech Litons'!$A:$C,3,0)</f>
        <v>PG</v>
      </c>
      <c r="J4676" s="918" t="str">
        <f t="shared" si="468"/>
        <v>2904PG</v>
      </c>
      <c r="K4676" s="919">
        <v>1</v>
      </c>
      <c r="L4676" s="920">
        <f t="shared" si="469"/>
        <v>1226</v>
      </c>
      <c r="M4676" s="920">
        <f t="shared" si="470"/>
        <v>6.4585680000000005</v>
      </c>
      <c r="N4676" s="920">
        <f t="shared" si="471"/>
        <v>9.430769230769231</v>
      </c>
      <c r="O4676" s="918" t="str">
        <f t="shared" si="472"/>
        <v>Mar</v>
      </c>
      <c r="P4676" s="921">
        <f t="shared" si="473"/>
        <v>11</v>
      </c>
    </row>
    <row r="4677" spans="1:16" ht="15" hidden="1" customHeight="1">
      <c r="A4677" s="839">
        <v>69629468</v>
      </c>
      <c r="B4677" s="839">
        <v>2904</v>
      </c>
      <c r="C4677" s="906">
        <v>691</v>
      </c>
      <c r="D4677" s="907">
        <v>46097</v>
      </c>
      <c r="E4677" s="839" t="s">
        <v>291</v>
      </c>
      <c r="F4677" s="839" t="s">
        <v>226</v>
      </c>
      <c r="G4677" s="916">
        <f>VLOOKUP($A4677,'Tech Litons'!$A:$I,8,FALSE)</f>
        <v>5.2680000000000001E-3</v>
      </c>
      <c r="H4677" s="917">
        <f>VLOOKUP($A4677,'Tech Litons'!$A:$I,9,FALSE)</f>
        <v>130</v>
      </c>
      <c r="I4677" s="917" t="str">
        <f>VLOOKUP($A4677,'Tech Litons'!$A:$C,3,0)</f>
        <v>PG</v>
      </c>
      <c r="J4677" s="918" t="str">
        <f t="shared" si="468"/>
        <v>2904PG</v>
      </c>
      <c r="K4677" s="919">
        <v>1</v>
      </c>
      <c r="L4677" s="920">
        <f t="shared" si="469"/>
        <v>691</v>
      </c>
      <c r="M4677" s="920">
        <f t="shared" si="470"/>
        <v>3.6401880000000002</v>
      </c>
      <c r="N4677" s="920">
        <f t="shared" si="471"/>
        <v>5.3153846153846152</v>
      </c>
      <c r="O4677" s="918" t="str">
        <f t="shared" si="472"/>
        <v>Mar</v>
      </c>
      <c r="P4677" s="921">
        <f t="shared" si="473"/>
        <v>12</v>
      </c>
    </row>
    <row r="4678" spans="1:16" ht="15" hidden="1" customHeight="1">
      <c r="A4678" s="839">
        <v>69629468</v>
      </c>
      <c r="B4678" s="839">
        <v>2904</v>
      </c>
      <c r="C4678" s="906">
        <v>858</v>
      </c>
      <c r="D4678" s="907">
        <v>46098</v>
      </c>
      <c r="E4678" s="839" t="s">
        <v>291</v>
      </c>
      <c r="F4678" s="839" t="s">
        <v>226</v>
      </c>
      <c r="G4678" s="916">
        <f>VLOOKUP($A4678,'Tech Litons'!$A:$I,8,FALSE)</f>
        <v>5.2680000000000001E-3</v>
      </c>
      <c r="H4678" s="917">
        <f>VLOOKUP($A4678,'Tech Litons'!$A:$I,9,FALSE)</f>
        <v>130</v>
      </c>
      <c r="I4678" s="917" t="str">
        <f>VLOOKUP($A4678,'Tech Litons'!$A:$C,3,0)</f>
        <v>PG</v>
      </c>
      <c r="J4678" s="918" t="str">
        <f t="shared" si="468"/>
        <v>2904PG</v>
      </c>
      <c r="K4678" s="919">
        <v>1</v>
      </c>
      <c r="L4678" s="920">
        <f t="shared" si="469"/>
        <v>858</v>
      </c>
      <c r="M4678" s="920">
        <f t="shared" si="470"/>
        <v>4.5199439999999997</v>
      </c>
      <c r="N4678" s="920">
        <f t="shared" si="471"/>
        <v>6.6</v>
      </c>
      <c r="O4678" s="918" t="str">
        <f t="shared" si="472"/>
        <v>Mar</v>
      </c>
      <c r="P4678" s="921">
        <f t="shared" si="473"/>
        <v>12</v>
      </c>
    </row>
    <row r="4679" spans="1:16" ht="15" hidden="1" customHeight="1">
      <c r="A4679" s="839">
        <v>69629468</v>
      </c>
      <c r="B4679" s="839">
        <v>2904</v>
      </c>
      <c r="C4679" s="906">
        <v>2050</v>
      </c>
      <c r="D4679" s="907">
        <v>46098</v>
      </c>
      <c r="E4679" s="839" t="s">
        <v>291</v>
      </c>
      <c r="F4679" s="839" t="s">
        <v>226</v>
      </c>
      <c r="G4679" s="916">
        <f>VLOOKUP($A4679,'Tech Litons'!$A:$I,8,FALSE)</f>
        <v>5.2680000000000001E-3</v>
      </c>
      <c r="H4679" s="917">
        <f>VLOOKUP($A4679,'Tech Litons'!$A:$I,9,FALSE)</f>
        <v>130</v>
      </c>
      <c r="I4679" s="917" t="str">
        <f>VLOOKUP($A4679,'Tech Litons'!$A:$C,3,0)</f>
        <v>PG</v>
      </c>
      <c r="J4679" s="918" t="str">
        <f t="shared" si="468"/>
        <v>2904PG</v>
      </c>
      <c r="K4679" s="919">
        <v>1</v>
      </c>
      <c r="L4679" s="920">
        <f t="shared" si="469"/>
        <v>2050</v>
      </c>
      <c r="M4679" s="920">
        <f t="shared" si="470"/>
        <v>10.7994</v>
      </c>
      <c r="N4679" s="920">
        <f t="shared" si="471"/>
        <v>15.76923076923077</v>
      </c>
      <c r="O4679" s="918" t="str">
        <f t="shared" si="472"/>
        <v>Mar</v>
      </c>
      <c r="P4679" s="921">
        <f t="shared" si="473"/>
        <v>12</v>
      </c>
    </row>
    <row r="4680" spans="1:16" ht="15" hidden="1" customHeight="1">
      <c r="A4680" s="839">
        <v>69629468</v>
      </c>
      <c r="B4680" s="839">
        <v>2904</v>
      </c>
      <c r="C4680" s="906">
        <v>1539</v>
      </c>
      <c r="D4680" s="907">
        <v>46099</v>
      </c>
      <c r="E4680" s="839" t="s">
        <v>291</v>
      </c>
      <c r="F4680" s="839" t="s">
        <v>226</v>
      </c>
      <c r="G4680" s="916">
        <f>VLOOKUP($A4680,'Tech Litons'!$A:$I,8,FALSE)</f>
        <v>5.2680000000000001E-3</v>
      </c>
      <c r="H4680" s="917">
        <f>VLOOKUP($A4680,'Tech Litons'!$A:$I,9,FALSE)</f>
        <v>130</v>
      </c>
      <c r="I4680" s="917" t="str">
        <f>VLOOKUP($A4680,'Tech Litons'!$A:$C,3,0)</f>
        <v>PG</v>
      </c>
      <c r="J4680" s="918" t="str">
        <f t="shared" si="468"/>
        <v>2904PG</v>
      </c>
      <c r="K4680" s="919">
        <v>1</v>
      </c>
      <c r="L4680" s="920">
        <f t="shared" si="469"/>
        <v>1539</v>
      </c>
      <c r="M4680" s="920">
        <f t="shared" si="470"/>
        <v>8.1074520000000003</v>
      </c>
      <c r="N4680" s="920">
        <f t="shared" si="471"/>
        <v>11.838461538461539</v>
      </c>
      <c r="O4680" s="918" t="str">
        <f t="shared" si="472"/>
        <v>Mar</v>
      </c>
      <c r="P4680" s="921">
        <f t="shared" si="473"/>
        <v>12</v>
      </c>
    </row>
    <row r="4681" spans="1:16" ht="15" hidden="1" customHeight="1">
      <c r="A4681" s="839">
        <v>69629468</v>
      </c>
      <c r="B4681" s="839">
        <v>2904</v>
      </c>
      <c r="C4681" s="906">
        <v>68</v>
      </c>
      <c r="D4681" s="907">
        <v>46099</v>
      </c>
      <c r="E4681" s="839" t="s">
        <v>291</v>
      </c>
      <c r="F4681" s="839" t="s">
        <v>226</v>
      </c>
      <c r="G4681" s="916">
        <f>VLOOKUP($A4681,'Tech Litons'!$A:$I,8,FALSE)</f>
        <v>5.2680000000000001E-3</v>
      </c>
      <c r="H4681" s="917">
        <f>VLOOKUP($A4681,'Tech Litons'!$A:$I,9,FALSE)</f>
        <v>130</v>
      </c>
      <c r="I4681" s="917" t="str">
        <f>VLOOKUP($A4681,'Tech Litons'!$A:$C,3,0)</f>
        <v>PG</v>
      </c>
      <c r="J4681" s="918" t="str">
        <f t="shared" si="468"/>
        <v>2904PG</v>
      </c>
      <c r="K4681" s="919">
        <v>1</v>
      </c>
      <c r="L4681" s="920">
        <f t="shared" si="469"/>
        <v>68</v>
      </c>
      <c r="M4681" s="920">
        <f t="shared" si="470"/>
        <v>0.35822399999999999</v>
      </c>
      <c r="N4681" s="920">
        <f t="shared" si="471"/>
        <v>0.52307692307692311</v>
      </c>
      <c r="O4681" s="918" t="str">
        <f t="shared" si="472"/>
        <v>Mar</v>
      </c>
      <c r="P4681" s="921">
        <f t="shared" si="473"/>
        <v>12</v>
      </c>
    </row>
    <row r="4682" spans="1:16" ht="15" hidden="1" customHeight="1">
      <c r="A4682" s="839">
        <v>69629468</v>
      </c>
      <c r="B4682" s="839">
        <v>2904</v>
      </c>
      <c r="C4682" s="906">
        <v>2080</v>
      </c>
      <c r="D4682" s="907">
        <v>46100</v>
      </c>
      <c r="E4682" s="839" t="s">
        <v>291</v>
      </c>
      <c r="F4682" s="839" t="s">
        <v>226</v>
      </c>
      <c r="G4682" s="916">
        <f>VLOOKUP($A4682,'Tech Litons'!$A:$I,8,FALSE)</f>
        <v>5.2680000000000001E-3</v>
      </c>
      <c r="H4682" s="917">
        <f>VLOOKUP($A4682,'Tech Litons'!$A:$I,9,FALSE)</f>
        <v>130</v>
      </c>
      <c r="I4682" s="917" t="str">
        <f>VLOOKUP($A4682,'Tech Litons'!$A:$C,3,0)</f>
        <v>PG</v>
      </c>
      <c r="J4682" s="918" t="str">
        <f t="shared" si="468"/>
        <v>2904PG</v>
      </c>
      <c r="K4682" s="919">
        <v>1</v>
      </c>
      <c r="L4682" s="920">
        <f t="shared" si="469"/>
        <v>2080</v>
      </c>
      <c r="M4682" s="920">
        <f t="shared" si="470"/>
        <v>10.95744</v>
      </c>
      <c r="N4682" s="920">
        <f t="shared" si="471"/>
        <v>16</v>
      </c>
      <c r="O4682" s="918" t="str">
        <f t="shared" si="472"/>
        <v>Mar</v>
      </c>
      <c r="P4682" s="921">
        <f t="shared" si="473"/>
        <v>12</v>
      </c>
    </row>
    <row r="4683" spans="1:16" ht="15" hidden="1" customHeight="1">
      <c r="A4683" s="839">
        <v>69629468</v>
      </c>
      <c r="B4683" s="839">
        <v>2904</v>
      </c>
      <c r="C4683" s="906">
        <v>2574</v>
      </c>
      <c r="D4683" s="907">
        <v>46100</v>
      </c>
      <c r="E4683" s="839" t="s">
        <v>291</v>
      </c>
      <c r="F4683" s="839" t="s">
        <v>226</v>
      </c>
      <c r="G4683" s="916">
        <f>VLOOKUP($A4683,'Tech Litons'!$A:$I,8,FALSE)</f>
        <v>5.2680000000000001E-3</v>
      </c>
      <c r="H4683" s="917">
        <f>VLOOKUP($A4683,'Tech Litons'!$A:$I,9,FALSE)</f>
        <v>130</v>
      </c>
      <c r="I4683" s="917" t="str">
        <f>VLOOKUP($A4683,'Tech Litons'!$A:$C,3,0)</f>
        <v>PG</v>
      </c>
      <c r="J4683" s="918" t="str">
        <f t="shared" si="468"/>
        <v>2904PG</v>
      </c>
      <c r="K4683" s="919">
        <v>1</v>
      </c>
      <c r="L4683" s="920">
        <f t="shared" si="469"/>
        <v>2574</v>
      </c>
      <c r="M4683" s="920">
        <f t="shared" si="470"/>
        <v>13.559832</v>
      </c>
      <c r="N4683" s="920">
        <f t="shared" si="471"/>
        <v>19.8</v>
      </c>
      <c r="O4683" s="918" t="str">
        <f t="shared" si="472"/>
        <v>Mar</v>
      </c>
      <c r="P4683" s="921">
        <f t="shared" si="473"/>
        <v>12</v>
      </c>
    </row>
    <row r="4684" spans="1:16" ht="15" hidden="1" customHeight="1">
      <c r="A4684" s="839">
        <v>69629468</v>
      </c>
      <c r="B4684" s="839">
        <v>2904</v>
      </c>
      <c r="C4684" s="906">
        <v>1638</v>
      </c>
      <c r="D4684" s="907">
        <v>46101</v>
      </c>
      <c r="E4684" s="839" t="s">
        <v>291</v>
      </c>
      <c r="F4684" s="839" t="s">
        <v>226</v>
      </c>
      <c r="G4684" s="916">
        <f>VLOOKUP($A4684,'Tech Litons'!$A:$I,8,FALSE)</f>
        <v>5.2680000000000001E-3</v>
      </c>
      <c r="H4684" s="917">
        <f>VLOOKUP($A4684,'Tech Litons'!$A:$I,9,FALSE)</f>
        <v>130</v>
      </c>
      <c r="I4684" s="917" t="str">
        <f>VLOOKUP($A4684,'Tech Litons'!$A:$C,3,0)</f>
        <v>PG</v>
      </c>
      <c r="J4684" s="918" t="str">
        <f t="shared" si="468"/>
        <v>2904PG</v>
      </c>
      <c r="K4684" s="919">
        <v>1</v>
      </c>
      <c r="L4684" s="920">
        <f t="shared" si="469"/>
        <v>1638</v>
      </c>
      <c r="M4684" s="920">
        <f t="shared" si="470"/>
        <v>8.6289840000000009</v>
      </c>
      <c r="N4684" s="920">
        <f t="shared" si="471"/>
        <v>12.6</v>
      </c>
      <c r="O4684" s="918" t="str">
        <f t="shared" si="472"/>
        <v>Mar</v>
      </c>
      <c r="P4684" s="921">
        <f t="shared" si="473"/>
        <v>12</v>
      </c>
    </row>
    <row r="4685" spans="1:16" ht="15" hidden="1" customHeight="1">
      <c r="A4685" s="839">
        <v>69629468</v>
      </c>
      <c r="B4685" s="839">
        <v>2904</v>
      </c>
      <c r="C4685" s="906">
        <v>1948</v>
      </c>
      <c r="D4685" s="907">
        <v>46101</v>
      </c>
      <c r="E4685" s="839" t="s">
        <v>291</v>
      </c>
      <c r="F4685" s="839" t="s">
        <v>226</v>
      </c>
      <c r="G4685" s="916">
        <f>VLOOKUP($A4685,'Tech Litons'!$A:$I,8,FALSE)</f>
        <v>5.2680000000000001E-3</v>
      </c>
      <c r="H4685" s="917">
        <f>VLOOKUP($A4685,'Tech Litons'!$A:$I,9,FALSE)</f>
        <v>130</v>
      </c>
      <c r="I4685" s="917" t="str">
        <f>VLOOKUP($A4685,'Tech Litons'!$A:$C,3,0)</f>
        <v>PG</v>
      </c>
      <c r="J4685" s="918" t="str">
        <f t="shared" si="468"/>
        <v>2904PG</v>
      </c>
      <c r="K4685" s="919">
        <v>1</v>
      </c>
      <c r="L4685" s="920">
        <f t="shared" si="469"/>
        <v>1948</v>
      </c>
      <c r="M4685" s="920">
        <f t="shared" si="470"/>
        <v>10.262064000000001</v>
      </c>
      <c r="N4685" s="920">
        <f t="shared" si="471"/>
        <v>14.984615384615385</v>
      </c>
      <c r="O4685" s="918" t="str">
        <f t="shared" si="472"/>
        <v>Mar</v>
      </c>
      <c r="P4685" s="921">
        <f t="shared" si="473"/>
        <v>12</v>
      </c>
    </row>
    <row r="4686" spans="1:16" ht="15" hidden="1" customHeight="1">
      <c r="A4686" s="839">
        <v>69629468</v>
      </c>
      <c r="B4686" s="839">
        <v>2904</v>
      </c>
      <c r="C4686" s="906">
        <v>998</v>
      </c>
      <c r="D4686" s="907">
        <v>46102</v>
      </c>
      <c r="E4686" s="839" t="s">
        <v>291</v>
      </c>
      <c r="F4686" s="839" t="s">
        <v>226</v>
      </c>
      <c r="G4686" s="916">
        <f>VLOOKUP($A4686,'Tech Litons'!$A:$I,8,FALSE)</f>
        <v>5.2680000000000001E-3</v>
      </c>
      <c r="H4686" s="917">
        <f>VLOOKUP($A4686,'Tech Litons'!$A:$I,9,FALSE)</f>
        <v>130</v>
      </c>
      <c r="I4686" s="917" t="str">
        <f>VLOOKUP($A4686,'Tech Litons'!$A:$C,3,0)</f>
        <v>PG</v>
      </c>
      <c r="J4686" s="918" t="str">
        <f t="shared" si="468"/>
        <v>2904PG</v>
      </c>
      <c r="K4686" s="919">
        <v>1</v>
      </c>
      <c r="L4686" s="920">
        <f t="shared" si="469"/>
        <v>998</v>
      </c>
      <c r="M4686" s="920">
        <f t="shared" si="470"/>
        <v>5.2574639999999997</v>
      </c>
      <c r="N4686" s="920">
        <f t="shared" si="471"/>
        <v>7.6769230769230772</v>
      </c>
      <c r="O4686" s="918" t="str">
        <f t="shared" si="472"/>
        <v>Mar</v>
      </c>
      <c r="P4686" s="921">
        <f t="shared" si="473"/>
        <v>12</v>
      </c>
    </row>
    <row r="4687" spans="1:16" ht="15" hidden="1" customHeight="1">
      <c r="A4687" s="839">
        <v>69629468</v>
      </c>
      <c r="B4687" s="839">
        <v>2904</v>
      </c>
      <c r="C4687" s="906">
        <v>1601</v>
      </c>
      <c r="D4687" s="907">
        <v>46104</v>
      </c>
      <c r="E4687" s="839" t="s">
        <v>291</v>
      </c>
      <c r="F4687" s="839" t="s">
        <v>226</v>
      </c>
      <c r="G4687" s="916">
        <f>VLOOKUP($A4687,'Tech Litons'!$A:$I,8,FALSE)</f>
        <v>5.2680000000000001E-3</v>
      </c>
      <c r="H4687" s="917">
        <f>VLOOKUP($A4687,'Tech Litons'!$A:$I,9,FALSE)</f>
        <v>130</v>
      </c>
      <c r="I4687" s="917" t="str">
        <f>VLOOKUP($A4687,'Tech Litons'!$A:$C,3,0)</f>
        <v>PG</v>
      </c>
      <c r="J4687" s="918" t="str">
        <f t="shared" si="468"/>
        <v>2904PG</v>
      </c>
      <c r="K4687" s="919">
        <v>1</v>
      </c>
      <c r="L4687" s="920">
        <f t="shared" si="469"/>
        <v>1601</v>
      </c>
      <c r="M4687" s="920">
        <f t="shared" si="470"/>
        <v>8.4340679999999999</v>
      </c>
      <c r="N4687" s="920">
        <f t="shared" si="471"/>
        <v>12.315384615384616</v>
      </c>
      <c r="O4687" s="918" t="str">
        <f t="shared" si="472"/>
        <v>Mar</v>
      </c>
      <c r="P4687" s="921">
        <f t="shared" si="473"/>
        <v>13</v>
      </c>
    </row>
    <row r="4688" spans="1:16" ht="15" hidden="1" customHeight="1">
      <c r="A4688" s="839">
        <v>69629468</v>
      </c>
      <c r="B4688" s="839">
        <v>2904</v>
      </c>
      <c r="C4688" s="906">
        <v>1560</v>
      </c>
      <c r="D4688" s="907">
        <v>46105</v>
      </c>
      <c r="E4688" s="839" t="s">
        <v>291</v>
      </c>
      <c r="F4688" s="839" t="s">
        <v>226</v>
      </c>
      <c r="G4688" s="916">
        <f>VLOOKUP($A4688,'Tech Litons'!$A:$I,8,FALSE)</f>
        <v>5.2680000000000001E-3</v>
      </c>
      <c r="H4688" s="917">
        <f>VLOOKUP($A4688,'Tech Litons'!$A:$I,9,FALSE)</f>
        <v>130</v>
      </c>
      <c r="I4688" s="917" t="str">
        <f>VLOOKUP($A4688,'Tech Litons'!$A:$C,3,0)</f>
        <v>PG</v>
      </c>
      <c r="J4688" s="918" t="str">
        <f t="shared" si="468"/>
        <v>2904PG</v>
      </c>
      <c r="K4688" s="919">
        <v>1</v>
      </c>
      <c r="L4688" s="920">
        <f t="shared" si="469"/>
        <v>1560</v>
      </c>
      <c r="M4688" s="920">
        <f t="shared" si="470"/>
        <v>8.2180800000000005</v>
      </c>
      <c r="N4688" s="920">
        <f t="shared" si="471"/>
        <v>12</v>
      </c>
      <c r="O4688" s="918" t="str">
        <f t="shared" si="472"/>
        <v>Mar</v>
      </c>
      <c r="P4688" s="921">
        <f t="shared" si="473"/>
        <v>13</v>
      </c>
    </row>
    <row r="4689" spans="1:16" ht="15" hidden="1" customHeight="1">
      <c r="A4689" s="839">
        <v>69629468</v>
      </c>
      <c r="B4689" s="839">
        <v>2904</v>
      </c>
      <c r="C4689" s="906">
        <v>2210</v>
      </c>
      <c r="D4689" s="907">
        <v>46105</v>
      </c>
      <c r="E4689" s="839" t="s">
        <v>291</v>
      </c>
      <c r="F4689" s="839" t="s">
        <v>226</v>
      </c>
      <c r="G4689" s="916">
        <f>VLOOKUP($A4689,'Tech Litons'!$A:$I,8,FALSE)</f>
        <v>5.2680000000000001E-3</v>
      </c>
      <c r="H4689" s="917">
        <f>VLOOKUP($A4689,'Tech Litons'!$A:$I,9,FALSE)</f>
        <v>130</v>
      </c>
      <c r="I4689" s="917" t="str">
        <f>VLOOKUP($A4689,'Tech Litons'!$A:$C,3,0)</f>
        <v>PG</v>
      </c>
      <c r="J4689" s="918" t="str">
        <f t="shared" si="468"/>
        <v>2904PG</v>
      </c>
      <c r="K4689" s="919">
        <v>1</v>
      </c>
      <c r="L4689" s="920">
        <f t="shared" si="469"/>
        <v>2210</v>
      </c>
      <c r="M4689" s="920">
        <f t="shared" si="470"/>
        <v>11.64228</v>
      </c>
      <c r="N4689" s="920">
        <f t="shared" si="471"/>
        <v>17</v>
      </c>
      <c r="O4689" s="918" t="str">
        <f t="shared" si="472"/>
        <v>Mar</v>
      </c>
      <c r="P4689" s="921">
        <f t="shared" si="473"/>
        <v>13</v>
      </c>
    </row>
    <row r="4690" spans="1:16" ht="15" hidden="1" customHeight="1">
      <c r="A4690" s="839">
        <v>69690941</v>
      </c>
      <c r="B4690" s="839">
        <v>2904</v>
      </c>
      <c r="C4690" s="906">
        <v>4426</v>
      </c>
      <c r="D4690" s="907">
        <v>46099</v>
      </c>
      <c r="E4690" s="839" t="s">
        <v>321</v>
      </c>
      <c r="F4690" s="839" t="s">
        <v>281</v>
      </c>
      <c r="G4690" s="916">
        <f>VLOOKUP($A4690,'Tech Litons'!$A:$I,8,FALSE)</f>
        <v>1.98E-3</v>
      </c>
      <c r="H4690" s="917">
        <f>VLOOKUP($A4690,'Tech Litons'!$A:$I,9,FALSE)</f>
        <v>176</v>
      </c>
      <c r="I4690" s="917" t="str">
        <f>VLOOKUP($A4690,'Tech Litons'!$A:$C,3,0)</f>
        <v>MG Sticks</v>
      </c>
      <c r="J4690" s="918" t="str">
        <f t="shared" si="468"/>
        <v>2904MG Sticks</v>
      </c>
      <c r="K4690" s="919">
        <v>1</v>
      </c>
      <c r="L4690" s="920">
        <f t="shared" si="469"/>
        <v>4426</v>
      </c>
      <c r="M4690" s="920">
        <f t="shared" si="470"/>
        <v>8.7634799999999995</v>
      </c>
      <c r="N4690" s="920">
        <f t="shared" si="471"/>
        <v>25.147727272727273</v>
      </c>
      <c r="O4690" s="918" t="str">
        <f t="shared" si="472"/>
        <v>Mar</v>
      </c>
      <c r="P4690" s="921">
        <f t="shared" si="473"/>
        <v>12</v>
      </c>
    </row>
    <row r="4691" spans="1:16" ht="15" hidden="1" customHeight="1">
      <c r="A4691" s="839">
        <v>69690941</v>
      </c>
      <c r="B4691" s="839">
        <v>2904</v>
      </c>
      <c r="C4691" s="906">
        <v>6864</v>
      </c>
      <c r="D4691" s="907">
        <v>46099</v>
      </c>
      <c r="E4691" s="839" t="s">
        <v>321</v>
      </c>
      <c r="F4691" s="839" t="s">
        <v>281</v>
      </c>
      <c r="G4691" s="916">
        <f>VLOOKUP($A4691,'Tech Litons'!$A:$I,8,FALSE)</f>
        <v>1.98E-3</v>
      </c>
      <c r="H4691" s="917">
        <f>VLOOKUP($A4691,'Tech Litons'!$A:$I,9,FALSE)</f>
        <v>176</v>
      </c>
      <c r="I4691" s="917" t="str">
        <f>VLOOKUP($A4691,'Tech Litons'!$A:$C,3,0)</f>
        <v>MG Sticks</v>
      </c>
      <c r="J4691" s="918" t="str">
        <f t="shared" si="468"/>
        <v>2904MG Sticks</v>
      </c>
      <c r="K4691" s="919">
        <v>1</v>
      </c>
      <c r="L4691" s="920">
        <f t="shared" si="469"/>
        <v>6864</v>
      </c>
      <c r="M4691" s="920">
        <f t="shared" si="470"/>
        <v>13.590719999999999</v>
      </c>
      <c r="N4691" s="920">
        <f t="shared" si="471"/>
        <v>39</v>
      </c>
      <c r="O4691" s="918" t="str">
        <f t="shared" si="472"/>
        <v>Mar</v>
      </c>
      <c r="P4691" s="921">
        <f t="shared" si="473"/>
        <v>12</v>
      </c>
    </row>
    <row r="4692" spans="1:16" ht="15" hidden="1" customHeight="1">
      <c r="A4692" s="839">
        <v>69690941</v>
      </c>
      <c r="B4692" s="839">
        <v>2904</v>
      </c>
      <c r="C4692" s="906">
        <v>6613</v>
      </c>
      <c r="D4692" s="907">
        <v>46100</v>
      </c>
      <c r="E4692" s="839" t="s">
        <v>321</v>
      </c>
      <c r="F4692" s="839" t="s">
        <v>281</v>
      </c>
      <c r="G4692" s="916">
        <f>VLOOKUP($A4692,'Tech Litons'!$A:$I,8,FALSE)</f>
        <v>1.98E-3</v>
      </c>
      <c r="H4692" s="917">
        <f>VLOOKUP($A4692,'Tech Litons'!$A:$I,9,FALSE)</f>
        <v>176</v>
      </c>
      <c r="I4692" s="917" t="str">
        <f>VLOOKUP($A4692,'Tech Litons'!$A:$C,3,0)</f>
        <v>MG Sticks</v>
      </c>
      <c r="J4692" s="918" t="str">
        <f t="shared" si="468"/>
        <v>2904MG Sticks</v>
      </c>
      <c r="K4692" s="919">
        <v>1</v>
      </c>
      <c r="L4692" s="920">
        <f t="shared" si="469"/>
        <v>6613</v>
      </c>
      <c r="M4692" s="920">
        <f t="shared" si="470"/>
        <v>13.09374</v>
      </c>
      <c r="N4692" s="920">
        <f t="shared" si="471"/>
        <v>37.573863636363633</v>
      </c>
      <c r="O4692" s="918" t="str">
        <f t="shared" si="472"/>
        <v>Mar</v>
      </c>
      <c r="P4692" s="921">
        <f t="shared" si="473"/>
        <v>12</v>
      </c>
    </row>
    <row r="4693" spans="1:16" ht="15" hidden="1" customHeight="1">
      <c r="A4693" s="839">
        <v>69690941</v>
      </c>
      <c r="B4693" s="839">
        <v>2904</v>
      </c>
      <c r="C4693" s="906">
        <v>2591</v>
      </c>
      <c r="D4693" s="907">
        <v>46100</v>
      </c>
      <c r="E4693" s="839" t="s">
        <v>321</v>
      </c>
      <c r="F4693" s="839" t="s">
        <v>281</v>
      </c>
      <c r="G4693" s="916">
        <f>VLOOKUP($A4693,'Tech Litons'!$A:$I,8,FALSE)</f>
        <v>1.98E-3</v>
      </c>
      <c r="H4693" s="917">
        <f>VLOOKUP($A4693,'Tech Litons'!$A:$I,9,FALSE)</f>
        <v>176</v>
      </c>
      <c r="I4693" s="917" t="str">
        <f>VLOOKUP($A4693,'Tech Litons'!$A:$C,3,0)</f>
        <v>MG Sticks</v>
      </c>
      <c r="J4693" s="918" t="str">
        <f t="shared" si="468"/>
        <v>2904MG Sticks</v>
      </c>
      <c r="K4693" s="919">
        <v>1</v>
      </c>
      <c r="L4693" s="920">
        <f t="shared" si="469"/>
        <v>2591</v>
      </c>
      <c r="M4693" s="920">
        <f t="shared" si="470"/>
        <v>5.1301800000000002</v>
      </c>
      <c r="N4693" s="920">
        <f t="shared" si="471"/>
        <v>14.721590909090908</v>
      </c>
      <c r="O4693" s="918" t="str">
        <f t="shared" si="472"/>
        <v>Mar</v>
      </c>
      <c r="P4693" s="921">
        <f t="shared" si="473"/>
        <v>12</v>
      </c>
    </row>
    <row r="4694" spans="1:16" ht="15" hidden="1" customHeight="1">
      <c r="A4694" s="839">
        <v>69717801</v>
      </c>
      <c r="B4694" s="839">
        <v>2904</v>
      </c>
      <c r="C4694" s="906">
        <v>3479</v>
      </c>
      <c r="D4694" s="907">
        <v>46091</v>
      </c>
      <c r="E4694" s="839" t="s">
        <v>509</v>
      </c>
      <c r="F4694" s="839" t="s">
        <v>231</v>
      </c>
      <c r="G4694" s="916">
        <f>VLOOKUP($A4694,'Tech Litons'!$A:$I,8,FALSE)</f>
        <v>4.2560000000000002E-3</v>
      </c>
      <c r="H4694" s="917">
        <f>VLOOKUP($A4694,'Tech Litons'!$A:$I,9,FALSE)</f>
        <v>143</v>
      </c>
      <c r="I4694" s="917" t="str">
        <f>VLOOKUP($A4694,'Tech Litons'!$A:$C,3,0)</f>
        <v>MG Sticks</v>
      </c>
      <c r="J4694" s="918" t="str">
        <f t="shared" si="468"/>
        <v>2904MG Sticks</v>
      </c>
      <c r="K4694" s="919">
        <v>1</v>
      </c>
      <c r="L4694" s="920">
        <f t="shared" si="469"/>
        <v>3479</v>
      </c>
      <c r="M4694" s="920">
        <f t="shared" si="470"/>
        <v>14.806624000000001</v>
      </c>
      <c r="N4694" s="920">
        <f t="shared" si="471"/>
        <v>24.32867132867133</v>
      </c>
      <c r="O4694" s="918" t="str">
        <f t="shared" si="472"/>
        <v>Mar</v>
      </c>
      <c r="P4694" s="921">
        <f t="shared" si="473"/>
        <v>11</v>
      </c>
    </row>
    <row r="4695" spans="1:16" ht="15" hidden="1" customHeight="1">
      <c r="A4695" s="839">
        <v>69717801</v>
      </c>
      <c r="B4695" s="839">
        <v>2904</v>
      </c>
      <c r="C4695" s="906">
        <v>4719</v>
      </c>
      <c r="D4695" s="907">
        <v>46092</v>
      </c>
      <c r="E4695" s="839" t="s">
        <v>509</v>
      </c>
      <c r="F4695" s="839" t="s">
        <v>231</v>
      </c>
      <c r="G4695" s="916">
        <f>VLOOKUP($A4695,'Tech Litons'!$A:$I,8,FALSE)</f>
        <v>4.2560000000000002E-3</v>
      </c>
      <c r="H4695" s="917">
        <f>VLOOKUP($A4695,'Tech Litons'!$A:$I,9,FALSE)</f>
        <v>143</v>
      </c>
      <c r="I4695" s="917" t="str">
        <f>VLOOKUP($A4695,'Tech Litons'!$A:$C,3,0)</f>
        <v>MG Sticks</v>
      </c>
      <c r="J4695" s="918" t="str">
        <f t="shared" si="468"/>
        <v>2904MG Sticks</v>
      </c>
      <c r="K4695" s="919">
        <v>1</v>
      </c>
      <c r="L4695" s="920">
        <f t="shared" si="469"/>
        <v>4719</v>
      </c>
      <c r="M4695" s="920">
        <f t="shared" si="470"/>
        <v>20.084064000000001</v>
      </c>
      <c r="N4695" s="920">
        <f t="shared" si="471"/>
        <v>33</v>
      </c>
      <c r="O4695" s="918" t="str">
        <f t="shared" si="472"/>
        <v>Mar</v>
      </c>
      <c r="P4695" s="921">
        <f t="shared" si="473"/>
        <v>11</v>
      </c>
    </row>
    <row r="4696" spans="1:16" ht="15" hidden="1" customHeight="1">
      <c r="A4696" s="839">
        <v>69717801</v>
      </c>
      <c r="B4696" s="839">
        <v>2904</v>
      </c>
      <c r="C4696" s="906">
        <v>4432</v>
      </c>
      <c r="D4696" s="907">
        <v>46093</v>
      </c>
      <c r="E4696" s="839" t="s">
        <v>509</v>
      </c>
      <c r="F4696" s="839" t="s">
        <v>231</v>
      </c>
      <c r="G4696" s="916">
        <f>VLOOKUP($A4696,'Tech Litons'!$A:$I,8,FALSE)</f>
        <v>4.2560000000000002E-3</v>
      </c>
      <c r="H4696" s="917">
        <f>VLOOKUP($A4696,'Tech Litons'!$A:$I,9,FALSE)</f>
        <v>143</v>
      </c>
      <c r="I4696" s="917" t="str">
        <f>VLOOKUP($A4696,'Tech Litons'!$A:$C,3,0)</f>
        <v>MG Sticks</v>
      </c>
      <c r="J4696" s="918" t="str">
        <f t="shared" si="468"/>
        <v>2904MG Sticks</v>
      </c>
      <c r="K4696" s="919">
        <v>1</v>
      </c>
      <c r="L4696" s="920">
        <f t="shared" si="469"/>
        <v>4432</v>
      </c>
      <c r="M4696" s="920">
        <f t="shared" si="470"/>
        <v>18.862591999999999</v>
      </c>
      <c r="N4696" s="920">
        <f t="shared" si="471"/>
        <v>30.993006993006993</v>
      </c>
      <c r="O4696" s="918" t="str">
        <f t="shared" si="472"/>
        <v>Mar</v>
      </c>
      <c r="P4696" s="921">
        <f t="shared" si="473"/>
        <v>11</v>
      </c>
    </row>
    <row r="4697" spans="1:16" ht="15" hidden="1" customHeight="1">
      <c r="A4697" s="839">
        <v>69717801</v>
      </c>
      <c r="B4697" s="839">
        <v>2904</v>
      </c>
      <c r="C4697" s="906">
        <v>4330</v>
      </c>
      <c r="D4697" s="907">
        <v>46094</v>
      </c>
      <c r="E4697" s="839" t="s">
        <v>509</v>
      </c>
      <c r="F4697" s="839" t="s">
        <v>231</v>
      </c>
      <c r="G4697" s="916">
        <f>VLOOKUP($A4697,'Tech Litons'!$A:$I,8,FALSE)</f>
        <v>4.2560000000000002E-3</v>
      </c>
      <c r="H4697" s="917">
        <f>VLOOKUP($A4697,'Tech Litons'!$A:$I,9,FALSE)</f>
        <v>143</v>
      </c>
      <c r="I4697" s="917" t="str">
        <f>VLOOKUP($A4697,'Tech Litons'!$A:$C,3,0)</f>
        <v>MG Sticks</v>
      </c>
      <c r="J4697" s="918" t="str">
        <f t="shared" si="468"/>
        <v>2904MG Sticks</v>
      </c>
      <c r="K4697" s="919">
        <v>1</v>
      </c>
      <c r="L4697" s="920">
        <f t="shared" si="469"/>
        <v>4330</v>
      </c>
      <c r="M4697" s="920">
        <f t="shared" si="470"/>
        <v>18.42848</v>
      </c>
      <c r="N4697" s="920">
        <f t="shared" si="471"/>
        <v>30.27972027972028</v>
      </c>
      <c r="O4697" s="918" t="str">
        <f t="shared" si="472"/>
        <v>Mar</v>
      </c>
      <c r="P4697" s="921">
        <f t="shared" si="473"/>
        <v>11</v>
      </c>
    </row>
    <row r="4698" spans="1:16" ht="15" hidden="1" customHeight="1">
      <c r="A4698" s="839">
        <v>69717801</v>
      </c>
      <c r="B4698" s="839">
        <v>2904</v>
      </c>
      <c r="C4698" s="906">
        <v>-143</v>
      </c>
      <c r="D4698" s="907">
        <v>46100</v>
      </c>
      <c r="E4698" s="839" t="s">
        <v>509</v>
      </c>
      <c r="F4698" s="839" t="s">
        <v>231</v>
      </c>
      <c r="G4698" s="916">
        <f>VLOOKUP($A4698,'Tech Litons'!$A:$I,8,FALSE)</f>
        <v>4.2560000000000002E-3</v>
      </c>
      <c r="H4698" s="917">
        <f>VLOOKUP($A4698,'Tech Litons'!$A:$I,9,FALSE)</f>
        <v>143</v>
      </c>
      <c r="I4698" s="917" t="str">
        <f>VLOOKUP($A4698,'Tech Litons'!$A:$C,3,0)</f>
        <v>MG Sticks</v>
      </c>
      <c r="J4698" s="918" t="str">
        <f t="shared" si="468"/>
        <v>2904MG Sticks</v>
      </c>
      <c r="K4698" s="919">
        <v>1</v>
      </c>
      <c r="L4698" s="920">
        <f t="shared" si="469"/>
        <v>-143</v>
      </c>
      <c r="M4698" s="920">
        <f t="shared" si="470"/>
        <v>-0.60860800000000004</v>
      </c>
      <c r="N4698" s="920">
        <f t="shared" si="471"/>
        <v>-1</v>
      </c>
      <c r="O4698" s="918" t="str">
        <f t="shared" si="472"/>
        <v>Mar</v>
      </c>
      <c r="P4698" s="921">
        <f t="shared" si="473"/>
        <v>12</v>
      </c>
    </row>
    <row r="4699" spans="1:16" ht="15" hidden="1" customHeight="1">
      <c r="A4699" s="839">
        <v>69717801</v>
      </c>
      <c r="B4699" s="839">
        <v>2904</v>
      </c>
      <c r="C4699" s="906">
        <v>3957</v>
      </c>
      <c r="D4699" s="907">
        <v>46092</v>
      </c>
      <c r="E4699" s="839" t="s">
        <v>509</v>
      </c>
      <c r="F4699" s="839" t="s">
        <v>231</v>
      </c>
      <c r="G4699" s="916">
        <f>VLOOKUP($A4699,'Tech Litons'!$A:$I,8,FALSE)</f>
        <v>4.2560000000000002E-3</v>
      </c>
      <c r="H4699" s="917">
        <f>VLOOKUP($A4699,'Tech Litons'!$A:$I,9,FALSE)</f>
        <v>143</v>
      </c>
      <c r="I4699" s="917" t="str">
        <f>VLOOKUP($A4699,'Tech Litons'!$A:$C,3,0)</f>
        <v>MG Sticks</v>
      </c>
      <c r="J4699" s="918" t="str">
        <f t="shared" si="468"/>
        <v>2904MG Sticks</v>
      </c>
      <c r="K4699" s="919">
        <v>1</v>
      </c>
      <c r="L4699" s="920">
        <f t="shared" si="469"/>
        <v>3957</v>
      </c>
      <c r="M4699" s="920">
        <f t="shared" si="470"/>
        <v>16.840992</v>
      </c>
      <c r="N4699" s="920">
        <f t="shared" si="471"/>
        <v>27.67132867132867</v>
      </c>
      <c r="O4699" s="918" t="str">
        <f t="shared" si="472"/>
        <v>Mar</v>
      </c>
      <c r="P4699" s="921">
        <f t="shared" si="473"/>
        <v>11</v>
      </c>
    </row>
    <row r="4700" spans="1:16" ht="15" hidden="1" customHeight="1">
      <c r="A4700" s="839">
        <v>69717801</v>
      </c>
      <c r="B4700" s="839">
        <v>2904</v>
      </c>
      <c r="C4700" s="906">
        <v>4495</v>
      </c>
      <c r="D4700" s="907">
        <v>46093</v>
      </c>
      <c r="E4700" s="839" t="s">
        <v>509</v>
      </c>
      <c r="F4700" s="839" t="s">
        <v>231</v>
      </c>
      <c r="G4700" s="916">
        <f>VLOOKUP($A4700,'Tech Litons'!$A:$I,8,FALSE)</f>
        <v>4.2560000000000002E-3</v>
      </c>
      <c r="H4700" s="917">
        <f>VLOOKUP($A4700,'Tech Litons'!$A:$I,9,FALSE)</f>
        <v>143</v>
      </c>
      <c r="I4700" s="917" t="str">
        <f>VLOOKUP($A4700,'Tech Litons'!$A:$C,3,0)</f>
        <v>MG Sticks</v>
      </c>
      <c r="J4700" s="918" t="str">
        <f t="shared" si="468"/>
        <v>2904MG Sticks</v>
      </c>
      <c r="K4700" s="919">
        <v>1</v>
      </c>
      <c r="L4700" s="920">
        <f t="shared" si="469"/>
        <v>4495</v>
      </c>
      <c r="M4700" s="920">
        <f t="shared" si="470"/>
        <v>19.13072</v>
      </c>
      <c r="N4700" s="920">
        <f t="shared" si="471"/>
        <v>31.433566433566433</v>
      </c>
      <c r="O4700" s="918" t="str">
        <f t="shared" si="472"/>
        <v>Mar</v>
      </c>
      <c r="P4700" s="921">
        <f t="shared" si="473"/>
        <v>11</v>
      </c>
    </row>
    <row r="4701" spans="1:16" ht="15" hidden="1" customHeight="1">
      <c r="A4701" s="839">
        <v>69717801</v>
      </c>
      <c r="B4701" s="839">
        <v>2904</v>
      </c>
      <c r="C4701" s="906">
        <v>2389</v>
      </c>
      <c r="D4701" s="907">
        <v>46094</v>
      </c>
      <c r="E4701" s="839" t="s">
        <v>509</v>
      </c>
      <c r="F4701" s="839" t="s">
        <v>231</v>
      </c>
      <c r="G4701" s="916">
        <f>VLOOKUP($A4701,'Tech Litons'!$A:$I,8,FALSE)</f>
        <v>4.2560000000000002E-3</v>
      </c>
      <c r="H4701" s="917">
        <f>VLOOKUP($A4701,'Tech Litons'!$A:$I,9,FALSE)</f>
        <v>143</v>
      </c>
      <c r="I4701" s="917" t="str">
        <f>VLOOKUP($A4701,'Tech Litons'!$A:$C,3,0)</f>
        <v>MG Sticks</v>
      </c>
      <c r="J4701" s="918" t="str">
        <f t="shared" si="468"/>
        <v>2904MG Sticks</v>
      </c>
      <c r="K4701" s="919">
        <v>1</v>
      </c>
      <c r="L4701" s="920">
        <f t="shared" si="469"/>
        <v>2389</v>
      </c>
      <c r="M4701" s="920">
        <f t="shared" si="470"/>
        <v>10.167584</v>
      </c>
      <c r="N4701" s="920">
        <f t="shared" si="471"/>
        <v>16.706293706293707</v>
      </c>
      <c r="O4701" s="918" t="str">
        <f t="shared" si="472"/>
        <v>Mar</v>
      </c>
      <c r="P4701" s="921">
        <f t="shared" si="473"/>
        <v>11</v>
      </c>
    </row>
    <row r="4702" spans="1:16" ht="15" hidden="1" customHeight="1">
      <c r="A4702" s="839">
        <v>69717801</v>
      </c>
      <c r="B4702" s="839">
        <v>2904</v>
      </c>
      <c r="C4702" s="906">
        <v>4719</v>
      </c>
      <c r="D4702" s="907">
        <v>46095</v>
      </c>
      <c r="E4702" s="839" t="s">
        <v>509</v>
      </c>
      <c r="F4702" s="839" t="s">
        <v>231</v>
      </c>
      <c r="G4702" s="916">
        <f>VLOOKUP($A4702,'Tech Litons'!$A:$I,8,FALSE)</f>
        <v>4.2560000000000002E-3</v>
      </c>
      <c r="H4702" s="917">
        <f>VLOOKUP($A4702,'Tech Litons'!$A:$I,9,FALSE)</f>
        <v>143</v>
      </c>
      <c r="I4702" s="917" t="str">
        <f>VLOOKUP($A4702,'Tech Litons'!$A:$C,3,0)</f>
        <v>MG Sticks</v>
      </c>
      <c r="J4702" s="918" t="str">
        <f t="shared" si="468"/>
        <v>2904MG Sticks</v>
      </c>
      <c r="K4702" s="919">
        <v>1</v>
      </c>
      <c r="L4702" s="920">
        <f t="shared" si="469"/>
        <v>4719</v>
      </c>
      <c r="M4702" s="920">
        <f t="shared" si="470"/>
        <v>20.084064000000001</v>
      </c>
      <c r="N4702" s="920">
        <f t="shared" si="471"/>
        <v>33</v>
      </c>
      <c r="O4702" s="918" t="str">
        <f t="shared" si="472"/>
        <v>Mar</v>
      </c>
      <c r="P4702" s="921">
        <f t="shared" si="473"/>
        <v>11</v>
      </c>
    </row>
    <row r="4703" spans="1:16" ht="15" hidden="1" customHeight="1">
      <c r="A4703" s="839">
        <v>69717801</v>
      </c>
      <c r="B4703" s="839">
        <v>2904</v>
      </c>
      <c r="C4703" s="906">
        <v>176</v>
      </c>
      <c r="D4703" s="907">
        <v>46097</v>
      </c>
      <c r="E4703" s="839" t="s">
        <v>509</v>
      </c>
      <c r="F4703" s="839" t="s">
        <v>231</v>
      </c>
      <c r="G4703" s="916">
        <f>VLOOKUP($A4703,'Tech Litons'!$A:$I,8,FALSE)</f>
        <v>4.2560000000000002E-3</v>
      </c>
      <c r="H4703" s="917">
        <f>VLOOKUP($A4703,'Tech Litons'!$A:$I,9,FALSE)</f>
        <v>143</v>
      </c>
      <c r="I4703" s="917" t="str">
        <f>VLOOKUP($A4703,'Tech Litons'!$A:$C,3,0)</f>
        <v>MG Sticks</v>
      </c>
      <c r="J4703" s="918" t="str">
        <f t="shared" si="468"/>
        <v>2904MG Sticks</v>
      </c>
      <c r="K4703" s="919">
        <v>1</v>
      </c>
      <c r="L4703" s="920">
        <f t="shared" si="469"/>
        <v>176</v>
      </c>
      <c r="M4703" s="920">
        <f t="shared" si="470"/>
        <v>0.74905600000000006</v>
      </c>
      <c r="N4703" s="920">
        <f t="shared" si="471"/>
        <v>1.2307692307692308</v>
      </c>
      <c r="O4703" s="918" t="str">
        <f t="shared" si="472"/>
        <v>Mar</v>
      </c>
      <c r="P4703" s="921">
        <f t="shared" si="473"/>
        <v>12</v>
      </c>
    </row>
    <row r="4704" spans="1:16" ht="15" hidden="1" customHeight="1">
      <c r="A4704" s="839">
        <v>69717801</v>
      </c>
      <c r="B4704" s="839">
        <v>2904</v>
      </c>
      <c r="C4704" s="906">
        <v>12154</v>
      </c>
      <c r="D4704" s="907">
        <v>46097</v>
      </c>
      <c r="E4704" s="839" t="s">
        <v>509</v>
      </c>
      <c r="F4704" s="839" t="s">
        <v>231</v>
      </c>
      <c r="G4704" s="916">
        <f>VLOOKUP($A4704,'Tech Litons'!$A:$I,8,FALSE)</f>
        <v>4.2560000000000002E-3</v>
      </c>
      <c r="H4704" s="917">
        <f>VLOOKUP($A4704,'Tech Litons'!$A:$I,9,FALSE)</f>
        <v>143</v>
      </c>
      <c r="I4704" s="917" t="str">
        <f>VLOOKUP($A4704,'Tech Litons'!$A:$C,3,0)</f>
        <v>MG Sticks</v>
      </c>
      <c r="J4704" s="918" t="str">
        <f t="shared" si="468"/>
        <v>2904MG Sticks</v>
      </c>
      <c r="K4704" s="919">
        <v>1</v>
      </c>
      <c r="L4704" s="920">
        <f t="shared" si="469"/>
        <v>12154</v>
      </c>
      <c r="M4704" s="920">
        <f t="shared" si="470"/>
        <v>51.727424000000006</v>
      </c>
      <c r="N4704" s="920">
        <f t="shared" si="471"/>
        <v>84.993006993006986</v>
      </c>
      <c r="O4704" s="918" t="str">
        <f t="shared" si="472"/>
        <v>Mar</v>
      </c>
      <c r="P4704" s="921">
        <f t="shared" si="473"/>
        <v>12</v>
      </c>
    </row>
    <row r="4705" spans="1:16" ht="15" hidden="1" customHeight="1">
      <c r="A4705" s="839">
        <v>69717801</v>
      </c>
      <c r="B4705" s="839">
        <v>2904</v>
      </c>
      <c r="C4705" s="906">
        <v>1688</v>
      </c>
      <c r="D4705" s="907">
        <v>46098</v>
      </c>
      <c r="E4705" s="839" t="s">
        <v>509</v>
      </c>
      <c r="F4705" s="839" t="s">
        <v>231</v>
      </c>
      <c r="G4705" s="916">
        <f>VLOOKUP($A4705,'Tech Litons'!$A:$I,8,FALSE)</f>
        <v>4.2560000000000002E-3</v>
      </c>
      <c r="H4705" s="917">
        <f>VLOOKUP($A4705,'Tech Litons'!$A:$I,9,FALSE)</f>
        <v>143</v>
      </c>
      <c r="I4705" s="917" t="str">
        <f>VLOOKUP($A4705,'Tech Litons'!$A:$C,3,0)</f>
        <v>MG Sticks</v>
      </c>
      <c r="J4705" s="918" t="str">
        <f t="shared" si="468"/>
        <v>2904MG Sticks</v>
      </c>
      <c r="K4705" s="919">
        <v>1</v>
      </c>
      <c r="L4705" s="920">
        <f t="shared" si="469"/>
        <v>1688</v>
      </c>
      <c r="M4705" s="920">
        <f t="shared" si="470"/>
        <v>7.1841280000000003</v>
      </c>
      <c r="N4705" s="920">
        <f t="shared" si="471"/>
        <v>11.804195804195805</v>
      </c>
      <c r="O4705" s="918" t="str">
        <f t="shared" si="472"/>
        <v>Mar</v>
      </c>
      <c r="P4705" s="921">
        <f t="shared" si="473"/>
        <v>12</v>
      </c>
    </row>
    <row r="4706" spans="1:16" ht="15" hidden="1" customHeight="1">
      <c r="A4706" s="839">
        <v>69717801</v>
      </c>
      <c r="B4706" s="839">
        <v>2904</v>
      </c>
      <c r="C4706" s="906">
        <v>906</v>
      </c>
      <c r="D4706" s="907">
        <v>46099</v>
      </c>
      <c r="E4706" s="839" t="s">
        <v>509</v>
      </c>
      <c r="F4706" s="839" t="s">
        <v>231</v>
      </c>
      <c r="G4706" s="916">
        <f>VLOOKUP($A4706,'Tech Litons'!$A:$I,8,FALSE)</f>
        <v>4.2560000000000002E-3</v>
      </c>
      <c r="H4706" s="917">
        <f>VLOOKUP($A4706,'Tech Litons'!$A:$I,9,FALSE)</f>
        <v>143</v>
      </c>
      <c r="I4706" s="917" t="str">
        <f>VLOOKUP($A4706,'Tech Litons'!$A:$C,3,0)</f>
        <v>MG Sticks</v>
      </c>
      <c r="J4706" s="918" t="str">
        <f t="shared" si="468"/>
        <v>2904MG Sticks</v>
      </c>
      <c r="K4706" s="919">
        <v>1</v>
      </c>
      <c r="L4706" s="920">
        <f t="shared" si="469"/>
        <v>906</v>
      </c>
      <c r="M4706" s="920">
        <f t="shared" si="470"/>
        <v>3.8559360000000003</v>
      </c>
      <c r="N4706" s="920">
        <f t="shared" si="471"/>
        <v>6.3356643356643358</v>
      </c>
      <c r="O4706" s="918" t="str">
        <f t="shared" si="472"/>
        <v>Mar</v>
      </c>
      <c r="P4706" s="921">
        <f t="shared" si="473"/>
        <v>12</v>
      </c>
    </row>
    <row r="4707" spans="1:16" ht="15" hidden="1" customHeight="1">
      <c r="A4707" s="839">
        <v>69717801</v>
      </c>
      <c r="B4707" s="839">
        <v>2904</v>
      </c>
      <c r="C4707" s="906">
        <v>9009</v>
      </c>
      <c r="D4707" s="907">
        <v>46098</v>
      </c>
      <c r="E4707" s="839" t="s">
        <v>509</v>
      </c>
      <c r="F4707" s="839" t="s">
        <v>231</v>
      </c>
      <c r="G4707" s="916">
        <f>VLOOKUP($A4707,'Tech Litons'!$A:$I,8,FALSE)</f>
        <v>4.2560000000000002E-3</v>
      </c>
      <c r="H4707" s="917">
        <f>VLOOKUP($A4707,'Tech Litons'!$A:$I,9,FALSE)</f>
        <v>143</v>
      </c>
      <c r="I4707" s="917" t="str">
        <f>VLOOKUP($A4707,'Tech Litons'!$A:$C,3,0)</f>
        <v>MG Sticks</v>
      </c>
      <c r="J4707" s="918" t="str">
        <f t="shared" si="468"/>
        <v>2904MG Sticks</v>
      </c>
      <c r="K4707" s="919">
        <v>1</v>
      </c>
      <c r="L4707" s="920">
        <f t="shared" si="469"/>
        <v>9009</v>
      </c>
      <c r="M4707" s="920">
        <f t="shared" si="470"/>
        <v>38.342303999999999</v>
      </c>
      <c r="N4707" s="920">
        <f t="shared" si="471"/>
        <v>63</v>
      </c>
      <c r="O4707" s="918" t="str">
        <f t="shared" si="472"/>
        <v>Mar</v>
      </c>
      <c r="P4707" s="921">
        <f t="shared" si="473"/>
        <v>12</v>
      </c>
    </row>
    <row r="4708" spans="1:16" ht="15" hidden="1" customHeight="1">
      <c r="A4708" s="839">
        <v>69717801</v>
      </c>
      <c r="B4708" s="839">
        <v>2904</v>
      </c>
      <c r="C4708" s="906">
        <v>-143</v>
      </c>
      <c r="D4708" s="907">
        <v>46100</v>
      </c>
      <c r="E4708" s="839" t="s">
        <v>509</v>
      </c>
      <c r="F4708" s="839" t="s">
        <v>231</v>
      </c>
      <c r="G4708" s="916">
        <f>VLOOKUP($A4708,'Tech Litons'!$A:$I,8,FALSE)</f>
        <v>4.2560000000000002E-3</v>
      </c>
      <c r="H4708" s="917">
        <f>VLOOKUP($A4708,'Tech Litons'!$A:$I,9,FALSE)</f>
        <v>143</v>
      </c>
      <c r="I4708" s="917" t="str">
        <f>VLOOKUP($A4708,'Tech Litons'!$A:$C,3,0)</f>
        <v>MG Sticks</v>
      </c>
      <c r="J4708" s="918" t="str">
        <f t="shared" si="468"/>
        <v>2904MG Sticks</v>
      </c>
      <c r="K4708" s="919">
        <v>1</v>
      </c>
      <c r="L4708" s="920">
        <f t="shared" si="469"/>
        <v>-143</v>
      </c>
      <c r="M4708" s="920">
        <f t="shared" si="470"/>
        <v>-0.60860800000000004</v>
      </c>
      <c r="N4708" s="920">
        <f t="shared" si="471"/>
        <v>-1</v>
      </c>
      <c r="O4708" s="918" t="str">
        <f t="shared" si="472"/>
        <v>Mar</v>
      </c>
      <c r="P4708" s="921">
        <f t="shared" si="473"/>
        <v>12</v>
      </c>
    </row>
    <row r="4709" spans="1:16" ht="15" hidden="1" customHeight="1">
      <c r="A4709" s="839">
        <v>69717801</v>
      </c>
      <c r="B4709" s="839">
        <v>2904</v>
      </c>
      <c r="C4709" s="906">
        <v>4949</v>
      </c>
      <c r="D4709" s="907">
        <v>46098</v>
      </c>
      <c r="E4709" s="839" t="s">
        <v>509</v>
      </c>
      <c r="F4709" s="839" t="s">
        <v>231</v>
      </c>
      <c r="G4709" s="916">
        <f>VLOOKUP($A4709,'Tech Litons'!$A:$I,8,FALSE)</f>
        <v>4.2560000000000002E-3</v>
      </c>
      <c r="H4709" s="917">
        <f>VLOOKUP($A4709,'Tech Litons'!$A:$I,9,FALSE)</f>
        <v>143</v>
      </c>
      <c r="I4709" s="917" t="str">
        <f>VLOOKUP($A4709,'Tech Litons'!$A:$C,3,0)</f>
        <v>MG Sticks</v>
      </c>
      <c r="J4709" s="918" t="str">
        <f t="shared" si="468"/>
        <v>2904MG Sticks</v>
      </c>
      <c r="K4709" s="919">
        <v>1</v>
      </c>
      <c r="L4709" s="920">
        <f t="shared" si="469"/>
        <v>4949</v>
      </c>
      <c r="M4709" s="920">
        <f t="shared" si="470"/>
        <v>21.062944000000002</v>
      </c>
      <c r="N4709" s="920">
        <f t="shared" si="471"/>
        <v>34.608391608391607</v>
      </c>
      <c r="O4709" s="918" t="str">
        <f t="shared" si="472"/>
        <v>Mar</v>
      </c>
      <c r="P4709" s="921">
        <f t="shared" si="473"/>
        <v>12</v>
      </c>
    </row>
    <row r="4710" spans="1:16" ht="15" hidden="1" customHeight="1">
      <c r="A4710" s="839">
        <v>69717801</v>
      </c>
      <c r="B4710" s="839">
        <v>2904</v>
      </c>
      <c r="C4710" s="906">
        <v>3080</v>
      </c>
      <c r="D4710" s="907">
        <v>46099</v>
      </c>
      <c r="E4710" s="839" t="s">
        <v>509</v>
      </c>
      <c r="F4710" s="839" t="s">
        <v>231</v>
      </c>
      <c r="G4710" s="916">
        <f>VLOOKUP($A4710,'Tech Litons'!$A:$I,8,FALSE)</f>
        <v>4.2560000000000002E-3</v>
      </c>
      <c r="H4710" s="917">
        <f>VLOOKUP($A4710,'Tech Litons'!$A:$I,9,FALSE)</f>
        <v>143</v>
      </c>
      <c r="I4710" s="917" t="str">
        <f>VLOOKUP($A4710,'Tech Litons'!$A:$C,3,0)</f>
        <v>MG Sticks</v>
      </c>
      <c r="J4710" s="918" t="str">
        <f t="shared" si="468"/>
        <v>2904MG Sticks</v>
      </c>
      <c r="K4710" s="919">
        <v>1</v>
      </c>
      <c r="L4710" s="920">
        <f t="shared" si="469"/>
        <v>3080</v>
      </c>
      <c r="M4710" s="920">
        <f t="shared" si="470"/>
        <v>13.10848</v>
      </c>
      <c r="N4710" s="920">
        <f t="shared" si="471"/>
        <v>21.53846153846154</v>
      </c>
      <c r="O4710" s="918" t="str">
        <f t="shared" si="472"/>
        <v>Mar</v>
      </c>
      <c r="P4710" s="921">
        <f t="shared" si="473"/>
        <v>12</v>
      </c>
    </row>
    <row r="4711" spans="1:16" ht="15" hidden="1" customHeight="1">
      <c r="A4711" s="839">
        <v>69717801</v>
      </c>
      <c r="B4711" s="839">
        <v>2904</v>
      </c>
      <c r="C4711" s="906">
        <v>224</v>
      </c>
      <c r="D4711" s="907">
        <v>46099</v>
      </c>
      <c r="E4711" s="839" t="s">
        <v>509</v>
      </c>
      <c r="F4711" s="839" t="s">
        <v>231</v>
      </c>
      <c r="G4711" s="916">
        <f>VLOOKUP($A4711,'Tech Litons'!$A:$I,8,FALSE)</f>
        <v>4.2560000000000002E-3</v>
      </c>
      <c r="H4711" s="917">
        <f>VLOOKUP($A4711,'Tech Litons'!$A:$I,9,FALSE)</f>
        <v>143</v>
      </c>
      <c r="I4711" s="917" t="str">
        <f>VLOOKUP($A4711,'Tech Litons'!$A:$C,3,0)</f>
        <v>MG Sticks</v>
      </c>
      <c r="J4711" s="918" t="str">
        <f t="shared" si="468"/>
        <v>2904MG Sticks</v>
      </c>
      <c r="K4711" s="919">
        <v>1</v>
      </c>
      <c r="L4711" s="920">
        <f t="shared" si="469"/>
        <v>224</v>
      </c>
      <c r="M4711" s="920">
        <f t="shared" si="470"/>
        <v>0.95334400000000008</v>
      </c>
      <c r="N4711" s="920">
        <f t="shared" si="471"/>
        <v>1.5664335664335665</v>
      </c>
      <c r="O4711" s="918" t="str">
        <f t="shared" si="472"/>
        <v>Mar</v>
      </c>
      <c r="P4711" s="921">
        <f t="shared" si="473"/>
        <v>12</v>
      </c>
    </row>
    <row r="4712" spans="1:16" ht="15" hidden="1" customHeight="1">
      <c r="A4712" s="839">
        <v>69717801</v>
      </c>
      <c r="B4712" s="839">
        <v>2904</v>
      </c>
      <c r="C4712" s="906">
        <v>6864</v>
      </c>
      <c r="D4712" s="907">
        <v>46100</v>
      </c>
      <c r="E4712" s="839" t="s">
        <v>509</v>
      </c>
      <c r="F4712" s="839" t="s">
        <v>231</v>
      </c>
      <c r="G4712" s="916">
        <f>VLOOKUP($A4712,'Tech Litons'!$A:$I,8,FALSE)</f>
        <v>4.2560000000000002E-3</v>
      </c>
      <c r="H4712" s="917">
        <f>VLOOKUP($A4712,'Tech Litons'!$A:$I,9,FALSE)</f>
        <v>143</v>
      </c>
      <c r="I4712" s="917" t="str">
        <f>VLOOKUP($A4712,'Tech Litons'!$A:$C,3,0)</f>
        <v>MG Sticks</v>
      </c>
      <c r="J4712" s="918" t="str">
        <f t="shared" si="468"/>
        <v>2904MG Sticks</v>
      </c>
      <c r="K4712" s="919">
        <v>1</v>
      </c>
      <c r="L4712" s="920">
        <f t="shared" si="469"/>
        <v>6864</v>
      </c>
      <c r="M4712" s="920">
        <f t="shared" si="470"/>
        <v>29.213184000000002</v>
      </c>
      <c r="N4712" s="920">
        <f t="shared" si="471"/>
        <v>48</v>
      </c>
      <c r="O4712" s="918" t="str">
        <f t="shared" si="472"/>
        <v>Mar</v>
      </c>
      <c r="P4712" s="921">
        <f t="shared" si="473"/>
        <v>12</v>
      </c>
    </row>
    <row r="4713" spans="1:16" ht="15" hidden="1" customHeight="1">
      <c r="A4713" s="839">
        <v>69717801</v>
      </c>
      <c r="B4713" s="839">
        <v>2904</v>
      </c>
      <c r="C4713" s="906">
        <v>3316</v>
      </c>
      <c r="D4713" s="907">
        <v>46100</v>
      </c>
      <c r="E4713" s="839" t="s">
        <v>509</v>
      </c>
      <c r="F4713" s="839" t="s">
        <v>231</v>
      </c>
      <c r="G4713" s="916">
        <f>VLOOKUP($A4713,'Tech Litons'!$A:$I,8,FALSE)</f>
        <v>4.2560000000000002E-3</v>
      </c>
      <c r="H4713" s="917">
        <f>VLOOKUP($A4713,'Tech Litons'!$A:$I,9,FALSE)</f>
        <v>143</v>
      </c>
      <c r="I4713" s="917" t="str">
        <f>VLOOKUP($A4713,'Tech Litons'!$A:$C,3,0)</f>
        <v>MG Sticks</v>
      </c>
      <c r="J4713" s="918" t="str">
        <f t="shared" si="468"/>
        <v>2904MG Sticks</v>
      </c>
      <c r="K4713" s="919">
        <v>1</v>
      </c>
      <c r="L4713" s="920">
        <f t="shared" si="469"/>
        <v>3316</v>
      </c>
      <c r="M4713" s="920">
        <f t="shared" si="470"/>
        <v>14.112896000000001</v>
      </c>
      <c r="N4713" s="920">
        <f t="shared" si="471"/>
        <v>23.18881118881119</v>
      </c>
      <c r="O4713" s="918" t="str">
        <f t="shared" si="472"/>
        <v>Mar</v>
      </c>
      <c r="P4713" s="921">
        <f t="shared" si="473"/>
        <v>12</v>
      </c>
    </row>
    <row r="4714" spans="1:16" ht="15" hidden="1" customHeight="1">
      <c r="A4714" s="839">
        <v>69717801</v>
      </c>
      <c r="B4714" s="839">
        <v>2904</v>
      </c>
      <c r="C4714" s="906">
        <v>4719</v>
      </c>
      <c r="D4714" s="907">
        <v>46101</v>
      </c>
      <c r="E4714" s="839" t="s">
        <v>509</v>
      </c>
      <c r="F4714" s="839" t="s">
        <v>231</v>
      </c>
      <c r="G4714" s="916">
        <f>VLOOKUP($A4714,'Tech Litons'!$A:$I,8,FALSE)</f>
        <v>4.2560000000000002E-3</v>
      </c>
      <c r="H4714" s="917">
        <f>VLOOKUP($A4714,'Tech Litons'!$A:$I,9,FALSE)</f>
        <v>143</v>
      </c>
      <c r="I4714" s="917" t="str">
        <f>VLOOKUP($A4714,'Tech Litons'!$A:$C,3,0)</f>
        <v>MG Sticks</v>
      </c>
      <c r="J4714" s="918" t="str">
        <f t="shared" si="468"/>
        <v>2904MG Sticks</v>
      </c>
      <c r="K4714" s="919">
        <v>1</v>
      </c>
      <c r="L4714" s="920">
        <f t="shared" si="469"/>
        <v>4719</v>
      </c>
      <c r="M4714" s="920">
        <f t="shared" si="470"/>
        <v>20.084064000000001</v>
      </c>
      <c r="N4714" s="920">
        <f t="shared" si="471"/>
        <v>33</v>
      </c>
      <c r="O4714" s="918" t="str">
        <f t="shared" si="472"/>
        <v>Mar</v>
      </c>
      <c r="P4714" s="921">
        <f t="shared" si="473"/>
        <v>12</v>
      </c>
    </row>
    <row r="4715" spans="1:16" ht="15" hidden="1" customHeight="1">
      <c r="A4715" s="839">
        <v>69717801</v>
      </c>
      <c r="B4715" s="839">
        <v>2904</v>
      </c>
      <c r="C4715" s="906">
        <v>5134</v>
      </c>
      <c r="D4715" s="907">
        <v>46101</v>
      </c>
      <c r="E4715" s="839" t="s">
        <v>509</v>
      </c>
      <c r="F4715" s="839" t="s">
        <v>231</v>
      </c>
      <c r="G4715" s="916">
        <f>VLOOKUP($A4715,'Tech Litons'!$A:$I,8,FALSE)</f>
        <v>4.2560000000000002E-3</v>
      </c>
      <c r="H4715" s="917">
        <f>VLOOKUP($A4715,'Tech Litons'!$A:$I,9,FALSE)</f>
        <v>143</v>
      </c>
      <c r="I4715" s="917" t="str">
        <f>VLOOKUP($A4715,'Tech Litons'!$A:$C,3,0)</f>
        <v>MG Sticks</v>
      </c>
      <c r="J4715" s="918" t="str">
        <f t="shared" si="468"/>
        <v>2904MG Sticks</v>
      </c>
      <c r="K4715" s="919">
        <v>1</v>
      </c>
      <c r="L4715" s="920">
        <f t="shared" si="469"/>
        <v>5134</v>
      </c>
      <c r="M4715" s="920">
        <f t="shared" si="470"/>
        <v>21.850304000000001</v>
      </c>
      <c r="N4715" s="920">
        <f t="shared" si="471"/>
        <v>35.9020979020979</v>
      </c>
      <c r="O4715" s="918" t="str">
        <f t="shared" si="472"/>
        <v>Mar</v>
      </c>
      <c r="P4715" s="921">
        <f t="shared" si="473"/>
        <v>12</v>
      </c>
    </row>
    <row r="4716" spans="1:16" ht="15" hidden="1" customHeight="1">
      <c r="A4716" s="839">
        <v>69717801</v>
      </c>
      <c r="B4716" s="839">
        <v>2904</v>
      </c>
      <c r="C4716" s="906">
        <v>4901</v>
      </c>
      <c r="D4716" s="907">
        <v>46102</v>
      </c>
      <c r="E4716" s="839" t="s">
        <v>509</v>
      </c>
      <c r="F4716" s="839" t="s">
        <v>231</v>
      </c>
      <c r="G4716" s="916">
        <f>VLOOKUP($A4716,'Tech Litons'!$A:$I,8,FALSE)</f>
        <v>4.2560000000000002E-3</v>
      </c>
      <c r="H4716" s="917">
        <f>VLOOKUP($A4716,'Tech Litons'!$A:$I,9,FALSE)</f>
        <v>143</v>
      </c>
      <c r="I4716" s="917" t="str">
        <f>VLOOKUP($A4716,'Tech Litons'!$A:$C,3,0)</f>
        <v>MG Sticks</v>
      </c>
      <c r="J4716" s="918" t="str">
        <f t="shared" si="468"/>
        <v>2904MG Sticks</v>
      </c>
      <c r="K4716" s="919">
        <v>1</v>
      </c>
      <c r="L4716" s="920">
        <f t="shared" si="469"/>
        <v>4901</v>
      </c>
      <c r="M4716" s="920">
        <f t="shared" si="470"/>
        <v>20.858656</v>
      </c>
      <c r="N4716" s="920">
        <f t="shared" si="471"/>
        <v>34.272727272727273</v>
      </c>
      <c r="O4716" s="918" t="str">
        <f t="shared" si="472"/>
        <v>Mar</v>
      </c>
      <c r="P4716" s="921">
        <f t="shared" si="473"/>
        <v>12</v>
      </c>
    </row>
    <row r="4717" spans="1:16" ht="15" hidden="1" customHeight="1">
      <c r="A4717" s="839">
        <v>69717801</v>
      </c>
      <c r="B4717" s="839">
        <v>2904</v>
      </c>
      <c r="C4717" s="906">
        <v>4547</v>
      </c>
      <c r="D4717" s="907">
        <v>46102</v>
      </c>
      <c r="E4717" s="839" t="s">
        <v>509</v>
      </c>
      <c r="F4717" s="839" t="s">
        <v>231</v>
      </c>
      <c r="G4717" s="916">
        <f>VLOOKUP($A4717,'Tech Litons'!$A:$I,8,FALSE)</f>
        <v>4.2560000000000002E-3</v>
      </c>
      <c r="H4717" s="917">
        <f>VLOOKUP($A4717,'Tech Litons'!$A:$I,9,FALSE)</f>
        <v>143</v>
      </c>
      <c r="I4717" s="917" t="str">
        <f>VLOOKUP($A4717,'Tech Litons'!$A:$C,3,0)</f>
        <v>MG Sticks</v>
      </c>
      <c r="J4717" s="918" t="str">
        <f t="shared" si="468"/>
        <v>2904MG Sticks</v>
      </c>
      <c r="K4717" s="919">
        <v>1</v>
      </c>
      <c r="L4717" s="920">
        <f t="shared" si="469"/>
        <v>4547</v>
      </c>
      <c r="M4717" s="920">
        <f t="shared" si="470"/>
        <v>19.352032000000001</v>
      </c>
      <c r="N4717" s="920">
        <f t="shared" si="471"/>
        <v>31.797202797202797</v>
      </c>
      <c r="O4717" s="918" t="str">
        <f t="shared" si="472"/>
        <v>Mar</v>
      </c>
      <c r="P4717" s="921">
        <f t="shared" si="473"/>
        <v>12</v>
      </c>
    </row>
    <row r="4718" spans="1:16" ht="15" hidden="1" customHeight="1">
      <c r="A4718" s="839">
        <v>69717801</v>
      </c>
      <c r="B4718" s="839">
        <v>2904</v>
      </c>
      <c r="C4718" s="906">
        <v>4147</v>
      </c>
      <c r="D4718" s="907">
        <v>46103</v>
      </c>
      <c r="E4718" s="839" t="s">
        <v>509</v>
      </c>
      <c r="F4718" s="839" t="s">
        <v>231</v>
      </c>
      <c r="G4718" s="916">
        <f>VLOOKUP($A4718,'Tech Litons'!$A:$I,8,FALSE)</f>
        <v>4.2560000000000002E-3</v>
      </c>
      <c r="H4718" s="917">
        <f>VLOOKUP($A4718,'Tech Litons'!$A:$I,9,FALSE)</f>
        <v>143</v>
      </c>
      <c r="I4718" s="917" t="str">
        <f>VLOOKUP($A4718,'Tech Litons'!$A:$C,3,0)</f>
        <v>MG Sticks</v>
      </c>
      <c r="J4718" s="918" t="str">
        <f t="shared" si="468"/>
        <v>2904MG Sticks</v>
      </c>
      <c r="K4718" s="919">
        <v>1</v>
      </c>
      <c r="L4718" s="920">
        <f t="shared" si="469"/>
        <v>4147</v>
      </c>
      <c r="M4718" s="920">
        <f t="shared" si="470"/>
        <v>17.649632</v>
      </c>
      <c r="N4718" s="920">
        <f t="shared" si="471"/>
        <v>29</v>
      </c>
      <c r="O4718" s="918" t="str">
        <f t="shared" si="472"/>
        <v>Mar</v>
      </c>
      <c r="P4718" s="921">
        <f t="shared" si="473"/>
        <v>13</v>
      </c>
    </row>
    <row r="4719" spans="1:16" ht="15" hidden="1" customHeight="1">
      <c r="A4719" s="839">
        <v>69717801</v>
      </c>
      <c r="B4719" s="839">
        <v>2904</v>
      </c>
      <c r="C4719" s="906">
        <v>230</v>
      </c>
      <c r="D4719" s="907">
        <v>46103</v>
      </c>
      <c r="E4719" s="839" t="s">
        <v>509</v>
      </c>
      <c r="F4719" s="839" t="s">
        <v>231</v>
      </c>
      <c r="G4719" s="916">
        <f>VLOOKUP($A4719,'Tech Litons'!$A:$I,8,FALSE)</f>
        <v>4.2560000000000002E-3</v>
      </c>
      <c r="H4719" s="917">
        <f>VLOOKUP($A4719,'Tech Litons'!$A:$I,9,FALSE)</f>
        <v>143</v>
      </c>
      <c r="I4719" s="917" t="str">
        <f>VLOOKUP($A4719,'Tech Litons'!$A:$C,3,0)</f>
        <v>MG Sticks</v>
      </c>
      <c r="J4719" s="918" t="str">
        <f t="shared" si="468"/>
        <v>2904MG Sticks</v>
      </c>
      <c r="K4719" s="919">
        <v>1</v>
      </c>
      <c r="L4719" s="920">
        <f t="shared" si="469"/>
        <v>230</v>
      </c>
      <c r="M4719" s="920">
        <f t="shared" si="470"/>
        <v>0.97888000000000008</v>
      </c>
      <c r="N4719" s="920">
        <f t="shared" si="471"/>
        <v>1.6083916083916083</v>
      </c>
      <c r="O4719" s="918" t="str">
        <f t="shared" si="472"/>
        <v>Mar</v>
      </c>
      <c r="P4719" s="921">
        <f t="shared" si="473"/>
        <v>13</v>
      </c>
    </row>
    <row r="4720" spans="1:16" ht="15" hidden="1" customHeight="1">
      <c r="A4720" s="839">
        <v>69717802</v>
      </c>
      <c r="B4720" s="839">
        <v>2904</v>
      </c>
      <c r="C4720" s="906">
        <v>4940</v>
      </c>
      <c r="D4720" s="907">
        <v>46076</v>
      </c>
      <c r="E4720" s="839" t="s">
        <v>388</v>
      </c>
      <c r="F4720" s="839" t="s">
        <v>231</v>
      </c>
      <c r="G4720" s="916">
        <f>VLOOKUP($A4720,'Tech Litons'!$A:$I,8,FALSE)</f>
        <v>4.2560000000000002E-3</v>
      </c>
      <c r="H4720" s="917">
        <f>VLOOKUP($A4720,'Tech Litons'!$A:$I,9,FALSE)</f>
        <v>143</v>
      </c>
      <c r="I4720" s="917" t="str">
        <f>VLOOKUP($A4720,'Tech Litons'!$A:$C,3,0)</f>
        <v>MG Sticks</v>
      </c>
      <c r="J4720" s="918" t="str">
        <f t="shared" si="468"/>
        <v>2904MG Sticks</v>
      </c>
      <c r="K4720" s="919">
        <v>1</v>
      </c>
      <c r="L4720" s="920">
        <f t="shared" si="469"/>
        <v>4940</v>
      </c>
      <c r="M4720" s="920">
        <f t="shared" si="470"/>
        <v>21.024640000000002</v>
      </c>
      <c r="N4720" s="920">
        <f t="shared" si="471"/>
        <v>34.545454545454547</v>
      </c>
      <c r="O4720" s="918" t="str">
        <f t="shared" si="472"/>
        <v>Feb</v>
      </c>
      <c r="P4720" s="921">
        <f t="shared" si="473"/>
        <v>9</v>
      </c>
    </row>
    <row r="4721" spans="1:16" ht="15" hidden="1" customHeight="1">
      <c r="A4721" s="839">
        <v>69717802</v>
      </c>
      <c r="B4721" s="839">
        <v>2904</v>
      </c>
      <c r="C4721" s="906">
        <v>4862</v>
      </c>
      <c r="D4721" s="907">
        <v>46104</v>
      </c>
      <c r="E4721" s="839" t="s">
        <v>388</v>
      </c>
      <c r="F4721" s="839" t="s">
        <v>231</v>
      </c>
      <c r="G4721" s="916">
        <f>VLOOKUP($A4721,'Tech Litons'!$A:$I,8,FALSE)</f>
        <v>4.2560000000000002E-3</v>
      </c>
      <c r="H4721" s="917">
        <f>VLOOKUP($A4721,'Tech Litons'!$A:$I,9,FALSE)</f>
        <v>143</v>
      </c>
      <c r="I4721" s="917" t="str">
        <f>VLOOKUP($A4721,'Tech Litons'!$A:$C,3,0)</f>
        <v>MG Sticks</v>
      </c>
      <c r="J4721" s="918" t="str">
        <f t="shared" si="468"/>
        <v>2904MG Sticks</v>
      </c>
      <c r="K4721" s="919">
        <v>1</v>
      </c>
      <c r="L4721" s="920">
        <f t="shared" si="469"/>
        <v>4862</v>
      </c>
      <c r="M4721" s="920">
        <f t="shared" si="470"/>
        <v>20.692672000000002</v>
      </c>
      <c r="N4721" s="920">
        <f t="shared" si="471"/>
        <v>34</v>
      </c>
      <c r="O4721" s="918" t="str">
        <f t="shared" si="472"/>
        <v>Mar</v>
      </c>
      <c r="P4721" s="921">
        <f t="shared" si="473"/>
        <v>13</v>
      </c>
    </row>
    <row r="4722" spans="1:16" ht="15" hidden="1" customHeight="1">
      <c r="A4722" s="839">
        <v>69717802</v>
      </c>
      <c r="B4722" s="839">
        <v>2904</v>
      </c>
      <c r="C4722" s="906">
        <v>3289</v>
      </c>
      <c r="D4722" s="907">
        <v>46105</v>
      </c>
      <c r="E4722" s="839" t="s">
        <v>388</v>
      </c>
      <c r="F4722" s="839" t="s">
        <v>231</v>
      </c>
      <c r="G4722" s="916">
        <f>VLOOKUP($A4722,'Tech Litons'!$A:$I,8,FALSE)</f>
        <v>4.2560000000000002E-3</v>
      </c>
      <c r="H4722" s="917">
        <f>VLOOKUP($A4722,'Tech Litons'!$A:$I,9,FALSE)</f>
        <v>143</v>
      </c>
      <c r="I4722" s="917" t="str">
        <f>VLOOKUP($A4722,'Tech Litons'!$A:$C,3,0)</f>
        <v>MG Sticks</v>
      </c>
      <c r="J4722" s="918" t="str">
        <f t="shared" ref="J4722:J4785" si="474">B4722&amp;I4722</f>
        <v>2904MG Sticks</v>
      </c>
      <c r="K4722" s="919">
        <v>1</v>
      </c>
      <c r="L4722" s="920">
        <f t="shared" ref="L4722:L4785" si="475">C4722*$K4722</f>
        <v>3289</v>
      </c>
      <c r="M4722" s="920">
        <f t="shared" ref="M4722:M4785" si="476">L4722*G4722</f>
        <v>13.997984000000001</v>
      </c>
      <c r="N4722" s="920">
        <f t="shared" ref="N4722:N4785" si="477">L4722/H4722</f>
        <v>23</v>
      </c>
      <c r="O4722" s="918" t="str">
        <f t="shared" ref="O4722:O4785" si="478">TEXT(D4722,"MMM")</f>
        <v>Mar</v>
      </c>
      <c r="P4722" s="921">
        <f t="shared" ref="P4722:P4785" si="479">WEEKNUM(D4722)</f>
        <v>13</v>
      </c>
    </row>
    <row r="4723" spans="1:16" ht="15" hidden="1" customHeight="1">
      <c r="A4723" s="839">
        <v>69717802</v>
      </c>
      <c r="B4723" s="839">
        <v>2904</v>
      </c>
      <c r="C4723" s="906">
        <v>3270</v>
      </c>
      <c r="D4723" s="907">
        <v>46105</v>
      </c>
      <c r="E4723" s="839" t="s">
        <v>388</v>
      </c>
      <c r="F4723" s="839" t="s">
        <v>231</v>
      </c>
      <c r="G4723" s="916">
        <f>VLOOKUP($A4723,'Tech Litons'!$A:$I,8,FALSE)</f>
        <v>4.2560000000000002E-3</v>
      </c>
      <c r="H4723" s="917">
        <f>VLOOKUP($A4723,'Tech Litons'!$A:$I,9,FALSE)</f>
        <v>143</v>
      </c>
      <c r="I4723" s="917" t="str">
        <f>VLOOKUP($A4723,'Tech Litons'!$A:$C,3,0)</f>
        <v>MG Sticks</v>
      </c>
      <c r="J4723" s="918" t="str">
        <f t="shared" si="474"/>
        <v>2904MG Sticks</v>
      </c>
      <c r="K4723" s="919">
        <v>1</v>
      </c>
      <c r="L4723" s="920">
        <f t="shared" si="475"/>
        <v>3270</v>
      </c>
      <c r="M4723" s="920">
        <f t="shared" si="476"/>
        <v>13.917120000000001</v>
      </c>
      <c r="N4723" s="920">
        <f t="shared" si="477"/>
        <v>22.867132867132867</v>
      </c>
      <c r="O4723" s="918" t="str">
        <f t="shared" si="478"/>
        <v>Mar</v>
      </c>
      <c r="P4723" s="921">
        <f t="shared" si="479"/>
        <v>13</v>
      </c>
    </row>
    <row r="4724" spans="1:16" ht="15" hidden="1" customHeight="1">
      <c r="A4724" s="839">
        <v>69717802</v>
      </c>
      <c r="B4724" s="839">
        <v>2904</v>
      </c>
      <c r="C4724" s="906">
        <v>1827</v>
      </c>
      <c r="D4724" s="907">
        <v>46076</v>
      </c>
      <c r="E4724" s="839" t="s">
        <v>388</v>
      </c>
      <c r="F4724" s="839" t="s">
        <v>231</v>
      </c>
      <c r="G4724" s="916">
        <f>VLOOKUP($A4724,'Tech Litons'!$A:$I,8,FALSE)</f>
        <v>4.2560000000000002E-3</v>
      </c>
      <c r="H4724" s="917">
        <f>VLOOKUP($A4724,'Tech Litons'!$A:$I,9,FALSE)</f>
        <v>143</v>
      </c>
      <c r="I4724" s="917" t="str">
        <f>VLOOKUP($A4724,'Tech Litons'!$A:$C,3,0)</f>
        <v>MG Sticks</v>
      </c>
      <c r="J4724" s="918" t="str">
        <f t="shared" si="474"/>
        <v>2904MG Sticks</v>
      </c>
      <c r="K4724" s="919">
        <v>1</v>
      </c>
      <c r="L4724" s="920">
        <f t="shared" si="475"/>
        <v>1827</v>
      </c>
      <c r="M4724" s="920">
        <f t="shared" si="476"/>
        <v>7.7757120000000004</v>
      </c>
      <c r="N4724" s="920">
        <f t="shared" si="477"/>
        <v>12.776223776223777</v>
      </c>
      <c r="O4724" s="918" t="str">
        <f t="shared" si="478"/>
        <v>Feb</v>
      </c>
      <c r="P4724" s="921">
        <f t="shared" si="479"/>
        <v>9</v>
      </c>
    </row>
    <row r="4725" spans="1:16" ht="15" hidden="1" customHeight="1">
      <c r="A4725" s="839">
        <v>69717802</v>
      </c>
      <c r="B4725" s="839">
        <v>2904</v>
      </c>
      <c r="C4725" s="906">
        <v>2678</v>
      </c>
      <c r="D4725" s="907">
        <v>46104</v>
      </c>
      <c r="E4725" s="839" t="s">
        <v>388</v>
      </c>
      <c r="F4725" s="839" t="s">
        <v>231</v>
      </c>
      <c r="G4725" s="916">
        <f>VLOOKUP($A4725,'Tech Litons'!$A:$I,8,FALSE)</f>
        <v>4.2560000000000002E-3</v>
      </c>
      <c r="H4725" s="917">
        <f>VLOOKUP($A4725,'Tech Litons'!$A:$I,9,FALSE)</f>
        <v>143</v>
      </c>
      <c r="I4725" s="917" t="str">
        <f>VLOOKUP($A4725,'Tech Litons'!$A:$C,3,0)</f>
        <v>MG Sticks</v>
      </c>
      <c r="J4725" s="918" t="str">
        <f t="shared" si="474"/>
        <v>2904MG Sticks</v>
      </c>
      <c r="K4725" s="919">
        <v>1</v>
      </c>
      <c r="L4725" s="920">
        <f t="shared" si="475"/>
        <v>2678</v>
      </c>
      <c r="M4725" s="920">
        <f t="shared" si="476"/>
        <v>11.397568000000001</v>
      </c>
      <c r="N4725" s="920">
        <f t="shared" si="477"/>
        <v>18.727272727272727</v>
      </c>
      <c r="O4725" s="918" t="str">
        <f t="shared" si="478"/>
        <v>Mar</v>
      </c>
      <c r="P4725" s="921">
        <f t="shared" si="479"/>
        <v>13</v>
      </c>
    </row>
    <row r="4726" spans="1:16" ht="15" hidden="1" customHeight="1">
      <c r="A4726" s="839">
        <v>69717803</v>
      </c>
      <c r="B4726" s="839">
        <v>2904</v>
      </c>
      <c r="C4726" s="906">
        <v>4147</v>
      </c>
      <c r="D4726" s="907">
        <v>46084</v>
      </c>
      <c r="E4726" s="839" t="s">
        <v>362</v>
      </c>
      <c r="F4726" s="839" t="s">
        <v>231</v>
      </c>
      <c r="G4726" s="916">
        <f>VLOOKUP($A4726,'Tech Litons'!$A:$I,8,FALSE)</f>
        <v>4.2560000000000002E-3</v>
      </c>
      <c r="H4726" s="917">
        <f>VLOOKUP($A4726,'Tech Litons'!$A:$I,9,FALSE)</f>
        <v>143</v>
      </c>
      <c r="I4726" s="917" t="str">
        <f>VLOOKUP($A4726,'Tech Litons'!$A:$C,3,0)</f>
        <v>MG Sticks</v>
      </c>
      <c r="J4726" s="918" t="str">
        <f t="shared" si="474"/>
        <v>2904MG Sticks</v>
      </c>
      <c r="K4726" s="919">
        <v>1</v>
      </c>
      <c r="L4726" s="920">
        <f t="shared" si="475"/>
        <v>4147</v>
      </c>
      <c r="M4726" s="920">
        <f t="shared" si="476"/>
        <v>17.649632</v>
      </c>
      <c r="N4726" s="920">
        <f t="shared" si="477"/>
        <v>29</v>
      </c>
      <c r="O4726" s="918" t="str">
        <f t="shared" si="478"/>
        <v>Mar</v>
      </c>
      <c r="P4726" s="921">
        <f t="shared" si="479"/>
        <v>10</v>
      </c>
    </row>
    <row r="4727" spans="1:16" ht="15" hidden="1" customHeight="1">
      <c r="A4727" s="839">
        <v>69717803</v>
      </c>
      <c r="B4727" s="839">
        <v>2904</v>
      </c>
      <c r="C4727" s="906">
        <v>4095</v>
      </c>
      <c r="D4727" s="907">
        <v>46085</v>
      </c>
      <c r="E4727" s="839" t="s">
        <v>362</v>
      </c>
      <c r="F4727" s="839" t="s">
        <v>231</v>
      </c>
      <c r="G4727" s="916">
        <f>VLOOKUP($A4727,'Tech Litons'!$A:$I,8,FALSE)</f>
        <v>4.2560000000000002E-3</v>
      </c>
      <c r="H4727" s="917">
        <f>VLOOKUP($A4727,'Tech Litons'!$A:$I,9,FALSE)</f>
        <v>143</v>
      </c>
      <c r="I4727" s="917" t="str">
        <f>VLOOKUP($A4727,'Tech Litons'!$A:$C,3,0)</f>
        <v>MG Sticks</v>
      </c>
      <c r="J4727" s="918" t="str">
        <f t="shared" si="474"/>
        <v>2904MG Sticks</v>
      </c>
      <c r="K4727" s="919">
        <v>1</v>
      </c>
      <c r="L4727" s="920">
        <f t="shared" si="475"/>
        <v>4095</v>
      </c>
      <c r="M4727" s="920">
        <f t="shared" si="476"/>
        <v>17.428319999999999</v>
      </c>
      <c r="N4727" s="920">
        <f t="shared" si="477"/>
        <v>28.636363636363637</v>
      </c>
      <c r="O4727" s="918" t="str">
        <f t="shared" si="478"/>
        <v>Mar</v>
      </c>
      <c r="P4727" s="921">
        <f t="shared" si="479"/>
        <v>10</v>
      </c>
    </row>
    <row r="4728" spans="1:16" ht="15" hidden="1" customHeight="1">
      <c r="A4728" s="839">
        <v>69717803</v>
      </c>
      <c r="B4728" s="839">
        <v>2904</v>
      </c>
      <c r="C4728" s="906">
        <v>1349</v>
      </c>
      <c r="D4728" s="907">
        <v>46083</v>
      </c>
      <c r="E4728" s="839" t="s">
        <v>362</v>
      </c>
      <c r="F4728" s="839" t="s">
        <v>231</v>
      </c>
      <c r="G4728" s="916">
        <f>VLOOKUP($A4728,'Tech Litons'!$A:$I,8,FALSE)</f>
        <v>4.2560000000000002E-3</v>
      </c>
      <c r="H4728" s="917">
        <f>VLOOKUP($A4728,'Tech Litons'!$A:$I,9,FALSE)</f>
        <v>143</v>
      </c>
      <c r="I4728" s="917" t="str">
        <f>VLOOKUP($A4728,'Tech Litons'!$A:$C,3,0)</f>
        <v>MG Sticks</v>
      </c>
      <c r="J4728" s="918" t="str">
        <f t="shared" si="474"/>
        <v>2904MG Sticks</v>
      </c>
      <c r="K4728" s="919">
        <v>1</v>
      </c>
      <c r="L4728" s="920">
        <f t="shared" si="475"/>
        <v>1349</v>
      </c>
      <c r="M4728" s="920">
        <f t="shared" si="476"/>
        <v>5.7413440000000007</v>
      </c>
      <c r="N4728" s="920">
        <f t="shared" si="477"/>
        <v>9.4335664335664333</v>
      </c>
      <c r="O4728" s="918" t="str">
        <f t="shared" si="478"/>
        <v>Mar</v>
      </c>
      <c r="P4728" s="921">
        <f t="shared" si="479"/>
        <v>10</v>
      </c>
    </row>
    <row r="4729" spans="1:16" ht="15" hidden="1" customHeight="1">
      <c r="A4729" s="839">
        <v>69717803</v>
      </c>
      <c r="B4729" s="839">
        <v>2904</v>
      </c>
      <c r="C4729" s="906">
        <v>1833</v>
      </c>
      <c r="D4729" s="907">
        <v>46084</v>
      </c>
      <c r="E4729" s="839" t="s">
        <v>362</v>
      </c>
      <c r="F4729" s="839" t="s">
        <v>231</v>
      </c>
      <c r="G4729" s="916">
        <f>VLOOKUP($A4729,'Tech Litons'!$A:$I,8,FALSE)</f>
        <v>4.2560000000000002E-3</v>
      </c>
      <c r="H4729" s="917">
        <f>VLOOKUP($A4729,'Tech Litons'!$A:$I,9,FALSE)</f>
        <v>143</v>
      </c>
      <c r="I4729" s="917" t="str">
        <f>VLOOKUP($A4729,'Tech Litons'!$A:$C,3,0)</f>
        <v>MG Sticks</v>
      </c>
      <c r="J4729" s="918" t="str">
        <f t="shared" si="474"/>
        <v>2904MG Sticks</v>
      </c>
      <c r="K4729" s="919">
        <v>1</v>
      </c>
      <c r="L4729" s="920">
        <f t="shared" si="475"/>
        <v>1833</v>
      </c>
      <c r="M4729" s="920">
        <f t="shared" si="476"/>
        <v>7.8012480000000002</v>
      </c>
      <c r="N4729" s="920">
        <f t="shared" si="477"/>
        <v>12.818181818181818</v>
      </c>
      <c r="O4729" s="918" t="str">
        <f t="shared" si="478"/>
        <v>Mar</v>
      </c>
      <c r="P4729" s="921">
        <f t="shared" si="479"/>
        <v>10</v>
      </c>
    </row>
    <row r="4730" spans="1:16" ht="15" hidden="1" customHeight="1">
      <c r="A4730" s="839">
        <v>69717803</v>
      </c>
      <c r="B4730" s="839">
        <v>2904</v>
      </c>
      <c r="C4730" s="906">
        <v>2352</v>
      </c>
      <c r="D4730" s="907">
        <v>46085</v>
      </c>
      <c r="E4730" s="839" t="s">
        <v>362</v>
      </c>
      <c r="F4730" s="839" t="s">
        <v>231</v>
      </c>
      <c r="G4730" s="916">
        <f>VLOOKUP($A4730,'Tech Litons'!$A:$I,8,FALSE)</f>
        <v>4.2560000000000002E-3</v>
      </c>
      <c r="H4730" s="917">
        <f>VLOOKUP($A4730,'Tech Litons'!$A:$I,9,FALSE)</f>
        <v>143</v>
      </c>
      <c r="I4730" s="917" t="str">
        <f>VLOOKUP($A4730,'Tech Litons'!$A:$C,3,0)</f>
        <v>MG Sticks</v>
      </c>
      <c r="J4730" s="918" t="str">
        <f t="shared" si="474"/>
        <v>2904MG Sticks</v>
      </c>
      <c r="K4730" s="919">
        <v>1</v>
      </c>
      <c r="L4730" s="920">
        <f t="shared" si="475"/>
        <v>2352</v>
      </c>
      <c r="M4730" s="920">
        <f t="shared" si="476"/>
        <v>10.010112000000001</v>
      </c>
      <c r="N4730" s="920">
        <f t="shared" si="477"/>
        <v>16.447552447552447</v>
      </c>
      <c r="O4730" s="918" t="str">
        <f t="shared" si="478"/>
        <v>Mar</v>
      </c>
      <c r="P4730" s="921">
        <f t="shared" si="479"/>
        <v>10</v>
      </c>
    </row>
    <row r="4731" spans="1:16" ht="15" hidden="1" customHeight="1">
      <c r="A4731" s="839">
        <v>69717803</v>
      </c>
      <c r="B4731" s="839">
        <v>2904</v>
      </c>
      <c r="C4731" s="906">
        <v>2215</v>
      </c>
      <c r="D4731" s="907">
        <v>46086</v>
      </c>
      <c r="E4731" s="839" t="s">
        <v>362</v>
      </c>
      <c r="F4731" s="839" t="s">
        <v>231</v>
      </c>
      <c r="G4731" s="916">
        <f>VLOOKUP($A4731,'Tech Litons'!$A:$I,8,FALSE)</f>
        <v>4.2560000000000002E-3</v>
      </c>
      <c r="H4731" s="917">
        <f>VLOOKUP($A4731,'Tech Litons'!$A:$I,9,FALSE)</f>
        <v>143</v>
      </c>
      <c r="I4731" s="917" t="str">
        <f>VLOOKUP($A4731,'Tech Litons'!$A:$C,3,0)</f>
        <v>MG Sticks</v>
      </c>
      <c r="J4731" s="918" t="str">
        <f t="shared" si="474"/>
        <v>2904MG Sticks</v>
      </c>
      <c r="K4731" s="919">
        <v>1</v>
      </c>
      <c r="L4731" s="920">
        <f t="shared" si="475"/>
        <v>2215</v>
      </c>
      <c r="M4731" s="920">
        <f t="shared" si="476"/>
        <v>9.4270399999999999</v>
      </c>
      <c r="N4731" s="920">
        <f t="shared" si="477"/>
        <v>15.48951048951049</v>
      </c>
      <c r="O4731" s="918" t="str">
        <f t="shared" si="478"/>
        <v>Mar</v>
      </c>
      <c r="P4731" s="921">
        <f t="shared" si="479"/>
        <v>10</v>
      </c>
    </row>
    <row r="4732" spans="1:16" ht="15" hidden="1" customHeight="1">
      <c r="A4732" s="839">
        <v>69717803</v>
      </c>
      <c r="B4732" s="839">
        <v>2904</v>
      </c>
      <c r="C4732" s="906">
        <v>2593</v>
      </c>
      <c r="D4732" s="907">
        <v>46087</v>
      </c>
      <c r="E4732" s="839" t="s">
        <v>362</v>
      </c>
      <c r="F4732" s="839" t="s">
        <v>231</v>
      </c>
      <c r="G4732" s="916">
        <f>VLOOKUP($A4732,'Tech Litons'!$A:$I,8,FALSE)</f>
        <v>4.2560000000000002E-3</v>
      </c>
      <c r="H4732" s="917">
        <f>VLOOKUP($A4732,'Tech Litons'!$A:$I,9,FALSE)</f>
        <v>143</v>
      </c>
      <c r="I4732" s="917" t="str">
        <f>VLOOKUP($A4732,'Tech Litons'!$A:$C,3,0)</f>
        <v>MG Sticks</v>
      </c>
      <c r="J4732" s="918" t="str">
        <f t="shared" si="474"/>
        <v>2904MG Sticks</v>
      </c>
      <c r="K4732" s="919">
        <v>1</v>
      </c>
      <c r="L4732" s="920">
        <f t="shared" si="475"/>
        <v>2593</v>
      </c>
      <c r="M4732" s="920">
        <f t="shared" si="476"/>
        <v>11.035808000000001</v>
      </c>
      <c r="N4732" s="920">
        <f t="shared" si="477"/>
        <v>18.132867132867133</v>
      </c>
      <c r="O4732" s="918" t="str">
        <f t="shared" si="478"/>
        <v>Mar</v>
      </c>
      <c r="P4732" s="921">
        <f t="shared" si="479"/>
        <v>10</v>
      </c>
    </row>
    <row r="4733" spans="1:16" ht="15" hidden="1" customHeight="1">
      <c r="A4733" s="839">
        <v>69717803</v>
      </c>
      <c r="B4733" s="839">
        <v>2904</v>
      </c>
      <c r="C4733" s="906">
        <v>2145</v>
      </c>
      <c r="D4733" s="907">
        <v>46087</v>
      </c>
      <c r="E4733" s="839" t="s">
        <v>362</v>
      </c>
      <c r="F4733" s="839" t="s">
        <v>231</v>
      </c>
      <c r="G4733" s="916">
        <f>VLOOKUP($A4733,'Tech Litons'!$A:$I,8,FALSE)</f>
        <v>4.2560000000000002E-3</v>
      </c>
      <c r="H4733" s="917">
        <f>VLOOKUP($A4733,'Tech Litons'!$A:$I,9,FALSE)</f>
        <v>143</v>
      </c>
      <c r="I4733" s="917" t="str">
        <f>VLOOKUP($A4733,'Tech Litons'!$A:$C,3,0)</f>
        <v>MG Sticks</v>
      </c>
      <c r="J4733" s="918" t="str">
        <f t="shared" si="474"/>
        <v>2904MG Sticks</v>
      </c>
      <c r="K4733" s="919">
        <v>1</v>
      </c>
      <c r="L4733" s="920">
        <f t="shared" si="475"/>
        <v>2145</v>
      </c>
      <c r="M4733" s="920">
        <f t="shared" si="476"/>
        <v>9.1291200000000003</v>
      </c>
      <c r="N4733" s="920">
        <f t="shared" si="477"/>
        <v>15</v>
      </c>
      <c r="O4733" s="918" t="str">
        <f t="shared" si="478"/>
        <v>Mar</v>
      </c>
      <c r="P4733" s="921">
        <f t="shared" si="479"/>
        <v>10</v>
      </c>
    </row>
    <row r="4734" spans="1:16" ht="15" hidden="1" customHeight="1">
      <c r="A4734" s="839">
        <v>69717803</v>
      </c>
      <c r="B4734" s="839">
        <v>2904</v>
      </c>
      <c r="C4734" s="906">
        <v>2717</v>
      </c>
      <c r="D4734" s="907">
        <v>46088</v>
      </c>
      <c r="E4734" s="839" t="s">
        <v>362</v>
      </c>
      <c r="F4734" s="839" t="s">
        <v>231</v>
      </c>
      <c r="G4734" s="916">
        <f>VLOOKUP($A4734,'Tech Litons'!$A:$I,8,FALSE)</f>
        <v>4.2560000000000002E-3</v>
      </c>
      <c r="H4734" s="917">
        <f>VLOOKUP($A4734,'Tech Litons'!$A:$I,9,FALSE)</f>
        <v>143</v>
      </c>
      <c r="I4734" s="917" t="str">
        <f>VLOOKUP($A4734,'Tech Litons'!$A:$C,3,0)</f>
        <v>MG Sticks</v>
      </c>
      <c r="J4734" s="918" t="str">
        <f t="shared" si="474"/>
        <v>2904MG Sticks</v>
      </c>
      <c r="K4734" s="919">
        <v>1</v>
      </c>
      <c r="L4734" s="920">
        <f t="shared" si="475"/>
        <v>2717</v>
      </c>
      <c r="M4734" s="920">
        <f t="shared" si="476"/>
        <v>11.563552000000001</v>
      </c>
      <c r="N4734" s="920">
        <f t="shared" si="477"/>
        <v>19</v>
      </c>
      <c r="O4734" s="918" t="str">
        <f t="shared" si="478"/>
        <v>Mar</v>
      </c>
      <c r="P4734" s="921">
        <f t="shared" si="479"/>
        <v>10</v>
      </c>
    </row>
    <row r="4735" spans="1:16" ht="15" hidden="1" customHeight="1">
      <c r="A4735" s="839">
        <v>69717803</v>
      </c>
      <c r="B4735" s="839">
        <v>2904</v>
      </c>
      <c r="C4735" s="906">
        <v>143</v>
      </c>
      <c r="D4735" s="907">
        <v>46090</v>
      </c>
      <c r="E4735" s="839" t="s">
        <v>362</v>
      </c>
      <c r="F4735" s="839" t="s">
        <v>231</v>
      </c>
      <c r="G4735" s="916">
        <f>VLOOKUP($A4735,'Tech Litons'!$A:$I,8,FALSE)</f>
        <v>4.2560000000000002E-3</v>
      </c>
      <c r="H4735" s="917">
        <f>VLOOKUP($A4735,'Tech Litons'!$A:$I,9,FALSE)</f>
        <v>143</v>
      </c>
      <c r="I4735" s="917" t="str">
        <f>VLOOKUP($A4735,'Tech Litons'!$A:$C,3,0)</f>
        <v>MG Sticks</v>
      </c>
      <c r="J4735" s="918" t="str">
        <f t="shared" si="474"/>
        <v>2904MG Sticks</v>
      </c>
      <c r="K4735" s="919">
        <v>1</v>
      </c>
      <c r="L4735" s="920">
        <f t="shared" si="475"/>
        <v>143</v>
      </c>
      <c r="M4735" s="920">
        <f t="shared" si="476"/>
        <v>0.60860800000000004</v>
      </c>
      <c r="N4735" s="920">
        <f t="shared" si="477"/>
        <v>1</v>
      </c>
      <c r="O4735" s="918" t="str">
        <f t="shared" si="478"/>
        <v>Mar</v>
      </c>
      <c r="P4735" s="921">
        <f t="shared" si="479"/>
        <v>11</v>
      </c>
    </row>
    <row r="4736" spans="1:16" ht="15" hidden="1" customHeight="1">
      <c r="A4736" s="839">
        <v>69717803</v>
      </c>
      <c r="B4736" s="839">
        <v>2904</v>
      </c>
      <c r="C4736" s="906">
        <v>1682</v>
      </c>
      <c r="D4736" s="907">
        <v>46088</v>
      </c>
      <c r="E4736" s="839" t="s">
        <v>362</v>
      </c>
      <c r="F4736" s="839" t="s">
        <v>231</v>
      </c>
      <c r="G4736" s="916">
        <f>VLOOKUP($A4736,'Tech Litons'!$A:$I,8,FALSE)</f>
        <v>4.2560000000000002E-3</v>
      </c>
      <c r="H4736" s="917">
        <f>VLOOKUP($A4736,'Tech Litons'!$A:$I,9,FALSE)</f>
        <v>143</v>
      </c>
      <c r="I4736" s="917" t="str">
        <f>VLOOKUP($A4736,'Tech Litons'!$A:$C,3,0)</f>
        <v>MG Sticks</v>
      </c>
      <c r="J4736" s="918" t="str">
        <f t="shared" si="474"/>
        <v>2904MG Sticks</v>
      </c>
      <c r="K4736" s="919">
        <v>1</v>
      </c>
      <c r="L4736" s="920">
        <f t="shared" si="475"/>
        <v>1682</v>
      </c>
      <c r="M4736" s="920">
        <f t="shared" si="476"/>
        <v>7.1585920000000005</v>
      </c>
      <c r="N4736" s="920">
        <f t="shared" si="477"/>
        <v>11.762237762237762</v>
      </c>
      <c r="O4736" s="918" t="str">
        <f t="shared" si="478"/>
        <v>Mar</v>
      </c>
      <c r="P4736" s="921">
        <f t="shared" si="479"/>
        <v>10</v>
      </c>
    </row>
    <row r="4737" spans="1:16" ht="15" hidden="1" customHeight="1">
      <c r="A4737" s="839">
        <v>69717803</v>
      </c>
      <c r="B4737" s="839">
        <v>2904</v>
      </c>
      <c r="C4737" s="906">
        <v>1326</v>
      </c>
      <c r="D4737" s="907">
        <v>46089</v>
      </c>
      <c r="E4737" s="839" t="s">
        <v>362</v>
      </c>
      <c r="F4737" s="839" t="s">
        <v>231</v>
      </c>
      <c r="G4737" s="916">
        <f>VLOOKUP($A4737,'Tech Litons'!$A:$I,8,FALSE)</f>
        <v>4.2560000000000002E-3</v>
      </c>
      <c r="H4737" s="917">
        <f>VLOOKUP($A4737,'Tech Litons'!$A:$I,9,FALSE)</f>
        <v>143</v>
      </c>
      <c r="I4737" s="917" t="str">
        <f>VLOOKUP($A4737,'Tech Litons'!$A:$C,3,0)</f>
        <v>MG Sticks</v>
      </c>
      <c r="J4737" s="918" t="str">
        <f t="shared" si="474"/>
        <v>2904MG Sticks</v>
      </c>
      <c r="K4737" s="919">
        <v>1</v>
      </c>
      <c r="L4737" s="920">
        <f t="shared" si="475"/>
        <v>1326</v>
      </c>
      <c r="M4737" s="920">
        <f t="shared" si="476"/>
        <v>5.6434560000000005</v>
      </c>
      <c r="N4737" s="920">
        <f t="shared" si="477"/>
        <v>9.2727272727272734</v>
      </c>
      <c r="O4737" s="918" t="str">
        <f t="shared" si="478"/>
        <v>Mar</v>
      </c>
      <c r="P4737" s="921">
        <f t="shared" si="479"/>
        <v>11</v>
      </c>
    </row>
    <row r="4738" spans="1:16" ht="15" hidden="1" customHeight="1">
      <c r="A4738" s="839">
        <v>69717803</v>
      </c>
      <c r="B4738" s="839">
        <v>2904</v>
      </c>
      <c r="C4738" s="906">
        <v>76</v>
      </c>
      <c r="D4738" s="907">
        <v>46090</v>
      </c>
      <c r="E4738" s="839" t="s">
        <v>362</v>
      </c>
      <c r="F4738" s="839" t="s">
        <v>231</v>
      </c>
      <c r="G4738" s="916">
        <f>VLOOKUP($A4738,'Tech Litons'!$A:$I,8,FALSE)</f>
        <v>4.2560000000000002E-3</v>
      </c>
      <c r="H4738" s="917">
        <f>VLOOKUP($A4738,'Tech Litons'!$A:$I,9,FALSE)</f>
        <v>143</v>
      </c>
      <c r="I4738" s="917" t="str">
        <f>VLOOKUP($A4738,'Tech Litons'!$A:$C,3,0)</f>
        <v>MG Sticks</v>
      </c>
      <c r="J4738" s="918" t="str">
        <f t="shared" si="474"/>
        <v>2904MG Sticks</v>
      </c>
      <c r="K4738" s="919">
        <v>1</v>
      </c>
      <c r="L4738" s="920">
        <f t="shared" si="475"/>
        <v>76</v>
      </c>
      <c r="M4738" s="920">
        <f t="shared" si="476"/>
        <v>0.32345600000000002</v>
      </c>
      <c r="N4738" s="920">
        <f t="shared" si="477"/>
        <v>0.53146853146853146</v>
      </c>
      <c r="O4738" s="918" t="str">
        <f t="shared" si="478"/>
        <v>Mar</v>
      </c>
      <c r="P4738" s="921">
        <f t="shared" si="479"/>
        <v>11</v>
      </c>
    </row>
    <row r="4739" spans="1:16" ht="15" hidden="1" customHeight="1">
      <c r="A4739" s="839">
        <v>69717803</v>
      </c>
      <c r="B4739" s="839">
        <v>2904</v>
      </c>
      <c r="C4739" s="906">
        <v>3316</v>
      </c>
      <c r="D4739" s="907">
        <v>46089</v>
      </c>
      <c r="E4739" s="839" t="s">
        <v>362</v>
      </c>
      <c r="F4739" s="839" t="s">
        <v>231</v>
      </c>
      <c r="G4739" s="916">
        <f>VLOOKUP($A4739,'Tech Litons'!$A:$I,8,FALSE)</f>
        <v>4.2560000000000002E-3</v>
      </c>
      <c r="H4739" s="917">
        <f>VLOOKUP($A4739,'Tech Litons'!$A:$I,9,FALSE)</f>
        <v>143</v>
      </c>
      <c r="I4739" s="917" t="str">
        <f>VLOOKUP($A4739,'Tech Litons'!$A:$C,3,0)</f>
        <v>MG Sticks</v>
      </c>
      <c r="J4739" s="918" t="str">
        <f t="shared" si="474"/>
        <v>2904MG Sticks</v>
      </c>
      <c r="K4739" s="919">
        <v>1</v>
      </c>
      <c r="L4739" s="920">
        <f t="shared" si="475"/>
        <v>3316</v>
      </c>
      <c r="M4739" s="920">
        <f t="shared" si="476"/>
        <v>14.112896000000001</v>
      </c>
      <c r="N4739" s="920">
        <f t="shared" si="477"/>
        <v>23.18881118881119</v>
      </c>
      <c r="O4739" s="918" t="str">
        <f t="shared" si="478"/>
        <v>Mar</v>
      </c>
      <c r="P4739" s="921">
        <f t="shared" si="479"/>
        <v>11</v>
      </c>
    </row>
    <row r="4740" spans="1:16" ht="15" hidden="1" customHeight="1">
      <c r="A4740" s="839">
        <v>69717803</v>
      </c>
      <c r="B4740" s="839">
        <v>2904</v>
      </c>
      <c r="C4740" s="906">
        <v>2953</v>
      </c>
      <c r="D4740" s="907">
        <v>46090</v>
      </c>
      <c r="E4740" s="839" t="s">
        <v>362</v>
      </c>
      <c r="F4740" s="839" t="s">
        <v>231</v>
      </c>
      <c r="G4740" s="916">
        <f>VLOOKUP($A4740,'Tech Litons'!$A:$I,8,FALSE)</f>
        <v>4.2560000000000002E-3</v>
      </c>
      <c r="H4740" s="917">
        <f>VLOOKUP($A4740,'Tech Litons'!$A:$I,9,FALSE)</f>
        <v>143</v>
      </c>
      <c r="I4740" s="917" t="str">
        <f>VLOOKUP($A4740,'Tech Litons'!$A:$C,3,0)</f>
        <v>MG Sticks</v>
      </c>
      <c r="J4740" s="918" t="str">
        <f t="shared" si="474"/>
        <v>2904MG Sticks</v>
      </c>
      <c r="K4740" s="919">
        <v>1</v>
      </c>
      <c r="L4740" s="920">
        <f t="shared" si="475"/>
        <v>2953</v>
      </c>
      <c r="M4740" s="920">
        <f t="shared" si="476"/>
        <v>12.567968</v>
      </c>
      <c r="N4740" s="920">
        <f t="shared" si="477"/>
        <v>20.65034965034965</v>
      </c>
      <c r="O4740" s="918" t="str">
        <f t="shared" si="478"/>
        <v>Mar</v>
      </c>
      <c r="P4740" s="921">
        <f t="shared" si="479"/>
        <v>11</v>
      </c>
    </row>
    <row r="4741" spans="1:16" ht="15" hidden="1" customHeight="1">
      <c r="A4741" s="839">
        <v>69717803</v>
      </c>
      <c r="B4741" s="839">
        <v>2904</v>
      </c>
      <c r="C4741" s="906">
        <v>99</v>
      </c>
      <c r="D4741" s="907">
        <v>46083</v>
      </c>
      <c r="E4741" s="839" t="s">
        <v>362</v>
      </c>
      <c r="F4741" s="839" t="s">
        <v>231</v>
      </c>
      <c r="G4741" s="916">
        <f>VLOOKUP($A4741,'Tech Litons'!$A:$I,8,FALSE)</f>
        <v>4.2560000000000002E-3</v>
      </c>
      <c r="H4741" s="917">
        <f>VLOOKUP($A4741,'Tech Litons'!$A:$I,9,FALSE)</f>
        <v>143</v>
      </c>
      <c r="I4741" s="917" t="str">
        <f>VLOOKUP($A4741,'Tech Litons'!$A:$C,3,0)</f>
        <v>MG Sticks</v>
      </c>
      <c r="J4741" s="918" t="str">
        <f t="shared" si="474"/>
        <v>2904MG Sticks</v>
      </c>
      <c r="K4741" s="919">
        <v>1</v>
      </c>
      <c r="L4741" s="920">
        <f t="shared" si="475"/>
        <v>99</v>
      </c>
      <c r="M4741" s="920">
        <f t="shared" si="476"/>
        <v>0.421344</v>
      </c>
      <c r="N4741" s="920">
        <f t="shared" si="477"/>
        <v>0.69230769230769229</v>
      </c>
      <c r="O4741" s="918" t="str">
        <f t="shared" si="478"/>
        <v>Mar</v>
      </c>
      <c r="P4741" s="921">
        <f t="shared" si="479"/>
        <v>10</v>
      </c>
    </row>
    <row r="4742" spans="1:16" ht="15" hidden="1" customHeight="1">
      <c r="A4742" s="839">
        <v>69717803</v>
      </c>
      <c r="B4742" s="839">
        <v>2904</v>
      </c>
      <c r="C4742" s="906">
        <v>2135</v>
      </c>
      <c r="D4742" s="907">
        <v>46090</v>
      </c>
      <c r="E4742" s="839" t="s">
        <v>362</v>
      </c>
      <c r="F4742" s="839" t="s">
        <v>231</v>
      </c>
      <c r="G4742" s="916">
        <f>VLOOKUP($A4742,'Tech Litons'!$A:$I,8,FALSE)</f>
        <v>4.2560000000000002E-3</v>
      </c>
      <c r="H4742" s="917">
        <f>VLOOKUP($A4742,'Tech Litons'!$A:$I,9,FALSE)</f>
        <v>143</v>
      </c>
      <c r="I4742" s="917" t="str">
        <f>VLOOKUP($A4742,'Tech Litons'!$A:$C,3,0)</f>
        <v>MG Sticks</v>
      </c>
      <c r="J4742" s="918" t="str">
        <f t="shared" si="474"/>
        <v>2904MG Sticks</v>
      </c>
      <c r="K4742" s="919">
        <v>1</v>
      </c>
      <c r="L4742" s="920">
        <f t="shared" si="475"/>
        <v>2135</v>
      </c>
      <c r="M4742" s="920">
        <f t="shared" si="476"/>
        <v>9.0865600000000004</v>
      </c>
      <c r="N4742" s="920">
        <f t="shared" si="477"/>
        <v>14.93006993006993</v>
      </c>
      <c r="O4742" s="918" t="str">
        <f t="shared" si="478"/>
        <v>Mar</v>
      </c>
      <c r="P4742" s="921">
        <f t="shared" si="479"/>
        <v>11</v>
      </c>
    </row>
    <row r="4743" spans="1:16" ht="15" hidden="1" customHeight="1">
      <c r="A4743" s="839">
        <v>69983234</v>
      </c>
      <c r="B4743" s="839">
        <v>2904</v>
      </c>
      <c r="C4743" s="906">
        <v>1330</v>
      </c>
      <c r="D4743" s="907">
        <v>46076</v>
      </c>
      <c r="E4743" s="839" t="s">
        <v>412</v>
      </c>
      <c r="F4743" s="839" t="s">
        <v>295</v>
      </c>
      <c r="G4743" s="916">
        <f>VLOOKUP($A4743,'Tech Litons'!$A:$I,8,FALSE)</f>
        <v>3.9039999999999999E-3</v>
      </c>
      <c r="H4743" s="917">
        <f>VLOOKUP($A4743,'Tech Litons'!$A:$I,9,FALSE)</f>
        <v>154</v>
      </c>
      <c r="I4743" s="917" t="str">
        <f>VLOOKUP($A4743,'Tech Litons'!$A:$C,3,0)</f>
        <v>MBG</v>
      </c>
      <c r="J4743" s="918" t="str">
        <f t="shared" si="474"/>
        <v>2904MBG</v>
      </c>
      <c r="K4743" s="919">
        <v>1</v>
      </c>
      <c r="L4743" s="920">
        <f t="shared" si="475"/>
        <v>1330</v>
      </c>
      <c r="M4743" s="920">
        <f t="shared" si="476"/>
        <v>5.1923199999999996</v>
      </c>
      <c r="N4743" s="920">
        <f t="shared" si="477"/>
        <v>8.6363636363636367</v>
      </c>
      <c r="O4743" s="918" t="str">
        <f t="shared" si="478"/>
        <v>Feb</v>
      </c>
      <c r="P4743" s="921">
        <f t="shared" si="479"/>
        <v>9</v>
      </c>
    </row>
    <row r="4744" spans="1:16" ht="15" hidden="1" customHeight="1">
      <c r="A4744" s="839">
        <v>69983234</v>
      </c>
      <c r="B4744" s="839">
        <v>2904</v>
      </c>
      <c r="C4744" s="906">
        <v>2618</v>
      </c>
      <c r="D4744" s="907">
        <v>46077</v>
      </c>
      <c r="E4744" s="839" t="s">
        <v>412</v>
      </c>
      <c r="F4744" s="839" t="s">
        <v>295</v>
      </c>
      <c r="G4744" s="916">
        <f>VLOOKUP($A4744,'Tech Litons'!$A:$I,8,FALSE)</f>
        <v>3.9039999999999999E-3</v>
      </c>
      <c r="H4744" s="917">
        <f>VLOOKUP($A4744,'Tech Litons'!$A:$I,9,FALSE)</f>
        <v>154</v>
      </c>
      <c r="I4744" s="917" t="str">
        <f>VLOOKUP($A4744,'Tech Litons'!$A:$C,3,0)</f>
        <v>MBG</v>
      </c>
      <c r="J4744" s="918" t="str">
        <f t="shared" si="474"/>
        <v>2904MBG</v>
      </c>
      <c r="K4744" s="919">
        <v>1</v>
      </c>
      <c r="L4744" s="920">
        <f t="shared" si="475"/>
        <v>2618</v>
      </c>
      <c r="M4744" s="920">
        <f t="shared" si="476"/>
        <v>10.220672</v>
      </c>
      <c r="N4744" s="920">
        <f t="shared" si="477"/>
        <v>17</v>
      </c>
      <c r="O4744" s="918" t="str">
        <f t="shared" si="478"/>
        <v>Feb</v>
      </c>
      <c r="P4744" s="921">
        <f t="shared" si="479"/>
        <v>9</v>
      </c>
    </row>
    <row r="4745" spans="1:16" ht="15" hidden="1" customHeight="1">
      <c r="A4745" s="839">
        <v>69983234</v>
      </c>
      <c r="B4745" s="839">
        <v>2904</v>
      </c>
      <c r="C4745" s="906">
        <v>2742</v>
      </c>
      <c r="D4745" s="907">
        <v>46077</v>
      </c>
      <c r="E4745" s="839" t="s">
        <v>412</v>
      </c>
      <c r="F4745" s="839" t="s">
        <v>295</v>
      </c>
      <c r="G4745" s="916">
        <f>VLOOKUP($A4745,'Tech Litons'!$A:$I,8,FALSE)</f>
        <v>3.9039999999999999E-3</v>
      </c>
      <c r="H4745" s="917">
        <f>VLOOKUP($A4745,'Tech Litons'!$A:$I,9,FALSE)</f>
        <v>154</v>
      </c>
      <c r="I4745" s="917" t="str">
        <f>VLOOKUP($A4745,'Tech Litons'!$A:$C,3,0)</f>
        <v>MBG</v>
      </c>
      <c r="J4745" s="918" t="str">
        <f t="shared" si="474"/>
        <v>2904MBG</v>
      </c>
      <c r="K4745" s="919">
        <v>1</v>
      </c>
      <c r="L4745" s="920">
        <f t="shared" si="475"/>
        <v>2742</v>
      </c>
      <c r="M4745" s="920">
        <f t="shared" si="476"/>
        <v>10.704768</v>
      </c>
      <c r="N4745" s="920">
        <f t="shared" si="477"/>
        <v>17.805194805194805</v>
      </c>
      <c r="O4745" s="918" t="str">
        <f t="shared" si="478"/>
        <v>Feb</v>
      </c>
      <c r="P4745" s="921">
        <f t="shared" si="479"/>
        <v>9</v>
      </c>
    </row>
    <row r="4746" spans="1:16" ht="15" hidden="1" customHeight="1">
      <c r="A4746" s="839">
        <v>69983234</v>
      </c>
      <c r="B4746" s="839">
        <v>2904</v>
      </c>
      <c r="C4746" s="906">
        <v>2156</v>
      </c>
      <c r="D4746" s="907">
        <v>46078</v>
      </c>
      <c r="E4746" s="839" t="s">
        <v>412</v>
      </c>
      <c r="F4746" s="839" t="s">
        <v>295</v>
      </c>
      <c r="G4746" s="916">
        <f>VLOOKUP($A4746,'Tech Litons'!$A:$I,8,FALSE)</f>
        <v>3.9039999999999999E-3</v>
      </c>
      <c r="H4746" s="917">
        <f>VLOOKUP($A4746,'Tech Litons'!$A:$I,9,FALSE)</f>
        <v>154</v>
      </c>
      <c r="I4746" s="917" t="str">
        <f>VLOOKUP($A4746,'Tech Litons'!$A:$C,3,0)</f>
        <v>MBG</v>
      </c>
      <c r="J4746" s="918" t="str">
        <f t="shared" si="474"/>
        <v>2904MBG</v>
      </c>
      <c r="K4746" s="919">
        <v>1</v>
      </c>
      <c r="L4746" s="920">
        <f t="shared" si="475"/>
        <v>2156</v>
      </c>
      <c r="M4746" s="920">
        <f t="shared" si="476"/>
        <v>8.4170239999999996</v>
      </c>
      <c r="N4746" s="920">
        <f t="shared" si="477"/>
        <v>14</v>
      </c>
      <c r="O4746" s="918" t="str">
        <f t="shared" si="478"/>
        <v>Feb</v>
      </c>
      <c r="P4746" s="921">
        <f t="shared" si="479"/>
        <v>9</v>
      </c>
    </row>
    <row r="4747" spans="1:16" ht="15" hidden="1" customHeight="1">
      <c r="A4747" s="839">
        <v>69983234</v>
      </c>
      <c r="B4747" s="839">
        <v>2904</v>
      </c>
      <c r="C4747" s="906">
        <v>3388</v>
      </c>
      <c r="D4747" s="907">
        <v>46078</v>
      </c>
      <c r="E4747" s="839" t="s">
        <v>412</v>
      </c>
      <c r="F4747" s="839" t="s">
        <v>295</v>
      </c>
      <c r="G4747" s="916">
        <f>VLOOKUP($A4747,'Tech Litons'!$A:$I,8,FALSE)</f>
        <v>3.9039999999999999E-3</v>
      </c>
      <c r="H4747" s="917">
        <f>VLOOKUP($A4747,'Tech Litons'!$A:$I,9,FALSE)</f>
        <v>154</v>
      </c>
      <c r="I4747" s="917" t="str">
        <f>VLOOKUP($A4747,'Tech Litons'!$A:$C,3,0)</f>
        <v>MBG</v>
      </c>
      <c r="J4747" s="918" t="str">
        <f t="shared" si="474"/>
        <v>2904MBG</v>
      </c>
      <c r="K4747" s="919">
        <v>1</v>
      </c>
      <c r="L4747" s="920">
        <f t="shared" si="475"/>
        <v>3388</v>
      </c>
      <c r="M4747" s="920">
        <f t="shared" si="476"/>
        <v>13.226751999999999</v>
      </c>
      <c r="N4747" s="920">
        <f t="shared" si="477"/>
        <v>22</v>
      </c>
      <c r="O4747" s="918" t="str">
        <f t="shared" si="478"/>
        <v>Feb</v>
      </c>
      <c r="P4747" s="921">
        <f t="shared" si="479"/>
        <v>9</v>
      </c>
    </row>
    <row r="4748" spans="1:16" ht="15" hidden="1" customHeight="1">
      <c r="A4748" s="839">
        <v>69983234</v>
      </c>
      <c r="B4748" s="839">
        <v>2904</v>
      </c>
      <c r="C4748" s="906">
        <v>2427</v>
      </c>
      <c r="D4748" s="907">
        <v>46079</v>
      </c>
      <c r="E4748" s="839" t="s">
        <v>412</v>
      </c>
      <c r="F4748" s="839" t="s">
        <v>295</v>
      </c>
      <c r="G4748" s="916">
        <f>VLOOKUP($A4748,'Tech Litons'!$A:$I,8,FALSE)</f>
        <v>3.9039999999999999E-3</v>
      </c>
      <c r="H4748" s="917">
        <f>VLOOKUP($A4748,'Tech Litons'!$A:$I,9,FALSE)</f>
        <v>154</v>
      </c>
      <c r="I4748" s="917" t="str">
        <f>VLOOKUP($A4748,'Tech Litons'!$A:$C,3,0)</f>
        <v>MBG</v>
      </c>
      <c r="J4748" s="918" t="str">
        <f t="shared" si="474"/>
        <v>2904MBG</v>
      </c>
      <c r="K4748" s="919">
        <v>1</v>
      </c>
      <c r="L4748" s="920">
        <f t="shared" si="475"/>
        <v>2427</v>
      </c>
      <c r="M4748" s="920">
        <f t="shared" si="476"/>
        <v>9.475007999999999</v>
      </c>
      <c r="N4748" s="920">
        <f t="shared" si="477"/>
        <v>15.75974025974026</v>
      </c>
      <c r="O4748" s="918" t="str">
        <f t="shared" si="478"/>
        <v>Feb</v>
      </c>
      <c r="P4748" s="921">
        <f t="shared" si="479"/>
        <v>9</v>
      </c>
    </row>
    <row r="4749" spans="1:16" ht="15" hidden="1" customHeight="1">
      <c r="A4749" s="839">
        <v>69983234</v>
      </c>
      <c r="B4749" s="839">
        <v>2904</v>
      </c>
      <c r="C4749" s="906">
        <v>2552</v>
      </c>
      <c r="D4749" s="907">
        <v>46079</v>
      </c>
      <c r="E4749" s="839" t="s">
        <v>412</v>
      </c>
      <c r="F4749" s="839" t="s">
        <v>295</v>
      </c>
      <c r="G4749" s="916">
        <f>VLOOKUP($A4749,'Tech Litons'!$A:$I,8,FALSE)</f>
        <v>3.9039999999999999E-3</v>
      </c>
      <c r="H4749" s="917">
        <f>VLOOKUP($A4749,'Tech Litons'!$A:$I,9,FALSE)</f>
        <v>154</v>
      </c>
      <c r="I4749" s="917" t="str">
        <f>VLOOKUP($A4749,'Tech Litons'!$A:$C,3,0)</f>
        <v>MBG</v>
      </c>
      <c r="J4749" s="918" t="str">
        <f t="shared" si="474"/>
        <v>2904MBG</v>
      </c>
      <c r="K4749" s="919">
        <v>1</v>
      </c>
      <c r="L4749" s="920">
        <f t="shared" si="475"/>
        <v>2552</v>
      </c>
      <c r="M4749" s="920">
        <f t="shared" si="476"/>
        <v>9.9630080000000003</v>
      </c>
      <c r="N4749" s="920">
        <f t="shared" si="477"/>
        <v>16.571428571428573</v>
      </c>
      <c r="O4749" s="918" t="str">
        <f t="shared" si="478"/>
        <v>Feb</v>
      </c>
      <c r="P4749" s="921">
        <f t="shared" si="479"/>
        <v>9</v>
      </c>
    </row>
    <row r="4750" spans="1:16" ht="15" hidden="1" customHeight="1">
      <c r="A4750" s="839">
        <v>69983234</v>
      </c>
      <c r="B4750" s="839">
        <v>2904</v>
      </c>
      <c r="C4750" s="906">
        <v>2475</v>
      </c>
      <c r="D4750" s="907">
        <v>46080</v>
      </c>
      <c r="E4750" s="839" t="s">
        <v>412</v>
      </c>
      <c r="F4750" s="839" t="s">
        <v>295</v>
      </c>
      <c r="G4750" s="916">
        <f>VLOOKUP($A4750,'Tech Litons'!$A:$I,8,FALSE)</f>
        <v>3.9039999999999999E-3</v>
      </c>
      <c r="H4750" s="917">
        <f>VLOOKUP($A4750,'Tech Litons'!$A:$I,9,FALSE)</f>
        <v>154</v>
      </c>
      <c r="I4750" s="917" t="str">
        <f>VLOOKUP($A4750,'Tech Litons'!$A:$C,3,0)</f>
        <v>MBG</v>
      </c>
      <c r="J4750" s="918" t="str">
        <f t="shared" si="474"/>
        <v>2904MBG</v>
      </c>
      <c r="K4750" s="919">
        <v>1</v>
      </c>
      <c r="L4750" s="920">
        <f t="shared" si="475"/>
        <v>2475</v>
      </c>
      <c r="M4750" s="920">
        <f t="shared" si="476"/>
        <v>9.6623999999999999</v>
      </c>
      <c r="N4750" s="920">
        <f t="shared" si="477"/>
        <v>16.071428571428573</v>
      </c>
      <c r="O4750" s="918" t="str">
        <f t="shared" si="478"/>
        <v>Feb</v>
      </c>
      <c r="P4750" s="921">
        <f t="shared" si="479"/>
        <v>9</v>
      </c>
    </row>
    <row r="4751" spans="1:16" ht="15" hidden="1" customHeight="1">
      <c r="A4751" s="839">
        <v>69983234</v>
      </c>
      <c r="B4751" s="839">
        <v>2904</v>
      </c>
      <c r="C4751" s="906">
        <v>1848</v>
      </c>
      <c r="D4751" s="907">
        <v>46080</v>
      </c>
      <c r="E4751" s="839" t="s">
        <v>412</v>
      </c>
      <c r="F4751" s="839" t="s">
        <v>295</v>
      </c>
      <c r="G4751" s="916">
        <f>VLOOKUP($A4751,'Tech Litons'!$A:$I,8,FALSE)</f>
        <v>3.9039999999999999E-3</v>
      </c>
      <c r="H4751" s="917">
        <f>VLOOKUP($A4751,'Tech Litons'!$A:$I,9,FALSE)</f>
        <v>154</v>
      </c>
      <c r="I4751" s="917" t="str">
        <f>VLOOKUP($A4751,'Tech Litons'!$A:$C,3,0)</f>
        <v>MBG</v>
      </c>
      <c r="J4751" s="918" t="str">
        <f t="shared" si="474"/>
        <v>2904MBG</v>
      </c>
      <c r="K4751" s="919">
        <v>1</v>
      </c>
      <c r="L4751" s="920">
        <f t="shared" si="475"/>
        <v>1848</v>
      </c>
      <c r="M4751" s="920">
        <f t="shared" si="476"/>
        <v>7.2145919999999997</v>
      </c>
      <c r="N4751" s="920">
        <f t="shared" si="477"/>
        <v>12</v>
      </c>
      <c r="O4751" s="918" t="str">
        <f t="shared" si="478"/>
        <v>Feb</v>
      </c>
      <c r="P4751" s="921">
        <f t="shared" si="479"/>
        <v>9</v>
      </c>
    </row>
    <row r="4752" spans="1:16" ht="15" hidden="1" customHeight="1">
      <c r="A4752" s="839">
        <v>69983234</v>
      </c>
      <c r="B4752" s="839">
        <v>2904</v>
      </c>
      <c r="C4752" s="906">
        <v>754</v>
      </c>
      <c r="D4752" s="907">
        <v>46081</v>
      </c>
      <c r="E4752" s="839" t="s">
        <v>412</v>
      </c>
      <c r="F4752" s="839" t="s">
        <v>295</v>
      </c>
      <c r="G4752" s="916">
        <f>VLOOKUP($A4752,'Tech Litons'!$A:$I,8,FALSE)</f>
        <v>3.9039999999999999E-3</v>
      </c>
      <c r="H4752" s="917">
        <f>VLOOKUP($A4752,'Tech Litons'!$A:$I,9,FALSE)</f>
        <v>154</v>
      </c>
      <c r="I4752" s="917" t="str">
        <f>VLOOKUP($A4752,'Tech Litons'!$A:$C,3,0)</f>
        <v>MBG</v>
      </c>
      <c r="J4752" s="918" t="str">
        <f t="shared" si="474"/>
        <v>2904MBG</v>
      </c>
      <c r="K4752" s="919">
        <v>1</v>
      </c>
      <c r="L4752" s="920">
        <f t="shared" si="475"/>
        <v>754</v>
      </c>
      <c r="M4752" s="920">
        <f t="shared" si="476"/>
        <v>2.943616</v>
      </c>
      <c r="N4752" s="920">
        <f t="shared" si="477"/>
        <v>4.8961038961038961</v>
      </c>
      <c r="O4752" s="918" t="str">
        <f t="shared" si="478"/>
        <v>Feb</v>
      </c>
      <c r="P4752" s="921">
        <f t="shared" si="479"/>
        <v>9</v>
      </c>
    </row>
    <row r="4753" spans="1:16" ht="15" hidden="1" customHeight="1">
      <c r="A4753" s="839">
        <v>69983234</v>
      </c>
      <c r="B4753" s="839">
        <v>2904</v>
      </c>
      <c r="C4753" s="906">
        <v>1104</v>
      </c>
      <c r="D4753" s="907">
        <v>46083</v>
      </c>
      <c r="E4753" s="839" t="s">
        <v>412</v>
      </c>
      <c r="F4753" s="839" t="s">
        <v>295</v>
      </c>
      <c r="G4753" s="916">
        <f>VLOOKUP($A4753,'Tech Litons'!$A:$I,8,FALSE)</f>
        <v>3.9039999999999999E-3</v>
      </c>
      <c r="H4753" s="917">
        <f>VLOOKUP($A4753,'Tech Litons'!$A:$I,9,FALSE)</f>
        <v>154</v>
      </c>
      <c r="I4753" s="917" t="str">
        <f>VLOOKUP($A4753,'Tech Litons'!$A:$C,3,0)</f>
        <v>MBG</v>
      </c>
      <c r="J4753" s="918" t="str">
        <f t="shared" si="474"/>
        <v>2904MBG</v>
      </c>
      <c r="K4753" s="919">
        <v>1</v>
      </c>
      <c r="L4753" s="920">
        <f t="shared" si="475"/>
        <v>1104</v>
      </c>
      <c r="M4753" s="920">
        <f t="shared" si="476"/>
        <v>4.3100160000000001</v>
      </c>
      <c r="N4753" s="920">
        <f t="shared" si="477"/>
        <v>7.1688311688311686</v>
      </c>
      <c r="O4753" s="918" t="str">
        <f t="shared" si="478"/>
        <v>Mar</v>
      </c>
      <c r="P4753" s="921">
        <f t="shared" si="479"/>
        <v>10</v>
      </c>
    </row>
    <row r="4754" spans="1:16" ht="15" hidden="1" customHeight="1">
      <c r="A4754" s="839">
        <v>69983234</v>
      </c>
      <c r="B4754" s="839">
        <v>2904</v>
      </c>
      <c r="C4754" s="906">
        <v>1484</v>
      </c>
      <c r="D4754" s="907">
        <v>46084</v>
      </c>
      <c r="E4754" s="839" t="s">
        <v>412</v>
      </c>
      <c r="F4754" s="839" t="s">
        <v>295</v>
      </c>
      <c r="G4754" s="916">
        <f>VLOOKUP($A4754,'Tech Litons'!$A:$I,8,FALSE)</f>
        <v>3.9039999999999999E-3</v>
      </c>
      <c r="H4754" s="917">
        <f>VLOOKUP($A4754,'Tech Litons'!$A:$I,9,FALSE)</f>
        <v>154</v>
      </c>
      <c r="I4754" s="917" t="str">
        <f>VLOOKUP($A4754,'Tech Litons'!$A:$C,3,0)</f>
        <v>MBG</v>
      </c>
      <c r="J4754" s="918" t="str">
        <f t="shared" si="474"/>
        <v>2904MBG</v>
      </c>
      <c r="K4754" s="919">
        <v>1</v>
      </c>
      <c r="L4754" s="920">
        <f t="shared" si="475"/>
        <v>1484</v>
      </c>
      <c r="M4754" s="920">
        <f t="shared" si="476"/>
        <v>5.7935359999999996</v>
      </c>
      <c r="N4754" s="920">
        <f t="shared" si="477"/>
        <v>9.6363636363636367</v>
      </c>
      <c r="O4754" s="918" t="str">
        <f t="shared" si="478"/>
        <v>Mar</v>
      </c>
      <c r="P4754" s="921">
        <f t="shared" si="479"/>
        <v>10</v>
      </c>
    </row>
    <row r="4755" spans="1:16" ht="15" hidden="1" customHeight="1">
      <c r="A4755" s="839">
        <v>69983234</v>
      </c>
      <c r="B4755" s="839">
        <v>2904</v>
      </c>
      <c r="C4755" s="906">
        <v>2067</v>
      </c>
      <c r="D4755" s="907">
        <v>46084</v>
      </c>
      <c r="E4755" s="839" t="s">
        <v>412</v>
      </c>
      <c r="F4755" s="839" t="s">
        <v>295</v>
      </c>
      <c r="G4755" s="916">
        <f>VLOOKUP($A4755,'Tech Litons'!$A:$I,8,FALSE)</f>
        <v>3.9039999999999999E-3</v>
      </c>
      <c r="H4755" s="917">
        <f>VLOOKUP($A4755,'Tech Litons'!$A:$I,9,FALSE)</f>
        <v>154</v>
      </c>
      <c r="I4755" s="917" t="str">
        <f>VLOOKUP($A4755,'Tech Litons'!$A:$C,3,0)</f>
        <v>MBG</v>
      </c>
      <c r="J4755" s="918" t="str">
        <f t="shared" si="474"/>
        <v>2904MBG</v>
      </c>
      <c r="K4755" s="919">
        <v>1</v>
      </c>
      <c r="L4755" s="920">
        <f t="shared" si="475"/>
        <v>2067</v>
      </c>
      <c r="M4755" s="920">
        <f t="shared" si="476"/>
        <v>8.0695680000000003</v>
      </c>
      <c r="N4755" s="920">
        <f t="shared" si="477"/>
        <v>13.422077922077921</v>
      </c>
      <c r="O4755" s="918" t="str">
        <f t="shared" si="478"/>
        <v>Mar</v>
      </c>
      <c r="P4755" s="921">
        <f t="shared" si="479"/>
        <v>10</v>
      </c>
    </row>
    <row r="4756" spans="1:16" ht="15" hidden="1" customHeight="1">
      <c r="A4756" s="839">
        <v>69983234</v>
      </c>
      <c r="B4756" s="839">
        <v>2904</v>
      </c>
      <c r="C4756" s="906">
        <v>1670</v>
      </c>
      <c r="D4756" s="907">
        <v>46085</v>
      </c>
      <c r="E4756" s="839" t="s">
        <v>412</v>
      </c>
      <c r="F4756" s="839" t="s">
        <v>295</v>
      </c>
      <c r="G4756" s="916">
        <f>VLOOKUP($A4756,'Tech Litons'!$A:$I,8,FALSE)</f>
        <v>3.9039999999999999E-3</v>
      </c>
      <c r="H4756" s="917">
        <f>VLOOKUP($A4756,'Tech Litons'!$A:$I,9,FALSE)</f>
        <v>154</v>
      </c>
      <c r="I4756" s="917" t="str">
        <f>VLOOKUP($A4756,'Tech Litons'!$A:$C,3,0)</f>
        <v>MBG</v>
      </c>
      <c r="J4756" s="918" t="str">
        <f t="shared" si="474"/>
        <v>2904MBG</v>
      </c>
      <c r="K4756" s="919">
        <v>1</v>
      </c>
      <c r="L4756" s="920">
        <f t="shared" si="475"/>
        <v>1670</v>
      </c>
      <c r="M4756" s="920">
        <f t="shared" si="476"/>
        <v>6.5196800000000001</v>
      </c>
      <c r="N4756" s="920">
        <f t="shared" si="477"/>
        <v>10.844155844155845</v>
      </c>
      <c r="O4756" s="918" t="str">
        <f t="shared" si="478"/>
        <v>Mar</v>
      </c>
      <c r="P4756" s="921">
        <f t="shared" si="479"/>
        <v>10</v>
      </c>
    </row>
    <row r="4757" spans="1:16" ht="15" hidden="1" customHeight="1">
      <c r="A4757" s="839">
        <v>69983234</v>
      </c>
      <c r="B4757" s="839">
        <v>2904</v>
      </c>
      <c r="C4757" s="906">
        <v>1261</v>
      </c>
      <c r="D4757" s="907">
        <v>46085</v>
      </c>
      <c r="E4757" s="839" t="s">
        <v>412</v>
      </c>
      <c r="F4757" s="839" t="s">
        <v>295</v>
      </c>
      <c r="G4757" s="916">
        <f>VLOOKUP($A4757,'Tech Litons'!$A:$I,8,FALSE)</f>
        <v>3.9039999999999999E-3</v>
      </c>
      <c r="H4757" s="917">
        <f>VLOOKUP($A4757,'Tech Litons'!$A:$I,9,FALSE)</f>
        <v>154</v>
      </c>
      <c r="I4757" s="917" t="str">
        <f>VLOOKUP($A4757,'Tech Litons'!$A:$C,3,0)</f>
        <v>MBG</v>
      </c>
      <c r="J4757" s="918" t="str">
        <f t="shared" si="474"/>
        <v>2904MBG</v>
      </c>
      <c r="K4757" s="919">
        <v>1</v>
      </c>
      <c r="L4757" s="920">
        <f t="shared" si="475"/>
        <v>1261</v>
      </c>
      <c r="M4757" s="920">
        <f t="shared" si="476"/>
        <v>4.9229440000000002</v>
      </c>
      <c r="N4757" s="920">
        <f t="shared" si="477"/>
        <v>8.1883116883116891</v>
      </c>
      <c r="O4757" s="918" t="str">
        <f t="shared" si="478"/>
        <v>Mar</v>
      </c>
      <c r="P4757" s="921">
        <f t="shared" si="479"/>
        <v>10</v>
      </c>
    </row>
    <row r="4758" spans="1:16" ht="15" hidden="1" customHeight="1">
      <c r="A4758" s="839">
        <v>69983234</v>
      </c>
      <c r="B4758" s="839">
        <v>2904</v>
      </c>
      <c r="C4758" s="906">
        <v>2691</v>
      </c>
      <c r="D4758" s="907">
        <v>46086</v>
      </c>
      <c r="E4758" s="839" t="s">
        <v>412</v>
      </c>
      <c r="F4758" s="839" t="s">
        <v>295</v>
      </c>
      <c r="G4758" s="916">
        <f>VLOOKUP($A4758,'Tech Litons'!$A:$I,8,FALSE)</f>
        <v>3.9039999999999999E-3</v>
      </c>
      <c r="H4758" s="917">
        <f>VLOOKUP($A4758,'Tech Litons'!$A:$I,9,FALSE)</f>
        <v>154</v>
      </c>
      <c r="I4758" s="917" t="str">
        <f>VLOOKUP($A4758,'Tech Litons'!$A:$C,3,0)</f>
        <v>MBG</v>
      </c>
      <c r="J4758" s="918" t="str">
        <f t="shared" si="474"/>
        <v>2904MBG</v>
      </c>
      <c r="K4758" s="919">
        <v>1</v>
      </c>
      <c r="L4758" s="920">
        <f t="shared" si="475"/>
        <v>2691</v>
      </c>
      <c r="M4758" s="920">
        <f t="shared" si="476"/>
        <v>10.505663999999999</v>
      </c>
      <c r="N4758" s="920">
        <f t="shared" si="477"/>
        <v>17.474025974025974</v>
      </c>
      <c r="O4758" s="918" t="str">
        <f t="shared" si="478"/>
        <v>Mar</v>
      </c>
      <c r="P4758" s="921">
        <f t="shared" si="479"/>
        <v>10</v>
      </c>
    </row>
    <row r="4759" spans="1:16" ht="15" hidden="1" customHeight="1">
      <c r="A4759" s="839">
        <v>69983234</v>
      </c>
      <c r="B4759" s="839">
        <v>2904</v>
      </c>
      <c r="C4759" s="906">
        <v>2398</v>
      </c>
      <c r="D4759" s="907">
        <v>46086</v>
      </c>
      <c r="E4759" s="839" t="s">
        <v>412</v>
      </c>
      <c r="F4759" s="839" t="s">
        <v>295</v>
      </c>
      <c r="G4759" s="916">
        <f>VLOOKUP($A4759,'Tech Litons'!$A:$I,8,FALSE)</f>
        <v>3.9039999999999999E-3</v>
      </c>
      <c r="H4759" s="917">
        <f>VLOOKUP($A4759,'Tech Litons'!$A:$I,9,FALSE)</f>
        <v>154</v>
      </c>
      <c r="I4759" s="917" t="str">
        <f>VLOOKUP($A4759,'Tech Litons'!$A:$C,3,0)</f>
        <v>MBG</v>
      </c>
      <c r="J4759" s="918" t="str">
        <f t="shared" si="474"/>
        <v>2904MBG</v>
      </c>
      <c r="K4759" s="919">
        <v>1</v>
      </c>
      <c r="L4759" s="920">
        <f t="shared" si="475"/>
        <v>2398</v>
      </c>
      <c r="M4759" s="920">
        <f t="shared" si="476"/>
        <v>9.3617919999999994</v>
      </c>
      <c r="N4759" s="920">
        <f t="shared" si="477"/>
        <v>15.571428571428571</v>
      </c>
      <c r="O4759" s="918" t="str">
        <f t="shared" si="478"/>
        <v>Mar</v>
      </c>
      <c r="P4759" s="921">
        <f t="shared" si="479"/>
        <v>10</v>
      </c>
    </row>
    <row r="4760" spans="1:16" ht="15" hidden="1" customHeight="1">
      <c r="A4760" s="839">
        <v>69983234</v>
      </c>
      <c r="B4760" s="839">
        <v>2904</v>
      </c>
      <c r="C4760" s="906">
        <v>2233</v>
      </c>
      <c r="D4760" s="907">
        <v>46087</v>
      </c>
      <c r="E4760" s="839" t="s">
        <v>412</v>
      </c>
      <c r="F4760" s="839" t="s">
        <v>295</v>
      </c>
      <c r="G4760" s="916">
        <f>VLOOKUP($A4760,'Tech Litons'!$A:$I,8,FALSE)</f>
        <v>3.9039999999999999E-3</v>
      </c>
      <c r="H4760" s="917">
        <f>VLOOKUP($A4760,'Tech Litons'!$A:$I,9,FALSE)</f>
        <v>154</v>
      </c>
      <c r="I4760" s="917" t="str">
        <f>VLOOKUP($A4760,'Tech Litons'!$A:$C,3,0)</f>
        <v>MBG</v>
      </c>
      <c r="J4760" s="918" t="str">
        <f t="shared" si="474"/>
        <v>2904MBG</v>
      </c>
      <c r="K4760" s="919">
        <v>1</v>
      </c>
      <c r="L4760" s="920">
        <f t="shared" si="475"/>
        <v>2233</v>
      </c>
      <c r="M4760" s="920">
        <f t="shared" si="476"/>
        <v>8.717632</v>
      </c>
      <c r="N4760" s="920">
        <f t="shared" si="477"/>
        <v>14.5</v>
      </c>
      <c r="O4760" s="918" t="str">
        <f t="shared" si="478"/>
        <v>Mar</v>
      </c>
      <c r="P4760" s="921">
        <f t="shared" si="479"/>
        <v>10</v>
      </c>
    </row>
    <row r="4761" spans="1:16" ht="15" hidden="1" customHeight="1">
      <c r="A4761" s="839">
        <v>69983234</v>
      </c>
      <c r="B4761" s="839">
        <v>2904</v>
      </c>
      <c r="C4761" s="906">
        <v>2310</v>
      </c>
      <c r="D4761" s="907">
        <v>46087</v>
      </c>
      <c r="E4761" s="839" t="s">
        <v>412</v>
      </c>
      <c r="F4761" s="839" t="s">
        <v>295</v>
      </c>
      <c r="G4761" s="916">
        <f>VLOOKUP($A4761,'Tech Litons'!$A:$I,8,FALSE)</f>
        <v>3.9039999999999999E-3</v>
      </c>
      <c r="H4761" s="917">
        <f>VLOOKUP($A4761,'Tech Litons'!$A:$I,9,FALSE)</f>
        <v>154</v>
      </c>
      <c r="I4761" s="917" t="str">
        <f>VLOOKUP($A4761,'Tech Litons'!$A:$C,3,0)</f>
        <v>MBG</v>
      </c>
      <c r="J4761" s="918" t="str">
        <f t="shared" si="474"/>
        <v>2904MBG</v>
      </c>
      <c r="K4761" s="919">
        <v>1</v>
      </c>
      <c r="L4761" s="920">
        <f t="shared" si="475"/>
        <v>2310</v>
      </c>
      <c r="M4761" s="920">
        <f t="shared" si="476"/>
        <v>9.0182400000000005</v>
      </c>
      <c r="N4761" s="920">
        <f t="shared" si="477"/>
        <v>15</v>
      </c>
      <c r="O4761" s="918" t="str">
        <f t="shared" si="478"/>
        <v>Mar</v>
      </c>
      <c r="P4761" s="921">
        <f t="shared" si="479"/>
        <v>10</v>
      </c>
    </row>
    <row r="4762" spans="1:16" ht="15" hidden="1" customHeight="1">
      <c r="A4762" s="839">
        <v>69983234</v>
      </c>
      <c r="B4762" s="839">
        <v>2904</v>
      </c>
      <c r="C4762" s="906">
        <v>1440</v>
      </c>
      <c r="D4762" s="907">
        <v>46088</v>
      </c>
      <c r="E4762" s="839" t="s">
        <v>412</v>
      </c>
      <c r="F4762" s="839" t="s">
        <v>295</v>
      </c>
      <c r="G4762" s="916">
        <f>VLOOKUP($A4762,'Tech Litons'!$A:$I,8,FALSE)</f>
        <v>3.9039999999999999E-3</v>
      </c>
      <c r="H4762" s="917">
        <f>VLOOKUP($A4762,'Tech Litons'!$A:$I,9,FALSE)</f>
        <v>154</v>
      </c>
      <c r="I4762" s="917" t="str">
        <f>VLOOKUP($A4762,'Tech Litons'!$A:$C,3,0)</f>
        <v>MBG</v>
      </c>
      <c r="J4762" s="918" t="str">
        <f t="shared" si="474"/>
        <v>2904MBG</v>
      </c>
      <c r="K4762" s="919">
        <v>1</v>
      </c>
      <c r="L4762" s="920">
        <f t="shared" si="475"/>
        <v>1440</v>
      </c>
      <c r="M4762" s="920">
        <f t="shared" si="476"/>
        <v>5.6217600000000001</v>
      </c>
      <c r="N4762" s="920">
        <f t="shared" si="477"/>
        <v>9.3506493506493502</v>
      </c>
      <c r="O4762" s="918" t="str">
        <f t="shared" si="478"/>
        <v>Mar</v>
      </c>
      <c r="P4762" s="921">
        <f t="shared" si="479"/>
        <v>10</v>
      </c>
    </row>
    <row r="4763" spans="1:16" ht="15" hidden="1" customHeight="1">
      <c r="A4763" s="839">
        <v>69983234</v>
      </c>
      <c r="B4763" s="839">
        <v>2904</v>
      </c>
      <c r="C4763" s="906">
        <v>2135</v>
      </c>
      <c r="D4763" s="907">
        <v>46090</v>
      </c>
      <c r="E4763" s="839" t="s">
        <v>412</v>
      </c>
      <c r="F4763" s="839" t="s">
        <v>295</v>
      </c>
      <c r="G4763" s="916">
        <f>VLOOKUP($A4763,'Tech Litons'!$A:$I,8,FALSE)</f>
        <v>3.9039999999999999E-3</v>
      </c>
      <c r="H4763" s="917">
        <f>VLOOKUP($A4763,'Tech Litons'!$A:$I,9,FALSE)</f>
        <v>154</v>
      </c>
      <c r="I4763" s="917" t="str">
        <f>VLOOKUP($A4763,'Tech Litons'!$A:$C,3,0)</f>
        <v>MBG</v>
      </c>
      <c r="J4763" s="918" t="str">
        <f t="shared" si="474"/>
        <v>2904MBG</v>
      </c>
      <c r="K4763" s="919">
        <v>1</v>
      </c>
      <c r="L4763" s="920">
        <f t="shared" si="475"/>
        <v>2135</v>
      </c>
      <c r="M4763" s="920">
        <f t="shared" si="476"/>
        <v>8.3350399999999993</v>
      </c>
      <c r="N4763" s="920">
        <f t="shared" si="477"/>
        <v>13.863636363636363</v>
      </c>
      <c r="O4763" s="918" t="str">
        <f t="shared" si="478"/>
        <v>Mar</v>
      </c>
      <c r="P4763" s="921">
        <f t="shared" si="479"/>
        <v>11</v>
      </c>
    </row>
    <row r="4764" spans="1:16" ht="15" hidden="1" customHeight="1">
      <c r="A4764" s="839">
        <v>69983234</v>
      </c>
      <c r="B4764" s="839">
        <v>2904</v>
      </c>
      <c r="C4764" s="906">
        <v>2682</v>
      </c>
      <c r="D4764" s="907">
        <v>46091</v>
      </c>
      <c r="E4764" s="839" t="s">
        <v>412</v>
      </c>
      <c r="F4764" s="839" t="s">
        <v>295</v>
      </c>
      <c r="G4764" s="916">
        <f>VLOOKUP($A4764,'Tech Litons'!$A:$I,8,FALSE)</f>
        <v>3.9039999999999999E-3</v>
      </c>
      <c r="H4764" s="917">
        <f>VLOOKUP($A4764,'Tech Litons'!$A:$I,9,FALSE)</f>
        <v>154</v>
      </c>
      <c r="I4764" s="917" t="str">
        <f>VLOOKUP($A4764,'Tech Litons'!$A:$C,3,0)</f>
        <v>MBG</v>
      </c>
      <c r="J4764" s="918" t="str">
        <f t="shared" si="474"/>
        <v>2904MBG</v>
      </c>
      <c r="K4764" s="919">
        <v>1</v>
      </c>
      <c r="L4764" s="920">
        <f t="shared" si="475"/>
        <v>2682</v>
      </c>
      <c r="M4764" s="920">
        <f t="shared" si="476"/>
        <v>10.470528</v>
      </c>
      <c r="N4764" s="920">
        <f t="shared" si="477"/>
        <v>17.415584415584416</v>
      </c>
      <c r="O4764" s="918" t="str">
        <f t="shared" si="478"/>
        <v>Mar</v>
      </c>
      <c r="P4764" s="921">
        <f t="shared" si="479"/>
        <v>11</v>
      </c>
    </row>
    <row r="4765" spans="1:16" ht="15" hidden="1" customHeight="1">
      <c r="A4765" s="839">
        <v>69983234</v>
      </c>
      <c r="B4765" s="839">
        <v>2904</v>
      </c>
      <c r="C4765" s="906">
        <v>2129</v>
      </c>
      <c r="D4765" s="907">
        <v>46091</v>
      </c>
      <c r="E4765" s="839" t="s">
        <v>412</v>
      </c>
      <c r="F4765" s="839" t="s">
        <v>295</v>
      </c>
      <c r="G4765" s="916">
        <f>VLOOKUP($A4765,'Tech Litons'!$A:$I,8,FALSE)</f>
        <v>3.9039999999999999E-3</v>
      </c>
      <c r="H4765" s="917">
        <f>VLOOKUP($A4765,'Tech Litons'!$A:$I,9,FALSE)</f>
        <v>154</v>
      </c>
      <c r="I4765" s="917" t="str">
        <f>VLOOKUP($A4765,'Tech Litons'!$A:$C,3,0)</f>
        <v>MBG</v>
      </c>
      <c r="J4765" s="918" t="str">
        <f t="shared" si="474"/>
        <v>2904MBG</v>
      </c>
      <c r="K4765" s="919">
        <v>1</v>
      </c>
      <c r="L4765" s="920">
        <f t="shared" si="475"/>
        <v>2129</v>
      </c>
      <c r="M4765" s="920">
        <f t="shared" si="476"/>
        <v>8.311615999999999</v>
      </c>
      <c r="N4765" s="920">
        <f t="shared" si="477"/>
        <v>13.824675324675324</v>
      </c>
      <c r="O4765" s="918" t="str">
        <f t="shared" si="478"/>
        <v>Mar</v>
      </c>
      <c r="P4765" s="921">
        <f t="shared" si="479"/>
        <v>11</v>
      </c>
    </row>
    <row r="4766" spans="1:16" ht="15" hidden="1" customHeight="1">
      <c r="A4766" s="839">
        <v>69983234</v>
      </c>
      <c r="B4766" s="839">
        <v>2904</v>
      </c>
      <c r="C4766" s="906">
        <v>2310</v>
      </c>
      <c r="D4766" s="907">
        <v>46092</v>
      </c>
      <c r="E4766" s="839" t="s">
        <v>412</v>
      </c>
      <c r="F4766" s="839" t="s">
        <v>295</v>
      </c>
      <c r="G4766" s="916">
        <f>VLOOKUP($A4766,'Tech Litons'!$A:$I,8,FALSE)</f>
        <v>3.9039999999999999E-3</v>
      </c>
      <c r="H4766" s="917">
        <f>VLOOKUP($A4766,'Tech Litons'!$A:$I,9,FALSE)</f>
        <v>154</v>
      </c>
      <c r="I4766" s="917" t="str">
        <f>VLOOKUP($A4766,'Tech Litons'!$A:$C,3,0)</f>
        <v>MBG</v>
      </c>
      <c r="J4766" s="918" t="str">
        <f t="shared" si="474"/>
        <v>2904MBG</v>
      </c>
      <c r="K4766" s="919">
        <v>1</v>
      </c>
      <c r="L4766" s="920">
        <f t="shared" si="475"/>
        <v>2310</v>
      </c>
      <c r="M4766" s="920">
        <f t="shared" si="476"/>
        <v>9.0182400000000005</v>
      </c>
      <c r="N4766" s="920">
        <f t="shared" si="477"/>
        <v>15</v>
      </c>
      <c r="O4766" s="918" t="str">
        <f t="shared" si="478"/>
        <v>Mar</v>
      </c>
      <c r="P4766" s="921">
        <f t="shared" si="479"/>
        <v>11</v>
      </c>
    </row>
    <row r="4767" spans="1:16" ht="15" hidden="1" customHeight="1">
      <c r="A4767" s="839">
        <v>69983234</v>
      </c>
      <c r="B4767" s="839">
        <v>2904</v>
      </c>
      <c r="C4767" s="906">
        <v>2464</v>
      </c>
      <c r="D4767" s="907">
        <v>46092</v>
      </c>
      <c r="E4767" s="839" t="s">
        <v>412</v>
      </c>
      <c r="F4767" s="839" t="s">
        <v>295</v>
      </c>
      <c r="G4767" s="916">
        <f>VLOOKUP($A4767,'Tech Litons'!$A:$I,8,FALSE)</f>
        <v>3.9039999999999999E-3</v>
      </c>
      <c r="H4767" s="917">
        <f>VLOOKUP($A4767,'Tech Litons'!$A:$I,9,FALSE)</f>
        <v>154</v>
      </c>
      <c r="I4767" s="917" t="str">
        <f>VLOOKUP($A4767,'Tech Litons'!$A:$C,3,0)</f>
        <v>MBG</v>
      </c>
      <c r="J4767" s="918" t="str">
        <f t="shared" si="474"/>
        <v>2904MBG</v>
      </c>
      <c r="K4767" s="919">
        <v>1</v>
      </c>
      <c r="L4767" s="920">
        <f t="shared" si="475"/>
        <v>2464</v>
      </c>
      <c r="M4767" s="920">
        <f t="shared" si="476"/>
        <v>9.6194559999999996</v>
      </c>
      <c r="N4767" s="920">
        <f t="shared" si="477"/>
        <v>16</v>
      </c>
      <c r="O4767" s="918" t="str">
        <f t="shared" si="478"/>
        <v>Mar</v>
      </c>
      <c r="P4767" s="921">
        <f t="shared" si="479"/>
        <v>11</v>
      </c>
    </row>
    <row r="4768" spans="1:16" ht="15" hidden="1" customHeight="1">
      <c r="A4768" s="839">
        <v>69983234</v>
      </c>
      <c r="B4768" s="839">
        <v>2904</v>
      </c>
      <c r="C4768" s="906">
        <v>1592</v>
      </c>
      <c r="D4768" s="907">
        <v>46093</v>
      </c>
      <c r="E4768" s="839" t="s">
        <v>412</v>
      </c>
      <c r="F4768" s="839" t="s">
        <v>295</v>
      </c>
      <c r="G4768" s="916">
        <f>VLOOKUP($A4768,'Tech Litons'!$A:$I,8,FALSE)</f>
        <v>3.9039999999999999E-3</v>
      </c>
      <c r="H4768" s="917">
        <f>VLOOKUP($A4768,'Tech Litons'!$A:$I,9,FALSE)</f>
        <v>154</v>
      </c>
      <c r="I4768" s="917" t="str">
        <f>VLOOKUP($A4768,'Tech Litons'!$A:$C,3,0)</f>
        <v>MBG</v>
      </c>
      <c r="J4768" s="918" t="str">
        <f t="shared" si="474"/>
        <v>2904MBG</v>
      </c>
      <c r="K4768" s="919">
        <v>1</v>
      </c>
      <c r="L4768" s="920">
        <f t="shared" si="475"/>
        <v>1592</v>
      </c>
      <c r="M4768" s="920">
        <f t="shared" si="476"/>
        <v>6.2151680000000002</v>
      </c>
      <c r="N4768" s="920">
        <f t="shared" si="477"/>
        <v>10.337662337662337</v>
      </c>
      <c r="O4768" s="918" t="str">
        <f t="shared" si="478"/>
        <v>Mar</v>
      </c>
      <c r="P4768" s="921">
        <f t="shared" si="479"/>
        <v>11</v>
      </c>
    </row>
    <row r="4769" spans="1:16" ht="15" hidden="1" customHeight="1">
      <c r="A4769" s="839">
        <v>69999266</v>
      </c>
      <c r="B4769" s="839">
        <v>2904</v>
      </c>
      <c r="C4769" s="906">
        <v>4249</v>
      </c>
      <c r="D4769" s="907">
        <v>46105</v>
      </c>
      <c r="E4769" s="839" t="s">
        <v>298</v>
      </c>
      <c r="F4769" s="839" t="s">
        <v>299</v>
      </c>
      <c r="G4769" s="916">
        <f>VLOOKUP($A4769,'Tech Litons'!$A:$I,8,FALSE)</f>
        <v>3.7839999999999996E-3</v>
      </c>
      <c r="H4769" s="917">
        <f>VLOOKUP($A4769,'Tech Litons'!$A:$I,9,FALSE)</f>
        <v>240</v>
      </c>
      <c r="I4769" s="917" t="str">
        <f>VLOOKUP($A4769,'Tech Litons'!$A:$C,3,0)</f>
        <v>BJ PTS</v>
      </c>
      <c r="J4769" s="918" t="str">
        <f t="shared" si="474"/>
        <v>2904BJ PTS</v>
      </c>
      <c r="K4769" s="919">
        <v>1</v>
      </c>
      <c r="L4769" s="920">
        <f t="shared" si="475"/>
        <v>4249</v>
      </c>
      <c r="M4769" s="920">
        <f t="shared" si="476"/>
        <v>16.078215999999998</v>
      </c>
      <c r="N4769" s="920">
        <f t="shared" si="477"/>
        <v>17.704166666666666</v>
      </c>
      <c r="O4769" s="918" t="str">
        <f t="shared" si="478"/>
        <v>Mar</v>
      </c>
      <c r="P4769" s="921">
        <f t="shared" si="479"/>
        <v>13</v>
      </c>
    </row>
    <row r="4770" spans="1:16" ht="15" hidden="1" customHeight="1">
      <c r="A4770" s="839">
        <v>69999266</v>
      </c>
      <c r="B4770" s="839">
        <v>2904</v>
      </c>
      <c r="C4770" s="906">
        <v>5605</v>
      </c>
      <c r="D4770" s="907">
        <v>46105</v>
      </c>
      <c r="E4770" s="839" t="s">
        <v>298</v>
      </c>
      <c r="F4770" s="839" t="s">
        <v>299</v>
      </c>
      <c r="G4770" s="916">
        <f>VLOOKUP($A4770,'Tech Litons'!$A:$I,8,FALSE)</f>
        <v>3.7839999999999996E-3</v>
      </c>
      <c r="H4770" s="917">
        <f>VLOOKUP($A4770,'Tech Litons'!$A:$I,9,FALSE)</f>
        <v>240</v>
      </c>
      <c r="I4770" s="917" t="str">
        <f>VLOOKUP($A4770,'Tech Litons'!$A:$C,3,0)</f>
        <v>BJ PTS</v>
      </c>
      <c r="J4770" s="918" t="str">
        <f t="shared" si="474"/>
        <v>2904BJ PTS</v>
      </c>
      <c r="K4770" s="919">
        <v>1</v>
      </c>
      <c r="L4770" s="920">
        <f t="shared" si="475"/>
        <v>5605</v>
      </c>
      <c r="M4770" s="920">
        <f t="shared" si="476"/>
        <v>21.209319999999998</v>
      </c>
      <c r="N4770" s="920">
        <f t="shared" si="477"/>
        <v>23.354166666666668</v>
      </c>
      <c r="O4770" s="918" t="str">
        <f t="shared" si="478"/>
        <v>Mar</v>
      </c>
      <c r="P4770" s="921">
        <f t="shared" si="479"/>
        <v>13</v>
      </c>
    </row>
    <row r="4771" spans="1:16" ht="15" hidden="1" customHeight="1">
      <c r="A4771" s="839">
        <v>69999267</v>
      </c>
      <c r="B4771" s="839">
        <v>2904</v>
      </c>
      <c r="C4771" s="906">
        <v>195</v>
      </c>
      <c r="D4771" s="907">
        <v>46076</v>
      </c>
      <c r="E4771" s="839" t="s">
        <v>335</v>
      </c>
      <c r="F4771" s="839" t="s">
        <v>299</v>
      </c>
      <c r="G4771" s="916">
        <f>VLOOKUP($A4771,'Tech Litons'!$A:$I,8,FALSE)</f>
        <v>3.7839999999999996E-3</v>
      </c>
      <c r="H4771" s="917">
        <f>VLOOKUP($A4771,'Tech Litons'!$A:$I,9,FALSE)</f>
        <v>240</v>
      </c>
      <c r="I4771" s="917" t="str">
        <f>VLOOKUP($A4771,'Tech Litons'!$A:$C,3,0)</f>
        <v>BJ PTS</v>
      </c>
      <c r="J4771" s="918" t="str">
        <f t="shared" si="474"/>
        <v>2904BJ PTS</v>
      </c>
      <c r="K4771" s="919">
        <v>1</v>
      </c>
      <c r="L4771" s="920">
        <f t="shared" si="475"/>
        <v>195</v>
      </c>
      <c r="M4771" s="920">
        <f t="shared" si="476"/>
        <v>0.73787999999999987</v>
      </c>
      <c r="N4771" s="920">
        <f t="shared" si="477"/>
        <v>0.8125</v>
      </c>
      <c r="O4771" s="918" t="str">
        <f t="shared" si="478"/>
        <v>Feb</v>
      </c>
      <c r="P4771" s="921">
        <f t="shared" si="479"/>
        <v>9</v>
      </c>
    </row>
    <row r="4772" spans="1:16" ht="15" hidden="1" customHeight="1">
      <c r="A4772" s="839">
        <v>69999267</v>
      </c>
      <c r="B4772" s="839">
        <v>2904</v>
      </c>
      <c r="C4772" s="906">
        <v>2939</v>
      </c>
      <c r="D4772" s="907">
        <v>46097</v>
      </c>
      <c r="E4772" s="839" t="s">
        <v>335</v>
      </c>
      <c r="F4772" s="839" t="s">
        <v>299</v>
      </c>
      <c r="G4772" s="916">
        <f>VLOOKUP($A4772,'Tech Litons'!$A:$I,8,FALSE)</f>
        <v>3.7839999999999996E-3</v>
      </c>
      <c r="H4772" s="917">
        <f>VLOOKUP($A4772,'Tech Litons'!$A:$I,9,FALSE)</f>
        <v>240</v>
      </c>
      <c r="I4772" s="917" t="str">
        <f>VLOOKUP($A4772,'Tech Litons'!$A:$C,3,0)</f>
        <v>BJ PTS</v>
      </c>
      <c r="J4772" s="918" t="str">
        <f t="shared" si="474"/>
        <v>2904BJ PTS</v>
      </c>
      <c r="K4772" s="919">
        <v>1</v>
      </c>
      <c r="L4772" s="920">
        <f t="shared" si="475"/>
        <v>2939</v>
      </c>
      <c r="M4772" s="920">
        <f t="shared" si="476"/>
        <v>11.121175999999998</v>
      </c>
      <c r="N4772" s="920">
        <f t="shared" si="477"/>
        <v>12.245833333333334</v>
      </c>
      <c r="O4772" s="918" t="str">
        <f t="shared" si="478"/>
        <v>Mar</v>
      </c>
      <c r="P4772" s="921">
        <f t="shared" si="479"/>
        <v>12</v>
      </c>
    </row>
    <row r="4773" spans="1:16" ht="15" hidden="1" customHeight="1">
      <c r="A4773" s="839">
        <v>69999267</v>
      </c>
      <c r="B4773" s="839">
        <v>2904</v>
      </c>
      <c r="C4773" s="906">
        <v>6511</v>
      </c>
      <c r="D4773" s="907">
        <v>46098</v>
      </c>
      <c r="E4773" s="839" t="s">
        <v>335</v>
      </c>
      <c r="F4773" s="839" t="s">
        <v>299</v>
      </c>
      <c r="G4773" s="916">
        <f>VLOOKUP($A4773,'Tech Litons'!$A:$I,8,FALSE)</f>
        <v>3.7839999999999996E-3</v>
      </c>
      <c r="H4773" s="917">
        <f>VLOOKUP($A4773,'Tech Litons'!$A:$I,9,FALSE)</f>
        <v>240</v>
      </c>
      <c r="I4773" s="917" t="str">
        <f>VLOOKUP($A4773,'Tech Litons'!$A:$C,3,0)</f>
        <v>BJ PTS</v>
      </c>
      <c r="J4773" s="918" t="str">
        <f t="shared" si="474"/>
        <v>2904BJ PTS</v>
      </c>
      <c r="K4773" s="919">
        <v>1</v>
      </c>
      <c r="L4773" s="920">
        <f t="shared" si="475"/>
        <v>6511</v>
      </c>
      <c r="M4773" s="920">
        <f t="shared" si="476"/>
        <v>24.637623999999999</v>
      </c>
      <c r="N4773" s="920">
        <f t="shared" si="477"/>
        <v>27.129166666666666</v>
      </c>
      <c r="O4773" s="918" t="str">
        <f t="shared" si="478"/>
        <v>Mar</v>
      </c>
      <c r="P4773" s="921">
        <f t="shared" si="479"/>
        <v>12</v>
      </c>
    </row>
    <row r="4774" spans="1:16" ht="15" hidden="1" customHeight="1">
      <c r="A4774" s="839">
        <v>69999267</v>
      </c>
      <c r="B4774" s="839">
        <v>2904</v>
      </c>
      <c r="C4774" s="906">
        <v>9519</v>
      </c>
      <c r="D4774" s="907">
        <v>46098</v>
      </c>
      <c r="E4774" s="839" t="s">
        <v>335</v>
      </c>
      <c r="F4774" s="839" t="s">
        <v>299</v>
      </c>
      <c r="G4774" s="916">
        <f>VLOOKUP($A4774,'Tech Litons'!$A:$I,8,FALSE)</f>
        <v>3.7839999999999996E-3</v>
      </c>
      <c r="H4774" s="917">
        <f>VLOOKUP($A4774,'Tech Litons'!$A:$I,9,FALSE)</f>
        <v>240</v>
      </c>
      <c r="I4774" s="917" t="str">
        <f>VLOOKUP($A4774,'Tech Litons'!$A:$C,3,0)</f>
        <v>BJ PTS</v>
      </c>
      <c r="J4774" s="918" t="str">
        <f t="shared" si="474"/>
        <v>2904BJ PTS</v>
      </c>
      <c r="K4774" s="919">
        <v>1</v>
      </c>
      <c r="L4774" s="920">
        <f t="shared" si="475"/>
        <v>9519</v>
      </c>
      <c r="M4774" s="920">
        <f t="shared" si="476"/>
        <v>36.019895999999996</v>
      </c>
      <c r="N4774" s="920">
        <f t="shared" si="477"/>
        <v>39.662500000000001</v>
      </c>
      <c r="O4774" s="918" t="str">
        <f t="shared" si="478"/>
        <v>Mar</v>
      </c>
      <c r="P4774" s="921">
        <f t="shared" si="479"/>
        <v>12</v>
      </c>
    </row>
    <row r="4775" spans="1:16" ht="15" hidden="1" customHeight="1">
      <c r="A4775" s="839">
        <v>69999267</v>
      </c>
      <c r="B4775" s="839">
        <v>2904</v>
      </c>
      <c r="C4775" s="906">
        <v>9794</v>
      </c>
      <c r="D4775" s="907">
        <v>46099</v>
      </c>
      <c r="E4775" s="839" t="s">
        <v>335</v>
      </c>
      <c r="F4775" s="839" t="s">
        <v>299</v>
      </c>
      <c r="G4775" s="916">
        <f>VLOOKUP($A4775,'Tech Litons'!$A:$I,8,FALSE)</f>
        <v>3.7839999999999996E-3</v>
      </c>
      <c r="H4775" s="917">
        <f>VLOOKUP($A4775,'Tech Litons'!$A:$I,9,FALSE)</f>
        <v>240</v>
      </c>
      <c r="I4775" s="917" t="str">
        <f>VLOOKUP($A4775,'Tech Litons'!$A:$C,3,0)</f>
        <v>BJ PTS</v>
      </c>
      <c r="J4775" s="918" t="str">
        <f t="shared" si="474"/>
        <v>2904BJ PTS</v>
      </c>
      <c r="K4775" s="919">
        <v>1</v>
      </c>
      <c r="L4775" s="920">
        <f t="shared" si="475"/>
        <v>9794</v>
      </c>
      <c r="M4775" s="920">
        <f t="shared" si="476"/>
        <v>37.060495999999993</v>
      </c>
      <c r="N4775" s="920">
        <f t="shared" si="477"/>
        <v>40.80833333333333</v>
      </c>
      <c r="O4775" s="918" t="str">
        <f t="shared" si="478"/>
        <v>Mar</v>
      </c>
      <c r="P4775" s="921">
        <f t="shared" si="479"/>
        <v>12</v>
      </c>
    </row>
    <row r="4776" spans="1:16" ht="15" hidden="1" customHeight="1">
      <c r="A4776" s="839">
        <v>69999267</v>
      </c>
      <c r="B4776" s="839">
        <v>2904</v>
      </c>
      <c r="C4776" s="906">
        <v>9945</v>
      </c>
      <c r="D4776" s="907">
        <v>46099</v>
      </c>
      <c r="E4776" s="839" t="s">
        <v>335</v>
      </c>
      <c r="F4776" s="839" t="s">
        <v>299</v>
      </c>
      <c r="G4776" s="916">
        <f>VLOOKUP($A4776,'Tech Litons'!$A:$I,8,FALSE)</f>
        <v>3.7839999999999996E-3</v>
      </c>
      <c r="H4776" s="917">
        <f>VLOOKUP($A4776,'Tech Litons'!$A:$I,9,FALSE)</f>
        <v>240</v>
      </c>
      <c r="I4776" s="917" t="str">
        <f>VLOOKUP($A4776,'Tech Litons'!$A:$C,3,0)</f>
        <v>BJ PTS</v>
      </c>
      <c r="J4776" s="918" t="str">
        <f t="shared" si="474"/>
        <v>2904BJ PTS</v>
      </c>
      <c r="K4776" s="919">
        <v>1</v>
      </c>
      <c r="L4776" s="920">
        <f t="shared" si="475"/>
        <v>9945</v>
      </c>
      <c r="M4776" s="920">
        <f t="shared" si="476"/>
        <v>37.631879999999995</v>
      </c>
      <c r="N4776" s="920">
        <f t="shared" si="477"/>
        <v>41.4375</v>
      </c>
      <c r="O4776" s="918" t="str">
        <f t="shared" si="478"/>
        <v>Mar</v>
      </c>
      <c r="P4776" s="921">
        <f t="shared" si="479"/>
        <v>12</v>
      </c>
    </row>
    <row r="4777" spans="1:16" ht="15" hidden="1" customHeight="1">
      <c r="A4777" s="839">
        <v>69999267</v>
      </c>
      <c r="B4777" s="839">
        <v>2904</v>
      </c>
      <c r="C4777" s="906">
        <v>6822</v>
      </c>
      <c r="D4777" s="907">
        <v>46100</v>
      </c>
      <c r="E4777" s="839" t="s">
        <v>335</v>
      </c>
      <c r="F4777" s="839" t="s">
        <v>299</v>
      </c>
      <c r="G4777" s="916">
        <f>VLOOKUP($A4777,'Tech Litons'!$A:$I,8,FALSE)</f>
        <v>3.7839999999999996E-3</v>
      </c>
      <c r="H4777" s="917">
        <f>VLOOKUP($A4777,'Tech Litons'!$A:$I,9,FALSE)</f>
        <v>240</v>
      </c>
      <c r="I4777" s="917" t="str">
        <f>VLOOKUP($A4777,'Tech Litons'!$A:$C,3,0)</f>
        <v>BJ PTS</v>
      </c>
      <c r="J4777" s="918" t="str">
        <f t="shared" si="474"/>
        <v>2904BJ PTS</v>
      </c>
      <c r="K4777" s="919">
        <v>1</v>
      </c>
      <c r="L4777" s="920">
        <f t="shared" si="475"/>
        <v>6822</v>
      </c>
      <c r="M4777" s="920">
        <f t="shared" si="476"/>
        <v>25.814447999999999</v>
      </c>
      <c r="N4777" s="920">
        <f t="shared" si="477"/>
        <v>28.425000000000001</v>
      </c>
      <c r="O4777" s="918" t="str">
        <f t="shared" si="478"/>
        <v>Mar</v>
      </c>
      <c r="P4777" s="921">
        <f t="shared" si="479"/>
        <v>12</v>
      </c>
    </row>
    <row r="4778" spans="1:16" ht="15" hidden="1" customHeight="1">
      <c r="A4778" s="839">
        <v>69999267</v>
      </c>
      <c r="B4778" s="839">
        <v>2904</v>
      </c>
      <c r="C4778" s="906">
        <v>-17</v>
      </c>
      <c r="D4778" s="907">
        <v>46105</v>
      </c>
      <c r="E4778" s="839" t="s">
        <v>335</v>
      </c>
      <c r="F4778" s="839" t="s">
        <v>299</v>
      </c>
      <c r="G4778" s="916">
        <f>VLOOKUP($A4778,'Tech Litons'!$A:$I,8,FALSE)</f>
        <v>3.7839999999999996E-3</v>
      </c>
      <c r="H4778" s="917">
        <f>VLOOKUP($A4778,'Tech Litons'!$A:$I,9,FALSE)</f>
        <v>240</v>
      </c>
      <c r="I4778" s="917" t="str">
        <f>VLOOKUP($A4778,'Tech Litons'!$A:$C,3,0)</f>
        <v>BJ PTS</v>
      </c>
      <c r="J4778" s="918" t="str">
        <f t="shared" si="474"/>
        <v>2904BJ PTS</v>
      </c>
      <c r="K4778" s="919">
        <v>1</v>
      </c>
      <c r="L4778" s="920">
        <f t="shared" si="475"/>
        <v>-17</v>
      </c>
      <c r="M4778" s="920">
        <f t="shared" si="476"/>
        <v>-6.4327999999999996E-2</v>
      </c>
      <c r="N4778" s="920">
        <f t="shared" si="477"/>
        <v>-7.0833333333333331E-2</v>
      </c>
      <c r="O4778" s="918" t="str">
        <f t="shared" si="478"/>
        <v>Mar</v>
      </c>
      <c r="P4778" s="921">
        <f t="shared" si="479"/>
        <v>13</v>
      </c>
    </row>
    <row r="4779" spans="1:16" ht="15" hidden="1" customHeight="1">
      <c r="A4779" s="839">
        <v>69999267</v>
      </c>
      <c r="B4779" s="839">
        <v>2904</v>
      </c>
      <c r="C4779" s="906">
        <v>0</v>
      </c>
      <c r="D4779" s="907">
        <v>46101</v>
      </c>
      <c r="E4779" s="839" t="s">
        <v>335</v>
      </c>
      <c r="F4779" s="839" t="s">
        <v>299</v>
      </c>
      <c r="G4779" s="916">
        <f>VLOOKUP($A4779,'Tech Litons'!$A:$I,8,FALSE)</f>
        <v>3.7839999999999996E-3</v>
      </c>
      <c r="H4779" s="917">
        <f>VLOOKUP($A4779,'Tech Litons'!$A:$I,9,FALSE)</f>
        <v>240</v>
      </c>
      <c r="I4779" s="917" t="str">
        <f>VLOOKUP($A4779,'Tech Litons'!$A:$C,3,0)</f>
        <v>BJ PTS</v>
      </c>
      <c r="J4779" s="918" t="str">
        <f t="shared" si="474"/>
        <v>2904BJ PTS</v>
      </c>
      <c r="K4779" s="919">
        <v>1</v>
      </c>
      <c r="L4779" s="920">
        <f t="shared" si="475"/>
        <v>0</v>
      </c>
      <c r="M4779" s="920">
        <f t="shared" si="476"/>
        <v>0</v>
      </c>
      <c r="N4779" s="920">
        <f t="shared" si="477"/>
        <v>0</v>
      </c>
      <c r="O4779" s="918" t="str">
        <f t="shared" si="478"/>
        <v>Mar</v>
      </c>
      <c r="P4779" s="921">
        <f t="shared" si="479"/>
        <v>12</v>
      </c>
    </row>
    <row r="4780" spans="1:16" ht="15" hidden="1" customHeight="1">
      <c r="A4780" s="839">
        <v>69999268</v>
      </c>
      <c r="B4780" s="839">
        <v>2904</v>
      </c>
      <c r="C4780" s="906">
        <v>5425</v>
      </c>
      <c r="D4780" s="907">
        <v>46086</v>
      </c>
      <c r="E4780" s="839" t="s">
        <v>351</v>
      </c>
      <c r="F4780" s="839" t="s">
        <v>299</v>
      </c>
      <c r="G4780" s="916">
        <f>VLOOKUP($A4780,'Tech Litons'!$A:$I,8,FALSE)</f>
        <v>3.7839999999999996E-3</v>
      </c>
      <c r="H4780" s="917">
        <f>VLOOKUP($A4780,'Tech Litons'!$A:$I,9,FALSE)</f>
        <v>240</v>
      </c>
      <c r="I4780" s="917" t="str">
        <f>VLOOKUP($A4780,'Tech Litons'!$A:$C,3,0)</f>
        <v>BJ PTS</v>
      </c>
      <c r="J4780" s="918" t="str">
        <f t="shared" si="474"/>
        <v>2904BJ PTS</v>
      </c>
      <c r="K4780" s="919">
        <v>1</v>
      </c>
      <c r="L4780" s="920">
        <f t="shared" si="475"/>
        <v>5425</v>
      </c>
      <c r="M4780" s="920">
        <f t="shared" si="476"/>
        <v>20.528199999999998</v>
      </c>
      <c r="N4780" s="920">
        <f t="shared" si="477"/>
        <v>22.604166666666668</v>
      </c>
      <c r="O4780" s="918" t="str">
        <f t="shared" si="478"/>
        <v>Mar</v>
      </c>
      <c r="P4780" s="921">
        <f t="shared" si="479"/>
        <v>10</v>
      </c>
    </row>
    <row r="4781" spans="1:16" ht="15" hidden="1" customHeight="1">
      <c r="A4781" s="839">
        <v>69999268</v>
      </c>
      <c r="B4781" s="839">
        <v>2904</v>
      </c>
      <c r="C4781" s="906">
        <v>6000</v>
      </c>
      <c r="D4781" s="907">
        <v>46087</v>
      </c>
      <c r="E4781" s="839" t="s">
        <v>351</v>
      </c>
      <c r="F4781" s="839" t="s">
        <v>299</v>
      </c>
      <c r="G4781" s="916">
        <f>VLOOKUP($A4781,'Tech Litons'!$A:$I,8,FALSE)</f>
        <v>3.7839999999999996E-3</v>
      </c>
      <c r="H4781" s="917">
        <f>VLOOKUP($A4781,'Tech Litons'!$A:$I,9,FALSE)</f>
        <v>240</v>
      </c>
      <c r="I4781" s="917" t="str">
        <f>VLOOKUP($A4781,'Tech Litons'!$A:$C,3,0)</f>
        <v>BJ PTS</v>
      </c>
      <c r="J4781" s="918" t="str">
        <f t="shared" si="474"/>
        <v>2904BJ PTS</v>
      </c>
      <c r="K4781" s="919">
        <v>1</v>
      </c>
      <c r="L4781" s="920">
        <f t="shared" si="475"/>
        <v>6000</v>
      </c>
      <c r="M4781" s="920">
        <f t="shared" si="476"/>
        <v>22.703999999999997</v>
      </c>
      <c r="N4781" s="920">
        <f t="shared" si="477"/>
        <v>25</v>
      </c>
      <c r="O4781" s="918" t="str">
        <f t="shared" si="478"/>
        <v>Mar</v>
      </c>
      <c r="P4781" s="921">
        <f t="shared" si="479"/>
        <v>10</v>
      </c>
    </row>
    <row r="4782" spans="1:16" ht="15" hidden="1" customHeight="1">
      <c r="A4782" s="839">
        <v>69999268</v>
      </c>
      <c r="B4782" s="839">
        <v>2904</v>
      </c>
      <c r="C4782" s="906">
        <v>1440</v>
      </c>
      <c r="D4782" s="907">
        <v>46090</v>
      </c>
      <c r="E4782" s="839" t="s">
        <v>351</v>
      </c>
      <c r="F4782" s="839" t="s">
        <v>299</v>
      </c>
      <c r="G4782" s="916">
        <f>VLOOKUP($A4782,'Tech Litons'!$A:$I,8,FALSE)</f>
        <v>3.7839999999999996E-3</v>
      </c>
      <c r="H4782" s="917">
        <f>VLOOKUP($A4782,'Tech Litons'!$A:$I,9,FALSE)</f>
        <v>240</v>
      </c>
      <c r="I4782" s="917" t="str">
        <f>VLOOKUP($A4782,'Tech Litons'!$A:$C,3,0)</f>
        <v>BJ PTS</v>
      </c>
      <c r="J4782" s="918" t="str">
        <f t="shared" si="474"/>
        <v>2904BJ PTS</v>
      </c>
      <c r="K4782" s="919">
        <v>1</v>
      </c>
      <c r="L4782" s="920">
        <f t="shared" si="475"/>
        <v>1440</v>
      </c>
      <c r="M4782" s="920">
        <f t="shared" si="476"/>
        <v>5.4489599999999996</v>
      </c>
      <c r="N4782" s="920">
        <f t="shared" si="477"/>
        <v>6</v>
      </c>
      <c r="O4782" s="918" t="str">
        <f t="shared" si="478"/>
        <v>Mar</v>
      </c>
      <c r="P4782" s="921">
        <f t="shared" si="479"/>
        <v>11</v>
      </c>
    </row>
    <row r="4783" spans="1:16" ht="15" hidden="1" customHeight="1">
      <c r="A4783" s="839">
        <v>69999268</v>
      </c>
      <c r="B4783" s="839">
        <v>2904</v>
      </c>
      <c r="C4783" s="906">
        <v>4529</v>
      </c>
      <c r="D4783" s="907">
        <v>46087</v>
      </c>
      <c r="E4783" s="839" t="s">
        <v>351</v>
      </c>
      <c r="F4783" s="839" t="s">
        <v>299</v>
      </c>
      <c r="G4783" s="916">
        <f>VLOOKUP($A4783,'Tech Litons'!$A:$I,8,FALSE)</f>
        <v>3.7839999999999996E-3</v>
      </c>
      <c r="H4783" s="917">
        <f>VLOOKUP($A4783,'Tech Litons'!$A:$I,9,FALSE)</f>
        <v>240</v>
      </c>
      <c r="I4783" s="917" t="str">
        <f>VLOOKUP($A4783,'Tech Litons'!$A:$C,3,0)</f>
        <v>BJ PTS</v>
      </c>
      <c r="J4783" s="918" t="str">
        <f t="shared" si="474"/>
        <v>2904BJ PTS</v>
      </c>
      <c r="K4783" s="919">
        <v>1</v>
      </c>
      <c r="L4783" s="920">
        <f t="shared" si="475"/>
        <v>4529</v>
      </c>
      <c r="M4783" s="920">
        <f t="shared" si="476"/>
        <v>17.137735999999997</v>
      </c>
      <c r="N4783" s="920">
        <f t="shared" si="477"/>
        <v>18.870833333333334</v>
      </c>
      <c r="O4783" s="918" t="str">
        <f t="shared" si="478"/>
        <v>Mar</v>
      </c>
      <c r="P4783" s="921">
        <f t="shared" si="479"/>
        <v>10</v>
      </c>
    </row>
    <row r="4784" spans="1:16" ht="15" hidden="1" customHeight="1">
      <c r="A4784" s="839">
        <v>69999268</v>
      </c>
      <c r="B4784" s="839">
        <v>2904</v>
      </c>
      <c r="C4784" s="906">
        <v>630</v>
      </c>
      <c r="D4784" s="907">
        <v>46090</v>
      </c>
      <c r="E4784" s="839" t="s">
        <v>351</v>
      </c>
      <c r="F4784" s="839" t="s">
        <v>299</v>
      </c>
      <c r="G4784" s="916">
        <f>VLOOKUP($A4784,'Tech Litons'!$A:$I,8,FALSE)</f>
        <v>3.7839999999999996E-3</v>
      </c>
      <c r="H4784" s="917">
        <f>VLOOKUP($A4784,'Tech Litons'!$A:$I,9,FALSE)</f>
        <v>240</v>
      </c>
      <c r="I4784" s="917" t="str">
        <f>VLOOKUP($A4784,'Tech Litons'!$A:$C,3,0)</f>
        <v>BJ PTS</v>
      </c>
      <c r="J4784" s="918" t="str">
        <f t="shared" si="474"/>
        <v>2904BJ PTS</v>
      </c>
      <c r="K4784" s="919">
        <v>1</v>
      </c>
      <c r="L4784" s="920">
        <f t="shared" si="475"/>
        <v>630</v>
      </c>
      <c r="M4784" s="920">
        <f t="shared" si="476"/>
        <v>2.3839199999999998</v>
      </c>
      <c r="N4784" s="920">
        <f t="shared" si="477"/>
        <v>2.625</v>
      </c>
      <c r="O4784" s="918" t="str">
        <f t="shared" si="478"/>
        <v>Mar</v>
      </c>
      <c r="P4784" s="921">
        <f t="shared" si="479"/>
        <v>11</v>
      </c>
    </row>
    <row r="4785" spans="1:16" ht="15" hidden="1" customHeight="1">
      <c r="A4785" s="839">
        <v>69999268</v>
      </c>
      <c r="B4785" s="839">
        <v>2904</v>
      </c>
      <c r="C4785" s="906">
        <v>6435</v>
      </c>
      <c r="D4785" s="907">
        <v>46086</v>
      </c>
      <c r="E4785" s="839" t="s">
        <v>351</v>
      </c>
      <c r="F4785" s="839" t="s">
        <v>299</v>
      </c>
      <c r="G4785" s="916">
        <f>VLOOKUP($A4785,'Tech Litons'!$A:$I,8,FALSE)</f>
        <v>3.7839999999999996E-3</v>
      </c>
      <c r="H4785" s="917">
        <f>VLOOKUP($A4785,'Tech Litons'!$A:$I,9,FALSE)</f>
        <v>240</v>
      </c>
      <c r="I4785" s="917" t="str">
        <f>VLOOKUP($A4785,'Tech Litons'!$A:$C,3,0)</f>
        <v>BJ PTS</v>
      </c>
      <c r="J4785" s="918" t="str">
        <f t="shared" si="474"/>
        <v>2904BJ PTS</v>
      </c>
      <c r="K4785" s="919">
        <v>1</v>
      </c>
      <c r="L4785" s="920">
        <f t="shared" si="475"/>
        <v>6435</v>
      </c>
      <c r="M4785" s="920">
        <f t="shared" si="476"/>
        <v>24.350039999999996</v>
      </c>
      <c r="N4785" s="920">
        <f t="shared" si="477"/>
        <v>26.8125</v>
      </c>
      <c r="O4785" s="918" t="str">
        <f t="shared" si="478"/>
        <v>Mar</v>
      </c>
      <c r="P4785" s="921">
        <f t="shared" si="479"/>
        <v>10</v>
      </c>
    </row>
    <row r="4786" spans="1:16" ht="15" hidden="1" customHeight="1">
      <c r="A4786" s="839">
        <v>69999268</v>
      </c>
      <c r="B4786" s="839">
        <v>2904</v>
      </c>
      <c r="C4786" s="906">
        <v>720</v>
      </c>
      <c r="D4786" s="907">
        <v>46087</v>
      </c>
      <c r="E4786" s="839" t="s">
        <v>351</v>
      </c>
      <c r="F4786" s="839" t="s">
        <v>299</v>
      </c>
      <c r="G4786" s="916">
        <f>VLOOKUP($A4786,'Tech Litons'!$A:$I,8,FALSE)</f>
        <v>3.7839999999999996E-3</v>
      </c>
      <c r="H4786" s="917">
        <f>VLOOKUP($A4786,'Tech Litons'!$A:$I,9,FALSE)</f>
        <v>240</v>
      </c>
      <c r="I4786" s="917" t="str">
        <f>VLOOKUP($A4786,'Tech Litons'!$A:$C,3,0)</f>
        <v>BJ PTS</v>
      </c>
      <c r="J4786" s="918" t="str">
        <f t="shared" ref="J4786:J4849" si="480">B4786&amp;I4786</f>
        <v>2904BJ PTS</v>
      </c>
      <c r="K4786" s="919">
        <v>1</v>
      </c>
      <c r="L4786" s="920">
        <f t="shared" ref="L4786:L4849" si="481">C4786*$K4786</f>
        <v>720</v>
      </c>
      <c r="M4786" s="920">
        <f t="shared" ref="M4786:M4849" si="482">L4786*G4786</f>
        <v>2.7244799999999998</v>
      </c>
      <c r="N4786" s="920">
        <f t="shared" ref="N4786:N4849" si="483">L4786/H4786</f>
        <v>3</v>
      </c>
      <c r="O4786" s="918" t="str">
        <f t="shared" ref="O4786:O4849" si="484">TEXT(D4786,"MMM")</f>
        <v>Mar</v>
      </c>
      <c r="P4786" s="921">
        <f t="shared" ref="P4786:P4849" si="485">WEEKNUM(D4786)</f>
        <v>10</v>
      </c>
    </row>
    <row r="4787" spans="1:16" ht="15" hidden="1" customHeight="1">
      <c r="A4787" s="839">
        <v>84135781</v>
      </c>
      <c r="B4787" s="839">
        <v>2904</v>
      </c>
      <c r="C4787" s="906">
        <v>5246</v>
      </c>
      <c r="D4787" s="907">
        <v>46083</v>
      </c>
      <c r="E4787" s="839" t="s">
        <v>302</v>
      </c>
      <c r="F4787" s="839" t="s">
        <v>299</v>
      </c>
      <c r="G4787" s="916">
        <f>VLOOKUP($A4787,'Tech Litons'!$A:$I,8,FALSE)</f>
        <v>3.7853439999999999E-3</v>
      </c>
      <c r="H4787" s="917">
        <f>VLOOKUP($A4787,'Tech Litons'!$A:$I,9,FALSE)</f>
        <v>240</v>
      </c>
      <c r="I4787" s="917" t="str">
        <f>VLOOKUP($A4787,'Tech Litons'!$A:$C,3,0)</f>
        <v>BJ PTS</v>
      </c>
      <c r="J4787" s="918" t="str">
        <f t="shared" si="480"/>
        <v>2904BJ PTS</v>
      </c>
      <c r="K4787" s="919">
        <v>1</v>
      </c>
      <c r="L4787" s="920">
        <f t="shared" si="481"/>
        <v>5246</v>
      </c>
      <c r="M4787" s="920">
        <f t="shared" si="482"/>
        <v>19.857914623999999</v>
      </c>
      <c r="N4787" s="920">
        <f t="shared" si="483"/>
        <v>21.858333333333334</v>
      </c>
      <c r="O4787" s="918" t="str">
        <f t="shared" si="484"/>
        <v>Mar</v>
      </c>
      <c r="P4787" s="921">
        <f t="shared" si="485"/>
        <v>10</v>
      </c>
    </row>
    <row r="4788" spans="1:16" ht="15" hidden="1" customHeight="1">
      <c r="A4788" s="839">
        <v>84135781</v>
      </c>
      <c r="B4788" s="839">
        <v>2904</v>
      </c>
      <c r="C4788" s="906">
        <v>10694</v>
      </c>
      <c r="D4788" s="907">
        <v>46084</v>
      </c>
      <c r="E4788" s="839" t="s">
        <v>302</v>
      </c>
      <c r="F4788" s="839" t="s">
        <v>299</v>
      </c>
      <c r="G4788" s="916">
        <f>VLOOKUP($A4788,'Tech Litons'!$A:$I,8,FALSE)</f>
        <v>3.7853439999999999E-3</v>
      </c>
      <c r="H4788" s="917">
        <f>VLOOKUP($A4788,'Tech Litons'!$A:$I,9,FALSE)</f>
        <v>240</v>
      </c>
      <c r="I4788" s="917" t="str">
        <f>VLOOKUP($A4788,'Tech Litons'!$A:$C,3,0)</f>
        <v>BJ PTS</v>
      </c>
      <c r="J4788" s="918" t="str">
        <f t="shared" si="480"/>
        <v>2904BJ PTS</v>
      </c>
      <c r="K4788" s="919">
        <v>1</v>
      </c>
      <c r="L4788" s="920">
        <f t="shared" si="481"/>
        <v>10694</v>
      </c>
      <c r="M4788" s="920">
        <f t="shared" si="482"/>
        <v>40.480468735999999</v>
      </c>
      <c r="N4788" s="920">
        <f t="shared" si="483"/>
        <v>44.55833333333333</v>
      </c>
      <c r="O4788" s="918" t="str">
        <f t="shared" si="484"/>
        <v>Mar</v>
      </c>
      <c r="P4788" s="921">
        <f t="shared" si="485"/>
        <v>10</v>
      </c>
    </row>
    <row r="4789" spans="1:16" ht="15" hidden="1" customHeight="1">
      <c r="A4789" s="839">
        <v>84135781</v>
      </c>
      <c r="B4789" s="839">
        <v>2904</v>
      </c>
      <c r="C4789" s="906">
        <v>10320</v>
      </c>
      <c r="D4789" s="907">
        <v>46084</v>
      </c>
      <c r="E4789" s="839" t="s">
        <v>302</v>
      </c>
      <c r="F4789" s="839" t="s">
        <v>299</v>
      </c>
      <c r="G4789" s="916">
        <f>VLOOKUP($A4789,'Tech Litons'!$A:$I,8,FALSE)</f>
        <v>3.7853439999999999E-3</v>
      </c>
      <c r="H4789" s="917">
        <f>VLOOKUP($A4789,'Tech Litons'!$A:$I,9,FALSE)</f>
        <v>240</v>
      </c>
      <c r="I4789" s="917" t="str">
        <f>VLOOKUP($A4789,'Tech Litons'!$A:$C,3,0)</f>
        <v>BJ PTS</v>
      </c>
      <c r="J4789" s="918" t="str">
        <f t="shared" si="480"/>
        <v>2904BJ PTS</v>
      </c>
      <c r="K4789" s="919">
        <v>1</v>
      </c>
      <c r="L4789" s="920">
        <f t="shared" si="481"/>
        <v>10320</v>
      </c>
      <c r="M4789" s="920">
        <f t="shared" si="482"/>
        <v>39.064750079999996</v>
      </c>
      <c r="N4789" s="920">
        <f t="shared" si="483"/>
        <v>43</v>
      </c>
      <c r="O4789" s="918" t="str">
        <f t="shared" si="484"/>
        <v>Mar</v>
      </c>
      <c r="P4789" s="921">
        <f t="shared" si="485"/>
        <v>10</v>
      </c>
    </row>
    <row r="4790" spans="1:16" ht="15" hidden="1" customHeight="1">
      <c r="A4790" s="839">
        <v>84135781</v>
      </c>
      <c r="B4790" s="839">
        <v>2904</v>
      </c>
      <c r="C4790" s="906">
        <v>10227</v>
      </c>
      <c r="D4790" s="907">
        <v>46085</v>
      </c>
      <c r="E4790" s="839" t="s">
        <v>302</v>
      </c>
      <c r="F4790" s="839" t="s">
        <v>299</v>
      </c>
      <c r="G4790" s="916">
        <f>VLOOKUP($A4790,'Tech Litons'!$A:$I,8,FALSE)</f>
        <v>3.7853439999999999E-3</v>
      </c>
      <c r="H4790" s="917">
        <f>VLOOKUP($A4790,'Tech Litons'!$A:$I,9,FALSE)</f>
        <v>240</v>
      </c>
      <c r="I4790" s="917" t="str">
        <f>VLOOKUP($A4790,'Tech Litons'!$A:$C,3,0)</f>
        <v>BJ PTS</v>
      </c>
      <c r="J4790" s="918" t="str">
        <f t="shared" si="480"/>
        <v>2904BJ PTS</v>
      </c>
      <c r="K4790" s="919">
        <v>1</v>
      </c>
      <c r="L4790" s="920">
        <f t="shared" si="481"/>
        <v>10227</v>
      </c>
      <c r="M4790" s="920">
        <f t="shared" si="482"/>
        <v>38.712713088000001</v>
      </c>
      <c r="N4790" s="920">
        <f t="shared" si="483"/>
        <v>42.612499999999997</v>
      </c>
      <c r="O4790" s="918" t="str">
        <f t="shared" si="484"/>
        <v>Mar</v>
      </c>
      <c r="P4790" s="921">
        <f t="shared" si="485"/>
        <v>10</v>
      </c>
    </row>
    <row r="4791" spans="1:16" ht="15" hidden="1" customHeight="1">
      <c r="A4791" s="839">
        <v>84135781</v>
      </c>
      <c r="B4791" s="839">
        <v>2904</v>
      </c>
      <c r="C4791" s="906">
        <v>240</v>
      </c>
      <c r="D4791" s="907">
        <v>46086</v>
      </c>
      <c r="E4791" s="839" t="s">
        <v>302</v>
      </c>
      <c r="F4791" s="839" t="s">
        <v>299</v>
      </c>
      <c r="G4791" s="916">
        <f>VLOOKUP($A4791,'Tech Litons'!$A:$I,8,FALSE)</f>
        <v>3.7853439999999999E-3</v>
      </c>
      <c r="H4791" s="917">
        <f>VLOOKUP($A4791,'Tech Litons'!$A:$I,9,FALSE)</f>
        <v>240</v>
      </c>
      <c r="I4791" s="917" t="str">
        <f>VLOOKUP($A4791,'Tech Litons'!$A:$C,3,0)</f>
        <v>BJ PTS</v>
      </c>
      <c r="J4791" s="918" t="str">
        <f t="shared" si="480"/>
        <v>2904BJ PTS</v>
      </c>
      <c r="K4791" s="919">
        <v>1</v>
      </c>
      <c r="L4791" s="920">
        <f t="shared" si="481"/>
        <v>240</v>
      </c>
      <c r="M4791" s="920">
        <f t="shared" si="482"/>
        <v>0.90848255999999994</v>
      </c>
      <c r="N4791" s="920">
        <f t="shared" si="483"/>
        <v>1</v>
      </c>
      <c r="O4791" s="918" t="str">
        <f t="shared" si="484"/>
        <v>Mar</v>
      </c>
      <c r="P4791" s="921">
        <f t="shared" si="485"/>
        <v>10</v>
      </c>
    </row>
    <row r="4792" spans="1:16" ht="15" hidden="1" customHeight="1">
      <c r="A4792" s="839">
        <v>84135781</v>
      </c>
      <c r="B4792" s="839">
        <v>2904</v>
      </c>
      <c r="C4792" s="906">
        <v>1680</v>
      </c>
      <c r="D4792" s="907">
        <v>46085</v>
      </c>
      <c r="E4792" s="839" t="s">
        <v>302</v>
      </c>
      <c r="F4792" s="839" t="s">
        <v>299</v>
      </c>
      <c r="G4792" s="916">
        <f>VLOOKUP($A4792,'Tech Litons'!$A:$I,8,FALSE)</f>
        <v>3.7853439999999999E-3</v>
      </c>
      <c r="H4792" s="917">
        <f>VLOOKUP($A4792,'Tech Litons'!$A:$I,9,FALSE)</f>
        <v>240</v>
      </c>
      <c r="I4792" s="917" t="str">
        <f>VLOOKUP($A4792,'Tech Litons'!$A:$C,3,0)</f>
        <v>BJ PTS</v>
      </c>
      <c r="J4792" s="918" t="str">
        <f t="shared" si="480"/>
        <v>2904BJ PTS</v>
      </c>
      <c r="K4792" s="919">
        <v>1</v>
      </c>
      <c r="L4792" s="920">
        <f t="shared" si="481"/>
        <v>1680</v>
      </c>
      <c r="M4792" s="920">
        <f t="shared" si="482"/>
        <v>6.35937792</v>
      </c>
      <c r="N4792" s="920">
        <f t="shared" si="483"/>
        <v>7</v>
      </c>
      <c r="O4792" s="918" t="str">
        <f t="shared" si="484"/>
        <v>Mar</v>
      </c>
      <c r="P4792" s="921">
        <f t="shared" si="485"/>
        <v>10</v>
      </c>
    </row>
    <row r="4793" spans="1:16" ht="15" hidden="1" customHeight="1">
      <c r="A4793" s="839">
        <v>84135781</v>
      </c>
      <c r="B4793" s="839">
        <v>2904</v>
      </c>
      <c r="C4793" s="906">
        <v>0</v>
      </c>
      <c r="D4793" s="907">
        <v>46086</v>
      </c>
      <c r="E4793" s="839" t="s">
        <v>302</v>
      </c>
      <c r="F4793" s="839" t="s">
        <v>299</v>
      </c>
      <c r="G4793" s="916">
        <f>VLOOKUP($A4793,'Tech Litons'!$A:$I,8,FALSE)</f>
        <v>3.7853439999999999E-3</v>
      </c>
      <c r="H4793" s="917">
        <f>VLOOKUP($A4793,'Tech Litons'!$A:$I,9,FALSE)</f>
        <v>240</v>
      </c>
      <c r="I4793" s="917" t="str">
        <f>VLOOKUP($A4793,'Tech Litons'!$A:$C,3,0)</f>
        <v>BJ PTS</v>
      </c>
      <c r="J4793" s="918" t="str">
        <f t="shared" si="480"/>
        <v>2904BJ PTS</v>
      </c>
      <c r="K4793" s="919">
        <v>1</v>
      </c>
      <c r="L4793" s="920">
        <f t="shared" si="481"/>
        <v>0</v>
      </c>
      <c r="M4793" s="920">
        <f t="shared" si="482"/>
        <v>0</v>
      </c>
      <c r="N4793" s="920">
        <f t="shared" si="483"/>
        <v>0</v>
      </c>
      <c r="O4793" s="918" t="str">
        <f t="shared" si="484"/>
        <v>Mar</v>
      </c>
      <c r="P4793" s="921">
        <f t="shared" si="485"/>
        <v>10</v>
      </c>
    </row>
    <row r="4794" spans="1:16" ht="15" hidden="1" customHeight="1">
      <c r="A4794" s="839">
        <v>84164937</v>
      </c>
      <c r="B4794" s="839">
        <v>2904</v>
      </c>
      <c r="C4794" s="906">
        <v>240</v>
      </c>
      <c r="D4794" s="907">
        <v>46100</v>
      </c>
      <c r="E4794" s="839" t="s">
        <v>371</v>
      </c>
      <c r="F4794" s="839" t="s">
        <v>299</v>
      </c>
      <c r="G4794" s="916">
        <f>VLOOKUP($A4794,'Tech Litons'!$A:$I,8,FALSE)</f>
        <v>3.7853439999999999E-3</v>
      </c>
      <c r="H4794" s="917">
        <f>VLOOKUP($A4794,'Tech Litons'!$A:$I,9,FALSE)</f>
        <v>240</v>
      </c>
      <c r="I4794" s="917" t="str">
        <f>VLOOKUP($A4794,'Tech Litons'!$A:$C,3,0)</f>
        <v>BJ PTS</v>
      </c>
      <c r="J4794" s="918" t="str">
        <f t="shared" si="480"/>
        <v>2904BJ PTS</v>
      </c>
      <c r="K4794" s="919">
        <v>1</v>
      </c>
      <c r="L4794" s="920">
        <f t="shared" si="481"/>
        <v>240</v>
      </c>
      <c r="M4794" s="920">
        <f t="shared" si="482"/>
        <v>0.90848255999999994</v>
      </c>
      <c r="N4794" s="920">
        <f t="shared" si="483"/>
        <v>1</v>
      </c>
      <c r="O4794" s="918" t="str">
        <f t="shared" si="484"/>
        <v>Mar</v>
      </c>
      <c r="P4794" s="921">
        <f t="shared" si="485"/>
        <v>12</v>
      </c>
    </row>
    <row r="4795" spans="1:16" ht="15" hidden="1" customHeight="1">
      <c r="A4795" s="839">
        <v>84164937</v>
      </c>
      <c r="B4795" s="839">
        <v>2904</v>
      </c>
      <c r="C4795" s="906">
        <v>5020</v>
      </c>
      <c r="D4795" s="907">
        <v>46101</v>
      </c>
      <c r="E4795" s="839" t="s">
        <v>371</v>
      </c>
      <c r="F4795" s="839" t="s">
        <v>299</v>
      </c>
      <c r="G4795" s="916">
        <f>VLOOKUP($A4795,'Tech Litons'!$A:$I,8,FALSE)</f>
        <v>3.7853439999999999E-3</v>
      </c>
      <c r="H4795" s="917">
        <f>VLOOKUP($A4795,'Tech Litons'!$A:$I,9,FALSE)</f>
        <v>240</v>
      </c>
      <c r="I4795" s="917" t="str">
        <f>VLOOKUP($A4795,'Tech Litons'!$A:$C,3,0)</f>
        <v>BJ PTS</v>
      </c>
      <c r="J4795" s="918" t="str">
        <f t="shared" si="480"/>
        <v>2904BJ PTS</v>
      </c>
      <c r="K4795" s="919">
        <v>1</v>
      </c>
      <c r="L4795" s="920">
        <f t="shared" si="481"/>
        <v>5020</v>
      </c>
      <c r="M4795" s="920">
        <f t="shared" si="482"/>
        <v>19.002426879999998</v>
      </c>
      <c r="N4795" s="920">
        <f t="shared" si="483"/>
        <v>20.916666666666668</v>
      </c>
      <c r="O4795" s="918" t="str">
        <f t="shared" si="484"/>
        <v>Mar</v>
      </c>
      <c r="P4795" s="921">
        <f t="shared" si="485"/>
        <v>12</v>
      </c>
    </row>
    <row r="4796" spans="1:16" ht="15" hidden="1" customHeight="1">
      <c r="A4796" s="839">
        <v>84164937</v>
      </c>
      <c r="B4796" s="839">
        <v>2904</v>
      </c>
      <c r="C4796" s="906">
        <v>7805</v>
      </c>
      <c r="D4796" s="907">
        <v>46101</v>
      </c>
      <c r="E4796" s="839" t="s">
        <v>371</v>
      </c>
      <c r="F4796" s="839" t="s">
        <v>299</v>
      </c>
      <c r="G4796" s="916">
        <f>VLOOKUP($A4796,'Tech Litons'!$A:$I,8,FALSE)</f>
        <v>3.7853439999999999E-3</v>
      </c>
      <c r="H4796" s="917">
        <f>VLOOKUP($A4796,'Tech Litons'!$A:$I,9,FALSE)</f>
        <v>240</v>
      </c>
      <c r="I4796" s="917" t="str">
        <f>VLOOKUP($A4796,'Tech Litons'!$A:$C,3,0)</f>
        <v>BJ PTS</v>
      </c>
      <c r="J4796" s="918" t="str">
        <f t="shared" si="480"/>
        <v>2904BJ PTS</v>
      </c>
      <c r="K4796" s="919">
        <v>1</v>
      </c>
      <c r="L4796" s="920">
        <f t="shared" si="481"/>
        <v>7805</v>
      </c>
      <c r="M4796" s="920">
        <f t="shared" si="482"/>
        <v>29.544609919999999</v>
      </c>
      <c r="N4796" s="920">
        <f t="shared" si="483"/>
        <v>32.520833333333336</v>
      </c>
      <c r="O4796" s="918" t="str">
        <f t="shared" si="484"/>
        <v>Mar</v>
      </c>
      <c r="P4796" s="921">
        <f t="shared" si="485"/>
        <v>12</v>
      </c>
    </row>
    <row r="4797" spans="1:16" ht="15" hidden="1" customHeight="1">
      <c r="A4797" s="839">
        <v>84164937</v>
      </c>
      <c r="B4797" s="839">
        <v>2904</v>
      </c>
      <c r="C4797" s="906">
        <v>4490</v>
      </c>
      <c r="D4797" s="907">
        <v>46102</v>
      </c>
      <c r="E4797" s="839" t="s">
        <v>371</v>
      </c>
      <c r="F4797" s="839" t="s">
        <v>299</v>
      </c>
      <c r="G4797" s="916">
        <f>VLOOKUP($A4797,'Tech Litons'!$A:$I,8,FALSE)</f>
        <v>3.7853439999999999E-3</v>
      </c>
      <c r="H4797" s="917">
        <f>VLOOKUP($A4797,'Tech Litons'!$A:$I,9,FALSE)</f>
        <v>240</v>
      </c>
      <c r="I4797" s="917" t="str">
        <f>VLOOKUP($A4797,'Tech Litons'!$A:$C,3,0)</f>
        <v>BJ PTS</v>
      </c>
      <c r="J4797" s="918" t="str">
        <f t="shared" si="480"/>
        <v>2904BJ PTS</v>
      </c>
      <c r="K4797" s="919">
        <v>1</v>
      </c>
      <c r="L4797" s="920">
        <f t="shared" si="481"/>
        <v>4490</v>
      </c>
      <c r="M4797" s="920">
        <f t="shared" si="482"/>
        <v>16.996194559999999</v>
      </c>
      <c r="N4797" s="920">
        <f t="shared" si="483"/>
        <v>18.708333333333332</v>
      </c>
      <c r="O4797" s="918" t="str">
        <f t="shared" si="484"/>
        <v>Mar</v>
      </c>
      <c r="P4797" s="921">
        <f t="shared" si="485"/>
        <v>12</v>
      </c>
    </row>
    <row r="4798" spans="1:16" ht="15" hidden="1" customHeight="1">
      <c r="A4798" s="839">
        <v>64380012</v>
      </c>
      <c r="B4798" s="839">
        <v>3910</v>
      </c>
      <c r="C4798" s="906">
        <v>276</v>
      </c>
      <c r="D4798" s="907">
        <v>46077</v>
      </c>
      <c r="E4798" s="839" t="s">
        <v>561</v>
      </c>
      <c r="F4798" s="839" t="s">
        <v>303</v>
      </c>
      <c r="G4798" s="916">
        <f>VLOOKUP($A4798,'Tech Litons'!$A:$I,8,FALSE)</f>
        <v>3.9119999999999997E-3</v>
      </c>
      <c r="H4798" s="917">
        <f>VLOOKUP($A4798,'Tech Litons'!$A:$I,9,FALSE)</f>
        <v>276</v>
      </c>
      <c r="I4798" s="917" t="str">
        <f>VLOOKUP($A4798,'Tech Litons'!$A:$C,3,0)</f>
        <v>EFW</v>
      </c>
      <c r="J4798" s="918" t="str">
        <f t="shared" si="480"/>
        <v>3910EFW</v>
      </c>
      <c r="K4798" s="919">
        <v>1</v>
      </c>
      <c r="L4798" s="920">
        <f t="shared" si="481"/>
        <v>276</v>
      </c>
      <c r="M4798" s="920">
        <f t="shared" si="482"/>
        <v>1.079712</v>
      </c>
      <c r="N4798" s="920">
        <f t="shared" si="483"/>
        <v>1</v>
      </c>
      <c r="O4798" s="918" t="str">
        <f t="shared" si="484"/>
        <v>Feb</v>
      </c>
      <c r="P4798" s="921">
        <f t="shared" si="485"/>
        <v>9</v>
      </c>
    </row>
    <row r="4799" spans="1:16" ht="15" hidden="1" customHeight="1">
      <c r="A4799" s="839">
        <v>64380012</v>
      </c>
      <c r="B4799" s="839">
        <v>3910</v>
      </c>
      <c r="C4799" s="906">
        <v>234</v>
      </c>
      <c r="D4799" s="907">
        <v>46078</v>
      </c>
      <c r="E4799" s="839" t="s">
        <v>561</v>
      </c>
      <c r="F4799" s="839" t="s">
        <v>303</v>
      </c>
      <c r="G4799" s="916">
        <f>VLOOKUP($A4799,'Tech Litons'!$A:$I,8,FALSE)</f>
        <v>3.9119999999999997E-3</v>
      </c>
      <c r="H4799" s="917">
        <f>VLOOKUP($A4799,'Tech Litons'!$A:$I,9,FALSE)</f>
        <v>276</v>
      </c>
      <c r="I4799" s="917" t="str">
        <f>VLOOKUP($A4799,'Tech Litons'!$A:$C,3,0)</f>
        <v>EFW</v>
      </c>
      <c r="J4799" s="918" t="str">
        <f t="shared" si="480"/>
        <v>3910EFW</v>
      </c>
      <c r="K4799" s="919">
        <v>1</v>
      </c>
      <c r="L4799" s="920">
        <f t="shared" si="481"/>
        <v>234</v>
      </c>
      <c r="M4799" s="920">
        <f t="shared" si="482"/>
        <v>0.91540799999999989</v>
      </c>
      <c r="N4799" s="920">
        <f t="shared" si="483"/>
        <v>0.84782608695652173</v>
      </c>
      <c r="O4799" s="918" t="str">
        <f t="shared" si="484"/>
        <v>Feb</v>
      </c>
      <c r="P4799" s="921">
        <f t="shared" si="485"/>
        <v>9</v>
      </c>
    </row>
    <row r="4800" spans="1:16" ht="15" hidden="1" customHeight="1">
      <c r="A4800" s="839">
        <v>64380012</v>
      </c>
      <c r="B4800" s="839">
        <v>3910</v>
      </c>
      <c r="C4800" s="906">
        <v>2760</v>
      </c>
      <c r="D4800" s="907">
        <v>46078</v>
      </c>
      <c r="E4800" s="839" t="s">
        <v>561</v>
      </c>
      <c r="F4800" s="839" t="s">
        <v>303</v>
      </c>
      <c r="G4800" s="916">
        <f>VLOOKUP($A4800,'Tech Litons'!$A:$I,8,FALSE)</f>
        <v>3.9119999999999997E-3</v>
      </c>
      <c r="H4800" s="917">
        <f>VLOOKUP($A4800,'Tech Litons'!$A:$I,9,FALSE)</f>
        <v>276</v>
      </c>
      <c r="I4800" s="917" t="str">
        <f>VLOOKUP($A4800,'Tech Litons'!$A:$C,3,0)</f>
        <v>EFW</v>
      </c>
      <c r="J4800" s="918" t="str">
        <f t="shared" si="480"/>
        <v>3910EFW</v>
      </c>
      <c r="K4800" s="919">
        <v>1</v>
      </c>
      <c r="L4800" s="920">
        <f t="shared" si="481"/>
        <v>2760</v>
      </c>
      <c r="M4800" s="920">
        <f t="shared" si="482"/>
        <v>10.79712</v>
      </c>
      <c r="N4800" s="920">
        <f t="shared" si="483"/>
        <v>10</v>
      </c>
      <c r="O4800" s="918" t="str">
        <f t="shared" si="484"/>
        <v>Feb</v>
      </c>
      <c r="P4800" s="921">
        <f t="shared" si="485"/>
        <v>9</v>
      </c>
    </row>
    <row r="4801" spans="1:16" ht="15" hidden="1" customHeight="1">
      <c r="A4801" s="839">
        <v>64380012</v>
      </c>
      <c r="B4801" s="839">
        <v>3910</v>
      </c>
      <c r="C4801" s="906">
        <v>552</v>
      </c>
      <c r="D4801" s="907">
        <v>46079</v>
      </c>
      <c r="E4801" s="839" t="s">
        <v>561</v>
      </c>
      <c r="F4801" s="839" t="s">
        <v>303</v>
      </c>
      <c r="G4801" s="916">
        <f>VLOOKUP($A4801,'Tech Litons'!$A:$I,8,FALSE)</f>
        <v>3.9119999999999997E-3</v>
      </c>
      <c r="H4801" s="917">
        <f>VLOOKUP($A4801,'Tech Litons'!$A:$I,9,FALSE)</f>
        <v>276</v>
      </c>
      <c r="I4801" s="917" t="str">
        <f>VLOOKUP($A4801,'Tech Litons'!$A:$C,3,0)</f>
        <v>EFW</v>
      </c>
      <c r="J4801" s="918" t="str">
        <f t="shared" si="480"/>
        <v>3910EFW</v>
      </c>
      <c r="K4801" s="919">
        <v>1</v>
      </c>
      <c r="L4801" s="920">
        <f t="shared" si="481"/>
        <v>552</v>
      </c>
      <c r="M4801" s="920">
        <f t="shared" si="482"/>
        <v>2.159424</v>
      </c>
      <c r="N4801" s="920">
        <f t="shared" si="483"/>
        <v>2</v>
      </c>
      <c r="O4801" s="918" t="str">
        <f t="shared" si="484"/>
        <v>Feb</v>
      </c>
      <c r="P4801" s="921">
        <f t="shared" si="485"/>
        <v>9</v>
      </c>
    </row>
    <row r="4802" spans="1:16" ht="15" hidden="1" customHeight="1">
      <c r="A4802" s="839">
        <v>64380012</v>
      </c>
      <c r="B4802" s="839">
        <v>3910</v>
      </c>
      <c r="C4802" s="906">
        <v>3864</v>
      </c>
      <c r="D4802" s="907">
        <v>46079</v>
      </c>
      <c r="E4802" s="839" t="s">
        <v>561</v>
      </c>
      <c r="F4802" s="839" t="s">
        <v>303</v>
      </c>
      <c r="G4802" s="916">
        <f>VLOOKUP($A4802,'Tech Litons'!$A:$I,8,FALSE)</f>
        <v>3.9119999999999997E-3</v>
      </c>
      <c r="H4802" s="917">
        <f>VLOOKUP($A4802,'Tech Litons'!$A:$I,9,FALSE)</f>
        <v>276</v>
      </c>
      <c r="I4802" s="917" t="str">
        <f>VLOOKUP($A4802,'Tech Litons'!$A:$C,3,0)</f>
        <v>EFW</v>
      </c>
      <c r="J4802" s="918" t="str">
        <f t="shared" si="480"/>
        <v>3910EFW</v>
      </c>
      <c r="K4802" s="919">
        <v>1</v>
      </c>
      <c r="L4802" s="920">
        <f t="shared" si="481"/>
        <v>3864</v>
      </c>
      <c r="M4802" s="920">
        <f t="shared" si="482"/>
        <v>15.115967999999999</v>
      </c>
      <c r="N4802" s="920">
        <f t="shared" si="483"/>
        <v>14</v>
      </c>
      <c r="O4802" s="918" t="str">
        <f t="shared" si="484"/>
        <v>Feb</v>
      </c>
      <c r="P4802" s="921">
        <f t="shared" si="485"/>
        <v>9</v>
      </c>
    </row>
    <row r="4803" spans="1:16" ht="15" hidden="1" customHeight="1">
      <c r="A4803" s="839">
        <v>64380012</v>
      </c>
      <c r="B4803" s="839">
        <v>3910</v>
      </c>
      <c r="C4803" s="906">
        <v>552</v>
      </c>
      <c r="D4803" s="907">
        <v>46080</v>
      </c>
      <c r="E4803" s="839" t="s">
        <v>561</v>
      </c>
      <c r="F4803" s="839" t="s">
        <v>303</v>
      </c>
      <c r="G4803" s="916">
        <f>VLOOKUP($A4803,'Tech Litons'!$A:$I,8,FALSE)</f>
        <v>3.9119999999999997E-3</v>
      </c>
      <c r="H4803" s="917">
        <f>VLOOKUP($A4803,'Tech Litons'!$A:$I,9,FALSE)</f>
        <v>276</v>
      </c>
      <c r="I4803" s="917" t="str">
        <f>VLOOKUP($A4803,'Tech Litons'!$A:$C,3,0)</f>
        <v>EFW</v>
      </c>
      <c r="J4803" s="918" t="str">
        <f t="shared" si="480"/>
        <v>3910EFW</v>
      </c>
      <c r="K4803" s="919">
        <v>1</v>
      </c>
      <c r="L4803" s="920">
        <f t="shared" si="481"/>
        <v>552</v>
      </c>
      <c r="M4803" s="920">
        <f t="shared" si="482"/>
        <v>2.159424</v>
      </c>
      <c r="N4803" s="920">
        <f t="shared" si="483"/>
        <v>2</v>
      </c>
      <c r="O4803" s="918" t="str">
        <f t="shared" si="484"/>
        <v>Feb</v>
      </c>
      <c r="P4803" s="921">
        <f t="shared" si="485"/>
        <v>9</v>
      </c>
    </row>
    <row r="4804" spans="1:16" ht="15" hidden="1" customHeight="1">
      <c r="A4804" s="839">
        <v>64380012</v>
      </c>
      <c r="B4804" s="839">
        <v>3910</v>
      </c>
      <c r="C4804" s="906">
        <v>1380</v>
      </c>
      <c r="D4804" s="907">
        <v>46080</v>
      </c>
      <c r="E4804" s="839" t="s">
        <v>561</v>
      </c>
      <c r="F4804" s="839" t="s">
        <v>303</v>
      </c>
      <c r="G4804" s="916">
        <f>VLOOKUP($A4804,'Tech Litons'!$A:$I,8,FALSE)</f>
        <v>3.9119999999999997E-3</v>
      </c>
      <c r="H4804" s="917">
        <f>VLOOKUP($A4804,'Tech Litons'!$A:$I,9,FALSE)</f>
        <v>276</v>
      </c>
      <c r="I4804" s="917" t="str">
        <f>VLOOKUP($A4804,'Tech Litons'!$A:$C,3,0)</f>
        <v>EFW</v>
      </c>
      <c r="J4804" s="918" t="str">
        <f t="shared" si="480"/>
        <v>3910EFW</v>
      </c>
      <c r="K4804" s="919">
        <v>1</v>
      </c>
      <c r="L4804" s="920">
        <f t="shared" si="481"/>
        <v>1380</v>
      </c>
      <c r="M4804" s="920">
        <f t="shared" si="482"/>
        <v>5.3985599999999998</v>
      </c>
      <c r="N4804" s="920">
        <f t="shared" si="483"/>
        <v>5</v>
      </c>
      <c r="O4804" s="918" t="str">
        <f t="shared" si="484"/>
        <v>Feb</v>
      </c>
      <c r="P4804" s="921">
        <f t="shared" si="485"/>
        <v>9</v>
      </c>
    </row>
    <row r="4805" spans="1:16" ht="15" hidden="1" customHeight="1">
      <c r="A4805" s="839">
        <v>64380012</v>
      </c>
      <c r="B4805" s="839">
        <v>3910</v>
      </c>
      <c r="C4805" s="906">
        <v>240</v>
      </c>
      <c r="D4805" s="907">
        <v>46083</v>
      </c>
      <c r="E4805" s="839" t="s">
        <v>561</v>
      </c>
      <c r="F4805" s="839" t="s">
        <v>303</v>
      </c>
      <c r="G4805" s="916">
        <f>VLOOKUP($A4805,'Tech Litons'!$A:$I,8,FALSE)</f>
        <v>3.9119999999999997E-3</v>
      </c>
      <c r="H4805" s="917">
        <f>VLOOKUP($A4805,'Tech Litons'!$A:$I,9,FALSE)</f>
        <v>276</v>
      </c>
      <c r="I4805" s="917" t="str">
        <f>VLOOKUP($A4805,'Tech Litons'!$A:$C,3,0)</f>
        <v>EFW</v>
      </c>
      <c r="J4805" s="918" t="str">
        <f t="shared" si="480"/>
        <v>3910EFW</v>
      </c>
      <c r="K4805" s="919">
        <v>1</v>
      </c>
      <c r="L4805" s="920">
        <f t="shared" si="481"/>
        <v>240</v>
      </c>
      <c r="M4805" s="920">
        <f t="shared" si="482"/>
        <v>0.93887999999999994</v>
      </c>
      <c r="N4805" s="920">
        <f t="shared" si="483"/>
        <v>0.86956521739130432</v>
      </c>
      <c r="O4805" s="918" t="str">
        <f t="shared" si="484"/>
        <v>Mar</v>
      </c>
      <c r="P4805" s="921">
        <f t="shared" si="485"/>
        <v>10</v>
      </c>
    </row>
    <row r="4806" spans="1:16" ht="15" hidden="1" customHeight="1">
      <c r="A4806" s="839">
        <v>67794169</v>
      </c>
      <c r="B4806" s="839">
        <v>5911</v>
      </c>
      <c r="C4806" s="906">
        <v>8160</v>
      </c>
      <c r="D4806" s="907">
        <v>46084</v>
      </c>
      <c r="E4806" s="839" t="s">
        <v>352</v>
      </c>
      <c r="F4806" s="839" t="s">
        <v>303</v>
      </c>
      <c r="G4806" s="916">
        <f>VLOOKUP($A4806,'Tech Litons'!$A:$I,8,FALSE)</f>
        <v>3.7853439999999999E-3</v>
      </c>
      <c r="H4806" s="917">
        <f>VLOOKUP($A4806,'Tech Litons'!$A:$I,9,FALSE)</f>
        <v>240</v>
      </c>
      <c r="I4806" s="917" t="str">
        <f>VLOOKUP($A4806,'Tech Litons'!$A:$C,3,0)</f>
        <v>BJ PTS</v>
      </c>
      <c r="J4806" s="918" t="str">
        <f t="shared" si="480"/>
        <v>5911BJ PTS</v>
      </c>
      <c r="K4806" s="919">
        <v>1</v>
      </c>
      <c r="L4806" s="920">
        <f t="shared" si="481"/>
        <v>8160</v>
      </c>
      <c r="M4806" s="920">
        <f t="shared" si="482"/>
        <v>30.888407040000001</v>
      </c>
      <c r="N4806" s="920">
        <f t="shared" si="483"/>
        <v>34</v>
      </c>
      <c r="O4806" s="918" t="str">
        <f t="shared" si="484"/>
        <v>Mar</v>
      </c>
      <c r="P4806" s="921">
        <f t="shared" si="485"/>
        <v>10</v>
      </c>
    </row>
    <row r="4807" spans="1:16" ht="15" hidden="1" customHeight="1">
      <c r="A4807" s="839">
        <v>67794169</v>
      </c>
      <c r="B4807" s="839">
        <v>5911</v>
      </c>
      <c r="C4807" s="906">
        <v>9360</v>
      </c>
      <c r="D4807" s="907">
        <v>46084</v>
      </c>
      <c r="E4807" s="839" t="s">
        <v>352</v>
      </c>
      <c r="F4807" s="839" t="s">
        <v>303</v>
      </c>
      <c r="G4807" s="916">
        <f>VLOOKUP($A4807,'Tech Litons'!$A:$I,8,FALSE)</f>
        <v>3.7853439999999999E-3</v>
      </c>
      <c r="H4807" s="917">
        <f>VLOOKUP($A4807,'Tech Litons'!$A:$I,9,FALSE)</f>
        <v>240</v>
      </c>
      <c r="I4807" s="917" t="str">
        <f>VLOOKUP($A4807,'Tech Litons'!$A:$C,3,0)</f>
        <v>BJ PTS</v>
      </c>
      <c r="J4807" s="918" t="str">
        <f t="shared" si="480"/>
        <v>5911BJ PTS</v>
      </c>
      <c r="K4807" s="919">
        <v>1</v>
      </c>
      <c r="L4807" s="920">
        <f t="shared" si="481"/>
        <v>9360</v>
      </c>
      <c r="M4807" s="920">
        <f t="shared" si="482"/>
        <v>35.430819839999998</v>
      </c>
      <c r="N4807" s="920">
        <f t="shared" si="483"/>
        <v>39</v>
      </c>
      <c r="O4807" s="918" t="str">
        <f t="shared" si="484"/>
        <v>Mar</v>
      </c>
      <c r="P4807" s="921">
        <f t="shared" si="485"/>
        <v>10</v>
      </c>
    </row>
    <row r="4808" spans="1:16" ht="15" hidden="1" customHeight="1">
      <c r="A4808" s="839">
        <v>67794169</v>
      </c>
      <c r="B4808" s="839">
        <v>5911</v>
      </c>
      <c r="C4808" s="906">
        <v>22080</v>
      </c>
      <c r="D4808" s="907">
        <v>46085</v>
      </c>
      <c r="E4808" s="839" t="s">
        <v>352</v>
      </c>
      <c r="F4808" s="839" t="s">
        <v>303</v>
      </c>
      <c r="G4808" s="916">
        <f>VLOOKUP($A4808,'Tech Litons'!$A:$I,8,FALSE)</f>
        <v>3.7853439999999999E-3</v>
      </c>
      <c r="H4808" s="917">
        <f>VLOOKUP($A4808,'Tech Litons'!$A:$I,9,FALSE)</f>
        <v>240</v>
      </c>
      <c r="I4808" s="917" t="str">
        <f>VLOOKUP($A4808,'Tech Litons'!$A:$C,3,0)</f>
        <v>BJ PTS</v>
      </c>
      <c r="J4808" s="918" t="str">
        <f t="shared" si="480"/>
        <v>5911BJ PTS</v>
      </c>
      <c r="K4808" s="919">
        <v>1</v>
      </c>
      <c r="L4808" s="920">
        <f t="shared" si="481"/>
        <v>22080</v>
      </c>
      <c r="M4808" s="920">
        <f t="shared" si="482"/>
        <v>83.580395519999996</v>
      </c>
      <c r="N4808" s="920">
        <f t="shared" si="483"/>
        <v>92</v>
      </c>
      <c r="O4808" s="918" t="str">
        <f t="shared" si="484"/>
        <v>Mar</v>
      </c>
      <c r="P4808" s="921">
        <f t="shared" si="485"/>
        <v>10</v>
      </c>
    </row>
    <row r="4809" spans="1:16" ht="15" hidden="1" customHeight="1">
      <c r="A4809" s="839">
        <v>67794169</v>
      </c>
      <c r="B4809" s="839">
        <v>5911</v>
      </c>
      <c r="C4809" s="906">
        <v>6104</v>
      </c>
      <c r="D4809" s="907">
        <v>46086</v>
      </c>
      <c r="E4809" s="839" t="s">
        <v>352</v>
      </c>
      <c r="F4809" s="839" t="s">
        <v>303</v>
      </c>
      <c r="G4809" s="916">
        <f>VLOOKUP($A4809,'Tech Litons'!$A:$I,8,FALSE)</f>
        <v>3.7853439999999999E-3</v>
      </c>
      <c r="H4809" s="917">
        <f>VLOOKUP($A4809,'Tech Litons'!$A:$I,9,FALSE)</f>
        <v>240</v>
      </c>
      <c r="I4809" s="917" t="str">
        <f>VLOOKUP($A4809,'Tech Litons'!$A:$C,3,0)</f>
        <v>BJ PTS</v>
      </c>
      <c r="J4809" s="918" t="str">
        <f t="shared" si="480"/>
        <v>5911BJ PTS</v>
      </c>
      <c r="K4809" s="919">
        <v>1</v>
      </c>
      <c r="L4809" s="920">
        <f t="shared" si="481"/>
        <v>6104</v>
      </c>
      <c r="M4809" s="920">
        <f t="shared" si="482"/>
        <v>23.105739776</v>
      </c>
      <c r="N4809" s="920">
        <f t="shared" si="483"/>
        <v>25.433333333333334</v>
      </c>
      <c r="O4809" s="918" t="str">
        <f t="shared" si="484"/>
        <v>Mar</v>
      </c>
      <c r="P4809" s="921">
        <f t="shared" si="485"/>
        <v>10</v>
      </c>
    </row>
    <row r="4810" spans="1:16" ht="15" hidden="1" customHeight="1">
      <c r="A4810" s="839">
        <v>67794169</v>
      </c>
      <c r="B4810" s="839">
        <v>5911</v>
      </c>
      <c r="C4810" s="906">
        <v>1200</v>
      </c>
      <c r="D4810" s="907">
        <v>46104</v>
      </c>
      <c r="E4810" s="839" t="s">
        <v>352</v>
      </c>
      <c r="F4810" s="839" t="s">
        <v>303</v>
      </c>
      <c r="G4810" s="916">
        <f>VLOOKUP($A4810,'Tech Litons'!$A:$I,8,FALSE)</f>
        <v>3.7853439999999999E-3</v>
      </c>
      <c r="H4810" s="917">
        <f>VLOOKUP($A4810,'Tech Litons'!$A:$I,9,FALSE)</f>
        <v>240</v>
      </c>
      <c r="I4810" s="917" t="str">
        <f>VLOOKUP($A4810,'Tech Litons'!$A:$C,3,0)</f>
        <v>BJ PTS</v>
      </c>
      <c r="J4810" s="918" t="str">
        <f t="shared" si="480"/>
        <v>5911BJ PTS</v>
      </c>
      <c r="K4810" s="919">
        <v>1</v>
      </c>
      <c r="L4810" s="920">
        <f t="shared" si="481"/>
        <v>1200</v>
      </c>
      <c r="M4810" s="920">
        <f t="shared" si="482"/>
        <v>4.5424128000000001</v>
      </c>
      <c r="N4810" s="920">
        <f t="shared" si="483"/>
        <v>5</v>
      </c>
      <c r="O4810" s="918" t="str">
        <f t="shared" si="484"/>
        <v>Mar</v>
      </c>
      <c r="P4810" s="921">
        <f t="shared" si="485"/>
        <v>13</v>
      </c>
    </row>
    <row r="4811" spans="1:16" ht="15" hidden="1" customHeight="1">
      <c r="A4811" s="839">
        <v>67794169</v>
      </c>
      <c r="B4811" s="839">
        <v>5911</v>
      </c>
      <c r="C4811" s="906">
        <v>34320</v>
      </c>
      <c r="D4811" s="907">
        <v>46105</v>
      </c>
      <c r="E4811" s="839" t="s">
        <v>352</v>
      </c>
      <c r="F4811" s="839" t="s">
        <v>303</v>
      </c>
      <c r="G4811" s="916">
        <f>VLOOKUP($A4811,'Tech Litons'!$A:$I,8,FALSE)</f>
        <v>3.7853439999999999E-3</v>
      </c>
      <c r="H4811" s="917">
        <f>VLOOKUP($A4811,'Tech Litons'!$A:$I,9,FALSE)</f>
        <v>240</v>
      </c>
      <c r="I4811" s="917" t="str">
        <f>VLOOKUP($A4811,'Tech Litons'!$A:$C,3,0)</f>
        <v>BJ PTS</v>
      </c>
      <c r="J4811" s="918" t="str">
        <f t="shared" si="480"/>
        <v>5911BJ PTS</v>
      </c>
      <c r="K4811" s="919">
        <v>1</v>
      </c>
      <c r="L4811" s="920">
        <f t="shared" si="481"/>
        <v>34320</v>
      </c>
      <c r="M4811" s="920">
        <f t="shared" si="482"/>
        <v>129.91300608</v>
      </c>
      <c r="N4811" s="920">
        <f t="shared" si="483"/>
        <v>143</v>
      </c>
      <c r="O4811" s="918" t="str">
        <f t="shared" si="484"/>
        <v>Mar</v>
      </c>
      <c r="P4811" s="921">
        <f t="shared" si="485"/>
        <v>13</v>
      </c>
    </row>
    <row r="4812" spans="1:16" ht="15" hidden="1" customHeight="1">
      <c r="A4812" s="839">
        <v>67803006</v>
      </c>
      <c r="B4812" s="839">
        <v>5911</v>
      </c>
      <c r="C4812" s="906">
        <v>7920</v>
      </c>
      <c r="D4812" s="907">
        <v>46083</v>
      </c>
      <c r="E4812" s="839" t="s">
        <v>346</v>
      </c>
      <c r="F4812" s="839" t="s">
        <v>303</v>
      </c>
      <c r="G4812" s="916">
        <f>VLOOKUP($A4812,'Tech Litons'!$A:$I,8,FALSE)</f>
        <v>3.7839999999999996E-3</v>
      </c>
      <c r="H4812" s="917">
        <f>VLOOKUP($A4812,'Tech Litons'!$A:$I,9,FALSE)</f>
        <v>240</v>
      </c>
      <c r="I4812" s="917" t="str">
        <f>VLOOKUP($A4812,'Tech Litons'!$A:$C,3,0)</f>
        <v>PTS Exports</v>
      </c>
      <c r="J4812" s="918" t="str">
        <f t="shared" si="480"/>
        <v>5911PTS Exports</v>
      </c>
      <c r="K4812" s="919">
        <v>1</v>
      </c>
      <c r="L4812" s="920">
        <f t="shared" si="481"/>
        <v>7920</v>
      </c>
      <c r="M4812" s="920">
        <f t="shared" si="482"/>
        <v>29.969279999999998</v>
      </c>
      <c r="N4812" s="920">
        <f t="shared" si="483"/>
        <v>33</v>
      </c>
      <c r="O4812" s="918" t="str">
        <f t="shared" si="484"/>
        <v>Mar</v>
      </c>
      <c r="P4812" s="921">
        <f t="shared" si="485"/>
        <v>10</v>
      </c>
    </row>
    <row r="4813" spans="1:16" ht="15" hidden="1" customHeight="1">
      <c r="A4813" s="839">
        <v>67803006</v>
      </c>
      <c r="B4813" s="839">
        <v>5911</v>
      </c>
      <c r="C4813" s="906">
        <v>5625</v>
      </c>
      <c r="D4813" s="907">
        <v>46084</v>
      </c>
      <c r="E4813" s="839" t="s">
        <v>346</v>
      </c>
      <c r="F4813" s="839" t="s">
        <v>303</v>
      </c>
      <c r="G4813" s="916">
        <f>VLOOKUP($A4813,'Tech Litons'!$A:$I,8,FALSE)</f>
        <v>3.7839999999999996E-3</v>
      </c>
      <c r="H4813" s="917">
        <f>VLOOKUP($A4813,'Tech Litons'!$A:$I,9,FALSE)</f>
        <v>240</v>
      </c>
      <c r="I4813" s="917" t="str">
        <f>VLOOKUP($A4813,'Tech Litons'!$A:$C,3,0)</f>
        <v>PTS Exports</v>
      </c>
      <c r="J4813" s="918" t="str">
        <f t="shared" si="480"/>
        <v>5911PTS Exports</v>
      </c>
      <c r="K4813" s="919">
        <v>1</v>
      </c>
      <c r="L4813" s="920">
        <f t="shared" si="481"/>
        <v>5625</v>
      </c>
      <c r="M4813" s="920">
        <f t="shared" si="482"/>
        <v>21.284999999999997</v>
      </c>
      <c r="N4813" s="920">
        <f t="shared" si="483"/>
        <v>23.4375</v>
      </c>
      <c r="O4813" s="918" t="str">
        <f t="shared" si="484"/>
        <v>Mar</v>
      </c>
      <c r="P4813" s="921">
        <f t="shared" si="485"/>
        <v>10</v>
      </c>
    </row>
    <row r="4814" spans="1:16" ht="15" hidden="1" customHeight="1">
      <c r="A4814" s="839">
        <v>68638142</v>
      </c>
      <c r="B4814" s="839">
        <v>5911</v>
      </c>
      <c r="C4814" s="906">
        <v>7613</v>
      </c>
      <c r="D4814" s="907">
        <v>46101</v>
      </c>
      <c r="E4814" s="839" t="s">
        <v>547</v>
      </c>
      <c r="F4814" s="839" t="s">
        <v>303</v>
      </c>
      <c r="G4814" s="916">
        <f>VLOOKUP($A4814,'Tech Litons'!$A:$I,8,FALSE)</f>
        <v>3.7853439999999999E-3</v>
      </c>
      <c r="H4814" s="917">
        <f>VLOOKUP($A4814,'Tech Litons'!$A:$I,9,FALSE)</f>
        <v>240</v>
      </c>
      <c r="I4814" s="917" t="str">
        <f>VLOOKUP($A4814,'Tech Litons'!$A:$C,3,0)</f>
        <v>BJ PTS</v>
      </c>
      <c r="J4814" s="918" t="str">
        <f t="shared" si="480"/>
        <v>5911BJ PTS</v>
      </c>
      <c r="K4814" s="919">
        <v>1</v>
      </c>
      <c r="L4814" s="920">
        <f t="shared" si="481"/>
        <v>7613</v>
      </c>
      <c r="M4814" s="920">
        <f t="shared" si="482"/>
        <v>28.817823871999998</v>
      </c>
      <c r="N4814" s="920">
        <f t="shared" si="483"/>
        <v>31.720833333333335</v>
      </c>
      <c r="O4814" s="918" t="str">
        <f t="shared" si="484"/>
        <v>Mar</v>
      </c>
      <c r="P4814" s="921">
        <f t="shared" si="485"/>
        <v>12</v>
      </c>
    </row>
    <row r="4815" spans="1:16" ht="15" hidden="1" customHeight="1">
      <c r="A4815" s="839">
        <v>84135718</v>
      </c>
      <c r="B4815" s="839">
        <v>5911</v>
      </c>
      <c r="C4815" s="906">
        <v>17520</v>
      </c>
      <c r="D4815" s="907">
        <v>46077</v>
      </c>
      <c r="E4815" s="839" t="s">
        <v>338</v>
      </c>
      <c r="F4815" s="839" t="s">
        <v>301</v>
      </c>
      <c r="G4815" s="916">
        <f>VLOOKUP($A4815,'Tech Litons'!$A:$I,8,FALSE)</f>
        <v>3.7853439999999999E-3</v>
      </c>
      <c r="H4815" s="917">
        <f>VLOOKUP($A4815,'Tech Litons'!$A:$I,9,FALSE)</f>
        <v>240</v>
      </c>
      <c r="I4815" s="917" t="str">
        <f>VLOOKUP($A4815,'Tech Litons'!$A:$C,3,0)</f>
        <v>BJ PTS</v>
      </c>
      <c r="J4815" s="918" t="str">
        <f t="shared" si="480"/>
        <v>5911BJ PTS</v>
      </c>
      <c r="K4815" s="919">
        <v>1</v>
      </c>
      <c r="L4815" s="920">
        <f t="shared" si="481"/>
        <v>17520</v>
      </c>
      <c r="M4815" s="920">
        <f t="shared" si="482"/>
        <v>66.319226880000002</v>
      </c>
      <c r="N4815" s="920">
        <f t="shared" si="483"/>
        <v>73</v>
      </c>
      <c r="O4815" s="918" t="str">
        <f t="shared" si="484"/>
        <v>Feb</v>
      </c>
      <c r="P4815" s="921">
        <f t="shared" si="485"/>
        <v>9</v>
      </c>
    </row>
    <row r="4816" spans="1:16" ht="15" hidden="1" customHeight="1">
      <c r="A4816" s="839">
        <v>84135718</v>
      </c>
      <c r="B4816" s="839">
        <v>5911</v>
      </c>
      <c r="C4816" s="906">
        <v>39360</v>
      </c>
      <c r="D4816" s="907">
        <v>46078</v>
      </c>
      <c r="E4816" s="839" t="s">
        <v>338</v>
      </c>
      <c r="F4816" s="839" t="s">
        <v>301</v>
      </c>
      <c r="G4816" s="916">
        <f>VLOOKUP($A4816,'Tech Litons'!$A:$I,8,FALSE)</f>
        <v>3.7853439999999999E-3</v>
      </c>
      <c r="H4816" s="917">
        <f>VLOOKUP($A4816,'Tech Litons'!$A:$I,9,FALSE)</f>
        <v>240</v>
      </c>
      <c r="I4816" s="917" t="str">
        <f>VLOOKUP($A4816,'Tech Litons'!$A:$C,3,0)</f>
        <v>BJ PTS</v>
      </c>
      <c r="J4816" s="918" t="str">
        <f t="shared" si="480"/>
        <v>5911BJ PTS</v>
      </c>
      <c r="K4816" s="919">
        <v>1</v>
      </c>
      <c r="L4816" s="920">
        <f t="shared" si="481"/>
        <v>39360</v>
      </c>
      <c r="M4816" s="920">
        <f t="shared" si="482"/>
        <v>148.99113983999999</v>
      </c>
      <c r="N4816" s="920">
        <f t="shared" si="483"/>
        <v>164</v>
      </c>
      <c r="O4816" s="918" t="str">
        <f t="shared" si="484"/>
        <v>Feb</v>
      </c>
      <c r="P4816" s="921">
        <f t="shared" si="485"/>
        <v>9</v>
      </c>
    </row>
    <row r="4817" spans="1:16" ht="15" hidden="1" customHeight="1">
      <c r="A4817" s="839">
        <v>84135718</v>
      </c>
      <c r="B4817" s="839">
        <v>5911</v>
      </c>
      <c r="C4817" s="906">
        <v>4783</v>
      </c>
      <c r="D4817" s="907">
        <v>46079</v>
      </c>
      <c r="E4817" s="839" t="s">
        <v>338</v>
      </c>
      <c r="F4817" s="839" t="s">
        <v>301</v>
      </c>
      <c r="G4817" s="916">
        <f>VLOOKUP($A4817,'Tech Litons'!$A:$I,8,FALSE)</f>
        <v>3.7853439999999999E-3</v>
      </c>
      <c r="H4817" s="917">
        <f>VLOOKUP($A4817,'Tech Litons'!$A:$I,9,FALSE)</f>
        <v>240</v>
      </c>
      <c r="I4817" s="917" t="str">
        <f>VLOOKUP($A4817,'Tech Litons'!$A:$C,3,0)</f>
        <v>BJ PTS</v>
      </c>
      <c r="J4817" s="918" t="str">
        <f t="shared" si="480"/>
        <v>5911BJ PTS</v>
      </c>
      <c r="K4817" s="919">
        <v>1</v>
      </c>
      <c r="L4817" s="920">
        <f t="shared" si="481"/>
        <v>4783</v>
      </c>
      <c r="M4817" s="920">
        <f t="shared" si="482"/>
        <v>18.105300352</v>
      </c>
      <c r="N4817" s="920">
        <f t="shared" si="483"/>
        <v>19.929166666666667</v>
      </c>
      <c r="O4817" s="918" t="str">
        <f t="shared" si="484"/>
        <v>Feb</v>
      </c>
      <c r="P4817" s="921">
        <f t="shared" si="485"/>
        <v>9</v>
      </c>
    </row>
    <row r="4818" spans="1:16" ht="15" hidden="1" customHeight="1">
      <c r="A4818" s="839">
        <v>84135718</v>
      </c>
      <c r="B4818" s="839">
        <v>5911</v>
      </c>
      <c r="C4818" s="906">
        <v>13440</v>
      </c>
      <c r="D4818" s="907">
        <v>46076</v>
      </c>
      <c r="E4818" s="839" t="s">
        <v>338</v>
      </c>
      <c r="F4818" s="839" t="s">
        <v>301</v>
      </c>
      <c r="G4818" s="916">
        <f>VLOOKUP($A4818,'Tech Litons'!$A:$I,8,FALSE)</f>
        <v>3.7853439999999999E-3</v>
      </c>
      <c r="H4818" s="917">
        <f>VLOOKUP($A4818,'Tech Litons'!$A:$I,9,FALSE)</f>
        <v>240</v>
      </c>
      <c r="I4818" s="917" t="str">
        <f>VLOOKUP($A4818,'Tech Litons'!$A:$C,3,0)</f>
        <v>BJ PTS</v>
      </c>
      <c r="J4818" s="918" t="str">
        <f t="shared" si="480"/>
        <v>5911BJ PTS</v>
      </c>
      <c r="K4818" s="919">
        <v>1</v>
      </c>
      <c r="L4818" s="920">
        <f t="shared" si="481"/>
        <v>13440</v>
      </c>
      <c r="M4818" s="920">
        <f t="shared" si="482"/>
        <v>50.87502336</v>
      </c>
      <c r="N4818" s="920">
        <f t="shared" si="483"/>
        <v>56</v>
      </c>
      <c r="O4818" s="918" t="str">
        <f t="shared" si="484"/>
        <v>Feb</v>
      </c>
      <c r="P4818" s="921">
        <f t="shared" si="485"/>
        <v>9</v>
      </c>
    </row>
    <row r="4819" spans="1:16" ht="15" hidden="1" customHeight="1">
      <c r="A4819" s="839">
        <v>84135718</v>
      </c>
      <c r="B4819" s="839">
        <v>5911</v>
      </c>
      <c r="C4819" s="906">
        <v>27120</v>
      </c>
      <c r="D4819" s="907">
        <v>46077</v>
      </c>
      <c r="E4819" s="839" t="s">
        <v>338</v>
      </c>
      <c r="F4819" s="839" t="s">
        <v>301</v>
      </c>
      <c r="G4819" s="916">
        <f>VLOOKUP($A4819,'Tech Litons'!$A:$I,8,FALSE)</f>
        <v>3.7853439999999999E-3</v>
      </c>
      <c r="H4819" s="917">
        <f>VLOOKUP($A4819,'Tech Litons'!$A:$I,9,FALSE)</f>
        <v>240</v>
      </c>
      <c r="I4819" s="917" t="str">
        <f>VLOOKUP($A4819,'Tech Litons'!$A:$C,3,0)</f>
        <v>BJ PTS</v>
      </c>
      <c r="J4819" s="918" t="str">
        <f t="shared" si="480"/>
        <v>5911BJ PTS</v>
      </c>
      <c r="K4819" s="919">
        <v>1</v>
      </c>
      <c r="L4819" s="920">
        <f t="shared" si="481"/>
        <v>27120</v>
      </c>
      <c r="M4819" s="920">
        <f t="shared" si="482"/>
        <v>102.65852928</v>
      </c>
      <c r="N4819" s="920">
        <f t="shared" si="483"/>
        <v>113</v>
      </c>
      <c r="O4819" s="918" t="str">
        <f t="shared" si="484"/>
        <v>Feb</v>
      </c>
      <c r="P4819" s="921">
        <f t="shared" si="485"/>
        <v>9</v>
      </c>
    </row>
    <row r="4820" spans="1:16" ht="15" hidden="1" customHeight="1">
      <c r="A4820" s="839">
        <v>84137725</v>
      </c>
      <c r="B4820" s="839">
        <v>5911</v>
      </c>
      <c r="C4820" s="906">
        <v>22378</v>
      </c>
      <c r="D4820" s="907">
        <v>46087</v>
      </c>
      <c r="E4820" s="839" t="s">
        <v>278</v>
      </c>
      <c r="F4820" s="839" t="s">
        <v>279</v>
      </c>
      <c r="G4820" s="916">
        <f>VLOOKUP($A4820,'Tech Litons'!$A:$I,8,FALSE)</f>
        <v>3.7853439999999999E-3</v>
      </c>
      <c r="H4820" s="917">
        <f>VLOOKUP($A4820,'Tech Litons'!$A:$I,9,FALSE)</f>
        <v>240</v>
      </c>
      <c r="I4820" s="917" t="str">
        <f>VLOOKUP($A4820,'Tech Litons'!$A:$C,3,0)</f>
        <v>BJ PTS</v>
      </c>
      <c r="J4820" s="918" t="str">
        <f t="shared" si="480"/>
        <v>5911BJ PTS</v>
      </c>
      <c r="K4820" s="919">
        <v>1</v>
      </c>
      <c r="L4820" s="920">
        <f t="shared" si="481"/>
        <v>22378</v>
      </c>
      <c r="M4820" s="920">
        <f t="shared" si="482"/>
        <v>84.708428032</v>
      </c>
      <c r="N4820" s="920">
        <f t="shared" si="483"/>
        <v>93.24166666666666</v>
      </c>
      <c r="O4820" s="918" t="str">
        <f t="shared" si="484"/>
        <v>Mar</v>
      </c>
      <c r="P4820" s="921">
        <f t="shared" si="485"/>
        <v>10</v>
      </c>
    </row>
    <row r="4821" spans="1:16" ht="15" hidden="1" customHeight="1">
      <c r="A4821" s="839">
        <v>84137725</v>
      </c>
      <c r="B4821" s="839">
        <v>5911</v>
      </c>
      <c r="C4821" s="906">
        <v>26880</v>
      </c>
      <c r="D4821" s="907">
        <v>46088</v>
      </c>
      <c r="E4821" s="839" t="s">
        <v>278</v>
      </c>
      <c r="F4821" s="839" t="s">
        <v>279</v>
      </c>
      <c r="G4821" s="916">
        <f>VLOOKUP($A4821,'Tech Litons'!$A:$I,8,FALSE)</f>
        <v>3.7853439999999999E-3</v>
      </c>
      <c r="H4821" s="917">
        <f>VLOOKUP($A4821,'Tech Litons'!$A:$I,9,FALSE)</f>
        <v>240</v>
      </c>
      <c r="I4821" s="917" t="str">
        <f>VLOOKUP($A4821,'Tech Litons'!$A:$C,3,0)</f>
        <v>BJ PTS</v>
      </c>
      <c r="J4821" s="918" t="str">
        <f t="shared" si="480"/>
        <v>5911BJ PTS</v>
      </c>
      <c r="K4821" s="919">
        <v>1</v>
      </c>
      <c r="L4821" s="920">
        <f t="shared" si="481"/>
        <v>26880</v>
      </c>
      <c r="M4821" s="920">
        <f t="shared" si="482"/>
        <v>101.75004672</v>
      </c>
      <c r="N4821" s="920">
        <f t="shared" si="483"/>
        <v>112</v>
      </c>
      <c r="O4821" s="918" t="str">
        <f t="shared" si="484"/>
        <v>Mar</v>
      </c>
      <c r="P4821" s="921">
        <f t="shared" si="485"/>
        <v>10</v>
      </c>
    </row>
    <row r="4822" spans="1:16" ht="15" hidden="1" customHeight="1">
      <c r="A4822" s="839">
        <v>84137725</v>
      </c>
      <c r="B4822" s="839">
        <v>5911</v>
      </c>
      <c r="C4822" s="906">
        <v>6960</v>
      </c>
      <c r="D4822" s="907">
        <v>46088</v>
      </c>
      <c r="E4822" s="839" t="s">
        <v>278</v>
      </c>
      <c r="F4822" s="839" t="s">
        <v>279</v>
      </c>
      <c r="G4822" s="916">
        <f>VLOOKUP($A4822,'Tech Litons'!$A:$I,8,FALSE)</f>
        <v>3.7853439999999999E-3</v>
      </c>
      <c r="H4822" s="917">
        <f>VLOOKUP($A4822,'Tech Litons'!$A:$I,9,FALSE)</f>
        <v>240</v>
      </c>
      <c r="I4822" s="917" t="str">
        <f>VLOOKUP($A4822,'Tech Litons'!$A:$C,3,0)</f>
        <v>BJ PTS</v>
      </c>
      <c r="J4822" s="918" t="str">
        <f t="shared" si="480"/>
        <v>5911BJ PTS</v>
      </c>
      <c r="K4822" s="919">
        <v>1</v>
      </c>
      <c r="L4822" s="920">
        <f t="shared" si="481"/>
        <v>6960</v>
      </c>
      <c r="M4822" s="920">
        <f t="shared" si="482"/>
        <v>26.34599424</v>
      </c>
      <c r="N4822" s="920">
        <f t="shared" si="483"/>
        <v>29</v>
      </c>
      <c r="O4822" s="918" t="str">
        <f t="shared" si="484"/>
        <v>Mar</v>
      </c>
      <c r="P4822" s="921">
        <f t="shared" si="485"/>
        <v>10</v>
      </c>
    </row>
    <row r="4823" spans="1:16" ht="15" hidden="1" customHeight="1">
      <c r="A4823" s="839">
        <v>84137725</v>
      </c>
      <c r="B4823" s="839">
        <v>5911</v>
      </c>
      <c r="C4823" s="906">
        <v>32160</v>
      </c>
      <c r="D4823" s="907">
        <v>46089</v>
      </c>
      <c r="E4823" s="839" t="s">
        <v>278</v>
      </c>
      <c r="F4823" s="839" t="s">
        <v>279</v>
      </c>
      <c r="G4823" s="916">
        <f>VLOOKUP($A4823,'Tech Litons'!$A:$I,8,FALSE)</f>
        <v>3.7853439999999999E-3</v>
      </c>
      <c r="H4823" s="917">
        <f>VLOOKUP($A4823,'Tech Litons'!$A:$I,9,FALSE)</f>
        <v>240</v>
      </c>
      <c r="I4823" s="917" t="str">
        <f>VLOOKUP($A4823,'Tech Litons'!$A:$C,3,0)</f>
        <v>BJ PTS</v>
      </c>
      <c r="J4823" s="918" t="str">
        <f t="shared" si="480"/>
        <v>5911BJ PTS</v>
      </c>
      <c r="K4823" s="919">
        <v>1</v>
      </c>
      <c r="L4823" s="920">
        <f t="shared" si="481"/>
        <v>32160</v>
      </c>
      <c r="M4823" s="920">
        <f t="shared" si="482"/>
        <v>121.73666304</v>
      </c>
      <c r="N4823" s="920">
        <f t="shared" si="483"/>
        <v>134</v>
      </c>
      <c r="O4823" s="918" t="str">
        <f t="shared" si="484"/>
        <v>Mar</v>
      </c>
      <c r="P4823" s="921">
        <f t="shared" si="485"/>
        <v>11</v>
      </c>
    </row>
    <row r="4824" spans="1:16" ht="15" hidden="1" customHeight="1">
      <c r="A4824" s="839">
        <v>84137725</v>
      </c>
      <c r="B4824" s="839">
        <v>5911</v>
      </c>
      <c r="C4824" s="906">
        <v>5720</v>
      </c>
      <c r="D4824" s="907">
        <v>46090</v>
      </c>
      <c r="E4824" s="839" t="s">
        <v>278</v>
      </c>
      <c r="F4824" s="839" t="s">
        <v>279</v>
      </c>
      <c r="G4824" s="916">
        <f>VLOOKUP($A4824,'Tech Litons'!$A:$I,8,FALSE)</f>
        <v>3.7853439999999999E-3</v>
      </c>
      <c r="H4824" s="917">
        <f>VLOOKUP($A4824,'Tech Litons'!$A:$I,9,FALSE)</f>
        <v>240</v>
      </c>
      <c r="I4824" s="917" t="str">
        <f>VLOOKUP($A4824,'Tech Litons'!$A:$C,3,0)</f>
        <v>BJ PTS</v>
      </c>
      <c r="J4824" s="918" t="str">
        <f t="shared" si="480"/>
        <v>5911BJ PTS</v>
      </c>
      <c r="K4824" s="919">
        <v>1</v>
      </c>
      <c r="L4824" s="920">
        <f t="shared" si="481"/>
        <v>5720</v>
      </c>
      <c r="M4824" s="920">
        <f t="shared" si="482"/>
        <v>21.652167679999998</v>
      </c>
      <c r="N4824" s="920">
        <f t="shared" si="483"/>
        <v>23.833333333333332</v>
      </c>
      <c r="O4824" s="918" t="str">
        <f t="shared" si="484"/>
        <v>Mar</v>
      </c>
      <c r="P4824" s="921">
        <f t="shared" si="485"/>
        <v>11</v>
      </c>
    </row>
    <row r="4825" spans="1:16" ht="15" hidden="1" customHeight="1">
      <c r="A4825" s="839">
        <v>84137725</v>
      </c>
      <c r="B4825" s="839">
        <v>5911</v>
      </c>
      <c r="C4825" s="906">
        <v>14640</v>
      </c>
      <c r="D4825" s="907">
        <v>46101</v>
      </c>
      <c r="E4825" s="839" t="s">
        <v>278</v>
      </c>
      <c r="F4825" s="839" t="s">
        <v>279</v>
      </c>
      <c r="G4825" s="916">
        <f>VLOOKUP($A4825,'Tech Litons'!$A:$I,8,FALSE)</f>
        <v>3.7853439999999999E-3</v>
      </c>
      <c r="H4825" s="917">
        <f>VLOOKUP($A4825,'Tech Litons'!$A:$I,9,FALSE)</f>
        <v>240</v>
      </c>
      <c r="I4825" s="917" t="str">
        <f>VLOOKUP($A4825,'Tech Litons'!$A:$C,3,0)</f>
        <v>BJ PTS</v>
      </c>
      <c r="J4825" s="918" t="str">
        <f t="shared" si="480"/>
        <v>5911BJ PTS</v>
      </c>
      <c r="K4825" s="919">
        <v>1</v>
      </c>
      <c r="L4825" s="920">
        <f t="shared" si="481"/>
        <v>14640</v>
      </c>
      <c r="M4825" s="920">
        <f t="shared" si="482"/>
        <v>55.417436160000001</v>
      </c>
      <c r="N4825" s="920">
        <f t="shared" si="483"/>
        <v>61</v>
      </c>
      <c r="O4825" s="918" t="str">
        <f t="shared" si="484"/>
        <v>Mar</v>
      </c>
      <c r="P4825" s="921">
        <f t="shared" si="485"/>
        <v>12</v>
      </c>
    </row>
    <row r="4826" spans="1:16" ht="15" hidden="1" customHeight="1">
      <c r="A4826" s="839">
        <v>84137725</v>
      </c>
      <c r="B4826" s="839">
        <v>5911</v>
      </c>
      <c r="C4826" s="906">
        <v>32640</v>
      </c>
      <c r="D4826" s="907">
        <v>46102</v>
      </c>
      <c r="E4826" s="839" t="s">
        <v>278</v>
      </c>
      <c r="F4826" s="839" t="s">
        <v>279</v>
      </c>
      <c r="G4826" s="916">
        <f>VLOOKUP($A4826,'Tech Litons'!$A:$I,8,FALSE)</f>
        <v>3.7853439999999999E-3</v>
      </c>
      <c r="H4826" s="917">
        <f>VLOOKUP($A4826,'Tech Litons'!$A:$I,9,FALSE)</f>
        <v>240</v>
      </c>
      <c r="I4826" s="917" t="str">
        <f>VLOOKUP($A4826,'Tech Litons'!$A:$C,3,0)</f>
        <v>BJ PTS</v>
      </c>
      <c r="J4826" s="918" t="str">
        <f t="shared" si="480"/>
        <v>5911BJ PTS</v>
      </c>
      <c r="K4826" s="919">
        <v>1</v>
      </c>
      <c r="L4826" s="920">
        <f t="shared" si="481"/>
        <v>32640</v>
      </c>
      <c r="M4826" s="920">
        <f t="shared" si="482"/>
        <v>123.55362816</v>
      </c>
      <c r="N4826" s="920">
        <f t="shared" si="483"/>
        <v>136</v>
      </c>
      <c r="O4826" s="918" t="str">
        <f t="shared" si="484"/>
        <v>Mar</v>
      </c>
      <c r="P4826" s="921">
        <f t="shared" si="485"/>
        <v>12</v>
      </c>
    </row>
    <row r="4827" spans="1:16" ht="15" hidden="1" customHeight="1">
      <c r="A4827" s="839">
        <v>84137725</v>
      </c>
      <c r="B4827" s="839">
        <v>5911</v>
      </c>
      <c r="C4827" s="906">
        <v>6240</v>
      </c>
      <c r="D4827" s="907">
        <v>46102</v>
      </c>
      <c r="E4827" s="839" t="s">
        <v>278</v>
      </c>
      <c r="F4827" s="839" t="s">
        <v>279</v>
      </c>
      <c r="G4827" s="916">
        <f>VLOOKUP($A4827,'Tech Litons'!$A:$I,8,FALSE)</f>
        <v>3.7853439999999999E-3</v>
      </c>
      <c r="H4827" s="917">
        <f>VLOOKUP($A4827,'Tech Litons'!$A:$I,9,FALSE)</f>
        <v>240</v>
      </c>
      <c r="I4827" s="917" t="str">
        <f>VLOOKUP($A4827,'Tech Litons'!$A:$C,3,0)</f>
        <v>BJ PTS</v>
      </c>
      <c r="J4827" s="918" t="str">
        <f t="shared" si="480"/>
        <v>5911BJ PTS</v>
      </c>
      <c r="K4827" s="919">
        <v>1</v>
      </c>
      <c r="L4827" s="920">
        <f t="shared" si="481"/>
        <v>6240</v>
      </c>
      <c r="M4827" s="920">
        <f t="shared" si="482"/>
        <v>23.620546560000001</v>
      </c>
      <c r="N4827" s="920">
        <f t="shared" si="483"/>
        <v>26</v>
      </c>
      <c r="O4827" s="918" t="str">
        <f t="shared" si="484"/>
        <v>Mar</v>
      </c>
      <c r="P4827" s="921">
        <f t="shared" si="485"/>
        <v>12</v>
      </c>
    </row>
    <row r="4828" spans="1:16" ht="15" hidden="1" customHeight="1">
      <c r="A4828" s="839">
        <v>84137725</v>
      </c>
      <c r="B4828" s="839">
        <v>5911</v>
      </c>
      <c r="C4828" s="906">
        <v>34560</v>
      </c>
      <c r="D4828" s="907">
        <v>46103</v>
      </c>
      <c r="E4828" s="839" t="s">
        <v>278</v>
      </c>
      <c r="F4828" s="839" t="s">
        <v>279</v>
      </c>
      <c r="G4828" s="916">
        <f>VLOOKUP($A4828,'Tech Litons'!$A:$I,8,FALSE)</f>
        <v>3.7853439999999999E-3</v>
      </c>
      <c r="H4828" s="917">
        <f>VLOOKUP($A4828,'Tech Litons'!$A:$I,9,FALSE)</f>
        <v>240</v>
      </c>
      <c r="I4828" s="917" t="str">
        <f>VLOOKUP($A4828,'Tech Litons'!$A:$C,3,0)</f>
        <v>BJ PTS</v>
      </c>
      <c r="J4828" s="918" t="str">
        <f t="shared" si="480"/>
        <v>5911BJ PTS</v>
      </c>
      <c r="K4828" s="919">
        <v>1</v>
      </c>
      <c r="L4828" s="920">
        <f t="shared" si="481"/>
        <v>34560</v>
      </c>
      <c r="M4828" s="920">
        <f t="shared" si="482"/>
        <v>130.82148863999998</v>
      </c>
      <c r="N4828" s="920">
        <f t="shared" si="483"/>
        <v>144</v>
      </c>
      <c r="O4828" s="918" t="str">
        <f t="shared" si="484"/>
        <v>Mar</v>
      </c>
      <c r="P4828" s="921">
        <f t="shared" si="485"/>
        <v>13</v>
      </c>
    </row>
    <row r="4829" spans="1:16" ht="15" hidden="1" customHeight="1">
      <c r="A4829" s="839">
        <v>84137725</v>
      </c>
      <c r="B4829" s="839">
        <v>5911</v>
      </c>
      <c r="C4829" s="906">
        <v>3741</v>
      </c>
      <c r="D4829" s="907">
        <v>46104</v>
      </c>
      <c r="E4829" s="839" t="s">
        <v>278</v>
      </c>
      <c r="F4829" s="839" t="s">
        <v>279</v>
      </c>
      <c r="G4829" s="916">
        <f>VLOOKUP($A4829,'Tech Litons'!$A:$I,8,FALSE)</f>
        <v>3.7853439999999999E-3</v>
      </c>
      <c r="H4829" s="917">
        <f>VLOOKUP($A4829,'Tech Litons'!$A:$I,9,FALSE)</f>
        <v>240</v>
      </c>
      <c r="I4829" s="917" t="str">
        <f>VLOOKUP($A4829,'Tech Litons'!$A:$C,3,0)</f>
        <v>BJ PTS</v>
      </c>
      <c r="J4829" s="918" t="str">
        <f t="shared" si="480"/>
        <v>5911BJ PTS</v>
      </c>
      <c r="K4829" s="919">
        <v>1</v>
      </c>
      <c r="L4829" s="920">
        <f t="shared" si="481"/>
        <v>3741</v>
      </c>
      <c r="M4829" s="920">
        <f t="shared" si="482"/>
        <v>14.160971904</v>
      </c>
      <c r="N4829" s="920">
        <f t="shared" si="483"/>
        <v>15.5875</v>
      </c>
      <c r="O4829" s="918" t="str">
        <f t="shared" si="484"/>
        <v>Mar</v>
      </c>
      <c r="P4829" s="921">
        <f t="shared" si="485"/>
        <v>13</v>
      </c>
    </row>
    <row r="4830" spans="1:16" ht="15" hidden="1" customHeight="1">
      <c r="A4830" s="839">
        <v>84141102</v>
      </c>
      <c r="B4830" s="839">
        <v>5911</v>
      </c>
      <c r="C4830" s="906">
        <v>7680</v>
      </c>
      <c r="D4830" s="907">
        <v>46090</v>
      </c>
      <c r="E4830" s="839" t="s">
        <v>374</v>
      </c>
      <c r="F4830" s="839" t="s">
        <v>301</v>
      </c>
      <c r="G4830" s="916">
        <f>VLOOKUP($A4830,'Tech Litons'!$A:$I,8,FALSE)</f>
        <v>3.7853439999999999E-3</v>
      </c>
      <c r="H4830" s="917">
        <f>VLOOKUP($A4830,'Tech Litons'!$A:$I,9,FALSE)</f>
        <v>240</v>
      </c>
      <c r="I4830" s="917" t="str">
        <f>VLOOKUP($A4830,'Tech Litons'!$A:$C,3,0)</f>
        <v>BJ PTS</v>
      </c>
      <c r="J4830" s="918" t="str">
        <f t="shared" si="480"/>
        <v>5911BJ PTS</v>
      </c>
      <c r="K4830" s="919">
        <v>1</v>
      </c>
      <c r="L4830" s="920">
        <f t="shared" si="481"/>
        <v>7680</v>
      </c>
      <c r="M4830" s="920">
        <f t="shared" si="482"/>
        <v>29.071441919999998</v>
      </c>
      <c r="N4830" s="920">
        <f t="shared" si="483"/>
        <v>32</v>
      </c>
      <c r="O4830" s="918" t="str">
        <f t="shared" si="484"/>
        <v>Mar</v>
      </c>
      <c r="P4830" s="921">
        <f t="shared" si="485"/>
        <v>11</v>
      </c>
    </row>
    <row r="4831" spans="1:16" ht="15" hidden="1" customHeight="1">
      <c r="A4831" s="839">
        <v>84141102</v>
      </c>
      <c r="B4831" s="839">
        <v>5911</v>
      </c>
      <c r="C4831" s="906">
        <v>42480</v>
      </c>
      <c r="D4831" s="907">
        <v>46091</v>
      </c>
      <c r="E4831" s="839" t="s">
        <v>374</v>
      </c>
      <c r="F4831" s="839" t="s">
        <v>301</v>
      </c>
      <c r="G4831" s="916">
        <f>VLOOKUP($A4831,'Tech Litons'!$A:$I,8,FALSE)</f>
        <v>3.7853439999999999E-3</v>
      </c>
      <c r="H4831" s="917">
        <f>VLOOKUP($A4831,'Tech Litons'!$A:$I,9,FALSE)</f>
        <v>240</v>
      </c>
      <c r="I4831" s="917" t="str">
        <f>VLOOKUP($A4831,'Tech Litons'!$A:$C,3,0)</f>
        <v>BJ PTS</v>
      </c>
      <c r="J4831" s="918" t="str">
        <f t="shared" si="480"/>
        <v>5911BJ PTS</v>
      </c>
      <c r="K4831" s="919">
        <v>1</v>
      </c>
      <c r="L4831" s="920">
        <f t="shared" si="481"/>
        <v>42480</v>
      </c>
      <c r="M4831" s="920">
        <f t="shared" si="482"/>
        <v>160.80141312000001</v>
      </c>
      <c r="N4831" s="920">
        <f t="shared" si="483"/>
        <v>177</v>
      </c>
      <c r="O4831" s="918" t="str">
        <f t="shared" si="484"/>
        <v>Mar</v>
      </c>
      <c r="P4831" s="921">
        <f t="shared" si="485"/>
        <v>11</v>
      </c>
    </row>
    <row r="4832" spans="1:16" ht="15" hidden="1" customHeight="1">
      <c r="A4832" s="839">
        <v>84141102</v>
      </c>
      <c r="B4832" s="839">
        <v>5911</v>
      </c>
      <c r="C4832" s="906">
        <v>4320</v>
      </c>
      <c r="D4832" s="907">
        <v>46092</v>
      </c>
      <c r="E4832" s="839" t="s">
        <v>374</v>
      </c>
      <c r="F4832" s="839" t="s">
        <v>301</v>
      </c>
      <c r="G4832" s="916">
        <f>VLOOKUP($A4832,'Tech Litons'!$A:$I,8,FALSE)</f>
        <v>3.7853439999999999E-3</v>
      </c>
      <c r="H4832" s="917">
        <f>VLOOKUP($A4832,'Tech Litons'!$A:$I,9,FALSE)</f>
        <v>240</v>
      </c>
      <c r="I4832" s="917" t="str">
        <f>VLOOKUP($A4832,'Tech Litons'!$A:$C,3,0)</f>
        <v>BJ PTS</v>
      </c>
      <c r="J4832" s="918" t="str">
        <f t="shared" si="480"/>
        <v>5911BJ PTS</v>
      </c>
      <c r="K4832" s="919">
        <v>1</v>
      </c>
      <c r="L4832" s="920">
        <f t="shared" si="481"/>
        <v>4320</v>
      </c>
      <c r="M4832" s="920">
        <f t="shared" si="482"/>
        <v>16.352686079999998</v>
      </c>
      <c r="N4832" s="920">
        <f t="shared" si="483"/>
        <v>18</v>
      </c>
      <c r="O4832" s="918" t="str">
        <f t="shared" si="484"/>
        <v>Mar</v>
      </c>
      <c r="P4832" s="921">
        <f t="shared" si="485"/>
        <v>11</v>
      </c>
    </row>
    <row r="4833" spans="1:16" ht="15" hidden="1" customHeight="1">
      <c r="A4833" s="839">
        <v>84141102</v>
      </c>
      <c r="B4833" s="839">
        <v>5911</v>
      </c>
      <c r="C4833" s="906">
        <v>39600</v>
      </c>
      <c r="D4833" s="907">
        <v>46092</v>
      </c>
      <c r="E4833" s="839" t="s">
        <v>374</v>
      </c>
      <c r="F4833" s="839" t="s">
        <v>301</v>
      </c>
      <c r="G4833" s="916">
        <f>VLOOKUP($A4833,'Tech Litons'!$A:$I,8,FALSE)</f>
        <v>3.7853439999999999E-3</v>
      </c>
      <c r="H4833" s="917">
        <f>VLOOKUP($A4833,'Tech Litons'!$A:$I,9,FALSE)</f>
        <v>240</v>
      </c>
      <c r="I4833" s="917" t="str">
        <f>VLOOKUP($A4833,'Tech Litons'!$A:$C,3,0)</f>
        <v>BJ PTS</v>
      </c>
      <c r="J4833" s="918" t="str">
        <f t="shared" si="480"/>
        <v>5911BJ PTS</v>
      </c>
      <c r="K4833" s="919">
        <v>1</v>
      </c>
      <c r="L4833" s="920">
        <f t="shared" si="481"/>
        <v>39600</v>
      </c>
      <c r="M4833" s="920">
        <f t="shared" si="482"/>
        <v>149.8996224</v>
      </c>
      <c r="N4833" s="920">
        <f t="shared" si="483"/>
        <v>165</v>
      </c>
      <c r="O4833" s="918" t="str">
        <f t="shared" si="484"/>
        <v>Mar</v>
      </c>
      <c r="P4833" s="921">
        <f t="shared" si="485"/>
        <v>11</v>
      </c>
    </row>
    <row r="4834" spans="1:16" ht="15" hidden="1" customHeight="1">
      <c r="A4834" s="839">
        <v>84141102</v>
      </c>
      <c r="B4834" s="839">
        <v>5911</v>
      </c>
      <c r="C4834" s="906">
        <v>19002</v>
      </c>
      <c r="D4834" s="907">
        <v>46093</v>
      </c>
      <c r="E4834" s="839" t="s">
        <v>374</v>
      </c>
      <c r="F4834" s="839" t="s">
        <v>301</v>
      </c>
      <c r="G4834" s="916">
        <f>VLOOKUP($A4834,'Tech Litons'!$A:$I,8,FALSE)</f>
        <v>3.7853439999999999E-3</v>
      </c>
      <c r="H4834" s="917">
        <f>VLOOKUP($A4834,'Tech Litons'!$A:$I,9,FALSE)</f>
        <v>240</v>
      </c>
      <c r="I4834" s="917" t="str">
        <f>VLOOKUP($A4834,'Tech Litons'!$A:$C,3,0)</f>
        <v>BJ PTS</v>
      </c>
      <c r="J4834" s="918" t="str">
        <f t="shared" si="480"/>
        <v>5911BJ PTS</v>
      </c>
      <c r="K4834" s="919">
        <v>1</v>
      </c>
      <c r="L4834" s="920">
        <f t="shared" si="481"/>
        <v>19002</v>
      </c>
      <c r="M4834" s="920">
        <f t="shared" si="482"/>
        <v>71.929106688000005</v>
      </c>
      <c r="N4834" s="920">
        <f t="shared" si="483"/>
        <v>79.174999999999997</v>
      </c>
      <c r="O4834" s="918" t="str">
        <f t="shared" si="484"/>
        <v>Mar</v>
      </c>
      <c r="P4834" s="921">
        <f t="shared" si="485"/>
        <v>11</v>
      </c>
    </row>
    <row r="4835" spans="1:16" ht="15" hidden="1" customHeight="1">
      <c r="A4835" s="839">
        <v>84141102</v>
      </c>
      <c r="B4835" s="839">
        <v>5911</v>
      </c>
      <c r="C4835" s="906">
        <v>5894</v>
      </c>
      <c r="D4835" s="907">
        <v>46076</v>
      </c>
      <c r="E4835" s="839" t="s">
        <v>374</v>
      </c>
      <c r="F4835" s="839" t="s">
        <v>301</v>
      </c>
      <c r="G4835" s="916">
        <f>VLOOKUP($A4835,'Tech Litons'!$A:$I,8,FALSE)</f>
        <v>3.7853439999999999E-3</v>
      </c>
      <c r="H4835" s="917">
        <f>VLOOKUP($A4835,'Tech Litons'!$A:$I,9,FALSE)</f>
        <v>240</v>
      </c>
      <c r="I4835" s="917" t="str">
        <f>VLOOKUP($A4835,'Tech Litons'!$A:$C,3,0)</f>
        <v>BJ PTS</v>
      </c>
      <c r="J4835" s="918" t="str">
        <f t="shared" si="480"/>
        <v>5911BJ PTS</v>
      </c>
      <c r="K4835" s="919">
        <v>1</v>
      </c>
      <c r="L4835" s="920">
        <f t="shared" si="481"/>
        <v>5894</v>
      </c>
      <c r="M4835" s="920">
        <f t="shared" si="482"/>
        <v>22.310817535999998</v>
      </c>
      <c r="N4835" s="920">
        <f t="shared" si="483"/>
        <v>24.558333333333334</v>
      </c>
      <c r="O4835" s="918" t="str">
        <f t="shared" si="484"/>
        <v>Feb</v>
      </c>
      <c r="P4835" s="921">
        <f t="shared" si="485"/>
        <v>9</v>
      </c>
    </row>
    <row r="4836" spans="1:16" ht="15" hidden="1" customHeight="1">
      <c r="A4836" s="839">
        <v>84141103</v>
      </c>
      <c r="B4836" s="839">
        <v>5911</v>
      </c>
      <c r="C4836" s="906">
        <v>480</v>
      </c>
      <c r="D4836" s="907">
        <v>46079</v>
      </c>
      <c r="E4836" s="839" t="s">
        <v>314</v>
      </c>
      <c r="F4836" s="839" t="s">
        <v>301</v>
      </c>
      <c r="G4836" s="916">
        <f>VLOOKUP($A4836,'Tech Litons'!$A:$I,8,FALSE)</f>
        <v>3.7853439999999999E-3</v>
      </c>
      <c r="H4836" s="917">
        <f>VLOOKUP($A4836,'Tech Litons'!$A:$I,9,FALSE)</f>
        <v>240</v>
      </c>
      <c r="I4836" s="917" t="str">
        <f>VLOOKUP($A4836,'Tech Litons'!$A:$C,3,0)</f>
        <v>BJ PTS</v>
      </c>
      <c r="J4836" s="918" t="str">
        <f t="shared" si="480"/>
        <v>5911BJ PTS</v>
      </c>
      <c r="K4836" s="919">
        <v>1</v>
      </c>
      <c r="L4836" s="920">
        <f t="shared" si="481"/>
        <v>480</v>
      </c>
      <c r="M4836" s="920">
        <f t="shared" si="482"/>
        <v>1.8169651199999999</v>
      </c>
      <c r="N4836" s="920">
        <f t="shared" si="483"/>
        <v>2</v>
      </c>
      <c r="O4836" s="918" t="str">
        <f t="shared" si="484"/>
        <v>Feb</v>
      </c>
      <c r="P4836" s="921">
        <f t="shared" si="485"/>
        <v>9</v>
      </c>
    </row>
    <row r="4837" spans="1:16" ht="15" hidden="1" customHeight="1">
      <c r="A4837" s="839">
        <v>84141103</v>
      </c>
      <c r="B4837" s="839">
        <v>5911</v>
      </c>
      <c r="C4837" s="906">
        <v>34320</v>
      </c>
      <c r="D4837" s="907">
        <v>46080</v>
      </c>
      <c r="E4837" s="839" t="s">
        <v>314</v>
      </c>
      <c r="F4837" s="839" t="s">
        <v>301</v>
      </c>
      <c r="G4837" s="916">
        <f>VLOOKUP($A4837,'Tech Litons'!$A:$I,8,FALSE)</f>
        <v>3.7853439999999999E-3</v>
      </c>
      <c r="H4837" s="917">
        <f>VLOOKUP($A4837,'Tech Litons'!$A:$I,9,FALSE)</f>
        <v>240</v>
      </c>
      <c r="I4837" s="917" t="str">
        <f>VLOOKUP($A4837,'Tech Litons'!$A:$C,3,0)</f>
        <v>BJ PTS</v>
      </c>
      <c r="J4837" s="918" t="str">
        <f t="shared" si="480"/>
        <v>5911BJ PTS</v>
      </c>
      <c r="K4837" s="919">
        <v>1</v>
      </c>
      <c r="L4837" s="920">
        <f t="shared" si="481"/>
        <v>34320</v>
      </c>
      <c r="M4837" s="920">
        <f t="shared" si="482"/>
        <v>129.91300608</v>
      </c>
      <c r="N4837" s="920">
        <f t="shared" si="483"/>
        <v>143</v>
      </c>
      <c r="O4837" s="918" t="str">
        <f t="shared" si="484"/>
        <v>Feb</v>
      </c>
      <c r="P4837" s="921">
        <f t="shared" si="485"/>
        <v>9</v>
      </c>
    </row>
    <row r="4838" spans="1:16" ht="15" hidden="1" customHeight="1">
      <c r="A4838" s="839">
        <v>84141103</v>
      </c>
      <c r="B4838" s="839">
        <v>5911</v>
      </c>
      <c r="C4838" s="906">
        <v>3600</v>
      </c>
      <c r="D4838" s="907">
        <v>46080</v>
      </c>
      <c r="E4838" s="839" t="s">
        <v>314</v>
      </c>
      <c r="F4838" s="839" t="s">
        <v>301</v>
      </c>
      <c r="G4838" s="916">
        <f>VLOOKUP($A4838,'Tech Litons'!$A:$I,8,FALSE)</f>
        <v>3.7853439999999999E-3</v>
      </c>
      <c r="H4838" s="917">
        <f>VLOOKUP($A4838,'Tech Litons'!$A:$I,9,FALSE)</f>
        <v>240</v>
      </c>
      <c r="I4838" s="917" t="str">
        <f>VLOOKUP($A4838,'Tech Litons'!$A:$C,3,0)</f>
        <v>BJ PTS</v>
      </c>
      <c r="J4838" s="918" t="str">
        <f t="shared" si="480"/>
        <v>5911BJ PTS</v>
      </c>
      <c r="K4838" s="919">
        <v>1</v>
      </c>
      <c r="L4838" s="920">
        <f t="shared" si="481"/>
        <v>3600</v>
      </c>
      <c r="M4838" s="920">
        <f t="shared" si="482"/>
        <v>13.6272384</v>
      </c>
      <c r="N4838" s="920">
        <f t="shared" si="483"/>
        <v>15</v>
      </c>
      <c r="O4838" s="918" t="str">
        <f t="shared" si="484"/>
        <v>Feb</v>
      </c>
      <c r="P4838" s="921">
        <f t="shared" si="485"/>
        <v>9</v>
      </c>
    </row>
    <row r="4839" spans="1:16" ht="15" hidden="1" customHeight="1">
      <c r="A4839" s="839">
        <v>84141103</v>
      </c>
      <c r="B4839" s="839">
        <v>5911</v>
      </c>
      <c r="C4839" s="906">
        <v>45120</v>
      </c>
      <c r="D4839" s="907">
        <v>46081</v>
      </c>
      <c r="E4839" s="839" t="s">
        <v>314</v>
      </c>
      <c r="F4839" s="839" t="s">
        <v>301</v>
      </c>
      <c r="G4839" s="916">
        <f>VLOOKUP($A4839,'Tech Litons'!$A:$I,8,FALSE)</f>
        <v>3.7853439999999999E-3</v>
      </c>
      <c r="H4839" s="917">
        <f>VLOOKUP($A4839,'Tech Litons'!$A:$I,9,FALSE)</f>
        <v>240</v>
      </c>
      <c r="I4839" s="917" t="str">
        <f>VLOOKUP($A4839,'Tech Litons'!$A:$C,3,0)</f>
        <v>BJ PTS</v>
      </c>
      <c r="J4839" s="918" t="str">
        <f t="shared" si="480"/>
        <v>5911BJ PTS</v>
      </c>
      <c r="K4839" s="919">
        <v>1</v>
      </c>
      <c r="L4839" s="920">
        <f t="shared" si="481"/>
        <v>45120</v>
      </c>
      <c r="M4839" s="920">
        <f t="shared" si="482"/>
        <v>170.79472128</v>
      </c>
      <c r="N4839" s="920">
        <f t="shared" si="483"/>
        <v>188</v>
      </c>
      <c r="O4839" s="918" t="str">
        <f t="shared" si="484"/>
        <v>Feb</v>
      </c>
      <c r="P4839" s="921">
        <f t="shared" si="485"/>
        <v>9</v>
      </c>
    </row>
    <row r="4840" spans="1:16" ht="15" hidden="1" customHeight="1">
      <c r="A4840" s="839">
        <v>84141103</v>
      </c>
      <c r="B4840" s="839">
        <v>5911</v>
      </c>
      <c r="C4840" s="906">
        <v>24201</v>
      </c>
      <c r="D4840" s="907">
        <v>46082</v>
      </c>
      <c r="E4840" s="839" t="s">
        <v>314</v>
      </c>
      <c r="F4840" s="839" t="s">
        <v>301</v>
      </c>
      <c r="G4840" s="916">
        <f>VLOOKUP($A4840,'Tech Litons'!$A:$I,8,FALSE)</f>
        <v>3.7853439999999999E-3</v>
      </c>
      <c r="H4840" s="917">
        <f>VLOOKUP($A4840,'Tech Litons'!$A:$I,9,FALSE)</f>
        <v>240</v>
      </c>
      <c r="I4840" s="917" t="str">
        <f>VLOOKUP($A4840,'Tech Litons'!$A:$C,3,0)</f>
        <v>BJ PTS</v>
      </c>
      <c r="J4840" s="918" t="str">
        <f t="shared" si="480"/>
        <v>5911BJ PTS</v>
      </c>
      <c r="K4840" s="919">
        <v>1</v>
      </c>
      <c r="L4840" s="920">
        <f t="shared" si="481"/>
        <v>24201</v>
      </c>
      <c r="M4840" s="920">
        <f t="shared" si="482"/>
        <v>91.609110143999999</v>
      </c>
      <c r="N4840" s="920">
        <f t="shared" si="483"/>
        <v>100.83750000000001</v>
      </c>
      <c r="O4840" s="918" t="str">
        <f t="shared" si="484"/>
        <v>Mar</v>
      </c>
      <c r="P4840" s="921">
        <f t="shared" si="485"/>
        <v>10</v>
      </c>
    </row>
    <row r="4841" spans="1:16" ht="15" hidden="1" customHeight="1">
      <c r="A4841" s="839">
        <v>84141103</v>
      </c>
      <c r="B4841" s="839">
        <v>5911</v>
      </c>
      <c r="C4841" s="906">
        <v>30000</v>
      </c>
      <c r="D4841" s="907">
        <v>46094</v>
      </c>
      <c r="E4841" s="839" t="s">
        <v>314</v>
      </c>
      <c r="F4841" s="839" t="s">
        <v>301</v>
      </c>
      <c r="G4841" s="916">
        <f>VLOOKUP($A4841,'Tech Litons'!$A:$I,8,FALSE)</f>
        <v>3.7853439999999999E-3</v>
      </c>
      <c r="H4841" s="917">
        <f>VLOOKUP($A4841,'Tech Litons'!$A:$I,9,FALSE)</f>
        <v>240</v>
      </c>
      <c r="I4841" s="917" t="str">
        <f>VLOOKUP($A4841,'Tech Litons'!$A:$C,3,0)</f>
        <v>BJ PTS</v>
      </c>
      <c r="J4841" s="918" t="str">
        <f t="shared" si="480"/>
        <v>5911BJ PTS</v>
      </c>
      <c r="K4841" s="919">
        <v>1</v>
      </c>
      <c r="L4841" s="920">
        <f t="shared" si="481"/>
        <v>30000</v>
      </c>
      <c r="M4841" s="920">
        <f t="shared" si="482"/>
        <v>113.56032</v>
      </c>
      <c r="N4841" s="920">
        <f t="shared" si="483"/>
        <v>125</v>
      </c>
      <c r="O4841" s="918" t="str">
        <f t="shared" si="484"/>
        <v>Mar</v>
      </c>
      <c r="P4841" s="921">
        <f t="shared" si="485"/>
        <v>11</v>
      </c>
    </row>
    <row r="4842" spans="1:16" ht="15" hidden="1" customHeight="1">
      <c r="A4842" s="839">
        <v>84141103</v>
      </c>
      <c r="B4842" s="839">
        <v>5911</v>
      </c>
      <c r="C4842" s="906">
        <v>12000</v>
      </c>
      <c r="D4842" s="907">
        <v>46095</v>
      </c>
      <c r="E4842" s="839" t="s">
        <v>314</v>
      </c>
      <c r="F4842" s="839" t="s">
        <v>301</v>
      </c>
      <c r="G4842" s="916">
        <f>VLOOKUP($A4842,'Tech Litons'!$A:$I,8,FALSE)</f>
        <v>3.7853439999999999E-3</v>
      </c>
      <c r="H4842" s="917">
        <f>VLOOKUP($A4842,'Tech Litons'!$A:$I,9,FALSE)</f>
        <v>240</v>
      </c>
      <c r="I4842" s="917" t="str">
        <f>VLOOKUP($A4842,'Tech Litons'!$A:$C,3,0)</f>
        <v>BJ PTS</v>
      </c>
      <c r="J4842" s="918" t="str">
        <f t="shared" si="480"/>
        <v>5911BJ PTS</v>
      </c>
      <c r="K4842" s="919">
        <v>1</v>
      </c>
      <c r="L4842" s="920">
        <f t="shared" si="481"/>
        <v>12000</v>
      </c>
      <c r="M4842" s="920">
        <f t="shared" si="482"/>
        <v>45.424127999999996</v>
      </c>
      <c r="N4842" s="920">
        <f t="shared" si="483"/>
        <v>50</v>
      </c>
      <c r="O4842" s="918" t="str">
        <f t="shared" si="484"/>
        <v>Mar</v>
      </c>
      <c r="P4842" s="921">
        <f t="shared" si="485"/>
        <v>11</v>
      </c>
    </row>
    <row r="4843" spans="1:16" ht="15" hidden="1" customHeight="1">
      <c r="A4843" s="839">
        <v>84141103</v>
      </c>
      <c r="B4843" s="839">
        <v>5911</v>
      </c>
      <c r="C4843" s="906">
        <v>26160</v>
      </c>
      <c r="D4843" s="907">
        <v>46095</v>
      </c>
      <c r="E4843" s="839" t="s">
        <v>314</v>
      </c>
      <c r="F4843" s="839" t="s">
        <v>301</v>
      </c>
      <c r="G4843" s="916">
        <f>VLOOKUP($A4843,'Tech Litons'!$A:$I,8,FALSE)</f>
        <v>3.7853439999999999E-3</v>
      </c>
      <c r="H4843" s="917">
        <f>VLOOKUP($A4843,'Tech Litons'!$A:$I,9,FALSE)</f>
        <v>240</v>
      </c>
      <c r="I4843" s="917" t="str">
        <f>VLOOKUP($A4843,'Tech Litons'!$A:$C,3,0)</f>
        <v>BJ PTS</v>
      </c>
      <c r="J4843" s="918" t="str">
        <f t="shared" si="480"/>
        <v>5911BJ PTS</v>
      </c>
      <c r="K4843" s="919">
        <v>1</v>
      </c>
      <c r="L4843" s="920">
        <f t="shared" si="481"/>
        <v>26160</v>
      </c>
      <c r="M4843" s="920">
        <f t="shared" si="482"/>
        <v>99.024599039999998</v>
      </c>
      <c r="N4843" s="920">
        <f t="shared" si="483"/>
        <v>109</v>
      </c>
      <c r="O4843" s="918" t="str">
        <f t="shared" si="484"/>
        <v>Mar</v>
      </c>
      <c r="P4843" s="921">
        <f t="shared" si="485"/>
        <v>11</v>
      </c>
    </row>
    <row r="4844" spans="1:16" ht="15" hidden="1" customHeight="1">
      <c r="A4844" s="839">
        <v>84141103</v>
      </c>
      <c r="B4844" s="839">
        <v>5911</v>
      </c>
      <c r="C4844" s="906">
        <v>34290</v>
      </c>
      <c r="D4844" s="907">
        <v>46096</v>
      </c>
      <c r="E4844" s="839" t="s">
        <v>314</v>
      </c>
      <c r="F4844" s="839" t="s">
        <v>301</v>
      </c>
      <c r="G4844" s="916">
        <f>VLOOKUP($A4844,'Tech Litons'!$A:$I,8,FALSE)</f>
        <v>3.7853439999999999E-3</v>
      </c>
      <c r="H4844" s="917">
        <f>VLOOKUP($A4844,'Tech Litons'!$A:$I,9,FALSE)</f>
        <v>240</v>
      </c>
      <c r="I4844" s="917" t="str">
        <f>VLOOKUP($A4844,'Tech Litons'!$A:$C,3,0)</f>
        <v>BJ PTS</v>
      </c>
      <c r="J4844" s="918" t="str">
        <f t="shared" si="480"/>
        <v>5911BJ PTS</v>
      </c>
      <c r="K4844" s="919">
        <v>1</v>
      </c>
      <c r="L4844" s="920">
        <f t="shared" si="481"/>
        <v>34290</v>
      </c>
      <c r="M4844" s="920">
        <f t="shared" si="482"/>
        <v>129.79944576</v>
      </c>
      <c r="N4844" s="920">
        <f t="shared" si="483"/>
        <v>142.875</v>
      </c>
      <c r="O4844" s="918" t="str">
        <f t="shared" si="484"/>
        <v>Mar</v>
      </c>
      <c r="P4844" s="921">
        <f t="shared" si="485"/>
        <v>12</v>
      </c>
    </row>
    <row r="4845" spans="1:16" ht="15" hidden="1" customHeight="1">
      <c r="A4845" s="839">
        <v>84164936</v>
      </c>
      <c r="B4845" s="839">
        <v>5911</v>
      </c>
      <c r="C4845" s="906">
        <v>15120</v>
      </c>
      <c r="D4845" s="907">
        <v>46097</v>
      </c>
      <c r="E4845" s="839" t="s">
        <v>420</v>
      </c>
      <c r="F4845" s="839" t="s">
        <v>279</v>
      </c>
      <c r="G4845" s="916">
        <f>VLOOKUP($A4845,'Tech Litons'!$A:$I,8,FALSE)</f>
        <v>3.7853439999999999E-3</v>
      </c>
      <c r="H4845" s="917">
        <f>VLOOKUP($A4845,'Tech Litons'!$A:$I,9,FALSE)</f>
        <v>240</v>
      </c>
      <c r="I4845" s="917" t="str">
        <f>VLOOKUP($A4845,'Tech Litons'!$A:$C,3,0)</f>
        <v>BJ PTS</v>
      </c>
      <c r="J4845" s="918" t="str">
        <f t="shared" si="480"/>
        <v>5911BJ PTS</v>
      </c>
      <c r="K4845" s="919">
        <v>1</v>
      </c>
      <c r="L4845" s="920">
        <f t="shared" si="481"/>
        <v>15120</v>
      </c>
      <c r="M4845" s="920">
        <f t="shared" si="482"/>
        <v>57.23440128</v>
      </c>
      <c r="N4845" s="920">
        <f t="shared" si="483"/>
        <v>63</v>
      </c>
      <c r="O4845" s="918" t="str">
        <f t="shared" si="484"/>
        <v>Mar</v>
      </c>
      <c r="P4845" s="921">
        <f t="shared" si="485"/>
        <v>12</v>
      </c>
    </row>
    <row r="4846" spans="1:16" ht="15" hidden="1" customHeight="1">
      <c r="A4846" s="839">
        <v>84164936</v>
      </c>
      <c r="B4846" s="839">
        <v>5911</v>
      </c>
      <c r="C4846" s="906">
        <v>14400</v>
      </c>
      <c r="D4846" s="907">
        <v>46098</v>
      </c>
      <c r="E4846" s="839" t="s">
        <v>420</v>
      </c>
      <c r="F4846" s="839" t="s">
        <v>279</v>
      </c>
      <c r="G4846" s="916">
        <f>VLOOKUP($A4846,'Tech Litons'!$A:$I,8,FALSE)</f>
        <v>3.7853439999999999E-3</v>
      </c>
      <c r="H4846" s="917">
        <f>VLOOKUP($A4846,'Tech Litons'!$A:$I,9,FALSE)</f>
        <v>240</v>
      </c>
      <c r="I4846" s="917" t="str">
        <f>VLOOKUP($A4846,'Tech Litons'!$A:$C,3,0)</f>
        <v>BJ PTS</v>
      </c>
      <c r="J4846" s="918" t="str">
        <f t="shared" si="480"/>
        <v>5911BJ PTS</v>
      </c>
      <c r="K4846" s="919">
        <v>1</v>
      </c>
      <c r="L4846" s="920">
        <f t="shared" si="481"/>
        <v>14400</v>
      </c>
      <c r="M4846" s="920">
        <f t="shared" si="482"/>
        <v>54.508953599999998</v>
      </c>
      <c r="N4846" s="920">
        <f t="shared" si="483"/>
        <v>60</v>
      </c>
      <c r="O4846" s="918" t="str">
        <f t="shared" si="484"/>
        <v>Mar</v>
      </c>
      <c r="P4846" s="921">
        <f t="shared" si="485"/>
        <v>12</v>
      </c>
    </row>
    <row r="4847" spans="1:16" ht="15" hidden="1" customHeight="1">
      <c r="A4847" s="839">
        <v>84164936</v>
      </c>
      <c r="B4847" s="839">
        <v>5911</v>
      </c>
      <c r="C4847" s="906">
        <v>7440</v>
      </c>
      <c r="D4847" s="907">
        <v>46098</v>
      </c>
      <c r="E4847" s="839" t="s">
        <v>420</v>
      </c>
      <c r="F4847" s="839" t="s">
        <v>279</v>
      </c>
      <c r="G4847" s="916">
        <f>VLOOKUP($A4847,'Tech Litons'!$A:$I,8,FALSE)</f>
        <v>3.7853439999999999E-3</v>
      </c>
      <c r="H4847" s="917">
        <f>VLOOKUP($A4847,'Tech Litons'!$A:$I,9,FALSE)</f>
        <v>240</v>
      </c>
      <c r="I4847" s="917" t="str">
        <f>VLOOKUP($A4847,'Tech Litons'!$A:$C,3,0)</f>
        <v>BJ PTS</v>
      </c>
      <c r="J4847" s="918" t="str">
        <f t="shared" si="480"/>
        <v>5911BJ PTS</v>
      </c>
      <c r="K4847" s="919">
        <v>1</v>
      </c>
      <c r="L4847" s="920">
        <f t="shared" si="481"/>
        <v>7440</v>
      </c>
      <c r="M4847" s="920">
        <f t="shared" si="482"/>
        <v>28.162959359999999</v>
      </c>
      <c r="N4847" s="920">
        <f t="shared" si="483"/>
        <v>31</v>
      </c>
      <c r="O4847" s="918" t="str">
        <f t="shared" si="484"/>
        <v>Mar</v>
      </c>
      <c r="P4847" s="921">
        <f t="shared" si="485"/>
        <v>12</v>
      </c>
    </row>
    <row r="4848" spans="1:16" ht="15" hidden="1" customHeight="1">
      <c r="A4848" s="839">
        <v>84164936</v>
      </c>
      <c r="B4848" s="839">
        <v>5911</v>
      </c>
      <c r="C4848" s="906">
        <v>41760</v>
      </c>
      <c r="D4848" s="907">
        <v>46099</v>
      </c>
      <c r="E4848" s="839" t="s">
        <v>420</v>
      </c>
      <c r="F4848" s="839" t="s">
        <v>279</v>
      </c>
      <c r="G4848" s="916">
        <f>VLOOKUP($A4848,'Tech Litons'!$A:$I,8,FALSE)</f>
        <v>3.7853439999999999E-3</v>
      </c>
      <c r="H4848" s="917">
        <f>VLOOKUP($A4848,'Tech Litons'!$A:$I,9,FALSE)</f>
        <v>240</v>
      </c>
      <c r="I4848" s="917" t="str">
        <f>VLOOKUP($A4848,'Tech Litons'!$A:$C,3,0)</f>
        <v>BJ PTS</v>
      </c>
      <c r="J4848" s="918" t="str">
        <f t="shared" si="480"/>
        <v>5911BJ PTS</v>
      </c>
      <c r="K4848" s="919">
        <v>1</v>
      </c>
      <c r="L4848" s="920">
        <f t="shared" si="481"/>
        <v>41760</v>
      </c>
      <c r="M4848" s="920">
        <f t="shared" si="482"/>
        <v>158.07596544</v>
      </c>
      <c r="N4848" s="920">
        <f t="shared" si="483"/>
        <v>174</v>
      </c>
      <c r="O4848" s="918" t="str">
        <f t="shared" si="484"/>
        <v>Mar</v>
      </c>
      <c r="P4848" s="921">
        <f t="shared" si="485"/>
        <v>12</v>
      </c>
    </row>
    <row r="4849" spans="1:16" ht="15" hidden="1" customHeight="1">
      <c r="A4849" s="839">
        <v>84164936</v>
      </c>
      <c r="B4849" s="839">
        <v>5911</v>
      </c>
      <c r="C4849" s="906">
        <v>15924</v>
      </c>
      <c r="D4849" s="907">
        <v>46100</v>
      </c>
      <c r="E4849" s="839" t="s">
        <v>420</v>
      </c>
      <c r="F4849" s="839" t="s">
        <v>279</v>
      </c>
      <c r="G4849" s="916">
        <f>VLOOKUP($A4849,'Tech Litons'!$A:$I,8,FALSE)</f>
        <v>3.7853439999999999E-3</v>
      </c>
      <c r="H4849" s="917">
        <f>VLOOKUP($A4849,'Tech Litons'!$A:$I,9,FALSE)</f>
        <v>240</v>
      </c>
      <c r="I4849" s="917" t="str">
        <f>VLOOKUP($A4849,'Tech Litons'!$A:$C,3,0)</f>
        <v>BJ PTS</v>
      </c>
      <c r="J4849" s="918" t="str">
        <f t="shared" si="480"/>
        <v>5911BJ PTS</v>
      </c>
      <c r="K4849" s="919">
        <v>1</v>
      </c>
      <c r="L4849" s="920">
        <f t="shared" si="481"/>
        <v>15924</v>
      </c>
      <c r="M4849" s="920">
        <f t="shared" si="482"/>
        <v>60.277817855999999</v>
      </c>
      <c r="N4849" s="920">
        <f t="shared" si="483"/>
        <v>66.349999999999994</v>
      </c>
      <c r="O4849" s="918" t="str">
        <f t="shared" si="484"/>
        <v>Mar</v>
      </c>
      <c r="P4849" s="921">
        <f t="shared" si="485"/>
        <v>12</v>
      </c>
    </row>
    <row r="4850" spans="1:16" ht="15" hidden="1" customHeight="1">
      <c r="A4850" s="839">
        <v>65434831</v>
      </c>
      <c r="B4850" s="839">
        <v>5914</v>
      </c>
      <c r="C4850" s="906">
        <v>14880</v>
      </c>
      <c r="D4850" s="907">
        <v>46084</v>
      </c>
      <c r="E4850" s="839" t="s">
        <v>1248</v>
      </c>
      <c r="F4850" s="839" t="s">
        <v>303</v>
      </c>
      <c r="G4850" s="916">
        <f>VLOOKUP($A4850,'Tech Litons'!$A:$I,8,FALSE)</f>
        <v>3.7839999999999996E-3</v>
      </c>
      <c r="H4850" s="917">
        <f>VLOOKUP($A4850,'Tech Litons'!$A:$I,9,FALSE)</f>
        <v>240</v>
      </c>
      <c r="I4850" s="917" t="str">
        <f>VLOOKUP($A4850,'Tech Litons'!$A:$C,3,0)</f>
        <v>BJ PTS</v>
      </c>
      <c r="J4850" s="918" t="str">
        <f t="shared" ref="J4850:J4913" si="486">B4850&amp;I4850</f>
        <v>5914BJ PTS</v>
      </c>
      <c r="K4850" s="919">
        <v>1</v>
      </c>
      <c r="L4850" s="920">
        <f t="shared" ref="L4850:L4913" si="487">C4850*$K4850</f>
        <v>14880</v>
      </c>
      <c r="M4850" s="920">
        <f t="shared" ref="M4850:M4913" si="488">L4850*G4850</f>
        <v>56.305919999999993</v>
      </c>
      <c r="N4850" s="920">
        <f t="shared" ref="N4850:N4913" si="489">L4850/H4850</f>
        <v>62</v>
      </c>
      <c r="O4850" s="918" t="str">
        <f t="shared" ref="O4850:O4913" si="490">TEXT(D4850,"MMM")</f>
        <v>Mar</v>
      </c>
      <c r="P4850" s="921">
        <f t="shared" ref="P4850:P4913" si="491">WEEKNUM(D4850)</f>
        <v>10</v>
      </c>
    </row>
    <row r="4851" spans="1:16" ht="15" hidden="1" customHeight="1">
      <c r="A4851" s="839">
        <v>65434831</v>
      </c>
      <c r="B4851" s="839">
        <v>5914</v>
      </c>
      <c r="C4851" s="906">
        <v>20147</v>
      </c>
      <c r="D4851" s="907">
        <v>46085</v>
      </c>
      <c r="E4851" s="839" t="s">
        <v>1248</v>
      </c>
      <c r="F4851" s="839" t="s">
        <v>303</v>
      </c>
      <c r="G4851" s="916">
        <f>VLOOKUP($A4851,'Tech Litons'!$A:$I,8,FALSE)</f>
        <v>3.7839999999999996E-3</v>
      </c>
      <c r="H4851" s="917">
        <f>VLOOKUP($A4851,'Tech Litons'!$A:$I,9,FALSE)</f>
        <v>240</v>
      </c>
      <c r="I4851" s="917" t="str">
        <f>VLOOKUP($A4851,'Tech Litons'!$A:$C,3,0)</f>
        <v>BJ PTS</v>
      </c>
      <c r="J4851" s="918" t="str">
        <f t="shared" si="486"/>
        <v>5914BJ PTS</v>
      </c>
      <c r="K4851" s="919">
        <v>1</v>
      </c>
      <c r="L4851" s="920">
        <f t="shared" si="487"/>
        <v>20147</v>
      </c>
      <c r="M4851" s="920">
        <f t="shared" si="488"/>
        <v>76.236247999999989</v>
      </c>
      <c r="N4851" s="920">
        <f t="shared" si="489"/>
        <v>83.94583333333334</v>
      </c>
      <c r="O4851" s="918" t="str">
        <f t="shared" si="490"/>
        <v>Mar</v>
      </c>
      <c r="P4851" s="921">
        <f t="shared" si="491"/>
        <v>10</v>
      </c>
    </row>
    <row r="4852" spans="1:16" ht="15" hidden="1" customHeight="1">
      <c r="A4852" s="839">
        <v>67430513</v>
      </c>
      <c r="B4852" s="839">
        <v>5914</v>
      </c>
      <c r="C4852" s="906">
        <v>8880</v>
      </c>
      <c r="D4852" s="907">
        <v>46079</v>
      </c>
      <c r="E4852" s="839" t="s">
        <v>308</v>
      </c>
      <c r="F4852" s="839" t="s">
        <v>303</v>
      </c>
      <c r="G4852" s="916">
        <f>VLOOKUP($A4852,'Tech Litons'!$A:$I,8,FALSE)</f>
        <v>3.7839999999999996E-3</v>
      </c>
      <c r="H4852" s="917">
        <f>VLOOKUP($A4852,'Tech Litons'!$A:$I,9,FALSE)</f>
        <v>240</v>
      </c>
      <c r="I4852" s="917" t="str">
        <f>VLOOKUP($A4852,'Tech Litons'!$A:$C,3,0)</f>
        <v>BJ PTS</v>
      </c>
      <c r="J4852" s="918" t="str">
        <f t="shared" si="486"/>
        <v>5914BJ PTS</v>
      </c>
      <c r="K4852" s="919">
        <v>1</v>
      </c>
      <c r="L4852" s="920">
        <f t="shared" si="487"/>
        <v>8880</v>
      </c>
      <c r="M4852" s="920">
        <f t="shared" si="488"/>
        <v>33.60192</v>
      </c>
      <c r="N4852" s="920">
        <f t="shared" si="489"/>
        <v>37</v>
      </c>
      <c r="O4852" s="918" t="str">
        <f t="shared" si="490"/>
        <v>Feb</v>
      </c>
      <c r="P4852" s="921">
        <f t="shared" si="491"/>
        <v>9</v>
      </c>
    </row>
    <row r="4853" spans="1:16" ht="15" hidden="1" customHeight="1">
      <c r="A4853" s="839">
        <v>67430513</v>
      </c>
      <c r="B4853" s="839">
        <v>5914</v>
      </c>
      <c r="C4853" s="906">
        <v>30000</v>
      </c>
      <c r="D4853" s="907">
        <v>46080</v>
      </c>
      <c r="E4853" s="839" t="s">
        <v>308</v>
      </c>
      <c r="F4853" s="839" t="s">
        <v>303</v>
      </c>
      <c r="G4853" s="916">
        <f>VLOOKUP($A4853,'Tech Litons'!$A:$I,8,FALSE)</f>
        <v>3.7839999999999996E-3</v>
      </c>
      <c r="H4853" s="917">
        <f>VLOOKUP($A4853,'Tech Litons'!$A:$I,9,FALSE)</f>
        <v>240</v>
      </c>
      <c r="I4853" s="917" t="str">
        <f>VLOOKUP($A4853,'Tech Litons'!$A:$C,3,0)</f>
        <v>BJ PTS</v>
      </c>
      <c r="J4853" s="918" t="str">
        <f t="shared" si="486"/>
        <v>5914BJ PTS</v>
      </c>
      <c r="K4853" s="919">
        <v>1</v>
      </c>
      <c r="L4853" s="920">
        <f t="shared" si="487"/>
        <v>30000</v>
      </c>
      <c r="M4853" s="920">
        <f t="shared" si="488"/>
        <v>113.51999999999998</v>
      </c>
      <c r="N4853" s="920">
        <f t="shared" si="489"/>
        <v>125</v>
      </c>
      <c r="O4853" s="918" t="str">
        <f t="shared" si="490"/>
        <v>Feb</v>
      </c>
      <c r="P4853" s="921">
        <f t="shared" si="491"/>
        <v>9</v>
      </c>
    </row>
    <row r="4854" spans="1:16" ht="15" hidden="1" customHeight="1">
      <c r="A4854" s="839">
        <v>67430513</v>
      </c>
      <c r="B4854" s="839">
        <v>5914</v>
      </c>
      <c r="C4854" s="906">
        <v>25920</v>
      </c>
      <c r="D4854" s="907">
        <v>46081</v>
      </c>
      <c r="E4854" s="839" t="s">
        <v>308</v>
      </c>
      <c r="F4854" s="839" t="s">
        <v>303</v>
      </c>
      <c r="G4854" s="916">
        <f>VLOOKUP($A4854,'Tech Litons'!$A:$I,8,FALSE)</f>
        <v>3.7839999999999996E-3</v>
      </c>
      <c r="H4854" s="917">
        <f>VLOOKUP($A4854,'Tech Litons'!$A:$I,9,FALSE)</f>
        <v>240</v>
      </c>
      <c r="I4854" s="917" t="str">
        <f>VLOOKUP($A4854,'Tech Litons'!$A:$C,3,0)</f>
        <v>BJ PTS</v>
      </c>
      <c r="J4854" s="918" t="str">
        <f t="shared" si="486"/>
        <v>5914BJ PTS</v>
      </c>
      <c r="K4854" s="919">
        <v>1</v>
      </c>
      <c r="L4854" s="920">
        <f t="shared" si="487"/>
        <v>25920</v>
      </c>
      <c r="M4854" s="920">
        <f t="shared" si="488"/>
        <v>98.081279999999992</v>
      </c>
      <c r="N4854" s="920">
        <f t="shared" si="489"/>
        <v>108</v>
      </c>
      <c r="O4854" s="918" t="str">
        <f t="shared" si="490"/>
        <v>Feb</v>
      </c>
      <c r="P4854" s="921">
        <f t="shared" si="491"/>
        <v>9</v>
      </c>
    </row>
    <row r="4855" spans="1:16" ht="15" hidden="1" customHeight="1">
      <c r="A4855" s="839">
        <v>67546042</v>
      </c>
      <c r="B4855" s="839">
        <v>5914</v>
      </c>
      <c r="C4855" s="906">
        <v>2160</v>
      </c>
      <c r="D4855" s="907">
        <v>46077</v>
      </c>
      <c r="E4855" s="839" t="s">
        <v>397</v>
      </c>
      <c r="F4855" s="839" t="s">
        <v>303</v>
      </c>
      <c r="G4855" s="916">
        <f>VLOOKUP($A4855,'Tech Litons'!$A:$I,8,FALSE)</f>
        <v>3.7853439999999999E-3</v>
      </c>
      <c r="H4855" s="917">
        <f>VLOOKUP($A4855,'Tech Litons'!$A:$I,9,FALSE)</f>
        <v>240</v>
      </c>
      <c r="I4855" s="917" t="str">
        <f>VLOOKUP($A4855,'Tech Litons'!$A:$C,3,0)</f>
        <v>BJ PTS</v>
      </c>
      <c r="J4855" s="918" t="str">
        <f t="shared" si="486"/>
        <v>5914BJ PTS</v>
      </c>
      <c r="K4855" s="919">
        <v>1</v>
      </c>
      <c r="L4855" s="920">
        <f t="shared" si="487"/>
        <v>2160</v>
      </c>
      <c r="M4855" s="920">
        <f t="shared" si="488"/>
        <v>8.176343039999999</v>
      </c>
      <c r="N4855" s="920">
        <f t="shared" si="489"/>
        <v>9</v>
      </c>
      <c r="O4855" s="918" t="str">
        <f t="shared" si="490"/>
        <v>Feb</v>
      </c>
      <c r="P4855" s="921">
        <f t="shared" si="491"/>
        <v>9</v>
      </c>
    </row>
    <row r="4856" spans="1:16" ht="15" hidden="1" customHeight="1">
      <c r="A4856" s="839">
        <v>67546042</v>
      </c>
      <c r="B4856" s="839">
        <v>5914</v>
      </c>
      <c r="C4856" s="906">
        <v>25125</v>
      </c>
      <c r="D4856" s="907">
        <v>46078</v>
      </c>
      <c r="E4856" s="839" t="s">
        <v>397</v>
      </c>
      <c r="F4856" s="839" t="s">
        <v>303</v>
      </c>
      <c r="G4856" s="916">
        <f>VLOOKUP($A4856,'Tech Litons'!$A:$I,8,FALSE)</f>
        <v>3.7853439999999999E-3</v>
      </c>
      <c r="H4856" s="917">
        <f>VLOOKUP($A4856,'Tech Litons'!$A:$I,9,FALSE)</f>
        <v>240</v>
      </c>
      <c r="I4856" s="917" t="str">
        <f>VLOOKUP($A4856,'Tech Litons'!$A:$C,3,0)</f>
        <v>BJ PTS</v>
      </c>
      <c r="J4856" s="918" t="str">
        <f t="shared" si="486"/>
        <v>5914BJ PTS</v>
      </c>
      <c r="K4856" s="919">
        <v>1</v>
      </c>
      <c r="L4856" s="920">
        <f t="shared" si="487"/>
        <v>25125</v>
      </c>
      <c r="M4856" s="920">
        <f t="shared" si="488"/>
        <v>95.106768000000002</v>
      </c>
      <c r="N4856" s="920">
        <f t="shared" si="489"/>
        <v>104.6875</v>
      </c>
      <c r="O4856" s="918" t="str">
        <f t="shared" si="490"/>
        <v>Feb</v>
      </c>
      <c r="P4856" s="921">
        <f t="shared" si="491"/>
        <v>9</v>
      </c>
    </row>
    <row r="4857" spans="1:16" ht="15" hidden="1" customHeight="1">
      <c r="A4857" s="839">
        <v>67546042</v>
      </c>
      <c r="B4857" s="839">
        <v>5914</v>
      </c>
      <c r="C4857" s="906">
        <v>5393</v>
      </c>
      <c r="D4857" s="907">
        <v>46079</v>
      </c>
      <c r="E4857" s="839" t="s">
        <v>397</v>
      </c>
      <c r="F4857" s="839" t="s">
        <v>303</v>
      </c>
      <c r="G4857" s="916">
        <f>VLOOKUP($A4857,'Tech Litons'!$A:$I,8,FALSE)</f>
        <v>3.7853439999999999E-3</v>
      </c>
      <c r="H4857" s="917">
        <f>VLOOKUP($A4857,'Tech Litons'!$A:$I,9,FALSE)</f>
        <v>240</v>
      </c>
      <c r="I4857" s="917" t="str">
        <f>VLOOKUP($A4857,'Tech Litons'!$A:$C,3,0)</f>
        <v>BJ PTS</v>
      </c>
      <c r="J4857" s="918" t="str">
        <f t="shared" si="486"/>
        <v>5914BJ PTS</v>
      </c>
      <c r="K4857" s="919">
        <v>1</v>
      </c>
      <c r="L4857" s="920">
        <f t="shared" si="487"/>
        <v>5393</v>
      </c>
      <c r="M4857" s="920">
        <f t="shared" si="488"/>
        <v>20.414360192</v>
      </c>
      <c r="N4857" s="920">
        <f t="shared" si="489"/>
        <v>22.470833333333335</v>
      </c>
      <c r="O4857" s="918" t="str">
        <f t="shared" si="490"/>
        <v>Feb</v>
      </c>
      <c r="P4857" s="921">
        <f t="shared" si="491"/>
        <v>9</v>
      </c>
    </row>
    <row r="4858" spans="1:16" ht="15" hidden="1" customHeight="1">
      <c r="A4858" s="839">
        <v>67546042</v>
      </c>
      <c r="B4858" s="839">
        <v>5914</v>
      </c>
      <c r="C4858" s="906">
        <v>5760</v>
      </c>
      <c r="D4858" s="907">
        <v>46105</v>
      </c>
      <c r="E4858" s="839" t="s">
        <v>397</v>
      </c>
      <c r="F4858" s="839" t="s">
        <v>303</v>
      </c>
      <c r="G4858" s="916">
        <f>VLOOKUP($A4858,'Tech Litons'!$A:$I,8,FALSE)</f>
        <v>3.7853439999999999E-3</v>
      </c>
      <c r="H4858" s="917">
        <f>VLOOKUP($A4858,'Tech Litons'!$A:$I,9,FALSE)</f>
        <v>240</v>
      </c>
      <c r="I4858" s="917" t="str">
        <f>VLOOKUP($A4858,'Tech Litons'!$A:$C,3,0)</f>
        <v>BJ PTS</v>
      </c>
      <c r="J4858" s="918" t="str">
        <f t="shared" si="486"/>
        <v>5914BJ PTS</v>
      </c>
      <c r="K4858" s="919">
        <v>1</v>
      </c>
      <c r="L4858" s="920">
        <f t="shared" si="487"/>
        <v>5760</v>
      </c>
      <c r="M4858" s="920">
        <f t="shared" si="488"/>
        <v>21.803581439999999</v>
      </c>
      <c r="N4858" s="920">
        <f t="shared" si="489"/>
        <v>24</v>
      </c>
      <c r="O4858" s="918" t="str">
        <f t="shared" si="490"/>
        <v>Mar</v>
      </c>
      <c r="P4858" s="921">
        <f t="shared" si="491"/>
        <v>13</v>
      </c>
    </row>
    <row r="4859" spans="1:16" ht="15" hidden="1" customHeight="1">
      <c r="A4859" s="839">
        <v>67596354</v>
      </c>
      <c r="B4859" s="839">
        <v>5914</v>
      </c>
      <c r="C4859" s="906">
        <v>12153</v>
      </c>
      <c r="D4859" s="907">
        <v>46097</v>
      </c>
      <c r="E4859" s="839" t="s">
        <v>336</v>
      </c>
      <c r="F4859" s="839" t="s">
        <v>303</v>
      </c>
      <c r="G4859" s="916">
        <f>VLOOKUP($A4859,'Tech Litons'!$A:$I,8,FALSE)</f>
        <v>3.6640000000000002E-3</v>
      </c>
      <c r="H4859" s="917">
        <f>VLOOKUP($A4859,'Tech Litons'!$A:$I,9,FALSE)</f>
        <v>240</v>
      </c>
      <c r="I4859" s="917" t="str">
        <f>VLOOKUP($A4859,'Tech Litons'!$A:$C,3,0)</f>
        <v>PTS Exports</v>
      </c>
      <c r="J4859" s="918" t="str">
        <f t="shared" si="486"/>
        <v>5914PTS Exports</v>
      </c>
      <c r="K4859" s="919">
        <v>1</v>
      </c>
      <c r="L4859" s="920">
        <f t="shared" si="487"/>
        <v>12153</v>
      </c>
      <c r="M4859" s="920">
        <f t="shared" si="488"/>
        <v>44.528592000000003</v>
      </c>
      <c r="N4859" s="920">
        <f t="shared" si="489"/>
        <v>50.637500000000003</v>
      </c>
      <c r="O4859" s="918" t="str">
        <f t="shared" si="490"/>
        <v>Mar</v>
      </c>
      <c r="P4859" s="921">
        <f t="shared" si="491"/>
        <v>12</v>
      </c>
    </row>
    <row r="4860" spans="1:16" ht="15" hidden="1" customHeight="1">
      <c r="A4860" s="839">
        <v>67789314</v>
      </c>
      <c r="B4860" s="839">
        <v>5914</v>
      </c>
      <c r="C4860" s="906">
        <v>-63</v>
      </c>
      <c r="D4860" s="907">
        <v>46076</v>
      </c>
      <c r="E4860" s="839" t="s">
        <v>344</v>
      </c>
      <c r="F4860" s="839" t="s">
        <v>303</v>
      </c>
      <c r="G4860" s="916">
        <f>VLOOKUP($A4860,'Tech Litons'!$A:$I,8,FALSE)</f>
        <v>3.7853439999999999E-3</v>
      </c>
      <c r="H4860" s="917">
        <f>VLOOKUP($A4860,'Tech Litons'!$A:$I,9,FALSE)</f>
        <v>240</v>
      </c>
      <c r="I4860" s="917" t="str">
        <f>VLOOKUP($A4860,'Tech Litons'!$A:$C,3,0)</f>
        <v>BJ PTS</v>
      </c>
      <c r="J4860" s="918" t="str">
        <f t="shared" si="486"/>
        <v>5914BJ PTS</v>
      </c>
      <c r="K4860" s="919">
        <v>1</v>
      </c>
      <c r="L4860" s="920">
        <f t="shared" si="487"/>
        <v>-63</v>
      </c>
      <c r="M4860" s="920">
        <f t="shared" si="488"/>
        <v>-0.238476672</v>
      </c>
      <c r="N4860" s="920">
        <f t="shared" si="489"/>
        <v>-0.26250000000000001</v>
      </c>
      <c r="O4860" s="918" t="str">
        <f t="shared" si="490"/>
        <v>Feb</v>
      </c>
      <c r="P4860" s="921">
        <f t="shared" si="491"/>
        <v>9</v>
      </c>
    </row>
    <row r="4861" spans="1:16" ht="15" hidden="1" customHeight="1">
      <c r="A4861" s="839">
        <v>67789314</v>
      </c>
      <c r="B4861" s="839">
        <v>5914</v>
      </c>
      <c r="C4861" s="906">
        <v>15600</v>
      </c>
      <c r="D4861" s="907">
        <v>46098</v>
      </c>
      <c r="E4861" s="839" t="s">
        <v>344</v>
      </c>
      <c r="F4861" s="839" t="s">
        <v>303</v>
      </c>
      <c r="G4861" s="916">
        <f>VLOOKUP($A4861,'Tech Litons'!$A:$I,8,FALSE)</f>
        <v>3.7853439999999999E-3</v>
      </c>
      <c r="H4861" s="917">
        <f>VLOOKUP($A4861,'Tech Litons'!$A:$I,9,FALSE)</f>
        <v>240</v>
      </c>
      <c r="I4861" s="917" t="str">
        <f>VLOOKUP($A4861,'Tech Litons'!$A:$C,3,0)</f>
        <v>BJ PTS</v>
      </c>
      <c r="J4861" s="918" t="str">
        <f t="shared" si="486"/>
        <v>5914BJ PTS</v>
      </c>
      <c r="K4861" s="919">
        <v>1</v>
      </c>
      <c r="L4861" s="920">
        <f t="shared" si="487"/>
        <v>15600</v>
      </c>
      <c r="M4861" s="920">
        <f t="shared" si="488"/>
        <v>59.051366399999999</v>
      </c>
      <c r="N4861" s="920">
        <f t="shared" si="489"/>
        <v>65</v>
      </c>
      <c r="O4861" s="918" t="str">
        <f t="shared" si="490"/>
        <v>Mar</v>
      </c>
      <c r="P4861" s="921">
        <f t="shared" si="491"/>
        <v>12</v>
      </c>
    </row>
    <row r="4862" spans="1:16" ht="15" hidden="1" customHeight="1">
      <c r="A4862" s="839">
        <v>67789314</v>
      </c>
      <c r="B4862" s="839">
        <v>5914</v>
      </c>
      <c r="C4862" s="906">
        <v>14481</v>
      </c>
      <c r="D4862" s="907">
        <v>46099</v>
      </c>
      <c r="E4862" s="839" t="s">
        <v>344</v>
      </c>
      <c r="F4862" s="839" t="s">
        <v>303</v>
      </c>
      <c r="G4862" s="916">
        <f>VLOOKUP($A4862,'Tech Litons'!$A:$I,8,FALSE)</f>
        <v>3.7853439999999999E-3</v>
      </c>
      <c r="H4862" s="917">
        <f>VLOOKUP($A4862,'Tech Litons'!$A:$I,9,FALSE)</f>
        <v>240</v>
      </c>
      <c r="I4862" s="917" t="str">
        <f>VLOOKUP($A4862,'Tech Litons'!$A:$C,3,0)</f>
        <v>BJ PTS</v>
      </c>
      <c r="J4862" s="918" t="str">
        <f t="shared" si="486"/>
        <v>5914BJ PTS</v>
      </c>
      <c r="K4862" s="919">
        <v>1</v>
      </c>
      <c r="L4862" s="920">
        <f t="shared" si="487"/>
        <v>14481</v>
      </c>
      <c r="M4862" s="920">
        <f t="shared" si="488"/>
        <v>54.815566464</v>
      </c>
      <c r="N4862" s="920">
        <f t="shared" si="489"/>
        <v>60.337499999999999</v>
      </c>
      <c r="O4862" s="918" t="str">
        <f t="shared" si="490"/>
        <v>Mar</v>
      </c>
      <c r="P4862" s="921">
        <f t="shared" si="491"/>
        <v>12</v>
      </c>
    </row>
    <row r="4863" spans="1:16" ht="15" hidden="1" customHeight="1">
      <c r="A4863" s="839">
        <v>67794167</v>
      </c>
      <c r="B4863" s="839">
        <v>5914</v>
      </c>
      <c r="C4863" s="906">
        <v>28800</v>
      </c>
      <c r="D4863" s="907">
        <v>46079</v>
      </c>
      <c r="E4863" s="839" t="s">
        <v>343</v>
      </c>
      <c r="F4863" s="839" t="s">
        <v>301</v>
      </c>
      <c r="G4863" s="916">
        <f>VLOOKUP($A4863,'Tech Litons'!$A:$I,8,FALSE)</f>
        <v>3.7853439999999999E-3</v>
      </c>
      <c r="H4863" s="917">
        <f>VLOOKUP($A4863,'Tech Litons'!$A:$I,9,FALSE)</f>
        <v>240</v>
      </c>
      <c r="I4863" s="917" t="str">
        <f>VLOOKUP($A4863,'Tech Litons'!$A:$C,3,0)</f>
        <v>BJ PTS</v>
      </c>
      <c r="J4863" s="918" t="str">
        <f t="shared" si="486"/>
        <v>5914BJ PTS</v>
      </c>
      <c r="K4863" s="919">
        <v>1</v>
      </c>
      <c r="L4863" s="920">
        <f t="shared" si="487"/>
        <v>28800</v>
      </c>
      <c r="M4863" s="920">
        <f t="shared" si="488"/>
        <v>109.0179072</v>
      </c>
      <c r="N4863" s="920">
        <f t="shared" si="489"/>
        <v>120</v>
      </c>
      <c r="O4863" s="918" t="str">
        <f t="shared" si="490"/>
        <v>Feb</v>
      </c>
      <c r="P4863" s="921">
        <f t="shared" si="491"/>
        <v>9</v>
      </c>
    </row>
    <row r="4864" spans="1:16" ht="15" hidden="1" customHeight="1">
      <c r="A4864" s="839">
        <v>67794167</v>
      </c>
      <c r="B4864" s="839">
        <v>5914</v>
      </c>
      <c r="C4864" s="906">
        <v>33441</v>
      </c>
      <c r="D4864" s="907">
        <v>46080</v>
      </c>
      <c r="E4864" s="839" t="s">
        <v>343</v>
      </c>
      <c r="F4864" s="839" t="s">
        <v>301</v>
      </c>
      <c r="G4864" s="916">
        <f>VLOOKUP($A4864,'Tech Litons'!$A:$I,8,FALSE)</f>
        <v>3.7853439999999999E-3</v>
      </c>
      <c r="H4864" s="917">
        <f>VLOOKUP($A4864,'Tech Litons'!$A:$I,9,FALSE)</f>
        <v>240</v>
      </c>
      <c r="I4864" s="917" t="str">
        <f>VLOOKUP($A4864,'Tech Litons'!$A:$C,3,0)</f>
        <v>BJ PTS</v>
      </c>
      <c r="J4864" s="918" t="str">
        <f t="shared" si="486"/>
        <v>5914BJ PTS</v>
      </c>
      <c r="K4864" s="919">
        <v>1</v>
      </c>
      <c r="L4864" s="920">
        <f t="shared" si="487"/>
        <v>33441</v>
      </c>
      <c r="M4864" s="920">
        <f t="shared" si="488"/>
        <v>126.58568870399999</v>
      </c>
      <c r="N4864" s="920">
        <f t="shared" si="489"/>
        <v>139.33750000000001</v>
      </c>
      <c r="O4864" s="918" t="str">
        <f t="shared" si="490"/>
        <v>Feb</v>
      </c>
      <c r="P4864" s="921">
        <f t="shared" si="491"/>
        <v>9</v>
      </c>
    </row>
    <row r="4865" spans="1:16" ht="15" hidden="1" customHeight="1">
      <c r="A4865" s="839">
        <v>67794167</v>
      </c>
      <c r="B4865" s="839">
        <v>5914</v>
      </c>
      <c r="C4865" s="906">
        <v>-74</v>
      </c>
      <c r="D4865" s="907">
        <v>46081</v>
      </c>
      <c r="E4865" s="839" t="s">
        <v>343</v>
      </c>
      <c r="F4865" s="839" t="s">
        <v>301</v>
      </c>
      <c r="G4865" s="916">
        <f>VLOOKUP($A4865,'Tech Litons'!$A:$I,8,FALSE)</f>
        <v>3.7853439999999999E-3</v>
      </c>
      <c r="H4865" s="917">
        <f>VLOOKUP($A4865,'Tech Litons'!$A:$I,9,FALSE)</f>
        <v>240</v>
      </c>
      <c r="I4865" s="917" t="str">
        <f>VLOOKUP($A4865,'Tech Litons'!$A:$C,3,0)</f>
        <v>BJ PTS</v>
      </c>
      <c r="J4865" s="918" t="str">
        <f t="shared" si="486"/>
        <v>5914BJ PTS</v>
      </c>
      <c r="K4865" s="919">
        <v>1</v>
      </c>
      <c r="L4865" s="920">
        <f t="shared" si="487"/>
        <v>-74</v>
      </c>
      <c r="M4865" s="920">
        <f t="shared" si="488"/>
        <v>-0.28011545599999998</v>
      </c>
      <c r="N4865" s="920">
        <f t="shared" si="489"/>
        <v>-0.30833333333333335</v>
      </c>
      <c r="O4865" s="918" t="str">
        <f t="shared" si="490"/>
        <v>Feb</v>
      </c>
      <c r="P4865" s="921">
        <f t="shared" si="491"/>
        <v>9</v>
      </c>
    </row>
    <row r="4866" spans="1:16" ht="15" hidden="1" customHeight="1">
      <c r="A4866" s="839">
        <v>67794167</v>
      </c>
      <c r="B4866" s="839">
        <v>5914</v>
      </c>
      <c r="C4866" s="906">
        <v>26784</v>
      </c>
      <c r="D4866" s="907">
        <v>46097</v>
      </c>
      <c r="E4866" s="839" t="s">
        <v>343</v>
      </c>
      <c r="F4866" s="839" t="s">
        <v>301</v>
      </c>
      <c r="G4866" s="916">
        <f>VLOOKUP($A4866,'Tech Litons'!$A:$I,8,FALSE)</f>
        <v>3.7853439999999999E-3</v>
      </c>
      <c r="H4866" s="917">
        <f>VLOOKUP($A4866,'Tech Litons'!$A:$I,9,FALSE)</f>
        <v>240</v>
      </c>
      <c r="I4866" s="917" t="str">
        <f>VLOOKUP($A4866,'Tech Litons'!$A:$C,3,0)</f>
        <v>BJ PTS</v>
      </c>
      <c r="J4866" s="918" t="str">
        <f t="shared" si="486"/>
        <v>5914BJ PTS</v>
      </c>
      <c r="K4866" s="919">
        <v>1</v>
      </c>
      <c r="L4866" s="920">
        <f t="shared" si="487"/>
        <v>26784</v>
      </c>
      <c r="M4866" s="920">
        <f t="shared" si="488"/>
        <v>101.386653696</v>
      </c>
      <c r="N4866" s="920">
        <f t="shared" si="489"/>
        <v>111.6</v>
      </c>
      <c r="O4866" s="918" t="str">
        <f t="shared" si="490"/>
        <v>Mar</v>
      </c>
      <c r="P4866" s="921">
        <f t="shared" si="491"/>
        <v>12</v>
      </c>
    </row>
    <row r="4867" spans="1:16" ht="15" hidden="1" customHeight="1">
      <c r="A4867" s="839">
        <v>67794167</v>
      </c>
      <c r="B4867" s="839">
        <v>5914</v>
      </c>
      <c r="C4867" s="906">
        <v>5280</v>
      </c>
      <c r="D4867" s="907">
        <v>46098</v>
      </c>
      <c r="E4867" s="839" t="s">
        <v>343</v>
      </c>
      <c r="F4867" s="839" t="s">
        <v>301</v>
      </c>
      <c r="G4867" s="916">
        <f>VLOOKUP($A4867,'Tech Litons'!$A:$I,8,FALSE)</f>
        <v>3.7853439999999999E-3</v>
      </c>
      <c r="H4867" s="917">
        <f>VLOOKUP($A4867,'Tech Litons'!$A:$I,9,FALSE)</f>
        <v>240</v>
      </c>
      <c r="I4867" s="917" t="str">
        <f>VLOOKUP($A4867,'Tech Litons'!$A:$C,3,0)</f>
        <v>BJ PTS</v>
      </c>
      <c r="J4867" s="918" t="str">
        <f t="shared" si="486"/>
        <v>5914BJ PTS</v>
      </c>
      <c r="K4867" s="919">
        <v>1</v>
      </c>
      <c r="L4867" s="920">
        <f t="shared" si="487"/>
        <v>5280</v>
      </c>
      <c r="M4867" s="920">
        <f t="shared" si="488"/>
        <v>19.98661632</v>
      </c>
      <c r="N4867" s="920">
        <f t="shared" si="489"/>
        <v>22</v>
      </c>
      <c r="O4867" s="918" t="str">
        <f t="shared" si="490"/>
        <v>Mar</v>
      </c>
      <c r="P4867" s="921">
        <f t="shared" si="491"/>
        <v>12</v>
      </c>
    </row>
    <row r="4868" spans="1:16" ht="15" hidden="1" customHeight="1">
      <c r="A4868" s="839">
        <v>67794167</v>
      </c>
      <c r="B4868" s="839">
        <v>5914</v>
      </c>
      <c r="C4868" s="906">
        <v>-384</v>
      </c>
      <c r="D4868" s="907">
        <v>46100</v>
      </c>
      <c r="E4868" s="839" t="s">
        <v>343</v>
      </c>
      <c r="F4868" s="839" t="s">
        <v>301</v>
      </c>
      <c r="G4868" s="916">
        <f>VLOOKUP($A4868,'Tech Litons'!$A:$I,8,FALSE)</f>
        <v>3.7853439999999999E-3</v>
      </c>
      <c r="H4868" s="917">
        <f>VLOOKUP($A4868,'Tech Litons'!$A:$I,9,FALSE)</f>
        <v>240</v>
      </c>
      <c r="I4868" s="917" t="str">
        <f>VLOOKUP($A4868,'Tech Litons'!$A:$C,3,0)</f>
        <v>BJ PTS</v>
      </c>
      <c r="J4868" s="918" t="str">
        <f t="shared" si="486"/>
        <v>5914BJ PTS</v>
      </c>
      <c r="K4868" s="919">
        <v>1</v>
      </c>
      <c r="L4868" s="920">
        <f t="shared" si="487"/>
        <v>-384</v>
      </c>
      <c r="M4868" s="920">
        <f t="shared" si="488"/>
        <v>-1.453572096</v>
      </c>
      <c r="N4868" s="920">
        <f t="shared" si="489"/>
        <v>-1.6</v>
      </c>
      <c r="O4868" s="918" t="str">
        <f t="shared" si="490"/>
        <v>Mar</v>
      </c>
      <c r="P4868" s="921">
        <f t="shared" si="491"/>
        <v>12</v>
      </c>
    </row>
    <row r="4869" spans="1:16" ht="15" hidden="1" customHeight="1">
      <c r="A4869" s="839">
        <v>67794167</v>
      </c>
      <c r="B4869" s="839">
        <v>5914</v>
      </c>
      <c r="C4869" s="906">
        <v>30934</v>
      </c>
      <c r="D4869" s="907">
        <v>46098</v>
      </c>
      <c r="E4869" s="839" t="s">
        <v>343</v>
      </c>
      <c r="F4869" s="839" t="s">
        <v>301</v>
      </c>
      <c r="G4869" s="916">
        <f>VLOOKUP($A4869,'Tech Litons'!$A:$I,8,FALSE)</f>
        <v>3.7853439999999999E-3</v>
      </c>
      <c r="H4869" s="917">
        <f>VLOOKUP($A4869,'Tech Litons'!$A:$I,9,FALSE)</f>
        <v>240</v>
      </c>
      <c r="I4869" s="917" t="str">
        <f>VLOOKUP($A4869,'Tech Litons'!$A:$C,3,0)</f>
        <v>BJ PTS</v>
      </c>
      <c r="J4869" s="918" t="str">
        <f t="shared" si="486"/>
        <v>5914BJ PTS</v>
      </c>
      <c r="K4869" s="919">
        <v>1</v>
      </c>
      <c r="L4869" s="920">
        <f t="shared" si="487"/>
        <v>30934</v>
      </c>
      <c r="M4869" s="920">
        <f t="shared" si="488"/>
        <v>117.095831296</v>
      </c>
      <c r="N4869" s="920">
        <f t="shared" si="489"/>
        <v>128.89166666666668</v>
      </c>
      <c r="O4869" s="918" t="str">
        <f t="shared" si="490"/>
        <v>Mar</v>
      </c>
      <c r="P4869" s="921">
        <f t="shared" si="491"/>
        <v>12</v>
      </c>
    </row>
    <row r="4870" spans="1:16" ht="15" hidden="1" customHeight="1">
      <c r="A4870" s="839">
        <v>67794167</v>
      </c>
      <c r="B4870" s="839">
        <v>5914</v>
      </c>
      <c r="C4870" s="906">
        <v>19323</v>
      </c>
      <c r="D4870" s="907">
        <v>46099</v>
      </c>
      <c r="E4870" s="839" t="s">
        <v>343</v>
      </c>
      <c r="F4870" s="839" t="s">
        <v>301</v>
      </c>
      <c r="G4870" s="916">
        <f>VLOOKUP($A4870,'Tech Litons'!$A:$I,8,FALSE)</f>
        <v>3.7853439999999999E-3</v>
      </c>
      <c r="H4870" s="917">
        <f>VLOOKUP($A4870,'Tech Litons'!$A:$I,9,FALSE)</f>
        <v>240</v>
      </c>
      <c r="I4870" s="917" t="str">
        <f>VLOOKUP($A4870,'Tech Litons'!$A:$C,3,0)</f>
        <v>BJ PTS</v>
      </c>
      <c r="J4870" s="918" t="str">
        <f t="shared" si="486"/>
        <v>5914BJ PTS</v>
      </c>
      <c r="K4870" s="919">
        <v>1</v>
      </c>
      <c r="L4870" s="920">
        <f t="shared" si="487"/>
        <v>19323</v>
      </c>
      <c r="M4870" s="920">
        <f t="shared" si="488"/>
        <v>73.144202112000002</v>
      </c>
      <c r="N4870" s="920">
        <f t="shared" si="489"/>
        <v>80.512500000000003</v>
      </c>
      <c r="O4870" s="918" t="str">
        <f t="shared" si="490"/>
        <v>Mar</v>
      </c>
      <c r="P4870" s="921">
        <f t="shared" si="491"/>
        <v>12</v>
      </c>
    </row>
    <row r="4871" spans="1:16" ht="15" hidden="1" customHeight="1">
      <c r="A4871" s="839">
        <v>67794167</v>
      </c>
      <c r="B4871" s="839">
        <v>5914</v>
      </c>
      <c r="C4871" s="906">
        <v>5280</v>
      </c>
      <c r="D4871" s="907">
        <v>46098</v>
      </c>
      <c r="E4871" s="839" t="s">
        <v>343</v>
      </c>
      <c r="F4871" s="839" t="s">
        <v>303</v>
      </c>
      <c r="G4871" s="916">
        <f>VLOOKUP($A4871,'Tech Litons'!$A:$I,8,FALSE)</f>
        <v>3.7853439999999999E-3</v>
      </c>
      <c r="H4871" s="917">
        <f>VLOOKUP($A4871,'Tech Litons'!$A:$I,9,FALSE)</f>
        <v>240</v>
      </c>
      <c r="I4871" s="917" t="str">
        <f>VLOOKUP($A4871,'Tech Litons'!$A:$C,3,0)</f>
        <v>BJ PTS</v>
      </c>
      <c r="J4871" s="918" t="str">
        <f t="shared" si="486"/>
        <v>5914BJ PTS</v>
      </c>
      <c r="K4871" s="919">
        <v>1</v>
      </c>
      <c r="L4871" s="920">
        <f t="shared" si="487"/>
        <v>5280</v>
      </c>
      <c r="M4871" s="920">
        <f t="shared" si="488"/>
        <v>19.98661632</v>
      </c>
      <c r="N4871" s="920">
        <f t="shared" si="489"/>
        <v>22</v>
      </c>
      <c r="O4871" s="918" t="str">
        <f t="shared" si="490"/>
        <v>Mar</v>
      </c>
      <c r="P4871" s="921">
        <f t="shared" si="491"/>
        <v>12</v>
      </c>
    </row>
    <row r="4872" spans="1:16" ht="15" hidden="1" customHeight="1">
      <c r="A4872" s="839">
        <v>67794167</v>
      </c>
      <c r="B4872" s="839">
        <v>5914</v>
      </c>
      <c r="C4872" s="906">
        <v>29760</v>
      </c>
      <c r="D4872" s="907">
        <v>46099</v>
      </c>
      <c r="E4872" s="839" t="s">
        <v>343</v>
      </c>
      <c r="F4872" s="839" t="s">
        <v>303</v>
      </c>
      <c r="G4872" s="916">
        <f>VLOOKUP($A4872,'Tech Litons'!$A:$I,8,FALSE)</f>
        <v>3.7853439999999999E-3</v>
      </c>
      <c r="H4872" s="917">
        <f>VLOOKUP($A4872,'Tech Litons'!$A:$I,9,FALSE)</f>
        <v>240</v>
      </c>
      <c r="I4872" s="917" t="str">
        <f>VLOOKUP($A4872,'Tech Litons'!$A:$C,3,0)</f>
        <v>BJ PTS</v>
      </c>
      <c r="J4872" s="918" t="str">
        <f t="shared" si="486"/>
        <v>5914BJ PTS</v>
      </c>
      <c r="K4872" s="919">
        <v>1</v>
      </c>
      <c r="L4872" s="920">
        <f t="shared" si="487"/>
        <v>29760</v>
      </c>
      <c r="M4872" s="920">
        <f t="shared" si="488"/>
        <v>112.65183743999999</v>
      </c>
      <c r="N4872" s="920">
        <f t="shared" si="489"/>
        <v>124</v>
      </c>
      <c r="O4872" s="918" t="str">
        <f t="shared" si="490"/>
        <v>Mar</v>
      </c>
      <c r="P4872" s="921">
        <f t="shared" si="491"/>
        <v>12</v>
      </c>
    </row>
    <row r="4873" spans="1:16" ht="15" hidden="1" customHeight="1">
      <c r="A4873" s="839">
        <v>67794167</v>
      </c>
      <c r="B4873" s="839">
        <v>5914</v>
      </c>
      <c r="C4873" s="906">
        <v>537</v>
      </c>
      <c r="D4873" s="907">
        <v>46100</v>
      </c>
      <c r="E4873" s="839" t="s">
        <v>343</v>
      </c>
      <c r="F4873" s="839" t="s">
        <v>303</v>
      </c>
      <c r="G4873" s="916">
        <f>VLOOKUP($A4873,'Tech Litons'!$A:$I,8,FALSE)</f>
        <v>3.7853439999999999E-3</v>
      </c>
      <c r="H4873" s="917">
        <f>VLOOKUP($A4873,'Tech Litons'!$A:$I,9,FALSE)</f>
        <v>240</v>
      </c>
      <c r="I4873" s="917" t="str">
        <f>VLOOKUP($A4873,'Tech Litons'!$A:$C,3,0)</f>
        <v>BJ PTS</v>
      </c>
      <c r="J4873" s="918" t="str">
        <f t="shared" si="486"/>
        <v>5914BJ PTS</v>
      </c>
      <c r="K4873" s="919">
        <v>1</v>
      </c>
      <c r="L4873" s="920">
        <f t="shared" si="487"/>
        <v>537</v>
      </c>
      <c r="M4873" s="920">
        <f t="shared" si="488"/>
        <v>2.0327297280000001</v>
      </c>
      <c r="N4873" s="920">
        <f t="shared" si="489"/>
        <v>2.2374999999999998</v>
      </c>
      <c r="O4873" s="918" t="str">
        <f t="shared" si="490"/>
        <v>Mar</v>
      </c>
      <c r="P4873" s="921">
        <f t="shared" si="491"/>
        <v>12</v>
      </c>
    </row>
    <row r="4874" spans="1:16" ht="15" hidden="1" customHeight="1">
      <c r="A4874" s="839">
        <v>67794169</v>
      </c>
      <c r="B4874" s="839">
        <v>5914</v>
      </c>
      <c r="C4874" s="906">
        <v>-357</v>
      </c>
      <c r="D4874" s="907">
        <v>46076</v>
      </c>
      <c r="E4874" s="839" t="s">
        <v>352</v>
      </c>
      <c r="F4874" s="839" t="s">
        <v>303</v>
      </c>
      <c r="G4874" s="916">
        <f>VLOOKUP($A4874,'Tech Litons'!$A:$I,8,FALSE)</f>
        <v>3.7853439999999999E-3</v>
      </c>
      <c r="H4874" s="917">
        <f>VLOOKUP($A4874,'Tech Litons'!$A:$I,9,FALSE)</f>
        <v>240</v>
      </c>
      <c r="I4874" s="917" t="str">
        <f>VLOOKUP($A4874,'Tech Litons'!$A:$C,3,0)</f>
        <v>BJ PTS</v>
      </c>
      <c r="J4874" s="918" t="str">
        <f t="shared" si="486"/>
        <v>5914BJ PTS</v>
      </c>
      <c r="K4874" s="919">
        <v>1</v>
      </c>
      <c r="L4874" s="920">
        <f t="shared" si="487"/>
        <v>-357</v>
      </c>
      <c r="M4874" s="920">
        <f t="shared" si="488"/>
        <v>-1.351367808</v>
      </c>
      <c r="N4874" s="920">
        <f t="shared" si="489"/>
        <v>-1.4875</v>
      </c>
      <c r="O4874" s="918" t="str">
        <f t="shared" si="490"/>
        <v>Feb</v>
      </c>
      <c r="P4874" s="921">
        <f t="shared" si="491"/>
        <v>9</v>
      </c>
    </row>
    <row r="4875" spans="1:16" ht="15" hidden="1" customHeight="1">
      <c r="A4875" s="839">
        <v>67794169</v>
      </c>
      <c r="B4875" s="839">
        <v>5914</v>
      </c>
      <c r="C4875" s="906">
        <v>20400</v>
      </c>
      <c r="D4875" s="907">
        <v>46090</v>
      </c>
      <c r="E4875" s="839" t="s">
        <v>352</v>
      </c>
      <c r="F4875" s="839" t="s">
        <v>303</v>
      </c>
      <c r="G4875" s="916">
        <f>VLOOKUP($A4875,'Tech Litons'!$A:$I,8,FALSE)</f>
        <v>3.7853439999999999E-3</v>
      </c>
      <c r="H4875" s="917">
        <f>VLOOKUP($A4875,'Tech Litons'!$A:$I,9,FALSE)</f>
        <v>240</v>
      </c>
      <c r="I4875" s="917" t="str">
        <f>VLOOKUP($A4875,'Tech Litons'!$A:$C,3,0)</f>
        <v>BJ PTS</v>
      </c>
      <c r="J4875" s="918" t="str">
        <f t="shared" si="486"/>
        <v>5914BJ PTS</v>
      </c>
      <c r="K4875" s="919">
        <v>1</v>
      </c>
      <c r="L4875" s="920">
        <f t="shared" si="487"/>
        <v>20400</v>
      </c>
      <c r="M4875" s="920">
        <f t="shared" si="488"/>
        <v>77.221017599999996</v>
      </c>
      <c r="N4875" s="920">
        <f t="shared" si="489"/>
        <v>85</v>
      </c>
      <c r="O4875" s="918" t="str">
        <f t="shared" si="490"/>
        <v>Mar</v>
      </c>
      <c r="P4875" s="921">
        <f t="shared" si="491"/>
        <v>11</v>
      </c>
    </row>
    <row r="4876" spans="1:16" ht="15" hidden="1" customHeight="1">
      <c r="A4876" s="839">
        <v>67794169</v>
      </c>
      <c r="B4876" s="839">
        <v>5914</v>
      </c>
      <c r="C4876" s="906">
        <v>28320</v>
      </c>
      <c r="D4876" s="907">
        <v>46091</v>
      </c>
      <c r="E4876" s="839" t="s">
        <v>352</v>
      </c>
      <c r="F4876" s="839" t="s">
        <v>303</v>
      </c>
      <c r="G4876" s="916">
        <f>VLOOKUP($A4876,'Tech Litons'!$A:$I,8,FALSE)</f>
        <v>3.7853439999999999E-3</v>
      </c>
      <c r="H4876" s="917">
        <f>VLOOKUP($A4876,'Tech Litons'!$A:$I,9,FALSE)</f>
        <v>240</v>
      </c>
      <c r="I4876" s="917" t="str">
        <f>VLOOKUP($A4876,'Tech Litons'!$A:$C,3,0)</f>
        <v>BJ PTS</v>
      </c>
      <c r="J4876" s="918" t="str">
        <f t="shared" si="486"/>
        <v>5914BJ PTS</v>
      </c>
      <c r="K4876" s="919">
        <v>1</v>
      </c>
      <c r="L4876" s="920">
        <f t="shared" si="487"/>
        <v>28320</v>
      </c>
      <c r="M4876" s="920">
        <f t="shared" si="488"/>
        <v>107.20094208</v>
      </c>
      <c r="N4876" s="920">
        <f t="shared" si="489"/>
        <v>118</v>
      </c>
      <c r="O4876" s="918" t="str">
        <f t="shared" si="490"/>
        <v>Mar</v>
      </c>
      <c r="P4876" s="921">
        <f t="shared" si="491"/>
        <v>11</v>
      </c>
    </row>
    <row r="4877" spans="1:16" ht="15" hidden="1" customHeight="1">
      <c r="A4877" s="839">
        <v>67794169</v>
      </c>
      <c r="B4877" s="839">
        <v>5914</v>
      </c>
      <c r="C4877" s="906">
        <v>3638</v>
      </c>
      <c r="D4877" s="907">
        <v>46092</v>
      </c>
      <c r="E4877" s="839" t="s">
        <v>352</v>
      </c>
      <c r="F4877" s="839" t="s">
        <v>303</v>
      </c>
      <c r="G4877" s="916">
        <f>VLOOKUP($A4877,'Tech Litons'!$A:$I,8,FALSE)</f>
        <v>3.7853439999999999E-3</v>
      </c>
      <c r="H4877" s="917">
        <f>VLOOKUP($A4877,'Tech Litons'!$A:$I,9,FALSE)</f>
        <v>240</v>
      </c>
      <c r="I4877" s="917" t="str">
        <f>VLOOKUP($A4877,'Tech Litons'!$A:$C,3,0)</f>
        <v>BJ PTS</v>
      </c>
      <c r="J4877" s="918" t="str">
        <f t="shared" si="486"/>
        <v>5914BJ PTS</v>
      </c>
      <c r="K4877" s="919">
        <v>1</v>
      </c>
      <c r="L4877" s="920">
        <f t="shared" si="487"/>
        <v>3638</v>
      </c>
      <c r="M4877" s="920">
        <f t="shared" si="488"/>
        <v>13.771081472000001</v>
      </c>
      <c r="N4877" s="920">
        <f t="shared" si="489"/>
        <v>15.158333333333333</v>
      </c>
      <c r="O4877" s="918" t="str">
        <f t="shared" si="490"/>
        <v>Mar</v>
      </c>
      <c r="P4877" s="921">
        <f t="shared" si="491"/>
        <v>11</v>
      </c>
    </row>
    <row r="4878" spans="1:16" ht="15" hidden="1" customHeight="1">
      <c r="A4878" s="839">
        <v>67794169</v>
      </c>
      <c r="B4878" s="839">
        <v>5914</v>
      </c>
      <c r="C4878" s="906">
        <v>20400</v>
      </c>
      <c r="D4878" s="907">
        <v>46100</v>
      </c>
      <c r="E4878" s="839" t="s">
        <v>352</v>
      </c>
      <c r="F4878" s="839" t="s">
        <v>279</v>
      </c>
      <c r="G4878" s="916">
        <f>VLOOKUP($A4878,'Tech Litons'!$A:$I,8,FALSE)</f>
        <v>3.7853439999999999E-3</v>
      </c>
      <c r="H4878" s="917">
        <f>VLOOKUP($A4878,'Tech Litons'!$A:$I,9,FALSE)</f>
        <v>240</v>
      </c>
      <c r="I4878" s="917" t="str">
        <f>VLOOKUP($A4878,'Tech Litons'!$A:$C,3,0)</f>
        <v>BJ PTS</v>
      </c>
      <c r="J4878" s="918" t="str">
        <f t="shared" si="486"/>
        <v>5914BJ PTS</v>
      </c>
      <c r="K4878" s="919">
        <v>1</v>
      </c>
      <c r="L4878" s="920">
        <f t="shared" si="487"/>
        <v>20400</v>
      </c>
      <c r="M4878" s="920">
        <f t="shared" si="488"/>
        <v>77.221017599999996</v>
      </c>
      <c r="N4878" s="920">
        <f t="shared" si="489"/>
        <v>85</v>
      </c>
      <c r="O4878" s="918" t="str">
        <f t="shared" si="490"/>
        <v>Mar</v>
      </c>
      <c r="P4878" s="921">
        <f t="shared" si="491"/>
        <v>12</v>
      </c>
    </row>
    <row r="4879" spans="1:16" ht="15" hidden="1" customHeight="1">
      <c r="A4879" s="839">
        <v>67794169</v>
      </c>
      <c r="B4879" s="839">
        <v>5914</v>
      </c>
      <c r="C4879" s="906">
        <v>28094</v>
      </c>
      <c r="D4879" s="907">
        <v>46101</v>
      </c>
      <c r="E4879" s="839" t="s">
        <v>352</v>
      </c>
      <c r="F4879" s="839" t="s">
        <v>279</v>
      </c>
      <c r="G4879" s="916">
        <f>VLOOKUP($A4879,'Tech Litons'!$A:$I,8,FALSE)</f>
        <v>3.7853439999999999E-3</v>
      </c>
      <c r="H4879" s="917">
        <f>VLOOKUP($A4879,'Tech Litons'!$A:$I,9,FALSE)</f>
        <v>240</v>
      </c>
      <c r="I4879" s="917" t="str">
        <f>VLOOKUP($A4879,'Tech Litons'!$A:$C,3,0)</f>
        <v>BJ PTS</v>
      </c>
      <c r="J4879" s="918" t="str">
        <f t="shared" si="486"/>
        <v>5914BJ PTS</v>
      </c>
      <c r="K4879" s="919">
        <v>1</v>
      </c>
      <c r="L4879" s="920">
        <f t="shared" si="487"/>
        <v>28094</v>
      </c>
      <c r="M4879" s="920">
        <f t="shared" si="488"/>
        <v>106.345454336</v>
      </c>
      <c r="N4879" s="920">
        <f t="shared" si="489"/>
        <v>117.05833333333334</v>
      </c>
      <c r="O4879" s="918" t="str">
        <f t="shared" si="490"/>
        <v>Mar</v>
      </c>
      <c r="P4879" s="921">
        <f t="shared" si="491"/>
        <v>12</v>
      </c>
    </row>
    <row r="4880" spans="1:16" ht="15" hidden="1" customHeight="1">
      <c r="A4880" s="839">
        <v>67794169</v>
      </c>
      <c r="B4880" s="839">
        <v>5914</v>
      </c>
      <c r="C4880" s="906">
        <v>-480</v>
      </c>
      <c r="D4880" s="907">
        <v>46102</v>
      </c>
      <c r="E4880" s="839" t="s">
        <v>352</v>
      </c>
      <c r="F4880" s="839" t="s">
        <v>279</v>
      </c>
      <c r="G4880" s="916">
        <f>VLOOKUP($A4880,'Tech Litons'!$A:$I,8,FALSE)</f>
        <v>3.7853439999999999E-3</v>
      </c>
      <c r="H4880" s="917">
        <f>VLOOKUP($A4880,'Tech Litons'!$A:$I,9,FALSE)</f>
        <v>240</v>
      </c>
      <c r="I4880" s="917" t="str">
        <f>VLOOKUP($A4880,'Tech Litons'!$A:$C,3,0)</f>
        <v>BJ PTS</v>
      </c>
      <c r="J4880" s="918" t="str">
        <f t="shared" si="486"/>
        <v>5914BJ PTS</v>
      </c>
      <c r="K4880" s="919">
        <v>1</v>
      </c>
      <c r="L4880" s="920">
        <f t="shared" si="487"/>
        <v>-480</v>
      </c>
      <c r="M4880" s="920">
        <f t="shared" si="488"/>
        <v>-1.8169651199999999</v>
      </c>
      <c r="N4880" s="920">
        <f t="shared" si="489"/>
        <v>-2</v>
      </c>
      <c r="O4880" s="918" t="str">
        <f t="shared" si="490"/>
        <v>Mar</v>
      </c>
      <c r="P4880" s="921">
        <f t="shared" si="491"/>
        <v>12</v>
      </c>
    </row>
    <row r="4881" spans="1:16" ht="15" hidden="1" customHeight="1">
      <c r="A4881" s="839">
        <v>67794169</v>
      </c>
      <c r="B4881" s="839">
        <v>5914</v>
      </c>
      <c r="C4881" s="906">
        <v>-31</v>
      </c>
      <c r="D4881" s="907">
        <v>46105</v>
      </c>
      <c r="E4881" s="839" t="s">
        <v>352</v>
      </c>
      <c r="F4881" s="839" t="s">
        <v>279</v>
      </c>
      <c r="G4881" s="916">
        <f>VLOOKUP($A4881,'Tech Litons'!$A:$I,8,FALSE)</f>
        <v>3.7853439999999999E-3</v>
      </c>
      <c r="H4881" s="917">
        <f>VLOOKUP($A4881,'Tech Litons'!$A:$I,9,FALSE)</f>
        <v>240</v>
      </c>
      <c r="I4881" s="917" t="str">
        <f>VLOOKUP($A4881,'Tech Litons'!$A:$C,3,0)</f>
        <v>BJ PTS</v>
      </c>
      <c r="J4881" s="918" t="str">
        <f t="shared" si="486"/>
        <v>5914BJ PTS</v>
      </c>
      <c r="K4881" s="919">
        <v>1</v>
      </c>
      <c r="L4881" s="920">
        <f t="shared" si="487"/>
        <v>-31</v>
      </c>
      <c r="M4881" s="920">
        <f t="shared" si="488"/>
        <v>-0.117345664</v>
      </c>
      <c r="N4881" s="920">
        <f t="shared" si="489"/>
        <v>-0.12916666666666668</v>
      </c>
      <c r="O4881" s="918" t="str">
        <f t="shared" si="490"/>
        <v>Mar</v>
      </c>
      <c r="P4881" s="921">
        <f t="shared" si="491"/>
        <v>13</v>
      </c>
    </row>
    <row r="4882" spans="1:16" ht="15" hidden="1" customHeight="1">
      <c r="A4882" s="839">
        <v>67794170</v>
      </c>
      <c r="B4882" s="839">
        <v>5914</v>
      </c>
      <c r="C4882" s="906">
        <v>2880</v>
      </c>
      <c r="D4882" s="907">
        <v>46086</v>
      </c>
      <c r="E4882" s="839" t="s">
        <v>414</v>
      </c>
      <c r="F4882" s="839" t="s">
        <v>301</v>
      </c>
      <c r="G4882" s="916">
        <f>VLOOKUP($A4882,'Tech Litons'!$A:$I,8,FALSE)</f>
        <v>3.7853439999999999E-3</v>
      </c>
      <c r="H4882" s="917">
        <f>VLOOKUP($A4882,'Tech Litons'!$A:$I,9,FALSE)</f>
        <v>240</v>
      </c>
      <c r="I4882" s="917" t="str">
        <f>VLOOKUP($A4882,'Tech Litons'!$A:$C,3,0)</f>
        <v>BJ PTS</v>
      </c>
      <c r="J4882" s="918" t="str">
        <f t="shared" si="486"/>
        <v>5914BJ PTS</v>
      </c>
      <c r="K4882" s="919">
        <v>1</v>
      </c>
      <c r="L4882" s="920">
        <f t="shared" si="487"/>
        <v>2880</v>
      </c>
      <c r="M4882" s="920">
        <f t="shared" si="488"/>
        <v>10.901790719999999</v>
      </c>
      <c r="N4882" s="920">
        <f t="shared" si="489"/>
        <v>12</v>
      </c>
      <c r="O4882" s="918" t="str">
        <f t="shared" si="490"/>
        <v>Mar</v>
      </c>
      <c r="P4882" s="921">
        <f t="shared" si="491"/>
        <v>10</v>
      </c>
    </row>
    <row r="4883" spans="1:16" ht="15" hidden="1" customHeight="1">
      <c r="A4883" s="839">
        <v>67794170</v>
      </c>
      <c r="B4883" s="839">
        <v>5914</v>
      </c>
      <c r="C4883" s="906">
        <v>11145</v>
      </c>
      <c r="D4883" s="907">
        <v>46087</v>
      </c>
      <c r="E4883" s="839" t="s">
        <v>414</v>
      </c>
      <c r="F4883" s="839" t="s">
        <v>301</v>
      </c>
      <c r="G4883" s="916">
        <f>VLOOKUP($A4883,'Tech Litons'!$A:$I,8,FALSE)</f>
        <v>3.7853439999999999E-3</v>
      </c>
      <c r="H4883" s="917">
        <f>VLOOKUP($A4883,'Tech Litons'!$A:$I,9,FALSE)</f>
        <v>240</v>
      </c>
      <c r="I4883" s="917" t="str">
        <f>VLOOKUP($A4883,'Tech Litons'!$A:$C,3,0)</f>
        <v>BJ PTS</v>
      </c>
      <c r="J4883" s="918" t="str">
        <f t="shared" si="486"/>
        <v>5914BJ PTS</v>
      </c>
      <c r="K4883" s="919">
        <v>1</v>
      </c>
      <c r="L4883" s="920">
        <f t="shared" si="487"/>
        <v>11145</v>
      </c>
      <c r="M4883" s="920">
        <f t="shared" si="488"/>
        <v>42.187658880000001</v>
      </c>
      <c r="N4883" s="920">
        <f t="shared" si="489"/>
        <v>46.4375</v>
      </c>
      <c r="O4883" s="918" t="str">
        <f t="shared" si="490"/>
        <v>Mar</v>
      </c>
      <c r="P4883" s="921">
        <f t="shared" si="491"/>
        <v>10</v>
      </c>
    </row>
    <row r="4884" spans="1:16" ht="15" hidden="1" customHeight="1">
      <c r="A4884" s="839">
        <v>67803006</v>
      </c>
      <c r="B4884" s="839">
        <v>5914</v>
      </c>
      <c r="C4884" s="906">
        <v>11334</v>
      </c>
      <c r="D4884" s="907">
        <v>46100</v>
      </c>
      <c r="E4884" s="839" t="s">
        <v>346</v>
      </c>
      <c r="F4884" s="839" t="s">
        <v>279</v>
      </c>
      <c r="G4884" s="916">
        <f>VLOOKUP($A4884,'Tech Litons'!$A:$I,8,FALSE)</f>
        <v>3.7839999999999996E-3</v>
      </c>
      <c r="H4884" s="917">
        <f>VLOOKUP($A4884,'Tech Litons'!$A:$I,9,FALSE)</f>
        <v>240</v>
      </c>
      <c r="I4884" s="917" t="str">
        <f>VLOOKUP($A4884,'Tech Litons'!$A:$C,3,0)</f>
        <v>PTS Exports</v>
      </c>
      <c r="J4884" s="918" t="str">
        <f t="shared" si="486"/>
        <v>5914PTS Exports</v>
      </c>
      <c r="K4884" s="919">
        <v>1</v>
      </c>
      <c r="L4884" s="920">
        <f t="shared" si="487"/>
        <v>11334</v>
      </c>
      <c r="M4884" s="920">
        <f t="shared" si="488"/>
        <v>42.887855999999992</v>
      </c>
      <c r="N4884" s="920">
        <f t="shared" si="489"/>
        <v>47.225000000000001</v>
      </c>
      <c r="O4884" s="918" t="str">
        <f t="shared" si="490"/>
        <v>Mar</v>
      </c>
      <c r="P4884" s="921">
        <f t="shared" si="491"/>
        <v>12</v>
      </c>
    </row>
    <row r="4885" spans="1:16" ht="15" hidden="1" customHeight="1">
      <c r="A4885" s="839">
        <v>67826412</v>
      </c>
      <c r="B4885" s="839">
        <v>5914</v>
      </c>
      <c r="C4885" s="906">
        <v>5040</v>
      </c>
      <c r="D4885" s="907">
        <v>46092</v>
      </c>
      <c r="E4885" s="839" t="s">
        <v>312</v>
      </c>
      <c r="F4885" s="839" t="s">
        <v>279</v>
      </c>
      <c r="G4885" s="916">
        <f>VLOOKUP($A4885,'Tech Litons'!$A:$I,8,FALSE)</f>
        <v>3.7853439999999999E-3</v>
      </c>
      <c r="H4885" s="917">
        <f>VLOOKUP($A4885,'Tech Litons'!$A:$I,9,FALSE)</f>
        <v>240</v>
      </c>
      <c r="I4885" s="917" t="str">
        <f>VLOOKUP($A4885,'Tech Litons'!$A:$C,3,0)</f>
        <v>BJ PTS</v>
      </c>
      <c r="J4885" s="918" t="str">
        <f t="shared" si="486"/>
        <v>5914BJ PTS</v>
      </c>
      <c r="K4885" s="919">
        <v>1</v>
      </c>
      <c r="L4885" s="920">
        <f t="shared" si="487"/>
        <v>5040</v>
      </c>
      <c r="M4885" s="920">
        <f t="shared" si="488"/>
        <v>19.07813376</v>
      </c>
      <c r="N4885" s="920">
        <f t="shared" si="489"/>
        <v>21</v>
      </c>
      <c r="O4885" s="918" t="str">
        <f t="shared" si="490"/>
        <v>Mar</v>
      </c>
      <c r="P4885" s="921">
        <f t="shared" si="491"/>
        <v>11</v>
      </c>
    </row>
    <row r="4886" spans="1:16" ht="15" hidden="1" customHeight="1">
      <c r="A4886" s="839">
        <v>67826412</v>
      </c>
      <c r="B4886" s="839">
        <v>5914</v>
      </c>
      <c r="C4886" s="906">
        <v>27535</v>
      </c>
      <c r="D4886" s="907">
        <v>46093</v>
      </c>
      <c r="E4886" s="839" t="s">
        <v>312</v>
      </c>
      <c r="F4886" s="839" t="s">
        <v>279</v>
      </c>
      <c r="G4886" s="916">
        <f>VLOOKUP($A4886,'Tech Litons'!$A:$I,8,FALSE)</f>
        <v>3.7853439999999999E-3</v>
      </c>
      <c r="H4886" s="917">
        <f>VLOOKUP($A4886,'Tech Litons'!$A:$I,9,FALSE)</f>
        <v>240</v>
      </c>
      <c r="I4886" s="917" t="str">
        <f>VLOOKUP($A4886,'Tech Litons'!$A:$C,3,0)</f>
        <v>BJ PTS</v>
      </c>
      <c r="J4886" s="918" t="str">
        <f t="shared" si="486"/>
        <v>5914BJ PTS</v>
      </c>
      <c r="K4886" s="919">
        <v>1</v>
      </c>
      <c r="L4886" s="920">
        <f t="shared" si="487"/>
        <v>27535</v>
      </c>
      <c r="M4886" s="920">
        <f t="shared" si="488"/>
        <v>104.22944704</v>
      </c>
      <c r="N4886" s="920">
        <f t="shared" si="489"/>
        <v>114.72916666666667</v>
      </c>
      <c r="O4886" s="918" t="str">
        <f t="shared" si="490"/>
        <v>Mar</v>
      </c>
      <c r="P4886" s="921">
        <f t="shared" si="491"/>
        <v>11</v>
      </c>
    </row>
    <row r="4887" spans="1:16" ht="15" hidden="1" customHeight="1">
      <c r="A4887" s="839">
        <v>67826412</v>
      </c>
      <c r="B4887" s="839">
        <v>5914</v>
      </c>
      <c r="C4887" s="906">
        <v>30480</v>
      </c>
      <c r="D4887" s="907">
        <v>46094</v>
      </c>
      <c r="E4887" s="839" t="s">
        <v>312</v>
      </c>
      <c r="F4887" s="839" t="s">
        <v>279</v>
      </c>
      <c r="G4887" s="916">
        <f>VLOOKUP($A4887,'Tech Litons'!$A:$I,8,FALSE)</f>
        <v>3.7853439999999999E-3</v>
      </c>
      <c r="H4887" s="917">
        <f>VLOOKUP($A4887,'Tech Litons'!$A:$I,9,FALSE)</f>
        <v>240</v>
      </c>
      <c r="I4887" s="917" t="str">
        <f>VLOOKUP($A4887,'Tech Litons'!$A:$C,3,0)</f>
        <v>BJ PTS</v>
      </c>
      <c r="J4887" s="918" t="str">
        <f t="shared" si="486"/>
        <v>5914BJ PTS</v>
      </c>
      <c r="K4887" s="919">
        <v>1</v>
      </c>
      <c r="L4887" s="920">
        <f t="shared" si="487"/>
        <v>30480</v>
      </c>
      <c r="M4887" s="920">
        <f t="shared" si="488"/>
        <v>115.37728512</v>
      </c>
      <c r="N4887" s="920">
        <f t="shared" si="489"/>
        <v>127</v>
      </c>
      <c r="O4887" s="918" t="str">
        <f t="shared" si="490"/>
        <v>Mar</v>
      </c>
      <c r="P4887" s="921">
        <f t="shared" si="491"/>
        <v>11</v>
      </c>
    </row>
    <row r="4888" spans="1:16" ht="15" hidden="1" customHeight="1">
      <c r="A4888" s="839">
        <v>67826412</v>
      </c>
      <c r="B4888" s="839">
        <v>5914</v>
      </c>
      <c r="C4888" s="906">
        <v>9309</v>
      </c>
      <c r="D4888" s="907">
        <v>46095</v>
      </c>
      <c r="E4888" s="839" t="s">
        <v>312</v>
      </c>
      <c r="F4888" s="839" t="s">
        <v>279</v>
      </c>
      <c r="G4888" s="916">
        <f>VLOOKUP($A4888,'Tech Litons'!$A:$I,8,FALSE)</f>
        <v>3.7853439999999999E-3</v>
      </c>
      <c r="H4888" s="917">
        <f>VLOOKUP($A4888,'Tech Litons'!$A:$I,9,FALSE)</f>
        <v>240</v>
      </c>
      <c r="I4888" s="917" t="str">
        <f>VLOOKUP($A4888,'Tech Litons'!$A:$C,3,0)</f>
        <v>BJ PTS</v>
      </c>
      <c r="J4888" s="918" t="str">
        <f t="shared" si="486"/>
        <v>5914BJ PTS</v>
      </c>
      <c r="K4888" s="919">
        <v>1</v>
      </c>
      <c r="L4888" s="920">
        <f t="shared" si="487"/>
        <v>9309</v>
      </c>
      <c r="M4888" s="920">
        <f t="shared" si="488"/>
        <v>35.237767296000001</v>
      </c>
      <c r="N4888" s="920">
        <f t="shared" si="489"/>
        <v>38.787500000000001</v>
      </c>
      <c r="O4888" s="918" t="str">
        <f t="shared" si="490"/>
        <v>Mar</v>
      </c>
      <c r="P4888" s="921">
        <f t="shared" si="491"/>
        <v>11</v>
      </c>
    </row>
    <row r="4889" spans="1:16" ht="15" hidden="1" customHeight="1">
      <c r="A4889" s="839">
        <v>67881628</v>
      </c>
      <c r="B4889" s="839">
        <v>5914</v>
      </c>
      <c r="C4889" s="906">
        <v>18000</v>
      </c>
      <c r="D4889" s="907">
        <v>46076</v>
      </c>
      <c r="E4889" s="839" t="s">
        <v>345</v>
      </c>
      <c r="F4889" s="839" t="s">
        <v>303</v>
      </c>
      <c r="G4889" s="916">
        <f>VLOOKUP($A4889,'Tech Litons'!$A:$I,8,FALSE)</f>
        <v>3.7853439999999999E-3</v>
      </c>
      <c r="H4889" s="917">
        <f>VLOOKUP($A4889,'Tech Litons'!$A:$I,9,FALSE)</f>
        <v>240</v>
      </c>
      <c r="I4889" s="917" t="str">
        <f>VLOOKUP($A4889,'Tech Litons'!$A:$C,3,0)</f>
        <v>BJ PTS</v>
      </c>
      <c r="J4889" s="918" t="str">
        <f t="shared" si="486"/>
        <v>5914BJ PTS</v>
      </c>
      <c r="K4889" s="919">
        <v>1</v>
      </c>
      <c r="L4889" s="920">
        <f t="shared" si="487"/>
        <v>18000</v>
      </c>
      <c r="M4889" s="920">
        <f t="shared" si="488"/>
        <v>68.136191999999994</v>
      </c>
      <c r="N4889" s="920">
        <f t="shared" si="489"/>
        <v>75</v>
      </c>
      <c r="O4889" s="918" t="str">
        <f t="shared" si="490"/>
        <v>Feb</v>
      </c>
      <c r="P4889" s="921">
        <f t="shared" si="491"/>
        <v>9</v>
      </c>
    </row>
    <row r="4890" spans="1:16" ht="15" hidden="1" customHeight="1">
      <c r="A4890" s="839">
        <v>67881628</v>
      </c>
      <c r="B4890" s="839">
        <v>5914</v>
      </c>
      <c r="C4890" s="906">
        <v>14944</v>
      </c>
      <c r="D4890" s="907">
        <v>46077</v>
      </c>
      <c r="E4890" s="839" t="s">
        <v>345</v>
      </c>
      <c r="F4890" s="839" t="s">
        <v>303</v>
      </c>
      <c r="G4890" s="916">
        <f>VLOOKUP($A4890,'Tech Litons'!$A:$I,8,FALSE)</f>
        <v>3.7853439999999999E-3</v>
      </c>
      <c r="H4890" s="917">
        <f>VLOOKUP($A4890,'Tech Litons'!$A:$I,9,FALSE)</f>
        <v>240</v>
      </c>
      <c r="I4890" s="917" t="str">
        <f>VLOOKUP($A4890,'Tech Litons'!$A:$C,3,0)</f>
        <v>BJ PTS</v>
      </c>
      <c r="J4890" s="918" t="str">
        <f t="shared" si="486"/>
        <v>5914BJ PTS</v>
      </c>
      <c r="K4890" s="919">
        <v>1</v>
      </c>
      <c r="L4890" s="920">
        <f t="shared" si="487"/>
        <v>14944</v>
      </c>
      <c r="M4890" s="920">
        <f t="shared" si="488"/>
        <v>56.568180736000002</v>
      </c>
      <c r="N4890" s="920">
        <f t="shared" si="489"/>
        <v>62.266666666666666</v>
      </c>
      <c r="O4890" s="918" t="str">
        <f t="shared" si="490"/>
        <v>Feb</v>
      </c>
      <c r="P4890" s="921">
        <f t="shared" si="491"/>
        <v>9</v>
      </c>
    </row>
    <row r="4891" spans="1:16" ht="15" hidden="1" customHeight="1">
      <c r="A4891" s="839">
        <v>67881629</v>
      </c>
      <c r="B4891" s="839">
        <v>5914</v>
      </c>
      <c r="C4891" s="906">
        <v>14640</v>
      </c>
      <c r="D4891" s="907">
        <v>46084</v>
      </c>
      <c r="E4891" s="839" t="s">
        <v>337</v>
      </c>
      <c r="F4891" s="839" t="s">
        <v>279</v>
      </c>
      <c r="G4891" s="916">
        <f>VLOOKUP($A4891,'Tech Litons'!$A:$I,8,FALSE)</f>
        <v>3.7853439999999999E-3</v>
      </c>
      <c r="H4891" s="917">
        <f>VLOOKUP($A4891,'Tech Litons'!$A:$I,9,FALSE)</f>
        <v>240</v>
      </c>
      <c r="I4891" s="917" t="str">
        <f>VLOOKUP($A4891,'Tech Litons'!$A:$C,3,0)</f>
        <v>BJ PTS</v>
      </c>
      <c r="J4891" s="918" t="str">
        <f t="shared" si="486"/>
        <v>5914BJ PTS</v>
      </c>
      <c r="K4891" s="919">
        <v>1</v>
      </c>
      <c r="L4891" s="920">
        <f t="shared" si="487"/>
        <v>14640</v>
      </c>
      <c r="M4891" s="920">
        <f t="shared" si="488"/>
        <v>55.417436160000001</v>
      </c>
      <c r="N4891" s="920">
        <f t="shared" si="489"/>
        <v>61</v>
      </c>
      <c r="O4891" s="918" t="str">
        <f t="shared" si="490"/>
        <v>Mar</v>
      </c>
      <c r="P4891" s="921">
        <f t="shared" si="491"/>
        <v>10</v>
      </c>
    </row>
    <row r="4892" spans="1:16" ht="15" hidden="1" customHeight="1">
      <c r="A4892" s="839">
        <v>67881629</v>
      </c>
      <c r="B4892" s="839">
        <v>5914</v>
      </c>
      <c r="C4892" s="906">
        <v>23690</v>
      </c>
      <c r="D4892" s="907">
        <v>46085</v>
      </c>
      <c r="E4892" s="839" t="s">
        <v>337</v>
      </c>
      <c r="F4892" s="839" t="s">
        <v>279</v>
      </c>
      <c r="G4892" s="916">
        <f>VLOOKUP($A4892,'Tech Litons'!$A:$I,8,FALSE)</f>
        <v>3.7853439999999999E-3</v>
      </c>
      <c r="H4892" s="917">
        <f>VLOOKUP($A4892,'Tech Litons'!$A:$I,9,FALSE)</f>
        <v>240</v>
      </c>
      <c r="I4892" s="917" t="str">
        <f>VLOOKUP($A4892,'Tech Litons'!$A:$C,3,0)</f>
        <v>BJ PTS</v>
      </c>
      <c r="J4892" s="918" t="str">
        <f t="shared" si="486"/>
        <v>5914BJ PTS</v>
      </c>
      <c r="K4892" s="919">
        <v>1</v>
      </c>
      <c r="L4892" s="920">
        <f t="shared" si="487"/>
        <v>23690</v>
      </c>
      <c r="M4892" s="920">
        <f t="shared" si="488"/>
        <v>89.674799359999994</v>
      </c>
      <c r="N4892" s="920">
        <f t="shared" si="489"/>
        <v>98.708333333333329</v>
      </c>
      <c r="O4892" s="918" t="str">
        <f t="shared" si="490"/>
        <v>Mar</v>
      </c>
      <c r="P4892" s="921">
        <f t="shared" si="491"/>
        <v>10</v>
      </c>
    </row>
    <row r="4893" spans="1:16" ht="15" hidden="1" customHeight="1">
      <c r="A4893" s="839">
        <v>67881629</v>
      </c>
      <c r="B4893" s="839">
        <v>5914</v>
      </c>
      <c r="C4893" s="906">
        <v>13200</v>
      </c>
      <c r="D4893" s="907">
        <v>46104</v>
      </c>
      <c r="E4893" s="839" t="s">
        <v>337</v>
      </c>
      <c r="F4893" s="839" t="s">
        <v>279</v>
      </c>
      <c r="G4893" s="916">
        <f>VLOOKUP($A4893,'Tech Litons'!$A:$I,8,FALSE)</f>
        <v>3.7853439999999999E-3</v>
      </c>
      <c r="H4893" s="917">
        <f>VLOOKUP($A4893,'Tech Litons'!$A:$I,9,FALSE)</f>
        <v>240</v>
      </c>
      <c r="I4893" s="917" t="str">
        <f>VLOOKUP($A4893,'Tech Litons'!$A:$C,3,0)</f>
        <v>BJ PTS</v>
      </c>
      <c r="J4893" s="918" t="str">
        <f t="shared" si="486"/>
        <v>5914BJ PTS</v>
      </c>
      <c r="K4893" s="919">
        <v>1</v>
      </c>
      <c r="L4893" s="920">
        <f t="shared" si="487"/>
        <v>13200</v>
      </c>
      <c r="M4893" s="920">
        <f t="shared" si="488"/>
        <v>49.966540799999997</v>
      </c>
      <c r="N4893" s="920">
        <f t="shared" si="489"/>
        <v>55</v>
      </c>
      <c r="O4893" s="918" t="str">
        <f t="shared" si="490"/>
        <v>Mar</v>
      </c>
      <c r="P4893" s="921">
        <f t="shared" si="491"/>
        <v>13</v>
      </c>
    </row>
    <row r="4894" spans="1:16" ht="15" hidden="1" customHeight="1">
      <c r="A4894" s="839">
        <v>67881629</v>
      </c>
      <c r="B4894" s="839">
        <v>5914</v>
      </c>
      <c r="C4894" s="906">
        <v>19394</v>
      </c>
      <c r="D4894" s="907">
        <v>46105</v>
      </c>
      <c r="E4894" s="839" t="s">
        <v>337</v>
      </c>
      <c r="F4894" s="839" t="s">
        <v>279</v>
      </c>
      <c r="G4894" s="916">
        <f>VLOOKUP($A4894,'Tech Litons'!$A:$I,8,FALSE)</f>
        <v>3.7853439999999999E-3</v>
      </c>
      <c r="H4894" s="917">
        <f>VLOOKUP($A4894,'Tech Litons'!$A:$I,9,FALSE)</f>
        <v>240</v>
      </c>
      <c r="I4894" s="917" t="str">
        <f>VLOOKUP($A4894,'Tech Litons'!$A:$C,3,0)</f>
        <v>BJ PTS</v>
      </c>
      <c r="J4894" s="918" t="str">
        <f t="shared" si="486"/>
        <v>5914BJ PTS</v>
      </c>
      <c r="K4894" s="919">
        <v>1</v>
      </c>
      <c r="L4894" s="920">
        <f t="shared" si="487"/>
        <v>19394</v>
      </c>
      <c r="M4894" s="920">
        <f t="shared" si="488"/>
        <v>73.412961535999997</v>
      </c>
      <c r="N4894" s="920">
        <f t="shared" si="489"/>
        <v>80.808333333333337</v>
      </c>
      <c r="O4894" s="918" t="str">
        <f t="shared" si="490"/>
        <v>Mar</v>
      </c>
      <c r="P4894" s="921">
        <f t="shared" si="491"/>
        <v>13</v>
      </c>
    </row>
    <row r="4895" spans="1:16" ht="15" hidden="1" customHeight="1">
      <c r="A4895" s="839">
        <v>68638140</v>
      </c>
      <c r="B4895" s="839">
        <v>5914</v>
      </c>
      <c r="C4895" s="906">
        <v>7061</v>
      </c>
      <c r="D4895" s="907">
        <v>46090</v>
      </c>
      <c r="E4895" s="839" t="s">
        <v>546</v>
      </c>
      <c r="F4895" s="839" t="s">
        <v>303</v>
      </c>
      <c r="G4895" s="916">
        <f>VLOOKUP($A4895,'Tech Litons'!$A:$I,8,FALSE)</f>
        <v>3.7853439999999999E-3</v>
      </c>
      <c r="H4895" s="917">
        <f>VLOOKUP($A4895,'Tech Litons'!$A:$I,9,FALSE)</f>
        <v>240</v>
      </c>
      <c r="I4895" s="917" t="str">
        <f>VLOOKUP($A4895,'Tech Litons'!$A:$C,3,0)</f>
        <v>BJ PTS</v>
      </c>
      <c r="J4895" s="918" t="str">
        <f t="shared" si="486"/>
        <v>5914BJ PTS</v>
      </c>
      <c r="K4895" s="919">
        <v>1</v>
      </c>
      <c r="L4895" s="920">
        <f t="shared" si="487"/>
        <v>7061</v>
      </c>
      <c r="M4895" s="920">
        <f t="shared" si="488"/>
        <v>26.728313984</v>
      </c>
      <c r="N4895" s="920">
        <f t="shared" si="489"/>
        <v>29.420833333333334</v>
      </c>
      <c r="O4895" s="918" t="str">
        <f t="shared" si="490"/>
        <v>Mar</v>
      </c>
      <c r="P4895" s="921">
        <f t="shared" si="491"/>
        <v>11</v>
      </c>
    </row>
    <row r="4896" spans="1:16" ht="15" hidden="1" customHeight="1">
      <c r="A4896" s="839">
        <v>68940226</v>
      </c>
      <c r="B4896" s="839">
        <v>5914</v>
      </c>
      <c r="C4896" s="906">
        <v>1440</v>
      </c>
      <c r="D4896" s="907">
        <v>46085</v>
      </c>
      <c r="E4896" s="839" t="s">
        <v>472</v>
      </c>
      <c r="F4896" s="839" t="s">
        <v>303</v>
      </c>
      <c r="G4896" s="916">
        <f>VLOOKUP($A4896,'Tech Litons'!$A:$I,8,FALSE)</f>
        <v>3.7839999999999996E-3</v>
      </c>
      <c r="H4896" s="917">
        <f>VLOOKUP($A4896,'Tech Litons'!$A:$I,9,FALSE)</f>
        <v>240</v>
      </c>
      <c r="I4896" s="917" t="str">
        <f>VLOOKUP($A4896,'Tech Litons'!$A:$C,3,0)</f>
        <v>BJ PTS</v>
      </c>
      <c r="J4896" s="918" t="str">
        <f t="shared" si="486"/>
        <v>5914BJ PTS</v>
      </c>
      <c r="K4896" s="919">
        <v>1</v>
      </c>
      <c r="L4896" s="920">
        <f t="shared" si="487"/>
        <v>1440</v>
      </c>
      <c r="M4896" s="920">
        <f t="shared" si="488"/>
        <v>5.4489599999999996</v>
      </c>
      <c r="N4896" s="920">
        <f t="shared" si="489"/>
        <v>6</v>
      </c>
      <c r="O4896" s="918" t="str">
        <f t="shared" si="490"/>
        <v>Mar</v>
      </c>
      <c r="P4896" s="921">
        <f t="shared" si="491"/>
        <v>10</v>
      </c>
    </row>
    <row r="4897" spans="1:16" ht="15" hidden="1" customHeight="1">
      <c r="A4897" s="839">
        <v>68940226</v>
      </c>
      <c r="B4897" s="839">
        <v>5914</v>
      </c>
      <c r="C4897" s="906">
        <v>14933</v>
      </c>
      <c r="D4897" s="907">
        <v>46086</v>
      </c>
      <c r="E4897" s="839" t="s">
        <v>472</v>
      </c>
      <c r="F4897" s="839" t="s">
        <v>303</v>
      </c>
      <c r="G4897" s="916">
        <f>VLOOKUP($A4897,'Tech Litons'!$A:$I,8,FALSE)</f>
        <v>3.7839999999999996E-3</v>
      </c>
      <c r="H4897" s="917">
        <f>VLOOKUP($A4897,'Tech Litons'!$A:$I,9,FALSE)</f>
        <v>240</v>
      </c>
      <c r="I4897" s="917" t="str">
        <f>VLOOKUP($A4897,'Tech Litons'!$A:$C,3,0)</f>
        <v>BJ PTS</v>
      </c>
      <c r="J4897" s="918" t="str">
        <f t="shared" si="486"/>
        <v>5914BJ PTS</v>
      </c>
      <c r="K4897" s="919">
        <v>1</v>
      </c>
      <c r="L4897" s="920">
        <f t="shared" si="487"/>
        <v>14933</v>
      </c>
      <c r="M4897" s="920">
        <f t="shared" si="488"/>
        <v>56.506471999999995</v>
      </c>
      <c r="N4897" s="920">
        <f t="shared" si="489"/>
        <v>62.220833333333331</v>
      </c>
      <c r="O4897" s="918" t="str">
        <f t="shared" si="490"/>
        <v>Mar</v>
      </c>
      <c r="P4897" s="921">
        <f t="shared" si="491"/>
        <v>10</v>
      </c>
    </row>
    <row r="4898" spans="1:16" ht="15" hidden="1" customHeight="1">
      <c r="A4898" s="839">
        <v>69797289</v>
      </c>
      <c r="B4898" s="839">
        <v>5914</v>
      </c>
      <c r="C4898" s="906">
        <v>9600</v>
      </c>
      <c r="D4898" s="907">
        <v>46097</v>
      </c>
      <c r="E4898" s="839" t="s">
        <v>473</v>
      </c>
      <c r="F4898" s="839" t="s">
        <v>303</v>
      </c>
      <c r="G4898" s="916">
        <f>VLOOKUP($A4898,'Tech Litons'!$A:$I,8,FALSE)</f>
        <v>3.7839999999999996E-3</v>
      </c>
      <c r="H4898" s="917">
        <f>VLOOKUP($A4898,'Tech Litons'!$A:$I,9,FALSE)</f>
        <v>240</v>
      </c>
      <c r="I4898" s="917" t="str">
        <f>VLOOKUP($A4898,'Tech Litons'!$A:$C,3,0)</f>
        <v>BJ PTS</v>
      </c>
      <c r="J4898" s="918" t="str">
        <f t="shared" si="486"/>
        <v>5914BJ PTS</v>
      </c>
      <c r="K4898" s="919">
        <v>1</v>
      </c>
      <c r="L4898" s="920">
        <f t="shared" si="487"/>
        <v>9600</v>
      </c>
      <c r="M4898" s="920">
        <f t="shared" si="488"/>
        <v>36.3264</v>
      </c>
      <c r="N4898" s="920">
        <f t="shared" si="489"/>
        <v>40</v>
      </c>
      <c r="O4898" s="918" t="str">
        <f t="shared" si="490"/>
        <v>Mar</v>
      </c>
      <c r="P4898" s="921">
        <f t="shared" si="491"/>
        <v>12</v>
      </c>
    </row>
    <row r="4899" spans="1:16" ht="15" hidden="1" customHeight="1">
      <c r="A4899" s="839">
        <v>69797289</v>
      </c>
      <c r="B4899" s="839">
        <v>5914</v>
      </c>
      <c r="C4899" s="906">
        <v>6645</v>
      </c>
      <c r="D4899" s="907">
        <v>46098</v>
      </c>
      <c r="E4899" s="839" t="s">
        <v>473</v>
      </c>
      <c r="F4899" s="839" t="s">
        <v>303</v>
      </c>
      <c r="G4899" s="916">
        <f>VLOOKUP($A4899,'Tech Litons'!$A:$I,8,FALSE)</f>
        <v>3.7839999999999996E-3</v>
      </c>
      <c r="H4899" s="917">
        <f>VLOOKUP($A4899,'Tech Litons'!$A:$I,9,FALSE)</f>
        <v>240</v>
      </c>
      <c r="I4899" s="917" t="str">
        <f>VLOOKUP($A4899,'Tech Litons'!$A:$C,3,0)</f>
        <v>BJ PTS</v>
      </c>
      <c r="J4899" s="918" t="str">
        <f t="shared" si="486"/>
        <v>5914BJ PTS</v>
      </c>
      <c r="K4899" s="919">
        <v>1</v>
      </c>
      <c r="L4899" s="920">
        <f t="shared" si="487"/>
        <v>6645</v>
      </c>
      <c r="M4899" s="920">
        <f t="shared" si="488"/>
        <v>25.144679999999997</v>
      </c>
      <c r="N4899" s="920">
        <f t="shared" si="489"/>
        <v>27.6875</v>
      </c>
      <c r="O4899" s="918" t="str">
        <f t="shared" si="490"/>
        <v>Mar</v>
      </c>
      <c r="P4899" s="921">
        <f t="shared" si="491"/>
        <v>12</v>
      </c>
    </row>
    <row r="4900" spans="1:16" ht="15" hidden="1" customHeight="1">
      <c r="A4900" s="839">
        <v>69797289</v>
      </c>
      <c r="B4900" s="839">
        <v>5914</v>
      </c>
      <c r="C4900" s="906">
        <v>-240</v>
      </c>
      <c r="D4900" s="907">
        <v>46099</v>
      </c>
      <c r="E4900" s="839" t="s">
        <v>473</v>
      </c>
      <c r="F4900" s="839" t="s">
        <v>303</v>
      </c>
      <c r="G4900" s="916">
        <f>VLOOKUP($A4900,'Tech Litons'!$A:$I,8,FALSE)</f>
        <v>3.7839999999999996E-3</v>
      </c>
      <c r="H4900" s="917">
        <f>VLOOKUP($A4900,'Tech Litons'!$A:$I,9,FALSE)</f>
        <v>240</v>
      </c>
      <c r="I4900" s="917" t="str">
        <f>VLOOKUP($A4900,'Tech Litons'!$A:$C,3,0)</f>
        <v>BJ PTS</v>
      </c>
      <c r="J4900" s="918" t="str">
        <f t="shared" si="486"/>
        <v>5914BJ PTS</v>
      </c>
      <c r="K4900" s="919">
        <v>1</v>
      </c>
      <c r="L4900" s="920">
        <f t="shared" si="487"/>
        <v>-240</v>
      </c>
      <c r="M4900" s="920">
        <f t="shared" si="488"/>
        <v>-0.90815999999999986</v>
      </c>
      <c r="N4900" s="920">
        <f t="shared" si="489"/>
        <v>-1</v>
      </c>
      <c r="O4900" s="918" t="str">
        <f t="shared" si="490"/>
        <v>Mar</v>
      </c>
      <c r="P4900" s="921">
        <f t="shared" si="491"/>
        <v>12</v>
      </c>
    </row>
    <row r="4901" spans="1:16" ht="15" hidden="1" customHeight="1">
      <c r="A4901" s="839">
        <v>69797296</v>
      </c>
      <c r="B4901" s="839">
        <v>5914</v>
      </c>
      <c r="C4901" s="906">
        <v>7440</v>
      </c>
      <c r="D4901" s="907">
        <v>46087</v>
      </c>
      <c r="E4901" s="839" t="s">
        <v>474</v>
      </c>
      <c r="F4901" s="839" t="s">
        <v>303</v>
      </c>
      <c r="G4901" s="916">
        <f>VLOOKUP($A4901,'Tech Litons'!$A:$I,8,FALSE)</f>
        <v>3.7839999999999996E-3</v>
      </c>
      <c r="H4901" s="917">
        <f>VLOOKUP($A4901,'Tech Litons'!$A:$I,9,FALSE)</f>
        <v>240</v>
      </c>
      <c r="I4901" s="917" t="str">
        <f>VLOOKUP($A4901,'Tech Litons'!$A:$C,3,0)</f>
        <v>BJ PTS</v>
      </c>
      <c r="J4901" s="918" t="str">
        <f t="shared" si="486"/>
        <v>5914BJ PTS</v>
      </c>
      <c r="K4901" s="919">
        <v>1</v>
      </c>
      <c r="L4901" s="920">
        <f t="shared" si="487"/>
        <v>7440</v>
      </c>
      <c r="M4901" s="920">
        <f t="shared" si="488"/>
        <v>28.152959999999997</v>
      </c>
      <c r="N4901" s="920">
        <f t="shared" si="489"/>
        <v>31</v>
      </c>
      <c r="O4901" s="918" t="str">
        <f t="shared" si="490"/>
        <v>Mar</v>
      </c>
      <c r="P4901" s="921">
        <f t="shared" si="491"/>
        <v>10</v>
      </c>
    </row>
    <row r="4902" spans="1:16" ht="15" hidden="1" customHeight="1">
      <c r="A4902" s="839">
        <v>69797296</v>
      </c>
      <c r="B4902" s="839">
        <v>5914</v>
      </c>
      <c r="C4902" s="906">
        <v>29040</v>
      </c>
      <c r="D4902" s="907">
        <v>46088</v>
      </c>
      <c r="E4902" s="839" t="s">
        <v>474</v>
      </c>
      <c r="F4902" s="839" t="s">
        <v>303</v>
      </c>
      <c r="G4902" s="916">
        <f>VLOOKUP($A4902,'Tech Litons'!$A:$I,8,FALSE)</f>
        <v>3.7839999999999996E-3</v>
      </c>
      <c r="H4902" s="917">
        <f>VLOOKUP($A4902,'Tech Litons'!$A:$I,9,FALSE)</f>
        <v>240</v>
      </c>
      <c r="I4902" s="917" t="str">
        <f>VLOOKUP($A4902,'Tech Litons'!$A:$C,3,0)</f>
        <v>BJ PTS</v>
      </c>
      <c r="J4902" s="918" t="str">
        <f t="shared" si="486"/>
        <v>5914BJ PTS</v>
      </c>
      <c r="K4902" s="919">
        <v>1</v>
      </c>
      <c r="L4902" s="920">
        <f t="shared" si="487"/>
        <v>29040</v>
      </c>
      <c r="M4902" s="920">
        <f t="shared" si="488"/>
        <v>109.88735999999999</v>
      </c>
      <c r="N4902" s="920">
        <f t="shared" si="489"/>
        <v>121</v>
      </c>
      <c r="O4902" s="918" t="str">
        <f t="shared" si="490"/>
        <v>Mar</v>
      </c>
      <c r="P4902" s="921">
        <f t="shared" si="491"/>
        <v>10</v>
      </c>
    </row>
    <row r="4903" spans="1:16" ht="15" hidden="1" customHeight="1">
      <c r="A4903" s="839">
        <v>69797296</v>
      </c>
      <c r="B4903" s="839">
        <v>5914</v>
      </c>
      <c r="C4903" s="906">
        <v>74</v>
      </c>
      <c r="D4903" s="907">
        <v>46089</v>
      </c>
      <c r="E4903" s="839" t="s">
        <v>474</v>
      </c>
      <c r="F4903" s="839" t="s">
        <v>303</v>
      </c>
      <c r="G4903" s="916">
        <f>VLOOKUP($A4903,'Tech Litons'!$A:$I,8,FALSE)</f>
        <v>3.7839999999999996E-3</v>
      </c>
      <c r="H4903" s="917">
        <f>VLOOKUP($A4903,'Tech Litons'!$A:$I,9,FALSE)</f>
        <v>240</v>
      </c>
      <c r="I4903" s="917" t="str">
        <f>VLOOKUP($A4903,'Tech Litons'!$A:$C,3,0)</f>
        <v>BJ PTS</v>
      </c>
      <c r="J4903" s="918" t="str">
        <f t="shared" si="486"/>
        <v>5914BJ PTS</v>
      </c>
      <c r="K4903" s="919">
        <v>1</v>
      </c>
      <c r="L4903" s="920">
        <f t="shared" si="487"/>
        <v>74</v>
      </c>
      <c r="M4903" s="920">
        <f t="shared" si="488"/>
        <v>0.28001599999999999</v>
      </c>
      <c r="N4903" s="920">
        <f t="shared" si="489"/>
        <v>0.30833333333333335</v>
      </c>
      <c r="O4903" s="918" t="str">
        <f t="shared" si="490"/>
        <v>Mar</v>
      </c>
      <c r="P4903" s="921">
        <f t="shared" si="491"/>
        <v>11</v>
      </c>
    </row>
    <row r="4904" spans="1:16" ht="15" hidden="1" customHeight="1">
      <c r="A4904" s="839">
        <v>69997338</v>
      </c>
      <c r="B4904" s="839">
        <v>5914</v>
      </c>
      <c r="C4904" s="906">
        <v>3625</v>
      </c>
      <c r="D4904" s="907">
        <v>46100</v>
      </c>
      <c r="E4904" s="839" t="s">
        <v>372</v>
      </c>
      <c r="F4904" s="839" t="s">
        <v>303</v>
      </c>
      <c r="G4904" s="916">
        <f>VLOOKUP($A4904,'Tech Litons'!$A:$I,8,FALSE)</f>
        <v>9.0850000000000011E-3</v>
      </c>
      <c r="H4904" s="917">
        <f>VLOOKUP($A4904,'Tech Litons'!$A:$I,9,FALSE)</f>
        <v>125</v>
      </c>
      <c r="I4904" s="917" t="str">
        <f>VLOOKUP($A4904,'Tech Litons'!$A:$C,3,0)</f>
        <v>2.4 Gal</v>
      </c>
      <c r="J4904" s="918" t="str">
        <f t="shared" si="486"/>
        <v>59142.4 Gal</v>
      </c>
      <c r="K4904" s="919">
        <v>1</v>
      </c>
      <c r="L4904" s="920">
        <f t="shared" si="487"/>
        <v>3625</v>
      </c>
      <c r="M4904" s="920">
        <f t="shared" si="488"/>
        <v>32.933125000000004</v>
      </c>
      <c r="N4904" s="920">
        <f t="shared" si="489"/>
        <v>29</v>
      </c>
      <c r="O4904" s="918" t="str">
        <f t="shared" si="490"/>
        <v>Mar</v>
      </c>
      <c r="P4904" s="921">
        <f t="shared" si="491"/>
        <v>12</v>
      </c>
    </row>
    <row r="4905" spans="1:16" ht="15" hidden="1" customHeight="1">
      <c r="A4905" s="839">
        <v>69997338</v>
      </c>
      <c r="B4905" s="839">
        <v>5914</v>
      </c>
      <c r="C4905" s="906">
        <v>2666</v>
      </c>
      <c r="D4905" s="907">
        <v>46101</v>
      </c>
      <c r="E4905" s="839" t="s">
        <v>372</v>
      </c>
      <c r="F4905" s="839" t="s">
        <v>303</v>
      </c>
      <c r="G4905" s="916">
        <f>VLOOKUP($A4905,'Tech Litons'!$A:$I,8,FALSE)</f>
        <v>9.0850000000000011E-3</v>
      </c>
      <c r="H4905" s="917">
        <f>VLOOKUP($A4905,'Tech Litons'!$A:$I,9,FALSE)</f>
        <v>125</v>
      </c>
      <c r="I4905" s="917" t="str">
        <f>VLOOKUP($A4905,'Tech Litons'!$A:$C,3,0)</f>
        <v>2.4 Gal</v>
      </c>
      <c r="J4905" s="918" t="str">
        <f t="shared" si="486"/>
        <v>59142.4 Gal</v>
      </c>
      <c r="K4905" s="919">
        <v>1</v>
      </c>
      <c r="L4905" s="920">
        <f t="shared" si="487"/>
        <v>2666</v>
      </c>
      <c r="M4905" s="920">
        <f t="shared" si="488"/>
        <v>24.220610000000004</v>
      </c>
      <c r="N4905" s="920">
        <f t="shared" si="489"/>
        <v>21.327999999999999</v>
      </c>
      <c r="O4905" s="918" t="str">
        <f t="shared" si="490"/>
        <v>Mar</v>
      </c>
      <c r="P4905" s="921">
        <f t="shared" si="491"/>
        <v>12</v>
      </c>
    </row>
    <row r="4906" spans="1:16" ht="15" hidden="1" customHeight="1">
      <c r="A4906" s="839">
        <v>69999266</v>
      </c>
      <c r="B4906" s="839">
        <v>5914</v>
      </c>
      <c r="C4906" s="906">
        <v>4560</v>
      </c>
      <c r="D4906" s="907">
        <v>46097</v>
      </c>
      <c r="E4906" s="839" t="s">
        <v>298</v>
      </c>
      <c r="F4906" s="839" t="s">
        <v>303</v>
      </c>
      <c r="G4906" s="916">
        <f>VLOOKUP($A4906,'Tech Litons'!$A:$I,8,FALSE)</f>
        <v>3.7839999999999996E-3</v>
      </c>
      <c r="H4906" s="917">
        <f>VLOOKUP($A4906,'Tech Litons'!$A:$I,9,FALSE)</f>
        <v>240</v>
      </c>
      <c r="I4906" s="917" t="str">
        <f>VLOOKUP($A4906,'Tech Litons'!$A:$C,3,0)</f>
        <v>BJ PTS</v>
      </c>
      <c r="J4906" s="918" t="str">
        <f t="shared" si="486"/>
        <v>5914BJ PTS</v>
      </c>
      <c r="K4906" s="919">
        <v>1</v>
      </c>
      <c r="L4906" s="920">
        <f t="shared" si="487"/>
        <v>4560</v>
      </c>
      <c r="M4906" s="920">
        <f t="shared" si="488"/>
        <v>17.255039999999997</v>
      </c>
      <c r="N4906" s="920">
        <f t="shared" si="489"/>
        <v>19</v>
      </c>
      <c r="O4906" s="918" t="str">
        <f t="shared" si="490"/>
        <v>Mar</v>
      </c>
      <c r="P4906" s="921">
        <f t="shared" si="491"/>
        <v>12</v>
      </c>
    </row>
    <row r="4907" spans="1:16" ht="15" hidden="1" customHeight="1">
      <c r="A4907" s="839">
        <v>69999266</v>
      </c>
      <c r="B4907" s="839">
        <v>5914</v>
      </c>
      <c r="C4907" s="906">
        <v>18978</v>
      </c>
      <c r="D4907" s="907">
        <v>46098</v>
      </c>
      <c r="E4907" s="839" t="s">
        <v>298</v>
      </c>
      <c r="F4907" s="839" t="s">
        <v>303</v>
      </c>
      <c r="G4907" s="916">
        <f>VLOOKUP($A4907,'Tech Litons'!$A:$I,8,FALSE)</f>
        <v>3.7839999999999996E-3</v>
      </c>
      <c r="H4907" s="917">
        <f>VLOOKUP($A4907,'Tech Litons'!$A:$I,9,FALSE)</f>
        <v>240</v>
      </c>
      <c r="I4907" s="917" t="str">
        <f>VLOOKUP($A4907,'Tech Litons'!$A:$C,3,0)</f>
        <v>BJ PTS</v>
      </c>
      <c r="J4907" s="918" t="str">
        <f t="shared" si="486"/>
        <v>5914BJ PTS</v>
      </c>
      <c r="K4907" s="919">
        <v>1</v>
      </c>
      <c r="L4907" s="920">
        <f t="shared" si="487"/>
        <v>18978</v>
      </c>
      <c r="M4907" s="920">
        <f t="shared" si="488"/>
        <v>71.812751999999989</v>
      </c>
      <c r="N4907" s="920">
        <f t="shared" si="489"/>
        <v>79.075000000000003</v>
      </c>
      <c r="O4907" s="918" t="str">
        <f t="shared" si="490"/>
        <v>Mar</v>
      </c>
      <c r="P4907" s="921">
        <f t="shared" si="491"/>
        <v>12</v>
      </c>
    </row>
    <row r="4908" spans="1:16" ht="15" hidden="1" customHeight="1">
      <c r="A4908" s="839">
        <v>69999267</v>
      </c>
      <c r="B4908" s="839">
        <v>5914</v>
      </c>
      <c r="C4908" s="906">
        <v>7920</v>
      </c>
      <c r="D4908" s="907">
        <v>46077</v>
      </c>
      <c r="E4908" s="839" t="s">
        <v>335</v>
      </c>
      <c r="F4908" s="839" t="s">
        <v>303</v>
      </c>
      <c r="G4908" s="916">
        <f>VLOOKUP($A4908,'Tech Litons'!$A:$I,8,FALSE)</f>
        <v>3.7839999999999996E-3</v>
      </c>
      <c r="H4908" s="917">
        <f>VLOOKUP($A4908,'Tech Litons'!$A:$I,9,FALSE)</f>
        <v>240</v>
      </c>
      <c r="I4908" s="917" t="str">
        <f>VLOOKUP($A4908,'Tech Litons'!$A:$C,3,0)</f>
        <v>BJ PTS</v>
      </c>
      <c r="J4908" s="918" t="str">
        <f t="shared" si="486"/>
        <v>5914BJ PTS</v>
      </c>
      <c r="K4908" s="919">
        <v>1</v>
      </c>
      <c r="L4908" s="920">
        <f t="shared" si="487"/>
        <v>7920</v>
      </c>
      <c r="M4908" s="920">
        <f t="shared" si="488"/>
        <v>29.969279999999998</v>
      </c>
      <c r="N4908" s="920">
        <f t="shared" si="489"/>
        <v>33</v>
      </c>
      <c r="O4908" s="918" t="str">
        <f t="shared" si="490"/>
        <v>Feb</v>
      </c>
      <c r="P4908" s="921">
        <f t="shared" si="491"/>
        <v>9</v>
      </c>
    </row>
    <row r="4909" spans="1:16" ht="15" hidden="1" customHeight="1">
      <c r="A4909" s="839">
        <v>69999267</v>
      </c>
      <c r="B4909" s="839">
        <v>5914</v>
      </c>
      <c r="C4909" s="906">
        <v>26729</v>
      </c>
      <c r="D4909" s="907">
        <v>46078</v>
      </c>
      <c r="E4909" s="839" t="s">
        <v>335</v>
      </c>
      <c r="F4909" s="839" t="s">
        <v>303</v>
      </c>
      <c r="G4909" s="916">
        <f>VLOOKUP($A4909,'Tech Litons'!$A:$I,8,FALSE)</f>
        <v>3.7839999999999996E-3</v>
      </c>
      <c r="H4909" s="917">
        <f>VLOOKUP($A4909,'Tech Litons'!$A:$I,9,FALSE)</f>
        <v>240</v>
      </c>
      <c r="I4909" s="917" t="str">
        <f>VLOOKUP($A4909,'Tech Litons'!$A:$C,3,0)</f>
        <v>BJ PTS</v>
      </c>
      <c r="J4909" s="918" t="str">
        <f t="shared" si="486"/>
        <v>5914BJ PTS</v>
      </c>
      <c r="K4909" s="919">
        <v>1</v>
      </c>
      <c r="L4909" s="920">
        <f t="shared" si="487"/>
        <v>26729</v>
      </c>
      <c r="M4909" s="920">
        <f t="shared" si="488"/>
        <v>101.14253599999999</v>
      </c>
      <c r="N4909" s="920">
        <f t="shared" si="489"/>
        <v>111.37083333333334</v>
      </c>
      <c r="O4909" s="918" t="str">
        <f t="shared" si="490"/>
        <v>Feb</v>
      </c>
      <c r="P4909" s="921">
        <f t="shared" si="491"/>
        <v>9</v>
      </c>
    </row>
    <row r="4910" spans="1:16" ht="15" hidden="1" customHeight="1">
      <c r="A4910" s="839">
        <v>69999268</v>
      </c>
      <c r="B4910" s="839">
        <v>5914</v>
      </c>
      <c r="C4910" s="906">
        <v>18000</v>
      </c>
      <c r="D4910" s="907">
        <v>46104</v>
      </c>
      <c r="E4910" s="839" t="s">
        <v>351</v>
      </c>
      <c r="F4910" s="839" t="s">
        <v>303</v>
      </c>
      <c r="G4910" s="916">
        <f>VLOOKUP($A4910,'Tech Litons'!$A:$I,8,FALSE)</f>
        <v>3.7839999999999996E-3</v>
      </c>
      <c r="H4910" s="917">
        <f>VLOOKUP($A4910,'Tech Litons'!$A:$I,9,FALSE)</f>
        <v>240</v>
      </c>
      <c r="I4910" s="917" t="str">
        <f>VLOOKUP($A4910,'Tech Litons'!$A:$C,3,0)</f>
        <v>BJ PTS</v>
      </c>
      <c r="J4910" s="918" t="str">
        <f t="shared" si="486"/>
        <v>5914BJ PTS</v>
      </c>
      <c r="K4910" s="919">
        <v>1</v>
      </c>
      <c r="L4910" s="920">
        <f t="shared" si="487"/>
        <v>18000</v>
      </c>
      <c r="M4910" s="920">
        <f t="shared" si="488"/>
        <v>68.111999999999995</v>
      </c>
      <c r="N4910" s="920">
        <f t="shared" si="489"/>
        <v>75</v>
      </c>
      <c r="O4910" s="918" t="str">
        <f t="shared" si="490"/>
        <v>Mar</v>
      </c>
      <c r="P4910" s="921">
        <f t="shared" si="491"/>
        <v>13</v>
      </c>
    </row>
    <row r="4911" spans="1:16" ht="15" hidden="1" customHeight="1">
      <c r="A4911" s="839">
        <v>69999268</v>
      </c>
      <c r="B4911" s="839">
        <v>5914</v>
      </c>
      <c r="C4911" s="906">
        <v>1708</v>
      </c>
      <c r="D4911" s="907">
        <v>46105</v>
      </c>
      <c r="E4911" s="839" t="s">
        <v>351</v>
      </c>
      <c r="F4911" s="839" t="s">
        <v>303</v>
      </c>
      <c r="G4911" s="916">
        <f>VLOOKUP($A4911,'Tech Litons'!$A:$I,8,FALSE)</f>
        <v>3.7839999999999996E-3</v>
      </c>
      <c r="H4911" s="917">
        <f>VLOOKUP($A4911,'Tech Litons'!$A:$I,9,FALSE)</f>
        <v>240</v>
      </c>
      <c r="I4911" s="917" t="str">
        <f>VLOOKUP($A4911,'Tech Litons'!$A:$C,3,0)</f>
        <v>BJ PTS</v>
      </c>
      <c r="J4911" s="918" t="str">
        <f t="shared" si="486"/>
        <v>5914BJ PTS</v>
      </c>
      <c r="K4911" s="919">
        <v>1</v>
      </c>
      <c r="L4911" s="920">
        <f t="shared" si="487"/>
        <v>1708</v>
      </c>
      <c r="M4911" s="920">
        <f t="shared" si="488"/>
        <v>6.4630719999999995</v>
      </c>
      <c r="N4911" s="920">
        <f t="shared" si="489"/>
        <v>7.1166666666666663</v>
      </c>
      <c r="O4911" s="918" t="str">
        <f t="shared" si="490"/>
        <v>Mar</v>
      </c>
      <c r="P4911" s="921">
        <f t="shared" si="491"/>
        <v>13</v>
      </c>
    </row>
    <row r="4912" spans="1:16" ht="15" hidden="1" customHeight="1">
      <c r="A4912" s="839">
        <v>69999269</v>
      </c>
      <c r="B4912" s="839">
        <v>5914</v>
      </c>
      <c r="C4912" s="906">
        <v>-240</v>
      </c>
      <c r="D4912" s="907">
        <v>46076</v>
      </c>
      <c r="E4912" s="839" t="s">
        <v>300</v>
      </c>
      <c r="F4912" s="839" t="s">
        <v>301</v>
      </c>
      <c r="G4912" s="916">
        <f>VLOOKUP($A4912,'Tech Litons'!$A:$I,8,FALSE)</f>
        <v>3.7839999999999996E-3</v>
      </c>
      <c r="H4912" s="917">
        <f>VLOOKUP($A4912,'Tech Litons'!$A:$I,9,FALSE)</f>
        <v>240</v>
      </c>
      <c r="I4912" s="917" t="str">
        <f>VLOOKUP($A4912,'Tech Litons'!$A:$C,3,0)</f>
        <v>BJ PTS</v>
      </c>
      <c r="J4912" s="918" t="str">
        <f t="shared" si="486"/>
        <v>5914BJ PTS</v>
      </c>
      <c r="K4912" s="919">
        <v>1</v>
      </c>
      <c r="L4912" s="920">
        <f t="shared" si="487"/>
        <v>-240</v>
      </c>
      <c r="M4912" s="920">
        <f t="shared" si="488"/>
        <v>-0.90815999999999986</v>
      </c>
      <c r="N4912" s="920">
        <f t="shared" si="489"/>
        <v>-1</v>
      </c>
      <c r="O4912" s="918" t="str">
        <f t="shared" si="490"/>
        <v>Feb</v>
      </c>
      <c r="P4912" s="921">
        <f t="shared" si="491"/>
        <v>9</v>
      </c>
    </row>
    <row r="4913" spans="1:16" ht="15" hidden="1" customHeight="1">
      <c r="A4913" s="839">
        <v>69999269</v>
      </c>
      <c r="B4913" s="839">
        <v>5914</v>
      </c>
      <c r="C4913" s="906">
        <v>17760</v>
      </c>
      <c r="D4913" s="907">
        <v>46085</v>
      </c>
      <c r="E4913" s="839" t="s">
        <v>300</v>
      </c>
      <c r="F4913" s="839" t="s">
        <v>301</v>
      </c>
      <c r="G4913" s="916">
        <f>VLOOKUP($A4913,'Tech Litons'!$A:$I,8,FALSE)</f>
        <v>3.7839999999999996E-3</v>
      </c>
      <c r="H4913" s="917">
        <f>VLOOKUP($A4913,'Tech Litons'!$A:$I,9,FALSE)</f>
        <v>240</v>
      </c>
      <c r="I4913" s="917" t="str">
        <f>VLOOKUP($A4913,'Tech Litons'!$A:$C,3,0)</f>
        <v>BJ PTS</v>
      </c>
      <c r="J4913" s="918" t="str">
        <f t="shared" si="486"/>
        <v>5914BJ PTS</v>
      </c>
      <c r="K4913" s="919">
        <v>1</v>
      </c>
      <c r="L4913" s="920">
        <f t="shared" si="487"/>
        <v>17760</v>
      </c>
      <c r="M4913" s="920">
        <f t="shared" si="488"/>
        <v>67.20384</v>
      </c>
      <c r="N4913" s="920">
        <f t="shared" si="489"/>
        <v>74</v>
      </c>
      <c r="O4913" s="918" t="str">
        <f t="shared" si="490"/>
        <v>Mar</v>
      </c>
      <c r="P4913" s="921">
        <f t="shared" si="491"/>
        <v>10</v>
      </c>
    </row>
    <row r="4914" spans="1:16" ht="15" hidden="1" customHeight="1">
      <c r="A4914" s="839">
        <v>69999269</v>
      </c>
      <c r="B4914" s="839">
        <v>5914</v>
      </c>
      <c r="C4914" s="906">
        <v>42129</v>
      </c>
      <c r="D4914" s="907">
        <v>46086</v>
      </c>
      <c r="E4914" s="839" t="s">
        <v>300</v>
      </c>
      <c r="F4914" s="839" t="s">
        <v>301</v>
      </c>
      <c r="G4914" s="916">
        <f>VLOOKUP($A4914,'Tech Litons'!$A:$I,8,FALSE)</f>
        <v>3.7839999999999996E-3</v>
      </c>
      <c r="H4914" s="917">
        <f>VLOOKUP($A4914,'Tech Litons'!$A:$I,9,FALSE)</f>
        <v>240</v>
      </c>
      <c r="I4914" s="917" t="str">
        <f>VLOOKUP($A4914,'Tech Litons'!$A:$C,3,0)</f>
        <v>BJ PTS</v>
      </c>
      <c r="J4914" s="918" t="str">
        <f t="shared" ref="J4914:J4973" si="492">B4914&amp;I4914</f>
        <v>5914BJ PTS</v>
      </c>
      <c r="K4914" s="919">
        <v>1</v>
      </c>
      <c r="L4914" s="920">
        <f t="shared" ref="L4914:L4973" si="493">C4914*$K4914</f>
        <v>42129</v>
      </c>
      <c r="M4914" s="920">
        <f t="shared" ref="M4914:M4973" si="494">L4914*G4914</f>
        <v>159.41613599999999</v>
      </c>
      <c r="N4914" s="920">
        <f t="shared" ref="N4914:N4973" si="495">L4914/H4914</f>
        <v>175.53749999999999</v>
      </c>
      <c r="O4914" s="918" t="str">
        <f t="shared" ref="O4914:O4973" si="496">TEXT(D4914,"MMM")</f>
        <v>Mar</v>
      </c>
      <c r="P4914" s="921">
        <f t="shared" ref="P4914:P4973" si="497">WEEKNUM(D4914)</f>
        <v>10</v>
      </c>
    </row>
    <row r="4915" spans="1:16" ht="15" hidden="1" customHeight="1">
      <c r="A4915" s="839">
        <v>69999269</v>
      </c>
      <c r="B4915" s="839">
        <v>5914</v>
      </c>
      <c r="C4915" s="906">
        <v>37419</v>
      </c>
      <c r="D4915" s="907">
        <v>46087</v>
      </c>
      <c r="E4915" s="839" t="s">
        <v>300</v>
      </c>
      <c r="F4915" s="839" t="s">
        <v>301</v>
      </c>
      <c r="G4915" s="916">
        <f>VLOOKUP($A4915,'Tech Litons'!$A:$I,8,FALSE)</f>
        <v>3.7839999999999996E-3</v>
      </c>
      <c r="H4915" s="917">
        <f>VLOOKUP($A4915,'Tech Litons'!$A:$I,9,FALSE)</f>
        <v>240</v>
      </c>
      <c r="I4915" s="917" t="str">
        <f>VLOOKUP($A4915,'Tech Litons'!$A:$C,3,0)</f>
        <v>BJ PTS</v>
      </c>
      <c r="J4915" s="918" t="str">
        <f t="shared" si="492"/>
        <v>5914BJ PTS</v>
      </c>
      <c r="K4915" s="919">
        <v>1</v>
      </c>
      <c r="L4915" s="920">
        <f t="shared" si="493"/>
        <v>37419</v>
      </c>
      <c r="M4915" s="920">
        <f t="shared" si="494"/>
        <v>141.59349599999999</v>
      </c>
      <c r="N4915" s="920">
        <f t="shared" si="495"/>
        <v>155.91249999999999</v>
      </c>
      <c r="O4915" s="918" t="str">
        <f t="shared" si="496"/>
        <v>Mar</v>
      </c>
      <c r="P4915" s="921">
        <f t="shared" si="497"/>
        <v>10</v>
      </c>
    </row>
    <row r="4916" spans="1:16" ht="15" hidden="1" customHeight="1">
      <c r="A4916" s="839">
        <v>69999269</v>
      </c>
      <c r="B4916" s="839">
        <v>5914</v>
      </c>
      <c r="C4916" s="906">
        <v>14400</v>
      </c>
      <c r="D4916" s="907">
        <v>46093</v>
      </c>
      <c r="E4916" s="839" t="s">
        <v>300</v>
      </c>
      <c r="F4916" s="839" t="s">
        <v>301</v>
      </c>
      <c r="G4916" s="916">
        <f>VLOOKUP($A4916,'Tech Litons'!$A:$I,8,FALSE)</f>
        <v>3.7839999999999996E-3</v>
      </c>
      <c r="H4916" s="917">
        <f>VLOOKUP($A4916,'Tech Litons'!$A:$I,9,FALSE)</f>
        <v>240</v>
      </c>
      <c r="I4916" s="917" t="str">
        <f>VLOOKUP($A4916,'Tech Litons'!$A:$C,3,0)</f>
        <v>BJ PTS</v>
      </c>
      <c r="J4916" s="918" t="str">
        <f t="shared" si="492"/>
        <v>5914BJ PTS</v>
      </c>
      <c r="K4916" s="919">
        <v>1</v>
      </c>
      <c r="L4916" s="920">
        <f t="shared" si="493"/>
        <v>14400</v>
      </c>
      <c r="M4916" s="920">
        <f t="shared" si="494"/>
        <v>54.489599999999996</v>
      </c>
      <c r="N4916" s="920">
        <f t="shared" si="495"/>
        <v>60</v>
      </c>
      <c r="O4916" s="918" t="str">
        <f t="shared" si="496"/>
        <v>Mar</v>
      </c>
      <c r="P4916" s="921">
        <f t="shared" si="497"/>
        <v>11</v>
      </c>
    </row>
    <row r="4917" spans="1:16" ht="15" hidden="1" customHeight="1">
      <c r="A4917" s="839">
        <v>69999269</v>
      </c>
      <c r="B4917" s="839">
        <v>5914</v>
      </c>
      <c r="C4917" s="906">
        <v>33840</v>
      </c>
      <c r="D4917" s="907">
        <v>46094</v>
      </c>
      <c r="E4917" s="839" t="s">
        <v>300</v>
      </c>
      <c r="F4917" s="839" t="s">
        <v>301</v>
      </c>
      <c r="G4917" s="916">
        <f>VLOOKUP($A4917,'Tech Litons'!$A:$I,8,FALSE)</f>
        <v>3.7839999999999996E-3</v>
      </c>
      <c r="H4917" s="917">
        <f>VLOOKUP($A4917,'Tech Litons'!$A:$I,9,FALSE)</f>
        <v>240</v>
      </c>
      <c r="I4917" s="917" t="str">
        <f>VLOOKUP($A4917,'Tech Litons'!$A:$C,3,0)</f>
        <v>BJ PTS</v>
      </c>
      <c r="J4917" s="918" t="str">
        <f t="shared" si="492"/>
        <v>5914BJ PTS</v>
      </c>
      <c r="K4917" s="919">
        <v>1</v>
      </c>
      <c r="L4917" s="920">
        <f t="shared" si="493"/>
        <v>33840</v>
      </c>
      <c r="M4917" s="920">
        <f t="shared" si="494"/>
        <v>128.05055999999999</v>
      </c>
      <c r="N4917" s="920">
        <f t="shared" si="495"/>
        <v>141</v>
      </c>
      <c r="O4917" s="918" t="str">
        <f t="shared" si="496"/>
        <v>Mar</v>
      </c>
      <c r="P4917" s="921">
        <f t="shared" si="497"/>
        <v>11</v>
      </c>
    </row>
    <row r="4918" spans="1:16" ht="15" hidden="1" customHeight="1">
      <c r="A4918" s="839">
        <v>69999269</v>
      </c>
      <c r="B4918" s="839">
        <v>5914</v>
      </c>
      <c r="C4918" s="906">
        <v>2340</v>
      </c>
      <c r="D4918" s="907">
        <v>46095</v>
      </c>
      <c r="E4918" s="839" t="s">
        <v>300</v>
      </c>
      <c r="F4918" s="839" t="s">
        <v>301</v>
      </c>
      <c r="G4918" s="916">
        <f>VLOOKUP($A4918,'Tech Litons'!$A:$I,8,FALSE)</f>
        <v>3.7839999999999996E-3</v>
      </c>
      <c r="H4918" s="917">
        <f>VLOOKUP($A4918,'Tech Litons'!$A:$I,9,FALSE)</f>
        <v>240</v>
      </c>
      <c r="I4918" s="917" t="str">
        <f>VLOOKUP($A4918,'Tech Litons'!$A:$C,3,0)</f>
        <v>BJ PTS</v>
      </c>
      <c r="J4918" s="918" t="str">
        <f t="shared" si="492"/>
        <v>5914BJ PTS</v>
      </c>
      <c r="K4918" s="919">
        <v>1</v>
      </c>
      <c r="L4918" s="920">
        <f t="shared" si="493"/>
        <v>2340</v>
      </c>
      <c r="M4918" s="920">
        <f t="shared" si="494"/>
        <v>8.8545599999999993</v>
      </c>
      <c r="N4918" s="920">
        <f t="shared" si="495"/>
        <v>9.75</v>
      </c>
      <c r="O4918" s="918" t="str">
        <f t="shared" si="496"/>
        <v>Mar</v>
      </c>
      <c r="P4918" s="921">
        <f t="shared" si="497"/>
        <v>11</v>
      </c>
    </row>
    <row r="4919" spans="1:16" ht="15" hidden="1" customHeight="1">
      <c r="A4919" s="839">
        <v>69999269</v>
      </c>
      <c r="B4919" s="839">
        <v>5914</v>
      </c>
      <c r="C4919" s="906">
        <v>22080</v>
      </c>
      <c r="D4919" s="907">
        <v>46105</v>
      </c>
      <c r="E4919" s="839" t="s">
        <v>300</v>
      </c>
      <c r="F4919" s="839" t="s">
        <v>303</v>
      </c>
      <c r="G4919" s="916">
        <f>VLOOKUP($A4919,'Tech Litons'!$A:$I,8,FALSE)</f>
        <v>3.7839999999999996E-3</v>
      </c>
      <c r="H4919" s="917">
        <f>VLOOKUP($A4919,'Tech Litons'!$A:$I,9,FALSE)</f>
        <v>240</v>
      </c>
      <c r="I4919" s="917" t="str">
        <f>VLOOKUP($A4919,'Tech Litons'!$A:$C,3,0)</f>
        <v>BJ PTS</v>
      </c>
      <c r="J4919" s="918" t="str">
        <f t="shared" si="492"/>
        <v>5914BJ PTS</v>
      </c>
      <c r="K4919" s="919">
        <v>1</v>
      </c>
      <c r="L4919" s="920">
        <f t="shared" si="493"/>
        <v>22080</v>
      </c>
      <c r="M4919" s="920">
        <f t="shared" si="494"/>
        <v>83.550719999999998</v>
      </c>
      <c r="N4919" s="920">
        <f t="shared" si="495"/>
        <v>92</v>
      </c>
      <c r="O4919" s="918" t="str">
        <f t="shared" si="496"/>
        <v>Mar</v>
      </c>
      <c r="P4919" s="921">
        <f t="shared" si="497"/>
        <v>13</v>
      </c>
    </row>
    <row r="4920" spans="1:16" ht="15" hidden="1" customHeight="1">
      <c r="A4920" s="839">
        <v>84135718</v>
      </c>
      <c r="B4920" s="839">
        <v>5914</v>
      </c>
      <c r="C4920" s="906">
        <v>26880</v>
      </c>
      <c r="D4920" s="907">
        <v>46091</v>
      </c>
      <c r="E4920" s="839" t="s">
        <v>338</v>
      </c>
      <c r="F4920" s="839" t="s">
        <v>301</v>
      </c>
      <c r="G4920" s="916">
        <f>VLOOKUP($A4920,'Tech Litons'!$A:$I,8,FALSE)</f>
        <v>3.7853439999999999E-3</v>
      </c>
      <c r="H4920" s="917">
        <f>VLOOKUP($A4920,'Tech Litons'!$A:$I,9,FALSE)</f>
        <v>240</v>
      </c>
      <c r="I4920" s="917" t="str">
        <f>VLOOKUP($A4920,'Tech Litons'!$A:$C,3,0)</f>
        <v>BJ PTS</v>
      </c>
      <c r="J4920" s="918" t="str">
        <f t="shared" si="492"/>
        <v>5914BJ PTS</v>
      </c>
      <c r="K4920" s="919">
        <v>1</v>
      </c>
      <c r="L4920" s="920">
        <f t="shared" si="493"/>
        <v>26880</v>
      </c>
      <c r="M4920" s="920">
        <f t="shared" si="494"/>
        <v>101.75004672</v>
      </c>
      <c r="N4920" s="920">
        <f t="shared" si="495"/>
        <v>112</v>
      </c>
      <c r="O4920" s="918" t="str">
        <f t="shared" si="496"/>
        <v>Mar</v>
      </c>
      <c r="P4920" s="921">
        <f t="shared" si="497"/>
        <v>11</v>
      </c>
    </row>
    <row r="4921" spans="1:16" ht="15" hidden="1" customHeight="1">
      <c r="A4921" s="839">
        <v>84135718</v>
      </c>
      <c r="B4921" s="839">
        <v>5914</v>
      </c>
      <c r="C4921" s="906">
        <v>39600</v>
      </c>
      <c r="D4921" s="907">
        <v>46092</v>
      </c>
      <c r="E4921" s="839" t="s">
        <v>338</v>
      </c>
      <c r="F4921" s="839" t="s">
        <v>301</v>
      </c>
      <c r="G4921" s="916">
        <f>VLOOKUP($A4921,'Tech Litons'!$A:$I,8,FALSE)</f>
        <v>3.7853439999999999E-3</v>
      </c>
      <c r="H4921" s="917">
        <f>VLOOKUP($A4921,'Tech Litons'!$A:$I,9,FALSE)</f>
        <v>240</v>
      </c>
      <c r="I4921" s="917" t="str">
        <f>VLOOKUP($A4921,'Tech Litons'!$A:$C,3,0)</f>
        <v>BJ PTS</v>
      </c>
      <c r="J4921" s="918" t="str">
        <f t="shared" si="492"/>
        <v>5914BJ PTS</v>
      </c>
      <c r="K4921" s="919">
        <v>1</v>
      </c>
      <c r="L4921" s="920">
        <f t="shared" si="493"/>
        <v>39600</v>
      </c>
      <c r="M4921" s="920">
        <f t="shared" si="494"/>
        <v>149.8996224</v>
      </c>
      <c r="N4921" s="920">
        <f t="shared" si="495"/>
        <v>165</v>
      </c>
      <c r="O4921" s="918" t="str">
        <f t="shared" si="496"/>
        <v>Mar</v>
      </c>
      <c r="P4921" s="921">
        <f t="shared" si="497"/>
        <v>11</v>
      </c>
    </row>
    <row r="4922" spans="1:16" ht="15" hidden="1" customHeight="1">
      <c r="A4922" s="839">
        <v>84135718</v>
      </c>
      <c r="B4922" s="839">
        <v>5914</v>
      </c>
      <c r="C4922" s="906">
        <v>27336</v>
      </c>
      <c r="D4922" s="907">
        <v>46093</v>
      </c>
      <c r="E4922" s="839" t="s">
        <v>338</v>
      </c>
      <c r="F4922" s="839" t="s">
        <v>301</v>
      </c>
      <c r="G4922" s="916">
        <f>VLOOKUP($A4922,'Tech Litons'!$A:$I,8,FALSE)</f>
        <v>3.7853439999999999E-3</v>
      </c>
      <c r="H4922" s="917">
        <f>VLOOKUP($A4922,'Tech Litons'!$A:$I,9,FALSE)</f>
        <v>240</v>
      </c>
      <c r="I4922" s="917" t="str">
        <f>VLOOKUP($A4922,'Tech Litons'!$A:$C,3,0)</f>
        <v>BJ PTS</v>
      </c>
      <c r="J4922" s="918" t="str">
        <f t="shared" si="492"/>
        <v>5914BJ PTS</v>
      </c>
      <c r="K4922" s="919">
        <v>1</v>
      </c>
      <c r="L4922" s="920">
        <f t="shared" si="493"/>
        <v>27336</v>
      </c>
      <c r="M4922" s="920">
        <f t="shared" si="494"/>
        <v>103.47616358400001</v>
      </c>
      <c r="N4922" s="920">
        <f t="shared" si="495"/>
        <v>113.9</v>
      </c>
      <c r="O4922" s="918" t="str">
        <f t="shared" si="496"/>
        <v>Mar</v>
      </c>
      <c r="P4922" s="921">
        <f t="shared" si="497"/>
        <v>11</v>
      </c>
    </row>
    <row r="4923" spans="1:16" ht="15" hidden="1" customHeight="1">
      <c r="A4923" s="839">
        <v>84135795</v>
      </c>
      <c r="B4923" s="839">
        <v>5914</v>
      </c>
      <c r="C4923" s="906">
        <v>3000</v>
      </c>
      <c r="D4923" s="907">
        <v>46091</v>
      </c>
      <c r="E4923" s="839" t="s">
        <v>497</v>
      </c>
      <c r="F4923" s="839" t="s">
        <v>303</v>
      </c>
      <c r="G4923" s="916">
        <f>VLOOKUP($A4923,'Tech Litons'!$A:$I,8,FALSE)</f>
        <v>9.0848256361922702E-3</v>
      </c>
      <c r="H4923" s="917">
        <f>VLOOKUP($A4923,'Tech Litons'!$A:$I,9,FALSE)</f>
        <v>125</v>
      </c>
      <c r="I4923" s="917" t="str">
        <f>VLOOKUP($A4923,'Tech Litons'!$A:$C,3,0)</f>
        <v>2.4 Gal</v>
      </c>
      <c r="J4923" s="918" t="str">
        <f t="shared" si="492"/>
        <v>59142.4 Gal</v>
      </c>
      <c r="K4923" s="919">
        <v>1</v>
      </c>
      <c r="L4923" s="920">
        <f t="shared" si="493"/>
        <v>3000</v>
      </c>
      <c r="M4923" s="920">
        <f t="shared" si="494"/>
        <v>27.254476908576812</v>
      </c>
      <c r="N4923" s="920">
        <f t="shared" si="495"/>
        <v>24</v>
      </c>
      <c r="O4923" s="918" t="str">
        <f t="shared" si="496"/>
        <v>Mar</v>
      </c>
      <c r="P4923" s="921">
        <f t="shared" si="497"/>
        <v>11</v>
      </c>
    </row>
    <row r="4924" spans="1:16" ht="15" hidden="1" customHeight="1">
      <c r="A4924" s="839">
        <v>84135795</v>
      </c>
      <c r="B4924" s="839">
        <v>5914</v>
      </c>
      <c r="C4924" s="906">
        <v>3242</v>
      </c>
      <c r="D4924" s="907">
        <v>46092</v>
      </c>
      <c r="E4924" s="839" t="s">
        <v>497</v>
      </c>
      <c r="F4924" s="839" t="s">
        <v>303</v>
      </c>
      <c r="G4924" s="916">
        <f>VLOOKUP($A4924,'Tech Litons'!$A:$I,8,FALSE)</f>
        <v>9.0848256361922702E-3</v>
      </c>
      <c r="H4924" s="917">
        <f>VLOOKUP($A4924,'Tech Litons'!$A:$I,9,FALSE)</f>
        <v>125</v>
      </c>
      <c r="I4924" s="917" t="str">
        <f>VLOOKUP($A4924,'Tech Litons'!$A:$C,3,0)</f>
        <v>2.4 Gal</v>
      </c>
      <c r="J4924" s="918" t="str">
        <f t="shared" si="492"/>
        <v>59142.4 Gal</v>
      </c>
      <c r="K4924" s="919">
        <v>1</v>
      </c>
      <c r="L4924" s="920">
        <f t="shared" si="493"/>
        <v>3242</v>
      </c>
      <c r="M4924" s="920">
        <f t="shared" si="494"/>
        <v>29.453004712535339</v>
      </c>
      <c r="N4924" s="920">
        <f t="shared" si="495"/>
        <v>25.936</v>
      </c>
      <c r="O4924" s="918" t="str">
        <f t="shared" si="496"/>
        <v>Mar</v>
      </c>
      <c r="P4924" s="921">
        <f t="shared" si="497"/>
        <v>11</v>
      </c>
    </row>
    <row r="4925" spans="1:16" ht="15" hidden="1" customHeight="1">
      <c r="A4925" s="839">
        <v>84136043</v>
      </c>
      <c r="B4925" s="839">
        <v>5914</v>
      </c>
      <c r="C4925" s="906">
        <v>16080</v>
      </c>
      <c r="D4925" s="907">
        <v>46083</v>
      </c>
      <c r="E4925" s="839" t="s">
        <v>390</v>
      </c>
      <c r="F4925" s="839" t="s">
        <v>301</v>
      </c>
      <c r="G4925" s="916">
        <f>VLOOKUP($A4925,'Tech Litons'!$A:$I,8,FALSE)</f>
        <v>3.7853439999999999E-3</v>
      </c>
      <c r="H4925" s="917">
        <f>VLOOKUP($A4925,'Tech Litons'!$A:$I,9,FALSE)</f>
        <v>240</v>
      </c>
      <c r="I4925" s="917" t="str">
        <f>VLOOKUP($A4925,'Tech Litons'!$A:$C,3,0)</f>
        <v>BJ PTS</v>
      </c>
      <c r="J4925" s="918" t="str">
        <f t="shared" si="492"/>
        <v>5914BJ PTS</v>
      </c>
      <c r="K4925" s="919">
        <v>1</v>
      </c>
      <c r="L4925" s="920">
        <f t="shared" si="493"/>
        <v>16080</v>
      </c>
      <c r="M4925" s="920">
        <f t="shared" si="494"/>
        <v>60.868331519999998</v>
      </c>
      <c r="N4925" s="920">
        <f t="shared" si="495"/>
        <v>67</v>
      </c>
      <c r="O4925" s="918" t="str">
        <f t="shared" si="496"/>
        <v>Mar</v>
      </c>
      <c r="P4925" s="921">
        <f t="shared" si="497"/>
        <v>10</v>
      </c>
    </row>
    <row r="4926" spans="1:16" ht="15" hidden="1" customHeight="1">
      <c r="A4926" s="839">
        <v>84136043</v>
      </c>
      <c r="B4926" s="839">
        <v>5914</v>
      </c>
      <c r="C4926" s="906">
        <v>11030</v>
      </c>
      <c r="D4926" s="907">
        <v>46084</v>
      </c>
      <c r="E4926" s="839" t="s">
        <v>390</v>
      </c>
      <c r="F4926" s="839" t="s">
        <v>301</v>
      </c>
      <c r="G4926" s="916">
        <f>VLOOKUP($A4926,'Tech Litons'!$A:$I,8,FALSE)</f>
        <v>3.7853439999999999E-3</v>
      </c>
      <c r="H4926" s="917">
        <f>VLOOKUP($A4926,'Tech Litons'!$A:$I,9,FALSE)</f>
        <v>240</v>
      </c>
      <c r="I4926" s="917" t="str">
        <f>VLOOKUP($A4926,'Tech Litons'!$A:$C,3,0)</f>
        <v>BJ PTS</v>
      </c>
      <c r="J4926" s="918" t="str">
        <f t="shared" si="492"/>
        <v>5914BJ PTS</v>
      </c>
      <c r="K4926" s="919">
        <v>1</v>
      </c>
      <c r="L4926" s="920">
        <f t="shared" si="493"/>
        <v>11030</v>
      </c>
      <c r="M4926" s="920">
        <f t="shared" si="494"/>
        <v>41.752344319999999</v>
      </c>
      <c r="N4926" s="920">
        <f t="shared" si="495"/>
        <v>45.958333333333336</v>
      </c>
      <c r="O4926" s="918" t="str">
        <f t="shared" si="496"/>
        <v>Mar</v>
      </c>
      <c r="P4926" s="921">
        <f t="shared" si="497"/>
        <v>10</v>
      </c>
    </row>
    <row r="4927" spans="1:16" ht="15" hidden="1" customHeight="1">
      <c r="A4927" s="839">
        <v>84136704</v>
      </c>
      <c r="B4927" s="839">
        <v>5914</v>
      </c>
      <c r="C4927" s="906">
        <v>14400</v>
      </c>
      <c r="D4927" s="907">
        <v>46086</v>
      </c>
      <c r="E4927" s="839" t="s">
        <v>416</v>
      </c>
      <c r="F4927" s="839" t="s">
        <v>301</v>
      </c>
      <c r="G4927" s="916">
        <f>VLOOKUP($A4927,'Tech Litons'!$A:$I,8,FALSE)</f>
        <v>3.7853439999999999E-3</v>
      </c>
      <c r="H4927" s="917">
        <f>VLOOKUP($A4927,'Tech Litons'!$A:$I,9,FALSE)</f>
        <v>240</v>
      </c>
      <c r="I4927" s="917" t="str">
        <f>VLOOKUP($A4927,'Tech Litons'!$A:$C,3,0)</f>
        <v>BJ PTS</v>
      </c>
      <c r="J4927" s="918" t="str">
        <f t="shared" si="492"/>
        <v>5914BJ PTS</v>
      </c>
      <c r="K4927" s="919">
        <v>1</v>
      </c>
      <c r="L4927" s="920">
        <f t="shared" si="493"/>
        <v>14400</v>
      </c>
      <c r="M4927" s="920">
        <f t="shared" si="494"/>
        <v>54.508953599999998</v>
      </c>
      <c r="N4927" s="920">
        <f t="shared" si="495"/>
        <v>60</v>
      </c>
      <c r="O4927" s="918" t="str">
        <f t="shared" si="496"/>
        <v>Mar</v>
      </c>
      <c r="P4927" s="921">
        <f t="shared" si="497"/>
        <v>10</v>
      </c>
    </row>
    <row r="4928" spans="1:16" ht="15" hidden="1" customHeight="1">
      <c r="A4928" s="839">
        <v>84136704</v>
      </c>
      <c r="B4928" s="839">
        <v>5914</v>
      </c>
      <c r="C4928" s="906">
        <v>26721</v>
      </c>
      <c r="D4928" s="907">
        <v>46087</v>
      </c>
      <c r="E4928" s="839" t="s">
        <v>416</v>
      </c>
      <c r="F4928" s="839" t="s">
        <v>301</v>
      </c>
      <c r="G4928" s="916">
        <f>VLOOKUP($A4928,'Tech Litons'!$A:$I,8,FALSE)</f>
        <v>3.7853439999999999E-3</v>
      </c>
      <c r="H4928" s="917">
        <f>VLOOKUP($A4928,'Tech Litons'!$A:$I,9,FALSE)</f>
        <v>240</v>
      </c>
      <c r="I4928" s="917" t="str">
        <f>VLOOKUP($A4928,'Tech Litons'!$A:$C,3,0)</f>
        <v>BJ PTS</v>
      </c>
      <c r="J4928" s="918" t="str">
        <f t="shared" si="492"/>
        <v>5914BJ PTS</v>
      </c>
      <c r="K4928" s="919">
        <v>1</v>
      </c>
      <c r="L4928" s="920">
        <f t="shared" si="493"/>
        <v>26721</v>
      </c>
      <c r="M4928" s="920">
        <f t="shared" si="494"/>
        <v>101.14817702399999</v>
      </c>
      <c r="N4928" s="920">
        <f t="shared" si="495"/>
        <v>111.33750000000001</v>
      </c>
      <c r="O4928" s="918" t="str">
        <f t="shared" si="496"/>
        <v>Mar</v>
      </c>
      <c r="P4928" s="921">
        <f t="shared" si="497"/>
        <v>10</v>
      </c>
    </row>
    <row r="4929" spans="1:16" ht="15" hidden="1" customHeight="1">
      <c r="A4929" s="839">
        <v>84136704</v>
      </c>
      <c r="B4929" s="839">
        <v>5914</v>
      </c>
      <c r="C4929" s="906">
        <v>2040</v>
      </c>
      <c r="D4929" s="907">
        <v>46088</v>
      </c>
      <c r="E4929" s="839" t="s">
        <v>416</v>
      </c>
      <c r="F4929" s="839" t="s">
        <v>301</v>
      </c>
      <c r="G4929" s="916">
        <f>VLOOKUP($A4929,'Tech Litons'!$A:$I,8,FALSE)</f>
        <v>3.7853439999999999E-3</v>
      </c>
      <c r="H4929" s="917">
        <f>VLOOKUP($A4929,'Tech Litons'!$A:$I,9,FALSE)</f>
        <v>240</v>
      </c>
      <c r="I4929" s="917" t="str">
        <f>VLOOKUP($A4929,'Tech Litons'!$A:$C,3,0)</f>
        <v>BJ PTS</v>
      </c>
      <c r="J4929" s="918" t="str">
        <f t="shared" si="492"/>
        <v>5914BJ PTS</v>
      </c>
      <c r="K4929" s="919">
        <v>1</v>
      </c>
      <c r="L4929" s="920">
        <f t="shared" si="493"/>
        <v>2040</v>
      </c>
      <c r="M4929" s="920">
        <f t="shared" si="494"/>
        <v>7.7221017600000001</v>
      </c>
      <c r="N4929" s="920">
        <f t="shared" si="495"/>
        <v>8.5</v>
      </c>
      <c r="O4929" s="918" t="str">
        <f t="shared" si="496"/>
        <v>Mar</v>
      </c>
      <c r="P4929" s="921">
        <f t="shared" si="497"/>
        <v>10</v>
      </c>
    </row>
    <row r="4930" spans="1:16" ht="15" hidden="1" customHeight="1">
      <c r="A4930" s="839">
        <v>84136704</v>
      </c>
      <c r="B4930" s="839">
        <v>5914</v>
      </c>
      <c r="C4930" s="906">
        <v>-37</v>
      </c>
      <c r="D4930" s="907">
        <v>46092</v>
      </c>
      <c r="E4930" s="839" t="s">
        <v>416</v>
      </c>
      <c r="F4930" s="839" t="s">
        <v>301</v>
      </c>
      <c r="G4930" s="916">
        <f>VLOOKUP($A4930,'Tech Litons'!$A:$I,8,FALSE)</f>
        <v>3.7853439999999999E-3</v>
      </c>
      <c r="H4930" s="917">
        <f>VLOOKUP($A4930,'Tech Litons'!$A:$I,9,FALSE)</f>
        <v>240</v>
      </c>
      <c r="I4930" s="917" t="str">
        <f>VLOOKUP($A4930,'Tech Litons'!$A:$C,3,0)</f>
        <v>BJ PTS</v>
      </c>
      <c r="J4930" s="918" t="str">
        <f t="shared" si="492"/>
        <v>5914BJ PTS</v>
      </c>
      <c r="K4930" s="919">
        <v>1</v>
      </c>
      <c r="L4930" s="920">
        <f t="shared" si="493"/>
        <v>-37</v>
      </c>
      <c r="M4930" s="920">
        <f t="shared" si="494"/>
        <v>-0.14005772799999999</v>
      </c>
      <c r="N4930" s="920">
        <f t="shared" si="495"/>
        <v>-0.15416666666666667</v>
      </c>
      <c r="O4930" s="918" t="str">
        <f t="shared" si="496"/>
        <v>Mar</v>
      </c>
      <c r="P4930" s="921">
        <f t="shared" si="497"/>
        <v>11</v>
      </c>
    </row>
    <row r="4931" spans="1:16" ht="15" hidden="1" customHeight="1">
      <c r="A4931" s="839">
        <v>84137694</v>
      </c>
      <c r="B4931" s="839">
        <v>5914</v>
      </c>
      <c r="C4931" s="906">
        <v>9120</v>
      </c>
      <c r="D4931" s="907">
        <v>46101</v>
      </c>
      <c r="E4931" s="839" t="s">
        <v>417</v>
      </c>
      <c r="F4931" s="839" t="s">
        <v>301</v>
      </c>
      <c r="G4931" s="916">
        <f>VLOOKUP($A4931,'Tech Litons'!$A:$I,8,FALSE)</f>
        <v>3.7853439999999999E-3</v>
      </c>
      <c r="H4931" s="917">
        <f>VLOOKUP($A4931,'Tech Litons'!$A:$I,9,FALSE)</f>
        <v>240</v>
      </c>
      <c r="I4931" s="917" t="str">
        <f>VLOOKUP($A4931,'Tech Litons'!$A:$C,3,0)</f>
        <v>BJ PTS</v>
      </c>
      <c r="J4931" s="918" t="str">
        <f t="shared" si="492"/>
        <v>5914BJ PTS</v>
      </c>
      <c r="K4931" s="919">
        <v>1</v>
      </c>
      <c r="L4931" s="920">
        <f t="shared" si="493"/>
        <v>9120</v>
      </c>
      <c r="M4931" s="920">
        <f t="shared" si="494"/>
        <v>34.522337280000002</v>
      </c>
      <c r="N4931" s="920">
        <f t="shared" si="495"/>
        <v>38</v>
      </c>
      <c r="O4931" s="918" t="str">
        <f t="shared" si="496"/>
        <v>Mar</v>
      </c>
      <c r="P4931" s="921">
        <f t="shared" si="497"/>
        <v>12</v>
      </c>
    </row>
    <row r="4932" spans="1:16" ht="15" hidden="1" customHeight="1">
      <c r="A4932" s="839">
        <v>84137694</v>
      </c>
      <c r="B4932" s="839">
        <v>5914</v>
      </c>
      <c r="C4932" s="906">
        <v>23192</v>
      </c>
      <c r="D4932" s="907">
        <v>46102</v>
      </c>
      <c r="E4932" s="839" t="s">
        <v>417</v>
      </c>
      <c r="F4932" s="839" t="s">
        <v>301</v>
      </c>
      <c r="G4932" s="916">
        <f>VLOOKUP($A4932,'Tech Litons'!$A:$I,8,FALSE)</f>
        <v>3.7853439999999999E-3</v>
      </c>
      <c r="H4932" s="917">
        <f>VLOOKUP($A4932,'Tech Litons'!$A:$I,9,FALSE)</f>
        <v>240</v>
      </c>
      <c r="I4932" s="917" t="str">
        <f>VLOOKUP($A4932,'Tech Litons'!$A:$C,3,0)</f>
        <v>BJ PTS</v>
      </c>
      <c r="J4932" s="918" t="str">
        <f t="shared" si="492"/>
        <v>5914BJ PTS</v>
      </c>
      <c r="K4932" s="919">
        <v>1</v>
      </c>
      <c r="L4932" s="920">
        <f t="shared" si="493"/>
        <v>23192</v>
      </c>
      <c r="M4932" s="920">
        <f t="shared" si="494"/>
        <v>87.789698048000005</v>
      </c>
      <c r="N4932" s="920">
        <f t="shared" si="495"/>
        <v>96.63333333333334</v>
      </c>
      <c r="O4932" s="918" t="str">
        <f t="shared" si="496"/>
        <v>Mar</v>
      </c>
      <c r="P4932" s="921">
        <f t="shared" si="497"/>
        <v>12</v>
      </c>
    </row>
    <row r="4933" spans="1:16" ht="15" hidden="1" customHeight="1">
      <c r="A4933" s="839">
        <v>84137721</v>
      </c>
      <c r="B4933" s="839">
        <v>5914</v>
      </c>
      <c r="C4933" s="906">
        <v>1375</v>
      </c>
      <c r="D4933" s="907">
        <v>46105</v>
      </c>
      <c r="E4933" s="839" t="s">
        <v>475</v>
      </c>
      <c r="F4933" s="839" t="s">
        <v>303</v>
      </c>
      <c r="G4933" s="916">
        <f>VLOOKUP($A4933,'Tech Litons'!$A:$I,8,FALSE)</f>
        <v>9.0848256361922702E-3</v>
      </c>
      <c r="H4933" s="917">
        <f>VLOOKUP($A4933,'Tech Litons'!$A:$I,9,FALSE)</f>
        <v>125</v>
      </c>
      <c r="I4933" s="917" t="str">
        <f>VLOOKUP($A4933,'Tech Litons'!$A:$C,3,0)</f>
        <v>2.4 Gal</v>
      </c>
      <c r="J4933" s="918" t="str">
        <f t="shared" si="492"/>
        <v>59142.4 Gal</v>
      </c>
      <c r="K4933" s="919">
        <v>1</v>
      </c>
      <c r="L4933" s="920">
        <f t="shared" si="493"/>
        <v>1375</v>
      </c>
      <c r="M4933" s="920">
        <f t="shared" si="494"/>
        <v>12.491635249764371</v>
      </c>
      <c r="N4933" s="920">
        <f t="shared" si="495"/>
        <v>11</v>
      </c>
      <c r="O4933" s="918" t="str">
        <f t="shared" si="496"/>
        <v>Mar</v>
      </c>
      <c r="P4933" s="921">
        <f t="shared" si="497"/>
        <v>13</v>
      </c>
    </row>
    <row r="4934" spans="1:16" ht="15" hidden="1" customHeight="1">
      <c r="A4934" s="839">
        <v>84137725</v>
      </c>
      <c r="B4934" s="839">
        <v>5914</v>
      </c>
      <c r="C4934" s="906">
        <v>2640</v>
      </c>
      <c r="D4934" s="907">
        <v>46079</v>
      </c>
      <c r="E4934" s="839" t="s">
        <v>278</v>
      </c>
      <c r="F4934" s="839" t="s">
        <v>304</v>
      </c>
      <c r="G4934" s="916">
        <f>VLOOKUP($A4934,'Tech Litons'!$A:$I,8,FALSE)</f>
        <v>3.7853439999999999E-3</v>
      </c>
      <c r="H4934" s="917">
        <f>VLOOKUP($A4934,'Tech Litons'!$A:$I,9,FALSE)</f>
        <v>240</v>
      </c>
      <c r="I4934" s="917" t="str">
        <f>VLOOKUP($A4934,'Tech Litons'!$A:$C,3,0)</f>
        <v>BJ PTS</v>
      </c>
      <c r="J4934" s="918" t="str">
        <f t="shared" si="492"/>
        <v>5914BJ PTS</v>
      </c>
      <c r="K4934" s="919">
        <v>1</v>
      </c>
      <c r="L4934" s="920">
        <f t="shared" si="493"/>
        <v>2640</v>
      </c>
      <c r="M4934" s="920">
        <f t="shared" si="494"/>
        <v>9.9933081599999998</v>
      </c>
      <c r="N4934" s="920">
        <f t="shared" si="495"/>
        <v>11</v>
      </c>
      <c r="O4934" s="918" t="str">
        <f t="shared" si="496"/>
        <v>Feb</v>
      </c>
      <c r="P4934" s="921">
        <f t="shared" si="497"/>
        <v>9</v>
      </c>
    </row>
    <row r="4935" spans="1:16" ht="15" hidden="1" customHeight="1">
      <c r="A4935" s="839">
        <v>84137725</v>
      </c>
      <c r="B4935" s="839">
        <v>5914</v>
      </c>
      <c r="C4935" s="906">
        <v>28320</v>
      </c>
      <c r="D4935" s="907">
        <v>46080</v>
      </c>
      <c r="E4935" s="839" t="s">
        <v>278</v>
      </c>
      <c r="F4935" s="839" t="s">
        <v>304</v>
      </c>
      <c r="G4935" s="916">
        <f>VLOOKUP($A4935,'Tech Litons'!$A:$I,8,FALSE)</f>
        <v>3.7853439999999999E-3</v>
      </c>
      <c r="H4935" s="917">
        <f>VLOOKUP($A4935,'Tech Litons'!$A:$I,9,FALSE)</f>
        <v>240</v>
      </c>
      <c r="I4935" s="917" t="str">
        <f>VLOOKUP($A4935,'Tech Litons'!$A:$C,3,0)</f>
        <v>BJ PTS</v>
      </c>
      <c r="J4935" s="918" t="str">
        <f t="shared" si="492"/>
        <v>5914BJ PTS</v>
      </c>
      <c r="K4935" s="919">
        <v>1</v>
      </c>
      <c r="L4935" s="920">
        <f t="shared" si="493"/>
        <v>28320</v>
      </c>
      <c r="M4935" s="920">
        <f t="shared" si="494"/>
        <v>107.20094208</v>
      </c>
      <c r="N4935" s="920">
        <f t="shared" si="495"/>
        <v>118</v>
      </c>
      <c r="O4935" s="918" t="str">
        <f t="shared" si="496"/>
        <v>Feb</v>
      </c>
      <c r="P4935" s="921">
        <f t="shared" si="497"/>
        <v>9</v>
      </c>
    </row>
    <row r="4936" spans="1:16" ht="15" hidden="1" customHeight="1">
      <c r="A4936" s="839">
        <v>84137725</v>
      </c>
      <c r="B4936" s="839">
        <v>5914</v>
      </c>
      <c r="C4936" s="906">
        <v>25071</v>
      </c>
      <c r="D4936" s="907">
        <v>46081</v>
      </c>
      <c r="E4936" s="839" t="s">
        <v>278</v>
      </c>
      <c r="F4936" s="839" t="s">
        <v>304</v>
      </c>
      <c r="G4936" s="916">
        <f>VLOOKUP($A4936,'Tech Litons'!$A:$I,8,FALSE)</f>
        <v>3.7853439999999999E-3</v>
      </c>
      <c r="H4936" s="917">
        <f>VLOOKUP($A4936,'Tech Litons'!$A:$I,9,FALSE)</f>
        <v>240</v>
      </c>
      <c r="I4936" s="917" t="str">
        <f>VLOOKUP($A4936,'Tech Litons'!$A:$C,3,0)</f>
        <v>BJ PTS</v>
      </c>
      <c r="J4936" s="918" t="str">
        <f t="shared" si="492"/>
        <v>5914BJ PTS</v>
      </c>
      <c r="K4936" s="919">
        <v>1</v>
      </c>
      <c r="L4936" s="920">
        <f t="shared" si="493"/>
        <v>25071</v>
      </c>
      <c r="M4936" s="920">
        <f t="shared" si="494"/>
        <v>94.902359423999997</v>
      </c>
      <c r="N4936" s="920">
        <f t="shared" si="495"/>
        <v>104.46250000000001</v>
      </c>
      <c r="O4936" s="918" t="str">
        <f t="shared" si="496"/>
        <v>Feb</v>
      </c>
      <c r="P4936" s="921">
        <f t="shared" si="497"/>
        <v>9</v>
      </c>
    </row>
    <row r="4937" spans="1:16" ht="15" hidden="1" customHeight="1">
      <c r="A4937" s="839">
        <v>84138347</v>
      </c>
      <c r="B4937" s="839">
        <v>5914</v>
      </c>
      <c r="C4937" s="906">
        <v>3500</v>
      </c>
      <c r="D4937" s="907">
        <v>46084</v>
      </c>
      <c r="E4937" s="839" t="s">
        <v>476</v>
      </c>
      <c r="F4937" s="839" t="s">
        <v>303</v>
      </c>
      <c r="G4937" s="916">
        <f>VLOOKUP($A4937,'Tech Litons'!$A:$I,8,FALSE)</f>
        <v>9.0848256361922702E-3</v>
      </c>
      <c r="H4937" s="917">
        <f>VLOOKUP($A4937,'Tech Litons'!$A:$I,9,FALSE)</f>
        <v>125</v>
      </c>
      <c r="I4937" s="917" t="str">
        <f>VLOOKUP($A4937,'Tech Litons'!$A:$C,3,0)</f>
        <v>2.4 Gal</v>
      </c>
      <c r="J4937" s="918" t="str">
        <f t="shared" si="492"/>
        <v>59142.4 Gal</v>
      </c>
      <c r="K4937" s="919">
        <v>1</v>
      </c>
      <c r="L4937" s="920">
        <f t="shared" si="493"/>
        <v>3500</v>
      </c>
      <c r="M4937" s="920">
        <f t="shared" si="494"/>
        <v>31.796889726672944</v>
      </c>
      <c r="N4937" s="920">
        <f t="shared" si="495"/>
        <v>28</v>
      </c>
      <c r="O4937" s="918" t="str">
        <f t="shared" si="496"/>
        <v>Mar</v>
      </c>
      <c r="P4937" s="921">
        <f t="shared" si="497"/>
        <v>10</v>
      </c>
    </row>
    <row r="4938" spans="1:16" ht="15" hidden="1" customHeight="1">
      <c r="A4938" s="839">
        <v>84138347</v>
      </c>
      <c r="B4938" s="839">
        <v>5914</v>
      </c>
      <c r="C4938" s="906">
        <v>2312</v>
      </c>
      <c r="D4938" s="907">
        <v>46085</v>
      </c>
      <c r="E4938" s="839" t="s">
        <v>476</v>
      </c>
      <c r="F4938" s="839" t="s">
        <v>303</v>
      </c>
      <c r="G4938" s="916">
        <f>VLOOKUP($A4938,'Tech Litons'!$A:$I,8,FALSE)</f>
        <v>9.0848256361922702E-3</v>
      </c>
      <c r="H4938" s="917">
        <f>VLOOKUP($A4938,'Tech Litons'!$A:$I,9,FALSE)</f>
        <v>125</v>
      </c>
      <c r="I4938" s="917" t="str">
        <f>VLOOKUP($A4938,'Tech Litons'!$A:$C,3,0)</f>
        <v>2.4 Gal</v>
      </c>
      <c r="J4938" s="918" t="str">
        <f t="shared" si="492"/>
        <v>59142.4 Gal</v>
      </c>
      <c r="K4938" s="919">
        <v>1</v>
      </c>
      <c r="L4938" s="920">
        <f t="shared" si="493"/>
        <v>2312</v>
      </c>
      <c r="M4938" s="920">
        <f t="shared" si="494"/>
        <v>21.00411687087653</v>
      </c>
      <c r="N4938" s="920">
        <f t="shared" si="495"/>
        <v>18.495999999999999</v>
      </c>
      <c r="O4938" s="918" t="str">
        <f t="shared" si="496"/>
        <v>Mar</v>
      </c>
      <c r="P4938" s="921">
        <f t="shared" si="497"/>
        <v>10</v>
      </c>
    </row>
    <row r="4939" spans="1:16" ht="15" hidden="1" customHeight="1">
      <c r="A4939" s="839">
        <v>84138391</v>
      </c>
      <c r="B4939" s="839">
        <v>5914</v>
      </c>
      <c r="C4939" s="906">
        <v>14880</v>
      </c>
      <c r="D4939" s="907">
        <v>46090</v>
      </c>
      <c r="E4939" s="839" t="s">
        <v>339</v>
      </c>
      <c r="F4939" s="839" t="s">
        <v>279</v>
      </c>
      <c r="G4939" s="916">
        <f>VLOOKUP($A4939,'Tech Litons'!$A:$I,8,FALSE)</f>
        <v>3.7853439999999999E-3</v>
      </c>
      <c r="H4939" s="917">
        <f>VLOOKUP($A4939,'Tech Litons'!$A:$I,9,FALSE)</f>
        <v>240</v>
      </c>
      <c r="I4939" s="917" t="str">
        <f>VLOOKUP($A4939,'Tech Litons'!$A:$C,3,0)</f>
        <v>BJ PTS</v>
      </c>
      <c r="J4939" s="918" t="str">
        <f t="shared" si="492"/>
        <v>5914BJ PTS</v>
      </c>
      <c r="K4939" s="919">
        <v>1</v>
      </c>
      <c r="L4939" s="920">
        <f t="shared" si="493"/>
        <v>14880</v>
      </c>
      <c r="M4939" s="920">
        <f t="shared" si="494"/>
        <v>56.325918719999997</v>
      </c>
      <c r="N4939" s="920">
        <f t="shared" si="495"/>
        <v>62</v>
      </c>
      <c r="O4939" s="918" t="str">
        <f t="shared" si="496"/>
        <v>Mar</v>
      </c>
      <c r="P4939" s="921">
        <f t="shared" si="497"/>
        <v>11</v>
      </c>
    </row>
    <row r="4940" spans="1:16" ht="15" hidden="1" customHeight="1">
      <c r="A4940" s="839">
        <v>84138391</v>
      </c>
      <c r="B4940" s="839">
        <v>5914</v>
      </c>
      <c r="C4940" s="906">
        <v>31440</v>
      </c>
      <c r="D4940" s="907">
        <v>46091</v>
      </c>
      <c r="E4940" s="839" t="s">
        <v>339</v>
      </c>
      <c r="F4940" s="839" t="s">
        <v>279</v>
      </c>
      <c r="G4940" s="916">
        <f>VLOOKUP($A4940,'Tech Litons'!$A:$I,8,FALSE)</f>
        <v>3.7853439999999999E-3</v>
      </c>
      <c r="H4940" s="917">
        <f>VLOOKUP($A4940,'Tech Litons'!$A:$I,9,FALSE)</f>
        <v>240</v>
      </c>
      <c r="I4940" s="917" t="str">
        <f>VLOOKUP($A4940,'Tech Litons'!$A:$C,3,0)</f>
        <v>BJ PTS</v>
      </c>
      <c r="J4940" s="918" t="str">
        <f t="shared" si="492"/>
        <v>5914BJ PTS</v>
      </c>
      <c r="K4940" s="919">
        <v>1</v>
      </c>
      <c r="L4940" s="920">
        <f t="shared" si="493"/>
        <v>31440</v>
      </c>
      <c r="M4940" s="920">
        <f t="shared" si="494"/>
        <v>119.01121535999999</v>
      </c>
      <c r="N4940" s="920">
        <f t="shared" si="495"/>
        <v>131</v>
      </c>
      <c r="O4940" s="918" t="str">
        <f t="shared" si="496"/>
        <v>Mar</v>
      </c>
      <c r="P4940" s="921">
        <f t="shared" si="497"/>
        <v>11</v>
      </c>
    </row>
    <row r="4941" spans="1:16" ht="15" hidden="1" customHeight="1">
      <c r="A4941" s="839">
        <v>84138391</v>
      </c>
      <c r="B4941" s="839">
        <v>5914</v>
      </c>
      <c r="C4941" s="906">
        <v>21287</v>
      </c>
      <c r="D4941" s="907">
        <v>46092</v>
      </c>
      <c r="E4941" s="839" t="s">
        <v>339</v>
      </c>
      <c r="F4941" s="839" t="s">
        <v>279</v>
      </c>
      <c r="G4941" s="916">
        <f>VLOOKUP($A4941,'Tech Litons'!$A:$I,8,FALSE)</f>
        <v>3.7853439999999999E-3</v>
      </c>
      <c r="H4941" s="917">
        <f>VLOOKUP($A4941,'Tech Litons'!$A:$I,9,FALSE)</f>
        <v>240</v>
      </c>
      <c r="I4941" s="917" t="str">
        <f>VLOOKUP($A4941,'Tech Litons'!$A:$C,3,0)</f>
        <v>BJ PTS</v>
      </c>
      <c r="J4941" s="918" t="str">
        <f t="shared" si="492"/>
        <v>5914BJ PTS</v>
      </c>
      <c r="K4941" s="919">
        <v>1</v>
      </c>
      <c r="L4941" s="920">
        <f t="shared" si="493"/>
        <v>21287</v>
      </c>
      <c r="M4941" s="920">
        <f t="shared" si="494"/>
        <v>80.578617727999998</v>
      </c>
      <c r="N4941" s="920">
        <f t="shared" si="495"/>
        <v>88.69583333333334</v>
      </c>
      <c r="O4941" s="918" t="str">
        <f t="shared" si="496"/>
        <v>Mar</v>
      </c>
      <c r="P4941" s="921">
        <f t="shared" si="497"/>
        <v>11</v>
      </c>
    </row>
    <row r="4942" spans="1:16" ht="15" hidden="1" customHeight="1">
      <c r="A4942" s="839">
        <v>84138391</v>
      </c>
      <c r="B4942" s="839">
        <v>5914</v>
      </c>
      <c r="C4942" s="906">
        <v>17360</v>
      </c>
      <c r="D4942" s="907">
        <v>46093</v>
      </c>
      <c r="E4942" s="839" t="s">
        <v>339</v>
      </c>
      <c r="F4942" s="839" t="s">
        <v>279</v>
      </c>
      <c r="G4942" s="916">
        <f>VLOOKUP($A4942,'Tech Litons'!$A:$I,8,FALSE)</f>
        <v>3.7853439999999999E-3</v>
      </c>
      <c r="H4942" s="917">
        <f>VLOOKUP($A4942,'Tech Litons'!$A:$I,9,FALSE)</f>
        <v>240</v>
      </c>
      <c r="I4942" s="917" t="str">
        <f>VLOOKUP($A4942,'Tech Litons'!$A:$C,3,0)</f>
        <v>BJ PTS</v>
      </c>
      <c r="J4942" s="918" t="str">
        <f t="shared" si="492"/>
        <v>5914BJ PTS</v>
      </c>
      <c r="K4942" s="919">
        <v>1</v>
      </c>
      <c r="L4942" s="920">
        <f t="shared" si="493"/>
        <v>17360</v>
      </c>
      <c r="M4942" s="920">
        <f t="shared" si="494"/>
        <v>65.71357184</v>
      </c>
      <c r="N4942" s="920">
        <f t="shared" si="495"/>
        <v>72.333333333333329</v>
      </c>
      <c r="O4942" s="918" t="str">
        <f t="shared" si="496"/>
        <v>Mar</v>
      </c>
      <c r="P4942" s="921">
        <f t="shared" si="497"/>
        <v>11</v>
      </c>
    </row>
    <row r="4943" spans="1:16" ht="15" hidden="1" customHeight="1">
      <c r="A4943" s="839">
        <v>84138391</v>
      </c>
      <c r="B4943" s="839">
        <v>5914</v>
      </c>
      <c r="C4943" s="906">
        <v>31920</v>
      </c>
      <c r="D4943" s="907">
        <v>46094</v>
      </c>
      <c r="E4943" s="839" t="s">
        <v>339</v>
      </c>
      <c r="F4943" s="839" t="s">
        <v>279</v>
      </c>
      <c r="G4943" s="916">
        <f>VLOOKUP($A4943,'Tech Litons'!$A:$I,8,FALSE)</f>
        <v>3.7853439999999999E-3</v>
      </c>
      <c r="H4943" s="917">
        <f>VLOOKUP($A4943,'Tech Litons'!$A:$I,9,FALSE)</f>
        <v>240</v>
      </c>
      <c r="I4943" s="917" t="str">
        <f>VLOOKUP($A4943,'Tech Litons'!$A:$C,3,0)</f>
        <v>BJ PTS</v>
      </c>
      <c r="J4943" s="918" t="str">
        <f t="shared" si="492"/>
        <v>5914BJ PTS</v>
      </c>
      <c r="K4943" s="919">
        <v>1</v>
      </c>
      <c r="L4943" s="920">
        <f t="shared" si="493"/>
        <v>31920</v>
      </c>
      <c r="M4943" s="920">
        <f t="shared" si="494"/>
        <v>120.82818048</v>
      </c>
      <c r="N4943" s="920">
        <f t="shared" si="495"/>
        <v>133</v>
      </c>
      <c r="O4943" s="918" t="str">
        <f t="shared" si="496"/>
        <v>Mar</v>
      </c>
      <c r="P4943" s="921">
        <f t="shared" si="497"/>
        <v>11</v>
      </c>
    </row>
    <row r="4944" spans="1:16" ht="15" hidden="1" customHeight="1">
      <c r="A4944" s="839">
        <v>84138391</v>
      </c>
      <c r="B4944" s="839">
        <v>5914</v>
      </c>
      <c r="C4944" s="906">
        <v>28203</v>
      </c>
      <c r="D4944" s="907">
        <v>46095</v>
      </c>
      <c r="E4944" s="839" t="s">
        <v>339</v>
      </c>
      <c r="F4944" s="839" t="s">
        <v>279</v>
      </c>
      <c r="G4944" s="916">
        <f>VLOOKUP($A4944,'Tech Litons'!$A:$I,8,FALSE)</f>
        <v>3.7853439999999999E-3</v>
      </c>
      <c r="H4944" s="917">
        <f>VLOOKUP($A4944,'Tech Litons'!$A:$I,9,FALSE)</f>
        <v>240</v>
      </c>
      <c r="I4944" s="917" t="str">
        <f>VLOOKUP($A4944,'Tech Litons'!$A:$C,3,0)</f>
        <v>BJ PTS</v>
      </c>
      <c r="J4944" s="918" t="str">
        <f t="shared" si="492"/>
        <v>5914BJ PTS</v>
      </c>
      <c r="K4944" s="919">
        <v>1</v>
      </c>
      <c r="L4944" s="920">
        <f t="shared" si="493"/>
        <v>28203</v>
      </c>
      <c r="M4944" s="920">
        <f t="shared" si="494"/>
        <v>106.75805683199999</v>
      </c>
      <c r="N4944" s="920">
        <f t="shared" si="495"/>
        <v>117.5125</v>
      </c>
      <c r="O4944" s="918" t="str">
        <f t="shared" si="496"/>
        <v>Mar</v>
      </c>
      <c r="P4944" s="921">
        <f t="shared" si="497"/>
        <v>11</v>
      </c>
    </row>
    <row r="4945" spans="1:16" ht="15" hidden="1" customHeight="1">
      <c r="A4945" s="839">
        <v>84138391</v>
      </c>
      <c r="B4945" s="839">
        <v>5914</v>
      </c>
      <c r="C4945" s="906">
        <v>-80</v>
      </c>
      <c r="D4945" s="907">
        <v>46097</v>
      </c>
      <c r="E4945" s="839" t="s">
        <v>339</v>
      </c>
      <c r="F4945" s="839" t="s">
        <v>279</v>
      </c>
      <c r="G4945" s="916">
        <f>VLOOKUP($A4945,'Tech Litons'!$A:$I,8,FALSE)</f>
        <v>3.7853439999999999E-3</v>
      </c>
      <c r="H4945" s="917">
        <f>VLOOKUP($A4945,'Tech Litons'!$A:$I,9,FALSE)</f>
        <v>240</v>
      </c>
      <c r="I4945" s="917" t="str">
        <f>VLOOKUP($A4945,'Tech Litons'!$A:$C,3,0)</f>
        <v>BJ PTS</v>
      </c>
      <c r="J4945" s="918" t="str">
        <f t="shared" si="492"/>
        <v>5914BJ PTS</v>
      </c>
      <c r="K4945" s="919">
        <v>1</v>
      </c>
      <c r="L4945" s="920">
        <f t="shared" si="493"/>
        <v>-80</v>
      </c>
      <c r="M4945" s="920">
        <f t="shared" si="494"/>
        <v>-0.30282752000000002</v>
      </c>
      <c r="N4945" s="920">
        <f t="shared" si="495"/>
        <v>-0.33333333333333331</v>
      </c>
      <c r="O4945" s="918" t="str">
        <f t="shared" si="496"/>
        <v>Mar</v>
      </c>
      <c r="P4945" s="921">
        <f t="shared" si="497"/>
        <v>12</v>
      </c>
    </row>
    <row r="4946" spans="1:16" ht="15" hidden="1" customHeight="1">
      <c r="A4946" s="839">
        <v>84138392</v>
      </c>
      <c r="B4946" s="839">
        <v>5914</v>
      </c>
      <c r="C4946" s="906">
        <v>6000</v>
      </c>
      <c r="D4946" s="907">
        <v>46083</v>
      </c>
      <c r="E4946" s="839" t="s">
        <v>418</v>
      </c>
      <c r="F4946" s="839" t="s">
        <v>303</v>
      </c>
      <c r="G4946" s="916">
        <f>VLOOKUP($A4946,'Tech Litons'!$A:$I,8,FALSE)</f>
        <v>3.7839999999999996E-3</v>
      </c>
      <c r="H4946" s="917">
        <f>VLOOKUP($A4946,'Tech Litons'!$A:$I,9,FALSE)</f>
        <v>240</v>
      </c>
      <c r="I4946" s="917" t="str">
        <f>VLOOKUP($A4946,'Tech Litons'!$A:$C,3,0)</f>
        <v>BJ PTS</v>
      </c>
      <c r="J4946" s="918" t="str">
        <f t="shared" si="492"/>
        <v>5914BJ PTS</v>
      </c>
      <c r="K4946" s="919">
        <v>1</v>
      </c>
      <c r="L4946" s="920">
        <f t="shared" si="493"/>
        <v>6000</v>
      </c>
      <c r="M4946" s="920">
        <f t="shared" si="494"/>
        <v>22.703999999999997</v>
      </c>
      <c r="N4946" s="920">
        <f t="shared" si="495"/>
        <v>25</v>
      </c>
      <c r="O4946" s="918" t="str">
        <f t="shared" si="496"/>
        <v>Mar</v>
      </c>
      <c r="P4946" s="921">
        <f t="shared" si="497"/>
        <v>10</v>
      </c>
    </row>
    <row r="4947" spans="1:16" ht="15" hidden="1" customHeight="1">
      <c r="A4947" s="839">
        <v>84138392</v>
      </c>
      <c r="B4947" s="839">
        <v>5914</v>
      </c>
      <c r="C4947" s="906">
        <v>9239</v>
      </c>
      <c r="D4947" s="907">
        <v>46084</v>
      </c>
      <c r="E4947" s="839" t="s">
        <v>418</v>
      </c>
      <c r="F4947" s="839" t="s">
        <v>303</v>
      </c>
      <c r="G4947" s="916">
        <f>VLOOKUP($A4947,'Tech Litons'!$A:$I,8,FALSE)</f>
        <v>3.7839999999999996E-3</v>
      </c>
      <c r="H4947" s="917">
        <f>VLOOKUP($A4947,'Tech Litons'!$A:$I,9,FALSE)</f>
        <v>240</v>
      </c>
      <c r="I4947" s="917" t="str">
        <f>VLOOKUP($A4947,'Tech Litons'!$A:$C,3,0)</f>
        <v>BJ PTS</v>
      </c>
      <c r="J4947" s="918" t="str">
        <f t="shared" si="492"/>
        <v>5914BJ PTS</v>
      </c>
      <c r="K4947" s="919">
        <v>1</v>
      </c>
      <c r="L4947" s="920">
        <f t="shared" si="493"/>
        <v>9239</v>
      </c>
      <c r="M4947" s="920">
        <f t="shared" si="494"/>
        <v>34.960375999999997</v>
      </c>
      <c r="N4947" s="920">
        <f t="shared" si="495"/>
        <v>38.49583333333333</v>
      </c>
      <c r="O4947" s="918" t="str">
        <f t="shared" si="496"/>
        <v>Mar</v>
      </c>
      <c r="P4947" s="921">
        <f t="shared" si="497"/>
        <v>10</v>
      </c>
    </row>
    <row r="4948" spans="1:16" ht="15" hidden="1" customHeight="1">
      <c r="A4948" s="839">
        <v>84139090</v>
      </c>
      <c r="B4948" s="839">
        <v>5914</v>
      </c>
      <c r="C4948" s="906">
        <v>18240</v>
      </c>
      <c r="D4948" s="907">
        <v>46100</v>
      </c>
      <c r="E4948" s="839" t="s">
        <v>477</v>
      </c>
      <c r="F4948" s="839" t="s">
        <v>1334</v>
      </c>
      <c r="G4948" s="916">
        <f>VLOOKUP($A4948,'Tech Litons'!$A:$I,8,FALSE)</f>
        <v>3.7853439999999999E-3</v>
      </c>
      <c r="H4948" s="917">
        <f>VLOOKUP($A4948,'Tech Litons'!$A:$I,9,FALSE)</f>
        <v>240</v>
      </c>
      <c r="I4948" s="917" t="str">
        <f>VLOOKUP($A4948,'Tech Litons'!$A:$C,3,0)</f>
        <v>BJ PTS</v>
      </c>
      <c r="J4948" s="918" t="str">
        <f t="shared" si="492"/>
        <v>5914BJ PTS</v>
      </c>
      <c r="K4948" s="919">
        <v>1</v>
      </c>
      <c r="L4948" s="920">
        <f t="shared" si="493"/>
        <v>18240</v>
      </c>
      <c r="M4948" s="920">
        <f t="shared" si="494"/>
        <v>69.044674560000004</v>
      </c>
      <c r="N4948" s="920">
        <f t="shared" si="495"/>
        <v>76</v>
      </c>
      <c r="O4948" s="918" t="str">
        <f t="shared" si="496"/>
        <v>Mar</v>
      </c>
      <c r="P4948" s="921">
        <f t="shared" si="497"/>
        <v>12</v>
      </c>
    </row>
    <row r="4949" spans="1:16" ht="15" hidden="1" customHeight="1">
      <c r="A4949" s="839">
        <v>84139090</v>
      </c>
      <c r="B4949" s="839">
        <v>5914</v>
      </c>
      <c r="C4949" s="906">
        <v>17311</v>
      </c>
      <c r="D4949" s="907">
        <v>46101</v>
      </c>
      <c r="E4949" s="839" t="s">
        <v>477</v>
      </c>
      <c r="F4949" s="839" t="s">
        <v>1334</v>
      </c>
      <c r="G4949" s="916">
        <f>VLOOKUP($A4949,'Tech Litons'!$A:$I,8,FALSE)</f>
        <v>3.7853439999999999E-3</v>
      </c>
      <c r="H4949" s="917">
        <f>VLOOKUP($A4949,'Tech Litons'!$A:$I,9,FALSE)</f>
        <v>240</v>
      </c>
      <c r="I4949" s="917" t="str">
        <f>VLOOKUP($A4949,'Tech Litons'!$A:$C,3,0)</f>
        <v>BJ PTS</v>
      </c>
      <c r="J4949" s="918" t="str">
        <f t="shared" si="492"/>
        <v>5914BJ PTS</v>
      </c>
      <c r="K4949" s="919">
        <v>1</v>
      </c>
      <c r="L4949" s="920">
        <f t="shared" si="493"/>
        <v>17311</v>
      </c>
      <c r="M4949" s="920">
        <f t="shared" si="494"/>
        <v>65.528089984000005</v>
      </c>
      <c r="N4949" s="920">
        <f t="shared" si="495"/>
        <v>72.129166666666663</v>
      </c>
      <c r="O4949" s="918" t="str">
        <f t="shared" si="496"/>
        <v>Mar</v>
      </c>
      <c r="P4949" s="921">
        <f t="shared" si="497"/>
        <v>12</v>
      </c>
    </row>
    <row r="4950" spans="1:16" ht="15" hidden="1" customHeight="1">
      <c r="A4950" s="839">
        <v>84141035</v>
      </c>
      <c r="B4950" s="839">
        <v>5914</v>
      </c>
      <c r="C4950" s="906">
        <v>2875</v>
      </c>
      <c r="D4950" s="907">
        <v>46077</v>
      </c>
      <c r="E4950" s="839" t="s">
        <v>392</v>
      </c>
      <c r="F4950" s="839" t="s">
        <v>303</v>
      </c>
      <c r="G4950" s="916">
        <f>VLOOKUP($A4950,'Tech Litons'!$A:$I,8,FALSE)</f>
        <v>9.0848256361922702E-3</v>
      </c>
      <c r="H4950" s="917">
        <f>VLOOKUP($A4950,'Tech Litons'!$A:$I,9,FALSE)</f>
        <v>125</v>
      </c>
      <c r="I4950" s="917" t="str">
        <f>VLOOKUP($A4950,'Tech Litons'!$A:$C,3,0)</f>
        <v>2.4 Gal</v>
      </c>
      <c r="J4950" s="918" t="str">
        <f t="shared" si="492"/>
        <v>59142.4 Gal</v>
      </c>
      <c r="K4950" s="919">
        <v>1</v>
      </c>
      <c r="L4950" s="920">
        <f t="shared" si="493"/>
        <v>2875</v>
      </c>
      <c r="M4950" s="920">
        <f t="shared" si="494"/>
        <v>26.118873704052778</v>
      </c>
      <c r="N4950" s="920">
        <f t="shared" si="495"/>
        <v>23</v>
      </c>
      <c r="O4950" s="918" t="str">
        <f t="shared" si="496"/>
        <v>Feb</v>
      </c>
      <c r="P4950" s="921">
        <f t="shared" si="497"/>
        <v>9</v>
      </c>
    </row>
    <row r="4951" spans="1:16" ht="15" hidden="1" customHeight="1">
      <c r="A4951" s="839">
        <v>84141035</v>
      </c>
      <c r="B4951" s="839">
        <v>5914</v>
      </c>
      <c r="C4951" s="906">
        <v>3009</v>
      </c>
      <c r="D4951" s="907">
        <v>46078</v>
      </c>
      <c r="E4951" s="839" t="s">
        <v>392</v>
      </c>
      <c r="F4951" s="839" t="s">
        <v>303</v>
      </c>
      <c r="G4951" s="916">
        <f>VLOOKUP($A4951,'Tech Litons'!$A:$I,8,FALSE)</f>
        <v>9.0848256361922702E-3</v>
      </c>
      <c r="H4951" s="917">
        <f>VLOOKUP($A4951,'Tech Litons'!$A:$I,9,FALSE)</f>
        <v>125</v>
      </c>
      <c r="I4951" s="917" t="str">
        <f>VLOOKUP($A4951,'Tech Litons'!$A:$C,3,0)</f>
        <v>2.4 Gal</v>
      </c>
      <c r="J4951" s="918" t="str">
        <f t="shared" si="492"/>
        <v>59142.4 Gal</v>
      </c>
      <c r="K4951" s="919">
        <v>1</v>
      </c>
      <c r="L4951" s="920">
        <f t="shared" si="493"/>
        <v>3009</v>
      </c>
      <c r="M4951" s="920">
        <f t="shared" si="494"/>
        <v>27.336240339302542</v>
      </c>
      <c r="N4951" s="920">
        <f t="shared" si="495"/>
        <v>24.071999999999999</v>
      </c>
      <c r="O4951" s="918" t="str">
        <f t="shared" si="496"/>
        <v>Feb</v>
      </c>
      <c r="P4951" s="921">
        <f t="shared" si="497"/>
        <v>9</v>
      </c>
    </row>
    <row r="4952" spans="1:16" ht="15" hidden="1" customHeight="1">
      <c r="A4952" s="839">
        <v>84141094</v>
      </c>
      <c r="B4952" s="839">
        <v>5914</v>
      </c>
      <c r="C4952" s="906">
        <v>19920</v>
      </c>
      <c r="D4952" s="907">
        <v>46076</v>
      </c>
      <c r="E4952" s="839" t="s">
        <v>393</v>
      </c>
      <c r="F4952" s="839" t="s">
        <v>279</v>
      </c>
      <c r="G4952" s="916">
        <f>VLOOKUP($A4952,'Tech Litons'!$A:$I,8,FALSE)</f>
        <v>3.7839999999999996E-3</v>
      </c>
      <c r="H4952" s="917">
        <f>VLOOKUP($A4952,'Tech Litons'!$A:$I,9,FALSE)</f>
        <v>240</v>
      </c>
      <c r="I4952" s="917" t="str">
        <f>VLOOKUP($A4952,'Tech Litons'!$A:$C,3,0)</f>
        <v>BJ PTS</v>
      </c>
      <c r="J4952" s="918" t="str">
        <f t="shared" si="492"/>
        <v>5914BJ PTS</v>
      </c>
      <c r="K4952" s="919">
        <v>1</v>
      </c>
      <c r="L4952" s="920">
        <f t="shared" si="493"/>
        <v>19920</v>
      </c>
      <c r="M4952" s="920">
        <f t="shared" si="494"/>
        <v>75.377279999999999</v>
      </c>
      <c r="N4952" s="920">
        <f t="shared" si="495"/>
        <v>83</v>
      </c>
      <c r="O4952" s="918" t="str">
        <f t="shared" si="496"/>
        <v>Feb</v>
      </c>
      <c r="P4952" s="921">
        <f t="shared" si="497"/>
        <v>9</v>
      </c>
    </row>
    <row r="4953" spans="1:16" ht="15" hidden="1" customHeight="1">
      <c r="A4953" s="839">
        <v>84141094</v>
      </c>
      <c r="B4953" s="839">
        <v>5914</v>
      </c>
      <c r="C4953" s="906">
        <v>12000</v>
      </c>
      <c r="D4953" s="907">
        <v>46077</v>
      </c>
      <c r="E4953" s="839" t="s">
        <v>393</v>
      </c>
      <c r="F4953" s="839" t="s">
        <v>279</v>
      </c>
      <c r="G4953" s="916">
        <f>VLOOKUP($A4953,'Tech Litons'!$A:$I,8,FALSE)</f>
        <v>3.7839999999999996E-3</v>
      </c>
      <c r="H4953" s="917">
        <f>VLOOKUP($A4953,'Tech Litons'!$A:$I,9,FALSE)</f>
        <v>240</v>
      </c>
      <c r="I4953" s="917" t="str">
        <f>VLOOKUP($A4953,'Tech Litons'!$A:$C,3,0)</f>
        <v>BJ PTS</v>
      </c>
      <c r="J4953" s="918" t="str">
        <f t="shared" si="492"/>
        <v>5914BJ PTS</v>
      </c>
      <c r="K4953" s="919">
        <v>1</v>
      </c>
      <c r="L4953" s="920">
        <f t="shared" si="493"/>
        <v>12000</v>
      </c>
      <c r="M4953" s="920">
        <f t="shared" si="494"/>
        <v>45.407999999999994</v>
      </c>
      <c r="N4953" s="920">
        <f t="shared" si="495"/>
        <v>50</v>
      </c>
      <c r="O4953" s="918" t="str">
        <f t="shared" si="496"/>
        <v>Feb</v>
      </c>
      <c r="P4953" s="921">
        <f t="shared" si="497"/>
        <v>9</v>
      </c>
    </row>
    <row r="4954" spans="1:16" ht="15" hidden="1" customHeight="1">
      <c r="A4954" s="839">
        <v>84141094</v>
      </c>
      <c r="B4954" s="839">
        <v>5914</v>
      </c>
      <c r="C4954" s="906">
        <v>24240</v>
      </c>
      <c r="D4954" s="907">
        <v>46077</v>
      </c>
      <c r="E4954" s="839" t="s">
        <v>393</v>
      </c>
      <c r="F4954" s="839" t="s">
        <v>279</v>
      </c>
      <c r="G4954" s="916">
        <f>VLOOKUP($A4954,'Tech Litons'!$A:$I,8,FALSE)</f>
        <v>3.7839999999999996E-3</v>
      </c>
      <c r="H4954" s="917">
        <f>VLOOKUP($A4954,'Tech Litons'!$A:$I,9,FALSE)</f>
        <v>240</v>
      </c>
      <c r="I4954" s="917" t="str">
        <f>VLOOKUP($A4954,'Tech Litons'!$A:$C,3,0)</f>
        <v>BJ PTS</v>
      </c>
      <c r="J4954" s="918" t="str">
        <f t="shared" si="492"/>
        <v>5914BJ PTS</v>
      </c>
      <c r="K4954" s="919">
        <v>1</v>
      </c>
      <c r="L4954" s="920">
        <f t="shared" si="493"/>
        <v>24240</v>
      </c>
      <c r="M4954" s="920">
        <f t="shared" si="494"/>
        <v>91.724159999999983</v>
      </c>
      <c r="N4954" s="920">
        <f t="shared" si="495"/>
        <v>101</v>
      </c>
      <c r="O4954" s="918" t="str">
        <f t="shared" si="496"/>
        <v>Feb</v>
      </c>
      <c r="P4954" s="921">
        <f t="shared" si="497"/>
        <v>9</v>
      </c>
    </row>
    <row r="4955" spans="1:16" ht="15" hidden="1" customHeight="1">
      <c r="A4955" s="839">
        <v>84141094</v>
      </c>
      <c r="B4955" s="839">
        <v>5914</v>
      </c>
      <c r="C4955" s="906">
        <v>35926</v>
      </c>
      <c r="D4955" s="907">
        <v>46078</v>
      </c>
      <c r="E4955" s="839" t="s">
        <v>393</v>
      </c>
      <c r="F4955" s="839" t="s">
        <v>279</v>
      </c>
      <c r="G4955" s="916">
        <f>VLOOKUP($A4955,'Tech Litons'!$A:$I,8,FALSE)</f>
        <v>3.7839999999999996E-3</v>
      </c>
      <c r="H4955" s="917">
        <f>VLOOKUP($A4955,'Tech Litons'!$A:$I,9,FALSE)</f>
        <v>240</v>
      </c>
      <c r="I4955" s="917" t="str">
        <f>VLOOKUP($A4955,'Tech Litons'!$A:$C,3,0)</f>
        <v>BJ PTS</v>
      </c>
      <c r="J4955" s="918" t="str">
        <f t="shared" si="492"/>
        <v>5914BJ PTS</v>
      </c>
      <c r="K4955" s="919">
        <v>1</v>
      </c>
      <c r="L4955" s="920">
        <f t="shared" si="493"/>
        <v>35926</v>
      </c>
      <c r="M4955" s="920">
        <f t="shared" si="494"/>
        <v>135.94398399999997</v>
      </c>
      <c r="N4955" s="920">
        <f t="shared" si="495"/>
        <v>149.69166666666666</v>
      </c>
      <c r="O4955" s="918" t="str">
        <f t="shared" si="496"/>
        <v>Feb</v>
      </c>
      <c r="P4955" s="921">
        <f t="shared" si="497"/>
        <v>9</v>
      </c>
    </row>
    <row r="4956" spans="1:16" ht="15" hidden="1" customHeight="1">
      <c r="A4956" s="839">
        <v>84141094</v>
      </c>
      <c r="B4956" s="839">
        <v>5914</v>
      </c>
      <c r="C4956" s="906">
        <v>6857</v>
      </c>
      <c r="D4956" s="907">
        <v>46079</v>
      </c>
      <c r="E4956" s="839" t="s">
        <v>393</v>
      </c>
      <c r="F4956" s="839" t="s">
        <v>279</v>
      </c>
      <c r="G4956" s="916">
        <f>VLOOKUP($A4956,'Tech Litons'!$A:$I,8,FALSE)</f>
        <v>3.7839999999999996E-3</v>
      </c>
      <c r="H4956" s="917">
        <f>VLOOKUP($A4956,'Tech Litons'!$A:$I,9,FALSE)</f>
        <v>240</v>
      </c>
      <c r="I4956" s="917" t="str">
        <f>VLOOKUP($A4956,'Tech Litons'!$A:$C,3,0)</f>
        <v>BJ PTS</v>
      </c>
      <c r="J4956" s="918" t="str">
        <f t="shared" si="492"/>
        <v>5914BJ PTS</v>
      </c>
      <c r="K4956" s="919">
        <v>1</v>
      </c>
      <c r="L4956" s="920">
        <f t="shared" si="493"/>
        <v>6857</v>
      </c>
      <c r="M4956" s="920">
        <f t="shared" si="494"/>
        <v>25.946887999999998</v>
      </c>
      <c r="N4956" s="920">
        <f t="shared" si="495"/>
        <v>28.570833333333333</v>
      </c>
      <c r="O4956" s="918" t="str">
        <f t="shared" si="496"/>
        <v>Feb</v>
      </c>
      <c r="P4956" s="921">
        <f t="shared" si="497"/>
        <v>9</v>
      </c>
    </row>
    <row r="4957" spans="1:16" ht="15" hidden="1" customHeight="1">
      <c r="A4957" s="839">
        <v>84141094</v>
      </c>
      <c r="B4957" s="839">
        <v>5914</v>
      </c>
      <c r="C4957" s="906">
        <v>31200</v>
      </c>
      <c r="D4957" s="907">
        <v>46104</v>
      </c>
      <c r="E4957" s="839" t="s">
        <v>393</v>
      </c>
      <c r="F4957" s="839" t="s">
        <v>279</v>
      </c>
      <c r="G4957" s="916">
        <f>VLOOKUP($A4957,'Tech Litons'!$A:$I,8,FALSE)</f>
        <v>3.7839999999999996E-3</v>
      </c>
      <c r="H4957" s="917">
        <f>VLOOKUP($A4957,'Tech Litons'!$A:$I,9,FALSE)</f>
        <v>240</v>
      </c>
      <c r="I4957" s="917" t="str">
        <f>VLOOKUP($A4957,'Tech Litons'!$A:$C,3,0)</f>
        <v>BJ PTS</v>
      </c>
      <c r="J4957" s="918" t="str">
        <f t="shared" si="492"/>
        <v>5914BJ PTS</v>
      </c>
      <c r="K4957" s="919">
        <v>1</v>
      </c>
      <c r="L4957" s="920">
        <f t="shared" si="493"/>
        <v>31200</v>
      </c>
      <c r="M4957" s="920">
        <f t="shared" si="494"/>
        <v>118.06079999999999</v>
      </c>
      <c r="N4957" s="920">
        <f t="shared" si="495"/>
        <v>130</v>
      </c>
      <c r="O4957" s="918" t="str">
        <f t="shared" si="496"/>
        <v>Mar</v>
      </c>
      <c r="P4957" s="921">
        <f t="shared" si="497"/>
        <v>13</v>
      </c>
    </row>
    <row r="4958" spans="1:16" ht="15" hidden="1" customHeight="1">
      <c r="A4958" s="839">
        <v>84141094</v>
      </c>
      <c r="B4958" s="839">
        <v>5914</v>
      </c>
      <c r="C4958" s="906">
        <v>30157</v>
      </c>
      <c r="D4958" s="907">
        <v>46105</v>
      </c>
      <c r="E4958" s="839" t="s">
        <v>393</v>
      </c>
      <c r="F4958" s="839" t="s">
        <v>279</v>
      </c>
      <c r="G4958" s="916">
        <f>VLOOKUP($A4958,'Tech Litons'!$A:$I,8,FALSE)</f>
        <v>3.7839999999999996E-3</v>
      </c>
      <c r="H4958" s="917">
        <f>VLOOKUP($A4958,'Tech Litons'!$A:$I,9,FALSE)</f>
        <v>240</v>
      </c>
      <c r="I4958" s="917" t="str">
        <f>VLOOKUP($A4958,'Tech Litons'!$A:$C,3,0)</f>
        <v>BJ PTS</v>
      </c>
      <c r="J4958" s="918" t="str">
        <f t="shared" si="492"/>
        <v>5914BJ PTS</v>
      </c>
      <c r="K4958" s="919">
        <v>1</v>
      </c>
      <c r="L4958" s="920">
        <f t="shared" si="493"/>
        <v>30157</v>
      </c>
      <c r="M4958" s="920">
        <f t="shared" si="494"/>
        <v>114.11408799999998</v>
      </c>
      <c r="N4958" s="920">
        <f t="shared" si="495"/>
        <v>125.65416666666667</v>
      </c>
      <c r="O4958" s="918" t="str">
        <f t="shared" si="496"/>
        <v>Mar</v>
      </c>
      <c r="P4958" s="921">
        <f t="shared" si="497"/>
        <v>13</v>
      </c>
    </row>
    <row r="4959" spans="1:16" ht="15" hidden="1" customHeight="1">
      <c r="A4959" s="839">
        <v>84141094</v>
      </c>
      <c r="B4959" s="839">
        <v>5914</v>
      </c>
      <c r="C4959" s="906">
        <v>8695</v>
      </c>
      <c r="D4959" s="907">
        <v>46105</v>
      </c>
      <c r="E4959" s="839" t="s">
        <v>393</v>
      </c>
      <c r="F4959" s="839" t="s">
        <v>279</v>
      </c>
      <c r="G4959" s="916">
        <f>VLOOKUP($A4959,'Tech Litons'!$A:$I,8,FALSE)</f>
        <v>3.7839999999999996E-3</v>
      </c>
      <c r="H4959" s="917">
        <f>VLOOKUP($A4959,'Tech Litons'!$A:$I,9,FALSE)</f>
        <v>240</v>
      </c>
      <c r="I4959" s="917" t="str">
        <f>VLOOKUP($A4959,'Tech Litons'!$A:$C,3,0)</f>
        <v>BJ PTS</v>
      </c>
      <c r="J4959" s="918" t="str">
        <f t="shared" si="492"/>
        <v>5914BJ PTS</v>
      </c>
      <c r="K4959" s="919">
        <v>1</v>
      </c>
      <c r="L4959" s="920">
        <f t="shared" si="493"/>
        <v>8695</v>
      </c>
      <c r="M4959" s="920">
        <f t="shared" si="494"/>
        <v>32.901879999999998</v>
      </c>
      <c r="N4959" s="920">
        <f t="shared" si="495"/>
        <v>36.229166666666664</v>
      </c>
      <c r="O4959" s="918" t="str">
        <f t="shared" si="496"/>
        <v>Mar</v>
      </c>
      <c r="P4959" s="921">
        <f t="shared" si="497"/>
        <v>13</v>
      </c>
    </row>
    <row r="4960" spans="1:16" ht="15" hidden="1" customHeight="1">
      <c r="A4960" s="839">
        <v>84141103</v>
      </c>
      <c r="B4960" s="839">
        <v>5914</v>
      </c>
      <c r="C4960" s="906">
        <v>23040</v>
      </c>
      <c r="D4960" s="907">
        <v>46083</v>
      </c>
      <c r="E4960" s="839" t="s">
        <v>314</v>
      </c>
      <c r="F4960" s="839" t="s">
        <v>1269</v>
      </c>
      <c r="G4960" s="916">
        <f>VLOOKUP($A4960,'Tech Litons'!$A:$I,8,FALSE)</f>
        <v>3.7853439999999999E-3</v>
      </c>
      <c r="H4960" s="917">
        <f>VLOOKUP($A4960,'Tech Litons'!$A:$I,9,FALSE)</f>
        <v>240</v>
      </c>
      <c r="I4960" s="917" t="str">
        <f>VLOOKUP($A4960,'Tech Litons'!$A:$C,3,0)</f>
        <v>BJ PTS</v>
      </c>
      <c r="J4960" s="918" t="str">
        <f t="shared" si="492"/>
        <v>5914BJ PTS</v>
      </c>
      <c r="K4960" s="919">
        <v>1</v>
      </c>
      <c r="L4960" s="920">
        <f t="shared" si="493"/>
        <v>23040</v>
      </c>
      <c r="M4960" s="920">
        <f t="shared" si="494"/>
        <v>87.214325759999994</v>
      </c>
      <c r="N4960" s="920">
        <f t="shared" si="495"/>
        <v>96</v>
      </c>
      <c r="O4960" s="918" t="str">
        <f t="shared" si="496"/>
        <v>Mar</v>
      </c>
      <c r="P4960" s="921">
        <f t="shared" si="497"/>
        <v>10</v>
      </c>
    </row>
    <row r="4961" spans="1:16" ht="15" hidden="1" customHeight="1">
      <c r="A4961" s="839">
        <v>84141103</v>
      </c>
      <c r="B4961" s="839">
        <v>5914</v>
      </c>
      <c r="C4961" s="906">
        <v>39840</v>
      </c>
      <c r="D4961" s="907">
        <v>46084</v>
      </c>
      <c r="E4961" s="839" t="s">
        <v>314</v>
      </c>
      <c r="F4961" s="839" t="s">
        <v>1269</v>
      </c>
      <c r="G4961" s="916">
        <f>VLOOKUP($A4961,'Tech Litons'!$A:$I,8,FALSE)</f>
        <v>3.7853439999999999E-3</v>
      </c>
      <c r="H4961" s="917">
        <f>VLOOKUP($A4961,'Tech Litons'!$A:$I,9,FALSE)</f>
        <v>240</v>
      </c>
      <c r="I4961" s="917" t="str">
        <f>VLOOKUP($A4961,'Tech Litons'!$A:$C,3,0)</f>
        <v>BJ PTS</v>
      </c>
      <c r="J4961" s="918" t="str">
        <f t="shared" si="492"/>
        <v>5914BJ PTS</v>
      </c>
      <c r="K4961" s="919">
        <v>1</v>
      </c>
      <c r="L4961" s="920">
        <f t="shared" si="493"/>
        <v>39840</v>
      </c>
      <c r="M4961" s="920">
        <f t="shared" si="494"/>
        <v>150.80810496000001</v>
      </c>
      <c r="N4961" s="920">
        <f t="shared" si="495"/>
        <v>166</v>
      </c>
      <c r="O4961" s="918" t="str">
        <f t="shared" si="496"/>
        <v>Mar</v>
      </c>
      <c r="P4961" s="921">
        <f t="shared" si="497"/>
        <v>10</v>
      </c>
    </row>
    <row r="4962" spans="1:16" ht="15" hidden="1" customHeight="1">
      <c r="A4962" s="839">
        <v>84141103</v>
      </c>
      <c r="B4962" s="839">
        <v>5914</v>
      </c>
      <c r="C4962" s="906">
        <v>13795</v>
      </c>
      <c r="D4962" s="907">
        <v>46085</v>
      </c>
      <c r="E4962" s="839" t="s">
        <v>314</v>
      </c>
      <c r="F4962" s="839" t="s">
        <v>1269</v>
      </c>
      <c r="G4962" s="916">
        <f>VLOOKUP($A4962,'Tech Litons'!$A:$I,8,FALSE)</f>
        <v>3.7853439999999999E-3</v>
      </c>
      <c r="H4962" s="917">
        <f>VLOOKUP($A4962,'Tech Litons'!$A:$I,9,FALSE)</f>
        <v>240</v>
      </c>
      <c r="I4962" s="917" t="str">
        <f>VLOOKUP($A4962,'Tech Litons'!$A:$C,3,0)</f>
        <v>BJ PTS</v>
      </c>
      <c r="J4962" s="918" t="str">
        <f t="shared" si="492"/>
        <v>5914BJ PTS</v>
      </c>
      <c r="K4962" s="919">
        <v>1</v>
      </c>
      <c r="L4962" s="920">
        <f t="shared" si="493"/>
        <v>13795</v>
      </c>
      <c r="M4962" s="920">
        <f t="shared" si="494"/>
        <v>52.218820479999998</v>
      </c>
      <c r="N4962" s="920">
        <f t="shared" si="495"/>
        <v>57.479166666666664</v>
      </c>
      <c r="O4962" s="918" t="str">
        <f t="shared" si="496"/>
        <v>Mar</v>
      </c>
      <c r="P4962" s="921">
        <f t="shared" si="497"/>
        <v>10</v>
      </c>
    </row>
    <row r="4963" spans="1:16" ht="15" hidden="1" customHeight="1">
      <c r="A4963" s="839">
        <v>84141418</v>
      </c>
      <c r="B4963" s="839">
        <v>5914</v>
      </c>
      <c r="C4963" s="906">
        <v>3250</v>
      </c>
      <c r="D4963" s="907">
        <v>46092</v>
      </c>
      <c r="E4963" s="839" t="s">
        <v>369</v>
      </c>
      <c r="F4963" s="839" t="s">
        <v>303</v>
      </c>
      <c r="G4963" s="916">
        <f>VLOOKUP($A4963,'Tech Litons'!$A:$I,8,FALSE)</f>
        <v>9.0848256361922702E-3</v>
      </c>
      <c r="H4963" s="917">
        <f>VLOOKUP($A4963,'Tech Litons'!$A:$I,9,FALSE)</f>
        <v>125</v>
      </c>
      <c r="I4963" s="917" t="str">
        <f>VLOOKUP($A4963,'Tech Litons'!$A:$C,3,0)</f>
        <v>2.4 Gal</v>
      </c>
      <c r="J4963" s="918" t="str">
        <f t="shared" si="492"/>
        <v>59142.4 Gal</v>
      </c>
      <c r="K4963" s="919">
        <v>1</v>
      </c>
      <c r="L4963" s="920">
        <f t="shared" si="493"/>
        <v>3250</v>
      </c>
      <c r="M4963" s="920">
        <f t="shared" si="494"/>
        <v>29.525683317624878</v>
      </c>
      <c r="N4963" s="920">
        <f t="shared" si="495"/>
        <v>26</v>
      </c>
      <c r="O4963" s="918" t="str">
        <f t="shared" si="496"/>
        <v>Mar</v>
      </c>
      <c r="P4963" s="921">
        <f t="shared" si="497"/>
        <v>11</v>
      </c>
    </row>
    <row r="4964" spans="1:16" ht="15" hidden="1" customHeight="1">
      <c r="A4964" s="839">
        <v>84141418</v>
      </c>
      <c r="B4964" s="839">
        <v>5914</v>
      </c>
      <c r="C4964" s="906">
        <v>2850</v>
      </c>
      <c r="D4964" s="907">
        <v>46093</v>
      </c>
      <c r="E4964" s="839" t="s">
        <v>369</v>
      </c>
      <c r="F4964" s="839" t="s">
        <v>303</v>
      </c>
      <c r="G4964" s="916">
        <f>VLOOKUP($A4964,'Tech Litons'!$A:$I,8,FALSE)</f>
        <v>9.0848256361922702E-3</v>
      </c>
      <c r="H4964" s="917">
        <f>VLOOKUP($A4964,'Tech Litons'!$A:$I,9,FALSE)</f>
        <v>125</v>
      </c>
      <c r="I4964" s="917" t="str">
        <f>VLOOKUP($A4964,'Tech Litons'!$A:$C,3,0)</f>
        <v>2.4 Gal</v>
      </c>
      <c r="J4964" s="918" t="str">
        <f t="shared" si="492"/>
        <v>59142.4 Gal</v>
      </c>
      <c r="K4964" s="919">
        <v>1</v>
      </c>
      <c r="L4964" s="920">
        <f t="shared" si="493"/>
        <v>2850</v>
      </c>
      <c r="M4964" s="920">
        <f t="shared" si="494"/>
        <v>25.89175306314797</v>
      </c>
      <c r="N4964" s="920">
        <f t="shared" si="495"/>
        <v>22.8</v>
      </c>
      <c r="O4964" s="918" t="str">
        <f t="shared" si="496"/>
        <v>Mar</v>
      </c>
      <c r="P4964" s="921">
        <f t="shared" si="497"/>
        <v>11</v>
      </c>
    </row>
    <row r="4965" spans="1:16" ht="15" hidden="1" customHeight="1">
      <c r="A4965" s="839">
        <v>84149990</v>
      </c>
      <c r="B4965" s="839">
        <v>5914</v>
      </c>
      <c r="C4965" s="906">
        <v>6720</v>
      </c>
      <c r="D4965" s="907">
        <v>46090</v>
      </c>
      <c r="E4965" s="839" t="s">
        <v>340</v>
      </c>
      <c r="F4965" s="839" t="s">
        <v>301</v>
      </c>
      <c r="G4965" s="916">
        <f>VLOOKUP($A4965,'Tech Litons'!$A:$I,8,FALSE)</f>
        <v>3.6640000000000002E-3</v>
      </c>
      <c r="H4965" s="917">
        <f>VLOOKUP($A4965,'Tech Litons'!$A:$I,9,FALSE)</f>
        <v>240</v>
      </c>
      <c r="I4965" s="917" t="str">
        <f>VLOOKUP($A4965,'Tech Litons'!$A:$C,3,0)</f>
        <v>PTS Exports</v>
      </c>
      <c r="J4965" s="918" t="str">
        <f t="shared" si="492"/>
        <v>5914PTS Exports</v>
      </c>
      <c r="K4965" s="919">
        <v>1</v>
      </c>
      <c r="L4965" s="920">
        <f t="shared" si="493"/>
        <v>6720</v>
      </c>
      <c r="M4965" s="920">
        <f t="shared" si="494"/>
        <v>24.62208</v>
      </c>
      <c r="N4965" s="920">
        <f t="shared" si="495"/>
        <v>28</v>
      </c>
      <c r="O4965" s="918" t="str">
        <f t="shared" si="496"/>
        <v>Mar</v>
      </c>
      <c r="P4965" s="921">
        <f t="shared" si="497"/>
        <v>11</v>
      </c>
    </row>
    <row r="4966" spans="1:16" ht="15" hidden="1" customHeight="1">
      <c r="A4966" s="839">
        <v>84149990</v>
      </c>
      <c r="B4966" s="839">
        <v>5914</v>
      </c>
      <c r="C4966" s="906">
        <v>14108</v>
      </c>
      <c r="D4966" s="907">
        <v>46091</v>
      </c>
      <c r="E4966" s="839" t="s">
        <v>340</v>
      </c>
      <c r="F4966" s="839" t="s">
        <v>301</v>
      </c>
      <c r="G4966" s="916">
        <f>VLOOKUP($A4966,'Tech Litons'!$A:$I,8,FALSE)</f>
        <v>3.6640000000000002E-3</v>
      </c>
      <c r="H4966" s="917">
        <f>VLOOKUP($A4966,'Tech Litons'!$A:$I,9,FALSE)</f>
        <v>240</v>
      </c>
      <c r="I4966" s="917" t="str">
        <f>VLOOKUP($A4966,'Tech Litons'!$A:$C,3,0)</f>
        <v>PTS Exports</v>
      </c>
      <c r="J4966" s="918" t="str">
        <f t="shared" si="492"/>
        <v>5914PTS Exports</v>
      </c>
      <c r="K4966" s="919">
        <v>1</v>
      </c>
      <c r="L4966" s="920">
        <f t="shared" si="493"/>
        <v>14108</v>
      </c>
      <c r="M4966" s="920">
        <f t="shared" si="494"/>
        <v>51.691712000000003</v>
      </c>
      <c r="N4966" s="920">
        <f t="shared" si="495"/>
        <v>58.783333333333331</v>
      </c>
      <c r="O4966" s="918" t="str">
        <f t="shared" si="496"/>
        <v>Mar</v>
      </c>
      <c r="P4966" s="921">
        <f t="shared" si="497"/>
        <v>11</v>
      </c>
    </row>
    <row r="4967" spans="1:16" ht="15" hidden="1" customHeight="1">
      <c r="A4967" s="839">
        <v>84161610</v>
      </c>
      <c r="B4967" s="839">
        <v>5914</v>
      </c>
      <c r="C4967" s="906">
        <v>21600</v>
      </c>
      <c r="D4967" s="907">
        <v>46076</v>
      </c>
      <c r="E4967" s="839" t="s">
        <v>309</v>
      </c>
      <c r="F4967" s="839" t="s">
        <v>301</v>
      </c>
      <c r="G4967" s="916">
        <f>VLOOKUP($A4967,'Tech Litons'!$A:$I,8,FALSE)</f>
        <v>3.7853439999999999E-3</v>
      </c>
      <c r="H4967" s="917">
        <f>VLOOKUP($A4967,'Tech Litons'!$A:$I,9,FALSE)</f>
        <v>240</v>
      </c>
      <c r="I4967" s="917" t="str">
        <f>VLOOKUP($A4967,'Tech Litons'!$A:$C,3,0)</f>
        <v>BJ PTS</v>
      </c>
      <c r="J4967" s="918" t="str">
        <f t="shared" si="492"/>
        <v>5914BJ PTS</v>
      </c>
      <c r="K4967" s="919">
        <v>1</v>
      </c>
      <c r="L4967" s="920">
        <f t="shared" si="493"/>
        <v>21600</v>
      </c>
      <c r="M4967" s="920">
        <f t="shared" si="494"/>
        <v>81.763430400000004</v>
      </c>
      <c r="N4967" s="920">
        <f t="shared" si="495"/>
        <v>90</v>
      </c>
      <c r="O4967" s="918" t="str">
        <f t="shared" si="496"/>
        <v>Feb</v>
      </c>
      <c r="P4967" s="921">
        <f t="shared" si="497"/>
        <v>9</v>
      </c>
    </row>
    <row r="4968" spans="1:16" ht="15" hidden="1" customHeight="1">
      <c r="A4968" s="839">
        <v>84161610</v>
      </c>
      <c r="B4968" s="839">
        <v>5914</v>
      </c>
      <c r="C4968" s="906">
        <v>17806</v>
      </c>
      <c r="D4968" s="907">
        <v>46077</v>
      </c>
      <c r="E4968" s="839" t="s">
        <v>309</v>
      </c>
      <c r="F4968" s="839" t="s">
        <v>301</v>
      </c>
      <c r="G4968" s="916">
        <f>VLOOKUP($A4968,'Tech Litons'!$A:$I,8,FALSE)</f>
        <v>3.7853439999999999E-3</v>
      </c>
      <c r="H4968" s="917">
        <f>VLOOKUP($A4968,'Tech Litons'!$A:$I,9,FALSE)</f>
        <v>240</v>
      </c>
      <c r="I4968" s="917" t="str">
        <f>VLOOKUP($A4968,'Tech Litons'!$A:$C,3,0)</f>
        <v>BJ PTS</v>
      </c>
      <c r="J4968" s="918" t="str">
        <f t="shared" si="492"/>
        <v>5914BJ PTS</v>
      </c>
      <c r="K4968" s="919">
        <v>1</v>
      </c>
      <c r="L4968" s="920">
        <f t="shared" si="493"/>
        <v>17806</v>
      </c>
      <c r="M4968" s="920">
        <f t="shared" si="494"/>
        <v>67.401835263999999</v>
      </c>
      <c r="N4968" s="920">
        <f t="shared" si="495"/>
        <v>74.191666666666663</v>
      </c>
      <c r="O4968" s="918" t="str">
        <f t="shared" si="496"/>
        <v>Feb</v>
      </c>
      <c r="P4968" s="921">
        <f t="shared" si="497"/>
        <v>9</v>
      </c>
    </row>
    <row r="4969" spans="1:16" ht="15" hidden="1" customHeight="1">
      <c r="A4969" s="839">
        <v>84163605</v>
      </c>
      <c r="B4969" s="839">
        <v>5914</v>
      </c>
      <c r="C4969" s="906">
        <v>6540</v>
      </c>
      <c r="D4969" s="907">
        <v>46100</v>
      </c>
      <c r="E4969" s="839" t="s">
        <v>419</v>
      </c>
      <c r="F4969" s="839" t="s">
        <v>303</v>
      </c>
      <c r="G4969" s="916">
        <f>VLOOKUP($A4969,'Tech Litons'!$A:$I,8,FALSE)</f>
        <v>3.7853439999999999E-3</v>
      </c>
      <c r="H4969" s="917">
        <f>VLOOKUP($A4969,'Tech Litons'!$A:$I,9,FALSE)</f>
        <v>240</v>
      </c>
      <c r="I4969" s="917" t="str">
        <f>VLOOKUP($A4969,'Tech Litons'!$A:$C,3,0)</f>
        <v>BJ PTS</v>
      </c>
      <c r="J4969" s="918" t="str">
        <f t="shared" si="492"/>
        <v>5914BJ PTS</v>
      </c>
      <c r="K4969" s="919">
        <v>1</v>
      </c>
      <c r="L4969" s="920">
        <f t="shared" si="493"/>
        <v>6540</v>
      </c>
      <c r="M4969" s="920">
        <f t="shared" si="494"/>
        <v>24.75614976</v>
      </c>
      <c r="N4969" s="920">
        <f t="shared" si="495"/>
        <v>27.25</v>
      </c>
      <c r="O4969" s="918" t="str">
        <f t="shared" si="496"/>
        <v>Mar</v>
      </c>
      <c r="P4969" s="921">
        <f t="shared" si="497"/>
        <v>12</v>
      </c>
    </row>
    <row r="4970" spans="1:16" ht="15" hidden="1" customHeight="1">
      <c r="A4970" s="839">
        <v>84163605</v>
      </c>
      <c r="B4970" s="839">
        <v>5914</v>
      </c>
      <c r="C4970" s="906">
        <v>19213</v>
      </c>
      <c r="D4970" s="907">
        <v>46101</v>
      </c>
      <c r="E4970" s="839" t="s">
        <v>419</v>
      </c>
      <c r="F4970" s="839" t="s">
        <v>303</v>
      </c>
      <c r="G4970" s="916">
        <f>VLOOKUP($A4970,'Tech Litons'!$A:$I,8,FALSE)</f>
        <v>3.7853439999999999E-3</v>
      </c>
      <c r="H4970" s="917">
        <f>VLOOKUP($A4970,'Tech Litons'!$A:$I,9,FALSE)</f>
        <v>240</v>
      </c>
      <c r="I4970" s="917" t="str">
        <f>VLOOKUP($A4970,'Tech Litons'!$A:$C,3,0)</f>
        <v>BJ PTS</v>
      </c>
      <c r="J4970" s="918" t="str">
        <f t="shared" si="492"/>
        <v>5914BJ PTS</v>
      </c>
      <c r="K4970" s="919">
        <v>1</v>
      </c>
      <c r="L4970" s="920">
        <f t="shared" si="493"/>
        <v>19213</v>
      </c>
      <c r="M4970" s="920">
        <f t="shared" si="494"/>
        <v>72.727814272000003</v>
      </c>
      <c r="N4970" s="920">
        <f t="shared" si="495"/>
        <v>80.05416666666666</v>
      </c>
      <c r="O4970" s="918" t="str">
        <f t="shared" si="496"/>
        <v>Mar</v>
      </c>
      <c r="P4970" s="921">
        <f t="shared" si="497"/>
        <v>12</v>
      </c>
    </row>
    <row r="4971" spans="1:16" ht="15" hidden="1" customHeight="1">
      <c r="A4971" s="839">
        <v>84163605</v>
      </c>
      <c r="B4971" s="839">
        <v>5914</v>
      </c>
      <c r="C4971" s="906">
        <v>4830</v>
      </c>
      <c r="D4971" s="907">
        <v>46102</v>
      </c>
      <c r="E4971" s="839" t="s">
        <v>419</v>
      </c>
      <c r="F4971" s="839" t="s">
        <v>303</v>
      </c>
      <c r="G4971" s="916">
        <f>VLOOKUP($A4971,'Tech Litons'!$A:$I,8,FALSE)</f>
        <v>3.7853439999999999E-3</v>
      </c>
      <c r="H4971" s="917">
        <f>VLOOKUP($A4971,'Tech Litons'!$A:$I,9,FALSE)</f>
        <v>240</v>
      </c>
      <c r="I4971" s="917" t="str">
        <f>VLOOKUP($A4971,'Tech Litons'!$A:$C,3,0)</f>
        <v>BJ PTS</v>
      </c>
      <c r="J4971" s="918" t="str">
        <f t="shared" si="492"/>
        <v>5914BJ PTS</v>
      </c>
      <c r="K4971" s="919">
        <v>1</v>
      </c>
      <c r="L4971" s="920">
        <f t="shared" si="493"/>
        <v>4830</v>
      </c>
      <c r="M4971" s="920">
        <f t="shared" si="494"/>
        <v>18.283211519999998</v>
      </c>
      <c r="N4971" s="920">
        <f t="shared" si="495"/>
        <v>20.125</v>
      </c>
      <c r="O4971" s="918" t="str">
        <f t="shared" si="496"/>
        <v>Mar</v>
      </c>
      <c r="P4971" s="921">
        <f t="shared" si="497"/>
        <v>12</v>
      </c>
    </row>
    <row r="4972" spans="1:16" ht="15" hidden="1" customHeight="1">
      <c r="A4972" s="839">
        <v>84164939</v>
      </c>
      <c r="B4972" s="839">
        <v>5914</v>
      </c>
      <c r="C4972" s="906">
        <v>3750</v>
      </c>
      <c r="D4972" s="907">
        <v>46099</v>
      </c>
      <c r="E4972" s="839" t="s">
        <v>399</v>
      </c>
      <c r="F4972" s="839" t="s">
        <v>303</v>
      </c>
      <c r="G4972" s="916">
        <f>VLOOKUP($A4972,'Tech Litons'!$A:$I,8,FALSE)</f>
        <v>9.0848256361922702E-3</v>
      </c>
      <c r="H4972" s="917">
        <f>VLOOKUP($A4972,'Tech Litons'!$A:$I,9,FALSE)</f>
        <v>125</v>
      </c>
      <c r="I4972" s="917" t="str">
        <f>VLOOKUP($A4972,'Tech Litons'!$A:$C,3,0)</f>
        <v>2.4 Gal</v>
      </c>
      <c r="J4972" s="918" t="str">
        <f t="shared" si="492"/>
        <v>59142.4 Gal</v>
      </c>
      <c r="K4972" s="919">
        <v>1</v>
      </c>
      <c r="L4972" s="920">
        <f t="shared" si="493"/>
        <v>3750</v>
      </c>
      <c r="M4972" s="920">
        <f t="shared" si="494"/>
        <v>34.068096135721014</v>
      </c>
      <c r="N4972" s="920">
        <f t="shared" si="495"/>
        <v>30</v>
      </c>
      <c r="O4972" s="918" t="str">
        <f t="shared" si="496"/>
        <v>Mar</v>
      </c>
      <c r="P4972" s="921">
        <f t="shared" si="497"/>
        <v>12</v>
      </c>
    </row>
    <row r="4973" spans="1:16" ht="15" hidden="1" customHeight="1">
      <c r="A4973" s="839">
        <v>84164939</v>
      </c>
      <c r="B4973" s="839">
        <v>5914</v>
      </c>
      <c r="C4973" s="906">
        <v>2341</v>
      </c>
      <c r="D4973" s="907">
        <v>46100</v>
      </c>
      <c r="E4973" s="839" t="s">
        <v>399</v>
      </c>
      <c r="F4973" s="839" t="s">
        <v>303</v>
      </c>
      <c r="G4973" s="916">
        <f>VLOOKUP($A4973,'Tech Litons'!$A:$I,8,FALSE)</f>
        <v>9.0848256361922702E-3</v>
      </c>
      <c r="H4973" s="917">
        <f>VLOOKUP($A4973,'Tech Litons'!$A:$I,9,FALSE)</f>
        <v>125</v>
      </c>
      <c r="I4973" s="917" t="str">
        <f>VLOOKUP($A4973,'Tech Litons'!$A:$C,3,0)</f>
        <v>2.4 Gal</v>
      </c>
      <c r="J4973" s="918" t="str">
        <f t="shared" si="492"/>
        <v>59142.4 Gal</v>
      </c>
      <c r="K4973" s="919">
        <v>1</v>
      </c>
      <c r="L4973" s="920">
        <f t="shared" si="493"/>
        <v>2341</v>
      </c>
      <c r="M4973" s="920">
        <f t="shared" si="494"/>
        <v>21.267576814326105</v>
      </c>
      <c r="N4973" s="920">
        <f t="shared" si="495"/>
        <v>18.728000000000002</v>
      </c>
      <c r="O4973" s="918" t="str">
        <f t="shared" si="496"/>
        <v>Mar</v>
      </c>
      <c r="P4973" s="921">
        <f t="shared" si="497"/>
        <v>12</v>
      </c>
    </row>
    <row r="4974" spans="1:16" ht="15" hidden="1" customHeight="1">
      <c r="A4974" s="839">
        <v>64976846</v>
      </c>
      <c r="B4974" s="839">
        <v>1717</v>
      </c>
      <c r="C4974" s="906">
        <v>28282</v>
      </c>
      <c r="D4974" s="907">
        <v>46078</v>
      </c>
      <c r="E4974" s="839" t="s">
        <v>603</v>
      </c>
      <c r="F4974" s="839">
        <v>1717</v>
      </c>
      <c r="G4974" s="916">
        <f>VLOOKUP($A4974,'Tech Litons'!$A:$I,8,FALSE)</f>
        <v>2.5040000000000001E-3</v>
      </c>
      <c r="H4974" s="917">
        <f>VLOOKUP($A4974,'Tech Litons'!$A:$I,9,FALSE)</f>
        <v>165</v>
      </c>
      <c r="I4974" s="917" t="str">
        <f>VLOOKUP($A4974,'Tech Litons'!$A:$C,3,0)</f>
        <v>Yasso Sticks</v>
      </c>
      <c r="J4974" s="918" t="str">
        <f t="shared" ref="J4974:J5037" si="498">B4974&amp;I4974</f>
        <v>1717Yasso Sticks</v>
      </c>
      <c r="K4974" s="919">
        <v>1</v>
      </c>
      <c r="L4974" s="920">
        <f t="shared" ref="L4974:L5037" si="499">C4974*$K4974</f>
        <v>28282</v>
      </c>
      <c r="M4974" s="920">
        <f t="shared" ref="M4974:M5037" si="500">L4974*G4974</f>
        <v>70.818128000000002</v>
      </c>
      <c r="N4974" s="920">
        <f t="shared" ref="N4974:N5037" si="501">L4974/H4974</f>
        <v>171.40606060606061</v>
      </c>
      <c r="O4974" s="918" t="str">
        <f t="shared" ref="O4974:O5037" si="502">TEXT(D4974,"MMM")</f>
        <v>Feb</v>
      </c>
      <c r="P4974" s="921">
        <f t="shared" ref="P4974:P5037" si="503">WEEKNUM(D4974)</f>
        <v>9</v>
      </c>
    </row>
    <row r="4975" spans="1:16" ht="15" hidden="1" customHeight="1">
      <c r="A4975" s="839">
        <v>64976851</v>
      </c>
      <c r="B4975" s="839">
        <v>1717</v>
      </c>
      <c r="C4975" s="906">
        <v>19571</v>
      </c>
      <c r="D4975" s="907">
        <v>46083</v>
      </c>
      <c r="E4975" s="839" t="s">
        <v>592</v>
      </c>
      <c r="F4975" s="839">
        <v>1717</v>
      </c>
      <c r="G4975" s="916">
        <f>VLOOKUP($A4975,'Tech Litons'!$A:$I,8,FALSE)</f>
        <v>2.5040000000000001E-3</v>
      </c>
      <c r="H4975" s="917">
        <f>VLOOKUP($A4975,'Tech Litons'!$A:$I,9,FALSE)</f>
        <v>165</v>
      </c>
      <c r="I4975" s="917" t="str">
        <f>VLOOKUP($A4975,'Tech Litons'!$A:$C,3,0)</f>
        <v>Yasso Sticks</v>
      </c>
      <c r="J4975" s="918" t="str">
        <f t="shared" si="498"/>
        <v>1717Yasso Sticks</v>
      </c>
      <c r="K4975" s="919">
        <v>1</v>
      </c>
      <c r="L4975" s="920">
        <f t="shared" si="499"/>
        <v>19571</v>
      </c>
      <c r="M4975" s="920">
        <f t="shared" si="500"/>
        <v>49.005784000000006</v>
      </c>
      <c r="N4975" s="920">
        <f t="shared" si="501"/>
        <v>118.61212121212121</v>
      </c>
      <c r="O4975" s="918" t="str">
        <f t="shared" si="502"/>
        <v>Mar</v>
      </c>
      <c r="P4975" s="921">
        <f t="shared" si="503"/>
        <v>10</v>
      </c>
    </row>
    <row r="4976" spans="1:16" ht="15" hidden="1" customHeight="1">
      <c r="A4976" s="839">
        <v>64976847</v>
      </c>
      <c r="B4976" s="839">
        <v>1717</v>
      </c>
      <c r="C4976" s="906">
        <v>50055</v>
      </c>
      <c r="D4976" s="907">
        <v>46094</v>
      </c>
      <c r="E4976" s="839" t="s">
        <v>590</v>
      </c>
      <c r="F4976" s="839">
        <v>1717</v>
      </c>
      <c r="G4976" s="916">
        <f>VLOOKUP($A4976,'Tech Litons'!$A:$I,8,FALSE)</f>
        <v>2.5040000000000001E-3</v>
      </c>
      <c r="H4976" s="917">
        <f>VLOOKUP($A4976,'Tech Litons'!$A:$I,9,FALSE)</f>
        <v>165</v>
      </c>
      <c r="I4976" s="917" t="str">
        <f>VLOOKUP($A4976,'Tech Litons'!$A:$C,3,0)</f>
        <v>Yasso Sticks</v>
      </c>
      <c r="J4976" s="918" t="str">
        <f t="shared" si="498"/>
        <v>1717Yasso Sticks</v>
      </c>
      <c r="K4976" s="919">
        <v>1</v>
      </c>
      <c r="L4976" s="920">
        <f t="shared" si="499"/>
        <v>50055</v>
      </c>
      <c r="M4976" s="920">
        <f t="shared" si="500"/>
        <v>125.33772</v>
      </c>
      <c r="N4976" s="920">
        <f t="shared" si="501"/>
        <v>303.36363636363637</v>
      </c>
      <c r="O4976" s="918" t="str">
        <f t="shared" si="502"/>
        <v>Mar</v>
      </c>
      <c r="P4976" s="921">
        <f t="shared" si="503"/>
        <v>11</v>
      </c>
    </row>
    <row r="4977" spans="1:16" ht="15" hidden="1" customHeight="1">
      <c r="A4977" s="839">
        <v>65489676</v>
      </c>
      <c r="B4977" s="839">
        <v>1717</v>
      </c>
      <c r="C4977" s="906">
        <v>17846</v>
      </c>
      <c r="D4977" s="907">
        <v>46100</v>
      </c>
      <c r="E4977" s="839" t="s">
        <v>1224</v>
      </c>
      <c r="F4977" s="839">
        <v>1717</v>
      </c>
      <c r="G4977" s="916">
        <f>VLOOKUP($A4977,'Tech Litons'!$A:$I,8,FALSE)</f>
        <v>2.8319999999999999E-3</v>
      </c>
      <c r="H4977" s="917">
        <f>VLOOKUP($A4977,'Tech Litons'!$A:$I,9,FALSE)</f>
        <v>221</v>
      </c>
      <c r="I4977" s="917" t="str">
        <f>VLOOKUP($A4977,'Tech Litons'!$A:$C,3,0)</f>
        <v>Other</v>
      </c>
      <c r="J4977" s="918" t="str">
        <f t="shared" si="498"/>
        <v>1717Other</v>
      </c>
      <c r="K4977" s="919">
        <v>1</v>
      </c>
      <c r="L4977" s="920">
        <f t="shared" si="499"/>
        <v>17846</v>
      </c>
      <c r="M4977" s="920">
        <f t="shared" si="500"/>
        <v>50.539871999999995</v>
      </c>
      <c r="N4977" s="920">
        <f t="shared" si="501"/>
        <v>80.751131221719461</v>
      </c>
      <c r="O4977" s="918" t="str">
        <f t="shared" si="502"/>
        <v>Mar</v>
      </c>
      <c r="P4977" s="921">
        <f t="shared" si="503"/>
        <v>12</v>
      </c>
    </row>
    <row r="4978" spans="1:16" ht="15" hidden="1" customHeight="1">
      <c r="A4978" s="839">
        <v>65489677</v>
      </c>
      <c r="B4978" s="839">
        <v>1717</v>
      </c>
      <c r="C4978" s="906">
        <v>13923</v>
      </c>
      <c r="D4978" s="907">
        <v>46102</v>
      </c>
      <c r="E4978" s="839" t="s">
        <v>1188</v>
      </c>
      <c r="F4978" s="839">
        <v>1717</v>
      </c>
      <c r="G4978" s="916">
        <f>VLOOKUP($A4978,'Tech Litons'!$A:$I,8,FALSE)</f>
        <v>2.8319999999999999E-3</v>
      </c>
      <c r="H4978" s="917">
        <f>VLOOKUP($A4978,'Tech Litons'!$A:$I,9,FALSE)</f>
        <v>221</v>
      </c>
      <c r="I4978" s="917" t="str">
        <f>VLOOKUP($A4978,'Tech Litons'!$A:$C,3,0)</f>
        <v>Other</v>
      </c>
      <c r="J4978" s="918" t="str">
        <f t="shared" si="498"/>
        <v>1717Other</v>
      </c>
      <c r="K4978" s="919">
        <v>1</v>
      </c>
      <c r="L4978" s="920">
        <f t="shared" si="499"/>
        <v>13923</v>
      </c>
      <c r="M4978" s="920">
        <f t="shared" si="500"/>
        <v>39.429935999999998</v>
      </c>
      <c r="N4978" s="920">
        <f t="shared" si="501"/>
        <v>63</v>
      </c>
      <c r="O4978" s="918" t="str">
        <f t="shared" si="502"/>
        <v>Mar</v>
      </c>
      <c r="P4978" s="921">
        <f t="shared" si="503"/>
        <v>12</v>
      </c>
    </row>
    <row r="4979" spans="1:16" ht="15" hidden="1" customHeight="1">
      <c r="A4979" s="839">
        <v>64958128</v>
      </c>
      <c r="B4979" s="839">
        <v>1717</v>
      </c>
      <c r="C4979" s="906">
        <v>32843</v>
      </c>
      <c r="D4979" s="907">
        <v>46104</v>
      </c>
      <c r="E4979" s="839" t="s">
        <v>235</v>
      </c>
      <c r="F4979" s="839">
        <v>1717</v>
      </c>
      <c r="G4979" s="916">
        <f>VLOOKUP($A4979,'Tech Litons'!$A:$I,8,FALSE)</f>
        <v>3.3119999999999998E-3</v>
      </c>
      <c r="H4979" s="917">
        <f>VLOOKUP($A4979,'Tech Litons'!$A:$I,9,FALSE)</f>
        <v>165</v>
      </c>
      <c r="I4979" s="917" t="str">
        <f>VLOOKUP($A4979,'Tech Litons'!$A:$C,3,0)</f>
        <v>Yasso Sticks</v>
      </c>
      <c r="J4979" s="918" t="str">
        <f t="shared" si="498"/>
        <v>1717Yasso Sticks</v>
      </c>
      <c r="K4979" s="919">
        <v>1</v>
      </c>
      <c r="L4979" s="920">
        <f t="shared" si="499"/>
        <v>32843</v>
      </c>
      <c r="M4979" s="920">
        <f t="shared" si="500"/>
        <v>108.776016</v>
      </c>
      <c r="N4979" s="920">
        <f t="shared" si="501"/>
        <v>199.04848484848486</v>
      </c>
      <c r="O4979" s="918" t="str">
        <f t="shared" si="502"/>
        <v>Mar</v>
      </c>
      <c r="P4979" s="921">
        <f t="shared" si="503"/>
        <v>13</v>
      </c>
    </row>
    <row r="4980" spans="1:16" ht="15" hidden="1" customHeight="1">
      <c r="A4980" s="839">
        <v>65489677</v>
      </c>
      <c r="B4980" s="839">
        <v>1717</v>
      </c>
      <c r="C4980" s="906">
        <v>5746</v>
      </c>
      <c r="D4980" s="907">
        <v>46105</v>
      </c>
      <c r="E4980" s="839" t="s">
        <v>1188</v>
      </c>
      <c r="F4980" s="839">
        <v>1717</v>
      </c>
      <c r="G4980" s="916">
        <f>VLOOKUP($A4980,'Tech Litons'!$A:$I,8,FALSE)</f>
        <v>2.8319999999999999E-3</v>
      </c>
      <c r="H4980" s="917">
        <f>VLOOKUP($A4980,'Tech Litons'!$A:$I,9,FALSE)</f>
        <v>221</v>
      </c>
      <c r="I4980" s="917" t="str">
        <f>VLOOKUP($A4980,'Tech Litons'!$A:$C,3,0)</f>
        <v>Other</v>
      </c>
      <c r="J4980" s="918" t="str">
        <f t="shared" si="498"/>
        <v>1717Other</v>
      </c>
      <c r="K4980" s="919">
        <v>1</v>
      </c>
      <c r="L4980" s="920">
        <f t="shared" si="499"/>
        <v>5746</v>
      </c>
      <c r="M4980" s="920">
        <f t="shared" si="500"/>
        <v>16.272672</v>
      </c>
      <c r="N4980" s="920">
        <f t="shared" si="501"/>
        <v>26</v>
      </c>
      <c r="O4980" s="918" t="str">
        <f t="shared" si="502"/>
        <v>Mar</v>
      </c>
      <c r="P4980" s="921">
        <f t="shared" si="503"/>
        <v>13</v>
      </c>
    </row>
    <row r="4981" spans="1:16" ht="15" hidden="1" customHeight="1">
      <c r="A4981" s="839">
        <v>64955741</v>
      </c>
      <c r="B4981" s="839">
        <v>1715</v>
      </c>
      <c r="C4981" s="906">
        <v>22379</v>
      </c>
      <c r="D4981" s="907">
        <v>46078</v>
      </c>
      <c r="E4981" s="839" t="s">
        <v>584</v>
      </c>
      <c r="F4981" s="839">
        <v>1715</v>
      </c>
      <c r="G4981" s="916">
        <f>VLOOKUP($A4981,'Tech Litons'!$A:$I,8,FALSE)</f>
        <v>3.3119999999999998E-3</v>
      </c>
      <c r="H4981" s="917">
        <f>VLOOKUP($A4981,'Tech Litons'!$A:$I,9,FALSE)</f>
        <v>165</v>
      </c>
      <c r="I4981" s="917" t="str">
        <f>VLOOKUP($A4981,'Tech Litons'!$A:$C,3,0)</f>
        <v>Yasso Sticks</v>
      </c>
      <c r="J4981" s="918" t="str">
        <f t="shared" si="498"/>
        <v>1715Yasso Sticks</v>
      </c>
      <c r="K4981" s="919">
        <v>1</v>
      </c>
      <c r="L4981" s="920">
        <f t="shared" si="499"/>
        <v>22379</v>
      </c>
      <c r="M4981" s="920">
        <f t="shared" si="500"/>
        <v>74.119247999999999</v>
      </c>
      <c r="N4981" s="920">
        <f t="shared" si="501"/>
        <v>135.63030303030303</v>
      </c>
      <c r="O4981" s="918" t="str">
        <f t="shared" si="502"/>
        <v>Feb</v>
      </c>
      <c r="P4981" s="921">
        <f t="shared" si="503"/>
        <v>9</v>
      </c>
    </row>
    <row r="4982" spans="1:16" ht="15" hidden="1" customHeight="1">
      <c r="A4982" s="839">
        <v>64958126</v>
      </c>
      <c r="B4982" s="839">
        <v>1715</v>
      </c>
      <c r="C4982" s="906">
        <v>10043</v>
      </c>
      <c r="D4982" s="907">
        <v>46079</v>
      </c>
      <c r="E4982" s="839" t="s">
        <v>588</v>
      </c>
      <c r="F4982" s="839">
        <v>1715</v>
      </c>
      <c r="G4982" s="916">
        <f>VLOOKUP($A4982,'Tech Litons'!$A:$I,8,FALSE)</f>
        <v>3.3119999999999998E-3</v>
      </c>
      <c r="H4982" s="917">
        <f>VLOOKUP($A4982,'Tech Litons'!$A:$I,9,FALSE)</f>
        <v>165</v>
      </c>
      <c r="I4982" s="917" t="str">
        <f>VLOOKUP($A4982,'Tech Litons'!$A:$C,3,0)</f>
        <v>Yasso Sticks</v>
      </c>
      <c r="J4982" s="918" t="str">
        <f t="shared" si="498"/>
        <v>1715Yasso Sticks</v>
      </c>
      <c r="K4982" s="919">
        <v>1</v>
      </c>
      <c r="L4982" s="920">
        <f t="shared" si="499"/>
        <v>10043</v>
      </c>
      <c r="M4982" s="920">
        <f t="shared" si="500"/>
        <v>33.262416000000002</v>
      </c>
      <c r="N4982" s="920">
        <f t="shared" si="501"/>
        <v>60.866666666666667</v>
      </c>
      <c r="O4982" s="918" t="str">
        <f t="shared" si="502"/>
        <v>Feb</v>
      </c>
      <c r="P4982" s="921">
        <f t="shared" si="503"/>
        <v>9</v>
      </c>
    </row>
    <row r="4983" spans="1:16" ht="15" hidden="1" customHeight="1">
      <c r="A4983" s="839">
        <v>64955561</v>
      </c>
      <c r="B4983" s="839">
        <v>1715</v>
      </c>
      <c r="C4983" s="906">
        <v>17722</v>
      </c>
      <c r="D4983" s="907">
        <v>46084</v>
      </c>
      <c r="E4983" s="839" t="s">
        <v>583</v>
      </c>
      <c r="F4983" s="839">
        <v>1715</v>
      </c>
      <c r="G4983" s="916">
        <f>VLOOKUP($A4983,'Tech Litons'!$A:$I,8,FALSE)</f>
        <v>3.3119999999999998E-3</v>
      </c>
      <c r="H4983" s="917">
        <f>VLOOKUP($A4983,'Tech Litons'!$A:$I,9,FALSE)</f>
        <v>165</v>
      </c>
      <c r="I4983" s="917" t="str">
        <f>VLOOKUP($A4983,'Tech Litons'!$A:$C,3,0)</f>
        <v>Yasso Sticks</v>
      </c>
      <c r="J4983" s="918" t="str">
        <f t="shared" si="498"/>
        <v>1715Yasso Sticks</v>
      </c>
      <c r="K4983" s="919">
        <v>1</v>
      </c>
      <c r="L4983" s="920">
        <f t="shared" si="499"/>
        <v>17722</v>
      </c>
      <c r="M4983" s="920">
        <f t="shared" si="500"/>
        <v>58.695263999999995</v>
      </c>
      <c r="N4983" s="920">
        <f t="shared" si="501"/>
        <v>107.40606060606061</v>
      </c>
      <c r="O4983" s="918" t="str">
        <f t="shared" si="502"/>
        <v>Mar</v>
      </c>
      <c r="P4983" s="921">
        <f t="shared" si="503"/>
        <v>10</v>
      </c>
    </row>
    <row r="4984" spans="1:16" ht="15" hidden="1" customHeight="1">
      <c r="A4984" s="839">
        <v>64955741</v>
      </c>
      <c r="B4984" s="839">
        <v>1715</v>
      </c>
      <c r="C4984" s="906">
        <v>23702</v>
      </c>
      <c r="D4984" s="907">
        <v>46086</v>
      </c>
      <c r="E4984" s="839" t="s">
        <v>584</v>
      </c>
      <c r="F4984" s="839">
        <v>1715</v>
      </c>
      <c r="G4984" s="916">
        <f>VLOOKUP($A4984,'Tech Litons'!$A:$I,8,FALSE)</f>
        <v>3.3119999999999998E-3</v>
      </c>
      <c r="H4984" s="917">
        <f>VLOOKUP($A4984,'Tech Litons'!$A:$I,9,FALSE)</f>
        <v>165</v>
      </c>
      <c r="I4984" s="917" t="str">
        <f>VLOOKUP($A4984,'Tech Litons'!$A:$C,3,0)</f>
        <v>Yasso Sticks</v>
      </c>
      <c r="J4984" s="918" t="str">
        <f t="shared" si="498"/>
        <v>1715Yasso Sticks</v>
      </c>
      <c r="K4984" s="919">
        <v>1</v>
      </c>
      <c r="L4984" s="920">
        <f t="shared" si="499"/>
        <v>23702</v>
      </c>
      <c r="M4984" s="920">
        <f t="shared" si="500"/>
        <v>78.501024000000001</v>
      </c>
      <c r="N4984" s="920">
        <f t="shared" si="501"/>
        <v>143.64848484848486</v>
      </c>
      <c r="O4984" s="918" t="str">
        <f t="shared" si="502"/>
        <v>Mar</v>
      </c>
      <c r="P4984" s="921">
        <f t="shared" si="503"/>
        <v>10</v>
      </c>
    </row>
    <row r="4985" spans="1:16" ht="15" hidden="1" customHeight="1">
      <c r="A4985" s="839">
        <v>64955559</v>
      </c>
      <c r="B4985" s="839">
        <v>1715</v>
      </c>
      <c r="C4985" s="906">
        <v>21008</v>
      </c>
      <c r="D4985" s="907">
        <v>46087</v>
      </c>
      <c r="E4985" s="839" t="s">
        <v>582</v>
      </c>
      <c r="F4985" s="839">
        <v>1715</v>
      </c>
      <c r="G4985" s="916">
        <f>VLOOKUP($A4985,'Tech Litons'!$A:$I,8,FALSE)</f>
        <v>3.3119999999999998E-3</v>
      </c>
      <c r="H4985" s="917">
        <f>VLOOKUP($A4985,'Tech Litons'!$A:$I,9,FALSE)</f>
        <v>165</v>
      </c>
      <c r="I4985" s="917" t="str">
        <f>VLOOKUP($A4985,'Tech Litons'!$A:$C,3,0)</f>
        <v>Yasso Sticks</v>
      </c>
      <c r="J4985" s="918" t="str">
        <f t="shared" si="498"/>
        <v>1715Yasso Sticks</v>
      </c>
      <c r="K4985" s="919">
        <v>1</v>
      </c>
      <c r="L4985" s="920">
        <f t="shared" si="499"/>
        <v>21008</v>
      </c>
      <c r="M4985" s="920">
        <f t="shared" si="500"/>
        <v>69.578496000000001</v>
      </c>
      <c r="N4985" s="920">
        <f t="shared" si="501"/>
        <v>127.32121212121213</v>
      </c>
      <c r="O4985" s="918" t="str">
        <f t="shared" si="502"/>
        <v>Mar</v>
      </c>
      <c r="P4985" s="921">
        <f t="shared" si="503"/>
        <v>10</v>
      </c>
    </row>
    <row r="4986" spans="1:16" ht="15" hidden="1" customHeight="1">
      <c r="A4986" s="839">
        <v>64958129</v>
      </c>
      <c r="B4986" s="839">
        <v>1715</v>
      </c>
      <c r="C4986" s="906">
        <v>6416</v>
      </c>
      <c r="D4986" s="907">
        <v>46092</v>
      </c>
      <c r="E4986" s="839" t="s">
        <v>589</v>
      </c>
      <c r="F4986" s="839">
        <v>1715</v>
      </c>
      <c r="G4986" s="916">
        <f>VLOOKUP($A4986,'Tech Litons'!$A:$I,8,FALSE)</f>
        <v>3.3119999999999998E-3</v>
      </c>
      <c r="H4986" s="917">
        <f>VLOOKUP($A4986,'Tech Litons'!$A:$I,9,FALSE)</f>
        <v>165</v>
      </c>
      <c r="I4986" s="917" t="str">
        <f>VLOOKUP($A4986,'Tech Litons'!$A:$C,3,0)</f>
        <v>Yasso Sticks</v>
      </c>
      <c r="J4986" s="918" t="str">
        <f t="shared" si="498"/>
        <v>1715Yasso Sticks</v>
      </c>
      <c r="K4986" s="919">
        <v>1</v>
      </c>
      <c r="L4986" s="920">
        <f t="shared" si="499"/>
        <v>6416</v>
      </c>
      <c r="M4986" s="920">
        <f t="shared" si="500"/>
        <v>21.249791999999999</v>
      </c>
      <c r="N4986" s="920">
        <f t="shared" si="501"/>
        <v>38.884848484848483</v>
      </c>
      <c r="O4986" s="918" t="str">
        <f t="shared" si="502"/>
        <v>Mar</v>
      </c>
      <c r="P4986" s="921">
        <f t="shared" si="503"/>
        <v>11</v>
      </c>
    </row>
    <row r="4987" spans="1:16" ht="15" hidden="1" customHeight="1">
      <c r="A4987" s="839">
        <v>64958129</v>
      </c>
      <c r="B4987" s="839">
        <v>1715</v>
      </c>
      <c r="C4987" s="906">
        <v>45519</v>
      </c>
      <c r="D4987" s="907">
        <v>46093</v>
      </c>
      <c r="E4987" s="839" t="s">
        <v>589</v>
      </c>
      <c r="F4987" s="839">
        <v>1715</v>
      </c>
      <c r="G4987" s="916">
        <f>VLOOKUP($A4987,'Tech Litons'!$A:$I,8,FALSE)</f>
        <v>3.3119999999999998E-3</v>
      </c>
      <c r="H4987" s="917">
        <f>VLOOKUP($A4987,'Tech Litons'!$A:$I,9,FALSE)</f>
        <v>165</v>
      </c>
      <c r="I4987" s="917" t="str">
        <f>VLOOKUP($A4987,'Tech Litons'!$A:$C,3,0)</f>
        <v>Yasso Sticks</v>
      </c>
      <c r="J4987" s="918" t="str">
        <f t="shared" si="498"/>
        <v>1715Yasso Sticks</v>
      </c>
      <c r="K4987" s="919">
        <v>1</v>
      </c>
      <c r="L4987" s="920">
        <f t="shared" si="499"/>
        <v>45519</v>
      </c>
      <c r="M4987" s="920">
        <f t="shared" si="500"/>
        <v>150.758928</v>
      </c>
      <c r="N4987" s="920">
        <f t="shared" si="501"/>
        <v>275.87272727272727</v>
      </c>
      <c r="O4987" s="918" t="str">
        <f t="shared" si="502"/>
        <v>Mar</v>
      </c>
      <c r="P4987" s="921">
        <f t="shared" si="503"/>
        <v>11</v>
      </c>
    </row>
    <row r="4988" spans="1:16" ht="15" hidden="1" customHeight="1">
      <c r="A4988" s="839">
        <v>64955558</v>
      </c>
      <c r="B4988" s="839">
        <v>1715</v>
      </c>
      <c r="C4988" s="906">
        <v>11880</v>
      </c>
      <c r="D4988" s="907">
        <v>46099</v>
      </c>
      <c r="E4988" s="839" t="s">
        <v>581</v>
      </c>
      <c r="F4988" s="839">
        <v>1715</v>
      </c>
      <c r="G4988" s="916">
        <f>VLOOKUP($A4988,'Tech Litons'!$A:$I,8,FALSE)</f>
        <v>3.3119999999999998E-3</v>
      </c>
      <c r="H4988" s="917">
        <f>VLOOKUP($A4988,'Tech Litons'!$A:$I,9,FALSE)</f>
        <v>165</v>
      </c>
      <c r="I4988" s="917" t="str">
        <f>VLOOKUP($A4988,'Tech Litons'!$A:$C,3,0)</f>
        <v>Yasso Sticks</v>
      </c>
      <c r="J4988" s="918" t="str">
        <f t="shared" si="498"/>
        <v>1715Yasso Sticks</v>
      </c>
      <c r="K4988" s="919">
        <v>1</v>
      </c>
      <c r="L4988" s="920">
        <f t="shared" si="499"/>
        <v>11880</v>
      </c>
      <c r="M4988" s="920">
        <f t="shared" si="500"/>
        <v>39.346559999999997</v>
      </c>
      <c r="N4988" s="920">
        <f t="shared" si="501"/>
        <v>72</v>
      </c>
      <c r="O4988" s="918" t="str">
        <f t="shared" si="502"/>
        <v>Mar</v>
      </c>
      <c r="P4988" s="921">
        <f t="shared" si="503"/>
        <v>12</v>
      </c>
    </row>
    <row r="4989" spans="1:16" ht="15" hidden="1" customHeight="1">
      <c r="A4989" s="839">
        <v>64955743</v>
      </c>
      <c r="B4989" s="839">
        <v>1715</v>
      </c>
      <c r="C4989" s="906">
        <v>19406</v>
      </c>
      <c r="D4989" s="907">
        <v>46104</v>
      </c>
      <c r="E4989" s="839" t="s">
        <v>585</v>
      </c>
      <c r="F4989" s="839">
        <v>1715</v>
      </c>
      <c r="G4989" s="916">
        <f>VLOOKUP($A4989,'Tech Litons'!$A:$I,8,FALSE)</f>
        <v>3.3119999999999998E-3</v>
      </c>
      <c r="H4989" s="917">
        <f>VLOOKUP($A4989,'Tech Litons'!$A:$I,9,FALSE)</f>
        <v>165</v>
      </c>
      <c r="I4989" s="917" t="str">
        <f>VLOOKUP($A4989,'Tech Litons'!$A:$C,3,0)</f>
        <v>Yasso Sticks</v>
      </c>
      <c r="J4989" s="918" t="str">
        <f t="shared" si="498"/>
        <v>1715Yasso Sticks</v>
      </c>
      <c r="K4989" s="919">
        <v>1</v>
      </c>
      <c r="L4989" s="920">
        <f t="shared" si="499"/>
        <v>19406</v>
      </c>
      <c r="M4989" s="920">
        <f t="shared" si="500"/>
        <v>64.272672</v>
      </c>
      <c r="N4989" s="920">
        <f t="shared" si="501"/>
        <v>117.61212121212121</v>
      </c>
      <c r="O4989" s="918" t="str">
        <f t="shared" si="502"/>
        <v>Mar</v>
      </c>
      <c r="P4989" s="921">
        <f t="shared" si="503"/>
        <v>13</v>
      </c>
    </row>
    <row r="4990" spans="1:16" ht="15" hidden="1" customHeight="1">
      <c r="A4990" s="839">
        <v>62714126</v>
      </c>
      <c r="B4990" s="839" t="s">
        <v>133</v>
      </c>
      <c r="C4990" s="906">
        <v>2600</v>
      </c>
      <c r="D4990" s="907">
        <v>46076</v>
      </c>
      <c r="E4990" s="839" t="s">
        <v>402</v>
      </c>
      <c r="F4990" s="839">
        <v>1419</v>
      </c>
      <c r="G4990" s="916">
        <f>VLOOKUP($A4990,'Tech Litons'!$A:$I,8,FALSE)</f>
        <v>5.2680000000000001E-3</v>
      </c>
      <c r="H4990" s="917">
        <f>VLOOKUP($A4990,'Tech Litons'!$A:$I,9,FALSE)</f>
        <v>130</v>
      </c>
      <c r="I4990" s="917" t="str">
        <f>VLOOKUP($A4990,'Tech Litons'!$A:$C,3,0)</f>
        <v>PG</v>
      </c>
      <c r="J4990" s="918" t="str">
        <f t="shared" si="498"/>
        <v>GDIPG</v>
      </c>
      <c r="K4990" s="919">
        <v>1</v>
      </c>
      <c r="L4990" s="920">
        <f t="shared" si="499"/>
        <v>2600</v>
      </c>
      <c r="M4990" s="920">
        <f t="shared" si="500"/>
        <v>13.6968</v>
      </c>
      <c r="N4990" s="920">
        <f t="shared" si="501"/>
        <v>20</v>
      </c>
      <c r="O4990" s="918" t="str">
        <f t="shared" si="502"/>
        <v>Feb</v>
      </c>
      <c r="P4990" s="921">
        <f t="shared" si="503"/>
        <v>9</v>
      </c>
    </row>
    <row r="4991" spans="1:16" ht="15" hidden="1" customHeight="1">
      <c r="A4991" s="839">
        <v>64833353</v>
      </c>
      <c r="B4991" s="839" t="s">
        <v>133</v>
      </c>
      <c r="C4991" s="906">
        <v>2600</v>
      </c>
      <c r="D4991" s="907">
        <v>46076</v>
      </c>
      <c r="E4991" s="839" t="s">
        <v>358</v>
      </c>
      <c r="F4991" s="839">
        <v>1419</v>
      </c>
      <c r="G4991" s="916">
        <f>VLOOKUP($A4991,'Tech Litons'!$A:$I,8,FALSE)</f>
        <v>5.28E-3</v>
      </c>
      <c r="H4991" s="917">
        <f>VLOOKUP($A4991,'Tech Litons'!$A:$I,9,FALSE)</f>
        <v>130</v>
      </c>
      <c r="I4991" s="917" t="str">
        <f>VLOOKUP($A4991,'Tech Litons'!$A:$C,3,0)</f>
        <v>PG</v>
      </c>
      <c r="J4991" s="918" t="str">
        <f t="shared" si="498"/>
        <v>GDIPG</v>
      </c>
      <c r="K4991" s="919">
        <v>1</v>
      </c>
      <c r="L4991" s="920">
        <f t="shared" si="499"/>
        <v>2600</v>
      </c>
      <c r="M4991" s="920">
        <f t="shared" si="500"/>
        <v>13.728</v>
      </c>
      <c r="N4991" s="920">
        <f t="shared" si="501"/>
        <v>20</v>
      </c>
      <c r="O4991" s="918" t="str">
        <f t="shared" si="502"/>
        <v>Feb</v>
      </c>
      <c r="P4991" s="921">
        <f t="shared" si="503"/>
        <v>9</v>
      </c>
    </row>
    <row r="4992" spans="1:16" ht="15" hidden="1" customHeight="1">
      <c r="A4992" s="839">
        <v>64833353</v>
      </c>
      <c r="B4992" s="839" t="s">
        <v>133</v>
      </c>
      <c r="C4992" s="906">
        <v>2600</v>
      </c>
      <c r="D4992" s="907">
        <v>46076</v>
      </c>
      <c r="E4992" s="839" t="s">
        <v>358</v>
      </c>
      <c r="F4992" s="839">
        <v>1419</v>
      </c>
      <c r="G4992" s="916">
        <f>VLOOKUP($A4992,'Tech Litons'!$A:$I,8,FALSE)</f>
        <v>5.28E-3</v>
      </c>
      <c r="H4992" s="917">
        <f>VLOOKUP($A4992,'Tech Litons'!$A:$I,9,FALSE)</f>
        <v>130</v>
      </c>
      <c r="I4992" s="917" t="str">
        <f>VLOOKUP($A4992,'Tech Litons'!$A:$C,3,0)</f>
        <v>PG</v>
      </c>
      <c r="J4992" s="918" t="str">
        <f t="shared" si="498"/>
        <v>GDIPG</v>
      </c>
      <c r="K4992" s="919">
        <v>1</v>
      </c>
      <c r="L4992" s="920">
        <f t="shared" si="499"/>
        <v>2600</v>
      </c>
      <c r="M4992" s="920">
        <f t="shared" si="500"/>
        <v>13.728</v>
      </c>
      <c r="N4992" s="920">
        <f t="shared" si="501"/>
        <v>20</v>
      </c>
      <c r="O4992" s="918" t="str">
        <f t="shared" si="502"/>
        <v>Feb</v>
      </c>
      <c r="P4992" s="921">
        <f t="shared" si="503"/>
        <v>9</v>
      </c>
    </row>
    <row r="4993" spans="1:16" ht="15" hidden="1" customHeight="1">
      <c r="A4993" s="839">
        <v>62714126</v>
      </c>
      <c r="B4993" s="839" t="s">
        <v>133</v>
      </c>
      <c r="C4993" s="906">
        <v>2600</v>
      </c>
      <c r="D4993" s="907">
        <v>46078</v>
      </c>
      <c r="E4993" s="839" t="s">
        <v>402</v>
      </c>
      <c r="F4993" s="839">
        <v>1419</v>
      </c>
      <c r="G4993" s="916">
        <f>VLOOKUP($A4993,'Tech Litons'!$A:$I,8,FALSE)</f>
        <v>5.2680000000000001E-3</v>
      </c>
      <c r="H4993" s="917">
        <f>VLOOKUP($A4993,'Tech Litons'!$A:$I,9,FALSE)</f>
        <v>130</v>
      </c>
      <c r="I4993" s="917" t="str">
        <f>VLOOKUP($A4993,'Tech Litons'!$A:$C,3,0)</f>
        <v>PG</v>
      </c>
      <c r="J4993" s="918" t="str">
        <f t="shared" si="498"/>
        <v>GDIPG</v>
      </c>
      <c r="K4993" s="919">
        <v>1</v>
      </c>
      <c r="L4993" s="920">
        <f t="shared" si="499"/>
        <v>2600</v>
      </c>
      <c r="M4993" s="920">
        <f t="shared" si="500"/>
        <v>13.6968</v>
      </c>
      <c r="N4993" s="920">
        <f t="shared" si="501"/>
        <v>20</v>
      </c>
      <c r="O4993" s="918" t="str">
        <f t="shared" si="502"/>
        <v>Feb</v>
      </c>
      <c r="P4993" s="921">
        <f t="shared" si="503"/>
        <v>9</v>
      </c>
    </row>
    <row r="4994" spans="1:16" ht="15" hidden="1" customHeight="1">
      <c r="A4994" s="839">
        <v>64833353</v>
      </c>
      <c r="B4994" s="839" t="s">
        <v>133</v>
      </c>
      <c r="C4994" s="906">
        <v>2600</v>
      </c>
      <c r="D4994" s="907">
        <v>46080</v>
      </c>
      <c r="E4994" s="839" t="s">
        <v>358</v>
      </c>
      <c r="F4994" s="839">
        <v>3989</v>
      </c>
      <c r="G4994" s="916">
        <f>VLOOKUP($A4994,'Tech Litons'!$A:$I,8,FALSE)</f>
        <v>5.28E-3</v>
      </c>
      <c r="H4994" s="917">
        <f>VLOOKUP($A4994,'Tech Litons'!$A:$I,9,FALSE)</f>
        <v>130</v>
      </c>
      <c r="I4994" s="917" t="str">
        <f>VLOOKUP($A4994,'Tech Litons'!$A:$C,3,0)</f>
        <v>PG</v>
      </c>
      <c r="J4994" s="918" t="str">
        <f t="shared" si="498"/>
        <v>GDIPG</v>
      </c>
      <c r="K4994" s="919">
        <v>1</v>
      </c>
      <c r="L4994" s="920">
        <f t="shared" si="499"/>
        <v>2600</v>
      </c>
      <c r="M4994" s="920">
        <f t="shared" si="500"/>
        <v>13.728</v>
      </c>
      <c r="N4994" s="920">
        <f t="shared" si="501"/>
        <v>20</v>
      </c>
      <c r="O4994" s="918" t="str">
        <f t="shared" si="502"/>
        <v>Feb</v>
      </c>
      <c r="P4994" s="921">
        <f t="shared" si="503"/>
        <v>9</v>
      </c>
    </row>
    <row r="4995" spans="1:16" ht="15" hidden="1" customHeight="1">
      <c r="A4995" s="839">
        <v>64833353</v>
      </c>
      <c r="B4995" s="839" t="s">
        <v>133</v>
      </c>
      <c r="C4995" s="906">
        <v>2600</v>
      </c>
      <c r="D4995" s="907">
        <v>46083</v>
      </c>
      <c r="E4995" s="839" t="s">
        <v>358</v>
      </c>
      <c r="F4995" s="839">
        <v>3989</v>
      </c>
      <c r="G4995" s="916">
        <f>VLOOKUP($A4995,'Tech Litons'!$A:$I,8,FALSE)</f>
        <v>5.28E-3</v>
      </c>
      <c r="H4995" s="917">
        <f>VLOOKUP($A4995,'Tech Litons'!$A:$I,9,FALSE)</f>
        <v>130</v>
      </c>
      <c r="I4995" s="917" t="str">
        <f>VLOOKUP($A4995,'Tech Litons'!$A:$C,3,0)</f>
        <v>PG</v>
      </c>
      <c r="J4995" s="918" t="str">
        <f t="shared" si="498"/>
        <v>GDIPG</v>
      </c>
      <c r="K4995" s="919">
        <v>1</v>
      </c>
      <c r="L4995" s="920">
        <f t="shared" si="499"/>
        <v>2600</v>
      </c>
      <c r="M4995" s="920">
        <f t="shared" si="500"/>
        <v>13.728</v>
      </c>
      <c r="N4995" s="920">
        <f t="shared" si="501"/>
        <v>20</v>
      </c>
      <c r="O4995" s="918" t="str">
        <f t="shared" si="502"/>
        <v>Mar</v>
      </c>
      <c r="P4995" s="921">
        <f t="shared" si="503"/>
        <v>10</v>
      </c>
    </row>
    <row r="4996" spans="1:16" ht="15" hidden="1" customHeight="1">
      <c r="A4996" s="839">
        <v>64833353</v>
      </c>
      <c r="B4996" s="839" t="s">
        <v>133</v>
      </c>
      <c r="C4996" s="906">
        <v>2600</v>
      </c>
      <c r="D4996" s="907">
        <v>46083</v>
      </c>
      <c r="E4996" s="839" t="s">
        <v>358</v>
      </c>
      <c r="F4996" s="839">
        <v>3989</v>
      </c>
      <c r="G4996" s="916">
        <f>VLOOKUP($A4996,'Tech Litons'!$A:$I,8,FALSE)</f>
        <v>5.28E-3</v>
      </c>
      <c r="H4996" s="917">
        <f>VLOOKUP($A4996,'Tech Litons'!$A:$I,9,FALSE)</f>
        <v>130</v>
      </c>
      <c r="I4996" s="917" t="str">
        <f>VLOOKUP($A4996,'Tech Litons'!$A:$C,3,0)</f>
        <v>PG</v>
      </c>
      <c r="J4996" s="918" t="str">
        <f t="shared" si="498"/>
        <v>GDIPG</v>
      </c>
      <c r="K4996" s="919">
        <v>1</v>
      </c>
      <c r="L4996" s="920">
        <f t="shared" si="499"/>
        <v>2600</v>
      </c>
      <c r="M4996" s="920">
        <f t="shared" si="500"/>
        <v>13.728</v>
      </c>
      <c r="N4996" s="920">
        <f t="shared" si="501"/>
        <v>20</v>
      </c>
      <c r="O4996" s="918" t="str">
        <f t="shared" si="502"/>
        <v>Mar</v>
      </c>
      <c r="P4996" s="921">
        <f t="shared" si="503"/>
        <v>10</v>
      </c>
    </row>
    <row r="4997" spans="1:16" ht="15" hidden="1" customHeight="1">
      <c r="A4997" s="839">
        <v>64833353</v>
      </c>
      <c r="B4997" s="839" t="s">
        <v>133</v>
      </c>
      <c r="C4997" s="906">
        <v>2600</v>
      </c>
      <c r="D4997" s="907">
        <v>46083</v>
      </c>
      <c r="E4997" s="839" t="s">
        <v>358</v>
      </c>
      <c r="F4997" s="839">
        <v>3989</v>
      </c>
      <c r="G4997" s="916">
        <f>VLOOKUP($A4997,'Tech Litons'!$A:$I,8,FALSE)</f>
        <v>5.28E-3</v>
      </c>
      <c r="H4997" s="917">
        <f>VLOOKUP($A4997,'Tech Litons'!$A:$I,9,FALSE)</f>
        <v>130</v>
      </c>
      <c r="I4997" s="917" t="str">
        <f>VLOOKUP($A4997,'Tech Litons'!$A:$C,3,0)</f>
        <v>PG</v>
      </c>
      <c r="J4997" s="918" t="str">
        <f t="shared" si="498"/>
        <v>GDIPG</v>
      </c>
      <c r="K4997" s="919">
        <v>1</v>
      </c>
      <c r="L4997" s="920">
        <f t="shared" si="499"/>
        <v>2600</v>
      </c>
      <c r="M4997" s="920">
        <f t="shared" si="500"/>
        <v>13.728</v>
      </c>
      <c r="N4997" s="920">
        <f t="shared" si="501"/>
        <v>20</v>
      </c>
      <c r="O4997" s="918" t="str">
        <f t="shared" si="502"/>
        <v>Mar</v>
      </c>
      <c r="P4997" s="921">
        <f t="shared" si="503"/>
        <v>10</v>
      </c>
    </row>
    <row r="4998" spans="1:16" ht="15" hidden="1" customHeight="1">
      <c r="A4998" s="839">
        <v>64833353</v>
      </c>
      <c r="B4998" s="839" t="s">
        <v>133</v>
      </c>
      <c r="C4998" s="906">
        <v>2600</v>
      </c>
      <c r="D4998" s="907">
        <v>46084</v>
      </c>
      <c r="E4998" s="839" t="s">
        <v>358</v>
      </c>
      <c r="F4998" s="839">
        <v>3989</v>
      </c>
      <c r="G4998" s="916">
        <f>VLOOKUP($A4998,'Tech Litons'!$A:$I,8,FALSE)</f>
        <v>5.28E-3</v>
      </c>
      <c r="H4998" s="917">
        <f>VLOOKUP($A4998,'Tech Litons'!$A:$I,9,FALSE)</f>
        <v>130</v>
      </c>
      <c r="I4998" s="917" t="str">
        <f>VLOOKUP($A4998,'Tech Litons'!$A:$C,3,0)</f>
        <v>PG</v>
      </c>
      <c r="J4998" s="918" t="str">
        <f t="shared" si="498"/>
        <v>GDIPG</v>
      </c>
      <c r="K4998" s="919">
        <v>1</v>
      </c>
      <c r="L4998" s="920">
        <f t="shared" si="499"/>
        <v>2600</v>
      </c>
      <c r="M4998" s="920">
        <f t="shared" si="500"/>
        <v>13.728</v>
      </c>
      <c r="N4998" s="920">
        <f t="shared" si="501"/>
        <v>20</v>
      </c>
      <c r="O4998" s="918" t="str">
        <f t="shared" si="502"/>
        <v>Mar</v>
      </c>
      <c r="P4998" s="921">
        <f t="shared" si="503"/>
        <v>10</v>
      </c>
    </row>
    <row r="4999" spans="1:16" ht="15" hidden="1" customHeight="1">
      <c r="A4999" s="839">
        <v>62714126</v>
      </c>
      <c r="B4999" s="839" t="s">
        <v>133</v>
      </c>
      <c r="C4999" s="906">
        <v>2600</v>
      </c>
      <c r="D4999" s="907">
        <v>46087</v>
      </c>
      <c r="E4999" s="839" t="s">
        <v>402</v>
      </c>
      <c r="F4999" s="839">
        <v>1419</v>
      </c>
      <c r="G4999" s="916">
        <f>VLOOKUP($A4999,'Tech Litons'!$A:$I,8,FALSE)</f>
        <v>5.2680000000000001E-3</v>
      </c>
      <c r="H4999" s="917">
        <f>VLOOKUP($A4999,'Tech Litons'!$A:$I,9,FALSE)</f>
        <v>130</v>
      </c>
      <c r="I4999" s="917" t="str">
        <f>VLOOKUP($A4999,'Tech Litons'!$A:$C,3,0)</f>
        <v>PG</v>
      </c>
      <c r="J4999" s="918" t="str">
        <f t="shared" si="498"/>
        <v>GDIPG</v>
      </c>
      <c r="K4999" s="919">
        <v>1</v>
      </c>
      <c r="L4999" s="920">
        <f t="shared" si="499"/>
        <v>2600</v>
      </c>
      <c r="M4999" s="920">
        <f t="shared" si="500"/>
        <v>13.6968</v>
      </c>
      <c r="N4999" s="920">
        <f t="shared" si="501"/>
        <v>20</v>
      </c>
      <c r="O4999" s="918" t="str">
        <f t="shared" si="502"/>
        <v>Mar</v>
      </c>
      <c r="P4999" s="921">
        <f t="shared" si="503"/>
        <v>10</v>
      </c>
    </row>
    <row r="5000" spans="1:16" ht="15" hidden="1" customHeight="1">
      <c r="A5000" s="839">
        <v>62714126</v>
      </c>
      <c r="B5000" s="839" t="s">
        <v>133</v>
      </c>
      <c r="C5000" s="906">
        <v>2600</v>
      </c>
      <c r="D5000" s="907">
        <v>46087</v>
      </c>
      <c r="E5000" s="839" t="s">
        <v>402</v>
      </c>
      <c r="F5000" s="839">
        <v>1419</v>
      </c>
      <c r="G5000" s="916">
        <f>VLOOKUP($A5000,'Tech Litons'!$A:$I,8,FALSE)</f>
        <v>5.2680000000000001E-3</v>
      </c>
      <c r="H5000" s="917">
        <f>VLOOKUP($A5000,'Tech Litons'!$A:$I,9,FALSE)</f>
        <v>130</v>
      </c>
      <c r="I5000" s="917" t="str">
        <f>VLOOKUP($A5000,'Tech Litons'!$A:$C,3,0)</f>
        <v>PG</v>
      </c>
      <c r="J5000" s="918" t="str">
        <f t="shared" si="498"/>
        <v>GDIPG</v>
      </c>
      <c r="K5000" s="919">
        <v>1</v>
      </c>
      <c r="L5000" s="920">
        <f t="shared" si="499"/>
        <v>2600</v>
      </c>
      <c r="M5000" s="920">
        <f t="shared" si="500"/>
        <v>13.6968</v>
      </c>
      <c r="N5000" s="920">
        <f t="shared" si="501"/>
        <v>20</v>
      </c>
      <c r="O5000" s="918" t="str">
        <f t="shared" si="502"/>
        <v>Mar</v>
      </c>
      <c r="P5000" s="921">
        <f t="shared" si="503"/>
        <v>10</v>
      </c>
    </row>
    <row r="5001" spans="1:16" ht="15" hidden="1" customHeight="1">
      <c r="A5001" s="839">
        <v>62714126</v>
      </c>
      <c r="B5001" s="839" t="s">
        <v>133</v>
      </c>
      <c r="C5001" s="906">
        <v>2600</v>
      </c>
      <c r="D5001" s="907">
        <v>46087</v>
      </c>
      <c r="E5001" s="839" t="s">
        <v>402</v>
      </c>
      <c r="F5001" s="839">
        <v>1419</v>
      </c>
      <c r="G5001" s="916">
        <f>VLOOKUP($A5001,'Tech Litons'!$A:$I,8,FALSE)</f>
        <v>5.2680000000000001E-3</v>
      </c>
      <c r="H5001" s="917">
        <f>VLOOKUP($A5001,'Tech Litons'!$A:$I,9,FALSE)</f>
        <v>130</v>
      </c>
      <c r="I5001" s="917" t="str">
        <f>VLOOKUP($A5001,'Tech Litons'!$A:$C,3,0)</f>
        <v>PG</v>
      </c>
      <c r="J5001" s="918" t="str">
        <f t="shared" si="498"/>
        <v>GDIPG</v>
      </c>
      <c r="K5001" s="919">
        <v>1</v>
      </c>
      <c r="L5001" s="920">
        <f t="shared" si="499"/>
        <v>2600</v>
      </c>
      <c r="M5001" s="920">
        <f t="shared" si="500"/>
        <v>13.6968</v>
      </c>
      <c r="N5001" s="920">
        <f t="shared" si="501"/>
        <v>20</v>
      </c>
      <c r="O5001" s="918" t="str">
        <f t="shared" si="502"/>
        <v>Mar</v>
      </c>
      <c r="P5001" s="921">
        <f t="shared" si="503"/>
        <v>10</v>
      </c>
    </row>
    <row r="5002" spans="1:16" ht="15" hidden="1" customHeight="1">
      <c r="A5002" s="839">
        <v>62714126</v>
      </c>
      <c r="B5002" s="839" t="s">
        <v>133</v>
      </c>
      <c r="C5002" s="906">
        <v>2600</v>
      </c>
      <c r="D5002" s="907">
        <v>46087</v>
      </c>
      <c r="E5002" s="839" t="s">
        <v>402</v>
      </c>
      <c r="F5002" s="839">
        <v>1419</v>
      </c>
      <c r="G5002" s="916">
        <f>VLOOKUP($A5002,'Tech Litons'!$A:$I,8,FALSE)</f>
        <v>5.2680000000000001E-3</v>
      </c>
      <c r="H5002" s="917">
        <f>VLOOKUP($A5002,'Tech Litons'!$A:$I,9,FALSE)</f>
        <v>130</v>
      </c>
      <c r="I5002" s="917" t="str">
        <f>VLOOKUP($A5002,'Tech Litons'!$A:$C,3,0)</f>
        <v>PG</v>
      </c>
      <c r="J5002" s="918" t="str">
        <f t="shared" si="498"/>
        <v>GDIPG</v>
      </c>
      <c r="K5002" s="919">
        <v>1</v>
      </c>
      <c r="L5002" s="920">
        <f t="shared" si="499"/>
        <v>2600</v>
      </c>
      <c r="M5002" s="920">
        <f t="shared" si="500"/>
        <v>13.6968</v>
      </c>
      <c r="N5002" s="920">
        <f t="shared" si="501"/>
        <v>20</v>
      </c>
      <c r="O5002" s="918" t="str">
        <f t="shared" si="502"/>
        <v>Mar</v>
      </c>
      <c r="P5002" s="921">
        <f t="shared" si="503"/>
        <v>10</v>
      </c>
    </row>
    <row r="5003" spans="1:16" ht="15" hidden="1" customHeight="1">
      <c r="A5003" s="839">
        <v>64833353</v>
      </c>
      <c r="B5003" s="839" t="s">
        <v>133</v>
      </c>
      <c r="C5003" s="906">
        <v>2600</v>
      </c>
      <c r="D5003" s="907">
        <v>46090</v>
      </c>
      <c r="E5003" s="839" t="s">
        <v>358</v>
      </c>
      <c r="F5003" s="839">
        <v>3989</v>
      </c>
      <c r="G5003" s="916">
        <f>VLOOKUP($A5003,'Tech Litons'!$A:$I,8,FALSE)</f>
        <v>5.28E-3</v>
      </c>
      <c r="H5003" s="917">
        <f>VLOOKUP($A5003,'Tech Litons'!$A:$I,9,FALSE)</f>
        <v>130</v>
      </c>
      <c r="I5003" s="917" t="str">
        <f>VLOOKUP($A5003,'Tech Litons'!$A:$C,3,0)</f>
        <v>PG</v>
      </c>
      <c r="J5003" s="918" t="str">
        <f t="shared" si="498"/>
        <v>GDIPG</v>
      </c>
      <c r="K5003" s="919">
        <v>1</v>
      </c>
      <c r="L5003" s="920">
        <f t="shared" si="499"/>
        <v>2600</v>
      </c>
      <c r="M5003" s="920">
        <f t="shared" si="500"/>
        <v>13.728</v>
      </c>
      <c r="N5003" s="920">
        <f t="shared" si="501"/>
        <v>20</v>
      </c>
      <c r="O5003" s="918" t="str">
        <f t="shared" si="502"/>
        <v>Mar</v>
      </c>
      <c r="P5003" s="921">
        <f t="shared" si="503"/>
        <v>11</v>
      </c>
    </row>
    <row r="5004" spans="1:16" ht="15" hidden="1" customHeight="1">
      <c r="A5004" s="839">
        <v>64833353</v>
      </c>
      <c r="B5004" s="839" t="s">
        <v>133</v>
      </c>
      <c r="C5004" s="906">
        <v>2600</v>
      </c>
      <c r="D5004" s="907">
        <v>46090</v>
      </c>
      <c r="E5004" s="839" t="s">
        <v>358</v>
      </c>
      <c r="F5004" s="839">
        <v>3989</v>
      </c>
      <c r="G5004" s="916">
        <f>VLOOKUP($A5004,'Tech Litons'!$A:$I,8,FALSE)</f>
        <v>5.28E-3</v>
      </c>
      <c r="H5004" s="917">
        <f>VLOOKUP($A5004,'Tech Litons'!$A:$I,9,FALSE)</f>
        <v>130</v>
      </c>
      <c r="I5004" s="917" t="str">
        <f>VLOOKUP($A5004,'Tech Litons'!$A:$C,3,0)</f>
        <v>PG</v>
      </c>
      <c r="J5004" s="918" t="str">
        <f t="shared" si="498"/>
        <v>GDIPG</v>
      </c>
      <c r="K5004" s="919">
        <v>1</v>
      </c>
      <c r="L5004" s="920">
        <f t="shared" si="499"/>
        <v>2600</v>
      </c>
      <c r="M5004" s="920">
        <f t="shared" si="500"/>
        <v>13.728</v>
      </c>
      <c r="N5004" s="920">
        <f t="shared" si="501"/>
        <v>20</v>
      </c>
      <c r="O5004" s="918" t="str">
        <f t="shared" si="502"/>
        <v>Mar</v>
      </c>
      <c r="P5004" s="921">
        <f t="shared" si="503"/>
        <v>11</v>
      </c>
    </row>
    <row r="5005" spans="1:16" ht="15" hidden="1" customHeight="1">
      <c r="A5005" s="839">
        <v>62714126</v>
      </c>
      <c r="B5005" s="839" t="s">
        <v>133</v>
      </c>
      <c r="C5005" s="906">
        <v>2600</v>
      </c>
      <c r="D5005" s="907">
        <v>46090</v>
      </c>
      <c r="E5005" s="839" t="s">
        <v>402</v>
      </c>
      <c r="F5005" s="839">
        <v>1419</v>
      </c>
      <c r="G5005" s="916">
        <f>VLOOKUP($A5005,'Tech Litons'!$A:$I,8,FALSE)</f>
        <v>5.2680000000000001E-3</v>
      </c>
      <c r="H5005" s="917">
        <f>VLOOKUP($A5005,'Tech Litons'!$A:$I,9,FALSE)</f>
        <v>130</v>
      </c>
      <c r="I5005" s="917" t="str">
        <f>VLOOKUP($A5005,'Tech Litons'!$A:$C,3,0)</f>
        <v>PG</v>
      </c>
      <c r="J5005" s="918" t="str">
        <f t="shared" si="498"/>
        <v>GDIPG</v>
      </c>
      <c r="K5005" s="919">
        <v>1</v>
      </c>
      <c r="L5005" s="920">
        <f t="shared" si="499"/>
        <v>2600</v>
      </c>
      <c r="M5005" s="920">
        <f t="shared" si="500"/>
        <v>13.6968</v>
      </c>
      <c r="N5005" s="920">
        <f t="shared" si="501"/>
        <v>20</v>
      </c>
      <c r="O5005" s="918" t="str">
        <f t="shared" si="502"/>
        <v>Mar</v>
      </c>
      <c r="P5005" s="921">
        <f t="shared" si="503"/>
        <v>11</v>
      </c>
    </row>
    <row r="5006" spans="1:16" ht="15" hidden="1" customHeight="1">
      <c r="A5006" s="839">
        <v>62714126</v>
      </c>
      <c r="B5006" s="839" t="s">
        <v>133</v>
      </c>
      <c r="C5006" s="906">
        <v>2600</v>
      </c>
      <c r="D5006" s="907">
        <v>46090</v>
      </c>
      <c r="E5006" s="839" t="s">
        <v>402</v>
      </c>
      <c r="F5006" s="839">
        <v>1419</v>
      </c>
      <c r="G5006" s="916">
        <f>VLOOKUP($A5006,'Tech Litons'!$A:$I,8,FALSE)</f>
        <v>5.2680000000000001E-3</v>
      </c>
      <c r="H5006" s="917">
        <f>VLOOKUP($A5006,'Tech Litons'!$A:$I,9,FALSE)</f>
        <v>130</v>
      </c>
      <c r="I5006" s="917" t="str">
        <f>VLOOKUP($A5006,'Tech Litons'!$A:$C,3,0)</f>
        <v>PG</v>
      </c>
      <c r="J5006" s="918" t="str">
        <f t="shared" si="498"/>
        <v>GDIPG</v>
      </c>
      <c r="K5006" s="919">
        <v>1</v>
      </c>
      <c r="L5006" s="920">
        <f t="shared" si="499"/>
        <v>2600</v>
      </c>
      <c r="M5006" s="920">
        <f t="shared" si="500"/>
        <v>13.6968</v>
      </c>
      <c r="N5006" s="920">
        <f t="shared" si="501"/>
        <v>20</v>
      </c>
      <c r="O5006" s="918" t="str">
        <f t="shared" si="502"/>
        <v>Mar</v>
      </c>
      <c r="P5006" s="921">
        <f t="shared" si="503"/>
        <v>11</v>
      </c>
    </row>
    <row r="5007" spans="1:16" ht="15" hidden="1" customHeight="1">
      <c r="A5007" s="839">
        <v>62714126</v>
      </c>
      <c r="B5007" s="839" t="s">
        <v>133</v>
      </c>
      <c r="C5007" s="906">
        <v>2600</v>
      </c>
      <c r="D5007" s="907">
        <v>46090</v>
      </c>
      <c r="E5007" s="839" t="s">
        <v>402</v>
      </c>
      <c r="F5007" s="839">
        <v>1419</v>
      </c>
      <c r="G5007" s="916">
        <f>VLOOKUP($A5007,'Tech Litons'!$A:$I,8,FALSE)</f>
        <v>5.2680000000000001E-3</v>
      </c>
      <c r="H5007" s="917">
        <f>VLOOKUP($A5007,'Tech Litons'!$A:$I,9,FALSE)</f>
        <v>130</v>
      </c>
      <c r="I5007" s="917" t="str">
        <f>VLOOKUP($A5007,'Tech Litons'!$A:$C,3,0)</f>
        <v>PG</v>
      </c>
      <c r="J5007" s="918" t="str">
        <f t="shared" si="498"/>
        <v>GDIPG</v>
      </c>
      <c r="K5007" s="919">
        <v>1</v>
      </c>
      <c r="L5007" s="920">
        <f t="shared" si="499"/>
        <v>2600</v>
      </c>
      <c r="M5007" s="920">
        <f t="shared" si="500"/>
        <v>13.6968</v>
      </c>
      <c r="N5007" s="920">
        <f t="shared" si="501"/>
        <v>20</v>
      </c>
      <c r="O5007" s="918" t="str">
        <f t="shared" si="502"/>
        <v>Mar</v>
      </c>
      <c r="P5007" s="921">
        <f t="shared" si="503"/>
        <v>11</v>
      </c>
    </row>
    <row r="5008" spans="1:16" ht="15" hidden="1" customHeight="1">
      <c r="A5008" s="839">
        <v>62714126</v>
      </c>
      <c r="B5008" s="839" t="s">
        <v>133</v>
      </c>
      <c r="C5008" s="906">
        <v>2600</v>
      </c>
      <c r="D5008" s="907">
        <v>46090</v>
      </c>
      <c r="E5008" s="839" t="s">
        <v>402</v>
      </c>
      <c r="F5008" s="839">
        <v>1419</v>
      </c>
      <c r="G5008" s="916">
        <f>VLOOKUP($A5008,'Tech Litons'!$A:$I,8,FALSE)</f>
        <v>5.2680000000000001E-3</v>
      </c>
      <c r="H5008" s="917">
        <f>VLOOKUP($A5008,'Tech Litons'!$A:$I,9,FALSE)</f>
        <v>130</v>
      </c>
      <c r="I5008" s="917" t="str">
        <f>VLOOKUP($A5008,'Tech Litons'!$A:$C,3,0)</f>
        <v>PG</v>
      </c>
      <c r="J5008" s="918" t="str">
        <f t="shared" si="498"/>
        <v>GDIPG</v>
      </c>
      <c r="K5008" s="919">
        <v>1</v>
      </c>
      <c r="L5008" s="920">
        <f t="shared" si="499"/>
        <v>2600</v>
      </c>
      <c r="M5008" s="920">
        <f t="shared" si="500"/>
        <v>13.6968</v>
      </c>
      <c r="N5008" s="920">
        <f t="shared" si="501"/>
        <v>20</v>
      </c>
      <c r="O5008" s="918" t="str">
        <f t="shared" si="502"/>
        <v>Mar</v>
      </c>
      <c r="P5008" s="921">
        <f t="shared" si="503"/>
        <v>11</v>
      </c>
    </row>
    <row r="5009" spans="1:16" ht="15" hidden="1" customHeight="1">
      <c r="A5009" s="839">
        <v>62714126</v>
      </c>
      <c r="B5009" s="839" t="s">
        <v>133</v>
      </c>
      <c r="C5009" s="906">
        <v>2600</v>
      </c>
      <c r="D5009" s="907">
        <v>46091</v>
      </c>
      <c r="E5009" s="839" t="s">
        <v>402</v>
      </c>
      <c r="F5009" s="839">
        <v>1419</v>
      </c>
      <c r="G5009" s="916">
        <f>VLOOKUP($A5009,'Tech Litons'!$A:$I,8,FALSE)</f>
        <v>5.2680000000000001E-3</v>
      </c>
      <c r="H5009" s="917">
        <f>VLOOKUP($A5009,'Tech Litons'!$A:$I,9,FALSE)</f>
        <v>130</v>
      </c>
      <c r="I5009" s="917" t="str">
        <f>VLOOKUP($A5009,'Tech Litons'!$A:$C,3,0)</f>
        <v>PG</v>
      </c>
      <c r="J5009" s="918" t="str">
        <f t="shared" si="498"/>
        <v>GDIPG</v>
      </c>
      <c r="K5009" s="919">
        <v>1</v>
      </c>
      <c r="L5009" s="920">
        <f t="shared" si="499"/>
        <v>2600</v>
      </c>
      <c r="M5009" s="920">
        <f t="shared" si="500"/>
        <v>13.6968</v>
      </c>
      <c r="N5009" s="920">
        <f t="shared" si="501"/>
        <v>20</v>
      </c>
      <c r="O5009" s="918" t="str">
        <f t="shared" si="502"/>
        <v>Mar</v>
      </c>
      <c r="P5009" s="921">
        <f t="shared" si="503"/>
        <v>11</v>
      </c>
    </row>
    <row r="5010" spans="1:16" ht="15" hidden="1" customHeight="1">
      <c r="A5010" s="839">
        <v>62714126</v>
      </c>
      <c r="B5010" s="839" t="s">
        <v>133</v>
      </c>
      <c r="C5010" s="906">
        <v>2600</v>
      </c>
      <c r="D5010" s="907">
        <v>46091</v>
      </c>
      <c r="E5010" s="839" t="s">
        <v>402</v>
      </c>
      <c r="F5010" s="839">
        <v>1419</v>
      </c>
      <c r="G5010" s="916">
        <f>VLOOKUP($A5010,'Tech Litons'!$A:$I,8,FALSE)</f>
        <v>5.2680000000000001E-3</v>
      </c>
      <c r="H5010" s="917">
        <f>VLOOKUP($A5010,'Tech Litons'!$A:$I,9,FALSE)</f>
        <v>130</v>
      </c>
      <c r="I5010" s="917" t="str">
        <f>VLOOKUP($A5010,'Tech Litons'!$A:$C,3,0)</f>
        <v>PG</v>
      </c>
      <c r="J5010" s="918" t="str">
        <f t="shared" si="498"/>
        <v>GDIPG</v>
      </c>
      <c r="K5010" s="919">
        <v>1</v>
      </c>
      <c r="L5010" s="920">
        <f t="shared" si="499"/>
        <v>2600</v>
      </c>
      <c r="M5010" s="920">
        <f t="shared" si="500"/>
        <v>13.6968</v>
      </c>
      <c r="N5010" s="920">
        <f t="shared" si="501"/>
        <v>20</v>
      </c>
      <c r="O5010" s="918" t="str">
        <f t="shared" si="502"/>
        <v>Mar</v>
      </c>
      <c r="P5010" s="921">
        <f t="shared" si="503"/>
        <v>11</v>
      </c>
    </row>
    <row r="5011" spans="1:16" ht="15" hidden="1" customHeight="1">
      <c r="A5011" s="839">
        <v>62714126</v>
      </c>
      <c r="B5011" s="839" t="s">
        <v>133</v>
      </c>
      <c r="C5011" s="906">
        <v>2600</v>
      </c>
      <c r="D5011" s="907">
        <v>46091</v>
      </c>
      <c r="E5011" s="839" t="s">
        <v>402</v>
      </c>
      <c r="F5011" s="839">
        <v>1419</v>
      </c>
      <c r="G5011" s="916">
        <f>VLOOKUP($A5011,'Tech Litons'!$A:$I,8,FALSE)</f>
        <v>5.2680000000000001E-3</v>
      </c>
      <c r="H5011" s="917">
        <f>VLOOKUP($A5011,'Tech Litons'!$A:$I,9,FALSE)</f>
        <v>130</v>
      </c>
      <c r="I5011" s="917" t="str">
        <f>VLOOKUP($A5011,'Tech Litons'!$A:$C,3,0)</f>
        <v>PG</v>
      </c>
      <c r="J5011" s="918" t="str">
        <f t="shared" si="498"/>
        <v>GDIPG</v>
      </c>
      <c r="K5011" s="919">
        <v>1</v>
      </c>
      <c r="L5011" s="920">
        <f t="shared" si="499"/>
        <v>2600</v>
      </c>
      <c r="M5011" s="920">
        <f t="shared" si="500"/>
        <v>13.6968</v>
      </c>
      <c r="N5011" s="920">
        <f t="shared" si="501"/>
        <v>20</v>
      </c>
      <c r="O5011" s="918" t="str">
        <f t="shared" si="502"/>
        <v>Mar</v>
      </c>
      <c r="P5011" s="921">
        <f t="shared" si="503"/>
        <v>11</v>
      </c>
    </row>
    <row r="5012" spans="1:16" ht="15" hidden="1" customHeight="1">
      <c r="A5012" s="839">
        <v>62714126</v>
      </c>
      <c r="B5012" s="839" t="s">
        <v>133</v>
      </c>
      <c r="C5012" s="906">
        <v>2600</v>
      </c>
      <c r="D5012" s="907">
        <v>46091</v>
      </c>
      <c r="E5012" s="839" t="s">
        <v>402</v>
      </c>
      <c r="F5012" s="839">
        <v>1419</v>
      </c>
      <c r="G5012" s="916">
        <f>VLOOKUP($A5012,'Tech Litons'!$A:$I,8,FALSE)</f>
        <v>5.2680000000000001E-3</v>
      </c>
      <c r="H5012" s="917">
        <f>VLOOKUP($A5012,'Tech Litons'!$A:$I,9,FALSE)</f>
        <v>130</v>
      </c>
      <c r="I5012" s="917" t="str">
        <f>VLOOKUP($A5012,'Tech Litons'!$A:$C,3,0)</f>
        <v>PG</v>
      </c>
      <c r="J5012" s="918" t="str">
        <f t="shared" si="498"/>
        <v>GDIPG</v>
      </c>
      <c r="K5012" s="919">
        <v>1</v>
      </c>
      <c r="L5012" s="920">
        <f t="shared" si="499"/>
        <v>2600</v>
      </c>
      <c r="M5012" s="920">
        <f t="shared" si="500"/>
        <v>13.6968</v>
      </c>
      <c r="N5012" s="920">
        <f t="shared" si="501"/>
        <v>20</v>
      </c>
      <c r="O5012" s="918" t="str">
        <f t="shared" si="502"/>
        <v>Mar</v>
      </c>
      <c r="P5012" s="921">
        <f t="shared" si="503"/>
        <v>11</v>
      </c>
    </row>
    <row r="5013" spans="1:16" ht="15" hidden="1" customHeight="1">
      <c r="A5013" s="839">
        <v>64833353</v>
      </c>
      <c r="B5013" s="839" t="s">
        <v>133</v>
      </c>
      <c r="C5013" s="906">
        <v>2600</v>
      </c>
      <c r="D5013" s="907">
        <v>46092</v>
      </c>
      <c r="E5013" s="839" t="s">
        <v>358</v>
      </c>
      <c r="F5013" s="839">
        <v>3989</v>
      </c>
      <c r="G5013" s="916">
        <f>VLOOKUP($A5013,'Tech Litons'!$A:$I,8,FALSE)</f>
        <v>5.28E-3</v>
      </c>
      <c r="H5013" s="917">
        <f>VLOOKUP($A5013,'Tech Litons'!$A:$I,9,FALSE)</f>
        <v>130</v>
      </c>
      <c r="I5013" s="917" t="str">
        <f>VLOOKUP($A5013,'Tech Litons'!$A:$C,3,0)</f>
        <v>PG</v>
      </c>
      <c r="J5013" s="918" t="str">
        <f t="shared" si="498"/>
        <v>GDIPG</v>
      </c>
      <c r="K5013" s="919">
        <v>1</v>
      </c>
      <c r="L5013" s="920">
        <f t="shared" si="499"/>
        <v>2600</v>
      </c>
      <c r="M5013" s="920">
        <f t="shared" si="500"/>
        <v>13.728</v>
      </c>
      <c r="N5013" s="920">
        <f t="shared" si="501"/>
        <v>20</v>
      </c>
      <c r="O5013" s="918" t="str">
        <f t="shared" si="502"/>
        <v>Mar</v>
      </c>
      <c r="P5013" s="921">
        <f t="shared" si="503"/>
        <v>11</v>
      </c>
    </row>
    <row r="5014" spans="1:16" ht="15" hidden="1" customHeight="1">
      <c r="A5014" s="839">
        <v>64833353</v>
      </c>
      <c r="B5014" s="839" t="s">
        <v>133</v>
      </c>
      <c r="C5014" s="906">
        <v>2600</v>
      </c>
      <c r="D5014" s="907">
        <v>46092</v>
      </c>
      <c r="E5014" s="839" t="s">
        <v>358</v>
      </c>
      <c r="F5014" s="839">
        <v>3989</v>
      </c>
      <c r="G5014" s="916">
        <f>VLOOKUP($A5014,'Tech Litons'!$A:$I,8,FALSE)</f>
        <v>5.28E-3</v>
      </c>
      <c r="H5014" s="917">
        <f>VLOOKUP($A5014,'Tech Litons'!$A:$I,9,FALSE)</f>
        <v>130</v>
      </c>
      <c r="I5014" s="917" t="str">
        <f>VLOOKUP($A5014,'Tech Litons'!$A:$C,3,0)</f>
        <v>PG</v>
      </c>
      <c r="J5014" s="918" t="str">
        <f t="shared" si="498"/>
        <v>GDIPG</v>
      </c>
      <c r="K5014" s="919">
        <v>1</v>
      </c>
      <c r="L5014" s="920">
        <f t="shared" si="499"/>
        <v>2600</v>
      </c>
      <c r="M5014" s="920">
        <f t="shared" si="500"/>
        <v>13.728</v>
      </c>
      <c r="N5014" s="920">
        <f t="shared" si="501"/>
        <v>20</v>
      </c>
      <c r="O5014" s="918" t="str">
        <f t="shared" si="502"/>
        <v>Mar</v>
      </c>
      <c r="P5014" s="921">
        <f t="shared" si="503"/>
        <v>11</v>
      </c>
    </row>
    <row r="5015" spans="1:16" ht="15" hidden="1" customHeight="1">
      <c r="A5015" s="839">
        <v>64833353</v>
      </c>
      <c r="B5015" s="839" t="s">
        <v>133</v>
      </c>
      <c r="C5015" s="906">
        <v>2600</v>
      </c>
      <c r="D5015" s="907">
        <v>46092</v>
      </c>
      <c r="E5015" s="839" t="s">
        <v>358</v>
      </c>
      <c r="F5015" s="839">
        <v>3989</v>
      </c>
      <c r="G5015" s="916">
        <f>VLOOKUP($A5015,'Tech Litons'!$A:$I,8,FALSE)</f>
        <v>5.28E-3</v>
      </c>
      <c r="H5015" s="917">
        <f>VLOOKUP($A5015,'Tech Litons'!$A:$I,9,FALSE)</f>
        <v>130</v>
      </c>
      <c r="I5015" s="917" t="str">
        <f>VLOOKUP($A5015,'Tech Litons'!$A:$C,3,0)</f>
        <v>PG</v>
      </c>
      <c r="J5015" s="918" t="str">
        <f t="shared" si="498"/>
        <v>GDIPG</v>
      </c>
      <c r="K5015" s="919">
        <v>1</v>
      </c>
      <c r="L5015" s="920">
        <f t="shared" si="499"/>
        <v>2600</v>
      </c>
      <c r="M5015" s="920">
        <f t="shared" si="500"/>
        <v>13.728</v>
      </c>
      <c r="N5015" s="920">
        <f t="shared" si="501"/>
        <v>20</v>
      </c>
      <c r="O5015" s="918" t="str">
        <f t="shared" si="502"/>
        <v>Mar</v>
      </c>
      <c r="P5015" s="921">
        <f t="shared" si="503"/>
        <v>11</v>
      </c>
    </row>
    <row r="5016" spans="1:16" ht="15" hidden="1" customHeight="1">
      <c r="A5016" s="839">
        <v>62714126</v>
      </c>
      <c r="B5016" s="839" t="s">
        <v>133</v>
      </c>
      <c r="C5016" s="906">
        <v>2600</v>
      </c>
      <c r="D5016" s="907">
        <v>46092</v>
      </c>
      <c r="E5016" s="839" t="s">
        <v>402</v>
      </c>
      <c r="F5016" s="839">
        <v>1419</v>
      </c>
      <c r="G5016" s="916">
        <f>VLOOKUP($A5016,'Tech Litons'!$A:$I,8,FALSE)</f>
        <v>5.2680000000000001E-3</v>
      </c>
      <c r="H5016" s="917">
        <f>VLOOKUP($A5016,'Tech Litons'!$A:$I,9,FALSE)</f>
        <v>130</v>
      </c>
      <c r="I5016" s="917" t="str">
        <f>VLOOKUP($A5016,'Tech Litons'!$A:$C,3,0)</f>
        <v>PG</v>
      </c>
      <c r="J5016" s="918" t="str">
        <f t="shared" si="498"/>
        <v>GDIPG</v>
      </c>
      <c r="K5016" s="919">
        <v>1</v>
      </c>
      <c r="L5016" s="920">
        <f t="shared" si="499"/>
        <v>2600</v>
      </c>
      <c r="M5016" s="920">
        <f t="shared" si="500"/>
        <v>13.6968</v>
      </c>
      <c r="N5016" s="920">
        <f t="shared" si="501"/>
        <v>20</v>
      </c>
      <c r="O5016" s="918" t="str">
        <f t="shared" si="502"/>
        <v>Mar</v>
      </c>
      <c r="P5016" s="921">
        <f t="shared" si="503"/>
        <v>11</v>
      </c>
    </row>
    <row r="5017" spans="1:16" ht="15" hidden="1" customHeight="1">
      <c r="A5017" s="839">
        <v>64833353</v>
      </c>
      <c r="B5017" s="839" t="s">
        <v>133</v>
      </c>
      <c r="C5017" s="906">
        <v>2600</v>
      </c>
      <c r="D5017" s="907">
        <v>46093</v>
      </c>
      <c r="E5017" s="839" t="s">
        <v>358</v>
      </c>
      <c r="F5017" s="839">
        <v>3989</v>
      </c>
      <c r="G5017" s="916">
        <f>VLOOKUP($A5017,'Tech Litons'!$A:$I,8,FALSE)</f>
        <v>5.28E-3</v>
      </c>
      <c r="H5017" s="917">
        <f>VLOOKUP($A5017,'Tech Litons'!$A:$I,9,FALSE)</f>
        <v>130</v>
      </c>
      <c r="I5017" s="917" t="str">
        <f>VLOOKUP($A5017,'Tech Litons'!$A:$C,3,0)</f>
        <v>PG</v>
      </c>
      <c r="J5017" s="918" t="str">
        <f t="shared" si="498"/>
        <v>GDIPG</v>
      </c>
      <c r="K5017" s="919">
        <v>1</v>
      </c>
      <c r="L5017" s="920">
        <f t="shared" si="499"/>
        <v>2600</v>
      </c>
      <c r="M5017" s="920">
        <f t="shared" si="500"/>
        <v>13.728</v>
      </c>
      <c r="N5017" s="920">
        <f t="shared" si="501"/>
        <v>20</v>
      </c>
      <c r="O5017" s="918" t="str">
        <f t="shared" si="502"/>
        <v>Mar</v>
      </c>
      <c r="P5017" s="921">
        <f t="shared" si="503"/>
        <v>11</v>
      </c>
    </row>
    <row r="5018" spans="1:16" ht="15" hidden="1" customHeight="1">
      <c r="A5018" s="839">
        <v>64833353</v>
      </c>
      <c r="B5018" s="839" t="s">
        <v>133</v>
      </c>
      <c r="C5018" s="906">
        <v>2600</v>
      </c>
      <c r="D5018" s="907">
        <v>46093</v>
      </c>
      <c r="E5018" s="839" t="s">
        <v>358</v>
      </c>
      <c r="F5018" s="839">
        <v>3989</v>
      </c>
      <c r="G5018" s="916">
        <f>VLOOKUP($A5018,'Tech Litons'!$A:$I,8,FALSE)</f>
        <v>5.28E-3</v>
      </c>
      <c r="H5018" s="917">
        <f>VLOOKUP($A5018,'Tech Litons'!$A:$I,9,FALSE)</f>
        <v>130</v>
      </c>
      <c r="I5018" s="917" t="str">
        <f>VLOOKUP($A5018,'Tech Litons'!$A:$C,3,0)</f>
        <v>PG</v>
      </c>
      <c r="J5018" s="918" t="str">
        <f t="shared" si="498"/>
        <v>GDIPG</v>
      </c>
      <c r="K5018" s="919">
        <v>1</v>
      </c>
      <c r="L5018" s="920">
        <f t="shared" si="499"/>
        <v>2600</v>
      </c>
      <c r="M5018" s="920">
        <f t="shared" si="500"/>
        <v>13.728</v>
      </c>
      <c r="N5018" s="920">
        <f t="shared" si="501"/>
        <v>20</v>
      </c>
      <c r="O5018" s="918" t="str">
        <f t="shared" si="502"/>
        <v>Mar</v>
      </c>
      <c r="P5018" s="921">
        <f t="shared" si="503"/>
        <v>11</v>
      </c>
    </row>
    <row r="5019" spans="1:16" ht="15" hidden="1" customHeight="1">
      <c r="A5019" s="839">
        <v>64833353</v>
      </c>
      <c r="B5019" s="839" t="s">
        <v>133</v>
      </c>
      <c r="C5019" s="906">
        <v>2600</v>
      </c>
      <c r="D5019" s="907">
        <v>46093</v>
      </c>
      <c r="E5019" s="839" t="s">
        <v>358</v>
      </c>
      <c r="F5019" s="839">
        <v>3989</v>
      </c>
      <c r="G5019" s="916">
        <f>VLOOKUP($A5019,'Tech Litons'!$A:$I,8,FALSE)</f>
        <v>5.28E-3</v>
      </c>
      <c r="H5019" s="917">
        <f>VLOOKUP($A5019,'Tech Litons'!$A:$I,9,FALSE)</f>
        <v>130</v>
      </c>
      <c r="I5019" s="917" t="str">
        <f>VLOOKUP($A5019,'Tech Litons'!$A:$C,3,0)</f>
        <v>PG</v>
      </c>
      <c r="J5019" s="918" t="str">
        <f t="shared" si="498"/>
        <v>GDIPG</v>
      </c>
      <c r="K5019" s="919">
        <v>1</v>
      </c>
      <c r="L5019" s="920">
        <f t="shared" si="499"/>
        <v>2600</v>
      </c>
      <c r="M5019" s="920">
        <f t="shared" si="500"/>
        <v>13.728</v>
      </c>
      <c r="N5019" s="920">
        <f t="shared" si="501"/>
        <v>20</v>
      </c>
      <c r="O5019" s="918" t="str">
        <f t="shared" si="502"/>
        <v>Mar</v>
      </c>
      <c r="P5019" s="921">
        <f t="shared" si="503"/>
        <v>11</v>
      </c>
    </row>
    <row r="5020" spans="1:16" ht="15" hidden="1" customHeight="1">
      <c r="A5020" s="839">
        <v>62714126</v>
      </c>
      <c r="B5020" s="839" t="s">
        <v>133</v>
      </c>
      <c r="C5020" s="906">
        <v>2600</v>
      </c>
      <c r="D5020" s="907">
        <v>46093</v>
      </c>
      <c r="E5020" s="839" t="s">
        <v>402</v>
      </c>
      <c r="F5020" s="839">
        <v>1419</v>
      </c>
      <c r="G5020" s="916">
        <f>VLOOKUP($A5020,'Tech Litons'!$A:$I,8,FALSE)</f>
        <v>5.2680000000000001E-3</v>
      </c>
      <c r="H5020" s="917">
        <f>VLOOKUP($A5020,'Tech Litons'!$A:$I,9,FALSE)</f>
        <v>130</v>
      </c>
      <c r="I5020" s="917" t="str">
        <f>VLOOKUP($A5020,'Tech Litons'!$A:$C,3,0)</f>
        <v>PG</v>
      </c>
      <c r="J5020" s="918" t="str">
        <f t="shared" si="498"/>
        <v>GDIPG</v>
      </c>
      <c r="K5020" s="919">
        <v>1</v>
      </c>
      <c r="L5020" s="920">
        <f t="shared" si="499"/>
        <v>2600</v>
      </c>
      <c r="M5020" s="920">
        <f t="shared" si="500"/>
        <v>13.6968</v>
      </c>
      <c r="N5020" s="920">
        <f t="shared" si="501"/>
        <v>20</v>
      </c>
      <c r="O5020" s="918" t="str">
        <f t="shared" si="502"/>
        <v>Mar</v>
      </c>
      <c r="P5020" s="921">
        <f t="shared" si="503"/>
        <v>11</v>
      </c>
    </row>
    <row r="5021" spans="1:16" ht="15" hidden="1" customHeight="1">
      <c r="A5021" s="839">
        <v>62714126</v>
      </c>
      <c r="B5021" s="839" t="s">
        <v>133</v>
      </c>
      <c r="C5021" s="906">
        <v>2600</v>
      </c>
      <c r="D5021" s="907">
        <v>46093</v>
      </c>
      <c r="E5021" s="839" t="s">
        <v>402</v>
      </c>
      <c r="F5021" s="839">
        <v>1419</v>
      </c>
      <c r="G5021" s="916">
        <f>VLOOKUP($A5021,'Tech Litons'!$A:$I,8,FALSE)</f>
        <v>5.2680000000000001E-3</v>
      </c>
      <c r="H5021" s="917">
        <f>VLOOKUP($A5021,'Tech Litons'!$A:$I,9,FALSE)</f>
        <v>130</v>
      </c>
      <c r="I5021" s="917" t="str">
        <f>VLOOKUP($A5021,'Tech Litons'!$A:$C,3,0)</f>
        <v>PG</v>
      </c>
      <c r="J5021" s="918" t="str">
        <f t="shared" si="498"/>
        <v>GDIPG</v>
      </c>
      <c r="K5021" s="919">
        <v>1</v>
      </c>
      <c r="L5021" s="920">
        <f t="shared" si="499"/>
        <v>2600</v>
      </c>
      <c r="M5021" s="920">
        <f t="shared" si="500"/>
        <v>13.6968</v>
      </c>
      <c r="N5021" s="920">
        <f t="shared" si="501"/>
        <v>20</v>
      </c>
      <c r="O5021" s="918" t="str">
        <f t="shared" si="502"/>
        <v>Mar</v>
      </c>
      <c r="P5021" s="921">
        <f t="shared" si="503"/>
        <v>11</v>
      </c>
    </row>
    <row r="5022" spans="1:16" ht="15" hidden="1" customHeight="1">
      <c r="A5022" s="839">
        <v>64776958</v>
      </c>
      <c r="B5022" s="839" t="s">
        <v>133</v>
      </c>
      <c r="C5022" s="906">
        <v>2600</v>
      </c>
      <c r="D5022" s="907">
        <v>46094</v>
      </c>
      <c r="E5022" s="839" t="s">
        <v>292</v>
      </c>
      <c r="F5022" s="839">
        <v>1419</v>
      </c>
      <c r="G5022" s="916">
        <f>VLOOKUP($A5022,'Tech Litons'!$A:$I,8,FALSE)</f>
        <v>5.2680000000000001E-3</v>
      </c>
      <c r="H5022" s="917">
        <f>VLOOKUP($A5022,'Tech Litons'!$A:$I,9,FALSE)</f>
        <v>130</v>
      </c>
      <c r="I5022" s="917" t="str">
        <f>VLOOKUP($A5022,'Tech Litons'!$A:$C,3,0)</f>
        <v>PG</v>
      </c>
      <c r="J5022" s="918" t="str">
        <f t="shared" si="498"/>
        <v>GDIPG</v>
      </c>
      <c r="K5022" s="919">
        <v>1</v>
      </c>
      <c r="L5022" s="920">
        <f t="shared" si="499"/>
        <v>2600</v>
      </c>
      <c r="M5022" s="920">
        <f t="shared" si="500"/>
        <v>13.6968</v>
      </c>
      <c r="N5022" s="920">
        <f t="shared" si="501"/>
        <v>20</v>
      </c>
      <c r="O5022" s="918" t="str">
        <f t="shared" si="502"/>
        <v>Mar</v>
      </c>
      <c r="P5022" s="921">
        <f t="shared" si="503"/>
        <v>11</v>
      </c>
    </row>
    <row r="5023" spans="1:16" ht="15" hidden="1" customHeight="1">
      <c r="A5023" s="839">
        <v>62714126</v>
      </c>
      <c r="B5023" s="839" t="s">
        <v>133</v>
      </c>
      <c r="C5023" s="906">
        <v>2600</v>
      </c>
      <c r="D5023" s="907">
        <v>46095</v>
      </c>
      <c r="E5023" s="839" t="s">
        <v>402</v>
      </c>
      <c r="F5023" s="839">
        <v>1419</v>
      </c>
      <c r="G5023" s="916">
        <f>VLOOKUP($A5023,'Tech Litons'!$A:$I,8,FALSE)</f>
        <v>5.2680000000000001E-3</v>
      </c>
      <c r="H5023" s="917">
        <f>VLOOKUP($A5023,'Tech Litons'!$A:$I,9,FALSE)</f>
        <v>130</v>
      </c>
      <c r="I5023" s="917" t="str">
        <f>VLOOKUP($A5023,'Tech Litons'!$A:$C,3,0)</f>
        <v>PG</v>
      </c>
      <c r="J5023" s="918" t="str">
        <f t="shared" si="498"/>
        <v>GDIPG</v>
      </c>
      <c r="K5023" s="919">
        <v>1</v>
      </c>
      <c r="L5023" s="920">
        <f t="shared" si="499"/>
        <v>2600</v>
      </c>
      <c r="M5023" s="920">
        <f t="shared" si="500"/>
        <v>13.6968</v>
      </c>
      <c r="N5023" s="920">
        <f t="shared" si="501"/>
        <v>20</v>
      </c>
      <c r="O5023" s="918" t="str">
        <f t="shared" si="502"/>
        <v>Mar</v>
      </c>
      <c r="P5023" s="921">
        <f t="shared" si="503"/>
        <v>11</v>
      </c>
    </row>
    <row r="5024" spans="1:16" ht="15" hidden="1" customHeight="1">
      <c r="A5024" s="839">
        <v>62714126</v>
      </c>
      <c r="B5024" s="839" t="s">
        <v>133</v>
      </c>
      <c r="C5024" s="906">
        <v>2600</v>
      </c>
      <c r="D5024" s="907">
        <v>46095</v>
      </c>
      <c r="E5024" s="839" t="s">
        <v>402</v>
      </c>
      <c r="F5024" s="839">
        <v>1419</v>
      </c>
      <c r="G5024" s="916">
        <f>VLOOKUP($A5024,'Tech Litons'!$A:$I,8,FALSE)</f>
        <v>5.2680000000000001E-3</v>
      </c>
      <c r="H5024" s="917">
        <f>VLOOKUP($A5024,'Tech Litons'!$A:$I,9,FALSE)</f>
        <v>130</v>
      </c>
      <c r="I5024" s="917" t="str">
        <f>VLOOKUP($A5024,'Tech Litons'!$A:$C,3,0)</f>
        <v>PG</v>
      </c>
      <c r="J5024" s="918" t="str">
        <f t="shared" si="498"/>
        <v>GDIPG</v>
      </c>
      <c r="K5024" s="919">
        <v>1</v>
      </c>
      <c r="L5024" s="920">
        <f t="shared" si="499"/>
        <v>2600</v>
      </c>
      <c r="M5024" s="920">
        <f t="shared" si="500"/>
        <v>13.6968</v>
      </c>
      <c r="N5024" s="920">
        <f t="shared" si="501"/>
        <v>20</v>
      </c>
      <c r="O5024" s="918" t="str">
        <f t="shared" si="502"/>
        <v>Mar</v>
      </c>
      <c r="P5024" s="921">
        <f t="shared" si="503"/>
        <v>11</v>
      </c>
    </row>
    <row r="5025" spans="1:16" ht="15" hidden="1" customHeight="1">
      <c r="A5025" s="839">
        <v>64776958</v>
      </c>
      <c r="B5025" s="839" t="s">
        <v>133</v>
      </c>
      <c r="C5025" s="906">
        <v>2600</v>
      </c>
      <c r="D5025" s="907">
        <v>46095</v>
      </c>
      <c r="E5025" s="839" t="s">
        <v>292</v>
      </c>
      <c r="F5025" s="839">
        <v>1419</v>
      </c>
      <c r="G5025" s="916">
        <f>VLOOKUP($A5025,'Tech Litons'!$A:$I,8,FALSE)</f>
        <v>5.2680000000000001E-3</v>
      </c>
      <c r="H5025" s="917">
        <f>VLOOKUP($A5025,'Tech Litons'!$A:$I,9,FALSE)</f>
        <v>130</v>
      </c>
      <c r="I5025" s="917" t="str">
        <f>VLOOKUP($A5025,'Tech Litons'!$A:$C,3,0)</f>
        <v>PG</v>
      </c>
      <c r="J5025" s="918" t="str">
        <f t="shared" si="498"/>
        <v>GDIPG</v>
      </c>
      <c r="K5025" s="919">
        <v>1</v>
      </c>
      <c r="L5025" s="920">
        <f t="shared" si="499"/>
        <v>2600</v>
      </c>
      <c r="M5025" s="920">
        <f t="shared" si="500"/>
        <v>13.6968</v>
      </c>
      <c r="N5025" s="920">
        <f t="shared" si="501"/>
        <v>20</v>
      </c>
      <c r="O5025" s="918" t="str">
        <f t="shared" si="502"/>
        <v>Mar</v>
      </c>
      <c r="P5025" s="921">
        <f t="shared" si="503"/>
        <v>11</v>
      </c>
    </row>
    <row r="5026" spans="1:16" ht="15" hidden="1" customHeight="1">
      <c r="A5026" s="839">
        <v>64776958</v>
      </c>
      <c r="B5026" s="839" t="s">
        <v>133</v>
      </c>
      <c r="C5026" s="906">
        <v>2600</v>
      </c>
      <c r="D5026" s="907">
        <v>46095</v>
      </c>
      <c r="E5026" s="839" t="s">
        <v>292</v>
      </c>
      <c r="F5026" s="839">
        <v>1419</v>
      </c>
      <c r="G5026" s="916">
        <f>VLOOKUP($A5026,'Tech Litons'!$A:$I,8,FALSE)</f>
        <v>5.2680000000000001E-3</v>
      </c>
      <c r="H5026" s="917">
        <f>VLOOKUP($A5026,'Tech Litons'!$A:$I,9,FALSE)</f>
        <v>130</v>
      </c>
      <c r="I5026" s="917" t="str">
        <f>VLOOKUP($A5026,'Tech Litons'!$A:$C,3,0)</f>
        <v>PG</v>
      </c>
      <c r="J5026" s="918" t="str">
        <f t="shared" si="498"/>
        <v>GDIPG</v>
      </c>
      <c r="K5026" s="919">
        <v>1</v>
      </c>
      <c r="L5026" s="920">
        <f t="shared" si="499"/>
        <v>2600</v>
      </c>
      <c r="M5026" s="920">
        <f t="shared" si="500"/>
        <v>13.6968</v>
      </c>
      <c r="N5026" s="920">
        <f t="shared" si="501"/>
        <v>20</v>
      </c>
      <c r="O5026" s="918" t="str">
        <f t="shared" si="502"/>
        <v>Mar</v>
      </c>
      <c r="P5026" s="921">
        <f t="shared" si="503"/>
        <v>11</v>
      </c>
    </row>
    <row r="5027" spans="1:16" ht="15" hidden="1" customHeight="1">
      <c r="A5027" s="839">
        <v>64776958</v>
      </c>
      <c r="B5027" s="839" t="s">
        <v>133</v>
      </c>
      <c r="C5027" s="906">
        <v>2600</v>
      </c>
      <c r="D5027" s="907">
        <v>46095</v>
      </c>
      <c r="E5027" s="839" t="s">
        <v>292</v>
      </c>
      <c r="F5027" s="839">
        <v>1419</v>
      </c>
      <c r="G5027" s="916">
        <f>VLOOKUP($A5027,'Tech Litons'!$A:$I,8,FALSE)</f>
        <v>5.2680000000000001E-3</v>
      </c>
      <c r="H5027" s="917">
        <f>VLOOKUP($A5027,'Tech Litons'!$A:$I,9,FALSE)</f>
        <v>130</v>
      </c>
      <c r="I5027" s="917" t="str">
        <f>VLOOKUP($A5027,'Tech Litons'!$A:$C,3,0)</f>
        <v>PG</v>
      </c>
      <c r="J5027" s="918" t="str">
        <f t="shared" si="498"/>
        <v>GDIPG</v>
      </c>
      <c r="K5027" s="919">
        <v>1</v>
      </c>
      <c r="L5027" s="920">
        <f t="shared" si="499"/>
        <v>2600</v>
      </c>
      <c r="M5027" s="920">
        <f t="shared" si="500"/>
        <v>13.6968</v>
      </c>
      <c r="N5027" s="920">
        <f t="shared" si="501"/>
        <v>20</v>
      </c>
      <c r="O5027" s="918" t="str">
        <f t="shared" si="502"/>
        <v>Mar</v>
      </c>
      <c r="P5027" s="921">
        <f t="shared" si="503"/>
        <v>11</v>
      </c>
    </row>
    <row r="5028" spans="1:16" ht="15" hidden="1" customHeight="1">
      <c r="A5028" s="839">
        <v>64776958</v>
      </c>
      <c r="B5028" s="839" t="s">
        <v>133</v>
      </c>
      <c r="C5028" s="906">
        <v>2600</v>
      </c>
      <c r="D5028" s="907">
        <v>46095</v>
      </c>
      <c r="E5028" s="839" t="s">
        <v>292</v>
      </c>
      <c r="F5028" s="839">
        <v>1419</v>
      </c>
      <c r="G5028" s="916">
        <f>VLOOKUP($A5028,'Tech Litons'!$A:$I,8,FALSE)</f>
        <v>5.2680000000000001E-3</v>
      </c>
      <c r="H5028" s="917">
        <f>VLOOKUP($A5028,'Tech Litons'!$A:$I,9,FALSE)</f>
        <v>130</v>
      </c>
      <c r="I5028" s="917" t="str">
        <f>VLOOKUP($A5028,'Tech Litons'!$A:$C,3,0)</f>
        <v>PG</v>
      </c>
      <c r="J5028" s="918" t="str">
        <f t="shared" si="498"/>
        <v>GDIPG</v>
      </c>
      <c r="K5028" s="919">
        <v>1</v>
      </c>
      <c r="L5028" s="920">
        <f t="shared" si="499"/>
        <v>2600</v>
      </c>
      <c r="M5028" s="920">
        <f t="shared" si="500"/>
        <v>13.6968</v>
      </c>
      <c r="N5028" s="920">
        <f t="shared" si="501"/>
        <v>20</v>
      </c>
      <c r="O5028" s="918" t="str">
        <f t="shared" si="502"/>
        <v>Mar</v>
      </c>
      <c r="P5028" s="921">
        <f t="shared" si="503"/>
        <v>11</v>
      </c>
    </row>
    <row r="5029" spans="1:16" ht="15" hidden="1" customHeight="1">
      <c r="A5029" s="839">
        <v>64776958</v>
      </c>
      <c r="B5029" s="839" t="s">
        <v>133</v>
      </c>
      <c r="C5029" s="906">
        <v>2600</v>
      </c>
      <c r="D5029" s="907">
        <v>46095</v>
      </c>
      <c r="E5029" s="839" t="s">
        <v>292</v>
      </c>
      <c r="F5029" s="839">
        <v>1419</v>
      </c>
      <c r="G5029" s="916">
        <f>VLOOKUP($A5029,'Tech Litons'!$A:$I,8,FALSE)</f>
        <v>5.2680000000000001E-3</v>
      </c>
      <c r="H5029" s="917">
        <f>VLOOKUP($A5029,'Tech Litons'!$A:$I,9,FALSE)</f>
        <v>130</v>
      </c>
      <c r="I5029" s="917" t="str">
        <f>VLOOKUP($A5029,'Tech Litons'!$A:$C,3,0)</f>
        <v>PG</v>
      </c>
      <c r="J5029" s="918" t="str">
        <f t="shared" si="498"/>
        <v>GDIPG</v>
      </c>
      <c r="K5029" s="919">
        <v>1</v>
      </c>
      <c r="L5029" s="920">
        <f t="shared" si="499"/>
        <v>2600</v>
      </c>
      <c r="M5029" s="920">
        <f t="shared" si="500"/>
        <v>13.6968</v>
      </c>
      <c r="N5029" s="920">
        <f t="shared" si="501"/>
        <v>20</v>
      </c>
      <c r="O5029" s="918" t="str">
        <f t="shared" si="502"/>
        <v>Mar</v>
      </c>
      <c r="P5029" s="921">
        <f t="shared" si="503"/>
        <v>11</v>
      </c>
    </row>
    <row r="5030" spans="1:16" ht="15" hidden="1" customHeight="1">
      <c r="A5030" s="839">
        <v>64776958</v>
      </c>
      <c r="B5030" s="839" t="s">
        <v>133</v>
      </c>
      <c r="C5030" s="906">
        <v>2600</v>
      </c>
      <c r="D5030" s="907">
        <v>46095</v>
      </c>
      <c r="E5030" s="839" t="s">
        <v>292</v>
      </c>
      <c r="F5030" s="839">
        <v>1419</v>
      </c>
      <c r="G5030" s="916">
        <f>VLOOKUP($A5030,'Tech Litons'!$A:$I,8,FALSE)</f>
        <v>5.2680000000000001E-3</v>
      </c>
      <c r="H5030" s="917">
        <f>VLOOKUP($A5030,'Tech Litons'!$A:$I,9,FALSE)</f>
        <v>130</v>
      </c>
      <c r="I5030" s="917" t="str">
        <f>VLOOKUP($A5030,'Tech Litons'!$A:$C,3,0)</f>
        <v>PG</v>
      </c>
      <c r="J5030" s="918" t="str">
        <f t="shared" si="498"/>
        <v>GDIPG</v>
      </c>
      <c r="K5030" s="919">
        <v>1</v>
      </c>
      <c r="L5030" s="920">
        <f t="shared" si="499"/>
        <v>2600</v>
      </c>
      <c r="M5030" s="920">
        <f t="shared" si="500"/>
        <v>13.6968</v>
      </c>
      <c r="N5030" s="920">
        <f t="shared" si="501"/>
        <v>20</v>
      </c>
      <c r="O5030" s="918" t="str">
        <f t="shared" si="502"/>
        <v>Mar</v>
      </c>
      <c r="P5030" s="921">
        <f t="shared" si="503"/>
        <v>11</v>
      </c>
    </row>
    <row r="5031" spans="1:16" ht="15" hidden="1" customHeight="1">
      <c r="A5031" s="839">
        <v>64776958</v>
      </c>
      <c r="B5031" s="839" t="s">
        <v>133</v>
      </c>
      <c r="C5031" s="906">
        <v>2600</v>
      </c>
      <c r="D5031" s="907">
        <v>46095</v>
      </c>
      <c r="E5031" s="839" t="s">
        <v>292</v>
      </c>
      <c r="F5031" s="839">
        <v>1419</v>
      </c>
      <c r="G5031" s="916">
        <f>VLOOKUP($A5031,'Tech Litons'!$A:$I,8,FALSE)</f>
        <v>5.2680000000000001E-3</v>
      </c>
      <c r="H5031" s="917">
        <f>VLOOKUP($A5031,'Tech Litons'!$A:$I,9,FALSE)</f>
        <v>130</v>
      </c>
      <c r="I5031" s="917" t="str">
        <f>VLOOKUP($A5031,'Tech Litons'!$A:$C,3,0)</f>
        <v>PG</v>
      </c>
      <c r="J5031" s="918" t="str">
        <f t="shared" si="498"/>
        <v>GDIPG</v>
      </c>
      <c r="K5031" s="919">
        <v>1</v>
      </c>
      <c r="L5031" s="920">
        <f t="shared" si="499"/>
        <v>2600</v>
      </c>
      <c r="M5031" s="920">
        <f t="shared" si="500"/>
        <v>13.6968</v>
      </c>
      <c r="N5031" s="920">
        <f t="shared" si="501"/>
        <v>20</v>
      </c>
      <c r="O5031" s="918" t="str">
        <f t="shared" si="502"/>
        <v>Mar</v>
      </c>
      <c r="P5031" s="921">
        <f t="shared" si="503"/>
        <v>11</v>
      </c>
    </row>
    <row r="5032" spans="1:16" ht="15" hidden="1" customHeight="1">
      <c r="A5032" s="839">
        <v>64833353</v>
      </c>
      <c r="B5032" s="839" t="s">
        <v>133</v>
      </c>
      <c r="C5032" s="906">
        <v>2600</v>
      </c>
      <c r="D5032" s="907">
        <v>46097</v>
      </c>
      <c r="E5032" s="839" t="s">
        <v>358</v>
      </c>
      <c r="F5032" s="839">
        <v>3989</v>
      </c>
      <c r="G5032" s="916">
        <f>VLOOKUP($A5032,'Tech Litons'!$A:$I,8,FALSE)</f>
        <v>5.28E-3</v>
      </c>
      <c r="H5032" s="917">
        <f>VLOOKUP($A5032,'Tech Litons'!$A:$I,9,FALSE)</f>
        <v>130</v>
      </c>
      <c r="I5032" s="917" t="str">
        <f>VLOOKUP($A5032,'Tech Litons'!$A:$C,3,0)</f>
        <v>PG</v>
      </c>
      <c r="J5032" s="918" t="str">
        <f t="shared" si="498"/>
        <v>GDIPG</v>
      </c>
      <c r="K5032" s="919">
        <v>1</v>
      </c>
      <c r="L5032" s="920">
        <f t="shared" si="499"/>
        <v>2600</v>
      </c>
      <c r="M5032" s="920">
        <f t="shared" si="500"/>
        <v>13.728</v>
      </c>
      <c r="N5032" s="920">
        <f t="shared" si="501"/>
        <v>20</v>
      </c>
      <c r="O5032" s="918" t="str">
        <f t="shared" si="502"/>
        <v>Mar</v>
      </c>
      <c r="P5032" s="921">
        <f t="shared" si="503"/>
        <v>12</v>
      </c>
    </row>
    <row r="5033" spans="1:16" ht="15" hidden="1" customHeight="1">
      <c r="A5033" s="839">
        <v>62714126</v>
      </c>
      <c r="B5033" s="839" t="s">
        <v>133</v>
      </c>
      <c r="C5033" s="906">
        <v>2600</v>
      </c>
      <c r="D5033" s="907">
        <v>46097</v>
      </c>
      <c r="E5033" s="839" t="s">
        <v>402</v>
      </c>
      <c r="F5033" s="839">
        <v>1419</v>
      </c>
      <c r="G5033" s="916">
        <f>VLOOKUP($A5033,'Tech Litons'!$A:$I,8,FALSE)</f>
        <v>5.2680000000000001E-3</v>
      </c>
      <c r="H5033" s="917">
        <f>VLOOKUP($A5033,'Tech Litons'!$A:$I,9,FALSE)</f>
        <v>130</v>
      </c>
      <c r="I5033" s="917" t="str">
        <f>VLOOKUP($A5033,'Tech Litons'!$A:$C,3,0)</f>
        <v>PG</v>
      </c>
      <c r="J5033" s="918" t="str">
        <f t="shared" si="498"/>
        <v>GDIPG</v>
      </c>
      <c r="K5033" s="919">
        <v>1</v>
      </c>
      <c r="L5033" s="920">
        <f t="shared" si="499"/>
        <v>2600</v>
      </c>
      <c r="M5033" s="920">
        <f t="shared" si="500"/>
        <v>13.6968</v>
      </c>
      <c r="N5033" s="920">
        <f t="shared" si="501"/>
        <v>20</v>
      </c>
      <c r="O5033" s="918" t="str">
        <f t="shared" si="502"/>
        <v>Mar</v>
      </c>
      <c r="P5033" s="921">
        <f t="shared" si="503"/>
        <v>12</v>
      </c>
    </row>
    <row r="5034" spans="1:16" ht="15" hidden="1" customHeight="1">
      <c r="A5034" s="839">
        <v>64776958</v>
      </c>
      <c r="B5034" s="839" t="s">
        <v>133</v>
      </c>
      <c r="C5034" s="906">
        <v>2600</v>
      </c>
      <c r="D5034" s="907">
        <v>46097</v>
      </c>
      <c r="E5034" s="839" t="s">
        <v>292</v>
      </c>
      <c r="F5034" s="839">
        <v>1419</v>
      </c>
      <c r="G5034" s="916">
        <f>VLOOKUP($A5034,'Tech Litons'!$A:$I,8,FALSE)</f>
        <v>5.2680000000000001E-3</v>
      </c>
      <c r="H5034" s="917">
        <f>VLOOKUP($A5034,'Tech Litons'!$A:$I,9,FALSE)</f>
        <v>130</v>
      </c>
      <c r="I5034" s="917" t="str">
        <f>VLOOKUP($A5034,'Tech Litons'!$A:$C,3,0)</f>
        <v>PG</v>
      </c>
      <c r="J5034" s="918" t="str">
        <f t="shared" si="498"/>
        <v>GDIPG</v>
      </c>
      <c r="K5034" s="919">
        <v>1</v>
      </c>
      <c r="L5034" s="920">
        <f t="shared" si="499"/>
        <v>2600</v>
      </c>
      <c r="M5034" s="920">
        <f t="shared" si="500"/>
        <v>13.6968</v>
      </c>
      <c r="N5034" s="920">
        <f t="shared" si="501"/>
        <v>20</v>
      </c>
      <c r="O5034" s="918" t="str">
        <f t="shared" si="502"/>
        <v>Mar</v>
      </c>
      <c r="P5034" s="921">
        <f t="shared" si="503"/>
        <v>12</v>
      </c>
    </row>
    <row r="5035" spans="1:16" ht="15" hidden="1" customHeight="1">
      <c r="A5035" s="839">
        <v>62714126</v>
      </c>
      <c r="B5035" s="839" t="s">
        <v>133</v>
      </c>
      <c r="C5035" s="906">
        <v>2600</v>
      </c>
      <c r="D5035" s="907">
        <v>46098</v>
      </c>
      <c r="E5035" s="839" t="s">
        <v>402</v>
      </c>
      <c r="F5035" s="839">
        <v>1419</v>
      </c>
      <c r="G5035" s="916">
        <f>VLOOKUP($A5035,'Tech Litons'!$A:$I,8,FALSE)</f>
        <v>5.2680000000000001E-3</v>
      </c>
      <c r="H5035" s="917">
        <f>VLOOKUP($A5035,'Tech Litons'!$A:$I,9,FALSE)</f>
        <v>130</v>
      </c>
      <c r="I5035" s="917" t="str">
        <f>VLOOKUP($A5035,'Tech Litons'!$A:$C,3,0)</f>
        <v>PG</v>
      </c>
      <c r="J5035" s="918" t="str">
        <f t="shared" si="498"/>
        <v>GDIPG</v>
      </c>
      <c r="K5035" s="919">
        <v>1</v>
      </c>
      <c r="L5035" s="920">
        <f t="shared" si="499"/>
        <v>2600</v>
      </c>
      <c r="M5035" s="920">
        <f t="shared" si="500"/>
        <v>13.6968</v>
      </c>
      <c r="N5035" s="920">
        <f t="shared" si="501"/>
        <v>20</v>
      </c>
      <c r="O5035" s="918" t="str">
        <f t="shared" si="502"/>
        <v>Mar</v>
      </c>
      <c r="P5035" s="921">
        <f t="shared" si="503"/>
        <v>12</v>
      </c>
    </row>
    <row r="5036" spans="1:16" ht="15" hidden="1" customHeight="1">
      <c r="A5036" s="839">
        <v>62714126</v>
      </c>
      <c r="B5036" s="839" t="s">
        <v>133</v>
      </c>
      <c r="C5036" s="906">
        <v>2600</v>
      </c>
      <c r="D5036" s="907">
        <v>46098</v>
      </c>
      <c r="E5036" s="839" t="s">
        <v>402</v>
      </c>
      <c r="F5036" s="839">
        <v>1419</v>
      </c>
      <c r="G5036" s="916">
        <f>VLOOKUP($A5036,'Tech Litons'!$A:$I,8,FALSE)</f>
        <v>5.2680000000000001E-3</v>
      </c>
      <c r="H5036" s="917">
        <f>VLOOKUP($A5036,'Tech Litons'!$A:$I,9,FALSE)</f>
        <v>130</v>
      </c>
      <c r="I5036" s="917" t="str">
        <f>VLOOKUP($A5036,'Tech Litons'!$A:$C,3,0)</f>
        <v>PG</v>
      </c>
      <c r="J5036" s="918" t="str">
        <f t="shared" si="498"/>
        <v>GDIPG</v>
      </c>
      <c r="K5036" s="919">
        <v>1</v>
      </c>
      <c r="L5036" s="920">
        <f t="shared" si="499"/>
        <v>2600</v>
      </c>
      <c r="M5036" s="920">
        <f t="shared" si="500"/>
        <v>13.6968</v>
      </c>
      <c r="N5036" s="920">
        <f t="shared" si="501"/>
        <v>20</v>
      </c>
      <c r="O5036" s="918" t="str">
        <f t="shared" si="502"/>
        <v>Mar</v>
      </c>
      <c r="P5036" s="921">
        <f t="shared" si="503"/>
        <v>12</v>
      </c>
    </row>
    <row r="5037" spans="1:16" ht="15" hidden="1" customHeight="1">
      <c r="A5037" s="839">
        <v>62714126</v>
      </c>
      <c r="B5037" s="839" t="s">
        <v>133</v>
      </c>
      <c r="C5037" s="906">
        <v>2600</v>
      </c>
      <c r="D5037" s="907">
        <v>46098</v>
      </c>
      <c r="E5037" s="839" t="s">
        <v>402</v>
      </c>
      <c r="F5037" s="839">
        <v>1419</v>
      </c>
      <c r="G5037" s="916">
        <f>VLOOKUP($A5037,'Tech Litons'!$A:$I,8,FALSE)</f>
        <v>5.2680000000000001E-3</v>
      </c>
      <c r="H5037" s="917">
        <f>VLOOKUP($A5037,'Tech Litons'!$A:$I,9,FALSE)</f>
        <v>130</v>
      </c>
      <c r="I5037" s="917" t="str">
        <f>VLOOKUP($A5037,'Tech Litons'!$A:$C,3,0)</f>
        <v>PG</v>
      </c>
      <c r="J5037" s="918" t="str">
        <f t="shared" si="498"/>
        <v>GDIPG</v>
      </c>
      <c r="K5037" s="919">
        <v>1</v>
      </c>
      <c r="L5037" s="920">
        <f t="shared" si="499"/>
        <v>2600</v>
      </c>
      <c r="M5037" s="920">
        <f t="shared" si="500"/>
        <v>13.6968</v>
      </c>
      <c r="N5037" s="920">
        <f t="shared" si="501"/>
        <v>20</v>
      </c>
      <c r="O5037" s="918" t="str">
        <f t="shared" si="502"/>
        <v>Mar</v>
      </c>
      <c r="P5037" s="921">
        <f t="shared" si="503"/>
        <v>12</v>
      </c>
    </row>
    <row r="5038" spans="1:16" ht="15" hidden="1" customHeight="1">
      <c r="A5038" s="839">
        <v>64833353</v>
      </c>
      <c r="B5038" s="839" t="s">
        <v>133</v>
      </c>
      <c r="C5038" s="906">
        <v>2600</v>
      </c>
      <c r="D5038" s="907">
        <v>46098</v>
      </c>
      <c r="E5038" s="839" t="s">
        <v>358</v>
      </c>
      <c r="F5038" s="839">
        <v>1419</v>
      </c>
      <c r="G5038" s="916">
        <f>VLOOKUP($A5038,'Tech Litons'!$A:$I,8,FALSE)</f>
        <v>5.28E-3</v>
      </c>
      <c r="H5038" s="917">
        <f>VLOOKUP($A5038,'Tech Litons'!$A:$I,9,FALSE)</f>
        <v>130</v>
      </c>
      <c r="I5038" s="917" t="str">
        <f>VLOOKUP($A5038,'Tech Litons'!$A:$C,3,0)</f>
        <v>PG</v>
      </c>
      <c r="J5038" s="918" t="str">
        <f t="shared" ref="J5038:J5101" si="504">B5038&amp;I5038</f>
        <v>GDIPG</v>
      </c>
      <c r="K5038" s="919">
        <v>1</v>
      </c>
      <c r="L5038" s="920">
        <f t="shared" ref="L5038:L5101" si="505">C5038*$K5038</f>
        <v>2600</v>
      </c>
      <c r="M5038" s="920">
        <f t="shared" ref="M5038:M5101" si="506">L5038*G5038</f>
        <v>13.728</v>
      </c>
      <c r="N5038" s="920">
        <f t="shared" ref="N5038:N5101" si="507">L5038/H5038</f>
        <v>20</v>
      </c>
      <c r="O5038" s="918" t="str">
        <f t="shared" ref="O5038:O5101" si="508">TEXT(D5038,"MMM")</f>
        <v>Mar</v>
      </c>
      <c r="P5038" s="921">
        <f t="shared" ref="P5038:P5101" si="509">WEEKNUM(D5038)</f>
        <v>12</v>
      </c>
    </row>
    <row r="5039" spans="1:16" ht="15" hidden="1" customHeight="1">
      <c r="A5039" s="839">
        <v>64833353</v>
      </c>
      <c r="B5039" s="839" t="s">
        <v>133</v>
      </c>
      <c r="C5039" s="906">
        <v>2600</v>
      </c>
      <c r="D5039" s="907">
        <v>46099</v>
      </c>
      <c r="E5039" s="839" t="s">
        <v>358</v>
      </c>
      <c r="F5039" s="839">
        <v>3989</v>
      </c>
      <c r="G5039" s="916">
        <f>VLOOKUP($A5039,'Tech Litons'!$A:$I,8,FALSE)</f>
        <v>5.28E-3</v>
      </c>
      <c r="H5039" s="917">
        <f>VLOOKUP($A5039,'Tech Litons'!$A:$I,9,FALSE)</f>
        <v>130</v>
      </c>
      <c r="I5039" s="917" t="str">
        <f>VLOOKUP($A5039,'Tech Litons'!$A:$C,3,0)</f>
        <v>PG</v>
      </c>
      <c r="J5039" s="918" t="str">
        <f t="shared" si="504"/>
        <v>GDIPG</v>
      </c>
      <c r="K5039" s="919">
        <v>1</v>
      </c>
      <c r="L5039" s="920">
        <f t="shared" si="505"/>
        <v>2600</v>
      </c>
      <c r="M5039" s="920">
        <f t="shared" si="506"/>
        <v>13.728</v>
      </c>
      <c r="N5039" s="920">
        <f t="shared" si="507"/>
        <v>20</v>
      </c>
      <c r="O5039" s="918" t="str">
        <f t="shared" si="508"/>
        <v>Mar</v>
      </c>
      <c r="P5039" s="921">
        <f t="shared" si="509"/>
        <v>12</v>
      </c>
    </row>
    <row r="5040" spans="1:16" ht="15" hidden="1" customHeight="1">
      <c r="A5040" s="839">
        <v>62714126</v>
      </c>
      <c r="B5040" s="839" t="s">
        <v>133</v>
      </c>
      <c r="C5040" s="906">
        <v>2600</v>
      </c>
      <c r="D5040" s="907">
        <v>46099</v>
      </c>
      <c r="E5040" s="839" t="s">
        <v>402</v>
      </c>
      <c r="F5040" s="839">
        <v>3989</v>
      </c>
      <c r="G5040" s="916">
        <f>VLOOKUP($A5040,'Tech Litons'!$A:$I,8,FALSE)</f>
        <v>5.2680000000000001E-3</v>
      </c>
      <c r="H5040" s="917">
        <f>VLOOKUP($A5040,'Tech Litons'!$A:$I,9,FALSE)</f>
        <v>130</v>
      </c>
      <c r="I5040" s="917" t="str">
        <f>VLOOKUP($A5040,'Tech Litons'!$A:$C,3,0)</f>
        <v>PG</v>
      </c>
      <c r="J5040" s="918" t="str">
        <f t="shared" si="504"/>
        <v>GDIPG</v>
      </c>
      <c r="K5040" s="919">
        <v>1</v>
      </c>
      <c r="L5040" s="920">
        <f t="shared" si="505"/>
        <v>2600</v>
      </c>
      <c r="M5040" s="920">
        <f t="shared" si="506"/>
        <v>13.6968</v>
      </c>
      <c r="N5040" s="920">
        <f t="shared" si="507"/>
        <v>20</v>
      </c>
      <c r="O5040" s="918" t="str">
        <f t="shared" si="508"/>
        <v>Mar</v>
      </c>
      <c r="P5040" s="921">
        <f t="shared" si="509"/>
        <v>12</v>
      </c>
    </row>
    <row r="5041" spans="1:16" ht="15" hidden="1" customHeight="1">
      <c r="A5041" s="839">
        <v>62714126</v>
      </c>
      <c r="B5041" s="839" t="s">
        <v>133</v>
      </c>
      <c r="C5041" s="906">
        <v>2600</v>
      </c>
      <c r="D5041" s="907">
        <v>46099</v>
      </c>
      <c r="E5041" s="839" t="s">
        <v>402</v>
      </c>
      <c r="F5041" s="839">
        <v>3989</v>
      </c>
      <c r="G5041" s="916">
        <f>VLOOKUP($A5041,'Tech Litons'!$A:$I,8,FALSE)</f>
        <v>5.2680000000000001E-3</v>
      </c>
      <c r="H5041" s="917">
        <f>VLOOKUP($A5041,'Tech Litons'!$A:$I,9,FALSE)</f>
        <v>130</v>
      </c>
      <c r="I5041" s="917" t="str">
        <f>VLOOKUP($A5041,'Tech Litons'!$A:$C,3,0)</f>
        <v>PG</v>
      </c>
      <c r="J5041" s="918" t="str">
        <f t="shared" si="504"/>
        <v>GDIPG</v>
      </c>
      <c r="K5041" s="919">
        <v>1</v>
      </c>
      <c r="L5041" s="920">
        <f t="shared" si="505"/>
        <v>2600</v>
      </c>
      <c r="M5041" s="920">
        <f t="shared" si="506"/>
        <v>13.6968</v>
      </c>
      <c r="N5041" s="920">
        <f t="shared" si="507"/>
        <v>20</v>
      </c>
      <c r="O5041" s="918" t="str">
        <f t="shared" si="508"/>
        <v>Mar</v>
      </c>
      <c r="P5041" s="921">
        <f t="shared" si="509"/>
        <v>12</v>
      </c>
    </row>
    <row r="5042" spans="1:16" ht="15" hidden="1" customHeight="1">
      <c r="A5042" s="839">
        <v>62714126</v>
      </c>
      <c r="B5042" s="839" t="s">
        <v>133</v>
      </c>
      <c r="C5042" s="906">
        <v>2600</v>
      </c>
      <c r="D5042" s="907">
        <v>46099</v>
      </c>
      <c r="E5042" s="839" t="s">
        <v>402</v>
      </c>
      <c r="F5042" s="839">
        <v>3989</v>
      </c>
      <c r="G5042" s="916">
        <f>VLOOKUP($A5042,'Tech Litons'!$A:$I,8,FALSE)</f>
        <v>5.2680000000000001E-3</v>
      </c>
      <c r="H5042" s="917">
        <f>VLOOKUP($A5042,'Tech Litons'!$A:$I,9,FALSE)</f>
        <v>130</v>
      </c>
      <c r="I5042" s="917" t="str">
        <f>VLOOKUP($A5042,'Tech Litons'!$A:$C,3,0)</f>
        <v>PG</v>
      </c>
      <c r="J5042" s="918" t="str">
        <f t="shared" si="504"/>
        <v>GDIPG</v>
      </c>
      <c r="K5042" s="919">
        <v>1</v>
      </c>
      <c r="L5042" s="920">
        <f t="shared" si="505"/>
        <v>2600</v>
      </c>
      <c r="M5042" s="920">
        <f t="shared" si="506"/>
        <v>13.6968</v>
      </c>
      <c r="N5042" s="920">
        <f t="shared" si="507"/>
        <v>20</v>
      </c>
      <c r="O5042" s="918" t="str">
        <f t="shared" si="508"/>
        <v>Mar</v>
      </c>
      <c r="P5042" s="921">
        <f t="shared" si="509"/>
        <v>12</v>
      </c>
    </row>
    <row r="5043" spans="1:16" ht="15" hidden="1" customHeight="1">
      <c r="A5043" s="839">
        <v>62714126</v>
      </c>
      <c r="B5043" s="839" t="s">
        <v>133</v>
      </c>
      <c r="C5043" s="906">
        <v>2600</v>
      </c>
      <c r="D5043" s="907">
        <v>46099</v>
      </c>
      <c r="E5043" s="839" t="s">
        <v>402</v>
      </c>
      <c r="F5043" s="839">
        <v>1419</v>
      </c>
      <c r="G5043" s="916">
        <f>VLOOKUP($A5043,'Tech Litons'!$A:$I,8,FALSE)</f>
        <v>5.2680000000000001E-3</v>
      </c>
      <c r="H5043" s="917">
        <f>VLOOKUP($A5043,'Tech Litons'!$A:$I,9,FALSE)</f>
        <v>130</v>
      </c>
      <c r="I5043" s="917" t="str">
        <f>VLOOKUP($A5043,'Tech Litons'!$A:$C,3,0)</f>
        <v>PG</v>
      </c>
      <c r="J5043" s="918" t="str">
        <f t="shared" si="504"/>
        <v>GDIPG</v>
      </c>
      <c r="K5043" s="919">
        <v>1</v>
      </c>
      <c r="L5043" s="920">
        <f t="shared" si="505"/>
        <v>2600</v>
      </c>
      <c r="M5043" s="920">
        <f t="shared" si="506"/>
        <v>13.6968</v>
      </c>
      <c r="N5043" s="920">
        <f t="shared" si="507"/>
        <v>20</v>
      </c>
      <c r="O5043" s="918" t="str">
        <f t="shared" si="508"/>
        <v>Mar</v>
      </c>
      <c r="P5043" s="921">
        <f t="shared" si="509"/>
        <v>12</v>
      </c>
    </row>
    <row r="5044" spans="1:16" ht="15" hidden="1" customHeight="1">
      <c r="A5044" s="839">
        <v>62714126</v>
      </c>
      <c r="B5044" s="839" t="s">
        <v>133</v>
      </c>
      <c r="C5044" s="906">
        <v>2600</v>
      </c>
      <c r="D5044" s="907">
        <v>46099</v>
      </c>
      <c r="E5044" s="839" t="s">
        <v>402</v>
      </c>
      <c r="F5044" s="839">
        <v>1419</v>
      </c>
      <c r="G5044" s="916">
        <f>VLOOKUP($A5044,'Tech Litons'!$A:$I,8,FALSE)</f>
        <v>5.2680000000000001E-3</v>
      </c>
      <c r="H5044" s="917">
        <f>VLOOKUP($A5044,'Tech Litons'!$A:$I,9,FALSE)</f>
        <v>130</v>
      </c>
      <c r="I5044" s="917" t="str">
        <f>VLOOKUP($A5044,'Tech Litons'!$A:$C,3,0)</f>
        <v>PG</v>
      </c>
      <c r="J5044" s="918" t="str">
        <f t="shared" si="504"/>
        <v>GDIPG</v>
      </c>
      <c r="K5044" s="919">
        <v>1</v>
      </c>
      <c r="L5044" s="920">
        <f t="shared" si="505"/>
        <v>2600</v>
      </c>
      <c r="M5044" s="920">
        <f t="shared" si="506"/>
        <v>13.6968</v>
      </c>
      <c r="N5044" s="920">
        <f t="shared" si="507"/>
        <v>20</v>
      </c>
      <c r="O5044" s="918" t="str">
        <f t="shared" si="508"/>
        <v>Mar</v>
      </c>
      <c r="P5044" s="921">
        <f t="shared" si="509"/>
        <v>12</v>
      </c>
    </row>
    <row r="5045" spans="1:16" ht="15" hidden="1" customHeight="1">
      <c r="A5045" s="839">
        <v>64833353</v>
      </c>
      <c r="B5045" s="839" t="s">
        <v>133</v>
      </c>
      <c r="C5045" s="906">
        <v>2600</v>
      </c>
      <c r="D5045" s="907">
        <v>46099</v>
      </c>
      <c r="E5045" s="839" t="s">
        <v>358</v>
      </c>
      <c r="F5045" s="839">
        <v>1419</v>
      </c>
      <c r="G5045" s="916">
        <f>VLOOKUP($A5045,'Tech Litons'!$A:$I,8,FALSE)</f>
        <v>5.28E-3</v>
      </c>
      <c r="H5045" s="917">
        <f>VLOOKUP($A5045,'Tech Litons'!$A:$I,9,FALSE)</f>
        <v>130</v>
      </c>
      <c r="I5045" s="917" t="str">
        <f>VLOOKUP($A5045,'Tech Litons'!$A:$C,3,0)</f>
        <v>PG</v>
      </c>
      <c r="J5045" s="918" t="str">
        <f t="shared" si="504"/>
        <v>GDIPG</v>
      </c>
      <c r="K5045" s="919">
        <v>1</v>
      </c>
      <c r="L5045" s="920">
        <f t="shared" si="505"/>
        <v>2600</v>
      </c>
      <c r="M5045" s="920">
        <f t="shared" si="506"/>
        <v>13.728</v>
      </c>
      <c r="N5045" s="920">
        <f t="shared" si="507"/>
        <v>20</v>
      </c>
      <c r="O5045" s="918" t="str">
        <f t="shared" si="508"/>
        <v>Mar</v>
      </c>
      <c r="P5045" s="921">
        <f t="shared" si="509"/>
        <v>12</v>
      </c>
    </row>
    <row r="5046" spans="1:16" ht="15" hidden="1" customHeight="1">
      <c r="A5046" s="839">
        <v>64833353</v>
      </c>
      <c r="B5046" s="839" t="s">
        <v>133</v>
      </c>
      <c r="C5046" s="906">
        <v>2600</v>
      </c>
      <c r="D5046" s="907">
        <v>46099</v>
      </c>
      <c r="E5046" s="839" t="s">
        <v>358</v>
      </c>
      <c r="F5046" s="839">
        <v>1419</v>
      </c>
      <c r="G5046" s="916">
        <f>VLOOKUP($A5046,'Tech Litons'!$A:$I,8,FALSE)</f>
        <v>5.28E-3</v>
      </c>
      <c r="H5046" s="917">
        <f>VLOOKUP($A5046,'Tech Litons'!$A:$I,9,FALSE)</f>
        <v>130</v>
      </c>
      <c r="I5046" s="917" t="str">
        <f>VLOOKUP($A5046,'Tech Litons'!$A:$C,3,0)</f>
        <v>PG</v>
      </c>
      <c r="J5046" s="918" t="str">
        <f t="shared" si="504"/>
        <v>GDIPG</v>
      </c>
      <c r="K5046" s="919">
        <v>1</v>
      </c>
      <c r="L5046" s="920">
        <f t="shared" si="505"/>
        <v>2600</v>
      </c>
      <c r="M5046" s="920">
        <f t="shared" si="506"/>
        <v>13.728</v>
      </c>
      <c r="N5046" s="920">
        <f t="shared" si="507"/>
        <v>20</v>
      </c>
      <c r="O5046" s="918" t="str">
        <f t="shared" si="508"/>
        <v>Mar</v>
      </c>
      <c r="P5046" s="921">
        <f t="shared" si="509"/>
        <v>12</v>
      </c>
    </row>
    <row r="5047" spans="1:16" ht="15" hidden="1" customHeight="1">
      <c r="A5047" s="839">
        <v>62714126</v>
      </c>
      <c r="B5047" s="839" t="s">
        <v>133</v>
      </c>
      <c r="C5047" s="906">
        <v>2600</v>
      </c>
      <c r="D5047" s="907">
        <v>46099</v>
      </c>
      <c r="E5047" s="839" t="s">
        <v>402</v>
      </c>
      <c r="F5047" s="839">
        <v>1419</v>
      </c>
      <c r="G5047" s="916">
        <f>VLOOKUP($A5047,'Tech Litons'!$A:$I,8,FALSE)</f>
        <v>5.2680000000000001E-3</v>
      </c>
      <c r="H5047" s="917">
        <f>VLOOKUP($A5047,'Tech Litons'!$A:$I,9,FALSE)</f>
        <v>130</v>
      </c>
      <c r="I5047" s="917" t="str">
        <f>VLOOKUP($A5047,'Tech Litons'!$A:$C,3,0)</f>
        <v>PG</v>
      </c>
      <c r="J5047" s="918" t="str">
        <f t="shared" si="504"/>
        <v>GDIPG</v>
      </c>
      <c r="K5047" s="919">
        <v>1</v>
      </c>
      <c r="L5047" s="920">
        <f t="shared" si="505"/>
        <v>2600</v>
      </c>
      <c r="M5047" s="920">
        <f t="shared" si="506"/>
        <v>13.6968</v>
      </c>
      <c r="N5047" s="920">
        <f t="shared" si="507"/>
        <v>20</v>
      </c>
      <c r="O5047" s="918" t="str">
        <f t="shared" si="508"/>
        <v>Mar</v>
      </c>
      <c r="P5047" s="921">
        <f t="shared" si="509"/>
        <v>12</v>
      </c>
    </row>
    <row r="5048" spans="1:16" ht="15" hidden="1" customHeight="1">
      <c r="A5048" s="839">
        <v>62714126</v>
      </c>
      <c r="B5048" s="839" t="s">
        <v>133</v>
      </c>
      <c r="C5048" s="906">
        <v>2600</v>
      </c>
      <c r="D5048" s="907">
        <v>46099</v>
      </c>
      <c r="E5048" s="839" t="s">
        <v>402</v>
      </c>
      <c r="F5048" s="839">
        <v>1419</v>
      </c>
      <c r="G5048" s="916">
        <f>VLOOKUP($A5048,'Tech Litons'!$A:$I,8,FALSE)</f>
        <v>5.2680000000000001E-3</v>
      </c>
      <c r="H5048" s="917">
        <f>VLOOKUP($A5048,'Tech Litons'!$A:$I,9,FALSE)</f>
        <v>130</v>
      </c>
      <c r="I5048" s="917" t="str">
        <f>VLOOKUP($A5048,'Tech Litons'!$A:$C,3,0)</f>
        <v>PG</v>
      </c>
      <c r="J5048" s="918" t="str">
        <f t="shared" si="504"/>
        <v>GDIPG</v>
      </c>
      <c r="K5048" s="919">
        <v>1</v>
      </c>
      <c r="L5048" s="920">
        <f t="shared" si="505"/>
        <v>2600</v>
      </c>
      <c r="M5048" s="920">
        <f t="shared" si="506"/>
        <v>13.6968</v>
      </c>
      <c r="N5048" s="920">
        <f t="shared" si="507"/>
        <v>20</v>
      </c>
      <c r="O5048" s="918" t="str">
        <f t="shared" si="508"/>
        <v>Mar</v>
      </c>
      <c r="P5048" s="921">
        <f t="shared" si="509"/>
        <v>12</v>
      </c>
    </row>
    <row r="5049" spans="1:16" ht="15" hidden="1" customHeight="1">
      <c r="A5049" s="839">
        <v>62714126</v>
      </c>
      <c r="B5049" s="839" t="s">
        <v>133</v>
      </c>
      <c r="C5049" s="906">
        <v>2600</v>
      </c>
      <c r="D5049" s="907">
        <v>46100</v>
      </c>
      <c r="E5049" s="839" t="s">
        <v>402</v>
      </c>
      <c r="F5049" s="839">
        <v>1419</v>
      </c>
      <c r="G5049" s="916">
        <f>VLOOKUP($A5049,'Tech Litons'!$A:$I,8,FALSE)</f>
        <v>5.2680000000000001E-3</v>
      </c>
      <c r="H5049" s="917">
        <f>VLOOKUP($A5049,'Tech Litons'!$A:$I,9,FALSE)</f>
        <v>130</v>
      </c>
      <c r="I5049" s="917" t="str">
        <f>VLOOKUP($A5049,'Tech Litons'!$A:$C,3,0)</f>
        <v>PG</v>
      </c>
      <c r="J5049" s="918" t="str">
        <f t="shared" si="504"/>
        <v>GDIPG</v>
      </c>
      <c r="K5049" s="919">
        <v>1</v>
      </c>
      <c r="L5049" s="920">
        <f t="shared" si="505"/>
        <v>2600</v>
      </c>
      <c r="M5049" s="920">
        <f t="shared" si="506"/>
        <v>13.6968</v>
      </c>
      <c r="N5049" s="920">
        <f t="shared" si="507"/>
        <v>20</v>
      </c>
      <c r="O5049" s="918" t="str">
        <f t="shared" si="508"/>
        <v>Mar</v>
      </c>
      <c r="P5049" s="921">
        <f t="shared" si="509"/>
        <v>12</v>
      </c>
    </row>
    <row r="5050" spans="1:16" ht="15" hidden="1" customHeight="1">
      <c r="A5050" s="839">
        <v>62714126</v>
      </c>
      <c r="B5050" s="839" t="s">
        <v>133</v>
      </c>
      <c r="C5050" s="906">
        <v>2600</v>
      </c>
      <c r="D5050" s="907">
        <v>46100</v>
      </c>
      <c r="E5050" s="839" t="s">
        <v>402</v>
      </c>
      <c r="F5050" s="839">
        <v>1419</v>
      </c>
      <c r="G5050" s="916">
        <f>VLOOKUP($A5050,'Tech Litons'!$A:$I,8,FALSE)</f>
        <v>5.2680000000000001E-3</v>
      </c>
      <c r="H5050" s="917">
        <f>VLOOKUP($A5050,'Tech Litons'!$A:$I,9,FALSE)</f>
        <v>130</v>
      </c>
      <c r="I5050" s="917" t="str">
        <f>VLOOKUP($A5050,'Tech Litons'!$A:$C,3,0)</f>
        <v>PG</v>
      </c>
      <c r="J5050" s="918" t="str">
        <f t="shared" si="504"/>
        <v>GDIPG</v>
      </c>
      <c r="K5050" s="919">
        <v>1</v>
      </c>
      <c r="L5050" s="920">
        <f t="shared" si="505"/>
        <v>2600</v>
      </c>
      <c r="M5050" s="920">
        <f t="shared" si="506"/>
        <v>13.6968</v>
      </c>
      <c r="N5050" s="920">
        <f t="shared" si="507"/>
        <v>20</v>
      </c>
      <c r="O5050" s="918" t="str">
        <f t="shared" si="508"/>
        <v>Mar</v>
      </c>
      <c r="P5050" s="921">
        <f t="shared" si="509"/>
        <v>12</v>
      </c>
    </row>
    <row r="5051" spans="1:16" ht="15" hidden="1" customHeight="1">
      <c r="A5051" s="839">
        <v>62714126</v>
      </c>
      <c r="B5051" s="839" t="s">
        <v>133</v>
      </c>
      <c r="C5051" s="906">
        <v>2600</v>
      </c>
      <c r="D5051" s="907">
        <v>46101</v>
      </c>
      <c r="E5051" s="839" t="s">
        <v>402</v>
      </c>
      <c r="F5051" s="839">
        <v>3989</v>
      </c>
      <c r="G5051" s="916">
        <f>VLOOKUP($A5051,'Tech Litons'!$A:$I,8,FALSE)</f>
        <v>5.2680000000000001E-3</v>
      </c>
      <c r="H5051" s="917">
        <f>VLOOKUP($A5051,'Tech Litons'!$A:$I,9,FALSE)</f>
        <v>130</v>
      </c>
      <c r="I5051" s="917" t="str">
        <f>VLOOKUP($A5051,'Tech Litons'!$A:$C,3,0)</f>
        <v>PG</v>
      </c>
      <c r="J5051" s="918" t="str">
        <f t="shared" si="504"/>
        <v>GDIPG</v>
      </c>
      <c r="K5051" s="919">
        <v>1</v>
      </c>
      <c r="L5051" s="920">
        <f t="shared" si="505"/>
        <v>2600</v>
      </c>
      <c r="M5051" s="920">
        <f t="shared" si="506"/>
        <v>13.6968</v>
      </c>
      <c r="N5051" s="920">
        <f t="shared" si="507"/>
        <v>20</v>
      </c>
      <c r="O5051" s="918" t="str">
        <f t="shared" si="508"/>
        <v>Mar</v>
      </c>
      <c r="P5051" s="921">
        <f t="shared" si="509"/>
        <v>12</v>
      </c>
    </row>
    <row r="5052" spans="1:16" ht="15" hidden="1" customHeight="1">
      <c r="A5052" s="839">
        <v>64833353</v>
      </c>
      <c r="B5052" s="839" t="s">
        <v>133</v>
      </c>
      <c r="C5052" s="906">
        <v>2600</v>
      </c>
      <c r="D5052" s="907">
        <v>46101</v>
      </c>
      <c r="E5052" s="839" t="s">
        <v>358</v>
      </c>
      <c r="F5052" s="839">
        <v>3989</v>
      </c>
      <c r="G5052" s="916">
        <f>VLOOKUP($A5052,'Tech Litons'!$A:$I,8,FALSE)</f>
        <v>5.28E-3</v>
      </c>
      <c r="H5052" s="917">
        <f>VLOOKUP($A5052,'Tech Litons'!$A:$I,9,FALSE)</f>
        <v>130</v>
      </c>
      <c r="I5052" s="917" t="str">
        <f>VLOOKUP($A5052,'Tech Litons'!$A:$C,3,0)</f>
        <v>PG</v>
      </c>
      <c r="J5052" s="918" t="str">
        <f t="shared" si="504"/>
        <v>GDIPG</v>
      </c>
      <c r="K5052" s="919">
        <v>1</v>
      </c>
      <c r="L5052" s="920">
        <f t="shared" si="505"/>
        <v>2600</v>
      </c>
      <c r="M5052" s="920">
        <f t="shared" si="506"/>
        <v>13.728</v>
      </c>
      <c r="N5052" s="920">
        <f t="shared" si="507"/>
        <v>20</v>
      </c>
      <c r="O5052" s="918" t="str">
        <f t="shared" si="508"/>
        <v>Mar</v>
      </c>
      <c r="P5052" s="921">
        <f t="shared" si="509"/>
        <v>12</v>
      </c>
    </row>
    <row r="5053" spans="1:16" ht="15" hidden="1" customHeight="1">
      <c r="A5053" s="839">
        <v>64833353</v>
      </c>
      <c r="B5053" s="839" t="s">
        <v>133</v>
      </c>
      <c r="C5053" s="906">
        <v>2600</v>
      </c>
      <c r="D5053" s="907">
        <v>46101</v>
      </c>
      <c r="E5053" s="839" t="s">
        <v>358</v>
      </c>
      <c r="F5053" s="839">
        <v>3989</v>
      </c>
      <c r="G5053" s="916">
        <f>VLOOKUP($A5053,'Tech Litons'!$A:$I,8,FALSE)</f>
        <v>5.28E-3</v>
      </c>
      <c r="H5053" s="917">
        <f>VLOOKUP($A5053,'Tech Litons'!$A:$I,9,FALSE)</f>
        <v>130</v>
      </c>
      <c r="I5053" s="917" t="str">
        <f>VLOOKUP($A5053,'Tech Litons'!$A:$C,3,0)</f>
        <v>PG</v>
      </c>
      <c r="J5053" s="918" t="str">
        <f t="shared" si="504"/>
        <v>GDIPG</v>
      </c>
      <c r="K5053" s="919">
        <v>1</v>
      </c>
      <c r="L5053" s="920">
        <f t="shared" si="505"/>
        <v>2600</v>
      </c>
      <c r="M5053" s="920">
        <f t="shared" si="506"/>
        <v>13.728</v>
      </c>
      <c r="N5053" s="920">
        <f t="shared" si="507"/>
        <v>20</v>
      </c>
      <c r="O5053" s="918" t="str">
        <f t="shared" si="508"/>
        <v>Mar</v>
      </c>
      <c r="P5053" s="921">
        <f t="shared" si="509"/>
        <v>12</v>
      </c>
    </row>
    <row r="5054" spans="1:16" ht="15" hidden="1" customHeight="1">
      <c r="A5054" s="839">
        <v>62714126</v>
      </c>
      <c r="B5054" s="839" t="s">
        <v>133</v>
      </c>
      <c r="C5054" s="906">
        <v>2600</v>
      </c>
      <c r="D5054" s="907">
        <v>46101</v>
      </c>
      <c r="E5054" s="839" t="s">
        <v>402</v>
      </c>
      <c r="F5054" s="839">
        <v>3989</v>
      </c>
      <c r="G5054" s="916">
        <f>VLOOKUP($A5054,'Tech Litons'!$A:$I,8,FALSE)</f>
        <v>5.2680000000000001E-3</v>
      </c>
      <c r="H5054" s="917">
        <f>VLOOKUP($A5054,'Tech Litons'!$A:$I,9,FALSE)</f>
        <v>130</v>
      </c>
      <c r="I5054" s="917" t="str">
        <f>VLOOKUP($A5054,'Tech Litons'!$A:$C,3,0)</f>
        <v>PG</v>
      </c>
      <c r="J5054" s="918" t="str">
        <f t="shared" si="504"/>
        <v>GDIPG</v>
      </c>
      <c r="K5054" s="919">
        <v>1</v>
      </c>
      <c r="L5054" s="920">
        <f t="shared" si="505"/>
        <v>2600</v>
      </c>
      <c r="M5054" s="920">
        <f t="shared" si="506"/>
        <v>13.6968</v>
      </c>
      <c r="N5054" s="920">
        <f t="shared" si="507"/>
        <v>20</v>
      </c>
      <c r="O5054" s="918" t="str">
        <f t="shared" si="508"/>
        <v>Mar</v>
      </c>
      <c r="P5054" s="921">
        <f t="shared" si="509"/>
        <v>12</v>
      </c>
    </row>
    <row r="5055" spans="1:16" ht="15" hidden="1" customHeight="1">
      <c r="A5055" s="839">
        <v>62714126</v>
      </c>
      <c r="B5055" s="839" t="s">
        <v>133</v>
      </c>
      <c r="C5055" s="906">
        <v>2600</v>
      </c>
      <c r="D5055" s="907">
        <v>46101</v>
      </c>
      <c r="E5055" s="839" t="s">
        <v>402</v>
      </c>
      <c r="F5055" s="839">
        <v>3989</v>
      </c>
      <c r="G5055" s="916">
        <f>VLOOKUP($A5055,'Tech Litons'!$A:$I,8,FALSE)</f>
        <v>5.2680000000000001E-3</v>
      </c>
      <c r="H5055" s="917">
        <f>VLOOKUP($A5055,'Tech Litons'!$A:$I,9,FALSE)</f>
        <v>130</v>
      </c>
      <c r="I5055" s="917" t="str">
        <f>VLOOKUP($A5055,'Tech Litons'!$A:$C,3,0)</f>
        <v>PG</v>
      </c>
      <c r="J5055" s="918" t="str">
        <f t="shared" si="504"/>
        <v>GDIPG</v>
      </c>
      <c r="K5055" s="919">
        <v>1</v>
      </c>
      <c r="L5055" s="920">
        <f t="shared" si="505"/>
        <v>2600</v>
      </c>
      <c r="M5055" s="920">
        <f t="shared" si="506"/>
        <v>13.6968</v>
      </c>
      <c r="N5055" s="920">
        <f t="shared" si="507"/>
        <v>20</v>
      </c>
      <c r="O5055" s="918" t="str">
        <f t="shared" si="508"/>
        <v>Mar</v>
      </c>
      <c r="P5055" s="921">
        <f t="shared" si="509"/>
        <v>12</v>
      </c>
    </row>
    <row r="5056" spans="1:16" ht="15" hidden="1" customHeight="1">
      <c r="A5056" s="839">
        <v>62714126</v>
      </c>
      <c r="B5056" s="839" t="s">
        <v>133</v>
      </c>
      <c r="C5056" s="906">
        <v>2600</v>
      </c>
      <c r="D5056" s="907">
        <v>46101</v>
      </c>
      <c r="E5056" s="839" t="s">
        <v>402</v>
      </c>
      <c r="F5056" s="839">
        <v>1419</v>
      </c>
      <c r="G5056" s="916">
        <f>VLOOKUP($A5056,'Tech Litons'!$A:$I,8,FALSE)</f>
        <v>5.2680000000000001E-3</v>
      </c>
      <c r="H5056" s="917">
        <f>VLOOKUP($A5056,'Tech Litons'!$A:$I,9,FALSE)</f>
        <v>130</v>
      </c>
      <c r="I5056" s="917" t="str">
        <f>VLOOKUP($A5056,'Tech Litons'!$A:$C,3,0)</f>
        <v>PG</v>
      </c>
      <c r="J5056" s="918" t="str">
        <f t="shared" si="504"/>
        <v>GDIPG</v>
      </c>
      <c r="K5056" s="919">
        <v>1</v>
      </c>
      <c r="L5056" s="920">
        <f t="shared" si="505"/>
        <v>2600</v>
      </c>
      <c r="M5056" s="920">
        <f t="shared" si="506"/>
        <v>13.6968</v>
      </c>
      <c r="N5056" s="920">
        <f t="shared" si="507"/>
        <v>20</v>
      </c>
      <c r="O5056" s="918" t="str">
        <f t="shared" si="508"/>
        <v>Mar</v>
      </c>
      <c r="P5056" s="921">
        <f t="shared" si="509"/>
        <v>12</v>
      </c>
    </row>
    <row r="5057" spans="1:16" ht="15" hidden="1" customHeight="1">
      <c r="A5057" s="839">
        <v>64833353</v>
      </c>
      <c r="B5057" s="839" t="s">
        <v>133</v>
      </c>
      <c r="C5057" s="906">
        <v>2600</v>
      </c>
      <c r="D5057" s="907">
        <v>46101</v>
      </c>
      <c r="E5057" s="839" t="s">
        <v>358</v>
      </c>
      <c r="F5057" s="839">
        <v>3989</v>
      </c>
      <c r="G5057" s="916">
        <f>VLOOKUP($A5057,'Tech Litons'!$A:$I,8,FALSE)</f>
        <v>5.28E-3</v>
      </c>
      <c r="H5057" s="917">
        <f>VLOOKUP($A5057,'Tech Litons'!$A:$I,9,FALSE)</f>
        <v>130</v>
      </c>
      <c r="I5057" s="917" t="str">
        <f>VLOOKUP($A5057,'Tech Litons'!$A:$C,3,0)</f>
        <v>PG</v>
      </c>
      <c r="J5057" s="918" t="str">
        <f t="shared" si="504"/>
        <v>GDIPG</v>
      </c>
      <c r="K5057" s="919">
        <v>1</v>
      </c>
      <c r="L5057" s="920">
        <f t="shared" si="505"/>
        <v>2600</v>
      </c>
      <c r="M5057" s="920">
        <f t="shared" si="506"/>
        <v>13.728</v>
      </c>
      <c r="N5057" s="920">
        <f t="shared" si="507"/>
        <v>20</v>
      </c>
      <c r="O5057" s="918" t="str">
        <f t="shared" si="508"/>
        <v>Mar</v>
      </c>
      <c r="P5057" s="921">
        <f t="shared" si="509"/>
        <v>12</v>
      </c>
    </row>
    <row r="5058" spans="1:16" ht="15" hidden="1" customHeight="1">
      <c r="A5058" s="839">
        <v>62714126</v>
      </c>
      <c r="B5058" s="839" t="s">
        <v>133</v>
      </c>
      <c r="C5058" s="906">
        <v>2600</v>
      </c>
      <c r="D5058" s="907">
        <v>46101</v>
      </c>
      <c r="E5058" s="839" t="s">
        <v>402</v>
      </c>
      <c r="F5058" s="839">
        <v>1419</v>
      </c>
      <c r="G5058" s="916">
        <f>VLOOKUP($A5058,'Tech Litons'!$A:$I,8,FALSE)</f>
        <v>5.2680000000000001E-3</v>
      </c>
      <c r="H5058" s="917">
        <f>VLOOKUP($A5058,'Tech Litons'!$A:$I,9,FALSE)</f>
        <v>130</v>
      </c>
      <c r="I5058" s="917" t="str">
        <f>VLOOKUP($A5058,'Tech Litons'!$A:$C,3,0)</f>
        <v>PG</v>
      </c>
      <c r="J5058" s="918" t="str">
        <f t="shared" si="504"/>
        <v>GDIPG</v>
      </c>
      <c r="K5058" s="919">
        <v>1</v>
      </c>
      <c r="L5058" s="920">
        <f t="shared" si="505"/>
        <v>2600</v>
      </c>
      <c r="M5058" s="920">
        <f t="shared" si="506"/>
        <v>13.6968</v>
      </c>
      <c r="N5058" s="920">
        <f t="shared" si="507"/>
        <v>20</v>
      </c>
      <c r="O5058" s="918" t="str">
        <f t="shared" si="508"/>
        <v>Mar</v>
      </c>
      <c r="P5058" s="921">
        <f t="shared" si="509"/>
        <v>12</v>
      </c>
    </row>
    <row r="5059" spans="1:16" ht="15" hidden="1" customHeight="1">
      <c r="A5059" s="839">
        <v>62714126</v>
      </c>
      <c r="B5059" s="839" t="s">
        <v>133</v>
      </c>
      <c r="C5059" s="906">
        <v>2600</v>
      </c>
      <c r="D5059" s="907">
        <v>46101</v>
      </c>
      <c r="E5059" s="839" t="s">
        <v>402</v>
      </c>
      <c r="F5059" s="839">
        <v>1419</v>
      </c>
      <c r="G5059" s="916">
        <f>VLOOKUP($A5059,'Tech Litons'!$A:$I,8,FALSE)</f>
        <v>5.2680000000000001E-3</v>
      </c>
      <c r="H5059" s="917">
        <f>VLOOKUP($A5059,'Tech Litons'!$A:$I,9,FALSE)</f>
        <v>130</v>
      </c>
      <c r="I5059" s="917" t="str">
        <f>VLOOKUP($A5059,'Tech Litons'!$A:$C,3,0)</f>
        <v>PG</v>
      </c>
      <c r="J5059" s="918" t="str">
        <f t="shared" si="504"/>
        <v>GDIPG</v>
      </c>
      <c r="K5059" s="919">
        <v>1</v>
      </c>
      <c r="L5059" s="920">
        <f t="shared" si="505"/>
        <v>2600</v>
      </c>
      <c r="M5059" s="920">
        <f t="shared" si="506"/>
        <v>13.6968</v>
      </c>
      <c r="N5059" s="920">
        <f t="shared" si="507"/>
        <v>20</v>
      </c>
      <c r="O5059" s="918" t="str">
        <f t="shared" si="508"/>
        <v>Mar</v>
      </c>
      <c r="P5059" s="921">
        <f t="shared" si="509"/>
        <v>12</v>
      </c>
    </row>
    <row r="5060" spans="1:16" ht="15" hidden="1" customHeight="1">
      <c r="A5060" s="839">
        <v>62714126</v>
      </c>
      <c r="B5060" s="839" t="s">
        <v>133</v>
      </c>
      <c r="C5060" s="906">
        <v>2600</v>
      </c>
      <c r="D5060" s="907">
        <v>46101</v>
      </c>
      <c r="E5060" s="839" t="s">
        <v>402</v>
      </c>
      <c r="F5060" s="839">
        <v>1419</v>
      </c>
      <c r="G5060" s="916">
        <f>VLOOKUP($A5060,'Tech Litons'!$A:$I,8,FALSE)</f>
        <v>5.2680000000000001E-3</v>
      </c>
      <c r="H5060" s="917">
        <f>VLOOKUP($A5060,'Tech Litons'!$A:$I,9,FALSE)</f>
        <v>130</v>
      </c>
      <c r="I5060" s="917" t="str">
        <f>VLOOKUP($A5060,'Tech Litons'!$A:$C,3,0)</f>
        <v>PG</v>
      </c>
      <c r="J5060" s="918" t="str">
        <f t="shared" si="504"/>
        <v>GDIPG</v>
      </c>
      <c r="K5060" s="919">
        <v>1</v>
      </c>
      <c r="L5060" s="920">
        <f t="shared" si="505"/>
        <v>2600</v>
      </c>
      <c r="M5060" s="920">
        <f t="shared" si="506"/>
        <v>13.6968</v>
      </c>
      <c r="N5060" s="920">
        <f t="shared" si="507"/>
        <v>20</v>
      </c>
      <c r="O5060" s="918" t="str">
        <f t="shared" si="508"/>
        <v>Mar</v>
      </c>
      <c r="P5060" s="921">
        <f t="shared" si="509"/>
        <v>12</v>
      </c>
    </row>
    <row r="5061" spans="1:16" ht="15" hidden="1" customHeight="1">
      <c r="A5061" s="839">
        <v>62714126</v>
      </c>
      <c r="B5061" s="839" t="s">
        <v>133</v>
      </c>
      <c r="C5061" s="906">
        <v>2600</v>
      </c>
      <c r="D5061" s="907">
        <v>46101</v>
      </c>
      <c r="E5061" s="839" t="s">
        <v>402</v>
      </c>
      <c r="F5061" s="839">
        <v>1419</v>
      </c>
      <c r="G5061" s="916">
        <f>VLOOKUP($A5061,'Tech Litons'!$A:$I,8,FALSE)</f>
        <v>5.2680000000000001E-3</v>
      </c>
      <c r="H5061" s="917">
        <f>VLOOKUP($A5061,'Tech Litons'!$A:$I,9,FALSE)</f>
        <v>130</v>
      </c>
      <c r="I5061" s="917" t="str">
        <f>VLOOKUP($A5061,'Tech Litons'!$A:$C,3,0)</f>
        <v>PG</v>
      </c>
      <c r="J5061" s="918" t="str">
        <f t="shared" si="504"/>
        <v>GDIPG</v>
      </c>
      <c r="K5061" s="919">
        <v>1</v>
      </c>
      <c r="L5061" s="920">
        <f t="shared" si="505"/>
        <v>2600</v>
      </c>
      <c r="M5061" s="920">
        <f t="shared" si="506"/>
        <v>13.6968</v>
      </c>
      <c r="N5061" s="920">
        <f t="shared" si="507"/>
        <v>20</v>
      </c>
      <c r="O5061" s="918" t="str">
        <f t="shared" si="508"/>
        <v>Mar</v>
      </c>
      <c r="P5061" s="921">
        <f t="shared" si="509"/>
        <v>12</v>
      </c>
    </row>
    <row r="5062" spans="1:16" ht="15" hidden="1" customHeight="1">
      <c r="A5062" s="839">
        <v>62714126</v>
      </c>
      <c r="B5062" s="839" t="s">
        <v>133</v>
      </c>
      <c r="C5062" s="906">
        <v>2600</v>
      </c>
      <c r="D5062" s="907">
        <v>46104</v>
      </c>
      <c r="E5062" s="839" t="s">
        <v>402</v>
      </c>
      <c r="F5062" s="839">
        <v>3989</v>
      </c>
      <c r="G5062" s="916">
        <f>VLOOKUP($A5062,'Tech Litons'!$A:$I,8,FALSE)</f>
        <v>5.2680000000000001E-3</v>
      </c>
      <c r="H5062" s="917">
        <f>VLOOKUP($A5062,'Tech Litons'!$A:$I,9,FALSE)</f>
        <v>130</v>
      </c>
      <c r="I5062" s="917" t="str">
        <f>VLOOKUP($A5062,'Tech Litons'!$A:$C,3,0)</f>
        <v>PG</v>
      </c>
      <c r="J5062" s="918" t="str">
        <f t="shared" si="504"/>
        <v>GDIPG</v>
      </c>
      <c r="K5062" s="919">
        <v>1</v>
      </c>
      <c r="L5062" s="920">
        <f t="shared" si="505"/>
        <v>2600</v>
      </c>
      <c r="M5062" s="920">
        <f t="shared" si="506"/>
        <v>13.6968</v>
      </c>
      <c r="N5062" s="920">
        <f t="shared" si="507"/>
        <v>20</v>
      </c>
      <c r="O5062" s="918" t="str">
        <f t="shared" si="508"/>
        <v>Mar</v>
      </c>
      <c r="P5062" s="921">
        <f t="shared" si="509"/>
        <v>13</v>
      </c>
    </row>
    <row r="5063" spans="1:16" ht="15" hidden="1" customHeight="1">
      <c r="A5063" s="839">
        <v>62714126</v>
      </c>
      <c r="B5063" s="839" t="s">
        <v>133</v>
      </c>
      <c r="C5063" s="906">
        <v>2600</v>
      </c>
      <c r="D5063" s="907">
        <v>46104</v>
      </c>
      <c r="E5063" s="839" t="s">
        <v>402</v>
      </c>
      <c r="F5063" s="839">
        <v>3989</v>
      </c>
      <c r="G5063" s="916">
        <f>VLOOKUP($A5063,'Tech Litons'!$A:$I,8,FALSE)</f>
        <v>5.2680000000000001E-3</v>
      </c>
      <c r="H5063" s="917">
        <f>VLOOKUP($A5063,'Tech Litons'!$A:$I,9,FALSE)</f>
        <v>130</v>
      </c>
      <c r="I5063" s="917" t="str">
        <f>VLOOKUP($A5063,'Tech Litons'!$A:$C,3,0)</f>
        <v>PG</v>
      </c>
      <c r="J5063" s="918" t="str">
        <f t="shared" si="504"/>
        <v>GDIPG</v>
      </c>
      <c r="K5063" s="919">
        <v>1</v>
      </c>
      <c r="L5063" s="920">
        <f t="shared" si="505"/>
        <v>2600</v>
      </c>
      <c r="M5063" s="920">
        <f t="shared" si="506"/>
        <v>13.6968</v>
      </c>
      <c r="N5063" s="920">
        <f t="shared" si="507"/>
        <v>20</v>
      </c>
      <c r="O5063" s="918" t="str">
        <f t="shared" si="508"/>
        <v>Mar</v>
      </c>
      <c r="P5063" s="921">
        <f t="shared" si="509"/>
        <v>13</v>
      </c>
    </row>
    <row r="5064" spans="1:16" ht="15" hidden="1" customHeight="1">
      <c r="A5064" s="839">
        <v>64833353</v>
      </c>
      <c r="B5064" s="839" t="s">
        <v>133</v>
      </c>
      <c r="C5064" s="906">
        <v>2600</v>
      </c>
      <c r="D5064" s="907">
        <v>46104</v>
      </c>
      <c r="E5064" s="839" t="s">
        <v>358</v>
      </c>
      <c r="F5064" s="839">
        <v>3989</v>
      </c>
      <c r="G5064" s="916">
        <f>VLOOKUP($A5064,'Tech Litons'!$A:$I,8,FALSE)</f>
        <v>5.28E-3</v>
      </c>
      <c r="H5064" s="917">
        <f>VLOOKUP($A5064,'Tech Litons'!$A:$I,9,FALSE)</f>
        <v>130</v>
      </c>
      <c r="I5064" s="917" t="str">
        <f>VLOOKUP($A5064,'Tech Litons'!$A:$C,3,0)</f>
        <v>PG</v>
      </c>
      <c r="J5064" s="918" t="str">
        <f t="shared" si="504"/>
        <v>GDIPG</v>
      </c>
      <c r="K5064" s="919">
        <v>1</v>
      </c>
      <c r="L5064" s="920">
        <f t="shared" si="505"/>
        <v>2600</v>
      </c>
      <c r="M5064" s="920">
        <f t="shared" si="506"/>
        <v>13.728</v>
      </c>
      <c r="N5064" s="920">
        <f t="shared" si="507"/>
        <v>20</v>
      </c>
      <c r="O5064" s="918" t="str">
        <f t="shared" si="508"/>
        <v>Mar</v>
      </c>
      <c r="P5064" s="921">
        <f t="shared" si="509"/>
        <v>13</v>
      </c>
    </row>
    <row r="5065" spans="1:16" ht="15" hidden="1" customHeight="1">
      <c r="A5065" s="839">
        <v>64833353</v>
      </c>
      <c r="B5065" s="839" t="s">
        <v>133</v>
      </c>
      <c r="C5065" s="906">
        <v>2600</v>
      </c>
      <c r="D5065" s="907">
        <v>46104</v>
      </c>
      <c r="E5065" s="839" t="s">
        <v>358</v>
      </c>
      <c r="F5065" s="839">
        <v>3989</v>
      </c>
      <c r="G5065" s="916">
        <f>VLOOKUP($A5065,'Tech Litons'!$A:$I,8,FALSE)</f>
        <v>5.28E-3</v>
      </c>
      <c r="H5065" s="917">
        <f>VLOOKUP($A5065,'Tech Litons'!$A:$I,9,FALSE)</f>
        <v>130</v>
      </c>
      <c r="I5065" s="917" t="str">
        <f>VLOOKUP($A5065,'Tech Litons'!$A:$C,3,0)</f>
        <v>PG</v>
      </c>
      <c r="J5065" s="918" t="str">
        <f t="shared" si="504"/>
        <v>GDIPG</v>
      </c>
      <c r="K5065" s="919">
        <v>1</v>
      </c>
      <c r="L5065" s="920">
        <f t="shared" si="505"/>
        <v>2600</v>
      </c>
      <c r="M5065" s="920">
        <f t="shared" si="506"/>
        <v>13.728</v>
      </c>
      <c r="N5065" s="920">
        <f t="shared" si="507"/>
        <v>20</v>
      </c>
      <c r="O5065" s="918" t="str">
        <f t="shared" si="508"/>
        <v>Mar</v>
      </c>
      <c r="P5065" s="921">
        <f t="shared" si="509"/>
        <v>13</v>
      </c>
    </row>
    <row r="5066" spans="1:16" ht="15" hidden="1" customHeight="1">
      <c r="A5066" s="839">
        <v>64833353</v>
      </c>
      <c r="B5066" s="839" t="s">
        <v>133</v>
      </c>
      <c r="C5066" s="906">
        <v>2600</v>
      </c>
      <c r="D5066" s="907">
        <v>46104</v>
      </c>
      <c r="E5066" s="839" t="s">
        <v>358</v>
      </c>
      <c r="F5066" s="839">
        <v>3989</v>
      </c>
      <c r="G5066" s="916">
        <f>VLOOKUP($A5066,'Tech Litons'!$A:$I,8,FALSE)</f>
        <v>5.28E-3</v>
      </c>
      <c r="H5066" s="917">
        <f>VLOOKUP($A5066,'Tech Litons'!$A:$I,9,FALSE)</f>
        <v>130</v>
      </c>
      <c r="I5066" s="917" t="str">
        <f>VLOOKUP($A5066,'Tech Litons'!$A:$C,3,0)</f>
        <v>PG</v>
      </c>
      <c r="J5066" s="918" t="str">
        <f t="shared" si="504"/>
        <v>GDIPG</v>
      </c>
      <c r="K5066" s="919">
        <v>1</v>
      </c>
      <c r="L5066" s="920">
        <f t="shared" si="505"/>
        <v>2600</v>
      </c>
      <c r="M5066" s="920">
        <f t="shared" si="506"/>
        <v>13.728</v>
      </c>
      <c r="N5066" s="920">
        <f t="shared" si="507"/>
        <v>20</v>
      </c>
      <c r="O5066" s="918" t="str">
        <f t="shared" si="508"/>
        <v>Mar</v>
      </c>
      <c r="P5066" s="921">
        <f t="shared" si="509"/>
        <v>13</v>
      </c>
    </row>
    <row r="5067" spans="1:16" ht="15" hidden="1" customHeight="1">
      <c r="A5067" s="839">
        <v>62714126</v>
      </c>
      <c r="B5067" s="839" t="s">
        <v>133</v>
      </c>
      <c r="C5067" s="906">
        <v>2600</v>
      </c>
      <c r="D5067" s="907">
        <v>46104</v>
      </c>
      <c r="E5067" s="839" t="s">
        <v>402</v>
      </c>
      <c r="F5067" s="839">
        <v>3989</v>
      </c>
      <c r="G5067" s="916">
        <f>VLOOKUP($A5067,'Tech Litons'!$A:$I,8,FALSE)</f>
        <v>5.2680000000000001E-3</v>
      </c>
      <c r="H5067" s="917">
        <f>VLOOKUP($A5067,'Tech Litons'!$A:$I,9,FALSE)</f>
        <v>130</v>
      </c>
      <c r="I5067" s="917" t="str">
        <f>VLOOKUP($A5067,'Tech Litons'!$A:$C,3,0)</f>
        <v>PG</v>
      </c>
      <c r="J5067" s="918" t="str">
        <f t="shared" si="504"/>
        <v>GDIPG</v>
      </c>
      <c r="K5067" s="919">
        <v>1</v>
      </c>
      <c r="L5067" s="920">
        <f t="shared" si="505"/>
        <v>2600</v>
      </c>
      <c r="M5067" s="920">
        <f t="shared" si="506"/>
        <v>13.6968</v>
      </c>
      <c r="N5067" s="920">
        <f t="shared" si="507"/>
        <v>20</v>
      </c>
      <c r="O5067" s="918" t="str">
        <f t="shared" si="508"/>
        <v>Mar</v>
      </c>
      <c r="P5067" s="921">
        <f t="shared" si="509"/>
        <v>13</v>
      </c>
    </row>
    <row r="5068" spans="1:16" ht="15" hidden="1" customHeight="1">
      <c r="A5068" s="839">
        <v>64833353</v>
      </c>
      <c r="B5068" s="839" t="s">
        <v>133</v>
      </c>
      <c r="C5068" s="906">
        <v>2600</v>
      </c>
      <c r="D5068" s="907">
        <v>46104</v>
      </c>
      <c r="E5068" s="839" t="s">
        <v>358</v>
      </c>
      <c r="F5068" s="839">
        <v>3989</v>
      </c>
      <c r="G5068" s="916">
        <f>VLOOKUP($A5068,'Tech Litons'!$A:$I,8,FALSE)</f>
        <v>5.28E-3</v>
      </c>
      <c r="H5068" s="917">
        <f>VLOOKUP($A5068,'Tech Litons'!$A:$I,9,FALSE)</f>
        <v>130</v>
      </c>
      <c r="I5068" s="917" t="str">
        <f>VLOOKUP($A5068,'Tech Litons'!$A:$C,3,0)</f>
        <v>PG</v>
      </c>
      <c r="J5068" s="918" t="str">
        <f t="shared" si="504"/>
        <v>GDIPG</v>
      </c>
      <c r="K5068" s="919">
        <v>1</v>
      </c>
      <c r="L5068" s="920">
        <f t="shared" si="505"/>
        <v>2600</v>
      </c>
      <c r="M5068" s="920">
        <f t="shared" si="506"/>
        <v>13.728</v>
      </c>
      <c r="N5068" s="920">
        <f t="shared" si="507"/>
        <v>20</v>
      </c>
      <c r="O5068" s="918" t="str">
        <f t="shared" si="508"/>
        <v>Mar</v>
      </c>
      <c r="P5068" s="921">
        <f t="shared" si="509"/>
        <v>13</v>
      </c>
    </row>
    <row r="5069" spans="1:16" ht="15" hidden="1" customHeight="1">
      <c r="A5069" s="839">
        <v>62714126</v>
      </c>
      <c r="B5069" s="839" t="s">
        <v>133</v>
      </c>
      <c r="C5069" s="906">
        <v>2600</v>
      </c>
      <c r="D5069" s="907">
        <v>46104</v>
      </c>
      <c r="E5069" s="839" t="s">
        <v>402</v>
      </c>
      <c r="F5069" s="839">
        <v>1419</v>
      </c>
      <c r="G5069" s="916">
        <f>VLOOKUP($A5069,'Tech Litons'!$A:$I,8,FALSE)</f>
        <v>5.2680000000000001E-3</v>
      </c>
      <c r="H5069" s="917">
        <f>VLOOKUP($A5069,'Tech Litons'!$A:$I,9,FALSE)</f>
        <v>130</v>
      </c>
      <c r="I5069" s="917" t="str">
        <f>VLOOKUP($A5069,'Tech Litons'!$A:$C,3,0)</f>
        <v>PG</v>
      </c>
      <c r="J5069" s="918" t="str">
        <f t="shared" si="504"/>
        <v>GDIPG</v>
      </c>
      <c r="K5069" s="919">
        <v>1</v>
      </c>
      <c r="L5069" s="920">
        <f t="shared" si="505"/>
        <v>2600</v>
      </c>
      <c r="M5069" s="920">
        <f t="shared" si="506"/>
        <v>13.6968</v>
      </c>
      <c r="N5069" s="920">
        <f t="shared" si="507"/>
        <v>20</v>
      </c>
      <c r="O5069" s="918" t="str">
        <f t="shared" si="508"/>
        <v>Mar</v>
      </c>
      <c r="P5069" s="921">
        <f t="shared" si="509"/>
        <v>13</v>
      </c>
    </row>
    <row r="5070" spans="1:16" ht="15" hidden="1" customHeight="1">
      <c r="A5070" s="839">
        <v>62714126</v>
      </c>
      <c r="B5070" s="839" t="s">
        <v>133</v>
      </c>
      <c r="C5070" s="906">
        <v>2600</v>
      </c>
      <c r="D5070" s="907">
        <v>46104</v>
      </c>
      <c r="E5070" s="839" t="s">
        <v>402</v>
      </c>
      <c r="F5070" s="839">
        <v>1419</v>
      </c>
      <c r="G5070" s="916">
        <f>VLOOKUP($A5070,'Tech Litons'!$A:$I,8,FALSE)</f>
        <v>5.2680000000000001E-3</v>
      </c>
      <c r="H5070" s="917">
        <f>VLOOKUP($A5070,'Tech Litons'!$A:$I,9,FALSE)</f>
        <v>130</v>
      </c>
      <c r="I5070" s="917" t="str">
        <f>VLOOKUP($A5070,'Tech Litons'!$A:$C,3,0)</f>
        <v>PG</v>
      </c>
      <c r="J5070" s="918" t="str">
        <f t="shared" si="504"/>
        <v>GDIPG</v>
      </c>
      <c r="K5070" s="919">
        <v>1</v>
      </c>
      <c r="L5070" s="920">
        <f t="shared" si="505"/>
        <v>2600</v>
      </c>
      <c r="M5070" s="920">
        <f t="shared" si="506"/>
        <v>13.6968</v>
      </c>
      <c r="N5070" s="920">
        <f t="shared" si="507"/>
        <v>20</v>
      </c>
      <c r="O5070" s="918" t="str">
        <f t="shared" si="508"/>
        <v>Mar</v>
      </c>
      <c r="P5070" s="921">
        <f t="shared" si="509"/>
        <v>13</v>
      </c>
    </row>
    <row r="5071" spans="1:16" ht="15" hidden="1" customHeight="1">
      <c r="A5071" s="839">
        <v>62714126</v>
      </c>
      <c r="B5071" s="839" t="s">
        <v>133</v>
      </c>
      <c r="C5071" s="906">
        <v>2600</v>
      </c>
      <c r="D5071" s="907">
        <v>46104</v>
      </c>
      <c r="E5071" s="839" t="s">
        <v>402</v>
      </c>
      <c r="F5071" s="839">
        <v>1419</v>
      </c>
      <c r="G5071" s="916">
        <f>VLOOKUP($A5071,'Tech Litons'!$A:$I,8,FALSE)</f>
        <v>5.2680000000000001E-3</v>
      </c>
      <c r="H5071" s="917">
        <f>VLOOKUP($A5071,'Tech Litons'!$A:$I,9,FALSE)</f>
        <v>130</v>
      </c>
      <c r="I5071" s="917" t="str">
        <f>VLOOKUP($A5071,'Tech Litons'!$A:$C,3,0)</f>
        <v>PG</v>
      </c>
      <c r="J5071" s="918" t="str">
        <f t="shared" si="504"/>
        <v>GDIPG</v>
      </c>
      <c r="K5071" s="919">
        <v>1</v>
      </c>
      <c r="L5071" s="920">
        <f t="shared" si="505"/>
        <v>2600</v>
      </c>
      <c r="M5071" s="920">
        <f t="shared" si="506"/>
        <v>13.6968</v>
      </c>
      <c r="N5071" s="920">
        <f t="shared" si="507"/>
        <v>20</v>
      </c>
      <c r="O5071" s="918" t="str">
        <f t="shared" si="508"/>
        <v>Mar</v>
      </c>
      <c r="P5071" s="921">
        <f t="shared" si="509"/>
        <v>13</v>
      </c>
    </row>
    <row r="5072" spans="1:16" ht="15" hidden="1" customHeight="1">
      <c r="A5072" s="839">
        <v>64958862</v>
      </c>
      <c r="B5072" s="839" t="s">
        <v>133</v>
      </c>
      <c r="C5072" s="906">
        <v>3400</v>
      </c>
      <c r="D5072" s="907">
        <v>46104</v>
      </c>
      <c r="E5072" s="839" t="s">
        <v>1290</v>
      </c>
      <c r="F5072" s="839">
        <v>1419</v>
      </c>
      <c r="G5072" s="916">
        <f>VLOOKUP($A5072,'Tech Litons'!$A:$I,8,FALSE)</f>
        <v>3.516E-3</v>
      </c>
      <c r="H5072" s="917">
        <f>VLOOKUP($A5072,'Tech Litons'!$A:$I,9,FALSE)</f>
        <v>170</v>
      </c>
      <c r="I5072" s="917" t="str">
        <f>VLOOKUP($A5072,'Tech Litons'!$A:$C,3,0)</f>
        <v>Other</v>
      </c>
      <c r="J5072" s="918" t="str">
        <f t="shared" si="504"/>
        <v>GDIOther</v>
      </c>
      <c r="K5072" s="919">
        <v>1</v>
      </c>
      <c r="L5072" s="920">
        <f t="shared" si="505"/>
        <v>3400</v>
      </c>
      <c r="M5072" s="920">
        <f t="shared" si="506"/>
        <v>11.9544</v>
      </c>
      <c r="N5072" s="920">
        <f t="shared" si="507"/>
        <v>20</v>
      </c>
      <c r="O5072" s="918" t="str">
        <f t="shared" si="508"/>
        <v>Mar</v>
      </c>
      <c r="P5072" s="921">
        <f t="shared" si="509"/>
        <v>13</v>
      </c>
    </row>
    <row r="5073" spans="1:16" ht="15" hidden="1" customHeight="1">
      <c r="A5073" s="839">
        <v>64833353</v>
      </c>
      <c r="B5073" s="839" t="s">
        <v>133</v>
      </c>
      <c r="C5073" s="906">
        <v>2600</v>
      </c>
      <c r="D5073" s="907">
        <v>46105</v>
      </c>
      <c r="E5073" s="839" t="s">
        <v>358</v>
      </c>
      <c r="F5073" s="839">
        <v>3989</v>
      </c>
      <c r="G5073" s="916">
        <f>VLOOKUP($A5073,'Tech Litons'!$A:$I,8,FALSE)</f>
        <v>5.28E-3</v>
      </c>
      <c r="H5073" s="917">
        <f>VLOOKUP($A5073,'Tech Litons'!$A:$I,9,FALSE)</f>
        <v>130</v>
      </c>
      <c r="I5073" s="917" t="str">
        <f>VLOOKUP($A5073,'Tech Litons'!$A:$C,3,0)</f>
        <v>PG</v>
      </c>
      <c r="J5073" s="918" t="str">
        <f t="shared" si="504"/>
        <v>GDIPG</v>
      </c>
      <c r="K5073" s="919">
        <v>1</v>
      </c>
      <c r="L5073" s="920">
        <f t="shared" si="505"/>
        <v>2600</v>
      </c>
      <c r="M5073" s="920">
        <f t="shared" si="506"/>
        <v>13.728</v>
      </c>
      <c r="N5073" s="920">
        <f t="shared" si="507"/>
        <v>20</v>
      </c>
      <c r="O5073" s="918" t="str">
        <f t="shared" si="508"/>
        <v>Mar</v>
      </c>
      <c r="P5073" s="921">
        <f t="shared" si="509"/>
        <v>13</v>
      </c>
    </row>
    <row r="5074" spans="1:16" ht="15" hidden="1" customHeight="1">
      <c r="A5074" s="839">
        <v>64833353</v>
      </c>
      <c r="B5074" s="839" t="s">
        <v>133</v>
      </c>
      <c r="C5074" s="906">
        <v>2600</v>
      </c>
      <c r="D5074" s="907">
        <v>46105</v>
      </c>
      <c r="E5074" s="839" t="s">
        <v>358</v>
      </c>
      <c r="F5074" s="839">
        <v>3989</v>
      </c>
      <c r="G5074" s="916">
        <f>VLOOKUP($A5074,'Tech Litons'!$A:$I,8,FALSE)</f>
        <v>5.28E-3</v>
      </c>
      <c r="H5074" s="917">
        <f>VLOOKUP($A5074,'Tech Litons'!$A:$I,9,FALSE)</f>
        <v>130</v>
      </c>
      <c r="I5074" s="917" t="str">
        <f>VLOOKUP($A5074,'Tech Litons'!$A:$C,3,0)</f>
        <v>PG</v>
      </c>
      <c r="J5074" s="918" t="str">
        <f t="shared" si="504"/>
        <v>GDIPG</v>
      </c>
      <c r="K5074" s="919">
        <v>1</v>
      </c>
      <c r="L5074" s="920">
        <f t="shared" si="505"/>
        <v>2600</v>
      </c>
      <c r="M5074" s="920">
        <f t="shared" si="506"/>
        <v>13.728</v>
      </c>
      <c r="N5074" s="920">
        <f t="shared" si="507"/>
        <v>20</v>
      </c>
      <c r="O5074" s="918" t="str">
        <f t="shared" si="508"/>
        <v>Mar</v>
      </c>
      <c r="P5074" s="921">
        <f t="shared" si="509"/>
        <v>13</v>
      </c>
    </row>
    <row r="5075" spans="1:16" ht="15" hidden="1" customHeight="1">
      <c r="A5075" s="839">
        <v>62714126</v>
      </c>
      <c r="B5075" s="839" t="s">
        <v>133</v>
      </c>
      <c r="C5075" s="906">
        <v>2600</v>
      </c>
      <c r="D5075" s="907">
        <v>46105</v>
      </c>
      <c r="E5075" s="839" t="s">
        <v>402</v>
      </c>
      <c r="F5075" s="839">
        <v>1419</v>
      </c>
      <c r="G5075" s="916">
        <f>VLOOKUP($A5075,'Tech Litons'!$A:$I,8,FALSE)</f>
        <v>5.2680000000000001E-3</v>
      </c>
      <c r="H5075" s="917">
        <f>VLOOKUP($A5075,'Tech Litons'!$A:$I,9,FALSE)</f>
        <v>130</v>
      </c>
      <c r="I5075" s="917" t="str">
        <f>VLOOKUP($A5075,'Tech Litons'!$A:$C,3,0)</f>
        <v>PG</v>
      </c>
      <c r="J5075" s="918" t="str">
        <f t="shared" si="504"/>
        <v>GDIPG</v>
      </c>
      <c r="K5075" s="919">
        <v>1</v>
      </c>
      <c r="L5075" s="920">
        <f t="shared" si="505"/>
        <v>2600</v>
      </c>
      <c r="M5075" s="920">
        <f t="shared" si="506"/>
        <v>13.6968</v>
      </c>
      <c r="N5075" s="920">
        <f t="shared" si="507"/>
        <v>20</v>
      </c>
      <c r="O5075" s="918" t="str">
        <f t="shared" si="508"/>
        <v>Mar</v>
      </c>
      <c r="P5075" s="921">
        <f t="shared" si="509"/>
        <v>13</v>
      </c>
    </row>
    <row r="5076" spans="1:16" ht="15" hidden="1" customHeight="1">
      <c r="A5076" s="839">
        <v>64960643</v>
      </c>
      <c r="B5076" s="839" t="s">
        <v>133</v>
      </c>
      <c r="C5076" s="906">
        <v>3400</v>
      </c>
      <c r="D5076" s="907">
        <v>46105</v>
      </c>
      <c r="E5076" s="839" t="s">
        <v>1289</v>
      </c>
      <c r="F5076" s="839">
        <v>1419</v>
      </c>
      <c r="G5076" s="916">
        <f>VLOOKUP($A5076,'Tech Litons'!$A:$I,8,FALSE)</f>
        <v>3.516E-3</v>
      </c>
      <c r="H5076" s="917">
        <f>VLOOKUP($A5076,'Tech Litons'!$A:$I,9,FALSE)</f>
        <v>170</v>
      </c>
      <c r="I5076" s="917" t="str">
        <f>VLOOKUP($A5076,'Tech Litons'!$A:$C,3,0)</f>
        <v>Other</v>
      </c>
      <c r="J5076" s="918" t="str">
        <f t="shared" si="504"/>
        <v>GDIOther</v>
      </c>
      <c r="K5076" s="919">
        <v>1</v>
      </c>
      <c r="L5076" s="920">
        <f t="shared" si="505"/>
        <v>3400</v>
      </c>
      <c r="M5076" s="920">
        <f t="shared" si="506"/>
        <v>11.9544</v>
      </c>
      <c r="N5076" s="920">
        <f t="shared" si="507"/>
        <v>20</v>
      </c>
      <c r="O5076" s="918" t="str">
        <f t="shared" si="508"/>
        <v>Mar</v>
      </c>
      <c r="P5076" s="921">
        <f t="shared" si="509"/>
        <v>13</v>
      </c>
    </row>
    <row r="5077" spans="1:16" ht="15" hidden="1" customHeight="1">
      <c r="A5077" s="839">
        <v>64988054</v>
      </c>
      <c r="B5077" s="839">
        <v>1716</v>
      </c>
      <c r="C5077" s="906">
        <v>24253</v>
      </c>
      <c r="D5077" s="907">
        <v>46077</v>
      </c>
      <c r="E5077" s="839" t="s">
        <v>600</v>
      </c>
      <c r="F5077" s="839">
        <v>1716</v>
      </c>
      <c r="G5077" s="916">
        <f>VLOOKUP($A5077,'Tech Litons'!$A:$I,8,FALSE)</f>
        <v>2.3999999999999998E-3</v>
      </c>
      <c r="H5077" s="917">
        <f>VLOOKUP($A5077,'Tech Litons'!$A:$I,9,FALSE)</f>
        <v>165</v>
      </c>
      <c r="I5077" s="917" t="str">
        <f>VLOOKUP($A5077,'Tech Litons'!$A:$C,3,0)</f>
        <v>BJ Bars</v>
      </c>
      <c r="J5077" s="918" t="str">
        <f t="shared" si="504"/>
        <v>1716BJ Bars</v>
      </c>
      <c r="K5077" s="919">
        <v>1</v>
      </c>
      <c r="L5077" s="920">
        <f t="shared" si="505"/>
        <v>24253</v>
      </c>
      <c r="M5077" s="920">
        <f t="shared" si="506"/>
        <v>58.207199999999993</v>
      </c>
      <c r="N5077" s="920">
        <f t="shared" si="507"/>
        <v>146.9878787878788</v>
      </c>
      <c r="O5077" s="918" t="str">
        <f t="shared" si="508"/>
        <v>Feb</v>
      </c>
      <c r="P5077" s="921">
        <f t="shared" si="509"/>
        <v>9</v>
      </c>
    </row>
    <row r="5078" spans="1:16" ht="15" hidden="1" customHeight="1">
      <c r="A5078" s="839">
        <v>64988053</v>
      </c>
      <c r="B5078" s="839">
        <v>1716</v>
      </c>
      <c r="C5078" s="906">
        <v>24276</v>
      </c>
      <c r="D5078" s="907">
        <v>46077</v>
      </c>
      <c r="E5078" s="839" t="s">
        <v>599</v>
      </c>
      <c r="F5078" s="839">
        <v>1716</v>
      </c>
      <c r="G5078" s="916">
        <f>VLOOKUP($A5078,'Tech Litons'!$A:$I,8,FALSE)</f>
        <v>2.3999999999999998E-3</v>
      </c>
      <c r="H5078" s="917">
        <f>VLOOKUP($A5078,'Tech Litons'!$A:$I,9,FALSE)</f>
        <v>165</v>
      </c>
      <c r="I5078" s="917" t="str">
        <f>VLOOKUP($A5078,'Tech Litons'!$A:$C,3,0)</f>
        <v>BJ Bars</v>
      </c>
      <c r="J5078" s="918" t="str">
        <f t="shared" si="504"/>
        <v>1716BJ Bars</v>
      </c>
      <c r="K5078" s="919">
        <v>1</v>
      </c>
      <c r="L5078" s="920">
        <f t="shared" si="505"/>
        <v>24276</v>
      </c>
      <c r="M5078" s="920">
        <f t="shared" si="506"/>
        <v>58.262399999999992</v>
      </c>
      <c r="N5078" s="920">
        <f t="shared" si="507"/>
        <v>147.12727272727273</v>
      </c>
      <c r="O5078" s="918" t="str">
        <f t="shared" si="508"/>
        <v>Feb</v>
      </c>
      <c r="P5078" s="921">
        <f t="shared" si="509"/>
        <v>9</v>
      </c>
    </row>
    <row r="5079" spans="1:16" ht="15" hidden="1" customHeight="1">
      <c r="A5079" s="839">
        <v>64987232</v>
      </c>
      <c r="B5079" s="839">
        <v>1716</v>
      </c>
      <c r="C5079" s="906">
        <v>24778</v>
      </c>
      <c r="D5079" s="907">
        <v>46077</v>
      </c>
      <c r="E5079" s="839" t="s">
        <v>596</v>
      </c>
      <c r="F5079" s="839">
        <v>1716</v>
      </c>
      <c r="G5079" s="916">
        <f>VLOOKUP($A5079,'Tech Litons'!$A:$I,8,FALSE)</f>
        <v>2.3999999999999998E-3</v>
      </c>
      <c r="H5079" s="917">
        <f>VLOOKUP($A5079,'Tech Litons'!$A:$I,9,FALSE)</f>
        <v>165</v>
      </c>
      <c r="I5079" s="917" t="str">
        <f>VLOOKUP($A5079,'Tech Litons'!$A:$C,3,0)</f>
        <v>BJ Bars</v>
      </c>
      <c r="J5079" s="918" t="str">
        <f t="shared" si="504"/>
        <v>1716BJ Bars</v>
      </c>
      <c r="K5079" s="919">
        <v>1</v>
      </c>
      <c r="L5079" s="920">
        <f t="shared" si="505"/>
        <v>24778</v>
      </c>
      <c r="M5079" s="920">
        <f t="shared" si="506"/>
        <v>59.467199999999998</v>
      </c>
      <c r="N5079" s="920">
        <f t="shared" si="507"/>
        <v>150.16969696969696</v>
      </c>
      <c r="O5079" s="918" t="str">
        <f t="shared" si="508"/>
        <v>Feb</v>
      </c>
      <c r="P5079" s="921">
        <f t="shared" si="509"/>
        <v>9</v>
      </c>
    </row>
    <row r="5080" spans="1:16" ht="15" hidden="1" customHeight="1">
      <c r="A5080" s="839">
        <v>64975613</v>
      </c>
      <c r="B5080" s="839">
        <v>1716</v>
      </c>
      <c r="C5080" s="906">
        <v>48560</v>
      </c>
      <c r="D5080" s="907">
        <v>46077</v>
      </c>
      <c r="E5080" s="839" t="s">
        <v>593</v>
      </c>
      <c r="F5080" s="839">
        <v>1716</v>
      </c>
      <c r="G5080" s="916">
        <f>VLOOKUP($A5080,'Tech Litons'!$A:$I,8,FALSE)</f>
        <v>3.3119999999999998E-3</v>
      </c>
      <c r="H5080" s="917">
        <f>VLOOKUP($A5080,'Tech Litons'!$A:$I,9,FALSE)</f>
        <v>240</v>
      </c>
      <c r="I5080" s="917" t="str">
        <f>VLOOKUP($A5080,'Tech Litons'!$A:$C,3,0)</f>
        <v>YS PTS</v>
      </c>
      <c r="J5080" s="918" t="str">
        <f t="shared" si="504"/>
        <v>1716YS PTS</v>
      </c>
      <c r="K5080" s="919">
        <v>1</v>
      </c>
      <c r="L5080" s="920">
        <f t="shared" si="505"/>
        <v>48560</v>
      </c>
      <c r="M5080" s="920">
        <f t="shared" si="506"/>
        <v>160.83071999999999</v>
      </c>
      <c r="N5080" s="920">
        <f t="shared" si="507"/>
        <v>202.33333333333334</v>
      </c>
      <c r="O5080" s="918" t="str">
        <f t="shared" si="508"/>
        <v>Feb</v>
      </c>
      <c r="P5080" s="921">
        <f t="shared" si="509"/>
        <v>9</v>
      </c>
    </row>
    <row r="5081" spans="1:16" ht="15" hidden="1" customHeight="1">
      <c r="A5081" s="839">
        <v>64975614</v>
      </c>
      <c r="B5081" s="839">
        <v>1716</v>
      </c>
      <c r="C5081" s="906">
        <v>95637</v>
      </c>
      <c r="D5081" s="907">
        <v>46077</v>
      </c>
      <c r="E5081" s="839" t="s">
        <v>594</v>
      </c>
      <c r="F5081" s="839">
        <v>1716</v>
      </c>
      <c r="G5081" s="916">
        <f>VLOOKUP($A5081,'Tech Litons'!$A:$I,8,FALSE)</f>
        <v>3.3119999999999998E-3</v>
      </c>
      <c r="H5081" s="917">
        <f>VLOOKUP($A5081,'Tech Litons'!$A:$I,9,FALSE)</f>
        <v>240</v>
      </c>
      <c r="I5081" s="917" t="str">
        <f>VLOOKUP($A5081,'Tech Litons'!$A:$C,3,0)</f>
        <v>YS PTS</v>
      </c>
      <c r="J5081" s="918" t="str">
        <f t="shared" si="504"/>
        <v>1716YS PTS</v>
      </c>
      <c r="K5081" s="919">
        <v>1</v>
      </c>
      <c r="L5081" s="920">
        <f t="shared" si="505"/>
        <v>95637</v>
      </c>
      <c r="M5081" s="920">
        <f t="shared" si="506"/>
        <v>316.74974399999996</v>
      </c>
      <c r="N5081" s="920">
        <f t="shared" si="507"/>
        <v>398.48750000000001</v>
      </c>
      <c r="O5081" s="918" t="str">
        <f t="shared" si="508"/>
        <v>Feb</v>
      </c>
      <c r="P5081" s="921">
        <f t="shared" si="509"/>
        <v>9</v>
      </c>
    </row>
    <row r="5082" spans="1:16" ht="15" hidden="1" customHeight="1">
      <c r="A5082" s="839">
        <v>64958129</v>
      </c>
      <c r="B5082" s="839">
        <v>1716</v>
      </c>
      <c r="C5082" s="906">
        <v>7117</v>
      </c>
      <c r="D5082" s="907">
        <v>46079</v>
      </c>
      <c r="E5082" s="839" t="s">
        <v>589</v>
      </c>
      <c r="F5082" s="839">
        <v>1716</v>
      </c>
      <c r="G5082" s="916">
        <f>VLOOKUP($A5082,'Tech Litons'!$A:$I,8,FALSE)</f>
        <v>3.3119999999999998E-3</v>
      </c>
      <c r="H5082" s="917">
        <f>VLOOKUP($A5082,'Tech Litons'!$A:$I,9,FALSE)</f>
        <v>165</v>
      </c>
      <c r="I5082" s="917" t="str">
        <f>VLOOKUP($A5082,'Tech Litons'!$A:$C,3,0)</f>
        <v>Yasso Sticks</v>
      </c>
      <c r="J5082" s="918" t="str">
        <f t="shared" si="504"/>
        <v>1716Yasso Sticks</v>
      </c>
      <c r="K5082" s="919">
        <v>1</v>
      </c>
      <c r="L5082" s="920">
        <f t="shared" si="505"/>
        <v>7117</v>
      </c>
      <c r="M5082" s="920">
        <f t="shared" si="506"/>
        <v>23.571503999999997</v>
      </c>
      <c r="N5082" s="920">
        <f t="shared" si="507"/>
        <v>43.133333333333333</v>
      </c>
      <c r="O5082" s="918" t="str">
        <f t="shared" si="508"/>
        <v>Feb</v>
      </c>
      <c r="P5082" s="921">
        <f t="shared" si="509"/>
        <v>9</v>
      </c>
    </row>
    <row r="5083" spans="1:16" ht="15" hidden="1" customHeight="1">
      <c r="A5083" s="839">
        <v>64975616</v>
      </c>
      <c r="B5083" s="839">
        <v>1716</v>
      </c>
      <c r="C5083" s="906">
        <v>62924</v>
      </c>
      <c r="D5083" s="907">
        <v>46079</v>
      </c>
      <c r="E5083" s="839" t="s">
        <v>385</v>
      </c>
      <c r="F5083" s="839">
        <v>1716</v>
      </c>
      <c r="G5083" s="916">
        <f>VLOOKUP($A5083,'Tech Litons'!$A:$I,8,FALSE)</f>
        <v>3.3119999999999998E-3</v>
      </c>
      <c r="H5083" s="917">
        <f>VLOOKUP($A5083,'Tech Litons'!$A:$I,9,FALSE)</f>
        <v>240</v>
      </c>
      <c r="I5083" s="917" t="str">
        <f>VLOOKUP($A5083,'Tech Litons'!$A:$C,3,0)</f>
        <v>YS PTS</v>
      </c>
      <c r="J5083" s="918" t="str">
        <f t="shared" si="504"/>
        <v>1716YS PTS</v>
      </c>
      <c r="K5083" s="919">
        <v>1</v>
      </c>
      <c r="L5083" s="920">
        <f t="shared" si="505"/>
        <v>62924</v>
      </c>
      <c r="M5083" s="920">
        <f t="shared" si="506"/>
        <v>208.40428799999998</v>
      </c>
      <c r="N5083" s="920">
        <f t="shared" si="507"/>
        <v>262.18333333333334</v>
      </c>
      <c r="O5083" s="918" t="str">
        <f t="shared" si="508"/>
        <v>Feb</v>
      </c>
      <c r="P5083" s="921">
        <f t="shared" si="509"/>
        <v>9</v>
      </c>
    </row>
    <row r="5084" spans="1:16" ht="15" hidden="1" customHeight="1">
      <c r="A5084" s="839">
        <v>64999073</v>
      </c>
      <c r="B5084" s="839">
        <v>1716</v>
      </c>
      <c r="C5084" s="906">
        <v>46482</v>
      </c>
      <c r="D5084" s="907">
        <v>46083</v>
      </c>
      <c r="E5084" s="839" t="s">
        <v>595</v>
      </c>
      <c r="F5084" s="839">
        <v>1716</v>
      </c>
      <c r="G5084" s="916">
        <f>VLOOKUP($A5084,'Tech Litons'!$A:$I,8,FALSE)</f>
        <v>3.3119999999999998E-3</v>
      </c>
      <c r="H5084" s="917">
        <f>VLOOKUP($A5084,'Tech Litons'!$A:$I,9,FALSE)</f>
        <v>240</v>
      </c>
      <c r="I5084" s="917" t="str">
        <f>VLOOKUP($A5084,'Tech Litons'!$A:$C,3,0)</f>
        <v>YS PTS</v>
      </c>
      <c r="J5084" s="918" t="str">
        <f t="shared" si="504"/>
        <v>1716YS PTS</v>
      </c>
      <c r="K5084" s="919">
        <v>1</v>
      </c>
      <c r="L5084" s="920">
        <f t="shared" si="505"/>
        <v>46482</v>
      </c>
      <c r="M5084" s="920">
        <f t="shared" si="506"/>
        <v>153.948384</v>
      </c>
      <c r="N5084" s="920">
        <f t="shared" si="507"/>
        <v>193.67500000000001</v>
      </c>
      <c r="O5084" s="918" t="str">
        <f t="shared" si="508"/>
        <v>Mar</v>
      </c>
      <c r="P5084" s="921">
        <f t="shared" si="509"/>
        <v>10</v>
      </c>
    </row>
    <row r="5085" spans="1:16" ht="15" hidden="1" customHeight="1">
      <c r="A5085" s="839">
        <v>64999042</v>
      </c>
      <c r="B5085" s="839">
        <v>1716</v>
      </c>
      <c r="C5085" s="906">
        <v>13758</v>
      </c>
      <c r="D5085" s="907">
        <v>46085</v>
      </c>
      <c r="E5085" s="839" t="s">
        <v>489</v>
      </c>
      <c r="F5085" s="839">
        <v>1716</v>
      </c>
      <c r="G5085" s="916">
        <f>VLOOKUP($A5085,'Tech Litons'!$A:$I,8,FALSE)</f>
        <v>3.3119999999999998E-3</v>
      </c>
      <c r="H5085" s="917">
        <f>VLOOKUP($A5085,'Tech Litons'!$A:$I,9,FALSE)</f>
        <v>240</v>
      </c>
      <c r="I5085" s="917" t="str">
        <f>VLOOKUP($A5085,'Tech Litons'!$A:$C,3,0)</f>
        <v>YS PTS</v>
      </c>
      <c r="J5085" s="918" t="str">
        <f t="shared" si="504"/>
        <v>1716YS PTS</v>
      </c>
      <c r="K5085" s="919">
        <v>1</v>
      </c>
      <c r="L5085" s="920">
        <f t="shared" si="505"/>
        <v>13758</v>
      </c>
      <c r="M5085" s="920">
        <f t="shared" si="506"/>
        <v>45.566496000000001</v>
      </c>
      <c r="N5085" s="920">
        <f t="shared" si="507"/>
        <v>57.325000000000003</v>
      </c>
      <c r="O5085" s="918" t="str">
        <f t="shared" si="508"/>
        <v>Mar</v>
      </c>
      <c r="P5085" s="921">
        <f t="shared" si="509"/>
        <v>10</v>
      </c>
    </row>
    <row r="5086" spans="1:16" ht="15" hidden="1" customHeight="1">
      <c r="A5086" s="839">
        <v>64987233</v>
      </c>
      <c r="B5086" s="839">
        <v>1716</v>
      </c>
      <c r="C5086" s="906">
        <v>15090</v>
      </c>
      <c r="D5086" s="907">
        <v>46086</v>
      </c>
      <c r="E5086" s="839" t="s">
        <v>597</v>
      </c>
      <c r="F5086" s="839">
        <v>1716</v>
      </c>
      <c r="G5086" s="916">
        <f>VLOOKUP($A5086,'Tech Litons'!$A:$I,8,FALSE)</f>
        <v>2.3999999999999998E-3</v>
      </c>
      <c r="H5086" s="917">
        <f>VLOOKUP($A5086,'Tech Litons'!$A:$I,9,FALSE)</f>
        <v>165</v>
      </c>
      <c r="I5086" s="917" t="str">
        <f>VLOOKUP($A5086,'Tech Litons'!$A:$C,3,0)</f>
        <v>BJ Bars</v>
      </c>
      <c r="J5086" s="918" t="str">
        <f t="shared" si="504"/>
        <v>1716BJ Bars</v>
      </c>
      <c r="K5086" s="919">
        <v>1</v>
      </c>
      <c r="L5086" s="920">
        <f t="shared" si="505"/>
        <v>15090</v>
      </c>
      <c r="M5086" s="920">
        <f t="shared" si="506"/>
        <v>36.215999999999994</v>
      </c>
      <c r="N5086" s="920">
        <f t="shared" si="507"/>
        <v>91.454545454545453</v>
      </c>
      <c r="O5086" s="918" t="str">
        <f t="shared" si="508"/>
        <v>Mar</v>
      </c>
      <c r="P5086" s="921">
        <f t="shared" si="509"/>
        <v>10</v>
      </c>
    </row>
    <row r="5087" spans="1:16" ht="15" hidden="1" customHeight="1">
      <c r="A5087" s="839">
        <v>64988054</v>
      </c>
      <c r="B5087" s="839">
        <v>1716</v>
      </c>
      <c r="C5087" s="906">
        <v>31084</v>
      </c>
      <c r="D5087" s="907">
        <v>46086</v>
      </c>
      <c r="E5087" s="839" t="s">
        <v>600</v>
      </c>
      <c r="F5087" s="839">
        <v>1716</v>
      </c>
      <c r="G5087" s="916">
        <f>VLOOKUP($A5087,'Tech Litons'!$A:$I,8,FALSE)</f>
        <v>2.3999999999999998E-3</v>
      </c>
      <c r="H5087" s="917">
        <f>VLOOKUP($A5087,'Tech Litons'!$A:$I,9,FALSE)</f>
        <v>165</v>
      </c>
      <c r="I5087" s="917" t="str">
        <f>VLOOKUP($A5087,'Tech Litons'!$A:$C,3,0)</f>
        <v>BJ Bars</v>
      </c>
      <c r="J5087" s="918" t="str">
        <f t="shared" si="504"/>
        <v>1716BJ Bars</v>
      </c>
      <c r="K5087" s="919">
        <v>1</v>
      </c>
      <c r="L5087" s="920">
        <f t="shared" si="505"/>
        <v>31084</v>
      </c>
      <c r="M5087" s="920">
        <f t="shared" si="506"/>
        <v>74.601599999999991</v>
      </c>
      <c r="N5087" s="920">
        <f t="shared" si="507"/>
        <v>188.38787878787878</v>
      </c>
      <c r="O5087" s="918" t="str">
        <f t="shared" si="508"/>
        <v>Mar</v>
      </c>
      <c r="P5087" s="921">
        <f t="shared" si="509"/>
        <v>10</v>
      </c>
    </row>
    <row r="5088" spans="1:16" ht="15" hidden="1" customHeight="1">
      <c r="A5088" s="839">
        <v>64975614</v>
      </c>
      <c r="B5088" s="839">
        <v>1716</v>
      </c>
      <c r="C5088" s="906">
        <v>11520</v>
      </c>
      <c r="D5088" s="907">
        <v>46087</v>
      </c>
      <c r="E5088" s="839" t="s">
        <v>594</v>
      </c>
      <c r="F5088" s="839">
        <v>1716</v>
      </c>
      <c r="G5088" s="916">
        <f>VLOOKUP($A5088,'Tech Litons'!$A:$I,8,FALSE)</f>
        <v>3.3119999999999998E-3</v>
      </c>
      <c r="H5088" s="917">
        <f>VLOOKUP($A5088,'Tech Litons'!$A:$I,9,FALSE)</f>
        <v>240</v>
      </c>
      <c r="I5088" s="917" t="str">
        <f>VLOOKUP($A5088,'Tech Litons'!$A:$C,3,0)</f>
        <v>YS PTS</v>
      </c>
      <c r="J5088" s="918" t="str">
        <f t="shared" si="504"/>
        <v>1716YS PTS</v>
      </c>
      <c r="K5088" s="919">
        <v>1</v>
      </c>
      <c r="L5088" s="920">
        <f t="shared" si="505"/>
        <v>11520</v>
      </c>
      <c r="M5088" s="920">
        <f t="shared" si="506"/>
        <v>38.154240000000001</v>
      </c>
      <c r="N5088" s="920">
        <f t="shared" si="507"/>
        <v>48</v>
      </c>
      <c r="O5088" s="918" t="str">
        <f t="shared" si="508"/>
        <v>Mar</v>
      </c>
      <c r="P5088" s="921">
        <f t="shared" si="509"/>
        <v>10</v>
      </c>
    </row>
    <row r="5089" spans="1:16" ht="15" hidden="1" customHeight="1">
      <c r="A5089" s="839">
        <v>64999073</v>
      </c>
      <c r="B5089" s="839">
        <v>1716</v>
      </c>
      <c r="C5089" s="906">
        <v>15235</v>
      </c>
      <c r="D5089" s="907">
        <v>46087</v>
      </c>
      <c r="E5089" s="839" t="s">
        <v>595</v>
      </c>
      <c r="F5089" s="839">
        <v>1716</v>
      </c>
      <c r="G5089" s="916">
        <f>VLOOKUP($A5089,'Tech Litons'!$A:$I,8,FALSE)</f>
        <v>3.3119999999999998E-3</v>
      </c>
      <c r="H5089" s="917">
        <f>VLOOKUP($A5089,'Tech Litons'!$A:$I,9,FALSE)</f>
        <v>240</v>
      </c>
      <c r="I5089" s="917" t="str">
        <f>VLOOKUP($A5089,'Tech Litons'!$A:$C,3,0)</f>
        <v>YS PTS</v>
      </c>
      <c r="J5089" s="918" t="str">
        <f t="shared" si="504"/>
        <v>1716YS PTS</v>
      </c>
      <c r="K5089" s="919">
        <v>1</v>
      </c>
      <c r="L5089" s="920">
        <f t="shared" si="505"/>
        <v>15235</v>
      </c>
      <c r="M5089" s="920">
        <f t="shared" si="506"/>
        <v>50.458320000000001</v>
      </c>
      <c r="N5089" s="920">
        <f t="shared" si="507"/>
        <v>63.479166666666664</v>
      </c>
      <c r="O5089" s="918" t="str">
        <f t="shared" si="508"/>
        <v>Mar</v>
      </c>
      <c r="P5089" s="921">
        <f t="shared" si="509"/>
        <v>10</v>
      </c>
    </row>
    <row r="5090" spans="1:16" ht="15" hidden="1" customHeight="1">
      <c r="A5090" s="839">
        <v>64999073</v>
      </c>
      <c r="B5090" s="839">
        <v>1716</v>
      </c>
      <c r="C5090" s="906">
        <v>13048</v>
      </c>
      <c r="D5090" s="907">
        <v>46093</v>
      </c>
      <c r="E5090" s="839" t="s">
        <v>595</v>
      </c>
      <c r="F5090" s="839">
        <v>1716</v>
      </c>
      <c r="G5090" s="916">
        <f>VLOOKUP($A5090,'Tech Litons'!$A:$I,8,FALSE)</f>
        <v>3.3119999999999998E-3</v>
      </c>
      <c r="H5090" s="917">
        <f>VLOOKUP($A5090,'Tech Litons'!$A:$I,9,FALSE)</f>
        <v>240</v>
      </c>
      <c r="I5090" s="917" t="str">
        <f>VLOOKUP($A5090,'Tech Litons'!$A:$C,3,0)</f>
        <v>YS PTS</v>
      </c>
      <c r="J5090" s="918" t="str">
        <f t="shared" si="504"/>
        <v>1716YS PTS</v>
      </c>
      <c r="K5090" s="919">
        <v>1</v>
      </c>
      <c r="L5090" s="920">
        <f t="shared" si="505"/>
        <v>13048</v>
      </c>
      <c r="M5090" s="920">
        <f t="shared" si="506"/>
        <v>43.214976</v>
      </c>
      <c r="N5090" s="920">
        <f t="shared" si="507"/>
        <v>54.366666666666667</v>
      </c>
      <c r="O5090" s="918" t="str">
        <f t="shared" si="508"/>
        <v>Mar</v>
      </c>
      <c r="P5090" s="921">
        <f t="shared" si="509"/>
        <v>11</v>
      </c>
    </row>
    <row r="5091" spans="1:16" ht="15" hidden="1" customHeight="1">
      <c r="A5091" s="839">
        <v>64975616</v>
      </c>
      <c r="B5091" s="839">
        <v>1716</v>
      </c>
      <c r="C5091" s="906">
        <v>28058</v>
      </c>
      <c r="D5091" s="907">
        <v>46097</v>
      </c>
      <c r="E5091" s="839" t="s">
        <v>385</v>
      </c>
      <c r="F5091" s="839">
        <v>1716</v>
      </c>
      <c r="G5091" s="916">
        <f>VLOOKUP($A5091,'Tech Litons'!$A:$I,8,FALSE)</f>
        <v>3.3119999999999998E-3</v>
      </c>
      <c r="H5091" s="917">
        <f>VLOOKUP($A5091,'Tech Litons'!$A:$I,9,FALSE)</f>
        <v>240</v>
      </c>
      <c r="I5091" s="917" t="str">
        <f>VLOOKUP($A5091,'Tech Litons'!$A:$C,3,0)</f>
        <v>YS PTS</v>
      </c>
      <c r="J5091" s="918" t="str">
        <f t="shared" si="504"/>
        <v>1716YS PTS</v>
      </c>
      <c r="K5091" s="919">
        <v>1</v>
      </c>
      <c r="L5091" s="920">
        <f t="shared" si="505"/>
        <v>28058</v>
      </c>
      <c r="M5091" s="920">
        <f t="shared" si="506"/>
        <v>92.928095999999996</v>
      </c>
      <c r="N5091" s="920">
        <f t="shared" si="507"/>
        <v>116.90833333333333</v>
      </c>
      <c r="O5091" s="918" t="str">
        <f t="shared" si="508"/>
        <v>Mar</v>
      </c>
      <c r="P5091" s="921">
        <f t="shared" si="509"/>
        <v>12</v>
      </c>
    </row>
    <row r="5092" spans="1:16" ht="15" hidden="1" customHeight="1">
      <c r="A5092" s="839">
        <v>64987234</v>
      </c>
      <c r="B5092" s="839">
        <v>1716</v>
      </c>
      <c r="C5092" s="906">
        <v>11945</v>
      </c>
      <c r="D5092" s="907">
        <v>46100</v>
      </c>
      <c r="E5092" s="839" t="s">
        <v>598</v>
      </c>
      <c r="F5092" s="839">
        <v>1716</v>
      </c>
      <c r="G5092" s="916">
        <f>VLOOKUP($A5092,'Tech Litons'!$A:$I,8,FALSE)</f>
        <v>2.3999999999999998E-3</v>
      </c>
      <c r="H5092" s="917">
        <f>VLOOKUP($A5092,'Tech Litons'!$A:$I,9,FALSE)</f>
        <v>165</v>
      </c>
      <c r="I5092" s="917" t="str">
        <f>VLOOKUP($A5092,'Tech Litons'!$A:$C,3,0)</f>
        <v>BJ Bars</v>
      </c>
      <c r="J5092" s="918" t="str">
        <f t="shared" si="504"/>
        <v>1716BJ Bars</v>
      </c>
      <c r="K5092" s="919">
        <v>1</v>
      </c>
      <c r="L5092" s="920">
        <f t="shared" si="505"/>
        <v>11945</v>
      </c>
      <c r="M5092" s="920">
        <f t="shared" si="506"/>
        <v>28.667999999999999</v>
      </c>
      <c r="N5092" s="920">
        <f t="shared" si="507"/>
        <v>72.393939393939391</v>
      </c>
      <c r="O5092" s="918" t="str">
        <f t="shared" si="508"/>
        <v>Mar</v>
      </c>
      <c r="P5092" s="921">
        <f t="shared" si="509"/>
        <v>12</v>
      </c>
    </row>
    <row r="5093" spans="1:16" ht="15" hidden="1" customHeight="1">
      <c r="A5093" s="839">
        <v>65218505</v>
      </c>
      <c r="B5093" s="839">
        <v>1716</v>
      </c>
      <c r="C5093" s="906">
        <v>38332</v>
      </c>
      <c r="D5093" s="907">
        <v>46100</v>
      </c>
      <c r="E5093" s="839" t="s">
        <v>586</v>
      </c>
      <c r="F5093" s="839">
        <v>1716</v>
      </c>
      <c r="G5093" s="916">
        <f>VLOOKUP($A5093,'Tech Litons'!$A:$I,8,FALSE)</f>
        <v>3.3119999999999998E-3</v>
      </c>
      <c r="H5093" s="917">
        <f>VLOOKUP($A5093,'Tech Litons'!$A:$I,9,FALSE)</f>
        <v>165</v>
      </c>
      <c r="I5093" s="917" t="str">
        <f>VLOOKUP($A5093,'Tech Litons'!$A:$C,3,0)</f>
        <v>Yasso Sticks</v>
      </c>
      <c r="J5093" s="918" t="str">
        <f t="shared" si="504"/>
        <v>1716Yasso Sticks</v>
      </c>
      <c r="K5093" s="919">
        <v>1</v>
      </c>
      <c r="L5093" s="920">
        <f t="shared" si="505"/>
        <v>38332</v>
      </c>
      <c r="M5093" s="920">
        <f t="shared" si="506"/>
        <v>126.95558399999999</v>
      </c>
      <c r="N5093" s="920">
        <f t="shared" si="507"/>
        <v>232.31515151515151</v>
      </c>
      <c r="O5093" s="918" t="str">
        <f t="shared" si="508"/>
        <v>Mar</v>
      </c>
      <c r="P5093" s="921">
        <f t="shared" si="509"/>
        <v>12</v>
      </c>
    </row>
    <row r="5094" spans="1:16" ht="15" hidden="1" customHeight="1">
      <c r="A5094" s="839">
        <v>64975613</v>
      </c>
      <c r="B5094" s="839">
        <v>1716</v>
      </c>
      <c r="C5094" s="906">
        <v>54600</v>
      </c>
      <c r="D5094" s="907">
        <v>46100</v>
      </c>
      <c r="E5094" s="839" t="s">
        <v>593</v>
      </c>
      <c r="F5094" s="839">
        <v>1716</v>
      </c>
      <c r="G5094" s="916">
        <f>VLOOKUP($A5094,'Tech Litons'!$A:$I,8,FALSE)</f>
        <v>3.3119999999999998E-3</v>
      </c>
      <c r="H5094" s="917">
        <f>VLOOKUP($A5094,'Tech Litons'!$A:$I,9,FALSE)</f>
        <v>240</v>
      </c>
      <c r="I5094" s="917" t="str">
        <f>VLOOKUP($A5094,'Tech Litons'!$A:$C,3,0)</f>
        <v>YS PTS</v>
      </c>
      <c r="J5094" s="918" t="str">
        <f t="shared" si="504"/>
        <v>1716YS PTS</v>
      </c>
      <c r="K5094" s="919">
        <v>1</v>
      </c>
      <c r="L5094" s="920">
        <f t="shared" si="505"/>
        <v>54600</v>
      </c>
      <c r="M5094" s="920">
        <f t="shared" si="506"/>
        <v>180.83519999999999</v>
      </c>
      <c r="N5094" s="920">
        <f t="shared" si="507"/>
        <v>227.5</v>
      </c>
      <c r="O5094" s="918" t="str">
        <f t="shared" si="508"/>
        <v>Mar</v>
      </c>
      <c r="P5094" s="921">
        <f t="shared" si="509"/>
        <v>12</v>
      </c>
    </row>
    <row r="5095" spans="1:16" ht="15" hidden="1" customHeight="1">
      <c r="A5095" s="839">
        <v>65254774</v>
      </c>
      <c r="B5095" s="839">
        <v>6765</v>
      </c>
      <c r="C5095" s="906">
        <v>28546</v>
      </c>
      <c r="D5095" s="907">
        <v>46083</v>
      </c>
      <c r="E5095" s="839" t="s">
        <v>614</v>
      </c>
      <c r="F5095" s="839">
        <v>6765</v>
      </c>
      <c r="G5095" s="916">
        <f>VLOOKUP($A5095,'Tech Litons'!$A:$I,8,FALSE)</f>
        <v>1E-3</v>
      </c>
      <c r="H5095" s="917">
        <f>VLOOKUP($A5095,'Tech Litons'!$A:$I,9,FALSE)</f>
        <v>420</v>
      </c>
      <c r="I5095" s="917" t="str">
        <f>VLOOKUP($A5095,'Tech Litons'!$A:$C,3,0)</f>
        <v>Other</v>
      </c>
      <c r="J5095" s="918" t="str">
        <f t="shared" si="504"/>
        <v>6765Other</v>
      </c>
      <c r="K5095" s="919">
        <v>1</v>
      </c>
      <c r="L5095" s="920">
        <f t="shared" si="505"/>
        <v>28546</v>
      </c>
      <c r="M5095" s="920">
        <f t="shared" si="506"/>
        <v>28.545999999999999</v>
      </c>
      <c r="N5095" s="920">
        <f t="shared" si="507"/>
        <v>67.966666666666669</v>
      </c>
      <c r="O5095" s="918" t="str">
        <f t="shared" si="508"/>
        <v>Mar</v>
      </c>
      <c r="P5095" s="921">
        <f t="shared" si="509"/>
        <v>10</v>
      </c>
    </row>
    <row r="5096" spans="1:16" ht="15" hidden="1" customHeight="1">
      <c r="A5096" s="839">
        <v>65254774</v>
      </c>
      <c r="B5096" s="839">
        <v>6765</v>
      </c>
      <c r="C5096" s="906">
        <v>30578</v>
      </c>
      <c r="D5096" s="907">
        <v>46084</v>
      </c>
      <c r="E5096" s="839" t="s">
        <v>614</v>
      </c>
      <c r="F5096" s="839">
        <v>6765</v>
      </c>
      <c r="G5096" s="916">
        <f>VLOOKUP($A5096,'Tech Litons'!$A:$I,8,FALSE)</f>
        <v>1E-3</v>
      </c>
      <c r="H5096" s="917">
        <f>VLOOKUP($A5096,'Tech Litons'!$A:$I,9,FALSE)</f>
        <v>420</v>
      </c>
      <c r="I5096" s="917" t="str">
        <f>VLOOKUP($A5096,'Tech Litons'!$A:$C,3,0)</f>
        <v>Other</v>
      </c>
      <c r="J5096" s="918" t="str">
        <f t="shared" si="504"/>
        <v>6765Other</v>
      </c>
      <c r="K5096" s="919">
        <v>1</v>
      </c>
      <c r="L5096" s="920">
        <f t="shared" si="505"/>
        <v>30578</v>
      </c>
      <c r="M5096" s="920">
        <f t="shared" si="506"/>
        <v>30.577999999999999</v>
      </c>
      <c r="N5096" s="920">
        <f t="shared" si="507"/>
        <v>72.804761904761904</v>
      </c>
      <c r="O5096" s="918" t="str">
        <f t="shared" si="508"/>
        <v>Mar</v>
      </c>
      <c r="P5096" s="921">
        <f t="shared" si="509"/>
        <v>10</v>
      </c>
    </row>
    <row r="5097" spans="1:16" ht="15" hidden="1" customHeight="1">
      <c r="A5097" s="839">
        <v>64979410</v>
      </c>
      <c r="B5097" s="839">
        <v>6764</v>
      </c>
      <c r="C5097" s="906">
        <v>18588</v>
      </c>
      <c r="D5097" s="907">
        <v>46085</v>
      </c>
      <c r="E5097" s="839" t="s">
        <v>611</v>
      </c>
      <c r="F5097" s="839">
        <v>6764</v>
      </c>
      <c r="G5097" s="916">
        <f>VLOOKUP($A5097,'Tech Litons'!$A:$I,8,FALSE)</f>
        <v>4.248E-3</v>
      </c>
      <c r="H5097" s="917">
        <f>VLOOKUP($A5097,'Tech Litons'!$A:$I,9,FALSE)</f>
        <v>324</v>
      </c>
      <c r="I5097" s="917" t="str">
        <f>VLOOKUP($A5097,'Tech Litons'!$A:$C,3,0)</f>
        <v>Other</v>
      </c>
      <c r="J5097" s="918" t="str">
        <f t="shared" si="504"/>
        <v>6764Other</v>
      </c>
      <c r="K5097" s="919">
        <v>1</v>
      </c>
      <c r="L5097" s="920">
        <f t="shared" si="505"/>
        <v>18588</v>
      </c>
      <c r="M5097" s="920">
        <f t="shared" si="506"/>
        <v>78.961824000000007</v>
      </c>
      <c r="N5097" s="920">
        <f t="shared" si="507"/>
        <v>57.370370370370374</v>
      </c>
      <c r="O5097" s="918" t="str">
        <f t="shared" si="508"/>
        <v>Mar</v>
      </c>
      <c r="P5097" s="921">
        <f t="shared" si="509"/>
        <v>10</v>
      </c>
    </row>
    <row r="5098" spans="1:16" ht="15" hidden="1" customHeight="1">
      <c r="A5098" s="839">
        <v>64979410</v>
      </c>
      <c r="B5098" s="839">
        <v>6764</v>
      </c>
      <c r="C5098" s="906">
        <v>16474</v>
      </c>
      <c r="D5098" s="907">
        <v>46086</v>
      </c>
      <c r="E5098" s="839" t="s">
        <v>611</v>
      </c>
      <c r="F5098" s="839">
        <v>6764</v>
      </c>
      <c r="G5098" s="916">
        <f>VLOOKUP($A5098,'Tech Litons'!$A:$I,8,FALSE)</f>
        <v>4.248E-3</v>
      </c>
      <c r="H5098" s="917">
        <f>VLOOKUP($A5098,'Tech Litons'!$A:$I,9,FALSE)</f>
        <v>324</v>
      </c>
      <c r="I5098" s="917" t="str">
        <f>VLOOKUP($A5098,'Tech Litons'!$A:$C,3,0)</f>
        <v>Other</v>
      </c>
      <c r="J5098" s="918" t="str">
        <f t="shared" si="504"/>
        <v>6764Other</v>
      </c>
      <c r="K5098" s="919">
        <v>1</v>
      </c>
      <c r="L5098" s="920">
        <f t="shared" si="505"/>
        <v>16474</v>
      </c>
      <c r="M5098" s="920">
        <f t="shared" si="506"/>
        <v>69.981552000000008</v>
      </c>
      <c r="N5098" s="920">
        <f t="shared" si="507"/>
        <v>50.845679012345677</v>
      </c>
      <c r="O5098" s="918" t="str">
        <f t="shared" si="508"/>
        <v>Mar</v>
      </c>
      <c r="P5098" s="921">
        <f t="shared" si="509"/>
        <v>10</v>
      </c>
    </row>
    <row r="5099" spans="1:16" ht="15" hidden="1" customHeight="1">
      <c r="A5099" s="839">
        <v>65254774</v>
      </c>
      <c r="B5099" s="839">
        <v>6765</v>
      </c>
      <c r="C5099" s="906">
        <v>31172</v>
      </c>
      <c r="D5099" s="907">
        <v>46090</v>
      </c>
      <c r="E5099" s="839" t="s">
        <v>614</v>
      </c>
      <c r="F5099" s="839">
        <v>6765</v>
      </c>
      <c r="G5099" s="916">
        <f>VLOOKUP($A5099,'Tech Litons'!$A:$I,8,FALSE)</f>
        <v>1E-3</v>
      </c>
      <c r="H5099" s="917">
        <f>VLOOKUP($A5099,'Tech Litons'!$A:$I,9,FALSE)</f>
        <v>420</v>
      </c>
      <c r="I5099" s="917" t="str">
        <f>VLOOKUP($A5099,'Tech Litons'!$A:$C,3,0)</f>
        <v>Other</v>
      </c>
      <c r="J5099" s="918" t="str">
        <f t="shared" si="504"/>
        <v>6765Other</v>
      </c>
      <c r="K5099" s="919">
        <v>1</v>
      </c>
      <c r="L5099" s="920">
        <f t="shared" si="505"/>
        <v>31172</v>
      </c>
      <c r="M5099" s="920">
        <f t="shared" si="506"/>
        <v>31.172000000000001</v>
      </c>
      <c r="N5099" s="920">
        <f t="shared" si="507"/>
        <v>74.219047619047615</v>
      </c>
      <c r="O5099" s="918" t="str">
        <f t="shared" si="508"/>
        <v>Mar</v>
      </c>
      <c r="P5099" s="921">
        <f t="shared" si="509"/>
        <v>11</v>
      </c>
    </row>
    <row r="5100" spans="1:16" ht="15" hidden="1" customHeight="1">
      <c r="A5100" s="839">
        <v>64979410</v>
      </c>
      <c r="B5100" s="839">
        <v>6764</v>
      </c>
      <c r="C5100" s="906">
        <v>14331</v>
      </c>
      <c r="D5100" s="907">
        <v>46091</v>
      </c>
      <c r="E5100" s="839" t="s">
        <v>611</v>
      </c>
      <c r="F5100" s="839">
        <v>6764</v>
      </c>
      <c r="G5100" s="916">
        <f>VLOOKUP($A5100,'Tech Litons'!$A:$I,8,FALSE)</f>
        <v>4.248E-3</v>
      </c>
      <c r="H5100" s="917">
        <f>VLOOKUP($A5100,'Tech Litons'!$A:$I,9,FALSE)</f>
        <v>324</v>
      </c>
      <c r="I5100" s="917" t="str">
        <f>VLOOKUP($A5100,'Tech Litons'!$A:$C,3,0)</f>
        <v>Other</v>
      </c>
      <c r="J5100" s="918" t="str">
        <f t="shared" si="504"/>
        <v>6764Other</v>
      </c>
      <c r="K5100" s="919">
        <v>1</v>
      </c>
      <c r="L5100" s="920">
        <f t="shared" si="505"/>
        <v>14331</v>
      </c>
      <c r="M5100" s="920">
        <f t="shared" si="506"/>
        <v>60.878087999999998</v>
      </c>
      <c r="N5100" s="920">
        <f t="shared" si="507"/>
        <v>44.231481481481481</v>
      </c>
      <c r="O5100" s="918" t="str">
        <f t="shared" si="508"/>
        <v>Mar</v>
      </c>
      <c r="P5100" s="921">
        <f t="shared" si="509"/>
        <v>11</v>
      </c>
    </row>
    <row r="5101" spans="1:16" ht="15" hidden="1" customHeight="1">
      <c r="A5101" s="839">
        <v>65254774</v>
      </c>
      <c r="B5101" s="839">
        <v>6765</v>
      </c>
      <c r="C5101" s="906">
        <v>22276</v>
      </c>
      <c r="D5101" s="907">
        <v>46098</v>
      </c>
      <c r="E5101" s="839" t="s">
        <v>614</v>
      </c>
      <c r="F5101" s="839">
        <v>6765</v>
      </c>
      <c r="G5101" s="916">
        <f>VLOOKUP($A5101,'Tech Litons'!$A:$I,8,FALSE)</f>
        <v>1E-3</v>
      </c>
      <c r="H5101" s="917">
        <f>VLOOKUP($A5101,'Tech Litons'!$A:$I,9,FALSE)</f>
        <v>420</v>
      </c>
      <c r="I5101" s="917" t="str">
        <f>VLOOKUP($A5101,'Tech Litons'!$A:$C,3,0)</f>
        <v>Other</v>
      </c>
      <c r="J5101" s="918" t="str">
        <f t="shared" si="504"/>
        <v>6765Other</v>
      </c>
      <c r="K5101" s="919">
        <v>1</v>
      </c>
      <c r="L5101" s="920">
        <f t="shared" si="505"/>
        <v>22276</v>
      </c>
      <c r="M5101" s="920">
        <f t="shared" si="506"/>
        <v>22.276</v>
      </c>
      <c r="N5101" s="920">
        <f t="shared" si="507"/>
        <v>53.038095238095238</v>
      </c>
      <c r="O5101" s="918" t="str">
        <f t="shared" si="508"/>
        <v>Mar</v>
      </c>
      <c r="P5101" s="921">
        <f t="shared" si="509"/>
        <v>12</v>
      </c>
    </row>
    <row r="5102" spans="1:16" ht="15" hidden="1" customHeight="1">
      <c r="A5102" s="839">
        <v>64989108</v>
      </c>
      <c r="B5102" s="839">
        <v>6765</v>
      </c>
      <c r="C5102" s="906">
        <v>1739</v>
      </c>
      <c r="D5102" s="907">
        <v>46099</v>
      </c>
      <c r="E5102" s="839" t="s">
        <v>613</v>
      </c>
      <c r="F5102" s="839">
        <v>6765</v>
      </c>
      <c r="G5102" s="916">
        <f>VLOOKUP($A5102,'Tech Litons'!$A:$I,8,FALSE)</f>
        <v>5.3220000000000003E-3</v>
      </c>
      <c r="H5102" s="917">
        <f>VLOOKUP($A5102,'Tech Litons'!$A:$I,9,FALSE)</f>
        <v>120</v>
      </c>
      <c r="I5102" s="917" t="str">
        <f>VLOOKUP($A5102,'Tech Litons'!$A:$C,3,0)</f>
        <v>BR Minicups</v>
      </c>
      <c r="J5102" s="918" t="str">
        <f t="shared" ref="J5102:J5165" si="510">B5102&amp;I5102</f>
        <v>6765BR Minicups</v>
      </c>
      <c r="K5102" s="919">
        <v>1</v>
      </c>
      <c r="L5102" s="920">
        <f t="shared" ref="L5102:L5165" si="511">C5102*$K5102</f>
        <v>1739</v>
      </c>
      <c r="M5102" s="920">
        <f t="shared" ref="M5102:M5165" si="512">L5102*G5102</f>
        <v>9.2549580000000002</v>
      </c>
      <c r="N5102" s="920">
        <f t="shared" ref="N5102:N5165" si="513">L5102/H5102</f>
        <v>14.491666666666667</v>
      </c>
      <c r="O5102" s="918" t="str">
        <f t="shared" ref="O5102:O5165" si="514">TEXT(D5102,"MMM")</f>
        <v>Mar</v>
      </c>
      <c r="P5102" s="921">
        <f t="shared" ref="P5102:P5165" si="515">WEEKNUM(D5102)</f>
        <v>12</v>
      </c>
    </row>
    <row r="5103" spans="1:16" ht="15" hidden="1" customHeight="1">
      <c r="A5103" s="839">
        <v>64989109</v>
      </c>
      <c r="B5103" s="839">
        <v>6765</v>
      </c>
      <c r="C5103" s="906">
        <v>5847</v>
      </c>
      <c r="D5103" s="907">
        <v>46099</v>
      </c>
      <c r="E5103" s="839" t="s">
        <v>608</v>
      </c>
      <c r="F5103" s="839">
        <v>6765</v>
      </c>
      <c r="G5103" s="916">
        <f>VLOOKUP($A5103,'Tech Litons'!$A:$I,8,FALSE)</f>
        <v>5.3220000000000003E-3</v>
      </c>
      <c r="H5103" s="917">
        <f>VLOOKUP($A5103,'Tech Litons'!$A:$I,9,FALSE)</f>
        <v>120</v>
      </c>
      <c r="I5103" s="917" t="str">
        <f>VLOOKUP($A5103,'Tech Litons'!$A:$C,3,0)</f>
        <v>BR Minicups</v>
      </c>
      <c r="J5103" s="918" t="str">
        <f t="shared" si="510"/>
        <v>6765BR Minicups</v>
      </c>
      <c r="K5103" s="919">
        <v>1</v>
      </c>
      <c r="L5103" s="920">
        <f t="shared" si="511"/>
        <v>5847</v>
      </c>
      <c r="M5103" s="920">
        <f t="shared" si="512"/>
        <v>31.117734000000002</v>
      </c>
      <c r="N5103" s="920">
        <f t="shared" si="513"/>
        <v>48.725000000000001</v>
      </c>
      <c r="O5103" s="918" t="str">
        <f t="shared" si="514"/>
        <v>Mar</v>
      </c>
      <c r="P5103" s="921">
        <f t="shared" si="515"/>
        <v>12</v>
      </c>
    </row>
    <row r="5104" spans="1:16" ht="15" hidden="1" customHeight="1">
      <c r="A5104" s="839">
        <v>64365613</v>
      </c>
      <c r="B5104" s="839" t="s">
        <v>139</v>
      </c>
      <c r="C5104" s="906">
        <v>3900</v>
      </c>
      <c r="D5104" s="907">
        <v>46076</v>
      </c>
      <c r="E5104" s="839" t="s">
        <v>617</v>
      </c>
      <c r="F5104" s="839">
        <v>3989</v>
      </c>
      <c r="G5104" s="916">
        <f>VLOOKUP($A5104,'Tech Litons'!$A:$I,8,FALSE)</f>
        <v>2.1540000000000001E-3</v>
      </c>
      <c r="H5104" s="917">
        <f>VLOOKUP($A5104,'Tech Litons'!$A:$I,9,FALSE)</f>
        <v>195</v>
      </c>
      <c r="I5104" s="917" t="str">
        <f>VLOOKUP($A5104,'Tech Litons'!$A:$C,3,0)</f>
        <v>Facepieces</v>
      </c>
      <c r="J5104" s="918" t="str">
        <f t="shared" si="510"/>
        <v>IncomFacepieces</v>
      </c>
      <c r="K5104" s="919">
        <v>1</v>
      </c>
      <c r="L5104" s="920">
        <f t="shared" si="511"/>
        <v>3900</v>
      </c>
      <c r="M5104" s="920">
        <f t="shared" si="512"/>
        <v>8.4006000000000007</v>
      </c>
      <c r="N5104" s="920">
        <f t="shared" si="513"/>
        <v>20</v>
      </c>
      <c r="O5104" s="918" t="str">
        <f t="shared" si="514"/>
        <v>Feb</v>
      </c>
      <c r="P5104" s="921">
        <f t="shared" si="515"/>
        <v>9</v>
      </c>
    </row>
    <row r="5105" spans="1:16" ht="15" hidden="1" customHeight="1">
      <c r="A5105" s="839">
        <v>64365613</v>
      </c>
      <c r="B5105" s="839" t="s">
        <v>139</v>
      </c>
      <c r="C5105" s="906">
        <v>3900</v>
      </c>
      <c r="D5105" s="907">
        <v>46076</v>
      </c>
      <c r="E5105" s="839" t="s">
        <v>617</v>
      </c>
      <c r="F5105" s="839">
        <v>3989</v>
      </c>
      <c r="G5105" s="916">
        <f>VLOOKUP($A5105,'Tech Litons'!$A:$I,8,FALSE)</f>
        <v>2.1540000000000001E-3</v>
      </c>
      <c r="H5105" s="917">
        <f>VLOOKUP($A5105,'Tech Litons'!$A:$I,9,FALSE)</f>
        <v>195</v>
      </c>
      <c r="I5105" s="917" t="str">
        <f>VLOOKUP($A5105,'Tech Litons'!$A:$C,3,0)</f>
        <v>Facepieces</v>
      </c>
      <c r="J5105" s="918" t="str">
        <f t="shared" si="510"/>
        <v>IncomFacepieces</v>
      </c>
      <c r="K5105" s="919">
        <v>1</v>
      </c>
      <c r="L5105" s="920">
        <f t="shared" si="511"/>
        <v>3900</v>
      </c>
      <c r="M5105" s="920">
        <f t="shared" si="512"/>
        <v>8.4006000000000007</v>
      </c>
      <c r="N5105" s="920">
        <f t="shared" si="513"/>
        <v>20</v>
      </c>
      <c r="O5105" s="918" t="str">
        <f t="shared" si="514"/>
        <v>Feb</v>
      </c>
      <c r="P5105" s="921">
        <f t="shared" si="515"/>
        <v>9</v>
      </c>
    </row>
    <row r="5106" spans="1:16" ht="15" hidden="1" customHeight="1">
      <c r="A5106" s="839">
        <v>64365613</v>
      </c>
      <c r="B5106" s="839" t="s">
        <v>139</v>
      </c>
      <c r="C5106" s="906">
        <v>3900</v>
      </c>
      <c r="D5106" s="907">
        <v>46076</v>
      </c>
      <c r="E5106" s="839" t="s">
        <v>617</v>
      </c>
      <c r="F5106" s="839">
        <v>3989</v>
      </c>
      <c r="G5106" s="916">
        <f>VLOOKUP($A5106,'Tech Litons'!$A:$I,8,FALSE)</f>
        <v>2.1540000000000001E-3</v>
      </c>
      <c r="H5106" s="917">
        <f>VLOOKUP($A5106,'Tech Litons'!$A:$I,9,FALSE)</f>
        <v>195</v>
      </c>
      <c r="I5106" s="917" t="str">
        <f>VLOOKUP($A5106,'Tech Litons'!$A:$C,3,0)</f>
        <v>Facepieces</v>
      </c>
      <c r="J5106" s="918" t="str">
        <f t="shared" si="510"/>
        <v>IncomFacepieces</v>
      </c>
      <c r="K5106" s="919">
        <v>1</v>
      </c>
      <c r="L5106" s="920">
        <f t="shared" si="511"/>
        <v>3900</v>
      </c>
      <c r="M5106" s="920">
        <f t="shared" si="512"/>
        <v>8.4006000000000007</v>
      </c>
      <c r="N5106" s="920">
        <f t="shared" si="513"/>
        <v>20</v>
      </c>
      <c r="O5106" s="918" t="str">
        <f t="shared" si="514"/>
        <v>Feb</v>
      </c>
      <c r="P5106" s="921">
        <f t="shared" si="515"/>
        <v>9</v>
      </c>
    </row>
    <row r="5107" spans="1:16" ht="15" hidden="1" customHeight="1">
      <c r="A5107" s="839">
        <v>64365613</v>
      </c>
      <c r="B5107" s="839" t="s">
        <v>139</v>
      </c>
      <c r="C5107" s="906">
        <v>3900</v>
      </c>
      <c r="D5107" s="907">
        <v>46076</v>
      </c>
      <c r="E5107" s="839" t="s">
        <v>617</v>
      </c>
      <c r="F5107" s="839">
        <v>3989</v>
      </c>
      <c r="G5107" s="916">
        <f>VLOOKUP($A5107,'Tech Litons'!$A:$I,8,FALSE)</f>
        <v>2.1540000000000001E-3</v>
      </c>
      <c r="H5107" s="917">
        <f>VLOOKUP($A5107,'Tech Litons'!$A:$I,9,FALSE)</f>
        <v>195</v>
      </c>
      <c r="I5107" s="917" t="str">
        <f>VLOOKUP($A5107,'Tech Litons'!$A:$C,3,0)</f>
        <v>Facepieces</v>
      </c>
      <c r="J5107" s="918" t="str">
        <f t="shared" si="510"/>
        <v>IncomFacepieces</v>
      </c>
      <c r="K5107" s="919">
        <v>1</v>
      </c>
      <c r="L5107" s="920">
        <f t="shared" si="511"/>
        <v>3900</v>
      </c>
      <c r="M5107" s="920">
        <f t="shared" si="512"/>
        <v>8.4006000000000007</v>
      </c>
      <c r="N5107" s="920">
        <f t="shared" si="513"/>
        <v>20</v>
      </c>
      <c r="O5107" s="918" t="str">
        <f t="shared" si="514"/>
        <v>Feb</v>
      </c>
      <c r="P5107" s="921">
        <f t="shared" si="515"/>
        <v>9</v>
      </c>
    </row>
    <row r="5108" spans="1:16" ht="15" hidden="1" customHeight="1">
      <c r="A5108" s="839">
        <v>64771676</v>
      </c>
      <c r="B5108" s="839" t="s">
        <v>139</v>
      </c>
      <c r="C5108" s="906">
        <v>3900</v>
      </c>
      <c r="D5108" s="907">
        <v>46076</v>
      </c>
      <c r="E5108" s="839" t="s">
        <v>619</v>
      </c>
      <c r="F5108" s="839">
        <v>3989</v>
      </c>
      <c r="G5108" s="916">
        <f>VLOOKUP($A5108,'Tech Litons'!$A:$I,8,FALSE)</f>
        <v>2.16E-3</v>
      </c>
      <c r="H5108" s="917">
        <f>VLOOKUP($A5108,'Tech Litons'!$A:$I,9,FALSE)</f>
        <v>195</v>
      </c>
      <c r="I5108" s="917" t="str">
        <f>VLOOKUP($A5108,'Tech Litons'!$A:$C,3,0)</f>
        <v>Facepieces</v>
      </c>
      <c r="J5108" s="918" t="str">
        <f t="shared" si="510"/>
        <v>IncomFacepieces</v>
      </c>
      <c r="K5108" s="919">
        <v>1</v>
      </c>
      <c r="L5108" s="920">
        <f t="shared" si="511"/>
        <v>3900</v>
      </c>
      <c r="M5108" s="920">
        <f t="shared" si="512"/>
        <v>8.4239999999999995</v>
      </c>
      <c r="N5108" s="920">
        <f t="shared" si="513"/>
        <v>20</v>
      </c>
      <c r="O5108" s="918" t="str">
        <f t="shared" si="514"/>
        <v>Feb</v>
      </c>
      <c r="P5108" s="921">
        <f t="shared" si="515"/>
        <v>9</v>
      </c>
    </row>
    <row r="5109" spans="1:16" ht="15" hidden="1" customHeight="1">
      <c r="A5109" s="839">
        <v>64341108</v>
      </c>
      <c r="B5109" s="839" t="s">
        <v>139</v>
      </c>
      <c r="C5109" s="906">
        <v>4200</v>
      </c>
      <c r="D5109" s="907">
        <v>46076</v>
      </c>
      <c r="E5109" s="839" t="s">
        <v>615</v>
      </c>
      <c r="F5109" s="839">
        <v>3989</v>
      </c>
      <c r="G5109" s="916">
        <f>VLOOKUP($A5109,'Tech Litons'!$A:$I,8,FALSE)</f>
        <v>2.3599999999999997E-3</v>
      </c>
      <c r="H5109" s="917">
        <f>VLOOKUP($A5109,'Tech Litons'!$A:$I,9,FALSE)</f>
        <v>210</v>
      </c>
      <c r="I5109" s="917" t="str">
        <f>VLOOKUP($A5109,'Tech Litons'!$A:$C,3,0)</f>
        <v>Facepieces</v>
      </c>
      <c r="J5109" s="918" t="str">
        <f t="shared" si="510"/>
        <v>IncomFacepieces</v>
      </c>
      <c r="K5109" s="919">
        <v>1</v>
      </c>
      <c r="L5109" s="920">
        <f t="shared" si="511"/>
        <v>4200</v>
      </c>
      <c r="M5109" s="920">
        <f t="shared" si="512"/>
        <v>9.911999999999999</v>
      </c>
      <c r="N5109" s="920">
        <f t="shared" si="513"/>
        <v>20</v>
      </c>
      <c r="O5109" s="918" t="str">
        <f t="shared" si="514"/>
        <v>Feb</v>
      </c>
      <c r="P5109" s="921">
        <f t="shared" si="515"/>
        <v>9</v>
      </c>
    </row>
    <row r="5110" spans="1:16" ht="15" hidden="1" customHeight="1">
      <c r="A5110" s="839">
        <v>64341108</v>
      </c>
      <c r="B5110" s="839" t="s">
        <v>139</v>
      </c>
      <c r="C5110" s="906">
        <v>4200</v>
      </c>
      <c r="D5110" s="907">
        <v>46076</v>
      </c>
      <c r="E5110" s="839" t="s">
        <v>615</v>
      </c>
      <c r="F5110" s="839">
        <v>3989</v>
      </c>
      <c r="G5110" s="916">
        <f>VLOOKUP($A5110,'Tech Litons'!$A:$I,8,FALSE)</f>
        <v>2.3599999999999997E-3</v>
      </c>
      <c r="H5110" s="917">
        <f>VLOOKUP($A5110,'Tech Litons'!$A:$I,9,FALSE)</f>
        <v>210</v>
      </c>
      <c r="I5110" s="917" t="str">
        <f>VLOOKUP($A5110,'Tech Litons'!$A:$C,3,0)</f>
        <v>Facepieces</v>
      </c>
      <c r="J5110" s="918" t="str">
        <f t="shared" si="510"/>
        <v>IncomFacepieces</v>
      </c>
      <c r="K5110" s="919">
        <v>1</v>
      </c>
      <c r="L5110" s="920">
        <f t="shared" si="511"/>
        <v>4200</v>
      </c>
      <c r="M5110" s="920">
        <f t="shared" si="512"/>
        <v>9.911999999999999</v>
      </c>
      <c r="N5110" s="920">
        <f t="shared" si="513"/>
        <v>20</v>
      </c>
      <c r="O5110" s="918" t="str">
        <f t="shared" si="514"/>
        <v>Feb</v>
      </c>
      <c r="P5110" s="921">
        <f t="shared" si="515"/>
        <v>9</v>
      </c>
    </row>
    <row r="5111" spans="1:16" ht="15" hidden="1" customHeight="1">
      <c r="A5111" s="839">
        <v>64341109</v>
      </c>
      <c r="B5111" s="839" t="s">
        <v>139</v>
      </c>
      <c r="C5111" s="906">
        <v>4200</v>
      </c>
      <c r="D5111" s="907">
        <v>46076</v>
      </c>
      <c r="E5111" s="839" t="s">
        <v>616</v>
      </c>
      <c r="F5111" s="839">
        <v>3989</v>
      </c>
      <c r="G5111" s="916">
        <f>VLOOKUP($A5111,'Tech Litons'!$A:$I,8,FALSE)</f>
        <v>2E-3</v>
      </c>
      <c r="H5111" s="917">
        <f>VLOOKUP($A5111,'Tech Litons'!$A:$I,9,FALSE)</f>
        <v>210</v>
      </c>
      <c r="I5111" s="917" t="str">
        <f>VLOOKUP($A5111,'Tech Litons'!$A:$C,3,0)</f>
        <v>Facepieces</v>
      </c>
      <c r="J5111" s="918" t="str">
        <f t="shared" si="510"/>
        <v>IncomFacepieces</v>
      </c>
      <c r="K5111" s="919">
        <v>1</v>
      </c>
      <c r="L5111" s="920">
        <f t="shared" si="511"/>
        <v>4200</v>
      </c>
      <c r="M5111" s="920">
        <f t="shared" si="512"/>
        <v>8.4</v>
      </c>
      <c r="N5111" s="920">
        <f t="shared" si="513"/>
        <v>20</v>
      </c>
      <c r="O5111" s="918" t="str">
        <f t="shared" si="514"/>
        <v>Feb</v>
      </c>
      <c r="P5111" s="921">
        <f t="shared" si="515"/>
        <v>9</v>
      </c>
    </row>
    <row r="5112" spans="1:16" ht="15" hidden="1" customHeight="1">
      <c r="A5112" s="839">
        <v>64341109</v>
      </c>
      <c r="B5112" s="839" t="s">
        <v>139</v>
      </c>
      <c r="C5112" s="906">
        <v>4200</v>
      </c>
      <c r="D5112" s="907">
        <v>46076</v>
      </c>
      <c r="E5112" s="839" t="s">
        <v>616</v>
      </c>
      <c r="F5112" s="839">
        <v>3989</v>
      </c>
      <c r="G5112" s="916">
        <f>VLOOKUP($A5112,'Tech Litons'!$A:$I,8,FALSE)</f>
        <v>2E-3</v>
      </c>
      <c r="H5112" s="917">
        <f>VLOOKUP($A5112,'Tech Litons'!$A:$I,9,FALSE)</f>
        <v>210</v>
      </c>
      <c r="I5112" s="917" t="str">
        <f>VLOOKUP($A5112,'Tech Litons'!$A:$C,3,0)</f>
        <v>Facepieces</v>
      </c>
      <c r="J5112" s="918" t="str">
        <f t="shared" si="510"/>
        <v>IncomFacepieces</v>
      </c>
      <c r="K5112" s="919">
        <v>1</v>
      </c>
      <c r="L5112" s="920">
        <f t="shared" si="511"/>
        <v>4200</v>
      </c>
      <c r="M5112" s="920">
        <f t="shared" si="512"/>
        <v>8.4</v>
      </c>
      <c r="N5112" s="920">
        <f t="shared" si="513"/>
        <v>20</v>
      </c>
      <c r="O5112" s="918" t="str">
        <f t="shared" si="514"/>
        <v>Feb</v>
      </c>
      <c r="P5112" s="921">
        <f t="shared" si="515"/>
        <v>9</v>
      </c>
    </row>
    <row r="5113" spans="1:16" ht="15" hidden="1" customHeight="1">
      <c r="A5113" s="839">
        <v>64341108</v>
      </c>
      <c r="B5113" s="839" t="s">
        <v>139</v>
      </c>
      <c r="C5113" s="906">
        <v>4200</v>
      </c>
      <c r="D5113" s="907">
        <v>46076</v>
      </c>
      <c r="E5113" s="839" t="s">
        <v>615</v>
      </c>
      <c r="F5113" s="839">
        <v>3989</v>
      </c>
      <c r="G5113" s="916">
        <f>VLOOKUP($A5113,'Tech Litons'!$A:$I,8,FALSE)</f>
        <v>2.3599999999999997E-3</v>
      </c>
      <c r="H5113" s="917">
        <f>VLOOKUP($A5113,'Tech Litons'!$A:$I,9,FALSE)</f>
        <v>210</v>
      </c>
      <c r="I5113" s="917" t="str">
        <f>VLOOKUP($A5113,'Tech Litons'!$A:$C,3,0)</f>
        <v>Facepieces</v>
      </c>
      <c r="J5113" s="918" t="str">
        <f t="shared" si="510"/>
        <v>IncomFacepieces</v>
      </c>
      <c r="K5113" s="919">
        <v>1</v>
      </c>
      <c r="L5113" s="920">
        <f t="shared" si="511"/>
        <v>4200</v>
      </c>
      <c r="M5113" s="920">
        <f t="shared" si="512"/>
        <v>9.911999999999999</v>
      </c>
      <c r="N5113" s="920">
        <f t="shared" si="513"/>
        <v>20</v>
      </c>
      <c r="O5113" s="918" t="str">
        <f t="shared" si="514"/>
        <v>Feb</v>
      </c>
      <c r="P5113" s="921">
        <f t="shared" si="515"/>
        <v>9</v>
      </c>
    </row>
    <row r="5114" spans="1:16" ht="15" hidden="1" customHeight="1">
      <c r="A5114" s="839">
        <v>64401837</v>
      </c>
      <c r="B5114" s="839" t="s">
        <v>139</v>
      </c>
      <c r="C5114" s="906">
        <v>3000</v>
      </c>
      <c r="D5114" s="907">
        <v>46077</v>
      </c>
      <c r="E5114" s="839" t="s">
        <v>618</v>
      </c>
      <c r="F5114" s="839">
        <v>3989</v>
      </c>
      <c r="G5114" s="916">
        <f>VLOOKUP($A5114,'Tech Litons'!$A:$I,8,FALSE)</f>
        <v>2.16E-3</v>
      </c>
      <c r="H5114" s="917">
        <f>VLOOKUP($A5114,'Tech Litons'!$A:$I,9,FALSE)</f>
        <v>150</v>
      </c>
      <c r="I5114" s="917" t="str">
        <f>VLOOKUP($A5114,'Tech Litons'!$A:$C,3,0)</f>
        <v>Facepieces</v>
      </c>
      <c r="J5114" s="918" t="str">
        <f t="shared" si="510"/>
        <v>IncomFacepieces</v>
      </c>
      <c r="K5114" s="919">
        <v>1</v>
      </c>
      <c r="L5114" s="920">
        <f t="shared" si="511"/>
        <v>3000</v>
      </c>
      <c r="M5114" s="920">
        <f t="shared" si="512"/>
        <v>6.48</v>
      </c>
      <c r="N5114" s="920">
        <f t="shared" si="513"/>
        <v>20</v>
      </c>
      <c r="O5114" s="918" t="str">
        <f t="shared" si="514"/>
        <v>Feb</v>
      </c>
      <c r="P5114" s="921">
        <f t="shared" si="515"/>
        <v>9</v>
      </c>
    </row>
    <row r="5115" spans="1:16" ht="15" hidden="1" customHeight="1">
      <c r="A5115" s="839">
        <v>64401837</v>
      </c>
      <c r="B5115" s="839" t="s">
        <v>139</v>
      </c>
      <c r="C5115" s="906">
        <v>3000</v>
      </c>
      <c r="D5115" s="907">
        <v>46077</v>
      </c>
      <c r="E5115" s="839" t="s">
        <v>618</v>
      </c>
      <c r="F5115" s="839">
        <v>3989</v>
      </c>
      <c r="G5115" s="916">
        <f>VLOOKUP($A5115,'Tech Litons'!$A:$I,8,FALSE)</f>
        <v>2.16E-3</v>
      </c>
      <c r="H5115" s="917">
        <f>VLOOKUP($A5115,'Tech Litons'!$A:$I,9,FALSE)</f>
        <v>150</v>
      </c>
      <c r="I5115" s="917" t="str">
        <f>VLOOKUP($A5115,'Tech Litons'!$A:$C,3,0)</f>
        <v>Facepieces</v>
      </c>
      <c r="J5115" s="918" t="str">
        <f t="shared" si="510"/>
        <v>IncomFacepieces</v>
      </c>
      <c r="K5115" s="919">
        <v>1</v>
      </c>
      <c r="L5115" s="920">
        <f t="shared" si="511"/>
        <v>3000</v>
      </c>
      <c r="M5115" s="920">
        <f t="shared" si="512"/>
        <v>6.48</v>
      </c>
      <c r="N5115" s="920">
        <f t="shared" si="513"/>
        <v>20</v>
      </c>
      <c r="O5115" s="918" t="str">
        <f t="shared" si="514"/>
        <v>Feb</v>
      </c>
      <c r="P5115" s="921">
        <f t="shared" si="515"/>
        <v>9</v>
      </c>
    </row>
    <row r="5116" spans="1:16" ht="15" hidden="1" customHeight="1">
      <c r="A5116" s="839">
        <v>64401837</v>
      </c>
      <c r="B5116" s="839" t="s">
        <v>139</v>
      </c>
      <c r="C5116" s="906">
        <v>3000</v>
      </c>
      <c r="D5116" s="907">
        <v>46077</v>
      </c>
      <c r="E5116" s="839" t="s">
        <v>618</v>
      </c>
      <c r="F5116" s="839">
        <v>3989</v>
      </c>
      <c r="G5116" s="916">
        <f>VLOOKUP($A5116,'Tech Litons'!$A:$I,8,FALSE)</f>
        <v>2.16E-3</v>
      </c>
      <c r="H5116" s="917">
        <f>VLOOKUP($A5116,'Tech Litons'!$A:$I,9,FALSE)</f>
        <v>150</v>
      </c>
      <c r="I5116" s="917" t="str">
        <f>VLOOKUP($A5116,'Tech Litons'!$A:$C,3,0)</f>
        <v>Facepieces</v>
      </c>
      <c r="J5116" s="918" t="str">
        <f t="shared" si="510"/>
        <v>IncomFacepieces</v>
      </c>
      <c r="K5116" s="919">
        <v>1</v>
      </c>
      <c r="L5116" s="920">
        <f t="shared" si="511"/>
        <v>3000</v>
      </c>
      <c r="M5116" s="920">
        <f t="shared" si="512"/>
        <v>6.48</v>
      </c>
      <c r="N5116" s="920">
        <f t="shared" si="513"/>
        <v>20</v>
      </c>
      <c r="O5116" s="918" t="str">
        <f t="shared" si="514"/>
        <v>Feb</v>
      </c>
      <c r="P5116" s="921">
        <f t="shared" si="515"/>
        <v>9</v>
      </c>
    </row>
    <row r="5117" spans="1:16" ht="15" hidden="1" customHeight="1">
      <c r="A5117" s="839">
        <v>64365613</v>
      </c>
      <c r="B5117" s="839" t="s">
        <v>139</v>
      </c>
      <c r="C5117" s="906">
        <v>3898</v>
      </c>
      <c r="D5117" s="907">
        <v>46077</v>
      </c>
      <c r="E5117" s="839" t="s">
        <v>617</v>
      </c>
      <c r="F5117" s="839">
        <v>3989</v>
      </c>
      <c r="G5117" s="916">
        <f>VLOOKUP($A5117,'Tech Litons'!$A:$I,8,FALSE)</f>
        <v>2.1540000000000001E-3</v>
      </c>
      <c r="H5117" s="917">
        <f>VLOOKUP($A5117,'Tech Litons'!$A:$I,9,FALSE)</f>
        <v>195</v>
      </c>
      <c r="I5117" s="917" t="str">
        <f>VLOOKUP($A5117,'Tech Litons'!$A:$C,3,0)</f>
        <v>Facepieces</v>
      </c>
      <c r="J5117" s="918" t="str">
        <f t="shared" si="510"/>
        <v>IncomFacepieces</v>
      </c>
      <c r="K5117" s="919">
        <v>1</v>
      </c>
      <c r="L5117" s="920">
        <f t="shared" si="511"/>
        <v>3898</v>
      </c>
      <c r="M5117" s="920">
        <f t="shared" si="512"/>
        <v>8.3962920000000008</v>
      </c>
      <c r="N5117" s="920">
        <f t="shared" si="513"/>
        <v>19.98974358974359</v>
      </c>
      <c r="O5117" s="918" t="str">
        <f t="shared" si="514"/>
        <v>Feb</v>
      </c>
      <c r="P5117" s="921">
        <f t="shared" si="515"/>
        <v>9</v>
      </c>
    </row>
    <row r="5118" spans="1:16" ht="15" hidden="1" customHeight="1">
      <c r="A5118" s="839">
        <v>64365613</v>
      </c>
      <c r="B5118" s="839" t="s">
        <v>139</v>
      </c>
      <c r="C5118" s="906">
        <v>3900</v>
      </c>
      <c r="D5118" s="907">
        <v>46077</v>
      </c>
      <c r="E5118" s="839" t="s">
        <v>617</v>
      </c>
      <c r="F5118" s="839">
        <v>3989</v>
      </c>
      <c r="G5118" s="916">
        <f>VLOOKUP($A5118,'Tech Litons'!$A:$I,8,FALSE)</f>
        <v>2.1540000000000001E-3</v>
      </c>
      <c r="H5118" s="917">
        <f>VLOOKUP($A5118,'Tech Litons'!$A:$I,9,FALSE)</f>
        <v>195</v>
      </c>
      <c r="I5118" s="917" t="str">
        <f>VLOOKUP($A5118,'Tech Litons'!$A:$C,3,0)</f>
        <v>Facepieces</v>
      </c>
      <c r="J5118" s="918" t="str">
        <f t="shared" si="510"/>
        <v>IncomFacepieces</v>
      </c>
      <c r="K5118" s="919">
        <v>1</v>
      </c>
      <c r="L5118" s="920">
        <f t="shared" si="511"/>
        <v>3900</v>
      </c>
      <c r="M5118" s="920">
        <f t="shared" si="512"/>
        <v>8.4006000000000007</v>
      </c>
      <c r="N5118" s="920">
        <f t="shared" si="513"/>
        <v>20</v>
      </c>
      <c r="O5118" s="918" t="str">
        <f t="shared" si="514"/>
        <v>Feb</v>
      </c>
      <c r="P5118" s="921">
        <f t="shared" si="515"/>
        <v>9</v>
      </c>
    </row>
    <row r="5119" spans="1:16" ht="15" hidden="1" customHeight="1">
      <c r="A5119" s="839">
        <v>64365613</v>
      </c>
      <c r="B5119" s="839" t="s">
        <v>139</v>
      </c>
      <c r="C5119" s="906">
        <v>3900</v>
      </c>
      <c r="D5119" s="907">
        <v>46077</v>
      </c>
      <c r="E5119" s="839" t="s">
        <v>617</v>
      </c>
      <c r="F5119" s="839">
        <v>3989</v>
      </c>
      <c r="G5119" s="916">
        <f>VLOOKUP($A5119,'Tech Litons'!$A:$I,8,FALSE)</f>
        <v>2.1540000000000001E-3</v>
      </c>
      <c r="H5119" s="917">
        <f>VLOOKUP($A5119,'Tech Litons'!$A:$I,9,FALSE)</f>
        <v>195</v>
      </c>
      <c r="I5119" s="917" t="str">
        <f>VLOOKUP($A5119,'Tech Litons'!$A:$C,3,0)</f>
        <v>Facepieces</v>
      </c>
      <c r="J5119" s="918" t="str">
        <f t="shared" si="510"/>
        <v>IncomFacepieces</v>
      </c>
      <c r="K5119" s="919">
        <v>1</v>
      </c>
      <c r="L5119" s="920">
        <f t="shared" si="511"/>
        <v>3900</v>
      </c>
      <c r="M5119" s="920">
        <f t="shared" si="512"/>
        <v>8.4006000000000007</v>
      </c>
      <c r="N5119" s="920">
        <f t="shared" si="513"/>
        <v>20</v>
      </c>
      <c r="O5119" s="918" t="str">
        <f t="shared" si="514"/>
        <v>Feb</v>
      </c>
      <c r="P5119" s="921">
        <f t="shared" si="515"/>
        <v>9</v>
      </c>
    </row>
    <row r="5120" spans="1:16" ht="15" hidden="1" customHeight="1">
      <c r="A5120" s="839">
        <v>64771676</v>
      </c>
      <c r="B5120" s="839" t="s">
        <v>139</v>
      </c>
      <c r="C5120" s="906">
        <v>3900</v>
      </c>
      <c r="D5120" s="907">
        <v>46077</v>
      </c>
      <c r="E5120" s="839" t="s">
        <v>619</v>
      </c>
      <c r="F5120" s="839">
        <v>3989</v>
      </c>
      <c r="G5120" s="916">
        <f>VLOOKUP($A5120,'Tech Litons'!$A:$I,8,FALSE)</f>
        <v>2.16E-3</v>
      </c>
      <c r="H5120" s="917">
        <f>VLOOKUP($A5120,'Tech Litons'!$A:$I,9,FALSE)</f>
        <v>195</v>
      </c>
      <c r="I5120" s="917" t="str">
        <f>VLOOKUP($A5120,'Tech Litons'!$A:$C,3,0)</f>
        <v>Facepieces</v>
      </c>
      <c r="J5120" s="918" t="str">
        <f t="shared" si="510"/>
        <v>IncomFacepieces</v>
      </c>
      <c r="K5120" s="919">
        <v>1</v>
      </c>
      <c r="L5120" s="920">
        <f t="shared" si="511"/>
        <v>3900</v>
      </c>
      <c r="M5120" s="920">
        <f t="shared" si="512"/>
        <v>8.4239999999999995</v>
      </c>
      <c r="N5120" s="920">
        <f t="shared" si="513"/>
        <v>20</v>
      </c>
      <c r="O5120" s="918" t="str">
        <f t="shared" si="514"/>
        <v>Feb</v>
      </c>
      <c r="P5120" s="921">
        <f t="shared" si="515"/>
        <v>9</v>
      </c>
    </row>
    <row r="5121" spans="1:16" ht="15" hidden="1" customHeight="1">
      <c r="A5121" s="839">
        <v>64771676</v>
      </c>
      <c r="B5121" s="839" t="s">
        <v>139</v>
      </c>
      <c r="C5121" s="906">
        <v>3900</v>
      </c>
      <c r="D5121" s="907">
        <v>46077</v>
      </c>
      <c r="E5121" s="839" t="s">
        <v>619</v>
      </c>
      <c r="F5121" s="839">
        <v>3989</v>
      </c>
      <c r="G5121" s="916">
        <f>VLOOKUP($A5121,'Tech Litons'!$A:$I,8,FALSE)</f>
        <v>2.16E-3</v>
      </c>
      <c r="H5121" s="917">
        <f>VLOOKUP($A5121,'Tech Litons'!$A:$I,9,FALSE)</f>
        <v>195</v>
      </c>
      <c r="I5121" s="917" t="str">
        <f>VLOOKUP($A5121,'Tech Litons'!$A:$C,3,0)</f>
        <v>Facepieces</v>
      </c>
      <c r="J5121" s="918" t="str">
        <f t="shared" si="510"/>
        <v>IncomFacepieces</v>
      </c>
      <c r="K5121" s="919">
        <v>1</v>
      </c>
      <c r="L5121" s="920">
        <f t="shared" si="511"/>
        <v>3900</v>
      </c>
      <c r="M5121" s="920">
        <f t="shared" si="512"/>
        <v>8.4239999999999995</v>
      </c>
      <c r="N5121" s="920">
        <f t="shared" si="513"/>
        <v>20</v>
      </c>
      <c r="O5121" s="918" t="str">
        <f t="shared" si="514"/>
        <v>Feb</v>
      </c>
      <c r="P5121" s="921">
        <f t="shared" si="515"/>
        <v>9</v>
      </c>
    </row>
    <row r="5122" spans="1:16" ht="15" hidden="1" customHeight="1">
      <c r="A5122" s="839">
        <v>64341108</v>
      </c>
      <c r="B5122" s="839" t="s">
        <v>139</v>
      </c>
      <c r="C5122" s="906">
        <v>4200</v>
      </c>
      <c r="D5122" s="907">
        <v>46077</v>
      </c>
      <c r="E5122" s="839" t="s">
        <v>615</v>
      </c>
      <c r="F5122" s="839">
        <v>3989</v>
      </c>
      <c r="G5122" s="916">
        <f>VLOOKUP($A5122,'Tech Litons'!$A:$I,8,FALSE)</f>
        <v>2.3599999999999997E-3</v>
      </c>
      <c r="H5122" s="917">
        <f>VLOOKUP($A5122,'Tech Litons'!$A:$I,9,FALSE)</f>
        <v>210</v>
      </c>
      <c r="I5122" s="917" t="str">
        <f>VLOOKUP($A5122,'Tech Litons'!$A:$C,3,0)</f>
        <v>Facepieces</v>
      </c>
      <c r="J5122" s="918" t="str">
        <f t="shared" si="510"/>
        <v>IncomFacepieces</v>
      </c>
      <c r="K5122" s="919">
        <v>1</v>
      </c>
      <c r="L5122" s="920">
        <f t="shared" si="511"/>
        <v>4200</v>
      </c>
      <c r="M5122" s="920">
        <f t="shared" si="512"/>
        <v>9.911999999999999</v>
      </c>
      <c r="N5122" s="920">
        <f t="shared" si="513"/>
        <v>20</v>
      </c>
      <c r="O5122" s="918" t="str">
        <f t="shared" si="514"/>
        <v>Feb</v>
      </c>
      <c r="P5122" s="921">
        <f t="shared" si="515"/>
        <v>9</v>
      </c>
    </row>
    <row r="5123" spans="1:16" ht="15" hidden="1" customHeight="1">
      <c r="A5123" s="839">
        <v>64956417</v>
      </c>
      <c r="B5123" s="839" t="s">
        <v>139</v>
      </c>
      <c r="C5123" s="906">
        <v>2860</v>
      </c>
      <c r="D5123" s="907">
        <v>46078</v>
      </c>
      <c r="E5123" s="839" t="s">
        <v>621</v>
      </c>
      <c r="F5123" s="839">
        <v>3989</v>
      </c>
      <c r="G5123" s="916">
        <f>VLOOKUP($A5123,'Tech Litons'!$A:$I,8,FALSE)</f>
        <v>2.16E-3</v>
      </c>
      <c r="H5123" s="917">
        <f>VLOOKUP($A5123,'Tech Litons'!$A:$I,9,FALSE)</f>
        <v>143</v>
      </c>
      <c r="I5123" s="917" t="str">
        <f>VLOOKUP($A5123,'Tech Litons'!$A:$C,3,0)</f>
        <v>Facepieces</v>
      </c>
      <c r="J5123" s="918" t="str">
        <f t="shared" si="510"/>
        <v>IncomFacepieces</v>
      </c>
      <c r="K5123" s="919">
        <v>1</v>
      </c>
      <c r="L5123" s="920">
        <f t="shared" si="511"/>
        <v>2860</v>
      </c>
      <c r="M5123" s="920">
        <f t="shared" si="512"/>
        <v>6.1776</v>
      </c>
      <c r="N5123" s="920">
        <f t="shared" si="513"/>
        <v>20</v>
      </c>
      <c r="O5123" s="918" t="str">
        <f t="shared" si="514"/>
        <v>Feb</v>
      </c>
      <c r="P5123" s="921">
        <f t="shared" si="515"/>
        <v>9</v>
      </c>
    </row>
    <row r="5124" spans="1:16" ht="15" hidden="1" customHeight="1">
      <c r="A5124" s="839">
        <v>64956417</v>
      </c>
      <c r="B5124" s="839" t="s">
        <v>139</v>
      </c>
      <c r="C5124" s="906">
        <v>2860</v>
      </c>
      <c r="D5124" s="907">
        <v>46078</v>
      </c>
      <c r="E5124" s="839" t="s">
        <v>621</v>
      </c>
      <c r="F5124" s="839">
        <v>3989</v>
      </c>
      <c r="G5124" s="916">
        <f>VLOOKUP($A5124,'Tech Litons'!$A:$I,8,FALSE)</f>
        <v>2.16E-3</v>
      </c>
      <c r="H5124" s="917">
        <f>VLOOKUP($A5124,'Tech Litons'!$A:$I,9,FALSE)</f>
        <v>143</v>
      </c>
      <c r="I5124" s="917" t="str">
        <f>VLOOKUP($A5124,'Tech Litons'!$A:$C,3,0)</f>
        <v>Facepieces</v>
      </c>
      <c r="J5124" s="918" t="str">
        <f t="shared" si="510"/>
        <v>IncomFacepieces</v>
      </c>
      <c r="K5124" s="919">
        <v>1</v>
      </c>
      <c r="L5124" s="920">
        <f t="shared" si="511"/>
        <v>2860</v>
      </c>
      <c r="M5124" s="920">
        <f t="shared" si="512"/>
        <v>6.1776</v>
      </c>
      <c r="N5124" s="920">
        <f t="shared" si="513"/>
        <v>20</v>
      </c>
      <c r="O5124" s="918" t="str">
        <f t="shared" si="514"/>
        <v>Feb</v>
      </c>
      <c r="P5124" s="921">
        <f t="shared" si="515"/>
        <v>9</v>
      </c>
    </row>
    <row r="5125" spans="1:16" ht="15" hidden="1" customHeight="1">
      <c r="A5125" s="839">
        <v>64365613</v>
      </c>
      <c r="B5125" s="839" t="s">
        <v>139</v>
      </c>
      <c r="C5125" s="906">
        <v>3900</v>
      </c>
      <c r="D5125" s="907">
        <v>46078</v>
      </c>
      <c r="E5125" s="839" t="s">
        <v>617</v>
      </c>
      <c r="F5125" s="839">
        <v>3989</v>
      </c>
      <c r="G5125" s="916">
        <f>VLOOKUP($A5125,'Tech Litons'!$A:$I,8,FALSE)</f>
        <v>2.1540000000000001E-3</v>
      </c>
      <c r="H5125" s="917">
        <f>VLOOKUP($A5125,'Tech Litons'!$A:$I,9,FALSE)</f>
        <v>195</v>
      </c>
      <c r="I5125" s="917" t="str">
        <f>VLOOKUP($A5125,'Tech Litons'!$A:$C,3,0)</f>
        <v>Facepieces</v>
      </c>
      <c r="J5125" s="918" t="str">
        <f t="shared" si="510"/>
        <v>IncomFacepieces</v>
      </c>
      <c r="K5125" s="919">
        <v>1</v>
      </c>
      <c r="L5125" s="920">
        <f t="shared" si="511"/>
        <v>3900</v>
      </c>
      <c r="M5125" s="920">
        <f t="shared" si="512"/>
        <v>8.4006000000000007</v>
      </c>
      <c r="N5125" s="920">
        <f t="shared" si="513"/>
        <v>20</v>
      </c>
      <c r="O5125" s="918" t="str">
        <f t="shared" si="514"/>
        <v>Feb</v>
      </c>
      <c r="P5125" s="921">
        <f t="shared" si="515"/>
        <v>9</v>
      </c>
    </row>
    <row r="5126" spans="1:16" ht="15" hidden="1" customHeight="1">
      <c r="A5126" s="839">
        <v>64771676</v>
      </c>
      <c r="B5126" s="839" t="s">
        <v>139</v>
      </c>
      <c r="C5126" s="906">
        <v>3900</v>
      </c>
      <c r="D5126" s="907">
        <v>46078</v>
      </c>
      <c r="E5126" s="839" t="s">
        <v>619</v>
      </c>
      <c r="F5126" s="839">
        <v>3989</v>
      </c>
      <c r="G5126" s="916">
        <f>VLOOKUP($A5126,'Tech Litons'!$A:$I,8,FALSE)</f>
        <v>2.16E-3</v>
      </c>
      <c r="H5126" s="917">
        <f>VLOOKUP($A5126,'Tech Litons'!$A:$I,9,FALSE)</f>
        <v>195</v>
      </c>
      <c r="I5126" s="917" t="str">
        <f>VLOOKUP($A5126,'Tech Litons'!$A:$C,3,0)</f>
        <v>Facepieces</v>
      </c>
      <c r="J5126" s="918" t="str">
        <f t="shared" si="510"/>
        <v>IncomFacepieces</v>
      </c>
      <c r="K5126" s="919">
        <v>1</v>
      </c>
      <c r="L5126" s="920">
        <f t="shared" si="511"/>
        <v>3900</v>
      </c>
      <c r="M5126" s="920">
        <f t="shared" si="512"/>
        <v>8.4239999999999995</v>
      </c>
      <c r="N5126" s="920">
        <f t="shared" si="513"/>
        <v>20</v>
      </c>
      <c r="O5126" s="918" t="str">
        <f t="shared" si="514"/>
        <v>Feb</v>
      </c>
      <c r="P5126" s="921">
        <f t="shared" si="515"/>
        <v>9</v>
      </c>
    </row>
    <row r="5127" spans="1:16" ht="15" hidden="1" customHeight="1">
      <c r="A5127" s="839">
        <v>64365613</v>
      </c>
      <c r="B5127" s="839" t="s">
        <v>139</v>
      </c>
      <c r="C5127" s="906">
        <v>3900</v>
      </c>
      <c r="D5127" s="907">
        <v>46078</v>
      </c>
      <c r="E5127" s="839" t="s">
        <v>617</v>
      </c>
      <c r="F5127" s="839">
        <v>3989</v>
      </c>
      <c r="G5127" s="916">
        <f>VLOOKUP($A5127,'Tech Litons'!$A:$I,8,FALSE)</f>
        <v>2.1540000000000001E-3</v>
      </c>
      <c r="H5127" s="917">
        <f>VLOOKUP($A5127,'Tech Litons'!$A:$I,9,FALSE)</f>
        <v>195</v>
      </c>
      <c r="I5127" s="917" t="str">
        <f>VLOOKUP($A5127,'Tech Litons'!$A:$C,3,0)</f>
        <v>Facepieces</v>
      </c>
      <c r="J5127" s="918" t="str">
        <f t="shared" si="510"/>
        <v>IncomFacepieces</v>
      </c>
      <c r="K5127" s="919">
        <v>1</v>
      </c>
      <c r="L5127" s="920">
        <f t="shared" si="511"/>
        <v>3900</v>
      </c>
      <c r="M5127" s="920">
        <f t="shared" si="512"/>
        <v>8.4006000000000007</v>
      </c>
      <c r="N5127" s="920">
        <f t="shared" si="513"/>
        <v>20</v>
      </c>
      <c r="O5127" s="918" t="str">
        <f t="shared" si="514"/>
        <v>Feb</v>
      </c>
      <c r="P5127" s="921">
        <f t="shared" si="515"/>
        <v>9</v>
      </c>
    </row>
    <row r="5128" spans="1:16" ht="15" hidden="1" customHeight="1">
      <c r="A5128" s="839">
        <v>64365613</v>
      </c>
      <c r="B5128" s="839" t="s">
        <v>139</v>
      </c>
      <c r="C5128" s="906">
        <v>3900</v>
      </c>
      <c r="D5128" s="907">
        <v>46078</v>
      </c>
      <c r="E5128" s="839" t="s">
        <v>617</v>
      </c>
      <c r="F5128" s="839">
        <v>3989</v>
      </c>
      <c r="G5128" s="916">
        <f>VLOOKUP($A5128,'Tech Litons'!$A:$I,8,FALSE)</f>
        <v>2.1540000000000001E-3</v>
      </c>
      <c r="H5128" s="917">
        <f>VLOOKUP($A5128,'Tech Litons'!$A:$I,9,FALSE)</f>
        <v>195</v>
      </c>
      <c r="I5128" s="917" t="str">
        <f>VLOOKUP($A5128,'Tech Litons'!$A:$C,3,0)</f>
        <v>Facepieces</v>
      </c>
      <c r="J5128" s="918" t="str">
        <f t="shared" si="510"/>
        <v>IncomFacepieces</v>
      </c>
      <c r="K5128" s="919">
        <v>1</v>
      </c>
      <c r="L5128" s="920">
        <f t="shared" si="511"/>
        <v>3900</v>
      </c>
      <c r="M5128" s="920">
        <f t="shared" si="512"/>
        <v>8.4006000000000007</v>
      </c>
      <c r="N5128" s="920">
        <f t="shared" si="513"/>
        <v>20</v>
      </c>
      <c r="O5128" s="918" t="str">
        <f t="shared" si="514"/>
        <v>Feb</v>
      </c>
      <c r="P5128" s="921">
        <f t="shared" si="515"/>
        <v>9</v>
      </c>
    </row>
    <row r="5129" spans="1:16" ht="15" hidden="1" customHeight="1">
      <c r="A5129" s="839">
        <v>64771676</v>
      </c>
      <c r="B5129" s="839" t="s">
        <v>139</v>
      </c>
      <c r="C5129" s="906">
        <v>3900</v>
      </c>
      <c r="D5129" s="907">
        <v>46078</v>
      </c>
      <c r="E5129" s="839" t="s">
        <v>619</v>
      </c>
      <c r="F5129" s="839">
        <v>3989</v>
      </c>
      <c r="G5129" s="916">
        <f>VLOOKUP($A5129,'Tech Litons'!$A:$I,8,FALSE)</f>
        <v>2.16E-3</v>
      </c>
      <c r="H5129" s="917">
        <f>VLOOKUP($A5129,'Tech Litons'!$A:$I,9,FALSE)</f>
        <v>195</v>
      </c>
      <c r="I5129" s="917" t="str">
        <f>VLOOKUP($A5129,'Tech Litons'!$A:$C,3,0)</f>
        <v>Facepieces</v>
      </c>
      <c r="J5129" s="918" t="str">
        <f t="shared" si="510"/>
        <v>IncomFacepieces</v>
      </c>
      <c r="K5129" s="919">
        <v>1</v>
      </c>
      <c r="L5129" s="920">
        <f t="shared" si="511"/>
        <v>3900</v>
      </c>
      <c r="M5129" s="920">
        <f t="shared" si="512"/>
        <v>8.4239999999999995</v>
      </c>
      <c r="N5129" s="920">
        <f t="shared" si="513"/>
        <v>20</v>
      </c>
      <c r="O5129" s="918" t="str">
        <f t="shared" si="514"/>
        <v>Feb</v>
      </c>
      <c r="P5129" s="921">
        <f t="shared" si="515"/>
        <v>9</v>
      </c>
    </row>
    <row r="5130" spans="1:16" ht="15" hidden="1" customHeight="1">
      <c r="A5130" s="839">
        <v>64771676</v>
      </c>
      <c r="B5130" s="839" t="s">
        <v>139</v>
      </c>
      <c r="C5130" s="906">
        <v>3900</v>
      </c>
      <c r="D5130" s="907">
        <v>46078</v>
      </c>
      <c r="E5130" s="839" t="s">
        <v>619</v>
      </c>
      <c r="F5130" s="839">
        <v>3989</v>
      </c>
      <c r="G5130" s="916">
        <f>VLOOKUP($A5130,'Tech Litons'!$A:$I,8,FALSE)</f>
        <v>2.16E-3</v>
      </c>
      <c r="H5130" s="917">
        <f>VLOOKUP($A5130,'Tech Litons'!$A:$I,9,FALSE)</f>
        <v>195</v>
      </c>
      <c r="I5130" s="917" t="str">
        <f>VLOOKUP($A5130,'Tech Litons'!$A:$C,3,0)</f>
        <v>Facepieces</v>
      </c>
      <c r="J5130" s="918" t="str">
        <f t="shared" si="510"/>
        <v>IncomFacepieces</v>
      </c>
      <c r="K5130" s="919">
        <v>1</v>
      </c>
      <c r="L5130" s="920">
        <f t="shared" si="511"/>
        <v>3900</v>
      </c>
      <c r="M5130" s="920">
        <f t="shared" si="512"/>
        <v>8.4239999999999995</v>
      </c>
      <c r="N5130" s="920">
        <f t="shared" si="513"/>
        <v>20</v>
      </c>
      <c r="O5130" s="918" t="str">
        <f t="shared" si="514"/>
        <v>Feb</v>
      </c>
      <c r="P5130" s="921">
        <f t="shared" si="515"/>
        <v>9</v>
      </c>
    </row>
    <row r="5131" spans="1:16" ht="15" hidden="1" customHeight="1">
      <c r="A5131" s="839">
        <v>64956417</v>
      </c>
      <c r="B5131" s="839" t="s">
        <v>139</v>
      </c>
      <c r="C5131" s="906">
        <v>2860</v>
      </c>
      <c r="D5131" s="907">
        <v>46079</v>
      </c>
      <c r="E5131" s="839" t="s">
        <v>621</v>
      </c>
      <c r="F5131" s="839">
        <v>3989</v>
      </c>
      <c r="G5131" s="916">
        <f>VLOOKUP($A5131,'Tech Litons'!$A:$I,8,FALSE)</f>
        <v>2.16E-3</v>
      </c>
      <c r="H5131" s="917">
        <f>VLOOKUP($A5131,'Tech Litons'!$A:$I,9,FALSE)</f>
        <v>143</v>
      </c>
      <c r="I5131" s="917" t="str">
        <f>VLOOKUP($A5131,'Tech Litons'!$A:$C,3,0)</f>
        <v>Facepieces</v>
      </c>
      <c r="J5131" s="918" t="str">
        <f t="shared" si="510"/>
        <v>IncomFacepieces</v>
      </c>
      <c r="K5131" s="919">
        <v>1</v>
      </c>
      <c r="L5131" s="920">
        <f t="shared" si="511"/>
        <v>2860</v>
      </c>
      <c r="M5131" s="920">
        <f t="shared" si="512"/>
        <v>6.1776</v>
      </c>
      <c r="N5131" s="920">
        <f t="shared" si="513"/>
        <v>20</v>
      </c>
      <c r="O5131" s="918" t="str">
        <f t="shared" si="514"/>
        <v>Feb</v>
      </c>
      <c r="P5131" s="921">
        <f t="shared" si="515"/>
        <v>9</v>
      </c>
    </row>
    <row r="5132" spans="1:16" ht="15" hidden="1" customHeight="1">
      <c r="A5132" s="839">
        <v>64956417</v>
      </c>
      <c r="B5132" s="839" t="s">
        <v>139</v>
      </c>
      <c r="C5132" s="906">
        <v>2860</v>
      </c>
      <c r="D5132" s="907">
        <v>46079</v>
      </c>
      <c r="E5132" s="839" t="s">
        <v>621</v>
      </c>
      <c r="F5132" s="839">
        <v>3989</v>
      </c>
      <c r="G5132" s="916">
        <f>VLOOKUP($A5132,'Tech Litons'!$A:$I,8,FALSE)</f>
        <v>2.16E-3</v>
      </c>
      <c r="H5132" s="917">
        <f>VLOOKUP($A5132,'Tech Litons'!$A:$I,9,FALSE)</f>
        <v>143</v>
      </c>
      <c r="I5132" s="917" t="str">
        <f>VLOOKUP($A5132,'Tech Litons'!$A:$C,3,0)</f>
        <v>Facepieces</v>
      </c>
      <c r="J5132" s="918" t="str">
        <f t="shared" si="510"/>
        <v>IncomFacepieces</v>
      </c>
      <c r="K5132" s="919">
        <v>1</v>
      </c>
      <c r="L5132" s="920">
        <f t="shared" si="511"/>
        <v>2860</v>
      </c>
      <c r="M5132" s="920">
        <f t="shared" si="512"/>
        <v>6.1776</v>
      </c>
      <c r="N5132" s="920">
        <f t="shared" si="513"/>
        <v>20</v>
      </c>
      <c r="O5132" s="918" t="str">
        <f t="shared" si="514"/>
        <v>Feb</v>
      </c>
      <c r="P5132" s="921">
        <f t="shared" si="515"/>
        <v>9</v>
      </c>
    </row>
    <row r="5133" spans="1:16" ht="15" hidden="1" customHeight="1">
      <c r="A5133" s="839">
        <v>64956417</v>
      </c>
      <c r="B5133" s="839" t="s">
        <v>139</v>
      </c>
      <c r="C5133" s="906">
        <v>2717</v>
      </c>
      <c r="D5133" s="907">
        <v>46080</v>
      </c>
      <c r="E5133" s="839" t="s">
        <v>621</v>
      </c>
      <c r="F5133" s="839">
        <v>3989</v>
      </c>
      <c r="G5133" s="916">
        <f>VLOOKUP($A5133,'Tech Litons'!$A:$I,8,FALSE)</f>
        <v>2.16E-3</v>
      </c>
      <c r="H5133" s="917">
        <f>VLOOKUP($A5133,'Tech Litons'!$A:$I,9,FALSE)</f>
        <v>143</v>
      </c>
      <c r="I5133" s="917" t="str">
        <f>VLOOKUP($A5133,'Tech Litons'!$A:$C,3,0)</f>
        <v>Facepieces</v>
      </c>
      <c r="J5133" s="918" t="str">
        <f t="shared" si="510"/>
        <v>IncomFacepieces</v>
      </c>
      <c r="K5133" s="919">
        <v>1</v>
      </c>
      <c r="L5133" s="920">
        <f t="shared" si="511"/>
        <v>2717</v>
      </c>
      <c r="M5133" s="920">
        <f t="shared" si="512"/>
        <v>5.8687199999999997</v>
      </c>
      <c r="N5133" s="920">
        <f t="shared" si="513"/>
        <v>19</v>
      </c>
      <c r="O5133" s="918" t="str">
        <f t="shared" si="514"/>
        <v>Feb</v>
      </c>
      <c r="P5133" s="921">
        <f t="shared" si="515"/>
        <v>9</v>
      </c>
    </row>
    <row r="5134" spans="1:16" ht="15" hidden="1" customHeight="1">
      <c r="A5134" s="839">
        <v>64956417</v>
      </c>
      <c r="B5134" s="839" t="s">
        <v>139</v>
      </c>
      <c r="C5134" s="906">
        <v>2829</v>
      </c>
      <c r="D5134" s="907">
        <v>46080</v>
      </c>
      <c r="E5134" s="839" t="s">
        <v>621</v>
      </c>
      <c r="F5134" s="839">
        <v>3989</v>
      </c>
      <c r="G5134" s="916">
        <f>VLOOKUP($A5134,'Tech Litons'!$A:$I,8,FALSE)</f>
        <v>2.16E-3</v>
      </c>
      <c r="H5134" s="917">
        <f>VLOOKUP($A5134,'Tech Litons'!$A:$I,9,FALSE)</f>
        <v>143</v>
      </c>
      <c r="I5134" s="917" t="str">
        <f>VLOOKUP($A5134,'Tech Litons'!$A:$C,3,0)</f>
        <v>Facepieces</v>
      </c>
      <c r="J5134" s="918" t="str">
        <f t="shared" si="510"/>
        <v>IncomFacepieces</v>
      </c>
      <c r="K5134" s="919">
        <v>1</v>
      </c>
      <c r="L5134" s="920">
        <f t="shared" si="511"/>
        <v>2829</v>
      </c>
      <c r="M5134" s="920">
        <f t="shared" si="512"/>
        <v>6.1106400000000001</v>
      </c>
      <c r="N5134" s="920">
        <f t="shared" si="513"/>
        <v>19.783216783216783</v>
      </c>
      <c r="O5134" s="918" t="str">
        <f t="shared" si="514"/>
        <v>Feb</v>
      </c>
      <c r="P5134" s="921">
        <f t="shared" si="515"/>
        <v>9</v>
      </c>
    </row>
    <row r="5135" spans="1:16" ht="15" hidden="1" customHeight="1">
      <c r="A5135" s="839">
        <v>64771676</v>
      </c>
      <c r="B5135" s="839" t="s">
        <v>139</v>
      </c>
      <c r="C5135" s="906">
        <v>3900</v>
      </c>
      <c r="D5135" s="907">
        <v>46081</v>
      </c>
      <c r="E5135" s="839" t="s">
        <v>619</v>
      </c>
      <c r="F5135" s="839">
        <v>1419</v>
      </c>
      <c r="G5135" s="916">
        <f>VLOOKUP($A5135,'Tech Litons'!$A:$I,8,FALSE)</f>
        <v>2.16E-3</v>
      </c>
      <c r="H5135" s="917">
        <f>VLOOKUP($A5135,'Tech Litons'!$A:$I,9,FALSE)</f>
        <v>195</v>
      </c>
      <c r="I5135" s="917" t="str">
        <f>VLOOKUP($A5135,'Tech Litons'!$A:$C,3,0)</f>
        <v>Facepieces</v>
      </c>
      <c r="J5135" s="918" t="str">
        <f t="shared" si="510"/>
        <v>IncomFacepieces</v>
      </c>
      <c r="K5135" s="919">
        <v>1</v>
      </c>
      <c r="L5135" s="920">
        <f t="shared" si="511"/>
        <v>3900</v>
      </c>
      <c r="M5135" s="920">
        <f t="shared" si="512"/>
        <v>8.4239999999999995</v>
      </c>
      <c r="N5135" s="920">
        <f t="shared" si="513"/>
        <v>20</v>
      </c>
      <c r="O5135" s="918" t="str">
        <f t="shared" si="514"/>
        <v>Feb</v>
      </c>
      <c r="P5135" s="921">
        <f t="shared" si="515"/>
        <v>9</v>
      </c>
    </row>
    <row r="5136" spans="1:16" ht="15" hidden="1" customHeight="1">
      <c r="A5136" s="839">
        <v>64771676</v>
      </c>
      <c r="B5136" s="839" t="s">
        <v>139</v>
      </c>
      <c r="C5136" s="906">
        <v>3900</v>
      </c>
      <c r="D5136" s="907">
        <v>46081</v>
      </c>
      <c r="E5136" s="839" t="s">
        <v>619</v>
      </c>
      <c r="F5136" s="839">
        <v>1419</v>
      </c>
      <c r="G5136" s="916">
        <f>VLOOKUP($A5136,'Tech Litons'!$A:$I,8,FALSE)</f>
        <v>2.16E-3</v>
      </c>
      <c r="H5136" s="917">
        <f>VLOOKUP($A5136,'Tech Litons'!$A:$I,9,FALSE)</f>
        <v>195</v>
      </c>
      <c r="I5136" s="917" t="str">
        <f>VLOOKUP($A5136,'Tech Litons'!$A:$C,3,0)</f>
        <v>Facepieces</v>
      </c>
      <c r="J5136" s="918" t="str">
        <f t="shared" si="510"/>
        <v>IncomFacepieces</v>
      </c>
      <c r="K5136" s="919">
        <v>1</v>
      </c>
      <c r="L5136" s="920">
        <f t="shared" si="511"/>
        <v>3900</v>
      </c>
      <c r="M5136" s="920">
        <f t="shared" si="512"/>
        <v>8.4239999999999995</v>
      </c>
      <c r="N5136" s="920">
        <f t="shared" si="513"/>
        <v>20</v>
      </c>
      <c r="O5136" s="918" t="str">
        <f t="shared" si="514"/>
        <v>Feb</v>
      </c>
      <c r="P5136" s="921">
        <f t="shared" si="515"/>
        <v>9</v>
      </c>
    </row>
    <row r="5137" spans="1:16" ht="15" hidden="1" customHeight="1">
      <c r="A5137" s="839">
        <v>64771676</v>
      </c>
      <c r="B5137" s="839" t="s">
        <v>139</v>
      </c>
      <c r="C5137" s="906">
        <v>3900</v>
      </c>
      <c r="D5137" s="907">
        <v>46081</v>
      </c>
      <c r="E5137" s="839" t="s">
        <v>619</v>
      </c>
      <c r="F5137" s="839">
        <v>1419</v>
      </c>
      <c r="G5137" s="916">
        <f>VLOOKUP($A5137,'Tech Litons'!$A:$I,8,FALSE)</f>
        <v>2.16E-3</v>
      </c>
      <c r="H5137" s="917">
        <f>VLOOKUP($A5137,'Tech Litons'!$A:$I,9,FALSE)</f>
        <v>195</v>
      </c>
      <c r="I5137" s="917" t="str">
        <f>VLOOKUP($A5137,'Tech Litons'!$A:$C,3,0)</f>
        <v>Facepieces</v>
      </c>
      <c r="J5137" s="918" t="str">
        <f t="shared" si="510"/>
        <v>IncomFacepieces</v>
      </c>
      <c r="K5137" s="919">
        <v>1</v>
      </c>
      <c r="L5137" s="920">
        <f t="shared" si="511"/>
        <v>3900</v>
      </c>
      <c r="M5137" s="920">
        <f t="shared" si="512"/>
        <v>8.4239999999999995</v>
      </c>
      <c r="N5137" s="920">
        <f t="shared" si="513"/>
        <v>20</v>
      </c>
      <c r="O5137" s="918" t="str">
        <f t="shared" si="514"/>
        <v>Feb</v>
      </c>
      <c r="P5137" s="921">
        <f t="shared" si="515"/>
        <v>9</v>
      </c>
    </row>
    <row r="5138" spans="1:16" ht="15" hidden="1" customHeight="1">
      <c r="A5138" s="839">
        <v>64956417</v>
      </c>
      <c r="B5138" s="839" t="s">
        <v>139</v>
      </c>
      <c r="C5138" s="906">
        <v>2860</v>
      </c>
      <c r="D5138" s="907">
        <v>46084</v>
      </c>
      <c r="E5138" s="839" t="s">
        <v>621</v>
      </c>
      <c r="F5138" s="839">
        <v>1419</v>
      </c>
      <c r="G5138" s="916">
        <f>VLOOKUP($A5138,'Tech Litons'!$A:$I,8,FALSE)</f>
        <v>2.16E-3</v>
      </c>
      <c r="H5138" s="917">
        <f>VLOOKUP($A5138,'Tech Litons'!$A:$I,9,FALSE)</f>
        <v>143</v>
      </c>
      <c r="I5138" s="917" t="str">
        <f>VLOOKUP($A5138,'Tech Litons'!$A:$C,3,0)</f>
        <v>Facepieces</v>
      </c>
      <c r="J5138" s="918" t="str">
        <f t="shared" si="510"/>
        <v>IncomFacepieces</v>
      </c>
      <c r="K5138" s="919">
        <v>1</v>
      </c>
      <c r="L5138" s="920">
        <f t="shared" si="511"/>
        <v>2860</v>
      </c>
      <c r="M5138" s="920">
        <f t="shared" si="512"/>
        <v>6.1776</v>
      </c>
      <c r="N5138" s="920">
        <f t="shared" si="513"/>
        <v>20</v>
      </c>
      <c r="O5138" s="918" t="str">
        <f t="shared" si="514"/>
        <v>Mar</v>
      </c>
      <c r="P5138" s="921">
        <f t="shared" si="515"/>
        <v>10</v>
      </c>
    </row>
    <row r="5139" spans="1:16" ht="15" hidden="1" customHeight="1">
      <c r="A5139" s="839">
        <v>64956417</v>
      </c>
      <c r="B5139" s="839" t="s">
        <v>139</v>
      </c>
      <c r="C5139" s="906">
        <v>2860</v>
      </c>
      <c r="D5139" s="907">
        <v>46084</v>
      </c>
      <c r="E5139" s="839" t="s">
        <v>621</v>
      </c>
      <c r="F5139" s="839">
        <v>1419</v>
      </c>
      <c r="G5139" s="916">
        <f>VLOOKUP($A5139,'Tech Litons'!$A:$I,8,FALSE)</f>
        <v>2.16E-3</v>
      </c>
      <c r="H5139" s="917">
        <f>VLOOKUP($A5139,'Tech Litons'!$A:$I,9,FALSE)</f>
        <v>143</v>
      </c>
      <c r="I5139" s="917" t="str">
        <f>VLOOKUP($A5139,'Tech Litons'!$A:$C,3,0)</f>
        <v>Facepieces</v>
      </c>
      <c r="J5139" s="918" t="str">
        <f t="shared" si="510"/>
        <v>IncomFacepieces</v>
      </c>
      <c r="K5139" s="919">
        <v>1</v>
      </c>
      <c r="L5139" s="920">
        <f t="shared" si="511"/>
        <v>2860</v>
      </c>
      <c r="M5139" s="920">
        <f t="shared" si="512"/>
        <v>6.1776</v>
      </c>
      <c r="N5139" s="920">
        <f t="shared" si="513"/>
        <v>20</v>
      </c>
      <c r="O5139" s="918" t="str">
        <f t="shared" si="514"/>
        <v>Mar</v>
      </c>
      <c r="P5139" s="921">
        <f t="shared" si="515"/>
        <v>10</v>
      </c>
    </row>
    <row r="5140" spans="1:16" ht="15" hidden="1" customHeight="1">
      <c r="A5140" s="839">
        <v>64771676</v>
      </c>
      <c r="B5140" s="839" t="s">
        <v>139</v>
      </c>
      <c r="C5140" s="906">
        <v>3900</v>
      </c>
      <c r="D5140" s="907">
        <v>46084</v>
      </c>
      <c r="E5140" s="839" t="s">
        <v>619</v>
      </c>
      <c r="F5140" s="839">
        <v>1419</v>
      </c>
      <c r="G5140" s="916">
        <f>VLOOKUP($A5140,'Tech Litons'!$A:$I,8,FALSE)</f>
        <v>2.16E-3</v>
      </c>
      <c r="H5140" s="917">
        <f>VLOOKUP($A5140,'Tech Litons'!$A:$I,9,FALSE)</f>
        <v>195</v>
      </c>
      <c r="I5140" s="917" t="str">
        <f>VLOOKUP($A5140,'Tech Litons'!$A:$C,3,0)</f>
        <v>Facepieces</v>
      </c>
      <c r="J5140" s="918" t="str">
        <f t="shared" si="510"/>
        <v>IncomFacepieces</v>
      </c>
      <c r="K5140" s="919">
        <v>1</v>
      </c>
      <c r="L5140" s="920">
        <f t="shared" si="511"/>
        <v>3900</v>
      </c>
      <c r="M5140" s="920">
        <f t="shared" si="512"/>
        <v>8.4239999999999995</v>
      </c>
      <c r="N5140" s="920">
        <f t="shared" si="513"/>
        <v>20</v>
      </c>
      <c r="O5140" s="918" t="str">
        <f t="shared" si="514"/>
        <v>Mar</v>
      </c>
      <c r="P5140" s="921">
        <f t="shared" si="515"/>
        <v>10</v>
      </c>
    </row>
    <row r="5141" spans="1:16" ht="15" hidden="1" customHeight="1">
      <c r="A5141" s="839">
        <v>64956417</v>
      </c>
      <c r="B5141" s="839" t="s">
        <v>139</v>
      </c>
      <c r="C5141" s="906">
        <v>2860</v>
      </c>
      <c r="D5141" s="907">
        <v>46085</v>
      </c>
      <c r="E5141" s="839" t="s">
        <v>621</v>
      </c>
      <c r="F5141" s="839">
        <v>1419</v>
      </c>
      <c r="G5141" s="916">
        <f>VLOOKUP($A5141,'Tech Litons'!$A:$I,8,FALSE)</f>
        <v>2.16E-3</v>
      </c>
      <c r="H5141" s="917">
        <f>VLOOKUP($A5141,'Tech Litons'!$A:$I,9,FALSE)</f>
        <v>143</v>
      </c>
      <c r="I5141" s="917" t="str">
        <f>VLOOKUP($A5141,'Tech Litons'!$A:$C,3,0)</f>
        <v>Facepieces</v>
      </c>
      <c r="J5141" s="918" t="str">
        <f t="shared" si="510"/>
        <v>IncomFacepieces</v>
      </c>
      <c r="K5141" s="919">
        <v>1</v>
      </c>
      <c r="L5141" s="920">
        <f t="shared" si="511"/>
        <v>2860</v>
      </c>
      <c r="M5141" s="920">
        <f t="shared" si="512"/>
        <v>6.1776</v>
      </c>
      <c r="N5141" s="920">
        <f t="shared" si="513"/>
        <v>20</v>
      </c>
      <c r="O5141" s="918" t="str">
        <f t="shared" si="514"/>
        <v>Mar</v>
      </c>
      <c r="P5141" s="921">
        <f t="shared" si="515"/>
        <v>10</v>
      </c>
    </row>
    <row r="5142" spans="1:16" ht="15" hidden="1" customHeight="1">
      <c r="A5142" s="839">
        <v>64956417</v>
      </c>
      <c r="B5142" s="839" t="s">
        <v>139</v>
      </c>
      <c r="C5142" s="906">
        <v>2860</v>
      </c>
      <c r="D5142" s="907">
        <v>46085</v>
      </c>
      <c r="E5142" s="839" t="s">
        <v>621</v>
      </c>
      <c r="F5142" s="839">
        <v>1419</v>
      </c>
      <c r="G5142" s="916">
        <f>VLOOKUP($A5142,'Tech Litons'!$A:$I,8,FALSE)</f>
        <v>2.16E-3</v>
      </c>
      <c r="H5142" s="917">
        <f>VLOOKUP($A5142,'Tech Litons'!$A:$I,9,FALSE)</f>
        <v>143</v>
      </c>
      <c r="I5142" s="917" t="str">
        <f>VLOOKUP($A5142,'Tech Litons'!$A:$C,3,0)</f>
        <v>Facepieces</v>
      </c>
      <c r="J5142" s="918" t="str">
        <f t="shared" si="510"/>
        <v>IncomFacepieces</v>
      </c>
      <c r="K5142" s="919">
        <v>1</v>
      </c>
      <c r="L5142" s="920">
        <f t="shared" si="511"/>
        <v>2860</v>
      </c>
      <c r="M5142" s="920">
        <f t="shared" si="512"/>
        <v>6.1776</v>
      </c>
      <c r="N5142" s="920">
        <f t="shared" si="513"/>
        <v>20</v>
      </c>
      <c r="O5142" s="918" t="str">
        <f t="shared" si="514"/>
        <v>Mar</v>
      </c>
      <c r="P5142" s="921">
        <f t="shared" si="515"/>
        <v>10</v>
      </c>
    </row>
    <row r="5143" spans="1:16" ht="15" hidden="1" customHeight="1">
      <c r="A5143" s="839">
        <v>64365613</v>
      </c>
      <c r="B5143" s="839" t="s">
        <v>139</v>
      </c>
      <c r="C5143" s="906">
        <v>3900</v>
      </c>
      <c r="D5143" s="907">
        <v>46085</v>
      </c>
      <c r="E5143" s="839" t="s">
        <v>617</v>
      </c>
      <c r="F5143" s="839">
        <v>1419</v>
      </c>
      <c r="G5143" s="916">
        <f>VLOOKUP($A5143,'Tech Litons'!$A:$I,8,FALSE)</f>
        <v>2.1540000000000001E-3</v>
      </c>
      <c r="H5143" s="917">
        <f>VLOOKUP($A5143,'Tech Litons'!$A:$I,9,FALSE)</f>
        <v>195</v>
      </c>
      <c r="I5143" s="917" t="str">
        <f>VLOOKUP($A5143,'Tech Litons'!$A:$C,3,0)</f>
        <v>Facepieces</v>
      </c>
      <c r="J5143" s="918" t="str">
        <f t="shared" si="510"/>
        <v>IncomFacepieces</v>
      </c>
      <c r="K5143" s="919">
        <v>1</v>
      </c>
      <c r="L5143" s="920">
        <f t="shared" si="511"/>
        <v>3900</v>
      </c>
      <c r="M5143" s="920">
        <f t="shared" si="512"/>
        <v>8.4006000000000007</v>
      </c>
      <c r="N5143" s="920">
        <f t="shared" si="513"/>
        <v>20</v>
      </c>
      <c r="O5143" s="918" t="str">
        <f t="shared" si="514"/>
        <v>Mar</v>
      </c>
      <c r="P5143" s="921">
        <f t="shared" si="515"/>
        <v>10</v>
      </c>
    </row>
    <row r="5144" spans="1:16" ht="15" hidden="1" customHeight="1">
      <c r="A5144" s="839">
        <v>64771676</v>
      </c>
      <c r="B5144" s="839" t="s">
        <v>139</v>
      </c>
      <c r="C5144" s="906">
        <v>3900</v>
      </c>
      <c r="D5144" s="907">
        <v>46085</v>
      </c>
      <c r="E5144" s="839" t="s">
        <v>619</v>
      </c>
      <c r="F5144" s="839">
        <v>1419</v>
      </c>
      <c r="G5144" s="916">
        <f>VLOOKUP($A5144,'Tech Litons'!$A:$I,8,FALSE)</f>
        <v>2.16E-3</v>
      </c>
      <c r="H5144" s="917">
        <f>VLOOKUP($A5144,'Tech Litons'!$A:$I,9,FALSE)</f>
        <v>195</v>
      </c>
      <c r="I5144" s="917" t="str">
        <f>VLOOKUP($A5144,'Tech Litons'!$A:$C,3,0)</f>
        <v>Facepieces</v>
      </c>
      <c r="J5144" s="918" t="str">
        <f t="shared" si="510"/>
        <v>IncomFacepieces</v>
      </c>
      <c r="K5144" s="919">
        <v>1</v>
      </c>
      <c r="L5144" s="920">
        <f t="shared" si="511"/>
        <v>3900</v>
      </c>
      <c r="M5144" s="920">
        <f t="shared" si="512"/>
        <v>8.4239999999999995</v>
      </c>
      <c r="N5144" s="920">
        <f t="shared" si="513"/>
        <v>20</v>
      </c>
      <c r="O5144" s="918" t="str">
        <f t="shared" si="514"/>
        <v>Mar</v>
      </c>
      <c r="P5144" s="921">
        <f t="shared" si="515"/>
        <v>10</v>
      </c>
    </row>
    <row r="5145" spans="1:16" ht="15" hidden="1" customHeight="1">
      <c r="A5145" s="839">
        <v>64341109</v>
      </c>
      <c r="B5145" s="839" t="s">
        <v>139</v>
      </c>
      <c r="C5145" s="906">
        <v>4200</v>
      </c>
      <c r="D5145" s="907">
        <v>46085</v>
      </c>
      <c r="E5145" s="839" t="s">
        <v>616</v>
      </c>
      <c r="F5145" s="839">
        <v>1419</v>
      </c>
      <c r="G5145" s="916">
        <f>VLOOKUP($A5145,'Tech Litons'!$A:$I,8,FALSE)</f>
        <v>2E-3</v>
      </c>
      <c r="H5145" s="917">
        <f>VLOOKUP($A5145,'Tech Litons'!$A:$I,9,FALSE)</f>
        <v>210</v>
      </c>
      <c r="I5145" s="917" t="str">
        <f>VLOOKUP($A5145,'Tech Litons'!$A:$C,3,0)</f>
        <v>Facepieces</v>
      </c>
      <c r="J5145" s="918" t="str">
        <f t="shared" si="510"/>
        <v>IncomFacepieces</v>
      </c>
      <c r="K5145" s="919">
        <v>1</v>
      </c>
      <c r="L5145" s="920">
        <f t="shared" si="511"/>
        <v>4200</v>
      </c>
      <c r="M5145" s="920">
        <f t="shared" si="512"/>
        <v>8.4</v>
      </c>
      <c r="N5145" s="920">
        <f t="shared" si="513"/>
        <v>20</v>
      </c>
      <c r="O5145" s="918" t="str">
        <f t="shared" si="514"/>
        <v>Mar</v>
      </c>
      <c r="P5145" s="921">
        <f t="shared" si="515"/>
        <v>10</v>
      </c>
    </row>
    <row r="5146" spans="1:16" ht="15" hidden="1" customHeight="1">
      <c r="A5146" s="839">
        <v>64956417</v>
      </c>
      <c r="B5146" s="839" t="s">
        <v>139</v>
      </c>
      <c r="C5146" s="906">
        <v>2860</v>
      </c>
      <c r="D5146" s="907">
        <v>46086</v>
      </c>
      <c r="E5146" s="839" t="s">
        <v>621</v>
      </c>
      <c r="F5146" s="839">
        <v>1419</v>
      </c>
      <c r="G5146" s="916">
        <f>VLOOKUP($A5146,'Tech Litons'!$A:$I,8,FALSE)</f>
        <v>2.16E-3</v>
      </c>
      <c r="H5146" s="917">
        <f>VLOOKUP($A5146,'Tech Litons'!$A:$I,9,FALSE)</f>
        <v>143</v>
      </c>
      <c r="I5146" s="917" t="str">
        <f>VLOOKUP($A5146,'Tech Litons'!$A:$C,3,0)</f>
        <v>Facepieces</v>
      </c>
      <c r="J5146" s="918" t="str">
        <f t="shared" si="510"/>
        <v>IncomFacepieces</v>
      </c>
      <c r="K5146" s="919">
        <v>1</v>
      </c>
      <c r="L5146" s="920">
        <f t="shared" si="511"/>
        <v>2860</v>
      </c>
      <c r="M5146" s="920">
        <f t="shared" si="512"/>
        <v>6.1776</v>
      </c>
      <c r="N5146" s="920">
        <f t="shared" si="513"/>
        <v>20</v>
      </c>
      <c r="O5146" s="918" t="str">
        <f t="shared" si="514"/>
        <v>Mar</v>
      </c>
      <c r="P5146" s="921">
        <f t="shared" si="515"/>
        <v>10</v>
      </c>
    </row>
    <row r="5147" spans="1:16" ht="15" hidden="1" customHeight="1">
      <c r="A5147" s="839">
        <v>64365613</v>
      </c>
      <c r="B5147" s="839" t="s">
        <v>139</v>
      </c>
      <c r="C5147" s="906">
        <v>3120</v>
      </c>
      <c r="D5147" s="907">
        <v>46086</v>
      </c>
      <c r="E5147" s="839" t="s">
        <v>617</v>
      </c>
      <c r="F5147" s="839">
        <v>1419</v>
      </c>
      <c r="G5147" s="916">
        <f>VLOOKUP($A5147,'Tech Litons'!$A:$I,8,FALSE)</f>
        <v>2.1540000000000001E-3</v>
      </c>
      <c r="H5147" s="917">
        <f>VLOOKUP($A5147,'Tech Litons'!$A:$I,9,FALSE)</f>
        <v>195</v>
      </c>
      <c r="I5147" s="917" t="str">
        <f>VLOOKUP($A5147,'Tech Litons'!$A:$C,3,0)</f>
        <v>Facepieces</v>
      </c>
      <c r="J5147" s="918" t="str">
        <f t="shared" si="510"/>
        <v>IncomFacepieces</v>
      </c>
      <c r="K5147" s="919">
        <v>1</v>
      </c>
      <c r="L5147" s="920">
        <f t="shared" si="511"/>
        <v>3120</v>
      </c>
      <c r="M5147" s="920">
        <f t="shared" si="512"/>
        <v>6.7204800000000002</v>
      </c>
      <c r="N5147" s="920">
        <f t="shared" si="513"/>
        <v>16</v>
      </c>
      <c r="O5147" s="918" t="str">
        <f t="shared" si="514"/>
        <v>Mar</v>
      </c>
      <c r="P5147" s="921">
        <f t="shared" si="515"/>
        <v>10</v>
      </c>
    </row>
    <row r="5148" spans="1:16" ht="15" hidden="1" customHeight="1">
      <c r="A5148" s="839">
        <v>64341108</v>
      </c>
      <c r="B5148" s="839" t="s">
        <v>139</v>
      </c>
      <c r="C5148" s="906">
        <v>4200</v>
      </c>
      <c r="D5148" s="907">
        <v>46086</v>
      </c>
      <c r="E5148" s="839" t="s">
        <v>615</v>
      </c>
      <c r="F5148" s="839">
        <v>1419</v>
      </c>
      <c r="G5148" s="916">
        <f>VLOOKUP($A5148,'Tech Litons'!$A:$I,8,FALSE)</f>
        <v>2.3599999999999997E-3</v>
      </c>
      <c r="H5148" s="917">
        <f>VLOOKUP($A5148,'Tech Litons'!$A:$I,9,FALSE)</f>
        <v>210</v>
      </c>
      <c r="I5148" s="917" t="str">
        <f>VLOOKUP($A5148,'Tech Litons'!$A:$C,3,0)</f>
        <v>Facepieces</v>
      </c>
      <c r="J5148" s="918" t="str">
        <f t="shared" si="510"/>
        <v>IncomFacepieces</v>
      </c>
      <c r="K5148" s="919">
        <v>1</v>
      </c>
      <c r="L5148" s="920">
        <f t="shared" si="511"/>
        <v>4200</v>
      </c>
      <c r="M5148" s="920">
        <f t="shared" si="512"/>
        <v>9.911999999999999</v>
      </c>
      <c r="N5148" s="920">
        <f t="shared" si="513"/>
        <v>20</v>
      </c>
      <c r="O5148" s="918" t="str">
        <f t="shared" si="514"/>
        <v>Mar</v>
      </c>
      <c r="P5148" s="921">
        <f t="shared" si="515"/>
        <v>10</v>
      </c>
    </row>
    <row r="5149" spans="1:16" ht="15" hidden="1" customHeight="1">
      <c r="A5149" s="839">
        <v>64341109</v>
      </c>
      <c r="B5149" s="839" t="s">
        <v>139</v>
      </c>
      <c r="C5149" s="906">
        <v>4200</v>
      </c>
      <c r="D5149" s="907">
        <v>46086</v>
      </c>
      <c r="E5149" s="839" t="s">
        <v>616</v>
      </c>
      <c r="F5149" s="839">
        <v>1419</v>
      </c>
      <c r="G5149" s="916">
        <f>VLOOKUP($A5149,'Tech Litons'!$A:$I,8,FALSE)</f>
        <v>2E-3</v>
      </c>
      <c r="H5149" s="917">
        <f>VLOOKUP($A5149,'Tech Litons'!$A:$I,9,FALSE)</f>
        <v>210</v>
      </c>
      <c r="I5149" s="917" t="str">
        <f>VLOOKUP($A5149,'Tech Litons'!$A:$C,3,0)</f>
        <v>Facepieces</v>
      </c>
      <c r="J5149" s="918" t="str">
        <f t="shared" si="510"/>
        <v>IncomFacepieces</v>
      </c>
      <c r="K5149" s="919">
        <v>1</v>
      </c>
      <c r="L5149" s="920">
        <f t="shared" si="511"/>
        <v>4200</v>
      </c>
      <c r="M5149" s="920">
        <f t="shared" si="512"/>
        <v>8.4</v>
      </c>
      <c r="N5149" s="920">
        <f t="shared" si="513"/>
        <v>20</v>
      </c>
      <c r="O5149" s="918" t="str">
        <f t="shared" si="514"/>
        <v>Mar</v>
      </c>
      <c r="P5149" s="921">
        <f t="shared" si="515"/>
        <v>10</v>
      </c>
    </row>
    <row r="5150" spans="1:16" ht="15" hidden="1" customHeight="1">
      <c r="A5150" s="839">
        <v>64341109</v>
      </c>
      <c r="B5150" s="839" t="s">
        <v>139</v>
      </c>
      <c r="C5150" s="906">
        <v>4200</v>
      </c>
      <c r="D5150" s="907">
        <v>46086</v>
      </c>
      <c r="E5150" s="839" t="s">
        <v>616</v>
      </c>
      <c r="F5150" s="839">
        <v>1419</v>
      </c>
      <c r="G5150" s="916">
        <f>VLOOKUP($A5150,'Tech Litons'!$A:$I,8,FALSE)</f>
        <v>2E-3</v>
      </c>
      <c r="H5150" s="917">
        <f>VLOOKUP($A5150,'Tech Litons'!$A:$I,9,FALSE)</f>
        <v>210</v>
      </c>
      <c r="I5150" s="917" t="str">
        <f>VLOOKUP($A5150,'Tech Litons'!$A:$C,3,0)</f>
        <v>Facepieces</v>
      </c>
      <c r="J5150" s="918" t="str">
        <f t="shared" si="510"/>
        <v>IncomFacepieces</v>
      </c>
      <c r="K5150" s="919">
        <v>1</v>
      </c>
      <c r="L5150" s="920">
        <f t="shared" si="511"/>
        <v>4200</v>
      </c>
      <c r="M5150" s="920">
        <f t="shared" si="512"/>
        <v>8.4</v>
      </c>
      <c r="N5150" s="920">
        <f t="shared" si="513"/>
        <v>20</v>
      </c>
      <c r="O5150" s="918" t="str">
        <f t="shared" si="514"/>
        <v>Mar</v>
      </c>
      <c r="P5150" s="921">
        <f t="shared" si="515"/>
        <v>10</v>
      </c>
    </row>
    <row r="5151" spans="1:16" ht="15" hidden="1" customHeight="1">
      <c r="A5151" s="839">
        <v>64341109</v>
      </c>
      <c r="B5151" s="839" t="s">
        <v>139</v>
      </c>
      <c r="C5151" s="906">
        <v>4200</v>
      </c>
      <c r="D5151" s="907">
        <v>46086</v>
      </c>
      <c r="E5151" s="839" t="s">
        <v>616</v>
      </c>
      <c r="F5151" s="839">
        <v>1419</v>
      </c>
      <c r="G5151" s="916">
        <f>VLOOKUP($A5151,'Tech Litons'!$A:$I,8,FALSE)</f>
        <v>2E-3</v>
      </c>
      <c r="H5151" s="917">
        <f>VLOOKUP($A5151,'Tech Litons'!$A:$I,9,FALSE)</f>
        <v>210</v>
      </c>
      <c r="I5151" s="917" t="str">
        <f>VLOOKUP($A5151,'Tech Litons'!$A:$C,3,0)</f>
        <v>Facepieces</v>
      </c>
      <c r="J5151" s="918" t="str">
        <f t="shared" si="510"/>
        <v>IncomFacepieces</v>
      </c>
      <c r="K5151" s="919">
        <v>1</v>
      </c>
      <c r="L5151" s="920">
        <f t="shared" si="511"/>
        <v>4200</v>
      </c>
      <c r="M5151" s="920">
        <f t="shared" si="512"/>
        <v>8.4</v>
      </c>
      <c r="N5151" s="920">
        <f t="shared" si="513"/>
        <v>20</v>
      </c>
      <c r="O5151" s="918" t="str">
        <f t="shared" si="514"/>
        <v>Mar</v>
      </c>
      <c r="P5151" s="921">
        <f t="shared" si="515"/>
        <v>10</v>
      </c>
    </row>
    <row r="5152" spans="1:16" ht="15" hidden="1" customHeight="1">
      <c r="A5152" s="839">
        <v>64956417</v>
      </c>
      <c r="B5152" s="839" t="s">
        <v>139</v>
      </c>
      <c r="C5152" s="906">
        <v>2860</v>
      </c>
      <c r="D5152" s="907">
        <v>46087</v>
      </c>
      <c r="E5152" s="839" t="s">
        <v>621</v>
      </c>
      <c r="F5152" s="839">
        <v>1419</v>
      </c>
      <c r="G5152" s="916">
        <f>VLOOKUP($A5152,'Tech Litons'!$A:$I,8,FALSE)</f>
        <v>2.16E-3</v>
      </c>
      <c r="H5152" s="917">
        <f>VLOOKUP($A5152,'Tech Litons'!$A:$I,9,FALSE)</f>
        <v>143</v>
      </c>
      <c r="I5152" s="917" t="str">
        <f>VLOOKUP($A5152,'Tech Litons'!$A:$C,3,0)</f>
        <v>Facepieces</v>
      </c>
      <c r="J5152" s="918" t="str">
        <f t="shared" si="510"/>
        <v>IncomFacepieces</v>
      </c>
      <c r="K5152" s="919">
        <v>1</v>
      </c>
      <c r="L5152" s="920">
        <f t="shared" si="511"/>
        <v>2860</v>
      </c>
      <c r="M5152" s="920">
        <f t="shared" si="512"/>
        <v>6.1776</v>
      </c>
      <c r="N5152" s="920">
        <f t="shared" si="513"/>
        <v>20</v>
      </c>
      <c r="O5152" s="918" t="str">
        <f t="shared" si="514"/>
        <v>Mar</v>
      </c>
      <c r="P5152" s="921">
        <f t="shared" si="515"/>
        <v>10</v>
      </c>
    </row>
    <row r="5153" spans="1:16" ht="15" hidden="1" customHeight="1">
      <c r="A5153" s="839">
        <v>64956417</v>
      </c>
      <c r="B5153" s="839" t="s">
        <v>139</v>
      </c>
      <c r="C5153" s="906">
        <v>2860</v>
      </c>
      <c r="D5153" s="907">
        <v>46087</v>
      </c>
      <c r="E5153" s="839" t="s">
        <v>621</v>
      </c>
      <c r="F5153" s="839">
        <v>1419</v>
      </c>
      <c r="G5153" s="916">
        <f>VLOOKUP($A5153,'Tech Litons'!$A:$I,8,FALSE)</f>
        <v>2.16E-3</v>
      </c>
      <c r="H5153" s="917">
        <f>VLOOKUP($A5153,'Tech Litons'!$A:$I,9,FALSE)</f>
        <v>143</v>
      </c>
      <c r="I5153" s="917" t="str">
        <f>VLOOKUP($A5153,'Tech Litons'!$A:$C,3,0)</f>
        <v>Facepieces</v>
      </c>
      <c r="J5153" s="918" t="str">
        <f t="shared" si="510"/>
        <v>IncomFacepieces</v>
      </c>
      <c r="K5153" s="919">
        <v>1</v>
      </c>
      <c r="L5153" s="920">
        <f t="shared" si="511"/>
        <v>2860</v>
      </c>
      <c r="M5153" s="920">
        <f t="shared" si="512"/>
        <v>6.1776</v>
      </c>
      <c r="N5153" s="920">
        <f t="shared" si="513"/>
        <v>20</v>
      </c>
      <c r="O5153" s="918" t="str">
        <f t="shared" si="514"/>
        <v>Mar</v>
      </c>
      <c r="P5153" s="921">
        <f t="shared" si="515"/>
        <v>10</v>
      </c>
    </row>
    <row r="5154" spans="1:16" ht="15" hidden="1" customHeight="1">
      <c r="A5154" s="839">
        <v>64771676</v>
      </c>
      <c r="B5154" s="839" t="s">
        <v>139</v>
      </c>
      <c r="C5154" s="906">
        <v>3900</v>
      </c>
      <c r="D5154" s="907">
        <v>46087</v>
      </c>
      <c r="E5154" s="839" t="s">
        <v>619</v>
      </c>
      <c r="F5154" s="839">
        <v>1419</v>
      </c>
      <c r="G5154" s="916">
        <f>VLOOKUP($A5154,'Tech Litons'!$A:$I,8,FALSE)</f>
        <v>2.16E-3</v>
      </c>
      <c r="H5154" s="917">
        <f>VLOOKUP($A5154,'Tech Litons'!$A:$I,9,FALSE)</f>
        <v>195</v>
      </c>
      <c r="I5154" s="917" t="str">
        <f>VLOOKUP($A5154,'Tech Litons'!$A:$C,3,0)</f>
        <v>Facepieces</v>
      </c>
      <c r="J5154" s="918" t="str">
        <f t="shared" si="510"/>
        <v>IncomFacepieces</v>
      </c>
      <c r="K5154" s="919">
        <v>1</v>
      </c>
      <c r="L5154" s="920">
        <f t="shared" si="511"/>
        <v>3900</v>
      </c>
      <c r="M5154" s="920">
        <f t="shared" si="512"/>
        <v>8.4239999999999995</v>
      </c>
      <c r="N5154" s="920">
        <f t="shared" si="513"/>
        <v>20</v>
      </c>
      <c r="O5154" s="918" t="str">
        <f t="shared" si="514"/>
        <v>Mar</v>
      </c>
      <c r="P5154" s="921">
        <f t="shared" si="515"/>
        <v>10</v>
      </c>
    </row>
    <row r="5155" spans="1:16" ht="15" hidden="1" customHeight="1">
      <c r="A5155" s="839">
        <v>64771676</v>
      </c>
      <c r="B5155" s="839" t="s">
        <v>139</v>
      </c>
      <c r="C5155" s="906">
        <v>3900</v>
      </c>
      <c r="D5155" s="907">
        <v>46087</v>
      </c>
      <c r="E5155" s="839" t="s">
        <v>619</v>
      </c>
      <c r="F5155" s="839">
        <v>1419</v>
      </c>
      <c r="G5155" s="916">
        <f>VLOOKUP($A5155,'Tech Litons'!$A:$I,8,FALSE)</f>
        <v>2.16E-3</v>
      </c>
      <c r="H5155" s="917">
        <f>VLOOKUP($A5155,'Tech Litons'!$A:$I,9,FALSE)</f>
        <v>195</v>
      </c>
      <c r="I5155" s="917" t="str">
        <f>VLOOKUP($A5155,'Tech Litons'!$A:$C,3,0)</f>
        <v>Facepieces</v>
      </c>
      <c r="J5155" s="918" t="str">
        <f t="shared" si="510"/>
        <v>IncomFacepieces</v>
      </c>
      <c r="K5155" s="919">
        <v>1</v>
      </c>
      <c r="L5155" s="920">
        <f t="shared" si="511"/>
        <v>3900</v>
      </c>
      <c r="M5155" s="920">
        <f t="shared" si="512"/>
        <v>8.4239999999999995</v>
      </c>
      <c r="N5155" s="920">
        <f t="shared" si="513"/>
        <v>20</v>
      </c>
      <c r="O5155" s="918" t="str">
        <f t="shared" si="514"/>
        <v>Mar</v>
      </c>
      <c r="P5155" s="921">
        <f t="shared" si="515"/>
        <v>10</v>
      </c>
    </row>
    <row r="5156" spans="1:16" ht="15" hidden="1" customHeight="1">
      <c r="A5156" s="839">
        <v>64341108</v>
      </c>
      <c r="B5156" s="839" t="s">
        <v>139</v>
      </c>
      <c r="C5156" s="906">
        <v>4200</v>
      </c>
      <c r="D5156" s="907">
        <v>46087</v>
      </c>
      <c r="E5156" s="839" t="s">
        <v>615</v>
      </c>
      <c r="F5156" s="839">
        <v>1419</v>
      </c>
      <c r="G5156" s="916">
        <f>VLOOKUP($A5156,'Tech Litons'!$A:$I,8,FALSE)</f>
        <v>2.3599999999999997E-3</v>
      </c>
      <c r="H5156" s="917">
        <f>VLOOKUP($A5156,'Tech Litons'!$A:$I,9,FALSE)</f>
        <v>210</v>
      </c>
      <c r="I5156" s="917" t="str">
        <f>VLOOKUP($A5156,'Tech Litons'!$A:$C,3,0)</f>
        <v>Facepieces</v>
      </c>
      <c r="J5156" s="918" t="str">
        <f t="shared" si="510"/>
        <v>IncomFacepieces</v>
      </c>
      <c r="K5156" s="919">
        <v>1</v>
      </c>
      <c r="L5156" s="920">
        <f t="shared" si="511"/>
        <v>4200</v>
      </c>
      <c r="M5156" s="920">
        <f t="shared" si="512"/>
        <v>9.911999999999999</v>
      </c>
      <c r="N5156" s="920">
        <f t="shared" si="513"/>
        <v>20</v>
      </c>
      <c r="O5156" s="918" t="str">
        <f t="shared" si="514"/>
        <v>Mar</v>
      </c>
      <c r="P5156" s="921">
        <f t="shared" si="515"/>
        <v>10</v>
      </c>
    </row>
    <row r="5157" spans="1:16" ht="15" hidden="1" customHeight="1">
      <c r="A5157" s="839">
        <v>64341109</v>
      </c>
      <c r="B5157" s="839" t="s">
        <v>139</v>
      </c>
      <c r="C5157" s="906">
        <v>4200</v>
      </c>
      <c r="D5157" s="907">
        <v>46087</v>
      </c>
      <c r="E5157" s="839" t="s">
        <v>616</v>
      </c>
      <c r="F5157" s="839">
        <v>1419</v>
      </c>
      <c r="G5157" s="916">
        <f>VLOOKUP($A5157,'Tech Litons'!$A:$I,8,FALSE)</f>
        <v>2E-3</v>
      </c>
      <c r="H5157" s="917">
        <f>VLOOKUP($A5157,'Tech Litons'!$A:$I,9,FALSE)</f>
        <v>210</v>
      </c>
      <c r="I5157" s="917" t="str">
        <f>VLOOKUP($A5157,'Tech Litons'!$A:$C,3,0)</f>
        <v>Facepieces</v>
      </c>
      <c r="J5157" s="918" t="str">
        <f t="shared" si="510"/>
        <v>IncomFacepieces</v>
      </c>
      <c r="K5157" s="919">
        <v>1</v>
      </c>
      <c r="L5157" s="920">
        <f t="shared" si="511"/>
        <v>4200</v>
      </c>
      <c r="M5157" s="920">
        <f t="shared" si="512"/>
        <v>8.4</v>
      </c>
      <c r="N5157" s="920">
        <f t="shared" si="513"/>
        <v>20</v>
      </c>
      <c r="O5157" s="918" t="str">
        <f t="shared" si="514"/>
        <v>Mar</v>
      </c>
      <c r="P5157" s="921">
        <f t="shared" si="515"/>
        <v>10</v>
      </c>
    </row>
    <row r="5158" spans="1:16" ht="15" hidden="1" customHeight="1">
      <c r="A5158" s="839">
        <v>64956417</v>
      </c>
      <c r="B5158" s="839" t="s">
        <v>139</v>
      </c>
      <c r="C5158" s="906">
        <v>2717</v>
      </c>
      <c r="D5158" s="907">
        <v>46090</v>
      </c>
      <c r="E5158" s="839" t="s">
        <v>621</v>
      </c>
      <c r="F5158" s="839">
        <v>3989</v>
      </c>
      <c r="G5158" s="916">
        <f>VLOOKUP($A5158,'Tech Litons'!$A:$I,8,FALSE)</f>
        <v>2.16E-3</v>
      </c>
      <c r="H5158" s="917">
        <f>VLOOKUP($A5158,'Tech Litons'!$A:$I,9,FALSE)</f>
        <v>143</v>
      </c>
      <c r="I5158" s="917" t="str">
        <f>VLOOKUP($A5158,'Tech Litons'!$A:$C,3,0)</f>
        <v>Facepieces</v>
      </c>
      <c r="J5158" s="918" t="str">
        <f t="shared" si="510"/>
        <v>IncomFacepieces</v>
      </c>
      <c r="K5158" s="919">
        <v>1</v>
      </c>
      <c r="L5158" s="920">
        <f t="shared" si="511"/>
        <v>2717</v>
      </c>
      <c r="M5158" s="920">
        <f t="shared" si="512"/>
        <v>5.8687199999999997</v>
      </c>
      <c r="N5158" s="920">
        <f t="shared" si="513"/>
        <v>19</v>
      </c>
      <c r="O5158" s="918" t="str">
        <f t="shared" si="514"/>
        <v>Mar</v>
      </c>
      <c r="P5158" s="921">
        <f t="shared" si="515"/>
        <v>11</v>
      </c>
    </row>
    <row r="5159" spans="1:16" ht="15" hidden="1" customHeight="1">
      <c r="A5159" s="839">
        <v>64956417</v>
      </c>
      <c r="B5159" s="839" t="s">
        <v>139</v>
      </c>
      <c r="C5159" s="906">
        <v>2717</v>
      </c>
      <c r="D5159" s="907">
        <v>46090</v>
      </c>
      <c r="E5159" s="839" t="s">
        <v>621</v>
      </c>
      <c r="F5159" s="839">
        <v>3989</v>
      </c>
      <c r="G5159" s="916">
        <f>VLOOKUP($A5159,'Tech Litons'!$A:$I,8,FALSE)</f>
        <v>2.16E-3</v>
      </c>
      <c r="H5159" s="917">
        <f>VLOOKUP($A5159,'Tech Litons'!$A:$I,9,FALSE)</f>
        <v>143</v>
      </c>
      <c r="I5159" s="917" t="str">
        <f>VLOOKUP($A5159,'Tech Litons'!$A:$C,3,0)</f>
        <v>Facepieces</v>
      </c>
      <c r="J5159" s="918" t="str">
        <f t="shared" si="510"/>
        <v>IncomFacepieces</v>
      </c>
      <c r="K5159" s="919">
        <v>1</v>
      </c>
      <c r="L5159" s="920">
        <f t="shared" si="511"/>
        <v>2717</v>
      </c>
      <c r="M5159" s="920">
        <f t="shared" si="512"/>
        <v>5.8687199999999997</v>
      </c>
      <c r="N5159" s="920">
        <f t="shared" si="513"/>
        <v>19</v>
      </c>
      <c r="O5159" s="918" t="str">
        <f t="shared" si="514"/>
        <v>Mar</v>
      </c>
      <c r="P5159" s="921">
        <f t="shared" si="515"/>
        <v>11</v>
      </c>
    </row>
    <row r="5160" spans="1:16" ht="15" hidden="1" customHeight="1">
      <c r="A5160" s="839">
        <v>64956417</v>
      </c>
      <c r="B5160" s="839" t="s">
        <v>139</v>
      </c>
      <c r="C5160" s="906">
        <v>2860</v>
      </c>
      <c r="D5160" s="907">
        <v>46090</v>
      </c>
      <c r="E5160" s="839" t="s">
        <v>621</v>
      </c>
      <c r="F5160" s="839">
        <v>1419</v>
      </c>
      <c r="G5160" s="916">
        <f>VLOOKUP($A5160,'Tech Litons'!$A:$I,8,FALSE)</f>
        <v>2.16E-3</v>
      </c>
      <c r="H5160" s="917">
        <f>VLOOKUP($A5160,'Tech Litons'!$A:$I,9,FALSE)</f>
        <v>143</v>
      </c>
      <c r="I5160" s="917" t="str">
        <f>VLOOKUP($A5160,'Tech Litons'!$A:$C,3,0)</f>
        <v>Facepieces</v>
      </c>
      <c r="J5160" s="918" t="str">
        <f t="shared" si="510"/>
        <v>IncomFacepieces</v>
      </c>
      <c r="K5160" s="919">
        <v>1</v>
      </c>
      <c r="L5160" s="920">
        <f t="shared" si="511"/>
        <v>2860</v>
      </c>
      <c r="M5160" s="920">
        <f t="shared" si="512"/>
        <v>6.1776</v>
      </c>
      <c r="N5160" s="920">
        <f t="shared" si="513"/>
        <v>20</v>
      </c>
      <c r="O5160" s="918" t="str">
        <f t="shared" si="514"/>
        <v>Mar</v>
      </c>
      <c r="P5160" s="921">
        <f t="shared" si="515"/>
        <v>11</v>
      </c>
    </row>
    <row r="5161" spans="1:16" ht="15" hidden="1" customHeight="1">
      <c r="A5161" s="839">
        <v>64956417</v>
      </c>
      <c r="B5161" s="839" t="s">
        <v>139</v>
      </c>
      <c r="C5161" s="906">
        <v>2860</v>
      </c>
      <c r="D5161" s="907">
        <v>46090</v>
      </c>
      <c r="E5161" s="839" t="s">
        <v>621</v>
      </c>
      <c r="F5161" s="839">
        <v>3989</v>
      </c>
      <c r="G5161" s="916">
        <f>VLOOKUP($A5161,'Tech Litons'!$A:$I,8,FALSE)</f>
        <v>2.16E-3</v>
      </c>
      <c r="H5161" s="917">
        <f>VLOOKUP($A5161,'Tech Litons'!$A:$I,9,FALSE)</f>
        <v>143</v>
      </c>
      <c r="I5161" s="917" t="str">
        <f>VLOOKUP($A5161,'Tech Litons'!$A:$C,3,0)</f>
        <v>Facepieces</v>
      </c>
      <c r="J5161" s="918" t="str">
        <f t="shared" si="510"/>
        <v>IncomFacepieces</v>
      </c>
      <c r="K5161" s="919">
        <v>1</v>
      </c>
      <c r="L5161" s="920">
        <f t="shared" si="511"/>
        <v>2860</v>
      </c>
      <c r="M5161" s="920">
        <f t="shared" si="512"/>
        <v>6.1776</v>
      </c>
      <c r="N5161" s="920">
        <f t="shared" si="513"/>
        <v>20</v>
      </c>
      <c r="O5161" s="918" t="str">
        <f t="shared" si="514"/>
        <v>Mar</v>
      </c>
      <c r="P5161" s="921">
        <f t="shared" si="515"/>
        <v>11</v>
      </c>
    </row>
    <row r="5162" spans="1:16" ht="15" hidden="1" customHeight="1">
      <c r="A5162" s="839">
        <v>64403162</v>
      </c>
      <c r="B5162" s="839" t="s">
        <v>139</v>
      </c>
      <c r="C5162" s="906">
        <v>3900</v>
      </c>
      <c r="D5162" s="907">
        <v>46090</v>
      </c>
      <c r="E5162" s="839" t="s">
        <v>1203</v>
      </c>
      <c r="F5162" s="839">
        <v>3989</v>
      </c>
      <c r="G5162" s="916">
        <f>VLOOKUP($A5162,'Tech Litons'!$A:$I,8,FALSE)</f>
        <v>2.16E-3</v>
      </c>
      <c r="H5162" s="917">
        <f>VLOOKUP($A5162,'Tech Litons'!$A:$I,9,FALSE)</f>
        <v>195</v>
      </c>
      <c r="I5162" s="917" t="str">
        <f>VLOOKUP($A5162,'Tech Litons'!$A:$C,3,0)</f>
        <v>Facepieces</v>
      </c>
      <c r="J5162" s="918" t="str">
        <f t="shared" si="510"/>
        <v>IncomFacepieces</v>
      </c>
      <c r="K5162" s="919">
        <v>1</v>
      </c>
      <c r="L5162" s="920">
        <f t="shared" si="511"/>
        <v>3900</v>
      </c>
      <c r="M5162" s="920">
        <f t="shared" si="512"/>
        <v>8.4239999999999995</v>
      </c>
      <c r="N5162" s="920">
        <f t="shared" si="513"/>
        <v>20</v>
      </c>
      <c r="O5162" s="918" t="str">
        <f t="shared" si="514"/>
        <v>Mar</v>
      </c>
      <c r="P5162" s="921">
        <f t="shared" si="515"/>
        <v>11</v>
      </c>
    </row>
    <row r="5163" spans="1:16" ht="15" hidden="1" customHeight="1">
      <c r="A5163" s="839">
        <v>64771676</v>
      </c>
      <c r="B5163" s="839" t="s">
        <v>139</v>
      </c>
      <c r="C5163" s="906">
        <v>3900</v>
      </c>
      <c r="D5163" s="907">
        <v>46090</v>
      </c>
      <c r="E5163" s="839" t="s">
        <v>619</v>
      </c>
      <c r="F5163" s="839">
        <v>1419</v>
      </c>
      <c r="G5163" s="916">
        <f>VLOOKUP($A5163,'Tech Litons'!$A:$I,8,FALSE)</f>
        <v>2.16E-3</v>
      </c>
      <c r="H5163" s="917">
        <f>VLOOKUP($A5163,'Tech Litons'!$A:$I,9,FALSE)</f>
        <v>195</v>
      </c>
      <c r="I5163" s="917" t="str">
        <f>VLOOKUP($A5163,'Tech Litons'!$A:$C,3,0)</f>
        <v>Facepieces</v>
      </c>
      <c r="J5163" s="918" t="str">
        <f t="shared" si="510"/>
        <v>IncomFacepieces</v>
      </c>
      <c r="K5163" s="919">
        <v>1</v>
      </c>
      <c r="L5163" s="920">
        <f t="shared" si="511"/>
        <v>3900</v>
      </c>
      <c r="M5163" s="920">
        <f t="shared" si="512"/>
        <v>8.4239999999999995</v>
      </c>
      <c r="N5163" s="920">
        <f t="shared" si="513"/>
        <v>20</v>
      </c>
      <c r="O5163" s="918" t="str">
        <f t="shared" si="514"/>
        <v>Mar</v>
      </c>
      <c r="P5163" s="921">
        <f t="shared" si="515"/>
        <v>11</v>
      </c>
    </row>
    <row r="5164" spans="1:16" ht="15" hidden="1" customHeight="1">
      <c r="A5164" s="839">
        <v>64771676</v>
      </c>
      <c r="B5164" s="839" t="s">
        <v>139</v>
      </c>
      <c r="C5164" s="906">
        <v>3900</v>
      </c>
      <c r="D5164" s="907">
        <v>46090</v>
      </c>
      <c r="E5164" s="839" t="s">
        <v>619</v>
      </c>
      <c r="F5164" s="839">
        <v>3989</v>
      </c>
      <c r="G5164" s="916">
        <f>VLOOKUP($A5164,'Tech Litons'!$A:$I,8,FALSE)</f>
        <v>2.16E-3</v>
      </c>
      <c r="H5164" s="917">
        <f>VLOOKUP($A5164,'Tech Litons'!$A:$I,9,FALSE)</f>
        <v>195</v>
      </c>
      <c r="I5164" s="917" t="str">
        <f>VLOOKUP($A5164,'Tech Litons'!$A:$C,3,0)</f>
        <v>Facepieces</v>
      </c>
      <c r="J5164" s="918" t="str">
        <f t="shared" si="510"/>
        <v>IncomFacepieces</v>
      </c>
      <c r="K5164" s="919">
        <v>1</v>
      </c>
      <c r="L5164" s="920">
        <f t="shared" si="511"/>
        <v>3900</v>
      </c>
      <c r="M5164" s="920">
        <f t="shared" si="512"/>
        <v>8.4239999999999995</v>
      </c>
      <c r="N5164" s="920">
        <f t="shared" si="513"/>
        <v>20</v>
      </c>
      <c r="O5164" s="918" t="str">
        <f t="shared" si="514"/>
        <v>Mar</v>
      </c>
      <c r="P5164" s="921">
        <f t="shared" si="515"/>
        <v>11</v>
      </c>
    </row>
    <row r="5165" spans="1:16" ht="15" hidden="1" customHeight="1">
      <c r="A5165" s="839">
        <v>64771676</v>
      </c>
      <c r="B5165" s="839" t="s">
        <v>139</v>
      </c>
      <c r="C5165" s="906">
        <v>3900</v>
      </c>
      <c r="D5165" s="907">
        <v>46090</v>
      </c>
      <c r="E5165" s="839" t="s">
        <v>619</v>
      </c>
      <c r="F5165" s="839">
        <v>3989</v>
      </c>
      <c r="G5165" s="916">
        <f>VLOOKUP($A5165,'Tech Litons'!$A:$I,8,FALSE)</f>
        <v>2.16E-3</v>
      </c>
      <c r="H5165" s="917">
        <f>VLOOKUP($A5165,'Tech Litons'!$A:$I,9,FALSE)</f>
        <v>195</v>
      </c>
      <c r="I5165" s="917" t="str">
        <f>VLOOKUP($A5165,'Tech Litons'!$A:$C,3,0)</f>
        <v>Facepieces</v>
      </c>
      <c r="J5165" s="918" t="str">
        <f t="shared" si="510"/>
        <v>IncomFacepieces</v>
      </c>
      <c r="K5165" s="919">
        <v>1</v>
      </c>
      <c r="L5165" s="920">
        <f t="shared" si="511"/>
        <v>3900</v>
      </c>
      <c r="M5165" s="920">
        <f t="shared" si="512"/>
        <v>8.4239999999999995</v>
      </c>
      <c r="N5165" s="920">
        <f t="shared" si="513"/>
        <v>20</v>
      </c>
      <c r="O5165" s="918" t="str">
        <f t="shared" si="514"/>
        <v>Mar</v>
      </c>
      <c r="P5165" s="921">
        <f t="shared" si="515"/>
        <v>11</v>
      </c>
    </row>
    <row r="5166" spans="1:16" ht="15" hidden="1" customHeight="1">
      <c r="A5166" s="839">
        <v>64771676</v>
      </c>
      <c r="B5166" s="839" t="s">
        <v>139</v>
      </c>
      <c r="C5166" s="906">
        <v>3900</v>
      </c>
      <c r="D5166" s="907">
        <v>46090</v>
      </c>
      <c r="E5166" s="839" t="s">
        <v>619</v>
      </c>
      <c r="F5166" s="839">
        <v>3989</v>
      </c>
      <c r="G5166" s="916">
        <f>VLOOKUP($A5166,'Tech Litons'!$A:$I,8,FALSE)</f>
        <v>2.16E-3</v>
      </c>
      <c r="H5166" s="917">
        <f>VLOOKUP($A5166,'Tech Litons'!$A:$I,9,FALSE)</f>
        <v>195</v>
      </c>
      <c r="I5166" s="917" t="str">
        <f>VLOOKUP($A5166,'Tech Litons'!$A:$C,3,0)</f>
        <v>Facepieces</v>
      </c>
      <c r="J5166" s="918" t="str">
        <f t="shared" ref="J5166:J5229" si="516">B5166&amp;I5166</f>
        <v>IncomFacepieces</v>
      </c>
      <c r="K5166" s="919">
        <v>1</v>
      </c>
      <c r="L5166" s="920">
        <f t="shared" ref="L5166:L5229" si="517">C5166*$K5166</f>
        <v>3900</v>
      </c>
      <c r="M5166" s="920">
        <f t="shared" ref="M5166:M5229" si="518">L5166*G5166</f>
        <v>8.4239999999999995</v>
      </c>
      <c r="N5166" s="920">
        <f t="shared" ref="N5166:N5229" si="519">L5166/H5166</f>
        <v>20</v>
      </c>
      <c r="O5166" s="918" t="str">
        <f t="shared" ref="O5166:O5229" si="520">TEXT(D5166,"MMM")</f>
        <v>Mar</v>
      </c>
      <c r="P5166" s="921">
        <f t="shared" ref="P5166:P5229" si="521">WEEKNUM(D5166)</f>
        <v>11</v>
      </c>
    </row>
    <row r="5167" spans="1:16" ht="15" hidden="1" customHeight="1">
      <c r="A5167" s="839">
        <v>64365613</v>
      </c>
      <c r="B5167" s="839" t="s">
        <v>139</v>
      </c>
      <c r="C5167" s="906">
        <v>3900</v>
      </c>
      <c r="D5167" s="907">
        <v>46090</v>
      </c>
      <c r="E5167" s="839" t="s">
        <v>617</v>
      </c>
      <c r="F5167" s="839">
        <v>3989</v>
      </c>
      <c r="G5167" s="916">
        <f>VLOOKUP($A5167,'Tech Litons'!$A:$I,8,FALSE)</f>
        <v>2.1540000000000001E-3</v>
      </c>
      <c r="H5167" s="917">
        <f>VLOOKUP($A5167,'Tech Litons'!$A:$I,9,FALSE)</f>
        <v>195</v>
      </c>
      <c r="I5167" s="917" t="str">
        <f>VLOOKUP($A5167,'Tech Litons'!$A:$C,3,0)</f>
        <v>Facepieces</v>
      </c>
      <c r="J5167" s="918" t="str">
        <f t="shared" si="516"/>
        <v>IncomFacepieces</v>
      </c>
      <c r="K5167" s="919">
        <v>1</v>
      </c>
      <c r="L5167" s="920">
        <f t="shared" si="517"/>
        <v>3900</v>
      </c>
      <c r="M5167" s="920">
        <f t="shared" si="518"/>
        <v>8.4006000000000007</v>
      </c>
      <c r="N5167" s="920">
        <f t="shared" si="519"/>
        <v>20</v>
      </c>
      <c r="O5167" s="918" t="str">
        <f t="shared" si="520"/>
        <v>Mar</v>
      </c>
      <c r="P5167" s="921">
        <f t="shared" si="521"/>
        <v>11</v>
      </c>
    </row>
    <row r="5168" spans="1:16" ht="15" hidden="1" customHeight="1">
      <c r="A5168" s="839">
        <v>64341108</v>
      </c>
      <c r="B5168" s="839" t="s">
        <v>139</v>
      </c>
      <c r="C5168" s="906">
        <v>4200</v>
      </c>
      <c r="D5168" s="907">
        <v>46090</v>
      </c>
      <c r="E5168" s="839" t="s">
        <v>615</v>
      </c>
      <c r="F5168" s="839">
        <v>3989</v>
      </c>
      <c r="G5168" s="916">
        <f>VLOOKUP($A5168,'Tech Litons'!$A:$I,8,FALSE)</f>
        <v>2.3599999999999997E-3</v>
      </c>
      <c r="H5168" s="917">
        <f>VLOOKUP($A5168,'Tech Litons'!$A:$I,9,FALSE)</f>
        <v>210</v>
      </c>
      <c r="I5168" s="917" t="str">
        <f>VLOOKUP($A5168,'Tech Litons'!$A:$C,3,0)</f>
        <v>Facepieces</v>
      </c>
      <c r="J5168" s="918" t="str">
        <f t="shared" si="516"/>
        <v>IncomFacepieces</v>
      </c>
      <c r="K5168" s="919">
        <v>1</v>
      </c>
      <c r="L5168" s="920">
        <f t="shared" si="517"/>
        <v>4200</v>
      </c>
      <c r="M5168" s="920">
        <f t="shared" si="518"/>
        <v>9.911999999999999</v>
      </c>
      <c r="N5168" s="920">
        <f t="shared" si="519"/>
        <v>20</v>
      </c>
      <c r="O5168" s="918" t="str">
        <f t="shared" si="520"/>
        <v>Mar</v>
      </c>
      <c r="P5168" s="921">
        <f t="shared" si="521"/>
        <v>11</v>
      </c>
    </row>
    <row r="5169" spans="1:16" ht="15" hidden="1" customHeight="1">
      <c r="A5169" s="839">
        <v>64341109</v>
      </c>
      <c r="B5169" s="839" t="s">
        <v>139</v>
      </c>
      <c r="C5169" s="906">
        <v>4200</v>
      </c>
      <c r="D5169" s="907">
        <v>46090</v>
      </c>
      <c r="E5169" s="839" t="s">
        <v>616</v>
      </c>
      <c r="F5169" s="839">
        <v>1419</v>
      </c>
      <c r="G5169" s="916">
        <f>VLOOKUP($A5169,'Tech Litons'!$A:$I,8,FALSE)</f>
        <v>2E-3</v>
      </c>
      <c r="H5169" s="917">
        <f>VLOOKUP($A5169,'Tech Litons'!$A:$I,9,FALSE)</f>
        <v>210</v>
      </c>
      <c r="I5169" s="917" t="str">
        <f>VLOOKUP($A5169,'Tech Litons'!$A:$C,3,0)</f>
        <v>Facepieces</v>
      </c>
      <c r="J5169" s="918" t="str">
        <f t="shared" si="516"/>
        <v>IncomFacepieces</v>
      </c>
      <c r="K5169" s="919">
        <v>1</v>
      </c>
      <c r="L5169" s="920">
        <f t="shared" si="517"/>
        <v>4200</v>
      </c>
      <c r="M5169" s="920">
        <f t="shared" si="518"/>
        <v>8.4</v>
      </c>
      <c r="N5169" s="920">
        <f t="shared" si="519"/>
        <v>20</v>
      </c>
      <c r="O5169" s="918" t="str">
        <f t="shared" si="520"/>
        <v>Mar</v>
      </c>
      <c r="P5169" s="921">
        <f t="shared" si="521"/>
        <v>11</v>
      </c>
    </row>
    <row r="5170" spans="1:16" ht="15" hidden="1" customHeight="1">
      <c r="A5170" s="839">
        <v>64401837</v>
      </c>
      <c r="B5170" s="839" t="s">
        <v>139</v>
      </c>
      <c r="C5170" s="906">
        <v>3000</v>
      </c>
      <c r="D5170" s="907">
        <v>46091</v>
      </c>
      <c r="E5170" s="839" t="s">
        <v>618</v>
      </c>
      <c r="F5170" s="839">
        <v>3989</v>
      </c>
      <c r="G5170" s="916">
        <f>VLOOKUP($A5170,'Tech Litons'!$A:$I,8,FALSE)</f>
        <v>2.16E-3</v>
      </c>
      <c r="H5170" s="917">
        <f>VLOOKUP($A5170,'Tech Litons'!$A:$I,9,FALSE)</f>
        <v>150</v>
      </c>
      <c r="I5170" s="917" t="str">
        <f>VLOOKUP($A5170,'Tech Litons'!$A:$C,3,0)</f>
        <v>Facepieces</v>
      </c>
      <c r="J5170" s="918" t="str">
        <f t="shared" si="516"/>
        <v>IncomFacepieces</v>
      </c>
      <c r="K5170" s="919">
        <v>1</v>
      </c>
      <c r="L5170" s="920">
        <f t="shared" si="517"/>
        <v>3000</v>
      </c>
      <c r="M5170" s="920">
        <f t="shared" si="518"/>
        <v>6.48</v>
      </c>
      <c r="N5170" s="920">
        <f t="shared" si="519"/>
        <v>20</v>
      </c>
      <c r="O5170" s="918" t="str">
        <f t="shared" si="520"/>
        <v>Mar</v>
      </c>
      <c r="P5170" s="921">
        <f t="shared" si="521"/>
        <v>11</v>
      </c>
    </row>
    <row r="5171" spans="1:16" ht="15" hidden="1" customHeight="1">
      <c r="A5171" s="839">
        <v>64771676</v>
      </c>
      <c r="B5171" s="839" t="s">
        <v>139</v>
      </c>
      <c r="C5171" s="906">
        <v>3900</v>
      </c>
      <c r="D5171" s="907">
        <v>46091</v>
      </c>
      <c r="E5171" s="839" t="s">
        <v>619</v>
      </c>
      <c r="F5171" s="839">
        <v>3989</v>
      </c>
      <c r="G5171" s="916">
        <f>VLOOKUP($A5171,'Tech Litons'!$A:$I,8,FALSE)</f>
        <v>2.16E-3</v>
      </c>
      <c r="H5171" s="917">
        <f>VLOOKUP($A5171,'Tech Litons'!$A:$I,9,FALSE)</f>
        <v>195</v>
      </c>
      <c r="I5171" s="917" t="str">
        <f>VLOOKUP($A5171,'Tech Litons'!$A:$C,3,0)</f>
        <v>Facepieces</v>
      </c>
      <c r="J5171" s="918" t="str">
        <f t="shared" si="516"/>
        <v>IncomFacepieces</v>
      </c>
      <c r="K5171" s="919">
        <v>1</v>
      </c>
      <c r="L5171" s="920">
        <f t="shared" si="517"/>
        <v>3900</v>
      </c>
      <c r="M5171" s="920">
        <f t="shared" si="518"/>
        <v>8.4239999999999995</v>
      </c>
      <c r="N5171" s="920">
        <f t="shared" si="519"/>
        <v>20</v>
      </c>
      <c r="O5171" s="918" t="str">
        <f t="shared" si="520"/>
        <v>Mar</v>
      </c>
      <c r="P5171" s="921">
        <f t="shared" si="521"/>
        <v>11</v>
      </c>
    </row>
    <row r="5172" spans="1:16" ht="15" hidden="1" customHeight="1">
      <c r="A5172" s="839">
        <v>64341109</v>
      </c>
      <c r="B5172" s="839" t="s">
        <v>139</v>
      </c>
      <c r="C5172" s="906">
        <v>4200</v>
      </c>
      <c r="D5172" s="907">
        <v>46091</v>
      </c>
      <c r="E5172" s="839" t="s">
        <v>616</v>
      </c>
      <c r="F5172" s="839">
        <v>3989</v>
      </c>
      <c r="G5172" s="916">
        <f>VLOOKUP($A5172,'Tech Litons'!$A:$I,8,FALSE)</f>
        <v>2E-3</v>
      </c>
      <c r="H5172" s="917">
        <f>VLOOKUP($A5172,'Tech Litons'!$A:$I,9,FALSE)</f>
        <v>210</v>
      </c>
      <c r="I5172" s="917" t="str">
        <f>VLOOKUP($A5172,'Tech Litons'!$A:$C,3,0)</f>
        <v>Facepieces</v>
      </c>
      <c r="J5172" s="918" t="str">
        <f t="shared" si="516"/>
        <v>IncomFacepieces</v>
      </c>
      <c r="K5172" s="919">
        <v>1</v>
      </c>
      <c r="L5172" s="920">
        <f t="shared" si="517"/>
        <v>4200</v>
      </c>
      <c r="M5172" s="920">
        <f t="shared" si="518"/>
        <v>8.4</v>
      </c>
      <c r="N5172" s="920">
        <f t="shared" si="519"/>
        <v>20</v>
      </c>
      <c r="O5172" s="918" t="str">
        <f t="shared" si="520"/>
        <v>Mar</v>
      </c>
      <c r="P5172" s="921">
        <f t="shared" si="521"/>
        <v>11</v>
      </c>
    </row>
    <row r="5173" spans="1:16" ht="15" hidden="1" customHeight="1">
      <c r="A5173" s="839">
        <v>64365613</v>
      </c>
      <c r="B5173" s="839" t="s">
        <v>139</v>
      </c>
      <c r="C5173" s="906">
        <v>3900</v>
      </c>
      <c r="D5173" s="907">
        <v>46092</v>
      </c>
      <c r="E5173" s="839" t="s">
        <v>617</v>
      </c>
      <c r="F5173" s="839">
        <v>1419</v>
      </c>
      <c r="G5173" s="916">
        <f>VLOOKUP($A5173,'Tech Litons'!$A:$I,8,FALSE)</f>
        <v>2.1540000000000001E-3</v>
      </c>
      <c r="H5173" s="917">
        <f>VLOOKUP($A5173,'Tech Litons'!$A:$I,9,FALSE)</f>
        <v>195</v>
      </c>
      <c r="I5173" s="917" t="str">
        <f>VLOOKUP($A5173,'Tech Litons'!$A:$C,3,0)</f>
        <v>Facepieces</v>
      </c>
      <c r="J5173" s="918" t="str">
        <f t="shared" si="516"/>
        <v>IncomFacepieces</v>
      </c>
      <c r="K5173" s="919">
        <v>1</v>
      </c>
      <c r="L5173" s="920">
        <f t="shared" si="517"/>
        <v>3900</v>
      </c>
      <c r="M5173" s="920">
        <f t="shared" si="518"/>
        <v>8.4006000000000007</v>
      </c>
      <c r="N5173" s="920">
        <f t="shared" si="519"/>
        <v>20</v>
      </c>
      <c r="O5173" s="918" t="str">
        <f t="shared" si="520"/>
        <v>Mar</v>
      </c>
      <c r="P5173" s="921">
        <f t="shared" si="521"/>
        <v>11</v>
      </c>
    </row>
    <row r="5174" spans="1:16" ht="15" hidden="1" customHeight="1">
      <c r="A5174" s="839">
        <v>64365613</v>
      </c>
      <c r="B5174" s="839" t="s">
        <v>139</v>
      </c>
      <c r="C5174" s="906">
        <v>3900</v>
      </c>
      <c r="D5174" s="907">
        <v>46092</v>
      </c>
      <c r="E5174" s="839" t="s">
        <v>617</v>
      </c>
      <c r="F5174" s="839">
        <v>1419</v>
      </c>
      <c r="G5174" s="916">
        <f>VLOOKUP($A5174,'Tech Litons'!$A:$I,8,FALSE)</f>
        <v>2.1540000000000001E-3</v>
      </c>
      <c r="H5174" s="917">
        <f>VLOOKUP($A5174,'Tech Litons'!$A:$I,9,FALSE)</f>
        <v>195</v>
      </c>
      <c r="I5174" s="917" t="str">
        <f>VLOOKUP($A5174,'Tech Litons'!$A:$C,3,0)</f>
        <v>Facepieces</v>
      </c>
      <c r="J5174" s="918" t="str">
        <f t="shared" si="516"/>
        <v>IncomFacepieces</v>
      </c>
      <c r="K5174" s="919">
        <v>1</v>
      </c>
      <c r="L5174" s="920">
        <f t="shared" si="517"/>
        <v>3900</v>
      </c>
      <c r="M5174" s="920">
        <f t="shared" si="518"/>
        <v>8.4006000000000007</v>
      </c>
      <c r="N5174" s="920">
        <f t="shared" si="519"/>
        <v>20</v>
      </c>
      <c r="O5174" s="918" t="str">
        <f t="shared" si="520"/>
        <v>Mar</v>
      </c>
      <c r="P5174" s="921">
        <f t="shared" si="521"/>
        <v>11</v>
      </c>
    </row>
    <row r="5175" spans="1:16" ht="15" hidden="1" customHeight="1">
      <c r="A5175" s="839">
        <v>64771676</v>
      </c>
      <c r="B5175" s="839" t="s">
        <v>139</v>
      </c>
      <c r="C5175" s="906">
        <v>3900</v>
      </c>
      <c r="D5175" s="907">
        <v>46092</v>
      </c>
      <c r="E5175" s="839" t="s">
        <v>619</v>
      </c>
      <c r="F5175" s="839">
        <v>3989</v>
      </c>
      <c r="G5175" s="916">
        <f>VLOOKUP($A5175,'Tech Litons'!$A:$I,8,FALSE)</f>
        <v>2.16E-3</v>
      </c>
      <c r="H5175" s="917">
        <f>VLOOKUP($A5175,'Tech Litons'!$A:$I,9,FALSE)</f>
        <v>195</v>
      </c>
      <c r="I5175" s="917" t="str">
        <f>VLOOKUP($A5175,'Tech Litons'!$A:$C,3,0)</f>
        <v>Facepieces</v>
      </c>
      <c r="J5175" s="918" t="str">
        <f t="shared" si="516"/>
        <v>IncomFacepieces</v>
      </c>
      <c r="K5175" s="919">
        <v>1</v>
      </c>
      <c r="L5175" s="920">
        <f t="shared" si="517"/>
        <v>3900</v>
      </c>
      <c r="M5175" s="920">
        <f t="shared" si="518"/>
        <v>8.4239999999999995</v>
      </c>
      <c r="N5175" s="920">
        <f t="shared" si="519"/>
        <v>20</v>
      </c>
      <c r="O5175" s="918" t="str">
        <f t="shared" si="520"/>
        <v>Mar</v>
      </c>
      <c r="P5175" s="921">
        <f t="shared" si="521"/>
        <v>11</v>
      </c>
    </row>
    <row r="5176" spans="1:16" ht="15" hidden="1" customHeight="1">
      <c r="A5176" s="839">
        <v>64771676</v>
      </c>
      <c r="B5176" s="839" t="s">
        <v>139</v>
      </c>
      <c r="C5176" s="906">
        <v>3900</v>
      </c>
      <c r="D5176" s="907">
        <v>46092</v>
      </c>
      <c r="E5176" s="839" t="s">
        <v>619</v>
      </c>
      <c r="F5176" s="839">
        <v>3989</v>
      </c>
      <c r="G5176" s="916">
        <f>VLOOKUP($A5176,'Tech Litons'!$A:$I,8,FALSE)</f>
        <v>2.16E-3</v>
      </c>
      <c r="H5176" s="917">
        <f>VLOOKUP($A5176,'Tech Litons'!$A:$I,9,FALSE)</f>
        <v>195</v>
      </c>
      <c r="I5176" s="917" t="str">
        <f>VLOOKUP($A5176,'Tech Litons'!$A:$C,3,0)</f>
        <v>Facepieces</v>
      </c>
      <c r="J5176" s="918" t="str">
        <f t="shared" si="516"/>
        <v>IncomFacepieces</v>
      </c>
      <c r="K5176" s="919">
        <v>1</v>
      </c>
      <c r="L5176" s="920">
        <f t="shared" si="517"/>
        <v>3900</v>
      </c>
      <c r="M5176" s="920">
        <f t="shared" si="518"/>
        <v>8.4239999999999995</v>
      </c>
      <c r="N5176" s="920">
        <f t="shared" si="519"/>
        <v>20</v>
      </c>
      <c r="O5176" s="918" t="str">
        <f t="shared" si="520"/>
        <v>Mar</v>
      </c>
      <c r="P5176" s="921">
        <f t="shared" si="521"/>
        <v>11</v>
      </c>
    </row>
    <row r="5177" spans="1:16" ht="15" hidden="1" customHeight="1">
      <c r="A5177" s="839">
        <v>64771676</v>
      </c>
      <c r="B5177" s="839" t="s">
        <v>139</v>
      </c>
      <c r="C5177" s="906">
        <v>3900</v>
      </c>
      <c r="D5177" s="907">
        <v>46093</v>
      </c>
      <c r="E5177" s="839" t="s">
        <v>619</v>
      </c>
      <c r="F5177" s="839">
        <v>3989</v>
      </c>
      <c r="G5177" s="916">
        <f>VLOOKUP($A5177,'Tech Litons'!$A:$I,8,FALSE)</f>
        <v>2.16E-3</v>
      </c>
      <c r="H5177" s="917">
        <f>VLOOKUP($A5177,'Tech Litons'!$A:$I,9,FALSE)</f>
        <v>195</v>
      </c>
      <c r="I5177" s="917" t="str">
        <f>VLOOKUP($A5177,'Tech Litons'!$A:$C,3,0)</f>
        <v>Facepieces</v>
      </c>
      <c r="J5177" s="918" t="str">
        <f t="shared" si="516"/>
        <v>IncomFacepieces</v>
      </c>
      <c r="K5177" s="919">
        <v>1</v>
      </c>
      <c r="L5177" s="920">
        <f t="shared" si="517"/>
        <v>3900</v>
      </c>
      <c r="M5177" s="920">
        <f t="shared" si="518"/>
        <v>8.4239999999999995</v>
      </c>
      <c r="N5177" s="920">
        <f t="shared" si="519"/>
        <v>20</v>
      </c>
      <c r="O5177" s="918" t="str">
        <f t="shared" si="520"/>
        <v>Mar</v>
      </c>
      <c r="P5177" s="921">
        <f t="shared" si="521"/>
        <v>11</v>
      </c>
    </row>
    <row r="5178" spans="1:16" ht="15" hidden="1" customHeight="1">
      <c r="A5178" s="839">
        <v>64341109</v>
      </c>
      <c r="B5178" s="839" t="s">
        <v>139</v>
      </c>
      <c r="C5178" s="906">
        <v>4200</v>
      </c>
      <c r="D5178" s="907">
        <v>46093</v>
      </c>
      <c r="E5178" s="839" t="s">
        <v>616</v>
      </c>
      <c r="F5178" s="839">
        <v>3989</v>
      </c>
      <c r="G5178" s="916">
        <f>VLOOKUP($A5178,'Tech Litons'!$A:$I,8,FALSE)</f>
        <v>2E-3</v>
      </c>
      <c r="H5178" s="917">
        <f>VLOOKUP($A5178,'Tech Litons'!$A:$I,9,FALSE)</f>
        <v>210</v>
      </c>
      <c r="I5178" s="917" t="str">
        <f>VLOOKUP($A5178,'Tech Litons'!$A:$C,3,0)</f>
        <v>Facepieces</v>
      </c>
      <c r="J5178" s="918" t="str">
        <f t="shared" si="516"/>
        <v>IncomFacepieces</v>
      </c>
      <c r="K5178" s="919">
        <v>1</v>
      </c>
      <c r="L5178" s="920">
        <f t="shared" si="517"/>
        <v>4200</v>
      </c>
      <c r="M5178" s="920">
        <f t="shared" si="518"/>
        <v>8.4</v>
      </c>
      <c r="N5178" s="920">
        <f t="shared" si="519"/>
        <v>20</v>
      </c>
      <c r="O5178" s="918" t="str">
        <f t="shared" si="520"/>
        <v>Mar</v>
      </c>
      <c r="P5178" s="921">
        <f t="shared" si="521"/>
        <v>11</v>
      </c>
    </row>
    <row r="5179" spans="1:16" ht="15" hidden="1" customHeight="1">
      <c r="A5179" s="839">
        <v>64341109</v>
      </c>
      <c r="B5179" s="839" t="s">
        <v>139</v>
      </c>
      <c r="C5179" s="906">
        <v>210</v>
      </c>
      <c r="D5179" s="907">
        <v>46094</v>
      </c>
      <c r="E5179" s="839" t="s">
        <v>616</v>
      </c>
      <c r="F5179" s="839">
        <v>1419</v>
      </c>
      <c r="G5179" s="916">
        <f>VLOOKUP($A5179,'Tech Litons'!$A:$I,8,FALSE)</f>
        <v>2E-3</v>
      </c>
      <c r="H5179" s="917">
        <f>VLOOKUP($A5179,'Tech Litons'!$A:$I,9,FALSE)</f>
        <v>210</v>
      </c>
      <c r="I5179" s="917" t="str">
        <f>VLOOKUP($A5179,'Tech Litons'!$A:$C,3,0)</f>
        <v>Facepieces</v>
      </c>
      <c r="J5179" s="918" t="str">
        <f t="shared" si="516"/>
        <v>IncomFacepieces</v>
      </c>
      <c r="K5179" s="919">
        <v>1</v>
      </c>
      <c r="L5179" s="920">
        <f t="shared" si="517"/>
        <v>210</v>
      </c>
      <c r="M5179" s="920">
        <f t="shared" si="518"/>
        <v>0.42</v>
      </c>
      <c r="N5179" s="920">
        <f t="shared" si="519"/>
        <v>1</v>
      </c>
      <c r="O5179" s="918" t="str">
        <f t="shared" si="520"/>
        <v>Mar</v>
      </c>
      <c r="P5179" s="921">
        <f t="shared" si="521"/>
        <v>11</v>
      </c>
    </row>
    <row r="5180" spans="1:16" ht="15" hidden="1" customHeight="1">
      <c r="A5180" s="839">
        <v>64771676</v>
      </c>
      <c r="B5180" s="839" t="s">
        <v>139</v>
      </c>
      <c r="C5180" s="906">
        <v>3704</v>
      </c>
      <c r="D5180" s="907">
        <v>46094</v>
      </c>
      <c r="E5180" s="839" t="s">
        <v>619</v>
      </c>
      <c r="F5180" s="839">
        <v>1419</v>
      </c>
      <c r="G5180" s="916">
        <f>VLOOKUP($A5180,'Tech Litons'!$A:$I,8,FALSE)</f>
        <v>2.16E-3</v>
      </c>
      <c r="H5180" s="917">
        <f>VLOOKUP($A5180,'Tech Litons'!$A:$I,9,FALSE)</f>
        <v>195</v>
      </c>
      <c r="I5180" s="917" t="str">
        <f>VLOOKUP($A5180,'Tech Litons'!$A:$C,3,0)</f>
        <v>Facepieces</v>
      </c>
      <c r="J5180" s="918" t="str">
        <f t="shared" si="516"/>
        <v>IncomFacepieces</v>
      </c>
      <c r="K5180" s="919">
        <v>1</v>
      </c>
      <c r="L5180" s="920">
        <f t="shared" si="517"/>
        <v>3704</v>
      </c>
      <c r="M5180" s="920">
        <f t="shared" si="518"/>
        <v>8.0006400000000006</v>
      </c>
      <c r="N5180" s="920">
        <f t="shared" si="519"/>
        <v>18.994871794871795</v>
      </c>
      <c r="O5180" s="918" t="str">
        <f t="shared" si="520"/>
        <v>Mar</v>
      </c>
      <c r="P5180" s="921">
        <f t="shared" si="521"/>
        <v>11</v>
      </c>
    </row>
    <row r="5181" spans="1:16" ht="15" hidden="1" customHeight="1">
      <c r="A5181" s="839">
        <v>64365613</v>
      </c>
      <c r="B5181" s="839" t="s">
        <v>139</v>
      </c>
      <c r="C5181" s="906">
        <v>3900</v>
      </c>
      <c r="D5181" s="907">
        <v>46094</v>
      </c>
      <c r="E5181" s="839" t="s">
        <v>617</v>
      </c>
      <c r="F5181" s="839">
        <v>3989</v>
      </c>
      <c r="G5181" s="916">
        <f>VLOOKUP($A5181,'Tech Litons'!$A:$I,8,FALSE)</f>
        <v>2.1540000000000001E-3</v>
      </c>
      <c r="H5181" s="917">
        <f>VLOOKUP($A5181,'Tech Litons'!$A:$I,9,FALSE)</f>
        <v>195</v>
      </c>
      <c r="I5181" s="917" t="str">
        <f>VLOOKUP($A5181,'Tech Litons'!$A:$C,3,0)</f>
        <v>Facepieces</v>
      </c>
      <c r="J5181" s="918" t="str">
        <f t="shared" si="516"/>
        <v>IncomFacepieces</v>
      </c>
      <c r="K5181" s="919">
        <v>1</v>
      </c>
      <c r="L5181" s="920">
        <f t="shared" si="517"/>
        <v>3900</v>
      </c>
      <c r="M5181" s="920">
        <f t="shared" si="518"/>
        <v>8.4006000000000007</v>
      </c>
      <c r="N5181" s="920">
        <f t="shared" si="519"/>
        <v>20</v>
      </c>
      <c r="O5181" s="918" t="str">
        <f t="shared" si="520"/>
        <v>Mar</v>
      </c>
      <c r="P5181" s="921">
        <f t="shared" si="521"/>
        <v>11</v>
      </c>
    </row>
    <row r="5182" spans="1:16" ht="15" hidden="1" customHeight="1">
      <c r="A5182" s="839">
        <v>64771676</v>
      </c>
      <c r="B5182" s="839" t="s">
        <v>139</v>
      </c>
      <c r="C5182" s="906">
        <v>3900</v>
      </c>
      <c r="D5182" s="907">
        <v>46094</v>
      </c>
      <c r="E5182" s="839" t="s">
        <v>619</v>
      </c>
      <c r="F5182" s="839">
        <v>3989</v>
      </c>
      <c r="G5182" s="916">
        <f>VLOOKUP($A5182,'Tech Litons'!$A:$I,8,FALSE)</f>
        <v>2.16E-3</v>
      </c>
      <c r="H5182" s="917">
        <f>VLOOKUP($A5182,'Tech Litons'!$A:$I,9,FALSE)</f>
        <v>195</v>
      </c>
      <c r="I5182" s="917" t="str">
        <f>VLOOKUP($A5182,'Tech Litons'!$A:$C,3,0)</f>
        <v>Facepieces</v>
      </c>
      <c r="J5182" s="918" t="str">
        <f t="shared" si="516"/>
        <v>IncomFacepieces</v>
      </c>
      <c r="K5182" s="919">
        <v>1</v>
      </c>
      <c r="L5182" s="920">
        <f t="shared" si="517"/>
        <v>3900</v>
      </c>
      <c r="M5182" s="920">
        <f t="shared" si="518"/>
        <v>8.4239999999999995</v>
      </c>
      <c r="N5182" s="920">
        <f t="shared" si="519"/>
        <v>20</v>
      </c>
      <c r="O5182" s="918" t="str">
        <f t="shared" si="520"/>
        <v>Mar</v>
      </c>
      <c r="P5182" s="921">
        <f t="shared" si="521"/>
        <v>11</v>
      </c>
    </row>
    <row r="5183" spans="1:16" ht="15" hidden="1" customHeight="1">
      <c r="A5183" s="839">
        <v>64365613</v>
      </c>
      <c r="B5183" s="839" t="s">
        <v>139</v>
      </c>
      <c r="C5183" s="906">
        <v>3900</v>
      </c>
      <c r="D5183" s="907">
        <v>46094</v>
      </c>
      <c r="E5183" s="839" t="s">
        <v>617</v>
      </c>
      <c r="F5183" s="839">
        <v>3989</v>
      </c>
      <c r="G5183" s="916">
        <f>VLOOKUP($A5183,'Tech Litons'!$A:$I,8,FALSE)</f>
        <v>2.1540000000000001E-3</v>
      </c>
      <c r="H5183" s="917">
        <f>VLOOKUP($A5183,'Tech Litons'!$A:$I,9,FALSE)</f>
        <v>195</v>
      </c>
      <c r="I5183" s="917" t="str">
        <f>VLOOKUP($A5183,'Tech Litons'!$A:$C,3,0)</f>
        <v>Facepieces</v>
      </c>
      <c r="J5183" s="918" t="str">
        <f t="shared" si="516"/>
        <v>IncomFacepieces</v>
      </c>
      <c r="K5183" s="919">
        <v>1</v>
      </c>
      <c r="L5183" s="920">
        <f t="shared" si="517"/>
        <v>3900</v>
      </c>
      <c r="M5183" s="920">
        <f t="shared" si="518"/>
        <v>8.4006000000000007</v>
      </c>
      <c r="N5183" s="920">
        <f t="shared" si="519"/>
        <v>20</v>
      </c>
      <c r="O5183" s="918" t="str">
        <f t="shared" si="520"/>
        <v>Mar</v>
      </c>
      <c r="P5183" s="921">
        <f t="shared" si="521"/>
        <v>11</v>
      </c>
    </row>
    <row r="5184" spans="1:16" ht="15" hidden="1" customHeight="1">
      <c r="A5184" s="839">
        <v>64979444</v>
      </c>
      <c r="B5184" s="839" t="s">
        <v>139</v>
      </c>
      <c r="C5184" s="906">
        <v>3900</v>
      </c>
      <c r="D5184" s="907">
        <v>46094</v>
      </c>
      <c r="E5184" s="839" t="s">
        <v>622</v>
      </c>
      <c r="F5184" s="839">
        <v>3989</v>
      </c>
      <c r="G5184" s="916">
        <f>VLOOKUP($A5184,'Tech Litons'!$A:$I,8,FALSE)</f>
        <v>2.16E-3</v>
      </c>
      <c r="H5184" s="917">
        <f>VLOOKUP($A5184,'Tech Litons'!$A:$I,9,FALSE)</f>
        <v>195</v>
      </c>
      <c r="I5184" s="917" t="str">
        <f>VLOOKUP($A5184,'Tech Litons'!$A:$C,3,0)</f>
        <v>Facepieces</v>
      </c>
      <c r="J5184" s="918" t="str">
        <f t="shared" si="516"/>
        <v>IncomFacepieces</v>
      </c>
      <c r="K5184" s="919">
        <v>1</v>
      </c>
      <c r="L5184" s="920">
        <f t="shared" si="517"/>
        <v>3900</v>
      </c>
      <c r="M5184" s="920">
        <f t="shared" si="518"/>
        <v>8.4239999999999995</v>
      </c>
      <c r="N5184" s="920">
        <f t="shared" si="519"/>
        <v>20</v>
      </c>
      <c r="O5184" s="918" t="str">
        <f t="shared" si="520"/>
        <v>Mar</v>
      </c>
      <c r="P5184" s="921">
        <f t="shared" si="521"/>
        <v>11</v>
      </c>
    </row>
    <row r="5185" spans="1:16" ht="15" hidden="1" customHeight="1">
      <c r="A5185" s="839">
        <v>64341109</v>
      </c>
      <c r="B5185" s="839" t="s">
        <v>139</v>
      </c>
      <c r="C5185" s="906">
        <v>4200</v>
      </c>
      <c r="D5185" s="907">
        <v>46094</v>
      </c>
      <c r="E5185" s="839" t="s">
        <v>616</v>
      </c>
      <c r="F5185" s="839">
        <v>3989</v>
      </c>
      <c r="G5185" s="916">
        <f>VLOOKUP($A5185,'Tech Litons'!$A:$I,8,FALSE)</f>
        <v>2E-3</v>
      </c>
      <c r="H5185" s="917">
        <f>VLOOKUP($A5185,'Tech Litons'!$A:$I,9,FALSE)</f>
        <v>210</v>
      </c>
      <c r="I5185" s="917" t="str">
        <f>VLOOKUP($A5185,'Tech Litons'!$A:$C,3,0)</f>
        <v>Facepieces</v>
      </c>
      <c r="J5185" s="918" t="str">
        <f t="shared" si="516"/>
        <v>IncomFacepieces</v>
      </c>
      <c r="K5185" s="919">
        <v>1</v>
      </c>
      <c r="L5185" s="920">
        <f t="shared" si="517"/>
        <v>4200</v>
      </c>
      <c r="M5185" s="920">
        <f t="shared" si="518"/>
        <v>8.4</v>
      </c>
      <c r="N5185" s="920">
        <f t="shared" si="519"/>
        <v>20</v>
      </c>
      <c r="O5185" s="918" t="str">
        <f t="shared" si="520"/>
        <v>Mar</v>
      </c>
      <c r="P5185" s="921">
        <f t="shared" si="521"/>
        <v>11</v>
      </c>
    </row>
    <row r="5186" spans="1:16" ht="15" hidden="1" customHeight="1">
      <c r="A5186" s="839">
        <v>64365613</v>
      </c>
      <c r="B5186" s="839" t="s">
        <v>139</v>
      </c>
      <c r="C5186" s="906">
        <v>3900</v>
      </c>
      <c r="D5186" s="907">
        <v>46095</v>
      </c>
      <c r="E5186" s="839" t="s">
        <v>617</v>
      </c>
      <c r="F5186" s="839">
        <v>1419</v>
      </c>
      <c r="G5186" s="916">
        <f>VLOOKUP($A5186,'Tech Litons'!$A:$I,8,FALSE)</f>
        <v>2.1540000000000001E-3</v>
      </c>
      <c r="H5186" s="917">
        <f>VLOOKUP($A5186,'Tech Litons'!$A:$I,9,FALSE)</f>
        <v>195</v>
      </c>
      <c r="I5186" s="917" t="str">
        <f>VLOOKUP($A5186,'Tech Litons'!$A:$C,3,0)</f>
        <v>Facepieces</v>
      </c>
      <c r="J5186" s="918" t="str">
        <f t="shared" si="516"/>
        <v>IncomFacepieces</v>
      </c>
      <c r="K5186" s="919">
        <v>1</v>
      </c>
      <c r="L5186" s="920">
        <f t="shared" si="517"/>
        <v>3900</v>
      </c>
      <c r="M5186" s="920">
        <f t="shared" si="518"/>
        <v>8.4006000000000007</v>
      </c>
      <c r="N5186" s="920">
        <f t="shared" si="519"/>
        <v>20</v>
      </c>
      <c r="O5186" s="918" t="str">
        <f t="shared" si="520"/>
        <v>Mar</v>
      </c>
      <c r="P5186" s="921">
        <f t="shared" si="521"/>
        <v>11</v>
      </c>
    </row>
    <row r="5187" spans="1:16" ht="15" hidden="1" customHeight="1">
      <c r="A5187" s="839">
        <v>64979444</v>
      </c>
      <c r="B5187" s="839" t="s">
        <v>139</v>
      </c>
      <c r="C5187" s="906">
        <v>3900</v>
      </c>
      <c r="D5187" s="907">
        <v>46095</v>
      </c>
      <c r="E5187" s="839" t="s">
        <v>622</v>
      </c>
      <c r="F5187" s="839">
        <v>1419</v>
      </c>
      <c r="G5187" s="916">
        <f>VLOOKUP($A5187,'Tech Litons'!$A:$I,8,FALSE)</f>
        <v>2.16E-3</v>
      </c>
      <c r="H5187" s="917">
        <f>VLOOKUP($A5187,'Tech Litons'!$A:$I,9,FALSE)</f>
        <v>195</v>
      </c>
      <c r="I5187" s="917" t="str">
        <f>VLOOKUP($A5187,'Tech Litons'!$A:$C,3,0)</f>
        <v>Facepieces</v>
      </c>
      <c r="J5187" s="918" t="str">
        <f t="shared" si="516"/>
        <v>IncomFacepieces</v>
      </c>
      <c r="K5187" s="919">
        <v>1</v>
      </c>
      <c r="L5187" s="920">
        <f t="shared" si="517"/>
        <v>3900</v>
      </c>
      <c r="M5187" s="920">
        <f t="shared" si="518"/>
        <v>8.4239999999999995</v>
      </c>
      <c r="N5187" s="920">
        <f t="shared" si="519"/>
        <v>20</v>
      </c>
      <c r="O5187" s="918" t="str">
        <f t="shared" si="520"/>
        <v>Mar</v>
      </c>
      <c r="P5187" s="921">
        <f t="shared" si="521"/>
        <v>11</v>
      </c>
    </row>
    <row r="5188" spans="1:16" ht="15" hidden="1" customHeight="1">
      <c r="A5188" s="839">
        <v>64956417</v>
      </c>
      <c r="B5188" s="839" t="s">
        <v>139</v>
      </c>
      <c r="C5188" s="906">
        <v>2860</v>
      </c>
      <c r="D5188" s="907">
        <v>46097</v>
      </c>
      <c r="E5188" s="839" t="s">
        <v>621</v>
      </c>
      <c r="F5188" s="839">
        <v>3989</v>
      </c>
      <c r="G5188" s="916">
        <f>VLOOKUP($A5188,'Tech Litons'!$A:$I,8,FALSE)</f>
        <v>2.16E-3</v>
      </c>
      <c r="H5188" s="917">
        <f>VLOOKUP($A5188,'Tech Litons'!$A:$I,9,FALSE)</f>
        <v>143</v>
      </c>
      <c r="I5188" s="917" t="str">
        <f>VLOOKUP($A5188,'Tech Litons'!$A:$C,3,0)</f>
        <v>Facepieces</v>
      </c>
      <c r="J5188" s="918" t="str">
        <f t="shared" si="516"/>
        <v>IncomFacepieces</v>
      </c>
      <c r="K5188" s="919">
        <v>1</v>
      </c>
      <c r="L5188" s="920">
        <f t="shared" si="517"/>
        <v>2860</v>
      </c>
      <c r="M5188" s="920">
        <f t="shared" si="518"/>
        <v>6.1776</v>
      </c>
      <c r="N5188" s="920">
        <f t="shared" si="519"/>
        <v>20</v>
      </c>
      <c r="O5188" s="918" t="str">
        <f t="shared" si="520"/>
        <v>Mar</v>
      </c>
      <c r="P5188" s="921">
        <f t="shared" si="521"/>
        <v>12</v>
      </c>
    </row>
    <row r="5189" spans="1:16" ht="15" hidden="1" customHeight="1">
      <c r="A5189" s="839">
        <v>64956417</v>
      </c>
      <c r="B5189" s="839" t="s">
        <v>139</v>
      </c>
      <c r="C5189" s="906">
        <v>2860</v>
      </c>
      <c r="D5189" s="907">
        <v>46097</v>
      </c>
      <c r="E5189" s="839" t="s">
        <v>621</v>
      </c>
      <c r="F5189" s="839">
        <v>3989</v>
      </c>
      <c r="G5189" s="916">
        <f>VLOOKUP($A5189,'Tech Litons'!$A:$I,8,FALSE)</f>
        <v>2.16E-3</v>
      </c>
      <c r="H5189" s="917">
        <f>VLOOKUP($A5189,'Tech Litons'!$A:$I,9,FALSE)</f>
        <v>143</v>
      </c>
      <c r="I5189" s="917" t="str">
        <f>VLOOKUP($A5189,'Tech Litons'!$A:$C,3,0)</f>
        <v>Facepieces</v>
      </c>
      <c r="J5189" s="918" t="str">
        <f t="shared" si="516"/>
        <v>IncomFacepieces</v>
      </c>
      <c r="K5189" s="919">
        <v>1</v>
      </c>
      <c r="L5189" s="920">
        <f t="shared" si="517"/>
        <v>2860</v>
      </c>
      <c r="M5189" s="920">
        <f t="shared" si="518"/>
        <v>6.1776</v>
      </c>
      <c r="N5189" s="920">
        <f t="shared" si="519"/>
        <v>20</v>
      </c>
      <c r="O5189" s="918" t="str">
        <f t="shared" si="520"/>
        <v>Mar</v>
      </c>
      <c r="P5189" s="921">
        <f t="shared" si="521"/>
        <v>12</v>
      </c>
    </row>
    <row r="5190" spans="1:16" ht="15" hidden="1" customHeight="1">
      <c r="A5190" s="839">
        <v>64956417</v>
      </c>
      <c r="B5190" s="839" t="s">
        <v>139</v>
      </c>
      <c r="C5190" s="906">
        <v>2860</v>
      </c>
      <c r="D5190" s="907">
        <v>46097</v>
      </c>
      <c r="E5190" s="839" t="s">
        <v>621</v>
      </c>
      <c r="F5190" s="839">
        <v>3989</v>
      </c>
      <c r="G5190" s="916">
        <f>VLOOKUP($A5190,'Tech Litons'!$A:$I,8,FALSE)</f>
        <v>2.16E-3</v>
      </c>
      <c r="H5190" s="917">
        <f>VLOOKUP($A5190,'Tech Litons'!$A:$I,9,FALSE)</f>
        <v>143</v>
      </c>
      <c r="I5190" s="917" t="str">
        <f>VLOOKUP($A5190,'Tech Litons'!$A:$C,3,0)</f>
        <v>Facepieces</v>
      </c>
      <c r="J5190" s="918" t="str">
        <f t="shared" si="516"/>
        <v>IncomFacepieces</v>
      </c>
      <c r="K5190" s="919">
        <v>1</v>
      </c>
      <c r="L5190" s="920">
        <f t="shared" si="517"/>
        <v>2860</v>
      </c>
      <c r="M5190" s="920">
        <f t="shared" si="518"/>
        <v>6.1776</v>
      </c>
      <c r="N5190" s="920">
        <f t="shared" si="519"/>
        <v>20</v>
      </c>
      <c r="O5190" s="918" t="str">
        <f t="shared" si="520"/>
        <v>Mar</v>
      </c>
      <c r="P5190" s="921">
        <f t="shared" si="521"/>
        <v>12</v>
      </c>
    </row>
    <row r="5191" spans="1:16" ht="15" hidden="1" customHeight="1">
      <c r="A5191" s="839">
        <v>64956417</v>
      </c>
      <c r="B5191" s="839" t="s">
        <v>139</v>
      </c>
      <c r="C5191" s="906">
        <v>2860</v>
      </c>
      <c r="D5191" s="907">
        <v>46097</v>
      </c>
      <c r="E5191" s="839" t="s">
        <v>621</v>
      </c>
      <c r="F5191" s="839">
        <v>3989</v>
      </c>
      <c r="G5191" s="916">
        <f>VLOOKUP($A5191,'Tech Litons'!$A:$I,8,FALSE)</f>
        <v>2.16E-3</v>
      </c>
      <c r="H5191" s="917">
        <f>VLOOKUP($A5191,'Tech Litons'!$A:$I,9,FALSE)</f>
        <v>143</v>
      </c>
      <c r="I5191" s="917" t="str">
        <f>VLOOKUP($A5191,'Tech Litons'!$A:$C,3,0)</f>
        <v>Facepieces</v>
      </c>
      <c r="J5191" s="918" t="str">
        <f t="shared" si="516"/>
        <v>IncomFacepieces</v>
      </c>
      <c r="K5191" s="919">
        <v>1</v>
      </c>
      <c r="L5191" s="920">
        <f t="shared" si="517"/>
        <v>2860</v>
      </c>
      <c r="M5191" s="920">
        <f t="shared" si="518"/>
        <v>6.1776</v>
      </c>
      <c r="N5191" s="920">
        <f t="shared" si="519"/>
        <v>20</v>
      </c>
      <c r="O5191" s="918" t="str">
        <f t="shared" si="520"/>
        <v>Mar</v>
      </c>
      <c r="P5191" s="921">
        <f t="shared" si="521"/>
        <v>12</v>
      </c>
    </row>
    <row r="5192" spans="1:16" ht="15" hidden="1" customHeight="1">
      <c r="A5192" s="839">
        <v>64956417</v>
      </c>
      <c r="B5192" s="839" t="s">
        <v>139</v>
      </c>
      <c r="C5192" s="906">
        <v>2860</v>
      </c>
      <c r="D5192" s="907">
        <v>46097</v>
      </c>
      <c r="E5192" s="839" t="s">
        <v>621</v>
      </c>
      <c r="F5192" s="839">
        <v>3989</v>
      </c>
      <c r="G5192" s="916">
        <f>VLOOKUP($A5192,'Tech Litons'!$A:$I,8,FALSE)</f>
        <v>2.16E-3</v>
      </c>
      <c r="H5192" s="917">
        <f>VLOOKUP($A5192,'Tech Litons'!$A:$I,9,FALSE)</f>
        <v>143</v>
      </c>
      <c r="I5192" s="917" t="str">
        <f>VLOOKUP($A5192,'Tech Litons'!$A:$C,3,0)</f>
        <v>Facepieces</v>
      </c>
      <c r="J5192" s="918" t="str">
        <f t="shared" si="516"/>
        <v>IncomFacepieces</v>
      </c>
      <c r="K5192" s="919">
        <v>1</v>
      </c>
      <c r="L5192" s="920">
        <f t="shared" si="517"/>
        <v>2860</v>
      </c>
      <c r="M5192" s="920">
        <f t="shared" si="518"/>
        <v>6.1776</v>
      </c>
      <c r="N5192" s="920">
        <f t="shared" si="519"/>
        <v>20</v>
      </c>
      <c r="O5192" s="918" t="str">
        <f t="shared" si="520"/>
        <v>Mar</v>
      </c>
      <c r="P5192" s="921">
        <f t="shared" si="521"/>
        <v>12</v>
      </c>
    </row>
    <row r="5193" spans="1:16" ht="15" hidden="1" customHeight="1">
      <c r="A5193" s="839">
        <v>64365613</v>
      </c>
      <c r="B5193" s="839" t="s">
        <v>139</v>
      </c>
      <c r="C5193" s="906">
        <v>3900</v>
      </c>
      <c r="D5193" s="907">
        <v>46097</v>
      </c>
      <c r="E5193" s="839" t="s">
        <v>617</v>
      </c>
      <c r="F5193" s="839">
        <v>3989</v>
      </c>
      <c r="G5193" s="916">
        <f>VLOOKUP($A5193,'Tech Litons'!$A:$I,8,FALSE)</f>
        <v>2.1540000000000001E-3</v>
      </c>
      <c r="H5193" s="917">
        <f>VLOOKUP($A5193,'Tech Litons'!$A:$I,9,FALSE)</f>
        <v>195</v>
      </c>
      <c r="I5193" s="917" t="str">
        <f>VLOOKUP($A5193,'Tech Litons'!$A:$C,3,0)</f>
        <v>Facepieces</v>
      </c>
      <c r="J5193" s="918" t="str">
        <f t="shared" si="516"/>
        <v>IncomFacepieces</v>
      </c>
      <c r="K5193" s="919">
        <v>1</v>
      </c>
      <c r="L5193" s="920">
        <f t="shared" si="517"/>
        <v>3900</v>
      </c>
      <c r="M5193" s="920">
        <f t="shared" si="518"/>
        <v>8.4006000000000007</v>
      </c>
      <c r="N5193" s="920">
        <f t="shared" si="519"/>
        <v>20</v>
      </c>
      <c r="O5193" s="918" t="str">
        <f t="shared" si="520"/>
        <v>Mar</v>
      </c>
      <c r="P5193" s="921">
        <f t="shared" si="521"/>
        <v>12</v>
      </c>
    </row>
    <row r="5194" spans="1:16" ht="15" hidden="1" customHeight="1">
      <c r="A5194" s="839">
        <v>64365613</v>
      </c>
      <c r="B5194" s="839" t="s">
        <v>139</v>
      </c>
      <c r="C5194" s="906">
        <v>3900</v>
      </c>
      <c r="D5194" s="907">
        <v>46097</v>
      </c>
      <c r="E5194" s="839" t="s">
        <v>617</v>
      </c>
      <c r="F5194" s="839">
        <v>3989</v>
      </c>
      <c r="G5194" s="916">
        <f>VLOOKUP($A5194,'Tech Litons'!$A:$I,8,FALSE)</f>
        <v>2.1540000000000001E-3</v>
      </c>
      <c r="H5194" s="917">
        <f>VLOOKUP($A5194,'Tech Litons'!$A:$I,9,FALSE)</f>
        <v>195</v>
      </c>
      <c r="I5194" s="917" t="str">
        <f>VLOOKUP($A5194,'Tech Litons'!$A:$C,3,0)</f>
        <v>Facepieces</v>
      </c>
      <c r="J5194" s="918" t="str">
        <f t="shared" si="516"/>
        <v>IncomFacepieces</v>
      </c>
      <c r="K5194" s="919">
        <v>1</v>
      </c>
      <c r="L5194" s="920">
        <f t="shared" si="517"/>
        <v>3900</v>
      </c>
      <c r="M5194" s="920">
        <f t="shared" si="518"/>
        <v>8.4006000000000007</v>
      </c>
      <c r="N5194" s="920">
        <f t="shared" si="519"/>
        <v>20</v>
      </c>
      <c r="O5194" s="918" t="str">
        <f t="shared" si="520"/>
        <v>Mar</v>
      </c>
      <c r="P5194" s="921">
        <f t="shared" si="521"/>
        <v>12</v>
      </c>
    </row>
    <row r="5195" spans="1:16" ht="15" hidden="1" customHeight="1">
      <c r="A5195" s="839">
        <v>64365613</v>
      </c>
      <c r="B5195" s="839" t="s">
        <v>139</v>
      </c>
      <c r="C5195" s="906">
        <v>3900</v>
      </c>
      <c r="D5195" s="907">
        <v>46097</v>
      </c>
      <c r="E5195" s="839" t="s">
        <v>617</v>
      </c>
      <c r="F5195" s="839">
        <v>3989</v>
      </c>
      <c r="G5195" s="916">
        <f>VLOOKUP($A5195,'Tech Litons'!$A:$I,8,FALSE)</f>
        <v>2.1540000000000001E-3</v>
      </c>
      <c r="H5195" s="917">
        <f>VLOOKUP($A5195,'Tech Litons'!$A:$I,9,FALSE)</f>
        <v>195</v>
      </c>
      <c r="I5195" s="917" t="str">
        <f>VLOOKUP($A5195,'Tech Litons'!$A:$C,3,0)</f>
        <v>Facepieces</v>
      </c>
      <c r="J5195" s="918" t="str">
        <f t="shared" si="516"/>
        <v>IncomFacepieces</v>
      </c>
      <c r="K5195" s="919">
        <v>1</v>
      </c>
      <c r="L5195" s="920">
        <f t="shared" si="517"/>
        <v>3900</v>
      </c>
      <c r="M5195" s="920">
        <f t="shared" si="518"/>
        <v>8.4006000000000007</v>
      </c>
      <c r="N5195" s="920">
        <f t="shared" si="519"/>
        <v>20</v>
      </c>
      <c r="O5195" s="918" t="str">
        <f t="shared" si="520"/>
        <v>Mar</v>
      </c>
      <c r="P5195" s="921">
        <f t="shared" si="521"/>
        <v>12</v>
      </c>
    </row>
    <row r="5196" spans="1:16" ht="15" hidden="1" customHeight="1">
      <c r="A5196" s="839">
        <v>64365613</v>
      </c>
      <c r="B5196" s="839" t="s">
        <v>139</v>
      </c>
      <c r="C5196" s="906">
        <v>3900</v>
      </c>
      <c r="D5196" s="907">
        <v>46097</v>
      </c>
      <c r="E5196" s="839" t="s">
        <v>617</v>
      </c>
      <c r="F5196" s="839">
        <v>1419</v>
      </c>
      <c r="G5196" s="916">
        <f>VLOOKUP($A5196,'Tech Litons'!$A:$I,8,FALSE)</f>
        <v>2.1540000000000001E-3</v>
      </c>
      <c r="H5196" s="917">
        <f>VLOOKUP($A5196,'Tech Litons'!$A:$I,9,FALSE)</f>
        <v>195</v>
      </c>
      <c r="I5196" s="917" t="str">
        <f>VLOOKUP($A5196,'Tech Litons'!$A:$C,3,0)</f>
        <v>Facepieces</v>
      </c>
      <c r="J5196" s="918" t="str">
        <f t="shared" si="516"/>
        <v>IncomFacepieces</v>
      </c>
      <c r="K5196" s="919">
        <v>1</v>
      </c>
      <c r="L5196" s="920">
        <f t="shared" si="517"/>
        <v>3900</v>
      </c>
      <c r="M5196" s="920">
        <f t="shared" si="518"/>
        <v>8.4006000000000007</v>
      </c>
      <c r="N5196" s="920">
        <f t="shared" si="519"/>
        <v>20</v>
      </c>
      <c r="O5196" s="918" t="str">
        <f t="shared" si="520"/>
        <v>Mar</v>
      </c>
      <c r="P5196" s="921">
        <f t="shared" si="521"/>
        <v>12</v>
      </c>
    </row>
    <row r="5197" spans="1:16" ht="15" hidden="1" customHeight="1">
      <c r="A5197" s="839">
        <v>64365613</v>
      </c>
      <c r="B5197" s="839" t="s">
        <v>139</v>
      </c>
      <c r="C5197" s="906">
        <v>3900</v>
      </c>
      <c r="D5197" s="907">
        <v>46097</v>
      </c>
      <c r="E5197" s="839" t="s">
        <v>617</v>
      </c>
      <c r="F5197" s="839">
        <v>3989</v>
      </c>
      <c r="G5197" s="916">
        <f>VLOOKUP($A5197,'Tech Litons'!$A:$I,8,FALSE)</f>
        <v>2.1540000000000001E-3</v>
      </c>
      <c r="H5197" s="917">
        <f>VLOOKUP($A5197,'Tech Litons'!$A:$I,9,FALSE)</f>
        <v>195</v>
      </c>
      <c r="I5197" s="917" t="str">
        <f>VLOOKUP($A5197,'Tech Litons'!$A:$C,3,0)</f>
        <v>Facepieces</v>
      </c>
      <c r="J5197" s="918" t="str">
        <f t="shared" si="516"/>
        <v>IncomFacepieces</v>
      </c>
      <c r="K5197" s="919">
        <v>1</v>
      </c>
      <c r="L5197" s="920">
        <f t="shared" si="517"/>
        <v>3900</v>
      </c>
      <c r="M5197" s="920">
        <f t="shared" si="518"/>
        <v>8.4006000000000007</v>
      </c>
      <c r="N5197" s="920">
        <f t="shared" si="519"/>
        <v>20</v>
      </c>
      <c r="O5197" s="918" t="str">
        <f t="shared" si="520"/>
        <v>Mar</v>
      </c>
      <c r="P5197" s="921">
        <f t="shared" si="521"/>
        <v>12</v>
      </c>
    </row>
    <row r="5198" spans="1:16" ht="15" hidden="1" customHeight="1">
      <c r="A5198" s="839">
        <v>64365613</v>
      </c>
      <c r="B5198" s="839" t="s">
        <v>139</v>
      </c>
      <c r="C5198" s="906">
        <v>3900</v>
      </c>
      <c r="D5198" s="907">
        <v>46097</v>
      </c>
      <c r="E5198" s="839" t="s">
        <v>617</v>
      </c>
      <c r="F5198" s="839">
        <v>3989</v>
      </c>
      <c r="G5198" s="916">
        <f>VLOOKUP($A5198,'Tech Litons'!$A:$I,8,FALSE)</f>
        <v>2.1540000000000001E-3</v>
      </c>
      <c r="H5198" s="917">
        <f>VLOOKUP($A5198,'Tech Litons'!$A:$I,9,FALSE)</f>
        <v>195</v>
      </c>
      <c r="I5198" s="917" t="str">
        <f>VLOOKUP($A5198,'Tech Litons'!$A:$C,3,0)</f>
        <v>Facepieces</v>
      </c>
      <c r="J5198" s="918" t="str">
        <f t="shared" si="516"/>
        <v>IncomFacepieces</v>
      </c>
      <c r="K5198" s="919">
        <v>1</v>
      </c>
      <c r="L5198" s="920">
        <f t="shared" si="517"/>
        <v>3900</v>
      </c>
      <c r="M5198" s="920">
        <f t="shared" si="518"/>
        <v>8.4006000000000007</v>
      </c>
      <c r="N5198" s="920">
        <f t="shared" si="519"/>
        <v>20</v>
      </c>
      <c r="O5198" s="918" t="str">
        <f t="shared" si="520"/>
        <v>Mar</v>
      </c>
      <c r="P5198" s="921">
        <f t="shared" si="521"/>
        <v>12</v>
      </c>
    </row>
    <row r="5199" spans="1:16" ht="15" hidden="1" customHeight="1">
      <c r="A5199" s="839">
        <v>64979444</v>
      </c>
      <c r="B5199" s="839" t="s">
        <v>139</v>
      </c>
      <c r="C5199" s="906">
        <v>3900</v>
      </c>
      <c r="D5199" s="907">
        <v>46097</v>
      </c>
      <c r="E5199" s="839" t="s">
        <v>622</v>
      </c>
      <c r="F5199" s="839">
        <v>1419</v>
      </c>
      <c r="G5199" s="916">
        <f>VLOOKUP($A5199,'Tech Litons'!$A:$I,8,FALSE)</f>
        <v>2.16E-3</v>
      </c>
      <c r="H5199" s="917">
        <f>VLOOKUP($A5199,'Tech Litons'!$A:$I,9,FALSE)</f>
        <v>195</v>
      </c>
      <c r="I5199" s="917" t="str">
        <f>VLOOKUP($A5199,'Tech Litons'!$A:$C,3,0)</f>
        <v>Facepieces</v>
      </c>
      <c r="J5199" s="918" t="str">
        <f t="shared" si="516"/>
        <v>IncomFacepieces</v>
      </c>
      <c r="K5199" s="919">
        <v>1</v>
      </c>
      <c r="L5199" s="920">
        <f t="shared" si="517"/>
        <v>3900</v>
      </c>
      <c r="M5199" s="920">
        <f t="shared" si="518"/>
        <v>8.4239999999999995</v>
      </c>
      <c r="N5199" s="920">
        <f t="shared" si="519"/>
        <v>20</v>
      </c>
      <c r="O5199" s="918" t="str">
        <f t="shared" si="520"/>
        <v>Mar</v>
      </c>
      <c r="P5199" s="921">
        <f t="shared" si="521"/>
        <v>12</v>
      </c>
    </row>
    <row r="5200" spans="1:16" ht="15" hidden="1" customHeight="1">
      <c r="A5200" s="839">
        <v>64979444</v>
      </c>
      <c r="B5200" s="839" t="s">
        <v>139</v>
      </c>
      <c r="C5200" s="906">
        <v>3900</v>
      </c>
      <c r="D5200" s="907">
        <v>46097</v>
      </c>
      <c r="E5200" s="839" t="s">
        <v>622</v>
      </c>
      <c r="F5200" s="839">
        <v>1419</v>
      </c>
      <c r="G5200" s="916">
        <f>VLOOKUP($A5200,'Tech Litons'!$A:$I,8,FALSE)</f>
        <v>2.16E-3</v>
      </c>
      <c r="H5200" s="917">
        <f>VLOOKUP($A5200,'Tech Litons'!$A:$I,9,FALSE)</f>
        <v>195</v>
      </c>
      <c r="I5200" s="917" t="str">
        <f>VLOOKUP($A5200,'Tech Litons'!$A:$C,3,0)</f>
        <v>Facepieces</v>
      </c>
      <c r="J5200" s="918" t="str">
        <f t="shared" si="516"/>
        <v>IncomFacepieces</v>
      </c>
      <c r="K5200" s="919">
        <v>1</v>
      </c>
      <c r="L5200" s="920">
        <f t="shared" si="517"/>
        <v>3900</v>
      </c>
      <c r="M5200" s="920">
        <f t="shared" si="518"/>
        <v>8.4239999999999995</v>
      </c>
      <c r="N5200" s="920">
        <f t="shared" si="519"/>
        <v>20</v>
      </c>
      <c r="O5200" s="918" t="str">
        <f t="shared" si="520"/>
        <v>Mar</v>
      </c>
      <c r="P5200" s="921">
        <f t="shared" si="521"/>
        <v>12</v>
      </c>
    </row>
    <row r="5201" spans="1:16" ht="15" hidden="1" customHeight="1">
      <c r="A5201" s="839">
        <v>64365613</v>
      </c>
      <c r="B5201" s="839" t="s">
        <v>139</v>
      </c>
      <c r="C5201" s="906">
        <v>3900</v>
      </c>
      <c r="D5201" s="907">
        <v>46098</v>
      </c>
      <c r="E5201" s="839" t="s">
        <v>617</v>
      </c>
      <c r="F5201" s="839">
        <v>3989</v>
      </c>
      <c r="G5201" s="916">
        <f>VLOOKUP($A5201,'Tech Litons'!$A:$I,8,FALSE)</f>
        <v>2.1540000000000001E-3</v>
      </c>
      <c r="H5201" s="917">
        <f>VLOOKUP($A5201,'Tech Litons'!$A:$I,9,FALSE)</f>
        <v>195</v>
      </c>
      <c r="I5201" s="917" t="str">
        <f>VLOOKUP($A5201,'Tech Litons'!$A:$C,3,0)</f>
        <v>Facepieces</v>
      </c>
      <c r="J5201" s="918" t="str">
        <f t="shared" si="516"/>
        <v>IncomFacepieces</v>
      </c>
      <c r="K5201" s="919">
        <v>1</v>
      </c>
      <c r="L5201" s="920">
        <f t="shared" si="517"/>
        <v>3900</v>
      </c>
      <c r="M5201" s="920">
        <f t="shared" si="518"/>
        <v>8.4006000000000007</v>
      </c>
      <c r="N5201" s="920">
        <f t="shared" si="519"/>
        <v>20</v>
      </c>
      <c r="O5201" s="918" t="str">
        <f t="shared" si="520"/>
        <v>Mar</v>
      </c>
      <c r="P5201" s="921">
        <f t="shared" si="521"/>
        <v>12</v>
      </c>
    </row>
    <row r="5202" spans="1:16" ht="15" hidden="1" customHeight="1">
      <c r="A5202" s="839">
        <v>64365613</v>
      </c>
      <c r="B5202" s="839" t="s">
        <v>139</v>
      </c>
      <c r="C5202" s="906">
        <v>3900</v>
      </c>
      <c r="D5202" s="907">
        <v>46098</v>
      </c>
      <c r="E5202" s="839" t="s">
        <v>617</v>
      </c>
      <c r="F5202" s="839">
        <v>3989</v>
      </c>
      <c r="G5202" s="916">
        <f>VLOOKUP($A5202,'Tech Litons'!$A:$I,8,FALSE)</f>
        <v>2.1540000000000001E-3</v>
      </c>
      <c r="H5202" s="917">
        <f>VLOOKUP($A5202,'Tech Litons'!$A:$I,9,FALSE)</f>
        <v>195</v>
      </c>
      <c r="I5202" s="917" t="str">
        <f>VLOOKUP($A5202,'Tech Litons'!$A:$C,3,0)</f>
        <v>Facepieces</v>
      </c>
      <c r="J5202" s="918" t="str">
        <f t="shared" si="516"/>
        <v>IncomFacepieces</v>
      </c>
      <c r="K5202" s="919">
        <v>1</v>
      </c>
      <c r="L5202" s="920">
        <f t="shared" si="517"/>
        <v>3900</v>
      </c>
      <c r="M5202" s="920">
        <f t="shared" si="518"/>
        <v>8.4006000000000007</v>
      </c>
      <c r="N5202" s="920">
        <f t="shared" si="519"/>
        <v>20</v>
      </c>
      <c r="O5202" s="918" t="str">
        <f t="shared" si="520"/>
        <v>Mar</v>
      </c>
      <c r="P5202" s="921">
        <f t="shared" si="521"/>
        <v>12</v>
      </c>
    </row>
    <row r="5203" spans="1:16" ht="15" hidden="1" customHeight="1">
      <c r="A5203" s="839">
        <v>64979444</v>
      </c>
      <c r="B5203" s="839" t="s">
        <v>139</v>
      </c>
      <c r="C5203" s="906">
        <v>3900</v>
      </c>
      <c r="D5203" s="907">
        <v>46098</v>
      </c>
      <c r="E5203" s="839" t="s">
        <v>622</v>
      </c>
      <c r="F5203" s="839">
        <v>1419</v>
      </c>
      <c r="G5203" s="916">
        <f>VLOOKUP($A5203,'Tech Litons'!$A:$I,8,FALSE)</f>
        <v>2.16E-3</v>
      </c>
      <c r="H5203" s="917">
        <f>VLOOKUP($A5203,'Tech Litons'!$A:$I,9,FALSE)</f>
        <v>195</v>
      </c>
      <c r="I5203" s="917" t="str">
        <f>VLOOKUP($A5203,'Tech Litons'!$A:$C,3,0)</f>
        <v>Facepieces</v>
      </c>
      <c r="J5203" s="918" t="str">
        <f t="shared" si="516"/>
        <v>IncomFacepieces</v>
      </c>
      <c r="K5203" s="919">
        <v>1</v>
      </c>
      <c r="L5203" s="920">
        <f t="shared" si="517"/>
        <v>3900</v>
      </c>
      <c r="M5203" s="920">
        <f t="shared" si="518"/>
        <v>8.4239999999999995</v>
      </c>
      <c r="N5203" s="920">
        <f t="shared" si="519"/>
        <v>20</v>
      </c>
      <c r="O5203" s="918" t="str">
        <f t="shared" si="520"/>
        <v>Mar</v>
      </c>
      <c r="P5203" s="921">
        <f t="shared" si="521"/>
        <v>12</v>
      </c>
    </row>
    <row r="5204" spans="1:16" ht="15" hidden="1" customHeight="1">
      <c r="A5204" s="839">
        <v>64956417</v>
      </c>
      <c r="B5204" s="839" t="s">
        <v>139</v>
      </c>
      <c r="C5204" s="906">
        <v>2860</v>
      </c>
      <c r="D5204" s="907">
        <v>46099</v>
      </c>
      <c r="E5204" s="839" t="s">
        <v>621</v>
      </c>
      <c r="F5204" s="839">
        <v>1419</v>
      </c>
      <c r="G5204" s="916">
        <f>VLOOKUP($A5204,'Tech Litons'!$A:$I,8,FALSE)</f>
        <v>2.16E-3</v>
      </c>
      <c r="H5204" s="917">
        <f>VLOOKUP($A5204,'Tech Litons'!$A:$I,9,FALSE)</f>
        <v>143</v>
      </c>
      <c r="I5204" s="917" t="str">
        <f>VLOOKUP($A5204,'Tech Litons'!$A:$C,3,0)</f>
        <v>Facepieces</v>
      </c>
      <c r="J5204" s="918" t="str">
        <f t="shared" si="516"/>
        <v>IncomFacepieces</v>
      </c>
      <c r="K5204" s="919">
        <v>1</v>
      </c>
      <c r="L5204" s="920">
        <f t="shared" si="517"/>
        <v>2860</v>
      </c>
      <c r="M5204" s="920">
        <f t="shared" si="518"/>
        <v>6.1776</v>
      </c>
      <c r="N5204" s="920">
        <f t="shared" si="519"/>
        <v>20</v>
      </c>
      <c r="O5204" s="918" t="str">
        <f t="shared" si="520"/>
        <v>Mar</v>
      </c>
      <c r="P5204" s="921">
        <f t="shared" si="521"/>
        <v>12</v>
      </c>
    </row>
    <row r="5205" spans="1:16" ht="15" hidden="1" customHeight="1">
      <c r="A5205" s="839">
        <v>64956417</v>
      </c>
      <c r="B5205" s="839" t="s">
        <v>139</v>
      </c>
      <c r="C5205" s="906">
        <v>2860</v>
      </c>
      <c r="D5205" s="907">
        <v>46099</v>
      </c>
      <c r="E5205" s="839" t="s">
        <v>621</v>
      </c>
      <c r="F5205" s="839">
        <v>1419</v>
      </c>
      <c r="G5205" s="916">
        <f>VLOOKUP($A5205,'Tech Litons'!$A:$I,8,FALSE)</f>
        <v>2.16E-3</v>
      </c>
      <c r="H5205" s="917">
        <f>VLOOKUP($A5205,'Tech Litons'!$A:$I,9,FALSE)</f>
        <v>143</v>
      </c>
      <c r="I5205" s="917" t="str">
        <f>VLOOKUP($A5205,'Tech Litons'!$A:$C,3,0)</f>
        <v>Facepieces</v>
      </c>
      <c r="J5205" s="918" t="str">
        <f t="shared" si="516"/>
        <v>IncomFacepieces</v>
      </c>
      <c r="K5205" s="919">
        <v>1</v>
      </c>
      <c r="L5205" s="920">
        <f t="shared" si="517"/>
        <v>2860</v>
      </c>
      <c r="M5205" s="920">
        <f t="shared" si="518"/>
        <v>6.1776</v>
      </c>
      <c r="N5205" s="920">
        <f t="shared" si="519"/>
        <v>20</v>
      </c>
      <c r="O5205" s="918" t="str">
        <f t="shared" si="520"/>
        <v>Mar</v>
      </c>
      <c r="P5205" s="921">
        <f t="shared" si="521"/>
        <v>12</v>
      </c>
    </row>
    <row r="5206" spans="1:16" ht="15" hidden="1" customHeight="1">
      <c r="A5206" s="839">
        <v>64956417</v>
      </c>
      <c r="B5206" s="839" t="s">
        <v>139</v>
      </c>
      <c r="C5206" s="906">
        <v>2860</v>
      </c>
      <c r="D5206" s="907">
        <v>46099</v>
      </c>
      <c r="E5206" s="839" t="s">
        <v>621</v>
      </c>
      <c r="F5206" s="839">
        <v>1419</v>
      </c>
      <c r="G5206" s="916">
        <f>VLOOKUP($A5206,'Tech Litons'!$A:$I,8,FALSE)</f>
        <v>2.16E-3</v>
      </c>
      <c r="H5206" s="917">
        <f>VLOOKUP($A5206,'Tech Litons'!$A:$I,9,FALSE)</f>
        <v>143</v>
      </c>
      <c r="I5206" s="917" t="str">
        <f>VLOOKUP($A5206,'Tech Litons'!$A:$C,3,0)</f>
        <v>Facepieces</v>
      </c>
      <c r="J5206" s="918" t="str">
        <f t="shared" si="516"/>
        <v>IncomFacepieces</v>
      </c>
      <c r="K5206" s="919">
        <v>1</v>
      </c>
      <c r="L5206" s="920">
        <f t="shared" si="517"/>
        <v>2860</v>
      </c>
      <c r="M5206" s="920">
        <f t="shared" si="518"/>
        <v>6.1776</v>
      </c>
      <c r="N5206" s="920">
        <f t="shared" si="519"/>
        <v>20</v>
      </c>
      <c r="O5206" s="918" t="str">
        <f t="shared" si="520"/>
        <v>Mar</v>
      </c>
      <c r="P5206" s="921">
        <f t="shared" si="521"/>
        <v>12</v>
      </c>
    </row>
    <row r="5207" spans="1:16" ht="15" hidden="1" customHeight="1">
      <c r="A5207" s="839">
        <v>64956417</v>
      </c>
      <c r="B5207" s="839" t="s">
        <v>139</v>
      </c>
      <c r="C5207" s="906">
        <v>2860</v>
      </c>
      <c r="D5207" s="907">
        <v>46099</v>
      </c>
      <c r="E5207" s="839" t="s">
        <v>621</v>
      </c>
      <c r="F5207" s="839">
        <v>1419</v>
      </c>
      <c r="G5207" s="916">
        <f>VLOOKUP($A5207,'Tech Litons'!$A:$I,8,FALSE)</f>
        <v>2.16E-3</v>
      </c>
      <c r="H5207" s="917">
        <f>VLOOKUP($A5207,'Tech Litons'!$A:$I,9,FALSE)</f>
        <v>143</v>
      </c>
      <c r="I5207" s="917" t="str">
        <f>VLOOKUP($A5207,'Tech Litons'!$A:$C,3,0)</f>
        <v>Facepieces</v>
      </c>
      <c r="J5207" s="918" t="str">
        <f t="shared" si="516"/>
        <v>IncomFacepieces</v>
      </c>
      <c r="K5207" s="919">
        <v>1</v>
      </c>
      <c r="L5207" s="920">
        <f t="shared" si="517"/>
        <v>2860</v>
      </c>
      <c r="M5207" s="920">
        <f t="shared" si="518"/>
        <v>6.1776</v>
      </c>
      <c r="N5207" s="920">
        <f t="shared" si="519"/>
        <v>20</v>
      </c>
      <c r="O5207" s="918" t="str">
        <f t="shared" si="520"/>
        <v>Mar</v>
      </c>
      <c r="P5207" s="921">
        <f t="shared" si="521"/>
        <v>12</v>
      </c>
    </row>
    <row r="5208" spans="1:16" ht="15" hidden="1" customHeight="1">
      <c r="A5208" s="839">
        <v>64956417</v>
      </c>
      <c r="B5208" s="839" t="s">
        <v>139</v>
      </c>
      <c r="C5208" s="906">
        <v>2860</v>
      </c>
      <c r="D5208" s="907">
        <v>46099</v>
      </c>
      <c r="E5208" s="839" t="s">
        <v>621</v>
      </c>
      <c r="F5208" s="839">
        <v>1419</v>
      </c>
      <c r="G5208" s="916">
        <f>VLOOKUP($A5208,'Tech Litons'!$A:$I,8,FALSE)</f>
        <v>2.16E-3</v>
      </c>
      <c r="H5208" s="917">
        <f>VLOOKUP($A5208,'Tech Litons'!$A:$I,9,FALSE)</f>
        <v>143</v>
      </c>
      <c r="I5208" s="917" t="str">
        <f>VLOOKUP($A5208,'Tech Litons'!$A:$C,3,0)</f>
        <v>Facepieces</v>
      </c>
      <c r="J5208" s="918" t="str">
        <f t="shared" si="516"/>
        <v>IncomFacepieces</v>
      </c>
      <c r="K5208" s="919">
        <v>1</v>
      </c>
      <c r="L5208" s="920">
        <f t="shared" si="517"/>
        <v>2860</v>
      </c>
      <c r="M5208" s="920">
        <f t="shared" si="518"/>
        <v>6.1776</v>
      </c>
      <c r="N5208" s="920">
        <f t="shared" si="519"/>
        <v>20</v>
      </c>
      <c r="O5208" s="918" t="str">
        <f t="shared" si="520"/>
        <v>Mar</v>
      </c>
      <c r="P5208" s="921">
        <f t="shared" si="521"/>
        <v>12</v>
      </c>
    </row>
    <row r="5209" spans="1:16" ht="15" hidden="1" customHeight="1">
      <c r="A5209" s="839">
        <v>64365613</v>
      </c>
      <c r="B5209" s="839" t="s">
        <v>139</v>
      </c>
      <c r="C5209" s="906">
        <v>3900</v>
      </c>
      <c r="D5209" s="907">
        <v>46099</v>
      </c>
      <c r="E5209" s="839" t="s">
        <v>617</v>
      </c>
      <c r="F5209" s="839">
        <v>3989</v>
      </c>
      <c r="G5209" s="916">
        <f>VLOOKUP($A5209,'Tech Litons'!$A:$I,8,FALSE)</f>
        <v>2.1540000000000001E-3</v>
      </c>
      <c r="H5209" s="917">
        <f>VLOOKUP($A5209,'Tech Litons'!$A:$I,9,FALSE)</f>
        <v>195</v>
      </c>
      <c r="I5209" s="917" t="str">
        <f>VLOOKUP($A5209,'Tech Litons'!$A:$C,3,0)</f>
        <v>Facepieces</v>
      </c>
      <c r="J5209" s="918" t="str">
        <f t="shared" si="516"/>
        <v>IncomFacepieces</v>
      </c>
      <c r="K5209" s="919">
        <v>1</v>
      </c>
      <c r="L5209" s="920">
        <f t="shared" si="517"/>
        <v>3900</v>
      </c>
      <c r="M5209" s="920">
        <f t="shared" si="518"/>
        <v>8.4006000000000007</v>
      </c>
      <c r="N5209" s="920">
        <f t="shared" si="519"/>
        <v>20</v>
      </c>
      <c r="O5209" s="918" t="str">
        <f t="shared" si="520"/>
        <v>Mar</v>
      </c>
      <c r="P5209" s="921">
        <f t="shared" si="521"/>
        <v>12</v>
      </c>
    </row>
    <row r="5210" spans="1:16" ht="15" hidden="1" customHeight="1">
      <c r="A5210" s="839">
        <v>64365613</v>
      </c>
      <c r="B5210" s="839" t="s">
        <v>139</v>
      </c>
      <c r="C5210" s="906">
        <v>3900</v>
      </c>
      <c r="D5210" s="907">
        <v>46099</v>
      </c>
      <c r="E5210" s="839" t="s">
        <v>617</v>
      </c>
      <c r="F5210" s="839">
        <v>1419</v>
      </c>
      <c r="G5210" s="916">
        <f>VLOOKUP($A5210,'Tech Litons'!$A:$I,8,FALSE)</f>
        <v>2.1540000000000001E-3</v>
      </c>
      <c r="H5210" s="917">
        <f>VLOOKUP($A5210,'Tech Litons'!$A:$I,9,FALSE)</f>
        <v>195</v>
      </c>
      <c r="I5210" s="917" t="str">
        <f>VLOOKUP($A5210,'Tech Litons'!$A:$C,3,0)</f>
        <v>Facepieces</v>
      </c>
      <c r="J5210" s="918" t="str">
        <f t="shared" si="516"/>
        <v>IncomFacepieces</v>
      </c>
      <c r="K5210" s="919">
        <v>1</v>
      </c>
      <c r="L5210" s="920">
        <f t="shared" si="517"/>
        <v>3900</v>
      </c>
      <c r="M5210" s="920">
        <f t="shared" si="518"/>
        <v>8.4006000000000007</v>
      </c>
      <c r="N5210" s="920">
        <f t="shared" si="519"/>
        <v>20</v>
      </c>
      <c r="O5210" s="918" t="str">
        <f t="shared" si="520"/>
        <v>Mar</v>
      </c>
      <c r="P5210" s="921">
        <f t="shared" si="521"/>
        <v>12</v>
      </c>
    </row>
    <row r="5211" spans="1:16" ht="15" hidden="1" customHeight="1">
      <c r="A5211" s="839">
        <v>64365613</v>
      </c>
      <c r="B5211" s="839" t="s">
        <v>139</v>
      </c>
      <c r="C5211" s="906">
        <v>3900</v>
      </c>
      <c r="D5211" s="907">
        <v>46099</v>
      </c>
      <c r="E5211" s="839" t="s">
        <v>617</v>
      </c>
      <c r="F5211" s="839">
        <v>1419</v>
      </c>
      <c r="G5211" s="916">
        <f>VLOOKUP($A5211,'Tech Litons'!$A:$I,8,FALSE)</f>
        <v>2.1540000000000001E-3</v>
      </c>
      <c r="H5211" s="917">
        <f>VLOOKUP($A5211,'Tech Litons'!$A:$I,9,FALSE)</f>
        <v>195</v>
      </c>
      <c r="I5211" s="917" t="str">
        <f>VLOOKUP($A5211,'Tech Litons'!$A:$C,3,0)</f>
        <v>Facepieces</v>
      </c>
      <c r="J5211" s="918" t="str">
        <f t="shared" si="516"/>
        <v>IncomFacepieces</v>
      </c>
      <c r="K5211" s="919">
        <v>1</v>
      </c>
      <c r="L5211" s="920">
        <f t="shared" si="517"/>
        <v>3900</v>
      </c>
      <c r="M5211" s="920">
        <f t="shared" si="518"/>
        <v>8.4006000000000007</v>
      </c>
      <c r="N5211" s="920">
        <f t="shared" si="519"/>
        <v>20</v>
      </c>
      <c r="O5211" s="918" t="str">
        <f t="shared" si="520"/>
        <v>Mar</v>
      </c>
      <c r="P5211" s="921">
        <f t="shared" si="521"/>
        <v>12</v>
      </c>
    </row>
    <row r="5212" spans="1:16" ht="15" hidden="1" customHeight="1">
      <c r="A5212" s="839">
        <v>64979444</v>
      </c>
      <c r="B5212" s="839" t="s">
        <v>139</v>
      </c>
      <c r="C5212" s="906">
        <v>3900</v>
      </c>
      <c r="D5212" s="907">
        <v>46099</v>
      </c>
      <c r="E5212" s="839" t="s">
        <v>622</v>
      </c>
      <c r="F5212" s="839">
        <v>1419</v>
      </c>
      <c r="G5212" s="916">
        <f>VLOOKUP($A5212,'Tech Litons'!$A:$I,8,FALSE)</f>
        <v>2.16E-3</v>
      </c>
      <c r="H5212" s="917">
        <f>VLOOKUP($A5212,'Tech Litons'!$A:$I,9,FALSE)</f>
        <v>195</v>
      </c>
      <c r="I5212" s="917" t="str">
        <f>VLOOKUP($A5212,'Tech Litons'!$A:$C,3,0)</f>
        <v>Facepieces</v>
      </c>
      <c r="J5212" s="918" t="str">
        <f t="shared" si="516"/>
        <v>IncomFacepieces</v>
      </c>
      <c r="K5212" s="919">
        <v>1</v>
      </c>
      <c r="L5212" s="920">
        <f t="shared" si="517"/>
        <v>3900</v>
      </c>
      <c r="M5212" s="920">
        <f t="shared" si="518"/>
        <v>8.4239999999999995</v>
      </c>
      <c r="N5212" s="920">
        <f t="shared" si="519"/>
        <v>20</v>
      </c>
      <c r="O5212" s="918" t="str">
        <f t="shared" si="520"/>
        <v>Mar</v>
      </c>
      <c r="P5212" s="921">
        <f t="shared" si="521"/>
        <v>12</v>
      </c>
    </row>
    <row r="5213" spans="1:16" ht="15" hidden="1" customHeight="1">
      <c r="A5213" s="839">
        <v>64979444</v>
      </c>
      <c r="B5213" s="839" t="s">
        <v>139</v>
      </c>
      <c r="C5213" s="906">
        <v>3900</v>
      </c>
      <c r="D5213" s="907">
        <v>46099</v>
      </c>
      <c r="E5213" s="839" t="s">
        <v>622</v>
      </c>
      <c r="F5213" s="839">
        <v>1419</v>
      </c>
      <c r="G5213" s="916">
        <f>VLOOKUP($A5213,'Tech Litons'!$A:$I,8,FALSE)</f>
        <v>2.16E-3</v>
      </c>
      <c r="H5213" s="917">
        <f>VLOOKUP($A5213,'Tech Litons'!$A:$I,9,FALSE)</f>
        <v>195</v>
      </c>
      <c r="I5213" s="917" t="str">
        <f>VLOOKUP($A5213,'Tech Litons'!$A:$C,3,0)</f>
        <v>Facepieces</v>
      </c>
      <c r="J5213" s="918" t="str">
        <f t="shared" si="516"/>
        <v>IncomFacepieces</v>
      </c>
      <c r="K5213" s="919">
        <v>1</v>
      </c>
      <c r="L5213" s="920">
        <f t="shared" si="517"/>
        <v>3900</v>
      </c>
      <c r="M5213" s="920">
        <f t="shared" si="518"/>
        <v>8.4239999999999995</v>
      </c>
      <c r="N5213" s="920">
        <f t="shared" si="519"/>
        <v>20</v>
      </c>
      <c r="O5213" s="918" t="str">
        <f t="shared" si="520"/>
        <v>Mar</v>
      </c>
      <c r="P5213" s="921">
        <f t="shared" si="521"/>
        <v>12</v>
      </c>
    </row>
    <row r="5214" spans="1:16" ht="15" hidden="1" customHeight="1">
      <c r="A5214" s="839">
        <v>64956417</v>
      </c>
      <c r="B5214" s="839" t="s">
        <v>139</v>
      </c>
      <c r="C5214" s="906">
        <v>2860</v>
      </c>
      <c r="D5214" s="907">
        <v>46100</v>
      </c>
      <c r="E5214" s="839" t="s">
        <v>621</v>
      </c>
      <c r="F5214" s="839">
        <v>1419</v>
      </c>
      <c r="G5214" s="916">
        <f>VLOOKUP($A5214,'Tech Litons'!$A:$I,8,FALSE)</f>
        <v>2.16E-3</v>
      </c>
      <c r="H5214" s="917">
        <f>VLOOKUP($A5214,'Tech Litons'!$A:$I,9,FALSE)</f>
        <v>143</v>
      </c>
      <c r="I5214" s="917" t="str">
        <f>VLOOKUP($A5214,'Tech Litons'!$A:$C,3,0)</f>
        <v>Facepieces</v>
      </c>
      <c r="J5214" s="918" t="str">
        <f t="shared" si="516"/>
        <v>IncomFacepieces</v>
      </c>
      <c r="K5214" s="919">
        <v>1</v>
      </c>
      <c r="L5214" s="920">
        <f t="shared" si="517"/>
        <v>2860</v>
      </c>
      <c r="M5214" s="920">
        <f t="shared" si="518"/>
        <v>6.1776</v>
      </c>
      <c r="N5214" s="920">
        <f t="shared" si="519"/>
        <v>20</v>
      </c>
      <c r="O5214" s="918" t="str">
        <f t="shared" si="520"/>
        <v>Mar</v>
      </c>
      <c r="P5214" s="921">
        <f t="shared" si="521"/>
        <v>12</v>
      </c>
    </row>
    <row r="5215" spans="1:16" ht="15" hidden="1" customHeight="1">
      <c r="A5215" s="839">
        <v>64956417</v>
      </c>
      <c r="B5215" s="839" t="s">
        <v>139</v>
      </c>
      <c r="C5215" s="906">
        <v>2860</v>
      </c>
      <c r="D5215" s="907">
        <v>46100</v>
      </c>
      <c r="E5215" s="839" t="s">
        <v>621</v>
      </c>
      <c r="F5215" s="839">
        <v>1419</v>
      </c>
      <c r="G5215" s="916">
        <f>VLOOKUP($A5215,'Tech Litons'!$A:$I,8,FALSE)</f>
        <v>2.16E-3</v>
      </c>
      <c r="H5215" s="917">
        <f>VLOOKUP($A5215,'Tech Litons'!$A:$I,9,FALSE)</f>
        <v>143</v>
      </c>
      <c r="I5215" s="917" t="str">
        <f>VLOOKUP($A5215,'Tech Litons'!$A:$C,3,0)</f>
        <v>Facepieces</v>
      </c>
      <c r="J5215" s="918" t="str">
        <f t="shared" si="516"/>
        <v>IncomFacepieces</v>
      </c>
      <c r="K5215" s="919">
        <v>1</v>
      </c>
      <c r="L5215" s="920">
        <f t="shared" si="517"/>
        <v>2860</v>
      </c>
      <c r="M5215" s="920">
        <f t="shared" si="518"/>
        <v>6.1776</v>
      </c>
      <c r="N5215" s="920">
        <f t="shared" si="519"/>
        <v>20</v>
      </c>
      <c r="O5215" s="918" t="str">
        <f t="shared" si="520"/>
        <v>Mar</v>
      </c>
      <c r="P5215" s="921">
        <f t="shared" si="521"/>
        <v>12</v>
      </c>
    </row>
    <row r="5216" spans="1:16" ht="15" hidden="1" customHeight="1">
      <c r="A5216" s="839">
        <v>64956417</v>
      </c>
      <c r="B5216" s="839" t="s">
        <v>139</v>
      </c>
      <c r="C5216" s="906">
        <v>2860</v>
      </c>
      <c r="D5216" s="907">
        <v>46100</v>
      </c>
      <c r="E5216" s="839" t="s">
        <v>621</v>
      </c>
      <c r="F5216" s="839">
        <v>1419</v>
      </c>
      <c r="G5216" s="916">
        <f>VLOOKUP($A5216,'Tech Litons'!$A:$I,8,FALSE)</f>
        <v>2.16E-3</v>
      </c>
      <c r="H5216" s="917">
        <f>VLOOKUP($A5216,'Tech Litons'!$A:$I,9,FALSE)</f>
        <v>143</v>
      </c>
      <c r="I5216" s="917" t="str">
        <f>VLOOKUP($A5216,'Tech Litons'!$A:$C,3,0)</f>
        <v>Facepieces</v>
      </c>
      <c r="J5216" s="918" t="str">
        <f t="shared" si="516"/>
        <v>IncomFacepieces</v>
      </c>
      <c r="K5216" s="919">
        <v>1</v>
      </c>
      <c r="L5216" s="920">
        <f t="shared" si="517"/>
        <v>2860</v>
      </c>
      <c r="M5216" s="920">
        <f t="shared" si="518"/>
        <v>6.1776</v>
      </c>
      <c r="N5216" s="920">
        <f t="shared" si="519"/>
        <v>20</v>
      </c>
      <c r="O5216" s="918" t="str">
        <f t="shared" si="520"/>
        <v>Mar</v>
      </c>
      <c r="P5216" s="921">
        <f t="shared" si="521"/>
        <v>12</v>
      </c>
    </row>
    <row r="5217" spans="1:16" ht="15" hidden="1" customHeight="1">
      <c r="A5217" s="839">
        <v>64979444</v>
      </c>
      <c r="B5217" s="839" t="s">
        <v>139</v>
      </c>
      <c r="C5217" s="906">
        <v>3900</v>
      </c>
      <c r="D5217" s="907">
        <v>46100</v>
      </c>
      <c r="E5217" s="839" t="s">
        <v>622</v>
      </c>
      <c r="F5217" s="839">
        <v>1419</v>
      </c>
      <c r="G5217" s="916">
        <f>VLOOKUP($A5217,'Tech Litons'!$A:$I,8,FALSE)</f>
        <v>2.16E-3</v>
      </c>
      <c r="H5217" s="917">
        <f>VLOOKUP($A5217,'Tech Litons'!$A:$I,9,FALSE)</f>
        <v>195</v>
      </c>
      <c r="I5217" s="917" t="str">
        <f>VLOOKUP($A5217,'Tech Litons'!$A:$C,3,0)</f>
        <v>Facepieces</v>
      </c>
      <c r="J5217" s="918" t="str">
        <f t="shared" si="516"/>
        <v>IncomFacepieces</v>
      </c>
      <c r="K5217" s="919">
        <v>1</v>
      </c>
      <c r="L5217" s="920">
        <f t="shared" si="517"/>
        <v>3900</v>
      </c>
      <c r="M5217" s="920">
        <f t="shared" si="518"/>
        <v>8.4239999999999995</v>
      </c>
      <c r="N5217" s="920">
        <f t="shared" si="519"/>
        <v>20</v>
      </c>
      <c r="O5217" s="918" t="str">
        <f t="shared" si="520"/>
        <v>Mar</v>
      </c>
      <c r="P5217" s="921">
        <f t="shared" si="521"/>
        <v>12</v>
      </c>
    </row>
    <row r="5218" spans="1:16" ht="15" hidden="1" customHeight="1">
      <c r="A5218" s="839">
        <v>64979444</v>
      </c>
      <c r="B5218" s="839" t="s">
        <v>139</v>
      </c>
      <c r="C5218" s="906">
        <v>3900</v>
      </c>
      <c r="D5218" s="907">
        <v>46100</v>
      </c>
      <c r="E5218" s="839" t="s">
        <v>622</v>
      </c>
      <c r="F5218" s="839">
        <v>3989</v>
      </c>
      <c r="G5218" s="916">
        <f>VLOOKUP($A5218,'Tech Litons'!$A:$I,8,FALSE)</f>
        <v>2.16E-3</v>
      </c>
      <c r="H5218" s="917">
        <f>VLOOKUP($A5218,'Tech Litons'!$A:$I,9,FALSE)</f>
        <v>195</v>
      </c>
      <c r="I5218" s="917" t="str">
        <f>VLOOKUP($A5218,'Tech Litons'!$A:$C,3,0)</f>
        <v>Facepieces</v>
      </c>
      <c r="J5218" s="918" t="str">
        <f t="shared" si="516"/>
        <v>IncomFacepieces</v>
      </c>
      <c r="K5218" s="919">
        <v>1</v>
      </c>
      <c r="L5218" s="920">
        <f t="shared" si="517"/>
        <v>3900</v>
      </c>
      <c r="M5218" s="920">
        <f t="shared" si="518"/>
        <v>8.4239999999999995</v>
      </c>
      <c r="N5218" s="920">
        <f t="shared" si="519"/>
        <v>20</v>
      </c>
      <c r="O5218" s="918" t="str">
        <f t="shared" si="520"/>
        <v>Mar</v>
      </c>
      <c r="P5218" s="921">
        <f t="shared" si="521"/>
        <v>12</v>
      </c>
    </row>
    <row r="5219" spans="1:16" ht="15" hidden="1" customHeight="1">
      <c r="A5219" s="839">
        <v>64979444</v>
      </c>
      <c r="B5219" s="839" t="s">
        <v>139</v>
      </c>
      <c r="C5219" s="906">
        <v>3900</v>
      </c>
      <c r="D5219" s="907">
        <v>46101</v>
      </c>
      <c r="E5219" s="839" t="s">
        <v>622</v>
      </c>
      <c r="F5219" s="839">
        <v>3989</v>
      </c>
      <c r="G5219" s="916">
        <f>VLOOKUP($A5219,'Tech Litons'!$A:$I,8,FALSE)</f>
        <v>2.16E-3</v>
      </c>
      <c r="H5219" s="917">
        <f>VLOOKUP($A5219,'Tech Litons'!$A:$I,9,FALSE)</f>
        <v>195</v>
      </c>
      <c r="I5219" s="917" t="str">
        <f>VLOOKUP($A5219,'Tech Litons'!$A:$C,3,0)</f>
        <v>Facepieces</v>
      </c>
      <c r="J5219" s="918" t="str">
        <f t="shared" si="516"/>
        <v>IncomFacepieces</v>
      </c>
      <c r="K5219" s="919">
        <v>1</v>
      </c>
      <c r="L5219" s="920">
        <f t="shared" si="517"/>
        <v>3900</v>
      </c>
      <c r="M5219" s="920">
        <f t="shared" si="518"/>
        <v>8.4239999999999995</v>
      </c>
      <c r="N5219" s="920">
        <f t="shared" si="519"/>
        <v>20</v>
      </c>
      <c r="O5219" s="918" t="str">
        <f t="shared" si="520"/>
        <v>Mar</v>
      </c>
      <c r="P5219" s="921">
        <f t="shared" si="521"/>
        <v>12</v>
      </c>
    </row>
    <row r="5220" spans="1:16" ht="15" hidden="1" customHeight="1">
      <c r="A5220" s="839">
        <v>64979444</v>
      </c>
      <c r="B5220" s="839" t="s">
        <v>139</v>
      </c>
      <c r="C5220" s="906">
        <v>3900</v>
      </c>
      <c r="D5220" s="907">
        <v>46104</v>
      </c>
      <c r="E5220" s="839" t="s">
        <v>622</v>
      </c>
      <c r="F5220" s="839">
        <v>3989</v>
      </c>
      <c r="G5220" s="916">
        <f>VLOOKUP($A5220,'Tech Litons'!$A:$I,8,FALSE)</f>
        <v>2.16E-3</v>
      </c>
      <c r="H5220" s="917">
        <f>VLOOKUP($A5220,'Tech Litons'!$A:$I,9,FALSE)</f>
        <v>195</v>
      </c>
      <c r="I5220" s="917" t="str">
        <f>VLOOKUP($A5220,'Tech Litons'!$A:$C,3,0)</f>
        <v>Facepieces</v>
      </c>
      <c r="J5220" s="918" t="str">
        <f t="shared" si="516"/>
        <v>IncomFacepieces</v>
      </c>
      <c r="K5220" s="919">
        <v>1</v>
      </c>
      <c r="L5220" s="920">
        <f t="shared" si="517"/>
        <v>3900</v>
      </c>
      <c r="M5220" s="920">
        <f t="shared" si="518"/>
        <v>8.4239999999999995</v>
      </c>
      <c r="N5220" s="920">
        <f t="shared" si="519"/>
        <v>20</v>
      </c>
      <c r="O5220" s="918" t="str">
        <f t="shared" si="520"/>
        <v>Mar</v>
      </c>
      <c r="P5220" s="921">
        <f t="shared" si="521"/>
        <v>13</v>
      </c>
    </row>
    <row r="5221" spans="1:16" ht="15" hidden="1" customHeight="1">
      <c r="A5221" s="839">
        <v>64979444</v>
      </c>
      <c r="B5221" s="839" t="s">
        <v>139</v>
      </c>
      <c r="C5221" s="906">
        <v>3900</v>
      </c>
      <c r="D5221" s="907">
        <v>46104</v>
      </c>
      <c r="E5221" s="839" t="s">
        <v>622</v>
      </c>
      <c r="F5221" s="839">
        <v>3989</v>
      </c>
      <c r="G5221" s="916">
        <f>VLOOKUP($A5221,'Tech Litons'!$A:$I,8,FALSE)</f>
        <v>2.16E-3</v>
      </c>
      <c r="H5221" s="917">
        <f>VLOOKUP($A5221,'Tech Litons'!$A:$I,9,FALSE)</f>
        <v>195</v>
      </c>
      <c r="I5221" s="917" t="str">
        <f>VLOOKUP($A5221,'Tech Litons'!$A:$C,3,0)</f>
        <v>Facepieces</v>
      </c>
      <c r="J5221" s="918" t="str">
        <f t="shared" si="516"/>
        <v>IncomFacepieces</v>
      </c>
      <c r="K5221" s="919">
        <v>1</v>
      </c>
      <c r="L5221" s="920">
        <f t="shared" si="517"/>
        <v>3900</v>
      </c>
      <c r="M5221" s="920">
        <f t="shared" si="518"/>
        <v>8.4239999999999995</v>
      </c>
      <c r="N5221" s="920">
        <f t="shared" si="519"/>
        <v>20</v>
      </c>
      <c r="O5221" s="918" t="str">
        <f t="shared" si="520"/>
        <v>Mar</v>
      </c>
      <c r="P5221" s="921">
        <f t="shared" si="521"/>
        <v>13</v>
      </c>
    </row>
    <row r="5222" spans="1:16" ht="15" hidden="1" customHeight="1">
      <c r="A5222" s="839">
        <v>64979444</v>
      </c>
      <c r="B5222" s="839" t="s">
        <v>139</v>
      </c>
      <c r="C5222" s="906">
        <v>3900</v>
      </c>
      <c r="D5222" s="907">
        <v>46104</v>
      </c>
      <c r="E5222" s="839" t="s">
        <v>622</v>
      </c>
      <c r="F5222" s="839">
        <v>3989</v>
      </c>
      <c r="G5222" s="916">
        <f>VLOOKUP($A5222,'Tech Litons'!$A:$I,8,FALSE)</f>
        <v>2.16E-3</v>
      </c>
      <c r="H5222" s="917">
        <f>VLOOKUP($A5222,'Tech Litons'!$A:$I,9,FALSE)</f>
        <v>195</v>
      </c>
      <c r="I5222" s="917" t="str">
        <f>VLOOKUP($A5222,'Tech Litons'!$A:$C,3,0)</f>
        <v>Facepieces</v>
      </c>
      <c r="J5222" s="918" t="str">
        <f t="shared" si="516"/>
        <v>IncomFacepieces</v>
      </c>
      <c r="K5222" s="919">
        <v>1</v>
      </c>
      <c r="L5222" s="920">
        <f t="shared" si="517"/>
        <v>3900</v>
      </c>
      <c r="M5222" s="920">
        <f t="shared" si="518"/>
        <v>8.4239999999999995</v>
      </c>
      <c r="N5222" s="920">
        <f t="shared" si="519"/>
        <v>20</v>
      </c>
      <c r="O5222" s="918" t="str">
        <f t="shared" si="520"/>
        <v>Mar</v>
      </c>
      <c r="P5222" s="921">
        <f t="shared" si="521"/>
        <v>13</v>
      </c>
    </row>
    <row r="5223" spans="1:16" ht="15" hidden="1" customHeight="1">
      <c r="A5223" s="839">
        <v>64979444</v>
      </c>
      <c r="B5223" s="839" t="s">
        <v>139</v>
      </c>
      <c r="C5223" s="906">
        <v>3900</v>
      </c>
      <c r="D5223" s="907">
        <v>46104</v>
      </c>
      <c r="E5223" s="839" t="s">
        <v>622</v>
      </c>
      <c r="F5223" s="839">
        <v>3989</v>
      </c>
      <c r="G5223" s="916">
        <f>VLOOKUP($A5223,'Tech Litons'!$A:$I,8,FALSE)</f>
        <v>2.16E-3</v>
      </c>
      <c r="H5223" s="917">
        <f>VLOOKUP($A5223,'Tech Litons'!$A:$I,9,FALSE)</f>
        <v>195</v>
      </c>
      <c r="I5223" s="917" t="str">
        <f>VLOOKUP($A5223,'Tech Litons'!$A:$C,3,0)</f>
        <v>Facepieces</v>
      </c>
      <c r="J5223" s="918" t="str">
        <f t="shared" si="516"/>
        <v>IncomFacepieces</v>
      </c>
      <c r="K5223" s="919">
        <v>1</v>
      </c>
      <c r="L5223" s="920">
        <f t="shared" si="517"/>
        <v>3900</v>
      </c>
      <c r="M5223" s="920">
        <f t="shared" si="518"/>
        <v>8.4239999999999995</v>
      </c>
      <c r="N5223" s="920">
        <f t="shared" si="519"/>
        <v>20</v>
      </c>
      <c r="O5223" s="918" t="str">
        <f t="shared" si="520"/>
        <v>Mar</v>
      </c>
      <c r="P5223" s="921">
        <f t="shared" si="521"/>
        <v>13</v>
      </c>
    </row>
    <row r="5224" spans="1:16" ht="15" hidden="1" customHeight="1">
      <c r="A5224" s="839">
        <v>64341109</v>
      </c>
      <c r="B5224" s="839" t="s">
        <v>139</v>
      </c>
      <c r="C5224" s="906">
        <v>4200</v>
      </c>
      <c r="D5224" s="907">
        <v>46104</v>
      </c>
      <c r="E5224" s="839" t="s">
        <v>616</v>
      </c>
      <c r="F5224" s="839">
        <v>3989</v>
      </c>
      <c r="G5224" s="916">
        <f>VLOOKUP($A5224,'Tech Litons'!$A:$I,8,FALSE)</f>
        <v>2E-3</v>
      </c>
      <c r="H5224" s="917">
        <f>VLOOKUP($A5224,'Tech Litons'!$A:$I,9,FALSE)</f>
        <v>210</v>
      </c>
      <c r="I5224" s="917" t="str">
        <f>VLOOKUP($A5224,'Tech Litons'!$A:$C,3,0)</f>
        <v>Facepieces</v>
      </c>
      <c r="J5224" s="918" t="str">
        <f t="shared" si="516"/>
        <v>IncomFacepieces</v>
      </c>
      <c r="K5224" s="919">
        <v>1</v>
      </c>
      <c r="L5224" s="920">
        <f t="shared" si="517"/>
        <v>4200</v>
      </c>
      <c r="M5224" s="920">
        <f t="shared" si="518"/>
        <v>8.4</v>
      </c>
      <c r="N5224" s="920">
        <f t="shared" si="519"/>
        <v>20</v>
      </c>
      <c r="O5224" s="918" t="str">
        <f t="shared" si="520"/>
        <v>Mar</v>
      </c>
      <c r="P5224" s="921">
        <f t="shared" si="521"/>
        <v>13</v>
      </c>
    </row>
    <row r="5225" spans="1:16" ht="15" hidden="1" customHeight="1">
      <c r="A5225" s="839">
        <v>64341109</v>
      </c>
      <c r="B5225" s="839" t="s">
        <v>139</v>
      </c>
      <c r="C5225" s="906">
        <v>4200</v>
      </c>
      <c r="D5225" s="907">
        <v>46104</v>
      </c>
      <c r="E5225" s="839" t="s">
        <v>616</v>
      </c>
      <c r="F5225" s="839">
        <v>3989</v>
      </c>
      <c r="G5225" s="916">
        <f>VLOOKUP($A5225,'Tech Litons'!$A:$I,8,FALSE)</f>
        <v>2E-3</v>
      </c>
      <c r="H5225" s="917">
        <f>VLOOKUP($A5225,'Tech Litons'!$A:$I,9,FALSE)</f>
        <v>210</v>
      </c>
      <c r="I5225" s="917" t="str">
        <f>VLOOKUP($A5225,'Tech Litons'!$A:$C,3,0)</f>
        <v>Facepieces</v>
      </c>
      <c r="J5225" s="918" t="str">
        <f t="shared" si="516"/>
        <v>IncomFacepieces</v>
      </c>
      <c r="K5225" s="919">
        <v>1</v>
      </c>
      <c r="L5225" s="920">
        <f t="shared" si="517"/>
        <v>4200</v>
      </c>
      <c r="M5225" s="920">
        <f t="shared" si="518"/>
        <v>8.4</v>
      </c>
      <c r="N5225" s="920">
        <f t="shared" si="519"/>
        <v>20</v>
      </c>
      <c r="O5225" s="918" t="str">
        <f t="shared" si="520"/>
        <v>Mar</v>
      </c>
      <c r="P5225" s="921">
        <f t="shared" si="521"/>
        <v>13</v>
      </c>
    </row>
    <row r="5226" spans="1:16" ht="15" hidden="1" customHeight="1">
      <c r="A5226" s="839">
        <v>64956417</v>
      </c>
      <c r="B5226" s="839" t="s">
        <v>139</v>
      </c>
      <c r="C5226" s="906">
        <v>2860</v>
      </c>
      <c r="D5226" s="907">
        <v>46105</v>
      </c>
      <c r="E5226" s="839" t="s">
        <v>621</v>
      </c>
      <c r="F5226" s="839">
        <v>1419</v>
      </c>
      <c r="G5226" s="916">
        <f>VLOOKUP($A5226,'Tech Litons'!$A:$I,8,FALSE)</f>
        <v>2.16E-3</v>
      </c>
      <c r="H5226" s="917">
        <f>VLOOKUP($A5226,'Tech Litons'!$A:$I,9,FALSE)</f>
        <v>143</v>
      </c>
      <c r="I5226" s="917" t="str">
        <f>VLOOKUP($A5226,'Tech Litons'!$A:$C,3,0)</f>
        <v>Facepieces</v>
      </c>
      <c r="J5226" s="918" t="str">
        <f t="shared" si="516"/>
        <v>IncomFacepieces</v>
      </c>
      <c r="K5226" s="919">
        <v>1</v>
      </c>
      <c r="L5226" s="920">
        <f t="shared" si="517"/>
        <v>2860</v>
      </c>
      <c r="M5226" s="920">
        <f t="shared" si="518"/>
        <v>6.1776</v>
      </c>
      <c r="N5226" s="920">
        <f t="shared" si="519"/>
        <v>20</v>
      </c>
      <c r="O5226" s="918" t="str">
        <f t="shared" si="520"/>
        <v>Mar</v>
      </c>
      <c r="P5226" s="921">
        <f t="shared" si="521"/>
        <v>13</v>
      </c>
    </row>
    <row r="5227" spans="1:16" ht="15" hidden="1" customHeight="1">
      <c r="A5227" s="839">
        <v>64956417</v>
      </c>
      <c r="B5227" s="839" t="s">
        <v>139</v>
      </c>
      <c r="C5227" s="906">
        <v>2860</v>
      </c>
      <c r="D5227" s="907">
        <v>46105</v>
      </c>
      <c r="E5227" s="839" t="s">
        <v>621</v>
      </c>
      <c r="F5227" s="839">
        <v>3989</v>
      </c>
      <c r="G5227" s="916">
        <f>VLOOKUP($A5227,'Tech Litons'!$A:$I,8,FALSE)</f>
        <v>2.16E-3</v>
      </c>
      <c r="H5227" s="917">
        <f>VLOOKUP($A5227,'Tech Litons'!$A:$I,9,FALSE)</f>
        <v>143</v>
      </c>
      <c r="I5227" s="917" t="str">
        <f>VLOOKUP($A5227,'Tech Litons'!$A:$C,3,0)</f>
        <v>Facepieces</v>
      </c>
      <c r="J5227" s="918" t="str">
        <f t="shared" si="516"/>
        <v>IncomFacepieces</v>
      </c>
      <c r="K5227" s="919">
        <v>1</v>
      </c>
      <c r="L5227" s="920">
        <f t="shared" si="517"/>
        <v>2860</v>
      </c>
      <c r="M5227" s="920">
        <f t="shared" si="518"/>
        <v>6.1776</v>
      </c>
      <c r="N5227" s="920">
        <f t="shared" si="519"/>
        <v>20</v>
      </c>
      <c r="O5227" s="918" t="str">
        <f t="shared" si="520"/>
        <v>Mar</v>
      </c>
      <c r="P5227" s="921">
        <f t="shared" si="521"/>
        <v>13</v>
      </c>
    </row>
    <row r="5228" spans="1:16" ht="15" hidden="1" customHeight="1">
      <c r="A5228" s="839">
        <v>64875812</v>
      </c>
      <c r="B5228" s="839">
        <v>6757</v>
      </c>
      <c r="C5228" s="906">
        <v>13540</v>
      </c>
      <c r="D5228" s="907">
        <v>46078</v>
      </c>
      <c r="E5228" s="839" t="s">
        <v>347</v>
      </c>
      <c r="F5228" s="839">
        <v>6757</v>
      </c>
      <c r="G5228" s="916">
        <f>VLOOKUP($A5228,'Tech Litons'!$A:$I,8,FALSE)</f>
        <v>6.0000000000000001E-3</v>
      </c>
      <c r="H5228" s="917">
        <f>VLOOKUP($A5228,'Tech Litons'!$A:$I,9,FALSE)</f>
        <v>108</v>
      </c>
      <c r="I5228" s="917" t="str">
        <f>VLOOKUP($A5228,'Tech Litons'!$A:$C,3,0)</f>
        <v>ESS</v>
      </c>
      <c r="J5228" s="918" t="str">
        <f t="shared" si="516"/>
        <v>6757ESS</v>
      </c>
      <c r="K5228" s="919">
        <v>1</v>
      </c>
      <c r="L5228" s="920">
        <f t="shared" si="517"/>
        <v>13540</v>
      </c>
      <c r="M5228" s="920">
        <f t="shared" si="518"/>
        <v>81.239999999999995</v>
      </c>
      <c r="N5228" s="920">
        <f t="shared" si="519"/>
        <v>125.37037037037037</v>
      </c>
      <c r="O5228" s="918" t="str">
        <f t="shared" si="520"/>
        <v>Feb</v>
      </c>
      <c r="P5228" s="921">
        <f t="shared" si="521"/>
        <v>9</v>
      </c>
    </row>
    <row r="5229" spans="1:16" ht="15" hidden="1" customHeight="1">
      <c r="A5229" s="839">
        <v>64875812</v>
      </c>
      <c r="B5229" s="839">
        <v>6757</v>
      </c>
      <c r="C5229" s="906">
        <v>11411</v>
      </c>
      <c r="D5229" s="907">
        <v>46085</v>
      </c>
      <c r="E5229" s="839" t="s">
        <v>347</v>
      </c>
      <c r="F5229" s="839">
        <v>6757</v>
      </c>
      <c r="G5229" s="916">
        <f>VLOOKUP($A5229,'Tech Litons'!$A:$I,8,FALSE)</f>
        <v>6.0000000000000001E-3</v>
      </c>
      <c r="H5229" s="917">
        <f>VLOOKUP($A5229,'Tech Litons'!$A:$I,9,FALSE)</f>
        <v>108</v>
      </c>
      <c r="I5229" s="917" t="str">
        <f>VLOOKUP($A5229,'Tech Litons'!$A:$C,3,0)</f>
        <v>ESS</v>
      </c>
      <c r="J5229" s="918" t="str">
        <f t="shared" si="516"/>
        <v>6757ESS</v>
      </c>
      <c r="K5229" s="919">
        <v>1</v>
      </c>
      <c r="L5229" s="920">
        <f t="shared" si="517"/>
        <v>11411</v>
      </c>
      <c r="M5229" s="920">
        <f t="shared" si="518"/>
        <v>68.466000000000008</v>
      </c>
      <c r="N5229" s="920">
        <f t="shared" si="519"/>
        <v>105.6574074074074</v>
      </c>
      <c r="O5229" s="918" t="str">
        <f t="shared" si="520"/>
        <v>Mar</v>
      </c>
      <c r="P5229" s="921">
        <f t="shared" si="521"/>
        <v>10</v>
      </c>
    </row>
    <row r="5230" spans="1:16" ht="15" hidden="1" customHeight="1">
      <c r="A5230" s="839">
        <v>64875812</v>
      </c>
      <c r="B5230" s="839">
        <v>6757</v>
      </c>
      <c r="C5230" s="906">
        <v>12922</v>
      </c>
      <c r="D5230" s="907">
        <v>46090</v>
      </c>
      <c r="E5230" s="839" t="s">
        <v>347</v>
      </c>
      <c r="F5230" s="839">
        <v>6757</v>
      </c>
      <c r="G5230" s="916">
        <f>VLOOKUP($A5230,'Tech Litons'!$A:$I,8,FALSE)</f>
        <v>6.0000000000000001E-3</v>
      </c>
      <c r="H5230" s="917">
        <f>VLOOKUP($A5230,'Tech Litons'!$A:$I,9,FALSE)</f>
        <v>108</v>
      </c>
      <c r="I5230" s="917" t="str">
        <f>VLOOKUP($A5230,'Tech Litons'!$A:$C,3,0)</f>
        <v>ESS</v>
      </c>
      <c r="J5230" s="918" t="str">
        <f t="shared" ref="J5230:J5289" si="522">B5230&amp;I5230</f>
        <v>6757ESS</v>
      </c>
      <c r="K5230" s="919">
        <v>1</v>
      </c>
      <c r="L5230" s="920">
        <f t="shared" ref="L5230:L5289" si="523">C5230*$K5230</f>
        <v>12922</v>
      </c>
      <c r="M5230" s="920">
        <f t="shared" ref="M5230:M5289" si="524">L5230*G5230</f>
        <v>77.531999999999996</v>
      </c>
      <c r="N5230" s="920">
        <f t="shared" ref="N5230:N5289" si="525">L5230/H5230</f>
        <v>119.64814814814815</v>
      </c>
      <c r="O5230" s="918" t="str">
        <f t="shared" ref="O5230:O5289" si="526">TEXT(D5230,"MMM")</f>
        <v>Mar</v>
      </c>
      <c r="P5230" s="921">
        <f t="shared" ref="P5230:P5289" si="527">WEEKNUM(D5230)</f>
        <v>11</v>
      </c>
    </row>
    <row r="5231" spans="1:16" ht="15" hidden="1" customHeight="1">
      <c r="A5231" s="839">
        <v>64957257</v>
      </c>
      <c r="B5231" s="839">
        <v>6757</v>
      </c>
      <c r="C5231" s="906">
        <v>34332</v>
      </c>
      <c r="D5231" s="907">
        <v>46092</v>
      </c>
      <c r="E5231" s="839" t="s">
        <v>609</v>
      </c>
      <c r="F5231" s="839">
        <v>6757</v>
      </c>
      <c r="G5231" s="916">
        <f>VLOOKUP($A5231,'Tech Litons'!$A:$I,8,FALSE)</f>
        <v>2.4880000000000002E-3</v>
      </c>
      <c r="H5231" s="917">
        <f>VLOOKUP($A5231,'Tech Litons'!$A:$I,9,FALSE)</f>
        <v>180</v>
      </c>
      <c r="I5231" s="917" t="str">
        <f>VLOOKUP($A5231,'Tech Litons'!$A:$C,3,0)</f>
        <v>Yasso Sandwich</v>
      </c>
      <c r="J5231" s="918" t="str">
        <f t="shared" si="522"/>
        <v>6757Yasso Sandwich</v>
      </c>
      <c r="K5231" s="919">
        <v>1</v>
      </c>
      <c r="L5231" s="920">
        <f t="shared" si="523"/>
        <v>34332</v>
      </c>
      <c r="M5231" s="920">
        <f t="shared" si="524"/>
        <v>85.418016000000009</v>
      </c>
      <c r="N5231" s="920">
        <f t="shared" si="525"/>
        <v>190.73333333333332</v>
      </c>
      <c r="O5231" s="918" t="str">
        <f t="shared" si="526"/>
        <v>Mar</v>
      </c>
      <c r="P5231" s="921">
        <f t="shared" si="527"/>
        <v>11</v>
      </c>
    </row>
    <row r="5232" spans="1:16" ht="15" hidden="1" customHeight="1">
      <c r="A5232" s="839">
        <v>64875812</v>
      </c>
      <c r="B5232" s="839">
        <v>6757</v>
      </c>
      <c r="C5232" s="906">
        <v>12174</v>
      </c>
      <c r="D5232" s="907">
        <v>46098</v>
      </c>
      <c r="E5232" s="839" t="s">
        <v>347</v>
      </c>
      <c r="F5232" s="839">
        <v>6757</v>
      </c>
      <c r="G5232" s="916">
        <f>VLOOKUP($A5232,'Tech Litons'!$A:$I,8,FALSE)</f>
        <v>6.0000000000000001E-3</v>
      </c>
      <c r="H5232" s="917">
        <f>VLOOKUP($A5232,'Tech Litons'!$A:$I,9,FALSE)</f>
        <v>108</v>
      </c>
      <c r="I5232" s="917" t="str">
        <f>VLOOKUP($A5232,'Tech Litons'!$A:$C,3,0)</f>
        <v>ESS</v>
      </c>
      <c r="J5232" s="918" t="str">
        <f t="shared" si="522"/>
        <v>6757ESS</v>
      </c>
      <c r="K5232" s="919">
        <v>1</v>
      </c>
      <c r="L5232" s="920">
        <f t="shared" si="523"/>
        <v>12174</v>
      </c>
      <c r="M5232" s="920">
        <f t="shared" si="524"/>
        <v>73.043999999999997</v>
      </c>
      <c r="N5232" s="920">
        <f t="shared" si="525"/>
        <v>112.72222222222223</v>
      </c>
      <c r="O5232" s="918" t="str">
        <f t="shared" si="526"/>
        <v>Mar</v>
      </c>
      <c r="P5232" s="921">
        <f t="shared" si="527"/>
        <v>12</v>
      </c>
    </row>
    <row r="5233" spans="1:16" ht="15" hidden="1" customHeight="1">
      <c r="A5233" s="839">
        <v>64875812</v>
      </c>
      <c r="B5233" s="839">
        <v>6757</v>
      </c>
      <c r="C5233" s="906">
        <v>8028</v>
      </c>
      <c r="D5233" s="907">
        <v>46101</v>
      </c>
      <c r="E5233" s="839" t="s">
        <v>347</v>
      </c>
      <c r="F5233" s="839">
        <v>6757</v>
      </c>
      <c r="G5233" s="916">
        <f>VLOOKUP($A5233,'Tech Litons'!$A:$I,8,FALSE)</f>
        <v>6.0000000000000001E-3</v>
      </c>
      <c r="H5233" s="917">
        <f>VLOOKUP($A5233,'Tech Litons'!$A:$I,9,FALSE)</f>
        <v>108</v>
      </c>
      <c r="I5233" s="917" t="str">
        <f>VLOOKUP($A5233,'Tech Litons'!$A:$C,3,0)</f>
        <v>ESS</v>
      </c>
      <c r="J5233" s="918" t="str">
        <f t="shared" si="522"/>
        <v>6757ESS</v>
      </c>
      <c r="K5233" s="919">
        <v>1</v>
      </c>
      <c r="L5233" s="920">
        <f t="shared" si="523"/>
        <v>8028</v>
      </c>
      <c r="M5233" s="920">
        <f t="shared" si="524"/>
        <v>48.167999999999999</v>
      </c>
      <c r="N5233" s="920">
        <f t="shared" si="525"/>
        <v>74.333333333333329</v>
      </c>
      <c r="O5233" s="918" t="str">
        <f t="shared" si="526"/>
        <v>Mar</v>
      </c>
      <c r="P5233" s="921">
        <f t="shared" si="527"/>
        <v>12</v>
      </c>
    </row>
    <row r="5234" spans="1:16" ht="15" hidden="1" customHeight="1">
      <c r="A5234" s="839">
        <v>68654218</v>
      </c>
      <c r="B5234" s="839" t="s">
        <v>118</v>
      </c>
      <c r="C5234" s="906">
        <v>2048</v>
      </c>
      <c r="D5234" s="907">
        <v>46080</v>
      </c>
      <c r="E5234" s="839" t="s">
        <v>897</v>
      </c>
      <c r="F5234" s="839">
        <v>1419</v>
      </c>
      <c r="G5234" s="916">
        <f>VLOOKUP($A5234,'Tech Litons'!$A:$I,8,FALSE)</f>
        <v>1.892672E-3</v>
      </c>
      <c r="H5234" s="917">
        <f>VLOOKUP($A5234,'Tech Litons'!$A:$I,9,FALSE)</f>
        <v>256</v>
      </c>
      <c r="I5234" s="917" t="str">
        <f>VLOOKUP($A5234,'Tech Litons'!$A:$C,3,0)</f>
        <v>Dough Bites</v>
      </c>
      <c r="J5234" s="918" t="str">
        <f t="shared" si="522"/>
        <v>RhinoDough Bites</v>
      </c>
      <c r="K5234" s="919">
        <v>1</v>
      </c>
      <c r="L5234" s="920">
        <f t="shared" si="523"/>
        <v>2048</v>
      </c>
      <c r="M5234" s="920">
        <f t="shared" si="524"/>
        <v>3.8761922559999999</v>
      </c>
      <c r="N5234" s="920">
        <f t="shared" si="525"/>
        <v>8</v>
      </c>
      <c r="O5234" s="918" t="str">
        <f t="shared" si="526"/>
        <v>Feb</v>
      </c>
      <c r="P5234" s="921">
        <f t="shared" si="527"/>
        <v>9</v>
      </c>
    </row>
    <row r="5235" spans="1:16" ht="15" hidden="1" customHeight="1">
      <c r="A5235" s="839">
        <v>68264519</v>
      </c>
      <c r="B5235" s="839" t="s">
        <v>118</v>
      </c>
      <c r="C5235" s="906">
        <v>3072</v>
      </c>
      <c r="D5235" s="907">
        <v>46080</v>
      </c>
      <c r="E5235" s="839" t="s">
        <v>894</v>
      </c>
      <c r="F5235" s="839">
        <v>1419</v>
      </c>
      <c r="G5235" s="916">
        <f>VLOOKUP($A5235,'Tech Litons'!$A:$I,8,FALSE)</f>
        <v>1.419504E-3</v>
      </c>
      <c r="H5235" s="917">
        <f>VLOOKUP($A5235,'Tech Litons'!$A:$I,9,FALSE)</f>
        <v>256</v>
      </c>
      <c r="I5235" s="917" t="str">
        <f>VLOOKUP($A5235,'Tech Litons'!$A:$C,3,0)</f>
        <v>Dough Bites</v>
      </c>
      <c r="J5235" s="918" t="str">
        <f t="shared" si="522"/>
        <v>RhinoDough Bites</v>
      </c>
      <c r="K5235" s="919">
        <v>1</v>
      </c>
      <c r="L5235" s="920">
        <f t="shared" si="523"/>
        <v>3072</v>
      </c>
      <c r="M5235" s="920">
        <f t="shared" si="524"/>
        <v>4.3607162879999999</v>
      </c>
      <c r="N5235" s="920">
        <f t="shared" si="525"/>
        <v>12</v>
      </c>
      <c r="O5235" s="918" t="str">
        <f t="shared" si="526"/>
        <v>Feb</v>
      </c>
      <c r="P5235" s="921">
        <f t="shared" si="527"/>
        <v>9</v>
      </c>
    </row>
    <row r="5236" spans="1:16" ht="15" hidden="1" customHeight="1">
      <c r="A5236" s="839">
        <v>68654218</v>
      </c>
      <c r="B5236" s="839" t="s">
        <v>118</v>
      </c>
      <c r="C5236" s="906">
        <v>237</v>
      </c>
      <c r="D5236" s="907">
        <v>46091</v>
      </c>
      <c r="E5236" s="839" t="s">
        <v>897</v>
      </c>
      <c r="F5236" s="839">
        <v>1419</v>
      </c>
      <c r="G5236" s="916">
        <f>VLOOKUP($A5236,'Tech Litons'!$A:$I,8,FALSE)</f>
        <v>1.892672E-3</v>
      </c>
      <c r="H5236" s="917">
        <f>VLOOKUP($A5236,'Tech Litons'!$A:$I,9,FALSE)</f>
        <v>256</v>
      </c>
      <c r="I5236" s="917" t="str">
        <f>VLOOKUP($A5236,'Tech Litons'!$A:$C,3,0)</f>
        <v>Dough Bites</v>
      </c>
      <c r="J5236" s="918" t="str">
        <f t="shared" si="522"/>
        <v>RhinoDough Bites</v>
      </c>
      <c r="K5236" s="919">
        <v>1</v>
      </c>
      <c r="L5236" s="920">
        <f t="shared" si="523"/>
        <v>237</v>
      </c>
      <c r="M5236" s="920">
        <f t="shared" si="524"/>
        <v>0.44856326400000002</v>
      </c>
      <c r="N5236" s="920">
        <f t="shared" si="525"/>
        <v>0.92578125</v>
      </c>
      <c r="O5236" s="918" t="str">
        <f t="shared" si="526"/>
        <v>Mar</v>
      </c>
      <c r="P5236" s="921">
        <f t="shared" si="527"/>
        <v>11</v>
      </c>
    </row>
    <row r="5237" spans="1:16" ht="15" hidden="1" customHeight="1">
      <c r="A5237" s="839">
        <v>69665113</v>
      </c>
      <c r="B5237" s="839" t="s">
        <v>118</v>
      </c>
      <c r="C5237" s="906">
        <v>5888</v>
      </c>
      <c r="D5237" s="907">
        <v>46091</v>
      </c>
      <c r="E5237" s="839" t="s">
        <v>896</v>
      </c>
      <c r="F5237" s="839">
        <v>1419</v>
      </c>
      <c r="G5237" s="916">
        <f>VLOOKUP($A5237,'Tech Litons'!$A:$I,8,FALSE)</f>
        <v>1.8160000000000001E-3</v>
      </c>
      <c r="H5237" s="917">
        <f>VLOOKUP($A5237,'Tech Litons'!$A:$I,9,FALSE)</f>
        <v>256</v>
      </c>
      <c r="I5237" s="917" t="str">
        <f>VLOOKUP($A5237,'Tech Litons'!$A:$C,3,0)</f>
        <v>Dough Bites</v>
      </c>
      <c r="J5237" s="918" t="str">
        <f t="shared" si="522"/>
        <v>RhinoDough Bites</v>
      </c>
      <c r="K5237" s="919">
        <v>1</v>
      </c>
      <c r="L5237" s="920">
        <f t="shared" si="523"/>
        <v>5888</v>
      </c>
      <c r="M5237" s="920">
        <f t="shared" si="524"/>
        <v>10.692608</v>
      </c>
      <c r="N5237" s="920">
        <f t="shared" si="525"/>
        <v>23</v>
      </c>
      <c r="O5237" s="918" t="str">
        <f t="shared" si="526"/>
        <v>Mar</v>
      </c>
      <c r="P5237" s="921">
        <f t="shared" si="527"/>
        <v>11</v>
      </c>
    </row>
    <row r="5238" spans="1:16" ht="15" hidden="1" customHeight="1">
      <c r="A5238" s="839">
        <v>68264519</v>
      </c>
      <c r="B5238" s="839" t="s">
        <v>118</v>
      </c>
      <c r="C5238" s="906">
        <v>8704</v>
      </c>
      <c r="D5238" s="907">
        <v>46091</v>
      </c>
      <c r="E5238" s="839" t="s">
        <v>894</v>
      </c>
      <c r="F5238" s="839">
        <v>1419</v>
      </c>
      <c r="G5238" s="916">
        <f>VLOOKUP($A5238,'Tech Litons'!$A:$I,8,FALSE)</f>
        <v>1.419504E-3</v>
      </c>
      <c r="H5238" s="917">
        <f>VLOOKUP($A5238,'Tech Litons'!$A:$I,9,FALSE)</f>
        <v>256</v>
      </c>
      <c r="I5238" s="917" t="str">
        <f>VLOOKUP($A5238,'Tech Litons'!$A:$C,3,0)</f>
        <v>Dough Bites</v>
      </c>
      <c r="J5238" s="918" t="str">
        <f t="shared" si="522"/>
        <v>RhinoDough Bites</v>
      </c>
      <c r="K5238" s="919">
        <v>1</v>
      </c>
      <c r="L5238" s="920">
        <f t="shared" si="523"/>
        <v>8704</v>
      </c>
      <c r="M5238" s="920">
        <f t="shared" si="524"/>
        <v>12.355362816</v>
      </c>
      <c r="N5238" s="920">
        <f t="shared" si="525"/>
        <v>34</v>
      </c>
      <c r="O5238" s="918" t="str">
        <f t="shared" si="526"/>
        <v>Mar</v>
      </c>
      <c r="P5238" s="921">
        <f t="shared" si="527"/>
        <v>11</v>
      </c>
    </row>
    <row r="5239" spans="1:16" ht="15" hidden="1" customHeight="1">
      <c r="A5239" s="839">
        <v>69665113</v>
      </c>
      <c r="B5239" s="839" t="s">
        <v>118</v>
      </c>
      <c r="C5239" s="906">
        <v>2816</v>
      </c>
      <c r="D5239" s="907">
        <v>46094</v>
      </c>
      <c r="E5239" s="839" t="s">
        <v>896</v>
      </c>
      <c r="F5239" s="839">
        <v>1419</v>
      </c>
      <c r="G5239" s="916">
        <f>VLOOKUP($A5239,'Tech Litons'!$A:$I,8,FALSE)</f>
        <v>1.8160000000000001E-3</v>
      </c>
      <c r="H5239" s="917">
        <f>VLOOKUP($A5239,'Tech Litons'!$A:$I,9,FALSE)</f>
        <v>256</v>
      </c>
      <c r="I5239" s="917" t="str">
        <f>VLOOKUP($A5239,'Tech Litons'!$A:$C,3,0)</f>
        <v>Dough Bites</v>
      </c>
      <c r="J5239" s="918" t="str">
        <f t="shared" si="522"/>
        <v>RhinoDough Bites</v>
      </c>
      <c r="K5239" s="919">
        <v>1</v>
      </c>
      <c r="L5239" s="920">
        <f t="shared" si="523"/>
        <v>2816</v>
      </c>
      <c r="M5239" s="920">
        <f t="shared" si="524"/>
        <v>5.1138560000000002</v>
      </c>
      <c r="N5239" s="920">
        <f t="shared" si="525"/>
        <v>11</v>
      </c>
      <c r="O5239" s="918" t="str">
        <f t="shared" si="526"/>
        <v>Mar</v>
      </c>
      <c r="P5239" s="921">
        <f t="shared" si="527"/>
        <v>11</v>
      </c>
    </row>
    <row r="5240" spans="1:16" ht="15" hidden="1" customHeight="1">
      <c r="A5240" s="839">
        <v>68654232</v>
      </c>
      <c r="B5240" s="839" t="s">
        <v>118</v>
      </c>
      <c r="C5240" s="906">
        <v>5888</v>
      </c>
      <c r="D5240" s="907">
        <v>46094</v>
      </c>
      <c r="E5240" s="839" t="s">
        <v>899</v>
      </c>
      <c r="F5240" s="839">
        <v>1419</v>
      </c>
      <c r="G5240" s="916">
        <f>VLOOKUP($A5240,'Tech Litons'!$A:$I,8,FALSE)</f>
        <v>1.8959999999999999E-3</v>
      </c>
      <c r="H5240" s="917">
        <f>VLOOKUP($A5240,'Tech Litons'!$A:$I,9,FALSE)</f>
        <v>256</v>
      </c>
      <c r="I5240" s="917" t="str">
        <f>VLOOKUP($A5240,'Tech Litons'!$A:$C,3,0)</f>
        <v>Dough Bites</v>
      </c>
      <c r="J5240" s="918" t="str">
        <f t="shared" si="522"/>
        <v>RhinoDough Bites</v>
      </c>
      <c r="K5240" s="919">
        <v>1</v>
      </c>
      <c r="L5240" s="920">
        <f t="shared" si="523"/>
        <v>5888</v>
      </c>
      <c r="M5240" s="920">
        <f t="shared" si="524"/>
        <v>11.163648</v>
      </c>
      <c r="N5240" s="920">
        <f t="shared" si="525"/>
        <v>23</v>
      </c>
      <c r="O5240" s="918" t="str">
        <f t="shared" si="526"/>
        <v>Mar</v>
      </c>
      <c r="P5240" s="921">
        <f t="shared" si="527"/>
        <v>11</v>
      </c>
    </row>
    <row r="5241" spans="1:16" ht="15" hidden="1" customHeight="1">
      <c r="A5241" s="839">
        <v>69665113</v>
      </c>
      <c r="B5241" s="839" t="s">
        <v>118</v>
      </c>
      <c r="C5241" s="906">
        <v>3584</v>
      </c>
      <c r="D5241" s="907">
        <v>46100</v>
      </c>
      <c r="E5241" s="839" t="s">
        <v>896</v>
      </c>
      <c r="F5241" s="839">
        <v>1419</v>
      </c>
      <c r="G5241" s="916">
        <f>VLOOKUP($A5241,'Tech Litons'!$A:$I,8,FALSE)</f>
        <v>1.8160000000000001E-3</v>
      </c>
      <c r="H5241" s="917">
        <f>VLOOKUP($A5241,'Tech Litons'!$A:$I,9,FALSE)</f>
        <v>256</v>
      </c>
      <c r="I5241" s="917" t="str">
        <f>VLOOKUP($A5241,'Tech Litons'!$A:$C,3,0)</f>
        <v>Dough Bites</v>
      </c>
      <c r="J5241" s="918" t="str">
        <f t="shared" si="522"/>
        <v>RhinoDough Bites</v>
      </c>
      <c r="K5241" s="919">
        <v>1</v>
      </c>
      <c r="L5241" s="920">
        <f t="shared" si="523"/>
        <v>3584</v>
      </c>
      <c r="M5241" s="920">
        <f t="shared" si="524"/>
        <v>6.5085440000000006</v>
      </c>
      <c r="N5241" s="920">
        <f t="shared" si="525"/>
        <v>14</v>
      </c>
      <c r="O5241" s="918" t="str">
        <f t="shared" si="526"/>
        <v>Mar</v>
      </c>
      <c r="P5241" s="921">
        <f t="shared" si="527"/>
        <v>12</v>
      </c>
    </row>
    <row r="5242" spans="1:16" ht="15" hidden="1" customHeight="1">
      <c r="A5242" s="839">
        <v>64804365</v>
      </c>
      <c r="B5242" s="839">
        <v>1712</v>
      </c>
      <c r="C5242" s="906">
        <v>4702</v>
      </c>
      <c r="D5242" s="907">
        <v>46083</v>
      </c>
      <c r="E5242" s="839" t="s">
        <v>571</v>
      </c>
      <c r="F5242" s="839">
        <v>1712</v>
      </c>
      <c r="G5242" s="916">
        <f>VLOOKUP($A5242,'Tech Litons'!$A:$I,8,FALSE)</f>
        <v>2.8799999999999997E-3</v>
      </c>
      <c r="H5242" s="917">
        <f>VLOOKUP($A5242,'Tech Litons'!$A:$I,9,FALSE)</f>
        <v>180</v>
      </c>
      <c r="I5242" s="917" t="str">
        <f>VLOOKUP($A5242,'Tech Litons'!$A:$C,3,0)</f>
        <v>B&amp;J Cups</v>
      </c>
      <c r="J5242" s="918" t="str">
        <f t="shared" si="522"/>
        <v>1712B&amp;J Cups</v>
      </c>
      <c r="K5242" s="919">
        <v>1</v>
      </c>
      <c r="L5242" s="920">
        <f t="shared" si="523"/>
        <v>4702</v>
      </c>
      <c r="M5242" s="920">
        <f t="shared" si="524"/>
        <v>13.541759999999998</v>
      </c>
      <c r="N5242" s="920">
        <f t="shared" si="525"/>
        <v>26.122222222222224</v>
      </c>
      <c r="O5242" s="918" t="str">
        <f t="shared" si="526"/>
        <v>Mar</v>
      </c>
      <c r="P5242" s="921">
        <f t="shared" si="527"/>
        <v>10</v>
      </c>
    </row>
    <row r="5243" spans="1:16" ht="15" hidden="1" customHeight="1">
      <c r="A5243" s="839">
        <v>64804365</v>
      </c>
      <c r="B5243" s="839">
        <v>1712</v>
      </c>
      <c r="C5243" s="906">
        <v>8010</v>
      </c>
      <c r="D5243" s="907">
        <v>46083</v>
      </c>
      <c r="E5243" s="839" t="s">
        <v>571</v>
      </c>
      <c r="F5243" s="839">
        <v>1712</v>
      </c>
      <c r="G5243" s="916">
        <f>VLOOKUP($A5243,'Tech Litons'!$A:$I,8,FALSE)</f>
        <v>2.8799999999999997E-3</v>
      </c>
      <c r="H5243" s="917">
        <f>VLOOKUP($A5243,'Tech Litons'!$A:$I,9,FALSE)</f>
        <v>180</v>
      </c>
      <c r="I5243" s="917" t="str">
        <f>VLOOKUP($A5243,'Tech Litons'!$A:$C,3,0)</f>
        <v>B&amp;J Cups</v>
      </c>
      <c r="J5243" s="918" t="str">
        <f t="shared" si="522"/>
        <v>1712B&amp;J Cups</v>
      </c>
      <c r="K5243" s="919">
        <v>1</v>
      </c>
      <c r="L5243" s="920">
        <f t="shared" si="523"/>
        <v>8010</v>
      </c>
      <c r="M5243" s="920">
        <f t="shared" si="524"/>
        <v>23.0688</v>
      </c>
      <c r="N5243" s="920">
        <f t="shared" si="525"/>
        <v>44.5</v>
      </c>
      <c r="O5243" s="918" t="str">
        <f t="shared" si="526"/>
        <v>Mar</v>
      </c>
      <c r="P5243" s="921">
        <f t="shared" si="527"/>
        <v>10</v>
      </c>
    </row>
    <row r="5244" spans="1:16" ht="15" hidden="1" customHeight="1">
      <c r="A5244" s="839">
        <v>64413477</v>
      </c>
      <c r="B5244" s="839">
        <v>1712</v>
      </c>
      <c r="C5244" s="906">
        <v>8284</v>
      </c>
      <c r="D5244" s="907">
        <v>46083</v>
      </c>
      <c r="E5244" s="839" t="s">
        <v>568</v>
      </c>
      <c r="F5244" s="839">
        <v>1712</v>
      </c>
      <c r="G5244" s="916">
        <f>VLOOKUP($A5244,'Tech Litons'!$A:$I,8,FALSE)</f>
        <v>1.4159999999999999E-3</v>
      </c>
      <c r="H5244" s="917">
        <f>VLOOKUP($A5244,'Tech Litons'!$A:$I,9,FALSE)</f>
        <v>468</v>
      </c>
      <c r="I5244" s="917" t="str">
        <f>VLOOKUP($A5244,'Tech Litons'!$A:$C,3,0)</f>
        <v>B&amp;J Cups</v>
      </c>
      <c r="J5244" s="918" t="str">
        <f t="shared" si="522"/>
        <v>1712B&amp;J Cups</v>
      </c>
      <c r="K5244" s="919">
        <v>1</v>
      </c>
      <c r="L5244" s="920">
        <f t="shared" si="523"/>
        <v>8284</v>
      </c>
      <c r="M5244" s="920">
        <f t="shared" si="524"/>
        <v>11.730143999999999</v>
      </c>
      <c r="N5244" s="920">
        <f t="shared" si="525"/>
        <v>17.700854700854702</v>
      </c>
      <c r="O5244" s="918" t="str">
        <f t="shared" si="526"/>
        <v>Mar</v>
      </c>
      <c r="P5244" s="921">
        <f t="shared" si="527"/>
        <v>10</v>
      </c>
    </row>
    <row r="5245" spans="1:16" ht="15" hidden="1" customHeight="1">
      <c r="A5245" s="839">
        <v>64977494</v>
      </c>
      <c r="B5245" s="839">
        <v>1712</v>
      </c>
      <c r="C5245" s="906">
        <v>14336</v>
      </c>
      <c r="D5245" s="907">
        <v>46083</v>
      </c>
      <c r="E5245" s="839" t="s">
        <v>574</v>
      </c>
      <c r="F5245" s="839">
        <v>1712</v>
      </c>
      <c r="G5245" s="916">
        <f>VLOOKUP($A5245,'Tech Litons'!$A:$I,8,FALSE)</f>
        <v>2.8399999999999996E-3</v>
      </c>
      <c r="H5245" s="917">
        <f>VLOOKUP($A5245,'Tech Litons'!$A:$I,9,FALSE)</f>
        <v>130</v>
      </c>
      <c r="I5245" s="917" t="str">
        <f>VLOOKUP($A5245,'Tech Litons'!$A:$C,3,0)</f>
        <v>Other</v>
      </c>
      <c r="J5245" s="918" t="str">
        <f t="shared" si="522"/>
        <v>1712Other</v>
      </c>
      <c r="K5245" s="919">
        <v>1</v>
      </c>
      <c r="L5245" s="920">
        <f t="shared" si="523"/>
        <v>14336</v>
      </c>
      <c r="M5245" s="920">
        <f t="shared" si="524"/>
        <v>40.714239999999997</v>
      </c>
      <c r="N5245" s="920">
        <f t="shared" si="525"/>
        <v>110.27692307692308</v>
      </c>
      <c r="O5245" s="918" t="str">
        <f t="shared" si="526"/>
        <v>Mar</v>
      </c>
      <c r="P5245" s="921">
        <f t="shared" si="527"/>
        <v>10</v>
      </c>
    </row>
    <row r="5246" spans="1:16" ht="15" hidden="1" customHeight="1">
      <c r="A5246" s="839">
        <v>64978550</v>
      </c>
      <c r="B5246" s="839">
        <v>1712</v>
      </c>
      <c r="C5246" s="906">
        <v>26489</v>
      </c>
      <c r="D5246" s="907">
        <v>46083</v>
      </c>
      <c r="E5246" s="839" t="s">
        <v>575</v>
      </c>
      <c r="F5246" s="839">
        <v>1712</v>
      </c>
      <c r="G5246" s="916">
        <f>VLOOKUP($A5246,'Tech Litons'!$A:$I,8,FALSE)</f>
        <v>2.8399999999999996E-3</v>
      </c>
      <c r="H5246" s="917">
        <f>VLOOKUP($A5246,'Tech Litons'!$A:$I,9,FALSE)</f>
        <v>130</v>
      </c>
      <c r="I5246" s="917" t="str">
        <f>VLOOKUP($A5246,'Tech Litons'!$A:$C,3,0)</f>
        <v>Other</v>
      </c>
      <c r="J5246" s="918" t="str">
        <f t="shared" si="522"/>
        <v>1712Other</v>
      </c>
      <c r="K5246" s="919">
        <v>1</v>
      </c>
      <c r="L5246" s="920">
        <f t="shared" si="523"/>
        <v>26489</v>
      </c>
      <c r="M5246" s="920">
        <f t="shared" si="524"/>
        <v>75.228759999999994</v>
      </c>
      <c r="N5246" s="920">
        <f t="shared" si="525"/>
        <v>203.76153846153846</v>
      </c>
      <c r="O5246" s="918" t="str">
        <f t="shared" si="526"/>
        <v>Mar</v>
      </c>
      <c r="P5246" s="921">
        <f t="shared" si="527"/>
        <v>10</v>
      </c>
    </row>
    <row r="5247" spans="1:16" ht="15" hidden="1" customHeight="1">
      <c r="A5247" s="839">
        <v>64806251</v>
      </c>
      <c r="B5247" s="839">
        <v>1712</v>
      </c>
      <c r="C5247" s="906">
        <v>6060</v>
      </c>
      <c r="D5247" s="907">
        <v>46084</v>
      </c>
      <c r="E5247" s="839" t="s">
        <v>572</v>
      </c>
      <c r="F5247" s="839">
        <v>1712</v>
      </c>
      <c r="G5247" s="916">
        <f>VLOOKUP($A5247,'Tech Litons'!$A:$I,8,FALSE)</f>
        <v>2.8799999999999997E-3</v>
      </c>
      <c r="H5247" s="917">
        <f>VLOOKUP($A5247,'Tech Litons'!$A:$I,9,FALSE)</f>
        <v>180</v>
      </c>
      <c r="I5247" s="917" t="str">
        <f>VLOOKUP($A5247,'Tech Litons'!$A:$C,3,0)</f>
        <v>B&amp;J Cups</v>
      </c>
      <c r="J5247" s="918" t="str">
        <f t="shared" si="522"/>
        <v>1712B&amp;J Cups</v>
      </c>
      <c r="K5247" s="919">
        <v>1</v>
      </c>
      <c r="L5247" s="920">
        <f t="shared" si="523"/>
        <v>6060</v>
      </c>
      <c r="M5247" s="920">
        <f t="shared" si="524"/>
        <v>17.4528</v>
      </c>
      <c r="N5247" s="920">
        <f t="shared" si="525"/>
        <v>33.666666666666664</v>
      </c>
      <c r="O5247" s="918" t="str">
        <f t="shared" si="526"/>
        <v>Mar</v>
      </c>
      <c r="P5247" s="921">
        <f t="shared" si="527"/>
        <v>10</v>
      </c>
    </row>
    <row r="5248" spans="1:16" ht="15" hidden="1" customHeight="1">
      <c r="A5248" s="839">
        <v>64875812</v>
      </c>
      <c r="B5248" s="839">
        <v>1712</v>
      </c>
      <c r="C5248" s="906">
        <v>9387</v>
      </c>
      <c r="D5248" s="907">
        <v>46084</v>
      </c>
      <c r="E5248" s="839" t="s">
        <v>347</v>
      </c>
      <c r="F5248" s="839">
        <v>1712</v>
      </c>
      <c r="G5248" s="916">
        <f>VLOOKUP($A5248,'Tech Litons'!$A:$I,8,FALSE)</f>
        <v>6.0000000000000001E-3</v>
      </c>
      <c r="H5248" s="917">
        <f>VLOOKUP($A5248,'Tech Litons'!$A:$I,9,FALSE)</f>
        <v>108</v>
      </c>
      <c r="I5248" s="917" t="str">
        <f>VLOOKUP($A5248,'Tech Litons'!$A:$C,3,0)</f>
        <v>ESS</v>
      </c>
      <c r="J5248" s="918" t="str">
        <f t="shared" si="522"/>
        <v>1712ESS</v>
      </c>
      <c r="K5248" s="919">
        <v>1</v>
      </c>
      <c r="L5248" s="920">
        <f t="shared" si="523"/>
        <v>9387</v>
      </c>
      <c r="M5248" s="920">
        <f t="shared" si="524"/>
        <v>56.322000000000003</v>
      </c>
      <c r="N5248" s="920">
        <f t="shared" si="525"/>
        <v>86.916666666666671</v>
      </c>
      <c r="O5248" s="918" t="str">
        <f t="shared" si="526"/>
        <v>Mar</v>
      </c>
      <c r="P5248" s="921">
        <f t="shared" si="527"/>
        <v>10</v>
      </c>
    </row>
    <row r="5249" spans="1:16" ht="15" hidden="1" customHeight="1">
      <c r="A5249" s="839">
        <v>64874636</v>
      </c>
      <c r="B5249" s="839">
        <v>1712</v>
      </c>
      <c r="C5249" s="906">
        <v>14946</v>
      </c>
      <c r="D5249" s="907">
        <v>46091</v>
      </c>
      <c r="E5249" s="839" t="s">
        <v>560</v>
      </c>
      <c r="F5249" s="839">
        <v>1712</v>
      </c>
      <c r="G5249" s="916">
        <f>VLOOKUP($A5249,'Tech Litons'!$A:$I,8,FALSE)</f>
        <v>2.8380000000000002E-3</v>
      </c>
      <c r="H5249" s="917">
        <f>VLOOKUP($A5249,'Tech Litons'!$A:$I,9,FALSE)</f>
        <v>189</v>
      </c>
      <c r="I5249" s="917" t="str">
        <f>VLOOKUP($A5249,'Tech Litons'!$A:$C,3,0)</f>
        <v>ESS</v>
      </c>
      <c r="J5249" s="918" t="str">
        <f t="shared" si="522"/>
        <v>1712ESS</v>
      </c>
      <c r="K5249" s="919">
        <v>1</v>
      </c>
      <c r="L5249" s="920">
        <f t="shared" si="523"/>
        <v>14946</v>
      </c>
      <c r="M5249" s="920">
        <f t="shared" si="524"/>
        <v>42.416748000000005</v>
      </c>
      <c r="N5249" s="920">
        <f t="shared" si="525"/>
        <v>79.079365079365076</v>
      </c>
      <c r="O5249" s="918" t="str">
        <f t="shared" si="526"/>
        <v>Mar</v>
      </c>
      <c r="P5249" s="921">
        <f t="shared" si="527"/>
        <v>11</v>
      </c>
    </row>
    <row r="5250" spans="1:16" ht="15" hidden="1" customHeight="1">
      <c r="A5250" s="839">
        <v>64875812</v>
      </c>
      <c r="B5250" s="839">
        <v>1712</v>
      </c>
      <c r="C5250" s="906">
        <v>15573</v>
      </c>
      <c r="D5250" s="907">
        <v>46091</v>
      </c>
      <c r="E5250" s="839" t="s">
        <v>347</v>
      </c>
      <c r="F5250" s="839">
        <v>1712</v>
      </c>
      <c r="G5250" s="916">
        <f>VLOOKUP($A5250,'Tech Litons'!$A:$I,8,FALSE)</f>
        <v>6.0000000000000001E-3</v>
      </c>
      <c r="H5250" s="917">
        <f>VLOOKUP($A5250,'Tech Litons'!$A:$I,9,FALSE)</f>
        <v>108</v>
      </c>
      <c r="I5250" s="917" t="str">
        <f>VLOOKUP($A5250,'Tech Litons'!$A:$C,3,0)</f>
        <v>ESS</v>
      </c>
      <c r="J5250" s="918" t="str">
        <f t="shared" si="522"/>
        <v>1712ESS</v>
      </c>
      <c r="K5250" s="919">
        <v>1</v>
      </c>
      <c r="L5250" s="920">
        <f t="shared" si="523"/>
        <v>15573</v>
      </c>
      <c r="M5250" s="920">
        <f t="shared" si="524"/>
        <v>93.438000000000002</v>
      </c>
      <c r="N5250" s="920">
        <f t="shared" si="525"/>
        <v>144.19444444444446</v>
      </c>
      <c r="O5250" s="918" t="str">
        <f t="shared" si="526"/>
        <v>Mar</v>
      </c>
      <c r="P5250" s="921">
        <f t="shared" si="527"/>
        <v>11</v>
      </c>
    </row>
    <row r="5251" spans="1:16" ht="15" hidden="1" customHeight="1">
      <c r="A5251" s="839">
        <v>64806254</v>
      </c>
      <c r="B5251" s="839">
        <v>1712</v>
      </c>
      <c r="C5251" s="906">
        <v>675</v>
      </c>
      <c r="D5251" s="907">
        <v>46092</v>
      </c>
      <c r="E5251" s="839" t="s">
        <v>573</v>
      </c>
      <c r="F5251" s="839">
        <v>1712</v>
      </c>
      <c r="G5251" s="916">
        <f>VLOOKUP($A5251,'Tech Litons'!$A:$I,8,FALSE)</f>
        <v>1.2960000000000001E-2</v>
      </c>
      <c r="H5251" s="917">
        <f>VLOOKUP($A5251,'Tech Litons'!$A:$I,9,FALSE)</f>
        <v>50</v>
      </c>
      <c r="I5251" s="917" t="str">
        <f>VLOOKUP($A5251,'Tech Litons'!$A:$C,3,0)</f>
        <v>B&amp;J Cups</v>
      </c>
      <c r="J5251" s="918" t="str">
        <f t="shared" si="522"/>
        <v>1712B&amp;J Cups</v>
      </c>
      <c r="K5251" s="919">
        <v>1</v>
      </c>
      <c r="L5251" s="920">
        <f t="shared" si="523"/>
        <v>675</v>
      </c>
      <c r="M5251" s="920">
        <f t="shared" si="524"/>
        <v>8.7480000000000011</v>
      </c>
      <c r="N5251" s="920">
        <f t="shared" si="525"/>
        <v>13.5</v>
      </c>
      <c r="O5251" s="918" t="str">
        <f t="shared" si="526"/>
        <v>Mar</v>
      </c>
      <c r="P5251" s="921">
        <f t="shared" si="527"/>
        <v>11</v>
      </c>
    </row>
    <row r="5252" spans="1:16" ht="15" hidden="1" customHeight="1">
      <c r="A5252" s="839">
        <v>64804365</v>
      </c>
      <c r="B5252" s="839">
        <v>1712</v>
      </c>
      <c r="C5252" s="906">
        <v>8041</v>
      </c>
      <c r="D5252" s="907">
        <v>46092</v>
      </c>
      <c r="E5252" s="839" t="s">
        <v>571</v>
      </c>
      <c r="F5252" s="839">
        <v>1712</v>
      </c>
      <c r="G5252" s="916">
        <f>VLOOKUP($A5252,'Tech Litons'!$A:$I,8,FALSE)</f>
        <v>2.8799999999999997E-3</v>
      </c>
      <c r="H5252" s="917">
        <f>VLOOKUP($A5252,'Tech Litons'!$A:$I,9,FALSE)</f>
        <v>180</v>
      </c>
      <c r="I5252" s="917" t="str">
        <f>VLOOKUP($A5252,'Tech Litons'!$A:$C,3,0)</f>
        <v>B&amp;J Cups</v>
      </c>
      <c r="J5252" s="918" t="str">
        <f t="shared" si="522"/>
        <v>1712B&amp;J Cups</v>
      </c>
      <c r="K5252" s="919">
        <v>1</v>
      </c>
      <c r="L5252" s="920">
        <f t="shared" si="523"/>
        <v>8041</v>
      </c>
      <c r="M5252" s="920">
        <f t="shared" si="524"/>
        <v>23.158079999999998</v>
      </c>
      <c r="N5252" s="920">
        <f t="shared" si="525"/>
        <v>44.672222222222224</v>
      </c>
      <c r="O5252" s="918" t="str">
        <f t="shared" si="526"/>
        <v>Mar</v>
      </c>
      <c r="P5252" s="921">
        <f t="shared" si="527"/>
        <v>11</v>
      </c>
    </row>
    <row r="5253" spans="1:16" ht="15" hidden="1" customHeight="1">
      <c r="A5253" s="839">
        <v>64327161</v>
      </c>
      <c r="B5253" s="839">
        <v>1712</v>
      </c>
      <c r="C5253" s="906">
        <v>111293</v>
      </c>
      <c r="D5253" s="907">
        <v>46093</v>
      </c>
      <c r="E5253" s="839" t="s">
        <v>563</v>
      </c>
      <c r="F5253" s="839">
        <v>1712</v>
      </c>
      <c r="G5253" s="916">
        <f>VLOOKUP($A5253,'Tech Litons'!$A:$I,8,FALSE)</f>
        <v>1.56E-3</v>
      </c>
      <c r="H5253" s="917">
        <f>VLOOKUP($A5253,'Tech Litons'!$A:$I,9,FALSE)</f>
        <v>240</v>
      </c>
      <c r="I5253" s="917" t="str">
        <f>VLOOKUP($A5253,'Tech Litons'!$A:$C,3,0)</f>
        <v>Yasso Club</v>
      </c>
      <c r="J5253" s="918" t="str">
        <f t="shared" si="522"/>
        <v>1712Yasso Club</v>
      </c>
      <c r="K5253" s="919">
        <v>1</v>
      </c>
      <c r="L5253" s="920">
        <f t="shared" si="523"/>
        <v>111293</v>
      </c>
      <c r="M5253" s="920">
        <f t="shared" si="524"/>
        <v>173.61707999999999</v>
      </c>
      <c r="N5253" s="920">
        <f t="shared" si="525"/>
        <v>463.72083333333336</v>
      </c>
      <c r="O5253" s="918" t="str">
        <f t="shared" si="526"/>
        <v>Mar</v>
      </c>
      <c r="P5253" s="921">
        <f t="shared" si="527"/>
        <v>11</v>
      </c>
    </row>
    <row r="5254" spans="1:16" ht="15" hidden="1" customHeight="1">
      <c r="A5254" s="839">
        <v>64327161</v>
      </c>
      <c r="B5254" s="839">
        <v>1712</v>
      </c>
      <c r="C5254" s="906">
        <v>128602</v>
      </c>
      <c r="D5254" s="907">
        <v>46093</v>
      </c>
      <c r="E5254" s="839" t="s">
        <v>563</v>
      </c>
      <c r="F5254" s="839">
        <v>1712</v>
      </c>
      <c r="G5254" s="916">
        <f>VLOOKUP($A5254,'Tech Litons'!$A:$I,8,FALSE)</f>
        <v>1.56E-3</v>
      </c>
      <c r="H5254" s="917">
        <f>VLOOKUP($A5254,'Tech Litons'!$A:$I,9,FALSE)</f>
        <v>240</v>
      </c>
      <c r="I5254" s="917" t="str">
        <f>VLOOKUP($A5254,'Tech Litons'!$A:$C,3,0)</f>
        <v>Yasso Club</v>
      </c>
      <c r="J5254" s="918" t="str">
        <f t="shared" si="522"/>
        <v>1712Yasso Club</v>
      </c>
      <c r="K5254" s="919">
        <v>1</v>
      </c>
      <c r="L5254" s="920">
        <f t="shared" si="523"/>
        <v>128602</v>
      </c>
      <c r="M5254" s="920">
        <f t="shared" si="524"/>
        <v>200.61912000000001</v>
      </c>
      <c r="N5254" s="920">
        <f t="shared" si="525"/>
        <v>535.8416666666667</v>
      </c>
      <c r="O5254" s="918" t="str">
        <f t="shared" si="526"/>
        <v>Mar</v>
      </c>
      <c r="P5254" s="921">
        <f t="shared" si="527"/>
        <v>11</v>
      </c>
    </row>
    <row r="5255" spans="1:16" ht="15" hidden="1" customHeight="1">
      <c r="A5255" s="839">
        <v>64804365</v>
      </c>
      <c r="B5255" s="839">
        <v>1712</v>
      </c>
      <c r="C5255" s="906">
        <v>2880</v>
      </c>
      <c r="D5255" s="907">
        <v>46095</v>
      </c>
      <c r="E5255" s="839" t="s">
        <v>571</v>
      </c>
      <c r="F5255" s="839">
        <v>1712</v>
      </c>
      <c r="G5255" s="916">
        <f>VLOOKUP($A5255,'Tech Litons'!$A:$I,8,FALSE)</f>
        <v>2.8799999999999997E-3</v>
      </c>
      <c r="H5255" s="917">
        <f>VLOOKUP($A5255,'Tech Litons'!$A:$I,9,FALSE)</f>
        <v>180</v>
      </c>
      <c r="I5255" s="917" t="str">
        <f>VLOOKUP($A5255,'Tech Litons'!$A:$C,3,0)</f>
        <v>B&amp;J Cups</v>
      </c>
      <c r="J5255" s="918" t="str">
        <f t="shared" si="522"/>
        <v>1712B&amp;J Cups</v>
      </c>
      <c r="K5255" s="919">
        <v>1</v>
      </c>
      <c r="L5255" s="920">
        <f t="shared" si="523"/>
        <v>2880</v>
      </c>
      <c r="M5255" s="920">
        <f t="shared" si="524"/>
        <v>8.2943999999999996</v>
      </c>
      <c r="N5255" s="920">
        <f t="shared" si="525"/>
        <v>16</v>
      </c>
      <c r="O5255" s="918" t="str">
        <f t="shared" si="526"/>
        <v>Mar</v>
      </c>
      <c r="P5255" s="921">
        <f t="shared" si="527"/>
        <v>11</v>
      </c>
    </row>
    <row r="5256" spans="1:16" ht="15" hidden="1" customHeight="1">
      <c r="A5256" s="839">
        <v>64806251</v>
      </c>
      <c r="B5256" s="839">
        <v>1712</v>
      </c>
      <c r="C5256" s="906">
        <v>4974</v>
      </c>
      <c r="D5256" s="907">
        <v>46098</v>
      </c>
      <c r="E5256" s="839" t="s">
        <v>572</v>
      </c>
      <c r="F5256" s="839">
        <v>1712</v>
      </c>
      <c r="G5256" s="916">
        <f>VLOOKUP($A5256,'Tech Litons'!$A:$I,8,FALSE)</f>
        <v>2.8799999999999997E-3</v>
      </c>
      <c r="H5256" s="917">
        <f>VLOOKUP($A5256,'Tech Litons'!$A:$I,9,FALSE)</f>
        <v>180</v>
      </c>
      <c r="I5256" s="917" t="str">
        <f>VLOOKUP($A5256,'Tech Litons'!$A:$C,3,0)</f>
        <v>B&amp;J Cups</v>
      </c>
      <c r="J5256" s="918" t="str">
        <f t="shared" si="522"/>
        <v>1712B&amp;J Cups</v>
      </c>
      <c r="K5256" s="919">
        <v>1</v>
      </c>
      <c r="L5256" s="920">
        <f t="shared" si="523"/>
        <v>4974</v>
      </c>
      <c r="M5256" s="920">
        <f t="shared" si="524"/>
        <v>14.325119999999998</v>
      </c>
      <c r="N5256" s="920">
        <f t="shared" si="525"/>
        <v>27.633333333333333</v>
      </c>
      <c r="O5256" s="918" t="str">
        <f t="shared" si="526"/>
        <v>Mar</v>
      </c>
      <c r="P5256" s="921">
        <f t="shared" si="527"/>
        <v>12</v>
      </c>
    </row>
    <row r="5257" spans="1:16" ht="15" hidden="1" customHeight="1">
      <c r="A5257" s="839">
        <v>64328806</v>
      </c>
      <c r="B5257" s="839">
        <v>1712</v>
      </c>
      <c r="C5257" s="906">
        <v>34611</v>
      </c>
      <c r="D5257" s="907">
        <v>46098</v>
      </c>
      <c r="E5257" s="839" t="s">
        <v>324</v>
      </c>
      <c r="F5257" s="839">
        <v>1712</v>
      </c>
      <c r="G5257" s="916">
        <f>VLOOKUP($A5257,'Tech Litons'!$A:$I,8,FALSE)</f>
        <v>2.8380000000000002E-3</v>
      </c>
      <c r="H5257" s="917">
        <f>VLOOKUP($A5257,'Tech Litons'!$A:$I,9,FALSE)</f>
        <v>189</v>
      </c>
      <c r="I5257" s="917" t="str">
        <f>VLOOKUP($A5257,'Tech Litons'!$A:$C,3,0)</f>
        <v>ESS</v>
      </c>
      <c r="J5257" s="918" t="str">
        <f t="shared" si="522"/>
        <v>1712ESS</v>
      </c>
      <c r="K5257" s="919">
        <v>1</v>
      </c>
      <c r="L5257" s="920">
        <f t="shared" si="523"/>
        <v>34611</v>
      </c>
      <c r="M5257" s="920">
        <f t="shared" si="524"/>
        <v>98.22601800000001</v>
      </c>
      <c r="N5257" s="920">
        <f t="shared" si="525"/>
        <v>183.12698412698413</v>
      </c>
      <c r="O5257" s="918" t="str">
        <f t="shared" si="526"/>
        <v>Mar</v>
      </c>
      <c r="P5257" s="921">
        <f t="shared" si="527"/>
        <v>12</v>
      </c>
    </row>
    <row r="5258" spans="1:16" ht="15" hidden="1" customHeight="1">
      <c r="A5258" s="839">
        <v>64376316</v>
      </c>
      <c r="B5258" s="839">
        <v>1712</v>
      </c>
      <c r="C5258" s="906">
        <v>118799</v>
      </c>
      <c r="D5258" s="907">
        <v>46104</v>
      </c>
      <c r="E5258" s="839" t="s">
        <v>565</v>
      </c>
      <c r="F5258" s="839">
        <v>1712</v>
      </c>
      <c r="G5258" s="916">
        <f>VLOOKUP($A5258,'Tech Litons'!$A:$I,8,FALSE)</f>
        <v>1.5449999999999999E-3</v>
      </c>
      <c r="H5258" s="917">
        <f>VLOOKUP($A5258,'Tech Litons'!$A:$I,9,FALSE)</f>
        <v>240</v>
      </c>
      <c r="I5258" s="917" t="str">
        <f>VLOOKUP($A5258,'Tech Litons'!$A:$C,3,0)</f>
        <v>Yasso Club</v>
      </c>
      <c r="J5258" s="918" t="str">
        <f t="shared" si="522"/>
        <v>1712Yasso Club</v>
      </c>
      <c r="K5258" s="919">
        <v>1</v>
      </c>
      <c r="L5258" s="920">
        <f t="shared" si="523"/>
        <v>118799</v>
      </c>
      <c r="M5258" s="920">
        <f t="shared" si="524"/>
        <v>183.544455</v>
      </c>
      <c r="N5258" s="920">
        <f t="shared" si="525"/>
        <v>494.99583333333334</v>
      </c>
      <c r="O5258" s="918" t="str">
        <f t="shared" si="526"/>
        <v>Mar</v>
      </c>
      <c r="P5258" s="921">
        <f t="shared" si="527"/>
        <v>13</v>
      </c>
    </row>
    <row r="5259" spans="1:16" ht="15" hidden="1" customHeight="1">
      <c r="A5259" s="839">
        <v>64409241</v>
      </c>
      <c r="B5259" s="839" t="s">
        <v>128</v>
      </c>
      <c r="C5259" s="906">
        <v>1890</v>
      </c>
      <c r="D5259" s="907">
        <v>46076</v>
      </c>
      <c r="E5259" s="839" t="s">
        <v>1043</v>
      </c>
      <c r="F5259" s="839">
        <v>3989</v>
      </c>
      <c r="G5259" s="916">
        <f>VLOOKUP($A5259,'Tech Litons'!$A:$I,8,FALSE)</f>
        <v>2.0800000000000003E-3</v>
      </c>
      <c r="H5259" s="917">
        <f>VLOOKUP($A5259,'Tech Litons'!$A:$I,9,FALSE)</f>
        <v>135</v>
      </c>
      <c r="I5259" s="917" t="str">
        <f>VLOOKUP($A5259,'Tech Litons'!$A:$C,3,0)</f>
        <v>Other</v>
      </c>
      <c r="J5259" s="918" t="str">
        <f t="shared" si="522"/>
        <v>TultitlanOther</v>
      </c>
      <c r="K5259" s="919">
        <v>1</v>
      </c>
      <c r="L5259" s="920">
        <f t="shared" si="523"/>
        <v>1890</v>
      </c>
      <c r="M5259" s="920">
        <f t="shared" si="524"/>
        <v>3.9312000000000005</v>
      </c>
      <c r="N5259" s="920">
        <f t="shared" si="525"/>
        <v>14</v>
      </c>
      <c r="O5259" s="918" t="str">
        <f t="shared" si="526"/>
        <v>Feb</v>
      </c>
      <c r="P5259" s="921">
        <f t="shared" si="527"/>
        <v>9</v>
      </c>
    </row>
    <row r="5260" spans="1:16" ht="15" hidden="1" customHeight="1">
      <c r="A5260" s="839">
        <v>64409244</v>
      </c>
      <c r="B5260" s="839" t="s">
        <v>128</v>
      </c>
      <c r="C5260" s="906">
        <v>1890</v>
      </c>
      <c r="D5260" s="907">
        <v>46076</v>
      </c>
      <c r="E5260" s="839" t="s">
        <v>1044</v>
      </c>
      <c r="F5260" s="839">
        <v>3989</v>
      </c>
      <c r="G5260" s="916">
        <f>VLOOKUP($A5260,'Tech Litons'!$A:$I,8,FALSE)</f>
        <v>2.0800000000000003E-3</v>
      </c>
      <c r="H5260" s="917">
        <f>VLOOKUP($A5260,'Tech Litons'!$A:$I,9,FALSE)</f>
        <v>135</v>
      </c>
      <c r="I5260" s="917" t="str">
        <f>VLOOKUP($A5260,'Tech Litons'!$A:$C,3,0)</f>
        <v>Other</v>
      </c>
      <c r="J5260" s="918" t="str">
        <f t="shared" si="522"/>
        <v>TultitlanOther</v>
      </c>
      <c r="K5260" s="919">
        <v>1</v>
      </c>
      <c r="L5260" s="920">
        <f t="shared" si="523"/>
        <v>1890</v>
      </c>
      <c r="M5260" s="920">
        <f t="shared" si="524"/>
        <v>3.9312000000000005</v>
      </c>
      <c r="N5260" s="920">
        <f t="shared" si="525"/>
        <v>14</v>
      </c>
      <c r="O5260" s="918" t="str">
        <f t="shared" si="526"/>
        <v>Feb</v>
      </c>
      <c r="P5260" s="921">
        <f t="shared" si="527"/>
        <v>9</v>
      </c>
    </row>
    <row r="5261" spans="1:16" ht="15" hidden="1" customHeight="1">
      <c r="A5261" s="839">
        <v>64409244</v>
      </c>
      <c r="B5261" s="839" t="s">
        <v>128</v>
      </c>
      <c r="C5261" s="906">
        <v>3780</v>
      </c>
      <c r="D5261" s="907">
        <v>46076</v>
      </c>
      <c r="E5261" s="839" t="s">
        <v>1044</v>
      </c>
      <c r="F5261" s="839">
        <v>3989</v>
      </c>
      <c r="G5261" s="916">
        <f>VLOOKUP($A5261,'Tech Litons'!$A:$I,8,FALSE)</f>
        <v>2.0800000000000003E-3</v>
      </c>
      <c r="H5261" s="917">
        <f>VLOOKUP($A5261,'Tech Litons'!$A:$I,9,FALSE)</f>
        <v>135</v>
      </c>
      <c r="I5261" s="917" t="str">
        <f>VLOOKUP($A5261,'Tech Litons'!$A:$C,3,0)</f>
        <v>Other</v>
      </c>
      <c r="J5261" s="918" t="str">
        <f t="shared" si="522"/>
        <v>TultitlanOther</v>
      </c>
      <c r="K5261" s="919">
        <v>1</v>
      </c>
      <c r="L5261" s="920">
        <f t="shared" si="523"/>
        <v>3780</v>
      </c>
      <c r="M5261" s="920">
        <f t="shared" si="524"/>
        <v>7.8624000000000009</v>
      </c>
      <c r="N5261" s="920">
        <f t="shared" si="525"/>
        <v>28</v>
      </c>
      <c r="O5261" s="918" t="str">
        <f t="shared" si="526"/>
        <v>Feb</v>
      </c>
      <c r="P5261" s="921">
        <f t="shared" si="527"/>
        <v>9</v>
      </c>
    </row>
    <row r="5262" spans="1:16" ht="15" hidden="1" customHeight="1">
      <c r="A5262" s="839">
        <v>64409244</v>
      </c>
      <c r="B5262" s="839" t="s">
        <v>128</v>
      </c>
      <c r="C5262" s="906">
        <v>3780</v>
      </c>
      <c r="D5262" s="907">
        <v>46076</v>
      </c>
      <c r="E5262" s="839" t="s">
        <v>1044</v>
      </c>
      <c r="F5262" s="839">
        <v>3989</v>
      </c>
      <c r="G5262" s="916">
        <f>VLOOKUP($A5262,'Tech Litons'!$A:$I,8,FALSE)</f>
        <v>2.0800000000000003E-3</v>
      </c>
      <c r="H5262" s="917">
        <f>VLOOKUP($A5262,'Tech Litons'!$A:$I,9,FALSE)</f>
        <v>135</v>
      </c>
      <c r="I5262" s="917" t="str">
        <f>VLOOKUP($A5262,'Tech Litons'!$A:$C,3,0)</f>
        <v>Other</v>
      </c>
      <c r="J5262" s="918" t="str">
        <f t="shared" si="522"/>
        <v>TultitlanOther</v>
      </c>
      <c r="K5262" s="919">
        <v>1</v>
      </c>
      <c r="L5262" s="920">
        <f t="shared" si="523"/>
        <v>3780</v>
      </c>
      <c r="M5262" s="920">
        <f t="shared" si="524"/>
        <v>7.8624000000000009</v>
      </c>
      <c r="N5262" s="920">
        <f t="shared" si="525"/>
        <v>28</v>
      </c>
      <c r="O5262" s="918" t="str">
        <f t="shared" si="526"/>
        <v>Feb</v>
      </c>
      <c r="P5262" s="921">
        <f t="shared" si="527"/>
        <v>9</v>
      </c>
    </row>
    <row r="5263" spans="1:16" ht="15" hidden="1" customHeight="1">
      <c r="A5263" s="839">
        <v>64409241</v>
      </c>
      <c r="B5263" s="839" t="s">
        <v>128</v>
      </c>
      <c r="C5263" s="906">
        <v>135</v>
      </c>
      <c r="D5263" s="907">
        <v>46077</v>
      </c>
      <c r="E5263" s="839" t="s">
        <v>1043</v>
      </c>
      <c r="F5263" s="839">
        <v>3989</v>
      </c>
      <c r="G5263" s="916">
        <f>VLOOKUP($A5263,'Tech Litons'!$A:$I,8,FALSE)</f>
        <v>2.0800000000000003E-3</v>
      </c>
      <c r="H5263" s="917">
        <f>VLOOKUP($A5263,'Tech Litons'!$A:$I,9,FALSE)</f>
        <v>135</v>
      </c>
      <c r="I5263" s="917" t="str">
        <f>VLOOKUP($A5263,'Tech Litons'!$A:$C,3,0)</f>
        <v>Other</v>
      </c>
      <c r="J5263" s="918" t="str">
        <f t="shared" si="522"/>
        <v>TultitlanOther</v>
      </c>
      <c r="K5263" s="919">
        <v>1</v>
      </c>
      <c r="L5263" s="920">
        <f t="shared" si="523"/>
        <v>135</v>
      </c>
      <c r="M5263" s="920">
        <f t="shared" si="524"/>
        <v>0.28080000000000005</v>
      </c>
      <c r="N5263" s="920">
        <f t="shared" si="525"/>
        <v>1</v>
      </c>
      <c r="O5263" s="918" t="str">
        <f t="shared" si="526"/>
        <v>Feb</v>
      </c>
      <c r="P5263" s="921">
        <f t="shared" si="527"/>
        <v>9</v>
      </c>
    </row>
    <row r="5264" spans="1:16" ht="15" hidden="1" customHeight="1">
      <c r="A5264" s="839">
        <v>64409244</v>
      </c>
      <c r="B5264" s="839" t="s">
        <v>128</v>
      </c>
      <c r="C5264" s="906">
        <v>3645</v>
      </c>
      <c r="D5264" s="907">
        <v>46077</v>
      </c>
      <c r="E5264" s="839" t="s">
        <v>1044</v>
      </c>
      <c r="F5264" s="839">
        <v>3989</v>
      </c>
      <c r="G5264" s="916">
        <f>VLOOKUP($A5264,'Tech Litons'!$A:$I,8,FALSE)</f>
        <v>2.0800000000000003E-3</v>
      </c>
      <c r="H5264" s="917">
        <f>VLOOKUP($A5264,'Tech Litons'!$A:$I,9,FALSE)</f>
        <v>135</v>
      </c>
      <c r="I5264" s="917" t="str">
        <f>VLOOKUP($A5264,'Tech Litons'!$A:$C,3,0)</f>
        <v>Other</v>
      </c>
      <c r="J5264" s="918" t="str">
        <f t="shared" si="522"/>
        <v>TultitlanOther</v>
      </c>
      <c r="K5264" s="919">
        <v>1</v>
      </c>
      <c r="L5264" s="920">
        <f t="shared" si="523"/>
        <v>3645</v>
      </c>
      <c r="M5264" s="920">
        <f t="shared" si="524"/>
        <v>7.5816000000000008</v>
      </c>
      <c r="N5264" s="920">
        <f t="shared" si="525"/>
        <v>27</v>
      </c>
      <c r="O5264" s="918" t="str">
        <f t="shared" si="526"/>
        <v>Feb</v>
      </c>
      <c r="P5264" s="921">
        <f t="shared" si="527"/>
        <v>9</v>
      </c>
    </row>
    <row r="5265" spans="1:16" ht="15" hidden="1" customHeight="1">
      <c r="A5265" s="839">
        <v>64409244</v>
      </c>
      <c r="B5265" s="839" t="s">
        <v>128</v>
      </c>
      <c r="C5265" s="906">
        <v>3645</v>
      </c>
      <c r="D5265" s="907">
        <v>46078</v>
      </c>
      <c r="E5265" s="839" t="s">
        <v>1044</v>
      </c>
      <c r="F5265" s="839">
        <v>3989</v>
      </c>
      <c r="G5265" s="916">
        <f>VLOOKUP($A5265,'Tech Litons'!$A:$I,8,FALSE)</f>
        <v>2.0800000000000003E-3</v>
      </c>
      <c r="H5265" s="917">
        <f>VLOOKUP($A5265,'Tech Litons'!$A:$I,9,FALSE)</f>
        <v>135</v>
      </c>
      <c r="I5265" s="917" t="str">
        <f>VLOOKUP($A5265,'Tech Litons'!$A:$C,3,0)</f>
        <v>Other</v>
      </c>
      <c r="J5265" s="918" t="str">
        <f t="shared" si="522"/>
        <v>TultitlanOther</v>
      </c>
      <c r="K5265" s="919">
        <v>1</v>
      </c>
      <c r="L5265" s="920">
        <f t="shared" si="523"/>
        <v>3645</v>
      </c>
      <c r="M5265" s="920">
        <f t="shared" si="524"/>
        <v>7.5816000000000008</v>
      </c>
      <c r="N5265" s="920">
        <f t="shared" si="525"/>
        <v>27</v>
      </c>
      <c r="O5265" s="918" t="str">
        <f t="shared" si="526"/>
        <v>Feb</v>
      </c>
      <c r="P5265" s="921">
        <f t="shared" si="527"/>
        <v>9</v>
      </c>
    </row>
    <row r="5266" spans="1:16" ht="15" hidden="1" customHeight="1">
      <c r="A5266" s="839">
        <v>64409241</v>
      </c>
      <c r="B5266" s="839" t="s">
        <v>128</v>
      </c>
      <c r="C5266" s="906">
        <v>270</v>
      </c>
      <c r="D5266" s="907">
        <v>46079</v>
      </c>
      <c r="E5266" s="839" t="s">
        <v>1043</v>
      </c>
      <c r="F5266" s="839">
        <v>3989</v>
      </c>
      <c r="G5266" s="916">
        <f>VLOOKUP($A5266,'Tech Litons'!$A:$I,8,FALSE)</f>
        <v>2.0800000000000003E-3</v>
      </c>
      <c r="H5266" s="917">
        <f>VLOOKUP($A5266,'Tech Litons'!$A:$I,9,FALSE)</f>
        <v>135</v>
      </c>
      <c r="I5266" s="917" t="str">
        <f>VLOOKUP($A5266,'Tech Litons'!$A:$C,3,0)</f>
        <v>Other</v>
      </c>
      <c r="J5266" s="918" t="str">
        <f t="shared" si="522"/>
        <v>TultitlanOther</v>
      </c>
      <c r="K5266" s="919">
        <v>1</v>
      </c>
      <c r="L5266" s="920">
        <f t="shared" si="523"/>
        <v>270</v>
      </c>
      <c r="M5266" s="920">
        <f t="shared" si="524"/>
        <v>0.5616000000000001</v>
      </c>
      <c r="N5266" s="920">
        <f t="shared" si="525"/>
        <v>2</v>
      </c>
      <c r="O5266" s="918" t="str">
        <f t="shared" si="526"/>
        <v>Feb</v>
      </c>
      <c r="P5266" s="921">
        <f t="shared" si="527"/>
        <v>9</v>
      </c>
    </row>
    <row r="5267" spans="1:16" ht="15" hidden="1" customHeight="1">
      <c r="A5267" s="839">
        <v>64409244</v>
      </c>
      <c r="B5267" s="839" t="s">
        <v>128</v>
      </c>
      <c r="C5267" s="906">
        <v>3375</v>
      </c>
      <c r="D5267" s="907">
        <v>46079</v>
      </c>
      <c r="E5267" s="839" t="s">
        <v>1044</v>
      </c>
      <c r="F5267" s="839">
        <v>3989</v>
      </c>
      <c r="G5267" s="916">
        <f>VLOOKUP($A5267,'Tech Litons'!$A:$I,8,FALSE)</f>
        <v>2.0800000000000003E-3</v>
      </c>
      <c r="H5267" s="917">
        <f>VLOOKUP($A5267,'Tech Litons'!$A:$I,9,FALSE)</f>
        <v>135</v>
      </c>
      <c r="I5267" s="917" t="str">
        <f>VLOOKUP($A5267,'Tech Litons'!$A:$C,3,0)</f>
        <v>Other</v>
      </c>
      <c r="J5267" s="918" t="str">
        <f t="shared" si="522"/>
        <v>TultitlanOther</v>
      </c>
      <c r="K5267" s="919">
        <v>1</v>
      </c>
      <c r="L5267" s="920">
        <f t="shared" si="523"/>
        <v>3375</v>
      </c>
      <c r="M5267" s="920">
        <f t="shared" si="524"/>
        <v>7.0200000000000005</v>
      </c>
      <c r="N5267" s="920">
        <f t="shared" si="525"/>
        <v>25</v>
      </c>
      <c r="O5267" s="918" t="str">
        <f t="shared" si="526"/>
        <v>Feb</v>
      </c>
      <c r="P5267" s="921">
        <f t="shared" si="527"/>
        <v>9</v>
      </c>
    </row>
    <row r="5268" spans="1:16" ht="15" hidden="1" customHeight="1">
      <c r="A5268" s="839">
        <v>64409244</v>
      </c>
      <c r="B5268" s="839" t="s">
        <v>128</v>
      </c>
      <c r="C5268" s="906">
        <v>3780</v>
      </c>
      <c r="D5268" s="907">
        <v>46090</v>
      </c>
      <c r="E5268" s="839" t="s">
        <v>1044</v>
      </c>
      <c r="F5268" s="839">
        <v>3989</v>
      </c>
      <c r="G5268" s="916">
        <f>VLOOKUP($A5268,'Tech Litons'!$A:$I,8,FALSE)</f>
        <v>2.0800000000000003E-3</v>
      </c>
      <c r="H5268" s="917">
        <f>VLOOKUP($A5268,'Tech Litons'!$A:$I,9,FALSE)</f>
        <v>135</v>
      </c>
      <c r="I5268" s="917" t="str">
        <f>VLOOKUP($A5268,'Tech Litons'!$A:$C,3,0)</f>
        <v>Other</v>
      </c>
      <c r="J5268" s="918" t="str">
        <f t="shared" si="522"/>
        <v>TultitlanOther</v>
      </c>
      <c r="K5268" s="919">
        <v>1</v>
      </c>
      <c r="L5268" s="920">
        <f t="shared" si="523"/>
        <v>3780</v>
      </c>
      <c r="M5268" s="920">
        <f t="shared" si="524"/>
        <v>7.8624000000000009</v>
      </c>
      <c r="N5268" s="920">
        <f t="shared" si="525"/>
        <v>28</v>
      </c>
      <c r="O5268" s="918" t="str">
        <f t="shared" si="526"/>
        <v>Mar</v>
      </c>
      <c r="P5268" s="921">
        <f t="shared" si="527"/>
        <v>11</v>
      </c>
    </row>
    <row r="5269" spans="1:16" ht="15" hidden="1" customHeight="1">
      <c r="A5269" s="839">
        <v>64409244</v>
      </c>
      <c r="B5269" s="839" t="s">
        <v>128</v>
      </c>
      <c r="C5269" s="906">
        <v>2800</v>
      </c>
      <c r="D5269" s="907">
        <v>46092</v>
      </c>
      <c r="E5269" s="839" t="s">
        <v>1044</v>
      </c>
      <c r="F5269" s="839">
        <v>3989</v>
      </c>
      <c r="G5269" s="916">
        <f>VLOOKUP($A5269,'Tech Litons'!$A:$I,8,FALSE)</f>
        <v>2.0800000000000003E-3</v>
      </c>
      <c r="H5269" s="917">
        <f>VLOOKUP($A5269,'Tech Litons'!$A:$I,9,FALSE)</f>
        <v>135</v>
      </c>
      <c r="I5269" s="917" t="str">
        <f>VLOOKUP($A5269,'Tech Litons'!$A:$C,3,0)</f>
        <v>Other</v>
      </c>
      <c r="J5269" s="918" t="str">
        <f t="shared" si="522"/>
        <v>TultitlanOther</v>
      </c>
      <c r="K5269" s="919">
        <v>1</v>
      </c>
      <c r="L5269" s="920">
        <f t="shared" si="523"/>
        <v>2800</v>
      </c>
      <c r="M5269" s="920">
        <f t="shared" si="524"/>
        <v>5.8240000000000007</v>
      </c>
      <c r="N5269" s="920">
        <f t="shared" si="525"/>
        <v>20.74074074074074</v>
      </c>
      <c r="O5269" s="918" t="str">
        <f t="shared" si="526"/>
        <v>Mar</v>
      </c>
      <c r="P5269" s="921">
        <f t="shared" si="527"/>
        <v>11</v>
      </c>
    </row>
    <row r="5270" spans="1:16" ht="15" hidden="1" customHeight="1">
      <c r="A5270" s="839">
        <v>64409241</v>
      </c>
      <c r="B5270" s="839" t="s">
        <v>128</v>
      </c>
      <c r="C5270" s="906">
        <v>3779</v>
      </c>
      <c r="D5270" s="907">
        <v>46093</v>
      </c>
      <c r="E5270" s="839" t="s">
        <v>1043</v>
      </c>
      <c r="F5270" s="839">
        <v>3989</v>
      </c>
      <c r="G5270" s="916">
        <f>VLOOKUP($A5270,'Tech Litons'!$A:$I,8,FALSE)</f>
        <v>2.0800000000000003E-3</v>
      </c>
      <c r="H5270" s="917">
        <f>VLOOKUP($A5270,'Tech Litons'!$A:$I,9,FALSE)</f>
        <v>135</v>
      </c>
      <c r="I5270" s="917" t="str">
        <f>VLOOKUP($A5270,'Tech Litons'!$A:$C,3,0)</f>
        <v>Other</v>
      </c>
      <c r="J5270" s="918" t="str">
        <f t="shared" si="522"/>
        <v>TultitlanOther</v>
      </c>
      <c r="K5270" s="919">
        <v>1</v>
      </c>
      <c r="L5270" s="920">
        <f t="shared" si="523"/>
        <v>3779</v>
      </c>
      <c r="M5270" s="920">
        <f t="shared" si="524"/>
        <v>7.8603200000000006</v>
      </c>
      <c r="N5270" s="920">
        <f t="shared" si="525"/>
        <v>27.992592592592594</v>
      </c>
      <c r="O5270" s="918" t="str">
        <f t="shared" si="526"/>
        <v>Mar</v>
      </c>
      <c r="P5270" s="921">
        <f t="shared" si="527"/>
        <v>11</v>
      </c>
    </row>
    <row r="5271" spans="1:16" ht="15" hidden="1" customHeight="1">
      <c r="A5271" s="839">
        <v>64409244</v>
      </c>
      <c r="B5271" s="839" t="s">
        <v>128</v>
      </c>
      <c r="C5271" s="906">
        <v>270</v>
      </c>
      <c r="D5271" s="907">
        <v>46097</v>
      </c>
      <c r="E5271" s="839" t="s">
        <v>1044</v>
      </c>
      <c r="F5271" s="839">
        <v>3989</v>
      </c>
      <c r="G5271" s="916">
        <f>VLOOKUP($A5271,'Tech Litons'!$A:$I,8,FALSE)</f>
        <v>2.0800000000000003E-3</v>
      </c>
      <c r="H5271" s="917">
        <f>VLOOKUP($A5271,'Tech Litons'!$A:$I,9,FALSE)</f>
        <v>135</v>
      </c>
      <c r="I5271" s="917" t="str">
        <f>VLOOKUP($A5271,'Tech Litons'!$A:$C,3,0)</f>
        <v>Other</v>
      </c>
      <c r="J5271" s="918" t="str">
        <f t="shared" si="522"/>
        <v>TultitlanOther</v>
      </c>
      <c r="K5271" s="919">
        <v>1</v>
      </c>
      <c r="L5271" s="920">
        <f t="shared" si="523"/>
        <v>270</v>
      </c>
      <c r="M5271" s="920">
        <f t="shared" si="524"/>
        <v>0.5616000000000001</v>
      </c>
      <c r="N5271" s="920">
        <f t="shared" si="525"/>
        <v>2</v>
      </c>
      <c r="O5271" s="918" t="str">
        <f t="shared" si="526"/>
        <v>Mar</v>
      </c>
      <c r="P5271" s="921">
        <f t="shared" si="527"/>
        <v>12</v>
      </c>
    </row>
    <row r="5272" spans="1:16" ht="15" hidden="1" customHeight="1">
      <c r="A5272" s="839">
        <v>69629477</v>
      </c>
      <c r="B5272" s="839" t="s">
        <v>128</v>
      </c>
      <c r="C5272" s="906">
        <v>2347</v>
      </c>
      <c r="D5272" s="907">
        <v>46097</v>
      </c>
      <c r="E5272" s="839" t="s">
        <v>984</v>
      </c>
      <c r="F5272" s="839">
        <v>3989</v>
      </c>
      <c r="G5272" s="916">
        <f>VLOOKUP($A5272,'Tech Litons'!$A:$I,8,FALSE)</f>
        <v>5.3280000000000003E-3</v>
      </c>
      <c r="H5272" s="917">
        <f>VLOOKUP($A5272,'Tech Litons'!$A:$I,9,FALSE)</f>
        <v>108</v>
      </c>
      <c r="I5272" s="917" t="str">
        <f>VLOOKUP($A5272,'Tech Litons'!$A:$C,3,0)</f>
        <v>KL Mini Cones</v>
      </c>
      <c r="J5272" s="918" t="str">
        <f t="shared" si="522"/>
        <v>TultitlanKL Mini Cones</v>
      </c>
      <c r="K5272" s="919">
        <v>1</v>
      </c>
      <c r="L5272" s="920">
        <f t="shared" si="523"/>
        <v>2347</v>
      </c>
      <c r="M5272" s="920">
        <f t="shared" si="524"/>
        <v>12.504816</v>
      </c>
      <c r="N5272" s="920">
        <f t="shared" si="525"/>
        <v>21.731481481481481</v>
      </c>
      <c r="O5272" s="918" t="str">
        <f t="shared" si="526"/>
        <v>Mar</v>
      </c>
      <c r="P5272" s="921">
        <f t="shared" si="527"/>
        <v>12</v>
      </c>
    </row>
    <row r="5273" spans="1:16" ht="15" hidden="1" customHeight="1">
      <c r="A5273" s="839">
        <v>64409244</v>
      </c>
      <c r="B5273" s="839" t="s">
        <v>128</v>
      </c>
      <c r="C5273" s="906">
        <v>446</v>
      </c>
      <c r="D5273" s="907">
        <v>46098</v>
      </c>
      <c r="E5273" s="839" t="s">
        <v>1044</v>
      </c>
      <c r="F5273" s="839">
        <v>3989</v>
      </c>
      <c r="G5273" s="916">
        <f>VLOOKUP($A5273,'Tech Litons'!$A:$I,8,FALSE)</f>
        <v>2.0800000000000003E-3</v>
      </c>
      <c r="H5273" s="917">
        <f>VLOOKUP($A5273,'Tech Litons'!$A:$I,9,FALSE)</f>
        <v>135</v>
      </c>
      <c r="I5273" s="917" t="str">
        <f>VLOOKUP($A5273,'Tech Litons'!$A:$C,3,0)</f>
        <v>Other</v>
      </c>
      <c r="J5273" s="918" t="str">
        <f t="shared" si="522"/>
        <v>TultitlanOther</v>
      </c>
      <c r="K5273" s="919">
        <v>1</v>
      </c>
      <c r="L5273" s="920">
        <f t="shared" si="523"/>
        <v>446</v>
      </c>
      <c r="M5273" s="920">
        <f t="shared" si="524"/>
        <v>0.92768000000000006</v>
      </c>
      <c r="N5273" s="920">
        <f t="shared" si="525"/>
        <v>3.3037037037037038</v>
      </c>
      <c r="O5273" s="918" t="str">
        <f t="shared" si="526"/>
        <v>Mar</v>
      </c>
      <c r="P5273" s="921">
        <f t="shared" si="527"/>
        <v>12</v>
      </c>
    </row>
    <row r="5274" spans="1:16" ht="15" hidden="1" customHeight="1">
      <c r="A5274" s="839">
        <v>64409241</v>
      </c>
      <c r="B5274" s="839" t="s">
        <v>128</v>
      </c>
      <c r="C5274" s="906">
        <v>2700</v>
      </c>
      <c r="D5274" s="907">
        <v>46098</v>
      </c>
      <c r="E5274" s="839" t="s">
        <v>1043</v>
      </c>
      <c r="F5274" s="839">
        <v>3989</v>
      </c>
      <c r="G5274" s="916">
        <f>VLOOKUP($A5274,'Tech Litons'!$A:$I,8,FALSE)</f>
        <v>2.0800000000000003E-3</v>
      </c>
      <c r="H5274" s="917">
        <f>VLOOKUP($A5274,'Tech Litons'!$A:$I,9,FALSE)</f>
        <v>135</v>
      </c>
      <c r="I5274" s="917" t="str">
        <f>VLOOKUP($A5274,'Tech Litons'!$A:$C,3,0)</f>
        <v>Other</v>
      </c>
      <c r="J5274" s="918" t="str">
        <f t="shared" si="522"/>
        <v>TultitlanOther</v>
      </c>
      <c r="K5274" s="919">
        <v>1</v>
      </c>
      <c r="L5274" s="920">
        <f t="shared" si="523"/>
        <v>2700</v>
      </c>
      <c r="M5274" s="920">
        <f t="shared" si="524"/>
        <v>5.6160000000000005</v>
      </c>
      <c r="N5274" s="920">
        <f t="shared" si="525"/>
        <v>20</v>
      </c>
      <c r="O5274" s="918" t="str">
        <f t="shared" si="526"/>
        <v>Mar</v>
      </c>
      <c r="P5274" s="921">
        <f t="shared" si="527"/>
        <v>12</v>
      </c>
    </row>
    <row r="5275" spans="1:16" ht="15" hidden="1" customHeight="1">
      <c r="A5275" s="839">
        <v>64409241</v>
      </c>
      <c r="B5275" s="839" t="s">
        <v>128</v>
      </c>
      <c r="C5275" s="906">
        <v>405</v>
      </c>
      <c r="D5275" s="907">
        <v>46104</v>
      </c>
      <c r="E5275" s="839" t="s">
        <v>1043</v>
      </c>
      <c r="F5275" s="839">
        <v>3989</v>
      </c>
      <c r="G5275" s="916">
        <f>VLOOKUP($A5275,'Tech Litons'!$A:$I,8,FALSE)</f>
        <v>2.0800000000000003E-3</v>
      </c>
      <c r="H5275" s="917">
        <f>VLOOKUP($A5275,'Tech Litons'!$A:$I,9,FALSE)</f>
        <v>135</v>
      </c>
      <c r="I5275" s="917" t="str">
        <f>VLOOKUP($A5275,'Tech Litons'!$A:$C,3,0)</f>
        <v>Other</v>
      </c>
      <c r="J5275" s="918" t="str">
        <f t="shared" si="522"/>
        <v>TultitlanOther</v>
      </c>
      <c r="K5275" s="919">
        <v>1</v>
      </c>
      <c r="L5275" s="920">
        <f t="shared" si="523"/>
        <v>405</v>
      </c>
      <c r="M5275" s="920">
        <f t="shared" si="524"/>
        <v>0.84240000000000015</v>
      </c>
      <c r="N5275" s="920">
        <f t="shared" si="525"/>
        <v>3</v>
      </c>
      <c r="O5275" s="918" t="str">
        <f t="shared" si="526"/>
        <v>Mar</v>
      </c>
      <c r="P5275" s="921">
        <f t="shared" si="527"/>
        <v>13</v>
      </c>
    </row>
    <row r="5276" spans="1:16" ht="15" hidden="1" customHeight="1">
      <c r="A5276" s="839">
        <v>64409241</v>
      </c>
      <c r="B5276" s="839" t="s">
        <v>128</v>
      </c>
      <c r="C5276" s="906">
        <v>641</v>
      </c>
      <c r="D5276" s="907">
        <v>46104</v>
      </c>
      <c r="E5276" s="839" t="s">
        <v>1043</v>
      </c>
      <c r="F5276" s="839">
        <v>3989</v>
      </c>
      <c r="G5276" s="916">
        <f>VLOOKUP($A5276,'Tech Litons'!$A:$I,8,FALSE)</f>
        <v>2.0800000000000003E-3</v>
      </c>
      <c r="H5276" s="917">
        <f>VLOOKUP($A5276,'Tech Litons'!$A:$I,9,FALSE)</f>
        <v>135</v>
      </c>
      <c r="I5276" s="917" t="str">
        <f>VLOOKUP($A5276,'Tech Litons'!$A:$C,3,0)</f>
        <v>Other</v>
      </c>
      <c r="J5276" s="918" t="str">
        <f t="shared" si="522"/>
        <v>TultitlanOther</v>
      </c>
      <c r="K5276" s="919">
        <v>1</v>
      </c>
      <c r="L5276" s="920">
        <f t="shared" si="523"/>
        <v>641</v>
      </c>
      <c r="M5276" s="920">
        <f t="shared" si="524"/>
        <v>1.3332800000000002</v>
      </c>
      <c r="N5276" s="920">
        <f t="shared" si="525"/>
        <v>4.7481481481481485</v>
      </c>
      <c r="O5276" s="918" t="str">
        <f t="shared" si="526"/>
        <v>Mar</v>
      </c>
      <c r="P5276" s="921">
        <f t="shared" si="527"/>
        <v>13</v>
      </c>
    </row>
    <row r="5277" spans="1:16" ht="15" hidden="1" customHeight="1">
      <c r="A5277" s="839">
        <v>64409244</v>
      </c>
      <c r="B5277" s="839" t="s">
        <v>128</v>
      </c>
      <c r="C5277" s="906">
        <v>2025</v>
      </c>
      <c r="D5277" s="907">
        <v>46104</v>
      </c>
      <c r="E5277" s="839" t="s">
        <v>1044</v>
      </c>
      <c r="F5277" s="839">
        <v>3989</v>
      </c>
      <c r="G5277" s="916">
        <f>VLOOKUP($A5277,'Tech Litons'!$A:$I,8,FALSE)</f>
        <v>2.0800000000000003E-3</v>
      </c>
      <c r="H5277" s="917">
        <f>VLOOKUP($A5277,'Tech Litons'!$A:$I,9,FALSE)</f>
        <v>135</v>
      </c>
      <c r="I5277" s="917" t="str">
        <f>VLOOKUP($A5277,'Tech Litons'!$A:$C,3,0)</f>
        <v>Other</v>
      </c>
      <c r="J5277" s="918" t="str">
        <f t="shared" si="522"/>
        <v>TultitlanOther</v>
      </c>
      <c r="K5277" s="919">
        <v>1</v>
      </c>
      <c r="L5277" s="920">
        <f t="shared" si="523"/>
        <v>2025</v>
      </c>
      <c r="M5277" s="920">
        <f t="shared" si="524"/>
        <v>4.2120000000000006</v>
      </c>
      <c r="N5277" s="920">
        <f t="shared" si="525"/>
        <v>15</v>
      </c>
      <c r="O5277" s="918" t="str">
        <f t="shared" si="526"/>
        <v>Mar</v>
      </c>
      <c r="P5277" s="921">
        <f t="shared" si="527"/>
        <v>13</v>
      </c>
    </row>
    <row r="5278" spans="1:16" ht="15" hidden="1" customHeight="1">
      <c r="A5278" s="839">
        <v>69629477</v>
      </c>
      <c r="B5278" s="839" t="s">
        <v>128</v>
      </c>
      <c r="C5278" s="906">
        <v>2697</v>
      </c>
      <c r="D5278" s="907">
        <v>46104</v>
      </c>
      <c r="E5278" s="839" t="s">
        <v>984</v>
      </c>
      <c r="F5278" s="839">
        <v>3989</v>
      </c>
      <c r="G5278" s="916">
        <f>VLOOKUP($A5278,'Tech Litons'!$A:$I,8,FALSE)</f>
        <v>5.3280000000000003E-3</v>
      </c>
      <c r="H5278" s="917">
        <f>VLOOKUP($A5278,'Tech Litons'!$A:$I,9,FALSE)</f>
        <v>108</v>
      </c>
      <c r="I5278" s="917" t="str">
        <f>VLOOKUP($A5278,'Tech Litons'!$A:$C,3,0)</f>
        <v>KL Mini Cones</v>
      </c>
      <c r="J5278" s="918" t="str">
        <f t="shared" si="522"/>
        <v>TultitlanKL Mini Cones</v>
      </c>
      <c r="K5278" s="919">
        <v>1</v>
      </c>
      <c r="L5278" s="920">
        <f t="shared" si="523"/>
        <v>2697</v>
      </c>
      <c r="M5278" s="920">
        <f t="shared" si="524"/>
        <v>14.369616000000001</v>
      </c>
      <c r="N5278" s="920">
        <f t="shared" si="525"/>
        <v>24.972222222222221</v>
      </c>
      <c r="O5278" s="918" t="str">
        <f t="shared" si="526"/>
        <v>Mar</v>
      </c>
      <c r="P5278" s="921">
        <f t="shared" si="527"/>
        <v>13</v>
      </c>
    </row>
    <row r="5279" spans="1:16" ht="15" hidden="1" customHeight="1">
      <c r="A5279" s="839">
        <v>69629477</v>
      </c>
      <c r="B5279" s="839" t="s">
        <v>128</v>
      </c>
      <c r="C5279" s="906">
        <v>36</v>
      </c>
      <c r="D5279" s="907">
        <v>46105</v>
      </c>
      <c r="E5279" s="839" t="s">
        <v>984</v>
      </c>
      <c r="F5279" s="839">
        <v>3989</v>
      </c>
      <c r="G5279" s="916">
        <f>VLOOKUP($A5279,'Tech Litons'!$A:$I,8,FALSE)</f>
        <v>5.3280000000000003E-3</v>
      </c>
      <c r="H5279" s="917">
        <f>VLOOKUP($A5279,'Tech Litons'!$A:$I,9,FALSE)</f>
        <v>108</v>
      </c>
      <c r="I5279" s="917" t="str">
        <f>VLOOKUP($A5279,'Tech Litons'!$A:$C,3,0)</f>
        <v>KL Mini Cones</v>
      </c>
      <c r="J5279" s="918" t="str">
        <f t="shared" si="522"/>
        <v>TultitlanKL Mini Cones</v>
      </c>
      <c r="K5279" s="919">
        <v>1</v>
      </c>
      <c r="L5279" s="920">
        <f t="shared" si="523"/>
        <v>36</v>
      </c>
      <c r="M5279" s="920">
        <f t="shared" si="524"/>
        <v>0.19180800000000001</v>
      </c>
      <c r="N5279" s="920">
        <f t="shared" si="525"/>
        <v>0.33333333333333331</v>
      </c>
      <c r="O5279" s="918" t="str">
        <f t="shared" si="526"/>
        <v>Mar</v>
      </c>
      <c r="P5279" s="921">
        <f t="shared" si="527"/>
        <v>13</v>
      </c>
    </row>
    <row r="5280" spans="1:16" ht="15" hidden="1" customHeight="1">
      <c r="A5280" s="839">
        <v>64409244</v>
      </c>
      <c r="B5280" s="839" t="s">
        <v>128</v>
      </c>
      <c r="C5280" s="906">
        <v>201</v>
      </c>
      <c r="D5280" s="907">
        <v>46105</v>
      </c>
      <c r="E5280" s="839" t="s">
        <v>1044</v>
      </c>
      <c r="F5280" s="839">
        <v>3989</v>
      </c>
      <c r="G5280" s="916">
        <f>VLOOKUP($A5280,'Tech Litons'!$A:$I,8,FALSE)</f>
        <v>2.0800000000000003E-3</v>
      </c>
      <c r="H5280" s="917">
        <f>VLOOKUP($A5280,'Tech Litons'!$A:$I,9,FALSE)</f>
        <v>135</v>
      </c>
      <c r="I5280" s="917" t="str">
        <f>VLOOKUP($A5280,'Tech Litons'!$A:$C,3,0)</f>
        <v>Other</v>
      </c>
      <c r="J5280" s="918" t="str">
        <f t="shared" si="522"/>
        <v>TultitlanOther</v>
      </c>
      <c r="K5280" s="919">
        <v>1</v>
      </c>
      <c r="L5280" s="920">
        <f t="shared" si="523"/>
        <v>201</v>
      </c>
      <c r="M5280" s="920">
        <f t="shared" si="524"/>
        <v>0.41808000000000006</v>
      </c>
      <c r="N5280" s="920">
        <f t="shared" si="525"/>
        <v>1.4888888888888889</v>
      </c>
      <c r="O5280" s="918" t="str">
        <f t="shared" si="526"/>
        <v>Mar</v>
      </c>
      <c r="P5280" s="921">
        <f t="shared" si="527"/>
        <v>13</v>
      </c>
    </row>
    <row r="5281" spans="1:16" ht="15" hidden="1" customHeight="1">
      <c r="A5281" s="839">
        <v>64409241</v>
      </c>
      <c r="B5281" s="839" t="s">
        <v>128</v>
      </c>
      <c r="C5281" s="906">
        <v>2295</v>
      </c>
      <c r="D5281" s="907">
        <v>46105</v>
      </c>
      <c r="E5281" s="839" t="s">
        <v>1043</v>
      </c>
      <c r="F5281" s="839">
        <v>3989</v>
      </c>
      <c r="G5281" s="916">
        <f>VLOOKUP($A5281,'Tech Litons'!$A:$I,8,FALSE)</f>
        <v>2.0800000000000003E-3</v>
      </c>
      <c r="H5281" s="917">
        <f>VLOOKUP($A5281,'Tech Litons'!$A:$I,9,FALSE)</f>
        <v>135</v>
      </c>
      <c r="I5281" s="917" t="str">
        <f>VLOOKUP($A5281,'Tech Litons'!$A:$C,3,0)</f>
        <v>Other</v>
      </c>
      <c r="J5281" s="918" t="str">
        <f t="shared" si="522"/>
        <v>TultitlanOther</v>
      </c>
      <c r="K5281" s="919">
        <v>1</v>
      </c>
      <c r="L5281" s="920">
        <f t="shared" si="523"/>
        <v>2295</v>
      </c>
      <c r="M5281" s="920">
        <f t="shared" si="524"/>
        <v>4.773600000000001</v>
      </c>
      <c r="N5281" s="920">
        <f t="shared" si="525"/>
        <v>17</v>
      </c>
      <c r="O5281" s="918" t="str">
        <f t="shared" si="526"/>
        <v>Mar</v>
      </c>
      <c r="P5281" s="921">
        <f t="shared" si="527"/>
        <v>13</v>
      </c>
    </row>
    <row r="5282" spans="1:16" ht="15" hidden="1" customHeight="1">
      <c r="A5282" s="839">
        <v>64409244</v>
      </c>
      <c r="B5282" s="839" t="s">
        <v>128</v>
      </c>
      <c r="C5282" s="906">
        <v>3337</v>
      </c>
      <c r="D5282" s="907">
        <v>46105</v>
      </c>
      <c r="E5282" s="839" t="s">
        <v>1044</v>
      </c>
      <c r="F5282" s="839">
        <v>3989</v>
      </c>
      <c r="G5282" s="916">
        <f>VLOOKUP($A5282,'Tech Litons'!$A:$I,8,FALSE)</f>
        <v>2.0800000000000003E-3</v>
      </c>
      <c r="H5282" s="917">
        <f>VLOOKUP($A5282,'Tech Litons'!$A:$I,9,FALSE)</f>
        <v>135</v>
      </c>
      <c r="I5282" s="917" t="str">
        <f>VLOOKUP($A5282,'Tech Litons'!$A:$C,3,0)</f>
        <v>Other</v>
      </c>
      <c r="J5282" s="918" t="str">
        <f t="shared" si="522"/>
        <v>TultitlanOther</v>
      </c>
      <c r="K5282" s="919">
        <v>1</v>
      </c>
      <c r="L5282" s="920">
        <f t="shared" si="523"/>
        <v>3337</v>
      </c>
      <c r="M5282" s="920">
        <f t="shared" si="524"/>
        <v>6.9409600000000005</v>
      </c>
      <c r="N5282" s="920">
        <f t="shared" si="525"/>
        <v>24.718518518518518</v>
      </c>
      <c r="O5282" s="918" t="str">
        <f t="shared" si="526"/>
        <v>Mar</v>
      </c>
      <c r="P5282" s="921">
        <f t="shared" si="527"/>
        <v>13</v>
      </c>
    </row>
    <row r="5283" spans="1:16" ht="15" hidden="1" customHeight="1">
      <c r="A5283" s="839">
        <v>64854330</v>
      </c>
      <c r="B5283" s="839">
        <v>3985</v>
      </c>
      <c r="C5283" s="906">
        <v>4991</v>
      </c>
      <c r="D5283" s="907">
        <v>46076</v>
      </c>
      <c r="E5283" s="839" t="s">
        <v>605</v>
      </c>
      <c r="F5283" s="839">
        <v>3985</v>
      </c>
      <c r="G5283" s="916">
        <f>VLOOKUP($A5283,'Tech Litons'!$A:$I,8,FALSE)</f>
        <v>6.4800000000000005E-3</v>
      </c>
      <c r="H5283" s="917">
        <f>VLOOKUP($A5283,'Tech Litons'!$A:$I,9,FALSE)</f>
        <v>30</v>
      </c>
      <c r="I5283" s="917" t="str">
        <f>VLOOKUP($A5283,'Tech Litons'!$A:$C,3,0)</f>
        <v>Repack MG Sticks</v>
      </c>
      <c r="J5283" s="918" t="str">
        <f t="shared" si="522"/>
        <v>3985Repack MG Sticks</v>
      </c>
      <c r="K5283" s="919">
        <v>1</v>
      </c>
      <c r="L5283" s="920">
        <f t="shared" si="523"/>
        <v>4991</v>
      </c>
      <c r="M5283" s="920">
        <f t="shared" si="524"/>
        <v>32.341680000000004</v>
      </c>
      <c r="N5283" s="920">
        <f t="shared" si="525"/>
        <v>166.36666666666667</v>
      </c>
      <c r="O5283" s="918" t="str">
        <f t="shared" si="526"/>
        <v>Feb</v>
      </c>
      <c r="P5283" s="921">
        <f t="shared" si="527"/>
        <v>9</v>
      </c>
    </row>
    <row r="5284" spans="1:16" ht="15" hidden="1" customHeight="1">
      <c r="A5284" s="839">
        <v>64997059</v>
      </c>
      <c r="B5284" s="839">
        <v>3985</v>
      </c>
      <c r="C5284" s="906">
        <v>14976</v>
      </c>
      <c r="D5284" s="907">
        <v>46079</v>
      </c>
      <c r="E5284" s="839" t="s">
        <v>1050</v>
      </c>
      <c r="F5284" s="839">
        <v>3985</v>
      </c>
      <c r="G5284" s="916">
        <f>VLOOKUP($A5284,'Tech Litons'!$A:$I,8,FALSE)</f>
        <v>5.6760000000000005E-3</v>
      </c>
      <c r="H5284" s="917">
        <f>VLOOKUP($A5284,'Tech Litons'!$A:$I,9,FALSE)</f>
        <v>96</v>
      </c>
      <c r="I5284" s="917" t="str">
        <f>VLOOKUP($A5284,'Tech Litons'!$A:$C,3,0)</f>
        <v>Other</v>
      </c>
      <c r="J5284" s="918" t="str">
        <f t="shared" si="522"/>
        <v>3985Other</v>
      </c>
      <c r="K5284" s="919">
        <v>1</v>
      </c>
      <c r="L5284" s="920">
        <f t="shared" si="523"/>
        <v>14976</v>
      </c>
      <c r="M5284" s="920">
        <f t="shared" si="524"/>
        <v>85.003776000000002</v>
      </c>
      <c r="N5284" s="920">
        <f t="shared" si="525"/>
        <v>156</v>
      </c>
      <c r="O5284" s="918" t="str">
        <f t="shared" si="526"/>
        <v>Feb</v>
      </c>
      <c r="P5284" s="921">
        <f t="shared" si="527"/>
        <v>9</v>
      </c>
    </row>
    <row r="5285" spans="1:16" ht="15" hidden="1" customHeight="1">
      <c r="A5285" s="839">
        <v>64997059</v>
      </c>
      <c r="B5285" s="839">
        <v>3985</v>
      </c>
      <c r="C5285" s="906">
        <v>14976</v>
      </c>
      <c r="D5285" s="907">
        <v>46086</v>
      </c>
      <c r="E5285" s="839" t="s">
        <v>1050</v>
      </c>
      <c r="F5285" s="839">
        <v>3985</v>
      </c>
      <c r="G5285" s="916">
        <f>VLOOKUP($A5285,'Tech Litons'!$A:$I,8,FALSE)</f>
        <v>5.6760000000000005E-3</v>
      </c>
      <c r="H5285" s="917">
        <f>VLOOKUP($A5285,'Tech Litons'!$A:$I,9,FALSE)</f>
        <v>96</v>
      </c>
      <c r="I5285" s="917" t="str">
        <f>VLOOKUP($A5285,'Tech Litons'!$A:$C,3,0)</f>
        <v>Other</v>
      </c>
      <c r="J5285" s="918" t="str">
        <f t="shared" si="522"/>
        <v>3985Other</v>
      </c>
      <c r="K5285" s="919">
        <v>1</v>
      </c>
      <c r="L5285" s="920">
        <f t="shared" si="523"/>
        <v>14976</v>
      </c>
      <c r="M5285" s="920">
        <f t="shared" si="524"/>
        <v>85.003776000000002</v>
      </c>
      <c r="N5285" s="920">
        <f t="shared" si="525"/>
        <v>156</v>
      </c>
      <c r="O5285" s="918" t="str">
        <f t="shared" si="526"/>
        <v>Mar</v>
      </c>
      <c r="P5285" s="921">
        <f t="shared" si="527"/>
        <v>10</v>
      </c>
    </row>
    <row r="5286" spans="1:16" ht="15" hidden="1" customHeight="1">
      <c r="A5286" s="839">
        <v>64830947</v>
      </c>
      <c r="B5286" s="839">
        <v>3985</v>
      </c>
      <c r="C5286" s="906">
        <v>20000</v>
      </c>
      <c r="D5286" s="907">
        <v>46094</v>
      </c>
      <c r="E5286" s="839" t="s">
        <v>604</v>
      </c>
      <c r="F5286" s="839">
        <v>3985</v>
      </c>
      <c r="G5286" s="916">
        <f>VLOOKUP($A5286,'Tech Litons'!$A:$I,8,FALSE)</f>
        <v>9.8999999999999999E-4</v>
      </c>
      <c r="H5286" s="917">
        <f>VLOOKUP($A5286,'Tech Litons'!$A:$I,9,FALSE)</f>
        <v>296</v>
      </c>
      <c r="I5286" s="917" t="str">
        <f>VLOOKUP($A5286,'Tech Litons'!$A:$C,3,0)</f>
        <v>Repack MG Sticks</v>
      </c>
      <c r="J5286" s="918" t="str">
        <f t="shared" si="522"/>
        <v>3985Repack MG Sticks</v>
      </c>
      <c r="K5286" s="919">
        <v>1</v>
      </c>
      <c r="L5286" s="920">
        <f t="shared" si="523"/>
        <v>20000</v>
      </c>
      <c r="M5286" s="920">
        <f t="shared" si="524"/>
        <v>19.8</v>
      </c>
      <c r="N5286" s="920">
        <f t="shared" si="525"/>
        <v>67.567567567567565</v>
      </c>
      <c r="O5286" s="918" t="str">
        <f t="shared" si="526"/>
        <v>Mar</v>
      </c>
      <c r="P5286" s="921">
        <f t="shared" si="527"/>
        <v>11</v>
      </c>
    </row>
    <row r="5287" spans="1:16" ht="15" hidden="1" customHeight="1">
      <c r="A5287" s="839">
        <v>64830947</v>
      </c>
      <c r="B5287" s="839">
        <v>3985</v>
      </c>
      <c r="C5287" s="906">
        <v>60003</v>
      </c>
      <c r="D5287" s="907">
        <v>46094</v>
      </c>
      <c r="E5287" s="839" t="s">
        <v>604</v>
      </c>
      <c r="F5287" s="839">
        <v>3985</v>
      </c>
      <c r="G5287" s="916">
        <f>VLOOKUP($A5287,'Tech Litons'!$A:$I,8,FALSE)</f>
        <v>9.8999999999999999E-4</v>
      </c>
      <c r="H5287" s="917">
        <f>VLOOKUP($A5287,'Tech Litons'!$A:$I,9,FALSE)</f>
        <v>296</v>
      </c>
      <c r="I5287" s="917" t="str">
        <f>VLOOKUP($A5287,'Tech Litons'!$A:$C,3,0)</f>
        <v>Repack MG Sticks</v>
      </c>
      <c r="J5287" s="918" t="str">
        <f t="shared" si="522"/>
        <v>3985Repack MG Sticks</v>
      </c>
      <c r="K5287" s="919">
        <v>1</v>
      </c>
      <c r="L5287" s="920">
        <f t="shared" si="523"/>
        <v>60003</v>
      </c>
      <c r="M5287" s="920">
        <f t="shared" si="524"/>
        <v>59.402969999999996</v>
      </c>
      <c r="N5287" s="920">
        <f t="shared" si="525"/>
        <v>202.71283783783784</v>
      </c>
      <c r="O5287" s="918" t="str">
        <f t="shared" si="526"/>
        <v>Mar</v>
      </c>
      <c r="P5287" s="921">
        <f t="shared" si="527"/>
        <v>11</v>
      </c>
    </row>
    <row r="5288" spans="1:16" ht="15" hidden="1" customHeight="1">
      <c r="A5288" s="839">
        <v>64830947</v>
      </c>
      <c r="B5288" s="839">
        <v>3985</v>
      </c>
      <c r="C5288" s="906">
        <v>1588</v>
      </c>
      <c r="D5288" s="907">
        <v>46104</v>
      </c>
      <c r="E5288" s="839" t="s">
        <v>604</v>
      </c>
      <c r="F5288" s="839">
        <v>3985</v>
      </c>
      <c r="G5288" s="916">
        <f>VLOOKUP($A5288,'Tech Litons'!$A:$I,8,FALSE)</f>
        <v>9.8999999999999999E-4</v>
      </c>
      <c r="H5288" s="917">
        <f>VLOOKUP($A5288,'Tech Litons'!$A:$I,9,FALSE)</f>
        <v>296</v>
      </c>
      <c r="I5288" s="917" t="str">
        <f>VLOOKUP($A5288,'Tech Litons'!$A:$C,3,0)</f>
        <v>Repack MG Sticks</v>
      </c>
      <c r="J5288" s="918" t="str">
        <f t="shared" si="522"/>
        <v>3985Repack MG Sticks</v>
      </c>
      <c r="K5288" s="919">
        <v>1</v>
      </c>
      <c r="L5288" s="920">
        <f t="shared" si="523"/>
        <v>1588</v>
      </c>
      <c r="M5288" s="920">
        <f t="shared" si="524"/>
        <v>1.57212</v>
      </c>
      <c r="N5288" s="920">
        <f t="shared" si="525"/>
        <v>5.3648648648648649</v>
      </c>
      <c r="O5288" s="918" t="str">
        <f t="shared" si="526"/>
        <v>Mar</v>
      </c>
      <c r="P5288" s="921">
        <f t="shared" si="527"/>
        <v>13</v>
      </c>
    </row>
    <row r="5289" spans="1:16" ht="15" hidden="1" customHeight="1">
      <c r="A5289" s="839">
        <v>64997059</v>
      </c>
      <c r="B5289" s="839">
        <v>3985</v>
      </c>
      <c r="C5289" s="906">
        <v>19968</v>
      </c>
      <c r="D5289" s="907">
        <v>46104</v>
      </c>
      <c r="E5289" s="839" t="s">
        <v>1050</v>
      </c>
      <c r="F5289" s="839">
        <v>3985</v>
      </c>
      <c r="G5289" s="916">
        <f>VLOOKUP($A5289,'Tech Litons'!$A:$I,8,FALSE)</f>
        <v>5.6760000000000005E-3</v>
      </c>
      <c r="H5289" s="917">
        <f>VLOOKUP($A5289,'Tech Litons'!$A:$I,9,FALSE)</f>
        <v>96</v>
      </c>
      <c r="I5289" s="917" t="str">
        <f>VLOOKUP($A5289,'Tech Litons'!$A:$C,3,0)</f>
        <v>Other</v>
      </c>
      <c r="J5289" s="918" t="str">
        <f t="shared" si="522"/>
        <v>3985Other</v>
      </c>
      <c r="K5289" s="919">
        <v>1</v>
      </c>
      <c r="L5289" s="920">
        <f t="shared" si="523"/>
        <v>19968</v>
      </c>
      <c r="M5289" s="920">
        <f t="shared" si="524"/>
        <v>113.338368</v>
      </c>
      <c r="N5289" s="920">
        <f t="shared" si="525"/>
        <v>208</v>
      </c>
      <c r="O5289" s="918" t="str">
        <f t="shared" si="526"/>
        <v>Mar</v>
      </c>
      <c r="P5289" s="921">
        <f t="shared" si="527"/>
        <v>13</v>
      </c>
    </row>
    <row r="5290" spans="1:16" ht="15" hidden="1" customHeight="1">
      <c r="A5290" s="608">
        <v>68922108</v>
      </c>
      <c r="B5290" s="608">
        <v>2904</v>
      </c>
      <c r="C5290" s="601">
        <v>730008</v>
      </c>
      <c r="D5290" s="606">
        <v>46174</v>
      </c>
      <c r="E5290" s="608" t="s">
        <v>276</v>
      </c>
      <c r="F5290" s="608" t="s">
        <v>850</v>
      </c>
      <c r="G5290" s="395">
        <f>VLOOKUP($A5290,'Tech Litons'!$A:$I,8,FALSE)</f>
        <v>3.7839999999999996E-3</v>
      </c>
      <c r="H5290" s="174">
        <f>VLOOKUP($A5290,'Tech Litons'!$A:$I,9,FALSE)</f>
        <v>255</v>
      </c>
      <c r="I5290" s="174" t="str">
        <f>VLOOKUP($A5290,'Tech Litons'!$A:$C,3,0)</f>
        <v>TALENTI</v>
      </c>
      <c r="J5290" s="175" t="str">
        <f t="shared" ref="J5290:J5303" si="528">B5290&amp;I5290</f>
        <v>2904TALENTI</v>
      </c>
      <c r="K5290" s="974">
        <v>0.96</v>
      </c>
      <c r="L5290" s="177">
        <f t="shared" ref="L5290:L5353" si="529">C5290*$K5290</f>
        <v>700807.67999999993</v>
      </c>
      <c r="M5290" s="177">
        <f t="shared" ref="M5290:M5303" si="530">L5290*G5290</f>
        <v>2651.8562611199995</v>
      </c>
      <c r="N5290" s="177">
        <f t="shared" ref="N5290:N5303" si="531">L5290/H5290</f>
        <v>2748.2654117647057</v>
      </c>
      <c r="O5290" s="175" t="str">
        <f t="shared" ref="O5290:O5303" si="532">TEXT(D5290,"MMM")</f>
        <v>Jun</v>
      </c>
      <c r="P5290" s="265">
        <f t="shared" ref="P5290:P5303" si="533">WEEKNUM(D5290)</f>
        <v>23</v>
      </c>
    </row>
    <row r="5291" spans="1:16" ht="15" hidden="1" customHeight="1">
      <c r="A5291" s="608">
        <v>68922108</v>
      </c>
      <c r="B5291" s="608">
        <v>2904</v>
      </c>
      <c r="C5291" s="601">
        <v>730008</v>
      </c>
      <c r="D5291" s="606">
        <v>46204</v>
      </c>
      <c r="E5291" s="608" t="s">
        <v>276</v>
      </c>
      <c r="F5291" s="608" t="s">
        <v>850</v>
      </c>
      <c r="G5291" s="395">
        <f>VLOOKUP($A5291,'Tech Litons'!$A:$I,8,FALSE)</f>
        <v>3.7839999999999996E-3</v>
      </c>
      <c r="H5291" s="174">
        <f>VLOOKUP($A5291,'Tech Litons'!$A:$I,9,FALSE)</f>
        <v>255</v>
      </c>
      <c r="I5291" s="174" t="str">
        <f>VLOOKUP($A5291,'Tech Litons'!$A:$C,3,0)</f>
        <v>TALENTI</v>
      </c>
      <c r="J5291" s="175" t="str">
        <f t="shared" si="528"/>
        <v>2904TALENTI</v>
      </c>
      <c r="K5291" s="974">
        <v>0.96</v>
      </c>
      <c r="L5291" s="177">
        <f t="shared" si="529"/>
        <v>700807.67999999993</v>
      </c>
      <c r="M5291" s="177">
        <f t="shared" si="530"/>
        <v>2651.8562611199995</v>
      </c>
      <c r="N5291" s="177">
        <f t="shared" si="531"/>
        <v>2748.2654117647057</v>
      </c>
      <c r="O5291" s="175" t="str">
        <f t="shared" si="532"/>
        <v>Jul</v>
      </c>
      <c r="P5291" s="265">
        <f t="shared" si="533"/>
        <v>27</v>
      </c>
    </row>
    <row r="5292" spans="1:16" ht="15" hidden="1" customHeight="1">
      <c r="A5292" s="608">
        <v>68922108</v>
      </c>
      <c r="B5292" s="608">
        <v>2904</v>
      </c>
      <c r="C5292" s="601">
        <v>808223.14285714284</v>
      </c>
      <c r="D5292" s="606">
        <v>46235</v>
      </c>
      <c r="E5292" s="608" t="s">
        <v>276</v>
      </c>
      <c r="F5292" s="608" t="s">
        <v>850</v>
      </c>
      <c r="G5292" s="395">
        <f>VLOOKUP($A5292,'Tech Litons'!$A:$I,8,FALSE)</f>
        <v>3.7839999999999996E-3</v>
      </c>
      <c r="H5292" s="174">
        <f>VLOOKUP($A5292,'Tech Litons'!$A:$I,9,FALSE)</f>
        <v>255</v>
      </c>
      <c r="I5292" s="174" t="str">
        <f>VLOOKUP($A5292,'Tech Litons'!$A:$C,3,0)</f>
        <v>TALENTI</v>
      </c>
      <c r="J5292" s="175" t="str">
        <f t="shared" si="528"/>
        <v>2904TALENTI</v>
      </c>
      <c r="K5292" s="974">
        <v>0.96</v>
      </c>
      <c r="L5292" s="177">
        <f t="shared" si="529"/>
        <v>775894.21714285715</v>
      </c>
      <c r="M5292" s="177">
        <f t="shared" si="530"/>
        <v>2935.983717668571</v>
      </c>
      <c r="N5292" s="177">
        <f t="shared" si="531"/>
        <v>3042.7224201680674</v>
      </c>
      <c r="O5292" s="175" t="str">
        <f t="shared" si="532"/>
        <v>Aug</v>
      </c>
      <c r="P5292" s="265">
        <f t="shared" si="533"/>
        <v>31</v>
      </c>
    </row>
    <row r="5293" spans="1:16" ht="15" hidden="1" customHeight="1">
      <c r="A5293" s="608">
        <v>68922108</v>
      </c>
      <c r="B5293" s="608">
        <v>2904</v>
      </c>
      <c r="C5293" s="601">
        <f>170000*3.5</f>
        <v>595000</v>
      </c>
      <c r="D5293" s="606">
        <v>46266</v>
      </c>
      <c r="E5293" s="608" t="s">
        <v>276</v>
      </c>
      <c r="F5293" s="608" t="s">
        <v>850</v>
      </c>
      <c r="G5293" s="395">
        <f>VLOOKUP($A5293,'Tech Litons'!$A:$I,8,FALSE)</f>
        <v>3.7839999999999996E-3</v>
      </c>
      <c r="H5293" s="174">
        <f>VLOOKUP($A5293,'Tech Litons'!$A:$I,9,FALSE)</f>
        <v>255</v>
      </c>
      <c r="I5293" s="174" t="str">
        <f>VLOOKUP($A5293,'Tech Litons'!$A:$C,3,0)</f>
        <v>TALENTI</v>
      </c>
      <c r="J5293" s="175" t="str">
        <f t="shared" si="528"/>
        <v>2904TALENTI</v>
      </c>
      <c r="K5293" s="974">
        <v>0.96</v>
      </c>
      <c r="L5293" s="177">
        <f t="shared" si="529"/>
        <v>571200</v>
      </c>
      <c r="M5293" s="177">
        <f t="shared" si="530"/>
        <v>2161.4207999999999</v>
      </c>
      <c r="N5293" s="177">
        <f t="shared" si="531"/>
        <v>2240</v>
      </c>
      <c r="O5293" s="175" t="str">
        <f t="shared" si="532"/>
        <v>Sep</v>
      </c>
      <c r="P5293" s="265">
        <f t="shared" si="533"/>
        <v>36</v>
      </c>
    </row>
    <row r="5294" spans="1:16" ht="15" hidden="1" customHeight="1">
      <c r="A5294" s="608">
        <v>68922108</v>
      </c>
      <c r="B5294" s="608">
        <v>2904</v>
      </c>
      <c r="C5294" s="601">
        <f>170000*4</f>
        <v>680000</v>
      </c>
      <c r="D5294" s="606">
        <v>46296</v>
      </c>
      <c r="E5294" s="608" t="s">
        <v>276</v>
      </c>
      <c r="F5294" s="608" t="s">
        <v>850</v>
      </c>
      <c r="G5294" s="395">
        <f>VLOOKUP($A5294,'Tech Litons'!$A:$I,8,FALSE)</f>
        <v>3.7839999999999996E-3</v>
      </c>
      <c r="H5294" s="174">
        <f>VLOOKUP($A5294,'Tech Litons'!$A:$I,9,FALSE)</f>
        <v>255</v>
      </c>
      <c r="I5294" s="174" t="str">
        <f>VLOOKUP($A5294,'Tech Litons'!$A:$C,3,0)</f>
        <v>TALENTI</v>
      </c>
      <c r="J5294" s="175" t="str">
        <f t="shared" si="528"/>
        <v>2904TALENTI</v>
      </c>
      <c r="K5294" s="974">
        <v>0.96</v>
      </c>
      <c r="L5294" s="177">
        <f t="shared" si="529"/>
        <v>652800</v>
      </c>
      <c r="M5294" s="177">
        <f t="shared" si="530"/>
        <v>2470.1951999999997</v>
      </c>
      <c r="N5294" s="177">
        <f t="shared" si="531"/>
        <v>2560</v>
      </c>
      <c r="O5294" s="175" t="str">
        <f t="shared" si="532"/>
        <v>Oct</v>
      </c>
      <c r="P5294" s="265">
        <f t="shared" si="533"/>
        <v>40</v>
      </c>
    </row>
    <row r="5295" spans="1:16" ht="15" hidden="1" customHeight="1">
      <c r="A5295" s="608">
        <v>68922108</v>
      </c>
      <c r="B5295" s="608">
        <v>2904</v>
      </c>
      <c r="C5295" s="601">
        <f>170000*2.5</f>
        <v>425000</v>
      </c>
      <c r="D5295" s="606">
        <v>46327</v>
      </c>
      <c r="E5295" s="608" t="s">
        <v>276</v>
      </c>
      <c r="F5295" s="608" t="s">
        <v>850</v>
      </c>
      <c r="G5295" s="395">
        <f>VLOOKUP($A5295,'Tech Litons'!$A:$I,8,FALSE)</f>
        <v>3.7839999999999996E-3</v>
      </c>
      <c r="H5295" s="174">
        <f>VLOOKUP($A5295,'Tech Litons'!$A:$I,9,FALSE)</f>
        <v>255</v>
      </c>
      <c r="I5295" s="174" t="str">
        <f>VLOOKUP($A5295,'Tech Litons'!$A:$C,3,0)</f>
        <v>TALENTI</v>
      </c>
      <c r="J5295" s="175" t="str">
        <f t="shared" si="528"/>
        <v>2904TALENTI</v>
      </c>
      <c r="K5295" s="974">
        <v>0.96</v>
      </c>
      <c r="L5295" s="177">
        <f t="shared" si="529"/>
        <v>408000</v>
      </c>
      <c r="M5295" s="177">
        <f t="shared" si="530"/>
        <v>1543.8719999999998</v>
      </c>
      <c r="N5295" s="177">
        <f t="shared" si="531"/>
        <v>1600</v>
      </c>
      <c r="O5295" s="175" t="str">
        <f t="shared" si="532"/>
        <v>Nov</v>
      </c>
      <c r="P5295" s="265">
        <f t="shared" si="533"/>
        <v>45</v>
      </c>
    </row>
    <row r="5296" spans="1:16" ht="15" hidden="1" customHeight="1">
      <c r="A5296" s="608">
        <v>68922108</v>
      </c>
      <c r="B5296" s="608">
        <v>2904</v>
      </c>
      <c r="C5296" s="601">
        <v>417147.42857142858</v>
      </c>
      <c r="D5296" s="606">
        <v>46357</v>
      </c>
      <c r="E5296" s="608" t="s">
        <v>276</v>
      </c>
      <c r="F5296" s="608" t="s">
        <v>850</v>
      </c>
      <c r="G5296" s="395">
        <f>VLOOKUP($A5296,'Tech Litons'!$A:$I,8,FALSE)</f>
        <v>3.7839999999999996E-3</v>
      </c>
      <c r="H5296" s="174">
        <f>VLOOKUP($A5296,'Tech Litons'!$A:$I,9,FALSE)</f>
        <v>255</v>
      </c>
      <c r="I5296" s="174" t="str">
        <f>VLOOKUP($A5296,'Tech Litons'!$A:$C,3,0)</f>
        <v>TALENTI</v>
      </c>
      <c r="J5296" s="175" t="str">
        <f t="shared" si="528"/>
        <v>2904TALENTI</v>
      </c>
      <c r="K5296" s="974">
        <v>0.96</v>
      </c>
      <c r="L5296" s="177">
        <f t="shared" si="529"/>
        <v>400461.53142857144</v>
      </c>
      <c r="M5296" s="177">
        <f t="shared" si="530"/>
        <v>1515.3464349257142</v>
      </c>
      <c r="N5296" s="177">
        <f t="shared" si="531"/>
        <v>1570.4373781512606</v>
      </c>
      <c r="O5296" s="175" t="str">
        <f t="shared" si="532"/>
        <v>Dec</v>
      </c>
      <c r="P5296" s="265">
        <f t="shared" si="533"/>
        <v>49</v>
      </c>
    </row>
    <row r="5297" spans="1:16" ht="15" hidden="1" customHeight="1">
      <c r="A5297" s="608">
        <v>68867755</v>
      </c>
      <c r="B5297" s="608">
        <v>2904</v>
      </c>
      <c r="C5297" s="601">
        <v>312408</v>
      </c>
      <c r="D5297" s="606">
        <v>46174</v>
      </c>
      <c r="E5297" s="608" t="s">
        <v>274</v>
      </c>
      <c r="F5297" s="608" t="s">
        <v>1249</v>
      </c>
      <c r="G5297" s="395">
        <f>VLOOKUP($A5297,'Tech Litons'!$A:$I,8,FALSE)</f>
        <v>3.552E-3</v>
      </c>
      <c r="H5297" s="174">
        <f>VLOOKUP($A5297,'Tech Litons'!$A:$I,9,FALSE)</f>
        <v>255</v>
      </c>
      <c r="I5297" s="174" t="str">
        <f>VLOOKUP($A5297,'Tech Litons'!$A:$C,3,0)</f>
        <v>Talenti</v>
      </c>
      <c r="J5297" s="175" t="str">
        <f t="shared" si="528"/>
        <v>2904Talenti</v>
      </c>
      <c r="K5297" s="974">
        <v>0.96</v>
      </c>
      <c r="L5297" s="177">
        <f t="shared" si="529"/>
        <v>299911.67999999999</v>
      </c>
      <c r="M5297" s="177">
        <f t="shared" si="530"/>
        <v>1065.28628736</v>
      </c>
      <c r="N5297" s="177">
        <f t="shared" si="531"/>
        <v>1176.1242352941176</v>
      </c>
      <c r="O5297" s="175" t="str">
        <f t="shared" si="532"/>
        <v>Jun</v>
      </c>
      <c r="P5297" s="265">
        <f t="shared" si="533"/>
        <v>23</v>
      </c>
    </row>
    <row r="5298" spans="1:16" ht="15" hidden="1" customHeight="1">
      <c r="A5298" s="608">
        <v>68867755</v>
      </c>
      <c r="B5298" s="608">
        <v>2904</v>
      </c>
      <c r="C5298" s="601">
        <v>312408</v>
      </c>
      <c r="D5298" s="606">
        <v>46204</v>
      </c>
      <c r="E5298" s="608" t="s">
        <v>274</v>
      </c>
      <c r="F5298" s="608" t="s">
        <v>1249</v>
      </c>
      <c r="G5298" s="395">
        <f>VLOOKUP($A5298,'Tech Litons'!$A:$I,8,FALSE)</f>
        <v>3.552E-3</v>
      </c>
      <c r="H5298" s="174">
        <f>VLOOKUP($A5298,'Tech Litons'!$A:$I,9,FALSE)</f>
        <v>255</v>
      </c>
      <c r="I5298" s="174" t="str">
        <f>VLOOKUP($A5298,'Tech Litons'!$A:$C,3,0)</f>
        <v>Talenti</v>
      </c>
      <c r="J5298" s="175" t="str">
        <f t="shared" si="528"/>
        <v>2904Talenti</v>
      </c>
      <c r="K5298" s="974">
        <v>0.96</v>
      </c>
      <c r="L5298" s="177">
        <f t="shared" si="529"/>
        <v>299911.67999999999</v>
      </c>
      <c r="M5298" s="177">
        <f t="shared" si="530"/>
        <v>1065.28628736</v>
      </c>
      <c r="N5298" s="177">
        <f t="shared" si="531"/>
        <v>1176.1242352941176</v>
      </c>
      <c r="O5298" s="175" t="str">
        <f t="shared" si="532"/>
        <v>Jul</v>
      </c>
      <c r="P5298" s="265">
        <f t="shared" si="533"/>
        <v>27</v>
      </c>
    </row>
    <row r="5299" spans="1:16" ht="15" hidden="1" customHeight="1">
      <c r="A5299" s="608">
        <v>68867755</v>
      </c>
      <c r="B5299" s="608">
        <v>2904</v>
      </c>
      <c r="C5299" s="601">
        <v>345880.28571428568</v>
      </c>
      <c r="D5299" s="606">
        <v>46235</v>
      </c>
      <c r="E5299" s="608" t="s">
        <v>274</v>
      </c>
      <c r="F5299" s="608" t="s">
        <v>1249</v>
      </c>
      <c r="G5299" s="395">
        <f>VLOOKUP($A5299,'Tech Litons'!$A:$I,8,FALSE)</f>
        <v>3.552E-3</v>
      </c>
      <c r="H5299" s="174">
        <f>VLOOKUP($A5299,'Tech Litons'!$A:$I,9,FALSE)</f>
        <v>255</v>
      </c>
      <c r="I5299" s="174" t="str">
        <f>VLOOKUP($A5299,'Tech Litons'!$A:$C,3,0)</f>
        <v>Talenti</v>
      </c>
      <c r="J5299" s="175" t="str">
        <f t="shared" si="528"/>
        <v>2904Talenti</v>
      </c>
      <c r="K5299" s="974">
        <v>0.96</v>
      </c>
      <c r="L5299" s="177">
        <f t="shared" si="529"/>
        <v>332045.07428571425</v>
      </c>
      <c r="M5299" s="177">
        <f t="shared" si="530"/>
        <v>1179.424103862857</v>
      </c>
      <c r="N5299" s="177">
        <f t="shared" si="531"/>
        <v>1302.1375462184872</v>
      </c>
      <c r="O5299" s="175" t="str">
        <f t="shared" si="532"/>
        <v>Aug</v>
      </c>
      <c r="P5299" s="265">
        <f t="shared" si="533"/>
        <v>31</v>
      </c>
    </row>
    <row r="5300" spans="1:16" ht="15" hidden="1" customHeight="1">
      <c r="A5300" s="608">
        <v>68867755</v>
      </c>
      <c r="B5300" s="608">
        <v>2904</v>
      </c>
      <c r="C5300" s="601">
        <f>70000*3.5</f>
        <v>245000</v>
      </c>
      <c r="D5300" s="606">
        <v>46266</v>
      </c>
      <c r="E5300" s="608" t="s">
        <v>274</v>
      </c>
      <c r="F5300" s="608" t="s">
        <v>1249</v>
      </c>
      <c r="G5300" s="395">
        <f>VLOOKUP($A5300,'Tech Litons'!$A:$I,8,FALSE)</f>
        <v>3.552E-3</v>
      </c>
      <c r="H5300" s="174">
        <f>VLOOKUP($A5300,'Tech Litons'!$A:$I,9,FALSE)</f>
        <v>255</v>
      </c>
      <c r="I5300" s="174" t="str">
        <f>VLOOKUP($A5300,'Tech Litons'!$A:$C,3,0)</f>
        <v>Talenti</v>
      </c>
      <c r="J5300" s="175" t="str">
        <f t="shared" si="528"/>
        <v>2904Talenti</v>
      </c>
      <c r="K5300" s="974">
        <v>0.96</v>
      </c>
      <c r="L5300" s="177">
        <f t="shared" si="529"/>
        <v>235200</v>
      </c>
      <c r="M5300" s="177">
        <f t="shared" si="530"/>
        <v>835.43039999999996</v>
      </c>
      <c r="N5300" s="177">
        <f t="shared" si="531"/>
        <v>922.35294117647061</v>
      </c>
      <c r="O5300" s="175" t="str">
        <f t="shared" si="532"/>
        <v>Sep</v>
      </c>
      <c r="P5300" s="265">
        <f t="shared" si="533"/>
        <v>36</v>
      </c>
    </row>
    <row r="5301" spans="1:16" ht="15" hidden="1" customHeight="1">
      <c r="A5301" s="608">
        <v>68867755</v>
      </c>
      <c r="B5301" s="608">
        <v>2904</v>
      </c>
      <c r="C5301" s="601">
        <v>312408</v>
      </c>
      <c r="D5301" s="606">
        <v>46296</v>
      </c>
      <c r="E5301" s="608" t="s">
        <v>274</v>
      </c>
      <c r="F5301" s="608" t="s">
        <v>1249</v>
      </c>
      <c r="G5301" s="395">
        <f>VLOOKUP($A5301,'Tech Litons'!$A:$I,8,FALSE)</f>
        <v>3.552E-3</v>
      </c>
      <c r="H5301" s="174">
        <f>VLOOKUP($A5301,'Tech Litons'!$A:$I,9,FALSE)</f>
        <v>255</v>
      </c>
      <c r="I5301" s="174" t="str">
        <f>VLOOKUP($A5301,'Tech Litons'!$A:$C,3,0)</f>
        <v>Talenti</v>
      </c>
      <c r="J5301" s="175" t="str">
        <f t="shared" si="528"/>
        <v>2904Talenti</v>
      </c>
      <c r="K5301" s="974">
        <v>0.96</v>
      </c>
      <c r="L5301" s="177">
        <f t="shared" si="529"/>
        <v>299911.67999999999</v>
      </c>
      <c r="M5301" s="177">
        <f t="shared" si="530"/>
        <v>1065.28628736</v>
      </c>
      <c r="N5301" s="177">
        <f t="shared" si="531"/>
        <v>1176.1242352941176</v>
      </c>
      <c r="O5301" s="175" t="str">
        <f t="shared" si="532"/>
        <v>Oct</v>
      </c>
      <c r="P5301" s="265">
        <f t="shared" si="533"/>
        <v>40</v>
      </c>
    </row>
    <row r="5302" spans="1:16" ht="15" hidden="1" customHeight="1">
      <c r="A5302" s="608">
        <v>68867755</v>
      </c>
      <c r="B5302" s="608">
        <v>2904</v>
      </c>
      <c r="C5302" s="601">
        <f>70000*2.5</f>
        <v>175000</v>
      </c>
      <c r="D5302" s="606">
        <v>46327</v>
      </c>
      <c r="E5302" s="608" t="s">
        <v>274</v>
      </c>
      <c r="F5302" s="608" t="s">
        <v>1249</v>
      </c>
      <c r="G5302" s="395">
        <f>VLOOKUP($A5302,'Tech Litons'!$A:$I,8,FALSE)</f>
        <v>3.552E-3</v>
      </c>
      <c r="H5302" s="174">
        <f>VLOOKUP($A5302,'Tech Litons'!$A:$I,9,FALSE)</f>
        <v>255</v>
      </c>
      <c r="I5302" s="174" t="str">
        <f>VLOOKUP($A5302,'Tech Litons'!$A:$C,3,0)</f>
        <v>Talenti</v>
      </c>
      <c r="J5302" s="175" t="str">
        <f t="shared" si="528"/>
        <v>2904Talenti</v>
      </c>
      <c r="K5302" s="974">
        <v>0.96</v>
      </c>
      <c r="L5302" s="177">
        <f t="shared" si="529"/>
        <v>168000</v>
      </c>
      <c r="M5302" s="177">
        <f t="shared" si="530"/>
        <v>596.73599999999999</v>
      </c>
      <c r="N5302" s="177">
        <f t="shared" si="531"/>
        <v>658.82352941176475</v>
      </c>
      <c r="O5302" s="175" t="str">
        <f t="shared" si="532"/>
        <v>Nov</v>
      </c>
      <c r="P5302" s="265">
        <f t="shared" si="533"/>
        <v>45</v>
      </c>
    </row>
    <row r="5303" spans="1:16" ht="15" hidden="1" customHeight="1">
      <c r="A5303" s="608">
        <v>68867755</v>
      </c>
      <c r="B5303" s="608">
        <v>2904</v>
      </c>
      <c r="C5303" s="601">
        <v>290093.14285714284</v>
      </c>
      <c r="D5303" s="606">
        <v>46357</v>
      </c>
      <c r="E5303" s="608" t="s">
        <v>274</v>
      </c>
      <c r="F5303" s="608" t="s">
        <v>1249</v>
      </c>
      <c r="G5303" s="395">
        <f>VLOOKUP($A5303,'Tech Litons'!$A:$I,8,FALSE)</f>
        <v>3.552E-3</v>
      </c>
      <c r="H5303" s="174">
        <f>VLOOKUP($A5303,'Tech Litons'!$A:$I,9,FALSE)</f>
        <v>255</v>
      </c>
      <c r="I5303" s="174" t="str">
        <f>VLOOKUP($A5303,'Tech Litons'!$A:$C,3,0)</f>
        <v>Talenti</v>
      </c>
      <c r="J5303" s="175" t="str">
        <f t="shared" si="528"/>
        <v>2904Talenti</v>
      </c>
      <c r="K5303" s="974">
        <v>0.96</v>
      </c>
      <c r="L5303" s="177">
        <f t="shared" si="529"/>
        <v>278489.4171428571</v>
      </c>
      <c r="M5303" s="177">
        <f t="shared" si="530"/>
        <v>989.1944096914284</v>
      </c>
      <c r="N5303" s="177">
        <f t="shared" si="531"/>
        <v>1092.1153613445376</v>
      </c>
      <c r="O5303" s="175" t="str">
        <f t="shared" si="532"/>
        <v>Dec</v>
      </c>
      <c r="P5303" s="265">
        <f t="shared" si="533"/>
        <v>49</v>
      </c>
    </row>
    <row r="5304" spans="1:16" ht="15" hidden="1" customHeight="1">
      <c r="A5304" s="608">
        <v>68851108</v>
      </c>
      <c r="B5304" s="608">
        <v>2904</v>
      </c>
      <c r="C5304" s="601">
        <f>534692.571428571</f>
        <v>534692.57142857101</v>
      </c>
      <c r="D5304" s="606">
        <v>46174</v>
      </c>
      <c r="E5304" s="608" t="s">
        <v>296</v>
      </c>
      <c r="F5304" s="608" t="s">
        <v>273</v>
      </c>
      <c r="G5304" s="395">
        <f>VLOOKUP($A5304,'Tech Litons'!$A:$I,8,FALSE)</f>
        <v>8.5199999999999998E-3</v>
      </c>
      <c r="H5304" s="174">
        <f>VLOOKUP($A5304,'Tech Litons'!$A:$I,9,FALSE)</f>
        <v>176</v>
      </c>
      <c r="I5304" s="174" t="str">
        <f>VLOOKUP($A5304,'Tech Litons'!$A:$C,3,0)</f>
        <v>48oz</v>
      </c>
      <c r="J5304" s="175" t="str">
        <f t="shared" ref="J5304:J5324" si="534">B5304&amp;I5304</f>
        <v>290448oz</v>
      </c>
      <c r="K5304" s="1013">
        <v>0.9</v>
      </c>
      <c r="L5304" s="177">
        <f t="shared" si="529"/>
        <v>481223.31428571395</v>
      </c>
      <c r="M5304" s="177">
        <f t="shared" ref="M5304:M5324" si="535">L5304*G5304</f>
        <v>4100.0226377142826</v>
      </c>
      <c r="N5304" s="177">
        <f t="shared" ref="N5304:N5324" si="536">L5304/H5304</f>
        <v>2734.2233766233749</v>
      </c>
      <c r="O5304" s="175" t="str">
        <f t="shared" ref="O5304:O5324" si="537">TEXT(D5304,"MMM")</f>
        <v>Jun</v>
      </c>
      <c r="P5304" s="265">
        <f t="shared" ref="P5304:P5324" si="538">WEEKNUM(D5304)</f>
        <v>23</v>
      </c>
    </row>
    <row r="5305" spans="1:16" ht="15" hidden="1" customHeight="1">
      <c r="A5305" s="608">
        <v>68851108</v>
      </c>
      <c r="B5305" s="608">
        <v>2904</v>
      </c>
      <c r="C5305" s="601">
        <v>554496</v>
      </c>
      <c r="D5305" s="606">
        <v>46204</v>
      </c>
      <c r="E5305" s="608" t="s">
        <v>296</v>
      </c>
      <c r="F5305" s="608" t="s">
        <v>273</v>
      </c>
      <c r="G5305" s="395">
        <f>VLOOKUP($A5305,'Tech Litons'!$A:$I,8,FALSE)</f>
        <v>8.5199999999999998E-3</v>
      </c>
      <c r="H5305" s="174">
        <f>VLOOKUP($A5305,'Tech Litons'!$A:$I,9,FALSE)</f>
        <v>176</v>
      </c>
      <c r="I5305" s="174" t="str">
        <f>VLOOKUP($A5305,'Tech Litons'!$A:$C,3,0)</f>
        <v>48oz</v>
      </c>
      <c r="J5305" s="175" t="str">
        <f t="shared" si="534"/>
        <v>290448oz</v>
      </c>
      <c r="K5305" s="1013">
        <v>0.9</v>
      </c>
      <c r="L5305" s="177">
        <f t="shared" si="529"/>
        <v>499046.40000000002</v>
      </c>
      <c r="M5305" s="177">
        <f t="shared" si="535"/>
        <v>4251.8753280000001</v>
      </c>
      <c r="N5305" s="177">
        <f t="shared" si="536"/>
        <v>2835.4909090909091</v>
      </c>
      <c r="O5305" s="175" t="str">
        <f t="shared" si="537"/>
        <v>Jul</v>
      </c>
      <c r="P5305" s="265">
        <f t="shared" si="538"/>
        <v>27</v>
      </c>
    </row>
    <row r="5306" spans="1:16" ht="15" hidden="1" customHeight="1">
      <c r="A5306" s="608">
        <v>68851108</v>
      </c>
      <c r="B5306" s="608">
        <v>2904</v>
      </c>
      <c r="C5306" s="601">
        <v>594102.85714285716</v>
      </c>
      <c r="D5306" s="606">
        <v>46235</v>
      </c>
      <c r="E5306" s="608" t="s">
        <v>296</v>
      </c>
      <c r="F5306" s="608" t="s">
        <v>273</v>
      </c>
      <c r="G5306" s="395">
        <f>VLOOKUP($A5306,'Tech Litons'!$A:$I,8,FALSE)</f>
        <v>8.5199999999999998E-3</v>
      </c>
      <c r="H5306" s="174">
        <f>VLOOKUP($A5306,'Tech Litons'!$A:$I,9,FALSE)</f>
        <v>176</v>
      </c>
      <c r="I5306" s="174" t="str">
        <f>VLOOKUP($A5306,'Tech Litons'!$A:$C,3,0)</f>
        <v>48oz</v>
      </c>
      <c r="J5306" s="175" t="str">
        <f t="shared" si="534"/>
        <v>290448oz</v>
      </c>
      <c r="K5306" s="1013">
        <v>0.9</v>
      </c>
      <c r="L5306" s="177">
        <f t="shared" si="529"/>
        <v>534692.57142857148</v>
      </c>
      <c r="M5306" s="177">
        <f t="shared" si="535"/>
        <v>4555.5807085714287</v>
      </c>
      <c r="N5306" s="177">
        <f t="shared" si="536"/>
        <v>3038.0259740259744</v>
      </c>
      <c r="O5306" s="175" t="str">
        <f t="shared" si="537"/>
        <v>Aug</v>
      </c>
      <c r="P5306" s="265">
        <f t="shared" si="538"/>
        <v>31</v>
      </c>
    </row>
    <row r="5307" spans="1:16" ht="15" hidden="1" customHeight="1">
      <c r="A5307" s="608">
        <v>68851108</v>
      </c>
      <c r="B5307" s="608">
        <v>2904</v>
      </c>
      <c r="C5307" s="601">
        <v>450000</v>
      </c>
      <c r="D5307" s="606">
        <v>46266</v>
      </c>
      <c r="E5307" s="608" t="s">
        <v>296</v>
      </c>
      <c r="F5307" s="608" t="s">
        <v>273</v>
      </c>
      <c r="G5307" s="395">
        <f>VLOOKUP($A5307,'Tech Litons'!$A:$I,8,FALSE)</f>
        <v>8.5199999999999998E-3</v>
      </c>
      <c r="H5307" s="174">
        <f>VLOOKUP($A5307,'Tech Litons'!$A:$I,9,FALSE)</f>
        <v>176</v>
      </c>
      <c r="I5307" s="174" t="str">
        <f>VLOOKUP($A5307,'Tech Litons'!$A:$C,3,0)</f>
        <v>48oz</v>
      </c>
      <c r="J5307" s="175" t="str">
        <f t="shared" si="534"/>
        <v>290448oz</v>
      </c>
      <c r="K5307" s="1013">
        <v>0.95499999999999996</v>
      </c>
      <c r="L5307" s="177">
        <f t="shared" si="529"/>
        <v>429750</v>
      </c>
      <c r="M5307" s="177">
        <f t="shared" si="535"/>
        <v>3661.47</v>
      </c>
      <c r="N5307" s="177">
        <f t="shared" si="536"/>
        <v>2441.7613636363635</v>
      </c>
      <c r="O5307" s="175" t="str">
        <f t="shared" si="537"/>
        <v>Sep</v>
      </c>
      <c r="P5307" s="265">
        <f t="shared" si="538"/>
        <v>36</v>
      </c>
    </row>
    <row r="5308" spans="1:16" ht="15" hidden="1" customHeight="1">
      <c r="A5308" s="608">
        <v>68851108</v>
      </c>
      <c r="B5308" s="608">
        <v>2904</v>
      </c>
      <c r="C5308" s="601">
        <v>356461.71428571426</v>
      </c>
      <c r="D5308" s="606">
        <v>46296</v>
      </c>
      <c r="E5308" s="608" t="s">
        <v>296</v>
      </c>
      <c r="F5308" s="608" t="s">
        <v>273</v>
      </c>
      <c r="G5308" s="395">
        <f>VLOOKUP($A5308,'Tech Litons'!$A:$I,8,FALSE)</f>
        <v>8.5199999999999998E-3</v>
      </c>
      <c r="H5308" s="174">
        <f>VLOOKUP($A5308,'Tech Litons'!$A:$I,9,FALSE)</f>
        <v>176</v>
      </c>
      <c r="I5308" s="174" t="str">
        <f>VLOOKUP($A5308,'Tech Litons'!$A:$C,3,0)</f>
        <v>48oz</v>
      </c>
      <c r="J5308" s="175" t="str">
        <f t="shared" si="534"/>
        <v>290448oz</v>
      </c>
      <c r="K5308" s="1013">
        <v>0.95499999999999996</v>
      </c>
      <c r="L5308" s="177">
        <f t="shared" si="529"/>
        <v>340420.93714285712</v>
      </c>
      <c r="M5308" s="177">
        <f t="shared" si="535"/>
        <v>2900.3863844571424</v>
      </c>
      <c r="N5308" s="177">
        <f t="shared" si="536"/>
        <v>1934.2098701298701</v>
      </c>
      <c r="O5308" s="175" t="str">
        <f t="shared" si="537"/>
        <v>Oct</v>
      </c>
      <c r="P5308" s="265">
        <f t="shared" si="538"/>
        <v>40</v>
      </c>
    </row>
    <row r="5309" spans="1:16" ht="15" hidden="1" customHeight="1">
      <c r="A5309" s="608">
        <v>68851108</v>
      </c>
      <c r="B5309" s="608">
        <v>2904</v>
      </c>
      <c r="C5309" s="601">
        <v>277248</v>
      </c>
      <c r="D5309" s="606">
        <v>46327</v>
      </c>
      <c r="E5309" s="608" t="s">
        <v>296</v>
      </c>
      <c r="F5309" s="608" t="s">
        <v>273</v>
      </c>
      <c r="G5309" s="395">
        <f>VLOOKUP($A5309,'Tech Litons'!$A:$I,8,FALSE)</f>
        <v>8.5199999999999998E-3</v>
      </c>
      <c r="H5309" s="174">
        <f>VLOOKUP($A5309,'Tech Litons'!$A:$I,9,FALSE)</f>
        <v>176</v>
      </c>
      <c r="I5309" s="174" t="str">
        <f>VLOOKUP($A5309,'Tech Litons'!$A:$C,3,0)</f>
        <v>48oz</v>
      </c>
      <c r="J5309" s="175" t="str">
        <f t="shared" si="534"/>
        <v>290448oz</v>
      </c>
      <c r="K5309" s="1013">
        <v>0.95499999999999996</v>
      </c>
      <c r="L5309" s="177">
        <f t="shared" si="529"/>
        <v>264771.83999999997</v>
      </c>
      <c r="M5309" s="177">
        <f t="shared" si="535"/>
        <v>2255.8560767999998</v>
      </c>
      <c r="N5309" s="177">
        <f t="shared" si="536"/>
        <v>1504.3854545454544</v>
      </c>
      <c r="O5309" s="175" t="str">
        <f t="shared" si="537"/>
        <v>Nov</v>
      </c>
      <c r="P5309" s="265">
        <f t="shared" si="538"/>
        <v>45</v>
      </c>
    </row>
    <row r="5310" spans="1:16" ht="15" hidden="1" customHeight="1">
      <c r="A5310" s="608">
        <v>68851108</v>
      </c>
      <c r="B5310" s="608">
        <v>2904</v>
      </c>
      <c r="C5310" s="601">
        <v>277248</v>
      </c>
      <c r="D5310" s="606">
        <v>46357</v>
      </c>
      <c r="E5310" s="608" t="s">
        <v>296</v>
      </c>
      <c r="F5310" s="608" t="s">
        <v>273</v>
      </c>
      <c r="G5310" s="395">
        <f>VLOOKUP($A5310,'Tech Litons'!$A:$I,8,FALSE)</f>
        <v>8.5199999999999998E-3</v>
      </c>
      <c r="H5310" s="174">
        <f>VLOOKUP($A5310,'Tech Litons'!$A:$I,9,FALSE)</f>
        <v>176</v>
      </c>
      <c r="I5310" s="174" t="str">
        <f>VLOOKUP($A5310,'Tech Litons'!$A:$C,3,0)</f>
        <v>48oz</v>
      </c>
      <c r="J5310" s="175" t="str">
        <f t="shared" si="534"/>
        <v>290448oz</v>
      </c>
      <c r="K5310" s="1013">
        <v>0.95499999999999996</v>
      </c>
      <c r="L5310" s="177">
        <f t="shared" si="529"/>
        <v>264771.83999999997</v>
      </c>
      <c r="M5310" s="177">
        <f t="shared" si="535"/>
        <v>2255.8560767999998</v>
      </c>
      <c r="N5310" s="177">
        <f t="shared" si="536"/>
        <v>1504.3854545454544</v>
      </c>
      <c r="O5310" s="175" t="str">
        <f t="shared" si="537"/>
        <v>Dec</v>
      </c>
      <c r="P5310" s="265">
        <f t="shared" si="538"/>
        <v>49</v>
      </c>
    </row>
    <row r="5311" spans="1:16" ht="15" hidden="1" customHeight="1">
      <c r="A5311" s="608">
        <v>68851107</v>
      </c>
      <c r="B5311" s="608">
        <v>2904</v>
      </c>
      <c r="C5311" s="601">
        <v>295488</v>
      </c>
      <c r="D5311" s="606">
        <v>46174</v>
      </c>
      <c r="E5311" s="608" t="s">
        <v>272</v>
      </c>
      <c r="F5311" s="608" t="s">
        <v>271</v>
      </c>
      <c r="G5311" s="395">
        <f>VLOOKUP($A5311,'Tech Litons'!$A:$I,8,FALSE)</f>
        <v>8.5199999999999998E-3</v>
      </c>
      <c r="H5311" s="174">
        <f>VLOOKUP($A5311,'Tech Litons'!$A:$I,9,FALSE)</f>
        <v>176</v>
      </c>
      <c r="I5311" s="174" t="str">
        <f>VLOOKUP($A5311,'Tech Litons'!$A:$C,3,0)</f>
        <v>48oz</v>
      </c>
      <c r="J5311" s="175" t="str">
        <f t="shared" si="534"/>
        <v>290448oz</v>
      </c>
      <c r="K5311" s="1013">
        <v>0.9</v>
      </c>
      <c r="L5311" s="177">
        <f t="shared" si="529"/>
        <v>265939.20000000001</v>
      </c>
      <c r="M5311" s="177">
        <f t="shared" si="535"/>
        <v>2265.8019840000002</v>
      </c>
      <c r="N5311" s="177">
        <f t="shared" si="536"/>
        <v>1511.0181818181818</v>
      </c>
      <c r="O5311" s="175" t="str">
        <f t="shared" si="537"/>
        <v>Jun</v>
      </c>
      <c r="P5311" s="265">
        <f t="shared" si="538"/>
        <v>23</v>
      </c>
    </row>
    <row r="5312" spans="1:16" ht="15" hidden="1" customHeight="1">
      <c r="A5312" s="608">
        <v>68851107</v>
      </c>
      <c r="B5312" s="608">
        <v>2904</v>
      </c>
      <c r="C5312" s="601">
        <v>306432</v>
      </c>
      <c r="D5312" s="606">
        <v>46204</v>
      </c>
      <c r="E5312" s="608" t="s">
        <v>272</v>
      </c>
      <c r="F5312" s="608" t="s">
        <v>271</v>
      </c>
      <c r="G5312" s="395">
        <f>VLOOKUP($A5312,'Tech Litons'!$A:$I,8,FALSE)</f>
        <v>8.5199999999999998E-3</v>
      </c>
      <c r="H5312" s="174">
        <f>VLOOKUP($A5312,'Tech Litons'!$A:$I,9,FALSE)</f>
        <v>176</v>
      </c>
      <c r="I5312" s="174" t="str">
        <f>VLOOKUP($A5312,'Tech Litons'!$A:$C,3,0)</f>
        <v>48oz</v>
      </c>
      <c r="J5312" s="175" t="str">
        <f t="shared" si="534"/>
        <v>290448oz</v>
      </c>
      <c r="K5312" s="1013">
        <v>0.9</v>
      </c>
      <c r="L5312" s="177">
        <f t="shared" si="529"/>
        <v>275788.79999999999</v>
      </c>
      <c r="M5312" s="177">
        <f t="shared" si="535"/>
        <v>2349.7205759999997</v>
      </c>
      <c r="N5312" s="177">
        <f t="shared" si="536"/>
        <v>1566.9818181818182</v>
      </c>
      <c r="O5312" s="175" t="str">
        <f t="shared" si="537"/>
        <v>Jul</v>
      </c>
      <c r="P5312" s="265">
        <f t="shared" si="538"/>
        <v>27</v>
      </c>
    </row>
    <row r="5313" spans="1:16" ht="15" hidden="1" customHeight="1">
      <c r="A5313" s="608">
        <v>68851107</v>
      </c>
      <c r="B5313" s="608">
        <v>2904</v>
      </c>
      <c r="C5313" s="601">
        <v>328320</v>
      </c>
      <c r="D5313" s="606">
        <v>46235</v>
      </c>
      <c r="E5313" s="608" t="s">
        <v>272</v>
      </c>
      <c r="F5313" s="608" t="s">
        <v>271</v>
      </c>
      <c r="G5313" s="395">
        <f>VLOOKUP($A5313,'Tech Litons'!$A:$I,8,FALSE)</f>
        <v>8.5199999999999998E-3</v>
      </c>
      <c r="H5313" s="174">
        <f>VLOOKUP($A5313,'Tech Litons'!$A:$I,9,FALSE)</f>
        <v>176</v>
      </c>
      <c r="I5313" s="174" t="str">
        <f>VLOOKUP($A5313,'Tech Litons'!$A:$C,3,0)</f>
        <v>48oz</v>
      </c>
      <c r="J5313" s="175" t="str">
        <f t="shared" si="534"/>
        <v>290448oz</v>
      </c>
      <c r="K5313" s="1013">
        <v>0.9</v>
      </c>
      <c r="L5313" s="177">
        <f t="shared" si="529"/>
        <v>295488</v>
      </c>
      <c r="M5313" s="177">
        <f t="shared" si="535"/>
        <v>2517.5577600000001</v>
      </c>
      <c r="N5313" s="177">
        <f t="shared" si="536"/>
        <v>1678.909090909091</v>
      </c>
      <c r="O5313" s="175" t="str">
        <f t="shared" si="537"/>
        <v>Aug</v>
      </c>
      <c r="P5313" s="265">
        <f t="shared" si="538"/>
        <v>31</v>
      </c>
    </row>
    <row r="5314" spans="1:16" ht="15" hidden="1" customHeight="1">
      <c r="A5314" s="608">
        <v>68851107</v>
      </c>
      <c r="B5314" s="608">
        <v>2904</v>
      </c>
      <c r="C5314" s="601">
        <v>320000</v>
      </c>
      <c r="D5314" s="606">
        <v>46266</v>
      </c>
      <c r="E5314" s="608" t="s">
        <v>272</v>
      </c>
      <c r="F5314" s="608" t="s">
        <v>271</v>
      </c>
      <c r="G5314" s="395">
        <f>VLOOKUP($A5314,'Tech Litons'!$A:$I,8,FALSE)</f>
        <v>8.5199999999999998E-3</v>
      </c>
      <c r="H5314" s="174">
        <f>VLOOKUP($A5314,'Tech Litons'!$A:$I,9,FALSE)</f>
        <v>176</v>
      </c>
      <c r="I5314" s="174" t="str">
        <f>VLOOKUP($A5314,'Tech Litons'!$A:$C,3,0)</f>
        <v>48oz</v>
      </c>
      <c r="J5314" s="175" t="str">
        <f t="shared" si="534"/>
        <v>290448oz</v>
      </c>
      <c r="K5314" s="1013">
        <v>0.95499999999999996</v>
      </c>
      <c r="L5314" s="177">
        <f t="shared" si="529"/>
        <v>305600</v>
      </c>
      <c r="M5314" s="177">
        <f t="shared" si="535"/>
        <v>2603.712</v>
      </c>
      <c r="N5314" s="177">
        <f t="shared" si="536"/>
        <v>1736.3636363636363</v>
      </c>
      <c r="O5314" s="175" t="str">
        <f t="shared" si="537"/>
        <v>Sep</v>
      </c>
      <c r="P5314" s="265">
        <f t="shared" si="538"/>
        <v>36</v>
      </c>
    </row>
    <row r="5315" spans="1:16" ht="15" hidden="1" customHeight="1">
      <c r="A5315" s="608">
        <v>68851107</v>
      </c>
      <c r="B5315" s="608">
        <v>2904</v>
      </c>
      <c r="C5315" s="601">
        <v>220000</v>
      </c>
      <c r="D5315" s="606">
        <v>46296</v>
      </c>
      <c r="E5315" s="608" t="s">
        <v>272</v>
      </c>
      <c r="F5315" s="608" t="s">
        <v>271</v>
      </c>
      <c r="G5315" s="395">
        <f>VLOOKUP($A5315,'Tech Litons'!$A:$I,8,FALSE)</f>
        <v>8.5199999999999998E-3</v>
      </c>
      <c r="H5315" s="174">
        <f>VLOOKUP($A5315,'Tech Litons'!$A:$I,9,FALSE)</f>
        <v>176</v>
      </c>
      <c r="I5315" s="174" t="str">
        <f>VLOOKUP($A5315,'Tech Litons'!$A:$C,3,0)</f>
        <v>48oz</v>
      </c>
      <c r="J5315" s="175" t="str">
        <f t="shared" si="534"/>
        <v>290448oz</v>
      </c>
      <c r="K5315" s="1013">
        <v>0.95499999999999996</v>
      </c>
      <c r="L5315" s="177">
        <f t="shared" si="529"/>
        <v>210100</v>
      </c>
      <c r="M5315" s="177">
        <f t="shared" si="535"/>
        <v>1790.0519999999999</v>
      </c>
      <c r="N5315" s="177">
        <f t="shared" si="536"/>
        <v>1193.75</v>
      </c>
      <c r="O5315" s="175" t="str">
        <f t="shared" si="537"/>
        <v>Oct</v>
      </c>
      <c r="P5315" s="265">
        <f t="shared" si="538"/>
        <v>40</v>
      </c>
    </row>
    <row r="5316" spans="1:16" ht="15" hidden="1" customHeight="1">
      <c r="A5316" s="608">
        <v>68851107</v>
      </c>
      <c r="B5316" s="608">
        <v>2904</v>
      </c>
      <c r="C5316" s="601">
        <v>200000</v>
      </c>
      <c r="D5316" s="606">
        <v>46327</v>
      </c>
      <c r="E5316" s="608" t="s">
        <v>272</v>
      </c>
      <c r="F5316" s="608" t="s">
        <v>271</v>
      </c>
      <c r="G5316" s="395">
        <f>VLOOKUP($A5316,'Tech Litons'!$A:$I,8,FALSE)</f>
        <v>8.5199999999999998E-3</v>
      </c>
      <c r="H5316" s="174">
        <f>VLOOKUP($A5316,'Tech Litons'!$A:$I,9,FALSE)</f>
        <v>176</v>
      </c>
      <c r="I5316" s="174" t="str">
        <f>VLOOKUP($A5316,'Tech Litons'!$A:$C,3,0)</f>
        <v>48oz</v>
      </c>
      <c r="J5316" s="175" t="str">
        <f t="shared" si="534"/>
        <v>290448oz</v>
      </c>
      <c r="K5316" s="1013">
        <v>0.95499999999999996</v>
      </c>
      <c r="L5316" s="177">
        <f t="shared" si="529"/>
        <v>191000</v>
      </c>
      <c r="M5316" s="177">
        <f t="shared" si="535"/>
        <v>1627.32</v>
      </c>
      <c r="N5316" s="177">
        <f t="shared" si="536"/>
        <v>1085.2272727272727</v>
      </c>
      <c r="O5316" s="175" t="str">
        <f t="shared" si="537"/>
        <v>Nov</v>
      </c>
      <c r="P5316" s="265">
        <f t="shared" si="538"/>
        <v>45</v>
      </c>
    </row>
    <row r="5317" spans="1:16" ht="15" hidden="1" customHeight="1">
      <c r="A5317" s="608">
        <v>68851107</v>
      </c>
      <c r="B5317" s="608">
        <v>2904</v>
      </c>
      <c r="C5317" s="601">
        <v>200000</v>
      </c>
      <c r="D5317" s="606">
        <v>46357</v>
      </c>
      <c r="E5317" s="608" t="s">
        <v>272</v>
      </c>
      <c r="F5317" s="608" t="s">
        <v>271</v>
      </c>
      <c r="G5317" s="395">
        <f>VLOOKUP($A5317,'Tech Litons'!$A:$I,8,FALSE)</f>
        <v>8.5199999999999998E-3</v>
      </c>
      <c r="H5317" s="174">
        <f>VLOOKUP($A5317,'Tech Litons'!$A:$I,9,FALSE)</f>
        <v>176</v>
      </c>
      <c r="I5317" s="174" t="str">
        <f>VLOOKUP($A5317,'Tech Litons'!$A:$C,3,0)</f>
        <v>48oz</v>
      </c>
      <c r="J5317" s="175" t="str">
        <f t="shared" si="534"/>
        <v>290448oz</v>
      </c>
      <c r="K5317" s="1013">
        <v>0.95499999999999996</v>
      </c>
      <c r="L5317" s="177">
        <f t="shared" si="529"/>
        <v>191000</v>
      </c>
      <c r="M5317" s="177">
        <f t="shared" si="535"/>
        <v>1627.32</v>
      </c>
      <c r="N5317" s="177">
        <f t="shared" si="536"/>
        <v>1085.2272727272727</v>
      </c>
      <c r="O5317" s="175" t="str">
        <f t="shared" si="537"/>
        <v>Dec</v>
      </c>
      <c r="P5317" s="265">
        <f t="shared" si="538"/>
        <v>49</v>
      </c>
    </row>
    <row r="5318" spans="1:16" ht="15" hidden="1" customHeight="1">
      <c r="A5318" s="103">
        <v>68821735</v>
      </c>
      <c r="B5318" s="608">
        <v>2904</v>
      </c>
      <c r="C5318" s="601">
        <v>264532.11428571428</v>
      </c>
      <c r="D5318" s="606">
        <v>46174</v>
      </c>
      <c r="E5318" s="103" t="s">
        <v>318</v>
      </c>
      <c r="F5318" s="608" t="s">
        <v>269</v>
      </c>
      <c r="G5318" s="395">
        <f>VLOOKUP($A5318,'Tech Litons'!$A:$I,8,FALSE)</f>
        <v>8.5199999999999998E-3</v>
      </c>
      <c r="H5318" s="174">
        <f>VLOOKUP($A5318,'Tech Litons'!$A:$I,9,FALSE)</f>
        <v>176</v>
      </c>
      <c r="I5318" s="174" t="str">
        <f>VLOOKUP($A5318,'Tech Litons'!$A:$C,3,0)</f>
        <v>48oz</v>
      </c>
      <c r="J5318" s="175" t="str">
        <f t="shared" si="534"/>
        <v>290448oz</v>
      </c>
      <c r="K5318" s="1013">
        <v>0.9</v>
      </c>
      <c r="L5318" s="177">
        <f t="shared" si="529"/>
        <v>238078.90285714285</v>
      </c>
      <c r="M5318" s="177">
        <f t="shared" si="535"/>
        <v>2028.4322523428571</v>
      </c>
      <c r="N5318" s="177">
        <f t="shared" si="536"/>
        <v>1352.7210389610389</v>
      </c>
      <c r="O5318" s="175" t="str">
        <f t="shared" si="537"/>
        <v>Jun</v>
      </c>
      <c r="P5318" s="265">
        <f t="shared" si="538"/>
        <v>23</v>
      </c>
    </row>
    <row r="5319" spans="1:16" ht="15" hidden="1" customHeight="1">
      <c r="A5319" s="103">
        <v>68821735</v>
      </c>
      <c r="B5319" s="608">
        <v>2904</v>
      </c>
      <c r="C5319" s="601">
        <v>274329.59999999998</v>
      </c>
      <c r="D5319" s="606">
        <v>46204</v>
      </c>
      <c r="E5319" s="103" t="s">
        <v>318</v>
      </c>
      <c r="F5319" s="608" t="s">
        <v>269</v>
      </c>
      <c r="G5319" s="395">
        <f>VLOOKUP($A5319,'Tech Litons'!$A:$I,8,FALSE)</f>
        <v>8.5199999999999998E-3</v>
      </c>
      <c r="H5319" s="174">
        <f>VLOOKUP($A5319,'Tech Litons'!$A:$I,9,FALSE)</f>
        <v>176</v>
      </c>
      <c r="I5319" s="174" t="str">
        <f>VLOOKUP($A5319,'Tech Litons'!$A:$C,3,0)</f>
        <v>48oz</v>
      </c>
      <c r="J5319" s="175" t="str">
        <f t="shared" si="534"/>
        <v>290448oz</v>
      </c>
      <c r="K5319" s="1013">
        <v>0.9</v>
      </c>
      <c r="L5319" s="177">
        <f t="shared" si="529"/>
        <v>246896.63999999998</v>
      </c>
      <c r="M5319" s="177">
        <f t="shared" si="535"/>
        <v>2103.5593727999999</v>
      </c>
      <c r="N5319" s="177">
        <f t="shared" si="536"/>
        <v>1402.8218181818181</v>
      </c>
      <c r="O5319" s="175" t="str">
        <f t="shared" si="537"/>
        <v>Jul</v>
      </c>
      <c r="P5319" s="265">
        <f t="shared" si="538"/>
        <v>27</v>
      </c>
    </row>
    <row r="5320" spans="1:16" ht="15" hidden="1" customHeight="1">
      <c r="A5320" s="103">
        <v>68821735</v>
      </c>
      <c r="B5320" s="608">
        <v>2904</v>
      </c>
      <c r="C5320" s="601">
        <v>293924.57142857142</v>
      </c>
      <c r="D5320" s="606">
        <v>46235</v>
      </c>
      <c r="E5320" s="103" t="s">
        <v>318</v>
      </c>
      <c r="F5320" s="608" t="s">
        <v>269</v>
      </c>
      <c r="G5320" s="395">
        <f>VLOOKUP($A5320,'Tech Litons'!$A:$I,8,FALSE)</f>
        <v>8.5199999999999998E-3</v>
      </c>
      <c r="H5320" s="174">
        <f>VLOOKUP($A5320,'Tech Litons'!$A:$I,9,FALSE)</f>
        <v>176</v>
      </c>
      <c r="I5320" s="174" t="str">
        <f>VLOOKUP($A5320,'Tech Litons'!$A:$C,3,0)</f>
        <v>48oz</v>
      </c>
      <c r="J5320" s="175" t="str">
        <f t="shared" si="534"/>
        <v>290448oz</v>
      </c>
      <c r="K5320" s="1013">
        <v>0.9</v>
      </c>
      <c r="L5320" s="177">
        <f t="shared" si="529"/>
        <v>264532.11428571428</v>
      </c>
      <c r="M5320" s="177">
        <f t="shared" si="535"/>
        <v>2253.8136137142856</v>
      </c>
      <c r="N5320" s="177">
        <f t="shared" si="536"/>
        <v>1503.0233766233766</v>
      </c>
      <c r="O5320" s="175" t="str">
        <f t="shared" si="537"/>
        <v>Aug</v>
      </c>
      <c r="P5320" s="265">
        <f t="shared" si="538"/>
        <v>31</v>
      </c>
    </row>
    <row r="5321" spans="1:16" ht="15" hidden="1" customHeight="1">
      <c r="A5321" s="103">
        <v>68821735</v>
      </c>
      <c r="B5321" s="608">
        <v>2904</v>
      </c>
      <c r="C5321" s="601">
        <v>320000</v>
      </c>
      <c r="D5321" s="606">
        <v>46266</v>
      </c>
      <c r="E5321" s="103" t="s">
        <v>318</v>
      </c>
      <c r="F5321" s="608" t="s">
        <v>269</v>
      </c>
      <c r="G5321" s="395">
        <f>VLOOKUP($A5321,'Tech Litons'!$A:$I,8,FALSE)</f>
        <v>8.5199999999999998E-3</v>
      </c>
      <c r="H5321" s="174">
        <f>VLOOKUP($A5321,'Tech Litons'!$A:$I,9,FALSE)</f>
        <v>176</v>
      </c>
      <c r="I5321" s="174" t="str">
        <f>VLOOKUP($A5321,'Tech Litons'!$A:$C,3,0)</f>
        <v>48oz</v>
      </c>
      <c r="J5321" s="175" t="str">
        <f t="shared" si="534"/>
        <v>290448oz</v>
      </c>
      <c r="K5321" s="1013">
        <v>0.95499999999999996</v>
      </c>
      <c r="L5321" s="177">
        <f t="shared" si="529"/>
        <v>305600</v>
      </c>
      <c r="M5321" s="177">
        <f t="shared" si="535"/>
        <v>2603.712</v>
      </c>
      <c r="N5321" s="177">
        <f t="shared" si="536"/>
        <v>1736.3636363636363</v>
      </c>
      <c r="O5321" s="175" t="str">
        <f t="shared" si="537"/>
        <v>Sep</v>
      </c>
      <c r="P5321" s="265">
        <f t="shared" si="538"/>
        <v>36</v>
      </c>
    </row>
    <row r="5322" spans="1:16" ht="15" hidden="1" customHeight="1">
      <c r="A5322" s="103">
        <v>68821735</v>
      </c>
      <c r="B5322" s="608">
        <v>2904</v>
      </c>
      <c r="C5322" s="601">
        <v>220000</v>
      </c>
      <c r="D5322" s="606">
        <v>46296</v>
      </c>
      <c r="E5322" s="103" t="s">
        <v>318</v>
      </c>
      <c r="F5322" s="608" t="s">
        <v>269</v>
      </c>
      <c r="G5322" s="395">
        <f>VLOOKUP($A5322,'Tech Litons'!$A:$I,8,FALSE)</f>
        <v>8.5199999999999998E-3</v>
      </c>
      <c r="H5322" s="174">
        <f>VLOOKUP($A5322,'Tech Litons'!$A:$I,9,FALSE)</f>
        <v>176</v>
      </c>
      <c r="I5322" s="174" t="str">
        <f>VLOOKUP($A5322,'Tech Litons'!$A:$C,3,0)</f>
        <v>48oz</v>
      </c>
      <c r="J5322" s="175" t="str">
        <f t="shared" si="534"/>
        <v>290448oz</v>
      </c>
      <c r="K5322" s="1013">
        <v>0.95499999999999996</v>
      </c>
      <c r="L5322" s="177">
        <f t="shared" si="529"/>
        <v>210100</v>
      </c>
      <c r="M5322" s="177">
        <f t="shared" si="535"/>
        <v>1790.0519999999999</v>
      </c>
      <c r="N5322" s="177">
        <f t="shared" si="536"/>
        <v>1193.75</v>
      </c>
      <c r="O5322" s="175" t="str">
        <f t="shared" si="537"/>
        <v>Oct</v>
      </c>
      <c r="P5322" s="265">
        <f t="shared" si="538"/>
        <v>40</v>
      </c>
    </row>
    <row r="5323" spans="1:16" ht="15" hidden="1" customHeight="1">
      <c r="A5323" s="103">
        <v>68821735</v>
      </c>
      <c r="B5323" s="608">
        <v>2904</v>
      </c>
      <c r="C5323" s="601">
        <v>200000</v>
      </c>
      <c r="D5323" s="606">
        <v>46327</v>
      </c>
      <c r="E5323" s="103" t="s">
        <v>318</v>
      </c>
      <c r="F5323" s="608" t="s">
        <v>269</v>
      </c>
      <c r="G5323" s="395">
        <f>VLOOKUP($A5323,'Tech Litons'!$A:$I,8,FALSE)</f>
        <v>8.5199999999999998E-3</v>
      </c>
      <c r="H5323" s="174">
        <f>VLOOKUP($A5323,'Tech Litons'!$A:$I,9,FALSE)</f>
        <v>176</v>
      </c>
      <c r="I5323" s="174" t="str">
        <f>VLOOKUP($A5323,'Tech Litons'!$A:$C,3,0)</f>
        <v>48oz</v>
      </c>
      <c r="J5323" s="175" t="str">
        <f t="shared" si="534"/>
        <v>290448oz</v>
      </c>
      <c r="K5323" s="1013">
        <v>0.95499999999999996</v>
      </c>
      <c r="L5323" s="177">
        <f t="shared" si="529"/>
        <v>191000</v>
      </c>
      <c r="M5323" s="177">
        <f t="shared" si="535"/>
        <v>1627.32</v>
      </c>
      <c r="N5323" s="177">
        <f t="shared" si="536"/>
        <v>1085.2272727272727</v>
      </c>
      <c r="O5323" s="175" t="str">
        <f t="shared" si="537"/>
        <v>Nov</v>
      </c>
      <c r="P5323" s="265">
        <f t="shared" si="538"/>
        <v>45</v>
      </c>
    </row>
    <row r="5324" spans="1:16" ht="15" hidden="1" customHeight="1">
      <c r="A5324" s="103">
        <v>68821735</v>
      </c>
      <c r="B5324" s="608">
        <v>2904</v>
      </c>
      <c r="C5324" s="601">
        <v>200000</v>
      </c>
      <c r="D5324" s="606">
        <v>46357</v>
      </c>
      <c r="E5324" s="103" t="s">
        <v>318</v>
      </c>
      <c r="F5324" s="608" t="s">
        <v>269</v>
      </c>
      <c r="G5324" s="395">
        <f>VLOOKUP($A5324,'Tech Litons'!$A:$I,8,FALSE)</f>
        <v>8.5199999999999998E-3</v>
      </c>
      <c r="H5324" s="174">
        <f>VLOOKUP($A5324,'Tech Litons'!$A:$I,9,FALSE)</f>
        <v>176</v>
      </c>
      <c r="I5324" s="174" t="str">
        <f>VLOOKUP($A5324,'Tech Litons'!$A:$C,3,0)</f>
        <v>48oz</v>
      </c>
      <c r="J5324" s="175" t="str">
        <f t="shared" si="534"/>
        <v>290448oz</v>
      </c>
      <c r="K5324" s="1013">
        <v>0.95499999999999996</v>
      </c>
      <c r="L5324" s="177">
        <f t="shared" si="529"/>
        <v>191000</v>
      </c>
      <c r="M5324" s="177">
        <f t="shared" si="535"/>
        <v>1627.32</v>
      </c>
      <c r="N5324" s="177">
        <f t="shared" si="536"/>
        <v>1085.2272727272727</v>
      </c>
      <c r="O5324" s="175" t="str">
        <f t="shared" si="537"/>
        <v>Dec</v>
      </c>
      <c r="P5324" s="265">
        <f t="shared" si="538"/>
        <v>49</v>
      </c>
    </row>
    <row r="5325" spans="1:16" ht="15" hidden="1" customHeight="1">
      <c r="A5325" s="608">
        <v>68599804</v>
      </c>
      <c r="B5325" s="608">
        <v>1352</v>
      </c>
      <c r="C5325" s="601">
        <v>303264</v>
      </c>
      <c r="D5325" s="606">
        <v>46174</v>
      </c>
      <c r="E5325" s="104" t="s">
        <v>607</v>
      </c>
      <c r="F5325" s="608" t="s">
        <v>273</v>
      </c>
      <c r="G5325" s="395">
        <f>VLOOKUP($A5325,'Tech Litons'!$A:$I,8,FALSE)</f>
        <v>8.5199999999999998E-3</v>
      </c>
      <c r="H5325" s="174">
        <f>VLOOKUP($A5325,'Tech Litons'!$A:$I,9,FALSE)</f>
        <v>156</v>
      </c>
      <c r="I5325" s="174" t="str">
        <f>VLOOKUP($A5325,'Tech Litons'!$A:$C,3,0)</f>
        <v>48oz</v>
      </c>
      <c r="J5325" s="175" t="str">
        <f t="shared" ref="J5325:J5352" si="539">B5325&amp;I5325</f>
        <v>135248oz</v>
      </c>
      <c r="K5325" s="1013">
        <v>0.9</v>
      </c>
      <c r="L5325" s="177">
        <f t="shared" si="529"/>
        <v>272937.60000000003</v>
      </c>
      <c r="M5325" s="177">
        <f t="shared" ref="M5325:M5352" si="540">L5325*G5325</f>
        <v>2325.4283520000004</v>
      </c>
      <c r="N5325" s="177">
        <f t="shared" ref="N5325:N5352" si="541">L5325/H5325</f>
        <v>1749.6000000000001</v>
      </c>
      <c r="O5325" s="175" t="str">
        <f t="shared" ref="O5325:O5352" si="542">TEXT(D5325,"MMM")</f>
        <v>Jun</v>
      </c>
      <c r="P5325" s="265">
        <f t="shared" ref="P5325:P5352" si="543">WEEKNUM(D5325)</f>
        <v>23</v>
      </c>
    </row>
    <row r="5326" spans="1:16" ht="15" hidden="1" customHeight="1">
      <c r="A5326" s="608">
        <v>68599804</v>
      </c>
      <c r="B5326" s="608">
        <v>1352</v>
      </c>
      <c r="C5326" s="601">
        <v>314496</v>
      </c>
      <c r="D5326" s="606">
        <v>46204</v>
      </c>
      <c r="E5326" s="104" t="s">
        <v>607</v>
      </c>
      <c r="F5326" s="608" t="s">
        <v>273</v>
      </c>
      <c r="G5326" s="395">
        <f>VLOOKUP($A5326,'Tech Litons'!$A:$I,8,FALSE)</f>
        <v>8.5199999999999998E-3</v>
      </c>
      <c r="H5326" s="174">
        <f>VLOOKUP($A5326,'Tech Litons'!$A:$I,9,FALSE)</f>
        <v>156</v>
      </c>
      <c r="I5326" s="174" t="str">
        <f>VLOOKUP($A5326,'Tech Litons'!$A:$C,3,0)</f>
        <v>48oz</v>
      </c>
      <c r="J5326" s="175" t="str">
        <f t="shared" si="539"/>
        <v>135248oz</v>
      </c>
      <c r="K5326" s="1013">
        <v>0.9</v>
      </c>
      <c r="L5326" s="177">
        <f t="shared" si="529"/>
        <v>283046.40000000002</v>
      </c>
      <c r="M5326" s="177">
        <f t="shared" si="540"/>
        <v>2411.5553279999999</v>
      </c>
      <c r="N5326" s="177">
        <f t="shared" si="541"/>
        <v>1814.4</v>
      </c>
      <c r="O5326" s="175" t="str">
        <f t="shared" si="542"/>
        <v>Jul</v>
      </c>
      <c r="P5326" s="265">
        <f t="shared" si="543"/>
        <v>27</v>
      </c>
    </row>
    <row r="5327" spans="1:16" ht="15" hidden="1" customHeight="1">
      <c r="A5327" s="608">
        <v>68599804</v>
      </c>
      <c r="B5327" s="608">
        <v>1352</v>
      </c>
      <c r="C5327" s="601">
        <v>450000</v>
      </c>
      <c r="D5327" s="606">
        <v>46235</v>
      </c>
      <c r="E5327" s="104" t="s">
        <v>607</v>
      </c>
      <c r="F5327" s="608" t="s">
        <v>273</v>
      </c>
      <c r="G5327" s="395">
        <f>VLOOKUP($A5327,'Tech Litons'!$A:$I,8,FALSE)</f>
        <v>8.5199999999999998E-3</v>
      </c>
      <c r="H5327" s="174">
        <f>VLOOKUP($A5327,'Tech Litons'!$A:$I,9,FALSE)</f>
        <v>156</v>
      </c>
      <c r="I5327" s="174" t="str">
        <f>VLOOKUP($A5327,'Tech Litons'!$A:$C,3,0)</f>
        <v>48oz</v>
      </c>
      <c r="J5327" s="175" t="str">
        <f t="shared" si="539"/>
        <v>135248oz</v>
      </c>
      <c r="K5327" s="1013">
        <v>0.9</v>
      </c>
      <c r="L5327" s="177">
        <f t="shared" si="529"/>
        <v>405000</v>
      </c>
      <c r="M5327" s="177">
        <f t="shared" si="540"/>
        <v>3450.6</v>
      </c>
      <c r="N5327" s="177">
        <f t="shared" si="541"/>
        <v>2596.1538461538462</v>
      </c>
      <c r="O5327" s="175" t="str">
        <f t="shared" si="542"/>
        <v>Aug</v>
      </c>
      <c r="P5327" s="265">
        <f t="shared" si="543"/>
        <v>31</v>
      </c>
    </row>
    <row r="5328" spans="1:16" ht="15" hidden="1" customHeight="1">
      <c r="A5328" s="608">
        <v>68599804</v>
      </c>
      <c r="B5328" s="608">
        <v>1352</v>
      </c>
      <c r="C5328" s="601">
        <v>190944</v>
      </c>
      <c r="D5328" s="606">
        <v>46266</v>
      </c>
      <c r="E5328" s="104" t="s">
        <v>607</v>
      </c>
      <c r="F5328" s="608" t="s">
        <v>273</v>
      </c>
      <c r="G5328" s="395">
        <f>VLOOKUP($A5328,'Tech Litons'!$A:$I,8,FALSE)</f>
        <v>8.5199999999999998E-3</v>
      </c>
      <c r="H5328" s="174">
        <f>VLOOKUP($A5328,'Tech Litons'!$A:$I,9,FALSE)</f>
        <v>156</v>
      </c>
      <c r="I5328" s="174" t="str">
        <f>VLOOKUP($A5328,'Tech Litons'!$A:$C,3,0)</f>
        <v>48oz</v>
      </c>
      <c r="J5328" s="175" t="str">
        <f t="shared" si="539"/>
        <v>135248oz</v>
      </c>
      <c r="K5328" s="1013">
        <v>0.96499999999999997</v>
      </c>
      <c r="L5328" s="177">
        <f t="shared" si="529"/>
        <v>184260.96</v>
      </c>
      <c r="M5328" s="177">
        <f t="shared" si="540"/>
        <v>1569.9033791999998</v>
      </c>
      <c r="N5328" s="177">
        <f t="shared" si="541"/>
        <v>1181.1599999999999</v>
      </c>
      <c r="O5328" s="175" t="str">
        <f t="shared" si="542"/>
        <v>Sep</v>
      </c>
      <c r="P5328" s="265">
        <f t="shared" si="543"/>
        <v>36</v>
      </c>
    </row>
    <row r="5329" spans="1:16" ht="15" hidden="1" customHeight="1">
      <c r="A5329" s="608">
        <v>68599804</v>
      </c>
      <c r="B5329" s="608">
        <v>1352</v>
      </c>
      <c r="C5329" s="601">
        <v>240000</v>
      </c>
      <c r="D5329" s="606">
        <v>46296</v>
      </c>
      <c r="E5329" s="104" t="s">
        <v>607</v>
      </c>
      <c r="F5329" s="608" t="s">
        <v>273</v>
      </c>
      <c r="G5329" s="395">
        <f>VLOOKUP($A5329,'Tech Litons'!$A:$I,8,FALSE)</f>
        <v>8.5199999999999998E-3</v>
      </c>
      <c r="H5329" s="174">
        <f>VLOOKUP($A5329,'Tech Litons'!$A:$I,9,FALSE)</f>
        <v>156</v>
      </c>
      <c r="I5329" s="174" t="str">
        <f>VLOOKUP($A5329,'Tech Litons'!$A:$C,3,0)</f>
        <v>48oz</v>
      </c>
      <c r="J5329" s="175" t="str">
        <f t="shared" si="539"/>
        <v>135248oz</v>
      </c>
      <c r="K5329" s="1013">
        <v>0.96499999999999997</v>
      </c>
      <c r="L5329" s="177">
        <f t="shared" si="529"/>
        <v>231600</v>
      </c>
      <c r="M5329" s="177">
        <f t="shared" si="540"/>
        <v>1973.232</v>
      </c>
      <c r="N5329" s="177">
        <f t="shared" si="541"/>
        <v>1484.6153846153845</v>
      </c>
      <c r="O5329" s="175" t="str">
        <f t="shared" si="542"/>
        <v>Oct</v>
      </c>
      <c r="P5329" s="265">
        <f t="shared" si="543"/>
        <v>40</v>
      </c>
    </row>
    <row r="5330" spans="1:16" ht="15" hidden="1" customHeight="1">
      <c r="A5330" s="608">
        <v>68599804</v>
      </c>
      <c r="B5330" s="608">
        <v>1352</v>
      </c>
      <c r="C5330" s="601">
        <v>157248</v>
      </c>
      <c r="D5330" s="606">
        <v>46327</v>
      </c>
      <c r="E5330" s="104" t="s">
        <v>607</v>
      </c>
      <c r="F5330" s="608" t="s">
        <v>273</v>
      </c>
      <c r="G5330" s="395">
        <f>VLOOKUP($A5330,'Tech Litons'!$A:$I,8,FALSE)</f>
        <v>8.5199999999999998E-3</v>
      </c>
      <c r="H5330" s="174">
        <f>VLOOKUP($A5330,'Tech Litons'!$A:$I,9,FALSE)</f>
        <v>156</v>
      </c>
      <c r="I5330" s="174" t="str">
        <f>VLOOKUP($A5330,'Tech Litons'!$A:$C,3,0)</f>
        <v>48oz</v>
      </c>
      <c r="J5330" s="175" t="str">
        <f t="shared" si="539"/>
        <v>135248oz</v>
      </c>
      <c r="K5330" s="1013">
        <v>0.96499999999999997</v>
      </c>
      <c r="L5330" s="177">
        <f t="shared" si="529"/>
        <v>151744.32000000001</v>
      </c>
      <c r="M5330" s="177">
        <f t="shared" si="540"/>
        <v>1292.8616064</v>
      </c>
      <c r="N5330" s="177">
        <f t="shared" si="541"/>
        <v>972.72</v>
      </c>
      <c r="O5330" s="175" t="str">
        <f t="shared" si="542"/>
        <v>Nov</v>
      </c>
      <c r="P5330" s="265">
        <f t="shared" si="543"/>
        <v>45</v>
      </c>
    </row>
    <row r="5331" spans="1:16" ht="15" hidden="1" customHeight="1">
      <c r="A5331" s="608">
        <v>68599804</v>
      </c>
      <c r="B5331" s="608">
        <v>1352</v>
      </c>
      <c r="C5331" s="601">
        <v>157248</v>
      </c>
      <c r="D5331" s="606">
        <v>46357</v>
      </c>
      <c r="E5331" s="104" t="s">
        <v>607</v>
      </c>
      <c r="F5331" s="608" t="s">
        <v>273</v>
      </c>
      <c r="G5331" s="395">
        <f>VLOOKUP($A5331,'Tech Litons'!$A:$I,8,FALSE)</f>
        <v>8.5199999999999998E-3</v>
      </c>
      <c r="H5331" s="174">
        <f>VLOOKUP($A5331,'Tech Litons'!$A:$I,9,FALSE)</f>
        <v>156</v>
      </c>
      <c r="I5331" s="174" t="str">
        <f>VLOOKUP($A5331,'Tech Litons'!$A:$C,3,0)</f>
        <v>48oz</v>
      </c>
      <c r="J5331" s="175" t="str">
        <f t="shared" si="539"/>
        <v>135248oz</v>
      </c>
      <c r="K5331" s="1013">
        <v>0.96499999999999997</v>
      </c>
      <c r="L5331" s="177">
        <f t="shared" si="529"/>
        <v>151744.32000000001</v>
      </c>
      <c r="M5331" s="177">
        <f t="shared" si="540"/>
        <v>1292.8616064</v>
      </c>
      <c r="N5331" s="177">
        <f t="shared" si="541"/>
        <v>972.72</v>
      </c>
      <c r="O5331" s="175" t="str">
        <f t="shared" si="542"/>
        <v>Dec</v>
      </c>
      <c r="P5331" s="265">
        <f t="shared" si="543"/>
        <v>49</v>
      </c>
    </row>
    <row r="5332" spans="1:16" ht="15" hidden="1" customHeight="1">
      <c r="A5332" s="608">
        <v>68850683</v>
      </c>
      <c r="B5332" s="608">
        <v>1352</v>
      </c>
      <c r="C5332" s="601">
        <v>312891.42857142858</v>
      </c>
      <c r="D5332" s="606">
        <v>46174</v>
      </c>
      <c r="E5332" s="103" t="s">
        <v>311</v>
      </c>
      <c r="F5332" s="608" t="s">
        <v>271</v>
      </c>
      <c r="G5332" s="395">
        <f>VLOOKUP($A5332,'Tech Litons'!$A:$I,8,FALSE)</f>
        <v>8.5199999999999998E-3</v>
      </c>
      <c r="H5332" s="174">
        <f>VLOOKUP($A5332,'Tech Litons'!$A:$I,9,FALSE)</f>
        <v>176</v>
      </c>
      <c r="I5332" s="174" t="str">
        <f>VLOOKUP($A5332,'Tech Litons'!$A:$C,3,0)</f>
        <v>48oz</v>
      </c>
      <c r="J5332" s="175" t="str">
        <f t="shared" si="539"/>
        <v>135248oz</v>
      </c>
      <c r="K5332" s="1013">
        <v>0.9</v>
      </c>
      <c r="L5332" s="177">
        <f t="shared" si="529"/>
        <v>281602.28571428574</v>
      </c>
      <c r="M5332" s="177">
        <f t="shared" si="540"/>
        <v>2399.2514742857143</v>
      </c>
      <c r="N5332" s="177">
        <f t="shared" si="541"/>
        <v>1600.0129870129872</v>
      </c>
      <c r="O5332" s="175" t="str">
        <f t="shared" si="542"/>
        <v>Jun</v>
      </c>
      <c r="P5332" s="265">
        <f t="shared" si="543"/>
        <v>23</v>
      </c>
    </row>
    <row r="5333" spans="1:16" ht="15" hidden="1" customHeight="1">
      <c r="A5333" s="608">
        <v>68850683</v>
      </c>
      <c r="B5333" s="608">
        <v>1352</v>
      </c>
      <c r="C5333" s="601">
        <v>324480</v>
      </c>
      <c r="D5333" s="606">
        <v>46204</v>
      </c>
      <c r="E5333" s="103" t="s">
        <v>311</v>
      </c>
      <c r="F5333" s="608" t="s">
        <v>271</v>
      </c>
      <c r="G5333" s="395">
        <f>VLOOKUP($A5333,'Tech Litons'!$A:$I,8,FALSE)</f>
        <v>8.5199999999999998E-3</v>
      </c>
      <c r="H5333" s="174">
        <f>VLOOKUP($A5333,'Tech Litons'!$A:$I,9,FALSE)</f>
        <v>176</v>
      </c>
      <c r="I5333" s="174" t="str">
        <f>VLOOKUP($A5333,'Tech Litons'!$A:$C,3,0)</f>
        <v>48oz</v>
      </c>
      <c r="J5333" s="175" t="str">
        <f t="shared" si="539"/>
        <v>135248oz</v>
      </c>
      <c r="K5333" s="1013">
        <v>0.9</v>
      </c>
      <c r="L5333" s="177">
        <f t="shared" si="529"/>
        <v>292032</v>
      </c>
      <c r="M5333" s="177">
        <f t="shared" si="540"/>
        <v>2488.1126399999998</v>
      </c>
      <c r="N5333" s="177">
        <f t="shared" si="541"/>
        <v>1659.2727272727273</v>
      </c>
      <c r="O5333" s="175" t="str">
        <f t="shared" si="542"/>
        <v>Jul</v>
      </c>
      <c r="P5333" s="265">
        <f t="shared" si="543"/>
        <v>27</v>
      </c>
    </row>
    <row r="5334" spans="1:16" ht="15" hidden="1" customHeight="1">
      <c r="A5334" s="608">
        <v>68850683</v>
      </c>
      <c r="B5334" s="608">
        <v>1352</v>
      </c>
      <c r="C5334" s="601">
        <v>347657.14285714278</v>
      </c>
      <c r="D5334" s="606">
        <v>46235</v>
      </c>
      <c r="E5334" s="103" t="s">
        <v>311</v>
      </c>
      <c r="F5334" s="608" t="s">
        <v>271</v>
      </c>
      <c r="G5334" s="395">
        <f>VLOOKUP($A5334,'Tech Litons'!$A:$I,8,FALSE)</f>
        <v>8.5199999999999998E-3</v>
      </c>
      <c r="H5334" s="174">
        <f>VLOOKUP($A5334,'Tech Litons'!$A:$I,9,FALSE)</f>
        <v>176</v>
      </c>
      <c r="I5334" s="174" t="str">
        <f>VLOOKUP($A5334,'Tech Litons'!$A:$C,3,0)</f>
        <v>48oz</v>
      </c>
      <c r="J5334" s="175" t="str">
        <f t="shared" si="539"/>
        <v>135248oz</v>
      </c>
      <c r="K5334" s="1013">
        <v>0.9</v>
      </c>
      <c r="L5334" s="177">
        <f t="shared" si="529"/>
        <v>312891.42857142852</v>
      </c>
      <c r="M5334" s="177">
        <f t="shared" si="540"/>
        <v>2665.834971428571</v>
      </c>
      <c r="N5334" s="177">
        <f t="shared" si="541"/>
        <v>1777.7922077922076</v>
      </c>
      <c r="O5334" s="175" t="str">
        <f t="shared" si="542"/>
        <v>Aug</v>
      </c>
      <c r="P5334" s="265">
        <f t="shared" si="543"/>
        <v>31</v>
      </c>
    </row>
    <row r="5335" spans="1:16" ht="15" hidden="1" customHeight="1">
      <c r="A5335" s="608">
        <v>68850683</v>
      </c>
      <c r="B5335" s="608">
        <v>1352</v>
      </c>
      <c r="C5335" s="601">
        <v>197005.71428571426</v>
      </c>
      <c r="D5335" s="606">
        <v>46266</v>
      </c>
      <c r="E5335" s="103" t="s">
        <v>311</v>
      </c>
      <c r="F5335" s="608" t="s">
        <v>271</v>
      </c>
      <c r="G5335" s="395">
        <f>VLOOKUP($A5335,'Tech Litons'!$A:$I,8,FALSE)</f>
        <v>8.5199999999999998E-3</v>
      </c>
      <c r="H5335" s="174">
        <f>VLOOKUP($A5335,'Tech Litons'!$A:$I,9,FALSE)</f>
        <v>176</v>
      </c>
      <c r="I5335" s="174" t="str">
        <f>VLOOKUP($A5335,'Tech Litons'!$A:$C,3,0)</f>
        <v>48oz</v>
      </c>
      <c r="J5335" s="175" t="str">
        <f t="shared" si="539"/>
        <v>135248oz</v>
      </c>
      <c r="K5335" s="1013">
        <v>0.96499999999999997</v>
      </c>
      <c r="L5335" s="177">
        <f t="shared" si="529"/>
        <v>190110.51428571425</v>
      </c>
      <c r="M5335" s="177">
        <f t="shared" si="540"/>
        <v>1619.7415817142853</v>
      </c>
      <c r="N5335" s="177">
        <f t="shared" si="541"/>
        <v>1080.1733766233765</v>
      </c>
      <c r="O5335" s="175" t="str">
        <f t="shared" si="542"/>
        <v>Sep</v>
      </c>
      <c r="P5335" s="265">
        <f t="shared" si="543"/>
        <v>36</v>
      </c>
    </row>
    <row r="5336" spans="1:16" ht="15" hidden="1" customHeight="1">
      <c r="A5336" s="608">
        <v>68850683</v>
      </c>
      <c r="B5336" s="608">
        <v>1352</v>
      </c>
      <c r="C5336" s="601">
        <v>240000</v>
      </c>
      <c r="D5336" s="606">
        <v>46296</v>
      </c>
      <c r="E5336" s="103" t="s">
        <v>311</v>
      </c>
      <c r="F5336" s="608" t="s">
        <v>271</v>
      </c>
      <c r="G5336" s="395">
        <f>VLOOKUP($A5336,'Tech Litons'!$A:$I,8,FALSE)</f>
        <v>8.5199999999999998E-3</v>
      </c>
      <c r="H5336" s="174">
        <f>VLOOKUP($A5336,'Tech Litons'!$A:$I,9,FALSE)</f>
        <v>176</v>
      </c>
      <c r="I5336" s="174" t="str">
        <f>VLOOKUP($A5336,'Tech Litons'!$A:$C,3,0)</f>
        <v>48oz</v>
      </c>
      <c r="J5336" s="175" t="str">
        <f t="shared" si="539"/>
        <v>135248oz</v>
      </c>
      <c r="K5336" s="1013">
        <v>0.96499999999999997</v>
      </c>
      <c r="L5336" s="177">
        <f t="shared" si="529"/>
        <v>231600</v>
      </c>
      <c r="M5336" s="177">
        <f t="shared" si="540"/>
        <v>1973.232</v>
      </c>
      <c r="N5336" s="177">
        <f t="shared" si="541"/>
        <v>1315.909090909091</v>
      </c>
      <c r="O5336" s="175" t="str">
        <f t="shared" si="542"/>
        <v>Oct</v>
      </c>
      <c r="P5336" s="265">
        <f t="shared" si="543"/>
        <v>40</v>
      </c>
    </row>
    <row r="5337" spans="1:16" ht="15" hidden="1" customHeight="1">
      <c r="A5337" s="608">
        <v>68850683</v>
      </c>
      <c r="B5337" s="608">
        <v>1352</v>
      </c>
      <c r="C5337" s="601">
        <v>162240</v>
      </c>
      <c r="D5337" s="606">
        <v>46327</v>
      </c>
      <c r="E5337" s="103" t="s">
        <v>311</v>
      </c>
      <c r="F5337" s="608" t="s">
        <v>271</v>
      </c>
      <c r="G5337" s="395">
        <f>VLOOKUP($A5337,'Tech Litons'!$A:$I,8,FALSE)</f>
        <v>8.5199999999999998E-3</v>
      </c>
      <c r="H5337" s="174">
        <f>VLOOKUP($A5337,'Tech Litons'!$A:$I,9,FALSE)</f>
        <v>176</v>
      </c>
      <c r="I5337" s="174" t="str">
        <f>VLOOKUP($A5337,'Tech Litons'!$A:$C,3,0)</f>
        <v>48oz</v>
      </c>
      <c r="J5337" s="175" t="str">
        <f t="shared" si="539"/>
        <v>135248oz</v>
      </c>
      <c r="K5337" s="1013">
        <v>0.96499999999999997</v>
      </c>
      <c r="L5337" s="177">
        <f t="shared" si="529"/>
        <v>156561.60000000001</v>
      </c>
      <c r="M5337" s="177">
        <f t="shared" si="540"/>
        <v>1333.9048319999999</v>
      </c>
      <c r="N5337" s="177">
        <f t="shared" si="541"/>
        <v>889.55454545454552</v>
      </c>
      <c r="O5337" s="175" t="str">
        <f t="shared" si="542"/>
        <v>Nov</v>
      </c>
      <c r="P5337" s="265">
        <f t="shared" si="543"/>
        <v>45</v>
      </c>
    </row>
    <row r="5338" spans="1:16" ht="15" hidden="1" customHeight="1">
      <c r="A5338" s="608">
        <v>68850683</v>
      </c>
      <c r="B5338" s="608">
        <v>1352</v>
      </c>
      <c r="C5338" s="601">
        <v>162240</v>
      </c>
      <c r="D5338" s="606">
        <v>46357</v>
      </c>
      <c r="E5338" s="103" t="s">
        <v>311</v>
      </c>
      <c r="F5338" s="608" t="s">
        <v>271</v>
      </c>
      <c r="G5338" s="395">
        <f>VLOOKUP($A5338,'Tech Litons'!$A:$I,8,FALSE)</f>
        <v>8.5199999999999998E-3</v>
      </c>
      <c r="H5338" s="174">
        <f>VLOOKUP($A5338,'Tech Litons'!$A:$I,9,FALSE)</f>
        <v>176</v>
      </c>
      <c r="I5338" s="174" t="str">
        <f>VLOOKUP($A5338,'Tech Litons'!$A:$C,3,0)</f>
        <v>48oz</v>
      </c>
      <c r="J5338" s="175" t="str">
        <f t="shared" si="539"/>
        <v>135248oz</v>
      </c>
      <c r="K5338" s="1013">
        <v>0.96499999999999997</v>
      </c>
      <c r="L5338" s="177">
        <f t="shared" si="529"/>
        <v>156561.60000000001</v>
      </c>
      <c r="M5338" s="177">
        <f t="shared" si="540"/>
        <v>1333.9048319999999</v>
      </c>
      <c r="N5338" s="177">
        <f t="shared" si="541"/>
        <v>889.55454545454552</v>
      </c>
      <c r="O5338" s="175" t="str">
        <f t="shared" si="542"/>
        <v>Dec</v>
      </c>
      <c r="P5338" s="265">
        <f t="shared" si="543"/>
        <v>49</v>
      </c>
    </row>
    <row r="5339" spans="1:16" ht="15" hidden="1" customHeight="1">
      <c r="A5339" s="103">
        <v>68881270</v>
      </c>
      <c r="B5339" s="608">
        <v>1352</v>
      </c>
      <c r="C5339" s="601">
        <v>257570.74285714288</v>
      </c>
      <c r="D5339" s="606">
        <v>46174</v>
      </c>
      <c r="E5339" s="103" t="s">
        <v>383</v>
      </c>
      <c r="F5339" s="608" t="s">
        <v>269</v>
      </c>
      <c r="G5339" s="395">
        <f>VLOOKUP($A5339,'Tech Litons'!$A:$I,8,FALSE)</f>
        <v>8.5199999999999998E-3</v>
      </c>
      <c r="H5339" s="174">
        <f>VLOOKUP($A5339,'Tech Litons'!$A:$I,9,FALSE)</f>
        <v>176</v>
      </c>
      <c r="I5339" s="174" t="str">
        <f>VLOOKUP($A5339,'Tech Litons'!$A:$C,3,0)</f>
        <v>48oz</v>
      </c>
      <c r="J5339" s="175" t="str">
        <f t="shared" si="539"/>
        <v>135248oz</v>
      </c>
      <c r="K5339" s="1013">
        <v>0.9</v>
      </c>
      <c r="L5339" s="177">
        <f t="shared" si="529"/>
        <v>231813.6685714286</v>
      </c>
      <c r="M5339" s="177">
        <f t="shared" si="540"/>
        <v>1975.0524562285716</v>
      </c>
      <c r="N5339" s="177">
        <f t="shared" si="541"/>
        <v>1317.1231168831171</v>
      </c>
      <c r="O5339" s="175" t="str">
        <f t="shared" si="542"/>
        <v>Jun</v>
      </c>
      <c r="P5339" s="265">
        <f t="shared" si="543"/>
        <v>23</v>
      </c>
    </row>
    <row r="5340" spans="1:16" ht="15" hidden="1" customHeight="1">
      <c r="A5340" s="103">
        <v>68881270</v>
      </c>
      <c r="B5340" s="608">
        <v>1352</v>
      </c>
      <c r="C5340" s="601">
        <v>267110.39999999997</v>
      </c>
      <c r="D5340" s="606">
        <v>46204</v>
      </c>
      <c r="E5340" s="103" t="s">
        <v>383</v>
      </c>
      <c r="F5340" s="608" t="s">
        <v>269</v>
      </c>
      <c r="G5340" s="395">
        <f>VLOOKUP($A5340,'Tech Litons'!$A:$I,8,FALSE)</f>
        <v>8.5199999999999998E-3</v>
      </c>
      <c r="H5340" s="174">
        <f>VLOOKUP($A5340,'Tech Litons'!$A:$I,9,FALSE)</f>
        <v>176</v>
      </c>
      <c r="I5340" s="174" t="str">
        <f>VLOOKUP($A5340,'Tech Litons'!$A:$C,3,0)</f>
        <v>48oz</v>
      </c>
      <c r="J5340" s="175" t="str">
        <f t="shared" si="539"/>
        <v>135248oz</v>
      </c>
      <c r="K5340" s="1013">
        <v>0.9</v>
      </c>
      <c r="L5340" s="177">
        <f t="shared" si="529"/>
        <v>240399.35999999999</v>
      </c>
      <c r="M5340" s="177">
        <f t="shared" si="540"/>
        <v>2048.2025472</v>
      </c>
      <c r="N5340" s="177">
        <f t="shared" si="541"/>
        <v>1365.9054545454544</v>
      </c>
      <c r="O5340" s="175" t="str">
        <f t="shared" si="542"/>
        <v>Jul</v>
      </c>
      <c r="P5340" s="265">
        <f t="shared" si="543"/>
        <v>27</v>
      </c>
    </row>
    <row r="5341" spans="1:16" ht="15" hidden="1" customHeight="1">
      <c r="A5341" s="103">
        <v>68881270</v>
      </c>
      <c r="B5341" s="608">
        <v>1352</v>
      </c>
      <c r="C5341" s="601">
        <v>286189.71428571426</v>
      </c>
      <c r="D5341" s="606">
        <v>46235</v>
      </c>
      <c r="E5341" s="103" t="s">
        <v>383</v>
      </c>
      <c r="F5341" s="608" t="s">
        <v>269</v>
      </c>
      <c r="G5341" s="395">
        <f>VLOOKUP($A5341,'Tech Litons'!$A:$I,8,FALSE)</f>
        <v>8.5199999999999998E-3</v>
      </c>
      <c r="H5341" s="174">
        <f>VLOOKUP($A5341,'Tech Litons'!$A:$I,9,FALSE)</f>
        <v>176</v>
      </c>
      <c r="I5341" s="174" t="str">
        <f>VLOOKUP($A5341,'Tech Litons'!$A:$C,3,0)</f>
        <v>48oz</v>
      </c>
      <c r="J5341" s="175" t="str">
        <f t="shared" si="539"/>
        <v>135248oz</v>
      </c>
      <c r="K5341" s="1013">
        <v>0.9</v>
      </c>
      <c r="L5341" s="177">
        <f t="shared" si="529"/>
        <v>257570.74285714285</v>
      </c>
      <c r="M5341" s="177">
        <f t="shared" si="540"/>
        <v>2194.5027291428569</v>
      </c>
      <c r="N5341" s="177">
        <f t="shared" si="541"/>
        <v>1463.4701298701298</v>
      </c>
      <c r="O5341" s="175" t="str">
        <f t="shared" si="542"/>
        <v>Aug</v>
      </c>
      <c r="P5341" s="265">
        <f t="shared" si="543"/>
        <v>31</v>
      </c>
    </row>
    <row r="5342" spans="1:16" ht="15" hidden="1" customHeight="1">
      <c r="A5342" s="103">
        <v>68881270</v>
      </c>
      <c r="B5342" s="608">
        <v>1352</v>
      </c>
      <c r="C5342" s="601">
        <v>162174.17142857143</v>
      </c>
      <c r="D5342" s="606">
        <v>46266</v>
      </c>
      <c r="E5342" s="103" t="s">
        <v>383</v>
      </c>
      <c r="F5342" s="608" t="s">
        <v>269</v>
      </c>
      <c r="G5342" s="395">
        <f>VLOOKUP($A5342,'Tech Litons'!$A:$I,8,FALSE)</f>
        <v>8.5199999999999998E-3</v>
      </c>
      <c r="H5342" s="174">
        <f>VLOOKUP($A5342,'Tech Litons'!$A:$I,9,FALSE)</f>
        <v>176</v>
      </c>
      <c r="I5342" s="174" t="str">
        <f>VLOOKUP($A5342,'Tech Litons'!$A:$C,3,0)</f>
        <v>48oz</v>
      </c>
      <c r="J5342" s="175" t="str">
        <f t="shared" si="539"/>
        <v>135248oz</v>
      </c>
      <c r="K5342" s="1013">
        <v>0.96499999999999997</v>
      </c>
      <c r="L5342" s="177">
        <f t="shared" si="529"/>
        <v>156498.07542857144</v>
      </c>
      <c r="M5342" s="177">
        <f t="shared" si="540"/>
        <v>1333.3636026514287</v>
      </c>
      <c r="N5342" s="177">
        <f t="shared" si="541"/>
        <v>889.1936103896104</v>
      </c>
      <c r="O5342" s="175" t="str">
        <f t="shared" si="542"/>
        <v>Sep</v>
      </c>
      <c r="P5342" s="265">
        <f t="shared" si="543"/>
        <v>36</v>
      </c>
    </row>
    <row r="5343" spans="1:16" ht="15" hidden="1" customHeight="1">
      <c r="A5343" s="103">
        <v>68881270</v>
      </c>
      <c r="B5343" s="608">
        <v>1352</v>
      </c>
      <c r="C5343" s="601">
        <v>240000</v>
      </c>
      <c r="D5343" s="606">
        <v>46296</v>
      </c>
      <c r="E5343" s="103" t="s">
        <v>383</v>
      </c>
      <c r="F5343" s="608" t="s">
        <v>269</v>
      </c>
      <c r="G5343" s="395">
        <f>VLOOKUP($A5343,'Tech Litons'!$A:$I,8,FALSE)</f>
        <v>8.5199999999999998E-3</v>
      </c>
      <c r="H5343" s="174">
        <f>VLOOKUP($A5343,'Tech Litons'!$A:$I,9,FALSE)</f>
        <v>176</v>
      </c>
      <c r="I5343" s="174" t="str">
        <f>VLOOKUP($A5343,'Tech Litons'!$A:$C,3,0)</f>
        <v>48oz</v>
      </c>
      <c r="J5343" s="175" t="str">
        <f t="shared" si="539"/>
        <v>135248oz</v>
      </c>
      <c r="K5343" s="1013">
        <v>0.96499999999999997</v>
      </c>
      <c r="L5343" s="177">
        <f t="shared" si="529"/>
        <v>231600</v>
      </c>
      <c r="M5343" s="177">
        <f t="shared" si="540"/>
        <v>1973.232</v>
      </c>
      <c r="N5343" s="177">
        <f t="shared" si="541"/>
        <v>1315.909090909091</v>
      </c>
      <c r="O5343" s="175" t="str">
        <f t="shared" si="542"/>
        <v>Oct</v>
      </c>
      <c r="P5343" s="265">
        <f t="shared" si="543"/>
        <v>40</v>
      </c>
    </row>
    <row r="5344" spans="1:16" ht="15" hidden="1" customHeight="1">
      <c r="A5344" s="103">
        <v>68881270</v>
      </c>
      <c r="B5344" s="608">
        <v>1352</v>
      </c>
      <c r="C5344" s="601">
        <v>133555.19999999998</v>
      </c>
      <c r="D5344" s="606">
        <v>46327</v>
      </c>
      <c r="E5344" s="103" t="s">
        <v>383</v>
      </c>
      <c r="F5344" s="608" t="s">
        <v>269</v>
      </c>
      <c r="G5344" s="395">
        <f>VLOOKUP($A5344,'Tech Litons'!$A:$I,8,FALSE)</f>
        <v>8.5199999999999998E-3</v>
      </c>
      <c r="H5344" s="174">
        <f>VLOOKUP($A5344,'Tech Litons'!$A:$I,9,FALSE)</f>
        <v>176</v>
      </c>
      <c r="I5344" s="174" t="str">
        <f>VLOOKUP($A5344,'Tech Litons'!$A:$C,3,0)</f>
        <v>48oz</v>
      </c>
      <c r="J5344" s="175" t="str">
        <f t="shared" si="539"/>
        <v>135248oz</v>
      </c>
      <c r="K5344" s="1013">
        <v>0.96499999999999997</v>
      </c>
      <c r="L5344" s="177">
        <f t="shared" si="529"/>
        <v>128880.76799999998</v>
      </c>
      <c r="M5344" s="177">
        <f t="shared" si="540"/>
        <v>1098.0641433599999</v>
      </c>
      <c r="N5344" s="177">
        <f t="shared" si="541"/>
        <v>732.27709090909082</v>
      </c>
      <c r="O5344" s="175" t="str">
        <f t="shared" si="542"/>
        <v>Nov</v>
      </c>
      <c r="P5344" s="265">
        <f t="shared" si="543"/>
        <v>45</v>
      </c>
    </row>
    <row r="5345" spans="1:16" ht="15" hidden="1" customHeight="1">
      <c r="A5345" s="103">
        <v>68881270</v>
      </c>
      <c r="B5345" s="608">
        <v>1352</v>
      </c>
      <c r="C5345" s="601">
        <v>133555.19999999998</v>
      </c>
      <c r="D5345" s="606">
        <v>46357</v>
      </c>
      <c r="E5345" s="103" t="s">
        <v>383</v>
      </c>
      <c r="F5345" s="608" t="s">
        <v>269</v>
      </c>
      <c r="G5345" s="395">
        <f>VLOOKUP($A5345,'Tech Litons'!$A:$I,8,FALSE)</f>
        <v>8.5199999999999998E-3</v>
      </c>
      <c r="H5345" s="174">
        <f>VLOOKUP($A5345,'Tech Litons'!$A:$I,9,FALSE)</f>
        <v>176</v>
      </c>
      <c r="I5345" s="174" t="str">
        <f>VLOOKUP($A5345,'Tech Litons'!$A:$C,3,0)</f>
        <v>48oz</v>
      </c>
      <c r="J5345" s="175" t="str">
        <f t="shared" si="539"/>
        <v>135248oz</v>
      </c>
      <c r="K5345" s="1013">
        <v>0.96499999999999997</v>
      </c>
      <c r="L5345" s="177">
        <f t="shared" si="529"/>
        <v>128880.76799999998</v>
      </c>
      <c r="M5345" s="177">
        <f t="shared" si="540"/>
        <v>1098.0641433599999</v>
      </c>
      <c r="N5345" s="177">
        <f t="shared" si="541"/>
        <v>732.27709090909082</v>
      </c>
      <c r="O5345" s="175" t="str">
        <f t="shared" si="542"/>
        <v>Dec</v>
      </c>
      <c r="P5345" s="265">
        <f t="shared" si="543"/>
        <v>49</v>
      </c>
    </row>
    <row r="5346" spans="1:16" ht="15" hidden="1" customHeight="1">
      <c r="A5346" s="103">
        <v>64341968</v>
      </c>
      <c r="B5346" s="608">
        <v>1352</v>
      </c>
      <c r="C5346" s="601">
        <v>263828.57142857142</v>
      </c>
      <c r="D5346" s="606">
        <v>46174</v>
      </c>
      <c r="E5346" s="103" t="s">
        <v>322</v>
      </c>
      <c r="F5346" s="608" t="s">
        <v>695</v>
      </c>
      <c r="G5346" s="395">
        <f>VLOOKUP($A5346,'Tech Litons'!$A:$I,8,FALSE)</f>
        <v>8.5199999999999998E-3</v>
      </c>
      <c r="H5346" s="174">
        <f>VLOOKUP($A5346,'Tech Litons'!$A:$I,9,FALSE)</f>
        <v>176</v>
      </c>
      <c r="I5346" s="174" t="str">
        <f>VLOOKUP($A5346,'Tech Litons'!$A:$C,3,0)</f>
        <v>48oz</v>
      </c>
      <c r="J5346" s="175" t="str">
        <f t="shared" si="539"/>
        <v>135248oz</v>
      </c>
      <c r="K5346" s="1013">
        <v>0.9</v>
      </c>
      <c r="L5346" s="177">
        <f t="shared" si="529"/>
        <v>237445.71428571429</v>
      </c>
      <c r="M5346" s="177">
        <f t="shared" si="540"/>
        <v>2023.0374857142856</v>
      </c>
      <c r="N5346" s="177">
        <f t="shared" si="541"/>
        <v>1349.1233766233765</v>
      </c>
      <c r="O5346" s="175" t="str">
        <f t="shared" si="542"/>
        <v>Jun</v>
      </c>
      <c r="P5346" s="265">
        <f t="shared" si="543"/>
        <v>23</v>
      </c>
    </row>
    <row r="5347" spans="1:16" ht="15" hidden="1" customHeight="1">
      <c r="A5347" s="103">
        <v>64341968</v>
      </c>
      <c r="B5347" s="608">
        <v>1352</v>
      </c>
      <c r="C5347" s="601">
        <v>273600</v>
      </c>
      <c r="D5347" s="606">
        <v>46204</v>
      </c>
      <c r="E5347" s="103" t="s">
        <v>322</v>
      </c>
      <c r="F5347" s="608" t="s">
        <v>695</v>
      </c>
      <c r="G5347" s="395">
        <f>VLOOKUP($A5347,'Tech Litons'!$A:$I,8,FALSE)</f>
        <v>8.5199999999999998E-3</v>
      </c>
      <c r="H5347" s="174">
        <f>VLOOKUP($A5347,'Tech Litons'!$A:$I,9,FALSE)</f>
        <v>176</v>
      </c>
      <c r="I5347" s="174" t="str">
        <f>VLOOKUP($A5347,'Tech Litons'!$A:$C,3,0)</f>
        <v>48oz</v>
      </c>
      <c r="J5347" s="175" t="str">
        <f t="shared" si="539"/>
        <v>135248oz</v>
      </c>
      <c r="K5347" s="1013">
        <v>0.9</v>
      </c>
      <c r="L5347" s="177">
        <f t="shared" si="529"/>
        <v>246240</v>
      </c>
      <c r="M5347" s="177">
        <f t="shared" si="540"/>
        <v>2097.9647999999997</v>
      </c>
      <c r="N5347" s="177">
        <f t="shared" si="541"/>
        <v>1399.090909090909</v>
      </c>
      <c r="O5347" s="175" t="str">
        <f t="shared" si="542"/>
        <v>Jul</v>
      </c>
      <c r="P5347" s="265">
        <f t="shared" si="543"/>
        <v>27</v>
      </c>
    </row>
    <row r="5348" spans="1:16" ht="15" hidden="1" customHeight="1">
      <c r="A5348" s="103">
        <v>64341968</v>
      </c>
      <c r="B5348" s="608">
        <v>1352</v>
      </c>
      <c r="C5348" s="601">
        <v>293142.85714285716</v>
      </c>
      <c r="D5348" s="606">
        <v>46235</v>
      </c>
      <c r="E5348" s="103" t="s">
        <v>322</v>
      </c>
      <c r="F5348" s="608" t="s">
        <v>695</v>
      </c>
      <c r="G5348" s="395">
        <f>VLOOKUP($A5348,'Tech Litons'!$A:$I,8,FALSE)</f>
        <v>8.5199999999999998E-3</v>
      </c>
      <c r="H5348" s="174">
        <f>VLOOKUP($A5348,'Tech Litons'!$A:$I,9,FALSE)</f>
        <v>176</v>
      </c>
      <c r="I5348" s="174" t="str">
        <f>VLOOKUP($A5348,'Tech Litons'!$A:$C,3,0)</f>
        <v>48oz</v>
      </c>
      <c r="J5348" s="175" t="str">
        <f t="shared" si="539"/>
        <v>135248oz</v>
      </c>
      <c r="K5348" s="1013">
        <v>0.9</v>
      </c>
      <c r="L5348" s="177">
        <f t="shared" si="529"/>
        <v>263828.57142857148</v>
      </c>
      <c r="M5348" s="177">
        <f t="shared" si="540"/>
        <v>2247.8194285714289</v>
      </c>
      <c r="N5348" s="177">
        <f t="shared" si="541"/>
        <v>1499.0259740259744</v>
      </c>
      <c r="O5348" s="175" t="str">
        <f t="shared" si="542"/>
        <v>Aug</v>
      </c>
      <c r="P5348" s="265">
        <f t="shared" si="543"/>
        <v>31</v>
      </c>
    </row>
    <row r="5349" spans="1:16" ht="15" hidden="1" customHeight="1">
      <c r="A5349" s="103">
        <v>64341968</v>
      </c>
      <c r="B5349" s="608">
        <v>1352</v>
      </c>
      <c r="C5349" s="601">
        <v>166114.28571428571</v>
      </c>
      <c r="D5349" s="606">
        <v>46266</v>
      </c>
      <c r="E5349" s="103" t="s">
        <v>322</v>
      </c>
      <c r="F5349" s="608" t="s">
        <v>695</v>
      </c>
      <c r="G5349" s="395">
        <f>VLOOKUP($A5349,'Tech Litons'!$A:$I,8,FALSE)</f>
        <v>8.5199999999999998E-3</v>
      </c>
      <c r="H5349" s="174">
        <f>VLOOKUP($A5349,'Tech Litons'!$A:$I,9,FALSE)</f>
        <v>176</v>
      </c>
      <c r="I5349" s="174" t="str">
        <f>VLOOKUP($A5349,'Tech Litons'!$A:$C,3,0)</f>
        <v>48oz</v>
      </c>
      <c r="J5349" s="175" t="str">
        <f t="shared" si="539"/>
        <v>135248oz</v>
      </c>
      <c r="K5349" s="1013">
        <v>0.96499999999999997</v>
      </c>
      <c r="L5349" s="177">
        <f t="shared" si="529"/>
        <v>160300.28571428571</v>
      </c>
      <c r="M5349" s="177">
        <f t="shared" si="540"/>
        <v>1365.7584342857142</v>
      </c>
      <c r="N5349" s="177">
        <f t="shared" si="541"/>
        <v>910.79707792207785</v>
      </c>
      <c r="O5349" s="175" t="str">
        <f t="shared" si="542"/>
        <v>Sep</v>
      </c>
      <c r="P5349" s="265">
        <f t="shared" si="543"/>
        <v>36</v>
      </c>
    </row>
    <row r="5350" spans="1:16" ht="15" hidden="1" customHeight="1">
      <c r="A5350" s="103">
        <v>64341968</v>
      </c>
      <c r="B5350" s="608">
        <v>1352</v>
      </c>
      <c r="C5350" s="601">
        <v>240000</v>
      </c>
      <c r="D5350" s="606">
        <v>46296</v>
      </c>
      <c r="E5350" s="103" t="s">
        <v>322</v>
      </c>
      <c r="F5350" s="608" t="s">
        <v>695</v>
      </c>
      <c r="G5350" s="395">
        <f>VLOOKUP($A5350,'Tech Litons'!$A:$I,8,FALSE)</f>
        <v>8.5199999999999998E-3</v>
      </c>
      <c r="H5350" s="174">
        <f>VLOOKUP($A5350,'Tech Litons'!$A:$I,9,FALSE)</f>
        <v>176</v>
      </c>
      <c r="I5350" s="174" t="str">
        <f>VLOOKUP($A5350,'Tech Litons'!$A:$C,3,0)</f>
        <v>48oz</v>
      </c>
      <c r="J5350" s="175" t="str">
        <f t="shared" si="539"/>
        <v>135248oz</v>
      </c>
      <c r="K5350" s="1013">
        <v>0.96499999999999997</v>
      </c>
      <c r="L5350" s="177">
        <f t="shared" si="529"/>
        <v>231600</v>
      </c>
      <c r="M5350" s="177">
        <f t="shared" si="540"/>
        <v>1973.232</v>
      </c>
      <c r="N5350" s="177">
        <f t="shared" si="541"/>
        <v>1315.909090909091</v>
      </c>
      <c r="O5350" s="175" t="str">
        <f t="shared" si="542"/>
        <v>Oct</v>
      </c>
      <c r="P5350" s="265">
        <f t="shared" si="543"/>
        <v>40</v>
      </c>
    </row>
    <row r="5351" spans="1:16" ht="15" hidden="1" customHeight="1">
      <c r="A5351" s="103">
        <v>64341968</v>
      </c>
      <c r="B5351" s="608">
        <v>1352</v>
      </c>
      <c r="C5351" s="601">
        <v>136800</v>
      </c>
      <c r="D5351" s="606">
        <v>46327</v>
      </c>
      <c r="E5351" s="103" t="s">
        <v>322</v>
      </c>
      <c r="F5351" s="608" t="s">
        <v>695</v>
      </c>
      <c r="G5351" s="395">
        <f>VLOOKUP($A5351,'Tech Litons'!$A:$I,8,FALSE)</f>
        <v>8.5199999999999998E-3</v>
      </c>
      <c r="H5351" s="174">
        <f>VLOOKUP($A5351,'Tech Litons'!$A:$I,9,FALSE)</f>
        <v>176</v>
      </c>
      <c r="I5351" s="174" t="str">
        <f>VLOOKUP($A5351,'Tech Litons'!$A:$C,3,0)</f>
        <v>48oz</v>
      </c>
      <c r="J5351" s="175" t="str">
        <f t="shared" si="539"/>
        <v>135248oz</v>
      </c>
      <c r="K5351" s="1013">
        <v>0.96499999999999997</v>
      </c>
      <c r="L5351" s="177">
        <f t="shared" si="529"/>
        <v>132012</v>
      </c>
      <c r="M5351" s="177">
        <f t="shared" si="540"/>
        <v>1124.74224</v>
      </c>
      <c r="N5351" s="177">
        <f t="shared" si="541"/>
        <v>750.06818181818187</v>
      </c>
      <c r="O5351" s="175" t="str">
        <f t="shared" si="542"/>
        <v>Nov</v>
      </c>
      <c r="P5351" s="265">
        <f t="shared" si="543"/>
        <v>45</v>
      </c>
    </row>
    <row r="5352" spans="1:16" ht="15" hidden="1" customHeight="1">
      <c r="A5352" s="103">
        <v>64341968</v>
      </c>
      <c r="B5352" s="608">
        <v>1352</v>
      </c>
      <c r="C5352" s="601">
        <v>136800</v>
      </c>
      <c r="D5352" s="606">
        <v>46357</v>
      </c>
      <c r="E5352" s="103" t="s">
        <v>322</v>
      </c>
      <c r="F5352" s="608" t="s">
        <v>695</v>
      </c>
      <c r="G5352" s="395">
        <f>VLOOKUP($A5352,'Tech Litons'!$A:$I,8,FALSE)</f>
        <v>8.5199999999999998E-3</v>
      </c>
      <c r="H5352" s="174">
        <f>VLOOKUP($A5352,'Tech Litons'!$A:$I,9,FALSE)</f>
        <v>176</v>
      </c>
      <c r="I5352" s="174" t="str">
        <f>VLOOKUP($A5352,'Tech Litons'!$A:$C,3,0)</f>
        <v>48oz</v>
      </c>
      <c r="J5352" s="175" t="str">
        <f t="shared" si="539"/>
        <v>135248oz</v>
      </c>
      <c r="K5352" s="1013">
        <v>0.96499999999999997</v>
      </c>
      <c r="L5352" s="177">
        <f t="shared" si="529"/>
        <v>132012</v>
      </c>
      <c r="M5352" s="177">
        <f t="shared" si="540"/>
        <v>1124.74224</v>
      </c>
      <c r="N5352" s="177">
        <f t="shared" si="541"/>
        <v>750.06818181818187</v>
      </c>
      <c r="O5352" s="175" t="str">
        <f t="shared" si="542"/>
        <v>Dec</v>
      </c>
      <c r="P5352" s="265">
        <f t="shared" si="543"/>
        <v>49</v>
      </c>
    </row>
    <row r="5353" spans="1:16" ht="15" hidden="1" customHeight="1">
      <c r="A5353" s="1006">
        <v>68817793</v>
      </c>
      <c r="B5353" s="1006">
        <v>6706</v>
      </c>
      <c r="C5353" s="1007"/>
      <c r="D5353" s="1008">
        <v>46113</v>
      </c>
      <c r="E5353" s="1009" t="s">
        <v>353</v>
      </c>
      <c r="F5353" s="1006" t="s">
        <v>1250</v>
      </c>
      <c r="G5353" s="395">
        <f>VLOOKUP($A5353,'Tech Litons'!$A:$I,8,FALSE)</f>
        <v>8.5199999999999998E-3</v>
      </c>
      <c r="H5353" s="174">
        <f>VLOOKUP($A5353,'Tech Litons'!$A:$I,9,FALSE)</f>
        <v>176</v>
      </c>
      <c r="I5353" s="174" t="str">
        <f>VLOOKUP($A5353,'Tech Litons'!$A:$C,3,0)</f>
        <v>48oz</v>
      </c>
      <c r="J5353" s="175" t="str">
        <f t="shared" ref="J5353:J5361" si="544">B5353&amp;I5353</f>
        <v>670648oz</v>
      </c>
      <c r="K5353" s="974">
        <v>1</v>
      </c>
      <c r="L5353" s="177">
        <f t="shared" si="529"/>
        <v>0</v>
      </c>
      <c r="M5353" s="177">
        <f t="shared" ref="M5353:M5361" si="545">L5353*G5353</f>
        <v>0</v>
      </c>
      <c r="N5353" s="177">
        <f t="shared" ref="N5353:N5361" si="546">L5353/H5353</f>
        <v>0</v>
      </c>
      <c r="O5353" s="175" t="str">
        <f t="shared" ref="O5353:O5361" si="547">TEXT(D5353,"MMM")</f>
        <v>Apr</v>
      </c>
      <c r="P5353" s="265">
        <f t="shared" ref="P5353:P5361" si="548">WEEKNUM(D5353)</f>
        <v>14</v>
      </c>
    </row>
    <row r="5354" spans="1:16" ht="15" hidden="1" customHeight="1">
      <c r="A5354" s="1006">
        <v>68817793</v>
      </c>
      <c r="B5354" s="1006">
        <v>6706</v>
      </c>
      <c r="C5354" s="1007">
        <v>80000</v>
      </c>
      <c r="D5354" s="1008">
        <v>46143</v>
      </c>
      <c r="E5354" s="1009" t="s">
        <v>353</v>
      </c>
      <c r="F5354" s="1006" t="s">
        <v>1250</v>
      </c>
      <c r="G5354" s="395">
        <f>VLOOKUP($A5354,'Tech Litons'!$A:$I,8,FALSE)</f>
        <v>8.5199999999999998E-3</v>
      </c>
      <c r="H5354" s="174">
        <f>VLOOKUP($A5354,'Tech Litons'!$A:$I,9,FALSE)</f>
        <v>176</v>
      </c>
      <c r="I5354" s="174" t="str">
        <f>VLOOKUP($A5354,'Tech Litons'!$A:$C,3,0)</f>
        <v>48oz</v>
      </c>
      <c r="J5354" s="175" t="str">
        <f t="shared" si="544"/>
        <v>670648oz</v>
      </c>
      <c r="K5354" s="974">
        <v>1</v>
      </c>
      <c r="L5354" s="177">
        <f t="shared" ref="L5354:L5417" si="549">C5354*$K5354</f>
        <v>80000</v>
      </c>
      <c r="M5354" s="177">
        <f t="shared" si="545"/>
        <v>681.6</v>
      </c>
      <c r="N5354" s="177">
        <f t="shared" si="546"/>
        <v>454.54545454545456</v>
      </c>
      <c r="O5354" s="175" t="str">
        <f t="shared" si="547"/>
        <v>May</v>
      </c>
      <c r="P5354" s="265">
        <f t="shared" si="548"/>
        <v>18</v>
      </c>
    </row>
    <row r="5355" spans="1:16" ht="15" hidden="1" customHeight="1">
      <c r="A5355" s="1006">
        <v>68817793</v>
      </c>
      <c r="B5355" s="1006">
        <v>6706</v>
      </c>
      <c r="C5355" s="1007">
        <v>35000</v>
      </c>
      <c r="D5355" s="1008">
        <v>46174</v>
      </c>
      <c r="E5355" s="1009" t="s">
        <v>353</v>
      </c>
      <c r="F5355" s="1006" t="s">
        <v>1250</v>
      </c>
      <c r="G5355" s="395">
        <f>VLOOKUP($A5355,'Tech Litons'!$A:$I,8,FALSE)</f>
        <v>8.5199999999999998E-3</v>
      </c>
      <c r="H5355" s="174">
        <f>VLOOKUP($A5355,'Tech Litons'!$A:$I,9,FALSE)</f>
        <v>176</v>
      </c>
      <c r="I5355" s="174" t="str">
        <f>VLOOKUP($A5355,'Tech Litons'!$A:$C,3,0)</f>
        <v>48oz</v>
      </c>
      <c r="J5355" s="175" t="str">
        <f t="shared" si="544"/>
        <v>670648oz</v>
      </c>
      <c r="K5355" s="974">
        <v>1</v>
      </c>
      <c r="L5355" s="177">
        <f t="shared" si="549"/>
        <v>35000</v>
      </c>
      <c r="M5355" s="177">
        <f t="shared" si="545"/>
        <v>298.2</v>
      </c>
      <c r="N5355" s="177">
        <f t="shared" si="546"/>
        <v>198.86363636363637</v>
      </c>
      <c r="O5355" s="175" t="str">
        <f t="shared" si="547"/>
        <v>Jun</v>
      </c>
      <c r="P5355" s="265">
        <f t="shared" si="548"/>
        <v>23</v>
      </c>
    </row>
    <row r="5356" spans="1:16" ht="15" hidden="1" customHeight="1">
      <c r="A5356" s="1006">
        <v>68817793</v>
      </c>
      <c r="B5356" s="1006">
        <v>6706</v>
      </c>
      <c r="C5356" s="1007">
        <v>55000</v>
      </c>
      <c r="D5356" s="1008">
        <v>46204</v>
      </c>
      <c r="E5356" s="1009" t="s">
        <v>353</v>
      </c>
      <c r="F5356" s="1006" t="s">
        <v>1250</v>
      </c>
      <c r="G5356" s="395">
        <f>VLOOKUP($A5356,'Tech Litons'!$A:$I,8,FALSE)</f>
        <v>8.5199999999999998E-3</v>
      </c>
      <c r="H5356" s="174">
        <f>VLOOKUP($A5356,'Tech Litons'!$A:$I,9,FALSE)</f>
        <v>176</v>
      </c>
      <c r="I5356" s="174" t="str">
        <f>VLOOKUP($A5356,'Tech Litons'!$A:$C,3,0)</f>
        <v>48oz</v>
      </c>
      <c r="J5356" s="175" t="str">
        <f t="shared" si="544"/>
        <v>670648oz</v>
      </c>
      <c r="K5356" s="974">
        <v>1</v>
      </c>
      <c r="L5356" s="177">
        <f t="shared" si="549"/>
        <v>55000</v>
      </c>
      <c r="M5356" s="177">
        <f t="shared" si="545"/>
        <v>468.59999999999997</v>
      </c>
      <c r="N5356" s="177">
        <f t="shared" si="546"/>
        <v>312.5</v>
      </c>
      <c r="O5356" s="175" t="str">
        <f t="shared" si="547"/>
        <v>Jul</v>
      </c>
      <c r="P5356" s="265">
        <f t="shared" si="548"/>
        <v>27</v>
      </c>
    </row>
    <row r="5357" spans="1:16" ht="15" hidden="1" customHeight="1">
      <c r="A5357" s="1006">
        <v>68817793</v>
      </c>
      <c r="B5357" s="1006">
        <v>6706</v>
      </c>
      <c r="C5357" s="1007"/>
      <c r="D5357" s="1008">
        <v>46235</v>
      </c>
      <c r="E5357" s="1009" t="s">
        <v>353</v>
      </c>
      <c r="F5357" s="1006" t="s">
        <v>1250</v>
      </c>
      <c r="G5357" s="395">
        <f>VLOOKUP($A5357,'Tech Litons'!$A:$I,8,FALSE)</f>
        <v>8.5199999999999998E-3</v>
      </c>
      <c r="H5357" s="174">
        <f>VLOOKUP($A5357,'Tech Litons'!$A:$I,9,FALSE)</f>
        <v>176</v>
      </c>
      <c r="I5357" s="174" t="str">
        <f>VLOOKUP($A5357,'Tech Litons'!$A:$C,3,0)</f>
        <v>48oz</v>
      </c>
      <c r="J5357" s="175" t="str">
        <f t="shared" si="544"/>
        <v>670648oz</v>
      </c>
      <c r="K5357" s="974">
        <v>1</v>
      </c>
      <c r="L5357" s="177">
        <f t="shared" si="549"/>
        <v>0</v>
      </c>
      <c r="M5357" s="177">
        <f t="shared" si="545"/>
        <v>0</v>
      </c>
      <c r="N5357" s="177">
        <f t="shared" si="546"/>
        <v>0</v>
      </c>
      <c r="O5357" s="175" t="str">
        <f t="shared" si="547"/>
        <v>Aug</v>
      </c>
      <c r="P5357" s="265">
        <f t="shared" si="548"/>
        <v>31</v>
      </c>
    </row>
    <row r="5358" spans="1:16" ht="15" hidden="1" customHeight="1">
      <c r="A5358" s="1006">
        <v>68817793</v>
      </c>
      <c r="B5358" s="1006">
        <v>6706</v>
      </c>
      <c r="C5358" s="1007"/>
      <c r="D5358" s="1008">
        <v>46266</v>
      </c>
      <c r="E5358" s="1009" t="s">
        <v>353</v>
      </c>
      <c r="F5358" s="1006" t="s">
        <v>1250</v>
      </c>
      <c r="G5358" s="395">
        <f>VLOOKUP($A5358,'Tech Litons'!$A:$I,8,FALSE)</f>
        <v>8.5199999999999998E-3</v>
      </c>
      <c r="H5358" s="174">
        <f>VLOOKUP($A5358,'Tech Litons'!$A:$I,9,FALSE)</f>
        <v>176</v>
      </c>
      <c r="I5358" s="174" t="str">
        <f>VLOOKUP($A5358,'Tech Litons'!$A:$C,3,0)</f>
        <v>48oz</v>
      </c>
      <c r="J5358" s="175" t="str">
        <f t="shared" si="544"/>
        <v>670648oz</v>
      </c>
      <c r="K5358" s="974">
        <v>1</v>
      </c>
      <c r="L5358" s="177">
        <f t="shared" si="549"/>
        <v>0</v>
      </c>
      <c r="M5358" s="177">
        <f t="shared" si="545"/>
        <v>0</v>
      </c>
      <c r="N5358" s="177">
        <f t="shared" si="546"/>
        <v>0</v>
      </c>
      <c r="O5358" s="175" t="str">
        <f t="shared" si="547"/>
        <v>Sep</v>
      </c>
      <c r="P5358" s="265">
        <f t="shared" si="548"/>
        <v>36</v>
      </c>
    </row>
    <row r="5359" spans="1:16" ht="15" hidden="1" customHeight="1">
      <c r="A5359" s="1006">
        <v>68817793</v>
      </c>
      <c r="B5359" s="1006">
        <v>6706</v>
      </c>
      <c r="C5359" s="1007"/>
      <c r="D5359" s="1008">
        <v>46296</v>
      </c>
      <c r="E5359" s="1009" t="s">
        <v>353</v>
      </c>
      <c r="F5359" s="1006" t="s">
        <v>1250</v>
      </c>
      <c r="G5359" s="395">
        <f>VLOOKUP($A5359,'Tech Litons'!$A:$I,8,FALSE)</f>
        <v>8.5199999999999998E-3</v>
      </c>
      <c r="H5359" s="174">
        <f>VLOOKUP($A5359,'Tech Litons'!$A:$I,9,FALSE)</f>
        <v>176</v>
      </c>
      <c r="I5359" s="174" t="str">
        <f>VLOOKUP($A5359,'Tech Litons'!$A:$C,3,0)</f>
        <v>48oz</v>
      </c>
      <c r="J5359" s="175" t="str">
        <f t="shared" si="544"/>
        <v>670648oz</v>
      </c>
      <c r="K5359" s="974">
        <v>1</v>
      </c>
      <c r="L5359" s="177">
        <f t="shared" si="549"/>
        <v>0</v>
      </c>
      <c r="M5359" s="177">
        <f t="shared" si="545"/>
        <v>0</v>
      </c>
      <c r="N5359" s="177">
        <f t="shared" si="546"/>
        <v>0</v>
      </c>
      <c r="O5359" s="175" t="str">
        <f t="shared" si="547"/>
        <v>Oct</v>
      </c>
      <c r="P5359" s="265">
        <f t="shared" si="548"/>
        <v>40</v>
      </c>
    </row>
    <row r="5360" spans="1:16" ht="15" hidden="1" customHeight="1">
      <c r="A5360" s="1006">
        <v>68817793</v>
      </c>
      <c r="B5360" s="1006">
        <v>6706</v>
      </c>
      <c r="C5360" s="1007"/>
      <c r="D5360" s="1008">
        <v>46327</v>
      </c>
      <c r="E5360" s="1009" t="s">
        <v>353</v>
      </c>
      <c r="F5360" s="1006" t="s">
        <v>1250</v>
      </c>
      <c r="G5360" s="395">
        <f>VLOOKUP($A5360,'Tech Litons'!$A:$I,8,FALSE)</f>
        <v>8.5199999999999998E-3</v>
      </c>
      <c r="H5360" s="174">
        <f>VLOOKUP($A5360,'Tech Litons'!$A:$I,9,FALSE)</f>
        <v>176</v>
      </c>
      <c r="I5360" s="174" t="str">
        <f>VLOOKUP($A5360,'Tech Litons'!$A:$C,3,0)</f>
        <v>48oz</v>
      </c>
      <c r="J5360" s="175" t="str">
        <f t="shared" si="544"/>
        <v>670648oz</v>
      </c>
      <c r="K5360" s="974">
        <v>1</v>
      </c>
      <c r="L5360" s="177">
        <f t="shared" si="549"/>
        <v>0</v>
      </c>
      <c r="M5360" s="177">
        <f t="shared" si="545"/>
        <v>0</v>
      </c>
      <c r="N5360" s="177">
        <f t="shared" si="546"/>
        <v>0</v>
      </c>
      <c r="O5360" s="175" t="str">
        <f t="shared" si="547"/>
        <v>Nov</v>
      </c>
      <c r="P5360" s="265">
        <f t="shared" si="548"/>
        <v>45</v>
      </c>
    </row>
    <row r="5361" spans="1:16" ht="15" hidden="1" customHeight="1">
      <c r="A5361" s="1006">
        <v>68817793</v>
      </c>
      <c r="B5361" s="1006">
        <v>6706</v>
      </c>
      <c r="C5361" s="1007"/>
      <c r="D5361" s="1008">
        <v>46357</v>
      </c>
      <c r="E5361" s="1009" t="s">
        <v>353</v>
      </c>
      <c r="F5361" s="1006" t="s">
        <v>1250</v>
      </c>
      <c r="G5361" s="395">
        <f>VLOOKUP($A5361,'Tech Litons'!$A:$I,8,FALSE)</f>
        <v>8.5199999999999998E-3</v>
      </c>
      <c r="H5361" s="174">
        <f>VLOOKUP($A5361,'Tech Litons'!$A:$I,9,FALSE)</f>
        <v>176</v>
      </c>
      <c r="I5361" s="174" t="str">
        <f>VLOOKUP($A5361,'Tech Litons'!$A:$C,3,0)</f>
        <v>48oz</v>
      </c>
      <c r="J5361" s="175" t="str">
        <f t="shared" si="544"/>
        <v>670648oz</v>
      </c>
      <c r="K5361" s="974">
        <v>1</v>
      </c>
      <c r="L5361" s="177">
        <f t="shared" si="549"/>
        <v>0</v>
      </c>
      <c r="M5361" s="177">
        <f t="shared" si="545"/>
        <v>0</v>
      </c>
      <c r="N5361" s="177">
        <f t="shared" si="546"/>
        <v>0</v>
      </c>
      <c r="O5361" s="175" t="str">
        <f t="shared" si="547"/>
        <v>Dec</v>
      </c>
      <c r="P5361" s="265">
        <f t="shared" si="548"/>
        <v>49</v>
      </c>
    </row>
    <row r="5362" spans="1:16" ht="15" hidden="1" customHeight="1">
      <c r="A5362" s="103">
        <v>69568828</v>
      </c>
      <c r="B5362" s="608">
        <v>3910</v>
      </c>
      <c r="C5362" s="601"/>
      <c r="D5362" s="606">
        <v>46174</v>
      </c>
      <c r="E5362" s="103" t="s">
        <v>320</v>
      </c>
      <c r="F5362" s="608" t="s">
        <v>1250</v>
      </c>
      <c r="G5362" s="395">
        <f>VLOOKUP($A5362,'Tech Litons'!$A:$I,8,FALSE)</f>
        <v>8.5199999999999998E-3</v>
      </c>
      <c r="H5362" s="174">
        <f>VLOOKUP($A5362,'Tech Litons'!$A:$I,9,FALSE)</f>
        <v>176</v>
      </c>
      <c r="I5362" s="174" t="str">
        <f>VLOOKUP($A5362,'Tech Litons'!$A:$C,3,0)</f>
        <v>48oz</v>
      </c>
      <c r="J5362" s="175" t="str">
        <f t="shared" ref="J5362:J5368" si="550">B5362&amp;I5362</f>
        <v>391048oz</v>
      </c>
      <c r="K5362" s="974">
        <v>1</v>
      </c>
      <c r="L5362" s="177">
        <f t="shared" si="549"/>
        <v>0</v>
      </c>
      <c r="M5362" s="177">
        <f t="shared" ref="M5362:M5368" si="551">L5362*G5362</f>
        <v>0</v>
      </c>
      <c r="N5362" s="177">
        <f t="shared" ref="N5362:N5368" si="552">L5362/H5362</f>
        <v>0</v>
      </c>
      <c r="O5362" s="175" t="str">
        <f t="shared" ref="O5362:O5368" si="553">TEXT(D5362,"MMM")</f>
        <v>Jun</v>
      </c>
      <c r="P5362" s="265">
        <f t="shared" ref="P5362:P5368" si="554">WEEKNUM(D5362)</f>
        <v>23</v>
      </c>
    </row>
    <row r="5363" spans="1:16" ht="15" hidden="1" customHeight="1">
      <c r="A5363" s="103">
        <v>69568828</v>
      </c>
      <c r="B5363" s="608">
        <v>3910</v>
      </c>
      <c r="C5363" s="601"/>
      <c r="D5363" s="606">
        <v>46204</v>
      </c>
      <c r="E5363" s="103" t="s">
        <v>320</v>
      </c>
      <c r="F5363" s="608" t="s">
        <v>1250</v>
      </c>
      <c r="G5363" s="395">
        <f>VLOOKUP($A5363,'Tech Litons'!$A:$I,8,FALSE)</f>
        <v>8.5199999999999998E-3</v>
      </c>
      <c r="H5363" s="174">
        <f>VLOOKUP($A5363,'Tech Litons'!$A:$I,9,FALSE)</f>
        <v>176</v>
      </c>
      <c r="I5363" s="174" t="str">
        <f>VLOOKUP($A5363,'Tech Litons'!$A:$C,3,0)</f>
        <v>48oz</v>
      </c>
      <c r="J5363" s="175" t="str">
        <f t="shared" si="550"/>
        <v>391048oz</v>
      </c>
      <c r="K5363" s="974">
        <v>1</v>
      </c>
      <c r="L5363" s="177">
        <f t="shared" si="549"/>
        <v>0</v>
      </c>
      <c r="M5363" s="177">
        <f t="shared" si="551"/>
        <v>0</v>
      </c>
      <c r="N5363" s="177">
        <f t="shared" si="552"/>
        <v>0</v>
      </c>
      <c r="O5363" s="175" t="str">
        <f t="shared" si="553"/>
        <v>Jul</v>
      </c>
      <c r="P5363" s="265">
        <f t="shared" si="554"/>
        <v>27</v>
      </c>
    </row>
    <row r="5364" spans="1:16" ht="15" hidden="1" customHeight="1">
      <c r="A5364" s="103">
        <v>69568828</v>
      </c>
      <c r="B5364" s="608">
        <v>3910</v>
      </c>
      <c r="C5364" s="601"/>
      <c r="D5364" s="606">
        <v>46235</v>
      </c>
      <c r="E5364" s="103" t="s">
        <v>320</v>
      </c>
      <c r="F5364" s="608" t="s">
        <v>1250</v>
      </c>
      <c r="G5364" s="395">
        <f>VLOOKUP($A5364,'Tech Litons'!$A:$I,8,FALSE)</f>
        <v>8.5199999999999998E-3</v>
      </c>
      <c r="H5364" s="174">
        <f>VLOOKUP($A5364,'Tech Litons'!$A:$I,9,FALSE)</f>
        <v>176</v>
      </c>
      <c r="I5364" s="174" t="str">
        <f>VLOOKUP($A5364,'Tech Litons'!$A:$C,3,0)</f>
        <v>48oz</v>
      </c>
      <c r="J5364" s="175" t="str">
        <f t="shared" si="550"/>
        <v>391048oz</v>
      </c>
      <c r="K5364" s="974">
        <v>1</v>
      </c>
      <c r="L5364" s="177">
        <f t="shared" si="549"/>
        <v>0</v>
      </c>
      <c r="M5364" s="177">
        <f t="shared" si="551"/>
        <v>0</v>
      </c>
      <c r="N5364" s="177">
        <f t="shared" si="552"/>
        <v>0</v>
      </c>
      <c r="O5364" s="175" t="str">
        <f t="shared" si="553"/>
        <v>Aug</v>
      </c>
      <c r="P5364" s="265">
        <f t="shared" si="554"/>
        <v>31</v>
      </c>
    </row>
    <row r="5365" spans="1:16" ht="15" hidden="1" customHeight="1">
      <c r="A5365" s="103">
        <v>69568828</v>
      </c>
      <c r="B5365" s="608">
        <v>3910</v>
      </c>
      <c r="C5365" s="601"/>
      <c r="D5365" s="606">
        <v>46266</v>
      </c>
      <c r="E5365" s="103" t="s">
        <v>320</v>
      </c>
      <c r="F5365" s="608" t="s">
        <v>1250</v>
      </c>
      <c r="G5365" s="395">
        <f>VLOOKUP($A5365,'Tech Litons'!$A:$I,8,FALSE)</f>
        <v>8.5199999999999998E-3</v>
      </c>
      <c r="H5365" s="174">
        <f>VLOOKUP($A5365,'Tech Litons'!$A:$I,9,FALSE)</f>
        <v>176</v>
      </c>
      <c r="I5365" s="174" t="str">
        <f>VLOOKUP($A5365,'Tech Litons'!$A:$C,3,0)</f>
        <v>48oz</v>
      </c>
      <c r="J5365" s="175" t="str">
        <f t="shared" si="550"/>
        <v>391048oz</v>
      </c>
      <c r="K5365" s="974">
        <v>1</v>
      </c>
      <c r="L5365" s="177">
        <f t="shared" si="549"/>
        <v>0</v>
      </c>
      <c r="M5365" s="177">
        <f t="shared" si="551"/>
        <v>0</v>
      </c>
      <c r="N5365" s="177">
        <f t="shared" si="552"/>
        <v>0</v>
      </c>
      <c r="O5365" s="175" t="str">
        <f t="shared" si="553"/>
        <v>Sep</v>
      </c>
      <c r="P5365" s="265">
        <f t="shared" si="554"/>
        <v>36</v>
      </c>
    </row>
    <row r="5366" spans="1:16" ht="15" hidden="1" customHeight="1">
      <c r="A5366" s="103">
        <v>69568828</v>
      </c>
      <c r="B5366" s="608">
        <v>3910</v>
      </c>
      <c r="C5366" s="601"/>
      <c r="D5366" s="606">
        <v>46296</v>
      </c>
      <c r="E5366" s="103" t="s">
        <v>320</v>
      </c>
      <c r="F5366" s="608" t="s">
        <v>1250</v>
      </c>
      <c r="G5366" s="395">
        <f>VLOOKUP($A5366,'Tech Litons'!$A:$I,8,FALSE)</f>
        <v>8.5199999999999998E-3</v>
      </c>
      <c r="H5366" s="174">
        <f>VLOOKUP($A5366,'Tech Litons'!$A:$I,9,FALSE)</f>
        <v>176</v>
      </c>
      <c r="I5366" s="174" t="str">
        <f>VLOOKUP($A5366,'Tech Litons'!$A:$C,3,0)</f>
        <v>48oz</v>
      </c>
      <c r="J5366" s="175" t="str">
        <f t="shared" si="550"/>
        <v>391048oz</v>
      </c>
      <c r="K5366" s="974">
        <v>1</v>
      </c>
      <c r="L5366" s="177">
        <f t="shared" si="549"/>
        <v>0</v>
      </c>
      <c r="M5366" s="177">
        <f t="shared" si="551"/>
        <v>0</v>
      </c>
      <c r="N5366" s="177">
        <f t="shared" si="552"/>
        <v>0</v>
      </c>
      <c r="O5366" s="175" t="str">
        <f t="shared" si="553"/>
        <v>Oct</v>
      </c>
      <c r="P5366" s="265">
        <f t="shared" si="554"/>
        <v>40</v>
      </c>
    </row>
    <row r="5367" spans="1:16" ht="15" hidden="1" customHeight="1">
      <c r="A5367" s="103">
        <v>69568828</v>
      </c>
      <c r="B5367" s="608">
        <v>3910</v>
      </c>
      <c r="C5367" s="601"/>
      <c r="D5367" s="606">
        <v>46327</v>
      </c>
      <c r="E5367" s="103" t="s">
        <v>320</v>
      </c>
      <c r="F5367" s="608" t="s">
        <v>1250</v>
      </c>
      <c r="G5367" s="395">
        <f>VLOOKUP($A5367,'Tech Litons'!$A:$I,8,FALSE)</f>
        <v>8.5199999999999998E-3</v>
      </c>
      <c r="H5367" s="174">
        <f>VLOOKUP($A5367,'Tech Litons'!$A:$I,9,FALSE)</f>
        <v>176</v>
      </c>
      <c r="I5367" s="174" t="str">
        <f>VLOOKUP($A5367,'Tech Litons'!$A:$C,3,0)</f>
        <v>48oz</v>
      </c>
      <c r="J5367" s="175" t="str">
        <f t="shared" si="550"/>
        <v>391048oz</v>
      </c>
      <c r="K5367" s="974">
        <v>1</v>
      </c>
      <c r="L5367" s="177">
        <f t="shared" si="549"/>
        <v>0</v>
      </c>
      <c r="M5367" s="177">
        <f t="shared" si="551"/>
        <v>0</v>
      </c>
      <c r="N5367" s="177">
        <f t="shared" si="552"/>
        <v>0</v>
      </c>
      <c r="O5367" s="175" t="str">
        <f t="shared" si="553"/>
        <v>Nov</v>
      </c>
      <c r="P5367" s="265">
        <f t="shared" si="554"/>
        <v>45</v>
      </c>
    </row>
    <row r="5368" spans="1:16" ht="15" hidden="1" customHeight="1">
      <c r="A5368" s="103">
        <v>69568828</v>
      </c>
      <c r="B5368" s="608">
        <v>3910</v>
      </c>
      <c r="C5368" s="601"/>
      <c r="D5368" s="606">
        <v>46357</v>
      </c>
      <c r="E5368" s="103" t="s">
        <v>320</v>
      </c>
      <c r="F5368" s="608" t="s">
        <v>1250</v>
      </c>
      <c r="G5368" s="395">
        <f>VLOOKUP($A5368,'Tech Litons'!$A:$I,8,FALSE)</f>
        <v>8.5199999999999998E-3</v>
      </c>
      <c r="H5368" s="174">
        <f>VLOOKUP($A5368,'Tech Litons'!$A:$I,9,FALSE)</f>
        <v>176</v>
      </c>
      <c r="I5368" s="174" t="str">
        <f>VLOOKUP($A5368,'Tech Litons'!$A:$C,3,0)</f>
        <v>48oz</v>
      </c>
      <c r="J5368" s="175" t="str">
        <f t="shared" si="550"/>
        <v>391048oz</v>
      </c>
      <c r="K5368" s="974">
        <v>1</v>
      </c>
      <c r="L5368" s="177">
        <f t="shared" si="549"/>
        <v>0</v>
      </c>
      <c r="M5368" s="177">
        <f t="shared" si="551"/>
        <v>0</v>
      </c>
      <c r="N5368" s="177">
        <f t="shared" si="552"/>
        <v>0</v>
      </c>
      <c r="O5368" s="175" t="str">
        <f t="shared" si="553"/>
        <v>Dec</v>
      </c>
      <c r="P5368" s="265">
        <f t="shared" si="554"/>
        <v>49</v>
      </c>
    </row>
    <row r="5369" spans="1:16" ht="15" hidden="1" customHeight="1">
      <c r="A5369" s="103">
        <v>84141103</v>
      </c>
      <c r="B5369" s="608">
        <v>5914</v>
      </c>
      <c r="C5369" s="975">
        <v>401280</v>
      </c>
      <c r="D5369" s="606">
        <v>46174</v>
      </c>
      <c r="E5369" s="103" t="s">
        <v>314</v>
      </c>
      <c r="F5369" s="608" t="s">
        <v>786</v>
      </c>
      <c r="G5369" s="395">
        <f>VLOOKUP($A5369,'Tech Litons'!$A:$I,8,FALSE)</f>
        <v>3.7853439999999999E-3</v>
      </c>
      <c r="H5369" s="174">
        <f>VLOOKUP($A5369,'Tech Litons'!$A:$I,9,FALSE)</f>
        <v>240</v>
      </c>
      <c r="I5369" s="174" t="str">
        <f>VLOOKUP($A5369,'Tech Litons'!$A:$C,3,0)</f>
        <v>BJ PTS</v>
      </c>
      <c r="J5369" s="175" t="str">
        <f t="shared" ref="J5369:J5389" si="555">B5369&amp;I5369</f>
        <v>5914BJ PTS</v>
      </c>
      <c r="K5369" s="974">
        <v>0.97</v>
      </c>
      <c r="L5369" s="177">
        <f t="shared" si="549"/>
        <v>389241.59999999998</v>
      </c>
      <c r="M5369" s="177">
        <f t="shared" ref="M5369:M5389" si="556">L5369*G5369</f>
        <v>1473.4133551103998</v>
      </c>
      <c r="N5369" s="177">
        <f t="shared" ref="N5369:N5389" si="557">L5369/H5369</f>
        <v>1621.84</v>
      </c>
      <c r="O5369" s="175" t="str">
        <f t="shared" ref="O5369:O5389" si="558">TEXT(D5369,"MMM")</f>
        <v>Jun</v>
      </c>
      <c r="P5369" s="265">
        <f t="shared" ref="P5369:P5389" si="559">WEEKNUM(D5369)</f>
        <v>23</v>
      </c>
    </row>
    <row r="5370" spans="1:16" ht="15" hidden="1" customHeight="1">
      <c r="A5370" s="103">
        <v>84141103</v>
      </c>
      <c r="B5370" s="608">
        <v>5914</v>
      </c>
      <c r="C5370" s="975">
        <v>422400</v>
      </c>
      <c r="D5370" s="606">
        <v>46204</v>
      </c>
      <c r="E5370" s="103" t="s">
        <v>314</v>
      </c>
      <c r="F5370" s="608" t="s">
        <v>786</v>
      </c>
      <c r="G5370" s="395">
        <f>VLOOKUP($A5370,'Tech Litons'!$A:$I,8,FALSE)</f>
        <v>3.7853439999999999E-3</v>
      </c>
      <c r="H5370" s="174">
        <f>VLOOKUP($A5370,'Tech Litons'!$A:$I,9,FALSE)</f>
        <v>240</v>
      </c>
      <c r="I5370" s="174" t="str">
        <f>VLOOKUP($A5370,'Tech Litons'!$A:$C,3,0)</f>
        <v>BJ PTS</v>
      </c>
      <c r="J5370" s="175" t="str">
        <f t="shared" si="555"/>
        <v>5914BJ PTS</v>
      </c>
      <c r="K5370" s="974">
        <v>0.97</v>
      </c>
      <c r="L5370" s="177">
        <f t="shared" si="549"/>
        <v>409728</v>
      </c>
      <c r="M5370" s="177">
        <f t="shared" si="556"/>
        <v>1550.9614264320001</v>
      </c>
      <c r="N5370" s="177">
        <f t="shared" si="557"/>
        <v>1707.2</v>
      </c>
      <c r="O5370" s="175" t="str">
        <f t="shared" si="558"/>
        <v>Jul</v>
      </c>
      <c r="P5370" s="265">
        <f t="shared" si="559"/>
        <v>27</v>
      </c>
    </row>
    <row r="5371" spans="1:16" ht="15" hidden="1" customHeight="1">
      <c r="A5371" s="103">
        <v>84141103</v>
      </c>
      <c r="B5371" s="608">
        <v>5914</v>
      </c>
      <c r="C5371" s="975">
        <v>464640</v>
      </c>
      <c r="D5371" s="606">
        <v>46235</v>
      </c>
      <c r="E5371" s="103" t="s">
        <v>314</v>
      </c>
      <c r="F5371" s="608" t="s">
        <v>786</v>
      </c>
      <c r="G5371" s="395">
        <f>VLOOKUP($A5371,'Tech Litons'!$A:$I,8,FALSE)</f>
        <v>3.7853439999999999E-3</v>
      </c>
      <c r="H5371" s="174">
        <f>VLOOKUP($A5371,'Tech Litons'!$A:$I,9,FALSE)</f>
        <v>240</v>
      </c>
      <c r="I5371" s="174" t="str">
        <f>VLOOKUP($A5371,'Tech Litons'!$A:$C,3,0)</f>
        <v>BJ PTS</v>
      </c>
      <c r="J5371" s="175" t="str">
        <f t="shared" si="555"/>
        <v>5914BJ PTS</v>
      </c>
      <c r="K5371" s="974">
        <v>0.97</v>
      </c>
      <c r="L5371" s="177">
        <f t="shared" si="549"/>
        <v>450700.79999999999</v>
      </c>
      <c r="M5371" s="177">
        <f t="shared" si="556"/>
        <v>1706.0575690752</v>
      </c>
      <c r="N5371" s="177">
        <f t="shared" si="557"/>
        <v>1877.9199999999998</v>
      </c>
      <c r="O5371" s="175" t="str">
        <f t="shared" si="558"/>
        <v>Aug</v>
      </c>
      <c r="P5371" s="265">
        <f t="shared" si="559"/>
        <v>31</v>
      </c>
    </row>
    <row r="5372" spans="1:16" ht="15" hidden="1" customHeight="1">
      <c r="A5372" s="103">
        <v>84141103</v>
      </c>
      <c r="B5372" s="608">
        <v>5914</v>
      </c>
      <c r="C5372" s="975">
        <v>422400</v>
      </c>
      <c r="D5372" s="606">
        <v>46266</v>
      </c>
      <c r="E5372" s="103" t="s">
        <v>314</v>
      </c>
      <c r="F5372" s="608" t="s">
        <v>786</v>
      </c>
      <c r="G5372" s="395">
        <f>VLOOKUP($A5372,'Tech Litons'!$A:$I,8,FALSE)</f>
        <v>3.7853439999999999E-3</v>
      </c>
      <c r="H5372" s="174">
        <f>VLOOKUP($A5372,'Tech Litons'!$A:$I,9,FALSE)</f>
        <v>240</v>
      </c>
      <c r="I5372" s="174" t="str">
        <f>VLOOKUP($A5372,'Tech Litons'!$A:$C,3,0)</f>
        <v>BJ PTS</v>
      </c>
      <c r="J5372" s="175" t="str">
        <f t="shared" si="555"/>
        <v>5914BJ PTS</v>
      </c>
      <c r="K5372" s="974">
        <v>0.97</v>
      </c>
      <c r="L5372" s="177">
        <f t="shared" si="549"/>
        <v>409728</v>
      </c>
      <c r="M5372" s="177">
        <f t="shared" si="556"/>
        <v>1550.9614264320001</v>
      </c>
      <c r="N5372" s="177">
        <f t="shared" si="557"/>
        <v>1707.2</v>
      </c>
      <c r="O5372" s="175" t="str">
        <f t="shared" si="558"/>
        <v>Sep</v>
      </c>
      <c r="P5372" s="265">
        <f t="shared" si="559"/>
        <v>36</v>
      </c>
    </row>
    <row r="5373" spans="1:16" ht="15" hidden="1" customHeight="1">
      <c r="A5373" s="103">
        <v>84141103</v>
      </c>
      <c r="B5373" s="608">
        <v>5914</v>
      </c>
      <c r="C5373" s="975">
        <v>422400</v>
      </c>
      <c r="D5373" s="606">
        <v>46296</v>
      </c>
      <c r="E5373" s="103" t="s">
        <v>314</v>
      </c>
      <c r="F5373" s="608" t="s">
        <v>786</v>
      </c>
      <c r="G5373" s="395">
        <f>VLOOKUP($A5373,'Tech Litons'!$A:$I,8,FALSE)</f>
        <v>3.7853439999999999E-3</v>
      </c>
      <c r="H5373" s="174">
        <f>VLOOKUP($A5373,'Tech Litons'!$A:$I,9,FALSE)</f>
        <v>240</v>
      </c>
      <c r="I5373" s="174" t="str">
        <f>VLOOKUP($A5373,'Tech Litons'!$A:$C,3,0)</f>
        <v>BJ PTS</v>
      </c>
      <c r="J5373" s="175" t="str">
        <f t="shared" si="555"/>
        <v>5914BJ PTS</v>
      </c>
      <c r="K5373" s="974">
        <v>0.97</v>
      </c>
      <c r="L5373" s="177">
        <f t="shared" si="549"/>
        <v>409728</v>
      </c>
      <c r="M5373" s="177">
        <f t="shared" si="556"/>
        <v>1550.9614264320001</v>
      </c>
      <c r="N5373" s="177">
        <f t="shared" si="557"/>
        <v>1707.2</v>
      </c>
      <c r="O5373" s="175" t="str">
        <f t="shared" si="558"/>
        <v>Oct</v>
      </c>
      <c r="P5373" s="265">
        <f t="shared" si="559"/>
        <v>40</v>
      </c>
    </row>
    <row r="5374" spans="1:16" ht="15" hidden="1" customHeight="1">
      <c r="A5374" s="103">
        <v>84141103</v>
      </c>
      <c r="B5374" s="608">
        <v>5914</v>
      </c>
      <c r="C5374" s="975">
        <v>380160</v>
      </c>
      <c r="D5374" s="606">
        <v>46327</v>
      </c>
      <c r="E5374" s="103" t="s">
        <v>314</v>
      </c>
      <c r="F5374" s="608" t="s">
        <v>786</v>
      </c>
      <c r="G5374" s="395">
        <f>VLOOKUP($A5374,'Tech Litons'!$A:$I,8,FALSE)</f>
        <v>3.7853439999999999E-3</v>
      </c>
      <c r="H5374" s="174">
        <f>VLOOKUP($A5374,'Tech Litons'!$A:$I,9,FALSE)</f>
        <v>240</v>
      </c>
      <c r="I5374" s="174" t="str">
        <f>VLOOKUP($A5374,'Tech Litons'!$A:$C,3,0)</f>
        <v>BJ PTS</v>
      </c>
      <c r="J5374" s="175" t="str">
        <f t="shared" si="555"/>
        <v>5914BJ PTS</v>
      </c>
      <c r="K5374" s="974">
        <v>0.97</v>
      </c>
      <c r="L5374" s="177">
        <f t="shared" si="549"/>
        <v>368755.20000000001</v>
      </c>
      <c r="M5374" s="177">
        <f t="shared" si="556"/>
        <v>1395.8652837888001</v>
      </c>
      <c r="N5374" s="177">
        <f t="shared" si="557"/>
        <v>1536.48</v>
      </c>
      <c r="O5374" s="175" t="str">
        <f t="shared" si="558"/>
        <v>Nov</v>
      </c>
      <c r="P5374" s="265">
        <f t="shared" si="559"/>
        <v>45</v>
      </c>
    </row>
    <row r="5375" spans="1:16" ht="15" hidden="1" customHeight="1">
      <c r="A5375" s="103">
        <v>84141103</v>
      </c>
      <c r="B5375" s="608">
        <v>5914</v>
      </c>
      <c r="C5375" s="975">
        <v>380160</v>
      </c>
      <c r="D5375" s="606">
        <v>46357</v>
      </c>
      <c r="E5375" s="103" t="s">
        <v>314</v>
      </c>
      <c r="F5375" s="608" t="s">
        <v>786</v>
      </c>
      <c r="G5375" s="395">
        <f>VLOOKUP($A5375,'Tech Litons'!$A:$I,8,FALSE)</f>
        <v>3.7853439999999999E-3</v>
      </c>
      <c r="H5375" s="174">
        <f>VLOOKUP($A5375,'Tech Litons'!$A:$I,9,FALSE)</f>
        <v>240</v>
      </c>
      <c r="I5375" s="174" t="str">
        <f>VLOOKUP($A5375,'Tech Litons'!$A:$C,3,0)</f>
        <v>BJ PTS</v>
      </c>
      <c r="J5375" s="175" t="str">
        <f t="shared" si="555"/>
        <v>5914BJ PTS</v>
      </c>
      <c r="K5375" s="974">
        <v>0.97</v>
      </c>
      <c r="L5375" s="177">
        <f t="shared" si="549"/>
        <v>368755.20000000001</v>
      </c>
      <c r="M5375" s="177">
        <f t="shared" si="556"/>
        <v>1395.8652837888001</v>
      </c>
      <c r="N5375" s="177">
        <f t="shared" si="557"/>
        <v>1536.48</v>
      </c>
      <c r="O5375" s="175" t="str">
        <f t="shared" si="558"/>
        <v>Dec</v>
      </c>
      <c r="P5375" s="265">
        <f t="shared" si="559"/>
        <v>49</v>
      </c>
    </row>
    <row r="5376" spans="1:16" ht="15" hidden="1" customHeight="1">
      <c r="A5376" s="103">
        <v>84141103</v>
      </c>
      <c r="B5376" s="608">
        <v>5914</v>
      </c>
      <c r="C5376" s="975">
        <v>401280</v>
      </c>
      <c r="D5376" s="606">
        <v>46174</v>
      </c>
      <c r="E5376" s="103" t="s">
        <v>314</v>
      </c>
      <c r="F5376" s="608" t="s">
        <v>781</v>
      </c>
      <c r="G5376" s="395">
        <f>VLOOKUP($A5376,'Tech Litons'!$A:$I,8,FALSE)</f>
        <v>3.7853439999999999E-3</v>
      </c>
      <c r="H5376" s="174">
        <f>VLOOKUP($A5376,'Tech Litons'!$A:$I,9,FALSE)</f>
        <v>240</v>
      </c>
      <c r="I5376" s="174" t="str">
        <f>VLOOKUP($A5376,'Tech Litons'!$A:$C,3,0)</f>
        <v>BJ PTS</v>
      </c>
      <c r="J5376" s="175" t="str">
        <f t="shared" si="555"/>
        <v>5914BJ PTS</v>
      </c>
      <c r="K5376" s="974">
        <v>0.97</v>
      </c>
      <c r="L5376" s="177">
        <f t="shared" si="549"/>
        <v>389241.59999999998</v>
      </c>
      <c r="M5376" s="177">
        <f t="shared" si="556"/>
        <v>1473.4133551103998</v>
      </c>
      <c r="N5376" s="177">
        <f t="shared" si="557"/>
        <v>1621.84</v>
      </c>
      <c r="O5376" s="175" t="str">
        <f t="shared" si="558"/>
        <v>Jun</v>
      </c>
      <c r="P5376" s="265">
        <f t="shared" si="559"/>
        <v>23</v>
      </c>
    </row>
    <row r="5377" spans="1:16" ht="15" hidden="1" customHeight="1">
      <c r="A5377" s="103">
        <v>84141103</v>
      </c>
      <c r="B5377" s="608">
        <v>5914</v>
      </c>
      <c r="C5377" s="975">
        <v>422400</v>
      </c>
      <c r="D5377" s="606">
        <v>46204</v>
      </c>
      <c r="E5377" s="103" t="s">
        <v>314</v>
      </c>
      <c r="F5377" s="608" t="s">
        <v>781</v>
      </c>
      <c r="G5377" s="395">
        <f>VLOOKUP($A5377,'Tech Litons'!$A:$I,8,FALSE)</f>
        <v>3.7853439999999999E-3</v>
      </c>
      <c r="H5377" s="174">
        <f>VLOOKUP($A5377,'Tech Litons'!$A:$I,9,FALSE)</f>
        <v>240</v>
      </c>
      <c r="I5377" s="174" t="str">
        <f>VLOOKUP($A5377,'Tech Litons'!$A:$C,3,0)</f>
        <v>BJ PTS</v>
      </c>
      <c r="J5377" s="175" t="str">
        <f t="shared" si="555"/>
        <v>5914BJ PTS</v>
      </c>
      <c r="K5377" s="974">
        <v>0.97</v>
      </c>
      <c r="L5377" s="177">
        <f t="shared" si="549"/>
        <v>409728</v>
      </c>
      <c r="M5377" s="177">
        <f t="shared" si="556"/>
        <v>1550.9614264320001</v>
      </c>
      <c r="N5377" s="177">
        <f t="shared" si="557"/>
        <v>1707.2</v>
      </c>
      <c r="O5377" s="175" t="str">
        <f t="shared" si="558"/>
        <v>Jul</v>
      </c>
      <c r="P5377" s="265">
        <f t="shared" si="559"/>
        <v>27</v>
      </c>
    </row>
    <row r="5378" spans="1:16" ht="15" hidden="1" customHeight="1">
      <c r="A5378" s="103">
        <v>84141103</v>
      </c>
      <c r="B5378" s="608">
        <v>5914</v>
      </c>
      <c r="C5378" s="975">
        <v>464640</v>
      </c>
      <c r="D5378" s="606">
        <v>46235</v>
      </c>
      <c r="E5378" s="103" t="s">
        <v>314</v>
      </c>
      <c r="F5378" s="608" t="s">
        <v>781</v>
      </c>
      <c r="G5378" s="395">
        <f>VLOOKUP($A5378,'Tech Litons'!$A:$I,8,FALSE)</f>
        <v>3.7853439999999999E-3</v>
      </c>
      <c r="H5378" s="174">
        <f>VLOOKUP($A5378,'Tech Litons'!$A:$I,9,FALSE)</f>
        <v>240</v>
      </c>
      <c r="I5378" s="174" t="str">
        <f>VLOOKUP($A5378,'Tech Litons'!$A:$C,3,0)</f>
        <v>BJ PTS</v>
      </c>
      <c r="J5378" s="175" t="str">
        <f t="shared" si="555"/>
        <v>5914BJ PTS</v>
      </c>
      <c r="K5378" s="974">
        <v>0.97</v>
      </c>
      <c r="L5378" s="177">
        <f t="shared" si="549"/>
        <v>450700.79999999999</v>
      </c>
      <c r="M5378" s="177">
        <f t="shared" si="556"/>
        <v>1706.0575690752</v>
      </c>
      <c r="N5378" s="177">
        <f t="shared" si="557"/>
        <v>1877.9199999999998</v>
      </c>
      <c r="O5378" s="175" t="str">
        <f t="shared" si="558"/>
        <v>Aug</v>
      </c>
      <c r="P5378" s="265">
        <f t="shared" si="559"/>
        <v>31</v>
      </c>
    </row>
    <row r="5379" spans="1:16" ht="15" hidden="1" customHeight="1">
      <c r="A5379" s="103">
        <v>84141103</v>
      </c>
      <c r="B5379" s="608">
        <v>5914</v>
      </c>
      <c r="C5379" s="975">
        <v>422400</v>
      </c>
      <c r="D5379" s="606">
        <v>46266</v>
      </c>
      <c r="E5379" s="103" t="s">
        <v>314</v>
      </c>
      <c r="F5379" s="608" t="s">
        <v>781</v>
      </c>
      <c r="G5379" s="395">
        <f>VLOOKUP($A5379,'Tech Litons'!$A:$I,8,FALSE)</f>
        <v>3.7853439999999999E-3</v>
      </c>
      <c r="H5379" s="174">
        <f>VLOOKUP($A5379,'Tech Litons'!$A:$I,9,FALSE)</f>
        <v>240</v>
      </c>
      <c r="I5379" s="174" t="str">
        <f>VLOOKUP($A5379,'Tech Litons'!$A:$C,3,0)</f>
        <v>BJ PTS</v>
      </c>
      <c r="J5379" s="175" t="str">
        <f t="shared" si="555"/>
        <v>5914BJ PTS</v>
      </c>
      <c r="K5379" s="974">
        <v>0.97</v>
      </c>
      <c r="L5379" s="177">
        <f t="shared" si="549"/>
        <v>409728</v>
      </c>
      <c r="M5379" s="177">
        <f t="shared" si="556"/>
        <v>1550.9614264320001</v>
      </c>
      <c r="N5379" s="177">
        <f t="shared" si="557"/>
        <v>1707.2</v>
      </c>
      <c r="O5379" s="175" t="str">
        <f t="shared" si="558"/>
        <v>Sep</v>
      </c>
      <c r="P5379" s="265">
        <f t="shared" si="559"/>
        <v>36</v>
      </c>
    </row>
    <row r="5380" spans="1:16" ht="15" hidden="1" customHeight="1">
      <c r="A5380" s="103">
        <v>84141103</v>
      </c>
      <c r="B5380" s="608">
        <v>5914</v>
      </c>
      <c r="C5380" s="975">
        <v>422400</v>
      </c>
      <c r="D5380" s="606">
        <v>46296</v>
      </c>
      <c r="E5380" s="103" t="s">
        <v>314</v>
      </c>
      <c r="F5380" s="608" t="s">
        <v>781</v>
      </c>
      <c r="G5380" s="395">
        <f>VLOOKUP($A5380,'Tech Litons'!$A:$I,8,FALSE)</f>
        <v>3.7853439999999999E-3</v>
      </c>
      <c r="H5380" s="174">
        <f>VLOOKUP($A5380,'Tech Litons'!$A:$I,9,FALSE)</f>
        <v>240</v>
      </c>
      <c r="I5380" s="174" t="str">
        <f>VLOOKUP($A5380,'Tech Litons'!$A:$C,3,0)</f>
        <v>BJ PTS</v>
      </c>
      <c r="J5380" s="175" t="str">
        <f t="shared" si="555"/>
        <v>5914BJ PTS</v>
      </c>
      <c r="K5380" s="974">
        <v>0.97</v>
      </c>
      <c r="L5380" s="177">
        <f t="shared" si="549"/>
        <v>409728</v>
      </c>
      <c r="M5380" s="177">
        <f t="shared" si="556"/>
        <v>1550.9614264320001</v>
      </c>
      <c r="N5380" s="177">
        <f t="shared" si="557"/>
        <v>1707.2</v>
      </c>
      <c r="O5380" s="175" t="str">
        <f t="shared" si="558"/>
        <v>Oct</v>
      </c>
      <c r="P5380" s="265">
        <f t="shared" si="559"/>
        <v>40</v>
      </c>
    </row>
    <row r="5381" spans="1:16" ht="15" hidden="1" customHeight="1">
      <c r="A5381" s="103">
        <v>84141103</v>
      </c>
      <c r="B5381" s="608">
        <v>5914</v>
      </c>
      <c r="C5381" s="975">
        <v>380160</v>
      </c>
      <c r="D5381" s="606">
        <v>46327</v>
      </c>
      <c r="E5381" s="103" t="s">
        <v>314</v>
      </c>
      <c r="F5381" s="608" t="s">
        <v>781</v>
      </c>
      <c r="G5381" s="395">
        <f>VLOOKUP($A5381,'Tech Litons'!$A:$I,8,FALSE)</f>
        <v>3.7853439999999999E-3</v>
      </c>
      <c r="H5381" s="174">
        <f>VLOOKUP($A5381,'Tech Litons'!$A:$I,9,FALSE)</f>
        <v>240</v>
      </c>
      <c r="I5381" s="174" t="str">
        <f>VLOOKUP($A5381,'Tech Litons'!$A:$C,3,0)</f>
        <v>BJ PTS</v>
      </c>
      <c r="J5381" s="175" t="str">
        <f t="shared" si="555"/>
        <v>5914BJ PTS</v>
      </c>
      <c r="K5381" s="974">
        <v>0.97</v>
      </c>
      <c r="L5381" s="177">
        <f t="shared" si="549"/>
        <v>368755.20000000001</v>
      </c>
      <c r="M5381" s="177">
        <f t="shared" si="556"/>
        <v>1395.8652837888001</v>
      </c>
      <c r="N5381" s="177">
        <f t="shared" si="557"/>
        <v>1536.48</v>
      </c>
      <c r="O5381" s="175" t="str">
        <f t="shared" si="558"/>
        <v>Nov</v>
      </c>
      <c r="P5381" s="265">
        <f t="shared" si="559"/>
        <v>45</v>
      </c>
    </row>
    <row r="5382" spans="1:16" ht="15" hidden="1" customHeight="1">
      <c r="A5382" s="103">
        <v>84141103</v>
      </c>
      <c r="B5382" s="608">
        <v>5914</v>
      </c>
      <c r="C5382" s="975">
        <v>380160</v>
      </c>
      <c r="D5382" s="606">
        <v>46357</v>
      </c>
      <c r="E5382" s="103" t="s">
        <v>314</v>
      </c>
      <c r="F5382" s="608" t="s">
        <v>781</v>
      </c>
      <c r="G5382" s="395">
        <f>VLOOKUP($A5382,'Tech Litons'!$A:$I,8,FALSE)</f>
        <v>3.7853439999999999E-3</v>
      </c>
      <c r="H5382" s="174">
        <f>VLOOKUP($A5382,'Tech Litons'!$A:$I,9,FALSE)</f>
        <v>240</v>
      </c>
      <c r="I5382" s="174" t="str">
        <f>VLOOKUP($A5382,'Tech Litons'!$A:$C,3,0)</f>
        <v>BJ PTS</v>
      </c>
      <c r="J5382" s="175" t="str">
        <f t="shared" si="555"/>
        <v>5914BJ PTS</v>
      </c>
      <c r="K5382" s="974">
        <v>0.97</v>
      </c>
      <c r="L5382" s="177">
        <f t="shared" si="549"/>
        <v>368755.20000000001</v>
      </c>
      <c r="M5382" s="177">
        <f t="shared" si="556"/>
        <v>1395.8652837888001</v>
      </c>
      <c r="N5382" s="177">
        <f t="shared" si="557"/>
        <v>1536.48</v>
      </c>
      <c r="O5382" s="175" t="str">
        <f t="shared" si="558"/>
        <v>Dec</v>
      </c>
      <c r="P5382" s="265">
        <f t="shared" si="559"/>
        <v>49</v>
      </c>
    </row>
    <row r="5383" spans="1:16" ht="15" hidden="1" customHeight="1">
      <c r="A5383" s="103">
        <v>84141103</v>
      </c>
      <c r="B5383" s="608">
        <v>5914</v>
      </c>
      <c r="C5383" s="975">
        <v>437760</v>
      </c>
      <c r="D5383" s="606">
        <v>46174</v>
      </c>
      <c r="E5383" s="103" t="s">
        <v>314</v>
      </c>
      <c r="F5383" s="608" t="s">
        <v>792</v>
      </c>
      <c r="G5383" s="395">
        <f>VLOOKUP($A5383,'Tech Litons'!$A:$I,8,FALSE)</f>
        <v>3.7853439999999999E-3</v>
      </c>
      <c r="H5383" s="174">
        <f>VLOOKUP($A5383,'Tech Litons'!$A:$I,9,FALSE)</f>
        <v>240</v>
      </c>
      <c r="I5383" s="174" t="str">
        <f>VLOOKUP($A5383,'Tech Litons'!$A:$C,3,0)</f>
        <v>BJ PTS</v>
      </c>
      <c r="J5383" s="175" t="str">
        <f t="shared" si="555"/>
        <v>5914BJ PTS</v>
      </c>
      <c r="K5383" s="974">
        <v>0.97</v>
      </c>
      <c r="L5383" s="177">
        <f t="shared" si="549"/>
        <v>424627.20000000001</v>
      </c>
      <c r="M5383" s="177">
        <f t="shared" si="556"/>
        <v>1607.3600237568</v>
      </c>
      <c r="N5383" s="177">
        <f t="shared" si="557"/>
        <v>1769.28</v>
      </c>
      <c r="O5383" s="175" t="str">
        <f t="shared" si="558"/>
        <v>Jun</v>
      </c>
      <c r="P5383" s="265">
        <f t="shared" si="559"/>
        <v>23</v>
      </c>
    </row>
    <row r="5384" spans="1:16" ht="15" hidden="1" customHeight="1">
      <c r="A5384" s="103">
        <v>84141103</v>
      </c>
      <c r="B5384" s="608">
        <v>5914</v>
      </c>
      <c r="C5384" s="975">
        <v>460800</v>
      </c>
      <c r="D5384" s="606">
        <v>46204</v>
      </c>
      <c r="E5384" s="103" t="s">
        <v>314</v>
      </c>
      <c r="F5384" s="608" t="s">
        <v>792</v>
      </c>
      <c r="G5384" s="395">
        <f>VLOOKUP($A5384,'Tech Litons'!$A:$I,8,FALSE)</f>
        <v>3.7853439999999999E-3</v>
      </c>
      <c r="H5384" s="174">
        <f>VLOOKUP($A5384,'Tech Litons'!$A:$I,9,FALSE)</f>
        <v>240</v>
      </c>
      <c r="I5384" s="174" t="str">
        <f>VLOOKUP($A5384,'Tech Litons'!$A:$C,3,0)</f>
        <v>BJ PTS</v>
      </c>
      <c r="J5384" s="175" t="str">
        <f t="shared" si="555"/>
        <v>5914BJ PTS</v>
      </c>
      <c r="K5384" s="974">
        <v>0.97</v>
      </c>
      <c r="L5384" s="177">
        <f t="shared" si="549"/>
        <v>446976</v>
      </c>
      <c r="M5384" s="177">
        <f t="shared" si="556"/>
        <v>1691.957919744</v>
      </c>
      <c r="N5384" s="177">
        <f t="shared" si="557"/>
        <v>1862.4</v>
      </c>
      <c r="O5384" s="175" t="str">
        <f t="shared" si="558"/>
        <v>Jul</v>
      </c>
      <c r="P5384" s="265">
        <f t="shared" si="559"/>
        <v>27</v>
      </c>
    </row>
    <row r="5385" spans="1:16" ht="15" hidden="1" customHeight="1">
      <c r="A5385" s="103">
        <v>84141103</v>
      </c>
      <c r="B5385" s="608">
        <v>5914</v>
      </c>
      <c r="C5385" s="975">
        <v>506880</v>
      </c>
      <c r="D5385" s="606">
        <v>46235</v>
      </c>
      <c r="E5385" s="103" t="s">
        <v>314</v>
      </c>
      <c r="F5385" s="608" t="s">
        <v>792</v>
      </c>
      <c r="G5385" s="395">
        <f>VLOOKUP($A5385,'Tech Litons'!$A:$I,8,FALSE)</f>
        <v>3.7853439999999999E-3</v>
      </c>
      <c r="H5385" s="174">
        <f>VLOOKUP($A5385,'Tech Litons'!$A:$I,9,FALSE)</f>
        <v>240</v>
      </c>
      <c r="I5385" s="174" t="str">
        <f>VLOOKUP($A5385,'Tech Litons'!$A:$C,3,0)</f>
        <v>BJ PTS</v>
      </c>
      <c r="J5385" s="175" t="str">
        <f t="shared" si="555"/>
        <v>5914BJ PTS</v>
      </c>
      <c r="K5385" s="974">
        <v>0.97</v>
      </c>
      <c r="L5385" s="177">
        <f t="shared" si="549"/>
        <v>491673.59999999998</v>
      </c>
      <c r="M5385" s="177">
        <f t="shared" si="556"/>
        <v>1861.1537117183998</v>
      </c>
      <c r="N5385" s="177">
        <f t="shared" si="557"/>
        <v>2048.64</v>
      </c>
      <c r="O5385" s="175" t="str">
        <f t="shared" si="558"/>
        <v>Aug</v>
      </c>
      <c r="P5385" s="265">
        <f t="shared" si="559"/>
        <v>31</v>
      </c>
    </row>
    <row r="5386" spans="1:16" ht="15" hidden="1" customHeight="1">
      <c r="A5386" s="103">
        <v>84141103</v>
      </c>
      <c r="B5386" s="608">
        <v>5914</v>
      </c>
      <c r="C5386" s="975">
        <v>460800</v>
      </c>
      <c r="D5386" s="606">
        <v>46266</v>
      </c>
      <c r="E5386" s="103" t="s">
        <v>314</v>
      </c>
      <c r="F5386" s="608" t="s">
        <v>792</v>
      </c>
      <c r="G5386" s="395">
        <f>VLOOKUP($A5386,'Tech Litons'!$A:$I,8,FALSE)</f>
        <v>3.7853439999999999E-3</v>
      </c>
      <c r="H5386" s="174">
        <f>VLOOKUP($A5386,'Tech Litons'!$A:$I,9,FALSE)</f>
        <v>240</v>
      </c>
      <c r="I5386" s="174" t="str">
        <f>VLOOKUP($A5386,'Tech Litons'!$A:$C,3,0)</f>
        <v>BJ PTS</v>
      </c>
      <c r="J5386" s="175" t="str">
        <f t="shared" si="555"/>
        <v>5914BJ PTS</v>
      </c>
      <c r="K5386" s="974">
        <v>0.97</v>
      </c>
      <c r="L5386" s="177">
        <f t="shared" si="549"/>
        <v>446976</v>
      </c>
      <c r="M5386" s="177">
        <f t="shared" si="556"/>
        <v>1691.957919744</v>
      </c>
      <c r="N5386" s="177">
        <f t="shared" si="557"/>
        <v>1862.4</v>
      </c>
      <c r="O5386" s="175" t="str">
        <f t="shared" si="558"/>
        <v>Sep</v>
      </c>
      <c r="P5386" s="265">
        <f t="shared" si="559"/>
        <v>36</v>
      </c>
    </row>
    <row r="5387" spans="1:16" ht="15" hidden="1" customHeight="1">
      <c r="A5387" s="103">
        <v>84141103</v>
      </c>
      <c r="B5387" s="608">
        <v>5914</v>
      </c>
      <c r="C5387" s="975">
        <v>460800</v>
      </c>
      <c r="D5387" s="606">
        <v>46296</v>
      </c>
      <c r="E5387" s="103" t="s">
        <v>314</v>
      </c>
      <c r="F5387" s="608" t="s">
        <v>792</v>
      </c>
      <c r="G5387" s="395">
        <f>VLOOKUP($A5387,'Tech Litons'!$A:$I,8,FALSE)</f>
        <v>3.7853439999999999E-3</v>
      </c>
      <c r="H5387" s="174">
        <f>VLOOKUP($A5387,'Tech Litons'!$A:$I,9,FALSE)</f>
        <v>240</v>
      </c>
      <c r="I5387" s="174" t="str">
        <f>VLOOKUP($A5387,'Tech Litons'!$A:$C,3,0)</f>
        <v>BJ PTS</v>
      </c>
      <c r="J5387" s="175" t="str">
        <f t="shared" si="555"/>
        <v>5914BJ PTS</v>
      </c>
      <c r="K5387" s="974">
        <v>0.97</v>
      </c>
      <c r="L5387" s="177">
        <f t="shared" si="549"/>
        <v>446976</v>
      </c>
      <c r="M5387" s="177">
        <f t="shared" si="556"/>
        <v>1691.957919744</v>
      </c>
      <c r="N5387" s="177">
        <f t="shared" si="557"/>
        <v>1862.4</v>
      </c>
      <c r="O5387" s="175" t="str">
        <f t="shared" si="558"/>
        <v>Oct</v>
      </c>
      <c r="P5387" s="265">
        <f t="shared" si="559"/>
        <v>40</v>
      </c>
    </row>
    <row r="5388" spans="1:16" ht="15" hidden="1" customHeight="1">
      <c r="A5388" s="103">
        <v>84141103</v>
      </c>
      <c r="B5388" s="608">
        <v>5914</v>
      </c>
      <c r="C5388" s="975">
        <v>380160</v>
      </c>
      <c r="D5388" s="606">
        <v>46327</v>
      </c>
      <c r="E5388" s="103" t="s">
        <v>314</v>
      </c>
      <c r="F5388" s="608" t="s">
        <v>792</v>
      </c>
      <c r="G5388" s="395">
        <f>VLOOKUP($A5388,'Tech Litons'!$A:$I,8,FALSE)</f>
        <v>3.7853439999999999E-3</v>
      </c>
      <c r="H5388" s="174">
        <f>VLOOKUP($A5388,'Tech Litons'!$A:$I,9,FALSE)</f>
        <v>240</v>
      </c>
      <c r="I5388" s="174" t="str">
        <f>VLOOKUP($A5388,'Tech Litons'!$A:$C,3,0)</f>
        <v>BJ PTS</v>
      </c>
      <c r="J5388" s="175" t="str">
        <f t="shared" si="555"/>
        <v>5914BJ PTS</v>
      </c>
      <c r="K5388" s="974">
        <v>0.97</v>
      </c>
      <c r="L5388" s="177">
        <f t="shared" si="549"/>
        <v>368755.20000000001</v>
      </c>
      <c r="M5388" s="177">
        <f t="shared" si="556"/>
        <v>1395.8652837888001</v>
      </c>
      <c r="N5388" s="177">
        <f t="shared" si="557"/>
        <v>1536.48</v>
      </c>
      <c r="O5388" s="175" t="str">
        <f t="shared" si="558"/>
        <v>Nov</v>
      </c>
      <c r="P5388" s="265">
        <f t="shared" si="559"/>
        <v>45</v>
      </c>
    </row>
    <row r="5389" spans="1:16" ht="15" hidden="1" customHeight="1">
      <c r="A5389" s="103">
        <v>84141103</v>
      </c>
      <c r="B5389" s="608">
        <v>5914</v>
      </c>
      <c r="C5389" s="975">
        <v>380160</v>
      </c>
      <c r="D5389" s="606">
        <v>46357</v>
      </c>
      <c r="E5389" s="103" t="s">
        <v>314</v>
      </c>
      <c r="F5389" s="608" t="s">
        <v>792</v>
      </c>
      <c r="G5389" s="395">
        <f>VLOOKUP($A5389,'Tech Litons'!$A:$I,8,FALSE)</f>
        <v>3.7853439999999999E-3</v>
      </c>
      <c r="H5389" s="174">
        <f>VLOOKUP($A5389,'Tech Litons'!$A:$I,9,FALSE)</f>
        <v>240</v>
      </c>
      <c r="I5389" s="174" t="str">
        <f>VLOOKUP($A5389,'Tech Litons'!$A:$C,3,0)</f>
        <v>BJ PTS</v>
      </c>
      <c r="J5389" s="175" t="str">
        <f t="shared" si="555"/>
        <v>5914BJ PTS</v>
      </c>
      <c r="K5389" s="974">
        <v>0.97</v>
      </c>
      <c r="L5389" s="177">
        <f t="shared" si="549"/>
        <v>368755.20000000001</v>
      </c>
      <c r="M5389" s="177">
        <f t="shared" si="556"/>
        <v>1395.8652837888001</v>
      </c>
      <c r="N5389" s="177">
        <f t="shared" si="557"/>
        <v>1536.48</v>
      </c>
      <c r="O5389" s="175" t="str">
        <f t="shared" si="558"/>
        <v>Dec</v>
      </c>
      <c r="P5389" s="265">
        <f t="shared" si="559"/>
        <v>49</v>
      </c>
    </row>
    <row r="5390" spans="1:16" ht="15" hidden="1" customHeight="1">
      <c r="A5390" s="103">
        <v>84141103</v>
      </c>
      <c r="B5390" s="608">
        <v>5911</v>
      </c>
      <c r="C5390" s="975">
        <f>188000*4</f>
        <v>752000</v>
      </c>
      <c r="D5390" s="606">
        <v>46174</v>
      </c>
      <c r="E5390" s="103" t="s">
        <v>314</v>
      </c>
      <c r="F5390" s="608" t="s">
        <v>1251</v>
      </c>
      <c r="G5390" s="395">
        <f>VLOOKUP($A5390,'Tech Litons'!$A:$I,8,FALSE)</f>
        <v>3.7853439999999999E-3</v>
      </c>
      <c r="H5390" s="174">
        <f>VLOOKUP($A5390,'Tech Litons'!$A:$I,9,FALSE)</f>
        <v>240</v>
      </c>
      <c r="I5390" s="174" t="str">
        <f>VLOOKUP($A5390,'Tech Litons'!$A:$C,3,0)</f>
        <v>BJ PTS</v>
      </c>
      <c r="J5390" s="175" t="str">
        <f t="shared" ref="J5390:J5403" si="560">B5390&amp;I5390</f>
        <v>5911BJ PTS</v>
      </c>
      <c r="K5390" s="974">
        <v>0.96</v>
      </c>
      <c r="L5390" s="177">
        <f t="shared" si="549"/>
        <v>721920</v>
      </c>
      <c r="M5390" s="177">
        <f t="shared" ref="M5390:M5403" si="561">L5390*G5390</f>
        <v>2732.7155404800001</v>
      </c>
      <c r="N5390" s="177">
        <f t="shared" ref="N5390:N5403" si="562">L5390/H5390</f>
        <v>3008</v>
      </c>
      <c r="O5390" s="175" t="str">
        <f t="shared" ref="O5390:O5403" si="563">TEXT(D5390,"MMM")</f>
        <v>Jun</v>
      </c>
      <c r="P5390" s="265">
        <f t="shared" ref="P5390:P5403" si="564">WEEKNUM(D5390)</f>
        <v>23</v>
      </c>
    </row>
    <row r="5391" spans="1:16" ht="15" hidden="1" customHeight="1">
      <c r="A5391" s="103">
        <v>84141103</v>
      </c>
      <c r="B5391" s="608">
        <v>5911</v>
      </c>
      <c r="C5391" s="975">
        <v>795428.57142857148</v>
      </c>
      <c r="D5391" s="606">
        <v>46204</v>
      </c>
      <c r="E5391" s="103" t="s">
        <v>314</v>
      </c>
      <c r="F5391" s="608" t="s">
        <v>1251</v>
      </c>
      <c r="G5391" s="395">
        <f>VLOOKUP($A5391,'Tech Litons'!$A:$I,8,FALSE)</f>
        <v>3.7853439999999999E-3</v>
      </c>
      <c r="H5391" s="174">
        <f>VLOOKUP($A5391,'Tech Litons'!$A:$I,9,FALSE)</f>
        <v>240</v>
      </c>
      <c r="I5391" s="174" t="str">
        <f>VLOOKUP($A5391,'Tech Litons'!$A:$C,3,0)</f>
        <v>BJ PTS</v>
      </c>
      <c r="J5391" s="175" t="str">
        <f t="shared" si="560"/>
        <v>5911BJ PTS</v>
      </c>
      <c r="K5391" s="974">
        <v>0.96</v>
      </c>
      <c r="L5391" s="177">
        <f t="shared" si="549"/>
        <v>763611.42857142864</v>
      </c>
      <c r="M5391" s="177">
        <f t="shared" si="561"/>
        <v>2890.531939474286</v>
      </c>
      <c r="N5391" s="177">
        <f t="shared" si="562"/>
        <v>3181.7142857142858</v>
      </c>
      <c r="O5391" s="175" t="str">
        <f t="shared" si="563"/>
        <v>Jul</v>
      </c>
      <c r="P5391" s="265">
        <f t="shared" si="564"/>
        <v>27</v>
      </c>
    </row>
    <row r="5392" spans="1:16" ht="15" hidden="1" customHeight="1">
      <c r="A5392" s="103">
        <v>84141103</v>
      </c>
      <c r="B5392" s="608">
        <v>5911</v>
      </c>
      <c r="C5392" s="975">
        <v>768000</v>
      </c>
      <c r="D5392" s="606">
        <v>46235</v>
      </c>
      <c r="E5392" s="103" t="s">
        <v>314</v>
      </c>
      <c r="F5392" s="608" t="s">
        <v>1251</v>
      </c>
      <c r="G5392" s="395">
        <f>VLOOKUP($A5392,'Tech Litons'!$A:$I,8,FALSE)</f>
        <v>3.7853439999999999E-3</v>
      </c>
      <c r="H5392" s="174">
        <f>VLOOKUP($A5392,'Tech Litons'!$A:$I,9,FALSE)</f>
        <v>240</v>
      </c>
      <c r="I5392" s="174" t="str">
        <f>VLOOKUP($A5392,'Tech Litons'!$A:$C,3,0)</f>
        <v>BJ PTS</v>
      </c>
      <c r="J5392" s="175" t="str">
        <f t="shared" si="560"/>
        <v>5911BJ PTS</v>
      </c>
      <c r="K5392" s="974">
        <v>1</v>
      </c>
      <c r="L5392" s="177">
        <f t="shared" si="549"/>
        <v>768000</v>
      </c>
      <c r="M5392" s="177">
        <f t="shared" si="561"/>
        <v>2907.1441919999997</v>
      </c>
      <c r="N5392" s="177">
        <f t="shared" si="562"/>
        <v>3200</v>
      </c>
      <c r="O5392" s="175" t="str">
        <f t="shared" si="563"/>
        <v>Aug</v>
      </c>
      <c r="P5392" s="265">
        <f t="shared" si="564"/>
        <v>31</v>
      </c>
    </row>
    <row r="5393" spans="1:16" ht="15" hidden="1" customHeight="1">
      <c r="A5393" s="103">
        <v>84141103</v>
      </c>
      <c r="B5393" s="608">
        <v>5911</v>
      </c>
      <c r="C5393" s="975">
        <f>188000*3</f>
        <v>564000</v>
      </c>
      <c r="D5393" s="606">
        <v>46266</v>
      </c>
      <c r="E5393" s="103" t="s">
        <v>314</v>
      </c>
      <c r="F5393" s="608" t="s">
        <v>1251</v>
      </c>
      <c r="G5393" s="395">
        <f>VLOOKUP($A5393,'Tech Litons'!$A:$I,8,FALSE)</f>
        <v>3.7853439999999999E-3</v>
      </c>
      <c r="H5393" s="174">
        <f>VLOOKUP($A5393,'Tech Litons'!$A:$I,9,FALSE)</f>
        <v>240</v>
      </c>
      <c r="I5393" s="174" t="str">
        <f>VLOOKUP($A5393,'Tech Litons'!$A:$C,3,0)</f>
        <v>BJ PTS</v>
      </c>
      <c r="J5393" s="175" t="str">
        <f t="shared" si="560"/>
        <v>5911BJ PTS</v>
      </c>
      <c r="K5393" s="974">
        <v>1</v>
      </c>
      <c r="L5393" s="177">
        <f t="shared" si="549"/>
        <v>564000</v>
      </c>
      <c r="M5393" s="177">
        <f t="shared" si="561"/>
        <v>2134.9340160000002</v>
      </c>
      <c r="N5393" s="177">
        <f t="shared" si="562"/>
        <v>2350</v>
      </c>
      <c r="O5393" s="175" t="str">
        <f t="shared" si="563"/>
        <v>Sep</v>
      </c>
      <c r="P5393" s="265">
        <f t="shared" si="564"/>
        <v>36</v>
      </c>
    </row>
    <row r="5394" spans="1:16" ht="15" hidden="1" customHeight="1">
      <c r="A5394" s="103">
        <v>84141103</v>
      </c>
      <c r="B5394" s="608">
        <v>5911</v>
      </c>
      <c r="C5394" s="975">
        <f>188000+188000</f>
        <v>376000</v>
      </c>
      <c r="D5394" s="606">
        <v>46296</v>
      </c>
      <c r="E5394" s="103" t="s">
        <v>314</v>
      </c>
      <c r="F5394" s="608" t="s">
        <v>1251</v>
      </c>
      <c r="G5394" s="395">
        <f>VLOOKUP($A5394,'Tech Litons'!$A:$I,8,FALSE)</f>
        <v>3.7853439999999999E-3</v>
      </c>
      <c r="H5394" s="174">
        <f>VLOOKUP($A5394,'Tech Litons'!$A:$I,9,FALSE)</f>
        <v>240</v>
      </c>
      <c r="I5394" s="174" t="str">
        <f>VLOOKUP($A5394,'Tech Litons'!$A:$C,3,0)</f>
        <v>BJ PTS</v>
      </c>
      <c r="J5394" s="175" t="str">
        <f t="shared" si="560"/>
        <v>5911BJ PTS</v>
      </c>
      <c r="K5394" s="974">
        <v>1</v>
      </c>
      <c r="L5394" s="177">
        <f t="shared" si="549"/>
        <v>376000</v>
      </c>
      <c r="M5394" s="177">
        <f t="shared" si="561"/>
        <v>1423.289344</v>
      </c>
      <c r="N5394" s="177">
        <f t="shared" si="562"/>
        <v>1566.6666666666667</v>
      </c>
      <c r="O5394" s="175" t="str">
        <f t="shared" si="563"/>
        <v>Oct</v>
      </c>
      <c r="P5394" s="265">
        <f t="shared" si="564"/>
        <v>40</v>
      </c>
    </row>
    <row r="5395" spans="1:16" ht="15" hidden="1" customHeight="1">
      <c r="A5395" s="103">
        <v>84141103</v>
      </c>
      <c r="B5395" s="608">
        <v>5911</v>
      </c>
      <c r="C5395" s="975"/>
      <c r="D5395" s="606">
        <v>46327</v>
      </c>
      <c r="E5395" s="103" t="s">
        <v>314</v>
      </c>
      <c r="F5395" s="608" t="s">
        <v>1251</v>
      </c>
      <c r="G5395" s="395">
        <f>VLOOKUP($A5395,'Tech Litons'!$A:$I,8,FALSE)</f>
        <v>3.7853439999999999E-3</v>
      </c>
      <c r="H5395" s="174">
        <f>VLOOKUP($A5395,'Tech Litons'!$A:$I,9,FALSE)</f>
        <v>240</v>
      </c>
      <c r="I5395" s="174" t="str">
        <f>VLOOKUP($A5395,'Tech Litons'!$A:$C,3,0)</f>
        <v>BJ PTS</v>
      </c>
      <c r="J5395" s="175" t="str">
        <f t="shared" si="560"/>
        <v>5911BJ PTS</v>
      </c>
      <c r="K5395" s="974">
        <v>1</v>
      </c>
      <c r="L5395" s="177">
        <f t="shared" si="549"/>
        <v>0</v>
      </c>
      <c r="M5395" s="177">
        <f t="shared" si="561"/>
        <v>0</v>
      </c>
      <c r="N5395" s="177">
        <f t="shared" si="562"/>
        <v>0</v>
      </c>
      <c r="O5395" s="175" t="str">
        <f t="shared" si="563"/>
        <v>Nov</v>
      </c>
      <c r="P5395" s="265">
        <f t="shared" si="564"/>
        <v>45</v>
      </c>
    </row>
    <row r="5396" spans="1:16" ht="15" hidden="1" customHeight="1">
      <c r="A5396" s="103">
        <v>84141103</v>
      </c>
      <c r="B5396" s="608">
        <v>5911</v>
      </c>
      <c r="C5396" s="975">
        <f>200000*2</f>
        <v>400000</v>
      </c>
      <c r="D5396" s="606">
        <v>46357</v>
      </c>
      <c r="E5396" s="103" t="s">
        <v>314</v>
      </c>
      <c r="F5396" s="608" t="s">
        <v>1251</v>
      </c>
      <c r="G5396" s="395">
        <f>VLOOKUP($A5396,'Tech Litons'!$A:$I,8,FALSE)</f>
        <v>3.7853439999999999E-3</v>
      </c>
      <c r="H5396" s="174">
        <f>VLOOKUP($A5396,'Tech Litons'!$A:$I,9,FALSE)</f>
        <v>240</v>
      </c>
      <c r="I5396" s="174" t="str">
        <f>VLOOKUP($A5396,'Tech Litons'!$A:$C,3,0)</f>
        <v>BJ PTS</v>
      </c>
      <c r="J5396" s="175" t="str">
        <f t="shared" si="560"/>
        <v>5911BJ PTS</v>
      </c>
      <c r="K5396" s="974">
        <v>1</v>
      </c>
      <c r="L5396" s="177">
        <f t="shared" si="549"/>
        <v>400000</v>
      </c>
      <c r="M5396" s="177">
        <f t="shared" si="561"/>
        <v>1514.1376</v>
      </c>
      <c r="N5396" s="177">
        <f t="shared" si="562"/>
        <v>1666.6666666666667</v>
      </c>
      <c r="O5396" s="175" t="str">
        <f t="shared" si="563"/>
        <v>Dec</v>
      </c>
      <c r="P5396" s="265">
        <f t="shared" si="564"/>
        <v>49</v>
      </c>
    </row>
    <row r="5397" spans="1:16" ht="15" hidden="1" customHeight="1">
      <c r="A5397" s="103">
        <v>67826412</v>
      </c>
      <c r="B5397" s="608">
        <v>2904</v>
      </c>
      <c r="C5397" s="975">
        <v>211212</v>
      </c>
      <c r="D5397" s="606">
        <v>46174</v>
      </c>
      <c r="E5397" s="103" t="s">
        <v>312</v>
      </c>
      <c r="F5397" s="608" t="s">
        <v>803</v>
      </c>
      <c r="G5397" s="395">
        <f>VLOOKUP($A5397,'Tech Litons'!$A:$I,8,FALSE)</f>
        <v>3.7853439999999999E-3</v>
      </c>
      <c r="H5397" s="174">
        <f>VLOOKUP($A5397,'Tech Litons'!$A:$I,9,FALSE)</f>
        <v>240</v>
      </c>
      <c r="I5397" s="174" t="str">
        <f>VLOOKUP($A5397,'Tech Litons'!$A:$C,3,0)</f>
        <v>BJ PTS</v>
      </c>
      <c r="J5397" s="175" t="str">
        <f t="shared" si="560"/>
        <v>2904BJ PTS</v>
      </c>
      <c r="K5397" s="974">
        <v>1</v>
      </c>
      <c r="L5397" s="177">
        <f t="shared" si="549"/>
        <v>211212</v>
      </c>
      <c r="M5397" s="177">
        <f t="shared" si="561"/>
        <v>799.51007692799999</v>
      </c>
      <c r="N5397" s="177">
        <f t="shared" si="562"/>
        <v>880.05</v>
      </c>
      <c r="O5397" s="175" t="str">
        <f t="shared" si="563"/>
        <v>Jun</v>
      </c>
      <c r="P5397" s="265">
        <f t="shared" si="564"/>
        <v>23</v>
      </c>
    </row>
    <row r="5398" spans="1:16" ht="15" hidden="1" customHeight="1">
      <c r="A5398" s="103">
        <v>67826412</v>
      </c>
      <c r="B5398" s="608">
        <v>2904</v>
      </c>
      <c r="C5398" s="975">
        <v>189960</v>
      </c>
      <c r="D5398" s="606">
        <v>46204</v>
      </c>
      <c r="E5398" s="103" t="s">
        <v>312</v>
      </c>
      <c r="F5398" s="608" t="s">
        <v>803</v>
      </c>
      <c r="G5398" s="395">
        <f>VLOOKUP($A5398,'Tech Litons'!$A:$I,8,FALSE)</f>
        <v>3.7853439999999999E-3</v>
      </c>
      <c r="H5398" s="174">
        <f>VLOOKUP($A5398,'Tech Litons'!$A:$I,9,FALSE)</f>
        <v>240</v>
      </c>
      <c r="I5398" s="174" t="str">
        <f>VLOOKUP($A5398,'Tech Litons'!$A:$C,3,0)</f>
        <v>BJ PTS</v>
      </c>
      <c r="J5398" s="175" t="str">
        <f t="shared" si="560"/>
        <v>2904BJ PTS</v>
      </c>
      <c r="K5398" s="974">
        <v>1</v>
      </c>
      <c r="L5398" s="177">
        <f t="shared" si="549"/>
        <v>189960</v>
      </c>
      <c r="M5398" s="177">
        <f t="shared" si="561"/>
        <v>719.06394623999995</v>
      </c>
      <c r="N5398" s="177">
        <f t="shared" si="562"/>
        <v>791.5</v>
      </c>
      <c r="O5398" s="175" t="str">
        <f t="shared" si="563"/>
        <v>Jul</v>
      </c>
      <c r="P5398" s="265">
        <f t="shared" si="564"/>
        <v>27</v>
      </c>
    </row>
    <row r="5399" spans="1:16" ht="15" hidden="1" customHeight="1">
      <c r="A5399" s="103">
        <v>67826412</v>
      </c>
      <c r="B5399" s="608">
        <v>2904</v>
      </c>
      <c r="C5399" s="975"/>
      <c r="D5399" s="606">
        <v>46235</v>
      </c>
      <c r="E5399" s="103" t="s">
        <v>312</v>
      </c>
      <c r="F5399" s="608" t="s">
        <v>803</v>
      </c>
      <c r="G5399" s="395">
        <f>VLOOKUP($A5399,'Tech Litons'!$A:$I,8,FALSE)</f>
        <v>3.7853439999999999E-3</v>
      </c>
      <c r="H5399" s="174">
        <f>VLOOKUP($A5399,'Tech Litons'!$A:$I,9,FALSE)</f>
        <v>240</v>
      </c>
      <c r="I5399" s="174" t="str">
        <f>VLOOKUP($A5399,'Tech Litons'!$A:$C,3,0)</f>
        <v>BJ PTS</v>
      </c>
      <c r="J5399" s="175" t="str">
        <f t="shared" si="560"/>
        <v>2904BJ PTS</v>
      </c>
      <c r="K5399" s="974">
        <v>1</v>
      </c>
      <c r="L5399" s="177">
        <f t="shared" si="549"/>
        <v>0</v>
      </c>
      <c r="M5399" s="177">
        <f t="shared" si="561"/>
        <v>0</v>
      </c>
      <c r="N5399" s="177">
        <f t="shared" si="562"/>
        <v>0</v>
      </c>
      <c r="O5399" s="175" t="str">
        <f t="shared" si="563"/>
        <v>Aug</v>
      </c>
      <c r="P5399" s="265">
        <f t="shared" si="564"/>
        <v>31</v>
      </c>
    </row>
    <row r="5400" spans="1:16" ht="15" hidden="1" customHeight="1">
      <c r="A5400" s="103">
        <v>67826412</v>
      </c>
      <c r="B5400" s="608">
        <v>2904</v>
      </c>
      <c r="C5400" s="975"/>
      <c r="D5400" s="606">
        <v>46266</v>
      </c>
      <c r="E5400" s="103" t="s">
        <v>312</v>
      </c>
      <c r="F5400" s="608" t="s">
        <v>803</v>
      </c>
      <c r="G5400" s="395">
        <f>VLOOKUP($A5400,'Tech Litons'!$A:$I,8,FALSE)</f>
        <v>3.7853439999999999E-3</v>
      </c>
      <c r="H5400" s="174">
        <f>VLOOKUP($A5400,'Tech Litons'!$A:$I,9,FALSE)</f>
        <v>240</v>
      </c>
      <c r="I5400" s="174" t="str">
        <f>VLOOKUP($A5400,'Tech Litons'!$A:$C,3,0)</f>
        <v>BJ PTS</v>
      </c>
      <c r="J5400" s="175" t="str">
        <f t="shared" si="560"/>
        <v>2904BJ PTS</v>
      </c>
      <c r="K5400" s="974">
        <v>1</v>
      </c>
      <c r="L5400" s="177">
        <f t="shared" si="549"/>
        <v>0</v>
      </c>
      <c r="M5400" s="177">
        <f t="shared" si="561"/>
        <v>0</v>
      </c>
      <c r="N5400" s="177">
        <f t="shared" si="562"/>
        <v>0</v>
      </c>
      <c r="O5400" s="175" t="str">
        <f t="shared" si="563"/>
        <v>Sep</v>
      </c>
      <c r="P5400" s="265">
        <f t="shared" si="564"/>
        <v>36</v>
      </c>
    </row>
    <row r="5401" spans="1:16" ht="15" hidden="1" customHeight="1">
      <c r="A5401" s="103">
        <v>67826412</v>
      </c>
      <c r="B5401" s="608">
        <v>2904</v>
      </c>
      <c r="C5401" s="975">
        <v>3716</v>
      </c>
      <c r="D5401" s="606">
        <v>46296</v>
      </c>
      <c r="E5401" s="103" t="s">
        <v>312</v>
      </c>
      <c r="F5401" s="608" t="s">
        <v>803</v>
      </c>
      <c r="G5401" s="395">
        <f>VLOOKUP($A5401,'Tech Litons'!$A:$I,8,FALSE)</f>
        <v>3.7853439999999999E-3</v>
      </c>
      <c r="H5401" s="174">
        <f>VLOOKUP($A5401,'Tech Litons'!$A:$I,9,FALSE)</f>
        <v>240</v>
      </c>
      <c r="I5401" s="174" t="str">
        <f>VLOOKUP($A5401,'Tech Litons'!$A:$C,3,0)</f>
        <v>BJ PTS</v>
      </c>
      <c r="J5401" s="175" t="str">
        <f t="shared" si="560"/>
        <v>2904BJ PTS</v>
      </c>
      <c r="K5401" s="974">
        <v>1</v>
      </c>
      <c r="L5401" s="177">
        <f t="shared" si="549"/>
        <v>3716</v>
      </c>
      <c r="M5401" s="177">
        <f t="shared" si="561"/>
        <v>14.066338304</v>
      </c>
      <c r="N5401" s="177">
        <f t="shared" si="562"/>
        <v>15.483333333333333</v>
      </c>
      <c r="O5401" s="175" t="str">
        <f t="shared" si="563"/>
        <v>Oct</v>
      </c>
      <c r="P5401" s="265">
        <f t="shared" si="564"/>
        <v>40</v>
      </c>
    </row>
    <row r="5402" spans="1:16" ht="15" hidden="1" customHeight="1">
      <c r="A5402" s="103">
        <v>67826412</v>
      </c>
      <c r="B5402" s="608">
        <v>2904</v>
      </c>
      <c r="C5402" s="975"/>
      <c r="D5402" s="606">
        <v>46327</v>
      </c>
      <c r="E5402" s="103" t="s">
        <v>312</v>
      </c>
      <c r="F5402" s="608" t="s">
        <v>803</v>
      </c>
      <c r="G5402" s="395">
        <f>VLOOKUP($A5402,'Tech Litons'!$A:$I,8,FALSE)</f>
        <v>3.7853439999999999E-3</v>
      </c>
      <c r="H5402" s="174">
        <f>VLOOKUP($A5402,'Tech Litons'!$A:$I,9,FALSE)</f>
        <v>240</v>
      </c>
      <c r="I5402" s="174" t="str">
        <f>VLOOKUP($A5402,'Tech Litons'!$A:$C,3,0)</f>
        <v>BJ PTS</v>
      </c>
      <c r="J5402" s="175" t="str">
        <f t="shared" si="560"/>
        <v>2904BJ PTS</v>
      </c>
      <c r="K5402" s="974">
        <v>1</v>
      </c>
      <c r="L5402" s="177">
        <f t="shared" si="549"/>
        <v>0</v>
      </c>
      <c r="M5402" s="177">
        <f t="shared" si="561"/>
        <v>0</v>
      </c>
      <c r="N5402" s="177">
        <f t="shared" si="562"/>
        <v>0</v>
      </c>
      <c r="O5402" s="175" t="str">
        <f t="shared" si="563"/>
        <v>Nov</v>
      </c>
      <c r="P5402" s="265">
        <f t="shared" si="564"/>
        <v>45</v>
      </c>
    </row>
    <row r="5403" spans="1:16" ht="15" hidden="1" customHeight="1">
      <c r="A5403" s="103">
        <v>67826412</v>
      </c>
      <c r="B5403" s="608">
        <v>2904</v>
      </c>
      <c r="C5403" s="975"/>
      <c r="D5403" s="606">
        <v>46357</v>
      </c>
      <c r="E5403" s="103" t="s">
        <v>312</v>
      </c>
      <c r="F5403" s="608" t="s">
        <v>803</v>
      </c>
      <c r="G5403" s="395">
        <f>VLOOKUP($A5403,'Tech Litons'!$A:$I,8,FALSE)</f>
        <v>3.7853439999999999E-3</v>
      </c>
      <c r="H5403" s="174">
        <f>VLOOKUP($A5403,'Tech Litons'!$A:$I,9,FALSE)</f>
        <v>240</v>
      </c>
      <c r="I5403" s="174" t="str">
        <f>VLOOKUP($A5403,'Tech Litons'!$A:$C,3,0)</f>
        <v>BJ PTS</v>
      </c>
      <c r="J5403" s="175" t="str">
        <f t="shared" si="560"/>
        <v>2904BJ PTS</v>
      </c>
      <c r="K5403" s="974">
        <v>1</v>
      </c>
      <c r="L5403" s="177">
        <f t="shared" si="549"/>
        <v>0</v>
      </c>
      <c r="M5403" s="177">
        <f t="shared" si="561"/>
        <v>0</v>
      </c>
      <c r="N5403" s="177">
        <f t="shared" si="562"/>
        <v>0</v>
      </c>
      <c r="O5403" s="175" t="str">
        <f t="shared" si="563"/>
        <v>Dec</v>
      </c>
      <c r="P5403" s="265">
        <f t="shared" si="564"/>
        <v>49</v>
      </c>
    </row>
    <row r="5404" spans="1:16" ht="15" hidden="1" customHeight="1">
      <c r="A5404" s="103">
        <v>64975616</v>
      </c>
      <c r="B5404" s="608">
        <v>2904</v>
      </c>
      <c r="C5404" s="103">
        <v>40500</v>
      </c>
      <c r="D5404" s="606">
        <v>46174</v>
      </c>
      <c r="E5404" s="103" t="s">
        <v>385</v>
      </c>
      <c r="F5404" s="608" t="s">
        <v>803</v>
      </c>
      <c r="G5404" s="395">
        <f>VLOOKUP($A5404,'Tech Litons'!$A:$I,8,FALSE)</f>
        <v>3.3119999999999998E-3</v>
      </c>
      <c r="H5404" s="174">
        <f>VLOOKUP($A5404,'Tech Litons'!$A:$I,9,FALSE)</f>
        <v>240</v>
      </c>
      <c r="I5404" s="174" t="str">
        <f>VLOOKUP($A5404,'Tech Litons'!$A:$C,3,0)</f>
        <v>YS PTS</v>
      </c>
      <c r="J5404" s="175" t="str">
        <f t="shared" ref="J5404:J5410" si="565">B5404&amp;I5404</f>
        <v>2904YS PTS</v>
      </c>
      <c r="K5404" s="974">
        <v>1</v>
      </c>
      <c r="L5404" s="177">
        <f t="shared" si="549"/>
        <v>40500</v>
      </c>
      <c r="M5404" s="177">
        <f t="shared" ref="M5404:M5410" si="566">L5404*G5404</f>
        <v>134.136</v>
      </c>
      <c r="N5404" s="177">
        <f t="shared" ref="N5404:N5410" si="567">L5404/H5404</f>
        <v>168.75</v>
      </c>
      <c r="O5404" s="175" t="str">
        <f t="shared" ref="O5404:O5410" si="568">TEXT(D5404,"MMM")</f>
        <v>Jun</v>
      </c>
      <c r="P5404" s="265">
        <f t="shared" ref="P5404:P5410" si="569">WEEKNUM(D5404)</f>
        <v>23</v>
      </c>
    </row>
    <row r="5405" spans="1:16" ht="15" hidden="1" customHeight="1">
      <c r="A5405" s="103">
        <v>64975616</v>
      </c>
      <c r="B5405" s="608">
        <v>2904</v>
      </c>
      <c r="C5405" s="103">
        <v>75000</v>
      </c>
      <c r="D5405" s="606">
        <v>46204</v>
      </c>
      <c r="E5405" s="103" t="s">
        <v>385</v>
      </c>
      <c r="F5405" s="608" t="s">
        <v>803</v>
      </c>
      <c r="G5405" s="395">
        <f>VLOOKUP($A5405,'Tech Litons'!$A:$I,8,FALSE)</f>
        <v>3.3119999999999998E-3</v>
      </c>
      <c r="H5405" s="174">
        <f>VLOOKUP($A5405,'Tech Litons'!$A:$I,9,FALSE)</f>
        <v>240</v>
      </c>
      <c r="I5405" s="174" t="str">
        <f>VLOOKUP($A5405,'Tech Litons'!$A:$C,3,0)</f>
        <v>YS PTS</v>
      </c>
      <c r="J5405" s="175" t="str">
        <f t="shared" si="565"/>
        <v>2904YS PTS</v>
      </c>
      <c r="K5405" s="974">
        <v>1</v>
      </c>
      <c r="L5405" s="177">
        <f t="shared" si="549"/>
        <v>75000</v>
      </c>
      <c r="M5405" s="177">
        <f t="shared" si="566"/>
        <v>248.39999999999998</v>
      </c>
      <c r="N5405" s="177">
        <f t="shared" si="567"/>
        <v>312.5</v>
      </c>
      <c r="O5405" s="175" t="str">
        <f t="shared" si="568"/>
        <v>Jul</v>
      </c>
      <c r="P5405" s="265">
        <f t="shared" si="569"/>
        <v>27</v>
      </c>
    </row>
    <row r="5406" spans="1:16" ht="15" hidden="1" customHeight="1">
      <c r="A5406" s="103">
        <v>64975616</v>
      </c>
      <c r="B5406" s="608">
        <v>2904</v>
      </c>
      <c r="C5406" s="126">
        <v>215000</v>
      </c>
      <c r="D5406" s="606">
        <v>46235</v>
      </c>
      <c r="E5406" s="103" t="s">
        <v>385</v>
      </c>
      <c r="F5406" s="608" t="s">
        <v>803</v>
      </c>
      <c r="G5406" s="395">
        <f>VLOOKUP($A5406,'Tech Litons'!$A:$I,8,FALSE)</f>
        <v>3.3119999999999998E-3</v>
      </c>
      <c r="H5406" s="174">
        <f>VLOOKUP($A5406,'Tech Litons'!$A:$I,9,FALSE)</f>
        <v>240</v>
      </c>
      <c r="I5406" s="174" t="str">
        <f>VLOOKUP($A5406,'Tech Litons'!$A:$C,3,0)</f>
        <v>YS PTS</v>
      </c>
      <c r="J5406" s="175" t="str">
        <f t="shared" si="565"/>
        <v>2904YS PTS</v>
      </c>
      <c r="K5406" s="974">
        <v>1</v>
      </c>
      <c r="L5406" s="177">
        <f t="shared" si="549"/>
        <v>215000</v>
      </c>
      <c r="M5406" s="177">
        <f t="shared" si="566"/>
        <v>712.07999999999993</v>
      </c>
      <c r="N5406" s="177">
        <f t="shared" si="567"/>
        <v>895.83333333333337</v>
      </c>
      <c r="O5406" s="175" t="str">
        <f t="shared" si="568"/>
        <v>Aug</v>
      </c>
      <c r="P5406" s="265">
        <f t="shared" si="569"/>
        <v>31</v>
      </c>
    </row>
    <row r="5407" spans="1:16" ht="15" hidden="1" customHeight="1">
      <c r="A5407" s="103">
        <v>64975616</v>
      </c>
      <c r="B5407" s="608">
        <v>2904</v>
      </c>
      <c r="C5407" s="103">
        <v>225000</v>
      </c>
      <c r="D5407" s="606">
        <v>46266</v>
      </c>
      <c r="E5407" s="103" t="s">
        <v>385</v>
      </c>
      <c r="F5407" s="608" t="s">
        <v>803</v>
      </c>
      <c r="G5407" s="395">
        <f>VLOOKUP($A5407,'Tech Litons'!$A:$I,8,FALSE)</f>
        <v>3.3119999999999998E-3</v>
      </c>
      <c r="H5407" s="174">
        <f>VLOOKUP($A5407,'Tech Litons'!$A:$I,9,FALSE)</f>
        <v>240</v>
      </c>
      <c r="I5407" s="174" t="str">
        <f>VLOOKUP($A5407,'Tech Litons'!$A:$C,3,0)</f>
        <v>YS PTS</v>
      </c>
      <c r="J5407" s="175" t="str">
        <f t="shared" si="565"/>
        <v>2904YS PTS</v>
      </c>
      <c r="K5407" s="974">
        <v>1</v>
      </c>
      <c r="L5407" s="177">
        <f t="shared" si="549"/>
        <v>225000</v>
      </c>
      <c r="M5407" s="177">
        <f t="shared" si="566"/>
        <v>745.19999999999993</v>
      </c>
      <c r="N5407" s="177">
        <f t="shared" si="567"/>
        <v>937.5</v>
      </c>
      <c r="O5407" s="175" t="str">
        <f t="shared" si="568"/>
        <v>Sep</v>
      </c>
      <c r="P5407" s="265">
        <f t="shared" si="569"/>
        <v>36</v>
      </c>
    </row>
    <row r="5408" spans="1:16" ht="15" hidden="1" customHeight="1">
      <c r="A5408" s="103">
        <v>64975616</v>
      </c>
      <c r="B5408" s="608">
        <v>2904</v>
      </c>
      <c r="C5408" s="1073">
        <v>200000</v>
      </c>
      <c r="D5408" s="606">
        <v>46296</v>
      </c>
      <c r="E5408" s="103" t="s">
        <v>385</v>
      </c>
      <c r="F5408" s="608" t="s">
        <v>803</v>
      </c>
      <c r="G5408" s="395">
        <f>VLOOKUP($A5408,'Tech Litons'!$A:$I,8,FALSE)</f>
        <v>3.3119999999999998E-3</v>
      </c>
      <c r="H5408" s="174">
        <f>VLOOKUP($A5408,'Tech Litons'!$A:$I,9,FALSE)</f>
        <v>240</v>
      </c>
      <c r="I5408" s="174" t="str">
        <f>VLOOKUP($A5408,'Tech Litons'!$A:$C,3,0)</f>
        <v>YS PTS</v>
      </c>
      <c r="J5408" s="175" t="str">
        <f t="shared" si="565"/>
        <v>2904YS PTS</v>
      </c>
      <c r="K5408" s="974">
        <v>1</v>
      </c>
      <c r="L5408" s="177">
        <f t="shared" si="549"/>
        <v>200000</v>
      </c>
      <c r="M5408" s="177">
        <f t="shared" si="566"/>
        <v>662.4</v>
      </c>
      <c r="N5408" s="177">
        <f t="shared" si="567"/>
        <v>833.33333333333337</v>
      </c>
      <c r="O5408" s="175" t="str">
        <f t="shared" si="568"/>
        <v>Oct</v>
      </c>
      <c r="P5408" s="265">
        <f t="shared" si="569"/>
        <v>40</v>
      </c>
    </row>
    <row r="5409" spans="1:16" ht="15" hidden="1" customHeight="1">
      <c r="A5409" s="103">
        <v>64975616</v>
      </c>
      <c r="B5409" s="608">
        <v>2904</v>
      </c>
      <c r="C5409" s="978">
        <v>160000</v>
      </c>
      <c r="D5409" s="606">
        <v>46327</v>
      </c>
      <c r="E5409" s="103" t="s">
        <v>385</v>
      </c>
      <c r="F5409" s="608" t="s">
        <v>803</v>
      </c>
      <c r="G5409" s="395">
        <f>VLOOKUP($A5409,'Tech Litons'!$A:$I,8,FALSE)</f>
        <v>3.3119999999999998E-3</v>
      </c>
      <c r="H5409" s="174">
        <f>VLOOKUP($A5409,'Tech Litons'!$A:$I,9,FALSE)</f>
        <v>240</v>
      </c>
      <c r="I5409" s="174" t="str">
        <f>VLOOKUP($A5409,'Tech Litons'!$A:$C,3,0)</f>
        <v>YS PTS</v>
      </c>
      <c r="J5409" s="175" t="str">
        <f t="shared" si="565"/>
        <v>2904YS PTS</v>
      </c>
      <c r="K5409" s="974">
        <v>1</v>
      </c>
      <c r="L5409" s="177">
        <f t="shared" si="549"/>
        <v>160000</v>
      </c>
      <c r="M5409" s="177">
        <f t="shared" si="566"/>
        <v>529.91999999999996</v>
      </c>
      <c r="N5409" s="177">
        <f t="shared" si="567"/>
        <v>666.66666666666663</v>
      </c>
      <c r="O5409" s="175" t="str">
        <f t="shared" si="568"/>
        <v>Nov</v>
      </c>
      <c r="P5409" s="265">
        <f t="shared" si="569"/>
        <v>45</v>
      </c>
    </row>
    <row r="5410" spans="1:16" ht="15" hidden="1" customHeight="1">
      <c r="A5410" s="103">
        <v>64975616</v>
      </c>
      <c r="B5410" s="608">
        <v>2904</v>
      </c>
      <c r="C5410" s="978">
        <v>160000</v>
      </c>
      <c r="D5410" s="606">
        <v>46357</v>
      </c>
      <c r="E5410" s="103" t="s">
        <v>385</v>
      </c>
      <c r="F5410" s="608" t="s">
        <v>803</v>
      </c>
      <c r="G5410" s="395">
        <f>VLOOKUP($A5410,'Tech Litons'!$A:$I,8,FALSE)</f>
        <v>3.3119999999999998E-3</v>
      </c>
      <c r="H5410" s="174">
        <f>VLOOKUP($A5410,'Tech Litons'!$A:$I,9,FALSE)</f>
        <v>240</v>
      </c>
      <c r="I5410" s="174" t="str">
        <f>VLOOKUP($A5410,'Tech Litons'!$A:$C,3,0)</f>
        <v>YS PTS</v>
      </c>
      <c r="J5410" s="175" t="str">
        <f t="shared" si="565"/>
        <v>2904YS PTS</v>
      </c>
      <c r="K5410" s="974">
        <v>1</v>
      </c>
      <c r="L5410" s="177">
        <f t="shared" si="549"/>
        <v>160000</v>
      </c>
      <c r="M5410" s="177">
        <f t="shared" si="566"/>
        <v>529.91999999999996</v>
      </c>
      <c r="N5410" s="177">
        <f t="shared" si="567"/>
        <v>666.66666666666663</v>
      </c>
      <c r="O5410" s="175" t="str">
        <f t="shared" si="568"/>
        <v>Dec</v>
      </c>
      <c r="P5410" s="265">
        <f t="shared" si="569"/>
        <v>49</v>
      </c>
    </row>
    <row r="5411" spans="1:16" ht="15" hidden="1" customHeight="1">
      <c r="A5411" s="103">
        <v>64394583</v>
      </c>
      <c r="B5411" s="608">
        <v>2904</v>
      </c>
      <c r="C5411" s="601">
        <v>105574.55997165557</v>
      </c>
      <c r="D5411" s="606">
        <v>46174</v>
      </c>
      <c r="E5411" s="103" t="s">
        <v>462</v>
      </c>
      <c r="F5411" s="608" t="s">
        <v>40</v>
      </c>
      <c r="G5411" s="395">
        <f>VLOOKUP($A5411,'Tech Litons'!$A:$I,8,FALSE)</f>
        <v>3.4159999999999998E-3</v>
      </c>
      <c r="H5411" s="174">
        <f>VLOOKUP($A5411,'Tech Litons'!$A:$I,9,FALSE)</f>
        <v>240</v>
      </c>
      <c r="I5411" s="174" t="str">
        <f>VLOOKUP($A5411,'Tech Litons'!$A:$C,3,0)</f>
        <v>Sundaes</v>
      </c>
      <c r="J5411" s="175" t="str">
        <f t="shared" ref="J5411:J5424" si="570">B5411&amp;I5411</f>
        <v>2904Sundaes</v>
      </c>
      <c r="K5411" s="974">
        <v>0.9</v>
      </c>
      <c r="L5411" s="177">
        <f t="shared" si="549"/>
        <v>95017.103974490019</v>
      </c>
      <c r="M5411" s="177">
        <f t="shared" ref="M5411:M5424" si="571">L5411*G5411</f>
        <v>324.57842717685787</v>
      </c>
      <c r="N5411" s="177">
        <f t="shared" ref="N5411:N5424" si="572">L5411/H5411</f>
        <v>395.90459989370839</v>
      </c>
      <c r="O5411" s="175" t="str">
        <f t="shared" ref="O5411:O5424" si="573">TEXT(D5411,"MMM")</f>
        <v>Jun</v>
      </c>
      <c r="P5411" s="265">
        <f t="shared" ref="P5411:P5424" si="574">WEEKNUM(D5411)</f>
        <v>23</v>
      </c>
    </row>
    <row r="5412" spans="1:16" ht="15" hidden="1" customHeight="1">
      <c r="A5412" s="103">
        <v>64394583</v>
      </c>
      <c r="B5412" s="608">
        <v>2904</v>
      </c>
      <c r="C5412" s="601">
        <v>117305.06663517286</v>
      </c>
      <c r="D5412" s="606">
        <v>46204</v>
      </c>
      <c r="E5412" s="103" t="s">
        <v>462</v>
      </c>
      <c r="F5412" s="608" t="s">
        <v>40</v>
      </c>
      <c r="G5412" s="395">
        <f>VLOOKUP($A5412,'Tech Litons'!$A:$I,8,FALSE)</f>
        <v>3.4159999999999998E-3</v>
      </c>
      <c r="H5412" s="174">
        <f>VLOOKUP($A5412,'Tech Litons'!$A:$I,9,FALSE)</f>
        <v>240</v>
      </c>
      <c r="I5412" s="174" t="str">
        <f>VLOOKUP($A5412,'Tech Litons'!$A:$C,3,0)</f>
        <v>Sundaes</v>
      </c>
      <c r="J5412" s="175" t="str">
        <f t="shared" si="570"/>
        <v>2904Sundaes</v>
      </c>
      <c r="K5412" s="974">
        <v>0.9</v>
      </c>
      <c r="L5412" s="177">
        <f t="shared" si="549"/>
        <v>105574.55997165557</v>
      </c>
      <c r="M5412" s="177">
        <f t="shared" si="571"/>
        <v>360.64269686317539</v>
      </c>
      <c r="N5412" s="177">
        <f t="shared" si="572"/>
        <v>439.8939998818982</v>
      </c>
      <c r="O5412" s="175" t="str">
        <f t="shared" si="573"/>
        <v>Jul</v>
      </c>
      <c r="P5412" s="265">
        <f t="shared" si="574"/>
        <v>27</v>
      </c>
    </row>
    <row r="5413" spans="1:16" ht="15" hidden="1" customHeight="1">
      <c r="A5413" s="103">
        <v>64394583</v>
      </c>
      <c r="B5413" s="608">
        <v>2904</v>
      </c>
      <c r="C5413" s="601">
        <v>129035.57329869014</v>
      </c>
      <c r="D5413" s="606">
        <v>46235</v>
      </c>
      <c r="E5413" s="103" t="s">
        <v>462</v>
      </c>
      <c r="F5413" s="608" t="s">
        <v>40</v>
      </c>
      <c r="G5413" s="395">
        <f>VLOOKUP($A5413,'Tech Litons'!$A:$I,8,FALSE)</f>
        <v>3.4159999999999998E-3</v>
      </c>
      <c r="H5413" s="174">
        <f>VLOOKUP($A5413,'Tech Litons'!$A:$I,9,FALSE)</f>
        <v>240</v>
      </c>
      <c r="I5413" s="174" t="str">
        <f>VLOOKUP($A5413,'Tech Litons'!$A:$C,3,0)</f>
        <v>Sundaes</v>
      </c>
      <c r="J5413" s="175" t="str">
        <f t="shared" si="570"/>
        <v>2904Sundaes</v>
      </c>
      <c r="K5413" s="974">
        <v>0.9</v>
      </c>
      <c r="L5413" s="177">
        <f t="shared" si="549"/>
        <v>116132.01596882113</v>
      </c>
      <c r="M5413" s="177">
        <f t="shared" si="571"/>
        <v>396.70696654949296</v>
      </c>
      <c r="N5413" s="177">
        <f t="shared" si="572"/>
        <v>483.88339987008806</v>
      </c>
      <c r="O5413" s="175" t="str">
        <f t="shared" si="573"/>
        <v>Aug</v>
      </c>
      <c r="P5413" s="265">
        <f t="shared" si="574"/>
        <v>31</v>
      </c>
    </row>
    <row r="5414" spans="1:16" ht="15" hidden="1" customHeight="1">
      <c r="A5414" s="103">
        <v>64394583</v>
      </c>
      <c r="B5414" s="608">
        <v>2904</v>
      </c>
      <c r="C5414" s="601">
        <v>111439.81330341421</v>
      </c>
      <c r="D5414" s="606">
        <v>46266</v>
      </c>
      <c r="E5414" s="103" t="s">
        <v>462</v>
      </c>
      <c r="F5414" s="608" t="s">
        <v>40</v>
      </c>
      <c r="G5414" s="395">
        <f>VLOOKUP($A5414,'Tech Litons'!$A:$I,8,FALSE)</f>
        <v>3.4159999999999998E-3</v>
      </c>
      <c r="H5414" s="174">
        <f>VLOOKUP($A5414,'Tech Litons'!$A:$I,9,FALSE)</f>
        <v>240</v>
      </c>
      <c r="I5414" s="174" t="str">
        <f>VLOOKUP($A5414,'Tech Litons'!$A:$C,3,0)</f>
        <v>Sundaes</v>
      </c>
      <c r="J5414" s="175" t="str">
        <f t="shared" si="570"/>
        <v>2904Sundaes</v>
      </c>
      <c r="K5414" s="974">
        <v>0.9</v>
      </c>
      <c r="L5414" s="177">
        <f t="shared" si="549"/>
        <v>100295.8319730728</v>
      </c>
      <c r="M5414" s="177">
        <f t="shared" si="571"/>
        <v>342.61056202001663</v>
      </c>
      <c r="N5414" s="177">
        <f t="shared" si="572"/>
        <v>417.89929988780329</v>
      </c>
      <c r="O5414" s="175" t="str">
        <f t="shared" si="573"/>
        <v>Sep</v>
      </c>
      <c r="P5414" s="265">
        <f t="shared" si="574"/>
        <v>36</v>
      </c>
    </row>
    <row r="5415" spans="1:16" ht="15" hidden="1" customHeight="1">
      <c r="A5415" s="103">
        <v>64394583</v>
      </c>
      <c r="B5415" s="608">
        <v>2904</v>
      </c>
      <c r="C5415" s="601">
        <v>100000</v>
      </c>
      <c r="D5415" s="606">
        <v>46296</v>
      </c>
      <c r="E5415" s="103" t="s">
        <v>462</v>
      </c>
      <c r="F5415" s="608" t="s">
        <v>40</v>
      </c>
      <c r="G5415" s="395">
        <f>VLOOKUP($A5415,'Tech Litons'!$A:$I,8,FALSE)</f>
        <v>3.4159999999999998E-3</v>
      </c>
      <c r="H5415" s="174">
        <f>VLOOKUP($A5415,'Tech Litons'!$A:$I,9,FALSE)</f>
        <v>240</v>
      </c>
      <c r="I5415" s="174" t="str">
        <f>VLOOKUP($A5415,'Tech Litons'!$A:$C,3,0)</f>
        <v>Sundaes</v>
      </c>
      <c r="J5415" s="175" t="str">
        <f t="shared" si="570"/>
        <v>2904Sundaes</v>
      </c>
      <c r="K5415" s="974">
        <v>0.9</v>
      </c>
      <c r="L5415" s="177">
        <f t="shared" si="549"/>
        <v>90000</v>
      </c>
      <c r="M5415" s="177">
        <f t="shared" si="571"/>
        <v>307.44</v>
      </c>
      <c r="N5415" s="177">
        <f t="shared" si="572"/>
        <v>375</v>
      </c>
      <c r="O5415" s="175" t="str">
        <f t="shared" si="573"/>
        <v>Oct</v>
      </c>
      <c r="P5415" s="265">
        <f t="shared" si="574"/>
        <v>40</v>
      </c>
    </row>
    <row r="5416" spans="1:16" ht="15" hidden="1" customHeight="1">
      <c r="A5416" s="103">
        <v>64394583</v>
      </c>
      <c r="B5416" s="608">
        <v>2904</v>
      </c>
      <c r="C5416" s="601">
        <v>105574.55997165557</v>
      </c>
      <c r="D5416" s="606">
        <v>46327</v>
      </c>
      <c r="E5416" s="103" t="s">
        <v>462</v>
      </c>
      <c r="F5416" s="608" t="s">
        <v>40</v>
      </c>
      <c r="G5416" s="395">
        <f>VLOOKUP($A5416,'Tech Litons'!$A:$I,8,FALSE)</f>
        <v>3.4159999999999998E-3</v>
      </c>
      <c r="H5416" s="174">
        <f>VLOOKUP($A5416,'Tech Litons'!$A:$I,9,FALSE)</f>
        <v>240</v>
      </c>
      <c r="I5416" s="174" t="str">
        <f>VLOOKUP($A5416,'Tech Litons'!$A:$C,3,0)</f>
        <v>Sundaes</v>
      </c>
      <c r="J5416" s="175" t="str">
        <f t="shared" si="570"/>
        <v>2904Sundaes</v>
      </c>
      <c r="K5416" s="974">
        <v>0.9</v>
      </c>
      <c r="L5416" s="177">
        <f t="shared" si="549"/>
        <v>95017.103974490019</v>
      </c>
      <c r="M5416" s="177">
        <f t="shared" si="571"/>
        <v>324.57842717685787</v>
      </c>
      <c r="N5416" s="177">
        <f t="shared" si="572"/>
        <v>395.90459989370839</v>
      </c>
      <c r="O5416" s="175" t="str">
        <f t="shared" si="573"/>
        <v>Nov</v>
      </c>
      <c r="P5416" s="265">
        <f t="shared" si="574"/>
        <v>45</v>
      </c>
    </row>
    <row r="5417" spans="1:16" ht="15" hidden="1" customHeight="1">
      <c r="A5417" s="103">
        <v>64394583</v>
      </c>
      <c r="B5417" s="608">
        <v>2904</v>
      </c>
      <c r="C5417" s="601">
        <v>100000</v>
      </c>
      <c r="D5417" s="606">
        <v>46357</v>
      </c>
      <c r="E5417" s="103" t="s">
        <v>462</v>
      </c>
      <c r="F5417" s="608" t="s">
        <v>40</v>
      </c>
      <c r="G5417" s="395">
        <f>VLOOKUP($A5417,'Tech Litons'!$A:$I,8,FALSE)</f>
        <v>3.4159999999999998E-3</v>
      </c>
      <c r="H5417" s="174">
        <f>VLOOKUP($A5417,'Tech Litons'!$A:$I,9,FALSE)</f>
        <v>240</v>
      </c>
      <c r="I5417" s="174" t="str">
        <f>VLOOKUP($A5417,'Tech Litons'!$A:$C,3,0)</f>
        <v>Sundaes</v>
      </c>
      <c r="J5417" s="175" t="str">
        <f t="shared" si="570"/>
        <v>2904Sundaes</v>
      </c>
      <c r="K5417" s="974">
        <v>0.9</v>
      </c>
      <c r="L5417" s="177">
        <f t="shared" si="549"/>
        <v>90000</v>
      </c>
      <c r="M5417" s="177">
        <f t="shared" si="571"/>
        <v>307.44</v>
      </c>
      <c r="N5417" s="177">
        <f t="shared" si="572"/>
        <v>375</v>
      </c>
      <c r="O5417" s="175" t="str">
        <f t="shared" si="573"/>
        <v>Dec</v>
      </c>
      <c r="P5417" s="265">
        <f t="shared" si="574"/>
        <v>49</v>
      </c>
    </row>
    <row r="5418" spans="1:16" ht="15" hidden="1" customHeight="1">
      <c r="A5418" s="103">
        <v>64898310</v>
      </c>
      <c r="B5418" s="608">
        <v>2904</v>
      </c>
      <c r="C5418" s="601">
        <v>48544.875282641784</v>
      </c>
      <c r="D5418" s="606">
        <v>46174</v>
      </c>
      <c r="E5418" s="103" t="s">
        <v>245</v>
      </c>
      <c r="F5418" s="608" t="s">
        <v>40</v>
      </c>
      <c r="G5418" s="395">
        <f>VLOOKUP($A5418,'Tech Litons'!$A:$I,8,FALSE)</f>
        <v>3.7839999999999996E-3</v>
      </c>
      <c r="H5418" s="174">
        <f>VLOOKUP($A5418,'Tech Litons'!$A:$I,9,FALSE)</f>
        <v>240</v>
      </c>
      <c r="I5418" s="174" t="str">
        <f>VLOOKUP($A5418,'Tech Litons'!$A:$C,3,0)</f>
        <v>PTS</v>
      </c>
      <c r="J5418" s="175" t="str">
        <f t="shared" si="570"/>
        <v>2904PTS</v>
      </c>
      <c r="K5418" s="974">
        <v>0.9</v>
      </c>
      <c r="L5418" s="177">
        <f t="shared" ref="L5418:L5481" si="575">C5418*$K5418</f>
        <v>43690.387754377603</v>
      </c>
      <c r="M5418" s="177">
        <f t="shared" si="571"/>
        <v>165.32442726256483</v>
      </c>
      <c r="N5418" s="177">
        <f t="shared" si="572"/>
        <v>182.04328230990669</v>
      </c>
      <c r="O5418" s="175" t="str">
        <f t="shared" si="573"/>
        <v>Jun</v>
      </c>
      <c r="P5418" s="265">
        <f t="shared" si="574"/>
        <v>23</v>
      </c>
    </row>
    <row r="5419" spans="1:16" ht="15" hidden="1" customHeight="1">
      <c r="A5419" s="103">
        <v>64898310</v>
      </c>
      <c r="B5419" s="608">
        <v>2904</v>
      </c>
      <c r="C5419" s="601">
        <v>53938.750314046425</v>
      </c>
      <c r="D5419" s="606">
        <v>46204</v>
      </c>
      <c r="E5419" s="103" t="s">
        <v>245</v>
      </c>
      <c r="F5419" s="608" t="s">
        <v>40</v>
      </c>
      <c r="G5419" s="395">
        <f>VLOOKUP($A5419,'Tech Litons'!$A:$I,8,FALSE)</f>
        <v>3.7839999999999996E-3</v>
      </c>
      <c r="H5419" s="174">
        <f>VLOOKUP($A5419,'Tech Litons'!$A:$I,9,FALSE)</f>
        <v>240</v>
      </c>
      <c r="I5419" s="174" t="str">
        <f>VLOOKUP($A5419,'Tech Litons'!$A:$C,3,0)</f>
        <v>PTS</v>
      </c>
      <c r="J5419" s="175" t="str">
        <f t="shared" si="570"/>
        <v>2904PTS</v>
      </c>
      <c r="K5419" s="974">
        <v>0.9</v>
      </c>
      <c r="L5419" s="177">
        <f t="shared" si="575"/>
        <v>48544.875282641784</v>
      </c>
      <c r="M5419" s="177">
        <f t="shared" si="571"/>
        <v>183.69380806951648</v>
      </c>
      <c r="N5419" s="177">
        <f t="shared" si="572"/>
        <v>202.2703136776741</v>
      </c>
      <c r="O5419" s="175" t="str">
        <f t="shared" si="573"/>
        <v>Jul</v>
      </c>
      <c r="P5419" s="265">
        <f t="shared" si="574"/>
        <v>27</v>
      </c>
    </row>
    <row r="5420" spans="1:16" ht="15" hidden="1" customHeight="1">
      <c r="A5420" s="103">
        <v>64898310</v>
      </c>
      <c r="B5420" s="608">
        <v>2904</v>
      </c>
      <c r="C5420" s="601">
        <v>59332.625345451066</v>
      </c>
      <c r="D5420" s="606">
        <v>46235</v>
      </c>
      <c r="E5420" s="103" t="s">
        <v>245</v>
      </c>
      <c r="F5420" s="608" t="s">
        <v>40</v>
      </c>
      <c r="G5420" s="395">
        <f>VLOOKUP($A5420,'Tech Litons'!$A:$I,8,FALSE)</f>
        <v>3.7839999999999996E-3</v>
      </c>
      <c r="H5420" s="174">
        <f>VLOOKUP($A5420,'Tech Litons'!$A:$I,9,FALSE)</f>
        <v>240</v>
      </c>
      <c r="I5420" s="174" t="str">
        <f>VLOOKUP($A5420,'Tech Litons'!$A:$C,3,0)</f>
        <v>PTS</v>
      </c>
      <c r="J5420" s="175" t="str">
        <f t="shared" si="570"/>
        <v>2904PTS</v>
      </c>
      <c r="K5420" s="974">
        <v>0.9</v>
      </c>
      <c r="L5420" s="177">
        <f t="shared" si="575"/>
        <v>53399.362810905957</v>
      </c>
      <c r="M5420" s="177">
        <f t="shared" si="571"/>
        <v>202.06318887646813</v>
      </c>
      <c r="N5420" s="177">
        <f t="shared" si="572"/>
        <v>222.49734504544148</v>
      </c>
      <c r="O5420" s="175" t="str">
        <f t="shared" si="573"/>
        <v>Aug</v>
      </c>
      <c r="P5420" s="265">
        <f t="shared" si="574"/>
        <v>31</v>
      </c>
    </row>
    <row r="5421" spans="1:16" ht="15" hidden="1" customHeight="1">
      <c r="A5421" s="103">
        <v>64898310</v>
      </c>
      <c r="B5421" s="608">
        <v>2904</v>
      </c>
      <c r="C5421" s="601">
        <v>51241.812798344101</v>
      </c>
      <c r="D5421" s="606">
        <v>46266</v>
      </c>
      <c r="E5421" s="103" t="s">
        <v>245</v>
      </c>
      <c r="F5421" s="608" t="s">
        <v>40</v>
      </c>
      <c r="G5421" s="395">
        <f>VLOOKUP($A5421,'Tech Litons'!$A:$I,8,FALSE)</f>
        <v>3.7839999999999996E-3</v>
      </c>
      <c r="H5421" s="174">
        <f>VLOOKUP($A5421,'Tech Litons'!$A:$I,9,FALSE)</f>
        <v>240</v>
      </c>
      <c r="I5421" s="174" t="str">
        <f>VLOOKUP($A5421,'Tech Litons'!$A:$C,3,0)</f>
        <v>PTS</v>
      </c>
      <c r="J5421" s="175" t="str">
        <f t="shared" si="570"/>
        <v>2904PTS</v>
      </c>
      <c r="K5421" s="974">
        <v>0.9</v>
      </c>
      <c r="L5421" s="177">
        <f t="shared" si="575"/>
        <v>46117.63151850969</v>
      </c>
      <c r="M5421" s="177">
        <f t="shared" si="571"/>
        <v>174.50911766604065</v>
      </c>
      <c r="N5421" s="177">
        <f t="shared" si="572"/>
        <v>192.15679799379038</v>
      </c>
      <c r="O5421" s="175" t="str">
        <f t="shared" si="573"/>
        <v>Sep</v>
      </c>
      <c r="P5421" s="265">
        <f t="shared" si="574"/>
        <v>36</v>
      </c>
    </row>
    <row r="5422" spans="1:16" ht="15" hidden="1" customHeight="1">
      <c r="A5422" s="103">
        <v>64898310</v>
      </c>
      <c r="B5422" s="608">
        <v>2904</v>
      </c>
      <c r="C5422" s="601">
        <v>100000</v>
      </c>
      <c r="D5422" s="606">
        <v>46296</v>
      </c>
      <c r="E5422" s="103" t="s">
        <v>245</v>
      </c>
      <c r="F5422" s="608" t="s">
        <v>40</v>
      </c>
      <c r="G5422" s="395">
        <f>VLOOKUP($A5422,'Tech Litons'!$A:$I,8,FALSE)</f>
        <v>3.7839999999999996E-3</v>
      </c>
      <c r="H5422" s="174">
        <f>VLOOKUP($A5422,'Tech Litons'!$A:$I,9,FALSE)</f>
        <v>240</v>
      </c>
      <c r="I5422" s="174" t="str">
        <f>VLOOKUP($A5422,'Tech Litons'!$A:$C,3,0)</f>
        <v>PTS</v>
      </c>
      <c r="J5422" s="175" t="str">
        <f t="shared" si="570"/>
        <v>2904PTS</v>
      </c>
      <c r="K5422" s="974">
        <v>0.9</v>
      </c>
      <c r="L5422" s="177">
        <f t="shared" si="575"/>
        <v>90000</v>
      </c>
      <c r="M5422" s="177">
        <f t="shared" si="571"/>
        <v>340.55999999999995</v>
      </c>
      <c r="N5422" s="177">
        <f t="shared" si="572"/>
        <v>375</v>
      </c>
      <c r="O5422" s="175" t="str">
        <f t="shared" si="573"/>
        <v>Oct</v>
      </c>
      <c r="P5422" s="265">
        <f t="shared" si="574"/>
        <v>40</v>
      </c>
    </row>
    <row r="5423" spans="1:16" ht="15" hidden="1" customHeight="1">
      <c r="A5423" s="103">
        <v>64898310</v>
      </c>
      <c r="B5423" s="608">
        <v>2904</v>
      </c>
      <c r="C5423" s="601">
        <v>48544.875282641784</v>
      </c>
      <c r="D5423" s="606">
        <v>46327</v>
      </c>
      <c r="E5423" s="103" t="s">
        <v>245</v>
      </c>
      <c r="F5423" s="608" t="s">
        <v>40</v>
      </c>
      <c r="G5423" s="395">
        <f>VLOOKUP($A5423,'Tech Litons'!$A:$I,8,FALSE)</f>
        <v>3.7839999999999996E-3</v>
      </c>
      <c r="H5423" s="174">
        <f>VLOOKUP($A5423,'Tech Litons'!$A:$I,9,FALSE)</f>
        <v>240</v>
      </c>
      <c r="I5423" s="174" t="str">
        <f>VLOOKUP($A5423,'Tech Litons'!$A:$C,3,0)</f>
        <v>PTS</v>
      </c>
      <c r="J5423" s="175" t="str">
        <f t="shared" si="570"/>
        <v>2904PTS</v>
      </c>
      <c r="K5423" s="974">
        <v>0.9</v>
      </c>
      <c r="L5423" s="177">
        <f t="shared" si="575"/>
        <v>43690.387754377603</v>
      </c>
      <c r="M5423" s="177">
        <f t="shared" si="571"/>
        <v>165.32442726256483</v>
      </c>
      <c r="N5423" s="177">
        <f t="shared" si="572"/>
        <v>182.04328230990669</v>
      </c>
      <c r="O5423" s="175" t="str">
        <f t="shared" si="573"/>
        <v>Nov</v>
      </c>
      <c r="P5423" s="265">
        <f t="shared" si="574"/>
        <v>45</v>
      </c>
    </row>
    <row r="5424" spans="1:16" ht="15" hidden="1" customHeight="1">
      <c r="A5424" s="103">
        <v>64898310</v>
      </c>
      <c r="B5424" s="608">
        <v>2904</v>
      </c>
      <c r="C5424" s="601">
        <v>25000</v>
      </c>
      <c r="D5424" s="606">
        <v>46357</v>
      </c>
      <c r="E5424" s="103" t="s">
        <v>245</v>
      </c>
      <c r="F5424" s="608" t="s">
        <v>40</v>
      </c>
      <c r="G5424" s="395">
        <f>VLOOKUP($A5424,'Tech Litons'!$A:$I,8,FALSE)</f>
        <v>3.7839999999999996E-3</v>
      </c>
      <c r="H5424" s="174">
        <f>VLOOKUP($A5424,'Tech Litons'!$A:$I,9,FALSE)</f>
        <v>240</v>
      </c>
      <c r="I5424" s="174" t="str">
        <f>VLOOKUP($A5424,'Tech Litons'!$A:$C,3,0)</f>
        <v>PTS</v>
      </c>
      <c r="J5424" s="175" t="str">
        <f t="shared" si="570"/>
        <v>2904PTS</v>
      </c>
      <c r="K5424" s="974">
        <v>0.9</v>
      </c>
      <c r="L5424" s="177">
        <f t="shared" si="575"/>
        <v>22500</v>
      </c>
      <c r="M5424" s="177">
        <f t="shared" si="571"/>
        <v>85.139999999999986</v>
      </c>
      <c r="N5424" s="177">
        <f t="shared" si="572"/>
        <v>93.75</v>
      </c>
      <c r="O5424" s="175" t="str">
        <f t="shared" si="573"/>
        <v>Dec</v>
      </c>
      <c r="P5424" s="265">
        <f t="shared" si="574"/>
        <v>49</v>
      </c>
    </row>
    <row r="5425" spans="1:16" ht="15" hidden="1" customHeight="1">
      <c r="A5425" s="103">
        <v>68649095</v>
      </c>
      <c r="B5425" s="608">
        <v>2904</v>
      </c>
      <c r="C5425" s="601">
        <v>161067.76474570262</v>
      </c>
      <c r="D5425" s="606">
        <v>46174</v>
      </c>
      <c r="E5425" s="103" t="s">
        <v>294</v>
      </c>
      <c r="F5425" s="608" t="s">
        <v>40</v>
      </c>
      <c r="G5425" s="395">
        <f>VLOOKUP($A5425,'Tech Litons'!$A:$I,8,FALSE)</f>
        <v>3.5999999999999999E-3</v>
      </c>
      <c r="H5425" s="174">
        <f>VLOOKUP($A5425,'Tech Litons'!$A:$I,9,FALSE)</f>
        <v>240</v>
      </c>
      <c r="I5425" s="174" t="str">
        <f>VLOOKUP($A5425,'Tech Litons'!$A:$C,3,0)</f>
        <v>Topped</v>
      </c>
      <c r="J5425" s="175" t="str">
        <f t="shared" ref="J5425:J5431" si="576">B5425&amp;I5425</f>
        <v>2904Topped</v>
      </c>
      <c r="K5425" s="974">
        <v>0.9</v>
      </c>
      <c r="L5425" s="177">
        <f t="shared" si="575"/>
        <v>144960.98827113237</v>
      </c>
      <c r="M5425" s="177">
        <f t="shared" ref="M5425:M5431" si="577">L5425*G5425</f>
        <v>521.85955777607649</v>
      </c>
      <c r="N5425" s="177">
        <f t="shared" ref="N5425:N5431" si="578">L5425/H5425</f>
        <v>604.00411779638489</v>
      </c>
      <c r="O5425" s="175" t="str">
        <f t="shared" ref="O5425:O5431" si="579">TEXT(D5425,"MMM")</f>
        <v>Jun</v>
      </c>
      <c r="P5425" s="265">
        <f t="shared" ref="P5425:P5431" si="580">WEEKNUM(D5425)</f>
        <v>23</v>
      </c>
    </row>
    <row r="5426" spans="1:16" ht="15" hidden="1" customHeight="1">
      <c r="A5426" s="103">
        <v>68649095</v>
      </c>
      <c r="B5426" s="608">
        <v>2904</v>
      </c>
      <c r="C5426" s="601">
        <v>178964.18305078067</v>
      </c>
      <c r="D5426" s="606">
        <v>46204</v>
      </c>
      <c r="E5426" s="103" t="s">
        <v>294</v>
      </c>
      <c r="F5426" s="608" t="s">
        <v>40</v>
      </c>
      <c r="G5426" s="395">
        <f>VLOOKUP($A5426,'Tech Litons'!$A:$I,8,FALSE)</f>
        <v>3.5999999999999999E-3</v>
      </c>
      <c r="H5426" s="174">
        <f>VLOOKUP($A5426,'Tech Litons'!$A:$I,9,FALSE)</f>
        <v>240</v>
      </c>
      <c r="I5426" s="174" t="str">
        <f>VLOOKUP($A5426,'Tech Litons'!$A:$C,3,0)</f>
        <v>Topped</v>
      </c>
      <c r="J5426" s="175" t="str">
        <f t="shared" si="576"/>
        <v>2904Topped</v>
      </c>
      <c r="K5426" s="974">
        <v>0.9</v>
      </c>
      <c r="L5426" s="177">
        <f t="shared" si="575"/>
        <v>161067.76474570262</v>
      </c>
      <c r="M5426" s="177">
        <f t="shared" si="577"/>
        <v>579.8439530845294</v>
      </c>
      <c r="N5426" s="177">
        <f t="shared" si="578"/>
        <v>671.11568644042757</v>
      </c>
      <c r="O5426" s="175" t="str">
        <f t="shared" si="579"/>
        <v>Jul</v>
      </c>
      <c r="P5426" s="265">
        <f t="shared" si="580"/>
        <v>27</v>
      </c>
    </row>
    <row r="5427" spans="1:16" ht="15" hidden="1" customHeight="1">
      <c r="A5427" s="103">
        <v>68649095</v>
      </c>
      <c r="B5427" s="608">
        <v>2904</v>
      </c>
      <c r="C5427" s="601">
        <v>196860.60135585876</v>
      </c>
      <c r="D5427" s="606">
        <v>46235</v>
      </c>
      <c r="E5427" s="103" t="s">
        <v>294</v>
      </c>
      <c r="F5427" s="608" t="s">
        <v>40</v>
      </c>
      <c r="G5427" s="395">
        <f>VLOOKUP($A5427,'Tech Litons'!$A:$I,8,FALSE)</f>
        <v>3.5999999999999999E-3</v>
      </c>
      <c r="H5427" s="174">
        <f>VLOOKUP($A5427,'Tech Litons'!$A:$I,9,FALSE)</f>
        <v>240</v>
      </c>
      <c r="I5427" s="174" t="str">
        <f>VLOOKUP($A5427,'Tech Litons'!$A:$C,3,0)</f>
        <v>Topped</v>
      </c>
      <c r="J5427" s="175" t="str">
        <f t="shared" si="576"/>
        <v>2904Topped</v>
      </c>
      <c r="K5427" s="974">
        <v>0.9</v>
      </c>
      <c r="L5427" s="177">
        <f t="shared" si="575"/>
        <v>177174.54122027289</v>
      </c>
      <c r="M5427" s="177">
        <f t="shared" si="577"/>
        <v>637.82834839298243</v>
      </c>
      <c r="N5427" s="177">
        <f t="shared" si="578"/>
        <v>738.22725508447036</v>
      </c>
      <c r="O5427" s="175" t="str">
        <f t="shared" si="579"/>
        <v>Aug</v>
      </c>
      <c r="P5427" s="265">
        <f t="shared" si="580"/>
        <v>31</v>
      </c>
    </row>
    <row r="5428" spans="1:16" ht="15" hidden="1" customHeight="1">
      <c r="A5428" s="103">
        <v>68649095</v>
      </c>
      <c r="B5428" s="608">
        <v>2904</v>
      </c>
      <c r="C5428" s="601">
        <v>170015.97389824165</v>
      </c>
      <c r="D5428" s="606">
        <v>46266</v>
      </c>
      <c r="E5428" s="103" t="s">
        <v>294</v>
      </c>
      <c r="F5428" s="608" t="s">
        <v>40</v>
      </c>
      <c r="G5428" s="395">
        <f>VLOOKUP($A5428,'Tech Litons'!$A:$I,8,FALSE)</f>
        <v>3.5999999999999999E-3</v>
      </c>
      <c r="H5428" s="174">
        <f>VLOOKUP($A5428,'Tech Litons'!$A:$I,9,FALSE)</f>
        <v>240</v>
      </c>
      <c r="I5428" s="174" t="str">
        <f>VLOOKUP($A5428,'Tech Litons'!$A:$C,3,0)</f>
        <v>Topped</v>
      </c>
      <c r="J5428" s="175" t="str">
        <f t="shared" si="576"/>
        <v>2904Topped</v>
      </c>
      <c r="K5428" s="974">
        <v>0.9</v>
      </c>
      <c r="L5428" s="177">
        <f t="shared" si="575"/>
        <v>153014.37650841748</v>
      </c>
      <c r="M5428" s="177">
        <f t="shared" si="577"/>
        <v>550.85175543030289</v>
      </c>
      <c r="N5428" s="177">
        <f t="shared" si="578"/>
        <v>637.55990211840617</v>
      </c>
      <c r="O5428" s="175" t="str">
        <f t="shared" si="579"/>
        <v>Sep</v>
      </c>
      <c r="P5428" s="265">
        <f t="shared" si="580"/>
        <v>36</v>
      </c>
    </row>
    <row r="5429" spans="1:16" ht="15" hidden="1" customHeight="1">
      <c r="A5429" s="103">
        <v>68649095</v>
      </c>
      <c r="B5429" s="608">
        <v>2904</v>
      </c>
      <c r="C5429" s="601">
        <v>160000</v>
      </c>
      <c r="D5429" s="606">
        <v>46296</v>
      </c>
      <c r="E5429" s="103" t="s">
        <v>294</v>
      </c>
      <c r="F5429" s="608" t="s">
        <v>40</v>
      </c>
      <c r="G5429" s="395">
        <f>VLOOKUP($A5429,'Tech Litons'!$A:$I,8,FALSE)</f>
        <v>3.5999999999999999E-3</v>
      </c>
      <c r="H5429" s="174">
        <f>VLOOKUP($A5429,'Tech Litons'!$A:$I,9,FALSE)</f>
        <v>240</v>
      </c>
      <c r="I5429" s="174" t="str">
        <f>VLOOKUP($A5429,'Tech Litons'!$A:$C,3,0)</f>
        <v>Topped</v>
      </c>
      <c r="J5429" s="175" t="str">
        <f t="shared" si="576"/>
        <v>2904Topped</v>
      </c>
      <c r="K5429" s="974">
        <v>0.9</v>
      </c>
      <c r="L5429" s="177">
        <f t="shared" si="575"/>
        <v>144000</v>
      </c>
      <c r="M5429" s="177">
        <f t="shared" si="577"/>
        <v>518.4</v>
      </c>
      <c r="N5429" s="177">
        <f t="shared" si="578"/>
        <v>600</v>
      </c>
      <c r="O5429" s="175" t="str">
        <f t="shared" si="579"/>
        <v>Oct</v>
      </c>
      <c r="P5429" s="265">
        <f t="shared" si="580"/>
        <v>40</v>
      </c>
    </row>
    <row r="5430" spans="1:16" ht="15" hidden="1" customHeight="1">
      <c r="A5430" s="103">
        <v>68649095</v>
      </c>
      <c r="B5430" s="608">
        <v>2904</v>
      </c>
      <c r="C5430" s="601">
        <v>161067.76474570262</v>
      </c>
      <c r="D5430" s="606">
        <v>46327</v>
      </c>
      <c r="E5430" s="103" t="s">
        <v>294</v>
      </c>
      <c r="F5430" s="608" t="s">
        <v>40</v>
      </c>
      <c r="G5430" s="395">
        <f>VLOOKUP($A5430,'Tech Litons'!$A:$I,8,FALSE)</f>
        <v>3.5999999999999999E-3</v>
      </c>
      <c r="H5430" s="174">
        <f>VLOOKUP($A5430,'Tech Litons'!$A:$I,9,FALSE)</f>
        <v>240</v>
      </c>
      <c r="I5430" s="174" t="str">
        <f>VLOOKUP($A5430,'Tech Litons'!$A:$C,3,0)</f>
        <v>Topped</v>
      </c>
      <c r="J5430" s="175" t="str">
        <f t="shared" si="576"/>
        <v>2904Topped</v>
      </c>
      <c r="K5430" s="974">
        <v>0.9</v>
      </c>
      <c r="L5430" s="177">
        <f t="shared" si="575"/>
        <v>144960.98827113237</v>
      </c>
      <c r="M5430" s="177">
        <f t="shared" si="577"/>
        <v>521.85955777607649</v>
      </c>
      <c r="N5430" s="177">
        <f t="shared" si="578"/>
        <v>604.00411779638489</v>
      </c>
      <c r="O5430" s="175" t="str">
        <f t="shared" si="579"/>
        <v>Nov</v>
      </c>
      <c r="P5430" s="265">
        <f t="shared" si="580"/>
        <v>45</v>
      </c>
    </row>
    <row r="5431" spans="1:16" ht="15" hidden="1" customHeight="1">
      <c r="A5431" s="103">
        <v>68649095</v>
      </c>
      <c r="B5431" s="608">
        <v>2904</v>
      </c>
      <c r="C5431" s="601">
        <v>215000</v>
      </c>
      <c r="D5431" s="606">
        <v>46357</v>
      </c>
      <c r="E5431" s="103" t="s">
        <v>294</v>
      </c>
      <c r="F5431" s="608" t="s">
        <v>40</v>
      </c>
      <c r="G5431" s="395">
        <f>VLOOKUP($A5431,'Tech Litons'!$A:$I,8,FALSE)</f>
        <v>3.5999999999999999E-3</v>
      </c>
      <c r="H5431" s="174">
        <f>VLOOKUP($A5431,'Tech Litons'!$A:$I,9,FALSE)</f>
        <v>240</v>
      </c>
      <c r="I5431" s="174" t="str">
        <f>VLOOKUP($A5431,'Tech Litons'!$A:$C,3,0)</f>
        <v>Topped</v>
      </c>
      <c r="J5431" s="175" t="str">
        <f t="shared" si="576"/>
        <v>2904Topped</v>
      </c>
      <c r="K5431" s="974">
        <v>0.9</v>
      </c>
      <c r="L5431" s="177">
        <f t="shared" si="575"/>
        <v>193500</v>
      </c>
      <c r="M5431" s="177">
        <f t="shared" si="577"/>
        <v>696.6</v>
      </c>
      <c r="N5431" s="177">
        <f t="shared" si="578"/>
        <v>806.25</v>
      </c>
      <c r="O5431" s="175" t="str">
        <f t="shared" si="579"/>
        <v>Dec</v>
      </c>
      <c r="P5431" s="265">
        <f t="shared" si="580"/>
        <v>49</v>
      </c>
    </row>
    <row r="5432" spans="1:16" ht="15" hidden="1" customHeight="1">
      <c r="A5432" s="608">
        <v>69725082</v>
      </c>
      <c r="B5432" s="608">
        <v>1352</v>
      </c>
      <c r="C5432" s="601">
        <v>91200</v>
      </c>
      <c r="D5432" s="606">
        <v>46177</v>
      </c>
      <c r="E5432" s="608" t="s">
        <v>292</v>
      </c>
      <c r="F5432" s="608" t="s">
        <v>223</v>
      </c>
      <c r="G5432" s="395">
        <f>VLOOKUP($A5432,'Tech Litons'!$A:$I,8,FALSE)</f>
        <v>5.2680000000000001E-3</v>
      </c>
      <c r="H5432" s="174">
        <f>VLOOKUP($A5432,'Tech Litons'!$A:$I,9,FALSE)</f>
        <v>130</v>
      </c>
      <c r="I5432" s="174" t="str">
        <f>VLOOKUP($A5432,'Tech Litons'!$A:$C,3,0)</f>
        <v>PG</v>
      </c>
      <c r="J5432" s="175" t="str">
        <f t="shared" ref="J5432:J5459" si="581">B5432&amp;I5432</f>
        <v>1352PG</v>
      </c>
      <c r="K5432" s="974">
        <v>1</v>
      </c>
      <c r="L5432" s="177">
        <f t="shared" si="575"/>
        <v>91200</v>
      </c>
      <c r="M5432" s="177">
        <f t="shared" ref="M5432:M5459" si="582">L5432*G5432</f>
        <v>480.44159999999999</v>
      </c>
      <c r="N5432" s="177">
        <f t="shared" ref="N5432:N5459" si="583">L5432/H5432</f>
        <v>701.53846153846155</v>
      </c>
      <c r="O5432" s="175" t="str">
        <f t="shared" ref="O5432:O5459" si="584">TEXT(D5432,"MMM")</f>
        <v>Jun</v>
      </c>
      <c r="P5432" s="265">
        <f t="shared" ref="P5432:P5459" si="585">WEEKNUM(D5432)</f>
        <v>23</v>
      </c>
    </row>
    <row r="5433" spans="1:16" ht="15" hidden="1" customHeight="1">
      <c r="A5433" s="608">
        <v>69725082</v>
      </c>
      <c r="B5433" s="608">
        <v>1352</v>
      </c>
      <c r="C5433" s="601">
        <v>104880</v>
      </c>
      <c r="D5433" s="606">
        <v>46207</v>
      </c>
      <c r="E5433" s="608" t="s">
        <v>292</v>
      </c>
      <c r="F5433" s="608" t="s">
        <v>223</v>
      </c>
      <c r="G5433" s="395">
        <f>VLOOKUP($A5433,'Tech Litons'!$A:$I,8,FALSE)</f>
        <v>5.2680000000000001E-3</v>
      </c>
      <c r="H5433" s="174">
        <f>VLOOKUP($A5433,'Tech Litons'!$A:$I,9,FALSE)</f>
        <v>130</v>
      </c>
      <c r="I5433" s="174" t="str">
        <f>VLOOKUP($A5433,'Tech Litons'!$A:$C,3,0)</f>
        <v>PG</v>
      </c>
      <c r="J5433" s="175" t="str">
        <f t="shared" si="581"/>
        <v>1352PG</v>
      </c>
      <c r="K5433" s="974">
        <v>1</v>
      </c>
      <c r="L5433" s="177">
        <f t="shared" si="575"/>
        <v>104880</v>
      </c>
      <c r="M5433" s="177">
        <f t="shared" si="582"/>
        <v>552.50783999999999</v>
      </c>
      <c r="N5433" s="177">
        <f t="shared" si="583"/>
        <v>806.76923076923072</v>
      </c>
      <c r="O5433" s="175" t="str">
        <f t="shared" si="584"/>
        <v>Jul</v>
      </c>
      <c r="P5433" s="265">
        <f t="shared" si="585"/>
        <v>27</v>
      </c>
    </row>
    <row r="5434" spans="1:16" ht="15" hidden="1" customHeight="1">
      <c r="A5434" s="608">
        <v>69725082</v>
      </c>
      <c r="B5434" s="608">
        <v>1352</v>
      </c>
      <c r="C5434" s="601">
        <v>100320</v>
      </c>
      <c r="D5434" s="606">
        <v>46237</v>
      </c>
      <c r="E5434" s="608" t="s">
        <v>292</v>
      </c>
      <c r="F5434" s="608" t="s">
        <v>223</v>
      </c>
      <c r="G5434" s="395">
        <f>VLOOKUP($A5434,'Tech Litons'!$A:$I,8,FALSE)</f>
        <v>5.2680000000000001E-3</v>
      </c>
      <c r="H5434" s="174">
        <f>VLOOKUP($A5434,'Tech Litons'!$A:$I,9,FALSE)</f>
        <v>130</v>
      </c>
      <c r="I5434" s="174" t="str">
        <f>VLOOKUP($A5434,'Tech Litons'!$A:$C,3,0)</f>
        <v>PG</v>
      </c>
      <c r="J5434" s="175" t="str">
        <f t="shared" si="581"/>
        <v>1352PG</v>
      </c>
      <c r="K5434" s="974">
        <v>1</v>
      </c>
      <c r="L5434" s="177">
        <f t="shared" si="575"/>
        <v>100320</v>
      </c>
      <c r="M5434" s="177">
        <f t="shared" si="582"/>
        <v>528.48576000000003</v>
      </c>
      <c r="N5434" s="177">
        <f t="shared" si="583"/>
        <v>771.69230769230774</v>
      </c>
      <c r="O5434" s="175" t="str">
        <f t="shared" si="584"/>
        <v>Aug</v>
      </c>
      <c r="P5434" s="265">
        <f t="shared" si="585"/>
        <v>32</v>
      </c>
    </row>
    <row r="5435" spans="1:16" ht="15" hidden="1" customHeight="1">
      <c r="A5435" s="608">
        <v>69725082</v>
      </c>
      <c r="B5435" s="608">
        <v>1352</v>
      </c>
      <c r="C5435" s="601">
        <v>95760</v>
      </c>
      <c r="D5435" s="606">
        <v>46267</v>
      </c>
      <c r="E5435" s="608" t="s">
        <v>292</v>
      </c>
      <c r="F5435" s="608" t="s">
        <v>223</v>
      </c>
      <c r="G5435" s="395">
        <f>VLOOKUP($A5435,'Tech Litons'!$A:$I,8,FALSE)</f>
        <v>5.2680000000000001E-3</v>
      </c>
      <c r="H5435" s="174">
        <f>VLOOKUP($A5435,'Tech Litons'!$A:$I,9,FALSE)</f>
        <v>130</v>
      </c>
      <c r="I5435" s="174" t="str">
        <f>VLOOKUP($A5435,'Tech Litons'!$A:$C,3,0)</f>
        <v>PG</v>
      </c>
      <c r="J5435" s="175" t="str">
        <f t="shared" si="581"/>
        <v>1352PG</v>
      </c>
      <c r="K5435" s="974">
        <v>1</v>
      </c>
      <c r="L5435" s="177">
        <f t="shared" si="575"/>
        <v>95760</v>
      </c>
      <c r="M5435" s="177">
        <f t="shared" si="582"/>
        <v>504.46368000000001</v>
      </c>
      <c r="N5435" s="177">
        <f t="shared" si="583"/>
        <v>736.61538461538464</v>
      </c>
      <c r="O5435" s="175" t="str">
        <f t="shared" si="584"/>
        <v>Sep</v>
      </c>
      <c r="P5435" s="265">
        <f t="shared" si="585"/>
        <v>36</v>
      </c>
    </row>
    <row r="5436" spans="1:16" ht="15" hidden="1" customHeight="1">
      <c r="A5436" s="608">
        <v>69725082</v>
      </c>
      <c r="B5436" s="608">
        <v>1352</v>
      </c>
      <c r="C5436" s="601">
        <v>104880</v>
      </c>
      <c r="D5436" s="606">
        <v>46297</v>
      </c>
      <c r="E5436" s="608" t="s">
        <v>292</v>
      </c>
      <c r="F5436" s="608" t="s">
        <v>223</v>
      </c>
      <c r="G5436" s="395">
        <f>VLOOKUP($A5436,'Tech Litons'!$A:$I,8,FALSE)</f>
        <v>5.2680000000000001E-3</v>
      </c>
      <c r="H5436" s="174">
        <f>VLOOKUP($A5436,'Tech Litons'!$A:$I,9,FALSE)</f>
        <v>130</v>
      </c>
      <c r="I5436" s="174" t="str">
        <f>VLOOKUP($A5436,'Tech Litons'!$A:$C,3,0)</f>
        <v>PG</v>
      </c>
      <c r="J5436" s="175" t="str">
        <f t="shared" si="581"/>
        <v>1352PG</v>
      </c>
      <c r="K5436" s="974">
        <v>1</v>
      </c>
      <c r="L5436" s="177">
        <f t="shared" si="575"/>
        <v>104880</v>
      </c>
      <c r="M5436" s="177">
        <f t="shared" si="582"/>
        <v>552.50783999999999</v>
      </c>
      <c r="N5436" s="177">
        <f t="shared" si="583"/>
        <v>806.76923076923072</v>
      </c>
      <c r="O5436" s="175" t="str">
        <f t="shared" si="584"/>
        <v>Oct</v>
      </c>
      <c r="P5436" s="265">
        <f t="shared" si="585"/>
        <v>40</v>
      </c>
    </row>
    <row r="5437" spans="1:16" ht="15" hidden="1" customHeight="1">
      <c r="A5437" s="608">
        <v>69725082</v>
      </c>
      <c r="B5437" s="608">
        <v>1352</v>
      </c>
      <c r="C5437" s="601">
        <v>95760</v>
      </c>
      <c r="D5437" s="606">
        <v>46327</v>
      </c>
      <c r="E5437" s="608" t="s">
        <v>292</v>
      </c>
      <c r="F5437" s="608" t="s">
        <v>223</v>
      </c>
      <c r="G5437" s="395">
        <f>VLOOKUP($A5437,'Tech Litons'!$A:$I,8,FALSE)</f>
        <v>5.2680000000000001E-3</v>
      </c>
      <c r="H5437" s="174">
        <f>VLOOKUP($A5437,'Tech Litons'!$A:$I,9,FALSE)</f>
        <v>130</v>
      </c>
      <c r="I5437" s="174" t="str">
        <f>VLOOKUP($A5437,'Tech Litons'!$A:$C,3,0)</f>
        <v>PG</v>
      </c>
      <c r="J5437" s="175" t="str">
        <f t="shared" si="581"/>
        <v>1352PG</v>
      </c>
      <c r="K5437" s="974">
        <v>1</v>
      </c>
      <c r="L5437" s="177">
        <f t="shared" si="575"/>
        <v>95760</v>
      </c>
      <c r="M5437" s="177">
        <f t="shared" si="582"/>
        <v>504.46368000000001</v>
      </c>
      <c r="N5437" s="177">
        <f t="shared" si="583"/>
        <v>736.61538461538464</v>
      </c>
      <c r="O5437" s="175" t="str">
        <f t="shared" si="584"/>
        <v>Nov</v>
      </c>
      <c r="P5437" s="265">
        <f t="shared" si="585"/>
        <v>45</v>
      </c>
    </row>
    <row r="5438" spans="1:16" ht="15" hidden="1" customHeight="1">
      <c r="A5438" s="608">
        <v>69725082</v>
      </c>
      <c r="B5438" s="608">
        <v>1352</v>
      </c>
      <c r="C5438" s="601"/>
      <c r="D5438" s="606">
        <v>46357</v>
      </c>
      <c r="E5438" s="608" t="s">
        <v>292</v>
      </c>
      <c r="F5438" s="608" t="s">
        <v>223</v>
      </c>
      <c r="G5438" s="395">
        <f>VLOOKUP($A5438,'Tech Litons'!$A:$I,8,FALSE)</f>
        <v>5.2680000000000001E-3</v>
      </c>
      <c r="H5438" s="174">
        <f>VLOOKUP($A5438,'Tech Litons'!$A:$I,9,FALSE)</f>
        <v>130</v>
      </c>
      <c r="I5438" s="174" t="str">
        <f>VLOOKUP($A5438,'Tech Litons'!$A:$C,3,0)</f>
        <v>PG</v>
      </c>
      <c r="J5438" s="175" t="str">
        <f t="shared" si="581"/>
        <v>1352PG</v>
      </c>
      <c r="K5438" s="974">
        <v>1</v>
      </c>
      <c r="L5438" s="177">
        <f t="shared" si="575"/>
        <v>0</v>
      </c>
      <c r="M5438" s="177">
        <f t="shared" si="582"/>
        <v>0</v>
      </c>
      <c r="N5438" s="177">
        <f t="shared" si="583"/>
        <v>0</v>
      </c>
      <c r="O5438" s="175" t="str">
        <f t="shared" si="584"/>
        <v>Dec</v>
      </c>
      <c r="P5438" s="265">
        <f t="shared" si="585"/>
        <v>49</v>
      </c>
    </row>
    <row r="5439" spans="1:16" ht="15" hidden="1" customHeight="1">
      <c r="A5439" s="608">
        <v>64776954</v>
      </c>
      <c r="B5439" s="608">
        <v>1352</v>
      </c>
      <c r="C5439" s="601">
        <v>0</v>
      </c>
      <c r="D5439" s="606">
        <v>46177</v>
      </c>
      <c r="E5439" s="608" t="s">
        <v>285</v>
      </c>
      <c r="F5439" s="608" t="s">
        <v>224</v>
      </c>
      <c r="G5439" s="395">
        <f>VLOOKUP($A5439,'Tech Litons'!$A:$I,8,FALSE)</f>
        <v>3.8340000000000002E-3</v>
      </c>
      <c r="H5439" s="174">
        <f>VLOOKUP($A5439,'Tech Litons'!$A:$I,9,FALSE)</f>
        <v>130</v>
      </c>
      <c r="I5439" s="174" t="str">
        <f>VLOOKUP($A5439,'Tech Litons'!$A:$C,3,0)</f>
        <v>pG</v>
      </c>
      <c r="J5439" s="175" t="str">
        <f t="shared" si="581"/>
        <v>1352pG</v>
      </c>
      <c r="K5439" s="974">
        <v>1</v>
      </c>
      <c r="L5439" s="177">
        <f t="shared" si="575"/>
        <v>0</v>
      </c>
      <c r="M5439" s="177">
        <f t="shared" si="582"/>
        <v>0</v>
      </c>
      <c r="N5439" s="177">
        <f t="shared" si="583"/>
        <v>0</v>
      </c>
      <c r="O5439" s="175" t="str">
        <f t="shared" si="584"/>
        <v>Jun</v>
      </c>
      <c r="P5439" s="265">
        <f t="shared" si="585"/>
        <v>23</v>
      </c>
    </row>
    <row r="5440" spans="1:16" ht="15" hidden="1" customHeight="1">
      <c r="A5440" s="608">
        <v>64776954</v>
      </c>
      <c r="B5440" s="608">
        <v>1352</v>
      </c>
      <c r="C5440" s="601">
        <v>76475</v>
      </c>
      <c r="D5440" s="606">
        <v>46207</v>
      </c>
      <c r="E5440" s="608" t="s">
        <v>285</v>
      </c>
      <c r="F5440" s="608" t="s">
        <v>224</v>
      </c>
      <c r="G5440" s="395">
        <f>VLOOKUP($A5440,'Tech Litons'!$A:$I,8,FALSE)</f>
        <v>3.8340000000000002E-3</v>
      </c>
      <c r="H5440" s="174">
        <f>VLOOKUP($A5440,'Tech Litons'!$A:$I,9,FALSE)</f>
        <v>130</v>
      </c>
      <c r="I5440" s="174" t="str">
        <f>VLOOKUP($A5440,'Tech Litons'!$A:$C,3,0)</f>
        <v>pG</v>
      </c>
      <c r="J5440" s="175" t="str">
        <f t="shared" si="581"/>
        <v>1352pG</v>
      </c>
      <c r="K5440" s="974">
        <v>1</v>
      </c>
      <c r="L5440" s="177">
        <f t="shared" si="575"/>
        <v>76475</v>
      </c>
      <c r="M5440" s="177">
        <f t="shared" si="582"/>
        <v>293.20515</v>
      </c>
      <c r="N5440" s="177">
        <f t="shared" si="583"/>
        <v>588.26923076923072</v>
      </c>
      <c r="O5440" s="175" t="str">
        <f t="shared" si="584"/>
        <v>Jul</v>
      </c>
      <c r="P5440" s="265">
        <f t="shared" si="585"/>
        <v>27</v>
      </c>
    </row>
    <row r="5441" spans="1:16" ht="15" hidden="1" customHeight="1">
      <c r="A5441" s="608">
        <v>64776954</v>
      </c>
      <c r="B5441" s="608">
        <v>1352</v>
      </c>
      <c r="C5441" s="601">
        <v>73150</v>
      </c>
      <c r="D5441" s="606">
        <v>46237</v>
      </c>
      <c r="E5441" s="608" t="s">
        <v>285</v>
      </c>
      <c r="F5441" s="608" t="s">
        <v>224</v>
      </c>
      <c r="G5441" s="395">
        <f>VLOOKUP($A5441,'Tech Litons'!$A:$I,8,FALSE)</f>
        <v>3.8340000000000002E-3</v>
      </c>
      <c r="H5441" s="174">
        <f>VLOOKUP($A5441,'Tech Litons'!$A:$I,9,FALSE)</f>
        <v>130</v>
      </c>
      <c r="I5441" s="174" t="str">
        <f>VLOOKUP($A5441,'Tech Litons'!$A:$C,3,0)</f>
        <v>pG</v>
      </c>
      <c r="J5441" s="175" t="str">
        <f t="shared" si="581"/>
        <v>1352pG</v>
      </c>
      <c r="K5441" s="974">
        <v>1</v>
      </c>
      <c r="L5441" s="177">
        <f t="shared" si="575"/>
        <v>73150</v>
      </c>
      <c r="M5441" s="177">
        <f t="shared" si="582"/>
        <v>280.45710000000003</v>
      </c>
      <c r="N5441" s="177">
        <f t="shared" si="583"/>
        <v>562.69230769230774</v>
      </c>
      <c r="O5441" s="175" t="str">
        <f t="shared" si="584"/>
        <v>Aug</v>
      </c>
      <c r="P5441" s="265">
        <f t="shared" si="585"/>
        <v>32</v>
      </c>
    </row>
    <row r="5442" spans="1:16" ht="15" hidden="1" customHeight="1">
      <c r="A5442" s="608">
        <v>64776954</v>
      </c>
      <c r="B5442" s="608">
        <v>1352</v>
      </c>
      <c r="C5442" s="601">
        <v>69825</v>
      </c>
      <c r="D5442" s="606">
        <v>46267</v>
      </c>
      <c r="E5442" s="608" t="s">
        <v>285</v>
      </c>
      <c r="F5442" s="608" t="s">
        <v>224</v>
      </c>
      <c r="G5442" s="395">
        <f>VLOOKUP($A5442,'Tech Litons'!$A:$I,8,FALSE)</f>
        <v>3.8340000000000002E-3</v>
      </c>
      <c r="H5442" s="174">
        <f>VLOOKUP($A5442,'Tech Litons'!$A:$I,9,FALSE)</f>
        <v>130</v>
      </c>
      <c r="I5442" s="174" t="str">
        <f>VLOOKUP($A5442,'Tech Litons'!$A:$C,3,0)</f>
        <v>pG</v>
      </c>
      <c r="J5442" s="175" t="str">
        <f t="shared" si="581"/>
        <v>1352pG</v>
      </c>
      <c r="K5442" s="974">
        <v>1</v>
      </c>
      <c r="L5442" s="177">
        <f t="shared" si="575"/>
        <v>69825</v>
      </c>
      <c r="M5442" s="177">
        <f t="shared" si="582"/>
        <v>267.70904999999999</v>
      </c>
      <c r="N5442" s="177">
        <f t="shared" si="583"/>
        <v>537.11538461538464</v>
      </c>
      <c r="O5442" s="175" t="str">
        <f t="shared" si="584"/>
        <v>Sep</v>
      </c>
      <c r="P5442" s="265">
        <f t="shared" si="585"/>
        <v>36</v>
      </c>
    </row>
    <row r="5443" spans="1:16" ht="15" hidden="1" customHeight="1">
      <c r="A5443" s="608">
        <v>64776954</v>
      </c>
      <c r="B5443" s="608">
        <v>1352</v>
      </c>
      <c r="C5443" s="601">
        <v>76475</v>
      </c>
      <c r="D5443" s="606">
        <v>46297</v>
      </c>
      <c r="E5443" s="608" t="s">
        <v>285</v>
      </c>
      <c r="F5443" s="608" t="s">
        <v>224</v>
      </c>
      <c r="G5443" s="395">
        <f>VLOOKUP($A5443,'Tech Litons'!$A:$I,8,FALSE)</f>
        <v>3.8340000000000002E-3</v>
      </c>
      <c r="H5443" s="174">
        <f>VLOOKUP($A5443,'Tech Litons'!$A:$I,9,FALSE)</f>
        <v>130</v>
      </c>
      <c r="I5443" s="174" t="str">
        <f>VLOOKUP($A5443,'Tech Litons'!$A:$C,3,0)</f>
        <v>pG</v>
      </c>
      <c r="J5443" s="175" t="str">
        <f t="shared" si="581"/>
        <v>1352pG</v>
      </c>
      <c r="K5443" s="974">
        <v>1</v>
      </c>
      <c r="L5443" s="177">
        <f t="shared" si="575"/>
        <v>76475</v>
      </c>
      <c r="M5443" s="177">
        <f t="shared" si="582"/>
        <v>293.20515</v>
      </c>
      <c r="N5443" s="177">
        <f t="shared" si="583"/>
        <v>588.26923076923072</v>
      </c>
      <c r="O5443" s="175" t="str">
        <f t="shared" si="584"/>
        <v>Oct</v>
      </c>
      <c r="P5443" s="265">
        <f t="shared" si="585"/>
        <v>40</v>
      </c>
    </row>
    <row r="5444" spans="1:16" ht="15" hidden="1" customHeight="1">
      <c r="A5444" s="608">
        <v>64776954</v>
      </c>
      <c r="B5444" s="608">
        <v>1352</v>
      </c>
      <c r="C5444" s="601"/>
      <c r="D5444" s="606">
        <v>46327</v>
      </c>
      <c r="E5444" s="608" t="s">
        <v>285</v>
      </c>
      <c r="F5444" s="608" t="s">
        <v>224</v>
      </c>
      <c r="G5444" s="395">
        <f>VLOOKUP($A5444,'Tech Litons'!$A:$I,8,FALSE)</f>
        <v>3.8340000000000002E-3</v>
      </c>
      <c r="H5444" s="174">
        <f>VLOOKUP($A5444,'Tech Litons'!$A:$I,9,FALSE)</f>
        <v>130</v>
      </c>
      <c r="I5444" s="174" t="str">
        <f>VLOOKUP($A5444,'Tech Litons'!$A:$C,3,0)</f>
        <v>pG</v>
      </c>
      <c r="J5444" s="175" t="str">
        <f t="shared" si="581"/>
        <v>1352pG</v>
      </c>
      <c r="K5444" s="974">
        <v>1</v>
      </c>
      <c r="L5444" s="177">
        <f t="shared" si="575"/>
        <v>0</v>
      </c>
      <c r="M5444" s="177">
        <f t="shared" si="582"/>
        <v>0</v>
      </c>
      <c r="N5444" s="177">
        <f t="shared" si="583"/>
        <v>0</v>
      </c>
      <c r="O5444" s="175" t="str">
        <f t="shared" si="584"/>
        <v>Nov</v>
      </c>
      <c r="P5444" s="265">
        <f t="shared" si="585"/>
        <v>45</v>
      </c>
    </row>
    <row r="5445" spans="1:16" ht="15" hidden="1" customHeight="1">
      <c r="A5445" s="608">
        <v>64776954</v>
      </c>
      <c r="B5445" s="608">
        <v>1352</v>
      </c>
      <c r="C5445" s="601">
        <v>0</v>
      </c>
      <c r="D5445" s="606">
        <v>46357</v>
      </c>
      <c r="E5445" s="608" t="s">
        <v>285</v>
      </c>
      <c r="F5445" s="608" t="s">
        <v>224</v>
      </c>
      <c r="G5445" s="395">
        <f>VLOOKUP($A5445,'Tech Litons'!$A:$I,8,FALSE)</f>
        <v>3.8340000000000002E-3</v>
      </c>
      <c r="H5445" s="174">
        <f>VLOOKUP($A5445,'Tech Litons'!$A:$I,9,FALSE)</f>
        <v>130</v>
      </c>
      <c r="I5445" s="174" t="str">
        <f>VLOOKUP($A5445,'Tech Litons'!$A:$C,3,0)</f>
        <v>pG</v>
      </c>
      <c r="J5445" s="175" t="str">
        <f t="shared" si="581"/>
        <v>1352pG</v>
      </c>
      <c r="K5445" s="974">
        <v>1</v>
      </c>
      <c r="L5445" s="177">
        <f t="shared" si="575"/>
        <v>0</v>
      </c>
      <c r="M5445" s="177">
        <f t="shared" si="582"/>
        <v>0</v>
      </c>
      <c r="N5445" s="177">
        <f t="shared" si="583"/>
        <v>0</v>
      </c>
      <c r="O5445" s="175" t="str">
        <f t="shared" si="584"/>
        <v>Dec</v>
      </c>
      <c r="P5445" s="265">
        <f t="shared" si="585"/>
        <v>49</v>
      </c>
    </row>
    <row r="5446" spans="1:16" ht="15" hidden="1" customHeight="1">
      <c r="A5446" s="608">
        <v>69725082</v>
      </c>
      <c r="B5446" s="608">
        <v>1352</v>
      </c>
      <c r="C5446" s="601">
        <v>76000</v>
      </c>
      <c r="D5446" s="606">
        <v>46177</v>
      </c>
      <c r="E5446" s="608" t="s">
        <v>292</v>
      </c>
      <c r="F5446" s="608" t="s">
        <v>225</v>
      </c>
      <c r="G5446" s="395">
        <f>VLOOKUP($A5446,'Tech Litons'!$A:$I,8,FALSE)</f>
        <v>5.2680000000000001E-3</v>
      </c>
      <c r="H5446" s="174">
        <f>VLOOKUP($A5446,'Tech Litons'!$A:$I,9,FALSE)</f>
        <v>130</v>
      </c>
      <c r="I5446" s="174" t="str">
        <f>VLOOKUP($A5446,'Tech Litons'!$A:$C,3,0)</f>
        <v>PG</v>
      </c>
      <c r="J5446" s="175" t="str">
        <f t="shared" si="581"/>
        <v>1352PG</v>
      </c>
      <c r="K5446" s="974">
        <v>1</v>
      </c>
      <c r="L5446" s="177">
        <f t="shared" si="575"/>
        <v>76000</v>
      </c>
      <c r="M5446" s="177">
        <f t="shared" si="582"/>
        <v>400.36799999999999</v>
      </c>
      <c r="N5446" s="177">
        <f t="shared" si="583"/>
        <v>584.61538461538464</v>
      </c>
      <c r="O5446" s="175" t="str">
        <f t="shared" si="584"/>
        <v>Jun</v>
      </c>
      <c r="P5446" s="265">
        <f t="shared" si="585"/>
        <v>23</v>
      </c>
    </row>
    <row r="5447" spans="1:16" ht="15" hidden="1" customHeight="1">
      <c r="A5447" s="608">
        <v>69725082</v>
      </c>
      <c r="B5447" s="608">
        <v>1352</v>
      </c>
      <c r="C5447" s="601">
        <v>87400</v>
      </c>
      <c r="D5447" s="606">
        <v>46207</v>
      </c>
      <c r="E5447" s="608" t="s">
        <v>292</v>
      </c>
      <c r="F5447" s="608" t="s">
        <v>225</v>
      </c>
      <c r="G5447" s="395">
        <f>VLOOKUP($A5447,'Tech Litons'!$A:$I,8,FALSE)</f>
        <v>5.2680000000000001E-3</v>
      </c>
      <c r="H5447" s="174">
        <f>VLOOKUP($A5447,'Tech Litons'!$A:$I,9,FALSE)</f>
        <v>130</v>
      </c>
      <c r="I5447" s="174" t="str">
        <f>VLOOKUP($A5447,'Tech Litons'!$A:$C,3,0)</f>
        <v>PG</v>
      </c>
      <c r="J5447" s="175" t="str">
        <f t="shared" si="581"/>
        <v>1352PG</v>
      </c>
      <c r="K5447" s="974">
        <v>1</v>
      </c>
      <c r="L5447" s="177">
        <f t="shared" si="575"/>
        <v>87400</v>
      </c>
      <c r="M5447" s="177">
        <f t="shared" si="582"/>
        <v>460.42320000000001</v>
      </c>
      <c r="N5447" s="177">
        <f t="shared" si="583"/>
        <v>672.30769230769226</v>
      </c>
      <c r="O5447" s="175" t="str">
        <f t="shared" si="584"/>
        <v>Jul</v>
      </c>
      <c r="P5447" s="265">
        <f t="shared" si="585"/>
        <v>27</v>
      </c>
    </row>
    <row r="5448" spans="1:16" ht="15" hidden="1" customHeight="1">
      <c r="A5448" s="608">
        <v>69725082</v>
      </c>
      <c r="B5448" s="608">
        <v>1352</v>
      </c>
      <c r="C5448" s="601">
        <v>83600</v>
      </c>
      <c r="D5448" s="606">
        <v>46237</v>
      </c>
      <c r="E5448" s="608" t="s">
        <v>292</v>
      </c>
      <c r="F5448" s="608" t="s">
        <v>225</v>
      </c>
      <c r="G5448" s="395">
        <f>VLOOKUP($A5448,'Tech Litons'!$A:$I,8,FALSE)</f>
        <v>5.2680000000000001E-3</v>
      </c>
      <c r="H5448" s="174">
        <f>VLOOKUP($A5448,'Tech Litons'!$A:$I,9,FALSE)</f>
        <v>130</v>
      </c>
      <c r="I5448" s="174" t="str">
        <f>VLOOKUP($A5448,'Tech Litons'!$A:$C,3,0)</f>
        <v>PG</v>
      </c>
      <c r="J5448" s="175" t="str">
        <f t="shared" si="581"/>
        <v>1352PG</v>
      </c>
      <c r="K5448" s="974">
        <v>1</v>
      </c>
      <c r="L5448" s="177">
        <f t="shared" si="575"/>
        <v>83600</v>
      </c>
      <c r="M5448" s="177">
        <f t="shared" si="582"/>
        <v>440.40480000000002</v>
      </c>
      <c r="N5448" s="177">
        <f t="shared" si="583"/>
        <v>643.07692307692309</v>
      </c>
      <c r="O5448" s="175" t="str">
        <f t="shared" si="584"/>
        <v>Aug</v>
      </c>
      <c r="P5448" s="265">
        <f t="shared" si="585"/>
        <v>32</v>
      </c>
    </row>
    <row r="5449" spans="1:16" ht="15" hidden="1" customHeight="1">
      <c r="A5449" s="608">
        <v>69725082</v>
      </c>
      <c r="B5449" s="608">
        <v>1352</v>
      </c>
      <c r="C5449" s="601">
        <v>79800</v>
      </c>
      <c r="D5449" s="606">
        <v>46267</v>
      </c>
      <c r="E5449" s="608" t="s">
        <v>292</v>
      </c>
      <c r="F5449" s="608" t="s">
        <v>225</v>
      </c>
      <c r="G5449" s="395">
        <f>VLOOKUP($A5449,'Tech Litons'!$A:$I,8,FALSE)</f>
        <v>5.2680000000000001E-3</v>
      </c>
      <c r="H5449" s="174">
        <f>VLOOKUP($A5449,'Tech Litons'!$A:$I,9,FALSE)</f>
        <v>130</v>
      </c>
      <c r="I5449" s="174" t="str">
        <f>VLOOKUP($A5449,'Tech Litons'!$A:$C,3,0)</f>
        <v>PG</v>
      </c>
      <c r="J5449" s="175" t="str">
        <f t="shared" si="581"/>
        <v>1352PG</v>
      </c>
      <c r="K5449" s="974">
        <v>1</v>
      </c>
      <c r="L5449" s="177">
        <f t="shared" si="575"/>
        <v>79800</v>
      </c>
      <c r="M5449" s="177">
        <f t="shared" si="582"/>
        <v>420.38640000000004</v>
      </c>
      <c r="N5449" s="177">
        <f t="shared" si="583"/>
        <v>613.84615384615381</v>
      </c>
      <c r="O5449" s="175" t="str">
        <f t="shared" si="584"/>
        <v>Sep</v>
      </c>
      <c r="P5449" s="265">
        <f t="shared" si="585"/>
        <v>36</v>
      </c>
    </row>
    <row r="5450" spans="1:16" ht="15" hidden="1" customHeight="1">
      <c r="A5450" s="608">
        <v>69725082</v>
      </c>
      <c r="B5450" s="608">
        <v>1352</v>
      </c>
      <c r="C5450" s="601">
        <v>87400</v>
      </c>
      <c r="D5450" s="606">
        <v>46297</v>
      </c>
      <c r="E5450" s="608" t="s">
        <v>292</v>
      </c>
      <c r="F5450" s="608" t="s">
        <v>225</v>
      </c>
      <c r="G5450" s="395">
        <f>VLOOKUP($A5450,'Tech Litons'!$A:$I,8,FALSE)</f>
        <v>5.2680000000000001E-3</v>
      </c>
      <c r="H5450" s="174">
        <f>VLOOKUP($A5450,'Tech Litons'!$A:$I,9,FALSE)</f>
        <v>130</v>
      </c>
      <c r="I5450" s="174" t="str">
        <f>VLOOKUP($A5450,'Tech Litons'!$A:$C,3,0)</f>
        <v>PG</v>
      </c>
      <c r="J5450" s="175" t="str">
        <f t="shared" si="581"/>
        <v>1352PG</v>
      </c>
      <c r="K5450" s="974">
        <v>1</v>
      </c>
      <c r="L5450" s="177">
        <f t="shared" si="575"/>
        <v>87400</v>
      </c>
      <c r="M5450" s="177">
        <f t="shared" si="582"/>
        <v>460.42320000000001</v>
      </c>
      <c r="N5450" s="177">
        <f t="shared" si="583"/>
        <v>672.30769230769226</v>
      </c>
      <c r="O5450" s="175" t="str">
        <f t="shared" si="584"/>
        <v>Oct</v>
      </c>
      <c r="P5450" s="265">
        <f t="shared" si="585"/>
        <v>40</v>
      </c>
    </row>
    <row r="5451" spans="1:16" ht="15" hidden="1" customHeight="1">
      <c r="A5451" s="608">
        <v>69725082</v>
      </c>
      <c r="B5451" s="608">
        <v>1352</v>
      </c>
      <c r="C5451" s="601"/>
      <c r="D5451" s="606">
        <v>46327</v>
      </c>
      <c r="E5451" s="608" t="s">
        <v>292</v>
      </c>
      <c r="F5451" s="608" t="s">
        <v>225</v>
      </c>
      <c r="G5451" s="395">
        <f>VLOOKUP($A5451,'Tech Litons'!$A:$I,8,FALSE)</f>
        <v>5.2680000000000001E-3</v>
      </c>
      <c r="H5451" s="174">
        <f>VLOOKUP($A5451,'Tech Litons'!$A:$I,9,FALSE)</f>
        <v>130</v>
      </c>
      <c r="I5451" s="174" t="str">
        <f>VLOOKUP($A5451,'Tech Litons'!$A:$C,3,0)</f>
        <v>PG</v>
      </c>
      <c r="J5451" s="175" t="str">
        <f t="shared" si="581"/>
        <v>1352PG</v>
      </c>
      <c r="K5451" s="974">
        <v>1</v>
      </c>
      <c r="L5451" s="177">
        <f t="shared" si="575"/>
        <v>0</v>
      </c>
      <c r="M5451" s="177">
        <f t="shared" si="582"/>
        <v>0</v>
      </c>
      <c r="N5451" s="177">
        <f t="shared" si="583"/>
        <v>0</v>
      </c>
      <c r="O5451" s="175" t="str">
        <f t="shared" si="584"/>
        <v>Nov</v>
      </c>
      <c r="P5451" s="265">
        <f t="shared" si="585"/>
        <v>45</v>
      </c>
    </row>
    <row r="5452" spans="1:16" ht="15" hidden="1" customHeight="1">
      <c r="A5452" s="608">
        <v>69725082</v>
      </c>
      <c r="B5452" s="608">
        <v>1352</v>
      </c>
      <c r="C5452" s="601">
        <v>0</v>
      </c>
      <c r="D5452" s="606">
        <v>46357</v>
      </c>
      <c r="E5452" s="608" t="s">
        <v>292</v>
      </c>
      <c r="F5452" s="608" t="s">
        <v>225</v>
      </c>
      <c r="G5452" s="395">
        <f>VLOOKUP($A5452,'Tech Litons'!$A:$I,8,FALSE)</f>
        <v>5.2680000000000001E-3</v>
      </c>
      <c r="H5452" s="174">
        <f>VLOOKUP($A5452,'Tech Litons'!$A:$I,9,FALSE)</f>
        <v>130</v>
      </c>
      <c r="I5452" s="174" t="str">
        <f>VLOOKUP($A5452,'Tech Litons'!$A:$C,3,0)</f>
        <v>PG</v>
      </c>
      <c r="J5452" s="175" t="str">
        <f t="shared" si="581"/>
        <v>1352PG</v>
      </c>
      <c r="K5452" s="974">
        <v>1</v>
      </c>
      <c r="L5452" s="177">
        <f t="shared" si="575"/>
        <v>0</v>
      </c>
      <c r="M5452" s="177">
        <f t="shared" si="582"/>
        <v>0</v>
      </c>
      <c r="N5452" s="177">
        <f t="shared" si="583"/>
        <v>0</v>
      </c>
      <c r="O5452" s="175" t="str">
        <f t="shared" si="584"/>
        <v>Dec</v>
      </c>
      <c r="P5452" s="265">
        <f t="shared" si="585"/>
        <v>49</v>
      </c>
    </row>
    <row r="5453" spans="1:16" ht="15" hidden="1" customHeight="1">
      <c r="A5453" s="608">
        <v>69629468</v>
      </c>
      <c r="B5453" s="608">
        <v>2904</v>
      </c>
      <c r="C5453" s="601">
        <v>66500</v>
      </c>
      <c r="D5453" s="606">
        <v>46177</v>
      </c>
      <c r="E5453" s="608" t="s">
        <v>291</v>
      </c>
      <c r="F5453" s="608" t="s">
        <v>226</v>
      </c>
      <c r="G5453" s="395">
        <f>VLOOKUP($A5453,'Tech Litons'!$A:$I,8,FALSE)</f>
        <v>5.2680000000000001E-3</v>
      </c>
      <c r="H5453" s="174">
        <f>VLOOKUP($A5453,'Tech Litons'!$A:$I,9,FALSE)</f>
        <v>130</v>
      </c>
      <c r="I5453" s="174" t="str">
        <f>VLOOKUP($A5453,'Tech Litons'!$A:$C,3,0)</f>
        <v>PG</v>
      </c>
      <c r="J5453" s="175" t="str">
        <f t="shared" si="581"/>
        <v>2904PG</v>
      </c>
      <c r="K5453" s="974">
        <v>1</v>
      </c>
      <c r="L5453" s="177">
        <f t="shared" si="575"/>
        <v>66500</v>
      </c>
      <c r="M5453" s="177">
        <f t="shared" si="582"/>
        <v>350.322</v>
      </c>
      <c r="N5453" s="177">
        <f t="shared" si="583"/>
        <v>511.53846153846155</v>
      </c>
      <c r="O5453" s="175" t="str">
        <f t="shared" si="584"/>
        <v>Jun</v>
      </c>
      <c r="P5453" s="265">
        <f t="shared" si="585"/>
        <v>23</v>
      </c>
    </row>
    <row r="5454" spans="1:16" ht="15" hidden="1" customHeight="1">
      <c r="A5454" s="608">
        <v>69629468</v>
      </c>
      <c r="B5454" s="608">
        <v>2904</v>
      </c>
      <c r="C5454" s="601">
        <v>76475</v>
      </c>
      <c r="D5454" s="606">
        <v>46207</v>
      </c>
      <c r="E5454" s="608" t="s">
        <v>291</v>
      </c>
      <c r="F5454" s="608" t="s">
        <v>226</v>
      </c>
      <c r="G5454" s="395">
        <f>VLOOKUP($A5454,'Tech Litons'!$A:$I,8,FALSE)</f>
        <v>5.2680000000000001E-3</v>
      </c>
      <c r="H5454" s="174">
        <f>VLOOKUP($A5454,'Tech Litons'!$A:$I,9,FALSE)</f>
        <v>130</v>
      </c>
      <c r="I5454" s="174" t="str">
        <f>VLOOKUP($A5454,'Tech Litons'!$A:$C,3,0)</f>
        <v>PG</v>
      </c>
      <c r="J5454" s="175" t="str">
        <f t="shared" si="581"/>
        <v>2904PG</v>
      </c>
      <c r="K5454" s="974">
        <v>1</v>
      </c>
      <c r="L5454" s="177">
        <f t="shared" si="575"/>
        <v>76475</v>
      </c>
      <c r="M5454" s="177">
        <f t="shared" si="582"/>
        <v>402.87029999999999</v>
      </c>
      <c r="N5454" s="177">
        <f t="shared" si="583"/>
        <v>588.26923076923072</v>
      </c>
      <c r="O5454" s="175" t="str">
        <f t="shared" si="584"/>
        <v>Jul</v>
      </c>
      <c r="P5454" s="265">
        <f t="shared" si="585"/>
        <v>27</v>
      </c>
    </row>
    <row r="5455" spans="1:16" ht="15" hidden="1" customHeight="1">
      <c r="A5455" s="608">
        <v>69629468</v>
      </c>
      <c r="B5455" s="608">
        <v>2904</v>
      </c>
      <c r="C5455" s="601">
        <v>73150</v>
      </c>
      <c r="D5455" s="606">
        <v>46237</v>
      </c>
      <c r="E5455" s="608" t="s">
        <v>291</v>
      </c>
      <c r="F5455" s="608" t="s">
        <v>226</v>
      </c>
      <c r="G5455" s="395">
        <f>VLOOKUP($A5455,'Tech Litons'!$A:$I,8,FALSE)</f>
        <v>5.2680000000000001E-3</v>
      </c>
      <c r="H5455" s="174">
        <f>VLOOKUP($A5455,'Tech Litons'!$A:$I,9,FALSE)</f>
        <v>130</v>
      </c>
      <c r="I5455" s="174" t="str">
        <f>VLOOKUP($A5455,'Tech Litons'!$A:$C,3,0)</f>
        <v>PG</v>
      </c>
      <c r="J5455" s="175" t="str">
        <f t="shared" si="581"/>
        <v>2904PG</v>
      </c>
      <c r="K5455" s="974">
        <v>1</v>
      </c>
      <c r="L5455" s="177">
        <f t="shared" si="575"/>
        <v>73150</v>
      </c>
      <c r="M5455" s="177">
        <f t="shared" si="582"/>
        <v>385.35419999999999</v>
      </c>
      <c r="N5455" s="177">
        <f t="shared" si="583"/>
        <v>562.69230769230774</v>
      </c>
      <c r="O5455" s="175" t="str">
        <f t="shared" si="584"/>
        <v>Aug</v>
      </c>
      <c r="P5455" s="265">
        <f t="shared" si="585"/>
        <v>32</v>
      </c>
    </row>
    <row r="5456" spans="1:16" ht="15" hidden="1" customHeight="1">
      <c r="A5456" s="608">
        <v>69629468</v>
      </c>
      <c r="B5456" s="608">
        <v>2904</v>
      </c>
      <c r="C5456" s="601">
        <v>69825</v>
      </c>
      <c r="D5456" s="606">
        <v>46267</v>
      </c>
      <c r="E5456" s="608" t="s">
        <v>291</v>
      </c>
      <c r="F5456" s="608" t="s">
        <v>226</v>
      </c>
      <c r="G5456" s="395">
        <f>VLOOKUP($A5456,'Tech Litons'!$A:$I,8,FALSE)</f>
        <v>5.2680000000000001E-3</v>
      </c>
      <c r="H5456" s="174">
        <f>VLOOKUP($A5456,'Tech Litons'!$A:$I,9,FALSE)</f>
        <v>130</v>
      </c>
      <c r="I5456" s="174" t="str">
        <f>VLOOKUP($A5456,'Tech Litons'!$A:$C,3,0)</f>
        <v>PG</v>
      </c>
      <c r="J5456" s="175" t="str">
        <f t="shared" si="581"/>
        <v>2904PG</v>
      </c>
      <c r="K5456" s="974">
        <v>1</v>
      </c>
      <c r="L5456" s="177">
        <f t="shared" si="575"/>
        <v>69825</v>
      </c>
      <c r="M5456" s="177">
        <f t="shared" si="582"/>
        <v>367.8381</v>
      </c>
      <c r="N5456" s="177">
        <f t="shared" si="583"/>
        <v>537.11538461538464</v>
      </c>
      <c r="O5456" s="175" t="str">
        <f t="shared" si="584"/>
        <v>Sep</v>
      </c>
      <c r="P5456" s="265">
        <f t="shared" si="585"/>
        <v>36</v>
      </c>
    </row>
    <row r="5457" spans="1:16" ht="15" hidden="1" customHeight="1">
      <c r="A5457" s="608">
        <v>69629468</v>
      </c>
      <c r="B5457" s="608">
        <v>2904</v>
      </c>
      <c r="C5457" s="601">
        <v>76475</v>
      </c>
      <c r="D5457" s="606">
        <v>46297</v>
      </c>
      <c r="E5457" s="608" t="s">
        <v>291</v>
      </c>
      <c r="F5457" s="608" t="s">
        <v>226</v>
      </c>
      <c r="G5457" s="395">
        <f>VLOOKUP($A5457,'Tech Litons'!$A:$I,8,FALSE)</f>
        <v>5.2680000000000001E-3</v>
      </c>
      <c r="H5457" s="174">
        <f>VLOOKUP($A5457,'Tech Litons'!$A:$I,9,FALSE)</f>
        <v>130</v>
      </c>
      <c r="I5457" s="174" t="str">
        <f>VLOOKUP($A5457,'Tech Litons'!$A:$C,3,0)</f>
        <v>PG</v>
      </c>
      <c r="J5457" s="175" t="str">
        <f t="shared" si="581"/>
        <v>2904PG</v>
      </c>
      <c r="K5457" s="974">
        <v>1</v>
      </c>
      <c r="L5457" s="177">
        <f t="shared" si="575"/>
        <v>76475</v>
      </c>
      <c r="M5457" s="177">
        <f t="shared" si="582"/>
        <v>402.87029999999999</v>
      </c>
      <c r="N5457" s="177">
        <f t="shared" si="583"/>
        <v>588.26923076923072</v>
      </c>
      <c r="O5457" s="175" t="str">
        <f t="shared" si="584"/>
        <v>Oct</v>
      </c>
      <c r="P5457" s="265">
        <f t="shared" si="585"/>
        <v>40</v>
      </c>
    </row>
    <row r="5458" spans="1:16" ht="15" hidden="1" customHeight="1">
      <c r="A5458" s="608">
        <v>69629468</v>
      </c>
      <c r="B5458" s="608">
        <v>2904</v>
      </c>
      <c r="C5458" s="601">
        <v>69825</v>
      </c>
      <c r="D5458" s="606">
        <v>46327</v>
      </c>
      <c r="E5458" s="608" t="s">
        <v>291</v>
      </c>
      <c r="F5458" s="608" t="s">
        <v>226</v>
      </c>
      <c r="G5458" s="395">
        <f>VLOOKUP($A5458,'Tech Litons'!$A:$I,8,FALSE)</f>
        <v>5.2680000000000001E-3</v>
      </c>
      <c r="H5458" s="174">
        <f>VLOOKUP($A5458,'Tech Litons'!$A:$I,9,FALSE)</f>
        <v>130</v>
      </c>
      <c r="I5458" s="174" t="str">
        <f>VLOOKUP($A5458,'Tech Litons'!$A:$C,3,0)</f>
        <v>PG</v>
      </c>
      <c r="J5458" s="175" t="str">
        <f t="shared" si="581"/>
        <v>2904PG</v>
      </c>
      <c r="K5458" s="974">
        <v>1</v>
      </c>
      <c r="L5458" s="177">
        <f t="shared" si="575"/>
        <v>69825</v>
      </c>
      <c r="M5458" s="177">
        <f t="shared" si="582"/>
        <v>367.8381</v>
      </c>
      <c r="N5458" s="177">
        <f t="shared" si="583"/>
        <v>537.11538461538464</v>
      </c>
      <c r="O5458" s="175" t="str">
        <f t="shared" si="584"/>
        <v>Nov</v>
      </c>
      <c r="P5458" s="265">
        <f t="shared" si="585"/>
        <v>45</v>
      </c>
    </row>
    <row r="5459" spans="1:16" ht="15" hidden="1" customHeight="1">
      <c r="A5459" s="608">
        <v>69629468</v>
      </c>
      <c r="B5459" s="608">
        <v>2904</v>
      </c>
      <c r="C5459" s="601">
        <v>0</v>
      </c>
      <c r="D5459" s="606">
        <v>46357</v>
      </c>
      <c r="E5459" s="608" t="s">
        <v>291</v>
      </c>
      <c r="F5459" s="608" t="s">
        <v>226</v>
      </c>
      <c r="G5459" s="395">
        <f>VLOOKUP($A5459,'Tech Litons'!$A:$I,8,FALSE)</f>
        <v>5.2680000000000001E-3</v>
      </c>
      <c r="H5459" s="174">
        <f>VLOOKUP($A5459,'Tech Litons'!$A:$I,9,FALSE)</f>
        <v>130</v>
      </c>
      <c r="I5459" s="174" t="str">
        <f>VLOOKUP($A5459,'Tech Litons'!$A:$C,3,0)</f>
        <v>PG</v>
      </c>
      <c r="J5459" s="175" t="str">
        <f t="shared" si="581"/>
        <v>2904PG</v>
      </c>
      <c r="K5459" s="974">
        <v>1</v>
      </c>
      <c r="L5459" s="177">
        <f t="shared" si="575"/>
        <v>0</v>
      </c>
      <c r="M5459" s="177">
        <f t="shared" si="582"/>
        <v>0</v>
      </c>
      <c r="N5459" s="177">
        <f t="shared" si="583"/>
        <v>0</v>
      </c>
      <c r="O5459" s="175" t="str">
        <f t="shared" si="584"/>
        <v>Dec</v>
      </c>
      <c r="P5459" s="265">
        <f t="shared" si="585"/>
        <v>49</v>
      </c>
    </row>
    <row r="5460" spans="1:16" ht="15" hidden="1" customHeight="1">
      <c r="A5460" s="608">
        <v>69629468</v>
      </c>
      <c r="B5460" s="608">
        <v>1352</v>
      </c>
      <c r="C5460" s="601">
        <v>70300</v>
      </c>
      <c r="D5460" s="606">
        <v>46177</v>
      </c>
      <c r="E5460" s="608" t="s">
        <v>291</v>
      </c>
      <c r="F5460" s="608" t="s">
        <v>222</v>
      </c>
      <c r="G5460" s="395">
        <f>VLOOKUP($A5460,'Tech Litons'!$A:$I,8,FALSE)</f>
        <v>5.2680000000000001E-3</v>
      </c>
      <c r="H5460" s="174">
        <f>VLOOKUP($A5460,'Tech Litons'!$A:$I,9,FALSE)</f>
        <v>130</v>
      </c>
      <c r="I5460" s="174" t="str">
        <f>VLOOKUP($A5460,'Tech Litons'!$A:$C,3,0)</f>
        <v>PG</v>
      </c>
      <c r="J5460" s="175" t="str">
        <f t="shared" ref="J5460:J5473" si="586">B5460&amp;I5460</f>
        <v>1352PG</v>
      </c>
      <c r="K5460" s="974">
        <v>1</v>
      </c>
      <c r="L5460" s="177">
        <f t="shared" si="575"/>
        <v>70300</v>
      </c>
      <c r="M5460" s="177">
        <f t="shared" ref="M5460:M5473" si="587">L5460*G5460</f>
        <v>370.34039999999999</v>
      </c>
      <c r="N5460" s="177">
        <f t="shared" ref="N5460:N5473" si="588">L5460/H5460</f>
        <v>540.76923076923072</v>
      </c>
      <c r="O5460" s="175" t="str">
        <f t="shared" ref="O5460:O5473" si="589">TEXT(D5460,"MMM")</f>
        <v>Jun</v>
      </c>
      <c r="P5460" s="265">
        <f t="shared" ref="P5460:P5473" si="590">WEEKNUM(D5460)</f>
        <v>23</v>
      </c>
    </row>
    <row r="5461" spans="1:16" ht="15" hidden="1" customHeight="1">
      <c r="A5461" s="608">
        <v>69629468</v>
      </c>
      <c r="B5461" s="608">
        <v>1352</v>
      </c>
      <c r="C5461" s="601">
        <v>80845</v>
      </c>
      <c r="D5461" s="606">
        <v>46207</v>
      </c>
      <c r="E5461" s="608" t="s">
        <v>291</v>
      </c>
      <c r="F5461" s="608" t="s">
        <v>222</v>
      </c>
      <c r="G5461" s="395">
        <f>VLOOKUP($A5461,'Tech Litons'!$A:$I,8,FALSE)</f>
        <v>5.2680000000000001E-3</v>
      </c>
      <c r="H5461" s="174">
        <f>VLOOKUP($A5461,'Tech Litons'!$A:$I,9,FALSE)</f>
        <v>130</v>
      </c>
      <c r="I5461" s="174" t="str">
        <f>VLOOKUP($A5461,'Tech Litons'!$A:$C,3,0)</f>
        <v>PG</v>
      </c>
      <c r="J5461" s="175" t="str">
        <f t="shared" si="586"/>
        <v>1352PG</v>
      </c>
      <c r="K5461" s="974">
        <v>1</v>
      </c>
      <c r="L5461" s="177">
        <f t="shared" si="575"/>
        <v>80845</v>
      </c>
      <c r="M5461" s="177">
        <f t="shared" si="587"/>
        <v>425.89146</v>
      </c>
      <c r="N5461" s="177">
        <f t="shared" si="588"/>
        <v>621.88461538461536</v>
      </c>
      <c r="O5461" s="175" t="str">
        <f t="shared" si="589"/>
        <v>Jul</v>
      </c>
      <c r="P5461" s="265">
        <f t="shared" si="590"/>
        <v>27</v>
      </c>
    </row>
    <row r="5462" spans="1:16" ht="15" hidden="1" customHeight="1">
      <c r="A5462" s="608">
        <v>69629468</v>
      </c>
      <c r="B5462" s="608">
        <v>1352</v>
      </c>
      <c r="C5462" s="601">
        <v>77330</v>
      </c>
      <c r="D5462" s="606">
        <v>46237</v>
      </c>
      <c r="E5462" s="608" t="s">
        <v>291</v>
      </c>
      <c r="F5462" s="608" t="s">
        <v>222</v>
      </c>
      <c r="G5462" s="395">
        <f>VLOOKUP($A5462,'Tech Litons'!$A:$I,8,FALSE)</f>
        <v>5.2680000000000001E-3</v>
      </c>
      <c r="H5462" s="174">
        <f>VLOOKUP($A5462,'Tech Litons'!$A:$I,9,FALSE)</f>
        <v>130</v>
      </c>
      <c r="I5462" s="174" t="str">
        <f>VLOOKUP($A5462,'Tech Litons'!$A:$C,3,0)</f>
        <v>PG</v>
      </c>
      <c r="J5462" s="175" t="str">
        <f t="shared" si="586"/>
        <v>1352PG</v>
      </c>
      <c r="K5462" s="974">
        <v>1</v>
      </c>
      <c r="L5462" s="177">
        <f t="shared" si="575"/>
        <v>77330</v>
      </c>
      <c r="M5462" s="177">
        <f t="shared" si="587"/>
        <v>407.37443999999999</v>
      </c>
      <c r="N5462" s="177">
        <f t="shared" si="588"/>
        <v>594.84615384615381</v>
      </c>
      <c r="O5462" s="175" t="str">
        <f t="shared" si="589"/>
        <v>Aug</v>
      </c>
      <c r="P5462" s="265">
        <f t="shared" si="590"/>
        <v>32</v>
      </c>
    </row>
    <row r="5463" spans="1:16" ht="15" hidden="1" customHeight="1">
      <c r="A5463" s="608">
        <v>69629468</v>
      </c>
      <c r="B5463" s="608">
        <v>1352</v>
      </c>
      <c r="C5463" s="601">
        <v>73815</v>
      </c>
      <c r="D5463" s="606">
        <v>46267</v>
      </c>
      <c r="E5463" s="608" t="s">
        <v>291</v>
      </c>
      <c r="F5463" s="608" t="s">
        <v>222</v>
      </c>
      <c r="G5463" s="395">
        <f>VLOOKUP($A5463,'Tech Litons'!$A:$I,8,FALSE)</f>
        <v>5.2680000000000001E-3</v>
      </c>
      <c r="H5463" s="174">
        <f>VLOOKUP($A5463,'Tech Litons'!$A:$I,9,FALSE)</f>
        <v>130</v>
      </c>
      <c r="I5463" s="174" t="str">
        <f>VLOOKUP($A5463,'Tech Litons'!$A:$C,3,0)</f>
        <v>PG</v>
      </c>
      <c r="J5463" s="175" t="str">
        <f t="shared" si="586"/>
        <v>1352PG</v>
      </c>
      <c r="K5463" s="974">
        <v>1</v>
      </c>
      <c r="L5463" s="177">
        <f t="shared" si="575"/>
        <v>73815</v>
      </c>
      <c r="M5463" s="177">
        <f t="shared" si="587"/>
        <v>388.85741999999999</v>
      </c>
      <c r="N5463" s="177">
        <f t="shared" si="588"/>
        <v>567.80769230769226</v>
      </c>
      <c r="O5463" s="175" t="str">
        <f t="shared" si="589"/>
        <v>Sep</v>
      </c>
      <c r="P5463" s="265">
        <f t="shared" si="590"/>
        <v>36</v>
      </c>
    </row>
    <row r="5464" spans="1:16" ht="15" hidden="1" customHeight="1">
      <c r="A5464" s="608">
        <v>69629468</v>
      </c>
      <c r="B5464" s="608">
        <v>1352</v>
      </c>
      <c r="C5464" s="601">
        <v>80845</v>
      </c>
      <c r="D5464" s="606">
        <v>46297</v>
      </c>
      <c r="E5464" s="608" t="s">
        <v>291</v>
      </c>
      <c r="F5464" s="608" t="s">
        <v>222</v>
      </c>
      <c r="G5464" s="395">
        <f>VLOOKUP($A5464,'Tech Litons'!$A:$I,8,FALSE)</f>
        <v>5.2680000000000001E-3</v>
      </c>
      <c r="H5464" s="174">
        <f>VLOOKUP($A5464,'Tech Litons'!$A:$I,9,FALSE)</f>
        <v>130</v>
      </c>
      <c r="I5464" s="174" t="str">
        <f>VLOOKUP($A5464,'Tech Litons'!$A:$C,3,0)</f>
        <v>PG</v>
      </c>
      <c r="J5464" s="175" t="str">
        <f t="shared" si="586"/>
        <v>1352PG</v>
      </c>
      <c r="K5464" s="974">
        <v>1</v>
      </c>
      <c r="L5464" s="177">
        <f t="shared" si="575"/>
        <v>80845</v>
      </c>
      <c r="M5464" s="177">
        <f t="shared" si="587"/>
        <v>425.89146</v>
      </c>
      <c r="N5464" s="177">
        <f t="shared" si="588"/>
        <v>621.88461538461536</v>
      </c>
      <c r="O5464" s="175" t="str">
        <f t="shared" si="589"/>
        <v>Oct</v>
      </c>
      <c r="P5464" s="265">
        <f t="shared" si="590"/>
        <v>40</v>
      </c>
    </row>
    <row r="5465" spans="1:16" ht="15" hidden="1" customHeight="1">
      <c r="A5465" s="608">
        <v>69629468</v>
      </c>
      <c r="B5465" s="608">
        <v>1352</v>
      </c>
      <c r="C5465" s="601">
        <v>73815</v>
      </c>
      <c r="D5465" s="606">
        <v>46327</v>
      </c>
      <c r="E5465" s="608" t="s">
        <v>291</v>
      </c>
      <c r="F5465" s="608" t="s">
        <v>222</v>
      </c>
      <c r="G5465" s="395">
        <f>VLOOKUP($A5465,'Tech Litons'!$A:$I,8,FALSE)</f>
        <v>5.2680000000000001E-3</v>
      </c>
      <c r="H5465" s="174">
        <f>VLOOKUP($A5465,'Tech Litons'!$A:$I,9,FALSE)</f>
        <v>130</v>
      </c>
      <c r="I5465" s="174" t="str">
        <f>VLOOKUP($A5465,'Tech Litons'!$A:$C,3,0)</f>
        <v>PG</v>
      </c>
      <c r="J5465" s="175" t="str">
        <f t="shared" si="586"/>
        <v>1352PG</v>
      </c>
      <c r="K5465" s="974">
        <v>1</v>
      </c>
      <c r="L5465" s="177">
        <f t="shared" si="575"/>
        <v>73815</v>
      </c>
      <c r="M5465" s="177">
        <f t="shared" si="587"/>
        <v>388.85741999999999</v>
      </c>
      <c r="N5465" s="177">
        <f t="shared" si="588"/>
        <v>567.80769230769226</v>
      </c>
      <c r="O5465" s="175" t="str">
        <f t="shared" si="589"/>
        <v>Nov</v>
      </c>
      <c r="P5465" s="265">
        <f t="shared" si="590"/>
        <v>45</v>
      </c>
    </row>
    <row r="5466" spans="1:16" ht="15" hidden="1" customHeight="1">
      <c r="A5466" s="608">
        <v>69629468</v>
      </c>
      <c r="B5466" s="608">
        <v>1352</v>
      </c>
      <c r="C5466" s="601">
        <v>0</v>
      </c>
      <c r="D5466" s="606">
        <v>46357</v>
      </c>
      <c r="E5466" s="608" t="s">
        <v>291</v>
      </c>
      <c r="F5466" s="608" t="s">
        <v>222</v>
      </c>
      <c r="G5466" s="395">
        <f>VLOOKUP($A5466,'Tech Litons'!$A:$I,8,FALSE)</f>
        <v>5.2680000000000001E-3</v>
      </c>
      <c r="H5466" s="174">
        <f>VLOOKUP($A5466,'Tech Litons'!$A:$I,9,FALSE)</f>
        <v>130</v>
      </c>
      <c r="I5466" s="174" t="str">
        <f>VLOOKUP($A5466,'Tech Litons'!$A:$C,3,0)</f>
        <v>PG</v>
      </c>
      <c r="J5466" s="175" t="str">
        <f t="shared" si="586"/>
        <v>1352PG</v>
      </c>
      <c r="K5466" s="974">
        <v>1</v>
      </c>
      <c r="L5466" s="177">
        <f t="shared" si="575"/>
        <v>0</v>
      </c>
      <c r="M5466" s="177">
        <f t="shared" si="587"/>
        <v>0</v>
      </c>
      <c r="N5466" s="177">
        <f t="shared" si="588"/>
        <v>0</v>
      </c>
      <c r="O5466" s="175" t="str">
        <f t="shared" si="589"/>
        <v>Dec</v>
      </c>
      <c r="P5466" s="265">
        <f t="shared" si="590"/>
        <v>49</v>
      </c>
    </row>
    <row r="5467" spans="1:16" ht="15" hidden="1" customHeight="1">
      <c r="A5467" s="1001">
        <v>64341106</v>
      </c>
      <c r="B5467" s="608">
        <v>2904</v>
      </c>
      <c r="C5467" s="1002">
        <v>106400</v>
      </c>
      <c r="D5467" s="606">
        <v>46177</v>
      </c>
      <c r="E5467" s="1001" t="s">
        <v>293</v>
      </c>
      <c r="F5467" s="608" t="s">
        <v>227</v>
      </c>
      <c r="G5467" s="395">
        <f>VLOOKUP($A5467,'Tech Litons'!$A:$I,8,FALSE)</f>
        <v>5.2680000000000001E-3</v>
      </c>
      <c r="H5467" s="174">
        <f>VLOOKUP($A5467,'Tech Litons'!$A:$I,9,FALSE)</f>
        <v>130</v>
      </c>
      <c r="I5467" s="174" t="str">
        <f>VLOOKUP($A5467,'Tech Litons'!$A:$C,3,0)</f>
        <v>PG</v>
      </c>
      <c r="J5467" s="175" t="str">
        <f t="shared" si="586"/>
        <v>2904PG</v>
      </c>
      <c r="K5467" s="974">
        <v>1</v>
      </c>
      <c r="L5467" s="177">
        <f t="shared" si="575"/>
        <v>106400</v>
      </c>
      <c r="M5467" s="177">
        <f t="shared" si="587"/>
        <v>560.51520000000005</v>
      </c>
      <c r="N5467" s="177">
        <f t="shared" si="588"/>
        <v>818.46153846153845</v>
      </c>
      <c r="O5467" s="175" t="str">
        <f t="shared" si="589"/>
        <v>Jun</v>
      </c>
      <c r="P5467" s="265">
        <f t="shared" si="590"/>
        <v>23</v>
      </c>
    </row>
    <row r="5468" spans="1:16" ht="15" hidden="1" customHeight="1">
      <c r="A5468" s="1001">
        <v>64341106</v>
      </c>
      <c r="B5468" s="608">
        <v>2904</v>
      </c>
      <c r="C5468" s="1002">
        <v>110200</v>
      </c>
      <c r="D5468" s="606">
        <v>46207</v>
      </c>
      <c r="E5468" s="1001" t="s">
        <v>293</v>
      </c>
      <c r="F5468" s="608" t="s">
        <v>227</v>
      </c>
      <c r="G5468" s="395">
        <f>VLOOKUP($A5468,'Tech Litons'!$A:$I,8,FALSE)</f>
        <v>5.2680000000000001E-3</v>
      </c>
      <c r="H5468" s="174">
        <f>VLOOKUP($A5468,'Tech Litons'!$A:$I,9,FALSE)</f>
        <v>130</v>
      </c>
      <c r="I5468" s="174" t="str">
        <f>VLOOKUP($A5468,'Tech Litons'!$A:$C,3,0)</f>
        <v>PG</v>
      </c>
      <c r="J5468" s="175" t="str">
        <f t="shared" si="586"/>
        <v>2904PG</v>
      </c>
      <c r="K5468" s="974">
        <v>1</v>
      </c>
      <c r="L5468" s="177">
        <f t="shared" si="575"/>
        <v>110200</v>
      </c>
      <c r="M5468" s="177">
        <f t="shared" si="587"/>
        <v>580.53359999999998</v>
      </c>
      <c r="N5468" s="177">
        <f t="shared" si="588"/>
        <v>847.69230769230774</v>
      </c>
      <c r="O5468" s="175" t="str">
        <f t="shared" si="589"/>
        <v>Jul</v>
      </c>
      <c r="P5468" s="265">
        <f t="shared" si="590"/>
        <v>27</v>
      </c>
    </row>
    <row r="5469" spans="1:16" ht="15" hidden="1" customHeight="1">
      <c r="A5469" s="1001">
        <v>64341106</v>
      </c>
      <c r="B5469" s="608">
        <v>2904</v>
      </c>
      <c r="C5469" s="1002">
        <v>117800</v>
      </c>
      <c r="D5469" s="606">
        <v>46237</v>
      </c>
      <c r="E5469" s="1001" t="s">
        <v>293</v>
      </c>
      <c r="F5469" s="608" t="s">
        <v>227</v>
      </c>
      <c r="G5469" s="395">
        <f>VLOOKUP($A5469,'Tech Litons'!$A:$I,8,FALSE)</f>
        <v>5.2680000000000001E-3</v>
      </c>
      <c r="H5469" s="174">
        <f>VLOOKUP($A5469,'Tech Litons'!$A:$I,9,FALSE)</f>
        <v>130</v>
      </c>
      <c r="I5469" s="174" t="str">
        <f>VLOOKUP($A5469,'Tech Litons'!$A:$C,3,0)</f>
        <v>PG</v>
      </c>
      <c r="J5469" s="175" t="str">
        <f t="shared" si="586"/>
        <v>2904PG</v>
      </c>
      <c r="K5469" s="974">
        <v>1</v>
      </c>
      <c r="L5469" s="177">
        <f t="shared" si="575"/>
        <v>117800</v>
      </c>
      <c r="M5469" s="177">
        <f t="shared" si="587"/>
        <v>620.57040000000006</v>
      </c>
      <c r="N5469" s="177">
        <f t="shared" si="588"/>
        <v>906.15384615384619</v>
      </c>
      <c r="O5469" s="175" t="str">
        <f t="shared" si="589"/>
        <v>Aug</v>
      </c>
      <c r="P5469" s="265">
        <f t="shared" si="590"/>
        <v>32</v>
      </c>
    </row>
    <row r="5470" spans="1:16" ht="15" hidden="1" customHeight="1">
      <c r="A5470" s="1001">
        <v>64341106</v>
      </c>
      <c r="B5470" s="608">
        <v>2904</v>
      </c>
      <c r="C5470" s="1002">
        <v>106400</v>
      </c>
      <c r="D5470" s="606">
        <v>46267</v>
      </c>
      <c r="E5470" s="1001" t="s">
        <v>293</v>
      </c>
      <c r="F5470" s="608" t="s">
        <v>227</v>
      </c>
      <c r="G5470" s="395">
        <f>VLOOKUP($A5470,'Tech Litons'!$A:$I,8,FALSE)</f>
        <v>5.2680000000000001E-3</v>
      </c>
      <c r="H5470" s="174">
        <f>VLOOKUP($A5470,'Tech Litons'!$A:$I,9,FALSE)</f>
        <v>130</v>
      </c>
      <c r="I5470" s="174" t="str">
        <f>VLOOKUP($A5470,'Tech Litons'!$A:$C,3,0)</f>
        <v>PG</v>
      </c>
      <c r="J5470" s="175" t="str">
        <f t="shared" si="586"/>
        <v>2904PG</v>
      </c>
      <c r="K5470" s="974">
        <v>1</v>
      </c>
      <c r="L5470" s="177">
        <f t="shared" si="575"/>
        <v>106400</v>
      </c>
      <c r="M5470" s="177">
        <f t="shared" si="587"/>
        <v>560.51520000000005</v>
      </c>
      <c r="N5470" s="177">
        <f t="shared" si="588"/>
        <v>818.46153846153845</v>
      </c>
      <c r="O5470" s="175" t="str">
        <f t="shared" si="589"/>
        <v>Sep</v>
      </c>
      <c r="P5470" s="265">
        <f t="shared" si="590"/>
        <v>36</v>
      </c>
    </row>
    <row r="5471" spans="1:16" ht="15" hidden="1" customHeight="1">
      <c r="A5471" s="1001">
        <v>64341106</v>
      </c>
      <c r="B5471" s="608">
        <v>2904</v>
      </c>
      <c r="C5471" s="1002">
        <v>110200</v>
      </c>
      <c r="D5471" s="606">
        <v>46297</v>
      </c>
      <c r="E5471" s="1001" t="s">
        <v>293</v>
      </c>
      <c r="F5471" s="608" t="s">
        <v>227</v>
      </c>
      <c r="G5471" s="395">
        <f>VLOOKUP($A5471,'Tech Litons'!$A:$I,8,FALSE)</f>
        <v>5.2680000000000001E-3</v>
      </c>
      <c r="H5471" s="174">
        <f>VLOOKUP($A5471,'Tech Litons'!$A:$I,9,FALSE)</f>
        <v>130</v>
      </c>
      <c r="I5471" s="174" t="str">
        <f>VLOOKUP($A5471,'Tech Litons'!$A:$C,3,0)</f>
        <v>PG</v>
      </c>
      <c r="J5471" s="175" t="str">
        <f t="shared" si="586"/>
        <v>2904PG</v>
      </c>
      <c r="K5471" s="974">
        <v>1</v>
      </c>
      <c r="L5471" s="177">
        <f t="shared" si="575"/>
        <v>110200</v>
      </c>
      <c r="M5471" s="177">
        <f t="shared" si="587"/>
        <v>580.53359999999998</v>
      </c>
      <c r="N5471" s="177">
        <f t="shared" si="588"/>
        <v>847.69230769230774</v>
      </c>
      <c r="O5471" s="175" t="str">
        <f t="shared" si="589"/>
        <v>Oct</v>
      </c>
      <c r="P5471" s="265">
        <f t="shared" si="590"/>
        <v>40</v>
      </c>
    </row>
    <row r="5472" spans="1:16" ht="15" hidden="1" customHeight="1">
      <c r="A5472" s="1001">
        <v>64341106</v>
      </c>
      <c r="B5472" s="608">
        <v>2904</v>
      </c>
      <c r="C5472" s="1002"/>
      <c r="D5472" s="606">
        <v>46327</v>
      </c>
      <c r="E5472" s="1001" t="s">
        <v>293</v>
      </c>
      <c r="F5472" s="608" t="s">
        <v>227</v>
      </c>
      <c r="G5472" s="395">
        <f>VLOOKUP($A5472,'Tech Litons'!$A:$I,8,FALSE)</f>
        <v>5.2680000000000001E-3</v>
      </c>
      <c r="H5472" s="174">
        <f>VLOOKUP($A5472,'Tech Litons'!$A:$I,9,FALSE)</f>
        <v>130</v>
      </c>
      <c r="I5472" s="174" t="str">
        <f>VLOOKUP($A5472,'Tech Litons'!$A:$C,3,0)</f>
        <v>PG</v>
      </c>
      <c r="J5472" s="175" t="str">
        <f t="shared" si="586"/>
        <v>2904PG</v>
      </c>
      <c r="K5472" s="974">
        <v>1</v>
      </c>
      <c r="L5472" s="177">
        <f t="shared" si="575"/>
        <v>0</v>
      </c>
      <c r="M5472" s="177">
        <f t="shared" si="587"/>
        <v>0</v>
      </c>
      <c r="N5472" s="177">
        <f t="shared" si="588"/>
        <v>0</v>
      </c>
      <c r="O5472" s="175" t="str">
        <f t="shared" si="589"/>
        <v>Nov</v>
      </c>
      <c r="P5472" s="265">
        <f t="shared" si="590"/>
        <v>45</v>
      </c>
    </row>
    <row r="5473" spans="1:16" ht="15" hidden="1" customHeight="1">
      <c r="A5473" s="1001">
        <v>64341106</v>
      </c>
      <c r="B5473" s="608">
        <v>2904</v>
      </c>
      <c r="C5473" s="1002">
        <v>0</v>
      </c>
      <c r="D5473" s="606">
        <v>46357</v>
      </c>
      <c r="E5473" s="1001" t="s">
        <v>293</v>
      </c>
      <c r="F5473" s="608" t="s">
        <v>227</v>
      </c>
      <c r="G5473" s="395">
        <f>VLOOKUP($A5473,'Tech Litons'!$A:$I,8,FALSE)</f>
        <v>5.2680000000000001E-3</v>
      </c>
      <c r="H5473" s="174">
        <f>VLOOKUP($A5473,'Tech Litons'!$A:$I,9,FALSE)</f>
        <v>130</v>
      </c>
      <c r="I5473" s="174" t="str">
        <f>VLOOKUP($A5473,'Tech Litons'!$A:$C,3,0)</f>
        <v>PG</v>
      </c>
      <c r="J5473" s="175" t="str">
        <f t="shared" si="586"/>
        <v>2904PG</v>
      </c>
      <c r="K5473" s="974">
        <v>1</v>
      </c>
      <c r="L5473" s="177">
        <f t="shared" si="575"/>
        <v>0</v>
      </c>
      <c r="M5473" s="177">
        <f t="shared" si="587"/>
        <v>0</v>
      </c>
      <c r="N5473" s="177">
        <f t="shared" si="588"/>
        <v>0</v>
      </c>
      <c r="O5473" s="175" t="str">
        <f t="shared" si="589"/>
        <v>Dec</v>
      </c>
      <c r="P5473" s="265">
        <f t="shared" si="590"/>
        <v>49</v>
      </c>
    </row>
    <row r="5474" spans="1:16" s="756" customFormat="1" ht="15" hidden="1" customHeight="1">
      <c r="A5474" s="608">
        <v>69983234</v>
      </c>
      <c r="B5474" s="608">
        <v>2904</v>
      </c>
      <c r="C5474" s="601">
        <v>80750</v>
      </c>
      <c r="D5474" s="606">
        <v>46177</v>
      </c>
      <c r="E5474" s="608" t="s">
        <v>412</v>
      </c>
      <c r="F5474" s="608" t="s">
        <v>1231</v>
      </c>
      <c r="G5474" s="395">
        <f>VLOOKUP($A5474,'Tech Litons'!$A:$I,8,FALSE)</f>
        <v>3.9039999999999999E-3</v>
      </c>
      <c r="H5474" s="174">
        <f>VLOOKUP($A5474,'Tech Litons'!$A:$I,9,FALSE)</f>
        <v>154</v>
      </c>
      <c r="I5474" s="174" t="str">
        <f>VLOOKUP($A5474,'Tech Litons'!$A:$C,3,0)</f>
        <v>MBG</v>
      </c>
      <c r="J5474" s="175" t="str">
        <f t="shared" ref="J5474:J5516" si="591">B5474&amp;I5474</f>
        <v>2904MBG</v>
      </c>
      <c r="K5474" s="974">
        <v>1</v>
      </c>
      <c r="L5474" s="177">
        <f t="shared" si="575"/>
        <v>80750</v>
      </c>
      <c r="M5474" s="177">
        <f t="shared" ref="M5474:M5516" si="592">L5474*G5474</f>
        <v>315.24799999999999</v>
      </c>
      <c r="N5474" s="177">
        <f t="shared" ref="N5474:N5516" si="593">L5474/H5474</f>
        <v>524.35064935064941</v>
      </c>
      <c r="O5474" s="175" t="str">
        <f t="shared" ref="O5474:O5516" si="594">TEXT(D5474,"MMM")</f>
        <v>Jun</v>
      </c>
      <c r="P5474" s="265">
        <f t="shared" ref="P5474:P5516" si="595">WEEKNUM(D5474)</f>
        <v>23</v>
      </c>
    </row>
    <row r="5475" spans="1:16" s="756" customFormat="1" ht="15" hidden="1" customHeight="1">
      <c r="A5475" s="608">
        <v>69983234</v>
      </c>
      <c r="B5475" s="608">
        <v>2904</v>
      </c>
      <c r="C5475" s="601">
        <v>92862.5</v>
      </c>
      <c r="D5475" s="606">
        <v>46207</v>
      </c>
      <c r="E5475" s="608" t="s">
        <v>412</v>
      </c>
      <c r="F5475" s="608" t="s">
        <v>1231</v>
      </c>
      <c r="G5475" s="395">
        <f>VLOOKUP($A5475,'Tech Litons'!$A:$I,8,FALSE)</f>
        <v>3.9039999999999999E-3</v>
      </c>
      <c r="H5475" s="174">
        <f>VLOOKUP($A5475,'Tech Litons'!$A:$I,9,FALSE)</f>
        <v>154</v>
      </c>
      <c r="I5475" s="174" t="str">
        <f>VLOOKUP($A5475,'Tech Litons'!$A:$C,3,0)</f>
        <v>MBG</v>
      </c>
      <c r="J5475" s="175" t="str">
        <f t="shared" si="591"/>
        <v>2904MBG</v>
      </c>
      <c r="K5475" s="974">
        <v>1</v>
      </c>
      <c r="L5475" s="177">
        <f t="shared" si="575"/>
        <v>92862.5</v>
      </c>
      <c r="M5475" s="177">
        <f t="shared" si="592"/>
        <v>362.53519999999997</v>
      </c>
      <c r="N5475" s="177">
        <f t="shared" si="593"/>
        <v>603.0032467532468</v>
      </c>
      <c r="O5475" s="175" t="str">
        <f t="shared" si="594"/>
        <v>Jul</v>
      </c>
      <c r="P5475" s="265">
        <f t="shared" si="595"/>
        <v>27</v>
      </c>
    </row>
    <row r="5476" spans="1:16" s="756" customFormat="1" ht="15" hidden="1" customHeight="1">
      <c r="A5476" s="608">
        <v>69983234</v>
      </c>
      <c r="B5476" s="608">
        <v>2904</v>
      </c>
      <c r="C5476" s="601">
        <v>88825</v>
      </c>
      <c r="D5476" s="606">
        <v>46237</v>
      </c>
      <c r="E5476" s="608" t="s">
        <v>412</v>
      </c>
      <c r="F5476" s="608" t="s">
        <v>1231</v>
      </c>
      <c r="G5476" s="395">
        <f>VLOOKUP($A5476,'Tech Litons'!$A:$I,8,FALSE)</f>
        <v>3.9039999999999999E-3</v>
      </c>
      <c r="H5476" s="174">
        <f>VLOOKUP($A5476,'Tech Litons'!$A:$I,9,FALSE)</f>
        <v>154</v>
      </c>
      <c r="I5476" s="174" t="str">
        <f>VLOOKUP($A5476,'Tech Litons'!$A:$C,3,0)</f>
        <v>MBG</v>
      </c>
      <c r="J5476" s="175" t="str">
        <f t="shared" si="591"/>
        <v>2904MBG</v>
      </c>
      <c r="K5476" s="974">
        <v>1</v>
      </c>
      <c r="L5476" s="177">
        <f t="shared" si="575"/>
        <v>88825</v>
      </c>
      <c r="M5476" s="177">
        <f t="shared" si="592"/>
        <v>346.77280000000002</v>
      </c>
      <c r="N5476" s="177">
        <f t="shared" si="593"/>
        <v>576.78571428571433</v>
      </c>
      <c r="O5476" s="175" t="str">
        <f t="shared" si="594"/>
        <v>Aug</v>
      </c>
      <c r="P5476" s="265">
        <f t="shared" si="595"/>
        <v>32</v>
      </c>
    </row>
    <row r="5477" spans="1:16" s="756" customFormat="1" ht="15" hidden="1" customHeight="1">
      <c r="A5477" s="608">
        <v>69983234</v>
      </c>
      <c r="B5477" s="608">
        <v>2904</v>
      </c>
      <c r="C5477" s="601">
        <v>84787.5</v>
      </c>
      <c r="D5477" s="606">
        <v>46267</v>
      </c>
      <c r="E5477" s="608" t="s">
        <v>412</v>
      </c>
      <c r="F5477" s="608" t="s">
        <v>1231</v>
      </c>
      <c r="G5477" s="395">
        <f>VLOOKUP($A5477,'Tech Litons'!$A:$I,8,FALSE)</f>
        <v>3.9039999999999999E-3</v>
      </c>
      <c r="H5477" s="174">
        <f>VLOOKUP($A5477,'Tech Litons'!$A:$I,9,FALSE)</f>
        <v>154</v>
      </c>
      <c r="I5477" s="174" t="str">
        <f>VLOOKUP($A5477,'Tech Litons'!$A:$C,3,0)</f>
        <v>MBG</v>
      </c>
      <c r="J5477" s="175" t="str">
        <f t="shared" si="591"/>
        <v>2904MBG</v>
      </c>
      <c r="K5477" s="974">
        <v>1</v>
      </c>
      <c r="L5477" s="177">
        <f t="shared" si="575"/>
        <v>84787.5</v>
      </c>
      <c r="M5477" s="177">
        <f t="shared" si="592"/>
        <v>331.0104</v>
      </c>
      <c r="N5477" s="177">
        <f t="shared" si="593"/>
        <v>550.56818181818187</v>
      </c>
      <c r="O5477" s="175" t="str">
        <f t="shared" si="594"/>
        <v>Sep</v>
      </c>
      <c r="P5477" s="265">
        <f t="shared" si="595"/>
        <v>36</v>
      </c>
    </row>
    <row r="5478" spans="1:16" s="756" customFormat="1" ht="15" hidden="1" customHeight="1">
      <c r="A5478" s="608">
        <v>69983234</v>
      </c>
      <c r="B5478" s="608">
        <v>2904</v>
      </c>
      <c r="C5478" s="601">
        <v>84787.5</v>
      </c>
      <c r="D5478" s="606">
        <v>46297</v>
      </c>
      <c r="E5478" s="608" t="s">
        <v>412</v>
      </c>
      <c r="F5478" s="608" t="s">
        <v>1231</v>
      </c>
      <c r="G5478" s="395">
        <f>VLOOKUP($A5478,'Tech Litons'!$A:$I,8,FALSE)</f>
        <v>3.9039999999999999E-3</v>
      </c>
      <c r="H5478" s="174">
        <f>VLOOKUP($A5478,'Tech Litons'!$A:$I,9,FALSE)</f>
        <v>154</v>
      </c>
      <c r="I5478" s="174" t="str">
        <f>VLOOKUP($A5478,'Tech Litons'!$A:$C,3,0)</f>
        <v>MBG</v>
      </c>
      <c r="J5478" s="175" t="str">
        <f t="shared" si="591"/>
        <v>2904MBG</v>
      </c>
      <c r="K5478" s="974">
        <v>1</v>
      </c>
      <c r="L5478" s="177">
        <f t="shared" si="575"/>
        <v>84787.5</v>
      </c>
      <c r="M5478" s="177">
        <f t="shared" si="592"/>
        <v>331.0104</v>
      </c>
      <c r="N5478" s="177">
        <f t="shared" si="593"/>
        <v>550.56818181818187</v>
      </c>
      <c r="O5478" s="175" t="str">
        <f t="shared" si="594"/>
        <v>Oct</v>
      </c>
      <c r="P5478" s="265">
        <f t="shared" si="595"/>
        <v>40</v>
      </c>
    </row>
    <row r="5479" spans="1:16" s="756" customFormat="1" ht="15" hidden="1" customHeight="1">
      <c r="A5479" s="608">
        <v>69983234</v>
      </c>
      <c r="B5479" s="608">
        <v>2904</v>
      </c>
      <c r="C5479" s="601"/>
      <c r="D5479" s="606">
        <v>46327</v>
      </c>
      <c r="E5479" s="608" t="s">
        <v>412</v>
      </c>
      <c r="F5479" s="608" t="s">
        <v>1231</v>
      </c>
      <c r="G5479" s="395">
        <f>VLOOKUP($A5479,'Tech Litons'!$A:$I,8,FALSE)</f>
        <v>3.9039999999999999E-3</v>
      </c>
      <c r="H5479" s="174">
        <f>VLOOKUP($A5479,'Tech Litons'!$A:$I,9,FALSE)</f>
        <v>154</v>
      </c>
      <c r="I5479" s="174" t="str">
        <f>VLOOKUP($A5479,'Tech Litons'!$A:$C,3,0)</f>
        <v>MBG</v>
      </c>
      <c r="J5479" s="175" t="str">
        <f t="shared" si="591"/>
        <v>2904MBG</v>
      </c>
      <c r="K5479" s="974">
        <v>1</v>
      </c>
      <c r="L5479" s="177">
        <f t="shared" si="575"/>
        <v>0</v>
      </c>
      <c r="M5479" s="177">
        <f t="shared" si="592"/>
        <v>0</v>
      </c>
      <c r="N5479" s="177">
        <f t="shared" si="593"/>
        <v>0</v>
      </c>
      <c r="O5479" s="175" t="str">
        <f t="shared" si="594"/>
        <v>Nov</v>
      </c>
      <c r="P5479" s="265">
        <f t="shared" si="595"/>
        <v>45</v>
      </c>
    </row>
    <row r="5480" spans="1:16" s="756" customFormat="1" ht="15" hidden="1" customHeight="1">
      <c r="A5480" s="608">
        <v>69983234</v>
      </c>
      <c r="B5480" s="608">
        <v>2904</v>
      </c>
      <c r="C5480" s="601"/>
      <c r="D5480" s="606">
        <v>46357</v>
      </c>
      <c r="E5480" s="608" t="s">
        <v>412</v>
      </c>
      <c r="F5480" s="608" t="s">
        <v>1231</v>
      </c>
      <c r="G5480" s="395">
        <f>VLOOKUP($A5480,'Tech Litons'!$A:$I,8,FALSE)</f>
        <v>3.9039999999999999E-3</v>
      </c>
      <c r="H5480" s="174">
        <f>VLOOKUP($A5480,'Tech Litons'!$A:$I,9,FALSE)</f>
        <v>154</v>
      </c>
      <c r="I5480" s="174" t="str">
        <f>VLOOKUP($A5480,'Tech Litons'!$A:$C,3,0)</f>
        <v>MBG</v>
      </c>
      <c r="J5480" s="175" t="str">
        <f t="shared" si="591"/>
        <v>2904MBG</v>
      </c>
      <c r="K5480" s="974">
        <v>1</v>
      </c>
      <c r="L5480" s="177">
        <f t="shared" si="575"/>
        <v>0</v>
      </c>
      <c r="M5480" s="177">
        <f t="shared" si="592"/>
        <v>0</v>
      </c>
      <c r="N5480" s="177">
        <f t="shared" si="593"/>
        <v>0</v>
      </c>
      <c r="O5480" s="175" t="str">
        <f t="shared" si="594"/>
        <v>Dec</v>
      </c>
      <c r="P5480" s="265">
        <f t="shared" si="595"/>
        <v>49</v>
      </c>
    </row>
    <row r="5481" spans="1:16" ht="15" hidden="1" customHeight="1">
      <c r="A5481" s="608">
        <v>68741714</v>
      </c>
      <c r="B5481" s="608">
        <v>1352</v>
      </c>
      <c r="C5481" s="601">
        <v>123500</v>
      </c>
      <c r="D5481" s="606">
        <v>46177</v>
      </c>
      <c r="E5481" s="608" t="s">
        <v>286</v>
      </c>
      <c r="F5481" s="608" t="s">
        <v>1219</v>
      </c>
      <c r="G5481" s="395">
        <f>VLOOKUP($A5481,'Tech Litons'!$A:$I,8,FALSE)</f>
        <v>2.8319999999999999E-3</v>
      </c>
      <c r="H5481" s="174">
        <f>VLOOKUP($A5481,'Tech Litons'!$A:$I,9,FALSE)</f>
        <v>225</v>
      </c>
      <c r="I5481" s="174" t="str">
        <f>VLOOKUP($A5481,'Tech Litons'!$A:$C,3,0)</f>
        <v>MBG</v>
      </c>
      <c r="J5481" s="175" t="str">
        <f t="shared" si="591"/>
        <v>1352MBG</v>
      </c>
      <c r="K5481" s="974">
        <v>1</v>
      </c>
      <c r="L5481" s="177">
        <f t="shared" si="575"/>
        <v>123500</v>
      </c>
      <c r="M5481" s="177">
        <f t="shared" si="592"/>
        <v>349.75200000000001</v>
      </c>
      <c r="N5481" s="177">
        <f t="shared" si="593"/>
        <v>548.88888888888891</v>
      </c>
      <c r="O5481" s="175" t="str">
        <f t="shared" si="594"/>
        <v>Jun</v>
      </c>
      <c r="P5481" s="265">
        <f t="shared" si="595"/>
        <v>23</v>
      </c>
    </row>
    <row r="5482" spans="1:16" ht="15" hidden="1" customHeight="1">
      <c r="A5482" s="608">
        <v>68741714</v>
      </c>
      <c r="B5482" s="608">
        <v>1352</v>
      </c>
      <c r="C5482" s="601">
        <v>142025</v>
      </c>
      <c r="D5482" s="606">
        <v>46207</v>
      </c>
      <c r="E5482" s="608" t="s">
        <v>286</v>
      </c>
      <c r="F5482" s="608" t="s">
        <v>1219</v>
      </c>
      <c r="G5482" s="395">
        <f>VLOOKUP($A5482,'Tech Litons'!$A:$I,8,FALSE)</f>
        <v>2.8319999999999999E-3</v>
      </c>
      <c r="H5482" s="174">
        <f>VLOOKUP($A5482,'Tech Litons'!$A:$I,9,FALSE)</f>
        <v>225</v>
      </c>
      <c r="I5482" s="174" t="str">
        <f>VLOOKUP($A5482,'Tech Litons'!$A:$C,3,0)</f>
        <v>MBG</v>
      </c>
      <c r="J5482" s="175" t="str">
        <f t="shared" si="591"/>
        <v>1352MBG</v>
      </c>
      <c r="K5482" s="974">
        <v>1</v>
      </c>
      <c r="L5482" s="177">
        <f t="shared" ref="L5482:L5545" si="596">C5482*$K5482</f>
        <v>142025</v>
      </c>
      <c r="M5482" s="177">
        <f t="shared" si="592"/>
        <v>402.21479999999997</v>
      </c>
      <c r="N5482" s="177">
        <f t="shared" si="593"/>
        <v>631.22222222222217</v>
      </c>
      <c r="O5482" s="175" t="str">
        <f t="shared" si="594"/>
        <v>Jul</v>
      </c>
      <c r="P5482" s="265">
        <f t="shared" si="595"/>
        <v>27</v>
      </c>
    </row>
    <row r="5483" spans="1:16" ht="15" hidden="1" customHeight="1">
      <c r="A5483" s="608">
        <v>68741714</v>
      </c>
      <c r="B5483" s="608">
        <v>1352</v>
      </c>
      <c r="C5483" s="601">
        <v>135850</v>
      </c>
      <c r="D5483" s="606">
        <v>46237</v>
      </c>
      <c r="E5483" s="608" t="s">
        <v>286</v>
      </c>
      <c r="F5483" s="608" t="s">
        <v>1219</v>
      </c>
      <c r="G5483" s="395">
        <f>VLOOKUP($A5483,'Tech Litons'!$A:$I,8,FALSE)</f>
        <v>2.8319999999999999E-3</v>
      </c>
      <c r="H5483" s="174">
        <f>VLOOKUP($A5483,'Tech Litons'!$A:$I,9,FALSE)</f>
        <v>225</v>
      </c>
      <c r="I5483" s="174" t="str">
        <f>VLOOKUP($A5483,'Tech Litons'!$A:$C,3,0)</f>
        <v>MBG</v>
      </c>
      <c r="J5483" s="175" t="str">
        <f t="shared" si="591"/>
        <v>1352MBG</v>
      </c>
      <c r="K5483" s="974">
        <v>1</v>
      </c>
      <c r="L5483" s="177">
        <f t="shared" si="596"/>
        <v>135850</v>
      </c>
      <c r="M5483" s="177">
        <f t="shared" si="592"/>
        <v>384.72719999999998</v>
      </c>
      <c r="N5483" s="177">
        <f t="shared" si="593"/>
        <v>603.77777777777783</v>
      </c>
      <c r="O5483" s="175" t="str">
        <f t="shared" si="594"/>
        <v>Aug</v>
      </c>
      <c r="P5483" s="265">
        <f t="shared" si="595"/>
        <v>32</v>
      </c>
    </row>
    <row r="5484" spans="1:16" ht="15" hidden="1" customHeight="1">
      <c r="A5484" s="608">
        <v>68741714</v>
      </c>
      <c r="B5484" s="608">
        <v>1352</v>
      </c>
      <c r="C5484" s="601">
        <v>70000</v>
      </c>
      <c r="D5484" s="606">
        <v>46267</v>
      </c>
      <c r="E5484" s="608" t="s">
        <v>286</v>
      </c>
      <c r="F5484" s="608" t="s">
        <v>1219</v>
      </c>
      <c r="G5484" s="395">
        <f>VLOOKUP($A5484,'Tech Litons'!$A:$I,8,FALSE)</f>
        <v>2.8319999999999999E-3</v>
      </c>
      <c r="H5484" s="174">
        <f>VLOOKUP($A5484,'Tech Litons'!$A:$I,9,FALSE)</f>
        <v>225</v>
      </c>
      <c r="I5484" s="174" t="str">
        <f>VLOOKUP($A5484,'Tech Litons'!$A:$C,3,0)</f>
        <v>MBG</v>
      </c>
      <c r="J5484" s="175" t="str">
        <f t="shared" si="591"/>
        <v>1352MBG</v>
      </c>
      <c r="K5484" s="974">
        <v>1</v>
      </c>
      <c r="L5484" s="177">
        <f t="shared" si="596"/>
        <v>70000</v>
      </c>
      <c r="M5484" s="177">
        <f t="shared" si="592"/>
        <v>198.23999999999998</v>
      </c>
      <c r="N5484" s="177">
        <f t="shared" si="593"/>
        <v>311.11111111111109</v>
      </c>
      <c r="O5484" s="175" t="str">
        <f t="shared" si="594"/>
        <v>Sep</v>
      </c>
      <c r="P5484" s="265">
        <f t="shared" si="595"/>
        <v>36</v>
      </c>
    </row>
    <row r="5485" spans="1:16" ht="15" hidden="1" customHeight="1">
      <c r="A5485" s="608">
        <v>68741714</v>
      </c>
      <c r="B5485" s="608">
        <v>1352</v>
      </c>
      <c r="C5485" s="601">
        <v>70000</v>
      </c>
      <c r="D5485" s="606">
        <v>46297</v>
      </c>
      <c r="E5485" s="608" t="s">
        <v>286</v>
      </c>
      <c r="F5485" s="608" t="s">
        <v>1219</v>
      </c>
      <c r="G5485" s="395">
        <f>VLOOKUP($A5485,'Tech Litons'!$A:$I,8,FALSE)</f>
        <v>2.8319999999999999E-3</v>
      </c>
      <c r="H5485" s="174">
        <f>VLOOKUP($A5485,'Tech Litons'!$A:$I,9,FALSE)</f>
        <v>225</v>
      </c>
      <c r="I5485" s="174" t="str">
        <f>VLOOKUP($A5485,'Tech Litons'!$A:$C,3,0)</f>
        <v>MBG</v>
      </c>
      <c r="J5485" s="175" t="str">
        <f t="shared" si="591"/>
        <v>1352MBG</v>
      </c>
      <c r="K5485" s="974">
        <v>1</v>
      </c>
      <c r="L5485" s="177">
        <f t="shared" si="596"/>
        <v>70000</v>
      </c>
      <c r="M5485" s="177">
        <f t="shared" si="592"/>
        <v>198.23999999999998</v>
      </c>
      <c r="N5485" s="177">
        <f t="shared" si="593"/>
        <v>311.11111111111109</v>
      </c>
      <c r="O5485" s="175" t="str">
        <f t="shared" si="594"/>
        <v>Oct</v>
      </c>
      <c r="P5485" s="265">
        <f t="shared" si="595"/>
        <v>40</v>
      </c>
    </row>
    <row r="5486" spans="1:16" ht="15" hidden="1" customHeight="1">
      <c r="A5486" s="608">
        <v>68741714</v>
      </c>
      <c r="B5486" s="608">
        <v>1352</v>
      </c>
      <c r="C5486" s="601"/>
      <c r="D5486" s="606">
        <v>46327</v>
      </c>
      <c r="E5486" s="608" t="s">
        <v>286</v>
      </c>
      <c r="F5486" s="608" t="s">
        <v>1219</v>
      </c>
      <c r="G5486" s="395">
        <f>VLOOKUP($A5486,'Tech Litons'!$A:$I,8,FALSE)</f>
        <v>2.8319999999999999E-3</v>
      </c>
      <c r="H5486" s="174">
        <f>VLOOKUP($A5486,'Tech Litons'!$A:$I,9,FALSE)</f>
        <v>225</v>
      </c>
      <c r="I5486" s="174" t="str">
        <f>VLOOKUP($A5486,'Tech Litons'!$A:$C,3,0)</f>
        <v>MBG</v>
      </c>
      <c r="J5486" s="175" t="str">
        <f t="shared" si="591"/>
        <v>1352MBG</v>
      </c>
      <c r="K5486" s="974">
        <v>1</v>
      </c>
      <c r="L5486" s="177">
        <f t="shared" si="596"/>
        <v>0</v>
      </c>
      <c r="M5486" s="177">
        <f t="shared" si="592"/>
        <v>0</v>
      </c>
      <c r="N5486" s="177">
        <f t="shared" si="593"/>
        <v>0</v>
      </c>
      <c r="O5486" s="175" t="str">
        <f t="shared" si="594"/>
        <v>Nov</v>
      </c>
      <c r="P5486" s="265">
        <f t="shared" si="595"/>
        <v>45</v>
      </c>
    </row>
    <row r="5487" spans="1:16" ht="15" hidden="1" customHeight="1">
      <c r="A5487" s="608">
        <v>68741714</v>
      </c>
      <c r="B5487" s="608">
        <v>1352</v>
      </c>
      <c r="C5487" s="601"/>
      <c r="D5487" s="606">
        <v>46357</v>
      </c>
      <c r="E5487" s="608" t="s">
        <v>286</v>
      </c>
      <c r="F5487" s="608" t="s">
        <v>1219</v>
      </c>
      <c r="G5487" s="395">
        <f>VLOOKUP($A5487,'Tech Litons'!$A:$I,8,FALSE)</f>
        <v>2.8319999999999999E-3</v>
      </c>
      <c r="H5487" s="174">
        <f>VLOOKUP($A5487,'Tech Litons'!$A:$I,9,FALSE)</f>
        <v>225</v>
      </c>
      <c r="I5487" s="174" t="str">
        <f>VLOOKUP($A5487,'Tech Litons'!$A:$C,3,0)</f>
        <v>MBG</v>
      </c>
      <c r="J5487" s="175" t="str">
        <f t="shared" si="591"/>
        <v>1352MBG</v>
      </c>
      <c r="K5487" s="974">
        <v>1</v>
      </c>
      <c r="L5487" s="177">
        <f t="shared" si="596"/>
        <v>0</v>
      </c>
      <c r="M5487" s="177">
        <f t="shared" si="592"/>
        <v>0</v>
      </c>
      <c r="N5487" s="177">
        <f t="shared" si="593"/>
        <v>0</v>
      </c>
      <c r="O5487" s="175" t="str">
        <f t="shared" si="594"/>
        <v>Dec</v>
      </c>
      <c r="P5487" s="265">
        <f t="shared" si="595"/>
        <v>49</v>
      </c>
    </row>
    <row r="5488" spans="1:16" ht="15" hidden="1" customHeight="1">
      <c r="A5488" s="608">
        <v>68741742</v>
      </c>
      <c r="B5488" s="608">
        <v>1352</v>
      </c>
      <c r="C5488" s="601">
        <v>79800</v>
      </c>
      <c r="D5488" s="606">
        <v>46177</v>
      </c>
      <c r="E5488" s="608" t="s">
        <v>288</v>
      </c>
      <c r="F5488" s="608" t="s">
        <v>289</v>
      </c>
      <c r="G5488" s="395">
        <f>VLOOKUP($A5488,'Tech Litons'!$A:$I,8,FALSE)</f>
        <v>4.2560000000000002E-3</v>
      </c>
      <c r="H5488" s="174">
        <f>VLOOKUP($A5488,'Tech Litons'!$A:$I,9,FALSE)</f>
        <v>154</v>
      </c>
      <c r="I5488" s="174" t="str">
        <f>VLOOKUP($A5488,'Tech Litons'!$A:$C,3,0)</f>
        <v>MBG</v>
      </c>
      <c r="J5488" s="175" t="str">
        <f t="shared" si="591"/>
        <v>1352MBG</v>
      </c>
      <c r="K5488" s="974">
        <v>1</v>
      </c>
      <c r="L5488" s="177">
        <f t="shared" si="596"/>
        <v>79800</v>
      </c>
      <c r="M5488" s="177">
        <f t="shared" si="592"/>
        <v>339.62880000000001</v>
      </c>
      <c r="N5488" s="177">
        <f t="shared" si="593"/>
        <v>518.18181818181813</v>
      </c>
      <c r="O5488" s="175" t="str">
        <f t="shared" si="594"/>
        <v>Jun</v>
      </c>
      <c r="P5488" s="265">
        <f t="shared" si="595"/>
        <v>23</v>
      </c>
    </row>
    <row r="5489" spans="1:16" ht="15" hidden="1" customHeight="1">
      <c r="A5489" s="608">
        <v>68741742</v>
      </c>
      <c r="B5489" s="608">
        <v>1352</v>
      </c>
      <c r="C5489" s="601">
        <v>91770</v>
      </c>
      <c r="D5489" s="606">
        <v>46207</v>
      </c>
      <c r="E5489" s="608" t="s">
        <v>288</v>
      </c>
      <c r="F5489" s="608" t="s">
        <v>289</v>
      </c>
      <c r="G5489" s="395">
        <f>VLOOKUP($A5489,'Tech Litons'!$A:$I,8,FALSE)</f>
        <v>4.2560000000000002E-3</v>
      </c>
      <c r="H5489" s="174">
        <f>VLOOKUP($A5489,'Tech Litons'!$A:$I,9,FALSE)</f>
        <v>154</v>
      </c>
      <c r="I5489" s="174" t="str">
        <f>VLOOKUP($A5489,'Tech Litons'!$A:$C,3,0)</f>
        <v>MBG</v>
      </c>
      <c r="J5489" s="175" t="str">
        <f t="shared" si="591"/>
        <v>1352MBG</v>
      </c>
      <c r="K5489" s="974">
        <v>1</v>
      </c>
      <c r="L5489" s="177">
        <f t="shared" si="596"/>
        <v>91770</v>
      </c>
      <c r="M5489" s="177">
        <f t="shared" si="592"/>
        <v>390.57312000000002</v>
      </c>
      <c r="N5489" s="177">
        <f t="shared" si="593"/>
        <v>595.90909090909088</v>
      </c>
      <c r="O5489" s="175" t="str">
        <f t="shared" si="594"/>
        <v>Jul</v>
      </c>
      <c r="P5489" s="265">
        <f t="shared" si="595"/>
        <v>27</v>
      </c>
    </row>
    <row r="5490" spans="1:16" ht="15" hidden="1" customHeight="1">
      <c r="A5490" s="608">
        <v>68741742</v>
      </c>
      <c r="B5490" s="608">
        <v>1352</v>
      </c>
      <c r="C5490" s="601">
        <v>87780</v>
      </c>
      <c r="D5490" s="606">
        <v>46237</v>
      </c>
      <c r="E5490" s="608" t="s">
        <v>288</v>
      </c>
      <c r="F5490" s="608" t="s">
        <v>289</v>
      </c>
      <c r="G5490" s="395">
        <f>VLOOKUP($A5490,'Tech Litons'!$A:$I,8,FALSE)</f>
        <v>4.2560000000000002E-3</v>
      </c>
      <c r="H5490" s="174">
        <f>VLOOKUP($A5490,'Tech Litons'!$A:$I,9,FALSE)</f>
        <v>154</v>
      </c>
      <c r="I5490" s="174" t="str">
        <f>VLOOKUP($A5490,'Tech Litons'!$A:$C,3,0)</f>
        <v>MBG</v>
      </c>
      <c r="J5490" s="175" t="str">
        <f t="shared" si="591"/>
        <v>1352MBG</v>
      </c>
      <c r="K5490" s="974">
        <v>1</v>
      </c>
      <c r="L5490" s="177">
        <f t="shared" si="596"/>
        <v>87780</v>
      </c>
      <c r="M5490" s="177">
        <f t="shared" si="592"/>
        <v>373.59168</v>
      </c>
      <c r="N5490" s="177">
        <f t="shared" si="593"/>
        <v>570</v>
      </c>
      <c r="O5490" s="175" t="str">
        <f t="shared" si="594"/>
        <v>Aug</v>
      </c>
      <c r="P5490" s="265">
        <f t="shared" si="595"/>
        <v>32</v>
      </c>
    </row>
    <row r="5491" spans="1:16" ht="15" hidden="1" customHeight="1">
      <c r="A5491" s="608">
        <v>68741742</v>
      </c>
      <c r="B5491" s="608">
        <v>1352</v>
      </c>
      <c r="C5491" s="601">
        <v>83790</v>
      </c>
      <c r="D5491" s="606">
        <v>46267</v>
      </c>
      <c r="E5491" s="608" t="s">
        <v>288</v>
      </c>
      <c r="F5491" s="608" t="s">
        <v>289</v>
      </c>
      <c r="G5491" s="395">
        <f>VLOOKUP($A5491,'Tech Litons'!$A:$I,8,FALSE)</f>
        <v>4.2560000000000002E-3</v>
      </c>
      <c r="H5491" s="174">
        <f>VLOOKUP($A5491,'Tech Litons'!$A:$I,9,FALSE)</f>
        <v>154</v>
      </c>
      <c r="I5491" s="174" t="str">
        <f>VLOOKUP($A5491,'Tech Litons'!$A:$C,3,0)</f>
        <v>MBG</v>
      </c>
      <c r="J5491" s="175" t="str">
        <f t="shared" si="591"/>
        <v>1352MBG</v>
      </c>
      <c r="K5491" s="974">
        <v>1</v>
      </c>
      <c r="L5491" s="177">
        <f t="shared" si="596"/>
        <v>83790</v>
      </c>
      <c r="M5491" s="177">
        <f t="shared" si="592"/>
        <v>356.61024000000003</v>
      </c>
      <c r="N5491" s="177">
        <f t="shared" si="593"/>
        <v>544.09090909090912</v>
      </c>
      <c r="O5491" s="175" t="str">
        <f t="shared" si="594"/>
        <v>Sep</v>
      </c>
      <c r="P5491" s="265">
        <f t="shared" si="595"/>
        <v>36</v>
      </c>
    </row>
    <row r="5492" spans="1:16" ht="15" hidden="1" customHeight="1">
      <c r="A5492" s="608">
        <v>68741742</v>
      </c>
      <c r="B5492" s="608">
        <v>1352</v>
      </c>
      <c r="C5492" s="601">
        <v>91770</v>
      </c>
      <c r="D5492" s="606">
        <v>46297</v>
      </c>
      <c r="E5492" s="608" t="s">
        <v>288</v>
      </c>
      <c r="F5492" s="608" t="s">
        <v>289</v>
      </c>
      <c r="G5492" s="395">
        <f>VLOOKUP($A5492,'Tech Litons'!$A:$I,8,FALSE)</f>
        <v>4.2560000000000002E-3</v>
      </c>
      <c r="H5492" s="174">
        <f>VLOOKUP($A5492,'Tech Litons'!$A:$I,9,FALSE)</f>
        <v>154</v>
      </c>
      <c r="I5492" s="174" t="str">
        <f>VLOOKUP($A5492,'Tech Litons'!$A:$C,3,0)</f>
        <v>MBG</v>
      </c>
      <c r="J5492" s="175" t="str">
        <f t="shared" si="591"/>
        <v>1352MBG</v>
      </c>
      <c r="K5492" s="974">
        <v>1</v>
      </c>
      <c r="L5492" s="177">
        <f t="shared" si="596"/>
        <v>91770</v>
      </c>
      <c r="M5492" s="177">
        <f t="shared" si="592"/>
        <v>390.57312000000002</v>
      </c>
      <c r="N5492" s="177">
        <f t="shared" si="593"/>
        <v>595.90909090909088</v>
      </c>
      <c r="O5492" s="175" t="str">
        <f t="shared" si="594"/>
        <v>Oct</v>
      </c>
      <c r="P5492" s="265">
        <f t="shared" si="595"/>
        <v>40</v>
      </c>
    </row>
    <row r="5493" spans="1:16" ht="15" hidden="1" customHeight="1">
      <c r="A5493" s="608">
        <v>68741742</v>
      </c>
      <c r="B5493" s="608">
        <v>1352</v>
      </c>
      <c r="C5493" s="601"/>
      <c r="D5493" s="606">
        <v>46327</v>
      </c>
      <c r="E5493" s="608" t="s">
        <v>288</v>
      </c>
      <c r="F5493" s="608" t="s">
        <v>289</v>
      </c>
      <c r="G5493" s="395">
        <f>VLOOKUP($A5493,'Tech Litons'!$A:$I,8,FALSE)</f>
        <v>4.2560000000000002E-3</v>
      </c>
      <c r="H5493" s="174">
        <f>VLOOKUP($A5493,'Tech Litons'!$A:$I,9,FALSE)</f>
        <v>154</v>
      </c>
      <c r="I5493" s="174" t="str">
        <f>VLOOKUP($A5493,'Tech Litons'!$A:$C,3,0)</f>
        <v>MBG</v>
      </c>
      <c r="J5493" s="175" t="str">
        <f t="shared" si="591"/>
        <v>1352MBG</v>
      </c>
      <c r="K5493" s="974">
        <v>1</v>
      </c>
      <c r="L5493" s="177">
        <f t="shared" si="596"/>
        <v>0</v>
      </c>
      <c r="M5493" s="177">
        <f t="shared" si="592"/>
        <v>0</v>
      </c>
      <c r="N5493" s="177">
        <f t="shared" si="593"/>
        <v>0</v>
      </c>
      <c r="O5493" s="175" t="str">
        <f t="shared" si="594"/>
        <v>Nov</v>
      </c>
      <c r="P5493" s="265">
        <f t="shared" si="595"/>
        <v>45</v>
      </c>
    </row>
    <row r="5494" spans="1:16" ht="15" hidden="1" customHeight="1">
      <c r="A5494" s="608">
        <v>68741742</v>
      </c>
      <c r="B5494" s="608">
        <v>1352</v>
      </c>
      <c r="C5494" s="601"/>
      <c r="D5494" s="606">
        <v>46357</v>
      </c>
      <c r="E5494" s="608" t="s">
        <v>288</v>
      </c>
      <c r="F5494" s="608" t="s">
        <v>289</v>
      </c>
      <c r="G5494" s="395">
        <f>VLOOKUP($A5494,'Tech Litons'!$A:$I,8,FALSE)</f>
        <v>4.2560000000000002E-3</v>
      </c>
      <c r="H5494" s="174">
        <f>VLOOKUP($A5494,'Tech Litons'!$A:$I,9,FALSE)</f>
        <v>154</v>
      </c>
      <c r="I5494" s="174" t="str">
        <f>VLOOKUP($A5494,'Tech Litons'!$A:$C,3,0)</f>
        <v>MBG</v>
      </c>
      <c r="J5494" s="175" t="str">
        <f t="shared" si="591"/>
        <v>1352MBG</v>
      </c>
      <c r="K5494" s="974">
        <v>1</v>
      </c>
      <c r="L5494" s="177">
        <f t="shared" si="596"/>
        <v>0</v>
      </c>
      <c r="M5494" s="177">
        <f t="shared" si="592"/>
        <v>0</v>
      </c>
      <c r="N5494" s="177">
        <f t="shared" si="593"/>
        <v>0</v>
      </c>
      <c r="O5494" s="175" t="str">
        <f t="shared" si="594"/>
        <v>Dec</v>
      </c>
      <c r="P5494" s="265">
        <f t="shared" si="595"/>
        <v>49</v>
      </c>
    </row>
    <row r="5495" spans="1:16" ht="15" hidden="1" customHeight="1">
      <c r="A5495" s="608">
        <v>68741742</v>
      </c>
      <c r="B5495" s="608">
        <v>1352</v>
      </c>
      <c r="C5495" s="601">
        <v>59850</v>
      </c>
      <c r="D5495" s="606">
        <v>46177</v>
      </c>
      <c r="E5495" s="608" t="s">
        <v>288</v>
      </c>
      <c r="F5495" s="608" t="s">
        <v>1257</v>
      </c>
      <c r="G5495" s="395">
        <f>VLOOKUP($A5495,'Tech Litons'!$A:$I,8,FALSE)</f>
        <v>4.2560000000000002E-3</v>
      </c>
      <c r="H5495" s="174">
        <f>VLOOKUP($A5495,'Tech Litons'!$A:$I,9,FALSE)</f>
        <v>154</v>
      </c>
      <c r="I5495" s="174" t="str">
        <f>VLOOKUP($A5495,'Tech Litons'!$A:$C,3,0)</f>
        <v>MBG</v>
      </c>
      <c r="J5495" s="175" t="str">
        <f t="shared" si="591"/>
        <v>1352MBG</v>
      </c>
      <c r="K5495" s="974">
        <v>1</v>
      </c>
      <c r="L5495" s="177">
        <f t="shared" si="596"/>
        <v>59850</v>
      </c>
      <c r="M5495" s="177">
        <f t="shared" si="592"/>
        <v>254.72160000000002</v>
      </c>
      <c r="N5495" s="177">
        <f t="shared" si="593"/>
        <v>388.63636363636363</v>
      </c>
      <c r="O5495" s="175" t="str">
        <f t="shared" si="594"/>
        <v>Jun</v>
      </c>
      <c r="P5495" s="265">
        <f t="shared" si="595"/>
        <v>23</v>
      </c>
    </row>
    <row r="5496" spans="1:16" ht="15" hidden="1" customHeight="1">
      <c r="A5496" s="103">
        <v>68689251</v>
      </c>
      <c r="B5496" s="608">
        <v>1352</v>
      </c>
      <c r="C5496" s="601">
        <v>143640</v>
      </c>
      <c r="D5496" s="606">
        <v>46177</v>
      </c>
      <c r="E5496" s="103" t="s">
        <v>262</v>
      </c>
      <c r="F5496" s="608" t="s">
        <v>240</v>
      </c>
      <c r="G5496" s="395">
        <f>VLOOKUP($A5496,'Tech Litons'!$A:$I,8,FALSE)</f>
        <v>9.5760000000000012E-3</v>
      </c>
      <c r="H5496" s="174">
        <f>VLOOKUP($A5496,'Tech Litons'!$A:$I,9,FALSE)</f>
        <v>132</v>
      </c>
      <c r="I5496" s="174" t="str">
        <f>VLOOKUP($A5496,'Tech Litons'!$A:$C,3,0)</f>
        <v>EDF</v>
      </c>
      <c r="J5496" s="175" t="str">
        <f t="shared" si="591"/>
        <v>1352EDF</v>
      </c>
      <c r="K5496" s="974">
        <v>1</v>
      </c>
      <c r="L5496" s="177">
        <f t="shared" si="596"/>
        <v>143640</v>
      </c>
      <c r="M5496" s="177">
        <f t="shared" si="592"/>
        <v>1375.4966400000001</v>
      </c>
      <c r="N5496" s="177">
        <f t="shared" si="593"/>
        <v>1088.1818181818182</v>
      </c>
      <c r="O5496" s="175" t="str">
        <f t="shared" si="594"/>
        <v>Jun</v>
      </c>
      <c r="P5496" s="265">
        <f t="shared" si="595"/>
        <v>23</v>
      </c>
    </row>
    <row r="5497" spans="1:16" ht="15" hidden="1" customHeight="1">
      <c r="A5497" s="103">
        <v>68689251</v>
      </c>
      <c r="B5497" s="608">
        <v>1352</v>
      </c>
      <c r="C5497" s="601">
        <v>148770</v>
      </c>
      <c r="D5497" s="606">
        <v>46207</v>
      </c>
      <c r="E5497" s="103" t="s">
        <v>262</v>
      </c>
      <c r="F5497" s="608" t="s">
        <v>240</v>
      </c>
      <c r="G5497" s="395">
        <f>VLOOKUP($A5497,'Tech Litons'!$A:$I,8,FALSE)</f>
        <v>9.5760000000000012E-3</v>
      </c>
      <c r="H5497" s="174">
        <f>VLOOKUP($A5497,'Tech Litons'!$A:$I,9,FALSE)</f>
        <v>132</v>
      </c>
      <c r="I5497" s="174" t="str">
        <f>VLOOKUP($A5497,'Tech Litons'!$A:$C,3,0)</f>
        <v>EDF</v>
      </c>
      <c r="J5497" s="175" t="str">
        <f t="shared" si="591"/>
        <v>1352EDF</v>
      </c>
      <c r="K5497" s="974">
        <v>1</v>
      </c>
      <c r="L5497" s="177">
        <f t="shared" si="596"/>
        <v>148770</v>
      </c>
      <c r="M5497" s="177">
        <f t="shared" si="592"/>
        <v>1424.6215200000001</v>
      </c>
      <c r="N5497" s="177">
        <f t="shared" si="593"/>
        <v>1127.0454545454545</v>
      </c>
      <c r="O5497" s="175" t="str">
        <f t="shared" si="594"/>
        <v>Jul</v>
      </c>
      <c r="P5497" s="265">
        <f t="shared" si="595"/>
        <v>27</v>
      </c>
    </row>
    <row r="5498" spans="1:16" ht="15" hidden="1" customHeight="1">
      <c r="A5498" s="103">
        <v>68689251</v>
      </c>
      <c r="B5498" s="608">
        <v>1352</v>
      </c>
      <c r="C5498" s="601">
        <v>159030</v>
      </c>
      <c r="D5498" s="606">
        <v>46237</v>
      </c>
      <c r="E5498" s="103" t="s">
        <v>262</v>
      </c>
      <c r="F5498" s="608" t="s">
        <v>240</v>
      </c>
      <c r="G5498" s="395">
        <f>VLOOKUP($A5498,'Tech Litons'!$A:$I,8,FALSE)</f>
        <v>9.5760000000000012E-3</v>
      </c>
      <c r="H5498" s="174">
        <f>VLOOKUP($A5498,'Tech Litons'!$A:$I,9,FALSE)</f>
        <v>132</v>
      </c>
      <c r="I5498" s="174" t="str">
        <f>VLOOKUP($A5498,'Tech Litons'!$A:$C,3,0)</f>
        <v>EDF</v>
      </c>
      <c r="J5498" s="175" t="str">
        <f t="shared" si="591"/>
        <v>1352EDF</v>
      </c>
      <c r="K5498" s="1016">
        <v>0.9</v>
      </c>
      <c r="L5498" s="177">
        <f t="shared" si="596"/>
        <v>143127</v>
      </c>
      <c r="M5498" s="177">
        <f t="shared" si="592"/>
        <v>1370.5841520000001</v>
      </c>
      <c r="N5498" s="177">
        <f t="shared" si="593"/>
        <v>1084.2954545454545</v>
      </c>
      <c r="O5498" s="175" t="str">
        <f t="shared" si="594"/>
        <v>Aug</v>
      </c>
      <c r="P5498" s="265">
        <f t="shared" si="595"/>
        <v>32</v>
      </c>
    </row>
    <row r="5499" spans="1:16" ht="15" hidden="1" customHeight="1">
      <c r="A5499" s="103">
        <v>68689251</v>
      </c>
      <c r="B5499" s="608">
        <v>1352</v>
      </c>
      <c r="C5499" s="601">
        <v>143640</v>
      </c>
      <c r="D5499" s="606">
        <v>46267</v>
      </c>
      <c r="E5499" s="103" t="s">
        <v>262</v>
      </c>
      <c r="F5499" s="608" t="s">
        <v>240</v>
      </c>
      <c r="G5499" s="395">
        <f>VLOOKUP($A5499,'Tech Litons'!$A:$I,8,FALSE)</f>
        <v>9.5760000000000012E-3</v>
      </c>
      <c r="H5499" s="174">
        <f>VLOOKUP($A5499,'Tech Litons'!$A:$I,9,FALSE)</f>
        <v>132</v>
      </c>
      <c r="I5499" s="174" t="str">
        <f>VLOOKUP($A5499,'Tech Litons'!$A:$C,3,0)</f>
        <v>EDF</v>
      </c>
      <c r="J5499" s="175" t="str">
        <f t="shared" si="591"/>
        <v>1352EDF</v>
      </c>
      <c r="K5499" s="1016">
        <v>0.9</v>
      </c>
      <c r="L5499" s="177">
        <f t="shared" si="596"/>
        <v>129276</v>
      </c>
      <c r="M5499" s="177">
        <f t="shared" si="592"/>
        <v>1237.9469760000002</v>
      </c>
      <c r="N5499" s="177">
        <f t="shared" si="593"/>
        <v>979.36363636363637</v>
      </c>
      <c r="O5499" s="175" t="str">
        <f t="shared" si="594"/>
        <v>Sep</v>
      </c>
      <c r="P5499" s="265">
        <f t="shared" si="595"/>
        <v>36</v>
      </c>
    </row>
    <row r="5500" spans="1:16" ht="15" hidden="1" customHeight="1">
      <c r="A5500" s="103">
        <v>68689251</v>
      </c>
      <c r="B5500" s="608">
        <v>1352</v>
      </c>
      <c r="C5500" s="601">
        <v>148770</v>
      </c>
      <c r="D5500" s="606">
        <v>46297</v>
      </c>
      <c r="E5500" s="103" t="s">
        <v>262</v>
      </c>
      <c r="F5500" s="608" t="s">
        <v>240</v>
      </c>
      <c r="G5500" s="395">
        <f>VLOOKUP($A5500,'Tech Litons'!$A:$I,8,FALSE)</f>
        <v>9.5760000000000012E-3</v>
      </c>
      <c r="H5500" s="174">
        <f>VLOOKUP($A5500,'Tech Litons'!$A:$I,9,FALSE)</f>
        <v>132</v>
      </c>
      <c r="I5500" s="174" t="str">
        <f>VLOOKUP($A5500,'Tech Litons'!$A:$C,3,0)</f>
        <v>EDF</v>
      </c>
      <c r="J5500" s="175" t="str">
        <f t="shared" si="591"/>
        <v>1352EDF</v>
      </c>
      <c r="K5500" s="1016">
        <v>0.9</v>
      </c>
      <c r="L5500" s="177">
        <f t="shared" si="596"/>
        <v>133893</v>
      </c>
      <c r="M5500" s="177">
        <f t="shared" si="592"/>
        <v>1282.1593680000001</v>
      </c>
      <c r="N5500" s="177">
        <f t="shared" si="593"/>
        <v>1014.3409090909091</v>
      </c>
      <c r="O5500" s="175" t="str">
        <f t="shared" si="594"/>
        <v>Oct</v>
      </c>
      <c r="P5500" s="265">
        <f t="shared" si="595"/>
        <v>40</v>
      </c>
    </row>
    <row r="5501" spans="1:16" ht="15" hidden="1" customHeight="1">
      <c r="A5501" s="103">
        <v>68689251</v>
      </c>
      <c r="B5501" s="608">
        <v>1352</v>
      </c>
      <c r="C5501" s="601">
        <v>50000</v>
      </c>
      <c r="D5501" s="606">
        <v>46327</v>
      </c>
      <c r="E5501" s="103" t="s">
        <v>262</v>
      </c>
      <c r="F5501" s="608" t="s">
        <v>240</v>
      </c>
      <c r="G5501" s="395">
        <f>VLOOKUP($A5501,'Tech Litons'!$A:$I,8,FALSE)</f>
        <v>9.5760000000000012E-3</v>
      </c>
      <c r="H5501" s="174">
        <f>VLOOKUP($A5501,'Tech Litons'!$A:$I,9,FALSE)</f>
        <v>132</v>
      </c>
      <c r="I5501" s="174" t="str">
        <f>VLOOKUP($A5501,'Tech Litons'!$A:$C,3,0)</f>
        <v>EDF</v>
      </c>
      <c r="J5501" s="175" t="str">
        <f t="shared" si="591"/>
        <v>1352EDF</v>
      </c>
      <c r="K5501" s="1016">
        <v>0.9</v>
      </c>
      <c r="L5501" s="177">
        <f t="shared" si="596"/>
        <v>45000</v>
      </c>
      <c r="M5501" s="177">
        <f t="shared" si="592"/>
        <v>430.92000000000007</v>
      </c>
      <c r="N5501" s="177">
        <f t="shared" si="593"/>
        <v>340.90909090909093</v>
      </c>
      <c r="O5501" s="175" t="str">
        <f t="shared" si="594"/>
        <v>Nov</v>
      </c>
      <c r="P5501" s="265">
        <f t="shared" si="595"/>
        <v>45</v>
      </c>
    </row>
    <row r="5502" spans="1:16" ht="15" hidden="1" customHeight="1">
      <c r="A5502" s="103">
        <v>68689251</v>
      </c>
      <c r="B5502" s="608">
        <v>1352</v>
      </c>
      <c r="C5502" s="601">
        <v>50000</v>
      </c>
      <c r="D5502" s="606">
        <v>46357</v>
      </c>
      <c r="E5502" s="103" t="s">
        <v>262</v>
      </c>
      <c r="F5502" s="608" t="s">
        <v>240</v>
      </c>
      <c r="G5502" s="395">
        <f>VLOOKUP($A5502,'Tech Litons'!$A:$I,8,FALSE)</f>
        <v>9.5760000000000012E-3</v>
      </c>
      <c r="H5502" s="174">
        <f>VLOOKUP($A5502,'Tech Litons'!$A:$I,9,FALSE)</f>
        <v>132</v>
      </c>
      <c r="I5502" s="174" t="str">
        <f>VLOOKUP($A5502,'Tech Litons'!$A:$C,3,0)</f>
        <v>EDF</v>
      </c>
      <c r="J5502" s="175" t="str">
        <f t="shared" si="591"/>
        <v>1352EDF</v>
      </c>
      <c r="K5502" s="1016">
        <v>0.9</v>
      </c>
      <c r="L5502" s="177">
        <f t="shared" si="596"/>
        <v>45000</v>
      </c>
      <c r="M5502" s="177">
        <f t="shared" si="592"/>
        <v>430.92000000000007</v>
      </c>
      <c r="N5502" s="177">
        <f t="shared" si="593"/>
        <v>340.90909090909093</v>
      </c>
      <c r="O5502" s="175" t="str">
        <f t="shared" si="594"/>
        <v>Dec</v>
      </c>
      <c r="P5502" s="265">
        <f t="shared" si="595"/>
        <v>49</v>
      </c>
    </row>
    <row r="5503" spans="1:16" ht="15" hidden="1" customHeight="1">
      <c r="A5503" s="103">
        <v>68689251</v>
      </c>
      <c r="B5503" s="608">
        <v>1352</v>
      </c>
      <c r="C5503" s="601">
        <v>132240</v>
      </c>
      <c r="D5503" s="606">
        <v>46177</v>
      </c>
      <c r="E5503" s="103" t="s">
        <v>262</v>
      </c>
      <c r="F5503" s="608" t="s">
        <v>241</v>
      </c>
      <c r="G5503" s="395">
        <f>VLOOKUP($A5503,'Tech Litons'!$A:$I,8,FALSE)</f>
        <v>9.5760000000000012E-3</v>
      </c>
      <c r="H5503" s="174">
        <f>VLOOKUP($A5503,'Tech Litons'!$A:$I,9,FALSE)</f>
        <v>132</v>
      </c>
      <c r="I5503" s="174" t="str">
        <f>VLOOKUP($A5503,'Tech Litons'!$A:$C,3,0)</f>
        <v>EDF</v>
      </c>
      <c r="J5503" s="175" t="str">
        <f t="shared" si="591"/>
        <v>1352EDF</v>
      </c>
      <c r="K5503" s="974">
        <v>1</v>
      </c>
      <c r="L5503" s="177">
        <f t="shared" si="596"/>
        <v>132240</v>
      </c>
      <c r="M5503" s="177">
        <f t="shared" si="592"/>
        <v>1266.3302400000002</v>
      </c>
      <c r="N5503" s="177">
        <f t="shared" si="593"/>
        <v>1001.8181818181819</v>
      </c>
      <c r="O5503" s="175" t="str">
        <f t="shared" si="594"/>
        <v>Jun</v>
      </c>
      <c r="P5503" s="265">
        <f t="shared" si="595"/>
        <v>23</v>
      </c>
    </row>
    <row r="5504" spans="1:16" ht="15" hidden="1" customHeight="1">
      <c r="A5504" s="103">
        <v>68689251</v>
      </c>
      <c r="B5504" s="608">
        <v>1352</v>
      </c>
      <c r="C5504" s="601">
        <v>141360</v>
      </c>
      <c r="D5504" s="606">
        <v>46207</v>
      </c>
      <c r="E5504" s="103" t="s">
        <v>262</v>
      </c>
      <c r="F5504" s="608" t="s">
        <v>241</v>
      </c>
      <c r="G5504" s="395">
        <f>VLOOKUP($A5504,'Tech Litons'!$A:$I,8,FALSE)</f>
        <v>9.5760000000000012E-3</v>
      </c>
      <c r="H5504" s="174">
        <f>VLOOKUP($A5504,'Tech Litons'!$A:$I,9,FALSE)</f>
        <v>132</v>
      </c>
      <c r="I5504" s="174" t="str">
        <f>VLOOKUP($A5504,'Tech Litons'!$A:$C,3,0)</f>
        <v>EDF</v>
      </c>
      <c r="J5504" s="175" t="str">
        <f t="shared" si="591"/>
        <v>1352EDF</v>
      </c>
      <c r="K5504" s="974">
        <v>1</v>
      </c>
      <c r="L5504" s="177">
        <f t="shared" si="596"/>
        <v>141360</v>
      </c>
      <c r="M5504" s="177">
        <f t="shared" si="592"/>
        <v>1353.6633600000002</v>
      </c>
      <c r="N5504" s="177">
        <f t="shared" si="593"/>
        <v>1070.909090909091</v>
      </c>
      <c r="O5504" s="175" t="str">
        <f t="shared" si="594"/>
        <v>Jul</v>
      </c>
      <c r="P5504" s="265">
        <f t="shared" si="595"/>
        <v>27</v>
      </c>
    </row>
    <row r="5505" spans="1:16" ht="15" hidden="1" customHeight="1">
      <c r="A5505" s="103">
        <v>68689251</v>
      </c>
      <c r="B5505" s="608">
        <v>1352</v>
      </c>
      <c r="C5505" s="601">
        <v>127680</v>
      </c>
      <c r="D5505" s="606">
        <v>46237</v>
      </c>
      <c r="E5505" s="103" t="s">
        <v>262</v>
      </c>
      <c r="F5505" s="608" t="s">
        <v>241</v>
      </c>
      <c r="G5505" s="395">
        <f>VLOOKUP($A5505,'Tech Litons'!$A:$I,8,FALSE)</f>
        <v>9.5760000000000012E-3</v>
      </c>
      <c r="H5505" s="174">
        <f>VLOOKUP($A5505,'Tech Litons'!$A:$I,9,FALSE)</f>
        <v>132</v>
      </c>
      <c r="I5505" s="174" t="str">
        <f>VLOOKUP($A5505,'Tech Litons'!$A:$C,3,0)</f>
        <v>EDF</v>
      </c>
      <c r="J5505" s="175" t="str">
        <f t="shared" si="591"/>
        <v>1352EDF</v>
      </c>
      <c r="K5505" s="1016">
        <v>0.9</v>
      </c>
      <c r="L5505" s="177">
        <f t="shared" si="596"/>
        <v>114912</v>
      </c>
      <c r="M5505" s="177">
        <f t="shared" si="592"/>
        <v>1100.3973120000001</v>
      </c>
      <c r="N5505" s="177">
        <f t="shared" si="593"/>
        <v>870.5454545454545</v>
      </c>
      <c r="O5505" s="175" t="str">
        <f t="shared" si="594"/>
        <v>Aug</v>
      </c>
      <c r="P5505" s="265">
        <f t="shared" si="595"/>
        <v>32</v>
      </c>
    </row>
    <row r="5506" spans="1:16" ht="15" hidden="1" customHeight="1">
      <c r="A5506" s="103">
        <v>68689251</v>
      </c>
      <c r="B5506" s="608">
        <v>1352</v>
      </c>
      <c r="C5506" s="601">
        <v>132240</v>
      </c>
      <c r="D5506" s="606">
        <v>46267</v>
      </c>
      <c r="E5506" s="103" t="s">
        <v>262</v>
      </c>
      <c r="F5506" s="608" t="s">
        <v>241</v>
      </c>
      <c r="G5506" s="395">
        <f>VLOOKUP($A5506,'Tech Litons'!$A:$I,8,FALSE)</f>
        <v>9.5760000000000012E-3</v>
      </c>
      <c r="H5506" s="174">
        <f>VLOOKUP($A5506,'Tech Litons'!$A:$I,9,FALSE)</f>
        <v>132</v>
      </c>
      <c r="I5506" s="174" t="str">
        <f>VLOOKUP($A5506,'Tech Litons'!$A:$C,3,0)</f>
        <v>EDF</v>
      </c>
      <c r="J5506" s="175" t="str">
        <f t="shared" si="591"/>
        <v>1352EDF</v>
      </c>
      <c r="K5506" s="1016">
        <v>0.9</v>
      </c>
      <c r="L5506" s="177">
        <f t="shared" si="596"/>
        <v>119016</v>
      </c>
      <c r="M5506" s="177">
        <f t="shared" si="592"/>
        <v>1139.6972160000003</v>
      </c>
      <c r="N5506" s="177">
        <f t="shared" si="593"/>
        <v>901.63636363636363</v>
      </c>
      <c r="O5506" s="175" t="str">
        <f t="shared" si="594"/>
        <v>Sep</v>
      </c>
      <c r="P5506" s="265">
        <f t="shared" si="595"/>
        <v>36</v>
      </c>
    </row>
    <row r="5507" spans="1:16" ht="15" hidden="1" customHeight="1">
      <c r="A5507" s="103">
        <v>68689251</v>
      </c>
      <c r="B5507" s="608">
        <v>1352</v>
      </c>
      <c r="C5507" s="601">
        <v>60000</v>
      </c>
      <c r="D5507" s="606">
        <v>46297</v>
      </c>
      <c r="E5507" s="103" t="s">
        <v>262</v>
      </c>
      <c r="F5507" s="608" t="s">
        <v>241</v>
      </c>
      <c r="G5507" s="395">
        <f>VLOOKUP($A5507,'Tech Litons'!$A:$I,8,FALSE)</f>
        <v>9.5760000000000012E-3</v>
      </c>
      <c r="H5507" s="174">
        <f>VLOOKUP($A5507,'Tech Litons'!$A:$I,9,FALSE)</f>
        <v>132</v>
      </c>
      <c r="I5507" s="174" t="str">
        <f>VLOOKUP($A5507,'Tech Litons'!$A:$C,3,0)</f>
        <v>EDF</v>
      </c>
      <c r="J5507" s="175" t="str">
        <f t="shared" si="591"/>
        <v>1352EDF</v>
      </c>
      <c r="K5507" s="1016">
        <v>0.9</v>
      </c>
      <c r="L5507" s="177">
        <f t="shared" si="596"/>
        <v>54000</v>
      </c>
      <c r="M5507" s="177">
        <f t="shared" si="592"/>
        <v>517.10400000000004</v>
      </c>
      <c r="N5507" s="177">
        <f t="shared" si="593"/>
        <v>409.09090909090907</v>
      </c>
      <c r="O5507" s="175" t="str">
        <f t="shared" si="594"/>
        <v>Oct</v>
      </c>
      <c r="P5507" s="265">
        <f t="shared" si="595"/>
        <v>40</v>
      </c>
    </row>
    <row r="5508" spans="1:16" ht="15" hidden="1" customHeight="1">
      <c r="A5508" s="103">
        <v>68689251</v>
      </c>
      <c r="B5508" s="608">
        <v>1352</v>
      </c>
      <c r="C5508" s="601">
        <v>50000</v>
      </c>
      <c r="D5508" s="606">
        <v>46327</v>
      </c>
      <c r="E5508" s="103" t="s">
        <v>262</v>
      </c>
      <c r="F5508" s="608" t="s">
        <v>241</v>
      </c>
      <c r="G5508" s="395">
        <f>VLOOKUP($A5508,'Tech Litons'!$A:$I,8,FALSE)</f>
        <v>9.5760000000000012E-3</v>
      </c>
      <c r="H5508" s="174">
        <f>VLOOKUP($A5508,'Tech Litons'!$A:$I,9,FALSE)</f>
        <v>132</v>
      </c>
      <c r="I5508" s="174" t="str">
        <f>VLOOKUP($A5508,'Tech Litons'!$A:$C,3,0)</f>
        <v>EDF</v>
      </c>
      <c r="J5508" s="175" t="str">
        <f t="shared" si="591"/>
        <v>1352EDF</v>
      </c>
      <c r="K5508" s="1016">
        <v>0.9</v>
      </c>
      <c r="L5508" s="177">
        <f t="shared" si="596"/>
        <v>45000</v>
      </c>
      <c r="M5508" s="177">
        <f t="shared" si="592"/>
        <v>430.92000000000007</v>
      </c>
      <c r="N5508" s="177">
        <f t="shared" si="593"/>
        <v>340.90909090909093</v>
      </c>
      <c r="O5508" s="175" t="str">
        <f t="shared" si="594"/>
        <v>Nov</v>
      </c>
      <c r="P5508" s="265">
        <f t="shared" si="595"/>
        <v>45</v>
      </c>
    </row>
    <row r="5509" spans="1:16" ht="15" hidden="1" customHeight="1">
      <c r="A5509" s="103">
        <v>68689251</v>
      </c>
      <c r="B5509" s="608">
        <v>1352</v>
      </c>
      <c r="C5509" s="601">
        <v>0</v>
      </c>
      <c r="D5509" s="606">
        <v>46357</v>
      </c>
      <c r="E5509" s="103" t="s">
        <v>262</v>
      </c>
      <c r="F5509" s="608" t="s">
        <v>241</v>
      </c>
      <c r="G5509" s="395">
        <f>VLOOKUP($A5509,'Tech Litons'!$A:$I,8,FALSE)</f>
        <v>9.5760000000000012E-3</v>
      </c>
      <c r="H5509" s="174">
        <f>VLOOKUP($A5509,'Tech Litons'!$A:$I,9,FALSE)</f>
        <v>132</v>
      </c>
      <c r="I5509" s="174" t="str">
        <f>VLOOKUP($A5509,'Tech Litons'!$A:$C,3,0)</f>
        <v>EDF</v>
      </c>
      <c r="J5509" s="175" t="str">
        <f t="shared" si="591"/>
        <v>1352EDF</v>
      </c>
      <c r="K5509" s="1016">
        <v>0.9</v>
      </c>
      <c r="L5509" s="177">
        <f t="shared" si="596"/>
        <v>0</v>
      </c>
      <c r="M5509" s="177">
        <f t="shared" si="592"/>
        <v>0</v>
      </c>
      <c r="N5509" s="177">
        <f t="shared" si="593"/>
        <v>0</v>
      </c>
      <c r="O5509" s="175" t="str">
        <f t="shared" si="594"/>
        <v>Dec</v>
      </c>
      <c r="P5509" s="265">
        <f t="shared" si="595"/>
        <v>49</v>
      </c>
    </row>
    <row r="5510" spans="1:16" ht="15" hidden="1" customHeight="1">
      <c r="A5510" s="103">
        <v>68689251</v>
      </c>
      <c r="B5510" s="608">
        <v>1352</v>
      </c>
      <c r="C5510" s="601">
        <v>119700</v>
      </c>
      <c r="D5510" s="606">
        <v>46177</v>
      </c>
      <c r="E5510" s="103" t="s">
        <v>262</v>
      </c>
      <c r="F5510" s="608" t="s">
        <v>242</v>
      </c>
      <c r="G5510" s="395">
        <f>VLOOKUP($A5510,'Tech Litons'!$A:$I,8,FALSE)</f>
        <v>9.5760000000000012E-3</v>
      </c>
      <c r="H5510" s="174">
        <f>VLOOKUP($A5510,'Tech Litons'!$A:$I,9,FALSE)</f>
        <v>132</v>
      </c>
      <c r="I5510" s="174" t="str">
        <f>VLOOKUP($A5510,'Tech Litons'!$A:$C,3,0)</f>
        <v>EDF</v>
      </c>
      <c r="J5510" s="175" t="str">
        <f t="shared" si="591"/>
        <v>1352EDF</v>
      </c>
      <c r="K5510" s="974">
        <v>1</v>
      </c>
      <c r="L5510" s="177">
        <f t="shared" si="596"/>
        <v>119700</v>
      </c>
      <c r="M5510" s="177">
        <f t="shared" si="592"/>
        <v>1146.2472000000002</v>
      </c>
      <c r="N5510" s="177">
        <f t="shared" si="593"/>
        <v>906.81818181818187</v>
      </c>
      <c r="O5510" s="175" t="str">
        <f t="shared" si="594"/>
        <v>Jun</v>
      </c>
      <c r="P5510" s="265">
        <f t="shared" si="595"/>
        <v>23</v>
      </c>
    </row>
    <row r="5511" spans="1:16" ht="15" hidden="1" customHeight="1">
      <c r="A5511" s="103">
        <v>68689251</v>
      </c>
      <c r="B5511" s="608">
        <v>1352</v>
      </c>
      <c r="C5511" s="601">
        <v>123975</v>
      </c>
      <c r="D5511" s="606">
        <v>46207</v>
      </c>
      <c r="E5511" s="103" t="s">
        <v>262</v>
      </c>
      <c r="F5511" s="608" t="s">
        <v>242</v>
      </c>
      <c r="G5511" s="395">
        <f>VLOOKUP($A5511,'Tech Litons'!$A:$I,8,FALSE)</f>
        <v>9.5760000000000012E-3</v>
      </c>
      <c r="H5511" s="174">
        <f>VLOOKUP($A5511,'Tech Litons'!$A:$I,9,FALSE)</f>
        <v>132</v>
      </c>
      <c r="I5511" s="174" t="str">
        <f>VLOOKUP($A5511,'Tech Litons'!$A:$C,3,0)</f>
        <v>EDF</v>
      </c>
      <c r="J5511" s="175" t="str">
        <f t="shared" si="591"/>
        <v>1352EDF</v>
      </c>
      <c r="K5511" s="974">
        <v>1</v>
      </c>
      <c r="L5511" s="177">
        <f t="shared" si="596"/>
        <v>123975</v>
      </c>
      <c r="M5511" s="177">
        <f t="shared" si="592"/>
        <v>1187.1846</v>
      </c>
      <c r="N5511" s="177">
        <f t="shared" si="593"/>
        <v>939.2045454545455</v>
      </c>
      <c r="O5511" s="175" t="str">
        <f t="shared" si="594"/>
        <v>Jul</v>
      </c>
      <c r="P5511" s="265">
        <f t="shared" si="595"/>
        <v>27</v>
      </c>
    </row>
    <row r="5512" spans="1:16" ht="15" hidden="1" customHeight="1">
      <c r="A5512" s="103">
        <v>68689251</v>
      </c>
      <c r="B5512" s="608">
        <v>1352</v>
      </c>
      <c r="C5512" s="601">
        <v>132525</v>
      </c>
      <c r="D5512" s="606">
        <v>46237</v>
      </c>
      <c r="E5512" s="103" t="s">
        <v>262</v>
      </c>
      <c r="F5512" s="608" t="s">
        <v>242</v>
      </c>
      <c r="G5512" s="395">
        <f>VLOOKUP($A5512,'Tech Litons'!$A:$I,8,FALSE)</f>
        <v>9.5760000000000012E-3</v>
      </c>
      <c r="H5512" s="174">
        <f>VLOOKUP($A5512,'Tech Litons'!$A:$I,9,FALSE)</f>
        <v>132</v>
      </c>
      <c r="I5512" s="174" t="str">
        <f>VLOOKUP($A5512,'Tech Litons'!$A:$C,3,0)</f>
        <v>EDF</v>
      </c>
      <c r="J5512" s="175" t="str">
        <f t="shared" si="591"/>
        <v>1352EDF</v>
      </c>
      <c r="K5512" s="1016">
        <v>0.9</v>
      </c>
      <c r="L5512" s="177">
        <f t="shared" si="596"/>
        <v>119272.5</v>
      </c>
      <c r="M5512" s="177">
        <f t="shared" si="592"/>
        <v>1142.1534600000002</v>
      </c>
      <c r="N5512" s="177">
        <f t="shared" si="593"/>
        <v>903.5795454545455</v>
      </c>
      <c r="O5512" s="175" t="str">
        <f t="shared" si="594"/>
        <v>Aug</v>
      </c>
      <c r="P5512" s="265">
        <f t="shared" si="595"/>
        <v>32</v>
      </c>
    </row>
    <row r="5513" spans="1:16" ht="15" hidden="1" customHeight="1">
      <c r="A5513" s="103">
        <v>68689251</v>
      </c>
      <c r="B5513" s="608">
        <v>1352</v>
      </c>
      <c r="C5513" s="601">
        <v>119700</v>
      </c>
      <c r="D5513" s="606">
        <v>46267</v>
      </c>
      <c r="E5513" s="103" t="s">
        <v>262</v>
      </c>
      <c r="F5513" s="608" t="s">
        <v>242</v>
      </c>
      <c r="G5513" s="395">
        <f>VLOOKUP($A5513,'Tech Litons'!$A:$I,8,FALSE)</f>
        <v>9.5760000000000012E-3</v>
      </c>
      <c r="H5513" s="174">
        <f>VLOOKUP($A5513,'Tech Litons'!$A:$I,9,FALSE)</f>
        <v>132</v>
      </c>
      <c r="I5513" s="174" t="str">
        <f>VLOOKUP($A5513,'Tech Litons'!$A:$C,3,0)</f>
        <v>EDF</v>
      </c>
      <c r="J5513" s="175" t="str">
        <f t="shared" si="591"/>
        <v>1352EDF</v>
      </c>
      <c r="K5513" s="1016">
        <v>0.9</v>
      </c>
      <c r="L5513" s="177">
        <f t="shared" si="596"/>
        <v>107730</v>
      </c>
      <c r="M5513" s="177">
        <f t="shared" si="592"/>
        <v>1031.6224800000002</v>
      </c>
      <c r="N5513" s="177">
        <f t="shared" si="593"/>
        <v>816.13636363636363</v>
      </c>
      <c r="O5513" s="175" t="str">
        <f t="shared" si="594"/>
        <v>Sep</v>
      </c>
      <c r="P5513" s="265">
        <f t="shared" si="595"/>
        <v>36</v>
      </c>
    </row>
    <row r="5514" spans="1:16" ht="15" hidden="1" customHeight="1">
      <c r="A5514" s="103">
        <v>68689251</v>
      </c>
      <c r="B5514" s="608">
        <v>1352</v>
      </c>
      <c r="C5514" s="601">
        <v>60000</v>
      </c>
      <c r="D5514" s="606">
        <v>46297</v>
      </c>
      <c r="E5514" s="103" t="s">
        <v>262</v>
      </c>
      <c r="F5514" s="608" t="s">
        <v>242</v>
      </c>
      <c r="G5514" s="395">
        <f>VLOOKUP($A5514,'Tech Litons'!$A:$I,8,FALSE)</f>
        <v>9.5760000000000012E-3</v>
      </c>
      <c r="H5514" s="174">
        <f>VLOOKUP($A5514,'Tech Litons'!$A:$I,9,FALSE)</f>
        <v>132</v>
      </c>
      <c r="I5514" s="174" t="str">
        <f>VLOOKUP($A5514,'Tech Litons'!$A:$C,3,0)</f>
        <v>EDF</v>
      </c>
      <c r="J5514" s="175" t="str">
        <f t="shared" si="591"/>
        <v>1352EDF</v>
      </c>
      <c r="K5514" s="1016">
        <v>0.9</v>
      </c>
      <c r="L5514" s="177">
        <f t="shared" si="596"/>
        <v>54000</v>
      </c>
      <c r="M5514" s="177">
        <f t="shared" si="592"/>
        <v>517.10400000000004</v>
      </c>
      <c r="N5514" s="177">
        <f t="shared" si="593"/>
        <v>409.09090909090907</v>
      </c>
      <c r="O5514" s="175" t="str">
        <f t="shared" si="594"/>
        <v>Oct</v>
      </c>
      <c r="P5514" s="265">
        <f t="shared" si="595"/>
        <v>40</v>
      </c>
    </row>
    <row r="5515" spans="1:16" ht="15" hidden="1" customHeight="1">
      <c r="A5515" s="103">
        <v>68689251</v>
      </c>
      <c r="B5515" s="608">
        <v>1352</v>
      </c>
      <c r="C5515" s="601">
        <v>115425</v>
      </c>
      <c r="D5515" s="606">
        <v>46327</v>
      </c>
      <c r="E5515" s="103" t="s">
        <v>262</v>
      </c>
      <c r="F5515" s="608" t="s">
        <v>242</v>
      </c>
      <c r="G5515" s="395">
        <f>VLOOKUP($A5515,'Tech Litons'!$A:$I,8,FALSE)</f>
        <v>9.5760000000000012E-3</v>
      </c>
      <c r="H5515" s="174">
        <f>VLOOKUP($A5515,'Tech Litons'!$A:$I,9,FALSE)</f>
        <v>132</v>
      </c>
      <c r="I5515" s="174" t="str">
        <f>VLOOKUP($A5515,'Tech Litons'!$A:$C,3,0)</f>
        <v>EDF</v>
      </c>
      <c r="J5515" s="175" t="str">
        <f t="shared" si="591"/>
        <v>1352EDF</v>
      </c>
      <c r="K5515" s="1016">
        <v>0.9</v>
      </c>
      <c r="L5515" s="177">
        <f t="shared" si="596"/>
        <v>103882.5</v>
      </c>
      <c r="M5515" s="177">
        <f t="shared" si="592"/>
        <v>994.77882000000011</v>
      </c>
      <c r="N5515" s="177">
        <f t="shared" si="593"/>
        <v>786.98863636363637</v>
      </c>
      <c r="O5515" s="175" t="str">
        <f t="shared" si="594"/>
        <v>Nov</v>
      </c>
      <c r="P5515" s="265">
        <f t="shared" si="595"/>
        <v>45</v>
      </c>
    </row>
    <row r="5516" spans="1:16" ht="15" hidden="1" customHeight="1">
      <c r="A5516" s="103">
        <v>68689251</v>
      </c>
      <c r="B5516" s="608">
        <v>1352</v>
      </c>
      <c r="C5516" s="601"/>
      <c r="D5516" s="606">
        <v>46357</v>
      </c>
      <c r="E5516" s="103" t="s">
        <v>262</v>
      </c>
      <c r="F5516" s="608" t="s">
        <v>242</v>
      </c>
      <c r="G5516" s="395">
        <f>VLOOKUP($A5516,'Tech Litons'!$A:$I,8,FALSE)</f>
        <v>9.5760000000000012E-3</v>
      </c>
      <c r="H5516" s="174">
        <f>VLOOKUP($A5516,'Tech Litons'!$A:$I,9,FALSE)</f>
        <v>132</v>
      </c>
      <c r="I5516" s="174" t="str">
        <f>VLOOKUP($A5516,'Tech Litons'!$A:$C,3,0)</f>
        <v>EDF</v>
      </c>
      <c r="J5516" s="175" t="str">
        <f t="shared" si="591"/>
        <v>1352EDF</v>
      </c>
      <c r="K5516" s="1016">
        <v>0.9</v>
      </c>
      <c r="L5516" s="177">
        <f t="shared" si="596"/>
        <v>0</v>
      </c>
      <c r="M5516" s="177">
        <f t="shared" si="592"/>
        <v>0</v>
      </c>
      <c r="N5516" s="177">
        <f t="shared" si="593"/>
        <v>0</v>
      </c>
      <c r="O5516" s="175" t="str">
        <f t="shared" si="594"/>
        <v>Dec</v>
      </c>
      <c r="P5516" s="265">
        <f t="shared" si="595"/>
        <v>49</v>
      </c>
    </row>
    <row r="5517" spans="1:16" ht="15" hidden="1" customHeight="1">
      <c r="A5517" s="608">
        <v>68852591</v>
      </c>
      <c r="B5517" s="608">
        <v>2904</v>
      </c>
      <c r="C5517" s="601"/>
      <c r="D5517" s="606">
        <v>46177</v>
      </c>
      <c r="E5517" s="608" t="s">
        <v>326</v>
      </c>
      <c r="F5517" s="608" t="s">
        <v>243</v>
      </c>
      <c r="G5517" s="395">
        <f>VLOOKUP($A5517,'Tech Litons'!$A:$I,8,FALSE)</f>
        <v>8.5199999999999998E-3</v>
      </c>
      <c r="H5517" s="174">
        <f>VLOOKUP($A5517,'Tech Litons'!$A:$I,9,FALSE)</f>
        <v>132</v>
      </c>
      <c r="I5517" s="174" t="str">
        <f>VLOOKUP($A5517,'Tech Litons'!$A:$C,3,0)</f>
        <v>EDF</v>
      </c>
      <c r="J5517" s="175" t="str">
        <f t="shared" ref="J5517:J5523" si="597">B5517&amp;I5517</f>
        <v>2904EDF</v>
      </c>
      <c r="K5517" s="974">
        <v>1</v>
      </c>
      <c r="L5517" s="177">
        <f t="shared" si="596"/>
        <v>0</v>
      </c>
      <c r="M5517" s="177">
        <f t="shared" ref="M5517:M5523" si="598">L5517*G5517</f>
        <v>0</v>
      </c>
      <c r="N5517" s="177">
        <f t="shared" ref="N5517:N5523" si="599">L5517/H5517</f>
        <v>0</v>
      </c>
      <c r="O5517" s="175" t="str">
        <f t="shared" ref="O5517:O5523" si="600">TEXT(D5517,"MMM")</f>
        <v>Jun</v>
      </c>
      <c r="P5517" s="265">
        <f t="shared" ref="P5517:P5523" si="601">WEEKNUM(D5517)</f>
        <v>23</v>
      </c>
    </row>
    <row r="5518" spans="1:16" ht="15" hidden="1" customHeight="1">
      <c r="A5518" s="608">
        <v>68852591</v>
      </c>
      <c r="B5518" s="608">
        <v>2904</v>
      </c>
      <c r="C5518" s="601"/>
      <c r="D5518" s="606">
        <v>46207</v>
      </c>
      <c r="E5518" s="608" t="s">
        <v>326</v>
      </c>
      <c r="F5518" s="608" t="s">
        <v>243</v>
      </c>
      <c r="G5518" s="395">
        <f>VLOOKUP($A5518,'Tech Litons'!$A:$I,8,FALSE)</f>
        <v>8.5199999999999998E-3</v>
      </c>
      <c r="H5518" s="174">
        <f>VLOOKUP($A5518,'Tech Litons'!$A:$I,9,FALSE)</f>
        <v>132</v>
      </c>
      <c r="I5518" s="174" t="str">
        <f>VLOOKUP($A5518,'Tech Litons'!$A:$C,3,0)</f>
        <v>EDF</v>
      </c>
      <c r="J5518" s="175" t="str">
        <f t="shared" si="597"/>
        <v>2904EDF</v>
      </c>
      <c r="K5518" s="974">
        <v>1</v>
      </c>
      <c r="L5518" s="177">
        <f t="shared" si="596"/>
        <v>0</v>
      </c>
      <c r="M5518" s="177">
        <f t="shared" si="598"/>
        <v>0</v>
      </c>
      <c r="N5518" s="177">
        <f t="shared" si="599"/>
        <v>0</v>
      </c>
      <c r="O5518" s="175" t="str">
        <f t="shared" si="600"/>
        <v>Jul</v>
      </c>
      <c r="P5518" s="265">
        <f t="shared" si="601"/>
        <v>27</v>
      </c>
    </row>
    <row r="5519" spans="1:16" ht="15" hidden="1" customHeight="1">
      <c r="A5519" s="608">
        <v>68852591</v>
      </c>
      <c r="B5519" s="608">
        <v>2904</v>
      </c>
      <c r="C5519" s="601"/>
      <c r="D5519" s="606">
        <v>46237</v>
      </c>
      <c r="E5519" s="608" t="s">
        <v>326</v>
      </c>
      <c r="F5519" s="608" t="s">
        <v>243</v>
      </c>
      <c r="G5519" s="395">
        <f>VLOOKUP($A5519,'Tech Litons'!$A:$I,8,FALSE)</f>
        <v>8.5199999999999998E-3</v>
      </c>
      <c r="H5519" s="174">
        <f>VLOOKUP($A5519,'Tech Litons'!$A:$I,9,FALSE)</f>
        <v>132</v>
      </c>
      <c r="I5519" s="174" t="str">
        <f>VLOOKUP($A5519,'Tech Litons'!$A:$C,3,0)</f>
        <v>EDF</v>
      </c>
      <c r="J5519" s="175" t="str">
        <f t="shared" si="597"/>
        <v>2904EDF</v>
      </c>
      <c r="K5519" s="1016">
        <v>0.9</v>
      </c>
      <c r="L5519" s="177">
        <f t="shared" si="596"/>
        <v>0</v>
      </c>
      <c r="M5519" s="177">
        <f t="shared" si="598"/>
        <v>0</v>
      </c>
      <c r="N5519" s="177">
        <f t="shared" si="599"/>
        <v>0</v>
      </c>
      <c r="O5519" s="175" t="str">
        <f t="shared" si="600"/>
        <v>Aug</v>
      </c>
      <c r="P5519" s="265">
        <f t="shared" si="601"/>
        <v>32</v>
      </c>
    </row>
    <row r="5520" spans="1:16" ht="15" hidden="1" customHeight="1">
      <c r="A5520" s="608">
        <v>68852591</v>
      </c>
      <c r="B5520" s="608">
        <v>2904</v>
      </c>
      <c r="C5520" s="601"/>
      <c r="D5520" s="606">
        <v>46267</v>
      </c>
      <c r="E5520" s="608" t="s">
        <v>326</v>
      </c>
      <c r="F5520" s="608" t="s">
        <v>243</v>
      </c>
      <c r="G5520" s="395">
        <f>VLOOKUP($A5520,'Tech Litons'!$A:$I,8,FALSE)</f>
        <v>8.5199999999999998E-3</v>
      </c>
      <c r="H5520" s="174">
        <f>VLOOKUP($A5520,'Tech Litons'!$A:$I,9,FALSE)</f>
        <v>132</v>
      </c>
      <c r="I5520" s="174" t="str">
        <f>VLOOKUP($A5520,'Tech Litons'!$A:$C,3,0)</f>
        <v>EDF</v>
      </c>
      <c r="J5520" s="175" t="str">
        <f t="shared" si="597"/>
        <v>2904EDF</v>
      </c>
      <c r="K5520" s="1016">
        <v>0.9</v>
      </c>
      <c r="L5520" s="177">
        <f t="shared" si="596"/>
        <v>0</v>
      </c>
      <c r="M5520" s="177">
        <f t="shared" si="598"/>
        <v>0</v>
      </c>
      <c r="N5520" s="177">
        <f t="shared" si="599"/>
        <v>0</v>
      </c>
      <c r="O5520" s="175" t="str">
        <f t="shared" si="600"/>
        <v>Sep</v>
      </c>
      <c r="P5520" s="265">
        <f t="shared" si="601"/>
        <v>36</v>
      </c>
    </row>
    <row r="5521" spans="1:16" ht="15" hidden="1" customHeight="1">
      <c r="A5521" s="608">
        <v>68852591</v>
      </c>
      <c r="B5521" s="608">
        <v>2904</v>
      </c>
      <c r="C5521" s="601"/>
      <c r="D5521" s="606">
        <v>46297</v>
      </c>
      <c r="E5521" s="608" t="s">
        <v>326</v>
      </c>
      <c r="F5521" s="608" t="s">
        <v>243</v>
      </c>
      <c r="G5521" s="395">
        <f>VLOOKUP($A5521,'Tech Litons'!$A:$I,8,FALSE)</f>
        <v>8.5199999999999998E-3</v>
      </c>
      <c r="H5521" s="174">
        <f>VLOOKUP($A5521,'Tech Litons'!$A:$I,9,FALSE)</f>
        <v>132</v>
      </c>
      <c r="I5521" s="174" t="str">
        <f>VLOOKUP($A5521,'Tech Litons'!$A:$C,3,0)</f>
        <v>EDF</v>
      </c>
      <c r="J5521" s="175" t="str">
        <f t="shared" si="597"/>
        <v>2904EDF</v>
      </c>
      <c r="K5521" s="1016">
        <v>0.9</v>
      </c>
      <c r="L5521" s="177">
        <f t="shared" si="596"/>
        <v>0</v>
      </c>
      <c r="M5521" s="177">
        <f t="shared" si="598"/>
        <v>0</v>
      </c>
      <c r="N5521" s="177">
        <f t="shared" si="599"/>
        <v>0</v>
      </c>
      <c r="O5521" s="175" t="str">
        <f t="shared" si="600"/>
        <v>Oct</v>
      </c>
      <c r="P5521" s="265">
        <f t="shared" si="601"/>
        <v>40</v>
      </c>
    </row>
    <row r="5522" spans="1:16" ht="15" hidden="1" customHeight="1">
      <c r="A5522" s="608">
        <v>68852591</v>
      </c>
      <c r="B5522" s="608">
        <v>2904</v>
      </c>
      <c r="C5522" s="601"/>
      <c r="D5522" s="606">
        <v>46327</v>
      </c>
      <c r="E5522" s="608" t="s">
        <v>326</v>
      </c>
      <c r="F5522" s="608" t="s">
        <v>243</v>
      </c>
      <c r="G5522" s="395">
        <f>VLOOKUP($A5522,'Tech Litons'!$A:$I,8,FALSE)</f>
        <v>8.5199999999999998E-3</v>
      </c>
      <c r="H5522" s="174">
        <f>VLOOKUP($A5522,'Tech Litons'!$A:$I,9,FALSE)</f>
        <v>132</v>
      </c>
      <c r="I5522" s="174" t="str">
        <f>VLOOKUP($A5522,'Tech Litons'!$A:$C,3,0)</f>
        <v>EDF</v>
      </c>
      <c r="J5522" s="175" t="str">
        <f t="shared" si="597"/>
        <v>2904EDF</v>
      </c>
      <c r="K5522" s="1016">
        <v>0.9</v>
      </c>
      <c r="L5522" s="177">
        <f t="shared" si="596"/>
        <v>0</v>
      </c>
      <c r="M5522" s="177">
        <f t="shared" si="598"/>
        <v>0</v>
      </c>
      <c r="N5522" s="177">
        <f t="shared" si="599"/>
        <v>0</v>
      </c>
      <c r="O5522" s="175" t="str">
        <f t="shared" si="600"/>
        <v>Nov</v>
      </c>
      <c r="P5522" s="265">
        <f t="shared" si="601"/>
        <v>45</v>
      </c>
    </row>
    <row r="5523" spans="1:16" ht="15" hidden="1" customHeight="1">
      <c r="A5523" s="608">
        <v>68852591</v>
      </c>
      <c r="B5523" s="608">
        <v>2904</v>
      </c>
      <c r="C5523" s="601"/>
      <c r="D5523" s="606">
        <v>46357</v>
      </c>
      <c r="E5523" s="608" t="s">
        <v>326</v>
      </c>
      <c r="F5523" s="608" t="s">
        <v>243</v>
      </c>
      <c r="G5523" s="395">
        <f>VLOOKUP($A5523,'Tech Litons'!$A:$I,8,FALSE)</f>
        <v>8.5199999999999998E-3</v>
      </c>
      <c r="H5523" s="174">
        <f>VLOOKUP($A5523,'Tech Litons'!$A:$I,9,FALSE)</f>
        <v>132</v>
      </c>
      <c r="I5523" s="174" t="str">
        <f>VLOOKUP($A5523,'Tech Litons'!$A:$C,3,0)</f>
        <v>EDF</v>
      </c>
      <c r="J5523" s="175" t="str">
        <f t="shared" si="597"/>
        <v>2904EDF</v>
      </c>
      <c r="K5523" s="1016">
        <v>0.9</v>
      </c>
      <c r="L5523" s="177">
        <f t="shared" si="596"/>
        <v>0</v>
      </c>
      <c r="M5523" s="177">
        <f t="shared" si="598"/>
        <v>0</v>
      </c>
      <c r="N5523" s="177">
        <f t="shared" si="599"/>
        <v>0</v>
      </c>
      <c r="O5523" s="175" t="str">
        <f t="shared" si="600"/>
        <v>Dec</v>
      </c>
      <c r="P5523" s="265">
        <f t="shared" si="601"/>
        <v>49</v>
      </c>
    </row>
    <row r="5524" spans="1:16" ht="15" hidden="1" customHeight="1">
      <c r="A5524" s="103">
        <v>68917388</v>
      </c>
      <c r="B5524" s="608">
        <v>3910</v>
      </c>
      <c r="C5524" s="601">
        <v>80000</v>
      </c>
      <c r="D5524" s="606">
        <v>46174</v>
      </c>
      <c r="E5524" s="103" t="s">
        <v>561</v>
      </c>
      <c r="F5524" s="608" t="s">
        <v>32</v>
      </c>
      <c r="G5524" s="395">
        <f>VLOOKUP($A5524,'Tech Litons'!$A:$I,8,FALSE)</f>
        <v>3.9119999999999997E-3</v>
      </c>
      <c r="H5524" s="174">
        <f>VLOOKUP($A5524,'Tech Litons'!$A:$I,9,FALSE)</f>
        <v>322</v>
      </c>
      <c r="I5524" s="174" t="str">
        <f>VLOOKUP($A5524,'Tech Litons'!$A:$C,3,0)</f>
        <v>EFW</v>
      </c>
      <c r="J5524" s="175" t="str">
        <f t="shared" ref="J5524:J5530" si="602">B5524&amp;I5524</f>
        <v>3910EFW</v>
      </c>
      <c r="K5524" s="974">
        <v>1</v>
      </c>
      <c r="L5524" s="177">
        <f t="shared" si="596"/>
        <v>80000</v>
      </c>
      <c r="M5524" s="177">
        <f t="shared" ref="M5524:M5530" si="603">L5524*G5524</f>
        <v>312.95999999999998</v>
      </c>
      <c r="N5524" s="177">
        <f t="shared" ref="N5524:N5530" si="604">L5524/H5524</f>
        <v>248.44720496894411</v>
      </c>
      <c r="O5524" s="175" t="str">
        <f t="shared" ref="O5524:O5530" si="605">TEXT(D5524,"MMM")</f>
        <v>Jun</v>
      </c>
      <c r="P5524" s="265">
        <f t="shared" ref="P5524:P5530" si="606">WEEKNUM(D5524)</f>
        <v>23</v>
      </c>
    </row>
    <row r="5525" spans="1:16" ht="15" hidden="1" customHeight="1">
      <c r="A5525" s="103">
        <v>68917388</v>
      </c>
      <c r="B5525" s="608">
        <v>3910</v>
      </c>
      <c r="C5525" s="601">
        <v>80000</v>
      </c>
      <c r="D5525" s="606">
        <v>46204</v>
      </c>
      <c r="E5525" s="103" t="s">
        <v>561</v>
      </c>
      <c r="F5525" s="608" t="s">
        <v>32</v>
      </c>
      <c r="G5525" s="395">
        <f>VLOOKUP($A5525,'Tech Litons'!$A:$I,8,FALSE)</f>
        <v>3.9119999999999997E-3</v>
      </c>
      <c r="H5525" s="174">
        <f>VLOOKUP($A5525,'Tech Litons'!$A:$I,9,FALSE)</f>
        <v>322</v>
      </c>
      <c r="I5525" s="174" t="str">
        <f>VLOOKUP($A5525,'Tech Litons'!$A:$C,3,0)</f>
        <v>EFW</v>
      </c>
      <c r="J5525" s="175" t="str">
        <f t="shared" si="602"/>
        <v>3910EFW</v>
      </c>
      <c r="K5525" s="974">
        <v>1</v>
      </c>
      <c r="L5525" s="177">
        <f t="shared" si="596"/>
        <v>80000</v>
      </c>
      <c r="M5525" s="177">
        <f t="shared" si="603"/>
        <v>312.95999999999998</v>
      </c>
      <c r="N5525" s="177">
        <f t="shared" si="604"/>
        <v>248.44720496894411</v>
      </c>
      <c r="O5525" s="175" t="str">
        <f t="shared" si="605"/>
        <v>Jul</v>
      </c>
      <c r="P5525" s="265">
        <f t="shared" si="606"/>
        <v>27</v>
      </c>
    </row>
    <row r="5526" spans="1:16" ht="15" hidden="1" customHeight="1">
      <c r="A5526" s="103">
        <v>68917388</v>
      </c>
      <c r="B5526" s="608">
        <v>3910</v>
      </c>
      <c r="C5526" s="601">
        <v>60000</v>
      </c>
      <c r="D5526" s="606">
        <v>46235</v>
      </c>
      <c r="E5526" s="103" t="s">
        <v>561</v>
      </c>
      <c r="F5526" s="608" t="s">
        <v>32</v>
      </c>
      <c r="G5526" s="395">
        <f>VLOOKUP($A5526,'Tech Litons'!$A:$I,8,FALSE)</f>
        <v>3.9119999999999997E-3</v>
      </c>
      <c r="H5526" s="174">
        <f>VLOOKUP($A5526,'Tech Litons'!$A:$I,9,FALSE)</f>
        <v>322</v>
      </c>
      <c r="I5526" s="174" t="str">
        <f>VLOOKUP($A5526,'Tech Litons'!$A:$C,3,0)</f>
        <v>EFW</v>
      </c>
      <c r="J5526" s="175" t="str">
        <f t="shared" si="602"/>
        <v>3910EFW</v>
      </c>
      <c r="K5526" s="974">
        <v>1</v>
      </c>
      <c r="L5526" s="177">
        <f t="shared" si="596"/>
        <v>60000</v>
      </c>
      <c r="M5526" s="177">
        <f t="shared" si="603"/>
        <v>234.71999999999997</v>
      </c>
      <c r="N5526" s="177">
        <f t="shared" si="604"/>
        <v>186.33540372670808</v>
      </c>
      <c r="O5526" s="175" t="str">
        <f t="shared" si="605"/>
        <v>Aug</v>
      </c>
      <c r="P5526" s="265">
        <f t="shared" si="606"/>
        <v>31</v>
      </c>
    </row>
    <row r="5527" spans="1:16" ht="15" hidden="1" customHeight="1">
      <c r="A5527" s="103">
        <v>68917388</v>
      </c>
      <c r="B5527" s="608">
        <v>3910</v>
      </c>
      <c r="C5527" s="601">
        <v>20000</v>
      </c>
      <c r="D5527" s="606">
        <v>46266</v>
      </c>
      <c r="E5527" s="103" t="s">
        <v>561</v>
      </c>
      <c r="F5527" s="608" t="s">
        <v>32</v>
      </c>
      <c r="G5527" s="395">
        <f>VLOOKUP($A5527,'Tech Litons'!$A:$I,8,FALSE)</f>
        <v>3.9119999999999997E-3</v>
      </c>
      <c r="H5527" s="174">
        <f>VLOOKUP($A5527,'Tech Litons'!$A:$I,9,FALSE)</f>
        <v>322</v>
      </c>
      <c r="I5527" s="174" t="str">
        <f>VLOOKUP($A5527,'Tech Litons'!$A:$C,3,0)</f>
        <v>EFW</v>
      </c>
      <c r="J5527" s="175" t="str">
        <f t="shared" si="602"/>
        <v>3910EFW</v>
      </c>
      <c r="K5527" s="974">
        <v>1</v>
      </c>
      <c r="L5527" s="177">
        <f t="shared" si="596"/>
        <v>20000</v>
      </c>
      <c r="M5527" s="177">
        <f t="shared" si="603"/>
        <v>78.239999999999995</v>
      </c>
      <c r="N5527" s="177">
        <f t="shared" si="604"/>
        <v>62.111801242236027</v>
      </c>
      <c r="O5527" s="175" t="str">
        <f t="shared" si="605"/>
        <v>Sep</v>
      </c>
      <c r="P5527" s="265">
        <f t="shared" si="606"/>
        <v>36</v>
      </c>
    </row>
    <row r="5528" spans="1:16" ht="15" hidden="1" customHeight="1">
      <c r="A5528" s="103">
        <v>68917388</v>
      </c>
      <c r="B5528" s="608">
        <v>3910</v>
      </c>
      <c r="C5528" s="601">
        <v>20000</v>
      </c>
      <c r="D5528" s="606">
        <v>46296</v>
      </c>
      <c r="E5528" s="103" t="s">
        <v>561</v>
      </c>
      <c r="F5528" s="608" t="s">
        <v>32</v>
      </c>
      <c r="G5528" s="395">
        <f>VLOOKUP($A5528,'Tech Litons'!$A:$I,8,FALSE)</f>
        <v>3.9119999999999997E-3</v>
      </c>
      <c r="H5528" s="174">
        <f>VLOOKUP($A5528,'Tech Litons'!$A:$I,9,FALSE)</f>
        <v>322</v>
      </c>
      <c r="I5528" s="174" t="str">
        <f>VLOOKUP($A5528,'Tech Litons'!$A:$C,3,0)</f>
        <v>EFW</v>
      </c>
      <c r="J5528" s="175" t="str">
        <f t="shared" si="602"/>
        <v>3910EFW</v>
      </c>
      <c r="K5528" s="974">
        <v>1</v>
      </c>
      <c r="L5528" s="177">
        <f t="shared" si="596"/>
        <v>20000</v>
      </c>
      <c r="M5528" s="177">
        <f t="shared" si="603"/>
        <v>78.239999999999995</v>
      </c>
      <c r="N5528" s="177">
        <f t="shared" si="604"/>
        <v>62.111801242236027</v>
      </c>
      <c r="O5528" s="175" t="str">
        <f t="shared" si="605"/>
        <v>Oct</v>
      </c>
      <c r="P5528" s="265">
        <f t="shared" si="606"/>
        <v>40</v>
      </c>
    </row>
    <row r="5529" spans="1:16" ht="15" hidden="1" customHeight="1">
      <c r="A5529" s="103">
        <v>68917388</v>
      </c>
      <c r="B5529" s="608">
        <v>3910</v>
      </c>
      <c r="C5529" s="601">
        <v>40000</v>
      </c>
      <c r="D5529" s="606">
        <v>46327</v>
      </c>
      <c r="E5529" s="103" t="s">
        <v>561</v>
      </c>
      <c r="F5529" s="608" t="s">
        <v>32</v>
      </c>
      <c r="G5529" s="395">
        <f>VLOOKUP($A5529,'Tech Litons'!$A:$I,8,FALSE)</f>
        <v>3.9119999999999997E-3</v>
      </c>
      <c r="H5529" s="174">
        <f>VLOOKUP($A5529,'Tech Litons'!$A:$I,9,FALSE)</f>
        <v>322</v>
      </c>
      <c r="I5529" s="174" t="str">
        <f>VLOOKUP($A5529,'Tech Litons'!$A:$C,3,0)</f>
        <v>EFW</v>
      </c>
      <c r="J5529" s="175" t="str">
        <f t="shared" si="602"/>
        <v>3910EFW</v>
      </c>
      <c r="K5529" s="974">
        <v>1</v>
      </c>
      <c r="L5529" s="177">
        <f t="shared" si="596"/>
        <v>40000</v>
      </c>
      <c r="M5529" s="177">
        <f t="shared" si="603"/>
        <v>156.47999999999999</v>
      </c>
      <c r="N5529" s="177">
        <f t="shared" si="604"/>
        <v>124.22360248447205</v>
      </c>
      <c r="O5529" s="175" t="str">
        <f t="shared" si="605"/>
        <v>Nov</v>
      </c>
      <c r="P5529" s="265">
        <f t="shared" si="606"/>
        <v>45</v>
      </c>
    </row>
    <row r="5530" spans="1:16" ht="15" hidden="1" customHeight="1">
      <c r="A5530" s="103">
        <v>68917388</v>
      </c>
      <c r="B5530" s="608">
        <v>3910</v>
      </c>
      <c r="C5530" s="601">
        <v>20000</v>
      </c>
      <c r="D5530" s="606">
        <v>46357</v>
      </c>
      <c r="E5530" s="103" t="s">
        <v>561</v>
      </c>
      <c r="F5530" s="608" t="s">
        <v>32</v>
      </c>
      <c r="G5530" s="395">
        <f>VLOOKUP($A5530,'Tech Litons'!$A:$I,8,FALSE)</f>
        <v>3.9119999999999997E-3</v>
      </c>
      <c r="H5530" s="174">
        <f>VLOOKUP($A5530,'Tech Litons'!$A:$I,9,FALSE)</f>
        <v>322</v>
      </c>
      <c r="I5530" s="174" t="str">
        <f>VLOOKUP($A5530,'Tech Litons'!$A:$C,3,0)</f>
        <v>EFW</v>
      </c>
      <c r="J5530" s="175" t="str">
        <f t="shared" si="602"/>
        <v>3910EFW</v>
      </c>
      <c r="K5530" s="974">
        <v>1</v>
      </c>
      <c r="L5530" s="177">
        <f t="shared" si="596"/>
        <v>20000</v>
      </c>
      <c r="M5530" s="177">
        <f t="shared" si="603"/>
        <v>78.239999999999995</v>
      </c>
      <c r="N5530" s="177">
        <f t="shared" si="604"/>
        <v>62.111801242236027</v>
      </c>
      <c r="O5530" s="175" t="str">
        <f t="shared" si="605"/>
        <v>Dec</v>
      </c>
      <c r="P5530" s="265">
        <f t="shared" si="606"/>
        <v>49</v>
      </c>
    </row>
    <row r="5531" spans="1:16" ht="15" hidden="1" customHeight="1">
      <c r="A5531" s="608">
        <v>64874633</v>
      </c>
      <c r="B5531" s="608">
        <v>3910</v>
      </c>
      <c r="C5531" s="601"/>
      <c r="D5531" s="606">
        <v>46177</v>
      </c>
      <c r="E5531" s="608" t="s">
        <v>341</v>
      </c>
      <c r="F5531" s="608" t="s">
        <v>342</v>
      </c>
      <c r="G5531" s="916">
        <f>VLOOKUP($A5531,'Tech Litons'!$A:$I,8,FALSE)</f>
        <v>3.192E-3</v>
      </c>
      <c r="H5531" s="917">
        <f>VLOOKUP($A5531,'Tech Litons'!$A:$I,9,FALSE)</f>
        <v>280</v>
      </c>
      <c r="I5531" s="917" t="str">
        <f>VLOOKUP($A5531,'Tech Litons'!$A:$C,3,0)</f>
        <v>ESS</v>
      </c>
      <c r="J5531" s="918" t="str">
        <f t="shared" ref="J5531:J5537" si="607">B5531&amp;I5531</f>
        <v>3910ESS</v>
      </c>
      <c r="K5531" s="974">
        <v>1</v>
      </c>
      <c r="L5531" s="920">
        <f t="shared" si="596"/>
        <v>0</v>
      </c>
      <c r="M5531" s="920">
        <f t="shared" ref="M5531:M5537" si="608">L5531*G5531</f>
        <v>0</v>
      </c>
      <c r="N5531" s="920">
        <f t="shared" ref="N5531:N5537" si="609">L5531/H5531</f>
        <v>0</v>
      </c>
      <c r="O5531" s="918" t="str">
        <f t="shared" ref="O5531:O5537" si="610">TEXT(D5531,"MMM")</f>
        <v>Jun</v>
      </c>
      <c r="P5531" s="921">
        <f t="shared" ref="P5531:P5537" si="611">WEEKNUM(D5531)</f>
        <v>23</v>
      </c>
    </row>
    <row r="5532" spans="1:16" ht="15" hidden="1" customHeight="1">
      <c r="A5532" s="608">
        <v>64874633</v>
      </c>
      <c r="B5532" s="608">
        <v>3910</v>
      </c>
      <c r="C5532" s="601"/>
      <c r="D5532" s="606">
        <v>46207</v>
      </c>
      <c r="E5532" s="608" t="s">
        <v>341</v>
      </c>
      <c r="F5532" s="608" t="s">
        <v>342</v>
      </c>
      <c r="G5532" s="916">
        <f>VLOOKUP($A5532,'Tech Litons'!$A:$I,8,FALSE)</f>
        <v>3.192E-3</v>
      </c>
      <c r="H5532" s="917">
        <f>VLOOKUP($A5532,'Tech Litons'!$A:$I,9,FALSE)</f>
        <v>280</v>
      </c>
      <c r="I5532" s="917" t="str">
        <f>VLOOKUP($A5532,'Tech Litons'!$A:$C,3,0)</f>
        <v>ESS</v>
      </c>
      <c r="J5532" s="918" t="str">
        <f t="shared" si="607"/>
        <v>3910ESS</v>
      </c>
      <c r="K5532" s="974">
        <v>1</v>
      </c>
      <c r="L5532" s="920">
        <f t="shared" si="596"/>
        <v>0</v>
      </c>
      <c r="M5532" s="920">
        <f t="shared" si="608"/>
        <v>0</v>
      </c>
      <c r="N5532" s="920">
        <f t="shared" si="609"/>
        <v>0</v>
      </c>
      <c r="O5532" s="918" t="str">
        <f t="shared" si="610"/>
        <v>Jul</v>
      </c>
      <c r="P5532" s="921">
        <f t="shared" si="611"/>
        <v>27</v>
      </c>
    </row>
    <row r="5533" spans="1:16" ht="15" hidden="1" customHeight="1">
      <c r="A5533" s="608">
        <v>64874633</v>
      </c>
      <c r="B5533" s="608">
        <v>3910</v>
      </c>
      <c r="C5533" s="601"/>
      <c r="D5533" s="606">
        <v>46237</v>
      </c>
      <c r="E5533" s="608" t="s">
        <v>341</v>
      </c>
      <c r="F5533" s="608" t="s">
        <v>342</v>
      </c>
      <c r="G5533" s="916">
        <f>VLOOKUP($A5533,'Tech Litons'!$A:$I,8,FALSE)</f>
        <v>3.192E-3</v>
      </c>
      <c r="H5533" s="917">
        <f>VLOOKUP($A5533,'Tech Litons'!$A:$I,9,FALSE)</f>
        <v>280</v>
      </c>
      <c r="I5533" s="917" t="str">
        <f>VLOOKUP($A5533,'Tech Litons'!$A:$C,3,0)</f>
        <v>ESS</v>
      </c>
      <c r="J5533" s="918" t="str">
        <f t="shared" si="607"/>
        <v>3910ESS</v>
      </c>
      <c r="K5533" s="974">
        <v>1</v>
      </c>
      <c r="L5533" s="920">
        <f t="shared" si="596"/>
        <v>0</v>
      </c>
      <c r="M5533" s="920">
        <f t="shared" si="608"/>
        <v>0</v>
      </c>
      <c r="N5533" s="920">
        <f t="shared" si="609"/>
        <v>0</v>
      </c>
      <c r="O5533" s="918" t="str">
        <f t="shared" si="610"/>
        <v>Aug</v>
      </c>
      <c r="P5533" s="921">
        <f t="shared" si="611"/>
        <v>32</v>
      </c>
    </row>
    <row r="5534" spans="1:16" ht="15" hidden="1" customHeight="1">
      <c r="A5534" s="608">
        <v>64874633</v>
      </c>
      <c r="B5534" s="608">
        <v>3910</v>
      </c>
      <c r="C5534" s="601"/>
      <c r="D5534" s="606">
        <v>46267</v>
      </c>
      <c r="E5534" s="608" t="s">
        <v>341</v>
      </c>
      <c r="F5534" s="608" t="s">
        <v>342</v>
      </c>
      <c r="G5534" s="916">
        <f>VLOOKUP($A5534,'Tech Litons'!$A:$I,8,FALSE)</f>
        <v>3.192E-3</v>
      </c>
      <c r="H5534" s="917">
        <f>VLOOKUP($A5534,'Tech Litons'!$A:$I,9,FALSE)</f>
        <v>280</v>
      </c>
      <c r="I5534" s="917" t="str">
        <f>VLOOKUP($A5534,'Tech Litons'!$A:$C,3,0)</f>
        <v>ESS</v>
      </c>
      <c r="J5534" s="918" t="str">
        <f t="shared" si="607"/>
        <v>3910ESS</v>
      </c>
      <c r="K5534" s="974">
        <v>1</v>
      </c>
      <c r="L5534" s="920">
        <f t="shared" si="596"/>
        <v>0</v>
      </c>
      <c r="M5534" s="920">
        <f t="shared" si="608"/>
        <v>0</v>
      </c>
      <c r="N5534" s="920">
        <f t="shared" si="609"/>
        <v>0</v>
      </c>
      <c r="O5534" s="918" t="str">
        <f t="shared" si="610"/>
        <v>Sep</v>
      </c>
      <c r="P5534" s="921">
        <f t="shared" si="611"/>
        <v>36</v>
      </c>
    </row>
    <row r="5535" spans="1:16" ht="15" hidden="1" customHeight="1">
      <c r="A5535" s="608">
        <v>64874633</v>
      </c>
      <c r="B5535" s="608">
        <v>3910</v>
      </c>
      <c r="C5535" s="601"/>
      <c r="D5535" s="606">
        <v>46297</v>
      </c>
      <c r="E5535" s="608" t="s">
        <v>341</v>
      </c>
      <c r="F5535" s="608" t="s">
        <v>342</v>
      </c>
      <c r="G5535" s="916">
        <f>VLOOKUP($A5535,'Tech Litons'!$A:$I,8,FALSE)</f>
        <v>3.192E-3</v>
      </c>
      <c r="H5535" s="917">
        <f>VLOOKUP($A5535,'Tech Litons'!$A:$I,9,FALSE)</f>
        <v>280</v>
      </c>
      <c r="I5535" s="917" t="str">
        <f>VLOOKUP($A5535,'Tech Litons'!$A:$C,3,0)</f>
        <v>ESS</v>
      </c>
      <c r="J5535" s="918" t="str">
        <f t="shared" si="607"/>
        <v>3910ESS</v>
      </c>
      <c r="K5535" s="974">
        <v>1</v>
      </c>
      <c r="L5535" s="920">
        <f t="shared" si="596"/>
        <v>0</v>
      </c>
      <c r="M5535" s="920">
        <f t="shared" si="608"/>
        <v>0</v>
      </c>
      <c r="N5535" s="920">
        <f t="shared" si="609"/>
        <v>0</v>
      </c>
      <c r="O5535" s="918" t="str">
        <f t="shared" si="610"/>
        <v>Oct</v>
      </c>
      <c r="P5535" s="921">
        <f t="shared" si="611"/>
        <v>40</v>
      </c>
    </row>
    <row r="5536" spans="1:16" ht="15" hidden="1" customHeight="1">
      <c r="A5536" s="608">
        <v>64874633</v>
      </c>
      <c r="B5536" s="608">
        <v>3910</v>
      </c>
      <c r="C5536" s="601"/>
      <c r="D5536" s="606">
        <v>46327</v>
      </c>
      <c r="E5536" s="608" t="s">
        <v>341</v>
      </c>
      <c r="F5536" s="608" t="s">
        <v>342</v>
      </c>
      <c r="G5536" s="916">
        <f>VLOOKUP($A5536,'Tech Litons'!$A:$I,8,FALSE)</f>
        <v>3.192E-3</v>
      </c>
      <c r="H5536" s="917">
        <f>VLOOKUP($A5536,'Tech Litons'!$A:$I,9,FALSE)</f>
        <v>280</v>
      </c>
      <c r="I5536" s="917" t="str">
        <f>VLOOKUP($A5536,'Tech Litons'!$A:$C,3,0)</f>
        <v>ESS</v>
      </c>
      <c r="J5536" s="918" t="str">
        <f t="shared" si="607"/>
        <v>3910ESS</v>
      </c>
      <c r="K5536" s="974">
        <v>1</v>
      </c>
      <c r="L5536" s="920">
        <f t="shared" si="596"/>
        <v>0</v>
      </c>
      <c r="M5536" s="920">
        <f t="shared" si="608"/>
        <v>0</v>
      </c>
      <c r="N5536" s="920">
        <f t="shared" si="609"/>
        <v>0</v>
      </c>
      <c r="O5536" s="918" t="str">
        <f t="shared" si="610"/>
        <v>Nov</v>
      </c>
      <c r="P5536" s="921">
        <f t="shared" si="611"/>
        <v>45</v>
      </c>
    </row>
    <row r="5537" spans="1:16" ht="15" hidden="1" customHeight="1">
      <c r="A5537" s="608">
        <v>64874633</v>
      </c>
      <c r="B5537" s="608">
        <v>3910</v>
      </c>
      <c r="C5537" s="601"/>
      <c r="D5537" s="606">
        <v>46357</v>
      </c>
      <c r="E5537" s="608" t="s">
        <v>341</v>
      </c>
      <c r="F5537" s="608" t="s">
        <v>342</v>
      </c>
      <c r="G5537" s="916">
        <f>VLOOKUP($A5537,'Tech Litons'!$A:$I,8,FALSE)</f>
        <v>3.192E-3</v>
      </c>
      <c r="H5537" s="917">
        <f>VLOOKUP($A5537,'Tech Litons'!$A:$I,9,FALSE)</f>
        <v>280</v>
      </c>
      <c r="I5537" s="917" t="str">
        <f>VLOOKUP($A5537,'Tech Litons'!$A:$C,3,0)</f>
        <v>ESS</v>
      </c>
      <c r="J5537" s="918" t="str">
        <f t="shared" si="607"/>
        <v>3910ESS</v>
      </c>
      <c r="K5537" s="974">
        <v>1</v>
      </c>
      <c r="L5537" s="920">
        <f t="shared" si="596"/>
        <v>0</v>
      </c>
      <c r="M5537" s="920">
        <f t="shared" si="608"/>
        <v>0</v>
      </c>
      <c r="N5537" s="920">
        <f t="shared" si="609"/>
        <v>0</v>
      </c>
      <c r="O5537" s="918" t="str">
        <f t="shared" si="610"/>
        <v>Dec</v>
      </c>
      <c r="P5537" s="921">
        <f t="shared" si="611"/>
        <v>49</v>
      </c>
    </row>
    <row r="5538" spans="1:16" ht="15" hidden="1" customHeight="1">
      <c r="A5538" s="608">
        <v>69717802</v>
      </c>
      <c r="B5538" s="608">
        <v>2904</v>
      </c>
      <c r="C5538" s="601">
        <v>186200</v>
      </c>
      <c r="D5538" s="606">
        <v>46177</v>
      </c>
      <c r="E5538" s="608" t="s">
        <v>388</v>
      </c>
      <c r="F5538" s="608" t="s">
        <v>1240</v>
      </c>
      <c r="G5538" s="395">
        <f>VLOOKUP($A5538,'Tech Litons'!$A:$I,8,FALSE)</f>
        <v>4.2560000000000002E-3</v>
      </c>
      <c r="H5538" s="174">
        <f>VLOOKUP($A5538,'Tech Litons'!$A:$I,9,FALSE)</f>
        <v>143</v>
      </c>
      <c r="I5538" s="174" t="str">
        <f>VLOOKUP($A5538,'Tech Litons'!$A:$C,3,0)</f>
        <v>MG Sticks</v>
      </c>
      <c r="J5538" s="175" t="str">
        <f t="shared" ref="J5538:J5558" si="612">B5538&amp;I5538</f>
        <v>2904MG Sticks</v>
      </c>
      <c r="K5538" s="974">
        <v>1</v>
      </c>
      <c r="L5538" s="177">
        <f t="shared" si="596"/>
        <v>186200</v>
      </c>
      <c r="M5538" s="177">
        <f t="shared" ref="M5538:M5558" si="613">L5538*G5538</f>
        <v>792.46720000000005</v>
      </c>
      <c r="N5538" s="177">
        <f t="shared" ref="N5538:N5558" si="614">L5538/H5538</f>
        <v>1302.0979020979021</v>
      </c>
      <c r="O5538" s="175" t="str">
        <f t="shared" ref="O5538:O5558" si="615">TEXT(D5538,"MMM")</f>
        <v>Jun</v>
      </c>
      <c r="P5538" s="265">
        <f t="shared" ref="P5538:P5558" si="616">WEEKNUM(D5538)</f>
        <v>23</v>
      </c>
    </row>
    <row r="5539" spans="1:16" ht="15" hidden="1" customHeight="1">
      <c r="A5539" s="608">
        <v>69717802</v>
      </c>
      <c r="B5539" s="608">
        <v>2904</v>
      </c>
      <c r="C5539" s="601">
        <v>192850</v>
      </c>
      <c r="D5539" s="606">
        <v>46207</v>
      </c>
      <c r="E5539" s="608" t="s">
        <v>388</v>
      </c>
      <c r="F5539" s="608" t="s">
        <v>1240</v>
      </c>
      <c r="G5539" s="395">
        <f>VLOOKUP($A5539,'Tech Litons'!$A:$I,8,FALSE)</f>
        <v>4.2560000000000002E-3</v>
      </c>
      <c r="H5539" s="174">
        <f>VLOOKUP($A5539,'Tech Litons'!$A:$I,9,FALSE)</f>
        <v>143</v>
      </c>
      <c r="I5539" s="174" t="str">
        <f>VLOOKUP($A5539,'Tech Litons'!$A:$C,3,0)</f>
        <v>MG Sticks</v>
      </c>
      <c r="J5539" s="175" t="str">
        <f t="shared" si="612"/>
        <v>2904MG Sticks</v>
      </c>
      <c r="K5539" s="974">
        <v>1</v>
      </c>
      <c r="L5539" s="177">
        <f t="shared" si="596"/>
        <v>192850</v>
      </c>
      <c r="M5539" s="177">
        <f t="shared" si="613"/>
        <v>820.76960000000008</v>
      </c>
      <c r="N5539" s="177">
        <f t="shared" si="614"/>
        <v>1348.6013986013986</v>
      </c>
      <c r="O5539" s="175" t="str">
        <f t="shared" si="615"/>
        <v>Jul</v>
      </c>
      <c r="P5539" s="265">
        <f t="shared" si="616"/>
        <v>27</v>
      </c>
    </row>
    <row r="5540" spans="1:16" ht="15" hidden="1" customHeight="1">
      <c r="A5540" s="608">
        <v>69717802</v>
      </c>
      <c r="B5540" s="608">
        <v>2904</v>
      </c>
      <c r="C5540" s="601">
        <v>206150</v>
      </c>
      <c r="D5540" s="606">
        <v>46237</v>
      </c>
      <c r="E5540" s="608" t="s">
        <v>388</v>
      </c>
      <c r="F5540" s="608" t="s">
        <v>1240</v>
      </c>
      <c r="G5540" s="395">
        <f>VLOOKUP($A5540,'Tech Litons'!$A:$I,8,FALSE)</f>
        <v>4.2560000000000002E-3</v>
      </c>
      <c r="H5540" s="174">
        <f>VLOOKUP($A5540,'Tech Litons'!$A:$I,9,FALSE)</f>
        <v>143</v>
      </c>
      <c r="I5540" s="174" t="str">
        <f>VLOOKUP($A5540,'Tech Litons'!$A:$C,3,0)</f>
        <v>MG Sticks</v>
      </c>
      <c r="J5540" s="175" t="str">
        <f t="shared" si="612"/>
        <v>2904MG Sticks</v>
      </c>
      <c r="K5540" s="974">
        <v>1</v>
      </c>
      <c r="L5540" s="177">
        <f t="shared" si="596"/>
        <v>206150</v>
      </c>
      <c r="M5540" s="177">
        <f t="shared" si="613"/>
        <v>877.37440000000004</v>
      </c>
      <c r="N5540" s="177">
        <f t="shared" si="614"/>
        <v>1441.6083916083917</v>
      </c>
      <c r="O5540" s="175" t="str">
        <f t="shared" si="615"/>
        <v>Aug</v>
      </c>
      <c r="P5540" s="265">
        <f t="shared" si="616"/>
        <v>32</v>
      </c>
    </row>
    <row r="5541" spans="1:16" ht="15" hidden="1" customHeight="1">
      <c r="A5541" s="608">
        <v>69717802</v>
      </c>
      <c r="B5541" s="608">
        <v>2904</v>
      </c>
      <c r="C5541" s="601">
        <v>186200</v>
      </c>
      <c r="D5541" s="606">
        <v>46267</v>
      </c>
      <c r="E5541" s="608" t="s">
        <v>388</v>
      </c>
      <c r="F5541" s="608" t="s">
        <v>1240</v>
      </c>
      <c r="G5541" s="395">
        <f>VLOOKUP($A5541,'Tech Litons'!$A:$I,8,FALSE)</f>
        <v>4.2560000000000002E-3</v>
      </c>
      <c r="H5541" s="174">
        <f>VLOOKUP($A5541,'Tech Litons'!$A:$I,9,FALSE)</f>
        <v>143</v>
      </c>
      <c r="I5541" s="174" t="str">
        <f>VLOOKUP($A5541,'Tech Litons'!$A:$C,3,0)</f>
        <v>MG Sticks</v>
      </c>
      <c r="J5541" s="175" t="str">
        <f t="shared" si="612"/>
        <v>2904MG Sticks</v>
      </c>
      <c r="K5541" s="974">
        <v>1</v>
      </c>
      <c r="L5541" s="177">
        <f t="shared" si="596"/>
        <v>186200</v>
      </c>
      <c r="M5541" s="177">
        <f t="shared" si="613"/>
        <v>792.46720000000005</v>
      </c>
      <c r="N5541" s="177">
        <f t="shared" si="614"/>
        <v>1302.0979020979021</v>
      </c>
      <c r="O5541" s="175" t="str">
        <f t="shared" si="615"/>
        <v>Sep</v>
      </c>
      <c r="P5541" s="265">
        <f t="shared" si="616"/>
        <v>36</v>
      </c>
    </row>
    <row r="5542" spans="1:16" ht="15" hidden="1" customHeight="1">
      <c r="A5542" s="608">
        <v>69717802</v>
      </c>
      <c r="B5542" s="608">
        <v>2904</v>
      </c>
      <c r="C5542" s="601">
        <v>100000</v>
      </c>
      <c r="D5542" s="606">
        <v>46297</v>
      </c>
      <c r="E5542" s="608" t="s">
        <v>388</v>
      </c>
      <c r="F5542" s="608" t="s">
        <v>1240</v>
      </c>
      <c r="G5542" s="395">
        <f>VLOOKUP($A5542,'Tech Litons'!$A:$I,8,FALSE)</f>
        <v>4.2560000000000002E-3</v>
      </c>
      <c r="H5542" s="174">
        <f>VLOOKUP($A5542,'Tech Litons'!$A:$I,9,FALSE)</f>
        <v>143</v>
      </c>
      <c r="I5542" s="174" t="str">
        <f>VLOOKUP($A5542,'Tech Litons'!$A:$C,3,0)</f>
        <v>MG Sticks</v>
      </c>
      <c r="J5542" s="175" t="str">
        <f t="shared" si="612"/>
        <v>2904MG Sticks</v>
      </c>
      <c r="K5542" s="974">
        <v>1</v>
      </c>
      <c r="L5542" s="177">
        <f t="shared" si="596"/>
        <v>100000</v>
      </c>
      <c r="M5542" s="177">
        <f t="shared" si="613"/>
        <v>425.6</v>
      </c>
      <c r="N5542" s="177">
        <f t="shared" si="614"/>
        <v>699.30069930069931</v>
      </c>
      <c r="O5542" s="175" t="str">
        <f t="shared" si="615"/>
        <v>Oct</v>
      </c>
      <c r="P5542" s="265">
        <f t="shared" si="616"/>
        <v>40</v>
      </c>
    </row>
    <row r="5543" spans="1:16" ht="15" hidden="1" customHeight="1">
      <c r="A5543" s="608">
        <v>69717802</v>
      </c>
      <c r="B5543" s="608">
        <v>2904</v>
      </c>
      <c r="C5543" s="601"/>
      <c r="D5543" s="606">
        <v>46327</v>
      </c>
      <c r="E5543" s="608" t="s">
        <v>388</v>
      </c>
      <c r="F5543" s="608" t="s">
        <v>1240</v>
      </c>
      <c r="G5543" s="395">
        <f>VLOOKUP($A5543,'Tech Litons'!$A:$I,8,FALSE)</f>
        <v>4.2560000000000002E-3</v>
      </c>
      <c r="H5543" s="174">
        <f>VLOOKUP($A5543,'Tech Litons'!$A:$I,9,FALSE)</f>
        <v>143</v>
      </c>
      <c r="I5543" s="174" t="str">
        <f>VLOOKUP($A5543,'Tech Litons'!$A:$C,3,0)</f>
        <v>MG Sticks</v>
      </c>
      <c r="J5543" s="175" t="str">
        <f t="shared" si="612"/>
        <v>2904MG Sticks</v>
      </c>
      <c r="K5543" s="974">
        <v>1</v>
      </c>
      <c r="L5543" s="177">
        <f t="shared" si="596"/>
        <v>0</v>
      </c>
      <c r="M5543" s="177">
        <f t="shared" si="613"/>
        <v>0</v>
      </c>
      <c r="N5543" s="177">
        <f t="shared" si="614"/>
        <v>0</v>
      </c>
      <c r="O5543" s="175" t="str">
        <f t="shared" si="615"/>
        <v>Nov</v>
      </c>
      <c r="P5543" s="265">
        <f t="shared" si="616"/>
        <v>45</v>
      </c>
    </row>
    <row r="5544" spans="1:16" ht="15" hidden="1" customHeight="1">
      <c r="A5544" s="608">
        <v>69717802</v>
      </c>
      <c r="B5544" s="608">
        <v>2904</v>
      </c>
      <c r="C5544" s="601"/>
      <c r="D5544" s="606">
        <v>46357</v>
      </c>
      <c r="E5544" s="608" t="s">
        <v>388</v>
      </c>
      <c r="F5544" s="608" t="s">
        <v>1240</v>
      </c>
      <c r="G5544" s="395">
        <f>VLOOKUP($A5544,'Tech Litons'!$A:$I,8,FALSE)</f>
        <v>4.2560000000000002E-3</v>
      </c>
      <c r="H5544" s="174">
        <f>VLOOKUP($A5544,'Tech Litons'!$A:$I,9,FALSE)</f>
        <v>143</v>
      </c>
      <c r="I5544" s="174" t="str">
        <f>VLOOKUP($A5544,'Tech Litons'!$A:$C,3,0)</f>
        <v>MG Sticks</v>
      </c>
      <c r="J5544" s="175" t="str">
        <f t="shared" si="612"/>
        <v>2904MG Sticks</v>
      </c>
      <c r="K5544" s="974">
        <v>1</v>
      </c>
      <c r="L5544" s="177">
        <f t="shared" si="596"/>
        <v>0</v>
      </c>
      <c r="M5544" s="177">
        <f t="shared" si="613"/>
        <v>0</v>
      </c>
      <c r="N5544" s="177">
        <f t="shared" si="614"/>
        <v>0</v>
      </c>
      <c r="O5544" s="175" t="str">
        <f t="shared" si="615"/>
        <v>Dec</v>
      </c>
      <c r="P5544" s="265">
        <f t="shared" si="616"/>
        <v>49</v>
      </c>
    </row>
    <row r="5545" spans="1:16" ht="15" hidden="1" customHeight="1">
      <c r="A5545" s="608">
        <v>64330596</v>
      </c>
      <c r="B5545" s="608">
        <v>2904</v>
      </c>
      <c r="C5545" s="601">
        <v>199500</v>
      </c>
      <c r="D5545" s="606">
        <v>46177</v>
      </c>
      <c r="E5545" s="608" t="s">
        <v>280</v>
      </c>
      <c r="F5545" s="608" t="s">
        <v>1238</v>
      </c>
      <c r="G5545" s="395">
        <f>VLOOKUP($A5545,'Tech Litons'!$A:$I,8,FALSE)</f>
        <v>1.98E-3</v>
      </c>
      <c r="H5545" s="174">
        <f>VLOOKUP($A5545,'Tech Litons'!$A:$I,9,FALSE)</f>
        <v>176</v>
      </c>
      <c r="I5545" s="174" t="str">
        <f>VLOOKUP($A5545,'Tech Litons'!$A:$C,3,0)</f>
        <v>MG Sticks</v>
      </c>
      <c r="J5545" s="175" t="str">
        <f t="shared" si="612"/>
        <v>2904MG Sticks</v>
      </c>
      <c r="K5545" s="974">
        <v>1</v>
      </c>
      <c r="L5545" s="177">
        <f t="shared" si="596"/>
        <v>199500</v>
      </c>
      <c r="M5545" s="177">
        <f t="shared" si="613"/>
        <v>395.01</v>
      </c>
      <c r="N5545" s="177">
        <f t="shared" si="614"/>
        <v>1133.5227272727273</v>
      </c>
      <c r="O5545" s="175" t="str">
        <f t="shared" si="615"/>
        <v>Jun</v>
      </c>
      <c r="P5545" s="265">
        <f t="shared" si="616"/>
        <v>23</v>
      </c>
    </row>
    <row r="5546" spans="1:16" ht="15" hidden="1" customHeight="1">
      <c r="A5546" s="608">
        <v>64330596</v>
      </c>
      <c r="B5546" s="608">
        <v>2904</v>
      </c>
      <c r="C5546" s="601">
        <v>199500</v>
      </c>
      <c r="D5546" s="606">
        <v>46207</v>
      </c>
      <c r="E5546" s="608" t="s">
        <v>280</v>
      </c>
      <c r="F5546" s="608" t="s">
        <v>1238</v>
      </c>
      <c r="G5546" s="395">
        <f>VLOOKUP($A5546,'Tech Litons'!$A:$I,8,FALSE)</f>
        <v>1.98E-3</v>
      </c>
      <c r="H5546" s="174">
        <f>VLOOKUP($A5546,'Tech Litons'!$A:$I,9,FALSE)</f>
        <v>176</v>
      </c>
      <c r="I5546" s="174" t="str">
        <f>VLOOKUP($A5546,'Tech Litons'!$A:$C,3,0)</f>
        <v>MG Sticks</v>
      </c>
      <c r="J5546" s="175" t="str">
        <f t="shared" si="612"/>
        <v>2904MG Sticks</v>
      </c>
      <c r="K5546" s="974">
        <v>1</v>
      </c>
      <c r="L5546" s="177">
        <f t="shared" ref="L5546:L5609" si="617">C5546*$K5546</f>
        <v>199500</v>
      </c>
      <c r="M5546" s="177">
        <f t="shared" si="613"/>
        <v>395.01</v>
      </c>
      <c r="N5546" s="177">
        <f t="shared" si="614"/>
        <v>1133.5227272727273</v>
      </c>
      <c r="O5546" s="175" t="str">
        <f t="shared" si="615"/>
        <v>Jul</v>
      </c>
      <c r="P5546" s="265">
        <f t="shared" si="616"/>
        <v>27</v>
      </c>
    </row>
    <row r="5547" spans="1:16" ht="15" hidden="1" customHeight="1">
      <c r="A5547" s="608">
        <v>64330596</v>
      </c>
      <c r="B5547" s="608">
        <v>2904</v>
      </c>
      <c r="C5547" s="601">
        <v>133000</v>
      </c>
      <c r="D5547" s="606">
        <v>46237</v>
      </c>
      <c r="E5547" s="608" t="s">
        <v>280</v>
      </c>
      <c r="F5547" s="608" t="s">
        <v>1238</v>
      </c>
      <c r="G5547" s="395">
        <f>VLOOKUP($A5547,'Tech Litons'!$A:$I,8,FALSE)</f>
        <v>1.98E-3</v>
      </c>
      <c r="H5547" s="174">
        <f>VLOOKUP($A5547,'Tech Litons'!$A:$I,9,FALSE)</f>
        <v>176</v>
      </c>
      <c r="I5547" s="174" t="str">
        <f>VLOOKUP($A5547,'Tech Litons'!$A:$C,3,0)</f>
        <v>MG Sticks</v>
      </c>
      <c r="J5547" s="175" t="str">
        <f t="shared" si="612"/>
        <v>2904MG Sticks</v>
      </c>
      <c r="K5547" s="974">
        <v>1</v>
      </c>
      <c r="L5547" s="177">
        <f t="shared" si="617"/>
        <v>133000</v>
      </c>
      <c r="M5547" s="177">
        <f t="shared" si="613"/>
        <v>263.33999999999997</v>
      </c>
      <c r="N5547" s="177">
        <f t="shared" si="614"/>
        <v>755.68181818181813</v>
      </c>
      <c r="O5547" s="175" t="str">
        <f t="shared" si="615"/>
        <v>Aug</v>
      </c>
      <c r="P5547" s="265">
        <f t="shared" si="616"/>
        <v>32</v>
      </c>
    </row>
    <row r="5548" spans="1:16" ht="15" hidden="1" customHeight="1">
      <c r="A5548" s="608">
        <v>64330596</v>
      </c>
      <c r="B5548" s="608">
        <v>2904</v>
      </c>
      <c r="C5548" s="601">
        <v>182875</v>
      </c>
      <c r="D5548" s="606">
        <v>46267</v>
      </c>
      <c r="E5548" s="608" t="s">
        <v>280</v>
      </c>
      <c r="F5548" s="608" t="s">
        <v>1238</v>
      </c>
      <c r="G5548" s="395">
        <f>VLOOKUP($A5548,'Tech Litons'!$A:$I,8,FALSE)</f>
        <v>1.98E-3</v>
      </c>
      <c r="H5548" s="174">
        <f>VLOOKUP($A5548,'Tech Litons'!$A:$I,9,FALSE)</f>
        <v>176</v>
      </c>
      <c r="I5548" s="174" t="str">
        <f>VLOOKUP($A5548,'Tech Litons'!$A:$C,3,0)</f>
        <v>MG Sticks</v>
      </c>
      <c r="J5548" s="175" t="str">
        <f t="shared" si="612"/>
        <v>2904MG Sticks</v>
      </c>
      <c r="K5548" s="974">
        <v>1</v>
      </c>
      <c r="L5548" s="177">
        <f t="shared" si="617"/>
        <v>182875</v>
      </c>
      <c r="M5548" s="177">
        <f t="shared" si="613"/>
        <v>362.09249999999997</v>
      </c>
      <c r="N5548" s="177">
        <f t="shared" si="614"/>
        <v>1039.0625</v>
      </c>
      <c r="O5548" s="175" t="str">
        <f t="shared" si="615"/>
        <v>Sep</v>
      </c>
      <c r="P5548" s="265">
        <f t="shared" si="616"/>
        <v>36</v>
      </c>
    </row>
    <row r="5549" spans="1:16" ht="15" hidden="1" customHeight="1">
      <c r="A5549" s="608">
        <v>64330596</v>
      </c>
      <c r="B5549" s="608">
        <v>2904</v>
      </c>
      <c r="C5549" s="601">
        <v>0</v>
      </c>
      <c r="D5549" s="606">
        <v>46297</v>
      </c>
      <c r="E5549" s="608" t="s">
        <v>280</v>
      </c>
      <c r="F5549" s="608" t="s">
        <v>1238</v>
      </c>
      <c r="G5549" s="395">
        <f>VLOOKUP($A5549,'Tech Litons'!$A:$I,8,FALSE)</f>
        <v>1.98E-3</v>
      </c>
      <c r="H5549" s="174">
        <f>VLOOKUP($A5549,'Tech Litons'!$A:$I,9,FALSE)</f>
        <v>176</v>
      </c>
      <c r="I5549" s="174" t="str">
        <f>VLOOKUP($A5549,'Tech Litons'!$A:$C,3,0)</f>
        <v>MG Sticks</v>
      </c>
      <c r="J5549" s="175" t="str">
        <f t="shared" si="612"/>
        <v>2904MG Sticks</v>
      </c>
      <c r="K5549" s="974">
        <v>1</v>
      </c>
      <c r="L5549" s="177">
        <f t="shared" si="617"/>
        <v>0</v>
      </c>
      <c r="M5549" s="177">
        <f t="shared" si="613"/>
        <v>0</v>
      </c>
      <c r="N5549" s="177">
        <f t="shared" si="614"/>
        <v>0</v>
      </c>
      <c r="O5549" s="175" t="str">
        <f t="shared" si="615"/>
        <v>Oct</v>
      </c>
      <c r="P5549" s="265">
        <f t="shared" si="616"/>
        <v>40</v>
      </c>
    </row>
    <row r="5550" spans="1:16" ht="15" hidden="1" customHeight="1">
      <c r="A5550" s="608">
        <v>64330596</v>
      </c>
      <c r="B5550" s="608">
        <v>2904</v>
      </c>
      <c r="C5550" s="601">
        <v>0</v>
      </c>
      <c r="D5550" s="606">
        <v>46327</v>
      </c>
      <c r="E5550" s="608" t="s">
        <v>280</v>
      </c>
      <c r="F5550" s="608" t="s">
        <v>1238</v>
      </c>
      <c r="G5550" s="395">
        <f>VLOOKUP($A5550,'Tech Litons'!$A:$I,8,FALSE)</f>
        <v>1.98E-3</v>
      </c>
      <c r="H5550" s="174">
        <f>VLOOKUP($A5550,'Tech Litons'!$A:$I,9,FALSE)</f>
        <v>176</v>
      </c>
      <c r="I5550" s="174" t="str">
        <f>VLOOKUP($A5550,'Tech Litons'!$A:$C,3,0)</f>
        <v>MG Sticks</v>
      </c>
      <c r="J5550" s="175" t="str">
        <f t="shared" si="612"/>
        <v>2904MG Sticks</v>
      </c>
      <c r="K5550" s="974">
        <v>1</v>
      </c>
      <c r="L5550" s="177">
        <f t="shared" si="617"/>
        <v>0</v>
      </c>
      <c r="M5550" s="177">
        <f t="shared" si="613"/>
        <v>0</v>
      </c>
      <c r="N5550" s="177">
        <f t="shared" si="614"/>
        <v>0</v>
      </c>
      <c r="O5550" s="175" t="str">
        <f t="shared" si="615"/>
        <v>Nov</v>
      </c>
      <c r="P5550" s="265">
        <f t="shared" si="616"/>
        <v>45</v>
      </c>
    </row>
    <row r="5551" spans="1:16" ht="15" hidden="1" customHeight="1">
      <c r="A5551" s="608">
        <v>64330596</v>
      </c>
      <c r="B5551" s="608">
        <v>2904</v>
      </c>
      <c r="C5551" s="601">
        <v>0</v>
      </c>
      <c r="D5551" s="606">
        <v>46357</v>
      </c>
      <c r="E5551" s="608" t="s">
        <v>280</v>
      </c>
      <c r="F5551" s="608" t="s">
        <v>1238</v>
      </c>
      <c r="G5551" s="395">
        <f>VLOOKUP($A5551,'Tech Litons'!$A:$I,8,FALSE)</f>
        <v>1.98E-3</v>
      </c>
      <c r="H5551" s="174">
        <f>VLOOKUP($A5551,'Tech Litons'!$A:$I,9,FALSE)</f>
        <v>176</v>
      </c>
      <c r="I5551" s="174" t="str">
        <f>VLOOKUP($A5551,'Tech Litons'!$A:$C,3,0)</f>
        <v>MG Sticks</v>
      </c>
      <c r="J5551" s="175" t="str">
        <f t="shared" si="612"/>
        <v>2904MG Sticks</v>
      </c>
      <c r="K5551" s="974">
        <v>1</v>
      </c>
      <c r="L5551" s="177">
        <f t="shared" si="617"/>
        <v>0</v>
      </c>
      <c r="M5551" s="177">
        <f t="shared" si="613"/>
        <v>0</v>
      </c>
      <c r="N5551" s="177">
        <f t="shared" si="614"/>
        <v>0</v>
      </c>
      <c r="O5551" s="175" t="str">
        <f t="shared" si="615"/>
        <v>Dec</v>
      </c>
      <c r="P5551" s="265">
        <f t="shared" si="616"/>
        <v>49</v>
      </c>
    </row>
    <row r="5552" spans="1:16" ht="15" hidden="1" customHeight="1">
      <c r="A5552" s="608">
        <v>64330611</v>
      </c>
      <c r="B5552" s="608">
        <v>2904</v>
      </c>
      <c r="C5552" s="601">
        <v>309225</v>
      </c>
      <c r="D5552" s="606">
        <v>46177</v>
      </c>
      <c r="E5552" s="608" t="s">
        <v>354</v>
      </c>
      <c r="F5552" s="608" t="s">
        <v>283</v>
      </c>
      <c r="G5552" s="395">
        <f>VLOOKUP($A5552,'Tech Litons'!$A:$I,8,FALSE)</f>
        <v>2.16E-3</v>
      </c>
      <c r="H5552" s="174">
        <f>VLOOKUP($A5552,'Tech Litons'!$A:$I,9,FALSE)</f>
        <v>210</v>
      </c>
      <c r="I5552" s="174" t="str">
        <f>VLOOKUP($A5552,'Tech Litons'!$A:$C,3,0)</f>
        <v>MG Sticks</v>
      </c>
      <c r="J5552" s="175" t="str">
        <f t="shared" si="612"/>
        <v>2904MG Sticks</v>
      </c>
      <c r="K5552" s="974">
        <v>1</v>
      </c>
      <c r="L5552" s="177">
        <f t="shared" si="617"/>
        <v>309225</v>
      </c>
      <c r="M5552" s="177">
        <f t="shared" si="613"/>
        <v>667.92600000000004</v>
      </c>
      <c r="N5552" s="177">
        <f t="shared" si="614"/>
        <v>1472.5</v>
      </c>
      <c r="O5552" s="175" t="str">
        <f t="shared" si="615"/>
        <v>Jun</v>
      </c>
      <c r="P5552" s="265">
        <f t="shared" si="616"/>
        <v>23</v>
      </c>
    </row>
    <row r="5553" spans="1:16" ht="15" hidden="1" customHeight="1">
      <c r="A5553" s="608">
        <v>64330611</v>
      </c>
      <c r="B5553" s="608">
        <v>2904</v>
      </c>
      <c r="C5553" s="601">
        <v>318725</v>
      </c>
      <c r="D5553" s="606">
        <v>46207</v>
      </c>
      <c r="E5553" s="608" t="s">
        <v>354</v>
      </c>
      <c r="F5553" s="608" t="s">
        <v>283</v>
      </c>
      <c r="G5553" s="395">
        <f>VLOOKUP($A5553,'Tech Litons'!$A:$I,8,FALSE)</f>
        <v>2.16E-3</v>
      </c>
      <c r="H5553" s="174">
        <f>VLOOKUP($A5553,'Tech Litons'!$A:$I,9,FALSE)</f>
        <v>210</v>
      </c>
      <c r="I5553" s="174" t="str">
        <f>VLOOKUP($A5553,'Tech Litons'!$A:$C,3,0)</f>
        <v>MG Sticks</v>
      </c>
      <c r="J5553" s="175" t="str">
        <f t="shared" si="612"/>
        <v>2904MG Sticks</v>
      </c>
      <c r="K5553" s="974">
        <v>1</v>
      </c>
      <c r="L5553" s="177">
        <f t="shared" si="617"/>
        <v>318725</v>
      </c>
      <c r="M5553" s="177">
        <f t="shared" si="613"/>
        <v>688.44600000000003</v>
      </c>
      <c r="N5553" s="177">
        <f t="shared" si="614"/>
        <v>1517.7380952380952</v>
      </c>
      <c r="O5553" s="175" t="str">
        <f t="shared" si="615"/>
        <v>Jul</v>
      </c>
      <c r="P5553" s="265">
        <f t="shared" si="616"/>
        <v>27</v>
      </c>
    </row>
    <row r="5554" spans="1:16" ht="15" hidden="1" customHeight="1">
      <c r="A5554" s="608">
        <v>64330611</v>
      </c>
      <c r="B5554" s="608">
        <v>2904</v>
      </c>
      <c r="C5554" s="601">
        <v>337725</v>
      </c>
      <c r="D5554" s="606">
        <v>46237</v>
      </c>
      <c r="E5554" s="608" t="s">
        <v>354</v>
      </c>
      <c r="F5554" s="608" t="s">
        <v>283</v>
      </c>
      <c r="G5554" s="395">
        <f>VLOOKUP($A5554,'Tech Litons'!$A:$I,8,FALSE)</f>
        <v>2.16E-3</v>
      </c>
      <c r="H5554" s="174">
        <f>VLOOKUP($A5554,'Tech Litons'!$A:$I,9,FALSE)</f>
        <v>210</v>
      </c>
      <c r="I5554" s="174" t="str">
        <f>VLOOKUP($A5554,'Tech Litons'!$A:$C,3,0)</f>
        <v>MG Sticks</v>
      </c>
      <c r="J5554" s="175" t="str">
        <f t="shared" si="612"/>
        <v>2904MG Sticks</v>
      </c>
      <c r="K5554" s="974">
        <v>1</v>
      </c>
      <c r="L5554" s="177">
        <f t="shared" si="617"/>
        <v>337725</v>
      </c>
      <c r="M5554" s="177">
        <f t="shared" si="613"/>
        <v>729.48599999999999</v>
      </c>
      <c r="N5554" s="177">
        <f t="shared" si="614"/>
        <v>1608.2142857142858</v>
      </c>
      <c r="O5554" s="175" t="str">
        <f t="shared" si="615"/>
        <v>Aug</v>
      </c>
      <c r="P5554" s="265">
        <f t="shared" si="616"/>
        <v>32</v>
      </c>
    </row>
    <row r="5555" spans="1:16" ht="15" hidden="1" customHeight="1">
      <c r="A5555" s="608">
        <v>64330611</v>
      </c>
      <c r="B5555" s="608">
        <v>2904</v>
      </c>
      <c r="C5555" s="601">
        <v>199500</v>
      </c>
      <c r="D5555" s="606">
        <v>46267</v>
      </c>
      <c r="E5555" s="608" t="s">
        <v>354</v>
      </c>
      <c r="F5555" s="608" t="s">
        <v>283</v>
      </c>
      <c r="G5555" s="395">
        <f>VLOOKUP($A5555,'Tech Litons'!$A:$I,8,FALSE)</f>
        <v>2.16E-3</v>
      </c>
      <c r="H5555" s="174">
        <f>VLOOKUP($A5555,'Tech Litons'!$A:$I,9,FALSE)</f>
        <v>210</v>
      </c>
      <c r="I5555" s="174" t="str">
        <f>VLOOKUP($A5555,'Tech Litons'!$A:$C,3,0)</f>
        <v>MG Sticks</v>
      </c>
      <c r="J5555" s="175" t="str">
        <f t="shared" si="612"/>
        <v>2904MG Sticks</v>
      </c>
      <c r="K5555" s="974">
        <v>1</v>
      </c>
      <c r="L5555" s="177">
        <f t="shared" si="617"/>
        <v>199500</v>
      </c>
      <c r="M5555" s="177">
        <f t="shared" si="613"/>
        <v>430.92</v>
      </c>
      <c r="N5555" s="177">
        <f t="shared" si="614"/>
        <v>950</v>
      </c>
      <c r="O5555" s="175" t="str">
        <f t="shared" si="615"/>
        <v>Sep</v>
      </c>
      <c r="P5555" s="265">
        <f t="shared" si="616"/>
        <v>36</v>
      </c>
    </row>
    <row r="5556" spans="1:16" ht="15" hidden="1" customHeight="1">
      <c r="A5556" s="608">
        <v>64330611</v>
      </c>
      <c r="B5556" s="608">
        <v>2904</v>
      </c>
      <c r="C5556" s="601">
        <v>40000</v>
      </c>
      <c r="D5556" s="606">
        <v>46297</v>
      </c>
      <c r="E5556" s="608" t="s">
        <v>354</v>
      </c>
      <c r="F5556" s="608" t="s">
        <v>283</v>
      </c>
      <c r="G5556" s="395">
        <f>VLOOKUP($A5556,'Tech Litons'!$A:$I,8,FALSE)</f>
        <v>2.16E-3</v>
      </c>
      <c r="H5556" s="174">
        <f>VLOOKUP($A5556,'Tech Litons'!$A:$I,9,FALSE)</f>
        <v>210</v>
      </c>
      <c r="I5556" s="174" t="str">
        <f>VLOOKUP($A5556,'Tech Litons'!$A:$C,3,0)</f>
        <v>MG Sticks</v>
      </c>
      <c r="J5556" s="175" t="str">
        <f t="shared" si="612"/>
        <v>2904MG Sticks</v>
      </c>
      <c r="K5556" s="974">
        <v>1</v>
      </c>
      <c r="L5556" s="177">
        <f t="shared" si="617"/>
        <v>40000</v>
      </c>
      <c r="M5556" s="177">
        <f t="shared" si="613"/>
        <v>86.4</v>
      </c>
      <c r="N5556" s="177">
        <f t="shared" si="614"/>
        <v>190.47619047619048</v>
      </c>
      <c r="O5556" s="175" t="str">
        <f t="shared" si="615"/>
        <v>Oct</v>
      </c>
      <c r="P5556" s="265">
        <f t="shared" si="616"/>
        <v>40</v>
      </c>
    </row>
    <row r="5557" spans="1:16" ht="15" hidden="1" customHeight="1">
      <c r="A5557" s="608">
        <v>64330611</v>
      </c>
      <c r="B5557" s="608">
        <v>2904</v>
      </c>
      <c r="C5557" s="601"/>
      <c r="D5557" s="606">
        <v>46327</v>
      </c>
      <c r="E5557" s="608" t="s">
        <v>354</v>
      </c>
      <c r="F5557" s="608" t="s">
        <v>283</v>
      </c>
      <c r="G5557" s="395">
        <f>VLOOKUP($A5557,'Tech Litons'!$A:$I,8,FALSE)</f>
        <v>2.16E-3</v>
      </c>
      <c r="H5557" s="174">
        <f>VLOOKUP($A5557,'Tech Litons'!$A:$I,9,FALSE)</f>
        <v>210</v>
      </c>
      <c r="I5557" s="174" t="str">
        <f>VLOOKUP($A5557,'Tech Litons'!$A:$C,3,0)</f>
        <v>MG Sticks</v>
      </c>
      <c r="J5557" s="175" t="str">
        <f t="shared" si="612"/>
        <v>2904MG Sticks</v>
      </c>
      <c r="K5557" s="974">
        <v>1</v>
      </c>
      <c r="L5557" s="177">
        <f t="shared" si="617"/>
        <v>0</v>
      </c>
      <c r="M5557" s="177">
        <f t="shared" si="613"/>
        <v>0</v>
      </c>
      <c r="N5557" s="177">
        <f t="shared" si="614"/>
        <v>0</v>
      </c>
      <c r="O5557" s="175" t="str">
        <f t="shared" si="615"/>
        <v>Nov</v>
      </c>
      <c r="P5557" s="265">
        <f t="shared" si="616"/>
        <v>45</v>
      </c>
    </row>
    <row r="5558" spans="1:16" ht="15" hidden="1" customHeight="1">
      <c r="A5558" s="608">
        <v>64330611</v>
      </c>
      <c r="B5558" s="608">
        <v>2904</v>
      </c>
      <c r="C5558" s="601">
        <v>0</v>
      </c>
      <c r="D5558" s="606">
        <v>46357</v>
      </c>
      <c r="E5558" s="608" t="s">
        <v>354</v>
      </c>
      <c r="F5558" s="608" t="s">
        <v>283</v>
      </c>
      <c r="G5558" s="395">
        <f>VLOOKUP($A5558,'Tech Litons'!$A:$I,8,FALSE)</f>
        <v>2.16E-3</v>
      </c>
      <c r="H5558" s="174">
        <f>VLOOKUP($A5558,'Tech Litons'!$A:$I,9,FALSE)</f>
        <v>210</v>
      </c>
      <c r="I5558" s="174" t="str">
        <f>VLOOKUP($A5558,'Tech Litons'!$A:$C,3,0)</f>
        <v>MG Sticks</v>
      </c>
      <c r="J5558" s="175" t="str">
        <f t="shared" si="612"/>
        <v>2904MG Sticks</v>
      </c>
      <c r="K5558" s="974">
        <v>1</v>
      </c>
      <c r="L5558" s="177">
        <f t="shared" si="617"/>
        <v>0</v>
      </c>
      <c r="M5558" s="177">
        <f t="shared" si="613"/>
        <v>0</v>
      </c>
      <c r="N5558" s="177">
        <f t="shared" si="614"/>
        <v>0</v>
      </c>
      <c r="O5558" s="175" t="str">
        <f t="shared" si="615"/>
        <v>Dec</v>
      </c>
      <c r="P5558" s="265">
        <f t="shared" si="616"/>
        <v>49</v>
      </c>
    </row>
    <row r="5559" spans="1:16" ht="15" hidden="1" customHeight="1">
      <c r="A5559" s="608">
        <v>64958128</v>
      </c>
      <c r="B5559" s="608">
        <v>2904</v>
      </c>
      <c r="C5559" s="601">
        <v>275310</v>
      </c>
      <c r="D5559" s="606">
        <v>46177</v>
      </c>
      <c r="E5559" s="608" t="s">
        <v>235</v>
      </c>
      <c r="F5559" s="608" t="s">
        <v>1233</v>
      </c>
      <c r="G5559" s="395">
        <f>VLOOKUP($A5559,'Tech Litons'!$A:$I,8,FALSE)</f>
        <v>3.3119999999999998E-3</v>
      </c>
      <c r="H5559" s="174">
        <f>VLOOKUP($A5559,'Tech Litons'!$A:$I,9,FALSE)</f>
        <v>165</v>
      </c>
      <c r="I5559" s="174" t="str">
        <f>VLOOKUP($A5559,'Tech Litons'!$A:$C,3,0)</f>
        <v>Yasso Sticks</v>
      </c>
      <c r="J5559" s="175" t="str">
        <f t="shared" ref="J5559:J5565" si="618">B5559&amp;I5559</f>
        <v>2904Yasso Sticks</v>
      </c>
      <c r="K5559" s="974">
        <v>1</v>
      </c>
      <c r="L5559" s="177">
        <f t="shared" si="617"/>
        <v>275310</v>
      </c>
      <c r="M5559" s="177">
        <f t="shared" ref="M5559:M5565" si="619">L5559*G5559</f>
        <v>911.82671999999991</v>
      </c>
      <c r="N5559" s="177">
        <f t="shared" ref="N5559:N5565" si="620">L5559/H5559</f>
        <v>1668.5454545454545</v>
      </c>
      <c r="O5559" s="175" t="str">
        <f t="shared" ref="O5559:O5565" si="621">TEXT(D5559,"MMM")</f>
        <v>Jun</v>
      </c>
      <c r="P5559" s="265">
        <f t="shared" ref="P5559:P5565" si="622">WEEKNUM(D5559)</f>
        <v>23</v>
      </c>
    </row>
    <row r="5560" spans="1:16" ht="15" hidden="1" customHeight="1">
      <c r="A5560" s="608">
        <v>64958128</v>
      </c>
      <c r="B5560" s="608">
        <v>2904</v>
      </c>
      <c r="C5560" s="601">
        <v>285142.5</v>
      </c>
      <c r="D5560" s="606">
        <v>46207</v>
      </c>
      <c r="E5560" s="608" t="s">
        <v>235</v>
      </c>
      <c r="F5560" s="608" t="s">
        <v>1233</v>
      </c>
      <c r="G5560" s="395">
        <f>VLOOKUP($A5560,'Tech Litons'!$A:$I,8,FALSE)</f>
        <v>3.3119999999999998E-3</v>
      </c>
      <c r="H5560" s="174">
        <f>VLOOKUP($A5560,'Tech Litons'!$A:$I,9,FALSE)</f>
        <v>165</v>
      </c>
      <c r="I5560" s="174" t="str">
        <f>VLOOKUP($A5560,'Tech Litons'!$A:$C,3,0)</f>
        <v>Yasso Sticks</v>
      </c>
      <c r="J5560" s="175" t="str">
        <f t="shared" si="618"/>
        <v>2904Yasso Sticks</v>
      </c>
      <c r="K5560" s="974">
        <v>1</v>
      </c>
      <c r="L5560" s="177">
        <f t="shared" si="617"/>
        <v>285142.5</v>
      </c>
      <c r="M5560" s="177">
        <f t="shared" si="619"/>
        <v>944.39195999999993</v>
      </c>
      <c r="N5560" s="177">
        <f t="shared" si="620"/>
        <v>1728.1363636363637</v>
      </c>
      <c r="O5560" s="175" t="str">
        <f t="shared" si="621"/>
        <v>Jul</v>
      </c>
      <c r="P5560" s="265">
        <f t="shared" si="622"/>
        <v>27</v>
      </c>
    </row>
    <row r="5561" spans="1:16" ht="15" hidden="1" customHeight="1">
      <c r="A5561" s="608">
        <v>64958128</v>
      </c>
      <c r="B5561" s="608">
        <v>2904</v>
      </c>
      <c r="C5561" s="601">
        <v>304807.5</v>
      </c>
      <c r="D5561" s="606">
        <v>46237</v>
      </c>
      <c r="E5561" s="608" t="s">
        <v>235</v>
      </c>
      <c r="F5561" s="608" t="s">
        <v>1233</v>
      </c>
      <c r="G5561" s="395">
        <f>VLOOKUP($A5561,'Tech Litons'!$A:$I,8,FALSE)</f>
        <v>3.3119999999999998E-3</v>
      </c>
      <c r="H5561" s="174">
        <f>VLOOKUP($A5561,'Tech Litons'!$A:$I,9,FALSE)</f>
        <v>165</v>
      </c>
      <c r="I5561" s="174" t="str">
        <f>VLOOKUP($A5561,'Tech Litons'!$A:$C,3,0)</f>
        <v>Yasso Sticks</v>
      </c>
      <c r="J5561" s="175" t="str">
        <f t="shared" si="618"/>
        <v>2904Yasso Sticks</v>
      </c>
      <c r="K5561" s="974">
        <v>1</v>
      </c>
      <c r="L5561" s="177">
        <f t="shared" si="617"/>
        <v>304807.5</v>
      </c>
      <c r="M5561" s="177">
        <f t="shared" si="619"/>
        <v>1009.52244</v>
      </c>
      <c r="N5561" s="177">
        <f t="shared" si="620"/>
        <v>1847.3181818181818</v>
      </c>
      <c r="O5561" s="175" t="str">
        <f t="shared" si="621"/>
        <v>Aug</v>
      </c>
      <c r="P5561" s="265">
        <f t="shared" si="622"/>
        <v>32</v>
      </c>
    </row>
    <row r="5562" spans="1:16" ht="15" hidden="1" customHeight="1">
      <c r="A5562" s="608">
        <v>64958128</v>
      </c>
      <c r="B5562" s="608">
        <v>2904</v>
      </c>
      <c r="C5562" s="601">
        <v>275310</v>
      </c>
      <c r="D5562" s="606">
        <v>46267</v>
      </c>
      <c r="E5562" s="608" t="s">
        <v>235</v>
      </c>
      <c r="F5562" s="608" t="s">
        <v>1233</v>
      </c>
      <c r="G5562" s="395">
        <f>VLOOKUP($A5562,'Tech Litons'!$A:$I,8,FALSE)</f>
        <v>3.3119999999999998E-3</v>
      </c>
      <c r="H5562" s="174">
        <f>VLOOKUP($A5562,'Tech Litons'!$A:$I,9,FALSE)</f>
        <v>165</v>
      </c>
      <c r="I5562" s="174" t="str">
        <f>VLOOKUP($A5562,'Tech Litons'!$A:$C,3,0)</f>
        <v>Yasso Sticks</v>
      </c>
      <c r="J5562" s="175" t="str">
        <f t="shared" si="618"/>
        <v>2904Yasso Sticks</v>
      </c>
      <c r="K5562" s="974">
        <v>1</v>
      </c>
      <c r="L5562" s="177">
        <f t="shared" si="617"/>
        <v>275310</v>
      </c>
      <c r="M5562" s="177">
        <f t="shared" si="619"/>
        <v>911.82671999999991</v>
      </c>
      <c r="N5562" s="177">
        <f t="shared" si="620"/>
        <v>1668.5454545454545</v>
      </c>
      <c r="O5562" s="175" t="str">
        <f t="shared" si="621"/>
        <v>Sep</v>
      </c>
      <c r="P5562" s="265">
        <f t="shared" si="622"/>
        <v>36</v>
      </c>
    </row>
    <row r="5563" spans="1:16" ht="15" hidden="1" customHeight="1">
      <c r="A5563" s="608">
        <v>64958128</v>
      </c>
      <c r="B5563" s="608">
        <v>2904</v>
      </c>
      <c r="C5563" s="601">
        <v>285142.5</v>
      </c>
      <c r="D5563" s="606">
        <v>46297</v>
      </c>
      <c r="E5563" s="608" t="s">
        <v>235</v>
      </c>
      <c r="F5563" s="608" t="s">
        <v>1233</v>
      </c>
      <c r="G5563" s="395">
        <f>VLOOKUP($A5563,'Tech Litons'!$A:$I,8,FALSE)</f>
        <v>3.3119999999999998E-3</v>
      </c>
      <c r="H5563" s="174">
        <f>VLOOKUP($A5563,'Tech Litons'!$A:$I,9,FALSE)</f>
        <v>165</v>
      </c>
      <c r="I5563" s="174" t="str">
        <f>VLOOKUP($A5563,'Tech Litons'!$A:$C,3,0)</f>
        <v>Yasso Sticks</v>
      </c>
      <c r="J5563" s="175" t="str">
        <f t="shared" si="618"/>
        <v>2904Yasso Sticks</v>
      </c>
      <c r="K5563" s="974">
        <v>1</v>
      </c>
      <c r="L5563" s="177">
        <f t="shared" si="617"/>
        <v>285142.5</v>
      </c>
      <c r="M5563" s="177">
        <f t="shared" si="619"/>
        <v>944.39195999999993</v>
      </c>
      <c r="N5563" s="177">
        <f t="shared" si="620"/>
        <v>1728.1363636363637</v>
      </c>
      <c r="O5563" s="175" t="str">
        <f t="shared" si="621"/>
        <v>Oct</v>
      </c>
      <c r="P5563" s="265">
        <f t="shared" si="622"/>
        <v>40</v>
      </c>
    </row>
    <row r="5564" spans="1:16" ht="15" hidden="1" customHeight="1">
      <c r="A5564" s="608">
        <v>64958128</v>
      </c>
      <c r="B5564" s="608">
        <v>2904</v>
      </c>
      <c r="C5564" s="601">
        <v>265477.5</v>
      </c>
      <c r="D5564" s="606">
        <v>46327</v>
      </c>
      <c r="E5564" s="608" t="s">
        <v>235</v>
      </c>
      <c r="F5564" s="608" t="s">
        <v>1233</v>
      </c>
      <c r="G5564" s="395">
        <f>VLOOKUP($A5564,'Tech Litons'!$A:$I,8,FALSE)</f>
        <v>3.3119999999999998E-3</v>
      </c>
      <c r="H5564" s="174">
        <f>VLOOKUP($A5564,'Tech Litons'!$A:$I,9,FALSE)</f>
        <v>165</v>
      </c>
      <c r="I5564" s="174" t="str">
        <f>VLOOKUP($A5564,'Tech Litons'!$A:$C,3,0)</f>
        <v>Yasso Sticks</v>
      </c>
      <c r="J5564" s="175" t="str">
        <f t="shared" si="618"/>
        <v>2904Yasso Sticks</v>
      </c>
      <c r="K5564" s="974">
        <v>1</v>
      </c>
      <c r="L5564" s="177">
        <f t="shared" si="617"/>
        <v>265477.5</v>
      </c>
      <c r="M5564" s="177">
        <f t="shared" si="619"/>
        <v>879.26148000000001</v>
      </c>
      <c r="N5564" s="177">
        <f t="shared" si="620"/>
        <v>1608.9545454545455</v>
      </c>
      <c r="O5564" s="175" t="str">
        <f t="shared" si="621"/>
        <v>Nov</v>
      </c>
      <c r="P5564" s="265">
        <f t="shared" si="622"/>
        <v>45</v>
      </c>
    </row>
    <row r="5565" spans="1:16" ht="15" hidden="1" customHeight="1">
      <c r="A5565" s="608">
        <v>64958128</v>
      </c>
      <c r="B5565" s="608">
        <v>2904</v>
      </c>
      <c r="C5565" s="601">
        <v>265477.5</v>
      </c>
      <c r="D5565" s="606">
        <v>46357</v>
      </c>
      <c r="E5565" s="608" t="s">
        <v>235</v>
      </c>
      <c r="F5565" s="608" t="s">
        <v>1233</v>
      </c>
      <c r="G5565" s="395">
        <f>VLOOKUP($A5565,'Tech Litons'!$A:$I,8,FALSE)</f>
        <v>3.3119999999999998E-3</v>
      </c>
      <c r="H5565" s="174">
        <f>VLOOKUP($A5565,'Tech Litons'!$A:$I,9,FALSE)</f>
        <v>165</v>
      </c>
      <c r="I5565" s="174" t="str">
        <f>VLOOKUP($A5565,'Tech Litons'!$A:$C,3,0)</f>
        <v>Yasso Sticks</v>
      </c>
      <c r="J5565" s="175" t="str">
        <f t="shared" si="618"/>
        <v>2904Yasso Sticks</v>
      </c>
      <c r="K5565" s="974">
        <v>1</v>
      </c>
      <c r="L5565" s="177">
        <f t="shared" si="617"/>
        <v>265477.5</v>
      </c>
      <c r="M5565" s="177">
        <f t="shared" si="619"/>
        <v>879.26148000000001</v>
      </c>
      <c r="N5565" s="177">
        <f t="shared" si="620"/>
        <v>1608.9545454545455</v>
      </c>
      <c r="O5565" s="175" t="str">
        <f t="shared" si="621"/>
        <v>Dec</v>
      </c>
      <c r="P5565" s="265">
        <f t="shared" si="622"/>
        <v>49</v>
      </c>
    </row>
    <row r="5566" spans="1:16" ht="15" hidden="1" customHeight="1">
      <c r="A5566" s="608">
        <v>64958128</v>
      </c>
      <c r="B5566" s="608">
        <v>1715</v>
      </c>
      <c r="C5566" s="601"/>
      <c r="D5566" s="606">
        <v>46177</v>
      </c>
      <c r="E5566" s="608" t="s">
        <v>235</v>
      </c>
      <c r="F5566" s="608">
        <v>1715</v>
      </c>
      <c r="G5566" s="395">
        <f>VLOOKUP($A5566,'Tech Litons'!$A:$I,8,FALSE)</f>
        <v>3.3119999999999998E-3</v>
      </c>
      <c r="H5566" s="174">
        <f>VLOOKUP($A5566,'Tech Litons'!$A:$I,9,FALSE)</f>
        <v>165</v>
      </c>
      <c r="I5566" s="174" t="str">
        <f>VLOOKUP($A5566,'Tech Litons'!$A:$C,3,0)</f>
        <v>Yasso Sticks</v>
      </c>
      <c r="J5566" s="175" t="str">
        <f t="shared" ref="J5566:J5586" si="623">B5566&amp;I5566</f>
        <v>1715Yasso Sticks</v>
      </c>
      <c r="K5566" s="974">
        <v>1</v>
      </c>
      <c r="L5566" s="177">
        <f t="shared" si="617"/>
        <v>0</v>
      </c>
      <c r="M5566" s="177">
        <f t="shared" ref="M5566:M5586" si="624">L5566*G5566</f>
        <v>0</v>
      </c>
      <c r="N5566" s="177">
        <f t="shared" ref="N5566:N5586" si="625">L5566/H5566</f>
        <v>0</v>
      </c>
      <c r="O5566" s="175" t="str">
        <f t="shared" ref="O5566:O5586" si="626">TEXT(D5566,"MMM")</f>
        <v>Jun</v>
      </c>
      <c r="P5566" s="265">
        <f t="shared" ref="P5566:P5586" si="627">WEEKNUM(D5566)</f>
        <v>23</v>
      </c>
    </row>
    <row r="5567" spans="1:16" ht="15" hidden="1" customHeight="1">
      <c r="A5567" s="608">
        <v>64958128</v>
      </c>
      <c r="B5567" s="608">
        <v>1715</v>
      </c>
      <c r="C5567" s="601"/>
      <c r="D5567" s="606">
        <v>46207</v>
      </c>
      <c r="E5567" s="608" t="s">
        <v>235</v>
      </c>
      <c r="F5567" s="608">
        <v>1715</v>
      </c>
      <c r="G5567" s="395">
        <f>VLOOKUP($A5567,'Tech Litons'!$A:$I,8,FALSE)</f>
        <v>3.3119999999999998E-3</v>
      </c>
      <c r="H5567" s="174">
        <f>VLOOKUP($A5567,'Tech Litons'!$A:$I,9,FALSE)</f>
        <v>165</v>
      </c>
      <c r="I5567" s="174" t="str">
        <f>VLOOKUP($A5567,'Tech Litons'!$A:$C,3,0)</f>
        <v>Yasso Sticks</v>
      </c>
      <c r="J5567" s="175" t="str">
        <f t="shared" si="623"/>
        <v>1715Yasso Sticks</v>
      </c>
      <c r="K5567" s="974">
        <v>1</v>
      </c>
      <c r="L5567" s="177">
        <f t="shared" si="617"/>
        <v>0</v>
      </c>
      <c r="M5567" s="177">
        <f t="shared" si="624"/>
        <v>0</v>
      </c>
      <c r="N5567" s="177">
        <f t="shared" si="625"/>
        <v>0</v>
      </c>
      <c r="O5567" s="175" t="str">
        <f t="shared" si="626"/>
        <v>Jul</v>
      </c>
      <c r="P5567" s="265">
        <f t="shared" si="627"/>
        <v>27</v>
      </c>
    </row>
    <row r="5568" spans="1:16" ht="15" hidden="1" customHeight="1">
      <c r="A5568" s="608">
        <v>64958128</v>
      </c>
      <c r="B5568" s="608">
        <v>1715</v>
      </c>
      <c r="C5568" s="601"/>
      <c r="D5568" s="606">
        <v>46237</v>
      </c>
      <c r="E5568" s="608" t="s">
        <v>235</v>
      </c>
      <c r="F5568" s="608">
        <v>1715</v>
      </c>
      <c r="G5568" s="395">
        <f>VLOOKUP($A5568,'Tech Litons'!$A:$I,8,FALSE)</f>
        <v>3.3119999999999998E-3</v>
      </c>
      <c r="H5568" s="174">
        <f>VLOOKUP($A5568,'Tech Litons'!$A:$I,9,FALSE)</f>
        <v>165</v>
      </c>
      <c r="I5568" s="174" t="str">
        <f>VLOOKUP($A5568,'Tech Litons'!$A:$C,3,0)</f>
        <v>Yasso Sticks</v>
      </c>
      <c r="J5568" s="175" t="str">
        <f t="shared" si="623"/>
        <v>1715Yasso Sticks</v>
      </c>
      <c r="K5568" s="974">
        <v>1</v>
      </c>
      <c r="L5568" s="177">
        <f t="shared" si="617"/>
        <v>0</v>
      </c>
      <c r="M5568" s="177">
        <f t="shared" si="624"/>
        <v>0</v>
      </c>
      <c r="N5568" s="177">
        <f t="shared" si="625"/>
        <v>0</v>
      </c>
      <c r="O5568" s="175" t="str">
        <f t="shared" si="626"/>
        <v>Aug</v>
      </c>
      <c r="P5568" s="265">
        <f t="shared" si="627"/>
        <v>32</v>
      </c>
    </row>
    <row r="5569" spans="1:16" ht="15" hidden="1" customHeight="1">
      <c r="A5569" s="608">
        <v>64958128</v>
      </c>
      <c r="B5569" s="608">
        <v>1715</v>
      </c>
      <c r="C5569" s="601"/>
      <c r="D5569" s="606">
        <v>46267</v>
      </c>
      <c r="E5569" s="608" t="s">
        <v>235</v>
      </c>
      <c r="F5569" s="608">
        <v>1715</v>
      </c>
      <c r="G5569" s="395">
        <f>VLOOKUP($A5569,'Tech Litons'!$A:$I,8,FALSE)</f>
        <v>3.3119999999999998E-3</v>
      </c>
      <c r="H5569" s="174">
        <f>VLOOKUP($A5569,'Tech Litons'!$A:$I,9,FALSE)</f>
        <v>165</v>
      </c>
      <c r="I5569" s="174" t="str">
        <f>VLOOKUP($A5569,'Tech Litons'!$A:$C,3,0)</f>
        <v>Yasso Sticks</v>
      </c>
      <c r="J5569" s="175" t="str">
        <f t="shared" si="623"/>
        <v>1715Yasso Sticks</v>
      </c>
      <c r="K5569" s="974">
        <v>1</v>
      </c>
      <c r="L5569" s="177">
        <f t="shared" si="617"/>
        <v>0</v>
      </c>
      <c r="M5569" s="177">
        <f t="shared" si="624"/>
        <v>0</v>
      </c>
      <c r="N5569" s="177">
        <f t="shared" si="625"/>
        <v>0</v>
      </c>
      <c r="O5569" s="175" t="str">
        <f t="shared" si="626"/>
        <v>Sep</v>
      </c>
      <c r="P5569" s="265">
        <f t="shared" si="627"/>
        <v>36</v>
      </c>
    </row>
    <row r="5570" spans="1:16" ht="15" hidden="1" customHeight="1">
      <c r="A5570" s="608">
        <v>64958128</v>
      </c>
      <c r="B5570" s="608">
        <v>1715</v>
      </c>
      <c r="C5570" s="601"/>
      <c r="D5570" s="606">
        <v>46297</v>
      </c>
      <c r="E5570" s="608" t="s">
        <v>235</v>
      </c>
      <c r="F5570" s="608">
        <v>1715</v>
      </c>
      <c r="G5570" s="395">
        <f>VLOOKUP($A5570,'Tech Litons'!$A:$I,8,FALSE)</f>
        <v>3.3119999999999998E-3</v>
      </c>
      <c r="H5570" s="174">
        <f>VLOOKUP($A5570,'Tech Litons'!$A:$I,9,FALSE)</f>
        <v>165</v>
      </c>
      <c r="I5570" s="174" t="str">
        <f>VLOOKUP($A5570,'Tech Litons'!$A:$C,3,0)</f>
        <v>Yasso Sticks</v>
      </c>
      <c r="J5570" s="175" t="str">
        <f t="shared" si="623"/>
        <v>1715Yasso Sticks</v>
      </c>
      <c r="K5570" s="974">
        <v>1</v>
      </c>
      <c r="L5570" s="177">
        <f t="shared" si="617"/>
        <v>0</v>
      </c>
      <c r="M5570" s="177">
        <f t="shared" si="624"/>
        <v>0</v>
      </c>
      <c r="N5570" s="177">
        <f t="shared" si="625"/>
        <v>0</v>
      </c>
      <c r="O5570" s="175" t="str">
        <f t="shared" si="626"/>
        <v>Oct</v>
      </c>
      <c r="P5570" s="265">
        <f t="shared" si="627"/>
        <v>40</v>
      </c>
    </row>
    <row r="5571" spans="1:16" ht="15" hidden="1" customHeight="1">
      <c r="A5571" s="608">
        <v>64958128</v>
      </c>
      <c r="B5571" s="608">
        <v>1715</v>
      </c>
      <c r="C5571" s="601"/>
      <c r="D5571" s="606">
        <v>46327</v>
      </c>
      <c r="E5571" s="608" t="s">
        <v>235</v>
      </c>
      <c r="F5571" s="608">
        <v>1715</v>
      </c>
      <c r="G5571" s="395">
        <f>VLOOKUP($A5571,'Tech Litons'!$A:$I,8,FALSE)</f>
        <v>3.3119999999999998E-3</v>
      </c>
      <c r="H5571" s="174">
        <f>VLOOKUP($A5571,'Tech Litons'!$A:$I,9,FALSE)</f>
        <v>165</v>
      </c>
      <c r="I5571" s="174" t="str">
        <f>VLOOKUP($A5571,'Tech Litons'!$A:$C,3,0)</f>
        <v>Yasso Sticks</v>
      </c>
      <c r="J5571" s="175" t="str">
        <f t="shared" si="623"/>
        <v>1715Yasso Sticks</v>
      </c>
      <c r="K5571" s="974">
        <v>1</v>
      </c>
      <c r="L5571" s="177">
        <f t="shared" si="617"/>
        <v>0</v>
      </c>
      <c r="M5571" s="177">
        <f t="shared" si="624"/>
        <v>0</v>
      </c>
      <c r="N5571" s="177">
        <f t="shared" si="625"/>
        <v>0</v>
      </c>
      <c r="O5571" s="175" t="str">
        <f t="shared" si="626"/>
        <v>Nov</v>
      </c>
      <c r="P5571" s="265">
        <f t="shared" si="627"/>
        <v>45</v>
      </c>
    </row>
    <row r="5572" spans="1:16" ht="15" hidden="1" customHeight="1">
      <c r="A5572" s="608">
        <v>64958128</v>
      </c>
      <c r="B5572" s="608">
        <v>1715</v>
      </c>
      <c r="C5572" s="601">
        <v>52000</v>
      </c>
      <c r="D5572" s="606">
        <v>46357</v>
      </c>
      <c r="E5572" s="608" t="s">
        <v>235</v>
      </c>
      <c r="F5572" s="608">
        <v>1715</v>
      </c>
      <c r="G5572" s="395">
        <f>VLOOKUP($A5572,'Tech Litons'!$A:$I,8,FALSE)</f>
        <v>3.3119999999999998E-3</v>
      </c>
      <c r="H5572" s="174">
        <f>VLOOKUP($A5572,'Tech Litons'!$A:$I,9,FALSE)</f>
        <v>165</v>
      </c>
      <c r="I5572" s="174" t="str">
        <f>VLOOKUP($A5572,'Tech Litons'!$A:$C,3,0)</f>
        <v>Yasso Sticks</v>
      </c>
      <c r="J5572" s="175" t="str">
        <f t="shared" si="623"/>
        <v>1715Yasso Sticks</v>
      </c>
      <c r="K5572" s="974">
        <v>1</v>
      </c>
      <c r="L5572" s="177">
        <f t="shared" si="617"/>
        <v>52000</v>
      </c>
      <c r="M5572" s="177">
        <f t="shared" si="624"/>
        <v>172.22399999999999</v>
      </c>
      <c r="N5572" s="177">
        <f t="shared" si="625"/>
        <v>315.15151515151513</v>
      </c>
      <c r="O5572" s="175" t="str">
        <f t="shared" si="626"/>
        <v>Dec</v>
      </c>
      <c r="P5572" s="265">
        <f t="shared" si="627"/>
        <v>49</v>
      </c>
    </row>
    <row r="5573" spans="1:16" ht="15" hidden="1" customHeight="1">
      <c r="A5573" s="608">
        <v>64958128</v>
      </c>
      <c r="B5573" s="608">
        <v>1716</v>
      </c>
      <c r="C5573" s="601"/>
      <c r="D5573" s="606">
        <v>46177</v>
      </c>
      <c r="E5573" s="608" t="s">
        <v>235</v>
      </c>
      <c r="F5573" s="608">
        <v>1716</v>
      </c>
      <c r="G5573" s="395">
        <f>VLOOKUP($A5573,'Tech Litons'!$A:$I,8,FALSE)</f>
        <v>3.3119999999999998E-3</v>
      </c>
      <c r="H5573" s="174">
        <f>VLOOKUP($A5573,'Tech Litons'!$A:$I,9,FALSE)</f>
        <v>165</v>
      </c>
      <c r="I5573" s="174" t="str">
        <f>VLOOKUP($A5573,'Tech Litons'!$A:$C,3,0)</f>
        <v>Yasso Sticks</v>
      </c>
      <c r="J5573" s="175" t="str">
        <f t="shared" si="623"/>
        <v>1716Yasso Sticks</v>
      </c>
      <c r="K5573" s="974">
        <v>1</v>
      </c>
      <c r="L5573" s="177">
        <f t="shared" si="617"/>
        <v>0</v>
      </c>
      <c r="M5573" s="177">
        <f t="shared" si="624"/>
        <v>0</v>
      </c>
      <c r="N5573" s="177">
        <f t="shared" si="625"/>
        <v>0</v>
      </c>
      <c r="O5573" s="175" t="str">
        <f t="shared" si="626"/>
        <v>Jun</v>
      </c>
      <c r="P5573" s="265">
        <f t="shared" si="627"/>
        <v>23</v>
      </c>
    </row>
    <row r="5574" spans="1:16" ht="15" hidden="1" customHeight="1">
      <c r="A5574" s="608">
        <v>64958128</v>
      </c>
      <c r="B5574" s="608">
        <v>1716</v>
      </c>
      <c r="C5574" s="601"/>
      <c r="D5574" s="606">
        <v>46207</v>
      </c>
      <c r="E5574" s="608" t="s">
        <v>235</v>
      </c>
      <c r="F5574" s="608">
        <v>1716</v>
      </c>
      <c r="G5574" s="395">
        <f>VLOOKUP($A5574,'Tech Litons'!$A:$I,8,FALSE)</f>
        <v>3.3119999999999998E-3</v>
      </c>
      <c r="H5574" s="174">
        <f>VLOOKUP($A5574,'Tech Litons'!$A:$I,9,FALSE)</f>
        <v>165</v>
      </c>
      <c r="I5574" s="174" t="str">
        <f>VLOOKUP($A5574,'Tech Litons'!$A:$C,3,0)</f>
        <v>Yasso Sticks</v>
      </c>
      <c r="J5574" s="175" t="str">
        <f t="shared" si="623"/>
        <v>1716Yasso Sticks</v>
      </c>
      <c r="K5574" s="974">
        <v>1</v>
      </c>
      <c r="L5574" s="177">
        <f t="shared" si="617"/>
        <v>0</v>
      </c>
      <c r="M5574" s="177">
        <f t="shared" si="624"/>
        <v>0</v>
      </c>
      <c r="N5574" s="177">
        <f t="shared" si="625"/>
        <v>0</v>
      </c>
      <c r="O5574" s="175" t="str">
        <f t="shared" si="626"/>
        <v>Jul</v>
      </c>
      <c r="P5574" s="265">
        <f t="shared" si="627"/>
        <v>27</v>
      </c>
    </row>
    <row r="5575" spans="1:16" ht="15" hidden="1" customHeight="1">
      <c r="A5575" s="608">
        <v>64958128</v>
      </c>
      <c r="B5575" s="608">
        <v>1716</v>
      </c>
      <c r="C5575" s="601"/>
      <c r="D5575" s="606">
        <v>46237</v>
      </c>
      <c r="E5575" s="608" t="s">
        <v>235</v>
      </c>
      <c r="F5575" s="608">
        <v>1716</v>
      </c>
      <c r="G5575" s="395">
        <f>VLOOKUP($A5575,'Tech Litons'!$A:$I,8,FALSE)</f>
        <v>3.3119999999999998E-3</v>
      </c>
      <c r="H5575" s="174">
        <f>VLOOKUP($A5575,'Tech Litons'!$A:$I,9,FALSE)</f>
        <v>165</v>
      </c>
      <c r="I5575" s="174" t="str">
        <f>VLOOKUP($A5575,'Tech Litons'!$A:$C,3,0)</f>
        <v>Yasso Sticks</v>
      </c>
      <c r="J5575" s="175" t="str">
        <f t="shared" si="623"/>
        <v>1716Yasso Sticks</v>
      </c>
      <c r="K5575" s="974">
        <v>1</v>
      </c>
      <c r="L5575" s="177">
        <f t="shared" si="617"/>
        <v>0</v>
      </c>
      <c r="M5575" s="177">
        <f t="shared" si="624"/>
        <v>0</v>
      </c>
      <c r="N5575" s="177">
        <f t="shared" si="625"/>
        <v>0</v>
      </c>
      <c r="O5575" s="175" t="str">
        <f t="shared" si="626"/>
        <v>Aug</v>
      </c>
      <c r="P5575" s="265">
        <f t="shared" si="627"/>
        <v>32</v>
      </c>
    </row>
    <row r="5576" spans="1:16" ht="15" hidden="1" customHeight="1">
      <c r="A5576" s="608">
        <v>64958128</v>
      </c>
      <c r="B5576" s="608">
        <v>1716</v>
      </c>
      <c r="C5576" s="601"/>
      <c r="D5576" s="606">
        <v>46267</v>
      </c>
      <c r="E5576" s="608" t="s">
        <v>235</v>
      </c>
      <c r="F5576" s="608">
        <v>1716</v>
      </c>
      <c r="G5576" s="395">
        <f>VLOOKUP($A5576,'Tech Litons'!$A:$I,8,FALSE)</f>
        <v>3.3119999999999998E-3</v>
      </c>
      <c r="H5576" s="174">
        <f>VLOOKUP($A5576,'Tech Litons'!$A:$I,9,FALSE)</f>
        <v>165</v>
      </c>
      <c r="I5576" s="174" t="str">
        <f>VLOOKUP($A5576,'Tech Litons'!$A:$C,3,0)</f>
        <v>Yasso Sticks</v>
      </c>
      <c r="J5576" s="175" t="str">
        <f t="shared" si="623"/>
        <v>1716Yasso Sticks</v>
      </c>
      <c r="K5576" s="974">
        <v>1</v>
      </c>
      <c r="L5576" s="177">
        <f t="shared" si="617"/>
        <v>0</v>
      </c>
      <c r="M5576" s="177">
        <f t="shared" si="624"/>
        <v>0</v>
      </c>
      <c r="N5576" s="177">
        <f t="shared" si="625"/>
        <v>0</v>
      </c>
      <c r="O5576" s="175" t="str">
        <f t="shared" si="626"/>
        <v>Sep</v>
      </c>
      <c r="P5576" s="265">
        <f t="shared" si="627"/>
        <v>36</v>
      </c>
    </row>
    <row r="5577" spans="1:16" ht="15" hidden="1" customHeight="1">
      <c r="A5577" s="608">
        <v>64958128</v>
      </c>
      <c r="B5577" s="608">
        <v>1716</v>
      </c>
      <c r="C5577" s="601">
        <v>131036</v>
      </c>
      <c r="D5577" s="606">
        <v>46297</v>
      </c>
      <c r="E5577" s="608" t="s">
        <v>235</v>
      </c>
      <c r="F5577" s="608">
        <v>1716</v>
      </c>
      <c r="G5577" s="395">
        <f>VLOOKUP($A5577,'Tech Litons'!$A:$I,8,FALSE)</f>
        <v>3.3119999999999998E-3</v>
      </c>
      <c r="H5577" s="174">
        <f>VLOOKUP($A5577,'Tech Litons'!$A:$I,9,FALSE)</f>
        <v>165</v>
      </c>
      <c r="I5577" s="174" t="str">
        <f>VLOOKUP($A5577,'Tech Litons'!$A:$C,3,0)</f>
        <v>Yasso Sticks</v>
      </c>
      <c r="J5577" s="175" t="str">
        <f t="shared" si="623"/>
        <v>1716Yasso Sticks</v>
      </c>
      <c r="K5577" s="974">
        <v>1</v>
      </c>
      <c r="L5577" s="177">
        <f t="shared" si="617"/>
        <v>131036</v>
      </c>
      <c r="M5577" s="177">
        <f t="shared" si="624"/>
        <v>433.99123199999997</v>
      </c>
      <c r="N5577" s="177">
        <f t="shared" si="625"/>
        <v>794.15757575757573</v>
      </c>
      <c r="O5577" s="175" t="str">
        <f t="shared" si="626"/>
        <v>Oct</v>
      </c>
      <c r="P5577" s="265">
        <f t="shared" si="627"/>
        <v>40</v>
      </c>
    </row>
    <row r="5578" spans="1:16" ht="15" hidden="1" customHeight="1">
      <c r="A5578" s="608">
        <v>64958128</v>
      </c>
      <c r="B5578" s="608">
        <v>1716</v>
      </c>
      <c r="C5578" s="601">
        <v>166076</v>
      </c>
      <c r="D5578" s="606">
        <v>46327</v>
      </c>
      <c r="E5578" s="608" t="s">
        <v>235</v>
      </c>
      <c r="F5578" s="608">
        <v>1716</v>
      </c>
      <c r="G5578" s="395">
        <f>VLOOKUP($A5578,'Tech Litons'!$A:$I,8,FALSE)</f>
        <v>3.3119999999999998E-3</v>
      </c>
      <c r="H5578" s="174">
        <f>VLOOKUP($A5578,'Tech Litons'!$A:$I,9,FALSE)</f>
        <v>165</v>
      </c>
      <c r="I5578" s="174" t="str">
        <f>VLOOKUP($A5578,'Tech Litons'!$A:$C,3,0)</f>
        <v>Yasso Sticks</v>
      </c>
      <c r="J5578" s="175" t="str">
        <f t="shared" si="623"/>
        <v>1716Yasso Sticks</v>
      </c>
      <c r="K5578" s="974">
        <v>1</v>
      </c>
      <c r="L5578" s="177">
        <f t="shared" si="617"/>
        <v>166076</v>
      </c>
      <c r="M5578" s="177">
        <f t="shared" si="624"/>
        <v>550.04371200000003</v>
      </c>
      <c r="N5578" s="177">
        <f t="shared" si="625"/>
        <v>1006.5212121212121</v>
      </c>
      <c r="O5578" s="175" t="str">
        <f t="shared" si="626"/>
        <v>Nov</v>
      </c>
      <c r="P5578" s="265">
        <f t="shared" si="627"/>
        <v>45</v>
      </c>
    </row>
    <row r="5579" spans="1:16" ht="15" hidden="1" customHeight="1">
      <c r="A5579" s="608">
        <v>64958128</v>
      </c>
      <c r="B5579" s="608">
        <v>1716</v>
      </c>
      <c r="C5579" s="601">
        <v>52000</v>
      </c>
      <c r="D5579" s="606">
        <v>46357</v>
      </c>
      <c r="E5579" s="608" t="s">
        <v>235</v>
      </c>
      <c r="F5579" s="608">
        <v>1716</v>
      </c>
      <c r="G5579" s="395">
        <f>VLOOKUP($A5579,'Tech Litons'!$A:$I,8,FALSE)</f>
        <v>3.3119999999999998E-3</v>
      </c>
      <c r="H5579" s="174">
        <f>VLOOKUP($A5579,'Tech Litons'!$A:$I,9,FALSE)</f>
        <v>165</v>
      </c>
      <c r="I5579" s="174" t="str">
        <f>VLOOKUP($A5579,'Tech Litons'!$A:$C,3,0)</f>
        <v>Yasso Sticks</v>
      </c>
      <c r="J5579" s="175" t="str">
        <f t="shared" si="623"/>
        <v>1716Yasso Sticks</v>
      </c>
      <c r="K5579" s="974">
        <v>1</v>
      </c>
      <c r="L5579" s="177">
        <f t="shared" si="617"/>
        <v>52000</v>
      </c>
      <c r="M5579" s="177">
        <f t="shared" si="624"/>
        <v>172.22399999999999</v>
      </c>
      <c r="N5579" s="177">
        <f t="shared" si="625"/>
        <v>315.15151515151513</v>
      </c>
      <c r="O5579" s="175" t="str">
        <f t="shared" si="626"/>
        <v>Dec</v>
      </c>
      <c r="P5579" s="265">
        <f t="shared" si="627"/>
        <v>49</v>
      </c>
    </row>
    <row r="5580" spans="1:16" ht="15" hidden="1" customHeight="1">
      <c r="A5580" s="608">
        <v>64958128</v>
      </c>
      <c r="B5580" s="608">
        <v>1717</v>
      </c>
      <c r="C5580" s="601">
        <v>0</v>
      </c>
      <c r="D5580" s="606">
        <v>46177</v>
      </c>
      <c r="E5580" s="608" t="s">
        <v>235</v>
      </c>
      <c r="F5580" s="608">
        <v>1717</v>
      </c>
      <c r="G5580" s="395">
        <f>VLOOKUP($A5580,'Tech Litons'!$A:$I,8,FALSE)</f>
        <v>3.3119999999999998E-3</v>
      </c>
      <c r="H5580" s="174">
        <f>VLOOKUP($A5580,'Tech Litons'!$A:$I,9,FALSE)</f>
        <v>165</v>
      </c>
      <c r="I5580" s="174" t="str">
        <f>VLOOKUP($A5580,'Tech Litons'!$A:$C,3,0)</f>
        <v>Yasso Sticks</v>
      </c>
      <c r="J5580" s="175" t="str">
        <f t="shared" si="623"/>
        <v>1717Yasso Sticks</v>
      </c>
      <c r="K5580" s="974">
        <v>1</v>
      </c>
      <c r="L5580" s="177">
        <f t="shared" si="617"/>
        <v>0</v>
      </c>
      <c r="M5580" s="177">
        <f t="shared" si="624"/>
        <v>0</v>
      </c>
      <c r="N5580" s="177">
        <f t="shared" si="625"/>
        <v>0</v>
      </c>
      <c r="O5580" s="175" t="str">
        <f t="shared" si="626"/>
        <v>Jun</v>
      </c>
      <c r="P5580" s="265">
        <f t="shared" si="627"/>
        <v>23</v>
      </c>
    </row>
    <row r="5581" spans="1:16" ht="15" hidden="1" customHeight="1">
      <c r="A5581" s="608">
        <v>64958128</v>
      </c>
      <c r="B5581" s="608">
        <v>1717</v>
      </c>
      <c r="C5581" s="601"/>
      <c r="D5581" s="606">
        <v>46207</v>
      </c>
      <c r="E5581" s="608" t="s">
        <v>235</v>
      </c>
      <c r="F5581" s="608">
        <v>1717</v>
      </c>
      <c r="G5581" s="395">
        <f>VLOOKUP($A5581,'Tech Litons'!$A:$I,8,FALSE)</f>
        <v>3.3119999999999998E-3</v>
      </c>
      <c r="H5581" s="174">
        <f>VLOOKUP($A5581,'Tech Litons'!$A:$I,9,FALSE)</f>
        <v>165</v>
      </c>
      <c r="I5581" s="174" t="str">
        <f>VLOOKUP($A5581,'Tech Litons'!$A:$C,3,0)</f>
        <v>Yasso Sticks</v>
      </c>
      <c r="J5581" s="175" t="str">
        <f t="shared" si="623"/>
        <v>1717Yasso Sticks</v>
      </c>
      <c r="K5581" s="974">
        <v>1</v>
      </c>
      <c r="L5581" s="177">
        <f t="shared" si="617"/>
        <v>0</v>
      </c>
      <c r="M5581" s="177">
        <f t="shared" si="624"/>
        <v>0</v>
      </c>
      <c r="N5581" s="177">
        <f t="shared" si="625"/>
        <v>0</v>
      </c>
      <c r="O5581" s="175" t="str">
        <f t="shared" si="626"/>
        <v>Jul</v>
      </c>
      <c r="P5581" s="265">
        <f t="shared" si="627"/>
        <v>27</v>
      </c>
    </row>
    <row r="5582" spans="1:16" ht="15" hidden="1" customHeight="1">
      <c r="A5582" s="608">
        <v>64958128</v>
      </c>
      <c r="B5582" s="608">
        <v>1717</v>
      </c>
      <c r="C5582" s="601"/>
      <c r="D5582" s="606">
        <v>46237</v>
      </c>
      <c r="E5582" s="608" t="s">
        <v>235</v>
      </c>
      <c r="F5582" s="608">
        <v>1717</v>
      </c>
      <c r="G5582" s="395">
        <f>VLOOKUP($A5582,'Tech Litons'!$A:$I,8,FALSE)</f>
        <v>3.3119999999999998E-3</v>
      </c>
      <c r="H5582" s="174">
        <f>VLOOKUP($A5582,'Tech Litons'!$A:$I,9,FALSE)</f>
        <v>165</v>
      </c>
      <c r="I5582" s="174" t="str">
        <f>VLOOKUP($A5582,'Tech Litons'!$A:$C,3,0)</f>
        <v>Yasso Sticks</v>
      </c>
      <c r="J5582" s="175" t="str">
        <f t="shared" si="623"/>
        <v>1717Yasso Sticks</v>
      </c>
      <c r="K5582" s="974">
        <v>1</v>
      </c>
      <c r="L5582" s="177">
        <f t="shared" si="617"/>
        <v>0</v>
      </c>
      <c r="M5582" s="177">
        <f t="shared" si="624"/>
        <v>0</v>
      </c>
      <c r="N5582" s="177">
        <f t="shared" si="625"/>
        <v>0</v>
      </c>
      <c r="O5582" s="175" t="str">
        <f t="shared" si="626"/>
        <v>Aug</v>
      </c>
      <c r="P5582" s="265">
        <f t="shared" si="627"/>
        <v>32</v>
      </c>
    </row>
    <row r="5583" spans="1:16" ht="15" hidden="1" customHeight="1">
      <c r="A5583" s="608">
        <v>64958128</v>
      </c>
      <c r="B5583" s="608">
        <v>1717</v>
      </c>
      <c r="C5583" s="601"/>
      <c r="D5583" s="606">
        <v>46267</v>
      </c>
      <c r="E5583" s="608" t="s">
        <v>235</v>
      </c>
      <c r="F5583" s="608">
        <v>1717</v>
      </c>
      <c r="G5583" s="395">
        <f>VLOOKUP($A5583,'Tech Litons'!$A:$I,8,FALSE)</f>
        <v>3.3119999999999998E-3</v>
      </c>
      <c r="H5583" s="174">
        <f>VLOOKUP($A5583,'Tech Litons'!$A:$I,9,FALSE)</f>
        <v>165</v>
      </c>
      <c r="I5583" s="174" t="str">
        <f>VLOOKUP($A5583,'Tech Litons'!$A:$C,3,0)</f>
        <v>Yasso Sticks</v>
      </c>
      <c r="J5583" s="175" t="str">
        <f t="shared" si="623"/>
        <v>1717Yasso Sticks</v>
      </c>
      <c r="K5583" s="974">
        <v>1</v>
      </c>
      <c r="L5583" s="177">
        <f t="shared" si="617"/>
        <v>0</v>
      </c>
      <c r="M5583" s="177">
        <f t="shared" si="624"/>
        <v>0</v>
      </c>
      <c r="N5583" s="177">
        <f t="shared" si="625"/>
        <v>0</v>
      </c>
      <c r="O5583" s="175" t="str">
        <f t="shared" si="626"/>
        <v>Sep</v>
      </c>
      <c r="P5583" s="265">
        <f t="shared" si="627"/>
        <v>36</v>
      </c>
    </row>
    <row r="5584" spans="1:16" ht="15" hidden="1" customHeight="1">
      <c r="A5584" s="608">
        <v>64958128</v>
      </c>
      <c r="B5584" s="608">
        <v>1717</v>
      </c>
      <c r="C5584" s="601">
        <v>243329</v>
      </c>
      <c r="D5584" s="606">
        <v>46297</v>
      </c>
      <c r="E5584" s="608" t="s">
        <v>235</v>
      </c>
      <c r="F5584" s="608">
        <v>1717</v>
      </c>
      <c r="G5584" s="395">
        <f>VLOOKUP($A5584,'Tech Litons'!$A:$I,8,FALSE)</f>
        <v>3.3119999999999998E-3</v>
      </c>
      <c r="H5584" s="174">
        <f>VLOOKUP($A5584,'Tech Litons'!$A:$I,9,FALSE)</f>
        <v>165</v>
      </c>
      <c r="I5584" s="174" t="str">
        <f>VLOOKUP($A5584,'Tech Litons'!$A:$C,3,0)</f>
        <v>Yasso Sticks</v>
      </c>
      <c r="J5584" s="175" t="str">
        <f t="shared" si="623"/>
        <v>1717Yasso Sticks</v>
      </c>
      <c r="K5584" s="974">
        <v>1</v>
      </c>
      <c r="L5584" s="177">
        <f t="shared" si="617"/>
        <v>243329</v>
      </c>
      <c r="M5584" s="177">
        <f t="shared" si="624"/>
        <v>805.90564799999993</v>
      </c>
      <c r="N5584" s="177">
        <f t="shared" si="625"/>
        <v>1474.7212121212121</v>
      </c>
      <c r="O5584" s="175" t="str">
        <f t="shared" si="626"/>
        <v>Oct</v>
      </c>
      <c r="P5584" s="265">
        <f t="shared" si="627"/>
        <v>40</v>
      </c>
    </row>
    <row r="5585" spans="1:16" ht="15" hidden="1" customHeight="1">
      <c r="A5585" s="608">
        <v>64958128</v>
      </c>
      <c r="B5585" s="608">
        <v>1717</v>
      </c>
      <c r="C5585" s="601">
        <v>183693</v>
      </c>
      <c r="D5585" s="606">
        <v>46327</v>
      </c>
      <c r="E5585" s="608" t="s">
        <v>235</v>
      </c>
      <c r="F5585" s="608">
        <v>1717</v>
      </c>
      <c r="G5585" s="395">
        <f>VLOOKUP($A5585,'Tech Litons'!$A:$I,8,FALSE)</f>
        <v>3.3119999999999998E-3</v>
      </c>
      <c r="H5585" s="174">
        <f>VLOOKUP($A5585,'Tech Litons'!$A:$I,9,FALSE)</f>
        <v>165</v>
      </c>
      <c r="I5585" s="174" t="str">
        <f>VLOOKUP($A5585,'Tech Litons'!$A:$C,3,0)</f>
        <v>Yasso Sticks</v>
      </c>
      <c r="J5585" s="175" t="str">
        <f t="shared" si="623"/>
        <v>1717Yasso Sticks</v>
      </c>
      <c r="K5585" s="974">
        <v>1</v>
      </c>
      <c r="L5585" s="177">
        <f t="shared" si="617"/>
        <v>183693</v>
      </c>
      <c r="M5585" s="177">
        <f t="shared" si="624"/>
        <v>608.39121599999999</v>
      </c>
      <c r="N5585" s="177">
        <f t="shared" si="625"/>
        <v>1113.2909090909091</v>
      </c>
      <c r="O5585" s="175" t="str">
        <f t="shared" si="626"/>
        <v>Nov</v>
      </c>
      <c r="P5585" s="265">
        <f t="shared" si="627"/>
        <v>45</v>
      </c>
    </row>
    <row r="5586" spans="1:16" ht="15" hidden="1" customHeight="1">
      <c r="A5586" s="608">
        <v>64958128</v>
      </c>
      <c r="B5586" s="608">
        <v>1717</v>
      </c>
      <c r="C5586" s="601">
        <v>52000</v>
      </c>
      <c r="D5586" s="606">
        <v>46357</v>
      </c>
      <c r="E5586" s="608" t="s">
        <v>235</v>
      </c>
      <c r="F5586" s="608">
        <v>1717</v>
      </c>
      <c r="G5586" s="395">
        <f>VLOOKUP($A5586,'Tech Litons'!$A:$I,8,FALSE)</f>
        <v>3.3119999999999998E-3</v>
      </c>
      <c r="H5586" s="174">
        <f>VLOOKUP($A5586,'Tech Litons'!$A:$I,9,FALSE)</f>
        <v>165</v>
      </c>
      <c r="I5586" s="174" t="str">
        <f>VLOOKUP($A5586,'Tech Litons'!$A:$C,3,0)</f>
        <v>Yasso Sticks</v>
      </c>
      <c r="J5586" s="175" t="str">
        <f t="shared" si="623"/>
        <v>1717Yasso Sticks</v>
      </c>
      <c r="K5586" s="974">
        <v>1</v>
      </c>
      <c r="L5586" s="177">
        <f t="shared" si="617"/>
        <v>52000</v>
      </c>
      <c r="M5586" s="177">
        <f t="shared" si="624"/>
        <v>172.22399999999999</v>
      </c>
      <c r="N5586" s="177">
        <f t="shared" si="625"/>
        <v>315.15151515151513</v>
      </c>
      <c r="O5586" s="175" t="str">
        <f t="shared" si="626"/>
        <v>Dec</v>
      </c>
      <c r="P5586" s="265">
        <f t="shared" si="627"/>
        <v>49</v>
      </c>
    </row>
    <row r="5587" spans="1:16" ht="15" hidden="1" customHeight="1">
      <c r="A5587" s="608">
        <v>65459033</v>
      </c>
      <c r="B5587" s="608">
        <v>2904</v>
      </c>
      <c r="C5587" s="601"/>
      <c r="D5587" s="606">
        <v>46174</v>
      </c>
      <c r="E5587" s="608" t="s">
        <v>1060</v>
      </c>
      <c r="F5587" s="608" t="s">
        <v>1227</v>
      </c>
      <c r="G5587" s="395">
        <f>VLOOKUP($A5587,'Tech Litons'!$A:$I,8,FALSE)</f>
        <v>3.7839999999999996E-3</v>
      </c>
      <c r="H5587" s="174">
        <f>VLOOKUP($A5587,'Tech Litons'!$A:$I,9,FALSE)</f>
        <v>240</v>
      </c>
      <c r="I5587" s="174" t="str">
        <f>VLOOKUP($A5587,'Tech Litons'!$A:$C,3,0)</f>
        <v>Other</v>
      </c>
      <c r="J5587" s="175" t="str">
        <f t="shared" ref="J5587:J5593" si="628">B5587&amp;I5587</f>
        <v>2904Other</v>
      </c>
      <c r="K5587" s="974">
        <v>0.95</v>
      </c>
      <c r="L5587" s="177">
        <f t="shared" si="617"/>
        <v>0</v>
      </c>
      <c r="M5587" s="177">
        <f t="shared" ref="M5587:M5593" si="629">L5587*G5587</f>
        <v>0</v>
      </c>
      <c r="N5587" s="177">
        <f t="shared" ref="N5587:N5593" si="630">L5587/H5587</f>
        <v>0</v>
      </c>
      <c r="O5587" s="175" t="str">
        <f t="shared" ref="O5587:O5593" si="631">TEXT(D5587,"MMM")</f>
        <v>Jun</v>
      </c>
      <c r="P5587" s="265">
        <f t="shared" ref="P5587:P5593" si="632">WEEKNUM(D5587)</f>
        <v>23</v>
      </c>
    </row>
    <row r="5588" spans="1:16" ht="15" hidden="1" customHeight="1">
      <c r="A5588" s="608">
        <v>65459033</v>
      </c>
      <c r="B5588" s="608">
        <v>2904</v>
      </c>
      <c r="C5588" s="601">
        <v>7328</v>
      </c>
      <c r="D5588" s="606">
        <v>46204</v>
      </c>
      <c r="E5588" s="608" t="s">
        <v>1060</v>
      </c>
      <c r="F5588" s="608" t="s">
        <v>1227</v>
      </c>
      <c r="G5588" s="395">
        <f>VLOOKUP($A5588,'Tech Litons'!$A:$I,8,FALSE)</f>
        <v>3.7839999999999996E-3</v>
      </c>
      <c r="H5588" s="174">
        <f>VLOOKUP($A5588,'Tech Litons'!$A:$I,9,FALSE)</f>
        <v>240</v>
      </c>
      <c r="I5588" s="174" t="str">
        <f>VLOOKUP($A5588,'Tech Litons'!$A:$C,3,0)</f>
        <v>Other</v>
      </c>
      <c r="J5588" s="175" t="str">
        <f t="shared" si="628"/>
        <v>2904Other</v>
      </c>
      <c r="K5588" s="974">
        <v>0.95</v>
      </c>
      <c r="L5588" s="177">
        <f t="shared" si="617"/>
        <v>6961.5999999999995</v>
      </c>
      <c r="M5588" s="177">
        <f t="shared" si="629"/>
        <v>26.342694399999996</v>
      </c>
      <c r="N5588" s="177">
        <f t="shared" si="630"/>
        <v>29.006666666666664</v>
      </c>
      <c r="O5588" s="175" t="str">
        <f t="shared" si="631"/>
        <v>Jul</v>
      </c>
      <c r="P5588" s="265">
        <f t="shared" si="632"/>
        <v>27</v>
      </c>
    </row>
    <row r="5589" spans="1:16" ht="15" hidden="1" customHeight="1">
      <c r="A5589" s="608">
        <v>65459033</v>
      </c>
      <c r="B5589" s="608">
        <v>2904</v>
      </c>
      <c r="C5589" s="601">
        <v>9770.9999999999982</v>
      </c>
      <c r="D5589" s="606">
        <v>46235</v>
      </c>
      <c r="E5589" s="608" t="s">
        <v>1060</v>
      </c>
      <c r="F5589" s="608" t="s">
        <v>1227</v>
      </c>
      <c r="G5589" s="395">
        <f>VLOOKUP($A5589,'Tech Litons'!$A:$I,8,FALSE)</f>
        <v>3.7839999999999996E-3</v>
      </c>
      <c r="H5589" s="174">
        <f>VLOOKUP($A5589,'Tech Litons'!$A:$I,9,FALSE)</f>
        <v>240</v>
      </c>
      <c r="I5589" s="174" t="str">
        <f>VLOOKUP($A5589,'Tech Litons'!$A:$C,3,0)</f>
        <v>Other</v>
      </c>
      <c r="J5589" s="175" t="str">
        <f t="shared" si="628"/>
        <v>2904Other</v>
      </c>
      <c r="K5589" s="974">
        <v>0.95</v>
      </c>
      <c r="L5589" s="177">
        <f t="shared" si="617"/>
        <v>9282.4499999999971</v>
      </c>
      <c r="M5589" s="177">
        <f t="shared" si="629"/>
        <v>35.124790799999985</v>
      </c>
      <c r="N5589" s="177">
        <f t="shared" si="630"/>
        <v>38.676874999999988</v>
      </c>
      <c r="O5589" s="175" t="str">
        <f t="shared" si="631"/>
        <v>Aug</v>
      </c>
      <c r="P5589" s="265">
        <f t="shared" si="632"/>
        <v>31</v>
      </c>
    </row>
    <row r="5590" spans="1:16" ht="15" hidden="1" customHeight="1">
      <c r="A5590" s="608">
        <v>65459033</v>
      </c>
      <c r="B5590" s="608">
        <v>2904</v>
      </c>
      <c r="C5590" s="601">
        <v>9454.9999999999982</v>
      </c>
      <c r="D5590" s="606">
        <v>46266</v>
      </c>
      <c r="E5590" s="608" t="s">
        <v>1060</v>
      </c>
      <c r="F5590" s="608" t="s">
        <v>1227</v>
      </c>
      <c r="G5590" s="395">
        <f>VLOOKUP($A5590,'Tech Litons'!$A:$I,8,FALSE)</f>
        <v>3.7839999999999996E-3</v>
      </c>
      <c r="H5590" s="174">
        <f>VLOOKUP($A5590,'Tech Litons'!$A:$I,9,FALSE)</f>
        <v>240</v>
      </c>
      <c r="I5590" s="174" t="str">
        <f>VLOOKUP($A5590,'Tech Litons'!$A:$C,3,0)</f>
        <v>Other</v>
      </c>
      <c r="J5590" s="175" t="str">
        <f t="shared" si="628"/>
        <v>2904Other</v>
      </c>
      <c r="K5590" s="974">
        <v>0.95</v>
      </c>
      <c r="L5590" s="177">
        <f t="shared" si="617"/>
        <v>8982.2499999999982</v>
      </c>
      <c r="M5590" s="177">
        <f t="shared" si="629"/>
        <v>33.98883399999999</v>
      </c>
      <c r="N5590" s="177">
        <f t="shared" si="630"/>
        <v>37.426041666666656</v>
      </c>
      <c r="O5590" s="175" t="str">
        <f t="shared" si="631"/>
        <v>Sep</v>
      </c>
      <c r="P5590" s="265">
        <f t="shared" si="632"/>
        <v>36</v>
      </c>
    </row>
    <row r="5591" spans="1:16" ht="15" hidden="1" customHeight="1">
      <c r="A5591" s="608">
        <v>65459033</v>
      </c>
      <c r="B5591" s="608">
        <v>2904</v>
      </c>
      <c r="C5591" s="601">
        <v>9770.9999999999982</v>
      </c>
      <c r="D5591" s="606">
        <v>46296</v>
      </c>
      <c r="E5591" s="608" t="s">
        <v>1060</v>
      </c>
      <c r="F5591" s="608" t="s">
        <v>1227</v>
      </c>
      <c r="G5591" s="395">
        <f>VLOOKUP($A5591,'Tech Litons'!$A:$I,8,FALSE)</f>
        <v>3.7839999999999996E-3</v>
      </c>
      <c r="H5591" s="174">
        <f>VLOOKUP($A5591,'Tech Litons'!$A:$I,9,FALSE)</f>
        <v>240</v>
      </c>
      <c r="I5591" s="174" t="str">
        <f>VLOOKUP($A5591,'Tech Litons'!$A:$C,3,0)</f>
        <v>Other</v>
      </c>
      <c r="J5591" s="175" t="str">
        <f t="shared" si="628"/>
        <v>2904Other</v>
      </c>
      <c r="K5591" s="974">
        <v>0.95</v>
      </c>
      <c r="L5591" s="177">
        <f t="shared" si="617"/>
        <v>9282.4499999999971</v>
      </c>
      <c r="M5591" s="177">
        <f t="shared" si="629"/>
        <v>35.124790799999985</v>
      </c>
      <c r="N5591" s="177">
        <f t="shared" si="630"/>
        <v>38.676874999999988</v>
      </c>
      <c r="O5591" s="175" t="str">
        <f t="shared" si="631"/>
        <v>Oct</v>
      </c>
      <c r="P5591" s="265">
        <f t="shared" si="632"/>
        <v>40</v>
      </c>
    </row>
    <row r="5592" spans="1:16" ht="15" hidden="1" customHeight="1">
      <c r="A5592" s="608">
        <v>65459033</v>
      </c>
      <c r="B5592" s="608">
        <v>2904</v>
      </c>
      <c r="C5592" s="601">
        <v>9454.9999999999982</v>
      </c>
      <c r="D5592" s="606">
        <v>46327</v>
      </c>
      <c r="E5592" s="608" t="s">
        <v>1060</v>
      </c>
      <c r="F5592" s="608" t="s">
        <v>1227</v>
      </c>
      <c r="G5592" s="395">
        <f>VLOOKUP($A5592,'Tech Litons'!$A:$I,8,FALSE)</f>
        <v>3.7839999999999996E-3</v>
      </c>
      <c r="H5592" s="174">
        <f>VLOOKUP($A5592,'Tech Litons'!$A:$I,9,FALSE)</f>
        <v>240</v>
      </c>
      <c r="I5592" s="174" t="str">
        <f>VLOOKUP($A5592,'Tech Litons'!$A:$C,3,0)</f>
        <v>Other</v>
      </c>
      <c r="J5592" s="175" t="str">
        <f t="shared" si="628"/>
        <v>2904Other</v>
      </c>
      <c r="K5592" s="974">
        <v>0.95</v>
      </c>
      <c r="L5592" s="177">
        <f t="shared" si="617"/>
        <v>8982.2499999999982</v>
      </c>
      <c r="M5592" s="177">
        <f t="shared" si="629"/>
        <v>33.98883399999999</v>
      </c>
      <c r="N5592" s="177">
        <f t="shared" si="630"/>
        <v>37.426041666666656</v>
      </c>
      <c r="O5592" s="175" t="str">
        <f t="shared" si="631"/>
        <v>Nov</v>
      </c>
      <c r="P5592" s="265">
        <f t="shared" si="632"/>
        <v>45</v>
      </c>
    </row>
    <row r="5593" spans="1:16" ht="15" hidden="1" customHeight="1">
      <c r="A5593" s="608">
        <v>65459033</v>
      </c>
      <c r="B5593" s="608">
        <v>2904</v>
      </c>
      <c r="C5593" s="601">
        <v>9770.9999999999982</v>
      </c>
      <c r="D5593" s="606">
        <v>46357</v>
      </c>
      <c r="E5593" s="608" t="s">
        <v>1060</v>
      </c>
      <c r="F5593" s="608" t="s">
        <v>1227</v>
      </c>
      <c r="G5593" s="395">
        <f>VLOOKUP($A5593,'Tech Litons'!$A:$I,8,FALSE)</f>
        <v>3.7839999999999996E-3</v>
      </c>
      <c r="H5593" s="174">
        <f>VLOOKUP($A5593,'Tech Litons'!$A:$I,9,FALSE)</f>
        <v>240</v>
      </c>
      <c r="I5593" s="174" t="str">
        <f>VLOOKUP($A5593,'Tech Litons'!$A:$C,3,0)</f>
        <v>Other</v>
      </c>
      <c r="J5593" s="175" t="str">
        <f t="shared" si="628"/>
        <v>2904Other</v>
      </c>
      <c r="K5593" s="974">
        <v>0.95</v>
      </c>
      <c r="L5593" s="177">
        <f t="shared" si="617"/>
        <v>9282.4499999999971</v>
      </c>
      <c r="M5593" s="177">
        <f t="shared" si="629"/>
        <v>35.124790799999985</v>
      </c>
      <c r="N5593" s="177">
        <f t="shared" si="630"/>
        <v>38.676874999999988</v>
      </c>
      <c r="O5593" s="175" t="str">
        <f t="shared" si="631"/>
        <v>Dec</v>
      </c>
      <c r="P5593" s="265">
        <f t="shared" si="632"/>
        <v>49</v>
      </c>
    </row>
    <row r="5594" spans="1:16" ht="15" hidden="1" customHeight="1">
      <c r="A5594" s="608">
        <v>65459388</v>
      </c>
      <c r="B5594" s="608">
        <v>2904</v>
      </c>
      <c r="C5594" s="601"/>
      <c r="D5594" s="606">
        <v>46174</v>
      </c>
      <c r="E5594" s="608" t="s">
        <v>1061</v>
      </c>
      <c r="F5594" s="608" t="s">
        <v>1227</v>
      </c>
      <c r="G5594" s="395">
        <f>VLOOKUP($A5594,'Tech Litons'!$A:$I,8,FALSE)</f>
        <v>3.7839999999999996E-3</v>
      </c>
      <c r="H5594" s="174">
        <f>VLOOKUP($A5594,'Tech Litons'!$A:$I,9,FALSE)</f>
        <v>240</v>
      </c>
      <c r="I5594" s="174" t="str">
        <f>VLOOKUP($A5594,'Tech Litons'!$A:$C,3,0)</f>
        <v>Other</v>
      </c>
      <c r="J5594" s="175" t="str">
        <f t="shared" ref="J5594:J5609" si="633">B5594&amp;I5594</f>
        <v>2904Other</v>
      </c>
      <c r="K5594" s="974">
        <v>0.95</v>
      </c>
      <c r="L5594" s="177">
        <f t="shared" si="617"/>
        <v>0</v>
      </c>
      <c r="M5594" s="177">
        <f t="shared" ref="M5594:M5609" si="634">L5594*G5594</f>
        <v>0</v>
      </c>
      <c r="N5594" s="177">
        <f t="shared" ref="N5594:N5609" si="635">L5594/H5594</f>
        <v>0</v>
      </c>
      <c r="O5594" s="175" t="str">
        <f t="shared" ref="O5594:O5609" si="636">TEXT(D5594,"MMM")</f>
        <v>Jun</v>
      </c>
      <c r="P5594" s="265">
        <f t="shared" ref="P5594:P5609" si="637">WEEKNUM(D5594)</f>
        <v>23</v>
      </c>
    </row>
    <row r="5595" spans="1:16" ht="15" hidden="1" customHeight="1">
      <c r="A5595" s="608">
        <v>65459388</v>
      </c>
      <c r="B5595" s="608">
        <v>2904</v>
      </c>
      <c r="C5595" s="601">
        <v>4442</v>
      </c>
      <c r="D5595" s="606">
        <v>46204</v>
      </c>
      <c r="E5595" s="608" t="s">
        <v>1061</v>
      </c>
      <c r="F5595" s="608" t="s">
        <v>1227</v>
      </c>
      <c r="G5595" s="395">
        <f>VLOOKUP($A5595,'Tech Litons'!$A:$I,8,FALSE)</f>
        <v>3.7839999999999996E-3</v>
      </c>
      <c r="H5595" s="174">
        <f>VLOOKUP($A5595,'Tech Litons'!$A:$I,9,FALSE)</f>
        <v>240</v>
      </c>
      <c r="I5595" s="174" t="str">
        <f>VLOOKUP($A5595,'Tech Litons'!$A:$C,3,0)</f>
        <v>Other</v>
      </c>
      <c r="J5595" s="175" t="str">
        <f t="shared" si="633"/>
        <v>2904Other</v>
      </c>
      <c r="K5595" s="974">
        <v>0.95</v>
      </c>
      <c r="L5595" s="177">
        <f t="shared" si="617"/>
        <v>4219.8999999999996</v>
      </c>
      <c r="M5595" s="177">
        <f t="shared" si="634"/>
        <v>15.968101599999997</v>
      </c>
      <c r="N5595" s="177">
        <f t="shared" si="635"/>
        <v>17.582916666666666</v>
      </c>
      <c r="O5595" s="175" t="str">
        <f t="shared" si="636"/>
        <v>Jul</v>
      </c>
      <c r="P5595" s="265">
        <f t="shared" si="637"/>
        <v>27</v>
      </c>
    </row>
    <row r="5596" spans="1:16" ht="15" hidden="1" customHeight="1">
      <c r="A5596" s="608">
        <v>65459388</v>
      </c>
      <c r="B5596" s="608">
        <v>2904</v>
      </c>
      <c r="C5596" s="601">
        <v>5923.0000000000009</v>
      </c>
      <c r="D5596" s="606">
        <v>46235</v>
      </c>
      <c r="E5596" s="608" t="s">
        <v>1061</v>
      </c>
      <c r="F5596" s="608" t="s">
        <v>1227</v>
      </c>
      <c r="G5596" s="395">
        <f>VLOOKUP($A5596,'Tech Litons'!$A:$I,8,FALSE)</f>
        <v>3.7839999999999996E-3</v>
      </c>
      <c r="H5596" s="174">
        <f>VLOOKUP($A5596,'Tech Litons'!$A:$I,9,FALSE)</f>
        <v>240</v>
      </c>
      <c r="I5596" s="174" t="str">
        <f>VLOOKUP($A5596,'Tech Litons'!$A:$C,3,0)</f>
        <v>Other</v>
      </c>
      <c r="J5596" s="175" t="str">
        <f t="shared" si="633"/>
        <v>2904Other</v>
      </c>
      <c r="K5596" s="974">
        <v>0.95</v>
      </c>
      <c r="L5596" s="177">
        <f t="shared" si="617"/>
        <v>5626.85</v>
      </c>
      <c r="M5596" s="177">
        <f t="shared" si="634"/>
        <v>21.292000399999999</v>
      </c>
      <c r="N5596" s="177">
        <f t="shared" si="635"/>
        <v>23.445208333333333</v>
      </c>
      <c r="O5596" s="175" t="str">
        <f t="shared" si="636"/>
        <v>Aug</v>
      </c>
      <c r="P5596" s="265">
        <f t="shared" si="637"/>
        <v>31</v>
      </c>
    </row>
    <row r="5597" spans="1:16" ht="15" hidden="1" customHeight="1">
      <c r="A5597" s="608">
        <v>65459388</v>
      </c>
      <c r="B5597" s="608">
        <v>2904</v>
      </c>
      <c r="C5597" s="601">
        <v>5731.9999999999991</v>
      </c>
      <c r="D5597" s="606">
        <v>46266</v>
      </c>
      <c r="E5597" s="608" t="s">
        <v>1061</v>
      </c>
      <c r="F5597" s="608" t="s">
        <v>1227</v>
      </c>
      <c r="G5597" s="395">
        <f>VLOOKUP($A5597,'Tech Litons'!$A:$I,8,FALSE)</f>
        <v>3.7839999999999996E-3</v>
      </c>
      <c r="H5597" s="174">
        <f>VLOOKUP($A5597,'Tech Litons'!$A:$I,9,FALSE)</f>
        <v>240</v>
      </c>
      <c r="I5597" s="174" t="str">
        <f>VLOOKUP($A5597,'Tech Litons'!$A:$C,3,0)</f>
        <v>Other</v>
      </c>
      <c r="J5597" s="175" t="str">
        <f t="shared" si="633"/>
        <v>2904Other</v>
      </c>
      <c r="K5597" s="974">
        <v>0.95</v>
      </c>
      <c r="L5597" s="177">
        <f t="shared" si="617"/>
        <v>5445.3999999999987</v>
      </c>
      <c r="M5597" s="177">
        <f t="shared" si="634"/>
        <v>20.605393599999992</v>
      </c>
      <c r="N5597" s="177">
        <f t="shared" si="635"/>
        <v>22.689166666666662</v>
      </c>
      <c r="O5597" s="175" t="str">
        <f t="shared" si="636"/>
        <v>Sep</v>
      </c>
      <c r="P5597" s="265">
        <f t="shared" si="637"/>
        <v>36</v>
      </c>
    </row>
    <row r="5598" spans="1:16" ht="15" hidden="1" customHeight="1">
      <c r="A5598" s="608">
        <v>65459388</v>
      </c>
      <c r="B5598" s="608">
        <v>2904</v>
      </c>
      <c r="C5598" s="601">
        <v>5923.0000000000009</v>
      </c>
      <c r="D5598" s="606">
        <v>46296</v>
      </c>
      <c r="E5598" s="608" t="s">
        <v>1061</v>
      </c>
      <c r="F5598" s="608" t="s">
        <v>1227</v>
      </c>
      <c r="G5598" s="395">
        <f>VLOOKUP($A5598,'Tech Litons'!$A:$I,8,FALSE)</f>
        <v>3.7839999999999996E-3</v>
      </c>
      <c r="H5598" s="174">
        <f>VLOOKUP($A5598,'Tech Litons'!$A:$I,9,FALSE)</f>
        <v>240</v>
      </c>
      <c r="I5598" s="174" t="str">
        <f>VLOOKUP($A5598,'Tech Litons'!$A:$C,3,0)</f>
        <v>Other</v>
      </c>
      <c r="J5598" s="175" t="str">
        <f t="shared" si="633"/>
        <v>2904Other</v>
      </c>
      <c r="K5598" s="974">
        <v>0.95</v>
      </c>
      <c r="L5598" s="177">
        <f t="shared" si="617"/>
        <v>5626.85</v>
      </c>
      <c r="M5598" s="177">
        <f t="shared" si="634"/>
        <v>21.292000399999999</v>
      </c>
      <c r="N5598" s="177">
        <f t="shared" si="635"/>
        <v>23.445208333333333</v>
      </c>
      <c r="O5598" s="175" t="str">
        <f t="shared" si="636"/>
        <v>Oct</v>
      </c>
      <c r="P5598" s="265">
        <f t="shared" si="637"/>
        <v>40</v>
      </c>
    </row>
    <row r="5599" spans="1:16" ht="15" hidden="1" customHeight="1">
      <c r="A5599" s="608">
        <v>65459388</v>
      </c>
      <c r="B5599" s="608">
        <v>2904</v>
      </c>
      <c r="C5599" s="601">
        <v>5731.9999999999991</v>
      </c>
      <c r="D5599" s="606">
        <v>46327</v>
      </c>
      <c r="E5599" s="608" t="s">
        <v>1061</v>
      </c>
      <c r="F5599" s="608" t="s">
        <v>1227</v>
      </c>
      <c r="G5599" s="395">
        <f>VLOOKUP($A5599,'Tech Litons'!$A:$I,8,FALSE)</f>
        <v>3.7839999999999996E-3</v>
      </c>
      <c r="H5599" s="174">
        <f>VLOOKUP($A5599,'Tech Litons'!$A:$I,9,FALSE)</f>
        <v>240</v>
      </c>
      <c r="I5599" s="174" t="str">
        <f>VLOOKUP($A5599,'Tech Litons'!$A:$C,3,0)</f>
        <v>Other</v>
      </c>
      <c r="J5599" s="175" t="str">
        <f t="shared" si="633"/>
        <v>2904Other</v>
      </c>
      <c r="K5599" s="974">
        <v>0.95</v>
      </c>
      <c r="L5599" s="177">
        <f t="shared" si="617"/>
        <v>5445.3999999999987</v>
      </c>
      <c r="M5599" s="177">
        <f t="shared" si="634"/>
        <v>20.605393599999992</v>
      </c>
      <c r="N5599" s="177">
        <f t="shared" si="635"/>
        <v>22.689166666666662</v>
      </c>
      <c r="O5599" s="175" t="str">
        <f t="shared" si="636"/>
        <v>Nov</v>
      </c>
      <c r="P5599" s="265">
        <f t="shared" si="637"/>
        <v>45</v>
      </c>
    </row>
    <row r="5600" spans="1:16" ht="15" hidden="1" customHeight="1">
      <c r="A5600" s="608">
        <v>65459388</v>
      </c>
      <c r="B5600" s="608">
        <v>2904</v>
      </c>
      <c r="C5600" s="601">
        <v>5923.0000000000009</v>
      </c>
      <c r="D5600" s="606">
        <v>46357</v>
      </c>
      <c r="E5600" s="608" t="s">
        <v>1061</v>
      </c>
      <c r="F5600" s="608" t="s">
        <v>1227</v>
      </c>
      <c r="G5600" s="395">
        <f>VLOOKUP($A5600,'Tech Litons'!$A:$I,8,FALSE)</f>
        <v>3.7839999999999996E-3</v>
      </c>
      <c r="H5600" s="174">
        <f>VLOOKUP($A5600,'Tech Litons'!$A:$I,9,FALSE)</f>
        <v>240</v>
      </c>
      <c r="I5600" s="174" t="str">
        <f>VLOOKUP($A5600,'Tech Litons'!$A:$C,3,0)</f>
        <v>Other</v>
      </c>
      <c r="J5600" s="175" t="str">
        <f t="shared" si="633"/>
        <v>2904Other</v>
      </c>
      <c r="K5600" s="974">
        <v>0.95</v>
      </c>
      <c r="L5600" s="177">
        <f t="shared" si="617"/>
        <v>5626.85</v>
      </c>
      <c r="M5600" s="177">
        <f t="shared" si="634"/>
        <v>21.292000399999999</v>
      </c>
      <c r="N5600" s="177">
        <f t="shared" si="635"/>
        <v>23.445208333333333</v>
      </c>
      <c r="O5600" s="175" t="str">
        <f t="shared" si="636"/>
        <v>Dec</v>
      </c>
      <c r="P5600" s="265">
        <f t="shared" si="637"/>
        <v>49</v>
      </c>
    </row>
    <row r="5601" spans="1:16" ht="15" hidden="1" customHeight="1">
      <c r="A5601" s="608">
        <v>65471855</v>
      </c>
      <c r="B5601" s="608">
        <v>2904</v>
      </c>
      <c r="C5601" s="601"/>
      <c r="D5601" s="606">
        <v>46174</v>
      </c>
      <c r="E5601" s="608" t="s">
        <v>248</v>
      </c>
      <c r="F5601" s="608" t="s">
        <v>1227</v>
      </c>
      <c r="G5601" s="395">
        <f>VLOOKUP($A5601,'Tech Litons'!$A:$I,8,FALSE)</f>
        <v>3.7839999999999996E-3</v>
      </c>
      <c r="H5601" s="174">
        <f>VLOOKUP($A5601,'Tech Litons'!$A:$I,9,FALSE)</f>
        <v>240</v>
      </c>
      <c r="I5601" s="174" t="str">
        <f>VLOOKUP($A5601,'Tech Litons'!$A:$C,3,0)</f>
        <v>Other</v>
      </c>
      <c r="J5601" s="175" t="str">
        <f t="shared" si="633"/>
        <v>2904Other</v>
      </c>
      <c r="K5601" s="974">
        <v>0.95</v>
      </c>
      <c r="L5601" s="177">
        <f t="shared" si="617"/>
        <v>0</v>
      </c>
      <c r="M5601" s="177">
        <f t="shared" si="634"/>
        <v>0</v>
      </c>
      <c r="N5601" s="177">
        <f t="shared" si="635"/>
        <v>0</v>
      </c>
      <c r="O5601" s="175" t="str">
        <f t="shared" si="636"/>
        <v>Jun</v>
      </c>
      <c r="P5601" s="265">
        <f t="shared" si="637"/>
        <v>23</v>
      </c>
    </row>
    <row r="5602" spans="1:16" ht="15" hidden="1" customHeight="1">
      <c r="A5602" s="608">
        <v>65471855</v>
      </c>
      <c r="B5602" s="608">
        <v>2904</v>
      </c>
      <c r="C5602" s="601">
        <v>5812.9999999999991</v>
      </c>
      <c r="D5602" s="606">
        <v>46204</v>
      </c>
      <c r="E5602" s="608" t="s">
        <v>248</v>
      </c>
      <c r="F5602" s="608" t="s">
        <v>1227</v>
      </c>
      <c r="G5602" s="395">
        <f>VLOOKUP($A5602,'Tech Litons'!$A:$I,8,FALSE)</f>
        <v>3.7839999999999996E-3</v>
      </c>
      <c r="H5602" s="174">
        <f>VLOOKUP($A5602,'Tech Litons'!$A:$I,9,FALSE)</f>
        <v>240</v>
      </c>
      <c r="I5602" s="174" t="str">
        <f>VLOOKUP($A5602,'Tech Litons'!$A:$C,3,0)</f>
        <v>Other</v>
      </c>
      <c r="J5602" s="175" t="str">
        <f t="shared" si="633"/>
        <v>2904Other</v>
      </c>
      <c r="K5602" s="974">
        <v>0.95</v>
      </c>
      <c r="L5602" s="177">
        <f t="shared" si="617"/>
        <v>5522.3499999999985</v>
      </c>
      <c r="M5602" s="177">
        <f t="shared" si="634"/>
        <v>20.896572399999993</v>
      </c>
      <c r="N5602" s="177">
        <f t="shared" si="635"/>
        <v>23.009791666666661</v>
      </c>
      <c r="O5602" s="175" t="str">
        <f t="shared" si="636"/>
        <v>Jul</v>
      </c>
      <c r="P5602" s="265">
        <f t="shared" si="637"/>
        <v>27</v>
      </c>
    </row>
    <row r="5603" spans="1:16" ht="15" hidden="1" customHeight="1">
      <c r="A5603" s="608">
        <v>65471855</v>
      </c>
      <c r="B5603" s="608">
        <v>2904</v>
      </c>
      <c r="C5603" s="601">
        <v>7750.0000000000009</v>
      </c>
      <c r="D5603" s="606">
        <v>46235</v>
      </c>
      <c r="E5603" s="608" t="s">
        <v>248</v>
      </c>
      <c r="F5603" s="608" t="s">
        <v>1227</v>
      </c>
      <c r="G5603" s="395">
        <f>VLOOKUP($A5603,'Tech Litons'!$A:$I,8,FALSE)</f>
        <v>3.7839999999999996E-3</v>
      </c>
      <c r="H5603" s="174">
        <f>VLOOKUP($A5603,'Tech Litons'!$A:$I,9,FALSE)</f>
        <v>240</v>
      </c>
      <c r="I5603" s="174" t="str">
        <f>VLOOKUP($A5603,'Tech Litons'!$A:$C,3,0)</f>
        <v>Other</v>
      </c>
      <c r="J5603" s="175" t="str">
        <f t="shared" si="633"/>
        <v>2904Other</v>
      </c>
      <c r="K5603" s="974">
        <v>0.95</v>
      </c>
      <c r="L5603" s="177">
        <f t="shared" si="617"/>
        <v>7362.5000000000009</v>
      </c>
      <c r="M5603" s="177">
        <f t="shared" si="634"/>
        <v>27.8597</v>
      </c>
      <c r="N5603" s="177">
        <f t="shared" si="635"/>
        <v>30.677083333333336</v>
      </c>
      <c r="O5603" s="175" t="str">
        <f t="shared" si="636"/>
        <v>Aug</v>
      </c>
      <c r="P5603" s="265">
        <f t="shared" si="637"/>
        <v>31</v>
      </c>
    </row>
    <row r="5604" spans="1:16" ht="15" hidden="1" customHeight="1">
      <c r="A5604" s="608">
        <v>65471855</v>
      </c>
      <c r="B5604" s="608">
        <v>2904</v>
      </c>
      <c r="C5604" s="601">
        <v>7499.9999999999991</v>
      </c>
      <c r="D5604" s="606">
        <v>46266</v>
      </c>
      <c r="E5604" s="608" t="s">
        <v>248</v>
      </c>
      <c r="F5604" s="608" t="s">
        <v>1227</v>
      </c>
      <c r="G5604" s="395">
        <f>VLOOKUP($A5604,'Tech Litons'!$A:$I,8,FALSE)</f>
        <v>3.7839999999999996E-3</v>
      </c>
      <c r="H5604" s="174">
        <f>VLOOKUP($A5604,'Tech Litons'!$A:$I,9,FALSE)</f>
        <v>240</v>
      </c>
      <c r="I5604" s="174" t="str">
        <f>VLOOKUP($A5604,'Tech Litons'!$A:$C,3,0)</f>
        <v>Other</v>
      </c>
      <c r="J5604" s="175" t="str">
        <f t="shared" si="633"/>
        <v>2904Other</v>
      </c>
      <c r="K5604" s="974">
        <v>0.95</v>
      </c>
      <c r="L5604" s="177">
        <f t="shared" si="617"/>
        <v>7124.9999999999991</v>
      </c>
      <c r="M5604" s="177">
        <f t="shared" si="634"/>
        <v>26.960999999999995</v>
      </c>
      <c r="N5604" s="177">
        <f t="shared" si="635"/>
        <v>29.687499999999996</v>
      </c>
      <c r="O5604" s="175" t="str">
        <f t="shared" si="636"/>
        <v>Sep</v>
      </c>
      <c r="P5604" s="265">
        <f t="shared" si="637"/>
        <v>36</v>
      </c>
    </row>
    <row r="5605" spans="1:16" ht="15" hidden="1" customHeight="1">
      <c r="A5605" s="608">
        <v>65471855</v>
      </c>
      <c r="B5605" s="608">
        <v>2904</v>
      </c>
      <c r="C5605" s="601">
        <v>7750.0000000000009</v>
      </c>
      <c r="D5605" s="606">
        <v>46296</v>
      </c>
      <c r="E5605" s="608" t="s">
        <v>248</v>
      </c>
      <c r="F5605" s="608" t="s">
        <v>1227</v>
      </c>
      <c r="G5605" s="395">
        <f>VLOOKUP($A5605,'Tech Litons'!$A:$I,8,FALSE)</f>
        <v>3.7839999999999996E-3</v>
      </c>
      <c r="H5605" s="174">
        <f>VLOOKUP($A5605,'Tech Litons'!$A:$I,9,FALSE)</f>
        <v>240</v>
      </c>
      <c r="I5605" s="174" t="str">
        <f>VLOOKUP($A5605,'Tech Litons'!$A:$C,3,0)</f>
        <v>Other</v>
      </c>
      <c r="J5605" s="175" t="str">
        <f t="shared" si="633"/>
        <v>2904Other</v>
      </c>
      <c r="K5605" s="974">
        <v>0.95</v>
      </c>
      <c r="L5605" s="177">
        <f t="shared" si="617"/>
        <v>7362.5000000000009</v>
      </c>
      <c r="M5605" s="177">
        <f t="shared" si="634"/>
        <v>27.8597</v>
      </c>
      <c r="N5605" s="177">
        <f t="shared" si="635"/>
        <v>30.677083333333336</v>
      </c>
      <c r="O5605" s="175" t="str">
        <f t="shared" si="636"/>
        <v>Oct</v>
      </c>
      <c r="P5605" s="265">
        <f t="shared" si="637"/>
        <v>40</v>
      </c>
    </row>
    <row r="5606" spans="1:16" ht="15" hidden="1" customHeight="1">
      <c r="A5606" s="608">
        <v>65471855</v>
      </c>
      <c r="B5606" s="608">
        <v>2904</v>
      </c>
      <c r="C5606" s="601">
        <v>7499.9999999999991</v>
      </c>
      <c r="D5606" s="606">
        <v>46327</v>
      </c>
      <c r="E5606" s="608" t="s">
        <v>248</v>
      </c>
      <c r="F5606" s="608" t="s">
        <v>1227</v>
      </c>
      <c r="G5606" s="395">
        <f>VLOOKUP($A5606,'Tech Litons'!$A:$I,8,FALSE)</f>
        <v>3.7839999999999996E-3</v>
      </c>
      <c r="H5606" s="174">
        <f>VLOOKUP($A5606,'Tech Litons'!$A:$I,9,FALSE)</f>
        <v>240</v>
      </c>
      <c r="I5606" s="174" t="str">
        <f>VLOOKUP($A5606,'Tech Litons'!$A:$C,3,0)</f>
        <v>Other</v>
      </c>
      <c r="J5606" s="175" t="str">
        <f t="shared" si="633"/>
        <v>2904Other</v>
      </c>
      <c r="K5606" s="974">
        <v>0.95</v>
      </c>
      <c r="L5606" s="177">
        <f t="shared" si="617"/>
        <v>7124.9999999999991</v>
      </c>
      <c r="M5606" s="177">
        <f t="shared" si="634"/>
        <v>26.960999999999995</v>
      </c>
      <c r="N5606" s="177">
        <f t="shared" si="635"/>
        <v>29.687499999999996</v>
      </c>
      <c r="O5606" s="175" t="str">
        <f t="shared" si="636"/>
        <v>Nov</v>
      </c>
      <c r="P5606" s="265">
        <f t="shared" si="637"/>
        <v>45</v>
      </c>
    </row>
    <row r="5607" spans="1:16" ht="15" hidden="1" customHeight="1">
      <c r="A5607" s="608">
        <v>65471855</v>
      </c>
      <c r="B5607" s="608">
        <v>2904</v>
      </c>
      <c r="C5607" s="601">
        <v>7750.0000000000009</v>
      </c>
      <c r="D5607" s="606">
        <v>46357</v>
      </c>
      <c r="E5607" s="608" t="s">
        <v>248</v>
      </c>
      <c r="F5607" s="608" t="s">
        <v>1227</v>
      </c>
      <c r="G5607" s="395">
        <f>VLOOKUP($A5607,'Tech Litons'!$A:$I,8,FALSE)</f>
        <v>3.7839999999999996E-3</v>
      </c>
      <c r="H5607" s="174">
        <f>VLOOKUP($A5607,'Tech Litons'!$A:$I,9,FALSE)</f>
        <v>240</v>
      </c>
      <c r="I5607" s="174" t="str">
        <f>VLOOKUP($A5607,'Tech Litons'!$A:$C,3,0)</f>
        <v>Other</v>
      </c>
      <c r="J5607" s="175" t="str">
        <f t="shared" si="633"/>
        <v>2904Other</v>
      </c>
      <c r="K5607" s="974">
        <v>0.95</v>
      </c>
      <c r="L5607" s="177">
        <f t="shared" si="617"/>
        <v>7362.5000000000009</v>
      </c>
      <c r="M5607" s="177">
        <f t="shared" si="634"/>
        <v>27.8597</v>
      </c>
      <c r="N5607" s="177">
        <f t="shared" si="635"/>
        <v>30.677083333333336</v>
      </c>
      <c r="O5607" s="175" t="str">
        <f t="shared" si="636"/>
        <v>Dec</v>
      </c>
      <c r="P5607" s="265">
        <f t="shared" si="637"/>
        <v>49</v>
      </c>
    </row>
    <row r="5608" spans="1:16" ht="15" hidden="1" customHeight="1">
      <c r="A5608" s="1006">
        <v>64875812</v>
      </c>
      <c r="B5608" s="1006" t="s">
        <v>201</v>
      </c>
      <c r="C5608" s="1007">
        <v>37037.037037037</v>
      </c>
      <c r="D5608" s="1008">
        <v>46117</v>
      </c>
      <c r="E5608" s="1006" t="s">
        <v>347</v>
      </c>
      <c r="F5608" s="1006" t="s">
        <v>1258</v>
      </c>
      <c r="G5608" s="395">
        <f>VLOOKUP($A5608,'Tech Litons'!$A:$I,8,FALSE)</f>
        <v>6.0000000000000001E-3</v>
      </c>
      <c r="H5608" s="174">
        <f>VLOOKUP($A5608,'Tech Litons'!$A:$I,9,FALSE)</f>
        <v>108</v>
      </c>
      <c r="I5608" s="174" t="str">
        <f>VLOOKUP($A5608,'Tech Litons'!$A:$C,3,0)</f>
        <v>ESS</v>
      </c>
      <c r="J5608" s="175" t="str">
        <f t="shared" si="633"/>
        <v>Turkey HillESS</v>
      </c>
      <c r="K5608" s="974">
        <v>1</v>
      </c>
      <c r="L5608" s="177">
        <f t="shared" si="617"/>
        <v>37037.037037037</v>
      </c>
      <c r="M5608" s="177">
        <f t="shared" si="634"/>
        <v>222.222222222222</v>
      </c>
      <c r="N5608" s="177">
        <f t="shared" si="635"/>
        <v>342.93552812071295</v>
      </c>
      <c r="O5608" s="175" t="str">
        <f t="shared" si="636"/>
        <v>Apr</v>
      </c>
      <c r="P5608" s="265">
        <f t="shared" si="637"/>
        <v>15</v>
      </c>
    </row>
    <row r="5609" spans="1:16" ht="15" hidden="1" customHeight="1">
      <c r="A5609" s="1006">
        <v>64875812</v>
      </c>
      <c r="B5609" s="1006" t="s">
        <v>201</v>
      </c>
      <c r="C5609" s="1007">
        <v>70000</v>
      </c>
      <c r="D5609" s="1008">
        <v>46147</v>
      </c>
      <c r="E5609" s="1006" t="s">
        <v>347</v>
      </c>
      <c r="F5609" s="1006" t="s">
        <v>1258</v>
      </c>
      <c r="G5609" s="395">
        <f>VLOOKUP($A5609,'Tech Litons'!$A:$I,8,FALSE)</f>
        <v>6.0000000000000001E-3</v>
      </c>
      <c r="H5609" s="174">
        <f>VLOOKUP($A5609,'Tech Litons'!$A:$I,9,FALSE)</f>
        <v>108</v>
      </c>
      <c r="I5609" s="174" t="str">
        <f>VLOOKUP($A5609,'Tech Litons'!$A:$C,3,0)</f>
        <v>ESS</v>
      </c>
      <c r="J5609" s="175" t="str">
        <f t="shared" si="633"/>
        <v>Turkey HillESS</v>
      </c>
      <c r="K5609" s="974">
        <v>1</v>
      </c>
      <c r="L5609" s="177">
        <f t="shared" si="617"/>
        <v>70000</v>
      </c>
      <c r="M5609" s="177">
        <f t="shared" si="634"/>
        <v>420</v>
      </c>
      <c r="N5609" s="177">
        <f t="shared" si="635"/>
        <v>648.14814814814815</v>
      </c>
      <c r="O5609" s="175" t="str">
        <f t="shared" si="636"/>
        <v>May</v>
      </c>
      <c r="P5609" s="265">
        <f t="shared" si="637"/>
        <v>19</v>
      </c>
    </row>
    <row r="5610" spans="1:16" ht="15" hidden="1" customHeight="1">
      <c r="A5610" s="1006">
        <v>64875812</v>
      </c>
      <c r="B5610" s="1006" t="s">
        <v>201</v>
      </c>
      <c r="C5610" s="1007">
        <v>62037.037037037</v>
      </c>
      <c r="D5610" s="1008">
        <v>46177</v>
      </c>
      <c r="E5610" s="1006" t="s">
        <v>347</v>
      </c>
      <c r="F5610" s="1006" t="s">
        <v>1258</v>
      </c>
      <c r="G5610" s="395">
        <f>VLOOKUP($A5610,'Tech Litons'!$A:$I,8,FALSE)</f>
        <v>6.0000000000000001E-3</v>
      </c>
      <c r="H5610" s="174">
        <f>VLOOKUP($A5610,'Tech Litons'!$A:$I,9,FALSE)</f>
        <v>108</v>
      </c>
      <c r="I5610" s="174" t="str">
        <f>VLOOKUP($A5610,'Tech Litons'!$A:$C,3,0)</f>
        <v>ESS</v>
      </c>
      <c r="J5610" s="175" t="str">
        <f t="shared" ref="J5610:J5616" si="638">B5610&amp;I5610</f>
        <v>Turkey HillESS</v>
      </c>
      <c r="K5610" s="974">
        <v>1</v>
      </c>
      <c r="L5610" s="177">
        <f t="shared" ref="L5610:L5622" si="639">C5610*$K5610</f>
        <v>62037.037037037</v>
      </c>
      <c r="M5610" s="177">
        <f t="shared" ref="M5610:M5616" si="640">L5610*G5610</f>
        <v>372.222222222222</v>
      </c>
      <c r="N5610" s="177">
        <f t="shared" ref="N5610:N5616" si="641">L5610/H5610</f>
        <v>574.41700960219441</v>
      </c>
      <c r="O5610" s="175" t="str">
        <f t="shared" ref="O5610:O5616" si="642">TEXT(D5610,"MMM")</f>
        <v>Jun</v>
      </c>
      <c r="P5610" s="265">
        <f t="shared" ref="P5610:P5616" si="643">WEEKNUM(D5610)</f>
        <v>23</v>
      </c>
    </row>
    <row r="5611" spans="1:16" ht="15" hidden="1" customHeight="1">
      <c r="A5611" s="1006">
        <v>64875812</v>
      </c>
      <c r="B5611" s="1006" t="s">
        <v>201</v>
      </c>
      <c r="C5611" s="1007">
        <v>62034.537037037</v>
      </c>
      <c r="D5611" s="1008">
        <v>46207</v>
      </c>
      <c r="E5611" s="1006" t="s">
        <v>347</v>
      </c>
      <c r="F5611" s="1006" t="s">
        <v>1258</v>
      </c>
      <c r="G5611" s="395">
        <f>VLOOKUP($A5611,'Tech Litons'!$A:$I,8,FALSE)</f>
        <v>6.0000000000000001E-3</v>
      </c>
      <c r="H5611" s="174">
        <f>VLOOKUP($A5611,'Tech Litons'!$A:$I,9,FALSE)</f>
        <v>108</v>
      </c>
      <c r="I5611" s="174" t="str">
        <f>VLOOKUP($A5611,'Tech Litons'!$A:$C,3,0)</f>
        <v>ESS</v>
      </c>
      <c r="J5611" s="175" t="str">
        <f t="shared" si="638"/>
        <v>Turkey HillESS</v>
      </c>
      <c r="K5611" s="974">
        <v>1</v>
      </c>
      <c r="L5611" s="177">
        <f t="shared" si="639"/>
        <v>62034.537037037</v>
      </c>
      <c r="M5611" s="177">
        <f t="shared" si="640"/>
        <v>372.20722222222201</v>
      </c>
      <c r="N5611" s="177">
        <f t="shared" si="641"/>
        <v>574.39386145404626</v>
      </c>
      <c r="O5611" s="175" t="str">
        <f t="shared" si="642"/>
        <v>Jul</v>
      </c>
      <c r="P5611" s="265">
        <f t="shared" si="643"/>
        <v>27</v>
      </c>
    </row>
    <row r="5612" spans="1:16" ht="15" hidden="1" customHeight="1">
      <c r="A5612" s="1006">
        <v>64875812</v>
      </c>
      <c r="B5612" s="1006" t="s">
        <v>201</v>
      </c>
      <c r="C5612" s="1007">
        <v>62034.537037037</v>
      </c>
      <c r="D5612" s="1008">
        <v>46237</v>
      </c>
      <c r="E5612" s="1006" t="s">
        <v>347</v>
      </c>
      <c r="F5612" s="1006" t="s">
        <v>1258</v>
      </c>
      <c r="G5612" s="395">
        <f>VLOOKUP($A5612,'Tech Litons'!$A:$I,8,FALSE)</f>
        <v>6.0000000000000001E-3</v>
      </c>
      <c r="H5612" s="174">
        <f>VLOOKUP($A5612,'Tech Litons'!$A:$I,9,FALSE)</f>
        <v>108</v>
      </c>
      <c r="I5612" s="174" t="str">
        <f>VLOOKUP($A5612,'Tech Litons'!$A:$C,3,0)</f>
        <v>ESS</v>
      </c>
      <c r="J5612" s="175" t="str">
        <f t="shared" si="638"/>
        <v>Turkey HillESS</v>
      </c>
      <c r="K5612" s="974">
        <v>1</v>
      </c>
      <c r="L5612" s="177">
        <f t="shared" si="639"/>
        <v>62034.537037037</v>
      </c>
      <c r="M5612" s="177">
        <f t="shared" si="640"/>
        <v>372.20722222222201</v>
      </c>
      <c r="N5612" s="177">
        <f t="shared" si="641"/>
        <v>574.39386145404626</v>
      </c>
      <c r="O5612" s="175" t="str">
        <f t="shared" si="642"/>
        <v>Aug</v>
      </c>
      <c r="P5612" s="265">
        <f t="shared" si="643"/>
        <v>32</v>
      </c>
    </row>
    <row r="5613" spans="1:16" ht="15" hidden="1" customHeight="1">
      <c r="A5613" s="1006">
        <v>64875812</v>
      </c>
      <c r="B5613" s="1006" t="s">
        <v>201</v>
      </c>
      <c r="C5613" s="1007">
        <f>62037.037037037</f>
        <v>62037.037037037</v>
      </c>
      <c r="D5613" s="1008">
        <v>46267</v>
      </c>
      <c r="E5613" s="1006" t="s">
        <v>347</v>
      </c>
      <c r="F5613" s="1006" t="s">
        <v>1258</v>
      </c>
      <c r="G5613" s="395">
        <f>VLOOKUP($A5613,'Tech Litons'!$A:$I,8,FALSE)</f>
        <v>6.0000000000000001E-3</v>
      </c>
      <c r="H5613" s="174">
        <f>VLOOKUP($A5613,'Tech Litons'!$A:$I,9,FALSE)</f>
        <v>108</v>
      </c>
      <c r="I5613" s="174" t="str">
        <f>VLOOKUP($A5613,'Tech Litons'!$A:$C,3,0)</f>
        <v>ESS</v>
      </c>
      <c r="J5613" s="175" t="str">
        <f t="shared" si="638"/>
        <v>Turkey HillESS</v>
      </c>
      <c r="K5613" s="974">
        <v>1</v>
      </c>
      <c r="L5613" s="177">
        <f t="shared" si="639"/>
        <v>62037.037037037</v>
      </c>
      <c r="M5613" s="177">
        <f t="shared" si="640"/>
        <v>372.222222222222</v>
      </c>
      <c r="N5613" s="177">
        <f t="shared" si="641"/>
        <v>574.41700960219441</v>
      </c>
      <c r="O5613" s="175" t="str">
        <f t="shared" si="642"/>
        <v>Sep</v>
      </c>
      <c r="P5613" s="265">
        <f t="shared" si="643"/>
        <v>36</v>
      </c>
    </row>
    <row r="5614" spans="1:16" ht="15" hidden="1" customHeight="1">
      <c r="A5614" s="1006">
        <v>64875812</v>
      </c>
      <c r="B5614" s="1006" t="s">
        <v>201</v>
      </c>
      <c r="C5614" s="1007">
        <v>49537.037037037</v>
      </c>
      <c r="D5614" s="1008">
        <v>46297</v>
      </c>
      <c r="E5614" s="1006" t="s">
        <v>347</v>
      </c>
      <c r="F5614" s="1006" t="s">
        <v>1258</v>
      </c>
      <c r="G5614" s="395">
        <f>VLOOKUP($A5614,'Tech Litons'!$A:$I,8,FALSE)</f>
        <v>6.0000000000000001E-3</v>
      </c>
      <c r="H5614" s="174">
        <f>VLOOKUP($A5614,'Tech Litons'!$A:$I,9,FALSE)</f>
        <v>108</v>
      </c>
      <c r="I5614" s="174" t="str">
        <f>VLOOKUP($A5614,'Tech Litons'!$A:$C,3,0)</f>
        <v>ESS</v>
      </c>
      <c r="J5614" s="175" t="str">
        <f t="shared" si="638"/>
        <v>Turkey HillESS</v>
      </c>
      <c r="K5614" s="974">
        <v>1</v>
      </c>
      <c r="L5614" s="177">
        <f t="shared" si="639"/>
        <v>49537.037037037</v>
      </c>
      <c r="M5614" s="177">
        <f t="shared" si="640"/>
        <v>297.222222222222</v>
      </c>
      <c r="N5614" s="177">
        <f t="shared" si="641"/>
        <v>458.67626886145371</v>
      </c>
      <c r="O5614" s="175" t="str">
        <f t="shared" si="642"/>
        <v>Oct</v>
      </c>
      <c r="P5614" s="265">
        <f t="shared" si="643"/>
        <v>40</v>
      </c>
    </row>
    <row r="5615" spans="1:16" ht="15" hidden="1" customHeight="1">
      <c r="A5615" s="1006">
        <v>64875812</v>
      </c>
      <c r="B5615" s="1006" t="s">
        <v>201</v>
      </c>
      <c r="C5615" s="1007">
        <v>45370.370370370401</v>
      </c>
      <c r="D5615" s="1008">
        <v>46327</v>
      </c>
      <c r="E5615" s="1006" t="s">
        <v>347</v>
      </c>
      <c r="F5615" s="1006" t="s">
        <v>1258</v>
      </c>
      <c r="G5615" s="395">
        <f>VLOOKUP($A5615,'Tech Litons'!$A:$I,8,FALSE)</f>
        <v>6.0000000000000001E-3</v>
      </c>
      <c r="H5615" s="174">
        <f>VLOOKUP($A5615,'Tech Litons'!$A:$I,9,FALSE)</f>
        <v>108</v>
      </c>
      <c r="I5615" s="174" t="str">
        <f>VLOOKUP($A5615,'Tech Litons'!$A:$C,3,0)</f>
        <v>ESS</v>
      </c>
      <c r="J5615" s="175" t="str">
        <f t="shared" si="638"/>
        <v>Turkey HillESS</v>
      </c>
      <c r="K5615" s="974">
        <v>1</v>
      </c>
      <c r="L5615" s="177">
        <f t="shared" si="639"/>
        <v>45370.370370370401</v>
      </c>
      <c r="M5615" s="177">
        <f t="shared" si="640"/>
        <v>272.2222222222224</v>
      </c>
      <c r="N5615" s="177">
        <f t="shared" si="641"/>
        <v>420.09602194787408</v>
      </c>
      <c r="O5615" s="175" t="str">
        <f t="shared" si="642"/>
        <v>Nov</v>
      </c>
      <c r="P5615" s="265">
        <f t="shared" si="643"/>
        <v>45</v>
      </c>
    </row>
    <row r="5616" spans="1:16" ht="15" hidden="1" customHeight="1">
      <c r="A5616" s="1006">
        <v>64875812</v>
      </c>
      <c r="B5616" s="1006" t="s">
        <v>201</v>
      </c>
      <c r="C5616" s="1007">
        <v>45370.370370370401</v>
      </c>
      <c r="D5616" s="1008">
        <v>46357</v>
      </c>
      <c r="E5616" s="1006" t="s">
        <v>347</v>
      </c>
      <c r="F5616" s="1006" t="s">
        <v>1258</v>
      </c>
      <c r="G5616" s="395">
        <f>VLOOKUP($A5616,'Tech Litons'!$A:$I,8,FALSE)</f>
        <v>6.0000000000000001E-3</v>
      </c>
      <c r="H5616" s="174">
        <f>VLOOKUP($A5616,'Tech Litons'!$A:$I,9,FALSE)</f>
        <v>108</v>
      </c>
      <c r="I5616" s="174" t="str">
        <f>VLOOKUP($A5616,'Tech Litons'!$A:$C,3,0)</f>
        <v>ESS</v>
      </c>
      <c r="J5616" s="175" t="str">
        <f t="shared" si="638"/>
        <v>Turkey HillESS</v>
      </c>
      <c r="K5616" s="974">
        <v>1</v>
      </c>
      <c r="L5616" s="177">
        <f t="shared" si="639"/>
        <v>45370.370370370401</v>
      </c>
      <c r="M5616" s="177">
        <f t="shared" si="640"/>
        <v>272.2222222222224</v>
      </c>
      <c r="N5616" s="177">
        <f t="shared" si="641"/>
        <v>420.09602194787408</v>
      </c>
      <c r="O5616" s="175" t="str">
        <f t="shared" si="642"/>
        <v>Dec</v>
      </c>
      <c r="P5616" s="265">
        <f t="shared" si="643"/>
        <v>49</v>
      </c>
    </row>
    <row r="5617" spans="1:16" s="756" customFormat="1" ht="15" hidden="1" customHeight="1">
      <c r="A5617" s="1006">
        <v>64776958</v>
      </c>
      <c r="B5617" s="1006" t="s">
        <v>133</v>
      </c>
      <c r="C5617" s="1007">
        <v>217366.75700090337</v>
      </c>
      <c r="D5617" s="1008">
        <v>46207</v>
      </c>
      <c r="E5617" s="1006" t="s">
        <v>292</v>
      </c>
      <c r="F5617" s="1006">
        <v>1419</v>
      </c>
      <c r="G5617" s="395">
        <f>VLOOKUP($A5617,'Tech Litons'!$A:$I,8,FALSE)</f>
        <v>5.2680000000000001E-3</v>
      </c>
      <c r="H5617" s="174">
        <f>VLOOKUP($A5617,'Tech Litons'!$A:$I,9,FALSE)</f>
        <v>130</v>
      </c>
      <c r="I5617" s="174" t="str">
        <f>VLOOKUP($A5617,'Tech Litons'!$A:$C,3,0)</f>
        <v>PG</v>
      </c>
      <c r="J5617" s="175" t="str">
        <f t="shared" ref="J5617:J5623" si="644">B5617&amp;I5617</f>
        <v>GDIPG</v>
      </c>
      <c r="K5617" s="974">
        <v>1</v>
      </c>
      <c r="L5617" s="177">
        <f t="shared" si="639"/>
        <v>217366.75700090337</v>
      </c>
      <c r="M5617" s="177">
        <f t="shared" ref="M5617:M5623" si="645">L5617*G5617</f>
        <v>1145.0880758807589</v>
      </c>
      <c r="N5617" s="177">
        <f t="shared" ref="N5617:N5623" si="646">L5617/H5617</f>
        <v>1672.0519769300258</v>
      </c>
      <c r="O5617" s="175" t="str">
        <f t="shared" ref="O5617:O5623" si="647">TEXT(D5617,"MMM")</f>
        <v>Jul</v>
      </c>
      <c r="P5617" s="265">
        <f t="shared" ref="P5617:P5623" si="648">WEEKNUM(D5617)</f>
        <v>27</v>
      </c>
    </row>
    <row r="5618" spans="1:16" s="756" customFormat="1" ht="15" hidden="1" customHeight="1">
      <c r="A5618" s="1006">
        <v>64776958</v>
      </c>
      <c r="B5618" s="1006" t="s">
        <v>133</v>
      </c>
      <c r="C5618" s="1007">
        <v>225129.85546522131</v>
      </c>
      <c r="D5618" s="1008">
        <v>46237</v>
      </c>
      <c r="E5618" s="1006" t="s">
        <v>292</v>
      </c>
      <c r="F5618" s="1006">
        <v>1419</v>
      </c>
      <c r="G5618" s="395">
        <f>VLOOKUP($A5618,'Tech Litons'!$A:$I,8,FALSE)</f>
        <v>5.2680000000000001E-3</v>
      </c>
      <c r="H5618" s="174">
        <f>VLOOKUP($A5618,'Tech Litons'!$A:$I,9,FALSE)</f>
        <v>130</v>
      </c>
      <c r="I5618" s="174" t="str">
        <f>VLOOKUP($A5618,'Tech Litons'!$A:$C,3,0)</f>
        <v>PG</v>
      </c>
      <c r="J5618" s="175" t="str">
        <f t="shared" si="644"/>
        <v>GDIPG</v>
      </c>
      <c r="K5618" s="974">
        <v>1</v>
      </c>
      <c r="L5618" s="177">
        <f t="shared" si="639"/>
        <v>225129.85546522131</v>
      </c>
      <c r="M5618" s="177">
        <f t="shared" si="645"/>
        <v>1185.9840785907859</v>
      </c>
      <c r="N5618" s="177">
        <f t="shared" si="646"/>
        <v>1731.7681189632408</v>
      </c>
      <c r="O5618" s="175" t="str">
        <f t="shared" si="647"/>
        <v>Aug</v>
      </c>
      <c r="P5618" s="265">
        <f t="shared" si="648"/>
        <v>32</v>
      </c>
    </row>
    <row r="5619" spans="1:16" s="756" customFormat="1" ht="15" hidden="1" customHeight="1">
      <c r="A5619" s="1006">
        <v>64776958</v>
      </c>
      <c r="B5619" s="1006" t="s">
        <v>133</v>
      </c>
      <c r="C5619" s="1007">
        <v>217366.75700090337</v>
      </c>
      <c r="D5619" s="1008">
        <v>46267</v>
      </c>
      <c r="E5619" s="1006" t="s">
        <v>292</v>
      </c>
      <c r="F5619" s="1006">
        <v>1419</v>
      </c>
      <c r="G5619" s="395">
        <f>VLOOKUP($A5619,'Tech Litons'!$A:$I,8,FALSE)</f>
        <v>5.2680000000000001E-3</v>
      </c>
      <c r="H5619" s="174">
        <f>VLOOKUP($A5619,'Tech Litons'!$A:$I,9,FALSE)</f>
        <v>130</v>
      </c>
      <c r="I5619" s="174" t="str">
        <f>VLOOKUP($A5619,'Tech Litons'!$A:$C,3,0)</f>
        <v>PG</v>
      </c>
      <c r="J5619" s="175" t="str">
        <f t="shared" si="644"/>
        <v>GDIPG</v>
      </c>
      <c r="K5619" s="974">
        <v>1</v>
      </c>
      <c r="L5619" s="177">
        <f t="shared" si="639"/>
        <v>217366.75700090337</v>
      </c>
      <c r="M5619" s="177">
        <f t="shared" si="645"/>
        <v>1145.0880758807589</v>
      </c>
      <c r="N5619" s="177">
        <f t="shared" si="646"/>
        <v>1672.0519769300258</v>
      </c>
      <c r="O5619" s="175" t="str">
        <f t="shared" si="647"/>
        <v>Sep</v>
      </c>
      <c r="P5619" s="265">
        <f t="shared" si="648"/>
        <v>36</v>
      </c>
    </row>
    <row r="5620" spans="1:16" s="756" customFormat="1" ht="15" hidden="1" customHeight="1">
      <c r="A5620" s="1006">
        <v>64776958</v>
      </c>
      <c r="B5620" s="1006" t="s">
        <v>133</v>
      </c>
      <c r="C5620" s="1007">
        <v>232892.9539295393</v>
      </c>
      <c r="D5620" s="1008">
        <v>46297</v>
      </c>
      <c r="E5620" s="1006" t="s">
        <v>292</v>
      </c>
      <c r="F5620" s="1006">
        <v>1419</v>
      </c>
      <c r="G5620" s="395">
        <f>VLOOKUP($A5620,'Tech Litons'!$A:$I,8,FALSE)</f>
        <v>5.2680000000000001E-3</v>
      </c>
      <c r="H5620" s="174">
        <f>VLOOKUP($A5620,'Tech Litons'!$A:$I,9,FALSE)</f>
        <v>130</v>
      </c>
      <c r="I5620" s="174" t="str">
        <f>VLOOKUP($A5620,'Tech Litons'!$A:$C,3,0)</f>
        <v>PG</v>
      </c>
      <c r="J5620" s="175" t="str">
        <f t="shared" si="644"/>
        <v>GDIPG</v>
      </c>
      <c r="K5620" s="974">
        <v>1</v>
      </c>
      <c r="L5620" s="177">
        <f t="shared" si="639"/>
        <v>232892.9539295393</v>
      </c>
      <c r="M5620" s="177">
        <f t="shared" si="645"/>
        <v>1226.8800813008131</v>
      </c>
      <c r="N5620" s="177">
        <f t="shared" si="646"/>
        <v>1791.4842609964562</v>
      </c>
      <c r="O5620" s="175" t="str">
        <f t="shared" si="647"/>
        <v>Oct</v>
      </c>
      <c r="P5620" s="265">
        <f t="shared" si="648"/>
        <v>40</v>
      </c>
    </row>
    <row r="5621" spans="1:16" s="756" customFormat="1" ht="15" hidden="1" customHeight="1">
      <c r="A5621" s="1006">
        <v>64776958</v>
      </c>
      <c r="B5621" s="1006" t="s">
        <v>133</v>
      </c>
      <c r="C5621" s="1007"/>
      <c r="D5621" s="1008">
        <v>46327</v>
      </c>
      <c r="E5621" s="1006" t="s">
        <v>292</v>
      </c>
      <c r="F5621" s="1006">
        <v>1419</v>
      </c>
      <c r="G5621" s="395">
        <f>VLOOKUP($A5621,'Tech Litons'!$A:$I,8,FALSE)</f>
        <v>5.2680000000000001E-3</v>
      </c>
      <c r="H5621" s="174">
        <f>VLOOKUP($A5621,'Tech Litons'!$A:$I,9,FALSE)</f>
        <v>130</v>
      </c>
      <c r="I5621" s="174" t="str">
        <f>VLOOKUP($A5621,'Tech Litons'!$A:$C,3,0)</f>
        <v>PG</v>
      </c>
      <c r="J5621" s="175" t="str">
        <f t="shared" si="644"/>
        <v>GDIPG</v>
      </c>
      <c r="K5621" s="974">
        <v>1</v>
      </c>
      <c r="L5621" s="177">
        <f t="shared" si="639"/>
        <v>0</v>
      </c>
      <c r="M5621" s="177">
        <f t="shared" si="645"/>
        <v>0</v>
      </c>
      <c r="N5621" s="177">
        <f t="shared" si="646"/>
        <v>0</v>
      </c>
      <c r="O5621" s="175" t="str">
        <f t="shared" si="647"/>
        <v>Nov</v>
      </c>
      <c r="P5621" s="265">
        <f t="shared" si="648"/>
        <v>45</v>
      </c>
    </row>
    <row r="5622" spans="1:16" s="756" customFormat="1" ht="15" hidden="1" customHeight="1">
      <c r="A5622" s="1006">
        <v>64776958</v>
      </c>
      <c r="B5622" s="1006" t="s">
        <v>133</v>
      </c>
      <c r="C5622" s="1007"/>
      <c r="D5622" s="1008">
        <v>46357</v>
      </c>
      <c r="E5622" s="1006" t="s">
        <v>292</v>
      </c>
      <c r="F5622" s="1006">
        <v>1419</v>
      </c>
      <c r="G5622" s="395">
        <f>VLOOKUP($A5622,'Tech Litons'!$A:$I,8,FALSE)</f>
        <v>5.2680000000000001E-3</v>
      </c>
      <c r="H5622" s="174">
        <f>VLOOKUP($A5622,'Tech Litons'!$A:$I,9,FALSE)</f>
        <v>130</v>
      </c>
      <c r="I5622" s="174" t="str">
        <f>VLOOKUP($A5622,'Tech Litons'!$A:$C,3,0)</f>
        <v>PG</v>
      </c>
      <c r="J5622" s="175" t="str">
        <f t="shared" si="644"/>
        <v>GDIPG</v>
      </c>
      <c r="K5622" s="974">
        <v>1</v>
      </c>
      <c r="L5622" s="177">
        <f t="shared" si="639"/>
        <v>0</v>
      </c>
      <c r="M5622" s="177">
        <f t="shared" si="645"/>
        <v>0</v>
      </c>
      <c r="N5622" s="177">
        <f t="shared" si="646"/>
        <v>0</v>
      </c>
      <c r="O5622" s="175" t="str">
        <f t="shared" si="647"/>
        <v>Dec</v>
      </c>
      <c r="P5622" s="265">
        <f t="shared" si="648"/>
        <v>49</v>
      </c>
    </row>
    <row r="5623" spans="1:16" ht="15" hidden="1" customHeight="1">
      <c r="A5623" s="489">
        <v>69629468</v>
      </c>
      <c r="B5623" s="489">
        <v>2904</v>
      </c>
      <c r="D5623" s="597">
        <v>46104</v>
      </c>
      <c r="E5623" s="489" t="s">
        <v>291</v>
      </c>
      <c r="F5623" s="489" t="s">
        <v>1232</v>
      </c>
      <c r="G5623" s="395">
        <f>VLOOKUP($A5623,'Tech Litons'!$A:$I,8,FALSE)</f>
        <v>5.2680000000000001E-3</v>
      </c>
      <c r="H5623" s="174">
        <f>VLOOKUP($A5623,'Tech Litons'!$A:$I,9,FALSE)</f>
        <v>130</v>
      </c>
      <c r="I5623" s="174" t="str">
        <f>VLOOKUP($A5623,'Tech Litons'!$A:$C,3,0)</f>
        <v>PG</v>
      </c>
      <c r="J5623" s="175" t="str">
        <f t="shared" si="644"/>
        <v>2904PG</v>
      </c>
      <c r="K5623" s="176">
        <f>VLOOKUP(I5623,'Attain %'!A:B,2,0)</f>
        <v>0.96</v>
      </c>
      <c r="L5623" s="177">
        <f>C5623*$K5623</f>
        <v>0</v>
      </c>
      <c r="M5623" s="177">
        <f t="shared" si="645"/>
        <v>0</v>
      </c>
      <c r="N5623" s="177">
        <f t="shared" si="646"/>
        <v>0</v>
      </c>
      <c r="O5623" s="175" t="str">
        <f t="shared" si="647"/>
        <v>Mar</v>
      </c>
      <c r="P5623" s="265">
        <f t="shared" si="648"/>
        <v>13</v>
      </c>
    </row>
    <row r="5624" spans="1:16" ht="15" hidden="1" customHeight="1">
      <c r="A5624" s="489">
        <v>64976851</v>
      </c>
      <c r="B5624" s="489">
        <v>1717</v>
      </c>
      <c r="D5624" s="597">
        <v>46097</v>
      </c>
      <c r="E5624" s="489" t="s">
        <v>592</v>
      </c>
      <c r="F5624" s="489" t="s">
        <v>1221</v>
      </c>
      <c r="G5624" s="395">
        <f>VLOOKUP($A5624,'Tech Litons'!$A:$I,8,FALSE)</f>
        <v>2.5040000000000001E-3</v>
      </c>
      <c r="H5624" s="174">
        <f>VLOOKUP($A5624,'Tech Litons'!$A:$I,9,FALSE)</f>
        <v>165</v>
      </c>
      <c r="I5624" s="174" t="str">
        <f>VLOOKUP($A5624,'Tech Litons'!$A:$C,3,0)</f>
        <v>Yasso Sticks</v>
      </c>
      <c r="J5624" s="175" t="str">
        <f t="shared" ref="J5624:J5687" si="649">B5624&amp;I5624</f>
        <v>1717Yasso Sticks</v>
      </c>
      <c r="K5624" s="176">
        <f>VLOOKUP(I5624,'Attain %'!A:B,2,0)</f>
        <v>0.96</v>
      </c>
      <c r="L5624" s="177">
        <f t="shared" ref="L5624:L5687" si="650">C5624*$K5624</f>
        <v>0</v>
      </c>
      <c r="M5624" s="177">
        <f t="shared" ref="M5624:M5687" si="651">L5624*G5624</f>
        <v>0</v>
      </c>
      <c r="N5624" s="177">
        <f t="shared" ref="N5624:N5687" si="652">L5624/H5624</f>
        <v>0</v>
      </c>
      <c r="O5624" s="175" t="str">
        <f t="shared" ref="O5624:O5687" si="653">TEXT(D5624,"MMM")</f>
        <v>Mar</v>
      </c>
      <c r="P5624" s="265">
        <f t="shared" ref="P5624:P5687" si="654">WEEKNUM(D5624)</f>
        <v>12</v>
      </c>
    </row>
    <row r="5625" spans="1:16" ht="15" hidden="1" customHeight="1">
      <c r="A5625" s="489">
        <v>68741742</v>
      </c>
      <c r="B5625" s="489">
        <v>2904</v>
      </c>
      <c r="C5625" s="488">
        <v>308</v>
      </c>
      <c r="D5625" s="597">
        <v>46097</v>
      </c>
      <c r="E5625" s="489" t="s">
        <v>288</v>
      </c>
      <c r="F5625" s="489" t="s">
        <v>1231</v>
      </c>
      <c r="G5625" s="395">
        <f>VLOOKUP($A5625,'Tech Litons'!$A:$I,8,FALSE)</f>
        <v>4.2560000000000002E-3</v>
      </c>
      <c r="H5625" s="174">
        <f>VLOOKUP($A5625,'Tech Litons'!$A:$I,9,FALSE)</f>
        <v>154</v>
      </c>
      <c r="I5625" s="174" t="str">
        <f>VLOOKUP($A5625,'Tech Litons'!$A:$C,3,0)</f>
        <v>MBG</v>
      </c>
      <c r="J5625" s="175" t="str">
        <f t="shared" si="649"/>
        <v>2904MBG</v>
      </c>
      <c r="K5625" s="176">
        <f>VLOOKUP(I5625,'Attain %'!A:B,2,0)</f>
        <v>0.96</v>
      </c>
      <c r="L5625" s="177">
        <f t="shared" si="650"/>
        <v>295.68</v>
      </c>
      <c r="M5625" s="177">
        <f t="shared" si="651"/>
        <v>1.2584140800000001</v>
      </c>
      <c r="N5625" s="177">
        <f t="shared" si="652"/>
        <v>1.9200000000000002</v>
      </c>
      <c r="O5625" s="175" t="str">
        <f t="shared" si="653"/>
        <v>Mar</v>
      </c>
      <c r="P5625" s="265">
        <f t="shared" si="654"/>
        <v>12</v>
      </c>
    </row>
    <row r="5626" spans="1:16" ht="15" hidden="1" customHeight="1">
      <c r="A5626" s="489">
        <v>69552657</v>
      </c>
      <c r="B5626" s="489" t="s">
        <v>128</v>
      </c>
      <c r="C5626" s="488">
        <v>319</v>
      </c>
      <c r="D5626" s="597">
        <v>46111</v>
      </c>
      <c r="E5626" s="489" t="s">
        <v>625</v>
      </c>
      <c r="F5626" s="489" t="s">
        <v>1223</v>
      </c>
      <c r="G5626" s="395">
        <f>VLOOKUP($A5626,'Tech Litons'!$A:$I,8,FALSE)</f>
        <v>5.3220000000000003E-3</v>
      </c>
      <c r="H5626" s="174">
        <f>VLOOKUP($A5626,'Tech Litons'!$A:$I,9,FALSE)</f>
        <v>108</v>
      </c>
      <c r="I5626" s="174" t="str">
        <f>VLOOKUP($A5626,'Tech Litons'!$A:$C,3,0)</f>
        <v>KL Mini Cones</v>
      </c>
      <c r="J5626" s="175" t="str">
        <f t="shared" si="649"/>
        <v>TultitlanKL Mini Cones</v>
      </c>
      <c r="K5626" s="176">
        <f>VLOOKUP(I5626,'Attain %'!A:B,2,0)</f>
        <v>0.96</v>
      </c>
      <c r="L5626" s="177">
        <f t="shared" si="650"/>
        <v>306.24</v>
      </c>
      <c r="M5626" s="177">
        <f t="shared" si="651"/>
        <v>1.6298092800000001</v>
      </c>
      <c r="N5626" s="177">
        <f t="shared" si="652"/>
        <v>2.8355555555555556</v>
      </c>
      <c r="O5626" s="175" t="str">
        <f t="shared" si="653"/>
        <v>Mar</v>
      </c>
      <c r="P5626" s="265">
        <f t="shared" si="654"/>
        <v>14</v>
      </c>
    </row>
    <row r="5627" spans="1:16" ht="15" hidden="1" customHeight="1">
      <c r="A5627" s="489">
        <v>69653125</v>
      </c>
      <c r="B5627" s="489">
        <v>6706</v>
      </c>
      <c r="C5627" s="488">
        <v>360</v>
      </c>
      <c r="D5627" s="597">
        <v>46125</v>
      </c>
      <c r="E5627" s="489" t="s">
        <v>612</v>
      </c>
      <c r="F5627" s="489" t="s">
        <v>1221</v>
      </c>
      <c r="G5627" s="395">
        <f>VLOOKUP($A5627,'Tech Litons'!$A:$I,8,FALSE)</f>
        <v>5.3220000000000003E-3</v>
      </c>
      <c r="H5627" s="174">
        <f>VLOOKUP($A5627,'Tech Litons'!$A:$I,9,FALSE)</f>
        <v>120</v>
      </c>
      <c r="I5627" s="174" t="str">
        <f>VLOOKUP($A5627,'Tech Litons'!$A:$C,3,0)</f>
        <v>BR Minicups</v>
      </c>
      <c r="J5627" s="175" t="str">
        <f t="shared" si="649"/>
        <v>6706BR Minicups</v>
      </c>
      <c r="K5627" s="176">
        <f>VLOOKUP(I5627,'Attain %'!A:B,2,0)</f>
        <v>0.96</v>
      </c>
      <c r="L5627" s="177">
        <f t="shared" si="650"/>
        <v>345.59999999999997</v>
      </c>
      <c r="M5627" s="177">
        <f t="shared" si="651"/>
        <v>1.8392831999999999</v>
      </c>
      <c r="N5627" s="177">
        <f t="shared" si="652"/>
        <v>2.88</v>
      </c>
      <c r="O5627" s="175" t="str">
        <f t="shared" si="653"/>
        <v>Apr</v>
      </c>
      <c r="P5627" s="265">
        <f t="shared" si="654"/>
        <v>16</v>
      </c>
    </row>
    <row r="5628" spans="1:16" ht="15" hidden="1" customHeight="1">
      <c r="A5628" s="489">
        <v>68852591</v>
      </c>
      <c r="B5628" s="489">
        <v>2904</v>
      </c>
      <c r="C5628" s="488">
        <v>396</v>
      </c>
      <c r="D5628" s="597">
        <v>46097</v>
      </c>
      <c r="E5628" s="489" t="s">
        <v>326</v>
      </c>
      <c r="F5628" s="489" t="s">
        <v>1234</v>
      </c>
      <c r="G5628" s="395">
        <f>VLOOKUP($A5628,'Tech Litons'!$A:$I,8,FALSE)</f>
        <v>8.5199999999999998E-3</v>
      </c>
      <c r="H5628" s="174">
        <f>VLOOKUP($A5628,'Tech Litons'!$A:$I,9,FALSE)</f>
        <v>132</v>
      </c>
      <c r="I5628" s="174" t="str">
        <f>VLOOKUP($A5628,'Tech Litons'!$A:$C,3,0)</f>
        <v>EDF</v>
      </c>
      <c r="J5628" s="175" t="str">
        <f t="shared" si="649"/>
        <v>2904EDF</v>
      </c>
      <c r="K5628" s="176">
        <f>VLOOKUP(I5628,'Attain %'!A:B,2,0)</f>
        <v>0.96</v>
      </c>
      <c r="L5628" s="177">
        <f t="shared" si="650"/>
        <v>380.15999999999997</v>
      </c>
      <c r="M5628" s="177">
        <f t="shared" si="651"/>
        <v>3.2389631999999997</v>
      </c>
      <c r="N5628" s="177">
        <f t="shared" si="652"/>
        <v>2.88</v>
      </c>
      <c r="O5628" s="175" t="str">
        <f t="shared" si="653"/>
        <v>Mar</v>
      </c>
      <c r="P5628" s="265">
        <f t="shared" si="654"/>
        <v>12</v>
      </c>
    </row>
    <row r="5629" spans="1:16" ht="15" hidden="1" customHeight="1">
      <c r="A5629" s="489">
        <v>17093</v>
      </c>
      <c r="B5629" s="489">
        <v>5914</v>
      </c>
      <c r="C5629" s="488">
        <v>620</v>
      </c>
      <c r="D5629" s="597">
        <v>46153</v>
      </c>
      <c r="E5629" s="489" t="s">
        <v>1025</v>
      </c>
      <c r="F5629" s="489" t="s">
        <v>1223</v>
      </c>
      <c r="G5629" s="395">
        <f>VLOOKUP($A5629,'Tech Litons'!$A:$I,8,FALSE)</f>
        <v>1.35E-2</v>
      </c>
      <c r="H5629" s="174">
        <f>VLOOKUP($A5629,'Tech Litons'!$A:$I,9,FALSE)</f>
        <v>50</v>
      </c>
      <c r="I5629" s="174" t="str">
        <f>VLOOKUP($A5629,'Tech Litons'!$A:$C,3,0)</f>
        <v>2.4 Gal</v>
      </c>
      <c r="J5629" s="175" t="str">
        <f t="shared" si="649"/>
        <v>59142.4 Gal</v>
      </c>
      <c r="K5629" s="176">
        <f>VLOOKUP(I5629,'Attain %'!A:B,2,0)</f>
        <v>0.85</v>
      </c>
      <c r="L5629" s="177">
        <f t="shared" si="650"/>
        <v>527</v>
      </c>
      <c r="M5629" s="177">
        <f t="shared" si="651"/>
        <v>7.1144999999999996</v>
      </c>
      <c r="N5629" s="177">
        <f t="shared" si="652"/>
        <v>10.54</v>
      </c>
      <c r="O5629" s="175" t="str">
        <f t="shared" si="653"/>
        <v>May</v>
      </c>
      <c r="P5629" s="265">
        <f t="shared" si="654"/>
        <v>20</v>
      </c>
    </row>
    <row r="5630" spans="1:16" ht="15" hidden="1" customHeight="1">
      <c r="A5630" s="489">
        <v>64804361</v>
      </c>
      <c r="B5630" s="489">
        <v>1712</v>
      </c>
      <c r="C5630" s="488">
        <v>756</v>
      </c>
      <c r="D5630" s="597">
        <v>46125</v>
      </c>
      <c r="E5630" s="489" t="s">
        <v>570</v>
      </c>
      <c r="F5630" s="489" t="s">
        <v>1221</v>
      </c>
      <c r="G5630" s="395">
        <f>VLOOKUP($A5630,'Tech Litons'!$A:$I,8,FALSE)</f>
        <v>1.2960000000000001E-2</v>
      </c>
      <c r="H5630" s="174">
        <f>VLOOKUP($A5630,'Tech Litons'!$A:$I,9,FALSE)</f>
        <v>50</v>
      </c>
      <c r="I5630" s="174" t="str">
        <f>VLOOKUP($A5630,'Tech Litons'!$A:$C,3,0)</f>
        <v>B&amp;J Cups</v>
      </c>
      <c r="J5630" s="175" t="str">
        <f t="shared" si="649"/>
        <v>1712B&amp;J Cups</v>
      </c>
      <c r="K5630" s="176">
        <f>VLOOKUP(I5630,'Attain %'!A:B,2,0)</f>
        <v>0.96</v>
      </c>
      <c r="L5630" s="177">
        <f t="shared" si="650"/>
        <v>725.76</v>
      </c>
      <c r="M5630" s="177">
        <f t="shared" si="651"/>
        <v>9.4058495999999998</v>
      </c>
      <c r="N5630" s="177">
        <f t="shared" si="652"/>
        <v>14.5152</v>
      </c>
      <c r="O5630" s="175" t="str">
        <f t="shared" si="653"/>
        <v>Apr</v>
      </c>
      <c r="P5630" s="265">
        <f t="shared" si="654"/>
        <v>16</v>
      </c>
    </row>
    <row r="5631" spans="1:16" ht="15" hidden="1" customHeight="1">
      <c r="A5631" s="489">
        <v>64804361</v>
      </c>
      <c r="B5631" s="489">
        <v>1712</v>
      </c>
      <c r="C5631" s="488">
        <v>756</v>
      </c>
      <c r="D5631" s="597">
        <v>46370</v>
      </c>
      <c r="E5631" s="489" t="s">
        <v>570</v>
      </c>
      <c r="F5631" s="489" t="s">
        <v>1221</v>
      </c>
      <c r="G5631" s="395">
        <f>VLOOKUP($A5631,'Tech Litons'!$A:$I,8,FALSE)</f>
        <v>1.2960000000000001E-2</v>
      </c>
      <c r="H5631" s="174">
        <f>VLOOKUP($A5631,'Tech Litons'!$A:$I,9,FALSE)</f>
        <v>50</v>
      </c>
      <c r="I5631" s="174" t="str">
        <f>VLOOKUP($A5631,'Tech Litons'!$A:$C,3,0)</f>
        <v>B&amp;J Cups</v>
      </c>
      <c r="J5631" s="175" t="str">
        <f t="shared" si="649"/>
        <v>1712B&amp;J Cups</v>
      </c>
      <c r="K5631" s="176">
        <f>VLOOKUP(I5631,'Attain %'!A:B,2,0)</f>
        <v>0.96</v>
      </c>
      <c r="L5631" s="177">
        <f t="shared" si="650"/>
        <v>725.76</v>
      </c>
      <c r="M5631" s="177">
        <f t="shared" si="651"/>
        <v>9.4058495999999998</v>
      </c>
      <c r="N5631" s="177">
        <f t="shared" si="652"/>
        <v>14.5152</v>
      </c>
      <c r="O5631" s="175" t="str">
        <f t="shared" si="653"/>
        <v>Dec</v>
      </c>
      <c r="P5631" s="265">
        <f t="shared" si="654"/>
        <v>51</v>
      </c>
    </row>
    <row r="5632" spans="1:16" ht="15" hidden="1" customHeight="1">
      <c r="A5632" s="489">
        <v>64806254</v>
      </c>
      <c r="B5632" s="489">
        <v>1712</v>
      </c>
      <c r="C5632" s="488">
        <v>756</v>
      </c>
      <c r="D5632" s="597">
        <v>46188</v>
      </c>
      <c r="E5632" s="489" t="s">
        <v>573</v>
      </c>
      <c r="F5632" s="489" t="s">
        <v>1221</v>
      </c>
      <c r="G5632" s="395">
        <f>VLOOKUP($A5632,'Tech Litons'!$A:$I,8,FALSE)</f>
        <v>1.2960000000000001E-2</v>
      </c>
      <c r="H5632" s="174">
        <f>VLOOKUP($A5632,'Tech Litons'!$A:$I,9,FALSE)</f>
        <v>50</v>
      </c>
      <c r="I5632" s="174" t="str">
        <f>VLOOKUP($A5632,'Tech Litons'!$A:$C,3,0)</f>
        <v>B&amp;J Cups</v>
      </c>
      <c r="J5632" s="175" t="str">
        <f t="shared" si="649"/>
        <v>1712B&amp;J Cups</v>
      </c>
      <c r="K5632" s="176">
        <f>VLOOKUP(I5632,'Attain %'!A:B,2,0)</f>
        <v>0.96</v>
      </c>
      <c r="L5632" s="177">
        <f t="shared" si="650"/>
        <v>725.76</v>
      </c>
      <c r="M5632" s="177">
        <f t="shared" si="651"/>
        <v>9.4058495999999998</v>
      </c>
      <c r="N5632" s="177">
        <f t="shared" si="652"/>
        <v>14.5152</v>
      </c>
      <c r="O5632" s="175" t="str">
        <f t="shared" si="653"/>
        <v>Jun</v>
      </c>
      <c r="P5632" s="265">
        <f t="shared" si="654"/>
        <v>25</v>
      </c>
    </row>
    <row r="5633" spans="1:16" ht="15" hidden="1" customHeight="1">
      <c r="A5633" s="489">
        <v>64806254</v>
      </c>
      <c r="B5633" s="489">
        <v>1712</v>
      </c>
      <c r="C5633" s="488">
        <v>756</v>
      </c>
      <c r="D5633" s="597">
        <v>46251</v>
      </c>
      <c r="E5633" s="489" t="s">
        <v>573</v>
      </c>
      <c r="F5633" s="489" t="s">
        <v>1221</v>
      </c>
      <c r="G5633" s="395">
        <f>VLOOKUP($A5633,'Tech Litons'!$A:$I,8,FALSE)</f>
        <v>1.2960000000000001E-2</v>
      </c>
      <c r="H5633" s="174">
        <f>VLOOKUP($A5633,'Tech Litons'!$A:$I,9,FALSE)</f>
        <v>50</v>
      </c>
      <c r="I5633" s="174" t="str">
        <f>VLOOKUP($A5633,'Tech Litons'!$A:$C,3,0)</f>
        <v>B&amp;J Cups</v>
      </c>
      <c r="J5633" s="175" t="str">
        <f t="shared" si="649"/>
        <v>1712B&amp;J Cups</v>
      </c>
      <c r="K5633" s="176">
        <f>VLOOKUP(I5633,'Attain %'!A:B,2,0)</f>
        <v>0.96</v>
      </c>
      <c r="L5633" s="177">
        <f t="shared" si="650"/>
        <v>725.76</v>
      </c>
      <c r="M5633" s="177">
        <f t="shared" si="651"/>
        <v>9.4058495999999998</v>
      </c>
      <c r="N5633" s="177">
        <f t="shared" si="652"/>
        <v>14.5152</v>
      </c>
      <c r="O5633" s="175" t="str">
        <f t="shared" si="653"/>
        <v>Aug</v>
      </c>
      <c r="P5633" s="265">
        <f t="shared" si="654"/>
        <v>34</v>
      </c>
    </row>
    <row r="5634" spans="1:16" ht="15" hidden="1" customHeight="1">
      <c r="A5634" s="489">
        <v>64806254</v>
      </c>
      <c r="B5634" s="489">
        <v>1712</v>
      </c>
      <c r="C5634" s="488">
        <v>756</v>
      </c>
      <c r="D5634" s="597">
        <v>46370</v>
      </c>
      <c r="E5634" s="489" t="s">
        <v>573</v>
      </c>
      <c r="F5634" s="489" t="s">
        <v>1221</v>
      </c>
      <c r="G5634" s="395">
        <f>VLOOKUP($A5634,'Tech Litons'!$A:$I,8,FALSE)</f>
        <v>1.2960000000000001E-2</v>
      </c>
      <c r="H5634" s="174">
        <f>VLOOKUP($A5634,'Tech Litons'!$A:$I,9,FALSE)</f>
        <v>50</v>
      </c>
      <c r="I5634" s="174" t="str">
        <f>VLOOKUP($A5634,'Tech Litons'!$A:$C,3,0)</f>
        <v>B&amp;J Cups</v>
      </c>
      <c r="J5634" s="175" t="str">
        <f t="shared" si="649"/>
        <v>1712B&amp;J Cups</v>
      </c>
      <c r="K5634" s="176">
        <f>VLOOKUP(I5634,'Attain %'!A:B,2,0)</f>
        <v>0.96</v>
      </c>
      <c r="L5634" s="177">
        <f t="shared" si="650"/>
        <v>725.76</v>
      </c>
      <c r="M5634" s="177">
        <f t="shared" si="651"/>
        <v>9.4058495999999998</v>
      </c>
      <c r="N5634" s="177">
        <f t="shared" si="652"/>
        <v>14.5152</v>
      </c>
      <c r="O5634" s="175" t="str">
        <f t="shared" si="653"/>
        <v>Dec</v>
      </c>
      <c r="P5634" s="265">
        <f t="shared" si="654"/>
        <v>51</v>
      </c>
    </row>
    <row r="5635" spans="1:16" ht="15" hidden="1" customHeight="1">
      <c r="A5635" s="489">
        <v>69552657</v>
      </c>
      <c r="B5635" s="489" t="s">
        <v>128</v>
      </c>
      <c r="C5635" s="488">
        <v>804</v>
      </c>
      <c r="D5635" s="597">
        <v>46104</v>
      </c>
      <c r="E5635" s="489" t="s">
        <v>625</v>
      </c>
      <c r="F5635" s="489" t="s">
        <v>1223</v>
      </c>
      <c r="G5635" s="395">
        <f>VLOOKUP($A5635,'Tech Litons'!$A:$I,8,FALSE)</f>
        <v>5.3220000000000003E-3</v>
      </c>
      <c r="H5635" s="174">
        <f>VLOOKUP($A5635,'Tech Litons'!$A:$I,9,FALSE)</f>
        <v>108</v>
      </c>
      <c r="I5635" s="174" t="str">
        <f>VLOOKUP($A5635,'Tech Litons'!$A:$C,3,0)</f>
        <v>KL Mini Cones</v>
      </c>
      <c r="J5635" s="175" t="str">
        <f t="shared" si="649"/>
        <v>TultitlanKL Mini Cones</v>
      </c>
      <c r="K5635" s="176">
        <f>VLOOKUP(I5635,'Attain %'!A:B,2,0)</f>
        <v>0.96</v>
      </c>
      <c r="L5635" s="177">
        <f t="shared" si="650"/>
        <v>771.83999999999992</v>
      </c>
      <c r="M5635" s="177">
        <f t="shared" si="651"/>
        <v>4.1077324800000001</v>
      </c>
      <c r="N5635" s="177">
        <f t="shared" si="652"/>
        <v>7.1466666666666656</v>
      </c>
      <c r="O5635" s="175" t="str">
        <f t="shared" si="653"/>
        <v>Mar</v>
      </c>
      <c r="P5635" s="265">
        <f t="shared" si="654"/>
        <v>13</v>
      </c>
    </row>
    <row r="5636" spans="1:16" ht="15" hidden="1" customHeight="1">
      <c r="A5636" s="489">
        <v>64958122</v>
      </c>
      <c r="B5636" s="489">
        <v>1717</v>
      </c>
      <c r="D5636" s="597">
        <v>46097</v>
      </c>
      <c r="E5636" s="489" t="s">
        <v>236</v>
      </c>
      <c r="F5636" s="489" t="s">
        <v>1221</v>
      </c>
      <c r="G5636" s="395">
        <f>VLOOKUP($A5636,'Tech Litons'!$A:$I,8,FALSE)</f>
        <v>3.3119999999999998E-3</v>
      </c>
      <c r="H5636" s="174">
        <f>VLOOKUP($A5636,'Tech Litons'!$A:$I,9,FALSE)</f>
        <v>165</v>
      </c>
      <c r="I5636" s="174" t="str">
        <f>VLOOKUP($A5636,'Tech Litons'!$A:$C,3,0)</f>
        <v>Yasso Sticks</v>
      </c>
      <c r="J5636" s="175" t="str">
        <f t="shared" si="649"/>
        <v>1717Yasso Sticks</v>
      </c>
      <c r="K5636" s="176">
        <f>VLOOKUP(I5636,'Attain %'!A:B,2,0)</f>
        <v>0.96</v>
      </c>
      <c r="L5636" s="177">
        <f t="shared" si="650"/>
        <v>0</v>
      </c>
      <c r="M5636" s="177">
        <f t="shared" si="651"/>
        <v>0</v>
      </c>
      <c r="N5636" s="177">
        <f t="shared" si="652"/>
        <v>0</v>
      </c>
      <c r="O5636" s="175" t="str">
        <f t="shared" si="653"/>
        <v>Mar</v>
      </c>
      <c r="P5636" s="265">
        <f t="shared" si="654"/>
        <v>12</v>
      </c>
    </row>
    <row r="5637" spans="1:16" ht="15" hidden="1" customHeight="1">
      <c r="A5637" s="489">
        <v>64989109</v>
      </c>
      <c r="B5637" s="489">
        <v>6765</v>
      </c>
      <c r="C5637" s="488">
        <v>1065</v>
      </c>
      <c r="D5637" s="597">
        <v>46111</v>
      </c>
      <c r="E5637" s="489" t="s">
        <v>608</v>
      </c>
      <c r="F5637" s="489" t="s">
        <v>1221</v>
      </c>
      <c r="G5637" s="395">
        <f>VLOOKUP($A5637,'Tech Litons'!$A:$I,8,FALSE)</f>
        <v>5.3220000000000003E-3</v>
      </c>
      <c r="H5637" s="174">
        <f>VLOOKUP($A5637,'Tech Litons'!$A:$I,9,FALSE)</f>
        <v>120</v>
      </c>
      <c r="I5637" s="174" t="str">
        <f>VLOOKUP($A5637,'Tech Litons'!$A:$C,3,0)</f>
        <v>BR Minicups</v>
      </c>
      <c r="J5637" s="175" t="str">
        <f t="shared" si="649"/>
        <v>6765BR Minicups</v>
      </c>
      <c r="K5637" s="176">
        <f>VLOOKUP(I5637,'Attain %'!A:B,2,0)</f>
        <v>0.96</v>
      </c>
      <c r="L5637" s="177">
        <f t="shared" si="650"/>
        <v>1022.4</v>
      </c>
      <c r="M5637" s="177">
        <f t="shared" si="651"/>
        <v>5.4412128000000006</v>
      </c>
      <c r="N5637" s="177">
        <f t="shared" si="652"/>
        <v>8.52</v>
      </c>
      <c r="O5637" s="175" t="str">
        <f t="shared" si="653"/>
        <v>Mar</v>
      </c>
      <c r="P5637" s="265">
        <f t="shared" si="654"/>
        <v>14</v>
      </c>
    </row>
    <row r="5638" spans="1:16" ht="15" hidden="1" customHeight="1">
      <c r="A5638" s="489">
        <v>64401837</v>
      </c>
      <c r="B5638" s="489" t="s">
        <v>139</v>
      </c>
      <c r="C5638" s="488">
        <v>1170</v>
      </c>
      <c r="D5638" s="597">
        <v>46125</v>
      </c>
      <c r="E5638" s="489" t="s">
        <v>618</v>
      </c>
      <c r="F5638" s="489" t="s">
        <v>1223</v>
      </c>
      <c r="G5638" s="395">
        <f>VLOOKUP($A5638,'Tech Litons'!$A:$I,8,FALSE)</f>
        <v>2.16E-3</v>
      </c>
      <c r="H5638" s="174">
        <f>VLOOKUP($A5638,'Tech Litons'!$A:$I,9,FALSE)</f>
        <v>150</v>
      </c>
      <c r="I5638" s="174" t="str">
        <f>VLOOKUP($A5638,'Tech Litons'!$A:$C,3,0)</f>
        <v>Facepieces</v>
      </c>
      <c r="J5638" s="175" t="str">
        <f t="shared" si="649"/>
        <v>IncomFacepieces</v>
      </c>
      <c r="K5638" s="176">
        <f>VLOOKUP(I5638,'Attain %'!A:B,2,0)</f>
        <v>0.96</v>
      </c>
      <c r="L5638" s="177">
        <f t="shared" si="650"/>
        <v>1123.2</v>
      </c>
      <c r="M5638" s="177">
        <f t="shared" si="651"/>
        <v>2.4261120000000003</v>
      </c>
      <c r="N5638" s="177">
        <f t="shared" si="652"/>
        <v>7.4880000000000004</v>
      </c>
      <c r="O5638" s="175" t="str">
        <f t="shared" si="653"/>
        <v>Apr</v>
      </c>
      <c r="P5638" s="265">
        <f t="shared" si="654"/>
        <v>16</v>
      </c>
    </row>
    <row r="5639" spans="1:16" ht="15" hidden="1" customHeight="1">
      <c r="A5639" s="489">
        <v>64875812</v>
      </c>
      <c r="B5639" s="489">
        <v>6757</v>
      </c>
      <c r="C5639" s="488">
        <v>1422</v>
      </c>
      <c r="D5639" s="597">
        <v>46104</v>
      </c>
      <c r="E5639" s="489" t="s">
        <v>347</v>
      </c>
      <c r="F5639" s="489" t="s">
        <v>1221</v>
      </c>
      <c r="G5639" s="395">
        <f>VLOOKUP($A5639,'Tech Litons'!$A:$I,8,FALSE)</f>
        <v>6.0000000000000001E-3</v>
      </c>
      <c r="H5639" s="174">
        <f>VLOOKUP($A5639,'Tech Litons'!$A:$I,9,FALSE)</f>
        <v>108</v>
      </c>
      <c r="I5639" s="174" t="str">
        <f>VLOOKUP($A5639,'Tech Litons'!$A:$C,3,0)</f>
        <v>ESS</v>
      </c>
      <c r="J5639" s="175" t="str">
        <f t="shared" si="649"/>
        <v>6757ESS</v>
      </c>
      <c r="K5639" s="176">
        <f>VLOOKUP(I5639,'Attain %'!A:B,2,0)</f>
        <v>0.96</v>
      </c>
      <c r="L5639" s="177">
        <f t="shared" si="650"/>
        <v>1365.12</v>
      </c>
      <c r="M5639" s="177">
        <f t="shared" si="651"/>
        <v>8.1907199999999989</v>
      </c>
      <c r="N5639" s="177">
        <f t="shared" si="652"/>
        <v>12.639999999999999</v>
      </c>
      <c r="O5639" s="175" t="str">
        <f t="shared" si="653"/>
        <v>Mar</v>
      </c>
      <c r="P5639" s="265">
        <f t="shared" si="654"/>
        <v>13</v>
      </c>
    </row>
    <row r="5640" spans="1:16" ht="15" hidden="1" customHeight="1">
      <c r="A5640" s="489">
        <v>65489677</v>
      </c>
      <c r="B5640" s="489">
        <v>1717</v>
      </c>
      <c r="C5640" s="488">
        <v>1953</v>
      </c>
      <c r="D5640" s="597">
        <v>46097</v>
      </c>
      <c r="E5640" s="489" t="s">
        <v>1188</v>
      </c>
      <c r="F5640" s="489" t="s">
        <v>1223</v>
      </c>
      <c r="G5640" s="395">
        <f>VLOOKUP($A5640,'Tech Litons'!$A:$I,8,FALSE)</f>
        <v>2.8319999999999999E-3</v>
      </c>
      <c r="H5640" s="174">
        <f>VLOOKUP($A5640,'Tech Litons'!$A:$I,9,FALSE)</f>
        <v>221</v>
      </c>
      <c r="I5640" s="174" t="str">
        <f>VLOOKUP($A5640,'Tech Litons'!$A:$C,3,0)</f>
        <v>Other</v>
      </c>
      <c r="J5640" s="175" t="str">
        <f t="shared" si="649"/>
        <v>1717Other</v>
      </c>
      <c r="K5640" s="176">
        <f>VLOOKUP(I5640,'Attain %'!A:B,2,0)</f>
        <v>0.96</v>
      </c>
      <c r="L5640" s="177">
        <f t="shared" si="650"/>
        <v>1874.8799999999999</v>
      </c>
      <c r="M5640" s="177">
        <f t="shared" si="651"/>
        <v>5.3096601599999991</v>
      </c>
      <c r="N5640" s="177">
        <f t="shared" si="652"/>
        <v>8.4836199095022611</v>
      </c>
      <c r="O5640" s="175" t="str">
        <f t="shared" si="653"/>
        <v>Mar</v>
      </c>
      <c r="P5640" s="265">
        <f t="shared" si="654"/>
        <v>12</v>
      </c>
    </row>
    <row r="5641" spans="1:16" ht="15" hidden="1" customHeight="1">
      <c r="A5641" s="489">
        <v>67881629</v>
      </c>
      <c r="B5641" s="489">
        <v>5914</v>
      </c>
      <c r="C5641" s="488">
        <v>1966</v>
      </c>
      <c r="D5641" s="597">
        <v>46104</v>
      </c>
      <c r="E5641" s="489" t="s">
        <v>337</v>
      </c>
      <c r="F5641" s="489" t="s">
        <v>1244</v>
      </c>
      <c r="G5641" s="395">
        <f>VLOOKUP($A5641,'Tech Litons'!$A:$I,8,FALSE)</f>
        <v>3.7853439999999999E-3</v>
      </c>
      <c r="H5641" s="174">
        <f>VLOOKUP($A5641,'Tech Litons'!$A:$I,9,FALSE)</f>
        <v>240</v>
      </c>
      <c r="I5641" s="174" t="str">
        <f>VLOOKUP($A5641,'Tech Litons'!$A:$C,3,0)</f>
        <v>BJ PTS</v>
      </c>
      <c r="J5641" s="175" t="str">
        <f t="shared" si="649"/>
        <v>5914BJ PTS</v>
      </c>
      <c r="K5641" s="176">
        <f>VLOOKUP(I5641,'Attain %'!A:B,2,0)</f>
        <v>0.95</v>
      </c>
      <c r="L5641" s="177">
        <f t="shared" si="650"/>
        <v>1867.6999999999998</v>
      </c>
      <c r="M5641" s="177">
        <f t="shared" si="651"/>
        <v>7.0698869887999995</v>
      </c>
      <c r="N5641" s="177">
        <f t="shared" si="652"/>
        <v>7.7820833333333326</v>
      </c>
      <c r="O5641" s="175" t="str">
        <f t="shared" si="653"/>
        <v>Mar</v>
      </c>
      <c r="P5641" s="265">
        <f t="shared" si="654"/>
        <v>13</v>
      </c>
    </row>
    <row r="5642" spans="1:16" ht="15" hidden="1" customHeight="1">
      <c r="A5642" s="489">
        <v>64976848</v>
      </c>
      <c r="B5642" s="489">
        <v>1715</v>
      </c>
      <c r="D5642" s="597">
        <v>46097</v>
      </c>
      <c r="E5642" s="489" t="s">
        <v>232</v>
      </c>
      <c r="F5642" s="489" t="s">
        <v>1221</v>
      </c>
      <c r="G5642" s="395">
        <f>VLOOKUP($A5642,'Tech Litons'!$A:$I,8,FALSE)</f>
        <v>2.5040000000000001E-3</v>
      </c>
      <c r="H5642" s="174">
        <f>VLOOKUP($A5642,'Tech Litons'!$A:$I,9,FALSE)</f>
        <v>165</v>
      </c>
      <c r="I5642" s="174" t="str">
        <f>VLOOKUP($A5642,'Tech Litons'!$A:$C,3,0)</f>
        <v>Yasso Sticks</v>
      </c>
      <c r="J5642" s="175" t="str">
        <f t="shared" si="649"/>
        <v>1715Yasso Sticks</v>
      </c>
      <c r="K5642" s="176">
        <f>VLOOKUP(I5642,'Attain %'!A:B,2,0)</f>
        <v>0.96</v>
      </c>
      <c r="L5642" s="177">
        <f t="shared" si="650"/>
        <v>0</v>
      </c>
      <c r="M5642" s="177">
        <f t="shared" si="651"/>
        <v>0</v>
      </c>
      <c r="N5642" s="177">
        <f t="shared" si="652"/>
        <v>0</v>
      </c>
      <c r="O5642" s="175" t="str">
        <f t="shared" si="653"/>
        <v>Mar</v>
      </c>
      <c r="P5642" s="265">
        <f t="shared" si="654"/>
        <v>12</v>
      </c>
    </row>
    <row r="5643" spans="1:16" ht="15" hidden="1" customHeight="1">
      <c r="A5643" s="489">
        <v>64325624</v>
      </c>
      <c r="B5643" s="489">
        <v>1713</v>
      </c>
      <c r="C5643" s="488">
        <v>2200</v>
      </c>
      <c r="D5643" s="597">
        <v>46188</v>
      </c>
      <c r="E5643" s="489" t="s">
        <v>577</v>
      </c>
      <c r="F5643" s="489" t="s">
        <v>1221</v>
      </c>
      <c r="G5643" s="395">
        <f>VLOOKUP($A5643,'Tech Litons'!$A:$I,8,FALSE)</f>
        <v>2.0200000000000001E-3</v>
      </c>
      <c r="H5643" s="174">
        <f>VLOOKUP($A5643,'Tech Litons'!$A:$I,9,FALSE)</f>
        <v>200</v>
      </c>
      <c r="I5643" s="174" t="str">
        <f>VLOOKUP($A5643,'Tech Litons'!$A:$C,3,0)</f>
        <v>Yasso Poppables</v>
      </c>
      <c r="J5643" s="175" t="str">
        <f t="shared" si="649"/>
        <v>1713Yasso Poppables</v>
      </c>
      <c r="K5643" s="176">
        <f>VLOOKUP(I5643,'Attain %'!A:B,2,0)</f>
        <v>0.96</v>
      </c>
      <c r="L5643" s="177">
        <f t="shared" si="650"/>
        <v>2112</v>
      </c>
      <c r="M5643" s="177">
        <f t="shared" si="651"/>
        <v>4.2662399999999998</v>
      </c>
      <c r="N5643" s="177">
        <f t="shared" si="652"/>
        <v>10.56</v>
      </c>
      <c r="O5643" s="175" t="str">
        <f t="shared" si="653"/>
        <v>Jun</v>
      </c>
      <c r="P5643" s="265">
        <f t="shared" si="654"/>
        <v>25</v>
      </c>
    </row>
    <row r="5644" spans="1:16" ht="15" hidden="1" customHeight="1">
      <c r="A5644" s="489">
        <v>64325624</v>
      </c>
      <c r="B5644" s="489">
        <v>1713</v>
      </c>
      <c r="C5644" s="488">
        <v>2200</v>
      </c>
      <c r="D5644" s="597">
        <v>46202</v>
      </c>
      <c r="E5644" s="489" t="s">
        <v>577</v>
      </c>
      <c r="F5644" s="489" t="s">
        <v>1221</v>
      </c>
      <c r="G5644" s="395">
        <f>VLOOKUP($A5644,'Tech Litons'!$A:$I,8,FALSE)</f>
        <v>2.0200000000000001E-3</v>
      </c>
      <c r="H5644" s="174">
        <f>VLOOKUP($A5644,'Tech Litons'!$A:$I,9,FALSE)</f>
        <v>200</v>
      </c>
      <c r="I5644" s="174" t="str">
        <f>VLOOKUP($A5644,'Tech Litons'!$A:$C,3,0)</f>
        <v>Yasso Poppables</v>
      </c>
      <c r="J5644" s="175" t="str">
        <f t="shared" si="649"/>
        <v>1713Yasso Poppables</v>
      </c>
      <c r="K5644" s="176">
        <f>VLOOKUP(I5644,'Attain %'!A:B,2,0)</f>
        <v>0.96</v>
      </c>
      <c r="L5644" s="177">
        <f t="shared" si="650"/>
        <v>2112</v>
      </c>
      <c r="M5644" s="177">
        <f t="shared" si="651"/>
        <v>4.2662399999999998</v>
      </c>
      <c r="N5644" s="177">
        <f t="shared" si="652"/>
        <v>10.56</v>
      </c>
      <c r="O5644" s="175" t="str">
        <f t="shared" si="653"/>
        <v>Jun</v>
      </c>
      <c r="P5644" s="265">
        <f t="shared" si="654"/>
        <v>27</v>
      </c>
    </row>
    <row r="5645" spans="1:16" ht="15" hidden="1" customHeight="1">
      <c r="A5645" s="489">
        <v>64325624</v>
      </c>
      <c r="B5645" s="489">
        <v>1713</v>
      </c>
      <c r="C5645" s="488">
        <v>2200</v>
      </c>
      <c r="D5645" s="597">
        <v>46209</v>
      </c>
      <c r="E5645" s="489" t="s">
        <v>577</v>
      </c>
      <c r="F5645" s="489" t="s">
        <v>1221</v>
      </c>
      <c r="G5645" s="395">
        <f>VLOOKUP($A5645,'Tech Litons'!$A:$I,8,FALSE)</f>
        <v>2.0200000000000001E-3</v>
      </c>
      <c r="H5645" s="174">
        <f>VLOOKUP($A5645,'Tech Litons'!$A:$I,9,FALSE)</f>
        <v>200</v>
      </c>
      <c r="I5645" s="174" t="str">
        <f>VLOOKUP($A5645,'Tech Litons'!$A:$C,3,0)</f>
        <v>Yasso Poppables</v>
      </c>
      <c r="J5645" s="175" t="str">
        <f t="shared" si="649"/>
        <v>1713Yasso Poppables</v>
      </c>
      <c r="K5645" s="176">
        <f>VLOOKUP(I5645,'Attain %'!A:B,2,0)</f>
        <v>0.96</v>
      </c>
      <c r="L5645" s="177">
        <f t="shared" si="650"/>
        <v>2112</v>
      </c>
      <c r="M5645" s="177">
        <f t="shared" si="651"/>
        <v>4.2662399999999998</v>
      </c>
      <c r="N5645" s="177">
        <f t="shared" si="652"/>
        <v>10.56</v>
      </c>
      <c r="O5645" s="175" t="str">
        <f t="shared" si="653"/>
        <v>Jul</v>
      </c>
      <c r="P5645" s="265">
        <f t="shared" si="654"/>
        <v>28</v>
      </c>
    </row>
    <row r="5646" spans="1:16" ht="15" hidden="1" customHeight="1">
      <c r="A5646" s="489">
        <v>64325624</v>
      </c>
      <c r="B5646" s="489">
        <v>1713</v>
      </c>
      <c r="C5646" s="488">
        <v>2200</v>
      </c>
      <c r="D5646" s="597">
        <v>46223</v>
      </c>
      <c r="E5646" s="489" t="s">
        <v>577</v>
      </c>
      <c r="F5646" s="489" t="s">
        <v>1221</v>
      </c>
      <c r="G5646" s="395">
        <f>VLOOKUP($A5646,'Tech Litons'!$A:$I,8,FALSE)</f>
        <v>2.0200000000000001E-3</v>
      </c>
      <c r="H5646" s="174">
        <f>VLOOKUP($A5646,'Tech Litons'!$A:$I,9,FALSE)</f>
        <v>200</v>
      </c>
      <c r="I5646" s="174" t="str">
        <f>VLOOKUP($A5646,'Tech Litons'!$A:$C,3,0)</f>
        <v>Yasso Poppables</v>
      </c>
      <c r="J5646" s="175" t="str">
        <f t="shared" si="649"/>
        <v>1713Yasso Poppables</v>
      </c>
      <c r="K5646" s="176">
        <f>VLOOKUP(I5646,'Attain %'!A:B,2,0)</f>
        <v>0.96</v>
      </c>
      <c r="L5646" s="177">
        <f t="shared" si="650"/>
        <v>2112</v>
      </c>
      <c r="M5646" s="177">
        <f t="shared" si="651"/>
        <v>4.2662399999999998</v>
      </c>
      <c r="N5646" s="177">
        <f t="shared" si="652"/>
        <v>10.56</v>
      </c>
      <c r="O5646" s="175" t="str">
        <f t="shared" si="653"/>
        <v>Jul</v>
      </c>
      <c r="P5646" s="265">
        <f t="shared" si="654"/>
        <v>30</v>
      </c>
    </row>
    <row r="5647" spans="1:16" ht="15" hidden="1" customHeight="1">
      <c r="A5647" s="489">
        <v>64325624</v>
      </c>
      <c r="B5647" s="489">
        <v>1713</v>
      </c>
      <c r="C5647" s="488">
        <v>2200</v>
      </c>
      <c r="D5647" s="597">
        <v>46237</v>
      </c>
      <c r="E5647" s="489" t="s">
        <v>577</v>
      </c>
      <c r="F5647" s="489" t="s">
        <v>1221</v>
      </c>
      <c r="G5647" s="395">
        <f>VLOOKUP($A5647,'Tech Litons'!$A:$I,8,FALSE)</f>
        <v>2.0200000000000001E-3</v>
      </c>
      <c r="H5647" s="174">
        <f>VLOOKUP($A5647,'Tech Litons'!$A:$I,9,FALSE)</f>
        <v>200</v>
      </c>
      <c r="I5647" s="174" t="str">
        <f>VLOOKUP($A5647,'Tech Litons'!$A:$C,3,0)</f>
        <v>Yasso Poppables</v>
      </c>
      <c r="J5647" s="175" t="str">
        <f t="shared" si="649"/>
        <v>1713Yasso Poppables</v>
      </c>
      <c r="K5647" s="176">
        <f>VLOOKUP(I5647,'Attain %'!A:B,2,0)</f>
        <v>0.96</v>
      </c>
      <c r="L5647" s="177">
        <f t="shared" si="650"/>
        <v>2112</v>
      </c>
      <c r="M5647" s="177">
        <f t="shared" si="651"/>
        <v>4.2662399999999998</v>
      </c>
      <c r="N5647" s="177">
        <f t="shared" si="652"/>
        <v>10.56</v>
      </c>
      <c r="O5647" s="175" t="str">
        <f t="shared" si="653"/>
        <v>Aug</v>
      </c>
      <c r="P5647" s="265">
        <f t="shared" si="654"/>
        <v>32</v>
      </c>
    </row>
    <row r="5648" spans="1:16" ht="15" hidden="1" customHeight="1">
      <c r="A5648" s="489">
        <v>64325624</v>
      </c>
      <c r="B5648" s="489">
        <v>1713</v>
      </c>
      <c r="C5648" s="488">
        <v>2200</v>
      </c>
      <c r="D5648" s="597">
        <v>46272</v>
      </c>
      <c r="E5648" s="489" t="s">
        <v>577</v>
      </c>
      <c r="F5648" s="489" t="s">
        <v>1221</v>
      </c>
      <c r="G5648" s="395">
        <f>VLOOKUP($A5648,'Tech Litons'!$A:$I,8,FALSE)</f>
        <v>2.0200000000000001E-3</v>
      </c>
      <c r="H5648" s="174">
        <f>VLOOKUP($A5648,'Tech Litons'!$A:$I,9,FALSE)</f>
        <v>200</v>
      </c>
      <c r="I5648" s="174" t="str">
        <f>VLOOKUP($A5648,'Tech Litons'!$A:$C,3,0)</f>
        <v>Yasso Poppables</v>
      </c>
      <c r="J5648" s="175" t="str">
        <f t="shared" si="649"/>
        <v>1713Yasso Poppables</v>
      </c>
      <c r="K5648" s="176">
        <f>VLOOKUP(I5648,'Attain %'!A:B,2,0)</f>
        <v>0.96</v>
      </c>
      <c r="L5648" s="177">
        <f t="shared" si="650"/>
        <v>2112</v>
      </c>
      <c r="M5648" s="177">
        <f t="shared" si="651"/>
        <v>4.2662399999999998</v>
      </c>
      <c r="N5648" s="177">
        <f t="shared" si="652"/>
        <v>10.56</v>
      </c>
      <c r="O5648" s="175" t="str">
        <f t="shared" si="653"/>
        <v>Sep</v>
      </c>
      <c r="P5648" s="265">
        <f t="shared" si="654"/>
        <v>37</v>
      </c>
    </row>
    <row r="5649" spans="1:16" ht="15" hidden="1" customHeight="1">
      <c r="A5649" s="489">
        <v>64325624</v>
      </c>
      <c r="B5649" s="489">
        <v>1713</v>
      </c>
      <c r="C5649" s="488">
        <v>2200</v>
      </c>
      <c r="D5649" s="597">
        <v>46321</v>
      </c>
      <c r="E5649" s="489" t="s">
        <v>577</v>
      </c>
      <c r="F5649" s="489" t="s">
        <v>1221</v>
      </c>
      <c r="G5649" s="395">
        <f>VLOOKUP($A5649,'Tech Litons'!$A:$I,8,FALSE)</f>
        <v>2.0200000000000001E-3</v>
      </c>
      <c r="H5649" s="174">
        <f>VLOOKUP($A5649,'Tech Litons'!$A:$I,9,FALSE)</f>
        <v>200</v>
      </c>
      <c r="I5649" s="174" t="str">
        <f>VLOOKUP($A5649,'Tech Litons'!$A:$C,3,0)</f>
        <v>Yasso Poppables</v>
      </c>
      <c r="J5649" s="175" t="str">
        <f t="shared" si="649"/>
        <v>1713Yasso Poppables</v>
      </c>
      <c r="K5649" s="176">
        <f>VLOOKUP(I5649,'Attain %'!A:B,2,0)</f>
        <v>0.96</v>
      </c>
      <c r="L5649" s="177">
        <f t="shared" si="650"/>
        <v>2112</v>
      </c>
      <c r="M5649" s="177">
        <f t="shared" si="651"/>
        <v>4.2662399999999998</v>
      </c>
      <c r="N5649" s="177">
        <f t="shared" si="652"/>
        <v>10.56</v>
      </c>
      <c r="O5649" s="175" t="str">
        <f t="shared" si="653"/>
        <v>Oct</v>
      </c>
      <c r="P5649" s="265">
        <f t="shared" si="654"/>
        <v>44</v>
      </c>
    </row>
    <row r="5650" spans="1:16" ht="15" hidden="1" customHeight="1">
      <c r="A5650" s="489">
        <v>64325625</v>
      </c>
      <c r="B5650" s="489">
        <v>1713</v>
      </c>
      <c r="C5650" s="488">
        <v>2200</v>
      </c>
      <c r="D5650" s="597">
        <v>46209</v>
      </c>
      <c r="E5650" s="489" t="s">
        <v>578</v>
      </c>
      <c r="F5650" s="489" t="s">
        <v>1221</v>
      </c>
      <c r="G5650" s="395">
        <f>VLOOKUP($A5650,'Tech Litons'!$A:$I,8,FALSE)</f>
        <v>2.0200000000000001E-3</v>
      </c>
      <c r="H5650" s="174">
        <f>VLOOKUP($A5650,'Tech Litons'!$A:$I,9,FALSE)</f>
        <v>200</v>
      </c>
      <c r="I5650" s="174" t="str">
        <f>VLOOKUP($A5650,'Tech Litons'!$A:$C,3,0)</f>
        <v>Yasso Poppables</v>
      </c>
      <c r="J5650" s="175" t="str">
        <f t="shared" si="649"/>
        <v>1713Yasso Poppables</v>
      </c>
      <c r="K5650" s="176">
        <f>VLOOKUP(I5650,'Attain %'!A:B,2,0)</f>
        <v>0.96</v>
      </c>
      <c r="L5650" s="177">
        <f t="shared" si="650"/>
        <v>2112</v>
      </c>
      <c r="M5650" s="177">
        <f t="shared" si="651"/>
        <v>4.2662399999999998</v>
      </c>
      <c r="N5650" s="177">
        <f t="shared" si="652"/>
        <v>10.56</v>
      </c>
      <c r="O5650" s="175" t="str">
        <f t="shared" si="653"/>
        <v>Jul</v>
      </c>
      <c r="P5650" s="265">
        <f t="shared" si="654"/>
        <v>28</v>
      </c>
    </row>
    <row r="5651" spans="1:16" ht="15" hidden="1" customHeight="1">
      <c r="A5651" s="489">
        <v>64325625</v>
      </c>
      <c r="B5651" s="489">
        <v>1713</v>
      </c>
      <c r="C5651" s="488">
        <v>2200</v>
      </c>
      <c r="D5651" s="597">
        <v>46223</v>
      </c>
      <c r="E5651" s="489" t="s">
        <v>578</v>
      </c>
      <c r="F5651" s="489" t="s">
        <v>1221</v>
      </c>
      <c r="G5651" s="395">
        <f>VLOOKUP($A5651,'Tech Litons'!$A:$I,8,FALSE)</f>
        <v>2.0200000000000001E-3</v>
      </c>
      <c r="H5651" s="174">
        <f>VLOOKUP($A5651,'Tech Litons'!$A:$I,9,FALSE)</f>
        <v>200</v>
      </c>
      <c r="I5651" s="174" t="str">
        <f>VLOOKUP($A5651,'Tech Litons'!$A:$C,3,0)</f>
        <v>Yasso Poppables</v>
      </c>
      <c r="J5651" s="175" t="str">
        <f t="shared" si="649"/>
        <v>1713Yasso Poppables</v>
      </c>
      <c r="K5651" s="176">
        <f>VLOOKUP(I5651,'Attain %'!A:B,2,0)</f>
        <v>0.96</v>
      </c>
      <c r="L5651" s="177">
        <f t="shared" si="650"/>
        <v>2112</v>
      </c>
      <c r="M5651" s="177">
        <f t="shared" si="651"/>
        <v>4.2662399999999998</v>
      </c>
      <c r="N5651" s="177">
        <f t="shared" si="652"/>
        <v>10.56</v>
      </c>
      <c r="O5651" s="175" t="str">
        <f t="shared" si="653"/>
        <v>Jul</v>
      </c>
      <c r="P5651" s="265">
        <f t="shared" si="654"/>
        <v>30</v>
      </c>
    </row>
    <row r="5652" spans="1:16" ht="15" hidden="1" customHeight="1">
      <c r="A5652" s="489">
        <v>64325625</v>
      </c>
      <c r="B5652" s="489">
        <v>1713</v>
      </c>
      <c r="C5652" s="488">
        <v>2200</v>
      </c>
      <c r="D5652" s="597">
        <v>46230</v>
      </c>
      <c r="E5652" s="489" t="s">
        <v>578</v>
      </c>
      <c r="F5652" s="489" t="s">
        <v>1221</v>
      </c>
      <c r="G5652" s="395">
        <f>VLOOKUP($A5652,'Tech Litons'!$A:$I,8,FALSE)</f>
        <v>2.0200000000000001E-3</v>
      </c>
      <c r="H5652" s="174">
        <f>VLOOKUP($A5652,'Tech Litons'!$A:$I,9,FALSE)</f>
        <v>200</v>
      </c>
      <c r="I5652" s="174" t="str">
        <f>VLOOKUP($A5652,'Tech Litons'!$A:$C,3,0)</f>
        <v>Yasso Poppables</v>
      </c>
      <c r="J5652" s="175" t="str">
        <f t="shared" si="649"/>
        <v>1713Yasso Poppables</v>
      </c>
      <c r="K5652" s="176">
        <f>VLOOKUP(I5652,'Attain %'!A:B,2,0)</f>
        <v>0.96</v>
      </c>
      <c r="L5652" s="177">
        <f t="shared" si="650"/>
        <v>2112</v>
      </c>
      <c r="M5652" s="177">
        <f t="shared" si="651"/>
        <v>4.2662399999999998</v>
      </c>
      <c r="N5652" s="177">
        <f t="shared" si="652"/>
        <v>10.56</v>
      </c>
      <c r="O5652" s="175" t="str">
        <f t="shared" si="653"/>
        <v>Jul</v>
      </c>
      <c r="P5652" s="265">
        <f t="shared" si="654"/>
        <v>31</v>
      </c>
    </row>
    <row r="5653" spans="1:16" ht="15" hidden="1" customHeight="1">
      <c r="A5653" s="489">
        <v>64325625</v>
      </c>
      <c r="B5653" s="489">
        <v>1713</v>
      </c>
      <c r="C5653" s="488">
        <v>2200</v>
      </c>
      <c r="D5653" s="597">
        <v>46244</v>
      </c>
      <c r="E5653" s="489" t="s">
        <v>578</v>
      </c>
      <c r="F5653" s="489" t="s">
        <v>1221</v>
      </c>
      <c r="G5653" s="395">
        <f>VLOOKUP($A5653,'Tech Litons'!$A:$I,8,FALSE)</f>
        <v>2.0200000000000001E-3</v>
      </c>
      <c r="H5653" s="174">
        <f>VLOOKUP($A5653,'Tech Litons'!$A:$I,9,FALSE)</f>
        <v>200</v>
      </c>
      <c r="I5653" s="174" t="str">
        <f>VLOOKUP($A5653,'Tech Litons'!$A:$C,3,0)</f>
        <v>Yasso Poppables</v>
      </c>
      <c r="J5653" s="175" t="str">
        <f t="shared" si="649"/>
        <v>1713Yasso Poppables</v>
      </c>
      <c r="K5653" s="176">
        <f>VLOOKUP(I5653,'Attain %'!A:B,2,0)</f>
        <v>0.96</v>
      </c>
      <c r="L5653" s="177">
        <f t="shared" si="650"/>
        <v>2112</v>
      </c>
      <c r="M5653" s="177">
        <f t="shared" si="651"/>
        <v>4.2662399999999998</v>
      </c>
      <c r="N5653" s="177">
        <f t="shared" si="652"/>
        <v>10.56</v>
      </c>
      <c r="O5653" s="175" t="str">
        <f t="shared" si="653"/>
        <v>Aug</v>
      </c>
      <c r="P5653" s="265">
        <f t="shared" si="654"/>
        <v>33</v>
      </c>
    </row>
    <row r="5654" spans="1:16" ht="15" hidden="1" customHeight="1">
      <c r="A5654" s="489">
        <v>64325625</v>
      </c>
      <c r="B5654" s="489">
        <v>1713</v>
      </c>
      <c r="C5654" s="488">
        <v>2200</v>
      </c>
      <c r="D5654" s="597">
        <v>46258</v>
      </c>
      <c r="E5654" s="489" t="s">
        <v>578</v>
      </c>
      <c r="F5654" s="489" t="s">
        <v>1221</v>
      </c>
      <c r="G5654" s="395">
        <f>VLOOKUP($A5654,'Tech Litons'!$A:$I,8,FALSE)</f>
        <v>2.0200000000000001E-3</v>
      </c>
      <c r="H5654" s="174">
        <f>VLOOKUP($A5654,'Tech Litons'!$A:$I,9,FALSE)</f>
        <v>200</v>
      </c>
      <c r="I5654" s="174" t="str">
        <f>VLOOKUP($A5654,'Tech Litons'!$A:$C,3,0)</f>
        <v>Yasso Poppables</v>
      </c>
      <c r="J5654" s="175" t="str">
        <f t="shared" si="649"/>
        <v>1713Yasso Poppables</v>
      </c>
      <c r="K5654" s="176">
        <f>VLOOKUP(I5654,'Attain %'!A:B,2,0)</f>
        <v>0.96</v>
      </c>
      <c r="L5654" s="177">
        <f t="shared" si="650"/>
        <v>2112</v>
      </c>
      <c r="M5654" s="177">
        <f t="shared" si="651"/>
        <v>4.2662399999999998</v>
      </c>
      <c r="N5654" s="177">
        <f t="shared" si="652"/>
        <v>10.56</v>
      </c>
      <c r="O5654" s="175" t="str">
        <f t="shared" si="653"/>
        <v>Aug</v>
      </c>
      <c r="P5654" s="265">
        <f t="shared" si="654"/>
        <v>35</v>
      </c>
    </row>
    <row r="5655" spans="1:16" ht="15" hidden="1" customHeight="1">
      <c r="A5655" s="489">
        <v>64325625</v>
      </c>
      <c r="B5655" s="489">
        <v>1713</v>
      </c>
      <c r="C5655" s="488">
        <v>2200</v>
      </c>
      <c r="D5655" s="597">
        <v>46272</v>
      </c>
      <c r="E5655" s="489" t="s">
        <v>578</v>
      </c>
      <c r="F5655" s="489" t="s">
        <v>1221</v>
      </c>
      <c r="G5655" s="395">
        <f>VLOOKUP($A5655,'Tech Litons'!$A:$I,8,FALSE)</f>
        <v>2.0200000000000001E-3</v>
      </c>
      <c r="H5655" s="174">
        <f>VLOOKUP($A5655,'Tech Litons'!$A:$I,9,FALSE)</f>
        <v>200</v>
      </c>
      <c r="I5655" s="174" t="str">
        <f>VLOOKUP($A5655,'Tech Litons'!$A:$C,3,0)</f>
        <v>Yasso Poppables</v>
      </c>
      <c r="J5655" s="175" t="str">
        <f t="shared" si="649"/>
        <v>1713Yasso Poppables</v>
      </c>
      <c r="K5655" s="176">
        <f>VLOOKUP(I5655,'Attain %'!A:B,2,0)</f>
        <v>0.96</v>
      </c>
      <c r="L5655" s="177">
        <f t="shared" si="650"/>
        <v>2112</v>
      </c>
      <c r="M5655" s="177">
        <f t="shared" si="651"/>
        <v>4.2662399999999998</v>
      </c>
      <c r="N5655" s="177">
        <f t="shared" si="652"/>
        <v>10.56</v>
      </c>
      <c r="O5655" s="175" t="str">
        <f t="shared" si="653"/>
        <v>Sep</v>
      </c>
      <c r="P5655" s="265">
        <f t="shared" si="654"/>
        <v>37</v>
      </c>
    </row>
    <row r="5656" spans="1:16" ht="15" hidden="1" customHeight="1">
      <c r="A5656" s="489">
        <v>64325625</v>
      </c>
      <c r="B5656" s="489">
        <v>1713</v>
      </c>
      <c r="C5656" s="488">
        <v>2200</v>
      </c>
      <c r="D5656" s="597">
        <v>46293</v>
      </c>
      <c r="E5656" s="489" t="s">
        <v>578</v>
      </c>
      <c r="F5656" s="489" t="s">
        <v>1221</v>
      </c>
      <c r="G5656" s="395">
        <f>VLOOKUP($A5656,'Tech Litons'!$A:$I,8,FALSE)</f>
        <v>2.0200000000000001E-3</v>
      </c>
      <c r="H5656" s="174">
        <f>VLOOKUP($A5656,'Tech Litons'!$A:$I,9,FALSE)</f>
        <v>200</v>
      </c>
      <c r="I5656" s="174" t="str">
        <f>VLOOKUP($A5656,'Tech Litons'!$A:$C,3,0)</f>
        <v>Yasso Poppables</v>
      </c>
      <c r="J5656" s="175" t="str">
        <f t="shared" si="649"/>
        <v>1713Yasso Poppables</v>
      </c>
      <c r="K5656" s="176">
        <f>VLOOKUP(I5656,'Attain %'!A:B,2,0)</f>
        <v>0.96</v>
      </c>
      <c r="L5656" s="177">
        <f t="shared" si="650"/>
        <v>2112</v>
      </c>
      <c r="M5656" s="177">
        <f t="shared" si="651"/>
        <v>4.2662399999999998</v>
      </c>
      <c r="N5656" s="177">
        <f t="shared" si="652"/>
        <v>10.56</v>
      </c>
      <c r="O5656" s="175" t="str">
        <f t="shared" si="653"/>
        <v>Sep</v>
      </c>
      <c r="P5656" s="265">
        <f t="shared" si="654"/>
        <v>40</v>
      </c>
    </row>
    <row r="5657" spans="1:16" ht="15" hidden="1" customHeight="1">
      <c r="A5657" s="489">
        <v>64325625</v>
      </c>
      <c r="B5657" s="489">
        <v>1713</v>
      </c>
      <c r="C5657" s="488">
        <v>2200</v>
      </c>
      <c r="D5657" s="597">
        <v>46307</v>
      </c>
      <c r="E5657" s="489" t="s">
        <v>578</v>
      </c>
      <c r="F5657" s="489" t="s">
        <v>1221</v>
      </c>
      <c r="G5657" s="395">
        <f>VLOOKUP($A5657,'Tech Litons'!$A:$I,8,FALSE)</f>
        <v>2.0200000000000001E-3</v>
      </c>
      <c r="H5657" s="174">
        <f>VLOOKUP($A5657,'Tech Litons'!$A:$I,9,FALSE)</f>
        <v>200</v>
      </c>
      <c r="I5657" s="174" t="str">
        <f>VLOOKUP($A5657,'Tech Litons'!$A:$C,3,0)</f>
        <v>Yasso Poppables</v>
      </c>
      <c r="J5657" s="175" t="str">
        <f t="shared" si="649"/>
        <v>1713Yasso Poppables</v>
      </c>
      <c r="K5657" s="176">
        <f>VLOOKUP(I5657,'Attain %'!A:B,2,0)</f>
        <v>0.96</v>
      </c>
      <c r="L5657" s="177">
        <f t="shared" si="650"/>
        <v>2112</v>
      </c>
      <c r="M5657" s="177">
        <f t="shared" si="651"/>
        <v>4.2662399999999998</v>
      </c>
      <c r="N5657" s="177">
        <f t="shared" si="652"/>
        <v>10.56</v>
      </c>
      <c r="O5657" s="175" t="str">
        <f t="shared" si="653"/>
        <v>Oct</v>
      </c>
      <c r="P5657" s="265">
        <f t="shared" si="654"/>
        <v>42</v>
      </c>
    </row>
    <row r="5658" spans="1:16" ht="15" hidden="1" customHeight="1">
      <c r="A5658" s="489">
        <v>64325625</v>
      </c>
      <c r="B5658" s="489">
        <v>1713</v>
      </c>
      <c r="C5658" s="488">
        <v>2200</v>
      </c>
      <c r="D5658" s="597">
        <v>46321</v>
      </c>
      <c r="E5658" s="489" t="s">
        <v>578</v>
      </c>
      <c r="F5658" s="489" t="s">
        <v>1221</v>
      </c>
      <c r="G5658" s="395">
        <f>VLOOKUP($A5658,'Tech Litons'!$A:$I,8,FALSE)</f>
        <v>2.0200000000000001E-3</v>
      </c>
      <c r="H5658" s="174">
        <f>VLOOKUP($A5658,'Tech Litons'!$A:$I,9,FALSE)</f>
        <v>200</v>
      </c>
      <c r="I5658" s="174" t="str">
        <f>VLOOKUP($A5658,'Tech Litons'!$A:$C,3,0)</f>
        <v>Yasso Poppables</v>
      </c>
      <c r="J5658" s="175" t="str">
        <f t="shared" si="649"/>
        <v>1713Yasso Poppables</v>
      </c>
      <c r="K5658" s="176">
        <f>VLOOKUP(I5658,'Attain %'!A:B,2,0)</f>
        <v>0.96</v>
      </c>
      <c r="L5658" s="177">
        <f t="shared" si="650"/>
        <v>2112</v>
      </c>
      <c r="M5658" s="177">
        <f t="shared" si="651"/>
        <v>4.2662399999999998</v>
      </c>
      <c r="N5658" s="177">
        <f t="shared" si="652"/>
        <v>10.56</v>
      </c>
      <c r="O5658" s="175" t="str">
        <f t="shared" si="653"/>
        <v>Oct</v>
      </c>
      <c r="P5658" s="265">
        <f t="shared" si="654"/>
        <v>44</v>
      </c>
    </row>
    <row r="5659" spans="1:16" ht="15" hidden="1" customHeight="1">
      <c r="A5659" s="489">
        <v>64325625</v>
      </c>
      <c r="B5659" s="489">
        <v>1713</v>
      </c>
      <c r="C5659" s="488">
        <v>2200</v>
      </c>
      <c r="D5659" s="597">
        <v>46335</v>
      </c>
      <c r="E5659" s="489" t="s">
        <v>578</v>
      </c>
      <c r="F5659" s="489" t="s">
        <v>1221</v>
      </c>
      <c r="G5659" s="395">
        <f>VLOOKUP($A5659,'Tech Litons'!$A:$I,8,FALSE)</f>
        <v>2.0200000000000001E-3</v>
      </c>
      <c r="H5659" s="174">
        <f>VLOOKUP($A5659,'Tech Litons'!$A:$I,9,FALSE)</f>
        <v>200</v>
      </c>
      <c r="I5659" s="174" t="str">
        <f>VLOOKUP($A5659,'Tech Litons'!$A:$C,3,0)</f>
        <v>Yasso Poppables</v>
      </c>
      <c r="J5659" s="175" t="str">
        <f t="shared" si="649"/>
        <v>1713Yasso Poppables</v>
      </c>
      <c r="K5659" s="176">
        <f>VLOOKUP(I5659,'Attain %'!A:B,2,0)</f>
        <v>0.96</v>
      </c>
      <c r="L5659" s="177">
        <f t="shared" si="650"/>
        <v>2112</v>
      </c>
      <c r="M5659" s="177">
        <f t="shared" si="651"/>
        <v>4.2662399999999998</v>
      </c>
      <c r="N5659" s="177">
        <f t="shared" si="652"/>
        <v>10.56</v>
      </c>
      <c r="O5659" s="175" t="str">
        <f t="shared" si="653"/>
        <v>Nov</v>
      </c>
      <c r="P5659" s="265">
        <f t="shared" si="654"/>
        <v>46</v>
      </c>
    </row>
    <row r="5660" spans="1:16" ht="15" hidden="1" customHeight="1">
      <c r="A5660" s="489">
        <v>64326407</v>
      </c>
      <c r="B5660" s="489">
        <v>1713</v>
      </c>
      <c r="C5660" s="488">
        <v>2200</v>
      </c>
      <c r="D5660" s="597">
        <v>46202</v>
      </c>
      <c r="E5660" s="489" t="s">
        <v>579</v>
      </c>
      <c r="F5660" s="489" t="s">
        <v>1221</v>
      </c>
      <c r="G5660" s="395">
        <f>VLOOKUP($A5660,'Tech Litons'!$A:$I,8,FALSE)</f>
        <v>2.0200000000000001E-3</v>
      </c>
      <c r="H5660" s="174">
        <f>VLOOKUP($A5660,'Tech Litons'!$A:$I,9,FALSE)</f>
        <v>200</v>
      </c>
      <c r="I5660" s="174" t="str">
        <f>VLOOKUP($A5660,'Tech Litons'!$A:$C,3,0)</f>
        <v>Yasso Poppables</v>
      </c>
      <c r="J5660" s="175" t="str">
        <f t="shared" si="649"/>
        <v>1713Yasso Poppables</v>
      </c>
      <c r="K5660" s="176">
        <f>VLOOKUP(I5660,'Attain %'!A:B,2,0)</f>
        <v>0.96</v>
      </c>
      <c r="L5660" s="177">
        <f t="shared" si="650"/>
        <v>2112</v>
      </c>
      <c r="M5660" s="177">
        <f t="shared" si="651"/>
        <v>4.2662399999999998</v>
      </c>
      <c r="N5660" s="177">
        <f t="shared" si="652"/>
        <v>10.56</v>
      </c>
      <c r="O5660" s="175" t="str">
        <f t="shared" si="653"/>
        <v>Jun</v>
      </c>
      <c r="P5660" s="265">
        <f t="shared" si="654"/>
        <v>27</v>
      </c>
    </row>
    <row r="5661" spans="1:16" ht="15" hidden="1" customHeight="1">
      <c r="A5661" s="489">
        <v>64326407</v>
      </c>
      <c r="B5661" s="489">
        <v>1713</v>
      </c>
      <c r="C5661" s="488">
        <v>2200</v>
      </c>
      <c r="D5661" s="597">
        <v>46251</v>
      </c>
      <c r="E5661" s="489" t="s">
        <v>579</v>
      </c>
      <c r="F5661" s="489" t="s">
        <v>1221</v>
      </c>
      <c r="G5661" s="395">
        <f>VLOOKUP($A5661,'Tech Litons'!$A:$I,8,FALSE)</f>
        <v>2.0200000000000001E-3</v>
      </c>
      <c r="H5661" s="174">
        <f>VLOOKUP($A5661,'Tech Litons'!$A:$I,9,FALSE)</f>
        <v>200</v>
      </c>
      <c r="I5661" s="174" t="str">
        <f>VLOOKUP($A5661,'Tech Litons'!$A:$C,3,0)</f>
        <v>Yasso Poppables</v>
      </c>
      <c r="J5661" s="175" t="str">
        <f t="shared" si="649"/>
        <v>1713Yasso Poppables</v>
      </c>
      <c r="K5661" s="176">
        <f>VLOOKUP(I5661,'Attain %'!A:B,2,0)</f>
        <v>0.96</v>
      </c>
      <c r="L5661" s="177">
        <f t="shared" si="650"/>
        <v>2112</v>
      </c>
      <c r="M5661" s="177">
        <f t="shared" si="651"/>
        <v>4.2662399999999998</v>
      </c>
      <c r="N5661" s="177">
        <f t="shared" si="652"/>
        <v>10.56</v>
      </c>
      <c r="O5661" s="175" t="str">
        <f t="shared" si="653"/>
        <v>Aug</v>
      </c>
      <c r="P5661" s="265">
        <f t="shared" si="654"/>
        <v>34</v>
      </c>
    </row>
    <row r="5662" spans="1:16" ht="15" hidden="1" customHeight="1">
      <c r="A5662" s="489">
        <v>64326407</v>
      </c>
      <c r="B5662" s="489">
        <v>1713</v>
      </c>
      <c r="C5662" s="488">
        <v>2200</v>
      </c>
      <c r="D5662" s="597">
        <v>46293</v>
      </c>
      <c r="E5662" s="489" t="s">
        <v>579</v>
      </c>
      <c r="F5662" s="489" t="s">
        <v>1221</v>
      </c>
      <c r="G5662" s="395">
        <f>VLOOKUP($A5662,'Tech Litons'!$A:$I,8,FALSE)</f>
        <v>2.0200000000000001E-3</v>
      </c>
      <c r="H5662" s="174">
        <f>VLOOKUP($A5662,'Tech Litons'!$A:$I,9,FALSE)</f>
        <v>200</v>
      </c>
      <c r="I5662" s="174" t="str">
        <f>VLOOKUP($A5662,'Tech Litons'!$A:$C,3,0)</f>
        <v>Yasso Poppables</v>
      </c>
      <c r="J5662" s="175" t="str">
        <f t="shared" si="649"/>
        <v>1713Yasso Poppables</v>
      </c>
      <c r="K5662" s="176">
        <f>VLOOKUP(I5662,'Attain %'!A:B,2,0)</f>
        <v>0.96</v>
      </c>
      <c r="L5662" s="177">
        <f t="shared" si="650"/>
        <v>2112</v>
      </c>
      <c r="M5662" s="177">
        <f t="shared" si="651"/>
        <v>4.2662399999999998</v>
      </c>
      <c r="N5662" s="177">
        <f t="shared" si="652"/>
        <v>10.56</v>
      </c>
      <c r="O5662" s="175" t="str">
        <f t="shared" si="653"/>
        <v>Sep</v>
      </c>
      <c r="P5662" s="265">
        <f t="shared" si="654"/>
        <v>40</v>
      </c>
    </row>
    <row r="5663" spans="1:16" ht="15" hidden="1" customHeight="1">
      <c r="A5663" s="489">
        <v>64388736</v>
      </c>
      <c r="B5663" s="489">
        <v>1713</v>
      </c>
      <c r="C5663" s="488">
        <v>2200</v>
      </c>
      <c r="D5663" s="597">
        <v>46279</v>
      </c>
      <c r="E5663" s="489" t="s">
        <v>580</v>
      </c>
      <c r="F5663" s="489" t="s">
        <v>1221</v>
      </c>
      <c r="G5663" s="395">
        <f>VLOOKUP($A5663,'Tech Litons'!$A:$I,8,FALSE)</f>
        <v>2.0200000000000001E-3</v>
      </c>
      <c r="H5663" s="174">
        <f>VLOOKUP($A5663,'Tech Litons'!$A:$I,9,FALSE)</f>
        <v>200</v>
      </c>
      <c r="I5663" s="174" t="str">
        <f>VLOOKUP($A5663,'Tech Litons'!$A:$C,3,0)</f>
        <v>Yasso Poppables</v>
      </c>
      <c r="J5663" s="175" t="str">
        <f t="shared" si="649"/>
        <v>1713Yasso Poppables</v>
      </c>
      <c r="K5663" s="176">
        <f>VLOOKUP(I5663,'Attain %'!A:B,2,0)</f>
        <v>0.96</v>
      </c>
      <c r="L5663" s="177">
        <f t="shared" si="650"/>
        <v>2112</v>
      </c>
      <c r="M5663" s="177">
        <f t="shared" si="651"/>
        <v>4.2662399999999998</v>
      </c>
      <c r="N5663" s="177">
        <f t="shared" si="652"/>
        <v>10.56</v>
      </c>
      <c r="O5663" s="175" t="str">
        <f t="shared" si="653"/>
        <v>Sep</v>
      </c>
      <c r="P5663" s="265">
        <f t="shared" si="654"/>
        <v>38</v>
      </c>
    </row>
    <row r="5664" spans="1:16" ht="15" hidden="1" customHeight="1">
      <c r="A5664" s="489">
        <v>64388736</v>
      </c>
      <c r="B5664" s="489">
        <v>1713</v>
      </c>
      <c r="C5664" s="488">
        <v>2200</v>
      </c>
      <c r="D5664" s="597">
        <v>46328</v>
      </c>
      <c r="E5664" s="489" t="s">
        <v>580</v>
      </c>
      <c r="F5664" s="489" t="s">
        <v>1221</v>
      </c>
      <c r="G5664" s="395">
        <f>VLOOKUP($A5664,'Tech Litons'!$A:$I,8,FALSE)</f>
        <v>2.0200000000000001E-3</v>
      </c>
      <c r="H5664" s="174">
        <f>VLOOKUP($A5664,'Tech Litons'!$A:$I,9,FALSE)</f>
        <v>200</v>
      </c>
      <c r="I5664" s="174" t="str">
        <f>VLOOKUP($A5664,'Tech Litons'!$A:$C,3,0)</f>
        <v>Yasso Poppables</v>
      </c>
      <c r="J5664" s="175" t="str">
        <f t="shared" si="649"/>
        <v>1713Yasso Poppables</v>
      </c>
      <c r="K5664" s="176">
        <f>VLOOKUP(I5664,'Attain %'!A:B,2,0)</f>
        <v>0.96</v>
      </c>
      <c r="L5664" s="177">
        <f t="shared" si="650"/>
        <v>2112</v>
      </c>
      <c r="M5664" s="177">
        <f t="shared" si="651"/>
        <v>4.2662399999999998</v>
      </c>
      <c r="N5664" s="177">
        <f t="shared" si="652"/>
        <v>10.56</v>
      </c>
      <c r="O5664" s="175" t="str">
        <f t="shared" si="653"/>
        <v>Nov</v>
      </c>
      <c r="P5664" s="265">
        <f t="shared" si="654"/>
        <v>45</v>
      </c>
    </row>
    <row r="5665" spans="1:16" ht="15" hidden="1" customHeight="1">
      <c r="A5665" s="489">
        <v>64410857</v>
      </c>
      <c r="B5665" s="489" t="s">
        <v>128</v>
      </c>
      <c r="C5665" s="488">
        <v>2596</v>
      </c>
      <c r="D5665" s="597">
        <v>46153</v>
      </c>
      <c r="E5665" s="489" t="s">
        <v>1029</v>
      </c>
      <c r="F5665" s="489" t="s">
        <v>1223</v>
      </c>
      <c r="G5665" s="395">
        <f>VLOOKUP($A5665,'Tech Litons'!$A:$I,8,FALSE)</f>
        <v>5.2000000000000006E-4</v>
      </c>
      <c r="H5665" s="174">
        <f>VLOOKUP($A5665,'Tech Litons'!$A:$I,9,FALSE)</f>
        <v>135</v>
      </c>
      <c r="I5665" s="174" t="str">
        <f>VLOOKUP($A5665,'Tech Litons'!$A:$C,3,0)</f>
        <v>Other</v>
      </c>
      <c r="J5665" s="175" t="str">
        <f t="shared" si="649"/>
        <v>TultitlanOther</v>
      </c>
      <c r="K5665" s="176">
        <f>VLOOKUP(I5665,'Attain %'!A:B,2,0)</f>
        <v>0.96</v>
      </c>
      <c r="L5665" s="177">
        <f t="shared" si="650"/>
        <v>2492.16</v>
      </c>
      <c r="M5665" s="177">
        <f t="shared" si="651"/>
        <v>1.2959232000000001</v>
      </c>
      <c r="N5665" s="177">
        <f t="shared" si="652"/>
        <v>18.460444444444445</v>
      </c>
      <c r="O5665" s="175" t="str">
        <f t="shared" si="653"/>
        <v>May</v>
      </c>
      <c r="P5665" s="265">
        <f t="shared" si="654"/>
        <v>20</v>
      </c>
    </row>
    <row r="5666" spans="1:16" ht="15" hidden="1" customHeight="1">
      <c r="A5666" s="489">
        <v>64410857</v>
      </c>
      <c r="B5666" s="489" t="s">
        <v>128</v>
      </c>
      <c r="C5666" s="488">
        <v>2596</v>
      </c>
      <c r="D5666" s="597">
        <v>46160</v>
      </c>
      <c r="E5666" s="489" t="s">
        <v>1029</v>
      </c>
      <c r="F5666" s="489" t="s">
        <v>1223</v>
      </c>
      <c r="G5666" s="395">
        <f>VLOOKUP($A5666,'Tech Litons'!$A:$I,8,FALSE)</f>
        <v>5.2000000000000006E-4</v>
      </c>
      <c r="H5666" s="174">
        <f>VLOOKUP($A5666,'Tech Litons'!$A:$I,9,FALSE)</f>
        <v>135</v>
      </c>
      <c r="I5666" s="174" t="str">
        <f>VLOOKUP($A5666,'Tech Litons'!$A:$C,3,0)</f>
        <v>Other</v>
      </c>
      <c r="J5666" s="175" t="str">
        <f t="shared" si="649"/>
        <v>TultitlanOther</v>
      </c>
      <c r="K5666" s="176">
        <f>VLOOKUP(I5666,'Attain %'!A:B,2,0)</f>
        <v>0.96</v>
      </c>
      <c r="L5666" s="177">
        <f t="shared" si="650"/>
        <v>2492.16</v>
      </c>
      <c r="M5666" s="177">
        <f t="shared" si="651"/>
        <v>1.2959232000000001</v>
      </c>
      <c r="N5666" s="177">
        <f t="shared" si="652"/>
        <v>18.460444444444445</v>
      </c>
      <c r="O5666" s="175" t="str">
        <f t="shared" si="653"/>
        <v>May</v>
      </c>
      <c r="P5666" s="265">
        <f t="shared" si="654"/>
        <v>21</v>
      </c>
    </row>
    <row r="5667" spans="1:16" ht="15" hidden="1" customHeight="1">
      <c r="A5667" s="489">
        <v>68817792</v>
      </c>
      <c r="B5667" s="489">
        <v>1352</v>
      </c>
      <c r="C5667" s="488">
        <v>2700</v>
      </c>
      <c r="D5667" s="597">
        <v>46153</v>
      </c>
      <c r="E5667" s="489" t="s">
        <v>384</v>
      </c>
      <c r="F5667" s="489" t="s">
        <v>1207</v>
      </c>
      <c r="G5667" s="395">
        <f>VLOOKUP($A5667,'Tech Litons'!$A:$I,8,FALSE)</f>
        <v>8.5199999999999998E-3</v>
      </c>
      <c r="H5667" s="174">
        <f>VLOOKUP($A5667,'Tech Litons'!$A:$I,9,FALSE)</f>
        <v>154</v>
      </c>
      <c r="I5667" s="174" t="str">
        <f>VLOOKUP($A5667,'Tech Litons'!$A:$C,3,0)</f>
        <v>48oz</v>
      </c>
      <c r="J5667" s="175" t="str">
        <f t="shared" si="649"/>
        <v>135248oz</v>
      </c>
      <c r="K5667" s="176">
        <f>VLOOKUP(I5667,'Attain %'!A:B,2,0)</f>
        <v>0.94</v>
      </c>
      <c r="L5667" s="177">
        <f t="shared" si="650"/>
        <v>2538</v>
      </c>
      <c r="M5667" s="177">
        <f t="shared" si="651"/>
        <v>21.623760000000001</v>
      </c>
      <c r="N5667" s="177">
        <f t="shared" si="652"/>
        <v>16.480519480519479</v>
      </c>
      <c r="O5667" s="175" t="str">
        <f t="shared" si="653"/>
        <v>May</v>
      </c>
      <c r="P5667" s="265">
        <f t="shared" si="654"/>
        <v>20</v>
      </c>
    </row>
    <row r="5668" spans="1:16" ht="15" hidden="1" customHeight="1">
      <c r="A5668" s="489">
        <v>68881268</v>
      </c>
      <c r="B5668" s="489">
        <v>1352</v>
      </c>
      <c r="C5668" s="488">
        <v>2700</v>
      </c>
      <c r="D5668" s="597">
        <v>46160</v>
      </c>
      <c r="E5668" s="489" t="s">
        <v>327</v>
      </c>
      <c r="F5668" s="489" t="s">
        <v>1208</v>
      </c>
      <c r="G5668" s="395">
        <f>VLOOKUP($A5668,'Tech Litons'!$A:$I,8,FALSE)</f>
        <v>8.5199999999999998E-3</v>
      </c>
      <c r="H5668" s="174">
        <f>VLOOKUP($A5668,'Tech Litons'!$A:$I,9,FALSE)</f>
        <v>154</v>
      </c>
      <c r="I5668" s="174" t="str">
        <f>VLOOKUP($A5668,'Tech Litons'!$A:$C,3,0)</f>
        <v>48oz</v>
      </c>
      <c r="J5668" s="175" t="str">
        <f t="shared" si="649"/>
        <v>135248oz</v>
      </c>
      <c r="K5668" s="176">
        <f>VLOOKUP(I5668,'Attain %'!A:B,2,0)</f>
        <v>0.94</v>
      </c>
      <c r="L5668" s="177">
        <f t="shared" si="650"/>
        <v>2538</v>
      </c>
      <c r="M5668" s="177">
        <f t="shared" si="651"/>
        <v>21.623760000000001</v>
      </c>
      <c r="N5668" s="177">
        <f t="shared" si="652"/>
        <v>16.480519480519479</v>
      </c>
      <c r="O5668" s="175" t="str">
        <f t="shared" si="653"/>
        <v>May</v>
      </c>
      <c r="P5668" s="265">
        <f t="shared" si="654"/>
        <v>21</v>
      </c>
    </row>
    <row r="5669" spans="1:16" ht="15" hidden="1" customHeight="1">
      <c r="A5669" s="489">
        <v>68709233</v>
      </c>
      <c r="B5669" s="489">
        <v>1352</v>
      </c>
      <c r="C5669" s="488">
        <v>2786</v>
      </c>
      <c r="D5669" s="597">
        <v>46097</v>
      </c>
      <c r="E5669" s="489" t="s">
        <v>426</v>
      </c>
      <c r="F5669" s="489" t="s">
        <v>1210</v>
      </c>
      <c r="G5669" s="395">
        <f>VLOOKUP($A5669,'Tech Litons'!$A:$I,8,FALSE)</f>
        <v>8.4960000000000001E-3</v>
      </c>
      <c r="H5669" s="174">
        <f>VLOOKUP($A5669,'Tech Litons'!$A:$I,9,FALSE)</f>
        <v>132</v>
      </c>
      <c r="I5669" s="174" t="str">
        <f>VLOOKUP($A5669,'Tech Litons'!$A:$C,3,0)</f>
        <v>EDF</v>
      </c>
      <c r="J5669" s="175" t="str">
        <f t="shared" si="649"/>
        <v>1352EDF</v>
      </c>
      <c r="K5669" s="176">
        <f>VLOOKUP(I5669,'Attain %'!A:B,2,0)</f>
        <v>0.96</v>
      </c>
      <c r="L5669" s="177">
        <f t="shared" si="650"/>
        <v>2674.56</v>
      </c>
      <c r="M5669" s="177">
        <f t="shared" si="651"/>
        <v>22.72306176</v>
      </c>
      <c r="N5669" s="177">
        <f t="shared" si="652"/>
        <v>20.261818181818182</v>
      </c>
      <c r="O5669" s="175" t="str">
        <f t="shared" si="653"/>
        <v>Mar</v>
      </c>
      <c r="P5669" s="265">
        <f t="shared" si="654"/>
        <v>12</v>
      </c>
    </row>
    <row r="5670" spans="1:16" ht="15" hidden="1" customHeight="1">
      <c r="A5670" s="489">
        <v>64956417</v>
      </c>
      <c r="B5670" s="489" t="s">
        <v>139</v>
      </c>
      <c r="C5670" s="488">
        <v>2860</v>
      </c>
      <c r="D5670" s="597">
        <v>46132</v>
      </c>
      <c r="E5670" s="489" t="s">
        <v>621</v>
      </c>
      <c r="F5670" s="489" t="s">
        <v>1223</v>
      </c>
      <c r="G5670" s="395">
        <f>VLOOKUP($A5670,'Tech Litons'!$A:$I,8,FALSE)</f>
        <v>2.16E-3</v>
      </c>
      <c r="H5670" s="174">
        <f>VLOOKUP($A5670,'Tech Litons'!$A:$I,9,FALSE)</f>
        <v>143</v>
      </c>
      <c r="I5670" s="174" t="str">
        <f>VLOOKUP($A5670,'Tech Litons'!$A:$C,3,0)</f>
        <v>Facepieces</v>
      </c>
      <c r="J5670" s="175" t="str">
        <f t="shared" si="649"/>
        <v>IncomFacepieces</v>
      </c>
      <c r="K5670" s="176">
        <f>VLOOKUP(I5670,'Attain %'!A:B,2,0)</f>
        <v>0.96</v>
      </c>
      <c r="L5670" s="177">
        <f t="shared" si="650"/>
        <v>2745.6</v>
      </c>
      <c r="M5670" s="177">
        <f t="shared" si="651"/>
        <v>5.9304959999999998</v>
      </c>
      <c r="N5670" s="177">
        <f t="shared" si="652"/>
        <v>19.2</v>
      </c>
      <c r="O5670" s="175" t="str">
        <f t="shared" si="653"/>
        <v>Apr</v>
      </c>
      <c r="P5670" s="265">
        <f t="shared" si="654"/>
        <v>17</v>
      </c>
    </row>
    <row r="5671" spans="1:16" ht="15" hidden="1" customHeight="1">
      <c r="A5671" s="489">
        <v>64804365</v>
      </c>
      <c r="B5671" s="489">
        <v>1712</v>
      </c>
      <c r="C5671" s="488">
        <v>2970</v>
      </c>
      <c r="D5671" s="597">
        <v>46125</v>
      </c>
      <c r="E5671" s="489" t="s">
        <v>571</v>
      </c>
      <c r="F5671" s="489" t="s">
        <v>1221</v>
      </c>
      <c r="G5671" s="395">
        <f>VLOOKUP($A5671,'Tech Litons'!$A:$I,8,FALSE)</f>
        <v>2.8799999999999997E-3</v>
      </c>
      <c r="H5671" s="174">
        <f>VLOOKUP($A5671,'Tech Litons'!$A:$I,9,FALSE)</f>
        <v>180</v>
      </c>
      <c r="I5671" s="174" t="str">
        <f>VLOOKUP($A5671,'Tech Litons'!$A:$C,3,0)</f>
        <v>B&amp;J Cups</v>
      </c>
      <c r="J5671" s="175" t="str">
        <f t="shared" si="649"/>
        <v>1712B&amp;J Cups</v>
      </c>
      <c r="K5671" s="176">
        <f>VLOOKUP(I5671,'Attain %'!A:B,2,0)</f>
        <v>0.96</v>
      </c>
      <c r="L5671" s="177">
        <f t="shared" si="650"/>
        <v>2851.2</v>
      </c>
      <c r="M5671" s="177">
        <f t="shared" si="651"/>
        <v>8.2114559999999983</v>
      </c>
      <c r="N5671" s="177">
        <f t="shared" si="652"/>
        <v>15.84</v>
      </c>
      <c r="O5671" s="175" t="str">
        <f t="shared" si="653"/>
        <v>Apr</v>
      </c>
      <c r="P5671" s="265">
        <f t="shared" si="654"/>
        <v>16</v>
      </c>
    </row>
    <row r="5672" spans="1:16" ht="15" hidden="1" customHeight="1">
      <c r="A5672" s="489">
        <v>64804365</v>
      </c>
      <c r="B5672" s="489">
        <v>1712</v>
      </c>
      <c r="C5672" s="488">
        <v>2970</v>
      </c>
      <c r="D5672" s="597">
        <v>46258</v>
      </c>
      <c r="E5672" s="489" t="s">
        <v>571</v>
      </c>
      <c r="F5672" s="489" t="s">
        <v>1221</v>
      </c>
      <c r="G5672" s="395">
        <f>VLOOKUP($A5672,'Tech Litons'!$A:$I,8,FALSE)</f>
        <v>2.8799999999999997E-3</v>
      </c>
      <c r="H5672" s="174">
        <f>VLOOKUP($A5672,'Tech Litons'!$A:$I,9,FALSE)</f>
        <v>180</v>
      </c>
      <c r="I5672" s="174" t="str">
        <f>VLOOKUP($A5672,'Tech Litons'!$A:$C,3,0)</f>
        <v>B&amp;J Cups</v>
      </c>
      <c r="J5672" s="175" t="str">
        <f t="shared" si="649"/>
        <v>1712B&amp;J Cups</v>
      </c>
      <c r="K5672" s="176">
        <f>VLOOKUP(I5672,'Attain %'!A:B,2,0)</f>
        <v>0.96</v>
      </c>
      <c r="L5672" s="177">
        <f t="shared" si="650"/>
        <v>2851.2</v>
      </c>
      <c r="M5672" s="177">
        <f t="shared" si="651"/>
        <v>8.2114559999999983</v>
      </c>
      <c r="N5672" s="177">
        <f t="shared" si="652"/>
        <v>15.84</v>
      </c>
      <c r="O5672" s="175" t="str">
        <f t="shared" si="653"/>
        <v>Aug</v>
      </c>
      <c r="P5672" s="265">
        <f t="shared" si="654"/>
        <v>35</v>
      </c>
    </row>
    <row r="5673" spans="1:16" ht="15" hidden="1" customHeight="1">
      <c r="A5673" s="489">
        <v>64804365</v>
      </c>
      <c r="B5673" s="489">
        <v>1712</v>
      </c>
      <c r="C5673" s="488">
        <v>2970</v>
      </c>
      <c r="D5673" s="597">
        <v>46279</v>
      </c>
      <c r="E5673" s="489" t="s">
        <v>571</v>
      </c>
      <c r="F5673" s="489" t="s">
        <v>1221</v>
      </c>
      <c r="G5673" s="395">
        <f>VLOOKUP($A5673,'Tech Litons'!$A:$I,8,FALSE)</f>
        <v>2.8799999999999997E-3</v>
      </c>
      <c r="H5673" s="174">
        <f>VLOOKUP($A5673,'Tech Litons'!$A:$I,9,FALSE)</f>
        <v>180</v>
      </c>
      <c r="I5673" s="174" t="str">
        <f>VLOOKUP($A5673,'Tech Litons'!$A:$C,3,0)</f>
        <v>B&amp;J Cups</v>
      </c>
      <c r="J5673" s="175" t="str">
        <f t="shared" si="649"/>
        <v>1712B&amp;J Cups</v>
      </c>
      <c r="K5673" s="176">
        <f>VLOOKUP(I5673,'Attain %'!A:B,2,0)</f>
        <v>0.96</v>
      </c>
      <c r="L5673" s="177">
        <f t="shared" si="650"/>
        <v>2851.2</v>
      </c>
      <c r="M5673" s="177">
        <f t="shared" si="651"/>
        <v>8.2114559999999983</v>
      </c>
      <c r="N5673" s="177">
        <f t="shared" si="652"/>
        <v>15.84</v>
      </c>
      <c r="O5673" s="175" t="str">
        <f t="shared" si="653"/>
        <v>Sep</v>
      </c>
      <c r="P5673" s="265">
        <f t="shared" si="654"/>
        <v>38</v>
      </c>
    </row>
    <row r="5674" spans="1:16" ht="15" hidden="1" customHeight="1">
      <c r="A5674" s="489">
        <v>64804365</v>
      </c>
      <c r="B5674" s="489">
        <v>1712</v>
      </c>
      <c r="C5674" s="488">
        <v>2970</v>
      </c>
      <c r="D5674" s="597">
        <v>46293</v>
      </c>
      <c r="E5674" s="489" t="s">
        <v>571</v>
      </c>
      <c r="F5674" s="489" t="s">
        <v>1221</v>
      </c>
      <c r="G5674" s="395">
        <f>VLOOKUP($A5674,'Tech Litons'!$A:$I,8,FALSE)</f>
        <v>2.8799999999999997E-3</v>
      </c>
      <c r="H5674" s="174">
        <f>VLOOKUP($A5674,'Tech Litons'!$A:$I,9,FALSE)</f>
        <v>180</v>
      </c>
      <c r="I5674" s="174" t="str">
        <f>VLOOKUP($A5674,'Tech Litons'!$A:$C,3,0)</f>
        <v>B&amp;J Cups</v>
      </c>
      <c r="J5674" s="175" t="str">
        <f t="shared" si="649"/>
        <v>1712B&amp;J Cups</v>
      </c>
      <c r="K5674" s="176">
        <f>VLOOKUP(I5674,'Attain %'!A:B,2,0)</f>
        <v>0.96</v>
      </c>
      <c r="L5674" s="177">
        <f t="shared" si="650"/>
        <v>2851.2</v>
      </c>
      <c r="M5674" s="177">
        <f t="shared" si="651"/>
        <v>8.2114559999999983</v>
      </c>
      <c r="N5674" s="177">
        <f t="shared" si="652"/>
        <v>15.84</v>
      </c>
      <c r="O5674" s="175" t="str">
        <f t="shared" si="653"/>
        <v>Sep</v>
      </c>
      <c r="P5674" s="265">
        <f t="shared" si="654"/>
        <v>40</v>
      </c>
    </row>
    <row r="5675" spans="1:16" ht="15" hidden="1" customHeight="1">
      <c r="A5675" s="489">
        <v>64804365</v>
      </c>
      <c r="B5675" s="489">
        <v>1712</v>
      </c>
      <c r="C5675" s="488">
        <v>2970</v>
      </c>
      <c r="D5675" s="597">
        <v>46307</v>
      </c>
      <c r="E5675" s="489" t="s">
        <v>571</v>
      </c>
      <c r="F5675" s="489" t="s">
        <v>1221</v>
      </c>
      <c r="G5675" s="395">
        <f>VLOOKUP($A5675,'Tech Litons'!$A:$I,8,FALSE)</f>
        <v>2.8799999999999997E-3</v>
      </c>
      <c r="H5675" s="174">
        <f>VLOOKUP($A5675,'Tech Litons'!$A:$I,9,FALSE)</f>
        <v>180</v>
      </c>
      <c r="I5675" s="174" t="str">
        <f>VLOOKUP($A5675,'Tech Litons'!$A:$C,3,0)</f>
        <v>B&amp;J Cups</v>
      </c>
      <c r="J5675" s="175" t="str">
        <f t="shared" si="649"/>
        <v>1712B&amp;J Cups</v>
      </c>
      <c r="K5675" s="176">
        <f>VLOOKUP(I5675,'Attain %'!A:B,2,0)</f>
        <v>0.96</v>
      </c>
      <c r="L5675" s="177">
        <f t="shared" si="650"/>
        <v>2851.2</v>
      </c>
      <c r="M5675" s="177">
        <f t="shared" si="651"/>
        <v>8.2114559999999983</v>
      </c>
      <c r="N5675" s="177">
        <f t="shared" si="652"/>
        <v>15.84</v>
      </c>
      <c r="O5675" s="175" t="str">
        <f t="shared" si="653"/>
        <v>Oct</v>
      </c>
      <c r="P5675" s="265">
        <f t="shared" si="654"/>
        <v>42</v>
      </c>
    </row>
    <row r="5676" spans="1:16" ht="15" hidden="1" customHeight="1">
      <c r="A5676" s="489">
        <v>64804365</v>
      </c>
      <c r="B5676" s="489">
        <v>1712</v>
      </c>
      <c r="C5676" s="488">
        <v>2970</v>
      </c>
      <c r="D5676" s="597">
        <v>46314</v>
      </c>
      <c r="E5676" s="489" t="s">
        <v>571</v>
      </c>
      <c r="F5676" s="489" t="s">
        <v>1221</v>
      </c>
      <c r="G5676" s="395">
        <f>VLOOKUP($A5676,'Tech Litons'!$A:$I,8,FALSE)</f>
        <v>2.8799999999999997E-3</v>
      </c>
      <c r="H5676" s="174">
        <f>VLOOKUP($A5676,'Tech Litons'!$A:$I,9,FALSE)</f>
        <v>180</v>
      </c>
      <c r="I5676" s="174" t="str">
        <f>VLOOKUP($A5676,'Tech Litons'!$A:$C,3,0)</f>
        <v>B&amp;J Cups</v>
      </c>
      <c r="J5676" s="175" t="str">
        <f t="shared" si="649"/>
        <v>1712B&amp;J Cups</v>
      </c>
      <c r="K5676" s="176">
        <f>VLOOKUP(I5676,'Attain %'!A:B,2,0)</f>
        <v>0.96</v>
      </c>
      <c r="L5676" s="177">
        <f t="shared" si="650"/>
        <v>2851.2</v>
      </c>
      <c r="M5676" s="177">
        <f t="shared" si="651"/>
        <v>8.2114559999999983</v>
      </c>
      <c r="N5676" s="177">
        <f t="shared" si="652"/>
        <v>15.84</v>
      </c>
      <c r="O5676" s="175" t="str">
        <f t="shared" si="653"/>
        <v>Oct</v>
      </c>
      <c r="P5676" s="265">
        <f t="shared" si="654"/>
        <v>43</v>
      </c>
    </row>
    <row r="5677" spans="1:16" ht="15" hidden="1" customHeight="1">
      <c r="A5677" s="489">
        <v>64804365</v>
      </c>
      <c r="B5677" s="489">
        <v>1712</v>
      </c>
      <c r="C5677" s="488">
        <v>2970</v>
      </c>
      <c r="D5677" s="597">
        <v>46328</v>
      </c>
      <c r="E5677" s="489" t="s">
        <v>571</v>
      </c>
      <c r="F5677" s="489" t="s">
        <v>1221</v>
      </c>
      <c r="G5677" s="395">
        <f>VLOOKUP($A5677,'Tech Litons'!$A:$I,8,FALSE)</f>
        <v>2.8799999999999997E-3</v>
      </c>
      <c r="H5677" s="174">
        <f>VLOOKUP($A5677,'Tech Litons'!$A:$I,9,FALSE)</f>
        <v>180</v>
      </c>
      <c r="I5677" s="174" t="str">
        <f>VLOOKUP($A5677,'Tech Litons'!$A:$C,3,0)</f>
        <v>B&amp;J Cups</v>
      </c>
      <c r="J5677" s="175" t="str">
        <f t="shared" si="649"/>
        <v>1712B&amp;J Cups</v>
      </c>
      <c r="K5677" s="176">
        <f>VLOOKUP(I5677,'Attain %'!A:B,2,0)</f>
        <v>0.96</v>
      </c>
      <c r="L5677" s="177">
        <f t="shared" si="650"/>
        <v>2851.2</v>
      </c>
      <c r="M5677" s="177">
        <f t="shared" si="651"/>
        <v>8.2114559999999983</v>
      </c>
      <c r="N5677" s="177">
        <f t="shared" si="652"/>
        <v>15.84</v>
      </c>
      <c r="O5677" s="175" t="str">
        <f t="shared" si="653"/>
        <v>Nov</v>
      </c>
      <c r="P5677" s="265">
        <f t="shared" si="654"/>
        <v>45</v>
      </c>
    </row>
    <row r="5678" spans="1:16" ht="15" hidden="1" customHeight="1">
      <c r="A5678" s="489">
        <v>64804365</v>
      </c>
      <c r="B5678" s="489">
        <v>1712</v>
      </c>
      <c r="C5678" s="488">
        <v>2970</v>
      </c>
      <c r="D5678" s="597">
        <v>46335</v>
      </c>
      <c r="E5678" s="489" t="s">
        <v>571</v>
      </c>
      <c r="F5678" s="489" t="s">
        <v>1221</v>
      </c>
      <c r="G5678" s="395">
        <f>VLOOKUP($A5678,'Tech Litons'!$A:$I,8,FALSE)</f>
        <v>2.8799999999999997E-3</v>
      </c>
      <c r="H5678" s="174">
        <f>VLOOKUP($A5678,'Tech Litons'!$A:$I,9,FALSE)</f>
        <v>180</v>
      </c>
      <c r="I5678" s="174" t="str">
        <f>VLOOKUP($A5678,'Tech Litons'!$A:$C,3,0)</f>
        <v>B&amp;J Cups</v>
      </c>
      <c r="J5678" s="175" t="str">
        <f t="shared" si="649"/>
        <v>1712B&amp;J Cups</v>
      </c>
      <c r="K5678" s="176">
        <f>VLOOKUP(I5678,'Attain %'!A:B,2,0)</f>
        <v>0.96</v>
      </c>
      <c r="L5678" s="177">
        <f t="shared" si="650"/>
        <v>2851.2</v>
      </c>
      <c r="M5678" s="177">
        <f t="shared" si="651"/>
        <v>8.2114559999999983</v>
      </c>
      <c r="N5678" s="177">
        <f t="shared" si="652"/>
        <v>15.84</v>
      </c>
      <c r="O5678" s="175" t="str">
        <f t="shared" si="653"/>
        <v>Nov</v>
      </c>
      <c r="P5678" s="265">
        <f t="shared" si="654"/>
        <v>46</v>
      </c>
    </row>
    <row r="5679" spans="1:16" ht="15" hidden="1" customHeight="1">
      <c r="A5679" s="489">
        <v>64804365</v>
      </c>
      <c r="B5679" s="489">
        <v>1712</v>
      </c>
      <c r="C5679" s="488">
        <v>2970</v>
      </c>
      <c r="D5679" s="597">
        <v>46342</v>
      </c>
      <c r="E5679" s="489" t="s">
        <v>571</v>
      </c>
      <c r="F5679" s="489" t="s">
        <v>1221</v>
      </c>
      <c r="G5679" s="395">
        <f>VLOOKUP($A5679,'Tech Litons'!$A:$I,8,FALSE)</f>
        <v>2.8799999999999997E-3</v>
      </c>
      <c r="H5679" s="174">
        <f>VLOOKUP($A5679,'Tech Litons'!$A:$I,9,FALSE)</f>
        <v>180</v>
      </c>
      <c r="I5679" s="174" t="str">
        <f>VLOOKUP($A5679,'Tech Litons'!$A:$C,3,0)</f>
        <v>B&amp;J Cups</v>
      </c>
      <c r="J5679" s="175" t="str">
        <f t="shared" si="649"/>
        <v>1712B&amp;J Cups</v>
      </c>
      <c r="K5679" s="176">
        <f>VLOOKUP(I5679,'Attain %'!A:B,2,0)</f>
        <v>0.96</v>
      </c>
      <c r="L5679" s="177">
        <f t="shared" si="650"/>
        <v>2851.2</v>
      </c>
      <c r="M5679" s="177">
        <f t="shared" si="651"/>
        <v>8.2114559999999983</v>
      </c>
      <c r="N5679" s="177">
        <f t="shared" si="652"/>
        <v>15.84</v>
      </c>
      <c r="O5679" s="175" t="str">
        <f t="shared" si="653"/>
        <v>Nov</v>
      </c>
      <c r="P5679" s="265">
        <f t="shared" si="654"/>
        <v>47</v>
      </c>
    </row>
    <row r="5680" spans="1:16" ht="15" hidden="1" customHeight="1">
      <c r="A5680" s="489">
        <v>64804365</v>
      </c>
      <c r="B5680" s="489">
        <v>1712</v>
      </c>
      <c r="C5680" s="488">
        <v>2970</v>
      </c>
      <c r="D5680" s="597">
        <v>46349</v>
      </c>
      <c r="E5680" s="489" t="s">
        <v>571</v>
      </c>
      <c r="F5680" s="489" t="s">
        <v>1221</v>
      </c>
      <c r="G5680" s="395">
        <f>VLOOKUP($A5680,'Tech Litons'!$A:$I,8,FALSE)</f>
        <v>2.8799999999999997E-3</v>
      </c>
      <c r="H5680" s="174">
        <f>VLOOKUP($A5680,'Tech Litons'!$A:$I,9,FALSE)</f>
        <v>180</v>
      </c>
      <c r="I5680" s="174" t="str">
        <f>VLOOKUP($A5680,'Tech Litons'!$A:$C,3,0)</f>
        <v>B&amp;J Cups</v>
      </c>
      <c r="J5680" s="175" t="str">
        <f t="shared" si="649"/>
        <v>1712B&amp;J Cups</v>
      </c>
      <c r="K5680" s="176">
        <f>VLOOKUP(I5680,'Attain %'!A:B,2,0)</f>
        <v>0.96</v>
      </c>
      <c r="L5680" s="177">
        <f t="shared" si="650"/>
        <v>2851.2</v>
      </c>
      <c r="M5680" s="177">
        <f t="shared" si="651"/>
        <v>8.2114559999999983</v>
      </c>
      <c r="N5680" s="177">
        <f t="shared" si="652"/>
        <v>15.84</v>
      </c>
      <c r="O5680" s="175" t="str">
        <f t="shared" si="653"/>
        <v>Nov</v>
      </c>
      <c r="P5680" s="265">
        <f t="shared" si="654"/>
        <v>48</v>
      </c>
    </row>
    <row r="5681" spans="1:16" ht="15" hidden="1" customHeight="1">
      <c r="A5681" s="489">
        <v>64804365</v>
      </c>
      <c r="B5681" s="489">
        <v>1712</v>
      </c>
      <c r="C5681" s="488">
        <v>2970</v>
      </c>
      <c r="D5681" s="597">
        <v>46363</v>
      </c>
      <c r="E5681" s="489" t="s">
        <v>571</v>
      </c>
      <c r="F5681" s="489" t="s">
        <v>1221</v>
      </c>
      <c r="G5681" s="395">
        <f>VLOOKUP($A5681,'Tech Litons'!$A:$I,8,FALSE)</f>
        <v>2.8799999999999997E-3</v>
      </c>
      <c r="H5681" s="174">
        <f>VLOOKUP($A5681,'Tech Litons'!$A:$I,9,FALSE)</f>
        <v>180</v>
      </c>
      <c r="I5681" s="174" t="str">
        <f>VLOOKUP($A5681,'Tech Litons'!$A:$C,3,0)</f>
        <v>B&amp;J Cups</v>
      </c>
      <c r="J5681" s="175" t="str">
        <f t="shared" si="649"/>
        <v>1712B&amp;J Cups</v>
      </c>
      <c r="K5681" s="176">
        <f>VLOOKUP(I5681,'Attain %'!A:B,2,0)</f>
        <v>0.96</v>
      </c>
      <c r="L5681" s="177">
        <f t="shared" si="650"/>
        <v>2851.2</v>
      </c>
      <c r="M5681" s="177">
        <f t="shared" si="651"/>
        <v>8.2114559999999983</v>
      </c>
      <c r="N5681" s="177">
        <f t="shared" si="652"/>
        <v>15.84</v>
      </c>
      <c r="O5681" s="175" t="str">
        <f t="shared" si="653"/>
        <v>Dec</v>
      </c>
      <c r="P5681" s="265">
        <f t="shared" si="654"/>
        <v>50</v>
      </c>
    </row>
    <row r="5682" spans="1:16" ht="15" hidden="1" customHeight="1">
      <c r="A5682" s="489">
        <v>64804365</v>
      </c>
      <c r="B5682" s="489">
        <v>1712</v>
      </c>
      <c r="C5682" s="488">
        <v>2970</v>
      </c>
      <c r="D5682" s="597">
        <v>46370</v>
      </c>
      <c r="E5682" s="489" t="s">
        <v>571</v>
      </c>
      <c r="F5682" s="489" t="s">
        <v>1221</v>
      </c>
      <c r="G5682" s="395">
        <f>VLOOKUP($A5682,'Tech Litons'!$A:$I,8,FALSE)</f>
        <v>2.8799999999999997E-3</v>
      </c>
      <c r="H5682" s="174">
        <f>VLOOKUP($A5682,'Tech Litons'!$A:$I,9,FALSE)</f>
        <v>180</v>
      </c>
      <c r="I5682" s="174" t="str">
        <f>VLOOKUP($A5682,'Tech Litons'!$A:$C,3,0)</f>
        <v>B&amp;J Cups</v>
      </c>
      <c r="J5682" s="175" t="str">
        <f t="shared" si="649"/>
        <v>1712B&amp;J Cups</v>
      </c>
      <c r="K5682" s="176">
        <f>VLOOKUP(I5682,'Attain %'!A:B,2,0)</f>
        <v>0.96</v>
      </c>
      <c r="L5682" s="177">
        <f t="shared" si="650"/>
        <v>2851.2</v>
      </c>
      <c r="M5682" s="177">
        <f t="shared" si="651"/>
        <v>8.2114559999999983</v>
      </c>
      <c r="N5682" s="177">
        <f t="shared" si="652"/>
        <v>15.84</v>
      </c>
      <c r="O5682" s="175" t="str">
        <f t="shared" si="653"/>
        <v>Dec</v>
      </c>
      <c r="P5682" s="265">
        <f t="shared" si="654"/>
        <v>51</v>
      </c>
    </row>
    <row r="5683" spans="1:16" ht="15" hidden="1" customHeight="1">
      <c r="A5683" s="489">
        <v>64806251</v>
      </c>
      <c r="B5683" s="489">
        <v>1712</v>
      </c>
      <c r="C5683" s="488">
        <v>2970</v>
      </c>
      <c r="D5683" s="597">
        <v>46244</v>
      </c>
      <c r="E5683" s="489" t="s">
        <v>572</v>
      </c>
      <c r="F5683" s="489" t="s">
        <v>1221</v>
      </c>
      <c r="G5683" s="395">
        <f>VLOOKUP($A5683,'Tech Litons'!$A:$I,8,FALSE)</f>
        <v>2.8799999999999997E-3</v>
      </c>
      <c r="H5683" s="174">
        <f>VLOOKUP($A5683,'Tech Litons'!$A:$I,9,FALSE)</f>
        <v>180</v>
      </c>
      <c r="I5683" s="174" t="str">
        <f>VLOOKUP($A5683,'Tech Litons'!$A:$C,3,0)</f>
        <v>B&amp;J Cups</v>
      </c>
      <c r="J5683" s="175" t="str">
        <f t="shared" si="649"/>
        <v>1712B&amp;J Cups</v>
      </c>
      <c r="K5683" s="176">
        <f>VLOOKUP(I5683,'Attain %'!A:B,2,0)</f>
        <v>0.96</v>
      </c>
      <c r="L5683" s="177">
        <f t="shared" si="650"/>
        <v>2851.2</v>
      </c>
      <c r="M5683" s="177">
        <f t="shared" si="651"/>
        <v>8.2114559999999983</v>
      </c>
      <c r="N5683" s="177">
        <f t="shared" si="652"/>
        <v>15.84</v>
      </c>
      <c r="O5683" s="175" t="str">
        <f t="shared" si="653"/>
        <v>Aug</v>
      </c>
      <c r="P5683" s="265">
        <f t="shared" si="654"/>
        <v>33</v>
      </c>
    </row>
    <row r="5684" spans="1:16" ht="15" hidden="1" customHeight="1">
      <c r="A5684" s="489">
        <v>64806251</v>
      </c>
      <c r="B5684" s="489">
        <v>1712</v>
      </c>
      <c r="C5684" s="488">
        <v>2970</v>
      </c>
      <c r="D5684" s="597">
        <v>46251</v>
      </c>
      <c r="E5684" s="489" t="s">
        <v>572</v>
      </c>
      <c r="F5684" s="489" t="s">
        <v>1221</v>
      </c>
      <c r="G5684" s="395">
        <f>VLOOKUP($A5684,'Tech Litons'!$A:$I,8,FALSE)</f>
        <v>2.8799999999999997E-3</v>
      </c>
      <c r="H5684" s="174">
        <f>VLOOKUP($A5684,'Tech Litons'!$A:$I,9,FALSE)</f>
        <v>180</v>
      </c>
      <c r="I5684" s="174" t="str">
        <f>VLOOKUP($A5684,'Tech Litons'!$A:$C,3,0)</f>
        <v>B&amp;J Cups</v>
      </c>
      <c r="J5684" s="175" t="str">
        <f t="shared" si="649"/>
        <v>1712B&amp;J Cups</v>
      </c>
      <c r="K5684" s="176">
        <f>VLOOKUP(I5684,'Attain %'!A:B,2,0)</f>
        <v>0.96</v>
      </c>
      <c r="L5684" s="177">
        <f t="shared" si="650"/>
        <v>2851.2</v>
      </c>
      <c r="M5684" s="177">
        <f t="shared" si="651"/>
        <v>8.2114559999999983</v>
      </c>
      <c r="N5684" s="177">
        <f t="shared" si="652"/>
        <v>15.84</v>
      </c>
      <c r="O5684" s="175" t="str">
        <f t="shared" si="653"/>
        <v>Aug</v>
      </c>
      <c r="P5684" s="265">
        <f t="shared" si="654"/>
        <v>34</v>
      </c>
    </row>
    <row r="5685" spans="1:16" ht="15" hidden="1" customHeight="1">
      <c r="A5685" s="489">
        <v>64806251</v>
      </c>
      <c r="B5685" s="489">
        <v>1712</v>
      </c>
      <c r="C5685" s="488">
        <v>2970</v>
      </c>
      <c r="D5685" s="597">
        <v>46265</v>
      </c>
      <c r="E5685" s="489" t="s">
        <v>572</v>
      </c>
      <c r="F5685" s="489" t="s">
        <v>1221</v>
      </c>
      <c r="G5685" s="395">
        <f>VLOOKUP($A5685,'Tech Litons'!$A:$I,8,FALSE)</f>
        <v>2.8799999999999997E-3</v>
      </c>
      <c r="H5685" s="174">
        <f>VLOOKUP($A5685,'Tech Litons'!$A:$I,9,FALSE)</f>
        <v>180</v>
      </c>
      <c r="I5685" s="174" t="str">
        <f>VLOOKUP($A5685,'Tech Litons'!$A:$C,3,0)</f>
        <v>B&amp;J Cups</v>
      </c>
      <c r="J5685" s="175" t="str">
        <f t="shared" si="649"/>
        <v>1712B&amp;J Cups</v>
      </c>
      <c r="K5685" s="176">
        <f>VLOOKUP(I5685,'Attain %'!A:B,2,0)</f>
        <v>0.96</v>
      </c>
      <c r="L5685" s="177">
        <f t="shared" si="650"/>
        <v>2851.2</v>
      </c>
      <c r="M5685" s="177">
        <f t="shared" si="651"/>
        <v>8.2114559999999983</v>
      </c>
      <c r="N5685" s="177">
        <f t="shared" si="652"/>
        <v>15.84</v>
      </c>
      <c r="O5685" s="175" t="str">
        <f t="shared" si="653"/>
        <v>Aug</v>
      </c>
      <c r="P5685" s="265">
        <f t="shared" si="654"/>
        <v>36</v>
      </c>
    </row>
    <row r="5686" spans="1:16" ht="15" hidden="1" customHeight="1">
      <c r="A5686" s="489">
        <v>64806251</v>
      </c>
      <c r="B5686" s="489">
        <v>1712</v>
      </c>
      <c r="C5686" s="488">
        <v>2970</v>
      </c>
      <c r="D5686" s="597">
        <v>46286</v>
      </c>
      <c r="E5686" s="489" t="s">
        <v>572</v>
      </c>
      <c r="F5686" s="489" t="s">
        <v>1221</v>
      </c>
      <c r="G5686" s="395">
        <f>VLOOKUP($A5686,'Tech Litons'!$A:$I,8,FALSE)</f>
        <v>2.8799999999999997E-3</v>
      </c>
      <c r="H5686" s="174">
        <f>VLOOKUP($A5686,'Tech Litons'!$A:$I,9,FALSE)</f>
        <v>180</v>
      </c>
      <c r="I5686" s="174" t="str">
        <f>VLOOKUP($A5686,'Tech Litons'!$A:$C,3,0)</f>
        <v>B&amp;J Cups</v>
      </c>
      <c r="J5686" s="175" t="str">
        <f t="shared" si="649"/>
        <v>1712B&amp;J Cups</v>
      </c>
      <c r="K5686" s="176">
        <f>VLOOKUP(I5686,'Attain %'!A:B,2,0)</f>
        <v>0.96</v>
      </c>
      <c r="L5686" s="177">
        <f t="shared" si="650"/>
        <v>2851.2</v>
      </c>
      <c r="M5686" s="177">
        <f t="shared" si="651"/>
        <v>8.2114559999999983</v>
      </c>
      <c r="N5686" s="177">
        <f t="shared" si="652"/>
        <v>15.84</v>
      </c>
      <c r="O5686" s="175" t="str">
        <f t="shared" si="653"/>
        <v>Sep</v>
      </c>
      <c r="P5686" s="265">
        <f t="shared" si="654"/>
        <v>39</v>
      </c>
    </row>
    <row r="5687" spans="1:16" ht="15" hidden="1" customHeight="1">
      <c r="A5687" s="489">
        <v>64806251</v>
      </c>
      <c r="B5687" s="489">
        <v>1712</v>
      </c>
      <c r="C5687" s="488">
        <v>2970</v>
      </c>
      <c r="D5687" s="597">
        <v>46314</v>
      </c>
      <c r="E5687" s="489" t="s">
        <v>572</v>
      </c>
      <c r="F5687" s="489" t="s">
        <v>1221</v>
      </c>
      <c r="G5687" s="395">
        <f>VLOOKUP($A5687,'Tech Litons'!$A:$I,8,FALSE)</f>
        <v>2.8799999999999997E-3</v>
      </c>
      <c r="H5687" s="174">
        <f>VLOOKUP($A5687,'Tech Litons'!$A:$I,9,FALSE)</f>
        <v>180</v>
      </c>
      <c r="I5687" s="174" t="str">
        <f>VLOOKUP($A5687,'Tech Litons'!$A:$C,3,0)</f>
        <v>B&amp;J Cups</v>
      </c>
      <c r="J5687" s="175" t="str">
        <f t="shared" si="649"/>
        <v>1712B&amp;J Cups</v>
      </c>
      <c r="K5687" s="176">
        <f>VLOOKUP(I5687,'Attain %'!A:B,2,0)</f>
        <v>0.96</v>
      </c>
      <c r="L5687" s="177">
        <f t="shared" si="650"/>
        <v>2851.2</v>
      </c>
      <c r="M5687" s="177">
        <f t="shared" si="651"/>
        <v>8.2114559999999983</v>
      </c>
      <c r="N5687" s="177">
        <f t="shared" si="652"/>
        <v>15.84</v>
      </c>
      <c r="O5687" s="175" t="str">
        <f t="shared" si="653"/>
        <v>Oct</v>
      </c>
      <c r="P5687" s="265">
        <f t="shared" si="654"/>
        <v>43</v>
      </c>
    </row>
    <row r="5688" spans="1:16" ht="15" hidden="1" customHeight="1">
      <c r="A5688" s="489">
        <v>64806251</v>
      </c>
      <c r="B5688" s="489">
        <v>1712</v>
      </c>
      <c r="C5688" s="488">
        <v>2970</v>
      </c>
      <c r="D5688" s="597">
        <v>46328</v>
      </c>
      <c r="E5688" s="489" t="s">
        <v>572</v>
      </c>
      <c r="F5688" s="489" t="s">
        <v>1221</v>
      </c>
      <c r="G5688" s="395">
        <f>VLOOKUP($A5688,'Tech Litons'!$A:$I,8,FALSE)</f>
        <v>2.8799999999999997E-3</v>
      </c>
      <c r="H5688" s="174">
        <f>VLOOKUP($A5688,'Tech Litons'!$A:$I,9,FALSE)</f>
        <v>180</v>
      </c>
      <c r="I5688" s="174" t="str">
        <f>VLOOKUP($A5688,'Tech Litons'!$A:$C,3,0)</f>
        <v>B&amp;J Cups</v>
      </c>
      <c r="J5688" s="175" t="str">
        <f t="shared" ref="J5688:J5751" si="655">B5688&amp;I5688</f>
        <v>1712B&amp;J Cups</v>
      </c>
      <c r="K5688" s="176">
        <f>VLOOKUP(I5688,'Attain %'!A:B,2,0)</f>
        <v>0.96</v>
      </c>
      <c r="L5688" s="177">
        <f t="shared" ref="L5688:L5751" si="656">C5688*$K5688</f>
        <v>2851.2</v>
      </c>
      <c r="M5688" s="177">
        <f t="shared" ref="M5688:M5751" si="657">L5688*G5688</f>
        <v>8.2114559999999983</v>
      </c>
      <c r="N5688" s="177">
        <f t="shared" ref="N5688:N5751" si="658">L5688/H5688</f>
        <v>15.84</v>
      </c>
      <c r="O5688" s="175" t="str">
        <f t="shared" ref="O5688:O5751" si="659">TEXT(D5688,"MMM")</f>
        <v>Nov</v>
      </c>
      <c r="P5688" s="265">
        <f t="shared" ref="P5688:P5751" si="660">WEEKNUM(D5688)</f>
        <v>45</v>
      </c>
    </row>
    <row r="5689" spans="1:16" ht="15" hidden="1" customHeight="1">
      <c r="A5689" s="489">
        <v>64806251</v>
      </c>
      <c r="B5689" s="489">
        <v>1712</v>
      </c>
      <c r="C5689" s="488">
        <v>2970</v>
      </c>
      <c r="D5689" s="597">
        <v>46349</v>
      </c>
      <c r="E5689" s="489" t="s">
        <v>572</v>
      </c>
      <c r="F5689" s="489" t="s">
        <v>1221</v>
      </c>
      <c r="G5689" s="395">
        <f>VLOOKUP($A5689,'Tech Litons'!$A:$I,8,FALSE)</f>
        <v>2.8799999999999997E-3</v>
      </c>
      <c r="H5689" s="174">
        <f>VLOOKUP($A5689,'Tech Litons'!$A:$I,9,FALSE)</f>
        <v>180</v>
      </c>
      <c r="I5689" s="174" t="str">
        <f>VLOOKUP($A5689,'Tech Litons'!$A:$C,3,0)</f>
        <v>B&amp;J Cups</v>
      </c>
      <c r="J5689" s="175" t="str">
        <f t="shared" si="655"/>
        <v>1712B&amp;J Cups</v>
      </c>
      <c r="K5689" s="176">
        <f>VLOOKUP(I5689,'Attain %'!A:B,2,0)</f>
        <v>0.96</v>
      </c>
      <c r="L5689" s="177">
        <f t="shared" si="656"/>
        <v>2851.2</v>
      </c>
      <c r="M5689" s="177">
        <f t="shared" si="657"/>
        <v>8.2114559999999983</v>
      </c>
      <c r="N5689" s="177">
        <f t="shared" si="658"/>
        <v>15.84</v>
      </c>
      <c r="O5689" s="175" t="str">
        <f t="shared" si="659"/>
        <v>Nov</v>
      </c>
      <c r="P5689" s="265">
        <f t="shared" si="660"/>
        <v>48</v>
      </c>
    </row>
    <row r="5690" spans="1:16" ht="15" hidden="1" customHeight="1">
      <c r="A5690" s="489">
        <v>64806251</v>
      </c>
      <c r="B5690" s="489">
        <v>1712</v>
      </c>
      <c r="C5690" s="488">
        <v>2970</v>
      </c>
      <c r="D5690" s="597">
        <v>46363</v>
      </c>
      <c r="E5690" s="489" t="s">
        <v>572</v>
      </c>
      <c r="F5690" s="489" t="s">
        <v>1221</v>
      </c>
      <c r="G5690" s="395">
        <f>VLOOKUP($A5690,'Tech Litons'!$A:$I,8,FALSE)</f>
        <v>2.8799999999999997E-3</v>
      </c>
      <c r="H5690" s="174">
        <f>VLOOKUP($A5690,'Tech Litons'!$A:$I,9,FALSE)</f>
        <v>180</v>
      </c>
      <c r="I5690" s="174" t="str">
        <f>VLOOKUP($A5690,'Tech Litons'!$A:$C,3,0)</f>
        <v>B&amp;J Cups</v>
      </c>
      <c r="J5690" s="175" t="str">
        <f t="shared" si="655"/>
        <v>1712B&amp;J Cups</v>
      </c>
      <c r="K5690" s="176">
        <f>VLOOKUP(I5690,'Attain %'!A:B,2,0)</f>
        <v>0.96</v>
      </c>
      <c r="L5690" s="177">
        <f t="shared" si="656"/>
        <v>2851.2</v>
      </c>
      <c r="M5690" s="177">
        <f t="shared" si="657"/>
        <v>8.2114559999999983</v>
      </c>
      <c r="N5690" s="177">
        <f t="shared" si="658"/>
        <v>15.84</v>
      </c>
      <c r="O5690" s="175" t="str">
        <f t="shared" si="659"/>
        <v>Dec</v>
      </c>
      <c r="P5690" s="265">
        <f t="shared" si="660"/>
        <v>50</v>
      </c>
    </row>
    <row r="5691" spans="1:16" ht="15" hidden="1" customHeight="1">
      <c r="A5691" s="489">
        <v>84137721</v>
      </c>
      <c r="B5691" s="489">
        <v>5914</v>
      </c>
      <c r="C5691" s="488">
        <v>2990</v>
      </c>
      <c r="D5691" s="597">
        <v>46104</v>
      </c>
      <c r="E5691" s="489" t="s">
        <v>475</v>
      </c>
      <c r="F5691" s="489" t="s">
        <v>1243</v>
      </c>
      <c r="G5691" s="395">
        <f>VLOOKUP($A5691,'Tech Litons'!$A:$I,8,FALSE)</f>
        <v>9.0848256361922702E-3</v>
      </c>
      <c r="H5691" s="174">
        <f>VLOOKUP($A5691,'Tech Litons'!$A:$I,9,FALSE)</f>
        <v>125</v>
      </c>
      <c r="I5691" s="174" t="str">
        <f>VLOOKUP($A5691,'Tech Litons'!$A:$C,3,0)</f>
        <v>2.4 Gal</v>
      </c>
      <c r="J5691" s="175" t="str">
        <f t="shared" si="655"/>
        <v>59142.4 Gal</v>
      </c>
      <c r="K5691" s="176">
        <f>VLOOKUP(I5691,'Attain %'!A:B,2,0)</f>
        <v>0.85</v>
      </c>
      <c r="L5691" s="177">
        <f t="shared" si="656"/>
        <v>2541.5</v>
      </c>
      <c r="M5691" s="177">
        <f t="shared" si="657"/>
        <v>23.089084354382656</v>
      </c>
      <c r="N5691" s="177">
        <f t="shared" si="658"/>
        <v>20.332000000000001</v>
      </c>
      <c r="O5691" s="175" t="str">
        <f t="shared" si="659"/>
        <v>Mar</v>
      </c>
      <c r="P5691" s="265">
        <f t="shared" si="660"/>
        <v>13</v>
      </c>
    </row>
    <row r="5692" spans="1:16" ht="15" hidden="1" customHeight="1">
      <c r="A5692" s="489">
        <v>68817795</v>
      </c>
      <c r="B5692" s="489">
        <v>1352</v>
      </c>
      <c r="C5692" s="488">
        <v>3000</v>
      </c>
      <c r="D5692" s="597">
        <v>46146</v>
      </c>
      <c r="E5692" s="489" t="s">
        <v>348</v>
      </c>
      <c r="F5692" s="489" t="s">
        <v>1207</v>
      </c>
      <c r="G5692" s="395">
        <f>VLOOKUP($A5692,'Tech Litons'!$A:$I,8,FALSE)</f>
        <v>8.5199999999999998E-3</v>
      </c>
      <c r="H5692" s="174">
        <f>VLOOKUP($A5692,'Tech Litons'!$A:$I,9,FALSE)</f>
        <v>154</v>
      </c>
      <c r="I5692" s="174" t="str">
        <f>VLOOKUP($A5692,'Tech Litons'!$A:$C,3,0)</f>
        <v>48oz</v>
      </c>
      <c r="J5692" s="175" t="str">
        <f t="shared" si="655"/>
        <v>135248oz</v>
      </c>
      <c r="K5692" s="176">
        <f>VLOOKUP(I5692,'Attain %'!A:B,2,0)</f>
        <v>0.94</v>
      </c>
      <c r="L5692" s="177">
        <f t="shared" si="656"/>
        <v>2820</v>
      </c>
      <c r="M5692" s="177">
        <f t="shared" si="657"/>
        <v>24.026399999999999</v>
      </c>
      <c r="N5692" s="177">
        <f t="shared" si="658"/>
        <v>18.311688311688311</v>
      </c>
      <c r="O5692" s="175" t="str">
        <f t="shared" si="659"/>
        <v>May</v>
      </c>
      <c r="P5692" s="265">
        <f t="shared" si="660"/>
        <v>19</v>
      </c>
    </row>
    <row r="5693" spans="1:16" ht="15" hidden="1" customHeight="1">
      <c r="A5693" s="489">
        <v>68817795</v>
      </c>
      <c r="B5693" s="489">
        <v>1352</v>
      </c>
      <c r="C5693" s="488">
        <v>3000</v>
      </c>
      <c r="D5693" s="597">
        <v>46167</v>
      </c>
      <c r="E5693" s="489" t="s">
        <v>348</v>
      </c>
      <c r="F5693" s="489" t="s">
        <v>1207</v>
      </c>
      <c r="G5693" s="395">
        <f>VLOOKUP($A5693,'Tech Litons'!$A:$I,8,FALSE)</f>
        <v>8.5199999999999998E-3</v>
      </c>
      <c r="H5693" s="174">
        <f>VLOOKUP($A5693,'Tech Litons'!$A:$I,9,FALSE)</f>
        <v>154</v>
      </c>
      <c r="I5693" s="174" t="str">
        <f>VLOOKUP($A5693,'Tech Litons'!$A:$C,3,0)</f>
        <v>48oz</v>
      </c>
      <c r="J5693" s="175" t="str">
        <f t="shared" si="655"/>
        <v>135248oz</v>
      </c>
      <c r="K5693" s="176">
        <f>VLOOKUP(I5693,'Attain %'!A:B,2,0)</f>
        <v>0.94</v>
      </c>
      <c r="L5693" s="177">
        <f t="shared" si="656"/>
        <v>2820</v>
      </c>
      <c r="M5693" s="177">
        <f t="shared" si="657"/>
        <v>24.026399999999999</v>
      </c>
      <c r="N5693" s="177">
        <f t="shared" si="658"/>
        <v>18.311688311688311</v>
      </c>
      <c r="O5693" s="175" t="str">
        <f t="shared" si="659"/>
        <v>May</v>
      </c>
      <c r="P5693" s="265">
        <f t="shared" si="660"/>
        <v>22</v>
      </c>
    </row>
    <row r="5694" spans="1:16" ht="15" hidden="1" customHeight="1">
      <c r="A5694" s="489">
        <v>64409314</v>
      </c>
      <c r="B5694" s="489" t="s">
        <v>128</v>
      </c>
      <c r="C5694" s="488">
        <v>3186</v>
      </c>
      <c r="D5694" s="597">
        <v>46139</v>
      </c>
      <c r="E5694" s="489" t="s">
        <v>624</v>
      </c>
      <c r="F5694" s="489" t="s">
        <v>1223</v>
      </c>
      <c r="G5694" s="395">
        <f>VLOOKUP($A5694,'Tech Litons'!$A:$I,8,FALSE)</f>
        <v>5.2800000000000004E-4</v>
      </c>
      <c r="H5694" s="174">
        <f>VLOOKUP($A5694,'Tech Litons'!$A:$I,9,FALSE)</f>
        <v>135</v>
      </c>
      <c r="I5694" s="174" t="str">
        <f>VLOOKUP($A5694,'Tech Litons'!$A:$C,3,0)</f>
        <v>Other</v>
      </c>
      <c r="J5694" s="175" t="str">
        <f t="shared" si="655"/>
        <v>TultitlanOther</v>
      </c>
      <c r="K5694" s="176">
        <f>VLOOKUP(I5694,'Attain %'!A:B,2,0)</f>
        <v>0.96</v>
      </c>
      <c r="L5694" s="177">
        <f t="shared" si="656"/>
        <v>3058.56</v>
      </c>
      <c r="M5694" s="177">
        <f t="shared" si="657"/>
        <v>1.6149196800000001</v>
      </c>
      <c r="N5694" s="177">
        <f t="shared" si="658"/>
        <v>22.655999999999999</v>
      </c>
      <c r="O5694" s="175" t="str">
        <f t="shared" si="659"/>
        <v>Apr</v>
      </c>
      <c r="P5694" s="265">
        <f t="shared" si="660"/>
        <v>18</v>
      </c>
    </row>
    <row r="5695" spans="1:16" ht="15" hidden="1" customHeight="1">
      <c r="A5695" s="489">
        <v>64409314</v>
      </c>
      <c r="B5695" s="489" t="s">
        <v>128</v>
      </c>
      <c r="C5695" s="488">
        <v>3186</v>
      </c>
      <c r="D5695" s="597">
        <v>46146</v>
      </c>
      <c r="E5695" s="489" t="s">
        <v>624</v>
      </c>
      <c r="F5695" s="489" t="s">
        <v>1223</v>
      </c>
      <c r="G5695" s="395">
        <f>VLOOKUP($A5695,'Tech Litons'!$A:$I,8,FALSE)</f>
        <v>5.2800000000000004E-4</v>
      </c>
      <c r="H5695" s="174">
        <f>VLOOKUP($A5695,'Tech Litons'!$A:$I,9,FALSE)</f>
        <v>135</v>
      </c>
      <c r="I5695" s="174" t="str">
        <f>VLOOKUP($A5695,'Tech Litons'!$A:$C,3,0)</f>
        <v>Other</v>
      </c>
      <c r="J5695" s="175" t="str">
        <f t="shared" si="655"/>
        <v>TultitlanOther</v>
      </c>
      <c r="K5695" s="176">
        <f>VLOOKUP(I5695,'Attain %'!A:B,2,0)</f>
        <v>0.96</v>
      </c>
      <c r="L5695" s="177">
        <f t="shared" si="656"/>
        <v>3058.56</v>
      </c>
      <c r="M5695" s="177">
        <f t="shared" si="657"/>
        <v>1.6149196800000001</v>
      </c>
      <c r="N5695" s="177">
        <f t="shared" si="658"/>
        <v>22.655999999999999</v>
      </c>
      <c r="O5695" s="175" t="str">
        <f t="shared" si="659"/>
        <v>May</v>
      </c>
      <c r="P5695" s="265">
        <f t="shared" si="660"/>
        <v>19</v>
      </c>
    </row>
    <row r="5696" spans="1:16" ht="15" hidden="1" customHeight="1">
      <c r="A5696" s="489">
        <v>64409314</v>
      </c>
      <c r="B5696" s="489" t="s">
        <v>128</v>
      </c>
      <c r="C5696" s="488">
        <v>3186</v>
      </c>
      <c r="D5696" s="597">
        <v>46153</v>
      </c>
      <c r="E5696" s="489" t="s">
        <v>624</v>
      </c>
      <c r="F5696" s="489" t="s">
        <v>1223</v>
      </c>
      <c r="G5696" s="395">
        <f>VLOOKUP($A5696,'Tech Litons'!$A:$I,8,FALSE)</f>
        <v>5.2800000000000004E-4</v>
      </c>
      <c r="H5696" s="174">
        <f>VLOOKUP($A5696,'Tech Litons'!$A:$I,9,FALSE)</f>
        <v>135</v>
      </c>
      <c r="I5696" s="174" t="str">
        <f>VLOOKUP($A5696,'Tech Litons'!$A:$C,3,0)</f>
        <v>Other</v>
      </c>
      <c r="J5696" s="175" t="str">
        <f t="shared" si="655"/>
        <v>TultitlanOther</v>
      </c>
      <c r="K5696" s="176">
        <f>VLOOKUP(I5696,'Attain %'!A:B,2,0)</f>
        <v>0.96</v>
      </c>
      <c r="L5696" s="177">
        <f t="shared" si="656"/>
        <v>3058.56</v>
      </c>
      <c r="M5696" s="177">
        <f t="shared" si="657"/>
        <v>1.6149196800000001</v>
      </c>
      <c r="N5696" s="177">
        <f t="shared" si="658"/>
        <v>22.655999999999999</v>
      </c>
      <c r="O5696" s="175" t="str">
        <f t="shared" si="659"/>
        <v>May</v>
      </c>
      <c r="P5696" s="265">
        <f t="shared" si="660"/>
        <v>20</v>
      </c>
    </row>
    <row r="5697" spans="1:16" ht="15" hidden="1" customHeight="1">
      <c r="A5697" s="489">
        <v>64409314</v>
      </c>
      <c r="B5697" s="489" t="s">
        <v>128</v>
      </c>
      <c r="C5697" s="488">
        <v>3186</v>
      </c>
      <c r="D5697" s="597">
        <v>46160</v>
      </c>
      <c r="E5697" s="489" t="s">
        <v>624</v>
      </c>
      <c r="F5697" s="489" t="s">
        <v>1223</v>
      </c>
      <c r="G5697" s="395">
        <f>VLOOKUP($A5697,'Tech Litons'!$A:$I,8,FALSE)</f>
        <v>5.2800000000000004E-4</v>
      </c>
      <c r="H5697" s="174">
        <f>VLOOKUP($A5697,'Tech Litons'!$A:$I,9,FALSE)</f>
        <v>135</v>
      </c>
      <c r="I5697" s="174" t="str">
        <f>VLOOKUP($A5697,'Tech Litons'!$A:$C,3,0)</f>
        <v>Other</v>
      </c>
      <c r="J5697" s="175" t="str">
        <f t="shared" si="655"/>
        <v>TultitlanOther</v>
      </c>
      <c r="K5697" s="176">
        <f>VLOOKUP(I5697,'Attain %'!A:B,2,0)</f>
        <v>0.96</v>
      </c>
      <c r="L5697" s="177">
        <f t="shared" si="656"/>
        <v>3058.56</v>
      </c>
      <c r="M5697" s="177">
        <f t="shared" si="657"/>
        <v>1.6149196800000001</v>
      </c>
      <c r="N5697" s="177">
        <f t="shared" si="658"/>
        <v>22.655999999999999</v>
      </c>
      <c r="O5697" s="175" t="str">
        <f t="shared" si="659"/>
        <v>May</v>
      </c>
      <c r="P5697" s="265">
        <f t="shared" si="660"/>
        <v>21</v>
      </c>
    </row>
    <row r="5698" spans="1:16" ht="15" hidden="1" customHeight="1">
      <c r="A5698" s="489">
        <v>69665114</v>
      </c>
      <c r="B5698" s="489" t="s">
        <v>118</v>
      </c>
      <c r="C5698" s="488">
        <v>3250</v>
      </c>
      <c r="D5698" s="597">
        <v>46181</v>
      </c>
      <c r="E5698" s="489" t="s">
        <v>898</v>
      </c>
      <c r="F5698" s="489" t="s">
        <v>1223</v>
      </c>
      <c r="G5698" s="395">
        <f>VLOOKUP($A5698,'Tech Litons'!$A:$I,8,FALSE)</f>
        <v>1.8160000000000001E-3</v>
      </c>
      <c r="H5698" s="174">
        <f>VLOOKUP($A5698,'Tech Litons'!$A:$I,9,FALSE)</f>
        <v>256</v>
      </c>
      <c r="I5698" s="174" t="str">
        <f>VLOOKUP($A5698,'Tech Litons'!$A:$C,3,0)</f>
        <v>Dough Bites</v>
      </c>
      <c r="J5698" s="175" t="str">
        <f t="shared" si="655"/>
        <v>RhinoDough Bites</v>
      </c>
      <c r="K5698" s="176">
        <f>VLOOKUP(I5698,'Attain %'!A:B,2,0)</f>
        <v>0.96</v>
      </c>
      <c r="L5698" s="177">
        <f t="shared" si="656"/>
        <v>3120</v>
      </c>
      <c r="M5698" s="177">
        <f t="shared" si="657"/>
        <v>5.6659200000000007</v>
      </c>
      <c r="N5698" s="177">
        <f t="shared" si="658"/>
        <v>12.1875</v>
      </c>
      <c r="O5698" s="175" t="str">
        <f t="shared" si="659"/>
        <v>Jun</v>
      </c>
      <c r="P5698" s="265">
        <f t="shared" si="660"/>
        <v>24</v>
      </c>
    </row>
    <row r="5699" spans="1:16" ht="15" hidden="1" customHeight="1">
      <c r="A5699" s="489">
        <v>64409312</v>
      </c>
      <c r="B5699" s="489" t="s">
        <v>128</v>
      </c>
      <c r="C5699" s="488">
        <v>3313</v>
      </c>
      <c r="D5699" s="597">
        <v>46125</v>
      </c>
      <c r="E5699" s="489" t="s">
        <v>623</v>
      </c>
      <c r="F5699" s="489" t="s">
        <v>1223</v>
      </c>
      <c r="G5699" s="395">
        <f>VLOOKUP($A5699,'Tech Litons'!$A:$I,8,FALSE)</f>
        <v>5.2000000000000006E-4</v>
      </c>
      <c r="H5699" s="174">
        <f>VLOOKUP($A5699,'Tech Litons'!$A:$I,9,FALSE)</f>
        <v>135</v>
      </c>
      <c r="I5699" s="174" t="str">
        <f>VLOOKUP($A5699,'Tech Litons'!$A:$C,3,0)</f>
        <v>Other</v>
      </c>
      <c r="J5699" s="175" t="str">
        <f t="shared" si="655"/>
        <v>TultitlanOther</v>
      </c>
      <c r="K5699" s="176">
        <f>VLOOKUP(I5699,'Attain %'!A:B,2,0)</f>
        <v>0.96</v>
      </c>
      <c r="L5699" s="177">
        <f t="shared" si="656"/>
        <v>3180.48</v>
      </c>
      <c r="M5699" s="177">
        <f t="shared" si="657"/>
        <v>1.6538496000000003</v>
      </c>
      <c r="N5699" s="177">
        <f t="shared" si="658"/>
        <v>23.559111111111111</v>
      </c>
      <c r="O5699" s="175" t="str">
        <f t="shared" si="659"/>
        <v>Apr</v>
      </c>
      <c r="P5699" s="265">
        <f t="shared" si="660"/>
        <v>16</v>
      </c>
    </row>
    <row r="5700" spans="1:16" ht="15" hidden="1" customHeight="1">
      <c r="A5700" s="489">
        <v>64409312</v>
      </c>
      <c r="B5700" s="489" t="s">
        <v>128</v>
      </c>
      <c r="C5700" s="488">
        <v>3313</v>
      </c>
      <c r="D5700" s="597">
        <v>46132</v>
      </c>
      <c r="E5700" s="489" t="s">
        <v>623</v>
      </c>
      <c r="F5700" s="489" t="s">
        <v>1223</v>
      </c>
      <c r="G5700" s="395">
        <f>VLOOKUP($A5700,'Tech Litons'!$A:$I,8,FALSE)</f>
        <v>5.2000000000000006E-4</v>
      </c>
      <c r="H5700" s="174">
        <f>VLOOKUP($A5700,'Tech Litons'!$A:$I,9,FALSE)</f>
        <v>135</v>
      </c>
      <c r="I5700" s="174" t="str">
        <f>VLOOKUP($A5700,'Tech Litons'!$A:$C,3,0)</f>
        <v>Other</v>
      </c>
      <c r="J5700" s="175" t="str">
        <f t="shared" si="655"/>
        <v>TultitlanOther</v>
      </c>
      <c r="K5700" s="176">
        <f>VLOOKUP(I5700,'Attain %'!A:B,2,0)</f>
        <v>0.96</v>
      </c>
      <c r="L5700" s="177">
        <f t="shared" si="656"/>
        <v>3180.48</v>
      </c>
      <c r="M5700" s="177">
        <f t="shared" si="657"/>
        <v>1.6538496000000003</v>
      </c>
      <c r="N5700" s="177">
        <f t="shared" si="658"/>
        <v>23.559111111111111</v>
      </c>
      <c r="O5700" s="175" t="str">
        <f t="shared" si="659"/>
        <v>Apr</v>
      </c>
      <c r="P5700" s="265">
        <f t="shared" si="660"/>
        <v>17</v>
      </c>
    </row>
    <row r="5701" spans="1:16" ht="15" hidden="1" customHeight="1">
      <c r="A5701" s="489">
        <v>64409312</v>
      </c>
      <c r="B5701" s="489" t="s">
        <v>128</v>
      </c>
      <c r="C5701" s="488">
        <v>3313</v>
      </c>
      <c r="D5701" s="597">
        <v>46139</v>
      </c>
      <c r="E5701" s="489" t="s">
        <v>623</v>
      </c>
      <c r="F5701" s="489" t="s">
        <v>1223</v>
      </c>
      <c r="G5701" s="395">
        <f>VLOOKUP($A5701,'Tech Litons'!$A:$I,8,FALSE)</f>
        <v>5.2000000000000006E-4</v>
      </c>
      <c r="H5701" s="174">
        <f>VLOOKUP($A5701,'Tech Litons'!$A:$I,9,FALSE)</f>
        <v>135</v>
      </c>
      <c r="I5701" s="174" t="str">
        <f>VLOOKUP($A5701,'Tech Litons'!$A:$C,3,0)</f>
        <v>Other</v>
      </c>
      <c r="J5701" s="175" t="str">
        <f t="shared" si="655"/>
        <v>TultitlanOther</v>
      </c>
      <c r="K5701" s="176">
        <f>VLOOKUP(I5701,'Attain %'!A:B,2,0)</f>
        <v>0.96</v>
      </c>
      <c r="L5701" s="177">
        <f t="shared" si="656"/>
        <v>3180.48</v>
      </c>
      <c r="M5701" s="177">
        <f t="shared" si="657"/>
        <v>1.6538496000000003</v>
      </c>
      <c r="N5701" s="177">
        <f t="shared" si="658"/>
        <v>23.559111111111111</v>
      </c>
      <c r="O5701" s="175" t="str">
        <f t="shared" si="659"/>
        <v>Apr</v>
      </c>
      <c r="P5701" s="265">
        <f t="shared" si="660"/>
        <v>18</v>
      </c>
    </row>
    <row r="5702" spans="1:16" ht="15" hidden="1" customHeight="1">
      <c r="A5702" s="489">
        <v>64409312</v>
      </c>
      <c r="B5702" s="489" t="s">
        <v>128</v>
      </c>
      <c r="C5702" s="488">
        <v>3313</v>
      </c>
      <c r="D5702" s="597">
        <v>46146</v>
      </c>
      <c r="E5702" s="489" t="s">
        <v>623</v>
      </c>
      <c r="F5702" s="489" t="s">
        <v>1223</v>
      </c>
      <c r="G5702" s="395">
        <f>VLOOKUP($A5702,'Tech Litons'!$A:$I,8,FALSE)</f>
        <v>5.2000000000000006E-4</v>
      </c>
      <c r="H5702" s="174">
        <f>VLOOKUP($A5702,'Tech Litons'!$A:$I,9,FALSE)</f>
        <v>135</v>
      </c>
      <c r="I5702" s="174" t="str">
        <f>VLOOKUP($A5702,'Tech Litons'!$A:$C,3,0)</f>
        <v>Other</v>
      </c>
      <c r="J5702" s="175" t="str">
        <f t="shared" si="655"/>
        <v>TultitlanOther</v>
      </c>
      <c r="K5702" s="176">
        <f>VLOOKUP(I5702,'Attain %'!A:B,2,0)</f>
        <v>0.96</v>
      </c>
      <c r="L5702" s="177">
        <f t="shared" si="656"/>
        <v>3180.48</v>
      </c>
      <c r="M5702" s="177">
        <f t="shared" si="657"/>
        <v>1.6538496000000003</v>
      </c>
      <c r="N5702" s="177">
        <f t="shared" si="658"/>
        <v>23.559111111111111</v>
      </c>
      <c r="O5702" s="175" t="str">
        <f t="shared" si="659"/>
        <v>May</v>
      </c>
      <c r="P5702" s="265">
        <f t="shared" si="660"/>
        <v>19</v>
      </c>
    </row>
    <row r="5703" spans="1:16" ht="15" hidden="1" customHeight="1">
      <c r="A5703" s="489">
        <v>64409314</v>
      </c>
      <c r="B5703" s="489" t="s">
        <v>128</v>
      </c>
      <c r="C5703" s="488">
        <v>3387</v>
      </c>
      <c r="D5703" s="597">
        <v>46104</v>
      </c>
      <c r="E5703" s="489" t="s">
        <v>624</v>
      </c>
      <c r="F5703" s="489" t="s">
        <v>1223</v>
      </c>
      <c r="G5703" s="395">
        <f>VLOOKUP($A5703,'Tech Litons'!$A:$I,8,FALSE)</f>
        <v>5.2800000000000004E-4</v>
      </c>
      <c r="H5703" s="174">
        <f>VLOOKUP($A5703,'Tech Litons'!$A:$I,9,FALSE)</f>
        <v>135</v>
      </c>
      <c r="I5703" s="174" t="str">
        <f>VLOOKUP($A5703,'Tech Litons'!$A:$C,3,0)</f>
        <v>Other</v>
      </c>
      <c r="J5703" s="175" t="str">
        <f t="shared" si="655"/>
        <v>TultitlanOther</v>
      </c>
      <c r="K5703" s="176">
        <f>VLOOKUP(I5703,'Attain %'!A:B,2,0)</f>
        <v>0.96</v>
      </c>
      <c r="L5703" s="177">
        <f t="shared" si="656"/>
        <v>3251.52</v>
      </c>
      <c r="M5703" s="177">
        <f t="shared" si="657"/>
        <v>1.7168025600000001</v>
      </c>
      <c r="N5703" s="177">
        <f t="shared" si="658"/>
        <v>24.085333333333335</v>
      </c>
      <c r="O5703" s="175" t="str">
        <f t="shared" si="659"/>
        <v>Mar</v>
      </c>
      <c r="P5703" s="265">
        <f t="shared" si="660"/>
        <v>13</v>
      </c>
    </row>
    <row r="5704" spans="1:16" ht="15" hidden="1" customHeight="1">
      <c r="A5704" s="489">
        <v>64958862</v>
      </c>
      <c r="B5704" s="489" t="s">
        <v>133</v>
      </c>
      <c r="C5704" s="488">
        <v>3400</v>
      </c>
      <c r="D5704" s="597">
        <v>46097</v>
      </c>
      <c r="E5704" s="489" t="s">
        <v>1290</v>
      </c>
      <c r="F5704" s="489" t="s">
        <v>1223</v>
      </c>
      <c r="G5704" s="395">
        <f>VLOOKUP($A5704,'Tech Litons'!$A:$I,8,FALSE)</f>
        <v>3.516E-3</v>
      </c>
      <c r="H5704" s="174">
        <f>VLOOKUP($A5704,'Tech Litons'!$A:$I,9,FALSE)</f>
        <v>170</v>
      </c>
      <c r="I5704" s="174" t="str">
        <f>VLOOKUP($A5704,'Tech Litons'!$A:$C,3,0)</f>
        <v>Other</v>
      </c>
      <c r="J5704" s="175" t="str">
        <f t="shared" si="655"/>
        <v>GDIOther</v>
      </c>
      <c r="K5704" s="176">
        <f>VLOOKUP(I5704,'Attain %'!A:B,2,0)</f>
        <v>0.96</v>
      </c>
      <c r="L5704" s="177">
        <f t="shared" si="656"/>
        <v>3264</v>
      </c>
      <c r="M5704" s="177">
        <f t="shared" si="657"/>
        <v>11.476224</v>
      </c>
      <c r="N5704" s="177">
        <f t="shared" si="658"/>
        <v>19.2</v>
      </c>
      <c r="O5704" s="175" t="str">
        <f t="shared" si="659"/>
        <v>Mar</v>
      </c>
      <c r="P5704" s="265">
        <f t="shared" si="660"/>
        <v>12</v>
      </c>
    </row>
    <row r="5705" spans="1:16" ht="15" hidden="1" customHeight="1">
      <c r="A5705" s="489">
        <v>64958862</v>
      </c>
      <c r="B5705" s="489" t="s">
        <v>133</v>
      </c>
      <c r="C5705" s="488">
        <v>3400</v>
      </c>
      <c r="D5705" s="597">
        <v>46104</v>
      </c>
      <c r="E5705" s="489" t="s">
        <v>1290</v>
      </c>
      <c r="F5705" s="489" t="s">
        <v>1223</v>
      </c>
      <c r="G5705" s="395">
        <f>VLOOKUP($A5705,'Tech Litons'!$A:$I,8,FALSE)</f>
        <v>3.516E-3</v>
      </c>
      <c r="H5705" s="174">
        <f>VLOOKUP($A5705,'Tech Litons'!$A:$I,9,FALSE)</f>
        <v>170</v>
      </c>
      <c r="I5705" s="174" t="str">
        <f>VLOOKUP($A5705,'Tech Litons'!$A:$C,3,0)</f>
        <v>Other</v>
      </c>
      <c r="J5705" s="175" t="str">
        <f t="shared" si="655"/>
        <v>GDIOther</v>
      </c>
      <c r="K5705" s="176">
        <f>VLOOKUP(I5705,'Attain %'!A:B,2,0)</f>
        <v>0.96</v>
      </c>
      <c r="L5705" s="177">
        <f t="shared" si="656"/>
        <v>3264</v>
      </c>
      <c r="M5705" s="177">
        <f t="shared" si="657"/>
        <v>11.476224</v>
      </c>
      <c r="N5705" s="177">
        <f t="shared" si="658"/>
        <v>19.2</v>
      </c>
      <c r="O5705" s="175" t="str">
        <f t="shared" si="659"/>
        <v>Mar</v>
      </c>
      <c r="P5705" s="265">
        <f t="shared" si="660"/>
        <v>13</v>
      </c>
    </row>
    <row r="5706" spans="1:16" ht="15" hidden="1" customHeight="1">
      <c r="A5706" s="489">
        <v>64958862</v>
      </c>
      <c r="B5706" s="489" t="s">
        <v>133</v>
      </c>
      <c r="C5706" s="488">
        <v>3400</v>
      </c>
      <c r="D5706" s="597">
        <v>46111</v>
      </c>
      <c r="E5706" s="489" t="s">
        <v>1290</v>
      </c>
      <c r="F5706" s="489" t="s">
        <v>1223</v>
      </c>
      <c r="G5706" s="395">
        <f>VLOOKUP($A5706,'Tech Litons'!$A:$I,8,FALSE)</f>
        <v>3.516E-3</v>
      </c>
      <c r="H5706" s="174">
        <f>VLOOKUP($A5706,'Tech Litons'!$A:$I,9,FALSE)</f>
        <v>170</v>
      </c>
      <c r="I5706" s="174" t="str">
        <f>VLOOKUP($A5706,'Tech Litons'!$A:$C,3,0)</f>
        <v>Other</v>
      </c>
      <c r="J5706" s="175" t="str">
        <f t="shared" si="655"/>
        <v>GDIOther</v>
      </c>
      <c r="K5706" s="176">
        <f>VLOOKUP(I5706,'Attain %'!A:B,2,0)</f>
        <v>0.96</v>
      </c>
      <c r="L5706" s="177">
        <f t="shared" si="656"/>
        <v>3264</v>
      </c>
      <c r="M5706" s="177">
        <f t="shared" si="657"/>
        <v>11.476224</v>
      </c>
      <c r="N5706" s="177">
        <f t="shared" si="658"/>
        <v>19.2</v>
      </c>
      <c r="O5706" s="175" t="str">
        <f t="shared" si="659"/>
        <v>Mar</v>
      </c>
      <c r="P5706" s="265">
        <f t="shared" si="660"/>
        <v>14</v>
      </c>
    </row>
    <row r="5707" spans="1:16" ht="15" hidden="1" customHeight="1">
      <c r="A5707" s="489">
        <v>64960643</v>
      </c>
      <c r="B5707" s="489" t="s">
        <v>133</v>
      </c>
      <c r="C5707" s="488">
        <v>3400</v>
      </c>
      <c r="D5707" s="597">
        <v>46097</v>
      </c>
      <c r="E5707" s="489" t="s">
        <v>1289</v>
      </c>
      <c r="F5707" s="489" t="s">
        <v>1223</v>
      </c>
      <c r="G5707" s="395">
        <f>VLOOKUP($A5707,'Tech Litons'!$A:$I,8,FALSE)</f>
        <v>3.516E-3</v>
      </c>
      <c r="H5707" s="174">
        <f>VLOOKUP($A5707,'Tech Litons'!$A:$I,9,FALSE)</f>
        <v>170</v>
      </c>
      <c r="I5707" s="174" t="str">
        <f>VLOOKUP($A5707,'Tech Litons'!$A:$C,3,0)</f>
        <v>Other</v>
      </c>
      <c r="J5707" s="175" t="str">
        <f t="shared" si="655"/>
        <v>GDIOther</v>
      </c>
      <c r="K5707" s="176">
        <f>VLOOKUP(I5707,'Attain %'!A:B,2,0)</f>
        <v>0.96</v>
      </c>
      <c r="L5707" s="177">
        <f t="shared" si="656"/>
        <v>3264</v>
      </c>
      <c r="M5707" s="177">
        <f t="shared" si="657"/>
        <v>11.476224</v>
      </c>
      <c r="N5707" s="177">
        <f t="shared" si="658"/>
        <v>19.2</v>
      </c>
      <c r="O5707" s="175" t="str">
        <f t="shared" si="659"/>
        <v>Mar</v>
      </c>
      <c r="P5707" s="265">
        <f t="shared" si="660"/>
        <v>12</v>
      </c>
    </row>
    <row r="5708" spans="1:16" ht="15" hidden="1" customHeight="1">
      <c r="A5708" s="489">
        <v>64960643</v>
      </c>
      <c r="B5708" s="489" t="s">
        <v>133</v>
      </c>
      <c r="C5708" s="488">
        <v>3400</v>
      </c>
      <c r="D5708" s="597">
        <v>46111</v>
      </c>
      <c r="E5708" s="489" t="s">
        <v>1289</v>
      </c>
      <c r="F5708" s="489" t="s">
        <v>1223</v>
      </c>
      <c r="G5708" s="395">
        <f>VLOOKUP($A5708,'Tech Litons'!$A:$I,8,FALSE)</f>
        <v>3.516E-3</v>
      </c>
      <c r="H5708" s="174">
        <f>VLOOKUP($A5708,'Tech Litons'!$A:$I,9,FALSE)</f>
        <v>170</v>
      </c>
      <c r="I5708" s="174" t="str">
        <f>VLOOKUP($A5708,'Tech Litons'!$A:$C,3,0)</f>
        <v>Other</v>
      </c>
      <c r="J5708" s="175" t="str">
        <f t="shared" si="655"/>
        <v>GDIOther</v>
      </c>
      <c r="K5708" s="176">
        <f>VLOOKUP(I5708,'Attain %'!A:B,2,0)</f>
        <v>0.96</v>
      </c>
      <c r="L5708" s="177">
        <f t="shared" si="656"/>
        <v>3264</v>
      </c>
      <c r="M5708" s="177">
        <f t="shared" si="657"/>
        <v>11.476224</v>
      </c>
      <c r="N5708" s="177">
        <f t="shared" si="658"/>
        <v>19.2</v>
      </c>
      <c r="O5708" s="175" t="str">
        <f t="shared" si="659"/>
        <v>Mar</v>
      </c>
      <c r="P5708" s="265">
        <f t="shared" si="660"/>
        <v>14</v>
      </c>
    </row>
    <row r="5709" spans="1:16" ht="15" hidden="1" customHeight="1">
      <c r="A5709" s="489">
        <v>64960643</v>
      </c>
      <c r="B5709" s="489" t="s">
        <v>133</v>
      </c>
      <c r="C5709" s="488">
        <v>3400</v>
      </c>
      <c r="D5709" s="597">
        <v>46118</v>
      </c>
      <c r="E5709" s="489" t="s">
        <v>1289</v>
      </c>
      <c r="F5709" s="489" t="s">
        <v>1223</v>
      </c>
      <c r="G5709" s="395">
        <f>VLOOKUP($A5709,'Tech Litons'!$A:$I,8,FALSE)</f>
        <v>3.516E-3</v>
      </c>
      <c r="H5709" s="174">
        <f>VLOOKUP($A5709,'Tech Litons'!$A:$I,9,FALSE)</f>
        <v>170</v>
      </c>
      <c r="I5709" s="174" t="str">
        <f>VLOOKUP($A5709,'Tech Litons'!$A:$C,3,0)</f>
        <v>Other</v>
      </c>
      <c r="J5709" s="175" t="str">
        <f t="shared" si="655"/>
        <v>GDIOther</v>
      </c>
      <c r="K5709" s="176">
        <f>VLOOKUP(I5709,'Attain %'!A:B,2,0)</f>
        <v>0.96</v>
      </c>
      <c r="L5709" s="177">
        <f t="shared" si="656"/>
        <v>3264</v>
      </c>
      <c r="M5709" s="177">
        <f t="shared" si="657"/>
        <v>11.476224</v>
      </c>
      <c r="N5709" s="177">
        <f t="shared" si="658"/>
        <v>19.2</v>
      </c>
      <c r="O5709" s="175" t="str">
        <f t="shared" si="659"/>
        <v>Apr</v>
      </c>
      <c r="P5709" s="265">
        <f t="shared" si="660"/>
        <v>15</v>
      </c>
    </row>
    <row r="5710" spans="1:16" ht="15" hidden="1" customHeight="1">
      <c r="A5710" s="489">
        <v>69653140</v>
      </c>
      <c r="B5710" s="489">
        <v>6706</v>
      </c>
      <c r="C5710" s="488">
        <v>3555</v>
      </c>
      <c r="D5710" s="597">
        <v>46125</v>
      </c>
      <c r="E5710" s="489" t="s">
        <v>608</v>
      </c>
      <c r="F5710" s="489" t="s">
        <v>1221</v>
      </c>
      <c r="G5710" s="395">
        <f>VLOOKUP($A5710,'Tech Litons'!$A:$I,8,FALSE)</f>
        <v>5.3220000000000003E-3</v>
      </c>
      <c r="H5710" s="174">
        <f>VLOOKUP($A5710,'Tech Litons'!$A:$I,9,FALSE)</f>
        <v>120</v>
      </c>
      <c r="I5710" s="174" t="str">
        <f>VLOOKUP($A5710,'Tech Litons'!$A:$C,3,0)</f>
        <v>BR Minicups</v>
      </c>
      <c r="J5710" s="175" t="str">
        <f t="shared" si="655"/>
        <v>6706BR Minicups</v>
      </c>
      <c r="K5710" s="176">
        <f>VLOOKUP(I5710,'Attain %'!A:B,2,0)</f>
        <v>0.96</v>
      </c>
      <c r="L5710" s="177">
        <f t="shared" si="656"/>
        <v>3412.7999999999997</v>
      </c>
      <c r="M5710" s="177">
        <f t="shared" si="657"/>
        <v>18.162921600000001</v>
      </c>
      <c r="N5710" s="177">
        <f t="shared" si="658"/>
        <v>28.439999999999998</v>
      </c>
      <c r="O5710" s="175" t="str">
        <f t="shared" si="659"/>
        <v>Apr</v>
      </c>
      <c r="P5710" s="265">
        <f t="shared" si="660"/>
        <v>16</v>
      </c>
    </row>
    <row r="5711" spans="1:16" ht="15" hidden="1" customHeight="1">
      <c r="A5711" s="489">
        <v>64409314</v>
      </c>
      <c r="B5711" s="489" t="s">
        <v>128</v>
      </c>
      <c r="C5711" s="488">
        <v>3597</v>
      </c>
      <c r="D5711" s="597">
        <v>46111</v>
      </c>
      <c r="E5711" s="489" t="s">
        <v>624</v>
      </c>
      <c r="F5711" s="489" t="s">
        <v>1223</v>
      </c>
      <c r="G5711" s="395">
        <f>VLOOKUP($A5711,'Tech Litons'!$A:$I,8,FALSE)</f>
        <v>5.2800000000000004E-4</v>
      </c>
      <c r="H5711" s="174">
        <f>VLOOKUP($A5711,'Tech Litons'!$A:$I,9,FALSE)</f>
        <v>135</v>
      </c>
      <c r="I5711" s="174" t="str">
        <f>VLOOKUP($A5711,'Tech Litons'!$A:$C,3,0)</f>
        <v>Other</v>
      </c>
      <c r="J5711" s="175" t="str">
        <f t="shared" si="655"/>
        <v>TultitlanOther</v>
      </c>
      <c r="K5711" s="176">
        <f>VLOOKUP(I5711,'Attain %'!A:B,2,0)</f>
        <v>0.96</v>
      </c>
      <c r="L5711" s="177">
        <f t="shared" si="656"/>
        <v>3453.12</v>
      </c>
      <c r="M5711" s="177">
        <f t="shared" si="657"/>
        <v>1.8232473600000001</v>
      </c>
      <c r="N5711" s="177">
        <f t="shared" si="658"/>
        <v>25.578666666666667</v>
      </c>
      <c r="O5711" s="175" t="str">
        <f t="shared" si="659"/>
        <v>Mar</v>
      </c>
      <c r="P5711" s="265">
        <f t="shared" si="660"/>
        <v>14</v>
      </c>
    </row>
    <row r="5712" spans="1:16" ht="15" hidden="1" customHeight="1">
      <c r="A5712" s="489">
        <v>64409314</v>
      </c>
      <c r="B5712" s="489" t="s">
        <v>128</v>
      </c>
      <c r="C5712" s="488">
        <v>3597</v>
      </c>
      <c r="D5712" s="597">
        <v>46118</v>
      </c>
      <c r="E5712" s="489" t="s">
        <v>624</v>
      </c>
      <c r="F5712" s="489" t="s">
        <v>1223</v>
      </c>
      <c r="G5712" s="395">
        <f>VLOOKUP($A5712,'Tech Litons'!$A:$I,8,FALSE)</f>
        <v>5.2800000000000004E-4</v>
      </c>
      <c r="H5712" s="174">
        <f>VLOOKUP($A5712,'Tech Litons'!$A:$I,9,FALSE)</f>
        <v>135</v>
      </c>
      <c r="I5712" s="174" t="str">
        <f>VLOOKUP($A5712,'Tech Litons'!$A:$C,3,0)</f>
        <v>Other</v>
      </c>
      <c r="J5712" s="175" t="str">
        <f t="shared" si="655"/>
        <v>TultitlanOther</v>
      </c>
      <c r="K5712" s="176">
        <f>VLOOKUP(I5712,'Attain %'!A:B,2,0)</f>
        <v>0.96</v>
      </c>
      <c r="L5712" s="177">
        <f t="shared" si="656"/>
        <v>3453.12</v>
      </c>
      <c r="M5712" s="177">
        <f t="shared" si="657"/>
        <v>1.8232473600000001</v>
      </c>
      <c r="N5712" s="177">
        <f t="shared" si="658"/>
        <v>25.578666666666667</v>
      </c>
      <c r="O5712" s="175" t="str">
        <f t="shared" si="659"/>
        <v>Apr</v>
      </c>
      <c r="P5712" s="265">
        <f t="shared" si="660"/>
        <v>15</v>
      </c>
    </row>
    <row r="5713" spans="1:16" ht="15" hidden="1" customHeight="1">
      <c r="A5713" s="489">
        <v>64388736</v>
      </c>
      <c r="B5713" s="489">
        <v>1713</v>
      </c>
      <c r="C5713" s="488">
        <v>3600</v>
      </c>
      <c r="D5713" s="597">
        <v>46125</v>
      </c>
      <c r="E5713" s="489" t="s">
        <v>580</v>
      </c>
      <c r="F5713" s="489" t="s">
        <v>1221</v>
      </c>
      <c r="G5713" s="395">
        <f>VLOOKUP($A5713,'Tech Litons'!$A:$I,8,FALSE)</f>
        <v>2.0200000000000001E-3</v>
      </c>
      <c r="H5713" s="174">
        <f>VLOOKUP($A5713,'Tech Litons'!$A:$I,9,FALSE)</f>
        <v>200</v>
      </c>
      <c r="I5713" s="174" t="str">
        <f>VLOOKUP($A5713,'Tech Litons'!$A:$C,3,0)</f>
        <v>Yasso Poppables</v>
      </c>
      <c r="J5713" s="175" t="str">
        <f t="shared" si="655"/>
        <v>1713Yasso Poppables</v>
      </c>
      <c r="K5713" s="176">
        <f>VLOOKUP(I5713,'Attain %'!A:B,2,0)</f>
        <v>0.96</v>
      </c>
      <c r="L5713" s="177">
        <f t="shared" si="656"/>
        <v>3456</v>
      </c>
      <c r="M5713" s="177">
        <f t="shared" si="657"/>
        <v>6.9811200000000007</v>
      </c>
      <c r="N5713" s="177">
        <f t="shared" si="658"/>
        <v>17.28</v>
      </c>
      <c r="O5713" s="175" t="str">
        <f t="shared" si="659"/>
        <v>Apr</v>
      </c>
      <c r="P5713" s="265">
        <f t="shared" si="660"/>
        <v>16</v>
      </c>
    </row>
    <row r="5714" spans="1:16" ht="15" hidden="1" customHeight="1">
      <c r="A5714" s="489">
        <v>64409314</v>
      </c>
      <c r="B5714" s="489" t="s">
        <v>128</v>
      </c>
      <c r="C5714" s="488">
        <v>3788</v>
      </c>
      <c r="D5714" s="597">
        <v>46132</v>
      </c>
      <c r="E5714" s="489" t="s">
        <v>624</v>
      </c>
      <c r="F5714" s="489" t="s">
        <v>1223</v>
      </c>
      <c r="G5714" s="395">
        <f>VLOOKUP($A5714,'Tech Litons'!$A:$I,8,FALSE)</f>
        <v>5.2800000000000004E-4</v>
      </c>
      <c r="H5714" s="174">
        <f>VLOOKUP($A5714,'Tech Litons'!$A:$I,9,FALSE)</f>
        <v>135</v>
      </c>
      <c r="I5714" s="174" t="str">
        <f>VLOOKUP($A5714,'Tech Litons'!$A:$C,3,0)</f>
        <v>Other</v>
      </c>
      <c r="J5714" s="175" t="str">
        <f t="shared" si="655"/>
        <v>TultitlanOther</v>
      </c>
      <c r="K5714" s="176">
        <f>VLOOKUP(I5714,'Attain %'!A:B,2,0)</f>
        <v>0.96</v>
      </c>
      <c r="L5714" s="177">
        <f t="shared" si="656"/>
        <v>3636.48</v>
      </c>
      <c r="M5714" s="177">
        <f t="shared" si="657"/>
        <v>1.9200614400000002</v>
      </c>
      <c r="N5714" s="177">
        <f t="shared" si="658"/>
        <v>26.936888888888888</v>
      </c>
      <c r="O5714" s="175" t="str">
        <f t="shared" si="659"/>
        <v>Apr</v>
      </c>
      <c r="P5714" s="265">
        <f t="shared" si="660"/>
        <v>17</v>
      </c>
    </row>
    <row r="5715" spans="1:16" ht="15" hidden="1" customHeight="1">
      <c r="A5715" s="489">
        <v>64410857</v>
      </c>
      <c r="B5715" s="489" t="s">
        <v>128</v>
      </c>
      <c r="C5715" s="488">
        <v>3788</v>
      </c>
      <c r="D5715" s="597">
        <v>46132</v>
      </c>
      <c r="E5715" s="489" t="s">
        <v>1029</v>
      </c>
      <c r="F5715" s="489" t="s">
        <v>1223</v>
      </c>
      <c r="G5715" s="395">
        <f>VLOOKUP($A5715,'Tech Litons'!$A:$I,8,FALSE)</f>
        <v>5.2000000000000006E-4</v>
      </c>
      <c r="H5715" s="174">
        <f>VLOOKUP($A5715,'Tech Litons'!$A:$I,9,FALSE)</f>
        <v>135</v>
      </c>
      <c r="I5715" s="174" t="str">
        <f>VLOOKUP($A5715,'Tech Litons'!$A:$C,3,0)</f>
        <v>Other</v>
      </c>
      <c r="J5715" s="175" t="str">
        <f t="shared" si="655"/>
        <v>TultitlanOther</v>
      </c>
      <c r="K5715" s="176">
        <f>VLOOKUP(I5715,'Attain %'!A:B,2,0)</f>
        <v>0.96</v>
      </c>
      <c r="L5715" s="177">
        <f t="shared" si="656"/>
        <v>3636.48</v>
      </c>
      <c r="M5715" s="177">
        <f t="shared" si="657"/>
        <v>1.8909696000000003</v>
      </c>
      <c r="N5715" s="177">
        <f t="shared" si="658"/>
        <v>26.936888888888888</v>
      </c>
      <c r="O5715" s="175" t="str">
        <f t="shared" si="659"/>
        <v>Apr</v>
      </c>
      <c r="P5715" s="265">
        <f t="shared" si="660"/>
        <v>17</v>
      </c>
    </row>
    <row r="5716" spans="1:16" ht="15" hidden="1" customHeight="1">
      <c r="A5716" s="489">
        <v>64410857</v>
      </c>
      <c r="B5716" s="489" t="s">
        <v>128</v>
      </c>
      <c r="C5716" s="488">
        <v>3788</v>
      </c>
      <c r="D5716" s="597">
        <v>46139</v>
      </c>
      <c r="E5716" s="489" t="s">
        <v>1029</v>
      </c>
      <c r="F5716" s="489" t="s">
        <v>1223</v>
      </c>
      <c r="G5716" s="395">
        <f>VLOOKUP($A5716,'Tech Litons'!$A:$I,8,FALSE)</f>
        <v>5.2000000000000006E-4</v>
      </c>
      <c r="H5716" s="174">
        <f>VLOOKUP($A5716,'Tech Litons'!$A:$I,9,FALSE)</f>
        <v>135</v>
      </c>
      <c r="I5716" s="174" t="str">
        <f>VLOOKUP($A5716,'Tech Litons'!$A:$C,3,0)</f>
        <v>Other</v>
      </c>
      <c r="J5716" s="175" t="str">
        <f t="shared" si="655"/>
        <v>TultitlanOther</v>
      </c>
      <c r="K5716" s="176">
        <f>VLOOKUP(I5716,'Attain %'!A:B,2,0)</f>
        <v>0.96</v>
      </c>
      <c r="L5716" s="177">
        <f t="shared" si="656"/>
        <v>3636.48</v>
      </c>
      <c r="M5716" s="177">
        <f t="shared" si="657"/>
        <v>1.8909696000000003</v>
      </c>
      <c r="N5716" s="177">
        <f t="shared" si="658"/>
        <v>26.936888888888888</v>
      </c>
      <c r="O5716" s="175" t="str">
        <f t="shared" si="659"/>
        <v>Apr</v>
      </c>
      <c r="P5716" s="265">
        <f t="shared" si="660"/>
        <v>18</v>
      </c>
    </row>
    <row r="5717" spans="1:16" ht="15" hidden="1" customHeight="1">
      <c r="A5717" s="489">
        <v>64409312</v>
      </c>
      <c r="B5717" s="489" t="s">
        <v>128</v>
      </c>
      <c r="C5717" s="488">
        <v>3814</v>
      </c>
      <c r="D5717" s="597">
        <v>46174</v>
      </c>
      <c r="E5717" s="489" t="s">
        <v>623</v>
      </c>
      <c r="F5717" s="489" t="s">
        <v>1223</v>
      </c>
      <c r="G5717" s="395">
        <f>VLOOKUP($A5717,'Tech Litons'!$A:$I,8,FALSE)</f>
        <v>5.2000000000000006E-4</v>
      </c>
      <c r="H5717" s="174">
        <f>VLOOKUP($A5717,'Tech Litons'!$A:$I,9,FALSE)</f>
        <v>135</v>
      </c>
      <c r="I5717" s="174" t="str">
        <f>VLOOKUP($A5717,'Tech Litons'!$A:$C,3,0)</f>
        <v>Other</v>
      </c>
      <c r="J5717" s="175" t="str">
        <f t="shared" si="655"/>
        <v>TultitlanOther</v>
      </c>
      <c r="K5717" s="176">
        <f>VLOOKUP(I5717,'Attain %'!A:B,2,0)</f>
        <v>0.96</v>
      </c>
      <c r="L5717" s="177">
        <f t="shared" si="656"/>
        <v>3661.44</v>
      </c>
      <c r="M5717" s="177">
        <f t="shared" si="657"/>
        <v>1.9039488000000002</v>
      </c>
      <c r="N5717" s="177">
        <f t="shared" si="658"/>
        <v>27.12177777777778</v>
      </c>
      <c r="O5717" s="175" t="str">
        <f t="shared" si="659"/>
        <v>Jun</v>
      </c>
      <c r="P5717" s="265">
        <f t="shared" si="660"/>
        <v>23</v>
      </c>
    </row>
    <row r="5718" spans="1:16" ht="15" hidden="1" customHeight="1">
      <c r="A5718" s="489">
        <v>64409312</v>
      </c>
      <c r="B5718" s="489" t="s">
        <v>128</v>
      </c>
      <c r="C5718" s="488">
        <v>3814</v>
      </c>
      <c r="D5718" s="597">
        <v>46181</v>
      </c>
      <c r="E5718" s="489" t="s">
        <v>623</v>
      </c>
      <c r="F5718" s="489" t="s">
        <v>1223</v>
      </c>
      <c r="G5718" s="395">
        <f>VLOOKUP($A5718,'Tech Litons'!$A:$I,8,FALSE)</f>
        <v>5.2000000000000006E-4</v>
      </c>
      <c r="H5718" s="174">
        <f>VLOOKUP($A5718,'Tech Litons'!$A:$I,9,FALSE)</f>
        <v>135</v>
      </c>
      <c r="I5718" s="174" t="str">
        <f>VLOOKUP($A5718,'Tech Litons'!$A:$C,3,0)</f>
        <v>Other</v>
      </c>
      <c r="J5718" s="175" t="str">
        <f t="shared" si="655"/>
        <v>TultitlanOther</v>
      </c>
      <c r="K5718" s="176">
        <f>VLOOKUP(I5718,'Attain %'!A:B,2,0)</f>
        <v>0.96</v>
      </c>
      <c r="L5718" s="177">
        <f t="shared" si="656"/>
        <v>3661.44</v>
      </c>
      <c r="M5718" s="177">
        <f t="shared" si="657"/>
        <v>1.9039488000000002</v>
      </c>
      <c r="N5718" s="177">
        <f t="shared" si="658"/>
        <v>27.12177777777778</v>
      </c>
      <c r="O5718" s="175" t="str">
        <f t="shared" si="659"/>
        <v>Jun</v>
      </c>
      <c r="P5718" s="265">
        <f t="shared" si="660"/>
        <v>24</v>
      </c>
    </row>
    <row r="5719" spans="1:16" ht="15" hidden="1" customHeight="1">
      <c r="A5719" s="489">
        <v>64409312</v>
      </c>
      <c r="B5719" s="489" t="s">
        <v>128</v>
      </c>
      <c r="C5719" s="488">
        <v>3814</v>
      </c>
      <c r="D5719" s="597">
        <v>46188</v>
      </c>
      <c r="E5719" s="489" t="s">
        <v>623</v>
      </c>
      <c r="F5719" s="489" t="s">
        <v>1223</v>
      </c>
      <c r="G5719" s="395">
        <f>VLOOKUP($A5719,'Tech Litons'!$A:$I,8,FALSE)</f>
        <v>5.2000000000000006E-4</v>
      </c>
      <c r="H5719" s="174">
        <f>VLOOKUP($A5719,'Tech Litons'!$A:$I,9,FALSE)</f>
        <v>135</v>
      </c>
      <c r="I5719" s="174" t="str">
        <f>VLOOKUP($A5719,'Tech Litons'!$A:$C,3,0)</f>
        <v>Other</v>
      </c>
      <c r="J5719" s="175" t="str">
        <f t="shared" si="655"/>
        <v>TultitlanOther</v>
      </c>
      <c r="K5719" s="176">
        <f>VLOOKUP(I5719,'Attain %'!A:B,2,0)</f>
        <v>0.96</v>
      </c>
      <c r="L5719" s="177">
        <f t="shared" si="656"/>
        <v>3661.44</v>
      </c>
      <c r="M5719" s="177">
        <f t="shared" si="657"/>
        <v>1.9039488000000002</v>
      </c>
      <c r="N5719" s="177">
        <f t="shared" si="658"/>
        <v>27.12177777777778</v>
      </c>
      <c r="O5719" s="175" t="str">
        <f t="shared" si="659"/>
        <v>Jun</v>
      </c>
      <c r="P5719" s="265">
        <f t="shared" si="660"/>
        <v>25</v>
      </c>
    </row>
    <row r="5720" spans="1:16" ht="15" hidden="1" customHeight="1">
      <c r="A5720" s="489">
        <v>64409312</v>
      </c>
      <c r="B5720" s="489" t="s">
        <v>128</v>
      </c>
      <c r="C5720" s="488">
        <v>3814</v>
      </c>
      <c r="D5720" s="597">
        <v>46209</v>
      </c>
      <c r="E5720" s="489" t="s">
        <v>623</v>
      </c>
      <c r="F5720" s="489" t="s">
        <v>1223</v>
      </c>
      <c r="G5720" s="395">
        <f>VLOOKUP($A5720,'Tech Litons'!$A:$I,8,FALSE)</f>
        <v>5.2000000000000006E-4</v>
      </c>
      <c r="H5720" s="174">
        <f>VLOOKUP($A5720,'Tech Litons'!$A:$I,9,FALSE)</f>
        <v>135</v>
      </c>
      <c r="I5720" s="174" t="str">
        <f>VLOOKUP($A5720,'Tech Litons'!$A:$C,3,0)</f>
        <v>Other</v>
      </c>
      <c r="J5720" s="175" t="str">
        <f t="shared" si="655"/>
        <v>TultitlanOther</v>
      </c>
      <c r="K5720" s="176">
        <f>VLOOKUP(I5720,'Attain %'!A:B,2,0)</f>
        <v>0.96</v>
      </c>
      <c r="L5720" s="177">
        <f t="shared" si="656"/>
        <v>3661.44</v>
      </c>
      <c r="M5720" s="177">
        <f t="shared" si="657"/>
        <v>1.9039488000000002</v>
      </c>
      <c r="N5720" s="177">
        <f t="shared" si="658"/>
        <v>27.12177777777778</v>
      </c>
      <c r="O5720" s="175" t="str">
        <f t="shared" si="659"/>
        <v>Jul</v>
      </c>
      <c r="P5720" s="265">
        <f t="shared" si="660"/>
        <v>28</v>
      </c>
    </row>
    <row r="5721" spans="1:16" ht="15" hidden="1" customHeight="1">
      <c r="A5721" s="489">
        <v>64409312</v>
      </c>
      <c r="B5721" s="489" t="s">
        <v>128</v>
      </c>
      <c r="C5721" s="488">
        <v>3814</v>
      </c>
      <c r="D5721" s="597">
        <v>46216</v>
      </c>
      <c r="E5721" s="489" t="s">
        <v>623</v>
      </c>
      <c r="F5721" s="489" t="s">
        <v>1223</v>
      </c>
      <c r="G5721" s="395">
        <f>VLOOKUP($A5721,'Tech Litons'!$A:$I,8,FALSE)</f>
        <v>5.2000000000000006E-4</v>
      </c>
      <c r="H5721" s="174">
        <f>VLOOKUP($A5721,'Tech Litons'!$A:$I,9,FALSE)</f>
        <v>135</v>
      </c>
      <c r="I5721" s="174" t="str">
        <f>VLOOKUP($A5721,'Tech Litons'!$A:$C,3,0)</f>
        <v>Other</v>
      </c>
      <c r="J5721" s="175" t="str">
        <f t="shared" si="655"/>
        <v>TultitlanOther</v>
      </c>
      <c r="K5721" s="176">
        <f>VLOOKUP(I5721,'Attain %'!A:B,2,0)</f>
        <v>0.96</v>
      </c>
      <c r="L5721" s="177">
        <f t="shared" si="656"/>
        <v>3661.44</v>
      </c>
      <c r="M5721" s="177">
        <f t="shared" si="657"/>
        <v>1.9039488000000002</v>
      </c>
      <c r="N5721" s="177">
        <f t="shared" si="658"/>
        <v>27.12177777777778</v>
      </c>
      <c r="O5721" s="175" t="str">
        <f t="shared" si="659"/>
        <v>Jul</v>
      </c>
      <c r="P5721" s="265">
        <f t="shared" si="660"/>
        <v>29</v>
      </c>
    </row>
    <row r="5722" spans="1:16" ht="15" hidden="1" customHeight="1">
      <c r="A5722" s="489">
        <v>64409312</v>
      </c>
      <c r="B5722" s="489" t="s">
        <v>128</v>
      </c>
      <c r="C5722" s="488">
        <v>3814</v>
      </c>
      <c r="D5722" s="597">
        <v>46223</v>
      </c>
      <c r="E5722" s="489" t="s">
        <v>623</v>
      </c>
      <c r="F5722" s="489" t="s">
        <v>1223</v>
      </c>
      <c r="G5722" s="395">
        <f>VLOOKUP($A5722,'Tech Litons'!$A:$I,8,FALSE)</f>
        <v>5.2000000000000006E-4</v>
      </c>
      <c r="H5722" s="174">
        <f>VLOOKUP($A5722,'Tech Litons'!$A:$I,9,FALSE)</f>
        <v>135</v>
      </c>
      <c r="I5722" s="174" t="str">
        <f>VLOOKUP($A5722,'Tech Litons'!$A:$C,3,0)</f>
        <v>Other</v>
      </c>
      <c r="J5722" s="175" t="str">
        <f t="shared" si="655"/>
        <v>TultitlanOther</v>
      </c>
      <c r="K5722" s="176">
        <f>VLOOKUP(I5722,'Attain %'!A:B,2,0)</f>
        <v>0.96</v>
      </c>
      <c r="L5722" s="177">
        <f t="shared" si="656"/>
        <v>3661.44</v>
      </c>
      <c r="M5722" s="177">
        <f t="shared" si="657"/>
        <v>1.9039488000000002</v>
      </c>
      <c r="N5722" s="177">
        <f t="shared" si="658"/>
        <v>27.12177777777778</v>
      </c>
      <c r="O5722" s="175" t="str">
        <f t="shared" si="659"/>
        <v>Jul</v>
      </c>
      <c r="P5722" s="265">
        <f t="shared" si="660"/>
        <v>30</v>
      </c>
    </row>
    <row r="5723" spans="1:16" ht="15" hidden="1" customHeight="1">
      <c r="A5723" s="489">
        <v>64409312</v>
      </c>
      <c r="B5723" s="489" t="s">
        <v>128</v>
      </c>
      <c r="C5723" s="488">
        <v>3814</v>
      </c>
      <c r="D5723" s="597">
        <v>46265</v>
      </c>
      <c r="E5723" s="489" t="s">
        <v>623</v>
      </c>
      <c r="F5723" s="489" t="s">
        <v>1223</v>
      </c>
      <c r="G5723" s="395">
        <f>VLOOKUP($A5723,'Tech Litons'!$A:$I,8,FALSE)</f>
        <v>5.2000000000000006E-4</v>
      </c>
      <c r="H5723" s="174">
        <f>VLOOKUP($A5723,'Tech Litons'!$A:$I,9,FALSE)</f>
        <v>135</v>
      </c>
      <c r="I5723" s="174" t="str">
        <f>VLOOKUP($A5723,'Tech Litons'!$A:$C,3,0)</f>
        <v>Other</v>
      </c>
      <c r="J5723" s="175" t="str">
        <f t="shared" si="655"/>
        <v>TultitlanOther</v>
      </c>
      <c r="K5723" s="176">
        <f>VLOOKUP(I5723,'Attain %'!A:B,2,0)</f>
        <v>0.96</v>
      </c>
      <c r="L5723" s="177">
        <f t="shared" si="656"/>
        <v>3661.44</v>
      </c>
      <c r="M5723" s="177">
        <f t="shared" si="657"/>
        <v>1.9039488000000002</v>
      </c>
      <c r="N5723" s="177">
        <f t="shared" si="658"/>
        <v>27.12177777777778</v>
      </c>
      <c r="O5723" s="175" t="str">
        <f t="shared" si="659"/>
        <v>Aug</v>
      </c>
      <c r="P5723" s="265">
        <f t="shared" si="660"/>
        <v>36</v>
      </c>
    </row>
    <row r="5724" spans="1:16" ht="15" hidden="1" customHeight="1">
      <c r="A5724" s="489">
        <v>64409312</v>
      </c>
      <c r="B5724" s="489" t="s">
        <v>128</v>
      </c>
      <c r="C5724" s="488">
        <v>3814</v>
      </c>
      <c r="D5724" s="597">
        <v>46272</v>
      </c>
      <c r="E5724" s="489" t="s">
        <v>623</v>
      </c>
      <c r="F5724" s="489" t="s">
        <v>1223</v>
      </c>
      <c r="G5724" s="395">
        <f>VLOOKUP($A5724,'Tech Litons'!$A:$I,8,FALSE)</f>
        <v>5.2000000000000006E-4</v>
      </c>
      <c r="H5724" s="174">
        <f>VLOOKUP($A5724,'Tech Litons'!$A:$I,9,FALSE)</f>
        <v>135</v>
      </c>
      <c r="I5724" s="174" t="str">
        <f>VLOOKUP($A5724,'Tech Litons'!$A:$C,3,0)</f>
        <v>Other</v>
      </c>
      <c r="J5724" s="175" t="str">
        <f t="shared" si="655"/>
        <v>TultitlanOther</v>
      </c>
      <c r="K5724" s="176">
        <f>VLOOKUP(I5724,'Attain %'!A:B,2,0)</f>
        <v>0.96</v>
      </c>
      <c r="L5724" s="177">
        <f t="shared" si="656"/>
        <v>3661.44</v>
      </c>
      <c r="M5724" s="177">
        <f t="shared" si="657"/>
        <v>1.9039488000000002</v>
      </c>
      <c r="N5724" s="177">
        <f t="shared" si="658"/>
        <v>27.12177777777778</v>
      </c>
      <c r="O5724" s="175" t="str">
        <f t="shared" si="659"/>
        <v>Sep</v>
      </c>
      <c r="P5724" s="265">
        <f t="shared" si="660"/>
        <v>37</v>
      </c>
    </row>
    <row r="5725" spans="1:16" ht="15" hidden="1" customHeight="1">
      <c r="A5725" s="489">
        <v>64409312</v>
      </c>
      <c r="B5725" s="489" t="s">
        <v>128</v>
      </c>
      <c r="C5725" s="488">
        <v>3814</v>
      </c>
      <c r="D5725" s="597">
        <v>46279</v>
      </c>
      <c r="E5725" s="489" t="s">
        <v>623</v>
      </c>
      <c r="F5725" s="489" t="s">
        <v>1223</v>
      </c>
      <c r="G5725" s="395">
        <f>VLOOKUP($A5725,'Tech Litons'!$A:$I,8,FALSE)</f>
        <v>5.2000000000000006E-4</v>
      </c>
      <c r="H5725" s="174">
        <f>VLOOKUP($A5725,'Tech Litons'!$A:$I,9,FALSE)</f>
        <v>135</v>
      </c>
      <c r="I5725" s="174" t="str">
        <f>VLOOKUP($A5725,'Tech Litons'!$A:$C,3,0)</f>
        <v>Other</v>
      </c>
      <c r="J5725" s="175" t="str">
        <f t="shared" si="655"/>
        <v>TultitlanOther</v>
      </c>
      <c r="K5725" s="176">
        <f>VLOOKUP(I5725,'Attain %'!A:B,2,0)</f>
        <v>0.96</v>
      </c>
      <c r="L5725" s="177">
        <f t="shared" si="656"/>
        <v>3661.44</v>
      </c>
      <c r="M5725" s="177">
        <f t="shared" si="657"/>
        <v>1.9039488000000002</v>
      </c>
      <c r="N5725" s="177">
        <f t="shared" si="658"/>
        <v>27.12177777777778</v>
      </c>
      <c r="O5725" s="175" t="str">
        <f t="shared" si="659"/>
        <v>Sep</v>
      </c>
      <c r="P5725" s="265">
        <f t="shared" si="660"/>
        <v>38</v>
      </c>
    </row>
    <row r="5726" spans="1:16" ht="15" hidden="1" customHeight="1">
      <c r="A5726" s="489">
        <v>69552657</v>
      </c>
      <c r="B5726" s="489" t="s">
        <v>128</v>
      </c>
      <c r="C5726" s="488">
        <v>3847</v>
      </c>
      <c r="D5726" s="597">
        <v>46160</v>
      </c>
      <c r="E5726" s="489" t="s">
        <v>625</v>
      </c>
      <c r="F5726" s="489" t="s">
        <v>1223</v>
      </c>
      <c r="G5726" s="395">
        <f>VLOOKUP($A5726,'Tech Litons'!$A:$I,8,FALSE)</f>
        <v>5.3220000000000003E-3</v>
      </c>
      <c r="H5726" s="174">
        <f>VLOOKUP($A5726,'Tech Litons'!$A:$I,9,FALSE)</f>
        <v>108</v>
      </c>
      <c r="I5726" s="174" t="str">
        <f>VLOOKUP($A5726,'Tech Litons'!$A:$C,3,0)</f>
        <v>KL Mini Cones</v>
      </c>
      <c r="J5726" s="175" t="str">
        <f t="shared" si="655"/>
        <v>TultitlanKL Mini Cones</v>
      </c>
      <c r="K5726" s="176">
        <f>VLOOKUP(I5726,'Attain %'!A:B,2,0)</f>
        <v>0.96</v>
      </c>
      <c r="L5726" s="177">
        <f t="shared" si="656"/>
        <v>3693.12</v>
      </c>
      <c r="M5726" s="177">
        <f t="shared" si="657"/>
        <v>19.654784639999999</v>
      </c>
      <c r="N5726" s="177">
        <f t="shared" si="658"/>
        <v>34.195555555555558</v>
      </c>
      <c r="O5726" s="175" t="str">
        <f t="shared" si="659"/>
        <v>May</v>
      </c>
      <c r="P5726" s="265">
        <f t="shared" si="660"/>
        <v>21</v>
      </c>
    </row>
    <row r="5727" spans="1:16" ht="15" hidden="1" customHeight="1">
      <c r="A5727" s="489">
        <v>69552657</v>
      </c>
      <c r="B5727" s="489" t="s">
        <v>128</v>
      </c>
      <c r="C5727" s="488">
        <v>3848</v>
      </c>
      <c r="D5727" s="597">
        <v>46153</v>
      </c>
      <c r="E5727" s="489" t="s">
        <v>625</v>
      </c>
      <c r="F5727" s="489" t="s">
        <v>1223</v>
      </c>
      <c r="G5727" s="395">
        <f>VLOOKUP($A5727,'Tech Litons'!$A:$I,8,FALSE)</f>
        <v>5.3220000000000003E-3</v>
      </c>
      <c r="H5727" s="174">
        <f>VLOOKUP($A5727,'Tech Litons'!$A:$I,9,FALSE)</f>
        <v>108</v>
      </c>
      <c r="I5727" s="174" t="str">
        <f>VLOOKUP($A5727,'Tech Litons'!$A:$C,3,0)</f>
        <v>KL Mini Cones</v>
      </c>
      <c r="J5727" s="175" t="str">
        <f t="shared" si="655"/>
        <v>TultitlanKL Mini Cones</v>
      </c>
      <c r="K5727" s="176">
        <f>VLOOKUP(I5727,'Attain %'!A:B,2,0)</f>
        <v>0.96</v>
      </c>
      <c r="L5727" s="177">
        <f t="shared" si="656"/>
        <v>3694.08</v>
      </c>
      <c r="M5727" s="177">
        <f t="shared" si="657"/>
        <v>19.659893759999999</v>
      </c>
      <c r="N5727" s="177">
        <f t="shared" si="658"/>
        <v>34.204444444444441</v>
      </c>
      <c r="O5727" s="175" t="str">
        <f t="shared" si="659"/>
        <v>May</v>
      </c>
      <c r="P5727" s="265">
        <f t="shared" si="660"/>
        <v>20</v>
      </c>
    </row>
    <row r="5728" spans="1:16" ht="15" hidden="1" customHeight="1">
      <c r="A5728" s="489">
        <v>64409314</v>
      </c>
      <c r="B5728" s="489" t="s">
        <v>128</v>
      </c>
      <c r="C5728" s="488">
        <v>3893</v>
      </c>
      <c r="D5728" s="597">
        <v>46181</v>
      </c>
      <c r="E5728" s="489" t="s">
        <v>624</v>
      </c>
      <c r="F5728" s="489" t="s">
        <v>1223</v>
      </c>
      <c r="G5728" s="395">
        <f>VLOOKUP($A5728,'Tech Litons'!$A:$I,8,FALSE)</f>
        <v>5.2800000000000004E-4</v>
      </c>
      <c r="H5728" s="174">
        <f>VLOOKUP($A5728,'Tech Litons'!$A:$I,9,FALSE)</f>
        <v>135</v>
      </c>
      <c r="I5728" s="174" t="str">
        <f>VLOOKUP($A5728,'Tech Litons'!$A:$C,3,0)</f>
        <v>Other</v>
      </c>
      <c r="J5728" s="175" t="str">
        <f t="shared" si="655"/>
        <v>TultitlanOther</v>
      </c>
      <c r="K5728" s="176">
        <f>VLOOKUP(I5728,'Attain %'!A:B,2,0)</f>
        <v>0.96</v>
      </c>
      <c r="L5728" s="177">
        <f t="shared" si="656"/>
        <v>3737.2799999999997</v>
      </c>
      <c r="M5728" s="177">
        <f t="shared" si="657"/>
        <v>1.9732838400000001</v>
      </c>
      <c r="N5728" s="177">
        <f t="shared" si="658"/>
        <v>27.683555555555554</v>
      </c>
      <c r="O5728" s="175" t="str">
        <f t="shared" si="659"/>
        <v>Jun</v>
      </c>
      <c r="P5728" s="265">
        <f t="shared" si="660"/>
        <v>24</v>
      </c>
    </row>
    <row r="5729" spans="1:16" ht="15" hidden="1" customHeight="1">
      <c r="A5729" s="489">
        <v>64409314</v>
      </c>
      <c r="B5729" s="489" t="s">
        <v>128</v>
      </c>
      <c r="C5729" s="488">
        <v>3893</v>
      </c>
      <c r="D5729" s="597">
        <v>46188</v>
      </c>
      <c r="E5729" s="489" t="s">
        <v>624</v>
      </c>
      <c r="F5729" s="489" t="s">
        <v>1223</v>
      </c>
      <c r="G5729" s="395">
        <f>VLOOKUP($A5729,'Tech Litons'!$A:$I,8,FALSE)</f>
        <v>5.2800000000000004E-4</v>
      </c>
      <c r="H5729" s="174">
        <f>VLOOKUP($A5729,'Tech Litons'!$A:$I,9,FALSE)</f>
        <v>135</v>
      </c>
      <c r="I5729" s="174" t="str">
        <f>VLOOKUP($A5729,'Tech Litons'!$A:$C,3,0)</f>
        <v>Other</v>
      </c>
      <c r="J5729" s="175" t="str">
        <f t="shared" si="655"/>
        <v>TultitlanOther</v>
      </c>
      <c r="K5729" s="176">
        <f>VLOOKUP(I5729,'Attain %'!A:B,2,0)</f>
        <v>0.96</v>
      </c>
      <c r="L5729" s="177">
        <f t="shared" si="656"/>
        <v>3737.2799999999997</v>
      </c>
      <c r="M5729" s="177">
        <f t="shared" si="657"/>
        <v>1.9732838400000001</v>
      </c>
      <c r="N5729" s="177">
        <f t="shared" si="658"/>
        <v>27.683555555555554</v>
      </c>
      <c r="O5729" s="175" t="str">
        <f t="shared" si="659"/>
        <v>Jun</v>
      </c>
      <c r="P5729" s="265">
        <f t="shared" si="660"/>
        <v>25</v>
      </c>
    </row>
    <row r="5730" spans="1:16" ht="15" hidden="1" customHeight="1">
      <c r="A5730" s="489">
        <v>64409314</v>
      </c>
      <c r="B5730" s="489" t="s">
        <v>128</v>
      </c>
      <c r="C5730" s="488">
        <v>3893</v>
      </c>
      <c r="D5730" s="597">
        <v>46195</v>
      </c>
      <c r="E5730" s="489" t="s">
        <v>624</v>
      </c>
      <c r="F5730" s="489" t="s">
        <v>1223</v>
      </c>
      <c r="G5730" s="395">
        <f>VLOOKUP($A5730,'Tech Litons'!$A:$I,8,FALSE)</f>
        <v>5.2800000000000004E-4</v>
      </c>
      <c r="H5730" s="174">
        <f>VLOOKUP($A5730,'Tech Litons'!$A:$I,9,FALSE)</f>
        <v>135</v>
      </c>
      <c r="I5730" s="174" t="str">
        <f>VLOOKUP($A5730,'Tech Litons'!$A:$C,3,0)</f>
        <v>Other</v>
      </c>
      <c r="J5730" s="175" t="str">
        <f t="shared" si="655"/>
        <v>TultitlanOther</v>
      </c>
      <c r="K5730" s="176">
        <f>VLOOKUP(I5730,'Attain %'!A:B,2,0)</f>
        <v>0.96</v>
      </c>
      <c r="L5730" s="177">
        <f t="shared" si="656"/>
        <v>3737.2799999999997</v>
      </c>
      <c r="M5730" s="177">
        <f t="shared" si="657"/>
        <v>1.9732838400000001</v>
      </c>
      <c r="N5730" s="177">
        <f t="shared" si="658"/>
        <v>27.683555555555554</v>
      </c>
      <c r="O5730" s="175" t="str">
        <f t="shared" si="659"/>
        <v>Jun</v>
      </c>
      <c r="P5730" s="265">
        <f t="shared" si="660"/>
        <v>26</v>
      </c>
    </row>
    <row r="5731" spans="1:16" ht="15" hidden="1" customHeight="1">
      <c r="A5731" s="489">
        <v>64365613</v>
      </c>
      <c r="B5731" s="489" t="s">
        <v>139</v>
      </c>
      <c r="C5731" s="488">
        <v>3900</v>
      </c>
      <c r="D5731" s="597">
        <v>46139</v>
      </c>
      <c r="E5731" s="489" t="s">
        <v>617</v>
      </c>
      <c r="F5731" s="489" t="s">
        <v>1223</v>
      </c>
      <c r="G5731" s="395">
        <f>VLOOKUP($A5731,'Tech Litons'!$A:$I,8,FALSE)</f>
        <v>2.1540000000000001E-3</v>
      </c>
      <c r="H5731" s="174">
        <f>VLOOKUP($A5731,'Tech Litons'!$A:$I,9,FALSE)</f>
        <v>195</v>
      </c>
      <c r="I5731" s="174" t="str">
        <f>VLOOKUP($A5731,'Tech Litons'!$A:$C,3,0)</f>
        <v>Facepieces</v>
      </c>
      <c r="J5731" s="175" t="str">
        <f t="shared" si="655"/>
        <v>IncomFacepieces</v>
      </c>
      <c r="K5731" s="176">
        <f>VLOOKUP(I5731,'Attain %'!A:B,2,0)</f>
        <v>0.96</v>
      </c>
      <c r="L5731" s="177">
        <f t="shared" si="656"/>
        <v>3744</v>
      </c>
      <c r="M5731" s="177">
        <f t="shared" si="657"/>
        <v>8.0645760000000006</v>
      </c>
      <c r="N5731" s="177">
        <f t="shared" si="658"/>
        <v>19.2</v>
      </c>
      <c r="O5731" s="175" t="str">
        <f t="shared" si="659"/>
        <v>Apr</v>
      </c>
      <c r="P5731" s="265">
        <f t="shared" si="660"/>
        <v>18</v>
      </c>
    </row>
    <row r="5732" spans="1:16" ht="15" hidden="1" customHeight="1">
      <c r="A5732" s="489">
        <v>64403162</v>
      </c>
      <c r="B5732" s="489" t="s">
        <v>139</v>
      </c>
      <c r="C5732" s="488">
        <v>3900</v>
      </c>
      <c r="D5732" s="597">
        <v>46125</v>
      </c>
      <c r="E5732" s="489" t="s">
        <v>1203</v>
      </c>
      <c r="F5732" s="489" t="s">
        <v>1223</v>
      </c>
      <c r="G5732" s="395">
        <f>VLOOKUP($A5732,'Tech Litons'!$A:$I,8,FALSE)</f>
        <v>2.16E-3</v>
      </c>
      <c r="H5732" s="174">
        <f>VLOOKUP($A5732,'Tech Litons'!$A:$I,9,FALSE)</f>
        <v>195</v>
      </c>
      <c r="I5732" s="174" t="str">
        <f>VLOOKUP($A5732,'Tech Litons'!$A:$C,3,0)</f>
        <v>Facepieces</v>
      </c>
      <c r="J5732" s="175" t="str">
        <f t="shared" si="655"/>
        <v>IncomFacepieces</v>
      </c>
      <c r="K5732" s="176">
        <f>VLOOKUP(I5732,'Attain %'!A:B,2,0)</f>
        <v>0.96</v>
      </c>
      <c r="L5732" s="177">
        <f t="shared" si="656"/>
        <v>3744</v>
      </c>
      <c r="M5732" s="177">
        <f t="shared" si="657"/>
        <v>8.08704</v>
      </c>
      <c r="N5732" s="177">
        <f t="shared" si="658"/>
        <v>19.2</v>
      </c>
      <c r="O5732" s="175" t="str">
        <f t="shared" si="659"/>
        <v>Apr</v>
      </c>
      <c r="P5732" s="265">
        <f t="shared" si="660"/>
        <v>16</v>
      </c>
    </row>
    <row r="5733" spans="1:16" ht="15" hidden="1" customHeight="1">
      <c r="A5733" s="489">
        <v>64771677</v>
      </c>
      <c r="B5733" s="489" t="s">
        <v>139</v>
      </c>
      <c r="D5733" s="597">
        <v>46104</v>
      </c>
      <c r="E5733" s="489" t="s">
        <v>620</v>
      </c>
      <c r="F5733" s="489" t="s">
        <v>1223</v>
      </c>
      <c r="G5733" s="395">
        <f>VLOOKUP($A5733,'Tech Litons'!$A:$I,8,FALSE)</f>
        <v>2.16E-3</v>
      </c>
      <c r="H5733" s="174">
        <f>VLOOKUP($A5733,'Tech Litons'!$A:$I,9,FALSE)</f>
        <v>195</v>
      </c>
      <c r="I5733" s="174" t="str">
        <f>VLOOKUP($A5733,'Tech Litons'!$A:$C,3,0)</f>
        <v>Facepieces</v>
      </c>
      <c r="J5733" s="175" t="str">
        <f t="shared" si="655"/>
        <v>IncomFacepieces</v>
      </c>
      <c r="K5733" s="176">
        <f>VLOOKUP(I5733,'Attain %'!A:B,2,0)</f>
        <v>0.96</v>
      </c>
      <c r="L5733" s="177">
        <f t="shared" si="656"/>
        <v>0</v>
      </c>
      <c r="M5733" s="177">
        <f t="shared" si="657"/>
        <v>0</v>
      </c>
      <c r="N5733" s="177">
        <f t="shared" si="658"/>
        <v>0</v>
      </c>
      <c r="O5733" s="175" t="str">
        <f t="shared" si="659"/>
        <v>Mar</v>
      </c>
      <c r="P5733" s="265">
        <f t="shared" si="660"/>
        <v>13</v>
      </c>
    </row>
    <row r="5734" spans="1:16" ht="15" hidden="1" customHeight="1">
      <c r="A5734" s="489">
        <v>64409312</v>
      </c>
      <c r="B5734" s="489" t="s">
        <v>128</v>
      </c>
      <c r="C5734" s="488">
        <v>3916</v>
      </c>
      <c r="D5734" s="597">
        <v>46118</v>
      </c>
      <c r="E5734" s="489" t="s">
        <v>623</v>
      </c>
      <c r="F5734" s="489" t="s">
        <v>1223</v>
      </c>
      <c r="G5734" s="395">
        <f>VLOOKUP($A5734,'Tech Litons'!$A:$I,8,FALSE)</f>
        <v>5.2000000000000006E-4</v>
      </c>
      <c r="H5734" s="174">
        <f>VLOOKUP($A5734,'Tech Litons'!$A:$I,9,FALSE)</f>
        <v>135</v>
      </c>
      <c r="I5734" s="174" t="str">
        <f>VLOOKUP($A5734,'Tech Litons'!$A:$C,3,0)</f>
        <v>Other</v>
      </c>
      <c r="J5734" s="175" t="str">
        <f t="shared" si="655"/>
        <v>TultitlanOther</v>
      </c>
      <c r="K5734" s="176">
        <f>VLOOKUP(I5734,'Attain %'!A:B,2,0)</f>
        <v>0.96</v>
      </c>
      <c r="L5734" s="177">
        <f t="shared" si="656"/>
        <v>3759.3599999999997</v>
      </c>
      <c r="M5734" s="177">
        <f t="shared" si="657"/>
        <v>1.9548672</v>
      </c>
      <c r="N5734" s="177">
        <f t="shared" si="658"/>
        <v>27.847111111111108</v>
      </c>
      <c r="O5734" s="175" t="str">
        <f t="shared" si="659"/>
        <v>Apr</v>
      </c>
      <c r="P5734" s="265">
        <f t="shared" si="660"/>
        <v>15</v>
      </c>
    </row>
    <row r="5735" spans="1:16" ht="15" hidden="1" customHeight="1">
      <c r="A5735" s="489">
        <v>64409312</v>
      </c>
      <c r="B5735" s="489" t="s">
        <v>128</v>
      </c>
      <c r="C5735" s="488">
        <v>3917</v>
      </c>
      <c r="D5735" s="597">
        <v>46111</v>
      </c>
      <c r="E5735" s="489" t="s">
        <v>623</v>
      </c>
      <c r="F5735" s="489" t="s">
        <v>1223</v>
      </c>
      <c r="G5735" s="395">
        <f>VLOOKUP($A5735,'Tech Litons'!$A:$I,8,FALSE)</f>
        <v>5.2000000000000006E-4</v>
      </c>
      <c r="H5735" s="174">
        <f>VLOOKUP($A5735,'Tech Litons'!$A:$I,9,FALSE)</f>
        <v>135</v>
      </c>
      <c r="I5735" s="174" t="str">
        <f>VLOOKUP($A5735,'Tech Litons'!$A:$C,3,0)</f>
        <v>Other</v>
      </c>
      <c r="J5735" s="175" t="str">
        <f t="shared" si="655"/>
        <v>TultitlanOther</v>
      </c>
      <c r="K5735" s="176">
        <f>VLOOKUP(I5735,'Attain %'!A:B,2,0)</f>
        <v>0.96</v>
      </c>
      <c r="L5735" s="177">
        <f t="shared" si="656"/>
        <v>3760.3199999999997</v>
      </c>
      <c r="M5735" s="177">
        <f t="shared" si="657"/>
        <v>1.9553664000000002</v>
      </c>
      <c r="N5735" s="177">
        <f t="shared" si="658"/>
        <v>27.854222222222219</v>
      </c>
      <c r="O5735" s="175" t="str">
        <f t="shared" si="659"/>
        <v>Mar</v>
      </c>
      <c r="P5735" s="265">
        <f t="shared" si="660"/>
        <v>14</v>
      </c>
    </row>
    <row r="5736" spans="1:16" ht="15" hidden="1" customHeight="1">
      <c r="A5736" s="489">
        <v>64410857</v>
      </c>
      <c r="B5736" s="489" t="s">
        <v>128</v>
      </c>
      <c r="C5736" s="488">
        <v>3988</v>
      </c>
      <c r="D5736" s="597">
        <v>46125</v>
      </c>
      <c r="E5736" s="489" t="s">
        <v>1029</v>
      </c>
      <c r="F5736" s="489" t="s">
        <v>1223</v>
      </c>
      <c r="G5736" s="395">
        <f>VLOOKUP($A5736,'Tech Litons'!$A:$I,8,FALSE)</f>
        <v>5.2000000000000006E-4</v>
      </c>
      <c r="H5736" s="174">
        <f>VLOOKUP($A5736,'Tech Litons'!$A:$I,9,FALSE)</f>
        <v>135</v>
      </c>
      <c r="I5736" s="174" t="str">
        <f>VLOOKUP($A5736,'Tech Litons'!$A:$C,3,0)</f>
        <v>Other</v>
      </c>
      <c r="J5736" s="175" t="str">
        <f t="shared" si="655"/>
        <v>TultitlanOther</v>
      </c>
      <c r="K5736" s="176">
        <f>VLOOKUP(I5736,'Attain %'!A:B,2,0)</f>
        <v>0.96</v>
      </c>
      <c r="L5736" s="177">
        <f t="shared" si="656"/>
        <v>3828.48</v>
      </c>
      <c r="M5736" s="177">
        <f t="shared" si="657"/>
        <v>1.9908096000000002</v>
      </c>
      <c r="N5736" s="177">
        <f t="shared" si="658"/>
        <v>28.359111111111112</v>
      </c>
      <c r="O5736" s="175" t="str">
        <f t="shared" si="659"/>
        <v>Apr</v>
      </c>
      <c r="P5736" s="265">
        <f t="shared" si="660"/>
        <v>16</v>
      </c>
    </row>
    <row r="5737" spans="1:16" ht="15" hidden="1" customHeight="1">
      <c r="A5737" s="489">
        <v>64378129</v>
      </c>
      <c r="B5737" s="489" t="s">
        <v>137</v>
      </c>
      <c r="D5737" s="597">
        <v>46244</v>
      </c>
      <c r="E5737" s="489" t="s">
        <v>627</v>
      </c>
      <c r="F5737" s="489" t="s">
        <v>1223</v>
      </c>
      <c r="G5737" s="395">
        <f>VLOOKUP($A5737,'Tech Litons'!$A:$I,8,FALSE)</f>
        <v>3.8399999999999997E-3</v>
      </c>
      <c r="H5737" s="174">
        <f>VLOOKUP($A5737,'Tech Litons'!$A:$I,9,FALSE)</f>
        <v>110</v>
      </c>
      <c r="I5737" s="174" t="str">
        <f>VLOOKUP($A5737,'Tech Litons'!$A:$C,3,0)</f>
        <v>Other</v>
      </c>
      <c r="J5737" s="175" t="str">
        <f t="shared" si="655"/>
        <v>TurkeyOther</v>
      </c>
      <c r="K5737" s="176">
        <f>VLOOKUP(I5737,'Attain %'!A:B,2,0)</f>
        <v>0.96</v>
      </c>
      <c r="L5737" s="177">
        <f t="shared" si="656"/>
        <v>0</v>
      </c>
      <c r="M5737" s="177">
        <f t="shared" si="657"/>
        <v>0</v>
      </c>
      <c r="N5737" s="177">
        <f t="shared" si="658"/>
        <v>0</v>
      </c>
      <c r="O5737" s="175" t="str">
        <f t="shared" si="659"/>
        <v>Aug</v>
      </c>
      <c r="P5737" s="265">
        <f t="shared" si="660"/>
        <v>33</v>
      </c>
    </row>
    <row r="5738" spans="1:16" ht="15" hidden="1" customHeight="1">
      <c r="A5738" s="489">
        <v>64875812</v>
      </c>
      <c r="B5738" s="489">
        <v>6757</v>
      </c>
      <c r="C5738" s="488">
        <v>4085</v>
      </c>
      <c r="D5738" s="597">
        <v>46111</v>
      </c>
      <c r="E5738" s="489" t="s">
        <v>347</v>
      </c>
      <c r="F5738" s="489" t="s">
        <v>1221</v>
      </c>
      <c r="G5738" s="395">
        <f>VLOOKUP($A5738,'Tech Litons'!$A:$I,8,FALSE)</f>
        <v>6.0000000000000001E-3</v>
      </c>
      <c r="H5738" s="174">
        <f>VLOOKUP($A5738,'Tech Litons'!$A:$I,9,FALSE)</f>
        <v>108</v>
      </c>
      <c r="I5738" s="174" t="str">
        <f>VLOOKUP($A5738,'Tech Litons'!$A:$C,3,0)</f>
        <v>ESS</v>
      </c>
      <c r="J5738" s="175" t="str">
        <f t="shared" si="655"/>
        <v>6757ESS</v>
      </c>
      <c r="K5738" s="176">
        <f>VLOOKUP(I5738,'Attain %'!A:B,2,0)</f>
        <v>0.96</v>
      </c>
      <c r="L5738" s="177">
        <f t="shared" si="656"/>
        <v>3921.6</v>
      </c>
      <c r="M5738" s="177">
        <f t="shared" si="657"/>
        <v>23.529599999999999</v>
      </c>
      <c r="N5738" s="177">
        <f t="shared" si="658"/>
        <v>36.31111111111111</v>
      </c>
      <c r="O5738" s="175" t="str">
        <f t="shared" si="659"/>
        <v>Mar</v>
      </c>
      <c r="P5738" s="265">
        <f t="shared" si="660"/>
        <v>14</v>
      </c>
    </row>
    <row r="5739" spans="1:16" ht="15" hidden="1" customHeight="1">
      <c r="A5739" s="489">
        <v>64341109</v>
      </c>
      <c r="B5739" s="489" t="s">
        <v>139</v>
      </c>
      <c r="C5739" s="488">
        <v>4200</v>
      </c>
      <c r="D5739" s="597">
        <v>46118</v>
      </c>
      <c r="E5739" s="489" t="s">
        <v>616</v>
      </c>
      <c r="F5739" s="489" t="s">
        <v>1223</v>
      </c>
      <c r="G5739" s="395">
        <f>VLOOKUP($A5739,'Tech Litons'!$A:$I,8,FALSE)</f>
        <v>2E-3</v>
      </c>
      <c r="H5739" s="174">
        <f>VLOOKUP($A5739,'Tech Litons'!$A:$I,9,FALSE)</f>
        <v>210</v>
      </c>
      <c r="I5739" s="174" t="str">
        <f>VLOOKUP($A5739,'Tech Litons'!$A:$C,3,0)</f>
        <v>Facepieces</v>
      </c>
      <c r="J5739" s="175" t="str">
        <f t="shared" si="655"/>
        <v>IncomFacepieces</v>
      </c>
      <c r="K5739" s="176">
        <f>VLOOKUP(I5739,'Attain %'!A:B,2,0)</f>
        <v>0.96</v>
      </c>
      <c r="L5739" s="177">
        <f t="shared" si="656"/>
        <v>4032</v>
      </c>
      <c r="M5739" s="177">
        <f t="shared" si="657"/>
        <v>8.0640000000000001</v>
      </c>
      <c r="N5739" s="177">
        <f t="shared" si="658"/>
        <v>19.2</v>
      </c>
      <c r="O5739" s="175" t="str">
        <f t="shared" si="659"/>
        <v>Apr</v>
      </c>
      <c r="P5739" s="265">
        <f t="shared" si="660"/>
        <v>15</v>
      </c>
    </row>
    <row r="5740" spans="1:16" ht="15" hidden="1" customHeight="1">
      <c r="A5740" s="489">
        <v>64325624</v>
      </c>
      <c r="B5740" s="489">
        <v>1713</v>
      </c>
      <c r="C5740" s="488">
        <v>4400</v>
      </c>
      <c r="D5740" s="597">
        <v>46174</v>
      </c>
      <c r="E5740" s="489" t="s">
        <v>577</v>
      </c>
      <c r="F5740" s="489" t="s">
        <v>1221</v>
      </c>
      <c r="G5740" s="395">
        <f>VLOOKUP($A5740,'Tech Litons'!$A:$I,8,FALSE)</f>
        <v>2.0200000000000001E-3</v>
      </c>
      <c r="H5740" s="174">
        <f>VLOOKUP($A5740,'Tech Litons'!$A:$I,9,FALSE)</f>
        <v>200</v>
      </c>
      <c r="I5740" s="174" t="str">
        <f>VLOOKUP($A5740,'Tech Litons'!$A:$C,3,0)</f>
        <v>Yasso Poppables</v>
      </c>
      <c r="J5740" s="175" t="str">
        <f t="shared" si="655"/>
        <v>1713Yasso Poppables</v>
      </c>
      <c r="K5740" s="176">
        <f>VLOOKUP(I5740,'Attain %'!A:B,2,0)</f>
        <v>0.96</v>
      </c>
      <c r="L5740" s="177">
        <f t="shared" si="656"/>
        <v>4224</v>
      </c>
      <c r="M5740" s="177">
        <f t="shared" si="657"/>
        <v>8.5324799999999996</v>
      </c>
      <c r="N5740" s="177">
        <f t="shared" si="658"/>
        <v>21.12</v>
      </c>
      <c r="O5740" s="175" t="str">
        <f t="shared" si="659"/>
        <v>Jun</v>
      </c>
      <c r="P5740" s="265">
        <f t="shared" si="660"/>
        <v>23</v>
      </c>
    </row>
    <row r="5741" spans="1:16" ht="15" hidden="1" customHeight="1">
      <c r="A5741" s="489">
        <v>64388736</v>
      </c>
      <c r="B5741" s="489">
        <v>1713</v>
      </c>
      <c r="C5741" s="488">
        <v>4400</v>
      </c>
      <c r="D5741" s="597">
        <v>46174</v>
      </c>
      <c r="E5741" s="489" t="s">
        <v>580</v>
      </c>
      <c r="F5741" s="489" t="s">
        <v>1221</v>
      </c>
      <c r="G5741" s="395">
        <f>VLOOKUP($A5741,'Tech Litons'!$A:$I,8,FALSE)</f>
        <v>2.0200000000000001E-3</v>
      </c>
      <c r="H5741" s="174">
        <f>VLOOKUP($A5741,'Tech Litons'!$A:$I,9,FALSE)</f>
        <v>200</v>
      </c>
      <c r="I5741" s="174" t="str">
        <f>VLOOKUP($A5741,'Tech Litons'!$A:$C,3,0)</f>
        <v>Yasso Poppables</v>
      </c>
      <c r="J5741" s="175" t="str">
        <f t="shared" si="655"/>
        <v>1713Yasso Poppables</v>
      </c>
      <c r="K5741" s="176">
        <f>VLOOKUP(I5741,'Attain %'!A:B,2,0)</f>
        <v>0.96</v>
      </c>
      <c r="L5741" s="177">
        <f t="shared" si="656"/>
        <v>4224</v>
      </c>
      <c r="M5741" s="177">
        <f t="shared" si="657"/>
        <v>8.5324799999999996</v>
      </c>
      <c r="N5741" s="177">
        <f t="shared" si="658"/>
        <v>21.12</v>
      </c>
      <c r="O5741" s="175" t="str">
        <f t="shared" si="659"/>
        <v>Jun</v>
      </c>
      <c r="P5741" s="265">
        <f t="shared" si="660"/>
        <v>23</v>
      </c>
    </row>
    <row r="5742" spans="1:16" ht="15" hidden="1" customHeight="1">
      <c r="A5742" s="489">
        <v>64378129</v>
      </c>
      <c r="B5742" s="489" t="s">
        <v>137</v>
      </c>
      <c r="D5742" s="597">
        <v>46118</v>
      </c>
      <c r="E5742" s="489" t="s">
        <v>627</v>
      </c>
      <c r="F5742" s="489" t="s">
        <v>1223</v>
      </c>
      <c r="G5742" s="395">
        <f>VLOOKUP($A5742,'Tech Litons'!$A:$I,8,FALSE)</f>
        <v>3.8399999999999997E-3</v>
      </c>
      <c r="H5742" s="174">
        <f>VLOOKUP($A5742,'Tech Litons'!$A:$I,9,FALSE)</f>
        <v>110</v>
      </c>
      <c r="I5742" s="174" t="str">
        <f>VLOOKUP($A5742,'Tech Litons'!$A:$C,3,0)</f>
        <v>Other</v>
      </c>
      <c r="J5742" s="175" t="str">
        <f t="shared" si="655"/>
        <v>TurkeyOther</v>
      </c>
      <c r="K5742" s="176">
        <f>VLOOKUP(I5742,'Attain %'!A:B,2,0)</f>
        <v>0.96</v>
      </c>
      <c r="L5742" s="177">
        <f t="shared" si="656"/>
        <v>0</v>
      </c>
      <c r="M5742" s="177">
        <f t="shared" si="657"/>
        <v>0</v>
      </c>
      <c r="N5742" s="177">
        <f t="shared" si="658"/>
        <v>0</v>
      </c>
      <c r="O5742" s="175" t="str">
        <f t="shared" si="659"/>
        <v>Apr</v>
      </c>
      <c r="P5742" s="265">
        <f t="shared" si="660"/>
        <v>15</v>
      </c>
    </row>
    <row r="5743" spans="1:16" ht="15" hidden="1" customHeight="1">
      <c r="A5743" s="489">
        <v>64378129</v>
      </c>
      <c r="B5743" s="489" t="s">
        <v>137</v>
      </c>
      <c r="D5743" s="597">
        <v>46125</v>
      </c>
      <c r="E5743" s="489" t="s">
        <v>627</v>
      </c>
      <c r="F5743" s="489" t="s">
        <v>1223</v>
      </c>
      <c r="G5743" s="395">
        <f>VLOOKUP($A5743,'Tech Litons'!$A:$I,8,FALSE)</f>
        <v>3.8399999999999997E-3</v>
      </c>
      <c r="H5743" s="174">
        <f>VLOOKUP($A5743,'Tech Litons'!$A:$I,9,FALSE)</f>
        <v>110</v>
      </c>
      <c r="I5743" s="174" t="str">
        <f>VLOOKUP($A5743,'Tech Litons'!$A:$C,3,0)</f>
        <v>Other</v>
      </c>
      <c r="J5743" s="175" t="str">
        <f t="shared" si="655"/>
        <v>TurkeyOther</v>
      </c>
      <c r="K5743" s="176">
        <f>VLOOKUP(I5743,'Attain %'!A:B,2,0)</f>
        <v>0.96</v>
      </c>
      <c r="L5743" s="177">
        <f t="shared" si="656"/>
        <v>0</v>
      </c>
      <c r="M5743" s="177">
        <f t="shared" si="657"/>
        <v>0</v>
      </c>
      <c r="N5743" s="177">
        <f t="shared" si="658"/>
        <v>0</v>
      </c>
      <c r="O5743" s="175" t="str">
        <f t="shared" si="659"/>
        <v>Apr</v>
      </c>
      <c r="P5743" s="265">
        <f t="shared" si="660"/>
        <v>16</v>
      </c>
    </row>
    <row r="5744" spans="1:16" ht="15" hidden="1" customHeight="1">
      <c r="A5744" s="489">
        <v>68842352</v>
      </c>
      <c r="B5744" s="489" t="s">
        <v>137</v>
      </c>
      <c r="C5744" s="488">
        <v>4400</v>
      </c>
      <c r="D5744" s="597">
        <v>46174</v>
      </c>
      <c r="E5744" s="489" t="s">
        <v>628</v>
      </c>
      <c r="F5744" s="489" t="s">
        <v>1223</v>
      </c>
      <c r="G5744" s="395">
        <f>VLOOKUP($A5744,'Tech Litons'!$A:$I,8,FALSE)</f>
        <v>2.6640000000000001E-3</v>
      </c>
      <c r="H5744" s="174">
        <f>VLOOKUP($A5744,'Tech Litons'!$A:$I,9,FALSE)</f>
        <v>220</v>
      </c>
      <c r="I5744" s="174" t="str">
        <f>VLOOKUP($A5744,'Tech Litons'!$A:$C,3,0)</f>
        <v>KL Mini Cones</v>
      </c>
      <c r="J5744" s="175" t="str">
        <f t="shared" si="655"/>
        <v>TurkeyKL Mini Cones</v>
      </c>
      <c r="K5744" s="176">
        <f>VLOOKUP(I5744,'Attain %'!A:B,2,0)</f>
        <v>0.96</v>
      </c>
      <c r="L5744" s="177">
        <f t="shared" si="656"/>
        <v>4224</v>
      </c>
      <c r="M5744" s="177">
        <f t="shared" si="657"/>
        <v>11.252736000000001</v>
      </c>
      <c r="N5744" s="177">
        <f t="shared" si="658"/>
        <v>19.2</v>
      </c>
      <c r="O5744" s="175" t="str">
        <f t="shared" si="659"/>
        <v>Jun</v>
      </c>
      <c r="P5744" s="265">
        <f t="shared" si="660"/>
        <v>23</v>
      </c>
    </row>
    <row r="5745" spans="1:16" ht="15" hidden="1" customHeight="1">
      <c r="A5745" s="489">
        <v>68842352</v>
      </c>
      <c r="B5745" s="489" t="s">
        <v>137</v>
      </c>
      <c r="C5745" s="488">
        <v>4400</v>
      </c>
      <c r="D5745" s="597">
        <v>46181</v>
      </c>
      <c r="E5745" s="489" t="s">
        <v>628</v>
      </c>
      <c r="F5745" s="489" t="s">
        <v>1223</v>
      </c>
      <c r="G5745" s="395">
        <f>VLOOKUP($A5745,'Tech Litons'!$A:$I,8,FALSE)</f>
        <v>2.6640000000000001E-3</v>
      </c>
      <c r="H5745" s="174">
        <f>VLOOKUP($A5745,'Tech Litons'!$A:$I,9,FALSE)</f>
        <v>220</v>
      </c>
      <c r="I5745" s="174" t="str">
        <f>VLOOKUP($A5745,'Tech Litons'!$A:$C,3,0)</f>
        <v>KL Mini Cones</v>
      </c>
      <c r="J5745" s="175" t="str">
        <f t="shared" si="655"/>
        <v>TurkeyKL Mini Cones</v>
      </c>
      <c r="K5745" s="176">
        <f>VLOOKUP(I5745,'Attain %'!A:B,2,0)</f>
        <v>0.96</v>
      </c>
      <c r="L5745" s="177">
        <f t="shared" si="656"/>
        <v>4224</v>
      </c>
      <c r="M5745" s="177">
        <f t="shared" si="657"/>
        <v>11.252736000000001</v>
      </c>
      <c r="N5745" s="177">
        <f t="shared" si="658"/>
        <v>19.2</v>
      </c>
      <c r="O5745" s="175" t="str">
        <f t="shared" si="659"/>
        <v>Jun</v>
      </c>
      <c r="P5745" s="265">
        <f t="shared" si="660"/>
        <v>24</v>
      </c>
    </row>
    <row r="5746" spans="1:16" ht="15" hidden="1" customHeight="1">
      <c r="A5746" s="489">
        <v>68842352</v>
      </c>
      <c r="B5746" s="489" t="s">
        <v>137</v>
      </c>
      <c r="C5746" s="488">
        <v>4400</v>
      </c>
      <c r="D5746" s="597">
        <v>46230</v>
      </c>
      <c r="E5746" s="489" t="s">
        <v>628</v>
      </c>
      <c r="F5746" s="489" t="s">
        <v>1223</v>
      </c>
      <c r="G5746" s="395">
        <f>VLOOKUP($A5746,'Tech Litons'!$A:$I,8,FALSE)</f>
        <v>2.6640000000000001E-3</v>
      </c>
      <c r="H5746" s="174">
        <f>VLOOKUP($A5746,'Tech Litons'!$A:$I,9,FALSE)</f>
        <v>220</v>
      </c>
      <c r="I5746" s="174" t="str">
        <f>VLOOKUP($A5746,'Tech Litons'!$A:$C,3,0)</f>
        <v>KL Mini Cones</v>
      </c>
      <c r="J5746" s="175" t="str">
        <f t="shared" si="655"/>
        <v>TurkeyKL Mini Cones</v>
      </c>
      <c r="K5746" s="176">
        <f>VLOOKUP(I5746,'Attain %'!A:B,2,0)</f>
        <v>0.96</v>
      </c>
      <c r="L5746" s="177">
        <f t="shared" si="656"/>
        <v>4224</v>
      </c>
      <c r="M5746" s="177">
        <f t="shared" si="657"/>
        <v>11.252736000000001</v>
      </c>
      <c r="N5746" s="177">
        <f t="shared" si="658"/>
        <v>19.2</v>
      </c>
      <c r="O5746" s="175" t="str">
        <f t="shared" si="659"/>
        <v>Jul</v>
      </c>
      <c r="P5746" s="265">
        <f t="shared" si="660"/>
        <v>31</v>
      </c>
    </row>
    <row r="5747" spans="1:16" ht="15" hidden="1" customHeight="1">
      <c r="A5747" s="489">
        <v>69586720</v>
      </c>
      <c r="B5747" s="489" t="s">
        <v>137</v>
      </c>
      <c r="C5747" s="488">
        <v>4400</v>
      </c>
      <c r="D5747" s="597">
        <v>46132</v>
      </c>
      <c r="E5747" s="489" t="s">
        <v>630</v>
      </c>
      <c r="F5747" s="489" t="s">
        <v>1223</v>
      </c>
      <c r="G5747" s="395">
        <f>VLOOKUP($A5747,'Tech Litons'!$A:$I,8,FALSE)</f>
        <v>2.6640000000000001E-3</v>
      </c>
      <c r="H5747" s="174">
        <f>VLOOKUP($A5747,'Tech Litons'!$A:$I,9,FALSE)</f>
        <v>220</v>
      </c>
      <c r="I5747" s="174" t="str">
        <f>VLOOKUP($A5747,'Tech Litons'!$A:$C,3,0)</f>
        <v>KL Mini Cones</v>
      </c>
      <c r="J5747" s="175" t="str">
        <f t="shared" si="655"/>
        <v>TurkeyKL Mini Cones</v>
      </c>
      <c r="K5747" s="176">
        <f>VLOOKUP(I5747,'Attain %'!A:B,2,0)</f>
        <v>0.96</v>
      </c>
      <c r="L5747" s="177">
        <f t="shared" si="656"/>
        <v>4224</v>
      </c>
      <c r="M5747" s="177">
        <f t="shared" si="657"/>
        <v>11.252736000000001</v>
      </c>
      <c r="N5747" s="177">
        <f t="shared" si="658"/>
        <v>19.2</v>
      </c>
      <c r="O5747" s="175" t="str">
        <f t="shared" si="659"/>
        <v>Apr</v>
      </c>
      <c r="P5747" s="265">
        <f t="shared" si="660"/>
        <v>17</v>
      </c>
    </row>
    <row r="5748" spans="1:16" ht="15" hidden="1" customHeight="1">
      <c r="A5748" s="489">
        <v>64976846</v>
      </c>
      <c r="B5748" s="489">
        <v>1717</v>
      </c>
      <c r="D5748" s="597">
        <v>46097</v>
      </c>
      <c r="E5748" s="489" t="s">
        <v>603</v>
      </c>
      <c r="F5748" s="489" t="s">
        <v>1221</v>
      </c>
      <c r="G5748" s="395">
        <f>VLOOKUP($A5748,'Tech Litons'!$A:$I,8,FALSE)</f>
        <v>2.5040000000000001E-3</v>
      </c>
      <c r="H5748" s="174">
        <f>VLOOKUP($A5748,'Tech Litons'!$A:$I,9,FALSE)</f>
        <v>165</v>
      </c>
      <c r="I5748" s="174" t="str">
        <f>VLOOKUP($A5748,'Tech Litons'!$A:$C,3,0)</f>
        <v>Yasso Sticks</v>
      </c>
      <c r="J5748" s="175" t="str">
        <f t="shared" si="655"/>
        <v>1717Yasso Sticks</v>
      </c>
      <c r="K5748" s="176">
        <f>VLOOKUP(I5748,'Attain %'!A:B,2,0)</f>
        <v>0.96</v>
      </c>
      <c r="L5748" s="177">
        <f t="shared" si="656"/>
        <v>0</v>
      </c>
      <c r="M5748" s="177">
        <f t="shared" si="657"/>
        <v>0</v>
      </c>
      <c r="N5748" s="177">
        <f t="shared" si="658"/>
        <v>0</v>
      </c>
      <c r="O5748" s="175" t="str">
        <f t="shared" si="659"/>
        <v>Mar</v>
      </c>
      <c r="P5748" s="265">
        <f t="shared" si="660"/>
        <v>12</v>
      </c>
    </row>
    <row r="5749" spans="1:16" ht="15" hidden="1" customHeight="1">
      <c r="A5749" s="489">
        <v>64361164</v>
      </c>
      <c r="B5749" s="489">
        <v>5914</v>
      </c>
      <c r="C5749" s="488">
        <v>4480</v>
      </c>
      <c r="D5749" s="597">
        <v>46167</v>
      </c>
      <c r="E5749" s="489" t="s">
        <v>510</v>
      </c>
      <c r="F5749" s="489" t="s">
        <v>1246</v>
      </c>
      <c r="G5749" s="395">
        <f>VLOOKUP($A5749,'Tech Litons'!$A:$I,8,FALSE)</f>
        <v>3.7839999999999996E-3</v>
      </c>
      <c r="H5749" s="174">
        <f>VLOOKUP($A5749,'Tech Litons'!$A:$I,9,FALSE)</f>
        <v>240</v>
      </c>
      <c r="I5749" s="174" t="str">
        <f>VLOOKUP($A5749,'Tech Litons'!$A:$C,3,0)</f>
        <v>BJ PTS</v>
      </c>
      <c r="J5749" s="175" t="str">
        <f t="shared" si="655"/>
        <v>5914BJ PTS</v>
      </c>
      <c r="K5749" s="176">
        <f>VLOOKUP(I5749,'Attain %'!A:B,2,0)</f>
        <v>0.95</v>
      </c>
      <c r="L5749" s="177">
        <f t="shared" si="656"/>
        <v>4256</v>
      </c>
      <c r="M5749" s="177">
        <f t="shared" si="657"/>
        <v>16.104703999999998</v>
      </c>
      <c r="N5749" s="177">
        <f t="shared" si="658"/>
        <v>17.733333333333334</v>
      </c>
      <c r="O5749" s="175" t="str">
        <f t="shared" si="659"/>
        <v>May</v>
      </c>
      <c r="P5749" s="265">
        <f t="shared" si="660"/>
        <v>22</v>
      </c>
    </row>
    <row r="5750" spans="1:16" ht="15" hidden="1" customHeight="1">
      <c r="A5750" s="489">
        <v>64341109</v>
      </c>
      <c r="B5750" s="489" t="s">
        <v>139</v>
      </c>
      <c r="C5750" s="488">
        <v>4500</v>
      </c>
      <c r="D5750" s="597">
        <v>46300</v>
      </c>
      <c r="E5750" s="489" t="s">
        <v>616</v>
      </c>
      <c r="F5750" s="489" t="s">
        <v>1223</v>
      </c>
      <c r="G5750" s="395">
        <f>VLOOKUP($A5750,'Tech Litons'!$A:$I,8,FALSE)</f>
        <v>2E-3</v>
      </c>
      <c r="H5750" s="174">
        <f>VLOOKUP($A5750,'Tech Litons'!$A:$I,9,FALSE)</f>
        <v>210</v>
      </c>
      <c r="I5750" s="174" t="str">
        <f>VLOOKUP($A5750,'Tech Litons'!$A:$C,3,0)</f>
        <v>Facepieces</v>
      </c>
      <c r="J5750" s="175" t="str">
        <f t="shared" si="655"/>
        <v>IncomFacepieces</v>
      </c>
      <c r="K5750" s="176">
        <f>VLOOKUP(I5750,'Attain %'!A:B,2,0)</f>
        <v>0.96</v>
      </c>
      <c r="L5750" s="177">
        <f t="shared" si="656"/>
        <v>4320</v>
      </c>
      <c r="M5750" s="177">
        <f t="shared" si="657"/>
        <v>8.64</v>
      </c>
      <c r="N5750" s="177">
        <f t="shared" si="658"/>
        <v>20.571428571428573</v>
      </c>
      <c r="O5750" s="175" t="str">
        <f t="shared" si="659"/>
        <v>Oct</v>
      </c>
      <c r="P5750" s="265">
        <f t="shared" si="660"/>
        <v>41</v>
      </c>
    </row>
    <row r="5751" spans="1:16" ht="15" hidden="1" customHeight="1">
      <c r="A5751" s="489">
        <v>64409314</v>
      </c>
      <c r="B5751" s="489" t="s">
        <v>128</v>
      </c>
      <c r="C5751" s="488">
        <v>4560</v>
      </c>
      <c r="D5751" s="597">
        <v>46125</v>
      </c>
      <c r="E5751" s="489" t="s">
        <v>624</v>
      </c>
      <c r="F5751" s="489" t="s">
        <v>1223</v>
      </c>
      <c r="G5751" s="395">
        <f>VLOOKUP($A5751,'Tech Litons'!$A:$I,8,FALSE)</f>
        <v>5.2800000000000004E-4</v>
      </c>
      <c r="H5751" s="174">
        <f>VLOOKUP($A5751,'Tech Litons'!$A:$I,9,FALSE)</f>
        <v>135</v>
      </c>
      <c r="I5751" s="174" t="str">
        <f>VLOOKUP($A5751,'Tech Litons'!$A:$C,3,0)</f>
        <v>Other</v>
      </c>
      <c r="J5751" s="175" t="str">
        <f t="shared" si="655"/>
        <v>TultitlanOther</v>
      </c>
      <c r="K5751" s="176">
        <f>VLOOKUP(I5751,'Attain %'!A:B,2,0)</f>
        <v>0.96</v>
      </c>
      <c r="L5751" s="177">
        <f t="shared" si="656"/>
        <v>4377.5999999999995</v>
      </c>
      <c r="M5751" s="177">
        <f t="shared" si="657"/>
        <v>2.3113728</v>
      </c>
      <c r="N5751" s="177">
        <f t="shared" si="658"/>
        <v>32.426666666666662</v>
      </c>
      <c r="O5751" s="175" t="str">
        <f t="shared" si="659"/>
        <v>Apr</v>
      </c>
      <c r="P5751" s="265">
        <f t="shared" si="660"/>
        <v>16</v>
      </c>
    </row>
    <row r="5752" spans="1:16" ht="15" hidden="1" customHeight="1">
      <c r="A5752" s="489">
        <v>64409312</v>
      </c>
      <c r="B5752" s="489" t="s">
        <v>128</v>
      </c>
      <c r="C5752" s="488">
        <v>4675</v>
      </c>
      <c r="D5752" s="597">
        <v>46104</v>
      </c>
      <c r="E5752" s="489" t="s">
        <v>623</v>
      </c>
      <c r="F5752" s="489" t="s">
        <v>1223</v>
      </c>
      <c r="G5752" s="395">
        <f>VLOOKUP($A5752,'Tech Litons'!$A:$I,8,FALSE)</f>
        <v>5.2000000000000006E-4</v>
      </c>
      <c r="H5752" s="174">
        <f>VLOOKUP($A5752,'Tech Litons'!$A:$I,9,FALSE)</f>
        <v>135</v>
      </c>
      <c r="I5752" s="174" t="str">
        <f>VLOOKUP($A5752,'Tech Litons'!$A:$C,3,0)</f>
        <v>Other</v>
      </c>
      <c r="J5752" s="175" t="str">
        <f t="shared" ref="J5752:J5815" si="661">B5752&amp;I5752</f>
        <v>TultitlanOther</v>
      </c>
      <c r="K5752" s="176">
        <f>VLOOKUP(I5752,'Attain %'!A:B,2,0)</f>
        <v>0.96</v>
      </c>
      <c r="L5752" s="177">
        <f t="shared" ref="L5752:L5815" si="662">C5752*$K5752</f>
        <v>4488</v>
      </c>
      <c r="M5752" s="177">
        <f t="shared" ref="M5752:M5815" si="663">L5752*G5752</f>
        <v>2.3337600000000003</v>
      </c>
      <c r="N5752" s="177">
        <f t="shared" ref="N5752:N5815" si="664">L5752/H5752</f>
        <v>33.244444444444447</v>
      </c>
      <c r="O5752" s="175" t="str">
        <f t="shared" ref="O5752:O5815" si="665">TEXT(D5752,"MMM")</f>
        <v>Mar</v>
      </c>
      <c r="P5752" s="265">
        <f t="shared" ref="P5752:P5815" si="666">WEEKNUM(D5752)</f>
        <v>13</v>
      </c>
    </row>
    <row r="5753" spans="1:16" ht="15" hidden="1" customHeight="1">
      <c r="A5753" s="489">
        <v>64341109</v>
      </c>
      <c r="B5753" s="489" t="s">
        <v>139</v>
      </c>
      <c r="C5753" s="488">
        <v>4800</v>
      </c>
      <c r="D5753" s="597">
        <v>46237</v>
      </c>
      <c r="E5753" s="489" t="s">
        <v>616</v>
      </c>
      <c r="F5753" s="489" t="s">
        <v>1223</v>
      </c>
      <c r="G5753" s="395">
        <f>VLOOKUP($A5753,'Tech Litons'!$A:$I,8,FALSE)</f>
        <v>2E-3</v>
      </c>
      <c r="H5753" s="174">
        <f>VLOOKUP($A5753,'Tech Litons'!$A:$I,9,FALSE)</f>
        <v>210</v>
      </c>
      <c r="I5753" s="174" t="str">
        <f>VLOOKUP($A5753,'Tech Litons'!$A:$C,3,0)</f>
        <v>Facepieces</v>
      </c>
      <c r="J5753" s="175" t="str">
        <f t="shared" si="661"/>
        <v>IncomFacepieces</v>
      </c>
      <c r="K5753" s="176">
        <f>VLOOKUP(I5753,'Attain %'!A:B,2,0)</f>
        <v>0.96</v>
      </c>
      <c r="L5753" s="177">
        <f t="shared" si="662"/>
        <v>4608</v>
      </c>
      <c r="M5753" s="177">
        <f t="shared" si="663"/>
        <v>9.2160000000000011</v>
      </c>
      <c r="N5753" s="177">
        <f t="shared" si="664"/>
        <v>21.942857142857143</v>
      </c>
      <c r="O5753" s="175" t="str">
        <f t="shared" si="665"/>
        <v>Aug</v>
      </c>
      <c r="P5753" s="265">
        <f t="shared" si="666"/>
        <v>32</v>
      </c>
    </row>
    <row r="5754" spans="1:16" ht="15" hidden="1" customHeight="1">
      <c r="A5754" s="489">
        <v>68817795</v>
      </c>
      <c r="B5754" s="489">
        <v>1352</v>
      </c>
      <c r="C5754" s="488">
        <v>4875</v>
      </c>
      <c r="D5754" s="597">
        <v>46118</v>
      </c>
      <c r="E5754" s="489" t="s">
        <v>348</v>
      </c>
      <c r="F5754" s="489" t="s">
        <v>1207</v>
      </c>
      <c r="G5754" s="395">
        <f>VLOOKUP($A5754,'Tech Litons'!$A:$I,8,FALSE)</f>
        <v>8.5199999999999998E-3</v>
      </c>
      <c r="H5754" s="174">
        <f>VLOOKUP($A5754,'Tech Litons'!$A:$I,9,FALSE)</f>
        <v>154</v>
      </c>
      <c r="I5754" s="174" t="str">
        <f>VLOOKUP($A5754,'Tech Litons'!$A:$C,3,0)</f>
        <v>48oz</v>
      </c>
      <c r="J5754" s="175" t="str">
        <f t="shared" si="661"/>
        <v>135248oz</v>
      </c>
      <c r="K5754" s="176">
        <f>VLOOKUP(I5754,'Attain %'!A:B,2,0)</f>
        <v>0.94</v>
      </c>
      <c r="L5754" s="177">
        <f t="shared" si="662"/>
        <v>4582.5</v>
      </c>
      <c r="M5754" s="177">
        <f t="shared" si="663"/>
        <v>39.042899999999996</v>
      </c>
      <c r="N5754" s="177">
        <f t="shared" si="664"/>
        <v>29.756493506493506</v>
      </c>
      <c r="O5754" s="175" t="str">
        <f t="shared" si="665"/>
        <v>Apr</v>
      </c>
      <c r="P5754" s="265">
        <f t="shared" si="666"/>
        <v>15</v>
      </c>
    </row>
    <row r="5755" spans="1:16" ht="15" hidden="1" customHeight="1">
      <c r="A5755" s="489">
        <v>68817797</v>
      </c>
      <c r="B5755" s="489">
        <v>1352</v>
      </c>
      <c r="C5755" s="488">
        <v>4875</v>
      </c>
      <c r="D5755" s="597">
        <v>46118</v>
      </c>
      <c r="E5755" s="489" t="s">
        <v>485</v>
      </c>
      <c r="F5755" s="489" t="s">
        <v>1209</v>
      </c>
      <c r="G5755" s="395">
        <f>VLOOKUP($A5755,'Tech Litons'!$A:$I,8,FALSE)</f>
        <v>8.5199999999999998E-3</v>
      </c>
      <c r="H5755" s="174">
        <f>VLOOKUP($A5755,'Tech Litons'!$A:$I,9,FALSE)</f>
        <v>154</v>
      </c>
      <c r="I5755" s="174" t="str">
        <f>VLOOKUP($A5755,'Tech Litons'!$A:$C,3,0)</f>
        <v>48oz</v>
      </c>
      <c r="J5755" s="175" t="str">
        <f t="shared" si="661"/>
        <v>135248oz</v>
      </c>
      <c r="K5755" s="176">
        <f>VLOOKUP(I5755,'Attain %'!A:B,2,0)</f>
        <v>0.94</v>
      </c>
      <c r="L5755" s="177">
        <f t="shared" si="662"/>
        <v>4582.5</v>
      </c>
      <c r="M5755" s="177">
        <f t="shared" si="663"/>
        <v>39.042899999999996</v>
      </c>
      <c r="N5755" s="177">
        <f t="shared" si="664"/>
        <v>29.756493506493506</v>
      </c>
      <c r="O5755" s="175" t="str">
        <f t="shared" si="665"/>
        <v>Apr</v>
      </c>
      <c r="P5755" s="265">
        <f t="shared" si="666"/>
        <v>15</v>
      </c>
    </row>
    <row r="5756" spans="1:16" ht="15" hidden="1" customHeight="1">
      <c r="A5756" s="489">
        <v>64960643</v>
      </c>
      <c r="B5756" s="489" t="s">
        <v>133</v>
      </c>
      <c r="C5756" s="488">
        <v>4930</v>
      </c>
      <c r="D5756" s="597">
        <v>46153</v>
      </c>
      <c r="E5756" s="489" t="s">
        <v>1289</v>
      </c>
      <c r="F5756" s="489" t="s">
        <v>1223</v>
      </c>
      <c r="G5756" s="395">
        <f>VLOOKUP($A5756,'Tech Litons'!$A:$I,8,FALSE)</f>
        <v>3.516E-3</v>
      </c>
      <c r="H5756" s="174">
        <f>VLOOKUP($A5756,'Tech Litons'!$A:$I,9,FALSE)</f>
        <v>170</v>
      </c>
      <c r="I5756" s="174" t="str">
        <f>VLOOKUP($A5756,'Tech Litons'!$A:$C,3,0)</f>
        <v>Other</v>
      </c>
      <c r="J5756" s="175" t="str">
        <f t="shared" si="661"/>
        <v>GDIOther</v>
      </c>
      <c r="K5756" s="176">
        <f>VLOOKUP(I5756,'Attain %'!A:B,2,0)</f>
        <v>0.96</v>
      </c>
      <c r="L5756" s="177">
        <f t="shared" si="662"/>
        <v>4732.8</v>
      </c>
      <c r="M5756" s="177">
        <f t="shared" si="663"/>
        <v>16.640524800000001</v>
      </c>
      <c r="N5756" s="177">
        <f t="shared" si="664"/>
        <v>27.84</v>
      </c>
      <c r="O5756" s="175" t="str">
        <f t="shared" si="665"/>
        <v>May</v>
      </c>
      <c r="P5756" s="265">
        <f t="shared" si="666"/>
        <v>20</v>
      </c>
    </row>
    <row r="5757" spans="1:16" ht="15" hidden="1" customHeight="1">
      <c r="A5757" s="489">
        <v>64854330</v>
      </c>
      <c r="B5757" s="489">
        <v>3985</v>
      </c>
      <c r="C5757" s="488">
        <v>5000</v>
      </c>
      <c r="D5757" s="597">
        <v>46237</v>
      </c>
      <c r="E5757" s="489" t="s">
        <v>605</v>
      </c>
      <c r="F5757" s="489" t="s">
        <v>1221</v>
      </c>
      <c r="G5757" s="395">
        <f>VLOOKUP($A5757,'Tech Litons'!$A:$I,8,FALSE)</f>
        <v>6.4800000000000005E-3</v>
      </c>
      <c r="H5757" s="174">
        <f>VLOOKUP($A5757,'Tech Litons'!$A:$I,9,FALSE)</f>
        <v>30</v>
      </c>
      <c r="I5757" s="174" t="str">
        <f>VLOOKUP($A5757,'Tech Litons'!$A:$C,3,0)</f>
        <v>Repack MG Sticks</v>
      </c>
      <c r="J5757" s="175" t="str">
        <f t="shared" si="661"/>
        <v>3985Repack MG Sticks</v>
      </c>
      <c r="K5757" s="176">
        <f>VLOOKUP(I5757,'Attain %'!A:B,2,0)</f>
        <v>0.96</v>
      </c>
      <c r="L5757" s="177">
        <f t="shared" si="662"/>
        <v>4800</v>
      </c>
      <c r="M5757" s="177">
        <f t="shared" si="663"/>
        <v>31.104000000000003</v>
      </c>
      <c r="N5757" s="177">
        <f t="shared" si="664"/>
        <v>160</v>
      </c>
      <c r="O5757" s="175" t="str">
        <f t="shared" si="665"/>
        <v>Aug</v>
      </c>
      <c r="P5757" s="265">
        <f t="shared" si="666"/>
        <v>32</v>
      </c>
    </row>
    <row r="5758" spans="1:16" ht="15" hidden="1" customHeight="1">
      <c r="A5758" s="489">
        <v>64854330</v>
      </c>
      <c r="B5758" s="489">
        <v>3985</v>
      </c>
      <c r="C5758" s="488">
        <v>5000</v>
      </c>
      <c r="D5758" s="597">
        <v>46328</v>
      </c>
      <c r="E5758" s="489" t="s">
        <v>605</v>
      </c>
      <c r="F5758" s="489" t="s">
        <v>1221</v>
      </c>
      <c r="G5758" s="395">
        <f>VLOOKUP($A5758,'Tech Litons'!$A:$I,8,FALSE)</f>
        <v>6.4800000000000005E-3</v>
      </c>
      <c r="H5758" s="174">
        <f>VLOOKUP($A5758,'Tech Litons'!$A:$I,9,FALSE)</f>
        <v>30</v>
      </c>
      <c r="I5758" s="174" t="str">
        <f>VLOOKUP($A5758,'Tech Litons'!$A:$C,3,0)</f>
        <v>Repack MG Sticks</v>
      </c>
      <c r="J5758" s="175" t="str">
        <f t="shared" si="661"/>
        <v>3985Repack MG Sticks</v>
      </c>
      <c r="K5758" s="176">
        <f>VLOOKUP(I5758,'Attain %'!A:B,2,0)</f>
        <v>0.96</v>
      </c>
      <c r="L5758" s="177">
        <f t="shared" si="662"/>
        <v>4800</v>
      </c>
      <c r="M5758" s="177">
        <f t="shared" si="663"/>
        <v>31.104000000000003</v>
      </c>
      <c r="N5758" s="177">
        <f t="shared" si="664"/>
        <v>160</v>
      </c>
      <c r="O5758" s="175" t="str">
        <f t="shared" si="665"/>
        <v>Nov</v>
      </c>
      <c r="P5758" s="265">
        <f t="shared" si="666"/>
        <v>45</v>
      </c>
    </row>
    <row r="5759" spans="1:16" ht="15" hidden="1" customHeight="1">
      <c r="A5759" s="489">
        <v>64378129</v>
      </c>
      <c r="B5759" s="489" t="s">
        <v>137</v>
      </c>
      <c r="D5759" s="597">
        <v>46195</v>
      </c>
      <c r="E5759" s="489" t="s">
        <v>627</v>
      </c>
      <c r="F5759" s="489" t="s">
        <v>1223</v>
      </c>
      <c r="G5759" s="395">
        <f>VLOOKUP($A5759,'Tech Litons'!$A:$I,8,FALSE)</f>
        <v>3.8399999999999997E-3</v>
      </c>
      <c r="H5759" s="174">
        <f>VLOOKUP($A5759,'Tech Litons'!$A:$I,9,FALSE)</f>
        <v>110</v>
      </c>
      <c r="I5759" s="174" t="str">
        <f>VLOOKUP($A5759,'Tech Litons'!$A:$C,3,0)</f>
        <v>Other</v>
      </c>
      <c r="J5759" s="175" t="str">
        <f t="shared" si="661"/>
        <v>TurkeyOther</v>
      </c>
      <c r="K5759" s="176">
        <f>VLOOKUP(I5759,'Attain %'!A:B,2,0)</f>
        <v>0.96</v>
      </c>
      <c r="L5759" s="177">
        <f t="shared" si="662"/>
        <v>0</v>
      </c>
      <c r="M5759" s="177">
        <f t="shared" si="663"/>
        <v>0</v>
      </c>
      <c r="N5759" s="177">
        <f t="shared" si="664"/>
        <v>0</v>
      </c>
      <c r="O5759" s="175" t="str">
        <f t="shared" si="665"/>
        <v>Jun</v>
      </c>
      <c r="P5759" s="265">
        <f t="shared" si="666"/>
        <v>26</v>
      </c>
    </row>
    <row r="5760" spans="1:16" ht="15" hidden="1" customHeight="1">
      <c r="A5760" s="489">
        <v>64958862</v>
      </c>
      <c r="B5760" s="489" t="s">
        <v>133</v>
      </c>
      <c r="C5760" s="488">
        <v>5100</v>
      </c>
      <c r="D5760" s="597">
        <v>46202</v>
      </c>
      <c r="E5760" s="489" t="s">
        <v>1290</v>
      </c>
      <c r="F5760" s="489" t="s">
        <v>1223</v>
      </c>
      <c r="G5760" s="395">
        <f>VLOOKUP($A5760,'Tech Litons'!$A:$I,8,FALSE)</f>
        <v>3.516E-3</v>
      </c>
      <c r="H5760" s="174">
        <f>VLOOKUP($A5760,'Tech Litons'!$A:$I,9,FALSE)</f>
        <v>170</v>
      </c>
      <c r="I5760" s="174" t="str">
        <f>VLOOKUP($A5760,'Tech Litons'!$A:$C,3,0)</f>
        <v>Other</v>
      </c>
      <c r="J5760" s="175" t="str">
        <f t="shared" si="661"/>
        <v>GDIOther</v>
      </c>
      <c r="K5760" s="176">
        <f>VLOOKUP(I5760,'Attain %'!A:B,2,0)</f>
        <v>0.96</v>
      </c>
      <c r="L5760" s="177">
        <f t="shared" si="662"/>
        <v>4896</v>
      </c>
      <c r="M5760" s="177">
        <f t="shared" si="663"/>
        <v>17.214335999999999</v>
      </c>
      <c r="N5760" s="177">
        <f t="shared" si="664"/>
        <v>28.8</v>
      </c>
      <c r="O5760" s="175" t="str">
        <f t="shared" si="665"/>
        <v>Jun</v>
      </c>
      <c r="P5760" s="265">
        <f t="shared" si="666"/>
        <v>27</v>
      </c>
    </row>
    <row r="5761" spans="1:16" ht="15" hidden="1" customHeight="1">
      <c r="A5761" s="489">
        <v>68852591</v>
      </c>
      <c r="B5761" s="489">
        <v>1352</v>
      </c>
      <c r="C5761" s="488">
        <v>5200</v>
      </c>
      <c r="D5761" s="597">
        <v>46125</v>
      </c>
      <c r="E5761" s="489" t="s">
        <v>326</v>
      </c>
      <c r="F5761" s="489" t="s">
        <v>1214</v>
      </c>
      <c r="G5761" s="395">
        <f>VLOOKUP($A5761,'Tech Litons'!$A:$I,8,FALSE)</f>
        <v>8.5199999999999998E-3</v>
      </c>
      <c r="H5761" s="174">
        <f>VLOOKUP($A5761,'Tech Litons'!$A:$I,9,FALSE)</f>
        <v>132</v>
      </c>
      <c r="I5761" s="174" t="str">
        <f>VLOOKUP($A5761,'Tech Litons'!$A:$C,3,0)</f>
        <v>EDF</v>
      </c>
      <c r="J5761" s="175" t="str">
        <f t="shared" si="661"/>
        <v>1352EDF</v>
      </c>
      <c r="K5761" s="176">
        <f>VLOOKUP(I5761,'Attain %'!A:B,2,0)</f>
        <v>0.96</v>
      </c>
      <c r="L5761" s="177">
        <f t="shared" si="662"/>
        <v>4992</v>
      </c>
      <c r="M5761" s="177">
        <f t="shared" si="663"/>
        <v>42.531840000000003</v>
      </c>
      <c r="N5761" s="177">
        <f t="shared" si="664"/>
        <v>37.81818181818182</v>
      </c>
      <c r="O5761" s="175" t="str">
        <f t="shared" si="665"/>
        <v>Apr</v>
      </c>
      <c r="P5761" s="265">
        <f t="shared" si="666"/>
        <v>16</v>
      </c>
    </row>
    <row r="5762" spans="1:16" ht="15" hidden="1" customHeight="1">
      <c r="A5762" s="489">
        <v>68851105</v>
      </c>
      <c r="B5762" s="489">
        <v>2904</v>
      </c>
      <c r="C5762" s="488">
        <v>5400</v>
      </c>
      <c r="D5762" s="597">
        <v>46160</v>
      </c>
      <c r="E5762" s="489" t="s">
        <v>400</v>
      </c>
      <c r="F5762" s="489" t="s">
        <v>1226</v>
      </c>
      <c r="G5762" s="395">
        <f>VLOOKUP($A5762,'Tech Litons'!$A:$I,8,FALSE)</f>
        <v>8.5199999999999998E-3</v>
      </c>
      <c r="H5762" s="174">
        <f>VLOOKUP($A5762,'Tech Litons'!$A:$I,9,FALSE)</f>
        <v>154</v>
      </c>
      <c r="I5762" s="174" t="str">
        <f>VLOOKUP($A5762,'Tech Litons'!$A:$C,3,0)</f>
        <v>48oz</v>
      </c>
      <c r="J5762" s="175" t="str">
        <f t="shared" si="661"/>
        <v>290448oz</v>
      </c>
      <c r="K5762" s="176">
        <f>VLOOKUP(I5762,'Attain %'!A:B,2,0)</f>
        <v>0.94</v>
      </c>
      <c r="L5762" s="177">
        <f t="shared" si="662"/>
        <v>5076</v>
      </c>
      <c r="M5762" s="177">
        <f t="shared" si="663"/>
        <v>43.247520000000002</v>
      </c>
      <c r="N5762" s="177">
        <f t="shared" si="664"/>
        <v>32.961038961038959</v>
      </c>
      <c r="O5762" s="175" t="str">
        <f t="shared" si="665"/>
        <v>May</v>
      </c>
      <c r="P5762" s="265">
        <f t="shared" si="666"/>
        <v>21</v>
      </c>
    </row>
    <row r="5763" spans="1:16" ht="15" hidden="1" customHeight="1">
      <c r="A5763" s="489">
        <v>68851106</v>
      </c>
      <c r="B5763" s="489">
        <v>2904</v>
      </c>
      <c r="C5763" s="488">
        <v>5400</v>
      </c>
      <c r="D5763" s="597">
        <v>46139</v>
      </c>
      <c r="E5763" s="489" t="s">
        <v>359</v>
      </c>
      <c r="F5763" s="489" t="s">
        <v>1226</v>
      </c>
      <c r="G5763" s="395">
        <f>VLOOKUP($A5763,'Tech Litons'!$A:$I,8,FALSE)</f>
        <v>8.5199999999999998E-3</v>
      </c>
      <c r="H5763" s="174">
        <f>VLOOKUP($A5763,'Tech Litons'!$A:$I,9,FALSE)</f>
        <v>154</v>
      </c>
      <c r="I5763" s="174" t="str">
        <f>VLOOKUP($A5763,'Tech Litons'!$A:$C,3,0)</f>
        <v>48oz</v>
      </c>
      <c r="J5763" s="175" t="str">
        <f t="shared" si="661"/>
        <v>290448oz</v>
      </c>
      <c r="K5763" s="176">
        <f>VLOOKUP(I5763,'Attain %'!A:B,2,0)</f>
        <v>0.94</v>
      </c>
      <c r="L5763" s="177">
        <f t="shared" si="662"/>
        <v>5076</v>
      </c>
      <c r="M5763" s="177">
        <f t="shared" si="663"/>
        <v>43.247520000000002</v>
      </c>
      <c r="N5763" s="177">
        <f t="shared" si="664"/>
        <v>32.961038961038959</v>
      </c>
      <c r="O5763" s="175" t="str">
        <f t="shared" si="665"/>
        <v>Apr</v>
      </c>
      <c r="P5763" s="265">
        <f t="shared" si="666"/>
        <v>18</v>
      </c>
    </row>
    <row r="5764" spans="1:16" ht="15" hidden="1" customHeight="1">
      <c r="A5764" s="489">
        <v>68851106</v>
      </c>
      <c r="B5764" s="489">
        <v>2904</v>
      </c>
      <c r="C5764" s="488">
        <v>5400</v>
      </c>
      <c r="D5764" s="597">
        <v>46153</v>
      </c>
      <c r="E5764" s="489" t="s">
        <v>359</v>
      </c>
      <c r="F5764" s="489" t="s">
        <v>1226</v>
      </c>
      <c r="G5764" s="395">
        <f>VLOOKUP($A5764,'Tech Litons'!$A:$I,8,FALSE)</f>
        <v>8.5199999999999998E-3</v>
      </c>
      <c r="H5764" s="174">
        <f>VLOOKUP($A5764,'Tech Litons'!$A:$I,9,FALSE)</f>
        <v>154</v>
      </c>
      <c r="I5764" s="174" t="str">
        <f>VLOOKUP($A5764,'Tech Litons'!$A:$C,3,0)</f>
        <v>48oz</v>
      </c>
      <c r="J5764" s="175" t="str">
        <f t="shared" si="661"/>
        <v>290448oz</v>
      </c>
      <c r="K5764" s="176">
        <f>VLOOKUP(I5764,'Attain %'!A:B,2,0)</f>
        <v>0.94</v>
      </c>
      <c r="L5764" s="177">
        <f t="shared" si="662"/>
        <v>5076</v>
      </c>
      <c r="M5764" s="177">
        <f t="shared" si="663"/>
        <v>43.247520000000002</v>
      </c>
      <c r="N5764" s="177">
        <f t="shared" si="664"/>
        <v>32.961038961038959</v>
      </c>
      <c r="O5764" s="175" t="str">
        <f t="shared" si="665"/>
        <v>May</v>
      </c>
      <c r="P5764" s="265">
        <f t="shared" si="666"/>
        <v>20</v>
      </c>
    </row>
    <row r="5765" spans="1:16" ht="15" hidden="1" customHeight="1">
      <c r="A5765" s="489">
        <v>68851109</v>
      </c>
      <c r="B5765" s="489">
        <v>2904</v>
      </c>
      <c r="C5765" s="488">
        <v>5400</v>
      </c>
      <c r="D5765" s="597">
        <v>46139</v>
      </c>
      <c r="E5765" s="489" t="s">
        <v>297</v>
      </c>
      <c r="F5765" s="489" t="s">
        <v>1226</v>
      </c>
      <c r="G5765" s="395">
        <f>VLOOKUP($A5765,'Tech Litons'!$A:$I,8,FALSE)</f>
        <v>8.5199999999999998E-3</v>
      </c>
      <c r="H5765" s="174">
        <f>VLOOKUP($A5765,'Tech Litons'!$A:$I,9,FALSE)</f>
        <v>154</v>
      </c>
      <c r="I5765" s="174" t="str">
        <f>VLOOKUP($A5765,'Tech Litons'!$A:$C,3,0)</f>
        <v>48oz</v>
      </c>
      <c r="J5765" s="175" t="str">
        <f t="shared" si="661"/>
        <v>290448oz</v>
      </c>
      <c r="K5765" s="176">
        <f>VLOOKUP(I5765,'Attain %'!A:B,2,0)</f>
        <v>0.94</v>
      </c>
      <c r="L5765" s="177">
        <f t="shared" si="662"/>
        <v>5076</v>
      </c>
      <c r="M5765" s="177">
        <f t="shared" si="663"/>
        <v>43.247520000000002</v>
      </c>
      <c r="N5765" s="177">
        <f t="shared" si="664"/>
        <v>32.961038961038959</v>
      </c>
      <c r="O5765" s="175" t="str">
        <f t="shared" si="665"/>
        <v>Apr</v>
      </c>
      <c r="P5765" s="265">
        <f t="shared" si="666"/>
        <v>18</v>
      </c>
    </row>
    <row r="5766" spans="1:16" ht="15" hidden="1" customHeight="1">
      <c r="A5766" s="489">
        <v>68851109</v>
      </c>
      <c r="B5766" s="489">
        <v>2904</v>
      </c>
      <c r="C5766" s="488">
        <v>5400</v>
      </c>
      <c r="D5766" s="597">
        <v>46146</v>
      </c>
      <c r="E5766" s="489" t="s">
        <v>297</v>
      </c>
      <c r="F5766" s="489" t="s">
        <v>1226</v>
      </c>
      <c r="G5766" s="395">
        <f>VLOOKUP($A5766,'Tech Litons'!$A:$I,8,FALSE)</f>
        <v>8.5199999999999998E-3</v>
      </c>
      <c r="H5766" s="174">
        <f>VLOOKUP($A5766,'Tech Litons'!$A:$I,9,FALSE)</f>
        <v>154</v>
      </c>
      <c r="I5766" s="174" t="str">
        <f>VLOOKUP($A5766,'Tech Litons'!$A:$C,3,0)</f>
        <v>48oz</v>
      </c>
      <c r="J5766" s="175" t="str">
        <f t="shared" si="661"/>
        <v>290448oz</v>
      </c>
      <c r="K5766" s="176">
        <f>VLOOKUP(I5766,'Attain %'!A:B,2,0)</f>
        <v>0.94</v>
      </c>
      <c r="L5766" s="177">
        <f t="shared" si="662"/>
        <v>5076</v>
      </c>
      <c r="M5766" s="177">
        <f t="shared" si="663"/>
        <v>43.247520000000002</v>
      </c>
      <c r="N5766" s="177">
        <f t="shared" si="664"/>
        <v>32.961038961038959</v>
      </c>
      <c r="O5766" s="175" t="str">
        <f t="shared" si="665"/>
        <v>May</v>
      </c>
      <c r="P5766" s="265">
        <f t="shared" si="666"/>
        <v>19</v>
      </c>
    </row>
    <row r="5767" spans="1:16" ht="15" hidden="1" customHeight="1">
      <c r="A5767" s="489">
        <v>64369052</v>
      </c>
      <c r="B5767" s="489" t="s">
        <v>137</v>
      </c>
      <c r="C5767" s="488">
        <v>5400</v>
      </c>
      <c r="D5767" s="597">
        <v>46167</v>
      </c>
      <c r="E5767" s="489" t="s">
        <v>626</v>
      </c>
      <c r="F5767" s="489" t="s">
        <v>1223</v>
      </c>
      <c r="G5767" s="395">
        <f>VLOOKUP($A5767,'Tech Litons'!$A:$I,8,FALSE)</f>
        <v>5.3220000000000003E-3</v>
      </c>
      <c r="H5767" s="174">
        <f>VLOOKUP($A5767,'Tech Litons'!$A:$I,9,FALSE)</f>
        <v>120</v>
      </c>
      <c r="I5767" s="174" t="str">
        <f>VLOOKUP($A5767,'Tech Litons'!$A:$C,3,0)</f>
        <v>KL Mini Cones</v>
      </c>
      <c r="J5767" s="175" t="str">
        <f t="shared" si="661"/>
        <v>TurkeyKL Mini Cones</v>
      </c>
      <c r="K5767" s="176">
        <f>VLOOKUP(I5767,'Attain %'!A:B,2,0)</f>
        <v>0.96</v>
      </c>
      <c r="L5767" s="177">
        <f t="shared" si="662"/>
        <v>5184</v>
      </c>
      <c r="M5767" s="177">
        <f t="shared" si="663"/>
        <v>27.589248000000001</v>
      </c>
      <c r="N5767" s="177">
        <f t="shared" si="664"/>
        <v>43.2</v>
      </c>
      <c r="O5767" s="175" t="str">
        <f t="shared" si="665"/>
        <v>May</v>
      </c>
      <c r="P5767" s="265">
        <f t="shared" si="666"/>
        <v>22</v>
      </c>
    </row>
    <row r="5768" spans="1:16" ht="15" hidden="1" customHeight="1">
      <c r="A5768" s="489">
        <v>65549173</v>
      </c>
      <c r="B5768" s="489" t="s">
        <v>139</v>
      </c>
      <c r="C5768" s="488">
        <v>5480</v>
      </c>
      <c r="D5768" s="597">
        <v>46258</v>
      </c>
      <c r="E5768" s="489" t="s">
        <v>1189</v>
      </c>
      <c r="F5768" s="489" t="s">
        <v>1223</v>
      </c>
      <c r="G5768" s="395">
        <f>VLOOKUP($A5768,'Tech Litons'!$A:$I,8,FALSE)</f>
        <v>1.1999999999999999E-3</v>
      </c>
      <c r="H5768" s="174">
        <f>VLOOKUP($A5768,'Tech Litons'!$A:$I,9,FALSE)</f>
        <v>210</v>
      </c>
      <c r="I5768" s="174" t="str">
        <f>VLOOKUP($A5768,'Tech Litons'!$A:$C,3,0)</f>
        <v>Facepieces</v>
      </c>
      <c r="J5768" s="175" t="str">
        <f t="shared" si="661"/>
        <v>IncomFacepieces</v>
      </c>
      <c r="K5768" s="176">
        <f>VLOOKUP(I5768,'Attain %'!A:B,2,0)</f>
        <v>0.96</v>
      </c>
      <c r="L5768" s="177">
        <f t="shared" si="662"/>
        <v>5260.8</v>
      </c>
      <c r="M5768" s="177">
        <f t="shared" si="663"/>
        <v>6.3129599999999995</v>
      </c>
      <c r="N5768" s="177">
        <f t="shared" si="664"/>
        <v>25.051428571428573</v>
      </c>
      <c r="O5768" s="175" t="str">
        <f t="shared" si="665"/>
        <v>Aug</v>
      </c>
      <c r="P5768" s="265">
        <f t="shared" si="666"/>
        <v>35</v>
      </c>
    </row>
    <row r="5769" spans="1:16" ht="15" hidden="1" customHeight="1">
      <c r="A5769" s="489">
        <v>68264519</v>
      </c>
      <c r="B5769" s="489" t="s">
        <v>118</v>
      </c>
      <c r="C5769" s="488">
        <v>5500</v>
      </c>
      <c r="D5769" s="597">
        <v>46125</v>
      </c>
      <c r="E5769" s="489" t="s">
        <v>894</v>
      </c>
      <c r="F5769" s="489" t="s">
        <v>1223</v>
      </c>
      <c r="G5769" s="395">
        <f>VLOOKUP($A5769,'Tech Litons'!$A:$I,8,FALSE)</f>
        <v>1.419504E-3</v>
      </c>
      <c r="H5769" s="174">
        <f>VLOOKUP($A5769,'Tech Litons'!$A:$I,9,FALSE)</f>
        <v>256</v>
      </c>
      <c r="I5769" s="174" t="str">
        <f>VLOOKUP($A5769,'Tech Litons'!$A:$C,3,0)</f>
        <v>Dough Bites</v>
      </c>
      <c r="J5769" s="175" t="str">
        <f t="shared" si="661"/>
        <v>RhinoDough Bites</v>
      </c>
      <c r="K5769" s="176">
        <f>VLOOKUP(I5769,'Attain %'!A:B,2,0)</f>
        <v>0.96</v>
      </c>
      <c r="L5769" s="177">
        <f t="shared" si="662"/>
        <v>5280</v>
      </c>
      <c r="M5769" s="177">
        <f t="shared" si="663"/>
        <v>7.4949811200000003</v>
      </c>
      <c r="N5769" s="177">
        <f t="shared" si="664"/>
        <v>20.625</v>
      </c>
      <c r="O5769" s="175" t="str">
        <f t="shared" si="665"/>
        <v>Apr</v>
      </c>
      <c r="P5769" s="265">
        <f t="shared" si="666"/>
        <v>16</v>
      </c>
    </row>
    <row r="5770" spans="1:16" ht="15" hidden="1" customHeight="1">
      <c r="A5770" s="489">
        <v>68264519</v>
      </c>
      <c r="B5770" s="489" t="s">
        <v>118</v>
      </c>
      <c r="C5770" s="488">
        <v>5500</v>
      </c>
      <c r="D5770" s="597">
        <v>46174</v>
      </c>
      <c r="E5770" s="489" t="s">
        <v>894</v>
      </c>
      <c r="F5770" s="489" t="s">
        <v>1223</v>
      </c>
      <c r="G5770" s="395">
        <f>VLOOKUP($A5770,'Tech Litons'!$A:$I,8,FALSE)</f>
        <v>1.419504E-3</v>
      </c>
      <c r="H5770" s="174">
        <f>VLOOKUP($A5770,'Tech Litons'!$A:$I,9,FALSE)</f>
        <v>256</v>
      </c>
      <c r="I5770" s="174" t="str">
        <f>VLOOKUP($A5770,'Tech Litons'!$A:$C,3,0)</f>
        <v>Dough Bites</v>
      </c>
      <c r="J5770" s="175" t="str">
        <f t="shared" si="661"/>
        <v>RhinoDough Bites</v>
      </c>
      <c r="K5770" s="176">
        <f>VLOOKUP(I5770,'Attain %'!A:B,2,0)</f>
        <v>0.96</v>
      </c>
      <c r="L5770" s="177">
        <f t="shared" si="662"/>
        <v>5280</v>
      </c>
      <c r="M5770" s="177">
        <f t="shared" si="663"/>
        <v>7.4949811200000003</v>
      </c>
      <c r="N5770" s="177">
        <f t="shared" si="664"/>
        <v>20.625</v>
      </c>
      <c r="O5770" s="175" t="str">
        <f t="shared" si="665"/>
        <v>Jun</v>
      </c>
      <c r="P5770" s="265">
        <f t="shared" si="666"/>
        <v>23</v>
      </c>
    </row>
    <row r="5771" spans="1:16" ht="15" hidden="1" customHeight="1">
      <c r="A5771" s="489">
        <v>68264519</v>
      </c>
      <c r="B5771" s="489" t="s">
        <v>118</v>
      </c>
      <c r="C5771" s="488">
        <v>5500</v>
      </c>
      <c r="D5771" s="597">
        <v>46209</v>
      </c>
      <c r="E5771" s="489" t="s">
        <v>894</v>
      </c>
      <c r="F5771" s="489" t="s">
        <v>1223</v>
      </c>
      <c r="G5771" s="395">
        <f>VLOOKUP($A5771,'Tech Litons'!$A:$I,8,FALSE)</f>
        <v>1.419504E-3</v>
      </c>
      <c r="H5771" s="174">
        <f>VLOOKUP($A5771,'Tech Litons'!$A:$I,9,FALSE)</f>
        <v>256</v>
      </c>
      <c r="I5771" s="174" t="str">
        <f>VLOOKUP($A5771,'Tech Litons'!$A:$C,3,0)</f>
        <v>Dough Bites</v>
      </c>
      <c r="J5771" s="175" t="str">
        <f t="shared" si="661"/>
        <v>RhinoDough Bites</v>
      </c>
      <c r="K5771" s="176">
        <f>VLOOKUP(I5771,'Attain %'!A:B,2,0)</f>
        <v>0.96</v>
      </c>
      <c r="L5771" s="177">
        <f t="shared" si="662"/>
        <v>5280</v>
      </c>
      <c r="M5771" s="177">
        <f t="shared" si="663"/>
        <v>7.4949811200000003</v>
      </c>
      <c r="N5771" s="177">
        <f t="shared" si="664"/>
        <v>20.625</v>
      </c>
      <c r="O5771" s="175" t="str">
        <f t="shared" si="665"/>
        <v>Jul</v>
      </c>
      <c r="P5771" s="265">
        <f t="shared" si="666"/>
        <v>28</v>
      </c>
    </row>
    <row r="5772" spans="1:16" ht="15" hidden="1" customHeight="1">
      <c r="A5772" s="489">
        <v>68264519</v>
      </c>
      <c r="B5772" s="489" t="s">
        <v>118</v>
      </c>
      <c r="C5772" s="488">
        <v>5500</v>
      </c>
      <c r="D5772" s="597">
        <v>46244</v>
      </c>
      <c r="E5772" s="489" t="s">
        <v>894</v>
      </c>
      <c r="F5772" s="489" t="s">
        <v>1223</v>
      </c>
      <c r="G5772" s="395">
        <f>VLOOKUP($A5772,'Tech Litons'!$A:$I,8,FALSE)</f>
        <v>1.419504E-3</v>
      </c>
      <c r="H5772" s="174">
        <f>VLOOKUP($A5772,'Tech Litons'!$A:$I,9,FALSE)</f>
        <v>256</v>
      </c>
      <c r="I5772" s="174" t="str">
        <f>VLOOKUP($A5772,'Tech Litons'!$A:$C,3,0)</f>
        <v>Dough Bites</v>
      </c>
      <c r="J5772" s="175" t="str">
        <f t="shared" si="661"/>
        <v>RhinoDough Bites</v>
      </c>
      <c r="K5772" s="176">
        <f>VLOOKUP(I5772,'Attain %'!A:B,2,0)</f>
        <v>0.96</v>
      </c>
      <c r="L5772" s="177">
        <f t="shared" si="662"/>
        <v>5280</v>
      </c>
      <c r="M5772" s="177">
        <f t="shared" si="663"/>
        <v>7.4949811200000003</v>
      </c>
      <c r="N5772" s="177">
        <f t="shared" si="664"/>
        <v>20.625</v>
      </c>
      <c r="O5772" s="175" t="str">
        <f t="shared" si="665"/>
        <v>Aug</v>
      </c>
      <c r="P5772" s="265">
        <f t="shared" si="666"/>
        <v>33</v>
      </c>
    </row>
    <row r="5773" spans="1:16" ht="15" hidden="1" customHeight="1">
      <c r="A5773" s="489">
        <v>68264519</v>
      </c>
      <c r="B5773" s="489" t="s">
        <v>118</v>
      </c>
      <c r="C5773" s="488">
        <v>5500</v>
      </c>
      <c r="D5773" s="597">
        <v>46265</v>
      </c>
      <c r="E5773" s="489" t="s">
        <v>894</v>
      </c>
      <c r="F5773" s="489" t="s">
        <v>1223</v>
      </c>
      <c r="G5773" s="395">
        <f>VLOOKUP($A5773,'Tech Litons'!$A:$I,8,FALSE)</f>
        <v>1.419504E-3</v>
      </c>
      <c r="H5773" s="174">
        <f>VLOOKUP($A5773,'Tech Litons'!$A:$I,9,FALSE)</f>
        <v>256</v>
      </c>
      <c r="I5773" s="174" t="str">
        <f>VLOOKUP($A5773,'Tech Litons'!$A:$C,3,0)</f>
        <v>Dough Bites</v>
      </c>
      <c r="J5773" s="175" t="str">
        <f t="shared" si="661"/>
        <v>RhinoDough Bites</v>
      </c>
      <c r="K5773" s="176">
        <f>VLOOKUP(I5773,'Attain %'!A:B,2,0)</f>
        <v>0.96</v>
      </c>
      <c r="L5773" s="177">
        <f t="shared" si="662"/>
        <v>5280</v>
      </c>
      <c r="M5773" s="177">
        <f t="shared" si="663"/>
        <v>7.4949811200000003</v>
      </c>
      <c r="N5773" s="177">
        <f t="shared" si="664"/>
        <v>20.625</v>
      </c>
      <c r="O5773" s="175" t="str">
        <f t="shared" si="665"/>
        <v>Aug</v>
      </c>
      <c r="P5773" s="265">
        <f t="shared" si="666"/>
        <v>36</v>
      </c>
    </row>
    <row r="5774" spans="1:16" ht="15" hidden="1" customHeight="1">
      <c r="A5774" s="489">
        <v>68264519</v>
      </c>
      <c r="B5774" s="489" t="s">
        <v>118</v>
      </c>
      <c r="C5774" s="488">
        <v>5500</v>
      </c>
      <c r="D5774" s="597">
        <v>46300</v>
      </c>
      <c r="E5774" s="489" t="s">
        <v>894</v>
      </c>
      <c r="F5774" s="489" t="s">
        <v>1223</v>
      </c>
      <c r="G5774" s="395">
        <f>VLOOKUP($A5774,'Tech Litons'!$A:$I,8,FALSE)</f>
        <v>1.419504E-3</v>
      </c>
      <c r="H5774" s="174">
        <f>VLOOKUP($A5774,'Tech Litons'!$A:$I,9,FALSE)</f>
        <v>256</v>
      </c>
      <c r="I5774" s="174" t="str">
        <f>VLOOKUP($A5774,'Tech Litons'!$A:$C,3,0)</f>
        <v>Dough Bites</v>
      </c>
      <c r="J5774" s="175" t="str">
        <f t="shared" si="661"/>
        <v>RhinoDough Bites</v>
      </c>
      <c r="K5774" s="176">
        <f>VLOOKUP(I5774,'Attain %'!A:B,2,0)</f>
        <v>0.96</v>
      </c>
      <c r="L5774" s="177">
        <f t="shared" si="662"/>
        <v>5280</v>
      </c>
      <c r="M5774" s="177">
        <f t="shared" si="663"/>
        <v>7.4949811200000003</v>
      </c>
      <c r="N5774" s="177">
        <f t="shared" si="664"/>
        <v>20.625</v>
      </c>
      <c r="O5774" s="175" t="str">
        <f t="shared" si="665"/>
        <v>Oct</v>
      </c>
      <c r="P5774" s="265">
        <f t="shared" si="666"/>
        <v>41</v>
      </c>
    </row>
    <row r="5775" spans="1:16" ht="15" hidden="1" customHeight="1">
      <c r="A5775" s="489">
        <v>68264519</v>
      </c>
      <c r="B5775" s="489" t="s">
        <v>118</v>
      </c>
      <c r="C5775" s="488">
        <v>5500</v>
      </c>
      <c r="D5775" s="597">
        <v>46335</v>
      </c>
      <c r="E5775" s="489" t="s">
        <v>894</v>
      </c>
      <c r="F5775" s="489" t="s">
        <v>1223</v>
      </c>
      <c r="G5775" s="395">
        <f>VLOOKUP($A5775,'Tech Litons'!$A:$I,8,FALSE)</f>
        <v>1.419504E-3</v>
      </c>
      <c r="H5775" s="174">
        <f>VLOOKUP($A5775,'Tech Litons'!$A:$I,9,FALSE)</f>
        <v>256</v>
      </c>
      <c r="I5775" s="174" t="str">
        <f>VLOOKUP($A5775,'Tech Litons'!$A:$C,3,0)</f>
        <v>Dough Bites</v>
      </c>
      <c r="J5775" s="175" t="str">
        <f t="shared" si="661"/>
        <v>RhinoDough Bites</v>
      </c>
      <c r="K5775" s="176">
        <f>VLOOKUP(I5775,'Attain %'!A:B,2,0)</f>
        <v>0.96</v>
      </c>
      <c r="L5775" s="177">
        <f t="shared" si="662"/>
        <v>5280</v>
      </c>
      <c r="M5775" s="177">
        <f t="shared" si="663"/>
        <v>7.4949811200000003</v>
      </c>
      <c r="N5775" s="177">
        <f t="shared" si="664"/>
        <v>20.625</v>
      </c>
      <c r="O5775" s="175" t="str">
        <f t="shared" si="665"/>
        <v>Nov</v>
      </c>
      <c r="P5775" s="265">
        <f t="shared" si="666"/>
        <v>46</v>
      </c>
    </row>
    <row r="5776" spans="1:16" ht="15" hidden="1" customHeight="1">
      <c r="A5776" s="489">
        <v>68264519</v>
      </c>
      <c r="B5776" s="489" t="s">
        <v>118</v>
      </c>
      <c r="C5776" s="488">
        <v>5500</v>
      </c>
      <c r="D5776" s="597">
        <v>46363</v>
      </c>
      <c r="E5776" s="489" t="s">
        <v>894</v>
      </c>
      <c r="F5776" s="489" t="s">
        <v>1223</v>
      </c>
      <c r="G5776" s="395">
        <f>VLOOKUP($A5776,'Tech Litons'!$A:$I,8,FALSE)</f>
        <v>1.419504E-3</v>
      </c>
      <c r="H5776" s="174">
        <f>VLOOKUP($A5776,'Tech Litons'!$A:$I,9,FALSE)</f>
        <v>256</v>
      </c>
      <c r="I5776" s="174" t="str">
        <f>VLOOKUP($A5776,'Tech Litons'!$A:$C,3,0)</f>
        <v>Dough Bites</v>
      </c>
      <c r="J5776" s="175" t="str">
        <f t="shared" si="661"/>
        <v>RhinoDough Bites</v>
      </c>
      <c r="K5776" s="176">
        <f>VLOOKUP(I5776,'Attain %'!A:B,2,0)</f>
        <v>0.96</v>
      </c>
      <c r="L5776" s="177">
        <f t="shared" si="662"/>
        <v>5280</v>
      </c>
      <c r="M5776" s="177">
        <f t="shared" si="663"/>
        <v>7.4949811200000003</v>
      </c>
      <c r="N5776" s="177">
        <f t="shared" si="664"/>
        <v>20.625</v>
      </c>
      <c r="O5776" s="175" t="str">
        <f t="shared" si="665"/>
        <v>Dec</v>
      </c>
      <c r="P5776" s="265">
        <f t="shared" si="666"/>
        <v>50</v>
      </c>
    </row>
    <row r="5777" spans="1:16" ht="15" hidden="1" customHeight="1">
      <c r="A5777" s="489">
        <v>64379123</v>
      </c>
      <c r="B5777" s="489">
        <v>3910</v>
      </c>
      <c r="C5777" s="488">
        <v>5520</v>
      </c>
      <c r="D5777" s="597">
        <v>46118</v>
      </c>
      <c r="E5777" s="489" t="s">
        <v>633</v>
      </c>
      <c r="F5777" s="489" t="s">
        <v>1335</v>
      </c>
      <c r="G5777" s="395">
        <f>VLOOKUP($A5777,'Tech Litons'!$A:$I,8,FALSE)</f>
        <v>3.1939999999999998E-3</v>
      </c>
      <c r="H5777" s="174">
        <f>VLOOKUP($A5777,'Tech Litons'!$A:$I,9,FALSE)</f>
        <v>322</v>
      </c>
      <c r="I5777" s="174" t="str">
        <f>VLOOKUP($A5777,'Tech Litons'!$A:$C,3,0)</f>
        <v>EFW</v>
      </c>
      <c r="J5777" s="175" t="str">
        <f t="shared" si="661"/>
        <v>3910EFW</v>
      </c>
      <c r="K5777" s="176">
        <f>VLOOKUP(I5777,'Attain %'!A:B,2,0)</f>
        <v>0.96</v>
      </c>
      <c r="L5777" s="177">
        <f t="shared" si="662"/>
        <v>5299.2</v>
      </c>
      <c r="M5777" s="177">
        <f t="shared" si="663"/>
        <v>16.925644799999997</v>
      </c>
      <c r="N5777" s="177">
        <f t="shared" si="664"/>
        <v>16.457142857142856</v>
      </c>
      <c r="O5777" s="175" t="str">
        <f t="shared" si="665"/>
        <v>Apr</v>
      </c>
      <c r="P5777" s="265">
        <f t="shared" si="666"/>
        <v>15</v>
      </c>
    </row>
    <row r="5778" spans="1:16" ht="15" hidden="1" customHeight="1">
      <c r="A5778" s="489">
        <v>65489677</v>
      </c>
      <c r="B5778" s="489">
        <v>1717</v>
      </c>
      <c r="C5778" s="488">
        <v>5556</v>
      </c>
      <c r="D5778" s="597">
        <v>46153</v>
      </c>
      <c r="E5778" s="489" t="s">
        <v>1188</v>
      </c>
      <c r="F5778" s="489" t="s">
        <v>1221</v>
      </c>
      <c r="G5778" s="395">
        <f>VLOOKUP($A5778,'Tech Litons'!$A:$I,8,FALSE)</f>
        <v>2.8319999999999999E-3</v>
      </c>
      <c r="H5778" s="174">
        <f>VLOOKUP($A5778,'Tech Litons'!$A:$I,9,FALSE)</f>
        <v>221</v>
      </c>
      <c r="I5778" s="174" t="str">
        <f>VLOOKUP($A5778,'Tech Litons'!$A:$C,3,0)</f>
        <v>Other</v>
      </c>
      <c r="J5778" s="175" t="str">
        <f t="shared" si="661"/>
        <v>1717Other</v>
      </c>
      <c r="K5778" s="176">
        <f>VLOOKUP(I5778,'Attain %'!A:B,2,0)</f>
        <v>0.96</v>
      </c>
      <c r="L5778" s="177">
        <f t="shared" si="662"/>
        <v>5333.76</v>
      </c>
      <c r="M5778" s="177">
        <f t="shared" si="663"/>
        <v>15.105208319999999</v>
      </c>
      <c r="N5778" s="177">
        <f t="shared" si="664"/>
        <v>24.134660633484163</v>
      </c>
      <c r="O5778" s="175" t="str">
        <f t="shared" si="665"/>
        <v>May</v>
      </c>
      <c r="P5778" s="265">
        <f t="shared" si="666"/>
        <v>20</v>
      </c>
    </row>
    <row r="5779" spans="1:16" ht="15" hidden="1" customHeight="1">
      <c r="A5779" s="489">
        <v>67473913</v>
      </c>
      <c r="B5779" s="489">
        <v>5914</v>
      </c>
      <c r="C5779" s="488">
        <v>5600</v>
      </c>
      <c r="D5779" s="597">
        <v>46153</v>
      </c>
      <c r="E5779" s="489" t="s">
        <v>468</v>
      </c>
      <c r="F5779" s="489" t="s">
        <v>1246</v>
      </c>
      <c r="G5779" s="395">
        <f>VLOOKUP($A5779,'Tech Litons'!$A:$I,8,FALSE)</f>
        <v>3.7853439999999999E-3</v>
      </c>
      <c r="H5779" s="174">
        <f>VLOOKUP($A5779,'Tech Litons'!$A:$I,9,FALSE)</f>
        <v>240</v>
      </c>
      <c r="I5779" s="174" t="str">
        <f>VLOOKUP($A5779,'Tech Litons'!$A:$C,3,0)</f>
        <v>PTS Exports</v>
      </c>
      <c r="J5779" s="175" t="str">
        <f t="shared" si="661"/>
        <v>5914PTS Exports</v>
      </c>
      <c r="K5779" s="176">
        <f>VLOOKUP(I5779,'Attain %'!A:B,2,0)</f>
        <v>0.96</v>
      </c>
      <c r="L5779" s="177">
        <f t="shared" si="662"/>
        <v>5376</v>
      </c>
      <c r="M5779" s="177">
        <f t="shared" si="663"/>
        <v>20.350009344</v>
      </c>
      <c r="N5779" s="177">
        <f t="shared" si="664"/>
        <v>22.4</v>
      </c>
      <c r="O5779" s="175" t="str">
        <f t="shared" si="665"/>
        <v>May</v>
      </c>
      <c r="P5779" s="265">
        <f t="shared" si="666"/>
        <v>20</v>
      </c>
    </row>
    <row r="5780" spans="1:16" ht="15" hidden="1" customHeight="1">
      <c r="A5780" s="489">
        <v>64341968</v>
      </c>
      <c r="B5780" s="489">
        <v>1352</v>
      </c>
      <c r="C5780" s="488">
        <v>5640</v>
      </c>
      <c r="D5780" s="597">
        <v>46125</v>
      </c>
      <c r="E5780" s="489" t="s">
        <v>995</v>
      </c>
      <c r="F5780" s="489" t="s">
        <v>1211</v>
      </c>
      <c r="G5780" s="395">
        <f>VLOOKUP($A5780,'Tech Litons'!$A:$I,8,FALSE)</f>
        <v>8.5199999999999998E-3</v>
      </c>
      <c r="H5780" s="174">
        <f>VLOOKUP($A5780,'Tech Litons'!$A:$I,9,FALSE)</f>
        <v>176</v>
      </c>
      <c r="I5780" s="174" t="str">
        <f>VLOOKUP($A5780,'Tech Litons'!$A:$C,3,0)</f>
        <v>48oz</v>
      </c>
      <c r="J5780" s="175" t="str">
        <f t="shared" si="661"/>
        <v>135248oz</v>
      </c>
      <c r="K5780" s="176">
        <f>VLOOKUP(I5780,'Attain %'!A:B,2,0)</f>
        <v>0.94</v>
      </c>
      <c r="L5780" s="177">
        <f t="shared" si="662"/>
        <v>5301.5999999999995</v>
      </c>
      <c r="M5780" s="177">
        <f t="shared" si="663"/>
        <v>45.169631999999993</v>
      </c>
      <c r="N5780" s="177">
        <f t="shared" si="664"/>
        <v>30.122727272727271</v>
      </c>
      <c r="O5780" s="175" t="str">
        <f t="shared" si="665"/>
        <v>Apr</v>
      </c>
      <c r="P5780" s="265">
        <f t="shared" si="666"/>
        <v>16</v>
      </c>
    </row>
    <row r="5781" spans="1:16" ht="15" hidden="1" customHeight="1">
      <c r="A5781" s="489">
        <v>65254774</v>
      </c>
      <c r="B5781" s="489">
        <v>6765</v>
      </c>
      <c r="C5781" s="488">
        <v>5700</v>
      </c>
      <c r="D5781" s="597">
        <v>46307</v>
      </c>
      <c r="E5781" s="489" t="s">
        <v>614</v>
      </c>
      <c r="F5781" s="489" t="s">
        <v>1221</v>
      </c>
      <c r="G5781" s="395">
        <f>VLOOKUP($A5781,'Tech Litons'!$A:$I,8,FALSE)</f>
        <v>1E-3</v>
      </c>
      <c r="H5781" s="174">
        <f>VLOOKUP($A5781,'Tech Litons'!$A:$I,9,FALSE)</f>
        <v>420</v>
      </c>
      <c r="I5781" s="174" t="str">
        <f>VLOOKUP($A5781,'Tech Litons'!$A:$C,3,0)</f>
        <v>Other</v>
      </c>
      <c r="J5781" s="175" t="str">
        <f t="shared" si="661"/>
        <v>6765Other</v>
      </c>
      <c r="K5781" s="176">
        <f>VLOOKUP(I5781,'Attain %'!A:B,2,0)</f>
        <v>0.96</v>
      </c>
      <c r="L5781" s="177">
        <f t="shared" si="662"/>
        <v>5472</v>
      </c>
      <c r="M5781" s="177">
        <f t="shared" si="663"/>
        <v>5.4720000000000004</v>
      </c>
      <c r="N5781" s="177">
        <f t="shared" si="664"/>
        <v>13.028571428571428</v>
      </c>
      <c r="O5781" s="175" t="str">
        <f t="shared" si="665"/>
        <v>Oct</v>
      </c>
      <c r="P5781" s="265">
        <f t="shared" si="666"/>
        <v>42</v>
      </c>
    </row>
    <row r="5782" spans="1:16" ht="15" hidden="1" customHeight="1">
      <c r="A5782" s="489">
        <v>65254774</v>
      </c>
      <c r="B5782" s="489">
        <v>6765</v>
      </c>
      <c r="C5782" s="488">
        <v>5700</v>
      </c>
      <c r="D5782" s="597">
        <v>46314</v>
      </c>
      <c r="E5782" s="489" t="s">
        <v>614</v>
      </c>
      <c r="F5782" s="489" t="s">
        <v>1221</v>
      </c>
      <c r="G5782" s="395">
        <f>VLOOKUP($A5782,'Tech Litons'!$A:$I,8,FALSE)</f>
        <v>1E-3</v>
      </c>
      <c r="H5782" s="174">
        <f>VLOOKUP($A5782,'Tech Litons'!$A:$I,9,FALSE)</f>
        <v>420</v>
      </c>
      <c r="I5782" s="174" t="str">
        <f>VLOOKUP($A5782,'Tech Litons'!$A:$C,3,0)</f>
        <v>Other</v>
      </c>
      <c r="J5782" s="175" t="str">
        <f t="shared" si="661"/>
        <v>6765Other</v>
      </c>
      <c r="K5782" s="176">
        <f>VLOOKUP(I5782,'Attain %'!A:B,2,0)</f>
        <v>0.96</v>
      </c>
      <c r="L5782" s="177">
        <f t="shared" si="662"/>
        <v>5472</v>
      </c>
      <c r="M5782" s="177">
        <f t="shared" si="663"/>
        <v>5.4720000000000004</v>
      </c>
      <c r="N5782" s="177">
        <f t="shared" si="664"/>
        <v>13.028571428571428</v>
      </c>
      <c r="O5782" s="175" t="str">
        <f t="shared" si="665"/>
        <v>Oct</v>
      </c>
      <c r="P5782" s="265">
        <f t="shared" si="666"/>
        <v>43</v>
      </c>
    </row>
    <row r="5783" spans="1:16" ht="15" hidden="1" customHeight="1">
      <c r="A5783" s="489">
        <v>65254774</v>
      </c>
      <c r="B5783" s="489">
        <v>6765</v>
      </c>
      <c r="C5783" s="488">
        <v>5700</v>
      </c>
      <c r="D5783" s="597">
        <v>46321</v>
      </c>
      <c r="E5783" s="489" t="s">
        <v>614</v>
      </c>
      <c r="F5783" s="489" t="s">
        <v>1221</v>
      </c>
      <c r="G5783" s="395">
        <f>VLOOKUP($A5783,'Tech Litons'!$A:$I,8,FALSE)</f>
        <v>1E-3</v>
      </c>
      <c r="H5783" s="174">
        <f>VLOOKUP($A5783,'Tech Litons'!$A:$I,9,FALSE)</f>
        <v>420</v>
      </c>
      <c r="I5783" s="174" t="str">
        <f>VLOOKUP($A5783,'Tech Litons'!$A:$C,3,0)</f>
        <v>Other</v>
      </c>
      <c r="J5783" s="175" t="str">
        <f t="shared" si="661"/>
        <v>6765Other</v>
      </c>
      <c r="K5783" s="176">
        <f>VLOOKUP(I5783,'Attain %'!A:B,2,0)</f>
        <v>0.96</v>
      </c>
      <c r="L5783" s="177">
        <f t="shared" si="662"/>
        <v>5472</v>
      </c>
      <c r="M5783" s="177">
        <f t="shared" si="663"/>
        <v>5.4720000000000004</v>
      </c>
      <c r="N5783" s="177">
        <f t="shared" si="664"/>
        <v>13.028571428571428</v>
      </c>
      <c r="O5783" s="175" t="str">
        <f t="shared" si="665"/>
        <v>Oct</v>
      </c>
      <c r="P5783" s="265">
        <f t="shared" si="666"/>
        <v>44</v>
      </c>
    </row>
    <row r="5784" spans="1:16" ht="15" hidden="1" customHeight="1">
      <c r="A5784" s="489">
        <v>65254774</v>
      </c>
      <c r="B5784" s="489">
        <v>6765</v>
      </c>
      <c r="C5784" s="488">
        <v>5700</v>
      </c>
      <c r="D5784" s="597">
        <v>46356</v>
      </c>
      <c r="E5784" s="489" t="s">
        <v>614</v>
      </c>
      <c r="F5784" s="489" t="s">
        <v>1221</v>
      </c>
      <c r="G5784" s="395">
        <f>VLOOKUP($A5784,'Tech Litons'!$A:$I,8,FALSE)</f>
        <v>1E-3</v>
      </c>
      <c r="H5784" s="174">
        <f>VLOOKUP($A5784,'Tech Litons'!$A:$I,9,FALSE)</f>
        <v>420</v>
      </c>
      <c r="I5784" s="174" t="str">
        <f>VLOOKUP($A5784,'Tech Litons'!$A:$C,3,0)</f>
        <v>Other</v>
      </c>
      <c r="J5784" s="175" t="str">
        <f t="shared" si="661"/>
        <v>6765Other</v>
      </c>
      <c r="K5784" s="176">
        <f>VLOOKUP(I5784,'Attain %'!A:B,2,0)</f>
        <v>0.96</v>
      </c>
      <c r="L5784" s="177">
        <f t="shared" si="662"/>
        <v>5472</v>
      </c>
      <c r="M5784" s="177">
        <f t="shared" si="663"/>
        <v>5.4720000000000004</v>
      </c>
      <c r="N5784" s="177">
        <f t="shared" si="664"/>
        <v>13.028571428571428</v>
      </c>
      <c r="O5784" s="175" t="str">
        <f t="shared" si="665"/>
        <v>Nov</v>
      </c>
      <c r="P5784" s="265">
        <f t="shared" si="666"/>
        <v>49</v>
      </c>
    </row>
    <row r="5785" spans="1:16" ht="15" hidden="1" customHeight="1">
      <c r="A5785" s="489">
        <v>64776958</v>
      </c>
      <c r="B5785" s="489" t="s">
        <v>133</v>
      </c>
      <c r="C5785" s="488">
        <v>5700</v>
      </c>
      <c r="D5785" s="597">
        <v>46160</v>
      </c>
      <c r="E5785" s="489" t="s">
        <v>292</v>
      </c>
      <c r="F5785" s="489" t="s">
        <v>1223</v>
      </c>
      <c r="G5785" s="395">
        <f>VLOOKUP($A5785,'Tech Litons'!$A:$I,8,FALSE)</f>
        <v>5.2680000000000001E-3</v>
      </c>
      <c r="H5785" s="174">
        <f>VLOOKUP($A5785,'Tech Litons'!$A:$I,9,FALSE)</f>
        <v>130</v>
      </c>
      <c r="I5785" s="174" t="str">
        <f>VLOOKUP($A5785,'Tech Litons'!$A:$C,3,0)</f>
        <v>PG</v>
      </c>
      <c r="J5785" s="175" t="str">
        <f t="shared" si="661"/>
        <v>GDIPG</v>
      </c>
      <c r="K5785" s="176">
        <f>VLOOKUP(I5785,'Attain %'!A:B,2,0)</f>
        <v>0.96</v>
      </c>
      <c r="L5785" s="177">
        <f t="shared" si="662"/>
        <v>5472</v>
      </c>
      <c r="M5785" s="177">
        <f t="shared" si="663"/>
        <v>28.826496000000002</v>
      </c>
      <c r="N5785" s="177">
        <f t="shared" si="664"/>
        <v>42.092307692307692</v>
      </c>
      <c r="O5785" s="175" t="str">
        <f t="shared" si="665"/>
        <v>May</v>
      </c>
      <c r="P5785" s="265">
        <f t="shared" si="666"/>
        <v>21</v>
      </c>
    </row>
    <row r="5786" spans="1:16" ht="15" hidden="1" customHeight="1">
      <c r="A5786" s="489">
        <v>64973976</v>
      </c>
      <c r="B5786" s="489">
        <v>1712</v>
      </c>
      <c r="C5786" s="488">
        <v>5760</v>
      </c>
      <c r="D5786" s="597">
        <v>46216</v>
      </c>
      <c r="E5786" s="489" t="s">
        <v>1190</v>
      </c>
      <c r="F5786" s="489" t="s">
        <v>1221</v>
      </c>
      <c r="G5786" s="395">
        <f>VLOOKUP($A5786,'Tech Litons'!$A:$I,8,FALSE)</f>
        <v>1.0644000000000001E-3</v>
      </c>
      <c r="H5786" s="174">
        <f>VLOOKUP($A5786,'Tech Litons'!$A:$I,9,FALSE)</f>
        <v>190</v>
      </c>
      <c r="I5786" s="174" t="str">
        <f>VLOOKUP($A5786,'Tech Litons'!$A:$C,3,0)</f>
        <v>BR Minicups</v>
      </c>
      <c r="J5786" s="175" t="str">
        <f t="shared" si="661"/>
        <v>1712BR Minicups</v>
      </c>
      <c r="K5786" s="176">
        <f>VLOOKUP(I5786,'Attain %'!A:B,2,0)</f>
        <v>0.96</v>
      </c>
      <c r="L5786" s="177">
        <f t="shared" si="662"/>
        <v>5529.5999999999995</v>
      </c>
      <c r="M5786" s="177">
        <f t="shared" si="663"/>
        <v>5.8857062400000002</v>
      </c>
      <c r="N5786" s="177">
        <f t="shared" si="664"/>
        <v>29.103157894736839</v>
      </c>
      <c r="O5786" s="175" t="str">
        <f t="shared" si="665"/>
        <v>Jul</v>
      </c>
      <c r="P5786" s="265">
        <f t="shared" si="666"/>
        <v>29</v>
      </c>
    </row>
    <row r="5787" spans="1:16" ht="15" hidden="1" customHeight="1">
      <c r="A5787" s="489">
        <v>64409312</v>
      </c>
      <c r="B5787" s="489" t="s">
        <v>128</v>
      </c>
      <c r="C5787" s="488">
        <v>5839</v>
      </c>
      <c r="D5787" s="597">
        <v>46300</v>
      </c>
      <c r="E5787" s="489" t="s">
        <v>623</v>
      </c>
      <c r="F5787" s="489" t="s">
        <v>1223</v>
      </c>
      <c r="G5787" s="395">
        <f>VLOOKUP($A5787,'Tech Litons'!$A:$I,8,FALSE)</f>
        <v>5.2000000000000006E-4</v>
      </c>
      <c r="H5787" s="174">
        <f>VLOOKUP($A5787,'Tech Litons'!$A:$I,9,FALSE)</f>
        <v>135</v>
      </c>
      <c r="I5787" s="174" t="str">
        <f>VLOOKUP($A5787,'Tech Litons'!$A:$C,3,0)</f>
        <v>Other</v>
      </c>
      <c r="J5787" s="175" t="str">
        <f t="shared" si="661"/>
        <v>TultitlanOther</v>
      </c>
      <c r="K5787" s="176">
        <f>VLOOKUP(I5787,'Attain %'!A:B,2,0)</f>
        <v>0.96</v>
      </c>
      <c r="L5787" s="177">
        <f t="shared" si="662"/>
        <v>5605.44</v>
      </c>
      <c r="M5787" s="177">
        <f t="shared" si="663"/>
        <v>2.9148288</v>
      </c>
      <c r="N5787" s="177">
        <f t="shared" si="664"/>
        <v>41.521777777777778</v>
      </c>
      <c r="O5787" s="175" t="str">
        <f t="shared" si="665"/>
        <v>Oct</v>
      </c>
      <c r="P5787" s="265">
        <f t="shared" si="666"/>
        <v>41</v>
      </c>
    </row>
    <row r="5788" spans="1:16" ht="15" hidden="1" customHeight="1">
      <c r="A5788" s="489">
        <v>64409312</v>
      </c>
      <c r="B5788" s="489" t="s">
        <v>128</v>
      </c>
      <c r="C5788" s="488">
        <v>5839</v>
      </c>
      <c r="D5788" s="597">
        <v>46307</v>
      </c>
      <c r="E5788" s="489" t="s">
        <v>623</v>
      </c>
      <c r="F5788" s="489" t="s">
        <v>1223</v>
      </c>
      <c r="G5788" s="395">
        <f>VLOOKUP($A5788,'Tech Litons'!$A:$I,8,FALSE)</f>
        <v>5.2000000000000006E-4</v>
      </c>
      <c r="H5788" s="174">
        <f>VLOOKUP($A5788,'Tech Litons'!$A:$I,9,FALSE)</f>
        <v>135</v>
      </c>
      <c r="I5788" s="174" t="str">
        <f>VLOOKUP($A5788,'Tech Litons'!$A:$C,3,0)</f>
        <v>Other</v>
      </c>
      <c r="J5788" s="175" t="str">
        <f t="shared" si="661"/>
        <v>TultitlanOther</v>
      </c>
      <c r="K5788" s="176">
        <f>VLOOKUP(I5788,'Attain %'!A:B,2,0)</f>
        <v>0.96</v>
      </c>
      <c r="L5788" s="177">
        <f t="shared" si="662"/>
        <v>5605.44</v>
      </c>
      <c r="M5788" s="177">
        <f t="shared" si="663"/>
        <v>2.9148288</v>
      </c>
      <c r="N5788" s="177">
        <f t="shared" si="664"/>
        <v>41.521777777777778</v>
      </c>
      <c r="O5788" s="175" t="str">
        <f t="shared" si="665"/>
        <v>Oct</v>
      </c>
      <c r="P5788" s="265">
        <f t="shared" si="666"/>
        <v>42</v>
      </c>
    </row>
    <row r="5789" spans="1:16" ht="15" hidden="1" customHeight="1">
      <c r="A5789" s="489">
        <v>64409314</v>
      </c>
      <c r="B5789" s="489" t="s">
        <v>128</v>
      </c>
      <c r="C5789" s="488">
        <v>5839</v>
      </c>
      <c r="D5789" s="597">
        <v>46237</v>
      </c>
      <c r="E5789" s="489" t="s">
        <v>624</v>
      </c>
      <c r="F5789" s="489" t="s">
        <v>1223</v>
      </c>
      <c r="G5789" s="395">
        <f>VLOOKUP($A5789,'Tech Litons'!$A:$I,8,FALSE)</f>
        <v>5.2800000000000004E-4</v>
      </c>
      <c r="H5789" s="174">
        <f>VLOOKUP($A5789,'Tech Litons'!$A:$I,9,FALSE)</f>
        <v>135</v>
      </c>
      <c r="I5789" s="174" t="str">
        <f>VLOOKUP($A5789,'Tech Litons'!$A:$C,3,0)</f>
        <v>Other</v>
      </c>
      <c r="J5789" s="175" t="str">
        <f t="shared" si="661"/>
        <v>TultitlanOther</v>
      </c>
      <c r="K5789" s="176">
        <f>VLOOKUP(I5789,'Attain %'!A:B,2,0)</f>
        <v>0.96</v>
      </c>
      <c r="L5789" s="177">
        <f t="shared" si="662"/>
        <v>5605.44</v>
      </c>
      <c r="M5789" s="177">
        <f t="shared" si="663"/>
        <v>2.9596723200000001</v>
      </c>
      <c r="N5789" s="177">
        <f t="shared" si="664"/>
        <v>41.521777777777778</v>
      </c>
      <c r="O5789" s="175" t="str">
        <f t="shared" si="665"/>
        <v>Aug</v>
      </c>
      <c r="P5789" s="265">
        <f t="shared" si="666"/>
        <v>32</v>
      </c>
    </row>
    <row r="5790" spans="1:16" ht="15" hidden="1" customHeight="1">
      <c r="A5790" s="489">
        <v>64409314</v>
      </c>
      <c r="B5790" s="489" t="s">
        <v>128</v>
      </c>
      <c r="C5790" s="488">
        <v>5839</v>
      </c>
      <c r="D5790" s="597">
        <v>46244</v>
      </c>
      <c r="E5790" s="489" t="s">
        <v>624</v>
      </c>
      <c r="F5790" s="489" t="s">
        <v>1223</v>
      </c>
      <c r="G5790" s="395">
        <f>VLOOKUP($A5790,'Tech Litons'!$A:$I,8,FALSE)</f>
        <v>5.2800000000000004E-4</v>
      </c>
      <c r="H5790" s="174">
        <f>VLOOKUP($A5790,'Tech Litons'!$A:$I,9,FALSE)</f>
        <v>135</v>
      </c>
      <c r="I5790" s="174" t="str">
        <f>VLOOKUP($A5790,'Tech Litons'!$A:$C,3,0)</f>
        <v>Other</v>
      </c>
      <c r="J5790" s="175" t="str">
        <f t="shared" si="661"/>
        <v>TultitlanOther</v>
      </c>
      <c r="K5790" s="176">
        <f>VLOOKUP(I5790,'Attain %'!A:B,2,0)</f>
        <v>0.96</v>
      </c>
      <c r="L5790" s="177">
        <f t="shared" si="662"/>
        <v>5605.44</v>
      </c>
      <c r="M5790" s="177">
        <f t="shared" si="663"/>
        <v>2.9596723200000001</v>
      </c>
      <c r="N5790" s="177">
        <f t="shared" si="664"/>
        <v>41.521777777777778</v>
      </c>
      <c r="O5790" s="175" t="str">
        <f t="shared" si="665"/>
        <v>Aug</v>
      </c>
      <c r="P5790" s="265">
        <f t="shared" si="666"/>
        <v>33</v>
      </c>
    </row>
    <row r="5791" spans="1:16" ht="15" hidden="1" customHeight="1">
      <c r="A5791" s="489">
        <v>64409314</v>
      </c>
      <c r="B5791" s="489" t="s">
        <v>128</v>
      </c>
      <c r="C5791" s="488">
        <v>5839</v>
      </c>
      <c r="D5791" s="597">
        <v>46258</v>
      </c>
      <c r="E5791" s="489" t="s">
        <v>624</v>
      </c>
      <c r="F5791" s="489" t="s">
        <v>1223</v>
      </c>
      <c r="G5791" s="395">
        <f>VLOOKUP($A5791,'Tech Litons'!$A:$I,8,FALSE)</f>
        <v>5.2800000000000004E-4</v>
      </c>
      <c r="H5791" s="174">
        <f>VLOOKUP($A5791,'Tech Litons'!$A:$I,9,FALSE)</f>
        <v>135</v>
      </c>
      <c r="I5791" s="174" t="str">
        <f>VLOOKUP($A5791,'Tech Litons'!$A:$C,3,0)</f>
        <v>Other</v>
      </c>
      <c r="J5791" s="175" t="str">
        <f t="shared" si="661"/>
        <v>TultitlanOther</v>
      </c>
      <c r="K5791" s="176">
        <f>VLOOKUP(I5791,'Attain %'!A:B,2,0)</f>
        <v>0.96</v>
      </c>
      <c r="L5791" s="177">
        <f t="shared" si="662"/>
        <v>5605.44</v>
      </c>
      <c r="M5791" s="177">
        <f t="shared" si="663"/>
        <v>2.9596723200000001</v>
      </c>
      <c r="N5791" s="177">
        <f t="shared" si="664"/>
        <v>41.521777777777778</v>
      </c>
      <c r="O5791" s="175" t="str">
        <f t="shared" si="665"/>
        <v>Aug</v>
      </c>
      <c r="P5791" s="265">
        <f t="shared" si="666"/>
        <v>35</v>
      </c>
    </row>
    <row r="5792" spans="1:16" ht="15" hidden="1" customHeight="1">
      <c r="A5792" s="489">
        <v>64409314</v>
      </c>
      <c r="B5792" s="489" t="s">
        <v>128</v>
      </c>
      <c r="C5792" s="488">
        <v>5839</v>
      </c>
      <c r="D5792" s="597">
        <v>46265</v>
      </c>
      <c r="E5792" s="489" t="s">
        <v>624</v>
      </c>
      <c r="F5792" s="489" t="s">
        <v>1223</v>
      </c>
      <c r="G5792" s="395">
        <f>VLOOKUP($A5792,'Tech Litons'!$A:$I,8,FALSE)</f>
        <v>5.2800000000000004E-4</v>
      </c>
      <c r="H5792" s="174">
        <f>VLOOKUP($A5792,'Tech Litons'!$A:$I,9,FALSE)</f>
        <v>135</v>
      </c>
      <c r="I5792" s="174" t="str">
        <f>VLOOKUP($A5792,'Tech Litons'!$A:$C,3,0)</f>
        <v>Other</v>
      </c>
      <c r="J5792" s="175" t="str">
        <f t="shared" si="661"/>
        <v>TultitlanOther</v>
      </c>
      <c r="K5792" s="176">
        <f>VLOOKUP(I5792,'Attain %'!A:B,2,0)</f>
        <v>0.96</v>
      </c>
      <c r="L5792" s="177">
        <f t="shared" si="662"/>
        <v>5605.44</v>
      </c>
      <c r="M5792" s="177">
        <f t="shared" si="663"/>
        <v>2.9596723200000001</v>
      </c>
      <c r="N5792" s="177">
        <f t="shared" si="664"/>
        <v>41.521777777777778</v>
      </c>
      <c r="O5792" s="175" t="str">
        <f t="shared" si="665"/>
        <v>Aug</v>
      </c>
      <c r="P5792" s="265">
        <f t="shared" si="666"/>
        <v>36</v>
      </c>
    </row>
    <row r="5793" spans="1:16" ht="15" hidden="1" customHeight="1">
      <c r="A5793" s="489">
        <v>68689251</v>
      </c>
      <c r="B5793" s="489">
        <v>1352</v>
      </c>
      <c r="C5793" s="488">
        <v>5860</v>
      </c>
      <c r="D5793" s="597">
        <v>46104</v>
      </c>
      <c r="E5793" s="489" t="s">
        <v>262</v>
      </c>
      <c r="F5793" s="489" t="s">
        <v>1214</v>
      </c>
      <c r="G5793" s="395">
        <f>VLOOKUP($A5793,'Tech Litons'!$A:$I,8,FALSE)</f>
        <v>9.5760000000000012E-3</v>
      </c>
      <c r="H5793" s="174">
        <f>VLOOKUP($A5793,'Tech Litons'!$A:$I,9,FALSE)</f>
        <v>132</v>
      </c>
      <c r="I5793" s="174" t="str">
        <f>VLOOKUP($A5793,'Tech Litons'!$A:$C,3,0)</f>
        <v>EDF</v>
      </c>
      <c r="J5793" s="175" t="str">
        <f t="shared" si="661"/>
        <v>1352EDF</v>
      </c>
      <c r="K5793" s="176">
        <f>VLOOKUP(I5793,'Attain %'!A:B,2,0)</f>
        <v>0.96</v>
      </c>
      <c r="L5793" s="177">
        <f t="shared" si="662"/>
        <v>5625.5999999999995</v>
      </c>
      <c r="M5793" s="177">
        <f t="shared" si="663"/>
        <v>53.870745599999999</v>
      </c>
      <c r="N5793" s="177">
        <f t="shared" si="664"/>
        <v>42.618181818181817</v>
      </c>
      <c r="O5793" s="175" t="str">
        <f t="shared" si="665"/>
        <v>Mar</v>
      </c>
      <c r="P5793" s="265">
        <f t="shared" si="666"/>
        <v>13</v>
      </c>
    </row>
    <row r="5794" spans="1:16" ht="15" hidden="1" customHeight="1">
      <c r="A5794" s="489">
        <v>64804365</v>
      </c>
      <c r="B5794" s="489">
        <v>1712</v>
      </c>
      <c r="C5794" s="488">
        <v>5940</v>
      </c>
      <c r="D5794" s="597">
        <v>46118</v>
      </c>
      <c r="E5794" s="489" t="s">
        <v>571</v>
      </c>
      <c r="F5794" s="489" t="s">
        <v>1221</v>
      </c>
      <c r="G5794" s="395">
        <f>VLOOKUP($A5794,'Tech Litons'!$A:$I,8,FALSE)</f>
        <v>2.8799999999999997E-3</v>
      </c>
      <c r="H5794" s="174">
        <f>VLOOKUP($A5794,'Tech Litons'!$A:$I,9,FALSE)</f>
        <v>180</v>
      </c>
      <c r="I5794" s="174" t="str">
        <f>VLOOKUP($A5794,'Tech Litons'!$A:$C,3,0)</f>
        <v>B&amp;J Cups</v>
      </c>
      <c r="J5794" s="175" t="str">
        <f t="shared" si="661"/>
        <v>1712B&amp;J Cups</v>
      </c>
      <c r="K5794" s="176">
        <f>VLOOKUP(I5794,'Attain %'!A:B,2,0)</f>
        <v>0.96</v>
      </c>
      <c r="L5794" s="177">
        <f t="shared" si="662"/>
        <v>5702.4</v>
      </c>
      <c r="M5794" s="177">
        <f t="shared" si="663"/>
        <v>16.422911999999997</v>
      </c>
      <c r="N5794" s="177">
        <f t="shared" si="664"/>
        <v>31.68</v>
      </c>
      <c r="O5794" s="175" t="str">
        <f t="shared" si="665"/>
        <v>Apr</v>
      </c>
      <c r="P5794" s="265">
        <f t="shared" si="666"/>
        <v>15</v>
      </c>
    </row>
    <row r="5795" spans="1:16" ht="15" hidden="1" customHeight="1">
      <c r="A5795" s="489">
        <v>64804365</v>
      </c>
      <c r="B5795" s="489">
        <v>1712</v>
      </c>
      <c r="C5795" s="488">
        <v>5940</v>
      </c>
      <c r="D5795" s="597">
        <v>46251</v>
      </c>
      <c r="E5795" s="489" t="s">
        <v>571</v>
      </c>
      <c r="F5795" s="489" t="s">
        <v>1221</v>
      </c>
      <c r="G5795" s="395">
        <f>VLOOKUP($A5795,'Tech Litons'!$A:$I,8,FALSE)</f>
        <v>2.8799999999999997E-3</v>
      </c>
      <c r="H5795" s="174">
        <f>VLOOKUP($A5795,'Tech Litons'!$A:$I,9,FALSE)</f>
        <v>180</v>
      </c>
      <c r="I5795" s="174" t="str">
        <f>VLOOKUP($A5795,'Tech Litons'!$A:$C,3,0)</f>
        <v>B&amp;J Cups</v>
      </c>
      <c r="J5795" s="175" t="str">
        <f t="shared" si="661"/>
        <v>1712B&amp;J Cups</v>
      </c>
      <c r="K5795" s="176">
        <f>VLOOKUP(I5795,'Attain %'!A:B,2,0)</f>
        <v>0.96</v>
      </c>
      <c r="L5795" s="177">
        <f t="shared" si="662"/>
        <v>5702.4</v>
      </c>
      <c r="M5795" s="177">
        <f t="shared" si="663"/>
        <v>16.422911999999997</v>
      </c>
      <c r="N5795" s="177">
        <f t="shared" si="664"/>
        <v>31.68</v>
      </c>
      <c r="O5795" s="175" t="str">
        <f t="shared" si="665"/>
        <v>Aug</v>
      </c>
      <c r="P5795" s="265">
        <f t="shared" si="666"/>
        <v>34</v>
      </c>
    </row>
    <row r="5796" spans="1:16" ht="15" hidden="1" customHeight="1">
      <c r="A5796" s="489">
        <v>64804365</v>
      </c>
      <c r="B5796" s="489">
        <v>1712</v>
      </c>
      <c r="C5796" s="488">
        <v>5940</v>
      </c>
      <c r="D5796" s="597">
        <v>46265</v>
      </c>
      <c r="E5796" s="489" t="s">
        <v>571</v>
      </c>
      <c r="F5796" s="489" t="s">
        <v>1221</v>
      </c>
      <c r="G5796" s="395">
        <f>VLOOKUP($A5796,'Tech Litons'!$A:$I,8,FALSE)</f>
        <v>2.8799999999999997E-3</v>
      </c>
      <c r="H5796" s="174">
        <f>VLOOKUP($A5796,'Tech Litons'!$A:$I,9,FALSE)</f>
        <v>180</v>
      </c>
      <c r="I5796" s="174" t="str">
        <f>VLOOKUP($A5796,'Tech Litons'!$A:$C,3,0)</f>
        <v>B&amp;J Cups</v>
      </c>
      <c r="J5796" s="175" t="str">
        <f t="shared" si="661"/>
        <v>1712B&amp;J Cups</v>
      </c>
      <c r="K5796" s="176">
        <f>VLOOKUP(I5796,'Attain %'!A:B,2,0)</f>
        <v>0.96</v>
      </c>
      <c r="L5796" s="177">
        <f t="shared" si="662"/>
        <v>5702.4</v>
      </c>
      <c r="M5796" s="177">
        <f t="shared" si="663"/>
        <v>16.422911999999997</v>
      </c>
      <c r="N5796" s="177">
        <f t="shared" si="664"/>
        <v>31.68</v>
      </c>
      <c r="O5796" s="175" t="str">
        <f t="shared" si="665"/>
        <v>Aug</v>
      </c>
      <c r="P5796" s="265">
        <f t="shared" si="666"/>
        <v>36</v>
      </c>
    </row>
    <row r="5797" spans="1:16" ht="15" hidden="1" customHeight="1">
      <c r="A5797" s="489">
        <v>64806251</v>
      </c>
      <c r="B5797" s="489">
        <v>1712</v>
      </c>
      <c r="C5797" s="488">
        <v>5940</v>
      </c>
      <c r="D5797" s="597">
        <v>46125</v>
      </c>
      <c r="E5797" s="489" t="s">
        <v>572</v>
      </c>
      <c r="F5797" s="489" t="s">
        <v>1221</v>
      </c>
      <c r="G5797" s="395">
        <f>VLOOKUP($A5797,'Tech Litons'!$A:$I,8,FALSE)</f>
        <v>2.8799999999999997E-3</v>
      </c>
      <c r="H5797" s="174">
        <f>VLOOKUP($A5797,'Tech Litons'!$A:$I,9,FALSE)</f>
        <v>180</v>
      </c>
      <c r="I5797" s="174" t="str">
        <f>VLOOKUP($A5797,'Tech Litons'!$A:$C,3,0)</f>
        <v>B&amp;J Cups</v>
      </c>
      <c r="J5797" s="175" t="str">
        <f t="shared" si="661"/>
        <v>1712B&amp;J Cups</v>
      </c>
      <c r="K5797" s="176">
        <f>VLOOKUP(I5797,'Attain %'!A:B,2,0)</f>
        <v>0.96</v>
      </c>
      <c r="L5797" s="177">
        <f t="shared" si="662"/>
        <v>5702.4</v>
      </c>
      <c r="M5797" s="177">
        <f t="shared" si="663"/>
        <v>16.422911999999997</v>
      </c>
      <c r="N5797" s="177">
        <f t="shared" si="664"/>
        <v>31.68</v>
      </c>
      <c r="O5797" s="175" t="str">
        <f t="shared" si="665"/>
        <v>Apr</v>
      </c>
      <c r="P5797" s="265">
        <f t="shared" si="666"/>
        <v>16</v>
      </c>
    </row>
    <row r="5798" spans="1:16" ht="15" hidden="1" customHeight="1">
      <c r="A5798" s="489">
        <v>68851109</v>
      </c>
      <c r="B5798" s="489">
        <v>2904</v>
      </c>
      <c r="C5798" s="488">
        <v>6000</v>
      </c>
      <c r="D5798" s="597">
        <v>46125</v>
      </c>
      <c r="E5798" s="489" t="s">
        <v>297</v>
      </c>
      <c r="F5798" s="489" t="s">
        <v>1225</v>
      </c>
      <c r="G5798" s="395">
        <f>VLOOKUP($A5798,'Tech Litons'!$A:$I,8,FALSE)</f>
        <v>8.5199999999999998E-3</v>
      </c>
      <c r="H5798" s="174">
        <f>VLOOKUP($A5798,'Tech Litons'!$A:$I,9,FALSE)</f>
        <v>154</v>
      </c>
      <c r="I5798" s="174" t="str">
        <f>VLOOKUP($A5798,'Tech Litons'!$A:$C,3,0)</f>
        <v>48oz</v>
      </c>
      <c r="J5798" s="175" t="str">
        <f t="shared" si="661"/>
        <v>290448oz</v>
      </c>
      <c r="K5798" s="176">
        <f>VLOOKUP(I5798,'Attain %'!A:B,2,0)</f>
        <v>0.94</v>
      </c>
      <c r="L5798" s="177">
        <f t="shared" si="662"/>
        <v>5640</v>
      </c>
      <c r="M5798" s="177">
        <f t="shared" si="663"/>
        <v>48.052799999999998</v>
      </c>
      <c r="N5798" s="177">
        <f t="shared" si="664"/>
        <v>36.623376623376622</v>
      </c>
      <c r="O5798" s="175" t="str">
        <f t="shared" si="665"/>
        <v>Apr</v>
      </c>
      <c r="P5798" s="265">
        <f t="shared" si="666"/>
        <v>16</v>
      </c>
    </row>
    <row r="5799" spans="1:16" ht="15" hidden="1" customHeight="1">
      <c r="A5799" s="489">
        <v>68732322</v>
      </c>
      <c r="B5799" s="489">
        <v>5911</v>
      </c>
      <c r="C5799" s="488">
        <v>6000</v>
      </c>
      <c r="D5799" s="597">
        <v>46132</v>
      </c>
      <c r="E5799" s="489" t="s">
        <v>538</v>
      </c>
      <c r="F5799" s="489" t="s">
        <v>1242</v>
      </c>
      <c r="G5799" s="395">
        <f>VLOOKUP($A5799,'Tech Litons'!$A:$I,8,FALSE)</f>
        <v>3.6640000000000002E-3</v>
      </c>
      <c r="H5799" s="174">
        <f>VLOOKUP($A5799,'Tech Litons'!$A:$I,9,FALSE)</f>
        <v>240</v>
      </c>
      <c r="I5799" s="174" t="str">
        <f>VLOOKUP($A5799,'Tech Litons'!$A:$C,3,0)</f>
        <v>PTS Exports</v>
      </c>
      <c r="J5799" s="175" t="str">
        <f t="shared" si="661"/>
        <v>5911PTS Exports</v>
      </c>
      <c r="K5799" s="176">
        <f>VLOOKUP(I5799,'Attain %'!A:B,2,0)</f>
        <v>0.96</v>
      </c>
      <c r="L5799" s="177">
        <f t="shared" si="662"/>
        <v>5760</v>
      </c>
      <c r="M5799" s="177">
        <f t="shared" si="663"/>
        <v>21.10464</v>
      </c>
      <c r="N5799" s="177">
        <f t="shared" si="664"/>
        <v>24</v>
      </c>
      <c r="O5799" s="175" t="str">
        <f t="shared" si="665"/>
        <v>Apr</v>
      </c>
      <c r="P5799" s="265">
        <f t="shared" si="666"/>
        <v>17</v>
      </c>
    </row>
    <row r="5800" spans="1:16" ht="15" hidden="1" customHeight="1">
      <c r="A5800" s="489">
        <v>68732322</v>
      </c>
      <c r="B5800" s="489">
        <v>5911</v>
      </c>
      <c r="D5800" s="597">
        <v>46160</v>
      </c>
      <c r="E5800" s="489" t="s">
        <v>538</v>
      </c>
      <c r="F5800" s="489" t="s">
        <v>1242</v>
      </c>
      <c r="G5800" s="395">
        <f>VLOOKUP($A5800,'Tech Litons'!$A:$I,8,FALSE)</f>
        <v>3.6640000000000002E-3</v>
      </c>
      <c r="H5800" s="174">
        <f>VLOOKUP($A5800,'Tech Litons'!$A:$I,9,FALSE)</f>
        <v>240</v>
      </c>
      <c r="I5800" s="174" t="str">
        <f>VLOOKUP($A5800,'Tech Litons'!$A:$C,3,0)</f>
        <v>PTS Exports</v>
      </c>
      <c r="J5800" s="175" t="str">
        <f t="shared" si="661"/>
        <v>5911PTS Exports</v>
      </c>
      <c r="K5800" s="176">
        <f>VLOOKUP(I5800,'Attain %'!A:B,2,0)</f>
        <v>0.96</v>
      </c>
      <c r="L5800" s="177">
        <f t="shared" si="662"/>
        <v>0</v>
      </c>
      <c r="M5800" s="177">
        <f t="shared" si="663"/>
        <v>0</v>
      </c>
      <c r="N5800" s="177">
        <f t="shared" si="664"/>
        <v>0</v>
      </c>
      <c r="O5800" s="175" t="str">
        <f t="shared" si="665"/>
        <v>May</v>
      </c>
      <c r="P5800" s="265">
        <f t="shared" si="666"/>
        <v>21</v>
      </c>
    </row>
    <row r="5801" spans="1:16" ht="15" hidden="1" customHeight="1">
      <c r="A5801" s="489">
        <v>84162829</v>
      </c>
      <c r="B5801" s="489">
        <v>5911</v>
      </c>
      <c r="C5801" s="488">
        <v>6000</v>
      </c>
      <c r="D5801" s="597">
        <v>46125</v>
      </c>
      <c r="E5801" s="489" t="s">
        <v>464</v>
      </c>
      <c r="F5801" s="489" t="s">
        <v>1242</v>
      </c>
      <c r="G5801" s="395">
        <f>VLOOKUP($A5801,'Tech Litons'!$A:$I,8,FALSE)</f>
        <v>3.3839999999999999E-3</v>
      </c>
      <c r="H5801" s="174">
        <f>VLOOKUP($A5801,'Tech Litons'!$A:$I,9,FALSE)</f>
        <v>240</v>
      </c>
      <c r="I5801" s="174" t="str">
        <f>VLOOKUP($A5801,'Tech Litons'!$A:$C,3,0)</f>
        <v>PTS Exports</v>
      </c>
      <c r="J5801" s="175" t="str">
        <f t="shared" si="661"/>
        <v>5911PTS Exports</v>
      </c>
      <c r="K5801" s="176">
        <f>VLOOKUP(I5801,'Attain %'!A:B,2,0)</f>
        <v>0.96</v>
      </c>
      <c r="L5801" s="177">
        <f t="shared" si="662"/>
        <v>5760</v>
      </c>
      <c r="M5801" s="177">
        <f t="shared" si="663"/>
        <v>19.49184</v>
      </c>
      <c r="N5801" s="177">
        <f t="shared" si="664"/>
        <v>24</v>
      </c>
      <c r="O5801" s="175" t="str">
        <f t="shared" si="665"/>
        <v>Apr</v>
      </c>
      <c r="P5801" s="265">
        <f t="shared" si="666"/>
        <v>16</v>
      </c>
    </row>
    <row r="5802" spans="1:16" ht="15" hidden="1" customHeight="1">
      <c r="A5802" s="489">
        <v>84162829</v>
      </c>
      <c r="B5802" s="489">
        <v>5911</v>
      </c>
      <c r="D5802" s="597">
        <v>46160</v>
      </c>
      <c r="E5802" s="489" t="s">
        <v>464</v>
      </c>
      <c r="F5802" s="489" t="s">
        <v>1242</v>
      </c>
      <c r="G5802" s="395">
        <f>VLOOKUP($A5802,'Tech Litons'!$A:$I,8,FALSE)</f>
        <v>3.3839999999999999E-3</v>
      </c>
      <c r="H5802" s="174">
        <f>VLOOKUP($A5802,'Tech Litons'!$A:$I,9,FALSE)</f>
        <v>240</v>
      </c>
      <c r="I5802" s="174" t="str">
        <f>VLOOKUP($A5802,'Tech Litons'!$A:$C,3,0)</f>
        <v>PTS Exports</v>
      </c>
      <c r="J5802" s="175" t="str">
        <f t="shared" si="661"/>
        <v>5911PTS Exports</v>
      </c>
      <c r="K5802" s="176">
        <f>VLOOKUP(I5802,'Attain %'!A:B,2,0)</f>
        <v>0.96</v>
      </c>
      <c r="L5802" s="177">
        <f t="shared" si="662"/>
        <v>0</v>
      </c>
      <c r="M5802" s="177">
        <f t="shared" si="663"/>
        <v>0</v>
      </c>
      <c r="N5802" s="177">
        <f t="shared" si="664"/>
        <v>0</v>
      </c>
      <c r="O5802" s="175" t="str">
        <f t="shared" si="665"/>
        <v>May</v>
      </c>
      <c r="P5802" s="265">
        <f t="shared" si="666"/>
        <v>21</v>
      </c>
    </row>
    <row r="5803" spans="1:16" ht="15" hidden="1" customHeight="1">
      <c r="A5803" s="489">
        <v>68710285</v>
      </c>
      <c r="B5803" s="489">
        <v>1352</v>
      </c>
      <c r="C5803" s="488">
        <v>6240</v>
      </c>
      <c r="D5803" s="597">
        <v>46132</v>
      </c>
      <c r="E5803" s="489" t="s">
        <v>367</v>
      </c>
      <c r="F5803" s="489" t="s">
        <v>1214</v>
      </c>
      <c r="G5803" s="395">
        <f>VLOOKUP($A5803,'Tech Litons'!$A:$I,8,FALSE)</f>
        <v>9.5760000000000012E-3</v>
      </c>
      <c r="H5803" s="174">
        <f>VLOOKUP($A5803,'Tech Litons'!$A:$I,9,FALSE)</f>
        <v>132</v>
      </c>
      <c r="I5803" s="174" t="str">
        <f>VLOOKUP($A5803,'Tech Litons'!$A:$C,3,0)</f>
        <v>EDF</v>
      </c>
      <c r="J5803" s="175" t="str">
        <f t="shared" si="661"/>
        <v>1352EDF</v>
      </c>
      <c r="K5803" s="176">
        <f>VLOOKUP(I5803,'Attain %'!A:B,2,0)</f>
        <v>0.96</v>
      </c>
      <c r="L5803" s="177">
        <f t="shared" si="662"/>
        <v>5990.4</v>
      </c>
      <c r="M5803" s="177">
        <f t="shared" si="663"/>
        <v>57.364070400000003</v>
      </c>
      <c r="N5803" s="177">
        <f t="shared" si="664"/>
        <v>45.381818181818176</v>
      </c>
      <c r="O5803" s="175" t="str">
        <f t="shared" si="665"/>
        <v>Apr</v>
      </c>
      <c r="P5803" s="265">
        <f t="shared" si="666"/>
        <v>17</v>
      </c>
    </row>
    <row r="5804" spans="1:16" ht="15" hidden="1" customHeight="1">
      <c r="A5804" s="489">
        <v>68852591</v>
      </c>
      <c r="B5804" s="489">
        <v>1352</v>
      </c>
      <c r="C5804" s="488">
        <v>6240</v>
      </c>
      <c r="D5804" s="597">
        <v>46153</v>
      </c>
      <c r="E5804" s="489" t="s">
        <v>326</v>
      </c>
      <c r="F5804" s="489" t="s">
        <v>1214</v>
      </c>
      <c r="G5804" s="395">
        <f>VLOOKUP($A5804,'Tech Litons'!$A:$I,8,FALSE)</f>
        <v>8.5199999999999998E-3</v>
      </c>
      <c r="H5804" s="174">
        <f>VLOOKUP($A5804,'Tech Litons'!$A:$I,9,FALSE)</f>
        <v>132</v>
      </c>
      <c r="I5804" s="174" t="str">
        <f>VLOOKUP($A5804,'Tech Litons'!$A:$C,3,0)</f>
        <v>EDF</v>
      </c>
      <c r="J5804" s="175" t="str">
        <f t="shared" si="661"/>
        <v>1352EDF</v>
      </c>
      <c r="K5804" s="176">
        <f>VLOOKUP(I5804,'Attain %'!A:B,2,0)</f>
        <v>0.96</v>
      </c>
      <c r="L5804" s="177">
        <f t="shared" si="662"/>
        <v>5990.4</v>
      </c>
      <c r="M5804" s="177">
        <f t="shared" si="663"/>
        <v>51.038207999999997</v>
      </c>
      <c r="N5804" s="177">
        <f t="shared" si="664"/>
        <v>45.381818181818176</v>
      </c>
      <c r="O5804" s="175" t="str">
        <f t="shared" si="665"/>
        <v>May</v>
      </c>
      <c r="P5804" s="265">
        <f t="shared" si="666"/>
        <v>20</v>
      </c>
    </row>
    <row r="5805" spans="1:16" ht="15" hidden="1" customHeight="1">
      <c r="A5805" s="489">
        <v>68921994</v>
      </c>
      <c r="B5805" s="489">
        <v>1352</v>
      </c>
      <c r="C5805" s="488">
        <v>6240</v>
      </c>
      <c r="D5805" s="597">
        <v>46125</v>
      </c>
      <c r="E5805" s="489" t="s">
        <v>267</v>
      </c>
      <c r="F5805" s="489" t="s">
        <v>1212</v>
      </c>
      <c r="G5805" s="395">
        <f>VLOOKUP($A5805,'Tech Litons'!$A:$I,8,FALSE)</f>
        <v>9.5760000000000012E-3</v>
      </c>
      <c r="H5805" s="174">
        <f>VLOOKUP($A5805,'Tech Litons'!$A:$I,9,FALSE)</f>
        <v>132</v>
      </c>
      <c r="I5805" s="174" t="str">
        <f>VLOOKUP($A5805,'Tech Litons'!$A:$C,3,0)</f>
        <v>EDF</v>
      </c>
      <c r="J5805" s="175" t="str">
        <f t="shared" si="661"/>
        <v>1352EDF</v>
      </c>
      <c r="K5805" s="176">
        <f>VLOOKUP(I5805,'Attain %'!A:B,2,0)</f>
        <v>0.96</v>
      </c>
      <c r="L5805" s="177">
        <f t="shared" si="662"/>
        <v>5990.4</v>
      </c>
      <c r="M5805" s="177">
        <f t="shared" si="663"/>
        <v>57.364070400000003</v>
      </c>
      <c r="N5805" s="177">
        <f t="shared" si="664"/>
        <v>45.381818181818176</v>
      </c>
      <c r="O5805" s="175" t="str">
        <f t="shared" si="665"/>
        <v>Apr</v>
      </c>
      <c r="P5805" s="265">
        <f t="shared" si="666"/>
        <v>16</v>
      </c>
    </row>
    <row r="5806" spans="1:16" ht="15" hidden="1" customHeight="1">
      <c r="A5806" s="489">
        <v>68921994</v>
      </c>
      <c r="B5806" s="489">
        <v>1352</v>
      </c>
      <c r="C5806" s="488">
        <v>6240</v>
      </c>
      <c r="D5806" s="597">
        <v>46146</v>
      </c>
      <c r="E5806" s="489" t="s">
        <v>267</v>
      </c>
      <c r="F5806" s="489" t="s">
        <v>1214</v>
      </c>
      <c r="G5806" s="395">
        <f>VLOOKUP($A5806,'Tech Litons'!$A:$I,8,FALSE)</f>
        <v>9.5760000000000012E-3</v>
      </c>
      <c r="H5806" s="174">
        <f>VLOOKUP($A5806,'Tech Litons'!$A:$I,9,FALSE)</f>
        <v>132</v>
      </c>
      <c r="I5806" s="174" t="str">
        <f>VLOOKUP($A5806,'Tech Litons'!$A:$C,3,0)</f>
        <v>EDF</v>
      </c>
      <c r="J5806" s="175" t="str">
        <f t="shared" si="661"/>
        <v>1352EDF</v>
      </c>
      <c r="K5806" s="176">
        <f>VLOOKUP(I5806,'Attain %'!A:B,2,0)</f>
        <v>0.96</v>
      </c>
      <c r="L5806" s="177">
        <f t="shared" si="662"/>
        <v>5990.4</v>
      </c>
      <c r="M5806" s="177">
        <f t="shared" si="663"/>
        <v>57.364070400000003</v>
      </c>
      <c r="N5806" s="177">
        <f t="shared" si="664"/>
        <v>45.381818181818176</v>
      </c>
      <c r="O5806" s="175" t="str">
        <f t="shared" si="665"/>
        <v>May</v>
      </c>
      <c r="P5806" s="265">
        <f t="shared" si="666"/>
        <v>19</v>
      </c>
    </row>
    <row r="5807" spans="1:16" ht="15" hidden="1" customHeight="1">
      <c r="A5807" s="489">
        <v>62689431</v>
      </c>
      <c r="B5807" s="489">
        <v>5914</v>
      </c>
      <c r="C5807" s="488">
        <v>6240</v>
      </c>
      <c r="D5807" s="597">
        <v>46146</v>
      </c>
      <c r="E5807" s="489" t="s">
        <v>466</v>
      </c>
      <c r="F5807" s="489" t="s">
        <v>1243</v>
      </c>
      <c r="G5807" s="395">
        <f>VLOOKUP($A5807,'Tech Litons'!$A:$I,8,FALSE)</f>
        <v>9.0850000000000011E-3</v>
      </c>
      <c r="H5807" s="174">
        <f>VLOOKUP($A5807,'Tech Litons'!$A:$I,9,FALSE)</f>
        <v>125</v>
      </c>
      <c r="I5807" s="174" t="str">
        <f>VLOOKUP($A5807,'Tech Litons'!$A:$C,3,0)</f>
        <v>2.4 Gal</v>
      </c>
      <c r="J5807" s="175" t="str">
        <f t="shared" si="661"/>
        <v>59142.4 Gal</v>
      </c>
      <c r="K5807" s="176">
        <f>VLOOKUP(I5807,'Attain %'!A:B,2,0)</f>
        <v>0.85</v>
      </c>
      <c r="L5807" s="177">
        <f t="shared" si="662"/>
        <v>5304</v>
      </c>
      <c r="M5807" s="177">
        <f t="shared" si="663"/>
        <v>48.186840000000004</v>
      </c>
      <c r="N5807" s="177">
        <f t="shared" si="664"/>
        <v>42.432000000000002</v>
      </c>
      <c r="O5807" s="175" t="str">
        <f t="shared" si="665"/>
        <v>May</v>
      </c>
      <c r="P5807" s="265">
        <f t="shared" si="666"/>
        <v>19</v>
      </c>
    </row>
    <row r="5808" spans="1:16" ht="15" hidden="1" customHeight="1">
      <c r="A5808" s="489">
        <v>64799253</v>
      </c>
      <c r="B5808" s="489">
        <v>5914</v>
      </c>
      <c r="C5808" s="488">
        <v>6240</v>
      </c>
      <c r="D5808" s="597">
        <v>46167</v>
      </c>
      <c r="E5808" s="489" t="s">
        <v>447</v>
      </c>
      <c r="F5808" s="489" t="s">
        <v>1243</v>
      </c>
      <c r="G5808" s="395">
        <f>VLOOKUP($A5808,'Tech Litons'!$A:$I,8,FALSE)</f>
        <v>9.0840000000000001E-3</v>
      </c>
      <c r="H5808" s="174">
        <f>VLOOKUP($A5808,'Tech Litons'!$A:$I,9,FALSE)</f>
        <v>125</v>
      </c>
      <c r="I5808" s="174" t="str">
        <f>VLOOKUP($A5808,'Tech Litons'!$A:$C,3,0)</f>
        <v>2.4 Gal</v>
      </c>
      <c r="J5808" s="175" t="str">
        <f t="shared" si="661"/>
        <v>59142.4 Gal</v>
      </c>
      <c r="K5808" s="176">
        <f>VLOOKUP(I5808,'Attain %'!A:B,2,0)</f>
        <v>0.85</v>
      </c>
      <c r="L5808" s="177">
        <f t="shared" si="662"/>
        <v>5304</v>
      </c>
      <c r="M5808" s="177">
        <f t="shared" si="663"/>
        <v>48.181536000000001</v>
      </c>
      <c r="N5808" s="177">
        <f t="shared" si="664"/>
        <v>42.432000000000002</v>
      </c>
      <c r="O5808" s="175" t="str">
        <f t="shared" si="665"/>
        <v>May</v>
      </c>
      <c r="P5808" s="265">
        <f t="shared" si="666"/>
        <v>22</v>
      </c>
    </row>
    <row r="5809" spans="1:16" ht="15" hidden="1" customHeight="1">
      <c r="A5809" s="489">
        <v>64924302</v>
      </c>
      <c r="B5809" s="489">
        <v>5914</v>
      </c>
      <c r="C5809" s="488">
        <v>6240</v>
      </c>
      <c r="D5809" s="597">
        <v>46139</v>
      </c>
      <c r="E5809" s="489" t="s">
        <v>467</v>
      </c>
      <c r="F5809" s="489" t="s">
        <v>1243</v>
      </c>
      <c r="G5809" s="395">
        <f>VLOOKUP($A5809,'Tech Litons'!$A:$I,8,FALSE)</f>
        <v>9.0850000000000011E-3</v>
      </c>
      <c r="H5809" s="174">
        <f>VLOOKUP($A5809,'Tech Litons'!$A:$I,9,FALSE)</f>
        <v>125</v>
      </c>
      <c r="I5809" s="174" t="str">
        <f>VLOOKUP($A5809,'Tech Litons'!$A:$C,3,0)</f>
        <v>2.4 Gal</v>
      </c>
      <c r="J5809" s="175" t="str">
        <f t="shared" si="661"/>
        <v>59142.4 Gal</v>
      </c>
      <c r="K5809" s="176">
        <f>VLOOKUP(I5809,'Attain %'!A:B,2,0)</f>
        <v>0.85</v>
      </c>
      <c r="L5809" s="177">
        <f t="shared" si="662"/>
        <v>5304</v>
      </c>
      <c r="M5809" s="177">
        <f t="shared" si="663"/>
        <v>48.186840000000004</v>
      </c>
      <c r="N5809" s="177">
        <f t="shared" si="664"/>
        <v>42.432000000000002</v>
      </c>
      <c r="O5809" s="175" t="str">
        <f t="shared" si="665"/>
        <v>Apr</v>
      </c>
      <c r="P5809" s="265">
        <f t="shared" si="666"/>
        <v>18</v>
      </c>
    </row>
    <row r="5810" spans="1:16" ht="15" hidden="1" customHeight="1">
      <c r="A5810" s="489">
        <v>67278370</v>
      </c>
      <c r="B5810" s="489">
        <v>5914</v>
      </c>
      <c r="C5810" s="488">
        <v>6240</v>
      </c>
      <c r="D5810" s="597">
        <v>46139</v>
      </c>
      <c r="E5810" s="489" t="s">
        <v>495</v>
      </c>
      <c r="F5810" s="489" t="s">
        <v>1243</v>
      </c>
      <c r="G5810" s="395">
        <f>VLOOKUP($A5810,'Tech Litons'!$A:$I,8,FALSE)</f>
        <v>9.0848256361922702E-3</v>
      </c>
      <c r="H5810" s="174">
        <f>VLOOKUP($A5810,'Tech Litons'!$A:$I,9,FALSE)</f>
        <v>125</v>
      </c>
      <c r="I5810" s="174" t="str">
        <f>VLOOKUP($A5810,'Tech Litons'!$A:$C,3,0)</f>
        <v>2.4 Gal</v>
      </c>
      <c r="J5810" s="175" t="str">
        <f t="shared" si="661"/>
        <v>59142.4 Gal</v>
      </c>
      <c r="K5810" s="176">
        <f>VLOOKUP(I5810,'Attain %'!A:B,2,0)</f>
        <v>0.85</v>
      </c>
      <c r="L5810" s="177">
        <f t="shared" si="662"/>
        <v>5304</v>
      </c>
      <c r="M5810" s="177">
        <f t="shared" si="663"/>
        <v>48.185915174363799</v>
      </c>
      <c r="N5810" s="177">
        <f t="shared" si="664"/>
        <v>42.432000000000002</v>
      </c>
      <c r="O5810" s="175" t="str">
        <f t="shared" si="665"/>
        <v>Apr</v>
      </c>
      <c r="P5810" s="265">
        <f t="shared" si="666"/>
        <v>18</v>
      </c>
    </row>
    <row r="5811" spans="1:16" ht="15" hidden="1" customHeight="1">
      <c r="A5811" s="489">
        <v>67825196</v>
      </c>
      <c r="B5811" s="489">
        <v>5914</v>
      </c>
      <c r="C5811" s="488">
        <v>6240</v>
      </c>
      <c r="D5811" s="597">
        <v>46104</v>
      </c>
      <c r="E5811" s="489" t="s">
        <v>529</v>
      </c>
      <c r="F5811" s="489" t="s">
        <v>1243</v>
      </c>
      <c r="G5811" s="395">
        <f>VLOOKUP($A5811,'Tech Litons'!$A:$I,8,FALSE)</f>
        <v>9.0848256361922702E-3</v>
      </c>
      <c r="H5811" s="174">
        <f>VLOOKUP($A5811,'Tech Litons'!$A:$I,9,FALSE)</f>
        <v>125</v>
      </c>
      <c r="I5811" s="174" t="str">
        <f>VLOOKUP($A5811,'Tech Litons'!$A:$C,3,0)</f>
        <v>2.4 Gal</v>
      </c>
      <c r="J5811" s="175" t="str">
        <f t="shared" si="661"/>
        <v>59142.4 Gal</v>
      </c>
      <c r="K5811" s="176">
        <f>VLOOKUP(I5811,'Attain %'!A:B,2,0)</f>
        <v>0.85</v>
      </c>
      <c r="L5811" s="177">
        <f t="shared" si="662"/>
        <v>5304</v>
      </c>
      <c r="M5811" s="177">
        <f t="shared" si="663"/>
        <v>48.185915174363799</v>
      </c>
      <c r="N5811" s="177">
        <f t="shared" si="664"/>
        <v>42.432000000000002</v>
      </c>
      <c r="O5811" s="175" t="str">
        <f t="shared" si="665"/>
        <v>Mar</v>
      </c>
      <c r="P5811" s="265">
        <f t="shared" si="666"/>
        <v>13</v>
      </c>
    </row>
    <row r="5812" spans="1:16" ht="15" hidden="1" customHeight="1">
      <c r="A5812" s="489">
        <v>67825197</v>
      </c>
      <c r="B5812" s="489">
        <v>5914</v>
      </c>
      <c r="C5812" s="488">
        <v>6240</v>
      </c>
      <c r="D5812" s="597">
        <v>46111</v>
      </c>
      <c r="E5812" s="489" t="s">
        <v>496</v>
      </c>
      <c r="F5812" s="489" t="s">
        <v>1243</v>
      </c>
      <c r="G5812" s="395">
        <f>VLOOKUP($A5812,'Tech Litons'!$A:$I,8,FALSE)</f>
        <v>9.0848256361922702E-3</v>
      </c>
      <c r="H5812" s="174">
        <f>VLOOKUP($A5812,'Tech Litons'!$A:$I,9,FALSE)</f>
        <v>125</v>
      </c>
      <c r="I5812" s="174" t="str">
        <f>VLOOKUP($A5812,'Tech Litons'!$A:$C,3,0)</f>
        <v>2.4 Gal</v>
      </c>
      <c r="J5812" s="175" t="str">
        <f t="shared" si="661"/>
        <v>59142.4 Gal</v>
      </c>
      <c r="K5812" s="176">
        <f>VLOOKUP(I5812,'Attain %'!A:B,2,0)</f>
        <v>0.85</v>
      </c>
      <c r="L5812" s="177">
        <f t="shared" si="662"/>
        <v>5304</v>
      </c>
      <c r="M5812" s="177">
        <f t="shared" si="663"/>
        <v>48.185915174363799</v>
      </c>
      <c r="N5812" s="177">
        <f t="shared" si="664"/>
        <v>42.432000000000002</v>
      </c>
      <c r="O5812" s="175" t="str">
        <f t="shared" si="665"/>
        <v>Mar</v>
      </c>
      <c r="P5812" s="265">
        <f t="shared" si="666"/>
        <v>14</v>
      </c>
    </row>
    <row r="5813" spans="1:16" ht="15" hidden="1" customHeight="1">
      <c r="A5813" s="489">
        <v>67825198</v>
      </c>
      <c r="B5813" s="489">
        <v>5914</v>
      </c>
      <c r="C5813" s="488">
        <v>6240</v>
      </c>
      <c r="D5813" s="597">
        <v>46160</v>
      </c>
      <c r="E5813" s="489" t="s">
        <v>470</v>
      </c>
      <c r="F5813" s="489" t="s">
        <v>1243</v>
      </c>
      <c r="G5813" s="395">
        <f>VLOOKUP($A5813,'Tech Litons'!$A:$I,8,FALSE)</f>
        <v>9.0848256361922702E-3</v>
      </c>
      <c r="H5813" s="174">
        <f>VLOOKUP($A5813,'Tech Litons'!$A:$I,9,FALSE)</f>
        <v>125</v>
      </c>
      <c r="I5813" s="174" t="str">
        <f>VLOOKUP($A5813,'Tech Litons'!$A:$C,3,0)</f>
        <v>2.4 Gal</v>
      </c>
      <c r="J5813" s="175" t="str">
        <f t="shared" si="661"/>
        <v>59142.4 Gal</v>
      </c>
      <c r="K5813" s="176">
        <f>VLOOKUP(I5813,'Attain %'!A:B,2,0)</f>
        <v>0.85</v>
      </c>
      <c r="L5813" s="177">
        <f t="shared" si="662"/>
        <v>5304</v>
      </c>
      <c r="M5813" s="177">
        <f t="shared" si="663"/>
        <v>48.185915174363799</v>
      </c>
      <c r="N5813" s="177">
        <f t="shared" si="664"/>
        <v>42.432000000000002</v>
      </c>
      <c r="O5813" s="175" t="str">
        <f t="shared" si="665"/>
        <v>May</v>
      </c>
      <c r="P5813" s="265">
        <f t="shared" si="666"/>
        <v>21</v>
      </c>
    </row>
    <row r="5814" spans="1:16" ht="15" hidden="1" customHeight="1">
      <c r="A5814" s="489">
        <v>68499787</v>
      </c>
      <c r="B5814" s="489">
        <v>5914</v>
      </c>
      <c r="C5814" s="488">
        <v>6240</v>
      </c>
      <c r="D5814" s="597">
        <v>46146</v>
      </c>
      <c r="E5814" s="489" t="s">
        <v>394</v>
      </c>
      <c r="F5814" s="489" t="s">
        <v>1243</v>
      </c>
      <c r="G5814" s="395">
        <f>VLOOKUP($A5814,'Tech Litons'!$A:$I,8,FALSE)</f>
        <v>9.0850000000000011E-3</v>
      </c>
      <c r="H5814" s="174">
        <f>VLOOKUP($A5814,'Tech Litons'!$A:$I,9,FALSE)</f>
        <v>125</v>
      </c>
      <c r="I5814" s="174" t="str">
        <f>VLOOKUP($A5814,'Tech Litons'!$A:$C,3,0)</f>
        <v>2.4 Gal</v>
      </c>
      <c r="J5814" s="175" t="str">
        <f t="shared" si="661"/>
        <v>59142.4 Gal</v>
      </c>
      <c r="K5814" s="176">
        <f>VLOOKUP(I5814,'Attain %'!A:B,2,0)</f>
        <v>0.85</v>
      </c>
      <c r="L5814" s="177">
        <f t="shared" si="662"/>
        <v>5304</v>
      </c>
      <c r="M5814" s="177">
        <f t="shared" si="663"/>
        <v>48.186840000000004</v>
      </c>
      <c r="N5814" s="177">
        <f t="shared" si="664"/>
        <v>42.432000000000002</v>
      </c>
      <c r="O5814" s="175" t="str">
        <f t="shared" si="665"/>
        <v>May</v>
      </c>
      <c r="P5814" s="265">
        <f t="shared" si="666"/>
        <v>19</v>
      </c>
    </row>
    <row r="5815" spans="1:16" ht="15" hidden="1" customHeight="1">
      <c r="A5815" s="489">
        <v>84135794</v>
      </c>
      <c r="B5815" s="489">
        <v>5914</v>
      </c>
      <c r="C5815" s="488">
        <v>6240</v>
      </c>
      <c r="D5815" s="597">
        <v>46125</v>
      </c>
      <c r="E5815" s="489" t="s">
        <v>532</v>
      </c>
      <c r="F5815" s="489" t="s">
        <v>1243</v>
      </c>
      <c r="G5815" s="395">
        <f>VLOOKUP($A5815,'Tech Litons'!$A:$I,8,FALSE)</f>
        <v>9.0848256361922702E-3</v>
      </c>
      <c r="H5815" s="174">
        <f>VLOOKUP($A5815,'Tech Litons'!$A:$I,9,FALSE)</f>
        <v>125</v>
      </c>
      <c r="I5815" s="174" t="str">
        <f>VLOOKUP($A5815,'Tech Litons'!$A:$C,3,0)</f>
        <v>2.4 Gal</v>
      </c>
      <c r="J5815" s="175" t="str">
        <f t="shared" si="661"/>
        <v>59142.4 Gal</v>
      </c>
      <c r="K5815" s="176">
        <f>VLOOKUP(I5815,'Attain %'!A:B,2,0)</f>
        <v>0.85</v>
      </c>
      <c r="L5815" s="177">
        <f t="shared" si="662"/>
        <v>5304</v>
      </c>
      <c r="M5815" s="177">
        <f t="shared" si="663"/>
        <v>48.185915174363799</v>
      </c>
      <c r="N5815" s="177">
        <f t="shared" si="664"/>
        <v>42.432000000000002</v>
      </c>
      <c r="O5815" s="175" t="str">
        <f t="shared" si="665"/>
        <v>Apr</v>
      </c>
      <c r="P5815" s="265">
        <f t="shared" si="666"/>
        <v>16</v>
      </c>
    </row>
    <row r="5816" spans="1:16" ht="15" hidden="1" customHeight="1">
      <c r="A5816" s="489">
        <v>84135795</v>
      </c>
      <c r="B5816" s="489">
        <v>5914</v>
      </c>
      <c r="C5816" s="488">
        <v>6240</v>
      </c>
      <c r="D5816" s="597">
        <v>46153</v>
      </c>
      <c r="E5816" s="489" t="s">
        <v>497</v>
      </c>
      <c r="F5816" s="489" t="s">
        <v>1243</v>
      </c>
      <c r="G5816" s="395">
        <f>VLOOKUP($A5816,'Tech Litons'!$A:$I,8,FALSE)</f>
        <v>9.0848256361922702E-3</v>
      </c>
      <c r="H5816" s="174">
        <f>VLOOKUP($A5816,'Tech Litons'!$A:$I,9,FALSE)</f>
        <v>125</v>
      </c>
      <c r="I5816" s="174" t="str">
        <f>VLOOKUP($A5816,'Tech Litons'!$A:$C,3,0)</f>
        <v>2.4 Gal</v>
      </c>
      <c r="J5816" s="175" t="str">
        <f t="shared" ref="J5816:J5879" si="667">B5816&amp;I5816</f>
        <v>59142.4 Gal</v>
      </c>
      <c r="K5816" s="176">
        <f>VLOOKUP(I5816,'Attain %'!A:B,2,0)</f>
        <v>0.85</v>
      </c>
      <c r="L5816" s="177">
        <f t="shared" ref="L5816:L5879" si="668">C5816*$K5816</f>
        <v>5304</v>
      </c>
      <c r="M5816" s="177">
        <f t="shared" ref="M5816:M5879" si="669">L5816*G5816</f>
        <v>48.185915174363799</v>
      </c>
      <c r="N5816" s="177">
        <f t="shared" ref="N5816:N5879" si="670">L5816/H5816</f>
        <v>42.432000000000002</v>
      </c>
      <c r="O5816" s="175" t="str">
        <f t="shared" ref="O5816:O5879" si="671">TEXT(D5816,"MMM")</f>
        <v>May</v>
      </c>
      <c r="P5816" s="265">
        <f t="shared" ref="P5816:P5879" si="672">WEEKNUM(D5816)</f>
        <v>20</v>
      </c>
    </row>
    <row r="5817" spans="1:16" ht="15" hidden="1" customHeight="1">
      <c r="A5817" s="489">
        <v>84138346</v>
      </c>
      <c r="B5817" s="489">
        <v>5914</v>
      </c>
      <c r="C5817" s="488">
        <v>6240</v>
      </c>
      <c r="D5817" s="597">
        <v>46104</v>
      </c>
      <c r="E5817" s="489" t="s">
        <v>499</v>
      </c>
      <c r="F5817" s="489" t="s">
        <v>1243</v>
      </c>
      <c r="G5817" s="395">
        <f>VLOOKUP($A5817,'Tech Litons'!$A:$I,8,FALSE)</f>
        <v>9.0848256361922702E-3</v>
      </c>
      <c r="H5817" s="174">
        <f>VLOOKUP($A5817,'Tech Litons'!$A:$I,9,FALSE)</f>
        <v>125</v>
      </c>
      <c r="I5817" s="174" t="str">
        <f>VLOOKUP($A5817,'Tech Litons'!$A:$C,3,0)</f>
        <v>2.4 Gal</v>
      </c>
      <c r="J5817" s="175" t="str">
        <f t="shared" si="667"/>
        <v>59142.4 Gal</v>
      </c>
      <c r="K5817" s="176">
        <f>VLOOKUP(I5817,'Attain %'!A:B,2,0)</f>
        <v>0.85</v>
      </c>
      <c r="L5817" s="177">
        <f t="shared" si="668"/>
        <v>5304</v>
      </c>
      <c r="M5817" s="177">
        <f t="shared" si="669"/>
        <v>48.185915174363799</v>
      </c>
      <c r="N5817" s="177">
        <f t="shared" si="670"/>
        <v>42.432000000000002</v>
      </c>
      <c r="O5817" s="175" t="str">
        <f t="shared" si="671"/>
        <v>Mar</v>
      </c>
      <c r="P5817" s="265">
        <f t="shared" si="672"/>
        <v>13</v>
      </c>
    </row>
    <row r="5818" spans="1:16" ht="15" hidden="1" customHeight="1">
      <c r="A5818" s="489">
        <v>84138347</v>
      </c>
      <c r="B5818" s="489">
        <v>5914</v>
      </c>
      <c r="C5818" s="488">
        <v>6240</v>
      </c>
      <c r="D5818" s="597">
        <v>46160</v>
      </c>
      <c r="E5818" s="489" t="s">
        <v>476</v>
      </c>
      <c r="F5818" s="489" t="s">
        <v>1243</v>
      </c>
      <c r="G5818" s="395">
        <f>VLOOKUP($A5818,'Tech Litons'!$A:$I,8,FALSE)</f>
        <v>9.0848256361922702E-3</v>
      </c>
      <c r="H5818" s="174">
        <f>VLOOKUP($A5818,'Tech Litons'!$A:$I,9,FALSE)</f>
        <v>125</v>
      </c>
      <c r="I5818" s="174" t="str">
        <f>VLOOKUP($A5818,'Tech Litons'!$A:$C,3,0)</f>
        <v>2.4 Gal</v>
      </c>
      <c r="J5818" s="175" t="str">
        <f t="shared" si="667"/>
        <v>59142.4 Gal</v>
      </c>
      <c r="K5818" s="176">
        <f>VLOOKUP(I5818,'Attain %'!A:B,2,0)</f>
        <v>0.85</v>
      </c>
      <c r="L5818" s="177">
        <f t="shared" si="668"/>
        <v>5304</v>
      </c>
      <c r="M5818" s="177">
        <f t="shared" si="669"/>
        <v>48.185915174363799</v>
      </c>
      <c r="N5818" s="177">
        <f t="shared" si="670"/>
        <v>42.432000000000002</v>
      </c>
      <c r="O5818" s="175" t="str">
        <f t="shared" si="671"/>
        <v>May</v>
      </c>
      <c r="P5818" s="265">
        <f t="shared" si="672"/>
        <v>21</v>
      </c>
    </row>
    <row r="5819" spans="1:16" ht="15" hidden="1" customHeight="1">
      <c r="A5819" s="489">
        <v>84139000</v>
      </c>
      <c r="B5819" s="489">
        <v>5914</v>
      </c>
      <c r="C5819" s="488">
        <v>6240</v>
      </c>
      <c r="D5819" s="597">
        <v>46153</v>
      </c>
      <c r="E5819" s="489" t="s">
        <v>373</v>
      </c>
      <c r="F5819" s="489" t="s">
        <v>1243</v>
      </c>
      <c r="G5819" s="395">
        <f>VLOOKUP($A5819,'Tech Litons'!$A:$I,8,FALSE)</f>
        <v>9.0848256361922702E-3</v>
      </c>
      <c r="H5819" s="174">
        <f>VLOOKUP($A5819,'Tech Litons'!$A:$I,9,FALSE)</f>
        <v>125</v>
      </c>
      <c r="I5819" s="174" t="str">
        <f>VLOOKUP($A5819,'Tech Litons'!$A:$C,3,0)</f>
        <v>2.4 Gal</v>
      </c>
      <c r="J5819" s="175" t="str">
        <f t="shared" si="667"/>
        <v>59142.4 Gal</v>
      </c>
      <c r="K5819" s="176">
        <f>VLOOKUP(I5819,'Attain %'!A:B,2,0)</f>
        <v>0.85</v>
      </c>
      <c r="L5819" s="177">
        <f t="shared" si="668"/>
        <v>5304</v>
      </c>
      <c r="M5819" s="177">
        <f t="shared" si="669"/>
        <v>48.185915174363799</v>
      </c>
      <c r="N5819" s="177">
        <f t="shared" si="670"/>
        <v>42.432000000000002</v>
      </c>
      <c r="O5819" s="175" t="str">
        <f t="shared" si="671"/>
        <v>May</v>
      </c>
      <c r="P5819" s="265">
        <f t="shared" si="672"/>
        <v>20</v>
      </c>
    </row>
    <row r="5820" spans="1:16" ht="15" hidden="1" customHeight="1">
      <c r="A5820" s="489">
        <v>84139971</v>
      </c>
      <c r="B5820" s="489">
        <v>5914</v>
      </c>
      <c r="C5820" s="488">
        <v>6240</v>
      </c>
      <c r="D5820" s="597">
        <v>46118</v>
      </c>
      <c r="E5820" s="489" t="s">
        <v>391</v>
      </c>
      <c r="F5820" s="489" t="s">
        <v>1243</v>
      </c>
      <c r="G5820" s="395">
        <f>VLOOKUP($A5820,'Tech Litons'!$A:$I,8,FALSE)</f>
        <v>9.0848256361922702E-3</v>
      </c>
      <c r="H5820" s="174">
        <f>VLOOKUP($A5820,'Tech Litons'!$A:$I,9,FALSE)</f>
        <v>125</v>
      </c>
      <c r="I5820" s="174" t="str">
        <f>VLOOKUP($A5820,'Tech Litons'!$A:$C,3,0)</f>
        <v>2.4 Gal</v>
      </c>
      <c r="J5820" s="175" t="str">
        <f t="shared" si="667"/>
        <v>59142.4 Gal</v>
      </c>
      <c r="K5820" s="176">
        <f>VLOOKUP(I5820,'Attain %'!A:B,2,0)</f>
        <v>0.85</v>
      </c>
      <c r="L5820" s="177">
        <f t="shared" si="668"/>
        <v>5304</v>
      </c>
      <c r="M5820" s="177">
        <f t="shared" si="669"/>
        <v>48.185915174363799</v>
      </c>
      <c r="N5820" s="177">
        <f t="shared" si="670"/>
        <v>42.432000000000002</v>
      </c>
      <c r="O5820" s="175" t="str">
        <f t="shared" si="671"/>
        <v>Apr</v>
      </c>
      <c r="P5820" s="265">
        <f t="shared" si="672"/>
        <v>15</v>
      </c>
    </row>
    <row r="5821" spans="1:16" ht="15" hidden="1" customHeight="1">
      <c r="A5821" s="489">
        <v>84139971</v>
      </c>
      <c r="B5821" s="489">
        <v>5914</v>
      </c>
      <c r="C5821" s="488">
        <v>6240</v>
      </c>
      <c r="D5821" s="597">
        <v>46153</v>
      </c>
      <c r="E5821" s="489" t="s">
        <v>391</v>
      </c>
      <c r="F5821" s="489" t="s">
        <v>1243</v>
      </c>
      <c r="G5821" s="395">
        <f>VLOOKUP($A5821,'Tech Litons'!$A:$I,8,FALSE)</f>
        <v>9.0848256361922702E-3</v>
      </c>
      <c r="H5821" s="174">
        <f>VLOOKUP($A5821,'Tech Litons'!$A:$I,9,FALSE)</f>
        <v>125</v>
      </c>
      <c r="I5821" s="174" t="str">
        <f>VLOOKUP($A5821,'Tech Litons'!$A:$C,3,0)</f>
        <v>2.4 Gal</v>
      </c>
      <c r="J5821" s="175" t="str">
        <f t="shared" si="667"/>
        <v>59142.4 Gal</v>
      </c>
      <c r="K5821" s="176">
        <f>VLOOKUP(I5821,'Attain %'!A:B,2,0)</f>
        <v>0.85</v>
      </c>
      <c r="L5821" s="177">
        <f t="shared" si="668"/>
        <v>5304</v>
      </c>
      <c r="M5821" s="177">
        <f t="shared" si="669"/>
        <v>48.185915174363799</v>
      </c>
      <c r="N5821" s="177">
        <f t="shared" si="670"/>
        <v>42.432000000000002</v>
      </c>
      <c r="O5821" s="175" t="str">
        <f t="shared" si="671"/>
        <v>May</v>
      </c>
      <c r="P5821" s="265">
        <f t="shared" si="672"/>
        <v>20</v>
      </c>
    </row>
    <row r="5822" spans="1:16" ht="15" hidden="1" customHeight="1">
      <c r="A5822" s="489">
        <v>84139972</v>
      </c>
      <c r="B5822" s="489">
        <v>5914</v>
      </c>
      <c r="C5822" s="488">
        <v>6240</v>
      </c>
      <c r="D5822" s="597">
        <v>46139</v>
      </c>
      <c r="E5822" s="489" t="s">
        <v>540</v>
      </c>
      <c r="F5822" s="489" t="s">
        <v>1243</v>
      </c>
      <c r="G5822" s="395">
        <f>VLOOKUP($A5822,'Tech Litons'!$A:$I,8,FALSE)</f>
        <v>9.0848256361922702E-3</v>
      </c>
      <c r="H5822" s="174">
        <f>VLOOKUP($A5822,'Tech Litons'!$A:$I,9,FALSE)</f>
        <v>125</v>
      </c>
      <c r="I5822" s="174" t="str">
        <f>VLOOKUP($A5822,'Tech Litons'!$A:$C,3,0)</f>
        <v>2.4 Gal</v>
      </c>
      <c r="J5822" s="175" t="str">
        <f t="shared" si="667"/>
        <v>59142.4 Gal</v>
      </c>
      <c r="K5822" s="176">
        <f>VLOOKUP(I5822,'Attain %'!A:B,2,0)</f>
        <v>0.85</v>
      </c>
      <c r="L5822" s="177">
        <f t="shared" si="668"/>
        <v>5304</v>
      </c>
      <c r="M5822" s="177">
        <f t="shared" si="669"/>
        <v>48.185915174363799</v>
      </c>
      <c r="N5822" s="177">
        <f t="shared" si="670"/>
        <v>42.432000000000002</v>
      </c>
      <c r="O5822" s="175" t="str">
        <f t="shared" si="671"/>
        <v>Apr</v>
      </c>
      <c r="P5822" s="265">
        <f t="shared" si="672"/>
        <v>18</v>
      </c>
    </row>
    <row r="5823" spans="1:16" ht="15" hidden="1" customHeight="1">
      <c r="A5823" s="489">
        <v>84141037</v>
      </c>
      <c r="B5823" s="489">
        <v>5914</v>
      </c>
      <c r="C5823" s="488">
        <v>6240</v>
      </c>
      <c r="D5823" s="597">
        <v>46160</v>
      </c>
      <c r="E5823" s="489" t="s">
        <v>377</v>
      </c>
      <c r="F5823" s="489" t="s">
        <v>1243</v>
      </c>
      <c r="G5823" s="395">
        <f>VLOOKUP($A5823,'Tech Litons'!$A:$I,8,FALSE)</f>
        <v>9.0848256361922702E-3</v>
      </c>
      <c r="H5823" s="174">
        <f>VLOOKUP($A5823,'Tech Litons'!$A:$I,9,FALSE)</f>
        <v>125</v>
      </c>
      <c r="I5823" s="174" t="str">
        <f>VLOOKUP($A5823,'Tech Litons'!$A:$C,3,0)</f>
        <v>2.4 Gal</v>
      </c>
      <c r="J5823" s="175" t="str">
        <f t="shared" si="667"/>
        <v>59142.4 Gal</v>
      </c>
      <c r="K5823" s="176">
        <f>VLOOKUP(I5823,'Attain %'!A:B,2,0)</f>
        <v>0.85</v>
      </c>
      <c r="L5823" s="177">
        <f t="shared" si="668"/>
        <v>5304</v>
      </c>
      <c r="M5823" s="177">
        <f t="shared" si="669"/>
        <v>48.185915174363799</v>
      </c>
      <c r="N5823" s="177">
        <f t="shared" si="670"/>
        <v>42.432000000000002</v>
      </c>
      <c r="O5823" s="175" t="str">
        <f t="shared" si="671"/>
        <v>May</v>
      </c>
      <c r="P5823" s="265">
        <f t="shared" si="672"/>
        <v>21</v>
      </c>
    </row>
    <row r="5824" spans="1:16" ht="15" hidden="1" customHeight="1">
      <c r="A5824" s="489">
        <v>84164939</v>
      </c>
      <c r="B5824" s="489">
        <v>5914</v>
      </c>
      <c r="C5824" s="488">
        <v>6240</v>
      </c>
      <c r="D5824" s="597">
        <v>46118</v>
      </c>
      <c r="E5824" s="489" t="s">
        <v>399</v>
      </c>
      <c r="F5824" s="489" t="s">
        <v>1243</v>
      </c>
      <c r="G5824" s="395">
        <f>VLOOKUP($A5824,'Tech Litons'!$A:$I,8,FALSE)</f>
        <v>9.0848256361922702E-3</v>
      </c>
      <c r="H5824" s="174">
        <f>VLOOKUP($A5824,'Tech Litons'!$A:$I,9,FALSE)</f>
        <v>125</v>
      </c>
      <c r="I5824" s="174" t="str">
        <f>VLOOKUP($A5824,'Tech Litons'!$A:$C,3,0)</f>
        <v>2.4 Gal</v>
      </c>
      <c r="J5824" s="175" t="str">
        <f t="shared" si="667"/>
        <v>59142.4 Gal</v>
      </c>
      <c r="K5824" s="176">
        <f>VLOOKUP(I5824,'Attain %'!A:B,2,0)</f>
        <v>0.85</v>
      </c>
      <c r="L5824" s="177">
        <f t="shared" si="668"/>
        <v>5304</v>
      </c>
      <c r="M5824" s="177">
        <f t="shared" si="669"/>
        <v>48.185915174363799</v>
      </c>
      <c r="N5824" s="177">
        <f t="shared" si="670"/>
        <v>42.432000000000002</v>
      </c>
      <c r="O5824" s="175" t="str">
        <f t="shared" si="671"/>
        <v>Apr</v>
      </c>
      <c r="P5824" s="265">
        <f t="shared" si="672"/>
        <v>15</v>
      </c>
    </row>
    <row r="5825" spans="1:16" ht="15" hidden="1" customHeight="1">
      <c r="A5825" s="489">
        <v>65489676</v>
      </c>
      <c r="B5825" s="489">
        <v>1717</v>
      </c>
      <c r="C5825" s="488">
        <v>6251</v>
      </c>
      <c r="D5825" s="597">
        <v>46132</v>
      </c>
      <c r="E5825" s="489" t="s">
        <v>1224</v>
      </c>
      <c r="F5825" s="489" t="s">
        <v>1221</v>
      </c>
      <c r="G5825" s="395">
        <f>VLOOKUP($A5825,'Tech Litons'!$A:$I,8,FALSE)</f>
        <v>2.8319999999999999E-3</v>
      </c>
      <c r="H5825" s="174">
        <f>VLOOKUP($A5825,'Tech Litons'!$A:$I,9,FALSE)</f>
        <v>221</v>
      </c>
      <c r="I5825" s="174" t="str">
        <f>VLOOKUP($A5825,'Tech Litons'!$A:$C,3,0)</f>
        <v>Other</v>
      </c>
      <c r="J5825" s="175" t="str">
        <f t="shared" si="667"/>
        <v>1717Other</v>
      </c>
      <c r="K5825" s="176">
        <f>VLOOKUP(I5825,'Attain %'!A:B,2,0)</f>
        <v>0.96</v>
      </c>
      <c r="L5825" s="177">
        <f t="shared" si="668"/>
        <v>6000.96</v>
      </c>
      <c r="M5825" s="177">
        <f t="shared" si="669"/>
        <v>16.994718719999998</v>
      </c>
      <c r="N5825" s="177">
        <f t="shared" si="670"/>
        <v>27.153665158371041</v>
      </c>
      <c r="O5825" s="175" t="str">
        <f t="shared" si="671"/>
        <v>Apr</v>
      </c>
      <c r="P5825" s="265">
        <f t="shared" si="672"/>
        <v>17</v>
      </c>
    </row>
    <row r="5826" spans="1:16" ht="15" hidden="1" customHeight="1">
      <c r="A5826" s="489">
        <v>64955561</v>
      </c>
      <c r="B5826" s="489">
        <v>1715</v>
      </c>
      <c r="D5826" s="597">
        <v>46097</v>
      </c>
      <c r="E5826" s="489" t="s">
        <v>583</v>
      </c>
      <c r="F5826" s="489" t="s">
        <v>1221</v>
      </c>
      <c r="G5826" s="395">
        <f>VLOOKUP($A5826,'Tech Litons'!$A:$I,8,FALSE)</f>
        <v>3.3119999999999998E-3</v>
      </c>
      <c r="H5826" s="174">
        <f>VLOOKUP($A5826,'Tech Litons'!$A:$I,9,FALSE)</f>
        <v>165</v>
      </c>
      <c r="I5826" s="174" t="str">
        <f>VLOOKUP($A5826,'Tech Litons'!$A:$C,3,0)</f>
        <v>Yasso Sticks</v>
      </c>
      <c r="J5826" s="175" t="str">
        <f t="shared" si="667"/>
        <v>1715Yasso Sticks</v>
      </c>
      <c r="K5826" s="176">
        <f>VLOOKUP(I5826,'Attain %'!A:B,2,0)</f>
        <v>0.96</v>
      </c>
      <c r="L5826" s="177">
        <f t="shared" si="668"/>
        <v>0</v>
      </c>
      <c r="M5826" s="177">
        <f t="shared" si="669"/>
        <v>0</v>
      </c>
      <c r="N5826" s="177">
        <f t="shared" si="670"/>
        <v>0</v>
      </c>
      <c r="O5826" s="175" t="str">
        <f t="shared" si="671"/>
        <v>Mar</v>
      </c>
      <c r="P5826" s="265">
        <f t="shared" si="672"/>
        <v>12</v>
      </c>
    </row>
    <row r="5827" spans="1:16" ht="15" hidden="1" customHeight="1">
      <c r="A5827" s="489">
        <v>68300738</v>
      </c>
      <c r="B5827" s="489">
        <v>1352</v>
      </c>
      <c r="C5827" s="488">
        <v>6480</v>
      </c>
      <c r="D5827" s="597">
        <v>46146</v>
      </c>
      <c r="E5827" s="489" t="s">
        <v>325</v>
      </c>
      <c r="F5827" s="489" t="s">
        <v>1212</v>
      </c>
      <c r="G5827" s="395">
        <f>VLOOKUP($A5827,'Tech Litons'!$A:$I,8,FALSE)</f>
        <v>8.4960000000000001E-3</v>
      </c>
      <c r="H5827" s="174">
        <f>VLOOKUP($A5827,'Tech Litons'!$A:$I,9,FALSE)</f>
        <v>132</v>
      </c>
      <c r="I5827" s="174" t="str">
        <f>VLOOKUP($A5827,'Tech Litons'!$A:$C,3,0)</f>
        <v>EDF</v>
      </c>
      <c r="J5827" s="175" t="str">
        <f t="shared" si="667"/>
        <v>1352EDF</v>
      </c>
      <c r="K5827" s="176">
        <f>VLOOKUP(I5827,'Attain %'!A:B,2,0)</f>
        <v>0.96</v>
      </c>
      <c r="L5827" s="177">
        <f t="shared" si="668"/>
        <v>6220.8</v>
      </c>
      <c r="M5827" s="177">
        <f t="shared" si="669"/>
        <v>52.851916800000005</v>
      </c>
      <c r="N5827" s="177">
        <f t="shared" si="670"/>
        <v>47.127272727272725</v>
      </c>
      <c r="O5827" s="175" t="str">
        <f t="shared" si="671"/>
        <v>May</v>
      </c>
      <c r="P5827" s="265">
        <f t="shared" si="672"/>
        <v>19</v>
      </c>
    </row>
    <row r="5828" spans="1:16" ht="15" hidden="1" customHeight="1">
      <c r="A5828" s="489">
        <v>68852583</v>
      </c>
      <c r="B5828" s="489">
        <v>1352</v>
      </c>
      <c r="C5828" s="488">
        <v>6480</v>
      </c>
      <c r="D5828" s="597">
        <v>46139</v>
      </c>
      <c r="E5828" s="489" t="s">
        <v>428</v>
      </c>
      <c r="F5828" s="489" t="s">
        <v>1210</v>
      </c>
      <c r="G5828" s="395">
        <f>VLOOKUP($A5828,'Tech Litons'!$A:$I,8,FALSE)</f>
        <v>8.5199999999999998E-3</v>
      </c>
      <c r="H5828" s="174">
        <f>VLOOKUP($A5828,'Tech Litons'!$A:$I,9,FALSE)</f>
        <v>132</v>
      </c>
      <c r="I5828" s="174" t="str">
        <f>VLOOKUP($A5828,'Tech Litons'!$A:$C,3,0)</f>
        <v>EDF</v>
      </c>
      <c r="J5828" s="175" t="str">
        <f t="shared" si="667"/>
        <v>1352EDF</v>
      </c>
      <c r="K5828" s="176">
        <f>VLOOKUP(I5828,'Attain %'!A:B,2,0)</f>
        <v>0.96</v>
      </c>
      <c r="L5828" s="177">
        <f t="shared" si="668"/>
        <v>6220.8</v>
      </c>
      <c r="M5828" s="177">
        <f t="shared" si="669"/>
        <v>53.001215999999999</v>
      </c>
      <c r="N5828" s="177">
        <f t="shared" si="670"/>
        <v>47.127272727272725</v>
      </c>
      <c r="O5828" s="175" t="str">
        <f t="shared" si="671"/>
        <v>Apr</v>
      </c>
      <c r="P5828" s="265">
        <f t="shared" si="672"/>
        <v>18</v>
      </c>
    </row>
    <row r="5829" spans="1:16" ht="15" hidden="1" customHeight="1">
      <c r="A5829" s="489">
        <v>64394600</v>
      </c>
      <c r="B5829" s="489">
        <v>5914</v>
      </c>
      <c r="C5829" s="488">
        <v>6480</v>
      </c>
      <c r="D5829" s="597">
        <v>46132</v>
      </c>
      <c r="E5829" s="489" t="s">
        <v>494</v>
      </c>
      <c r="F5829" s="489" t="s">
        <v>1244</v>
      </c>
      <c r="G5829" s="395">
        <f>VLOOKUP($A5829,'Tech Litons'!$A:$I,8,FALSE)</f>
        <v>3.7839999999999996E-3</v>
      </c>
      <c r="H5829" s="174">
        <f>VLOOKUP($A5829,'Tech Litons'!$A:$I,9,FALSE)</f>
        <v>240</v>
      </c>
      <c r="I5829" s="174" t="str">
        <f>VLOOKUP($A5829,'Tech Litons'!$A:$C,3,0)</f>
        <v>BJ PTS</v>
      </c>
      <c r="J5829" s="175" t="str">
        <f t="shared" si="667"/>
        <v>5914BJ PTS</v>
      </c>
      <c r="K5829" s="176">
        <f>VLOOKUP(I5829,'Attain %'!A:B,2,0)</f>
        <v>0.95</v>
      </c>
      <c r="L5829" s="177">
        <f t="shared" si="668"/>
        <v>6156</v>
      </c>
      <c r="M5829" s="177">
        <f t="shared" si="669"/>
        <v>23.294303999999997</v>
      </c>
      <c r="N5829" s="177">
        <f t="shared" si="670"/>
        <v>25.65</v>
      </c>
      <c r="O5829" s="175" t="str">
        <f t="shared" si="671"/>
        <v>Apr</v>
      </c>
      <c r="P5829" s="265">
        <f t="shared" si="672"/>
        <v>17</v>
      </c>
    </row>
    <row r="5830" spans="1:16" ht="15" hidden="1" customHeight="1">
      <c r="A5830" s="489">
        <v>68638136</v>
      </c>
      <c r="B5830" s="489">
        <v>5914</v>
      </c>
      <c r="C5830" s="488">
        <v>6480</v>
      </c>
      <c r="D5830" s="597">
        <v>46104</v>
      </c>
      <c r="E5830" s="489" t="s">
        <v>537</v>
      </c>
      <c r="F5830" s="489" t="s">
        <v>1244</v>
      </c>
      <c r="G5830" s="395">
        <f>VLOOKUP($A5830,'Tech Litons'!$A:$I,8,FALSE)</f>
        <v>3.7839999999999996E-3</v>
      </c>
      <c r="H5830" s="174">
        <f>VLOOKUP($A5830,'Tech Litons'!$A:$I,9,FALSE)</f>
        <v>240</v>
      </c>
      <c r="I5830" s="174" t="str">
        <f>VLOOKUP($A5830,'Tech Litons'!$A:$C,3,0)</f>
        <v>BJ PTS</v>
      </c>
      <c r="J5830" s="175" t="str">
        <f t="shared" si="667"/>
        <v>5914BJ PTS</v>
      </c>
      <c r="K5830" s="176">
        <f>VLOOKUP(I5830,'Attain %'!A:B,2,0)</f>
        <v>0.95</v>
      </c>
      <c r="L5830" s="177">
        <f t="shared" si="668"/>
        <v>6156</v>
      </c>
      <c r="M5830" s="177">
        <f t="shared" si="669"/>
        <v>23.294303999999997</v>
      </c>
      <c r="N5830" s="177">
        <f t="shared" si="670"/>
        <v>25.65</v>
      </c>
      <c r="O5830" s="175" t="str">
        <f t="shared" si="671"/>
        <v>Mar</v>
      </c>
      <c r="P5830" s="265">
        <f t="shared" si="672"/>
        <v>13</v>
      </c>
    </row>
    <row r="5831" spans="1:16" ht="15" hidden="1" customHeight="1">
      <c r="A5831" s="489">
        <v>68654218</v>
      </c>
      <c r="B5831" s="489" t="s">
        <v>118</v>
      </c>
      <c r="C5831" s="488">
        <v>6500</v>
      </c>
      <c r="D5831" s="597">
        <v>46146</v>
      </c>
      <c r="E5831" s="489" t="s">
        <v>897</v>
      </c>
      <c r="F5831" s="489" t="s">
        <v>1223</v>
      </c>
      <c r="G5831" s="395">
        <f>VLOOKUP($A5831,'Tech Litons'!$A:$I,8,FALSE)</f>
        <v>1.892672E-3</v>
      </c>
      <c r="H5831" s="174">
        <f>VLOOKUP($A5831,'Tech Litons'!$A:$I,9,FALSE)</f>
        <v>256</v>
      </c>
      <c r="I5831" s="174" t="str">
        <f>VLOOKUP($A5831,'Tech Litons'!$A:$C,3,0)</f>
        <v>Dough Bites</v>
      </c>
      <c r="J5831" s="175" t="str">
        <f t="shared" si="667"/>
        <v>RhinoDough Bites</v>
      </c>
      <c r="K5831" s="176">
        <f>VLOOKUP(I5831,'Attain %'!A:B,2,0)</f>
        <v>0.96</v>
      </c>
      <c r="L5831" s="177">
        <f t="shared" si="668"/>
        <v>6240</v>
      </c>
      <c r="M5831" s="177">
        <f t="shared" si="669"/>
        <v>11.810273280000001</v>
      </c>
      <c r="N5831" s="177">
        <f t="shared" si="670"/>
        <v>24.375</v>
      </c>
      <c r="O5831" s="175" t="str">
        <f t="shared" si="671"/>
        <v>May</v>
      </c>
      <c r="P5831" s="265">
        <f t="shared" si="672"/>
        <v>19</v>
      </c>
    </row>
    <row r="5832" spans="1:16" ht="15" hidden="1" customHeight="1">
      <c r="A5832" s="489">
        <v>68654218</v>
      </c>
      <c r="B5832" s="489" t="s">
        <v>118</v>
      </c>
      <c r="C5832" s="488">
        <v>6500</v>
      </c>
      <c r="D5832" s="597">
        <v>46181</v>
      </c>
      <c r="E5832" s="489" t="s">
        <v>897</v>
      </c>
      <c r="F5832" s="489" t="s">
        <v>1223</v>
      </c>
      <c r="G5832" s="395">
        <f>VLOOKUP($A5832,'Tech Litons'!$A:$I,8,FALSE)</f>
        <v>1.892672E-3</v>
      </c>
      <c r="H5832" s="174">
        <f>VLOOKUP($A5832,'Tech Litons'!$A:$I,9,FALSE)</f>
        <v>256</v>
      </c>
      <c r="I5832" s="174" t="str">
        <f>VLOOKUP($A5832,'Tech Litons'!$A:$C,3,0)</f>
        <v>Dough Bites</v>
      </c>
      <c r="J5832" s="175" t="str">
        <f t="shared" si="667"/>
        <v>RhinoDough Bites</v>
      </c>
      <c r="K5832" s="176">
        <f>VLOOKUP(I5832,'Attain %'!A:B,2,0)</f>
        <v>0.96</v>
      </c>
      <c r="L5832" s="177">
        <f t="shared" si="668"/>
        <v>6240</v>
      </c>
      <c r="M5832" s="177">
        <f t="shared" si="669"/>
        <v>11.810273280000001</v>
      </c>
      <c r="N5832" s="177">
        <f t="shared" si="670"/>
        <v>24.375</v>
      </c>
      <c r="O5832" s="175" t="str">
        <f t="shared" si="671"/>
        <v>Jun</v>
      </c>
      <c r="P5832" s="265">
        <f t="shared" si="672"/>
        <v>24</v>
      </c>
    </row>
    <row r="5833" spans="1:16" ht="15" hidden="1" customHeight="1">
      <c r="A5833" s="489">
        <v>68654218</v>
      </c>
      <c r="B5833" s="489" t="s">
        <v>118</v>
      </c>
      <c r="C5833" s="488">
        <v>6500</v>
      </c>
      <c r="D5833" s="597">
        <v>46230</v>
      </c>
      <c r="E5833" s="489" t="s">
        <v>897</v>
      </c>
      <c r="F5833" s="489" t="s">
        <v>1223</v>
      </c>
      <c r="G5833" s="395">
        <f>VLOOKUP($A5833,'Tech Litons'!$A:$I,8,FALSE)</f>
        <v>1.892672E-3</v>
      </c>
      <c r="H5833" s="174">
        <f>VLOOKUP($A5833,'Tech Litons'!$A:$I,9,FALSE)</f>
        <v>256</v>
      </c>
      <c r="I5833" s="174" t="str">
        <f>VLOOKUP($A5833,'Tech Litons'!$A:$C,3,0)</f>
        <v>Dough Bites</v>
      </c>
      <c r="J5833" s="175" t="str">
        <f t="shared" si="667"/>
        <v>RhinoDough Bites</v>
      </c>
      <c r="K5833" s="176">
        <f>VLOOKUP(I5833,'Attain %'!A:B,2,0)</f>
        <v>0.96</v>
      </c>
      <c r="L5833" s="177">
        <f t="shared" si="668"/>
        <v>6240</v>
      </c>
      <c r="M5833" s="177">
        <f t="shared" si="669"/>
        <v>11.810273280000001</v>
      </c>
      <c r="N5833" s="177">
        <f t="shared" si="670"/>
        <v>24.375</v>
      </c>
      <c r="O5833" s="175" t="str">
        <f t="shared" si="671"/>
        <v>Jul</v>
      </c>
      <c r="P5833" s="265">
        <f t="shared" si="672"/>
        <v>31</v>
      </c>
    </row>
    <row r="5834" spans="1:16" ht="15" hidden="1" customHeight="1">
      <c r="A5834" s="489">
        <v>68654218</v>
      </c>
      <c r="B5834" s="489" t="s">
        <v>118</v>
      </c>
      <c r="C5834" s="488">
        <v>6500</v>
      </c>
      <c r="D5834" s="597">
        <v>46307</v>
      </c>
      <c r="E5834" s="489" t="s">
        <v>897</v>
      </c>
      <c r="F5834" s="489" t="s">
        <v>1223</v>
      </c>
      <c r="G5834" s="395">
        <f>VLOOKUP($A5834,'Tech Litons'!$A:$I,8,FALSE)</f>
        <v>1.892672E-3</v>
      </c>
      <c r="H5834" s="174">
        <f>VLOOKUP($A5834,'Tech Litons'!$A:$I,9,FALSE)</f>
        <v>256</v>
      </c>
      <c r="I5834" s="174" t="str">
        <f>VLOOKUP($A5834,'Tech Litons'!$A:$C,3,0)</f>
        <v>Dough Bites</v>
      </c>
      <c r="J5834" s="175" t="str">
        <f t="shared" si="667"/>
        <v>RhinoDough Bites</v>
      </c>
      <c r="K5834" s="176">
        <f>VLOOKUP(I5834,'Attain %'!A:B,2,0)</f>
        <v>0.96</v>
      </c>
      <c r="L5834" s="177">
        <f t="shared" si="668"/>
        <v>6240</v>
      </c>
      <c r="M5834" s="177">
        <f t="shared" si="669"/>
        <v>11.810273280000001</v>
      </c>
      <c r="N5834" s="177">
        <f t="shared" si="670"/>
        <v>24.375</v>
      </c>
      <c r="O5834" s="175" t="str">
        <f t="shared" si="671"/>
        <v>Oct</v>
      </c>
      <c r="P5834" s="265">
        <f t="shared" si="672"/>
        <v>42</v>
      </c>
    </row>
    <row r="5835" spans="1:16" ht="15" hidden="1" customHeight="1">
      <c r="A5835" s="489">
        <v>68654232</v>
      </c>
      <c r="B5835" s="489" t="s">
        <v>118</v>
      </c>
      <c r="C5835" s="488">
        <v>6500</v>
      </c>
      <c r="D5835" s="597">
        <v>46118</v>
      </c>
      <c r="E5835" s="489" t="s">
        <v>899</v>
      </c>
      <c r="F5835" s="489" t="s">
        <v>1223</v>
      </c>
      <c r="G5835" s="395">
        <f>VLOOKUP($A5835,'Tech Litons'!$A:$I,8,FALSE)</f>
        <v>1.8959999999999999E-3</v>
      </c>
      <c r="H5835" s="174">
        <f>VLOOKUP($A5835,'Tech Litons'!$A:$I,9,FALSE)</f>
        <v>256</v>
      </c>
      <c r="I5835" s="174" t="str">
        <f>VLOOKUP($A5835,'Tech Litons'!$A:$C,3,0)</f>
        <v>Dough Bites</v>
      </c>
      <c r="J5835" s="175" t="str">
        <f t="shared" si="667"/>
        <v>RhinoDough Bites</v>
      </c>
      <c r="K5835" s="176">
        <f>VLOOKUP(I5835,'Attain %'!A:B,2,0)</f>
        <v>0.96</v>
      </c>
      <c r="L5835" s="177">
        <f t="shared" si="668"/>
        <v>6240</v>
      </c>
      <c r="M5835" s="177">
        <f t="shared" si="669"/>
        <v>11.83104</v>
      </c>
      <c r="N5835" s="177">
        <f t="shared" si="670"/>
        <v>24.375</v>
      </c>
      <c r="O5835" s="175" t="str">
        <f t="shared" si="671"/>
        <v>Apr</v>
      </c>
      <c r="P5835" s="265">
        <f t="shared" si="672"/>
        <v>15</v>
      </c>
    </row>
    <row r="5836" spans="1:16" ht="15" hidden="1" customHeight="1">
      <c r="A5836" s="489">
        <v>68654232</v>
      </c>
      <c r="B5836" s="489" t="s">
        <v>118</v>
      </c>
      <c r="C5836" s="488">
        <v>6500</v>
      </c>
      <c r="D5836" s="597">
        <v>46230</v>
      </c>
      <c r="E5836" s="489" t="s">
        <v>899</v>
      </c>
      <c r="F5836" s="489" t="s">
        <v>1223</v>
      </c>
      <c r="G5836" s="395">
        <f>VLOOKUP($A5836,'Tech Litons'!$A:$I,8,FALSE)</f>
        <v>1.8959999999999999E-3</v>
      </c>
      <c r="H5836" s="174">
        <f>VLOOKUP($A5836,'Tech Litons'!$A:$I,9,FALSE)</f>
        <v>256</v>
      </c>
      <c r="I5836" s="174" t="str">
        <f>VLOOKUP($A5836,'Tech Litons'!$A:$C,3,0)</f>
        <v>Dough Bites</v>
      </c>
      <c r="J5836" s="175" t="str">
        <f t="shared" si="667"/>
        <v>RhinoDough Bites</v>
      </c>
      <c r="K5836" s="176">
        <f>VLOOKUP(I5836,'Attain %'!A:B,2,0)</f>
        <v>0.96</v>
      </c>
      <c r="L5836" s="177">
        <f t="shared" si="668"/>
        <v>6240</v>
      </c>
      <c r="M5836" s="177">
        <f t="shared" si="669"/>
        <v>11.83104</v>
      </c>
      <c r="N5836" s="177">
        <f t="shared" si="670"/>
        <v>24.375</v>
      </c>
      <c r="O5836" s="175" t="str">
        <f t="shared" si="671"/>
        <v>Jul</v>
      </c>
      <c r="P5836" s="265">
        <f t="shared" si="672"/>
        <v>31</v>
      </c>
    </row>
    <row r="5837" spans="1:16" ht="15" hidden="1" customHeight="1">
      <c r="A5837" s="489">
        <v>68817797</v>
      </c>
      <c r="B5837" s="489">
        <v>1352</v>
      </c>
      <c r="C5837" s="488">
        <v>6600</v>
      </c>
      <c r="D5837" s="597">
        <v>46132</v>
      </c>
      <c r="E5837" s="489" t="s">
        <v>485</v>
      </c>
      <c r="F5837" s="489" t="s">
        <v>1209</v>
      </c>
      <c r="G5837" s="395">
        <f>VLOOKUP($A5837,'Tech Litons'!$A:$I,8,FALSE)</f>
        <v>8.5199999999999998E-3</v>
      </c>
      <c r="H5837" s="174">
        <f>VLOOKUP($A5837,'Tech Litons'!$A:$I,9,FALSE)</f>
        <v>154</v>
      </c>
      <c r="I5837" s="174" t="str">
        <f>VLOOKUP($A5837,'Tech Litons'!$A:$C,3,0)</f>
        <v>48oz</v>
      </c>
      <c r="J5837" s="175" t="str">
        <f t="shared" si="667"/>
        <v>135248oz</v>
      </c>
      <c r="K5837" s="176">
        <f>VLOOKUP(I5837,'Attain %'!A:B,2,0)</f>
        <v>0.94</v>
      </c>
      <c r="L5837" s="177">
        <f t="shared" si="668"/>
        <v>6204</v>
      </c>
      <c r="M5837" s="177">
        <f t="shared" si="669"/>
        <v>52.858080000000001</v>
      </c>
      <c r="N5837" s="177">
        <f t="shared" si="670"/>
        <v>40.285714285714285</v>
      </c>
      <c r="O5837" s="175" t="str">
        <f t="shared" si="671"/>
        <v>Apr</v>
      </c>
      <c r="P5837" s="265">
        <f t="shared" si="672"/>
        <v>17</v>
      </c>
    </row>
    <row r="5838" spans="1:16" ht="15" hidden="1" customHeight="1">
      <c r="A5838" s="489">
        <v>64325625</v>
      </c>
      <c r="B5838" s="489">
        <v>1713</v>
      </c>
      <c r="C5838" s="488">
        <v>6600</v>
      </c>
      <c r="D5838" s="597">
        <v>46174</v>
      </c>
      <c r="E5838" s="489" t="s">
        <v>578</v>
      </c>
      <c r="F5838" s="489" t="s">
        <v>1221</v>
      </c>
      <c r="G5838" s="395">
        <f>VLOOKUP($A5838,'Tech Litons'!$A:$I,8,FALSE)</f>
        <v>2.0200000000000001E-3</v>
      </c>
      <c r="H5838" s="174">
        <f>VLOOKUP($A5838,'Tech Litons'!$A:$I,9,FALSE)</f>
        <v>200</v>
      </c>
      <c r="I5838" s="174" t="str">
        <f>VLOOKUP($A5838,'Tech Litons'!$A:$C,3,0)</f>
        <v>Yasso Poppables</v>
      </c>
      <c r="J5838" s="175" t="str">
        <f t="shared" si="667"/>
        <v>1713Yasso Poppables</v>
      </c>
      <c r="K5838" s="176">
        <f>VLOOKUP(I5838,'Attain %'!A:B,2,0)</f>
        <v>0.96</v>
      </c>
      <c r="L5838" s="177">
        <f t="shared" si="668"/>
        <v>6336</v>
      </c>
      <c r="M5838" s="177">
        <f t="shared" si="669"/>
        <v>12.798720000000001</v>
      </c>
      <c r="N5838" s="177">
        <f t="shared" si="670"/>
        <v>31.68</v>
      </c>
      <c r="O5838" s="175" t="str">
        <f t="shared" si="671"/>
        <v>Jun</v>
      </c>
      <c r="P5838" s="265">
        <f t="shared" si="672"/>
        <v>23</v>
      </c>
    </row>
    <row r="5839" spans="1:16" ht="15" hidden="1" customHeight="1">
      <c r="A5839" s="489">
        <v>64956417</v>
      </c>
      <c r="B5839" s="489" t="s">
        <v>139</v>
      </c>
      <c r="C5839" s="488">
        <v>6656</v>
      </c>
      <c r="D5839" s="597">
        <v>46244</v>
      </c>
      <c r="E5839" s="489" t="s">
        <v>621</v>
      </c>
      <c r="F5839" s="489" t="s">
        <v>1223</v>
      </c>
      <c r="G5839" s="395">
        <f>VLOOKUP($A5839,'Tech Litons'!$A:$I,8,FALSE)</f>
        <v>2.16E-3</v>
      </c>
      <c r="H5839" s="174">
        <f>VLOOKUP($A5839,'Tech Litons'!$A:$I,9,FALSE)</f>
        <v>143</v>
      </c>
      <c r="I5839" s="174" t="str">
        <f>VLOOKUP($A5839,'Tech Litons'!$A:$C,3,0)</f>
        <v>Facepieces</v>
      </c>
      <c r="J5839" s="175" t="str">
        <f t="shared" si="667"/>
        <v>IncomFacepieces</v>
      </c>
      <c r="K5839" s="176">
        <f>VLOOKUP(I5839,'Attain %'!A:B,2,0)</f>
        <v>0.96</v>
      </c>
      <c r="L5839" s="177">
        <f t="shared" si="668"/>
        <v>6389.76</v>
      </c>
      <c r="M5839" s="177">
        <f t="shared" si="669"/>
        <v>13.801881600000002</v>
      </c>
      <c r="N5839" s="177">
        <f t="shared" si="670"/>
        <v>44.683636363636367</v>
      </c>
      <c r="O5839" s="175" t="str">
        <f t="shared" si="671"/>
        <v>Aug</v>
      </c>
      <c r="P5839" s="265">
        <f t="shared" si="672"/>
        <v>33</v>
      </c>
    </row>
    <row r="5840" spans="1:16" ht="15" hidden="1" customHeight="1">
      <c r="A5840" s="489">
        <v>64956417</v>
      </c>
      <c r="B5840" s="489" t="s">
        <v>139</v>
      </c>
      <c r="C5840" s="488">
        <v>6656</v>
      </c>
      <c r="D5840" s="597">
        <v>46272</v>
      </c>
      <c r="E5840" s="489" t="s">
        <v>621</v>
      </c>
      <c r="F5840" s="489" t="s">
        <v>1223</v>
      </c>
      <c r="G5840" s="395">
        <f>VLOOKUP($A5840,'Tech Litons'!$A:$I,8,FALSE)</f>
        <v>2.16E-3</v>
      </c>
      <c r="H5840" s="174">
        <f>VLOOKUP($A5840,'Tech Litons'!$A:$I,9,FALSE)</f>
        <v>143</v>
      </c>
      <c r="I5840" s="174" t="str">
        <f>VLOOKUP($A5840,'Tech Litons'!$A:$C,3,0)</f>
        <v>Facepieces</v>
      </c>
      <c r="J5840" s="175" t="str">
        <f t="shared" si="667"/>
        <v>IncomFacepieces</v>
      </c>
      <c r="K5840" s="176">
        <f>VLOOKUP(I5840,'Attain %'!A:B,2,0)</f>
        <v>0.96</v>
      </c>
      <c r="L5840" s="177">
        <f t="shared" si="668"/>
        <v>6389.76</v>
      </c>
      <c r="M5840" s="177">
        <f t="shared" si="669"/>
        <v>13.801881600000002</v>
      </c>
      <c r="N5840" s="177">
        <f t="shared" si="670"/>
        <v>44.683636363636367</v>
      </c>
      <c r="O5840" s="175" t="str">
        <f t="shared" si="671"/>
        <v>Sep</v>
      </c>
      <c r="P5840" s="265">
        <f t="shared" si="672"/>
        <v>37</v>
      </c>
    </row>
    <row r="5841" spans="1:16" ht="15" hidden="1" customHeight="1">
      <c r="A5841" s="489">
        <v>67546032</v>
      </c>
      <c r="B5841" s="489">
        <v>5914</v>
      </c>
      <c r="C5841" s="488">
        <v>6960</v>
      </c>
      <c r="D5841" s="597">
        <v>46125</v>
      </c>
      <c r="E5841" s="489" t="s">
        <v>469</v>
      </c>
      <c r="F5841" s="489" t="s">
        <v>1244</v>
      </c>
      <c r="G5841" s="395">
        <f>VLOOKUP($A5841,'Tech Litons'!$A:$I,8,FALSE)</f>
        <v>3.6640000000000002E-3</v>
      </c>
      <c r="H5841" s="174">
        <f>VLOOKUP($A5841,'Tech Litons'!$A:$I,9,FALSE)</f>
        <v>240</v>
      </c>
      <c r="I5841" s="174" t="str">
        <f>VLOOKUP($A5841,'Tech Litons'!$A:$C,3,0)</f>
        <v>PTS Exports</v>
      </c>
      <c r="J5841" s="175" t="str">
        <f t="shared" si="667"/>
        <v>5914PTS Exports</v>
      </c>
      <c r="K5841" s="176">
        <f>VLOOKUP(I5841,'Attain %'!A:B,2,0)</f>
        <v>0.96</v>
      </c>
      <c r="L5841" s="177">
        <f t="shared" si="668"/>
        <v>6681.5999999999995</v>
      </c>
      <c r="M5841" s="177">
        <f t="shared" si="669"/>
        <v>24.481382399999998</v>
      </c>
      <c r="N5841" s="177">
        <f t="shared" si="670"/>
        <v>27.839999999999996</v>
      </c>
      <c r="O5841" s="175" t="str">
        <f t="shared" si="671"/>
        <v>Apr</v>
      </c>
      <c r="P5841" s="265">
        <f t="shared" si="672"/>
        <v>16</v>
      </c>
    </row>
    <row r="5842" spans="1:16" ht="15" hidden="1" customHeight="1">
      <c r="A5842" s="489">
        <v>64389652</v>
      </c>
      <c r="B5842" s="489">
        <v>5914</v>
      </c>
      <c r="C5842" s="488">
        <v>7000</v>
      </c>
      <c r="D5842" s="597">
        <v>46153</v>
      </c>
      <c r="E5842" s="489" t="s">
        <v>933</v>
      </c>
      <c r="F5842" s="489" t="s">
        <v>1247</v>
      </c>
      <c r="G5842" s="395">
        <f>VLOOKUP($A5842,'Tech Litons'!$A:$I,8,FALSE)</f>
        <v>3.7839999999999996E-3</v>
      </c>
      <c r="H5842" s="174">
        <f>VLOOKUP($A5842,'Tech Litons'!$A:$I,9,FALSE)</f>
        <v>240</v>
      </c>
      <c r="I5842" s="174" t="str">
        <f>VLOOKUP($A5842,'Tech Litons'!$A:$C,3,0)</f>
        <v>PTS Exports</v>
      </c>
      <c r="J5842" s="175" t="str">
        <f t="shared" si="667"/>
        <v>5914PTS Exports</v>
      </c>
      <c r="K5842" s="176">
        <f>VLOOKUP(I5842,'Attain %'!A:B,2,0)</f>
        <v>0.96</v>
      </c>
      <c r="L5842" s="177">
        <f t="shared" si="668"/>
        <v>6720</v>
      </c>
      <c r="M5842" s="177">
        <f t="shared" si="669"/>
        <v>25.428479999999997</v>
      </c>
      <c r="N5842" s="177">
        <f t="shared" si="670"/>
        <v>28</v>
      </c>
      <c r="O5842" s="175" t="str">
        <f t="shared" si="671"/>
        <v>May</v>
      </c>
      <c r="P5842" s="265">
        <f t="shared" si="672"/>
        <v>20</v>
      </c>
    </row>
    <row r="5843" spans="1:16" ht="15" hidden="1" customHeight="1">
      <c r="A5843" s="489">
        <v>69665113</v>
      </c>
      <c r="B5843" s="489" t="s">
        <v>118</v>
      </c>
      <c r="C5843" s="488">
        <v>7000</v>
      </c>
      <c r="D5843" s="597">
        <v>46132</v>
      </c>
      <c r="E5843" s="489" t="s">
        <v>896</v>
      </c>
      <c r="F5843" s="489" t="s">
        <v>1223</v>
      </c>
      <c r="G5843" s="395">
        <f>VLOOKUP($A5843,'Tech Litons'!$A:$I,8,FALSE)</f>
        <v>1.8160000000000001E-3</v>
      </c>
      <c r="H5843" s="174">
        <f>VLOOKUP($A5843,'Tech Litons'!$A:$I,9,FALSE)</f>
        <v>256</v>
      </c>
      <c r="I5843" s="174" t="str">
        <f>VLOOKUP($A5843,'Tech Litons'!$A:$C,3,0)</f>
        <v>Dough Bites</v>
      </c>
      <c r="J5843" s="175" t="str">
        <f t="shared" si="667"/>
        <v>RhinoDough Bites</v>
      </c>
      <c r="K5843" s="176">
        <f>VLOOKUP(I5843,'Attain %'!A:B,2,0)</f>
        <v>0.96</v>
      </c>
      <c r="L5843" s="177">
        <f t="shared" si="668"/>
        <v>6720</v>
      </c>
      <c r="M5843" s="177">
        <f t="shared" si="669"/>
        <v>12.203520000000001</v>
      </c>
      <c r="N5843" s="177">
        <f t="shared" si="670"/>
        <v>26.25</v>
      </c>
      <c r="O5843" s="175" t="str">
        <f t="shared" si="671"/>
        <v>Apr</v>
      </c>
      <c r="P5843" s="265">
        <f t="shared" si="672"/>
        <v>17</v>
      </c>
    </row>
    <row r="5844" spans="1:16" ht="15" hidden="1" customHeight="1">
      <c r="A5844" s="489">
        <v>69665113</v>
      </c>
      <c r="B5844" s="489" t="s">
        <v>118</v>
      </c>
      <c r="C5844" s="488">
        <v>7000</v>
      </c>
      <c r="D5844" s="597">
        <v>46139</v>
      </c>
      <c r="E5844" s="489" t="s">
        <v>896</v>
      </c>
      <c r="F5844" s="489" t="s">
        <v>1223</v>
      </c>
      <c r="G5844" s="395">
        <f>VLOOKUP($A5844,'Tech Litons'!$A:$I,8,FALSE)</f>
        <v>1.8160000000000001E-3</v>
      </c>
      <c r="H5844" s="174">
        <f>VLOOKUP($A5844,'Tech Litons'!$A:$I,9,FALSE)</f>
        <v>256</v>
      </c>
      <c r="I5844" s="174" t="str">
        <f>VLOOKUP($A5844,'Tech Litons'!$A:$C,3,0)</f>
        <v>Dough Bites</v>
      </c>
      <c r="J5844" s="175" t="str">
        <f t="shared" si="667"/>
        <v>RhinoDough Bites</v>
      </c>
      <c r="K5844" s="176">
        <f>VLOOKUP(I5844,'Attain %'!A:B,2,0)</f>
        <v>0.96</v>
      </c>
      <c r="L5844" s="177">
        <f t="shared" si="668"/>
        <v>6720</v>
      </c>
      <c r="M5844" s="177">
        <f t="shared" si="669"/>
        <v>12.203520000000001</v>
      </c>
      <c r="N5844" s="177">
        <f t="shared" si="670"/>
        <v>26.25</v>
      </c>
      <c r="O5844" s="175" t="str">
        <f t="shared" si="671"/>
        <v>Apr</v>
      </c>
      <c r="P5844" s="265">
        <f t="shared" si="672"/>
        <v>18</v>
      </c>
    </row>
    <row r="5845" spans="1:16" ht="15" hidden="1" customHeight="1">
      <c r="A5845" s="489">
        <v>69665113</v>
      </c>
      <c r="B5845" s="489" t="s">
        <v>118</v>
      </c>
      <c r="C5845" s="488">
        <v>7000</v>
      </c>
      <c r="D5845" s="597">
        <v>46146</v>
      </c>
      <c r="E5845" s="489" t="s">
        <v>896</v>
      </c>
      <c r="F5845" s="489" t="s">
        <v>1223</v>
      </c>
      <c r="G5845" s="395">
        <f>VLOOKUP($A5845,'Tech Litons'!$A:$I,8,FALSE)</f>
        <v>1.8160000000000001E-3</v>
      </c>
      <c r="H5845" s="174">
        <f>VLOOKUP($A5845,'Tech Litons'!$A:$I,9,FALSE)</f>
        <v>256</v>
      </c>
      <c r="I5845" s="174" t="str">
        <f>VLOOKUP($A5845,'Tech Litons'!$A:$C,3,0)</f>
        <v>Dough Bites</v>
      </c>
      <c r="J5845" s="175" t="str">
        <f t="shared" si="667"/>
        <v>RhinoDough Bites</v>
      </c>
      <c r="K5845" s="176">
        <f>VLOOKUP(I5845,'Attain %'!A:B,2,0)</f>
        <v>0.96</v>
      </c>
      <c r="L5845" s="177">
        <f t="shared" si="668"/>
        <v>6720</v>
      </c>
      <c r="M5845" s="177">
        <f t="shared" si="669"/>
        <v>12.203520000000001</v>
      </c>
      <c r="N5845" s="177">
        <f t="shared" si="670"/>
        <v>26.25</v>
      </c>
      <c r="O5845" s="175" t="str">
        <f t="shared" si="671"/>
        <v>May</v>
      </c>
      <c r="P5845" s="265">
        <f t="shared" si="672"/>
        <v>19</v>
      </c>
    </row>
    <row r="5846" spans="1:16" ht="15" hidden="1" customHeight="1">
      <c r="A5846" s="489">
        <v>69665113</v>
      </c>
      <c r="B5846" s="489" t="s">
        <v>118</v>
      </c>
      <c r="C5846" s="488">
        <v>7000</v>
      </c>
      <c r="D5846" s="597">
        <v>46153</v>
      </c>
      <c r="E5846" s="489" t="s">
        <v>896</v>
      </c>
      <c r="F5846" s="489" t="s">
        <v>1223</v>
      </c>
      <c r="G5846" s="395">
        <f>VLOOKUP($A5846,'Tech Litons'!$A:$I,8,FALSE)</f>
        <v>1.8160000000000001E-3</v>
      </c>
      <c r="H5846" s="174">
        <f>VLOOKUP($A5846,'Tech Litons'!$A:$I,9,FALSE)</f>
        <v>256</v>
      </c>
      <c r="I5846" s="174" t="str">
        <f>VLOOKUP($A5846,'Tech Litons'!$A:$C,3,0)</f>
        <v>Dough Bites</v>
      </c>
      <c r="J5846" s="175" t="str">
        <f t="shared" si="667"/>
        <v>RhinoDough Bites</v>
      </c>
      <c r="K5846" s="176">
        <f>VLOOKUP(I5846,'Attain %'!A:B,2,0)</f>
        <v>0.96</v>
      </c>
      <c r="L5846" s="177">
        <f t="shared" si="668"/>
        <v>6720</v>
      </c>
      <c r="M5846" s="177">
        <f t="shared" si="669"/>
        <v>12.203520000000001</v>
      </c>
      <c r="N5846" s="177">
        <f t="shared" si="670"/>
        <v>26.25</v>
      </c>
      <c r="O5846" s="175" t="str">
        <f t="shared" si="671"/>
        <v>May</v>
      </c>
      <c r="P5846" s="265">
        <f t="shared" si="672"/>
        <v>20</v>
      </c>
    </row>
    <row r="5847" spans="1:16" ht="15" hidden="1" customHeight="1">
      <c r="A5847" s="489">
        <v>69665113</v>
      </c>
      <c r="B5847" s="489" t="s">
        <v>118</v>
      </c>
      <c r="C5847" s="488">
        <v>7000</v>
      </c>
      <c r="D5847" s="597">
        <v>46160</v>
      </c>
      <c r="E5847" s="489" t="s">
        <v>896</v>
      </c>
      <c r="F5847" s="489" t="s">
        <v>1223</v>
      </c>
      <c r="G5847" s="395">
        <f>VLOOKUP($A5847,'Tech Litons'!$A:$I,8,FALSE)</f>
        <v>1.8160000000000001E-3</v>
      </c>
      <c r="H5847" s="174">
        <f>VLOOKUP($A5847,'Tech Litons'!$A:$I,9,FALSE)</f>
        <v>256</v>
      </c>
      <c r="I5847" s="174" t="str">
        <f>VLOOKUP($A5847,'Tech Litons'!$A:$C,3,0)</f>
        <v>Dough Bites</v>
      </c>
      <c r="J5847" s="175" t="str">
        <f t="shared" si="667"/>
        <v>RhinoDough Bites</v>
      </c>
      <c r="K5847" s="176">
        <f>VLOOKUP(I5847,'Attain %'!A:B,2,0)</f>
        <v>0.96</v>
      </c>
      <c r="L5847" s="177">
        <f t="shared" si="668"/>
        <v>6720</v>
      </c>
      <c r="M5847" s="177">
        <f t="shared" si="669"/>
        <v>12.203520000000001</v>
      </c>
      <c r="N5847" s="177">
        <f t="shared" si="670"/>
        <v>26.25</v>
      </c>
      <c r="O5847" s="175" t="str">
        <f t="shared" si="671"/>
        <v>May</v>
      </c>
      <c r="P5847" s="265">
        <f t="shared" si="672"/>
        <v>21</v>
      </c>
    </row>
    <row r="5848" spans="1:16" ht="15" hidden="1" customHeight="1">
      <c r="A5848" s="489">
        <v>69665113</v>
      </c>
      <c r="B5848" s="489" t="s">
        <v>118</v>
      </c>
      <c r="C5848" s="488">
        <v>7000</v>
      </c>
      <c r="D5848" s="597">
        <v>46167</v>
      </c>
      <c r="E5848" s="489" t="s">
        <v>896</v>
      </c>
      <c r="F5848" s="489" t="s">
        <v>1223</v>
      </c>
      <c r="G5848" s="395">
        <f>VLOOKUP($A5848,'Tech Litons'!$A:$I,8,FALSE)</f>
        <v>1.8160000000000001E-3</v>
      </c>
      <c r="H5848" s="174">
        <f>VLOOKUP($A5848,'Tech Litons'!$A:$I,9,FALSE)</f>
        <v>256</v>
      </c>
      <c r="I5848" s="174" t="str">
        <f>VLOOKUP($A5848,'Tech Litons'!$A:$C,3,0)</f>
        <v>Dough Bites</v>
      </c>
      <c r="J5848" s="175" t="str">
        <f t="shared" si="667"/>
        <v>RhinoDough Bites</v>
      </c>
      <c r="K5848" s="176">
        <f>VLOOKUP(I5848,'Attain %'!A:B,2,0)</f>
        <v>0.96</v>
      </c>
      <c r="L5848" s="177">
        <f t="shared" si="668"/>
        <v>6720</v>
      </c>
      <c r="M5848" s="177">
        <f t="shared" si="669"/>
        <v>12.203520000000001</v>
      </c>
      <c r="N5848" s="177">
        <f t="shared" si="670"/>
        <v>26.25</v>
      </c>
      <c r="O5848" s="175" t="str">
        <f t="shared" si="671"/>
        <v>May</v>
      </c>
      <c r="P5848" s="265">
        <f t="shared" si="672"/>
        <v>22</v>
      </c>
    </row>
    <row r="5849" spans="1:16" ht="15" hidden="1" customHeight="1">
      <c r="A5849" s="489">
        <v>69665113</v>
      </c>
      <c r="B5849" s="489" t="s">
        <v>118</v>
      </c>
      <c r="C5849" s="488">
        <v>7000</v>
      </c>
      <c r="D5849" s="597">
        <v>46174</v>
      </c>
      <c r="E5849" s="489" t="s">
        <v>896</v>
      </c>
      <c r="F5849" s="489" t="s">
        <v>1223</v>
      </c>
      <c r="G5849" s="395">
        <f>VLOOKUP($A5849,'Tech Litons'!$A:$I,8,FALSE)</f>
        <v>1.8160000000000001E-3</v>
      </c>
      <c r="H5849" s="174">
        <f>VLOOKUP($A5849,'Tech Litons'!$A:$I,9,FALSE)</f>
        <v>256</v>
      </c>
      <c r="I5849" s="174" t="str">
        <f>VLOOKUP($A5849,'Tech Litons'!$A:$C,3,0)</f>
        <v>Dough Bites</v>
      </c>
      <c r="J5849" s="175" t="str">
        <f t="shared" si="667"/>
        <v>RhinoDough Bites</v>
      </c>
      <c r="K5849" s="176">
        <f>VLOOKUP(I5849,'Attain %'!A:B,2,0)</f>
        <v>0.96</v>
      </c>
      <c r="L5849" s="177">
        <f t="shared" si="668"/>
        <v>6720</v>
      </c>
      <c r="M5849" s="177">
        <f t="shared" si="669"/>
        <v>12.203520000000001</v>
      </c>
      <c r="N5849" s="177">
        <f t="shared" si="670"/>
        <v>26.25</v>
      </c>
      <c r="O5849" s="175" t="str">
        <f t="shared" si="671"/>
        <v>Jun</v>
      </c>
      <c r="P5849" s="265">
        <f t="shared" si="672"/>
        <v>23</v>
      </c>
    </row>
    <row r="5850" spans="1:16" ht="15" hidden="1" customHeight="1">
      <c r="A5850" s="489">
        <v>69665113</v>
      </c>
      <c r="B5850" s="489" t="s">
        <v>118</v>
      </c>
      <c r="C5850" s="488">
        <v>7000</v>
      </c>
      <c r="D5850" s="597">
        <v>46188</v>
      </c>
      <c r="E5850" s="489" t="s">
        <v>896</v>
      </c>
      <c r="F5850" s="489" t="s">
        <v>1223</v>
      </c>
      <c r="G5850" s="395">
        <f>VLOOKUP($A5850,'Tech Litons'!$A:$I,8,FALSE)</f>
        <v>1.8160000000000001E-3</v>
      </c>
      <c r="H5850" s="174">
        <f>VLOOKUP($A5850,'Tech Litons'!$A:$I,9,FALSE)</f>
        <v>256</v>
      </c>
      <c r="I5850" s="174" t="str">
        <f>VLOOKUP($A5850,'Tech Litons'!$A:$C,3,0)</f>
        <v>Dough Bites</v>
      </c>
      <c r="J5850" s="175" t="str">
        <f t="shared" si="667"/>
        <v>RhinoDough Bites</v>
      </c>
      <c r="K5850" s="176">
        <f>VLOOKUP(I5850,'Attain %'!A:B,2,0)</f>
        <v>0.96</v>
      </c>
      <c r="L5850" s="177">
        <f t="shared" si="668"/>
        <v>6720</v>
      </c>
      <c r="M5850" s="177">
        <f t="shared" si="669"/>
        <v>12.203520000000001</v>
      </c>
      <c r="N5850" s="177">
        <f t="shared" si="670"/>
        <v>26.25</v>
      </c>
      <c r="O5850" s="175" t="str">
        <f t="shared" si="671"/>
        <v>Jun</v>
      </c>
      <c r="P5850" s="265">
        <f t="shared" si="672"/>
        <v>25</v>
      </c>
    </row>
    <row r="5851" spans="1:16" ht="15" hidden="1" customHeight="1">
      <c r="A5851" s="489">
        <v>69665113</v>
      </c>
      <c r="B5851" s="489" t="s">
        <v>118</v>
      </c>
      <c r="C5851" s="488">
        <v>7000</v>
      </c>
      <c r="D5851" s="597">
        <v>46195</v>
      </c>
      <c r="E5851" s="489" t="s">
        <v>896</v>
      </c>
      <c r="F5851" s="489" t="s">
        <v>1223</v>
      </c>
      <c r="G5851" s="395">
        <f>VLOOKUP($A5851,'Tech Litons'!$A:$I,8,FALSE)</f>
        <v>1.8160000000000001E-3</v>
      </c>
      <c r="H5851" s="174">
        <f>VLOOKUP($A5851,'Tech Litons'!$A:$I,9,FALSE)</f>
        <v>256</v>
      </c>
      <c r="I5851" s="174" t="str">
        <f>VLOOKUP($A5851,'Tech Litons'!$A:$C,3,0)</f>
        <v>Dough Bites</v>
      </c>
      <c r="J5851" s="175" t="str">
        <f t="shared" si="667"/>
        <v>RhinoDough Bites</v>
      </c>
      <c r="K5851" s="176">
        <f>VLOOKUP(I5851,'Attain %'!A:B,2,0)</f>
        <v>0.96</v>
      </c>
      <c r="L5851" s="177">
        <f t="shared" si="668"/>
        <v>6720</v>
      </c>
      <c r="M5851" s="177">
        <f t="shared" si="669"/>
        <v>12.203520000000001</v>
      </c>
      <c r="N5851" s="177">
        <f t="shared" si="670"/>
        <v>26.25</v>
      </c>
      <c r="O5851" s="175" t="str">
        <f t="shared" si="671"/>
        <v>Jun</v>
      </c>
      <c r="P5851" s="265">
        <f t="shared" si="672"/>
        <v>26</v>
      </c>
    </row>
    <row r="5852" spans="1:16" ht="15" hidden="1" customHeight="1">
      <c r="A5852" s="489">
        <v>69665113</v>
      </c>
      <c r="B5852" s="489" t="s">
        <v>118</v>
      </c>
      <c r="C5852" s="488">
        <v>7000</v>
      </c>
      <c r="D5852" s="597">
        <v>46209</v>
      </c>
      <c r="E5852" s="489" t="s">
        <v>896</v>
      </c>
      <c r="F5852" s="489" t="s">
        <v>1223</v>
      </c>
      <c r="G5852" s="395">
        <f>VLOOKUP($A5852,'Tech Litons'!$A:$I,8,FALSE)</f>
        <v>1.8160000000000001E-3</v>
      </c>
      <c r="H5852" s="174">
        <f>VLOOKUP($A5852,'Tech Litons'!$A:$I,9,FALSE)</f>
        <v>256</v>
      </c>
      <c r="I5852" s="174" t="str">
        <f>VLOOKUP($A5852,'Tech Litons'!$A:$C,3,0)</f>
        <v>Dough Bites</v>
      </c>
      <c r="J5852" s="175" t="str">
        <f t="shared" si="667"/>
        <v>RhinoDough Bites</v>
      </c>
      <c r="K5852" s="176">
        <f>VLOOKUP(I5852,'Attain %'!A:B,2,0)</f>
        <v>0.96</v>
      </c>
      <c r="L5852" s="177">
        <f t="shared" si="668"/>
        <v>6720</v>
      </c>
      <c r="M5852" s="177">
        <f t="shared" si="669"/>
        <v>12.203520000000001</v>
      </c>
      <c r="N5852" s="177">
        <f t="shared" si="670"/>
        <v>26.25</v>
      </c>
      <c r="O5852" s="175" t="str">
        <f t="shared" si="671"/>
        <v>Jul</v>
      </c>
      <c r="P5852" s="265">
        <f t="shared" si="672"/>
        <v>28</v>
      </c>
    </row>
    <row r="5853" spans="1:16" ht="15" hidden="1" customHeight="1">
      <c r="A5853" s="489">
        <v>69665113</v>
      </c>
      <c r="B5853" s="489" t="s">
        <v>118</v>
      </c>
      <c r="C5853" s="488">
        <v>7000</v>
      </c>
      <c r="D5853" s="597">
        <v>46223</v>
      </c>
      <c r="E5853" s="489" t="s">
        <v>896</v>
      </c>
      <c r="F5853" s="489" t="s">
        <v>1223</v>
      </c>
      <c r="G5853" s="395">
        <f>VLOOKUP($A5853,'Tech Litons'!$A:$I,8,FALSE)</f>
        <v>1.8160000000000001E-3</v>
      </c>
      <c r="H5853" s="174">
        <f>VLOOKUP($A5853,'Tech Litons'!$A:$I,9,FALSE)</f>
        <v>256</v>
      </c>
      <c r="I5853" s="174" t="str">
        <f>VLOOKUP($A5853,'Tech Litons'!$A:$C,3,0)</f>
        <v>Dough Bites</v>
      </c>
      <c r="J5853" s="175" t="str">
        <f t="shared" si="667"/>
        <v>RhinoDough Bites</v>
      </c>
      <c r="K5853" s="176">
        <f>VLOOKUP(I5853,'Attain %'!A:B,2,0)</f>
        <v>0.96</v>
      </c>
      <c r="L5853" s="177">
        <f t="shared" si="668"/>
        <v>6720</v>
      </c>
      <c r="M5853" s="177">
        <f t="shared" si="669"/>
        <v>12.203520000000001</v>
      </c>
      <c r="N5853" s="177">
        <f t="shared" si="670"/>
        <v>26.25</v>
      </c>
      <c r="O5853" s="175" t="str">
        <f t="shared" si="671"/>
        <v>Jul</v>
      </c>
      <c r="P5853" s="265">
        <f t="shared" si="672"/>
        <v>30</v>
      </c>
    </row>
    <row r="5854" spans="1:16" ht="15" hidden="1" customHeight="1">
      <c r="A5854" s="489">
        <v>69665113</v>
      </c>
      <c r="B5854" s="489" t="s">
        <v>118</v>
      </c>
      <c r="C5854" s="488">
        <v>7000</v>
      </c>
      <c r="D5854" s="597">
        <v>46230</v>
      </c>
      <c r="E5854" s="489" t="s">
        <v>896</v>
      </c>
      <c r="F5854" s="489" t="s">
        <v>1223</v>
      </c>
      <c r="G5854" s="395">
        <f>VLOOKUP($A5854,'Tech Litons'!$A:$I,8,FALSE)</f>
        <v>1.8160000000000001E-3</v>
      </c>
      <c r="H5854" s="174">
        <f>VLOOKUP($A5854,'Tech Litons'!$A:$I,9,FALSE)</f>
        <v>256</v>
      </c>
      <c r="I5854" s="174" t="str">
        <f>VLOOKUP($A5854,'Tech Litons'!$A:$C,3,0)</f>
        <v>Dough Bites</v>
      </c>
      <c r="J5854" s="175" t="str">
        <f t="shared" si="667"/>
        <v>RhinoDough Bites</v>
      </c>
      <c r="K5854" s="176">
        <f>VLOOKUP(I5854,'Attain %'!A:B,2,0)</f>
        <v>0.96</v>
      </c>
      <c r="L5854" s="177">
        <f t="shared" si="668"/>
        <v>6720</v>
      </c>
      <c r="M5854" s="177">
        <f t="shared" si="669"/>
        <v>12.203520000000001</v>
      </c>
      <c r="N5854" s="177">
        <f t="shared" si="670"/>
        <v>26.25</v>
      </c>
      <c r="O5854" s="175" t="str">
        <f t="shared" si="671"/>
        <v>Jul</v>
      </c>
      <c r="P5854" s="265">
        <f t="shared" si="672"/>
        <v>31</v>
      </c>
    </row>
    <row r="5855" spans="1:16" ht="15" hidden="1" customHeight="1">
      <c r="A5855" s="489">
        <v>69665113</v>
      </c>
      <c r="B5855" s="489" t="s">
        <v>118</v>
      </c>
      <c r="C5855" s="488">
        <v>7000</v>
      </c>
      <c r="D5855" s="597">
        <v>46244</v>
      </c>
      <c r="E5855" s="489" t="s">
        <v>896</v>
      </c>
      <c r="F5855" s="489" t="s">
        <v>1223</v>
      </c>
      <c r="G5855" s="395">
        <f>VLOOKUP($A5855,'Tech Litons'!$A:$I,8,FALSE)</f>
        <v>1.8160000000000001E-3</v>
      </c>
      <c r="H5855" s="174">
        <f>VLOOKUP($A5855,'Tech Litons'!$A:$I,9,FALSE)</f>
        <v>256</v>
      </c>
      <c r="I5855" s="174" t="str">
        <f>VLOOKUP($A5855,'Tech Litons'!$A:$C,3,0)</f>
        <v>Dough Bites</v>
      </c>
      <c r="J5855" s="175" t="str">
        <f t="shared" si="667"/>
        <v>RhinoDough Bites</v>
      </c>
      <c r="K5855" s="176">
        <f>VLOOKUP(I5855,'Attain %'!A:B,2,0)</f>
        <v>0.96</v>
      </c>
      <c r="L5855" s="177">
        <f t="shared" si="668"/>
        <v>6720</v>
      </c>
      <c r="M5855" s="177">
        <f t="shared" si="669"/>
        <v>12.203520000000001</v>
      </c>
      <c r="N5855" s="177">
        <f t="shared" si="670"/>
        <v>26.25</v>
      </c>
      <c r="O5855" s="175" t="str">
        <f t="shared" si="671"/>
        <v>Aug</v>
      </c>
      <c r="P5855" s="265">
        <f t="shared" si="672"/>
        <v>33</v>
      </c>
    </row>
    <row r="5856" spans="1:16" ht="15" hidden="1" customHeight="1">
      <c r="A5856" s="489">
        <v>69665113</v>
      </c>
      <c r="B5856" s="489" t="s">
        <v>118</v>
      </c>
      <c r="C5856" s="488">
        <v>7000</v>
      </c>
      <c r="D5856" s="597">
        <v>46251</v>
      </c>
      <c r="E5856" s="489" t="s">
        <v>896</v>
      </c>
      <c r="F5856" s="489" t="s">
        <v>1223</v>
      </c>
      <c r="G5856" s="395">
        <f>VLOOKUP($A5856,'Tech Litons'!$A:$I,8,FALSE)</f>
        <v>1.8160000000000001E-3</v>
      </c>
      <c r="H5856" s="174">
        <f>VLOOKUP($A5856,'Tech Litons'!$A:$I,9,FALSE)</f>
        <v>256</v>
      </c>
      <c r="I5856" s="174" t="str">
        <f>VLOOKUP($A5856,'Tech Litons'!$A:$C,3,0)</f>
        <v>Dough Bites</v>
      </c>
      <c r="J5856" s="175" t="str">
        <f t="shared" si="667"/>
        <v>RhinoDough Bites</v>
      </c>
      <c r="K5856" s="176">
        <f>VLOOKUP(I5856,'Attain %'!A:B,2,0)</f>
        <v>0.96</v>
      </c>
      <c r="L5856" s="177">
        <f t="shared" si="668"/>
        <v>6720</v>
      </c>
      <c r="M5856" s="177">
        <f t="shared" si="669"/>
        <v>12.203520000000001</v>
      </c>
      <c r="N5856" s="177">
        <f t="shared" si="670"/>
        <v>26.25</v>
      </c>
      <c r="O5856" s="175" t="str">
        <f t="shared" si="671"/>
        <v>Aug</v>
      </c>
      <c r="P5856" s="265">
        <f t="shared" si="672"/>
        <v>34</v>
      </c>
    </row>
    <row r="5857" spans="1:16" ht="15" hidden="1" customHeight="1">
      <c r="A5857" s="489">
        <v>69665113</v>
      </c>
      <c r="B5857" s="489" t="s">
        <v>118</v>
      </c>
      <c r="C5857" s="488">
        <v>7000</v>
      </c>
      <c r="D5857" s="597">
        <v>46265</v>
      </c>
      <c r="E5857" s="489" t="s">
        <v>896</v>
      </c>
      <c r="F5857" s="489" t="s">
        <v>1223</v>
      </c>
      <c r="G5857" s="395">
        <f>VLOOKUP($A5857,'Tech Litons'!$A:$I,8,FALSE)</f>
        <v>1.8160000000000001E-3</v>
      </c>
      <c r="H5857" s="174">
        <f>VLOOKUP($A5857,'Tech Litons'!$A:$I,9,FALSE)</f>
        <v>256</v>
      </c>
      <c r="I5857" s="174" t="str">
        <f>VLOOKUP($A5857,'Tech Litons'!$A:$C,3,0)</f>
        <v>Dough Bites</v>
      </c>
      <c r="J5857" s="175" t="str">
        <f t="shared" si="667"/>
        <v>RhinoDough Bites</v>
      </c>
      <c r="K5857" s="176">
        <f>VLOOKUP(I5857,'Attain %'!A:B,2,0)</f>
        <v>0.96</v>
      </c>
      <c r="L5857" s="177">
        <f t="shared" si="668"/>
        <v>6720</v>
      </c>
      <c r="M5857" s="177">
        <f t="shared" si="669"/>
        <v>12.203520000000001</v>
      </c>
      <c r="N5857" s="177">
        <f t="shared" si="670"/>
        <v>26.25</v>
      </c>
      <c r="O5857" s="175" t="str">
        <f t="shared" si="671"/>
        <v>Aug</v>
      </c>
      <c r="P5857" s="265">
        <f t="shared" si="672"/>
        <v>36</v>
      </c>
    </row>
    <row r="5858" spans="1:16" ht="15" hidden="1" customHeight="1">
      <c r="A5858" s="489">
        <v>69665113</v>
      </c>
      <c r="B5858" s="489" t="s">
        <v>118</v>
      </c>
      <c r="C5858" s="488">
        <v>7000</v>
      </c>
      <c r="D5858" s="597">
        <v>46272</v>
      </c>
      <c r="E5858" s="489" t="s">
        <v>896</v>
      </c>
      <c r="F5858" s="489" t="s">
        <v>1223</v>
      </c>
      <c r="G5858" s="395">
        <f>VLOOKUP($A5858,'Tech Litons'!$A:$I,8,FALSE)</f>
        <v>1.8160000000000001E-3</v>
      </c>
      <c r="H5858" s="174">
        <f>VLOOKUP($A5858,'Tech Litons'!$A:$I,9,FALSE)</f>
        <v>256</v>
      </c>
      <c r="I5858" s="174" t="str">
        <f>VLOOKUP($A5858,'Tech Litons'!$A:$C,3,0)</f>
        <v>Dough Bites</v>
      </c>
      <c r="J5858" s="175" t="str">
        <f t="shared" si="667"/>
        <v>RhinoDough Bites</v>
      </c>
      <c r="K5858" s="176">
        <f>VLOOKUP(I5858,'Attain %'!A:B,2,0)</f>
        <v>0.96</v>
      </c>
      <c r="L5858" s="177">
        <f t="shared" si="668"/>
        <v>6720</v>
      </c>
      <c r="M5858" s="177">
        <f t="shared" si="669"/>
        <v>12.203520000000001</v>
      </c>
      <c r="N5858" s="177">
        <f t="shared" si="670"/>
        <v>26.25</v>
      </c>
      <c r="O5858" s="175" t="str">
        <f t="shared" si="671"/>
        <v>Sep</v>
      </c>
      <c r="P5858" s="265">
        <f t="shared" si="672"/>
        <v>37</v>
      </c>
    </row>
    <row r="5859" spans="1:16" ht="15" hidden="1" customHeight="1">
      <c r="A5859" s="489">
        <v>69665113</v>
      </c>
      <c r="B5859" s="489" t="s">
        <v>118</v>
      </c>
      <c r="C5859" s="488">
        <v>7000</v>
      </c>
      <c r="D5859" s="597">
        <v>46286</v>
      </c>
      <c r="E5859" s="489" t="s">
        <v>896</v>
      </c>
      <c r="F5859" s="489" t="s">
        <v>1223</v>
      </c>
      <c r="G5859" s="395">
        <f>VLOOKUP($A5859,'Tech Litons'!$A:$I,8,FALSE)</f>
        <v>1.8160000000000001E-3</v>
      </c>
      <c r="H5859" s="174">
        <f>VLOOKUP($A5859,'Tech Litons'!$A:$I,9,FALSE)</f>
        <v>256</v>
      </c>
      <c r="I5859" s="174" t="str">
        <f>VLOOKUP($A5859,'Tech Litons'!$A:$C,3,0)</f>
        <v>Dough Bites</v>
      </c>
      <c r="J5859" s="175" t="str">
        <f t="shared" si="667"/>
        <v>RhinoDough Bites</v>
      </c>
      <c r="K5859" s="176">
        <f>VLOOKUP(I5859,'Attain %'!A:B,2,0)</f>
        <v>0.96</v>
      </c>
      <c r="L5859" s="177">
        <f t="shared" si="668"/>
        <v>6720</v>
      </c>
      <c r="M5859" s="177">
        <f t="shared" si="669"/>
        <v>12.203520000000001</v>
      </c>
      <c r="N5859" s="177">
        <f t="shared" si="670"/>
        <v>26.25</v>
      </c>
      <c r="O5859" s="175" t="str">
        <f t="shared" si="671"/>
        <v>Sep</v>
      </c>
      <c r="P5859" s="265">
        <f t="shared" si="672"/>
        <v>39</v>
      </c>
    </row>
    <row r="5860" spans="1:16" ht="15" hidden="1" customHeight="1">
      <c r="A5860" s="489">
        <v>69665113</v>
      </c>
      <c r="B5860" s="489" t="s">
        <v>118</v>
      </c>
      <c r="C5860" s="488">
        <v>7000</v>
      </c>
      <c r="D5860" s="597">
        <v>46300</v>
      </c>
      <c r="E5860" s="489" t="s">
        <v>896</v>
      </c>
      <c r="F5860" s="489" t="s">
        <v>1223</v>
      </c>
      <c r="G5860" s="395">
        <f>VLOOKUP($A5860,'Tech Litons'!$A:$I,8,FALSE)</f>
        <v>1.8160000000000001E-3</v>
      </c>
      <c r="H5860" s="174">
        <f>VLOOKUP($A5860,'Tech Litons'!$A:$I,9,FALSE)</f>
        <v>256</v>
      </c>
      <c r="I5860" s="174" t="str">
        <f>VLOOKUP($A5860,'Tech Litons'!$A:$C,3,0)</f>
        <v>Dough Bites</v>
      </c>
      <c r="J5860" s="175" t="str">
        <f t="shared" si="667"/>
        <v>RhinoDough Bites</v>
      </c>
      <c r="K5860" s="176">
        <f>VLOOKUP(I5860,'Attain %'!A:B,2,0)</f>
        <v>0.96</v>
      </c>
      <c r="L5860" s="177">
        <f t="shared" si="668"/>
        <v>6720</v>
      </c>
      <c r="M5860" s="177">
        <f t="shared" si="669"/>
        <v>12.203520000000001</v>
      </c>
      <c r="N5860" s="177">
        <f t="shared" si="670"/>
        <v>26.25</v>
      </c>
      <c r="O5860" s="175" t="str">
        <f t="shared" si="671"/>
        <v>Oct</v>
      </c>
      <c r="P5860" s="265">
        <f t="shared" si="672"/>
        <v>41</v>
      </c>
    </row>
    <row r="5861" spans="1:16" ht="15" hidden="1" customHeight="1">
      <c r="A5861" s="489">
        <v>69665113</v>
      </c>
      <c r="B5861" s="489" t="s">
        <v>118</v>
      </c>
      <c r="C5861" s="488">
        <v>7000</v>
      </c>
      <c r="D5861" s="597">
        <v>46314</v>
      </c>
      <c r="E5861" s="489" t="s">
        <v>896</v>
      </c>
      <c r="F5861" s="489" t="s">
        <v>1223</v>
      </c>
      <c r="G5861" s="395">
        <f>VLOOKUP($A5861,'Tech Litons'!$A:$I,8,FALSE)</f>
        <v>1.8160000000000001E-3</v>
      </c>
      <c r="H5861" s="174">
        <f>VLOOKUP($A5861,'Tech Litons'!$A:$I,9,FALSE)</f>
        <v>256</v>
      </c>
      <c r="I5861" s="174" t="str">
        <f>VLOOKUP($A5861,'Tech Litons'!$A:$C,3,0)</f>
        <v>Dough Bites</v>
      </c>
      <c r="J5861" s="175" t="str">
        <f t="shared" si="667"/>
        <v>RhinoDough Bites</v>
      </c>
      <c r="K5861" s="176">
        <f>VLOOKUP(I5861,'Attain %'!A:B,2,0)</f>
        <v>0.96</v>
      </c>
      <c r="L5861" s="177">
        <f t="shared" si="668"/>
        <v>6720</v>
      </c>
      <c r="M5861" s="177">
        <f t="shared" si="669"/>
        <v>12.203520000000001</v>
      </c>
      <c r="N5861" s="177">
        <f t="shared" si="670"/>
        <v>26.25</v>
      </c>
      <c r="O5861" s="175" t="str">
        <f t="shared" si="671"/>
        <v>Oct</v>
      </c>
      <c r="P5861" s="265">
        <f t="shared" si="672"/>
        <v>43</v>
      </c>
    </row>
    <row r="5862" spans="1:16" ht="15" hidden="1" customHeight="1">
      <c r="A5862" s="489">
        <v>69665113</v>
      </c>
      <c r="B5862" s="489" t="s">
        <v>118</v>
      </c>
      <c r="C5862" s="488">
        <v>7000</v>
      </c>
      <c r="D5862" s="597">
        <v>46328</v>
      </c>
      <c r="E5862" s="489" t="s">
        <v>896</v>
      </c>
      <c r="F5862" s="489" t="s">
        <v>1223</v>
      </c>
      <c r="G5862" s="395">
        <f>VLOOKUP($A5862,'Tech Litons'!$A:$I,8,FALSE)</f>
        <v>1.8160000000000001E-3</v>
      </c>
      <c r="H5862" s="174">
        <f>VLOOKUP($A5862,'Tech Litons'!$A:$I,9,FALSE)</f>
        <v>256</v>
      </c>
      <c r="I5862" s="174" t="str">
        <f>VLOOKUP($A5862,'Tech Litons'!$A:$C,3,0)</f>
        <v>Dough Bites</v>
      </c>
      <c r="J5862" s="175" t="str">
        <f t="shared" si="667"/>
        <v>RhinoDough Bites</v>
      </c>
      <c r="K5862" s="176">
        <f>VLOOKUP(I5862,'Attain %'!A:B,2,0)</f>
        <v>0.96</v>
      </c>
      <c r="L5862" s="177">
        <f t="shared" si="668"/>
        <v>6720</v>
      </c>
      <c r="M5862" s="177">
        <f t="shared" si="669"/>
        <v>12.203520000000001</v>
      </c>
      <c r="N5862" s="177">
        <f t="shared" si="670"/>
        <v>26.25</v>
      </c>
      <c r="O5862" s="175" t="str">
        <f t="shared" si="671"/>
        <v>Nov</v>
      </c>
      <c r="P5862" s="265">
        <f t="shared" si="672"/>
        <v>45</v>
      </c>
    </row>
    <row r="5863" spans="1:16" ht="15" hidden="1" customHeight="1">
      <c r="A5863" s="489">
        <v>69665113</v>
      </c>
      <c r="B5863" s="489" t="s">
        <v>118</v>
      </c>
      <c r="C5863" s="488">
        <v>7000</v>
      </c>
      <c r="D5863" s="597">
        <v>46342</v>
      </c>
      <c r="E5863" s="489" t="s">
        <v>896</v>
      </c>
      <c r="F5863" s="489" t="s">
        <v>1223</v>
      </c>
      <c r="G5863" s="395">
        <f>VLOOKUP($A5863,'Tech Litons'!$A:$I,8,FALSE)</f>
        <v>1.8160000000000001E-3</v>
      </c>
      <c r="H5863" s="174">
        <f>VLOOKUP($A5863,'Tech Litons'!$A:$I,9,FALSE)</f>
        <v>256</v>
      </c>
      <c r="I5863" s="174" t="str">
        <f>VLOOKUP($A5863,'Tech Litons'!$A:$C,3,0)</f>
        <v>Dough Bites</v>
      </c>
      <c r="J5863" s="175" t="str">
        <f t="shared" si="667"/>
        <v>RhinoDough Bites</v>
      </c>
      <c r="K5863" s="176">
        <f>VLOOKUP(I5863,'Attain %'!A:B,2,0)</f>
        <v>0.96</v>
      </c>
      <c r="L5863" s="177">
        <f t="shared" si="668"/>
        <v>6720</v>
      </c>
      <c r="M5863" s="177">
        <f t="shared" si="669"/>
        <v>12.203520000000001</v>
      </c>
      <c r="N5863" s="177">
        <f t="shared" si="670"/>
        <v>26.25</v>
      </c>
      <c r="O5863" s="175" t="str">
        <f t="shared" si="671"/>
        <v>Nov</v>
      </c>
      <c r="P5863" s="265">
        <f t="shared" si="672"/>
        <v>47</v>
      </c>
    </row>
    <row r="5864" spans="1:16" ht="15" hidden="1" customHeight="1">
      <c r="A5864" s="489">
        <v>69665113</v>
      </c>
      <c r="B5864" s="489" t="s">
        <v>118</v>
      </c>
      <c r="C5864" s="488">
        <v>7000</v>
      </c>
      <c r="D5864" s="597">
        <v>46356</v>
      </c>
      <c r="E5864" s="489" t="s">
        <v>896</v>
      </c>
      <c r="F5864" s="489" t="s">
        <v>1223</v>
      </c>
      <c r="G5864" s="395">
        <f>VLOOKUP($A5864,'Tech Litons'!$A:$I,8,FALSE)</f>
        <v>1.8160000000000001E-3</v>
      </c>
      <c r="H5864" s="174">
        <f>VLOOKUP($A5864,'Tech Litons'!$A:$I,9,FALSE)</f>
        <v>256</v>
      </c>
      <c r="I5864" s="174" t="str">
        <f>VLOOKUP($A5864,'Tech Litons'!$A:$C,3,0)</f>
        <v>Dough Bites</v>
      </c>
      <c r="J5864" s="175" t="str">
        <f t="shared" si="667"/>
        <v>RhinoDough Bites</v>
      </c>
      <c r="K5864" s="176">
        <f>VLOOKUP(I5864,'Attain %'!A:B,2,0)</f>
        <v>0.96</v>
      </c>
      <c r="L5864" s="177">
        <f t="shared" si="668"/>
        <v>6720</v>
      </c>
      <c r="M5864" s="177">
        <f t="shared" si="669"/>
        <v>12.203520000000001</v>
      </c>
      <c r="N5864" s="177">
        <f t="shared" si="670"/>
        <v>26.25</v>
      </c>
      <c r="O5864" s="175" t="str">
        <f t="shared" si="671"/>
        <v>Nov</v>
      </c>
      <c r="P5864" s="265">
        <f t="shared" si="672"/>
        <v>49</v>
      </c>
    </row>
    <row r="5865" spans="1:16" ht="15" hidden="1" customHeight="1">
      <c r="A5865" s="489">
        <v>69665113</v>
      </c>
      <c r="B5865" s="489" t="s">
        <v>118</v>
      </c>
      <c r="C5865" s="488">
        <v>7000</v>
      </c>
      <c r="D5865" s="597">
        <v>46370</v>
      </c>
      <c r="E5865" s="489" t="s">
        <v>896</v>
      </c>
      <c r="F5865" s="489" t="s">
        <v>1223</v>
      </c>
      <c r="G5865" s="395">
        <f>VLOOKUP($A5865,'Tech Litons'!$A:$I,8,FALSE)</f>
        <v>1.8160000000000001E-3</v>
      </c>
      <c r="H5865" s="174">
        <f>VLOOKUP($A5865,'Tech Litons'!$A:$I,9,FALSE)</f>
        <v>256</v>
      </c>
      <c r="I5865" s="174" t="str">
        <f>VLOOKUP($A5865,'Tech Litons'!$A:$C,3,0)</f>
        <v>Dough Bites</v>
      </c>
      <c r="J5865" s="175" t="str">
        <f t="shared" si="667"/>
        <v>RhinoDough Bites</v>
      </c>
      <c r="K5865" s="176">
        <f>VLOOKUP(I5865,'Attain %'!A:B,2,0)</f>
        <v>0.96</v>
      </c>
      <c r="L5865" s="177">
        <f t="shared" si="668"/>
        <v>6720</v>
      </c>
      <c r="M5865" s="177">
        <f t="shared" si="669"/>
        <v>12.203520000000001</v>
      </c>
      <c r="N5865" s="177">
        <f t="shared" si="670"/>
        <v>26.25</v>
      </c>
      <c r="O5865" s="175" t="str">
        <f t="shared" si="671"/>
        <v>Dec</v>
      </c>
      <c r="P5865" s="265">
        <f t="shared" si="672"/>
        <v>51</v>
      </c>
    </row>
    <row r="5866" spans="1:16" ht="15" hidden="1" customHeight="1">
      <c r="A5866" s="489">
        <v>69665113</v>
      </c>
      <c r="B5866" s="489" t="s">
        <v>118</v>
      </c>
      <c r="C5866" s="488">
        <v>7000</v>
      </c>
      <c r="D5866" s="597">
        <v>46377</v>
      </c>
      <c r="E5866" s="489" t="s">
        <v>896</v>
      </c>
      <c r="F5866" s="489" t="s">
        <v>1223</v>
      </c>
      <c r="G5866" s="395">
        <f>VLOOKUP($A5866,'Tech Litons'!$A:$I,8,FALSE)</f>
        <v>1.8160000000000001E-3</v>
      </c>
      <c r="H5866" s="174">
        <f>VLOOKUP($A5866,'Tech Litons'!$A:$I,9,FALSE)</f>
        <v>256</v>
      </c>
      <c r="I5866" s="174" t="str">
        <f>VLOOKUP($A5866,'Tech Litons'!$A:$C,3,0)</f>
        <v>Dough Bites</v>
      </c>
      <c r="J5866" s="175" t="str">
        <f t="shared" si="667"/>
        <v>RhinoDough Bites</v>
      </c>
      <c r="K5866" s="176">
        <f>VLOOKUP(I5866,'Attain %'!A:B,2,0)</f>
        <v>0.96</v>
      </c>
      <c r="L5866" s="177">
        <f t="shared" si="668"/>
        <v>6720</v>
      </c>
      <c r="M5866" s="177">
        <f t="shared" si="669"/>
        <v>12.203520000000001</v>
      </c>
      <c r="N5866" s="177">
        <f t="shared" si="670"/>
        <v>26.25</v>
      </c>
      <c r="O5866" s="175" t="str">
        <f t="shared" si="671"/>
        <v>Dec</v>
      </c>
      <c r="P5866" s="265">
        <f t="shared" si="672"/>
        <v>52</v>
      </c>
    </row>
    <row r="5867" spans="1:16" ht="15" hidden="1" customHeight="1">
      <c r="A5867" s="489">
        <v>64369052</v>
      </c>
      <c r="B5867" s="489" t="s">
        <v>137</v>
      </c>
      <c r="C5867" s="488">
        <v>7200</v>
      </c>
      <c r="D5867" s="597">
        <v>46209</v>
      </c>
      <c r="E5867" s="489" t="s">
        <v>626</v>
      </c>
      <c r="F5867" s="489" t="s">
        <v>1223</v>
      </c>
      <c r="G5867" s="395">
        <f>VLOOKUP($A5867,'Tech Litons'!$A:$I,8,FALSE)</f>
        <v>5.3220000000000003E-3</v>
      </c>
      <c r="H5867" s="174">
        <f>VLOOKUP($A5867,'Tech Litons'!$A:$I,9,FALSE)</f>
        <v>120</v>
      </c>
      <c r="I5867" s="174" t="str">
        <f>VLOOKUP($A5867,'Tech Litons'!$A:$C,3,0)</f>
        <v>KL Mini Cones</v>
      </c>
      <c r="J5867" s="175" t="str">
        <f t="shared" si="667"/>
        <v>TurkeyKL Mini Cones</v>
      </c>
      <c r="K5867" s="176">
        <f>VLOOKUP(I5867,'Attain %'!A:B,2,0)</f>
        <v>0.96</v>
      </c>
      <c r="L5867" s="177">
        <f t="shared" si="668"/>
        <v>6912</v>
      </c>
      <c r="M5867" s="177">
        <f t="shared" si="669"/>
        <v>36.785664000000004</v>
      </c>
      <c r="N5867" s="177">
        <f t="shared" si="670"/>
        <v>57.6</v>
      </c>
      <c r="O5867" s="175" t="str">
        <f t="shared" si="671"/>
        <v>Jul</v>
      </c>
      <c r="P5867" s="265">
        <f t="shared" si="672"/>
        <v>28</v>
      </c>
    </row>
    <row r="5868" spans="1:16" ht="15" hidden="1" customHeight="1">
      <c r="A5868" s="489">
        <v>64960652</v>
      </c>
      <c r="B5868" s="489">
        <v>6757</v>
      </c>
      <c r="C5868" s="488">
        <v>7360</v>
      </c>
      <c r="D5868" s="597">
        <v>46300</v>
      </c>
      <c r="E5868" s="489" t="s">
        <v>610</v>
      </c>
      <c r="F5868" s="489" t="s">
        <v>1221</v>
      </c>
      <c r="G5868" s="395">
        <f>VLOOKUP($A5868,'Tech Litons'!$A:$I,8,FALSE)</f>
        <v>2.4880000000000002E-3</v>
      </c>
      <c r="H5868" s="174">
        <f>VLOOKUP($A5868,'Tech Litons'!$A:$I,9,FALSE)</f>
        <v>180</v>
      </c>
      <c r="I5868" s="174" t="str">
        <f>VLOOKUP($A5868,'Tech Litons'!$A:$C,3,0)</f>
        <v>Yasso Sandwich</v>
      </c>
      <c r="J5868" s="175" t="str">
        <f t="shared" si="667"/>
        <v>6757Yasso Sandwich</v>
      </c>
      <c r="K5868" s="176">
        <f>VLOOKUP(I5868,'Attain %'!A:B,2,0)</f>
        <v>0.96</v>
      </c>
      <c r="L5868" s="177">
        <f t="shared" si="668"/>
        <v>7065.5999999999995</v>
      </c>
      <c r="M5868" s="177">
        <f t="shared" si="669"/>
        <v>17.579212800000001</v>
      </c>
      <c r="N5868" s="177">
        <f t="shared" si="670"/>
        <v>39.25333333333333</v>
      </c>
      <c r="O5868" s="175" t="str">
        <f t="shared" si="671"/>
        <v>Oct</v>
      </c>
      <c r="P5868" s="265">
        <f t="shared" si="672"/>
        <v>41</v>
      </c>
    </row>
    <row r="5869" spans="1:16" ht="15" hidden="1" customHeight="1">
      <c r="A5869" s="489">
        <v>64960651</v>
      </c>
      <c r="B5869" s="489">
        <v>6757</v>
      </c>
      <c r="C5869" s="488">
        <v>7360</v>
      </c>
      <c r="D5869" s="597">
        <v>46363</v>
      </c>
      <c r="E5869" s="489" t="s">
        <v>1200</v>
      </c>
      <c r="F5869" s="489" t="s">
        <v>1221</v>
      </c>
      <c r="G5869" s="395">
        <f>VLOOKUP($A5869,'Tech Litons'!$A:$I,8,FALSE)</f>
        <v>2.4880000000000002E-3</v>
      </c>
      <c r="H5869" s="174">
        <f>VLOOKUP($A5869,'Tech Litons'!$A:$I,9,FALSE)</f>
        <v>180</v>
      </c>
      <c r="I5869" s="174" t="str">
        <f>VLOOKUP($A5869,'Tech Litons'!$A:$C,3,0)</f>
        <v>ESS</v>
      </c>
      <c r="J5869" s="175" t="str">
        <f t="shared" si="667"/>
        <v>6757ESS</v>
      </c>
      <c r="K5869" s="176">
        <f>VLOOKUP(I5869,'Attain %'!A:B,2,0)</f>
        <v>0.96</v>
      </c>
      <c r="L5869" s="177">
        <f t="shared" si="668"/>
        <v>7065.5999999999995</v>
      </c>
      <c r="M5869" s="177">
        <f t="shared" si="669"/>
        <v>17.579212800000001</v>
      </c>
      <c r="N5869" s="177">
        <f t="shared" si="670"/>
        <v>39.25333333333333</v>
      </c>
      <c r="O5869" s="175" t="str">
        <f t="shared" si="671"/>
        <v>Dec</v>
      </c>
      <c r="P5869" s="265">
        <f t="shared" si="672"/>
        <v>50</v>
      </c>
    </row>
    <row r="5870" spans="1:16" ht="15" hidden="1" customHeight="1">
      <c r="A5870" s="489">
        <v>65489676</v>
      </c>
      <c r="B5870" s="489">
        <v>1717</v>
      </c>
      <c r="C5870" s="488">
        <v>7500</v>
      </c>
      <c r="D5870" s="597">
        <v>46370</v>
      </c>
      <c r="E5870" s="489" t="s">
        <v>1224</v>
      </c>
      <c r="F5870" s="489" t="s">
        <v>1221</v>
      </c>
      <c r="G5870" s="395">
        <f>VLOOKUP($A5870,'Tech Litons'!$A:$I,8,FALSE)</f>
        <v>2.8319999999999999E-3</v>
      </c>
      <c r="H5870" s="174">
        <f>VLOOKUP($A5870,'Tech Litons'!$A:$I,9,FALSE)</f>
        <v>221</v>
      </c>
      <c r="I5870" s="174" t="str">
        <f>VLOOKUP($A5870,'Tech Litons'!$A:$C,3,0)</f>
        <v>Other</v>
      </c>
      <c r="J5870" s="175" t="str">
        <f t="shared" si="667"/>
        <v>1717Other</v>
      </c>
      <c r="K5870" s="176">
        <f>VLOOKUP(I5870,'Attain %'!A:B,2,0)</f>
        <v>0.96</v>
      </c>
      <c r="L5870" s="177">
        <f t="shared" si="668"/>
        <v>7200</v>
      </c>
      <c r="M5870" s="177">
        <f t="shared" si="669"/>
        <v>20.3904</v>
      </c>
      <c r="N5870" s="177">
        <f t="shared" si="670"/>
        <v>32.579185520361989</v>
      </c>
      <c r="O5870" s="175" t="str">
        <f t="shared" si="671"/>
        <v>Dec</v>
      </c>
      <c r="P5870" s="265">
        <f t="shared" si="672"/>
        <v>51</v>
      </c>
    </row>
    <row r="5871" spans="1:16" ht="15" hidden="1" customHeight="1">
      <c r="A5871" s="489">
        <v>64997059</v>
      </c>
      <c r="B5871" s="489">
        <v>3985</v>
      </c>
      <c r="C5871" s="488">
        <v>7500</v>
      </c>
      <c r="D5871" s="597">
        <v>46139</v>
      </c>
      <c r="E5871" s="489" t="s">
        <v>1050</v>
      </c>
      <c r="F5871" s="489" t="s">
        <v>1221</v>
      </c>
      <c r="G5871" s="395">
        <f>VLOOKUP($A5871,'Tech Litons'!$A:$I,8,FALSE)</f>
        <v>5.6760000000000005E-3</v>
      </c>
      <c r="H5871" s="174">
        <f>VLOOKUP($A5871,'Tech Litons'!$A:$I,9,FALSE)</f>
        <v>96</v>
      </c>
      <c r="I5871" s="174" t="str">
        <f>VLOOKUP($A5871,'Tech Litons'!$A:$C,3,0)</f>
        <v>Other</v>
      </c>
      <c r="J5871" s="175" t="str">
        <f t="shared" si="667"/>
        <v>3985Other</v>
      </c>
      <c r="K5871" s="176">
        <f>VLOOKUP(I5871,'Attain %'!A:B,2,0)</f>
        <v>0.96</v>
      </c>
      <c r="L5871" s="177">
        <f t="shared" si="668"/>
        <v>7200</v>
      </c>
      <c r="M5871" s="177">
        <f t="shared" si="669"/>
        <v>40.867200000000004</v>
      </c>
      <c r="N5871" s="177">
        <f t="shared" si="670"/>
        <v>75</v>
      </c>
      <c r="O5871" s="175" t="str">
        <f t="shared" si="671"/>
        <v>Apr</v>
      </c>
      <c r="P5871" s="265">
        <f t="shared" si="672"/>
        <v>18</v>
      </c>
    </row>
    <row r="5872" spans="1:16" ht="15" hidden="1" customHeight="1">
      <c r="A5872" s="489">
        <v>64997059</v>
      </c>
      <c r="B5872" s="489">
        <v>3985</v>
      </c>
      <c r="C5872" s="488">
        <v>7500</v>
      </c>
      <c r="D5872" s="597">
        <v>46146</v>
      </c>
      <c r="E5872" s="489" t="s">
        <v>1050</v>
      </c>
      <c r="F5872" s="489" t="s">
        <v>1221</v>
      </c>
      <c r="G5872" s="395">
        <f>VLOOKUP($A5872,'Tech Litons'!$A:$I,8,FALSE)</f>
        <v>5.6760000000000005E-3</v>
      </c>
      <c r="H5872" s="174">
        <f>VLOOKUP($A5872,'Tech Litons'!$A:$I,9,FALSE)</f>
        <v>96</v>
      </c>
      <c r="I5872" s="174" t="str">
        <f>VLOOKUP($A5872,'Tech Litons'!$A:$C,3,0)</f>
        <v>Other</v>
      </c>
      <c r="J5872" s="175" t="str">
        <f t="shared" si="667"/>
        <v>3985Other</v>
      </c>
      <c r="K5872" s="176">
        <f>VLOOKUP(I5872,'Attain %'!A:B,2,0)</f>
        <v>0.96</v>
      </c>
      <c r="L5872" s="177">
        <f t="shared" si="668"/>
        <v>7200</v>
      </c>
      <c r="M5872" s="177">
        <f t="shared" si="669"/>
        <v>40.867200000000004</v>
      </c>
      <c r="N5872" s="177">
        <f t="shared" si="670"/>
        <v>75</v>
      </c>
      <c r="O5872" s="175" t="str">
        <f t="shared" si="671"/>
        <v>May</v>
      </c>
      <c r="P5872" s="265">
        <f t="shared" si="672"/>
        <v>19</v>
      </c>
    </row>
    <row r="5873" spans="1:16" ht="15" hidden="1" customHeight="1">
      <c r="A5873" s="489">
        <v>64997059</v>
      </c>
      <c r="B5873" s="489">
        <v>3985</v>
      </c>
      <c r="C5873" s="488">
        <v>7500</v>
      </c>
      <c r="D5873" s="597">
        <v>46153</v>
      </c>
      <c r="E5873" s="489" t="s">
        <v>1050</v>
      </c>
      <c r="F5873" s="489" t="s">
        <v>1221</v>
      </c>
      <c r="G5873" s="395">
        <f>VLOOKUP($A5873,'Tech Litons'!$A:$I,8,FALSE)</f>
        <v>5.6760000000000005E-3</v>
      </c>
      <c r="H5873" s="174">
        <f>VLOOKUP($A5873,'Tech Litons'!$A:$I,9,FALSE)</f>
        <v>96</v>
      </c>
      <c r="I5873" s="174" t="str">
        <f>VLOOKUP($A5873,'Tech Litons'!$A:$C,3,0)</f>
        <v>Other</v>
      </c>
      <c r="J5873" s="175" t="str">
        <f t="shared" si="667"/>
        <v>3985Other</v>
      </c>
      <c r="K5873" s="176">
        <f>VLOOKUP(I5873,'Attain %'!A:B,2,0)</f>
        <v>0.96</v>
      </c>
      <c r="L5873" s="177">
        <f t="shared" si="668"/>
        <v>7200</v>
      </c>
      <c r="M5873" s="177">
        <f t="shared" si="669"/>
        <v>40.867200000000004</v>
      </c>
      <c r="N5873" s="177">
        <f t="shared" si="670"/>
        <v>75</v>
      </c>
      <c r="O5873" s="175" t="str">
        <f t="shared" si="671"/>
        <v>May</v>
      </c>
      <c r="P5873" s="265">
        <f t="shared" si="672"/>
        <v>20</v>
      </c>
    </row>
    <row r="5874" spans="1:16" ht="15" hidden="1" customHeight="1">
      <c r="A5874" s="489">
        <v>64997059</v>
      </c>
      <c r="B5874" s="489">
        <v>3985</v>
      </c>
      <c r="C5874" s="488">
        <v>7500</v>
      </c>
      <c r="D5874" s="597">
        <v>46160</v>
      </c>
      <c r="E5874" s="489" t="s">
        <v>1050</v>
      </c>
      <c r="F5874" s="489" t="s">
        <v>1221</v>
      </c>
      <c r="G5874" s="395">
        <f>VLOOKUP($A5874,'Tech Litons'!$A:$I,8,FALSE)</f>
        <v>5.6760000000000005E-3</v>
      </c>
      <c r="H5874" s="174">
        <f>VLOOKUP($A5874,'Tech Litons'!$A:$I,9,FALSE)</f>
        <v>96</v>
      </c>
      <c r="I5874" s="174" t="str">
        <f>VLOOKUP($A5874,'Tech Litons'!$A:$C,3,0)</f>
        <v>Other</v>
      </c>
      <c r="J5874" s="175" t="str">
        <f t="shared" si="667"/>
        <v>3985Other</v>
      </c>
      <c r="K5874" s="176">
        <f>VLOOKUP(I5874,'Attain %'!A:B,2,0)</f>
        <v>0.96</v>
      </c>
      <c r="L5874" s="177">
        <f t="shared" si="668"/>
        <v>7200</v>
      </c>
      <c r="M5874" s="177">
        <f t="shared" si="669"/>
        <v>40.867200000000004</v>
      </c>
      <c r="N5874" s="177">
        <f t="shared" si="670"/>
        <v>75</v>
      </c>
      <c r="O5874" s="175" t="str">
        <f t="shared" si="671"/>
        <v>May</v>
      </c>
      <c r="P5874" s="265">
        <f t="shared" si="672"/>
        <v>21</v>
      </c>
    </row>
    <row r="5875" spans="1:16" ht="15" hidden="1" customHeight="1">
      <c r="A5875" s="489">
        <v>64997059</v>
      </c>
      <c r="B5875" s="489">
        <v>3985</v>
      </c>
      <c r="C5875" s="488">
        <v>7500</v>
      </c>
      <c r="D5875" s="597">
        <v>46167</v>
      </c>
      <c r="E5875" s="489" t="s">
        <v>1050</v>
      </c>
      <c r="F5875" s="489" t="s">
        <v>1221</v>
      </c>
      <c r="G5875" s="395">
        <f>VLOOKUP($A5875,'Tech Litons'!$A:$I,8,FALSE)</f>
        <v>5.6760000000000005E-3</v>
      </c>
      <c r="H5875" s="174">
        <f>VLOOKUP($A5875,'Tech Litons'!$A:$I,9,FALSE)</f>
        <v>96</v>
      </c>
      <c r="I5875" s="174" t="str">
        <f>VLOOKUP($A5875,'Tech Litons'!$A:$C,3,0)</f>
        <v>Other</v>
      </c>
      <c r="J5875" s="175" t="str">
        <f t="shared" si="667"/>
        <v>3985Other</v>
      </c>
      <c r="K5875" s="176">
        <f>VLOOKUP(I5875,'Attain %'!A:B,2,0)</f>
        <v>0.96</v>
      </c>
      <c r="L5875" s="177">
        <f t="shared" si="668"/>
        <v>7200</v>
      </c>
      <c r="M5875" s="177">
        <f t="shared" si="669"/>
        <v>40.867200000000004</v>
      </c>
      <c r="N5875" s="177">
        <f t="shared" si="670"/>
        <v>75</v>
      </c>
      <c r="O5875" s="175" t="str">
        <f t="shared" si="671"/>
        <v>May</v>
      </c>
      <c r="P5875" s="265">
        <f t="shared" si="672"/>
        <v>22</v>
      </c>
    </row>
    <row r="5876" spans="1:16" ht="15" hidden="1" customHeight="1">
      <c r="A5876" s="489">
        <v>64997059</v>
      </c>
      <c r="B5876" s="489">
        <v>3985</v>
      </c>
      <c r="C5876" s="488">
        <v>7500</v>
      </c>
      <c r="D5876" s="597">
        <v>46174</v>
      </c>
      <c r="E5876" s="489" t="s">
        <v>1050</v>
      </c>
      <c r="F5876" s="489" t="s">
        <v>1221</v>
      </c>
      <c r="G5876" s="395">
        <f>VLOOKUP($A5876,'Tech Litons'!$A:$I,8,FALSE)</f>
        <v>5.6760000000000005E-3</v>
      </c>
      <c r="H5876" s="174">
        <f>VLOOKUP($A5876,'Tech Litons'!$A:$I,9,FALSE)</f>
        <v>96</v>
      </c>
      <c r="I5876" s="174" t="str">
        <f>VLOOKUP($A5876,'Tech Litons'!$A:$C,3,0)</f>
        <v>Other</v>
      </c>
      <c r="J5876" s="175" t="str">
        <f t="shared" si="667"/>
        <v>3985Other</v>
      </c>
      <c r="K5876" s="176">
        <f>VLOOKUP(I5876,'Attain %'!A:B,2,0)</f>
        <v>0.96</v>
      </c>
      <c r="L5876" s="177">
        <f t="shared" si="668"/>
        <v>7200</v>
      </c>
      <c r="M5876" s="177">
        <f t="shared" si="669"/>
        <v>40.867200000000004</v>
      </c>
      <c r="N5876" s="177">
        <f t="shared" si="670"/>
        <v>75</v>
      </c>
      <c r="O5876" s="175" t="str">
        <f t="shared" si="671"/>
        <v>Jun</v>
      </c>
      <c r="P5876" s="265">
        <f t="shared" si="672"/>
        <v>23</v>
      </c>
    </row>
    <row r="5877" spans="1:16" ht="15" hidden="1" customHeight="1">
      <c r="A5877" s="489">
        <v>64997059</v>
      </c>
      <c r="B5877" s="489">
        <v>3985</v>
      </c>
      <c r="C5877" s="488">
        <v>7500</v>
      </c>
      <c r="D5877" s="597">
        <v>46181</v>
      </c>
      <c r="E5877" s="489" t="s">
        <v>1050</v>
      </c>
      <c r="F5877" s="489" t="s">
        <v>1221</v>
      </c>
      <c r="G5877" s="395">
        <f>VLOOKUP($A5877,'Tech Litons'!$A:$I,8,FALSE)</f>
        <v>5.6760000000000005E-3</v>
      </c>
      <c r="H5877" s="174">
        <f>VLOOKUP($A5877,'Tech Litons'!$A:$I,9,FALSE)</f>
        <v>96</v>
      </c>
      <c r="I5877" s="174" t="str">
        <f>VLOOKUP($A5877,'Tech Litons'!$A:$C,3,0)</f>
        <v>Other</v>
      </c>
      <c r="J5877" s="175" t="str">
        <f t="shared" si="667"/>
        <v>3985Other</v>
      </c>
      <c r="K5877" s="176">
        <f>VLOOKUP(I5877,'Attain %'!A:B,2,0)</f>
        <v>0.96</v>
      </c>
      <c r="L5877" s="177">
        <f t="shared" si="668"/>
        <v>7200</v>
      </c>
      <c r="M5877" s="177">
        <f t="shared" si="669"/>
        <v>40.867200000000004</v>
      </c>
      <c r="N5877" s="177">
        <f t="shared" si="670"/>
        <v>75</v>
      </c>
      <c r="O5877" s="175" t="str">
        <f t="shared" si="671"/>
        <v>Jun</v>
      </c>
      <c r="P5877" s="265">
        <f t="shared" si="672"/>
        <v>24</v>
      </c>
    </row>
    <row r="5878" spans="1:16" ht="15" hidden="1" customHeight="1">
      <c r="A5878" s="489">
        <v>64997059</v>
      </c>
      <c r="B5878" s="489">
        <v>3985</v>
      </c>
      <c r="C5878" s="488">
        <v>7500</v>
      </c>
      <c r="D5878" s="597">
        <v>46188</v>
      </c>
      <c r="E5878" s="489" t="s">
        <v>1050</v>
      </c>
      <c r="F5878" s="489" t="s">
        <v>1221</v>
      </c>
      <c r="G5878" s="395">
        <f>VLOOKUP($A5878,'Tech Litons'!$A:$I,8,FALSE)</f>
        <v>5.6760000000000005E-3</v>
      </c>
      <c r="H5878" s="174">
        <f>VLOOKUP($A5878,'Tech Litons'!$A:$I,9,FALSE)</f>
        <v>96</v>
      </c>
      <c r="I5878" s="174" t="str">
        <f>VLOOKUP($A5878,'Tech Litons'!$A:$C,3,0)</f>
        <v>Other</v>
      </c>
      <c r="J5878" s="175" t="str">
        <f t="shared" si="667"/>
        <v>3985Other</v>
      </c>
      <c r="K5878" s="176">
        <f>VLOOKUP(I5878,'Attain %'!A:B,2,0)</f>
        <v>0.96</v>
      </c>
      <c r="L5878" s="177">
        <f t="shared" si="668"/>
        <v>7200</v>
      </c>
      <c r="M5878" s="177">
        <f t="shared" si="669"/>
        <v>40.867200000000004</v>
      </c>
      <c r="N5878" s="177">
        <f t="shared" si="670"/>
        <v>75</v>
      </c>
      <c r="O5878" s="175" t="str">
        <f t="shared" si="671"/>
        <v>Jun</v>
      </c>
      <c r="P5878" s="265">
        <f t="shared" si="672"/>
        <v>25</v>
      </c>
    </row>
    <row r="5879" spans="1:16" ht="15" hidden="1" customHeight="1">
      <c r="A5879" s="489">
        <v>64997059</v>
      </c>
      <c r="B5879" s="489">
        <v>3985</v>
      </c>
      <c r="C5879" s="488">
        <v>7500</v>
      </c>
      <c r="D5879" s="597">
        <v>46195</v>
      </c>
      <c r="E5879" s="489" t="s">
        <v>1050</v>
      </c>
      <c r="F5879" s="489" t="s">
        <v>1221</v>
      </c>
      <c r="G5879" s="395">
        <f>VLOOKUP($A5879,'Tech Litons'!$A:$I,8,FALSE)</f>
        <v>5.6760000000000005E-3</v>
      </c>
      <c r="H5879" s="174">
        <f>VLOOKUP($A5879,'Tech Litons'!$A:$I,9,FALSE)</f>
        <v>96</v>
      </c>
      <c r="I5879" s="174" t="str">
        <f>VLOOKUP($A5879,'Tech Litons'!$A:$C,3,0)</f>
        <v>Other</v>
      </c>
      <c r="J5879" s="175" t="str">
        <f t="shared" si="667"/>
        <v>3985Other</v>
      </c>
      <c r="K5879" s="176">
        <f>VLOOKUP(I5879,'Attain %'!A:B,2,0)</f>
        <v>0.96</v>
      </c>
      <c r="L5879" s="177">
        <f t="shared" si="668"/>
        <v>7200</v>
      </c>
      <c r="M5879" s="177">
        <f t="shared" si="669"/>
        <v>40.867200000000004</v>
      </c>
      <c r="N5879" s="177">
        <f t="shared" si="670"/>
        <v>75</v>
      </c>
      <c r="O5879" s="175" t="str">
        <f t="shared" si="671"/>
        <v>Jun</v>
      </c>
      <c r="P5879" s="265">
        <f t="shared" si="672"/>
        <v>26</v>
      </c>
    </row>
    <row r="5880" spans="1:16" ht="15" hidden="1" customHeight="1">
      <c r="A5880" s="489">
        <v>64997059</v>
      </c>
      <c r="B5880" s="489">
        <v>3985</v>
      </c>
      <c r="C5880" s="488">
        <v>7500</v>
      </c>
      <c r="D5880" s="597">
        <v>46202</v>
      </c>
      <c r="E5880" s="489" t="s">
        <v>1050</v>
      </c>
      <c r="F5880" s="489" t="s">
        <v>1221</v>
      </c>
      <c r="G5880" s="395">
        <f>VLOOKUP($A5880,'Tech Litons'!$A:$I,8,FALSE)</f>
        <v>5.6760000000000005E-3</v>
      </c>
      <c r="H5880" s="174">
        <f>VLOOKUP($A5880,'Tech Litons'!$A:$I,9,FALSE)</f>
        <v>96</v>
      </c>
      <c r="I5880" s="174" t="str">
        <f>VLOOKUP($A5880,'Tech Litons'!$A:$C,3,0)</f>
        <v>Other</v>
      </c>
      <c r="J5880" s="175" t="str">
        <f t="shared" ref="J5880:J5943" si="673">B5880&amp;I5880</f>
        <v>3985Other</v>
      </c>
      <c r="K5880" s="176">
        <f>VLOOKUP(I5880,'Attain %'!A:B,2,0)</f>
        <v>0.96</v>
      </c>
      <c r="L5880" s="177">
        <f t="shared" ref="L5880:L5943" si="674">C5880*$K5880</f>
        <v>7200</v>
      </c>
      <c r="M5880" s="177">
        <f t="shared" ref="M5880:M5943" si="675">L5880*G5880</f>
        <v>40.867200000000004</v>
      </c>
      <c r="N5880" s="177">
        <f t="shared" ref="N5880:N5943" si="676">L5880/H5880</f>
        <v>75</v>
      </c>
      <c r="O5880" s="175" t="str">
        <f t="shared" ref="O5880:O5943" si="677">TEXT(D5880,"MMM")</f>
        <v>Jun</v>
      </c>
      <c r="P5880" s="265">
        <f t="shared" ref="P5880:P5943" si="678">WEEKNUM(D5880)</f>
        <v>27</v>
      </c>
    </row>
    <row r="5881" spans="1:16" ht="15" hidden="1" customHeight="1">
      <c r="A5881" s="489">
        <v>64997059</v>
      </c>
      <c r="B5881" s="489">
        <v>3985</v>
      </c>
      <c r="C5881" s="488">
        <v>7500</v>
      </c>
      <c r="D5881" s="597">
        <v>46209</v>
      </c>
      <c r="E5881" s="489" t="s">
        <v>1050</v>
      </c>
      <c r="F5881" s="489" t="s">
        <v>1221</v>
      </c>
      <c r="G5881" s="395">
        <f>VLOOKUP($A5881,'Tech Litons'!$A:$I,8,FALSE)</f>
        <v>5.6760000000000005E-3</v>
      </c>
      <c r="H5881" s="174">
        <f>VLOOKUP($A5881,'Tech Litons'!$A:$I,9,FALSE)</f>
        <v>96</v>
      </c>
      <c r="I5881" s="174" t="str">
        <f>VLOOKUP($A5881,'Tech Litons'!$A:$C,3,0)</f>
        <v>Other</v>
      </c>
      <c r="J5881" s="175" t="str">
        <f t="shared" si="673"/>
        <v>3985Other</v>
      </c>
      <c r="K5881" s="176">
        <f>VLOOKUP(I5881,'Attain %'!A:B,2,0)</f>
        <v>0.96</v>
      </c>
      <c r="L5881" s="177">
        <f t="shared" si="674"/>
        <v>7200</v>
      </c>
      <c r="M5881" s="177">
        <f t="shared" si="675"/>
        <v>40.867200000000004</v>
      </c>
      <c r="N5881" s="177">
        <f t="shared" si="676"/>
        <v>75</v>
      </c>
      <c r="O5881" s="175" t="str">
        <f t="shared" si="677"/>
        <v>Jul</v>
      </c>
      <c r="P5881" s="265">
        <f t="shared" si="678"/>
        <v>28</v>
      </c>
    </row>
    <row r="5882" spans="1:16" ht="15" hidden="1" customHeight="1">
      <c r="A5882" s="489">
        <v>64997059</v>
      </c>
      <c r="B5882" s="489">
        <v>3985</v>
      </c>
      <c r="C5882" s="488">
        <v>7500</v>
      </c>
      <c r="D5882" s="597">
        <v>46216</v>
      </c>
      <c r="E5882" s="489" t="s">
        <v>1050</v>
      </c>
      <c r="F5882" s="489" t="s">
        <v>1221</v>
      </c>
      <c r="G5882" s="395">
        <f>VLOOKUP($A5882,'Tech Litons'!$A:$I,8,FALSE)</f>
        <v>5.6760000000000005E-3</v>
      </c>
      <c r="H5882" s="174">
        <f>VLOOKUP($A5882,'Tech Litons'!$A:$I,9,FALSE)</f>
        <v>96</v>
      </c>
      <c r="I5882" s="174" t="str">
        <f>VLOOKUP($A5882,'Tech Litons'!$A:$C,3,0)</f>
        <v>Other</v>
      </c>
      <c r="J5882" s="175" t="str">
        <f t="shared" si="673"/>
        <v>3985Other</v>
      </c>
      <c r="K5882" s="176">
        <f>VLOOKUP(I5882,'Attain %'!A:B,2,0)</f>
        <v>0.96</v>
      </c>
      <c r="L5882" s="177">
        <f t="shared" si="674"/>
        <v>7200</v>
      </c>
      <c r="M5882" s="177">
        <f t="shared" si="675"/>
        <v>40.867200000000004</v>
      </c>
      <c r="N5882" s="177">
        <f t="shared" si="676"/>
        <v>75</v>
      </c>
      <c r="O5882" s="175" t="str">
        <f t="shared" si="677"/>
        <v>Jul</v>
      </c>
      <c r="P5882" s="265">
        <f t="shared" si="678"/>
        <v>29</v>
      </c>
    </row>
    <row r="5883" spans="1:16" ht="15" hidden="1" customHeight="1">
      <c r="A5883" s="489">
        <v>64997059</v>
      </c>
      <c r="B5883" s="489">
        <v>3985</v>
      </c>
      <c r="C5883" s="488">
        <v>7500</v>
      </c>
      <c r="D5883" s="597">
        <v>46223</v>
      </c>
      <c r="E5883" s="489" t="s">
        <v>1050</v>
      </c>
      <c r="F5883" s="489" t="s">
        <v>1221</v>
      </c>
      <c r="G5883" s="395">
        <f>VLOOKUP($A5883,'Tech Litons'!$A:$I,8,FALSE)</f>
        <v>5.6760000000000005E-3</v>
      </c>
      <c r="H5883" s="174">
        <f>VLOOKUP($A5883,'Tech Litons'!$A:$I,9,FALSE)</f>
        <v>96</v>
      </c>
      <c r="I5883" s="174" t="str">
        <f>VLOOKUP($A5883,'Tech Litons'!$A:$C,3,0)</f>
        <v>Other</v>
      </c>
      <c r="J5883" s="175" t="str">
        <f t="shared" si="673"/>
        <v>3985Other</v>
      </c>
      <c r="K5883" s="176">
        <f>VLOOKUP(I5883,'Attain %'!A:B,2,0)</f>
        <v>0.96</v>
      </c>
      <c r="L5883" s="177">
        <f t="shared" si="674"/>
        <v>7200</v>
      </c>
      <c r="M5883" s="177">
        <f t="shared" si="675"/>
        <v>40.867200000000004</v>
      </c>
      <c r="N5883" s="177">
        <f t="shared" si="676"/>
        <v>75</v>
      </c>
      <c r="O5883" s="175" t="str">
        <f t="shared" si="677"/>
        <v>Jul</v>
      </c>
      <c r="P5883" s="265">
        <f t="shared" si="678"/>
        <v>30</v>
      </c>
    </row>
    <row r="5884" spans="1:16" ht="15" hidden="1" customHeight="1">
      <c r="A5884" s="489">
        <v>64997059</v>
      </c>
      <c r="B5884" s="489">
        <v>3985</v>
      </c>
      <c r="C5884" s="488">
        <v>7500</v>
      </c>
      <c r="D5884" s="597">
        <v>46230</v>
      </c>
      <c r="E5884" s="489" t="s">
        <v>1050</v>
      </c>
      <c r="F5884" s="489" t="s">
        <v>1221</v>
      </c>
      <c r="G5884" s="395">
        <f>VLOOKUP($A5884,'Tech Litons'!$A:$I,8,FALSE)</f>
        <v>5.6760000000000005E-3</v>
      </c>
      <c r="H5884" s="174">
        <f>VLOOKUP($A5884,'Tech Litons'!$A:$I,9,FALSE)</f>
        <v>96</v>
      </c>
      <c r="I5884" s="174" t="str">
        <f>VLOOKUP($A5884,'Tech Litons'!$A:$C,3,0)</f>
        <v>Other</v>
      </c>
      <c r="J5884" s="175" t="str">
        <f t="shared" si="673"/>
        <v>3985Other</v>
      </c>
      <c r="K5884" s="176">
        <f>VLOOKUP(I5884,'Attain %'!A:B,2,0)</f>
        <v>0.96</v>
      </c>
      <c r="L5884" s="177">
        <f t="shared" si="674"/>
        <v>7200</v>
      </c>
      <c r="M5884" s="177">
        <f t="shared" si="675"/>
        <v>40.867200000000004</v>
      </c>
      <c r="N5884" s="177">
        <f t="shared" si="676"/>
        <v>75</v>
      </c>
      <c r="O5884" s="175" t="str">
        <f t="shared" si="677"/>
        <v>Jul</v>
      </c>
      <c r="P5884" s="265">
        <f t="shared" si="678"/>
        <v>31</v>
      </c>
    </row>
    <row r="5885" spans="1:16" ht="15" hidden="1" customHeight="1">
      <c r="A5885" s="489">
        <v>64997059</v>
      </c>
      <c r="B5885" s="489">
        <v>3985</v>
      </c>
      <c r="C5885" s="488">
        <v>7500</v>
      </c>
      <c r="D5885" s="597">
        <v>46237</v>
      </c>
      <c r="E5885" s="489" t="s">
        <v>1050</v>
      </c>
      <c r="F5885" s="489" t="s">
        <v>1221</v>
      </c>
      <c r="G5885" s="395">
        <f>VLOOKUP($A5885,'Tech Litons'!$A:$I,8,FALSE)</f>
        <v>5.6760000000000005E-3</v>
      </c>
      <c r="H5885" s="174">
        <f>VLOOKUP($A5885,'Tech Litons'!$A:$I,9,FALSE)</f>
        <v>96</v>
      </c>
      <c r="I5885" s="174" t="str">
        <f>VLOOKUP($A5885,'Tech Litons'!$A:$C,3,0)</f>
        <v>Other</v>
      </c>
      <c r="J5885" s="175" t="str">
        <f t="shared" si="673"/>
        <v>3985Other</v>
      </c>
      <c r="K5885" s="176">
        <f>VLOOKUP(I5885,'Attain %'!A:B,2,0)</f>
        <v>0.96</v>
      </c>
      <c r="L5885" s="177">
        <f t="shared" si="674"/>
        <v>7200</v>
      </c>
      <c r="M5885" s="177">
        <f t="shared" si="675"/>
        <v>40.867200000000004</v>
      </c>
      <c r="N5885" s="177">
        <f t="shared" si="676"/>
        <v>75</v>
      </c>
      <c r="O5885" s="175" t="str">
        <f t="shared" si="677"/>
        <v>Aug</v>
      </c>
      <c r="P5885" s="265">
        <f t="shared" si="678"/>
        <v>32</v>
      </c>
    </row>
    <row r="5886" spans="1:16" ht="15" hidden="1" customHeight="1">
      <c r="A5886" s="489">
        <v>64997059</v>
      </c>
      <c r="B5886" s="489">
        <v>3985</v>
      </c>
      <c r="C5886" s="488">
        <v>7500</v>
      </c>
      <c r="D5886" s="597">
        <v>46244</v>
      </c>
      <c r="E5886" s="489" t="s">
        <v>1050</v>
      </c>
      <c r="F5886" s="489" t="s">
        <v>1221</v>
      </c>
      <c r="G5886" s="395">
        <f>VLOOKUP($A5886,'Tech Litons'!$A:$I,8,FALSE)</f>
        <v>5.6760000000000005E-3</v>
      </c>
      <c r="H5886" s="174">
        <f>VLOOKUP($A5886,'Tech Litons'!$A:$I,9,FALSE)</f>
        <v>96</v>
      </c>
      <c r="I5886" s="174" t="str">
        <f>VLOOKUP($A5886,'Tech Litons'!$A:$C,3,0)</f>
        <v>Other</v>
      </c>
      <c r="J5886" s="175" t="str">
        <f t="shared" si="673"/>
        <v>3985Other</v>
      </c>
      <c r="K5886" s="176">
        <f>VLOOKUP(I5886,'Attain %'!A:B,2,0)</f>
        <v>0.96</v>
      </c>
      <c r="L5886" s="177">
        <f t="shared" si="674"/>
        <v>7200</v>
      </c>
      <c r="M5886" s="177">
        <f t="shared" si="675"/>
        <v>40.867200000000004</v>
      </c>
      <c r="N5886" s="177">
        <f t="shared" si="676"/>
        <v>75</v>
      </c>
      <c r="O5886" s="175" t="str">
        <f t="shared" si="677"/>
        <v>Aug</v>
      </c>
      <c r="P5886" s="265">
        <f t="shared" si="678"/>
        <v>33</v>
      </c>
    </row>
    <row r="5887" spans="1:16" ht="15" hidden="1" customHeight="1">
      <c r="A5887" s="489">
        <v>64997059</v>
      </c>
      <c r="B5887" s="489">
        <v>3985</v>
      </c>
      <c r="C5887" s="488">
        <v>7500</v>
      </c>
      <c r="D5887" s="597">
        <v>46251</v>
      </c>
      <c r="E5887" s="489" t="s">
        <v>1050</v>
      </c>
      <c r="F5887" s="489" t="s">
        <v>1221</v>
      </c>
      <c r="G5887" s="395">
        <f>VLOOKUP($A5887,'Tech Litons'!$A:$I,8,FALSE)</f>
        <v>5.6760000000000005E-3</v>
      </c>
      <c r="H5887" s="174">
        <f>VLOOKUP($A5887,'Tech Litons'!$A:$I,9,FALSE)</f>
        <v>96</v>
      </c>
      <c r="I5887" s="174" t="str">
        <f>VLOOKUP($A5887,'Tech Litons'!$A:$C,3,0)</f>
        <v>Other</v>
      </c>
      <c r="J5887" s="175" t="str">
        <f t="shared" si="673"/>
        <v>3985Other</v>
      </c>
      <c r="K5887" s="176">
        <f>VLOOKUP(I5887,'Attain %'!A:B,2,0)</f>
        <v>0.96</v>
      </c>
      <c r="L5887" s="177">
        <f t="shared" si="674"/>
        <v>7200</v>
      </c>
      <c r="M5887" s="177">
        <f t="shared" si="675"/>
        <v>40.867200000000004</v>
      </c>
      <c r="N5887" s="177">
        <f t="shared" si="676"/>
        <v>75</v>
      </c>
      <c r="O5887" s="175" t="str">
        <f t="shared" si="677"/>
        <v>Aug</v>
      </c>
      <c r="P5887" s="265">
        <f t="shared" si="678"/>
        <v>34</v>
      </c>
    </row>
    <row r="5888" spans="1:16" ht="15" hidden="1" customHeight="1">
      <c r="A5888" s="489">
        <v>64997059</v>
      </c>
      <c r="B5888" s="489">
        <v>3985</v>
      </c>
      <c r="C5888" s="488">
        <v>7500</v>
      </c>
      <c r="D5888" s="597">
        <v>46258</v>
      </c>
      <c r="E5888" s="489" t="s">
        <v>1050</v>
      </c>
      <c r="F5888" s="489" t="s">
        <v>1221</v>
      </c>
      <c r="G5888" s="395">
        <f>VLOOKUP($A5888,'Tech Litons'!$A:$I,8,FALSE)</f>
        <v>5.6760000000000005E-3</v>
      </c>
      <c r="H5888" s="174">
        <f>VLOOKUP($A5888,'Tech Litons'!$A:$I,9,FALSE)</f>
        <v>96</v>
      </c>
      <c r="I5888" s="174" t="str">
        <f>VLOOKUP($A5888,'Tech Litons'!$A:$C,3,0)</f>
        <v>Other</v>
      </c>
      <c r="J5888" s="175" t="str">
        <f t="shared" si="673"/>
        <v>3985Other</v>
      </c>
      <c r="K5888" s="176">
        <f>VLOOKUP(I5888,'Attain %'!A:B,2,0)</f>
        <v>0.96</v>
      </c>
      <c r="L5888" s="177">
        <f t="shared" si="674"/>
        <v>7200</v>
      </c>
      <c r="M5888" s="177">
        <f t="shared" si="675"/>
        <v>40.867200000000004</v>
      </c>
      <c r="N5888" s="177">
        <f t="shared" si="676"/>
        <v>75</v>
      </c>
      <c r="O5888" s="175" t="str">
        <f t="shared" si="677"/>
        <v>Aug</v>
      </c>
      <c r="P5888" s="265">
        <f t="shared" si="678"/>
        <v>35</v>
      </c>
    </row>
    <row r="5889" spans="1:16" ht="15" hidden="1" customHeight="1">
      <c r="A5889" s="489">
        <v>64997059</v>
      </c>
      <c r="B5889" s="489">
        <v>3985</v>
      </c>
      <c r="C5889" s="488">
        <v>7500</v>
      </c>
      <c r="D5889" s="597">
        <v>46265</v>
      </c>
      <c r="E5889" s="489" t="s">
        <v>1050</v>
      </c>
      <c r="F5889" s="489" t="s">
        <v>1221</v>
      </c>
      <c r="G5889" s="395">
        <f>VLOOKUP($A5889,'Tech Litons'!$A:$I,8,FALSE)</f>
        <v>5.6760000000000005E-3</v>
      </c>
      <c r="H5889" s="174">
        <f>VLOOKUP($A5889,'Tech Litons'!$A:$I,9,FALSE)</f>
        <v>96</v>
      </c>
      <c r="I5889" s="174" t="str">
        <f>VLOOKUP($A5889,'Tech Litons'!$A:$C,3,0)</f>
        <v>Other</v>
      </c>
      <c r="J5889" s="175" t="str">
        <f t="shared" si="673"/>
        <v>3985Other</v>
      </c>
      <c r="K5889" s="176">
        <f>VLOOKUP(I5889,'Attain %'!A:B,2,0)</f>
        <v>0.96</v>
      </c>
      <c r="L5889" s="177">
        <f t="shared" si="674"/>
        <v>7200</v>
      </c>
      <c r="M5889" s="177">
        <f t="shared" si="675"/>
        <v>40.867200000000004</v>
      </c>
      <c r="N5889" s="177">
        <f t="shared" si="676"/>
        <v>75</v>
      </c>
      <c r="O5889" s="175" t="str">
        <f t="shared" si="677"/>
        <v>Aug</v>
      </c>
      <c r="P5889" s="265">
        <f t="shared" si="678"/>
        <v>36</v>
      </c>
    </row>
    <row r="5890" spans="1:16" ht="15" hidden="1" customHeight="1">
      <c r="A5890" s="489">
        <v>64997059</v>
      </c>
      <c r="B5890" s="489">
        <v>3985</v>
      </c>
      <c r="C5890" s="488">
        <v>7500</v>
      </c>
      <c r="D5890" s="597">
        <v>46272</v>
      </c>
      <c r="E5890" s="489" t="s">
        <v>1050</v>
      </c>
      <c r="F5890" s="489" t="s">
        <v>1221</v>
      </c>
      <c r="G5890" s="395">
        <f>VLOOKUP($A5890,'Tech Litons'!$A:$I,8,FALSE)</f>
        <v>5.6760000000000005E-3</v>
      </c>
      <c r="H5890" s="174">
        <f>VLOOKUP($A5890,'Tech Litons'!$A:$I,9,FALSE)</f>
        <v>96</v>
      </c>
      <c r="I5890" s="174" t="str">
        <f>VLOOKUP($A5890,'Tech Litons'!$A:$C,3,0)</f>
        <v>Other</v>
      </c>
      <c r="J5890" s="175" t="str">
        <f t="shared" si="673"/>
        <v>3985Other</v>
      </c>
      <c r="K5890" s="176">
        <f>VLOOKUP(I5890,'Attain %'!A:B,2,0)</f>
        <v>0.96</v>
      </c>
      <c r="L5890" s="177">
        <f t="shared" si="674"/>
        <v>7200</v>
      </c>
      <c r="M5890" s="177">
        <f t="shared" si="675"/>
        <v>40.867200000000004</v>
      </c>
      <c r="N5890" s="177">
        <f t="shared" si="676"/>
        <v>75</v>
      </c>
      <c r="O5890" s="175" t="str">
        <f t="shared" si="677"/>
        <v>Sep</v>
      </c>
      <c r="P5890" s="265">
        <f t="shared" si="678"/>
        <v>37</v>
      </c>
    </row>
    <row r="5891" spans="1:16" ht="15" hidden="1" customHeight="1">
      <c r="A5891" s="489">
        <v>64997059</v>
      </c>
      <c r="B5891" s="489">
        <v>3985</v>
      </c>
      <c r="C5891" s="488">
        <v>7500</v>
      </c>
      <c r="D5891" s="597">
        <v>46279</v>
      </c>
      <c r="E5891" s="489" t="s">
        <v>1050</v>
      </c>
      <c r="F5891" s="489" t="s">
        <v>1221</v>
      </c>
      <c r="G5891" s="395">
        <f>VLOOKUP($A5891,'Tech Litons'!$A:$I,8,FALSE)</f>
        <v>5.6760000000000005E-3</v>
      </c>
      <c r="H5891" s="174">
        <f>VLOOKUP($A5891,'Tech Litons'!$A:$I,9,FALSE)</f>
        <v>96</v>
      </c>
      <c r="I5891" s="174" t="str">
        <f>VLOOKUP($A5891,'Tech Litons'!$A:$C,3,0)</f>
        <v>Other</v>
      </c>
      <c r="J5891" s="175" t="str">
        <f t="shared" si="673"/>
        <v>3985Other</v>
      </c>
      <c r="K5891" s="176">
        <f>VLOOKUP(I5891,'Attain %'!A:B,2,0)</f>
        <v>0.96</v>
      </c>
      <c r="L5891" s="177">
        <f t="shared" si="674"/>
        <v>7200</v>
      </c>
      <c r="M5891" s="177">
        <f t="shared" si="675"/>
        <v>40.867200000000004</v>
      </c>
      <c r="N5891" s="177">
        <f t="shared" si="676"/>
        <v>75</v>
      </c>
      <c r="O5891" s="175" t="str">
        <f t="shared" si="677"/>
        <v>Sep</v>
      </c>
      <c r="P5891" s="265">
        <f t="shared" si="678"/>
        <v>38</v>
      </c>
    </row>
    <row r="5892" spans="1:16" ht="15" hidden="1" customHeight="1">
      <c r="A5892" s="489">
        <v>64997059</v>
      </c>
      <c r="B5892" s="489">
        <v>3985</v>
      </c>
      <c r="C5892" s="488">
        <v>7500</v>
      </c>
      <c r="D5892" s="597">
        <v>46286</v>
      </c>
      <c r="E5892" s="489" t="s">
        <v>1050</v>
      </c>
      <c r="F5892" s="489" t="s">
        <v>1221</v>
      </c>
      <c r="G5892" s="395">
        <f>VLOOKUP($A5892,'Tech Litons'!$A:$I,8,FALSE)</f>
        <v>5.6760000000000005E-3</v>
      </c>
      <c r="H5892" s="174">
        <f>VLOOKUP($A5892,'Tech Litons'!$A:$I,9,FALSE)</f>
        <v>96</v>
      </c>
      <c r="I5892" s="174" t="str">
        <f>VLOOKUP($A5892,'Tech Litons'!$A:$C,3,0)</f>
        <v>Other</v>
      </c>
      <c r="J5892" s="175" t="str">
        <f t="shared" si="673"/>
        <v>3985Other</v>
      </c>
      <c r="K5892" s="176">
        <f>VLOOKUP(I5892,'Attain %'!A:B,2,0)</f>
        <v>0.96</v>
      </c>
      <c r="L5892" s="177">
        <f t="shared" si="674"/>
        <v>7200</v>
      </c>
      <c r="M5892" s="177">
        <f t="shared" si="675"/>
        <v>40.867200000000004</v>
      </c>
      <c r="N5892" s="177">
        <f t="shared" si="676"/>
        <v>75</v>
      </c>
      <c r="O5892" s="175" t="str">
        <f t="shared" si="677"/>
        <v>Sep</v>
      </c>
      <c r="P5892" s="265">
        <f t="shared" si="678"/>
        <v>39</v>
      </c>
    </row>
    <row r="5893" spans="1:16" ht="15" hidden="1" customHeight="1">
      <c r="A5893" s="489">
        <v>68860061</v>
      </c>
      <c r="B5893" s="489">
        <v>2904</v>
      </c>
      <c r="C5893" s="488">
        <v>7700</v>
      </c>
      <c r="D5893" s="597">
        <v>46153</v>
      </c>
      <c r="E5893" s="489" t="s">
        <v>452</v>
      </c>
      <c r="F5893" s="489" t="s">
        <v>1228</v>
      </c>
      <c r="G5893" s="395">
        <f>VLOOKUP($A5893,'Tech Litons'!$A:$I,8,FALSE)</f>
        <v>3.552E-3</v>
      </c>
      <c r="H5893" s="174">
        <f>VLOOKUP($A5893,'Tech Litons'!$A:$I,9,FALSE)</f>
        <v>255</v>
      </c>
      <c r="I5893" s="174" t="str">
        <f>VLOOKUP($A5893,'Tech Litons'!$A:$C,3,0)</f>
        <v>Talenti</v>
      </c>
      <c r="J5893" s="175" t="str">
        <f t="shared" si="673"/>
        <v>2904Talenti</v>
      </c>
      <c r="K5893" s="176">
        <f>VLOOKUP(I5893,'Attain %'!A:B,2,0)</f>
        <v>0.96</v>
      </c>
      <c r="L5893" s="177">
        <f t="shared" si="674"/>
        <v>7392</v>
      </c>
      <c r="M5893" s="177">
        <f t="shared" si="675"/>
        <v>26.256384000000001</v>
      </c>
      <c r="N5893" s="177">
        <f t="shared" si="676"/>
        <v>28.988235294117647</v>
      </c>
      <c r="O5893" s="175" t="str">
        <f t="shared" si="677"/>
        <v>May</v>
      </c>
      <c r="P5893" s="265">
        <f t="shared" si="678"/>
        <v>20</v>
      </c>
    </row>
    <row r="5894" spans="1:16" ht="15" hidden="1" customHeight="1">
      <c r="A5894" s="489">
        <v>68842352</v>
      </c>
      <c r="B5894" s="489" t="s">
        <v>137</v>
      </c>
      <c r="C5894" s="488">
        <v>7700</v>
      </c>
      <c r="D5894" s="597">
        <v>46167</v>
      </c>
      <c r="E5894" s="489" t="s">
        <v>628</v>
      </c>
      <c r="F5894" s="489" t="s">
        <v>1223</v>
      </c>
      <c r="G5894" s="395">
        <f>VLOOKUP($A5894,'Tech Litons'!$A:$I,8,FALSE)</f>
        <v>2.6640000000000001E-3</v>
      </c>
      <c r="H5894" s="174">
        <f>VLOOKUP($A5894,'Tech Litons'!$A:$I,9,FALSE)</f>
        <v>220</v>
      </c>
      <c r="I5894" s="174" t="str">
        <f>VLOOKUP($A5894,'Tech Litons'!$A:$C,3,0)</f>
        <v>KL Mini Cones</v>
      </c>
      <c r="J5894" s="175" t="str">
        <f t="shared" si="673"/>
        <v>TurkeyKL Mini Cones</v>
      </c>
      <c r="K5894" s="176">
        <f>VLOOKUP(I5894,'Attain %'!A:B,2,0)</f>
        <v>0.96</v>
      </c>
      <c r="L5894" s="177">
        <f t="shared" si="674"/>
        <v>7392</v>
      </c>
      <c r="M5894" s="177">
        <f t="shared" si="675"/>
        <v>19.692288000000001</v>
      </c>
      <c r="N5894" s="177">
        <f t="shared" si="676"/>
        <v>33.6</v>
      </c>
      <c r="O5894" s="175" t="str">
        <f t="shared" si="677"/>
        <v>May</v>
      </c>
      <c r="P5894" s="265">
        <f t="shared" si="678"/>
        <v>22</v>
      </c>
    </row>
    <row r="5895" spans="1:16" ht="15" hidden="1" customHeight="1">
      <c r="A5895" s="489">
        <v>64365613</v>
      </c>
      <c r="B5895" s="489" t="s">
        <v>139</v>
      </c>
      <c r="D5895" s="597">
        <v>46104</v>
      </c>
      <c r="E5895" s="489" t="s">
        <v>617</v>
      </c>
      <c r="F5895" s="489" t="s">
        <v>1223</v>
      </c>
      <c r="G5895" s="395">
        <f>VLOOKUP($A5895,'Tech Litons'!$A:$I,8,FALSE)</f>
        <v>2.1540000000000001E-3</v>
      </c>
      <c r="H5895" s="174">
        <f>VLOOKUP($A5895,'Tech Litons'!$A:$I,9,FALSE)</f>
        <v>195</v>
      </c>
      <c r="I5895" s="174" t="str">
        <f>VLOOKUP($A5895,'Tech Litons'!$A:$C,3,0)</f>
        <v>Facepieces</v>
      </c>
      <c r="J5895" s="175" t="str">
        <f t="shared" si="673"/>
        <v>IncomFacepieces</v>
      </c>
      <c r="K5895" s="176">
        <f>VLOOKUP(I5895,'Attain %'!A:B,2,0)</f>
        <v>0.96</v>
      </c>
      <c r="L5895" s="177">
        <f t="shared" si="674"/>
        <v>0</v>
      </c>
      <c r="M5895" s="177">
        <f t="shared" si="675"/>
        <v>0</v>
      </c>
      <c r="N5895" s="177">
        <f t="shared" si="676"/>
        <v>0</v>
      </c>
      <c r="O5895" s="175" t="str">
        <f t="shared" si="677"/>
        <v>Mar</v>
      </c>
      <c r="P5895" s="265">
        <f t="shared" si="678"/>
        <v>13</v>
      </c>
    </row>
    <row r="5896" spans="1:16" ht="15" hidden="1" customHeight="1">
      <c r="A5896" s="489">
        <v>64365613</v>
      </c>
      <c r="B5896" s="489" t="s">
        <v>139</v>
      </c>
      <c r="D5896" s="597">
        <v>46111</v>
      </c>
      <c r="E5896" s="489" t="s">
        <v>617</v>
      </c>
      <c r="F5896" s="489" t="s">
        <v>1223</v>
      </c>
      <c r="G5896" s="395">
        <f>VLOOKUP($A5896,'Tech Litons'!$A:$I,8,FALSE)</f>
        <v>2.1540000000000001E-3</v>
      </c>
      <c r="H5896" s="174">
        <f>VLOOKUP($A5896,'Tech Litons'!$A:$I,9,FALSE)</f>
        <v>195</v>
      </c>
      <c r="I5896" s="174" t="str">
        <f>VLOOKUP($A5896,'Tech Litons'!$A:$C,3,0)</f>
        <v>Facepieces</v>
      </c>
      <c r="J5896" s="175" t="str">
        <f t="shared" si="673"/>
        <v>IncomFacepieces</v>
      </c>
      <c r="K5896" s="176">
        <f>VLOOKUP(I5896,'Attain %'!A:B,2,0)</f>
        <v>0.96</v>
      </c>
      <c r="L5896" s="177">
        <f t="shared" si="674"/>
        <v>0</v>
      </c>
      <c r="M5896" s="177">
        <f t="shared" si="675"/>
        <v>0</v>
      </c>
      <c r="N5896" s="177">
        <f t="shared" si="676"/>
        <v>0</v>
      </c>
      <c r="O5896" s="175" t="str">
        <f t="shared" si="677"/>
        <v>Mar</v>
      </c>
      <c r="P5896" s="265">
        <f t="shared" si="678"/>
        <v>14</v>
      </c>
    </row>
    <row r="5897" spans="1:16" ht="15" hidden="1" customHeight="1">
      <c r="A5897" s="489">
        <v>67794168</v>
      </c>
      <c r="B5897" s="489">
        <v>5914</v>
      </c>
      <c r="C5897" s="488">
        <v>8120</v>
      </c>
      <c r="D5897" s="597">
        <v>46111</v>
      </c>
      <c r="E5897" s="489" t="s">
        <v>413</v>
      </c>
      <c r="F5897" s="489" t="s">
        <v>1246</v>
      </c>
      <c r="G5897" s="395">
        <f>VLOOKUP($A5897,'Tech Litons'!$A:$I,8,FALSE)</f>
        <v>3.7853439999999999E-3</v>
      </c>
      <c r="H5897" s="174">
        <f>VLOOKUP($A5897,'Tech Litons'!$A:$I,9,FALSE)</f>
        <v>240</v>
      </c>
      <c r="I5897" s="174" t="str">
        <f>VLOOKUP($A5897,'Tech Litons'!$A:$C,3,0)</f>
        <v>BJ PTS</v>
      </c>
      <c r="J5897" s="175" t="str">
        <f t="shared" si="673"/>
        <v>5914BJ PTS</v>
      </c>
      <c r="K5897" s="176">
        <f>VLOOKUP(I5897,'Attain %'!A:B,2,0)</f>
        <v>0.95</v>
      </c>
      <c r="L5897" s="177">
        <f t="shared" si="674"/>
        <v>7714</v>
      </c>
      <c r="M5897" s="177">
        <f t="shared" si="675"/>
        <v>29.200143615999998</v>
      </c>
      <c r="N5897" s="177">
        <f t="shared" si="676"/>
        <v>32.141666666666666</v>
      </c>
      <c r="O5897" s="175" t="str">
        <f t="shared" si="677"/>
        <v>Mar</v>
      </c>
      <c r="P5897" s="265">
        <f t="shared" si="678"/>
        <v>14</v>
      </c>
    </row>
    <row r="5898" spans="1:16" ht="15" hidden="1" customHeight="1">
      <c r="A5898" s="489">
        <v>65489676</v>
      </c>
      <c r="B5898" s="489">
        <v>1717</v>
      </c>
      <c r="C5898" s="488">
        <v>8334</v>
      </c>
      <c r="D5898" s="597">
        <v>46111</v>
      </c>
      <c r="E5898" s="489" t="s">
        <v>1224</v>
      </c>
      <c r="F5898" s="489" t="s">
        <v>1221</v>
      </c>
      <c r="G5898" s="395">
        <f>VLOOKUP($A5898,'Tech Litons'!$A:$I,8,FALSE)</f>
        <v>2.8319999999999999E-3</v>
      </c>
      <c r="H5898" s="174">
        <f>VLOOKUP($A5898,'Tech Litons'!$A:$I,9,FALSE)</f>
        <v>221</v>
      </c>
      <c r="I5898" s="174" t="str">
        <f>VLOOKUP($A5898,'Tech Litons'!$A:$C,3,0)</f>
        <v>Other</v>
      </c>
      <c r="J5898" s="175" t="str">
        <f t="shared" si="673"/>
        <v>1717Other</v>
      </c>
      <c r="K5898" s="176">
        <f>VLOOKUP(I5898,'Attain %'!A:B,2,0)</f>
        <v>0.96</v>
      </c>
      <c r="L5898" s="177">
        <f t="shared" si="674"/>
        <v>8000.6399999999994</v>
      </c>
      <c r="M5898" s="177">
        <f t="shared" si="675"/>
        <v>22.657812479999997</v>
      </c>
      <c r="N5898" s="177">
        <f t="shared" si="676"/>
        <v>36.201990950226239</v>
      </c>
      <c r="O5898" s="175" t="str">
        <f t="shared" si="677"/>
        <v>Mar</v>
      </c>
      <c r="P5898" s="265">
        <f t="shared" si="678"/>
        <v>14</v>
      </c>
    </row>
    <row r="5899" spans="1:16" ht="15" hidden="1" customHeight="1">
      <c r="A5899" s="489">
        <v>69717802</v>
      </c>
      <c r="B5899" s="489">
        <v>2904</v>
      </c>
      <c r="D5899" s="597">
        <v>46111</v>
      </c>
      <c r="E5899" s="489" t="s">
        <v>388</v>
      </c>
      <c r="F5899" s="489" t="s">
        <v>1240</v>
      </c>
      <c r="G5899" s="395">
        <f>VLOOKUP($A5899,'Tech Litons'!$A:$I,8,FALSE)</f>
        <v>4.2560000000000002E-3</v>
      </c>
      <c r="H5899" s="174">
        <f>VLOOKUP($A5899,'Tech Litons'!$A:$I,9,FALSE)</f>
        <v>143</v>
      </c>
      <c r="I5899" s="174" t="str">
        <f>VLOOKUP($A5899,'Tech Litons'!$A:$C,3,0)</f>
        <v>MG Sticks</v>
      </c>
      <c r="J5899" s="175" t="str">
        <f t="shared" si="673"/>
        <v>2904MG Sticks</v>
      </c>
      <c r="K5899" s="176">
        <f>VLOOKUP(I5899,'Attain %'!A:B,2,0)</f>
        <v>0.96</v>
      </c>
      <c r="L5899" s="177">
        <f t="shared" si="674"/>
        <v>0</v>
      </c>
      <c r="M5899" s="177">
        <f t="shared" si="675"/>
        <v>0</v>
      </c>
      <c r="N5899" s="177">
        <f t="shared" si="676"/>
        <v>0</v>
      </c>
      <c r="O5899" s="175" t="str">
        <f t="shared" si="677"/>
        <v>Mar</v>
      </c>
      <c r="P5899" s="265">
        <f t="shared" si="678"/>
        <v>14</v>
      </c>
    </row>
    <row r="5900" spans="1:16" ht="15" hidden="1" customHeight="1">
      <c r="A5900" s="489">
        <v>64341109</v>
      </c>
      <c r="B5900" s="489" t="s">
        <v>139</v>
      </c>
      <c r="D5900" s="597">
        <v>46104</v>
      </c>
      <c r="E5900" s="489" t="s">
        <v>616</v>
      </c>
      <c r="F5900" s="489" t="s">
        <v>1223</v>
      </c>
      <c r="G5900" s="395">
        <f>VLOOKUP($A5900,'Tech Litons'!$A:$I,8,FALSE)</f>
        <v>2E-3</v>
      </c>
      <c r="H5900" s="174">
        <f>VLOOKUP($A5900,'Tech Litons'!$A:$I,9,FALSE)</f>
        <v>210</v>
      </c>
      <c r="I5900" s="174" t="str">
        <f>VLOOKUP($A5900,'Tech Litons'!$A:$C,3,0)</f>
        <v>Facepieces</v>
      </c>
      <c r="J5900" s="175" t="str">
        <f t="shared" si="673"/>
        <v>IncomFacepieces</v>
      </c>
      <c r="K5900" s="176">
        <f>VLOOKUP(I5900,'Attain %'!A:B,2,0)</f>
        <v>0.96</v>
      </c>
      <c r="L5900" s="177">
        <f t="shared" si="674"/>
        <v>0</v>
      </c>
      <c r="M5900" s="177">
        <f t="shared" si="675"/>
        <v>0</v>
      </c>
      <c r="N5900" s="177">
        <f t="shared" si="676"/>
        <v>0</v>
      </c>
      <c r="O5900" s="175" t="str">
        <f t="shared" si="677"/>
        <v>Mar</v>
      </c>
      <c r="P5900" s="265">
        <f t="shared" si="678"/>
        <v>13</v>
      </c>
    </row>
    <row r="5901" spans="1:16" ht="15" hidden="1" customHeight="1">
      <c r="A5901" s="489">
        <v>65549173</v>
      </c>
      <c r="B5901" s="489" t="s">
        <v>139</v>
      </c>
      <c r="D5901" s="597">
        <v>46097</v>
      </c>
      <c r="E5901" s="489" t="s">
        <v>1189</v>
      </c>
      <c r="F5901" s="489" t="s">
        <v>1223</v>
      </c>
      <c r="G5901" s="395">
        <f>VLOOKUP($A5901,'Tech Litons'!$A:$I,8,FALSE)</f>
        <v>1.1999999999999999E-3</v>
      </c>
      <c r="H5901" s="174">
        <f>VLOOKUP($A5901,'Tech Litons'!$A:$I,9,FALSE)</f>
        <v>210</v>
      </c>
      <c r="I5901" s="174" t="str">
        <f>VLOOKUP($A5901,'Tech Litons'!$A:$C,3,0)</f>
        <v>Facepieces</v>
      </c>
      <c r="J5901" s="175" t="str">
        <f t="shared" si="673"/>
        <v>IncomFacepieces</v>
      </c>
      <c r="K5901" s="176">
        <f>VLOOKUP(I5901,'Attain %'!A:B,2,0)</f>
        <v>0.96</v>
      </c>
      <c r="L5901" s="177">
        <f t="shared" si="674"/>
        <v>0</v>
      </c>
      <c r="M5901" s="177">
        <f t="shared" si="675"/>
        <v>0</v>
      </c>
      <c r="N5901" s="177">
        <f t="shared" si="676"/>
        <v>0</v>
      </c>
      <c r="O5901" s="175" t="str">
        <f t="shared" si="677"/>
        <v>Mar</v>
      </c>
      <c r="P5901" s="265">
        <f t="shared" si="678"/>
        <v>12</v>
      </c>
    </row>
    <row r="5902" spans="1:16" ht="15" hidden="1" customHeight="1">
      <c r="A5902" s="489">
        <v>64361163</v>
      </c>
      <c r="B5902" s="489">
        <v>5914</v>
      </c>
      <c r="C5902" s="488">
        <v>8640</v>
      </c>
      <c r="D5902" s="597">
        <v>46132</v>
      </c>
      <c r="E5902" s="489" t="s">
        <v>438</v>
      </c>
      <c r="F5902" s="489" t="s">
        <v>1244</v>
      </c>
      <c r="G5902" s="395">
        <f>VLOOKUP($A5902,'Tech Litons'!$A:$I,8,FALSE)</f>
        <v>3.7839999999999996E-3</v>
      </c>
      <c r="H5902" s="174">
        <f>VLOOKUP($A5902,'Tech Litons'!$A:$I,9,FALSE)</f>
        <v>240</v>
      </c>
      <c r="I5902" s="174" t="str">
        <f>VLOOKUP($A5902,'Tech Litons'!$A:$C,3,0)</f>
        <v>BJ PTS</v>
      </c>
      <c r="J5902" s="175" t="str">
        <f t="shared" si="673"/>
        <v>5914BJ PTS</v>
      </c>
      <c r="K5902" s="176">
        <f>VLOOKUP(I5902,'Attain %'!A:B,2,0)</f>
        <v>0.95</v>
      </c>
      <c r="L5902" s="177">
        <f t="shared" si="674"/>
        <v>8208</v>
      </c>
      <c r="M5902" s="177">
        <f t="shared" si="675"/>
        <v>31.059071999999997</v>
      </c>
      <c r="N5902" s="177">
        <f t="shared" si="676"/>
        <v>34.200000000000003</v>
      </c>
      <c r="O5902" s="175" t="str">
        <f t="shared" si="677"/>
        <v>Apr</v>
      </c>
      <c r="P5902" s="265">
        <f t="shared" si="678"/>
        <v>17</v>
      </c>
    </row>
    <row r="5903" spans="1:16" ht="15" hidden="1" customHeight="1">
      <c r="A5903" s="489">
        <v>64989107</v>
      </c>
      <c r="B5903" s="489">
        <v>6765</v>
      </c>
      <c r="C5903" s="488">
        <v>8640</v>
      </c>
      <c r="D5903" s="597">
        <v>46209</v>
      </c>
      <c r="E5903" s="489" t="s">
        <v>612</v>
      </c>
      <c r="F5903" s="489" t="s">
        <v>1221</v>
      </c>
      <c r="G5903" s="395">
        <f>VLOOKUP($A5903,'Tech Litons'!$A:$I,8,FALSE)</f>
        <v>5.3220000000000003E-3</v>
      </c>
      <c r="H5903" s="174">
        <f>VLOOKUP($A5903,'Tech Litons'!$A:$I,9,FALSE)</f>
        <v>120</v>
      </c>
      <c r="I5903" s="174" t="str">
        <f>VLOOKUP($A5903,'Tech Litons'!$A:$C,3,0)</f>
        <v>BR Minicups</v>
      </c>
      <c r="J5903" s="175" t="str">
        <f t="shared" si="673"/>
        <v>6765BR Minicups</v>
      </c>
      <c r="K5903" s="176">
        <f>VLOOKUP(I5903,'Attain %'!A:B,2,0)</f>
        <v>0.96</v>
      </c>
      <c r="L5903" s="177">
        <f t="shared" si="674"/>
        <v>8294.4</v>
      </c>
      <c r="M5903" s="177">
        <f t="shared" si="675"/>
        <v>44.142796799999999</v>
      </c>
      <c r="N5903" s="177">
        <f t="shared" si="676"/>
        <v>69.11999999999999</v>
      </c>
      <c r="O5903" s="175" t="str">
        <f t="shared" si="677"/>
        <v>Jul</v>
      </c>
      <c r="P5903" s="265">
        <f t="shared" si="678"/>
        <v>28</v>
      </c>
    </row>
    <row r="5904" spans="1:16" ht="15" hidden="1" customHeight="1">
      <c r="A5904" s="489">
        <v>64989109</v>
      </c>
      <c r="B5904" s="489">
        <v>6765</v>
      </c>
      <c r="C5904" s="488">
        <v>8640</v>
      </c>
      <c r="D5904" s="597">
        <v>46195</v>
      </c>
      <c r="E5904" s="489" t="s">
        <v>608</v>
      </c>
      <c r="F5904" s="489" t="s">
        <v>1221</v>
      </c>
      <c r="G5904" s="395">
        <f>VLOOKUP($A5904,'Tech Litons'!$A:$I,8,FALSE)</f>
        <v>5.3220000000000003E-3</v>
      </c>
      <c r="H5904" s="174">
        <f>VLOOKUP($A5904,'Tech Litons'!$A:$I,9,FALSE)</f>
        <v>120</v>
      </c>
      <c r="I5904" s="174" t="str">
        <f>VLOOKUP($A5904,'Tech Litons'!$A:$C,3,0)</f>
        <v>BR Minicups</v>
      </c>
      <c r="J5904" s="175" t="str">
        <f t="shared" si="673"/>
        <v>6765BR Minicups</v>
      </c>
      <c r="K5904" s="176">
        <f>VLOOKUP(I5904,'Attain %'!A:B,2,0)</f>
        <v>0.96</v>
      </c>
      <c r="L5904" s="177">
        <f t="shared" si="674"/>
        <v>8294.4</v>
      </c>
      <c r="M5904" s="177">
        <f t="shared" si="675"/>
        <v>44.142796799999999</v>
      </c>
      <c r="N5904" s="177">
        <f t="shared" si="676"/>
        <v>69.11999999999999</v>
      </c>
      <c r="O5904" s="175" t="str">
        <f t="shared" si="677"/>
        <v>Jun</v>
      </c>
      <c r="P5904" s="265">
        <f t="shared" si="678"/>
        <v>26</v>
      </c>
    </row>
    <row r="5905" spans="1:16" ht="15" hidden="1" customHeight="1">
      <c r="A5905" s="489">
        <v>64989109</v>
      </c>
      <c r="B5905" s="489">
        <v>6765</v>
      </c>
      <c r="C5905" s="488">
        <v>8640</v>
      </c>
      <c r="D5905" s="597">
        <v>46251</v>
      </c>
      <c r="E5905" s="489" t="s">
        <v>608</v>
      </c>
      <c r="F5905" s="489" t="s">
        <v>1221</v>
      </c>
      <c r="G5905" s="395">
        <f>VLOOKUP($A5905,'Tech Litons'!$A:$I,8,FALSE)</f>
        <v>5.3220000000000003E-3</v>
      </c>
      <c r="H5905" s="174">
        <f>VLOOKUP($A5905,'Tech Litons'!$A:$I,9,FALSE)</f>
        <v>120</v>
      </c>
      <c r="I5905" s="174" t="str">
        <f>VLOOKUP($A5905,'Tech Litons'!$A:$C,3,0)</f>
        <v>BR Minicups</v>
      </c>
      <c r="J5905" s="175" t="str">
        <f t="shared" si="673"/>
        <v>6765BR Minicups</v>
      </c>
      <c r="K5905" s="176">
        <f>VLOOKUP(I5905,'Attain %'!A:B,2,0)</f>
        <v>0.96</v>
      </c>
      <c r="L5905" s="177">
        <f t="shared" si="674"/>
        <v>8294.4</v>
      </c>
      <c r="M5905" s="177">
        <f t="shared" si="675"/>
        <v>44.142796799999999</v>
      </c>
      <c r="N5905" s="177">
        <f t="shared" si="676"/>
        <v>69.11999999999999</v>
      </c>
      <c r="O5905" s="175" t="str">
        <f t="shared" si="677"/>
        <v>Aug</v>
      </c>
      <c r="P5905" s="265">
        <f t="shared" si="678"/>
        <v>34</v>
      </c>
    </row>
    <row r="5906" spans="1:16" ht="15" hidden="1" customHeight="1">
      <c r="A5906" s="489">
        <v>64989109</v>
      </c>
      <c r="B5906" s="489">
        <v>6765</v>
      </c>
      <c r="C5906" s="488">
        <v>8640</v>
      </c>
      <c r="D5906" s="597">
        <v>46286</v>
      </c>
      <c r="E5906" s="489" t="s">
        <v>608</v>
      </c>
      <c r="F5906" s="489" t="s">
        <v>1221</v>
      </c>
      <c r="G5906" s="395">
        <f>VLOOKUP($A5906,'Tech Litons'!$A:$I,8,FALSE)</f>
        <v>5.3220000000000003E-3</v>
      </c>
      <c r="H5906" s="174">
        <f>VLOOKUP($A5906,'Tech Litons'!$A:$I,9,FALSE)</f>
        <v>120</v>
      </c>
      <c r="I5906" s="174" t="str">
        <f>VLOOKUP($A5906,'Tech Litons'!$A:$C,3,0)</f>
        <v>BR Minicups</v>
      </c>
      <c r="J5906" s="175" t="str">
        <f t="shared" si="673"/>
        <v>6765BR Minicups</v>
      </c>
      <c r="K5906" s="176">
        <f>VLOOKUP(I5906,'Attain %'!A:B,2,0)</f>
        <v>0.96</v>
      </c>
      <c r="L5906" s="177">
        <f t="shared" si="674"/>
        <v>8294.4</v>
      </c>
      <c r="M5906" s="177">
        <f t="shared" si="675"/>
        <v>44.142796799999999</v>
      </c>
      <c r="N5906" s="177">
        <f t="shared" si="676"/>
        <v>69.11999999999999</v>
      </c>
      <c r="O5906" s="175" t="str">
        <f t="shared" si="677"/>
        <v>Sep</v>
      </c>
      <c r="P5906" s="265">
        <f t="shared" si="678"/>
        <v>39</v>
      </c>
    </row>
    <row r="5907" spans="1:16" ht="15" hidden="1" customHeight="1">
      <c r="A5907" s="489">
        <v>64989109</v>
      </c>
      <c r="B5907" s="489">
        <v>6765</v>
      </c>
      <c r="C5907" s="488">
        <v>8640</v>
      </c>
      <c r="D5907" s="597">
        <v>46314</v>
      </c>
      <c r="E5907" s="489" t="s">
        <v>608</v>
      </c>
      <c r="F5907" s="489" t="s">
        <v>1221</v>
      </c>
      <c r="G5907" s="395">
        <f>VLOOKUP($A5907,'Tech Litons'!$A:$I,8,FALSE)</f>
        <v>5.3220000000000003E-3</v>
      </c>
      <c r="H5907" s="174">
        <f>VLOOKUP($A5907,'Tech Litons'!$A:$I,9,FALSE)</f>
        <v>120</v>
      </c>
      <c r="I5907" s="174" t="str">
        <f>VLOOKUP($A5907,'Tech Litons'!$A:$C,3,0)</f>
        <v>BR Minicups</v>
      </c>
      <c r="J5907" s="175" t="str">
        <f t="shared" si="673"/>
        <v>6765BR Minicups</v>
      </c>
      <c r="K5907" s="176">
        <f>VLOOKUP(I5907,'Attain %'!A:B,2,0)</f>
        <v>0.96</v>
      </c>
      <c r="L5907" s="177">
        <f t="shared" si="674"/>
        <v>8294.4</v>
      </c>
      <c r="M5907" s="177">
        <f t="shared" si="675"/>
        <v>44.142796799999999</v>
      </c>
      <c r="N5907" s="177">
        <f t="shared" si="676"/>
        <v>69.11999999999999</v>
      </c>
      <c r="O5907" s="175" t="str">
        <f t="shared" si="677"/>
        <v>Oct</v>
      </c>
      <c r="P5907" s="265">
        <f t="shared" si="678"/>
        <v>43</v>
      </c>
    </row>
    <row r="5908" spans="1:16" ht="15" hidden="1" customHeight="1">
      <c r="A5908" s="489">
        <v>64989109</v>
      </c>
      <c r="B5908" s="489">
        <v>6765</v>
      </c>
      <c r="C5908" s="488">
        <v>8640</v>
      </c>
      <c r="D5908" s="597">
        <v>46349</v>
      </c>
      <c r="E5908" s="489" t="s">
        <v>608</v>
      </c>
      <c r="F5908" s="489" t="s">
        <v>1221</v>
      </c>
      <c r="G5908" s="395">
        <f>VLOOKUP($A5908,'Tech Litons'!$A:$I,8,FALSE)</f>
        <v>5.3220000000000003E-3</v>
      </c>
      <c r="H5908" s="174">
        <f>VLOOKUP($A5908,'Tech Litons'!$A:$I,9,FALSE)</f>
        <v>120</v>
      </c>
      <c r="I5908" s="174" t="str">
        <f>VLOOKUP($A5908,'Tech Litons'!$A:$C,3,0)</f>
        <v>BR Minicups</v>
      </c>
      <c r="J5908" s="175" t="str">
        <f t="shared" si="673"/>
        <v>6765BR Minicups</v>
      </c>
      <c r="K5908" s="176">
        <f>VLOOKUP(I5908,'Attain %'!A:B,2,0)</f>
        <v>0.96</v>
      </c>
      <c r="L5908" s="177">
        <f t="shared" si="674"/>
        <v>8294.4</v>
      </c>
      <c r="M5908" s="177">
        <f t="shared" si="675"/>
        <v>44.142796799999999</v>
      </c>
      <c r="N5908" s="177">
        <f t="shared" si="676"/>
        <v>69.11999999999999</v>
      </c>
      <c r="O5908" s="175" t="str">
        <f t="shared" si="677"/>
        <v>Nov</v>
      </c>
      <c r="P5908" s="265">
        <f t="shared" si="678"/>
        <v>48</v>
      </c>
    </row>
    <row r="5909" spans="1:16" ht="15" hidden="1" customHeight="1">
      <c r="A5909" s="489">
        <v>64989109</v>
      </c>
      <c r="B5909" s="489">
        <v>6765</v>
      </c>
      <c r="C5909" s="488">
        <v>8640</v>
      </c>
      <c r="D5909" s="597">
        <v>46363</v>
      </c>
      <c r="E5909" s="489" t="s">
        <v>608</v>
      </c>
      <c r="F5909" s="489" t="s">
        <v>1221</v>
      </c>
      <c r="G5909" s="395">
        <f>VLOOKUP($A5909,'Tech Litons'!$A:$I,8,FALSE)</f>
        <v>5.3220000000000003E-3</v>
      </c>
      <c r="H5909" s="174">
        <f>VLOOKUP($A5909,'Tech Litons'!$A:$I,9,FALSE)</f>
        <v>120</v>
      </c>
      <c r="I5909" s="174" t="str">
        <f>VLOOKUP($A5909,'Tech Litons'!$A:$C,3,0)</f>
        <v>BR Minicups</v>
      </c>
      <c r="J5909" s="175" t="str">
        <f t="shared" si="673"/>
        <v>6765BR Minicups</v>
      </c>
      <c r="K5909" s="176">
        <f>VLOOKUP(I5909,'Attain %'!A:B,2,0)</f>
        <v>0.96</v>
      </c>
      <c r="L5909" s="177">
        <f t="shared" si="674"/>
        <v>8294.4</v>
      </c>
      <c r="M5909" s="177">
        <f t="shared" si="675"/>
        <v>44.142796799999999</v>
      </c>
      <c r="N5909" s="177">
        <f t="shared" si="676"/>
        <v>69.11999999999999</v>
      </c>
      <c r="O5909" s="175" t="str">
        <f t="shared" si="677"/>
        <v>Dec</v>
      </c>
      <c r="P5909" s="265">
        <f t="shared" si="678"/>
        <v>50</v>
      </c>
    </row>
    <row r="5910" spans="1:16" ht="15" hidden="1" customHeight="1">
      <c r="A5910" s="489">
        <v>64989109</v>
      </c>
      <c r="B5910" s="489">
        <v>6765</v>
      </c>
      <c r="C5910" s="488">
        <v>8640</v>
      </c>
      <c r="D5910" s="597">
        <v>46377</v>
      </c>
      <c r="E5910" s="489" t="s">
        <v>608</v>
      </c>
      <c r="F5910" s="489" t="s">
        <v>1221</v>
      </c>
      <c r="G5910" s="395">
        <f>VLOOKUP($A5910,'Tech Litons'!$A:$I,8,FALSE)</f>
        <v>5.3220000000000003E-3</v>
      </c>
      <c r="H5910" s="174">
        <f>VLOOKUP($A5910,'Tech Litons'!$A:$I,9,FALSE)</f>
        <v>120</v>
      </c>
      <c r="I5910" s="174" t="str">
        <f>VLOOKUP($A5910,'Tech Litons'!$A:$C,3,0)</f>
        <v>BR Minicups</v>
      </c>
      <c r="J5910" s="175" t="str">
        <f t="shared" si="673"/>
        <v>6765BR Minicups</v>
      </c>
      <c r="K5910" s="176">
        <f>VLOOKUP(I5910,'Attain %'!A:B,2,0)</f>
        <v>0.96</v>
      </c>
      <c r="L5910" s="177">
        <f t="shared" si="674"/>
        <v>8294.4</v>
      </c>
      <c r="M5910" s="177">
        <f t="shared" si="675"/>
        <v>44.142796799999999</v>
      </c>
      <c r="N5910" s="177">
        <f t="shared" si="676"/>
        <v>69.11999999999999</v>
      </c>
      <c r="O5910" s="175" t="str">
        <f t="shared" si="677"/>
        <v>Dec</v>
      </c>
      <c r="P5910" s="265">
        <f t="shared" si="678"/>
        <v>52</v>
      </c>
    </row>
    <row r="5911" spans="1:16" ht="15" hidden="1" customHeight="1">
      <c r="A5911" s="489">
        <v>65468644</v>
      </c>
      <c r="B5911" s="489" t="s">
        <v>139</v>
      </c>
      <c r="C5911" s="488">
        <v>8740</v>
      </c>
      <c r="D5911" s="597">
        <v>46104</v>
      </c>
      <c r="E5911" s="489" t="s">
        <v>1291</v>
      </c>
      <c r="F5911" s="489" t="s">
        <v>1223</v>
      </c>
      <c r="G5911" s="395">
        <f>VLOOKUP($A5911,'Tech Litons'!$A:$I,8,FALSE)</f>
        <v>7.1999999999999994E-4</v>
      </c>
      <c r="H5911" s="174">
        <f>VLOOKUP($A5911,'Tech Litons'!$A:$I,9,FALSE)</f>
        <v>437</v>
      </c>
      <c r="I5911" s="174" t="str">
        <f>VLOOKUP($A5911,'Tech Litons'!$A:$C,3,0)</f>
        <v>Other</v>
      </c>
      <c r="J5911" s="175" t="str">
        <f t="shared" si="673"/>
        <v>IncomOther</v>
      </c>
      <c r="K5911" s="176">
        <f>VLOOKUP(I5911,'Attain %'!A:B,2,0)</f>
        <v>0.96</v>
      </c>
      <c r="L5911" s="177">
        <f t="shared" si="674"/>
        <v>8390.4</v>
      </c>
      <c r="M5911" s="177">
        <f t="shared" si="675"/>
        <v>6.0410879999999993</v>
      </c>
      <c r="N5911" s="177">
        <f t="shared" si="676"/>
        <v>19.2</v>
      </c>
      <c r="O5911" s="175" t="str">
        <f t="shared" si="677"/>
        <v>Mar</v>
      </c>
      <c r="P5911" s="265">
        <f t="shared" si="678"/>
        <v>13</v>
      </c>
    </row>
    <row r="5912" spans="1:16" ht="15" hidden="1" customHeight="1">
      <c r="A5912" s="489">
        <v>65468644</v>
      </c>
      <c r="B5912" s="489" t="s">
        <v>139</v>
      </c>
      <c r="C5912" s="488">
        <v>8740</v>
      </c>
      <c r="D5912" s="597">
        <v>46132</v>
      </c>
      <c r="E5912" s="489" t="s">
        <v>1291</v>
      </c>
      <c r="F5912" s="489" t="s">
        <v>1223</v>
      </c>
      <c r="G5912" s="395">
        <f>VLOOKUP($A5912,'Tech Litons'!$A:$I,8,FALSE)</f>
        <v>7.1999999999999994E-4</v>
      </c>
      <c r="H5912" s="174">
        <f>VLOOKUP($A5912,'Tech Litons'!$A:$I,9,FALSE)</f>
        <v>437</v>
      </c>
      <c r="I5912" s="174" t="str">
        <f>VLOOKUP($A5912,'Tech Litons'!$A:$C,3,0)</f>
        <v>Other</v>
      </c>
      <c r="J5912" s="175" t="str">
        <f t="shared" si="673"/>
        <v>IncomOther</v>
      </c>
      <c r="K5912" s="176">
        <f>VLOOKUP(I5912,'Attain %'!A:B,2,0)</f>
        <v>0.96</v>
      </c>
      <c r="L5912" s="177">
        <f t="shared" si="674"/>
        <v>8390.4</v>
      </c>
      <c r="M5912" s="177">
        <f t="shared" si="675"/>
        <v>6.0410879999999993</v>
      </c>
      <c r="N5912" s="177">
        <f t="shared" si="676"/>
        <v>19.2</v>
      </c>
      <c r="O5912" s="175" t="str">
        <f t="shared" si="677"/>
        <v>Apr</v>
      </c>
      <c r="P5912" s="265">
        <f t="shared" si="678"/>
        <v>17</v>
      </c>
    </row>
    <row r="5913" spans="1:16" ht="15" hidden="1" customHeight="1">
      <c r="A5913" s="489">
        <v>68842352</v>
      </c>
      <c r="B5913" s="489" t="s">
        <v>137</v>
      </c>
      <c r="C5913" s="488">
        <v>8800</v>
      </c>
      <c r="D5913" s="597">
        <v>46188</v>
      </c>
      <c r="E5913" s="489" t="s">
        <v>628</v>
      </c>
      <c r="F5913" s="489" t="s">
        <v>1223</v>
      </c>
      <c r="G5913" s="395">
        <f>VLOOKUP($A5913,'Tech Litons'!$A:$I,8,FALSE)</f>
        <v>2.6640000000000001E-3</v>
      </c>
      <c r="H5913" s="174">
        <f>VLOOKUP($A5913,'Tech Litons'!$A:$I,9,FALSE)</f>
        <v>220</v>
      </c>
      <c r="I5913" s="174" t="str">
        <f>VLOOKUP($A5913,'Tech Litons'!$A:$C,3,0)</f>
        <v>KL Mini Cones</v>
      </c>
      <c r="J5913" s="175" t="str">
        <f t="shared" si="673"/>
        <v>TurkeyKL Mini Cones</v>
      </c>
      <c r="K5913" s="176">
        <f>VLOOKUP(I5913,'Attain %'!A:B,2,0)</f>
        <v>0.96</v>
      </c>
      <c r="L5913" s="177">
        <f t="shared" si="674"/>
        <v>8448</v>
      </c>
      <c r="M5913" s="177">
        <f t="shared" si="675"/>
        <v>22.505472000000001</v>
      </c>
      <c r="N5913" s="177">
        <f t="shared" si="676"/>
        <v>38.4</v>
      </c>
      <c r="O5913" s="175" t="str">
        <f t="shared" si="677"/>
        <v>Jun</v>
      </c>
      <c r="P5913" s="265">
        <f t="shared" si="678"/>
        <v>25</v>
      </c>
    </row>
    <row r="5914" spans="1:16" ht="15" hidden="1" customHeight="1">
      <c r="A5914" s="489">
        <v>68842352</v>
      </c>
      <c r="B5914" s="489" t="s">
        <v>137</v>
      </c>
      <c r="C5914" s="488">
        <v>8800</v>
      </c>
      <c r="D5914" s="597">
        <v>46209</v>
      </c>
      <c r="E5914" s="489" t="s">
        <v>628</v>
      </c>
      <c r="F5914" s="489" t="s">
        <v>1223</v>
      </c>
      <c r="G5914" s="395">
        <f>VLOOKUP($A5914,'Tech Litons'!$A:$I,8,FALSE)</f>
        <v>2.6640000000000001E-3</v>
      </c>
      <c r="H5914" s="174">
        <f>VLOOKUP($A5914,'Tech Litons'!$A:$I,9,FALSE)</f>
        <v>220</v>
      </c>
      <c r="I5914" s="174" t="str">
        <f>VLOOKUP($A5914,'Tech Litons'!$A:$C,3,0)</f>
        <v>KL Mini Cones</v>
      </c>
      <c r="J5914" s="175" t="str">
        <f t="shared" si="673"/>
        <v>TurkeyKL Mini Cones</v>
      </c>
      <c r="K5914" s="176">
        <f>VLOOKUP(I5914,'Attain %'!A:B,2,0)</f>
        <v>0.96</v>
      </c>
      <c r="L5914" s="177">
        <f t="shared" si="674"/>
        <v>8448</v>
      </c>
      <c r="M5914" s="177">
        <f t="shared" si="675"/>
        <v>22.505472000000001</v>
      </c>
      <c r="N5914" s="177">
        <f t="shared" si="676"/>
        <v>38.4</v>
      </c>
      <c r="O5914" s="175" t="str">
        <f t="shared" si="677"/>
        <v>Jul</v>
      </c>
      <c r="P5914" s="265">
        <f t="shared" si="678"/>
        <v>28</v>
      </c>
    </row>
    <row r="5915" spans="1:16" ht="15" hidden="1" customHeight="1">
      <c r="A5915" s="489">
        <v>69586720</v>
      </c>
      <c r="B5915" s="489" t="s">
        <v>137</v>
      </c>
      <c r="C5915" s="488">
        <v>8800</v>
      </c>
      <c r="D5915" s="597">
        <v>46111</v>
      </c>
      <c r="E5915" s="489" t="s">
        <v>630</v>
      </c>
      <c r="F5915" s="489" t="s">
        <v>1223</v>
      </c>
      <c r="G5915" s="395">
        <f>VLOOKUP($A5915,'Tech Litons'!$A:$I,8,FALSE)</f>
        <v>2.6640000000000001E-3</v>
      </c>
      <c r="H5915" s="174">
        <f>VLOOKUP($A5915,'Tech Litons'!$A:$I,9,FALSE)</f>
        <v>220</v>
      </c>
      <c r="I5915" s="174" t="str">
        <f>VLOOKUP($A5915,'Tech Litons'!$A:$C,3,0)</f>
        <v>KL Mini Cones</v>
      </c>
      <c r="J5915" s="175" t="str">
        <f t="shared" si="673"/>
        <v>TurkeyKL Mini Cones</v>
      </c>
      <c r="K5915" s="176">
        <f>VLOOKUP(I5915,'Attain %'!A:B,2,0)</f>
        <v>0.96</v>
      </c>
      <c r="L5915" s="177">
        <f t="shared" si="674"/>
        <v>8448</v>
      </c>
      <c r="M5915" s="177">
        <f t="shared" si="675"/>
        <v>22.505472000000001</v>
      </c>
      <c r="N5915" s="177">
        <f t="shared" si="676"/>
        <v>38.4</v>
      </c>
      <c r="O5915" s="175" t="str">
        <f t="shared" si="677"/>
        <v>Mar</v>
      </c>
      <c r="P5915" s="265">
        <f t="shared" si="678"/>
        <v>14</v>
      </c>
    </row>
    <row r="5916" spans="1:16" ht="15" hidden="1" customHeight="1">
      <c r="A5916" s="489">
        <v>65489677</v>
      </c>
      <c r="B5916" s="489">
        <v>1717</v>
      </c>
      <c r="C5916" s="488">
        <v>8839</v>
      </c>
      <c r="D5916" s="597">
        <v>46104</v>
      </c>
      <c r="E5916" s="489" t="s">
        <v>1188</v>
      </c>
      <c r="F5916" s="489" t="s">
        <v>1221</v>
      </c>
      <c r="G5916" s="395">
        <f>VLOOKUP($A5916,'Tech Litons'!$A:$I,8,FALSE)</f>
        <v>2.8319999999999999E-3</v>
      </c>
      <c r="H5916" s="174">
        <f>VLOOKUP($A5916,'Tech Litons'!$A:$I,9,FALSE)</f>
        <v>221</v>
      </c>
      <c r="I5916" s="174" t="str">
        <f>VLOOKUP($A5916,'Tech Litons'!$A:$C,3,0)</f>
        <v>Other</v>
      </c>
      <c r="J5916" s="175" t="str">
        <f t="shared" si="673"/>
        <v>1717Other</v>
      </c>
      <c r="K5916" s="176">
        <f>VLOOKUP(I5916,'Attain %'!A:B,2,0)</f>
        <v>0.96</v>
      </c>
      <c r="L5916" s="177">
        <f t="shared" si="674"/>
        <v>8485.44</v>
      </c>
      <c r="M5916" s="177">
        <f t="shared" si="675"/>
        <v>24.030766079999999</v>
      </c>
      <c r="N5916" s="177">
        <f t="shared" si="676"/>
        <v>38.395656108597287</v>
      </c>
      <c r="O5916" s="175" t="str">
        <f t="shared" si="677"/>
        <v>Mar</v>
      </c>
      <c r="P5916" s="265">
        <f t="shared" si="678"/>
        <v>13</v>
      </c>
    </row>
    <row r="5917" spans="1:16" ht="15" hidden="1" customHeight="1">
      <c r="A5917" s="489">
        <v>62697527</v>
      </c>
      <c r="B5917" s="489">
        <v>5914</v>
      </c>
      <c r="C5917" s="488">
        <v>8960</v>
      </c>
      <c r="D5917" s="597">
        <v>46167</v>
      </c>
      <c r="E5917" s="489" t="s">
        <v>492</v>
      </c>
      <c r="F5917" s="489" t="s">
        <v>1246</v>
      </c>
      <c r="G5917" s="395">
        <f>VLOOKUP($A5917,'Tech Litons'!$A:$I,8,FALSE)</f>
        <v>3.7839999999999996E-3</v>
      </c>
      <c r="H5917" s="174">
        <f>VLOOKUP($A5917,'Tech Litons'!$A:$I,9,FALSE)</f>
        <v>240</v>
      </c>
      <c r="I5917" s="174" t="str">
        <f>VLOOKUP($A5917,'Tech Litons'!$A:$C,3,0)</f>
        <v>BJ PTS</v>
      </c>
      <c r="J5917" s="175" t="str">
        <f t="shared" si="673"/>
        <v>5914BJ PTS</v>
      </c>
      <c r="K5917" s="176">
        <f>VLOOKUP(I5917,'Attain %'!A:B,2,0)</f>
        <v>0.95</v>
      </c>
      <c r="L5917" s="177">
        <f t="shared" si="674"/>
        <v>8512</v>
      </c>
      <c r="M5917" s="177">
        <f t="shared" si="675"/>
        <v>32.209407999999996</v>
      </c>
      <c r="N5917" s="177">
        <f t="shared" si="676"/>
        <v>35.466666666666669</v>
      </c>
      <c r="O5917" s="175" t="str">
        <f t="shared" si="677"/>
        <v>May</v>
      </c>
      <c r="P5917" s="265">
        <f t="shared" si="678"/>
        <v>22</v>
      </c>
    </row>
    <row r="5918" spans="1:16" ht="15" hidden="1" customHeight="1">
      <c r="A5918" s="489">
        <v>64341962</v>
      </c>
      <c r="B5918" s="489">
        <v>2904</v>
      </c>
      <c r="C5918" s="488">
        <v>9000</v>
      </c>
      <c r="D5918" s="597">
        <v>46125</v>
      </c>
      <c r="E5918" s="489" t="s">
        <v>443</v>
      </c>
      <c r="F5918" s="489" t="s">
        <v>1225</v>
      </c>
      <c r="G5918" s="395">
        <f>VLOOKUP($A5918,'Tech Litons'!$A:$I,8,FALSE)</f>
        <v>8.513999999999999E-3</v>
      </c>
      <c r="H5918" s="174">
        <f>VLOOKUP($A5918,'Tech Litons'!$A:$I,9,FALSE)</f>
        <v>176</v>
      </c>
      <c r="I5918" s="174" t="str">
        <f>VLOOKUP($A5918,'Tech Litons'!$A:$C,3,0)</f>
        <v>48oz</v>
      </c>
      <c r="J5918" s="175" t="str">
        <f t="shared" si="673"/>
        <v>290448oz</v>
      </c>
      <c r="K5918" s="176">
        <f>VLOOKUP(I5918,'Attain %'!A:B,2,0)</f>
        <v>0.94</v>
      </c>
      <c r="L5918" s="177">
        <f t="shared" si="674"/>
        <v>8460</v>
      </c>
      <c r="M5918" s="177">
        <f t="shared" si="675"/>
        <v>72.028439999999989</v>
      </c>
      <c r="N5918" s="177">
        <f t="shared" si="676"/>
        <v>48.06818181818182</v>
      </c>
      <c r="O5918" s="175" t="str">
        <f t="shared" si="677"/>
        <v>Apr</v>
      </c>
      <c r="P5918" s="265">
        <f t="shared" si="678"/>
        <v>16</v>
      </c>
    </row>
    <row r="5919" spans="1:16" ht="15" hidden="1" customHeight="1">
      <c r="A5919" s="489">
        <v>68899821</v>
      </c>
      <c r="B5919" s="489">
        <v>1352</v>
      </c>
      <c r="C5919" s="488">
        <v>9393</v>
      </c>
      <c r="D5919" s="597">
        <v>46104</v>
      </c>
      <c r="E5919" s="489" t="s">
        <v>430</v>
      </c>
      <c r="F5919" s="489" t="s">
        <v>1208</v>
      </c>
      <c r="G5919" s="395">
        <f>VLOOKUP($A5919,'Tech Litons'!$A:$I,8,FALSE)</f>
        <v>8.5199999999999998E-3</v>
      </c>
      <c r="H5919" s="174">
        <f>VLOOKUP($A5919,'Tech Litons'!$A:$I,9,FALSE)</f>
        <v>176</v>
      </c>
      <c r="I5919" s="174" t="str">
        <f>VLOOKUP($A5919,'Tech Litons'!$A:$C,3,0)</f>
        <v>48oz</v>
      </c>
      <c r="J5919" s="175" t="str">
        <f t="shared" si="673"/>
        <v>135248oz</v>
      </c>
      <c r="K5919" s="176">
        <f>VLOOKUP(I5919,'Attain %'!A:B,2,0)</f>
        <v>0.94</v>
      </c>
      <c r="L5919" s="177">
        <f t="shared" si="674"/>
        <v>8829.42</v>
      </c>
      <c r="M5919" s="177">
        <f t="shared" si="675"/>
        <v>75.226658400000005</v>
      </c>
      <c r="N5919" s="177">
        <f t="shared" si="676"/>
        <v>50.167159090909088</v>
      </c>
      <c r="O5919" s="175" t="str">
        <f t="shared" si="677"/>
        <v>Mar</v>
      </c>
      <c r="P5919" s="265">
        <f t="shared" si="678"/>
        <v>13</v>
      </c>
    </row>
    <row r="5920" spans="1:16" ht="15" hidden="1" customHeight="1">
      <c r="A5920" s="489">
        <v>64341108</v>
      </c>
      <c r="B5920" s="489" t="s">
        <v>139</v>
      </c>
      <c r="C5920" s="488">
        <v>9600</v>
      </c>
      <c r="D5920" s="597">
        <v>46167</v>
      </c>
      <c r="E5920" s="489" t="s">
        <v>615</v>
      </c>
      <c r="F5920" s="489" t="s">
        <v>1223</v>
      </c>
      <c r="G5920" s="395">
        <f>VLOOKUP($A5920,'Tech Litons'!$A:$I,8,FALSE)</f>
        <v>2.3599999999999997E-3</v>
      </c>
      <c r="H5920" s="174">
        <f>VLOOKUP($A5920,'Tech Litons'!$A:$I,9,FALSE)</f>
        <v>210</v>
      </c>
      <c r="I5920" s="174" t="str">
        <f>VLOOKUP($A5920,'Tech Litons'!$A:$C,3,0)</f>
        <v>Facepieces</v>
      </c>
      <c r="J5920" s="175" t="str">
        <f t="shared" si="673"/>
        <v>IncomFacepieces</v>
      </c>
      <c r="K5920" s="176">
        <f>VLOOKUP(I5920,'Attain %'!A:B,2,0)</f>
        <v>0.96</v>
      </c>
      <c r="L5920" s="177">
        <f t="shared" si="674"/>
        <v>9216</v>
      </c>
      <c r="M5920" s="177">
        <f t="shared" si="675"/>
        <v>21.749759999999998</v>
      </c>
      <c r="N5920" s="177">
        <f t="shared" si="676"/>
        <v>43.885714285714286</v>
      </c>
      <c r="O5920" s="175" t="str">
        <f t="shared" si="677"/>
        <v>May</v>
      </c>
      <c r="P5920" s="265">
        <f t="shared" si="678"/>
        <v>22</v>
      </c>
    </row>
    <row r="5921" spans="1:16" ht="15" hidden="1" customHeight="1">
      <c r="A5921" s="489">
        <v>64341109</v>
      </c>
      <c r="B5921" s="489" t="s">
        <v>139</v>
      </c>
      <c r="C5921" s="488">
        <v>9600</v>
      </c>
      <c r="D5921" s="597">
        <v>46223</v>
      </c>
      <c r="E5921" s="489" t="s">
        <v>616</v>
      </c>
      <c r="F5921" s="489" t="s">
        <v>1223</v>
      </c>
      <c r="G5921" s="395">
        <f>VLOOKUP($A5921,'Tech Litons'!$A:$I,8,FALSE)</f>
        <v>2E-3</v>
      </c>
      <c r="H5921" s="174">
        <f>VLOOKUP($A5921,'Tech Litons'!$A:$I,9,FALSE)</f>
        <v>210</v>
      </c>
      <c r="I5921" s="174" t="str">
        <f>VLOOKUP($A5921,'Tech Litons'!$A:$C,3,0)</f>
        <v>Facepieces</v>
      </c>
      <c r="J5921" s="175" t="str">
        <f t="shared" si="673"/>
        <v>IncomFacepieces</v>
      </c>
      <c r="K5921" s="176">
        <f>VLOOKUP(I5921,'Attain %'!A:B,2,0)</f>
        <v>0.96</v>
      </c>
      <c r="L5921" s="177">
        <f t="shared" si="674"/>
        <v>9216</v>
      </c>
      <c r="M5921" s="177">
        <f t="shared" si="675"/>
        <v>18.432000000000002</v>
      </c>
      <c r="N5921" s="177">
        <f t="shared" si="676"/>
        <v>43.885714285714286</v>
      </c>
      <c r="O5921" s="175" t="str">
        <f t="shared" si="677"/>
        <v>Jul</v>
      </c>
      <c r="P5921" s="265">
        <f t="shared" si="678"/>
        <v>30</v>
      </c>
    </row>
    <row r="5922" spans="1:16" ht="15" hidden="1" customHeight="1">
      <c r="A5922" s="489">
        <v>64369052</v>
      </c>
      <c r="B5922" s="489" t="s">
        <v>137</v>
      </c>
      <c r="C5922" s="488">
        <v>9600</v>
      </c>
      <c r="D5922" s="597">
        <v>46139</v>
      </c>
      <c r="E5922" s="489" t="s">
        <v>626</v>
      </c>
      <c r="F5922" s="489" t="s">
        <v>1223</v>
      </c>
      <c r="G5922" s="395">
        <f>VLOOKUP($A5922,'Tech Litons'!$A:$I,8,FALSE)</f>
        <v>5.3220000000000003E-3</v>
      </c>
      <c r="H5922" s="174">
        <f>VLOOKUP($A5922,'Tech Litons'!$A:$I,9,FALSE)</f>
        <v>120</v>
      </c>
      <c r="I5922" s="174" t="str">
        <f>VLOOKUP($A5922,'Tech Litons'!$A:$C,3,0)</f>
        <v>KL Mini Cones</v>
      </c>
      <c r="J5922" s="175" t="str">
        <f t="shared" si="673"/>
        <v>TurkeyKL Mini Cones</v>
      </c>
      <c r="K5922" s="176">
        <f>VLOOKUP(I5922,'Attain %'!A:B,2,0)</f>
        <v>0.96</v>
      </c>
      <c r="L5922" s="177">
        <f t="shared" si="674"/>
        <v>9216</v>
      </c>
      <c r="M5922" s="177">
        <f t="shared" si="675"/>
        <v>49.047552000000003</v>
      </c>
      <c r="N5922" s="177">
        <f t="shared" si="676"/>
        <v>76.8</v>
      </c>
      <c r="O5922" s="175" t="str">
        <f t="shared" si="677"/>
        <v>Apr</v>
      </c>
      <c r="P5922" s="265">
        <f t="shared" si="678"/>
        <v>18</v>
      </c>
    </row>
    <row r="5923" spans="1:16" ht="15" hidden="1" customHeight="1">
      <c r="A5923" s="489">
        <v>64369052</v>
      </c>
      <c r="B5923" s="489" t="s">
        <v>137</v>
      </c>
      <c r="C5923" s="488">
        <v>9600</v>
      </c>
      <c r="D5923" s="597">
        <v>46153</v>
      </c>
      <c r="E5923" s="489" t="s">
        <v>626</v>
      </c>
      <c r="F5923" s="489" t="s">
        <v>1223</v>
      </c>
      <c r="G5923" s="395">
        <f>VLOOKUP($A5923,'Tech Litons'!$A:$I,8,FALSE)</f>
        <v>5.3220000000000003E-3</v>
      </c>
      <c r="H5923" s="174">
        <f>VLOOKUP($A5923,'Tech Litons'!$A:$I,9,FALSE)</f>
        <v>120</v>
      </c>
      <c r="I5923" s="174" t="str">
        <f>VLOOKUP($A5923,'Tech Litons'!$A:$C,3,0)</f>
        <v>KL Mini Cones</v>
      </c>
      <c r="J5923" s="175" t="str">
        <f t="shared" si="673"/>
        <v>TurkeyKL Mini Cones</v>
      </c>
      <c r="K5923" s="176">
        <f>VLOOKUP(I5923,'Attain %'!A:B,2,0)</f>
        <v>0.96</v>
      </c>
      <c r="L5923" s="177">
        <f t="shared" si="674"/>
        <v>9216</v>
      </c>
      <c r="M5923" s="177">
        <f t="shared" si="675"/>
        <v>49.047552000000003</v>
      </c>
      <c r="N5923" s="177">
        <f t="shared" si="676"/>
        <v>76.8</v>
      </c>
      <c r="O5923" s="175" t="str">
        <f t="shared" si="677"/>
        <v>May</v>
      </c>
      <c r="P5923" s="265">
        <f t="shared" si="678"/>
        <v>20</v>
      </c>
    </row>
    <row r="5924" spans="1:16" ht="15" hidden="1" customHeight="1">
      <c r="A5924" s="489">
        <v>64875812</v>
      </c>
      <c r="B5924" s="489">
        <v>6757</v>
      </c>
      <c r="C5924" s="488">
        <v>9690</v>
      </c>
      <c r="D5924" s="597">
        <v>46181</v>
      </c>
      <c r="E5924" s="489" t="s">
        <v>347</v>
      </c>
      <c r="F5924" s="489" t="s">
        <v>1221</v>
      </c>
      <c r="G5924" s="395">
        <f>VLOOKUP($A5924,'Tech Litons'!$A:$I,8,FALSE)</f>
        <v>6.0000000000000001E-3</v>
      </c>
      <c r="H5924" s="174">
        <f>VLOOKUP($A5924,'Tech Litons'!$A:$I,9,FALSE)</f>
        <v>108</v>
      </c>
      <c r="I5924" s="174" t="str">
        <f>VLOOKUP($A5924,'Tech Litons'!$A:$C,3,0)</f>
        <v>ESS</v>
      </c>
      <c r="J5924" s="175" t="str">
        <f t="shared" si="673"/>
        <v>6757ESS</v>
      </c>
      <c r="K5924" s="176">
        <f>VLOOKUP(I5924,'Attain %'!A:B,2,0)</f>
        <v>0.96</v>
      </c>
      <c r="L5924" s="177">
        <f t="shared" si="674"/>
        <v>9302.4</v>
      </c>
      <c r="M5924" s="177">
        <f t="shared" si="675"/>
        <v>55.814399999999999</v>
      </c>
      <c r="N5924" s="177">
        <f t="shared" si="676"/>
        <v>86.133333333333326</v>
      </c>
      <c r="O5924" s="175" t="str">
        <f t="shared" si="677"/>
        <v>Jun</v>
      </c>
      <c r="P5924" s="265">
        <f t="shared" si="678"/>
        <v>24</v>
      </c>
    </row>
    <row r="5925" spans="1:16" ht="15" hidden="1" customHeight="1">
      <c r="A5925" s="489">
        <v>68817793</v>
      </c>
      <c r="B5925" s="489">
        <v>1352</v>
      </c>
      <c r="C5925" s="488">
        <v>9750</v>
      </c>
      <c r="D5925" s="597">
        <v>46104</v>
      </c>
      <c r="E5925" s="489" t="s">
        <v>353</v>
      </c>
      <c r="F5925" s="489" t="s">
        <v>1207</v>
      </c>
      <c r="G5925" s="395">
        <f>VLOOKUP($A5925,'Tech Litons'!$A:$I,8,FALSE)</f>
        <v>8.5199999999999998E-3</v>
      </c>
      <c r="H5925" s="174">
        <f>VLOOKUP($A5925,'Tech Litons'!$A:$I,9,FALSE)</f>
        <v>176</v>
      </c>
      <c r="I5925" s="174" t="str">
        <f>VLOOKUP($A5925,'Tech Litons'!$A:$C,3,0)</f>
        <v>48oz</v>
      </c>
      <c r="J5925" s="175" t="str">
        <f t="shared" si="673"/>
        <v>135248oz</v>
      </c>
      <c r="K5925" s="176">
        <f>VLOOKUP(I5925,'Attain %'!A:B,2,0)</f>
        <v>0.94</v>
      </c>
      <c r="L5925" s="177">
        <f t="shared" si="674"/>
        <v>9165</v>
      </c>
      <c r="M5925" s="177">
        <f t="shared" si="675"/>
        <v>78.085799999999992</v>
      </c>
      <c r="N5925" s="177">
        <f t="shared" si="676"/>
        <v>52.073863636363633</v>
      </c>
      <c r="O5925" s="175" t="str">
        <f t="shared" si="677"/>
        <v>Mar</v>
      </c>
      <c r="P5925" s="265">
        <f t="shared" si="678"/>
        <v>13</v>
      </c>
    </row>
    <row r="5926" spans="1:16" ht="15" hidden="1" customHeight="1">
      <c r="A5926" s="489">
        <v>68817799</v>
      </c>
      <c r="B5926" s="489">
        <v>1352</v>
      </c>
      <c r="C5926" s="488">
        <v>22750</v>
      </c>
      <c r="D5926" s="597">
        <v>46111</v>
      </c>
      <c r="E5926" s="489" t="s">
        <v>410</v>
      </c>
      <c r="F5926" s="489" t="s">
        <v>1207</v>
      </c>
      <c r="G5926" s="395">
        <f>VLOOKUP($A5926,'Tech Litons'!$A:$I,8,FALSE)</f>
        <v>8.5199999999999998E-3</v>
      </c>
      <c r="H5926" s="174">
        <f>VLOOKUP($A5926,'Tech Litons'!$A:$I,9,FALSE)</f>
        <v>176</v>
      </c>
      <c r="I5926" s="174" t="str">
        <f>VLOOKUP($A5926,'Tech Litons'!$A:$C,3,0)</f>
        <v>48oz</v>
      </c>
      <c r="J5926" s="175" t="str">
        <f t="shared" si="673"/>
        <v>135248oz</v>
      </c>
      <c r="K5926" s="176">
        <f>VLOOKUP(I5926,'Attain %'!A:B,2,0)</f>
        <v>0.94</v>
      </c>
      <c r="L5926" s="177">
        <f t="shared" si="674"/>
        <v>21385</v>
      </c>
      <c r="M5926" s="177">
        <f t="shared" si="675"/>
        <v>182.2002</v>
      </c>
      <c r="N5926" s="177">
        <f t="shared" si="676"/>
        <v>121.50568181818181</v>
      </c>
      <c r="O5926" s="175" t="str">
        <f t="shared" si="677"/>
        <v>Mar</v>
      </c>
      <c r="P5926" s="265">
        <f t="shared" si="678"/>
        <v>14</v>
      </c>
    </row>
    <row r="5927" spans="1:16" ht="15" hidden="1" customHeight="1">
      <c r="A5927" s="489">
        <v>62715600</v>
      </c>
      <c r="B5927" s="489">
        <v>5914</v>
      </c>
      <c r="C5927" s="488">
        <v>9800</v>
      </c>
      <c r="D5927" s="597">
        <v>46167</v>
      </c>
      <c r="E5927" s="489" t="s">
        <v>436</v>
      </c>
      <c r="F5927" s="489" t="s">
        <v>1247</v>
      </c>
      <c r="G5927" s="395">
        <f>VLOOKUP($A5927,'Tech Litons'!$A:$I,8,FALSE)</f>
        <v>3.7839999999999996E-3</v>
      </c>
      <c r="H5927" s="174">
        <f>VLOOKUP($A5927,'Tech Litons'!$A:$I,9,FALSE)</f>
        <v>240</v>
      </c>
      <c r="I5927" s="174" t="str">
        <f>VLOOKUP($A5927,'Tech Litons'!$A:$C,3,0)</f>
        <v>BJ PTS</v>
      </c>
      <c r="J5927" s="175" t="str">
        <f t="shared" si="673"/>
        <v>5914BJ PTS</v>
      </c>
      <c r="K5927" s="176">
        <f>VLOOKUP(I5927,'Attain %'!A:B,2,0)</f>
        <v>0.95</v>
      </c>
      <c r="L5927" s="177">
        <f t="shared" si="674"/>
        <v>9310</v>
      </c>
      <c r="M5927" s="177">
        <f t="shared" si="675"/>
        <v>35.229039999999998</v>
      </c>
      <c r="N5927" s="177">
        <f t="shared" si="676"/>
        <v>38.791666666666664</v>
      </c>
      <c r="O5927" s="175" t="str">
        <f t="shared" si="677"/>
        <v>May</v>
      </c>
      <c r="P5927" s="265">
        <f t="shared" si="678"/>
        <v>22</v>
      </c>
    </row>
    <row r="5928" spans="1:16" ht="15" hidden="1" customHeight="1">
      <c r="A5928" s="489">
        <v>65458353</v>
      </c>
      <c r="B5928" s="489">
        <v>2904</v>
      </c>
      <c r="C5928" s="488">
        <v>9900</v>
      </c>
      <c r="D5928" s="597">
        <v>46146</v>
      </c>
      <c r="E5928" s="489" t="s">
        <v>1230</v>
      </c>
      <c r="F5928" s="489" t="s">
        <v>1229</v>
      </c>
      <c r="G5928" s="395">
        <f>VLOOKUP($A5928,'Tech Litons'!$A:$I,8,FALSE)</f>
        <v>3.4159999999999998E-3</v>
      </c>
      <c r="H5928" s="174">
        <f>VLOOKUP($A5928,'Tech Litons'!$A:$I,9,FALSE)</f>
        <v>240</v>
      </c>
      <c r="I5928" s="174" t="str">
        <f>VLOOKUP($A5928,'Tech Litons'!$A:$C,3,0)</f>
        <v>Sundaes</v>
      </c>
      <c r="J5928" s="175" t="str">
        <f t="shared" si="673"/>
        <v>2904Sundaes</v>
      </c>
      <c r="K5928" s="176">
        <f>VLOOKUP(I5928,'Attain %'!A:B,2,0)</f>
        <v>0.96</v>
      </c>
      <c r="L5928" s="177">
        <f t="shared" si="674"/>
        <v>9504</v>
      </c>
      <c r="M5928" s="177">
        <f t="shared" si="675"/>
        <v>32.465663999999997</v>
      </c>
      <c r="N5928" s="177">
        <f t="shared" si="676"/>
        <v>39.6</v>
      </c>
      <c r="O5928" s="175" t="str">
        <f t="shared" si="677"/>
        <v>May</v>
      </c>
      <c r="P5928" s="265">
        <f t="shared" si="678"/>
        <v>19</v>
      </c>
    </row>
    <row r="5929" spans="1:16" ht="15" hidden="1" customHeight="1">
      <c r="A5929" s="489">
        <v>68852591</v>
      </c>
      <c r="B5929" s="489">
        <v>2904</v>
      </c>
      <c r="C5929" s="488">
        <v>9992</v>
      </c>
      <c r="D5929" s="597">
        <v>46104</v>
      </c>
      <c r="E5929" s="489" t="s">
        <v>326</v>
      </c>
      <c r="F5929" s="489" t="s">
        <v>1234</v>
      </c>
      <c r="G5929" s="395">
        <f>VLOOKUP($A5929,'Tech Litons'!$A:$I,8,FALSE)</f>
        <v>8.5199999999999998E-3</v>
      </c>
      <c r="H5929" s="174">
        <f>VLOOKUP($A5929,'Tech Litons'!$A:$I,9,FALSE)</f>
        <v>132</v>
      </c>
      <c r="I5929" s="174" t="str">
        <f>VLOOKUP($A5929,'Tech Litons'!$A:$C,3,0)</f>
        <v>EDF</v>
      </c>
      <c r="J5929" s="175" t="str">
        <f t="shared" si="673"/>
        <v>2904EDF</v>
      </c>
      <c r="K5929" s="176">
        <f>VLOOKUP(I5929,'Attain %'!A:B,2,0)</f>
        <v>0.96</v>
      </c>
      <c r="L5929" s="177">
        <f t="shared" si="674"/>
        <v>9592.32</v>
      </c>
      <c r="M5929" s="177">
        <f t="shared" si="675"/>
        <v>81.726566399999996</v>
      </c>
      <c r="N5929" s="177">
        <f t="shared" si="676"/>
        <v>72.669090909090912</v>
      </c>
      <c r="O5929" s="175" t="str">
        <f t="shared" si="677"/>
        <v>Mar</v>
      </c>
      <c r="P5929" s="265">
        <f t="shared" si="678"/>
        <v>13</v>
      </c>
    </row>
    <row r="5930" spans="1:16" ht="15" hidden="1" customHeight="1">
      <c r="A5930" s="489">
        <v>68821735</v>
      </c>
      <c r="B5930" s="489">
        <v>2904</v>
      </c>
      <c r="C5930" s="488">
        <v>10000</v>
      </c>
      <c r="D5930" s="597">
        <v>46104</v>
      </c>
      <c r="E5930" s="489" t="s">
        <v>318</v>
      </c>
      <c r="F5930" s="489" t="s">
        <v>1236</v>
      </c>
      <c r="G5930" s="395">
        <f>VLOOKUP($A5930,'Tech Litons'!$A:$I,8,FALSE)</f>
        <v>8.5199999999999998E-3</v>
      </c>
      <c r="H5930" s="174">
        <f>VLOOKUP($A5930,'Tech Litons'!$A:$I,9,FALSE)</f>
        <v>176</v>
      </c>
      <c r="I5930" s="174" t="str">
        <f>VLOOKUP($A5930,'Tech Litons'!$A:$C,3,0)</f>
        <v>48oz</v>
      </c>
      <c r="J5930" s="175" t="str">
        <f t="shared" si="673"/>
        <v>290448oz</v>
      </c>
      <c r="K5930" s="176">
        <f>VLOOKUP(I5930,'Attain %'!A:B,2,0)</f>
        <v>0.94</v>
      </c>
      <c r="L5930" s="177">
        <f t="shared" si="674"/>
        <v>9400</v>
      </c>
      <c r="M5930" s="177">
        <f t="shared" si="675"/>
        <v>80.087999999999994</v>
      </c>
      <c r="N5930" s="177">
        <f t="shared" si="676"/>
        <v>53.409090909090907</v>
      </c>
      <c r="O5930" s="175" t="str">
        <f t="shared" si="677"/>
        <v>Mar</v>
      </c>
      <c r="P5930" s="265">
        <f t="shared" si="678"/>
        <v>13</v>
      </c>
    </row>
    <row r="5931" spans="1:16" ht="15" hidden="1" customHeight="1">
      <c r="A5931" s="489">
        <v>69568964</v>
      </c>
      <c r="B5931" s="489">
        <v>2904</v>
      </c>
      <c r="C5931" s="488">
        <v>10032</v>
      </c>
      <c r="D5931" s="597">
        <v>46104</v>
      </c>
      <c r="E5931" s="489" t="s">
        <v>444</v>
      </c>
      <c r="F5931" s="489" t="s">
        <v>1225</v>
      </c>
      <c r="G5931" s="395">
        <f>VLOOKUP($A5931,'Tech Litons'!$A:$I,8,FALSE)</f>
        <v>8.5199999999999998E-3</v>
      </c>
      <c r="H5931" s="174">
        <f>VLOOKUP($A5931,'Tech Litons'!$A:$I,9,FALSE)</f>
        <v>176</v>
      </c>
      <c r="I5931" s="174" t="str">
        <f>VLOOKUP($A5931,'Tech Litons'!$A:$C,3,0)</f>
        <v>48oz</v>
      </c>
      <c r="J5931" s="175" t="str">
        <f t="shared" si="673"/>
        <v>290448oz</v>
      </c>
      <c r="K5931" s="176">
        <f>VLOOKUP(I5931,'Attain %'!A:B,2,0)</f>
        <v>0.94</v>
      </c>
      <c r="L5931" s="177">
        <f t="shared" si="674"/>
        <v>9430.08</v>
      </c>
      <c r="M5931" s="177">
        <f t="shared" si="675"/>
        <v>80.344281600000002</v>
      </c>
      <c r="N5931" s="177">
        <f t="shared" si="676"/>
        <v>53.58</v>
      </c>
      <c r="O5931" s="175" t="str">
        <f t="shared" si="677"/>
        <v>Mar</v>
      </c>
      <c r="P5931" s="265">
        <f t="shared" si="678"/>
        <v>13</v>
      </c>
    </row>
    <row r="5932" spans="1:16" ht="15" hidden="1" customHeight="1">
      <c r="A5932" s="489">
        <v>64361161</v>
      </c>
      <c r="B5932" s="489">
        <v>5914</v>
      </c>
      <c r="C5932" s="488">
        <v>10080</v>
      </c>
      <c r="D5932" s="597">
        <v>46132</v>
      </c>
      <c r="E5932" s="489" t="s">
        <v>549</v>
      </c>
      <c r="F5932" s="489" t="s">
        <v>1246</v>
      </c>
      <c r="G5932" s="395">
        <f>VLOOKUP($A5932,'Tech Litons'!$A:$I,8,FALSE)</f>
        <v>3.7839999999999996E-3</v>
      </c>
      <c r="H5932" s="174">
        <f>VLOOKUP($A5932,'Tech Litons'!$A:$I,9,FALSE)</f>
        <v>240</v>
      </c>
      <c r="I5932" s="174" t="str">
        <f>VLOOKUP($A5932,'Tech Litons'!$A:$C,3,0)</f>
        <v>BJ PTS</v>
      </c>
      <c r="J5932" s="175" t="str">
        <f t="shared" si="673"/>
        <v>5914BJ PTS</v>
      </c>
      <c r="K5932" s="176">
        <f>VLOOKUP(I5932,'Attain %'!A:B,2,0)</f>
        <v>0.95</v>
      </c>
      <c r="L5932" s="177">
        <f t="shared" si="674"/>
        <v>9576</v>
      </c>
      <c r="M5932" s="177">
        <f t="shared" si="675"/>
        <v>36.235583999999996</v>
      </c>
      <c r="N5932" s="177">
        <f t="shared" si="676"/>
        <v>39.9</v>
      </c>
      <c r="O5932" s="175" t="str">
        <f t="shared" si="677"/>
        <v>Apr</v>
      </c>
      <c r="P5932" s="265">
        <f t="shared" si="678"/>
        <v>17</v>
      </c>
    </row>
    <row r="5933" spans="1:16" ht="15" hidden="1" customHeight="1">
      <c r="A5933" s="489">
        <v>64960643</v>
      </c>
      <c r="B5933" s="489" t="s">
        <v>133</v>
      </c>
      <c r="C5933" s="488">
        <v>10200</v>
      </c>
      <c r="D5933" s="597">
        <v>46188</v>
      </c>
      <c r="E5933" s="489" t="s">
        <v>1289</v>
      </c>
      <c r="F5933" s="489" t="s">
        <v>1223</v>
      </c>
      <c r="G5933" s="395">
        <f>VLOOKUP($A5933,'Tech Litons'!$A:$I,8,FALSE)</f>
        <v>3.516E-3</v>
      </c>
      <c r="H5933" s="174">
        <f>VLOOKUP($A5933,'Tech Litons'!$A:$I,9,FALSE)</f>
        <v>170</v>
      </c>
      <c r="I5933" s="174" t="str">
        <f>VLOOKUP($A5933,'Tech Litons'!$A:$C,3,0)</f>
        <v>Other</v>
      </c>
      <c r="J5933" s="175" t="str">
        <f t="shared" si="673"/>
        <v>GDIOther</v>
      </c>
      <c r="K5933" s="176">
        <f>VLOOKUP(I5933,'Attain %'!A:B,2,0)</f>
        <v>0.96</v>
      </c>
      <c r="L5933" s="177">
        <f t="shared" si="674"/>
        <v>9792</v>
      </c>
      <c r="M5933" s="177">
        <f t="shared" si="675"/>
        <v>34.428671999999999</v>
      </c>
      <c r="N5933" s="177">
        <f t="shared" si="676"/>
        <v>57.6</v>
      </c>
      <c r="O5933" s="175" t="str">
        <f t="shared" si="677"/>
        <v>Jun</v>
      </c>
      <c r="P5933" s="265">
        <f t="shared" si="678"/>
        <v>25</v>
      </c>
    </row>
    <row r="5934" spans="1:16" ht="15" hidden="1" customHeight="1">
      <c r="A5934" s="489">
        <v>64960643</v>
      </c>
      <c r="B5934" s="489" t="s">
        <v>133</v>
      </c>
      <c r="C5934" s="488">
        <v>10200</v>
      </c>
      <c r="D5934" s="597">
        <v>46202</v>
      </c>
      <c r="E5934" s="489" t="s">
        <v>1289</v>
      </c>
      <c r="F5934" s="489" t="s">
        <v>1223</v>
      </c>
      <c r="G5934" s="395">
        <f>VLOOKUP($A5934,'Tech Litons'!$A:$I,8,FALSE)</f>
        <v>3.516E-3</v>
      </c>
      <c r="H5934" s="174">
        <f>VLOOKUP($A5934,'Tech Litons'!$A:$I,9,FALSE)</f>
        <v>170</v>
      </c>
      <c r="I5934" s="174" t="str">
        <f>VLOOKUP($A5934,'Tech Litons'!$A:$C,3,0)</f>
        <v>Other</v>
      </c>
      <c r="J5934" s="175" t="str">
        <f t="shared" si="673"/>
        <v>GDIOther</v>
      </c>
      <c r="K5934" s="176">
        <f>VLOOKUP(I5934,'Attain %'!A:B,2,0)</f>
        <v>0.96</v>
      </c>
      <c r="L5934" s="177">
        <f t="shared" si="674"/>
        <v>9792</v>
      </c>
      <c r="M5934" s="177">
        <f t="shared" si="675"/>
        <v>34.428671999999999</v>
      </c>
      <c r="N5934" s="177">
        <f t="shared" si="676"/>
        <v>57.6</v>
      </c>
      <c r="O5934" s="175" t="str">
        <f t="shared" si="677"/>
        <v>Jun</v>
      </c>
      <c r="P5934" s="265">
        <f t="shared" si="678"/>
        <v>27</v>
      </c>
    </row>
    <row r="5935" spans="1:16" ht="15" hidden="1" customHeight="1">
      <c r="A5935" s="489">
        <v>64413475</v>
      </c>
      <c r="B5935" s="489">
        <v>1712</v>
      </c>
      <c r="C5935" s="488">
        <v>10260</v>
      </c>
      <c r="D5935" s="597">
        <v>46111</v>
      </c>
      <c r="E5935" s="489" t="s">
        <v>566</v>
      </c>
      <c r="F5935" s="489" t="s">
        <v>1221</v>
      </c>
      <c r="G5935" s="395">
        <f>VLOOKUP($A5935,'Tech Litons'!$A:$I,8,FALSE)</f>
        <v>1.4159999999999999E-3</v>
      </c>
      <c r="H5935" s="174">
        <f>VLOOKUP($A5935,'Tech Litons'!$A:$I,9,FALSE)</f>
        <v>468</v>
      </c>
      <c r="I5935" s="174" t="str">
        <f>VLOOKUP($A5935,'Tech Litons'!$A:$C,3,0)</f>
        <v>B&amp;J Cups</v>
      </c>
      <c r="J5935" s="175" t="str">
        <f t="shared" si="673"/>
        <v>1712B&amp;J Cups</v>
      </c>
      <c r="K5935" s="176">
        <f>VLOOKUP(I5935,'Attain %'!A:B,2,0)</f>
        <v>0.96</v>
      </c>
      <c r="L5935" s="177">
        <f t="shared" si="674"/>
        <v>9849.6</v>
      </c>
      <c r="M5935" s="177">
        <f t="shared" si="675"/>
        <v>13.947033599999999</v>
      </c>
      <c r="N5935" s="177">
        <f t="shared" si="676"/>
        <v>21.046153846153846</v>
      </c>
      <c r="O5935" s="175" t="str">
        <f t="shared" si="677"/>
        <v>Mar</v>
      </c>
      <c r="P5935" s="265">
        <f t="shared" si="678"/>
        <v>14</v>
      </c>
    </row>
    <row r="5936" spans="1:16" ht="15" hidden="1" customHeight="1">
      <c r="A5936" s="489">
        <v>64413478</v>
      </c>
      <c r="B5936" s="489">
        <v>1712</v>
      </c>
      <c r="C5936" s="488">
        <v>10260</v>
      </c>
      <c r="D5936" s="597">
        <v>46104</v>
      </c>
      <c r="E5936" s="489" t="s">
        <v>569</v>
      </c>
      <c r="F5936" s="489" t="s">
        <v>1221</v>
      </c>
      <c r="G5936" s="395">
        <f>VLOOKUP($A5936,'Tech Litons'!$A:$I,8,FALSE)</f>
        <v>1.4159999999999999E-3</v>
      </c>
      <c r="H5936" s="174">
        <f>VLOOKUP($A5936,'Tech Litons'!$A:$I,9,FALSE)</f>
        <v>468</v>
      </c>
      <c r="I5936" s="174" t="str">
        <f>VLOOKUP($A5936,'Tech Litons'!$A:$C,3,0)</f>
        <v>B&amp;J Cups</v>
      </c>
      <c r="J5936" s="175" t="str">
        <f t="shared" si="673"/>
        <v>1712B&amp;J Cups</v>
      </c>
      <c r="K5936" s="176">
        <f>VLOOKUP(I5936,'Attain %'!A:B,2,0)</f>
        <v>0.96</v>
      </c>
      <c r="L5936" s="177">
        <f t="shared" si="674"/>
        <v>9849.6</v>
      </c>
      <c r="M5936" s="177">
        <f t="shared" si="675"/>
        <v>13.947033599999999</v>
      </c>
      <c r="N5936" s="177">
        <f t="shared" si="676"/>
        <v>21.046153846153846</v>
      </c>
      <c r="O5936" s="175" t="str">
        <f t="shared" si="677"/>
        <v>Mar</v>
      </c>
      <c r="P5936" s="265">
        <f t="shared" si="678"/>
        <v>13</v>
      </c>
    </row>
    <row r="5937" spans="1:16" ht="15" hidden="1" customHeight="1">
      <c r="A5937" s="489">
        <v>64413475</v>
      </c>
      <c r="B5937" s="489">
        <v>1712</v>
      </c>
      <c r="C5937" s="488">
        <v>10305</v>
      </c>
      <c r="D5937" s="597">
        <v>46209</v>
      </c>
      <c r="E5937" s="489" t="s">
        <v>566</v>
      </c>
      <c r="F5937" s="489" t="s">
        <v>1221</v>
      </c>
      <c r="G5937" s="395">
        <f>VLOOKUP($A5937,'Tech Litons'!$A:$I,8,FALSE)</f>
        <v>1.4159999999999999E-3</v>
      </c>
      <c r="H5937" s="174">
        <f>VLOOKUP($A5937,'Tech Litons'!$A:$I,9,FALSE)</f>
        <v>468</v>
      </c>
      <c r="I5937" s="174" t="str">
        <f>VLOOKUP($A5937,'Tech Litons'!$A:$C,3,0)</f>
        <v>B&amp;J Cups</v>
      </c>
      <c r="J5937" s="175" t="str">
        <f t="shared" si="673"/>
        <v>1712B&amp;J Cups</v>
      </c>
      <c r="K5937" s="176">
        <f>VLOOKUP(I5937,'Attain %'!A:B,2,0)</f>
        <v>0.96</v>
      </c>
      <c r="L5937" s="177">
        <f t="shared" si="674"/>
        <v>9892.7999999999993</v>
      </c>
      <c r="M5937" s="177">
        <f t="shared" si="675"/>
        <v>14.008204799999998</v>
      </c>
      <c r="N5937" s="177">
        <f t="shared" si="676"/>
        <v>21.138461538461538</v>
      </c>
      <c r="O5937" s="175" t="str">
        <f t="shared" si="677"/>
        <v>Jul</v>
      </c>
      <c r="P5937" s="265">
        <f t="shared" si="678"/>
        <v>28</v>
      </c>
    </row>
    <row r="5938" spans="1:16" ht="15" hidden="1" customHeight="1">
      <c r="A5938" s="489">
        <v>64413475</v>
      </c>
      <c r="B5938" s="489">
        <v>1712</v>
      </c>
      <c r="C5938" s="488">
        <v>10305</v>
      </c>
      <c r="D5938" s="597">
        <v>46237</v>
      </c>
      <c r="E5938" s="489" t="s">
        <v>566</v>
      </c>
      <c r="F5938" s="489" t="s">
        <v>1221</v>
      </c>
      <c r="G5938" s="395">
        <f>VLOOKUP($A5938,'Tech Litons'!$A:$I,8,FALSE)</f>
        <v>1.4159999999999999E-3</v>
      </c>
      <c r="H5938" s="174">
        <f>VLOOKUP($A5938,'Tech Litons'!$A:$I,9,FALSE)</f>
        <v>468</v>
      </c>
      <c r="I5938" s="174" t="str">
        <f>VLOOKUP($A5938,'Tech Litons'!$A:$C,3,0)</f>
        <v>B&amp;J Cups</v>
      </c>
      <c r="J5938" s="175" t="str">
        <f t="shared" si="673"/>
        <v>1712B&amp;J Cups</v>
      </c>
      <c r="K5938" s="176">
        <f>VLOOKUP(I5938,'Attain %'!A:B,2,0)</f>
        <v>0.96</v>
      </c>
      <c r="L5938" s="177">
        <f t="shared" si="674"/>
        <v>9892.7999999999993</v>
      </c>
      <c r="M5938" s="177">
        <f t="shared" si="675"/>
        <v>14.008204799999998</v>
      </c>
      <c r="N5938" s="177">
        <f t="shared" si="676"/>
        <v>21.138461538461538</v>
      </c>
      <c r="O5938" s="175" t="str">
        <f t="shared" si="677"/>
        <v>Aug</v>
      </c>
      <c r="P5938" s="265">
        <f t="shared" si="678"/>
        <v>32</v>
      </c>
    </row>
    <row r="5939" spans="1:16" ht="15" hidden="1" customHeight="1">
      <c r="A5939" s="489">
        <v>64413475</v>
      </c>
      <c r="B5939" s="489">
        <v>1712</v>
      </c>
      <c r="C5939" s="488">
        <v>10305</v>
      </c>
      <c r="D5939" s="597">
        <v>46251</v>
      </c>
      <c r="E5939" s="489" t="s">
        <v>566</v>
      </c>
      <c r="F5939" s="489" t="s">
        <v>1221</v>
      </c>
      <c r="G5939" s="395">
        <f>VLOOKUP($A5939,'Tech Litons'!$A:$I,8,FALSE)</f>
        <v>1.4159999999999999E-3</v>
      </c>
      <c r="H5939" s="174">
        <f>VLOOKUP($A5939,'Tech Litons'!$A:$I,9,FALSE)</f>
        <v>468</v>
      </c>
      <c r="I5939" s="174" t="str">
        <f>VLOOKUP($A5939,'Tech Litons'!$A:$C,3,0)</f>
        <v>B&amp;J Cups</v>
      </c>
      <c r="J5939" s="175" t="str">
        <f t="shared" si="673"/>
        <v>1712B&amp;J Cups</v>
      </c>
      <c r="K5939" s="176">
        <f>VLOOKUP(I5939,'Attain %'!A:B,2,0)</f>
        <v>0.96</v>
      </c>
      <c r="L5939" s="177">
        <f t="shared" si="674"/>
        <v>9892.7999999999993</v>
      </c>
      <c r="M5939" s="177">
        <f t="shared" si="675"/>
        <v>14.008204799999998</v>
      </c>
      <c r="N5939" s="177">
        <f t="shared" si="676"/>
        <v>21.138461538461538</v>
      </c>
      <c r="O5939" s="175" t="str">
        <f t="shared" si="677"/>
        <v>Aug</v>
      </c>
      <c r="P5939" s="265">
        <f t="shared" si="678"/>
        <v>34</v>
      </c>
    </row>
    <row r="5940" spans="1:16" ht="15" hidden="1" customHeight="1">
      <c r="A5940" s="489">
        <v>64413475</v>
      </c>
      <c r="B5940" s="489">
        <v>1712</v>
      </c>
      <c r="C5940" s="488">
        <v>10305</v>
      </c>
      <c r="D5940" s="597">
        <v>46258</v>
      </c>
      <c r="E5940" s="489" t="s">
        <v>566</v>
      </c>
      <c r="F5940" s="489" t="s">
        <v>1221</v>
      </c>
      <c r="G5940" s="395">
        <f>VLOOKUP($A5940,'Tech Litons'!$A:$I,8,FALSE)</f>
        <v>1.4159999999999999E-3</v>
      </c>
      <c r="H5940" s="174">
        <f>VLOOKUP($A5940,'Tech Litons'!$A:$I,9,FALSE)</f>
        <v>468</v>
      </c>
      <c r="I5940" s="174" t="str">
        <f>VLOOKUP($A5940,'Tech Litons'!$A:$C,3,0)</f>
        <v>B&amp;J Cups</v>
      </c>
      <c r="J5940" s="175" t="str">
        <f t="shared" si="673"/>
        <v>1712B&amp;J Cups</v>
      </c>
      <c r="K5940" s="176">
        <f>VLOOKUP(I5940,'Attain %'!A:B,2,0)</f>
        <v>0.96</v>
      </c>
      <c r="L5940" s="177">
        <f t="shared" si="674"/>
        <v>9892.7999999999993</v>
      </c>
      <c r="M5940" s="177">
        <f t="shared" si="675"/>
        <v>14.008204799999998</v>
      </c>
      <c r="N5940" s="177">
        <f t="shared" si="676"/>
        <v>21.138461538461538</v>
      </c>
      <c r="O5940" s="175" t="str">
        <f t="shared" si="677"/>
        <v>Aug</v>
      </c>
      <c r="P5940" s="265">
        <f t="shared" si="678"/>
        <v>35</v>
      </c>
    </row>
    <row r="5941" spans="1:16" ht="15" hidden="1" customHeight="1">
      <c r="A5941" s="489">
        <v>64413475</v>
      </c>
      <c r="B5941" s="489">
        <v>1712</v>
      </c>
      <c r="C5941" s="488">
        <v>10305</v>
      </c>
      <c r="D5941" s="597">
        <v>46349</v>
      </c>
      <c r="E5941" s="489" t="s">
        <v>566</v>
      </c>
      <c r="F5941" s="489" t="s">
        <v>1221</v>
      </c>
      <c r="G5941" s="395">
        <f>VLOOKUP($A5941,'Tech Litons'!$A:$I,8,FALSE)</f>
        <v>1.4159999999999999E-3</v>
      </c>
      <c r="H5941" s="174">
        <f>VLOOKUP($A5941,'Tech Litons'!$A:$I,9,FALSE)</f>
        <v>468</v>
      </c>
      <c r="I5941" s="174" t="str">
        <f>VLOOKUP($A5941,'Tech Litons'!$A:$C,3,0)</f>
        <v>B&amp;J Cups</v>
      </c>
      <c r="J5941" s="175" t="str">
        <f t="shared" si="673"/>
        <v>1712B&amp;J Cups</v>
      </c>
      <c r="K5941" s="176">
        <f>VLOOKUP(I5941,'Attain %'!A:B,2,0)</f>
        <v>0.96</v>
      </c>
      <c r="L5941" s="177">
        <f t="shared" si="674"/>
        <v>9892.7999999999993</v>
      </c>
      <c r="M5941" s="177">
        <f t="shared" si="675"/>
        <v>14.008204799999998</v>
      </c>
      <c r="N5941" s="177">
        <f t="shared" si="676"/>
        <v>21.138461538461538</v>
      </c>
      <c r="O5941" s="175" t="str">
        <f t="shared" si="677"/>
        <v>Nov</v>
      </c>
      <c r="P5941" s="265">
        <f t="shared" si="678"/>
        <v>48</v>
      </c>
    </row>
    <row r="5942" spans="1:16" ht="15" hidden="1" customHeight="1">
      <c r="A5942" s="489">
        <v>64413475</v>
      </c>
      <c r="B5942" s="489">
        <v>1712</v>
      </c>
      <c r="C5942" s="488">
        <v>10305</v>
      </c>
      <c r="D5942" s="597">
        <v>46377</v>
      </c>
      <c r="E5942" s="489" t="s">
        <v>566</v>
      </c>
      <c r="F5942" s="489" t="s">
        <v>1221</v>
      </c>
      <c r="G5942" s="395">
        <f>VLOOKUP($A5942,'Tech Litons'!$A:$I,8,FALSE)</f>
        <v>1.4159999999999999E-3</v>
      </c>
      <c r="H5942" s="174">
        <f>VLOOKUP($A5942,'Tech Litons'!$A:$I,9,FALSE)</f>
        <v>468</v>
      </c>
      <c r="I5942" s="174" t="str">
        <f>VLOOKUP($A5942,'Tech Litons'!$A:$C,3,0)</f>
        <v>B&amp;J Cups</v>
      </c>
      <c r="J5942" s="175" t="str">
        <f t="shared" si="673"/>
        <v>1712B&amp;J Cups</v>
      </c>
      <c r="K5942" s="176">
        <f>VLOOKUP(I5942,'Attain %'!A:B,2,0)</f>
        <v>0.96</v>
      </c>
      <c r="L5942" s="177">
        <f t="shared" si="674"/>
        <v>9892.7999999999993</v>
      </c>
      <c r="M5942" s="177">
        <f t="shared" si="675"/>
        <v>14.008204799999998</v>
      </c>
      <c r="N5942" s="177">
        <f t="shared" si="676"/>
        <v>21.138461538461538</v>
      </c>
      <c r="O5942" s="175" t="str">
        <f t="shared" si="677"/>
        <v>Dec</v>
      </c>
      <c r="P5942" s="265">
        <f t="shared" si="678"/>
        <v>52</v>
      </c>
    </row>
    <row r="5943" spans="1:16" ht="15" hidden="1" customHeight="1">
      <c r="A5943" s="489">
        <v>64413476</v>
      </c>
      <c r="B5943" s="489">
        <v>1712</v>
      </c>
      <c r="C5943" s="488">
        <v>10305</v>
      </c>
      <c r="D5943" s="597">
        <v>46174</v>
      </c>
      <c r="E5943" s="489" t="s">
        <v>567</v>
      </c>
      <c r="F5943" s="489" t="s">
        <v>1221</v>
      </c>
      <c r="G5943" s="395">
        <f>VLOOKUP($A5943,'Tech Litons'!$A:$I,8,FALSE)</f>
        <v>1.4399999999999999E-3</v>
      </c>
      <c r="H5943" s="174">
        <f>VLOOKUP($A5943,'Tech Litons'!$A:$I,9,FALSE)</f>
        <v>468</v>
      </c>
      <c r="I5943" s="174" t="str">
        <f>VLOOKUP($A5943,'Tech Litons'!$A:$C,3,0)</f>
        <v>B&amp;J Cups</v>
      </c>
      <c r="J5943" s="175" t="str">
        <f t="shared" si="673"/>
        <v>1712B&amp;J Cups</v>
      </c>
      <c r="K5943" s="176">
        <f>VLOOKUP(I5943,'Attain %'!A:B,2,0)</f>
        <v>0.96</v>
      </c>
      <c r="L5943" s="177">
        <f t="shared" si="674"/>
        <v>9892.7999999999993</v>
      </c>
      <c r="M5943" s="177">
        <f t="shared" si="675"/>
        <v>14.245631999999997</v>
      </c>
      <c r="N5943" s="177">
        <f t="shared" si="676"/>
        <v>21.138461538461538</v>
      </c>
      <c r="O5943" s="175" t="str">
        <f t="shared" si="677"/>
        <v>Jun</v>
      </c>
      <c r="P5943" s="265">
        <f t="shared" si="678"/>
        <v>23</v>
      </c>
    </row>
    <row r="5944" spans="1:16" ht="15" hidden="1" customHeight="1">
      <c r="A5944" s="489">
        <v>64413476</v>
      </c>
      <c r="B5944" s="489">
        <v>1712</v>
      </c>
      <c r="C5944" s="488">
        <v>10305</v>
      </c>
      <c r="D5944" s="597">
        <v>46202</v>
      </c>
      <c r="E5944" s="489" t="s">
        <v>567</v>
      </c>
      <c r="F5944" s="489" t="s">
        <v>1221</v>
      </c>
      <c r="G5944" s="395">
        <f>VLOOKUP($A5944,'Tech Litons'!$A:$I,8,FALSE)</f>
        <v>1.4399999999999999E-3</v>
      </c>
      <c r="H5944" s="174">
        <f>VLOOKUP($A5944,'Tech Litons'!$A:$I,9,FALSE)</f>
        <v>468</v>
      </c>
      <c r="I5944" s="174" t="str">
        <f>VLOOKUP($A5944,'Tech Litons'!$A:$C,3,0)</f>
        <v>B&amp;J Cups</v>
      </c>
      <c r="J5944" s="175" t="str">
        <f t="shared" ref="J5944:J6007" si="679">B5944&amp;I5944</f>
        <v>1712B&amp;J Cups</v>
      </c>
      <c r="K5944" s="176">
        <f>VLOOKUP(I5944,'Attain %'!A:B,2,0)</f>
        <v>0.96</v>
      </c>
      <c r="L5944" s="177">
        <f t="shared" ref="L5944:L6007" si="680">C5944*$K5944</f>
        <v>9892.7999999999993</v>
      </c>
      <c r="M5944" s="177">
        <f t="shared" ref="M5944:M6007" si="681">L5944*G5944</f>
        <v>14.245631999999997</v>
      </c>
      <c r="N5944" s="177">
        <f t="shared" ref="N5944:N6007" si="682">L5944/H5944</f>
        <v>21.138461538461538</v>
      </c>
      <c r="O5944" s="175" t="str">
        <f t="shared" ref="O5944:O6007" si="683">TEXT(D5944,"MMM")</f>
        <v>Jun</v>
      </c>
      <c r="P5944" s="265">
        <f t="shared" ref="P5944:P6007" si="684">WEEKNUM(D5944)</f>
        <v>27</v>
      </c>
    </row>
    <row r="5945" spans="1:16" ht="15" hidden="1" customHeight="1">
      <c r="A5945" s="489">
        <v>64413476</v>
      </c>
      <c r="B5945" s="489">
        <v>1712</v>
      </c>
      <c r="C5945" s="488">
        <v>10305</v>
      </c>
      <c r="D5945" s="597">
        <v>46216</v>
      </c>
      <c r="E5945" s="489" t="s">
        <v>567</v>
      </c>
      <c r="F5945" s="489" t="s">
        <v>1221</v>
      </c>
      <c r="G5945" s="395">
        <f>VLOOKUP($A5945,'Tech Litons'!$A:$I,8,FALSE)</f>
        <v>1.4399999999999999E-3</v>
      </c>
      <c r="H5945" s="174">
        <f>VLOOKUP($A5945,'Tech Litons'!$A:$I,9,FALSE)</f>
        <v>468</v>
      </c>
      <c r="I5945" s="174" t="str">
        <f>VLOOKUP($A5945,'Tech Litons'!$A:$C,3,0)</f>
        <v>B&amp;J Cups</v>
      </c>
      <c r="J5945" s="175" t="str">
        <f t="shared" si="679"/>
        <v>1712B&amp;J Cups</v>
      </c>
      <c r="K5945" s="176">
        <f>VLOOKUP(I5945,'Attain %'!A:B,2,0)</f>
        <v>0.96</v>
      </c>
      <c r="L5945" s="177">
        <f t="shared" si="680"/>
        <v>9892.7999999999993</v>
      </c>
      <c r="M5945" s="177">
        <f t="shared" si="681"/>
        <v>14.245631999999997</v>
      </c>
      <c r="N5945" s="177">
        <f t="shared" si="682"/>
        <v>21.138461538461538</v>
      </c>
      <c r="O5945" s="175" t="str">
        <f t="shared" si="683"/>
        <v>Jul</v>
      </c>
      <c r="P5945" s="265">
        <f t="shared" si="684"/>
        <v>29</v>
      </c>
    </row>
    <row r="5946" spans="1:16" ht="15" hidden="1" customHeight="1">
      <c r="A5946" s="489">
        <v>64413476</v>
      </c>
      <c r="B5946" s="489">
        <v>1712</v>
      </c>
      <c r="C5946" s="488">
        <v>10305</v>
      </c>
      <c r="D5946" s="597">
        <v>46230</v>
      </c>
      <c r="E5946" s="489" t="s">
        <v>567</v>
      </c>
      <c r="F5946" s="489" t="s">
        <v>1221</v>
      </c>
      <c r="G5946" s="395">
        <f>VLOOKUP($A5946,'Tech Litons'!$A:$I,8,FALSE)</f>
        <v>1.4399999999999999E-3</v>
      </c>
      <c r="H5946" s="174">
        <f>VLOOKUP($A5946,'Tech Litons'!$A:$I,9,FALSE)</f>
        <v>468</v>
      </c>
      <c r="I5946" s="174" t="str">
        <f>VLOOKUP($A5946,'Tech Litons'!$A:$C,3,0)</f>
        <v>B&amp;J Cups</v>
      </c>
      <c r="J5946" s="175" t="str">
        <f t="shared" si="679"/>
        <v>1712B&amp;J Cups</v>
      </c>
      <c r="K5946" s="176">
        <f>VLOOKUP(I5946,'Attain %'!A:B,2,0)</f>
        <v>0.96</v>
      </c>
      <c r="L5946" s="177">
        <f t="shared" si="680"/>
        <v>9892.7999999999993</v>
      </c>
      <c r="M5946" s="177">
        <f t="shared" si="681"/>
        <v>14.245631999999997</v>
      </c>
      <c r="N5946" s="177">
        <f t="shared" si="682"/>
        <v>21.138461538461538</v>
      </c>
      <c r="O5946" s="175" t="str">
        <f t="shared" si="683"/>
        <v>Jul</v>
      </c>
      <c r="P5946" s="265">
        <f t="shared" si="684"/>
        <v>31</v>
      </c>
    </row>
    <row r="5947" spans="1:16" ht="15" hidden="1" customHeight="1">
      <c r="A5947" s="489">
        <v>64413476</v>
      </c>
      <c r="B5947" s="489">
        <v>1712</v>
      </c>
      <c r="C5947" s="488">
        <v>10305</v>
      </c>
      <c r="D5947" s="597">
        <v>46244</v>
      </c>
      <c r="E5947" s="489" t="s">
        <v>567</v>
      </c>
      <c r="F5947" s="489" t="s">
        <v>1221</v>
      </c>
      <c r="G5947" s="395">
        <f>VLOOKUP($A5947,'Tech Litons'!$A:$I,8,FALSE)</f>
        <v>1.4399999999999999E-3</v>
      </c>
      <c r="H5947" s="174">
        <f>VLOOKUP($A5947,'Tech Litons'!$A:$I,9,FALSE)</f>
        <v>468</v>
      </c>
      <c r="I5947" s="174" t="str">
        <f>VLOOKUP($A5947,'Tech Litons'!$A:$C,3,0)</f>
        <v>B&amp;J Cups</v>
      </c>
      <c r="J5947" s="175" t="str">
        <f t="shared" si="679"/>
        <v>1712B&amp;J Cups</v>
      </c>
      <c r="K5947" s="176">
        <f>VLOOKUP(I5947,'Attain %'!A:B,2,0)</f>
        <v>0.96</v>
      </c>
      <c r="L5947" s="177">
        <f t="shared" si="680"/>
        <v>9892.7999999999993</v>
      </c>
      <c r="M5947" s="177">
        <f t="shared" si="681"/>
        <v>14.245631999999997</v>
      </c>
      <c r="N5947" s="177">
        <f t="shared" si="682"/>
        <v>21.138461538461538</v>
      </c>
      <c r="O5947" s="175" t="str">
        <f t="shared" si="683"/>
        <v>Aug</v>
      </c>
      <c r="P5947" s="265">
        <f t="shared" si="684"/>
        <v>33</v>
      </c>
    </row>
    <row r="5948" spans="1:16" ht="15" hidden="1" customHeight="1">
      <c r="A5948" s="489">
        <v>64413476</v>
      </c>
      <c r="B5948" s="489">
        <v>1712</v>
      </c>
      <c r="C5948" s="488">
        <v>10305</v>
      </c>
      <c r="D5948" s="597">
        <v>46258</v>
      </c>
      <c r="E5948" s="489" t="s">
        <v>567</v>
      </c>
      <c r="F5948" s="489" t="s">
        <v>1221</v>
      </c>
      <c r="G5948" s="395">
        <f>VLOOKUP($A5948,'Tech Litons'!$A:$I,8,FALSE)</f>
        <v>1.4399999999999999E-3</v>
      </c>
      <c r="H5948" s="174">
        <f>VLOOKUP($A5948,'Tech Litons'!$A:$I,9,FALSE)</f>
        <v>468</v>
      </c>
      <c r="I5948" s="174" t="str">
        <f>VLOOKUP($A5948,'Tech Litons'!$A:$C,3,0)</f>
        <v>B&amp;J Cups</v>
      </c>
      <c r="J5948" s="175" t="str">
        <f t="shared" si="679"/>
        <v>1712B&amp;J Cups</v>
      </c>
      <c r="K5948" s="176">
        <f>VLOOKUP(I5948,'Attain %'!A:B,2,0)</f>
        <v>0.96</v>
      </c>
      <c r="L5948" s="177">
        <f t="shared" si="680"/>
        <v>9892.7999999999993</v>
      </c>
      <c r="M5948" s="177">
        <f t="shared" si="681"/>
        <v>14.245631999999997</v>
      </c>
      <c r="N5948" s="177">
        <f t="shared" si="682"/>
        <v>21.138461538461538</v>
      </c>
      <c r="O5948" s="175" t="str">
        <f t="shared" si="683"/>
        <v>Aug</v>
      </c>
      <c r="P5948" s="265">
        <f t="shared" si="684"/>
        <v>35</v>
      </c>
    </row>
    <row r="5949" spans="1:16" ht="15" hidden="1" customHeight="1">
      <c r="A5949" s="489">
        <v>64413476</v>
      </c>
      <c r="B5949" s="489">
        <v>1712</v>
      </c>
      <c r="C5949" s="488">
        <v>10305</v>
      </c>
      <c r="D5949" s="597">
        <v>46272</v>
      </c>
      <c r="E5949" s="489" t="s">
        <v>567</v>
      </c>
      <c r="F5949" s="489" t="s">
        <v>1221</v>
      </c>
      <c r="G5949" s="395">
        <f>VLOOKUP($A5949,'Tech Litons'!$A:$I,8,FALSE)</f>
        <v>1.4399999999999999E-3</v>
      </c>
      <c r="H5949" s="174">
        <f>VLOOKUP($A5949,'Tech Litons'!$A:$I,9,FALSE)</f>
        <v>468</v>
      </c>
      <c r="I5949" s="174" t="str">
        <f>VLOOKUP($A5949,'Tech Litons'!$A:$C,3,0)</f>
        <v>B&amp;J Cups</v>
      </c>
      <c r="J5949" s="175" t="str">
        <f t="shared" si="679"/>
        <v>1712B&amp;J Cups</v>
      </c>
      <c r="K5949" s="176">
        <f>VLOOKUP(I5949,'Attain %'!A:B,2,0)</f>
        <v>0.96</v>
      </c>
      <c r="L5949" s="177">
        <f t="shared" si="680"/>
        <v>9892.7999999999993</v>
      </c>
      <c r="M5949" s="177">
        <f t="shared" si="681"/>
        <v>14.245631999999997</v>
      </c>
      <c r="N5949" s="177">
        <f t="shared" si="682"/>
        <v>21.138461538461538</v>
      </c>
      <c r="O5949" s="175" t="str">
        <f t="shared" si="683"/>
        <v>Sep</v>
      </c>
      <c r="P5949" s="265">
        <f t="shared" si="684"/>
        <v>37</v>
      </c>
    </row>
    <row r="5950" spans="1:16" ht="15" hidden="1" customHeight="1">
      <c r="A5950" s="489">
        <v>64413476</v>
      </c>
      <c r="B5950" s="489">
        <v>1712</v>
      </c>
      <c r="C5950" s="488">
        <v>10305</v>
      </c>
      <c r="D5950" s="597">
        <v>46286</v>
      </c>
      <c r="E5950" s="489" t="s">
        <v>567</v>
      </c>
      <c r="F5950" s="489" t="s">
        <v>1221</v>
      </c>
      <c r="G5950" s="395">
        <f>VLOOKUP($A5950,'Tech Litons'!$A:$I,8,FALSE)</f>
        <v>1.4399999999999999E-3</v>
      </c>
      <c r="H5950" s="174">
        <f>VLOOKUP($A5950,'Tech Litons'!$A:$I,9,FALSE)</f>
        <v>468</v>
      </c>
      <c r="I5950" s="174" t="str">
        <f>VLOOKUP($A5950,'Tech Litons'!$A:$C,3,0)</f>
        <v>B&amp;J Cups</v>
      </c>
      <c r="J5950" s="175" t="str">
        <f t="shared" si="679"/>
        <v>1712B&amp;J Cups</v>
      </c>
      <c r="K5950" s="176">
        <f>VLOOKUP(I5950,'Attain %'!A:B,2,0)</f>
        <v>0.96</v>
      </c>
      <c r="L5950" s="177">
        <f t="shared" si="680"/>
        <v>9892.7999999999993</v>
      </c>
      <c r="M5950" s="177">
        <f t="shared" si="681"/>
        <v>14.245631999999997</v>
      </c>
      <c r="N5950" s="177">
        <f t="shared" si="682"/>
        <v>21.138461538461538</v>
      </c>
      <c r="O5950" s="175" t="str">
        <f t="shared" si="683"/>
        <v>Sep</v>
      </c>
      <c r="P5950" s="265">
        <f t="shared" si="684"/>
        <v>39</v>
      </c>
    </row>
    <row r="5951" spans="1:16" ht="15" hidden="1" customHeight="1">
      <c r="A5951" s="489">
        <v>64413476</v>
      </c>
      <c r="B5951" s="489">
        <v>1712</v>
      </c>
      <c r="C5951" s="488">
        <v>10305</v>
      </c>
      <c r="D5951" s="597">
        <v>46300</v>
      </c>
      <c r="E5951" s="489" t="s">
        <v>567</v>
      </c>
      <c r="F5951" s="489" t="s">
        <v>1221</v>
      </c>
      <c r="G5951" s="395">
        <f>VLOOKUP($A5951,'Tech Litons'!$A:$I,8,FALSE)</f>
        <v>1.4399999999999999E-3</v>
      </c>
      <c r="H5951" s="174">
        <f>VLOOKUP($A5951,'Tech Litons'!$A:$I,9,FALSE)</f>
        <v>468</v>
      </c>
      <c r="I5951" s="174" t="str">
        <f>VLOOKUP($A5951,'Tech Litons'!$A:$C,3,0)</f>
        <v>B&amp;J Cups</v>
      </c>
      <c r="J5951" s="175" t="str">
        <f t="shared" si="679"/>
        <v>1712B&amp;J Cups</v>
      </c>
      <c r="K5951" s="176">
        <f>VLOOKUP(I5951,'Attain %'!A:B,2,0)</f>
        <v>0.96</v>
      </c>
      <c r="L5951" s="177">
        <f t="shared" si="680"/>
        <v>9892.7999999999993</v>
      </c>
      <c r="M5951" s="177">
        <f t="shared" si="681"/>
        <v>14.245631999999997</v>
      </c>
      <c r="N5951" s="177">
        <f t="shared" si="682"/>
        <v>21.138461538461538</v>
      </c>
      <c r="O5951" s="175" t="str">
        <f t="shared" si="683"/>
        <v>Oct</v>
      </c>
      <c r="P5951" s="265">
        <f t="shared" si="684"/>
        <v>41</v>
      </c>
    </row>
    <row r="5952" spans="1:16" ht="15" hidden="1" customHeight="1">
      <c r="A5952" s="489">
        <v>64413476</v>
      </c>
      <c r="B5952" s="489">
        <v>1712</v>
      </c>
      <c r="C5952" s="488">
        <v>10305</v>
      </c>
      <c r="D5952" s="597">
        <v>46321</v>
      </c>
      <c r="E5952" s="489" t="s">
        <v>567</v>
      </c>
      <c r="F5952" s="489" t="s">
        <v>1221</v>
      </c>
      <c r="G5952" s="395">
        <f>VLOOKUP($A5952,'Tech Litons'!$A:$I,8,FALSE)</f>
        <v>1.4399999999999999E-3</v>
      </c>
      <c r="H5952" s="174">
        <f>VLOOKUP($A5952,'Tech Litons'!$A:$I,9,FALSE)</f>
        <v>468</v>
      </c>
      <c r="I5952" s="174" t="str">
        <f>VLOOKUP($A5952,'Tech Litons'!$A:$C,3,0)</f>
        <v>B&amp;J Cups</v>
      </c>
      <c r="J5952" s="175" t="str">
        <f t="shared" si="679"/>
        <v>1712B&amp;J Cups</v>
      </c>
      <c r="K5952" s="176">
        <f>VLOOKUP(I5952,'Attain %'!A:B,2,0)</f>
        <v>0.96</v>
      </c>
      <c r="L5952" s="177">
        <f t="shared" si="680"/>
        <v>9892.7999999999993</v>
      </c>
      <c r="M5952" s="177">
        <f t="shared" si="681"/>
        <v>14.245631999999997</v>
      </c>
      <c r="N5952" s="177">
        <f t="shared" si="682"/>
        <v>21.138461538461538</v>
      </c>
      <c r="O5952" s="175" t="str">
        <f t="shared" si="683"/>
        <v>Oct</v>
      </c>
      <c r="P5952" s="265">
        <f t="shared" si="684"/>
        <v>44</v>
      </c>
    </row>
    <row r="5953" spans="1:16" ht="15" hidden="1" customHeight="1">
      <c r="A5953" s="489">
        <v>64413476</v>
      </c>
      <c r="B5953" s="489">
        <v>1712</v>
      </c>
      <c r="C5953" s="488">
        <v>10305</v>
      </c>
      <c r="D5953" s="597">
        <v>46342</v>
      </c>
      <c r="E5953" s="489" t="s">
        <v>567</v>
      </c>
      <c r="F5953" s="489" t="s">
        <v>1221</v>
      </c>
      <c r="G5953" s="395">
        <f>VLOOKUP($A5953,'Tech Litons'!$A:$I,8,FALSE)</f>
        <v>1.4399999999999999E-3</v>
      </c>
      <c r="H5953" s="174">
        <f>VLOOKUP($A5953,'Tech Litons'!$A:$I,9,FALSE)</f>
        <v>468</v>
      </c>
      <c r="I5953" s="174" t="str">
        <f>VLOOKUP($A5953,'Tech Litons'!$A:$C,3,0)</f>
        <v>B&amp;J Cups</v>
      </c>
      <c r="J5953" s="175" t="str">
        <f t="shared" si="679"/>
        <v>1712B&amp;J Cups</v>
      </c>
      <c r="K5953" s="176">
        <f>VLOOKUP(I5953,'Attain %'!A:B,2,0)</f>
        <v>0.96</v>
      </c>
      <c r="L5953" s="177">
        <f t="shared" si="680"/>
        <v>9892.7999999999993</v>
      </c>
      <c r="M5953" s="177">
        <f t="shared" si="681"/>
        <v>14.245631999999997</v>
      </c>
      <c r="N5953" s="177">
        <f t="shared" si="682"/>
        <v>21.138461538461538</v>
      </c>
      <c r="O5953" s="175" t="str">
        <f t="shared" si="683"/>
        <v>Nov</v>
      </c>
      <c r="P5953" s="265">
        <f t="shared" si="684"/>
        <v>47</v>
      </c>
    </row>
    <row r="5954" spans="1:16" ht="15" hidden="1" customHeight="1">
      <c r="A5954" s="489">
        <v>64413476</v>
      </c>
      <c r="B5954" s="489">
        <v>1712</v>
      </c>
      <c r="C5954" s="488">
        <v>10305</v>
      </c>
      <c r="D5954" s="597">
        <v>46356</v>
      </c>
      <c r="E5954" s="489" t="s">
        <v>567</v>
      </c>
      <c r="F5954" s="489" t="s">
        <v>1221</v>
      </c>
      <c r="G5954" s="395">
        <f>VLOOKUP($A5954,'Tech Litons'!$A:$I,8,FALSE)</f>
        <v>1.4399999999999999E-3</v>
      </c>
      <c r="H5954" s="174">
        <f>VLOOKUP($A5954,'Tech Litons'!$A:$I,9,FALSE)</f>
        <v>468</v>
      </c>
      <c r="I5954" s="174" t="str">
        <f>VLOOKUP($A5954,'Tech Litons'!$A:$C,3,0)</f>
        <v>B&amp;J Cups</v>
      </c>
      <c r="J5954" s="175" t="str">
        <f t="shared" si="679"/>
        <v>1712B&amp;J Cups</v>
      </c>
      <c r="K5954" s="176">
        <f>VLOOKUP(I5954,'Attain %'!A:B,2,0)</f>
        <v>0.96</v>
      </c>
      <c r="L5954" s="177">
        <f t="shared" si="680"/>
        <v>9892.7999999999993</v>
      </c>
      <c r="M5954" s="177">
        <f t="shared" si="681"/>
        <v>14.245631999999997</v>
      </c>
      <c r="N5954" s="177">
        <f t="shared" si="682"/>
        <v>21.138461538461538</v>
      </c>
      <c r="O5954" s="175" t="str">
        <f t="shared" si="683"/>
        <v>Nov</v>
      </c>
      <c r="P5954" s="265">
        <f t="shared" si="684"/>
        <v>49</v>
      </c>
    </row>
    <row r="5955" spans="1:16" ht="15" hidden="1" customHeight="1">
      <c r="A5955" s="489">
        <v>64413476</v>
      </c>
      <c r="B5955" s="489">
        <v>1712</v>
      </c>
      <c r="C5955" s="488">
        <v>10305</v>
      </c>
      <c r="D5955" s="597">
        <v>46377</v>
      </c>
      <c r="E5955" s="489" t="s">
        <v>567</v>
      </c>
      <c r="F5955" s="489" t="s">
        <v>1221</v>
      </c>
      <c r="G5955" s="395">
        <f>VLOOKUP($A5955,'Tech Litons'!$A:$I,8,FALSE)</f>
        <v>1.4399999999999999E-3</v>
      </c>
      <c r="H5955" s="174">
        <f>VLOOKUP($A5955,'Tech Litons'!$A:$I,9,FALSE)</f>
        <v>468</v>
      </c>
      <c r="I5955" s="174" t="str">
        <f>VLOOKUP($A5955,'Tech Litons'!$A:$C,3,0)</f>
        <v>B&amp;J Cups</v>
      </c>
      <c r="J5955" s="175" t="str">
        <f t="shared" si="679"/>
        <v>1712B&amp;J Cups</v>
      </c>
      <c r="K5955" s="176">
        <f>VLOOKUP(I5955,'Attain %'!A:B,2,0)</f>
        <v>0.96</v>
      </c>
      <c r="L5955" s="177">
        <f t="shared" si="680"/>
        <v>9892.7999999999993</v>
      </c>
      <c r="M5955" s="177">
        <f t="shared" si="681"/>
        <v>14.245631999999997</v>
      </c>
      <c r="N5955" s="177">
        <f t="shared" si="682"/>
        <v>21.138461538461538</v>
      </c>
      <c r="O5955" s="175" t="str">
        <f t="shared" si="683"/>
        <v>Dec</v>
      </c>
      <c r="P5955" s="265">
        <f t="shared" si="684"/>
        <v>52</v>
      </c>
    </row>
    <row r="5956" spans="1:16" ht="15" hidden="1" customHeight="1">
      <c r="A5956" s="489">
        <v>64413477</v>
      </c>
      <c r="B5956" s="489">
        <v>1712</v>
      </c>
      <c r="C5956" s="488">
        <v>10305</v>
      </c>
      <c r="D5956" s="597">
        <v>46111</v>
      </c>
      <c r="E5956" s="489" t="s">
        <v>568</v>
      </c>
      <c r="F5956" s="489" t="s">
        <v>1221</v>
      </c>
      <c r="G5956" s="395">
        <f>VLOOKUP($A5956,'Tech Litons'!$A:$I,8,FALSE)</f>
        <v>1.4159999999999999E-3</v>
      </c>
      <c r="H5956" s="174">
        <f>VLOOKUP($A5956,'Tech Litons'!$A:$I,9,FALSE)</f>
        <v>468</v>
      </c>
      <c r="I5956" s="174" t="str">
        <f>VLOOKUP($A5956,'Tech Litons'!$A:$C,3,0)</f>
        <v>B&amp;J Cups</v>
      </c>
      <c r="J5956" s="175" t="str">
        <f t="shared" si="679"/>
        <v>1712B&amp;J Cups</v>
      </c>
      <c r="K5956" s="176">
        <f>VLOOKUP(I5956,'Attain %'!A:B,2,0)</f>
        <v>0.96</v>
      </c>
      <c r="L5956" s="177">
        <f t="shared" si="680"/>
        <v>9892.7999999999993</v>
      </c>
      <c r="M5956" s="177">
        <f t="shared" si="681"/>
        <v>14.008204799999998</v>
      </c>
      <c r="N5956" s="177">
        <f t="shared" si="682"/>
        <v>21.138461538461538</v>
      </c>
      <c r="O5956" s="175" t="str">
        <f t="shared" si="683"/>
        <v>Mar</v>
      </c>
      <c r="P5956" s="265">
        <f t="shared" si="684"/>
        <v>14</v>
      </c>
    </row>
    <row r="5957" spans="1:16" ht="15" hidden="1" customHeight="1">
      <c r="A5957" s="489">
        <v>64413477</v>
      </c>
      <c r="B5957" s="489">
        <v>1712</v>
      </c>
      <c r="C5957" s="488">
        <v>10305</v>
      </c>
      <c r="D5957" s="597">
        <v>46139</v>
      </c>
      <c r="E5957" s="489" t="s">
        <v>568</v>
      </c>
      <c r="F5957" s="489" t="s">
        <v>1221</v>
      </c>
      <c r="G5957" s="395">
        <f>VLOOKUP($A5957,'Tech Litons'!$A:$I,8,FALSE)</f>
        <v>1.4159999999999999E-3</v>
      </c>
      <c r="H5957" s="174">
        <f>VLOOKUP($A5957,'Tech Litons'!$A:$I,9,FALSE)</f>
        <v>468</v>
      </c>
      <c r="I5957" s="174" t="str">
        <f>VLOOKUP($A5957,'Tech Litons'!$A:$C,3,0)</f>
        <v>B&amp;J Cups</v>
      </c>
      <c r="J5957" s="175" t="str">
        <f t="shared" si="679"/>
        <v>1712B&amp;J Cups</v>
      </c>
      <c r="K5957" s="176">
        <f>VLOOKUP(I5957,'Attain %'!A:B,2,0)</f>
        <v>0.96</v>
      </c>
      <c r="L5957" s="177">
        <f t="shared" si="680"/>
        <v>9892.7999999999993</v>
      </c>
      <c r="M5957" s="177">
        <f t="shared" si="681"/>
        <v>14.008204799999998</v>
      </c>
      <c r="N5957" s="177">
        <f t="shared" si="682"/>
        <v>21.138461538461538</v>
      </c>
      <c r="O5957" s="175" t="str">
        <f t="shared" si="683"/>
        <v>Apr</v>
      </c>
      <c r="P5957" s="265">
        <f t="shared" si="684"/>
        <v>18</v>
      </c>
    </row>
    <row r="5958" spans="1:16" ht="15" hidden="1" customHeight="1">
      <c r="A5958" s="489">
        <v>64413477</v>
      </c>
      <c r="B5958" s="489">
        <v>1712</v>
      </c>
      <c r="C5958" s="488">
        <v>10305</v>
      </c>
      <c r="D5958" s="597">
        <v>46342</v>
      </c>
      <c r="E5958" s="489" t="s">
        <v>568</v>
      </c>
      <c r="F5958" s="489" t="s">
        <v>1221</v>
      </c>
      <c r="G5958" s="395">
        <f>VLOOKUP($A5958,'Tech Litons'!$A:$I,8,FALSE)</f>
        <v>1.4159999999999999E-3</v>
      </c>
      <c r="H5958" s="174">
        <f>VLOOKUP($A5958,'Tech Litons'!$A:$I,9,FALSE)</f>
        <v>468</v>
      </c>
      <c r="I5958" s="174" t="str">
        <f>VLOOKUP($A5958,'Tech Litons'!$A:$C,3,0)</f>
        <v>B&amp;J Cups</v>
      </c>
      <c r="J5958" s="175" t="str">
        <f t="shared" si="679"/>
        <v>1712B&amp;J Cups</v>
      </c>
      <c r="K5958" s="176">
        <f>VLOOKUP(I5958,'Attain %'!A:B,2,0)</f>
        <v>0.96</v>
      </c>
      <c r="L5958" s="177">
        <f t="shared" si="680"/>
        <v>9892.7999999999993</v>
      </c>
      <c r="M5958" s="177">
        <f t="shared" si="681"/>
        <v>14.008204799999998</v>
      </c>
      <c r="N5958" s="177">
        <f t="shared" si="682"/>
        <v>21.138461538461538</v>
      </c>
      <c r="O5958" s="175" t="str">
        <f t="shared" si="683"/>
        <v>Nov</v>
      </c>
      <c r="P5958" s="265">
        <f t="shared" si="684"/>
        <v>47</v>
      </c>
    </row>
    <row r="5959" spans="1:16" ht="15" hidden="1" customHeight="1">
      <c r="A5959" s="489">
        <v>64413477</v>
      </c>
      <c r="B5959" s="489">
        <v>1712</v>
      </c>
      <c r="C5959" s="488">
        <v>10305</v>
      </c>
      <c r="D5959" s="597">
        <v>46356</v>
      </c>
      <c r="E5959" s="489" t="s">
        <v>568</v>
      </c>
      <c r="F5959" s="489" t="s">
        <v>1221</v>
      </c>
      <c r="G5959" s="395">
        <f>VLOOKUP($A5959,'Tech Litons'!$A:$I,8,FALSE)</f>
        <v>1.4159999999999999E-3</v>
      </c>
      <c r="H5959" s="174">
        <f>VLOOKUP($A5959,'Tech Litons'!$A:$I,9,FALSE)</f>
        <v>468</v>
      </c>
      <c r="I5959" s="174" t="str">
        <f>VLOOKUP($A5959,'Tech Litons'!$A:$C,3,0)</f>
        <v>B&amp;J Cups</v>
      </c>
      <c r="J5959" s="175" t="str">
        <f t="shared" si="679"/>
        <v>1712B&amp;J Cups</v>
      </c>
      <c r="K5959" s="176">
        <f>VLOOKUP(I5959,'Attain %'!A:B,2,0)</f>
        <v>0.96</v>
      </c>
      <c r="L5959" s="177">
        <f t="shared" si="680"/>
        <v>9892.7999999999993</v>
      </c>
      <c r="M5959" s="177">
        <f t="shared" si="681"/>
        <v>14.008204799999998</v>
      </c>
      <c r="N5959" s="177">
        <f t="shared" si="682"/>
        <v>21.138461538461538</v>
      </c>
      <c r="O5959" s="175" t="str">
        <f t="shared" si="683"/>
        <v>Nov</v>
      </c>
      <c r="P5959" s="265">
        <f t="shared" si="684"/>
        <v>49</v>
      </c>
    </row>
    <row r="5960" spans="1:16" ht="15" hidden="1" customHeight="1">
      <c r="A5960" s="489">
        <v>64413478</v>
      </c>
      <c r="B5960" s="489">
        <v>1712</v>
      </c>
      <c r="C5960" s="488">
        <v>10305</v>
      </c>
      <c r="D5960" s="597">
        <v>46216</v>
      </c>
      <c r="E5960" s="489" t="s">
        <v>569</v>
      </c>
      <c r="F5960" s="489" t="s">
        <v>1221</v>
      </c>
      <c r="G5960" s="395">
        <f>VLOOKUP($A5960,'Tech Litons'!$A:$I,8,FALSE)</f>
        <v>1.4159999999999999E-3</v>
      </c>
      <c r="H5960" s="174">
        <f>VLOOKUP($A5960,'Tech Litons'!$A:$I,9,FALSE)</f>
        <v>468</v>
      </c>
      <c r="I5960" s="174" t="str">
        <f>VLOOKUP($A5960,'Tech Litons'!$A:$C,3,0)</f>
        <v>B&amp;J Cups</v>
      </c>
      <c r="J5960" s="175" t="str">
        <f t="shared" si="679"/>
        <v>1712B&amp;J Cups</v>
      </c>
      <c r="K5960" s="176">
        <f>VLOOKUP(I5960,'Attain %'!A:B,2,0)</f>
        <v>0.96</v>
      </c>
      <c r="L5960" s="177">
        <f t="shared" si="680"/>
        <v>9892.7999999999993</v>
      </c>
      <c r="M5960" s="177">
        <f t="shared" si="681"/>
        <v>14.008204799999998</v>
      </c>
      <c r="N5960" s="177">
        <f t="shared" si="682"/>
        <v>21.138461538461538</v>
      </c>
      <c r="O5960" s="175" t="str">
        <f t="shared" si="683"/>
        <v>Jul</v>
      </c>
      <c r="P5960" s="265">
        <f t="shared" si="684"/>
        <v>29</v>
      </c>
    </row>
    <row r="5961" spans="1:16" ht="15" hidden="1" customHeight="1">
      <c r="A5961" s="489">
        <v>64413478</v>
      </c>
      <c r="B5961" s="489">
        <v>1712</v>
      </c>
      <c r="C5961" s="488">
        <v>10305</v>
      </c>
      <c r="D5961" s="597">
        <v>46223</v>
      </c>
      <c r="E5961" s="489" t="s">
        <v>569</v>
      </c>
      <c r="F5961" s="489" t="s">
        <v>1221</v>
      </c>
      <c r="G5961" s="395">
        <f>VLOOKUP($A5961,'Tech Litons'!$A:$I,8,FALSE)</f>
        <v>1.4159999999999999E-3</v>
      </c>
      <c r="H5961" s="174">
        <f>VLOOKUP($A5961,'Tech Litons'!$A:$I,9,FALSE)</f>
        <v>468</v>
      </c>
      <c r="I5961" s="174" t="str">
        <f>VLOOKUP($A5961,'Tech Litons'!$A:$C,3,0)</f>
        <v>B&amp;J Cups</v>
      </c>
      <c r="J5961" s="175" t="str">
        <f t="shared" si="679"/>
        <v>1712B&amp;J Cups</v>
      </c>
      <c r="K5961" s="176">
        <f>VLOOKUP(I5961,'Attain %'!A:B,2,0)</f>
        <v>0.96</v>
      </c>
      <c r="L5961" s="177">
        <f t="shared" si="680"/>
        <v>9892.7999999999993</v>
      </c>
      <c r="M5961" s="177">
        <f t="shared" si="681"/>
        <v>14.008204799999998</v>
      </c>
      <c r="N5961" s="177">
        <f t="shared" si="682"/>
        <v>21.138461538461538</v>
      </c>
      <c r="O5961" s="175" t="str">
        <f t="shared" si="683"/>
        <v>Jul</v>
      </c>
      <c r="P5961" s="265">
        <f t="shared" si="684"/>
        <v>30</v>
      </c>
    </row>
    <row r="5962" spans="1:16" ht="15" hidden="1" customHeight="1">
      <c r="A5962" s="489">
        <v>64413478</v>
      </c>
      <c r="B5962" s="489">
        <v>1712</v>
      </c>
      <c r="C5962" s="488">
        <v>10305</v>
      </c>
      <c r="D5962" s="597">
        <v>46244</v>
      </c>
      <c r="E5962" s="489" t="s">
        <v>569</v>
      </c>
      <c r="F5962" s="489" t="s">
        <v>1221</v>
      </c>
      <c r="G5962" s="395">
        <f>VLOOKUP($A5962,'Tech Litons'!$A:$I,8,FALSE)</f>
        <v>1.4159999999999999E-3</v>
      </c>
      <c r="H5962" s="174">
        <f>VLOOKUP($A5962,'Tech Litons'!$A:$I,9,FALSE)</f>
        <v>468</v>
      </c>
      <c r="I5962" s="174" t="str">
        <f>VLOOKUP($A5962,'Tech Litons'!$A:$C,3,0)</f>
        <v>B&amp;J Cups</v>
      </c>
      <c r="J5962" s="175" t="str">
        <f t="shared" si="679"/>
        <v>1712B&amp;J Cups</v>
      </c>
      <c r="K5962" s="176">
        <f>VLOOKUP(I5962,'Attain %'!A:B,2,0)</f>
        <v>0.96</v>
      </c>
      <c r="L5962" s="177">
        <f t="shared" si="680"/>
        <v>9892.7999999999993</v>
      </c>
      <c r="M5962" s="177">
        <f t="shared" si="681"/>
        <v>14.008204799999998</v>
      </c>
      <c r="N5962" s="177">
        <f t="shared" si="682"/>
        <v>21.138461538461538</v>
      </c>
      <c r="O5962" s="175" t="str">
        <f t="shared" si="683"/>
        <v>Aug</v>
      </c>
      <c r="P5962" s="265">
        <f t="shared" si="684"/>
        <v>33</v>
      </c>
    </row>
    <row r="5963" spans="1:16" ht="15" hidden="1" customHeight="1">
      <c r="A5963" s="489">
        <v>64413478</v>
      </c>
      <c r="B5963" s="489">
        <v>1712</v>
      </c>
      <c r="C5963" s="488">
        <v>10305</v>
      </c>
      <c r="D5963" s="597">
        <v>46251</v>
      </c>
      <c r="E5963" s="489" t="s">
        <v>569</v>
      </c>
      <c r="F5963" s="489" t="s">
        <v>1221</v>
      </c>
      <c r="G5963" s="395">
        <f>VLOOKUP($A5963,'Tech Litons'!$A:$I,8,FALSE)</f>
        <v>1.4159999999999999E-3</v>
      </c>
      <c r="H5963" s="174">
        <f>VLOOKUP($A5963,'Tech Litons'!$A:$I,9,FALSE)</f>
        <v>468</v>
      </c>
      <c r="I5963" s="174" t="str">
        <f>VLOOKUP($A5963,'Tech Litons'!$A:$C,3,0)</f>
        <v>B&amp;J Cups</v>
      </c>
      <c r="J5963" s="175" t="str">
        <f t="shared" si="679"/>
        <v>1712B&amp;J Cups</v>
      </c>
      <c r="K5963" s="176">
        <f>VLOOKUP(I5963,'Attain %'!A:B,2,0)</f>
        <v>0.96</v>
      </c>
      <c r="L5963" s="177">
        <f t="shared" si="680"/>
        <v>9892.7999999999993</v>
      </c>
      <c r="M5963" s="177">
        <f t="shared" si="681"/>
        <v>14.008204799999998</v>
      </c>
      <c r="N5963" s="177">
        <f t="shared" si="682"/>
        <v>21.138461538461538</v>
      </c>
      <c r="O5963" s="175" t="str">
        <f t="shared" si="683"/>
        <v>Aug</v>
      </c>
      <c r="P5963" s="265">
        <f t="shared" si="684"/>
        <v>34</v>
      </c>
    </row>
    <row r="5964" spans="1:16" ht="15" hidden="1" customHeight="1">
      <c r="A5964" s="489">
        <v>64413478</v>
      </c>
      <c r="B5964" s="489">
        <v>1712</v>
      </c>
      <c r="C5964" s="488">
        <v>10305</v>
      </c>
      <c r="D5964" s="597">
        <v>46265</v>
      </c>
      <c r="E5964" s="489" t="s">
        <v>569</v>
      </c>
      <c r="F5964" s="489" t="s">
        <v>1221</v>
      </c>
      <c r="G5964" s="395">
        <f>VLOOKUP($A5964,'Tech Litons'!$A:$I,8,FALSE)</f>
        <v>1.4159999999999999E-3</v>
      </c>
      <c r="H5964" s="174">
        <f>VLOOKUP($A5964,'Tech Litons'!$A:$I,9,FALSE)</f>
        <v>468</v>
      </c>
      <c r="I5964" s="174" t="str">
        <f>VLOOKUP($A5964,'Tech Litons'!$A:$C,3,0)</f>
        <v>B&amp;J Cups</v>
      </c>
      <c r="J5964" s="175" t="str">
        <f t="shared" si="679"/>
        <v>1712B&amp;J Cups</v>
      </c>
      <c r="K5964" s="176">
        <f>VLOOKUP(I5964,'Attain %'!A:B,2,0)</f>
        <v>0.96</v>
      </c>
      <c r="L5964" s="177">
        <f t="shared" si="680"/>
        <v>9892.7999999999993</v>
      </c>
      <c r="M5964" s="177">
        <f t="shared" si="681"/>
        <v>14.008204799999998</v>
      </c>
      <c r="N5964" s="177">
        <f t="shared" si="682"/>
        <v>21.138461538461538</v>
      </c>
      <c r="O5964" s="175" t="str">
        <f t="shared" si="683"/>
        <v>Aug</v>
      </c>
      <c r="P5964" s="265">
        <f t="shared" si="684"/>
        <v>36</v>
      </c>
    </row>
    <row r="5965" spans="1:16" ht="15" hidden="1" customHeight="1">
      <c r="A5965" s="489">
        <v>64413478</v>
      </c>
      <c r="B5965" s="489">
        <v>1712</v>
      </c>
      <c r="C5965" s="488">
        <v>10305</v>
      </c>
      <c r="D5965" s="597">
        <v>46272</v>
      </c>
      <c r="E5965" s="489" t="s">
        <v>569</v>
      </c>
      <c r="F5965" s="489" t="s">
        <v>1221</v>
      </c>
      <c r="G5965" s="395">
        <f>VLOOKUP($A5965,'Tech Litons'!$A:$I,8,FALSE)</f>
        <v>1.4159999999999999E-3</v>
      </c>
      <c r="H5965" s="174">
        <f>VLOOKUP($A5965,'Tech Litons'!$A:$I,9,FALSE)</f>
        <v>468</v>
      </c>
      <c r="I5965" s="174" t="str">
        <f>VLOOKUP($A5965,'Tech Litons'!$A:$C,3,0)</f>
        <v>B&amp;J Cups</v>
      </c>
      <c r="J5965" s="175" t="str">
        <f t="shared" si="679"/>
        <v>1712B&amp;J Cups</v>
      </c>
      <c r="K5965" s="176">
        <f>VLOOKUP(I5965,'Attain %'!A:B,2,0)</f>
        <v>0.96</v>
      </c>
      <c r="L5965" s="177">
        <f t="shared" si="680"/>
        <v>9892.7999999999993</v>
      </c>
      <c r="M5965" s="177">
        <f t="shared" si="681"/>
        <v>14.008204799999998</v>
      </c>
      <c r="N5965" s="177">
        <f t="shared" si="682"/>
        <v>21.138461538461538</v>
      </c>
      <c r="O5965" s="175" t="str">
        <f t="shared" si="683"/>
        <v>Sep</v>
      </c>
      <c r="P5965" s="265">
        <f t="shared" si="684"/>
        <v>37</v>
      </c>
    </row>
    <row r="5966" spans="1:16" ht="15" hidden="1" customHeight="1">
      <c r="A5966" s="489">
        <v>64413478</v>
      </c>
      <c r="B5966" s="489">
        <v>1712</v>
      </c>
      <c r="C5966" s="488">
        <v>10305</v>
      </c>
      <c r="D5966" s="597">
        <v>46307</v>
      </c>
      <c r="E5966" s="489" t="s">
        <v>569</v>
      </c>
      <c r="F5966" s="489" t="s">
        <v>1221</v>
      </c>
      <c r="G5966" s="395">
        <f>VLOOKUP($A5966,'Tech Litons'!$A:$I,8,FALSE)</f>
        <v>1.4159999999999999E-3</v>
      </c>
      <c r="H5966" s="174">
        <f>VLOOKUP($A5966,'Tech Litons'!$A:$I,9,FALSE)</f>
        <v>468</v>
      </c>
      <c r="I5966" s="174" t="str">
        <f>VLOOKUP($A5966,'Tech Litons'!$A:$C,3,0)</f>
        <v>B&amp;J Cups</v>
      </c>
      <c r="J5966" s="175" t="str">
        <f t="shared" si="679"/>
        <v>1712B&amp;J Cups</v>
      </c>
      <c r="K5966" s="176">
        <f>VLOOKUP(I5966,'Attain %'!A:B,2,0)</f>
        <v>0.96</v>
      </c>
      <c r="L5966" s="177">
        <f t="shared" si="680"/>
        <v>9892.7999999999993</v>
      </c>
      <c r="M5966" s="177">
        <f t="shared" si="681"/>
        <v>14.008204799999998</v>
      </c>
      <c r="N5966" s="177">
        <f t="shared" si="682"/>
        <v>21.138461538461538</v>
      </c>
      <c r="O5966" s="175" t="str">
        <f t="shared" si="683"/>
        <v>Oct</v>
      </c>
      <c r="P5966" s="265">
        <f t="shared" si="684"/>
        <v>42</v>
      </c>
    </row>
    <row r="5967" spans="1:16" ht="15" hidden="1" customHeight="1">
      <c r="A5967" s="489">
        <v>64413478</v>
      </c>
      <c r="B5967" s="489">
        <v>1712</v>
      </c>
      <c r="C5967" s="488">
        <v>10305</v>
      </c>
      <c r="D5967" s="597">
        <v>46321</v>
      </c>
      <c r="E5967" s="489" t="s">
        <v>569</v>
      </c>
      <c r="F5967" s="489" t="s">
        <v>1221</v>
      </c>
      <c r="G5967" s="395">
        <f>VLOOKUP($A5967,'Tech Litons'!$A:$I,8,FALSE)</f>
        <v>1.4159999999999999E-3</v>
      </c>
      <c r="H5967" s="174">
        <f>VLOOKUP($A5967,'Tech Litons'!$A:$I,9,FALSE)</f>
        <v>468</v>
      </c>
      <c r="I5967" s="174" t="str">
        <f>VLOOKUP($A5967,'Tech Litons'!$A:$C,3,0)</f>
        <v>B&amp;J Cups</v>
      </c>
      <c r="J5967" s="175" t="str">
        <f t="shared" si="679"/>
        <v>1712B&amp;J Cups</v>
      </c>
      <c r="K5967" s="176">
        <f>VLOOKUP(I5967,'Attain %'!A:B,2,0)</f>
        <v>0.96</v>
      </c>
      <c r="L5967" s="177">
        <f t="shared" si="680"/>
        <v>9892.7999999999993</v>
      </c>
      <c r="M5967" s="177">
        <f t="shared" si="681"/>
        <v>14.008204799999998</v>
      </c>
      <c r="N5967" s="177">
        <f t="shared" si="682"/>
        <v>21.138461538461538</v>
      </c>
      <c r="O5967" s="175" t="str">
        <f t="shared" si="683"/>
        <v>Oct</v>
      </c>
      <c r="P5967" s="265">
        <f t="shared" si="684"/>
        <v>44</v>
      </c>
    </row>
    <row r="5968" spans="1:16" ht="15" hidden="1" customHeight="1">
      <c r="A5968" s="489">
        <v>64413478</v>
      </c>
      <c r="B5968" s="489">
        <v>1712</v>
      </c>
      <c r="C5968" s="488">
        <v>10305</v>
      </c>
      <c r="D5968" s="597">
        <v>46328</v>
      </c>
      <c r="E5968" s="489" t="s">
        <v>569</v>
      </c>
      <c r="F5968" s="489" t="s">
        <v>1221</v>
      </c>
      <c r="G5968" s="395">
        <f>VLOOKUP($A5968,'Tech Litons'!$A:$I,8,FALSE)</f>
        <v>1.4159999999999999E-3</v>
      </c>
      <c r="H5968" s="174">
        <f>VLOOKUP($A5968,'Tech Litons'!$A:$I,9,FALSE)</f>
        <v>468</v>
      </c>
      <c r="I5968" s="174" t="str">
        <f>VLOOKUP($A5968,'Tech Litons'!$A:$C,3,0)</f>
        <v>B&amp;J Cups</v>
      </c>
      <c r="J5968" s="175" t="str">
        <f t="shared" si="679"/>
        <v>1712B&amp;J Cups</v>
      </c>
      <c r="K5968" s="176">
        <f>VLOOKUP(I5968,'Attain %'!A:B,2,0)</f>
        <v>0.96</v>
      </c>
      <c r="L5968" s="177">
        <f t="shared" si="680"/>
        <v>9892.7999999999993</v>
      </c>
      <c r="M5968" s="177">
        <f t="shared" si="681"/>
        <v>14.008204799999998</v>
      </c>
      <c r="N5968" s="177">
        <f t="shared" si="682"/>
        <v>21.138461538461538</v>
      </c>
      <c r="O5968" s="175" t="str">
        <f t="shared" si="683"/>
        <v>Nov</v>
      </c>
      <c r="P5968" s="265">
        <f t="shared" si="684"/>
        <v>45</v>
      </c>
    </row>
    <row r="5969" spans="1:16" ht="15" hidden="1" customHeight="1">
      <c r="A5969" s="489">
        <v>64413478</v>
      </c>
      <c r="B5969" s="489">
        <v>1712</v>
      </c>
      <c r="C5969" s="488">
        <v>10305</v>
      </c>
      <c r="D5969" s="597">
        <v>46349</v>
      </c>
      <c r="E5969" s="489" t="s">
        <v>569</v>
      </c>
      <c r="F5969" s="489" t="s">
        <v>1221</v>
      </c>
      <c r="G5969" s="395">
        <f>VLOOKUP($A5969,'Tech Litons'!$A:$I,8,FALSE)</f>
        <v>1.4159999999999999E-3</v>
      </c>
      <c r="H5969" s="174">
        <f>VLOOKUP($A5969,'Tech Litons'!$A:$I,9,FALSE)</f>
        <v>468</v>
      </c>
      <c r="I5969" s="174" t="str">
        <f>VLOOKUP($A5969,'Tech Litons'!$A:$C,3,0)</f>
        <v>B&amp;J Cups</v>
      </c>
      <c r="J5969" s="175" t="str">
        <f t="shared" si="679"/>
        <v>1712B&amp;J Cups</v>
      </c>
      <c r="K5969" s="176">
        <f>VLOOKUP(I5969,'Attain %'!A:B,2,0)</f>
        <v>0.96</v>
      </c>
      <c r="L5969" s="177">
        <f t="shared" si="680"/>
        <v>9892.7999999999993</v>
      </c>
      <c r="M5969" s="177">
        <f t="shared" si="681"/>
        <v>14.008204799999998</v>
      </c>
      <c r="N5969" s="177">
        <f t="shared" si="682"/>
        <v>21.138461538461538</v>
      </c>
      <c r="O5969" s="175" t="str">
        <f t="shared" si="683"/>
        <v>Nov</v>
      </c>
      <c r="P5969" s="265">
        <f t="shared" si="684"/>
        <v>48</v>
      </c>
    </row>
    <row r="5970" spans="1:16" ht="15" hidden="1" customHeight="1">
      <c r="A5970" s="489">
        <v>64413478</v>
      </c>
      <c r="B5970" s="489">
        <v>1712</v>
      </c>
      <c r="C5970" s="488">
        <v>10305</v>
      </c>
      <c r="D5970" s="597">
        <v>46356</v>
      </c>
      <c r="E5970" s="489" t="s">
        <v>569</v>
      </c>
      <c r="F5970" s="489" t="s">
        <v>1221</v>
      </c>
      <c r="G5970" s="395">
        <f>VLOOKUP($A5970,'Tech Litons'!$A:$I,8,FALSE)</f>
        <v>1.4159999999999999E-3</v>
      </c>
      <c r="H5970" s="174">
        <f>VLOOKUP($A5970,'Tech Litons'!$A:$I,9,FALSE)</f>
        <v>468</v>
      </c>
      <c r="I5970" s="174" t="str">
        <f>VLOOKUP($A5970,'Tech Litons'!$A:$C,3,0)</f>
        <v>B&amp;J Cups</v>
      </c>
      <c r="J5970" s="175" t="str">
        <f t="shared" si="679"/>
        <v>1712B&amp;J Cups</v>
      </c>
      <c r="K5970" s="176">
        <f>VLOOKUP(I5970,'Attain %'!A:B,2,0)</f>
        <v>0.96</v>
      </c>
      <c r="L5970" s="177">
        <f t="shared" si="680"/>
        <v>9892.7999999999993</v>
      </c>
      <c r="M5970" s="177">
        <f t="shared" si="681"/>
        <v>14.008204799999998</v>
      </c>
      <c r="N5970" s="177">
        <f t="shared" si="682"/>
        <v>21.138461538461538</v>
      </c>
      <c r="O5970" s="175" t="str">
        <f t="shared" si="683"/>
        <v>Nov</v>
      </c>
      <c r="P5970" s="265">
        <f t="shared" si="684"/>
        <v>49</v>
      </c>
    </row>
    <row r="5971" spans="1:16" ht="15" hidden="1" customHeight="1">
      <c r="A5971" s="489">
        <v>64960643</v>
      </c>
      <c r="B5971" s="489" t="s">
        <v>133</v>
      </c>
      <c r="C5971" s="488">
        <v>10336</v>
      </c>
      <c r="D5971" s="597">
        <v>46160</v>
      </c>
      <c r="E5971" s="489" t="s">
        <v>1289</v>
      </c>
      <c r="F5971" s="489" t="s">
        <v>1223</v>
      </c>
      <c r="G5971" s="395">
        <f>VLOOKUP($A5971,'Tech Litons'!$A:$I,8,FALSE)</f>
        <v>3.516E-3</v>
      </c>
      <c r="H5971" s="174">
        <f>VLOOKUP($A5971,'Tech Litons'!$A:$I,9,FALSE)</f>
        <v>170</v>
      </c>
      <c r="I5971" s="174" t="str">
        <f>VLOOKUP($A5971,'Tech Litons'!$A:$C,3,0)</f>
        <v>Other</v>
      </c>
      <c r="J5971" s="175" t="str">
        <f t="shared" si="679"/>
        <v>GDIOther</v>
      </c>
      <c r="K5971" s="176">
        <f>VLOOKUP(I5971,'Attain %'!A:B,2,0)</f>
        <v>0.96</v>
      </c>
      <c r="L5971" s="177">
        <f t="shared" si="680"/>
        <v>9922.56</v>
      </c>
      <c r="M5971" s="177">
        <f t="shared" si="681"/>
        <v>34.887720959999996</v>
      </c>
      <c r="N5971" s="177">
        <f t="shared" si="682"/>
        <v>58.367999999999995</v>
      </c>
      <c r="O5971" s="175" t="str">
        <f t="shared" si="683"/>
        <v>May</v>
      </c>
      <c r="P5971" s="265">
        <f t="shared" si="684"/>
        <v>21</v>
      </c>
    </row>
    <row r="5972" spans="1:16" ht="15" hidden="1" customHeight="1">
      <c r="A5972" s="489">
        <v>67596354</v>
      </c>
      <c r="B5972" s="489">
        <v>5914</v>
      </c>
      <c r="C5972" s="488">
        <v>10440</v>
      </c>
      <c r="D5972" s="597">
        <v>46125</v>
      </c>
      <c r="E5972" s="489" t="s">
        <v>336</v>
      </c>
      <c r="F5972" s="489" t="s">
        <v>1244</v>
      </c>
      <c r="G5972" s="395">
        <f>VLOOKUP($A5972,'Tech Litons'!$A:$I,8,FALSE)</f>
        <v>3.6640000000000002E-3</v>
      </c>
      <c r="H5972" s="174">
        <f>VLOOKUP($A5972,'Tech Litons'!$A:$I,9,FALSE)</f>
        <v>240</v>
      </c>
      <c r="I5972" s="174" t="str">
        <f>VLOOKUP($A5972,'Tech Litons'!$A:$C,3,0)</f>
        <v>PTS Exports</v>
      </c>
      <c r="J5972" s="175" t="str">
        <f t="shared" si="679"/>
        <v>5914PTS Exports</v>
      </c>
      <c r="K5972" s="176">
        <f>VLOOKUP(I5972,'Attain %'!A:B,2,0)</f>
        <v>0.96</v>
      </c>
      <c r="L5972" s="177">
        <f t="shared" si="680"/>
        <v>10022.4</v>
      </c>
      <c r="M5972" s="177">
        <f t="shared" si="681"/>
        <v>36.722073600000002</v>
      </c>
      <c r="N5972" s="177">
        <f t="shared" si="682"/>
        <v>41.76</v>
      </c>
      <c r="O5972" s="175" t="str">
        <f t="shared" si="683"/>
        <v>Apr</v>
      </c>
      <c r="P5972" s="265">
        <f t="shared" si="684"/>
        <v>16</v>
      </c>
    </row>
    <row r="5973" spans="1:16" ht="15" hidden="1" customHeight="1">
      <c r="A5973" s="489">
        <v>64987234</v>
      </c>
      <c r="B5973" s="489">
        <v>1716</v>
      </c>
      <c r="C5973" s="488">
        <v>10469</v>
      </c>
      <c r="D5973" s="597">
        <v>46132</v>
      </c>
      <c r="E5973" s="489" t="s">
        <v>598</v>
      </c>
      <c r="F5973" s="489" t="s">
        <v>1221</v>
      </c>
      <c r="G5973" s="395">
        <f>VLOOKUP($A5973,'Tech Litons'!$A:$I,8,FALSE)</f>
        <v>2.3999999999999998E-3</v>
      </c>
      <c r="H5973" s="174">
        <f>VLOOKUP($A5973,'Tech Litons'!$A:$I,9,FALSE)</f>
        <v>165</v>
      </c>
      <c r="I5973" s="174" t="str">
        <f>VLOOKUP($A5973,'Tech Litons'!$A:$C,3,0)</f>
        <v>BJ Bars</v>
      </c>
      <c r="J5973" s="175" t="str">
        <f t="shared" si="679"/>
        <v>1716BJ Bars</v>
      </c>
      <c r="K5973" s="176">
        <f>VLOOKUP(I5973,'Attain %'!A:B,2,0)</f>
        <v>0.96</v>
      </c>
      <c r="L5973" s="177">
        <f t="shared" si="680"/>
        <v>10050.24</v>
      </c>
      <c r="M5973" s="177">
        <f t="shared" si="681"/>
        <v>24.120575999999996</v>
      </c>
      <c r="N5973" s="177">
        <f t="shared" si="682"/>
        <v>60.910545454545456</v>
      </c>
      <c r="O5973" s="175" t="str">
        <f t="shared" si="683"/>
        <v>Apr</v>
      </c>
      <c r="P5973" s="265">
        <f t="shared" si="684"/>
        <v>17</v>
      </c>
    </row>
    <row r="5974" spans="1:16" ht="15" hidden="1" customHeight="1">
      <c r="A5974" s="489">
        <v>64804365</v>
      </c>
      <c r="B5974" s="489">
        <v>1712</v>
      </c>
      <c r="C5974" s="488">
        <v>10500</v>
      </c>
      <c r="D5974" s="597">
        <v>46104</v>
      </c>
      <c r="E5974" s="489" t="s">
        <v>571</v>
      </c>
      <c r="F5974" s="489" t="s">
        <v>1221</v>
      </c>
      <c r="G5974" s="395">
        <f>VLOOKUP($A5974,'Tech Litons'!$A:$I,8,FALSE)</f>
        <v>2.8799999999999997E-3</v>
      </c>
      <c r="H5974" s="174">
        <f>VLOOKUP($A5974,'Tech Litons'!$A:$I,9,FALSE)</f>
        <v>180</v>
      </c>
      <c r="I5974" s="174" t="str">
        <f>VLOOKUP($A5974,'Tech Litons'!$A:$C,3,0)</f>
        <v>B&amp;J Cups</v>
      </c>
      <c r="J5974" s="175" t="str">
        <f t="shared" si="679"/>
        <v>1712B&amp;J Cups</v>
      </c>
      <c r="K5974" s="176">
        <f>VLOOKUP(I5974,'Attain %'!A:B,2,0)</f>
        <v>0.96</v>
      </c>
      <c r="L5974" s="177">
        <f t="shared" si="680"/>
        <v>10080</v>
      </c>
      <c r="M5974" s="177">
        <f t="shared" si="681"/>
        <v>29.030399999999997</v>
      </c>
      <c r="N5974" s="177">
        <f t="shared" si="682"/>
        <v>56</v>
      </c>
      <c r="O5974" s="175" t="str">
        <f t="shared" si="683"/>
        <v>Mar</v>
      </c>
      <c r="P5974" s="265">
        <f t="shared" si="684"/>
        <v>13</v>
      </c>
    </row>
    <row r="5975" spans="1:16" ht="15" hidden="1" customHeight="1">
      <c r="A5975" s="489">
        <v>64806251</v>
      </c>
      <c r="B5975" s="489">
        <v>1712</v>
      </c>
      <c r="C5975" s="488">
        <v>10800</v>
      </c>
      <c r="D5975" s="597">
        <v>46118</v>
      </c>
      <c r="E5975" s="489" t="s">
        <v>572</v>
      </c>
      <c r="F5975" s="489" t="s">
        <v>1221</v>
      </c>
      <c r="G5975" s="395">
        <f>VLOOKUP($A5975,'Tech Litons'!$A:$I,8,FALSE)</f>
        <v>2.8799999999999997E-3</v>
      </c>
      <c r="H5975" s="174">
        <f>VLOOKUP($A5975,'Tech Litons'!$A:$I,9,FALSE)</f>
        <v>180</v>
      </c>
      <c r="I5975" s="174" t="str">
        <f>VLOOKUP($A5975,'Tech Litons'!$A:$C,3,0)</f>
        <v>B&amp;J Cups</v>
      </c>
      <c r="J5975" s="175" t="str">
        <f t="shared" si="679"/>
        <v>1712B&amp;J Cups</v>
      </c>
      <c r="K5975" s="176">
        <f>VLOOKUP(I5975,'Attain %'!A:B,2,0)</f>
        <v>0.96</v>
      </c>
      <c r="L5975" s="177">
        <f t="shared" si="680"/>
        <v>10368</v>
      </c>
      <c r="M5975" s="177">
        <f t="shared" si="681"/>
        <v>29.859839999999998</v>
      </c>
      <c r="N5975" s="177">
        <f t="shared" si="682"/>
        <v>57.6</v>
      </c>
      <c r="O5975" s="175" t="str">
        <f t="shared" si="683"/>
        <v>Apr</v>
      </c>
      <c r="P5975" s="265">
        <f t="shared" si="684"/>
        <v>15</v>
      </c>
    </row>
    <row r="5976" spans="1:16" ht="15" hidden="1" customHeight="1">
      <c r="A5976" s="489">
        <v>68851105</v>
      </c>
      <c r="B5976" s="489">
        <v>2904</v>
      </c>
      <c r="C5976" s="488">
        <v>10800</v>
      </c>
      <c r="D5976" s="597">
        <v>46139</v>
      </c>
      <c r="E5976" s="489" t="s">
        <v>400</v>
      </c>
      <c r="F5976" s="489" t="s">
        <v>1226</v>
      </c>
      <c r="G5976" s="395">
        <f>VLOOKUP($A5976,'Tech Litons'!$A:$I,8,FALSE)</f>
        <v>8.5199999999999998E-3</v>
      </c>
      <c r="H5976" s="174">
        <f>VLOOKUP($A5976,'Tech Litons'!$A:$I,9,FALSE)</f>
        <v>154</v>
      </c>
      <c r="I5976" s="174" t="str">
        <f>VLOOKUP($A5976,'Tech Litons'!$A:$C,3,0)</f>
        <v>48oz</v>
      </c>
      <c r="J5976" s="175" t="str">
        <f t="shared" si="679"/>
        <v>290448oz</v>
      </c>
      <c r="K5976" s="176">
        <f>VLOOKUP(I5976,'Attain %'!A:B,2,0)</f>
        <v>0.94</v>
      </c>
      <c r="L5976" s="177">
        <f t="shared" si="680"/>
        <v>10152</v>
      </c>
      <c r="M5976" s="177">
        <f t="shared" si="681"/>
        <v>86.495040000000003</v>
      </c>
      <c r="N5976" s="177">
        <f t="shared" si="682"/>
        <v>65.922077922077918</v>
      </c>
      <c r="O5976" s="175" t="str">
        <f t="shared" si="683"/>
        <v>Apr</v>
      </c>
      <c r="P5976" s="265">
        <f t="shared" si="684"/>
        <v>18</v>
      </c>
    </row>
    <row r="5977" spans="1:16" ht="15" hidden="1" customHeight="1">
      <c r="A5977" s="489">
        <v>68851106</v>
      </c>
      <c r="B5977" s="489">
        <v>2904</v>
      </c>
      <c r="C5977" s="488">
        <v>10800</v>
      </c>
      <c r="D5977" s="597">
        <v>46111</v>
      </c>
      <c r="E5977" s="489" t="s">
        <v>359</v>
      </c>
      <c r="F5977" s="489" t="s">
        <v>1226</v>
      </c>
      <c r="G5977" s="395">
        <f>VLOOKUP($A5977,'Tech Litons'!$A:$I,8,FALSE)</f>
        <v>8.5199999999999998E-3</v>
      </c>
      <c r="H5977" s="174">
        <f>VLOOKUP($A5977,'Tech Litons'!$A:$I,9,FALSE)</f>
        <v>154</v>
      </c>
      <c r="I5977" s="174" t="str">
        <f>VLOOKUP($A5977,'Tech Litons'!$A:$C,3,0)</f>
        <v>48oz</v>
      </c>
      <c r="J5977" s="175" t="str">
        <f t="shared" si="679"/>
        <v>290448oz</v>
      </c>
      <c r="K5977" s="176">
        <f>VLOOKUP(I5977,'Attain %'!A:B,2,0)</f>
        <v>0.94</v>
      </c>
      <c r="L5977" s="177">
        <f t="shared" si="680"/>
        <v>10152</v>
      </c>
      <c r="M5977" s="177">
        <f t="shared" si="681"/>
        <v>86.495040000000003</v>
      </c>
      <c r="N5977" s="177">
        <f t="shared" si="682"/>
        <v>65.922077922077918</v>
      </c>
      <c r="O5977" s="175" t="str">
        <f t="shared" si="683"/>
        <v>Mar</v>
      </c>
      <c r="P5977" s="265">
        <f t="shared" si="684"/>
        <v>14</v>
      </c>
    </row>
    <row r="5978" spans="1:16" ht="15" hidden="1" customHeight="1">
      <c r="A5978" s="489">
        <v>68851106</v>
      </c>
      <c r="B5978" s="489">
        <v>2904</v>
      </c>
      <c r="C5978" s="488">
        <v>10800</v>
      </c>
      <c r="D5978" s="597">
        <v>46132</v>
      </c>
      <c r="E5978" s="489" t="s">
        <v>359</v>
      </c>
      <c r="F5978" s="489" t="s">
        <v>1226</v>
      </c>
      <c r="G5978" s="395">
        <f>VLOOKUP($A5978,'Tech Litons'!$A:$I,8,FALSE)</f>
        <v>8.5199999999999998E-3</v>
      </c>
      <c r="H5978" s="174">
        <f>VLOOKUP($A5978,'Tech Litons'!$A:$I,9,FALSE)</f>
        <v>154</v>
      </c>
      <c r="I5978" s="174" t="str">
        <f>VLOOKUP($A5978,'Tech Litons'!$A:$C,3,0)</f>
        <v>48oz</v>
      </c>
      <c r="J5978" s="175" t="str">
        <f t="shared" si="679"/>
        <v>290448oz</v>
      </c>
      <c r="K5978" s="176">
        <f>VLOOKUP(I5978,'Attain %'!A:B,2,0)</f>
        <v>0.94</v>
      </c>
      <c r="L5978" s="177">
        <f t="shared" si="680"/>
        <v>10152</v>
      </c>
      <c r="M5978" s="177">
        <f t="shared" si="681"/>
        <v>86.495040000000003</v>
      </c>
      <c r="N5978" s="177">
        <f t="shared" si="682"/>
        <v>65.922077922077918</v>
      </c>
      <c r="O5978" s="175" t="str">
        <f t="shared" si="683"/>
        <v>Apr</v>
      </c>
      <c r="P5978" s="265">
        <f t="shared" si="684"/>
        <v>17</v>
      </c>
    </row>
    <row r="5979" spans="1:16" ht="15" hidden="1" customHeight="1">
      <c r="A5979" s="489">
        <v>68851106</v>
      </c>
      <c r="B5979" s="489">
        <v>2904</v>
      </c>
      <c r="C5979" s="488">
        <v>10800</v>
      </c>
      <c r="D5979" s="597">
        <v>46167</v>
      </c>
      <c r="E5979" s="489" t="s">
        <v>359</v>
      </c>
      <c r="F5979" s="489" t="s">
        <v>1226</v>
      </c>
      <c r="G5979" s="395">
        <f>VLOOKUP($A5979,'Tech Litons'!$A:$I,8,FALSE)</f>
        <v>8.5199999999999998E-3</v>
      </c>
      <c r="H5979" s="174">
        <f>VLOOKUP($A5979,'Tech Litons'!$A:$I,9,FALSE)</f>
        <v>154</v>
      </c>
      <c r="I5979" s="174" t="str">
        <f>VLOOKUP($A5979,'Tech Litons'!$A:$C,3,0)</f>
        <v>48oz</v>
      </c>
      <c r="J5979" s="175" t="str">
        <f t="shared" si="679"/>
        <v>290448oz</v>
      </c>
      <c r="K5979" s="176">
        <f>VLOOKUP(I5979,'Attain %'!A:B,2,0)</f>
        <v>0.94</v>
      </c>
      <c r="L5979" s="177">
        <f t="shared" si="680"/>
        <v>10152</v>
      </c>
      <c r="M5979" s="177">
        <f t="shared" si="681"/>
        <v>86.495040000000003</v>
      </c>
      <c r="N5979" s="177">
        <f t="shared" si="682"/>
        <v>65.922077922077918</v>
      </c>
      <c r="O5979" s="175" t="str">
        <f t="shared" si="683"/>
        <v>May</v>
      </c>
      <c r="P5979" s="265">
        <f t="shared" si="684"/>
        <v>22</v>
      </c>
    </row>
    <row r="5980" spans="1:16" ht="15" hidden="1" customHeight="1">
      <c r="A5980" s="489">
        <v>68851107</v>
      </c>
      <c r="B5980" s="489">
        <v>2904</v>
      </c>
      <c r="C5980" s="488">
        <v>10800</v>
      </c>
      <c r="D5980" s="597">
        <v>46146</v>
      </c>
      <c r="E5980" s="489" t="s">
        <v>272</v>
      </c>
      <c r="F5980" s="489" t="s">
        <v>1226</v>
      </c>
      <c r="G5980" s="395">
        <f>VLOOKUP($A5980,'Tech Litons'!$A:$I,8,FALSE)</f>
        <v>8.5199999999999998E-3</v>
      </c>
      <c r="H5980" s="174">
        <f>VLOOKUP($A5980,'Tech Litons'!$A:$I,9,FALSE)</f>
        <v>176</v>
      </c>
      <c r="I5980" s="174" t="str">
        <f>VLOOKUP($A5980,'Tech Litons'!$A:$C,3,0)</f>
        <v>48oz</v>
      </c>
      <c r="J5980" s="175" t="str">
        <f t="shared" si="679"/>
        <v>290448oz</v>
      </c>
      <c r="K5980" s="176">
        <f>VLOOKUP(I5980,'Attain %'!A:B,2,0)</f>
        <v>0.94</v>
      </c>
      <c r="L5980" s="177">
        <f t="shared" si="680"/>
        <v>10152</v>
      </c>
      <c r="M5980" s="177">
        <f t="shared" si="681"/>
        <v>86.495040000000003</v>
      </c>
      <c r="N5980" s="177">
        <f t="shared" si="682"/>
        <v>57.68181818181818</v>
      </c>
      <c r="O5980" s="175" t="str">
        <f t="shared" si="683"/>
        <v>May</v>
      </c>
      <c r="P5980" s="265">
        <f t="shared" si="684"/>
        <v>19</v>
      </c>
    </row>
    <row r="5981" spans="1:16" ht="15" hidden="1" customHeight="1">
      <c r="A5981" s="489">
        <v>68851107</v>
      </c>
      <c r="B5981" s="489">
        <v>2904</v>
      </c>
      <c r="C5981" s="488">
        <v>10800</v>
      </c>
      <c r="D5981" s="597">
        <v>46153</v>
      </c>
      <c r="E5981" s="489" t="s">
        <v>272</v>
      </c>
      <c r="F5981" s="489" t="s">
        <v>1226</v>
      </c>
      <c r="G5981" s="395">
        <f>VLOOKUP($A5981,'Tech Litons'!$A:$I,8,FALSE)</f>
        <v>8.5199999999999998E-3</v>
      </c>
      <c r="H5981" s="174">
        <f>VLOOKUP($A5981,'Tech Litons'!$A:$I,9,FALSE)</f>
        <v>176</v>
      </c>
      <c r="I5981" s="174" t="str">
        <f>VLOOKUP($A5981,'Tech Litons'!$A:$C,3,0)</f>
        <v>48oz</v>
      </c>
      <c r="J5981" s="175" t="str">
        <f t="shared" si="679"/>
        <v>290448oz</v>
      </c>
      <c r="K5981" s="176">
        <f>VLOOKUP(I5981,'Attain %'!A:B,2,0)</f>
        <v>0.94</v>
      </c>
      <c r="L5981" s="177">
        <f t="shared" si="680"/>
        <v>10152</v>
      </c>
      <c r="M5981" s="177">
        <f t="shared" si="681"/>
        <v>86.495040000000003</v>
      </c>
      <c r="N5981" s="177">
        <f t="shared" si="682"/>
        <v>57.68181818181818</v>
      </c>
      <c r="O5981" s="175" t="str">
        <f t="shared" si="683"/>
        <v>May</v>
      </c>
      <c r="P5981" s="265">
        <f t="shared" si="684"/>
        <v>20</v>
      </c>
    </row>
    <row r="5982" spans="1:16" ht="15" hidden="1" customHeight="1">
      <c r="A5982" s="489">
        <v>68851107</v>
      </c>
      <c r="B5982" s="489">
        <v>2904</v>
      </c>
      <c r="C5982" s="488">
        <v>10800</v>
      </c>
      <c r="D5982" s="597">
        <v>46160</v>
      </c>
      <c r="E5982" s="489" t="s">
        <v>272</v>
      </c>
      <c r="F5982" s="489" t="s">
        <v>1226</v>
      </c>
      <c r="G5982" s="395">
        <f>VLOOKUP($A5982,'Tech Litons'!$A:$I,8,FALSE)</f>
        <v>8.5199999999999998E-3</v>
      </c>
      <c r="H5982" s="174">
        <f>VLOOKUP($A5982,'Tech Litons'!$A:$I,9,FALSE)</f>
        <v>176</v>
      </c>
      <c r="I5982" s="174" t="str">
        <f>VLOOKUP($A5982,'Tech Litons'!$A:$C,3,0)</f>
        <v>48oz</v>
      </c>
      <c r="J5982" s="175" t="str">
        <f t="shared" si="679"/>
        <v>290448oz</v>
      </c>
      <c r="K5982" s="176">
        <f>VLOOKUP(I5982,'Attain %'!A:B,2,0)</f>
        <v>0.94</v>
      </c>
      <c r="L5982" s="177">
        <f t="shared" si="680"/>
        <v>10152</v>
      </c>
      <c r="M5982" s="177">
        <f t="shared" si="681"/>
        <v>86.495040000000003</v>
      </c>
      <c r="N5982" s="177">
        <f t="shared" si="682"/>
        <v>57.68181818181818</v>
      </c>
      <c r="O5982" s="175" t="str">
        <f t="shared" si="683"/>
        <v>May</v>
      </c>
      <c r="P5982" s="265">
        <f t="shared" si="684"/>
        <v>21</v>
      </c>
    </row>
    <row r="5983" spans="1:16" ht="15" hidden="1" customHeight="1">
      <c r="A5983" s="489">
        <v>69964646</v>
      </c>
      <c r="B5983" s="489" t="s">
        <v>137</v>
      </c>
      <c r="C5983" s="488">
        <v>10800</v>
      </c>
      <c r="D5983" s="597">
        <v>46209</v>
      </c>
      <c r="E5983" s="489" t="s">
        <v>632</v>
      </c>
      <c r="F5983" s="489" t="s">
        <v>1223</v>
      </c>
      <c r="G5983" s="395">
        <f>VLOOKUP($A5983,'Tech Litons'!$A:$I,8,FALSE)</f>
        <v>2.8799999999999997E-3</v>
      </c>
      <c r="H5983" s="174">
        <f>VLOOKUP($A5983,'Tech Litons'!$A:$I,9,FALSE)</f>
        <v>180</v>
      </c>
      <c r="I5983" s="174" t="str">
        <f>VLOOKUP($A5983,'Tech Litons'!$A:$C,3,0)</f>
        <v>KL Mini Cones</v>
      </c>
      <c r="J5983" s="175" t="str">
        <f t="shared" si="679"/>
        <v>TurkeyKL Mini Cones</v>
      </c>
      <c r="K5983" s="176">
        <f>VLOOKUP(I5983,'Attain %'!A:B,2,0)</f>
        <v>0.96</v>
      </c>
      <c r="L5983" s="177">
        <f t="shared" si="680"/>
        <v>10368</v>
      </c>
      <c r="M5983" s="177">
        <f t="shared" si="681"/>
        <v>29.859839999999998</v>
      </c>
      <c r="N5983" s="177">
        <f t="shared" si="682"/>
        <v>57.6</v>
      </c>
      <c r="O5983" s="175" t="str">
        <f t="shared" si="683"/>
        <v>Jul</v>
      </c>
      <c r="P5983" s="265">
        <f t="shared" si="684"/>
        <v>28</v>
      </c>
    </row>
    <row r="5984" spans="1:16" ht="15" hidden="1" customHeight="1">
      <c r="A5984" s="489">
        <v>68264519</v>
      </c>
      <c r="B5984" s="489" t="s">
        <v>118</v>
      </c>
      <c r="C5984" s="488">
        <v>11000</v>
      </c>
      <c r="D5984" s="597">
        <v>46153</v>
      </c>
      <c r="E5984" s="489" t="s">
        <v>894</v>
      </c>
      <c r="F5984" s="489" t="s">
        <v>1223</v>
      </c>
      <c r="G5984" s="395">
        <f>VLOOKUP($A5984,'Tech Litons'!$A:$I,8,FALSE)</f>
        <v>1.419504E-3</v>
      </c>
      <c r="H5984" s="174">
        <f>VLOOKUP($A5984,'Tech Litons'!$A:$I,9,FALSE)</f>
        <v>256</v>
      </c>
      <c r="I5984" s="174" t="str">
        <f>VLOOKUP($A5984,'Tech Litons'!$A:$C,3,0)</f>
        <v>Dough Bites</v>
      </c>
      <c r="J5984" s="175" t="str">
        <f t="shared" si="679"/>
        <v>RhinoDough Bites</v>
      </c>
      <c r="K5984" s="176">
        <f>VLOOKUP(I5984,'Attain %'!A:B,2,0)</f>
        <v>0.96</v>
      </c>
      <c r="L5984" s="177">
        <f t="shared" si="680"/>
        <v>10560</v>
      </c>
      <c r="M5984" s="177">
        <f t="shared" si="681"/>
        <v>14.989962240000001</v>
      </c>
      <c r="N5984" s="177">
        <f t="shared" si="682"/>
        <v>41.25</v>
      </c>
      <c r="O5984" s="175" t="str">
        <f t="shared" si="683"/>
        <v>May</v>
      </c>
      <c r="P5984" s="265">
        <f t="shared" si="684"/>
        <v>20</v>
      </c>
    </row>
    <row r="5985" spans="1:16" ht="15" hidden="1" customHeight="1">
      <c r="A5985" s="489">
        <v>64776954</v>
      </c>
      <c r="B5985" s="489">
        <v>1352</v>
      </c>
      <c r="D5985" s="597">
        <v>46104</v>
      </c>
      <c r="E5985" s="489" t="s">
        <v>285</v>
      </c>
      <c r="F5985" s="489" t="s">
        <v>1213</v>
      </c>
      <c r="G5985" s="395">
        <f>VLOOKUP($A5985,'Tech Litons'!$A:$I,8,FALSE)</f>
        <v>3.8340000000000002E-3</v>
      </c>
      <c r="H5985" s="174">
        <f>VLOOKUP($A5985,'Tech Litons'!$A:$I,9,FALSE)</f>
        <v>130</v>
      </c>
      <c r="I5985" s="174" t="str">
        <f>VLOOKUP($A5985,'Tech Litons'!$A:$C,3,0)</f>
        <v>pG</v>
      </c>
      <c r="J5985" s="175" t="str">
        <f t="shared" si="679"/>
        <v>1352pG</v>
      </c>
      <c r="K5985" s="176">
        <f>VLOOKUP(I5985,'Attain %'!A:B,2,0)</f>
        <v>0.96</v>
      </c>
      <c r="L5985" s="177">
        <f t="shared" si="680"/>
        <v>0</v>
      </c>
      <c r="M5985" s="177">
        <f t="shared" si="681"/>
        <v>0</v>
      </c>
      <c r="N5985" s="177">
        <f t="shared" si="682"/>
        <v>0</v>
      </c>
      <c r="O5985" s="175" t="str">
        <f t="shared" si="683"/>
        <v>Mar</v>
      </c>
      <c r="P5985" s="265">
        <f t="shared" si="684"/>
        <v>13</v>
      </c>
    </row>
    <row r="5986" spans="1:16" ht="15" hidden="1" customHeight="1">
      <c r="A5986" s="489">
        <v>68899825</v>
      </c>
      <c r="B5986" s="489">
        <v>1352</v>
      </c>
      <c r="C5986" s="488">
        <v>11280</v>
      </c>
      <c r="D5986" s="597">
        <v>46139</v>
      </c>
      <c r="E5986" s="489" t="s">
        <v>382</v>
      </c>
      <c r="F5986" s="489" t="s">
        <v>1211</v>
      </c>
      <c r="G5986" s="395">
        <f>VLOOKUP($A5986,'Tech Litons'!$A:$I,8,FALSE)</f>
        <v>8.513999999999999E-3</v>
      </c>
      <c r="H5986" s="174">
        <f>VLOOKUP($A5986,'Tech Litons'!$A:$I,9,FALSE)</f>
        <v>176</v>
      </c>
      <c r="I5986" s="174" t="str">
        <f>VLOOKUP($A5986,'Tech Litons'!$A:$C,3,0)</f>
        <v>48oz</v>
      </c>
      <c r="J5986" s="175" t="str">
        <f t="shared" si="679"/>
        <v>135248oz</v>
      </c>
      <c r="K5986" s="176">
        <f>VLOOKUP(I5986,'Attain %'!A:B,2,0)</f>
        <v>0.94</v>
      </c>
      <c r="L5986" s="177">
        <f t="shared" si="680"/>
        <v>10603.199999999999</v>
      </c>
      <c r="M5986" s="177">
        <f t="shared" si="681"/>
        <v>90.275644799999981</v>
      </c>
      <c r="N5986" s="177">
        <f t="shared" si="682"/>
        <v>60.245454545454542</v>
      </c>
      <c r="O5986" s="175" t="str">
        <f t="shared" si="683"/>
        <v>Apr</v>
      </c>
      <c r="P5986" s="265">
        <f t="shared" si="684"/>
        <v>18</v>
      </c>
    </row>
    <row r="5987" spans="1:16" ht="15" hidden="1" customHeight="1">
      <c r="A5987" s="489">
        <v>68741742</v>
      </c>
      <c r="B5987" s="489">
        <v>2904</v>
      </c>
      <c r="C5987" s="488">
        <v>11295</v>
      </c>
      <c r="D5987" s="597">
        <v>46104</v>
      </c>
      <c r="E5987" s="489" t="s">
        <v>288</v>
      </c>
      <c r="F5987" s="489" t="s">
        <v>1231</v>
      </c>
      <c r="G5987" s="395">
        <f>VLOOKUP($A5987,'Tech Litons'!$A:$I,8,FALSE)</f>
        <v>4.2560000000000002E-3</v>
      </c>
      <c r="H5987" s="174">
        <f>VLOOKUP($A5987,'Tech Litons'!$A:$I,9,FALSE)</f>
        <v>154</v>
      </c>
      <c r="I5987" s="174" t="str">
        <f>VLOOKUP($A5987,'Tech Litons'!$A:$C,3,0)</f>
        <v>MBG</v>
      </c>
      <c r="J5987" s="175" t="str">
        <f t="shared" si="679"/>
        <v>2904MBG</v>
      </c>
      <c r="K5987" s="176">
        <f>VLOOKUP(I5987,'Attain %'!A:B,2,0)</f>
        <v>0.96</v>
      </c>
      <c r="L5987" s="177">
        <f t="shared" si="680"/>
        <v>10843.199999999999</v>
      </c>
      <c r="M5987" s="177">
        <f t="shared" si="681"/>
        <v>46.148659199999997</v>
      </c>
      <c r="N5987" s="177">
        <f t="shared" si="682"/>
        <v>70.410389610389601</v>
      </c>
      <c r="O5987" s="175" t="str">
        <f t="shared" si="683"/>
        <v>Mar</v>
      </c>
      <c r="P5987" s="265">
        <f t="shared" si="684"/>
        <v>13</v>
      </c>
    </row>
    <row r="5988" spans="1:16" ht="15" hidden="1" customHeight="1">
      <c r="A5988" s="489">
        <v>65254774</v>
      </c>
      <c r="B5988" s="489">
        <v>6765</v>
      </c>
      <c r="C5988" s="488">
        <v>11400</v>
      </c>
      <c r="D5988" s="597">
        <v>46293</v>
      </c>
      <c r="E5988" s="489" t="s">
        <v>614</v>
      </c>
      <c r="F5988" s="489" t="s">
        <v>1221</v>
      </c>
      <c r="G5988" s="395">
        <f>VLOOKUP($A5988,'Tech Litons'!$A:$I,8,FALSE)</f>
        <v>1E-3</v>
      </c>
      <c r="H5988" s="174">
        <f>VLOOKUP($A5988,'Tech Litons'!$A:$I,9,FALSE)</f>
        <v>420</v>
      </c>
      <c r="I5988" s="174" t="str">
        <f>VLOOKUP($A5988,'Tech Litons'!$A:$C,3,0)</f>
        <v>Other</v>
      </c>
      <c r="J5988" s="175" t="str">
        <f t="shared" si="679"/>
        <v>6765Other</v>
      </c>
      <c r="K5988" s="176">
        <f>VLOOKUP(I5988,'Attain %'!A:B,2,0)</f>
        <v>0.96</v>
      </c>
      <c r="L5988" s="177">
        <f t="shared" si="680"/>
        <v>10944</v>
      </c>
      <c r="M5988" s="177">
        <f t="shared" si="681"/>
        <v>10.944000000000001</v>
      </c>
      <c r="N5988" s="177">
        <f t="shared" si="682"/>
        <v>26.057142857142857</v>
      </c>
      <c r="O5988" s="175" t="str">
        <f t="shared" si="683"/>
        <v>Sep</v>
      </c>
      <c r="P5988" s="265">
        <f t="shared" si="684"/>
        <v>40</v>
      </c>
    </row>
    <row r="5989" spans="1:16" ht="15" hidden="1" customHeight="1">
      <c r="A5989" s="489">
        <v>65254774</v>
      </c>
      <c r="B5989" s="489">
        <v>6765</v>
      </c>
      <c r="C5989" s="488">
        <v>11400</v>
      </c>
      <c r="D5989" s="597">
        <v>46300</v>
      </c>
      <c r="E5989" s="489" t="s">
        <v>614</v>
      </c>
      <c r="F5989" s="489" t="s">
        <v>1221</v>
      </c>
      <c r="G5989" s="395">
        <f>VLOOKUP($A5989,'Tech Litons'!$A:$I,8,FALSE)</f>
        <v>1E-3</v>
      </c>
      <c r="H5989" s="174">
        <f>VLOOKUP($A5989,'Tech Litons'!$A:$I,9,FALSE)</f>
        <v>420</v>
      </c>
      <c r="I5989" s="174" t="str">
        <f>VLOOKUP($A5989,'Tech Litons'!$A:$C,3,0)</f>
        <v>Other</v>
      </c>
      <c r="J5989" s="175" t="str">
        <f t="shared" si="679"/>
        <v>6765Other</v>
      </c>
      <c r="K5989" s="176">
        <f>VLOOKUP(I5989,'Attain %'!A:B,2,0)</f>
        <v>0.96</v>
      </c>
      <c r="L5989" s="177">
        <f t="shared" si="680"/>
        <v>10944</v>
      </c>
      <c r="M5989" s="177">
        <f t="shared" si="681"/>
        <v>10.944000000000001</v>
      </c>
      <c r="N5989" s="177">
        <f t="shared" si="682"/>
        <v>26.057142857142857</v>
      </c>
      <c r="O5989" s="175" t="str">
        <f t="shared" si="683"/>
        <v>Oct</v>
      </c>
      <c r="P5989" s="265">
        <f t="shared" si="684"/>
        <v>41</v>
      </c>
    </row>
    <row r="5990" spans="1:16" ht="15" hidden="1" customHeight="1">
      <c r="A5990" s="489">
        <v>65254774</v>
      </c>
      <c r="B5990" s="489">
        <v>6765</v>
      </c>
      <c r="C5990" s="488">
        <v>11400</v>
      </c>
      <c r="D5990" s="597">
        <v>46328</v>
      </c>
      <c r="E5990" s="489" t="s">
        <v>614</v>
      </c>
      <c r="F5990" s="489" t="s">
        <v>1221</v>
      </c>
      <c r="G5990" s="395">
        <f>VLOOKUP($A5990,'Tech Litons'!$A:$I,8,FALSE)</f>
        <v>1E-3</v>
      </c>
      <c r="H5990" s="174">
        <f>VLOOKUP($A5990,'Tech Litons'!$A:$I,9,FALSE)</f>
        <v>420</v>
      </c>
      <c r="I5990" s="174" t="str">
        <f>VLOOKUP($A5990,'Tech Litons'!$A:$C,3,0)</f>
        <v>Other</v>
      </c>
      <c r="J5990" s="175" t="str">
        <f t="shared" si="679"/>
        <v>6765Other</v>
      </c>
      <c r="K5990" s="176">
        <f>VLOOKUP(I5990,'Attain %'!A:B,2,0)</f>
        <v>0.96</v>
      </c>
      <c r="L5990" s="177">
        <f t="shared" si="680"/>
        <v>10944</v>
      </c>
      <c r="M5990" s="177">
        <f t="shared" si="681"/>
        <v>10.944000000000001</v>
      </c>
      <c r="N5990" s="177">
        <f t="shared" si="682"/>
        <v>26.057142857142857</v>
      </c>
      <c r="O5990" s="175" t="str">
        <f t="shared" si="683"/>
        <v>Nov</v>
      </c>
      <c r="P5990" s="265">
        <f t="shared" si="684"/>
        <v>45</v>
      </c>
    </row>
    <row r="5991" spans="1:16" ht="15" hidden="1" customHeight="1">
      <c r="A5991" s="489">
        <v>64973976</v>
      </c>
      <c r="B5991" s="489">
        <v>1712</v>
      </c>
      <c r="C5991" s="488">
        <v>11520</v>
      </c>
      <c r="D5991" s="597">
        <v>46251</v>
      </c>
      <c r="E5991" s="489" t="s">
        <v>1190</v>
      </c>
      <c r="F5991" s="489" t="s">
        <v>1221</v>
      </c>
      <c r="G5991" s="395">
        <f>VLOOKUP($A5991,'Tech Litons'!$A:$I,8,FALSE)</f>
        <v>1.0644000000000001E-3</v>
      </c>
      <c r="H5991" s="174">
        <f>VLOOKUP($A5991,'Tech Litons'!$A:$I,9,FALSE)</f>
        <v>190</v>
      </c>
      <c r="I5991" s="174" t="str">
        <f>VLOOKUP($A5991,'Tech Litons'!$A:$C,3,0)</f>
        <v>BR Minicups</v>
      </c>
      <c r="J5991" s="175" t="str">
        <f t="shared" si="679"/>
        <v>1712BR Minicups</v>
      </c>
      <c r="K5991" s="176">
        <f>VLOOKUP(I5991,'Attain %'!A:B,2,0)</f>
        <v>0.96</v>
      </c>
      <c r="L5991" s="177">
        <f t="shared" si="680"/>
        <v>11059.199999999999</v>
      </c>
      <c r="M5991" s="177">
        <f t="shared" si="681"/>
        <v>11.77141248</v>
      </c>
      <c r="N5991" s="177">
        <f t="shared" si="682"/>
        <v>58.206315789473678</v>
      </c>
      <c r="O5991" s="175" t="str">
        <f t="shared" si="683"/>
        <v>Aug</v>
      </c>
      <c r="P5991" s="265">
        <f t="shared" si="684"/>
        <v>34</v>
      </c>
    </row>
    <row r="5992" spans="1:16" ht="15" hidden="1" customHeight="1">
      <c r="A5992" s="489">
        <v>64973976</v>
      </c>
      <c r="B5992" s="489">
        <v>1712</v>
      </c>
      <c r="C5992" s="488">
        <v>11520</v>
      </c>
      <c r="D5992" s="597">
        <v>46265</v>
      </c>
      <c r="E5992" s="489" t="s">
        <v>1190</v>
      </c>
      <c r="F5992" s="489" t="s">
        <v>1221</v>
      </c>
      <c r="G5992" s="395">
        <f>VLOOKUP($A5992,'Tech Litons'!$A:$I,8,FALSE)</f>
        <v>1.0644000000000001E-3</v>
      </c>
      <c r="H5992" s="174">
        <f>VLOOKUP($A5992,'Tech Litons'!$A:$I,9,FALSE)</f>
        <v>190</v>
      </c>
      <c r="I5992" s="174" t="str">
        <f>VLOOKUP($A5992,'Tech Litons'!$A:$C,3,0)</f>
        <v>BR Minicups</v>
      </c>
      <c r="J5992" s="175" t="str">
        <f t="shared" si="679"/>
        <v>1712BR Minicups</v>
      </c>
      <c r="K5992" s="176">
        <f>VLOOKUP(I5992,'Attain %'!A:B,2,0)</f>
        <v>0.96</v>
      </c>
      <c r="L5992" s="177">
        <f t="shared" si="680"/>
        <v>11059.199999999999</v>
      </c>
      <c r="M5992" s="177">
        <f t="shared" si="681"/>
        <v>11.77141248</v>
      </c>
      <c r="N5992" s="177">
        <f t="shared" si="682"/>
        <v>58.206315789473678</v>
      </c>
      <c r="O5992" s="175" t="str">
        <f t="shared" si="683"/>
        <v>Aug</v>
      </c>
      <c r="P5992" s="265">
        <f t="shared" si="684"/>
        <v>36</v>
      </c>
    </row>
    <row r="5993" spans="1:16" ht="15" hidden="1" customHeight="1">
      <c r="A5993" s="489">
        <v>67794170</v>
      </c>
      <c r="B5993" s="489">
        <v>5914</v>
      </c>
      <c r="C5993" s="488">
        <v>14560</v>
      </c>
      <c r="D5993" s="597">
        <v>46111</v>
      </c>
      <c r="E5993" s="489" t="s">
        <v>414</v>
      </c>
      <c r="F5993" s="489" t="s">
        <v>1246</v>
      </c>
      <c r="G5993" s="395">
        <f>VLOOKUP($A5993,'Tech Litons'!$A:$I,8,FALSE)</f>
        <v>3.7853439999999999E-3</v>
      </c>
      <c r="H5993" s="174">
        <f>VLOOKUP($A5993,'Tech Litons'!$A:$I,9,FALSE)</f>
        <v>240</v>
      </c>
      <c r="I5993" s="174" t="str">
        <f>VLOOKUP($A5993,'Tech Litons'!$A:$C,3,0)</f>
        <v>BJ PTS</v>
      </c>
      <c r="J5993" s="175" t="str">
        <f t="shared" si="679"/>
        <v>5914BJ PTS</v>
      </c>
      <c r="K5993" s="176">
        <f>VLOOKUP(I5993,'Attain %'!A:B,2,0)</f>
        <v>0.95</v>
      </c>
      <c r="L5993" s="177">
        <f t="shared" si="680"/>
        <v>13832</v>
      </c>
      <c r="M5993" s="177">
        <f t="shared" si="681"/>
        <v>52.358878208</v>
      </c>
      <c r="N5993" s="177">
        <f t="shared" si="682"/>
        <v>57.633333333333333</v>
      </c>
      <c r="O5993" s="175" t="str">
        <f t="shared" si="683"/>
        <v>Mar</v>
      </c>
      <c r="P5993" s="265">
        <f t="shared" si="684"/>
        <v>14</v>
      </c>
    </row>
    <row r="5994" spans="1:16" ht="15" hidden="1" customHeight="1">
      <c r="A5994" s="489">
        <v>64804365</v>
      </c>
      <c r="B5994" s="489">
        <v>1712</v>
      </c>
      <c r="C5994" s="488">
        <v>11880</v>
      </c>
      <c r="D5994" s="597">
        <v>46132</v>
      </c>
      <c r="E5994" s="489" t="s">
        <v>571</v>
      </c>
      <c r="F5994" s="489" t="s">
        <v>1221</v>
      </c>
      <c r="G5994" s="395">
        <f>VLOOKUP($A5994,'Tech Litons'!$A:$I,8,FALSE)</f>
        <v>2.8799999999999997E-3</v>
      </c>
      <c r="H5994" s="174">
        <f>VLOOKUP($A5994,'Tech Litons'!$A:$I,9,FALSE)</f>
        <v>180</v>
      </c>
      <c r="I5994" s="174" t="str">
        <f>VLOOKUP($A5994,'Tech Litons'!$A:$C,3,0)</f>
        <v>B&amp;J Cups</v>
      </c>
      <c r="J5994" s="175" t="str">
        <f t="shared" si="679"/>
        <v>1712B&amp;J Cups</v>
      </c>
      <c r="K5994" s="176">
        <f>VLOOKUP(I5994,'Attain %'!A:B,2,0)</f>
        <v>0.96</v>
      </c>
      <c r="L5994" s="177">
        <f t="shared" si="680"/>
        <v>11404.8</v>
      </c>
      <c r="M5994" s="177">
        <f t="shared" si="681"/>
        <v>32.845823999999993</v>
      </c>
      <c r="N5994" s="177">
        <f t="shared" si="682"/>
        <v>63.36</v>
      </c>
      <c r="O5994" s="175" t="str">
        <f t="shared" si="683"/>
        <v>Apr</v>
      </c>
      <c r="P5994" s="265">
        <f t="shared" si="684"/>
        <v>17</v>
      </c>
    </row>
    <row r="5995" spans="1:16" ht="15" hidden="1" customHeight="1">
      <c r="A5995" s="489">
        <v>64806251</v>
      </c>
      <c r="B5995" s="489">
        <v>1712</v>
      </c>
      <c r="C5995" s="488">
        <v>11880</v>
      </c>
      <c r="D5995" s="597">
        <v>46139</v>
      </c>
      <c r="E5995" s="489" t="s">
        <v>572</v>
      </c>
      <c r="F5995" s="489" t="s">
        <v>1221</v>
      </c>
      <c r="G5995" s="395">
        <f>VLOOKUP($A5995,'Tech Litons'!$A:$I,8,FALSE)</f>
        <v>2.8799999999999997E-3</v>
      </c>
      <c r="H5995" s="174">
        <f>VLOOKUP($A5995,'Tech Litons'!$A:$I,9,FALSE)</f>
        <v>180</v>
      </c>
      <c r="I5995" s="174" t="str">
        <f>VLOOKUP($A5995,'Tech Litons'!$A:$C,3,0)</f>
        <v>B&amp;J Cups</v>
      </c>
      <c r="J5995" s="175" t="str">
        <f t="shared" si="679"/>
        <v>1712B&amp;J Cups</v>
      </c>
      <c r="K5995" s="176">
        <f>VLOOKUP(I5995,'Attain %'!A:B,2,0)</f>
        <v>0.96</v>
      </c>
      <c r="L5995" s="177">
        <f t="shared" si="680"/>
        <v>11404.8</v>
      </c>
      <c r="M5995" s="177">
        <f t="shared" si="681"/>
        <v>32.845823999999993</v>
      </c>
      <c r="N5995" s="177">
        <f t="shared" si="682"/>
        <v>63.36</v>
      </c>
      <c r="O5995" s="175" t="str">
        <f t="shared" si="683"/>
        <v>Apr</v>
      </c>
      <c r="P5995" s="265">
        <f t="shared" si="684"/>
        <v>18</v>
      </c>
    </row>
    <row r="5996" spans="1:16" ht="15" hidden="1" customHeight="1">
      <c r="A5996" s="489">
        <v>64361164</v>
      </c>
      <c r="B5996" s="489">
        <v>5914</v>
      </c>
      <c r="C5996" s="488">
        <v>11880</v>
      </c>
      <c r="D5996" s="597">
        <v>46125</v>
      </c>
      <c r="E5996" s="489" t="s">
        <v>510</v>
      </c>
      <c r="F5996" s="489" t="s">
        <v>1244</v>
      </c>
      <c r="G5996" s="395">
        <f>VLOOKUP($A5996,'Tech Litons'!$A:$I,8,FALSE)</f>
        <v>3.7839999999999996E-3</v>
      </c>
      <c r="H5996" s="174">
        <f>VLOOKUP($A5996,'Tech Litons'!$A:$I,9,FALSE)</f>
        <v>240</v>
      </c>
      <c r="I5996" s="174" t="str">
        <f>VLOOKUP($A5996,'Tech Litons'!$A:$C,3,0)</f>
        <v>BJ PTS</v>
      </c>
      <c r="J5996" s="175" t="str">
        <f t="shared" si="679"/>
        <v>5914BJ PTS</v>
      </c>
      <c r="K5996" s="176">
        <f>VLOOKUP(I5996,'Attain %'!A:B,2,0)</f>
        <v>0.95</v>
      </c>
      <c r="L5996" s="177">
        <f t="shared" si="680"/>
        <v>11286</v>
      </c>
      <c r="M5996" s="177">
        <f t="shared" si="681"/>
        <v>42.706223999999999</v>
      </c>
      <c r="N5996" s="177">
        <f t="shared" si="682"/>
        <v>47.024999999999999</v>
      </c>
      <c r="O5996" s="175" t="str">
        <f t="shared" si="683"/>
        <v>Apr</v>
      </c>
      <c r="P5996" s="265">
        <f t="shared" si="684"/>
        <v>16</v>
      </c>
    </row>
    <row r="5997" spans="1:16" ht="15" hidden="1" customHeight="1">
      <c r="A5997" s="489">
        <v>62714126</v>
      </c>
      <c r="B5997" s="489" t="s">
        <v>133</v>
      </c>
      <c r="C5997" s="488">
        <v>11970</v>
      </c>
      <c r="D5997" s="597">
        <v>46160</v>
      </c>
      <c r="E5997" s="489" t="s">
        <v>402</v>
      </c>
      <c r="F5997" s="489" t="s">
        <v>1223</v>
      </c>
      <c r="G5997" s="395">
        <f>VLOOKUP($A5997,'Tech Litons'!$A:$I,8,FALSE)</f>
        <v>5.2680000000000001E-3</v>
      </c>
      <c r="H5997" s="174">
        <f>VLOOKUP($A5997,'Tech Litons'!$A:$I,9,FALSE)</f>
        <v>130</v>
      </c>
      <c r="I5997" s="174" t="str">
        <f>VLOOKUP($A5997,'Tech Litons'!$A:$C,3,0)</f>
        <v>PG</v>
      </c>
      <c r="J5997" s="175" t="str">
        <f t="shared" si="679"/>
        <v>GDIPG</v>
      </c>
      <c r="K5997" s="176">
        <f>VLOOKUP(I5997,'Attain %'!A:B,2,0)</f>
        <v>0.96</v>
      </c>
      <c r="L5997" s="177">
        <f t="shared" si="680"/>
        <v>11491.199999999999</v>
      </c>
      <c r="M5997" s="177">
        <f t="shared" si="681"/>
        <v>60.535641599999998</v>
      </c>
      <c r="N5997" s="177">
        <f t="shared" si="682"/>
        <v>88.393846153846141</v>
      </c>
      <c r="O5997" s="175" t="str">
        <f t="shared" si="683"/>
        <v>May</v>
      </c>
      <c r="P5997" s="265">
        <f t="shared" si="684"/>
        <v>21</v>
      </c>
    </row>
    <row r="5998" spans="1:16" ht="15" hidden="1" customHeight="1">
      <c r="A5998" s="489">
        <v>68899821</v>
      </c>
      <c r="B5998" s="489">
        <v>1352</v>
      </c>
      <c r="C5998" s="488">
        <v>12000</v>
      </c>
      <c r="D5998" s="597">
        <v>46139</v>
      </c>
      <c r="E5998" s="489" t="s">
        <v>430</v>
      </c>
      <c r="F5998" s="489" t="s">
        <v>1208</v>
      </c>
      <c r="G5998" s="395">
        <f>VLOOKUP($A5998,'Tech Litons'!$A:$I,8,FALSE)</f>
        <v>8.5199999999999998E-3</v>
      </c>
      <c r="H5998" s="174">
        <f>VLOOKUP($A5998,'Tech Litons'!$A:$I,9,FALSE)</f>
        <v>176</v>
      </c>
      <c r="I5998" s="174" t="str">
        <f>VLOOKUP($A5998,'Tech Litons'!$A:$C,3,0)</f>
        <v>48oz</v>
      </c>
      <c r="J5998" s="175" t="str">
        <f t="shared" si="679"/>
        <v>135248oz</v>
      </c>
      <c r="K5998" s="176">
        <f>VLOOKUP(I5998,'Attain %'!A:B,2,0)</f>
        <v>0.94</v>
      </c>
      <c r="L5998" s="177">
        <f t="shared" si="680"/>
        <v>11280</v>
      </c>
      <c r="M5998" s="177">
        <f t="shared" si="681"/>
        <v>96.105599999999995</v>
      </c>
      <c r="N5998" s="177">
        <f t="shared" si="682"/>
        <v>64.090909090909093</v>
      </c>
      <c r="O5998" s="175" t="str">
        <f t="shared" si="683"/>
        <v>Apr</v>
      </c>
      <c r="P5998" s="265">
        <f t="shared" si="684"/>
        <v>18</v>
      </c>
    </row>
    <row r="5999" spans="1:16" ht="15" hidden="1" customHeight="1">
      <c r="A5999" s="489">
        <v>64330596</v>
      </c>
      <c r="B5999" s="489">
        <v>2904</v>
      </c>
      <c r="D5999" s="597">
        <v>46111</v>
      </c>
      <c r="E5999" s="489" t="s">
        <v>280</v>
      </c>
      <c r="F5999" s="489" t="s">
        <v>1238</v>
      </c>
      <c r="G5999" s="395">
        <f>VLOOKUP($A5999,'Tech Litons'!$A:$I,8,FALSE)</f>
        <v>1.98E-3</v>
      </c>
      <c r="H5999" s="174">
        <f>VLOOKUP($A5999,'Tech Litons'!$A:$I,9,FALSE)</f>
        <v>176</v>
      </c>
      <c r="I5999" s="174" t="str">
        <f>VLOOKUP($A5999,'Tech Litons'!$A:$C,3,0)</f>
        <v>MG Sticks</v>
      </c>
      <c r="J5999" s="175" t="str">
        <f t="shared" si="679"/>
        <v>2904MG Sticks</v>
      </c>
      <c r="K5999" s="176">
        <f>VLOOKUP(I5999,'Attain %'!A:B,2,0)</f>
        <v>0.96</v>
      </c>
      <c r="L5999" s="177">
        <f t="shared" si="680"/>
        <v>0</v>
      </c>
      <c r="M5999" s="177">
        <f t="shared" si="681"/>
        <v>0</v>
      </c>
      <c r="N5999" s="177">
        <f t="shared" si="682"/>
        <v>0</v>
      </c>
      <c r="O5999" s="175" t="str">
        <f t="shared" si="683"/>
        <v>Mar</v>
      </c>
      <c r="P5999" s="265">
        <f t="shared" si="684"/>
        <v>14</v>
      </c>
    </row>
    <row r="6000" spans="1:16" ht="15" hidden="1" customHeight="1">
      <c r="A6000" s="489">
        <v>64341962</v>
      </c>
      <c r="B6000" s="489">
        <v>2904</v>
      </c>
      <c r="C6000" s="488">
        <v>12000</v>
      </c>
      <c r="D6000" s="597">
        <v>46104</v>
      </c>
      <c r="E6000" s="489" t="s">
        <v>443</v>
      </c>
      <c r="F6000" s="489" t="s">
        <v>1225</v>
      </c>
      <c r="G6000" s="395">
        <f>VLOOKUP($A6000,'Tech Litons'!$A:$I,8,FALSE)</f>
        <v>8.513999999999999E-3</v>
      </c>
      <c r="H6000" s="174">
        <f>VLOOKUP($A6000,'Tech Litons'!$A:$I,9,FALSE)</f>
        <v>176</v>
      </c>
      <c r="I6000" s="174" t="str">
        <f>VLOOKUP($A6000,'Tech Litons'!$A:$C,3,0)</f>
        <v>48oz</v>
      </c>
      <c r="J6000" s="175" t="str">
        <f t="shared" si="679"/>
        <v>290448oz</v>
      </c>
      <c r="K6000" s="176">
        <f>VLOOKUP(I6000,'Attain %'!A:B,2,0)</f>
        <v>0.94</v>
      </c>
      <c r="L6000" s="177">
        <f t="shared" si="680"/>
        <v>11280</v>
      </c>
      <c r="M6000" s="177">
        <f t="shared" si="681"/>
        <v>96.037919999999986</v>
      </c>
      <c r="N6000" s="177">
        <f t="shared" si="682"/>
        <v>64.090909090909093</v>
      </c>
      <c r="O6000" s="175" t="str">
        <f t="shared" si="683"/>
        <v>Mar</v>
      </c>
      <c r="P6000" s="265">
        <f t="shared" si="684"/>
        <v>13</v>
      </c>
    </row>
    <row r="6001" spans="1:16" ht="15" hidden="1" customHeight="1">
      <c r="A6001" s="489">
        <v>64988056</v>
      </c>
      <c r="B6001" s="489">
        <v>2904</v>
      </c>
      <c r="C6001" s="488">
        <v>12000</v>
      </c>
      <c r="D6001" s="597">
        <v>46104</v>
      </c>
      <c r="E6001" s="489" t="s">
        <v>268</v>
      </c>
      <c r="F6001" s="489" t="s">
        <v>1236</v>
      </c>
      <c r="G6001" s="395">
        <f>VLOOKUP($A6001,'Tech Litons'!$A:$I,8,FALSE)</f>
        <v>8.513999999999999E-3</v>
      </c>
      <c r="H6001" s="174">
        <f>VLOOKUP($A6001,'Tech Litons'!$A:$I,9,FALSE)</f>
        <v>176</v>
      </c>
      <c r="I6001" s="174" t="str">
        <f>VLOOKUP($A6001,'Tech Litons'!$A:$C,3,0)</f>
        <v>48oz</v>
      </c>
      <c r="J6001" s="175" t="str">
        <f t="shared" si="679"/>
        <v>290448oz</v>
      </c>
      <c r="K6001" s="176">
        <f>VLOOKUP(I6001,'Attain %'!A:B,2,0)</f>
        <v>0.94</v>
      </c>
      <c r="L6001" s="177">
        <f t="shared" si="680"/>
        <v>11280</v>
      </c>
      <c r="M6001" s="177">
        <f t="shared" si="681"/>
        <v>96.037919999999986</v>
      </c>
      <c r="N6001" s="177">
        <f t="shared" si="682"/>
        <v>64.090909090909093</v>
      </c>
      <c r="O6001" s="175" t="str">
        <f t="shared" si="683"/>
        <v>Mar</v>
      </c>
      <c r="P6001" s="265">
        <f t="shared" si="684"/>
        <v>13</v>
      </c>
    </row>
    <row r="6002" spans="1:16" ht="15" hidden="1" customHeight="1">
      <c r="A6002" s="489">
        <v>64360552</v>
      </c>
      <c r="B6002" s="489">
        <v>3910</v>
      </c>
      <c r="C6002" s="488">
        <v>12000</v>
      </c>
      <c r="D6002" s="597">
        <v>46132</v>
      </c>
      <c r="E6002" s="489" t="s">
        <v>1336</v>
      </c>
      <c r="F6002" s="489" t="s">
        <v>1337</v>
      </c>
      <c r="G6002" s="395">
        <f>VLOOKUP($A6002,'Tech Litons'!$A:$I,8,FALSE)</f>
        <v>8.4600000000000005E-3</v>
      </c>
      <c r="H6002" s="174">
        <f>VLOOKUP($A6002,'Tech Litons'!$A:$I,9,FALSE)</f>
        <v>168</v>
      </c>
      <c r="I6002" s="174" t="str">
        <f>VLOOKUP($A6002,'Tech Litons'!$A:$C,3,0)</f>
        <v>48oz</v>
      </c>
      <c r="J6002" s="175" t="str">
        <f t="shared" si="679"/>
        <v>391048oz</v>
      </c>
      <c r="K6002" s="176">
        <f>VLOOKUP(I6002,'Attain %'!A:B,2,0)</f>
        <v>0.94</v>
      </c>
      <c r="L6002" s="177">
        <f t="shared" si="680"/>
        <v>11280</v>
      </c>
      <c r="M6002" s="177">
        <f t="shared" si="681"/>
        <v>95.42880000000001</v>
      </c>
      <c r="N6002" s="177">
        <f t="shared" si="682"/>
        <v>67.142857142857139</v>
      </c>
      <c r="O6002" s="175" t="str">
        <f t="shared" si="683"/>
        <v>Apr</v>
      </c>
      <c r="P6002" s="265">
        <f t="shared" si="684"/>
        <v>17</v>
      </c>
    </row>
    <row r="6003" spans="1:16" ht="15" hidden="1" customHeight="1">
      <c r="A6003" s="489">
        <v>64360552</v>
      </c>
      <c r="B6003" s="489">
        <v>3910</v>
      </c>
      <c r="C6003" s="488">
        <v>12000</v>
      </c>
      <c r="D6003" s="597">
        <v>46146</v>
      </c>
      <c r="E6003" s="489" t="s">
        <v>1336</v>
      </c>
      <c r="F6003" s="489" t="s">
        <v>1337</v>
      </c>
      <c r="G6003" s="395">
        <f>VLOOKUP($A6003,'Tech Litons'!$A:$I,8,FALSE)</f>
        <v>8.4600000000000005E-3</v>
      </c>
      <c r="H6003" s="174">
        <f>VLOOKUP($A6003,'Tech Litons'!$A:$I,9,FALSE)</f>
        <v>168</v>
      </c>
      <c r="I6003" s="174" t="str">
        <f>VLOOKUP($A6003,'Tech Litons'!$A:$C,3,0)</f>
        <v>48oz</v>
      </c>
      <c r="J6003" s="175" t="str">
        <f t="shared" si="679"/>
        <v>391048oz</v>
      </c>
      <c r="K6003" s="176">
        <f>VLOOKUP(I6003,'Attain %'!A:B,2,0)</f>
        <v>0.94</v>
      </c>
      <c r="L6003" s="177">
        <f t="shared" si="680"/>
        <v>11280</v>
      </c>
      <c r="M6003" s="177">
        <f t="shared" si="681"/>
        <v>95.42880000000001</v>
      </c>
      <c r="N6003" s="177">
        <f t="shared" si="682"/>
        <v>67.142857142857139</v>
      </c>
      <c r="O6003" s="175" t="str">
        <f t="shared" si="683"/>
        <v>May</v>
      </c>
      <c r="P6003" s="265">
        <f t="shared" si="684"/>
        <v>19</v>
      </c>
    </row>
    <row r="6004" spans="1:16" ht="15" hidden="1" customHeight="1">
      <c r="A6004" s="489">
        <v>64360552</v>
      </c>
      <c r="B6004" s="489">
        <v>3910</v>
      </c>
      <c r="C6004" s="488">
        <v>12000</v>
      </c>
      <c r="D6004" s="597">
        <v>46160</v>
      </c>
      <c r="E6004" s="489" t="s">
        <v>1336</v>
      </c>
      <c r="F6004" s="489" t="s">
        <v>1337</v>
      </c>
      <c r="G6004" s="395">
        <f>VLOOKUP($A6004,'Tech Litons'!$A:$I,8,FALSE)</f>
        <v>8.4600000000000005E-3</v>
      </c>
      <c r="H6004" s="174">
        <f>VLOOKUP($A6004,'Tech Litons'!$A:$I,9,FALSE)</f>
        <v>168</v>
      </c>
      <c r="I6004" s="174" t="str">
        <f>VLOOKUP($A6004,'Tech Litons'!$A:$C,3,0)</f>
        <v>48oz</v>
      </c>
      <c r="J6004" s="175" t="str">
        <f t="shared" si="679"/>
        <v>391048oz</v>
      </c>
      <c r="K6004" s="176">
        <f>VLOOKUP(I6004,'Attain %'!A:B,2,0)</f>
        <v>0.94</v>
      </c>
      <c r="L6004" s="177">
        <f t="shared" si="680"/>
        <v>11280</v>
      </c>
      <c r="M6004" s="177">
        <f t="shared" si="681"/>
        <v>95.42880000000001</v>
      </c>
      <c r="N6004" s="177">
        <f t="shared" si="682"/>
        <v>67.142857142857139</v>
      </c>
      <c r="O6004" s="175" t="str">
        <f t="shared" si="683"/>
        <v>May</v>
      </c>
      <c r="P6004" s="265">
        <f t="shared" si="684"/>
        <v>21</v>
      </c>
    </row>
    <row r="6005" spans="1:16" ht="15" hidden="1" customHeight="1">
      <c r="A6005" s="489">
        <v>64360552</v>
      </c>
      <c r="B6005" s="489">
        <v>3910</v>
      </c>
      <c r="C6005" s="488">
        <v>12000</v>
      </c>
      <c r="D6005" s="597">
        <v>46202</v>
      </c>
      <c r="E6005" s="489" t="s">
        <v>1336</v>
      </c>
      <c r="F6005" s="489" t="s">
        <v>1337</v>
      </c>
      <c r="G6005" s="395">
        <f>VLOOKUP($A6005,'Tech Litons'!$A:$I,8,FALSE)</f>
        <v>8.4600000000000005E-3</v>
      </c>
      <c r="H6005" s="174">
        <f>VLOOKUP($A6005,'Tech Litons'!$A:$I,9,FALSE)</f>
        <v>168</v>
      </c>
      <c r="I6005" s="174" t="str">
        <f>VLOOKUP($A6005,'Tech Litons'!$A:$C,3,0)</f>
        <v>48oz</v>
      </c>
      <c r="J6005" s="175" t="str">
        <f t="shared" si="679"/>
        <v>391048oz</v>
      </c>
      <c r="K6005" s="176">
        <f>VLOOKUP(I6005,'Attain %'!A:B,2,0)</f>
        <v>0.94</v>
      </c>
      <c r="L6005" s="177">
        <f t="shared" si="680"/>
        <v>11280</v>
      </c>
      <c r="M6005" s="177">
        <f t="shared" si="681"/>
        <v>95.42880000000001</v>
      </c>
      <c r="N6005" s="177">
        <f t="shared" si="682"/>
        <v>67.142857142857139</v>
      </c>
      <c r="O6005" s="175" t="str">
        <f t="shared" si="683"/>
        <v>Jun</v>
      </c>
      <c r="P6005" s="265">
        <f t="shared" si="684"/>
        <v>27</v>
      </c>
    </row>
    <row r="6006" spans="1:16" ht="15" hidden="1" customHeight="1">
      <c r="A6006" s="489">
        <v>64360552</v>
      </c>
      <c r="B6006" s="489">
        <v>3910</v>
      </c>
      <c r="D6006" s="597">
        <v>46244</v>
      </c>
      <c r="E6006" s="489" t="s">
        <v>1336</v>
      </c>
      <c r="F6006" s="489" t="s">
        <v>1337</v>
      </c>
      <c r="G6006" s="395">
        <f>VLOOKUP($A6006,'Tech Litons'!$A:$I,8,FALSE)</f>
        <v>8.4600000000000005E-3</v>
      </c>
      <c r="H6006" s="174">
        <f>VLOOKUP($A6006,'Tech Litons'!$A:$I,9,FALSE)</f>
        <v>168</v>
      </c>
      <c r="I6006" s="174" t="str">
        <f>VLOOKUP($A6006,'Tech Litons'!$A:$C,3,0)</f>
        <v>48oz</v>
      </c>
      <c r="J6006" s="175" t="str">
        <f t="shared" si="679"/>
        <v>391048oz</v>
      </c>
      <c r="K6006" s="176">
        <f>VLOOKUP(I6006,'Attain %'!A:B,2,0)</f>
        <v>0.94</v>
      </c>
      <c r="L6006" s="177">
        <f t="shared" si="680"/>
        <v>0</v>
      </c>
      <c r="M6006" s="177">
        <f t="shared" si="681"/>
        <v>0</v>
      </c>
      <c r="N6006" s="177">
        <f t="shared" si="682"/>
        <v>0</v>
      </c>
      <c r="O6006" s="175" t="str">
        <f t="shared" si="683"/>
        <v>Aug</v>
      </c>
      <c r="P6006" s="265">
        <f t="shared" si="684"/>
        <v>33</v>
      </c>
    </row>
    <row r="6007" spans="1:16" ht="15" hidden="1" customHeight="1">
      <c r="A6007" s="489">
        <v>64360552</v>
      </c>
      <c r="B6007" s="489">
        <v>3910</v>
      </c>
      <c r="D6007" s="597">
        <v>46258</v>
      </c>
      <c r="E6007" s="489" t="s">
        <v>1336</v>
      </c>
      <c r="F6007" s="489" t="s">
        <v>1337</v>
      </c>
      <c r="G6007" s="395">
        <f>VLOOKUP($A6007,'Tech Litons'!$A:$I,8,FALSE)</f>
        <v>8.4600000000000005E-3</v>
      </c>
      <c r="H6007" s="174">
        <f>VLOOKUP($A6007,'Tech Litons'!$A:$I,9,FALSE)</f>
        <v>168</v>
      </c>
      <c r="I6007" s="174" t="str">
        <f>VLOOKUP($A6007,'Tech Litons'!$A:$C,3,0)</f>
        <v>48oz</v>
      </c>
      <c r="J6007" s="175" t="str">
        <f t="shared" si="679"/>
        <v>391048oz</v>
      </c>
      <c r="K6007" s="176">
        <f>VLOOKUP(I6007,'Attain %'!A:B,2,0)</f>
        <v>0.94</v>
      </c>
      <c r="L6007" s="177">
        <f t="shared" si="680"/>
        <v>0</v>
      </c>
      <c r="M6007" s="177">
        <f t="shared" si="681"/>
        <v>0</v>
      </c>
      <c r="N6007" s="177">
        <f t="shared" si="682"/>
        <v>0</v>
      </c>
      <c r="O6007" s="175" t="str">
        <f t="shared" si="683"/>
        <v>Aug</v>
      </c>
      <c r="P6007" s="265">
        <f t="shared" si="684"/>
        <v>35</v>
      </c>
    </row>
    <row r="6008" spans="1:16" ht="15" hidden="1" customHeight="1">
      <c r="A6008" s="489">
        <v>64360552</v>
      </c>
      <c r="B6008" s="489">
        <v>3910</v>
      </c>
      <c r="D6008" s="597">
        <v>46265</v>
      </c>
      <c r="E6008" s="489" t="s">
        <v>1336</v>
      </c>
      <c r="F6008" s="489" t="s">
        <v>1337</v>
      </c>
      <c r="G6008" s="395">
        <f>VLOOKUP($A6008,'Tech Litons'!$A:$I,8,FALSE)</f>
        <v>8.4600000000000005E-3</v>
      </c>
      <c r="H6008" s="174">
        <f>VLOOKUP($A6008,'Tech Litons'!$A:$I,9,FALSE)</f>
        <v>168</v>
      </c>
      <c r="I6008" s="174" t="str">
        <f>VLOOKUP($A6008,'Tech Litons'!$A:$C,3,0)</f>
        <v>48oz</v>
      </c>
      <c r="J6008" s="175" t="str">
        <f t="shared" ref="J6008:J6071" si="685">B6008&amp;I6008</f>
        <v>391048oz</v>
      </c>
      <c r="K6008" s="176">
        <f>VLOOKUP(I6008,'Attain %'!A:B,2,0)</f>
        <v>0.94</v>
      </c>
      <c r="L6008" s="177">
        <f t="shared" ref="L6008:L6071" si="686">C6008*$K6008</f>
        <v>0</v>
      </c>
      <c r="M6008" s="177">
        <f t="shared" ref="M6008:M6071" si="687">L6008*G6008</f>
        <v>0</v>
      </c>
      <c r="N6008" s="177">
        <f t="shared" ref="N6008:N6071" si="688">L6008/H6008</f>
        <v>0</v>
      </c>
      <c r="O6008" s="175" t="str">
        <f t="shared" ref="O6008:O6071" si="689">TEXT(D6008,"MMM")</f>
        <v>Aug</v>
      </c>
      <c r="P6008" s="265">
        <f t="shared" ref="P6008:P6071" si="690">WEEKNUM(D6008)</f>
        <v>36</v>
      </c>
    </row>
    <row r="6009" spans="1:16" ht="15" hidden="1" customHeight="1">
      <c r="A6009" s="489">
        <v>64360552</v>
      </c>
      <c r="B6009" s="489">
        <v>3910</v>
      </c>
      <c r="D6009" s="597">
        <v>46286</v>
      </c>
      <c r="E6009" s="489" t="s">
        <v>1336</v>
      </c>
      <c r="F6009" s="489" t="s">
        <v>1337</v>
      </c>
      <c r="G6009" s="395">
        <f>VLOOKUP($A6009,'Tech Litons'!$A:$I,8,FALSE)</f>
        <v>8.4600000000000005E-3</v>
      </c>
      <c r="H6009" s="174">
        <f>VLOOKUP($A6009,'Tech Litons'!$A:$I,9,FALSE)</f>
        <v>168</v>
      </c>
      <c r="I6009" s="174" t="str">
        <f>VLOOKUP($A6009,'Tech Litons'!$A:$C,3,0)</f>
        <v>48oz</v>
      </c>
      <c r="J6009" s="175" t="str">
        <f t="shared" si="685"/>
        <v>391048oz</v>
      </c>
      <c r="K6009" s="176">
        <f>VLOOKUP(I6009,'Attain %'!A:B,2,0)</f>
        <v>0.94</v>
      </c>
      <c r="L6009" s="177">
        <f t="shared" si="686"/>
        <v>0</v>
      </c>
      <c r="M6009" s="177">
        <f t="shared" si="687"/>
        <v>0</v>
      </c>
      <c r="N6009" s="177">
        <f t="shared" si="688"/>
        <v>0</v>
      </c>
      <c r="O6009" s="175" t="str">
        <f t="shared" si="689"/>
        <v>Sep</v>
      </c>
      <c r="P6009" s="265">
        <f t="shared" si="690"/>
        <v>39</v>
      </c>
    </row>
    <row r="6010" spans="1:16" ht="15" hidden="1" customHeight="1">
      <c r="A6010" s="489">
        <v>64360553</v>
      </c>
      <c r="B6010" s="489">
        <v>3910</v>
      </c>
      <c r="C6010" s="488">
        <v>12000</v>
      </c>
      <c r="D6010" s="597">
        <v>46139</v>
      </c>
      <c r="E6010" s="489" t="s">
        <v>1338</v>
      </c>
      <c r="F6010" s="489" t="s">
        <v>1337</v>
      </c>
      <c r="G6010" s="395">
        <f>VLOOKUP($A6010,'Tech Litons'!$A:$I,8,FALSE)</f>
        <v>8.4600000000000005E-3</v>
      </c>
      <c r="H6010" s="174">
        <f>VLOOKUP($A6010,'Tech Litons'!$A:$I,9,FALSE)</f>
        <v>168</v>
      </c>
      <c r="I6010" s="174" t="str">
        <f>VLOOKUP($A6010,'Tech Litons'!$A:$C,3,0)</f>
        <v>48oz</v>
      </c>
      <c r="J6010" s="175" t="str">
        <f t="shared" si="685"/>
        <v>391048oz</v>
      </c>
      <c r="K6010" s="176">
        <f>VLOOKUP(I6010,'Attain %'!A:B,2,0)</f>
        <v>0.94</v>
      </c>
      <c r="L6010" s="177">
        <f t="shared" si="686"/>
        <v>11280</v>
      </c>
      <c r="M6010" s="177">
        <f t="shared" si="687"/>
        <v>95.42880000000001</v>
      </c>
      <c r="N6010" s="177">
        <f t="shared" si="688"/>
        <v>67.142857142857139</v>
      </c>
      <c r="O6010" s="175" t="str">
        <f t="shared" si="689"/>
        <v>Apr</v>
      </c>
      <c r="P6010" s="265">
        <f t="shared" si="690"/>
        <v>18</v>
      </c>
    </row>
    <row r="6011" spans="1:16" ht="15" hidden="1" customHeight="1">
      <c r="A6011" s="489">
        <v>64360553</v>
      </c>
      <c r="B6011" s="489">
        <v>3910</v>
      </c>
      <c r="C6011" s="488">
        <v>12000</v>
      </c>
      <c r="D6011" s="597">
        <v>46153</v>
      </c>
      <c r="E6011" s="489" t="s">
        <v>1338</v>
      </c>
      <c r="F6011" s="489" t="s">
        <v>1337</v>
      </c>
      <c r="G6011" s="395">
        <f>VLOOKUP($A6011,'Tech Litons'!$A:$I,8,FALSE)</f>
        <v>8.4600000000000005E-3</v>
      </c>
      <c r="H6011" s="174">
        <f>VLOOKUP($A6011,'Tech Litons'!$A:$I,9,FALSE)</f>
        <v>168</v>
      </c>
      <c r="I6011" s="174" t="str">
        <f>VLOOKUP($A6011,'Tech Litons'!$A:$C,3,0)</f>
        <v>48oz</v>
      </c>
      <c r="J6011" s="175" t="str">
        <f t="shared" si="685"/>
        <v>391048oz</v>
      </c>
      <c r="K6011" s="176">
        <f>VLOOKUP(I6011,'Attain %'!A:B,2,0)</f>
        <v>0.94</v>
      </c>
      <c r="L6011" s="177">
        <f t="shared" si="686"/>
        <v>11280</v>
      </c>
      <c r="M6011" s="177">
        <f t="shared" si="687"/>
        <v>95.42880000000001</v>
      </c>
      <c r="N6011" s="177">
        <f t="shared" si="688"/>
        <v>67.142857142857139</v>
      </c>
      <c r="O6011" s="175" t="str">
        <f t="shared" si="689"/>
        <v>May</v>
      </c>
      <c r="P6011" s="265">
        <f t="shared" si="690"/>
        <v>20</v>
      </c>
    </row>
    <row r="6012" spans="1:16" ht="15" hidden="1" customHeight="1">
      <c r="A6012" s="489">
        <v>64360553</v>
      </c>
      <c r="B6012" s="489">
        <v>3910</v>
      </c>
      <c r="C6012" s="488">
        <v>12000</v>
      </c>
      <c r="D6012" s="597">
        <v>46167</v>
      </c>
      <c r="E6012" s="489" t="s">
        <v>1338</v>
      </c>
      <c r="F6012" s="489" t="s">
        <v>1337</v>
      </c>
      <c r="G6012" s="395">
        <f>VLOOKUP($A6012,'Tech Litons'!$A:$I,8,FALSE)</f>
        <v>8.4600000000000005E-3</v>
      </c>
      <c r="H6012" s="174">
        <f>VLOOKUP($A6012,'Tech Litons'!$A:$I,9,FALSE)</f>
        <v>168</v>
      </c>
      <c r="I6012" s="174" t="str">
        <f>VLOOKUP($A6012,'Tech Litons'!$A:$C,3,0)</f>
        <v>48oz</v>
      </c>
      <c r="J6012" s="175" t="str">
        <f t="shared" si="685"/>
        <v>391048oz</v>
      </c>
      <c r="K6012" s="176">
        <f>VLOOKUP(I6012,'Attain %'!A:B,2,0)</f>
        <v>0.94</v>
      </c>
      <c r="L6012" s="177">
        <f t="shared" si="686"/>
        <v>11280</v>
      </c>
      <c r="M6012" s="177">
        <f t="shared" si="687"/>
        <v>95.42880000000001</v>
      </c>
      <c r="N6012" s="177">
        <f t="shared" si="688"/>
        <v>67.142857142857139</v>
      </c>
      <c r="O6012" s="175" t="str">
        <f t="shared" si="689"/>
        <v>May</v>
      </c>
      <c r="P6012" s="265">
        <f t="shared" si="690"/>
        <v>22</v>
      </c>
    </row>
    <row r="6013" spans="1:16" ht="15" hidden="1" customHeight="1">
      <c r="A6013" s="489">
        <v>64360553</v>
      </c>
      <c r="B6013" s="489">
        <v>3910</v>
      </c>
      <c r="C6013" s="488">
        <v>12000</v>
      </c>
      <c r="D6013" s="597">
        <v>46188</v>
      </c>
      <c r="E6013" s="489" t="s">
        <v>1338</v>
      </c>
      <c r="F6013" s="489" t="s">
        <v>1337</v>
      </c>
      <c r="G6013" s="395">
        <f>VLOOKUP($A6013,'Tech Litons'!$A:$I,8,FALSE)</f>
        <v>8.4600000000000005E-3</v>
      </c>
      <c r="H6013" s="174">
        <f>VLOOKUP($A6013,'Tech Litons'!$A:$I,9,FALSE)</f>
        <v>168</v>
      </c>
      <c r="I6013" s="174" t="str">
        <f>VLOOKUP($A6013,'Tech Litons'!$A:$C,3,0)</f>
        <v>48oz</v>
      </c>
      <c r="J6013" s="175" t="str">
        <f t="shared" si="685"/>
        <v>391048oz</v>
      </c>
      <c r="K6013" s="176">
        <f>VLOOKUP(I6013,'Attain %'!A:B,2,0)</f>
        <v>0.94</v>
      </c>
      <c r="L6013" s="177">
        <f t="shared" si="686"/>
        <v>11280</v>
      </c>
      <c r="M6013" s="177">
        <f t="shared" si="687"/>
        <v>95.42880000000001</v>
      </c>
      <c r="N6013" s="177">
        <f t="shared" si="688"/>
        <v>67.142857142857139</v>
      </c>
      <c r="O6013" s="175" t="str">
        <f t="shared" si="689"/>
        <v>Jun</v>
      </c>
      <c r="P6013" s="265">
        <f t="shared" si="690"/>
        <v>25</v>
      </c>
    </row>
    <row r="6014" spans="1:16" ht="15" hidden="1" customHeight="1">
      <c r="A6014" s="489">
        <v>64360553</v>
      </c>
      <c r="B6014" s="489">
        <v>3910</v>
      </c>
      <c r="C6014" s="488">
        <v>12000</v>
      </c>
      <c r="D6014" s="597">
        <v>46195</v>
      </c>
      <c r="E6014" s="489" t="s">
        <v>1338</v>
      </c>
      <c r="F6014" s="489" t="s">
        <v>1337</v>
      </c>
      <c r="G6014" s="395">
        <f>VLOOKUP($A6014,'Tech Litons'!$A:$I,8,FALSE)</f>
        <v>8.4600000000000005E-3</v>
      </c>
      <c r="H6014" s="174">
        <f>VLOOKUP($A6014,'Tech Litons'!$A:$I,9,FALSE)</f>
        <v>168</v>
      </c>
      <c r="I6014" s="174" t="str">
        <f>VLOOKUP($A6014,'Tech Litons'!$A:$C,3,0)</f>
        <v>48oz</v>
      </c>
      <c r="J6014" s="175" t="str">
        <f t="shared" si="685"/>
        <v>391048oz</v>
      </c>
      <c r="K6014" s="176">
        <f>VLOOKUP(I6014,'Attain %'!A:B,2,0)</f>
        <v>0.94</v>
      </c>
      <c r="L6014" s="177">
        <f t="shared" si="686"/>
        <v>11280</v>
      </c>
      <c r="M6014" s="177">
        <f t="shared" si="687"/>
        <v>95.42880000000001</v>
      </c>
      <c r="N6014" s="177">
        <f t="shared" si="688"/>
        <v>67.142857142857139</v>
      </c>
      <c r="O6014" s="175" t="str">
        <f t="shared" si="689"/>
        <v>Jun</v>
      </c>
      <c r="P6014" s="265">
        <f t="shared" si="690"/>
        <v>26</v>
      </c>
    </row>
    <row r="6015" spans="1:16" ht="15" hidden="1" customHeight="1">
      <c r="A6015" s="489">
        <v>64360553</v>
      </c>
      <c r="B6015" s="489">
        <v>3910</v>
      </c>
      <c r="C6015" s="488">
        <v>12000</v>
      </c>
      <c r="D6015" s="597">
        <v>46209</v>
      </c>
      <c r="E6015" s="489" t="s">
        <v>1338</v>
      </c>
      <c r="F6015" s="489" t="s">
        <v>1337</v>
      </c>
      <c r="G6015" s="395">
        <f>VLOOKUP($A6015,'Tech Litons'!$A:$I,8,FALSE)</f>
        <v>8.4600000000000005E-3</v>
      </c>
      <c r="H6015" s="174">
        <f>VLOOKUP($A6015,'Tech Litons'!$A:$I,9,FALSE)</f>
        <v>168</v>
      </c>
      <c r="I6015" s="174" t="str">
        <f>VLOOKUP($A6015,'Tech Litons'!$A:$C,3,0)</f>
        <v>48oz</v>
      </c>
      <c r="J6015" s="175" t="str">
        <f t="shared" si="685"/>
        <v>391048oz</v>
      </c>
      <c r="K6015" s="176">
        <f>VLOOKUP(I6015,'Attain %'!A:B,2,0)</f>
        <v>0.94</v>
      </c>
      <c r="L6015" s="177">
        <f t="shared" si="686"/>
        <v>11280</v>
      </c>
      <c r="M6015" s="177">
        <f t="shared" si="687"/>
        <v>95.42880000000001</v>
      </c>
      <c r="N6015" s="177">
        <f t="shared" si="688"/>
        <v>67.142857142857139</v>
      </c>
      <c r="O6015" s="175" t="str">
        <f t="shared" si="689"/>
        <v>Jul</v>
      </c>
      <c r="P6015" s="265">
        <f t="shared" si="690"/>
        <v>28</v>
      </c>
    </row>
    <row r="6016" spans="1:16" ht="15" hidden="1" customHeight="1">
      <c r="A6016" s="489">
        <v>64360553</v>
      </c>
      <c r="B6016" s="489">
        <v>3910</v>
      </c>
      <c r="C6016" s="488">
        <v>12000</v>
      </c>
      <c r="D6016" s="597">
        <v>46223</v>
      </c>
      <c r="E6016" s="489" t="s">
        <v>1338</v>
      </c>
      <c r="F6016" s="489" t="s">
        <v>1337</v>
      </c>
      <c r="G6016" s="395">
        <f>VLOOKUP($A6016,'Tech Litons'!$A:$I,8,FALSE)</f>
        <v>8.4600000000000005E-3</v>
      </c>
      <c r="H6016" s="174">
        <f>VLOOKUP($A6016,'Tech Litons'!$A:$I,9,FALSE)</f>
        <v>168</v>
      </c>
      <c r="I6016" s="174" t="str">
        <f>VLOOKUP($A6016,'Tech Litons'!$A:$C,3,0)</f>
        <v>48oz</v>
      </c>
      <c r="J6016" s="175" t="str">
        <f t="shared" si="685"/>
        <v>391048oz</v>
      </c>
      <c r="K6016" s="176">
        <f>VLOOKUP(I6016,'Attain %'!A:B,2,0)</f>
        <v>0.94</v>
      </c>
      <c r="L6016" s="177">
        <f t="shared" si="686"/>
        <v>11280</v>
      </c>
      <c r="M6016" s="177">
        <f t="shared" si="687"/>
        <v>95.42880000000001</v>
      </c>
      <c r="N6016" s="177">
        <f t="shared" si="688"/>
        <v>67.142857142857139</v>
      </c>
      <c r="O6016" s="175" t="str">
        <f t="shared" si="689"/>
        <v>Jul</v>
      </c>
      <c r="P6016" s="265">
        <f t="shared" si="690"/>
        <v>30</v>
      </c>
    </row>
    <row r="6017" spans="1:16" ht="15" hidden="1" customHeight="1">
      <c r="A6017" s="489">
        <v>64360553</v>
      </c>
      <c r="B6017" s="489">
        <v>3910</v>
      </c>
      <c r="C6017" s="488">
        <v>12000</v>
      </c>
      <c r="D6017" s="597">
        <v>46230</v>
      </c>
      <c r="E6017" s="489" t="s">
        <v>1338</v>
      </c>
      <c r="F6017" s="489" t="s">
        <v>1337</v>
      </c>
      <c r="G6017" s="395">
        <f>VLOOKUP($A6017,'Tech Litons'!$A:$I,8,FALSE)</f>
        <v>8.4600000000000005E-3</v>
      </c>
      <c r="H6017" s="174">
        <f>VLOOKUP($A6017,'Tech Litons'!$A:$I,9,FALSE)</f>
        <v>168</v>
      </c>
      <c r="I6017" s="174" t="str">
        <f>VLOOKUP($A6017,'Tech Litons'!$A:$C,3,0)</f>
        <v>48oz</v>
      </c>
      <c r="J6017" s="175" t="str">
        <f t="shared" si="685"/>
        <v>391048oz</v>
      </c>
      <c r="K6017" s="176">
        <f>VLOOKUP(I6017,'Attain %'!A:B,2,0)</f>
        <v>0.94</v>
      </c>
      <c r="L6017" s="177">
        <f t="shared" si="686"/>
        <v>11280</v>
      </c>
      <c r="M6017" s="177">
        <f t="shared" si="687"/>
        <v>95.42880000000001</v>
      </c>
      <c r="N6017" s="177">
        <f t="shared" si="688"/>
        <v>67.142857142857139</v>
      </c>
      <c r="O6017" s="175" t="str">
        <f t="shared" si="689"/>
        <v>Jul</v>
      </c>
      <c r="P6017" s="265">
        <f t="shared" si="690"/>
        <v>31</v>
      </c>
    </row>
    <row r="6018" spans="1:16" ht="15" hidden="1" customHeight="1">
      <c r="A6018" s="489">
        <v>64360553</v>
      </c>
      <c r="B6018" s="489">
        <v>3910</v>
      </c>
      <c r="D6018" s="597">
        <v>46237</v>
      </c>
      <c r="E6018" s="489" t="s">
        <v>1338</v>
      </c>
      <c r="F6018" s="489" t="s">
        <v>1337</v>
      </c>
      <c r="G6018" s="395">
        <f>VLOOKUP($A6018,'Tech Litons'!$A:$I,8,FALSE)</f>
        <v>8.4600000000000005E-3</v>
      </c>
      <c r="H6018" s="174">
        <f>VLOOKUP($A6018,'Tech Litons'!$A:$I,9,FALSE)</f>
        <v>168</v>
      </c>
      <c r="I6018" s="174" t="str">
        <f>VLOOKUP($A6018,'Tech Litons'!$A:$C,3,0)</f>
        <v>48oz</v>
      </c>
      <c r="J6018" s="175" t="str">
        <f t="shared" si="685"/>
        <v>391048oz</v>
      </c>
      <c r="K6018" s="176">
        <f>VLOOKUP(I6018,'Attain %'!A:B,2,0)</f>
        <v>0.94</v>
      </c>
      <c r="L6018" s="177">
        <f t="shared" si="686"/>
        <v>0</v>
      </c>
      <c r="M6018" s="177">
        <f t="shared" si="687"/>
        <v>0</v>
      </c>
      <c r="N6018" s="177">
        <f t="shared" si="688"/>
        <v>0</v>
      </c>
      <c r="O6018" s="175" t="str">
        <f t="shared" si="689"/>
        <v>Aug</v>
      </c>
      <c r="P6018" s="265">
        <f t="shared" si="690"/>
        <v>32</v>
      </c>
    </row>
    <row r="6019" spans="1:16" ht="15" hidden="1" customHeight="1">
      <c r="A6019" s="489">
        <v>64360553</v>
      </c>
      <c r="B6019" s="489">
        <v>3910</v>
      </c>
      <c r="D6019" s="597">
        <v>46244</v>
      </c>
      <c r="E6019" s="489" t="s">
        <v>1338</v>
      </c>
      <c r="F6019" s="489" t="s">
        <v>1337</v>
      </c>
      <c r="G6019" s="395">
        <f>VLOOKUP($A6019,'Tech Litons'!$A:$I,8,FALSE)</f>
        <v>8.4600000000000005E-3</v>
      </c>
      <c r="H6019" s="174">
        <f>VLOOKUP($A6019,'Tech Litons'!$A:$I,9,FALSE)</f>
        <v>168</v>
      </c>
      <c r="I6019" s="174" t="str">
        <f>VLOOKUP($A6019,'Tech Litons'!$A:$C,3,0)</f>
        <v>48oz</v>
      </c>
      <c r="J6019" s="175" t="str">
        <f t="shared" si="685"/>
        <v>391048oz</v>
      </c>
      <c r="K6019" s="176">
        <f>VLOOKUP(I6019,'Attain %'!A:B,2,0)</f>
        <v>0.94</v>
      </c>
      <c r="L6019" s="177">
        <f t="shared" si="686"/>
        <v>0</v>
      </c>
      <c r="M6019" s="177">
        <f t="shared" si="687"/>
        <v>0</v>
      </c>
      <c r="N6019" s="177">
        <f t="shared" si="688"/>
        <v>0</v>
      </c>
      <c r="O6019" s="175" t="str">
        <f t="shared" si="689"/>
        <v>Aug</v>
      </c>
      <c r="P6019" s="265">
        <f t="shared" si="690"/>
        <v>33</v>
      </c>
    </row>
    <row r="6020" spans="1:16" ht="15" hidden="1" customHeight="1">
      <c r="A6020" s="489">
        <v>64360553</v>
      </c>
      <c r="B6020" s="489">
        <v>3910</v>
      </c>
      <c r="D6020" s="597">
        <v>46251</v>
      </c>
      <c r="E6020" s="489" t="s">
        <v>1338</v>
      </c>
      <c r="F6020" s="489" t="s">
        <v>1337</v>
      </c>
      <c r="G6020" s="395">
        <f>VLOOKUP($A6020,'Tech Litons'!$A:$I,8,FALSE)</f>
        <v>8.4600000000000005E-3</v>
      </c>
      <c r="H6020" s="174">
        <f>VLOOKUP($A6020,'Tech Litons'!$A:$I,9,FALSE)</f>
        <v>168</v>
      </c>
      <c r="I6020" s="174" t="str">
        <f>VLOOKUP($A6020,'Tech Litons'!$A:$C,3,0)</f>
        <v>48oz</v>
      </c>
      <c r="J6020" s="175" t="str">
        <f t="shared" si="685"/>
        <v>391048oz</v>
      </c>
      <c r="K6020" s="176">
        <f>VLOOKUP(I6020,'Attain %'!A:B,2,0)</f>
        <v>0.94</v>
      </c>
      <c r="L6020" s="177">
        <f t="shared" si="686"/>
        <v>0</v>
      </c>
      <c r="M6020" s="177">
        <f t="shared" si="687"/>
        <v>0</v>
      </c>
      <c r="N6020" s="177">
        <f t="shared" si="688"/>
        <v>0</v>
      </c>
      <c r="O6020" s="175" t="str">
        <f t="shared" si="689"/>
        <v>Aug</v>
      </c>
      <c r="P6020" s="265">
        <f t="shared" si="690"/>
        <v>34</v>
      </c>
    </row>
    <row r="6021" spans="1:16" ht="15" hidden="1" customHeight="1">
      <c r="A6021" s="489">
        <v>64360553</v>
      </c>
      <c r="B6021" s="489">
        <v>3910</v>
      </c>
      <c r="D6021" s="597">
        <v>46258</v>
      </c>
      <c r="E6021" s="489" t="s">
        <v>1338</v>
      </c>
      <c r="F6021" s="489" t="s">
        <v>1337</v>
      </c>
      <c r="G6021" s="395">
        <f>VLOOKUP($A6021,'Tech Litons'!$A:$I,8,FALSE)</f>
        <v>8.4600000000000005E-3</v>
      </c>
      <c r="H6021" s="174">
        <f>VLOOKUP($A6021,'Tech Litons'!$A:$I,9,FALSE)</f>
        <v>168</v>
      </c>
      <c r="I6021" s="174" t="str">
        <f>VLOOKUP($A6021,'Tech Litons'!$A:$C,3,0)</f>
        <v>48oz</v>
      </c>
      <c r="J6021" s="175" t="str">
        <f t="shared" si="685"/>
        <v>391048oz</v>
      </c>
      <c r="K6021" s="176">
        <f>VLOOKUP(I6021,'Attain %'!A:B,2,0)</f>
        <v>0.94</v>
      </c>
      <c r="L6021" s="177">
        <f t="shared" si="686"/>
        <v>0</v>
      </c>
      <c r="M6021" s="177">
        <f t="shared" si="687"/>
        <v>0</v>
      </c>
      <c r="N6021" s="177">
        <f t="shared" si="688"/>
        <v>0</v>
      </c>
      <c r="O6021" s="175" t="str">
        <f t="shared" si="689"/>
        <v>Aug</v>
      </c>
      <c r="P6021" s="265">
        <f t="shared" si="690"/>
        <v>35</v>
      </c>
    </row>
    <row r="6022" spans="1:16" ht="15" hidden="1" customHeight="1">
      <c r="A6022" s="489">
        <v>64360553</v>
      </c>
      <c r="B6022" s="489">
        <v>3910</v>
      </c>
      <c r="D6022" s="597">
        <v>46265</v>
      </c>
      <c r="E6022" s="489" t="s">
        <v>1338</v>
      </c>
      <c r="F6022" s="489" t="s">
        <v>1337</v>
      </c>
      <c r="G6022" s="395">
        <f>VLOOKUP($A6022,'Tech Litons'!$A:$I,8,FALSE)</f>
        <v>8.4600000000000005E-3</v>
      </c>
      <c r="H6022" s="174">
        <f>VLOOKUP($A6022,'Tech Litons'!$A:$I,9,FALSE)</f>
        <v>168</v>
      </c>
      <c r="I6022" s="174" t="str">
        <f>VLOOKUP($A6022,'Tech Litons'!$A:$C,3,0)</f>
        <v>48oz</v>
      </c>
      <c r="J6022" s="175" t="str">
        <f t="shared" si="685"/>
        <v>391048oz</v>
      </c>
      <c r="K6022" s="176">
        <f>VLOOKUP(I6022,'Attain %'!A:B,2,0)</f>
        <v>0.94</v>
      </c>
      <c r="L6022" s="177">
        <f t="shared" si="686"/>
        <v>0</v>
      </c>
      <c r="M6022" s="177">
        <f t="shared" si="687"/>
        <v>0</v>
      </c>
      <c r="N6022" s="177">
        <f t="shared" si="688"/>
        <v>0</v>
      </c>
      <c r="O6022" s="175" t="str">
        <f t="shared" si="689"/>
        <v>Aug</v>
      </c>
      <c r="P6022" s="265">
        <f t="shared" si="690"/>
        <v>36</v>
      </c>
    </row>
    <row r="6023" spans="1:16" ht="15" hidden="1" customHeight="1">
      <c r="A6023" s="489">
        <v>64360553</v>
      </c>
      <c r="B6023" s="489">
        <v>3910</v>
      </c>
      <c r="D6023" s="597">
        <v>46272</v>
      </c>
      <c r="E6023" s="489" t="s">
        <v>1338</v>
      </c>
      <c r="F6023" s="489" t="s">
        <v>1337</v>
      </c>
      <c r="G6023" s="395">
        <f>VLOOKUP($A6023,'Tech Litons'!$A:$I,8,FALSE)</f>
        <v>8.4600000000000005E-3</v>
      </c>
      <c r="H6023" s="174">
        <f>VLOOKUP($A6023,'Tech Litons'!$A:$I,9,FALSE)</f>
        <v>168</v>
      </c>
      <c r="I6023" s="174" t="str">
        <f>VLOOKUP($A6023,'Tech Litons'!$A:$C,3,0)</f>
        <v>48oz</v>
      </c>
      <c r="J6023" s="175" t="str">
        <f t="shared" si="685"/>
        <v>391048oz</v>
      </c>
      <c r="K6023" s="176">
        <f>VLOOKUP(I6023,'Attain %'!A:B,2,0)</f>
        <v>0.94</v>
      </c>
      <c r="L6023" s="177">
        <f t="shared" si="686"/>
        <v>0</v>
      </c>
      <c r="M6023" s="177">
        <f t="shared" si="687"/>
        <v>0</v>
      </c>
      <c r="N6023" s="177">
        <f t="shared" si="688"/>
        <v>0</v>
      </c>
      <c r="O6023" s="175" t="str">
        <f t="shared" si="689"/>
        <v>Sep</v>
      </c>
      <c r="P6023" s="265">
        <f t="shared" si="690"/>
        <v>37</v>
      </c>
    </row>
    <row r="6024" spans="1:16" ht="15" hidden="1" customHeight="1">
      <c r="A6024" s="489">
        <v>64360553</v>
      </c>
      <c r="B6024" s="489">
        <v>3910</v>
      </c>
      <c r="D6024" s="597">
        <v>46279</v>
      </c>
      <c r="E6024" s="489" t="s">
        <v>1338</v>
      </c>
      <c r="F6024" s="489" t="s">
        <v>1337</v>
      </c>
      <c r="G6024" s="395">
        <f>VLOOKUP($A6024,'Tech Litons'!$A:$I,8,FALSE)</f>
        <v>8.4600000000000005E-3</v>
      </c>
      <c r="H6024" s="174">
        <f>VLOOKUP($A6024,'Tech Litons'!$A:$I,9,FALSE)</f>
        <v>168</v>
      </c>
      <c r="I6024" s="174" t="str">
        <f>VLOOKUP($A6024,'Tech Litons'!$A:$C,3,0)</f>
        <v>48oz</v>
      </c>
      <c r="J6024" s="175" t="str">
        <f t="shared" si="685"/>
        <v>391048oz</v>
      </c>
      <c r="K6024" s="176">
        <f>VLOOKUP(I6024,'Attain %'!A:B,2,0)</f>
        <v>0.94</v>
      </c>
      <c r="L6024" s="177">
        <f t="shared" si="686"/>
        <v>0</v>
      </c>
      <c r="M6024" s="177">
        <f t="shared" si="687"/>
        <v>0</v>
      </c>
      <c r="N6024" s="177">
        <f t="shared" si="688"/>
        <v>0</v>
      </c>
      <c r="O6024" s="175" t="str">
        <f t="shared" si="689"/>
        <v>Sep</v>
      </c>
      <c r="P6024" s="265">
        <f t="shared" si="690"/>
        <v>38</v>
      </c>
    </row>
    <row r="6025" spans="1:16" ht="15" hidden="1" customHeight="1">
      <c r="A6025" s="489">
        <v>64360553</v>
      </c>
      <c r="B6025" s="489">
        <v>3910</v>
      </c>
      <c r="D6025" s="597">
        <v>46286</v>
      </c>
      <c r="E6025" s="489" t="s">
        <v>1338</v>
      </c>
      <c r="F6025" s="489" t="s">
        <v>1337</v>
      </c>
      <c r="G6025" s="395">
        <f>VLOOKUP($A6025,'Tech Litons'!$A:$I,8,FALSE)</f>
        <v>8.4600000000000005E-3</v>
      </c>
      <c r="H6025" s="174">
        <f>VLOOKUP($A6025,'Tech Litons'!$A:$I,9,FALSE)</f>
        <v>168</v>
      </c>
      <c r="I6025" s="174" t="str">
        <f>VLOOKUP($A6025,'Tech Litons'!$A:$C,3,0)</f>
        <v>48oz</v>
      </c>
      <c r="J6025" s="175" t="str">
        <f t="shared" si="685"/>
        <v>391048oz</v>
      </c>
      <c r="K6025" s="176">
        <f>VLOOKUP(I6025,'Attain %'!A:B,2,0)</f>
        <v>0.94</v>
      </c>
      <c r="L6025" s="177">
        <f t="shared" si="686"/>
        <v>0</v>
      </c>
      <c r="M6025" s="177">
        <f t="shared" si="687"/>
        <v>0</v>
      </c>
      <c r="N6025" s="177">
        <f t="shared" si="688"/>
        <v>0</v>
      </c>
      <c r="O6025" s="175" t="str">
        <f t="shared" si="689"/>
        <v>Sep</v>
      </c>
      <c r="P6025" s="265">
        <f t="shared" si="690"/>
        <v>39</v>
      </c>
    </row>
    <row r="6026" spans="1:16" ht="15" hidden="1" customHeight="1">
      <c r="A6026" s="489">
        <v>64360553</v>
      </c>
      <c r="B6026" s="489">
        <v>3910</v>
      </c>
      <c r="D6026" s="597">
        <v>46293</v>
      </c>
      <c r="E6026" s="489" t="s">
        <v>1338</v>
      </c>
      <c r="F6026" s="489" t="s">
        <v>1337</v>
      </c>
      <c r="G6026" s="395">
        <f>VLOOKUP($A6026,'Tech Litons'!$A:$I,8,FALSE)</f>
        <v>8.4600000000000005E-3</v>
      </c>
      <c r="H6026" s="174">
        <f>VLOOKUP($A6026,'Tech Litons'!$A:$I,9,FALSE)</f>
        <v>168</v>
      </c>
      <c r="I6026" s="174" t="str">
        <f>VLOOKUP($A6026,'Tech Litons'!$A:$C,3,0)</f>
        <v>48oz</v>
      </c>
      <c r="J6026" s="175" t="str">
        <f t="shared" si="685"/>
        <v>391048oz</v>
      </c>
      <c r="K6026" s="176">
        <f>VLOOKUP(I6026,'Attain %'!A:B,2,0)</f>
        <v>0.94</v>
      </c>
      <c r="L6026" s="177">
        <f t="shared" si="686"/>
        <v>0</v>
      </c>
      <c r="M6026" s="177">
        <f t="shared" si="687"/>
        <v>0</v>
      </c>
      <c r="N6026" s="177">
        <f t="shared" si="688"/>
        <v>0</v>
      </c>
      <c r="O6026" s="175" t="str">
        <f t="shared" si="689"/>
        <v>Sep</v>
      </c>
      <c r="P6026" s="265">
        <f t="shared" si="690"/>
        <v>40</v>
      </c>
    </row>
    <row r="6027" spans="1:16" ht="15" hidden="1" customHeight="1">
      <c r="A6027" s="489">
        <v>64360553</v>
      </c>
      <c r="B6027" s="489">
        <v>3910</v>
      </c>
      <c r="D6027" s="597">
        <v>46300</v>
      </c>
      <c r="E6027" s="489" t="s">
        <v>1338</v>
      </c>
      <c r="F6027" s="489" t="s">
        <v>1337</v>
      </c>
      <c r="G6027" s="395">
        <f>VLOOKUP($A6027,'Tech Litons'!$A:$I,8,FALSE)</f>
        <v>8.4600000000000005E-3</v>
      </c>
      <c r="H6027" s="174">
        <f>VLOOKUP($A6027,'Tech Litons'!$A:$I,9,FALSE)</f>
        <v>168</v>
      </c>
      <c r="I6027" s="174" t="str">
        <f>VLOOKUP($A6027,'Tech Litons'!$A:$C,3,0)</f>
        <v>48oz</v>
      </c>
      <c r="J6027" s="175" t="str">
        <f t="shared" si="685"/>
        <v>391048oz</v>
      </c>
      <c r="K6027" s="176">
        <f>VLOOKUP(I6027,'Attain %'!A:B,2,0)</f>
        <v>0.94</v>
      </c>
      <c r="L6027" s="177">
        <f t="shared" si="686"/>
        <v>0</v>
      </c>
      <c r="M6027" s="177">
        <f t="shared" si="687"/>
        <v>0</v>
      </c>
      <c r="N6027" s="177">
        <f t="shared" si="688"/>
        <v>0</v>
      </c>
      <c r="O6027" s="175" t="str">
        <f t="shared" si="689"/>
        <v>Oct</v>
      </c>
      <c r="P6027" s="265">
        <f t="shared" si="690"/>
        <v>41</v>
      </c>
    </row>
    <row r="6028" spans="1:16" ht="15" hidden="1" customHeight="1">
      <c r="A6028" s="489">
        <v>64369052</v>
      </c>
      <c r="B6028" s="489" t="s">
        <v>137</v>
      </c>
      <c r="C6028" s="488">
        <v>12000</v>
      </c>
      <c r="D6028" s="597">
        <v>46160</v>
      </c>
      <c r="E6028" s="489" t="s">
        <v>626</v>
      </c>
      <c r="F6028" s="489" t="s">
        <v>1223</v>
      </c>
      <c r="G6028" s="395">
        <f>VLOOKUP($A6028,'Tech Litons'!$A:$I,8,FALSE)</f>
        <v>5.3220000000000003E-3</v>
      </c>
      <c r="H6028" s="174">
        <f>VLOOKUP($A6028,'Tech Litons'!$A:$I,9,FALSE)</f>
        <v>120</v>
      </c>
      <c r="I6028" s="174" t="str">
        <f>VLOOKUP($A6028,'Tech Litons'!$A:$C,3,0)</f>
        <v>KL Mini Cones</v>
      </c>
      <c r="J6028" s="175" t="str">
        <f t="shared" si="685"/>
        <v>TurkeyKL Mini Cones</v>
      </c>
      <c r="K6028" s="176">
        <f>VLOOKUP(I6028,'Attain %'!A:B,2,0)</f>
        <v>0.96</v>
      </c>
      <c r="L6028" s="177">
        <f t="shared" si="686"/>
        <v>11520</v>
      </c>
      <c r="M6028" s="177">
        <f t="shared" si="687"/>
        <v>61.309440000000002</v>
      </c>
      <c r="N6028" s="177">
        <f t="shared" si="688"/>
        <v>96</v>
      </c>
      <c r="O6028" s="175" t="str">
        <f t="shared" si="689"/>
        <v>May</v>
      </c>
      <c r="P6028" s="265">
        <f t="shared" si="690"/>
        <v>21</v>
      </c>
    </row>
    <row r="6029" spans="1:16" ht="15" hidden="1" customHeight="1">
      <c r="A6029" s="489">
        <v>64875812</v>
      </c>
      <c r="B6029" s="489">
        <v>6757</v>
      </c>
      <c r="C6029" s="488">
        <v>12113</v>
      </c>
      <c r="D6029" s="597">
        <v>46118</v>
      </c>
      <c r="E6029" s="489" t="s">
        <v>347</v>
      </c>
      <c r="F6029" s="489" t="s">
        <v>1221</v>
      </c>
      <c r="G6029" s="395">
        <f>VLOOKUP($A6029,'Tech Litons'!$A:$I,8,FALSE)</f>
        <v>6.0000000000000001E-3</v>
      </c>
      <c r="H6029" s="174">
        <f>VLOOKUP($A6029,'Tech Litons'!$A:$I,9,FALSE)</f>
        <v>108</v>
      </c>
      <c r="I6029" s="174" t="str">
        <f>VLOOKUP($A6029,'Tech Litons'!$A:$C,3,0)</f>
        <v>ESS</v>
      </c>
      <c r="J6029" s="175" t="str">
        <f t="shared" si="685"/>
        <v>6757ESS</v>
      </c>
      <c r="K6029" s="176">
        <f>VLOOKUP(I6029,'Attain %'!A:B,2,0)</f>
        <v>0.96</v>
      </c>
      <c r="L6029" s="177">
        <f t="shared" si="686"/>
        <v>11628.48</v>
      </c>
      <c r="M6029" s="177">
        <f t="shared" si="687"/>
        <v>69.770880000000005</v>
      </c>
      <c r="N6029" s="177">
        <f t="shared" si="688"/>
        <v>107.6711111111111</v>
      </c>
      <c r="O6029" s="175" t="str">
        <f t="shared" si="689"/>
        <v>Apr</v>
      </c>
      <c r="P6029" s="265">
        <f t="shared" si="690"/>
        <v>15</v>
      </c>
    </row>
    <row r="6030" spans="1:16" ht="15" hidden="1" customHeight="1">
      <c r="A6030" s="489">
        <v>64875812</v>
      </c>
      <c r="B6030" s="489">
        <v>6757</v>
      </c>
      <c r="C6030" s="488">
        <v>12113</v>
      </c>
      <c r="D6030" s="597">
        <v>46125</v>
      </c>
      <c r="E6030" s="489" t="s">
        <v>347</v>
      </c>
      <c r="F6030" s="489" t="s">
        <v>1221</v>
      </c>
      <c r="G6030" s="395">
        <f>VLOOKUP($A6030,'Tech Litons'!$A:$I,8,FALSE)</f>
        <v>6.0000000000000001E-3</v>
      </c>
      <c r="H6030" s="174">
        <f>VLOOKUP($A6030,'Tech Litons'!$A:$I,9,FALSE)</f>
        <v>108</v>
      </c>
      <c r="I6030" s="174" t="str">
        <f>VLOOKUP($A6030,'Tech Litons'!$A:$C,3,0)</f>
        <v>ESS</v>
      </c>
      <c r="J6030" s="175" t="str">
        <f t="shared" si="685"/>
        <v>6757ESS</v>
      </c>
      <c r="K6030" s="176">
        <f>VLOOKUP(I6030,'Attain %'!A:B,2,0)</f>
        <v>0.96</v>
      </c>
      <c r="L6030" s="177">
        <f t="shared" si="686"/>
        <v>11628.48</v>
      </c>
      <c r="M6030" s="177">
        <f t="shared" si="687"/>
        <v>69.770880000000005</v>
      </c>
      <c r="N6030" s="177">
        <f t="shared" si="688"/>
        <v>107.6711111111111</v>
      </c>
      <c r="O6030" s="175" t="str">
        <f t="shared" si="689"/>
        <v>Apr</v>
      </c>
      <c r="P6030" s="265">
        <f t="shared" si="690"/>
        <v>16</v>
      </c>
    </row>
    <row r="6031" spans="1:16" ht="15" hidden="1" customHeight="1">
      <c r="A6031" s="489">
        <v>64875812</v>
      </c>
      <c r="B6031" s="489">
        <v>6757</v>
      </c>
      <c r="C6031" s="488">
        <v>12113</v>
      </c>
      <c r="D6031" s="597">
        <v>46132</v>
      </c>
      <c r="E6031" s="489" t="s">
        <v>347</v>
      </c>
      <c r="F6031" s="489" t="s">
        <v>1221</v>
      </c>
      <c r="G6031" s="395">
        <f>VLOOKUP($A6031,'Tech Litons'!$A:$I,8,FALSE)</f>
        <v>6.0000000000000001E-3</v>
      </c>
      <c r="H6031" s="174">
        <f>VLOOKUP($A6031,'Tech Litons'!$A:$I,9,FALSE)</f>
        <v>108</v>
      </c>
      <c r="I6031" s="174" t="str">
        <f>VLOOKUP($A6031,'Tech Litons'!$A:$C,3,0)</f>
        <v>ESS</v>
      </c>
      <c r="J6031" s="175" t="str">
        <f t="shared" si="685"/>
        <v>6757ESS</v>
      </c>
      <c r="K6031" s="176">
        <f>VLOOKUP(I6031,'Attain %'!A:B,2,0)</f>
        <v>0.96</v>
      </c>
      <c r="L6031" s="177">
        <f t="shared" si="686"/>
        <v>11628.48</v>
      </c>
      <c r="M6031" s="177">
        <f t="shared" si="687"/>
        <v>69.770880000000005</v>
      </c>
      <c r="N6031" s="177">
        <f t="shared" si="688"/>
        <v>107.6711111111111</v>
      </c>
      <c r="O6031" s="175" t="str">
        <f t="shared" si="689"/>
        <v>Apr</v>
      </c>
      <c r="P6031" s="265">
        <f t="shared" si="690"/>
        <v>17</v>
      </c>
    </row>
    <row r="6032" spans="1:16" ht="15" hidden="1" customHeight="1">
      <c r="A6032" s="489">
        <v>64875812</v>
      </c>
      <c r="B6032" s="489">
        <v>6757</v>
      </c>
      <c r="C6032" s="488">
        <v>12113</v>
      </c>
      <c r="D6032" s="597">
        <v>46139</v>
      </c>
      <c r="E6032" s="489" t="s">
        <v>347</v>
      </c>
      <c r="F6032" s="489" t="s">
        <v>1221</v>
      </c>
      <c r="G6032" s="395">
        <f>VLOOKUP($A6032,'Tech Litons'!$A:$I,8,FALSE)</f>
        <v>6.0000000000000001E-3</v>
      </c>
      <c r="H6032" s="174">
        <f>VLOOKUP($A6032,'Tech Litons'!$A:$I,9,FALSE)</f>
        <v>108</v>
      </c>
      <c r="I6032" s="174" t="str">
        <f>VLOOKUP($A6032,'Tech Litons'!$A:$C,3,0)</f>
        <v>ESS</v>
      </c>
      <c r="J6032" s="175" t="str">
        <f t="shared" si="685"/>
        <v>6757ESS</v>
      </c>
      <c r="K6032" s="176">
        <f>VLOOKUP(I6032,'Attain %'!A:B,2,0)</f>
        <v>0.96</v>
      </c>
      <c r="L6032" s="177">
        <f t="shared" si="686"/>
        <v>11628.48</v>
      </c>
      <c r="M6032" s="177">
        <f t="shared" si="687"/>
        <v>69.770880000000005</v>
      </c>
      <c r="N6032" s="177">
        <f t="shared" si="688"/>
        <v>107.6711111111111</v>
      </c>
      <c r="O6032" s="175" t="str">
        <f t="shared" si="689"/>
        <v>Apr</v>
      </c>
      <c r="P6032" s="265">
        <f t="shared" si="690"/>
        <v>18</v>
      </c>
    </row>
    <row r="6033" spans="1:16" ht="15" hidden="1" customHeight="1">
      <c r="A6033" s="489">
        <v>64875812</v>
      </c>
      <c r="B6033" s="489">
        <v>6757</v>
      </c>
      <c r="C6033" s="488">
        <v>12113</v>
      </c>
      <c r="D6033" s="597">
        <v>46146</v>
      </c>
      <c r="E6033" s="489" t="s">
        <v>347</v>
      </c>
      <c r="F6033" s="489" t="s">
        <v>1221</v>
      </c>
      <c r="G6033" s="395">
        <f>VLOOKUP($A6033,'Tech Litons'!$A:$I,8,FALSE)</f>
        <v>6.0000000000000001E-3</v>
      </c>
      <c r="H6033" s="174">
        <f>VLOOKUP($A6033,'Tech Litons'!$A:$I,9,FALSE)</f>
        <v>108</v>
      </c>
      <c r="I6033" s="174" t="str">
        <f>VLOOKUP($A6033,'Tech Litons'!$A:$C,3,0)</f>
        <v>ESS</v>
      </c>
      <c r="J6033" s="175" t="str">
        <f t="shared" si="685"/>
        <v>6757ESS</v>
      </c>
      <c r="K6033" s="176">
        <f>VLOOKUP(I6033,'Attain %'!A:B,2,0)</f>
        <v>0.96</v>
      </c>
      <c r="L6033" s="177">
        <f t="shared" si="686"/>
        <v>11628.48</v>
      </c>
      <c r="M6033" s="177">
        <f t="shared" si="687"/>
        <v>69.770880000000005</v>
      </c>
      <c r="N6033" s="177">
        <f t="shared" si="688"/>
        <v>107.6711111111111</v>
      </c>
      <c r="O6033" s="175" t="str">
        <f t="shared" si="689"/>
        <v>May</v>
      </c>
      <c r="P6033" s="265">
        <f t="shared" si="690"/>
        <v>19</v>
      </c>
    </row>
    <row r="6034" spans="1:16" ht="15" hidden="1" customHeight="1">
      <c r="A6034" s="489">
        <v>64875812</v>
      </c>
      <c r="B6034" s="489">
        <v>6757</v>
      </c>
      <c r="C6034" s="488">
        <v>12113</v>
      </c>
      <c r="D6034" s="597">
        <v>46153</v>
      </c>
      <c r="E6034" s="489" t="s">
        <v>347</v>
      </c>
      <c r="F6034" s="489" t="s">
        <v>1221</v>
      </c>
      <c r="G6034" s="395">
        <f>VLOOKUP($A6034,'Tech Litons'!$A:$I,8,FALSE)</f>
        <v>6.0000000000000001E-3</v>
      </c>
      <c r="H6034" s="174">
        <f>VLOOKUP($A6034,'Tech Litons'!$A:$I,9,FALSE)</f>
        <v>108</v>
      </c>
      <c r="I6034" s="174" t="str">
        <f>VLOOKUP($A6034,'Tech Litons'!$A:$C,3,0)</f>
        <v>ESS</v>
      </c>
      <c r="J6034" s="175" t="str">
        <f t="shared" si="685"/>
        <v>6757ESS</v>
      </c>
      <c r="K6034" s="176">
        <f>VLOOKUP(I6034,'Attain %'!A:B,2,0)</f>
        <v>0.96</v>
      </c>
      <c r="L6034" s="177">
        <f t="shared" si="686"/>
        <v>11628.48</v>
      </c>
      <c r="M6034" s="177">
        <f t="shared" si="687"/>
        <v>69.770880000000005</v>
      </c>
      <c r="N6034" s="177">
        <f t="shared" si="688"/>
        <v>107.6711111111111</v>
      </c>
      <c r="O6034" s="175" t="str">
        <f t="shared" si="689"/>
        <v>May</v>
      </c>
      <c r="P6034" s="265">
        <f t="shared" si="690"/>
        <v>20</v>
      </c>
    </row>
    <row r="6035" spans="1:16" ht="15" hidden="1" customHeight="1">
      <c r="A6035" s="489">
        <v>64875812</v>
      </c>
      <c r="B6035" s="489">
        <v>6757</v>
      </c>
      <c r="C6035" s="488">
        <v>12113</v>
      </c>
      <c r="D6035" s="597">
        <v>46160</v>
      </c>
      <c r="E6035" s="489" t="s">
        <v>347</v>
      </c>
      <c r="F6035" s="489" t="s">
        <v>1221</v>
      </c>
      <c r="G6035" s="395">
        <f>VLOOKUP($A6035,'Tech Litons'!$A:$I,8,FALSE)</f>
        <v>6.0000000000000001E-3</v>
      </c>
      <c r="H6035" s="174">
        <f>VLOOKUP($A6035,'Tech Litons'!$A:$I,9,FALSE)</f>
        <v>108</v>
      </c>
      <c r="I6035" s="174" t="str">
        <f>VLOOKUP($A6035,'Tech Litons'!$A:$C,3,0)</f>
        <v>ESS</v>
      </c>
      <c r="J6035" s="175" t="str">
        <f t="shared" si="685"/>
        <v>6757ESS</v>
      </c>
      <c r="K6035" s="176">
        <f>VLOOKUP(I6035,'Attain %'!A:B,2,0)</f>
        <v>0.96</v>
      </c>
      <c r="L6035" s="177">
        <f t="shared" si="686"/>
        <v>11628.48</v>
      </c>
      <c r="M6035" s="177">
        <f t="shared" si="687"/>
        <v>69.770880000000005</v>
      </c>
      <c r="N6035" s="177">
        <f t="shared" si="688"/>
        <v>107.6711111111111</v>
      </c>
      <c r="O6035" s="175" t="str">
        <f t="shared" si="689"/>
        <v>May</v>
      </c>
      <c r="P6035" s="265">
        <f t="shared" si="690"/>
        <v>21</v>
      </c>
    </row>
    <row r="6036" spans="1:16" ht="15" hidden="1" customHeight="1">
      <c r="A6036" s="489">
        <v>64875812</v>
      </c>
      <c r="B6036" s="489">
        <v>6757</v>
      </c>
      <c r="C6036" s="488">
        <v>12113</v>
      </c>
      <c r="D6036" s="597">
        <v>46167</v>
      </c>
      <c r="E6036" s="489" t="s">
        <v>347</v>
      </c>
      <c r="F6036" s="489" t="s">
        <v>1221</v>
      </c>
      <c r="G6036" s="395">
        <f>VLOOKUP($A6036,'Tech Litons'!$A:$I,8,FALSE)</f>
        <v>6.0000000000000001E-3</v>
      </c>
      <c r="H6036" s="174">
        <f>VLOOKUP($A6036,'Tech Litons'!$A:$I,9,FALSE)</f>
        <v>108</v>
      </c>
      <c r="I6036" s="174" t="str">
        <f>VLOOKUP($A6036,'Tech Litons'!$A:$C,3,0)</f>
        <v>ESS</v>
      </c>
      <c r="J6036" s="175" t="str">
        <f t="shared" si="685"/>
        <v>6757ESS</v>
      </c>
      <c r="K6036" s="176">
        <f>VLOOKUP(I6036,'Attain %'!A:B,2,0)</f>
        <v>0.96</v>
      </c>
      <c r="L6036" s="177">
        <f t="shared" si="686"/>
        <v>11628.48</v>
      </c>
      <c r="M6036" s="177">
        <f t="shared" si="687"/>
        <v>69.770880000000005</v>
      </c>
      <c r="N6036" s="177">
        <f t="shared" si="688"/>
        <v>107.6711111111111</v>
      </c>
      <c r="O6036" s="175" t="str">
        <f t="shared" si="689"/>
        <v>May</v>
      </c>
      <c r="P6036" s="265">
        <f t="shared" si="690"/>
        <v>22</v>
      </c>
    </row>
    <row r="6037" spans="1:16" ht="15" hidden="1" customHeight="1">
      <c r="A6037" s="489">
        <v>64875812</v>
      </c>
      <c r="B6037" s="489">
        <v>6757</v>
      </c>
      <c r="C6037" s="488">
        <v>12113</v>
      </c>
      <c r="D6037" s="597">
        <v>46174</v>
      </c>
      <c r="E6037" s="489" t="s">
        <v>347</v>
      </c>
      <c r="F6037" s="489" t="s">
        <v>1221</v>
      </c>
      <c r="G6037" s="395">
        <f>VLOOKUP($A6037,'Tech Litons'!$A:$I,8,FALSE)</f>
        <v>6.0000000000000001E-3</v>
      </c>
      <c r="H6037" s="174">
        <f>VLOOKUP($A6037,'Tech Litons'!$A:$I,9,FALSE)</f>
        <v>108</v>
      </c>
      <c r="I6037" s="174" t="str">
        <f>VLOOKUP($A6037,'Tech Litons'!$A:$C,3,0)</f>
        <v>ESS</v>
      </c>
      <c r="J6037" s="175" t="str">
        <f t="shared" si="685"/>
        <v>6757ESS</v>
      </c>
      <c r="K6037" s="176">
        <f>VLOOKUP(I6037,'Attain %'!A:B,2,0)</f>
        <v>0.96</v>
      </c>
      <c r="L6037" s="177">
        <f t="shared" si="686"/>
        <v>11628.48</v>
      </c>
      <c r="M6037" s="177">
        <f t="shared" si="687"/>
        <v>69.770880000000005</v>
      </c>
      <c r="N6037" s="177">
        <f t="shared" si="688"/>
        <v>107.6711111111111</v>
      </c>
      <c r="O6037" s="175" t="str">
        <f t="shared" si="689"/>
        <v>Jun</v>
      </c>
      <c r="P6037" s="265">
        <f t="shared" si="690"/>
        <v>23</v>
      </c>
    </row>
    <row r="6038" spans="1:16" ht="15" hidden="1" customHeight="1">
      <c r="A6038" s="489">
        <v>64875812</v>
      </c>
      <c r="B6038" s="489">
        <v>6757</v>
      </c>
      <c r="C6038" s="488">
        <v>12113</v>
      </c>
      <c r="D6038" s="597">
        <v>46188</v>
      </c>
      <c r="E6038" s="489" t="s">
        <v>347</v>
      </c>
      <c r="F6038" s="489" t="s">
        <v>1221</v>
      </c>
      <c r="G6038" s="395">
        <f>VLOOKUP($A6038,'Tech Litons'!$A:$I,8,FALSE)</f>
        <v>6.0000000000000001E-3</v>
      </c>
      <c r="H6038" s="174">
        <f>VLOOKUP($A6038,'Tech Litons'!$A:$I,9,FALSE)</f>
        <v>108</v>
      </c>
      <c r="I6038" s="174" t="str">
        <f>VLOOKUP($A6038,'Tech Litons'!$A:$C,3,0)</f>
        <v>ESS</v>
      </c>
      <c r="J6038" s="175" t="str">
        <f t="shared" si="685"/>
        <v>6757ESS</v>
      </c>
      <c r="K6038" s="176">
        <f>VLOOKUP(I6038,'Attain %'!A:B,2,0)</f>
        <v>0.96</v>
      </c>
      <c r="L6038" s="177">
        <f t="shared" si="686"/>
        <v>11628.48</v>
      </c>
      <c r="M6038" s="177">
        <f t="shared" si="687"/>
        <v>69.770880000000005</v>
      </c>
      <c r="N6038" s="177">
        <f t="shared" si="688"/>
        <v>107.6711111111111</v>
      </c>
      <c r="O6038" s="175" t="str">
        <f t="shared" si="689"/>
        <v>Jun</v>
      </c>
      <c r="P6038" s="265">
        <f t="shared" si="690"/>
        <v>25</v>
      </c>
    </row>
    <row r="6039" spans="1:16" ht="15" hidden="1" customHeight="1">
      <c r="A6039" s="489">
        <v>64875812</v>
      </c>
      <c r="B6039" s="489">
        <v>6757</v>
      </c>
      <c r="C6039" s="488">
        <v>12113</v>
      </c>
      <c r="D6039" s="597">
        <v>46195</v>
      </c>
      <c r="E6039" s="489" t="s">
        <v>347</v>
      </c>
      <c r="F6039" s="489" t="s">
        <v>1221</v>
      </c>
      <c r="G6039" s="395">
        <f>VLOOKUP($A6039,'Tech Litons'!$A:$I,8,FALSE)</f>
        <v>6.0000000000000001E-3</v>
      </c>
      <c r="H6039" s="174">
        <f>VLOOKUP($A6039,'Tech Litons'!$A:$I,9,FALSE)</f>
        <v>108</v>
      </c>
      <c r="I6039" s="174" t="str">
        <f>VLOOKUP($A6039,'Tech Litons'!$A:$C,3,0)</f>
        <v>ESS</v>
      </c>
      <c r="J6039" s="175" t="str">
        <f t="shared" si="685"/>
        <v>6757ESS</v>
      </c>
      <c r="K6039" s="176">
        <f>VLOOKUP(I6039,'Attain %'!A:B,2,0)</f>
        <v>0.96</v>
      </c>
      <c r="L6039" s="177">
        <f t="shared" si="686"/>
        <v>11628.48</v>
      </c>
      <c r="M6039" s="177">
        <f t="shared" si="687"/>
        <v>69.770880000000005</v>
      </c>
      <c r="N6039" s="177">
        <f t="shared" si="688"/>
        <v>107.6711111111111</v>
      </c>
      <c r="O6039" s="175" t="str">
        <f t="shared" si="689"/>
        <v>Jun</v>
      </c>
      <c r="P6039" s="265">
        <f t="shared" si="690"/>
        <v>26</v>
      </c>
    </row>
    <row r="6040" spans="1:16" ht="15" hidden="1" customHeight="1">
      <c r="A6040" s="489">
        <v>64875812</v>
      </c>
      <c r="B6040" s="489">
        <v>6757</v>
      </c>
      <c r="C6040" s="488">
        <v>12113</v>
      </c>
      <c r="D6040" s="597">
        <v>46202</v>
      </c>
      <c r="E6040" s="489" t="s">
        <v>347</v>
      </c>
      <c r="F6040" s="489" t="s">
        <v>1221</v>
      </c>
      <c r="G6040" s="395">
        <f>VLOOKUP($A6040,'Tech Litons'!$A:$I,8,FALSE)</f>
        <v>6.0000000000000001E-3</v>
      </c>
      <c r="H6040" s="174">
        <f>VLOOKUP($A6040,'Tech Litons'!$A:$I,9,FALSE)</f>
        <v>108</v>
      </c>
      <c r="I6040" s="174" t="str">
        <f>VLOOKUP($A6040,'Tech Litons'!$A:$C,3,0)</f>
        <v>ESS</v>
      </c>
      <c r="J6040" s="175" t="str">
        <f t="shared" si="685"/>
        <v>6757ESS</v>
      </c>
      <c r="K6040" s="176">
        <f>VLOOKUP(I6040,'Attain %'!A:B,2,0)</f>
        <v>0.96</v>
      </c>
      <c r="L6040" s="177">
        <f t="shared" si="686"/>
        <v>11628.48</v>
      </c>
      <c r="M6040" s="177">
        <f t="shared" si="687"/>
        <v>69.770880000000005</v>
      </c>
      <c r="N6040" s="177">
        <f t="shared" si="688"/>
        <v>107.6711111111111</v>
      </c>
      <c r="O6040" s="175" t="str">
        <f t="shared" si="689"/>
        <v>Jun</v>
      </c>
      <c r="P6040" s="265">
        <f t="shared" si="690"/>
        <v>27</v>
      </c>
    </row>
    <row r="6041" spans="1:16" ht="15" hidden="1" customHeight="1">
      <c r="A6041" s="489">
        <v>64875812</v>
      </c>
      <c r="B6041" s="489">
        <v>6757</v>
      </c>
      <c r="C6041" s="488">
        <v>12113</v>
      </c>
      <c r="D6041" s="597">
        <v>46209</v>
      </c>
      <c r="E6041" s="489" t="s">
        <v>347</v>
      </c>
      <c r="F6041" s="489" t="s">
        <v>1221</v>
      </c>
      <c r="G6041" s="395">
        <f>VLOOKUP($A6041,'Tech Litons'!$A:$I,8,FALSE)</f>
        <v>6.0000000000000001E-3</v>
      </c>
      <c r="H6041" s="174">
        <f>VLOOKUP($A6041,'Tech Litons'!$A:$I,9,FALSE)</f>
        <v>108</v>
      </c>
      <c r="I6041" s="174" t="str">
        <f>VLOOKUP($A6041,'Tech Litons'!$A:$C,3,0)</f>
        <v>ESS</v>
      </c>
      <c r="J6041" s="175" t="str">
        <f t="shared" si="685"/>
        <v>6757ESS</v>
      </c>
      <c r="K6041" s="176">
        <f>VLOOKUP(I6041,'Attain %'!A:B,2,0)</f>
        <v>0.96</v>
      </c>
      <c r="L6041" s="177">
        <f t="shared" si="686"/>
        <v>11628.48</v>
      </c>
      <c r="M6041" s="177">
        <f t="shared" si="687"/>
        <v>69.770880000000005</v>
      </c>
      <c r="N6041" s="177">
        <f t="shared" si="688"/>
        <v>107.6711111111111</v>
      </c>
      <c r="O6041" s="175" t="str">
        <f t="shared" si="689"/>
        <v>Jul</v>
      </c>
      <c r="P6041" s="265">
        <f t="shared" si="690"/>
        <v>28</v>
      </c>
    </row>
    <row r="6042" spans="1:16" ht="15" hidden="1" customHeight="1">
      <c r="A6042" s="489">
        <v>64875812</v>
      </c>
      <c r="B6042" s="489">
        <v>6757</v>
      </c>
      <c r="C6042" s="488">
        <v>12113</v>
      </c>
      <c r="D6042" s="597">
        <v>46216</v>
      </c>
      <c r="E6042" s="489" t="s">
        <v>347</v>
      </c>
      <c r="F6042" s="489" t="s">
        <v>1221</v>
      </c>
      <c r="G6042" s="395">
        <f>VLOOKUP($A6042,'Tech Litons'!$A:$I,8,FALSE)</f>
        <v>6.0000000000000001E-3</v>
      </c>
      <c r="H6042" s="174">
        <f>VLOOKUP($A6042,'Tech Litons'!$A:$I,9,FALSE)</f>
        <v>108</v>
      </c>
      <c r="I6042" s="174" t="str">
        <f>VLOOKUP($A6042,'Tech Litons'!$A:$C,3,0)</f>
        <v>ESS</v>
      </c>
      <c r="J6042" s="175" t="str">
        <f t="shared" si="685"/>
        <v>6757ESS</v>
      </c>
      <c r="K6042" s="176">
        <f>VLOOKUP(I6042,'Attain %'!A:B,2,0)</f>
        <v>0.96</v>
      </c>
      <c r="L6042" s="177">
        <f t="shared" si="686"/>
        <v>11628.48</v>
      </c>
      <c r="M6042" s="177">
        <f t="shared" si="687"/>
        <v>69.770880000000005</v>
      </c>
      <c r="N6042" s="177">
        <f t="shared" si="688"/>
        <v>107.6711111111111</v>
      </c>
      <c r="O6042" s="175" t="str">
        <f t="shared" si="689"/>
        <v>Jul</v>
      </c>
      <c r="P6042" s="265">
        <f t="shared" si="690"/>
        <v>29</v>
      </c>
    </row>
    <row r="6043" spans="1:16" ht="15" hidden="1" customHeight="1">
      <c r="A6043" s="489">
        <v>64875812</v>
      </c>
      <c r="B6043" s="489">
        <v>6757</v>
      </c>
      <c r="C6043" s="488">
        <v>12113</v>
      </c>
      <c r="D6043" s="597">
        <v>46223</v>
      </c>
      <c r="E6043" s="489" t="s">
        <v>347</v>
      </c>
      <c r="F6043" s="489" t="s">
        <v>1221</v>
      </c>
      <c r="G6043" s="395">
        <f>VLOOKUP($A6043,'Tech Litons'!$A:$I,8,FALSE)</f>
        <v>6.0000000000000001E-3</v>
      </c>
      <c r="H6043" s="174">
        <f>VLOOKUP($A6043,'Tech Litons'!$A:$I,9,FALSE)</f>
        <v>108</v>
      </c>
      <c r="I6043" s="174" t="str">
        <f>VLOOKUP($A6043,'Tech Litons'!$A:$C,3,0)</f>
        <v>ESS</v>
      </c>
      <c r="J6043" s="175" t="str">
        <f t="shared" si="685"/>
        <v>6757ESS</v>
      </c>
      <c r="K6043" s="176">
        <f>VLOOKUP(I6043,'Attain %'!A:B,2,0)</f>
        <v>0.96</v>
      </c>
      <c r="L6043" s="177">
        <f t="shared" si="686"/>
        <v>11628.48</v>
      </c>
      <c r="M6043" s="177">
        <f t="shared" si="687"/>
        <v>69.770880000000005</v>
      </c>
      <c r="N6043" s="177">
        <f t="shared" si="688"/>
        <v>107.6711111111111</v>
      </c>
      <c r="O6043" s="175" t="str">
        <f t="shared" si="689"/>
        <v>Jul</v>
      </c>
      <c r="P6043" s="265">
        <f t="shared" si="690"/>
        <v>30</v>
      </c>
    </row>
    <row r="6044" spans="1:16" ht="15" hidden="1" customHeight="1">
      <c r="A6044" s="489">
        <v>64875812</v>
      </c>
      <c r="B6044" s="489">
        <v>6757</v>
      </c>
      <c r="C6044" s="488">
        <v>12113</v>
      </c>
      <c r="D6044" s="597">
        <v>46230</v>
      </c>
      <c r="E6044" s="489" t="s">
        <v>347</v>
      </c>
      <c r="F6044" s="489" t="s">
        <v>1221</v>
      </c>
      <c r="G6044" s="395">
        <f>VLOOKUP($A6044,'Tech Litons'!$A:$I,8,FALSE)</f>
        <v>6.0000000000000001E-3</v>
      </c>
      <c r="H6044" s="174">
        <f>VLOOKUP($A6044,'Tech Litons'!$A:$I,9,FALSE)</f>
        <v>108</v>
      </c>
      <c r="I6044" s="174" t="str">
        <f>VLOOKUP($A6044,'Tech Litons'!$A:$C,3,0)</f>
        <v>ESS</v>
      </c>
      <c r="J6044" s="175" t="str">
        <f t="shared" si="685"/>
        <v>6757ESS</v>
      </c>
      <c r="K6044" s="176">
        <f>VLOOKUP(I6044,'Attain %'!A:B,2,0)</f>
        <v>0.96</v>
      </c>
      <c r="L6044" s="177">
        <f t="shared" si="686"/>
        <v>11628.48</v>
      </c>
      <c r="M6044" s="177">
        <f t="shared" si="687"/>
        <v>69.770880000000005</v>
      </c>
      <c r="N6044" s="177">
        <f t="shared" si="688"/>
        <v>107.6711111111111</v>
      </c>
      <c r="O6044" s="175" t="str">
        <f t="shared" si="689"/>
        <v>Jul</v>
      </c>
      <c r="P6044" s="265">
        <f t="shared" si="690"/>
        <v>31</v>
      </c>
    </row>
    <row r="6045" spans="1:16" ht="15" hidden="1" customHeight="1">
      <c r="A6045" s="489">
        <v>64875812</v>
      </c>
      <c r="B6045" s="489">
        <v>6757</v>
      </c>
      <c r="C6045" s="488">
        <v>12113</v>
      </c>
      <c r="D6045" s="597">
        <v>46237</v>
      </c>
      <c r="E6045" s="489" t="s">
        <v>347</v>
      </c>
      <c r="F6045" s="489" t="s">
        <v>1221</v>
      </c>
      <c r="G6045" s="395">
        <f>VLOOKUP($A6045,'Tech Litons'!$A:$I,8,FALSE)</f>
        <v>6.0000000000000001E-3</v>
      </c>
      <c r="H6045" s="174">
        <f>VLOOKUP($A6045,'Tech Litons'!$A:$I,9,FALSE)</f>
        <v>108</v>
      </c>
      <c r="I6045" s="174" t="str">
        <f>VLOOKUP($A6045,'Tech Litons'!$A:$C,3,0)</f>
        <v>ESS</v>
      </c>
      <c r="J6045" s="175" t="str">
        <f t="shared" si="685"/>
        <v>6757ESS</v>
      </c>
      <c r="K6045" s="176">
        <f>VLOOKUP(I6045,'Attain %'!A:B,2,0)</f>
        <v>0.96</v>
      </c>
      <c r="L6045" s="177">
        <f t="shared" si="686"/>
        <v>11628.48</v>
      </c>
      <c r="M6045" s="177">
        <f t="shared" si="687"/>
        <v>69.770880000000005</v>
      </c>
      <c r="N6045" s="177">
        <f t="shared" si="688"/>
        <v>107.6711111111111</v>
      </c>
      <c r="O6045" s="175" t="str">
        <f t="shared" si="689"/>
        <v>Aug</v>
      </c>
      <c r="P6045" s="265">
        <f t="shared" si="690"/>
        <v>32</v>
      </c>
    </row>
    <row r="6046" spans="1:16" ht="15" hidden="1" customHeight="1">
      <c r="A6046" s="489">
        <v>64875812</v>
      </c>
      <c r="B6046" s="489">
        <v>6757</v>
      </c>
      <c r="C6046" s="488">
        <v>12113</v>
      </c>
      <c r="D6046" s="597">
        <v>46244</v>
      </c>
      <c r="E6046" s="489" t="s">
        <v>347</v>
      </c>
      <c r="F6046" s="489" t="s">
        <v>1221</v>
      </c>
      <c r="G6046" s="395">
        <f>VLOOKUP($A6046,'Tech Litons'!$A:$I,8,FALSE)</f>
        <v>6.0000000000000001E-3</v>
      </c>
      <c r="H6046" s="174">
        <f>VLOOKUP($A6046,'Tech Litons'!$A:$I,9,FALSE)</f>
        <v>108</v>
      </c>
      <c r="I6046" s="174" t="str">
        <f>VLOOKUP($A6046,'Tech Litons'!$A:$C,3,0)</f>
        <v>ESS</v>
      </c>
      <c r="J6046" s="175" t="str">
        <f t="shared" si="685"/>
        <v>6757ESS</v>
      </c>
      <c r="K6046" s="176">
        <f>VLOOKUP(I6046,'Attain %'!A:B,2,0)</f>
        <v>0.96</v>
      </c>
      <c r="L6046" s="177">
        <f t="shared" si="686"/>
        <v>11628.48</v>
      </c>
      <c r="M6046" s="177">
        <f t="shared" si="687"/>
        <v>69.770880000000005</v>
      </c>
      <c r="N6046" s="177">
        <f t="shared" si="688"/>
        <v>107.6711111111111</v>
      </c>
      <c r="O6046" s="175" t="str">
        <f t="shared" si="689"/>
        <v>Aug</v>
      </c>
      <c r="P6046" s="265">
        <f t="shared" si="690"/>
        <v>33</v>
      </c>
    </row>
    <row r="6047" spans="1:16" ht="15" hidden="1" customHeight="1">
      <c r="A6047" s="489">
        <v>64875812</v>
      </c>
      <c r="B6047" s="489">
        <v>6757</v>
      </c>
      <c r="C6047" s="488">
        <v>12113</v>
      </c>
      <c r="D6047" s="597">
        <v>46251</v>
      </c>
      <c r="E6047" s="489" t="s">
        <v>347</v>
      </c>
      <c r="F6047" s="489" t="s">
        <v>1221</v>
      </c>
      <c r="G6047" s="395">
        <f>VLOOKUP($A6047,'Tech Litons'!$A:$I,8,FALSE)</f>
        <v>6.0000000000000001E-3</v>
      </c>
      <c r="H6047" s="174">
        <f>VLOOKUP($A6047,'Tech Litons'!$A:$I,9,FALSE)</f>
        <v>108</v>
      </c>
      <c r="I6047" s="174" t="str">
        <f>VLOOKUP($A6047,'Tech Litons'!$A:$C,3,0)</f>
        <v>ESS</v>
      </c>
      <c r="J6047" s="175" t="str">
        <f t="shared" si="685"/>
        <v>6757ESS</v>
      </c>
      <c r="K6047" s="176">
        <f>VLOOKUP(I6047,'Attain %'!A:B,2,0)</f>
        <v>0.96</v>
      </c>
      <c r="L6047" s="177">
        <f t="shared" si="686"/>
        <v>11628.48</v>
      </c>
      <c r="M6047" s="177">
        <f t="shared" si="687"/>
        <v>69.770880000000005</v>
      </c>
      <c r="N6047" s="177">
        <f t="shared" si="688"/>
        <v>107.6711111111111</v>
      </c>
      <c r="O6047" s="175" t="str">
        <f t="shared" si="689"/>
        <v>Aug</v>
      </c>
      <c r="P6047" s="265">
        <f t="shared" si="690"/>
        <v>34</v>
      </c>
    </row>
    <row r="6048" spans="1:16" ht="15" hidden="1" customHeight="1">
      <c r="A6048" s="489">
        <v>64875812</v>
      </c>
      <c r="B6048" s="489">
        <v>6757</v>
      </c>
      <c r="C6048" s="488">
        <v>12113</v>
      </c>
      <c r="D6048" s="597">
        <v>46258</v>
      </c>
      <c r="E6048" s="489" t="s">
        <v>347</v>
      </c>
      <c r="F6048" s="489" t="s">
        <v>1221</v>
      </c>
      <c r="G6048" s="395">
        <f>VLOOKUP($A6048,'Tech Litons'!$A:$I,8,FALSE)</f>
        <v>6.0000000000000001E-3</v>
      </c>
      <c r="H6048" s="174">
        <f>VLOOKUP($A6048,'Tech Litons'!$A:$I,9,FALSE)</f>
        <v>108</v>
      </c>
      <c r="I6048" s="174" t="str">
        <f>VLOOKUP($A6048,'Tech Litons'!$A:$C,3,0)</f>
        <v>ESS</v>
      </c>
      <c r="J6048" s="175" t="str">
        <f t="shared" si="685"/>
        <v>6757ESS</v>
      </c>
      <c r="K6048" s="176">
        <f>VLOOKUP(I6048,'Attain %'!A:B,2,0)</f>
        <v>0.96</v>
      </c>
      <c r="L6048" s="177">
        <f t="shared" si="686"/>
        <v>11628.48</v>
      </c>
      <c r="M6048" s="177">
        <f t="shared" si="687"/>
        <v>69.770880000000005</v>
      </c>
      <c r="N6048" s="177">
        <f t="shared" si="688"/>
        <v>107.6711111111111</v>
      </c>
      <c r="O6048" s="175" t="str">
        <f t="shared" si="689"/>
        <v>Aug</v>
      </c>
      <c r="P6048" s="265">
        <f t="shared" si="690"/>
        <v>35</v>
      </c>
    </row>
    <row r="6049" spans="1:16" ht="15" hidden="1" customHeight="1">
      <c r="A6049" s="489">
        <v>64875812</v>
      </c>
      <c r="B6049" s="489">
        <v>6757</v>
      </c>
      <c r="C6049" s="488">
        <v>12113</v>
      </c>
      <c r="D6049" s="597">
        <v>46265</v>
      </c>
      <c r="E6049" s="489" t="s">
        <v>347</v>
      </c>
      <c r="F6049" s="489" t="s">
        <v>1221</v>
      </c>
      <c r="G6049" s="395">
        <f>VLOOKUP($A6049,'Tech Litons'!$A:$I,8,FALSE)</f>
        <v>6.0000000000000001E-3</v>
      </c>
      <c r="H6049" s="174">
        <f>VLOOKUP($A6049,'Tech Litons'!$A:$I,9,FALSE)</f>
        <v>108</v>
      </c>
      <c r="I6049" s="174" t="str">
        <f>VLOOKUP($A6049,'Tech Litons'!$A:$C,3,0)</f>
        <v>ESS</v>
      </c>
      <c r="J6049" s="175" t="str">
        <f t="shared" si="685"/>
        <v>6757ESS</v>
      </c>
      <c r="K6049" s="176">
        <f>VLOOKUP(I6049,'Attain %'!A:B,2,0)</f>
        <v>0.96</v>
      </c>
      <c r="L6049" s="177">
        <f t="shared" si="686"/>
        <v>11628.48</v>
      </c>
      <c r="M6049" s="177">
        <f t="shared" si="687"/>
        <v>69.770880000000005</v>
      </c>
      <c r="N6049" s="177">
        <f t="shared" si="688"/>
        <v>107.6711111111111</v>
      </c>
      <c r="O6049" s="175" t="str">
        <f t="shared" si="689"/>
        <v>Aug</v>
      </c>
      <c r="P6049" s="265">
        <f t="shared" si="690"/>
        <v>36</v>
      </c>
    </row>
    <row r="6050" spans="1:16" ht="15" hidden="1" customHeight="1">
      <c r="A6050" s="489">
        <v>64875812</v>
      </c>
      <c r="B6050" s="489">
        <v>6757</v>
      </c>
      <c r="C6050" s="488">
        <v>12113</v>
      </c>
      <c r="D6050" s="597">
        <v>46272</v>
      </c>
      <c r="E6050" s="489" t="s">
        <v>347</v>
      </c>
      <c r="F6050" s="489" t="s">
        <v>1221</v>
      </c>
      <c r="G6050" s="395">
        <f>VLOOKUP($A6050,'Tech Litons'!$A:$I,8,FALSE)</f>
        <v>6.0000000000000001E-3</v>
      </c>
      <c r="H6050" s="174">
        <f>VLOOKUP($A6050,'Tech Litons'!$A:$I,9,FALSE)</f>
        <v>108</v>
      </c>
      <c r="I6050" s="174" t="str">
        <f>VLOOKUP($A6050,'Tech Litons'!$A:$C,3,0)</f>
        <v>ESS</v>
      </c>
      <c r="J6050" s="175" t="str">
        <f t="shared" si="685"/>
        <v>6757ESS</v>
      </c>
      <c r="K6050" s="176">
        <f>VLOOKUP(I6050,'Attain %'!A:B,2,0)</f>
        <v>0.96</v>
      </c>
      <c r="L6050" s="177">
        <f t="shared" si="686"/>
        <v>11628.48</v>
      </c>
      <c r="M6050" s="177">
        <f t="shared" si="687"/>
        <v>69.770880000000005</v>
      </c>
      <c r="N6050" s="177">
        <f t="shared" si="688"/>
        <v>107.6711111111111</v>
      </c>
      <c r="O6050" s="175" t="str">
        <f t="shared" si="689"/>
        <v>Sep</v>
      </c>
      <c r="P6050" s="265">
        <f t="shared" si="690"/>
        <v>37</v>
      </c>
    </row>
    <row r="6051" spans="1:16" ht="15" hidden="1" customHeight="1">
      <c r="A6051" s="489">
        <v>64875812</v>
      </c>
      <c r="B6051" s="489">
        <v>6757</v>
      </c>
      <c r="C6051" s="488">
        <v>12113</v>
      </c>
      <c r="D6051" s="597">
        <v>46279</v>
      </c>
      <c r="E6051" s="489" t="s">
        <v>347</v>
      </c>
      <c r="F6051" s="489" t="s">
        <v>1221</v>
      </c>
      <c r="G6051" s="395">
        <f>VLOOKUP($A6051,'Tech Litons'!$A:$I,8,FALSE)</f>
        <v>6.0000000000000001E-3</v>
      </c>
      <c r="H6051" s="174">
        <f>VLOOKUP($A6051,'Tech Litons'!$A:$I,9,FALSE)</f>
        <v>108</v>
      </c>
      <c r="I6051" s="174" t="str">
        <f>VLOOKUP($A6051,'Tech Litons'!$A:$C,3,0)</f>
        <v>ESS</v>
      </c>
      <c r="J6051" s="175" t="str">
        <f t="shared" si="685"/>
        <v>6757ESS</v>
      </c>
      <c r="K6051" s="176">
        <f>VLOOKUP(I6051,'Attain %'!A:B,2,0)</f>
        <v>0.96</v>
      </c>
      <c r="L6051" s="177">
        <f t="shared" si="686"/>
        <v>11628.48</v>
      </c>
      <c r="M6051" s="177">
        <f t="shared" si="687"/>
        <v>69.770880000000005</v>
      </c>
      <c r="N6051" s="177">
        <f t="shared" si="688"/>
        <v>107.6711111111111</v>
      </c>
      <c r="O6051" s="175" t="str">
        <f t="shared" si="689"/>
        <v>Sep</v>
      </c>
      <c r="P6051" s="265">
        <f t="shared" si="690"/>
        <v>38</v>
      </c>
    </row>
    <row r="6052" spans="1:16" ht="15" hidden="1" customHeight="1">
      <c r="A6052" s="489">
        <v>64875812</v>
      </c>
      <c r="B6052" s="489">
        <v>6757</v>
      </c>
      <c r="C6052" s="488">
        <v>12113</v>
      </c>
      <c r="D6052" s="597">
        <v>46286</v>
      </c>
      <c r="E6052" s="489" t="s">
        <v>347</v>
      </c>
      <c r="F6052" s="489" t="s">
        <v>1221</v>
      </c>
      <c r="G6052" s="395">
        <f>VLOOKUP($A6052,'Tech Litons'!$A:$I,8,FALSE)</f>
        <v>6.0000000000000001E-3</v>
      </c>
      <c r="H6052" s="174">
        <f>VLOOKUP($A6052,'Tech Litons'!$A:$I,9,FALSE)</f>
        <v>108</v>
      </c>
      <c r="I6052" s="174" t="str">
        <f>VLOOKUP($A6052,'Tech Litons'!$A:$C,3,0)</f>
        <v>ESS</v>
      </c>
      <c r="J6052" s="175" t="str">
        <f t="shared" si="685"/>
        <v>6757ESS</v>
      </c>
      <c r="K6052" s="176">
        <f>VLOOKUP(I6052,'Attain %'!A:B,2,0)</f>
        <v>0.96</v>
      </c>
      <c r="L6052" s="177">
        <f t="shared" si="686"/>
        <v>11628.48</v>
      </c>
      <c r="M6052" s="177">
        <f t="shared" si="687"/>
        <v>69.770880000000005</v>
      </c>
      <c r="N6052" s="177">
        <f t="shared" si="688"/>
        <v>107.6711111111111</v>
      </c>
      <c r="O6052" s="175" t="str">
        <f t="shared" si="689"/>
        <v>Sep</v>
      </c>
      <c r="P6052" s="265">
        <f t="shared" si="690"/>
        <v>39</v>
      </c>
    </row>
    <row r="6053" spans="1:16" ht="15" hidden="1" customHeight="1">
      <c r="A6053" s="489">
        <v>64875812</v>
      </c>
      <c r="B6053" s="489">
        <v>6757</v>
      </c>
      <c r="C6053" s="488">
        <v>12113</v>
      </c>
      <c r="D6053" s="597">
        <v>46293</v>
      </c>
      <c r="E6053" s="489" t="s">
        <v>347</v>
      </c>
      <c r="F6053" s="489" t="s">
        <v>1221</v>
      </c>
      <c r="G6053" s="395">
        <f>VLOOKUP($A6053,'Tech Litons'!$A:$I,8,FALSE)</f>
        <v>6.0000000000000001E-3</v>
      </c>
      <c r="H6053" s="174">
        <f>VLOOKUP($A6053,'Tech Litons'!$A:$I,9,FALSE)</f>
        <v>108</v>
      </c>
      <c r="I6053" s="174" t="str">
        <f>VLOOKUP($A6053,'Tech Litons'!$A:$C,3,0)</f>
        <v>ESS</v>
      </c>
      <c r="J6053" s="175" t="str">
        <f t="shared" si="685"/>
        <v>6757ESS</v>
      </c>
      <c r="K6053" s="176">
        <f>VLOOKUP(I6053,'Attain %'!A:B,2,0)</f>
        <v>0.96</v>
      </c>
      <c r="L6053" s="177">
        <f t="shared" si="686"/>
        <v>11628.48</v>
      </c>
      <c r="M6053" s="177">
        <f t="shared" si="687"/>
        <v>69.770880000000005</v>
      </c>
      <c r="N6053" s="177">
        <f t="shared" si="688"/>
        <v>107.6711111111111</v>
      </c>
      <c r="O6053" s="175" t="str">
        <f t="shared" si="689"/>
        <v>Sep</v>
      </c>
      <c r="P6053" s="265">
        <f t="shared" si="690"/>
        <v>40</v>
      </c>
    </row>
    <row r="6054" spans="1:16" ht="15" hidden="1" customHeight="1">
      <c r="A6054" s="489">
        <v>64875812</v>
      </c>
      <c r="B6054" s="489">
        <v>6757</v>
      </c>
      <c r="C6054" s="488">
        <v>12113</v>
      </c>
      <c r="D6054" s="597">
        <v>46300</v>
      </c>
      <c r="E6054" s="489" t="s">
        <v>347</v>
      </c>
      <c r="F6054" s="489" t="s">
        <v>1221</v>
      </c>
      <c r="G6054" s="395">
        <f>VLOOKUP($A6054,'Tech Litons'!$A:$I,8,FALSE)</f>
        <v>6.0000000000000001E-3</v>
      </c>
      <c r="H6054" s="174">
        <f>VLOOKUP($A6054,'Tech Litons'!$A:$I,9,FALSE)</f>
        <v>108</v>
      </c>
      <c r="I6054" s="174" t="str">
        <f>VLOOKUP($A6054,'Tech Litons'!$A:$C,3,0)</f>
        <v>ESS</v>
      </c>
      <c r="J6054" s="175" t="str">
        <f t="shared" si="685"/>
        <v>6757ESS</v>
      </c>
      <c r="K6054" s="176">
        <f>VLOOKUP(I6054,'Attain %'!A:B,2,0)</f>
        <v>0.96</v>
      </c>
      <c r="L6054" s="177">
        <f t="shared" si="686"/>
        <v>11628.48</v>
      </c>
      <c r="M6054" s="177">
        <f t="shared" si="687"/>
        <v>69.770880000000005</v>
      </c>
      <c r="N6054" s="177">
        <f t="shared" si="688"/>
        <v>107.6711111111111</v>
      </c>
      <c r="O6054" s="175" t="str">
        <f t="shared" si="689"/>
        <v>Oct</v>
      </c>
      <c r="P6054" s="265">
        <f t="shared" si="690"/>
        <v>41</v>
      </c>
    </row>
    <row r="6055" spans="1:16" ht="15" hidden="1" customHeight="1">
      <c r="A6055" s="489">
        <v>64875812</v>
      </c>
      <c r="B6055" s="489">
        <v>6757</v>
      </c>
      <c r="C6055" s="488">
        <v>12113</v>
      </c>
      <c r="D6055" s="597">
        <v>46307</v>
      </c>
      <c r="E6055" s="489" t="s">
        <v>347</v>
      </c>
      <c r="F6055" s="489" t="s">
        <v>1221</v>
      </c>
      <c r="G6055" s="395">
        <f>VLOOKUP($A6055,'Tech Litons'!$A:$I,8,FALSE)</f>
        <v>6.0000000000000001E-3</v>
      </c>
      <c r="H6055" s="174">
        <f>VLOOKUP($A6055,'Tech Litons'!$A:$I,9,FALSE)</f>
        <v>108</v>
      </c>
      <c r="I6055" s="174" t="str">
        <f>VLOOKUP($A6055,'Tech Litons'!$A:$C,3,0)</f>
        <v>ESS</v>
      </c>
      <c r="J6055" s="175" t="str">
        <f t="shared" si="685"/>
        <v>6757ESS</v>
      </c>
      <c r="K6055" s="176">
        <f>VLOOKUP(I6055,'Attain %'!A:B,2,0)</f>
        <v>0.96</v>
      </c>
      <c r="L6055" s="177">
        <f t="shared" si="686"/>
        <v>11628.48</v>
      </c>
      <c r="M6055" s="177">
        <f t="shared" si="687"/>
        <v>69.770880000000005</v>
      </c>
      <c r="N6055" s="177">
        <f t="shared" si="688"/>
        <v>107.6711111111111</v>
      </c>
      <c r="O6055" s="175" t="str">
        <f t="shared" si="689"/>
        <v>Oct</v>
      </c>
      <c r="P6055" s="265">
        <f t="shared" si="690"/>
        <v>42</v>
      </c>
    </row>
    <row r="6056" spans="1:16" ht="15" hidden="1" customHeight="1">
      <c r="A6056" s="489">
        <v>64960652</v>
      </c>
      <c r="B6056" s="489">
        <v>6757</v>
      </c>
      <c r="C6056" s="488">
        <v>12300</v>
      </c>
      <c r="D6056" s="597">
        <v>46153</v>
      </c>
      <c r="E6056" s="489" t="s">
        <v>610</v>
      </c>
      <c r="F6056" s="489" t="s">
        <v>1221</v>
      </c>
      <c r="G6056" s="395">
        <f>VLOOKUP($A6056,'Tech Litons'!$A:$I,8,FALSE)</f>
        <v>2.4880000000000002E-3</v>
      </c>
      <c r="H6056" s="174">
        <f>VLOOKUP($A6056,'Tech Litons'!$A:$I,9,FALSE)</f>
        <v>180</v>
      </c>
      <c r="I6056" s="174" t="str">
        <f>VLOOKUP($A6056,'Tech Litons'!$A:$C,3,0)</f>
        <v>Yasso Sandwich</v>
      </c>
      <c r="J6056" s="175" t="str">
        <f t="shared" si="685"/>
        <v>6757Yasso Sandwich</v>
      </c>
      <c r="K6056" s="176">
        <f>VLOOKUP(I6056,'Attain %'!A:B,2,0)</f>
        <v>0.96</v>
      </c>
      <c r="L6056" s="177">
        <f t="shared" si="686"/>
        <v>11808</v>
      </c>
      <c r="M6056" s="177">
        <f t="shared" si="687"/>
        <v>29.378304000000004</v>
      </c>
      <c r="N6056" s="177">
        <f t="shared" si="688"/>
        <v>65.599999999999994</v>
      </c>
      <c r="O6056" s="175" t="str">
        <f t="shared" si="689"/>
        <v>May</v>
      </c>
      <c r="P6056" s="265">
        <f t="shared" si="690"/>
        <v>20</v>
      </c>
    </row>
    <row r="6057" spans="1:16" ht="15" hidden="1" customHeight="1">
      <c r="A6057" s="489">
        <v>64771676</v>
      </c>
      <c r="B6057" s="489" t="s">
        <v>139</v>
      </c>
      <c r="C6057" s="488">
        <v>12400</v>
      </c>
      <c r="D6057" s="597">
        <v>46265</v>
      </c>
      <c r="E6057" s="489" t="s">
        <v>619</v>
      </c>
      <c r="F6057" s="489" t="s">
        <v>1223</v>
      </c>
      <c r="G6057" s="395">
        <f>VLOOKUP($A6057,'Tech Litons'!$A:$I,8,FALSE)</f>
        <v>2.16E-3</v>
      </c>
      <c r="H6057" s="174">
        <f>VLOOKUP($A6057,'Tech Litons'!$A:$I,9,FALSE)</f>
        <v>195</v>
      </c>
      <c r="I6057" s="174" t="str">
        <f>VLOOKUP($A6057,'Tech Litons'!$A:$C,3,0)</f>
        <v>Facepieces</v>
      </c>
      <c r="J6057" s="175" t="str">
        <f t="shared" si="685"/>
        <v>IncomFacepieces</v>
      </c>
      <c r="K6057" s="176">
        <f>VLOOKUP(I6057,'Attain %'!A:B,2,0)</f>
        <v>0.96</v>
      </c>
      <c r="L6057" s="177">
        <f t="shared" si="686"/>
        <v>11904</v>
      </c>
      <c r="M6057" s="177">
        <f t="shared" si="687"/>
        <v>25.71264</v>
      </c>
      <c r="N6057" s="177">
        <f t="shared" si="688"/>
        <v>61.04615384615385</v>
      </c>
      <c r="O6057" s="175" t="str">
        <f t="shared" si="689"/>
        <v>Aug</v>
      </c>
      <c r="P6057" s="265">
        <f t="shared" si="690"/>
        <v>36</v>
      </c>
    </row>
    <row r="6058" spans="1:16" ht="15" hidden="1" customHeight="1">
      <c r="A6058" s="489">
        <v>64771676</v>
      </c>
      <c r="B6058" s="489" t="s">
        <v>139</v>
      </c>
      <c r="C6058" s="488">
        <v>12400</v>
      </c>
      <c r="D6058" s="597">
        <v>46335</v>
      </c>
      <c r="E6058" s="489" t="s">
        <v>619</v>
      </c>
      <c r="F6058" s="489" t="s">
        <v>1223</v>
      </c>
      <c r="G6058" s="395">
        <f>VLOOKUP($A6058,'Tech Litons'!$A:$I,8,FALSE)</f>
        <v>2.16E-3</v>
      </c>
      <c r="H6058" s="174">
        <f>VLOOKUP($A6058,'Tech Litons'!$A:$I,9,FALSE)</f>
        <v>195</v>
      </c>
      <c r="I6058" s="174" t="str">
        <f>VLOOKUP($A6058,'Tech Litons'!$A:$C,3,0)</f>
        <v>Facepieces</v>
      </c>
      <c r="J6058" s="175" t="str">
        <f t="shared" si="685"/>
        <v>IncomFacepieces</v>
      </c>
      <c r="K6058" s="176">
        <f>VLOOKUP(I6058,'Attain %'!A:B,2,0)</f>
        <v>0.96</v>
      </c>
      <c r="L6058" s="177">
        <f t="shared" si="686"/>
        <v>11904</v>
      </c>
      <c r="M6058" s="177">
        <f t="shared" si="687"/>
        <v>25.71264</v>
      </c>
      <c r="N6058" s="177">
        <f t="shared" si="688"/>
        <v>61.04615384615385</v>
      </c>
      <c r="O6058" s="175" t="str">
        <f t="shared" si="689"/>
        <v>Nov</v>
      </c>
      <c r="P6058" s="265">
        <f t="shared" si="690"/>
        <v>46</v>
      </c>
    </row>
    <row r="6059" spans="1:16" ht="15" hidden="1" customHeight="1">
      <c r="A6059" s="489">
        <v>64771677</v>
      </c>
      <c r="B6059" s="489" t="s">
        <v>139</v>
      </c>
      <c r="C6059" s="488">
        <v>12416</v>
      </c>
      <c r="D6059" s="597">
        <v>46216</v>
      </c>
      <c r="E6059" s="489" t="s">
        <v>620</v>
      </c>
      <c r="F6059" s="489" t="s">
        <v>1223</v>
      </c>
      <c r="G6059" s="395">
        <f>VLOOKUP($A6059,'Tech Litons'!$A:$I,8,FALSE)</f>
        <v>2.16E-3</v>
      </c>
      <c r="H6059" s="174">
        <f>VLOOKUP($A6059,'Tech Litons'!$A:$I,9,FALSE)</f>
        <v>195</v>
      </c>
      <c r="I6059" s="174" t="str">
        <f>VLOOKUP($A6059,'Tech Litons'!$A:$C,3,0)</f>
        <v>Facepieces</v>
      </c>
      <c r="J6059" s="175" t="str">
        <f t="shared" si="685"/>
        <v>IncomFacepieces</v>
      </c>
      <c r="K6059" s="176">
        <f>VLOOKUP(I6059,'Attain %'!A:B,2,0)</f>
        <v>0.96</v>
      </c>
      <c r="L6059" s="177">
        <f t="shared" si="686"/>
        <v>11919.359999999999</v>
      </c>
      <c r="M6059" s="177">
        <f t="shared" si="687"/>
        <v>25.745817599999999</v>
      </c>
      <c r="N6059" s="177">
        <f t="shared" si="688"/>
        <v>61.124923076923068</v>
      </c>
      <c r="O6059" s="175" t="str">
        <f t="shared" si="689"/>
        <v>Jul</v>
      </c>
      <c r="P6059" s="265">
        <f t="shared" si="690"/>
        <v>29</v>
      </c>
    </row>
    <row r="6060" spans="1:16" ht="15" hidden="1" customHeight="1">
      <c r="A6060" s="489">
        <v>64771677</v>
      </c>
      <c r="B6060" s="489" t="s">
        <v>139</v>
      </c>
      <c r="C6060" s="488">
        <v>12416</v>
      </c>
      <c r="D6060" s="597">
        <v>46237</v>
      </c>
      <c r="E6060" s="489" t="s">
        <v>620</v>
      </c>
      <c r="F6060" s="489" t="s">
        <v>1223</v>
      </c>
      <c r="G6060" s="395">
        <f>VLOOKUP($A6060,'Tech Litons'!$A:$I,8,FALSE)</f>
        <v>2.16E-3</v>
      </c>
      <c r="H6060" s="174">
        <f>VLOOKUP($A6060,'Tech Litons'!$A:$I,9,FALSE)</f>
        <v>195</v>
      </c>
      <c r="I6060" s="174" t="str">
        <f>VLOOKUP($A6060,'Tech Litons'!$A:$C,3,0)</f>
        <v>Facepieces</v>
      </c>
      <c r="J6060" s="175" t="str">
        <f t="shared" si="685"/>
        <v>IncomFacepieces</v>
      </c>
      <c r="K6060" s="176">
        <f>VLOOKUP(I6060,'Attain %'!A:B,2,0)</f>
        <v>0.96</v>
      </c>
      <c r="L6060" s="177">
        <f t="shared" si="686"/>
        <v>11919.359999999999</v>
      </c>
      <c r="M6060" s="177">
        <f t="shared" si="687"/>
        <v>25.745817599999999</v>
      </c>
      <c r="N6060" s="177">
        <f t="shared" si="688"/>
        <v>61.124923076923068</v>
      </c>
      <c r="O6060" s="175" t="str">
        <f t="shared" si="689"/>
        <v>Aug</v>
      </c>
      <c r="P6060" s="265">
        <f t="shared" si="690"/>
        <v>32</v>
      </c>
    </row>
    <row r="6061" spans="1:16" ht="15" hidden="1" customHeight="1">
      <c r="A6061" s="489">
        <v>64771677</v>
      </c>
      <c r="B6061" s="489" t="s">
        <v>139</v>
      </c>
      <c r="C6061" s="488">
        <v>12416</v>
      </c>
      <c r="D6061" s="597">
        <v>46377</v>
      </c>
      <c r="E6061" s="489" t="s">
        <v>620</v>
      </c>
      <c r="F6061" s="489" t="s">
        <v>1223</v>
      </c>
      <c r="G6061" s="395">
        <f>VLOOKUP($A6061,'Tech Litons'!$A:$I,8,FALSE)</f>
        <v>2.16E-3</v>
      </c>
      <c r="H6061" s="174">
        <f>VLOOKUP($A6061,'Tech Litons'!$A:$I,9,FALSE)</f>
        <v>195</v>
      </c>
      <c r="I6061" s="174" t="str">
        <f>VLOOKUP($A6061,'Tech Litons'!$A:$C,3,0)</f>
        <v>Facepieces</v>
      </c>
      <c r="J6061" s="175" t="str">
        <f t="shared" si="685"/>
        <v>IncomFacepieces</v>
      </c>
      <c r="K6061" s="176">
        <f>VLOOKUP(I6061,'Attain %'!A:B,2,0)</f>
        <v>0.96</v>
      </c>
      <c r="L6061" s="177">
        <f t="shared" si="686"/>
        <v>11919.359999999999</v>
      </c>
      <c r="M6061" s="177">
        <f t="shared" si="687"/>
        <v>25.745817599999999</v>
      </c>
      <c r="N6061" s="177">
        <f t="shared" si="688"/>
        <v>61.124923076923068</v>
      </c>
      <c r="O6061" s="175" t="str">
        <f t="shared" si="689"/>
        <v>Dec</v>
      </c>
      <c r="P6061" s="265">
        <f t="shared" si="690"/>
        <v>52</v>
      </c>
    </row>
    <row r="6062" spans="1:16" ht="15" hidden="1" customHeight="1">
      <c r="A6062" s="489">
        <v>64976847</v>
      </c>
      <c r="B6062" s="489">
        <v>1717</v>
      </c>
      <c r="D6062" s="597">
        <v>46097</v>
      </c>
      <c r="E6062" s="489" t="s">
        <v>590</v>
      </c>
      <c r="F6062" s="489" t="s">
        <v>1221</v>
      </c>
      <c r="G6062" s="395">
        <f>VLOOKUP($A6062,'Tech Litons'!$A:$I,8,FALSE)</f>
        <v>2.5040000000000001E-3</v>
      </c>
      <c r="H6062" s="174">
        <f>VLOOKUP($A6062,'Tech Litons'!$A:$I,9,FALSE)</f>
        <v>165</v>
      </c>
      <c r="I6062" s="174" t="str">
        <f>VLOOKUP($A6062,'Tech Litons'!$A:$C,3,0)</f>
        <v>Yasso Sticks</v>
      </c>
      <c r="J6062" s="175" t="str">
        <f t="shared" si="685"/>
        <v>1717Yasso Sticks</v>
      </c>
      <c r="K6062" s="176">
        <f>VLOOKUP(I6062,'Attain %'!A:B,2,0)</f>
        <v>0.96</v>
      </c>
      <c r="L6062" s="177">
        <f t="shared" si="686"/>
        <v>0</v>
      </c>
      <c r="M6062" s="177">
        <f t="shared" si="687"/>
        <v>0</v>
      </c>
      <c r="N6062" s="177">
        <f t="shared" si="688"/>
        <v>0</v>
      </c>
      <c r="O6062" s="175" t="str">
        <f t="shared" si="689"/>
        <v>Mar</v>
      </c>
      <c r="P6062" s="265">
        <f t="shared" si="690"/>
        <v>12</v>
      </c>
    </row>
    <row r="6063" spans="1:16" ht="15" hidden="1" customHeight="1">
      <c r="A6063" s="489">
        <v>64365613</v>
      </c>
      <c r="B6063" s="489" t="s">
        <v>139</v>
      </c>
      <c r="C6063" s="488">
        <v>12500</v>
      </c>
      <c r="D6063" s="597">
        <v>46272</v>
      </c>
      <c r="E6063" s="489" t="s">
        <v>617</v>
      </c>
      <c r="F6063" s="489" t="s">
        <v>1223</v>
      </c>
      <c r="G6063" s="395">
        <f>VLOOKUP($A6063,'Tech Litons'!$A:$I,8,FALSE)</f>
        <v>2.1540000000000001E-3</v>
      </c>
      <c r="H6063" s="174">
        <f>VLOOKUP($A6063,'Tech Litons'!$A:$I,9,FALSE)</f>
        <v>195</v>
      </c>
      <c r="I6063" s="174" t="str">
        <f>VLOOKUP($A6063,'Tech Litons'!$A:$C,3,0)</f>
        <v>Facepieces</v>
      </c>
      <c r="J6063" s="175" t="str">
        <f t="shared" si="685"/>
        <v>IncomFacepieces</v>
      </c>
      <c r="K6063" s="176">
        <f>VLOOKUP(I6063,'Attain %'!A:B,2,0)</f>
        <v>0.96</v>
      </c>
      <c r="L6063" s="177">
        <f t="shared" si="686"/>
        <v>12000</v>
      </c>
      <c r="M6063" s="177">
        <f t="shared" si="687"/>
        <v>25.848000000000003</v>
      </c>
      <c r="N6063" s="177">
        <f t="shared" si="688"/>
        <v>61.53846153846154</v>
      </c>
      <c r="O6063" s="175" t="str">
        <f t="shared" si="689"/>
        <v>Sep</v>
      </c>
      <c r="P6063" s="265">
        <f t="shared" si="690"/>
        <v>37</v>
      </c>
    </row>
    <row r="6064" spans="1:16" ht="15" hidden="1" customHeight="1">
      <c r="A6064" s="489">
        <v>64365613</v>
      </c>
      <c r="B6064" s="489" t="s">
        <v>139</v>
      </c>
      <c r="C6064" s="488">
        <v>12500</v>
      </c>
      <c r="D6064" s="597">
        <v>46307</v>
      </c>
      <c r="E6064" s="489" t="s">
        <v>617</v>
      </c>
      <c r="F6064" s="489" t="s">
        <v>1223</v>
      </c>
      <c r="G6064" s="395">
        <f>VLOOKUP($A6064,'Tech Litons'!$A:$I,8,FALSE)</f>
        <v>2.1540000000000001E-3</v>
      </c>
      <c r="H6064" s="174">
        <f>VLOOKUP($A6064,'Tech Litons'!$A:$I,9,FALSE)</f>
        <v>195</v>
      </c>
      <c r="I6064" s="174" t="str">
        <f>VLOOKUP($A6064,'Tech Litons'!$A:$C,3,0)</f>
        <v>Facepieces</v>
      </c>
      <c r="J6064" s="175" t="str">
        <f t="shared" si="685"/>
        <v>IncomFacepieces</v>
      </c>
      <c r="K6064" s="176">
        <f>VLOOKUP(I6064,'Attain %'!A:B,2,0)</f>
        <v>0.96</v>
      </c>
      <c r="L6064" s="177">
        <f t="shared" si="686"/>
        <v>12000</v>
      </c>
      <c r="M6064" s="177">
        <f t="shared" si="687"/>
        <v>25.848000000000003</v>
      </c>
      <c r="N6064" s="177">
        <f t="shared" si="688"/>
        <v>61.53846153846154</v>
      </c>
      <c r="O6064" s="175" t="str">
        <f t="shared" si="689"/>
        <v>Oct</v>
      </c>
      <c r="P6064" s="265">
        <f t="shared" si="690"/>
        <v>42</v>
      </c>
    </row>
    <row r="6065" spans="1:16" ht="15" hidden="1" customHeight="1">
      <c r="A6065" s="489">
        <v>69727314</v>
      </c>
      <c r="B6065" s="489">
        <v>1352</v>
      </c>
      <c r="D6065" s="597">
        <v>46104</v>
      </c>
      <c r="E6065" s="489" t="s">
        <v>402</v>
      </c>
      <c r="F6065" s="489" t="s">
        <v>1217</v>
      </c>
      <c r="G6065" s="395">
        <f>VLOOKUP($A6065,'Tech Litons'!$A:$I,8,FALSE)</f>
        <v>5.2680000000000001E-3</v>
      </c>
      <c r="H6065" s="174">
        <f>VLOOKUP($A6065,'Tech Litons'!$A:$I,9,FALSE)</f>
        <v>130</v>
      </c>
      <c r="I6065" s="174" t="str">
        <f>VLOOKUP($A6065,'Tech Litons'!$A:$C,3,0)</f>
        <v>PG</v>
      </c>
      <c r="J6065" s="175" t="str">
        <f t="shared" si="685"/>
        <v>1352PG</v>
      </c>
      <c r="K6065" s="176">
        <f>VLOOKUP(I6065,'Attain %'!A:B,2,0)</f>
        <v>0.96</v>
      </c>
      <c r="L6065" s="177">
        <f t="shared" si="686"/>
        <v>0</v>
      </c>
      <c r="M6065" s="177">
        <f t="shared" si="687"/>
        <v>0</v>
      </c>
      <c r="N6065" s="177">
        <f t="shared" si="688"/>
        <v>0</v>
      </c>
      <c r="O6065" s="175" t="str">
        <f t="shared" si="689"/>
        <v>Mar</v>
      </c>
      <c r="P6065" s="265">
        <f t="shared" si="690"/>
        <v>13</v>
      </c>
    </row>
    <row r="6066" spans="1:16" ht="15" hidden="1" customHeight="1">
      <c r="A6066" s="489">
        <v>64341106</v>
      </c>
      <c r="B6066" s="489">
        <v>2904</v>
      </c>
      <c r="D6066" s="597">
        <v>46104</v>
      </c>
      <c r="E6066" s="489" t="s">
        <v>293</v>
      </c>
      <c r="F6066" s="489" t="s">
        <v>1237</v>
      </c>
      <c r="G6066" s="395">
        <f>VLOOKUP($A6066,'Tech Litons'!$A:$I,8,FALSE)</f>
        <v>5.2680000000000001E-3</v>
      </c>
      <c r="H6066" s="174">
        <f>VLOOKUP($A6066,'Tech Litons'!$A:$I,9,FALSE)</f>
        <v>130</v>
      </c>
      <c r="I6066" s="174" t="str">
        <f>VLOOKUP($A6066,'Tech Litons'!$A:$C,3,0)</f>
        <v>PG</v>
      </c>
      <c r="J6066" s="175" t="str">
        <f t="shared" si="685"/>
        <v>2904PG</v>
      </c>
      <c r="K6066" s="176">
        <f>VLOOKUP(I6066,'Attain %'!A:B,2,0)</f>
        <v>0.96</v>
      </c>
      <c r="L6066" s="177">
        <f t="shared" si="686"/>
        <v>0</v>
      </c>
      <c r="M6066" s="177">
        <f t="shared" si="687"/>
        <v>0</v>
      </c>
      <c r="N6066" s="177">
        <f t="shared" si="688"/>
        <v>0</v>
      </c>
      <c r="O6066" s="175" t="str">
        <f t="shared" si="689"/>
        <v>Mar</v>
      </c>
      <c r="P6066" s="265">
        <f t="shared" si="690"/>
        <v>13</v>
      </c>
    </row>
    <row r="6067" spans="1:16" ht="15" hidden="1" customHeight="1">
      <c r="A6067" s="489">
        <v>69717803</v>
      </c>
      <c r="B6067" s="489">
        <v>2904</v>
      </c>
      <c r="D6067" s="597">
        <v>46111</v>
      </c>
      <c r="E6067" s="489" t="s">
        <v>362</v>
      </c>
      <c r="F6067" s="489" t="s">
        <v>1240</v>
      </c>
      <c r="G6067" s="395">
        <f>VLOOKUP($A6067,'Tech Litons'!$A:$I,8,FALSE)</f>
        <v>4.2560000000000002E-3</v>
      </c>
      <c r="H6067" s="174">
        <f>VLOOKUP($A6067,'Tech Litons'!$A:$I,9,FALSE)</f>
        <v>143</v>
      </c>
      <c r="I6067" s="174" t="str">
        <f>VLOOKUP($A6067,'Tech Litons'!$A:$C,3,0)</f>
        <v>MG Sticks</v>
      </c>
      <c r="J6067" s="175" t="str">
        <f t="shared" si="685"/>
        <v>2904MG Sticks</v>
      </c>
      <c r="K6067" s="176">
        <f>VLOOKUP(I6067,'Attain %'!A:B,2,0)</f>
        <v>0.96</v>
      </c>
      <c r="L6067" s="177">
        <f t="shared" si="686"/>
        <v>0</v>
      </c>
      <c r="M6067" s="177">
        <f t="shared" si="687"/>
        <v>0</v>
      </c>
      <c r="N6067" s="177">
        <f t="shared" si="688"/>
        <v>0</v>
      </c>
      <c r="O6067" s="175" t="str">
        <f t="shared" si="689"/>
        <v>Mar</v>
      </c>
      <c r="P6067" s="265">
        <f t="shared" si="690"/>
        <v>14</v>
      </c>
    </row>
    <row r="6068" spans="1:16" ht="15" hidden="1" customHeight="1">
      <c r="A6068" s="489">
        <v>64341108</v>
      </c>
      <c r="B6068" s="489" t="s">
        <v>139</v>
      </c>
      <c r="D6068" s="597">
        <v>46104</v>
      </c>
      <c r="E6068" s="489" t="s">
        <v>615</v>
      </c>
      <c r="F6068" s="489" t="s">
        <v>1223</v>
      </c>
      <c r="G6068" s="395">
        <f>VLOOKUP($A6068,'Tech Litons'!$A:$I,8,FALSE)</f>
        <v>2.3599999999999997E-3</v>
      </c>
      <c r="H6068" s="174">
        <f>VLOOKUP($A6068,'Tech Litons'!$A:$I,9,FALSE)</f>
        <v>210</v>
      </c>
      <c r="I6068" s="174" t="str">
        <f>VLOOKUP($A6068,'Tech Litons'!$A:$C,3,0)</f>
        <v>Facepieces</v>
      </c>
      <c r="J6068" s="175" t="str">
        <f t="shared" si="685"/>
        <v>IncomFacepieces</v>
      </c>
      <c r="K6068" s="176">
        <f>VLOOKUP(I6068,'Attain %'!A:B,2,0)</f>
        <v>0.96</v>
      </c>
      <c r="L6068" s="177">
        <f t="shared" si="686"/>
        <v>0</v>
      </c>
      <c r="M6068" s="177">
        <f t="shared" si="687"/>
        <v>0</v>
      </c>
      <c r="N6068" s="177">
        <f t="shared" si="688"/>
        <v>0</v>
      </c>
      <c r="O6068" s="175" t="str">
        <f t="shared" si="689"/>
        <v>Mar</v>
      </c>
      <c r="P6068" s="265">
        <f t="shared" si="690"/>
        <v>13</v>
      </c>
    </row>
    <row r="6069" spans="1:16" ht="15" hidden="1" customHeight="1">
      <c r="A6069" s="489">
        <v>64341109</v>
      </c>
      <c r="B6069" s="489" t="s">
        <v>139</v>
      </c>
      <c r="C6069" s="488">
        <v>12600</v>
      </c>
      <c r="D6069" s="597">
        <v>46125</v>
      </c>
      <c r="E6069" s="489" t="s">
        <v>616</v>
      </c>
      <c r="F6069" s="489" t="s">
        <v>1223</v>
      </c>
      <c r="G6069" s="395">
        <f>VLOOKUP($A6069,'Tech Litons'!$A:$I,8,FALSE)</f>
        <v>2E-3</v>
      </c>
      <c r="H6069" s="174">
        <f>VLOOKUP($A6069,'Tech Litons'!$A:$I,9,FALSE)</f>
        <v>210</v>
      </c>
      <c r="I6069" s="174" t="str">
        <f>VLOOKUP($A6069,'Tech Litons'!$A:$C,3,0)</f>
        <v>Facepieces</v>
      </c>
      <c r="J6069" s="175" t="str">
        <f t="shared" si="685"/>
        <v>IncomFacepieces</v>
      </c>
      <c r="K6069" s="176">
        <f>VLOOKUP(I6069,'Attain %'!A:B,2,0)</f>
        <v>0.96</v>
      </c>
      <c r="L6069" s="177">
        <f t="shared" si="686"/>
        <v>12096</v>
      </c>
      <c r="M6069" s="177">
        <f t="shared" si="687"/>
        <v>24.192</v>
      </c>
      <c r="N6069" s="177">
        <f t="shared" si="688"/>
        <v>57.6</v>
      </c>
      <c r="O6069" s="175" t="str">
        <f t="shared" si="689"/>
        <v>Apr</v>
      </c>
      <c r="P6069" s="265">
        <f t="shared" si="690"/>
        <v>16</v>
      </c>
    </row>
    <row r="6070" spans="1:16" ht="15" hidden="1" customHeight="1">
      <c r="A6070" s="489">
        <v>65549173</v>
      </c>
      <c r="B6070" s="489" t="s">
        <v>139</v>
      </c>
      <c r="C6070" s="488">
        <v>12600</v>
      </c>
      <c r="D6070" s="597">
        <v>46125</v>
      </c>
      <c r="E6070" s="489" t="s">
        <v>1189</v>
      </c>
      <c r="F6070" s="489" t="s">
        <v>1223</v>
      </c>
      <c r="G6070" s="395">
        <f>VLOOKUP($A6070,'Tech Litons'!$A:$I,8,FALSE)</f>
        <v>1.1999999999999999E-3</v>
      </c>
      <c r="H6070" s="174">
        <f>VLOOKUP($A6070,'Tech Litons'!$A:$I,9,FALSE)</f>
        <v>210</v>
      </c>
      <c r="I6070" s="174" t="str">
        <f>VLOOKUP($A6070,'Tech Litons'!$A:$C,3,0)</f>
        <v>Facepieces</v>
      </c>
      <c r="J6070" s="175" t="str">
        <f t="shared" si="685"/>
        <v>IncomFacepieces</v>
      </c>
      <c r="K6070" s="176">
        <f>VLOOKUP(I6070,'Attain %'!A:B,2,0)</f>
        <v>0.96</v>
      </c>
      <c r="L6070" s="177">
        <f t="shared" si="686"/>
        <v>12096</v>
      </c>
      <c r="M6070" s="177">
        <f t="shared" si="687"/>
        <v>14.515199999999998</v>
      </c>
      <c r="N6070" s="177">
        <f t="shared" si="688"/>
        <v>57.6</v>
      </c>
      <c r="O6070" s="175" t="str">
        <f t="shared" si="689"/>
        <v>Apr</v>
      </c>
      <c r="P6070" s="265">
        <f t="shared" si="690"/>
        <v>16</v>
      </c>
    </row>
    <row r="6071" spans="1:16" ht="15" hidden="1" customHeight="1">
      <c r="A6071" s="489">
        <v>69629468</v>
      </c>
      <c r="B6071" s="489">
        <v>1352</v>
      </c>
      <c r="D6071" s="597">
        <v>46104</v>
      </c>
      <c r="E6071" s="489" t="s">
        <v>291</v>
      </c>
      <c r="F6071" s="489" t="s">
        <v>1216</v>
      </c>
      <c r="G6071" s="395">
        <f>VLOOKUP($A6071,'Tech Litons'!$A:$I,8,FALSE)</f>
        <v>5.2680000000000001E-3</v>
      </c>
      <c r="H6071" s="174">
        <f>VLOOKUP($A6071,'Tech Litons'!$A:$I,9,FALSE)</f>
        <v>130</v>
      </c>
      <c r="I6071" s="174" t="str">
        <f>VLOOKUP($A6071,'Tech Litons'!$A:$C,3,0)</f>
        <v>PG</v>
      </c>
      <c r="J6071" s="175" t="str">
        <f t="shared" si="685"/>
        <v>1352PG</v>
      </c>
      <c r="K6071" s="176">
        <f>VLOOKUP(I6071,'Attain %'!A:B,2,0)</f>
        <v>0.96</v>
      </c>
      <c r="L6071" s="177">
        <f t="shared" si="686"/>
        <v>0</v>
      </c>
      <c r="M6071" s="177">
        <f t="shared" si="687"/>
        <v>0</v>
      </c>
      <c r="N6071" s="177">
        <f t="shared" si="688"/>
        <v>0</v>
      </c>
      <c r="O6071" s="175" t="str">
        <f t="shared" si="689"/>
        <v>Mar</v>
      </c>
      <c r="P6071" s="265">
        <f t="shared" si="690"/>
        <v>13</v>
      </c>
    </row>
    <row r="6072" spans="1:16" ht="15" hidden="1" customHeight="1">
      <c r="A6072" s="489">
        <v>69586720</v>
      </c>
      <c r="B6072" s="489" t="s">
        <v>137</v>
      </c>
      <c r="C6072" s="488">
        <v>12760</v>
      </c>
      <c r="D6072" s="597">
        <v>46125</v>
      </c>
      <c r="E6072" s="489" t="s">
        <v>630</v>
      </c>
      <c r="F6072" s="489" t="s">
        <v>1223</v>
      </c>
      <c r="G6072" s="395">
        <f>VLOOKUP($A6072,'Tech Litons'!$A:$I,8,FALSE)</f>
        <v>2.6640000000000001E-3</v>
      </c>
      <c r="H6072" s="174">
        <f>VLOOKUP($A6072,'Tech Litons'!$A:$I,9,FALSE)</f>
        <v>220</v>
      </c>
      <c r="I6072" s="174" t="str">
        <f>VLOOKUP($A6072,'Tech Litons'!$A:$C,3,0)</f>
        <v>KL Mini Cones</v>
      </c>
      <c r="J6072" s="175" t="str">
        <f t="shared" ref="J6072:J6135" si="691">B6072&amp;I6072</f>
        <v>TurkeyKL Mini Cones</v>
      </c>
      <c r="K6072" s="176">
        <f>VLOOKUP(I6072,'Attain %'!A:B,2,0)</f>
        <v>0.96</v>
      </c>
      <c r="L6072" s="177">
        <f t="shared" ref="L6072:L6135" si="692">C6072*$K6072</f>
        <v>12249.6</v>
      </c>
      <c r="M6072" s="177">
        <f t="shared" ref="M6072:M6135" si="693">L6072*G6072</f>
        <v>32.632934400000003</v>
      </c>
      <c r="N6072" s="177">
        <f t="shared" ref="N6072:N6135" si="694">L6072/H6072</f>
        <v>55.68</v>
      </c>
      <c r="O6072" s="175" t="str">
        <f t="shared" ref="O6072:O6135" si="695">TEXT(D6072,"MMM")</f>
        <v>Apr</v>
      </c>
      <c r="P6072" s="265">
        <f t="shared" ref="P6072:P6135" si="696">WEEKNUM(D6072)</f>
        <v>16</v>
      </c>
    </row>
    <row r="6073" spans="1:16" ht="15" hidden="1" customHeight="1">
      <c r="A6073" s="489">
        <v>62678150</v>
      </c>
      <c r="B6073" s="489">
        <v>5914</v>
      </c>
      <c r="C6073" s="488">
        <v>12960</v>
      </c>
      <c r="D6073" s="597">
        <v>46167</v>
      </c>
      <c r="E6073" s="489" t="s">
        <v>491</v>
      </c>
      <c r="F6073" s="489" t="s">
        <v>1244</v>
      </c>
      <c r="G6073" s="395">
        <f>VLOOKUP($A6073,'Tech Litons'!$A:$I,8,FALSE)</f>
        <v>3.7839999999999996E-3</v>
      </c>
      <c r="H6073" s="174">
        <f>VLOOKUP($A6073,'Tech Litons'!$A:$I,9,FALSE)</f>
        <v>240</v>
      </c>
      <c r="I6073" s="174" t="str">
        <f>VLOOKUP($A6073,'Tech Litons'!$A:$C,3,0)</f>
        <v>BJ PTS</v>
      </c>
      <c r="J6073" s="175" t="str">
        <f t="shared" si="691"/>
        <v>5914BJ PTS</v>
      </c>
      <c r="K6073" s="176">
        <f>VLOOKUP(I6073,'Attain %'!A:B,2,0)</f>
        <v>0.95</v>
      </c>
      <c r="L6073" s="177">
        <f t="shared" si="692"/>
        <v>12312</v>
      </c>
      <c r="M6073" s="177">
        <f t="shared" si="693"/>
        <v>46.588607999999994</v>
      </c>
      <c r="N6073" s="177">
        <f t="shared" si="694"/>
        <v>51.3</v>
      </c>
      <c r="O6073" s="175" t="str">
        <f t="shared" si="695"/>
        <v>May</v>
      </c>
      <c r="P6073" s="265">
        <f t="shared" si="696"/>
        <v>22</v>
      </c>
    </row>
    <row r="6074" spans="1:16" ht="15" hidden="1" customHeight="1">
      <c r="A6074" s="489">
        <v>62697529</v>
      </c>
      <c r="B6074" s="489">
        <v>5914</v>
      </c>
      <c r="C6074" s="488">
        <v>12960</v>
      </c>
      <c r="D6074" s="597">
        <v>46167</v>
      </c>
      <c r="E6074" s="489" t="s">
        <v>448</v>
      </c>
      <c r="F6074" s="489" t="s">
        <v>1244</v>
      </c>
      <c r="G6074" s="395">
        <f>VLOOKUP($A6074,'Tech Litons'!$A:$I,8,FALSE)</f>
        <v>3.7839999999999996E-3</v>
      </c>
      <c r="H6074" s="174">
        <f>VLOOKUP($A6074,'Tech Litons'!$A:$I,9,FALSE)</f>
        <v>240</v>
      </c>
      <c r="I6074" s="174" t="str">
        <f>VLOOKUP($A6074,'Tech Litons'!$A:$C,3,0)</f>
        <v>BJ PTS</v>
      </c>
      <c r="J6074" s="175" t="str">
        <f t="shared" si="691"/>
        <v>5914BJ PTS</v>
      </c>
      <c r="K6074" s="176">
        <f>VLOOKUP(I6074,'Attain %'!A:B,2,0)</f>
        <v>0.95</v>
      </c>
      <c r="L6074" s="177">
        <f t="shared" si="692"/>
        <v>12312</v>
      </c>
      <c r="M6074" s="177">
        <f t="shared" si="693"/>
        <v>46.588607999999994</v>
      </c>
      <c r="N6074" s="177">
        <f t="shared" si="694"/>
        <v>51.3</v>
      </c>
      <c r="O6074" s="175" t="str">
        <f t="shared" si="695"/>
        <v>May</v>
      </c>
      <c r="P6074" s="265">
        <f t="shared" si="696"/>
        <v>22</v>
      </c>
    </row>
    <row r="6075" spans="1:16" ht="15" hidden="1" customHeight="1">
      <c r="A6075" s="489">
        <v>68817793</v>
      </c>
      <c r="B6075" s="489">
        <v>1352</v>
      </c>
      <c r="C6075" s="488">
        <v>13000</v>
      </c>
      <c r="D6075" s="597">
        <v>46125</v>
      </c>
      <c r="E6075" s="489" t="s">
        <v>353</v>
      </c>
      <c r="F6075" s="489" t="s">
        <v>1207</v>
      </c>
      <c r="G6075" s="395">
        <f>VLOOKUP($A6075,'Tech Litons'!$A:$I,8,FALSE)</f>
        <v>8.5199999999999998E-3</v>
      </c>
      <c r="H6075" s="174">
        <f>VLOOKUP($A6075,'Tech Litons'!$A:$I,9,FALSE)</f>
        <v>176</v>
      </c>
      <c r="I6075" s="174" t="str">
        <f>VLOOKUP($A6075,'Tech Litons'!$A:$C,3,0)</f>
        <v>48oz</v>
      </c>
      <c r="J6075" s="175" t="str">
        <f t="shared" si="691"/>
        <v>135248oz</v>
      </c>
      <c r="K6075" s="176">
        <f>VLOOKUP(I6075,'Attain %'!A:B,2,0)</f>
        <v>0.94</v>
      </c>
      <c r="L6075" s="177">
        <f t="shared" si="692"/>
        <v>12220</v>
      </c>
      <c r="M6075" s="177">
        <f t="shared" si="693"/>
        <v>104.1144</v>
      </c>
      <c r="N6075" s="177">
        <f t="shared" si="694"/>
        <v>69.431818181818187</v>
      </c>
      <c r="O6075" s="175" t="str">
        <f t="shared" si="695"/>
        <v>Apr</v>
      </c>
      <c r="P6075" s="265">
        <f t="shared" si="696"/>
        <v>16</v>
      </c>
    </row>
    <row r="6076" spans="1:16" ht="15" hidden="1" customHeight="1">
      <c r="A6076" s="489">
        <v>68817793</v>
      </c>
      <c r="B6076" s="489">
        <v>1352</v>
      </c>
      <c r="C6076" s="488">
        <v>39000</v>
      </c>
      <c r="D6076" s="597">
        <v>46111</v>
      </c>
      <c r="E6076" s="489" t="s">
        <v>353</v>
      </c>
      <c r="F6076" s="489" t="s">
        <v>1207</v>
      </c>
      <c r="G6076" s="395">
        <f>VLOOKUP($A6076,'Tech Litons'!$A:$I,8,FALSE)</f>
        <v>8.5199999999999998E-3</v>
      </c>
      <c r="H6076" s="174">
        <f>VLOOKUP($A6076,'Tech Litons'!$A:$I,9,FALSE)</f>
        <v>176</v>
      </c>
      <c r="I6076" s="174" t="str">
        <f>VLOOKUP($A6076,'Tech Litons'!$A:$C,3,0)</f>
        <v>48oz</v>
      </c>
      <c r="J6076" s="175" t="str">
        <f t="shared" si="691"/>
        <v>135248oz</v>
      </c>
      <c r="K6076" s="176">
        <f>VLOOKUP(I6076,'Attain %'!A:B,2,0)</f>
        <v>0.94</v>
      </c>
      <c r="L6076" s="177">
        <f t="shared" si="692"/>
        <v>36660</v>
      </c>
      <c r="M6076" s="177">
        <f t="shared" si="693"/>
        <v>312.34319999999997</v>
      </c>
      <c r="N6076" s="177">
        <f t="shared" si="694"/>
        <v>208.29545454545453</v>
      </c>
      <c r="O6076" s="175" t="str">
        <f t="shared" si="695"/>
        <v>Mar</v>
      </c>
      <c r="P6076" s="265">
        <f t="shared" si="696"/>
        <v>14</v>
      </c>
    </row>
    <row r="6077" spans="1:16" ht="15" hidden="1" customHeight="1">
      <c r="A6077" s="489">
        <v>68881270</v>
      </c>
      <c r="B6077" s="489">
        <v>1352</v>
      </c>
      <c r="C6077" s="488">
        <v>13000</v>
      </c>
      <c r="D6077" s="597">
        <v>46139</v>
      </c>
      <c r="E6077" s="489" t="s">
        <v>383</v>
      </c>
      <c r="F6077" s="489" t="s">
        <v>1207</v>
      </c>
      <c r="G6077" s="395">
        <f>VLOOKUP($A6077,'Tech Litons'!$A:$I,8,FALSE)</f>
        <v>8.5199999999999998E-3</v>
      </c>
      <c r="H6077" s="174">
        <f>VLOOKUP($A6077,'Tech Litons'!$A:$I,9,FALSE)</f>
        <v>176</v>
      </c>
      <c r="I6077" s="174" t="str">
        <f>VLOOKUP($A6077,'Tech Litons'!$A:$C,3,0)</f>
        <v>48oz</v>
      </c>
      <c r="J6077" s="175" t="str">
        <f t="shared" si="691"/>
        <v>135248oz</v>
      </c>
      <c r="K6077" s="176">
        <f>VLOOKUP(I6077,'Attain %'!A:B,2,0)</f>
        <v>0.94</v>
      </c>
      <c r="L6077" s="177">
        <f t="shared" si="692"/>
        <v>12220</v>
      </c>
      <c r="M6077" s="177">
        <f t="shared" si="693"/>
        <v>104.1144</v>
      </c>
      <c r="N6077" s="177">
        <f t="shared" si="694"/>
        <v>69.431818181818187</v>
      </c>
      <c r="O6077" s="175" t="str">
        <f t="shared" si="695"/>
        <v>Apr</v>
      </c>
      <c r="P6077" s="265">
        <f t="shared" si="696"/>
        <v>18</v>
      </c>
    </row>
    <row r="6078" spans="1:16" ht="15" hidden="1" customHeight="1">
      <c r="A6078" s="489">
        <v>68930545</v>
      </c>
      <c r="B6078" s="489">
        <v>1352</v>
      </c>
      <c r="C6078" s="488">
        <v>13000</v>
      </c>
      <c r="D6078" s="597">
        <v>46125</v>
      </c>
      <c r="E6078" s="489" t="s">
        <v>349</v>
      </c>
      <c r="F6078" s="489" t="s">
        <v>1207</v>
      </c>
      <c r="G6078" s="395">
        <f>VLOOKUP($A6078,'Tech Litons'!$A:$I,8,FALSE)</f>
        <v>8.5199999999999998E-3</v>
      </c>
      <c r="H6078" s="174">
        <f>VLOOKUP($A6078,'Tech Litons'!$A:$I,9,FALSE)</f>
        <v>176</v>
      </c>
      <c r="I6078" s="174" t="str">
        <f>VLOOKUP($A6078,'Tech Litons'!$A:$C,3,0)</f>
        <v>48oz</v>
      </c>
      <c r="J6078" s="175" t="str">
        <f t="shared" si="691"/>
        <v>135248oz</v>
      </c>
      <c r="K6078" s="176">
        <f>VLOOKUP(I6078,'Attain %'!A:B,2,0)</f>
        <v>0.94</v>
      </c>
      <c r="L6078" s="177">
        <f t="shared" si="692"/>
        <v>12220</v>
      </c>
      <c r="M6078" s="177">
        <f t="shared" si="693"/>
        <v>104.1144</v>
      </c>
      <c r="N6078" s="177">
        <f t="shared" si="694"/>
        <v>69.431818181818187</v>
      </c>
      <c r="O6078" s="175" t="str">
        <f t="shared" si="695"/>
        <v>Apr</v>
      </c>
      <c r="P6078" s="265">
        <f t="shared" si="696"/>
        <v>16</v>
      </c>
    </row>
    <row r="6079" spans="1:16" ht="15" hidden="1" customHeight="1">
      <c r="A6079" s="489">
        <v>64776958</v>
      </c>
      <c r="B6079" s="489" t="s">
        <v>133</v>
      </c>
      <c r="C6079" s="488">
        <v>13000</v>
      </c>
      <c r="D6079" s="597">
        <v>46174</v>
      </c>
      <c r="E6079" s="489" t="s">
        <v>292</v>
      </c>
      <c r="F6079" s="489" t="s">
        <v>1223</v>
      </c>
      <c r="G6079" s="395">
        <f>VLOOKUP($A6079,'Tech Litons'!$A:$I,8,FALSE)</f>
        <v>5.2680000000000001E-3</v>
      </c>
      <c r="H6079" s="174">
        <f>VLOOKUP($A6079,'Tech Litons'!$A:$I,9,FALSE)</f>
        <v>130</v>
      </c>
      <c r="I6079" s="174" t="str">
        <f>VLOOKUP($A6079,'Tech Litons'!$A:$C,3,0)</f>
        <v>PG</v>
      </c>
      <c r="J6079" s="175" t="str">
        <f t="shared" si="691"/>
        <v>GDIPG</v>
      </c>
      <c r="K6079" s="176">
        <f>VLOOKUP(I6079,'Attain %'!A:B,2,0)</f>
        <v>0.96</v>
      </c>
      <c r="L6079" s="177">
        <f t="shared" si="692"/>
        <v>12480</v>
      </c>
      <c r="M6079" s="177">
        <f t="shared" si="693"/>
        <v>65.744640000000004</v>
      </c>
      <c r="N6079" s="177">
        <f t="shared" si="694"/>
        <v>96</v>
      </c>
      <c r="O6079" s="175" t="str">
        <f t="shared" si="695"/>
        <v>Jun</v>
      </c>
      <c r="P6079" s="265">
        <f t="shared" si="696"/>
        <v>23</v>
      </c>
    </row>
    <row r="6080" spans="1:16" ht="15" hidden="1" customHeight="1">
      <c r="A6080" s="489">
        <v>68850684</v>
      </c>
      <c r="B6080" s="489">
        <v>1352</v>
      </c>
      <c r="C6080" s="488">
        <v>13200</v>
      </c>
      <c r="D6080" s="597">
        <v>46125</v>
      </c>
      <c r="E6080" s="489" t="s">
        <v>381</v>
      </c>
      <c r="F6080" s="489" t="s">
        <v>1209</v>
      </c>
      <c r="G6080" s="395">
        <f>VLOOKUP($A6080,'Tech Litons'!$A:$I,8,FALSE)</f>
        <v>8.5199999999999998E-3</v>
      </c>
      <c r="H6080" s="174">
        <f>VLOOKUP($A6080,'Tech Litons'!$A:$I,9,FALSE)</f>
        <v>176</v>
      </c>
      <c r="I6080" s="174" t="str">
        <f>VLOOKUP($A6080,'Tech Litons'!$A:$C,3,0)</f>
        <v>48oz</v>
      </c>
      <c r="J6080" s="175" t="str">
        <f t="shared" si="691"/>
        <v>135248oz</v>
      </c>
      <c r="K6080" s="176">
        <f>VLOOKUP(I6080,'Attain %'!A:B,2,0)</f>
        <v>0.94</v>
      </c>
      <c r="L6080" s="177">
        <f t="shared" si="692"/>
        <v>12408</v>
      </c>
      <c r="M6080" s="177">
        <f t="shared" si="693"/>
        <v>105.71616</v>
      </c>
      <c r="N6080" s="177">
        <f t="shared" si="694"/>
        <v>70.5</v>
      </c>
      <c r="O6080" s="175" t="str">
        <f t="shared" si="695"/>
        <v>Apr</v>
      </c>
      <c r="P6080" s="265">
        <f t="shared" si="696"/>
        <v>16</v>
      </c>
    </row>
    <row r="6081" spans="1:16" ht="15" hidden="1" customHeight="1">
      <c r="A6081" s="489">
        <v>69568829</v>
      </c>
      <c r="B6081" s="489">
        <v>1352</v>
      </c>
      <c r="C6081" s="488">
        <v>13200</v>
      </c>
      <c r="D6081" s="597">
        <v>46118</v>
      </c>
      <c r="E6081" s="489" t="s">
        <v>487</v>
      </c>
      <c r="F6081" s="489" t="s">
        <v>1211</v>
      </c>
      <c r="G6081" s="395">
        <f>VLOOKUP($A6081,'Tech Litons'!$A:$I,8,FALSE)</f>
        <v>8.5199999999999998E-3</v>
      </c>
      <c r="H6081" s="174">
        <f>VLOOKUP($A6081,'Tech Litons'!$A:$I,9,FALSE)</f>
        <v>176</v>
      </c>
      <c r="I6081" s="174" t="str">
        <f>VLOOKUP($A6081,'Tech Litons'!$A:$C,3,0)</f>
        <v>48oz</v>
      </c>
      <c r="J6081" s="175" t="str">
        <f t="shared" si="691"/>
        <v>135248oz</v>
      </c>
      <c r="K6081" s="176">
        <f>VLOOKUP(I6081,'Attain %'!A:B,2,0)</f>
        <v>0.94</v>
      </c>
      <c r="L6081" s="177">
        <f t="shared" si="692"/>
        <v>12408</v>
      </c>
      <c r="M6081" s="177">
        <f t="shared" si="693"/>
        <v>105.71616</v>
      </c>
      <c r="N6081" s="177">
        <f t="shared" si="694"/>
        <v>70.5</v>
      </c>
      <c r="O6081" s="175" t="str">
        <f t="shared" si="695"/>
        <v>Apr</v>
      </c>
      <c r="P6081" s="265">
        <f t="shared" si="696"/>
        <v>15</v>
      </c>
    </row>
    <row r="6082" spans="1:16" ht="15" hidden="1" customHeight="1">
      <c r="A6082" s="489">
        <v>64369045</v>
      </c>
      <c r="B6082" s="489">
        <v>2904</v>
      </c>
      <c r="C6082" s="488">
        <v>13200</v>
      </c>
      <c r="D6082" s="597">
        <v>46153</v>
      </c>
      <c r="E6082" s="489" t="s">
        <v>479</v>
      </c>
      <c r="F6082" s="489" t="s">
        <v>1228</v>
      </c>
      <c r="G6082" s="395">
        <f>VLOOKUP($A6082,'Tech Litons'!$A:$I,8,FALSE)</f>
        <v>3.552E-3</v>
      </c>
      <c r="H6082" s="174">
        <f>VLOOKUP($A6082,'Tech Litons'!$A:$I,9,FALSE)</f>
        <v>255</v>
      </c>
      <c r="I6082" s="174" t="str">
        <f>VLOOKUP($A6082,'Tech Litons'!$A:$C,3,0)</f>
        <v>Talenti</v>
      </c>
      <c r="J6082" s="175" t="str">
        <f t="shared" si="691"/>
        <v>2904Talenti</v>
      </c>
      <c r="K6082" s="176">
        <f>VLOOKUP(I6082,'Attain %'!A:B,2,0)</f>
        <v>0.96</v>
      </c>
      <c r="L6082" s="177">
        <f t="shared" si="692"/>
        <v>12672</v>
      </c>
      <c r="M6082" s="177">
        <f t="shared" si="693"/>
        <v>45.010944000000002</v>
      </c>
      <c r="N6082" s="177">
        <f t="shared" si="694"/>
        <v>49.694117647058825</v>
      </c>
      <c r="O6082" s="175" t="str">
        <f t="shared" si="695"/>
        <v>May</v>
      </c>
      <c r="P6082" s="265">
        <f t="shared" si="696"/>
        <v>20</v>
      </c>
    </row>
    <row r="6083" spans="1:16" ht="15" hidden="1" customHeight="1">
      <c r="A6083" s="489">
        <v>68860045</v>
      </c>
      <c r="B6083" s="489">
        <v>2904</v>
      </c>
      <c r="C6083" s="488">
        <v>13200</v>
      </c>
      <c r="D6083" s="597">
        <v>46153</v>
      </c>
      <c r="E6083" s="489" t="s">
        <v>946</v>
      </c>
      <c r="F6083" s="489" t="s">
        <v>1228</v>
      </c>
      <c r="G6083" s="395">
        <f>VLOOKUP($A6083,'Tech Litons'!$A:$I,8,FALSE)</f>
        <v>3.7839999999999996E-3</v>
      </c>
      <c r="H6083" s="174">
        <f>VLOOKUP($A6083,'Tech Litons'!$A:$I,9,FALSE)</f>
        <v>255</v>
      </c>
      <c r="I6083" s="174" t="str">
        <f>VLOOKUP($A6083,'Tech Litons'!$A:$C,3,0)</f>
        <v>TALENTI</v>
      </c>
      <c r="J6083" s="175" t="str">
        <f t="shared" si="691"/>
        <v>2904TALENTI</v>
      </c>
      <c r="K6083" s="176">
        <f>VLOOKUP(I6083,'Attain %'!A:B,2,0)</f>
        <v>0.96</v>
      </c>
      <c r="L6083" s="177">
        <f t="shared" si="692"/>
        <v>12672</v>
      </c>
      <c r="M6083" s="177">
        <f t="shared" si="693"/>
        <v>47.950847999999993</v>
      </c>
      <c r="N6083" s="177">
        <f t="shared" si="694"/>
        <v>49.694117647058825</v>
      </c>
      <c r="O6083" s="175" t="str">
        <f t="shared" si="695"/>
        <v>May</v>
      </c>
      <c r="P6083" s="265">
        <f t="shared" si="696"/>
        <v>20</v>
      </c>
    </row>
    <row r="6084" spans="1:16" ht="15" hidden="1" customHeight="1">
      <c r="A6084" s="489">
        <v>68860045</v>
      </c>
      <c r="B6084" s="489">
        <v>2904</v>
      </c>
      <c r="C6084" s="488">
        <v>13200</v>
      </c>
      <c r="D6084" s="597">
        <v>46160</v>
      </c>
      <c r="E6084" s="489" t="s">
        <v>946</v>
      </c>
      <c r="F6084" s="489" t="s">
        <v>1228</v>
      </c>
      <c r="G6084" s="395">
        <f>VLOOKUP($A6084,'Tech Litons'!$A:$I,8,FALSE)</f>
        <v>3.7839999999999996E-3</v>
      </c>
      <c r="H6084" s="174">
        <f>VLOOKUP($A6084,'Tech Litons'!$A:$I,9,FALSE)</f>
        <v>255</v>
      </c>
      <c r="I6084" s="174" t="str">
        <f>VLOOKUP($A6084,'Tech Litons'!$A:$C,3,0)</f>
        <v>TALENTI</v>
      </c>
      <c r="J6084" s="175" t="str">
        <f t="shared" si="691"/>
        <v>2904TALENTI</v>
      </c>
      <c r="K6084" s="176">
        <f>VLOOKUP(I6084,'Attain %'!A:B,2,0)</f>
        <v>0.96</v>
      </c>
      <c r="L6084" s="177">
        <f t="shared" si="692"/>
        <v>12672</v>
      </c>
      <c r="M6084" s="177">
        <f t="shared" si="693"/>
        <v>47.950847999999993</v>
      </c>
      <c r="N6084" s="177">
        <f t="shared" si="694"/>
        <v>49.694117647058825</v>
      </c>
      <c r="O6084" s="175" t="str">
        <f t="shared" si="695"/>
        <v>May</v>
      </c>
      <c r="P6084" s="265">
        <f t="shared" si="696"/>
        <v>21</v>
      </c>
    </row>
    <row r="6085" spans="1:16" ht="15" hidden="1" customHeight="1">
      <c r="A6085" s="489">
        <v>68860585</v>
      </c>
      <c r="B6085" s="489">
        <v>2904</v>
      </c>
      <c r="C6085" s="488">
        <v>13200</v>
      </c>
      <c r="D6085" s="597">
        <v>46139</v>
      </c>
      <c r="E6085" s="489" t="s">
        <v>458</v>
      </c>
      <c r="F6085" s="489" t="s">
        <v>1228</v>
      </c>
      <c r="G6085" s="395">
        <f>VLOOKUP($A6085,'Tech Litons'!$A:$I,8,FALSE)</f>
        <v>3.7839999999999996E-3</v>
      </c>
      <c r="H6085" s="174">
        <f>VLOOKUP($A6085,'Tech Litons'!$A:$I,9,FALSE)</f>
        <v>255</v>
      </c>
      <c r="I6085" s="174" t="str">
        <f>VLOOKUP($A6085,'Tech Litons'!$A:$C,3,0)</f>
        <v>TALENTI</v>
      </c>
      <c r="J6085" s="175" t="str">
        <f t="shared" si="691"/>
        <v>2904TALENTI</v>
      </c>
      <c r="K6085" s="176">
        <f>VLOOKUP(I6085,'Attain %'!A:B,2,0)</f>
        <v>0.96</v>
      </c>
      <c r="L6085" s="177">
        <f t="shared" si="692"/>
        <v>12672</v>
      </c>
      <c r="M6085" s="177">
        <f t="shared" si="693"/>
        <v>47.950847999999993</v>
      </c>
      <c r="N6085" s="177">
        <f t="shared" si="694"/>
        <v>49.694117647058825</v>
      </c>
      <c r="O6085" s="175" t="str">
        <f t="shared" si="695"/>
        <v>Apr</v>
      </c>
      <c r="P6085" s="265">
        <f t="shared" si="696"/>
        <v>18</v>
      </c>
    </row>
    <row r="6086" spans="1:16" ht="15" hidden="1" customHeight="1">
      <c r="A6086" s="489">
        <v>68867755</v>
      </c>
      <c r="B6086" s="489">
        <v>2904</v>
      </c>
      <c r="C6086" s="488">
        <v>13200</v>
      </c>
      <c r="D6086" s="597">
        <v>46104</v>
      </c>
      <c r="E6086" s="489" t="s">
        <v>274</v>
      </c>
      <c r="F6086" s="489" t="s">
        <v>1228</v>
      </c>
      <c r="G6086" s="395">
        <f>VLOOKUP($A6086,'Tech Litons'!$A:$I,8,FALSE)</f>
        <v>3.552E-3</v>
      </c>
      <c r="H6086" s="174">
        <f>VLOOKUP($A6086,'Tech Litons'!$A:$I,9,FALSE)</f>
        <v>255</v>
      </c>
      <c r="I6086" s="174" t="str">
        <f>VLOOKUP($A6086,'Tech Litons'!$A:$C,3,0)</f>
        <v>Talenti</v>
      </c>
      <c r="J6086" s="175" t="str">
        <f t="shared" si="691"/>
        <v>2904Talenti</v>
      </c>
      <c r="K6086" s="176">
        <f>VLOOKUP(I6086,'Attain %'!A:B,2,0)</f>
        <v>0.96</v>
      </c>
      <c r="L6086" s="177">
        <f t="shared" si="692"/>
        <v>12672</v>
      </c>
      <c r="M6086" s="177">
        <f t="shared" si="693"/>
        <v>45.010944000000002</v>
      </c>
      <c r="N6086" s="177">
        <f t="shared" si="694"/>
        <v>49.694117647058825</v>
      </c>
      <c r="O6086" s="175" t="str">
        <f t="shared" si="695"/>
        <v>Mar</v>
      </c>
      <c r="P6086" s="265">
        <f t="shared" si="696"/>
        <v>13</v>
      </c>
    </row>
    <row r="6087" spans="1:16" ht="15" hidden="1" customHeight="1">
      <c r="A6087" s="489">
        <v>68867755</v>
      </c>
      <c r="B6087" s="489">
        <v>2904</v>
      </c>
      <c r="C6087" s="488">
        <v>13200</v>
      </c>
      <c r="D6087" s="597">
        <v>46132</v>
      </c>
      <c r="E6087" s="489" t="s">
        <v>274</v>
      </c>
      <c r="F6087" s="489" t="s">
        <v>1228</v>
      </c>
      <c r="G6087" s="395">
        <f>VLOOKUP($A6087,'Tech Litons'!$A:$I,8,FALSE)</f>
        <v>3.552E-3</v>
      </c>
      <c r="H6087" s="174">
        <f>VLOOKUP($A6087,'Tech Litons'!$A:$I,9,FALSE)</f>
        <v>255</v>
      </c>
      <c r="I6087" s="174" t="str">
        <f>VLOOKUP($A6087,'Tech Litons'!$A:$C,3,0)</f>
        <v>Talenti</v>
      </c>
      <c r="J6087" s="175" t="str">
        <f t="shared" si="691"/>
        <v>2904Talenti</v>
      </c>
      <c r="K6087" s="176">
        <f>VLOOKUP(I6087,'Attain %'!A:B,2,0)</f>
        <v>0.96</v>
      </c>
      <c r="L6087" s="177">
        <f t="shared" si="692"/>
        <v>12672</v>
      </c>
      <c r="M6087" s="177">
        <f t="shared" si="693"/>
        <v>45.010944000000002</v>
      </c>
      <c r="N6087" s="177">
        <f t="shared" si="694"/>
        <v>49.694117647058825</v>
      </c>
      <c r="O6087" s="175" t="str">
        <f t="shared" si="695"/>
        <v>Apr</v>
      </c>
      <c r="P6087" s="265">
        <f t="shared" si="696"/>
        <v>17</v>
      </c>
    </row>
    <row r="6088" spans="1:16" ht="15" hidden="1" customHeight="1">
      <c r="A6088" s="489">
        <v>68842352</v>
      </c>
      <c r="B6088" s="489" t="s">
        <v>137</v>
      </c>
      <c r="C6088" s="488">
        <v>13200</v>
      </c>
      <c r="D6088" s="597">
        <v>46216</v>
      </c>
      <c r="E6088" s="489" t="s">
        <v>628</v>
      </c>
      <c r="F6088" s="489" t="s">
        <v>1223</v>
      </c>
      <c r="G6088" s="395">
        <f>VLOOKUP($A6088,'Tech Litons'!$A:$I,8,FALSE)</f>
        <v>2.6640000000000001E-3</v>
      </c>
      <c r="H6088" s="174">
        <f>VLOOKUP($A6088,'Tech Litons'!$A:$I,9,FALSE)</f>
        <v>220</v>
      </c>
      <c r="I6088" s="174" t="str">
        <f>VLOOKUP($A6088,'Tech Litons'!$A:$C,3,0)</f>
        <v>KL Mini Cones</v>
      </c>
      <c r="J6088" s="175" t="str">
        <f t="shared" si="691"/>
        <v>TurkeyKL Mini Cones</v>
      </c>
      <c r="K6088" s="176">
        <f>VLOOKUP(I6088,'Attain %'!A:B,2,0)</f>
        <v>0.96</v>
      </c>
      <c r="L6088" s="177">
        <f t="shared" si="692"/>
        <v>12672</v>
      </c>
      <c r="M6088" s="177">
        <f t="shared" si="693"/>
        <v>33.758208000000003</v>
      </c>
      <c r="N6088" s="177">
        <f t="shared" si="694"/>
        <v>57.6</v>
      </c>
      <c r="O6088" s="175" t="str">
        <f t="shared" si="695"/>
        <v>Jul</v>
      </c>
      <c r="P6088" s="265">
        <f t="shared" si="696"/>
        <v>29</v>
      </c>
    </row>
    <row r="6089" spans="1:16" ht="15" hidden="1" customHeight="1">
      <c r="A6089" s="489">
        <v>69586720</v>
      </c>
      <c r="B6089" s="489" t="s">
        <v>137</v>
      </c>
      <c r="C6089" s="488">
        <v>13200</v>
      </c>
      <c r="D6089" s="597">
        <v>46195</v>
      </c>
      <c r="E6089" s="489" t="s">
        <v>630</v>
      </c>
      <c r="F6089" s="489" t="s">
        <v>1223</v>
      </c>
      <c r="G6089" s="395">
        <f>VLOOKUP($A6089,'Tech Litons'!$A:$I,8,FALSE)</f>
        <v>2.6640000000000001E-3</v>
      </c>
      <c r="H6089" s="174">
        <f>VLOOKUP($A6089,'Tech Litons'!$A:$I,9,FALSE)</f>
        <v>220</v>
      </c>
      <c r="I6089" s="174" t="str">
        <f>VLOOKUP($A6089,'Tech Litons'!$A:$C,3,0)</f>
        <v>KL Mini Cones</v>
      </c>
      <c r="J6089" s="175" t="str">
        <f t="shared" si="691"/>
        <v>TurkeyKL Mini Cones</v>
      </c>
      <c r="K6089" s="176">
        <f>VLOOKUP(I6089,'Attain %'!A:B,2,0)</f>
        <v>0.96</v>
      </c>
      <c r="L6089" s="177">
        <f t="shared" si="692"/>
        <v>12672</v>
      </c>
      <c r="M6089" s="177">
        <f t="shared" si="693"/>
        <v>33.758208000000003</v>
      </c>
      <c r="N6089" s="177">
        <f t="shared" si="694"/>
        <v>57.6</v>
      </c>
      <c r="O6089" s="175" t="str">
        <f t="shared" si="695"/>
        <v>Jun</v>
      </c>
      <c r="P6089" s="265">
        <f t="shared" si="696"/>
        <v>26</v>
      </c>
    </row>
    <row r="6090" spans="1:16" ht="15" hidden="1" customHeight="1">
      <c r="A6090" s="489">
        <v>69586720</v>
      </c>
      <c r="B6090" s="489" t="s">
        <v>137</v>
      </c>
      <c r="C6090" s="488">
        <v>13200</v>
      </c>
      <c r="D6090" s="597">
        <v>46202</v>
      </c>
      <c r="E6090" s="489" t="s">
        <v>630</v>
      </c>
      <c r="F6090" s="489" t="s">
        <v>1223</v>
      </c>
      <c r="G6090" s="395">
        <f>VLOOKUP($A6090,'Tech Litons'!$A:$I,8,FALSE)</f>
        <v>2.6640000000000001E-3</v>
      </c>
      <c r="H6090" s="174">
        <f>VLOOKUP($A6090,'Tech Litons'!$A:$I,9,FALSE)</f>
        <v>220</v>
      </c>
      <c r="I6090" s="174" t="str">
        <f>VLOOKUP($A6090,'Tech Litons'!$A:$C,3,0)</f>
        <v>KL Mini Cones</v>
      </c>
      <c r="J6090" s="175" t="str">
        <f t="shared" si="691"/>
        <v>TurkeyKL Mini Cones</v>
      </c>
      <c r="K6090" s="176">
        <f>VLOOKUP(I6090,'Attain %'!A:B,2,0)</f>
        <v>0.96</v>
      </c>
      <c r="L6090" s="177">
        <f t="shared" si="692"/>
        <v>12672</v>
      </c>
      <c r="M6090" s="177">
        <f t="shared" si="693"/>
        <v>33.758208000000003</v>
      </c>
      <c r="N6090" s="177">
        <f t="shared" si="694"/>
        <v>57.6</v>
      </c>
      <c r="O6090" s="175" t="str">
        <f t="shared" si="695"/>
        <v>Jun</v>
      </c>
      <c r="P6090" s="265">
        <f t="shared" si="696"/>
        <v>27</v>
      </c>
    </row>
    <row r="6091" spans="1:16" ht="15" hidden="1" customHeight="1">
      <c r="A6091" s="489">
        <v>64978550</v>
      </c>
      <c r="B6091" s="489">
        <v>1712</v>
      </c>
      <c r="C6091" s="488">
        <v>13240</v>
      </c>
      <c r="D6091" s="597">
        <v>46132</v>
      </c>
      <c r="E6091" s="489" t="s">
        <v>575</v>
      </c>
      <c r="F6091" s="489" t="s">
        <v>1221</v>
      </c>
      <c r="G6091" s="395">
        <f>VLOOKUP($A6091,'Tech Litons'!$A:$I,8,FALSE)</f>
        <v>2.8399999999999996E-3</v>
      </c>
      <c r="H6091" s="174">
        <f>VLOOKUP($A6091,'Tech Litons'!$A:$I,9,FALSE)</f>
        <v>130</v>
      </c>
      <c r="I6091" s="174" t="str">
        <f>VLOOKUP($A6091,'Tech Litons'!$A:$C,3,0)</f>
        <v>Other</v>
      </c>
      <c r="J6091" s="175" t="str">
        <f t="shared" si="691"/>
        <v>1712Other</v>
      </c>
      <c r="K6091" s="176">
        <f>VLOOKUP(I6091,'Attain %'!A:B,2,0)</f>
        <v>0.96</v>
      </c>
      <c r="L6091" s="177">
        <f t="shared" si="692"/>
        <v>12710.4</v>
      </c>
      <c r="M6091" s="177">
        <f t="shared" si="693"/>
        <v>36.097535999999991</v>
      </c>
      <c r="N6091" s="177">
        <f t="shared" si="694"/>
        <v>97.772307692307692</v>
      </c>
      <c r="O6091" s="175" t="str">
        <f t="shared" si="695"/>
        <v>Apr</v>
      </c>
      <c r="P6091" s="265">
        <f t="shared" si="696"/>
        <v>17</v>
      </c>
    </row>
    <row r="6092" spans="1:16" ht="15" hidden="1" customHeight="1">
      <c r="A6092" s="489">
        <v>64776952</v>
      </c>
      <c r="B6092" s="489">
        <v>1352</v>
      </c>
      <c r="D6092" s="597">
        <v>46104</v>
      </c>
      <c r="E6092" s="489" t="s">
        <v>404</v>
      </c>
      <c r="F6092" s="489" t="s">
        <v>1218</v>
      </c>
      <c r="G6092" s="395">
        <f>VLOOKUP($A6092,'Tech Litons'!$A:$I,8,FALSE)</f>
        <v>5.0940000000000004E-3</v>
      </c>
      <c r="H6092" s="174">
        <f>VLOOKUP($A6092,'Tech Litons'!$A:$I,9,FALSE)</f>
        <v>130</v>
      </c>
      <c r="I6092" s="174" t="str">
        <f>VLOOKUP($A6092,'Tech Litons'!$A:$C,3,0)</f>
        <v>PG</v>
      </c>
      <c r="J6092" s="175" t="str">
        <f t="shared" si="691"/>
        <v>1352PG</v>
      </c>
      <c r="K6092" s="176">
        <f>VLOOKUP(I6092,'Attain %'!A:B,2,0)</f>
        <v>0.96</v>
      </c>
      <c r="L6092" s="177">
        <f t="shared" si="692"/>
        <v>0</v>
      </c>
      <c r="M6092" s="177">
        <f t="shared" si="693"/>
        <v>0</v>
      </c>
      <c r="N6092" s="177">
        <f t="shared" si="694"/>
        <v>0</v>
      </c>
      <c r="O6092" s="175" t="str">
        <f t="shared" si="695"/>
        <v>Mar</v>
      </c>
      <c r="P6092" s="265">
        <f t="shared" si="696"/>
        <v>13</v>
      </c>
    </row>
    <row r="6093" spans="1:16" ht="15" hidden="1" customHeight="1">
      <c r="A6093" s="489">
        <v>64956417</v>
      </c>
      <c r="B6093" s="489" t="s">
        <v>139</v>
      </c>
      <c r="C6093" s="488">
        <v>13300</v>
      </c>
      <c r="D6093" s="597">
        <v>46181</v>
      </c>
      <c r="E6093" s="489" t="s">
        <v>621</v>
      </c>
      <c r="F6093" s="489" t="s">
        <v>1223</v>
      </c>
      <c r="G6093" s="395">
        <f>VLOOKUP($A6093,'Tech Litons'!$A:$I,8,FALSE)</f>
        <v>2.16E-3</v>
      </c>
      <c r="H6093" s="174">
        <f>VLOOKUP($A6093,'Tech Litons'!$A:$I,9,FALSE)</f>
        <v>143</v>
      </c>
      <c r="I6093" s="174" t="str">
        <f>VLOOKUP($A6093,'Tech Litons'!$A:$C,3,0)</f>
        <v>Facepieces</v>
      </c>
      <c r="J6093" s="175" t="str">
        <f t="shared" si="691"/>
        <v>IncomFacepieces</v>
      </c>
      <c r="K6093" s="176">
        <f>VLOOKUP(I6093,'Attain %'!A:B,2,0)</f>
        <v>0.96</v>
      </c>
      <c r="L6093" s="177">
        <f t="shared" si="692"/>
        <v>12768</v>
      </c>
      <c r="M6093" s="177">
        <f t="shared" si="693"/>
        <v>27.578880000000002</v>
      </c>
      <c r="N6093" s="177">
        <f t="shared" si="694"/>
        <v>89.286713286713294</v>
      </c>
      <c r="O6093" s="175" t="str">
        <f t="shared" si="695"/>
        <v>Jun</v>
      </c>
      <c r="P6093" s="265">
        <f t="shared" si="696"/>
        <v>24</v>
      </c>
    </row>
    <row r="6094" spans="1:16" ht="15" hidden="1" customHeight="1">
      <c r="A6094" s="489">
        <v>64956417</v>
      </c>
      <c r="B6094" s="489" t="s">
        <v>139</v>
      </c>
      <c r="C6094" s="488">
        <v>13312</v>
      </c>
      <c r="D6094" s="597">
        <v>46237</v>
      </c>
      <c r="E6094" s="489" t="s">
        <v>621</v>
      </c>
      <c r="F6094" s="489" t="s">
        <v>1223</v>
      </c>
      <c r="G6094" s="395">
        <f>VLOOKUP($A6094,'Tech Litons'!$A:$I,8,FALSE)</f>
        <v>2.16E-3</v>
      </c>
      <c r="H6094" s="174">
        <f>VLOOKUP($A6094,'Tech Litons'!$A:$I,9,FALSE)</f>
        <v>143</v>
      </c>
      <c r="I6094" s="174" t="str">
        <f>VLOOKUP($A6094,'Tech Litons'!$A:$C,3,0)</f>
        <v>Facepieces</v>
      </c>
      <c r="J6094" s="175" t="str">
        <f t="shared" si="691"/>
        <v>IncomFacepieces</v>
      </c>
      <c r="K6094" s="176">
        <f>VLOOKUP(I6094,'Attain %'!A:B,2,0)</f>
        <v>0.96</v>
      </c>
      <c r="L6094" s="177">
        <f t="shared" si="692"/>
        <v>12779.52</v>
      </c>
      <c r="M6094" s="177">
        <f t="shared" si="693"/>
        <v>27.603763200000003</v>
      </c>
      <c r="N6094" s="177">
        <f t="shared" si="694"/>
        <v>89.367272727272734</v>
      </c>
      <c r="O6094" s="175" t="str">
        <f t="shared" si="695"/>
        <v>Aug</v>
      </c>
      <c r="P6094" s="265">
        <f t="shared" si="696"/>
        <v>32</v>
      </c>
    </row>
    <row r="6095" spans="1:16" ht="15" hidden="1" customHeight="1">
      <c r="A6095" s="489">
        <v>68940226</v>
      </c>
      <c r="B6095" s="489">
        <v>5914</v>
      </c>
      <c r="C6095" s="488">
        <v>13440</v>
      </c>
      <c r="D6095" s="597">
        <v>46160</v>
      </c>
      <c r="E6095" s="489" t="s">
        <v>472</v>
      </c>
      <c r="F6095" s="489" t="s">
        <v>1246</v>
      </c>
      <c r="G6095" s="395">
        <f>VLOOKUP($A6095,'Tech Litons'!$A:$I,8,FALSE)</f>
        <v>3.7839999999999996E-3</v>
      </c>
      <c r="H6095" s="174">
        <f>VLOOKUP($A6095,'Tech Litons'!$A:$I,9,FALSE)</f>
        <v>240</v>
      </c>
      <c r="I6095" s="174" t="str">
        <f>VLOOKUP($A6095,'Tech Litons'!$A:$C,3,0)</f>
        <v>BJ PTS</v>
      </c>
      <c r="J6095" s="175" t="str">
        <f t="shared" si="691"/>
        <v>5914BJ PTS</v>
      </c>
      <c r="K6095" s="176">
        <f>VLOOKUP(I6095,'Attain %'!A:B,2,0)</f>
        <v>0.95</v>
      </c>
      <c r="L6095" s="177">
        <f t="shared" si="692"/>
        <v>12768</v>
      </c>
      <c r="M6095" s="177">
        <f t="shared" si="693"/>
        <v>48.314111999999994</v>
      </c>
      <c r="N6095" s="177">
        <f t="shared" si="694"/>
        <v>53.2</v>
      </c>
      <c r="O6095" s="175" t="str">
        <f t="shared" si="695"/>
        <v>May</v>
      </c>
      <c r="P6095" s="265">
        <f t="shared" si="696"/>
        <v>21</v>
      </c>
    </row>
    <row r="6096" spans="1:16" ht="15" hidden="1" customHeight="1">
      <c r="A6096" s="489">
        <v>69629468</v>
      </c>
      <c r="B6096" s="489">
        <v>2904</v>
      </c>
      <c r="C6096" s="488">
        <v>13500</v>
      </c>
      <c r="D6096" s="597">
        <v>46118</v>
      </c>
      <c r="E6096" s="489" t="s">
        <v>291</v>
      </c>
      <c r="F6096" s="489" t="s">
        <v>1232</v>
      </c>
      <c r="G6096" s="395">
        <f>VLOOKUP($A6096,'Tech Litons'!$A:$I,8,FALSE)</f>
        <v>5.2680000000000001E-3</v>
      </c>
      <c r="H6096" s="174">
        <f>VLOOKUP($A6096,'Tech Litons'!$A:$I,9,FALSE)</f>
        <v>130</v>
      </c>
      <c r="I6096" s="174" t="str">
        <f>VLOOKUP($A6096,'Tech Litons'!$A:$C,3,0)</f>
        <v>PG</v>
      </c>
      <c r="J6096" s="175" t="str">
        <f t="shared" si="691"/>
        <v>2904PG</v>
      </c>
      <c r="K6096" s="176">
        <f>VLOOKUP(I6096,'Attain %'!A:B,2,0)</f>
        <v>0.96</v>
      </c>
      <c r="L6096" s="177">
        <f t="shared" si="692"/>
        <v>12960</v>
      </c>
      <c r="M6096" s="177">
        <f t="shared" si="693"/>
        <v>68.27328</v>
      </c>
      <c r="N6096" s="177">
        <f t="shared" si="694"/>
        <v>99.692307692307693</v>
      </c>
      <c r="O6096" s="175" t="str">
        <f t="shared" si="695"/>
        <v>Apr</v>
      </c>
      <c r="P6096" s="265">
        <f t="shared" si="696"/>
        <v>15</v>
      </c>
    </row>
    <row r="6097" spans="1:16" ht="15" hidden="1" customHeight="1">
      <c r="A6097" s="489">
        <v>69629468</v>
      </c>
      <c r="B6097" s="489">
        <v>2904</v>
      </c>
      <c r="C6097" s="488">
        <v>13500</v>
      </c>
      <c r="D6097" s="597">
        <v>46139</v>
      </c>
      <c r="E6097" s="489" t="s">
        <v>291</v>
      </c>
      <c r="F6097" s="489" t="s">
        <v>1232</v>
      </c>
      <c r="G6097" s="395">
        <f>VLOOKUP($A6097,'Tech Litons'!$A:$I,8,FALSE)</f>
        <v>5.2680000000000001E-3</v>
      </c>
      <c r="H6097" s="174">
        <f>VLOOKUP($A6097,'Tech Litons'!$A:$I,9,FALSE)</f>
        <v>130</v>
      </c>
      <c r="I6097" s="174" t="str">
        <f>VLOOKUP($A6097,'Tech Litons'!$A:$C,3,0)</f>
        <v>PG</v>
      </c>
      <c r="J6097" s="175" t="str">
        <f t="shared" si="691"/>
        <v>2904PG</v>
      </c>
      <c r="K6097" s="176">
        <f>VLOOKUP(I6097,'Attain %'!A:B,2,0)</f>
        <v>0.96</v>
      </c>
      <c r="L6097" s="177">
        <f t="shared" si="692"/>
        <v>12960</v>
      </c>
      <c r="M6097" s="177">
        <f t="shared" si="693"/>
        <v>68.27328</v>
      </c>
      <c r="N6097" s="177">
        <f t="shared" si="694"/>
        <v>99.692307692307693</v>
      </c>
      <c r="O6097" s="175" t="str">
        <f t="shared" si="695"/>
        <v>Apr</v>
      </c>
      <c r="P6097" s="265">
        <f t="shared" si="696"/>
        <v>18</v>
      </c>
    </row>
    <row r="6098" spans="1:16" ht="15" hidden="1" customHeight="1">
      <c r="A6098" s="489">
        <v>69629468</v>
      </c>
      <c r="B6098" s="489">
        <v>2904</v>
      </c>
      <c r="C6098" s="488">
        <v>13500</v>
      </c>
      <c r="D6098" s="597">
        <v>46146</v>
      </c>
      <c r="E6098" s="489" t="s">
        <v>291</v>
      </c>
      <c r="F6098" s="489" t="s">
        <v>1232</v>
      </c>
      <c r="G6098" s="395">
        <f>VLOOKUP($A6098,'Tech Litons'!$A:$I,8,FALSE)</f>
        <v>5.2680000000000001E-3</v>
      </c>
      <c r="H6098" s="174">
        <f>VLOOKUP($A6098,'Tech Litons'!$A:$I,9,FALSE)</f>
        <v>130</v>
      </c>
      <c r="I6098" s="174" t="str">
        <f>VLOOKUP($A6098,'Tech Litons'!$A:$C,3,0)</f>
        <v>PG</v>
      </c>
      <c r="J6098" s="175" t="str">
        <f t="shared" si="691"/>
        <v>2904PG</v>
      </c>
      <c r="K6098" s="176">
        <f>VLOOKUP(I6098,'Attain %'!A:B,2,0)</f>
        <v>0.96</v>
      </c>
      <c r="L6098" s="177">
        <f t="shared" si="692"/>
        <v>12960</v>
      </c>
      <c r="M6098" s="177">
        <f t="shared" si="693"/>
        <v>68.27328</v>
      </c>
      <c r="N6098" s="177">
        <f t="shared" si="694"/>
        <v>99.692307692307693</v>
      </c>
      <c r="O6098" s="175" t="str">
        <f t="shared" si="695"/>
        <v>May</v>
      </c>
      <c r="P6098" s="265">
        <f t="shared" si="696"/>
        <v>19</v>
      </c>
    </row>
    <row r="6099" spans="1:16" ht="15" hidden="1" customHeight="1">
      <c r="A6099" s="489">
        <v>69629468</v>
      </c>
      <c r="B6099" s="489">
        <v>2904</v>
      </c>
      <c r="C6099" s="488">
        <v>13500</v>
      </c>
      <c r="D6099" s="597">
        <v>46153</v>
      </c>
      <c r="E6099" s="489" t="s">
        <v>291</v>
      </c>
      <c r="F6099" s="489" t="s">
        <v>1232</v>
      </c>
      <c r="G6099" s="395">
        <f>VLOOKUP($A6099,'Tech Litons'!$A:$I,8,FALSE)</f>
        <v>5.2680000000000001E-3</v>
      </c>
      <c r="H6099" s="174">
        <f>VLOOKUP($A6099,'Tech Litons'!$A:$I,9,FALSE)</f>
        <v>130</v>
      </c>
      <c r="I6099" s="174" t="str">
        <f>VLOOKUP($A6099,'Tech Litons'!$A:$C,3,0)</f>
        <v>PG</v>
      </c>
      <c r="J6099" s="175" t="str">
        <f t="shared" si="691"/>
        <v>2904PG</v>
      </c>
      <c r="K6099" s="176">
        <f>VLOOKUP(I6099,'Attain %'!A:B,2,0)</f>
        <v>0.96</v>
      </c>
      <c r="L6099" s="177">
        <f t="shared" si="692"/>
        <v>12960</v>
      </c>
      <c r="M6099" s="177">
        <f t="shared" si="693"/>
        <v>68.27328</v>
      </c>
      <c r="N6099" s="177">
        <f t="shared" si="694"/>
        <v>99.692307692307693</v>
      </c>
      <c r="O6099" s="175" t="str">
        <f t="shared" si="695"/>
        <v>May</v>
      </c>
      <c r="P6099" s="265">
        <f t="shared" si="696"/>
        <v>20</v>
      </c>
    </row>
    <row r="6100" spans="1:16" ht="15" hidden="1" customHeight="1">
      <c r="A6100" s="489">
        <v>69629468</v>
      </c>
      <c r="B6100" s="489">
        <v>2904</v>
      </c>
      <c r="C6100" s="488">
        <v>13500</v>
      </c>
      <c r="D6100" s="597">
        <v>46160</v>
      </c>
      <c r="E6100" s="489" t="s">
        <v>291</v>
      </c>
      <c r="F6100" s="489" t="s">
        <v>1232</v>
      </c>
      <c r="G6100" s="395">
        <f>VLOOKUP($A6100,'Tech Litons'!$A:$I,8,FALSE)</f>
        <v>5.2680000000000001E-3</v>
      </c>
      <c r="H6100" s="174">
        <f>VLOOKUP($A6100,'Tech Litons'!$A:$I,9,FALSE)</f>
        <v>130</v>
      </c>
      <c r="I6100" s="174" t="str">
        <f>VLOOKUP($A6100,'Tech Litons'!$A:$C,3,0)</f>
        <v>PG</v>
      </c>
      <c r="J6100" s="175" t="str">
        <f t="shared" si="691"/>
        <v>2904PG</v>
      </c>
      <c r="K6100" s="176">
        <f>VLOOKUP(I6100,'Attain %'!A:B,2,0)</f>
        <v>0.96</v>
      </c>
      <c r="L6100" s="177">
        <f t="shared" si="692"/>
        <v>12960</v>
      </c>
      <c r="M6100" s="177">
        <f t="shared" si="693"/>
        <v>68.27328</v>
      </c>
      <c r="N6100" s="177">
        <f t="shared" si="694"/>
        <v>99.692307692307693</v>
      </c>
      <c r="O6100" s="175" t="str">
        <f t="shared" si="695"/>
        <v>May</v>
      </c>
      <c r="P6100" s="265">
        <f t="shared" si="696"/>
        <v>21</v>
      </c>
    </row>
    <row r="6101" spans="1:16" ht="15" hidden="1" customHeight="1">
      <c r="A6101" s="489">
        <v>69629468</v>
      </c>
      <c r="B6101" s="489">
        <v>2904</v>
      </c>
      <c r="C6101" s="488">
        <v>13500</v>
      </c>
      <c r="D6101" s="597">
        <v>46167</v>
      </c>
      <c r="E6101" s="489" t="s">
        <v>291</v>
      </c>
      <c r="F6101" s="489" t="s">
        <v>1232</v>
      </c>
      <c r="G6101" s="395">
        <f>VLOOKUP($A6101,'Tech Litons'!$A:$I,8,FALSE)</f>
        <v>5.2680000000000001E-3</v>
      </c>
      <c r="H6101" s="174">
        <f>VLOOKUP($A6101,'Tech Litons'!$A:$I,9,FALSE)</f>
        <v>130</v>
      </c>
      <c r="I6101" s="174" t="str">
        <f>VLOOKUP($A6101,'Tech Litons'!$A:$C,3,0)</f>
        <v>PG</v>
      </c>
      <c r="J6101" s="175" t="str">
        <f t="shared" si="691"/>
        <v>2904PG</v>
      </c>
      <c r="K6101" s="176">
        <f>VLOOKUP(I6101,'Attain %'!A:B,2,0)</f>
        <v>0.96</v>
      </c>
      <c r="L6101" s="177">
        <f t="shared" si="692"/>
        <v>12960</v>
      </c>
      <c r="M6101" s="177">
        <f t="shared" si="693"/>
        <v>68.27328</v>
      </c>
      <c r="N6101" s="177">
        <f t="shared" si="694"/>
        <v>99.692307692307693</v>
      </c>
      <c r="O6101" s="175" t="str">
        <f t="shared" si="695"/>
        <v>May</v>
      </c>
      <c r="P6101" s="265">
        <f t="shared" si="696"/>
        <v>22</v>
      </c>
    </row>
    <row r="6102" spans="1:16" ht="15" hidden="1" customHeight="1">
      <c r="A6102" s="489">
        <v>67916890</v>
      </c>
      <c r="B6102" s="489">
        <v>5914</v>
      </c>
      <c r="C6102" s="488">
        <v>13600</v>
      </c>
      <c r="D6102" s="597">
        <v>46160</v>
      </c>
      <c r="E6102" s="489" t="s">
        <v>471</v>
      </c>
      <c r="F6102" s="489" t="s">
        <v>1244</v>
      </c>
      <c r="G6102" s="395">
        <f>VLOOKUP($A6102,'Tech Litons'!$A:$I,8,FALSE)</f>
        <v>3.6640000000000002E-3</v>
      </c>
      <c r="H6102" s="174">
        <f>VLOOKUP($A6102,'Tech Litons'!$A:$I,9,FALSE)</f>
        <v>240</v>
      </c>
      <c r="I6102" s="174" t="str">
        <f>VLOOKUP($A6102,'Tech Litons'!$A:$C,3,0)</f>
        <v>PTS Exports</v>
      </c>
      <c r="J6102" s="175" t="str">
        <f t="shared" si="691"/>
        <v>5914PTS Exports</v>
      </c>
      <c r="K6102" s="176">
        <f>VLOOKUP(I6102,'Attain %'!A:B,2,0)</f>
        <v>0.96</v>
      </c>
      <c r="L6102" s="177">
        <f t="shared" si="692"/>
        <v>13056</v>
      </c>
      <c r="M6102" s="177">
        <f t="shared" si="693"/>
        <v>47.837184000000001</v>
      </c>
      <c r="N6102" s="177">
        <f t="shared" si="694"/>
        <v>54.4</v>
      </c>
      <c r="O6102" s="175" t="str">
        <f t="shared" si="695"/>
        <v>May</v>
      </c>
      <c r="P6102" s="265">
        <f t="shared" si="696"/>
        <v>21</v>
      </c>
    </row>
    <row r="6103" spans="1:16" ht="15" hidden="1" customHeight="1">
      <c r="A6103" s="489">
        <v>64977494</v>
      </c>
      <c r="B6103" s="489">
        <v>1712</v>
      </c>
      <c r="C6103" s="488">
        <v>13800</v>
      </c>
      <c r="D6103" s="597">
        <v>46118</v>
      </c>
      <c r="E6103" s="489" t="s">
        <v>574</v>
      </c>
      <c r="F6103" s="489" t="s">
        <v>1221</v>
      </c>
      <c r="G6103" s="395">
        <f>VLOOKUP($A6103,'Tech Litons'!$A:$I,8,FALSE)</f>
        <v>2.8399999999999996E-3</v>
      </c>
      <c r="H6103" s="174">
        <f>VLOOKUP($A6103,'Tech Litons'!$A:$I,9,FALSE)</f>
        <v>130</v>
      </c>
      <c r="I6103" s="174" t="str">
        <f>VLOOKUP($A6103,'Tech Litons'!$A:$C,3,0)</f>
        <v>Other</v>
      </c>
      <c r="J6103" s="175" t="str">
        <f t="shared" si="691"/>
        <v>1712Other</v>
      </c>
      <c r="K6103" s="176">
        <f>VLOOKUP(I6103,'Attain %'!A:B,2,0)</f>
        <v>0.96</v>
      </c>
      <c r="L6103" s="177">
        <f t="shared" si="692"/>
        <v>13248</v>
      </c>
      <c r="M6103" s="177">
        <f t="shared" si="693"/>
        <v>37.624319999999997</v>
      </c>
      <c r="N6103" s="177">
        <f t="shared" si="694"/>
        <v>101.9076923076923</v>
      </c>
      <c r="O6103" s="175" t="str">
        <f t="shared" si="695"/>
        <v>Apr</v>
      </c>
      <c r="P6103" s="265">
        <f t="shared" si="696"/>
        <v>15</v>
      </c>
    </row>
    <row r="6104" spans="1:16" ht="15" hidden="1" customHeight="1">
      <c r="A6104" s="489">
        <v>64977494</v>
      </c>
      <c r="B6104" s="489">
        <v>1712</v>
      </c>
      <c r="C6104" s="488">
        <v>13800</v>
      </c>
      <c r="D6104" s="597">
        <v>46195</v>
      </c>
      <c r="E6104" s="489" t="s">
        <v>574</v>
      </c>
      <c r="F6104" s="489" t="s">
        <v>1221</v>
      </c>
      <c r="G6104" s="395">
        <f>VLOOKUP($A6104,'Tech Litons'!$A:$I,8,FALSE)</f>
        <v>2.8399999999999996E-3</v>
      </c>
      <c r="H6104" s="174">
        <f>VLOOKUP($A6104,'Tech Litons'!$A:$I,9,FALSE)</f>
        <v>130</v>
      </c>
      <c r="I6104" s="174" t="str">
        <f>VLOOKUP($A6104,'Tech Litons'!$A:$C,3,0)</f>
        <v>Other</v>
      </c>
      <c r="J6104" s="175" t="str">
        <f t="shared" si="691"/>
        <v>1712Other</v>
      </c>
      <c r="K6104" s="176">
        <f>VLOOKUP(I6104,'Attain %'!A:B,2,0)</f>
        <v>0.96</v>
      </c>
      <c r="L6104" s="177">
        <f t="shared" si="692"/>
        <v>13248</v>
      </c>
      <c r="M6104" s="177">
        <f t="shared" si="693"/>
        <v>37.624319999999997</v>
      </c>
      <c r="N6104" s="177">
        <f t="shared" si="694"/>
        <v>101.9076923076923</v>
      </c>
      <c r="O6104" s="175" t="str">
        <f t="shared" si="695"/>
        <v>Jun</v>
      </c>
      <c r="P6104" s="265">
        <f t="shared" si="696"/>
        <v>26</v>
      </c>
    </row>
    <row r="6105" spans="1:16" ht="15" hidden="1" customHeight="1">
      <c r="A6105" s="489">
        <v>64977494</v>
      </c>
      <c r="B6105" s="489">
        <v>1712</v>
      </c>
      <c r="C6105" s="488">
        <v>13800</v>
      </c>
      <c r="D6105" s="597">
        <v>46216</v>
      </c>
      <c r="E6105" s="489" t="s">
        <v>574</v>
      </c>
      <c r="F6105" s="489" t="s">
        <v>1221</v>
      </c>
      <c r="G6105" s="395">
        <f>VLOOKUP($A6105,'Tech Litons'!$A:$I,8,FALSE)</f>
        <v>2.8399999999999996E-3</v>
      </c>
      <c r="H6105" s="174">
        <f>VLOOKUP($A6105,'Tech Litons'!$A:$I,9,FALSE)</f>
        <v>130</v>
      </c>
      <c r="I6105" s="174" t="str">
        <f>VLOOKUP($A6105,'Tech Litons'!$A:$C,3,0)</f>
        <v>Other</v>
      </c>
      <c r="J6105" s="175" t="str">
        <f t="shared" si="691"/>
        <v>1712Other</v>
      </c>
      <c r="K6105" s="176">
        <f>VLOOKUP(I6105,'Attain %'!A:B,2,0)</f>
        <v>0.96</v>
      </c>
      <c r="L6105" s="177">
        <f t="shared" si="692"/>
        <v>13248</v>
      </c>
      <c r="M6105" s="177">
        <f t="shared" si="693"/>
        <v>37.624319999999997</v>
      </c>
      <c r="N6105" s="177">
        <f t="shared" si="694"/>
        <v>101.9076923076923</v>
      </c>
      <c r="O6105" s="175" t="str">
        <f t="shared" si="695"/>
        <v>Jul</v>
      </c>
      <c r="P6105" s="265">
        <f t="shared" si="696"/>
        <v>29</v>
      </c>
    </row>
    <row r="6106" spans="1:16" ht="15" hidden="1" customHeight="1">
      <c r="A6106" s="489">
        <v>64977494</v>
      </c>
      <c r="B6106" s="489">
        <v>1712</v>
      </c>
      <c r="C6106" s="488">
        <v>13800</v>
      </c>
      <c r="D6106" s="597">
        <v>46223</v>
      </c>
      <c r="E6106" s="489" t="s">
        <v>574</v>
      </c>
      <c r="F6106" s="489" t="s">
        <v>1221</v>
      </c>
      <c r="G6106" s="395">
        <f>VLOOKUP($A6106,'Tech Litons'!$A:$I,8,FALSE)</f>
        <v>2.8399999999999996E-3</v>
      </c>
      <c r="H6106" s="174">
        <f>VLOOKUP($A6106,'Tech Litons'!$A:$I,9,FALSE)</f>
        <v>130</v>
      </c>
      <c r="I6106" s="174" t="str">
        <f>VLOOKUP($A6106,'Tech Litons'!$A:$C,3,0)</f>
        <v>Other</v>
      </c>
      <c r="J6106" s="175" t="str">
        <f t="shared" si="691"/>
        <v>1712Other</v>
      </c>
      <c r="K6106" s="176">
        <f>VLOOKUP(I6106,'Attain %'!A:B,2,0)</f>
        <v>0.96</v>
      </c>
      <c r="L6106" s="177">
        <f t="shared" si="692"/>
        <v>13248</v>
      </c>
      <c r="M6106" s="177">
        <f t="shared" si="693"/>
        <v>37.624319999999997</v>
      </c>
      <c r="N6106" s="177">
        <f t="shared" si="694"/>
        <v>101.9076923076923</v>
      </c>
      <c r="O6106" s="175" t="str">
        <f t="shared" si="695"/>
        <v>Jul</v>
      </c>
      <c r="P6106" s="265">
        <f t="shared" si="696"/>
        <v>30</v>
      </c>
    </row>
    <row r="6107" spans="1:16" ht="15" hidden="1" customHeight="1">
      <c r="A6107" s="489">
        <v>64977494</v>
      </c>
      <c r="B6107" s="489">
        <v>1712</v>
      </c>
      <c r="C6107" s="488">
        <v>13800</v>
      </c>
      <c r="D6107" s="597">
        <v>46230</v>
      </c>
      <c r="E6107" s="489" t="s">
        <v>574</v>
      </c>
      <c r="F6107" s="489" t="s">
        <v>1221</v>
      </c>
      <c r="G6107" s="395">
        <f>VLOOKUP($A6107,'Tech Litons'!$A:$I,8,FALSE)</f>
        <v>2.8399999999999996E-3</v>
      </c>
      <c r="H6107" s="174">
        <f>VLOOKUP($A6107,'Tech Litons'!$A:$I,9,FALSE)</f>
        <v>130</v>
      </c>
      <c r="I6107" s="174" t="str">
        <f>VLOOKUP($A6107,'Tech Litons'!$A:$C,3,0)</f>
        <v>Other</v>
      </c>
      <c r="J6107" s="175" t="str">
        <f t="shared" si="691"/>
        <v>1712Other</v>
      </c>
      <c r="K6107" s="176">
        <f>VLOOKUP(I6107,'Attain %'!A:B,2,0)</f>
        <v>0.96</v>
      </c>
      <c r="L6107" s="177">
        <f t="shared" si="692"/>
        <v>13248</v>
      </c>
      <c r="M6107" s="177">
        <f t="shared" si="693"/>
        <v>37.624319999999997</v>
      </c>
      <c r="N6107" s="177">
        <f t="shared" si="694"/>
        <v>101.9076923076923</v>
      </c>
      <c r="O6107" s="175" t="str">
        <f t="shared" si="695"/>
        <v>Jul</v>
      </c>
      <c r="P6107" s="265">
        <f t="shared" si="696"/>
        <v>31</v>
      </c>
    </row>
    <row r="6108" spans="1:16" ht="15" hidden="1" customHeight="1">
      <c r="A6108" s="489">
        <v>64977494</v>
      </c>
      <c r="B6108" s="489">
        <v>1712</v>
      </c>
      <c r="C6108" s="488">
        <v>13800</v>
      </c>
      <c r="D6108" s="597">
        <v>46237</v>
      </c>
      <c r="E6108" s="489" t="s">
        <v>574</v>
      </c>
      <c r="F6108" s="489" t="s">
        <v>1221</v>
      </c>
      <c r="G6108" s="395">
        <f>VLOOKUP($A6108,'Tech Litons'!$A:$I,8,FALSE)</f>
        <v>2.8399999999999996E-3</v>
      </c>
      <c r="H6108" s="174">
        <f>VLOOKUP($A6108,'Tech Litons'!$A:$I,9,FALSE)</f>
        <v>130</v>
      </c>
      <c r="I6108" s="174" t="str">
        <f>VLOOKUP($A6108,'Tech Litons'!$A:$C,3,0)</f>
        <v>Other</v>
      </c>
      <c r="J6108" s="175" t="str">
        <f t="shared" si="691"/>
        <v>1712Other</v>
      </c>
      <c r="K6108" s="176">
        <f>VLOOKUP(I6108,'Attain %'!A:B,2,0)</f>
        <v>0.96</v>
      </c>
      <c r="L6108" s="177">
        <f t="shared" si="692"/>
        <v>13248</v>
      </c>
      <c r="M6108" s="177">
        <f t="shared" si="693"/>
        <v>37.624319999999997</v>
      </c>
      <c r="N6108" s="177">
        <f t="shared" si="694"/>
        <v>101.9076923076923</v>
      </c>
      <c r="O6108" s="175" t="str">
        <f t="shared" si="695"/>
        <v>Aug</v>
      </c>
      <c r="P6108" s="265">
        <f t="shared" si="696"/>
        <v>32</v>
      </c>
    </row>
    <row r="6109" spans="1:16" ht="15" hidden="1" customHeight="1">
      <c r="A6109" s="489">
        <v>64977494</v>
      </c>
      <c r="B6109" s="489">
        <v>1712</v>
      </c>
      <c r="C6109" s="488">
        <v>13800</v>
      </c>
      <c r="D6109" s="597">
        <v>46258</v>
      </c>
      <c r="E6109" s="489" t="s">
        <v>574</v>
      </c>
      <c r="F6109" s="489" t="s">
        <v>1221</v>
      </c>
      <c r="G6109" s="395">
        <f>VLOOKUP($A6109,'Tech Litons'!$A:$I,8,FALSE)</f>
        <v>2.8399999999999996E-3</v>
      </c>
      <c r="H6109" s="174">
        <f>VLOOKUP($A6109,'Tech Litons'!$A:$I,9,FALSE)</f>
        <v>130</v>
      </c>
      <c r="I6109" s="174" t="str">
        <f>VLOOKUP($A6109,'Tech Litons'!$A:$C,3,0)</f>
        <v>Other</v>
      </c>
      <c r="J6109" s="175" t="str">
        <f t="shared" si="691"/>
        <v>1712Other</v>
      </c>
      <c r="K6109" s="176">
        <f>VLOOKUP(I6109,'Attain %'!A:B,2,0)</f>
        <v>0.96</v>
      </c>
      <c r="L6109" s="177">
        <f t="shared" si="692"/>
        <v>13248</v>
      </c>
      <c r="M6109" s="177">
        <f t="shared" si="693"/>
        <v>37.624319999999997</v>
      </c>
      <c r="N6109" s="177">
        <f t="shared" si="694"/>
        <v>101.9076923076923</v>
      </c>
      <c r="O6109" s="175" t="str">
        <f t="shared" si="695"/>
        <v>Aug</v>
      </c>
      <c r="P6109" s="265">
        <f t="shared" si="696"/>
        <v>35</v>
      </c>
    </row>
    <row r="6110" spans="1:16" ht="15" hidden="1" customHeight="1">
      <c r="A6110" s="489">
        <v>64977494</v>
      </c>
      <c r="B6110" s="489">
        <v>1712</v>
      </c>
      <c r="C6110" s="488">
        <v>13800</v>
      </c>
      <c r="D6110" s="597">
        <v>46286</v>
      </c>
      <c r="E6110" s="489" t="s">
        <v>574</v>
      </c>
      <c r="F6110" s="489" t="s">
        <v>1221</v>
      </c>
      <c r="G6110" s="395">
        <f>VLOOKUP($A6110,'Tech Litons'!$A:$I,8,FALSE)</f>
        <v>2.8399999999999996E-3</v>
      </c>
      <c r="H6110" s="174">
        <f>VLOOKUP($A6110,'Tech Litons'!$A:$I,9,FALSE)</f>
        <v>130</v>
      </c>
      <c r="I6110" s="174" t="str">
        <f>VLOOKUP($A6110,'Tech Litons'!$A:$C,3,0)</f>
        <v>Other</v>
      </c>
      <c r="J6110" s="175" t="str">
        <f t="shared" si="691"/>
        <v>1712Other</v>
      </c>
      <c r="K6110" s="176">
        <f>VLOOKUP(I6110,'Attain %'!A:B,2,0)</f>
        <v>0.96</v>
      </c>
      <c r="L6110" s="177">
        <f t="shared" si="692"/>
        <v>13248</v>
      </c>
      <c r="M6110" s="177">
        <f t="shared" si="693"/>
        <v>37.624319999999997</v>
      </c>
      <c r="N6110" s="177">
        <f t="shared" si="694"/>
        <v>101.9076923076923</v>
      </c>
      <c r="O6110" s="175" t="str">
        <f t="shared" si="695"/>
        <v>Sep</v>
      </c>
      <c r="P6110" s="265">
        <f t="shared" si="696"/>
        <v>39</v>
      </c>
    </row>
    <row r="6111" spans="1:16" ht="15" hidden="1" customHeight="1">
      <c r="A6111" s="489">
        <v>64977494</v>
      </c>
      <c r="B6111" s="489">
        <v>1712</v>
      </c>
      <c r="C6111" s="488">
        <v>13800</v>
      </c>
      <c r="D6111" s="597">
        <v>46321</v>
      </c>
      <c r="E6111" s="489" t="s">
        <v>574</v>
      </c>
      <c r="F6111" s="489" t="s">
        <v>1221</v>
      </c>
      <c r="G6111" s="395">
        <f>VLOOKUP($A6111,'Tech Litons'!$A:$I,8,FALSE)</f>
        <v>2.8399999999999996E-3</v>
      </c>
      <c r="H6111" s="174">
        <f>VLOOKUP($A6111,'Tech Litons'!$A:$I,9,FALSE)</f>
        <v>130</v>
      </c>
      <c r="I6111" s="174" t="str">
        <f>VLOOKUP($A6111,'Tech Litons'!$A:$C,3,0)</f>
        <v>Other</v>
      </c>
      <c r="J6111" s="175" t="str">
        <f t="shared" si="691"/>
        <v>1712Other</v>
      </c>
      <c r="K6111" s="176">
        <f>VLOOKUP(I6111,'Attain %'!A:B,2,0)</f>
        <v>0.96</v>
      </c>
      <c r="L6111" s="177">
        <f t="shared" si="692"/>
        <v>13248</v>
      </c>
      <c r="M6111" s="177">
        <f t="shared" si="693"/>
        <v>37.624319999999997</v>
      </c>
      <c r="N6111" s="177">
        <f t="shared" si="694"/>
        <v>101.9076923076923</v>
      </c>
      <c r="O6111" s="175" t="str">
        <f t="shared" si="695"/>
        <v>Oct</v>
      </c>
      <c r="P6111" s="265">
        <f t="shared" si="696"/>
        <v>44</v>
      </c>
    </row>
    <row r="6112" spans="1:16" ht="15" hidden="1" customHeight="1">
      <c r="A6112" s="489">
        <v>64977494</v>
      </c>
      <c r="B6112" s="489">
        <v>1712</v>
      </c>
      <c r="C6112" s="488">
        <v>13800</v>
      </c>
      <c r="D6112" s="597">
        <v>46356</v>
      </c>
      <c r="E6112" s="489" t="s">
        <v>574</v>
      </c>
      <c r="F6112" s="489" t="s">
        <v>1221</v>
      </c>
      <c r="G6112" s="395">
        <f>VLOOKUP($A6112,'Tech Litons'!$A:$I,8,FALSE)</f>
        <v>2.8399999999999996E-3</v>
      </c>
      <c r="H6112" s="174">
        <f>VLOOKUP($A6112,'Tech Litons'!$A:$I,9,FALSE)</f>
        <v>130</v>
      </c>
      <c r="I6112" s="174" t="str">
        <f>VLOOKUP($A6112,'Tech Litons'!$A:$C,3,0)</f>
        <v>Other</v>
      </c>
      <c r="J6112" s="175" t="str">
        <f t="shared" si="691"/>
        <v>1712Other</v>
      </c>
      <c r="K6112" s="176">
        <f>VLOOKUP(I6112,'Attain %'!A:B,2,0)</f>
        <v>0.96</v>
      </c>
      <c r="L6112" s="177">
        <f t="shared" si="692"/>
        <v>13248</v>
      </c>
      <c r="M6112" s="177">
        <f t="shared" si="693"/>
        <v>37.624319999999997</v>
      </c>
      <c r="N6112" s="177">
        <f t="shared" si="694"/>
        <v>101.9076923076923</v>
      </c>
      <c r="O6112" s="175" t="str">
        <f t="shared" si="695"/>
        <v>Nov</v>
      </c>
      <c r="P6112" s="265">
        <f t="shared" si="696"/>
        <v>49</v>
      </c>
    </row>
    <row r="6113" spans="1:16" ht="15" hidden="1" customHeight="1">
      <c r="A6113" s="489">
        <v>64978550</v>
      </c>
      <c r="B6113" s="489">
        <v>1712</v>
      </c>
      <c r="C6113" s="488">
        <v>13800</v>
      </c>
      <c r="D6113" s="597">
        <v>46146</v>
      </c>
      <c r="E6113" s="489" t="s">
        <v>575</v>
      </c>
      <c r="F6113" s="489" t="s">
        <v>1221</v>
      </c>
      <c r="G6113" s="395">
        <f>VLOOKUP($A6113,'Tech Litons'!$A:$I,8,FALSE)</f>
        <v>2.8399999999999996E-3</v>
      </c>
      <c r="H6113" s="174">
        <f>VLOOKUP($A6113,'Tech Litons'!$A:$I,9,FALSE)</f>
        <v>130</v>
      </c>
      <c r="I6113" s="174" t="str">
        <f>VLOOKUP($A6113,'Tech Litons'!$A:$C,3,0)</f>
        <v>Other</v>
      </c>
      <c r="J6113" s="175" t="str">
        <f t="shared" si="691"/>
        <v>1712Other</v>
      </c>
      <c r="K6113" s="176">
        <f>VLOOKUP(I6113,'Attain %'!A:B,2,0)</f>
        <v>0.96</v>
      </c>
      <c r="L6113" s="177">
        <f t="shared" si="692"/>
        <v>13248</v>
      </c>
      <c r="M6113" s="177">
        <f t="shared" si="693"/>
        <v>37.624319999999997</v>
      </c>
      <c r="N6113" s="177">
        <f t="shared" si="694"/>
        <v>101.9076923076923</v>
      </c>
      <c r="O6113" s="175" t="str">
        <f t="shared" si="695"/>
        <v>May</v>
      </c>
      <c r="P6113" s="265">
        <f t="shared" si="696"/>
        <v>19</v>
      </c>
    </row>
    <row r="6114" spans="1:16" ht="15" hidden="1" customHeight="1">
      <c r="A6114" s="489">
        <v>64958862</v>
      </c>
      <c r="B6114" s="489" t="s">
        <v>133</v>
      </c>
      <c r="C6114" s="488">
        <v>13800</v>
      </c>
      <c r="D6114" s="597">
        <v>46160</v>
      </c>
      <c r="E6114" s="489" t="s">
        <v>1290</v>
      </c>
      <c r="F6114" s="489" t="s">
        <v>1223</v>
      </c>
      <c r="G6114" s="395">
        <f>VLOOKUP($A6114,'Tech Litons'!$A:$I,8,FALSE)</f>
        <v>3.516E-3</v>
      </c>
      <c r="H6114" s="174">
        <f>VLOOKUP($A6114,'Tech Litons'!$A:$I,9,FALSE)</f>
        <v>170</v>
      </c>
      <c r="I6114" s="174" t="str">
        <f>VLOOKUP($A6114,'Tech Litons'!$A:$C,3,0)</f>
        <v>Other</v>
      </c>
      <c r="J6114" s="175" t="str">
        <f t="shared" si="691"/>
        <v>GDIOther</v>
      </c>
      <c r="K6114" s="176">
        <f>VLOOKUP(I6114,'Attain %'!A:B,2,0)</f>
        <v>0.96</v>
      </c>
      <c r="L6114" s="177">
        <f t="shared" si="692"/>
        <v>13248</v>
      </c>
      <c r="M6114" s="177">
        <f t="shared" si="693"/>
        <v>46.579968000000001</v>
      </c>
      <c r="N6114" s="177">
        <f t="shared" si="694"/>
        <v>77.929411764705875</v>
      </c>
      <c r="O6114" s="175" t="str">
        <f t="shared" si="695"/>
        <v>May</v>
      </c>
      <c r="P6114" s="265">
        <f t="shared" si="696"/>
        <v>21</v>
      </c>
    </row>
    <row r="6115" spans="1:16" ht="15" hidden="1" customHeight="1">
      <c r="A6115" s="489">
        <v>64380012</v>
      </c>
      <c r="B6115" s="489">
        <v>3910</v>
      </c>
      <c r="C6115" s="488">
        <v>13920</v>
      </c>
      <c r="D6115" s="597">
        <v>46118</v>
      </c>
      <c r="E6115" s="489" t="s">
        <v>561</v>
      </c>
      <c r="F6115" s="489" t="s">
        <v>1335</v>
      </c>
      <c r="G6115" s="395">
        <f>VLOOKUP($A6115,'Tech Litons'!$A:$I,8,FALSE)</f>
        <v>3.9119999999999997E-3</v>
      </c>
      <c r="H6115" s="174">
        <f>VLOOKUP($A6115,'Tech Litons'!$A:$I,9,FALSE)</f>
        <v>276</v>
      </c>
      <c r="I6115" s="174" t="str">
        <f>VLOOKUP($A6115,'Tech Litons'!$A:$C,3,0)</f>
        <v>EFW</v>
      </c>
      <c r="J6115" s="175" t="str">
        <f t="shared" si="691"/>
        <v>3910EFW</v>
      </c>
      <c r="K6115" s="176">
        <f>VLOOKUP(I6115,'Attain %'!A:B,2,0)</f>
        <v>0.96</v>
      </c>
      <c r="L6115" s="177">
        <f t="shared" si="692"/>
        <v>13363.199999999999</v>
      </c>
      <c r="M6115" s="177">
        <f t="shared" si="693"/>
        <v>52.276838399999988</v>
      </c>
      <c r="N6115" s="177">
        <f t="shared" si="694"/>
        <v>48.417391304347824</v>
      </c>
      <c r="O6115" s="175" t="str">
        <f t="shared" si="695"/>
        <v>Apr</v>
      </c>
      <c r="P6115" s="265">
        <f t="shared" si="696"/>
        <v>15</v>
      </c>
    </row>
    <row r="6116" spans="1:16" ht="15" hidden="1" customHeight="1">
      <c r="A6116" s="489">
        <v>69665113</v>
      </c>
      <c r="B6116" s="489" t="s">
        <v>118</v>
      </c>
      <c r="C6116" s="488">
        <v>14000</v>
      </c>
      <c r="D6116" s="597">
        <v>46111</v>
      </c>
      <c r="E6116" s="489" t="s">
        <v>896</v>
      </c>
      <c r="F6116" s="489" t="s">
        <v>1223</v>
      </c>
      <c r="G6116" s="395">
        <f>VLOOKUP($A6116,'Tech Litons'!$A:$I,8,FALSE)</f>
        <v>1.8160000000000001E-3</v>
      </c>
      <c r="H6116" s="174">
        <f>VLOOKUP($A6116,'Tech Litons'!$A:$I,9,FALSE)</f>
        <v>256</v>
      </c>
      <c r="I6116" s="174" t="str">
        <f>VLOOKUP($A6116,'Tech Litons'!$A:$C,3,0)</f>
        <v>Dough Bites</v>
      </c>
      <c r="J6116" s="175" t="str">
        <f t="shared" si="691"/>
        <v>RhinoDough Bites</v>
      </c>
      <c r="K6116" s="176">
        <f>VLOOKUP(I6116,'Attain %'!A:B,2,0)</f>
        <v>0.96</v>
      </c>
      <c r="L6116" s="177">
        <f t="shared" si="692"/>
        <v>13440</v>
      </c>
      <c r="M6116" s="177">
        <f t="shared" si="693"/>
        <v>24.407040000000002</v>
      </c>
      <c r="N6116" s="177">
        <f t="shared" si="694"/>
        <v>52.5</v>
      </c>
      <c r="O6116" s="175" t="str">
        <f t="shared" si="695"/>
        <v>Mar</v>
      </c>
      <c r="P6116" s="265">
        <f t="shared" si="696"/>
        <v>14</v>
      </c>
    </row>
    <row r="6117" spans="1:16" ht="15" hidden="1" customHeight="1">
      <c r="A6117" s="489">
        <v>69665113</v>
      </c>
      <c r="B6117" s="489" t="s">
        <v>118</v>
      </c>
      <c r="C6117" s="488">
        <v>14000</v>
      </c>
      <c r="D6117" s="597">
        <v>46118</v>
      </c>
      <c r="E6117" s="489" t="s">
        <v>896</v>
      </c>
      <c r="F6117" s="489" t="s">
        <v>1223</v>
      </c>
      <c r="G6117" s="395">
        <f>VLOOKUP($A6117,'Tech Litons'!$A:$I,8,FALSE)</f>
        <v>1.8160000000000001E-3</v>
      </c>
      <c r="H6117" s="174">
        <f>VLOOKUP($A6117,'Tech Litons'!$A:$I,9,FALSE)</f>
        <v>256</v>
      </c>
      <c r="I6117" s="174" t="str">
        <f>VLOOKUP($A6117,'Tech Litons'!$A:$C,3,0)</f>
        <v>Dough Bites</v>
      </c>
      <c r="J6117" s="175" t="str">
        <f t="shared" si="691"/>
        <v>RhinoDough Bites</v>
      </c>
      <c r="K6117" s="176">
        <f>VLOOKUP(I6117,'Attain %'!A:B,2,0)</f>
        <v>0.96</v>
      </c>
      <c r="L6117" s="177">
        <f t="shared" si="692"/>
        <v>13440</v>
      </c>
      <c r="M6117" s="177">
        <f t="shared" si="693"/>
        <v>24.407040000000002</v>
      </c>
      <c r="N6117" s="177">
        <f t="shared" si="694"/>
        <v>52.5</v>
      </c>
      <c r="O6117" s="175" t="str">
        <f t="shared" si="695"/>
        <v>Apr</v>
      </c>
      <c r="P6117" s="265">
        <f t="shared" si="696"/>
        <v>15</v>
      </c>
    </row>
    <row r="6118" spans="1:16" ht="15" hidden="1" customHeight="1">
      <c r="A6118" s="489">
        <v>69665113</v>
      </c>
      <c r="B6118" s="489" t="s">
        <v>118</v>
      </c>
      <c r="C6118" s="488">
        <v>14000</v>
      </c>
      <c r="D6118" s="597">
        <v>46125</v>
      </c>
      <c r="E6118" s="489" t="s">
        <v>896</v>
      </c>
      <c r="F6118" s="489" t="s">
        <v>1223</v>
      </c>
      <c r="G6118" s="395">
        <f>VLOOKUP($A6118,'Tech Litons'!$A:$I,8,FALSE)</f>
        <v>1.8160000000000001E-3</v>
      </c>
      <c r="H6118" s="174">
        <f>VLOOKUP($A6118,'Tech Litons'!$A:$I,9,FALSE)</f>
        <v>256</v>
      </c>
      <c r="I6118" s="174" t="str">
        <f>VLOOKUP($A6118,'Tech Litons'!$A:$C,3,0)</f>
        <v>Dough Bites</v>
      </c>
      <c r="J6118" s="175" t="str">
        <f t="shared" si="691"/>
        <v>RhinoDough Bites</v>
      </c>
      <c r="K6118" s="176">
        <f>VLOOKUP(I6118,'Attain %'!A:B,2,0)</f>
        <v>0.96</v>
      </c>
      <c r="L6118" s="177">
        <f t="shared" si="692"/>
        <v>13440</v>
      </c>
      <c r="M6118" s="177">
        <f t="shared" si="693"/>
        <v>24.407040000000002</v>
      </c>
      <c r="N6118" s="177">
        <f t="shared" si="694"/>
        <v>52.5</v>
      </c>
      <c r="O6118" s="175" t="str">
        <f t="shared" si="695"/>
        <v>Apr</v>
      </c>
      <c r="P6118" s="265">
        <f t="shared" si="696"/>
        <v>16</v>
      </c>
    </row>
    <row r="6119" spans="1:16" ht="15" hidden="1" customHeight="1">
      <c r="A6119" s="489">
        <v>64771677</v>
      </c>
      <c r="B6119" s="489" t="s">
        <v>139</v>
      </c>
      <c r="D6119" s="597">
        <v>46111</v>
      </c>
      <c r="E6119" s="489" t="s">
        <v>620</v>
      </c>
      <c r="F6119" s="489" t="s">
        <v>1223</v>
      </c>
      <c r="G6119" s="395">
        <f>VLOOKUP($A6119,'Tech Litons'!$A:$I,8,FALSE)</f>
        <v>2.16E-3</v>
      </c>
      <c r="H6119" s="174">
        <f>VLOOKUP($A6119,'Tech Litons'!$A:$I,9,FALSE)</f>
        <v>195</v>
      </c>
      <c r="I6119" s="174" t="str">
        <f>VLOOKUP($A6119,'Tech Litons'!$A:$C,3,0)</f>
        <v>Facepieces</v>
      </c>
      <c r="J6119" s="175" t="str">
        <f t="shared" si="691"/>
        <v>IncomFacepieces</v>
      </c>
      <c r="K6119" s="176">
        <f>VLOOKUP(I6119,'Attain %'!A:B,2,0)</f>
        <v>0.96</v>
      </c>
      <c r="L6119" s="177">
        <f t="shared" si="692"/>
        <v>0</v>
      </c>
      <c r="M6119" s="177">
        <f t="shared" si="693"/>
        <v>0</v>
      </c>
      <c r="N6119" s="177">
        <f t="shared" si="694"/>
        <v>0</v>
      </c>
      <c r="O6119" s="175" t="str">
        <f t="shared" si="695"/>
        <v>Mar</v>
      </c>
      <c r="P6119" s="265">
        <f t="shared" si="696"/>
        <v>14</v>
      </c>
    </row>
    <row r="6120" spans="1:16" ht="15" hidden="1" customHeight="1">
      <c r="A6120" s="489">
        <v>64958126</v>
      </c>
      <c r="B6120" s="489">
        <v>1715</v>
      </c>
      <c r="D6120" s="597">
        <v>46097</v>
      </c>
      <c r="E6120" s="489" t="s">
        <v>588</v>
      </c>
      <c r="F6120" s="489" t="s">
        <v>1221</v>
      </c>
      <c r="G6120" s="395">
        <f>VLOOKUP($A6120,'Tech Litons'!$A:$I,8,FALSE)</f>
        <v>3.3119999999999998E-3</v>
      </c>
      <c r="H6120" s="174">
        <f>VLOOKUP($A6120,'Tech Litons'!$A:$I,9,FALSE)</f>
        <v>165</v>
      </c>
      <c r="I6120" s="174" t="str">
        <f>VLOOKUP($A6120,'Tech Litons'!$A:$C,3,0)</f>
        <v>Yasso Sticks</v>
      </c>
      <c r="J6120" s="175" t="str">
        <f t="shared" si="691"/>
        <v>1715Yasso Sticks</v>
      </c>
      <c r="K6120" s="176">
        <f>VLOOKUP(I6120,'Attain %'!A:B,2,0)</f>
        <v>0.96</v>
      </c>
      <c r="L6120" s="177">
        <f t="shared" si="692"/>
        <v>0</v>
      </c>
      <c r="M6120" s="177">
        <f t="shared" si="693"/>
        <v>0</v>
      </c>
      <c r="N6120" s="177">
        <f t="shared" si="694"/>
        <v>0</v>
      </c>
      <c r="O6120" s="175" t="str">
        <f t="shared" si="695"/>
        <v>Mar</v>
      </c>
      <c r="P6120" s="265">
        <f t="shared" si="696"/>
        <v>12</v>
      </c>
    </row>
    <row r="6121" spans="1:16" ht="15" hidden="1" customHeight="1">
      <c r="A6121" s="489">
        <v>64875812</v>
      </c>
      <c r="B6121" s="489">
        <v>1712</v>
      </c>
      <c r="C6121" s="488">
        <v>14335</v>
      </c>
      <c r="D6121" s="597">
        <v>46132</v>
      </c>
      <c r="E6121" s="489" t="s">
        <v>347</v>
      </c>
      <c r="F6121" s="489" t="s">
        <v>1221</v>
      </c>
      <c r="G6121" s="395">
        <f>VLOOKUP($A6121,'Tech Litons'!$A:$I,8,FALSE)</f>
        <v>6.0000000000000001E-3</v>
      </c>
      <c r="H6121" s="174">
        <f>VLOOKUP($A6121,'Tech Litons'!$A:$I,9,FALSE)</f>
        <v>108</v>
      </c>
      <c r="I6121" s="174" t="str">
        <f>VLOOKUP($A6121,'Tech Litons'!$A:$C,3,0)</f>
        <v>ESS</v>
      </c>
      <c r="J6121" s="175" t="str">
        <f t="shared" si="691"/>
        <v>1712ESS</v>
      </c>
      <c r="K6121" s="176">
        <f>VLOOKUP(I6121,'Attain %'!A:B,2,0)</f>
        <v>0.96</v>
      </c>
      <c r="L6121" s="177">
        <f t="shared" si="692"/>
        <v>13761.6</v>
      </c>
      <c r="M6121" s="177">
        <f t="shared" si="693"/>
        <v>82.569600000000008</v>
      </c>
      <c r="N6121" s="177">
        <f t="shared" si="694"/>
        <v>127.42222222222223</v>
      </c>
      <c r="O6121" s="175" t="str">
        <f t="shared" si="695"/>
        <v>Apr</v>
      </c>
      <c r="P6121" s="265">
        <f t="shared" si="696"/>
        <v>17</v>
      </c>
    </row>
    <row r="6122" spans="1:16" ht="15" hidden="1" customHeight="1">
      <c r="A6122" s="489">
        <v>69964646</v>
      </c>
      <c r="B6122" s="489" t="s">
        <v>137</v>
      </c>
      <c r="C6122" s="488">
        <v>14400</v>
      </c>
      <c r="D6122" s="597">
        <v>46216</v>
      </c>
      <c r="E6122" s="489" t="s">
        <v>632</v>
      </c>
      <c r="F6122" s="489" t="s">
        <v>1223</v>
      </c>
      <c r="G6122" s="395">
        <f>VLOOKUP($A6122,'Tech Litons'!$A:$I,8,FALSE)</f>
        <v>2.8799999999999997E-3</v>
      </c>
      <c r="H6122" s="174">
        <f>VLOOKUP($A6122,'Tech Litons'!$A:$I,9,FALSE)</f>
        <v>180</v>
      </c>
      <c r="I6122" s="174" t="str">
        <f>VLOOKUP($A6122,'Tech Litons'!$A:$C,3,0)</f>
        <v>KL Mini Cones</v>
      </c>
      <c r="J6122" s="175" t="str">
        <f t="shared" si="691"/>
        <v>TurkeyKL Mini Cones</v>
      </c>
      <c r="K6122" s="176">
        <f>VLOOKUP(I6122,'Attain %'!A:B,2,0)</f>
        <v>0.96</v>
      </c>
      <c r="L6122" s="177">
        <f t="shared" si="692"/>
        <v>13824</v>
      </c>
      <c r="M6122" s="177">
        <f t="shared" si="693"/>
        <v>39.813119999999998</v>
      </c>
      <c r="N6122" s="177">
        <f t="shared" si="694"/>
        <v>76.8</v>
      </c>
      <c r="O6122" s="175" t="str">
        <f t="shared" si="695"/>
        <v>Jul</v>
      </c>
      <c r="P6122" s="265">
        <f t="shared" si="696"/>
        <v>29</v>
      </c>
    </row>
    <row r="6123" spans="1:16" ht="15" hidden="1" customHeight="1">
      <c r="A6123" s="489">
        <v>67881628</v>
      </c>
      <c r="B6123" s="489">
        <v>5914</v>
      </c>
      <c r="C6123" s="488">
        <v>26880</v>
      </c>
      <c r="D6123" s="597">
        <v>46111</v>
      </c>
      <c r="E6123" s="489" t="s">
        <v>345</v>
      </c>
      <c r="F6123" s="489" t="s">
        <v>1246</v>
      </c>
      <c r="G6123" s="395">
        <f>VLOOKUP($A6123,'Tech Litons'!$A:$I,8,FALSE)</f>
        <v>3.7853439999999999E-3</v>
      </c>
      <c r="H6123" s="174">
        <f>VLOOKUP($A6123,'Tech Litons'!$A:$I,9,FALSE)</f>
        <v>240</v>
      </c>
      <c r="I6123" s="174" t="str">
        <f>VLOOKUP($A6123,'Tech Litons'!$A:$C,3,0)</f>
        <v>BJ PTS</v>
      </c>
      <c r="J6123" s="175" t="str">
        <f t="shared" si="691"/>
        <v>5914BJ PTS</v>
      </c>
      <c r="K6123" s="176">
        <f>VLOOKUP(I6123,'Attain %'!A:B,2,0)</f>
        <v>0.95</v>
      </c>
      <c r="L6123" s="177">
        <f t="shared" si="692"/>
        <v>25536</v>
      </c>
      <c r="M6123" s="177">
        <f t="shared" si="693"/>
        <v>96.662544384</v>
      </c>
      <c r="N6123" s="177">
        <f t="shared" si="694"/>
        <v>106.4</v>
      </c>
      <c r="O6123" s="175" t="str">
        <f t="shared" si="695"/>
        <v>Mar</v>
      </c>
      <c r="P6123" s="265">
        <f t="shared" si="696"/>
        <v>14</v>
      </c>
    </row>
    <row r="6124" spans="1:16" ht="15" hidden="1" customHeight="1">
      <c r="A6124" s="489">
        <v>65489677</v>
      </c>
      <c r="B6124" s="489">
        <v>1717</v>
      </c>
      <c r="C6124" s="488">
        <v>14585</v>
      </c>
      <c r="D6124" s="597">
        <v>46139</v>
      </c>
      <c r="E6124" s="489" t="s">
        <v>1188</v>
      </c>
      <c r="F6124" s="489" t="s">
        <v>1221</v>
      </c>
      <c r="G6124" s="395">
        <f>VLOOKUP($A6124,'Tech Litons'!$A:$I,8,FALSE)</f>
        <v>2.8319999999999999E-3</v>
      </c>
      <c r="H6124" s="174">
        <f>VLOOKUP($A6124,'Tech Litons'!$A:$I,9,FALSE)</f>
        <v>221</v>
      </c>
      <c r="I6124" s="174" t="str">
        <f>VLOOKUP($A6124,'Tech Litons'!$A:$C,3,0)</f>
        <v>Other</v>
      </c>
      <c r="J6124" s="175" t="str">
        <f t="shared" si="691"/>
        <v>1717Other</v>
      </c>
      <c r="K6124" s="176">
        <f>VLOOKUP(I6124,'Attain %'!A:B,2,0)</f>
        <v>0.96</v>
      </c>
      <c r="L6124" s="177">
        <f t="shared" si="692"/>
        <v>14001.6</v>
      </c>
      <c r="M6124" s="177">
        <f t="shared" si="693"/>
        <v>39.652531199999999</v>
      </c>
      <c r="N6124" s="177">
        <f t="shared" si="694"/>
        <v>63.355656108597287</v>
      </c>
      <c r="O6124" s="175" t="str">
        <f t="shared" si="695"/>
        <v>Apr</v>
      </c>
      <c r="P6124" s="265">
        <f t="shared" si="696"/>
        <v>18</v>
      </c>
    </row>
    <row r="6125" spans="1:16" ht="15" hidden="1" customHeight="1">
      <c r="A6125" s="489">
        <v>65489677</v>
      </c>
      <c r="B6125" s="489">
        <v>1717</v>
      </c>
      <c r="C6125" s="488">
        <v>14585</v>
      </c>
      <c r="D6125" s="597">
        <v>46167</v>
      </c>
      <c r="E6125" s="489" t="s">
        <v>1188</v>
      </c>
      <c r="F6125" s="489" t="s">
        <v>1221</v>
      </c>
      <c r="G6125" s="395">
        <f>VLOOKUP($A6125,'Tech Litons'!$A:$I,8,FALSE)</f>
        <v>2.8319999999999999E-3</v>
      </c>
      <c r="H6125" s="174">
        <f>VLOOKUP($A6125,'Tech Litons'!$A:$I,9,FALSE)</f>
        <v>221</v>
      </c>
      <c r="I6125" s="174" t="str">
        <f>VLOOKUP($A6125,'Tech Litons'!$A:$C,3,0)</f>
        <v>Other</v>
      </c>
      <c r="J6125" s="175" t="str">
        <f t="shared" si="691"/>
        <v>1717Other</v>
      </c>
      <c r="K6125" s="176">
        <f>VLOOKUP(I6125,'Attain %'!A:B,2,0)</f>
        <v>0.96</v>
      </c>
      <c r="L6125" s="177">
        <f t="shared" si="692"/>
        <v>14001.6</v>
      </c>
      <c r="M6125" s="177">
        <f t="shared" si="693"/>
        <v>39.652531199999999</v>
      </c>
      <c r="N6125" s="177">
        <f t="shared" si="694"/>
        <v>63.355656108597287</v>
      </c>
      <c r="O6125" s="175" t="str">
        <f t="shared" si="695"/>
        <v>May</v>
      </c>
      <c r="P6125" s="265">
        <f t="shared" si="696"/>
        <v>22</v>
      </c>
    </row>
    <row r="6126" spans="1:16" ht="15" hidden="1" customHeight="1">
      <c r="A6126" s="489">
        <v>64786654</v>
      </c>
      <c r="B6126" s="489">
        <v>1352</v>
      </c>
      <c r="C6126" s="488">
        <v>14647</v>
      </c>
      <c r="D6126" s="597">
        <v>46104</v>
      </c>
      <c r="E6126" s="489" t="s">
        <v>484</v>
      </c>
      <c r="F6126" s="489" t="s">
        <v>1215</v>
      </c>
      <c r="G6126" s="395">
        <f>VLOOKUP($A6126,'Tech Litons'!$A:$I,8,FALSE)</f>
        <v>3.8959999999999997E-3</v>
      </c>
      <c r="H6126" s="174">
        <f>VLOOKUP($A6126,'Tech Litons'!$A:$I,9,FALSE)</f>
        <v>154</v>
      </c>
      <c r="I6126" s="174" t="str">
        <f>VLOOKUP($A6126,'Tech Litons'!$A:$C,3,0)</f>
        <v>MBG</v>
      </c>
      <c r="J6126" s="175" t="str">
        <f t="shared" si="691"/>
        <v>1352MBG</v>
      </c>
      <c r="K6126" s="176">
        <f>VLOOKUP(I6126,'Attain %'!A:B,2,0)</f>
        <v>0.96</v>
      </c>
      <c r="L6126" s="177">
        <f t="shared" si="692"/>
        <v>14061.119999999999</v>
      </c>
      <c r="M6126" s="177">
        <f t="shared" si="693"/>
        <v>54.782123519999992</v>
      </c>
      <c r="N6126" s="177">
        <f t="shared" si="694"/>
        <v>91.305974025974024</v>
      </c>
      <c r="O6126" s="175" t="str">
        <f t="shared" si="695"/>
        <v>Mar</v>
      </c>
      <c r="P6126" s="265">
        <f t="shared" si="696"/>
        <v>13</v>
      </c>
    </row>
    <row r="6127" spans="1:16" ht="15" hidden="1" customHeight="1">
      <c r="A6127" s="489">
        <v>69629468</v>
      </c>
      <c r="B6127" s="489">
        <v>2904</v>
      </c>
      <c r="D6127" s="597">
        <v>46111</v>
      </c>
      <c r="E6127" s="489" t="s">
        <v>291</v>
      </c>
      <c r="F6127" s="489" t="s">
        <v>1232</v>
      </c>
      <c r="G6127" s="395">
        <f>VLOOKUP($A6127,'Tech Litons'!$A:$I,8,FALSE)</f>
        <v>5.2680000000000001E-3</v>
      </c>
      <c r="H6127" s="174">
        <f>VLOOKUP($A6127,'Tech Litons'!$A:$I,9,FALSE)</f>
        <v>130</v>
      </c>
      <c r="I6127" s="174" t="str">
        <f>VLOOKUP($A6127,'Tech Litons'!$A:$C,3,0)</f>
        <v>PG</v>
      </c>
      <c r="J6127" s="175" t="str">
        <f t="shared" si="691"/>
        <v>2904PG</v>
      </c>
      <c r="K6127" s="176">
        <f>VLOOKUP(I6127,'Attain %'!A:B,2,0)</f>
        <v>0.96</v>
      </c>
      <c r="L6127" s="177">
        <f t="shared" si="692"/>
        <v>0</v>
      </c>
      <c r="M6127" s="177">
        <f t="shared" si="693"/>
        <v>0</v>
      </c>
      <c r="N6127" s="177">
        <f t="shared" si="694"/>
        <v>0</v>
      </c>
      <c r="O6127" s="175" t="str">
        <f t="shared" si="695"/>
        <v>Mar</v>
      </c>
      <c r="P6127" s="265">
        <f t="shared" si="696"/>
        <v>14</v>
      </c>
    </row>
    <row r="6128" spans="1:16" ht="15" hidden="1" customHeight="1">
      <c r="A6128" s="489">
        <v>69629468</v>
      </c>
      <c r="B6128" s="489">
        <v>2904</v>
      </c>
      <c r="C6128" s="488">
        <v>14700</v>
      </c>
      <c r="D6128" s="597">
        <v>46125</v>
      </c>
      <c r="E6128" s="489" t="s">
        <v>291</v>
      </c>
      <c r="F6128" s="489" t="s">
        <v>1232</v>
      </c>
      <c r="G6128" s="395">
        <f>VLOOKUP($A6128,'Tech Litons'!$A:$I,8,FALSE)</f>
        <v>5.2680000000000001E-3</v>
      </c>
      <c r="H6128" s="174">
        <f>VLOOKUP($A6128,'Tech Litons'!$A:$I,9,FALSE)</f>
        <v>130</v>
      </c>
      <c r="I6128" s="174" t="str">
        <f>VLOOKUP($A6128,'Tech Litons'!$A:$C,3,0)</f>
        <v>PG</v>
      </c>
      <c r="J6128" s="175" t="str">
        <f t="shared" si="691"/>
        <v>2904PG</v>
      </c>
      <c r="K6128" s="176">
        <f>VLOOKUP(I6128,'Attain %'!A:B,2,0)</f>
        <v>0.96</v>
      </c>
      <c r="L6128" s="177">
        <f t="shared" si="692"/>
        <v>14112</v>
      </c>
      <c r="M6128" s="177">
        <f t="shared" si="693"/>
        <v>74.342016000000001</v>
      </c>
      <c r="N6128" s="177">
        <f t="shared" si="694"/>
        <v>108.55384615384615</v>
      </c>
      <c r="O6128" s="175" t="str">
        <f t="shared" si="695"/>
        <v>Apr</v>
      </c>
      <c r="P6128" s="265">
        <f t="shared" si="696"/>
        <v>16</v>
      </c>
    </row>
    <row r="6129" spans="1:16" ht="15" hidden="1" customHeight="1">
      <c r="A6129" s="489">
        <v>69629468</v>
      </c>
      <c r="B6129" s="489">
        <v>2904</v>
      </c>
      <c r="C6129" s="488">
        <v>14700</v>
      </c>
      <c r="D6129" s="597">
        <v>46132</v>
      </c>
      <c r="E6129" s="489" t="s">
        <v>291</v>
      </c>
      <c r="F6129" s="489" t="s">
        <v>1232</v>
      </c>
      <c r="G6129" s="395">
        <f>VLOOKUP($A6129,'Tech Litons'!$A:$I,8,FALSE)</f>
        <v>5.2680000000000001E-3</v>
      </c>
      <c r="H6129" s="174">
        <f>VLOOKUP($A6129,'Tech Litons'!$A:$I,9,FALSE)</f>
        <v>130</v>
      </c>
      <c r="I6129" s="174" t="str">
        <f>VLOOKUP($A6129,'Tech Litons'!$A:$C,3,0)</f>
        <v>PG</v>
      </c>
      <c r="J6129" s="175" t="str">
        <f t="shared" si="691"/>
        <v>2904PG</v>
      </c>
      <c r="K6129" s="176">
        <f>VLOOKUP(I6129,'Attain %'!A:B,2,0)</f>
        <v>0.96</v>
      </c>
      <c r="L6129" s="177">
        <f t="shared" si="692"/>
        <v>14112</v>
      </c>
      <c r="M6129" s="177">
        <f t="shared" si="693"/>
        <v>74.342016000000001</v>
      </c>
      <c r="N6129" s="177">
        <f t="shared" si="694"/>
        <v>108.55384615384615</v>
      </c>
      <c r="O6129" s="175" t="str">
        <f t="shared" si="695"/>
        <v>Apr</v>
      </c>
      <c r="P6129" s="265">
        <f t="shared" si="696"/>
        <v>17</v>
      </c>
    </row>
    <row r="6130" spans="1:16" ht="15" hidden="1" customHeight="1">
      <c r="A6130" s="489">
        <v>64875812</v>
      </c>
      <c r="B6130" s="489">
        <v>1712</v>
      </c>
      <c r="C6130" s="488">
        <v>14720</v>
      </c>
      <c r="D6130" s="597">
        <v>46118</v>
      </c>
      <c r="E6130" s="489" t="s">
        <v>347</v>
      </c>
      <c r="F6130" s="489" t="s">
        <v>1221</v>
      </c>
      <c r="G6130" s="395">
        <f>VLOOKUP($A6130,'Tech Litons'!$A:$I,8,FALSE)</f>
        <v>6.0000000000000001E-3</v>
      </c>
      <c r="H6130" s="174">
        <f>VLOOKUP($A6130,'Tech Litons'!$A:$I,9,FALSE)</f>
        <v>108</v>
      </c>
      <c r="I6130" s="174" t="str">
        <f>VLOOKUP($A6130,'Tech Litons'!$A:$C,3,0)</f>
        <v>ESS</v>
      </c>
      <c r="J6130" s="175" t="str">
        <f t="shared" si="691"/>
        <v>1712ESS</v>
      </c>
      <c r="K6130" s="176">
        <f>VLOOKUP(I6130,'Attain %'!A:B,2,0)</f>
        <v>0.96</v>
      </c>
      <c r="L6130" s="177">
        <f t="shared" si="692"/>
        <v>14131.199999999999</v>
      </c>
      <c r="M6130" s="177">
        <f t="shared" si="693"/>
        <v>84.787199999999999</v>
      </c>
      <c r="N6130" s="177">
        <f t="shared" si="694"/>
        <v>130.84444444444443</v>
      </c>
      <c r="O6130" s="175" t="str">
        <f t="shared" si="695"/>
        <v>Apr</v>
      </c>
      <c r="P6130" s="265">
        <f t="shared" si="696"/>
        <v>15</v>
      </c>
    </row>
    <row r="6131" spans="1:16" ht="15" hidden="1" customHeight="1">
      <c r="A6131" s="489">
        <v>65489676</v>
      </c>
      <c r="B6131" s="489">
        <v>1717</v>
      </c>
      <c r="C6131" s="488">
        <v>15000</v>
      </c>
      <c r="D6131" s="597">
        <v>46251</v>
      </c>
      <c r="E6131" s="489" t="s">
        <v>1224</v>
      </c>
      <c r="F6131" s="489" t="s">
        <v>1221</v>
      </c>
      <c r="G6131" s="395">
        <f>VLOOKUP($A6131,'Tech Litons'!$A:$I,8,FALSE)</f>
        <v>2.8319999999999999E-3</v>
      </c>
      <c r="H6131" s="174">
        <f>VLOOKUP($A6131,'Tech Litons'!$A:$I,9,FALSE)</f>
        <v>221</v>
      </c>
      <c r="I6131" s="174" t="str">
        <f>VLOOKUP($A6131,'Tech Litons'!$A:$C,3,0)</f>
        <v>Other</v>
      </c>
      <c r="J6131" s="175" t="str">
        <f t="shared" si="691"/>
        <v>1717Other</v>
      </c>
      <c r="K6131" s="176">
        <f>VLOOKUP(I6131,'Attain %'!A:B,2,0)</f>
        <v>0.96</v>
      </c>
      <c r="L6131" s="177">
        <f t="shared" si="692"/>
        <v>14400</v>
      </c>
      <c r="M6131" s="177">
        <f t="shared" si="693"/>
        <v>40.780799999999999</v>
      </c>
      <c r="N6131" s="177">
        <f t="shared" si="694"/>
        <v>65.158371040723978</v>
      </c>
      <c r="O6131" s="175" t="str">
        <f t="shared" si="695"/>
        <v>Aug</v>
      </c>
      <c r="P6131" s="265">
        <f t="shared" si="696"/>
        <v>34</v>
      </c>
    </row>
    <row r="6132" spans="1:16" ht="15" hidden="1" customHeight="1">
      <c r="A6132" s="489">
        <v>65489676</v>
      </c>
      <c r="B6132" s="489">
        <v>1717</v>
      </c>
      <c r="C6132" s="488">
        <v>15000</v>
      </c>
      <c r="D6132" s="597">
        <v>46279</v>
      </c>
      <c r="E6132" s="489" t="s">
        <v>1224</v>
      </c>
      <c r="F6132" s="489" t="s">
        <v>1221</v>
      </c>
      <c r="G6132" s="395">
        <f>VLOOKUP($A6132,'Tech Litons'!$A:$I,8,FALSE)</f>
        <v>2.8319999999999999E-3</v>
      </c>
      <c r="H6132" s="174">
        <f>VLOOKUP($A6132,'Tech Litons'!$A:$I,9,FALSE)</f>
        <v>221</v>
      </c>
      <c r="I6132" s="174" t="str">
        <f>VLOOKUP($A6132,'Tech Litons'!$A:$C,3,0)</f>
        <v>Other</v>
      </c>
      <c r="J6132" s="175" t="str">
        <f t="shared" si="691"/>
        <v>1717Other</v>
      </c>
      <c r="K6132" s="176">
        <f>VLOOKUP(I6132,'Attain %'!A:B,2,0)</f>
        <v>0.96</v>
      </c>
      <c r="L6132" s="177">
        <f t="shared" si="692"/>
        <v>14400</v>
      </c>
      <c r="M6132" s="177">
        <f t="shared" si="693"/>
        <v>40.780799999999999</v>
      </c>
      <c r="N6132" s="177">
        <f t="shared" si="694"/>
        <v>65.158371040723978</v>
      </c>
      <c r="O6132" s="175" t="str">
        <f t="shared" si="695"/>
        <v>Sep</v>
      </c>
      <c r="P6132" s="265">
        <f t="shared" si="696"/>
        <v>38</v>
      </c>
    </row>
    <row r="6133" spans="1:16" ht="15" hidden="1" customHeight="1">
      <c r="A6133" s="489">
        <v>65489676</v>
      </c>
      <c r="B6133" s="489">
        <v>1717</v>
      </c>
      <c r="C6133" s="488">
        <v>15000</v>
      </c>
      <c r="D6133" s="597">
        <v>46307</v>
      </c>
      <c r="E6133" s="489" t="s">
        <v>1224</v>
      </c>
      <c r="F6133" s="489" t="s">
        <v>1221</v>
      </c>
      <c r="G6133" s="395">
        <f>VLOOKUP($A6133,'Tech Litons'!$A:$I,8,FALSE)</f>
        <v>2.8319999999999999E-3</v>
      </c>
      <c r="H6133" s="174">
        <f>VLOOKUP($A6133,'Tech Litons'!$A:$I,9,FALSE)</f>
        <v>221</v>
      </c>
      <c r="I6133" s="174" t="str">
        <f>VLOOKUP($A6133,'Tech Litons'!$A:$C,3,0)</f>
        <v>Other</v>
      </c>
      <c r="J6133" s="175" t="str">
        <f t="shared" si="691"/>
        <v>1717Other</v>
      </c>
      <c r="K6133" s="176">
        <f>VLOOKUP(I6133,'Attain %'!A:B,2,0)</f>
        <v>0.96</v>
      </c>
      <c r="L6133" s="177">
        <f t="shared" si="692"/>
        <v>14400</v>
      </c>
      <c r="M6133" s="177">
        <f t="shared" si="693"/>
        <v>40.780799999999999</v>
      </c>
      <c r="N6133" s="177">
        <f t="shared" si="694"/>
        <v>65.158371040723978</v>
      </c>
      <c r="O6133" s="175" t="str">
        <f t="shared" si="695"/>
        <v>Oct</v>
      </c>
      <c r="P6133" s="265">
        <f t="shared" si="696"/>
        <v>42</v>
      </c>
    </row>
    <row r="6134" spans="1:16" ht="15" hidden="1" customHeight="1">
      <c r="A6134" s="489">
        <v>65489676</v>
      </c>
      <c r="B6134" s="489">
        <v>1717</v>
      </c>
      <c r="C6134" s="488">
        <v>15000</v>
      </c>
      <c r="D6134" s="597">
        <v>46342</v>
      </c>
      <c r="E6134" s="489" t="s">
        <v>1224</v>
      </c>
      <c r="F6134" s="489" t="s">
        <v>1221</v>
      </c>
      <c r="G6134" s="395">
        <f>VLOOKUP($A6134,'Tech Litons'!$A:$I,8,FALSE)</f>
        <v>2.8319999999999999E-3</v>
      </c>
      <c r="H6134" s="174">
        <f>VLOOKUP($A6134,'Tech Litons'!$A:$I,9,FALSE)</f>
        <v>221</v>
      </c>
      <c r="I6134" s="174" t="str">
        <f>VLOOKUP($A6134,'Tech Litons'!$A:$C,3,0)</f>
        <v>Other</v>
      </c>
      <c r="J6134" s="175" t="str">
        <f t="shared" si="691"/>
        <v>1717Other</v>
      </c>
      <c r="K6134" s="176">
        <f>VLOOKUP(I6134,'Attain %'!A:B,2,0)</f>
        <v>0.96</v>
      </c>
      <c r="L6134" s="177">
        <f t="shared" si="692"/>
        <v>14400</v>
      </c>
      <c r="M6134" s="177">
        <f t="shared" si="693"/>
        <v>40.780799999999999</v>
      </c>
      <c r="N6134" s="177">
        <f t="shared" si="694"/>
        <v>65.158371040723978</v>
      </c>
      <c r="O6134" s="175" t="str">
        <f t="shared" si="695"/>
        <v>Nov</v>
      </c>
      <c r="P6134" s="265">
        <f t="shared" si="696"/>
        <v>47</v>
      </c>
    </row>
    <row r="6135" spans="1:16" ht="15" hidden="1" customHeight="1">
      <c r="A6135" s="489">
        <v>64997059</v>
      </c>
      <c r="B6135" s="489">
        <v>3985</v>
      </c>
      <c r="C6135" s="488">
        <v>15000</v>
      </c>
      <c r="D6135" s="597">
        <v>46111</v>
      </c>
      <c r="E6135" s="489" t="s">
        <v>1050</v>
      </c>
      <c r="F6135" s="489" t="s">
        <v>1221</v>
      </c>
      <c r="G6135" s="395">
        <f>VLOOKUP($A6135,'Tech Litons'!$A:$I,8,FALSE)</f>
        <v>5.6760000000000005E-3</v>
      </c>
      <c r="H6135" s="174">
        <f>VLOOKUP($A6135,'Tech Litons'!$A:$I,9,FALSE)</f>
        <v>96</v>
      </c>
      <c r="I6135" s="174" t="str">
        <f>VLOOKUP($A6135,'Tech Litons'!$A:$C,3,0)</f>
        <v>Other</v>
      </c>
      <c r="J6135" s="175" t="str">
        <f t="shared" si="691"/>
        <v>3985Other</v>
      </c>
      <c r="K6135" s="176">
        <f>VLOOKUP(I6135,'Attain %'!A:B,2,0)</f>
        <v>0.96</v>
      </c>
      <c r="L6135" s="177">
        <f t="shared" si="692"/>
        <v>14400</v>
      </c>
      <c r="M6135" s="177">
        <f t="shared" si="693"/>
        <v>81.734400000000008</v>
      </c>
      <c r="N6135" s="177">
        <f t="shared" si="694"/>
        <v>150</v>
      </c>
      <c r="O6135" s="175" t="str">
        <f t="shared" si="695"/>
        <v>Mar</v>
      </c>
      <c r="P6135" s="265">
        <f t="shared" si="696"/>
        <v>14</v>
      </c>
    </row>
    <row r="6136" spans="1:16" ht="15" hidden="1" customHeight="1">
      <c r="A6136" s="489">
        <v>64997059</v>
      </c>
      <c r="B6136" s="489">
        <v>3985</v>
      </c>
      <c r="C6136" s="488">
        <v>15000</v>
      </c>
      <c r="D6136" s="597">
        <v>46118</v>
      </c>
      <c r="E6136" s="489" t="s">
        <v>1050</v>
      </c>
      <c r="F6136" s="489" t="s">
        <v>1221</v>
      </c>
      <c r="G6136" s="395">
        <f>VLOOKUP($A6136,'Tech Litons'!$A:$I,8,FALSE)</f>
        <v>5.6760000000000005E-3</v>
      </c>
      <c r="H6136" s="174">
        <f>VLOOKUP($A6136,'Tech Litons'!$A:$I,9,FALSE)</f>
        <v>96</v>
      </c>
      <c r="I6136" s="174" t="str">
        <f>VLOOKUP($A6136,'Tech Litons'!$A:$C,3,0)</f>
        <v>Other</v>
      </c>
      <c r="J6136" s="175" t="str">
        <f t="shared" ref="J6136:J6199" si="697">B6136&amp;I6136</f>
        <v>3985Other</v>
      </c>
      <c r="K6136" s="176">
        <f>VLOOKUP(I6136,'Attain %'!A:B,2,0)</f>
        <v>0.96</v>
      </c>
      <c r="L6136" s="177">
        <f t="shared" ref="L6136:L6199" si="698">C6136*$K6136</f>
        <v>14400</v>
      </c>
      <c r="M6136" s="177">
        <f t="shared" ref="M6136:M6199" si="699">L6136*G6136</f>
        <v>81.734400000000008</v>
      </c>
      <c r="N6136" s="177">
        <f t="shared" ref="N6136:N6199" si="700">L6136/H6136</f>
        <v>150</v>
      </c>
      <c r="O6136" s="175" t="str">
        <f t="shared" ref="O6136:O6199" si="701">TEXT(D6136,"MMM")</f>
        <v>Apr</v>
      </c>
      <c r="P6136" s="265">
        <f t="shared" ref="P6136:P6199" si="702">WEEKNUM(D6136)</f>
        <v>15</v>
      </c>
    </row>
    <row r="6137" spans="1:16" ht="15" hidden="1" customHeight="1">
      <c r="A6137" s="489">
        <v>65472837</v>
      </c>
      <c r="B6137" s="489">
        <v>3985</v>
      </c>
      <c r="C6137" s="488">
        <v>15000</v>
      </c>
      <c r="D6137" s="597">
        <v>46125</v>
      </c>
      <c r="E6137" s="489" t="s">
        <v>1191</v>
      </c>
      <c r="F6137" s="489" t="s">
        <v>1221</v>
      </c>
      <c r="G6137" s="395">
        <f>VLOOKUP($A6137,'Tech Litons'!$A:$I,8,FALSE)</f>
        <v>1.0400000000000001E-3</v>
      </c>
      <c r="H6137" s="174">
        <f>VLOOKUP($A6137,'Tech Litons'!$A:$I,9,FALSE)</f>
        <v>275</v>
      </c>
      <c r="I6137" s="174" t="str">
        <f>VLOOKUP($A6137,'Tech Litons'!$A:$C,3,0)</f>
        <v>Other</v>
      </c>
      <c r="J6137" s="175" t="str">
        <f t="shared" si="697"/>
        <v>3985Other</v>
      </c>
      <c r="K6137" s="176">
        <f>VLOOKUP(I6137,'Attain %'!A:B,2,0)</f>
        <v>0.96</v>
      </c>
      <c r="L6137" s="177">
        <f t="shared" si="698"/>
        <v>14400</v>
      </c>
      <c r="M6137" s="177">
        <f t="shared" si="699"/>
        <v>14.976000000000003</v>
      </c>
      <c r="N6137" s="177">
        <f t="shared" si="700"/>
        <v>52.363636363636367</v>
      </c>
      <c r="O6137" s="175" t="str">
        <f t="shared" si="701"/>
        <v>Apr</v>
      </c>
      <c r="P6137" s="265">
        <f t="shared" si="702"/>
        <v>16</v>
      </c>
    </row>
    <row r="6138" spans="1:16" ht="15" hidden="1" customHeight="1">
      <c r="A6138" s="489">
        <v>65472837</v>
      </c>
      <c r="B6138" s="489">
        <v>3985</v>
      </c>
      <c r="C6138" s="488">
        <v>15000</v>
      </c>
      <c r="D6138" s="597">
        <v>46132</v>
      </c>
      <c r="E6138" s="489" t="s">
        <v>1191</v>
      </c>
      <c r="F6138" s="489" t="s">
        <v>1221</v>
      </c>
      <c r="G6138" s="395">
        <f>VLOOKUP($A6138,'Tech Litons'!$A:$I,8,FALSE)</f>
        <v>1.0400000000000001E-3</v>
      </c>
      <c r="H6138" s="174">
        <f>VLOOKUP($A6138,'Tech Litons'!$A:$I,9,FALSE)</f>
        <v>275</v>
      </c>
      <c r="I6138" s="174" t="str">
        <f>VLOOKUP($A6138,'Tech Litons'!$A:$C,3,0)</f>
        <v>Other</v>
      </c>
      <c r="J6138" s="175" t="str">
        <f t="shared" si="697"/>
        <v>3985Other</v>
      </c>
      <c r="K6138" s="176">
        <f>VLOOKUP(I6138,'Attain %'!A:B,2,0)</f>
        <v>0.96</v>
      </c>
      <c r="L6138" s="177">
        <f t="shared" si="698"/>
        <v>14400</v>
      </c>
      <c r="M6138" s="177">
        <f t="shared" si="699"/>
        <v>14.976000000000003</v>
      </c>
      <c r="N6138" s="177">
        <f t="shared" si="700"/>
        <v>52.363636363636367</v>
      </c>
      <c r="O6138" s="175" t="str">
        <f t="shared" si="701"/>
        <v>Apr</v>
      </c>
      <c r="P6138" s="265">
        <f t="shared" si="702"/>
        <v>17</v>
      </c>
    </row>
    <row r="6139" spans="1:16" ht="15" hidden="1" customHeight="1">
      <c r="A6139" s="489">
        <v>65472837</v>
      </c>
      <c r="B6139" s="489">
        <v>3985</v>
      </c>
      <c r="C6139" s="488">
        <v>15000</v>
      </c>
      <c r="D6139" s="597">
        <v>46195</v>
      </c>
      <c r="E6139" s="489" t="s">
        <v>1191</v>
      </c>
      <c r="F6139" s="489" t="s">
        <v>1221</v>
      </c>
      <c r="G6139" s="395">
        <f>VLOOKUP($A6139,'Tech Litons'!$A:$I,8,FALSE)</f>
        <v>1.0400000000000001E-3</v>
      </c>
      <c r="H6139" s="174">
        <f>VLOOKUP($A6139,'Tech Litons'!$A:$I,9,FALSE)</f>
        <v>275</v>
      </c>
      <c r="I6139" s="174" t="str">
        <f>VLOOKUP($A6139,'Tech Litons'!$A:$C,3,0)</f>
        <v>Other</v>
      </c>
      <c r="J6139" s="175" t="str">
        <f t="shared" si="697"/>
        <v>3985Other</v>
      </c>
      <c r="K6139" s="176">
        <f>VLOOKUP(I6139,'Attain %'!A:B,2,0)</f>
        <v>0.96</v>
      </c>
      <c r="L6139" s="177">
        <f t="shared" si="698"/>
        <v>14400</v>
      </c>
      <c r="M6139" s="177">
        <f t="shared" si="699"/>
        <v>14.976000000000003</v>
      </c>
      <c r="N6139" s="177">
        <f t="shared" si="700"/>
        <v>52.363636363636367</v>
      </c>
      <c r="O6139" s="175" t="str">
        <f t="shared" si="701"/>
        <v>Jun</v>
      </c>
      <c r="P6139" s="265">
        <f t="shared" si="702"/>
        <v>26</v>
      </c>
    </row>
    <row r="6140" spans="1:16" ht="15" hidden="1" customHeight="1">
      <c r="A6140" s="489">
        <v>65472837</v>
      </c>
      <c r="B6140" s="489">
        <v>3985</v>
      </c>
      <c r="C6140" s="488">
        <v>15000</v>
      </c>
      <c r="D6140" s="597">
        <v>46202</v>
      </c>
      <c r="E6140" s="489" t="s">
        <v>1191</v>
      </c>
      <c r="F6140" s="489" t="s">
        <v>1221</v>
      </c>
      <c r="G6140" s="395">
        <f>VLOOKUP($A6140,'Tech Litons'!$A:$I,8,FALSE)</f>
        <v>1.0400000000000001E-3</v>
      </c>
      <c r="H6140" s="174">
        <f>VLOOKUP($A6140,'Tech Litons'!$A:$I,9,FALSE)</f>
        <v>275</v>
      </c>
      <c r="I6140" s="174" t="str">
        <f>VLOOKUP($A6140,'Tech Litons'!$A:$C,3,0)</f>
        <v>Other</v>
      </c>
      <c r="J6140" s="175" t="str">
        <f t="shared" si="697"/>
        <v>3985Other</v>
      </c>
      <c r="K6140" s="176">
        <f>VLOOKUP(I6140,'Attain %'!A:B,2,0)</f>
        <v>0.96</v>
      </c>
      <c r="L6140" s="177">
        <f t="shared" si="698"/>
        <v>14400</v>
      </c>
      <c r="M6140" s="177">
        <f t="shared" si="699"/>
        <v>14.976000000000003</v>
      </c>
      <c r="N6140" s="177">
        <f t="shared" si="700"/>
        <v>52.363636363636367</v>
      </c>
      <c r="O6140" s="175" t="str">
        <f t="shared" si="701"/>
        <v>Jun</v>
      </c>
      <c r="P6140" s="265">
        <f t="shared" si="702"/>
        <v>27</v>
      </c>
    </row>
    <row r="6141" spans="1:16" ht="15" hidden="1" customHeight="1">
      <c r="A6141" s="489">
        <v>65472837</v>
      </c>
      <c r="B6141" s="489">
        <v>3985</v>
      </c>
      <c r="C6141" s="488">
        <v>15000</v>
      </c>
      <c r="D6141" s="597">
        <v>46209</v>
      </c>
      <c r="E6141" s="489" t="s">
        <v>1191</v>
      </c>
      <c r="F6141" s="489" t="s">
        <v>1221</v>
      </c>
      <c r="G6141" s="395">
        <f>VLOOKUP($A6141,'Tech Litons'!$A:$I,8,FALSE)</f>
        <v>1.0400000000000001E-3</v>
      </c>
      <c r="H6141" s="174">
        <f>VLOOKUP($A6141,'Tech Litons'!$A:$I,9,FALSE)</f>
        <v>275</v>
      </c>
      <c r="I6141" s="174" t="str">
        <f>VLOOKUP($A6141,'Tech Litons'!$A:$C,3,0)</f>
        <v>Other</v>
      </c>
      <c r="J6141" s="175" t="str">
        <f t="shared" si="697"/>
        <v>3985Other</v>
      </c>
      <c r="K6141" s="176">
        <f>VLOOKUP(I6141,'Attain %'!A:B,2,0)</f>
        <v>0.96</v>
      </c>
      <c r="L6141" s="177">
        <f t="shared" si="698"/>
        <v>14400</v>
      </c>
      <c r="M6141" s="177">
        <f t="shared" si="699"/>
        <v>14.976000000000003</v>
      </c>
      <c r="N6141" s="177">
        <f t="shared" si="700"/>
        <v>52.363636363636367</v>
      </c>
      <c r="O6141" s="175" t="str">
        <f t="shared" si="701"/>
        <v>Jul</v>
      </c>
      <c r="P6141" s="265">
        <f t="shared" si="702"/>
        <v>28</v>
      </c>
    </row>
    <row r="6142" spans="1:16" ht="15" hidden="1" customHeight="1">
      <c r="A6142" s="489">
        <v>65472837</v>
      </c>
      <c r="B6142" s="489">
        <v>3985</v>
      </c>
      <c r="C6142" s="488">
        <v>15000</v>
      </c>
      <c r="D6142" s="597">
        <v>46216</v>
      </c>
      <c r="E6142" s="489" t="s">
        <v>1191</v>
      </c>
      <c r="F6142" s="489" t="s">
        <v>1221</v>
      </c>
      <c r="G6142" s="395">
        <f>VLOOKUP($A6142,'Tech Litons'!$A:$I,8,FALSE)</f>
        <v>1.0400000000000001E-3</v>
      </c>
      <c r="H6142" s="174">
        <f>VLOOKUP($A6142,'Tech Litons'!$A:$I,9,FALSE)</f>
        <v>275</v>
      </c>
      <c r="I6142" s="174" t="str">
        <f>VLOOKUP($A6142,'Tech Litons'!$A:$C,3,0)</f>
        <v>Other</v>
      </c>
      <c r="J6142" s="175" t="str">
        <f t="shared" si="697"/>
        <v>3985Other</v>
      </c>
      <c r="K6142" s="176">
        <f>VLOOKUP(I6142,'Attain %'!A:B,2,0)</f>
        <v>0.96</v>
      </c>
      <c r="L6142" s="177">
        <f t="shared" si="698"/>
        <v>14400</v>
      </c>
      <c r="M6142" s="177">
        <f t="shared" si="699"/>
        <v>14.976000000000003</v>
      </c>
      <c r="N6142" s="177">
        <f t="shared" si="700"/>
        <v>52.363636363636367</v>
      </c>
      <c r="O6142" s="175" t="str">
        <f t="shared" si="701"/>
        <v>Jul</v>
      </c>
      <c r="P6142" s="265">
        <f t="shared" si="702"/>
        <v>29</v>
      </c>
    </row>
    <row r="6143" spans="1:16" ht="15" hidden="1" customHeight="1">
      <c r="A6143" s="489">
        <v>65472837</v>
      </c>
      <c r="B6143" s="489">
        <v>3985</v>
      </c>
      <c r="C6143" s="488">
        <v>15000</v>
      </c>
      <c r="D6143" s="597">
        <v>46223</v>
      </c>
      <c r="E6143" s="489" t="s">
        <v>1191</v>
      </c>
      <c r="F6143" s="489" t="s">
        <v>1221</v>
      </c>
      <c r="G6143" s="395">
        <f>VLOOKUP($A6143,'Tech Litons'!$A:$I,8,FALSE)</f>
        <v>1.0400000000000001E-3</v>
      </c>
      <c r="H6143" s="174">
        <f>VLOOKUP($A6143,'Tech Litons'!$A:$I,9,FALSE)</f>
        <v>275</v>
      </c>
      <c r="I6143" s="174" t="str">
        <f>VLOOKUP($A6143,'Tech Litons'!$A:$C,3,0)</f>
        <v>Other</v>
      </c>
      <c r="J6143" s="175" t="str">
        <f t="shared" si="697"/>
        <v>3985Other</v>
      </c>
      <c r="K6143" s="176">
        <f>VLOOKUP(I6143,'Attain %'!A:B,2,0)</f>
        <v>0.96</v>
      </c>
      <c r="L6143" s="177">
        <f t="shared" si="698"/>
        <v>14400</v>
      </c>
      <c r="M6143" s="177">
        <f t="shared" si="699"/>
        <v>14.976000000000003</v>
      </c>
      <c r="N6143" s="177">
        <f t="shared" si="700"/>
        <v>52.363636363636367</v>
      </c>
      <c r="O6143" s="175" t="str">
        <f t="shared" si="701"/>
        <v>Jul</v>
      </c>
      <c r="P6143" s="265">
        <f t="shared" si="702"/>
        <v>30</v>
      </c>
    </row>
    <row r="6144" spans="1:16" ht="15" hidden="1" customHeight="1">
      <c r="A6144" s="489">
        <v>84150062</v>
      </c>
      <c r="B6144" s="489">
        <v>5911</v>
      </c>
      <c r="D6144" s="597">
        <v>46146</v>
      </c>
      <c r="E6144" s="489" t="s">
        <v>463</v>
      </c>
      <c r="F6144" s="489" t="s">
        <v>1242</v>
      </c>
      <c r="G6144" s="395">
        <f>VLOOKUP($A6144,'Tech Litons'!$A:$I,8,FALSE)</f>
        <v>3.7839999999999996E-3</v>
      </c>
      <c r="H6144" s="174">
        <f>VLOOKUP($A6144,'Tech Litons'!$A:$I,9,FALSE)</f>
        <v>240</v>
      </c>
      <c r="I6144" s="174" t="str">
        <f>VLOOKUP($A6144,'Tech Litons'!$A:$C,3,0)</f>
        <v>PTS Exports</v>
      </c>
      <c r="J6144" s="175" t="str">
        <f t="shared" si="697"/>
        <v>5911PTS Exports</v>
      </c>
      <c r="K6144" s="176">
        <f>VLOOKUP(I6144,'Attain %'!A:B,2,0)</f>
        <v>0.96</v>
      </c>
      <c r="L6144" s="177">
        <f t="shared" si="698"/>
        <v>0</v>
      </c>
      <c r="M6144" s="177">
        <f t="shared" si="699"/>
        <v>0</v>
      </c>
      <c r="N6144" s="177">
        <f t="shared" si="700"/>
        <v>0</v>
      </c>
      <c r="O6144" s="175" t="str">
        <f t="shared" si="701"/>
        <v>May</v>
      </c>
      <c r="P6144" s="265">
        <f t="shared" si="702"/>
        <v>19</v>
      </c>
    </row>
    <row r="6145" spans="1:16" ht="15" hidden="1" customHeight="1">
      <c r="A6145" s="489">
        <v>84154487</v>
      </c>
      <c r="B6145" s="489">
        <v>5911</v>
      </c>
      <c r="D6145" s="597">
        <v>46160</v>
      </c>
      <c r="E6145" s="489" t="s">
        <v>389</v>
      </c>
      <c r="F6145" s="489" t="s">
        <v>1242</v>
      </c>
      <c r="G6145" s="395">
        <f>VLOOKUP($A6145,'Tech Litons'!$A:$I,8,FALSE)</f>
        <v>3.7839999999999996E-3</v>
      </c>
      <c r="H6145" s="174">
        <f>VLOOKUP($A6145,'Tech Litons'!$A:$I,9,FALSE)</f>
        <v>240</v>
      </c>
      <c r="I6145" s="174" t="str">
        <f>VLOOKUP($A6145,'Tech Litons'!$A:$C,3,0)</f>
        <v>BJ PTS</v>
      </c>
      <c r="J6145" s="175" t="str">
        <f t="shared" si="697"/>
        <v>5911BJ PTS</v>
      </c>
      <c r="K6145" s="176">
        <f>VLOOKUP(I6145,'Attain %'!A:B,2,0)</f>
        <v>0.95</v>
      </c>
      <c r="L6145" s="177">
        <f t="shared" si="698"/>
        <v>0</v>
      </c>
      <c r="M6145" s="177">
        <f t="shared" si="699"/>
        <v>0</v>
      </c>
      <c r="N6145" s="177">
        <f t="shared" si="700"/>
        <v>0</v>
      </c>
      <c r="O6145" s="175" t="str">
        <f t="shared" si="701"/>
        <v>May</v>
      </c>
      <c r="P6145" s="265">
        <f t="shared" si="702"/>
        <v>21</v>
      </c>
    </row>
    <row r="6146" spans="1:16" ht="15" hidden="1" customHeight="1">
      <c r="A6146" s="489">
        <v>64875812</v>
      </c>
      <c r="B6146" s="489">
        <v>1712</v>
      </c>
      <c r="C6146" s="488">
        <v>15040</v>
      </c>
      <c r="D6146" s="597">
        <v>46146</v>
      </c>
      <c r="E6146" s="489" t="s">
        <v>347</v>
      </c>
      <c r="F6146" s="489" t="s">
        <v>1221</v>
      </c>
      <c r="G6146" s="395">
        <f>VLOOKUP($A6146,'Tech Litons'!$A:$I,8,FALSE)</f>
        <v>6.0000000000000001E-3</v>
      </c>
      <c r="H6146" s="174">
        <f>VLOOKUP($A6146,'Tech Litons'!$A:$I,9,FALSE)</f>
        <v>108</v>
      </c>
      <c r="I6146" s="174" t="str">
        <f>VLOOKUP($A6146,'Tech Litons'!$A:$C,3,0)</f>
        <v>ESS</v>
      </c>
      <c r="J6146" s="175" t="str">
        <f t="shared" si="697"/>
        <v>1712ESS</v>
      </c>
      <c r="K6146" s="176">
        <f>VLOOKUP(I6146,'Attain %'!A:B,2,0)</f>
        <v>0.96</v>
      </c>
      <c r="L6146" s="177">
        <f t="shared" si="698"/>
        <v>14438.4</v>
      </c>
      <c r="M6146" s="177">
        <f t="shared" si="699"/>
        <v>86.630399999999995</v>
      </c>
      <c r="N6146" s="177">
        <f t="shared" si="700"/>
        <v>133.6888888888889</v>
      </c>
      <c r="O6146" s="175" t="str">
        <f t="shared" si="701"/>
        <v>May</v>
      </c>
      <c r="P6146" s="265">
        <f t="shared" si="702"/>
        <v>19</v>
      </c>
    </row>
    <row r="6147" spans="1:16" ht="15" hidden="1" customHeight="1">
      <c r="A6147" s="489">
        <v>64875812</v>
      </c>
      <c r="B6147" s="489">
        <v>1712</v>
      </c>
      <c r="C6147" s="488">
        <v>15040</v>
      </c>
      <c r="D6147" s="597">
        <v>46195</v>
      </c>
      <c r="E6147" s="489" t="s">
        <v>347</v>
      </c>
      <c r="F6147" s="489" t="s">
        <v>1221</v>
      </c>
      <c r="G6147" s="395">
        <f>VLOOKUP($A6147,'Tech Litons'!$A:$I,8,FALSE)</f>
        <v>6.0000000000000001E-3</v>
      </c>
      <c r="H6147" s="174">
        <f>VLOOKUP($A6147,'Tech Litons'!$A:$I,9,FALSE)</f>
        <v>108</v>
      </c>
      <c r="I6147" s="174" t="str">
        <f>VLOOKUP($A6147,'Tech Litons'!$A:$C,3,0)</f>
        <v>ESS</v>
      </c>
      <c r="J6147" s="175" t="str">
        <f t="shared" si="697"/>
        <v>1712ESS</v>
      </c>
      <c r="K6147" s="176">
        <f>VLOOKUP(I6147,'Attain %'!A:B,2,0)</f>
        <v>0.96</v>
      </c>
      <c r="L6147" s="177">
        <f t="shared" si="698"/>
        <v>14438.4</v>
      </c>
      <c r="M6147" s="177">
        <f t="shared" si="699"/>
        <v>86.630399999999995</v>
      </c>
      <c r="N6147" s="177">
        <f t="shared" si="700"/>
        <v>133.6888888888889</v>
      </c>
      <c r="O6147" s="175" t="str">
        <f t="shared" si="701"/>
        <v>Jun</v>
      </c>
      <c r="P6147" s="265">
        <f t="shared" si="702"/>
        <v>26</v>
      </c>
    </row>
    <row r="6148" spans="1:16" ht="15" hidden="1" customHeight="1">
      <c r="A6148" s="489">
        <v>64875812</v>
      </c>
      <c r="B6148" s="489">
        <v>1712</v>
      </c>
      <c r="C6148" s="488">
        <v>15040</v>
      </c>
      <c r="D6148" s="597">
        <v>46216</v>
      </c>
      <c r="E6148" s="489" t="s">
        <v>347</v>
      </c>
      <c r="F6148" s="489" t="s">
        <v>1221</v>
      </c>
      <c r="G6148" s="395">
        <f>VLOOKUP($A6148,'Tech Litons'!$A:$I,8,FALSE)</f>
        <v>6.0000000000000001E-3</v>
      </c>
      <c r="H6148" s="174">
        <f>VLOOKUP($A6148,'Tech Litons'!$A:$I,9,FALSE)</f>
        <v>108</v>
      </c>
      <c r="I6148" s="174" t="str">
        <f>VLOOKUP($A6148,'Tech Litons'!$A:$C,3,0)</f>
        <v>ESS</v>
      </c>
      <c r="J6148" s="175" t="str">
        <f t="shared" si="697"/>
        <v>1712ESS</v>
      </c>
      <c r="K6148" s="176">
        <f>VLOOKUP(I6148,'Attain %'!A:B,2,0)</f>
        <v>0.96</v>
      </c>
      <c r="L6148" s="177">
        <f t="shared" si="698"/>
        <v>14438.4</v>
      </c>
      <c r="M6148" s="177">
        <f t="shared" si="699"/>
        <v>86.630399999999995</v>
      </c>
      <c r="N6148" s="177">
        <f t="shared" si="700"/>
        <v>133.6888888888889</v>
      </c>
      <c r="O6148" s="175" t="str">
        <f t="shared" si="701"/>
        <v>Jul</v>
      </c>
      <c r="P6148" s="265">
        <f t="shared" si="702"/>
        <v>29</v>
      </c>
    </row>
    <row r="6149" spans="1:16" ht="15" hidden="1" customHeight="1">
      <c r="A6149" s="489">
        <v>64875812</v>
      </c>
      <c r="B6149" s="489">
        <v>1712</v>
      </c>
      <c r="C6149" s="488">
        <v>15040</v>
      </c>
      <c r="D6149" s="597">
        <v>46230</v>
      </c>
      <c r="E6149" s="489" t="s">
        <v>347</v>
      </c>
      <c r="F6149" s="489" t="s">
        <v>1221</v>
      </c>
      <c r="G6149" s="395">
        <f>VLOOKUP($A6149,'Tech Litons'!$A:$I,8,FALSE)</f>
        <v>6.0000000000000001E-3</v>
      </c>
      <c r="H6149" s="174">
        <f>VLOOKUP($A6149,'Tech Litons'!$A:$I,9,FALSE)</f>
        <v>108</v>
      </c>
      <c r="I6149" s="174" t="str">
        <f>VLOOKUP($A6149,'Tech Litons'!$A:$C,3,0)</f>
        <v>ESS</v>
      </c>
      <c r="J6149" s="175" t="str">
        <f t="shared" si="697"/>
        <v>1712ESS</v>
      </c>
      <c r="K6149" s="176">
        <f>VLOOKUP(I6149,'Attain %'!A:B,2,0)</f>
        <v>0.96</v>
      </c>
      <c r="L6149" s="177">
        <f t="shared" si="698"/>
        <v>14438.4</v>
      </c>
      <c r="M6149" s="177">
        <f t="shared" si="699"/>
        <v>86.630399999999995</v>
      </c>
      <c r="N6149" s="177">
        <f t="shared" si="700"/>
        <v>133.6888888888889</v>
      </c>
      <c r="O6149" s="175" t="str">
        <f t="shared" si="701"/>
        <v>Jul</v>
      </c>
      <c r="P6149" s="265">
        <f t="shared" si="702"/>
        <v>31</v>
      </c>
    </row>
    <row r="6150" spans="1:16" ht="15" hidden="1" customHeight="1">
      <c r="A6150" s="489">
        <v>64875812</v>
      </c>
      <c r="B6150" s="489">
        <v>1712</v>
      </c>
      <c r="C6150" s="488">
        <v>15040</v>
      </c>
      <c r="D6150" s="597">
        <v>46251</v>
      </c>
      <c r="E6150" s="489" t="s">
        <v>347</v>
      </c>
      <c r="F6150" s="489" t="s">
        <v>1221</v>
      </c>
      <c r="G6150" s="395">
        <f>VLOOKUP($A6150,'Tech Litons'!$A:$I,8,FALSE)</f>
        <v>6.0000000000000001E-3</v>
      </c>
      <c r="H6150" s="174">
        <f>VLOOKUP($A6150,'Tech Litons'!$A:$I,9,FALSE)</f>
        <v>108</v>
      </c>
      <c r="I6150" s="174" t="str">
        <f>VLOOKUP($A6150,'Tech Litons'!$A:$C,3,0)</f>
        <v>ESS</v>
      </c>
      <c r="J6150" s="175" t="str">
        <f t="shared" si="697"/>
        <v>1712ESS</v>
      </c>
      <c r="K6150" s="176">
        <f>VLOOKUP(I6150,'Attain %'!A:B,2,0)</f>
        <v>0.96</v>
      </c>
      <c r="L6150" s="177">
        <f t="shared" si="698"/>
        <v>14438.4</v>
      </c>
      <c r="M6150" s="177">
        <f t="shared" si="699"/>
        <v>86.630399999999995</v>
      </c>
      <c r="N6150" s="177">
        <f t="shared" si="700"/>
        <v>133.6888888888889</v>
      </c>
      <c r="O6150" s="175" t="str">
        <f t="shared" si="701"/>
        <v>Aug</v>
      </c>
      <c r="P6150" s="265">
        <f t="shared" si="702"/>
        <v>34</v>
      </c>
    </row>
    <row r="6151" spans="1:16" ht="15" hidden="1" customHeight="1">
      <c r="A6151" s="489">
        <v>64875812</v>
      </c>
      <c r="B6151" s="489">
        <v>1712</v>
      </c>
      <c r="C6151" s="488">
        <v>15040</v>
      </c>
      <c r="D6151" s="597">
        <v>46272</v>
      </c>
      <c r="E6151" s="489" t="s">
        <v>347</v>
      </c>
      <c r="F6151" s="489" t="s">
        <v>1221</v>
      </c>
      <c r="G6151" s="395">
        <f>VLOOKUP($A6151,'Tech Litons'!$A:$I,8,FALSE)</f>
        <v>6.0000000000000001E-3</v>
      </c>
      <c r="H6151" s="174">
        <f>VLOOKUP($A6151,'Tech Litons'!$A:$I,9,FALSE)</f>
        <v>108</v>
      </c>
      <c r="I6151" s="174" t="str">
        <f>VLOOKUP($A6151,'Tech Litons'!$A:$C,3,0)</f>
        <v>ESS</v>
      </c>
      <c r="J6151" s="175" t="str">
        <f t="shared" si="697"/>
        <v>1712ESS</v>
      </c>
      <c r="K6151" s="176">
        <f>VLOOKUP(I6151,'Attain %'!A:B,2,0)</f>
        <v>0.96</v>
      </c>
      <c r="L6151" s="177">
        <f t="shared" si="698"/>
        <v>14438.4</v>
      </c>
      <c r="M6151" s="177">
        <f t="shared" si="699"/>
        <v>86.630399999999995</v>
      </c>
      <c r="N6151" s="177">
        <f t="shared" si="700"/>
        <v>133.6888888888889</v>
      </c>
      <c r="O6151" s="175" t="str">
        <f t="shared" si="701"/>
        <v>Sep</v>
      </c>
      <c r="P6151" s="265">
        <f t="shared" si="702"/>
        <v>37</v>
      </c>
    </row>
    <row r="6152" spans="1:16" ht="15" hidden="1" customHeight="1">
      <c r="A6152" s="489">
        <v>64875812</v>
      </c>
      <c r="B6152" s="489">
        <v>1712</v>
      </c>
      <c r="C6152" s="488">
        <v>15040</v>
      </c>
      <c r="D6152" s="597">
        <v>46307</v>
      </c>
      <c r="E6152" s="489" t="s">
        <v>347</v>
      </c>
      <c r="F6152" s="489" t="s">
        <v>1221</v>
      </c>
      <c r="G6152" s="395">
        <f>VLOOKUP($A6152,'Tech Litons'!$A:$I,8,FALSE)</f>
        <v>6.0000000000000001E-3</v>
      </c>
      <c r="H6152" s="174">
        <f>VLOOKUP($A6152,'Tech Litons'!$A:$I,9,FALSE)</f>
        <v>108</v>
      </c>
      <c r="I6152" s="174" t="str">
        <f>VLOOKUP($A6152,'Tech Litons'!$A:$C,3,0)</f>
        <v>ESS</v>
      </c>
      <c r="J6152" s="175" t="str">
        <f t="shared" si="697"/>
        <v>1712ESS</v>
      </c>
      <c r="K6152" s="176">
        <f>VLOOKUP(I6152,'Attain %'!A:B,2,0)</f>
        <v>0.96</v>
      </c>
      <c r="L6152" s="177">
        <f t="shared" si="698"/>
        <v>14438.4</v>
      </c>
      <c r="M6152" s="177">
        <f t="shared" si="699"/>
        <v>86.630399999999995</v>
      </c>
      <c r="N6152" s="177">
        <f t="shared" si="700"/>
        <v>133.6888888888889</v>
      </c>
      <c r="O6152" s="175" t="str">
        <f t="shared" si="701"/>
        <v>Oct</v>
      </c>
      <c r="P6152" s="265">
        <f t="shared" si="702"/>
        <v>42</v>
      </c>
    </row>
    <row r="6153" spans="1:16" ht="15" hidden="1" customHeight="1">
      <c r="A6153" s="489">
        <v>64875812</v>
      </c>
      <c r="B6153" s="489">
        <v>1712</v>
      </c>
      <c r="C6153" s="488">
        <v>15040</v>
      </c>
      <c r="D6153" s="597">
        <v>46321</v>
      </c>
      <c r="E6153" s="489" t="s">
        <v>347</v>
      </c>
      <c r="F6153" s="489" t="s">
        <v>1221</v>
      </c>
      <c r="G6153" s="395">
        <f>VLOOKUP($A6153,'Tech Litons'!$A:$I,8,FALSE)</f>
        <v>6.0000000000000001E-3</v>
      </c>
      <c r="H6153" s="174">
        <f>VLOOKUP($A6153,'Tech Litons'!$A:$I,9,FALSE)</f>
        <v>108</v>
      </c>
      <c r="I6153" s="174" t="str">
        <f>VLOOKUP($A6153,'Tech Litons'!$A:$C,3,0)</f>
        <v>ESS</v>
      </c>
      <c r="J6153" s="175" t="str">
        <f t="shared" si="697"/>
        <v>1712ESS</v>
      </c>
      <c r="K6153" s="176">
        <f>VLOOKUP(I6153,'Attain %'!A:B,2,0)</f>
        <v>0.96</v>
      </c>
      <c r="L6153" s="177">
        <f t="shared" si="698"/>
        <v>14438.4</v>
      </c>
      <c r="M6153" s="177">
        <f t="shared" si="699"/>
        <v>86.630399999999995</v>
      </c>
      <c r="N6153" s="177">
        <f t="shared" si="700"/>
        <v>133.6888888888889</v>
      </c>
      <c r="O6153" s="175" t="str">
        <f t="shared" si="701"/>
        <v>Oct</v>
      </c>
      <c r="P6153" s="265">
        <f t="shared" si="702"/>
        <v>44</v>
      </c>
    </row>
    <row r="6154" spans="1:16" ht="15" hidden="1" customHeight="1">
      <c r="A6154" s="489">
        <v>64875812</v>
      </c>
      <c r="B6154" s="489">
        <v>1712</v>
      </c>
      <c r="C6154" s="488">
        <v>15040</v>
      </c>
      <c r="D6154" s="597">
        <v>46328</v>
      </c>
      <c r="E6154" s="489" t="s">
        <v>347</v>
      </c>
      <c r="F6154" s="489" t="s">
        <v>1221</v>
      </c>
      <c r="G6154" s="395">
        <f>VLOOKUP($A6154,'Tech Litons'!$A:$I,8,FALSE)</f>
        <v>6.0000000000000001E-3</v>
      </c>
      <c r="H6154" s="174">
        <f>VLOOKUP($A6154,'Tech Litons'!$A:$I,9,FALSE)</f>
        <v>108</v>
      </c>
      <c r="I6154" s="174" t="str">
        <f>VLOOKUP($A6154,'Tech Litons'!$A:$C,3,0)</f>
        <v>ESS</v>
      </c>
      <c r="J6154" s="175" t="str">
        <f t="shared" si="697"/>
        <v>1712ESS</v>
      </c>
      <c r="K6154" s="176">
        <f>VLOOKUP(I6154,'Attain %'!A:B,2,0)</f>
        <v>0.96</v>
      </c>
      <c r="L6154" s="177">
        <f t="shared" si="698"/>
        <v>14438.4</v>
      </c>
      <c r="M6154" s="177">
        <f t="shared" si="699"/>
        <v>86.630399999999995</v>
      </c>
      <c r="N6154" s="177">
        <f t="shared" si="700"/>
        <v>133.6888888888889</v>
      </c>
      <c r="O6154" s="175" t="str">
        <f t="shared" si="701"/>
        <v>Nov</v>
      </c>
      <c r="P6154" s="265">
        <f t="shared" si="702"/>
        <v>45</v>
      </c>
    </row>
    <row r="6155" spans="1:16" ht="15" hidden="1" customHeight="1">
      <c r="A6155" s="489">
        <v>64875812</v>
      </c>
      <c r="B6155" s="489">
        <v>1712</v>
      </c>
      <c r="C6155" s="488">
        <v>15040</v>
      </c>
      <c r="D6155" s="597">
        <v>46335</v>
      </c>
      <c r="E6155" s="489" t="s">
        <v>347</v>
      </c>
      <c r="F6155" s="489" t="s">
        <v>1221</v>
      </c>
      <c r="G6155" s="395">
        <f>VLOOKUP($A6155,'Tech Litons'!$A:$I,8,FALSE)</f>
        <v>6.0000000000000001E-3</v>
      </c>
      <c r="H6155" s="174">
        <f>VLOOKUP($A6155,'Tech Litons'!$A:$I,9,FALSE)</f>
        <v>108</v>
      </c>
      <c r="I6155" s="174" t="str">
        <f>VLOOKUP($A6155,'Tech Litons'!$A:$C,3,0)</f>
        <v>ESS</v>
      </c>
      <c r="J6155" s="175" t="str">
        <f t="shared" si="697"/>
        <v>1712ESS</v>
      </c>
      <c r="K6155" s="176">
        <f>VLOOKUP(I6155,'Attain %'!A:B,2,0)</f>
        <v>0.96</v>
      </c>
      <c r="L6155" s="177">
        <f t="shared" si="698"/>
        <v>14438.4</v>
      </c>
      <c r="M6155" s="177">
        <f t="shared" si="699"/>
        <v>86.630399999999995</v>
      </c>
      <c r="N6155" s="177">
        <f t="shared" si="700"/>
        <v>133.6888888888889</v>
      </c>
      <c r="O6155" s="175" t="str">
        <f t="shared" si="701"/>
        <v>Nov</v>
      </c>
      <c r="P6155" s="265">
        <f t="shared" si="702"/>
        <v>46</v>
      </c>
    </row>
    <row r="6156" spans="1:16" ht="15" hidden="1" customHeight="1">
      <c r="A6156" s="489">
        <v>64875812</v>
      </c>
      <c r="B6156" s="489">
        <v>1712</v>
      </c>
      <c r="C6156" s="488">
        <v>15040</v>
      </c>
      <c r="D6156" s="597">
        <v>46349</v>
      </c>
      <c r="E6156" s="489" t="s">
        <v>347</v>
      </c>
      <c r="F6156" s="489" t="s">
        <v>1221</v>
      </c>
      <c r="G6156" s="395">
        <f>VLOOKUP($A6156,'Tech Litons'!$A:$I,8,FALSE)</f>
        <v>6.0000000000000001E-3</v>
      </c>
      <c r="H6156" s="174">
        <f>VLOOKUP($A6156,'Tech Litons'!$A:$I,9,FALSE)</f>
        <v>108</v>
      </c>
      <c r="I6156" s="174" t="str">
        <f>VLOOKUP($A6156,'Tech Litons'!$A:$C,3,0)</f>
        <v>ESS</v>
      </c>
      <c r="J6156" s="175" t="str">
        <f t="shared" si="697"/>
        <v>1712ESS</v>
      </c>
      <c r="K6156" s="176">
        <f>VLOOKUP(I6156,'Attain %'!A:B,2,0)</f>
        <v>0.96</v>
      </c>
      <c r="L6156" s="177">
        <f t="shared" si="698"/>
        <v>14438.4</v>
      </c>
      <c r="M6156" s="177">
        <f t="shared" si="699"/>
        <v>86.630399999999995</v>
      </c>
      <c r="N6156" s="177">
        <f t="shared" si="700"/>
        <v>133.6888888888889</v>
      </c>
      <c r="O6156" s="175" t="str">
        <f t="shared" si="701"/>
        <v>Nov</v>
      </c>
      <c r="P6156" s="265">
        <f t="shared" si="702"/>
        <v>48</v>
      </c>
    </row>
    <row r="6157" spans="1:16" ht="15" hidden="1" customHeight="1">
      <c r="A6157" s="489">
        <v>64875812</v>
      </c>
      <c r="B6157" s="489">
        <v>1712</v>
      </c>
      <c r="C6157" s="488">
        <v>15040</v>
      </c>
      <c r="D6157" s="597">
        <v>46356</v>
      </c>
      <c r="E6157" s="489" t="s">
        <v>347</v>
      </c>
      <c r="F6157" s="489" t="s">
        <v>1221</v>
      </c>
      <c r="G6157" s="395">
        <f>VLOOKUP($A6157,'Tech Litons'!$A:$I,8,FALSE)</f>
        <v>6.0000000000000001E-3</v>
      </c>
      <c r="H6157" s="174">
        <f>VLOOKUP($A6157,'Tech Litons'!$A:$I,9,FALSE)</f>
        <v>108</v>
      </c>
      <c r="I6157" s="174" t="str">
        <f>VLOOKUP($A6157,'Tech Litons'!$A:$C,3,0)</f>
        <v>ESS</v>
      </c>
      <c r="J6157" s="175" t="str">
        <f t="shared" si="697"/>
        <v>1712ESS</v>
      </c>
      <c r="K6157" s="176">
        <f>VLOOKUP(I6157,'Attain %'!A:B,2,0)</f>
        <v>0.96</v>
      </c>
      <c r="L6157" s="177">
        <f t="shared" si="698"/>
        <v>14438.4</v>
      </c>
      <c r="M6157" s="177">
        <f t="shared" si="699"/>
        <v>86.630399999999995</v>
      </c>
      <c r="N6157" s="177">
        <f t="shared" si="700"/>
        <v>133.6888888888889</v>
      </c>
      <c r="O6157" s="175" t="str">
        <f t="shared" si="701"/>
        <v>Nov</v>
      </c>
      <c r="P6157" s="265">
        <f t="shared" si="702"/>
        <v>49</v>
      </c>
    </row>
    <row r="6158" spans="1:16" ht="15" hidden="1" customHeight="1">
      <c r="A6158" s="489">
        <v>64875812</v>
      </c>
      <c r="B6158" s="489">
        <v>1712</v>
      </c>
      <c r="C6158" s="488">
        <v>15040</v>
      </c>
      <c r="D6158" s="597">
        <v>46370</v>
      </c>
      <c r="E6158" s="489" t="s">
        <v>347</v>
      </c>
      <c r="F6158" s="489" t="s">
        <v>1221</v>
      </c>
      <c r="G6158" s="395">
        <f>VLOOKUP($A6158,'Tech Litons'!$A:$I,8,FALSE)</f>
        <v>6.0000000000000001E-3</v>
      </c>
      <c r="H6158" s="174">
        <f>VLOOKUP($A6158,'Tech Litons'!$A:$I,9,FALSE)</f>
        <v>108</v>
      </c>
      <c r="I6158" s="174" t="str">
        <f>VLOOKUP($A6158,'Tech Litons'!$A:$C,3,0)</f>
        <v>ESS</v>
      </c>
      <c r="J6158" s="175" t="str">
        <f t="shared" si="697"/>
        <v>1712ESS</v>
      </c>
      <c r="K6158" s="176">
        <f>VLOOKUP(I6158,'Attain %'!A:B,2,0)</f>
        <v>0.96</v>
      </c>
      <c r="L6158" s="177">
        <f t="shared" si="698"/>
        <v>14438.4</v>
      </c>
      <c r="M6158" s="177">
        <f t="shared" si="699"/>
        <v>86.630399999999995</v>
      </c>
      <c r="N6158" s="177">
        <f t="shared" si="700"/>
        <v>133.6888888888889</v>
      </c>
      <c r="O6158" s="175" t="str">
        <f t="shared" si="701"/>
        <v>Dec</v>
      </c>
      <c r="P6158" s="265">
        <f t="shared" si="702"/>
        <v>51</v>
      </c>
    </row>
    <row r="6159" spans="1:16" ht="15" hidden="1" customHeight="1">
      <c r="A6159" s="489">
        <v>64875812</v>
      </c>
      <c r="B6159" s="489">
        <v>1712</v>
      </c>
      <c r="C6159" s="488">
        <v>15040</v>
      </c>
      <c r="D6159" s="597">
        <v>46377</v>
      </c>
      <c r="E6159" s="489" t="s">
        <v>347</v>
      </c>
      <c r="F6159" s="489" t="s">
        <v>1221</v>
      </c>
      <c r="G6159" s="395">
        <f>VLOOKUP($A6159,'Tech Litons'!$A:$I,8,FALSE)</f>
        <v>6.0000000000000001E-3</v>
      </c>
      <c r="H6159" s="174">
        <f>VLOOKUP($A6159,'Tech Litons'!$A:$I,9,FALSE)</f>
        <v>108</v>
      </c>
      <c r="I6159" s="174" t="str">
        <f>VLOOKUP($A6159,'Tech Litons'!$A:$C,3,0)</f>
        <v>ESS</v>
      </c>
      <c r="J6159" s="175" t="str">
        <f t="shared" si="697"/>
        <v>1712ESS</v>
      </c>
      <c r="K6159" s="176">
        <f>VLOOKUP(I6159,'Attain %'!A:B,2,0)</f>
        <v>0.96</v>
      </c>
      <c r="L6159" s="177">
        <f t="shared" si="698"/>
        <v>14438.4</v>
      </c>
      <c r="M6159" s="177">
        <f t="shared" si="699"/>
        <v>86.630399999999995</v>
      </c>
      <c r="N6159" s="177">
        <f t="shared" si="700"/>
        <v>133.6888888888889</v>
      </c>
      <c r="O6159" s="175" t="str">
        <f t="shared" si="701"/>
        <v>Dec</v>
      </c>
      <c r="P6159" s="265">
        <f t="shared" si="702"/>
        <v>52</v>
      </c>
    </row>
    <row r="6160" spans="1:16" ht="15" hidden="1" customHeight="1">
      <c r="A6160" s="489">
        <v>68741742</v>
      </c>
      <c r="B6160" s="489">
        <v>1352</v>
      </c>
      <c r="C6160" s="488">
        <v>15200</v>
      </c>
      <c r="D6160" s="597">
        <v>46167</v>
      </c>
      <c r="E6160" s="489" t="s">
        <v>288</v>
      </c>
      <c r="F6160" s="489" t="s">
        <v>1220</v>
      </c>
      <c r="G6160" s="395">
        <f>VLOOKUP($A6160,'Tech Litons'!$A:$I,8,FALSE)</f>
        <v>4.2560000000000002E-3</v>
      </c>
      <c r="H6160" s="174">
        <f>VLOOKUP($A6160,'Tech Litons'!$A:$I,9,FALSE)</f>
        <v>154</v>
      </c>
      <c r="I6160" s="174" t="str">
        <f>VLOOKUP($A6160,'Tech Litons'!$A:$C,3,0)</f>
        <v>MBG</v>
      </c>
      <c r="J6160" s="175" t="str">
        <f t="shared" si="697"/>
        <v>1352MBG</v>
      </c>
      <c r="K6160" s="176">
        <f>VLOOKUP(I6160,'Attain %'!A:B,2,0)</f>
        <v>0.96</v>
      </c>
      <c r="L6160" s="177">
        <f t="shared" si="698"/>
        <v>14592</v>
      </c>
      <c r="M6160" s="177">
        <f t="shared" si="699"/>
        <v>62.103552000000001</v>
      </c>
      <c r="N6160" s="177">
        <f t="shared" si="700"/>
        <v>94.753246753246756</v>
      </c>
      <c r="O6160" s="175" t="str">
        <f t="shared" si="701"/>
        <v>May</v>
      </c>
      <c r="P6160" s="265">
        <f t="shared" si="702"/>
        <v>22</v>
      </c>
    </row>
    <row r="6161" spans="1:16" ht="15" hidden="1" customHeight="1">
      <c r="A6161" s="489">
        <v>65489677</v>
      </c>
      <c r="B6161" s="489">
        <v>1717</v>
      </c>
      <c r="C6161" s="488">
        <v>15247</v>
      </c>
      <c r="D6161" s="597">
        <v>46111</v>
      </c>
      <c r="E6161" s="489" t="s">
        <v>1188</v>
      </c>
      <c r="F6161" s="489" t="s">
        <v>1221</v>
      </c>
      <c r="G6161" s="395">
        <f>VLOOKUP($A6161,'Tech Litons'!$A:$I,8,FALSE)</f>
        <v>2.8319999999999999E-3</v>
      </c>
      <c r="H6161" s="174">
        <f>VLOOKUP($A6161,'Tech Litons'!$A:$I,9,FALSE)</f>
        <v>221</v>
      </c>
      <c r="I6161" s="174" t="str">
        <f>VLOOKUP($A6161,'Tech Litons'!$A:$C,3,0)</f>
        <v>Other</v>
      </c>
      <c r="J6161" s="175" t="str">
        <f t="shared" si="697"/>
        <v>1717Other</v>
      </c>
      <c r="K6161" s="176">
        <f>VLOOKUP(I6161,'Attain %'!A:B,2,0)</f>
        <v>0.96</v>
      </c>
      <c r="L6161" s="177">
        <f t="shared" si="698"/>
        <v>14637.119999999999</v>
      </c>
      <c r="M6161" s="177">
        <f t="shared" si="699"/>
        <v>41.452323839999998</v>
      </c>
      <c r="N6161" s="177">
        <f t="shared" si="700"/>
        <v>66.231312217194571</v>
      </c>
      <c r="O6161" s="175" t="str">
        <f t="shared" si="701"/>
        <v>Mar</v>
      </c>
      <c r="P6161" s="265">
        <f t="shared" si="702"/>
        <v>14</v>
      </c>
    </row>
    <row r="6162" spans="1:16" ht="15" hidden="1" customHeight="1">
      <c r="A6162" s="489">
        <v>64958862</v>
      </c>
      <c r="B6162" s="489" t="s">
        <v>133</v>
      </c>
      <c r="C6162" s="488">
        <v>15300</v>
      </c>
      <c r="D6162" s="597">
        <v>46188</v>
      </c>
      <c r="E6162" s="489" t="s">
        <v>1290</v>
      </c>
      <c r="F6162" s="489" t="s">
        <v>1223</v>
      </c>
      <c r="G6162" s="395">
        <f>VLOOKUP($A6162,'Tech Litons'!$A:$I,8,FALSE)</f>
        <v>3.516E-3</v>
      </c>
      <c r="H6162" s="174">
        <f>VLOOKUP($A6162,'Tech Litons'!$A:$I,9,FALSE)</f>
        <v>170</v>
      </c>
      <c r="I6162" s="174" t="str">
        <f>VLOOKUP($A6162,'Tech Litons'!$A:$C,3,0)</f>
        <v>Other</v>
      </c>
      <c r="J6162" s="175" t="str">
        <f t="shared" si="697"/>
        <v>GDIOther</v>
      </c>
      <c r="K6162" s="176">
        <f>VLOOKUP(I6162,'Attain %'!A:B,2,0)</f>
        <v>0.96</v>
      </c>
      <c r="L6162" s="177">
        <f t="shared" si="698"/>
        <v>14688</v>
      </c>
      <c r="M6162" s="177">
        <f t="shared" si="699"/>
        <v>51.643008000000002</v>
      </c>
      <c r="N6162" s="177">
        <f t="shared" si="700"/>
        <v>86.4</v>
      </c>
      <c r="O6162" s="175" t="str">
        <f t="shared" si="701"/>
        <v>Jun</v>
      </c>
      <c r="P6162" s="265">
        <f t="shared" si="702"/>
        <v>25</v>
      </c>
    </row>
    <row r="6163" spans="1:16" ht="15" hidden="1" customHeight="1">
      <c r="A6163" s="489">
        <v>64976851</v>
      </c>
      <c r="B6163" s="489">
        <v>2904</v>
      </c>
      <c r="D6163" s="597">
        <v>46111</v>
      </c>
      <c r="E6163" s="489" t="s">
        <v>592</v>
      </c>
      <c r="F6163" s="489" t="s">
        <v>1233</v>
      </c>
      <c r="G6163" s="395">
        <f>VLOOKUP($A6163,'Tech Litons'!$A:$I,8,FALSE)</f>
        <v>2.5040000000000001E-3</v>
      </c>
      <c r="H6163" s="174">
        <f>VLOOKUP($A6163,'Tech Litons'!$A:$I,9,FALSE)</f>
        <v>165</v>
      </c>
      <c r="I6163" s="174" t="str">
        <f>VLOOKUP($A6163,'Tech Litons'!$A:$C,3,0)</f>
        <v>Yasso Sticks</v>
      </c>
      <c r="J6163" s="175" t="str">
        <f t="shared" si="697"/>
        <v>2904Yasso Sticks</v>
      </c>
      <c r="K6163" s="176">
        <f>VLOOKUP(I6163,'Attain %'!A:B,2,0)</f>
        <v>0.96</v>
      </c>
      <c r="L6163" s="177">
        <f t="shared" si="698"/>
        <v>0</v>
      </c>
      <c r="M6163" s="177">
        <f t="shared" si="699"/>
        <v>0</v>
      </c>
      <c r="N6163" s="177">
        <f t="shared" si="700"/>
        <v>0</v>
      </c>
      <c r="O6163" s="175" t="str">
        <f t="shared" si="701"/>
        <v>Mar</v>
      </c>
      <c r="P6163" s="265">
        <f t="shared" si="702"/>
        <v>14</v>
      </c>
    </row>
    <row r="6164" spans="1:16" ht="15" hidden="1" customHeight="1">
      <c r="A6164" s="489">
        <v>65242606</v>
      </c>
      <c r="B6164" s="489">
        <v>2904</v>
      </c>
      <c r="C6164" s="488">
        <v>15600</v>
      </c>
      <c r="D6164" s="597">
        <v>46139</v>
      </c>
      <c r="E6164" s="489" t="s">
        <v>1194</v>
      </c>
      <c r="F6164" s="489" t="s">
        <v>1235</v>
      </c>
      <c r="G6164" s="395">
        <f>VLOOKUP($A6164,'Tech Litons'!$A:$I,8,FALSE)</f>
        <v>3.7839999999999996E-3</v>
      </c>
      <c r="H6164" s="174">
        <f>VLOOKUP($A6164,'Tech Litons'!$A:$I,9,FALSE)</f>
        <v>240</v>
      </c>
      <c r="I6164" s="174" t="str">
        <f>VLOOKUP($A6164,'Tech Litons'!$A:$C,3,0)</f>
        <v>Talenti</v>
      </c>
      <c r="J6164" s="175" t="str">
        <f t="shared" si="697"/>
        <v>2904Talenti</v>
      </c>
      <c r="K6164" s="176">
        <f>VLOOKUP(I6164,'Attain %'!A:B,2,0)</f>
        <v>0.96</v>
      </c>
      <c r="L6164" s="177">
        <f t="shared" si="698"/>
        <v>14976</v>
      </c>
      <c r="M6164" s="177">
        <f t="shared" si="699"/>
        <v>56.669183999999994</v>
      </c>
      <c r="N6164" s="177">
        <f t="shared" si="700"/>
        <v>62.4</v>
      </c>
      <c r="O6164" s="175" t="str">
        <f t="shared" si="701"/>
        <v>Apr</v>
      </c>
      <c r="P6164" s="265">
        <f t="shared" si="702"/>
        <v>18</v>
      </c>
    </row>
    <row r="6165" spans="1:16" ht="15" hidden="1" customHeight="1">
      <c r="A6165" s="489">
        <v>64776958</v>
      </c>
      <c r="B6165" s="489" t="s">
        <v>133</v>
      </c>
      <c r="C6165" s="488">
        <v>15600</v>
      </c>
      <c r="D6165" s="597">
        <v>46125</v>
      </c>
      <c r="E6165" s="489" t="s">
        <v>292</v>
      </c>
      <c r="F6165" s="489" t="s">
        <v>1223</v>
      </c>
      <c r="G6165" s="395">
        <f>VLOOKUP($A6165,'Tech Litons'!$A:$I,8,FALSE)</f>
        <v>5.2680000000000001E-3</v>
      </c>
      <c r="H6165" s="174">
        <f>VLOOKUP($A6165,'Tech Litons'!$A:$I,9,FALSE)</f>
        <v>130</v>
      </c>
      <c r="I6165" s="174" t="str">
        <f>VLOOKUP($A6165,'Tech Litons'!$A:$C,3,0)</f>
        <v>PG</v>
      </c>
      <c r="J6165" s="175" t="str">
        <f t="shared" si="697"/>
        <v>GDIPG</v>
      </c>
      <c r="K6165" s="176">
        <f>VLOOKUP(I6165,'Attain %'!A:B,2,0)</f>
        <v>0.96</v>
      </c>
      <c r="L6165" s="177">
        <f t="shared" si="698"/>
        <v>14976</v>
      </c>
      <c r="M6165" s="177">
        <f t="shared" si="699"/>
        <v>78.893568000000002</v>
      </c>
      <c r="N6165" s="177">
        <f t="shared" si="700"/>
        <v>115.2</v>
      </c>
      <c r="O6165" s="175" t="str">
        <f t="shared" si="701"/>
        <v>Apr</v>
      </c>
      <c r="P6165" s="265">
        <f t="shared" si="702"/>
        <v>16</v>
      </c>
    </row>
    <row r="6166" spans="1:16" ht="15" hidden="1" customHeight="1">
      <c r="A6166" s="489">
        <v>64776958</v>
      </c>
      <c r="B6166" s="489" t="s">
        <v>133</v>
      </c>
      <c r="C6166" s="488">
        <v>15600</v>
      </c>
      <c r="D6166" s="597">
        <v>46132</v>
      </c>
      <c r="E6166" s="489" t="s">
        <v>292</v>
      </c>
      <c r="F6166" s="489" t="s">
        <v>1223</v>
      </c>
      <c r="G6166" s="395">
        <f>VLOOKUP($A6166,'Tech Litons'!$A:$I,8,FALSE)</f>
        <v>5.2680000000000001E-3</v>
      </c>
      <c r="H6166" s="174">
        <f>VLOOKUP($A6166,'Tech Litons'!$A:$I,9,FALSE)</f>
        <v>130</v>
      </c>
      <c r="I6166" s="174" t="str">
        <f>VLOOKUP($A6166,'Tech Litons'!$A:$C,3,0)</f>
        <v>PG</v>
      </c>
      <c r="J6166" s="175" t="str">
        <f t="shared" si="697"/>
        <v>GDIPG</v>
      </c>
      <c r="K6166" s="176">
        <f>VLOOKUP(I6166,'Attain %'!A:B,2,0)</f>
        <v>0.96</v>
      </c>
      <c r="L6166" s="177">
        <f t="shared" si="698"/>
        <v>14976</v>
      </c>
      <c r="M6166" s="177">
        <f t="shared" si="699"/>
        <v>78.893568000000002</v>
      </c>
      <c r="N6166" s="177">
        <f t="shared" si="700"/>
        <v>115.2</v>
      </c>
      <c r="O6166" s="175" t="str">
        <f t="shared" si="701"/>
        <v>Apr</v>
      </c>
      <c r="P6166" s="265">
        <f t="shared" si="702"/>
        <v>17</v>
      </c>
    </row>
    <row r="6167" spans="1:16" ht="15" hidden="1" customHeight="1">
      <c r="A6167" s="489">
        <v>65549173</v>
      </c>
      <c r="B6167" s="489" t="s">
        <v>139</v>
      </c>
      <c r="C6167" s="488">
        <v>15756</v>
      </c>
      <c r="D6167" s="597">
        <v>46216</v>
      </c>
      <c r="E6167" s="489" t="s">
        <v>1189</v>
      </c>
      <c r="F6167" s="489" t="s">
        <v>1223</v>
      </c>
      <c r="G6167" s="395">
        <f>VLOOKUP($A6167,'Tech Litons'!$A:$I,8,FALSE)</f>
        <v>1.1999999999999999E-3</v>
      </c>
      <c r="H6167" s="174">
        <f>VLOOKUP($A6167,'Tech Litons'!$A:$I,9,FALSE)</f>
        <v>210</v>
      </c>
      <c r="I6167" s="174" t="str">
        <f>VLOOKUP($A6167,'Tech Litons'!$A:$C,3,0)</f>
        <v>Facepieces</v>
      </c>
      <c r="J6167" s="175" t="str">
        <f t="shared" si="697"/>
        <v>IncomFacepieces</v>
      </c>
      <c r="K6167" s="176">
        <f>VLOOKUP(I6167,'Attain %'!A:B,2,0)</f>
        <v>0.96</v>
      </c>
      <c r="L6167" s="177">
        <f t="shared" si="698"/>
        <v>15125.76</v>
      </c>
      <c r="M6167" s="177">
        <f t="shared" si="699"/>
        <v>18.150911999999998</v>
      </c>
      <c r="N6167" s="177">
        <f t="shared" si="700"/>
        <v>72.027428571428572</v>
      </c>
      <c r="O6167" s="175" t="str">
        <f t="shared" si="701"/>
        <v>Jul</v>
      </c>
      <c r="P6167" s="265">
        <f t="shared" si="702"/>
        <v>29</v>
      </c>
    </row>
    <row r="6168" spans="1:16" ht="15" hidden="1" customHeight="1">
      <c r="A6168" s="489">
        <v>64955558</v>
      </c>
      <c r="B6168" s="489">
        <v>1715</v>
      </c>
      <c r="D6168" s="597">
        <v>46104</v>
      </c>
      <c r="E6168" s="489" t="s">
        <v>581</v>
      </c>
      <c r="F6168" s="489" t="s">
        <v>1221</v>
      </c>
      <c r="G6168" s="395">
        <f>VLOOKUP($A6168,'Tech Litons'!$A:$I,8,FALSE)</f>
        <v>3.3119999999999998E-3</v>
      </c>
      <c r="H6168" s="174">
        <f>VLOOKUP($A6168,'Tech Litons'!$A:$I,9,FALSE)</f>
        <v>165</v>
      </c>
      <c r="I6168" s="174" t="str">
        <f>VLOOKUP($A6168,'Tech Litons'!$A:$C,3,0)</f>
        <v>Yasso Sticks</v>
      </c>
      <c r="J6168" s="175" t="str">
        <f t="shared" si="697"/>
        <v>1715Yasso Sticks</v>
      </c>
      <c r="K6168" s="176">
        <f>VLOOKUP(I6168,'Attain %'!A:B,2,0)</f>
        <v>0.96</v>
      </c>
      <c r="L6168" s="177">
        <f t="shared" si="698"/>
        <v>0</v>
      </c>
      <c r="M6168" s="177">
        <f t="shared" si="699"/>
        <v>0</v>
      </c>
      <c r="N6168" s="177">
        <f t="shared" si="700"/>
        <v>0</v>
      </c>
      <c r="O6168" s="175" t="str">
        <f t="shared" si="701"/>
        <v>Mar</v>
      </c>
      <c r="P6168" s="265">
        <f t="shared" si="702"/>
        <v>13</v>
      </c>
    </row>
    <row r="6169" spans="1:16" ht="15" hidden="1" customHeight="1">
      <c r="A6169" s="489">
        <v>68851108</v>
      </c>
      <c r="B6169" s="489">
        <v>2904</v>
      </c>
      <c r="C6169" s="488">
        <v>16200</v>
      </c>
      <c r="D6169" s="597">
        <v>46111</v>
      </c>
      <c r="E6169" s="489" t="s">
        <v>296</v>
      </c>
      <c r="F6169" s="489" t="s">
        <v>1226</v>
      </c>
      <c r="G6169" s="395">
        <f>VLOOKUP($A6169,'Tech Litons'!$A:$I,8,FALSE)</f>
        <v>8.5199999999999998E-3</v>
      </c>
      <c r="H6169" s="174">
        <f>VLOOKUP($A6169,'Tech Litons'!$A:$I,9,FALSE)</f>
        <v>176</v>
      </c>
      <c r="I6169" s="174" t="str">
        <f>VLOOKUP($A6169,'Tech Litons'!$A:$C,3,0)</f>
        <v>48oz</v>
      </c>
      <c r="J6169" s="175" t="str">
        <f t="shared" si="697"/>
        <v>290448oz</v>
      </c>
      <c r="K6169" s="176">
        <f>VLOOKUP(I6169,'Attain %'!A:B,2,0)</f>
        <v>0.94</v>
      </c>
      <c r="L6169" s="177">
        <f t="shared" si="698"/>
        <v>15228</v>
      </c>
      <c r="M6169" s="177">
        <f t="shared" si="699"/>
        <v>129.74256</v>
      </c>
      <c r="N6169" s="177">
        <f t="shared" si="700"/>
        <v>86.522727272727266</v>
      </c>
      <c r="O6169" s="175" t="str">
        <f t="shared" si="701"/>
        <v>Mar</v>
      </c>
      <c r="P6169" s="265">
        <f t="shared" si="702"/>
        <v>14</v>
      </c>
    </row>
    <row r="6170" spans="1:16" ht="15" hidden="1" customHeight="1">
      <c r="A6170" s="489">
        <v>65254774</v>
      </c>
      <c r="B6170" s="489">
        <v>6765</v>
      </c>
      <c r="C6170" s="488">
        <v>16200</v>
      </c>
      <c r="D6170" s="597">
        <v>46244</v>
      </c>
      <c r="E6170" s="489" t="s">
        <v>614</v>
      </c>
      <c r="F6170" s="489" t="s">
        <v>1221</v>
      </c>
      <c r="G6170" s="395">
        <f>VLOOKUP($A6170,'Tech Litons'!$A:$I,8,FALSE)</f>
        <v>1E-3</v>
      </c>
      <c r="H6170" s="174">
        <f>VLOOKUP($A6170,'Tech Litons'!$A:$I,9,FALSE)</f>
        <v>420</v>
      </c>
      <c r="I6170" s="174" t="str">
        <f>VLOOKUP($A6170,'Tech Litons'!$A:$C,3,0)</f>
        <v>Other</v>
      </c>
      <c r="J6170" s="175" t="str">
        <f t="shared" si="697"/>
        <v>6765Other</v>
      </c>
      <c r="K6170" s="176">
        <f>VLOOKUP(I6170,'Attain %'!A:B,2,0)</f>
        <v>0.96</v>
      </c>
      <c r="L6170" s="177">
        <f t="shared" si="698"/>
        <v>15552</v>
      </c>
      <c r="M6170" s="177">
        <f t="shared" si="699"/>
        <v>15.552</v>
      </c>
      <c r="N6170" s="177">
        <f t="shared" si="700"/>
        <v>37.028571428571432</v>
      </c>
      <c r="O6170" s="175" t="str">
        <f t="shared" si="701"/>
        <v>Aug</v>
      </c>
      <c r="P6170" s="265">
        <f t="shared" si="702"/>
        <v>33</v>
      </c>
    </row>
    <row r="6171" spans="1:16" ht="15" hidden="1" customHeight="1">
      <c r="A6171" s="489">
        <v>65254774</v>
      </c>
      <c r="B6171" s="489">
        <v>6765</v>
      </c>
      <c r="C6171" s="488">
        <v>16200</v>
      </c>
      <c r="D6171" s="597">
        <v>46258</v>
      </c>
      <c r="E6171" s="489" t="s">
        <v>614</v>
      </c>
      <c r="F6171" s="489" t="s">
        <v>1221</v>
      </c>
      <c r="G6171" s="395">
        <f>VLOOKUP($A6171,'Tech Litons'!$A:$I,8,FALSE)</f>
        <v>1E-3</v>
      </c>
      <c r="H6171" s="174">
        <f>VLOOKUP($A6171,'Tech Litons'!$A:$I,9,FALSE)</f>
        <v>420</v>
      </c>
      <c r="I6171" s="174" t="str">
        <f>VLOOKUP($A6171,'Tech Litons'!$A:$C,3,0)</f>
        <v>Other</v>
      </c>
      <c r="J6171" s="175" t="str">
        <f t="shared" si="697"/>
        <v>6765Other</v>
      </c>
      <c r="K6171" s="176">
        <f>VLOOKUP(I6171,'Attain %'!A:B,2,0)</f>
        <v>0.96</v>
      </c>
      <c r="L6171" s="177">
        <f t="shared" si="698"/>
        <v>15552</v>
      </c>
      <c r="M6171" s="177">
        <f t="shared" si="699"/>
        <v>15.552</v>
      </c>
      <c r="N6171" s="177">
        <f t="shared" si="700"/>
        <v>37.028571428571432</v>
      </c>
      <c r="O6171" s="175" t="str">
        <f t="shared" si="701"/>
        <v>Aug</v>
      </c>
      <c r="P6171" s="265">
        <f t="shared" si="702"/>
        <v>35</v>
      </c>
    </row>
    <row r="6172" spans="1:16" ht="15" hidden="1" customHeight="1">
      <c r="A6172" s="489">
        <v>64771676</v>
      </c>
      <c r="B6172" s="489" t="s">
        <v>139</v>
      </c>
      <c r="C6172" s="488">
        <v>16224</v>
      </c>
      <c r="D6172" s="597">
        <v>46300</v>
      </c>
      <c r="E6172" s="489" t="s">
        <v>619</v>
      </c>
      <c r="F6172" s="489" t="s">
        <v>1223</v>
      </c>
      <c r="G6172" s="395">
        <f>VLOOKUP($A6172,'Tech Litons'!$A:$I,8,FALSE)</f>
        <v>2.16E-3</v>
      </c>
      <c r="H6172" s="174">
        <f>VLOOKUP($A6172,'Tech Litons'!$A:$I,9,FALSE)</f>
        <v>195</v>
      </c>
      <c r="I6172" s="174" t="str">
        <f>VLOOKUP($A6172,'Tech Litons'!$A:$C,3,0)</f>
        <v>Facepieces</v>
      </c>
      <c r="J6172" s="175" t="str">
        <f t="shared" si="697"/>
        <v>IncomFacepieces</v>
      </c>
      <c r="K6172" s="176">
        <f>VLOOKUP(I6172,'Attain %'!A:B,2,0)</f>
        <v>0.96</v>
      </c>
      <c r="L6172" s="177">
        <f t="shared" si="698"/>
        <v>15575.039999999999</v>
      </c>
      <c r="M6172" s="177">
        <f t="shared" si="699"/>
        <v>33.642086399999997</v>
      </c>
      <c r="N6172" s="177">
        <f t="shared" si="700"/>
        <v>79.872</v>
      </c>
      <c r="O6172" s="175" t="str">
        <f t="shared" si="701"/>
        <v>Oct</v>
      </c>
      <c r="P6172" s="265">
        <f t="shared" si="702"/>
        <v>41</v>
      </c>
    </row>
    <row r="6173" spans="1:16" ht="15" hidden="1" customHeight="1">
      <c r="A6173" s="489">
        <v>64403170</v>
      </c>
      <c r="B6173" s="489" t="s">
        <v>137</v>
      </c>
      <c r="C6173" s="488">
        <v>16224</v>
      </c>
      <c r="D6173" s="597">
        <v>46146</v>
      </c>
      <c r="E6173" s="489" t="s">
        <v>1031</v>
      </c>
      <c r="F6173" s="489" t="s">
        <v>1223</v>
      </c>
      <c r="G6173" s="395">
        <f>VLOOKUP($A6173,'Tech Litons'!$A:$I,8,FALSE)</f>
        <v>2.16E-3</v>
      </c>
      <c r="H6173" s="174">
        <f>VLOOKUP($A6173,'Tech Litons'!$A:$I,9,FALSE)</f>
        <v>195</v>
      </c>
      <c r="I6173" s="174" t="str">
        <f>VLOOKUP($A6173,'Tech Litons'!$A:$C,3,0)</f>
        <v>Facepieces</v>
      </c>
      <c r="J6173" s="175" t="str">
        <f t="shared" si="697"/>
        <v>TurkeyFacepieces</v>
      </c>
      <c r="K6173" s="176">
        <f>VLOOKUP(I6173,'Attain %'!A:B,2,0)</f>
        <v>0.96</v>
      </c>
      <c r="L6173" s="177">
        <f t="shared" si="698"/>
        <v>15575.039999999999</v>
      </c>
      <c r="M6173" s="177">
        <f t="shared" si="699"/>
        <v>33.642086399999997</v>
      </c>
      <c r="N6173" s="177">
        <f t="shared" si="700"/>
        <v>79.872</v>
      </c>
      <c r="O6173" s="175" t="str">
        <f t="shared" si="701"/>
        <v>May</v>
      </c>
      <c r="P6173" s="265">
        <f t="shared" si="702"/>
        <v>19</v>
      </c>
    </row>
    <row r="6174" spans="1:16" ht="15" hidden="1" customHeight="1">
      <c r="A6174" s="489">
        <v>64403170</v>
      </c>
      <c r="B6174" s="489" t="s">
        <v>137</v>
      </c>
      <c r="C6174" s="488">
        <v>16224</v>
      </c>
      <c r="D6174" s="597">
        <v>46209</v>
      </c>
      <c r="E6174" s="489" t="s">
        <v>1031</v>
      </c>
      <c r="F6174" s="489" t="s">
        <v>1223</v>
      </c>
      <c r="G6174" s="395">
        <f>VLOOKUP($A6174,'Tech Litons'!$A:$I,8,FALSE)</f>
        <v>2.16E-3</v>
      </c>
      <c r="H6174" s="174">
        <f>VLOOKUP($A6174,'Tech Litons'!$A:$I,9,FALSE)</f>
        <v>195</v>
      </c>
      <c r="I6174" s="174" t="str">
        <f>VLOOKUP($A6174,'Tech Litons'!$A:$C,3,0)</f>
        <v>Facepieces</v>
      </c>
      <c r="J6174" s="175" t="str">
        <f t="shared" si="697"/>
        <v>TurkeyFacepieces</v>
      </c>
      <c r="K6174" s="176">
        <f>VLOOKUP(I6174,'Attain %'!A:B,2,0)</f>
        <v>0.96</v>
      </c>
      <c r="L6174" s="177">
        <f t="shared" si="698"/>
        <v>15575.039999999999</v>
      </c>
      <c r="M6174" s="177">
        <f t="shared" si="699"/>
        <v>33.642086399999997</v>
      </c>
      <c r="N6174" s="177">
        <f t="shared" si="700"/>
        <v>79.872</v>
      </c>
      <c r="O6174" s="175" t="str">
        <f t="shared" si="701"/>
        <v>Jul</v>
      </c>
      <c r="P6174" s="265">
        <f t="shared" si="702"/>
        <v>28</v>
      </c>
    </row>
    <row r="6175" spans="1:16" ht="15" hidden="1" customHeight="1">
      <c r="A6175" s="489">
        <v>64403170</v>
      </c>
      <c r="B6175" s="489" t="s">
        <v>137</v>
      </c>
      <c r="C6175" s="488">
        <v>16224</v>
      </c>
      <c r="D6175" s="597">
        <v>46216</v>
      </c>
      <c r="E6175" s="489" t="s">
        <v>1031</v>
      </c>
      <c r="F6175" s="489" t="s">
        <v>1223</v>
      </c>
      <c r="G6175" s="395">
        <f>VLOOKUP($A6175,'Tech Litons'!$A:$I,8,FALSE)</f>
        <v>2.16E-3</v>
      </c>
      <c r="H6175" s="174">
        <f>VLOOKUP($A6175,'Tech Litons'!$A:$I,9,FALSE)</f>
        <v>195</v>
      </c>
      <c r="I6175" s="174" t="str">
        <f>VLOOKUP($A6175,'Tech Litons'!$A:$C,3,0)</f>
        <v>Facepieces</v>
      </c>
      <c r="J6175" s="175" t="str">
        <f t="shared" si="697"/>
        <v>TurkeyFacepieces</v>
      </c>
      <c r="K6175" s="176">
        <f>VLOOKUP(I6175,'Attain %'!A:B,2,0)</f>
        <v>0.96</v>
      </c>
      <c r="L6175" s="177">
        <f t="shared" si="698"/>
        <v>15575.039999999999</v>
      </c>
      <c r="M6175" s="177">
        <f t="shared" si="699"/>
        <v>33.642086399999997</v>
      </c>
      <c r="N6175" s="177">
        <f t="shared" si="700"/>
        <v>79.872</v>
      </c>
      <c r="O6175" s="175" t="str">
        <f t="shared" si="701"/>
        <v>Jul</v>
      </c>
      <c r="P6175" s="265">
        <f t="shared" si="702"/>
        <v>29</v>
      </c>
    </row>
    <row r="6176" spans="1:16" ht="15" hidden="1" customHeight="1">
      <c r="A6176" s="489">
        <v>64403170</v>
      </c>
      <c r="B6176" s="489" t="s">
        <v>137</v>
      </c>
      <c r="C6176" s="488">
        <v>16224</v>
      </c>
      <c r="D6176" s="597">
        <v>46300</v>
      </c>
      <c r="E6176" s="489" t="s">
        <v>1031</v>
      </c>
      <c r="F6176" s="489" t="s">
        <v>1223</v>
      </c>
      <c r="G6176" s="395">
        <f>VLOOKUP($A6176,'Tech Litons'!$A:$I,8,FALSE)</f>
        <v>2.16E-3</v>
      </c>
      <c r="H6176" s="174">
        <f>VLOOKUP($A6176,'Tech Litons'!$A:$I,9,FALSE)</f>
        <v>195</v>
      </c>
      <c r="I6176" s="174" t="str">
        <f>VLOOKUP($A6176,'Tech Litons'!$A:$C,3,0)</f>
        <v>Facepieces</v>
      </c>
      <c r="J6176" s="175" t="str">
        <f t="shared" si="697"/>
        <v>TurkeyFacepieces</v>
      </c>
      <c r="K6176" s="176">
        <f>VLOOKUP(I6176,'Attain %'!A:B,2,0)</f>
        <v>0.96</v>
      </c>
      <c r="L6176" s="177">
        <f t="shared" si="698"/>
        <v>15575.039999999999</v>
      </c>
      <c r="M6176" s="177">
        <f t="shared" si="699"/>
        <v>33.642086399999997</v>
      </c>
      <c r="N6176" s="177">
        <f t="shared" si="700"/>
        <v>79.872</v>
      </c>
      <c r="O6176" s="175" t="str">
        <f t="shared" si="701"/>
        <v>Oct</v>
      </c>
      <c r="P6176" s="265">
        <f t="shared" si="702"/>
        <v>41</v>
      </c>
    </row>
    <row r="6177" spans="1:16" ht="15" hidden="1" customHeight="1">
      <c r="A6177" s="489">
        <v>64403170</v>
      </c>
      <c r="B6177" s="489" t="s">
        <v>137</v>
      </c>
      <c r="C6177" s="488">
        <v>16224</v>
      </c>
      <c r="D6177" s="597">
        <v>46307</v>
      </c>
      <c r="E6177" s="489" t="s">
        <v>1031</v>
      </c>
      <c r="F6177" s="489" t="s">
        <v>1223</v>
      </c>
      <c r="G6177" s="395">
        <f>VLOOKUP($A6177,'Tech Litons'!$A:$I,8,FALSE)</f>
        <v>2.16E-3</v>
      </c>
      <c r="H6177" s="174">
        <f>VLOOKUP($A6177,'Tech Litons'!$A:$I,9,FALSE)</f>
        <v>195</v>
      </c>
      <c r="I6177" s="174" t="str">
        <f>VLOOKUP($A6177,'Tech Litons'!$A:$C,3,0)</f>
        <v>Facepieces</v>
      </c>
      <c r="J6177" s="175" t="str">
        <f t="shared" si="697"/>
        <v>TurkeyFacepieces</v>
      </c>
      <c r="K6177" s="176">
        <f>VLOOKUP(I6177,'Attain %'!A:B,2,0)</f>
        <v>0.96</v>
      </c>
      <c r="L6177" s="177">
        <f t="shared" si="698"/>
        <v>15575.039999999999</v>
      </c>
      <c r="M6177" s="177">
        <f t="shared" si="699"/>
        <v>33.642086399999997</v>
      </c>
      <c r="N6177" s="177">
        <f t="shared" si="700"/>
        <v>79.872</v>
      </c>
      <c r="O6177" s="175" t="str">
        <f t="shared" si="701"/>
        <v>Oct</v>
      </c>
      <c r="P6177" s="265">
        <f t="shared" si="702"/>
        <v>42</v>
      </c>
    </row>
    <row r="6178" spans="1:16" ht="15" hidden="1" customHeight="1">
      <c r="A6178" s="489">
        <v>69986509</v>
      </c>
      <c r="B6178" s="489">
        <v>5914</v>
      </c>
      <c r="C6178" s="488">
        <v>16240</v>
      </c>
      <c r="D6178" s="597">
        <v>46132</v>
      </c>
      <c r="E6178" s="489" t="s">
        <v>530</v>
      </c>
      <c r="F6178" s="489" t="s">
        <v>1244</v>
      </c>
      <c r="G6178" s="395">
        <f>VLOOKUP($A6178,'Tech Litons'!$A:$I,8,FALSE)</f>
        <v>3.7839999999999996E-3</v>
      </c>
      <c r="H6178" s="174">
        <f>VLOOKUP($A6178,'Tech Litons'!$A:$I,9,FALSE)</f>
        <v>240</v>
      </c>
      <c r="I6178" s="174" t="str">
        <f>VLOOKUP($A6178,'Tech Litons'!$A:$C,3,0)</f>
        <v>BJ PTS</v>
      </c>
      <c r="J6178" s="175" t="str">
        <f t="shared" si="697"/>
        <v>5914BJ PTS</v>
      </c>
      <c r="K6178" s="176">
        <f>VLOOKUP(I6178,'Attain %'!A:B,2,0)</f>
        <v>0.95</v>
      </c>
      <c r="L6178" s="177">
        <f t="shared" si="698"/>
        <v>15428</v>
      </c>
      <c r="M6178" s="177">
        <f t="shared" si="699"/>
        <v>58.379551999999997</v>
      </c>
      <c r="N6178" s="177">
        <f t="shared" si="700"/>
        <v>64.283333333333331</v>
      </c>
      <c r="O6178" s="175" t="str">
        <f t="shared" si="701"/>
        <v>Apr</v>
      </c>
      <c r="P6178" s="265">
        <f t="shared" si="702"/>
        <v>17</v>
      </c>
    </row>
    <row r="6179" spans="1:16" ht="15" hidden="1" customHeight="1">
      <c r="A6179" s="489">
        <v>64392287</v>
      </c>
      <c r="B6179" s="489">
        <v>1712</v>
      </c>
      <c r="C6179" s="488">
        <v>16320</v>
      </c>
      <c r="D6179" s="597">
        <v>46167</v>
      </c>
      <c r="E6179" s="489" t="s">
        <v>564</v>
      </c>
      <c r="F6179" s="489" t="s">
        <v>1221</v>
      </c>
      <c r="G6179" s="395">
        <f>VLOOKUP($A6179,'Tech Litons'!$A:$I,8,FALSE)</f>
        <v>2.8319999999999999E-3</v>
      </c>
      <c r="H6179" s="174">
        <f>VLOOKUP($A6179,'Tech Litons'!$A:$I,9,FALSE)</f>
        <v>132</v>
      </c>
      <c r="I6179" s="174" t="str">
        <f>VLOOKUP($A6179,'Tech Litons'!$A:$C,3,0)</f>
        <v>ESS</v>
      </c>
      <c r="J6179" s="175" t="str">
        <f t="shared" si="697"/>
        <v>1712ESS</v>
      </c>
      <c r="K6179" s="176">
        <f>VLOOKUP(I6179,'Attain %'!A:B,2,0)</f>
        <v>0.96</v>
      </c>
      <c r="L6179" s="177">
        <f t="shared" si="698"/>
        <v>15667.199999999999</v>
      </c>
      <c r="M6179" s="177">
        <f t="shared" si="699"/>
        <v>44.369510399999996</v>
      </c>
      <c r="N6179" s="177">
        <f t="shared" si="700"/>
        <v>118.69090909090909</v>
      </c>
      <c r="O6179" s="175" t="str">
        <f t="shared" si="701"/>
        <v>May</v>
      </c>
      <c r="P6179" s="265">
        <f t="shared" si="702"/>
        <v>22</v>
      </c>
    </row>
    <row r="6180" spans="1:16" ht="15" hidden="1" customHeight="1">
      <c r="A6180" s="489">
        <v>64979444</v>
      </c>
      <c r="B6180" s="489" t="s">
        <v>139</v>
      </c>
      <c r="C6180" s="488">
        <v>16342</v>
      </c>
      <c r="D6180" s="597">
        <v>46153</v>
      </c>
      <c r="E6180" s="489" t="s">
        <v>622</v>
      </c>
      <c r="F6180" s="489" t="s">
        <v>1223</v>
      </c>
      <c r="G6180" s="395">
        <f>VLOOKUP($A6180,'Tech Litons'!$A:$I,8,FALSE)</f>
        <v>2.16E-3</v>
      </c>
      <c r="H6180" s="174">
        <f>VLOOKUP($A6180,'Tech Litons'!$A:$I,9,FALSE)</f>
        <v>195</v>
      </c>
      <c r="I6180" s="174" t="str">
        <f>VLOOKUP($A6180,'Tech Litons'!$A:$C,3,0)</f>
        <v>Facepieces</v>
      </c>
      <c r="J6180" s="175" t="str">
        <f t="shared" si="697"/>
        <v>IncomFacepieces</v>
      </c>
      <c r="K6180" s="176">
        <f>VLOOKUP(I6180,'Attain %'!A:B,2,0)</f>
        <v>0.96</v>
      </c>
      <c r="L6180" s="177">
        <f t="shared" si="698"/>
        <v>15688.32</v>
      </c>
      <c r="M6180" s="177">
        <f t="shared" si="699"/>
        <v>33.886771199999998</v>
      </c>
      <c r="N6180" s="177">
        <f t="shared" si="700"/>
        <v>80.452923076923071</v>
      </c>
      <c r="O6180" s="175" t="str">
        <f t="shared" si="701"/>
        <v>May</v>
      </c>
      <c r="P6180" s="265">
        <f t="shared" si="702"/>
        <v>20</v>
      </c>
    </row>
    <row r="6181" spans="1:16" ht="15" hidden="1" customHeight="1">
      <c r="A6181" s="489">
        <v>64979444</v>
      </c>
      <c r="B6181" s="489" t="s">
        <v>139</v>
      </c>
      <c r="C6181" s="488">
        <v>16342</v>
      </c>
      <c r="D6181" s="597">
        <v>46244</v>
      </c>
      <c r="E6181" s="489" t="s">
        <v>622</v>
      </c>
      <c r="F6181" s="489" t="s">
        <v>1223</v>
      </c>
      <c r="G6181" s="395">
        <f>VLOOKUP($A6181,'Tech Litons'!$A:$I,8,FALSE)</f>
        <v>2.16E-3</v>
      </c>
      <c r="H6181" s="174">
        <f>VLOOKUP($A6181,'Tech Litons'!$A:$I,9,FALSE)</f>
        <v>195</v>
      </c>
      <c r="I6181" s="174" t="str">
        <f>VLOOKUP($A6181,'Tech Litons'!$A:$C,3,0)</f>
        <v>Facepieces</v>
      </c>
      <c r="J6181" s="175" t="str">
        <f t="shared" si="697"/>
        <v>IncomFacepieces</v>
      </c>
      <c r="K6181" s="176">
        <f>VLOOKUP(I6181,'Attain %'!A:B,2,0)</f>
        <v>0.96</v>
      </c>
      <c r="L6181" s="177">
        <f t="shared" si="698"/>
        <v>15688.32</v>
      </c>
      <c r="M6181" s="177">
        <f t="shared" si="699"/>
        <v>33.886771199999998</v>
      </c>
      <c r="N6181" s="177">
        <f t="shared" si="700"/>
        <v>80.452923076923071</v>
      </c>
      <c r="O6181" s="175" t="str">
        <f t="shared" si="701"/>
        <v>Aug</v>
      </c>
      <c r="P6181" s="265">
        <f t="shared" si="702"/>
        <v>33</v>
      </c>
    </row>
    <row r="6182" spans="1:16" ht="15" hidden="1" customHeight="1">
      <c r="A6182" s="489">
        <v>68852591</v>
      </c>
      <c r="B6182" s="489">
        <v>2904</v>
      </c>
      <c r="C6182" s="488">
        <v>16500</v>
      </c>
      <c r="D6182" s="597">
        <v>46111</v>
      </c>
      <c r="E6182" s="489" t="s">
        <v>326</v>
      </c>
      <c r="F6182" s="489" t="s">
        <v>1234</v>
      </c>
      <c r="G6182" s="395">
        <f>VLOOKUP($A6182,'Tech Litons'!$A:$I,8,FALSE)</f>
        <v>8.5199999999999998E-3</v>
      </c>
      <c r="H6182" s="174">
        <f>VLOOKUP($A6182,'Tech Litons'!$A:$I,9,FALSE)</f>
        <v>132</v>
      </c>
      <c r="I6182" s="174" t="str">
        <f>VLOOKUP($A6182,'Tech Litons'!$A:$C,3,0)</f>
        <v>EDF</v>
      </c>
      <c r="J6182" s="175" t="str">
        <f t="shared" si="697"/>
        <v>2904EDF</v>
      </c>
      <c r="K6182" s="176">
        <f>VLOOKUP(I6182,'Attain %'!A:B,2,0)</f>
        <v>0.96</v>
      </c>
      <c r="L6182" s="177">
        <f t="shared" si="698"/>
        <v>15840</v>
      </c>
      <c r="M6182" s="177">
        <f t="shared" si="699"/>
        <v>134.95679999999999</v>
      </c>
      <c r="N6182" s="177">
        <f t="shared" si="700"/>
        <v>120</v>
      </c>
      <c r="O6182" s="175" t="str">
        <f t="shared" si="701"/>
        <v>Mar</v>
      </c>
      <c r="P6182" s="265">
        <f t="shared" si="702"/>
        <v>14</v>
      </c>
    </row>
    <row r="6183" spans="1:16" ht="15" hidden="1" customHeight="1">
      <c r="A6183" s="489">
        <v>68852591</v>
      </c>
      <c r="B6183" s="489">
        <v>2904</v>
      </c>
      <c r="D6183" s="597">
        <v>46111</v>
      </c>
      <c r="E6183" s="489" t="s">
        <v>326</v>
      </c>
      <c r="F6183" s="489" t="s">
        <v>1234</v>
      </c>
      <c r="G6183" s="395">
        <f>VLOOKUP($A6183,'Tech Litons'!$A:$I,8,FALSE)</f>
        <v>8.5199999999999998E-3</v>
      </c>
      <c r="H6183" s="174">
        <f>VLOOKUP($A6183,'Tech Litons'!$A:$I,9,FALSE)</f>
        <v>132</v>
      </c>
      <c r="I6183" s="174" t="str">
        <f>VLOOKUP($A6183,'Tech Litons'!$A:$C,3,0)</f>
        <v>EDF</v>
      </c>
      <c r="J6183" s="175" t="str">
        <f t="shared" si="697"/>
        <v>2904EDF</v>
      </c>
      <c r="K6183" s="176">
        <f>VLOOKUP(I6183,'Attain %'!A:B,2,0)</f>
        <v>0.96</v>
      </c>
      <c r="L6183" s="177">
        <f t="shared" si="698"/>
        <v>0</v>
      </c>
      <c r="M6183" s="177">
        <f t="shared" si="699"/>
        <v>0</v>
      </c>
      <c r="N6183" s="177">
        <f t="shared" si="700"/>
        <v>0</v>
      </c>
      <c r="O6183" s="175" t="str">
        <f t="shared" si="701"/>
        <v>Mar</v>
      </c>
      <c r="P6183" s="265">
        <f t="shared" si="702"/>
        <v>14</v>
      </c>
    </row>
    <row r="6184" spans="1:16" ht="15" hidden="1" customHeight="1">
      <c r="A6184" s="489">
        <v>84154487</v>
      </c>
      <c r="B6184" s="489">
        <v>5911</v>
      </c>
      <c r="C6184" s="488">
        <v>16500</v>
      </c>
      <c r="D6184" s="597">
        <v>46132</v>
      </c>
      <c r="E6184" s="489" t="s">
        <v>389</v>
      </c>
      <c r="F6184" s="489" t="s">
        <v>1242</v>
      </c>
      <c r="G6184" s="395">
        <f>VLOOKUP($A6184,'Tech Litons'!$A:$I,8,FALSE)</f>
        <v>3.7839999999999996E-3</v>
      </c>
      <c r="H6184" s="174">
        <f>VLOOKUP($A6184,'Tech Litons'!$A:$I,9,FALSE)</f>
        <v>240</v>
      </c>
      <c r="I6184" s="174" t="str">
        <f>VLOOKUP($A6184,'Tech Litons'!$A:$C,3,0)</f>
        <v>BJ PTS</v>
      </c>
      <c r="J6184" s="175" t="str">
        <f t="shared" si="697"/>
        <v>5911BJ PTS</v>
      </c>
      <c r="K6184" s="176">
        <f>VLOOKUP(I6184,'Attain %'!A:B,2,0)</f>
        <v>0.95</v>
      </c>
      <c r="L6184" s="177">
        <f t="shared" si="698"/>
        <v>15675</v>
      </c>
      <c r="M6184" s="177">
        <f t="shared" si="699"/>
        <v>59.314199999999992</v>
      </c>
      <c r="N6184" s="177">
        <f t="shared" si="700"/>
        <v>65.3125</v>
      </c>
      <c r="O6184" s="175" t="str">
        <f t="shared" si="701"/>
        <v>Apr</v>
      </c>
      <c r="P6184" s="265">
        <f t="shared" si="702"/>
        <v>17</v>
      </c>
    </row>
    <row r="6185" spans="1:16" ht="15" hidden="1" customHeight="1">
      <c r="A6185" s="489">
        <v>65489676</v>
      </c>
      <c r="B6185" s="489">
        <v>1717</v>
      </c>
      <c r="C6185" s="488">
        <v>16668</v>
      </c>
      <c r="D6185" s="597">
        <v>46139</v>
      </c>
      <c r="E6185" s="489" t="s">
        <v>1224</v>
      </c>
      <c r="F6185" s="489" t="s">
        <v>1221</v>
      </c>
      <c r="G6185" s="395">
        <f>VLOOKUP($A6185,'Tech Litons'!$A:$I,8,FALSE)</f>
        <v>2.8319999999999999E-3</v>
      </c>
      <c r="H6185" s="174">
        <f>VLOOKUP($A6185,'Tech Litons'!$A:$I,9,FALSE)</f>
        <v>221</v>
      </c>
      <c r="I6185" s="174" t="str">
        <f>VLOOKUP($A6185,'Tech Litons'!$A:$C,3,0)</f>
        <v>Other</v>
      </c>
      <c r="J6185" s="175" t="str">
        <f t="shared" si="697"/>
        <v>1717Other</v>
      </c>
      <c r="K6185" s="176">
        <f>VLOOKUP(I6185,'Attain %'!A:B,2,0)</f>
        <v>0.96</v>
      </c>
      <c r="L6185" s="177">
        <f t="shared" si="698"/>
        <v>16001.279999999999</v>
      </c>
      <c r="M6185" s="177">
        <f t="shared" si="699"/>
        <v>45.315624959999994</v>
      </c>
      <c r="N6185" s="177">
        <f t="shared" si="700"/>
        <v>72.403981900452479</v>
      </c>
      <c r="O6185" s="175" t="str">
        <f t="shared" si="701"/>
        <v>Apr</v>
      </c>
      <c r="P6185" s="265">
        <f t="shared" si="702"/>
        <v>18</v>
      </c>
    </row>
    <row r="6186" spans="1:16" ht="15" hidden="1" customHeight="1">
      <c r="A6186" s="489">
        <v>64874631</v>
      </c>
      <c r="B6186" s="489">
        <v>3910</v>
      </c>
      <c r="C6186" s="488">
        <v>16692</v>
      </c>
      <c r="D6186" s="597">
        <v>46132</v>
      </c>
      <c r="E6186" s="489" t="s">
        <v>554</v>
      </c>
      <c r="F6186" s="489" t="s">
        <v>1335</v>
      </c>
      <c r="G6186" s="395">
        <f>VLOOKUP($A6186,'Tech Litons'!$A:$I,8,FALSE)</f>
        <v>2.8380000000000002E-3</v>
      </c>
      <c r="H6186" s="174">
        <f>VLOOKUP($A6186,'Tech Litons'!$A:$I,9,FALSE)</f>
        <v>189</v>
      </c>
      <c r="I6186" s="174" t="str">
        <f>VLOOKUP($A6186,'Tech Litons'!$A:$C,3,0)</f>
        <v>ESS</v>
      </c>
      <c r="J6186" s="175" t="str">
        <f t="shared" si="697"/>
        <v>3910ESS</v>
      </c>
      <c r="K6186" s="176">
        <f>VLOOKUP(I6186,'Attain %'!A:B,2,0)</f>
        <v>0.96</v>
      </c>
      <c r="L6186" s="177">
        <f t="shared" si="698"/>
        <v>16024.32</v>
      </c>
      <c r="M6186" s="177">
        <f t="shared" si="699"/>
        <v>45.477020160000002</v>
      </c>
      <c r="N6186" s="177">
        <f t="shared" si="700"/>
        <v>84.784761904761908</v>
      </c>
      <c r="O6186" s="175" t="str">
        <f t="shared" si="701"/>
        <v>Apr</v>
      </c>
      <c r="P6186" s="265">
        <f t="shared" si="702"/>
        <v>17</v>
      </c>
    </row>
    <row r="6187" spans="1:16" ht="15" hidden="1" customHeight="1">
      <c r="A6187" s="489">
        <v>62678153</v>
      </c>
      <c r="B6187" s="489">
        <v>5914</v>
      </c>
      <c r="C6187" s="488">
        <v>16800</v>
      </c>
      <c r="D6187" s="597">
        <v>46167</v>
      </c>
      <c r="E6187" s="489" t="s">
        <v>446</v>
      </c>
      <c r="F6187" s="489" t="s">
        <v>1246</v>
      </c>
      <c r="G6187" s="395">
        <f>VLOOKUP($A6187,'Tech Litons'!$A:$I,8,FALSE)</f>
        <v>3.7839999999999996E-3</v>
      </c>
      <c r="H6187" s="174">
        <f>VLOOKUP($A6187,'Tech Litons'!$A:$I,9,FALSE)</f>
        <v>240</v>
      </c>
      <c r="I6187" s="174" t="str">
        <f>VLOOKUP($A6187,'Tech Litons'!$A:$C,3,0)</f>
        <v>BJ PTS</v>
      </c>
      <c r="J6187" s="175" t="str">
        <f t="shared" si="697"/>
        <v>5914BJ PTS</v>
      </c>
      <c r="K6187" s="176">
        <f>VLOOKUP(I6187,'Attain %'!A:B,2,0)</f>
        <v>0.95</v>
      </c>
      <c r="L6187" s="177">
        <f t="shared" si="698"/>
        <v>15960</v>
      </c>
      <c r="M6187" s="177">
        <f t="shared" si="699"/>
        <v>60.392639999999993</v>
      </c>
      <c r="N6187" s="177">
        <f t="shared" si="700"/>
        <v>66.5</v>
      </c>
      <c r="O6187" s="175" t="str">
        <f t="shared" si="701"/>
        <v>May</v>
      </c>
      <c r="P6187" s="265">
        <f t="shared" si="702"/>
        <v>22</v>
      </c>
    </row>
    <row r="6188" spans="1:16" ht="15" hidden="1" customHeight="1">
      <c r="A6188" s="489">
        <v>84149990</v>
      </c>
      <c r="B6188" s="489">
        <v>5914</v>
      </c>
      <c r="C6188" s="488">
        <v>16800</v>
      </c>
      <c r="D6188" s="597">
        <v>46146</v>
      </c>
      <c r="E6188" s="489" t="s">
        <v>340</v>
      </c>
      <c r="F6188" s="489" t="s">
        <v>1247</v>
      </c>
      <c r="G6188" s="395">
        <f>VLOOKUP($A6188,'Tech Litons'!$A:$I,8,FALSE)</f>
        <v>3.6640000000000002E-3</v>
      </c>
      <c r="H6188" s="174">
        <f>VLOOKUP($A6188,'Tech Litons'!$A:$I,9,FALSE)</f>
        <v>240</v>
      </c>
      <c r="I6188" s="174" t="str">
        <f>VLOOKUP($A6188,'Tech Litons'!$A:$C,3,0)</f>
        <v>PTS Exports</v>
      </c>
      <c r="J6188" s="175" t="str">
        <f t="shared" si="697"/>
        <v>5914PTS Exports</v>
      </c>
      <c r="K6188" s="176">
        <f>VLOOKUP(I6188,'Attain %'!A:B,2,0)</f>
        <v>0.96</v>
      </c>
      <c r="L6188" s="177">
        <f t="shared" si="698"/>
        <v>16128</v>
      </c>
      <c r="M6188" s="177">
        <f t="shared" si="699"/>
        <v>59.092992000000002</v>
      </c>
      <c r="N6188" s="177">
        <f t="shared" si="700"/>
        <v>67.2</v>
      </c>
      <c r="O6188" s="175" t="str">
        <f t="shared" si="701"/>
        <v>May</v>
      </c>
      <c r="P6188" s="265">
        <f t="shared" si="702"/>
        <v>19</v>
      </c>
    </row>
    <row r="6189" spans="1:16" ht="15" hidden="1" customHeight="1">
      <c r="A6189" s="489">
        <v>67473912</v>
      </c>
      <c r="B6189" s="489">
        <v>5914</v>
      </c>
      <c r="C6189" s="488">
        <v>16800</v>
      </c>
      <c r="D6189" s="597">
        <v>46139</v>
      </c>
      <c r="E6189" s="489" t="s">
        <v>932</v>
      </c>
      <c r="F6189" s="489" t="s">
        <v>1246</v>
      </c>
      <c r="G6189" s="395">
        <f>VLOOKUP($A6189,'Tech Litons'!$A:$I,8,FALSE)</f>
        <v>3.6640000000000002E-3</v>
      </c>
      <c r="H6189" s="174">
        <f>VLOOKUP($A6189,'Tech Litons'!$A:$I,9,FALSE)</f>
        <v>240</v>
      </c>
      <c r="I6189" s="174" t="str">
        <f>VLOOKUP($A6189,'Tech Litons'!$A:$C,3,0)</f>
        <v>PTS Exports</v>
      </c>
      <c r="J6189" s="175" t="str">
        <f t="shared" si="697"/>
        <v>5914PTS Exports</v>
      </c>
      <c r="K6189" s="176">
        <f>VLOOKUP(I6189,'Attain %'!A:B,2,0)</f>
        <v>0.96</v>
      </c>
      <c r="L6189" s="177">
        <f t="shared" si="698"/>
        <v>16128</v>
      </c>
      <c r="M6189" s="177">
        <f t="shared" si="699"/>
        <v>59.092992000000002</v>
      </c>
      <c r="N6189" s="177">
        <f t="shared" si="700"/>
        <v>67.2</v>
      </c>
      <c r="O6189" s="175" t="str">
        <f t="shared" si="701"/>
        <v>Apr</v>
      </c>
      <c r="P6189" s="265">
        <f t="shared" si="702"/>
        <v>18</v>
      </c>
    </row>
    <row r="6190" spans="1:16" ht="15" hidden="1" customHeight="1">
      <c r="A6190" s="489">
        <v>68896054</v>
      </c>
      <c r="B6190" s="489">
        <v>1352</v>
      </c>
      <c r="C6190" s="488">
        <v>16920</v>
      </c>
      <c r="D6190" s="597">
        <v>46118</v>
      </c>
      <c r="E6190" s="489" t="s">
        <v>265</v>
      </c>
      <c r="F6190" s="489" t="s">
        <v>1208</v>
      </c>
      <c r="G6190" s="395">
        <f>VLOOKUP($A6190,'Tech Litons'!$A:$I,8,FALSE)</f>
        <v>8.5199999999999998E-3</v>
      </c>
      <c r="H6190" s="174">
        <f>VLOOKUP($A6190,'Tech Litons'!$A:$I,9,FALSE)</f>
        <v>176</v>
      </c>
      <c r="I6190" s="174" t="str">
        <f>VLOOKUP($A6190,'Tech Litons'!$A:$C,3,0)</f>
        <v>48oz</v>
      </c>
      <c r="J6190" s="175" t="str">
        <f t="shared" si="697"/>
        <v>135248oz</v>
      </c>
      <c r="K6190" s="176">
        <f>VLOOKUP(I6190,'Attain %'!A:B,2,0)</f>
        <v>0.94</v>
      </c>
      <c r="L6190" s="177">
        <f t="shared" si="698"/>
        <v>15904.8</v>
      </c>
      <c r="M6190" s="177">
        <f t="shared" si="699"/>
        <v>135.50889599999999</v>
      </c>
      <c r="N6190" s="177">
        <f t="shared" si="700"/>
        <v>90.36818181818181</v>
      </c>
      <c r="O6190" s="175" t="str">
        <f t="shared" si="701"/>
        <v>Apr</v>
      </c>
      <c r="P6190" s="265">
        <f t="shared" si="702"/>
        <v>15</v>
      </c>
    </row>
    <row r="6191" spans="1:16" ht="15" hidden="1" customHeight="1">
      <c r="A6191" s="489">
        <v>65549173</v>
      </c>
      <c r="B6191" s="489" t="s">
        <v>139</v>
      </c>
      <c r="C6191" s="488">
        <v>17000</v>
      </c>
      <c r="D6191" s="597">
        <v>46132</v>
      </c>
      <c r="E6191" s="489" t="s">
        <v>1189</v>
      </c>
      <c r="F6191" s="489" t="s">
        <v>1223</v>
      </c>
      <c r="G6191" s="395">
        <f>VLOOKUP($A6191,'Tech Litons'!$A:$I,8,FALSE)</f>
        <v>1.1999999999999999E-3</v>
      </c>
      <c r="H6191" s="174">
        <f>VLOOKUP($A6191,'Tech Litons'!$A:$I,9,FALSE)</f>
        <v>210</v>
      </c>
      <c r="I6191" s="174" t="str">
        <f>VLOOKUP($A6191,'Tech Litons'!$A:$C,3,0)</f>
        <v>Facepieces</v>
      </c>
      <c r="J6191" s="175" t="str">
        <f t="shared" si="697"/>
        <v>IncomFacepieces</v>
      </c>
      <c r="K6191" s="176">
        <f>VLOOKUP(I6191,'Attain %'!A:B,2,0)</f>
        <v>0.96</v>
      </c>
      <c r="L6191" s="177">
        <f t="shared" si="698"/>
        <v>16320</v>
      </c>
      <c r="M6191" s="177">
        <f t="shared" si="699"/>
        <v>19.584</v>
      </c>
      <c r="N6191" s="177">
        <f t="shared" si="700"/>
        <v>77.714285714285708</v>
      </c>
      <c r="O6191" s="175" t="str">
        <f t="shared" si="701"/>
        <v>Apr</v>
      </c>
      <c r="P6191" s="265">
        <f t="shared" si="702"/>
        <v>17</v>
      </c>
    </row>
    <row r="6192" spans="1:16" ht="15" hidden="1" customHeight="1">
      <c r="A6192" s="489">
        <v>65549173</v>
      </c>
      <c r="B6192" s="489" t="s">
        <v>139</v>
      </c>
      <c r="C6192" s="488">
        <v>17000</v>
      </c>
      <c r="D6192" s="597">
        <v>46139</v>
      </c>
      <c r="E6192" s="489" t="s">
        <v>1189</v>
      </c>
      <c r="F6192" s="489" t="s">
        <v>1223</v>
      </c>
      <c r="G6192" s="395">
        <f>VLOOKUP($A6192,'Tech Litons'!$A:$I,8,FALSE)</f>
        <v>1.1999999999999999E-3</v>
      </c>
      <c r="H6192" s="174">
        <f>VLOOKUP($A6192,'Tech Litons'!$A:$I,9,FALSE)</f>
        <v>210</v>
      </c>
      <c r="I6192" s="174" t="str">
        <f>VLOOKUP($A6192,'Tech Litons'!$A:$C,3,0)</f>
        <v>Facepieces</v>
      </c>
      <c r="J6192" s="175" t="str">
        <f t="shared" si="697"/>
        <v>IncomFacepieces</v>
      </c>
      <c r="K6192" s="176">
        <f>VLOOKUP(I6192,'Attain %'!A:B,2,0)</f>
        <v>0.96</v>
      </c>
      <c r="L6192" s="177">
        <f t="shared" si="698"/>
        <v>16320</v>
      </c>
      <c r="M6192" s="177">
        <f t="shared" si="699"/>
        <v>19.584</v>
      </c>
      <c r="N6192" s="177">
        <f t="shared" si="700"/>
        <v>77.714285714285708</v>
      </c>
      <c r="O6192" s="175" t="str">
        <f t="shared" si="701"/>
        <v>Apr</v>
      </c>
      <c r="P6192" s="265">
        <f t="shared" si="702"/>
        <v>18</v>
      </c>
    </row>
    <row r="6193" spans="1:16" ht="15" hidden="1" customHeight="1">
      <c r="A6193" s="489">
        <v>64956417</v>
      </c>
      <c r="B6193" s="489" t="s">
        <v>139</v>
      </c>
      <c r="C6193" s="488">
        <v>17160</v>
      </c>
      <c r="D6193" s="597">
        <v>46125</v>
      </c>
      <c r="E6193" s="489" t="s">
        <v>621</v>
      </c>
      <c r="F6193" s="489" t="s">
        <v>1223</v>
      </c>
      <c r="G6193" s="395">
        <f>VLOOKUP($A6193,'Tech Litons'!$A:$I,8,FALSE)</f>
        <v>2.16E-3</v>
      </c>
      <c r="H6193" s="174">
        <f>VLOOKUP($A6193,'Tech Litons'!$A:$I,9,FALSE)</f>
        <v>143</v>
      </c>
      <c r="I6193" s="174" t="str">
        <f>VLOOKUP($A6193,'Tech Litons'!$A:$C,3,0)</f>
        <v>Facepieces</v>
      </c>
      <c r="J6193" s="175" t="str">
        <f t="shared" si="697"/>
        <v>IncomFacepieces</v>
      </c>
      <c r="K6193" s="176">
        <f>VLOOKUP(I6193,'Attain %'!A:B,2,0)</f>
        <v>0.96</v>
      </c>
      <c r="L6193" s="177">
        <f t="shared" si="698"/>
        <v>16473.599999999999</v>
      </c>
      <c r="M6193" s="177">
        <f t="shared" si="699"/>
        <v>35.582975999999995</v>
      </c>
      <c r="N6193" s="177">
        <f t="shared" si="700"/>
        <v>115.19999999999999</v>
      </c>
      <c r="O6193" s="175" t="str">
        <f t="shared" si="701"/>
        <v>Apr</v>
      </c>
      <c r="P6193" s="265">
        <f t="shared" si="702"/>
        <v>16</v>
      </c>
    </row>
    <row r="6194" spans="1:16" ht="15" hidden="1" customHeight="1">
      <c r="A6194" s="489">
        <v>64988054</v>
      </c>
      <c r="B6194" s="489">
        <v>1716</v>
      </c>
      <c r="C6194" s="488">
        <v>17183</v>
      </c>
      <c r="D6194" s="597">
        <v>46111</v>
      </c>
      <c r="E6194" s="489" t="s">
        <v>600</v>
      </c>
      <c r="F6194" s="489" t="s">
        <v>1221</v>
      </c>
      <c r="G6194" s="395">
        <f>VLOOKUP($A6194,'Tech Litons'!$A:$I,8,FALSE)</f>
        <v>2.3999999999999998E-3</v>
      </c>
      <c r="H6194" s="174">
        <f>VLOOKUP($A6194,'Tech Litons'!$A:$I,9,FALSE)</f>
        <v>165</v>
      </c>
      <c r="I6194" s="174" t="str">
        <f>VLOOKUP($A6194,'Tech Litons'!$A:$C,3,0)</f>
        <v>BJ Bars</v>
      </c>
      <c r="J6194" s="175" t="str">
        <f t="shared" si="697"/>
        <v>1716BJ Bars</v>
      </c>
      <c r="K6194" s="176">
        <f>VLOOKUP(I6194,'Attain %'!A:B,2,0)</f>
        <v>0.96</v>
      </c>
      <c r="L6194" s="177">
        <f t="shared" si="698"/>
        <v>16495.68</v>
      </c>
      <c r="M6194" s="177">
        <f t="shared" si="699"/>
        <v>39.589631999999995</v>
      </c>
      <c r="N6194" s="177">
        <f t="shared" si="700"/>
        <v>99.973818181818189</v>
      </c>
      <c r="O6194" s="175" t="str">
        <f t="shared" si="701"/>
        <v>Mar</v>
      </c>
      <c r="P6194" s="265">
        <f t="shared" si="702"/>
        <v>14</v>
      </c>
    </row>
    <row r="6195" spans="1:16" ht="15" hidden="1" customHeight="1">
      <c r="A6195" s="489">
        <v>64973976</v>
      </c>
      <c r="B6195" s="489">
        <v>1712</v>
      </c>
      <c r="C6195" s="488">
        <v>17280</v>
      </c>
      <c r="D6195" s="597">
        <v>46258</v>
      </c>
      <c r="E6195" s="489" t="s">
        <v>1190</v>
      </c>
      <c r="F6195" s="489" t="s">
        <v>1221</v>
      </c>
      <c r="G6195" s="395">
        <f>VLOOKUP($A6195,'Tech Litons'!$A:$I,8,FALSE)</f>
        <v>1.0644000000000001E-3</v>
      </c>
      <c r="H6195" s="174">
        <f>VLOOKUP($A6195,'Tech Litons'!$A:$I,9,FALSE)</f>
        <v>190</v>
      </c>
      <c r="I6195" s="174" t="str">
        <f>VLOOKUP($A6195,'Tech Litons'!$A:$C,3,0)</f>
        <v>BR Minicups</v>
      </c>
      <c r="J6195" s="175" t="str">
        <f t="shared" si="697"/>
        <v>1712BR Minicups</v>
      </c>
      <c r="K6195" s="176">
        <f>VLOOKUP(I6195,'Attain %'!A:B,2,0)</f>
        <v>0.96</v>
      </c>
      <c r="L6195" s="177">
        <f t="shared" si="698"/>
        <v>16588.8</v>
      </c>
      <c r="M6195" s="177">
        <f t="shared" si="699"/>
        <v>17.65711872</v>
      </c>
      <c r="N6195" s="177">
        <f t="shared" si="700"/>
        <v>87.309473684210516</v>
      </c>
      <c r="O6195" s="175" t="str">
        <f t="shared" si="701"/>
        <v>Aug</v>
      </c>
      <c r="P6195" s="265">
        <f t="shared" si="702"/>
        <v>35</v>
      </c>
    </row>
    <row r="6196" spans="1:16" ht="15" hidden="1" customHeight="1">
      <c r="A6196" s="489">
        <v>64973976</v>
      </c>
      <c r="B6196" s="489">
        <v>1712</v>
      </c>
      <c r="C6196" s="488">
        <v>17280</v>
      </c>
      <c r="D6196" s="597">
        <v>46272</v>
      </c>
      <c r="E6196" s="489" t="s">
        <v>1190</v>
      </c>
      <c r="F6196" s="489" t="s">
        <v>1221</v>
      </c>
      <c r="G6196" s="395">
        <f>VLOOKUP($A6196,'Tech Litons'!$A:$I,8,FALSE)</f>
        <v>1.0644000000000001E-3</v>
      </c>
      <c r="H6196" s="174">
        <f>VLOOKUP($A6196,'Tech Litons'!$A:$I,9,FALSE)</f>
        <v>190</v>
      </c>
      <c r="I6196" s="174" t="str">
        <f>VLOOKUP($A6196,'Tech Litons'!$A:$C,3,0)</f>
        <v>BR Minicups</v>
      </c>
      <c r="J6196" s="175" t="str">
        <f t="shared" si="697"/>
        <v>1712BR Minicups</v>
      </c>
      <c r="K6196" s="176">
        <f>VLOOKUP(I6196,'Attain %'!A:B,2,0)</f>
        <v>0.96</v>
      </c>
      <c r="L6196" s="177">
        <f t="shared" si="698"/>
        <v>16588.8</v>
      </c>
      <c r="M6196" s="177">
        <f t="shared" si="699"/>
        <v>17.65711872</v>
      </c>
      <c r="N6196" s="177">
        <f t="shared" si="700"/>
        <v>87.309473684210516</v>
      </c>
      <c r="O6196" s="175" t="str">
        <f t="shared" si="701"/>
        <v>Sep</v>
      </c>
      <c r="P6196" s="265">
        <f t="shared" si="702"/>
        <v>37</v>
      </c>
    </row>
    <row r="6197" spans="1:16" ht="15" hidden="1" customHeight="1">
      <c r="A6197" s="489">
        <v>62678151</v>
      </c>
      <c r="B6197" s="489">
        <v>5914</v>
      </c>
      <c r="C6197" s="488">
        <v>17280</v>
      </c>
      <c r="D6197" s="597">
        <v>46132</v>
      </c>
      <c r="E6197" s="489" t="s">
        <v>539</v>
      </c>
      <c r="F6197" s="489" t="s">
        <v>1244</v>
      </c>
      <c r="G6197" s="395">
        <f>VLOOKUP($A6197,'Tech Litons'!$A:$I,8,FALSE)</f>
        <v>3.7839999999999996E-3</v>
      </c>
      <c r="H6197" s="174">
        <f>VLOOKUP($A6197,'Tech Litons'!$A:$I,9,FALSE)</f>
        <v>240</v>
      </c>
      <c r="I6197" s="174" t="str">
        <f>VLOOKUP($A6197,'Tech Litons'!$A:$C,3,0)</f>
        <v>BJ PTS</v>
      </c>
      <c r="J6197" s="175" t="str">
        <f t="shared" si="697"/>
        <v>5914BJ PTS</v>
      </c>
      <c r="K6197" s="176">
        <f>VLOOKUP(I6197,'Attain %'!A:B,2,0)</f>
        <v>0.95</v>
      </c>
      <c r="L6197" s="177">
        <f t="shared" si="698"/>
        <v>16416</v>
      </c>
      <c r="M6197" s="177">
        <f t="shared" si="699"/>
        <v>62.118143999999994</v>
      </c>
      <c r="N6197" s="177">
        <f t="shared" si="700"/>
        <v>68.400000000000006</v>
      </c>
      <c r="O6197" s="175" t="str">
        <f t="shared" si="701"/>
        <v>Apr</v>
      </c>
      <c r="P6197" s="265">
        <f t="shared" si="702"/>
        <v>17</v>
      </c>
    </row>
    <row r="6198" spans="1:16" ht="15" hidden="1" customHeight="1">
      <c r="A6198" s="489">
        <v>64387483</v>
      </c>
      <c r="B6198" s="489">
        <v>5914</v>
      </c>
      <c r="C6198" s="488">
        <v>17280</v>
      </c>
      <c r="D6198" s="597">
        <v>46132</v>
      </c>
      <c r="E6198" s="489" t="s">
        <v>493</v>
      </c>
      <c r="F6198" s="489" t="s">
        <v>1244</v>
      </c>
      <c r="G6198" s="395">
        <f>VLOOKUP($A6198,'Tech Litons'!$A:$I,8,FALSE)</f>
        <v>3.7839999999999996E-3</v>
      </c>
      <c r="H6198" s="174">
        <f>VLOOKUP($A6198,'Tech Litons'!$A:$I,9,FALSE)</f>
        <v>240</v>
      </c>
      <c r="I6198" s="174" t="str">
        <f>VLOOKUP($A6198,'Tech Litons'!$A:$C,3,0)</f>
        <v>BJ PTS</v>
      </c>
      <c r="J6198" s="175" t="str">
        <f t="shared" si="697"/>
        <v>5914BJ PTS</v>
      </c>
      <c r="K6198" s="176">
        <f>VLOOKUP(I6198,'Attain %'!A:B,2,0)</f>
        <v>0.95</v>
      </c>
      <c r="L6198" s="177">
        <f t="shared" si="698"/>
        <v>16416</v>
      </c>
      <c r="M6198" s="177">
        <f t="shared" si="699"/>
        <v>62.118143999999994</v>
      </c>
      <c r="N6198" s="177">
        <f t="shared" si="700"/>
        <v>68.400000000000006</v>
      </c>
      <c r="O6198" s="175" t="str">
        <f t="shared" si="701"/>
        <v>Apr</v>
      </c>
      <c r="P6198" s="265">
        <f t="shared" si="702"/>
        <v>17</v>
      </c>
    </row>
    <row r="6199" spans="1:16" ht="15" hidden="1" customHeight="1">
      <c r="A6199" s="489">
        <v>64771676</v>
      </c>
      <c r="B6199" s="489" t="s">
        <v>139</v>
      </c>
      <c r="C6199" s="488">
        <v>17316</v>
      </c>
      <c r="D6199" s="597">
        <v>46237</v>
      </c>
      <c r="E6199" s="489" t="s">
        <v>619</v>
      </c>
      <c r="F6199" s="489" t="s">
        <v>1223</v>
      </c>
      <c r="G6199" s="395">
        <f>VLOOKUP($A6199,'Tech Litons'!$A:$I,8,FALSE)</f>
        <v>2.16E-3</v>
      </c>
      <c r="H6199" s="174">
        <f>VLOOKUP($A6199,'Tech Litons'!$A:$I,9,FALSE)</f>
        <v>195</v>
      </c>
      <c r="I6199" s="174" t="str">
        <f>VLOOKUP($A6199,'Tech Litons'!$A:$C,3,0)</f>
        <v>Facepieces</v>
      </c>
      <c r="J6199" s="175" t="str">
        <f t="shared" si="697"/>
        <v>IncomFacepieces</v>
      </c>
      <c r="K6199" s="176">
        <f>VLOOKUP(I6199,'Attain %'!A:B,2,0)</f>
        <v>0.96</v>
      </c>
      <c r="L6199" s="177">
        <f t="shared" si="698"/>
        <v>16623.36</v>
      </c>
      <c r="M6199" s="177">
        <f t="shared" si="699"/>
        <v>35.906457600000003</v>
      </c>
      <c r="N6199" s="177">
        <f t="shared" si="700"/>
        <v>85.248000000000005</v>
      </c>
      <c r="O6199" s="175" t="str">
        <f t="shared" si="701"/>
        <v>Aug</v>
      </c>
      <c r="P6199" s="265">
        <f t="shared" si="702"/>
        <v>32</v>
      </c>
    </row>
    <row r="6200" spans="1:16" ht="15" hidden="1" customHeight="1">
      <c r="A6200" s="489">
        <v>64979444</v>
      </c>
      <c r="B6200" s="489" t="s">
        <v>139</v>
      </c>
      <c r="C6200" s="488">
        <v>17316</v>
      </c>
      <c r="D6200" s="597">
        <v>46167</v>
      </c>
      <c r="E6200" s="489" t="s">
        <v>622</v>
      </c>
      <c r="F6200" s="489" t="s">
        <v>1223</v>
      </c>
      <c r="G6200" s="395">
        <f>VLOOKUP($A6200,'Tech Litons'!$A:$I,8,FALSE)</f>
        <v>2.16E-3</v>
      </c>
      <c r="H6200" s="174">
        <f>VLOOKUP($A6200,'Tech Litons'!$A:$I,9,FALSE)</f>
        <v>195</v>
      </c>
      <c r="I6200" s="174" t="str">
        <f>VLOOKUP($A6200,'Tech Litons'!$A:$C,3,0)</f>
        <v>Facepieces</v>
      </c>
      <c r="J6200" s="175" t="str">
        <f t="shared" ref="J6200:J6263" si="703">B6200&amp;I6200</f>
        <v>IncomFacepieces</v>
      </c>
      <c r="K6200" s="176">
        <f>VLOOKUP(I6200,'Attain %'!A:B,2,0)</f>
        <v>0.96</v>
      </c>
      <c r="L6200" s="177">
        <f t="shared" ref="L6200:L6263" si="704">C6200*$K6200</f>
        <v>16623.36</v>
      </c>
      <c r="M6200" s="177">
        <f t="shared" ref="M6200:M6263" si="705">L6200*G6200</f>
        <v>35.906457600000003</v>
      </c>
      <c r="N6200" s="177">
        <f t="shared" ref="N6200:N6263" si="706">L6200/H6200</f>
        <v>85.248000000000005</v>
      </c>
      <c r="O6200" s="175" t="str">
        <f t="shared" ref="O6200:O6263" si="707">TEXT(D6200,"MMM")</f>
        <v>May</v>
      </c>
      <c r="P6200" s="265">
        <f t="shared" ref="P6200:P6263" si="708">WEEKNUM(D6200)</f>
        <v>22</v>
      </c>
    </row>
    <row r="6201" spans="1:16" ht="15" hidden="1" customHeight="1">
      <c r="A6201" s="489">
        <v>64979444</v>
      </c>
      <c r="B6201" s="489" t="s">
        <v>139</v>
      </c>
      <c r="C6201" s="488">
        <v>17316</v>
      </c>
      <c r="D6201" s="597">
        <v>46188</v>
      </c>
      <c r="E6201" s="489" t="s">
        <v>622</v>
      </c>
      <c r="F6201" s="489" t="s">
        <v>1223</v>
      </c>
      <c r="G6201" s="395">
        <f>VLOOKUP($A6201,'Tech Litons'!$A:$I,8,FALSE)</f>
        <v>2.16E-3</v>
      </c>
      <c r="H6201" s="174">
        <f>VLOOKUP($A6201,'Tech Litons'!$A:$I,9,FALSE)</f>
        <v>195</v>
      </c>
      <c r="I6201" s="174" t="str">
        <f>VLOOKUP($A6201,'Tech Litons'!$A:$C,3,0)</f>
        <v>Facepieces</v>
      </c>
      <c r="J6201" s="175" t="str">
        <f t="shared" si="703"/>
        <v>IncomFacepieces</v>
      </c>
      <c r="K6201" s="176">
        <f>VLOOKUP(I6201,'Attain %'!A:B,2,0)</f>
        <v>0.96</v>
      </c>
      <c r="L6201" s="177">
        <f t="shared" si="704"/>
        <v>16623.36</v>
      </c>
      <c r="M6201" s="177">
        <f t="shared" si="705"/>
        <v>35.906457600000003</v>
      </c>
      <c r="N6201" s="177">
        <f t="shared" si="706"/>
        <v>85.248000000000005</v>
      </c>
      <c r="O6201" s="175" t="str">
        <f t="shared" si="707"/>
        <v>Jun</v>
      </c>
      <c r="P6201" s="265">
        <f t="shared" si="708"/>
        <v>25</v>
      </c>
    </row>
    <row r="6202" spans="1:16" ht="15" hidden="1" customHeight="1">
      <c r="A6202" s="489">
        <v>65468644</v>
      </c>
      <c r="B6202" s="489" t="s">
        <v>139</v>
      </c>
      <c r="C6202" s="488">
        <v>17480</v>
      </c>
      <c r="D6202" s="597">
        <v>46139</v>
      </c>
      <c r="E6202" s="489" t="s">
        <v>1291</v>
      </c>
      <c r="F6202" s="489" t="s">
        <v>1223</v>
      </c>
      <c r="G6202" s="395">
        <f>VLOOKUP($A6202,'Tech Litons'!$A:$I,8,FALSE)</f>
        <v>7.1999999999999994E-4</v>
      </c>
      <c r="H6202" s="174">
        <f>VLOOKUP($A6202,'Tech Litons'!$A:$I,9,FALSE)</f>
        <v>437</v>
      </c>
      <c r="I6202" s="174" t="str">
        <f>VLOOKUP($A6202,'Tech Litons'!$A:$C,3,0)</f>
        <v>Other</v>
      </c>
      <c r="J6202" s="175" t="str">
        <f t="shared" si="703"/>
        <v>IncomOther</v>
      </c>
      <c r="K6202" s="176">
        <f>VLOOKUP(I6202,'Attain %'!A:B,2,0)</f>
        <v>0.96</v>
      </c>
      <c r="L6202" s="177">
        <f t="shared" si="704"/>
        <v>16780.8</v>
      </c>
      <c r="M6202" s="177">
        <f t="shared" si="705"/>
        <v>12.082175999999999</v>
      </c>
      <c r="N6202" s="177">
        <f t="shared" si="706"/>
        <v>38.4</v>
      </c>
      <c r="O6202" s="175" t="str">
        <f t="shared" si="707"/>
        <v>Apr</v>
      </c>
      <c r="P6202" s="265">
        <f t="shared" si="708"/>
        <v>18</v>
      </c>
    </row>
    <row r="6203" spans="1:16" ht="15" hidden="1" customHeight="1">
      <c r="A6203" s="489">
        <v>69629468</v>
      </c>
      <c r="B6203" s="489">
        <v>1352</v>
      </c>
      <c r="D6203" s="597">
        <v>46111</v>
      </c>
      <c r="E6203" s="489" t="s">
        <v>291</v>
      </c>
      <c r="F6203" s="489" t="s">
        <v>1216</v>
      </c>
      <c r="G6203" s="395">
        <f>VLOOKUP($A6203,'Tech Litons'!$A:$I,8,FALSE)</f>
        <v>5.2680000000000001E-3</v>
      </c>
      <c r="H6203" s="174">
        <f>VLOOKUP($A6203,'Tech Litons'!$A:$I,9,FALSE)</f>
        <v>130</v>
      </c>
      <c r="I6203" s="174" t="str">
        <f>VLOOKUP($A6203,'Tech Litons'!$A:$C,3,0)</f>
        <v>PG</v>
      </c>
      <c r="J6203" s="175" t="str">
        <f t="shared" si="703"/>
        <v>1352PG</v>
      </c>
      <c r="K6203" s="176">
        <f>VLOOKUP(I6203,'Attain %'!A:B,2,0)</f>
        <v>0.96</v>
      </c>
      <c r="L6203" s="177">
        <f t="shared" si="704"/>
        <v>0</v>
      </c>
      <c r="M6203" s="177">
        <f t="shared" si="705"/>
        <v>0</v>
      </c>
      <c r="N6203" s="177">
        <f t="shared" si="706"/>
        <v>0</v>
      </c>
      <c r="O6203" s="175" t="str">
        <f t="shared" si="707"/>
        <v>Mar</v>
      </c>
      <c r="P6203" s="265">
        <f t="shared" si="708"/>
        <v>14</v>
      </c>
    </row>
    <row r="6204" spans="1:16" ht="15" hidden="1" customHeight="1">
      <c r="A6204" s="489">
        <v>69629468</v>
      </c>
      <c r="B6204" s="489">
        <v>1352</v>
      </c>
      <c r="C6204" s="488">
        <v>17760</v>
      </c>
      <c r="D6204" s="597">
        <v>46118</v>
      </c>
      <c r="E6204" s="489" t="s">
        <v>291</v>
      </c>
      <c r="F6204" s="489" t="s">
        <v>1216</v>
      </c>
      <c r="G6204" s="395">
        <f>VLOOKUP($A6204,'Tech Litons'!$A:$I,8,FALSE)</f>
        <v>5.2680000000000001E-3</v>
      </c>
      <c r="H6204" s="174">
        <f>VLOOKUP($A6204,'Tech Litons'!$A:$I,9,FALSE)</f>
        <v>130</v>
      </c>
      <c r="I6204" s="174" t="str">
        <f>VLOOKUP($A6204,'Tech Litons'!$A:$C,3,0)</f>
        <v>PG</v>
      </c>
      <c r="J6204" s="175" t="str">
        <f t="shared" si="703"/>
        <v>1352PG</v>
      </c>
      <c r="K6204" s="176">
        <f>VLOOKUP(I6204,'Attain %'!A:B,2,0)</f>
        <v>0.96</v>
      </c>
      <c r="L6204" s="177">
        <f t="shared" si="704"/>
        <v>17049.599999999999</v>
      </c>
      <c r="M6204" s="177">
        <f t="shared" si="705"/>
        <v>89.81729279999999</v>
      </c>
      <c r="N6204" s="177">
        <f t="shared" si="706"/>
        <v>131.15076923076921</v>
      </c>
      <c r="O6204" s="175" t="str">
        <f t="shared" si="707"/>
        <v>Apr</v>
      </c>
      <c r="P6204" s="265">
        <f t="shared" si="708"/>
        <v>15</v>
      </c>
    </row>
    <row r="6205" spans="1:16" ht="15" hidden="1" customHeight="1">
      <c r="A6205" s="489">
        <v>69629468</v>
      </c>
      <c r="B6205" s="489">
        <v>1352</v>
      </c>
      <c r="C6205" s="488">
        <v>17760</v>
      </c>
      <c r="D6205" s="597">
        <v>46125</v>
      </c>
      <c r="E6205" s="489" t="s">
        <v>291</v>
      </c>
      <c r="F6205" s="489" t="s">
        <v>1216</v>
      </c>
      <c r="G6205" s="395">
        <f>VLOOKUP($A6205,'Tech Litons'!$A:$I,8,FALSE)</f>
        <v>5.2680000000000001E-3</v>
      </c>
      <c r="H6205" s="174">
        <f>VLOOKUP($A6205,'Tech Litons'!$A:$I,9,FALSE)</f>
        <v>130</v>
      </c>
      <c r="I6205" s="174" t="str">
        <f>VLOOKUP($A6205,'Tech Litons'!$A:$C,3,0)</f>
        <v>PG</v>
      </c>
      <c r="J6205" s="175" t="str">
        <f t="shared" si="703"/>
        <v>1352PG</v>
      </c>
      <c r="K6205" s="176">
        <f>VLOOKUP(I6205,'Attain %'!A:B,2,0)</f>
        <v>0.96</v>
      </c>
      <c r="L6205" s="177">
        <f t="shared" si="704"/>
        <v>17049.599999999999</v>
      </c>
      <c r="M6205" s="177">
        <f t="shared" si="705"/>
        <v>89.81729279999999</v>
      </c>
      <c r="N6205" s="177">
        <f t="shared" si="706"/>
        <v>131.15076923076921</v>
      </c>
      <c r="O6205" s="175" t="str">
        <f t="shared" si="707"/>
        <v>Apr</v>
      </c>
      <c r="P6205" s="265">
        <f t="shared" si="708"/>
        <v>16</v>
      </c>
    </row>
    <row r="6206" spans="1:16" ht="15" hidden="1" customHeight="1">
      <c r="A6206" s="489">
        <v>69629468</v>
      </c>
      <c r="B6206" s="489">
        <v>1352</v>
      </c>
      <c r="C6206" s="488">
        <v>17760</v>
      </c>
      <c r="D6206" s="597">
        <v>46132</v>
      </c>
      <c r="E6206" s="489" t="s">
        <v>291</v>
      </c>
      <c r="F6206" s="489" t="s">
        <v>1216</v>
      </c>
      <c r="G6206" s="395">
        <f>VLOOKUP($A6206,'Tech Litons'!$A:$I,8,FALSE)</f>
        <v>5.2680000000000001E-3</v>
      </c>
      <c r="H6206" s="174">
        <f>VLOOKUP($A6206,'Tech Litons'!$A:$I,9,FALSE)</f>
        <v>130</v>
      </c>
      <c r="I6206" s="174" t="str">
        <f>VLOOKUP($A6206,'Tech Litons'!$A:$C,3,0)</f>
        <v>PG</v>
      </c>
      <c r="J6206" s="175" t="str">
        <f t="shared" si="703"/>
        <v>1352PG</v>
      </c>
      <c r="K6206" s="176">
        <f>VLOOKUP(I6206,'Attain %'!A:B,2,0)</f>
        <v>0.96</v>
      </c>
      <c r="L6206" s="177">
        <f t="shared" si="704"/>
        <v>17049.599999999999</v>
      </c>
      <c r="M6206" s="177">
        <f t="shared" si="705"/>
        <v>89.81729279999999</v>
      </c>
      <c r="N6206" s="177">
        <f t="shared" si="706"/>
        <v>131.15076923076921</v>
      </c>
      <c r="O6206" s="175" t="str">
        <f t="shared" si="707"/>
        <v>Apr</v>
      </c>
      <c r="P6206" s="265">
        <f t="shared" si="708"/>
        <v>17</v>
      </c>
    </row>
    <row r="6207" spans="1:16" ht="15" hidden="1" customHeight="1">
      <c r="A6207" s="489">
        <v>62678150</v>
      </c>
      <c r="B6207" s="489">
        <v>5914</v>
      </c>
      <c r="C6207" s="488">
        <v>17920</v>
      </c>
      <c r="D6207" s="597">
        <v>46132</v>
      </c>
      <c r="E6207" s="489" t="s">
        <v>491</v>
      </c>
      <c r="F6207" s="489" t="s">
        <v>1246</v>
      </c>
      <c r="G6207" s="395">
        <f>VLOOKUP($A6207,'Tech Litons'!$A:$I,8,FALSE)</f>
        <v>3.7839999999999996E-3</v>
      </c>
      <c r="H6207" s="174">
        <f>VLOOKUP($A6207,'Tech Litons'!$A:$I,9,FALSE)</f>
        <v>240</v>
      </c>
      <c r="I6207" s="174" t="str">
        <f>VLOOKUP($A6207,'Tech Litons'!$A:$C,3,0)</f>
        <v>BJ PTS</v>
      </c>
      <c r="J6207" s="175" t="str">
        <f t="shared" si="703"/>
        <v>5914BJ PTS</v>
      </c>
      <c r="K6207" s="176">
        <f>VLOOKUP(I6207,'Attain %'!A:B,2,0)</f>
        <v>0.95</v>
      </c>
      <c r="L6207" s="177">
        <f t="shared" si="704"/>
        <v>17024</v>
      </c>
      <c r="M6207" s="177">
        <f t="shared" si="705"/>
        <v>64.418815999999993</v>
      </c>
      <c r="N6207" s="177">
        <f t="shared" si="706"/>
        <v>70.933333333333337</v>
      </c>
      <c r="O6207" s="175" t="str">
        <f t="shared" si="707"/>
        <v>Apr</v>
      </c>
      <c r="P6207" s="265">
        <f t="shared" si="708"/>
        <v>17</v>
      </c>
    </row>
    <row r="6208" spans="1:16" ht="15" hidden="1" customHeight="1">
      <c r="A6208" s="489">
        <v>62678152</v>
      </c>
      <c r="B6208" s="489">
        <v>5914</v>
      </c>
      <c r="C6208" s="488">
        <v>17920</v>
      </c>
      <c r="D6208" s="597">
        <v>46125</v>
      </c>
      <c r="E6208" s="489" t="s">
        <v>465</v>
      </c>
      <c r="F6208" s="489" t="s">
        <v>1246</v>
      </c>
      <c r="G6208" s="395">
        <f>VLOOKUP($A6208,'Tech Litons'!$A:$I,8,FALSE)</f>
        <v>3.7839999999999996E-3</v>
      </c>
      <c r="H6208" s="174">
        <f>VLOOKUP($A6208,'Tech Litons'!$A:$I,9,FALSE)</f>
        <v>240</v>
      </c>
      <c r="I6208" s="174" t="str">
        <f>VLOOKUP($A6208,'Tech Litons'!$A:$C,3,0)</f>
        <v>BJ PTS</v>
      </c>
      <c r="J6208" s="175" t="str">
        <f t="shared" si="703"/>
        <v>5914BJ PTS</v>
      </c>
      <c r="K6208" s="176">
        <f>VLOOKUP(I6208,'Attain %'!A:B,2,0)</f>
        <v>0.95</v>
      </c>
      <c r="L6208" s="177">
        <f t="shared" si="704"/>
        <v>17024</v>
      </c>
      <c r="M6208" s="177">
        <f t="shared" si="705"/>
        <v>64.418815999999993</v>
      </c>
      <c r="N6208" s="177">
        <f t="shared" si="706"/>
        <v>70.933333333333337</v>
      </c>
      <c r="O6208" s="175" t="str">
        <f t="shared" si="707"/>
        <v>Apr</v>
      </c>
      <c r="P6208" s="265">
        <f t="shared" si="708"/>
        <v>16</v>
      </c>
    </row>
    <row r="6209" spans="1:16" ht="15" hidden="1" customHeight="1">
      <c r="A6209" s="489">
        <v>68741742</v>
      </c>
      <c r="B6209" s="489">
        <v>2904</v>
      </c>
      <c r="C6209" s="488">
        <v>18000</v>
      </c>
      <c r="D6209" s="597">
        <v>46146</v>
      </c>
      <c r="E6209" s="489" t="s">
        <v>288</v>
      </c>
      <c r="F6209" s="489" t="s">
        <v>1231</v>
      </c>
      <c r="G6209" s="395">
        <f>VLOOKUP($A6209,'Tech Litons'!$A:$I,8,FALSE)</f>
        <v>4.2560000000000002E-3</v>
      </c>
      <c r="H6209" s="174">
        <f>VLOOKUP($A6209,'Tech Litons'!$A:$I,9,FALSE)</f>
        <v>154</v>
      </c>
      <c r="I6209" s="174" t="str">
        <f>VLOOKUP($A6209,'Tech Litons'!$A:$C,3,0)</f>
        <v>MBG</v>
      </c>
      <c r="J6209" s="175" t="str">
        <f t="shared" si="703"/>
        <v>2904MBG</v>
      </c>
      <c r="K6209" s="176">
        <f>VLOOKUP(I6209,'Attain %'!A:B,2,0)</f>
        <v>0.96</v>
      </c>
      <c r="L6209" s="177">
        <f t="shared" si="704"/>
        <v>17280</v>
      </c>
      <c r="M6209" s="177">
        <f t="shared" si="705"/>
        <v>73.543680000000009</v>
      </c>
      <c r="N6209" s="177">
        <f t="shared" si="706"/>
        <v>112.20779220779221</v>
      </c>
      <c r="O6209" s="175" t="str">
        <f t="shared" si="707"/>
        <v>May</v>
      </c>
      <c r="P6209" s="265">
        <f t="shared" si="708"/>
        <v>19</v>
      </c>
    </row>
    <row r="6210" spans="1:16" ht="15" hidden="1" customHeight="1">
      <c r="A6210" s="489">
        <v>68741742</v>
      </c>
      <c r="B6210" s="489">
        <v>2904</v>
      </c>
      <c r="C6210" s="488">
        <v>18000</v>
      </c>
      <c r="D6210" s="597">
        <v>46153</v>
      </c>
      <c r="E6210" s="489" t="s">
        <v>288</v>
      </c>
      <c r="F6210" s="489" t="s">
        <v>1231</v>
      </c>
      <c r="G6210" s="395">
        <f>VLOOKUP($A6210,'Tech Litons'!$A:$I,8,FALSE)</f>
        <v>4.2560000000000002E-3</v>
      </c>
      <c r="H6210" s="174">
        <f>VLOOKUP($A6210,'Tech Litons'!$A:$I,9,FALSE)</f>
        <v>154</v>
      </c>
      <c r="I6210" s="174" t="str">
        <f>VLOOKUP($A6210,'Tech Litons'!$A:$C,3,0)</f>
        <v>MBG</v>
      </c>
      <c r="J6210" s="175" t="str">
        <f t="shared" si="703"/>
        <v>2904MBG</v>
      </c>
      <c r="K6210" s="176">
        <f>VLOOKUP(I6210,'Attain %'!A:B,2,0)</f>
        <v>0.96</v>
      </c>
      <c r="L6210" s="177">
        <f t="shared" si="704"/>
        <v>17280</v>
      </c>
      <c r="M6210" s="177">
        <f t="shared" si="705"/>
        <v>73.543680000000009</v>
      </c>
      <c r="N6210" s="177">
        <f t="shared" si="706"/>
        <v>112.20779220779221</v>
      </c>
      <c r="O6210" s="175" t="str">
        <f t="shared" si="707"/>
        <v>May</v>
      </c>
      <c r="P6210" s="265">
        <f t="shared" si="708"/>
        <v>20</v>
      </c>
    </row>
    <row r="6211" spans="1:16" ht="15" hidden="1" customHeight="1">
      <c r="A6211" s="489">
        <v>68741742</v>
      </c>
      <c r="B6211" s="489">
        <v>2904</v>
      </c>
      <c r="C6211" s="488">
        <v>18000</v>
      </c>
      <c r="D6211" s="597">
        <v>46160</v>
      </c>
      <c r="E6211" s="489" t="s">
        <v>288</v>
      </c>
      <c r="F6211" s="489" t="s">
        <v>1231</v>
      </c>
      <c r="G6211" s="395">
        <f>VLOOKUP($A6211,'Tech Litons'!$A:$I,8,FALSE)</f>
        <v>4.2560000000000002E-3</v>
      </c>
      <c r="H6211" s="174">
        <f>VLOOKUP($A6211,'Tech Litons'!$A:$I,9,FALSE)</f>
        <v>154</v>
      </c>
      <c r="I6211" s="174" t="str">
        <f>VLOOKUP($A6211,'Tech Litons'!$A:$C,3,0)</f>
        <v>MBG</v>
      </c>
      <c r="J6211" s="175" t="str">
        <f t="shared" si="703"/>
        <v>2904MBG</v>
      </c>
      <c r="K6211" s="176">
        <f>VLOOKUP(I6211,'Attain %'!A:B,2,0)</f>
        <v>0.96</v>
      </c>
      <c r="L6211" s="177">
        <f t="shared" si="704"/>
        <v>17280</v>
      </c>
      <c r="M6211" s="177">
        <f t="shared" si="705"/>
        <v>73.543680000000009</v>
      </c>
      <c r="N6211" s="177">
        <f t="shared" si="706"/>
        <v>112.20779220779221</v>
      </c>
      <c r="O6211" s="175" t="str">
        <f t="shared" si="707"/>
        <v>May</v>
      </c>
      <c r="P6211" s="265">
        <f t="shared" si="708"/>
        <v>21</v>
      </c>
    </row>
    <row r="6212" spans="1:16" ht="15" hidden="1" customHeight="1">
      <c r="A6212" s="489">
        <v>68741742</v>
      </c>
      <c r="B6212" s="489">
        <v>2904</v>
      </c>
      <c r="C6212" s="488">
        <v>18000</v>
      </c>
      <c r="D6212" s="597">
        <v>46167</v>
      </c>
      <c r="E6212" s="489" t="s">
        <v>288</v>
      </c>
      <c r="F6212" s="489" t="s">
        <v>1231</v>
      </c>
      <c r="G6212" s="395">
        <f>VLOOKUP($A6212,'Tech Litons'!$A:$I,8,FALSE)</f>
        <v>4.2560000000000002E-3</v>
      </c>
      <c r="H6212" s="174">
        <f>VLOOKUP($A6212,'Tech Litons'!$A:$I,9,FALSE)</f>
        <v>154</v>
      </c>
      <c r="I6212" s="174" t="str">
        <f>VLOOKUP($A6212,'Tech Litons'!$A:$C,3,0)</f>
        <v>MBG</v>
      </c>
      <c r="J6212" s="175" t="str">
        <f t="shared" si="703"/>
        <v>2904MBG</v>
      </c>
      <c r="K6212" s="176">
        <f>VLOOKUP(I6212,'Attain %'!A:B,2,0)</f>
        <v>0.96</v>
      </c>
      <c r="L6212" s="177">
        <f t="shared" si="704"/>
        <v>17280</v>
      </c>
      <c r="M6212" s="177">
        <f t="shared" si="705"/>
        <v>73.543680000000009</v>
      </c>
      <c r="N6212" s="177">
        <f t="shared" si="706"/>
        <v>112.20779220779221</v>
      </c>
      <c r="O6212" s="175" t="str">
        <f t="shared" si="707"/>
        <v>May</v>
      </c>
      <c r="P6212" s="265">
        <f t="shared" si="708"/>
        <v>22</v>
      </c>
    </row>
    <row r="6213" spans="1:16" ht="15" hidden="1" customHeight="1">
      <c r="A6213" s="489">
        <v>68746232</v>
      </c>
      <c r="B6213" s="489">
        <v>2904</v>
      </c>
      <c r="C6213" s="488">
        <v>18000</v>
      </c>
      <c r="D6213" s="597">
        <v>46118</v>
      </c>
      <c r="E6213" s="489" t="s">
        <v>508</v>
      </c>
      <c r="F6213" s="489" t="s">
        <v>1234</v>
      </c>
      <c r="G6213" s="395">
        <f>VLOOKUP($A6213,'Tech Litons'!$A:$I,8,FALSE)</f>
        <v>8.5199999999999998E-3</v>
      </c>
      <c r="H6213" s="174">
        <f>VLOOKUP($A6213,'Tech Litons'!$A:$I,9,FALSE)</f>
        <v>132</v>
      </c>
      <c r="I6213" s="174" t="str">
        <f>VLOOKUP($A6213,'Tech Litons'!$A:$C,3,0)</f>
        <v>EDF</v>
      </c>
      <c r="J6213" s="175" t="str">
        <f t="shared" si="703"/>
        <v>2904EDF</v>
      </c>
      <c r="K6213" s="176">
        <f>VLOOKUP(I6213,'Attain %'!A:B,2,0)</f>
        <v>0.96</v>
      </c>
      <c r="L6213" s="177">
        <f t="shared" si="704"/>
        <v>17280</v>
      </c>
      <c r="M6213" s="177">
        <f t="shared" si="705"/>
        <v>147.22559999999999</v>
      </c>
      <c r="N6213" s="177">
        <f t="shared" si="706"/>
        <v>130.90909090909091</v>
      </c>
      <c r="O6213" s="175" t="str">
        <f t="shared" si="707"/>
        <v>Apr</v>
      </c>
      <c r="P6213" s="265">
        <f t="shared" si="708"/>
        <v>15</v>
      </c>
    </row>
    <row r="6214" spans="1:16" ht="15" hidden="1" customHeight="1">
      <c r="A6214" s="489">
        <v>68746232</v>
      </c>
      <c r="B6214" s="489">
        <v>2904</v>
      </c>
      <c r="C6214" s="488">
        <v>18000</v>
      </c>
      <c r="D6214" s="597">
        <v>46125</v>
      </c>
      <c r="E6214" s="489" t="s">
        <v>508</v>
      </c>
      <c r="F6214" s="489" t="s">
        <v>1234</v>
      </c>
      <c r="G6214" s="395">
        <f>VLOOKUP($A6214,'Tech Litons'!$A:$I,8,FALSE)</f>
        <v>8.5199999999999998E-3</v>
      </c>
      <c r="H6214" s="174">
        <f>VLOOKUP($A6214,'Tech Litons'!$A:$I,9,FALSE)</f>
        <v>132</v>
      </c>
      <c r="I6214" s="174" t="str">
        <f>VLOOKUP($A6214,'Tech Litons'!$A:$C,3,0)</f>
        <v>EDF</v>
      </c>
      <c r="J6214" s="175" t="str">
        <f t="shared" si="703"/>
        <v>2904EDF</v>
      </c>
      <c r="K6214" s="176">
        <f>VLOOKUP(I6214,'Attain %'!A:B,2,0)</f>
        <v>0.96</v>
      </c>
      <c r="L6214" s="177">
        <f t="shared" si="704"/>
        <v>17280</v>
      </c>
      <c r="M6214" s="177">
        <f t="shared" si="705"/>
        <v>147.22559999999999</v>
      </c>
      <c r="N6214" s="177">
        <f t="shared" si="706"/>
        <v>130.90909090909091</v>
      </c>
      <c r="O6214" s="175" t="str">
        <f t="shared" si="707"/>
        <v>Apr</v>
      </c>
      <c r="P6214" s="265">
        <f t="shared" si="708"/>
        <v>16</v>
      </c>
    </row>
    <row r="6215" spans="1:16" ht="15" hidden="1" customHeight="1">
      <c r="A6215" s="489">
        <v>68851104</v>
      </c>
      <c r="B6215" s="489">
        <v>2904</v>
      </c>
      <c r="C6215" s="488">
        <v>18000</v>
      </c>
      <c r="D6215" s="597">
        <v>46125</v>
      </c>
      <c r="E6215" s="489" t="s">
        <v>270</v>
      </c>
      <c r="F6215" s="489" t="s">
        <v>1225</v>
      </c>
      <c r="G6215" s="395">
        <f>VLOOKUP($A6215,'Tech Litons'!$A:$I,8,FALSE)</f>
        <v>8.5199999999999998E-3</v>
      </c>
      <c r="H6215" s="174">
        <f>VLOOKUP($A6215,'Tech Litons'!$A:$I,9,FALSE)</f>
        <v>176</v>
      </c>
      <c r="I6215" s="174" t="str">
        <f>VLOOKUP($A6215,'Tech Litons'!$A:$C,3,0)</f>
        <v>48oz</v>
      </c>
      <c r="J6215" s="175" t="str">
        <f t="shared" si="703"/>
        <v>290448oz</v>
      </c>
      <c r="K6215" s="176">
        <f>VLOOKUP(I6215,'Attain %'!A:B,2,0)</f>
        <v>0.94</v>
      </c>
      <c r="L6215" s="177">
        <f t="shared" si="704"/>
        <v>16920</v>
      </c>
      <c r="M6215" s="177">
        <f t="shared" si="705"/>
        <v>144.1584</v>
      </c>
      <c r="N6215" s="177">
        <f t="shared" si="706"/>
        <v>96.13636363636364</v>
      </c>
      <c r="O6215" s="175" t="str">
        <f t="shared" si="707"/>
        <v>Apr</v>
      </c>
      <c r="P6215" s="265">
        <f t="shared" si="708"/>
        <v>16</v>
      </c>
    </row>
    <row r="6216" spans="1:16" ht="15" hidden="1" customHeight="1">
      <c r="A6216" s="489">
        <v>68852591</v>
      </c>
      <c r="B6216" s="489">
        <v>2904</v>
      </c>
      <c r="C6216" s="488">
        <v>18000</v>
      </c>
      <c r="D6216" s="597">
        <v>46132</v>
      </c>
      <c r="E6216" s="489" t="s">
        <v>326</v>
      </c>
      <c r="F6216" s="489" t="s">
        <v>1234</v>
      </c>
      <c r="G6216" s="395">
        <f>VLOOKUP($A6216,'Tech Litons'!$A:$I,8,FALSE)</f>
        <v>8.5199999999999998E-3</v>
      </c>
      <c r="H6216" s="174">
        <f>VLOOKUP($A6216,'Tech Litons'!$A:$I,9,FALSE)</f>
        <v>132</v>
      </c>
      <c r="I6216" s="174" t="str">
        <f>VLOOKUP($A6216,'Tech Litons'!$A:$C,3,0)</f>
        <v>EDF</v>
      </c>
      <c r="J6216" s="175" t="str">
        <f t="shared" si="703"/>
        <v>2904EDF</v>
      </c>
      <c r="K6216" s="176">
        <f>VLOOKUP(I6216,'Attain %'!A:B,2,0)</f>
        <v>0.96</v>
      </c>
      <c r="L6216" s="177">
        <f t="shared" si="704"/>
        <v>17280</v>
      </c>
      <c r="M6216" s="177">
        <f t="shared" si="705"/>
        <v>147.22559999999999</v>
      </c>
      <c r="N6216" s="177">
        <f t="shared" si="706"/>
        <v>130.90909090909091</v>
      </c>
      <c r="O6216" s="175" t="str">
        <f t="shared" si="707"/>
        <v>Apr</v>
      </c>
      <c r="P6216" s="265">
        <f t="shared" si="708"/>
        <v>17</v>
      </c>
    </row>
    <row r="6217" spans="1:16" ht="15" hidden="1" customHeight="1">
      <c r="A6217" s="489">
        <v>69999267</v>
      </c>
      <c r="B6217" s="489">
        <v>2904</v>
      </c>
      <c r="C6217" s="488">
        <v>18000</v>
      </c>
      <c r="D6217" s="597">
        <v>46167</v>
      </c>
      <c r="E6217" s="489" t="s">
        <v>335</v>
      </c>
      <c r="F6217" s="489" t="s">
        <v>1227</v>
      </c>
      <c r="G6217" s="395">
        <f>VLOOKUP($A6217,'Tech Litons'!$A:$I,8,FALSE)</f>
        <v>3.7839999999999996E-3</v>
      </c>
      <c r="H6217" s="174">
        <f>VLOOKUP($A6217,'Tech Litons'!$A:$I,9,FALSE)</f>
        <v>240</v>
      </c>
      <c r="I6217" s="174" t="str">
        <f>VLOOKUP($A6217,'Tech Litons'!$A:$C,3,0)</f>
        <v>BJ PTS</v>
      </c>
      <c r="J6217" s="175" t="str">
        <f t="shared" si="703"/>
        <v>2904BJ PTS</v>
      </c>
      <c r="K6217" s="176">
        <f>VLOOKUP(I6217,'Attain %'!A:B,2,0)</f>
        <v>0.95</v>
      </c>
      <c r="L6217" s="177">
        <f t="shared" si="704"/>
        <v>17100</v>
      </c>
      <c r="M6217" s="177">
        <f t="shared" si="705"/>
        <v>64.706399999999988</v>
      </c>
      <c r="N6217" s="177">
        <f t="shared" si="706"/>
        <v>71.25</v>
      </c>
      <c r="O6217" s="175" t="str">
        <f t="shared" si="707"/>
        <v>May</v>
      </c>
      <c r="P6217" s="265">
        <f t="shared" si="708"/>
        <v>22</v>
      </c>
    </row>
    <row r="6218" spans="1:16" ht="15" hidden="1" customHeight="1">
      <c r="A6218" s="489">
        <v>84163503</v>
      </c>
      <c r="B6218" s="489">
        <v>2904</v>
      </c>
      <c r="C6218" s="488">
        <v>18000</v>
      </c>
      <c r="D6218" s="597">
        <v>46153</v>
      </c>
      <c r="E6218" s="489" t="s">
        <v>517</v>
      </c>
      <c r="F6218" s="489" t="s">
        <v>1227</v>
      </c>
      <c r="G6218" s="395">
        <f>VLOOKUP($A6218,'Tech Litons'!$A:$I,8,FALSE)</f>
        <v>3.7853439999999999E-3</v>
      </c>
      <c r="H6218" s="174">
        <f>VLOOKUP($A6218,'Tech Litons'!$A:$I,9,FALSE)</f>
        <v>240</v>
      </c>
      <c r="I6218" s="174" t="str">
        <f>VLOOKUP($A6218,'Tech Litons'!$A:$C,3,0)</f>
        <v>BJ PTS</v>
      </c>
      <c r="J6218" s="175" t="str">
        <f t="shared" si="703"/>
        <v>2904BJ PTS</v>
      </c>
      <c r="K6218" s="176">
        <f>VLOOKUP(I6218,'Attain %'!A:B,2,0)</f>
        <v>0.95</v>
      </c>
      <c r="L6218" s="177">
        <f t="shared" si="704"/>
        <v>17100</v>
      </c>
      <c r="M6218" s="177">
        <f t="shared" si="705"/>
        <v>64.729382400000006</v>
      </c>
      <c r="N6218" s="177">
        <f t="shared" si="706"/>
        <v>71.25</v>
      </c>
      <c r="O6218" s="175" t="str">
        <f t="shared" si="707"/>
        <v>May</v>
      </c>
      <c r="P6218" s="265">
        <f t="shared" si="708"/>
        <v>20</v>
      </c>
    </row>
    <row r="6219" spans="1:16" ht="15" hidden="1" customHeight="1">
      <c r="A6219" s="489">
        <v>64771676</v>
      </c>
      <c r="B6219" s="489" t="s">
        <v>139</v>
      </c>
      <c r="C6219" s="488">
        <v>18624</v>
      </c>
      <c r="D6219" s="597">
        <v>46307</v>
      </c>
      <c r="E6219" s="489" t="s">
        <v>619</v>
      </c>
      <c r="F6219" s="489" t="s">
        <v>1223</v>
      </c>
      <c r="G6219" s="395">
        <f>VLOOKUP($A6219,'Tech Litons'!$A:$I,8,FALSE)</f>
        <v>2.16E-3</v>
      </c>
      <c r="H6219" s="174">
        <f>VLOOKUP($A6219,'Tech Litons'!$A:$I,9,FALSE)</f>
        <v>195</v>
      </c>
      <c r="I6219" s="174" t="str">
        <f>VLOOKUP($A6219,'Tech Litons'!$A:$C,3,0)</f>
        <v>Facepieces</v>
      </c>
      <c r="J6219" s="175" t="str">
        <f t="shared" si="703"/>
        <v>IncomFacepieces</v>
      </c>
      <c r="K6219" s="176">
        <f>VLOOKUP(I6219,'Attain %'!A:B,2,0)</f>
        <v>0.96</v>
      </c>
      <c r="L6219" s="177">
        <f t="shared" si="704"/>
        <v>17879.04</v>
      </c>
      <c r="M6219" s="177">
        <f t="shared" si="705"/>
        <v>38.6187264</v>
      </c>
      <c r="N6219" s="177">
        <f t="shared" si="706"/>
        <v>91.687384615384616</v>
      </c>
      <c r="O6219" s="175" t="str">
        <f t="shared" si="707"/>
        <v>Oct</v>
      </c>
      <c r="P6219" s="265">
        <f t="shared" si="708"/>
        <v>42</v>
      </c>
    </row>
    <row r="6220" spans="1:16" ht="15" hidden="1" customHeight="1">
      <c r="A6220" s="489">
        <v>69999269</v>
      </c>
      <c r="B6220" s="489">
        <v>5914</v>
      </c>
      <c r="C6220" s="488">
        <v>18640</v>
      </c>
      <c r="D6220" s="597">
        <v>46104</v>
      </c>
      <c r="E6220" s="489" t="s">
        <v>300</v>
      </c>
      <c r="F6220" s="489" t="s">
        <v>1246</v>
      </c>
      <c r="G6220" s="395">
        <f>VLOOKUP($A6220,'Tech Litons'!$A:$I,8,FALSE)</f>
        <v>3.7839999999999996E-3</v>
      </c>
      <c r="H6220" s="174">
        <f>VLOOKUP($A6220,'Tech Litons'!$A:$I,9,FALSE)</f>
        <v>240</v>
      </c>
      <c r="I6220" s="174" t="str">
        <f>VLOOKUP($A6220,'Tech Litons'!$A:$C,3,0)</f>
        <v>BJ PTS</v>
      </c>
      <c r="J6220" s="175" t="str">
        <f t="shared" si="703"/>
        <v>5914BJ PTS</v>
      </c>
      <c r="K6220" s="176">
        <f>VLOOKUP(I6220,'Attain %'!A:B,2,0)</f>
        <v>0.95</v>
      </c>
      <c r="L6220" s="177">
        <f t="shared" si="704"/>
        <v>17708</v>
      </c>
      <c r="M6220" s="177">
        <f t="shared" si="705"/>
        <v>67.007071999999994</v>
      </c>
      <c r="N6220" s="177">
        <f t="shared" si="706"/>
        <v>73.783333333333331</v>
      </c>
      <c r="O6220" s="175" t="str">
        <f t="shared" si="707"/>
        <v>Mar</v>
      </c>
      <c r="P6220" s="265">
        <f t="shared" si="708"/>
        <v>13</v>
      </c>
    </row>
    <row r="6221" spans="1:16" ht="15" hidden="1" customHeight="1">
      <c r="A6221" s="489">
        <v>64771676</v>
      </c>
      <c r="B6221" s="489" t="s">
        <v>139</v>
      </c>
      <c r="C6221" s="488">
        <v>18700</v>
      </c>
      <c r="D6221" s="597">
        <v>46272</v>
      </c>
      <c r="E6221" s="489" t="s">
        <v>619</v>
      </c>
      <c r="F6221" s="489" t="s">
        <v>1223</v>
      </c>
      <c r="G6221" s="395">
        <f>VLOOKUP($A6221,'Tech Litons'!$A:$I,8,FALSE)</f>
        <v>2.16E-3</v>
      </c>
      <c r="H6221" s="174">
        <f>VLOOKUP($A6221,'Tech Litons'!$A:$I,9,FALSE)</f>
        <v>195</v>
      </c>
      <c r="I6221" s="174" t="str">
        <f>VLOOKUP($A6221,'Tech Litons'!$A:$C,3,0)</f>
        <v>Facepieces</v>
      </c>
      <c r="J6221" s="175" t="str">
        <f t="shared" si="703"/>
        <v>IncomFacepieces</v>
      </c>
      <c r="K6221" s="176">
        <f>VLOOKUP(I6221,'Attain %'!A:B,2,0)</f>
        <v>0.96</v>
      </c>
      <c r="L6221" s="177">
        <f t="shared" si="704"/>
        <v>17952</v>
      </c>
      <c r="M6221" s="177">
        <f t="shared" si="705"/>
        <v>38.776319999999998</v>
      </c>
      <c r="N6221" s="177">
        <f t="shared" si="706"/>
        <v>92.061538461538461</v>
      </c>
      <c r="O6221" s="175" t="str">
        <f t="shared" si="707"/>
        <v>Sep</v>
      </c>
      <c r="P6221" s="265">
        <f t="shared" si="708"/>
        <v>37</v>
      </c>
    </row>
    <row r="6222" spans="1:16" ht="15" hidden="1" customHeight="1">
      <c r="A6222" s="489">
        <v>68741742</v>
      </c>
      <c r="B6222" s="489">
        <v>2904</v>
      </c>
      <c r="C6222" s="488">
        <v>18800</v>
      </c>
      <c r="D6222" s="597">
        <v>46111</v>
      </c>
      <c r="E6222" s="489" t="s">
        <v>288</v>
      </c>
      <c r="F6222" s="489" t="s">
        <v>1231</v>
      </c>
      <c r="G6222" s="395">
        <f>VLOOKUP($A6222,'Tech Litons'!$A:$I,8,FALSE)</f>
        <v>4.2560000000000002E-3</v>
      </c>
      <c r="H6222" s="174">
        <f>VLOOKUP($A6222,'Tech Litons'!$A:$I,9,FALSE)</f>
        <v>154</v>
      </c>
      <c r="I6222" s="174" t="str">
        <f>VLOOKUP($A6222,'Tech Litons'!$A:$C,3,0)</f>
        <v>MBG</v>
      </c>
      <c r="J6222" s="175" t="str">
        <f t="shared" si="703"/>
        <v>2904MBG</v>
      </c>
      <c r="K6222" s="176">
        <f>VLOOKUP(I6222,'Attain %'!A:B,2,0)</f>
        <v>0.96</v>
      </c>
      <c r="L6222" s="177">
        <f t="shared" si="704"/>
        <v>18048</v>
      </c>
      <c r="M6222" s="177">
        <f t="shared" si="705"/>
        <v>76.812288000000009</v>
      </c>
      <c r="N6222" s="177">
        <f t="shared" si="706"/>
        <v>117.1948051948052</v>
      </c>
      <c r="O6222" s="175" t="str">
        <f t="shared" si="707"/>
        <v>Mar</v>
      </c>
      <c r="P6222" s="265">
        <f t="shared" si="708"/>
        <v>14</v>
      </c>
    </row>
    <row r="6223" spans="1:16" ht="15" hidden="1" customHeight="1">
      <c r="A6223" s="489">
        <v>64403187</v>
      </c>
      <c r="B6223" s="489">
        <v>2904</v>
      </c>
      <c r="C6223" s="488">
        <v>19000</v>
      </c>
      <c r="D6223" s="597">
        <v>46125</v>
      </c>
      <c r="E6223" s="489" t="s">
        <v>1030</v>
      </c>
      <c r="F6223" s="489" t="s">
        <v>1236</v>
      </c>
      <c r="G6223" s="395">
        <f>VLOOKUP($A6223,'Tech Litons'!$A:$I,8,FALSE)</f>
        <v>8.513999999999999E-3</v>
      </c>
      <c r="H6223" s="174">
        <f>VLOOKUP($A6223,'Tech Litons'!$A:$I,9,FALSE)</f>
        <v>176</v>
      </c>
      <c r="I6223" s="174" t="str">
        <f>VLOOKUP($A6223,'Tech Litons'!$A:$C,3,0)</f>
        <v>48oz</v>
      </c>
      <c r="J6223" s="175" t="str">
        <f t="shared" si="703"/>
        <v>290448oz</v>
      </c>
      <c r="K6223" s="176">
        <f>VLOOKUP(I6223,'Attain %'!A:B,2,0)</f>
        <v>0.94</v>
      </c>
      <c r="L6223" s="177">
        <f t="shared" si="704"/>
        <v>17860</v>
      </c>
      <c r="M6223" s="177">
        <f t="shared" si="705"/>
        <v>152.06003999999999</v>
      </c>
      <c r="N6223" s="177">
        <f t="shared" si="706"/>
        <v>101.47727272727273</v>
      </c>
      <c r="O6223" s="175" t="str">
        <f t="shared" si="707"/>
        <v>Apr</v>
      </c>
      <c r="P6223" s="265">
        <f t="shared" si="708"/>
        <v>16</v>
      </c>
    </row>
    <row r="6224" spans="1:16" ht="15" hidden="1" customHeight="1">
      <c r="A6224" s="489">
        <v>69564623</v>
      </c>
      <c r="B6224" s="489">
        <v>2904</v>
      </c>
      <c r="C6224" s="488">
        <v>19000</v>
      </c>
      <c r="D6224" s="597">
        <v>46132</v>
      </c>
      <c r="E6224" s="489" t="s">
        <v>378</v>
      </c>
      <c r="F6224" s="489" t="s">
        <v>1225</v>
      </c>
      <c r="G6224" s="395">
        <f>VLOOKUP($A6224,'Tech Litons'!$A:$I,8,FALSE)</f>
        <v>8.5199999999999998E-3</v>
      </c>
      <c r="H6224" s="174">
        <f>VLOOKUP($A6224,'Tech Litons'!$A:$I,9,FALSE)</f>
        <v>176</v>
      </c>
      <c r="I6224" s="174" t="str">
        <f>VLOOKUP($A6224,'Tech Litons'!$A:$C,3,0)</f>
        <v>48oz</v>
      </c>
      <c r="J6224" s="175" t="str">
        <f t="shared" si="703"/>
        <v>290448oz</v>
      </c>
      <c r="K6224" s="176">
        <f>VLOOKUP(I6224,'Attain %'!A:B,2,0)</f>
        <v>0.94</v>
      </c>
      <c r="L6224" s="177">
        <f t="shared" si="704"/>
        <v>17860</v>
      </c>
      <c r="M6224" s="177">
        <f t="shared" si="705"/>
        <v>152.16720000000001</v>
      </c>
      <c r="N6224" s="177">
        <f t="shared" si="706"/>
        <v>101.47727272727273</v>
      </c>
      <c r="O6224" s="175" t="str">
        <f t="shared" si="707"/>
        <v>Apr</v>
      </c>
      <c r="P6224" s="265">
        <f t="shared" si="708"/>
        <v>17</v>
      </c>
    </row>
    <row r="6225" spans="1:16" ht="15" hidden="1" customHeight="1">
      <c r="A6225" s="489">
        <v>64771677</v>
      </c>
      <c r="B6225" s="489" t="s">
        <v>139</v>
      </c>
      <c r="C6225" s="488">
        <v>19036</v>
      </c>
      <c r="D6225" s="597">
        <v>46167</v>
      </c>
      <c r="E6225" s="489" t="s">
        <v>620</v>
      </c>
      <c r="F6225" s="489" t="s">
        <v>1223</v>
      </c>
      <c r="G6225" s="395">
        <f>VLOOKUP($A6225,'Tech Litons'!$A:$I,8,FALSE)</f>
        <v>2.16E-3</v>
      </c>
      <c r="H6225" s="174">
        <f>VLOOKUP($A6225,'Tech Litons'!$A:$I,9,FALSE)</f>
        <v>195</v>
      </c>
      <c r="I6225" s="174" t="str">
        <f>VLOOKUP($A6225,'Tech Litons'!$A:$C,3,0)</f>
        <v>Facepieces</v>
      </c>
      <c r="J6225" s="175" t="str">
        <f t="shared" si="703"/>
        <v>IncomFacepieces</v>
      </c>
      <c r="K6225" s="176">
        <f>VLOOKUP(I6225,'Attain %'!A:B,2,0)</f>
        <v>0.96</v>
      </c>
      <c r="L6225" s="177">
        <f t="shared" si="704"/>
        <v>18274.559999999998</v>
      </c>
      <c r="M6225" s="177">
        <f t="shared" si="705"/>
        <v>39.473049599999996</v>
      </c>
      <c r="N6225" s="177">
        <f t="shared" si="706"/>
        <v>93.715692307692294</v>
      </c>
      <c r="O6225" s="175" t="str">
        <f t="shared" si="707"/>
        <v>May</v>
      </c>
      <c r="P6225" s="265">
        <f t="shared" si="708"/>
        <v>22</v>
      </c>
    </row>
    <row r="6226" spans="1:16" ht="15" hidden="1" customHeight="1">
      <c r="A6226" s="489">
        <v>64776952</v>
      </c>
      <c r="B6226" s="489">
        <v>1352</v>
      </c>
      <c r="C6226" s="488">
        <v>19200</v>
      </c>
      <c r="D6226" s="597">
        <v>46125</v>
      </c>
      <c r="E6226" s="489" t="s">
        <v>404</v>
      </c>
      <c r="F6226" s="489" t="s">
        <v>1218</v>
      </c>
      <c r="G6226" s="395">
        <f>VLOOKUP($A6226,'Tech Litons'!$A:$I,8,FALSE)</f>
        <v>5.0940000000000004E-3</v>
      </c>
      <c r="H6226" s="174">
        <f>VLOOKUP($A6226,'Tech Litons'!$A:$I,9,FALSE)</f>
        <v>130</v>
      </c>
      <c r="I6226" s="174" t="str">
        <f>VLOOKUP($A6226,'Tech Litons'!$A:$C,3,0)</f>
        <v>PG</v>
      </c>
      <c r="J6226" s="175" t="str">
        <f t="shared" si="703"/>
        <v>1352PG</v>
      </c>
      <c r="K6226" s="176">
        <f>VLOOKUP(I6226,'Attain %'!A:B,2,0)</f>
        <v>0.96</v>
      </c>
      <c r="L6226" s="177">
        <f t="shared" si="704"/>
        <v>18432</v>
      </c>
      <c r="M6226" s="177">
        <f t="shared" si="705"/>
        <v>93.89260800000001</v>
      </c>
      <c r="N6226" s="177">
        <f t="shared" si="706"/>
        <v>141.78461538461539</v>
      </c>
      <c r="O6226" s="175" t="str">
        <f t="shared" si="707"/>
        <v>Apr</v>
      </c>
      <c r="P6226" s="265">
        <f t="shared" si="708"/>
        <v>16</v>
      </c>
    </row>
    <row r="6227" spans="1:16" ht="15" hidden="1" customHeight="1">
      <c r="A6227" s="489">
        <v>64341108</v>
      </c>
      <c r="B6227" s="489" t="s">
        <v>139</v>
      </c>
      <c r="C6227" s="488">
        <v>19200</v>
      </c>
      <c r="D6227" s="597">
        <v>46300</v>
      </c>
      <c r="E6227" s="489" t="s">
        <v>615</v>
      </c>
      <c r="F6227" s="489" t="s">
        <v>1223</v>
      </c>
      <c r="G6227" s="395">
        <f>VLOOKUP($A6227,'Tech Litons'!$A:$I,8,FALSE)</f>
        <v>2.3599999999999997E-3</v>
      </c>
      <c r="H6227" s="174">
        <f>VLOOKUP($A6227,'Tech Litons'!$A:$I,9,FALSE)</f>
        <v>210</v>
      </c>
      <c r="I6227" s="174" t="str">
        <f>VLOOKUP($A6227,'Tech Litons'!$A:$C,3,0)</f>
        <v>Facepieces</v>
      </c>
      <c r="J6227" s="175" t="str">
        <f t="shared" si="703"/>
        <v>IncomFacepieces</v>
      </c>
      <c r="K6227" s="176">
        <f>VLOOKUP(I6227,'Attain %'!A:B,2,0)</f>
        <v>0.96</v>
      </c>
      <c r="L6227" s="177">
        <f t="shared" si="704"/>
        <v>18432</v>
      </c>
      <c r="M6227" s="177">
        <f t="shared" si="705"/>
        <v>43.499519999999997</v>
      </c>
      <c r="N6227" s="177">
        <f t="shared" si="706"/>
        <v>87.771428571428572</v>
      </c>
      <c r="O6227" s="175" t="str">
        <f t="shared" si="707"/>
        <v>Oct</v>
      </c>
      <c r="P6227" s="265">
        <f t="shared" si="708"/>
        <v>41</v>
      </c>
    </row>
    <row r="6228" spans="1:16" ht="15" hidden="1" customHeight="1">
      <c r="A6228" s="489">
        <v>64341109</v>
      </c>
      <c r="B6228" s="489" t="s">
        <v>139</v>
      </c>
      <c r="C6228" s="488">
        <v>19200</v>
      </c>
      <c r="D6228" s="597">
        <v>46230</v>
      </c>
      <c r="E6228" s="489" t="s">
        <v>616</v>
      </c>
      <c r="F6228" s="489" t="s">
        <v>1223</v>
      </c>
      <c r="G6228" s="395">
        <f>VLOOKUP($A6228,'Tech Litons'!$A:$I,8,FALSE)</f>
        <v>2E-3</v>
      </c>
      <c r="H6228" s="174">
        <f>VLOOKUP($A6228,'Tech Litons'!$A:$I,9,FALSE)</f>
        <v>210</v>
      </c>
      <c r="I6228" s="174" t="str">
        <f>VLOOKUP($A6228,'Tech Litons'!$A:$C,3,0)</f>
        <v>Facepieces</v>
      </c>
      <c r="J6228" s="175" t="str">
        <f t="shared" si="703"/>
        <v>IncomFacepieces</v>
      </c>
      <c r="K6228" s="176">
        <f>VLOOKUP(I6228,'Attain %'!A:B,2,0)</f>
        <v>0.96</v>
      </c>
      <c r="L6228" s="177">
        <f t="shared" si="704"/>
        <v>18432</v>
      </c>
      <c r="M6228" s="177">
        <f t="shared" si="705"/>
        <v>36.864000000000004</v>
      </c>
      <c r="N6228" s="177">
        <f t="shared" si="706"/>
        <v>87.771428571428572</v>
      </c>
      <c r="O6228" s="175" t="str">
        <f t="shared" si="707"/>
        <v>Jul</v>
      </c>
      <c r="P6228" s="265">
        <f t="shared" si="708"/>
        <v>31</v>
      </c>
    </row>
    <row r="6229" spans="1:16" ht="15" hidden="1" customHeight="1">
      <c r="A6229" s="489">
        <v>64341109</v>
      </c>
      <c r="B6229" s="489" t="s">
        <v>139</v>
      </c>
      <c r="C6229" s="488">
        <v>19200</v>
      </c>
      <c r="D6229" s="597">
        <v>46272</v>
      </c>
      <c r="E6229" s="489" t="s">
        <v>616</v>
      </c>
      <c r="F6229" s="489" t="s">
        <v>1223</v>
      </c>
      <c r="G6229" s="395">
        <f>VLOOKUP($A6229,'Tech Litons'!$A:$I,8,FALSE)</f>
        <v>2E-3</v>
      </c>
      <c r="H6229" s="174">
        <f>VLOOKUP($A6229,'Tech Litons'!$A:$I,9,FALSE)</f>
        <v>210</v>
      </c>
      <c r="I6229" s="174" t="str">
        <f>VLOOKUP($A6229,'Tech Litons'!$A:$C,3,0)</f>
        <v>Facepieces</v>
      </c>
      <c r="J6229" s="175" t="str">
        <f t="shared" si="703"/>
        <v>IncomFacepieces</v>
      </c>
      <c r="K6229" s="176">
        <f>VLOOKUP(I6229,'Attain %'!A:B,2,0)</f>
        <v>0.96</v>
      </c>
      <c r="L6229" s="177">
        <f t="shared" si="704"/>
        <v>18432</v>
      </c>
      <c r="M6229" s="177">
        <f t="shared" si="705"/>
        <v>36.864000000000004</v>
      </c>
      <c r="N6229" s="177">
        <f t="shared" si="706"/>
        <v>87.771428571428572</v>
      </c>
      <c r="O6229" s="175" t="str">
        <f t="shared" si="707"/>
        <v>Sep</v>
      </c>
      <c r="P6229" s="265">
        <f t="shared" si="708"/>
        <v>37</v>
      </c>
    </row>
    <row r="6230" spans="1:16" ht="15" hidden="1" customHeight="1">
      <c r="A6230" s="489">
        <v>64341109</v>
      </c>
      <c r="B6230" s="489" t="s">
        <v>139</v>
      </c>
      <c r="C6230" s="488">
        <v>19200</v>
      </c>
      <c r="D6230" s="597">
        <v>46307</v>
      </c>
      <c r="E6230" s="489" t="s">
        <v>616</v>
      </c>
      <c r="F6230" s="489" t="s">
        <v>1223</v>
      </c>
      <c r="G6230" s="395">
        <f>VLOOKUP($A6230,'Tech Litons'!$A:$I,8,FALSE)</f>
        <v>2E-3</v>
      </c>
      <c r="H6230" s="174">
        <f>VLOOKUP($A6230,'Tech Litons'!$A:$I,9,FALSE)</f>
        <v>210</v>
      </c>
      <c r="I6230" s="174" t="str">
        <f>VLOOKUP($A6230,'Tech Litons'!$A:$C,3,0)</f>
        <v>Facepieces</v>
      </c>
      <c r="J6230" s="175" t="str">
        <f t="shared" si="703"/>
        <v>IncomFacepieces</v>
      </c>
      <c r="K6230" s="176">
        <f>VLOOKUP(I6230,'Attain %'!A:B,2,0)</f>
        <v>0.96</v>
      </c>
      <c r="L6230" s="177">
        <f t="shared" si="704"/>
        <v>18432</v>
      </c>
      <c r="M6230" s="177">
        <f t="shared" si="705"/>
        <v>36.864000000000004</v>
      </c>
      <c r="N6230" s="177">
        <f t="shared" si="706"/>
        <v>87.771428571428572</v>
      </c>
      <c r="O6230" s="175" t="str">
        <f t="shared" si="707"/>
        <v>Oct</v>
      </c>
      <c r="P6230" s="265">
        <f t="shared" si="708"/>
        <v>42</v>
      </c>
    </row>
    <row r="6231" spans="1:16" ht="15" hidden="1" customHeight="1">
      <c r="A6231" s="489">
        <v>64341109</v>
      </c>
      <c r="B6231" s="489" t="s">
        <v>139</v>
      </c>
      <c r="C6231" s="488">
        <v>19200</v>
      </c>
      <c r="D6231" s="597">
        <v>46335</v>
      </c>
      <c r="E6231" s="489" t="s">
        <v>616</v>
      </c>
      <c r="F6231" s="489" t="s">
        <v>1223</v>
      </c>
      <c r="G6231" s="395">
        <f>VLOOKUP($A6231,'Tech Litons'!$A:$I,8,FALSE)</f>
        <v>2E-3</v>
      </c>
      <c r="H6231" s="174">
        <f>VLOOKUP($A6231,'Tech Litons'!$A:$I,9,FALSE)</f>
        <v>210</v>
      </c>
      <c r="I6231" s="174" t="str">
        <f>VLOOKUP($A6231,'Tech Litons'!$A:$C,3,0)</f>
        <v>Facepieces</v>
      </c>
      <c r="J6231" s="175" t="str">
        <f t="shared" si="703"/>
        <v>IncomFacepieces</v>
      </c>
      <c r="K6231" s="176">
        <f>VLOOKUP(I6231,'Attain %'!A:B,2,0)</f>
        <v>0.96</v>
      </c>
      <c r="L6231" s="177">
        <f t="shared" si="704"/>
        <v>18432</v>
      </c>
      <c r="M6231" s="177">
        <f t="shared" si="705"/>
        <v>36.864000000000004</v>
      </c>
      <c r="N6231" s="177">
        <f t="shared" si="706"/>
        <v>87.771428571428572</v>
      </c>
      <c r="O6231" s="175" t="str">
        <f t="shared" si="707"/>
        <v>Nov</v>
      </c>
      <c r="P6231" s="265">
        <f t="shared" si="708"/>
        <v>46</v>
      </c>
    </row>
    <row r="6232" spans="1:16" ht="15" hidden="1" customHeight="1">
      <c r="A6232" s="489">
        <v>64369052</v>
      </c>
      <c r="B6232" s="489" t="s">
        <v>137</v>
      </c>
      <c r="C6232" s="488">
        <v>19200</v>
      </c>
      <c r="D6232" s="597">
        <v>46146</v>
      </c>
      <c r="E6232" s="489" t="s">
        <v>626</v>
      </c>
      <c r="F6232" s="489" t="s">
        <v>1223</v>
      </c>
      <c r="G6232" s="395">
        <f>VLOOKUP($A6232,'Tech Litons'!$A:$I,8,FALSE)</f>
        <v>5.3220000000000003E-3</v>
      </c>
      <c r="H6232" s="174">
        <f>VLOOKUP($A6232,'Tech Litons'!$A:$I,9,FALSE)</f>
        <v>120</v>
      </c>
      <c r="I6232" s="174" t="str">
        <f>VLOOKUP($A6232,'Tech Litons'!$A:$C,3,0)</f>
        <v>KL Mini Cones</v>
      </c>
      <c r="J6232" s="175" t="str">
        <f t="shared" si="703"/>
        <v>TurkeyKL Mini Cones</v>
      </c>
      <c r="K6232" s="176">
        <f>VLOOKUP(I6232,'Attain %'!A:B,2,0)</f>
        <v>0.96</v>
      </c>
      <c r="L6232" s="177">
        <f t="shared" si="704"/>
        <v>18432</v>
      </c>
      <c r="M6232" s="177">
        <f t="shared" si="705"/>
        <v>98.095104000000006</v>
      </c>
      <c r="N6232" s="177">
        <f t="shared" si="706"/>
        <v>153.6</v>
      </c>
      <c r="O6232" s="175" t="str">
        <f t="shared" si="707"/>
        <v>May</v>
      </c>
      <c r="P6232" s="265">
        <f t="shared" si="708"/>
        <v>19</v>
      </c>
    </row>
    <row r="6233" spans="1:16" ht="15" hidden="1" customHeight="1">
      <c r="A6233" s="489">
        <v>64874631</v>
      </c>
      <c r="B6233" s="489">
        <v>3910</v>
      </c>
      <c r="C6233" s="488">
        <v>19260</v>
      </c>
      <c r="D6233" s="597">
        <v>46181</v>
      </c>
      <c r="E6233" s="489" t="s">
        <v>554</v>
      </c>
      <c r="F6233" s="489" t="s">
        <v>1335</v>
      </c>
      <c r="G6233" s="395">
        <f>VLOOKUP($A6233,'Tech Litons'!$A:$I,8,FALSE)</f>
        <v>2.8380000000000002E-3</v>
      </c>
      <c r="H6233" s="174">
        <f>VLOOKUP($A6233,'Tech Litons'!$A:$I,9,FALSE)</f>
        <v>189</v>
      </c>
      <c r="I6233" s="174" t="str">
        <f>VLOOKUP($A6233,'Tech Litons'!$A:$C,3,0)</f>
        <v>ESS</v>
      </c>
      <c r="J6233" s="175" t="str">
        <f t="shared" si="703"/>
        <v>3910ESS</v>
      </c>
      <c r="K6233" s="176">
        <f>VLOOKUP(I6233,'Attain %'!A:B,2,0)</f>
        <v>0.96</v>
      </c>
      <c r="L6233" s="177">
        <f t="shared" si="704"/>
        <v>18489.599999999999</v>
      </c>
      <c r="M6233" s="177">
        <f t="shared" si="705"/>
        <v>52.473484800000001</v>
      </c>
      <c r="N6233" s="177">
        <f t="shared" si="706"/>
        <v>97.828571428571422</v>
      </c>
      <c r="O6233" s="175" t="str">
        <f t="shared" si="707"/>
        <v>Jun</v>
      </c>
      <c r="P6233" s="265">
        <f t="shared" si="708"/>
        <v>24</v>
      </c>
    </row>
    <row r="6234" spans="1:16" ht="15" hidden="1" customHeight="1">
      <c r="A6234" s="489">
        <v>64874631</v>
      </c>
      <c r="B6234" s="489">
        <v>3910</v>
      </c>
      <c r="C6234" s="488">
        <v>19260</v>
      </c>
      <c r="D6234" s="597">
        <v>46237</v>
      </c>
      <c r="E6234" s="489" t="s">
        <v>554</v>
      </c>
      <c r="F6234" s="489" t="s">
        <v>1335</v>
      </c>
      <c r="G6234" s="395">
        <f>VLOOKUP($A6234,'Tech Litons'!$A:$I,8,FALSE)</f>
        <v>2.8380000000000002E-3</v>
      </c>
      <c r="H6234" s="174">
        <f>VLOOKUP($A6234,'Tech Litons'!$A:$I,9,FALSE)</f>
        <v>189</v>
      </c>
      <c r="I6234" s="174" t="str">
        <f>VLOOKUP($A6234,'Tech Litons'!$A:$C,3,0)</f>
        <v>ESS</v>
      </c>
      <c r="J6234" s="175" t="str">
        <f t="shared" si="703"/>
        <v>3910ESS</v>
      </c>
      <c r="K6234" s="176">
        <f>VLOOKUP(I6234,'Attain %'!A:B,2,0)</f>
        <v>0.96</v>
      </c>
      <c r="L6234" s="177">
        <f t="shared" si="704"/>
        <v>18489.599999999999</v>
      </c>
      <c r="M6234" s="177">
        <f t="shared" si="705"/>
        <v>52.473484800000001</v>
      </c>
      <c r="N6234" s="177">
        <f t="shared" si="706"/>
        <v>97.828571428571422</v>
      </c>
      <c r="O6234" s="175" t="str">
        <f t="shared" si="707"/>
        <v>Aug</v>
      </c>
      <c r="P6234" s="265">
        <f t="shared" si="708"/>
        <v>32</v>
      </c>
    </row>
    <row r="6235" spans="1:16" ht="15" hidden="1" customHeight="1">
      <c r="A6235" s="489">
        <v>64874631</v>
      </c>
      <c r="B6235" s="489">
        <v>3910</v>
      </c>
      <c r="C6235" s="488">
        <v>19260</v>
      </c>
      <c r="D6235" s="597">
        <v>46272</v>
      </c>
      <c r="E6235" s="489" t="s">
        <v>554</v>
      </c>
      <c r="F6235" s="489" t="s">
        <v>1335</v>
      </c>
      <c r="G6235" s="395">
        <f>VLOOKUP($A6235,'Tech Litons'!$A:$I,8,FALSE)</f>
        <v>2.8380000000000002E-3</v>
      </c>
      <c r="H6235" s="174">
        <f>VLOOKUP($A6235,'Tech Litons'!$A:$I,9,FALSE)</f>
        <v>189</v>
      </c>
      <c r="I6235" s="174" t="str">
        <f>VLOOKUP($A6235,'Tech Litons'!$A:$C,3,0)</f>
        <v>ESS</v>
      </c>
      <c r="J6235" s="175" t="str">
        <f t="shared" si="703"/>
        <v>3910ESS</v>
      </c>
      <c r="K6235" s="176">
        <f>VLOOKUP(I6235,'Attain %'!A:B,2,0)</f>
        <v>0.96</v>
      </c>
      <c r="L6235" s="177">
        <f t="shared" si="704"/>
        <v>18489.599999999999</v>
      </c>
      <c r="M6235" s="177">
        <f t="shared" si="705"/>
        <v>52.473484800000001</v>
      </c>
      <c r="N6235" s="177">
        <f t="shared" si="706"/>
        <v>97.828571428571422</v>
      </c>
      <c r="O6235" s="175" t="str">
        <f t="shared" si="707"/>
        <v>Sep</v>
      </c>
      <c r="P6235" s="265">
        <f t="shared" si="708"/>
        <v>37</v>
      </c>
    </row>
    <row r="6236" spans="1:16" ht="15" hidden="1" customHeight="1">
      <c r="A6236" s="489">
        <v>64874633</v>
      </c>
      <c r="B6236" s="489">
        <v>3910</v>
      </c>
      <c r="C6236" s="488">
        <v>19260</v>
      </c>
      <c r="D6236" s="597">
        <v>46188</v>
      </c>
      <c r="E6236" s="489" t="s">
        <v>341</v>
      </c>
      <c r="F6236" s="489" t="s">
        <v>1335</v>
      </c>
      <c r="G6236" s="395">
        <f>VLOOKUP($A6236,'Tech Litons'!$A:$I,8,FALSE)</f>
        <v>3.192E-3</v>
      </c>
      <c r="H6236" s="174">
        <f>VLOOKUP($A6236,'Tech Litons'!$A:$I,9,FALSE)</f>
        <v>280</v>
      </c>
      <c r="I6236" s="174" t="str">
        <f>VLOOKUP($A6236,'Tech Litons'!$A:$C,3,0)</f>
        <v>ESS</v>
      </c>
      <c r="J6236" s="175" t="str">
        <f t="shared" si="703"/>
        <v>3910ESS</v>
      </c>
      <c r="K6236" s="176">
        <f>VLOOKUP(I6236,'Attain %'!A:B,2,0)</f>
        <v>0.96</v>
      </c>
      <c r="L6236" s="177">
        <f t="shared" si="704"/>
        <v>18489.599999999999</v>
      </c>
      <c r="M6236" s="177">
        <f t="shared" si="705"/>
        <v>59.018803199999994</v>
      </c>
      <c r="N6236" s="177">
        <f t="shared" si="706"/>
        <v>66.034285714285716</v>
      </c>
      <c r="O6236" s="175" t="str">
        <f t="shared" si="707"/>
        <v>Jun</v>
      </c>
      <c r="P6236" s="265">
        <f t="shared" si="708"/>
        <v>25</v>
      </c>
    </row>
    <row r="6237" spans="1:16" ht="15" hidden="1" customHeight="1">
      <c r="A6237" s="489">
        <v>64874633</v>
      </c>
      <c r="B6237" s="489">
        <v>3910</v>
      </c>
      <c r="C6237" s="488">
        <v>19260</v>
      </c>
      <c r="D6237" s="597">
        <v>46300</v>
      </c>
      <c r="E6237" s="489" t="s">
        <v>341</v>
      </c>
      <c r="F6237" s="489" t="s">
        <v>1335</v>
      </c>
      <c r="G6237" s="395">
        <f>VLOOKUP($A6237,'Tech Litons'!$A:$I,8,FALSE)</f>
        <v>3.192E-3</v>
      </c>
      <c r="H6237" s="174">
        <f>VLOOKUP($A6237,'Tech Litons'!$A:$I,9,FALSE)</f>
        <v>280</v>
      </c>
      <c r="I6237" s="174" t="str">
        <f>VLOOKUP($A6237,'Tech Litons'!$A:$C,3,0)</f>
        <v>ESS</v>
      </c>
      <c r="J6237" s="175" t="str">
        <f t="shared" si="703"/>
        <v>3910ESS</v>
      </c>
      <c r="K6237" s="176">
        <f>VLOOKUP(I6237,'Attain %'!A:B,2,0)</f>
        <v>0.96</v>
      </c>
      <c r="L6237" s="177">
        <f t="shared" si="704"/>
        <v>18489.599999999999</v>
      </c>
      <c r="M6237" s="177">
        <f t="shared" si="705"/>
        <v>59.018803199999994</v>
      </c>
      <c r="N6237" s="177">
        <f t="shared" si="706"/>
        <v>66.034285714285716</v>
      </c>
      <c r="O6237" s="175" t="str">
        <f t="shared" si="707"/>
        <v>Oct</v>
      </c>
      <c r="P6237" s="265">
        <f t="shared" si="708"/>
        <v>41</v>
      </c>
    </row>
    <row r="6238" spans="1:16" ht="15" hidden="1" customHeight="1">
      <c r="A6238" s="489">
        <v>64874633</v>
      </c>
      <c r="B6238" s="489">
        <v>3910</v>
      </c>
      <c r="C6238" s="488">
        <v>19260</v>
      </c>
      <c r="D6238" s="597">
        <v>46356</v>
      </c>
      <c r="E6238" s="489" t="s">
        <v>341</v>
      </c>
      <c r="F6238" s="489" t="s">
        <v>1335</v>
      </c>
      <c r="G6238" s="395">
        <f>VLOOKUP($A6238,'Tech Litons'!$A:$I,8,FALSE)</f>
        <v>3.192E-3</v>
      </c>
      <c r="H6238" s="174">
        <f>VLOOKUP($A6238,'Tech Litons'!$A:$I,9,FALSE)</f>
        <v>280</v>
      </c>
      <c r="I6238" s="174" t="str">
        <f>VLOOKUP($A6238,'Tech Litons'!$A:$C,3,0)</f>
        <v>ESS</v>
      </c>
      <c r="J6238" s="175" t="str">
        <f t="shared" si="703"/>
        <v>3910ESS</v>
      </c>
      <c r="K6238" s="176">
        <f>VLOOKUP(I6238,'Attain %'!A:B,2,0)</f>
        <v>0.96</v>
      </c>
      <c r="L6238" s="177">
        <f t="shared" si="704"/>
        <v>18489.599999999999</v>
      </c>
      <c r="M6238" s="177">
        <f t="shared" si="705"/>
        <v>59.018803199999994</v>
      </c>
      <c r="N6238" s="177">
        <f t="shared" si="706"/>
        <v>66.034285714285716</v>
      </c>
      <c r="O6238" s="175" t="str">
        <f t="shared" si="707"/>
        <v>Nov</v>
      </c>
      <c r="P6238" s="265">
        <f t="shared" si="708"/>
        <v>49</v>
      </c>
    </row>
    <row r="6239" spans="1:16" ht="15" hidden="1" customHeight="1">
      <c r="A6239" s="489">
        <v>68689251</v>
      </c>
      <c r="B6239" s="489">
        <v>1352</v>
      </c>
      <c r="C6239" s="488">
        <v>19440</v>
      </c>
      <c r="D6239" s="597">
        <v>46132</v>
      </c>
      <c r="E6239" s="489" t="s">
        <v>262</v>
      </c>
      <c r="F6239" s="489" t="s">
        <v>1214</v>
      </c>
      <c r="G6239" s="395">
        <f>VLOOKUP($A6239,'Tech Litons'!$A:$I,8,FALSE)</f>
        <v>9.5760000000000012E-3</v>
      </c>
      <c r="H6239" s="174">
        <f>VLOOKUP($A6239,'Tech Litons'!$A:$I,9,FALSE)</f>
        <v>132</v>
      </c>
      <c r="I6239" s="174" t="str">
        <f>VLOOKUP($A6239,'Tech Litons'!$A:$C,3,0)</f>
        <v>EDF</v>
      </c>
      <c r="J6239" s="175" t="str">
        <f t="shared" si="703"/>
        <v>1352EDF</v>
      </c>
      <c r="K6239" s="176">
        <f>VLOOKUP(I6239,'Attain %'!A:B,2,0)</f>
        <v>0.96</v>
      </c>
      <c r="L6239" s="177">
        <f t="shared" si="704"/>
        <v>18662.399999999998</v>
      </c>
      <c r="M6239" s="177">
        <f t="shared" si="705"/>
        <v>178.7111424</v>
      </c>
      <c r="N6239" s="177">
        <f t="shared" si="706"/>
        <v>141.38181818181818</v>
      </c>
      <c r="O6239" s="175" t="str">
        <f t="shared" si="707"/>
        <v>Apr</v>
      </c>
      <c r="P6239" s="265">
        <f t="shared" si="708"/>
        <v>17</v>
      </c>
    </row>
    <row r="6240" spans="1:16" ht="15" hidden="1" customHeight="1">
      <c r="A6240" s="489">
        <v>68689251</v>
      </c>
      <c r="B6240" s="489">
        <v>1352</v>
      </c>
      <c r="C6240" s="488">
        <v>19440</v>
      </c>
      <c r="D6240" s="597">
        <v>46139</v>
      </c>
      <c r="E6240" s="489" t="s">
        <v>262</v>
      </c>
      <c r="F6240" s="489" t="s">
        <v>1210</v>
      </c>
      <c r="G6240" s="395">
        <f>VLOOKUP($A6240,'Tech Litons'!$A:$I,8,FALSE)</f>
        <v>9.5760000000000012E-3</v>
      </c>
      <c r="H6240" s="174">
        <f>VLOOKUP($A6240,'Tech Litons'!$A:$I,9,FALSE)</f>
        <v>132</v>
      </c>
      <c r="I6240" s="174" t="str">
        <f>VLOOKUP($A6240,'Tech Litons'!$A:$C,3,0)</f>
        <v>EDF</v>
      </c>
      <c r="J6240" s="175" t="str">
        <f t="shared" si="703"/>
        <v>1352EDF</v>
      </c>
      <c r="K6240" s="176">
        <f>VLOOKUP(I6240,'Attain %'!A:B,2,0)</f>
        <v>0.96</v>
      </c>
      <c r="L6240" s="177">
        <f t="shared" si="704"/>
        <v>18662.399999999998</v>
      </c>
      <c r="M6240" s="177">
        <f t="shared" si="705"/>
        <v>178.7111424</v>
      </c>
      <c r="N6240" s="177">
        <f t="shared" si="706"/>
        <v>141.38181818181818</v>
      </c>
      <c r="O6240" s="175" t="str">
        <f t="shared" si="707"/>
        <v>Apr</v>
      </c>
      <c r="P6240" s="265">
        <f t="shared" si="708"/>
        <v>18</v>
      </c>
    </row>
    <row r="6241" spans="1:16" ht="15" hidden="1" customHeight="1">
      <c r="A6241" s="489">
        <v>84136704</v>
      </c>
      <c r="B6241" s="489">
        <v>5914</v>
      </c>
      <c r="C6241" s="488">
        <v>38080</v>
      </c>
      <c r="D6241" s="597">
        <v>46111</v>
      </c>
      <c r="E6241" s="489" t="s">
        <v>416</v>
      </c>
      <c r="F6241" s="489" t="s">
        <v>1246</v>
      </c>
      <c r="G6241" s="395">
        <f>VLOOKUP($A6241,'Tech Litons'!$A:$I,8,FALSE)</f>
        <v>3.7853439999999999E-3</v>
      </c>
      <c r="H6241" s="174">
        <f>VLOOKUP($A6241,'Tech Litons'!$A:$I,9,FALSE)</f>
        <v>240</v>
      </c>
      <c r="I6241" s="174" t="str">
        <f>VLOOKUP($A6241,'Tech Litons'!$A:$C,3,0)</f>
        <v>BJ PTS</v>
      </c>
      <c r="J6241" s="175" t="str">
        <f t="shared" si="703"/>
        <v>5914BJ PTS</v>
      </c>
      <c r="K6241" s="176">
        <f>VLOOKUP(I6241,'Attain %'!A:B,2,0)</f>
        <v>0.95</v>
      </c>
      <c r="L6241" s="177">
        <f t="shared" si="704"/>
        <v>36176</v>
      </c>
      <c r="M6241" s="177">
        <f t="shared" si="705"/>
        <v>136.93860454399999</v>
      </c>
      <c r="N6241" s="177">
        <f t="shared" si="706"/>
        <v>150.73333333333332</v>
      </c>
      <c r="O6241" s="175" t="str">
        <f t="shared" si="707"/>
        <v>Mar</v>
      </c>
      <c r="P6241" s="265">
        <f t="shared" si="708"/>
        <v>14</v>
      </c>
    </row>
    <row r="6242" spans="1:16" ht="15" hidden="1" customHeight="1">
      <c r="A6242" s="489">
        <v>84136043</v>
      </c>
      <c r="B6242" s="489">
        <v>5914</v>
      </c>
      <c r="C6242" s="488">
        <v>19440</v>
      </c>
      <c r="D6242" s="597">
        <v>46125</v>
      </c>
      <c r="E6242" s="489" t="s">
        <v>390</v>
      </c>
      <c r="F6242" s="489" t="s">
        <v>1244</v>
      </c>
      <c r="G6242" s="395">
        <f>VLOOKUP($A6242,'Tech Litons'!$A:$I,8,FALSE)</f>
        <v>3.7853439999999999E-3</v>
      </c>
      <c r="H6242" s="174">
        <f>VLOOKUP($A6242,'Tech Litons'!$A:$I,9,FALSE)</f>
        <v>240</v>
      </c>
      <c r="I6242" s="174" t="str">
        <f>VLOOKUP($A6242,'Tech Litons'!$A:$C,3,0)</f>
        <v>BJ PTS</v>
      </c>
      <c r="J6242" s="175" t="str">
        <f t="shared" si="703"/>
        <v>5914BJ PTS</v>
      </c>
      <c r="K6242" s="176">
        <f>VLOOKUP(I6242,'Attain %'!A:B,2,0)</f>
        <v>0.95</v>
      </c>
      <c r="L6242" s="177">
        <f t="shared" si="704"/>
        <v>18468</v>
      </c>
      <c r="M6242" s="177">
        <f t="shared" si="705"/>
        <v>69.907732991999993</v>
      </c>
      <c r="N6242" s="177">
        <f t="shared" si="706"/>
        <v>76.95</v>
      </c>
      <c r="O6242" s="175" t="str">
        <f t="shared" si="707"/>
        <v>Apr</v>
      </c>
      <c r="P6242" s="265">
        <f t="shared" si="708"/>
        <v>16</v>
      </c>
    </row>
    <row r="6243" spans="1:16" ht="15" hidden="1" customHeight="1">
      <c r="A6243" s="489">
        <v>84138392</v>
      </c>
      <c r="B6243" s="489">
        <v>5914</v>
      </c>
      <c r="C6243" s="488">
        <v>19440</v>
      </c>
      <c r="D6243" s="597">
        <v>46146</v>
      </c>
      <c r="E6243" s="489" t="s">
        <v>418</v>
      </c>
      <c r="F6243" s="489" t="s">
        <v>1244</v>
      </c>
      <c r="G6243" s="395">
        <f>VLOOKUP($A6243,'Tech Litons'!$A:$I,8,FALSE)</f>
        <v>3.7839999999999996E-3</v>
      </c>
      <c r="H6243" s="174">
        <f>VLOOKUP($A6243,'Tech Litons'!$A:$I,9,FALSE)</f>
        <v>240</v>
      </c>
      <c r="I6243" s="174" t="str">
        <f>VLOOKUP($A6243,'Tech Litons'!$A:$C,3,0)</f>
        <v>BJ PTS</v>
      </c>
      <c r="J6243" s="175" t="str">
        <f t="shared" si="703"/>
        <v>5914BJ PTS</v>
      </c>
      <c r="K6243" s="176">
        <f>VLOOKUP(I6243,'Attain %'!A:B,2,0)</f>
        <v>0.95</v>
      </c>
      <c r="L6243" s="177">
        <f t="shared" si="704"/>
        <v>18468</v>
      </c>
      <c r="M6243" s="177">
        <f t="shared" si="705"/>
        <v>69.88291199999999</v>
      </c>
      <c r="N6243" s="177">
        <f t="shared" si="706"/>
        <v>76.95</v>
      </c>
      <c r="O6243" s="175" t="str">
        <f t="shared" si="707"/>
        <v>May</v>
      </c>
      <c r="P6243" s="265">
        <f t="shared" si="708"/>
        <v>19</v>
      </c>
    </row>
    <row r="6244" spans="1:16" ht="15" hidden="1" customHeight="1">
      <c r="A6244" s="489">
        <v>64771676</v>
      </c>
      <c r="B6244" s="489" t="s">
        <v>139</v>
      </c>
      <c r="C6244" s="488">
        <v>19500</v>
      </c>
      <c r="D6244" s="597">
        <v>46160</v>
      </c>
      <c r="E6244" s="489" t="s">
        <v>619</v>
      </c>
      <c r="F6244" s="489" t="s">
        <v>1223</v>
      </c>
      <c r="G6244" s="395">
        <f>VLOOKUP($A6244,'Tech Litons'!$A:$I,8,FALSE)</f>
        <v>2.16E-3</v>
      </c>
      <c r="H6244" s="174">
        <f>VLOOKUP($A6244,'Tech Litons'!$A:$I,9,FALSE)</f>
        <v>195</v>
      </c>
      <c r="I6244" s="174" t="str">
        <f>VLOOKUP($A6244,'Tech Litons'!$A:$C,3,0)</f>
        <v>Facepieces</v>
      </c>
      <c r="J6244" s="175" t="str">
        <f t="shared" si="703"/>
        <v>IncomFacepieces</v>
      </c>
      <c r="K6244" s="176">
        <f>VLOOKUP(I6244,'Attain %'!A:B,2,0)</f>
        <v>0.96</v>
      </c>
      <c r="L6244" s="177">
        <f t="shared" si="704"/>
        <v>18720</v>
      </c>
      <c r="M6244" s="177">
        <f t="shared" si="705"/>
        <v>40.435200000000002</v>
      </c>
      <c r="N6244" s="177">
        <f t="shared" si="706"/>
        <v>96</v>
      </c>
      <c r="O6244" s="175" t="str">
        <f t="shared" si="707"/>
        <v>May</v>
      </c>
      <c r="P6244" s="265">
        <f t="shared" si="708"/>
        <v>21</v>
      </c>
    </row>
    <row r="6245" spans="1:16" ht="15" hidden="1" customHeight="1">
      <c r="A6245" s="489">
        <v>67546042</v>
      </c>
      <c r="B6245" s="489">
        <v>5914</v>
      </c>
      <c r="C6245" s="488">
        <v>19560</v>
      </c>
      <c r="D6245" s="597">
        <v>46104</v>
      </c>
      <c r="E6245" s="489" t="s">
        <v>397</v>
      </c>
      <c r="F6245" s="489" t="s">
        <v>1244</v>
      </c>
      <c r="G6245" s="395">
        <f>VLOOKUP($A6245,'Tech Litons'!$A:$I,8,FALSE)</f>
        <v>3.7853439999999999E-3</v>
      </c>
      <c r="H6245" s="174">
        <f>VLOOKUP($A6245,'Tech Litons'!$A:$I,9,FALSE)</f>
        <v>240</v>
      </c>
      <c r="I6245" s="174" t="str">
        <f>VLOOKUP($A6245,'Tech Litons'!$A:$C,3,0)</f>
        <v>BJ PTS</v>
      </c>
      <c r="J6245" s="175" t="str">
        <f t="shared" si="703"/>
        <v>5914BJ PTS</v>
      </c>
      <c r="K6245" s="176">
        <f>VLOOKUP(I6245,'Attain %'!A:B,2,0)</f>
        <v>0.95</v>
      </c>
      <c r="L6245" s="177">
        <f t="shared" si="704"/>
        <v>18582</v>
      </c>
      <c r="M6245" s="177">
        <f t="shared" si="705"/>
        <v>70.339262207999994</v>
      </c>
      <c r="N6245" s="177">
        <f t="shared" si="706"/>
        <v>77.424999999999997</v>
      </c>
      <c r="O6245" s="175" t="str">
        <f t="shared" si="707"/>
        <v>Mar</v>
      </c>
      <c r="P6245" s="265">
        <f t="shared" si="708"/>
        <v>13</v>
      </c>
    </row>
    <row r="6246" spans="1:16" ht="15" hidden="1" customHeight="1">
      <c r="A6246" s="489">
        <v>64955743</v>
      </c>
      <c r="B6246" s="489">
        <v>1715</v>
      </c>
      <c r="D6246" s="597">
        <v>46104</v>
      </c>
      <c r="E6246" s="489" t="s">
        <v>585</v>
      </c>
      <c r="F6246" s="489" t="s">
        <v>1221</v>
      </c>
      <c r="G6246" s="395">
        <f>VLOOKUP($A6246,'Tech Litons'!$A:$I,8,FALSE)</f>
        <v>3.3119999999999998E-3</v>
      </c>
      <c r="H6246" s="174">
        <f>VLOOKUP($A6246,'Tech Litons'!$A:$I,9,FALSE)</f>
        <v>165</v>
      </c>
      <c r="I6246" s="174" t="str">
        <f>VLOOKUP($A6246,'Tech Litons'!$A:$C,3,0)</f>
        <v>Yasso Sticks</v>
      </c>
      <c r="J6246" s="175" t="str">
        <f t="shared" si="703"/>
        <v>1715Yasso Sticks</v>
      </c>
      <c r="K6246" s="176">
        <f>VLOOKUP(I6246,'Attain %'!A:B,2,0)</f>
        <v>0.96</v>
      </c>
      <c r="L6246" s="177">
        <f t="shared" si="704"/>
        <v>0</v>
      </c>
      <c r="M6246" s="177">
        <f t="shared" si="705"/>
        <v>0</v>
      </c>
      <c r="N6246" s="177">
        <f t="shared" si="706"/>
        <v>0</v>
      </c>
      <c r="O6246" s="175" t="str">
        <f t="shared" si="707"/>
        <v>Mar</v>
      </c>
      <c r="P6246" s="265">
        <f t="shared" si="708"/>
        <v>13</v>
      </c>
    </row>
    <row r="6247" spans="1:16" ht="15" hidden="1" customHeight="1">
      <c r="A6247" s="489">
        <v>64341106</v>
      </c>
      <c r="B6247" s="489">
        <v>2904</v>
      </c>
      <c r="D6247" s="597">
        <v>46111</v>
      </c>
      <c r="E6247" s="489" t="s">
        <v>293</v>
      </c>
      <c r="F6247" s="489" t="s">
        <v>1237</v>
      </c>
      <c r="G6247" s="395">
        <f>VLOOKUP($A6247,'Tech Litons'!$A:$I,8,FALSE)</f>
        <v>5.2680000000000001E-3</v>
      </c>
      <c r="H6247" s="174">
        <f>VLOOKUP($A6247,'Tech Litons'!$A:$I,9,FALSE)</f>
        <v>130</v>
      </c>
      <c r="I6247" s="174" t="str">
        <f>VLOOKUP($A6247,'Tech Litons'!$A:$C,3,0)</f>
        <v>PG</v>
      </c>
      <c r="J6247" s="175" t="str">
        <f t="shared" si="703"/>
        <v>2904PG</v>
      </c>
      <c r="K6247" s="176">
        <f>VLOOKUP(I6247,'Attain %'!A:B,2,0)</f>
        <v>0.96</v>
      </c>
      <c r="L6247" s="177">
        <f t="shared" si="704"/>
        <v>0</v>
      </c>
      <c r="M6247" s="177">
        <f t="shared" si="705"/>
        <v>0</v>
      </c>
      <c r="N6247" s="177">
        <f t="shared" si="706"/>
        <v>0</v>
      </c>
      <c r="O6247" s="175" t="str">
        <f t="shared" si="707"/>
        <v>Mar</v>
      </c>
      <c r="P6247" s="265">
        <f t="shared" si="708"/>
        <v>14</v>
      </c>
    </row>
    <row r="6248" spans="1:16" ht="15" hidden="1" customHeight="1">
      <c r="A6248" s="489">
        <v>64369035</v>
      </c>
      <c r="B6248" s="489">
        <v>2904</v>
      </c>
      <c r="C6248" s="488">
        <v>19800</v>
      </c>
      <c r="D6248" s="597">
        <v>46167</v>
      </c>
      <c r="E6248" s="489" t="s">
        <v>457</v>
      </c>
      <c r="F6248" s="489" t="s">
        <v>1228</v>
      </c>
      <c r="G6248" s="395">
        <f>VLOOKUP($A6248,'Tech Litons'!$A:$I,8,FALSE)</f>
        <v>3.7839999999999996E-3</v>
      </c>
      <c r="H6248" s="174">
        <f>VLOOKUP($A6248,'Tech Litons'!$A:$I,9,FALSE)</f>
        <v>255</v>
      </c>
      <c r="I6248" s="174" t="str">
        <f>VLOOKUP($A6248,'Tech Litons'!$A:$C,3,0)</f>
        <v>Talenti</v>
      </c>
      <c r="J6248" s="175" t="str">
        <f t="shared" si="703"/>
        <v>2904Talenti</v>
      </c>
      <c r="K6248" s="176">
        <f>VLOOKUP(I6248,'Attain %'!A:B,2,0)</f>
        <v>0.96</v>
      </c>
      <c r="L6248" s="177">
        <f t="shared" si="704"/>
        <v>19008</v>
      </c>
      <c r="M6248" s="177">
        <f t="shared" si="705"/>
        <v>71.926271999999997</v>
      </c>
      <c r="N6248" s="177">
        <f t="shared" si="706"/>
        <v>74.54117647058824</v>
      </c>
      <c r="O6248" s="175" t="str">
        <f t="shared" si="707"/>
        <v>May</v>
      </c>
      <c r="P6248" s="265">
        <f t="shared" si="708"/>
        <v>22</v>
      </c>
    </row>
    <row r="6249" spans="1:16" ht="15" hidden="1" customHeight="1">
      <c r="A6249" s="489">
        <v>64369046</v>
      </c>
      <c r="B6249" s="489">
        <v>2904</v>
      </c>
      <c r="C6249" s="488">
        <v>19800</v>
      </c>
      <c r="D6249" s="597">
        <v>46160</v>
      </c>
      <c r="E6249" s="489" t="s">
        <v>315</v>
      </c>
      <c r="F6249" s="489" t="s">
        <v>1228</v>
      </c>
      <c r="G6249" s="395">
        <f>VLOOKUP($A6249,'Tech Litons'!$A:$I,8,FALSE)</f>
        <v>3.552E-3</v>
      </c>
      <c r="H6249" s="174">
        <f>VLOOKUP($A6249,'Tech Litons'!$A:$I,9,FALSE)</f>
        <v>255</v>
      </c>
      <c r="I6249" s="174" t="str">
        <f>VLOOKUP($A6249,'Tech Litons'!$A:$C,3,0)</f>
        <v>Talenti</v>
      </c>
      <c r="J6249" s="175" t="str">
        <f t="shared" si="703"/>
        <v>2904Talenti</v>
      </c>
      <c r="K6249" s="176">
        <f>VLOOKUP(I6249,'Attain %'!A:B,2,0)</f>
        <v>0.96</v>
      </c>
      <c r="L6249" s="177">
        <f t="shared" si="704"/>
        <v>19008</v>
      </c>
      <c r="M6249" s="177">
        <f t="shared" si="705"/>
        <v>67.516416000000007</v>
      </c>
      <c r="N6249" s="177">
        <f t="shared" si="706"/>
        <v>74.54117647058824</v>
      </c>
      <c r="O6249" s="175" t="str">
        <f t="shared" si="707"/>
        <v>May</v>
      </c>
      <c r="P6249" s="265">
        <f t="shared" si="708"/>
        <v>21</v>
      </c>
    </row>
    <row r="6250" spans="1:16" ht="15" hidden="1" customHeight="1">
      <c r="A6250" s="489">
        <v>64371463</v>
      </c>
      <c r="B6250" s="489">
        <v>2904</v>
      </c>
      <c r="C6250" s="488">
        <v>19800</v>
      </c>
      <c r="D6250" s="597">
        <v>46153</v>
      </c>
      <c r="E6250" s="489" t="s">
        <v>514</v>
      </c>
      <c r="F6250" s="489" t="s">
        <v>1228</v>
      </c>
      <c r="G6250" s="395">
        <f>VLOOKUP($A6250,'Tech Litons'!$A:$I,8,FALSE)</f>
        <v>3.552E-3</v>
      </c>
      <c r="H6250" s="174">
        <f>VLOOKUP($A6250,'Tech Litons'!$A:$I,9,FALSE)</f>
        <v>255</v>
      </c>
      <c r="I6250" s="174" t="str">
        <f>VLOOKUP($A6250,'Tech Litons'!$A:$C,3,0)</f>
        <v>Talenti</v>
      </c>
      <c r="J6250" s="175" t="str">
        <f t="shared" si="703"/>
        <v>2904Talenti</v>
      </c>
      <c r="K6250" s="176">
        <f>VLOOKUP(I6250,'Attain %'!A:B,2,0)</f>
        <v>0.96</v>
      </c>
      <c r="L6250" s="177">
        <f t="shared" si="704"/>
        <v>19008</v>
      </c>
      <c r="M6250" s="177">
        <f t="shared" si="705"/>
        <v>67.516416000000007</v>
      </c>
      <c r="N6250" s="177">
        <f t="shared" si="706"/>
        <v>74.54117647058824</v>
      </c>
      <c r="O6250" s="175" t="str">
        <f t="shared" si="707"/>
        <v>May</v>
      </c>
      <c r="P6250" s="265">
        <f t="shared" si="708"/>
        <v>20</v>
      </c>
    </row>
    <row r="6251" spans="1:16" ht="15" hidden="1" customHeight="1">
      <c r="A6251" s="489">
        <v>64780901</v>
      </c>
      <c r="B6251" s="489">
        <v>2904</v>
      </c>
      <c r="C6251" s="488">
        <v>19800</v>
      </c>
      <c r="D6251" s="597">
        <v>46167</v>
      </c>
      <c r="E6251" s="489" t="s">
        <v>249</v>
      </c>
      <c r="F6251" s="489" t="s">
        <v>1227</v>
      </c>
      <c r="G6251" s="395">
        <f>VLOOKUP($A6251,'Tech Litons'!$A:$I,8,FALSE)</f>
        <v>3.7839999999999996E-3</v>
      </c>
      <c r="H6251" s="174">
        <f>VLOOKUP($A6251,'Tech Litons'!$A:$I,9,FALSE)</f>
        <v>240</v>
      </c>
      <c r="I6251" s="174" t="str">
        <f>VLOOKUP($A6251,'Tech Litons'!$A:$C,3,0)</f>
        <v>PTS</v>
      </c>
      <c r="J6251" s="175" t="str">
        <f t="shared" si="703"/>
        <v>2904PTS</v>
      </c>
      <c r="K6251" s="176">
        <f>VLOOKUP(I6251,'Attain %'!A:B,2,0)</f>
        <v>0.96</v>
      </c>
      <c r="L6251" s="177">
        <f t="shared" si="704"/>
        <v>19008</v>
      </c>
      <c r="M6251" s="177">
        <f t="shared" si="705"/>
        <v>71.926271999999997</v>
      </c>
      <c r="N6251" s="177">
        <f t="shared" si="706"/>
        <v>79.2</v>
      </c>
      <c r="O6251" s="175" t="str">
        <f t="shared" si="707"/>
        <v>May</v>
      </c>
      <c r="P6251" s="265">
        <f t="shared" si="708"/>
        <v>22</v>
      </c>
    </row>
    <row r="6252" spans="1:16" ht="15" hidden="1" customHeight="1">
      <c r="A6252" s="489">
        <v>68860671</v>
      </c>
      <c r="B6252" s="489">
        <v>2904</v>
      </c>
      <c r="C6252" s="488">
        <v>19800</v>
      </c>
      <c r="D6252" s="597">
        <v>46153</v>
      </c>
      <c r="E6252" s="489" t="s">
        <v>422</v>
      </c>
      <c r="F6252" s="489" t="s">
        <v>1228</v>
      </c>
      <c r="G6252" s="395">
        <f>VLOOKUP($A6252,'Tech Litons'!$A:$I,8,FALSE)</f>
        <v>3.7839999999999996E-3</v>
      </c>
      <c r="H6252" s="174">
        <f>VLOOKUP($A6252,'Tech Litons'!$A:$I,9,FALSE)</f>
        <v>255</v>
      </c>
      <c r="I6252" s="174" t="str">
        <f>VLOOKUP($A6252,'Tech Litons'!$A:$C,3,0)</f>
        <v>Talenti</v>
      </c>
      <c r="J6252" s="175" t="str">
        <f t="shared" si="703"/>
        <v>2904Talenti</v>
      </c>
      <c r="K6252" s="176">
        <f>VLOOKUP(I6252,'Attain %'!A:B,2,0)</f>
        <v>0.96</v>
      </c>
      <c r="L6252" s="177">
        <f t="shared" si="704"/>
        <v>19008</v>
      </c>
      <c r="M6252" s="177">
        <f t="shared" si="705"/>
        <v>71.926271999999997</v>
      </c>
      <c r="N6252" s="177">
        <f t="shared" si="706"/>
        <v>74.54117647058824</v>
      </c>
      <c r="O6252" s="175" t="str">
        <f t="shared" si="707"/>
        <v>May</v>
      </c>
      <c r="P6252" s="265">
        <f t="shared" si="708"/>
        <v>20</v>
      </c>
    </row>
    <row r="6253" spans="1:16" ht="15" hidden="1" customHeight="1">
      <c r="A6253" s="489">
        <v>64956417</v>
      </c>
      <c r="B6253" s="489" t="s">
        <v>139</v>
      </c>
      <c r="C6253" s="488">
        <v>19968</v>
      </c>
      <c r="D6253" s="597">
        <v>46202</v>
      </c>
      <c r="E6253" s="489" t="s">
        <v>621</v>
      </c>
      <c r="F6253" s="489" t="s">
        <v>1223</v>
      </c>
      <c r="G6253" s="395">
        <f>VLOOKUP($A6253,'Tech Litons'!$A:$I,8,FALSE)</f>
        <v>2.16E-3</v>
      </c>
      <c r="H6253" s="174">
        <f>VLOOKUP($A6253,'Tech Litons'!$A:$I,9,FALSE)</f>
        <v>143</v>
      </c>
      <c r="I6253" s="174" t="str">
        <f>VLOOKUP($A6253,'Tech Litons'!$A:$C,3,0)</f>
        <v>Facepieces</v>
      </c>
      <c r="J6253" s="175" t="str">
        <f t="shared" si="703"/>
        <v>IncomFacepieces</v>
      </c>
      <c r="K6253" s="176">
        <f>VLOOKUP(I6253,'Attain %'!A:B,2,0)</f>
        <v>0.96</v>
      </c>
      <c r="L6253" s="177">
        <f t="shared" si="704"/>
        <v>19169.28</v>
      </c>
      <c r="M6253" s="177">
        <f t="shared" si="705"/>
        <v>41.405644799999997</v>
      </c>
      <c r="N6253" s="177">
        <f t="shared" si="706"/>
        <v>134.05090909090907</v>
      </c>
      <c r="O6253" s="175" t="str">
        <f t="shared" si="707"/>
        <v>Jun</v>
      </c>
      <c r="P6253" s="265">
        <f t="shared" si="708"/>
        <v>27</v>
      </c>
    </row>
    <row r="6254" spans="1:16" ht="15" hidden="1" customHeight="1">
      <c r="A6254" s="489">
        <v>64956417</v>
      </c>
      <c r="B6254" s="489" t="s">
        <v>139</v>
      </c>
      <c r="C6254" s="488">
        <v>19968</v>
      </c>
      <c r="D6254" s="597">
        <v>46209</v>
      </c>
      <c r="E6254" s="489" t="s">
        <v>621</v>
      </c>
      <c r="F6254" s="489" t="s">
        <v>1223</v>
      </c>
      <c r="G6254" s="395">
        <f>VLOOKUP($A6254,'Tech Litons'!$A:$I,8,FALSE)</f>
        <v>2.16E-3</v>
      </c>
      <c r="H6254" s="174">
        <f>VLOOKUP($A6254,'Tech Litons'!$A:$I,9,FALSE)</f>
        <v>143</v>
      </c>
      <c r="I6254" s="174" t="str">
        <f>VLOOKUP($A6254,'Tech Litons'!$A:$C,3,0)</f>
        <v>Facepieces</v>
      </c>
      <c r="J6254" s="175" t="str">
        <f t="shared" si="703"/>
        <v>IncomFacepieces</v>
      </c>
      <c r="K6254" s="176">
        <f>VLOOKUP(I6254,'Attain %'!A:B,2,0)</f>
        <v>0.96</v>
      </c>
      <c r="L6254" s="177">
        <f t="shared" si="704"/>
        <v>19169.28</v>
      </c>
      <c r="M6254" s="177">
        <f t="shared" si="705"/>
        <v>41.405644799999997</v>
      </c>
      <c r="N6254" s="177">
        <f t="shared" si="706"/>
        <v>134.05090909090907</v>
      </c>
      <c r="O6254" s="175" t="str">
        <f t="shared" si="707"/>
        <v>Jul</v>
      </c>
      <c r="P6254" s="265">
        <f t="shared" si="708"/>
        <v>28</v>
      </c>
    </row>
    <row r="6255" spans="1:16" ht="15" hidden="1" customHeight="1">
      <c r="A6255" s="489">
        <v>64327161</v>
      </c>
      <c r="B6255" s="489">
        <v>1712</v>
      </c>
      <c r="C6255" s="488">
        <v>20000</v>
      </c>
      <c r="D6255" s="597">
        <v>46342</v>
      </c>
      <c r="E6255" s="489" t="s">
        <v>563</v>
      </c>
      <c r="F6255" s="489" t="s">
        <v>1221</v>
      </c>
      <c r="G6255" s="395">
        <f>VLOOKUP($A6255,'Tech Litons'!$A:$I,8,FALSE)</f>
        <v>1.56E-3</v>
      </c>
      <c r="H6255" s="174">
        <f>VLOOKUP($A6255,'Tech Litons'!$A:$I,9,FALSE)</f>
        <v>240</v>
      </c>
      <c r="I6255" s="174" t="str">
        <f>VLOOKUP($A6255,'Tech Litons'!$A:$C,3,0)</f>
        <v>Yasso Club</v>
      </c>
      <c r="J6255" s="175" t="str">
        <f t="shared" si="703"/>
        <v>1712Yasso Club</v>
      </c>
      <c r="K6255" s="176">
        <f>VLOOKUP(I6255,'Attain %'!A:B,2,0)</f>
        <v>0.96</v>
      </c>
      <c r="L6255" s="177">
        <f t="shared" si="704"/>
        <v>19200</v>
      </c>
      <c r="M6255" s="177">
        <f t="shared" si="705"/>
        <v>29.951999999999998</v>
      </c>
      <c r="N6255" s="177">
        <f t="shared" si="706"/>
        <v>80</v>
      </c>
      <c r="O6255" s="175" t="str">
        <f t="shared" si="707"/>
        <v>Nov</v>
      </c>
      <c r="P6255" s="265">
        <f t="shared" si="708"/>
        <v>47</v>
      </c>
    </row>
    <row r="6256" spans="1:16" ht="15" hidden="1" customHeight="1">
      <c r="A6256" s="489">
        <v>64830947</v>
      </c>
      <c r="B6256" s="489">
        <v>3985</v>
      </c>
      <c r="C6256" s="488">
        <v>20000</v>
      </c>
      <c r="D6256" s="597">
        <v>46139</v>
      </c>
      <c r="E6256" s="489" t="s">
        <v>604</v>
      </c>
      <c r="F6256" s="489" t="s">
        <v>1221</v>
      </c>
      <c r="G6256" s="395">
        <f>VLOOKUP($A6256,'Tech Litons'!$A:$I,8,FALSE)</f>
        <v>9.8999999999999999E-4</v>
      </c>
      <c r="H6256" s="174">
        <f>VLOOKUP($A6256,'Tech Litons'!$A:$I,9,FALSE)</f>
        <v>296</v>
      </c>
      <c r="I6256" s="174" t="str">
        <f>VLOOKUP($A6256,'Tech Litons'!$A:$C,3,0)</f>
        <v>Repack MG Sticks</v>
      </c>
      <c r="J6256" s="175" t="str">
        <f t="shared" si="703"/>
        <v>3985Repack MG Sticks</v>
      </c>
      <c r="K6256" s="176">
        <f>VLOOKUP(I6256,'Attain %'!A:B,2,0)</f>
        <v>0.96</v>
      </c>
      <c r="L6256" s="177">
        <f t="shared" si="704"/>
        <v>19200</v>
      </c>
      <c r="M6256" s="177">
        <f t="shared" si="705"/>
        <v>19.007999999999999</v>
      </c>
      <c r="N6256" s="177">
        <f t="shared" si="706"/>
        <v>64.86486486486487</v>
      </c>
      <c r="O6256" s="175" t="str">
        <f t="shared" si="707"/>
        <v>Apr</v>
      </c>
      <c r="P6256" s="265">
        <f t="shared" si="708"/>
        <v>18</v>
      </c>
    </row>
    <row r="6257" spans="1:16" ht="15" hidden="1" customHeight="1">
      <c r="A6257" s="489">
        <v>64830947</v>
      </c>
      <c r="B6257" s="489">
        <v>3985</v>
      </c>
      <c r="C6257" s="488">
        <v>20000</v>
      </c>
      <c r="D6257" s="597">
        <v>46146</v>
      </c>
      <c r="E6257" s="489" t="s">
        <v>604</v>
      </c>
      <c r="F6257" s="489" t="s">
        <v>1221</v>
      </c>
      <c r="G6257" s="395">
        <f>VLOOKUP($A6257,'Tech Litons'!$A:$I,8,FALSE)</f>
        <v>9.8999999999999999E-4</v>
      </c>
      <c r="H6257" s="174">
        <f>VLOOKUP($A6257,'Tech Litons'!$A:$I,9,FALSE)</f>
        <v>296</v>
      </c>
      <c r="I6257" s="174" t="str">
        <f>VLOOKUP($A6257,'Tech Litons'!$A:$C,3,0)</f>
        <v>Repack MG Sticks</v>
      </c>
      <c r="J6257" s="175" t="str">
        <f t="shared" si="703"/>
        <v>3985Repack MG Sticks</v>
      </c>
      <c r="K6257" s="176">
        <f>VLOOKUP(I6257,'Attain %'!A:B,2,0)</f>
        <v>0.96</v>
      </c>
      <c r="L6257" s="177">
        <f t="shared" si="704"/>
        <v>19200</v>
      </c>
      <c r="M6257" s="177">
        <f t="shared" si="705"/>
        <v>19.007999999999999</v>
      </c>
      <c r="N6257" s="177">
        <f t="shared" si="706"/>
        <v>64.86486486486487</v>
      </c>
      <c r="O6257" s="175" t="str">
        <f t="shared" si="707"/>
        <v>May</v>
      </c>
      <c r="P6257" s="265">
        <f t="shared" si="708"/>
        <v>19</v>
      </c>
    </row>
    <row r="6258" spans="1:16" ht="15" hidden="1" customHeight="1">
      <c r="A6258" s="489">
        <v>64830947</v>
      </c>
      <c r="B6258" s="489">
        <v>3985</v>
      </c>
      <c r="C6258" s="488">
        <v>20000</v>
      </c>
      <c r="D6258" s="597">
        <v>46153</v>
      </c>
      <c r="E6258" s="489" t="s">
        <v>604</v>
      </c>
      <c r="F6258" s="489" t="s">
        <v>1221</v>
      </c>
      <c r="G6258" s="395">
        <f>VLOOKUP($A6258,'Tech Litons'!$A:$I,8,FALSE)</f>
        <v>9.8999999999999999E-4</v>
      </c>
      <c r="H6258" s="174">
        <f>VLOOKUP($A6258,'Tech Litons'!$A:$I,9,FALSE)</f>
        <v>296</v>
      </c>
      <c r="I6258" s="174" t="str">
        <f>VLOOKUP($A6258,'Tech Litons'!$A:$C,3,0)</f>
        <v>Repack MG Sticks</v>
      </c>
      <c r="J6258" s="175" t="str">
        <f t="shared" si="703"/>
        <v>3985Repack MG Sticks</v>
      </c>
      <c r="K6258" s="176">
        <f>VLOOKUP(I6258,'Attain %'!A:B,2,0)</f>
        <v>0.96</v>
      </c>
      <c r="L6258" s="177">
        <f t="shared" si="704"/>
        <v>19200</v>
      </c>
      <c r="M6258" s="177">
        <f t="shared" si="705"/>
        <v>19.007999999999999</v>
      </c>
      <c r="N6258" s="177">
        <f t="shared" si="706"/>
        <v>64.86486486486487</v>
      </c>
      <c r="O6258" s="175" t="str">
        <f t="shared" si="707"/>
        <v>May</v>
      </c>
      <c r="P6258" s="265">
        <f t="shared" si="708"/>
        <v>20</v>
      </c>
    </row>
    <row r="6259" spans="1:16" ht="15" hidden="1" customHeight="1">
      <c r="A6259" s="489">
        <v>64830947</v>
      </c>
      <c r="B6259" s="489">
        <v>3985</v>
      </c>
      <c r="C6259" s="488">
        <v>20000</v>
      </c>
      <c r="D6259" s="597">
        <v>46160</v>
      </c>
      <c r="E6259" s="489" t="s">
        <v>604</v>
      </c>
      <c r="F6259" s="489" t="s">
        <v>1221</v>
      </c>
      <c r="G6259" s="395">
        <f>VLOOKUP($A6259,'Tech Litons'!$A:$I,8,FALSE)</f>
        <v>9.8999999999999999E-4</v>
      </c>
      <c r="H6259" s="174">
        <f>VLOOKUP($A6259,'Tech Litons'!$A:$I,9,FALSE)</f>
        <v>296</v>
      </c>
      <c r="I6259" s="174" t="str">
        <f>VLOOKUP($A6259,'Tech Litons'!$A:$C,3,0)</f>
        <v>Repack MG Sticks</v>
      </c>
      <c r="J6259" s="175" t="str">
        <f t="shared" si="703"/>
        <v>3985Repack MG Sticks</v>
      </c>
      <c r="K6259" s="176">
        <f>VLOOKUP(I6259,'Attain %'!A:B,2,0)</f>
        <v>0.96</v>
      </c>
      <c r="L6259" s="177">
        <f t="shared" si="704"/>
        <v>19200</v>
      </c>
      <c r="M6259" s="177">
        <f t="shared" si="705"/>
        <v>19.007999999999999</v>
      </c>
      <c r="N6259" s="177">
        <f t="shared" si="706"/>
        <v>64.86486486486487</v>
      </c>
      <c r="O6259" s="175" t="str">
        <f t="shared" si="707"/>
        <v>May</v>
      </c>
      <c r="P6259" s="265">
        <f t="shared" si="708"/>
        <v>21</v>
      </c>
    </row>
    <row r="6260" spans="1:16" ht="15" hidden="1" customHeight="1">
      <c r="A6260" s="489">
        <v>64830947</v>
      </c>
      <c r="B6260" s="489">
        <v>3985</v>
      </c>
      <c r="C6260" s="488">
        <v>20000</v>
      </c>
      <c r="D6260" s="597">
        <v>46167</v>
      </c>
      <c r="E6260" s="489" t="s">
        <v>604</v>
      </c>
      <c r="F6260" s="489" t="s">
        <v>1221</v>
      </c>
      <c r="G6260" s="395">
        <f>VLOOKUP($A6260,'Tech Litons'!$A:$I,8,FALSE)</f>
        <v>9.8999999999999999E-4</v>
      </c>
      <c r="H6260" s="174">
        <f>VLOOKUP($A6260,'Tech Litons'!$A:$I,9,FALSE)</f>
        <v>296</v>
      </c>
      <c r="I6260" s="174" t="str">
        <f>VLOOKUP($A6260,'Tech Litons'!$A:$C,3,0)</f>
        <v>Repack MG Sticks</v>
      </c>
      <c r="J6260" s="175" t="str">
        <f t="shared" si="703"/>
        <v>3985Repack MG Sticks</v>
      </c>
      <c r="K6260" s="176">
        <f>VLOOKUP(I6260,'Attain %'!A:B,2,0)</f>
        <v>0.96</v>
      </c>
      <c r="L6260" s="177">
        <f t="shared" si="704"/>
        <v>19200</v>
      </c>
      <c r="M6260" s="177">
        <f t="shared" si="705"/>
        <v>19.007999999999999</v>
      </c>
      <c r="N6260" s="177">
        <f t="shared" si="706"/>
        <v>64.86486486486487</v>
      </c>
      <c r="O6260" s="175" t="str">
        <f t="shared" si="707"/>
        <v>May</v>
      </c>
      <c r="P6260" s="265">
        <f t="shared" si="708"/>
        <v>22</v>
      </c>
    </row>
    <row r="6261" spans="1:16" ht="15" hidden="1" customHeight="1">
      <c r="A6261" s="489">
        <v>64830947</v>
      </c>
      <c r="B6261" s="489">
        <v>3985</v>
      </c>
      <c r="C6261" s="488">
        <v>20000</v>
      </c>
      <c r="D6261" s="597">
        <v>46174</v>
      </c>
      <c r="E6261" s="489" t="s">
        <v>604</v>
      </c>
      <c r="F6261" s="489" t="s">
        <v>1221</v>
      </c>
      <c r="G6261" s="395">
        <f>VLOOKUP($A6261,'Tech Litons'!$A:$I,8,FALSE)</f>
        <v>9.8999999999999999E-4</v>
      </c>
      <c r="H6261" s="174">
        <f>VLOOKUP($A6261,'Tech Litons'!$A:$I,9,FALSE)</f>
        <v>296</v>
      </c>
      <c r="I6261" s="174" t="str">
        <f>VLOOKUP($A6261,'Tech Litons'!$A:$C,3,0)</f>
        <v>Repack MG Sticks</v>
      </c>
      <c r="J6261" s="175" t="str">
        <f t="shared" si="703"/>
        <v>3985Repack MG Sticks</v>
      </c>
      <c r="K6261" s="176">
        <f>VLOOKUP(I6261,'Attain %'!A:B,2,0)</f>
        <v>0.96</v>
      </c>
      <c r="L6261" s="177">
        <f t="shared" si="704"/>
        <v>19200</v>
      </c>
      <c r="M6261" s="177">
        <f t="shared" si="705"/>
        <v>19.007999999999999</v>
      </c>
      <c r="N6261" s="177">
        <f t="shared" si="706"/>
        <v>64.86486486486487</v>
      </c>
      <c r="O6261" s="175" t="str">
        <f t="shared" si="707"/>
        <v>Jun</v>
      </c>
      <c r="P6261" s="265">
        <f t="shared" si="708"/>
        <v>23</v>
      </c>
    </row>
    <row r="6262" spans="1:16" ht="15" hidden="1" customHeight="1">
      <c r="A6262" s="489">
        <v>64830947</v>
      </c>
      <c r="B6262" s="489">
        <v>3985</v>
      </c>
      <c r="C6262" s="488">
        <v>20000</v>
      </c>
      <c r="D6262" s="597">
        <v>46181</v>
      </c>
      <c r="E6262" s="489" t="s">
        <v>604</v>
      </c>
      <c r="F6262" s="489" t="s">
        <v>1221</v>
      </c>
      <c r="G6262" s="395">
        <f>VLOOKUP($A6262,'Tech Litons'!$A:$I,8,FALSE)</f>
        <v>9.8999999999999999E-4</v>
      </c>
      <c r="H6262" s="174">
        <f>VLOOKUP($A6262,'Tech Litons'!$A:$I,9,FALSE)</f>
        <v>296</v>
      </c>
      <c r="I6262" s="174" t="str">
        <f>VLOOKUP($A6262,'Tech Litons'!$A:$C,3,0)</f>
        <v>Repack MG Sticks</v>
      </c>
      <c r="J6262" s="175" t="str">
        <f t="shared" si="703"/>
        <v>3985Repack MG Sticks</v>
      </c>
      <c r="K6262" s="176">
        <f>VLOOKUP(I6262,'Attain %'!A:B,2,0)</f>
        <v>0.96</v>
      </c>
      <c r="L6262" s="177">
        <f t="shared" si="704"/>
        <v>19200</v>
      </c>
      <c r="M6262" s="177">
        <f t="shared" si="705"/>
        <v>19.007999999999999</v>
      </c>
      <c r="N6262" s="177">
        <f t="shared" si="706"/>
        <v>64.86486486486487</v>
      </c>
      <c r="O6262" s="175" t="str">
        <f t="shared" si="707"/>
        <v>Jun</v>
      </c>
      <c r="P6262" s="265">
        <f t="shared" si="708"/>
        <v>24</v>
      </c>
    </row>
    <row r="6263" spans="1:16" ht="15" hidden="1" customHeight="1">
      <c r="A6263" s="489">
        <v>64830947</v>
      </c>
      <c r="B6263" s="489">
        <v>3985</v>
      </c>
      <c r="C6263" s="488">
        <v>20000</v>
      </c>
      <c r="D6263" s="597">
        <v>46188</v>
      </c>
      <c r="E6263" s="489" t="s">
        <v>604</v>
      </c>
      <c r="F6263" s="489" t="s">
        <v>1221</v>
      </c>
      <c r="G6263" s="395">
        <f>VLOOKUP($A6263,'Tech Litons'!$A:$I,8,FALSE)</f>
        <v>9.8999999999999999E-4</v>
      </c>
      <c r="H6263" s="174">
        <f>VLOOKUP($A6263,'Tech Litons'!$A:$I,9,FALSE)</f>
        <v>296</v>
      </c>
      <c r="I6263" s="174" t="str">
        <f>VLOOKUP($A6263,'Tech Litons'!$A:$C,3,0)</f>
        <v>Repack MG Sticks</v>
      </c>
      <c r="J6263" s="175" t="str">
        <f t="shared" si="703"/>
        <v>3985Repack MG Sticks</v>
      </c>
      <c r="K6263" s="176">
        <f>VLOOKUP(I6263,'Attain %'!A:B,2,0)</f>
        <v>0.96</v>
      </c>
      <c r="L6263" s="177">
        <f t="shared" si="704"/>
        <v>19200</v>
      </c>
      <c r="M6263" s="177">
        <f t="shared" si="705"/>
        <v>19.007999999999999</v>
      </c>
      <c r="N6263" s="177">
        <f t="shared" si="706"/>
        <v>64.86486486486487</v>
      </c>
      <c r="O6263" s="175" t="str">
        <f t="shared" si="707"/>
        <v>Jun</v>
      </c>
      <c r="P6263" s="265">
        <f t="shared" si="708"/>
        <v>25</v>
      </c>
    </row>
    <row r="6264" spans="1:16" ht="15" hidden="1" customHeight="1">
      <c r="A6264" s="489">
        <v>64830947</v>
      </c>
      <c r="B6264" s="489">
        <v>3985</v>
      </c>
      <c r="C6264" s="488">
        <v>20000</v>
      </c>
      <c r="D6264" s="597">
        <v>46195</v>
      </c>
      <c r="E6264" s="489" t="s">
        <v>604</v>
      </c>
      <c r="F6264" s="489" t="s">
        <v>1221</v>
      </c>
      <c r="G6264" s="395">
        <f>VLOOKUP($A6264,'Tech Litons'!$A:$I,8,FALSE)</f>
        <v>9.8999999999999999E-4</v>
      </c>
      <c r="H6264" s="174">
        <f>VLOOKUP($A6264,'Tech Litons'!$A:$I,9,FALSE)</f>
        <v>296</v>
      </c>
      <c r="I6264" s="174" t="str">
        <f>VLOOKUP($A6264,'Tech Litons'!$A:$C,3,0)</f>
        <v>Repack MG Sticks</v>
      </c>
      <c r="J6264" s="175" t="str">
        <f t="shared" ref="J6264:J6327" si="709">B6264&amp;I6264</f>
        <v>3985Repack MG Sticks</v>
      </c>
      <c r="K6264" s="176">
        <f>VLOOKUP(I6264,'Attain %'!A:B,2,0)</f>
        <v>0.96</v>
      </c>
      <c r="L6264" s="177">
        <f t="shared" ref="L6264:L6327" si="710">C6264*$K6264</f>
        <v>19200</v>
      </c>
      <c r="M6264" s="177">
        <f t="shared" ref="M6264:M6327" si="711">L6264*G6264</f>
        <v>19.007999999999999</v>
      </c>
      <c r="N6264" s="177">
        <f t="shared" ref="N6264:N6327" si="712">L6264/H6264</f>
        <v>64.86486486486487</v>
      </c>
      <c r="O6264" s="175" t="str">
        <f t="shared" ref="O6264:O6327" si="713">TEXT(D6264,"MMM")</f>
        <v>Jun</v>
      </c>
      <c r="P6264" s="265">
        <f t="shared" ref="P6264:P6327" si="714">WEEKNUM(D6264)</f>
        <v>26</v>
      </c>
    </row>
    <row r="6265" spans="1:16" ht="15" hidden="1" customHeight="1">
      <c r="A6265" s="489">
        <v>64830947</v>
      </c>
      <c r="B6265" s="489">
        <v>3985</v>
      </c>
      <c r="C6265" s="488">
        <v>20000</v>
      </c>
      <c r="D6265" s="597">
        <v>46202</v>
      </c>
      <c r="E6265" s="489" t="s">
        <v>604</v>
      </c>
      <c r="F6265" s="489" t="s">
        <v>1221</v>
      </c>
      <c r="G6265" s="395">
        <f>VLOOKUP($A6265,'Tech Litons'!$A:$I,8,FALSE)</f>
        <v>9.8999999999999999E-4</v>
      </c>
      <c r="H6265" s="174">
        <f>VLOOKUP($A6265,'Tech Litons'!$A:$I,9,FALSE)</f>
        <v>296</v>
      </c>
      <c r="I6265" s="174" t="str">
        <f>VLOOKUP($A6265,'Tech Litons'!$A:$C,3,0)</f>
        <v>Repack MG Sticks</v>
      </c>
      <c r="J6265" s="175" t="str">
        <f t="shared" si="709"/>
        <v>3985Repack MG Sticks</v>
      </c>
      <c r="K6265" s="176">
        <f>VLOOKUP(I6265,'Attain %'!A:B,2,0)</f>
        <v>0.96</v>
      </c>
      <c r="L6265" s="177">
        <f t="shared" si="710"/>
        <v>19200</v>
      </c>
      <c r="M6265" s="177">
        <f t="shared" si="711"/>
        <v>19.007999999999999</v>
      </c>
      <c r="N6265" s="177">
        <f t="shared" si="712"/>
        <v>64.86486486486487</v>
      </c>
      <c r="O6265" s="175" t="str">
        <f t="shared" si="713"/>
        <v>Jun</v>
      </c>
      <c r="P6265" s="265">
        <f t="shared" si="714"/>
        <v>27</v>
      </c>
    </row>
    <row r="6266" spans="1:16" ht="15" hidden="1" customHeight="1">
      <c r="A6266" s="489">
        <v>64830947</v>
      </c>
      <c r="B6266" s="489">
        <v>3985</v>
      </c>
      <c r="C6266" s="488">
        <v>20000</v>
      </c>
      <c r="D6266" s="597">
        <v>46209</v>
      </c>
      <c r="E6266" s="489" t="s">
        <v>604</v>
      </c>
      <c r="F6266" s="489" t="s">
        <v>1221</v>
      </c>
      <c r="G6266" s="395">
        <f>VLOOKUP($A6266,'Tech Litons'!$A:$I,8,FALSE)</f>
        <v>9.8999999999999999E-4</v>
      </c>
      <c r="H6266" s="174">
        <f>VLOOKUP($A6266,'Tech Litons'!$A:$I,9,FALSE)</f>
        <v>296</v>
      </c>
      <c r="I6266" s="174" t="str">
        <f>VLOOKUP($A6266,'Tech Litons'!$A:$C,3,0)</f>
        <v>Repack MG Sticks</v>
      </c>
      <c r="J6266" s="175" t="str">
        <f t="shared" si="709"/>
        <v>3985Repack MG Sticks</v>
      </c>
      <c r="K6266" s="176">
        <f>VLOOKUP(I6266,'Attain %'!A:B,2,0)</f>
        <v>0.96</v>
      </c>
      <c r="L6266" s="177">
        <f t="shared" si="710"/>
        <v>19200</v>
      </c>
      <c r="M6266" s="177">
        <f t="shared" si="711"/>
        <v>19.007999999999999</v>
      </c>
      <c r="N6266" s="177">
        <f t="shared" si="712"/>
        <v>64.86486486486487</v>
      </c>
      <c r="O6266" s="175" t="str">
        <f t="shared" si="713"/>
        <v>Jul</v>
      </c>
      <c r="P6266" s="265">
        <f t="shared" si="714"/>
        <v>28</v>
      </c>
    </row>
    <row r="6267" spans="1:16" ht="15" hidden="1" customHeight="1">
      <c r="A6267" s="489">
        <v>64830947</v>
      </c>
      <c r="B6267" s="489">
        <v>3985</v>
      </c>
      <c r="C6267" s="488">
        <v>20000</v>
      </c>
      <c r="D6267" s="597">
        <v>46216</v>
      </c>
      <c r="E6267" s="489" t="s">
        <v>604</v>
      </c>
      <c r="F6267" s="489" t="s">
        <v>1221</v>
      </c>
      <c r="G6267" s="395">
        <f>VLOOKUP($A6267,'Tech Litons'!$A:$I,8,FALSE)</f>
        <v>9.8999999999999999E-4</v>
      </c>
      <c r="H6267" s="174">
        <f>VLOOKUP($A6267,'Tech Litons'!$A:$I,9,FALSE)</f>
        <v>296</v>
      </c>
      <c r="I6267" s="174" t="str">
        <f>VLOOKUP($A6267,'Tech Litons'!$A:$C,3,0)</f>
        <v>Repack MG Sticks</v>
      </c>
      <c r="J6267" s="175" t="str">
        <f t="shared" si="709"/>
        <v>3985Repack MG Sticks</v>
      </c>
      <c r="K6267" s="176">
        <f>VLOOKUP(I6267,'Attain %'!A:B,2,0)</f>
        <v>0.96</v>
      </c>
      <c r="L6267" s="177">
        <f t="shared" si="710"/>
        <v>19200</v>
      </c>
      <c r="M6267" s="177">
        <f t="shared" si="711"/>
        <v>19.007999999999999</v>
      </c>
      <c r="N6267" s="177">
        <f t="shared" si="712"/>
        <v>64.86486486486487</v>
      </c>
      <c r="O6267" s="175" t="str">
        <f t="shared" si="713"/>
        <v>Jul</v>
      </c>
      <c r="P6267" s="265">
        <f t="shared" si="714"/>
        <v>29</v>
      </c>
    </row>
    <row r="6268" spans="1:16" ht="15" hidden="1" customHeight="1">
      <c r="A6268" s="489">
        <v>64979410</v>
      </c>
      <c r="B6268" s="489">
        <v>6764</v>
      </c>
      <c r="C6268" s="488">
        <v>20000</v>
      </c>
      <c r="D6268" s="597">
        <v>46118</v>
      </c>
      <c r="E6268" s="489" t="s">
        <v>611</v>
      </c>
      <c r="F6268" s="489" t="s">
        <v>1221</v>
      </c>
      <c r="G6268" s="395">
        <f>VLOOKUP($A6268,'Tech Litons'!$A:$I,8,FALSE)</f>
        <v>4.248E-3</v>
      </c>
      <c r="H6268" s="174">
        <f>VLOOKUP($A6268,'Tech Litons'!$A:$I,9,FALSE)</f>
        <v>324</v>
      </c>
      <c r="I6268" s="174" t="str">
        <f>VLOOKUP($A6268,'Tech Litons'!$A:$C,3,0)</f>
        <v>Other</v>
      </c>
      <c r="J6268" s="175" t="str">
        <f t="shared" si="709"/>
        <v>6764Other</v>
      </c>
      <c r="K6268" s="176">
        <f>VLOOKUP(I6268,'Attain %'!A:B,2,0)</f>
        <v>0.96</v>
      </c>
      <c r="L6268" s="177">
        <f t="shared" si="710"/>
        <v>19200</v>
      </c>
      <c r="M6268" s="177">
        <f t="shared" si="711"/>
        <v>81.561599999999999</v>
      </c>
      <c r="N6268" s="177">
        <f t="shared" si="712"/>
        <v>59.25925925925926</v>
      </c>
      <c r="O6268" s="175" t="str">
        <f t="shared" si="713"/>
        <v>Apr</v>
      </c>
      <c r="P6268" s="265">
        <f t="shared" si="714"/>
        <v>15</v>
      </c>
    </row>
    <row r="6269" spans="1:16" ht="15" hidden="1" customHeight="1">
      <c r="A6269" s="489">
        <v>64979410</v>
      </c>
      <c r="B6269" s="489">
        <v>6764</v>
      </c>
      <c r="C6269" s="488">
        <v>20000</v>
      </c>
      <c r="D6269" s="597">
        <v>46125</v>
      </c>
      <c r="E6269" s="489" t="s">
        <v>611</v>
      </c>
      <c r="F6269" s="489" t="s">
        <v>1221</v>
      </c>
      <c r="G6269" s="395">
        <f>VLOOKUP($A6269,'Tech Litons'!$A:$I,8,FALSE)</f>
        <v>4.248E-3</v>
      </c>
      <c r="H6269" s="174">
        <f>VLOOKUP($A6269,'Tech Litons'!$A:$I,9,FALSE)</f>
        <v>324</v>
      </c>
      <c r="I6269" s="174" t="str">
        <f>VLOOKUP($A6269,'Tech Litons'!$A:$C,3,0)</f>
        <v>Other</v>
      </c>
      <c r="J6269" s="175" t="str">
        <f t="shared" si="709"/>
        <v>6764Other</v>
      </c>
      <c r="K6269" s="176">
        <f>VLOOKUP(I6269,'Attain %'!A:B,2,0)</f>
        <v>0.96</v>
      </c>
      <c r="L6269" s="177">
        <f t="shared" si="710"/>
        <v>19200</v>
      </c>
      <c r="M6269" s="177">
        <f t="shared" si="711"/>
        <v>81.561599999999999</v>
      </c>
      <c r="N6269" s="177">
        <f t="shared" si="712"/>
        <v>59.25925925925926</v>
      </c>
      <c r="O6269" s="175" t="str">
        <f t="shared" si="713"/>
        <v>Apr</v>
      </c>
      <c r="P6269" s="265">
        <f t="shared" si="714"/>
        <v>16</v>
      </c>
    </row>
    <row r="6270" spans="1:16" ht="15" hidden="1" customHeight="1">
      <c r="A6270" s="489">
        <v>64979410</v>
      </c>
      <c r="B6270" s="489">
        <v>6764</v>
      </c>
      <c r="C6270" s="488">
        <v>20000</v>
      </c>
      <c r="D6270" s="597">
        <v>46139</v>
      </c>
      <c r="E6270" s="489" t="s">
        <v>611</v>
      </c>
      <c r="F6270" s="489" t="s">
        <v>1221</v>
      </c>
      <c r="G6270" s="395">
        <f>VLOOKUP($A6270,'Tech Litons'!$A:$I,8,FALSE)</f>
        <v>4.248E-3</v>
      </c>
      <c r="H6270" s="174">
        <f>VLOOKUP($A6270,'Tech Litons'!$A:$I,9,FALSE)</f>
        <v>324</v>
      </c>
      <c r="I6270" s="174" t="str">
        <f>VLOOKUP($A6270,'Tech Litons'!$A:$C,3,0)</f>
        <v>Other</v>
      </c>
      <c r="J6270" s="175" t="str">
        <f t="shared" si="709"/>
        <v>6764Other</v>
      </c>
      <c r="K6270" s="176">
        <f>VLOOKUP(I6270,'Attain %'!A:B,2,0)</f>
        <v>0.96</v>
      </c>
      <c r="L6270" s="177">
        <f t="shared" si="710"/>
        <v>19200</v>
      </c>
      <c r="M6270" s="177">
        <f t="shared" si="711"/>
        <v>81.561599999999999</v>
      </c>
      <c r="N6270" s="177">
        <f t="shared" si="712"/>
        <v>59.25925925925926</v>
      </c>
      <c r="O6270" s="175" t="str">
        <f t="shared" si="713"/>
        <v>Apr</v>
      </c>
      <c r="P6270" s="265">
        <f t="shared" si="714"/>
        <v>18</v>
      </c>
    </row>
    <row r="6271" spans="1:16" ht="15" hidden="1" customHeight="1">
      <c r="A6271" s="489">
        <v>64979410</v>
      </c>
      <c r="B6271" s="489">
        <v>6764</v>
      </c>
      <c r="C6271" s="488">
        <v>20000</v>
      </c>
      <c r="D6271" s="597">
        <v>46146</v>
      </c>
      <c r="E6271" s="489" t="s">
        <v>611</v>
      </c>
      <c r="F6271" s="489" t="s">
        <v>1221</v>
      </c>
      <c r="G6271" s="395">
        <f>VLOOKUP($A6271,'Tech Litons'!$A:$I,8,FALSE)</f>
        <v>4.248E-3</v>
      </c>
      <c r="H6271" s="174">
        <f>VLOOKUP($A6271,'Tech Litons'!$A:$I,9,FALSE)</f>
        <v>324</v>
      </c>
      <c r="I6271" s="174" t="str">
        <f>VLOOKUP($A6271,'Tech Litons'!$A:$C,3,0)</f>
        <v>Other</v>
      </c>
      <c r="J6271" s="175" t="str">
        <f t="shared" si="709"/>
        <v>6764Other</v>
      </c>
      <c r="K6271" s="176">
        <f>VLOOKUP(I6271,'Attain %'!A:B,2,0)</f>
        <v>0.96</v>
      </c>
      <c r="L6271" s="177">
        <f t="shared" si="710"/>
        <v>19200</v>
      </c>
      <c r="M6271" s="177">
        <f t="shared" si="711"/>
        <v>81.561599999999999</v>
      </c>
      <c r="N6271" s="177">
        <f t="shared" si="712"/>
        <v>59.25925925925926</v>
      </c>
      <c r="O6271" s="175" t="str">
        <f t="shared" si="713"/>
        <v>May</v>
      </c>
      <c r="P6271" s="265">
        <f t="shared" si="714"/>
        <v>19</v>
      </c>
    </row>
    <row r="6272" spans="1:16" ht="15" hidden="1" customHeight="1">
      <c r="A6272" s="489">
        <v>64979410</v>
      </c>
      <c r="B6272" s="489">
        <v>6764</v>
      </c>
      <c r="C6272" s="488">
        <v>20000</v>
      </c>
      <c r="D6272" s="597">
        <v>46153</v>
      </c>
      <c r="E6272" s="489" t="s">
        <v>611</v>
      </c>
      <c r="F6272" s="489" t="s">
        <v>1221</v>
      </c>
      <c r="G6272" s="395">
        <f>VLOOKUP($A6272,'Tech Litons'!$A:$I,8,FALSE)</f>
        <v>4.248E-3</v>
      </c>
      <c r="H6272" s="174">
        <f>VLOOKUP($A6272,'Tech Litons'!$A:$I,9,FALSE)</f>
        <v>324</v>
      </c>
      <c r="I6272" s="174" t="str">
        <f>VLOOKUP($A6272,'Tech Litons'!$A:$C,3,0)</f>
        <v>Other</v>
      </c>
      <c r="J6272" s="175" t="str">
        <f t="shared" si="709"/>
        <v>6764Other</v>
      </c>
      <c r="K6272" s="176">
        <f>VLOOKUP(I6272,'Attain %'!A:B,2,0)</f>
        <v>0.96</v>
      </c>
      <c r="L6272" s="177">
        <f t="shared" si="710"/>
        <v>19200</v>
      </c>
      <c r="M6272" s="177">
        <f t="shared" si="711"/>
        <v>81.561599999999999</v>
      </c>
      <c r="N6272" s="177">
        <f t="shared" si="712"/>
        <v>59.25925925925926</v>
      </c>
      <c r="O6272" s="175" t="str">
        <f t="shared" si="713"/>
        <v>May</v>
      </c>
      <c r="P6272" s="265">
        <f t="shared" si="714"/>
        <v>20</v>
      </c>
    </row>
    <row r="6273" spans="1:16" ht="15" hidden="1" customHeight="1">
      <c r="A6273" s="489">
        <v>64979410</v>
      </c>
      <c r="B6273" s="489">
        <v>6764</v>
      </c>
      <c r="C6273" s="488">
        <v>20000</v>
      </c>
      <c r="D6273" s="597">
        <v>46167</v>
      </c>
      <c r="E6273" s="489" t="s">
        <v>611</v>
      </c>
      <c r="F6273" s="489" t="s">
        <v>1221</v>
      </c>
      <c r="G6273" s="395">
        <f>VLOOKUP($A6273,'Tech Litons'!$A:$I,8,FALSE)</f>
        <v>4.248E-3</v>
      </c>
      <c r="H6273" s="174">
        <f>VLOOKUP($A6273,'Tech Litons'!$A:$I,9,FALSE)</f>
        <v>324</v>
      </c>
      <c r="I6273" s="174" t="str">
        <f>VLOOKUP($A6273,'Tech Litons'!$A:$C,3,0)</f>
        <v>Other</v>
      </c>
      <c r="J6273" s="175" t="str">
        <f t="shared" si="709"/>
        <v>6764Other</v>
      </c>
      <c r="K6273" s="176">
        <f>VLOOKUP(I6273,'Attain %'!A:B,2,0)</f>
        <v>0.96</v>
      </c>
      <c r="L6273" s="177">
        <f t="shared" si="710"/>
        <v>19200</v>
      </c>
      <c r="M6273" s="177">
        <f t="shared" si="711"/>
        <v>81.561599999999999</v>
      </c>
      <c r="N6273" s="177">
        <f t="shared" si="712"/>
        <v>59.25925925925926</v>
      </c>
      <c r="O6273" s="175" t="str">
        <f t="shared" si="713"/>
        <v>May</v>
      </c>
      <c r="P6273" s="265">
        <f t="shared" si="714"/>
        <v>22</v>
      </c>
    </row>
    <row r="6274" spans="1:16" ht="15" hidden="1" customHeight="1">
      <c r="A6274" s="489">
        <v>64979410</v>
      </c>
      <c r="B6274" s="489">
        <v>6764</v>
      </c>
      <c r="C6274" s="488">
        <v>20000</v>
      </c>
      <c r="D6274" s="597">
        <v>46174</v>
      </c>
      <c r="E6274" s="489" t="s">
        <v>611</v>
      </c>
      <c r="F6274" s="489" t="s">
        <v>1221</v>
      </c>
      <c r="G6274" s="395">
        <f>VLOOKUP($A6274,'Tech Litons'!$A:$I,8,FALSE)</f>
        <v>4.248E-3</v>
      </c>
      <c r="H6274" s="174">
        <f>VLOOKUP($A6274,'Tech Litons'!$A:$I,9,FALSE)</f>
        <v>324</v>
      </c>
      <c r="I6274" s="174" t="str">
        <f>VLOOKUP($A6274,'Tech Litons'!$A:$C,3,0)</f>
        <v>Other</v>
      </c>
      <c r="J6274" s="175" t="str">
        <f t="shared" si="709"/>
        <v>6764Other</v>
      </c>
      <c r="K6274" s="176">
        <f>VLOOKUP(I6274,'Attain %'!A:B,2,0)</f>
        <v>0.96</v>
      </c>
      <c r="L6274" s="177">
        <f t="shared" si="710"/>
        <v>19200</v>
      </c>
      <c r="M6274" s="177">
        <f t="shared" si="711"/>
        <v>81.561599999999999</v>
      </c>
      <c r="N6274" s="177">
        <f t="shared" si="712"/>
        <v>59.25925925925926</v>
      </c>
      <c r="O6274" s="175" t="str">
        <f t="shared" si="713"/>
        <v>Jun</v>
      </c>
      <c r="P6274" s="265">
        <f t="shared" si="714"/>
        <v>23</v>
      </c>
    </row>
    <row r="6275" spans="1:16" ht="15" hidden="1" customHeight="1">
      <c r="A6275" s="489">
        <v>64979410</v>
      </c>
      <c r="B6275" s="489">
        <v>6764</v>
      </c>
      <c r="C6275" s="488">
        <v>20000</v>
      </c>
      <c r="D6275" s="597">
        <v>46181</v>
      </c>
      <c r="E6275" s="489" t="s">
        <v>611</v>
      </c>
      <c r="F6275" s="489" t="s">
        <v>1221</v>
      </c>
      <c r="G6275" s="395">
        <f>VLOOKUP($A6275,'Tech Litons'!$A:$I,8,FALSE)</f>
        <v>4.248E-3</v>
      </c>
      <c r="H6275" s="174">
        <f>VLOOKUP($A6275,'Tech Litons'!$A:$I,9,FALSE)</f>
        <v>324</v>
      </c>
      <c r="I6275" s="174" t="str">
        <f>VLOOKUP($A6275,'Tech Litons'!$A:$C,3,0)</f>
        <v>Other</v>
      </c>
      <c r="J6275" s="175" t="str">
        <f t="shared" si="709"/>
        <v>6764Other</v>
      </c>
      <c r="K6275" s="176">
        <f>VLOOKUP(I6275,'Attain %'!A:B,2,0)</f>
        <v>0.96</v>
      </c>
      <c r="L6275" s="177">
        <f t="shared" si="710"/>
        <v>19200</v>
      </c>
      <c r="M6275" s="177">
        <f t="shared" si="711"/>
        <v>81.561599999999999</v>
      </c>
      <c r="N6275" s="177">
        <f t="shared" si="712"/>
        <v>59.25925925925926</v>
      </c>
      <c r="O6275" s="175" t="str">
        <f t="shared" si="713"/>
        <v>Jun</v>
      </c>
      <c r="P6275" s="265">
        <f t="shared" si="714"/>
        <v>24</v>
      </c>
    </row>
    <row r="6276" spans="1:16" ht="15" hidden="1" customHeight="1">
      <c r="A6276" s="489">
        <v>64979410</v>
      </c>
      <c r="B6276" s="489">
        <v>6764</v>
      </c>
      <c r="C6276" s="488">
        <v>20000</v>
      </c>
      <c r="D6276" s="597">
        <v>46195</v>
      </c>
      <c r="E6276" s="489" t="s">
        <v>611</v>
      </c>
      <c r="F6276" s="489" t="s">
        <v>1221</v>
      </c>
      <c r="G6276" s="395">
        <f>VLOOKUP($A6276,'Tech Litons'!$A:$I,8,FALSE)</f>
        <v>4.248E-3</v>
      </c>
      <c r="H6276" s="174">
        <f>VLOOKUP($A6276,'Tech Litons'!$A:$I,9,FALSE)</f>
        <v>324</v>
      </c>
      <c r="I6276" s="174" t="str">
        <f>VLOOKUP($A6276,'Tech Litons'!$A:$C,3,0)</f>
        <v>Other</v>
      </c>
      <c r="J6276" s="175" t="str">
        <f t="shared" si="709"/>
        <v>6764Other</v>
      </c>
      <c r="K6276" s="176">
        <f>VLOOKUP(I6276,'Attain %'!A:B,2,0)</f>
        <v>0.96</v>
      </c>
      <c r="L6276" s="177">
        <f t="shared" si="710"/>
        <v>19200</v>
      </c>
      <c r="M6276" s="177">
        <f t="shared" si="711"/>
        <v>81.561599999999999</v>
      </c>
      <c r="N6276" s="177">
        <f t="shared" si="712"/>
        <v>59.25925925925926</v>
      </c>
      <c r="O6276" s="175" t="str">
        <f t="shared" si="713"/>
        <v>Jun</v>
      </c>
      <c r="P6276" s="265">
        <f t="shared" si="714"/>
        <v>26</v>
      </c>
    </row>
    <row r="6277" spans="1:16" ht="15" hidden="1" customHeight="1">
      <c r="A6277" s="489">
        <v>64979410</v>
      </c>
      <c r="B6277" s="489">
        <v>6764</v>
      </c>
      <c r="C6277" s="488">
        <v>20000</v>
      </c>
      <c r="D6277" s="597">
        <v>46202</v>
      </c>
      <c r="E6277" s="489" t="s">
        <v>611</v>
      </c>
      <c r="F6277" s="489" t="s">
        <v>1221</v>
      </c>
      <c r="G6277" s="395">
        <f>VLOOKUP($A6277,'Tech Litons'!$A:$I,8,FALSE)</f>
        <v>4.248E-3</v>
      </c>
      <c r="H6277" s="174">
        <f>VLOOKUP($A6277,'Tech Litons'!$A:$I,9,FALSE)</f>
        <v>324</v>
      </c>
      <c r="I6277" s="174" t="str">
        <f>VLOOKUP($A6277,'Tech Litons'!$A:$C,3,0)</f>
        <v>Other</v>
      </c>
      <c r="J6277" s="175" t="str">
        <f t="shared" si="709"/>
        <v>6764Other</v>
      </c>
      <c r="K6277" s="176">
        <f>VLOOKUP(I6277,'Attain %'!A:B,2,0)</f>
        <v>0.96</v>
      </c>
      <c r="L6277" s="177">
        <f t="shared" si="710"/>
        <v>19200</v>
      </c>
      <c r="M6277" s="177">
        <f t="shared" si="711"/>
        <v>81.561599999999999</v>
      </c>
      <c r="N6277" s="177">
        <f t="shared" si="712"/>
        <v>59.25925925925926</v>
      </c>
      <c r="O6277" s="175" t="str">
        <f t="shared" si="713"/>
        <v>Jun</v>
      </c>
      <c r="P6277" s="265">
        <f t="shared" si="714"/>
        <v>27</v>
      </c>
    </row>
    <row r="6278" spans="1:16" ht="15" hidden="1" customHeight="1">
      <c r="A6278" s="489">
        <v>64979410</v>
      </c>
      <c r="B6278" s="489">
        <v>6764</v>
      </c>
      <c r="C6278" s="488">
        <v>20000</v>
      </c>
      <c r="D6278" s="597">
        <v>46223</v>
      </c>
      <c r="E6278" s="489" t="s">
        <v>611</v>
      </c>
      <c r="F6278" s="489" t="s">
        <v>1221</v>
      </c>
      <c r="G6278" s="395">
        <f>VLOOKUP($A6278,'Tech Litons'!$A:$I,8,FALSE)</f>
        <v>4.248E-3</v>
      </c>
      <c r="H6278" s="174">
        <f>VLOOKUP($A6278,'Tech Litons'!$A:$I,9,FALSE)</f>
        <v>324</v>
      </c>
      <c r="I6278" s="174" t="str">
        <f>VLOOKUP($A6278,'Tech Litons'!$A:$C,3,0)</f>
        <v>Other</v>
      </c>
      <c r="J6278" s="175" t="str">
        <f t="shared" si="709"/>
        <v>6764Other</v>
      </c>
      <c r="K6278" s="176">
        <f>VLOOKUP(I6278,'Attain %'!A:B,2,0)</f>
        <v>0.96</v>
      </c>
      <c r="L6278" s="177">
        <f t="shared" si="710"/>
        <v>19200</v>
      </c>
      <c r="M6278" s="177">
        <f t="shared" si="711"/>
        <v>81.561599999999999</v>
      </c>
      <c r="N6278" s="177">
        <f t="shared" si="712"/>
        <v>59.25925925925926</v>
      </c>
      <c r="O6278" s="175" t="str">
        <f t="shared" si="713"/>
        <v>Jul</v>
      </c>
      <c r="P6278" s="265">
        <f t="shared" si="714"/>
        <v>30</v>
      </c>
    </row>
    <row r="6279" spans="1:16" ht="15" hidden="1" customHeight="1">
      <c r="A6279" s="489">
        <v>64979410</v>
      </c>
      <c r="B6279" s="489">
        <v>6764</v>
      </c>
      <c r="C6279" s="488">
        <v>20000</v>
      </c>
      <c r="D6279" s="597">
        <v>46230</v>
      </c>
      <c r="E6279" s="489" t="s">
        <v>611</v>
      </c>
      <c r="F6279" s="489" t="s">
        <v>1221</v>
      </c>
      <c r="G6279" s="395">
        <f>VLOOKUP($A6279,'Tech Litons'!$A:$I,8,FALSE)</f>
        <v>4.248E-3</v>
      </c>
      <c r="H6279" s="174">
        <f>VLOOKUP($A6279,'Tech Litons'!$A:$I,9,FALSE)</f>
        <v>324</v>
      </c>
      <c r="I6279" s="174" t="str">
        <f>VLOOKUP($A6279,'Tech Litons'!$A:$C,3,0)</f>
        <v>Other</v>
      </c>
      <c r="J6279" s="175" t="str">
        <f t="shared" si="709"/>
        <v>6764Other</v>
      </c>
      <c r="K6279" s="176">
        <f>VLOOKUP(I6279,'Attain %'!A:B,2,0)</f>
        <v>0.96</v>
      </c>
      <c r="L6279" s="177">
        <f t="shared" si="710"/>
        <v>19200</v>
      </c>
      <c r="M6279" s="177">
        <f t="shared" si="711"/>
        <v>81.561599999999999</v>
      </c>
      <c r="N6279" s="177">
        <f t="shared" si="712"/>
        <v>59.25925925925926</v>
      </c>
      <c r="O6279" s="175" t="str">
        <f t="shared" si="713"/>
        <v>Jul</v>
      </c>
      <c r="P6279" s="265">
        <f t="shared" si="714"/>
        <v>31</v>
      </c>
    </row>
    <row r="6280" spans="1:16" ht="15" hidden="1" customHeight="1">
      <c r="A6280" s="489">
        <v>64979410</v>
      </c>
      <c r="B6280" s="489">
        <v>6764</v>
      </c>
      <c r="C6280" s="488">
        <v>20000</v>
      </c>
      <c r="D6280" s="597">
        <v>46251</v>
      </c>
      <c r="E6280" s="489" t="s">
        <v>611</v>
      </c>
      <c r="F6280" s="489" t="s">
        <v>1221</v>
      </c>
      <c r="G6280" s="395">
        <f>VLOOKUP($A6280,'Tech Litons'!$A:$I,8,FALSE)</f>
        <v>4.248E-3</v>
      </c>
      <c r="H6280" s="174">
        <f>VLOOKUP($A6280,'Tech Litons'!$A:$I,9,FALSE)</f>
        <v>324</v>
      </c>
      <c r="I6280" s="174" t="str">
        <f>VLOOKUP($A6280,'Tech Litons'!$A:$C,3,0)</f>
        <v>Other</v>
      </c>
      <c r="J6280" s="175" t="str">
        <f t="shared" si="709"/>
        <v>6764Other</v>
      </c>
      <c r="K6280" s="176">
        <f>VLOOKUP(I6280,'Attain %'!A:B,2,0)</f>
        <v>0.96</v>
      </c>
      <c r="L6280" s="177">
        <f t="shared" si="710"/>
        <v>19200</v>
      </c>
      <c r="M6280" s="177">
        <f t="shared" si="711"/>
        <v>81.561599999999999</v>
      </c>
      <c r="N6280" s="177">
        <f t="shared" si="712"/>
        <v>59.25925925925926</v>
      </c>
      <c r="O6280" s="175" t="str">
        <f t="shared" si="713"/>
        <v>Aug</v>
      </c>
      <c r="P6280" s="265">
        <f t="shared" si="714"/>
        <v>34</v>
      </c>
    </row>
    <row r="6281" spans="1:16" ht="15" hidden="1" customHeight="1">
      <c r="A6281" s="489">
        <v>64979410</v>
      </c>
      <c r="B6281" s="489">
        <v>6764</v>
      </c>
      <c r="C6281" s="488">
        <v>20000</v>
      </c>
      <c r="D6281" s="597">
        <v>46258</v>
      </c>
      <c r="E6281" s="489" t="s">
        <v>611</v>
      </c>
      <c r="F6281" s="489" t="s">
        <v>1221</v>
      </c>
      <c r="G6281" s="395">
        <f>VLOOKUP($A6281,'Tech Litons'!$A:$I,8,FALSE)</f>
        <v>4.248E-3</v>
      </c>
      <c r="H6281" s="174">
        <f>VLOOKUP($A6281,'Tech Litons'!$A:$I,9,FALSE)</f>
        <v>324</v>
      </c>
      <c r="I6281" s="174" t="str">
        <f>VLOOKUP($A6281,'Tech Litons'!$A:$C,3,0)</f>
        <v>Other</v>
      </c>
      <c r="J6281" s="175" t="str">
        <f t="shared" si="709"/>
        <v>6764Other</v>
      </c>
      <c r="K6281" s="176">
        <f>VLOOKUP(I6281,'Attain %'!A:B,2,0)</f>
        <v>0.96</v>
      </c>
      <c r="L6281" s="177">
        <f t="shared" si="710"/>
        <v>19200</v>
      </c>
      <c r="M6281" s="177">
        <f t="shared" si="711"/>
        <v>81.561599999999999</v>
      </c>
      <c r="N6281" s="177">
        <f t="shared" si="712"/>
        <v>59.25925925925926</v>
      </c>
      <c r="O6281" s="175" t="str">
        <f t="shared" si="713"/>
        <v>Aug</v>
      </c>
      <c r="P6281" s="265">
        <f t="shared" si="714"/>
        <v>35</v>
      </c>
    </row>
    <row r="6282" spans="1:16" ht="15" hidden="1" customHeight="1">
      <c r="A6282" s="489">
        <v>64979410</v>
      </c>
      <c r="B6282" s="489">
        <v>6764</v>
      </c>
      <c r="C6282" s="488">
        <v>20000</v>
      </c>
      <c r="D6282" s="597">
        <v>46279</v>
      </c>
      <c r="E6282" s="489" t="s">
        <v>611</v>
      </c>
      <c r="F6282" s="489" t="s">
        <v>1221</v>
      </c>
      <c r="G6282" s="395">
        <f>VLOOKUP($A6282,'Tech Litons'!$A:$I,8,FALSE)</f>
        <v>4.248E-3</v>
      </c>
      <c r="H6282" s="174">
        <f>VLOOKUP($A6282,'Tech Litons'!$A:$I,9,FALSE)</f>
        <v>324</v>
      </c>
      <c r="I6282" s="174" t="str">
        <f>VLOOKUP($A6282,'Tech Litons'!$A:$C,3,0)</f>
        <v>Other</v>
      </c>
      <c r="J6282" s="175" t="str">
        <f t="shared" si="709"/>
        <v>6764Other</v>
      </c>
      <c r="K6282" s="176">
        <f>VLOOKUP(I6282,'Attain %'!A:B,2,0)</f>
        <v>0.96</v>
      </c>
      <c r="L6282" s="177">
        <f t="shared" si="710"/>
        <v>19200</v>
      </c>
      <c r="M6282" s="177">
        <f t="shared" si="711"/>
        <v>81.561599999999999</v>
      </c>
      <c r="N6282" s="177">
        <f t="shared" si="712"/>
        <v>59.25925925925926</v>
      </c>
      <c r="O6282" s="175" t="str">
        <f t="shared" si="713"/>
        <v>Sep</v>
      </c>
      <c r="P6282" s="265">
        <f t="shared" si="714"/>
        <v>38</v>
      </c>
    </row>
    <row r="6283" spans="1:16" ht="15" hidden="1" customHeight="1">
      <c r="A6283" s="489">
        <v>64979410</v>
      </c>
      <c r="B6283" s="489">
        <v>6764</v>
      </c>
      <c r="C6283" s="488">
        <v>20000</v>
      </c>
      <c r="D6283" s="597">
        <v>46300</v>
      </c>
      <c r="E6283" s="489" t="s">
        <v>611</v>
      </c>
      <c r="F6283" s="489" t="s">
        <v>1221</v>
      </c>
      <c r="G6283" s="395">
        <f>VLOOKUP($A6283,'Tech Litons'!$A:$I,8,FALSE)</f>
        <v>4.248E-3</v>
      </c>
      <c r="H6283" s="174">
        <f>VLOOKUP($A6283,'Tech Litons'!$A:$I,9,FALSE)</f>
        <v>324</v>
      </c>
      <c r="I6283" s="174" t="str">
        <f>VLOOKUP($A6283,'Tech Litons'!$A:$C,3,0)</f>
        <v>Other</v>
      </c>
      <c r="J6283" s="175" t="str">
        <f t="shared" si="709"/>
        <v>6764Other</v>
      </c>
      <c r="K6283" s="176">
        <f>VLOOKUP(I6283,'Attain %'!A:B,2,0)</f>
        <v>0.96</v>
      </c>
      <c r="L6283" s="177">
        <f t="shared" si="710"/>
        <v>19200</v>
      </c>
      <c r="M6283" s="177">
        <f t="shared" si="711"/>
        <v>81.561599999999999</v>
      </c>
      <c r="N6283" s="177">
        <f t="shared" si="712"/>
        <v>59.25925925925926</v>
      </c>
      <c r="O6283" s="175" t="str">
        <f t="shared" si="713"/>
        <v>Oct</v>
      </c>
      <c r="P6283" s="265">
        <f t="shared" si="714"/>
        <v>41</v>
      </c>
    </row>
    <row r="6284" spans="1:16" ht="15" hidden="1" customHeight="1">
      <c r="A6284" s="489">
        <v>64979410</v>
      </c>
      <c r="B6284" s="489">
        <v>6764</v>
      </c>
      <c r="C6284" s="488">
        <v>20000</v>
      </c>
      <c r="D6284" s="597">
        <v>46328</v>
      </c>
      <c r="E6284" s="489" t="s">
        <v>611</v>
      </c>
      <c r="F6284" s="489" t="s">
        <v>1221</v>
      </c>
      <c r="G6284" s="395">
        <f>VLOOKUP($A6284,'Tech Litons'!$A:$I,8,FALSE)</f>
        <v>4.248E-3</v>
      </c>
      <c r="H6284" s="174">
        <f>VLOOKUP($A6284,'Tech Litons'!$A:$I,9,FALSE)</f>
        <v>324</v>
      </c>
      <c r="I6284" s="174" t="str">
        <f>VLOOKUP($A6284,'Tech Litons'!$A:$C,3,0)</f>
        <v>Other</v>
      </c>
      <c r="J6284" s="175" t="str">
        <f t="shared" si="709"/>
        <v>6764Other</v>
      </c>
      <c r="K6284" s="176">
        <f>VLOOKUP(I6284,'Attain %'!A:B,2,0)</f>
        <v>0.96</v>
      </c>
      <c r="L6284" s="177">
        <f t="shared" si="710"/>
        <v>19200</v>
      </c>
      <c r="M6284" s="177">
        <f t="shared" si="711"/>
        <v>81.561599999999999</v>
      </c>
      <c r="N6284" s="177">
        <f t="shared" si="712"/>
        <v>59.25925925925926</v>
      </c>
      <c r="O6284" s="175" t="str">
        <f t="shared" si="713"/>
        <v>Nov</v>
      </c>
      <c r="P6284" s="265">
        <f t="shared" si="714"/>
        <v>45</v>
      </c>
    </row>
    <row r="6285" spans="1:16" ht="15" hidden="1" customHeight="1">
      <c r="A6285" s="489">
        <v>64979410</v>
      </c>
      <c r="B6285" s="489">
        <v>6764</v>
      </c>
      <c r="D6285" s="597">
        <v>46363</v>
      </c>
      <c r="E6285" s="489" t="s">
        <v>611</v>
      </c>
      <c r="F6285" s="489" t="s">
        <v>1221</v>
      </c>
      <c r="G6285" s="395">
        <f>VLOOKUP($A6285,'Tech Litons'!$A:$I,8,FALSE)</f>
        <v>4.248E-3</v>
      </c>
      <c r="H6285" s="174">
        <f>VLOOKUP($A6285,'Tech Litons'!$A:$I,9,FALSE)</f>
        <v>324</v>
      </c>
      <c r="I6285" s="174" t="str">
        <f>VLOOKUP($A6285,'Tech Litons'!$A:$C,3,0)</f>
        <v>Other</v>
      </c>
      <c r="J6285" s="175" t="str">
        <f t="shared" si="709"/>
        <v>6764Other</v>
      </c>
      <c r="K6285" s="176">
        <f>VLOOKUP(I6285,'Attain %'!A:B,2,0)</f>
        <v>0.96</v>
      </c>
      <c r="L6285" s="177">
        <f t="shared" si="710"/>
        <v>0</v>
      </c>
      <c r="M6285" s="177">
        <f t="shared" si="711"/>
        <v>0</v>
      </c>
      <c r="N6285" s="177">
        <f t="shared" si="712"/>
        <v>0</v>
      </c>
      <c r="O6285" s="175" t="str">
        <f t="shared" si="713"/>
        <v>Dec</v>
      </c>
      <c r="P6285" s="265">
        <f t="shared" si="714"/>
        <v>50</v>
      </c>
    </row>
    <row r="6286" spans="1:16" ht="15" hidden="1" customHeight="1">
      <c r="A6286" s="489">
        <v>64956417</v>
      </c>
      <c r="B6286" s="489" t="s">
        <v>139</v>
      </c>
      <c r="C6286" s="488">
        <v>20020</v>
      </c>
      <c r="D6286" s="597">
        <v>46118</v>
      </c>
      <c r="E6286" s="489" t="s">
        <v>621</v>
      </c>
      <c r="F6286" s="489" t="s">
        <v>1223</v>
      </c>
      <c r="G6286" s="395">
        <f>VLOOKUP($A6286,'Tech Litons'!$A:$I,8,FALSE)</f>
        <v>2.16E-3</v>
      </c>
      <c r="H6286" s="174">
        <f>VLOOKUP($A6286,'Tech Litons'!$A:$I,9,FALSE)</f>
        <v>143</v>
      </c>
      <c r="I6286" s="174" t="str">
        <f>VLOOKUP($A6286,'Tech Litons'!$A:$C,3,0)</f>
        <v>Facepieces</v>
      </c>
      <c r="J6286" s="175" t="str">
        <f t="shared" si="709"/>
        <v>IncomFacepieces</v>
      </c>
      <c r="K6286" s="176">
        <f>VLOOKUP(I6286,'Attain %'!A:B,2,0)</f>
        <v>0.96</v>
      </c>
      <c r="L6286" s="177">
        <f t="shared" si="710"/>
        <v>19219.2</v>
      </c>
      <c r="M6286" s="177">
        <f t="shared" si="711"/>
        <v>41.513472</v>
      </c>
      <c r="N6286" s="177">
        <f t="shared" si="712"/>
        <v>134.4</v>
      </c>
      <c r="O6286" s="175" t="str">
        <f t="shared" si="713"/>
        <v>Apr</v>
      </c>
      <c r="P6286" s="265">
        <f t="shared" si="714"/>
        <v>15</v>
      </c>
    </row>
    <row r="6287" spans="1:16" ht="15" hidden="1" customHeight="1">
      <c r="A6287" s="489">
        <v>69725082</v>
      </c>
      <c r="B6287" s="489">
        <v>1352</v>
      </c>
      <c r="D6287" s="597">
        <v>46111</v>
      </c>
      <c r="E6287" s="489" t="s">
        <v>292</v>
      </c>
      <c r="F6287" s="489" t="s">
        <v>1217</v>
      </c>
      <c r="G6287" s="395">
        <f>VLOOKUP($A6287,'Tech Litons'!$A:$I,8,FALSE)</f>
        <v>5.2680000000000001E-3</v>
      </c>
      <c r="H6287" s="174">
        <f>VLOOKUP($A6287,'Tech Litons'!$A:$I,9,FALSE)</f>
        <v>130</v>
      </c>
      <c r="I6287" s="174" t="str">
        <f>VLOOKUP($A6287,'Tech Litons'!$A:$C,3,0)</f>
        <v>PG</v>
      </c>
      <c r="J6287" s="175" t="str">
        <f t="shared" si="709"/>
        <v>1352PG</v>
      </c>
      <c r="K6287" s="176">
        <f>VLOOKUP(I6287,'Attain %'!A:B,2,0)</f>
        <v>0.96</v>
      </c>
      <c r="L6287" s="177">
        <f t="shared" si="710"/>
        <v>0</v>
      </c>
      <c r="M6287" s="177">
        <f t="shared" si="711"/>
        <v>0</v>
      </c>
      <c r="N6287" s="177">
        <f t="shared" si="712"/>
        <v>0</v>
      </c>
      <c r="O6287" s="175" t="str">
        <f t="shared" si="713"/>
        <v>Mar</v>
      </c>
      <c r="P6287" s="265">
        <f t="shared" si="714"/>
        <v>14</v>
      </c>
    </row>
    <row r="6288" spans="1:16" ht="15" hidden="1" customHeight="1">
      <c r="A6288" s="489">
        <v>69725082</v>
      </c>
      <c r="B6288" s="489">
        <v>1352</v>
      </c>
      <c r="C6288" s="488">
        <v>20160</v>
      </c>
      <c r="D6288" s="597">
        <v>46118</v>
      </c>
      <c r="E6288" s="489" t="s">
        <v>292</v>
      </c>
      <c r="F6288" s="489" t="s">
        <v>1217</v>
      </c>
      <c r="G6288" s="395">
        <f>VLOOKUP($A6288,'Tech Litons'!$A:$I,8,FALSE)</f>
        <v>5.2680000000000001E-3</v>
      </c>
      <c r="H6288" s="174">
        <f>VLOOKUP($A6288,'Tech Litons'!$A:$I,9,FALSE)</f>
        <v>130</v>
      </c>
      <c r="I6288" s="174" t="str">
        <f>VLOOKUP($A6288,'Tech Litons'!$A:$C,3,0)</f>
        <v>PG</v>
      </c>
      <c r="J6288" s="175" t="str">
        <f t="shared" si="709"/>
        <v>1352PG</v>
      </c>
      <c r="K6288" s="176">
        <f>VLOOKUP(I6288,'Attain %'!A:B,2,0)</f>
        <v>0.96</v>
      </c>
      <c r="L6288" s="177">
        <f t="shared" si="710"/>
        <v>19353.599999999999</v>
      </c>
      <c r="M6288" s="177">
        <f t="shared" si="711"/>
        <v>101.95476479999999</v>
      </c>
      <c r="N6288" s="177">
        <f t="shared" si="712"/>
        <v>148.87384615384613</v>
      </c>
      <c r="O6288" s="175" t="str">
        <f t="shared" si="713"/>
        <v>Apr</v>
      </c>
      <c r="P6288" s="265">
        <f t="shared" si="714"/>
        <v>15</v>
      </c>
    </row>
    <row r="6289" spans="1:16" ht="15" hidden="1" customHeight="1">
      <c r="A6289" s="489">
        <v>69725082</v>
      </c>
      <c r="B6289" s="489">
        <v>1352</v>
      </c>
      <c r="C6289" s="488">
        <v>20160</v>
      </c>
      <c r="D6289" s="597">
        <v>46125</v>
      </c>
      <c r="E6289" s="489" t="s">
        <v>292</v>
      </c>
      <c r="F6289" s="489" t="s">
        <v>1217</v>
      </c>
      <c r="G6289" s="395">
        <f>VLOOKUP($A6289,'Tech Litons'!$A:$I,8,FALSE)</f>
        <v>5.2680000000000001E-3</v>
      </c>
      <c r="H6289" s="174">
        <f>VLOOKUP($A6289,'Tech Litons'!$A:$I,9,FALSE)</f>
        <v>130</v>
      </c>
      <c r="I6289" s="174" t="str">
        <f>VLOOKUP($A6289,'Tech Litons'!$A:$C,3,0)</f>
        <v>PG</v>
      </c>
      <c r="J6289" s="175" t="str">
        <f t="shared" si="709"/>
        <v>1352PG</v>
      </c>
      <c r="K6289" s="176">
        <f>VLOOKUP(I6289,'Attain %'!A:B,2,0)</f>
        <v>0.96</v>
      </c>
      <c r="L6289" s="177">
        <f t="shared" si="710"/>
        <v>19353.599999999999</v>
      </c>
      <c r="M6289" s="177">
        <f t="shared" si="711"/>
        <v>101.95476479999999</v>
      </c>
      <c r="N6289" s="177">
        <f t="shared" si="712"/>
        <v>148.87384615384613</v>
      </c>
      <c r="O6289" s="175" t="str">
        <f t="shared" si="713"/>
        <v>Apr</v>
      </c>
      <c r="P6289" s="265">
        <f t="shared" si="714"/>
        <v>16</v>
      </c>
    </row>
    <row r="6290" spans="1:16" ht="15" hidden="1" customHeight="1">
      <c r="A6290" s="489">
        <v>69725082</v>
      </c>
      <c r="B6290" s="489">
        <v>1352</v>
      </c>
      <c r="C6290" s="488">
        <v>20160</v>
      </c>
      <c r="D6290" s="597">
        <v>46132</v>
      </c>
      <c r="E6290" s="489" t="s">
        <v>292</v>
      </c>
      <c r="F6290" s="489" t="s">
        <v>1217</v>
      </c>
      <c r="G6290" s="395">
        <f>VLOOKUP($A6290,'Tech Litons'!$A:$I,8,FALSE)</f>
        <v>5.2680000000000001E-3</v>
      </c>
      <c r="H6290" s="174">
        <f>VLOOKUP($A6290,'Tech Litons'!$A:$I,9,FALSE)</f>
        <v>130</v>
      </c>
      <c r="I6290" s="174" t="str">
        <f>VLOOKUP($A6290,'Tech Litons'!$A:$C,3,0)</f>
        <v>PG</v>
      </c>
      <c r="J6290" s="175" t="str">
        <f t="shared" si="709"/>
        <v>1352PG</v>
      </c>
      <c r="K6290" s="176">
        <f>VLOOKUP(I6290,'Attain %'!A:B,2,0)</f>
        <v>0.96</v>
      </c>
      <c r="L6290" s="177">
        <f t="shared" si="710"/>
        <v>19353.599999999999</v>
      </c>
      <c r="M6290" s="177">
        <f t="shared" si="711"/>
        <v>101.95476479999999</v>
      </c>
      <c r="N6290" s="177">
        <f t="shared" si="712"/>
        <v>148.87384615384613</v>
      </c>
      <c r="O6290" s="175" t="str">
        <f t="shared" si="713"/>
        <v>Apr</v>
      </c>
      <c r="P6290" s="265">
        <f t="shared" si="714"/>
        <v>17</v>
      </c>
    </row>
    <row r="6291" spans="1:16" ht="15" hidden="1" customHeight="1">
      <c r="A6291" s="489">
        <v>69727314</v>
      </c>
      <c r="B6291" s="489">
        <v>1352</v>
      </c>
      <c r="C6291" s="488">
        <v>20160</v>
      </c>
      <c r="D6291" s="597">
        <v>46139</v>
      </c>
      <c r="E6291" s="489" t="s">
        <v>402</v>
      </c>
      <c r="F6291" s="489" t="s">
        <v>1217</v>
      </c>
      <c r="G6291" s="395">
        <f>VLOOKUP($A6291,'Tech Litons'!$A:$I,8,FALSE)</f>
        <v>5.2680000000000001E-3</v>
      </c>
      <c r="H6291" s="174">
        <f>VLOOKUP($A6291,'Tech Litons'!$A:$I,9,FALSE)</f>
        <v>130</v>
      </c>
      <c r="I6291" s="174" t="str">
        <f>VLOOKUP($A6291,'Tech Litons'!$A:$C,3,0)</f>
        <v>PG</v>
      </c>
      <c r="J6291" s="175" t="str">
        <f t="shared" si="709"/>
        <v>1352PG</v>
      </c>
      <c r="K6291" s="176">
        <f>VLOOKUP(I6291,'Attain %'!A:B,2,0)</f>
        <v>0.96</v>
      </c>
      <c r="L6291" s="177">
        <f t="shared" si="710"/>
        <v>19353.599999999999</v>
      </c>
      <c r="M6291" s="177">
        <f t="shared" si="711"/>
        <v>101.95476479999999</v>
      </c>
      <c r="N6291" s="177">
        <f t="shared" si="712"/>
        <v>148.87384615384613</v>
      </c>
      <c r="O6291" s="175" t="str">
        <f t="shared" si="713"/>
        <v>Apr</v>
      </c>
      <c r="P6291" s="265">
        <f t="shared" si="714"/>
        <v>18</v>
      </c>
    </row>
    <row r="6292" spans="1:16" ht="15" hidden="1" customHeight="1">
      <c r="A6292" s="489">
        <v>62697528</v>
      </c>
      <c r="B6292" s="489">
        <v>5914</v>
      </c>
      <c r="C6292" s="488">
        <v>20160</v>
      </c>
      <c r="D6292" s="597">
        <v>46167</v>
      </c>
      <c r="E6292" s="489" t="s">
        <v>435</v>
      </c>
      <c r="F6292" s="489" t="s">
        <v>1246</v>
      </c>
      <c r="G6292" s="395">
        <f>VLOOKUP($A6292,'Tech Litons'!$A:$I,8,FALSE)</f>
        <v>3.7839999999999996E-3</v>
      </c>
      <c r="H6292" s="174">
        <f>VLOOKUP($A6292,'Tech Litons'!$A:$I,9,FALSE)</f>
        <v>240</v>
      </c>
      <c r="I6292" s="174" t="str">
        <f>VLOOKUP($A6292,'Tech Litons'!$A:$C,3,0)</f>
        <v>BJ PTS</v>
      </c>
      <c r="J6292" s="175" t="str">
        <f t="shared" si="709"/>
        <v>5914BJ PTS</v>
      </c>
      <c r="K6292" s="176">
        <f>VLOOKUP(I6292,'Attain %'!A:B,2,0)</f>
        <v>0.95</v>
      </c>
      <c r="L6292" s="177">
        <f t="shared" si="710"/>
        <v>19152</v>
      </c>
      <c r="M6292" s="177">
        <f t="shared" si="711"/>
        <v>72.471167999999992</v>
      </c>
      <c r="N6292" s="177">
        <f t="shared" si="712"/>
        <v>79.8</v>
      </c>
      <c r="O6292" s="175" t="str">
        <f t="shared" si="713"/>
        <v>May</v>
      </c>
      <c r="P6292" s="265">
        <f t="shared" si="714"/>
        <v>22</v>
      </c>
    </row>
    <row r="6293" spans="1:16" ht="15" hidden="1" customHeight="1">
      <c r="A6293" s="489">
        <v>64413476</v>
      </c>
      <c r="B6293" s="489">
        <v>1712</v>
      </c>
      <c r="C6293" s="488">
        <v>20520</v>
      </c>
      <c r="D6293" s="597">
        <v>46111</v>
      </c>
      <c r="E6293" s="489" t="s">
        <v>567</v>
      </c>
      <c r="F6293" s="489" t="s">
        <v>1221</v>
      </c>
      <c r="G6293" s="395">
        <f>VLOOKUP($A6293,'Tech Litons'!$A:$I,8,FALSE)</f>
        <v>1.4399999999999999E-3</v>
      </c>
      <c r="H6293" s="174">
        <f>VLOOKUP($A6293,'Tech Litons'!$A:$I,9,FALSE)</f>
        <v>468</v>
      </c>
      <c r="I6293" s="174" t="str">
        <f>VLOOKUP($A6293,'Tech Litons'!$A:$C,3,0)</f>
        <v>B&amp;J Cups</v>
      </c>
      <c r="J6293" s="175" t="str">
        <f t="shared" si="709"/>
        <v>1712B&amp;J Cups</v>
      </c>
      <c r="K6293" s="176">
        <f>VLOOKUP(I6293,'Attain %'!A:B,2,0)</f>
        <v>0.96</v>
      </c>
      <c r="L6293" s="177">
        <f t="shared" si="710"/>
        <v>19699.2</v>
      </c>
      <c r="M6293" s="177">
        <f t="shared" si="711"/>
        <v>28.366847999999997</v>
      </c>
      <c r="N6293" s="177">
        <f t="shared" si="712"/>
        <v>42.092307692307692</v>
      </c>
      <c r="O6293" s="175" t="str">
        <f t="shared" si="713"/>
        <v>Mar</v>
      </c>
      <c r="P6293" s="265">
        <f t="shared" si="714"/>
        <v>14</v>
      </c>
    </row>
    <row r="6294" spans="1:16" ht="15" hidden="1" customHeight="1">
      <c r="A6294" s="489">
        <v>64789262</v>
      </c>
      <c r="B6294" s="489">
        <v>1352</v>
      </c>
      <c r="C6294" s="488">
        <v>20553</v>
      </c>
      <c r="D6294" s="597">
        <v>46104</v>
      </c>
      <c r="E6294" s="489" t="s">
        <v>424</v>
      </c>
      <c r="F6294" s="489" t="s">
        <v>1219</v>
      </c>
      <c r="G6294" s="395">
        <f>VLOOKUP($A6294,'Tech Litons'!$A:$I,8,FALSE)</f>
        <v>2.8319999999999999E-3</v>
      </c>
      <c r="H6294" s="174">
        <f>VLOOKUP($A6294,'Tech Litons'!$A:$I,9,FALSE)</f>
        <v>225</v>
      </c>
      <c r="I6294" s="174" t="str">
        <f>VLOOKUP($A6294,'Tech Litons'!$A:$C,3,0)</f>
        <v>MBG</v>
      </c>
      <c r="J6294" s="175" t="str">
        <f t="shared" si="709"/>
        <v>1352MBG</v>
      </c>
      <c r="K6294" s="176">
        <f>VLOOKUP(I6294,'Attain %'!A:B,2,0)</f>
        <v>0.96</v>
      </c>
      <c r="L6294" s="177">
        <f t="shared" si="710"/>
        <v>19730.88</v>
      </c>
      <c r="M6294" s="177">
        <f t="shared" si="711"/>
        <v>55.877852160000003</v>
      </c>
      <c r="N6294" s="177">
        <f t="shared" si="712"/>
        <v>87.692800000000005</v>
      </c>
      <c r="O6294" s="175" t="str">
        <f t="shared" si="713"/>
        <v>Mar</v>
      </c>
      <c r="P6294" s="265">
        <f t="shared" si="714"/>
        <v>13</v>
      </c>
    </row>
    <row r="6295" spans="1:16" ht="15" hidden="1" customHeight="1">
      <c r="A6295" s="489">
        <v>64413477</v>
      </c>
      <c r="B6295" s="489">
        <v>1712</v>
      </c>
      <c r="C6295" s="488">
        <v>20610</v>
      </c>
      <c r="D6295" s="597">
        <v>46321</v>
      </c>
      <c r="E6295" s="489" t="s">
        <v>568</v>
      </c>
      <c r="F6295" s="489" t="s">
        <v>1221</v>
      </c>
      <c r="G6295" s="395">
        <f>VLOOKUP($A6295,'Tech Litons'!$A:$I,8,FALSE)</f>
        <v>1.4159999999999999E-3</v>
      </c>
      <c r="H6295" s="174">
        <f>VLOOKUP($A6295,'Tech Litons'!$A:$I,9,FALSE)</f>
        <v>468</v>
      </c>
      <c r="I6295" s="174" t="str">
        <f>VLOOKUP($A6295,'Tech Litons'!$A:$C,3,0)</f>
        <v>B&amp;J Cups</v>
      </c>
      <c r="J6295" s="175" t="str">
        <f t="shared" si="709"/>
        <v>1712B&amp;J Cups</v>
      </c>
      <c r="K6295" s="176">
        <f>VLOOKUP(I6295,'Attain %'!A:B,2,0)</f>
        <v>0.96</v>
      </c>
      <c r="L6295" s="177">
        <f t="shared" si="710"/>
        <v>19785.599999999999</v>
      </c>
      <c r="M6295" s="177">
        <f t="shared" si="711"/>
        <v>28.016409599999996</v>
      </c>
      <c r="N6295" s="177">
        <f t="shared" si="712"/>
        <v>42.276923076923076</v>
      </c>
      <c r="O6295" s="175" t="str">
        <f t="shared" si="713"/>
        <v>Oct</v>
      </c>
      <c r="P6295" s="265">
        <f t="shared" si="714"/>
        <v>44</v>
      </c>
    </row>
    <row r="6296" spans="1:16" ht="15" hidden="1" customHeight="1">
      <c r="A6296" s="489">
        <v>64958122</v>
      </c>
      <c r="B6296" s="489">
        <v>1716</v>
      </c>
      <c r="C6296" s="488">
        <v>20790</v>
      </c>
      <c r="D6296" s="597">
        <v>46132</v>
      </c>
      <c r="E6296" s="489" t="s">
        <v>236</v>
      </c>
      <c r="F6296" s="489" t="s">
        <v>1221</v>
      </c>
      <c r="G6296" s="395">
        <f>VLOOKUP($A6296,'Tech Litons'!$A:$I,8,FALSE)</f>
        <v>3.3119999999999998E-3</v>
      </c>
      <c r="H6296" s="174">
        <f>VLOOKUP($A6296,'Tech Litons'!$A:$I,9,FALSE)</f>
        <v>165</v>
      </c>
      <c r="I6296" s="174" t="str">
        <f>VLOOKUP($A6296,'Tech Litons'!$A:$C,3,0)</f>
        <v>Yasso Sticks</v>
      </c>
      <c r="J6296" s="175" t="str">
        <f t="shared" si="709"/>
        <v>1716Yasso Sticks</v>
      </c>
      <c r="K6296" s="176">
        <f>VLOOKUP(I6296,'Attain %'!A:B,2,0)</f>
        <v>0.96</v>
      </c>
      <c r="L6296" s="177">
        <f t="shared" si="710"/>
        <v>19958.399999999998</v>
      </c>
      <c r="M6296" s="177">
        <f t="shared" si="711"/>
        <v>66.102220799999984</v>
      </c>
      <c r="N6296" s="177">
        <f t="shared" si="712"/>
        <v>120.96</v>
      </c>
      <c r="O6296" s="175" t="str">
        <f t="shared" si="713"/>
        <v>Apr</v>
      </c>
      <c r="P6296" s="265">
        <f t="shared" si="714"/>
        <v>17</v>
      </c>
    </row>
    <row r="6297" spans="1:16" ht="15" hidden="1" customHeight="1">
      <c r="A6297" s="489">
        <v>64976847</v>
      </c>
      <c r="B6297" s="489">
        <v>1716</v>
      </c>
      <c r="C6297" s="488">
        <v>20790</v>
      </c>
      <c r="D6297" s="597">
        <v>46125</v>
      </c>
      <c r="E6297" s="489" t="s">
        <v>590</v>
      </c>
      <c r="F6297" s="489" t="s">
        <v>1221</v>
      </c>
      <c r="G6297" s="395">
        <f>VLOOKUP($A6297,'Tech Litons'!$A:$I,8,FALSE)</f>
        <v>2.5040000000000001E-3</v>
      </c>
      <c r="H6297" s="174">
        <f>VLOOKUP($A6297,'Tech Litons'!$A:$I,9,FALSE)</f>
        <v>165</v>
      </c>
      <c r="I6297" s="174" t="str">
        <f>VLOOKUP($A6297,'Tech Litons'!$A:$C,3,0)</f>
        <v>Yasso Sticks</v>
      </c>
      <c r="J6297" s="175" t="str">
        <f t="shared" si="709"/>
        <v>1716Yasso Sticks</v>
      </c>
      <c r="K6297" s="176">
        <f>VLOOKUP(I6297,'Attain %'!A:B,2,0)</f>
        <v>0.96</v>
      </c>
      <c r="L6297" s="177">
        <f t="shared" si="710"/>
        <v>19958.399999999998</v>
      </c>
      <c r="M6297" s="177">
        <f t="shared" si="711"/>
        <v>49.975833599999994</v>
      </c>
      <c r="N6297" s="177">
        <f t="shared" si="712"/>
        <v>120.96</v>
      </c>
      <c r="O6297" s="175" t="str">
        <f t="shared" si="713"/>
        <v>Apr</v>
      </c>
      <c r="P6297" s="265">
        <f t="shared" si="714"/>
        <v>16</v>
      </c>
    </row>
    <row r="6298" spans="1:16" ht="15" hidden="1" customHeight="1">
      <c r="A6298" s="489">
        <v>64968812</v>
      </c>
      <c r="B6298" s="489">
        <v>2904</v>
      </c>
      <c r="C6298" s="488">
        <v>20800</v>
      </c>
      <c r="D6298" s="597">
        <v>46146</v>
      </c>
      <c r="E6298" s="489" t="s">
        <v>480</v>
      </c>
      <c r="F6298" s="489" t="s">
        <v>1235</v>
      </c>
      <c r="G6298" s="395">
        <f>VLOOKUP($A6298,'Tech Litons'!$A:$I,8,FALSE)</f>
        <v>3.7839999999999996E-3</v>
      </c>
      <c r="H6298" s="174">
        <f>VLOOKUP($A6298,'Tech Litons'!$A:$I,9,FALSE)</f>
        <v>240</v>
      </c>
      <c r="I6298" s="174" t="str">
        <f>VLOOKUP($A6298,'Tech Litons'!$A:$C,3,0)</f>
        <v>Talenti</v>
      </c>
      <c r="J6298" s="175" t="str">
        <f t="shared" si="709"/>
        <v>2904Talenti</v>
      </c>
      <c r="K6298" s="176">
        <f>VLOOKUP(I6298,'Attain %'!A:B,2,0)</f>
        <v>0.96</v>
      </c>
      <c r="L6298" s="177">
        <f t="shared" si="710"/>
        <v>19968</v>
      </c>
      <c r="M6298" s="177">
        <f t="shared" si="711"/>
        <v>75.558911999999992</v>
      </c>
      <c r="N6298" s="177">
        <f t="shared" si="712"/>
        <v>83.2</v>
      </c>
      <c r="O6298" s="175" t="str">
        <f t="shared" si="713"/>
        <v>May</v>
      </c>
      <c r="P6298" s="265">
        <f t="shared" si="714"/>
        <v>19</v>
      </c>
    </row>
    <row r="6299" spans="1:16" ht="15" hidden="1" customHeight="1">
      <c r="A6299" s="489">
        <v>64968834</v>
      </c>
      <c r="B6299" s="489">
        <v>2904</v>
      </c>
      <c r="C6299" s="488">
        <v>20800</v>
      </c>
      <c r="D6299" s="597">
        <v>46153</v>
      </c>
      <c r="E6299" s="489" t="s">
        <v>501</v>
      </c>
      <c r="F6299" s="489" t="s">
        <v>1235</v>
      </c>
      <c r="G6299" s="395">
        <f>VLOOKUP($A6299,'Tech Litons'!$A:$I,8,FALSE)</f>
        <v>3.7839999999999996E-3</v>
      </c>
      <c r="H6299" s="174">
        <f>VLOOKUP($A6299,'Tech Litons'!$A:$I,9,FALSE)</f>
        <v>240</v>
      </c>
      <c r="I6299" s="174" t="str">
        <f>VLOOKUP($A6299,'Tech Litons'!$A:$C,3,0)</f>
        <v>Talenti</v>
      </c>
      <c r="J6299" s="175" t="str">
        <f t="shared" si="709"/>
        <v>2904Talenti</v>
      </c>
      <c r="K6299" s="176">
        <f>VLOOKUP(I6299,'Attain %'!A:B,2,0)</f>
        <v>0.96</v>
      </c>
      <c r="L6299" s="177">
        <f t="shared" si="710"/>
        <v>19968</v>
      </c>
      <c r="M6299" s="177">
        <f t="shared" si="711"/>
        <v>75.558911999999992</v>
      </c>
      <c r="N6299" s="177">
        <f t="shared" si="712"/>
        <v>83.2</v>
      </c>
      <c r="O6299" s="175" t="str">
        <f t="shared" si="713"/>
        <v>May</v>
      </c>
      <c r="P6299" s="265">
        <f t="shared" si="714"/>
        <v>20</v>
      </c>
    </row>
    <row r="6300" spans="1:16" ht="15" hidden="1" customHeight="1">
      <c r="A6300" s="489">
        <v>68860657</v>
      </c>
      <c r="B6300" s="489">
        <v>2904</v>
      </c>
      <c r="C6300" s="488">
        <v>20800</v>
      </c>
      <c r="D6300" s="597">
        <v>46139</v>
      </c>
      <c r="E6300" s="489" t="s">
        <v>423</v>
      </c>
      <c r="F6300" s="489" t="s">
        <v>1235</v>
      </c>
      <c r="G6300" s="395">
        <f>VLOOKUP($A6300,'Tech Litons'!$A:$I,8,FALSE)</f>
        <v>3.7839999999999996E-3</v>
      </c>
      <c r="H6300" s="174">
        <f>VLOOKUP($A6300,'Tech Litons'!$A:$I,9,FALSE)</f>
        <v>255</v>
      </c>
      <c r="I6300" s="174" t="str">
        <f>VLOOKUP($A6300,'Tech Litons'!$A:$C,3,0)</f>
        <v>TALENTI</v>
      </c>
      <c r="J6300" s="175" t="str">
        <f t="shared" si="709"/>
        <v>2904TALENTI</v>
      </c>
      <c r="K6300" s="176">
        <f>VLOOKUP(I6300,'Attain %'!A:B,2,0)</f>
        <v>0.96</v>
      </c>
      <c r="L6300" s="177">
        <f t="shared" si="710"/>
        <v>19968</v>
      </c>
      <c r="M6300" s="177">
        <f t="shared" si="711"/>
        <v>75.558911999999992</v>
      </c>
      <c r="N6300" s="177">
        <f t="shared" si="712"/>
        <v>78.305882352941182</v>
      </c>
      <c r="O6300" s="175" t="str">
        <f t="shared" si="713"/>
        <v>Apr</v>
      </c>
      <c r="P6300" s="265">
        <f t="shared" si="714"/>
        <v>18</v>
      </c>
    </row>
    <row r="6301" spans="1:16" ht="15" hidden="1" customHeight="1">
      <c r="A6301" s="489">
        <v>64367657</v>
      </c>
      <c r="B6301" s="489">
        <v>2904</v>
      </c>
      <c r="C6301" s="488">
        <v>20900</v>
      </c>
      <c r="D6301" s="597">
        <v>46118</v>
      </c>
      <c r="E6301" s="489" t="s">
        <v>403</v>
      </c>
      <c r="F6301" s="489" t="s">
        <v>1228</v>
      </c>
      <c r="G6301" s="395">
        <f>VLOOKUP($A6301,'Tech Litons'!$A:$I,8,FALSE)</f>
        <v>3.552E-3</v>
      </c>
      <c r="H6301" s="174">
        <f>VLOOKUP($A6301,'Tech Litons'!$A:$I,9,FALSE)</f>
        <v>255</v>
      </c>
      <c r="I6301" s="174" t="str">
        <f>VLOOKUP($A6301,'Tech Litons'!$A:$C,3,0)</f>
        <v>Talenti</v>
      </c>
      <c r="J6301" s="175" t="str">
        <f t="shared" si="709"/>
        <v>2904Talenti</v>
      </c>
      <c r="K6301" s="176">
        <f>VLOOKUP(I6301,'Attain %'!A:B,2,0)</f>
        <v>0.96</v>
      </c>
      <c r="L6301" s="177">
        <f t="shared" si="710"/>
        <v>20064</v>
      </c>
      <c r="M6301" s="177">
        <f t="shared" si="711"/>
        <v>71.267328000000006</v>
      </c>
      <c r="N6301" s="177">
        <f t="shared" si="712"/>
        <v>78.682352941176475</v>
      </c>
      <c r="O6301" s="175" t="str">
        <f t="shared" si="713"/>
        <v>Apr</v>
      </c>
      <c r="P6301" s="265">
        <f t="shared" si="714"/>
        <v>15</v>
      </c>
    </row>
    <row r="6302" spans="1:16" ht="15" hidden="1" customHeight="1">
      <c r="A6302" s="489">
        <v>64369043</v>
      </c>
      <c r="B6302" s="489">
        <v>2904</v>
      </c>
      <c r="C6302" s="488">
        <v>20900</v>
      </c>
      <c r="D6302" s="597">
        <v>46118</v>
      </c>
      <c r="E6302" s="489" t="s">
        <v>329</v>
      </c>
      <c r="F6302" s="489" t="s">
        <v>1228</v>
      </c>
      <c r="G6302" s="395">
        <f>VLOOKUP($A6302,'Tech Litons'!$A:$I,8,FALSE)</f>
        <v>3.552E-3</v>
      </c>
      <c r="H6302" s="174">
        <f>VLOOKUP($A6302,'Tech Litons'!$A:$I,9,FALSE)</f>
        <v>255</v>
      </c>
      <c r="I6302" s="174" t="str">
        <f>VLOOKUP($A6302,'Tech Litons'!$A:$C,3,0)</f>
        <v>Talenti</v>
      </c>
      <c r="J6302" s="175" t="str">
        <f t="shared" si="709"/>
        <v>2904Talenti</v>
      </c>
      <c r="K6302" s="176">
        <f>VLOOKUP(I6302,'Attain %'!A:B,2,0)</f>
        <v>0.96</v>
      </c>
      <c r="L6302" s="177">
        <f t="shared" si="710"/>
        <v>20064</v>
      </c>
      <c r="M6302" s="177">
        <f t="shared" si="711"/>
        <v>71.267328000000006</v>
      </c>
      <c r="N6302" s="177">
        <f t="shared" si="712"/>
        <v>78.682352941176475</v>
      </c>
      <c r="O6302" s="175" t="str">
        <f t="shared" si="713"/>
        <v>Apr</v>
      </c>
      <c r="P6302" s="265">
        <f t="shared" si="714"/>
        <v>15</v>
      </c>
    </row>
    <row r="6303" spans="1:16" ht="15" hidden="1" customHeight="1">
      <c r="A6303" s="489">
        <v>68860585</v>
      </c>
      <c r="B6303" s="489">
        <v>2904</v>
      </c>
      <c r="C6303" s="488">
        <v>20900</v>
      </c>
      <c r="D6303" s="597">
        <v>46146</v>
      </c>
      <c r="E6303" s="489" t="s">
        <v>458</v>
      </c>
      <c r="F6303" s="489" t="s">
        <v>1228</v>
      </c>
      <c r="G6303" s="395">
        <f>VLOOKUP($A6303,'Tech Litons'!$A:$I,8,FALSE)</f>
        <v>3.7839999999999996E-3</v>
      </c>
      <c r="H6303" s="174">
        <f>VLOOKUP($A6303,'Tech Litons'!$A:$I,9,FALSE)</f>
        <v>255</v>
      </c>
      <c r="I6303" s="174" t="str">
        <f>VLOOKUP($A6303,'Tech Litons'!$A:$C,3,0)</f>
        <v>TALENTI</v>
      </c>
      <c r="J6303" s="175" t="str">
        <f t="shared" si="709"/>
        <v>2904TALENTI</v>
      </c>
      <c r="K6303" s="176">
        <f>VLOOKUP(I6303,'Attain %'!A:B,2,0)</f>
        <v>0.96</v>
      </c>
      <c r="L6303" s="177">
        <f t="shared" si="710"/>
        <v>20064</v>
      </c>
      <c r="M6303" s="177">
        <f t="shared" si="711"/>
        <v>75.922175999999993</v>
      </c>
      <c r="N6303" s="177">
        <f t="shared" si="712"/>
        <v>78.682352941176475</v>
      </c>
      <c r="O6303" s="175" t="str">
        <f t="shared" si="713"/>
        <v>May</v>
      </c>
      <c r="P6303" s="265">
        <f t="shared" si="714"/>
        <v>19</v>
      </c>
    </row>
    <row r="6304" spans="1:16" ht="15" hidden="1" customHeight="1">
      <c r="A6304" s="489">
        <v>68862483</v>
      </c>
      <c r="B6304" s="489">
        <v>2904</v>
      </c>
      <c r="C6304" s="488">
        <v>20900</v>
      </c>
      <c r="D6304" s="597">
        <v>46125</v>
      </c>
      <c r="E6304" s="489" t="s">
        <v>482</v>
      </c>
      <c r="F6304" s="489" t="s">
        <v>1228</v>
      </c>
      <c r="G6304" s="395">
        <f>VLOOKUP($A6304,'Tech Litons'!$A:$I,8,FALSE)</f>
        <v>3.552E-3</v>
      </c>
      <c r="H6304" s="174">
        <f>VLOOKUP($A6304,'Tech Litons'!$A:$I,9,FALSE)</f>
        <v>255</v>
      </c>
      <c r="I6304" s="174" t="str">
        <f>VLOOKUP($A6304,'Tech Litons'!$A:$C,3,0)</f>
        <v>Talenti</v>
      </c>
      <c r="J6304" s="175" t="str">
        <f t="shared" si="709"/>
        <v>2904Talenti</v>
      </c>
      <c r="K6304" s="176">
        <f>VLOOKUP(I6304,'Attain %'!A:B,2,0)</f>
        <v>0.96</v>
      </c>
      <c r="L6304" s="177">
        <f t="shared" si="710"/>
        <v>20064</v>
      </c>
      <c r="M6304" s="177">
        <f t="shared" si="711"/>
        <v>71.267328000000006</v>
      </c>
      <c r="N6304" s="177">
        <f t="shared" si="712"/>
        <v>78.682352941176475</v>
      </c>
      <c r="O6304" s="175" t="str">
        <f t="shared" si="713"/>
        <v>Apr</v>
      </c>
      <c r="P6304" s="265">
        <f t="shared" si="714"/>
        <v>16</v>
      </c>
    </row>
    <row r="6305" spans="1:16" ht="15" hidden="1" customHeight="1">
      <c r="A6305" s="489">
        <v>68862392</v>
      </c>
      <c r="B6305" s="489">
        <v>2904</v>
      </c>
      <c r="C6305" s="488">
        <v>36000</v>
      </c>
      <c r="D6305" s="597">
        <v>46111</v>
      </c>
      <c r="E6305" s="489" t="s">
        <v>305</v>
      </c>
      <c r="F6305" s="489" t="s">
        <v>1235</v>
      </c>
      <c r="G6305" s="395">
        <f>VLOOKUP($A6305,'Tech Litons'!$A:$I,8,FALSE)</f>
        <v>3.7839999999999996E-3</v>
      </c>
      <c r="H6305" s="174">
        <f>VLOOKUP($A6305,'Tech Litons'!$A:$I,9,FALSE)</f>
        <v>255</v>
      </c>
      <c r="I6305" s="174" t="str">
        <f>VLOOKUP($A6305,'Tech Litons'!$A:$C,3,0)</f>
        <v>TALENTI</v>
      </c>
      <c r="J6305" s="175" t="str">
        <f t="shared" si="709"/>
        <v>2904TALENTI</v>
      </c>
      <c r="K6305" s="176">
        <f>VLOOKUP(I6305,'Attain %'!A:B,2,0)</f>
        <v>0.96</v>
      </c>
      <c r="L6305" s="177">
        <f t="shared" si="710"/>
        <v>34560</v>
      </c>
      <c r="M6305" s="177">
        <f t="shared" si="711"/>
        <v>130.77503999999999</v>
      </c>
      <c r="N6305" s="177">
        <f t="shared" si="712"/>
        <v>135.52941176470588</v>
      </c>
      <c r="O6305" s="175" t="str">
        <f t="shared" si="713"/>
        <v>Mar</v>
      </c>
      <c r="P6305" s="265">
        <f t="shared" si="714"/>
        <v>14</v>
      </c>
    </row>
    <row r="6306" spans="1:16" ht="15" hidden="1" customHeight="1">
      <c r="A6306" s="489">
        <v>64973976</v>
      </c>
      <c r="B6306" s="489">
        <v>1712</v>
      </c>
      <c r="C6306" s="488">
        <v>20926</v>
      </c>
      <c r="D6306" s="597">
        <v>46160</v>
      </c>
      <c r="E6306" s="489" t="s">
        <v>1190</v>
      </c>
      <c r="F6306" s="489" t="s">
        <v>1221</v>
      </c>
      <c r="G6306" s="395">
        <f>VLOOKUP($A6306,'Tech Litons'!$A:$I,8,FALSE)</f>
        <v>1.0644000000000001E-3</v>
      </c>
      <c r="H6306" s="174">
        <f>VLOOKUP($A6306,'Tech Litons'!$A:$I,9,FALSE)</f>
        <v>190</v>
      </c>
      <c r="I6306" s="174" t="str">
        <f>VLOOKUP($A6306,'Tech Litons'!$A:$C,3,0)</f>
        <v>BR Minicups</v>
      </c>
      <c r="J6306" s="175" t="str">
        <f t="shared" si="709"/>
        <v>1712BR Minicups</v>
      </c>
      <c r="K6306" s="176">
        <f>VLOOKUP(I6306,'Attain %'!A:B,2,0)</f>
        <v>0.96</v>
      </c>
      <c r="L6306" s="177">
        <f t="shared" si="710"/>
        <v>20088.96</v>
      </c>
      <c r="M6306" s="177">
        <f t="shared" si="711"/>
        <v>21.382689024000001</v>
      </c>
      <c r="N6306" s="177">
        <f t="shared" si="712"/>
        <v>105.73136842105262</v>
      </c>
      <c r="O6306" s="175" t="str">
        <f t="shared" si="713"/>
        <v>May</v>
      </c>
      <c r="P6306" s="265">
        <f t="shared" si="714"/>
        <v>21</v>
      </c>
    </row>
    <row r="6307" spans="1:16" ht="15" hidden="1" customHeight="1">
      <c r="A6307" s="489">
        <v>64776954</v>
      </c>
      <c r="B6307" s="489">
        <v>1352</v>
      </c>
      <c r="D6307" s="597">
        <v>46111</v>
      </c>
      <c r="E6307" s="489" t="s">
        <v>285</v>
      </c>
      <c r="F6307" s="489" t="s">
        <v>1213</v>
      </c>
      <c r="G6307" s="395">
        <f>VLOOKUP($A6307,'Tech Litons'!$A:$I,8,FALSE)</f>
        <v>3.8340000000000002E-3</v>
      </c>
      <c r="H6307" s="174">
        <f>VLOOKUP($A6307,'Tech Litons'!$A:$I,9,FALSE)</f>
        <v>130</v>
      </c>
      <c r="I6307" s="174" t="str">
        <f>VLOOKUP($A6307,'Tech Litons'!$A:$C,3,0)</f>
        <v>pG</v>
      </c>
      <c r="J6307" s="175" t="str">
        <f t="shared" si="709"/>
        <v>1352pG</v>
      </c>
      <c r="K6307" s="176">
        <f>VLOOKUP(I6307,'Attain %'!A:B,2,0)</f>
        <v>0.96</v>
      </c>
      <c r="L6307" s="177">
        <f t="shared" si="710"/>
        <v>0</v>
      </c>
      <c r="M6307" s="177">
        <f t="shared" si="711"/>
        <v>0</v>
      </c>
      <c r="N6307" s="177">
        <f t="shared" si="712"/>
        <v>0</v>
      </c>
      <c r="O6307" s="175" t="str">
        <f t="shared" si="713"/>
        <v>Mar</v>
      </c>
      <c r="P6307" s="265">
        <f t="shared" si="714"/>
        <v>14</v>
      </c>
    </row>
    <row r="6308" spans="1:16" ht="15" hidden="1" customHeight="1">
      <c r="A6308" s="489">
        <v>64776954</v>
      </c>
      <c r="B6308" s="489">
        <v>1352</v>
      </c>
      <c r="C6308" s="488">
        <v>21000</v>
      </c>
      <c r="D6308" s="597">
        <v>46139</v>
      </c>
      <c r="E6308" s="489" t="s">
        <v>285</v>
      </c>
      <c r="F6308" s="489" t="s">
        <v>1213</v>
      </c>
      <c r="G6308" s="395">
        <f>VLOOKUP($A6308,'Tech Litons'!$A:$I,8,FALSE)</f>
        <v>3.8340000000000002E-3</v>
      </c>
      <c r="H6308" s="174">
        <f>VLOOKUP($A6308,'Tech Litons'!$A:$I,9,FALSE)</f>
        <v>130</v>
      </c>
      <c r="I6308" s="174" t="str">
        <f>VLOOKUP($A6308,'Tech Litons'!$A:$C,3,0)</f>
        <v>pG</v>
      </c>
      <c r="J6308" s="175" t="str">
        <f t="shared" si="709"/>
        <v>1352pG</v>
      </c>
      <c r="K6308" s="176">
        <f>VLOOKUP(I6308,'Attain %'!A:B,2,0)</f>
        <v>0.96</v>
      </c>
      <c r="L6308" s="177">
        <f t="shared" si="710"/>
        <v>20160</v>
      </c>
      <c r="M6308" s="177">
        <f t="shared" si="711"/>
        <v>77.293440000000004</v>
      </c>
      <c r="N6308" s="177">
        <f t="shared" si="712"/>
        <v>155.07692307692307</v>
      </c>
      <c r="O6308" s="175" t="str">
        <f t="shared" si="713"/>
        <v>Apr</v>
      </c>
      <c r="P6308" s="265">
        <f t="shared" si="714"/>
        <v>18</v>
      </c>
    </row>
    <row r="6309" spans="1:16" ht="15" hidden="1" customHeight="1">
      <c r="A6309" s="489">
        <v>64776954</v>
      </c>
      <c r="B6309" s="489">
        <v>1352</v>
      </c>
      <c r="C6309" s="488">
        <v>21000</v>
      </c>
      <c r="D6309" s="597">
        <v>46146</v>
      </c>
      <c r="E6309" s="489" t="s">
        <v>285</v>
      </c>
      <c r="F6309" s="489" t="s">
        <v>1213</v>
      </c>
      <c r="G6309" s="395">
        <f>VLOOKUP($A6309,'Tech Litons'!$A:$I,8,FALSE)</f>
        <v>3.8340000000000002E-3</v>
      </c>
      <c r="H6309" s="174">
        <f>VLOOKUP($A6309,'Tech Litons'!$A:$I,9,FALSE)</f>
        <v>130</v>
      </c>
      <c r="I6309" s="174" t="str">
        <f>VLOOKUP($A6309,'Tech Litons'!$A:$C,3,0)</f>
        <v>pG</v>
      </c>
      <c r="J6309" s="175" t="str">
        <f t="shared" si="709"/>
        <v>1352pG</v>
      </c>
      <c r="K6309" s="176">
        <f>VLOOKUP(I6309,'Attain %'!A:B,2,0)</f>
        <v>0.96</v>
      </c>
      <c r="L6309" s="177">
        <f t="shared" si="710"/>
        <v>20160</v>
      </c>
      <c r="M6309" s="177">
        <f t="shared" si="711"/>
        <v>77.293440000000004</v>
      </c>
      <c r="N6309" s="177">
        <f t="shared" si="712"/>
        <v>155.07692307692307</v>
      </c>
      <c r="O6309" s="175" t="str">
        <f t="shared" si="713"/>
        <v>May</v>
      </c>
      <c r="P6309" s="265">
        <f t="shared" si="714"/>
        <v>19</v>
      </c>
    </row>
    <row r="6310" spans="1:16" ht="15" hidden="1" customHeight="1">
      <c r="A6310" s="489">
        <v>64776954</v>
      </c>
      <c r="B6310" s="489">
        <v>1352</v>
      </c>
      <c r="C6310" s="488">
        <v>21000</v>
      </c>
      <c r="D6310" s="597">
        <v>46160</v>
      </c>
      <c r="E6310" s="489" t="s">
        <v>285</v>
      </c>
      <c r="F6310" s="489" t="s">
        <v>1213</v>
      </c>
      <c r="G6310" s="395">
        <f>VLOOKUP($A6310,'Tech Litons'!$A:$I,8,FALSE)</f>
        <v>3.8340000000000002E-3</v>
      </c>
      <c r="H6310" s="174">
        <f>VLOOKUP($A6310,'Tech Litons'!$A:$I,9,FALSE)</f>
        <v>130</v>
      </c>
      <c r="I6310" s="174" t="str">
        <f>VLOOKUP($A6310,'Tech Litons'!$A:$C,3,0)</f>
        <v>pG</v>
      </c>
      <c r="J6310" s="175" t="str">
        <f t="shared" si="709"/>
        <v>1352pG</v>
      </c>
      <c r="K6310" s="176">
        <f>VLOOKUP(I6310,'Attain %'!A:B,2,0)</f>
        <v>0.96</v>
      </c>
      <c r="L6310" s="177">
        <f t="shared" si="710"/>
        <v>20160</v>
      </c>
      <c r="M6310" s="177">
        <f t="shared" si="711"/>
        <v>77.293440000000004</v>
      </c>
      <c r="N6310" s="177">
        <f t="shared" si="712"/>
        <v>155.07692307692307</v>
      </c>
      <c r="O6310" s="175" t="str">
        <f t="shared" si="713"/>
        <v>May</v>
      </c>
      <c r="P6310" s="265">
        <f t="shared" si="714"/>
        <v>21</v>
      </c>
    </row>
    <row r="6311" spans="1:16" ht="15" hidden="1" customHeight="1">
      <c r="A6311" s="489">
        <v>64776954</v>
      </c>
      <c r="B6311" s="489">
        <v>1352</v>
      </c>
      <c r="C6311" s="488">
        <v>21000</v>
      </c>
      <c r="D6311" s="597">
        <v>46167</v>
      </c>
      <c r="E6311" s="489" t="s">
        <v>285</v>
      </c>
      <c r="F6311" s="489" t="s">
        <v>1213</v>
      </c>
      <c r="G6311" s="395">
        <f>VLOOKUP($A6311,'Tech Litons'!$A:$I,8,FALSE)</f>
        <v>3.8340000000000002E-3</v>
      </c>
      <c r="H6311" s="174">
        <f>VLOOKUP($A6311,'Tech Litons'!$A:$I,9,FALSE)</f>
        <v>130</v>
      </c>
      <c r="I6311" s="174" t="str">
        <f>VLOOKUP($A6311,'Tech Litons'!$A:$C,3,0)</f>
        <v>pG</v>
      </c>
      <c r="J6311" s="175" t="str">
        <f t="shared" si="709"/>
        <v>1352pG</v>
      </c>
      <c r="K6311" s="176">
        <f>VLOOKUP(I6311,'Attain %'!A:B,2,0)</f>
        <v>0.96</v>
      </c>
      <c r="L6311" s="177">
        <f t="shared" si="710"/>
        <v>20160</v>
      </c>
      <c r="M6311" s="177">
        <f t="shared" si="711"/>
        <v>77.293440000000004</v>
      </c>
      <c r="N6311" s="177">
        <f t="shared" si="712"/>
        <v>155.07692307692307</v>
      </c>
      <c r="O6311" s="175" t="str">
        <f t="shared" si="713"/>
        <v>May</v>
      </c>
      <c r="P6311" s="265">
        <f t="shared" si="714"/>
        <v>22</v>
      </c>
    </row>
    <row r="6312" spans="1:16" ht="15" hidden="1" customHeight="1">
      <c r="A6312" s="489">
        <v>68851107</v>
      </c>
      <c r="B6312" s="489">
        <v>2904</v>
      </c>
      <c r="C6312" s="488">
        <v>23400</v>
      </c>
      <c r="D6312" s="597">
        <v>46111</v>
      </c>
      <c r="E6312" s="489" t="s">
        <v>272</v>
      </c>
      <c r="F6312" s="489" t="s">
        <v>1226</v>
      </c>
      <c r="G6312" s="395">
        <f>VLOOKUP($A6312,'Tech Litons'!$A:$I,8,FALSE)</f>
        <v>8.5199999999999998E-3</v>
      </c>
      <c r="H6312" s="174">
        <f>VLOOKUP($A6312,'Tech Litons'!$A:$I,9,FALSE)</f>
        <v>176</v>
      </c>
      <c r="I6312" s="174" t="str">
        <f>VLOOKUP($A6312,'Tech Litons'!$A:$C,3,0)</f>
        <v>48oz</v>
      </c>
      <c r="J6312" s="175" t="str">
        <f t="shared" si="709"/>
        <v>290448oz</v>
      </c>
      <c r="K6312" s="176">
        <f>VLOOKUP(I6312,'Attain %'!A:B,2,0)</f>
        <v>0.94</v>
      </c>
      <c r="L6312" s="177">
        <f t="shared" si="710"/>
        <v>21996</v>
      </c>
      <c r="M6312" s="177">
        <f t="shared" si="711"/>
        <v>187.40592000000001</v>
      </c>
      <c r="N6312" s="177">
        <f t="shared" si="712"/>
        <v>124.97727272727273</v>
      </c>
      <c r="O6312" s="175" t="str">
        <f t="shared" si="713"/>
        <v>Mar</v>
      </c>
      <c r="P6312" s="265">
        <f t="shared" si="714"/>
        <v>14</v>
      </c>
    </row>
    <row r="6313" spans="1:16" ht="15" hidden="1" customHeight="1">
      <c r="A6313" s="489">
        <v>64988056</v>
      </c>
      <c r="B6313" s="489">
        <v>2904</v>
      </c>
      <c r="C6313" s="488">
        <v>21000</v>
      </c>
      <c r="D6313" s="597">
        <v>46118</v>
      </c>
      <c r="E6313" s="489" t="s">
        <v>268</v>
      </c>
      <c r="F6313" s="489" t="s">
        <v>1225</v>
      </c>
      <c r="G6313" s="395">
        <f>VLOOKUP($A6313,'Tech Litons'!$A:$I,8,FALSE)</f>
        <v>8.513999999999999E-3</v>
      </c>
      <c r="H6313" s="174">
        <f>VLOOKUP($A6313,'Tech Litons'!$A:$I,9,FALSE)</f>
        <v>176</v>
      </c>
      <c r="I6313" s="174" t="str">
        <f>VLOOKUP($A6313,'Tech Litons'!$A:$C,3,0)</f>
        <v>48oz</v>
      </c>
      <c r="J6313" s="175" t="str">
        <f t="shared" si="709"/>
        <v>290448oz</v>
      </c>
      <c r="K6313" s="176">
        <f>VLOOKUP(I6313,'Attain %'!A:B,2,0)</f>
        <v>0.94</v>
      </c>
      <c r="L6313" s="177">
        <f t="shared" si="710"/>
        <v>19740</v>
      </c>
      <c r="M6313" s="177">
        <f t="shared" si="711"/>
        <v>168.06635999999997</v>
      </c>
      <c r="N6313" s="177">
        <f t="shared" si="712"/>
        <v>112.15909090909091</v>
      </c>
      <c r="O6313" s="175" t="str">
        <f t="shared" si="713"/>
        <v>Apr</v>
      </c>
      <c r="P6313" s="265">
        <f t="shared" si="714"/>
        <v>15</v>
      </c>
    </row>
    <row r="6314" spans="1:16" ht="15" hidden="1" customHeight="1">
      <c r="A6314" s="489">
        <v>69568962</v>
      </c>
      <c r="B6314" s="489">
        <v>2904</v>
      </c>
      <c r="C6314" s="488">
        <v>81000</v>
      </c>
      <c r="D6314" s="597">
        <v>46111</v>
      </c>
      <c r="E6314" s="489" t="s">
        <v>528</v>
      </c>
      <c r="F6314" s="489" t="s">
        <v>1226</v>
      </c>
      <c r="G6314" s="395">
        <f>VLOOKUP($A6314,'Tech Litons'!$A:$I,8,FALSE)</f>
        <v>8.5199999999999998E-3</v>
      </c>
      <c r="H6314" s="174">
        <f>VLOOKUP($A6314,'Tech Litons'!$A:$I,9,FALSE)</f>
        <v>176</v>
      </c>
      <c r="I6314" s="174" t="str">
        <f>VLOOKUP($A6314,'Tech Litons'!$A:$C,3,0)</f>
        <v>48oz</v>
      </c>
      <c r="J6314" s="175" t="str">
        <f t="shared" si="709"/>
        <v>290448oz</v>
      </c>
      <c r="K6314" s="176">
        <f>VLOOKUP(I6314,'Attain %'!A:B,2,0)</f>
        <v>0.94</v>
      </c>
      <c r="L6314" s="177">
        <f t="shared" si="710"/>
        <v>76140</v>
      </c>
      <c r="M6314" s="177">
        <f t="shared" si="711"/>
        <v>648.71280000000002</v>
      </c>
      <c r="N6314" s="177">
        <f t="shared" si="712"/>
        <v>432.61363636363637</v>
      </c>
      <c r="O6314" s="175" t="str">
        <f t="shared" si="713"/>
        <v>Mar</v>
      </c>
      <c r="P6314" s="265">
        <f t="shared" si="714"/>
        <v>14</v>
      </c>
    </row>
    <row r="6315" spans="1:16" ht="15" hidden="1" customHeight="1">
      <c r="A6315" s="489">
        <v>68821735</v>
      </c>
      <c r="B6315" s="489">
        <v>2904</v>
      </c>
      <c r="C6315" s="488">
        <v>21000</v>
      </c>
      <c r="D6315" s="597">
        <v>46118</v>
      </c>
      <c r="E6315" s="489" t="s">
        <v>318</v>
      </c>
      <c r="F6315" s="489" t="s">
        <v>1236</v>
      </c>
      <c r="G6315" s="395">
        <f>VLOOKUP($A6315,'Tech Litons'!$A:$I,8,FALSE)</f>
        <v>8.5199999999999998E-3</v>
      </c>
      <c r="H6315" s="174">
        <f>VLOOKUP($A6315,'Tech Litons'!$A:$I,9,FALSE)</f>
        <v>176</v>
      </c>
      <c r="I6315" s="174" t="str">
        <f>VLOOKUP($A6315,'Tech Litons'!$A:$C,3,0)</f>
        <v>48oz</v>
      </c>
      <c r="J6315" s="175" t="str">
        <f t="shared" si="709"/>
        <v>290448oz</v>
      </c>
      <c r="K6315" s="176">
        <f>VLOOKUP(I6315,'Attain %'!A:B,2,0)</f>
        <v>0.94</v>
      </c>
      <c r="L6315" s="177">
        <f t="shared" si="710"/>
        <v>19740</v>
      </c>
      <c r="M6315" s="177">
        <f t="shared" si="711"/>
        <v>168.1848</v>
      </c>
      <c r="N6315" s="177">
        <f t="shared" si="712"/>
        <v>112.15909090909091</v>
      </c>
      <c r="O6315" s="175" t="str">
        <f t="shared" si="713"/>
        <v>Apr</v>
      </c>
      <c r="P6315" s="265">
        <f t="shared" si="714"/>
        <v>15</v>
      </c>
    </row>
    <row r="6316" spans="1:16" ht="15" hidden="1" customHeight="1">
      <c r="A6316" s="489">
        <v>84137725</v>
      </c>
      <c r="B6316" s="489">
        <v>5911</v>
      </c>
      <c r="C6316" s="488">
        <v>21000</v>
      </c>
      <c r="D6316" s="597">
        <v>46118</v>
      </c>
      <c r="E6316" s="489" t="s">
        <v>278</v>
      </c>
      <c r="F6316" s="489" t="s">
        <v>1242</v>
      </c>
      <c r="G6316" s="395">
        <f>VLOOKUP($A6316,'Tech Litons'!$A:$I,8,FALSE)</f>
        <v>3.7853439999999999E-3</v>
      </c>
      <c r="H6316" s="174">
        <f>VLOOKUP($A6316,'Tech Litons'!$A:$I,9,FALSE)</f>
        <v>240</v>
      </c>
      <c r="I6316" s="174" t="str">
        <f>VLOOKUP($A6316,'Tech Litons'!$A:$C,3,0)</f>
        <v>BJ PTS</v>
      </c>
      <c r="J6316" s="175" t="str">
        <f t="shared" si="709"/>
        <v>5911BJ PTS</v>
      </c>
      <c r="K6316" s="176">
        <f>VLOOKUP(I6316,'Attain %'!A:B,2,0)</f>
        <v>0.95</v>
      </c>
      <c r="L6316" s="177">
        <f t="shared" si="710"/>
        <v>19950</v>
      </c>
      <c r="M6316" s="177">
        <f t="shared" si="711"/>
        <v>75.517612799999995</v>
      </c>
      <c r="N6316" s="177">
        <f t="shared" si="712"/>
        <v>83.125</v>
      </c>
      <c r="O6316" s="175" t="str">
        <f t="shared" si="713"/>
        <v>Apr</v>
      </c>
      <c r="P6316" s="265">
        <f t="shared" si="714"/>
        <v>15</v>
      </c>
    </row>
    <row r="6317" spans="1:16" ht="15" hidden="1" customHeight="1">
      <c r="A6317" s="489">
        <v>84154487</v>
      </c>
      <c r="B6317" s="489">
        <v>5911</v>
      </c>
      <c r="C6317" s="488">
        <v>21000</v>
      </c>
      <c r="D6317" s="597">
        <v>46111</v>
      </c>
      <c r="E6317" s="489" t="s">
        <v>389</v>
      </c>
      <c r="F6317" s="489" t="s">
        <v>1242</v>
      </c>
      <c r="G6317" s="395">
        <f>VLOOKUP($A6317,'Tech Litons'!$A:$I,8,FALSE)</f>
        <v>3.7839999999999996E-3</v>
      </c>
      <c r="H6317" s="174">
        <f>VLOOKUP($A6317,'Tech Litons'!$A:$I,9,FALSE)</f>
        <v>240</v>
      </c>
      <c r="I6317" s="174" t="str">
        <f>VLOOKUP($A6317,'Tech Litons'!$A:$C,3,0)</f>
        <v>BJ PTS</v>
      </c>
      <c r="J6317" s="175" t="str">
        <f t="shared" si="709"/>
        <v>5911BJ PTS</v>
      </c>
      <c r="K6317" s="176">
        <f>VLOOKUP(I6317,'Attain %'!A:B,2,0)</f>
        <v>0.95</v>
      </c>
      <c r="L6317" s="177">
        <f t="shared" si="710"/>
        <v>19950</v>
      </c>
      <c r="M6317" s="177">
        <f t="shared" si="711"/>
        <v>75.490799999999993</v>
      </c>
      <c r="N6317" s="177">
        <f t="shared" si="712"/>
        <v>83.125</v>
      </c>
      <c r="O6317" s="175" t="str">
        <f t="shared" si="713"/>
        <v>Mar</v>
      </c>
      <c r="P6317" s="265">
        <f t="shared" si="714"/>
        <v>14</v>
      </c>
    </row>
    <row r="6318" spans="1:16" ht="15" hidden="1" customHeight="1">
      <c r="A6318" s="489">
        <v>64786654</v>
      </c>
      <c r="B6318" s="489">
        <v>1352</v>
      </c>
      <c r="C6318" s="488">
        <v>21120</v>
      </c>
      <c r="D6318" s="597">
        <v>46111</v>
      </c>
      <c r="E6318" s="489" t="s">
        <v>484</v>
      </c>
      <c r="F6318" s="489" t="s">
        <v>1215</v>
      </c>
      <c r="G6318" s="395">
        <f>VLOOKUP($A6318,'Tech Litons'!$A:$I,8,FALSE)</f>
        <v>3.8959999999999997E-3</v>
      </c>
      <c r="H6318" s="174">
        <f>VLOOKUP($A6318,'Tech Litons'!$A:$I,9,FALSE)</f>
        <v>154</v>
      </c>
      <c r="I6318" s="174" t="str">
        <f>VLOOKUP($A6318,'Tech Litons'!$A:$C,3,0)</f>
        <v>MBG</v>
      </c>
      <c r="J6318" s="175" t="str">
        <f t="shared" si="709"/>
        <v>1352MBG</v>
      </c>
      <c r="K6318" s="176">
        <f>VLOOKUP(I6318,'Attain %'!A:B,2,0)</f>
        <v>0.96</v>
      </c>
      <c r="L6318" s="177">
        <f t="shared" si="710"/>
        <v>20275.2</v>
      </c>
      <c r="M6318" s="177">
        <f t="shared" si="711"/>
        <v>78.992179199999995</v>
      </c>
      <c r="N6318" s="177">
        <f t="shared" si="712"/>
        <v>131.65714285714287</v>
      </c>
      <c r="O6318" s="175" t="str">
        <f t="shared" si="713"/>
        <v>Mar</v>
      </c>
      <c r="P6318" s="265">
        <f t="shared" si="714"/>
        <v>14</v>
      </c>
    </row>
    <row r="6319" spans="1:16" ht="15" hidden="1" customHeight="1">
      <c r="A6319" s="489">
        <v>68741742</v>
      </c>
      <c r="B6319" s="489">
        <v>1352</v>
      </c>
      <c r="C6319" s="488">
        <v>21120</v>
      </c>
      <c r="D6319" s="597">
        <v>46118</v>
      </c>
      <c r="E6319" s="489" t="s">
        <v>288</v>
      </c>
      <c r="F6319" s="489" t="s">
        <v>1215</v>
      </c>
      <c r="G6319" s="395">
        <f>VLOOKUP($A6319,'Tech Litons'!$A:$I,8,FALSE)</f>
        <v>4.2560000000000002E-3</v>
      </c>
      <c r="H6319" s="174">
        <f>VLOOKUP($A6319,'Tech Litons'!$A:$I,9,FALSE)</f>
        <v>154</v>
      </c>
      <c r="I6319" s="174" t="str">
        <f>VLOOKUP($A6319,'Tech Litons'!$A:$C,3,0)</f>
        <v>MBG</v>
      </c>
      <c r="J6319" s="175" t="str">
        <f t="shared" si="709"/>
        <v>1352MBG</v>
      </c>
      <c r="K6319" s="176">
        <f>VLOOKUP(I6319,'Attain %'!A:B,2,0)</f>
        <v>0.96</v>
      </c>
      <c r="L6319" s="177">
        <f t="shared" si="710"/>
        <v>20275.2</v>
      </c>
      <c r="M6319" s="177">
        <f t="shared" si="711"/>
        <v>86.291251200000005</v>
      </c>
      <c r="N6319" s="177">
        <f t="shared" si="712"/>
        <v>131.65714285714287</v>
      </c>
      <c r="O6319" s="175" t="str">
        <f t="shared" si="713"/>
        <v>Apr</v>
      </c>
      <c r="P6319" s="265">
        <f t="shared" si="714"/>
        <v>15</v>
      </c>
    </row>
    <row r="6320" spans="1:16" ht="15" hidden="1" customHeight="1">
      <c r="A6320" s="489">
        <v>65549173</v>
      </c>
      <c r="B6320" s="489" t="s">
        <v>139</v>
      </c>
      <c r="C6320" s="488">
        <v>21200</v>
      </c>
      <c r="D6320" s="597">
        <v>46146</v>
      </c>
      <c r="E6320" s="489" t="s">
        <v>1189</v>
      </c>
      <c r="F6320" s="489" t="s">
        <v>1223</v>
      </c>
      <c r="G6320" s="395">
        <f>VLOOKUP($A6320,'Tech Litons'!$A:$I,8,FALSE)</f>
        <v>1.1999999999999999E-3</v>
      </c>
      <c r="H6320" s="174">
        <f>VLOOKUP($A6320,'Tech Litons'!$A:$I,9,FALSE)</f>
        <v>210</v>
      </c>
      <c r="I6320" s="174" t="str">
        <f>VLOOKUP($A6320,'Tech Litons'!$A:$C,3,0)</f>
        <v>Facepieces</v>
      </c>
      <c r="J6320" s="175" t="str">
        <f t="shared" si="709"/>
        <v>IncomFacepieces</v>
      </c>
      <c r="K6320" s="176">
        <f>VLOOKUP(I6320,'Attain %'!A:B,2,0)</f>
        <v>0.96</v>
      </c>
      <c r="L6320" s="177">
        <f t="shared" si="710"/>
        <v>20352</v>
      </c>
      <c r="M6320" s="177">
        <f t="shared" si="711"/>
        <v>24.422399999999996</v>
      </c>
      <c r="N6320" s="177">
        <f t="shared" si="712"/>
        <v>96.914285714285711</v>
      </c>
      <c r="O6320" s="175" t="str">
        <f t="shared" si="713"/>
        <v>May</v>
      </c>
      <c r="P6320" s="265">
        <f t="shared" si="714"/>
        <v>19</v>
      </c>
    </row>
    <row r="6321" spans="1:16" ht="15" hidden="1" customHeight="1">
      <c r="A6321" s="489">
        <v>64771676</v>
      </c>
      <c r="B6321" s="489" t="s">
        <v>139</v>
      </c>
      <c r="C6321" s="488">
        <v>21300</v>
      </c>
      <c r="D6321" s="597">
        <v>46377</v>
      </c>
      <c r="E6321" s="489" t="s">
        <v>619</v>
      </c>
      <c r="F6321" s="489" t="s">
        <v>1223</v>
      </c>
      <c r="G6321" s="395">
        <f>VLOOKUP($A6321,'Tech Litons'!$A:$I,8,FALSE)</f>
        <v>2.16E-3</v>
      </c>
      <c r="H6321" s="174">
        <f>VLOOKUP($A6321,'Tech Litons'!$A:$I,9,FALSE)</f>
        <v>195</v>
      </c>
      <c r="I6321" s="174" t="str">
        <f>VLOOKUP($A6321,'Tech Litons'!$A:$C,3,0)</f>
        <v>Facepieces</v>
      </c>
      <c r="J6321" s="175" t="str">
        <f t="shared" si="709"/>
        <v>IncomFacepieces</v>
      </c>
      <c r="K6321" s="176">
        <f>VLOOKUP(I6321,'Attain %'!A:B,2,0)</f>
        <v>0.96</v>
      </c>
      <c r="L6321" s="177">
        <f t="shared" si="710"/>
        <v>20448</v>
      </c>
      <c r="M6321" s="177">
        <f t="shared" si="711"/>
        <v>44.167679999999997</v>
      </c>
      <c r="N6321" s="177">
        <f t="shared" si="712"/>
        <v>104.86153846153846</v>
      </c>
      <c r="O6321" s="175" t="str">
        <f t="shared" si="713"/>
        <v>Dec</v>
      </c>
      <c r="P6321" s="265">
        <f t="shared" si="714"/>
        <v>52</v>
      </c>
    </row>
    <row r="6322" spans="1:16" ht="15" hidden="1" customHeight="1">
      <c r="A6322" s="489">
        <v>64771676</v>
      </c>
      <c r="B6322" s="489" t="s">
        <v>139</v>
      </c>
      <c r="C6322" s="488">
        <v>21312</v>
      </c>
      <c r="D6322" s="597">
        <v>46293</v>
      </c>
      <c r="E6322" s="489" t="s">
        <v>619</v>
      </c>
      <c r="F6322" s="489" t="s">
        <v>1223</v>
      </c>
      <c r="G6322" s="395">
        <f>VLOOKUP($A6322,'Tech Litons'!$A:$I,8,FALSE)</f>
        <v>2.16E-3</v>
      </c>
      <c r="H6322" s="174">
        <f>VLOOKUP($A6322,'Tech Litons'!$A:$I,9,FALSE)</f>
        <v>195</v>
      </c>
      <c r="I6322" s="174" t="str">
        <f>VLOOKUP($A6322,'Tech Litons'!$A:$C,3,0)</f>
        <v>Facepieces</v>
      </c>
      <c r="J6322" s="175" t="str">
        <f t="shared" si="709"/>
        <v>IncomFacepieces</v>
      </c>
      <c r="K6322" s="176">
        <f>VLOOKUP(I6322,'Attain %'!A:B,2,0)</f>
        <v>0.96</v>
      </c>
      <c r="L6322" s="177">
        <f t="shared" si="710"/>
        <v>20459.52</v>
      </c>
      <c r="M6322" s="177">
        <f t="shared" si="711"/>
        <v>44.192563200000002</v>
      </c>
      <c r="N6322" s="177">
        <f t="shared" si="712"/>
        <v>104.92061538461539</v>
      </c>
      <c r="O6322" s="175" t="str">
        <f t="shared" si="713"/>
        <v>Sep</v>
      </c>
      <c r="P6322" s="265">
        <f t="shared" si="714"/>
        <v>40</v>
      </c>
    </row>
    <row r="6323" spans="1:16" ht="15" hidden="1" customHeight="1">
      <c r="A6323" s="489">
        <v>64979444</v>
      </c>
      <c r="B6323" s="489" t="s">
        <v>139</v>
      </c>
      <c r="C6323" s="488">
        <v>21314</v>
      </c>
      <c r="D6323" s="597">
        <v>46265</v>
      </c>
      <c r="E6323" s="489" t="s">
        <v>622</v>
      </c>
      <c r="F6323" s="489" t="s">
        <v>1223</v>
      </c>
      <c r="G6323" s="395">
        <f>VLOOKUP($A6323,'Tech Litons'!$A:$I,8,FALSE)</f>
        <v>2.16E-3</v>
      </c>
      <c r="H6323" s="174">
        <f>VLOOKUP($A6323,'Tech Litons'!$A:$I,9,FALSE)</f>
        <v>195</v>
      </c>
      <c r="I6323" s="174" t="str">
        <f>VLOOKUP($A6323,'Tech Litons'!$A:$C,3,0)</f>
        <v>Facepieces</v>
      </c>
      <c r="J6323" s="175" t="str">
        <f t="shared" si="709"/>
        <v>IncomFacepieces</v>
      </c>
      <c r="K6323" s="176">
        <f>VLOOKUP(I6323,'Attain %'!A:B,2,0)</f>
        <v>0.96</v>
      </c>
      <c r="L6323" s="177">
        <f t="shared" si="710"/>
        <v>20461.439999999999</v>
      </c>
      <c r="M6323" s="177">
        <f t="shared" si="711"/>
        <v>44.196710400000001</v>
      </c>
      <c r="N6323" s="177">
        <f t="shared" si="712"/>
        <v>104.93046153846153</v>
      </c>
      <c r="O6323" s="175" t="str">
        <f t="shared" si="713"/>
        <v>Aug</v>
      </c>
      <c r="P6323" s="265">
        <f t="shared" si="714"/>
        <v>36</v>
      </c>
    </row>
    <row r="6324" spans="1:16" ht="15" hidden="1" customHeight="1">
      <c r="A6324" s="489">
        <v>69727314</v>
      </c>
      <c r="B6324" s="489">
        <v>1352</v>
      </c>
      <c r="C6324" s="488">
        <v>21600</v>
      </c>
      <c r="D6324" s="597">
        <v>46153</v>
      </c>
      <c r="E6324" s="489" t="s">
        <v>402</v>
      </c>
      <c r="F6324" s="489" t="s">
        <v>1217</v>
      </c>
      <c r="G6324" s="395">
        <f>VLOOKUP($A6324,'Tech Litons'!$A:$I,8,FALSE)</f>
        <v>5.2680000000000001E-3</v>
      </c>
      <c r="H6324" s="174">
        <f>VLOOKUP($A6324,'Tech Litons'!$A:$I,9,FALSE)</f>
        <v>130</v>
      </c>
      <c r="I6324" s="174" t="str">
        <f>VLOOKUP($A6324,'Tech Litons'!$A:$C,3,0)</f>
        <v>PG</v>
      </c>
      <c r="J6324" s="175" t="str">
        <f t="shared" si="709"/>
        <v>1352PG</v>
      </c>
      <c r="K6324" s="176">
        <f>VLOOKUP(I6324,'Attain %'!A:B,2,0)</f>
        <v>0.96</v>
      </c>
      <c r="L6324" s="177">
        <f t="shared" si="710"/>
        <v>20736</v>
      </c>
      <c r="M6324" s="177">
        <f t="shared" si="711"/>
        <v>109.23724800000001</v>
      </c>
      <c r="N6324" s="177">
        <f t="shared" si="712"/>
        <v>159.50769230769231</v>
      </c>
      <c r="O6324" s="175" t="str">
        <f t="shared" si="713"/>
        <v>May</v>
      </c>
      <c r="P6324" s="265">
        <f t="shared" si="714"/>
        <v>20</v>
      </c>
    </row>
    <row r="6325" spans="1:16" ht="15" hidden="1" customHeight="1">
      <c r="A6325" s="489">
        <v>69727314</v>
      </c>
      <c r="B6325" s="489">
        <v>1352</v>
      </c>
      <c r="C6325" s="488">
        <v>21600</v>
      </c>
      <c r="D6325" s="597">
        <v>46160</v>
      </c>
      <c r="E6325" s="489" t="s">
        <v>402</v>
      </c>
      <c r="F6325" s="489" t="s">
        <v>1217</v>
      </c>
      <c r="G6325" s="395">
        <f>VLOOKUP($A6325,'Tech Litons'!$A:$I,8,FALSE)</f>
        <v>5.2680000000000001E-3</v>
      </c>
      <c r="H6325" s="174">
        <f>VLOOKUP($A6325,'Tech Litons'!$A:$I,9,FALSE)</f>
        <v>130</v>
      </c>
      <c r="I6325" s="174" t="str">
        <f>VLOOKUP($A6325,'Tech Litons'!$A:$C,3,0)</f>
        <v>PG</v>
      </c>
      <c r="J6325" s="175" t="str">
        <f t="shared" si="709"/>
        <v>1352PG</v>
      </c>
      <c r="K6325" s="176">
        <f>VLOOKUP(I6325,'Attain %'!A:B,2,0)</f>
        <v>0.96</v>
      </c>
      <c r="L6325" s="177">
        <f t="shared" si="710"/>
        <v>20736</v>
      </c>
      <c r="M6325" s="177">
        <f t="shared" si="711"/>
        <v>109.23724800000001</v>
      </c>
      <c r="N6325" s="177">
        <f t="shared" si="712"/>
        <v>159.50769230769231</v>
      </c>
      <c r="O6325" s="175" t="str">
        <f t="shared" si="713"/>
        <v>May</v>
      </c>
      <c r="P6325" s="265">
        <f t="shared" si="714"/>
        <v>21</v>
      </c>
    </row>
    <row r="6326" spans="1:16" ht="15" hidden="1" customHeight="1">
      <c r="A6326" s="489">
        <v>64341106</v>
      </c>
      <c r="B6326" s="489">
        <v>2904</v>
      </c>
      <c r="C6326" s="488">
        <v>21600</v>
      </c>
      <c r="D6326" s="597">
        <v>46125</v>
      </c>
      <c r="E6326" s="489" t="s">
        <v>293</v>
      </c>
      <c r="F6326" s="489" t="s">
        <v>1237</v>
      </c>
      <c r="G6326" s="395">
        <f>VLOOKUP($A6326,'Tech Litons'!$A:$I,8,FALSE)</f>
        <v>5.2680000000000001E-3</v>
      </c>
      <c r="H6326" s="174">
        <f>VLOOKUP($A6326,'Tech Litons'!$A:$I,9,FALSE)</f>
        <v>130</v>
      </c>
      <c r="I6326" s="174" t="str">
        <f>VLOOKUP($A6326,'Tech Litons'!$A:$C,3,0)</f>
        <v>PG</v>
      </c>
      <c r="J6326" s="175" t="str">
        <f t="shared" si="709"/>
        <v>2904PG</v>
      </c>
      <c r="K6326" s="176">
        <f>VLOOKUP(I6326,'Attain %'!A:B,2,0)</f>
        <v>0.96</v>
      </c>
      <c r="L6326" s="177">
        <f t="shared" si="710"/>
        <v>20736</v>
      </c>
      <c r="M6326" s="177">
        <f t="shared" si="711"/>
        <v>109.23724800000001</v>
      </c>
      <c r="N6326" s="177">
        <f t="shared" si="712"/>
        <v>159.50769230769231</v>
      </c>
      <c r="O6326" s="175" t="str">
        <f t="shared" si="713"/>
        <v>Apr</v>
      </c>
      <c r="P6326" s="265">
        <f t="shared" si="714"/>
        <v>16</v>
      </c>
    </row>
    <row r="6327" spans="1:16" ht="15" hidden="1" customHeight="1">
      <c r="A6327" s="489">
        <v>64341106</v>
      </c>
      <c r="B6327" s="489">
        <v>2904</v>
      </c>
      <c r="C6327" s="488">
        <v>21600</v>
      </c>
      <c r="D6327" s="597">
        <v>46132</v>
      </c>
      <c r="E6327" s="489" t="s">
        <v>293</v>
      </c>
      <c r="F6327" s="489" t="s">
        <v>1237</v>
      </c>
      <c r="G6327" s="395">
        <f>VLOOKUP($A6327,'Tech Litons'!$A:$I,8,FALSE)</f>
        <v>5.2680000000000001E-3</v>
      </c>
      <c r="H6327" s="174">
        <f>VLOOKUP($A6327,'Tech Litons'!$A:$I,9,FALSE)</f>
        <v>130</v>
      </c>
      <c r="I6327" s="174" t="str">
        <f>VLOOKUP($A6327,'Tech Litons'!$A:$C,3,0)</f>
        <v>PG</v>
      </c>
      <c r="J6327" s="175" t="str">
        <f t="shared" si="709"/>
        <v>2904PG</v>
      </c>
      <c r="K6327" s="176">
        <f>VLOOKUP(I6327,'Attain %'!A:B,2,0)</f>
        <v>0.96</v>
      </c>
      <c r="L6327" s="177">
        <f t="shared" si="710"/>
        <v>20736</v>
      </c>
      <c r="M6327" s="177">
        <f t="shared" si="711"/>
        <v>109.23724800000001</v>
      </c>
      <c r="N6327" s="177">
        <f t="shared" si="712"/>
        <v>159.50769230769231</v>
      </c>
      <c r="O6327" s="175" t="str">
        <f t="shared" si="713"/>
        <v>Apr</v>
      </c>
      <c r="P6327" s="265">
        <f t="shared" si="714"/>
        <v>17</v>
      </c>
    </row>
    <row r="6328" spans="1:16" ht="15" hidden="1" customHeight="1">
      <c r="A6328" s="489">
        <v>64341106</v>
      </c>
      <c r="B6328" s="489">
        <v>2904</v>
      </c>
      <c r="C6328" s="488">
        <v>21600</v>
      </c>
      <c r="D6328" s="597">
        <v>46139</v>
      </c>
      <c r="E6328" s="489" t="s">
        <v>293</v>
      </c>
      <c r="F6328" s="489" t="s">
        <v>1237</v>
      </c>
      <c r="G6328" s="395">
        <f>VLOOKUP($A6328,'Tech Litons'!$A:$I,8,FALSE)</f>
        <v>5.2680000000000001E-3</v>
      </c>
      <c r="H6328" s="174">
        <f>VLOOKUP($A6328,'Tech Litons'!$A:$I,9,FALSE)</f>
        <v>130</v>
      </c>
      <c r="I6328" s="174" t="str">
        <f>VLOOKUP($A6328,'Tech Litons'!$A:$C,3,0)</f>
        <v>PG</v>
      </c>
      <c r="J6328" s="175" t="str">
        <f t="shared" ref="J6328:J6391" si="715">B6328&amp;I6328</f>
        <v>2904PG</v>
      </c>
      <c r="K6328" s="176">
        <f>VLOOKUP(I6328,'Attain %'!A:B,2,0)</f>
        <v>0.96</v>
      </c>
      <c r="L6328" s="177">
        <f t="shared" ref="L6328:L6391" si="716">C6328*$K6328</f>
        <v>20736</v>
      </c>
      <c r="M6328" s="177">
        <f t="shared" ref="M6328:M6391" si="717">L6328*G6328</f>
        <v>109.23724800000001</v>
      </c>
      <c r="N6328" s="177">
        <f t="shared" ref="N6328:N6391" si="718">L6328/H6328</f>
        <v>159.50769230769231</v>
      </c>
      <c r="O6328" s="175" t="str">
        <f t="shared" ref="O6328:O6391" si="719">TEXT(D6328,"MMM")</f>
        <v>Apr</v>
      </c>
      <c r="P6328" s="265">
        <f t="shared" ref="P6328:P6391" si="720">WEEKNUM(D6328)</f>
        <v>18</v>
      </c>
    </row>
    <row r="6329" spans="1:16" ht="15" hidden="1" customHeight="1">
      <c r="A6329" s="489">
        <v>64341106</v>
      </c>
      <c r="B6329" s="489">
        <v>2904</v>
      </c>
      <c r="C6329" s="488">
        <v>21600</v>
      </c>
      <c r="D6329" s="597">
        <v>46146</v>
      </c>
      <c r="E6329" s="489" t="s">
        <v>293</v>
      </c>
      <c r="F6329" s="489" t="s">
        <v>1237</v>
      </c>
      <c r="G6329" s="395">
        <f>VLOOKUP($A6329,'Tech Litons'!$A:$I,8,FALSE)</f>
        <v>5.2680000000000001E-3</v>
      </c>
      <c r="H6329" s="174">
        <f>VLOOKUP($A6329,'Tech Litons'!$A:$I,9,FALSE)</f>
        <v>130</v>
      </c>
      <c r="I6329" s="174" t="str">
        <f>VLOOKUP($A6329,'Tech Litons'!$A:$C,3,0)</f>
        <v>PG</v>
      </c>
      <c r="J6329" s="175" t="str">
        <f t="shared" si="715"/>
        <v>2904PG</v>
      </c>
      <c r="K6329" s="176">
        <f>VLOOKUP(I6329,'Attain %'!A:B,2,0)</f>
        <v>0.96</v>
      </c>
      <c r="L6329" s="177">
        <f t="shared" si="716"/>
        <v>20736</v>
      </c>
      <c r="M6329" s="177">
        <f t="shared" si="717"/>
        <v>109.23724800000001</v>
      </c>
      <c r="N6329" s="177">
        <f t="shared" si="718"/>
        <v>159.50769230769231</v>
      </c>
      <c r="O6329" s="175" t="str">
        <f t="shared" si="719"/>
        <v>May</v>
      </c>
      <c r="P6329" s="265">
        <f t="shared" si="720"/>
        <v>19</v>
      </c>
    </row>
    <row r="6330" spans="1:16" ht="15" hidden="1" customHeight="1">
      <c r="A6330" s="489">
        <v>64341106</v>
      </c>
      <c r="B6330" s="489">
        <v>2904</v>
      </c>
      <c r="C6330" s="488">
        <v>21600</v>
      </c>
      <c r="D6330" s="597">
        <v>46153</v>
      </c>
      <c r="E6330" s="489" t="s">
        <v>293</v>
      </c>
      <c r="F6330" s="489" t="s">
        <v>1237</v>
      </c>
      <c r="G6330" s="395">
        <f>VLOOKUP($A6330,'Tech Litons'!$A:$I,8,FALSE)</f>
        <v>5.2680000000000001E-3</v>
      </c>
      <c r="H6330" s="174">
        <f>VLOOKUP($A6330,'Tech Litons'!$A:$I,9,FALSE)</f>
        <v>130</v>
      </c>
      <c r="I6330" s="174" t="str">
        <f>VLOOKUP($A6330,'Tech Litons'!$A:$C,3,0)</f>
        <v>PG</v>
      </c>
      <c r="J6330" s="175" t="str">
        <f t="shared" si="715"/>
        <v>2904PG</v>
      </c>
      <c r="K6330" s="176">
        <f>VLOOKUP(I6330,'Attain %'!A:B,2,0)</f>
        <v>0.96</v>
      </c>
      <c r="L6330" s="177">
        <f t="shared" si="716"/>
        <v>20736</v>
      </c>
      <c r="M6330" s="177">
        <f t="shared" si="717"/>
        <v>109.23724800000001</v>
      </c>
      <c r="N6330" s="177">
        <f t="shared" si="718"/>
        <v>159.50769230769231</v>
      </c>
      <c r="O6330" s="175" t="str">
        <f t="shared" si="719"/>
        <v>May</v>
      </c>
      <c r="P6330" s="265">
        <f t="shared" si="720"/>
        <v>20</v>
      </c>
    </row>
    <row r="6331" spans="1:16" ht="15" hidden="1" customHeight="1">
      <c r="A6331" s="489">
        <v>64341106</v>
      </c>
      <c r="B6331" s="489">
        <v>2904</v>
      </c>
      <c r="C6331" s="488">
        <v>21600</v>
      </c>
      <c r="D6331" s="597">
        <v>46160</v>
      </c>
      <c r="E6331" s="489" t="s">
        <v>293</v>
      </c>
      <c r="F6331" s="489" t="s">
        <v>1237</v>
      </c>
      <c r="G6331" s="395">
        <f>VLOOKUP($A6331,'Tech Litons'!$A:$I,8,FALSE)</f>
        <v>5.2680000000000001E-3</v>
      </c>
      <c r="H6331" s="174">
        <f>VLOOKUP($A6331,'Tech Litons'!$A:$I,9,FALSE)</f>
        <v>130</v>
      </c>
      <c r="I6331" s="174" t="str">
        <f>VLOOKUP($A6331,'Tech Litons'!$A:$C,3,0)</f>
        <v>PG</v>
      </c>
      <c r="J6331" s="175" t="str">
        <f t="shared" si="715"/>
        <v>2904PG</v>
      </c>
      <c r="K6331" s="176">
        <f>VLOOKUP(I6331,'Attain %'!A:B,2,0)</f>
        <v>0.96</v>
      </c>
      <c r="L6331" s="177">
        <f t="shared" si="716"/>
        <v>20736</v>
      </c>
      <c r="M6331" s="177">
        <f t="shared" si="717"/>
        <v>109.23724800000001</v>
      </c>
      <c r="N6331" s="177">
        <f t="shared" si="718"/>
        <v>159.50769230769231</v>
      </c>
      <c r="O6331" s="175" t="str">
        <f t="shared" si="719"/>
        <v>May</v>
      </c>
      <c r="P6331" s="265">
        <f t="shared" si="720"/>
        <v>21</v>
      </c>
    </row>
    <row r="6332" spans="1:16" ht="15" hidden="1" customHeight="1">
      <c r="A6332" s="489">
        <v>64341107</v>
      </c>
      <c r="B6332" s="489">
        <v>2904</v>
      </c>
      <c r="C6332" s="488">
        <v>21600</v>
      </c>
      <c r="D6332" s="597">
        <v>46118</v>
      </c>
      <c r="E6332" s="489" t="s">
        <v>507</v>
      </c>
      <c r="F6332" s="489" t="s">
        <v>1237</v>
      </c>
      <c r="G6332" s="395">
        <f>VLOOKUP($A6332,'Tech Litons'!$A:$I,8,FALSE)</f>
        <v>5.2680000000000001E-3</v>
      </c>
      <c r="H6332" s="174">
        <f>VLOOKUP($A6332,'Tech Litons'!$A:$I,9,FALSE)</f>
        <v>130</v>
      </c>
      <c r="I6332" s="174" t="str">
        <f>VLOOKUP($A6332,'Tech Litons'!$A:$C,3,0)</f>
        <v>PG</v>
      </c>
      <c r="J6332" s="175" t="str">
        <f t="shared" si="715"/>
        <v>2904PG</v>
      </c>
      <c r="K6332" s="176">
        <f>VLOOKUP(I6332,'Attain %'!A:B,2,0)</f>
        <v>0.96</v>
      </c>
      <c r="L6332" s="177">
        <f t="shared" si="716"/>
        <v>20736</v>
      </c>
      <c r="M6332" s="177">
        <f t="shared" si="717"/>
        <v>109.23724800000001</v>
      </c>
      <c r="N6332" s="177">
        <f t="shared" si="718"/>
        <v>159.50769230769231</v>
      </c>
      <c r="O6332" s="175" t="str">
        <f t="shared" si="719"/>
        <v>Apr</v>
      </c>
      <c r="P6332" s="265">
        <f t="shared" si="720"/>
        <v>15</v>
      </c>
    </row>
    <row r="6333" spans="1:16" ht="15" hidden="1" customHeight="1">
      <c r="A6333" s="489">
        <v>64341107</v>
      </c>
      <c r="B6333" s="489">
        <v>2904</v>
      </c>
      <c r="C6333" s="488">
        <v>21600</v>
      </c>
      <c r="D6333" s="597">
        <v>46167</v>
      </c>
      <c r="E6333" s="489" t="s">
        <v>507</v>
      </c>
      <c r="F6333" s="489" t="s">
        <v>1237</v>
      </c>
      <c r="G6333" s="395">
        <f>VLOOKUP($A6333,'Tech Litons'!$A:$I,8,FALSE)</f>
        <v>5.2680000000000001E-3</v>
      </c>
      <c r="H6333" s="174">
        <f>VLOOKUP($A6333,'Tech Litons'!$A:$I,9,FALSE)</f>
        <v>130</v>
      </c>
      <c r="I6333" s="174" t="str">
        <f>VLOOKUP($A6333,'Tech Litons'!$A:$C,3,0)</f>
        <v>PG</v>
      </c>
      <c r="J6333" s="175" t="str">
        <f t="shared" si="715"/>
        <v>2904PG</v>
      </c>
      <c r="K6333" s="176">
        <f>VLOOKUP(I6333,'Attain %'!A:B,2,0)</f>
        <v>0.96</v>
      </c>
      <c r="L6333" s="177">
        <f t="shared" si="716"/>
        <v>20736</v>
      </c>
      <c r="M6333" s="177">
        <f t="shared" si="717"/>
        <v>109.23724800000001</v>
      </c>
      <c r="N6333" s="177">
        <f t="shared" si="718"/>
        <v>159.50769230769231</v>
      </c>
      <c r="O6333" s="175" t="str">
        <f t="shared" si="719"/>
        <v>May</v>
      </c>
      <c r="P6333" s="265">
        <f t="shared" si="720"/>
        <v>22</v>
      </c>
    </row>
    <row r="6334" spans="1:16" ht="15" hidden="1" customHeight="1">
      <c r="A6334" s="489">
        <v>68746232</v>
      </c>
      <c r="B6334" s="489">
        <v>2904</v>
      </c>
      <c r="C6334" s="488">
        <v>21600</v>
      </c>
      <c r="D6334" s="597">
        <v>46153</v>
      </c>
      <c r="E6334" s="489" t="s">
        <v>508</v>
      </c>
      <c r="F6334" s="489" t="s">
        <v>1234</v>
      </c>
      <c r="G6334" s="395">
        <f>VLOOKUP($A6334,'Tech Litons'!$A:$I,8,FALSE)</f>
        <v>8.5199999999999998E-3</v>
      </c>
      <c r="H6334" s="174">
        <f>VLOOKUP($A6334,'Tech Litons'!$A:$I,9,FALSE)</f>
        <v>132</v>
      </c>
      <c r="I6334" s="174" t="str">
        <f>VLOOKUP($A6334,'Tech Litons'!$A:$C,3,0)</f>
        <v>EDF</v>
      </c>
      <c r="J6334" s="175" t="str">
        <f t="shared" si="715"/>
        <v>2904EDF</v>
      </c>
      <c r="K6334" s="176">
        <f>VLOOKUP(I6334,'Attain %'!A:B,2,0)</f>
        <v>0.96</v>
      </c>
      <c r="L6334" s="177">
        <f t="shared" si="716"/>
        <v>20736</v>
      </c>
      <c r="M6334" s="177">
        <f t="shared" si="717"/>
        <v>176.67071999999999</v>
      </c>
      <c r="N6334" s="177">
        <f t="shared" si="718"/>
        <v>157.09090909090909</v>
      </c>
      <c r="O6334" s="175" t="str">
        <f t="shared" si="719"/>
        <v>May</v>
      </c>
      <c r="P6334" s="265">
        <f t="shared" si="720"/>
        <v>20</v>
      </c>
    </row>
    <row r="6335" spans="1:16" ht="15" hidden="1" customHeight="1">
      <c r="A6335" s="489">
        <v>68746232</v>
      </c>
      <c r="B6335" s="489">
        <v>2904</v>
      </c>
      <c r="C6335" s="488">
        <v>21600</v>
      </c>
      <c r="D6335" s="597">
        <v>46160</v>
      </c>
      <c r="E6335" s="489" t="s">
        <v>508</v>
      </c>
      <c r="F6335" s="489" t="s">
        <v>1234</v>
      </c>
      <c r="G6335" s="395">
        <f>VLOOKUP($A6335,'Tech Litons'!$A:$I,8,FALSE)</f>
        <v>8.5199999999999998E-3</v>
      </c>
      <c r="H6335" s="174">
        <f>VLOOKUP($A6335,'Tech Litons'!$A:$I,9,FALSE)</f>
        <v>132</v>
      </c>
      <c r="I6335" s="174" t="str">
        <f>VLOOKUP($A6335,'Tech Litons'!$A:$C,3,0)</f>
        <v>EDF</v>
      </c>
      <c r="J6335" s="175" t="str">
        <f t="shared" si="715"/>
        <v>2904EDF</v>
      </c>
      <c r="K6335" s="176">
        <f>VLOOKUP(I6335,'Attain %'!A:B,2,0)</f>
        <v>0.96</v>
      </c>
      <c r="L6335" s="177">
        <f t="shared" si="716"/>
        <v>20736</v>
      </c>
      <c r="M6335" s="177">
        <f t="shared" si="717"/>
        <v>176.67071999999999</v>
      </c>
      <c r="N6335" s="177">
        <f t="shared" si="718"/>
        <v>157.09090909090909</v>
      </c>
      <c r="O6335" s="175" t="str">
        <f t="shared" si="719"/>
        <v>May</v>
      </c>
      <c r="P6335" s="265">
        <f t="shared" si="720"/>
        <v>21</v>
      </c>
    </row>
    <row r="6336" spans="1:16" ht="15" hidden="1" customHeight="1">
      <c r="A6336" s="489">
        <v>68851107</v>
      </c>
      <c r="B6336" s="489">
        <v>2904</v>
      </c>
      <c r="C6336" s="488">
        <v>21600</v>
      </c>
      <c r="D6336" s="597">
        <v>46104</v>
      </c>
      <c r="E6336" s="489" t="s">
        <v>272</v>
      </c>
      <c r="F6336" s="489" t="s">
        <v>1226</v>
      </c>
      <c r="G6336" s="395">
        <f>VLOOKUP($A6336,'Tech Litons'!$A:$I,8,FALSE)</f>
        <v>8.5199999999999998E-3</v>
      </c>
      <c r="H6336" s="174">
        <f>VLOOKUP($A6336,'Tech Litons'!$A:$I,9,FALSE)</f>
        <v>176</v>
      </c>
      <c r="I6336" s="174" t="str">
        <f>VLOOKUP($A6336,'Tech Litons'!$A:$C,3,0)</f>
        <v>48oz</v>
      </c>
      <c r="J6336" s="175" t="str">
        <f t="shared" si="715"/>
        <v>290448oz</v>
      </c>
      <c r="K6336" s="176">
        <f>VLOOKUP(I6336,'Attain %'!A:B,2,0)</f>
        <v>0.94</v>
      </c>
      <c r="L6336" s="177">
        <f t="shared" si="716"/>
        <v>20304</v>
      </c>
      <c r="M6336" s="177">
        <f t="shared" si="717"/>
        <v>172.99008000000001</v>
      </c>
      <c r="N6336" s="177">
        <f t="shared" si="718"/>
        <v>115.36363636363636</v>
      </c>
      <c r="O6336" s="175" t="str">
        <f t="shared" si="719"/>
        <v>Mar</v>
      </c>
      <c r="P6336" s="265">
        <f t="shared" si="720"/>
        <v>13</v>
      </c>
    </row>
    <row r="6337" spans="1:16" ht="15" hidden="1" customHeight="1">
      <c r="A6337" s="489">
        <v>68851107</v>
      </c>
      <c r="B6337" s="489">
        <v>2904</v>
      </c>
      <c r="C6337" s="488">
        <v>21600</v>
      </c>
      <c r="D6337" s="597">
        <v>46139</v>
      </c>
      <c r="E6337" s="489" t="s">
        <v>272</v>
      </c>
      <c r="F6337" s="489" t="s">
        <v>1226</v>
      </c>
      <c r="G6337" s="395">
        <f>VLOOKUP($A6337,'Tech Litons'!$A:$I,8,FALSE)</f>
        <v>8.5199999999999998E-3</v>
      </c>
      <c r="H6337" s="174">
        <f>VLOOKUP($A6337,'Tech Litons'!$A:$I,9,FALSE)</f>
        <v>176</v>
      </c>
      <c r="I6337" s="174" t="str">
        <f>VLOOKUP($A6337,'Tech Litons'!$A:$C,3,0)</f>
        <v>48oz</v>
      </c>
      <c r="J6337" s="175" t="str">
        <f t="shared" si="715"/>
        <v>290448oz</v>
      </c>
      <c r="K6337" s="176">
        <f>VLOOKUP(I6337,'Attain %'!A:B,2,0)</f>
        <v>0.94</v>
      </c>
      <c r="L6337" s="177">
        <f t="shared" si="716"/>
        <v>20304</v>
      </c>
      <c r="M6337" s="177">
        <f t="shared" si="717"/>
        <v>172.99008000000001</v>
      </c>
      <c r="N6337" s="177">
        <f t="shared" si="718"/>
        <v>115.36363636363636</v>
      </c>
      <c r="O6337" s="175" t="str">
        <f t="shared" si="719"/>
        <v>Apr</v>
      </c>
      <c r="P6337" s="265">
        <f t="shared" si="720"/>
        <v>18</v>
      </c>
    </row>
    <row r="6338" spans="1:16" ht="15" hidden="1" customHeight="1">
      <c r="A6338" s="489">
        <v>68852591</v>
      </c>
      <c r="B6338" s="489">
        <v>2904</v>
      </c>
      <c r="C6338" s="488">
        <v>21600</v>
      </c>
      <c r="D6338" s="597">
        <v>46139</v>
      </c>
      <c r="E6338" s="489" t="s">
        <v>326</v>
      </c>
      <c r="F6338" s="489" t="s">
        <v>1234</v>
      </c>
      <c r="G6338" s="395">
        <f>VLOOKUP($A6338,'Tech Litons'!$A:$I,8,FALSE)</f>
        <v>8.5199999999999998E-3</v>
      </c>
      <c r="H6338" s="174">
        <f>VLOOKUP($A6338,'Tech Litons'!$A:$I,9,FALSE)</f>
        <v>132</v>
      </c>
      <c r="I6338" s="174" t="str">
        <f>VLOOKUP($A6338,'Tech Litons'!$A:$C,3,0)</f>
        <v>EDF</v>
      </c>
      <c r="J6338" s="175" t="str">
        <f t="shared" si="715"/>
        <v>2904EDF</v>
      </c>
      <c r="K6338" s="176">
        <f>VLOOKUP(I6338,'Attain %'!A:B,2,0)</f>
        <v>0.96</v>
      </c>
      <c r="L6338" s="177">
        <f t="shared" si="716"/>
        <v>20736</v>
      </c>
      <c r="M6338" s="177">
        <f t="shared" si="717"/>
        <v>176.67071999999999</v>
      </c>
      <c r="N6338" s="177">
        <f t="shared" si="718"/>
        <v>157.09090909090909</v>
      </c>
      <c r="O6338" s="175" t="str">
        <f t="shared" si="719"/>
        <v>Apr</v>
      </c>
      <c r="P6338" s="265">
        <f t="shared" si="720"/>
        <v>18</v>
      </c>
    </row>
    <row r="6339" spans="1:16" ht="15" hidden="1" customHeight="1">
      <c r="A6339" s="489">
        <v>68852591</v>
      </c>
      <c r="B6339" s="489">
        <v>2904</v>
      </c>
      <c r="C6339" s="488">
        <v>21600</v>
      </c>
      <c r="D6339" s="597">
        <v>46146</v>
      </c>
      <c r="E6339" s="489" t="s">
        <v>326</v>
      </c>
      <c r="F6339" s="489" t="s">
        <v>1234</v>
      </c>
      <c r="G6339" s="395">
        <f>VLOOKUP($A6339,'Tech Litons'!$A:$I,8,FALSE)</f>
        <v>8.5199999999999998E-3</v>
      </c>
      <c r="H6339" s="174">
        <f>VLOOKUP($A6339,'Tech Litons'!$A:$I,9,FALSE)</f>
        <v>132</v>
      </c>
      <c r="I6339" s="174" t="str">
        <f>VLOOKUP($A6339,'Tech Litons'!$A:$C,3,0)</f>
        <v>EDF</v>
      </c>
      <c r="J6339" s="175" t="str">
        <f t="shared" si="715"/>
        <v>2904EDF</v>
      </c>
      <c r="K6339" s="176">
        <f>VLOOKUP(I6339,'Attain %'!A:B,2,0)</f>
        <v>0.96</v>
      </c>
      <c r="L6339" s="177">
        <f t="shared" si="716"/>
        <v>20736</v>
      </c>
      <c r="M6339" s="177">
        <f t="shared" si="717"/>
        <v>176.67071999999999</v>
      </c>
      <c r="N6339" s="177">
        <f t="shared" si="718"/>
        <v>157.09090909090909</v>
      </c>
      <c r="O6339" s="175" t="str">
        <f t="shared" si="719"/>
        <v>May</v>
      </c>
      <c r="P6339" s="265">
        <f t="shared" si="720"/>
        <v>19</v>
      </c>
    </row>
    <row r="6340" spans="1:16" ht="15" hidden="1" customHeight="1">
      <c r="A6340" s="489">
        <v>69983234</v>
      </c>
      <c r="B6340" s="489">
        <v>2904</v>
      </c>
      <c r="C6340" s="488">
        <v>21600</v>
      </c>
      <c r="D6340" s="597">
        <v>46139</v>
      </c>
      <c r="E6340" s="489" t="s">
        <v>412</v>
      </c>
      <c r="F6340" s="489" t="s">
        <v>1231</v>
      </c>
      <c r="G6340" s="395">
        <f>VLOOKUP($A6340,'Tech Litons'!$A:$I,8,FALSE)</f>
        <v>3.9039999999999999E-3</v>
      </c>
      <c r="H6340" s="174">
        <f>VLOOKUP($A6340,'Tech Litons'!$A:$I,9,FALSE)</f>
        <v>154</v>
      </c>
      <c r="I6340" s="174" t="str">
        <f>VLOOKUP($A6340,'Tech Litons'!$A:$C,3,0)</f>
        <v>MBG</v>
      </c>
      <c r="J6340" s="175" t="str">
        <f t="shared" si="715"/>
        <v>2904MBG</v>
      </c>
      <c r="K6340" s="176">
        <f>VLOOKUP(I6340,'Attain %'!A:B,2,0)</f>
        <v>0.96</v>
      </c>
      <c r="L6340" s="177">
        <f t="shared" si="716"/>
        <v>20736</v>
      </c>
      <c r="M6340" s="177">
        <f t="shared" si="717"/>
        <v>80.953344000000001</v>
      </c>
      <c r="N6340" s="177">
        <f t="shared" si="718"/>
        <v>134.64935064935065</v>
      </c>
      <c r="O6340" s="175" t="str">
        <f t="shared" si="719"/>
        <v>Apr</v>
      </c>
      <c r="P6340" s="265">
        <f t="shared" si="720"/>
        <v>18</v>
      </c>
    </row>
    <row r="6341" spans="1:16" ht="15" hidden="1" customHeight="1">
      <c r="A6341" s="489">
        <v>64379123</v>
      </c>
      <c r="B6341" s="489">
        <v>3910</v>
      </c>
      <c r="C6341" s="488">
        <v>21600</v>
      </c>
      <c r="D6341" s="597">
        <v>46146</v>
      </c>
      <c r="E6341" s="489" t="s">
        <v>633</v>
      </c>
      <c r="F6341" s="489" t="s">
        <v>1335</v>
      </c>
      <c r="G6341" s="395">
        <f>VLOOKUP($A6341,'Tech Litons'!$A:$I,8,FALSE)</f>
        <v>3.1939999999999998E-3</v>
      </c>
      <c r="H6341" s="174">
        <f>VLOOKUP($A6341,'Tech Litons'!$A:$I,9,FALSE)</f>
        <v>322</v>
      </c>
      <c r="I6341" s="174" t="str">
        <f>VLOOKUP($A6341,'Tech Litons'!$A:$C,3,0)</f>
        <v>EFW</v>
      </c>
      <c r="J6341" s="175" t="str">
        <f t="shared" si="715"/>
        <v>3910EFW</v>
      </c>
      <c r="K6341" s="176">
        <f>VLOOKUP(I6341,'Attain %'!A:B,2,0)</f>
        <v>0.96</v>
      </c>
      <c r="L6341" s="177">
        <f t="shared" si="716"/>
        <v>20736</v>
      </c>
      <c r="M6341" s="177">
        <f t="shared" si="717"/>
        <v>66.230784</v>
      </c>
      <c r="N6341" s="177">
        <f t="shared" si="718"/>
        <v>64.397515527950304</v>
      </c>
      <c r="O6341" s="175" t="str">
        <f t="shared" si="719"/>
        <v>May</v>
      </c>
      <c r="P6341" s="265">
        <f t="shared" si="720"/>
        <v>19</v>
      </c>
    </row>
    <row r="6342" spans="1:16" ht="15" hidden="1" customHeight="1">
      <c r="A6342" s="489">
        <v>64379123</v>
      </c>
      <c r="B6342" s="489">
        <v>3910</v>
      </c>
      <c r="C6342" s="488">
        <v>21600</v>
      </c>
      <c r="D6342" s="597">
        <v>46209</v>
      </c>
      <c r="E6342" s="489" t="s">
        <v>633</v>
      </c>
      <c r="F6342" s="489" t="s">
        <v>1335</v>
      </c>
      <c r="G6342" s="395">
        <f>VLOOKUP($A6342,'Tech Litons'!$A:$I,8,FALSE)</f>
        <v>3.1939999999999998E-3</v>
      </c>
      <c r="H6342" s="174">
        <f>VLOOKUP($A6342,'Tech Litons'!$A:$I,9,FALSE)</f>
        <v>322</v>
      </c>
      <c r="I6342" s="174" t="str">
        <f>VLOOKUP($A6342,'Tech Litons'!$A:$C,3,0)</f>
        <v>EFW</v>
      </c>
      <c r="J6342" s="175" t="str">
        <f t="shared" si="715"/>
        <v>3910EFW</v>
      </c>
      <c r="K6342" s="176">
        <f>VLOOKUP(I6342,'Attain %'!A:B,2,0)</f>
        <v>0.96</v>
      </c>
      <c r="L6342" s="177">
        <f t="shared" si="716"/>
        <v>20736</v>
      </c>
      <c r="M6342" s="177">
        <f t="shared" si="717"/>
        <v>66.230784</v>
      </c>
      <c r="N6342" s="177">
        <f t="shared" si="718"/>
        <v>64.397515527950304</v>
      </c>
      <c r="O6342" s="175" t="str">
        <f t="shared" si="719"/>
        <v>Jul</v>
      </c>
      <c r="P6342" s="265">
        <f t="shared" si="720"/>
        <v>28</v>
      </c>
    </row>
    <row r="6343" spans="1:16" ht="15" hidden="1" customHeight="1">
      <c r="A6343" s="489">
        <v>64379123</v>
      </c>
      <c r="B6343" s="489">
        <v>3910</v>
      </c>
      <c r="C6343" s="488">
        <v>21600</v>
      </c>
      <c r="D6343" s="597">
        <v>46216</v>
      </c>
      <c r="E6343" s="489" t="s">
        <v>633</v>
      </c>
      <c r="F6343" s="489" t="s">
        <v>1335</v>
      </c>
      <c r="G6343" s="395">
        <f>VLOOKUP($A6343,'Tech Litons'!$A:$I,8,FALSE)</f>
        <v>3.1939999999999998E-3</v>
      </c>
      <c r="H6343" s="174">
        <f>VLOOKUP($A6343,'Tech Litons'!$A:$I,9,FALSE)</f>
        <v>322</v>
      </c>
      <c r="I6343" s="174" t="str">
        <f>VLOOKUP($A6343,'Tech Litons'!$A:$C,3,0)</f>
        <v>EFW</v>
      </c>
      <c r="J6343" s="175" t="str">
        <f t="shared" si="715"/>
        <v>3910EFW</v>
      </c>
      <c r="K6343" s="176">
        <f>VLOOKUP(I6343,'Attain %'!A:B,2,0)</f>
        <v>0.96</v>
      </c>
      <c r="L6343" s="177">
        <f t="shared" si="716"/>
        <v>20736</v>
      </c>
      <c r="M6343" s="177">
        <f t="shared" si="717"/>
        <v>66.230784</v>
      </c>
      <c r="N6343" s="177">
        <f t="shared" si="718"/>
        <v>64.397515527950304</v>
      </c>
      <c r="O6343" s="175" t="str">
        <f t="shared" si="719"/>
        <v>Jul</v>
      </c>
      <c r="P6343" s="265">
        <f t="shared" si="720"/>
        <v>29</v>
      </c>
    </row>
    <row r="6344" spans="1:16" ht="15" hidden="1" customHeight="1">
      <c r="A6344" s="489">
        <v>64379123</v>
      </c>
      <c r="B6344" s="489">
        <v>3910</v>
      </c>
      <c r="C6344" s="488">
        <v>21600</v>
      </c>
      <c r="D6344" s="597">
        <v>46244</v>
      </c>
      <c r="E6344" s="489" t="s">
        <v>633</v>
      </c>
      <c r="F6344" s="489" t="s">
        <v>1335</v>
      </c>
      <c r="G6344" s="395">
        <f>VLOOKUP($A6344,'Tech Litons'!$A:$I,8,FALSE)</f>
        <v>3.1939999999999998E-3</v>
      </c>
      <c r="H6344" s="174">
        <f>VLOOKUP($A6344,'Tech Litons'!$A:$I,9,FALSE)</f>
        <v>322</v>
      </c>
      <c r="I6344" s="174" t="str">
        <f>VLOOKUP($A6344,'Tech Litons'!$A:$C,3,0)</f>
        <v>EFW</v>
      </c>
      <c r="J6344" s="175" t="str">
        <f t="shared" si="715"/>
        <v>3910EFW</v>
      </c>
      <c r="K6344" s="176">
        <f>VLOOKUP(I6344,'Attain %'!A:B,2,0)</f>
        <v>0.96</v>
      </c>
      <c r="L6344" s="177">
        <f t="shared" si="716"/>
        <v>20736</v>
      </c>
      <c r="M6344" s="177">
        <f t="shared" si="717"/>
        <v>66.230784</v>
      </c>
      <c r="N6344" s="177">
        <f t="shared" si="718"/>
        <v>64.397515527950304</v>
      </c>
      <c r="O6344" s="175" t="str">
        <f t="shared" si="719"/>
        <v>Aug</v>
      </c>
      <c r="P6344" s="265">
        <f t="shared" si="720"/>
        <v>33</v>
      </c>
    </row>
    <row r="6345" spans="1:16" ht="15" hidden="1" customHeight="1">
      <c r="A6345" s="489">
        <v>64379123</v>
      </c>
      <c r="B6345" s="489">
        <v>3910</v>
      </c>
      <c r="C6345" s="488">
        <v>21600</v>
      </c>
      <c r="D6345" s="597">
        <v>46314</v>
      </c>
      <c r="E6345" s="489" t="s">
        <v>633</v>
      </c>
      <c r="F6345" s="489" t="s">
        <v>1335</v>
      </c>
      <c r="G6345" s="395">
        <f>VLOOKUP($A6345,'Tech Litons'!$A:$I,8,FALSE)</f>
        <v>3.1939999999999998E-3</v>
      </c>
      <c r="H6345" s="174">
        <f>VLOOKUP($A6345,'Tech Litons'!$A:$I,9,FALSE)</f>
        <v>322</v>
      </c>
      <c r="I6345" s="174" t="str">
        <f>VLOOKUP($A6345,'Tech Litons'!$A:$C,3,0)</f>
        <v>EFW</v>
      </c>
      <c r="J6345" s="175" t="str">
        <f t="shared" si="715"/>
        <v>3910EFW</v>
      </c>
      <c r="K6345" s="176">
        <f>VLOOKUP(I6345,'Attain %'!A:B,2,0)</f>
        <v>0.96</v>
      </c>
      <c r="L6345" s="177">
        <f t="shared" si="716"/>
        <v>20736</v>
      </c>
      <c r="M6345" s="177">
        <f t="shared" si="717"/>
        <v>66.230784</v>
      </c>
      <c r="N6345" s="177">
        <f t="shared" si="718"/>
        <v>64.397515527950304</v>
      </c>
      <c r="O6345" s="175" t="str">
        <f t="shared" si="719"/>
        <v>Oct</v>
      </c>
      <c r="P6345" s="265">
        <f t="shared" si="720"/>
        <v>43</v>
      </c>
    </row>
    <row r="6346" spans="1:16" ht="15" hidden="1" customHeight="1">
      <c r="A6346" s="489">
        <v>64379123</v>
      </c>
      <c r="B6346" s="489">
        <v>3910</v>
      </c>
      <c r="C6346" s="488">
        <v>21600</v>
      </c>
      <c r="D6346" s="597">
        <v>46342</v>
      </c>
      <c r="E6346" s="489" t="s">
        <v>633</v>
      </c>
      <c r="F6346" s="489" t="s">
        <v>1335</v>
      </c>
      <c r="G6346" s="395">
        <f>VLOOKUP($A6346,'Tech Litons'!$A:$I,8,FALSE)</f>
        <v>3.1939999999999998E-3</v>
      </c>
      <c r="H6346" s="174">
        <f>VLOOKUP($A6346,'Tech Litons'!$A:$I,9,FALSE)</f>
        <v>322</v>
      </c>
      <c r="I6346" s="174" t="str">
        <f>VLOOKUP($A6346,'Tech Litons'!$A:$C,3,0)</f>
        <v>EFW</v>
      </c>
      <c r="J6346" s="175" t="str">
        <f t="shared" si="715"/>
        <v>3910EFW</v>
      </c>
      <c r="K6346" s="176">
        <f>VLOOKUP(I6346,'Attain %'!A:B,2,0)</f>
        <v>0.96</v>
      </c>
      <c r="L6346" s="177">
        <f t="shared" si="716"/>
        <v>20736</v>
      </c>
      <c r="M6346" s="177">
        <f t="shared" si="717"/>
        <v>66.230784</v>
      </c>
      <c r="N6346" s="177">
        <f t="shared" si="718"/>
        <v>64.397515527950304</v>
      </c>
      <c r="O6346" s="175" t="str">
        <f t="shared" si="719"/>
        <v>Nov</v>
      </c>
      <c r="P6346" s="265">
        <f t="shared" si="720"/>
        <v>47</v>
      </c>
    </row>
    <row r="6347" spans="1:16" ht="15" hidden="1" customHeight="1">
      <c r="A6347" s="489">
        <v>64380012</v>
      </c>
      <c r="B6347" s="489">
        <v>3910</v>
      </c>
      <c r="C6347" s="488">
        <v>21600</v>
      </c>
      <c r="D6347" s="597">
        <v>46167</v>
      </c>
      <c r="E6347" s="489" t="s">
        <v>561</v>
      </c>
      <c r="F6347" s="489" t="s">
        <v>1335</v>
      </c>
      <c r="G6347" s="395">
        <f>VLOOKUP($A6347,'Tech Litons'!$A:$I,8,FALSE)</f>
        <v>3.9119999999999997E-3</v>
      </c>
      <c r="H6347" s="174">
        <f>VLOOKUP($A6347,'Tech Litons'!$A:$I,9,FALSE)</f>
        <v>276</v>
      </c>
      <c r="I6347" s="174" t="str">
        <f>VLOOKUP($A6347,'Tech Litons'!$A:$C,3,0)</f>
        <v>EFW</v>
      </c>
      <c r="J6347" s="175" t="str">
        <f t="shared" si="715"/>
        <v>3910EFW</v>
      </c>
      <c r="K6347" s="176">
        <f>VLOOKUP(I6347,'Attain %'!A:B,2,0)</f>
        <v>0.96</v>
      </c>
      <c r="L6347" s="177">
        <f t="shared" si="716"/>
        <v>20736</v>
      </c>
      <c r="M6347" s="177">
        <f t="shared" si="717"/>
        <v>81.119231999999997</v>
      </c>
      <c r="N6347" s="177">
        <f t="shared" si="718"/>
        <v>75.130434782608702</v>
      </c>
      <c r="O6347" s="175" t="str">
        <f t="shared" si="719"/>
        <v>May</v>
      </c>
      <c r="P6347" s="265">
        <f t="shared" si="720"/>
        <v>22</v>
      </c>
    </row>
    <row r="6348" spans="1:16" ht="15" hidden="1" customHeight="1">
      <c r="A6348" s="489">
        <v>64380012</v>
      </c>
      <c r="B6348" s="489">
        <v>3910</v>
      </c>
      <c r="C6348" s="488">
        <v>21600</v>
      </c>
      <c r="D6348" s="597">
        <v>46174</v>
      </c>
      <c r="E6348" s="489" t="s">
        <v>561</v>
      </c>
      <c r="F6348" s="489" t="s">
        <v>1335</v>
      </c>
      <c r="G6348" s="395">
        <f>VLOOKUP($A6348,'Tech Litons'!$A:$I,8,FALSE)</f>
        <v>3.9119999999999997E-3</v>
      </c>
      <c r="H6348" s="174">
        <f>VLOOKUP($A6348,'Tech Litons'!$A:$I,9,FALSE)</f>
        <v>276</v>
      </c>
      <c r="I6348" s="174" t="str">
        <f>VLOOKUP($A6348,'Tech Litons'!$A:$C,3,0)</f>
        <v>EFW</v>
      </c>
      <c r="J6348" s="175" t="str">
        <f t="shared" si="715"/>
        <v>3910EFW</v>
      </c>
      <c r="K6348" s="176">
        <f>VLOOKUP(I6348,'Attain %'!A:B,2,0)</f>
        <v>0.96</v>
      </c>
      <c r="L6348" s="177">
        <f t="shared" si="716"/>
        <v>20736</v>
      </c>
      <c r="M6348" s="177">
        <f t="shared" si="717"/>
        <v>81.119231999999997</v>
      </c>
      <c r="N6348" s="177">
        <f t="shared" si="718"/>
        <v>75.130434782608702</v>
      </c>
      <c r="O6348" s="175" t="str">
        <f t="shared" si="719"/>
        <v>Jun</v>
      </c>
      <c r="P6348" s="265">
        <f t="shared" si="720"/>
        <v>23</v>
      </c>
    </row>
    <row r="6349" spans="1:16" ht="15" hidden="1" customHeight="1">
      <c r="A6349" s="489">
        <v>64380012</v>
      </c>
      <c r="B6349" s="489">
        <v>3910</v>
      </c>
      <c r="C6349" s="488">
        <v>21600</v>
      </c>
      <c r="D6349" s="597">
        <v>46202</v>
      </c>
      <c r="E6349" s="489" t="s">
        <v>561</v>
      </c>
      <c r="F6349" s="489" t="s">
        <v>1335</v>
      </c>
      <c r="G6349" s="395">
        <f>VLOOKUP($A6349,'Tech Litons'!$A:$I,8,FALSE)</f>
        <v>3.9119999999999997E-3</v>
      </c>
      <c r="H6349" s="174">
        <f>VLOOKUP($A6349,'Tech Litons'!$A:$I,9,FALSE)</f>
        <v>276</v>
      </c>
      <c r="I6349" s="174" t="str">
        <f>VLOOKUP($A6349,'Tech Litons'!$A:$C,3,0)</f>
        <v>EFW</v>
      </c>
      <c r="J6349" s="175" t="str">
        <f t="shared" si="715"/>
        <v>3910EFW</v>
      </c>
      <c r="K6349" s="176">
        <f>VLOOKUP(I6349,'Attain %'!A:B,2,0)</f>
        <v>0.96</v>
      </c>
      <c r="L6349" s="177">
        <f t="shared" si="716"/>
        <v>20736</v>
      </c>
      <c r="M6349" s="177">
        <f t="shared" si="717"/>
        <v>81.119231999999997</v>
      </c>
      <c r="N6349" s="177">
        <f t="shared" si="718"/>
        <v>75.130434782608702</v>
      </c>
      <c r="O6349" s="175" t="str">
        <f t="shared" si="719"/>
        <v>Jun</v>
      </c>
      <c r="P6349" s="265">
        <f t="shared" si="720"/>
        <v>27</v>
      </c>
    </row>
    <row r="6350" spans="1:16" ht="15" hidden="1" customHeight="1">
      <c r="A6350" s="489">
        <v>64380012</v>
      </c>
      <c r="B6350" s="489">
        <v>3910</v>
      </c>
      <c r="C6350" s="488">
        <v>21600</v>
      </c>
      <c r="D6350" s="597">
        <v>46223</v>
      </c>
      <c r="E6350" s="489" t="s">
        <v>561</v>
      </c>
      <c r="F6350" s="489" t="s">
        <v>1335</v>
      </c>
      <c r="G6350" s="395">
        <f>VLOOKUP($A6350,'Tech Litons'!$A:$I,8,FALSE)</f>
        <v>3.9119999999999997E-3</v>
      </c>
      <c r="H6350" s="174">
        <f>VLOOKUP($A6350,'Tech Litons'!$A:$I,9,FALSE)</f>
        <v>276</v>
      </c>
      <c r="I6350" s="174" t="str">
        <f>VLOOKUP($A6350,'Tech Litons'!$A:$C,3,0)</f>
        <v>EFW</v>
      </c>
      <c r="J6350" s="175" t="str">
        <f t="shared" si="715"/>
        <v>3910EFW</v>
      </c>
      <c r="K6350" s="176">
        <f>VLOOKUP(I6350,'Attain %'!A:B,2,0)</f>
        <v>0.96</v>
      </c>
      <c r="L6350" s="177">
        <f t="shared" si="716"/>
        <v>20736</v>
      </c>
      <c r="M6350" s="177">
        <f t="shared" si="717"/>
        <v>81.119231999999997</v>
      </c>
      <c r="N6350" s="177">
        <f t="shared" si="718"/>
        <v>75.130434782608702</v>
      </c>
      <c r="O6350" s="175" t="str">
        <f t="shared" si="719"/>
        <v>Jul</v>
      </c>
      <c r="P6350" s="265">
        <f t="shared" si="720"/>
        <v>30</v>
      </c>
    </row>
    <row r="6351" spans="1:16" ht="15" hidden="1" customHeight="1">
      <c r="A6351" s="489">
        <v>64380012</v>
      </c>
      <c r="B6351" s="489">
        <v>3910</v>
      </c>
      <c r="C6351" s="488">
        <v>21600</v>
      </c>
      <c r="D6351" s="597">
        <v>46286</v>
      </c>
      <c r="E6351" s="489" t="s">
        <v>561</v>
      </c>
      <c r="F6351" s="489" t="s">
        <v>1335</v>
      </c>
      <c r="G6351" s="395">
        <f>VLOOKUP($A6351,'Tech Litons'!$A:$I,8,FALSE)</f>
        <v>3.9119999999999997E-3</v>
      </c>
      <c r="H6351" s="174">
        <f>VLOOKUP($A6351,'Tech Litons'!$A:$I,9,FALSE)</f>
        <v>276</v>
      </c>
      <c r="I6351" s="174" t="str">
        <f>VLOOKUP($A6351,'Tech Litons'!$A:$C,3,0)</f>
        <v>EFW</v>
      </c>
      <c r="J6351" s="175" t="str">
        <f t="shared" si="715"/>
        <v>3910EFW</v>
      </c>
      <c r="K6351" s="176">
        <f>VLOOKUP(I6351,'Attain %'!A:B,2,0)</f>
        <v>0.96</v>
      </c>
      <c r="L6351" s="177">
        <f t="shared" si="716"/>
        <v>20736</v>
      </c>
      <c r="M6351" s="177">
        <f t="shared" si="717"/>
        <v>81.119231999999997</v>
      </c>
      <c r="N6351" s="177">
        <f t="shared" si="718"/>
        <v>75.130434782608702</v>
      </c>
      <c r="O6351" s="175" t="str">
        <f t="shared" si="719"/>
        <v>Sep</v>
      </c>
      <c r="P6351" s="265">
        <f t="shared" si="720"/>
        <v>39</v>
      </c>
    </row>
    <row r="6352" spans="1:16" ht="15" hidden="1" customHeight="1">
      <c r="A6352" s="489">
        <v>64380012</v>
      </c>
      <c r="B6352" s="489">
        <v>3910</v>
      </c>
      <c r="C6352" s="488">
        <v>21600</v>
      </c>
      <c r="D6352" s="597">
        <v>46328</v>
      </c>
      <c r="E6352" s="489" t="s">
        <v>561</v>
      </c>
      <c r="F6352" s="489" t="s">
        <v>1335</v>
      </c>
      <c r="G6352" s="395">
        <f>VLOOKUP($A6352,'Tech Litons'!$A:$I,8,FALSE)</f>
        <v>3.9119999999999997E-3</v>
      </c>
      <c r="H6352" s="174">
        <f>VLOOKUP($A6352,'Tech Litons'!$A:$I,9,FALSE)</f>
        <v>276</v>
      </c>
      <c r="I6352" s="174" t="str">
        <f>VLOOKUP($A6352,'Tech Litons'!$A:$C,3,0)</f>
        <v>EFW</v>
      </c>
      <c r="J6352" s="175" t="str">
        <f t="shared" si="715"/>
        <v>3910EFW</v>
      </c>
      <c r="K6352" s="176">
        <f>VLOOKUP(I6352,'Attain %'!A:B,2,0)</f>
        <v>0.96</v>
      </c>
      <c r="L6352" s="177">
        <f t="shared" si="716"/>
        <v>20736</v>
      </c>
      <c r="M6352" s="177">
        <f t="shared" si="717"/>
        <v>81.119231999999997</v>
      </c>
      <c r="N6352" s="177">
        <f t="shared" si="718"/>
        <v>75.130434782608702</v>
      </c>
      <c r="O6352" s="175" t="str">
        <f t="shared" si="719"/>
        <v>Nov</v>
      </c>
      <c r="P6352" s="265">
        <f t="shared" si="720"/>
        <v>45</v>
      </c>
    </row>
    <row r="6353" spans="1:16" ht="15" hidden="1" customHeight="1">
      <c r="A6353" s="489">
        <v>64380013</v>
      </c>
      <c r="B6353" s="489">
        <v>3910</v>
      </c>
      <c r="C6353" s="488">
        <v>21600</v>
      </c>
      <c r="D6353" s="597">
        <v>46251</v>
      </c>
      <c r="E6353" s="489" t="s">
        <v>556</v>
      </c>
      <c r="F6353" s="489" t="s">
        <v>1335</v>
      </c>
      <c r="G6353" s="395">
        <f>VLOOKUP($A6353,'Tech Litons'!$A:$I,8,FALSE)</f>
        <v>2.3519999999999999E-3</v>
      </c>
      <c r="H6353" s="174">
        <f>VLOOKUP($A6353,'Tech Litons'!$A:$I,9,FALSE)</f>
        <v>276</v>
      </c>
      <c r="I6353" s="174" t="str">
        <f>VLOOKUP($A6353,'Tech Litons'!$A:$C,3,0)</f>
        <v>EFW</v>
      </c>
      <c r="J6353" s="175" t="str">
        <f t="shared" si="715"/>
        <v>3910EFW</v>
      </c>
      <c r="K6353" s="176">
        <f>VLOOKUP(I6353,'Attain %'!A:B,2,0)</f>
        <v>0.96</v>
      </c>
      <c r="L6353" s="177">
        <f t="shared" si="716"/>
        <v>20736</v>
      </c>
      <c r="M6353" s="177">
        <f t="shared" si="717"/>
        <v>48.771071999999997</v>
      </c>
      <c r="N6353" s="177">
        <f t="shared" si="718"/>
        <v>75.130434782608702</v>
      </c>
      <c r="O6353" s="175" t="str">
        <f t="shared" si="719"/>
        <v>Aug</v>
      </c>
      <c r="P6353" s="265">
        <f t="shared" si="720"/>
        <v>34</v>
      </c>
    </row>
    <row r="6354" spans="1:16" ht="15" hidden="1" customHeight="1">
      <c r="A6354" s="489">
        <v>64380013</v>
      </c>
      <c r="B6354" s="489">
        <v>3910</v>
      </c>
      <c r="C6354" s="488">
        <v>21600</v>
      </c>
      <c r="D6354" s="597">
        <v>46258</v>
      </c>
      <c r="E6354" s="489" t="s">
        <v>556</v>
      </c>
      <c r="F6354" s="489" t="s">
        <v>1335</v>
      </c>
      <c r="G6354" s="395">
        <f>VLOOKUP($A6354,'Tech Litons'!$A:$I,8,FALSE)</f>
        <v>2.3519999999999999E-3</v>
      </c>
      <c r="H6354" s="174">
        <f>VLOOKUP($A6354,'Tech Litons'!$A:$I,9,FALSE)</f>
        <v>276</v>
      </c>
      <c r="I6354" s="174" t="str">
        <f>VLOOKUP($A6354,'Tech Litons'!$A:$C,3,0)</f>
        <v>EFW</v>
      </c>
      <c r="J6354" s="175" t="str">
        <f t="shared" si="715"/>
        <v>3910EFW</v>
      </c>
      <c r="K6354" s="176">
        <f>VLOOKUP(I6354,'Attain %'!A:B,2,0)</f>
        <v>0.96</v>
      </c>
      <c r="L6354" s="177">
        <f t="shared" si="716"/>
        <v>20736</v>
      </c>
      <c r="M6354" s="177">
        <f t="shared" si="717"/>
        <v>48.771071999999997</v>
      </c>
      <c r="N6354" s="177">
        <f t="shared" si="718"/>
        <v>75.130434782608702</v>
      </c>
      <c r="O6354" s="175" t="str">
        <f t="shared" si="719"/>
        <v>Aug</v>
      </c>
      <c r="P6354" s="265">
        <f t="shared" si="720"/>
        <v>35</v>
      </c>
    </row>
    <row r="6355" spans="1:16" ht="15" hidden="1" customHeight="1">
      <c r="A6355" s="489">
        <v>64380013</v>
      </c>
      <c r="B6355" s="489">
        <v>3910</v>
      </c>
      <c r="C6355" s="488">
        <v>21600</v>
      </c>
      <c r="D6355" s="597">
        <v>46279</v>
      </c>
      <c r="E6355" s="489" t="s">
        <v>556</v>
      </c>
      <c r="F6355" s="489" t="s">
        <v>1335</v>
      </c>
      <c r="G6355" s="395">
        <f>VLOOKUP($A6355,'Tech Litons'!$A:$I,8,FALSE)</f>
        <v>2.3519999999999999E-3</v>
      </c>
      <c r="H6355" s="174">
        <f>VLOOKUP($A6355,'Tech Litons'!$A:$I,9,FALSE)</f>
        <v>276</v>
      </c>
      <c r="I6355" s="174" t="str">
        <f>VLOOKUP($A6355,'Tech Litons'!$A:$C,3,0)</f>
        <v>EFW</v>
      </c>
      <c r="J6355" s="175" t="str">
        <f t="shared" si="715"/>
        <v>3910EFW</v>
      </c>
      <c r="K6355" s="176">
        <f>VLOOKUP(I6355,'Attain %'!A:B,2,0)</f>
        <v>0.96</v>
      </c>
      <c r="L6355" s="177">
        <f t="shared" si="716"/>
        <v>20736</v>
      </c>
      <c r="M6355" s="177">
        <f t="shared" si="717"/>
        <v>48.771071999999997</v>
      </c>
      <c r="N6355" s="177">
        <f t="shared" si="718"/>
        <v>75.130434782608702</v>
      </c>
      <c r="O6355" s="175" t="str">
        <f t="shared" si="719"/>
        <v>Sep</v>
      </c>
      <c r="P6355" s="265">
        <f t="shared" si="720"/>
        <v>38</v>
      </c>
    </row>
    <row r="6356" spans="1:16" ht="15" hidden="1" customHeight="1">
      <c r="A6356" s="489">
        <v>64380013</v>
      </c>
      <c r="B6356" s="489">
        <v>3910</v>
      </c>
      <c r="C6356" s="488">
        <v>21600</v>
      </c>
      <c r="D6356" s="597">
        <v>46349</v>
      </c>
      <c r="E6356" s="489" t="s">
        <v>556</v>
      </c>
      <c r="F6356" s="489" t="s">
        <v>1335</v>
      </c>
      <c r="G6356" s="395">
        <f>VLOOKUP($A6356,'Tech Litons'!$A:$I,8,FALSE)</f>
        <v>2.3519999999999999E-3</v>
      </c>
      <c r="H6356" s="174">
        <f>VLOOKUP($A6356,'Tech Litons'!$A:$I,9,FALSE)</f>
        <v>276</v>
      </c>
      <c r="I6356" s="174" t="str">
        <f>VLOOKUP($A6356,'Tech Litons'!$A:$C,3,0)</f>
        <v>EFW</v>
      </c>
      <c r="J6356" s="175" t="str">
        <f t="shared" si="715"/>
        <v>3910EFW</v>
      </c>
      <c r="K6356" s="176">
        <f>VLOOKUP(I6356,'Attain %'!A:B,2,0)</f>
        <v>0.96</v>
      </c>
      <c r="L6356" s="177">
        <f t="shared" si="716"/>
        <v>20736</v>
      </c>
      <c r="M6356" s="177">
        <f t="shared" si="717"/>
        <v>48.771071999999997</v>
      </c>
      <c r="N6356" s="177">
        <f t="shared" si="718"/>
        <v>75.130434782608702</v>
      </c>
      <c r="O6356" s="175" t="str">
        <f t="shared" si="719"/>
        <v>Nov</v>
      </c>
      <c r="P6356" s="265">
        <f t="shared" si="720"/>
        <v>48</v>
      </c>
    </row>
    <row r="6357" spans="1:16" ht="15" hidden="1" customHeight="1">
      <c r="A6357" s="489">
        <v>84141094</v>
      </c>
      <c r="B6357" s="489">
        <v>5914</v>
      </c>
      <c r="C6357" s="488">
        <v>21606</v>
      </c>
      <c r="D6357" s="597">
        <v>46104</v>
      </c>
      <c r="E6357" s="489" t="s">
        <v>393</v>
      </c>
      <c r="F6357" s="489" t="s">
        <v>1247</v>
      </c>
      <c r="G6357" s="395">
        <f>VLOOKUP($A6357,'Tech Litons'!$A:$I,8,FALSE)</f>
        <v>3.7839999999999996E-3</v>
      </c>
      <c r="H6357" s="174">
        <f>VLOOKUP($A6357,'Tech Litons'!$A:$I,9,FALSE)</f>
        <v>240</v>
      </c>
      <c r="I6357" s="174" t="str">
        <f>VLOOKUP($A6357,'Tech Litons'!$A:$C,3,0)</f>
        <v>BJ PTS</v>
      </c>
      <c r="J6357" s="175" t="str">
        <f t="shared" si="715"/>
        <v>5914BJ PTS</v>
      </c>
      <c r="K6357" s="176">
        <f>VLOOKUP(I6357,'Attain %'!A:B,2,0)</f>
        <v>0.95</v>
      </c>
      <c r="L6357" s="177">
        <f t="shared" si="716"/>
        <v>20525.7</v>
      </c>
      <c r="M6357" s="177">
        <f t="shared" si="717"/>
        <v>77.669248799999991</v>
      </c>
      <c r="N6357" s="177">
        <f t="shared" si="718"/>
        <v>85.523750000000007</v>
      </c>
      <c r="O6357" s="175" t="str">
        <f t="shared" si="719"/>
        <v>Mar</v>
      </c>
      <c r="P6357" s="265">
        <f t="shared" si="720"/>
        <v>13</v>
      </c>
    </row>
    <row r="6358" spans="1:16" ht="15" hidden="1" customHeight="1">
      <c r="A6358" s="489">
        <v>64771677</v>
      </c>
      <c r="B6358" s="489" t="s">
        <v>139</v>
      </c>
      <c r="C6358" s="488">
        <v>21808</v>
      </c>
      <c r="D6358" s="597">
        <v>46118</v>
      </c>
      <c r="E6358" s="489" t="s">
        <v>620</v>
      </c>
      <c r="F6358" s="489" t="s">
        <v>1223</v>
      </c>
      <c r="G6358" s="395">
        <f>VLOOKUP($A6358,'Tech Litons'!$A:$I,8,FALSE)</f>
        <v>2.16E-3</v>
      </c>
      <c r="H6358" s="174">
        <f>VLOOKUP($A6358,'Tech Litons'!$A:$I,9,FALSE)</f>
        <v>195</v>
      </c>
      <c r="I6358" s="174" t="str">
        <f>VLOOKUP($A6358,'Tech Litons'!$A:$C,3,0)</f>
        <v>Facepieces</v>
      </c>
      <c r="J6358" s="175" t="str">
        <f t="shared" si="715"/>
        <v>IncomFacepieces</v>
      </c>
      <c r="K6358" s="176">
        <f>VLOOKUP(I6358,'Attain %'!A:B,2,0)</f>
        <v>0.96</v>
      </c>
      <c r="L6358" s="177">
        <f t="shared" si="716"/>
        <v>20935.68</v>
      </c>
      <c r="M6358" s="177">
        <f t="shared" si="717"/>
        <v>45.221068800000005</v>
      </c>
      <c r="N6358" s="177">
        <f t="shared" si="718"/>
        <v>107.36246153846155</v>
      </c>
      <c r="O6358" s="175" t="str">
        <f t="shared" si="719"/>
        <v>Apr</v>
      </c>
      <c r="P6358" s="265">
        <f t="shared" si="720"/>
        <v>15</v>
      </c>
    </row>
    <row r="6359" spans="1:16" ht="15" hidden="1" customHeight="1">
      <c r="A6359" s="489">
        <v>68741742</v>
      </c>
      <c r="B6359" s="489">
        <v>2904</v>
      </c>
      <c r="C6359" s="488">
        <v>22000</v>
      </c>
      <c r="D6359" s="597">
        <v>46118</v>
      </c>
      <c r="E6359" s="489" t="s">
        <v>288</v>
      </c>
      <c r="F6359" s="489" t="s">
        <v>1231</v>
      </c>
      <c r="G6359" s="395">
        <f>VLOOKUP($A6359,'Tech Litons'!$A:$I,8,FALSE)</f>
        <v>4.2560000000000002E-3</v>
      </c>
      <c r="H6359" s="174">
        <f>VLOOKUP($A6359,'Tech Litons'!$A:$I,9,FALSE)</f>
        <v>154</v>
      </c>
      <c r="I6359" s="174" t="str">
        <f>VLOOKUP($A6359,'Tech Litons'!$A:$C,3,0)</f>
        <v>MBG</v>
      </c>
      <c r="J6359" s="175" t="str">
        <f t="shared" si="715"/>
        <v>2904MBG</v>
      </c>
      <c r="K6359" s="176">
        <f>VLOOKUP(I6359,'Attain %'!A:B,2,0)</f>
        <v>0.96</v>
      </c>
      <c r="L6359" s="177">
        <f t="shared" si="716"/>
        <v>21120</v>
      </c>
      <c r="M6359" s="177">
        <f t="shared" si="717"/>
        <v>89.886720000000011</v>
      </c>
      <c r="N6359" s="177">
        <f t="shared" si="718"/>
        <v>137.14285714285714</v>
      </c>
      <c r="O6359" s="175" t="str">
        <f t="shared" si="719"/>
        <v>Apr</v>
      </c>
      <c r="P6359" s="265">
        <f t="shared" si="720"/>
        <v>15</v>
      </c>
    </row>
    <row r="6360" spans="1:16" ht="15" hidden="1" customHeight="1">
      <c r="A6360" s="489">
        <v>68741742</v>
      </c>
      <c r="B6360" s="489">
        <v>1352</v>
      </c>
      <c r="C6360" s="488">
        <v>22200</v>
      </c>
      <c r="D6360" s="597">
        <v>46118</v>
      </c>
      <c r="E6360" s="489" t="s">
        <v>288</v>
      </c>
      <c r="F6360" s="489" t="s">
        <v>1220</v>
      </c>
      <c r="G6360" s="395">
        <f>VLOOKUP($A6360,'Tech Litons'!$A:$I,8,FALSE)</f>
        <v>4.2560000000000002E-3</v>
      </c>
      <c r="H6360" s="174">
        <f>VLOOKUP($A6360,'Tech Litons'!$A:$I,9,FALSE)</f>
        <v>154</v>
      </c>
      <c r="I6360" s="174" t="str">
        <f>VLOOKUP($A6360,'Tech Litons'!$A:$C,3,0)</f>
        <v>MBG</v>
      </c>
      <c r="J6360" s="175" t="str">
        <f t="shared" si="715"/>
        <v>1352MBG</v>
      </c>
      <c r="K6360" s="176">
        <f>VLOOKUP(I6360,'Attain %'!A:B,2,0)</f>
        <v>0.96</v>
      </c>
      <c r="L6360" s="177">
        <f t="shared" si="716"/>
        <v>21312</v>
      </c>
      <c r="M6360" s="177">
        <f t="shared" si="717"/>
        <v>90.703872000000004</v>
      </c>
      <c r="N6360" s="177">
        <f t="shared" si="718"/>
        <v>138.3896103896104</v>
      </c>
      <c r="O6360" s="175" t="str">
        <f t="shared" si="719"/>
        <v>Apr</v>
      </c>
      <c r="P6360" s="265">
        <f t="shared" si="720"/>
        <v>15</v>
      </c>
    </row>
    <row r="6361" spans="1:16" ht="15" hidden="1" customHeight="1">
      <c r="A6361" s="489">
        <v>68741742</v>
      </c>
      <c r="B6361" s="489">
        <v>1352</v>
      </c>
      <c r="C6361" s="488">
        <v>22200</v>
      </c>
      <c r="D6361" s="597">
        <v>46125</v>
      </c>
      <c r="E6361" s="489" t="s">
        <v>288</v>
      </c>
      <c r="F6361" s="489" t="s">
        <v>1220</v>
      </c>
      <c r="G6361" s="395">
        <f>VLOOKUP($A6361,'Tech Litons'!$A:$I,8,FALSE)</f>
        <v>4.2560000000000002E-3</v>
      </c>
      <c r="H6361" s="174">
        <f>VLOOKUP($A6361,'Tech Litons'!$A:$I,9,FALSE)</f>
        <v>154</v>
      </c>
      <c r="I6361" s="174" t="str">
        <f>VLOOKUP($A6361,'Tech Litons'!$A:$C,3,0)</f>
        <v>MBG</v>
      </c>
      <c r="J6361" s="175" t="str">
        <f t="shared" si="715"/>
        <v>1352MBG</v>
      </c>
      <c r="K6361" s="176">
        <f>VLOOKUP(I6361,'Attain %'!A:B,2,0)</f>
        <v>0.96</v>
      </c>
      <c r="L6361" s="177">
        <f t="shared" si="716"/>
        <v>21312</v>
      </c>
      <c r="M6361" s="177">
        <f t="shared" si="717"/>
        <v>90.703872000000004</v>
      </c>
      <c r="N6361" s="177">
        <f t="shared" si="718"/>
        <v>138.3896103896104</v>
      </c>
      <c r="O6361" s="175" t="str">
        <f t="shared" si="719"/>
        <v>Apr</v>
      </c>
      <c r="P6361" s="265">
        <f t="shared" si="720"/>
        <v>16</v>
      </c>
    </row>
    <row r="6362" spans="1:16" ht="15" hidden="1" customHeight="1">
      <c r="A6362" s="489">
        <v>68741742</v>
      </c>
      <c r="B6362" s="489">
        <v>1352</v>
      </c>
      <c r="C6362" s="488">
        <v>22200</v>
      </c>
      <c r="D6362" s="597">
        <v>46132</v>
      </c>
      <c r="E6362" s="489" t="s">
        <v>288</v>
      </c>
      <c r="F6362" s="489" t="s">
        <v>1220</v>
      </c>
      <c r="G6362" s="395">
        <f>VLOOKUP($A6362,'Tech Litons'!$A:$I,8,FALSE)</f>
        <v>4.2560000000000002E-3</v>
      </c>
      <c r="H6362" s="174">
        <f>VLOOKUP($A6362,'Tech Litons'!$A:$I,9,FALSE)</f>
        <v>154</v>
      </c>
      <c r="I6362" s="174" t="str">
        <f>VLOOKUP($A6362,'Tech Litons'!$A:$C,3,0)</f>
        <v>MBG</v>
      </c>
      <c r="J6362" s="175" t="str">
        <f t="shared" si="715"/>
        <v>1352MBG</v>
      </c>
      <c r="K6362" s="176">
        <f>VLOOKUP(I6362,'Attain %'!A:B,2,0)</f>
        <v>0.96</v>
      </c>
      <c r="L6362" s="177">
        <f t="shared" si="716"/>
        <v>21312</v>
      </c>
      <c r="M6362" s="177">
        <f t="shared" si="717"/>
        <v>90.703872000000004</v>
      </c>
      <c r="N6362" s="177">
        <f t="shared" si="718"/>
        <v>138.3896103896104</v>
      </c>
      <c r="O6362" s="175" t="str">
        <f t="shared" si="719"/>
        <v>Apr</v>
      </c>
      <c r="P6362" s="265">
        <f t="shared" si="720"/>
        <v>17</v>
      </c>
    </row>
    <row r="6363" spans="1:16" ht="15" hidden="1" customHeight="1">
      <c r="A6363" s="489">
        <v>68741742</v>
      </c>
      <c r="B6363" s="489">
        <v>1352</v>
      </c>
      <c r="C6363" s="488">
        <v>22200</v>
      </c>
      <c r="D6363" s="597">
        <v>46139</v>
      </c>
      <c r="E6363" s="489" t="s">
        <v>288</v>
      </c>
      <c r="F6363" s="489" t="s">
        <v>1220</v>
      </c>
      <c r="G6363" s="395">
        <f>VLOOKUP($A6363,'Tech Litons'!$A:$I,8,FALSE)</f>
        <v>4.2560000000000002E-3</v>
      </c>
      <c r="H6363" s="174">
        <f>VLOOKUP($A6363,'Tech Litons'!$A:$I,9,FALSE)</f>
        <v>154</v>
      </c>
      <c r="I6363" s="174" t="str">
        <f>VLOOKUP($A6363,'Tech Litons'!$A:$C,3,0)</f>
        <v>MBG</v>
      </c>
      <c r="J6363" s="175" t="str">
        <f t="shared" si="715"/>
        <v>1352MBG</v>
      </c>
      <c r="K6363" s="176">
        <f>VLOOKUP(I6363,'Attain %'!A:B,2,0)</f>
        <v>0.96</v>
      </c>
      <c r="L6363" s="177">
        <f t="shared" si="716"/>
        <v>21312</v>
      </c>
      <c r="M6363" s="177">
        <f t="shared" si="717"/>
        <v>90.703872000000004</v>
      </c>
      <c r="N6363" s="177">
        <f t="shared" si="718"/>
        <v>138.3896103896104</v>
      </c>
      <c r="O6363" s="175" t="str">
        <f t="shared" si="719"/>
        <v>Apr</v>
      </c>
      <c r="P6363" s="265">
        <f t="shared" si="720"/>
        <v>18</v>
      </c>
    </row>
    <row r="6364" spans="1:16" ht="15" hidden="1" customHeight="1">
      <c r="A6364" s="489">
        <v>68741742</v>
      </c>
      <c r="B6364" s="489">
        <v>1352</v>
      </c>
      <c r="C6364" s="488">
        <v>22200</v>
      </c>
      <c r="D6364" s="597">
        <v>46146</v>
      </c>
      <c r="E6364" s="489" t="s">
        <v>288</v>
      </c>
      <c r="F6364" s="489" t="s">
        <v>1220</v>
      </c>
      <c r="G6364" s="395">
        <f>VLOOKUP($A6364,'Tech Litons'!$A:$I,8,FALSE)</f>
        <v>4.2560000000000002E-3</v>
      </c>
      <c r="H6364" s="174">
        <f>VLOOKUP($A6364,'Tech Litons'!$A:$I,9,FALSE)</f>
        <v>154</v>
      </c>
      <c r="I6364" s="174" t="str">
        <f>VLOOKUP($A6364,'Tech Litons'!$A:$C,3,0)</f>
        <v>MBG</v>
      </c>
      <c r="J6364" s="175" t="str">
        <f t="shared" si="715"/>
        <v>1352MBG</v>
      </c>
      <c r="K6364" s="176">
        <f>VLOOKUP(I6364,'Attain %'!A:B,2,0)</f>
        <v>0.96</v>
      </c>
      <c r="L6364" s="177">
        <f t="shared" si="716"/>
        <v>21312</v>
      </c>
      <c r="M6364" s="177">
        <f t="shared" si="717"/>
        <v>90.703872000000004</v>
      </c>
      <c r="N6364" s="177">
        <f t="shared" si="718"/>
        <v>138.3896103896104</v>
      </c>
      <c r="O6364" s="175" t="str">
        <f t="shared" si="719"/>
        <v>May</v>
      </c>
      <c r="P6364" s="265">
        <f t="shared" si="720"/>
        <v>19</v>
      </c>
    </row>
    <row r="6365" spans="1:16" ht="15" hidden="1" customHeight="1">
      <c r="A6365" s="489">
        <v>68741742</v>
      </c>
      <c r="B6365" s="489">
        <v>1352</v>
      </c>
      <c r="C6365" s="488">
        <v>22200</v>
      </c>
      <c r="D6365" s="597">
        <v>46153</v>
      </c>
      <c r="E6365" s="489" t="s">
        <v>288</v>
      </c>
      <c r="F6365" s="489" t="s">
        <v>1220</v>
      </c>
      <c r="G6365" s="395">
        <f>VLOOKUP($A6365,'Tech Litons'!$A:$I,8,FALSE)</f>
        <v>4.2560000000000002E-3</v>
      </c>
      <c r="H6365" s="174">
        <f>VLOOKUP($A6365,'Tech Litons'!$A:$I,9,FALSE)</f>
        <v>154</v>
      </c>
      <c r="I6365" s="174" t="str">
        <f>VLOOKUP($A6365,'Tech Litons'!$A:$C,3,0)</f>
        <v>MBG</v>
      </c>
      <c r="J6365" s="175" t="str">
        <f t="shared" si="715"/>
        <v>1352MBG</v>
      </c>
      <c r="K6365" s="176">
        <f>VLOOKUP(I6365,'Attain %'!A:B,2,0)</f>
        <v>0.96</v>
      </c>
      <c r="L6365" s="177">
        <f t="shared" si="716"/>
        <v>21312</v>
      </c>
      <c r="M6365" s="177">
        <f t="shared" si="717"/>
        <v>90.703872000000004</v>
      </c>
      <c r="N6365" s="177">
        <f t="shared" si="718"/>
        <v>138.3896103896104</v>
      </c>
      <c r="O6365" s="175" t="str">
        <f t="shared" si="719"/>
        <v>May</v>
      </c>
      <c r="P6365" s="265">
        <f t="shared" si="720"/>
        <v>20</v>
      </c>
    </row>
    <row r="6366" spans="1:16" ht="15" hidden="1" customHeight="1">
      <c r="A6366" s="489">
        <v>68741742</v>
      </c>
      <c r="B6366" s="489">
        <v>1352</v>
      </c>
      <c r="C6366" s="488">
        <v>22200</v>
      </c>
      <c r="D6366" s="597">
        <v>46160</v>
      </c>
      <c r="E6366" s="489" t="s">
        <v>288</v>
      </c>
      <c r="F6366" s="489" t="s">
        <v>1220</v>
      </c>
      <c r="G6366" s="395">
        <f>VLOOKUP($A6366,'Tech Litons'!$A:$I,8,FALSE)</f>
        <v>4.2560000000000002E-3</v>
      </c>
      <c r="H6366" s="174">
        <f>VLOOKUP($A6366,'Tech Litons'!$A:$I,9,FALSE)</f>
        <v>154</v>
      </c>
      <c r="I6366" s="174" t="str">
        <f>VLOOKUP($A6366,'Tech Litons'!$A:$C,3,0)</f>
        <v>MBG</v>
      </c>
      <c r="J6366" s="175" t="str">
        <f t="shared" si="715"/>
        <v>1352MBG</v>
      </c>
      <c r="K6366" s="176">
        <f>VLOOKUP(I6366,'Attain %'!A:B,2,0)</f>
        <v>0.96</v>
      </c>
      <c r="L6366" s="177">
        <f t="shared" si="716"/>
        <v>21312</v>
      </c>
      <c r="M6366" s="177">
        <f t="shared" si="717"/>
        <v>90.703872000000004</v>
      </c>
      <c r="N6366" s="177">
        <f t="shared" si="718"/>
        <v>138.3896103896104</v>
      </c>
      <c r="O6366" s="175" t="str">
        <f t="shared" si="719"/>
        <v>May</v>
      </c>
      <c r="P6366" s="265">
        <f t="shared" si="720"/>
        <v>21</v>
      </c>
    </row>
    <row r="6367" spans="1:16" ht="15" hidden="1" customHeight="1">
      <c r="A6367" s="489">
        <v>69629468</v>
      </c>
      <c r="B6367" s="489">
        <v>1352</v>
      </c>
      <c r="C6367" s="488">
        <v>22200</v>
      </c>
      <c r="D6367" s="597">
        <v>46139</v>
      </c>
      <c r="E6367" s="489" t="s">
        <v>291</v>
      </c>
      <c r="F6367" s="489" t="s">
        <v>1216</v>
      </c>
      <c r="G6367" s="395">
        <f>VLOOKUP($A6367,'Tech Litons'!$A:$I,8,FALSE)</f>
        <v>5.2680000000000001E-3</v>
      </c>
      <c r="H6367" s="174">
        <f>VLOOKUP($A6367,'Tech Litons'!$A:$I,9,FALSE)</f>
        <v>130</v>
      </c>
      <c r="I6367" s="174" t="str">
        <f>VLOOKUP($A6367,'Tech Litons'!$A:$C,3,0)</f>
        <v>PG</v>
      </c>
      <c r="J6367" s="175" t="str">
        <f t="shared" si="715"/>
        <v>1352PG</v>
      </c>
      <c r="K6367" s="176">
        <f>VLOOKUP(I6367,'Attain %'!A:B,2,0)</f>
        <v>0.96</v>
      </c>
      <c r="L6367" s="177">
        <f t="shared" si="716"/>
        <v>21312</v>
      </c>
      <c r="M6367" s="177">
        <f t="shared" si="717"/>
        <v>112.27161600000001</v>
      </c>
      <c r="N6367" s="177">
        <f t="shared" si="718"/>
        <v>163.93846153846152</v>
      </c>
      <c r="O6367" s="175" t="str">
        <f t="shared" si="719"/>
        <v>Apr</v>
      </c>
      <c r="P6367" s="265">
        <f t="shared" si="720"/>
        <v>18</v>
      </c>
    </row>
    <row r="6368" spans="1:16" ht="15" hidden="1" customHeight="1">
      <c r="A6368" s="489">
        <v>69629468</v>
      </c>
      <c r="B6368" s="489">
        <v>1352</v>
      </c>
      <c r="C6368" s="488">
        <v>22200</v>
      </c>
      <c r="D6368" s="597">
        <v>46146</v>
      </c>
      <c r="E6368" s="489" t="s">
        <v>291</v>
      </c>
      <c r="F6368" s="489" t="s">
        <v>1216</v>
      </c>
      <c r="G6368" s="395">
        <f>VLOOKUP($A6368,'Tech Litons'!$A:$I,8,FALSE)</f>
        <v>5.2680000000000001E-3</v>
      </c>
      <c r="H6368" s="174">
        <f>VLOOKUP($A6368,'Tech Litons'!$A:$I,9,FALSE)</f>
        <v>130</v>
      </c>
      <c r="I6368" s="174" t="str">
        <f>VLOOKUP($A6368,'Tech Litons'!$A:$C,3,0)</f>
        <v>PG</v>
      </c>
      <c r="J6368" s="175" t="str">
        <f t="shared" si="715"/>
        <v>1352PG</v>
      </c>
      <c r="K6368" s="176">
        <f>VLOOKUP(I6368,'Attain %'!A:B,2,0)</f>
        <v>0.96</v>
      </c>
      <c r="L6368" s="177">
        <f t="shared" si="716"/>
        <v>21312</v>
      </c>
      <c r="M6368" s="177">
        <f t="shared" si="717"/>
        <v>112.27161600000001</v>
      </c>
      <c r="N6368" s="177">
        <f t="shared" si="718"/>
        <v>163.93846153846152</v>
      </c>
      <c r="O6368" s="175" t="str">
        <f t="shared" si="719"/>
        <v>May</v>
      </c>
      <c r="P6368" s="265">
        <f t="shared" si="720"/>
        <v>19</v>
      </c>
    </row>
    <row r="6369" spans="1:16" ht="15" hidden="1" customHeight="1">
      <c r="A6369" s="489">
        <v>69629468</v>
      </c>
      <c r="B6369" s="489">
        <v>1352</v>
      </c>
      <c r="C6369" s="488">
        <v>22200</v>
      </c>
      <c r="D6369" s="597">
        <v>46153</v>
      </c>
      <c r="E6369" s="489" t="s">
        <v>291</v>
      </c>
      <c r="F6369" s="489" t="s">
        <v>1216</v>
      </c>
      <c r="G6369" s="395">
        <f>VLOOKUP($A6369,'Tech Litons'!$A:$I,8,FALSE)</f>
        <v>5.2680000000000001E-3</v>
      </c>
      <c r="H6369" s="174">
        <f>VLOOKUP($A6369,'Tech Litons'!$A:$I,9,FALSE)</f>
        <v>130</v>
      </c>
      <c r="I6369" s="174" t="str">
        <f>VLOOKUP($A6369,'Tech Litons'!$A:$C,3,0)</f>
        <v>PG</v>
      </c>
      <c r="J6369" s="175" t="str">
        <f t="shared" si="715"/>
        <v>1352PG</v>
      </c>
      <c r="K6369" s="176">
        <f>VLOOKUP(I6369,'Attain %'!A:B,2,0)</f>
        <v>0.96</v>
      </c>
      <c r="L6369" s="177">
        <f t="shared" si="716"/>
        <v>21312</v>
      </c>
      <c r="M6369" s="177">
        <f t="shared" si="717"/>
        <v>112.27161600000001</v>
      </c>
      <c r="N6369" s="177">
        <f t="shared" si="718"/>
        <v>163.93846153846152</v>
      </c>
      <c r="O6369" s="175" t="str">
        <f t="shared" si="719"/>
        <v>May</v>
      </c>
      <c r="P6369" s="265">
        <f t="shared" si="720"/>
        <v>20</v>
      </c>
    </row>
    <row r="6370" spans="1:16" ht="15" hidden="1" customHeight="1">
      <c r="A6370" s="489">
        <v>69629468</v>
      </c>
      <c r="B6370" s="489">
        <v>1352</v>
      </c>
      <c r="C6370" s="488">
        <v>22200</v>
      </c>
      <c r="D6370" s="597">
        <v>46160</v>
      </c>
      <c r="E6370" s="489" t="s">
        <v>291</v>
      </c>
      <c r="F6370" s="489" t="s">
        <v>1216</v>
      </c>
      <c r="G6370" s="395">
        <f>VLOOKUP($A6370,'Tech Litons'!$A:$I,8,FALSE)</f>
        <v>5.2680000000000001E-3</v>
      </c>
      <c r="H6370" s="174">
        <f>VLOOKUP($A6370,'Tech Litons'!$A:$I,9,FALSE)</f>
        <v>130</v>
      </c>
      <c r="I6370" s="174" t="str">
        <f>VLOOKUP($A6370,'Tech Litons'!$A:$C,3,0)</f>
        <v>PG</v>
      </c>
      <c r="J6370" s="175" t="str">
        <f t="shared" si="715"/>
        <v>1352PG</v>
      </c>
      <c r="K6370" s="176">
        <f>VLOOKUP(I6370,'Attain %'!A:B,2,0)</f>
        <v>0.96</v>
      </c>
      <c r="L6370" s="177">
        <f t="shared" si="716"/>
        <v>21312</v>
      </c>
      <c r="M6370" s="177">
        <f t="shared" si="717"/>
        <v>112.27161600000001</v>
      </c>
      <c r="N6370" s="177">
        <f t="shared" si="718"/>
        <v>163.93846153846152</v>
      </c>
      <c r="O6370" s="175" t="str">
        <f t="shared" si="719"/>
        <v>May</v>
      </c>
      <c r="P6370" s="265">
        <f t="shared" si="720"/>
        <v>21</v>
      </c>
    </row>
    <row r="6371" spans="1:16" ht="15" hidden="1" customHeight="1">
      <c r="A6371" s="489">
        <v>69629468</v>
      </c>
      <c r="B6371" s="489">
        <v>1352</v>
      </c>
      <c r="C6371" s="488">
        <v>22200</v>
      </c>
      <c r="D6371" s="597">
        <v>46167</v>
      </c>
      <c r="E6371" s="489" t="s">
        <v>291</v>
      </c>
      <c r="F6371" s="489" t="s">
        <v>1216</v>
      </c>
      <c r="G6371" s="395">
        <f>VLOOKUP($A6371,'Tech Litons'!$A:$I,8,FALSE)</f>
        <v>5.2680000000000001E-3</v>
      </c>
      <c r="H6371" s="174">
        <f>VLOOKUP($A6371,'Tech Litons'!$A:$I,9,FALSE)</f>
        <v>130</v>
      </c>
      <c r="I6371" s="174" t="str">
        <f>VLOOKUP($A6371,'Tech Litons'!$A:$C,3,0)</f>
        <v>PG</v>
      </c>
      <c r="J6371" s="175" t="str">
        <f t="shared" si="715"/>
        <v>1352PG</v>
      </c>
      <c r="K6371" s="176">
        <f>VLOOKUP(I6371,'Attain %'!A:B,2,0)</f>
        <v>0.96</v>
      </c>
      <c r="L6371" s="177">
        <f t="shared" si="716"/>
        <v>21312</v>
      </c>
      <c r="M6371" s="177">
        <f t="shared" si="717"/>
        <v>112.27161600000001</v>
      </c>
      <c r="N6371" s="177">
        <f t="shared" si="718"/>
        <v>163.93846153846152</v>
      </c>
      <c r="O6371" s="175" t="str">
        <f t="shared" si="719"/>
        <v>May</v>
      </c>
      <c r="P6371" s="265">
        <f t="shared" si="720"/>
        <v>22</v>
      </c>
    </row>
    <row r="6372" spans="1:16" ht="15" hidden="1" customHeight="1">
      <c r="A6372" s="489">
        <v>64801569</v>
      </c>
      <c r="B6372" s="489">
        <v>5914</v>
      </c>
      <c r="C6372" s="488">
        <v>22400</v>
      </c>
      <c r="D6372" s="597">
        <v>46125</v>
      </c>
      <c r="E6372" s="489" t="s">
        <v>520</v>
      </c>
      <c r="F6372" s="489" t="s">
        <v>1247</v>
      </c>
      <c r="G6372" s="395">
        <f>VLOOKUP($A6372,'Tech Litons'!$A:$I,8,FALSE)</f>
        <v>3.7839999999999996E-3</v>
      </c>
      <c r="H6372" s="174">
        <f>VLOOKUP($A6372,'Tech Litons'!$A:$I,9,FALSE)</f>
        <v>240</v>
      </c>
      <c r="I6372" s="174" t="str">
        <f>VLOOKUP($A6372,'Tech Litons'!$A:$C,3,0)</f>
        <v>BJ PTS</v>
      </c>
      <c r="J6372" s="175" t="str">
        <f t="shared" si="715"/>
        <v>5914BJ PTS</v>
      </c>
      <c r="K6372" s="176">
        <f>VLOOKUP(I6372,'Attain %'!A:B,2,0)</f>
        <v>0.95</v>
      </c>
      <c r="L6372" s="177">
        <f t="shared" si="716"/>
        <v>21280</v>
      </c>
      <c r="M6372" s="177">
        <f t="shared" si="717"/>
        <v>80.523519999999991</v>
      </c>
      <c r="N6372" s="177">
        <f t="shared" si="718"/>
        <v>88.666666666666671</v>
      </c>
      <c r="O6372" s="175" t="str">
        <f t="shared" si="719"/>
        <v>Apr</v>
      </c>
      <c r="P6372" s="265">
        <f t="shared" si="720"/>
        <v>16</v>
      </c>
    </row>
    <row r="6373" spans="1:16" ht="15" hidden="1" customHeight="1">
      <c r="A6373" s="489">
        <v>67803006</v>
      </c>
      <c r="B6373" s="489">
        <v>5914</v>
      </c>
      <c r="C6373" s="488">
        <v>22400</v>
      </c>
      <c r="D6373" s="597">
        <v>46160</v>
      </c>
      <c r="E6373" s="489" t="s">
        <v>346</v>
      </c>
      <c r="F6373" s="489" t="s">
        <v>1247</v>
      </c>
      <c r="G6373" s="395">
        <f>VLOOKUP($A6373,'Tech Litons'!$A:$I,8,FALSE)</f>
        <v>3.7839999999999996E-3</v>
      </c>
      <c r="H6373" s="174">
        <f>VLOOKUP($A6373,'Tech Litons'!$A:$I,9,FALSE)</f>
        <v>240</v>
      </c>
      <c r="I6373" s="174" t="str">
        <f>VLOOKUP($A6373,'Tech Litons'!$A:$C,3,0)</f>
        <v>PTS Exports</v>
      </c>
      <c r="J6373" s="175" t="str">
        <f t="shared" si="715"/>
        <v>5914PTS Exports</v>
      </c>
      <c r="K6373" s="176">
        <f>VLOOKUP(I6373,'Attain %'!A:B,2,0)</f>
        <v>0.96</v>
      </c>
      <c r="L6373" s="177">
        <f t="shared" si="716"/>
        <v>21504</v>
      </c>
      <c r="M6373" s="177">
        <f t="shared" si="717"/>
        <v>81.371135999999993</v>
      </c>
      <c r="N6373" s="177">
        <f t="shared" si="718"/>
        <v>89.6</v>
      </c>
      <c r="O6373" s="175" t="str">
        <f t="shared" si="719"/>
        <v>May</v>
      </c>
      <c r="P6373" s="265">
        <f t="shared" si="720"/>
        <v>21</v>
      </c>
    </row>
    <row r="6374" spans="1:16" ht="15" hidden="1" customHeight="1">
      <c r="A6374" s="489">
        <v>84137725</v>
      </c>
      <c r="B6374" s="489">
        <v>5914</v>
      </c>
      <c r="C6374" s="488">
        <v>22400</v>
      </c>
      <c r="D6374" s="597">
        <v>46104</v>
      </c>
      <c r="E6374" s="489" t="s">
        <v>278</v>
      </c>
      <c r="F6374" s="489" t="s">
        <v>1246</v>
      </c>
      <c r="G6374" s="395">
        <f>VLOOKUP($A6374,'Tech Litons'!$A:$I,8,FALSE)</f>
        <v>3.7853439999999999E-3</v>
      </c>
      <c r="H6374" s="174">
        <f>VLOOKUP($A6374,'Tech Litons'!$A:$I,9,FALSE)</f>
        <v>240</v>
      </c>
      <c r="I6374" s="174" t="str">
        <f>VLOOKUP($A6374,'Tech Litons'!$A:$C,3,0)</f>
        <v>BJ PTS</v>
      </c>
      <c r="J6374" s="175" t="str">
        <f t="shared" si="715"/>
        <v>5914BJ PTS</v>
      </c>
      <c r="K6374" s="176">
        <f>VLOOKUP(I6374,'Attain %'!A:B,2,0)</f>
        <v>0.95</v>
      </c>
      <c r="L6374" s="177">
        <f t="shared" si="716"/>
        <v>21280</v>
      </c>
      <c r="M6374" s="177">
        <f t="shared" si="717"/>
        <v>80.55212032</v>
      </c>
      <c r="N6374" s="177">
        <f t="shared" si="718"/>
        <v>88.666666666666671</v>
      </c>
      <c r="O6374" s="175" t="str">
        <f t="shared" si="719"/>
        <v>Mar</v>
      </c>
      <c r="P6374" s="265">
        <f t="shared" si="720"/>
        <v>13</v>
      </c>
    </row>
    <row r="6375" spans="1:16" ht="15" hidden="1" customHeight="1">
      <c r="A6375" s="489">
        <v>65489676</v>
      </c>
      <c r="B6375" s="489">
        <v>1717</v>
      </c>
      <c r="C6375" s="488">
        <v>22500</v>
      </c>
      <c r="D6375" s="597">
        <v>46216</v>
      </c>
      <c r="E6375" s="489" t="s">
        <v>1224</v>
      </c>
      <c r="F6375" s="489" t="s">
        <v>1221</v>
      </c>
      <c r="G6375" s="395">
        <f>VLOOKUP($A6375,'Tech Litons'!$A:$I,8,FALSE)</f>
        <v>2.8319999999999999E-3</v>
      </c>
      <c r="H6375" s="174">
        <f>VLOOKUP($A6375,'Tech Litons'!$A:$I,9,FALSE)</f>
        <v>221</v>
      </c>
      <c r="I6375" s="174" t="str">
        <f>VLOOKUP($A6375,'Tech Litons'!$A:$C,3,0)</f>
        <v>Other</v>
      </c>
      <c r="J6375" s="175" t="str">
        <f t="shared" si="715"/>
        <v>1717Other</v>
      </c>
      <c r="K6375" s="176">
        <f>VLOOKUP(I6375,'Attain %'!A:B,2,0)</f>
        <v>0.96</v>
      </c>
      <c r="L6375" s="177">
        <f t="shared" si="716"/>
        <v>21600</v>
      </c>
      <c r="M6375" s="177">
        <f t="shared" si="717"/>
        <v>61.171199999999999</v>
      </c>
      <c r="N6375" s="177">
        <f t="shared" si="718"/>
        <v>97.737556561085967</v>
      </c>
      <c r="O6375" s="175" t="str">
        <f t="shared" si="719"/>
        <v>Jul</v>
      </c>
      <c r="P6375" s="265">
        <f t="shared" si="720"/>
        <v>29</v>
      </c>
    </row>
    <row r="6376" spans="1:16" ht="15" hidden="1" customHeight="1">
      <c r="A6376" s="489">
        <v>65489677</v>
      </c>
      <c r="B6376" s="489">
        <v>1717</v>
      </c>
      <c r="C6376" s="488">
        <v>22500</v>
      </c>
      <c r="D6376" s="597">
        <v>46342</v>
      </c>
      <c r="E6376" s="489" t="s">
        <v>1188</v>
      </c>
      <c r="F6376" s="489" t="s">
        <v>1221</v>
      </c>
      <c r="G6376" s="395">
        <f>VLOOKUP($A6376,'Tech Litons'!$A:$I,8,FALSE)</f>
        <v>2.8319999999999999E-3</v>
      </c>
      <c r="H6376" s="174">
        <f>VLOOKUP($A6376,'Tech Litons'!$A:$I,9,FALSE)</f>
        <v>221</v>
      </c>
      <c r="I6376" s="174" t="str">
        <f>VLOOKUP($A6376,'Tech Litons'!$A:$C,3,0)</f>
        <v>Other</v>
      </c>
      <c r="J6376" s="175" t="str">
        <f t="shared" si="715"/>
        <v>1717Other</v>
      </c>
      <c r="K6376" s="176">
        <f>VLOOKUP(I6376,'Attain %'!A:B,2,0)</f>
        <v>0.96</v>
      </c>
      <c r="L6376" s="177">
        <f t="shared" si="716"/>
        <v>21600</v>
      </c>
      <c r="M6376" s="177">
        <f t="shared" si="717"/>
        <v>61.171199999999999</v>
      </c>
      <c r="N6376" s="177">
        <f t="shared" si="718"/>
        <v>97.737556561085967</v>
      </c>
      <c r="O6376" s="175" t="str">
        <f t="shared" si="719"/>
        <v>Nov</v>
      </c>
      <c r="P6376" s="265">
        <f t="shared" si="720"/>
        <v>47</v>
      </c>
    </row>
    <row r="6377" spans="1:16" ht="15" hidden="1" customHeight="1">
      <c r="A6377" s="489">
        <v>65489677</v>
      </c>
      <c r="B6377" s="489">
        <v>1717</v>
      </c>
      <c r="C6377" s="488">
        <v>22500</v>
      </c>
      <c r="D6377" s="597">
        <v>46370</v>
      </c>
      <c r="E6377" s="489" t="s">
        <v>1188</v>
      </c>
      <c r="F6377" s="489" t="s">
        <v>1221</v>
      </c>
      <c r="G6377" s="395">
        <f>VLOOKUP($A6377,'Tech Litons'!$A:$I,8,FALSE)</f>
        <v>2.8319999999999999E-3</v>
      </c>
      <c r="H6377" s="174">
        <f>VLOOKUP($A6377,'Tech Litons'!$A:$I,9,FALSE)</f>
        <v>221</v>
      </c>
      <c r="I6377" s="174" t="str">
        <f>VLOOKUP($A6377,'Tech Litons'!$A:$C,3,0)</f>
        <v>Other</v>
      </c>
      <c r="J6377" s="175" t="str">
        <f t="shared" si="715"/>
        <v>1717Other</v>
      </c>
      <c r="K6377" s="176">
        <f>VLOOKUP(I6377,'Attain %'!A:B,2,0)</f>
        <v>0.96</v>
      </c>
      <c r="L6377" s="177">
        <f t="shared" si="716"/>
        <v>21600</v>
      </c>
      <c r="M6377" s="177">
        <f t="shared" si="717"/>
        <v>61.171199999999999</v>
      </c>
      <c r="N6377" s="177">
        <f t="shared" si="718"/>
        <v>97.737556561085967</v>
      </c>
      <c r="O6377" s="175" t="str">
        <f t="shared" si="719"/>
        <v>Dec</v>
      </c>
      <c r="P6377" s="265">
        <f t="shared" si="720"/>
        <v>51</v>
      </c>
    </row>
    <row r="6378" spans="1:16" ht="15" hidden="1" customHeight="1">
      <c r="A6378" s="489">
        <v>64997059</v>
      </c>
      <c r="B6378" s="489">
        <v>3985</v>
      </c>
      <c r="C6378" s="488">
        <v>22500</v>
      </c>
      <c r="D6378" s="597">
        <v>46125</v>
      </c>
      <c r="E6378" s="489" t="s">
        <v>1050</v>
      </c>
      <c r="F6378" s="489" t="s">
        <v>1221</v>
      </c>
      <c r="G6378" s="395">
        <f>VLOOKUP($A6378,'Tech Litons'!$A:$I,8,FALSE)</f>
        <v>5.6760000000000005E-3</v>
      </c>
      <c r="H6378" s="174">
        <f>VLOOKUP($A6378,'Tech Litons'!$A:$I,9,FALSE)</f>
        <v>96</v>
      </c>
      <c r="I6378" s="174" t="str">
        <f>VLOOKUP($A6378,'Tech Litons'!$A:$C,3,0)</f>
        <v>Other</v>
      </c>
      <c r="J6378" s="175" t="str">
        <f t="shared" si="715"/>
        <v>3985Other</v>
      </c>
      <c r="K6378" s="176">
        <f>VLOOKUP(I6378,'Attain %'!A:B,2,0)</f>
        <v>0.96</v>
      </c>
      <c r="L6378" s="177">
        <f t="shared" si="716"/>
        <v>21600</v>
      </c>
      <c r="M6378" s="177">
        <f t="shared" si="717"/>
        <v>122.6016</v>
      </c>
      <c r="N6378" s="177">
        <f t="shared" si="718"/>
        <v>225</v>
      </c>
      <c r="O6378" s="175" t="str">
        <f t="shared" si="719"/>
        <v>Apr</v>
      </c>
      <c r="P6378" s="265">
        <f t="shared" si="720"/>
        <v>16</v>
      </c>
    </row>
    <row r="6379" spans="1:16" ht="15" hidden="1" customHeight="1">
      <c r="A6379" s="489">
        <v>68817799</v>
      </c>
      <c r="B6379" s="489">
        <v>1352</v>
      </c>
      <c r="C6379" s="488">
        <v>22750</v>
      </c>
      <c r="D6379" s="597">
        <v>46111</v>
      </c>
      <c r="E6379" s="489" t="s">
        <v>410</v>
      </c>
      <c r="F6379" s="489" t="s">
        <v>1207</v>
      </c>
      <c r="G6379" s="395">
        <f>VLOOKUP($A6379,'Tech Litons'!$A:$I,8,FALSE)</f>
        <v>8.5199999999999998E-3</v>
      </c>
      <c r="H6379" s="174">
        <f>VLOOKUP($A6379,'Tech Litons'!$A:$I,9,FALSE)</f>
        <v>176</v>
      </c>
      <c r="I6379" s="174" t="str">
        <f>VLOOKUP($A6379,'Tech Litons'!$A:$C,3,0)</f>
        <v>48oz</v>
      </c>
      <c r="J6379" s="175" t="str">
        <f t="shared" si="715"/>
        <v>135248oz</v>
      </c>
      <c r="K6379" s="176">
        <f>VLOOKUP(I6379,'Attain %'!A:B,2,0)</f>
        <v>0.94</v>
      </c>
      <c r="L6379" s="177">
        <f t="shared" si="716"/>
        <v>21385</v>
      </c>
      <c r="M6379" s="177">
        <f t="shared" si="717"/>
        <v>182.2002</v>
      </c>
      <c r="N6379" s="177">
        <f t="shared" si="718"/>
        <v>121.50568181818181</v>
      </c>
      <c r="O6379" s="175" t="str">
        <f t="shared" si="719"/>
        <v>Mar</v>
      </c>
      <c r="P6379" s="265">
        <f t="shared" si="720"/>
        <v>14</v>
      </c>
    </row>
    <row r="6380" spans="1:16" ht="15" hidden="1" customHeight="1">
      <c r="A6380" s="489">
        <v>68817793</v>
      </c>
      <c r="B6380" s="489">
        <v>1352</v>
      </c>
      <c r="D6380" s="597">
        <v>46111</v>
      </c>
      <c r="E6380" s="489" t="s">
        <v>353</v>
      </c>
      <c r="F6380" s="489" t="s">
        <v>1207</v>
      </c>
      <c r="G6380" s="395">
        <f>VLOOKUP($A6380,'Tech Litons'!$A:$I,8,FALSE)</f>
        <v>8.5199999999999998E-3</v>
      </c>
      <c r="H6380" s="174">
        <f>VLOOKUP($A6380,'Tech Litons'!$A:$I,9,FALSE)</f>
        <v>176</v>
      </c>
      <c r="I6380" s="174" t="str">
        <f>VLOOKUP($A6380,'Tech Litons'!$A:$C,3,0)</f>
        <v>48oz</v>
      </c>
      <c r="J6380" s="175" t="str">
        <f t="shared" si="715"/>
        <v>135248oz</v>
      </c>
      <c r="K6380" s="176">
        <f>VLOOKUP(I6380,'Attain %'!A:B,2,0)</f>
        <v>0.94</v>
      </c>
      <c r="L6380" s="177">
        <f t="shared" si="716"/>
        <v>0</v>
      </c>
      <c r="M6380" s="177">
        <f t="shared" si="717"/>
        <v>0</v>
      </c>
      <c r="N6380" s="177">
        <f t="shared" si="718"/>
        <v>0</v>
      </c>
      <c r="O6380" s="175" t="str">
        <f t="shared" si="719"/>
        <v>Mar</v>
      </c>
      <c r="P6380" s="265">
        <f t="shared" si="720"/>
        <v>14</v>
      </c>
    </row>
    <row r="6381" spans="1:16" ht="15" hidden="1" customHeight="1">
      <c r="A6381" s="489">
        <v>68899825</v>
      </c>
      <c r="B6381" s="489">
        <v>1352</v>
      </c>
      <c r="C6381" s="488">
        <v>22560</v>
      </c>
      <c r="D6381" s="597">
        <v>46139</v>
      </c>
      <c r="E6381" s="489" t="s">
        <v>382</v>
      </c>
      <c r="F6381" s="489" t="s">
        <v>1207</v>
      </c>
      <c r="G6381" s="395">
        <f>VLOOKUP($A6381,'Tech Litons'!$A:$I,8,FALSE)</f>
        <v>8.513999999999999E-3</v>
      </c>
      <c r="H6381" s="174">
        <f>VLOOKUP($A6381,'Tech Litons'!$A:$I,9,FALSE)</f>
        <v>176</v>
      </c>
      <c r="I6381" s="174" t="str">
        <f>VLOOKUP($A6381,'Tech Litons'!$A:$C,3,0)</f>
        <v>48oz</v>
      </c>
      <c r="J6381" s="175" t="str">
        <f t="shared" si="715"/>
        <v>135248oz</v>
      </c>
      <c r="K6381" s="176">
        <f>VLOOKUP(I6381,'Attain %'!A:B,2,0)</f>
        <v>0.94</v>
      </c>
      <c r="L6381" s="177">
        <f t="shared" si="716"/>
        <v>21206.399999999998</v>
      </c>
      <c r="M6381" s="177">
        <f t="shared" si="717"/>
        <v>180.55128959999996</v>
      </c>
      <c r="N6381" s="177">
        <f t="shared" si="718"/>
        <v>120.49090909090908</v>
      </c>
      <c r="O6381" s="175" t="str">
        <f t="shared" si="719"/>
        <v>Apr</v>
      </c>
      <c r="P6381" s="265">
        <f t="shared" si="720"/>
        <v>18</v>
      </c>
    </row>
    <row r="6382" spans="1:16" ht="15" hidden="1" customHeight="1">
      <c r="A6382" s="489">
        <v>69554197</v>
      </c>
      <c r="B6382" s="489">
        <v>2904</v>
      </c>
      <c r="C6382" s="488">
        <v>22671</v>
      </c>
      <c r="D6382" s="597">
        <v>46104</v>
      </c>
      <c r="E6382" s="489" t="s">
        <v>244</v>
      </c>
      <c r="F6382" s="489" t="s">
        <v>1229</v>
      </c>
      <c r="G6382" s="395">
        <f>VLOOKUP($A6382,'Tech Litons'!$A:$I,8,FALSE)</f>
        <v>3.7839999999999996E-3</v>
      </c>
      <c r="H6382" s="174">
        <f>VLOOKUP($A6382,'Tech Litons'!$A:$I,9,FALSE)</f>
        <v>240</v>
      </c>
      <c r="I6382" s="174" t="str">
        <f>VLOOKUP($A6382,'Tech Litons'!$A:$C,3,0)</f>
        <v>PTS</v>
      </c>
      <c r="J6382" s="175" t="str">
        <f t="shared" si="715"/>
        <v>2904PTS</v>
      </c>
      <c r="K6382" s="176">
        <f>VLOOKUP(I6382,'Attain %'!A:B,2,0)</f>
        <v>0.96</v>
      </c>
      <c r="L6382" s="177">
        <f t="shared" si="716"/>
        <v>21764.16</v>
      </c>
      <c r="M6382" s="177">
        <f t="shared" si="717"/>
        <v>82.355581439999995</v>
      </c>
      <c r="N6382" s="177">
        <f t="shared" si="718"/>
        <v>90.683999999999997</v>
      </c>
      <c r="O6382" s="175" t="str">
        <f t="shared" si="719"/>
        <v>Mar</v>
      </c>
      <c r="P6382" s="265">
        <f t="shared" si="720"/>
        <v>13</v>
      </c>
    </row>
    <row r="6383" spans="1:16" ht="15" hidden="1" customHeight="1">
      <c r="A6383" s="489">
        <v>62697528</v>
      </c>
      <c r="B6383" s="489">
        <v>5914</v>
      </c>
      <c r="C6383" s="488">
        <v>22680</v>
      </c>
      <c r="D6383" s="597">
        <v>46125</v>
      </c>
      <c r="E6383" s="489" t="s">
        <v>435</v>
      </c>
      <c r="F6383" s="489" t="s">
        <v>1244</v>
      </c>
      <c r="G6383" s="395">
        <f>VLOOKUP($A6383,'Tech Litons'!$A:$I,8,FALSE)</f>
        <v>3.7839999999999996E-3</v>
      </c>
      <c r="H6383" s="174">
        <f>VLOOKUP($A6383,'Tech Litons'!$A:$I,9,FALSE)</f>
        <v>240</v>
      </c>
      <c r="I6383" s="174" t="str">
        <f>VLOOKUP($A6383,'Tech Litons'!$A:$C,3,0)</f>
        <v>BJ PTS</v>
      </c>
      <c r="J6383" s="175" t="str">
        <f t="shared" si="715"/>
        <v>5914BJ PTS</v>
      </c>
      <c r="K6383" s="176">
        <f>VLOOKUP(I6383,'Attain %'!A:B,2,0)</f>
        <v>0.95</v>
      </c>
      <c r="L6383" s="177">
        <f t="shared" si="716"/>
        <v>21546</v>
      </c>
      <c r="M6383" s="177">
        <f t="shared" si="717"/>
        <v>81.530063999999996</v>
      </c>
      <c r="N6383" s="177">
        <f t="shared" si="718"/>
        <v>89.775000000000006</v>
      </c>
      <c r="O6383" s="175" t="str">
        <f t="shared" si="719"/>
        <v>Apr</v>
      </c>
      <c r="P6383" s="265">
        <f t="shared" si="720"/>
        <v>16</v>
      </c>
    </row>
    <row r="6384" spans="1:16" ht="15" hidden="1" customHeight="1">
      <c r="A6384" s="489">
        <v>69986506</v>
      </c>
      <c r="B6384" s="489">
        <v>5914</v>
      </c>
      <c r="C6384" s="488">
        <v>22680</v>
      </c>
      <c r="D6384" s="597">
        <v>46167</v>
      </c>
      <c r="E6384" s="489" t="s">
        <v>455</v>
      </c>
      <c r="F6384" s="489" t="s">
        <v>1244</v>
      </c>
      <c r="G6384" s="395">
        <f>VLOOKUP($A6384,'Tech Litons'!$A:$I,8,FALSE)</f>
        <v>3.7839999999999996E-3</v>
      </c>
      <c r="H6384" s="174">
        <f>VLOOKUP($A6384,'Tech Litons'!$A:$I,9,FALSE)</f>
        <v>240</v>
      </c>
      <c r="I6384" s="174" t="str">
        <f>VLOOKUP($A6384,'Tech Litons'!$A:$C,3,0)</f>
        <v>BJ PTS</v>
      </c>
      <c r="J6384" s="175" t="str">
        <f t="shared" si="715"/>
        <v>5914BJ PTS</v>
      </c>
      <c r="K6384" s="176">
        <f>VLOOKUP(I6384,'Attain %'!A:B,2,0)</f>
        <v>0.95</v>
      </c>
      <c r="L6384" s="177">
        <f t="shared" si="716"/>
        <v>21546</v>
      </c>
      <c r="M6384" s="177">
        <f t="shared" si="717"/>
        <v>81.530063999999996</v>
      </c>
      <c r="N6384" s="177">
        <f t="shared" si="718"/>
        <v>89.775000000000006</v>
      </c>
      <c r="O6384" s="175" t="str">
        <f t="shared" si="719"/>
        <v>May</v>
      </c>
      <c r="P6384" s="265">
        <f t="shared" si="720"/>
        <v>22</v>
      </c>
    </row>
    <row r="6385" spans="1:16" ht="15" hidden="1" customHeight="1">
      <c r="A6385" s="489">
        <v>68850683</v>
      </c>
      <c r="B6385" s="489">
        <v>1352</v>
      </c>
      <c r="C6385" s="488">
        <v>9750</v>
      </c>
      <c r="D6385" s="597">
        <v>46111</v>
      </c>
      <c r="E6385" s="489" t="s">
        <v>311</v>
      </c>
      <c r="F6385" s="489" t="s">
        <v>1209</v>
      </c>
      <c r="G6385" s="395">
        <f>VLOOKUP($A6385,'Tech Litons'!$A:$I,8,FALSE)</f>
        <v>8.5199999999999998E-3</v>
      </c>
      <c r="H6385" s="174">
        <f>VLOOKUP($A6385,'Tech Litons'!$A:$I,9,FALSE)</f>
        <v>176</v>
      </c>
      <c r="I6385" s="174" t="str">
        <f>VLOOKUP($A6385,'Tech Litons'!$A:$C,3,0)</f>
        <v>48oz</v>
      </c>
      <c r="J6385" s="175" t="str">
        <f t="shared" si="715"/>
        <v>135248oz</v>
      </c>
      <c r="K6385" s="176">
        <f>VLOOKUP(I6385,'Attain %'!A:B,2,0)</f>
        <v>0.94</v>
      </c>
      <c r="L6385" s="177">
        <f t="shared" si="716"/>
        <v>9165</v>
      </c>
      <c r="M6385" s="177">
        <f t="shared" si="717"/>
        <v>78.085799999999992</v>
      </c>
      <c r="N6385" s="177">
        <f t="shared" si="718"/>
        <v>52.073863636363633</v>
      </c>
      <c r="O6385" s="175" t="str">
        <f t="shared" si="719"/>
        <v>Mar</v>
      </c>
      <c r="P6385" s="265">
        <f t="shared" si="720"/>
        <v>14</v>
      </c>
    </row>
    <row r="6386" spans="1:16" ht="15" hidden="1" customHeight="1">
      <c r="A6386" s="489">
        <v>68851104</v>
      </c>
      <c r="B6386" s="489">
        <v>1352</v>
      </c>
      <c r="C6386" s="488">
        <v>22750</v>
      </c>
      <c r="D6386" s="597">
        <v>46104</v>
      </c>
      <c r="E6386" s="489" t="s">
        <v>270</v>
      </c>
      <c r="F6386" s="489" t="s">
        <v>1209</v>
      </c>
      <c r="G6386" s="395">
        <f>VLOOKUP($A6386,'Tech Litons'!$A:$I,8,FALSE)</f>
        <v>8.5199999999999998E-3</v>
      </c>
      <c r="H6386" s="174">
        <f>VLOOKUP($A6386,'Tech Litons'!$A:$I,9,FALSE)</f>
        <v>176</v>
      </c>
      <c r="I6386" s="174" t="str">
        <f>VLOOKUP($A6386,'Tech Litons'!$A:$C,3,0)</f>
        <v>48oz</v>
      </c>
      <c r="J6386" s="175" t="str">
        <f t="shared" si="715"/>
        <v>135248oz</v>
      </c>
      <c r="K6386" s="176">
        <f>VLOOKUP(I6386,'Attain %'!A:B,2,0)</f>
        <v>0.94</v>
      </c>
      <c r="L6386" s="177">
        <f t="shared" si="716"/>
        <v>21385</v>
      </c>
      <c r="M6386" s="177">
        <f t="shared" si="717"/>
        <v>182.2002</v>
      </c>
      <c r="N6386" s="177">
        <f t="shared" si="718"/>
        <v>121.50568181818181</v>
      </c>
      <c r="O6386" s="175" t="str">
        <f t="shared" si="719"/>
        <v>Mar</v>
      </c>
      <c r="P6386" s="265">
        <f t="shared" si="720"/>
        <v>13</v>
      </c>
    </row>
    <row r="6387" spans="1:16" ht="15" hidden="1" customHeight="1">
      <c r="A6387" s="489">
        <v>68851104</v>
      </c>
      <c r="B6387" s="489">
        <v>1352</v>
      </c>
      <c r="C6387" s="488">
        <v>26000</v>
      </c>
      <c r="D6387" s="597">
        <v>46111</v>
      </c>
      <c r="E6387" s="489" t="s">
        <v>270</v>
      </c>
      <c r="F6387" s="489" t="s">
        <v>1209</v>
      </c>
      <c r="G6387" s="395">
        <f>VLOOKUP($A6387,'Tech Litons'!$A:$I,8,FALSE)</f>
        <v>8.5199999999999998E-3</v>
      </c>
      <c r="H6387" s="174">
        <f>VLOOKUP($A6387,'Tech Litons'!$A:$I,9,FALSE)</f>
        <v>176</v>
      </c>
      <c r="I6387" s="174" t="str">
        <f>VLOOKUP($A6387,'Tech Litons'!$A:$C,3,0)</f>
        <v>48oz</v>
      </c>
      <c r="J6387" s="175" t="str">
        <f t="shared" si="715"/>
        <v>135248oz</v>
      </c>
      <c r="K6387" s="176">
        <f>VLOOKUP(I6387,'Attain %'!A:B,2,0)</f>
        <v>0.94</v>
      </c>
      <c r="L6387" s="177">
        <f t="shared" si="716"/>
        <v>24440</v>
      </c>
      <c r="M6387" s="177">
        <f t="shared" si="717"/>
        <v>208.22880000000001</v>
      </c>
      <c r="N6387" s="177">
        <f t="shared" si="718"/>
        <v>138.86363636363637</v>
      </c>
      <c r="O6387" s="175" t="str">
        <f t="shared" si="719"/>
        <v>Mar</v>
      </c>
      <c r="P6387" s="265">
        <f t="shared" si="720"/>
        <v>14</v>
      </c>
    </row>
    <row r="6388" spans="1:16" ht="15" hidden="1" customHeight="1">
      <c r="A6388" s="489">
        <v>64369031</v>
      </c>
      <c r="B6388" s="489">
        <v>2904</v>
      </c>
      <c r="C6388" s="488">
        <v>22900</v>
      </c>
      <c r="D6388" s="597">
        <v>46104</v>
      </c>
      <c r="E6388" s="489" t="s">
        <v>522</v>
      </c>
      <c r="F6388" s="489" t="s">
        <v>1228</v>
      </c>
      <c r="G6388" s="395">
        <f>VLOOKUP($A6388,'Tech Litons'!$A:$I,8,FALSE)</f>
        <v>3.7839999999999996E-3</v>
      </c>
      <c r="H6388" s="174">
        <f>VLOOKUP($A6388,'Tech Litons'!$A:$I,9,FALSE)</f>
        <v>255</v>
      </c>
      <c r="I6388" s="174" t="str">
        <f>VLOOKUP($A6388,'Tech Litons'!$A:$C,3,0)</f>
        <v>Talenti</v>
      </c>
      <c r="J6388" s="175" t="str">
        <f t="shared" si="715"/>
        <v>2904Talenti</v>
      </c>
      <c r="K6388" s="176">
        <f>VLOOKUP(I6388,'Attain %'!A:B,2,0)</f>
        <v>0.96</v>
      </c>
      <c r="L6388" s="177">
        <f t="shared" si="716"/>
        <v>21984</v>
      </c>
      <c r="M6388" s="177">
        <f t="shared" si="717"/>
        <v>83.187455999999997</v>
      </c>
      <c r="N6388" s="177">
        <f t="shared" si="718"/>
        <v>86.211764705882359</v>
      </c>
      <c r="O6388" s="175" t="str">
        <f t="shared" si="719"/>
        <v>Mar</v>
      </c>
      <c r="P6388" s="265">
        <f t="shared" si="720"/>
        <v>13</v>
      </c>
    </row>
    <row r="6389" spans="1:16" ht="15" hidden="1" customHeight="1">
      <c r="A6389" s="489">
        <v>65489677</v>
      </c>
      <c r="B6389" s="489">
        <v>1717</v>
      </c>
      <c r="C6389" s="488">
        <v>22919</v>
      </c>
      <c r="D6389" s="597">
        <v>46188</v>
      </c>
      <c r="E6389" s="489" t="s">
        <v>1188</v>
      </c>
      <c r="F6389" s="489" t="s">
        <v>1221</v>
      </c>
      <c r="G6389" s="395">
        <f>VLOOKUP($A6389,'Tech Litons'!$A:$I,8,FALSE)</f>
        <v>2.8319999999999999E-3</v>
      </c>
      <c r="H6389" s="174">
        <f>VLOOKUP($A6389,'Tech Litons'!$A:$I,9,FALSE)</f>
        <v>221</v>
      </c>
      <c r="I6389" s="174" t="str">
        <f>VLOOKUP($A6389,'Tech Litons'!$A:$C,3,0)</f>
        <v>Other</v>
      </c>
      <c r="J6389" s="175" t="str">
        <f t="shared" si="715"/>
        <v>1717Other</v>
      </c>
      <c r="K6389" s="176">
        <f>VLOOKUP(I6389,'Attain %'!A:B,2,0)</f>
        <v>0.96</v>
      </c>
      <c r="L6389" s="177">
        <f t="shared" si="716"/>
        <v>22002.239999999998</v>
      </c>
      <c r="M6389" s="177">
        <f t="shared" si="717"/>
        <v>62.310343679999988</v>
      </c>
      <c r="N6389" s="177">
        <f t="shared" si="718"/>
        <v>99.55764705882352</v>
      </c>
      <c r="O6389" s="175" t="str">
        <f t="shared" si="719"/>
        <v>Jun</v>
      </c>
      <c r="P6389" s="265">
        <f t="shared" si="720"/>
        <v>25</v>
      </c>
    </row>
    <row r="6390" spans="1:16" ht="15" hidden="1" customHeight="1">
      <c r="A6390" s="489">
        <v>69568828</v>
      </c>
      <c r="B6390" s="489">
        <v>1352</v>
      </c>
      <c r="C6390" s="488">
        <v>22950</v>
      </c>
      <c r="D6390" s="597">
        <v>46118</v>
      </c>
      <c r="E6390" s="489" t="s">
        <v>320</v>
      </c>
      <c r="F6390" s="489" t="s">
        <v>1211</v>
      </c>
      <c r="G6390" s="395">
        <f>VLOOKUP($A6390,'Tech Litons'!$A:$I,8,FALSE)</f>
        <v>8.5199999999999998E-3</v>
      </c>
      <c r="H6390" s="174">
        <f>VLOOKUP($A6390,'Tech Litons'!$A:$I,9,FALSE)</f>
        <v>176</v>
      </c>
      <c r="I6390" s="174" t="str">
        <f>VLOOKUP($A6390,'Tech Litons'!$A:$C,3,0)</f>
        <v>48oz</v>
      </c>
      <c r="J6390" s="175" t="str">
        <f t="shared" si="715"/>
        <v>135248oz</v>
      </c>
      <c r="K6390" s="176">
        <f>VLOOKUP(I6390,'Attain %'!A:B,2,0)</f>
        <v>0.94</v>
      </c>
      <c r="L6390" s="177">
        <f t="shared" si="716"/>
        <v>21573</v>
      </c>
      <c r="M6390" s="177">
        <f t="shared" si="717"/>
        <v>183.80196000000001</v>
      </c>
      <c r="N6390" s="177">
        <f t="shared" si="718"/>
        <v>122.57386363636364</v>
      </c>
      <c r="O6390" s="175" t="str">
        <f t="shared" si="719"/>
        <v>Apr</v>
      </c>
      <c r="P6390" s="265">
        <f t="shared" si="720"/>
        <v>15</v>
      </c>
    </row>
    <row r="6391" spans="1:16" ht="15" hidden="1" customHeight="1">
      <c r="A6391" s="489">
        <v>64958124</v>
      </c>
      <c r="B6391" s="489">
        <v>1715</v>
      </c>
      <c r="C6391" s="488">
        <v>23000</v>
      </c>
      <c r="D6391" s="597">
        <v>46125</v>
      </c>
      <c r="E6391" s="489" t="s">
        <v>587</v>
      </c>
      <c r="F6391" s="489" t="s">
        <v>1221</v>
      </c>
      <c r="G6391" s="395">
        <f>VLOOKUP($A6391,'Tech Litons'!$A:$I,8,FALSE)</f>
        <v>3.3119999999999998E-3</v>
      </c>
      <c r="H6391" s="174">
        <f>VLOOKUP($A6391,'Tech Litons'!$A:$I,9,FALSE)</f>
        <v>165</v>
      </c>
      <c r="I6391" s="174" t="str">
        <f>VLOOKUP($A6391,'Tech Litons'!$A:$C,3,0)</f>
        <v>Yasso Sticks</v>
      </c>
      <c r="J6391" s="175" t="str">
        <f t="shared" si="715"/>
        <v>1715Yasso Sticks</v>
      </c>
      <c r="K6391" s="176">
        <f>VLOOKUP(I6391,'Attain %'!A:B,2,0)</f>
        <v>0.96</v>
      </c>
      <c r="L6391" s="177">
        <f t="shared" si="716"/>
        <v>22080</v>
      </c>
      <c r="M6391" s="177">
        <f t="shared" si="717"/>
        <v>73.128959999999992</v>
      </c>
      <c r="N6391" s="177">
        <f t="shared" si="718"/>
        <v>133.81818181818181</v>
      </c>
      <c r="O6391" s="175" t="str">
        <f t="shared" si="719"/>
        <v>Apr</v>
      </c>
      <c r="P6391" s="265">
        <f t="shared" si="720"/>
        <v>16</v>
      </c>
    </row>
    <row r="6392" spans="1:16" ht="15" hidden="1" customHeight="1">
      <c r="A6392" s="489">
        <v>64330596</v>
      </c>
      <c r="B6392" s="489">
        <v>2904</v>
      </c>
      <c r="D6392" s="597">
        <v>46104</v>
      </c>
      <c r="E6392" s="489" t="s">
        <v>280</v>
      </c>
      <c r="F6392" s="489" t="s">
        <v>1238</v>
      </c>
      <c r="G6392" s="395">
        <f>VLOOKUP($A6392,'Tech Litons'!$A:$I,8,FALSE)</f>
        <v>1.98E-3</v>
      </c>
      <c r="H6392" s="174">
        <f>VLOOKUP($A6392,'Tech Litons'!$A:$I,9,FALSE)</f>
        <v>176</v>
      </c>
      <c r="I6392" s="174" t="str">
        <f>VLOOKUP($A6392,'Tech Litons'!$A:$C,3,0)</f>
        <v>MG Sticks</v>
      </c>
      <c r="J6392" s="175" t="str">
        <f t="shared" ref="J6392:J6455" si="721">B6392&amp;I6392</f>
        <v>2904MG Sticks</v>
      </c>
      <c r="K6392" s="176">
        <f>VLOOKUP(I6392,'Attain %'!A:B,2,0)</f>
        <v>0.96</v>
      </c>
      <c r="L6392" s="177">
        <f t="shared" ref="L6392:L6455" si="722">C6392*$K6392</f>
        <v>0</v>
      </c>
      <c r="M6392" s="177">
        <f t="shared" ref="M6392:M6455" si="723">L6392*G6392</f>
        <v>0</v>
      </c>
      <c r="N6392" s="177">
        <f t="shared" ref="N6392:N6455" si="724">L6392/H6392</f>
        <v>0</v>
      </c>
      <c r="O6392" s="175" t="str">
        <f t="shared" ref="O6392:O6455" si="725">TEXT(D6392,"MMM")</f>
        <v>Mar</v>
      </c>
      <c r="P6392" s="265">
        <f t="shared" ref="P6392:P6455" si="726">WEEKNUM(D6392)</f>
        <v>13</v>
      </c>
    </row>
    <row r="6393" spans="1:16" ht="15" hidden="1" customHeight="1">
      <c r="A6393" s="489">
        <v>64341108</v>
      </c>
      <c r="B6393" s="489" t="s">
        <v>139</v>
      </c>
      <c r="C6393" s="488">
        <v>23400</v>
      </c>
      <c r="D6393" s="597">
        <v>46216</v>
      </c>
      <c r="E6393" s="489" t="s">
        <v>615</v>
      </c>
      <c r="F6393" s="489" t="s">
        <v>1223</v>
      </c>
      <c r="G6393" s="395">
        <f>VLOOKUP($A6393,'Tech Litons'!$A:$I,8,FALSE)</f>
        <v>2.3599999999999997E-3</v>
      </c>
      <c r="H6393" s="174">
        <f>VLOOKUP($A6393,'Tech Litons'!$A:$I,9,FALSE)</f>
        <v>210</v>
      </c>
      <c r="I6393" s="174" t="str">
        <f>VLOOKUP($A6393,'Tech Litons'!$A:$C,3,0)</f>
        <v>Facepieces</v>
      </c>
      <c r="J6393" s="175" t="str">
        <f t="shared" si="721"/>
        <v>IncomFacepieces</v>
      </c>
      <c r="K6393" s="176">
        <f>VLOOKUP(I6393,'Attain %'!A:B,2,0)</f>
        <v>0.96</v>
      </c>
      <c r="L6393" s="177">
        <f t="shared" si="722"/>
        <v>22464</v>
      </c>
      <c r="M6393" s="177">
        <f t="shared" si="723"/>
        <v>53.015039999999992</v>
      </c>
      <c r="N6393" s="177">
        <f t="shared" si="724"/>
        <v>106.97142857142858</v>
      </c>
      <c r="O6393" s="175" t="str">
        <f t="shared" si="725"/>
        <v>Jul</v>
      </c>
      <c r="P6393" s="265">
        <f t="shared" si="726"/>
        <v>29</v>
      </c>
    </row>
    <row r="6394" spans="1:16" ht="15" hidden="1" customHeight="1">
      <c r="A6394" s="489">
        <v>64341108</v>
      </c>
      <c r="B6394" s="489" t="s">
        <v>139</v>
      </c>
      <c r="C6394" s="488">
        <v>23400</v>
      </c>
      <c r="D6394" s="597">
        <v>46328</v>
      </c>
      <c r="E6394" s="489" t="s">
        <v>615</v>
      </c>
      <c r="F6394" s="489" t="s">
        <v>1223</v>
      </c>
      <c r="G6394" s="395">
        <f>VLOOKUP($A6394,'Tech Litons'!$A:$I,8,FALSE)</f>
        <v>2.3599999999999997E-3</v>
      </c>
      <c r="H6394" s="174">
        <f>VLOOKUP($A6394,'Tech Litons'!$A:$I,9,FALSE)</f>
        <v>210</v>
      </c>
      <c r="I6394" s="174" t="str">
        <f>VLOOKUP($A6394,'Tech Litons'!$A:$C,3,0)</f>
        <v>Facepieces</v>
      </c>
      <c r="J6394" s="175" t="str">
        <f t="shared" si="721"/>
        <v>IncomFacepieces</v>
      </c>
      <c r="K6394" s="176">
        <f>VLOOKUP(I6394,'Attain %'!A:B,2,0)</f>
        <v>0.96</v>
      </c>
      <c r="L6394" s="177">
        <f t="shared" si="722"/>
        <v>22464</v>
      </c>
      <c r="M6394" s="177">
        <f t="shared" si="723"/>
        <v>53.015039999999992</v>
      </c>
      <c r="N6394" s="177">
        <f t="shared" si="724"/>
        <v>106.97142857142858</v>
      </c>
      <c r="O6394" s="175" t="str">
        <f t="shared" si="725"/>
        <v>Nov</v>
      </c>
      <c r="P6394" s="265">
        <f t="shared" si="726"/>
        <v>45</v>
      </c>
    </row>
    <row r="6395" spans="1:16" ht="15" hidden="1" customHeight="1">
      <c r="A6395" s="489">
        <v>64979444</v>
      </c>
      <c r="B6395" s="489" t="s">
        <v>139</v>
      </c>
      <c r="C6395" s="488">
        <v>23446</v>
      </c>
      <c r="D6395" s="597">
        <v>46216</v>
      </c>
      <c r="E6395" s="489" t="s">
        <v>622</v>
      </c>
      <c r="F6395" s="489" t="s">
        <v>1223</v>
      </c>
      <c r="G6395" s="395">
        <f>VLOOKUP($A6395,'Tech Litons'!$A:$I,8,FALSE)</f>
        <v>2.16E-3</v>
      </c>
      <c r="H6395" s="174">
        <f>VLOOKUP($A6395,'Tech Litons'!$A:$I,9,FALSE)</f>
        <v>195</v>
      </c>
      <c r="I6395" s="174" t="str">
        <f>VLOOKUP($A6395,'Tech Litons'!$A:$C,3,0)</f>
        <v>Facepieces</v>
      </c>
      <c r="J6395" s="175" t="str">
        <f t="shared" si="721"/>
        <v>IncomFacepieces</v>
      </c>
      <c r="K6395" s="176">
        <f>VLOOKUP(I6395,'Attain %'!A:B,2,0)</f>
        <v>0.96</v>
      </c>
      <c r="L6395" s="177">
        <f t="shared" si="722"/>
        <v>22508.16</v>
      </c>
      <c r="M6395" s="177">
        <f t="shared" si="723"/>
        <v>48.617625600000004</v>
      </c>
      <c r="N6395" s="177">
        <f t="shared" si="724"/>
        <v>115.42646153846154</v>
      </c>
      <c r="O6395" s="175" t="str">
        <f t="shared" si="725"/>
        <v>Jul</v>
      </c>
      <c r="P6395" s="265">
        <f t="shared" si="726"/>
        <v>29</v>
      </c>
    </row>
    <row r="6396" spans="1:16" ht="15" hidden="1" customHeight="1">
      <c r="A6396" s="489">
        <v>69797289</v>
      </c>
      <c r="B6396" s="489">
        <v>5914</v>
      </c>
      <c r="C6396" s="488">
        <v>23520</v>
      </c>
      <c r="D6396" s="597">
        <v>46160</v>
      </c>
      <c r="E6396" s="489" t="s">
        <v>473</v>
      </c>
      <c r="F6396" s="489" t="s">
        <v>1246</v>
      </c>
      <c r="G6396" s="395">
        <f>VLOOKUP($A6396,'Tech Litons'!$A:$I,8,FALSE)</f>
        <v>3.7839999999999996E-3</v>
      </c>
      <c r="H6396" s="174">
        <f>VLOOKUP($A6396,'Tech Litons'!$A:$I,9,FALSE)</f>
        <v>240</v>
      </c>
      <c r="I6396" s="174" t="str">
        <f>VLOOKUP($A6396,'Tech Litons'!$A:$C,3,0)</f>
        <v>BJ PTS</v>
      </c>
      <c r="J6396" s="175" t="str">
        <f t="shared" si="721"/>
        <v>5914BJ PTS</v>
      </c>
      <c r="K6396" s="176">
        <f>VLOOKUP(I6396,'Attain %'!A:B,2,0)</f>
        <v>0.95</v>
      </c>
      <c r="L6396" s="177">
        <f t="shared" si="722"/>
        <v>22344</v>
      </c>
      <c r="M6396" s="177">
        <f t="shared" si="723"/>
        <v>84.549695999999997</v>
      </c>
      <c r="N6396" s="177">
        <f t="shared" si="724"/>
        <v>93.1</v>
      </c>
      <c r="O6396" s="175" t="str">
        <f t="shared" si="725"/>
        <v>May</v>
      </c>
      <c r="P6396" s="265">
        <f t="shared" si="726"/>
        <v>21</v>
      </c>
    </row>
    <row r="6397" spans="1:16" ht="15" hidden="1" customHeight="1">
      <c r="A6397" s="489">
        <v>69986509</v>
      </c>
      <c r="B6397" s="489">
        <v>5914</v>
      </c>
      <c r="C6397" s="488">
        <v>23800</v>
      </c>
      <c r="D6397" s="597">
        <v>46167</v>
      </c>
      <c r="E6397" s="489" t="s">
        <v>530</v>
      </c>
      <c r="F6397" s="489" t="s">
        <v>1247</v>
      </c>
      <c r="G6397" s="395">
        <f>VLOOKUP($A6397,'Tech Litons'!$A:$I,8,FALSE)</f>
        <v>3.7839999999999996E-3</v>
      </c>
      <c r="H6397" s="174">
        <f>VLOOKUP($A6397,'Tech Litons'!$A:$I,9,FALSE)</f>
        <v>240</v>
      </c>
      <c r="I6397" s="174" t="str">
        <f>VLOOKUP($A6397,'Tech Litons'!$A:$C,3,0)</f>
        <v>BJ PTS</v>
      </c>
      <c r="J6397" s="175" t="str">
        <f t="shared" si="721"/>
        <v>5914BJ PTS</v>
      </c>
      <c r="K6397" s="176">
        <f>VLOOKUP(I6397,'Attain %'!A:B,2,0)</f>
        <v>0.95</v>
      </c>
      <c r="L6397" s="177">
        <f t="shared" si="722"/>
        <v>22610</v>
      </c>
      <c r="M6397" s="177">
        <f t="shared" si="723"/>
        <v>85.556239999999988</v>
      </c>
      <c r="N6397" s="177">
        <f t="shared" si="724"/>
        <v>94.208333333333329</v>
      </c>
      <c r="O6397" s="175" t="str">
        <f t="shared" si="725"/>
        <v>May</v>
      </c>
      <c r="P6397" s="265">
        <f t="shared" si="726"/>
        <v>22</v>
      </c>
    </row>
    <row r="6398" spans="1:16" ht="15" hidden="1" customHeight="1">
      <c r="A6398" s="489">
        <v>64776952</v>
      </c>
      <c r="B6398" s="489">
        <v>1352</v>
      </c>
      <c r="D6398" s="597">
        <v>46111</v>
      </c>
      <c r="E6398" s="489" t="s">
        <v>404</v>
      </c>
      <c r="F6398" s="489" t="s">
        <v>1218</v>
      </c>
      <c r="G6398" s="395">
        <f>VLOOKUP($A6398,'Tech Litons'!$A:$I,8,FALSE)</f>
        <v>5.0940000000000004E-3</v>
      </c>
      <c r="H6398" s="174">
        <f>VLOOKUP($A6398,'Tech Litons'!$A:$I,9,FALSE)</f>
        <v>130</v>
      </c>
      <c r="I6398" s="174" t="str">
        <f>VLOOKUP($A6398,'Tech Litons'!$A:$C,3,0)</f>
        <v>PG</v>
      </c>
      <c r="J6398" s="175" t="str">
        <f t="shared" si="721"/>
        <v>1352PG</v>
      </c>
      <c r="K6398" s="176">
        <f>VLOOKUP(I6398,'Attain %'!A:B,2,0)</f>
        <v>0.96</v>
      </c>
      <c r="L6398" s="177">
        <f t="shared" si="722"/>
        <v>0</v>
      </c>
      <c r="M6398" s="177">
        <f t="shared" si="723"/>
        <v>0</v>
      </c>
      <c r="N6398" s="177">
        <f t="shared" si="724"/>
        <v>0</v>
      </c>
      <c r="O6398" s="175" t="str">
        <f t="shared" si="725"/>
        <v>Mar</v>
      </c>
      <c r="P6398" s="265">
        <f t="shared" si="726"/>
        <v>14</v>
      </c>
    </row>
    <row r="6399" spans="1:16" ht="15" hidden="1" customHeight="1">
      <c r="A6399" s="489">
        <v>64776952</v>
      </c>
      <c r="B6399" s="489">
        <v>1352</v>
      </c>
      <c r="C6399" s="488">
        <v>24000</v>
      </c>
      <c r="D6399" s="597">
        <v>46118</v>
      </c>
      <c r="E6399" s="489" t="s">
        <v>404</v>
      </c>
      <c r="F6399" s="489" t="s">
        <v>1218</v>
      </c>
      <c r="G6399" s="395">
        <f>VLOOKUP($A6399,'Tech Litons'!$A:$I,8,FALSE)</f>
        <v>5.0940000000000004E-3</v>
      </c>
      <c r="H6399" s="174">
        <f>VLOOKUP($A6399,'Tech Litons'!$A:$I,9,FALSE)</f>
        <v>130</v>
      </c>
      <c r="I6399" s="174" t="str">
        <f>VLOOKUP($A6399,'Tech Litons'!$A:$C,3,0)</f>
        <v>PG</v>
      </c>
      <c r="J6399" s="175" t="str">
        <f t="shared" si="721"/>
        <v>1352PG</v>
      </c>
      <c r="K6399" s="176">
        <f>VLOOKUP(I6399,'Attain %'!A:B,2,0)</f>
        <v>0.96</v>
      </c>
      <c r="L6399" s="177">
        <f t="shared" si="722"/>
        <v>23040</v>
      </c>
      <c r="M6399" s="177">
        <f t="shared" si="723"/>
        <v>117.36576000000001</v>
      </c>
      <c r="N6399" s="177">
        <f t="shared" si="724"/>
        <v>177.23076923076923</v>
      </c>
      <c r="O6399" s="175" t="str">
        <f t="shared" si="725"/>
        <v>Apr</v>
      </c>
      <c r="P6399" s="265">
        <f t="shared" si="726"/>
        <v>15</v>
      </c>
    </row>
    <row r="6400" spans="1:16" ht="15" hidden="1" customHeight="1">
      <c r="A6400" s="489">
        <v>69725083</v>
      </c>
      <c r="B6400" s="489">
        <v>1352</v>
      </c>
      <c r="C6400" s="488">
        <v>24000</v>
      </c>
      <c r="D6400" s="597">
        <v>46153</v>
      </c>
      <c r="E6400" s="489" t="s">
        <v>358</v>
      </c>
      <c r="F6400" s="489" t="s">
        <v>1218</v>
      </c>
      <c r="G6400" s="395">
        <f>VLOOKUP($A6400,'Tech Litons'!$A:$I,8,FALSE)</f>
        <v>5.2680000000000001E-3</v>
      </c>
      <c r="H6400" s="174">
        <f>VLOOKUP($A6400,'Tech Litons'!$A:$I,9,FALSE)</f>
        <v>130</v>
      </c>
      <c r="I6400" s="174" t="str">
        <f>VLOOKUP($A6400,'Tech Litons'!$A:$C,3,0)</f>
        <v>PG</v>
      </c>
      <c r="J6400" s="175" t="str">
        <f t="shared" si="721"/>
        <v>1352PG</v>
      </c>
      <c r="K6400" s="176">
        <f>VLOOKUP(I6400,'Attain %'!A:B,2,0)</f>
        <v>0.96</v>
      </c>
      <c r="L6400" s="177">
        <f t="shared" si="722"/>
        <v>23040</v>
      </c>
      <c r="M6400" s="177">
        <f t="shared" si="723"/>
        <v>121.37472</v>
      </c>
      <c r="N6400" s="177">
        <f t="shared" si="724"/>
        <v>177.23076923076923</v>
      </c>
      <c r="O6400" s="175" t="str">
        <f t="shared" si="725"/>
        <v>May</v>
      </c>
      <c r="P6400" s="265">
        <f t="shared" si="726"/>
        <v>20</v>
      </c>
    </row>
    <row r="6401" spans="1:16" ht="15" hidden="1" customHeight="1">
      <c r="A6401" s="489">
        <v>64976850</v>
      </c>
      <c r="B6401" s="489">
        <v>1715</v>
      </c>
      <c r="C6401" s="488">
        <v>24000</v>
      </c>
      <c r="D6401" s="597">
        <v>46125</v>
      </c>
      <c r="E6401" s="489" t="s">
        <v>591</v>
      </c>
      <c r="F6401" s="489" t="s">
        <v>1221</v>
      </c>
      <c r="G6401" s="395">
        <f>VLOOKUP($A6401,'Tech Litons'!$A:$I,8,FALSE)</f>
        <v>2.5040000000000001E-3</v>
      </c>
      <c r="H6401" s="174">
        <f>VLOOKUP($A6401,'Tech Litons'!$A:$I,9,FALSE)</f>
        <v>165</v>
      </c>
      <c r="I6401" s="174" t="str">
        <f>VLOOKUP($A6401,'Tech Litons'!$A:$C,3,0)</f>
        <v>Yasso Sticks</v>
      </c>
      <c r="J6401" s="175" t="str">
        <f t="shared" si="721"/>
        <v>1715Yasso Sticks</v>
      </c>
      <c r="K6401" s="176">
        <f>VLOOKUP(I6401,'Attain %'!A:B,2,0)</f>
        <v>0.96</v>
      </c>
      <c r="L6401" s="177">
        <f t="shared" si="722"/>
        <v>23040</v>
      </c>
      <c r="M6401" s="177">
        <f t="shared" si="723"/>
        <v>57.692160000000001</v>
      </c>
      <c r="N6401" s="177">
        <f t="shared" si="724"/>
        <v>139.63636363636363</v>
      </c>
      <c r="O6401" s="175" t="str">
        <f t="shared" si="725"/>
        <v>Apr</v>
      </c>
      <c r="P6401" s="265">
        <f t="shared" si="726"/>
        <v>16</v>
      </c>
    </row>
    <row r="6402" spans="1:16" ht="15" hidden="1" customHeight="1">
      <c r="A6402" s="489">
        <v>64341962</v>
      </c>
      <c r="B6402" s="489">
        <v>2904</v>
      </c>
      <c r="C6402" s="488">
        <v>24000</v>
      </c>
      <c r="D6402" s="597">
        <v>46118</v>
      </c>
      <c r="E6402" s="489" t="s">
        <v>443</v>
      </c>
      <c r="F6402" s="489" t="s">
        <v>1225</v>
      </c>
      <c r="G6402" s="395">
        <f>VLOOKUP($A6402,'Tech Litons'!$A:$I,8,FALSE)</f>
        <v>8.513999999999999E-3</v>
      </c>
      <c r="H6402" s="174">
        <f>VLOOKUP($A6402,'Tech Litons'!$A:$I,9,FALSE)</f>
        <v>176</v>
      </c>
      <c r="I6402" s="174" t="str">
        <f>VLOOKUP($A6402,'Tech Litons'!$A:$C,3,0)</f>
        <v>48oz</v>
      </c>
      <c r="J6402" s="175" t="str">
        <f t="shared" si="721"/>
        <v>290448oz</v>
      </c>
      <c r="K6402" s="176">
        <f>VLOOKUP(I6402,'Attain %'!A:B,2,0)</f>
        <v>0.94</v>
      </c>
      <c r="L6402" s="177">
        <f t="shared" si="722"/>
        <v>22560</v>
      </c>
      <c r="M6402" s="177">
        <f t="shared" si="723"/>
        <v>192.07583999999997</v>
      </c>
      <c r="N6402" s="177">
        <f t="shared" si="724"/>
        <v>128.18181818181819</v>
      </c>
      <c r="O6402" s="175" t="str">
        <f t="shared" si="725"/>
        <v>Apr</v>
      </c>
      <c r="P6402" s="265">
        <f t="shared" si="726"/>
        <v>15</v>
      </c>
    </row>
    <row r="6403" spans="1:16" ht="15" hidden="1" customHeight="1">
      <c r="A6403" s="489">
        <v>65459388</v>
      </c>
      <c r="B6403" s="489">
        <v>2904</v>
      </c>
      <c r="C6403" s="488">
        <v>24000</v>
      </c>
      <c r="D6403" s="597">
        <v>46167</v>
      </c>
      <c r="E6403" s="489" t="s">
        <v>1061</v>
      </c>
      <c r="F6403" s="489" t="s">
        <v>1227</v>
      </c>
      <c r="G6403" s="395">
        <f>VLOOKUP($A6403,'Tech Litons'!$A:$I,8,FALSE)</f>
        <v>3.7839999999999996E-3</v>
      </c>
      <c r="H6403" s="174">
        <f>VLOOKUP($A6403,'Tech Litons'!$A:$I,9,FALSE)</f>
        <v>240</v>
      </c>
      <c r="I6403" s="174" t="str">
        <f>VLOOKUP($A6403,'Tech Litons'!$A:$C,3,0)</f>
        <v>Other</v>
      </c>
      <c r="J6403" s="175" t="str">
        <f t="shared" si="721"/>
        <v>2904Other</v>
      </c>
      <c r="K6403" s="176">
        <f>VLOOKUP(I6403,'Attain %'!A:B,2,0)</f>
        <v>0.96</v>
      </c>
      <c r="L6403" s="177">
        <f t="shared" si="722"/>
        <v>23040</v>
      </c>
      <c r="M6403" s="177">
        <f t="shared" si="723"/>
        <v>87.183359999999993</v>
      </c>
      <c r="N6403" s="177">
        <f t="shared" si="724"/>
        <v>96</v>
      </c>
      <c r="O6403" s="175" t="str">
        <f t="shared" si="725"/>
        <v>May</v>
      </c>
      <c r="P6403" s="265">
        <f t="shared" si="726"/>
        <v>22</v>
      </c>
    </row>
    <row r="6404" spans="1:16" ht="15" hidden="1" customHeight="1">
      <c r="A6404" s="489">
        <v>69564623</v>
      </c>
      <c r="B6404" s="489">
        <v>2904</v>
      </c>
      <c r="C6404" s="488">
        <v>24000</v>
      </c>
      <c r="D6404" s="597">
        <v>46125</v>
      </c>
      <c r="E6404" s="489" t="s">
        <v>378</v>
      </c>
      <c r="F6404" s="489" t="s">
        <v>1225</v>
      </c>
      <c r="G6404" s="395">
        <f>VLOOKUP($A6404,'Tech Litons'!$A:$I,8,FALSE)</f>
        <v>8.5199999999999998E-3</v>
      </c>
      <c r="H6404" s="174">
        <f>VLOOKUP($A6404,'Tech Litons'!$A:$I,9,FALSE)</f>
        <v>176</v>
      </c>
      <c r="I6404" s="174" t="str">
        <f>VLOOKUP($A6404,'Tech Litons'!$A:$C,3,0)</f>
        <v>48oz</v>
      </c>
      <c r="J6404" s="175" t="str">
        <f t="shared" si="721"/>
        <v>290448oz</v>
      </c>
      <c r="K6404" s="176">
        <f>VLOOKUP(I6404,'Attain %'!A:B,2,0)</f>
        <v>0.94</v>
      </c>
      <c r="L6404" s="177">
        <f t="shared" si="722"/>
        <v>22560</v>
      </c>
      <c r="M6404" s="177">
        <f t="shared" si="723"/>
        <v>192.21119999999999</v>
      </c>
      <c r="N6404" s="177">
        <f t="shared" si="724"/>
        <v>128.18181818181819</v>
      </c>
      <c r="O6404" s="175" t="str">
        <f t="shared" si="725"/>
        <v>Apr</v>
      </c>
      <c r="P6404" s="265">
        <f t="shared" si="726"/>
        <v>16</v>
      </c>
    </row>
    <row r="6405" spans="1:16" ht="15" hidden="1" customHeight="1">
      <c r="A6405" s="489">
        <v>84164937</v>
      </c>
      <c r="B6405" s="489">
        <v>2904</v>
      </c>
      <c r="C6405" s="488">
        <v>24000</v>
      </c>
      <c r="D6405" s="597">
        <v>46132</v>
      </c>
      <c r="E6405" s="489" t="s">
        <v>371</v>
      </c>
      <c r="F6405" s="489" t="s">
        <v>1227</v>
      </c>
      <c r="G6405" s="395">
        <f>VLOOKUP($A6405,'Tech Litons'!$A:$I,8,FALSE)</f>
        <v>3.7853439999999999E-3</v>
      </c>
      <c r="H6405" s="174">
        <f>VLOOKUP($A6405,'Tech Litons'!$A:$I,9,FALSE)</f>
        <v>240</v>
      </c>
      <c r="I6405" s="174" t="str">
        <f>VLOOKUP($A6405,'Tech Litons'!$A:$C,3,0)</f>
        <v>BJ PTS</v>
      </c>
      <c r="J6405" s="175" t="str">
        <f t="shared" si="721"/>
        <v>2904BJ PTS</v>
      </c>
      <c r="K6405" s="176">
        <f>VLOOKUP(I6405,'Attain %'!A:B,2,0)</f>
        <v>0.95</v>
      </c>
      <c r="L6405" s="177">
        <f t="shared" si="722"/>
        <v>22800</v>
      </c>
      <c r="M6405" s="177">
        <f t="shared" si="723"/>
        <v>86.305843199999998</v>
      </c>
      <c r="N6405" s="177">
        <f t="shared" si="724"/>
        <v>95</v>
      </c>
      <c r="O6405" s="175" t="str">
        <f t="shared" si="725"/>
        <v>Apr</v>
      </c>
      <c r="P6405" s="265">
        <f t="shared" si="726"/>
        <v>17</v>
      </c>
    </row>
    <row r="6406" spans="1:16" ht="15" hidden="1" customHeight="1">
      <c r="A6406" s="489">
        <v>84164937</v>
      </c>
      <c r="B6406" s="489">
        <v>2904</v>
      </c>
      <c r="C6406" s="488">
        <v>24000</v>
      </c>
      <c r="D6406" s="597">
        <v>46160</v>
      </c>
      <c r="E6406" s="489" t="s">
        <v>371</v>
      </c>
      <c r="F6406" s="489" t="s">
        <v>1227</v>
      </c>
      <c r="G6406" s="395">
        <f>VLOOKUP($A6406,'Tech Litons'!$A:$I,8,FALSE)</f>
        <v>3.7853439999999999E-3</v>
      </c>
      <c r="H6406" s="174">
        <f>VLOOKUP($A6406,'Tech Litons'!$A:$I,9,FALSE)</f>
        <v>240</v>
      </c>
      <c r="I6406" s="174" t="str">
        <f>VLOOKUP($A6406,'Tech Litons'!$A:$C,3,0)</f>
        <v>BJ PTS</v>
      </c>
      <c r="J6406" s="175" t="str">
        <f t="shared" si="721"/>
        <v>2904BJ PTS</v>
      </c>
      <c r="K6406" s="176">
        <f>VLOOKUP(I6406,'Attain %'!A:B,2,0)</f>
        <v>0.95</v>
      </c>
      <c r="L6406" s="177">
        <f t="shared" si="722"/>
        <v>22800</v>
      </c>
      <c r="M6406" s="177">
        <f t="shared" si="723"/>
        <v>86.305843199999998</v>
      </c>
      <c r="N6406" s="177">
        <f t="shared" si="724"/>
        <v>95</v>
      </c>
      <c r="O6406" s="175" t="str">
        <f t="shared" si="725"/>
        <v>May</v>
      </c>
      <c r="P6406" s="265">
        <f t="shared" si="726"/>
        <v>21</v>
      </c>
    </row>
    <row r="6407" spans="1:16" ht="15" hidden="1" customHeight="1">
      <c r="A6407" s="489">
        <v>64360552</v>
      </c>
      <c r="B6407" s="489">
        <v>3910</v>
      </c>
      <c r="C6407" s="488">
        <v>24000</v>
      </c>
      <c r="D6407" s="597">
        <v>46174</v>
      </c>
      <c r="E6407" s="489" t="s">
        <v>1336</v>
      </c>
      <c r="F6407" s="489" t="s">
        <v>1337</v>
      </c>
      <c r="G6407" s="395">
        <f>VLOOKUP($A6407,'Tech Litons'!$A:$I,8,FALSE)</f>
        <v>8.4600000000000005E-3</v>
      </c>
      <c r="H6407" s="174">
        <f>VLOOKUP($A6407,'Tech Litons'!$A:$I,9,FALSE)</f>
        <v>168</v>
      </c>
      <c r="I6407" s="174" t="str">
        <f>VLOOKUP($A6407,'Tech Litons'!$A:$C,3,0)</f>
        <v>48oz</v>
      </c>
      <c r="J6407" s="175" t="str">
        <f t="shared" si="721"/>
        <v>391048oz</v>
      </c>
      <c r="K6407" s="176">
        <f>VLOOKUP(I6407,'Attain %'!A:B,2,0)</f>
        <v>0.94</v>
      </c>
      <c r="L6407" s="177">
        <f t="shared" si="722"/>
        <v>22560</v>
      </c>
      <c r="M6407" s="177">
        <f t="shared" si="723"/>
        <v>190.85760000000002</v>
      </c>
      <c r="N6407" s="177">
        <f t="shared" si="724"/>
        <v>134.28571428571428</v>
      </c>
      <c r="O6407" s="175" t="str">
        <f t="shared" si="725"/>
        <v>Jun</v>
      </c>
      <c r="P6407" s="265">
        <f t="shared" si="726"/>
        <v>23</v>
      </c>
    </row>
    <row r="6408" spans="1:16" ht="15" hidden="1" customHeight="1">
      <c r="A6408" s="489">
        <v>64360552</v>
      </c>
      <c r="B6408" s="489">
        <v>3910</v>
      </c>
      <c r="C6408" s="488">
        <v>24000</v>
      </c>
      <c r="D6408" s="597">
        <v>46181</v>
      </c>
      <c r="E6408" s="489" t="s">
        <v>1336</v>
      </c>
      <c r="F6408" s="489" t="s">
        <v>1337</v>
      </c>
      <c r="G6408" s="395">
        <f>VLOOKUP($A6408,'Tech Litons'!$A:$I,8,FALSE)</f>
        <v>8.4600000000000005E-3</v>
      </c>
      <c r="H6408" s="174">
        <f>VLOOKUP($A6408,'Tech Litons'!$A:$I,9,FALSE)</f>
        <v>168</v>
      </c>
      <c r="I6408" s="174" t="str">
        <f>VLOOKUP($A6408,'Tech Litons'!$A:$C,3,0)</f>
        <v>48oz</v>
      </c>
      <c r="J6408" s="175" t="str">
        <f t="shared" si="721"/>
        <v>391048oz</v>
      </c>
      <c r="K6408" s="176">
        <f>VLOOKUP(I6408,'Attain %'!A:B,2,0)</f>
        <v>0.94</v>
      </c>
      <c r="L6408" s="177">
        <f t="shared" si="722"/>
        <v>22560</v>
      </c>
      <c r="M6408" s="177">
        <f t="shared" si="723"/>
        <v>190.85760000000002</v>
      </c>
      <c r="N6408" s="177">
        <f t="shared" si="724"/>
        <v>134.28571428571428</v>
      </c>
      <c r="O6408" s="175" t="str">
        <f t="shared" si="725"/>
        <v>Jun</v>
      </c>
      <c r="P6408" s="265">
        <f t="shared" si="726"/>
        <v>24</v>
      </c>
    </row>
    <row r="6409" spans="1:16" ht="15" hidden="1" customHeight="1">
      <c r="A6409" s="489">
        <v>64360552</v>
      </c>
      <c r="B6409" s="489">
        <v>3910</v>
      </c>
      <c r="C6409" s="488">
        <v>24000</v>
      </c>
      <c r="D6409" s="597">
        <v>46216</v>
      </c>
      <c r="E6409" s="489" t="s">
        <v>1336</v>
      </c>
      <c r="F6409" s="489" t="s">
        <v>1337</v>
      </c>
      <c r="G6409" s="395">
        <f>VLOOKUP($A6409,'Tech Litons'!$A:$I,8,FALSE)</f>
        <v>8.4600000000000005E-3</v>
      </c>
      <c r="H6409" s="174">
        <f>VLOOKUP($A6409,'Tech Litons'!$A:$I,9,FALSE)</f>
        <v>168</v>
      </c>
      <c r="I6409" s="174" t="str">
        <f>VLOOKUP($A6409,'Tech Litons'!$A:$C,3,0)</f>
        <v>48oz</v>
      </c>
      <c r="J6409" s="175" t="str">
        <f t="shared" si="721"/>
        <v>391048oz</v>
      </c>
      <c r="K6409" s="176">
        <f>VLOOKUP(I6409,'Attain %'!A:B,2,0)</f>
        <v>0.94</v>
      </c>
      <c r="L6409" s="177">
        <f t="shared" si="722"/>
        <v>22560</v>
      </c>
      <c r="M6409" s="177">
        <f t="shared" si="723"/>
        <v>190.85760000000002</v>
      </c>
      <c r="N6409" s="177">
        <f t="shared" si="724"/>
        <v>134.28571428571428</v>
      </c>
      <c r="O6409" s="175" t="str">
        <f t="shared" si="725"/>
        <v>Jul</v>
      </c>
      <c r="P6409" s="265">
        <f t="shared" si="726"/>
        <v>29</v>
      </c>
    </row>
    <row r="6410" spans="1:16" ht="15" hidden="1" customHeight="1">
      <c r="A6410" s="489">
        <v>64360552</v>
      </c>
      <c r="B6410" s="489">
        <v>3910</v>
      </c>
      <c r="D6410" s="597">
        <v>46237</v>
      </c>
      <c r="E6410" s="489" t="s">
        <v>1336</v>
      </c>
      <c r="F6410" s="489" t="s">
        <v>1337</v>
      </c>
      <c r="G6410" s="395">
        <f>VLOOKUP($A6410,'Tech Litons'!$A:$I,8,FALSE)</f>
        <v>8.4600000000000005E-3</v>
      </c>
      <c r="H6410" s="174">
        <f>VLOOKUP($A6410,'Tech Litons'!$A:$I,9,FALSE)</f>
        <v>168</v>
      </c>
      <c r="I6410" s="174" t="str">
        <f>VLOOKUP($A6410,'Tech Litons'!$A:$C,3,0)</f>
        <v>48oz</v>
      </c>
      <c r="J6410" s="175" t="str">
        <f t="shared" si="721"/>
        <v>391048oz</v>
      </c>
      <c r="K6410" s="176">
        <f>VLOOKUP(I6410,'Attain %'!A:B,2,0)</f>
        <v>0.94</v>
      </c>
      <c r="L6410" s="177">
        <f t="shared" si="722"/>
        <v>0</v>
      </c>
      <c r="M6410" s="177">
        <f t="shared" si="723"/>
        <v>0</v>
      </c>
      <c r="N6410" s="177">
        <f t="shared" si="724"/>
        <v>0</v>
      </c>
      <c r="O6410" s="175" t="str">
        <f t="shared" si="725"/>
        <v>Aug</v>
      </c>
      <c r="P6410" s="265">
        <f t="shared" si="726"/>
        <v>32</v>
      </c>
    </row>
    <row r="6411" spans="1:16" ht="15" hidden="1" customHeight="1">
      <c r="A6411" s="489">
        <v>64360552</v>
      </c>
      <c r="B6411" s="489">
        <v>3910</v>
      </c>
      <c r="D6411" s="597">
        <v>46272</v>
      </c>
      <c r="E6411" s="489" t="s">
        <v>1336</v>
      </c>
      <c r="F6411" s="489" t="s">
        <v>1337</v>
      </c>
      <c r="G6411" s="395">
        <f>VLOOKUP($A6411,'Tech Litons'!$A:$I,8,FALSE)</f>
        <v>8.4600000000000005E-3</v>
      </c>
      <c r="H6411" s="174">
        <f>VLOOKUP($A6411,'Tech Litons'!$A:$I,9,FALSE)</f>
        <v>168</v>
      </c>
      <c r="I6411" s="174" t="str">
        <f>VLOOKUP($A6411,'Tech Litons'!$A:$C,3,0)</f>
        <v>48oz</v>
      </c>
      <c r="J6411" s="175" t="str">
        <f t="shared" si="721"/>
        <v>391048oz</v>
      </c>
      <c r="K6411" s="176">
        <f>VLOOKUP(I6411,'Attain %'!A:B,2,0)</f>
        <v>0.94</v>
      </c>
      <c r="L6411" s="177">
        <f t="shared" si="722"/>
        <v>0</v>
      </c>
      <c r="M6411" s="177">
        <f t="shared" si="723"/>
        <v>0</v>
      </c>
      <c r="N6411" s="177">
        <f t="shared" si="724"/>
        <v>0</v>
      </c>
      <c r="O6411" s="175" t="str">
        <f t="shared" si="725"/>
        <v>Sep</v>
      </c>
      <c r="P6411" s="265">
        <f t="shared" si="726"/>
        <v>37</v>
      </c>
    </row>
    <row r="6412" spans="1:16" ht="15" hidden="1" customHeight="1">
      <c r="A6412" s="489">
        <v>64360552</v>
      </c>
      <c r="B6412" s="489">
        <v>3910</v>
      </c>
      <c r="D6412" s="597">
        <v>46293</v>
      </c>
      <c r="E6412" s="489" t="s">
        <v>1336</v>
      </c>
      <c r="F6412" s="489" t="s">
        <v>1337</v>
      </c>
      <c r="G6412" s="395">
        <f>VLOOKUP($A6412,'Tech Litons'!$A:$I,8,FALSE)</f>
        <v>8.4600000000000005E-3</v>
      </c>
      <c r="H6412" s="174">
        <f>VLOOKUP($A6412,'Tech Litons'!$A:$I,9,FALSE)</f>
        <v>168</v>
      </c>
      <c r="I6412" s="174" t="str">
        <f>VLOOKUP($A6412,'Tech Litons'!$A:$C,3,0)</f>
        <v>48oz</v>
      </c>
      <c r="J6412" s="175" t="str">
        <f t="shared" si="721"/>
        <v>391048oz</v>
      </c>
      <c r="K6412" s="176">
        <f>VLOOKUP(I6412,'Attain %'!A:B,2,0)</f>
        <v>0.94</v>
      </c>
      <c r="L6412" s="177">
        <f t="shared" si="722"/>
        <v>0</v>
      </c>
      <c r="M6412" s="177">
        <f t="shared" si="723"/>
        <v>0</v>
      </c>
      <c r="N6412" s="177">
        <f t="shared" si="724"/>
        <v>0</v>
      </c>
      <c r="O6412" s="175" t="str">
        <f t="shared" si="725"/>
        <v>Sep</v>
      </c>
      <c r="P6412" s="265">
        <f t="shared" si="726"/>
        <v>40</v>
      </c>
    </row>
    <row r="6413" spans="1:16" ht="15" hidden="1" customHeight="1">
      <c r="A6413" s="489">
        <v>64360553</v>
      </c>
      <c r="B6413" s="489">
        <v>3910</v>
      </c>
      <c r="C6413" s="488">
        <v>24000</v>
      </c>
      <c r="D6413" s="597">
        <v>46174</v>
      </c>
      <c r="E6413" s="489" t="s">
        <v>1338</v>
      </c>
      <c r="F6413" s="489" t="s">
        <v>1337</v>
      </c>
      <c r="G6413" s="395">
        <f>VLOOKUP($A6413,'Tech Litons'!$A:$I,8,FALSE)</f>
        <v>8.4600000000000005E-3</v>
      </c>
      <c r="H6413" s="174">
        <f>VLOOKUP($A6413,'Tech Litons'!$A:$I,9,FALSE)</f>
        <v>168</v>
      </c>
      <c r="I6413" s="174" t="str">
        <f>VLOOKUP($A6413,'Tech Litons'!$A:$C,3,0)</f>
        <v>48oz</v>
      </c>
      <c r="J6413" s="175" t="str">
        <f t="shared" si="721"/>
        <v>391048oz</v>
      </c>
      <c r="K6413" s="176">
        <f>VLOOKUP(I6413,'Attain %'!A:B,2,0)</f>
        <v>0.94</v>
      </c>
      <c r="L6413" s="177">
        <f t="shared" si="722"/>
        <v>22560</v>
      </c>
      <c r="M6413" s="177">
        <f t="shared" si="723"/>
        <v>190.85760000000002</v>
      </c>
      <c r="N6413" s="177">
        <f t="shared" si="724"/>
        <v>134.28571428571428</v>
      </c>
      <c r="O6413" s="175" t="str">
        <f t="shared" si="725"/>
        <v>Jun</v>
      </c>
      <c r="P6413" s="265">
        <f t="shared" si="726"/>
        <v>23</v>
      </c>
    </row>
    <row r="6414" spans="1:16" ht="15" hidden="1" customHeight="1">
      <c r="A6414" s="489">
        <v>64360553</v>
      </c>
      <c r="B6414" s="489">
        <v>3910</v>
      </c>
      <c r="C6414" s="488">
        <v>24000</v>
      </c>
      <c r="D6414" s="597">
        <v>46181</v>
      </c>
      <c r="E6414" s="489" t="s">
        <v>1338</v>
      </c>
      <c r="F6414" s="489" t="s">
        <v>1337</v>
      </c>
      <c r="G6414" s="395">
        <f>VLOOKUP($A6414,'Tech Litons'!$A:$I,8,FALSE)</f>
        <v>8.4600000000000005E-3</v>
      </c>
      <c r="H6414" s="174">
        <f>VLOOKUP($A6414,'Tech Litons'!$A:$I,9,FALSE)</f>
        <v>168</v>
      </c>
      <c r="I6414" s="174" t="str">
        <f>VLOOKUP($A6414,'Tech Litons'!$A:$C,3,0)</f>
        <v>48oz</v>
      </c>
      <c r="J6414" s="175" t="str">
        <f t="shared" si="721"/>
        <v>391048oz</v>
      </c>
      <c r="K6414" s="176">
        <f>VLOOKUP(I6414,'Attain %'!A:B,2,0)</f>
        <v>0.94</v>
      </c>
      <c r="L6414" s="177">
        <f t="shared" si="722"/>
        <v>22560</v>
      </c>
      <c r="M6414" s="177">
        <f t="shared" si="723"/>
        <v>190.85760000000002</v>
      </c>
      <c r="N6414" s="177">
        <f t="shared" si="724"/>
        <v>134.28571428571428</v>
      </c>
      <c r="O6414" s="175" t="str">
        <f t="shared" si="725"/>
        <v>Jun</v>
      </c>
      <c r="P6414" s="265">
        <f t="shared" si="726"/>
        <v>24</v>
      </c>
    </row>
    <row r="6415" spans="1:16" ht="15" hidden="1" customHeight="1">
      <c r="A6415" s="489">
        <v>64360553</v>
      </c>
      <c r="B6415" s="489">
        <v>3910</v>
      </c>
      <c r="C6415" s="488">
        <v>24000</v>
      </c>
      <c r="D6415" s="597">
        <v>46202</v>
      </c>
      <c r="E6415" s="489" t="s">
        <v>1338</v>
      </c>
      <c r="F6415" s="489" t="s">
        <v>1337</v>
      </c>
      <c r="G6415" s="395">
        <f>VLOOKUP($A6415,'Tech Litons'!$A:$I,8,FALSE)</f>
        <v>8.4600000000000005E-3</v>
      </c>
      <c r="H6415" s="174">
        <f>VLOOKUP($A6415,'Tech Litons'!$A:$I,9,FALSE)</f>
        <v>168</v>
      </c>
      <c r="I6415" s="174" t="str">
        <f>VLOOKUP($A6415,'Tech Litons'!$A:$C,3,0)</f>
        <v>48oz</v>
      </c>
      <c r="J6415" s="175" t="str">
        <f t="shared" si="721"/>
        <v>391048oz</v>
      </c>
      <c r="K6415" s="176">
        <f>VLOOKUP(I6415,'Attain %'!A:B,2,0)</f>
        <v>0.94</v>
      </c>
      <c r="L6415" s="177">
        <f t="shared" si="722"/>
        <v>22560</v>
      </c>
      <c r="M6415" s="177">
        <f t="shared" si="723"/>
        <v>190.85760000000002</v>
      </c>
      <c r="N6415" s="177">
        <f t="shared" si="724"/>
        <v>134.28571428571428</v>
      </c>
      <c r="O6415" s="175" t="str">
        <f t="shared" si="725"/>
        <v>Jun</v>
      </c>
      <c r="P6415" s="265">
        <f t="shared" si="726"/>
        <v>27</v>
      </c>
    </row>
    <row r="6416" spans="1:16" ht="15" hidden="1" customHeight="1">
      <c r="A6416" s="489">
        <v>64360553</v>
      </c>
      <c r="B6416" s="489">
        <v>3910</v>
      </c>
      <c r="C6416" s="488">
        <v>24000</v>
      </c>
      <c r="D6416" s="597">
        <v>46216</v>
      </c>
      <c r="E6416" s="489" t="s">
        <v>1338</v>
      </c>
      <c r="F6416" s="489" t="s">
        <v>1337</v>
      </c>
      <c r="G6416" s="395">
        <f>VLOOKUP($A6416,'Tech Litons'!$A:$I,8,FALSE)</f>
        <v>8.4600000000000005E-3</v>
      </c>
      <c r="H6416" s="174">
        <f>VLOOKUP($A6416,'Tech Litons'!$A:$I,9,FALSE)</f>
        <v>168</v>
      </c>
      <c r="I6416" s="174" t="str">
        <f>VLOOKUP($A6416,'Tech Litons'!$A:$C,3,0)</f>
        <v>48oz</v>
      </c>
      <c r="J6416" s="175" t="str">
        <f t="shared" si="721"/>
        <v>391048oz</v>
      </c>
      <c r="K6416" s="176">
        <f>VLOOKUP(I6416,'Attain %'!A:B,2,0)</f>
        <v>0.94</v>
      </c>
      <c r="L6416" s="177">
        <f t="shared" si="722"/>
        <v>22560</v>
      </c>
      <c r="M6416" s="177">
        <f t="shared" si="723"/>
        <v>190.85760000000002</v>
      </c>
      <c r="N6416" s="177">
        <f t="shared" si="724"/>
        <v>134.28571428571428</v>
      </c>
      <c r="O6416" s="175" t="str">
        <f t="shared" si="725"/>
        <v>Jul</v>
      </c>
      <c r="P6416" s="265">
        <f t="shared" si="726"/>
        <v>29</v>
      </c>
    </row>
    <row r="6417" spans="1:16" ht="15" hidden="1" customHeight="1">
      <c r="A6417" s="489">
        <v>84150062</v>
      </c>
      <c r="B6417" s="489">
        <v>5911</v>
      </c>
      <c r="D6417" s="597">
        <v>46160</v>
      </c>
      <c r="E6417" s="489" t="s">
        <v>463</v>
      </c>
      <c r="F6417" s="489" t="s">
        <v>1242</v>
      </c>
      <c r="G6417" s="395">
        <f>VLOOKUP($A6417,'Tech Litons'!$A:$I,8,FALSE)</f>
        <v>3.7839999999999996E-3</v>
      </c>
      <c r="H6417" s="174">
        <f>VLOOKUP($A6417,'Tech Litons'!$A:$I,9,FALSE)</f>
        <v>240</v>
      </c>
      <c r="I6417" s="174" t="str">
        <f>VLOOKUP($A6417,'Tech Litons'!$A:$C,3,0)</f>
        <v>PTS Exports</v>
      </c>
      <c r="J6417" s="175" t="str">
        <f t="shared" si="721"/>
        <v>5911PTS Exports</v>
      </c>
      <c r="K6417" s="176">
        <f>VLOOKUP(I6417,'Attain %'!A:B,2,0)</f>
        <v>0.96</v>
      </c>
      <c r="L6417" s="177">
        <f t="shared" si="722"/>
        <v>0</v>
      </c>
      <c r="M6417" s="177">
        <f t="shared" si="723"/>
        <v>0</v>
      </c>
      <c r="N6417" s="177">
        <f t="shared" si="724"/>
        <v>0</v>
      </c>
      <c r="O6417" s="175" t="str">
        <f t="shared" si="725"/>
        <v>May</v>
      </c>
      <c r="P6417" s="265">
        <f t="shared" si="726"/>
        <v>21</v>
      </c>
    </row>
    <row r="6418" spans="1:16" ht="15" hidden="1" customHeight="1">
      <c r="A6418" s="489">
        <v>64988053</v>
      </c>
      <c r="B6418" s="489">
        <v>1716</v>
      </c>
      <c r="C6418" s="488">
        <v>24406</v>
      </c>
      <c r="D6418" s="597">
        <v>46139</v>
      </c>
      <c r="E6418" s="489" t="s">
        <v>599</v>
      </c>
      <c r="F6418" s="489" t="s">
        <v>1221</v>
      </c>
      <c r="G6418" s="395">
        <f>VLOOKUP($A6418,'Tech Litons'!$A:$I,8,FALSE)</f>
        <v>2.3999999999999998E-3</v>
      </c>
      <c r="H6418" s="174">
        <f>VLOOKUP($A6418,'Tech Litons'!$A:$I,9,FALSE)</f>
        <v>165</v>
      </c>
      <c r="I6418" s="174" t="str">
        <f>VLOOKUP($A6418,'Tech Litons'!$A:$C,3,0)</f>
        <v>BJ Bars</v>
      </c>
      <c r="J6418" s="175" t="str">
        <f t="shared" si="721"/>
        <v>1716BJ Bars</v>
      </c>
      <c r="K6418" s="176">
        <f>VLOOKUP(I6418,'Attain %'!A:B,2,0)</f>
        <v>0.96</v>
      </c>
      <c r="L6418" s="177">
        <f t="shared" si="722"/>
        <v>23429.759999999998</v>
      </c>
      <c r="M6418" s="177">
        <f t="shared" si="723"/>
        <v>56.23142399999999</v>
      </c>
      <c r="N6418" s="177">
        <f t="shared" si="724"/>
        <v>141.99854545454545</v>
      </c>
      <c r="O6418" s="175" t="str">
        <f t="shared" si="725"/>
        <v>Apr</v>
      </c>
      <c r="P6418" s="265">
        <f t="shared" si="726"/>
        <v>18</v>
      </c>
    </row>
    <row r="6419" spans="1:16" ht="15" hidden="1" customHeight="1">
      <c r="A6419" s="489">
        <v>64771677</v>
      </c>
      <c r="B6419" s="489" t="s">
        <v>139</v>
      </c>
      <c r="C6419" s="488">
        <v>24420</v>
      </c>
      <c r="D6419" s="597">
        <v>46153</v>
      </c>
      <c r="E6419" s="489" t="s">
        <v>620</v>
      </c>
      <c r="F6419" s="489" t="s">
        <v>1223</v>
      </c>
      <c r="G6419" s="395">
        <f>VLOOKUP($A6419,'Tech Litons'!$A:$I,8,FALSE)</f>
        <v>2.16E-3</v>
      </c>
      <c r="H6419" s="174">
        <f>VLOOKUP($A6419,'Tech Litons'!$A:$I,9,FALSE)</f>
        <v>195</v>
      </c>
      <c r="I6419" s="174" t="str">
        <f>VLOOKUP($A6419,'Tech Litons'!$A:$C,3,0)</f>
        <v>Facepieces</v>
      </c>
      <c r="J6419" s="175" t="str">
        <f t="shared" si="721"/>
        <v>IncomFacepieces</v>
      </c>
      <c r="K6419" s="176">
        <f>VLOOKUP(I6419,'Attain %'!A:B,2,0)</f>
        <v>0.96</v>
      </c>
      <c r="L6419" s="177">
        <f t="shared" si="722"/>
        <v>23443.200000000001</v>
      </c>
      <c r="M6419" s="177">
        <f t="shared" si="723"/>
        <v>50.637312000000001</v>
      </c>
      <c r="N6419" s="177">
        <f t="shared" si="724"/>
        <v>120.22153846153847</v>
      </c>
      <c r="O6419" s="175" t="str">
        <f t="shared" si="725"/>
        <v>May</v>
      </c>
      <c r="P6419" s="265">
        <f t="shared" si="726"/>
        <v>20</v>
      </c>
    </row>
    <row r="6420" spans="1:16" ht="15" hidden="1" customHeight="1">
      <c r="A6420" s="489">
        <v>64875812</v>
      </c>
      <c r="B6420" s="489">
        <v>1712</v>
      </c>
      <c r="C6420" s="488">
        <v>24440</v>
      </c>
      <c r="D6420" s="597">
        <v>46160</v>
      </c>
      <c r="E6420" s="489" t="s">
        <v>347</v>
      </c>
      <c r="F6420" s="489" t="s">
        <v>1221</v>
      </c>
      <c r="G6420" s="395">
        <f>VLOOKUP($A6420,'Tech Litons'!$A:$I,8,FALSE)</f>
        <v>6.0000000000000001E-3</v>
      </c>
      <c r="H6420" s="174">
        <f>VLOOKUP($A6420,'Tech Litons'!$A:$I,9,FALSE)</f>
        <v>108</v>
      </c>
      <c r="I6420" s="174" t="str">
        <f>VLOOKUP($A6420,'Tech Litons'!$A:$C,3,0)</f>
        <v>ESS</v>
      </c>
      <c r="J6420" s="175" t="str">
        <f t="shared" si="721"/>
        <v>1712ESS</v>
      </c>
      <c r="K6420" s="176">
        <f>VLOOKUP(I6420,'Attain %'!A:B,2,0)</f>
        <v>0.96</v>
      </c>
      <c r="L6420" s="177">
        <f t="shared" si="722"/>
        <v>23462.399999999998</v>
      </c>
      <c r="M6420" s="177">
        <f t="shared" si="723"/>
        <v>140.77439999999999</v>
      </c>
      <c r="N6420" s="177">
        <f t="shared" si="724"/>
        <v>217.24444444444441</v>
      </c>
      <c r="O6420" s="175" t="str">
        <f t="shared" si="725"/>
        <v>May</v>
      </c>
      <c r="P6420" s="265">
        <f t="shared" si="726"/>
        <v>21</v>
      </c>
    </row>
    <row r="6421" spans="1:16" ht="15" hidden="1" customHeight="1">
      <c r="A6421" s="489">
        <v>68709233</v>
      </c>
      <c r="B6421" s="489">
        <v>1352</v>
      </c>
      <c r="C6421" s="488">
        <v>35000</v>
      </c>
      <c r="D6421" s="597">
        <v>46111</v>
      </c>
      <c r="E6421" s="489" t="s">
        <v>426</v>
      </c>
      <c r="F6421" s="489" t="s">
        <v>1212</v>
      </c>
      <c r="G6421" s="395">
        <f>VLOOKUP($A6421,'Tech Litons'!$A:$I,8,FALSE)</f>
        <v>8.4960000000000001E-3</v>
      </c>
      <c r="H6421" s="174">
        <f>VLOOKUP($A6421,'Tech Litons'!$A:$I,9,FALSE)</f>
        <v>132</v>
      </c>
      <c r="I6421" s="174" t="str">
        <f>VLOOKUP($A6421,'Tech Litons'!$A:$C,3,0)</f>
        <v>EDF</v>
      </c>
      <c r="J6421" s="175" t="str">
        <f t="shared" si="721"/>
        <v>1352EDF</v>
      </c>
      <c r="K6421" s="176">
        <f>VLOOKUP(I6421,'Attain %'!A:B,2,0)</f>
        <v>0.96</v>
      </c>
      <c r="L6421" s="177">
        <f t="shared" si="722"/>
        <v>33600</v>
      </c>
      <c r="M6421" s="177">
        <f t="shared" si="723"/>
        <v>285.46559999999999</v>
      </c>
      <c r="N6421" s="177">
        <f t="shared" si="724"/>
        <v>254.54545454545453</v>
      </c>
      <c r="O6421" s="175" t="str">
        <f t="shared" si="725"/>
        <v>Mar</v>
      </c>
      <c r="P6421" s="265">
        <f t="shared" si="726"/>
        <v>14</v>
      </c>
    </row>
    <row r="6422" spans="1:16" ht="15" hidden="1" customHeight="1">
      <c r="A6422" s="489">
        <v>64975614</v>
      </c>
      <c r="B6422" s="489">
        <v>1716</v>
      </c>
      <c r="C6422" s="488">
        <v>25000</v>
      </c>
      <c r="D6422" s="597">
        <v>46153</v>
      </c>
      <c r="E6422" s="489" t="s">
        <v>594</v>
      </c>
      <c r="F6422" s="489" t="s">
        <v>1221</v>
      </c>
      <c r="G6422" s="395">
        <f>VLOOKUP($A6422,'Tech Litons'!$A:$I,8,FALSE)</f>
        <v>3.3119999999999998E-3</v>
      </c>
      <c r="H6422" s="174">
        <f>VLOOKUP($A6422,'Tech Litons'!$A:$I,9,FALSE)</f>
        <v>240</v>
      </c>
      <c r="I6422" s="174" t="str">
        <f>VLOOKUP($A6422,'Tech Litons'!$A:$C,3,0)</f>
        <v>YS PTS</v>
      </c>
      <c r="J6422" s="175" t="str">
        <f t="shared" si="721"/>
        <v>1716YS PTS</v>
      </c>
      <c r="K6422" s="176">
        <f>VLOOKUP(I6422,'Attain %'!A:B,2,0)</f>
        <v>0.96</v>
      </c>
      <c r="L6422" s="177">
        <f t="shared" si="722"/>
        <v>24000</v>
      </c>
      <c r="M6422" s="177">
        <f t="shared" si="723"/>
        <v>79.488</v>
      </c>
      <c r="N6422" s="177">
        <f t="shared" si="724"/>
        <v>100</v>
      </c>
      <c r="O6422" s="175" t="str">
        <f t="shared" si="725"/>
        <v>May</v>
      </c>
      <c r="P6422" s="265">
        <f t="shared" si="726"/>
        <v>20</v>
      </c>
    </row>
    <row r="6423" spans="1:16" ht="15" hidden="1" customHeight="1">
      <c r="A6423" s="489">
        <v>64999042</v>
      </c>
      <c r="B6423" s="489">
        <v>1716</v>
      </c>
      <c r="C6423" s="488">
        <v>25000</v>
      </c>
      <c r="D6423" s="597">
        <v>46153</v>
      </c>
      <c r="E6423" s="489" t="s">
        <v>489</v>
      </c>
      <c r="F6423" s="489" t="s">
        <v>1221</v>
      </c>
      <c r="G6423" s="395">
        <f>VLOOKUP($A6423,'Tech Litons'!$A:$I,8,FALSE)</f>
        <v>3.3119999999999998E-3</v>
      </c>
      <c r="H6423" s="174">
        <f>VLOOKUP($A6423,'Tech Litons'!$A:$I,9,FALSE)</f>
        <v>240</v>
      </c>
      <c r="I6423" s="174" t="str">
        <f>VLOOKUP($A6423,'Tech Litons'!$A:$C,3,0)</f>
        <v>YS PTS</v>
      </c>
      <c r="J6423" s="175" t="str">
        <f t="shared" si="721"/>
        <v>1716YS PTS</v>
      </c>
      <c r="K6423" s="176">
        <f>VLOOKUP(I6423,'Attain %'!A:B,2,0)</f>
        <v>0.96</v>
      </c>
      <c r="L6423" s="177">
        <f t="shared" si="722"/>
        <v>24000</v>
      </c>
      <c r="M6423" s="177">
        <f t="shared" si="723"/>
        <v>79.488</v>
      </c>
      <c r="N6423" s="177">
        <f t="shared" si="724"/>
        <v>100</v>
      </c>
      <c r="O6423" s="175" t="str">
        <f t="shared" si="725"/>
        <v>May</v>
      </c>
      <c r="P6423" s="265">
        <f t="shared" si="726"/>
        <v>20</v>
      </c>
    </row>
    <row r="6424" spans="1:16" ht="15" hidden="1" customHeight="1">
      <c r="A6424" s="489">
        <v>64999042</v>
      </c>
      <c r="B6424" s="489">
        <v>1716</v>
      </c>
      <c r="C6424" s="488">
        <v>25000</v>
      </c>
      <c r="D6424" s="597">
        <v>46286</v>
      </c>
      <c r="E6424" s="489" t="s">
        <v>489</v>
      </c>
      <c r="F6424" s="489" t="s">
        <v>1221</v>
      </c>
      <c r="G6424" s="395">
        <f>VLOOKUP($A6424,'Tech Litons'!$A:$I,8,FALSE)</f>
        <v>3.3119999999999998E-3</v>
      </c>
      <c r="H6424" s="174">
        <f>VLOOKUP($A6424,'Tech Litons'!$A:$I,9,FALSE)</f>
        <v>240</v>
      </c>
      <c r="I6424" s="174" t="str">
        <f>VLOOKUP($A6424,'Tech Litons'!$A:$C,3,0)</f>
        <v>YS PTS</v>
      </c>
      <c r="J6424" s="175" t="str">
        <f t="shared" si="721"/>
        <v>1716YS PTS</v>
      </c>
      <c r="K6424" s="176">
        <f>VLOOKUP(I6424,'Attain %'!A:B,2,0)</f>
        <v>0.96</v>
      </c>
      <c r="L6424" s="177">
        <f t="shared" si="722"/>
        <v>24000</v>
      </c>
      <c r="M6424" s="177">
        <f t="shared" si="723"/>
        <v>79.488</v>
      </c>
      <c r="N6424" s="177">
        <f t="shared" si="724"/>
        <v>100</v>
      </c>
      <c r="O6424" s="175" t="str">
        <f t="shared" si="725"/>
        <v>Sep</v>
      </c>
      <c r="P6424" s="265">
        <f t="shared" si="726"/>
        <v>39</v>
      </c>
    </row>
    <row r="6425" spans="1:16" ht="15" hidden="1" customHeight="1">
      <c r="A6425" s="489">
        <v>64999073</v>
      </c>
      <c r="B6425" s="489">
        <v>1716</v>
      </c>
      <c r="C6425" s="488">
        <v>25000</v>
      </c>
      <c r="D6425" s="597">
        <v>46153</v>
      </c>
      <c r="E6425" s="489" t="s">
        <v>595</v>
      </c>
      <c r="F6425" s="489" t="s">
        <v>1221</v>
      </c>
      <c r="G6425" s="395">
        <f>VLOOKUP($A6425,'Tech Litons'!$A:$I,8,FALSE)</f>
        <v>3.3119999999999998E-3</v>
      </c>
      <c r="H6425" s="174">
        <f>VLOOKUP($A6425,'Tech Litons'!$A:$I,9,FALSE)</f>
        <v>240</v>
      </c>
      <c r="I6425" s="174" t="str">
        <f>VLOOKUP($A6425,'Tech Litons'!$A:$C,3,0)</f>
        <v>YS PTS</v>
      </c>
      <c r="J6425" s="175" t="str">
        <f t="shared" si="721"/>
        <v>1716YS PTS</v>
      </c>
      <c r="K6425" s="176">
        <f>VLOOKUP(I6425,'Attain %'!A:B,2,0)</f>
        <v>0.96</v>
      </c>
      <c r="L6425" s="177">
        <f t="shared" si="722"/>
        <v>24000</v>
      </c>
      <c r="M6425" s="177">
        <f t="shared" si="723"/>
        <v>79.488</v>
      </c>
      <c r="N6425" s="177">
        <f t="shared" si="724"/>
        <v>100</v>
      </c>
      <c r="O6425" s="175" t="str">
        <f t="shared" si="725"/>
        <v>May</v>
      </c>
      <c r="P6425" s="265">
        <f t="shared" si="726"/>
        <v>20</v>
      </c>
    </row>
    <row r="6426" spans="1:16" ht="15" hidden="1" customHeight="1">
      <c r="A6426" s="489">
        <v>64999073</v>
      </c>
      <c r="B6426" s="489">
        <v>1716</v>
      </c>
      <c r="C6426" s="488">
        <v>25000</v>
      </c>
      <c r="D6426" s="597">
        <v>46188</v>
      </c>
      <c r="E6426" s="489" t="s">
        <v>595</v>
      </c>
      <c r="F6426" s="489" t="s">
        <v>1221</v>
      </c>
      <c r="G6426" s="395">
        <f>VLOOKUP($A6426,'Tech Litons'!$A:$I,8,FALSE)</f>
        <v>3.3119999999999998E-3</v>
      </c>
      <c r="H6426" s="174">
        <f>VLOOKUP($A6426,'Tech Litons'!$A:$I,9,FALSE)</f>
        <v>240</v>
      </c>
      <c r="I6426" s="174" t="str">
        <f>VLOOKUP($A6426,'Tech Litons'!$A:$C,3,0)</f>
        <v>YS PTS</v>
      </c>
      <c r="J6426" s="175" t="str">
        <f t="shared" si="721"/>
        <v>1716YS PTS</v>
      </c>
      <c r="K6426" s="176">
        <f>VLOOKUP(I6426,'Attain %'!A:B,2,0)</f>
        <v>0.96</v>
      </c>
      <c r="L6426" s="177">
        <f t="shared" si="722"/>
        <v>24000</v>
      </c>
      <c r="M6426" s="177">
        <f t="shared" si="723"/>
        <v>79.488</v>
      </c>
      <c r="N6426" s="177">
        <f t="shared" si="724"/>
        <v>100</v>
      </c>
      <c r="O6426" s="175" t="str">
        <f t="shared" si="725"/>
        <v>Jun</v>
      </c>
      <c r="P6426" s="265">
        <f t="shared" si="726"/>
        <v>25</v>
      </c>
    </row>
    <row r="6427" spans="1:16" ht="15" hidden="1" customHeight="1">
      <c r="A6427" s="489">
        <v>64999073</v>
      </c>
      <c r="B6427" s="489">
        <v>1716</v>
      </c>
      <c r="C6427" s="488">
        <v>25000</v>
      </c>
      <c r="D6427" s="597">
        <v>46209</v>
      </c>
      <c r="E6427" s="489" t="s">
        <v>595</v>
      </c>
      <c r="F6427" s="489" t="s">
        <v>1221</v>
      </c>
      <c r="G6427" s="395">
        <f>VLOOKUP($A6427,'Tech Litons'!$A:$I,8,FALSE)</f>
        <v>3.3119999999999998E-3</v>
      </c>
      <c r="H6427" s="174">
        <f>VLOOKUP($A6427,'Tech Litons'!$A:$I,9,FALSE)</f>
        <v>240</v>
      </c>
      <c r="I6427" s="174" t="str">
        <f>VLOOKUP($A6427,'Tech Litons'!$A:$C,3,0)</f>
        <v>YS PTS</v>
      </c>
      <c r="J6427" s="175" t="str">
        <f t="shared" si="721"/>
        <v>1716YS PTS</v>
      </c>
      <c r="K6427" s="176">
        <f>VLOOKUP(I6427,'Attain %'!A:B,2,0)</f>
        <v>0.96</v>
      </c>
      <c r="L6427" s="177">
        <f t="shared" si="722"/>
        <v>24000</v>
      </c>
      <c r="M6427" s="177">
        <f t="shared" si="723"/>
        <v>79.488</v>
      </c>
      <c r="N6427" s="177">
        <f t="shared" si="724"/>
        <v>100</v>
      </c>
      <c r="O6427" s="175" t="str">
        <f t="shared" si="725"/>
        <v>Jul</v>
      </c>
      <c r="P6427" s="265">
        <f t="shared" si="726"/>
        <v>28</v>
      </c>
    </row>
    <row r="6428" spans="1:16" ht="15" hidden="1" customHeight="1">
      <c r="A6428" s="489">
        <v>64999073</v>
      </c>
      <c r="B6428" s="489">
        <v>1716</v>
      </c>
      <c r="C6428" s="488">
        <v>25000</v>
      </c>
      <c r="D6428" s="597">
        <v>46230</v>
      </c>
      <c r="E6428" s="489" t="s">
        <v>595</v>
      </c>
      <c r="F6428" s="489" t="s">
        <v>1221</v>
      </c>
      <c r="G6428" s="395">
        <f>VLOOKUP($A6428,'Tech Litons'!$A:$I,8,FALSE)</f>
        <v>3.3119999999999998E-3</v>
      </c>
      <c r="H6428" s="174">
        <f>VLOOKUP($A6428,'Tech Litons'!$A:$I,9,FALSE)</f>
        <v>240</v>
      </c>
      <c r="I6428" s="174" t="str">
        <f>VLOOKUP($A6428,'Tech Litons'!$A:$C,3,0)</f>
        <v>YS PTS</v>
      </c>
      <c r="J6428" s="175" t="str">
        <f t="shared" si="721"/>
        <v>1716YS PTS</v>
      </c>
      <c r="K6428" s="176">
        <f>VLOOKUP(I6428,'Attain %'!A:B,2,0)</f>
        <v>0.96</v>
      </c>
      <c r="L6428" s="177">
        <f t="shared" si="722"/>
        <v>24000</v>
      </c>
      <c r="M6428" s="177">
        <f t="shared" si="723"/>
        <v>79.488</v>
      </c>
      <c r="N6428" s="177">
        <f t="shared" si="724"/>
        <v>100</v>
      </c>
      <c r="O6428" s="175" t="str">
        <f t="shared" si="725"/>
        <v>Jul</v>
      </c>
      <c r="P6428" s="265">
        <f t="shared" si="726"/>
        <v>31</v>
      </c>
    </row>
    <row r="6429" spans="1:16" ht="15" hidden="1" customHeight="1">
      <c r="A6429" s="489">
        <v>64999073</v>
      </c>
      <c r="B6429" s="489">
        <v>1716</v>
      </c>
      <c r="C6429" s="488">
        <v>25000</v>
      </c>
      <c r="D6429" s="597">
        <v>46251</v>
      </c>
      <c r="E6429" s="489" t="s">
        <v>595</v>
      </c>
      <c r="F6429" s="489" t="s">
        <v>1221</v>
      </c>
      <c r="G6429" s="395">
        <f>VLOOKUP($A6429,'Tech Litons'!$A:$I,8,FALSE)</f>
        <v>3.3119999999999998E-3</v>
      </c>
      <c r="H6429" s="174">
        <f>VLOOKUP($A6429,'Tech Litons'!$A:$I,9,FALSE)</f>
        <v>240</v>
      </c>
      <c r="I6429" s="174" t="str">
        <f>VLOOKUP($A6429,'Tech Litons'!$A:$C,3,0)</f>
        <v>YS PTS</v>
      </c>
      <c r="J6429" s="175" t="str">
        <f t="shared" si="721"/>
        <v>1716YS PTS</v>
      </c>
      <c r="K6429" s="176">
        <f>VLOOKUP(I6429,'Attain %'!A:B,2,0)</f>
        <v>0.96</v>
      </c>
      <c r="L6429" s="177">
        <f t="shared" si="722"/>
        <v>24000</v>
      </c>
      <c r="M6429" s="177">
        <f t="shared" si="723"/>
        <v>79.488</v>
      </c>
      <c r="N6429" s="177">
        <f t="shared" si="724"/>
        <v>100</v>
      </c>
      <c r="O6429" s="175" t="str">
        <f t="shared" si="725"/>
        <v>Aug</v>
      </c>
      <c r="P6429" s="265">
        <f t="shared" si="726"/>
        <v>34</v>
      </c>
    </row>
    <row r="6430" spans="1:16" ht="15" hidden="1" customHeight="1">
      <c r="A6430" s="489">
        <v>64999073</v>
      </c>
      <c r="B6430" s="489">
        <v>1716</v>
      </c>
      <c r="C6430" s="488">
        <v>25000</v>
      </c>
      <c r="D6430" s="597">
        <v>46272</v>
      </c>
      <c r="E6430" s="489" t="s">
        <v>595</v>
      </c>
      <c r="F6430" s="489" t="s">
        <v>1221</v>
      </c>
      <c r="G6430" s="395">
        <f>VLOOKUP($A6430,'Tech Litons'!$A:$I,8,FALSE)</f>
        <v>3.3119999999999998E-3</v>
      </c>
      <c r="H6430" s="174">
        <f>VLOOKUP($A6430,'Tech Litons'!$A:$I,9,FALSE)</f>
        <v>240</v>
      </c>
      <c r="I6430" s="174" t="str">
        <f>VLOOKUP($A6430,'Tech Litons'!$A:$C,3,0)</f>
        <v>YS PTS</v>
      </c>
      <c r="J6430" s="175" t="str">
        <f t="shared" si="721"/>
        <v>1716YS PTS</v>
      </c>
      <c r="K6430" s="176">
        <f>VLOOKUP(I6430,'Attain %'!A:B,2,0)</f>
        <v>0.96</v>
      </c>
      <c r="L6430" s="177">
        <f t="shared" si="722"/>
        <v>24000</v>
      </c>
      <c r="M6430" s="177">
        <f t="shared" si="723"/>
        <v>79.488</v>
      </c>
      <c r="N6430" s="177">
        <f t="shared" si="724"/>
        <v>100</v>
      </c>
      <c r="O6430" s="175" t="str">
        <f t="shared" si="725"/>
        <v>Sep</v>
      </c>
      <c r="P6430" s="265">
        <f t="shared" si="726"/>
        <v>37</v>
      </c>
    </row>
    <row r="6431" spans="1:16" ht="15" hidden="1" customHeight="1">
      <c r="A6431" s="489">
        <v>64999073</v>
      </c>
      <c r="B6431" s="489">
        <v>1716</v>
      </c>
      <c r="C6431" s="488">
        <v>25000</v>
      </c>
      <c r="D6431" s="597">
        <v>46286</v>
      </c>
      <c r="E6431" s="489" t="s">
        <v>595</v>
      </c>
      <c r="F6431" s="489" t="s">
        <v>1221</v>
      </c>
      <c r="G6431" s="395">
        <f>VLOOKUP($A6431,'Tech Litons'!$A:$I,8,FALSE)</f>
        <v>3.3119999999999998E-3</v>
      </c>
      <c r="H6431" s="174">
        <f>VLOOKUP($A6431,'Tech Litons'!$A:$I,9,FALSE)</f>
        <v>240</v>
      </c>
      <c r="I6431" s="174" t="str">
        <f>VLOOKUP($A6431,'Tech Litons'!$A:$C,3,0)</f>
        <v>YS PTS</v>
      </c>
      <c r="J6431" s="175" t="str">
        <f t="shared" si="721"/>
        <v>1716YS PTS</v>
      </c>
      <c r="K6431" s="176">
        <f>VLOOKUP(I6431,'Attain %'!A:B,2,0)</f>
        <v>0.96</v>
      </c>
      <c r="L6431" s="177">
        <f t="shared" si="722"/>
        <v>24000</v>
      </c>
      <c r="M6431" s="177">
        <f t="shared" si="723"/>
        <v>79.488</v>
      </c>
      <c r="N6431" s="177">
        <f t="shared" si="724"/>
        <v>100</v>
      </c>
      <c r="O6431" s="175" t="str">
        <f t="shared" si="725"/>
        <v>Sep</v>
      </c>
      <c r="P6431" s="265">
        <f t="shared" si="726"/>
        <v>39</v>
      </c>
    </row>
    <row r="6432" spans="1:16" ht="15" hidden="1" customHeight="1">
      <c r="A6432" s="489">
        <v>64999073</v>
      </c>
      <c r="B6432" s="489">
        <v>1716</v>
      </c>
      <c r="C6432" s="488">
        <v>25000</v>
      </c>
      <c r="D6432" s="597">
        <v>46321</v>
      </c>
      <c r="E6432" s="489" t="s">
        <v>595</v>
      </c>
      <c r="F6432" s="489" t="s">
        <v>1221</v>
      </c>
      <c r="G6432" s="395">
        <f>VLOOKUP($A6432,'Tech Litons'!$A:$I,8,FALSE)</f>
        <v>3.3119999999999998E-3</v>
      </c>
      <c r="H6432" s="174">
        <f>VLOOKUP($A6432,'Tech Litons'!$A:$I,9,FALSE)</f>
        <v>240</v>
      </c>
      <c r="I6432" s="174" t="str">
        <f>VLOOKUP($A6432,'Tech Litons'!$A:$C,3,0)</f>
        <v>YS PTS</v>
      </c>
      <c r="J6432" s="175" t="str">
        <f t="shared" si="721"/>
        <v>1716YS PTS</v>
      </c>
      <c r="K6432" s="176">
        <f>VLOOKUP(I6432,'Attain %'!A:B,2,0)</f>
        <v>0.96</v>
      </c>
      <c r="L6432" s="177">
        <f t="shared" si="722"/>
        <v>24000</v>
      </c>
      <c r="M6432" s="177">
        <f t="shared" si="723"/>
        <v>79.488</v>
      </c>
      <c r="N6432" s="177">
        <f t="shared" si="724"/>
        <v>100</v>
      </c>
      <c r="O6432" s="175" t="str">
        <f t="shared" si="725"/>
        <v>Oct</v>
      </c>
      <c r="P6432" s="265">
        <f t="shared" si="726"/>
        <v>44</v>
      </c>
    </row>
    <row r="6433" spans="1:16" ht="15" hidden="1" customHeight="1">
      <c r="A6433" s="489">
        <v>64999073</v>
      </c>
      <c r="B6433" s="489">
        <v>1716</v>
      </c>
      <c r="C6433" s="488">
        <v>25000</v>
      </c>
      <c r="D6433" s="597">
        <v>46342</v>
      </c>
      <c r="E6433" s="489" t="s">
        <v>595</v>
      </c>
      <c r="F6433" s="489" t="s">
        <v>1221</v>
      </c>
      <c r="G6433" s="395">
        <f>VLOOKUP($A6433,'Tech Litons'!$A:$I,8,FALSE)</f>
        <v>3.3119999999999998E-3</v>
      </c>
      <c r="H6433" s="174">
        <f>VLOOKUP($A6433,'Tech Litons'!$A:$I,9,FALSE)</f>
        <v>240</v>
      </c>
      <c r="I6433" s="174" t="str">
        <f>VLOOKUP($A6433,'Tech Litons'!$A:$C,3,0)</f>
        <v>YS PTS</v>
      </c>
      <c r="J6433" s="175" t="str">
        <f t="shared" si="721"/>
        <v>1716YS PTS</v>
      </c>
      <c r="K6433" s="176">
        <f>VLOOKUP(I6433,'Attain %'!A:B,2,0)</f>
        <v>0.96</v>
      </c>
      <c r="L6433" s="177">
        <f t="shared" si="722"/>
        <v>24000</v>
      </c>
      <c r="M6433" s="177">
        <f t="shared" si="723"/>
        <v>79.488</v>
      </c>
      <c r="N6433" s="177">
        <f t="shared" si="724"/>
        <v>100</v>
      </c>
      <c r="O6433" s="175" t="str">
        <f t="shared" si="725"/>
        <v>Nov</v>
      </c>
      <c r="P6433" s="265">
        <f t="shared" si="726"/>
        <v>47</v>
      </c>
    </row>
    <row r="6434" spans="1:16" ht="15" hidden="1" customHeight="1">
      <c r="A6434" s="489">
        <v>64999073</v>
      </c>
      <c r="B6434" s="489">
        <v>1716</v>
      </c>
      <c r="C6434" s="488">
        <v>25000</v>
      </c>
      <c r="D6434" s="597">
        <v>46370</v>
      </c>
      <c r="E6434" s="489" t="s">
        <v>595</v>
      </c>
      <c r="F6434" s="489" t="s">
        <v>1221</v>
      </c>
      <c r="G6434" s="395">
        <f>VLOOKUP($A6434,'Tech Litons'!$A:$I,8,FALSE)</f>
        <v>3.3119999999999998E-3</v>
      </c>
      <c r="H6434" s="174">
        <f>VLOOKUP($A6434,'Tech Litons'!$A:$I,9,FALSE)</f>
        <v>240</v>
      </c>
      <c r="I6434" s="174" t="str">
        <f>VLOOKUP($A6434,'Tech Litons'!$A:$C,3,0)</f>
        <v>YS PTS</v>
      </c>
      <c r="J6434" s="175" t="str">
        <f t="shared" si="721"/>
        <v>1716YS PTS</v>
      </c>
      <c r="K6434" s="176">
        <f>VLOOKUP(I6434,'Attain %'!A:B,2,0)</f>
        <v>0.96</v>
      </c>
      <c r="L6434" s="177">
        <f t="shared" si="722"/>
        <v>24000</v>
      </c>
      <c r="M6434" s="177">
        <f t="shared" si="723"/>
        <v>79.488</v>
      </c>
      <c r="N6434" s="177">
        <f t="shared" si="724"/>
        <v>100</v>
      </c>
      <c r="O6434" s="175" t="str">
        <f t="shared" si="725"/>
        <v>Dec</v>
      </c>
      <c r="P6434" s="265">
        <f t="shared" si="726"/>
        <v>51</v>
      </c>
    </row>
    <row r="6435" spans="1:16" ht="15" hidden="1" customHeight="1">
      <c r="A6435" s="489">
        <v>62712051</v>
      </c>
      <c r="B6435" s="489">
        <v>6706</v>
      </c>
      <c r="C6435" s="488">
        <v>25000</v>
      </c>
      <c r="D6435" s="597">
        <v>46174</v>
      </c>
      <c r="E6435" s="489" t="s">
        <v>353</v>
      </c>
      <c r="F6435" s="489" t="s">
        <v>1221</v>
      </c>
      <c r="G6435" s="395">
        <f>VLOOKUP($A6435,'Tech Litons'!$A:$I,8,FALSE)</f>
        <v>8.5199999999999998E-3</v>
      </c>
      <c r="H6435" s="174">
        <f>VLOOKUP($A6435,'Tech Litons'!$A:$I,9,FALSE)</f>
        <v>156</v>
      </c>
      <c r="I6435" s="174" t="str">
        <f>VLOOKUP($A6435,'Tech Litons'!$A:$C,3,0)</f>
        <v>48oz</v>
      </c>
      <c r="J6435" s="175" t="str">
        <f t="shared" si="721"/>
        <v>670648oz</v>
      </c>
      <c r="K6435" s="176">
        <f>VLOOKUP(I6435,'Attain %'!A:B,2,0)</f>
        <v>0.94</v>
      </c>
      <c r="L6435" s="177">
        <f t="shared" si="722"/>
        <v>23500</v>
      </c>
      <c r="M6435" s="177">
        <f t="shared" si="723"/>
        <v>200.22</v>
      </c>
      <c r="N6435" s="177">
        <f t="shared" si="724"/>
        <v>150.64102564102564</v>
      </c>
      <c r="O6435" s="175" t="str">
        <f t="shared" si="725"/>
        <v>Jun</v>
      </c>
      <c r="P6435" s="265">
        <f t="shared" si="726"/>
        <v>23</v>
      </c>
    </row>
    <row r="6436" spans="1:16" ht="15" hidden="1" customHeight="1">
      <c r="A6436" s="489">
        <v>68599804</v>
      </c>
      <c r="B6436" s="489">
        <v>6706</v>
      </c>
      <c r="C6436" s="488">
        <v>25000</v>
      </c>
      <c r="D6436" s="597">
        <v>46125</v>
      </c>
      <c r="E6436" s="489" t="s">
        <v>607</v>
      </c>
      <c r="F6436" s="489" t="s">
        <v>1221</v>
      </c>
      <c r="G6436" s="395">
        <f>VLOOKUP($A6436,'Tech Litons'!$A:$I,8,FALSE)</f>
        <v>8.5199999999999998E-3</v>
      </c>
      <c r="H6436" s="174">
        <f>VLOOKUP($A6436,'Tech Litons'!$A:$I,9,FALSE)</f>
        <v>156</v>
      </c>
      <c r="I6436" s="174" t="str">
        <f>VLOOKUP($A6436,'Tech Litons'!$A:$C,3,0)</f>
        <v>48oz</v>
      </c>
      <c r="J6436" s="175" t="str">
        <f t="shared" si="721"/>
        <v>670648oz</v>
      </c>
      <c r="K6436" s="176">
        <f>VLOOKUP(I6436,'Attain %'!A:B,2,0)</f>
        <v>0.94</v>
      </c>
      <c r="L6436" s="177">
        <f t="shared" si="722"/>
        <v>23500</v>
      </c>
      <c r="M6436" s="177">
        <f t="shared" si="723"/>
        <v>200.22</v>
      </c>
      <c r="N6436" s="177">
        <f t="shared" si="724"/>
        <v>150.64102564102564</v>
      </c>
      <c r="O6436" s="175" t="str">
        <f t="shared" si="725"/>
        <v>Apr</v>
      </c>
      <c r="P6436" s="265">
        <f t="shared" si="726"/>
        <v>16</v>
      </c>
    </row>
    <row r="6437" spans="1:16" ht="15" hidden="1" customHeight="1">
      <c r="A6437" s="489">
        <v>69727314</v>
      </c>
      <c r="B6437" s="489">
        <v>1352</v>
      </c>
      <c r="C6437" s="488">
        <v>25200</v>
      </c>
      <c r="D6437" s="597">
        <v>46146</v>
      </c>
      <c r="E6437" s="489" t="s">
        <v>402</v>
      </c>
      <c r="F6437" s="489" t="s">
        <v>1217</v>
      </c>
      <c r="G6437" s="395">
        <f>VLOOKUP($A6437,'Tech Litons'!$A:$I,8,FALSE)</f>
        <v>5.2680000000000001E-3</v>
      </c>
      <c r="H6437" s="174">
        <f>VLOOKUP($A6437,'Tech Litons'!$A:$I,9,FALSE)</f>
        <v>130</v>
      </c>
      <c r="I6437" s="174" t="str">
        <f>VLOOKUP($A6437,'Tech Litons'!$A:$C,3,0)</f>
        <v>PG</v>
      </c>
      <c r="J6437" s="175" t="str">
        <f t="shared" si="721"/>
        <v>1352PG</v>
      </c>
      <c r="K6437" s="176">
        <f>VLOOKUP(I6437,'Attain %'!A:B,2,0)</f>
        <v>0.96</v>
      </c>
      <c r="L6437" s="177">
        <f t="shared" si="722"/>
        <v>24192</v>
      </c>
      <c r="M6437" s="177">
        <f t="shared" si="723"/>
        <v>127.443456</v>
      </c>
      <c r="N6437" s="177">
        <f t="shared" si="724"/>
        <v>186.09230769230768</v>
      </c>
      <c r="O6437" s="175" t="str">
        <f t="shared" si="725"/>
        <v>May</v>
      </c>
      <c r="P6437" s="265">
        <f t="shared" si="726"/>
        <v>19</v>
      </c>
    </row>
    <row r="6438" spans="1:16" ht="15" hidden="1" customHeight="1">
      <c r="A6438" s="489">
        <v>69986507</v>
      </c>
      <c r="B6438" s="489">
        <v>5914</v>
      </c>
      <c r="C6438" s="488">
        <v>25200</v>
      </c>
      <c r="D6438" s="597">
        <v>46167</v>
      </c>
      <c r="E6438" s="489" t="s">
        <v>441</v>
      </c>
      <c r="F6438" s="489" t="s">
        <v>1247</v>
      </c>
      <c r="G6438" s="395">
        <f>VLOOKUP($A6438,'Tech Litons'!$A:$I,8,FALSE)</f>
        <v>3.7839999999999996E-3</v>
      </c>
      <c r="H6438" s="174">
        <f>VLOOKUP($A6438,'Tech Litons'!$A:$I,9,FALSE)</f>
        <v>240</v>
      </c>
      <c r="I6438" s="174" t="str">
        <f>VLOOKUP($A6438,'Tech Litons'!$A:$C,3,0)</f>
        <v>BJ PTS</v>
      </c>
      <c r="J6438" s="175" t="str">
        <f t="shared" si="721"/>
        <v>5914BJ PTS</v>
      </c>
      <c r="K6438" s="176">
        <f>VLOOKUP(I6438,'Attain %'!A:B,2,0)</f>
        <v>0.95</v>
      </c>
      <c r="L6438" s="177">
        <f t="shared" si="722"/>
        <v>23940</v>
      </c>
      <c r="M6438" s="177">
        <f t="shared" si="723"/>
        <v>90.588959999999986</v>
      </c>
      <c r="N6438" s="177">
        <f t="shared" si="724"/>
        <v>99.75</v>
      </c>
      <c r="O6438" s="175" t="str">
        <f t="shared" si="725"/>
        <v>May</v>
      </c>
      <c r="P6438" s="265">
        <f t="shared" si="726"/>
        <v>22</v>
      </c>
    </row>
    <row r="6439" spans="1:16" ht="15" hidden="1" customHeight="1">
      <c r="A6439" s="489">
        <v>68842352</v>
      </c>
      <c r="B6439" s="489" t="s">
        <v>137</v>
      </c>
      <c r="C6439" s="488">
        <v>25526</v>
      </c>
      <c r="D6439" s="597">
        <v>46314</v>
      </c>
      <c r="E6439" s="489" t="s">
        <v>628</v>
      </c>
      <c r="F6439" s="489" t="s">
        <v>1223</v>
      </c>
      <c r="G6439" s="395">
        <f>VLOOKUP($A6439,'Tech Litons'!$A:$I,8,FALSE)</f>
        <v>2.6640000000000001E-3</v>
      </c>
      <c r="H6439" s="174">
        <f>VLOOKUP($A6439,'Tech Litons'!$A:$I,9,FALSE)</f>
        <v>220</v>
      </c>
      <c r="I6439" s="174" t="str">
        <f>VLOOKUP($A6439,'Tech Litons'!$A:$C,3,0)</f>
        <v>KL Mini Cones</v>
      </c>
      <c r="J6439" s="175" t="str">
        <f t="shared" si="721"/>
        <v>TurkeyKL Mini Cones</v>
      </c>
      <c r="K6439" s="176">
        <f>VLOOKUP(I6439,'Attain %'!A:B,2,0)</f>
        <v>0.96</v>
      </c>
      <c r="L6439" s="177">
        <f t="shared" si="722"/>
        <v>24504.959999999999</v>
      </c>
      <c r="M6439" s="177">
        <f t="shared" si="723"/>
        <v>65.281213440000002</v>
      </c>
      <c r="N6439" s="177">
        <f t="shared" si="724"/>
        <v>111.38618181818181</v>
      </c>
      <c r="O6439" s="175" t="str">
        <f t="shared" si="725"/>
        <v>Oct</v>
      </c>
      <c r="P6439" s="265">
        <f t="shared" si="726"/>
        <v>43</v>
      </c>
    </row>
    <row r="6440" spans="1:16" ht="15" hidden="1" customHeight="1">
      <c r="A6440" s="489">
        <v>64999042</v>
      </c>
      <c r="B6440" s="489">
        <v>1716</v>
      </c>
      <c r="C6440" s="488">
        <v>25625</v>
      </c>
      <c r="D6440" s="597">
        <v>46125</v>
      </c>
      <c r="E6440" s="489" t="s">
        <v>489</v>
      </c>
      <c r="F6440" s="489" t="s">
        <v>1221</v>
      </c>
      <c r="G6440" s="395">
        <f>VLOOKUP($A6440,'Tech Litons'!$A:$I,8,FALSE)</f>
        <v>3.3119999999999998E-3</v>
      </c>
      <c r="H6440" s="174">
        <f>VLOOKUP($A6440,'Tech Litons'!$A:$I,9,FALSE)</f>
        <v>240</v>
      </c>
      <c r="I6440" s="174" t="str">
        <f>VLOOKUP($A6440,'Tech Litons'!$A:$C,3,0)</f>
        <v>YS PTS</v>
      </c>
      <c r="J6440" s="175" t="str">
        <f t="shared" si="721"/>
        <v>1716YS PTS</v>
      </c>
      <c r="K6440" s="176">
        <f>VLOOKUP(I6440,'Attain %'!A:B,2,0)</f>
        <v>0.96</v>
      </c>
      <c r="L6440" s="177">
        <f t="shared" si="722"/>
        <v>24600</v>
      </c>
      <c r="M6440" s="177">
        <f t="shared" si="723"/>
        <v>81.475200000000001</v>
      </c>
      <c r="N6440" s="177">
        <f t="shared" si="724"/>
        <v>102.5</v>
      </c>
      <c r="O6440" s="175" t="str">
        <f t="shared" si="725"/>
        <v>Apr</v>
      </c>
      <c r="P6440" s="265">
        <f t="shared" si="726"/>
        <v>16</v>
      </c>
    </row>
    <row r="6441" spans="1:16" ht="15" hidden="1" customHeight="1">
      <c r="A6441" s="489">
        <v>64958129</v>
      </c>
      <c r="B6441" s="489">
        <v>1716</v>
      </c>
      <c r="D6441" s="597">
        <v>46111</v>
      </c>
      <c r="E6441" s="489" t="s">
        <v>589</v>
      </c>
      <c r="F6441" s="489" t="s">
        <v>1221</v>
      </c>
      <c r="G6441" s="395">
        <f>VLOOKUP($A6441,'Tech Litons'!$A:$I,8,FALSE)</f>
        <v>3.3119999999999998E-3</v>
      </c>
      <c r="H6441" s="174">
        <f>VLOOKUP($A6441,'Tech Litons'!$A:$I,9,FALSE)</f>
        <v>165</v>
      </c>
      <c r="I6441" s="174" t="str">
        <f>VLOOKUP($A6441,'Tech Litons'!$A:$C,3,0)</f>
        <v>Yasso Sticks</v>
      </c>
      <c r="J6441" s="175" t="str">
        <f t="shared" si="721"/>
        <v>1716Yasso Sticks</v>
      </c>
      <c r="K6441" s="176">
        <f>VLOOKUP(I6441,'Attain %'!A:B,2,0)</f>
        <v>0.96</v>
      </c>
      <c r="L6441" s="177">
        <f t="shared" si="722"/>
        <v>0</v>
      </c>
      <c r="M6441" s="177">
        <f t="shared" si="723"/>
        <v>0</v>
      </c>
      <c r="N6441" s="177">
        <f t="shared" si="724"/>
        <v>0</v>
      </c>
      <c r="O6441" s="175" t="str">
        <f t="shared" si="725"/>
        <v>Mar</v>
      </c>
      <c r="P6441" s="265">
        <f t="shared" si="726"/>
        <v>14</v>
      </c>
    </row>
    <row r="6442" spans="1:16" ht="15" hidden="1" customHeight="1">
      <c r="A6442" s="489">
        <v>68689251</v>
      </c>
      <c r="B6442" s="489">
        <v>1352</v>
      </c>
      <c r="C6442" s="488">
        <v>25920</v>
      </c>
      <c r="D6442" s="597">
        <v>46139</v>
      </c>
      <c r="E6442" s="489" t="s">
        <v>262</v>
      </c>
      <c r="F6442" s="489" t="s">
        <v>1214</v>
      </c>
      <c r="G6442" s="395">
        <f>VLOOKUP($A6442,'Tech Litons'!$A:$I,8,FALSE)</f>
        <v>9.5760000000000012E-3</v>
      </c>
      <c r="H6442" s="174">
        <f>VLOOKUP($A6442,'Tech Litons'!$A:$I,9,FALSE)</f>
        <v>132</v>
      </c>
      <c r="I6442" s="174" t="str">
        <f>VLOOKUP($A6442,'Tech Litons'!$A:$C,3,0)</f>
        <v>EDF</v>
      </c>
      <c r="J6442" s="175" t="str">
        <f t="shared" si="721"/>
        <v>1352EDF</v>
      </c>
      <c r="K6442" s="176">
        <f>VLOOKUP(I6442,'Attain %'!A:B,2,0)</f>
        <v>0.96</v>
      </c>
      <c r="L6442" s="177">
        <f t="shared" si="722"/>
        <v>24883.200000000001</v>
      </c>
      <c r="M6442" s="177">
        <f t="shared" si="723"/>
        <v>238.28152320000004</v>
      </c>
      <c r="N6442" s="177">
        <f t="shared" si="724"/>
        <v>188.5090909090909</v>
      </c>
      <c r="O6442" s="175" t="str">
        <f t="shared" si="725"/>
        <v>Apr</v>
      </c>
      <c r="P6442" s="265">
        <f t="shared" si="726"/>
        <v>18</v>
      </c>
    </row>
    <row r="6443" spans="1:16" ht="15" hidden="1" customHeight="1">
      <c r="A6443" s="489">
        <v>68689251</v>
      </c>
      <c r="B6443" s="489">
        <v>1352</v>
      </c>
      <c r="C6443" s="488">
        <v>25920</v>
      </c>
      <c r="D6443" s="597">
        <v>46132</v>
      </c>
      <c r="E6443" s="489" t="s">
        <v>262</v>
      </c>
      <c r="F6443" s="489" t="s">
        <v>1210</v>
      </c>
      <c r="G6443" s="395">
        <f>VLOOKUP($A6443,'Tech Litons'!$A:$I,8,FALSE)</f>
        <v>9.5760000000000012E-3</v>
      </c>
      <c r="H6443" s="174">
        <f>VLOOKUP($A6443,'Tech Litons'!$A:$I,9,FALSE)</f>
        <v>132</v>
      </c>
      <c r="I6443" s="174" t="str">
        <f>VLOOKUP($A6443,'Tech Litons'!$A:$C,3,0)</f>
        <v>EDF</v>
      </c>
      <c r="J6443" s="175" t="str">
        <f t="shared" si="721"/>
        <v>1352EDF</v>
      </c>
      <c r="K6443" s="176">
        <f>VLOOKUP(I6443,'Attain %'!A:B,2,0)</f>
        <v>0.96</v>
      </c>
      <c r="L6443" s="177">
        <f t="shared" si="722"/>
        <v>24883.200000000001</v>
      </c>
      <c r="M6443" s="177">
        <f t="shared" si="723"/>
        <v>238.28152320000004</v>
      </c>
      <c r="N6443" s="177">
        <f t="shared" si="724"/>
        <v>188.5090909090909</v>
      </c>
      <c r="O6443" s="175" t="str">
        <f t="shared" si="725"/>
        <v>Apr</v>
      </c>
      <c r="P6443" s="265">
        <f t="shared" si="726"/>
        <v>17</v>
      </c>
    </row>
    <row r="6444" spans="1:16" ht="15" hidden="1" customHeight="1">
      <c r="A6444" s="489">
        <v>68689251</v>
      </c>
      <c r="B6444" s="489">
        <v>1352</v>
      </c>
      <c r="C6444" s="488">
        <v>25920</v>
      </c>
      <c r="D6444" s="597">
        <v>46146</v>
      </c>
      <c r="E6444" s="489" t="s">
        <v>262</v>
      </c>
      <c r="F6444" s="489" t="s">
        <v>1210</v>
      </c>
      <c r="G6444" s="395">
        <f>VLOOKUP($A6444,'Tech Litons'!$A:$I,8,FALSE)</f>
        <v>9.5760000000000012E-3</v>
      </c>
      <c r="H6444" s="174">
        <f>VLOOKUP($A6444,'Tech Litons'!$A:$I,9,FALSE)</f>
        <v>132</v>
      </c>
      <c r="I6444" s="174" t="str">
        <f>VLOOKUP($A6444,'Tech Litons'!$A:$C,3,0)</f>
        <v>EDF</v>
      </c>
      <c r="J6444" s="175" t="str">
        <f t="shared" si="721"/>
        <v>1352EDF</v>
      </c>
      <c r="K6444" s="176">
        <f>VLOOKUP(I6444,'Attain %'!A:B,2,0)</f>
        <v>0.96</v>
      </c>
      <c r="L6444" s="177">
        <f t="shared" si="722"/>
        <v>24883.200000000001</v>
      </c>
      <c r="M6444" s="177">
        <f t="shared" si="723"/>
        <v>238.28152320000004</v>
      </c>
      <c r="N6444" s="177">
        <f t="shared" si="724"/>
        <v>188.5090909090909</v>
      </c>
      <c r="O6444" s="175" t="str">
        <f t="shared" si="725"/>
        <v>May</v>
      </c>
      <c r="P6444" s="265">
        <f t="shared" si="726"/>
        <v>19</v>
      </c>
    </row>
    <row r="6445" spans="1:16" ht="15" hidden="1" customHeight="1">
      <c r="A6445" s="489">
        <v>68850684</v>
      </c>
      <c r="B6445" s="489">
        <v>1352</v>
      </c>
      <c r="C6445" s="488">
        <v>49350</v>
      </c>
      <c r="D6445" s="597">
        <v>46111</v>
      </c>
      <c r="E6445" s="489" t="s">
        <v>381</v>
      </c>
      <c r="F6445" s="489" t="s">
        <v>1209</v>
      </c>
      <c r="G6445" s="395">
        <f>VLOOKUP($A6445,'Tech Litons'!$A:$I,8,FALSE)</f>
        <v>8.5199999999999998E-3</v>
      </c>
      <c r="H6445" s="174">
        <f>VLOOKUP($A6445,'Tech Litons'!$A:$I,9,FALSE)</f>
        <v>176</v>
      </c>
      <c r="I6445" s="174" t="str">
        <f>VLOOKUP($A6445,'Tech Litons'!$A:$C,3,0)</f>
        <v>48oz</v>
      </c>
      <c r="J6445" s="175" t="str">
        <f t="shared" si="721"/>
        <v>135248oz</v>
      </c>
      <c r="K6445" s="176">
        <f>VLOOKUP(I6445,'Attain %'!A:B,2,0)</f>
        <v>0.94</v>
      </c>
      <c r="L6445" s="177">
        <f t="shared" si="722"/>
        <v>46389</v>
      </c>
      <c r="M6445" s="177">
        <f t="shared" si="723"/>
        <v>395.23428000000001</v>
      </c>
      <c r="N6445" s="177">
        <f t="shared" si="724"/>
        <v>263.57386363636363</v>
      </c>
      <c r="O6445" s="175" t="str">
        <f t="shared" si="725"/>
        <v>Mar</v>
      </c>
      <c r="P6445" s="265">
        <f t="shared" si="726"/>
        <v>14</v>
      </c>
    </row>
    <row r="6446" spans="1:16" ht="15" hidden="1" customHeight="1">
      <c r="A6446" s="489">
        <v>64955741</v>
      </c>
      <c r="B6446" s="489">
        <v>1715</v>
      </c>
      <c r="C6446" s="488">
        <v>26000</v>
      </c>
      <c r="D6446" s="597">
        <v>46153</v>
      </c>
      <c r="E6446" s="489" t="s">
        <v>584</v>
      </c>
      <c r="F6446" s="489" t="s">
        <v>1221</v>
      </c>
      <c r="G6446" s="395">
        <f>VLOOKUP($A6446,'Tech Litons'!$A:$I,8,FALSE)</f>
        <v>3.3119999999999998E-3</v>
      </c>
      <c r="H6446" s="174">
        <f>VLOOKUP($A6446,'Tech Litons'!$A:$I,9,FALSE)</f>
        <v>165</v>
      </c>
      <c r="I6446" s="174" t="str">
        <f>VLOOKUP($A6446,'Tech Litons'!$A:$C,3,0)</f>
        <v>Yasso Sticks</v>
      </c>
      <c r="J6446" s="175" t="str">
        <f t="shared" si="721"/>
        <v>1715Yasso Sticks</v>
      </c>
      <c r="K6446" s="176">
        <f>VLOOKUP(I6446,'Attain %'!A:B,2,0)</f>
        <v>0.96</v>
      </c>
      <c r="L6446" s="177">
        <f t="shared" si="722"/>
        <v>24960</v>
      </c>
      <c r="M6446" s="177">
        <f t="shared" si="723"/>
        <v>82.667519999999996</v>
      </c>
      <c r="N6446" s="177">
        <f t="shared" si="724"/>
        <v>151.27272727272728</v>
      </c>
      <c r="O6446" s="175" t="str">
        <f t="shared" si="725"/>
        <v>May</v>
      </c>
      <c r="P6446" s="265">
        <f t="shared" si="726"/>
        <v>20</v>
      </c>
    </row>
    <row r="6447" spans="1:16" ht="15" hidden="1" customHeight="1">
      <c r="A6447" s="489">
        <v>64958122</v>
      </c>
      <c r="B6447" s="489">
        <v>1717</v>
      </c>
      <c r="C6447" s="488">
        <v>26000</v>
      </c>
      <c r="D6447" s="597">
        <v>46188</v>
      </c>
      <c r="E6447" s="489" t="s">
        <v>236</v>
      </c>
      <c r="F6447" s="489" t="s">
        <v>1221</v>
      </c>
      <c r="G6447" s="395">
        <f>VLOOKUP($A6447,'Tech Litons'!$A:$I,8,FALSE)</f>
        <v>3.3119999999999998E-3</v>
      </c>
      <c r="H6447" s="174">
        <f>VLOOKUP($A6447,'Tech Litons'!$A:$I,9,FALSE)</f>
        <v>165</v>
      </c>
      <c r="I6447" s="174" t="str">
        <f>VLOOKUP($A6447,'Tech Litons'!$A:$C,3,0)</f>
        <v>Yasso Sticks</v>
      </c>
      <c r="J6447" s="175" t="str">
        <f t="shared" si="721"/>
        <v>1717Yasso Sticks</v>
      </c>
      <c r="K6447" s="176">
        <f>VLOOKUP(I6447,'Attain %'!A:B,2,0)</f>
        <v>0.96</v>
      </c>
      <c r="L6447" s="177">
        <f t="shared" si="722"/>
        <v>24960</v>
      </c>
      <c r="M6447" s="177">
        <f t="shared" si="723"/>
        <v>82.667519999999996</v>
      </c>
      <c r="N6447" s="177">
        <f t="shared" si="724"/>
        <v>151.27272727272728</v>
      </c>
      <c r="O6447" s="175" t="str">
        <f t="shared" si="725"/>
        <v>Jun</v>
      </c>
      <c r="P6447" s="265">
        <f t="shared" si="726"/>
        <v>25</v>
      </c>
    </row>
    <row r="6448" spans="1:16" ht="15" hidden="1" customHeight="1">
      <c r="A6448" s="489">
        <v>64976846</v>
      </c>
      <c r="B6448" s="489">
        <v>1717</v>
      </c>
      <c r="C6448" s="488">
        <v>26000</v>
      </c>
      <c r="D6448" s="597">
        <v>46188</v>
      </c>
      <c r="E6448" s="489" t="s">
        <v>603</v>
      </c>
      <c r="F6448" s="489" t="s">
        <v>1221</v>
      </c>
      <c r="G6448" s="395">
        <f>VLOOKUP($A6448,'Tech Litons'!$A:$I,8,FALSE)</f>
        <v>2.5040000000000001E-3</v>
      </c>
      <c r="H6448" s="174">
        <f>VLOOKUP($A6448,'Tech Litons'!$A:$I,9,FALSE)</f>
        <v>165</v>
      </c>
      <c r="I6448" s="174" t="str">
        <f>VLOOKUP($A6448,'Tech Litons'!$A:$C,3,0)</f>
        <v>Yasso Sticks</v>
      </c>
      <c r="J6448" s="175" t="str">
        <f t="shared" si="721"/>
        <v>1717Yasso Sticks</v>
      </c>
      <c r="K6448" s="176">
        <f>VLOOKUP(I6448,'Attain %'!A:B,2,0)</f>
        <v>0.96</v>
      </c>
      <c r="L6448" s="177">
        <f t="shared" si="722"/>
        <v>24960</v>
      </c>
      <c r="M6448" s="177">
        <f t="shared" si="723"/>
        <v>62.499840000000006</v>
      </c>
      <c r="N6448" s="177">
        <f t="shared" si="724"/>
        <v>151.27272727272728</v>
      </c>
      <c r="O6448" s="175" t="str">
        <f t="shared" si="725"/>
        <v>Jun</v>
      </c>
      <c r="P6448" s="265">
        <f t="shared" si="726"/>
        <v>25</v>
      </c>
    </row>
    <row r="6449" spans="1:16" ht="15" hidden="1" customHeight="1">
      <c r="A6449" s="489">
        <v>64976846</v>
      </c>
      <c r="B6449" s="489">
        <v>1717</v>
      </c>
      <c r="C6449" s="488">
        <v>26000</v>
      </c>
      <c r="D6449" s="597">
        <v>46251</v>
      </c>
      <c r="E6449" s="489" t="s">
        <v>603</v>
      </c>
      <c r="F6449" s="489" t="s">
        <v>1221</v>
      </c>
      <c r="G6449" s="395">
        <f>VLOOKUP($A6449,'Tech Litons'!$A:$I,8,FALSE)</f>
        <v>2.5040000000000001E-3</v>
      </c>
      <c r="H6449" s="174">
        <f>VLOOKUP($A6449,'Tech Litons'!$A:$I,9,FALSE)</f>
        <v>165</v>
      </c>
      <c r="I6449" s="174" t="str">
        <f>VLOOKUP($A6449,'Tech Litons'!$A:$C,3,0)</f>
        <v>Yasso Sticks</v>
      </c>
      <c r="J6449" s="175" t="str">
        <f t="shared" si="721"/>
        <v>1717Yasso Sticks</v>
      </c>
      <c r="K6449" s="176">
        <f>VLOOKUP(I6449,'Attain %'!A:B,2,0)</f>
        <v>0.96</v>
      </c>
      <c r="L6449" s="177">
        <f t="shared" si="722"/>
        <v>24960</v>
      </c>
      <c r="M6449" s="177">
        <f t="shared" si="723"/>
        <v>62.499840000000006</v>
      </c>
      <c r="N6449" s="177">
        <f t="shared" si="724"/>
        <v>151.27272727272728</v>
      </c>
      <c r="O6449" s="175" t="str">
        <f t="shared" si="725"/>
        <v>Aug</v>
      </c>
      <c r="P6449" s="265">
        <f t="shared" si="726"/>
        <v>34</v>
      </c>
    </row>
    <row r="6450" spans="1:16" ht="15" hidden="1" customHeight="1">
      <c r="A6450" s="489">
        <v>64976847</v>
      </c>
      <c r="B6450" s="489">
        <v>1717</v>
      </c>
      <c r="C6450" s="488">
        <v>26000</v>
      </c>
      <c r="D6450" s="597">
        <v>46188</v>
      </c>
      <c r="E6450" s="489" t="s">
        <v>590</v>
      </c>
      <c r="F6450" s="489" t="s">
        <v>1221</v>
      </c>
      <c r="G6450" s="395">
        <f>VLOOKUP($A6450,'Tech Litons'!$A:$I,8,FALSE)</f>
        <v>2.5040000000000001E-3</v>
      </c>
      <c r="H6450" s="174">
        <f>VLOOKUP($A6450,'Tech Litons'!$A:$I,9,FALSE)</f>
        <v>165</v>
      </c>
      <c r="I6450" s="174" t="str">
        <f>VLOOKUP($A6450,'Tech Litons'!$A:$C,3,0)</f>
        <v>Yasso Sticks</v>
      </c>
      <c r="J6450" s="175" t="str">
        <f t="shared" si="721"/>
        <v>1717Yasso Sticks</v>
      </c>
      <c r="K6450" s="176">
        <f>VLOOKUP(I6450,'Attain %'!A:B,2,0)</f>
        <v>0.96</v>
      </c>
      <c r="L6450" s="177">
        <f t="shared" si="722"/>
        <v>24960</v>
      </c>
      <c r="M6450" s="177">
        <f t="shared" si="723"/>
        <v>62.499840000000006</v>
      </c>
      <c r="N6450" s="177">
        <f t="shared" si="724"/>
        <v>151.27272727272728</v>
      </c>
      <c r="O6450" s="175" t="str">
        <f t="shared" si="725"/>
        <v>Jun</v>
      </c>
      <c r="P6450" s="265">
        <f t="shared" si="726"/>
        <v>25</v>
      </c>
    </row>
    <row r="6451" spans="1:16" ht="15" hidden="1" customHeight="1">
      <c r="A6451" s="489">
        <v>64976847</v>
      </c>
      <c r="B6451" s="489">
        <v>1717</v>
      </c>
      <c r="C6451" s="488">
        <v>26000</v>
      </c>
      <c r="D6451" s="597">
        <v>46216</v>
      </c>
      <c r="E6451" s="489" t="s">
        <v>590</v>
      </c>
      <c r="F6451" s="489" t="s">
        <v>1221</v>
      </c>
      <c r="G6451" s="395">
        <f>VLOOKUP($A6451,'Tech Litons'!$A:$I,8,FALSE)</f>
        <v>2.5040000000000001E-3</v>
      </c>
      <c r="H6451" s="174">
        <f>VLOOKUP($A6451,'Tech Litons'!$A:$I,9,FALSE)</f>
        <v>165</v>
      </c>
      <c r="I6451" s="174" t="str">
        <f>VLOOKUP($A6451,'Tech Litons'!$A:$C,3,0)</f>
        <v>Yasso Sticks</v>
      </c>
      <c r="J6451" s="175" t="str">
        <f t="shared" si="721"/>
        <v>1717Yasso Sticks</v>
      </c>
      <c r="K6451" s="176">
        <f>VLOOKUP(I6451,'Attain %'!A:B,2,0)</f>
        <v>0.96</v>
      </c>
      <c r="L6451" s="177">
        <f t="shared" si="722"/>
        <v>24960</v>
      </c>
      <c r="M6451" s="177">
        <f t="shared" si="723"/>
        <v>62.499840000000006</v>
      </c>
      <c r="N6451" s="177">
        <f t="shared" si="724"/>
        <v>151.27272727272728</v>
      </c>
      <c r="O6451" s="175" t="str">
        <f t="shared" si="725"/>
        <v>Jul</v>
      </c>
      <c r="P6451" s="265">
        <f t="shared" si="726"/>
        <v>29</v>
      </c>
    </row>
    <row r="6452" spans="1:16" ht="15" hidden="1" customHeight="1">
      <c r="A6452" s="489">
        <v>64976850</v>
      </c>
      <c r="B6452" s="489">
        <v>1717</v>
      </c>
      <c r="C6452" s="488">
        <v>26000</v>
      </c>
      <c r="D6452" s="597">
        <v>46188</v>
      </c>
      <c r="E6452" s="489" t="s">
        <v>591</v>
      </c>
      <c r="F6452" s="489" t="s">
        <v>1221</v>
      </c>
      <c r="G6452" s="395">
        <f>VLOOKUP($A6452,'Tech Litons'!$A:$I,8,FALSE)</f>
        <v>2.5040000000000001E-3</v>
      </c>
      <c r="H6452" s="174">
        <f>VLOOKUP($A6452,'Tech Litons'!$A:$I,9,FALSE)</f>
        <v>165</v>
      </c>
      <c r="I6452" s="174" t="str">
        <f>VLOOKUP($A6452,'Tech Litons'!$A:$C,3,0)</f>
        <v>Yasso Sticks</v>
      </c>
      <c r="J6452" s="175" t="str">
        <f t="shared" si="721"/>
        <v>1717Yasso Sticks</v>
      </c>
      <c r="K6452" s="176">
        <f>VLOOKUP(I6452,'Attain %'!A:B,2,0)</f>
        <v>0.96</v>
      </c>
      <c r="L6452" s="177">
        <f t="shared" si="722"/>
        <v>24960</v>
      </c>
      <c r="M6452" s="177">
        <f t="shared" si="723"/>
        <v>62.499840000000006</v>
      </c>
      <c r="N6452" s="177">
        <f t="shared" si="724"/>
        <v>151.27272727272728</v>
      </c>
      <c r="O6452" s="175" t="str">
        <f t="shared" si="725"/>
        <v>Jun</v>
      </c>
      <c r="P6452" s="265">
        <f t="shared" si="726"/>
        <v>25</v>
      </c>
    </row>
    <row r="6453" spans="1:16" ht="15" hidden="1" customHeight="1">
      <c r="A6453" s="489">
        <v>64976850</v>
      </c>
      <c r="B6453" s="489">
        <v>1717</v>
      </c>
      <c r="C6453" s="488">
        <v>26000</v>
      </c>
      <c r="D6453" s="597">
        <v>46279</v>
      </c>
      <c r="E6453" s="489" t="s">
        <v>591</v>
      </c>
      <c r="F6453" s="489" t="s">
        <v>1221</v>
      </c>
      <c r="G6453" s="395">
        <f>VLOOKUP($A6453,'Tech Litons'!$A:$I,8,FALSE)</f>
        <v>2.5040000000000001E-3</v>
      </c>
      <c r="H6453" s="174">
        <f>VLOOKUP($A6453,'Tech Litons'!$A:$I,9,FALSE)</f>
        <v>165</v>
      </c>
      <c r="I6453" s="174" t="str">
        <f>VLOOKUP($A6453,'Tech Litons'!$A:$C,3,0)</f>
        <v>Yasso Sticks</v>
      </c>
      <c r="J6453" s="175" t="str">
        <f t="shared" si="721"/>
        <v>1717Yasso Sticks</v>
      </c>
      <c r="K6453" s="176">
        <f>VLOOKUP(I6453,'Attain %'!A:B,2,0)</f>
        <v>0.96</v>
      </c>
      <c r="L6453" s="177">
        <f t="shared" si="722"/>
        <v>24960</v>
      </c>
      <c r="M6453" s="177">
        <f t="shared" si="723"/>
        <v>62.499840000000006</v>
      </c>
      <c r="N6453" s="177">
        <f t="shared" si="724"/>
        <v>151.27272727272728</v>
      </c>
      <c r="O6453" s="175" t="str">
        <f t="shared" si="725"/>
        <v>Sep</v>
      </c>
      <c r="P6453" s="265">
        <f t="shared" si="726"/>
        <v>38</v>
      </c>
    </row>
    <row r="6454" spans="1:16" ht="15" hidden="1" customHeight="1">
      <c r="A6454" s="489">
        <v>64976850</v>
      </c>
      <c r="B6454" s="489">
        <v>1717</v>
      </c>
      <c r="C6454" s="488">
        <v>26000</v>
      </c>
      <c r="D6454" s="597">
        <v>46370</v>
      </c>
      <c r="E6454" s="489" t="s">
        <v>591</v>
      </c>
      <c r="F6454" s="489" t="s">
        <v>1221</v>
      </c>
      <c r="G6454" s="395">
        <f>VLOOKUP($A6454,'Tech Litons'!$A:$I,8,FALSE)</f>
        <v>2.5040000000000001E-3</v>
      </c>
      <c r="H6454" s="174">
        <f>VLOOKUP($A6454,'Tech Litons'!$A:$I,9,FALSE)</f>
        <v>165</v>
      </c>
      <c r="I6454" s="174" t="str">
        <f>VLOOKUP($A6454,'Tech Litons'!$A:$C,3,0)</f>
        <v>Yasso Sticks</v>
      </c>
      <c r="J6454" s="175" t="str">
        <f t="shared" si="721"/>
        <v>1717Yasso Sticks</v>
      </c>
      <c r="K6454" s="176">
        <f>VLOOKUP(I6454,'Attain %'!A:B,2,0)</f>
        <v>0.96</v>
      </c>
      <c r="L6454" s="177">
        <f t="shared" si="722"/>
        <v>24960</v>
      </c>
      <c r="M6454" s="177">
        <f t="shared" si="723"/>
        <v>62.499840000000006</v>
      </c>
      <c r="N6454" s="177">
        <f t="shared" si="724"/>
        <v>151.27272727272728</v>
      </c>
      <c r="O6454" s="175" t="str">
        <f t="shared" si="725"/>
        <v>Dec</v>
      </c>
      <c r="P6454" s="265">
        <f t="shared" si="726"/>
        <v>51</v>
      </c>
    </row>
    <row r="6455" spans="1:16" ht="15" hidden="1" customHeight="1">
      <c r="A6455" s="489">
        <v>64976851</v>
      </c>
      <c r="B6455" s="489">
        <v>1717</v>
      </c>
      <c r="C6455" s="488">
        <v>26000</v>
      </c>
      <c r="D6455" s="597">
        <v>46370</v>
      </c>
      <c r="E6455" s="489" t="s">
        <v>592</v>
      </c>
      <c r="F6455" s="489" t="s">
        <v>1221</v>
      </c>
      <c r="G6455" s="395">
        <f>VLOOKUP($A6455,'Tech Litons'!$A:$I,8,FALSE)</f>
        <v>2.5040000000000001E-3</v>
      </c>
      <c r="H6455" s="174">
        <f>VLOOKUP($A6455,'Tech Litons'!$A:$I,9,FALSE)</f>
        <v>165</v>
      </c>
      <c r="I6455" s="174" t="str">
        <f>VLOOKUP($A6455,'Tech Litons'!$A:$C,3,0)</f>
        <v>Yasso Sticks</v>
      </c>
      <c r="J6455" s="175" t="str">
        <f t="shared" si="721"/>
        <v>1717Yasso Sticks</v>
      </c>
      <c r="K6455" s="176">
        <f>VLOOKUP(I6455,'Attain %'!A:B,2,0)</f>
        <v>0.96</v>
      </c>
      <c r="L6455" s="177">
        <f t="shared" si="722"/>
        <v>24960</v>
      </c>
      <c r="M6455" s="177">
        <f t="shared" si="723"/>
        <v>62.499840000000006</v>
      </c>
      <c r="N6455" s="177">
        <f t="shared" si="724"/>
        <v>151.27272727272728</v>
      </c>
      <c r="O6455" s="175" t="str">
        <f t="shared" si="725"/>
        <v>Dec</v>
      </c>
      <c r="P6455" s="265">
        <f t="shared" si="726"/>
        <v>51</v>
      </c>
    </row>
    <row r="6456" spans="1:16" ht="15" hidden="1" customHeight="1">
      <c r="A6456" s="489">
        <v>64833353</v>
      </c>
      <c r="B6456" s="489" t="s">
        <v>133</v>
      </c>
      <c r="C6456" s="488">
        <v>26000</v>
      </c>
      <c r="D6456" s="597">
        <v>46118</v>
      </c>
      <c r="E6456" s="489" t="s">
        <v>358</v>
      </c>
      <c r="F6456" s="489" t="s">
        <v>1223</v>
      </c>
      <c r="G6456" s="395">
        <f>VLOOKUP($A6456,'Tech Litons'!$A:$I,8,FALSE)</f>
        <v>5.28E-3</v>
      </c>
      <c r="H6456" s="174">
        <f>VLOOKUP($A6456,'Tech Litons'!$A:$I,9,FALSE)</f>
        <v>130</v>
      </c>
      <c r="I6456" s="174" t="str">
        <f>VLOOKUP($A6456,'Tech Litons'!$A:$C,3,0)</f>
        <v>PG</v>
      </c>
      <c r="J6456" s="175" t="str">
        <f t="shared" ref="J6456:J6519" si="727">B6456&amp;I6456</f>
        <v>GDIPG</v>
      </c>
      <c r="K6456" s="176">
        <f>VLOOKUP(I6456,'Attain %'!A:B,2,0)</f>
        <v>0.96</v>
      </c>
      <c r="L6456" s="177">
        <f t="shared" ref="L6456:L6519" si="728">C6456*$K6456</f>
        <v>24960</v>
      </c>
      <c r="M6456" s="177">
        <f t="shared" ref="M6456:M6519" si="729">L6456*G6456</f>
        <v>131.78880000000001</v>
      </c>
      <c r="N6456" s="177">
        <f t="shared" ref="N6456:N6519" si="730">L6456/H6456</f>
        <v>192</v>
      </c>
      <c r="O6456" s="175" t="str">
        <f t="shared" ref="O6456:O6519" si="731">TEXT(D6456,"MMM")</f>
        <v>Apr</v>
      </c>
      <c r="P6456" s="265">
        <f t="shared" ref="P6456:P6519" si="732">WEEKNUM(D6456)</f>
        <v>15</v>
      </c>
    </row>
    <row r="6457" spans="1:16" ht="15" hidden="1" customHeight="1">
      <c r="A6457" s="489">
        <v>64833353</v>
      </c>
      <c r="B6457" s="489" t="s">
        <v>133</v>
      </c>
      <c r="C6457" s="488">
        <v>26000</v>
      </c>
      <c r="D6457" s="597">
        <v>46125</v>
      </c>
      <c r="E6457" s="489" t="s">
        <v>358</v>
      </c>
      <c r="F6457" s="489" t="s">
        <v>1223</v>
      </c>
      <c r="G6457" s="395">
        <f>VLOOKUP($A6457,'Tech Litons'!$A:$I,8,FALSE)</f>
        <v>5.28E-3</v>
      </c>
      <c r="H6457" s="174">
        <f>VLOOKUP($A6457,'Tech Litons'!$A:$I,9,FALSE)</f>
        <v>130</v>
      </c>
      <c r="I6457" s="174" t="str">
        <f>VLOOKUP($A6457,'Tech Litons'!$A:$C,3,0)</f>
        <v>PG</v>
      </c>
      <c r="J6457" s="175" t="str">
        <f t="shared" si="727"/>
        <v>GDIPG</v>
      </c>
      <c r="K6457" s="176">
        <f>VLOOKUP(I6457,'Attain %'!A:B,2,0)</f>
        <v>0.96</v>
      </c>
      <c r="L6457" s="177">
        <f t="shared" si="728"/>
        <v>24960</v>
      </c>
      <c r="M6457" s="177">
        <f t="shared" si="729"/>
        <v>131.78880000000001</v>
      </c>
      <c r="N6457" s="177">
        <f t="shared" si="730"/>
        <v>192</v>
      </c>
      <c r="O6457" s="175" t="str">
        <f t="shared" si="731"/>
        <v>Apr</v>
      </c>
      <c r="P6457" s="265">
        <f t="shared" si="732"/>
        <v>16</v>
      </c>
    </row>
    <row r="6458" spans="1:16" ht="15" hidden="1" customHeight="1">
      <c r="A6458" s="489">
        <v>64776958</v>
      </c>
      <c r="B6458" s="489" t="s">
        <v>133</v>
      </c>
      <c r="C6458" s="488">
        <v>26008</v>
      </c>
      <c r="D6458" s="597">
        <v>46167</v>
      </c>
      <c r="E6458" s="489" t="s">
        <v>292</v>
      </c>
      <c r="F6458" s="489" t="s">
        <v>1223</v>
      </c>
      <c r="G6458" s="395">
        <f>VLOOKUP($A6458,'Tech Litons'!$A:$I,8,FALSE)</f>
        <v>5.2680000000000001E-3</v>
      </c>
      <c r="H6458" s="174">
        <f>VLOOKUP($A6458,'Tech Litons'!$A:$I,9,FALSE)</f>
        <v>130</v>
      </c>
      <c r="I6458" s="174" t="str">
        <f>VLOOKUP($A6458,'Tech Litons'!$A:$C,3,0)</f>
        <v>PG</v>
      </c>
      <c r="J6458" s="175" t="str">
        <f t="shared" si="727"/>
        <v>GDIPG</v>
      </c>
      <c r="K6458" s="176">
        <f>VLOOKUP(I6458,'Attain %'!A:B,2,0)</f>
        <v>0.96</v>
      </c>
      <c r="L6458" s="177">
        <f t="shared" si="728"/>
        <v>24967.68</v>
      </c>
      <c r="M6458" s="177">
        <f t="shared" si="729"/>
        <v>131.52973824</v>
      </c>
      <c r="N6458" s="177">
        <f t="shared" si="730"/>
        <v>192.05907692307693</v>
      </c>
      <c r="O6458" s="175" t="str">
        <f t="shared" si="731"/>
        <v>May</v>
      </c>
      <c r="P6458" s="265">
        <f t="shared" si="732"/>
        <v>22</v>
      </c>
    </row>
    <row r="6459" spans="1:16" ht="15" hidden="1" customHeight="1">
      <c r="A6459" s="489">
        <v>64328806</v>
      </c>
      <c r="B6459" s="489">
        <v>1712</v>
      </c>
      <c r="C6459" s="488">
        <v>26112</v>
      </c>
      <c r="D6459" s="597">
        <v>46104</v>
      </c>
      <c r="E6459" s="489" t="s">
        <v>324</v>
      </c>
      <c r="F6459" s="489" t="s">
        <v>1221</v>
      </c>
      <c r="G6459" s="395">
        <f>VLOOKUP($A6459,'Tech Litons'!$A:$I,8,FALSE)</f>
        <v>2.8380000000000002E-3</v>
      </c>
      <c r="H6459" s="174">
        <f>VLOOKUP($A6459,'Tech Litons'!$A:$I,9,FALSE)</f>
        <v>189</v>
      </c>
      <c r="I6459" s="174" t="str">
        <f>VLOOKUP($A6459,'Tech Litons'!$A:$C,3,0)</f>
        <v>ESS</v>
      </c>
      <c r="J6459" s="175" t="str">
        <f t="shared" si="727"/>
        <v>1712ESS</v>
      </c>
      <c r="K6459" s="176">
        <f>VLOOKUP(I6459,'Attain %'!A:B,2,0)</f>
        <v>0.96</v>
      </c>
      <c r="L6459" s="177">
        <f t="shared" si="728"/>
        <v>25067.52</v>
      </c>
      <c r="M6459" s="177">
        <f t="shared" si="729"/>
        <v>71.141621760000007</v>
      </c>
      <c r="N6459" s="177">
        <f t="shared" si="730"/>
        <v>132.63238095238094</v>
      </c>
      <c r="O6459" s="175" t="str">
        <f t="shared" si="731"/>
        <v>Mar</v>
      </c>
      <c r="P6459" s="265">
        <f t="shared" si="732"/>
        <v>13</v>
      </c>
    </row>
    <row r="6460" spans="1:16" ht="15" hidden="1" customHeight="1">
      <c r="A6460" s="489">
        <v>64955558</v>
      </c>
      <c r="B6460" s="489">
        <v>1715</v>
      </c>
      <c r="C6460" s="488">
        <v>26250</v>
      </c>
      <c r="D6460" s="597">
        <v>46146</v>
      </c>
      <c r="E6460" s="489" t="s">
        <v>581</v>
      </c>
      <c r="F6460" s="489" t="s">
        <v>1221</v>
      </c>
      <c r="G6460" s="395">
        <f>VLOOKUP($A6460,'Tech Litons'!$A:$I,8,FALSE)</f>
        <v>3.3119999999999998E-3</v>
      </c>
      <c r="H6460" s="174">
        <f>VLOOKUP($A6460,'Tech Litons'!$A:$I,9,FALSE)</f>
        <v>165</v>
      </c>
      <c r="I6460" s="174" t="str">
        <f>VLOOKUP($A6460,'Tech Litons'!$A:$C,3,0)</f>
        <v>Yasso Sticks</v>
      </c>
      <c r="J6460" s="175" t="str">
        <f t="shared" si="727"/>
        <v>1715Yasso Sticks</v>
      </c>
      <c r="K6460" s="176">
        <f>VLOOKUP(I6460,'Attain %'!A:B,2,0)</f>
        <v>0.96</v>
      </c>
      <c r="L6460" s="177">
        <f t="shared" si="728"/>
        <v>25200</v>
      </c>
      <c r="M6460" s="177">
        <f t="shared" si="729"/>
        <v>83.462400000000002</v>
      </c>
      <c r="N6460" s="177">
        <f t="shared" si="730"/>
        <v>152.72727272727272</v>
      </c>
      <c r="O6460" s="175" t="str">
        <f t="shared" si="731"/>
        <v>May</v>
      </c>
      <c r="P6460" s="265">
        <f t="shared" si="732"/>
        <v>19</v>
      </c>
    </row>
    <row r="6461" spans="1:16" ht="15" hidden="1" customHeight="1">
      <c r="A6461" s="489">
        <v>64955558</v>
      </c>
      <c r="B6461" s="489">
        <v>1715</v>
      </c>
      <c r="C6461" s="488">
        <v>26250</v>
      </c>
      <c r="D6461" s="597">
        <v>46167</v>
      </c>
      <c r="E6461" s="489" t="s">
        <v>581</v>
      </c>
      <c r="F6461" s="489" t="s">
        <v>1221</v>
      </c>
      <c r="G6461" s="395">
        <f>VLOOKUP($A6461,'Tech Litons'!$A:$I,8,FALSE)</f>
        <v>3.3119999999999998E-3</v>
      </c>
      <c r="H6461" s="174">
        <f>VLOOKUP($A6461,'Tech Litons'!$A:$I,9,FALSE)</f>
        <v>165</v>
      </c>
      <c r="I6461" s="174" t="str">
        <f>VLOOKUP($A6461,'Tech Litons'!$A:$C,3,0)</f>
        <v>Yasso Sticks</v>
      </c>
      <c r="J6461" s="175" t="str">
        <f t="shared" si="727"/>
        <v>1715Yasso Sticks</v>
      </c>
      <c r="K6461" s="176">
        <f>VLOOKUP(I6461,'Attain %'!A:B,2,0)</f>
        <v>0.96</v>
      </c>
      <c r="L6461" s="177">
        <f t="shared" si="728"/>
        <v>25200</v>
      </c>
      <c r="M6461" s="177">
        <f t="shared" si="729"/>
        <v>83.462400000000002</v>
      </c>
      <c r="N6461" s="177">
        <f t="shared" si="730"/>
        <v>152.72727272727272</v>
      </c>
      <c r="O6461" s="175" t="str">
        <f t="shared" si="731"/>
        <v>May</v>
      </c>
      <c r="P6461" s="265">
        <f t="shared" si="732"/>
        <v>22</v>
      </c>
    </row>
    <row r="6462" spans="1:16" ht="15" hidden="1" customHeight="1">
      <c r="A6462" s="489">
        <v>64955558</v>
      </c>
      <c r="B6462" s="489">
        <v>1715</v>
      </c>
      <c r="C6462" s="488">
        <v>26250</v>
      </c>
      <c r="D6462" s="597">
        <v>46209</v>
      </c>
      <c r="E6462" s="489" t="s">
        <v>581</v>
      </c>
      <c r="F6462" s="489" t="s">
        <v>1221</v>
      </c>
      <c r="G6462" s="395">
        <f>VLOOKUP($A6462,'Tech Litons'!$A:$I,8,FALSE)</f>
        <v>3.3119999999999998E-3</v>
      </c>
      <c r="H6462" s="174">
        <f>VLOOKUP($A6462,'Tech Litons'!$A:$I,9,FALSE)</f>
        <v>165</v>
      </c>
      <c r="I6462" s="174" t="str">
        <f>VLOOKUP($A6462,'Tech Litons'!$A:$C,3,0)</f>
        <v>Yasso Sticks</v>
      </c>
      <c r="J6462" s="175" t="str">
        <f t="shared" si="727"/>
        <v>1715Yasso Sticks</v>
      </c>
      <c r="K6462" s="176">
        <f>VLOOKUP(I6462,'Attain %'!A:B,2,0)</f>
        <v>0.96</v>
      </c>
      <c r="L6462" s="177">
        <f t="shared" si="728"/>
        <v>25200</v>
      </c>
      <c r="M6462" s="177">
        <f t="shared" si="729"/>
        <v>83.462400000000002</v>
      </c>
      <c r="N6462" s="177">
        <f t="shared" si="730"/>
        <v>152.72727272727272</v>
      </c>
      <c r="O6462" s="175" t="str">
        <f t="shared" si="731"/>
        <v>Jul</v>
      </c>
      <c r="P6462" s="265">
        <f t="shared" si="732"/>
        <v>28</v>
      </c>
    </row>
    <row r="6463" spans="1:16" ht="15" hidden="1" customHeight="1">
      <c r="A6463" s="489">
        <v>64955558</v>
      </c>
      <c r="B6463" s="489">
        <v>1715</v>
      </c>
      <c r="C6463" s="488">
        <v>26250</v>
      </c>
      <c r="D6463" s="597">
        <v>46258</v>
      </c>
      <c r="E6463" s="489" t="s">
        <v>581</v>
      </c>
      <c r="F6463" s="489" t="s">
        <v>1221</v>
      </c>
      <c r="G6463" s="395">
        <f>VLOOKUP($A6463,'Tech Litons'!$A:$I,8,FALSE)</f>
        <v>3.3119999999999998E-3</v>
      </c>
      <c r="H6463" s="174">
        <f>VLOOKUP($A6463,'Tech Litons'!$A:$I,9,FALSE)</f>
        <v>165</v>
      </c>
      <c r="I6463" s="174" t="str">
        <f>VLOOKUP($A6463,'Tech Litons'!$A:$C,3,0)</f>
        <v>Yasso Sticks</v>
      </c>
      <c r="J6463" s="175" t="str">
        <f t="shared" si="727"/>
        <v>1715Yasso Sticks</v>
      </c>
      <c r="K6463" s="176">
        <f>VLOOKUP(I6463,'Attain %'!A:B,2,0)</f>
        <v>0.96</v>
      </c>
      <c r="L6463" s="177">
        <f t="shared" si="728"/>
        <v>25200</v>
      </c>
      <c r="M6463" s="177">
        <f t="shared" si="729"/>
        <v>83.462400000000002</v>
      </c>
      <c r="N6463" s="177">
        <f t="shared" si="730"/>
        <v>152.72727272727272</v>
      </c>
      <c r="O6463" s="175" t="str">
        <f t="shared" si="731"/>
        <v>Aug</v>
      </c>
      <c r="P6463" s="265">
        <f t="shared" si="732"/>
        <v>35</v>
      </c>
    </row>
    <row r="6464" spans="1:16" ht="15" hidden="1" customHeight="1">
      <c r="A6464" s="489">
        <v>64955558</v>
      </c>
      <c r="B6464" s="489">
        <v>1715</v>
      </c>
      <c r="C6464" s="488">
        <v>26250</v>
      </c>
      <c r="D6464" s="597">
        <v>46335</v>
      </c>
      <c r="E6464" s="489" t="s">
        <v>581</v>
      </c>
      <c r="F6464" s="489" t="s">
        <v>1221</v>
      </c>
      <c r="G6464" s="395">
        <f>VLOOKUP($A6464,'Tech Litons'!$A:$I,8,FALSE)</f>
        <v>3.3119999999999998E-3</v>
      </c>
      <c r="H6464" s="174">
        <f>VLOOKUP($A6464,'Tech Litons'!$A:$I,9,FALSE)</f>
        <v>165</v>
      </c>
      <c r="I6464" s="174" t="str">
        <f>VLOOKUP($A6464,'Tech Litons'!$A:$C,3,0)</f>
        <v>Yasso Sticks</v>
      </c>
      <c r="J6464" s="175" t="str">
        <f t="shared" si="727"/>
        <v>1715Yasso Sticks</v>
      </c>
      <c r="K6464" s="176">
        <f>VLOOKUP(I6464,'Attain %'!A:B,2,0)</f>
        <v>0.96</v>
      </c>
      <c r="L6464" s="177">
        <f t="shared" si="728"/>
        <v>25200</v>
      </c>
      <c r="M6464" s="177">
        <f t="shared" si="729"/>
        <v>83.462400000000002</v>
      </c>
      <c r="N6464" s="177">
        <f t="shared" si="730"/>
        <v>152.72727272727272</v>
      </c>
      <c r="O6464" s="175" t="str">
        <f t="shared" si="731"/>
        <v>Nov</v>
      </c>
      <c r="P6464" s="265">
        <f t="shared" si="732"/>
        <v>46</v>
      </c>
    </row>
    <row r="6465" spans="1:16" ht="15" hidden="1" customHeight="1">
      <c r="A6465" s="489">
        <v>64955559</v>
      </c>
      <c r="B6465" s="489">
        <v>1715</v>
      </c>
      <c r="C6465" s="488">
        <v>26250</v>
      </c>
      <c r="D6465" s="597">
        <v>46146</v>
      </c>
      <c r="E6465" s="489" t="s">
        <v>582</v>
      </c>
      <c r="F6465" s="489" t="s">
        <v>1221</v>
      </c>
      <c r="G6465" s="395">
        <f>VLOOKUP($A6465,'Tech Litons'!$A:$I,8,FALSE)</f>
        <v>3.3119999999999998E-3</v>
      </c>
      <c r="H6465" s="174">
        <f>VLOOKUP($A6465,'Tech Litons'!$A:$I,9,FALSE)</f>
        <v>165</v>
      </c>
      <c r="I6465" s="174" t="str">
        <f>VLOOKUP($A6465,'Tech Litons'!$A:$C,3,0)</f>
        <v>Yasso Sticks</v>
      </c>
      <c r="J6465" s="175" t="str">
        <f t="shared" si="727"/>
        <v>1715Yasso Sticks</v>
      </c>
      <c r="K6465" s="176">
        <f>VLOOKUP(I6465,'Attain %'!A:B,2,0)</f>
        <v>0.96</v>
      </c>
      <c r="L6465" s="177">
        <f t="shared" si="728"/>
        <v>25200</v>
      </c>
      <c r="M6465" s="177">
        <f t="shared" si="729"/>
        <v>83.462400000000002</v>
      </c>
      <c r="N6465" s="177">
        <f t="shared" si="730"/>
        <v>152.72727272727272</v>
      </c>
      <c r="O6465" s="175" t="str">
        <f t="shared" si="731"/>
        <v>May</v>
      </c>
      <c r="P6465" s="265">
        <f t="shared" si="732"/>
        <v>19</v>
      </c>
    </row>
    <row r="6466" spans="1:16" ht="15" hidden="1" customHeight="1">
      <c r="A6466" s="489">
        <v>64955559</v>
      </c>
      <c r="B6466" s="489">
        <v>1715</v>
      </c>
      <c r="C6466" s="488">
        <v>26250</v>
      </c>
      <c r="D6466" s="597">
        <v>46174</v>
      </c>
      <c r="E6466" s="489" t="s">
        <v>582</v>
      </c>
      <c r="F6466" s="489" t="s">
        <v>1221</v>
      </c>
      <c r="G6466" s="395">
        <f>VLOOKUP($A6466,'Tech Litons'!$A:$I,8,FALSE)</f>
        <v>3.3119999999999998E-3</v>
      </c>
      <c r="H6466" s="174">
        <f>VLOOKUP($A6466,'Tech Litons'!$A:$I,9,FALSE)</f>
        <v>165</v>
      </c>
      <c r="I6466" s="174" t="str">
        <f>VLOOKUP($A6466,'Tech Litons'!$A:$C,3,0)</f>
        <v>Yasso Sticks</v>
      </c>
      <c r="J6466" s="175" t="str">
        <f t="shared" si="727"/>
        <v>1715Yasso Sticks</v>
      </c>
      <c r="K6466" s="176">
        <f>VLOOKUP(I6466,'Attain %'!A:B,2,0)</f>
        <v>0.96</v>
      </c>
      <c r="L6466" s="177">
        <f t="shared" si="728"/>
        <v>25200</v>
      </c>
      <c r="M6466" s="177">
        <f t="shared" si="729"/>
        <v>83.462400000000002</v>
      </c>
      <c r="N6466" s="177">
        <f t="shared" si="730"/>
        <v>152.72727272727272</v>
      </c>
      <c r="O6466" s="175" t="str">
        <f t="shared" si="731"/>
        <v>Jun</v>
      </c>
      <c r="P6466" s="265">
        <f t="shared" si="732"/>
        <v>23</v>
      </c>
    </row>
    <row r="6467" spans="1:16" ht="15" hidden="1" customHeight="1">
      <c r="A6467" s="489">
        <v>64955559</v>
      </c>
      <c r="B6467" s="489">
        <v>1715</v>
      </c>
      <c r="C6467" s="488">
        <v>26250</v>
      </c>
      <c r="D6467" s="597">
        <v>46202</v>
      </c>
      <c r="E6467" s="489" t="s">
        <v>582</v>
      </c>
      <c r="F6467" s="489" t="s">
        <v>1221</v>
      </c>
      <c r="G6467" s="395">
        <f>VLOOKUP($A6467,'Tech Litons'!$A:$I,8,FALSE)</f>
        <v>3.3119999999999998E-3</v>
      </c>
      <c r="H6467" s="174">
        <f>VLOOKUP($A6467,'Tech Litons'!$A:$I,9,FALSE)</f>
        <v>165</v>
      </c>
      <c r="I6467" s="174" t="str">
        <f>VLOOKUP($A6467,'Tech Litons'!$A:$C,3,0)</f>
        <v>Yasso Sticks</v>
      </c>
      <c r="J6467" s="175" t="str">
        <f t="shared" si="727"/>
        <v>1715Yasso Sticks</v>
      </c>
      <c r="K6467" s="176">
        <f>VLOOKUP(I6467,'Attain %'!A:B,2,0)</f>
        <v>0.96</v>
      </c>
      <c r="L6467" s="177">
        <f t="shared" si="728"/>
        <v>25200</v>
      </c>
      <c r="M6467" s="177">
        <f t="shared" si="729"/>
        <v>83.462400000000002</v>
      </c>
      <c r="N6467" s="177">
        <f t="shared" si="730"/>
        <v>152.72727272727272</v>
      </c>
      <c r="O6467" s="175" t="str">
        <f t="shared" si="731"/>
        <v>Jun</v>
      </c>
      <c r="P6467" s="265">
        <f t="shared" si="732"/>
        <v>27</v>
      </c>
    </row>
    <row r="6468" spans="1:16" ht="15" hidden="1" customHeight="1">
      <c r="A6468" s="489">
        <v>64955559</v>
      </c>
      <c r="B6468" s="489">
        <v>1715</v>
      </c>
      <c r="C6468" s="488">
        <v>26250</v>
      </c>
      <c r="D6468" s="597">
        <v>46237</v>
      </c>
      <c r="E6468" s="489" t="s">
        <v>582</v>
      </c>
      <c r="F6468" s="489" t="s">
        <v>1221</v>
      </c>
      <c r="G6468" s="395">
        <f>VLOOKUP($A6468,'Tech Litons'!$A:$I,8,FALSE)</f>
        <v>3.3119999999999998E-3</v>
      </c>
      <c r="H6468" s="174">
        <f>VLOOKUP($A6468,'Tech Litons'!$A:$I,9,FALSE)</f>
        <v>165</v>
      </c>
      <c r="I6468" s="174" t="str">
        <f>VLOOKUP($A6468,'Tech Litons'!$A:$C,3,0)</f>
        <v>Yasso Sticks</v>
      </c>
      <c r="J6468" s="175" t="str">
        <f t="shared" si="727"/>
        <v>1715Yasso Sticks</v>
      </c>
      <c r="K6468" s="176">
        <f>VLOOKUP(I6468,'Attain %'!A:B,2,0)</f>
        <v>0.96</v>
      </c>
      <c r="L6468" s="177">
        <f t="shared" si="728"/>
        <v>25200</v>
      </c>
      <c r="M6468" s="177">
        <f t="shared" si="729"/>
        <v>83.462400000000002</v>
      </c>
      <c r="N6468" s="177">
        <f t="shared" si="730"/>
        <v>152.72727272727272</v>
      </c>
      <c r="O6468" s="175" t="str">
        <f t="shared" si="731"/>
        <v>Aug</v>
      </c>
      <c r="P6468" s="265">
        <f t="shared" si="732"/>
        <v>32</v>
      </c>
    </row>
    <row r="6469" spans="1:16" ht="15" hidden="1" customHeight="1">
      <c r="A6469" s="489">
        <v>64955559</v>
      </c>
      <c r="B6469" s="489">
        <v>1715</v>
      </c>
      <c r="C6469" s="488">
        <v>26250</v>
      </c>
      <c r="D6469" s="597">
        <v>46265</v>
      </c>
      <c r="E6469" s="489" t="s">
        <v>582</v>
      </c>
      <c r="F6469" s="489" t="s">
        <v>1221</v>
      </c>
      <c r="G6469" s="395">
        <f>VLOOKUP($A6469,'Tech Litons'!$A:$I,8,FALSE)</f>
        <v>3.3119999999999998E-3</v>
      </c>
      <c r="H6469" s="174">
        <f>VLOOKUP($A6469,'Tech Litons'!$A:$I,9,FALSE)</f>
        <v>165</v>
      </c>
      <c r="I6469" s="174" t="str">
        <f>VLOOKUP($A6469,'Tech Litons'!$A:$C,3,0)</f>
        <v>Yasso Sticks</v>
      </c>
      <c r="J6469" s="175" t="str">
        <f t="shared" si="727"/>
        <v>1715Yasso Sticks</v>
      </c>
      <c r="K6469" s="176">
        <f>VLOOKUP(I6469,'Attain %'!A:B,2,0)</f>
        <v>0.96</v>
      </c>
      <c r="L6469" s="177">
        <f t="shared" si="728"/>
        <v>25200</v>
      </c>
      <c r="M6469" s="177">
        <f t="shared" si="729"/>
        <v>83.462400000000002</v>
      </c>
      <c r="N6469" s="177">
        <f t="shared" si="730"/>
        <v>152.72727272727272</v>
      </c>
      <c r="O6469" s="175" t="str">
        <f t="shared" si="731"/>
        <v>Aug</v>
      </c>
      <c r="P6469" s="265">
        <f t="shared" si="732"/>
        <v>36</v>
      </c>
    </row>
    <row r="6470" spans="1:16" ht="15" hidden="1" customHeight="1">
      <c r="A6470" s="489">
        <v>64955559</v>
      </c>
      <c r="B6470" s="489">
        <v>1715</v>
      </c>
      <c r="C6470" s="488">
        <v>26250</v>
      </c>
      <c r="D6470" s="597">
        <v>46314</v>
      </c>
      <c r="E6470" s="489" t="s">
        <v>582</v>
      </c>
      <c r="F6470" s="489" t="s">
        <v>1221</v>
      </c>
      <c r="G6470" s="395">
        <f>VLOOKUP($A6470,'Tech Litons'!$A:$I,8,FALSE)</f>
        <v>3.3119999999999998E-3</v>
      </c>
      <c r="H6470" s="174">
        <f>VLOOKUP($A6470,'Tech Litons'!$A:$I,9,FALSE)</f>
        <v>165</v>
      </c>
      <c r="I6470" s="174" t="str">
        <f>VLOOKUP($A6470,'Tech Litons'!$A:$C,3,0)</f>
        <v>Yasso Sticks</v>
      </c>
      <c r="J6470" s="175" t="str">
        <f t="shared" si="727"/>
        <v>1715Yasso Sticks</v>
      </c>
      <c r="K6470" s="176">
        <f>VLOOKUP(I6470,'Attain %'!A:B,2,0)</f>
        <v>0.96</v>
      </c>
      <c r="L6470" s="177">
        <f t="shared" si="728"/>
        <v>25200</v>
      </c>
      <c r="M6470" s="177">
        <f t="shared" si="729"/>
        <v>83.462400000000002</v>
      </c>
      <c r="N6470" s="177">
        <f t="shared" si="730"/>
        <v>152.72727272727272</v>
      </c>
      <c r="O6470" s="175" t="str">
        <f t="shared" si="731"/>
        <v>Oct</v>
      </c>
      <c r="P6470" s="265">
        <f t="shared" si="732"/>
        <v>43</v>
      </c>
    </row>
    <row r="6471" spans="1:16" ht="15" hidden="1" customHeight="1">
      <c r="A6471" s="489">
        <v>64955559</v>
      </c>
      <c r="B6471" s="489">
        <v>1715</v>
      </c>
      <c r="C6471" s="488">
        <v>26250</v>
      </c>
      <c r="D6471" s="597">
        <v>46370</v>
      </c>
      <c r="E6471" s="489" t="s">
        <v>582</v>
      </c>
      <c r="F6471" s="489" t="s">
        <v>1221</v>
      </c>
      <c r="G6471" s="395">
        <f>VLOOKUP($A6471,'Tech Litons'!$A:$I,8,FALSE)</f>
        <v>3.3119999999999998E-3</v>
      </c>
      <c r="H6471" s="174">
        <f>VLOOKUP($A6471,'Tech Litons'!$A:$I,9,FALSE)</f>
        <v>165</v>
      </c>
      <c r="I6471" s="174" t="str">
        <f>VLOOKUP($A6471,'Tech Litons'!$A:$C,3,0)</f>
        <v>Yasso Sticks</v>
      </c>
      <c r="J6471" s="175" t="str">
        <f t="shared" si="727"/>
        <v>1715Yasso Sticks</v>
      </c>
      <c r="K6471" s="176">
        <f>VLOOKUP(I6471,'Attain %'!A:B,2,0)</f>
        <v>0.96</v>
      </c>
      <c r="L6471" s="177">
        <f t="shared" si="728"/>
        <v>25200</v>
      </c>
      <c r="M6471" s="177">
        <f t="shared" si="729"/>
        <v>83.462400000000002</v>
      </c>
      <c r="N6471" s="177">
        <f t="shared" si="730"/>
        <v>152.72727272727272</v>
      </c>
      <c r="O6471" s="175" t="str">
        <f t="shared" si="731"/>
        <v>Dec</v>
      </c>
      <c r="P6471" s="265">
        <f t="shared" si="732"/>
        <v>51</v>
      </c>
    </row>
    <row r="6472" spans="1:16" ht="15" hidden="1" customHeight="1">
      <c r="A6472" s="489">
        <v>64955561</v>
      </c>
      <c r="B6472" s="489">
        <v>1715</v>
      </c>
      <c r="C6472" s="488">
        <v>26250</v>
      </c>
      <c r="D6472" s="597">
        <v>46146</v>
      </c>
      <c r="E6472" s="489" t="s">
        <v>583</v>
      </c>
      <c r="F6472" s="489" t="s">
        <v>1221</v>
      </c>
      <c r="G6472" s="395">
        <f>VLOOKUP($A6472,'Tech Litons'!$A:$I,8,FALSE)</f>
        <v>3.3119999999999998E-3</v>
      </c>
      <c r="H6472" s="174">
        <f>VLOOKUP($A6472,'Tech Litons'!$A:$I,9,FALSE)</f>
        <v>165</v>
      </c>
      <c r="I6472" s="174" t="str">
        <f>VLOOKUP($A6472,'Tech Litons'!$A:$C,3,0)</f>
        <v>Yasso Sticks</v>
      </c>
      <c r="J6472" s="175" t="str">
        <f t="shared" si="727"/>
        <v>1715Yasso Sticks</v>
      </c>
      <c r="K6472" s="176">
        <f>VLOOKUP(I6472,'Attain %'!A:B,2,0)</f>
        <v>0.96</v>
      </c>
      <c r="L6472" s="177">
        <f t="shared" si="728"/>
        <v>25200</v>
      </c>
      <c r="M6472" s="177">
        <f t="shared" si="729"/>
        <v>83.462400000000002</v>
      </c>
      <c r="N6472" s="177">
        <f t="shared" si="730"/>
        <v>152.72727272727272</v>
      </c>
      <c r="O6472" s="175" t="str">
        <f t="shared" si="731"/>
        <v>May</v>
      </c>
      <c r="P6472" s="265">
        <f t="shared" si="732"/>
        <v>19</v>
      </c>
    </row>
    <row r="6473" spans="1:16" ht="15" hidden="1" customHeight="1">
      <c r="A6473" s="489">
        <v>64955561</v>
      </c>
      <c r="B6473" s="489">
        <v>1715</v>
      </c>
      <c r="C6473" s="488">
        <v>26250</v>
      </c>
      <c r="D6473" s="597">
        <v>46216</v>
      </c>
      <c r="E6473" s="489" t="s">
        <v>583</v>
      </c>
      <c r="F6473" s="489" t="s">
        <v>1221</v>
      </c>
      <c r="G6473" s="395">
        <f>VLOOKUP($A6473,'Tech Litons'!$A:$I,8,FALSE)</f>
        <v>3.3119999999999998E-3</v>
      </c>
      <c r="H6473" s="174">
        <f>VLOOKUP($A6473,'Tech Litons'!$A:$I,9,FALSE)</f>
        <v>165</v>
      </c>
      <c r="I6473" s="174" t="str">
        <f>VLOOKUP($A6473,'Tech Litons'!$A:$C,3,0)</f>
        <v>Yasso Sticks</v>
      </c>
      <c r="J6473" s="175" t="str">
        <f t="shared" si="727"/>
        <v>1715Yasso Sticks</v>
      </c>
      <c r="K6473" s="176">
        <f>VLOOKUP(I6473,'Attain %'!A:B,2,0)</f>
        <v>0.96</v>
      </c>
      <c r="L6473" s="177">
        <f t="shared" si="728"/>
        <v>25200</v>
      </c>
      <c r="M6473" s="177">
        <f t="shared" si="729"/>
        <v>83.462400000000002</v>
      </c>
      <c r="N6473" s="177">
        <f t="shared" si="730"/>
        <v>152.72727272727272</v>
      </c>
      <c r="O6473" s="175" t="str">
        <f t="shared" si="731"/>
        <v>Jul</v>
      </c>
      <c r="P6473" s="265">
        <f t="shared" si="732"/>
        <v>29</v>
      </c>
    </row>
    <row r="6474" spans="1:16" ht="15" hidden="1" customHeight="1">
      <c r="A6474" s="489">
        <v>64955561</v>
      </c>
      <c r="B6474" s="489">
        <v>1715</v>
      </c>
      <c r="C6474" s="488">
        <v>26250</v>
      </c>
      <c r="D6474" s="597">
        <v>46328</v>
      </c>
      <c r="E6474" s="489" t="s">
        <v>583</v>
      </c>
      <c r="F6474" s="489" t="s">
        <v>1221</v>
      </c>
      <c r="G6474" s="395">
        <f>VLOOKUP($A6474,'Tech Litons'!$A:$I,8,FALSE)</f>
        <v>3.3119999999999998E-3</v>
      </c>
      <c r="H6474" s="174">
        <f>VLOOKUP($A6474,'Tech Litons'!$A:$I,9,FALSE)</f>
        <v>165</v>
      </c>
      <c r="I6474" s="174" t="str">
        <f>VLOOKUP($A6474,'Tech Litons'!$A:$C,3,0)</f>
        <v>Yasso Sticks</v>
      </c>
      <c r="J6474" s="175" t="str">
        <f t="shared" si="727"/>
        <v>1715Yasso Sticks</v>
      </c>
      <c r="K6474" s="176">
        <f>VLOOKUP(I6474,'Attain %'!A:B,2,0)</f>
        <v>0.96</v>
      </c>
      <c r="L6474" s="177">
        <f t="shared" si="728"/>
        <v>25200</v>
      </c>
      <c r="M6474" s="177">
        <f t="shared" si="729"/>
        <v>83.462400000000002</v>
      </c>
      <c r="N6474" s="177">
        <f t="shared" si="730"/>
        <v>152.72727272727272</v>
      </c>
      <c r="O6474" s="175" t="str">
        <f t="shared" si="731"/>
        <v>Nov</v>
      </c>
      <c r="P6474" s="265">
        <f t="shared" si="732"/>
        <v>45</v>
      </c>
    </row>
    <row r="6475" spans="1:16" ht="15" hidden="1" customHeight="1">
      <c r="A6475" s="489">
        <v>64955741</v>
      </c>
      <c r="B6475" s="489">
        <v>1715</v>
      </c>
      <c r="C6475" s="488">
        <v>26250</v>
      </c>
      <c r="D6475" s="597">
        <v>46146</v>
      </c>
      <c r="E6475" s="489" t="s">
        <v>584</v>
      </c>
      <c r="F6475" s="489" t="s">
        <v>1221</v>
      </c>
      <c r="G6475" s="395">
        <f>VLOOKUP($A6475,'Tech Litons'!$A:$I,8,FALSE)</f>
        <v>3.3119999999999998E-3</v>
      </c>
      <c r="H6475" s="174">
        <f>VLOOKUP($A6475,'Tech Litons'!$A:$I,9,FALSE)</f>
        <v>165</v>
      </c>
      <c r="I6475" s="174" t="str">
        <f>VLOOKUP($A6475,'Tech Litons'!$A:$C,3,0)</f>
        <v>Yasso Sticks</v>
      </c>
      <c r="J6475" s="175" t="str">
        <f t="shared" si="727"/>
        <v>1715Yasso Sticks</v>
      </c>
      <c r="K6475" s="176">
        <f>VLOOKUP(I6475,'Attain %'!A:B,2,0)</f>
        <v>0.96</v>
      </c>
      <c r="L6475" s="177">
        <f t="shared" si="728"/>
        <v>25200</v>
      </c>
      <c r="M6475" s="177">
        <f t="shared" si="729"/>
        <v>83.462400000000002</v>
      </c>
      <c r="N6475" s="177">
        <f t="shared" si="730"/>
        <v>152.72727272727272</v>
      </c>
      <c r="O6475" s="175" t="str">
        <f t="shared" si="731"/>
        <v>May</v>
      </c>
      <c r="P6475" s="265">
        <f t="shared" si="732"/>
        <v>19</v>
      </c>
    </row>
    <row r="6476" spans="1:16" ht="15" hidden="1" customHeight="1">
      <c r="A6476" s="489">
        <v>64955741</v>
      </c>
      <c r="B6476" s="489">
        <v>1715</v>
      </c>
      <c r="C6476" s="488">
        <v>26250</v>
      </c>
      <c r="D6476" s="597">
        <v>46230</v>
      </c>
      <c r="E6476" s="489" t="s">
        <v>584</v>
      </c>
      <c r="F6476" s="489" t="s">
        <v>1221</v>
      </c>
      <c r="G6476" s="395">
        <f>VLOOKUP($A6476,'Tech Litons'!$A:$I,8,FALSE)</f>
        <v>3.3119999999999998E-3</v>
      </c>
      <c r="H6476" s="174">
        <f>VLOOKUP($A6476,'Tech Litons'!$A:$I,9,FALSE)</f>
        <v>165</v>
      </c>
      <c r="I6476" s="174" t="str">
        <f>VLOOKUP($A6476,'Tech Litons'!$A:$C,3,0)</f>
        <v>Yasso Sticks</v>
      </c>
      <c r="J6476" s="175" t="str">
        <f t="shared" si="727"/>
        <v>1715Yasso Sticks</v>
      </c>
      <c r="K6476" s="176">
        <f>VLOOKUP(I6476,'Attain %'!A:B,2,0)</f>
        <v>0.96</v>
      </c>
      <c r="L6476" s="177">
        <f t="shared" si="728"/>
        <v>25200</v>
      </c>
      <c r="M6476" s="177">
        <f t="shared" si="729"/>
        <v>83.462400000000002</v>
      </c>
      <c r="N6476" s="177">
        <f t="shared" si="730"/>
        <v>152.72727272727272</v>
      </c>
      <c r="O6476" s="175" t="str">
        <f t="shared" si="731"/>
        <v>Jul</v>
      </c>
      <c r="P6476" s="265">
        <f t="shared" si="732"/>
        <v>31</v>
      </c>
    </row>
    <row r="6477" spans="1:16" ht="15" hidden="1" customHeight="1">
      <c r="A6477" s="489">
        <v>64955741</v>
      </c>
      <c r="B6477" s="489">
        <v>1715</v>
      </c>
      <c r="C6477" s="488">
        <v>26250</v>
      </c>
      <c r="D6477" s="597">
        <v>46300</v>
      </c>
      <c r="E6477" s="489" t="s">
        <v>584</v>
      </c>
      <c r="F6477" s="489" t="s">
        <v>1221</v>
      </c>
      <c r="G6477" s="395">
        <f>VLOOKUP($A6477,'Tech Litons'!$A:$I,8,FALSE)</f>
        <v>3.3119999999999998E-3</v>
      </c>
      <c r="H6477" s="174">
        <f>VLOOKUP($A6477,'Tech Litons'!$A:$I,9,FALSE)</f>
        <v>165</v>
      </c>
      <c r="I6477" s="174" t="str">
        <f>VLOOKUP($A6477,'Tech Litons'!$A:$C,3,0)</f>
        <v>Yasso Sticks</v>
      </c>
      <c r="J6477" s="175" t="str">
        <f t="shared" si="727"/>
        <v>1715Yasso Sticks</v>
      </c>
      <c r="K6477" s="176">
        <f>VLOOKUP(I6477,'Attain %'!A:B,2,0)</f>
        <v>0.96</v>
      </c>
      <c r="L6477" s="177">
        <f t="shared" si="728"/>
        <v>25200</v>
      </c>
      <c r="M6477" s="177">
        <f t="shared" si="729"/>
        <v>83.462400000000002</v>
      </c>
      <c r="N6477" s="177">
        <f t="shared" si="730"/>
        <v>152.72727272727272</v>
      </c>
      <c r="O6477" s="175" t="str">
        <f t="shared" si="731"/>
        <v>Oct</v>
      </c>
      <c r="P6477" s="265">
        <f t="shared" si="732"/>
        <v>41</v>
      </c>
    </row>
    <row r="6478" spans="1:16" ht="15" hidden="1" customHeight="1">
      <c r="A6478" s="489">
        <v>64955743</v>
      </c>
      <c r="B6478" s="489">
        <v>1715</v>
      </c>
      <c r="C6478" s="488">
        <v>26250</v>
      </c>
      <c r="D6478" s="597">
        <v>46195</v>
      </c>
      <c r="E6478" s="489" t="s">
        <v>585</v>
      </c>
      <c r="F6478" s="489" t="s">
        <v>1221</v>
      </c>
      <c r="G6478" s="395">
        <f>VLOOKUP($A6478,'Tech Litons'!$A:$I,8,FALSE)</f>
        <v>3.3119999999999998E-3</v>
      </c>
      <c r="H6478" s="174">
        <f>VLOOKUP($A6478,'Tech Litons'!$A:$I,9,FALSE)</f>
        <v>165</v>
      </c>
      <c r="I6478" s="174" t="str">
        <f>VLOOKUP($A6478,'Tech Litons'!$A:$C,3,0)</f>
        <v>Yasso Sticks</v>
      </c>
      <c r="J6478" s="175" t="str">
        <f t="shared" si="727"/>
        <v>1715Yasso Sticks</v>
      </c>
      <c r="K6478" s="176">
        <f>VLOOKUP(I6478,'Attain %'!A:B,2,0)</f>
        <v>0.96</v>
      </c>
      <c r="L6478" s="177">
        <f t="shared" si="728"/>
        <v>25200</v>
      </c>
      <c r="M6478" s="177">
        <f t="shared" si="729"/>
        <v>83.462400000000002</v>
      </c>
      <c r="N6478" s="177">
        <f t="shared" si="730"/>
        <v>152.72727272727272</v>
      </c>
      <c r="O6478" s="175" t="str">
        <f t="shared" si="731"/>
        <v>Jun</v>
      </c>
      <c r="P6478" s="265">
        <f t="shared" si="732"/>
        <v>26</v>
      </c>
    </row>
    <row r="6479" spans="1:16" ht="15" hidden="1" customHeight="1">
      <c r="A6479" s="489">
        <v>64955743</v>
      </c>
      <c r="B6479" s="489">
        <v>1715</v>
      </c>
      <c r="C6479" s="488">
        <v>26250</v>
      </c>
      <c r="D6479" s="597">
        <v>46258</v>
      </c>
      <c r="E6479" s="489" t="s">
        <v>585</v>
      </c>
      <c r="F6479" s="489" t="s">
        <v>1221</v>
      </c>
      <c r="G6479" s="395">
        <f>VLOOKUP($A6479,'Tech Litons'!$A:$I,8,FALSE)</f>
        <v>3.3119999999999998E-3</v>
      </c>
      <c r="H6479" s="174">
        <f>VLOOKUP($A6479,'Tech Litons'!$A:$I,9,FALSE)</f>
        <v>165</v>
      </c>
      <c r="I6479" s="174" t="str">
        <f>VLOOKUP($A6479,'Tech Litons'!$A:$C,3,0)</f>
        <v>Yasso Sticks</v>
      </c>
      <c r="J6479" s="175" t="str">
        <f t="shared" si="727"/>
        <v>1715Yasso Sticks</v>
      </c>
      <c r="K6479" s="176">
        <f>VLOOKUP(I6479,'Attain %'!A:B,2,0)</f>
        <v>0.96</v>
      </c>
      <c r="L6479" s="177">
        <f t="shared" si="728"/>
        <v>25200</v>
      </c>
      <c r="M6479" s="177">
        <f t="shared" si="729"/>
        <v>83.462400000000002</v>
      </c>
      <c r="N6479" s="177">
        <f t="shared" si="730"/>
        <v>152.72727272727272</v>
      </c>
      <c r="O6479" s="175" t="str">
        <f t="shared" si="731"/>
        <v>Aug</v>
      </c>
      <c r="P6479" s="265">
        <f t="shared" si="732"/>
        <v>35</v>
      </c>
    </row>
    <row r="6480" spans="1:16" ht="15" hidden="1" customHeight="1">
      <c r="A6480" s="489">
        <v>64955743</v>
      </c>
      <c r="B6480" s="489">
        <v>1715</v>
      </c>
      <c r="C6480" s="488">
        <v>26250</v>
      </c>
      <c r="D6480" s="597">
        <v>46314</v>
      </c>
      <c r="E6480" s="489" t="s">
        <v>585</v>
      </c>
      <c r="F6480" s="489" t="s">
        <v>1221</v>
      </c>
      <c r="G6480" s="395">
        <f>VLOOKUP($A6480,'Tech Litons'!$A:$I,8,FALSE)</f>
        <v>3.3119999999999998E-3</v>
      </c>
      <c r="H6480" s="174">
        <f>VLOOKUP($A6480,'Tech Litons'!$A:$I,9,FALSE)</f>
        <v>165</v>
      </c>
      <c r="I6480" s="174" t="str">
        <f>VLOOKUP($A6480,'Tech Litons'!$A:$C,3,0)</f>
        <v>Yasso Sticks</v>
      </c>
      <c r="J6480" s="175" t="str">
        <f t="shared" si="727"/>
        <v>1715Yasso Sticks</v>
      </c>
      <c r="K6480" s="176">
        <f>VLOOKUP(I6480,'Attain %'!A:B,2,0)</f>
        <v>0.96</v>
      </c>
      <c r="L6480" s="177">
        <f t="shared" si="728"/>
        <v>25200</v>
      </c>
      <c r="M6480" s="177">
        <f t="shared" si="729"/>
        <v>83.462400000000002</v>
      </c>
      <c r="N6480" s="177">
        <f t="shared" si="730"/>
        <v>152.72727272727272</v>
      </c>
      <c r="O6480" s="175" t="str">
        <f t="shared" si="731"/>
        <v>Oct</v>
      </c>
      <c r="P6480" s="265">
        <f t="shared" si="732"/>
        <v>43</v>
      </c>
    </row>
    <row r="6481" spans="1:16" ht="15" hidden="1" customHeight="1">
      <c r="A6481" s="489">
        <v>64955743</v>
      </c>
      <c r="B6481" s="489">
        <v>1715</v>
      </c>
      <c r="C6481" s="488">
        <v>26250</v>
      </c>
      <c r="D6481" s="597">
        <v>46335</v>
      </c>
      <c r="E6481" s="489" t="s">
        <v>585</v>
      </c>
      <c r="F6481" s="489" t="s">
        <v>1221</v>
      </c>
      <c r="G6481" s="395">
        <f>VLOOKUP($A6481,'Tech Litons'!$A:$I,8,FALSE)</f>
        <v>3.3119999999999998E-3</v>
      </c>
      <c r="H6481" s="174">
        <f>VLOOKUP($A6481,'Tech Litons'!$A:$I,9,FALSE)</f>
        <v>165</v>
      </c>
      <c r="I6481" s="174" t="str">
        <f>VLOOKUP($A6481,'Tech Litons'!$A:$C,3,0)</f>
        <v>Yasso Sticks</v>
      </c>
      <c r="J6481" s="175" t="str">
        <f t="shared" si="727"/>
        <v>1715Yasso Sticks</v>
      </c>
      <c r="K6481" s="176">
        <f>VLOOKUP(I6481,'Attain %'!A:B,2,0)</f>
        <v>0.96</v>
      </c>
      <c r="L6481" s="177">
        <f t="shared" si="728"/>
        <v>25200</v>
      </c>
      <c r="M6481" s="177">
        <f t="shared" si="729"/>
        <v>83.462400000000002</v>
      </c>
      <c r="N6481" s="177">
        <f t="shared" si="730"/>
        <v>152.72727272727272</v>
      </c>
      <c r="O6481" s="175" t="str">
        <f t="shared" si="731"/>
        <v>Nov</v>
      </c>
      <c r="P6481" s="265">
        <f t="shared" si="732"/>
        <v>46</v>
      </c>
    </row>
    <row r="6482" spans="1:16" ht="15" hidden="1" customHeight="1">
      <c r="A6482" s="489">
        <v>64958122</v>
      </c>
      <c r="B6482" s="489">
        <v>1715</v>
      </c>
      <c r="C6482" s="488">
        <v>26250</v>
      </c>
      <c r="D6482" s="597">
        <v>46146</v>
      </c>
      <c r="E6482" s="489" t="s">
        <v>236</v>
      </c>
      <c r="F6482" s="489" t="s">
        <v>1221</v>
      </c>
      <c r="G6482" s="395">
        <f>VLOOKUP($A6482,'Tech Litons'!$A:$I,8,FALSE)</f>
        <v>3.3119999999999998E-3</v>
      </c>
      <c r="H6482" s="174">
        <f>VLOOKUP($A6482,'Tech Litons'!$A:$I,9,FALSE)</f>
        <v>165</v>
      </c>
      <c r="I6482" s="174" t="str">
        <f>VLOOKUP($A6482,'Tech Litons'!$A:$C,3,0)</f>
        <v>Yasso Sticks</v>
      </c>
      <c r="J6482" s="175" t="str">
        <f t="shared" si="727"/>
        <v>1715Yasso Sticks</v>
      </c>
      <c r="K6482" s="176">
        <f>VLOOKUP(I6482,'Attain %'!A:B,2,0)</f>
        <v>0.96</v>
      </c>
      <c r="L6482" s="177">
        <f t="shared" si="728"/>
        <v>25200</v>
      </c>
      <c r="M6482" s="177">
        <f t="shared" si="729"/>
        <v>83.462400000000002</v>
      </c>
      <c r="N6482" s="177">
        <f t="shared" si="730"/>
        <v>152.72727272727272</v>
      </c>
      <c r="O6482" s="175" t="str">
        <f t="shared" si="731"/>
        <v>May</v>
      </c>
      <c r="P6482" s="265">
        <f t="shared" si="732"/>
        <v>19</v>
      </c>
    </row>
    <row r="6483" spans="1:16" ht="15" hidden="1" customHeight="1">
      <c r="A6483" s="489">
        <v>64958122</v>
      </c>
      <c r="B6483" s="489">
        <v>1715</v>
      </c>
      <c r="C6483" s="488">
        <v>26250</v>
      </c>
      <c r="D6483" s="597">
        <v>46153</v>
      </c>
      <c r="E6483" s="489" t="s">
        <v>236</v>
      </c>
      <c r="F6483" s="489" t="s">
        <v>1221</v>
      </c>
      <c r="G6483" s="395">
        <f>VLOOKUP($A6483,'Tech Litons'!$A:$I,8,FALSE)</f>
        <v>3.3119999999999998E-3</v>
      </c>
      <c r="H6483" s="174">
        <f>VLOOKUP($A6483,'Tech Litons'!$A:$I,9,FALSE)</f>
        <v>165</v>
      </c>
      <c r="I6483" s="174" t="str">
        <f>VLOOKUP($A6483,'Tech Litons'!$A:$C,3,0)</f>
        <v>Yasso Sticks</v>
      </c>
      <c r="J6483" s="175" t="str">
        <f t="shared" si="727"/>
        <v>1715Yasso Sticks</v>
      </c>
      <c r="K6483" s="176">
        <f>VLOOKUP(I6483,'Attain %'!A:B,2,0)</f>
        <v>0.96</v>
      </c>
      <c r="L6483" s="177">
        <f t="shared" si="728"/>
        <v>25200</v>
      </c>
      <c r="M6483" s="177">
        <f t="shared" si="729"/>
        <v>83.462400000000002</v>
      </c>
      <c r="N6483" s="177">
        <f t="shared" si="730"/>
        <v>152.72727272727272</v>
      </c>
      <c r="O6483" s="175" t="str">
        <f t="shared" si="731"/>
        <v>May</v>
      </c>
      <c r="P6483" s="265">
        <f t="shared" si="732"/>
        <v>20</v>
      </c>
    </row>
    <row r="6484" spans="1:16" ht="15" hidden="1" customHeight="1">
      <c r="A6484" s="489">
        <v>64958124</v>
      </c>
      <c r="B6484" s="489">
        <v>1715</v>
      </c>
      <c r="C6484" s="488">
        <v>26250</v>
      </c>
      <c r="D6484" s="597">
        <v>46146</v>
      </c>
      <c r="E6484" s="489" t="s">
        <v>587</v>
      </c>
      <c r="F6484" s="489" t="s">
        <v>1221</v>
      </c>
      <c r="G6484" s="395">
        <f>VLOOKUP($A6484,'Tech Litons'!$A:$I,8,FALSE)</f>
        <v>3.3119999999999998E-3</v>
      </c>
      <c r="H6484" s="174">
        <f>VLOOKUP($A6484,'Tech Litons'!$A:$I,9,FALSE)</f>
        <v>165</v>
      </c>
      <c r="I6484" s="174" t="str">
        <f>VLOOKUP($A6484,'Tech Litons'!$A:$C,3,0)</f>
        <v>Yasso Sticks</v>
      </c>
      <c r="J6484" s="175" t="str">
        <f t="shared" si="727"/>
        <v>1715Yasso Sticks</v>
      </c>
      <c r="K6484" s="176">
        <f>VLOOKUP(I6484,'Attain %'!A:B,2,0)</f>
        <v>0.96</v>
      </c>
      <c r="L6484" s="177">
        <f t="shared" si="728"/>
        <v>25200</v>
      </c>
      <c r="M6484" s="177">
        <f t="shared" si="729"/>
        <v>83.462400000000002</v>
      </c>
      <c r="N6484" s="177">
        <f t="shared" si="730"/>
        <v>152.72727272727272</v>
      </c>
      <c r="O6484" s="175" t="str">
        <f t="shared" si="731"/>
        <v>May</v>
      </c>
      <c r="P6484" s="265">
        <f t="shared" si="732"/>
        <v>19</v>
      </c>
    </row>
    <row r="6485" spans="1:16" ht="15" hidden="1" customHeight="1">
      <c r="A6485" s="489">
        <v>64958124</v>
      </c>
      <c r="B6485" s="489">
        <v>1715</v>
      </c>
      <c r="C6485" s="488">
        <v>26250</v>
      </c>
      <c r="D6485" s="597">
        <v>46209</v>
      </c>
      <c r="E6485" s="489" t="s">
        <v>587</v>
      </c>
      <c r="F6485" s="489" t="s">
        <v>1221</v>
      </c>
      <c r="G6485" s="395">
        <f>VLOOKUP($A6485,'Tech Litons'!$A:$I,8,FALSE)</f>
        <v>3.3119999999999998E-3</v>
      </c>
      <c r="H6485" s="174">
        <f>VLOOKUP($A6485,'Tech Litons'!$A:$I,9,FALSE)</f>
        <v>165</v>
      </c>
      <c r="I6485" s="174" t="str">
        <f>VLOOKUP($A6485,'Tech Litons'!$A:$C,3,0)</f>
        <v>Yasso Sticks</v>
      </c>
      <c r="J6485" s="175" t="str">
        <f t="shared" si="727"/>
        <v>1715Yasso Sticks</v>
      </c>
      <c r="K6485" s="176">
        <f>VLOOKUP(I6485,'Attain %'!A:B,2,0)</f>
        <v>0.96</v>
      </c>
      <c r="L6485" s="177">
        <f t="shared" si="728"/>
        <v>25200</v>
      </c>
      <c r="M6485" s="177">
        <f t="shared" si="729"/>
        <v>83.462400000000002</v>
      </c>
      <c r="N6485" s="177">
        <f t="shared" si="730"/>
        <v>152.72727272727272</v>
      </c>
      <c r="O6485" s="175" t="str">
        <f t="shared" si="731"/>
        <v>Jul</v>
      </c>
      <c r="P6485" s="265">
        <f t="shared" si="732"/>
        <v>28</v>
      </c>
    </row>
    <row r="6486" spans="1:16" ht="15" hidden="1" customHeight="1">
      <c r="A6486" s="489">
        <v>64958125</v>
      </c>
      <c r="B6486" s="489">
        <v>1715</v>
      </c>
      <c r="C6486" s="488">
        <v>26250</v>
      </c>
      <c r="D6486" s="597">
        <v>46230</v>
      </c>
      <c r="E6486" s="489" t="s">
        <v>238</v>
      </c>
      <c r="F6486" s="489" t="s">
        <v>1221</v>
      </c>
      <c r="G6486" s="395">
        <f>VLOOKUP($A6486,'Tech Litons'!$A:$I,8,FALSE)</f>
        <v>3.3119999999999998E-3</v>
      </c>
      <c r="H6486" s="174">
        <f>VLOOKUP($A6486,'Tech Litons'!$A:$I,9,FALSE)</f>
        <v>165</v>
      </c>
      <c r="I6486" s="174" t="str">
        <f>VLOOKUP($A6486,'Tech Litons'!$A:$C,3,0)</f>
        <v>Yasso Sticks</v>
      </c>
      <c r="J6486" s="175" t="str">
        <f t="shared" si="727"/>
        <v>1715Yasso Sticks</v>
      </c>
      <c r="K6486" s="176">
        <f>VLOOKUP(I6486,'Attain %'!A:B,2,0)</f>
        <v>0.96</v>
      </c>
      <c r="L6486" s="177">
        <f t="shared" si="728"/>
        <v>25200</v>
      </c>
      <c r="M6486" s="177">
        <f t="shared" si="729"/>
        <v>83.462400000000002</v>
      </c>
      <c r="N6486" s="177">
        <f t="shared" si="730"/>
        <v>152.72727272727272</v>
      </c>
      <c r="O6486" s="175" t="str">
        <f t="shared" si="731"/>
        <v>Jul</v>
      </c>
      <c r="P6486" s="265">
        <f t="shared" si="732"/>
        <v>31</v>
      </c>
    </row>
    <row r="6487" spans="1:16" ht="15" hidden="1" customHeight="1">
      <c r="A6487" s="489">
        <v>64958125</v>
      </c>
      <c r="B6487" s="489">
        <v>1715</v>
      </c>
      <c r="C6487" s="488">
        <v>26250</v>
      </c>
      <c r="D6487" s="597">
        <v>46293</v>
      </c>
      <c r="E6487" s="489" t="s">
        <v>238</v>
      </c>
      <c r="F6487" s="489" t="s">
        <v>1221</v>
      </c>
      <c r="G6487" s="395">
        <f>VLOOKUP($A6487,'Tech Litons'!$A:$I,8,FALSE)</f>
        <v>3.3119999999999998E-3</v>
      </c>
      <c r="H6487" s="174">
        <f>VLOOKUP($A6487,'Tech Litons'!$A:$I,9,FALSE)</f>
        <v>165</v>
      </c>
      <c r="I6487" s="174" t="str">
        <f>VLOOKUP($A6487,'Tech Litons'!$A:$C,3,0)</f>
        <v>Yasso Sticks</v>
      </c>
      <c r="J6487" s="175" t="str">
        <f t="shared" si="727"/>
        <v>1715Yasso Sticks</v>
      </c>
      <c r="K6487" s="176">
        <f>VLOOKUP(I6487,'Attain %'!A:B,2,0)</f>
        <v>0.96</v>
      </c>
      <c r="L6487" s="177">
        <f t="shared" si="728"/>
        <v>25200</v>
      </c>
      <c r="M6487" s="177">
        <f t="shared" si="729"/>
        <v>83.462400000000002</v>
      </c>
      <c r="N6487" s="177">
        <f t="shared" si="730"/>
        <v>152.72727272727272</v>
      </c>
      <c r="O6487" s="175" t="str">
        <f t="shared" si="731"/>
        <v>Sep</v>
      </c>
      <c r="P6487" s="265">
        <f t="shared" si="732"/>
        <v>40</v>
      </c>
    </row>
    <row r="6488" spans="1:16" ht="15" hidden="1" customHeight="1">
      <c r="A6488" s="489">
        <v>64958126</v>
      </c>
      <c r="B6488" s="489">
        <v>1715</v>
      </c>
      <c r="C6488" s="488">
        <v>26250</v>
      </c>
      <c r="D6488" s="597">
        <v>46146</v>
      </c>
      <c r="E6488" s="489" t="s">
        <v>588</v>
      </c>
      <c r="F6488" s="489" t="s">
        <v>1221</v>
      </c>
      <c r="G6488" s="395">
        <f>VLOOKUP($A6488,'Tech Litons'!$A:$I,8,FALSE)</f>
        <v>3.3119999999999998E-3</v>
      </c>
      <c r="H6488" s="174">
        <f>VLOOKUP($A6488,'Tech Litons'!$A:$I,9,FALSE)</f>
        <v>165</v>
      </c>
      <c r="I6488" s="174" t="str">
        <f>VLOOKUP($A6488,'Tech Litons'!$A:$C,3,0)</f>
        <v>Yasso Sticks</v>
      </c>
      <c r="J6488" s="175" t="str">
        <f t="shared" si="727"/>
        <v>1715Yasso Sticks</v>
      </c>
      <c r="K6488" s="176">
        <f>VLOOKUP(I6488,'Attain %'!A:B,2,0)</f>
        <v>0.96</v>
      </c>
      <c r="L6488" s="177">
        <f t="shared" si="728"/>
        <v>25200</v>
      </c>
      <c r="M6488" s="177">
        <f t="shared" si="729"/>
        <v>83.462400000000002</v>
      </c>
      <c r="N6488" s="177">
        <f t="shared" si="730"/>
        <v>152.72727272727272</v>
      </c>
      <c r="O6488" s="175" t="str">
        <f t="shared" si="731"/>
        <v>May</v>
      </c>
      <c r="P6488" s="265">
        <f t="shared" si="732"/>
        <v>19</v>
      </c>
    </row>
    <row r="6489" spans="1:16" ht="15" hidden="1" customHeight="1">
      <c r="A6489" s="489">
        <v>64958126</v>
      </c>
      <c r="B6489" s="489">
        <v>1715</v>
      </c>
      <c r="C6489" s="488">
        <v>26250</v>
      </c>
      <c r="D6489" s="597">
        <v>46209</v>
      </c>
      <c r="E6489" s="489" t="s">
        <v>588</v>
      </c>
      <c r="F6489" s="489" t="s">
        <v>1221</v>
      </c>
      <c r="G6489" s="395">
        <f>VLOOKUP($A6489,'Tech Litons'!$A:$I,8,FALSE)</f>
        <v>3.3119999999999998E-3</v>
      </c>
      <c r="H6489" s="174">
        <f>VLOOKUP($A6489,'Tech Litons'!$A:$I,9,FALSE)</f>
        <v>165</v>
      </c>
      <c r="I6489" s="174" t="str">
        <f>VLOOKUP($A6489,'Tech Litons'!$A:$C,3,0)</f>
        <v>Yasso Sticks</v>
      </c>
      <c r="J6489" s="175" t="str">
        <f t="shared" si="727"/>
        <v>1715Yasso Sticks</v>
      </c>
      <c r="K6489" s="176">
        <f>VLOOKUP(I6489,'Attain %'!A:B,2,0)</f>
        <v>0.96</v>
      </c>
      <c r="L6489" s="177">
        <f t="shared" si="728"/>
        <v>25200</v>
      </c>
      <c r="M6489" s="177">
        <f t="shared" si="729"/>
        <v>83.462400000000002</v>
      </c>
      <c r="N6489" s="177">
        <f t="shared" si="730"/>
        <v>152.72727272727272</v>
      </c>
      <c r="O6489" s="175" t="str">
        <f t="shared" si="731"/>
        <v>Jul</v>
      </c>
      <c r="P6489" s="265">
        <f t="shared" si="732"/>
        <v>28</v>
      </c>
    </row>
    <row r="6490" spans="1:16" ht="15" hidden="1" customHeight="1">
      <c r="A6490" s="489">
        <v>64958126</v>
      </c>
      <c r="B6490" s="489">
        <v>1715</v>
      </c>
      <c r="C6490" s="488">
        <v>26250</v>
      </c>
      <c r="D6490" s="597">
        <v>46258</v>
      </c>
      <c r="E6490" s="489" t="s">
        <v>588</v>
      </c>
      <c r="F6490" s="489" t="s">
        <v>1221</v>
      </c>
      <c r="G6490" s="395">
        <f>VLOOKUP($A6490,'Tech Litons'!$A:$I,8,FALSE)</f>
        <v>3.3119999999999998E-3</v>
      </c>
      <c r="H6490" s="174">
        <f>VLOOKUP($A6490,'Tech Litons'!$A:$I,9,FALSE)</f>
        <v>165</v>
      </c>
      <c r="I6490" s="174" t="str">
        <f>VLOOKUP($A6490,'Tech Litons'!$A:$C,3,0)</f>
        <v>Yasso Sticks</v>
      </c>
      <c r="J6490" s="175" t="str">
        <f t="shared" si="727"/>
        <v>1715Yasso Sticks</v>
      </c>
      <c r="K6490" s="176">
        <f>VLOOKUP(I6490,'Attain %'!A:B,2,0)</f>
        <v>0.96</v>
      </c>
      <c r="L6490" s="177">
        <f t="shared" si="728"/>
        <v>25200</v>
      </c>
      <c r="M6490" s="177">
        <f t="shared" si="729"/>
        <v>83.462400000000002</v>
      </c>
      <c r="N6490" s="177">
        <f t="shared" si="730"/>
        <v>152.72727272727272</v>
      </c>
      <c r="O6490" s="175" t="str">
        <f t="shared" si="731"/>
        <v>Aug</v>
      </c>
      <c r="P6490" s="265">
        <f t="shared" si="732"/>
        <v>35</v>
      </c>
    </row>
    <row r="6491" spans="1:16" ht="15" hidden="1" customHeight="1">
      <c r="A6491" s="489">
        <v>64958126</v>
      </c>
      <c r="B6491" s="489">
        <v>1715</v>
      </c>
      <c r="C6491" s="488">
        <v>26250</v>
      </c>
      <c r="D6491" s="597">
        <v>46265</v>
      </c>
      <c r="E6491" s="489" t="s">
        <v>588</v>
      </c>
      <c r="F6491" s="489" t="s">
        <v>1221</v>
      </c>
      <c r="G6491" s="395">
        <f>VLOOKUP($A6491,'Tech Litons'!$A:$I,8,FALSE)</f>
        <v>3.3119999999999998E-3</v>
      </c>
      <c r="H6491" s="174">
        <f>VLOOKUP($A6491,'Tech Litons'!$A:$I,9,FALSE)</f>
        <v>165</v>
      </c>
      <c r="I6491" s="174" t="str">
        <f>VLOOKUP($A6491,'Tech Litons'!$A:$C,3,0)</f>
        <v>Yasso Sticks</v>
      </c>
      <c r="J6491" s="175" t="str">
        <f t="shared" si="727"/>
        <v>1715Yasso Sticks</v>
      </c>
      <c r="K6491" s="176">
        <f>VLOOKUP(I6491,'Attain %'!A:B,2,0)</f>
        <v>0.96</v>
      </c>
      <c r="L6491" s="177">
        <f t="shared" si="728"/>
        <v>25200</v>
      </c>
      <c r="M6491" s="177">
        <f t="shared" si="729"/>
        <v>83.462400000000002</v>
      </c>
      <c r="N6491" s="177">
        <f t="shared" si="730"/>
        <v>152.72727272727272</v>
      </c>
      <c r="O6491" s="175" t="str">
        <f t="shared" si="731"/>
        <v>Aug</v>
      </c>
      <c r="P6491" s="265">
        <f t="shared" si="732"/>
        <v>36</v>
      </c>
    </row>
    <row r="6492" spans="1:16" ht="15" hidden="1" customHeight="1">
      <c r="A6492" s="489">
        <v>64958126</v>
      </c>
      <c r="B6492" s="489">
        <v>1715</v>
      </c>
      <c r="C6492" s="488">
        <v>26250</v>
      </c>
      <c r="D6492" s="597">
        <v>46335</v>
      </c>
      <c r="E6492" s="489" t="s">
        <v>588</v>
      </c>
      <c r="F6492" s="489" t="s">
        <v>1221</v>
      </c>
      <c r="G6492" s="395">
        <f>VLOOKUP($A6492,'Tech Litons'!$A:$I,8,FALSE)</f>
        <v>3.3119999999999998E-3</v>
      </c>
      <c r="H6492" s="174">
        <f>VLOOKUP($A6492,'Tech Litons'!$A:$I,9,FALSE)</f>
        <v>165</v>
      </c>
      <c r="I6492" s="174" t="str">
        <f>VLOOKUP($A6492,'Tech Litons'!$A:$C,3,0)</f>
        <v>Yasso Sticks</v>
      </c>
      <c r="J6492" s="175" t="str">
        <f t="shared" si="727"/>
        <v>1715Yasso Sticks</v>
      </c>
      <c r="K6492" s="176">
        <f>VLOOKUP(I6492,'Attain %'!A:B,2,0)</f>
        <v>0.96</v>
      </c>
      <c r="L6492" s="177">
        <f t="shared" si="728"/>
        <v>25200</v>
      </c>
      <c r="M6492" s="177">
        <f t="shared" si="729"/>
        <v>83.462400000000002</v>
      </c>
      <c r="N6492" s="177">
        <f t="shared" si="730"/>
        <v>152.72727272727272</v>
      </c>
      <c r="O6492" s="175" t="str">
        <f t="shared" si="731"/>
        <v>Nov</v>
      </c>
      <c r="P6492" s="265">
        <f t="shared" si="732"/>
        <v>46</v>
      </c>
    </row>
    <row r="6493" spans="1:16" ht="15" hidden="1" customHeight="1">
      <c r="A6493" s="489">
        <v>64958126</v>
      </c>
      <c r="B6493" s="489">
        <v>1715</v>
      </c>
      <c r="C6493" s="488">
        <v>26250</v>
      </c>
      <c r="D6493" s="597">
        <v>46342</v>
      </c>
      <c r="E6493" s="489" t="s">
        <v>588</v>
      </c>
      <c r="F6493" s="489" t="s">
        <v>1221</v>
      </c>
      <c r="G6493" s="395">
        <f>VLOOKUP($A6493,'Tech Litons'!$A:$I,8,FALSE)</f>
        <v>3.3119999999999998E-3</v>
      </c>
      <c r="H6493" s="174">
        <f>VLOOKUP($A6493,'Tech Litons'!$A:$I,9,FALSE)</f>
        <v>165</v>
      </c>
      <c r="I6493" s="174" t="str">
        <f>VLOOKUP($A6493,'Tech Litons'!$A:$C,3,0)</f>
        <v>Yasso Sticks</v>
      </c>
      <c r="J6493" s="175" t="str">
        <f t="shared" si="727"/>
        <v>1715Yasso Sticks</v>
      </c>
      <c r="K6493" s="176">
        <f>VLOOKUP(I6493,'Attain %'!A:B,2,0)</f>
        <v>0.96</v>
      </c>
      <c r="L6493" s="177">
        <f t="shared" si="728"/>
        <v>25200</v>
      </c>
      <c r="M6493" s="177">
        <f t="shared" si="729"/>
        <v>83.462400000000002</v>
      </c>
      <c r="N6493" s="177">
        <f t="shared" si="730"/>
        <v>152.72727272727272</v>
      </c>
      <c r="O6493" s="175" t="str">
        <f t="shared" si="731"/>
        <v>Nov</v>
      </c>
      <c r="P6493" s="265">
        <f t="shared" si="732"/>
        <v>47</v>
      </c>
    </row>
    <row r="6494" spans="1:16" ht="15" hidden="1" customHeight="1">
      <c r="A6494" s="489">
        <v>64958127</v>
      </c>
      <c r="B6494" s="489">
        <v>1715</v>
      </c>
      <c r="C6494" s="488">
        <v>26250</v>
      </c>
      <c r="D6494" s="597">
        <v>46146</v>
      </c>
      <c r="E6494" s="489" t="s">
        <v>237</v>
      </c>
      <c r="F6494" s="489" t="s">
        <v>1221</v>
      </c>
      <c r="G6494" s="395">
        <f>VLOOKUP($A6494,'Tech Litons'!$A:$I,8,FALSE)</f>
        <v>3.3119999999999998E-3</v>
      </c>
      <c r="H6494" s="174">
        <f>VLOOKUP($A6494,'Tech Litons'!$A:$I,9,FALSE)</f>
        <v>165</v>
      </c>
      <c r="I6494" s="174" t="str">
        <f>VLOOKUP($A6494,'Tech Litons'!$A:$C,3,0)</f>
        <v>Yasso Sticks</v>
      </c>
      <c r="J6494" s="175" t="str">
        <f t="shared" si="727"/>
        <v>1715Yasso Sticks</v>
      </c>
      <c r="K6494" s="176">
        <f>VLOOKUP(I6494,'Attain %'!A:B,2,0)</f>
        <v>0.96</v>
      </c>
      <c r="L6494" s="177">
        <f t="shared" si="728"/>
        <v>25200</v>
      </c>
      <c r="M6494" s="177">
        <f t="shared" si="729"/>
        <v>83.462400000000002</v>
      </c>
      <c r="N6494" s="177">
        <f t="shared" si="730"/>
        <v>152.72727272727272</v>
      </c>
      <c r="O6494" s="175" t="str">
        <f t="shared" si="731"/>
        <v>May</v>
      </c>
      <c r="P6494" s="265">
        <f t="shared" si="732"/>
        <v>19</v>
      </c>
    </row>
    <row r="6495" spans="1:16" ht="15" hidden="1" customHeight="1">
      <c r="A6495" s="489">
        <v>64958127</v>
      </c>
      <c r="B6495" s="489">
        <v>1715</v>
      </c>
      <c r="C6495" s="488">
        <v>26250</v>
      </c>
      <c r="D6495" s="597">
        <v>46153</v>
      </c>
      <c r="E6495" s="489" t="s">
        <v>237</v>
      </c>
      <c r="F6495" s="489" t="s">
        <v>1221</v>
      </c>
      <c r="G6495" s="395">
        <f>VLOOKUP($A6495,'Tech Litons'!$A:$I,8,FALSE)</f>
        <v>3.3119999999999998E-3</v>
      </c>
      <c r="H6495" s="174">
        <f>VLOOKUP($A6495,'Tech Litons'!$A:$I,9,FALSE)</f>
        <v>165</v>
      </c>
      <c r="I6495" s="174" t="str">
        <f>VLOOKUP($A6495,'Tech Litons'!$A:$C,3,0)</f>
        <v>Yasso Sticks</v>
      </c>
      <c r="J6495" s="175" t="str">
        <f t="shared" si="727"/>
        <v>1715Yasso Sticks</v>
      </c>
      <c r="K6495" s="176">
        <f>VLOOKUP(I6495,'Attain %'!A:B,2,0)</f>
        <v>0.96</v>
      </c>
      <c r="L6495" s="177">
        <f t="shared" si="728"/>
        <v>25200</v>
      </c>
      <c r="M6495" s="177">
        <f t="shared" si="729"/>
        <v>83.462400000000002</v>
      </c>
      <c r="N6495" s="177">
        <f t="shared" si="730"/>
        <v>152.72727272727272</v>
      </c>
      <c r="O6495" s="175" t="str">
        <f t="shared" si="731"/>
        <v>May</v>
      </c>
      <c r="P6495" s="265">
        <f t="shared" si="732"/>
        <v>20</v>
      </c>
    </row>
    <row r="6496" spans="1:16" ht="15" hidden="1" customHeight="1">
      <c r="A6496" s="489">
        <v>64958128</v>
      </c>
      <c r="B6496" s="489">
        <v>1715</v>
      </c>
      <c r="C6496" s="488">
        <v>26250</v>
      </c>
      <c r="D6496" s="597">
        <v>46153</v>
      </c>
      <c r="E6496" s="489" t="s">
        <v>235</v>
      </c>
      <c r="F6496" s="489" t="s">
        <v>1221</v>
      </c>
      <c r="G6496" s="395">
        <f>VLOOKUP($A6496,'Tech Litons'!$A:$I,8,FALSE)</f>
        <v>3.3119999999999998E-3</v>
      </c>
      <c r="H6496" s="174">
        <f>VLOOKUP($A6496,'Tech Litons'!$A:$I,9,FALSE)</f>
        <v>165</v>
      </c>
      <c r="I6496" s="174" t="str">
        <f>VLOOKUP($A6496,'Tech Litons'!$A:$C,3,0)</f>
        <v>Yasso Sticks</v>
      </c>
      <c r="J6496" s="175" t="str">
        <f t="shared" si="727"/>
        <v>1715Yasso Sticks</v>
      </c>
      <c r="K6496" s="176">
        <f>VLOOKUP(I6496,'Attain %'!A:B,2,0)</f>
        <v>0.96</v>
      </c>
      <c r="L6496" s="177">
        <f t="shared" si="728"/>
        <v>25200</v>
      </c>
      <c r="M6496" s="177">
        <f t="shared" si="729"/>
        <v>83.462400000000002</v>
      </c>
      <c r="N6496" s="177">
        <f t="shared" si="730"/>
        <v>152.72727272727272</v>
      </c>
      <c r="O6496" s="175" t="str">
        <f t="shared" si="731"/>
        <v>May</v>
      </c>
      <c r="P6496" s="265">
        <f t="shared" si="732"/>
        <v>20</v>
      </c>
    </row>
    <row r="6497" spans="1:16" ht="15" hidden="1" customHeight="1">
      <c r="A6497" s="489">
        <v>64958128</v>
      </c>
      <c r="B6497" s="489">
        <v>1715</v>
      </c>
      <c r="C6497" s="488">
        <v>26250</v>
      </c>
      <c r="D6497" s="597">
        <v>46167</v>
      </c>
      <c r="E6497" s="489" t="s">
        <v>235</v>
      </c>
      <c r="F6497" s="489" t="s">
        <v>1221</v>
      </c>
      <c r="G6497" s="395">
        <f>VLOOKUP($A6497,'Tech Litons'!$A:$I,8,FALSE)</f>
        <v>3.3119999999999998E-3</v>
      </c>
      <c r="H6497" s="174">
        <f>VLOOKUP($A6497,'Tech Litons'!$A:$I,9,FALSE)</f>
        <v>165</v>
      </c>
      <c r="I6497" s="174" t="str">
        <f>VLOOKUP($A6497,'Tech Litons'!$A:$C,3,0)</f>
        <v>Yasso Sticks</v>
      </c>
      <c r="J6497" s="175" t="str">
        <f t="shared" si="727"/>
        <v>1715Yasso Sticks</v>
      </c>
      <c r="K6497" s="176">
        <f>VLOOKUP(I6497,'Attain %'!A:B,2,0)</f>
        <v>0.96</v>
      </c>
      <c r="L6497" s="177">
        <f t="shared" si="728"/>
        <v>25200</v>
      </c>
      <c r="M6497" s="177">
        <f t="shared" si="729"/>
        <v>83.462400000000002</v>
      </c>
      <c r="N6497" s="177">
        <f t="shared" si="730"/>
        <v>152.72727272727272</v>
      </c>
      <c r="O6497" s="175" t="str">
        <f t="shared" si="731"/>
        <v>May</v>
      </c>
      <c r="P6497" s="265">
        <f t="shared" si="732"/>
        <v>22</v>
      </c>
    </row>
    <row r="6498" spans="1:16" ht="15" hidden="1" customHeight="1">
      <c r="A6498" s="489">
        <v>64958128</v>
      </c>
      <c r="B6498" s="489">
        <v>1715</v>
      </c>
      <c r="C6498" s="488">
        <v>26250</v>
      </c>
      <c r="D6498" s="597">
        <v>46174</v>
      </c>
      <c r="E6498" s="489" t="s">
        <v>235</v>
      </c>
      <c r="F6498" s="489" t="s">
        <v>1221</v>
      </c>
      <c r="G6498" s="395">
        <f>VLOOKUP($A6498,'Tech Litons'!$A:$I,8,FALSE)</f>
        <v>3.3119999999999998E-3</v>
      </c>
      <c r="H6498" s="174">
        <f>VLOOKUP($A6498,'Tech Litons'!$A:$I,9,FALSE)</f>
        <v>165</v>
      </c>
      <c r="I6498" s="174" t="str">
        <f>VLOOKUP($A6498,'Tech Litons'!$A:$C,3,0)</f>
        <v>Yasso Sticks</v>
      </c>
      <c r="J6498" s="175" t="str">
        <f t="shared" si="727"/>
        <v>1715Yasso Sticks</v>
      </c>
      <c r="K6498" s="176">
        <f>VLOOKUP(I6498,'Attain %'!A:B,2,0)</f>
        <v>0.96</v>
      </c>
      <c r="L6498" s="177">
        <f t="shared" si="728"/>
        <v>25200</v>
      </c>
      <c r="M6498" s="177">
        <f t="shared" si="729"/>
        <v>83.462400000000002</v>
      </c>
      <c r="N6498" s="177">
        <f t="shared" si="730"/>
        <v>152.72727272727272</v>
      </c>
      <c r="O6498" s="175" t="str">
        <f t="shared" si="731"/>
        <v>Jun</v>
      </c>
      <c r="P6498" s="265">
        <f t="shared" si="732"/>
        <v>23</v>
      </c>
    </row>
    <row r="6499" spans="1:16" ht="15" hidden="1" customHeight="1">
      <c r="A6499" s="489">
        <v>64958128</v>
      </c>
      <c r="B6499" s="489">
        <v>1715</v>
      </c>
      <c r="C6499" s="488">
        <v>26250</v>
      </c>
      <c r="D6499" s="597">
        <v>46181</v>
      </c>
      <c r="E6499" s="489" t="s">
        <v>235</v>
      </c>
      <c r="F6499" s="489" t="s">
        <v>1221</v>
      </c>
      <c r="G6499" s="395">
        <f>VLOOKUP($A6499,'Tech Litons'!$A:$I,8,FALSE)</f>
        <v>3.3119999999999998E-3</v>
      </c>
      <c r="H6499" s="174">
        <f>VLOOKUP($A6499,'Tech Litons'!$A:$I,9,FALSE)</f>
        <v>165</v>
      </c>
      <c r="I6499" s="174" t="str">
        <f>VLOOKUP($A6499,'Tech Litons'!$A:$C,3,0)</f>
        <v>Yasso Sticks</v>
      </c>
      <c r="J6499" s="175" t="str">
        <f t="shared" si="727"/>
        <v>1715Yasso Sticks</v>
      </c>
      <c r="K6499" s="176">
        <f>VLOOKUP(I6499,'Attain %'!A:B,2,0)</f>
        <v>0.96</v>
      </c>
      <c r="L6499" s="177">
        <f t="shared" si="728"/>
        <v>25200</v>
      </c>
      <c r="M6499" s="177">
        <f t="shared" si="729"/>
        <v>83.462400000000002</v>
      </c>
      <c r="N6499" s="177">
        <f t="shared" si="730"/>
        <v>152.72727272727272</v>
      </c>
      <c r="O6499" s="175" t="str">
        <f t="shared" si="731"/>
        <v>Jun</v>
      </c>
      <c r="P6499" s="265">
        <f t="shared" si="732"/>
        <v>24</v>
      </c>
    </row>
    <row r="6500" spans="1:16" ht="15" hidden="1" customHeight="1">
      <c r="A6500" s="489">
        <v>64958128</v>
      </c>
      <c r="B6500" s="489">
        <v>1715</v>
      </c>
      <c r="C6500" s="488">
        <v>26250</v>
      </c>
      <c r="D6500" s="597">
        <v>46188</v>
      </c>
      <c r="E6500" s="489" t="s">
        <v>235</v>
      </c>
      <c r="F6500" s="489" t="s">
        <v>1221</v>
      </c>
      <c r="G6500" s="395">
        <f>VLOOKUP($A6500,'Tech Litons'!$A:$I,8,FALSE)</f>
        <v>3.3119999999999998E-3</v>
      </c>
      <c r="H6500" s="174">
        <f>VLOOKUP($A6500,'Tech Litons'!$A:$I,9,FALSE)</f>
        <v>165</v>
      </c>
      <c r="I6500" s="174" t="str">
        <f>VLOOKUP($A6500,'Tech Litons'!$A:$C,3,0)</f>
        <v>Yasso Sticks</v>
      </c>
      <c r="J6500" s="175" t="str">
        <f t="shared" si="727"/>
        <v>1715Yasso Sticks</v>
      </c>
      <c r="K6500" s="176">
        <f>VLOOKUP(I6500,'Attain %'!A:B,2,0)</f>
        <v>0.96</v>
      </c>
      <c r="L6500" s="177">
        <f t="shared" si="728"/>
        <v>25200</v>
      </c>
      <c r="M6500" s="177">
        <f t="shared" si="729"/>
        <v>83.462400000000002</v>
      </c>
      <c r="N6500" s="177">
        <f t="shared" si="730"/>
        <v>152.72727272727272</v>
      </c>
      <c r="O6500" s="175" t="str">
        <f t="shared" si="731"/>
        <v>Jun</v>
      </c>
      <c r="P6500" s="265">
        <f t="shared" si="732"/>
        <v>25</v>
      </c>
    </row>
    <row r="6501" spans="1:16" ht="15" hidden="1" customHeight="1">
      <c r="A6501" s="489">
        <v>64958129</v>
      </c>
      <c r="B6501" s="489">
        <v>1715</v>
      </c>
      <c r="C6501" s="488">
        <v>26250</v>
      </c>
      <c r="D6501" s="597">
        <v>46160</v>
      </c>
      <c r="E6501" s="489" t="s">
        <v>589</v>
      </c>
      <c r="F6501" s="489" t="s">
        <v>1221</v>
      </c>
      <c r="G6501" s="395">
        <f>VLOOKUP($A6501,'Tech Litons'!$A:$I,8,FALSE)</f>
        <v>3.3119999999999998E-3</v>
      </c>
      <c r="H6501" s="174">
        <f>VLOOKUP($A6501,'Tech Litons'!$A:$I,9,FALSE)</f>
        <v>165</v>
      </c>
      <c r="I6501" s="174" t="str">
        <f>VLOOKUP($A6501,'Tech Litons'!$A:$C,3,0)</f>
        <v>Yasso Sticks</v>
      </c>
      <c r="J6501" s="175" t="str">
        <f t="shared" si="727"/>
        <v>1715Yasso Sticks</v>
      </c>
      <c r="K6501" s="176">
        <f>VLOOKUP(I6501,'Attain %'!A:B,2,0)</f>
        <v>0.96</v>
      </c>
      <c r="L6501" s="177">
        <f t="shared" si="728"/>
        <v>25200</v>
      </c>
      <c r="M6501" s="177">
        <f t="shared" si="729"/>
        <v>83.462400000000002</v>
      </c>
      <c r="N6501" s="177">
        <f t="shared" si="730"/>
        <v>152.72727272727272</v>
      </c>
      <c r="O6501" s="175" t="str">
        <f t="shared" si="731"/>
        <v>May</v>
      </c>
      <c r="P6501" s="265">
        <f t="shared" si="732"/>
        <v>21</v>
      </c>
    </row>
    <row r="6502" spans="1:16" ht="15" hidden="1" customHeight="1">
      <c r="A6502" s="489">
        <v>64958129</v>
      </c>
      <c r="B6502" s="489">
        <v>1715</v>
      </c>
      <c r="C6502" s="488">
        <v>26250</v>
      </c>
      <c r="D6502" s="597">
        <v>46167</v>
      </c>
      <c r="E6502" s="489" t="s">
        <v>589</v>
      </c>
      <c r="F6502" s="489" t="s">
        <v>1221</v>
      </c>
      <c r="G6502" s="395">
        <f>VLOOKUP($A6502,'Tech Litons'!$A:$I,8,FALSE)</f>
        <v>3.3119999999999998E-3</v>
      </c>
      <c r="H6502" s="174">
        <f>VLOOKUP($A6502,'Tech Litons'!$A:$I,9,FALSE)</f>
        <v>165</v>
      </c>
      <c r="I6502" s="174" t="str">
        <f>VLOOKUP($A6502,'Tech Litons'!$A:$C,3,0)</f>
        <v>Yasso Sticks</v>
      </c>
      <c r="J6502" s="175" t="str">
        <f t="shared" si="727"/>
        <v>1715Yasso Sticks</v>
      </c>
      <c r="K6502" s="176">
        <f>VLOOKUP(I6502,'Attain %'!A:B,2,0)</f>
        <v>0.96</v>
      </c>
      <c r="L6502" s="177">
        <f t="shared" si="728"/>
        <v>25200</v>
      </c>
      <c r="M6502" s="177">
        <f t="shared" si="729"/>
        <v>83.462400000000002</v>
      </c>
      <c r="N6502" s="177">
        <f t="shared" si="730"/>
        <v>152.72727272727272</v>
      </c>
      <c r="O6502" s="175" t="str">
        <f t="shared" si="731"/>
        <v>May</v>
      </c>
      <c r="P6502" s="265">
        <f t="shared" si="732"/>
        <v>22</v>
      </c>
    </row>
    <row r="6503" spans="1:16" ht="15" hidden="1" customHeight="1">
      <c r="A6503" s="489">
        <v>64958129</v>
      </c>
      <c r="B6503" s="489">
        <v>1715</v>
      </c>
      <c r="C6503" s="488">
        <v>26250</v>
      </c>
      <c r="D6503" s="597">
        <v>46181</v>
      </c>
      <c r="E6503" s="489" t="s">
        <v>589</v>
      </c>
      <c r="F6503" s="489" t="s">
        <v>1221</v>
      </c>
      <c r="G6503" s="395">
        <f>VLOOKUP($A6503,'Tech Litons'!$A:$I,8,FALSE)</f>
        <v>3.3119999999999998E-3</v>
      </c>
      <c r="H6503" s="174">
        <f>VLOOKUP($A6503,'Tech Litons'!$A:$I,9,FALSE)</f>
        <v>165</v>
      </c>
      <c r="I6503" s="174" t="str">
        <f>VLOOKUP($A6503,'Tech Litons'!$A:$C,3,0)</f>
        <v>Yasso Sticks</v>
      </c>
      <c r="J6503" s="175" t="str">
        <f t="shared" si="727"/>
        <v>1715Yasso Sticks</v>
      </c>
      <c r="K6503" s="176">
        <f>VLOOKUP(I6503,'Attain %'!A:B,2,0)</f>
        <v>0.96</v>
      </c>
      <c r="L6503" s="177">
        <f t="shared" si="728"/>
        <v>25200</v>
      </c>
      <c r="M6503" s="177">
        <f t="shared" si="729"/>
        <v>83.462400000000002</v>
      </c>
      <c r="N6503" s="177">
        <f t="shared" si="730"/>
        <v>152.72727272727272</v>
      </c>
      <c r="O6503" s="175" t="str">
        <f t="shared" si="731"/>
        <v>Jun</v>
      </c>
      <c r="P6503" s="265">
        <f t="shared" si="732"/>
        <v>24</v>
      </c>
    </row>
    <row r="6504" spans="1:16" ht="15" hidden="1" customHeight="1">
      <c r="A6504" s="489">
        <v>64958129</v>
      </c>
      <c r="B6504" s="489">
        <v>1715</v>
      </c>
      <c r="C6504" s="488">
        <v>26250</v>
      </c>
      <c r="D6504" s="597">
        <v>46195</v>
      </c>
      <c r="E6504" s="489" t="s">
        <v>589</v>
      </c>
      <c r="F6504" s="489" t="s">
        <v>1221</v>
      </c>
      <c r="G6504" s="395">
        <f>VLOOKUP($A6504,'Tech Litons'!$A:$I,8,FALSE)</f>
        <v>3.3119999999999998E-3</v>
      </c>
      <c r="H6504" s="174">
        <f>VLOOKUP($A6504,'Tech Litons'!$A:$I,9,FALSE)</f>
        <v>165</v>
      </c>
      <c r="I6504" s="174" t="str">
        <f>VLOOKUP($A6504,'Tech Litons'!$A:$C,3,0)</f>
        <v>Yasso Sticks</v>
      </c>
      <c r="J6504" s="175" t="str">
        <f t="shared" si="727"/>
        <v>1715Yasso Sticks</v>
      </c>
      <c r="K6504" s="176">
        <f>VLOOKUP(I6504,'Attain %'!A:B,2,0)</f>
        <v>0.96</v>
      </c>
      <c r="L6504" s="177">
        <f t="shared" si="728"/>
        <v>25200</v>
      </c>
      <c r="M6504" s="177">
        <f t="shared" si="729"/>
        <v>83.462400000000002</v>
      </c>
      <c r="N6504" s="177">
        <f t="shared" si="730"/>
        <v>152.72727272727272</v>
      </c>
      <c r="O6504" s="175" t="str">
        <f t="shared" si="731"/>
        <v>Jun</v>
      </c>
      <c r="P6504" s="265">
        <f t="shared" si="732"/>
        <v>26</v>
      </c>
    </row>
    <row r="6505" spans="1:16" ht="15" hidden="1" customHeight="1">
      <c r="A6505" s="489">
        <v>64958129</v>
      </c>
      <c r="B6505" s="489">
        <v>1715</v>
      </c>
      <c r="C6505" s="488">
        <v>26250</v>
      </c>
      <c r="D6505" s="597">
        <v>46209</v>
      </c>
      <c r="E6505" s="489" t="s">
        <v>589</v>
      </c>
      <c r="F6505" s="489" t="s">
        <v>1221</v>
      </c>
      <c r="G6505" s="395">
        <f>VLOOKUP($A6505,'Tech Litons'!$A:$I,8,FALSE)</f>
        <v>3.3119999999999998E-3</v>
      </c>
      <c r="H6505" s="174">
        <f>VLOOKUP($A6505,'Tech Litons'!$A:$I,9,FALSE)</f>
        <v>165</v>
      </c>
      <c r="I6505" s="174" t="str">
        <f>VLOOKUP($A6505,'Tech Litons'!$A:$C,3,0)</f>
        <v>Yasso Sticks</v>
      </c>
      <c r="J6505" s="175" t="str">
        <f t="shared" si="727"/>
        <v>1715Yasso Sticks</v>
      </c>
      <c r="K6505" s="176">
        <f>VLOOKUP(I6505,'Attain %'!A:B,2,0)</f>
        <v>0.96</v>
      </c>
      <c r="L6505" s="177">
        <f t="shared" si="728"/>
        <v>25200</v>
      </c>
      <c r="M6505" s="177">
        <f t="shared" si="729"/>
        <v>83.462400000000002</v>
      </c>
      <c r="N6505" s="177">
        <f t="shared" si="730"/>
        <v>152.72727272727272</v>
      </c>
      <c r="O6505" s="175" t="str">
        <f t="shared" si="731"/>
        <v>Jul</v>
      </c>
      <c r="P6505" s="265">
        <f t="shared" si="732"/>
        <v>28</v>
      </c>
    </row>
    <row r="6506" spans="1:16" ht="15" hidden="1" customHeight="1">
      <c r="A6506" s="489">
        <v>64958129</v>
      </c>
      <c r="B6506" s="489">
        <v>1715</v>
      </c>
      <c r="C6506" s="488">
        <v>26250</v>
      </c>
      <c r="D6506" s="597">
        <v>46216</v>
      </c>
      <c r="E6506" s="489" t="s">
        <v>589</v>
      </c>
      <c r="F6506" s="489" t="s">
        <v>1221</v>
      </c>
      <c r="G6506" s="395">
        <f>VLOOKUP($A6506,'Tech Litons'!$A:$I,8,FALSE)</f>
        <v>3.3119999999999998E-3</v>
      </c>
      <c r="H6506" s="174">
        <f>VLOOKUP($A6506,'Tech Litons'!$A:$I,9,FALSE)</f>
        <v>165</v>
      </c>
      <c r="I6506" s="174" t="str">
        <f>VLOOKUP($A6506,'Tech Litons'!$A:$C,3,0)</f>
        <v>Yasso Sticks</v>
      </c>
      <c r="J6506" s="175" t="str">
        <f t="shared" si="727"/>
        <v>1715Yasso Sticks</v>
      </c>
      <c r="K6506" s="176">
        <f>VLOOKUP(I6506,'Attain %'!A:B,2,0)</f>
        <v>0.96</v>
      </c>
      <c r="L6506" s="177">
        <f t="shared" si="728"/>
        <v>25200</v>
      </c>
      <c r="M6506" s="177">
        <f t="shared" si="729"/>
        <v>83.462400000000002</v>
      </c>
      <c r="N6506" s="177">
        <f t="shared" si="730"/>
        <v>152.72727272727272</v>
      </c>
      <c r="O6506" s="175" t="str">
        <f t="shared" si="731"/>
        <v>Jul</v>
      </c>
      <c r="P6506" s="265">
        <f t="shared" si="732"/>
        <v>29</v>
      </c>
    </row>
    <row r="6507" spans="1:16" ht="15" hidden="1" customHeight="1">
      <c r="A6507" s="489">
        <v>64958129</v>
      </c>
      <c r="B6507" s="489">
        <v>1715</v>
      </c>
      <c r="C6507" s="488">
        <v>26250</v>
      </c>
      <c r="D6507" s="597">
        <v>46223</v>
      </c>
      <c r="E6507" s="489" t="s">
        <v>589</v>
      </c>
      <c r="F6507" s="489" t="s">
        <v>1221</v>
      </c>
      <c r="G6507" s="395">
        <f>VLOOKUP($A6507,'Tech Litons'!$A:$I,8,FALSE)</f>
        <v>3.3119999999999998E-3</v>
      </c>
      <c r="H6507" s="174">
        <f>VLOOKUP($A6507,'Tech Litons'!$A:$I,9,FALSE)</f>
        <v>165</v>
      </c>
      <c r="I6507" s="174" t="str">
        <f>VLOOKUP($A6507,'Tech Litons'!$A:$C,3,0)</f>
        <v>Yasso Sticks</v>
      </c>
      <c r="J6507" s="175" t="str">
        <f t="shared" si="727"/>
        <v>1715Yasso Sticks</v>
      </c>
      <c r="K6507" s="176">
        <f>VLOOKUP(I6507,'Attain %'!A:B,2,0)</f>
        <v>0.96</v>
      </c>
      <c r="L6507" s="177">
        <f t="shared" si="728"/>
        <v>25200</v>
      </c>
      <c r="M6507" s="177">
        <f t="shared" si="729"/>
        <v>83.462400000000002</v>
      </c>
      <c r="N6507" s="177">
        <f t="shared" si="730"/>
        <v>152.72727272727272</v>
      </c>
      <c r="O6507" s="175" t="str">
        <f t="shared" si="731"/>
        <v>Jul</v>
      </c>
      <c r="P6507" s="265">
        <f t="shared" si="732"/>
        <v>30</v>
      </c>
    </row>
    <row r="6508" spans="1:16" ht="15" hidden="1" customHeight="1">
      <c r="A6508" s="489">
        <v>64958129</v>
      </c>
      <c r="B6508" s="489">
        <v>1715</v>
      </c>
      <c r="C6508" s="488">
        <v>26250</v>
      </c>
      <c r="D6508" s="597">
        <v>46230</v>
      </c>
      <c r="E6508" s="489" t="s">
        <v>589</v>
      </c>
      <c r="F6508" s="489" t="s">
        <v>1221</v>
      </c>
      <c r="G6508" s="395">
        <f>VLOOKUP($A6508,'Tech Litons'!$A:$I,8,FALSE)</f>
        <v>3.3119999999999998E-3</v>
      </c>
      <c r="H6508" s="174">
        <f>VLOOKUP($A6508,'Tech Litons'!$A:$I,9,FALSE)</f>
        <v>165</v>
      </c>
      <c r="I6508" s="174" t="str">
        <f>VLOOKUP($A6508,'Tech Litons'!$A:$C,3,0)</f>
        <v>Yasso Sticks</v>
      </c>
      <c r="J6508" s="175" t="str">
        <f t="shared" si="727"/>
        <v>1715Yasso Sticks</v>
      </c>
      <c r="K6508" s="176">
        <f>VLOOKUP(I6508,'Attain %'!A:B,2,0)</f>
        <v>0.96</v>
      </c>
      <c r="L6508" s="177">
        <f t="shared" si="728"/>
        <v>25200</v>
      </c>
      <c r="M6508" s="177">
        <f t="shared" si="729"/>
        <v>83.462400000000002</v>
      </c>
      <c r="N6508" s="177">
        <f t="shared" si="730"/>
        <v>152.72727272727272</v>
      </c>
      <c r="O6508" s="175" t="str">
        <f t="shared" si="731"/>
        <v>Jul</v>
      </c>
      <c r="P6508" s="265">
        <f t="shared" si="732"/>
        <v>31</v>
      </c>
    </row>
    <row r="6509" spans="1:16" ht="15" hidden="1" customHeight="1">
      <c r="A6509" s="489">
        <v>64958129</v>
      </c>
      <c r="B6509" s="489">
        <v>1715</v>
      </c>
      <c r="C6509" s="488">
        <v>26250</v>
      </c>
      <c r="D6509" s="597">
        <v>46244</v>
      </c>
      <c r="E6509" s="489" t="s">
        <v>589</v>
      </c>
      <c r="F6509" s="489" t="s">
        <v>1221</v>
      </c>
      <c r="G6509" s="395">
        <f>VLOOKUP($A6509,'Tech Litons'!$A:$I,8,FALSE)</f>
        <v>3.3119999999999998E-3</v>
      </c>
      <c r="H6509" s="174">
        <f>VLOOKUP($A6509,'Tech Litons'!$A:$I,9,FALSE)</f>
        <v>165</v>
      </c>
      <c r="I6509" s="174" t="str">
        <f>VLOOKUP($A6509,'Tech Litons'!$A:$C,3,0)</f>
        <v>Yasso Sticks</v>
      </c>
      <c r="J6509" s="175" t="str">
        <f t="shared" si="727"/>
        <v>1715Yasso Sticks</v>
      </c>
      <c r="K6509" s="176">
        <f>VLOOKUP(I6509,'Attain %'!A:B,2,0)</f>
        <v>0.96</v>
      </c>
      <c r="L6509" s="177">
        <f t="shared" si="728"/>
        <v>25200</v>
      </c>
      <c r="M6509" s="177">
        <f t="shared" si="729"/>
        <v>83.462400000000002</v>
      </c>
      <c r="N6509" s="177">
        <f t="shared" si="730"/>
        <v>152.72727272727272</v>
      </c>
      <c r="O6509" s="175" t="str">
        <f t="shared" si="731"/>
        <v>Aug</v>
      </c>
      <c r="P6509" s="265">
        <f t="shared" si="732"/>
        <v>33</v>
      </c>
    </row>
    <row r="6510" spans="1:16" ht="15" hidden="1" customHeight="1">
      <c r="A6510" s="489">
        <v>64958129</v>
      </c>
      <c r="B6510" s="489">
        <v>1715</v>
      </c>
      <c r="C6510" s="488">
        <v>26250</v>
      </c>
      <c r="D6510" s="597">
        <v>46258</v>
      </c>
      <c r="E6510" s="489" t="s">
        <v>589</v>
      </c>
      <c r="F6510" s="489" t="s">
        <v>1221</v>
      </c>
      <c r="G6510" s="395">
        <f>VLOOKUP($A6510,'Tech Litons'!$A:$I,8,FALSE)</f>
        <v>3.3119999999999998E-3</v>
      </c>
      <c r="H6510" s="174">
        <f>VLOOKUP($A6510,'Tech Litons'!$A:$I,9,FALSE)</f>
        <v>165</v>
      </c>
      <c r="I6510" s="174" t="str">
        <f>VLOOKUP($A6510,'Tech Litons'!$A:$C,3,0)</f>
        <v>Yasso Sticks</v>
      </c>
      <c r="J6510" s="175" t="str">
        <f t="shared" si="727"/>
        <v>1715Yasso Sticks</v>
      </c>
      <c r="K6510" s="176">
        <f>VLOOKUP(I6510,'Attain %'!A:B,2,0)</f>
        <v>0.96</v>
      </c>
      <c r="L6510" s="177">
        <f t="shared" si="728"/>
        <v>25200</v>
      </c>
      <c r="M6510" s="177">
        <f t="shared" si="729"/>
        <v>83.462400000000002</v>
      </c>
      <c r="N6510" s="177">
        <f t="shared" si="730"/>
        <v>152.72727272727272</v>
      </c>
      <c r="O6510" s="175" t="str">
        <f t="shared" si="731"/>
        <v>Aug</v>
      </c>
      <c r="P6510" s="265">
        <f t="shared" si="732"/>
        <v>35</v>
      </c>
    </row>
    <row r="6511" spans="1:16" ht="15" hidden="1" customHeight="1">
      <c r="A6511" s="489">
        <v>64958129</v>
      </c>
      <c r="B6511" s="489">
        <v>1715</v>
      </c>
      <c r="C6511" s="488">
        <v>26250</v>
      </c>
      <c r="D6511" s="597">
        <v>46286</v>
      </c>
      <c r="E6511" s="489" t="s">
        <v>589</v>
      </c>
      <c r="F6511" s="489" t="s">
        <v>1221</v>
      </c>
      <c r="G6511" s="395">
        <f>VLOOKUP($A6511,'Tech Litons'!$A:$I,8,FALSE)</f>
        <v>3.3119999999999998E-3</v>
      </c>
      <c r="H6511" s="174">
        <f>VLOOKUP($A6511,'Tech Litons'!$A:$I,9,FALSE)</f>
        <v>165</v>
      </c>
      <c r="I6511" s="174" t="str">
        <f>VLOOKUP($A6511,'Tech Litons'!$A:$C,3,0)</f>
        <v>Yasso Sticks</v>
      </c>
      <c r="J6511" s="175" t="str">
        <f t="shared" si="727"/>
        <v>1715Yasso Sticks</v>
      </c>
      <c r="K6511" s="176">
        <f>VLOOKUP(I6511,'Attain %'!A:B,2,0)</f>
        <v>0.96</v>
      </c>
      <c r="L6511" s="177">
        <f t="shared" si="728"/>
        <v>25200</v>
      </c>
      <c r="M6511" s="177">
        <f t="shared" si="729"/>
        <v>83.462400000000002</v>
      </c>
      <c r="N6511" s="177">
        <f t="shared" si="730"/>
        <v>152.72727272727272</v>
      </c>
      <c r="O6511" s="175" t="str">
        <f t="shared" si="731"/>
        <v>Sep</v>
      </c>
      <c r="P6511" s="265">
        <f t="shared" si="732"/>
        <v>39</v>
      </c>
    </row>
    <row r="6512" spans="1:16" ht="15" hidden="1" customHeight="1">
      <c r="A6512" s="489">
        <v>64958129</v>
      </c>
      <c r="B6512" s="489">
        <v>1715</v>
      </c>
      <c r="C6512" s="488">
        <v>26250</v>
      </c>
      <c r="D6512" s="597">
        <v>46307</v>
      </c>
      <c r="E6512" s="489" t="s">
        <v>589</v>
      </c>
      <c r="F6512" s="489" t="s">
        <v>1221</v>
      </c>
      <c r="G6512" s="395">
        <f>VLOOKUP($A6512,'Tech Litons'!$A:$I,8,FALSE)</f>
        <v>3.3119999999999998E-3</v>
      </c>
      <c r="H6512" s="174">
        <f>VLOOKUP($A6512,'Tech Litons'!$A:$I,9,FALSE)</f>
        <v>165</v>
      </c>
      <c r="I6512" s="174" t="str">
        <f>VLOOKUP($A6512,'Tech Litons'!$A:$C,3,0)</f>
        <v>Yasso Sticks</v>
      </c>
      <c r="J6512" s="175" t="str">
        <f t="shared" si="727"/>
        <v>1715Yasso Sticks</v>
      </c>
      <c r="K6512" s="176">
        <f>VLOOKUP(I6512,'Attain %'!A:B,2,0)</f>
        <v>0.96</v>
      </c>
      <c r="L6512" s="177">
        <f t="shared" si="728"/>
        <v>25200</v>
      </c>
      <c r="M6512" s="177">
        <f t="shared" si="729"/>
        <v>83.462400000000002</v>
      </c>
      <c r="N6512" s="177">
        <f t="shared" si="730"/>
        <v>152.72727272727272</v>
      </c>
      <c r="O6512" s="175" t="str">
        <f t="shared" si="731"/>
        <v>Oct</v>
      </c>
      <c r="P6512" s="265">
        <f t="shared" si="732"/>
        <v>42</v>
      </c>
    </row>
    <row r="6513" spans="1:16" ht="15" hidden="1" customHeight="1">
      <c r="A6513" s="489">
        <v>64958129</v>
      </c>
      <c r="B6513" s="489">
        <v>1715</v>
      </c>
      <c r="C6513" s="488">
        <v>26250</v>
      </c>
      <c r="D6513" s="597">
        <v>46314</v>
      </c>
      <c r="E6513" s="489" t="s">
        <v>589</v>
      </c>
      <c r="F6513" s="489" t="s">
        <v>1221</v>
      </c>
      <c r="G6513" s="395">
        <f>VLOOKUP($A6513,'Tech Litons'!$A:$I,8,FALSE)</f>
        <v>3.3119999999999998E-3</v>
      </c>
      <c r="H6513" s="174">
        <f>VLOOKUP($A6513,'Tech Litons'!$A:$I,9,FALSE)</f>
        <v>165</v>
      </c>
      <c r="I6513" s="174" t="str">
        <f>VLOOKUP($A6513,'Tech Litons'!$A:$C,3,0)</f>
        <v>Yasso Sticks</v>
      </c>
      <c r="J6513" s="175" t="str">
        <f t="shared" si="727"/>
        <v>1715Yasso Sticks</v>
      </c>
      <c r="K6513" s="176">
        <f>VLOOKUP(I6513,'Attain %'!A:B,2,0)</f>
        <v>0.96</v>
      </c>
      <c r="L6513" s="177">
        <f t="shared" si="728"/>
        <v>25200</v>
      </c>
      <c r="M6513" s="177">
        <f t="shared" si="729"/>
        <v>83.462400000000002</v>
      </c>
      <c r="N6513" s="177">
        <f t="shared" si="730"/>
        <v>152.72727272727272</v>
      </c>
      <c r="O6513" s="175" t="str">
        <f t="shared" si="731"/>
        <v>Oct</v>
      </c>
      <c r="P6513" s="265">
        <f t="shared" si="732"/>
        <v>43</v>
      </c>
    </row>
    <row r="6514" spans="1:16" ht="15" hidden="1" customHeight="1">
      <c r="A6514" s="489">
        <v>64958129</v>
      </c>
      <c r="B6514" s="489">
        <v>1715</v>
      </c>
      <c r="C6514" s="488">
        <v>26250</v>
      </c>
      <c r="D6514" s="597">
        <v>46321</v>
      </c>
      <c r="E6514" s="489" t="s">
        <v>589</v>
      </c>
      <c r="F6514" s="489" t="s">
        <v>1221</v>
      </c>
      <c r="G6514" s="395">
        <f>VLOOKUP($A6514,'Tech Litons'!$A:$I,8,FALSE)</f>
        <v>3.3119999999999998E-3</v>
      </c>
      <c r="H6514" s="174">
        <f>VLOOKUP($A6514,'Tech Litons'!$A:$I,9,FALSE)</f>
        <v>165</v>
      </c>
      <c r="I6514" s="174" t="str">
        <f>VLOOKUP($A6514,'Tech Litons'!$A:$C,3,0)</f>
        <v>Yasso Sticks</v>
      </c>
      <c r="J6514" s="175" t="str">
        <f t="shared" si="727"/>
        <v>1715Yasso Sticks</v>
      </c>
      <c r="K6514" s="176">
        <f>VLOOKUP(I6514,'Attain %'!A:B,2,0)</f>
        <v>0.96</v>
      </c>
      <c r="L6514" s="177">
        <f t="shared" si="728"/>
        <v>25200</v>
      </c>
      <c r="M6514" s="177">
        <f t="shared" si="729"/>
        <v>83.462400000000002</v>
      </c>
      <c r="N6514" s="177">
        <f t="shared" si="730"/>
        <v>152.72727272727272</v>
      </c>
      <c r="O6514" s="175" t="str">
        <f t="shared" si="731"/>
        <v>Oct</v>
      </c>
      <c r="P6514" s="265">
        <f t="shared" si="732"/>
        <v>44</v>
      </c>
    </row>
    <row r="6515" spans="1:16" ht="15" hidden="1" customHeight="1">
      <c r="A6515" s="489">
        <v>64958129</v>
      </c>
      <c r="B6515" s="489">
        <v>1715</v>
      </c>
      <c r="C6515" s="488">
        <v>26250</v>
      </c>
      <c r="D6515" s="597">
        <v>46342</v>
      </c>
      <c r="E6515" s="489" t="s">
        <v>589</v>
      </c>
      <c r="F6515" s="489" t="s">
        <v>1221</v>
      </c>
      <c r="G6515" s="395">
        <f>VLOOKUP($A6515,'Tech Litons'!$A:$I,8,FALSE)</f>
        <v>3.3119999999999998E-3</v>
      </c>
      <c r="H6515" s="174">
        <f>VLOOKUP($A6515,'Tech Litons'!$A:$I,9,FALSE)</f>
        <v>165</v>
      </c>
      <c r="I6515" s="174" t="str">
        <f>VLOOKUP($A6515,'Tech Litons'!$A:$C,3,0)</f>
        <v>Yasso Sticks</v>
      </c>
      <c r="J6515" s="175" t="str">
        <f t="shared" si="727"/>
        <v>1715Yasso Sticks</v>
      </c>
      <c r="K6515" s="176">
        <f>VLOOKUP(I6515,'Attain %'!A:B,2,0)</f>
        <v>0.96</v>
      </c>
      <c r="L6515" s="177">
        <f t="shared" si="728"/>
        <v>25200</v>
      </c>
      <c r="M6515" s="177">
        <f t="shared" si="729"/>
        <v>83.462400000000002</v>
      </c>
      <c r="N6515" s="177">
        <f t="shared" si="730"/>
        <v>152.72727272727272</v>
      </c>
      <c r="O6515" s="175" t="str">
        <f t="shared" si="731"/>
        <v>Nov</v>
      </c>
      <c r="P6515" s="265">
        <f t="shared" si="732"/>
        <v>47</v>
      </c>
    </row>
    <row r="6516" spans="1:16" ht="15" hidden="1" customHeight="1">
      <c r="A6516" s="489">
        <v>64958129</v>
      </c>
      <c r="B6516" s="489">
        <v>1715</v>
      </c>
      <c r="C6516" s="488">
        <v>26250</v>
      </c>
      <c r="D6516" s="597">
        <v>46349</v>
      </c>
      <c r="E6516" s="489" t="s">
        <v>589</v>
      </c>
      <c r="F6516" s="489" t="s">
        <v>1221</v>
      </c>
      <c r="G6516" s="395">
        <f>VLOOKUP($A6516,'Tech Litons'!$A:$I,8,FALSE)</f>
        <v>3.3119999999999998E-3</v>
      </c>
      <c r="H6516" s="174">
        <f>VLOOKUP($A6516,'Tech Litons'!$A:$I,9,FALSE)</f>
        <v>165</v>
      </c>
      <c r="I6516" s="174" t="str">
        <f>VLOOKUP($A6516,'Tech Litons'!$A:$C,3,0)</f>
        <v>Yasso Sticks</v>
      </c>
      <c r="J6516" s="175" t="str">
        <f t="shared" si="727"/>
        <v>1715Yasso Sticks</v>
      </c>
      <c r="K6516" s="176">
        <f>VLOOKUP(I6516,'Attain %'!A:B,2,0)</f>
        <v>0.96</v>
      </c>
      <c r="L6516" s="177">
        <f t="shared" si="728"/>
        <v>25200</v>
      </c>
      <c r="M6516" s="177">
        <f t="shared" si="729"/>
        <v>83.462400000000002</v>
      </c>
      <c r="N6516" s="177">
        <f t="shared" si="730"/>
        <v>152.72727272727272</v>
      </c>
      <c r="O6516" s="175" t="str">
        <f t="shared" si="731"/>
        <v>Nov</v>
      </c>
      <c r="P6516" s="265">
        <f t="shared" si="732"/>
        <v>48</v>
      </c>
    </row>
    <row r="6517" spans="1:16" ht="15" hidden="1" customHeight="1">
      <c r="A6517" s="489">
        <v>64958129</v>
      </c>
      <c r="B6517" s="489">
        <v>1715</v>
      </c>
      <c r="C6517" s="488">
        <v>26250</v>
      </c>
      <c r="D6517" s="597">
        <v>46370</v>
      </c>
      <c r="E6517" s="489" t="s">
        <v>589</v>
      </c>
      <c r="F6517" s="489" t="s">
        <v>1221</v>
      </c>
      <c r="G6517" s="395">
        <f>VLOOKUP($A6517,'Tech Litons'!$A:$I,8,FALSE)</f>
        <v>3.3119999999999998E-3</v>
      </c>
      <c r="H6517" s="174">
        <f>VLOOKUP($A6517,'Tech Litons'!$A:$I,9,FALSE)</f>
        <v>165</v>
      </c>
      <c r="I6517" s="174" t="str">
        <f>VLOOKUP($A6517,'Tech Litons'!$A:$C,3,0)</f>
        <v>Yasso Sticks</v>
      </c>
      <c r="J6517" s="175" t="str">
        <f t="shared" si="727"/>
        <v>1715Yasso Sticks</v>
      </c>
      <c r="K6517" s="176">
        <f>VLOOKUP(I6517,'Attain %'!A:B,2,0)</f>
        <v>0.96</v>
      </c>
      <c r="L6517" s="177">
        <f t="shared" si="728"/>
        <v>25200</v>
      </c>
      <c r="M6517" s="177">
        <f t="shared" si="729"/>
        <v>83.462400000000002</v>
      </c>
      <c r="N6517" s="177">
        <f t="shared" si="730"/>
        <v>152.72727272727272</v>
      </c>
      <c r="O6517" s="175" t="str">
        <f t="shared" si="731"/>
        <v>Dec</v>
      </c>
      <c r="P6517" s="265">
        <f t="shared" si="732"/>
        <v>51</v>
      </c>
    </row>
    <row r="6518" spans="1:16" ht="15" hidden="1" customHeight="1">
      <c r="A6518" s="489">
        <v>64958129</v>
      </c>
      <c r="B6518" s="489">
        <v>1715</v>
      </c>
      <c r="C6518" s="488">
        <v>26250</v>
      </c>
      <c r="D6518" s="597">
        <v>46377</v>
      </c>
      <c r="E6518" s="489" t="s">
        <v>589</v>
      </c>
      <c r="F6518" s="489" t="s">
        <v>1221</v>
      </c>
      <c r="G6518" s="395">
        <f>VLOOKUP($A6518,'Tech Litons'!$A:$I,8,FALSE)</f>
        <v>3.3119999999999998E-3</v>
      </c>
      <c r="H6518" s="174">
        <f>VLOOKUP($A6518,'Tech Litons'!$A:$I,9,FALSE)</f>
        <v>165</v>
      </c>
      <c r="I6518" s="174" t="str">
        <f>VLOOKUP($A6518,'Tech Litons'!$A:$C,3,0)</f>
        <v>Yasso Sticks</v>
      </c>
      <c r="J6518" s="175" t="str">
        <f t="shared" si="727"/>
        <v>1715Yasso Sticks</v>
      </c>
      <c r="K6518" s="176">
        <f>VLOOKUP(I6518,'Attain %'!A:B,2,0)</f>
        <v>0.96</v>
      </c>
      <c r="L6518" s="177">
        <f t="shared" si="728"/>
        <v>25200</v>
      </c>
      <c r="M6518" s="177">
        <f t="shared" si="729"/>
        <v>83.462400000000002</v>
      </c>
      <c r="N6518" s="177">
        <f t="shared" si="730"/>
        <v>152.72727272727272</v>
      </c>
      <c r="O6518" s="175" t="str">
        <f t="shared" si="731"/>
        <v>Dec</v>
      </c>
      <c r="P6518" s="265">
        <f t="shared" si="732"/>
        <v>52</v>
      </c>
    </row>
    <row r="6519" spans="1:16" ht="15" hidden="1" customHeight="1">
      <c r="A6519" s="489">
        <v>64976837</v>
      </c>
      <c r="B6519" s="489">
        <v>1715</v>
      </c>
      <c r="C6519" s="488">
        <v>26250</v>
      </c>
      <c r="D6519" s="597">
        <v>46293</v>
      </c>
      <c r="E6519" s="489" t="s">
        <v>239</v>
      </c>
      <c r="F6519" s="489" t="s">
        <v>1221</v>
      </c>
      <c r="G6519" s="395">
        <f>VLOOKUP($A6519,'Tech Litons'!$A:$I,8,FALSE)</f>
        <v>2.5040000000000001E-3</v>
      </c>
      <c r="H6519" s="174">
        <f>VLOOKUP($A6519,'Tech Litons'!$A:$I,9,FALSE)</f>
        <v>165</v>
      </c>
      <c r="I6519" s="174" t="str">
        <f>VLOOKUP($A6519,'Tech Litons'!$A:$C,3,0)</f>
        <v>Yasso Sticks</v>
      </c>
      <c r="J6519" s="175" t="str">
        <f t="shared" si="727"/>
        <v>1715Yasso Sticks</v>
      </c>
      <c r="K6519" s="176">
        <f>VLOOKUP(I6519,'Attain %'!A:B,2,0)</f>
        <v>0.96</v>
      </c>
      <c r="L6519" s="177">
        <f t="shared" si="728"/>
        <v>25200</v>
      </c>
      <c r="M6519" s="177">
        <f t="shared" si="729"/>
        <v>63.100800000000007</v>
      </c>
      <c r="N6519" s="177">
        <f t="shared" si="730"/>
        <v>152.72727272727272</v>
      </c>
      <c r="O6519" s="175" t="str">
        <f t="shared" si="731"/>
        <v>Sep</v>
      </c>
      <c r="P6519" s="265">
        <f t="shared" si="732"/>
        <v>40</v>
      </c>
    </row>
    <row r="6520" spans="1:16" ht="15" hidden="1" customHeight="1">
      <c r="A6520" s="489">
        <v>64976846</v>
      </c>
      <c r="B6520" s="489">
        <v>1715</v>
      </c>
      <c r="C6520" s="488">
        <v>26250</v>
      </c>
      <c r="D6520" s="597">
        <v>46146</v>
      </c>
      <c r="E6520" s="489" t="s">
        <v>603</v>
      </c>
      <c r="F6520" s="489" t="s">
        <v>1221</v>
      </c>
      <c r="G6520" s="395">
        <f>VLOOKUP($A6520,'Tech Litons'!$A:$I,8,FALSE)</f>
        <v>2.5040000000000001E-3</v>
      </c>
      <c r="H6520" s="174">
        <f>VLOOKUP($A6520,'Tech Litons'!$A:$I,9,FALSE)</f>
        <v>165</v>
      </c>
      <c r="I6520" s="174" t="str">
        <f>VLOOKUP($A6520,'Tech Litons'!$A:$C,3,0)</f>
        <v>Yasso Sticks</v>
      </c>
      <c r="J6520" s="175" t="str">
        <f t="shared" ref="J6520:J6583" si="733">B6520&amp;I6520</f>
        <v>1715Yasso Sticks</v>
      </c>
      <c r="K6520" s="176">
        <f>VLOOKUP(I6520,'Attain %'!A:B,2,0)</f>
        <v>0.96</v>
      </c>
      <c r="L6520" s="177">
        <f t="shared" ref="L6520:L6583" si="734">C6520*$K6520</f>
        <v>25200</v>
      </c>
      <c r="M6520" s="177">
        <f t="shared" ref="M6520:M6583" si="735">L6520*G6520</f>
        <v>63.100800000000007</v>
      </c>
      <c r="N6520" s="177">
        <f t="shared" ref="N6520:N6583" si="736">L6520/H6520</f>
        <v>152.72727272727272</v>
      </c>
      <c r="O6520" s="175" t="str">
        <f t="shared" ref="O6520:O6583" si="737">TEXT(D6520,"MMM")</f>
        <v>May</v>
      </c>
      <c r="P6520" s="265">
        <f t="shared" ref="P6520:P6583" si="738">WEEKNUM(D6520)</f>
        <v>19</v>
      </c>
    </row>
    <row r="6521" spans="1:16" ht="15" hidden="1" customHeight="1">
      <c r="A6521" s="489">
        <v>64976846</v>
      </c>
      <c r="B6521" s="489">
        <v>1715</v>
      </c>
      <c r="C6521" s="488">
        <v>26250</v>
      </c>
      <c r="D6521" s="597">
        <v>46174</v>
      </c>
      <c r="E6521" s="489" t="s">
        <v>603</v>
      </c>
      <c r="F6521" s="489" t="s">
        <v>1221</v>
      </c>
      <c r="G6521" s="395">
        <f>VLOOKUP($A6521,'Tech Litons'!$A:$I,8,FALSE)</f>
        <v>2.5040000000000001E-3</v>
      </c>
      <c r="H6521" s="174">
        <f>VLOOKUP($A6521,'Tech Litons'!$A:$I,9,FALSE)</f>
        <v>165</v>
      </c>
      <c r="I6521" s="174" t="str">
        <f>VLOOKUP($A6521,'Tech Litons'!$A:$C,3,0)</f>
        <v>Yasso Sticks</v>
      </c>
      <c r="J6521" s="175" t="str">
        <f t="shared" si="733"/>
        <v>1715Yasso Sticks</v>
      </c>
      <c r="K6521" s="176">
        <f>VLOOKUP(I6521,'Attain %'!A:B,2,0)</f>
        <v>0.96</v>
      </c>
      <c r="L6521" s="177">
        <f t="shared" si="734"/>
        <v>25200</v>
      </c>
      <c r="M6521" s="177">
        <f t="shared" si="735"/>
        <v>63.100800000000007</v>
      </c>
      <c r="N6521" s="177">
        <f t="shared" si="736"/>
        <v>152.72727272727272</v>
      </c>
      <c r="O6521" s="175" t="str">
        <f t="shared" si="737"/>
        <v>Jun</v>
      </c>
      <c r="P6521" s="265">
        <f t="shared" si="738"/>
        <v>23</v>
      </c>
    </row>
    <row r="6522" spans="1:16" ht="15" hidden="1" customHeight="1">
      <c r="A6522" s="489">
        <v>64976847</v>
      </c>
      <c r="B6522" s="489">
        <v>1715</v>
      </c>
      <c r="C6522" s="488">
        <v>26250</v>
      </c>
      <c r="D6522" s="597">
        <v>46174</v>
      </c>
      <c r="E6522" s="489" t="s">
        <v>590</v>
      </c>
      <c r="F6522" s="489" t="s">
        <v>1221</v>
      </c>
      <c r="G6522" s="395">
        <f>VLOOKUP($A6522,'Tech Litons'!$A:$I,8,FALSE)</f>
        <v>2.5040000000000001E-3</v>
      </c>
      <c r="H6522" s="174">
        <f>VLOOKUP($A6522,'Tech Litons'!$A:$I,9,FALSE)</f>
        <v>165</v>
      </c>
      <c r="I6522" s="174" t="str">
        <f>VLOOKUP($A6522,'Tech Litons'!$A:$C,3,0)</f>
        <v>Yasso Sticks</v>
      </c>
      <c r="J6522" s="175" t="str">
        <f t="shared" si="733"/>
        <v>1715Yasso Sticks</v>
      </c>
      <c r="K6522" s="176">
        <f>VLOOKUP(I6522,'Attain %'!A:B,2,0)</f>
        <v>0.96</v>
      </c>
      <c r="L6522" s="177">
        <f t="shared" si="734"/>
        <v>25200</v>
      </c>
      <c r="M6522" s="177">
        <f t="shared" si="735"/>
        <v>63.100800000000007</v>
      </c>
      <c r="N6522" s="177">
        <f t="shared" si="736"/>
        <v>152.72727272727272</v>
      </c>
      <c r="O6522" s="175" t="str">
        <f t="shared" si="737"/>
        <v>Jun</v>
      </c>
      <c r="P6522" s="265">
        <f t="shared" si="738"/>
        <v>23</v>
      </c>
    </row>
    <row r="6523" spans="1:16" ht="15" hidden="1" customHeight="1">
      <c r="A6523" s="489">
        <v>64976847</v>
      </c>
      <c r="B6523" s="489">
        <v>1715</v>
      </c>
      <c r="C6523" s="488">
        <v>26250</v>
      </c>
      <c r="D6523" s="597">
        <v>46181</v>
      </c>
      <c r="E6523" s="489" t="s">
        <v>590</v>
      </c>
      <c r="F6523" s="489" t="s">
        <v>1221</v>
      </c>
      <c r="G6523" s="395">
        <f>VLOOKUP($A6523,'Tech Litons'!$A:$I,8,FALSE)</f>
        <v>2.5040000000000001E-3</v>
      </c>
      <c r="H6523" s="174">
        <f>VLOOKUP($A6523,'Tech Litons'!$A:$I,9,FALSE)</f>
        <v>165</v>
      </c>
      <c r="I6523" s="174" t="str">
        <f>VLOOKUP($A6523,'Tech Litons'!$A:$C,3,0)</f>
        <v>Yasso Sticks</v>
      </c>
      <c r="J6523" s="175" t="str">
        <f t="shared" si="733"/>
        <v>1715Yasso Sticks</v>
      </c>
      <c r="K6523" s="176">
        <f>VLOOKUP(I6523,'Attain %'!A:B,2,0)</f>
        <v>0.96</v>
      </c>
      <c r="L6523" s="177">
        <f t="shared" si="734"/>
        <v>25200</v>
      </c>
      <c r="M6523" s="177">
        <f t="shared" si="735"/>
        <v>63.100800000000007</v>
      </c>
      <c r="N6523" s="177">
        <f t="shared" si="736"/>
        <v>152.72727272727272</v>
      </c>
      <c r="O6523" s="175" t="str">
        <f t="shared" si="737"/>
        <v>Jun</v>
      </c>
      <c r="P6523" s="265">
        <f t="shared" si="738"/>
        <v>24</v>
      </c>
    </row>
    <row r="6524" spans="1:16" ht="15" hidden="1" customHeight="1">
      <c r="A6524" s="489">
        <v>64976847</v>
      </c>
      <c r="B6524" s="489">
        <v>1715</v>
      </c>
      <c r="C6524" s="488">
        <v>26250</v>
      </c>
      <c r="D6524" s="597">
        <v>46195</v>
      </c>
      <c r="E6524" s="489" t="s">
        <v>590</v>
      </c>
      <c r="F6524" s="489" t="s">
        <v>1221</v>
      </c>
      <c r="G6524" s="395">
        <f>VLOOKUP($A6524,'Tech Litons'!$A:$I,8,FALSE)</f>
        <v>2.5040000000000001E-3</v>
      </c>
      <c r="H6524" s="174">
        <f>VLOOKUP($A6524,'Tech Litons'!$A:$I,9,FALSE)</f>
        <v>165</v>
      </c>
      <c r="I6524" s="174" t="str">
        <f>VLOOKUP($A6524,'Tech Litons'!$A:$C,3,0)</f>
        <v>Yasso Sticks</v>
      </c>
      <c r="J6524" s="175" t="str">
        <f t="shared" si="733"/>
        <v>1715Yasso Sticks</v>
      </c>
      <c r="K6524" s="176">
        <f>VLOOKUP(I6524,'Attain %'!A:B,2,0)</f>
        <v>0.96</v>
      </c>
      <c r="L6524" s="177">
        <f t="shared" si="734"/>
        <v>25200</v>
      </c>
      <c r="M6524" s="177">
        <f t="shared" si="735"/>
        <v>63.100800000000007</v>
      </c>
      <c r="N6524" s="177">
        <f t="shared" si="736"/>
        <v>152.72727272727272</v>
      </c>
      <c r="O6524" s="175" t="str">
        <f t="shared" si="737"/>
        <v>Jun</v>
      </c>
      <c r="P6524" s="265">
        <f t="shared" si="738"/>
        <v>26</v>
      </c>
    </row>
    <row r="6525" spans="1:16" ht="15" hidden="1" customHeight="1">
      <c r="A6525" s="489">
        <v>64976847</v>
      </c>
      <c r="B6525" s="489">
        <v>1715</v>
      </c>
      <c r="C6525" s="488">
        <v>26250</v>
      </c>
      <c r="D6525" s="597">
        <v>46216</v>
      </c>
      <c r="E6525" s="489" t="s">
        <v>590</v>
      </c>
      <c r="F6525" s="489" t="s">
        <v>1221</v>
      </c>
      <c r="G6525" s="395">
        <f>VLOOKUP($A6525,'Tech Litons'!$A:$I,8,FALSE)</f>
        <v>2.5040000000000001E-3</v>
      </c>
      <c r="H6525" s="174">
        <f>VLOOKUP($A6525,'Tech Litons'!$A:$I,9,FALSE)</f>
        <v>165</v>
      </c>
      <c r="I6525" s="174" t="str">
        <f>VLOOKUP($A6525,'Tech Litons'!$A:$C,3,0)</f>
        <v>Yasso Sticks</v>
      </c>
      <c r="J6525" s="175" t="str">
        <f t="shared" si="733"/>
        <v>1715Yasso Sticks</v>
      </c>
      <c r="K6525" s="176">
        <f>VLOOKUP(I6525,'Attain %'!A:B,2,0)</f>
        <v>0.96</v>
      </c>
      <c r="L6525" s="177">
        <f t="shared" si="734"/>
        <v>25200</v>
      </c>
      <c r="M6525" s="177">
        <f t="shared" si="735"/>
        <v>63.100800000000007</v>
      </c>
      <c r="N6525" s="177">
        <f t="shared" si="736"/>
        <v>152.72727272727272</v>
      </c>
      <c r="O6525" s="175" t="str">
        <f t="shared" si="737"/>
        <v>Jul</v>
      </c>
      <c r="P6525" s="265">
        <f t="shared" si="738"/>
        <v>29</v>
      </c>
    </row>
    <row r="6526" spans="1:16" ht="15" hidden="1" customHeight="1">
      <c r="A6526" s="489">
        <v>64976847</v>
      </c>
      <c r="B6526" s="489">
        <v>1715</v>
      </c>
      <c r="C6526" s="488">
        <v>26250</v>
      </c>
      <c r="D6526" s="597">
        <v>46223</v>
      </c>
      <c r="E6526" s="489" t="s">
        <v>590</v>
      </c>
      <c r="F6526" s="489" t="s">
        <v>1221</v>
      </c>
      <c r="G6526" s="395">
        <f>VLOOKUP($A6526,'Tech Litons'!$A:$I,8,FALSE)</f>
        <v>2.5040000000000001E-3</v>
      </c>
      <c r="H6526" s="174">
        <f>VLOOKUP($A6526,'Tech Litons'!$A:$I,9,FALSE)</f>
        <v>165</v>
      </c>
      <c r="I6526" s="174" t="str">
        <f>VLOOKUP($A6526,'Tech Litons'!$A:$C,3,0)</f>
        <v>Yasso Sticks</v>
      </c>
      <c r="J6526" s="175" t="str">
        <f t="shared" si="733"/>
        <v>1715Yasso Sticks</v>
      </c>
      <c r="K6526" s="176">
        <f>VLOOKUP(I6526,'Attain %'!A:B,2,0)</f>
        <v>0.96</v>
      </c>
      <c r="L6526" s="177">
        <f t="shared" si="734"/>
        <v>25200</v>
      </c>
      <c r="M6526" s="177">
        <f t="shared" si="735"/>
        <v>63.100800000000007</v>
      </c>
      <c r="N6526" s="177">
        <f t="shared" si="736"/>
        <v>152.72727272727272</v>
      </c>
      <c r="O6526" s="175" t="str">
        <f t="shared" si="737"/>
        <v>Jul</v>
      </c>
      <c r="P6526" s="265">
        <f t="shared" si="738"/>
        <v>30</v>
      </c>
    </row>
    <row r="6527" spans="1:16" ht="15" hidden="1" customHeight="1">
      <c r="A6527" s="489">
        <v>64976847</v>
      </c>
      <c r="B6527" s="489">
        <v>1715</v>
      </c>
      <c r="C6527" s="488">
        <v>26250</v>
      </c>
      <c r="D6527" s="597">
        <v>46230</v>
      </c>
      <c r="E6527" s="489" t="s">
        <v>590</v>
      </c>
      <c r="F6527" s="489" t="s">
        <v>1221</v>
      </c>
      <c r="G6527" s="395">
        <f>VLOOKUP($A6527,'Tech Litons'!$A:$I,8,FALSE)</f>
        <v>2.5040000000000001E-3</v>
      </c>
      <c r="H6527" s="174">
        <f>VLOOKUP($A6527,'Tech Litons'!$A:$I,9,FALSE)</f>
        <v>165</v>
      </c>
      <c r="I6527" s="174" t="str">
        <f>VLOOKUP($A6527,'Tech Litons'!$A:$C,3,0)</f>
        <v>Yasso Sticks</v>
      </c>
      <c r="J6527" s="175" t="str">
        <f t="shared" si="733"/>
        <v>1715Yasso Sticks</v>
      </c>
      <c r="K6527" s="176">
        <f>VLOOKUP(I6527,'Attain %'!A:B,2,0)</f>
        <v>0.96</v>
      </c>
      <c r="L6527" s="177">
        <f t="shared" si="734"/>
        <v>25200</v>
      </c>
      <c r="M6527" s="177">
        <f t="shared" si="735"/>
        <v>63.100800000000007</v>
      </c>
      <c r="N6527" s="177">
        <f t="shared" si="736"/>
        <v>152.72727272727272</v>
      </c>
      <c r="O6527" s="175" t="str">
        <f t="shared" si="737"/>
        <v>Jul</v>
      </c>
      <c r="P6527" s="265">
        <f t="shared" si="738"/>
        <v>31</v>
      </c>
    </row>
    <row r="6528" spans="1:16" ht="15" hidden="1" customHeight="1">
      <c r="A6528" s="489">
        <v>64976847</v>
      </c>
      <c r="B6528" s="489">
        <v>1715</v>
      </c>
      <c r="C6528" s="488">
        <v>26250</v>
      </c>
      <c r="D6528" s="597">
        <v>46244</v>
      </c>
      <c r="E6528" s="489" t="s">
        <v>590</v>
      </c>
      <c r="F6528" s="489" t="s">
        <v>1221</v>
      </c>
      <c r="G6528" s="395">
        <f>VLOOKUP($A6528,'Tech Litons'!$A:$I,8,FALSE)</f>
        <v>2.5040000000000001E-3</v>
      </c>
      <c r="H6528" s="174">
        <f>VLOOKUP($A6528,'Tech Litons'!$A:$I,9,FALSE)</f>
        <v>165</v>
      </c>
      <c r="I6528" s="174" t="str">
        <f>VLOOKUP($A6528,'Tech Litons'!$A:$C,3,0)</f>
        <v>Yasso Sticks</v>
      </c>
      <c r="J6528" s="175" t="str">
        <f t="shared" si="733"/>
        <v>1715Yasso Sticks</v>
      </c>
      <c r="K6528" s="176">
        <f>VLOOKUP(I6528,'Attain %'!A:B,2,0)</f>
        <v>0.96</v>
      </c>
      <c r="L6528" s="177">
        <f t="shared" si="734"/>
        <v>25200</v>
      </c>
      <c r="M6528" s="177">
        <f t="shared" si="735"/>
        <v>63.100800000000007</v>
      </c>
      <c r="N6528" s="177">
        <f t="shared" si="736"/>
        <v>152.72727272727272</v>
      </c>
      <c r="O6528" s="175" t="str">
        <f t="shared" si="737"/>
        <v>Aug</v>
      </c>
      <c r="P6528" s="265">
        <f t="shared" si="738"/>
        <v>33</v>
      </c>
    </row>
    <row r="6529" spans="1:16" ht="15" hidden="1" customHeight="1">
      <c r="A6529" s="489">
        <v>64976847</v>
      </c>
      <c r="B6529" s="489">
        <v>1715</v>
      </c>
      <c r="C6529" s="488">
        <v>26250</v>
      </c>
      <c r="D6529" s="597">
        <v>46251</v>
      </c>
      <c r="E6529" s="489" t="s">
        <v>590</v>
      </c>
      <c r="F6529" s="489" t="s">
        <v>1221</v>
      </c>
      <c r="G6529" s="395">
        <f>VLOOKUP($A6529,'Tech Litons'!$A:$I,8,FALSE)</f>
        <v>2.5040000000000001E-3</v>
      </c>
      <c r="H6529" s="174">
        <f>VLOOKUP($A6529,'Tech Litons'!$A:$I,9,FALSE)</f>
        <v>165</v>
      </c>
      <c r="I6529" s="174" t="str">
        <f>VLOOKUP($A6529,'Tech Litons'!$A:$C,3,0)</f>
        <v>Yasso Sticks</v>
      </c>
      <c r="J6529" s="175" t="str">
        <f t="shared" si="733"/>
        <v>1715Yasso Sticks</v>
      </c>
      <c r="K6529" s="176">
        <f>VLOOKUP(I6529,'Attain %'!A:B,2,0)</f>
        <v>0.96</v>
      </c>
      <c r="L6529" s="177">
        <f t="shared" si="734"/>
        <v>25200</v>
      </c>
      <c r="M6529" s="177">
        <f t="shared" si="735"/>
        <v>63.100800000000007</v>
      </c>
      <c r="N6529" s="177">
        <f t="shared" si="736"/>
        <v>152.72727272727272</v>
      </c>
      <c r="O6529" s="175" t="str">
        <f t="shared" si="737"/>
        <v>Aug</v>
      </c>
      <c r="P6529" s="265">
        <f t="shared" si="738"/>
        <v>34</v>
      </c>
    </row>
    <row r="6530" spans="1:16" ht="15" hidden="1" customHeight="1">
      <c r="A6530" s="489">
        <v>64976847</v>
      </c>
      <c r="B6530" s="489">
        <v>1715</v>
      </c>
      <c r="C6530" s="488">
        <v>26250</v>
      </c>
      <c r="D6530" s="597">
        <v>46258</v>
      </c>
      <c r="E6530" s="489" t="s">
        <v>590</v>
      </c>
      <c r="F6530" s="489" t="s">
        <v>1221</v>
      </c>
      <c r="G6530" s="395">
        <f>VLOOKUP($A6530,'Tech Litons'!$A:$I,8,FALSE)</f>
        <v>2.5040000000000001E-3</v>
      </c>
      <c r="H6530" s="174">
        <f>VLOOKUP($A6530,'Tech Litons'!$A:$I,9,FALSE)</f>
        <v>165</v>
      </c>
      <c r="I6530" s="174" t="str">
        <f>VLOOKUP($A6530,'Tech Litons'!$A:$C,3,0)</f>
        <v>Yasso Sticks</v>
      </c>
      <c r="J6530" s="175" t="str">
        <f t="shared" si="733"/>
        <v>1715Yasso Sticks</v>
      </c>
      <c r="K6530" s="176">
        <f>VLOOKUP(I6530,'Attain %'!A:B,2,0)</f>
        <v>0.96</v>
      </c>
      <c r="L6530" s="177">
        <f t="shared" si="734"/>
        <v>25200</v>
      </c>
      <c r="M6530" s="177">
        <f t="shared" si="735"/>
        <v>63.100800000000007</v>
      </c>
      <c r="N6530" s="177">
        <f t="shared" si="736"/>
        <v>152.72727272727272</v>
      </c>
      <c r="O6530" s="175" t="str">
        <f t="shared" si="737"/>
        <v>Aug</v>
      </c>
      <c r="P6530" s="265">
        <f t="shared" si="738"/>
        <v>35</v>
      </c>
    </row>
    <row r="6531" spans="1:16" ht="15" hidden="1" customHeight="1">
      <c r="A6531" s="489">
        <v>64976847</v>
      </c>
      <c r="B6531" s="489">
        <v>1715</v>
      </c>
      <c r="C6531" s="488">
        <v>26250</v>
      </c>
      <c r="D6531" s="597">
        <v>46272</v>
      </c>
      <c r="E6531" s="489" t="s">
        <v>590</v>
      </c>
      <c r="F6531" s="489" t="s">
        <v>1221</v>
      </c>
      <c r="G6531" s="395">
        <f>VLOOKUP($A6531,'Tech Litons'!$A:$I,8,FALSE)</f>
        <v>2.5040000000000001E-3</v>
      </c>
      <c r="H6531" s="174">
        <f>VLOOKUP($A6531,'Tech Litons'!$A:$I,9,FALSE)</f>
        <v>165</v>
      </c>
      <c r="I6531" s="174" t="str">
        <f>VLOOKUP($A6531,'Tech Litons'!$A:$C,3,0)</f>
        <v>Yasso Sticks</v>
      </c>
      <c r="J6531" s="175" t="str">
        <f t="shared" si="733"/>
        <v>1715Yasso Sticks</v>
      </c>
      <c r="K6531" s="176">
        <f>VLOOKUP(I6531,'Attain %'!A:B,2,0)</f>
        <v>0.96</v>
      </c>
      <c r="L6531" s="177">
        <f t="shared" si="734"/>
        <v>25200</v>
      </c>
      <c r="M6531" s="177">
        <f t="shared" si="735"/>
        <v>63.100800000000007</v>
      </c>
      <c r="N6531" s="177">
        <f t="shared" si="736"/>
        <v>152.72727272727272</v>
      </c>
      <c r="O6531" s="175" t="str">
        <f t="shared" si="737"/>
        <v>Sep</v>
      </c>
      <c r="P6531" s="265">
        <f t="shared" si="738"/>
        <v>37</v>
      </c>
    </row>
    <row r="6532" spans="1:16" ht="15" hidden="1" customHeight="1">
      <c r="A6532" s="489">
        <v>64976847</v>
      </c>
      <c r="B6532" s="489">
        <v>1715</v>
      </c>
      <c r="C6532" s="488">
        <v>26250</v>
      </c>
      <c r="D6532" s="597">
        <v>46307</v>
      </c>
      <c r="E6532" s="489" t="s">
        <v>590</v>
      </c>
      <c r="F6532" s="489" t="s">
        <v>1221</v>
      </c>
      <c r="G6532" s="395">
        <f>VLOOKUP($A6532,'Tech Litons'!$A:$I,8,FALSE)</f>
        <v>2.5040000000000001E-3</v>
      </c>
      <c r="H6532" s="174">
        <f>VLOOKUP($A6532,'Tech Litons'!$A:$I,9,FALSE)</f>
        <v>165</v>
      </c>
      <c r="I6532" s="174" t="str">
        <f>VLOOKUP($A6532,'Tech Litons'!$A:$C,3,0)</f>
        <v>Yasso Sticks</v>
      </c>
      <c r="J6532" s="175" t="str">
        <f t="shared" si="733"/>
        <v>1715Yasso Sticks</v>
      </c>
      <c r="K6532" s="176">
        <f>VLOOKUP(I6532,'Attain %'!A:B,2,0)</f>
        <v>0.96</v>
      </c>
      <c r="L6532" s="177">
        <f t="shared" si="734"/>
        <v>25200</v>
      </c>
      <c r="M6532" s="177">
        <f t="shared" si="735"/>
        <v>63.100800000000007</v>
      </c>
      <c r="N6532" s="177">
        <f t="shared" si="736"/>
        <v>152.72727272727272</v>
      </c>
      <c r="O6532" s="175" t="str">
        <f t="shared" si="737"/>
        <v>Oct</v>
      </c>
      <c r="P6532" s="265">
        <f t="shared" si="738"/>
        <v>42</v>
      </c>
    </row>
    <row r="6533" spans="1:16" ht="15" hidden="1" customHeight="1">
      <c r="A6533" s="489">
        <v>64976847</v>
      </c>
      <c r="B6533" s="489">
        <v>1715</v>
      </c>
      <c r="C6533" s="488">
        <v>26250</v>
      </c>
      <c r="D6533" s="597">
        <v>46314</v>
      </c>
      <c r="E6533" s="489" t="s">
        <v>590</v>
      </c>
      <c r="F6533" s="489" t="s">
        <v>1221</v>
      </c>
      <c r="G6533" s="395">
        <f>VLOOKUP($A6533,'Tech Litons'!$A:$I,8,FALSE)</f>
        <v>2.5040000000000001E-3</v>
      </c>
      <c r="H6533" s="174">
        <f>VLOOKUP($A6533,'Tech Litons'!$A:$I,9,FALSE)</f>
        <v>165</v>
      </c>
      <c r="I6533" s="174" t="str">
        <f>VLOOKUP($A6533,'Tech Litons'!$A:$C,3,0)</f>
        <v>Yasso Sticks</v>
      </c>
      <c r="J6533" s="175" t="str">
        <f t="shared" si="733"/>
        <v>1715Yasso Sticks</v>
      </c>
      <c r="K6533" s="176">
        <f>VLOOKUP(I6533,'Attain %'!A:B,2,0)</f>
        <v>0.96</v>
      </c>
      <c r="L6533" s="177">
        <f t="shared" si="734"/>
        <v>25200</v>
      </c>
      <c r="M6533" s="177">
        <f t="shared" si="735"/>
        <v>63.100800000000007</v>
      </c>
      <c r="N6533" s="177">
        <f t="shared" si="736"/>
        <v>152.72727272727272</v>
      </c>
      <c r="O6533" s="175" t="str">
        <f t="shared" si="737"/>
        <v>Oct</v>
      </c>
      <c r="P6533" s="265">
        <f t="shared" si="738"/>
        <v>43</v>
      </c>
    </row>
    <row r="6534" spans="1:16" ht="15" hidden="1" customHeight="1">
      <c r="A6534" s="489">
        <v>64976847</v>
      </c>
      <c r="B6534" s="489">
        <v>1715</v>
      </c>
      <c r="C6534" s="488">
        <v>26250</v>
      </c>
      <c r="D6534" s="597">
        <v>46328</v>
      </c>
      <c r="E6534" s="489" t="s">
        <v>590</v>
      </c>
      <c r="F6534" s="489" t="s">
        <v>1221</v>
      </c>
      <c r="G6534" s="395">
        <f>VLOOKUP($A6534,'Tech Litons'!$A:$I,8,FALSE)</f>
        <v>2.5040000000000001E-3</v>
      </c>
      <c r="H6534" s="174">
        <f>VLOOKUP($A6534,'Tech Litons'!$A:$I,9,FALSE)</f>
        <v>165</v>
      </c>
      <c r="I6534" s="174" t="str">
        <f>VLOOKUP($A6534,'Tech Litons'!$A:$C,3,0)</f>
        <v>Yasso Sticks</v>
      </c>
      <c r="J6534" s="175" t="str">
        <f t="shared" si="733"/>
        <v>1715Yasso Sticks</v>
      </c>
      <c r="K6534" s="176">
        <f>VLOOKUP(I6534,'Attain %'!A:B,2,0)</f>
        <v>0.96</v>
      </c>
      <c r="L6534" s="177">
        <f t="shared" si="734"/>
        <v>25200</v>
      </c>
      <c r="M6534" s="177">
        <f t="shared" si="735"/>
        <v>63.100800000000007</v>
      </c>
      <c r="N6534" s="177">
        <f t="shared" si="736"/>
        <v>152.72727272727272</v>
      </c>
      <c r="O6534" s="175" t="str">
        <f t="shared" si="737"/>
        <v>Nov</v>
      </c>
      <c r="P6534" s="265">
        <f t="shared" si="738"/>
        <v>45</v>
      </c>
    </row>
    <row r="6535" spans="1:16" ht="15" hidden="1" customHeight="1">
      <c r="A6535" s="489">
        <v>64976847</v>
      </c>
      <c r="B6535" s="489">
        <v>1715</v>
      </c>
      <c r="C6535" s="488">
        <v>26250</v>
      </c>
      <c r="D6535" s="597">
        <v>46342</v>
      </c>
      <c r="E6535" s="489" t="s">
        <v>590</v>
      </c>
      <c r="F6535" s="489" t="s">
        <v>1221</v>
      </c>
      <c r="G6535" s="395">
        <f>VLOOKUP($A6535,'Tech Litons'!$A:$I,8,FALSE)</f>
        <v>2.5040000000000001E-3</v>
      </c>
      <c r="H6535" s="174">
        <f>VLOOKUP($A6535,'Tech Litons'!$A:$I,9,FALSE)</f>
        <v>165</v>
      </c>
      <c r="I6535" s="174" t="str">
        <f>VLOOKUP($A6535,'Tech Litons'!$A:$C,3,0)</f>
        <v>Yasso Sticks</v>
      </c>
      <c r="J6535" s="175" t="str">
        <f t="shared" si="733"/>
        <v>1715Yasso Sticks</v>
      </c>
      <c r="K6535" s="176">
        <f>VLOOKUP(I6535,'Attain %'!A:B,2,0)</f>
        <v>0.96</v>
      </c>
      <c r="L6535" s="177">
        <f t="shared" si="734"/>
        <v>25200</v>
      </c>
      <c r="M6535" s="177">
        <f t="shared" si="735"/>
        <v>63.100800000000007</v>
      </c>
      <c r="N6535" s="177">
        <f t="shared" si="736"/>
        <v>152.72727272727272</v>
      </c>
      <c r="O6535" s="175" t="str">
        <f t="shared" si="737"/>
        <v>Nov</v>
      </c>
      <c r="P6535" s="265">
        <f t="shared" si="738"/>
        <v>47</v>
      </c>
    </row>
    <row r="6536" spans="1:16" ht="15" hidden="1" customHeight="1">
      <c r="A6536" s="489">
        <v>64976847</v>
      </c>
      <c r="B6536" s="489">
        <v>1715</v>
      </c>
      <c r="C6536" s="488">
        <v>26250</v>
      </c>
      <c r="D6536" s="597">
        <v>46356</v>
      </c>
      <c r="E6536" s="489" t="s">
        <v>590</v>
      </c>
      <c r="F6536" s="489" t="s">
        <v>1221</v>
      </c>
      <c r="G6536" s="395">
        <f>VLOOKUP($A6536,'Tech Litons'!$A:$I,8,FALSE)</f>
        <v>2.5040000000000001E-3</v>
      </c>
      <c r="H6536" s="174">
        <f>VLOOKUP($A6536,'Tech Litons'!$A:$I,9,FALSE)</f>
        <v>165</v>
      </c>
      <c r="I6536" s="174" t="str">
        <f>VLOOKUP($A6536,'Tech Litons'!$A:$C,3,0)</f>
        <v>Yasso Sticks</v>
      </c>
      <c r="J6536" s="175" t="str">
        <f t="shared" si="733"/>
        <v>1715Yasso Sticks</v>
      </c>
      <c r="K6536" s="176">
        <f>VLOOKUP(I6536,'Attain %'!A:B,2,0)</f>
        <v>0.96</v>
      </c>
      <c r="L6536" s="177">
        <f t="shared" si="734"/>
        <v>25200</v>
      </c>
      <c r="M6536" s="177">
        <f t="shared" si="735"/>
        <v>63.100800000000007</v>
      </c>
      <c r="N6536" s="177">
        <f t="shared" si="736"/>
        <v>152.72727272727272</v>
      </c>
      <c r="O6536" s="175" t="str">
        <f t="shared" si="737"/>
        <v>Nov</v>
      </c>
      <c r="P6536" s="265">
        <f t="shared" si="738"/>
        <v>49</v>
      </c>
    </row>
    <row r="6537" spans="1:16" ht="15" hidden="1" customHeight="1">
      <c r="A6537" s="489">
        <v>64976847</v>
      </c>
      <c r="B6537" s="489">
        <v>1715</v>
      </c>
      <c r="C6537" s="488">
        <v>26250</v>
      </c>
      <c r="D6537" s="597">
        <v>46370</v>
      </c>
      <c r="E6537" s="489" t="s">
        <v>590</v>
      </c>
      <c r="F6537" s="489" t="s">
        <v>1221</v>
      </c>
      <c r="G6537" s="395">
        <f>VLOOKUP($A6537,'Tech Litons'!$A:$I,8,FALSE)</f>
        <v>2.5040000000000001E-3</v>
      </c>
      <c r="H6537" s="174">
        <f>VLOOKUP($A6537,'Tech Litons'!$A:$I,9,FALSE)</f>
        <v>165</v>
      </c>
      <c r="I6537" s="174" t="str">
        <f>VLOOKUP($A6537,'Tech Litons'!$A:$C,3,0)</f>
        <v>Yasso Sticks</v>
      </c>
      <c r="J6537" s="175" t="str">
        <f t="shared" si="733"/>
        <v>1715Yasso Sticks</v>
      </c>
      <c r="K6537" s="176">
        <f>VLOOKUP(I6537,'Attain %'!A:B,2,0)</f>
        <v>0.96</v>
      </c>
      <c r="L6537" s="177">
        <f t="shared" si="734"/>
        <v>25200</v>
      </c>
      <c r="M6537" s="177">
        <f t="shared" si="735"/>
        <v>63.100800000000007</v>
      </c>
      <c r="N6537" s="177">
        <f t="shared" si="736"/>
        <v>152.72727272727272</v>
      </c>
      <c r="O6537" s="175" t="str">
        <f t="shared" si="737"/>
        <v>Dec</v>
      </c>
      <c r="P6537" s="265">
        <f t="shared" si="738"/>
        <v>51</v>
      </c>
    </row>
    <row r="6538" spans="1:16" ht="15" hidden="1" customHeight="1">
      <c r="A6538" s="489">
        <v>64976848</v>
      </c>
      <c r="B6538" s="489">
        <v>1715</v>
      </c>
      <c r="C6538" s="488">
        <v>26250</v>
      </c>
      <c r="D6538" s="597">
        <v>46146</v>
      </c>
      <c r="E6538" s="489" t="s">
        <v>232</v>
      </c>
      <c r="F6538" s="489" t="s">
        <v>1221</v>
      </c>
      <c r="G6538" s="395">
        <f>VLOOKUP($A6538,'Tech Litons'!$A:$I,8,FALSE)</f>
        <v>2.5040000000000001E-3</v>
      </c>
      <c r="H6538" s="174">
        <f>VLOOKUP($A6538,'Tech Litons'!$A:$I,9,FALSE)</f>
        <v>165</v>
      </c>
      <c r="I6538" s="174" t="str">
        <f>VLOOKUP($A6538,'Tech Litons'!$A:$C,3,0)</f>
        <v>Yasso Sticks</v>
      </c>
      <c r="J6538" s="175" t="str">
        <f t="shared" si="733"/>
        <v>1715Yasso Sticks</v>
      </c>
      <c r="K6538" s="176">
        <f>VLOOKUP(I6538,'Attain %'!A:B,2,0)</f>
        <v>0.96</v>
      </c>
      <c r="L6538" s="177">
        <f t="shared" si="734"/>
        <v>25200</v>
      </c>
      <c r="M6538" s="177">
        <f t="shared" si="735"/>
        <v>63.100800000000007</v>
      </c>
      <c r="N6538" s="177">
        <f t="shared" si="736"/>
        <v>152.72727272727272</v>
      </c>
      <c r="O6538" s="175" t="str">
        <f t="shared" si="737"/>
        <v>May</v>
      </c>
      <c r="P6538" s="265">
        <f t="shared" si="738"/>
        <v>19</v>
      </c>
    </row>
    <row r="6539" spans="1:16" ht="15" hidden="1" customHeight="1">
      <c r="A6539" s="489">
        <v>64976848</v>
      </c>
      <c r="B6539" s="489">
        <v>1715</v>
      </c>
      <c r="C6539" s="488">
        <v>26250</v>
      </c>
      <c r="D6539" s="597">
        <v>46153</v>
      </c>
      <c r="E6539" s="489" t="s">
        <v>232</v>
      </c>
      <c r="F6539" s="489" t="s">
        <v>1221</v>
      </c>
      <c r="G6539" s="395">
        <f>VLOOKUP($A6539,'Tech Litons'!$A:$I,8,FALSE)</f>
        <v>2.5040000000000001E-3</v>
      </c>
      <c r="H6539" s="174">
        <f>VLOOKUP($A6539,'Tech Litons'!$A:$I,9,FALSE)</f>
        <v>165</v>
      </c>
      <c r="I6539" s="174" t="str">
        <f>VLOOKUP($A6539,'Tech Litons'!$A:$C,3,0)</f>
        <v>Yasso Sticks</v>
      </c>
      <c r="J6539" s="175" t="str">
        <f t="shared" si="733"/>
        <v>1715Yasso Sticks</v>
      </c>
      <c r="K6539" s="176">
        <f>VLOOKUP(I6539,'Attain %'!A:B,2,0)</f>
        <v>0.96</v>
      </c>
      <c r="L6539" s="177">
        <f t="shared" si="734"/>
        <v>25200</v>
      </c>
      <c r="M6539" s="177">
        <f t="shared" si="735"/>
        <v>63.100800000000007</v>
      </c>
      <c r="N6539" s="177">
        <f t="shared" si="736"/>
        <v>152.72727272727272</v>
      </c>
      <c r="O6539" s="175" t="str">
        <f t="shared" si="737"/>
        <v>May</v>
      </c>
      <c r="P6539" s="265">
        <f t="shared" si="738"/>
        <v>20</v>
      </c>
    </row>
    <row r="6540" spans="1:16" ht="15" hidden="1" customHeight="1">
      <c r="A6540" s="489">
        <v>64976848</v>
      </c>
      <c r="B6540" s="489">
        <v>1715</v>
      </c>
      <c r="C6540" s="488">
        <v>26250</v>
      </c>
      <c r="D6540" s="597">
        <v>46286</v>
      </c>
      <c r="E6540" s="489" t="s">
        <v>232</v>
      </c>
      <c r="F6540" s="489" t="s">
        <v>1221</v>
      </c>
      <c r="G6540" s="395">
        <f>VLOOKUP($A6540,'Tech Litons'!$A:$I,8,FALSE)</f>
        <v>2.5040000000000001E-3</v>
      </c>
      <c r="H6540" s="174">
        <f>VLOOKUP($A6540,'Tech Litons'!$A:$I,9,FALSE)</f>
        <v>165</v>
      </c>
      <c r="I6540" s="174" t="str">
        <f>VLOOKUP($A6540,'Tech Litons'!$A:$C,3,0)</f>
        <v>Yasso Sticks</v>
      </c>
      <c r="J6540" s="175" t="str">
        <f t="shared" si="733"/>
        <v>1715Yasso Sticks</v>
      </c>
      <c r="K6540" s="176">
        <f>VLOOKUP(I6540,'Attain %'!A:B,2,0)</f>
        <v>0.96</v>
      </c>
      <c r="L6540" s="177">
        <f t="shared" si="734"/>
        <v>25200</v>
      </c>
      <c r="M6540" s="177">
        <f t="shared" si="735"/>
        <v>63.100800000000007</v>
      </c>
      <c r="N6540" s="177">
        <f t="shared" si="736"/>
        <v>152.72727272727272</v>
      </c>
      <c r="O6540" s="175" t="str">
        <f t="shared" si="737"/>
        <v>Sep</v>
      </c>
      <c r="P6540" s="265">
        <f t="shared" si="738"/>
        <v>39</v>
      </c>
    </row>
    <row r="6541" spans="1:16" ht="15" hidden="1" customHeight="1">
      <c r="A6541" s="489">
        <v>64976848</v>
      </c>
      <c r="B6541" s="489">
        <v>1715</v>
      </c>
      <c r="C6541" s="488">
        <v>26250</v>
      </c>
      <c r="D6541" s="597">
        <v>46363</v>
      </c>
      <c r="E6541" s="489" t="s">
        <v>232</v>
      </c>
      <c r="F6541" s="489" t="s">
        <v>1221</v>
      </c>
      <c r="G6541" s="395">
        <f>VLOOKUP($A6541,'Tech Litons'!$A:$I,8,FALSE)</f>
        <v>2.5040000000000001E-3</v>
      </c>
      <c r="H6541" s="174">
        <f>VLOOKUP($A6541,'Tech Litons'!$A:$I,9,FALSE)</f>
        <v>165</v>
      </c>
      <c r="I6541" s="174" t="str">
        <f>VLOOKUP($A6541,'Tech Litons'!$A:$C,3,0)</f>
        <v>Yasso Sticks</v>
      </c>
      <c r="J6541" s="175" t="str">
        <f t="shared" si="733"/>
        <v>1715Yasso Sticks</v>
      </c>
      <c r="K6541" s="176">
        <f>VLOOKUP(I6541,'Attain %'!A:B,2,0)</f>
        <v>0.96</v>
      </c>
      <c r="L6541" s="177">
        <f t="shared" si="734"/>
        <v>25200</v>
      </c>
      <c r="M6541" s="177">
        <f t="shared" si="735"/>
        <v>63.100800000000007</v>
      </c>
      <c r="N6541" s="177">
        <f t="shared" si="736"/>
        <v>152.72727272727272</v>
      </c>
      <c r="O6541" s="175" t="str">
        <f t="shared" si="737"/>
        <v>Dec</v>
      </c>
      <c r="P6541" s="265">
        <f t="shared" si="738"/>
        <v>50</v>
      </c>
    </row>
    <row r="6542" spans="1:16" ht="15" hidden="1" customHeight="1">
      <c r="A6542" s="489">
        <v>64976849</v>
      </c>
      <c r="B6542" s="489">
        <v>1715</v>
      </c>
      <c r="C6542" s="488">
        <v>26250</v>
      </c>
      <c r="D6542" s="597">
        <v>46146</v>
      </c>
      <c r="E6542" s="489" t="s">
        <v>233</v>
      </c>
      <c r="F6542" s="489" t="s">
        <v>1221</v>
      </c>
      <c r="G6542" s="395">
        <f>VLOOKUP($A6542,'Tech Litons'!$A:$I,8,FALSE)</f>
        <v>2.5040000000000001E-3</v>
      </c>
      <c r="H6542" s="174">
        <f>VLOOKUP($A6542,'Tech Litons'!$A:$I,9,FALSE)</f>
        <v>165</v>
      </c>
      <c r="I6542" s="174" t="str">
        <f>VLOOKUP($A6542,'Tech Litons'!$A:$C,3,0)</f>
        <v>Yasso Sticks</v>
      </c>
      <c r="J6542" s="175" t="str">
        <f t="shared" si="733"/>
        <v>1715Yasso Sticks</v>
      </c>
      <c r="K6542" s="176">
        <f>VLOOKUP(I6542,'Attain %'!A:B,2,0)</f>
        <v>0.96</v>
      </c>
      <c r="L6542" s="177">
        <f t="shared" si="734"/>
        <v>25200</v>
      </c>
      <c r="M6542" s="177">
        <f t="shared" si="735"/>
        <v>63.100800000000007</v>
      </c>
      <c r="N6542" s="177">
        <f t="shared" si="736"/>
        <v>152.72727272727272</v>
      </c>
      <c r="O6542" s="175" t="str">
        <f t="shared" si="737"/>
        <v>May</v>
      </c>
      <c r="P6542" s="265">
        <f t="shared" si="738"/>
        <v>19</v>
      </c>
    </row>
    <row r="6543" spans="1:16" ht="15" hidden="1" customHeight="1">
      <c r="A6543" s="489">
        <v>64976849</v>
      </c>
      <c r="B6543" s="489">
        <v>1715</v>
      </c>
      <c r="C6543" s="488">
        <v>26250</v>
      </c>
      <c r="D6543" s="597">
        <v>46160</v>
      </c>
      <c r="E6543" s="489" t="s">
        <v>233</v>
      </c>
      <c r="F6543" s="489" t="s">
        <v>1221</v>
      </c>
      <c r="G6543" s="395">
        <f>VLOOKUP($A6543,'Tech Litons'!$A:$I,8,FALSE)</f>
        <v>2.5040000000000001E-3</v>
      </c>
      <c r="H6543" s="174">
        <f>VLOOKUP($A6543,'Tech Litons'!$A:$I,9,FALSE)</f>
        <v>165</v>
      </c>
      <c r="I6543" s="174" t="str">
        <f>VLOOKUP($A6543,'Tech Litons'!$A:$C,3,0)</f>
        <v>Yasso Sticks</v>
      </c>
      <c r="J6543" s="175" t="str">
        <f t="shared" si="733"/>
        <v>1715Yasso Sticks</v>
      </c>
      <c r="K6543" s="176">
        <f>VLOOKUP(I6543,'Attain %'!A:B,2,0)</f>
        <v>0.96</v>
      </c>
      <c r="L6543" s="177">
        <f t="shared" si="734"/>
        <v>25200</v>
      </c>
      <c r="M6543" s="177">
        <f t="shared" si="735"/>
        <v>63.100800000000007</v>
      </c>
      <c r="N6543" s="177">
        <f t="shared" si="736"/>
        <v>152.72727272727272</v>
      </c>
      <c r="O6543" s="175" t="str">
        <f t="shared" si="737"/>
        <v>May</v>
      </c>
      <c r="P6543" s="265">
        <f t="shared" si="738"/>
        <v>21</v>
      </c>
    </row>
    <row r="6544" spans="1:16" ht="15" hidden="1" customHeight="1">
      <c r="A6544" s="489">
        <v>64976850</v>
      </c>
      <c r="B6544" s="489">
        <v>1715</v>
      </c>
      <c r="C6544" s="488">
        <v>26250</v>
      </c>
      <c r="D6544" s="597">
        <v>46188</v>
      </c>
      <c r="E6544" s="489" t="s">
        <v>591</v>
      </c>
      <c r="F6544" s="489" t="s">
        <v>1221</v>
      </c>
      <c r="G6544" s="395">
        <f>VLOOKUP($A6544,'Tech Litons'!$A:$I,8,FALSE)</f>
        <v>2.5040000000000001E-3</v>
      </c>
      <c r="H6544" s="174">
        <f>VLOOKUP($A6544,'Tech Litons'!$A:$I,9,FALSE)</f>
        <v>165</v>
      </c>
      <c r="I6544" s="174" t="str">
        <f>VLOOKUP($A6544,'Tech Litons'!$A:$C,3,0)</f>
        <v>Yasso Sticks</v>
      </c>
      <c r="J6544" s="175" t="str">
        <f t="shared" si="733"/>
        <v>1715Yasso Sticks</v>
      </c>
      <c r="K6544" s="176">
        <f>VLOOKUP(I6544,'Attain %'!A:B,2,0)</f>
        <v>0.96</v>
      </c>
      <c r="L6544" s="177">
        <f t="shared" si="734"/>
        <v>25200</v>
      </c>
      <c r="M6544" s="177">
        <f t="shared" si="735"/>
        <v>63.100800000000007</v>
      </c>
      <c r="N6544" s="177">
        <f t="shared" si="736"/>
        <v>152.72727272727272</v>
      </c>
      <c r="O6544" s="175" t="str">
        <f t="shared" si="737"/>
        <v>Jun</v>
      </c>
      <c r="P6544" s="265">
        <f t="shared" si="738"/>
        <v>25</v>
      </c>
    </row>
    <row r="6545" spans="1:16" ht="15" hidden="1" customHeight="1">
      <c r="A6545" s="489">
        <v>64976851</v>
      </c>
      <c r="B6545" s="489">
        <v>1715</v>
      </c>
      <c r="C6545" s="488">
        <v>26250</v>
      </c>
      <c r="D6545" s="597">
        <v>46153</v>
      </c>
      <c r="E6545" s="489" t="s">
        <v>592</v>
      </c>
      <c r="F6545" s="489" t="s">
        <v>1221</v>
      </c>
      <c r="G6545" s="395">
        <f>VLOOKUP($A6545,'Tech Litons'!$A:$I,8,FALSE)</f>
        <v>2.5040000000000001E-3</v>
      </c>
      <c r="H6545" s="174">
        <f>VLOOKUP($A6545,'Tech Litons'!$A:$I,9,FALSE)</f>
        <v>165</v>
      </c>
      <c r="I6545" s="174" t="str">
        <f>VLOOKUP($A6545,'Tech Litons'!$A:$C,3,0)</f>
        <v>Yasso Sticks</v>
      </c>
      <c r="J6545" s="175" t="str">
        <f t="shared" si="733"/>
        <v>1715Yasso Sticks</v>
      </c>
      <c r="K6545" s="176">
        <f>VLOOKUP(I6545,'Attain %'!A:B,2,0)</f>
        <v>0.96</v>
      </c>
      <c r="L6545" s="177">
        <f t="shared" si="734"/>
        <v>25200</v>
      </c>
      <c r="M6545" s="177">
        <f t="shared" si="735"/>
        <v>63.100800000000007</v>
      </c>
      <c r="N6545" s="177">
        <f t="shared" si="736"/>
        <v>152.72727272727272</v>
      </c>
      <c r="O6545" s="175" t="str">
        <f t="shared" si="737"/>
        <v>May</v>
      </c>
      <c r="P6545" s="265">
        <f t="shared" si="738"/>
        <v>20</v>
      </c>
    </row>
    <row r="6546" spans="1:16" ht="15" hidden="1" customHeight="1">
      <c r="A6546" s="489">
        <v>64786654</v>
      </c>
      <c r="B6546" s="489">
        <v>1352</v>
      </c>
      <c r="C6546" s="488">
        <v>26400</v>
      </c>
      <c r="D6546" s="597">
        <v>46160</v>
      </c>
      <c r="E6546" s="489" t="s">
        <v>484</v>
      </c>
      <c r="F6546" s="489" t="s">
        <v>1215</v>
      </c>
      <c r="G6546" s="395">
        <f>VLOOKUP($A6546,'Tech Litons'!$A:$I,8,FALSE)</f>
        <v>3.8959999999999997E-3</v>
      </c>
      <c r="H6546" s="174">
        <f>VLOOKUP($A6546,'Tech Litons'!$A:$I,9,FALSE)</f>
        <v>154</v>
      </c>
      <c r="I6546" s="174" t="str">
        <f>VLOOKUP($A6546,'Tech Litons'!$A:$C,3,0)</f>
        <v>MBG</v>
      </c>
      <c r="J6546" s="175" t="str">
        <f t="shared" si="733"/>
        <v>1352MBG</v>
      </c>
      <c r="K6546" s="176">
        <f>VLOOKUP(I6546,'Attain %'!A:B,2,0)</f>
        <v>0.96</v>
      </c>
      <c r="L6546" s="177">
        <f t="shared" si="734"/>
        <v>25344</v>
      </c>
      <c r="M6546" s="177">
        <f t="shared" si="735"/>
        <v>98.740223999999998</v>
      </c>
      <c r="N6546" s="177">
        <f t="shared" si="736"/>
        <v>164.57142857142858</v>
      </c>
      <c r="O6546" s="175" t="str">
        <f t="shared" si="737"/>
        <v>May</v>
      </c>
      <c r="P6546" s="265">
        <f t="shared" si="738"/>
        <v>21</v>
      </c>
    </row>
    <row r="6547" spans="1:16" ht="15" hidden="1" customHeight="1">
      <c r="A6547" s="489">
        <v>64786666</v>
      </c>
      <c r="B6547" s="489">
        <v>1352</v>
      </c>
      <c r="C6547" s="488">
        <v>26400</v>
      </c>
      <c r="D6547" s="597">
        <v>46146</v>
      </c>
      <c r="E6547" s="489" t="s">
        <v>405</v>
      </c>
      <c r="F6547" s="489" t="s">
        <v>1215</v>
      </c>
      <c r="G6547" s="395">
        <f>VLOOKUP($A6547,'Tech Litons'!$A:$I,8,FALSE)</f>
        <v>4.2560000000000002E-3</v>
      </c>
      <c r="H6547" s="174">
        <f>VLOOKUP($A6547,'Tech Litons'!$A:$I,9,FALSE)</f>
        <v>154</v>
      </c>
      <c r="I6547" s="174" t="str">
        <f>VLOOKUP($A6547,'Tech Litons'!$A:$C,3,0)</f>
        <v>MBG</v>
      </c>
      <c r="J6547" s="175" t="str">
        <f t="shared" si="733"/>
        <v>1352MBG</v>
      </c>
      <c r="K6547" s="176">
        <f>VLOOKUP(I6547,'Attain %'!A:B,2,0)</f>
        <v>0.96</v>
      </c>
      <c r="L6547" s="177">
        <f t="shared" si="734"/>
        <v>25344</v>
      </c>
      <c r="M6547" s="177">
        <f t="shared" si="735"/>
        <v>107.864064</v>
      </c>
      <c r="N6547" s="177">
        <f t="shared" si="736"/>
        <v>164.57142857142858</v>
      </c>
      <c r="O6547" s="175" t="str">
        <f t="shared" si="737"/>
        <v>May</v>
      </c>
      <c r="P6547" s="265">
        <f t="shared" si="738"/>
        <v>19</v>
      </c>
    </row>
    <row r="6548" spans="1:16" ht="15" hidden="1" customHeight="1">
      <c r="A6548" s="489">
        <v>68741742</v>
      </c>
      <c r="B6548" s="489">
        <v>1352</v>
      </c>
      <c r="C6548" s="488">
        <v>26400</v>
      </c>
      <c r="D6548" s="597">
        <v>46125</v>
      </c>
      <c r="E6548" s="489" t="s">
        <v>288</v>
      </c>
      <c r="F6548" s="489" t="s">
        <v>1215</v>
      </c>
      <c r="G6548" s="395">
        <f>VLOOKUP($A6548,'Tech Litons'!$A:$I,8,FALSE)</f>
        <v>4.2560000000000002E-3</v>
      </c>
      <c r="H6548" s="174">
        <f>VLOOKUP($A6548,'Tech Litons'!$A:$I,9,FALSE)</f>
        <v>154</v>
      </c>
      <c r="I6548" s="174" t="str">
        <f>VLOOKUP($A6548,'Tech Litons'!$A:$C,3,0)</f>
        <v>MBG</v>
      </c>
      <c r="J6548" s="175" t="str">
        <f t="shared" si="733"/>
        <v>1352MBG</v>
      </c>
      <c r="K6548" s="176">
        <f>VLOOKUP(I6548,'Attain %'!A:B,2,0)</f>
        <v>0.96</v>
      </c>
      <c r="L6548" s="177">
        <f t="shared" si="734"/>
        <v>25344</v>
      </c>
      <c r="M6548" s="177">
        <f t="shared" si="735"/>
        <v>107.864064</v>
      </c>
      <c r="N6548" s="177">
        <f t="shared" si="736"/>
        <v>164.57142857142858</v>
      </c>
      <c r="O6548" s="175" t="str">
        <f t="shared" si="737"/>
        <v>Apr</v>
      </c>
      <c r="P6548" s="265">
        <f t="shared" si="738"/>
        <v>16</v>
      </c>
    </row>
    <row r="6549" spans="1:16" ht="15" hidden="1" customHeight="1">
      <c r="A6549" s="489">
        <v>68741742</v>
      </c>
      <c r="B6549" s="489">
        <v>1352</v>
      </c>
      <c r="C6549" s="488">
        <v>26400</v>
      </c>
      <c r="D6549" s="597">
        <v>46139</v>
      </c>
      <c r="E6549" s="489" t="s">
        <v>288</v>
      </c>
      <c r="F6549" s="489" t="s">
        <v>1215</v>
      </c>
      <c r="G6549" s="395">
        <f>VLOOKUP($A6549,'Tech Litons'!$A:$I,8,FALSE)</f>
        <v>4.2560000000000002E-3</v>
      </c>
      <c r="H6549" s="174">
        <f>VLOOKUP($A6549,'Tech Litons'!$A:$I,9,FALSE)</f>
        <v>154</v>
      </c>
      <c r="I6549" s="174" t="str">
        <f>VLOOKUP($A6549,'Tech Litons'!$A:$C,3,0)</f>
        <v>MBG</v>
      </c>
      <c r="J6549" s="175" t="str">
        <f t="shared" si="733"/>
        <v>1352MBG</v>
      </c>
      <c r="K6549" s="176">
        <f>VLOOKUP(I6549,'Attain %'!A:B,2,0)</f>
        <v>0.96</v>
      </c>
      <c r="L6549" s="177">
        <f t="shared" si="734"/>
        <v>25344</v>
      </c>
      <c r="M6549" s="177">
        <f t="shared" si="735"/>
        <v>107.864064</v>
      </c>
      <c r="N6549" s="177">
        <f t="shared" si="736"/>
        <v>164.57142857142858</v>
      </c>
      <c r="O6549" s="175" t="str">
        <f t="shared" si="737"/>
        <v>Apr</v>
      </c>
      <c r="P6549" s="265">
        <f t="shared" si="738"/>
        <v>18</v>
      </c>
    </row>
    <row r="6550" spans="1:16" ht="15" hidden="1" customHeight="1">
      <c r="A6550" s="489">
        <v>68741742</v>
      </c>
      <c r="B6550" s="489">
        <v>1352</v>
      </c>
      <c r="C6550" s="488">
        <v>26400</v>
      </c>
      <c r="D6550" s="597">
        <v>46146</v>
      </c>
      <c r="E6550" s="489" t="s">
        <v>288</v>
      </c>
      <c r="F6550" s="489" t="s">
        <v>1215</v>
      </c>
      <c r="G6550" s="395">
        <f>VLOOKUP($A6550,'Tech Litons'!$A:$I,8,FALSE)</f>
        <v>4.2560000000000002E-3</v>
      </c>
      <c r="H6550" s="174">
        <f>VLOOKUP($A6550,'Tech Litons'!$A:$I,9,FALSE)</f>
        <v>154</v>
      </c>
      <c r="I6550" s="174" t="str">
        <f>VLOOKUP($A6550,'Tech Litons'!$A:$C,3,0)</f>
        <v>MBG</v>
      </c>
      <c r="J6550" s="175" t="str">
        <f t="shared" si="733"/>
        <v>1352MBG</v>
      </c>
      <c r="K6550" s="176">
        <f>VLOOKUP(I6550,'Attain %'!A:B,2,0)</f>
        <v>0.96</v>
      </c>
      <c r="L6550" s="177">
        <f t="shared" si="734"/>
        <v>25344</v>
      </c>
      <c r="M6550" s="177">
        <f t="shared" si="735"/>
        <v>107.864064</v>
      </c>
      <c r="N6550" s="177">
        <f t="shared" si="736"/>
        <v>164.57142857142858</v>
      </c>
      <c r="O6550" s="175" t="str">
        <f t="shared" si="737"/>
        <v>May</v>
      </c>
      <c r="P6550" s="265">
        <f t="shared" si="738"/>
        <v>19</v>
      </c>
    </row>
    <row r="6551" spans="1:16" ht="15" hidden="1" customHeight="1">
      <c r="A6551" s="489">
        <v>68741742</v>
      </c>
      <c r="B6551" s="489">
        <v>1352</v>
      </c>
      <c r="C6551" s="488">
        <v>26400</v>
      </c>
      <c r="D6551" s="597">
        <v>46153</v>
      </c>
      <c r="E6551" s="489" t="s">
        <v>288</v>
      </c>
      <c r="F6551" s="489" t="s">
        <v>1215</v>
      </c>
      <c r="G6551" s="395">
        <f>VLOOKUP($A6551,'Tech Litons'!$A:$I,8,FALSE)</f>
        <v>4.2560000000000002E-3</v>
      </c>
      <c r="H6551" s="174">
        <f>VLOOKUP($A6551,'Tech Litons'!$A:$I,9,FALSE)</f>
        <v>154</v>
      </c>
      <c r="I6551" s="174" t="str">
        <f>VLOOKUP($A6551,'Tech Litons'!$A:$C,3,0)</f>
        <v>MBG</v>
      </c>
      <c r="J6551" s="175" t="str">
        <f t="shared" si="733"/>
        <v>1352MBG</v>
      </c>
      <c r="K6551" s="176">
        <f>VLOOKUP(I6551,'Attain %'!A:B,2,0)</f>
        <v>0.96</v>
      </c>
      <c r="L6551" s="177">
        <f t="shared" si="734"/>
        <v>25344</v>
      </c>
      <c r="M6551" s="177">
        <f t="shared" si="735"/>
        <v>107.864064</v>
      </c>
      <c r="N6551" s="177">
        <f t="shared" si="736"/>
        <v>164.57142857142858</v>
      </c>
      <c r="O6551" s="175" t="str">
        <f t="shared" si="737"/>
        <v>May</v>
      </c>
      <c r="P6551" s="265">
        <f t="shared" si="738"/>
        <v>20</v>
      </c>
    </row>
    <row r="6552" spans="1:16" ht="15" hidden="1" customHeight="1">
      <c r="A6552" s="489">
        <v>68817801</v>
      </c>
      <c r="B6552" s="489">
        <v>1352</v>
      </c>
      <c r="C6552" s="488">
        <v>26400</v>
      </c>
      <c r="D6552" s="597">
        <v>46118</v>
      </c>
      <c r="E6552" s="489" t="s">
        <v>333</v>
      </c>
      <c r="F6552" s="489" t="s">
        <v>1208</v>
      </c>
      <c r="G6552" s="395">
        <f>VLOOKUP($A6552,'Tech Litons'!$A:$I,8,FALSE)</f>
        <v>8.5199999999999998E-3</v>
      </c>
      <c r="H6552" s="174">
        <f>VLOOKUP($A6552,'Tech Litons'!$A:$I,9,FALSE)</f>
        <v>176</v>
      </c>
      <c r="I6552" s="174" t="str">
        <f>VLOOKUP($A6552,'Tech Litons'!$A:$C,3,0)</f>
        <v>48oz</v>
      </c>
      <c r="J6552" s="175" t="str">
        <f t="shared" si="733"/>
        <v>135248oz</v>
      </c>
      <c r="K6552" s="176">
        <f>VLOOKUP(I6552,'Attain %'!A:B,2,0)</f>
        <v>0.94</v>
      </c>
      <c r="L6552" s="177">
        <f t="shared" si="734"/>
        <v>24816</v>
      </c>
      <c r="M6552" s="177">
        <f t="shared" si="735"/>
        <v>211.43232</v>
      </c>
      <c r="N6552" s="177">
        <f t="shared" si="736"/>
        <v>141</v>
      </c>
      <c r="O6552" s="175" t="str">
        <f t="shared" si="737"/>
        <v>Apr</v>
      </c>
      <c r="P6552" s="265">
        <f t="shared" si="738"/>
        <v>15</v>
      </c>
    </row>
    <row r="6553" spans="1:16" ht="15" hidden="1" customHeight="1">
      <c r="A6553" s="489">
        <v>68850683</v>
      </c>
      <c r="B6553" s="489">
        <v>1352</v>
      </c>
      <c r="D6553" s="597">
        <v>46111</v>
      </c>
      <c r="E6553" s="489" t="s">
        <v>311</v>
      </c>
      <c r="F6553" s="489" t="s">
        <v>1209</v>
      </c>
      <c r="G6553" s="395">
        <f>VLOOKUP($A6553,'Tech Litons'!$A:$I,8,FALSE)</f>
        <v>8.5199999999999998E-3</v>
      </c>
      <c r="H6553" s="174">
        <f>VLOOKUP($A6553,'Tech Litons'!$A:$I,9,FALSE)</f>
        <v>176</v>
      </c>
      <c r="I6553" s="174" t="str">
        <f>VLOOKUP($A6553,'Tech Litons'!$A:$C,3,0)</f>
        <v>48oz</v>
      </c>
      <c r="J6553" s="175" t="str">
        <f t="shared" si="733"/>
        <v>135248oz</v>
      </c>
      <c r="K6553" s="176">
        <f>VLOOKUP(I6553,'Attain %'!A:B,2,0)</f>
        <v>0.94</v>
      </c>
      <c r="L6553" s="177">
        <f t="shared" si="734"/>
        <v>0</v>
      </c>
      <c r="M6553" s="177">
        <f t="shared" si="735"/>
        <v>0</v>
      </c>
      <c r="N6553" s="177">
        <f t="shared" si="736"/>
        <v>0</v>
      </c>
      <c r="O6553" s="175" t="str">
        <f t="shared" si="737"/>
        <v>Mar</v>
      </c>
      <c r="P6553" s="265">
        <f t="shared" si="738"/>
        <v>14</v>
      </c>
    </row>
    <row r="6554" spans="1:16" ht="15" hidden="1" customHeight="1">
      <c r="A6554" s="489">
        <v>68850683</v>
      </c>
      <c r="B6554" s="489">
        <v>1352</v>
      </c>
      <c r="C6554" s="488">
        <v>26400</v>
      </c>
      <c r="D6554" s="597">
        <v>46132</v>
      </c>
      <c r="E6554" s="489" t="s">
        <v>311</v>
      </c>
      <c r="F6554" s="489" t="s">
        <v>1209</v>
      </c>
      <c r="G6554" s="395">
        <f>VLOOKUP($A6554,'Tech Litons'!$A:$I,8,FALSE)</f>
        <v>8.5199999999999998E-3</v>
      </c>
      <c r="H6554" s="174">
        <f>VLOOKUP($A6554,'Tech Litons'!$A:$I,9,FALSE)</f>
        <v>176</v>
      </c>
      <c r="I6554" s="174" t="str">
        <f>VLOOKUP($A6554,'Tech Litons'!$A:$C,3,0)</f>
        <v>48oz</v>
      </c>
      <c r="J6554" s="175" t="str">
        <f t="shared" si="733"/>
        <v>135248oz</v>
      </c>
      <c r="K6554" s="176">
        <f>VLOOKUP(I6554,'Attain %'!A:B,2,0)</f>
        <v>0.94</v>
      </c>
      <c r="L6554" s="177">
        <f t="shared" si="734"/>
        <v>24816</v>
      </c>
      <c r="M6554" s="177">
        <f t="shared" si="735"/>
        <v>211.43232</v>
      </c>
      <c r="N6554" s="177">
        <f t="shared" si="736"/>
        <v>141</v>
      </c>
      <c r="O6554" s="175" t="str">
        <f t="shared" si="737"/>
        <v>Apr</v>
      </c>
      <c r="P6554" s="265">
        <f t="shared" si="738"/>
        <v>17</v>
      </c>
    </row>
    <row r="6555" spans="1:16" ht="15" hidden="1" customHeight="1">
      <c r="A6555" s="489">
        <v>68851104</v>
      </c>
      <c r="B6555" s="489">
        <v>1352</v>
      </c>
      <c r="C6555" s="488">
        <v>26400</v>
      </c>
      <c r="D6555" s="597">
        <v>46118</v>
      </c>
      <c r="E6555" s="489" t="s">
        <v>270</v>
      </c>
      <c r="F6555" s="489" t="s">
        <v>1208</v>
      </c>
      <c r="G6555" s="395">
        <f>VLOOKUP($A6555,'Tech Litons'!$A:$I,8,FALSE)</f>
        <v>8.5199999999999998E-3</v>
      </c>
      <c r="H6555" s="174">
        <f>VLOOKUP($A6555,'Tech Litons'!$A:$I,9,FALSE)</f>
        <v>176</v>
      </c>
      <c r="I6555" s="174" t="str">
        <f>VLOOKUP($A6555,'Tech Litons'!$A:$C,3,0)</f>
        <v>48oz</v>
      </c>
      <c r="J6555" s="175" t="str">
        <f t="shared" si="733"/>
        <v>135248oz</v>
      </c>
      <c r="K6555" s="176">
        <f>VLOOKUP(I6555,'Attain %'!A:B,2,0)</f>
        <v>0.94</v>
      </c>
      <c r="L6555" s="177">
        <f t="shared" si="734"/>
        <v>24816</v>
      </c>
      <c r="M6555" s="177">
        <f t="shared" si="735"/>
        <v>211.43232</v>
      </c>
      <c r="N6555" s="177">
        <f t="shared" si="736"/>
        <v>141</v>
      </c>
      <c r="O6555" s="175" t="str">
        <f t="shared" si="737"/>
        <v>Apr</v>
      </c>
      <c r="P6555" s="265">
        <f t="shared" si="738"/>
        <v>15</v>
      </c>
    </row>
    <row r="6556" spans="1:16" ht="15" hidden="1" customHeight="1">
      <c r="A6556" s="489">
        <v>69551489</v>
      </c>
      <c r="B6556" s="489">
        <v>1352</v>
      </c>
      <c r="C6556" s="488">
        <v>26400</v>
      </c>
      <c r="D6556" s="597">
        <v>46139</v>
      </c>
      <c r="E6556" s="489" t="s">
        <v>431</v>
      </c>
      <c r="F6556" s="489" t="s">
        <v>1215</v>
      </c>
      <c r="G6556" s="395">
        <f>VLOOKUP($A6556,'Tech Litons'!$A:$I,8,FALSE)</f>
        <v>3.8959999999999997E-3</v>
      </c>
      <c r="H6556" s="174">
        <f>VLOOKUP($A6556,'Tech Litons'!$A:$I,9,FALSE)</f>
        <v>154</v>
      </c>
      <c r="I6556" s="174" t="str">
        <f>VLOOKUP($A6556,'Tech Litons'!$A:$C,3,0)</f>
        <v>MBG</v>
      </c>
      <c r="J6556" s="175" t="str">
        <f t="shared" si="733"/>
        <v>1352MBG</v>
      </c>
      <c r="K6556" s="176">
        <f>VLOOKUP(I6556,'Attain %'!A:B,2,0)</f>
        <v>0.96</v>
      </c>
      <c r="L6556" s="177">
        <f t="shared" si="734"/>
        <v>25344</v>
      </c>
      <c r="M6556" s="177">
        <f t="shared" si="735"/>
        <v>98.740223999999998</v>
      </c>
      <c r="N6556" s="177">
        <f t="shared" si="736"/>
        <v>164.57142857142858</v>
      </c>
      <c r="O6556" s="175" t="str">
        <f t="shared" si="737"/>
        <v>Apr</v>
      </c>
      <c r="P6556" s="265">
        <f t="shared" si="738"/>
        <v>18</v>
      </c>
    </row>
    <row r="6557" spans="1:16" ht="15" hidden="1" customHeight="1">
      <c r="A6557" s="489">
        <v>69551489</v>
      </c>
      <c r="B6557" s="489">
        <v>1352</v>
      </c>
      <c r="C6557" s="488">
        <v>26400</v>
      </c>
      <c r="D6557" s="597">
        <v>46167</v>
      </c>
      <c r="E6557" s="489" t="s">
        <v>431</v>
      </c>
      <c r="F6557" s="489" t="s">
        <v>1215</v>
      </c>
      <c r="G6557" s="395">
        <f>VLOOKUP($A6557,'Tech Litons'!$A:$I,8,FALSE)</f>
        <v>3.8959999999999997E-3</v>
      </c>
      <c r="H6557" s="174">
        <f>VLOOKUP($A6557,'Tech Litons'!$A:$I,9,FALSE)</f>
        <v>154</v>
      </c>
      <c r="I6557" s="174" t="str">
        <f>VLOOKUP($A6557,'Tech Litons'!$A:$C,3,0)</f>
        <v>MBG</v>
      </c>
      <c r="J6557" s="175" t="str">
        <f t="shared" si="733"/>
        <v>1352MBG</v>
      </c>
      <c r="K6557" s="176">
        <f>VLOOKUP(I6557,'Attain %'!A:B,2,0)</f>
        <v>0.96</v>
      </c>
      <c r="L6557" s="177">
        <f t="shared" si="734"/>
        <v>25344</v>
      </c>
      <c r="M6557" s="177">
        <f t="shared" si="735"/>
        <v>98.740223999999998</v>
      </c>
      <c r="N6557" s="177">
        <f t="shared" si="736"/>
        <v>164.57142857142858</v>
      </c>
      <c r="O6557" s="175" t="str">
        <f t="shared" si="737"/>
        <v>May</v>
      </c>
      <c r="P6557" s="265">
        <f t="shared" si="738"/>
        <v>22</v>
      </c>
    </row>
    <row r="6558" spans="1:16" ht="15" hidden="1" customHeight="1">
      <c r="A6558" s="489">
        <v>69568828</v>
      </c>
      <c r="B6558" s="489">
        <v>1352</v>
      </c>
      <c r="C6558" s="488">
        <v>26400</v>
      </c>
      <c r="D6558" s="597">
        <v>46125</v>
      </c>
      <c r="E6558" s="489" t="s">
        <v>320</v>
      </c>
      <c r="F6558" s="489" t="s">
        <v>1211</v>
      </c>
      <c r="G6558" s="395">
        <f>VLOOKUP($A6558,'Tech Litons'!$A:$I,8,FALSE)</f>
        <v>8.5199999999999998E-3</v>
      </c>
      <c r="H6558" s="174">
        <f>VLOOKUP($A6558,'Tech Litons'!$A:$I,9,FALSE)</f>
        <v>176</v>
      </c>
      <c r="I6558" s="174" t="str">
        <f>VLOOKUP($A6558,'Tech Litons'!$A:$C,3,0)</f>
        <v>48oz</v>
      </c>
      <c r="J6558" s="175" t="str">
        <f t="shared" si="733"/>
        <v>135248oz</v>
      </c>
      <c r="K6558" s="176">
        <f>VLOOKUP(I6558,'Attain %'!A:B,2,0)</f>
        <v>0.94</v>
      </c>
      <c r="L6558" s="177">
        <f t="shared" si="734"/>
        <v>24816</v>
      </c>
      <c r="M6558" s="177">
        <f t="shared" si="735"/>
        <v>211.43232</v>
      </c>
      <c r="N6558" s="177">
        <f t="shared" si="736"/>
        <v>141</v>
      </c>
      <c r="O6558" s="175" t="str">
        <f t="shared" si="737"/>
        <v>Apr</v>
      </c>
      <c r="P6558" s="265">
        <f t="shared" si="738"/>
        <v>16</v>
      </c>
    </row>
    <row r="6559" spans="1:16" ht="15" hidden="1" customHeight="1">
      <c r="A6559" s="489">
        <v>68922108</v>
      </c>
      <c r="B6559" s="489">
        <v>2904</v>
      </c>
      <c r="C6559" s="488">
        <v>160000</v>
      </c>
      <c r="D6559" s="597">
        <v>46113</v>
      </c>
      <c r="E6559" s="489" t="s">
        <v>276</v>
      </c>
      <c r="F6559" s="489" t="s">
        <v>1235</v>
      </c>
      <c r="G6559" s="395">
        <f>VLOOKUP($A6559,'Tech Litons'!$A:$I,8,FALSE)</f>
        <v>3.7839999999999996E-3</v>
      </c>
      <c r="H6559" s="174">
        <f>VLOOKUP($A6559,'Tech Litons'!$A:$I,9,FALSE)</f>
        <v>255</v>
      </c>
      <c r="I6559" s="174" t="str">
        <f>VLOOKUP($A6559,'Tech Litons'!$A:$C,3,0)</f>
        <v>TALENTI</v>
      </c>
      <c r="J6559" s="175" t="str">
        <f t="shared" si="733"/>
        <v>2904TALENTI</v>
      </c>
      <c r="K6559" s="176">
        <f>VLOOKUP(I6559,'Attain %'!A:B,2,0)</f>
        <v>0.96</v>
      </c>
      <c r="L6559" s="177">
        <f t="shared" si="734"/>
        <v>153600</v>
      </c>
      <c r="M6559" s="177">
        <f t="shared" si="735"/>
        <v>581.22239999999999</v>
      </c>
      <c r="N6559" s="177">
        <f t="shared" si="736"/>
        <v>602.35294117647061</v>
      </c>
      <c r="O6559" s="175" t="str">
        <f t="shared" si="737"/>
        <v>Apr</v>
      </c>
      <c r="P6559" s="265">
        <f t="shared" si="738"/>
        <v>14</v>
      </c>
    </row>
    <row r="6560" spans="1:16" ht="15" hidden="1" customHeight="1">
      <c r="A6560" s="489">
        <v>68354589</v>
      </c>
      <c r="B6560" s="489">
        <v>2904</v>
      </c>
      <c r="C6560" s="488">
        <v>26400</v>
      </c>
      <c r="D6560" s="597">
        <v>46104</v>
      </c>
      <c r="E6560" s="489" t="s">
        <v>524</v>
      </c>
      <c r="F6560" s="489" t="s">
        <v>1229</v>
      </c>
      <c r="G6560" s="395">
        <f>VLOOKUP($A6560,'Tech Litons'!$A:$I,8,FALSE)</f>
        <v>3.5999999999999999E-3</v>
      </c>
      <c r="H6560" s="174">
        <f>VLOOKUP($A6560,'Tech Litons'!$A:$I,9,FALSE)</f>
        <v>240</v>
      </c>
      <c r="I6560" s="174" t="str">
        <f>VLOOKUP($A6560,'Tech Litons'!$A:$C,3,0)</f>
        <v>Topped</v>
      </c>
      <c r="J6560" s="175" t="str">
        <f t="shared" si="733"/>
        <v>2904Topped</v>
      </c>
      <c r="K6560" s="176">
        <f>VLOOKUP(I6560,'Attain %'!A:B,2,0)</f>
        <v>0.96</v>
      </c>
      <c r="L6560" s="177">
        <f t="shared" si="734"/>
        <v>25344</v>
      </c>
      <c r="M6560" s="177">
        <f t="shared" si="735"/>
        <v>91.238399999999999</v>
      </c>
      <c r="N6560" s="177">
        <f t="shared" si="736"/>
        <v>105.6</v>
      </c>
      <c r="O6560" s="175" t="str">
        <f t="shared" si="737"/>
        <v>Mar</v>
      </c>
      <c r="P6560" s="265">
        <f t="shared" si="738"/>
        <v>13</v>
      </c>
    </row>
    <row r="6561" spans="1:16" ht="15" hidden="1" customHeight="1">
      <c r="A6561" s="489">
        <v>68649097</v>
      </c>
      <c r="B6561" s="489">
        <v>2904</v>
      </c>
      <c r="C6561" s="488">
        <v>26400</v>
      </c>
      <c r="D6561" s="597">
        <v>46139</v>
      </c>
      <c r="E6561" s="489" t="s">
        <v>534</v>
      </c>
      <c r="F6561" s="489" t="s">
        <v>1229</v>
      </c>
      <c r="G6561" s="395">
        <f>VLOOKUP($A6561,'Tech Litons'!$A:$I,8,FALSE)</f>
        <v>3.5999999999999999E-3</v>
      </c>
      <c r="H6561" s="174">
        <f>VLOOKUP($A6561,'Tech Litons'!$A:$I,9,FALSE)</f>
        <v>240</v>
      </c>
      <c r="I6561" s="174" t="str">
        <f>VLOOKUP($A6561,'Tech Litons'!$A:$C,3,0)</f>
        <v>Topped</v>
      </c>
      <c r="J6561" s="175" t="str">
        <f t="shared" si="733"/>
        <v>2904Topped</v>
      </c>
      <c r="K6561" s="176">
        <f>VLOOKUP(I6561,'Attain %'!A:B,2,0)</f>
        <v>0.96</v>
      </c>
      <c r="L6561" s="177">
        <f t="shared" si="734"/>
        <v>25344</v>
      </c>
      <c r="M6561" s="177">
        <f t="shared" si="735"/>
        <v>91.238399999999999</v>
      </c>
      <c r="N6561" s="177">
        <f t="shared" si="736"/>
        <v>105.6</v>
      </c>
      <c r="O6561" s="175" t="str">
        <f t="shared" si="737"/>
        <v>Apr</v>
      </c>
      <c r="P6561" s="265">
        <f t="shared" si="738"/>
        <v>18</v>
      </c>
    </row>
    <row r="6562" spans="1:16" ht="15" hidden="1" customHeight="1">
      <c r="A6562" s="489">
        <v>68860061</v>
      </c>
      <c r="B6562" s="489">
        <v>2904</v>
      </c>
      <c r="C6562" s="488">
        <v>26400</v>
      </c>
      <c r="D6562" s="597">
        <v>46146</v>
      </c>
      <c r="E6562" s="489" t="s">
        <v>452</v>
      </c>
      <c r="F6562" s="489" t="s">
        <v>1228</v>
      </c>
      <c r="G6562" s="395">
        <f>VLOOKUP($A6562,'Tech Litons'!$A:$I,8,FALSE)</f>
        <v>3.552E-3</v>
      </c>
      <c r="H6562" s="174">
        <f>VLOOKUP($A6562,'Tech Litons'!$A:$I,9,FALSE)</f>
        <v>255</v>
      </c>
      <c r="I6562" s="174" t="str">
        <f>VLOOKUP($A6562,'Tech Litons'!$A:$C,3,0)</f>
        <v>Talenti</v>
      </c>
      <c r="J6562" s="175" t="str">
        <f t="shared" si="733"/>
        <v>2904Talenti</v>
      </c>
      <c r="K6562" s="176">
        <f>VLOOKUP(I6562,'Attain %'!A:B,2,0)</f>
        <v>0.96</v>
      </c>
      <c r="L6562" s="177">
        <f t="shared" si="734"/>
        <v>25344</v>
      </c>
      <c r="M6562" s="177">
        <f t="shared" si="735"/>
        <v>90.021888000000004</v>
      </c>
      <c r="N6562" s="177">
        <f t="shared" si="736"/>
        <v>99.388235294117649</v>
      </c>
      <c r="O6562" s="175" t="str">
        <f t="shared" si="737"/>
        <v>May</v>
      </c>
      <c r="P6562" s="265">
        <f t="shared" si="738"/>
        <v>19</v>
      </c>
    </row>
    <row r="6563" spans="1:16" ht="15" hidden="1" customHeight="1">
      <c r="A6563" s="489">
        <v>68842352</v>
      </c>
      <c r="B6563" s="489" t="s">
        <v>137</v>
      </c>
      <c r="C6563" s="488">
        <v>26400</v>
      </c>
      <c r="D6563" s="597">
        <v>46132</v>
      </c>
      <c r="E6563" s="489" t="s">
        <v>628</v>
      </c>
      <c r="F6563" s="489" t="s">
        <v>1223</v>
      </c>
      <c r="G6563" s="395">
        <f>VLOOKUP($A6563,'Tech Litons'!$A:$I,8,FALSE)</f>
        <v>2.6640000000000001E-3</v>
      </c>
      <c r="H6563" s="174">
        <f>VLOOKUP($A6563,'Tech Litons'!$A:$I,9,FALSE)</f>
        <v>220</v>
      </c>
      <c r="I6563" s="174" t="str">
        <f>VLOOKUP($A6563,'Tech Litons'!$A:$C,3,0)</f>
        <v>KL Mini Cones</v>
      </c>
      <c r="J6563" s="175" t="str">
        <f t="shared" si="733"/>
        <v>TurkeyKL Mini Cones</v>
      </c>
      <c r="K6563" s="176">
        <f>VLOOKUP(I6563,'Attain %'!A:B,2,0)</f>
        <v>0.96</v>
      </c>
      <c r="L6563" s="177">
        <f t="shared" si="734"/>
        <v>25344</v>
      </c>
      <c r="M6563" s="177">
        <f t="shared" si="735"/>
        <v>67.516416000000007</v>
      </c>
      <c r="N6563" s="177">
        <f t="shared" si="736"/>
        <v>115.2</v>
      </c>
      <c r="O6563" s="175" t="str">
        <f t="shared" si="737"/>
        <v>Apr</v>
      </c>
      <c r="P6563" s="265">
        <f t="shared" si="738"/>
        <v>17</v>
      </c>
    </row>
    <row r="6564" spans="1:16" ht="15" hidden="1" customHeight="1">
      <c r="A6564" s="489">
        <v>64977494</v>
      </c>
      <c r="B6564" s="489">
        <v>1712</v>
      </c>
      <c r="C6564" s="488">
        <v>26480</v>
      </c>
      <c r="D6564" s="597">
        <v>46111</v>
      </c>
      <c r="E6564" s="489" t="s">
        <v>574</v>
      </c>
      <c r="F6564" s="489" t="s">
        <v>1221</v>
      </c>
      <c r="G6564" s="395">
        <f>VLOOKUP($A6564,'Tech Litons'!$A:$I,8,FALSE)</f>
        <v>2.8399999999999996E-3</v>
      </c>
      <c r="H6564" s="174">
        <f>VLOOKUP($A6564,'Tech Litons'!$A:$I,9,FALSE)</f>
        <v>130</v>
      </c>
      <c r="I6564" s="174" t="str">
        <f>VLOOKUP($A6564,'Tech Litons'!$A:$C,3,0)</f>
        <v>Other</v>
      </c>
      <c r="J6564" s="175" t="str">
        <f t="shared" si="733"/>
        <v>1712Other</v>
      </c>
      <c r="K6564" s="176">
        <f>VLOOKUP(I6564,'Attain %'!A:B,2,0)</f>
        <v>0.96</v>
      </c>
      <c r="L6564" s="177">
        <f t="shared" si="734"/>
        <v>25420.799999999999</v>
      </c>
      <c r="M6564" s="177">
        <f t="shared" si="735"/>
        <v>72.195071999999982</v>
      </c>
      <c r="N6564" s="177">
        <f t="shared" si="736"/>
        <v>195.54461538461538</v>
      </c>
      <c r="O6564" s="175" t="str">
        <f t="shared" si="737"/>
        <v>Mar</v>
      </c>
      <c r="P6564" s="265">
        <f t="shared" si="738"/>
        <v>14</v>
      </c>
    </row>
    <row r="6565" spans="1:16" ht="15" hidden="1" customHeight="1">
      <c r="A6565" s="489">
        <v>69983234</v>
      </c>
      <c r="B6565" s="489">
        <v>2904</v>
      </c>
      <c r="C6565" s="488">
        <v>26550</v>
      </c>
      <c r="D6565" s="597">
        <v>46125</v>
      </c>
      <c r="E6565" s="489" t="s">
        <v>412</v>
      </c>
      <c r="F6565" s="489" t="s">
        <v>1231</v>
      </c>
      <c r="G6565" s="395">
        <f>VLOOKUP($A6565,'Tech Litons'!$A:$I,8,FALSE)</f>
        <v>3.9039999999999999E-3</v>
      </c>
      <c r="H6565" s="174">
        <f>VLOOKUP($A6565,'Tech Litons'!$A:$I,9,FALSE)</f>
        <v>154</v>
      </c>
      <c r="I6565" s="174" t="str">
        <f>VLOOKUP($A6565,'Tech Litons'!$A:$C,3,0)</f>
        <v>MBG</v>
      </c>
      <c r="J6565" s="175" t="str">
        <f t="shared" si="733"/>
        <v>2904MBG</v>
      </c>
      <c r="K6565" s="176">
        <f>VLOOKUP(I6565,'Attain %'!A:B,2,0)</f>
        <v>0.96</v>
      </c>
      <c r="L6565" s="177">
        <f t="shared" si="734"/>
        <v>25488</v>
      </c>
      <c r="M6565" s="177">
        <f t="shared" si="735"/>
        <v>99.505151999999995</v>
      </c>
      <c r="N6565" s="177">
        <f t="shared" si="736"/>
        <v>165.50649350649351</v>
      </c>
      <c r="O6565" s="175" t="str">
        <f t="shared" si="737"/>
        <v>Apr</v>
      </c>
      <c r="P6565" s="265">
        <f t="shared" si="738"/>
        <v>16</v>
      </c>
    </row>
    <row r="6566" spans="1:16" ht="15" hidden="1" customHeight="1">
      <c r="A6566" s="489">
        <v>69983234</v>
      </c>
      <c r="B6566" s="489">
        <v>2904</v>
      </c>
      <c r="C6566" s="488">
        <v>26550</v>
      </c>
      <c r="D6566" s="597">
        <v>46132</v>
      </c>
      <c r="E6566" s="489" t="s">
        <v>412</v>
      </c>
      <c r="F6566" s="489" t="s">
        <v>1231</v>
      </c>
      <c r="G6566" s="395">
        <f>VLOOKUP($A6566,'Tech Litons'!$A:$I,8,FALSE)</f>
        <v>3.9039999999999999E-3</v>
      </c>
      <c r="H6566" s="174">
        <f>VLOOKUP($A6566,'Tech Litons'!$A:$I,9,FALSE)</f>
        <v>154</v>
      </c>
      <c r="I6566" s="174" t="str">
        <f>VLOOKUP($A6566,'Tech Litons'!$A:$C,3,0)</f>
        <v>MBG</v>
      </c>
      <c r="J6566" s="175" t="str">
        <f t="shared" si="733"/>
        <v>2904MBG</v>
      </c>
      <c r="K6566" s="176">
        <f>VLOOKUP(I6566,'Attain %'!A:B,2,0)</f>
        <v>0.96</v>
      </c>
      <c r="L6566" s="177">
        <f t="shared" si="734"/>
        <v>25488</v>
      </c>
      <c r="M6566" s="177">
        <f t="shared" si="735"/>
        <v>99.505151999999995</v>
      </c>
      <c r="N6566" s="177">
        <f t="shared" si="736"/>
        <v>165.50649350649351</v>
      </c>
      <c r="O6566" s="175" t="str">
        <f t="shared" si="737"/>
        <v>Apr</v>
      </c>
      <c r="P6566" s="265">
        <f t="shared" si="738"/>
        <v>17</v>
      </c>
    </row>
    <row r="6567" spans="1:16" ht="15" hidden="1" customHeight="1">
      <c r="A6567" s="489">
        <v>64956417</v>
      </c>
      <c r="B6567" s="489" t="s">
        <v>139</v>
      </c>
      <c r="C6567" s="488">
        <v>26624</v>
      </c>
      <c r="D6567" s="597">
        <v>46265</v>
      </c>
      <c r="E6567" s="489" t="s">
        <v>621</v>
      </c>
      <c r="F6567" s="489" t="s">
        <v>1223</v>
      </c>
      <c r="G6567" s="395">
        <f>VLOOKUP($A6567,'Tech Litons'!$A:$I,8,FALSE)</f>
        <v>2.16E-3</v>
      </c>
      <c r="H6567" s="174">
        <f>VLOOKUP($A6567,'Tech Litons'!$A:$I,9,FALSE)</f>
        <v>143</v>
      </c>
      <c r="I6567" s="174" t="str">
        <f>VLOOKUP($A6567,'Tech Litons'!$A:$C,3,0)</f>
        <v>Facepieces</v>
      </c>
      <c r="J6567" s="175" t="str">
        <f t="shared" si="733"/>
        <v>IncomFacepieces</v>
      </c>
      <c r="K6567" s="176">
        <f>VLOOKUP(I6567,'Attain %'!A:B,2,0)</f>
        <v>0.96</v>
      </c>
      <c r="L6567" s="177">
        <f t="shared" si="734"/>
        <v>25559.040000000001</v>
      </c>
      <c r="M6567" s="177">
        <f t="shared" si="735"/>
        <v>55.207526400000006</v>
      </c>
      <c r="N6567" s="177">
        <f t="shared" si="736"/>
        <v>178.73454545454547</v>
      </c>
      <c r="O6567" s="175" t="str">
        <f t="shared" si="737"/>
        <v>Aug</v>
      </c>
      <c r="P6567" s="265">
        <f t="shared" si="738"/>
        <v>36</v>
      </c>
    </row>
    <row r="6568" spans="1:16" ht="15" hidden="1" customHeight="1">
      <c r="A6568" s="489">
        <v>64956417</v>
      </c>
      <c r="B6568" s="489" t="s">
        <v>139</v>
      </c>
      <c r="C6568" s="488">
        <v>26624</v>
      </c>
      <c r="D6568" s="597">
        <v>46335</v>
      </c>
      <c r="E6568" s="489" t="s">
        <v>621</v>
      </c>
      <c r="F6568" s="489" t="s">
        <v>1223</v>
      </c>
      <c r="G6568" s="395">
        <f>VLOOKUP($A6568,'Tech Litons'!$A:$I,8,FALSE)</f>
        <v>2.16E-3</v>
      </c>
      <c r="H6568" s="174">
        <f>VLOOKUP($A6568,'Tech Litons'!$A:$I,9,FALSE)</f>
        <v>143</v>
      </c>
      <c r="I6568" s="174" t="str">
        <f>VLOOKUP($A6568,'Tech Litons'!$A:$C,3,0)</f>
        <v>Facepieces</v>
      </c>
      <c r="J6568" s="175" t="str">
        <f t="shared" si="733"/>
        <v>IncomFacepieces</v>
      </c>
      <c r="K6568" s="176">
        <f>VLOOKUP(I6568,'Attain %'!A:B,2,0)</f>
        <v>0.96</v>
      </c>
      <c r="L6568" s="177">
        <f t="shared" si="734"/>
        <v>25559.040000000001</v>
      </c>
      <c r="M6568" s="177">
        <f t="shared" si="735"/>
        <v>55.207526400000006</v>
      </c>
      <c r="N6568" s="177">
        <f t="shared" si="736"/>
        <v>178.73454545454547</v>
      </c>
      <c r="O6568" s="175" t="str">
        <f t="shared" si="737"/>
        <v>Nov</v>
      </c>
      <c r="P6568" s="265">
        <f t="shared" si="738"/>
        <v>46</v>
      </c>
    </row>
    <row r="6569" spans="1:16" ht="15" hidden="1" customHeight="1">
      <c r="A6569" s="489">
        <v>64874636</v>
      </c>
      <c r="B6569" s="489">
        <v>1712</v>
      </c>
      <c r="C6569" s="488">
        <v>26800</v>
      </c>
      <c r="D6569" s="597">
        <v>46181</v>
      </c>
      <c r="E6569" s="489" t="s">
        <v>560</v>
      </c>
      <c r="F6569" s="489" t="s">
        <v>1221</v>
      </c>
      <c r="G6569" s="395">
        <f>VLOOKUP($A6569,'Tech Litons'!$A:$I,8,FALSE)</f>
        <v>2.8380000000000002E-3</v>
      </c>
      <c r="H6569" s="174">
        <f>VLOOKUP($A6569,'Tech Litons'!$A:$I,9,FALSE)</f>
        <v>189</v>
      </c>
      <c r="I6569" s="174" t="str">
        <f>VLOOKUP($A6569,'Tech Litons'!$A:$C,3,0)</f>
        <v>ESS</v>
      </c>
      <c r="J6569" s="175" t="str">
        <f t="shared" si="733"/>
        <v>1712ESS</v>
      </c>
      <c r="K6569" s="176">
        <f>VLOOKUP(I6569,'Attain %'!A:B,2,0)</f>
        <v>0.96</v>
      </c>
      <c r="L6569" s="177">
        <f t="shared" si="734"/>
        <v>25728</v>
      </c>
      <c r="M6569" s="177">
        <f t="shared" si="735"/>
        <v>73.016064</v>
      </c>
      <c r="N6569" s="177">
        <f t="shared" si="736"/>
        <v>136.12698412698413</v>
      </c>
      <c r="O6569" s="175" t="str">
        <f t="shared" si="737"/>
        <v>Jun</v>
      </c>
      <c r="P6569" s="265">
        <f t="shared" si="738"/>
        <v>24</v>
      </c>
    </row>
    <row r="6570" spans="1:16" ht="15" hidden="1" customHeight="1">
      <c r="A6570" s="489">
        <v>64999042</v>
      </c>
      <c r="B6570" s="489">
        <v>1716</v>
      </c>
      <c r="C6570" s="488">
        <v>26875</v>
      </c>
      <c r="D6570" s="597">
        <v>46111</v>
      </c>
      <c r="E6570" s="489" t="s">
        <v>489</v>
      </c>
      <c r="F6570" s="489" t="s">
        <v>1221</v>
      </c>
      <c r="G6570" s="395">
        <f>VLOOKUP($A6570,'Tech Litons'!$A:$I,8,FALSE)</f>
        <v>3.3119999999999998E-3</v>
      </c>
      <c r="H6570" s="174">
        <f>VLOOKUP($A6570,'Tech Litons'!$A:$I,9,FALSE)</f>
        <v>240</v>
      </c>
      <c r="I6570" s="174" t="str">
        <f>VLOOKUP($A6570,'Tech Litons'!$A:$C,3,0)</f>
        <v>YS PTS</v>
      </c>
      <c r="J6570" s="175" t="str">
        <f t="shared" si="733"/>
        <v>1716YS PTS</v>
      </c>
      <c r="K6570" s="176">
        <f>VLOOKUP(I6570,'Attain %'!A:B,2,0)</f>
        <v>0.96</v>
      </c>
      <c r="L6570" s="177">
        <f t="shared" si="734"/>
        <v>25800</v>
      </c>
      <c r="M6570" s="177">
        <f t="shared" si="735"/>
        <v>85.44959999999999</v>
      </c>
      <c r="N6570" s="177">
        <f t="shared" si="736"/>
        <v>107.5</v>
      </c>
      <c r="O6570" s="175" t="str">
        <f t="shared" si="737"/>
        <v>Mar</v>
      </c>
      <c r="P6570" s="265">
        <f t="shared" si="738"/>
        <v>14</v>
      </c>
    </row>
    <row r="6571" spans="1:16" ht="15" hidden="1" customHeight="1">
      <c r="A6571" s="489">
        <v>69988931</v>
      </c>
      <c r="B6571" s="489">
        <v>2904</v>
      </c>
      <c r="C6571" s="488">
        <v>27000</v>
      </c>
      <c r="D6571" s="597">
        <v>46118</v>
      </c>
      <c r="E6571" s="489" t="s">
        <v>363</v>
      </c>
      <c r="F6571" s="489" t="s">
        <v>1238</v>
      </c>
      <c r="G6571" s="395">
        <f>VLOOKUP($A6571,'Tech Litons'!$A:$I,8,FALSE)</f>
        <v>1.98E-3</v>
      </c>
      <c r="H6571" s="174">
        <f>VLOOKUP($A6571,'Tech Litons'!$A:$I,9,FALSE)</f>
        <v>176</v>
      </c>
      <c r="I6571" s="174" t="str">
        <f>VLOOKUP($A6571,'Tech Litons'!$A:$C,3,0)</f>
        <v>MG Sticks</v>
      </c>
      <c r="J6571" s="175" t="str">
        <f t="shared" si="733"/>
        <v>2904MG Sticks</v>
      </c>
      <c r="K6571" s="176">
        <f>VLOOKUP(I6571,'Attain %'!A:B,2,0)</f>
        <v>0.96</v>
      </c>
      <c r="L6571" s="177">
        <f t="shared" si="734"/>
        <v>25920</v>
      </c>
      <c r="M6571" s="177">
        <f t="shared" si="735"/>
        <v>51.321599999999997</v>
      </c>
      <c r="N6571" s="177">
        <f t="shared" si="736"/>
        <v>147.27272727272728</v>
      </c>
      <c r="O6571" s="175" t="str">
        <f t="shared" si="737"/>
        <v>Apr</v>
      </c>
      <c r="P6571" s="265">
        <f t="shared" si="738"/>
        <v>15</v>
      </c>
    </row>
    <row r="6572" spans="1:16" ht="15" hidden="1" customHeight="1">
      <c r="A6572" s="489">
        <v>62678153</v>
      </c>
      <c r="B6572" s="489">
        <v>5914</v>
      </c>
      <c r="C6572" s="488">
        <v>27000</v>
      </c>
      <c r="D6572" s="597">
        <v>46125</v>
      </c>
      <c r="E6572" s="489" t="s">
        <v>446</v>
      </c>
      <c r="F6572" s="489" t="s">
        <v>1244</v>
      </c>
      <c r="G6572" s="395">
        <f>VLOOKUP($A6572,'Tech Litons'!$A:$I,8,FALSE)</f>
        <v>3.7839999999999996E-3</v>
      </c>
      <c r="H6572" s="174">
        <f>VLOOKUP($A6572,'Tech Litons'!$A:$I,9,FALSE)</f>
        <v>240</v>
      </c>
      <c r="I6572" s="174" t="str">
        <f>VLOOKUP($A6572,'Tech Litons'!$A:$C,3,0)</f>
        <v>BJ PTS</v>
      </c>
      <c r="J6572" s="175" t="str">
        <f t="shared" si="733"/>
        <v>5914BJ PTS</v>
      </c>
      <c r="K6572" s="176">
        <f>VLOOKUP(I6572,'Attain %'!A:B,2,0)</f>
        <v>0.95</v>
      </c>
      <c r="L6572" s="177">
        <f t="shared" si="734"/>
        <v>25650</v>
      </c>
      <c r="M6572" s="177">
        <f t="shared" si="735"/>
        <v>97.059599999999989</v>
      </c>
      <c r="N6572" s="177">
        <f t="shared" si="736"/>
        <v>106.875</v>
      </c>
      <c r="O6572" s="175" t="str">
        <f t="shared" si="737"/>
        <v>Apr</v>
      </c>
      <c r="P6572" s="265">
        <f t="shared" si="738"/>
        <v>16</v>
      </c>
    </row>
    <row r="6573" spans="1:16" ht="15" hidden="1" customHeight="1">
      <c r="A6573" s="489">
        <v>84135718</v>
      </c>
      <c r="B6573" s="489">
        <v>5914</v>
      </c>
      <c r="C6573" s="488">
        <v>27000</v>
      </c>
      <c r="D6573" s="597">
        <v>46104</v>
      </c>
      <c r="E6573" s="489" t="s">
        <v>338</v>
      </c>
      <c r="F6573" s="489" t="s">
        <v>1247</v>
      </c>
      <c r="G6573" s="395">
        <f>VLOOKUP($A6573,'Tech Litons'!$A:$I,8,FALSE)</f>
        <v>3.7853439999999999E-3</v>
      </c>
      <c r="H6573" s="174">
        <f>VLOOKUP($A6573,'Tech Litons'!$A:$I,9,FALSE)</f>
        <v>240</v>
      </c>
      <c r="I6573" s="174" t="str">
        <f>VLOOKUP($A6573,'Tech Litons'!$A:$C,3,0)</f>
        <v>BJ PTS</v>
      </c>
      <c r="J6573" s="175" t="str">
        <f t="shared" si="733"/>
        <v>5914BJ PTS</v>
      </c>
      <c r="K6573" s="176">
        <f>VLOOKUP(I6573,'Attain %'!A:B,2,0)</f>
        <v>0.95</v>
      </c>
      <c r="L6573" s="177">
        <f t="shared" si="734"/>
        <v>25650</v>
      </c>
      <c r="M6573" s="177">
        <f t="shared" si="735"/>
        <v>97.094073600000002</v>
      </c>
      <c r="N6573" s="177">
        <f t="shared" si="736"/>
        <v>106.875</v>
      </c>
      <c r="O6573" s="175" t="str">
        <f t="shared" si="737"/>
        <v>Mar</v>
      </c>
      <c r="P6573" s="265">
        <f t="shared" si="738"/>
        <v>13</v>
      </c>
    </row>
    <row r="6574" spans="1:16" ht="15" hidden="1" customHeight="1">
      <c r="A6574" s="489">
        <v>65254774</v>
      </c>
      <c r="B6574" s="489">
        <v>6765</v>
      </c>
      <c r="C6574" s="488">
        <v>27000</v>
      </c>
      <c r="D6574" s="597">
        <v>46118</v>
      </c>
      <c r="E6574" s="489" t="s">
        <v>614</v>
      </c>
      <c r="F6574" s="489" t="s">
        <v>1221</v>
      </c>
      <c r="G6574" s="395">
        <f>VLOOKUP($A6574,'Tech Litons'!$A:$I,8,FALSE)</f>
        <v>1E-3</v>
      </c>
      <c r="H6574" s="174">
        <f>VLOOKUP($A6574,'Tech Litons'!$A:$I,9,FALSE)</f>
        <v>420</v>
      </c>
      <c r="I6574" s="174" t="str">
        <f>VLOOKUP($A6574,'Tech Litons'!$A:$C,3,0)</f>
        <v>Other</v>
      </c>
      <c r="J6574" s="175" t="str">
        <f t="shared" si="733"/>
        <v>6765Other</v>
      </c>
      <c r="K6574" s="176">
        <f>VLOOKUP(I6574,'Attain %'!A:B,2,0)</f>
        <v>0.96</v>
      </c>
      <c r="L6574" s="177">
        <f t="shared" si="734"/>
        <v>25920</v>
      </c>
      <c r="M6574" s="177">
        <f t="shared" si="735"/>
        <v>25.92</v>
      </c>
      <c r="N6574" s="177">
        <f t="shared" si="736"/>
        <v>61.714285714285715</v>
      </c>
      <c r="O6574" s="175" t="str">
        <f t="shared" si="737"/>
        <v>Apr</v>
      </c>
      <c r="P6574" s="265">
        <f t="shared" si="738"/>
        <v>15</v>
      </c>
    </row>
    <row r="6575" spans="1:16" ht="15" hidden="1" customHeight="1">
      <c r="A6575" s="489">
        <v>65254774</v>
      </c>
      <c r="B6575" s="489">
        <v>6765</v>
      </c>
      <c r="C6575" s="488">
        <v>27000</v>
      </c>
      <c r="D6575" s="597">
        <v>46125</v>
      </c>
      <c r="E6575" s="489" t="s">
        <v>614</v>
      </c>
      <c r="F6575" s="489" t="s">
        <v>1221</v>
      </c>
      <c r="G6575" s="395">
        <f>VLOOKUP($A6575,'Tech Litons'!$A:$I,8,FALSE)</f>
        <v>1E-3</v>
      </c>
      <c r="H6575" s="174">
        <f>VLOOKUP($A6575,'Tech Litons'!$A:$I,9,FALSE)</f>
        <v>420</v>
      </c>
      <c r="I6575" s="174" t="str">
        <f>VLOOKUP($A6575,'Tech Litons'!$A:$C,3,0)</f>
        <v>Other</v>
      </c>
      <c r="J6575" s="175" t="str">
        <f t="shared" si="733"/>
        <v>6765Other</v>
      </c>
      <c r="K6575" s="176">
        <f>VLOOKUP(I6575,'Attain %'!A:B,2,0)</f>
        <v>0.96</v>
      </c>
      <c r="L6575" s="177">
        <f t="shared" si="734"/>
        <v>25920</v>
      </c>
      <c r="M6575" s="177">
        <f t="shared" si="735"/>
        <v>25.92</v>
      </c>
      <c r="N6575" s="177">
        <f t="shared" si="736"/>
        <v>61.714285714285715</v>
      </c>
      <c r="O6575" s="175" t="str">
        <f t="shared" si="737"/>
        <v>Apr</v>
      </c>
      <c r="P6575" s="265">
        <f t="shared" si="738"/>
        <v>16</v>
      </c>
    </row>
    <row r="6576" spans="1:16" ht="15" hidden="1" customHeight="1">
      <c r="A6576" s="489">
        <v>65254774</v>
      </c>
      <c r="B6576" s="489">
        <v>6765</v>
      </c>
      <c r="C6576" s="488">
        <v>27000</v>
      </c>
      <c r="D6576" s="597">
        <v>46132</v>
      </c>
      <c r="E6576" s="489" t="s">
        <v>614</v>
      </c>
      <c r="F6576" s="489" t="s">
        <v>1221</v>
      </c>
      <c r="G6576" s="395">
        <f>VLOOKUP($A6576,'Tech Litons'!$A:$I,8,FALSE)</f>
        <v>1E-3</v>
      </c>
      <c r="H6576" s="174">
        <f>VLOOKUP($A6576,'Tech Litons'!$A:$I,9,FALSE)</f>
        <v>420</v>
      </c>
      <c r="I6576" s="174" t="str">
        <f>VLOOKUP($A6576,'Tech Litons'!$A:$C,3,0)</f>
        <v>Other</v>
      </c>
      <c r="J6576" s="175" t="str">
        <f t="shared" si="733"/>
        <v>6765Other</v>
      </c>
      <c r="K6576" s="176">
        <f>VLOOKUP(I6576,'Attain %'!A:B,2,0)</f>
        <v>0.96</v>
      </c>
      <c r="L6576" s="177">
        <f t="shared" si="734"/>
        <v>25920</v>
      </c>
      <c r="M6576" s="177">
        <f t="shared" si="735"/>
        <v>25.92</v>
      </c>
      <c r="N6576" s="177">
        <f t="shared" si="736"/>
        <v>61.714285714285715</v>
      </c>
      <c r="O6576" s="175" t="str">
        <f t="shared" si="737"/>
        <v>Apr</v>
      </c>
      <c r="P6576" s="265">
        <f t="shared" si="738"/>
        <v>17</v>
      </c>
    </row>
    <row r="6577" spans="1:16" ht="15" hidden="1" customHeight="1">
      <c r="A6577" s="489">
        <v>65254774</v>
      </c>
      <c r="B6577" s="489">
        <v>6765</v>
      </c>
      <c r="C6577" s="488">
        <v>27000</v>
      </c>
      <c r="D6577" s="597">
        <v>46139</v>
      </c>
      <c r="E6577" s="489" t="s">
        <v>614</v>
      </c>
      <c r="F6577" s="489" t="s">
        <v>1221</v>
      </c>
      <c r="G6577" s="395">
        <f>VLOOKUP($A6577,'Tech Litons'!$A:$I,8,FALSE)</f>
        <v>1E-3</v>
      </c>
      <c r="H6577" s="174">
        <f>VLOOKUP($A6577,'Tech Litons'!$A:$I,9,FALSE)</f>
        <v>420</v>
      </c>
      <c r="I6577" s="174" t="str">
        <f>VLOOKUP($A6577,'Tech Litons'!$A:$C,3,0)</f>
        <v>Other</v>
      </c>
      <c r="J6577" s="175" t="str">
        <f t="shared" si="733"/>
        <v>6765Other</v>
      </c>
      <c r="K6577" s="176">
        <f>VLOOKUP(I6577,'Attain %'!A:B,2,0)</f>
        <v>0.96</v>
      </c>
      <c r="L6577" s="177">
        <f t="shared" si="734"/>
        <v>25920</v>
      </c>
      <c r="M6577" s="177">
        <f t="shared" si="735"/>
        <v>25.92</v>
      </c>
      <c r="N6577" s="177">
        <f t="shared" si="736"/>
        <v>61.714285714285715</v>
      </c>
      <c r="O6577" s="175" t="str">
        <f t="shared" si="737"/>
        <v>Apr</v>
      </c>
      <c r="P6577" s="265">
        <f t="shared" si="738"/>
        <v>18</v>
      </c>
    </row>
    <row r="6578" spans="1:16" ht="15" hidden="1" customHeight="1">
      <c r="A6578" s="489">
        <v>65254774</v>
      </c>
      <c r="B6578" s="489">
        <v>6765</v>
      </c>
      <c r="C6578" s="488">
        <v>27000</v>
      </c>
      <c r="D6578" s="597">
        <v>46146</v>
      </c>
      <c r="E6578" s="489" t="s">
        <v>614</v>
      </c>
      <c r="F6578" s="489" t="s">
        <v>1221</v>
      </c>
      <c r="G6578" s="395">
        <f>VLOOKUP($A6578,'Tech Litons'!$A:$I,8,FALSE)</f>
        <v>1E-3</v>
      </c>
      <c r="H6578" s="174">
        <f>VLOOKUP($A6578,'Tech Litons'!$A:$I,9,FALSE)</f>
        <v>420</v>
      </c>
      <c r="I6578" s="174" t="str">
        <f>VLOOKUP($A6578,'Tech Litons'!$A:$C,3,0)</f>
        <v>Other</v>
      </c>
      <c r="J6578" s="175" t="str">
        <f t="shared" si="733"/>
        <v>6765Other</v>
      </c>
      <c r="K6578" s="176">
        <f>VLOOKUP(I6578,'Attain %'!A:B,2,0)</f>
        <v>0.96</v>
      </c>
      <c r="L6578" s="177">
        <f t="shared" si="734"/>
        <v>25920</v>
      </c>
      <c r="M6578" s="177">
        <f t="shared" si="735"/>
        <v>25.92</v>
      </c>
      <c r="N6578" s="177">
        <f t="shared" si="736"/>
        <v>61.714285714285715</v>
      </c>
      <c r="O6578" s="175" t="str">
        <f t="shared" si="737"/>
        <v>May</v>
      </c>
      <c r="P6578" s="265">
        <f t="shared" si="738"/>
        <v>19</v>
      </c>
    </row>
    <row r="6579" spans="1:16" ht="15" hidden="1" customHeight="1">
      <c r="A6579" s="489">
        <v>65254774</v>
      </c>
      <c r="B6579" s="489">
        <v>6765</v>
      </c>
      <c r="C6579" s="488">
        <v>27000</v>
      </c>
      <c r="D6579" s="597">
        <v>46153</v>
      </c>
      <c r="E6579" s="489" t="s">
        <v>614</v>
      </c>
      <c r="F6579" s="489" t="s">
        <v>1221</v>
      </c>
      <c r="G6579" s="395">
        <f>VLOOKUP($A6579,'Tech Litons'!$A:$I,8,FALSE)</f>
        <v>1E-3</v>
      </c>
      <c r="H6579" s="174">
        <f>VLOOKUP($A6579,'Tech Litons'!$A:$I,9,FALSE)</f>
        <v>420</v>
      </c>
      <c r="I6579" s="174" t="str">
        <f>VLOOKUP($A6579,'Tech Litons'!$A:$C,3,0)</f>
        <v>Other</v>
      </c>
      <c r="J6579" s="175" t="str">
        <f t="shared" si="733"/>
        <v>6765Other</v>
      </c>
      <c r="K6579" s="176">
        <f>VLOOKUP(I6579,'Attain %'!A:B,2,0)</f>
        <v>0.96</v>
      </c>
      <c r="L6579" s="177">
        <f t="shared" si="734"/>
        <v>25920</v>
      </c>
      <c r="M6579" s="177">
        <f t="shared" si="735"/>
        <v>25.92</v>
      </c>
      <c r="N6579" s="177">
        <f t="shared" si="736"/>
        <v>61.714285714285715</v>
      </c>
      <c r="O6579" s="175" t="str">
        <f t="shared" si="737"/>
        <v>May</v>
      </c>
      <c r="P6579" s="265">
        <f t="shared" si="738"/>
        <v>20</v>
      </c>
    </row>
    <row r="6580" spans="1:16" ht="15" hidden="1" customHeight="1">
      <c r="A6580" s="489">
        <v>65254774</v>
      </c>
      <c r="B6580" s="489">
        <v>6765</v>
      </c>
      <c r="C6580" s="488">
        <v>27000</v>
      </c>
      <c r="D6580" s="597">
        <v>46160</v>
      </c>
      <c r="E6580" s="489" t="s">
        <v>614</v>
      </c>
      <c r="F6580" s="489" t="s">
        <v>1221</v>
      </c>
      <c r="G6580" s="395">
        <f>VLOOKUP($A6580,'Tech Litons'!$A:$I,8,FALSE)</f>
        <v>1E-3</v>
      </c>
      <c r="H6580" s="174">
        <f>VLOOKUP($A6580,'Tech Litons'!$A:$I,9,FALSE)</f>
        <v>420</v>
      </c>
      <c r="I6580" s="174" t="str">
        <f>VLOOKUP($A6580,'Tech Litons'!$A:$C,3,0)</f>
        <v>Other</v>
      </c>
      <c r="J6580" s="175" t="str">
        <f t="shared" si="733"/>
        <v>6765Other</v>
      </c>
      <c r="K6580" s="176">
        <f>VLOOKUP(I6580,'Attain %'!A:B,2,0)</f>
        <v>0.96</v>
      </c>
      <c r="L6580" s="177">
        <f t="shared" si="734"/>
        <v>25920</v>
      </c>
      <c r="M6580" s="177">
        <f t="shared" si="735"/>
        <v>25.92</v>
      </c>
      <c r="N6580" s="177">
        <f t="shared" si="736"/>
        <v>61.714285714285715</v>
      </c>
      <c r="O6580" s="175" t="str">
        <f t="shared" si="737"/>
        <v>May</v>
      </c>
      <c r="P6580" s="265">
        <f t="shared" si="738"/>
        <v>21</v>
      </c>
    </row>
    <row r="6581" spans="1:16" ht="15" hidden="1" customHeight="1">
      <c r="A6581" s="489">
        <v>65254774</v>
      </c>
      <c r="B6581" s="489">
        <v>6765</v>
      </c>
      <c r="C6581" s="488">
        <v>27000</v>
      </c>
      <c r="D6581" s="597">
        <v>46174</v>
      </c>
      <c r="E6581" s="489" t="s">
        <v>614</v>
      </c>
      <c r="F6581" s="489" t="s">
        <v>1221</v>
      </c>
      <c r="G6581" s="395">
        <f>VLOOKUP($A6581,'Tech Litons'!$A:$I,8,FALSE)</f>
        <v>1E-3</v>
      </c>
      <c r="H6581" s="174">
        <f>VLOOKUP($A6581,'Tech Litons'!$A:$I,9,FALSE)</f>
        <v>420</v>
      </c>
      <c r="I6581" s="174" t="str">
        <f>VLOOKUP($A6581,'Tech Litons'!$A:$C,3,0)</f>
        <v>Other</v>
      </c>
      <c r="J6581" s="175" t="str">
        <f t="shared" si="733"/>
        <v>6765Other</v>
      </c>
      <c r="K6581" s="176">
        <f>VLOOKUP(I6581,'Attain %'!A:B,2,0)</f>
        <v>0.96</v>
      </c>
      <c r="L6581" s="177">
        <f t="shared" si="734"/>
        <v>25920</v>
      </c>
      <c r="M6581" s="177">
        <f t="shared" si="735"/>
        <v>25.92</v>
      </c>
      <c r="N6581" s="177">
        <f t="shared" si="736"/>
        <v>61.714285714285715</v>
      </c>
      <c r="O6581" s="175" t="str">
        <f t="shared" si="737"/>
        <v>Jun</v>
      </c>
      <c r="P6581" s="265">
        <f t="shared" si="738"/>
        <v>23</v>
      </c>
    </row>
    <row r="6582" spans="1:16" ht="15" hidden="1" customHeight="1">
      <c r="A6582" s="489">
        <v>65254774</v>
      </c>
      <c r="B6582" s="489">
        <v>6765</v>
      </c>
      <c r="C6582" s="488">
        <v>27000</v>
      </c>
      <c r="D6582" s="597">
        <v>46188</v>
      </c>
      <c r="E6582" s="489" t="s">
        <v>614</v>
      </c>
      <c r="F6582" s="489" t="s">
        <v>1221</v>
      </c>
      <c r="G6582" s="395">
        <f>VLOOKUP($A6582,'Tech Litons'!$A:$I,8,FALSE)</f>
        <v>1E-3</v>
      </c>
      <c r="H6582" s="174">
        <f>VLOOKUP($A6582,'Tech Litons'!$A:$I,9,FALSE)</f>
        <v>420</v>
      </c>
      <c r="I6582" s="174" t="str">
        <f>VLOOKUP($A6582,'Tech Litons'!$A:$C,3,0)</f>
        <v>Other</v>
      </c>
      <c r="J6582" s="175" t="str">
        <f t="shared" si="733"/>
        <v>6765Other</v>
      </c>
      <c r="K6582" s="176">
        <f>VLOOKUP(I6582,'Attain %'!A:B,2,0)</f>
        <v>0.96</v>
      </c>
      <c r="L6582" s="177">
        <f t="shared" si="734"/>
        <v>25920</v>
      </c>
      <c r="M6582" s="177">
        <f t="shared" si="735"/>
        <v>25.92</v>
      </c>
      <c r="N6582" s="177">
        <f t="shared" si="736"/>
        <v>61.714285714285715</v>
      </c>
      <c r="O6582" s="175" t="str">
        <f t="shared" si="737"/>
        <v>Jun</v>
      </c>
      <c r="P6582" s="265">
        <f t="shared" si="738"/>
        <v>25</v>
      </c>
    </row>
    <row r="6583" spans="1:16" ht="15" hidden="1" customHeight="1">
      <c r="A6583" s="489">
        <v>65254774</v>
      </c>
      <c r="B6583" s="489">
        <v>6765</v>
      </c>
      <c r="C6583" s="488">
        <v>27000</v>
      </c>
      <c r="D6583" s="597">
        <v>46202</v>
      </c>
      <c r="E6583" s="489" t="s">
        <v>614</v>
      </c>
      <c r="F6583" s="489" t="s">
        <v>1221</v>
      </c>
      <c r="G6583" s="395">
        <f>VLOOKUP($A6583,'Tech Litons'!$A:$I,8,FALSE)</f>
        <v>1E-3</v>
      </c>
      <c r="H6583" s="174">
        <f>VLOOKUP($A6583,'Tech Litons'!$A:$I,9,FALSE)</f>
        <v>420</v>
      </c>
      <c r="I6583" s="174" t="str">
        <f>VLOOKUP($A6583,'Tech Litons'!$A:$C,3,0)</f>
        <v>Other</v>
      </c>
      <c r="J6583" s="175" t="str">
        <f t="shared" si="733"/>
        <v>6765Other</v>
      </c>
      <c r="K6583" s="176">
        <f>VLOOKUP(I6583,'Attain %'!A:B,2,0)</f>
        <v>0.96</v>
      </c>
      <c r="L6583" s="177">
        <f t="shared" si="734"/>
        <v>25920</v>
      </c>
      <c r="M6583" s="177">
        <f t="shared" si="735"/>
        <v>25.92</v>
      </c>
      <c r="N6583" s="177">
        <f t="shared" si="736"/>
        <v>61.714285714285715</v>
      </c>
      <c r="O6583" s="175" t="str">
        <f t="shared" si="737"/>
        <v>Jun</v>
      </c>
      <c r="P6583" s="265">
        <f t="shared" si="738"/>
        <v>27</v>
      </c>
    </row>
    <row r="6584" spans="1:16" ht="15" hidden="1" customHeight="1">
      <c r="A6584" s="489">
        <v>65254774</v>
      </c>
      <c r="B6584" s="489">
        <v>6765</v>
      </c>
      <c r="C6584" s="488">
        <v>27000</v>
      </c>
      <c r="D6584" s="597">
        <v>46216</v>
      </c>
      <c r="E6584" s="489" t="s">
        <v>614</v>
      </c>
      <c r="F6584" s="489" t="s">
        <v>1221</v>
      </c>
      <c r="G6584" s="395">
        <f>VLOOKUP($A6584,'Tech Litons'!$A:$I,8,FALSE)</f>
        <v>1E-3</v>
      </c>
      <c r="H6584" s="174">
        <f>VLOOKUP($A6584,'Tech Litons'!$A:$I,9,FALSE)</f>
        <v>420</v>
      </c>
      <c r="I6584" s="174" t="str">
        <f>VLOOKUP($A6584,'Tech Litons'!$A:$C,3,0)</f>
        <v>Other</v>
      </c>
      <c r="J6584" s="175" t="str">
        <f t="shared" ref="J6584:J6647" si="739">B6584&amp;I6584</f>
        <v>6765Other</v>
      </c>
      <c r="K6584" s="176">
        <f>VLOOKUP(I6584,'Attain %'!A:B,2,0)</f>
        <v>0.96</v>
      </c>
      <c r="L6584" s="177">
        <f t="shared" ref="L6584:L6647" si="740">C6584*$K6584</f>
        <v>25920</v>
      </c>
      <c r="M6584" s="177">
        <f t="shared" ref="M6584:M6647" si="741">L6584*G6584</f>
        <v>25.92</v>
      </c>
      <c r="N6584" s="177">
        <f t="shared" ref="N6584:N6647" si="742">L6584/H6584</f>
        <v>61.714285714285715</v>
      </c>
      <c r="O6584" s="175" t="str">
        <f t="shared" ref="O6584:O6647" si="743">TEXT(D6584,"MMM")</f>
        <v>Jul</v>
      </c>
      <c r="P6584" s="265">
        <f t="shared" ref="P6584:P6647" si="744">WEEKNUM(D6584)</f>
        <v>29</v>
      </c>
    </row>
    <row r="6585" spans="1:16" ht="15" hidden="1" customHeight="1">
      <c r="A6585" s="489">
        <v>65254774</v>
      </c>
      <c r="B6585" s="489">
        <v>6765</v>
      </c>
      <c r="C6585" s="488">
        <v>27000</v>
      </c>
      <c r="D6585" s="597">
        <v>46230</v>
      </c>
      <c r="E6585" s="489" t="s">
        <v>614</v>
      </c>
      <c r="F6585" s="489" t="s">
        <v>1221</v>
      </c>
      <c r="G6585" s="395">
        <f>VLOOKUP($A6585,'Tech Litons'!$A:$I,8,FALSE)</f>
        <v>1E-3</v>
      </c>
      <c r="H6585" s="174">
        <f>VLOOKUP($A6585,'Tech Litons'!$A:$I,9,FALSE)</f>
        <v>420</v>
      </c>
      <c r="I6585" s="174" t="str">
        <f>VLOOKUP($A6585,'Tech Litons'!$A:$C,3,0)</f>
        <v>Other</v>
      </c>
      <c r="J6585" s="175" t="str">
        <f t="shared" si="739"/>
        <v>6765Other</v>
      </c>
      <c r="K6585" s="176">
        <f>VLOOKUP(I6585,'Attain %'!A:B,2,0)</f>
        <v>0.96</v>
      </c>
      <c r="L6585" s="177">
        <f t="shared" si="740"/>
        <v>25920</v>
      </c>
      <c r="M6585" s="177">
        <f t="shared" si="741"/>
        <v>25.92</v>
      </c>
      <c r="N6585" s="177">
        <f t="shared" si="742"/>
        <v>61.714285714285715</v>
      </c>
      <c r="O6585" s="175" t="str">
        <f t="shared" si="743"/>
        <v>Jul</v>
      </c>
      <c r="P6585" s="265">
        <f t="shared" si="744"/>
        <v>31</v>
      </c>
    </row>
    <row r="6586" spans="1:16" ht="15" hidden="1" customHeight="1">
      <c r="A6586" s="489">
        <v>64771676</v>
      </c>
      <c r="B6586" s="489" t="s">
        <v>139</v>
      </c>
      <c r="C6586" s="488">
        <v>27084</v>
      </c>
      <c r="D6586" s="597">
        <v>46251</v>
      </c>
      <c r="E6586" s="489" t="s">
        <v>619</v>
      </c>
      <c r="F6586" s="489" t="s">
        <v>1223</v>
      </c>
      <c r="G6586" s="395">
        <f>VLOOKUP($A6586,'Tech Litons'!$A:$I,8,FALSE)</f>
        <v>2.16E-3</v>
      </c>
      <c r="H6586" s="174">
        <f>VLOOKUP($A6586,'Tech Litons'!$A:$I,9,FALSE)</f>
        <v>195</v>
      </c>
      <c r="I6586" s="174" t="str">
        <f>VLOOKUP($A6586,'Tech Litons'!$A:$C,3,0)</f>
        <v>Facepieces</v>
      </c>
      <c r="J6586" s="175" t="str">
        <f t="shared" si="739"/>
        <v>IncomFacepieces</v>
      </c>
      <c r="K6586" s="176">
        <f>VLOOKUP(I6586,'Attain %'!A:B,2,0)</f>
        <v>0.96</v>
      </c>
      <c r="L6586" s="177">
        <f t="shared" si="740"/>
        <v>26000.639999999999</v>
      </c>
      <c r="M6586" s="177">
        <f t="shared" si="741"/>
        <v>56.161382400000001</v>
      </c>
      <c r="N6586" s="177">
        <f t="shared" si="742"/>
        <v>133.33661538461538</v>
      </c>
      <c r="O6586" s="175" t="str">
        <f t="shared" si="743"/>
        <v>Aug</v>
      </c>
      <c r="P6586" s="265">
        <f t="shared" si="744"/>
        <v>34</v>
      </c>
    </row>
    <row r="6587" spans="1:16" ht="15" hidden="1" customHeight="1">
      <c r="A6587" s="489">
        <v>65218505</v>
      </c>
      <c r="B6587" s="489">
        <v>1716</v>
      </c>
      <c r="C6587" s="488">
        <v>27473</v>
      </c>
      <c r="D6587" s="597">
        <v>46139</v>
      </c>
      <c r="E6587" s="489" t="s">
        <v>586</v>
      </c>
      <c r="F6587" s="489" t="s">
        <v>1223</v>
      </c>
      <c r="G6587" s="395">
        <f>VLOOKUP($A6587,'Tech Litons'!$A:$I,8,FALSE)</f>
        <v>3.3119999999999998E-3</v>
      </c>
      <c r="H6587" s="174">
        <f>VLOOKUP($A6587,'Tech Litons'!$A:$I,9,FALSE)</f>
        <v>165</v>
      </c>
      <c r="I6587" s="174" t="str">
        <f>VLOOKUP($A6587,'Tech Litons'!$A:$C,3,0)</f>
        <v>Yasso Sticks</v>
      </c>
      <c r="J6587" s="175" t="str">
        <f t="shared" si="739"/>
        <v>1716Yasso Sticks</v>
      </c>
      <c r="K6587" s="176">
        <f>VLOOKUP(I6587,'Attain %'!A:B,2,0)</f>
        <v>0.96</v>
      </c>
      <c r="L6587" s="177">
        <f t="shared" si="740"/>
        <v>26374.079999999998</v>
      </c>
      <c r="M6587" s="177">
        <f t="shared" si="741"/>
        <v>87.350952959999987</v>
      </c>
      <c r="N6587" s="177">
        <f t="shared" si="742"/>
        <v>159.84290909090907</v>
      </c>
      <c r="O6587" s="175" t="str">
        <f t="shared" si="743"/>
        <v>Apr</v>
      </c>
      <c r="P6587" s="265">
        <f t="shared" si="744"/>
        <v>18</v>
      </c>
    </row>
    <row r="6588" spans="1:16" ht="15" hidden="1" customHeight="1">
      <c r="A6588" s="489">
        <v>64328806</v>
      </c>
      <c r="B6588" s="489">
        <v>1712</v>
      </c>
      <c r="C6588" s="488">
        <v>27520</v>
      </c>
      <c r="D6588" s="597">
        <v>46174</v>
      </c>
      <c r="E6588" s="489" t="s">
        <v>324</v>
      </c>
      <c r="F6588" s="489" t="s">
        <v>1221</v>
      </c>
      <c r="G6588" s="395">
        <f>VLOOKUP($A6588,'Tech Litons'!$A:$I,8,FALSE)</f>
        <v>2.8380000000000002E-3</v>
      </c>
      <c r="H6588" s="174">
        <f>VLOOKUP($A6588,'Tech Litons'!$A:$I,9,FALSE)</f>
        <v>189</v>
      </c>
      <c r="I6588" s="174" t="str">
        <f>VLOOKUP($A6588,'Tech Litons'!$A:$C,3,0)</f>
        <v>ESS</v>
      </c>
      <c r="J6588" s="175" t="str">
        <f t="shared" si="739"/>
        <v>1712ESS</v>
      </c>
      <c r="K6588" s="176">
        <f>VLOOKUP(I6588,'Attain %'!A:B,2,0)</f>
        <v>0.96</v>
      </c>
      <c r="L6588" s="177">
        <f t="shared" si="740"/>
        <v>26419.200000000001</v>
      </c>
      <c r="M6588" s="177">
        <f t="shared" si="741"/>
        <v>74.977689600000005</v>
      </c>
      <c r="N6588" s="177">
        <f t="shared" si="742"/>
        <v>139.784126984127</v>
      </c>
      <c r="O6588" s="175" t="str">
        <f t="shared" si="743"/>
        <v>Jun</v>
      </c>
      <c r="P6588" s="265">
        <f t="shared" si="744"/>
        <v>23</v>
      </c>
    </row>
    <row r="6589" spans="1:16" ht="15" hidden="1" customHeight="1">
      <c r="A6589" s="489">
        <v>64328806</v>
      </c>
      <c r="B6589" s="489">
        <v>1712</v>
      </c>
      <c r="C6589" s="488">
        <v>27520</v>
      </c>
      <c r="D6589" s="597">
        <v>46237</v>
      </c>
      <c r="E6589" s="489" t="s">
        <v>324</v>
      </c>
      <c r="F6589" s="489" t="s">
        <v>1221</v>
      </c>
      <c r="G6589" s="395">
        <f>VLOOKUP($A6589,'Tech Litons'!$A:$I,8,FALSE)</f>
        <v>2.8380000000000002E-3</v>
      </c>
      <c r="H6589" s="174">
        <f>VLOOKUP($A6589,'Tech Litons'!$A:$I,9,FALSE)</f>
        <v>189</v>
      </c>
      <c r="I6589" s="174" t="str">
        <f>VLOOKUP($A6589,'Tech Litons'!$A:$C,3,0)</f>
        <v>ESS</v>
      </c>
      <c r="J6589" s="175" t="str">
        <f t="shared" si="739"/>
        <v>1712ESS</v>
      </c>
      <c r="K6589" s="176">
        <f>VLOOKUP(I6589,'Attain %'!A:B,2,0)</f>
        <v>0.96</v>
      </c>
      <c r="L6589" s="177">
        <f t="shared" si="740"/>
        <v>26419.200000000001</v>
      </c>
      <c r="M6589" s="177">
        <f t="shared" si="741"/>
        <v>74.977689600000005</v>
      </c>
      <c r="N6589" s="177">
        <f t="shared" si="742"/>
        <v>139.784126984127</v>
      </c>
      <c r="O6589" s="175" t="str">
        <f t="shared" si="743"/>
        <v>Aug</v>
      </c>
      <c r="P6589" s="265">
        <f t="shared" si="744"/>
        <v>32</v>
      </c>
    </row>
    <row r="6590" spans="1:16" ht="15" hidden="1" customHeight="1">
      <c r="A6590" s="489">
        <v>64328806</v>
      </c>
      <c r="B6590" s="489">
        <v>1712</v>
      </c>
      <c r="C6590" s="488">
        <v>27520</v>
      </c>
      <c r="D6590" s="597">
        <v>46272</v>
      </c>
      <c r="E6590" s="489" t="s">
        <v>324</v>
      </c>
      <c r="F6590" s="489" t="s">
        <v>1221</v>
      </c>
      <c r="G6590" s="395">
        <f>VLOOKUP($A6590,'Tech Litons'!$A:$I,8,FALSE)</f>
        <v>2.8380000000000002E-3</v>
      </c>
      <c r="H6590" s="174">
        <f>VLOOKUP($A6590,'Tech Litons'!$A:$I,9,FALSE)</f>
        <v>189</v>
      </c>
      <c r="I6590" s="174" t="str">
        <f>VLOOKUP($A6590,'Tech Litons'!$A:$C,3,0)</f>
        <v>ESS</v>
      </c>
      <c r="J6590" s="175" t="str">
        <f t="shared" si="739"/>
        <v>1712ESS</v>
      </c>
      <c r="K6590" s="176">
        <f>VLOOKUP(I6590,'Attain %'!A:B,2,0)</f>
        <v>0.96</v>
      </c>
      <c r="L6590" s="177">
        <f t="shared" si="740"/>
        <v>26419.200000000001</v>
      </c>
      <c r="M6590" s="177">
        <f t="shared" si="741"/>
        <v>74.977689600000005</v>
      </c>
      <c r="N6590" s="177">
        <f t="shared" si="742"/>
        <v>139.784126984127</v>
      </c>
      <c r="O6590" s="175" t="str">
        <f t="shared" si="743"/>
        <v>Sep</v>
      </c>
      <c r="P6590" s="265">
        <f t="shared" si="744"/>
        <v>37</v>
      </c>
    </row>
    <row r="6591" spans="1:16" ht="15" hidden="1" customHeight="1">
      <c r="A6591" s="489">
        <v>64328806</v>
      </c>
      <c r="B6591" s="489">
        <v>1712</v>
      </c>
      <c r="C6591" s="488">
        <v>27520</v>
      </c>
      <c r="D6591" s="597">
        <v>46307</v>
      </c>
      <c r="E6591" s="489" t="s">
        <v>324</v>
      </c>
      <c r="F6591" s="489" t="s">
        <v>1221</v>
      </c>
      <c r="G6591" s="395">
        <f>VLOOKUP($A6591,'Tech Litons'!$A:$I,8,FALSE)</f>
        <v>2.8380000000000002E-3</v>
      </c>
      <c r="H6591" s="174">
        <f>VLOOKUP($A6591,'Tech Litons'!$A:$I,9,FALSE)</f>
        <v>189</v>
      </c>
      <c r="I6591" s="174" t="str">
        <f>VLOOKUP($A6591,'Tech Litons'!$A:$C,3,0)</f>
        <v>ESS</v>
      </c>
      <c r="J6591" s="175" t="str">
        <f t="shared" si="739"/>
        <v>1712ESS</v>
      </c>
      <c r="K6591" s="176">
        <f>VLOOKUP(I6591,'Attain %'!A:B,2,0)</f>
        <v>0.96</v>
      </c>
      <c r="L6591" s="177">
        <f t="shared" si="740"/>
        <v>26419.200000000001</v>
      </c>
      <c r="M6591" s="177">
        <f t="shared" si="741"/>
        <v>74.977689600000005</v>
      </c>
      <c r="N6591" s="177">
        <f t="shared" si="742"/>
        <v>139.784126984127</v>
      </c>
      <c r="O6591" s="175" t="str">
        <f t="shared" si="743"/>
        <v>Oct</v>
      </c>
      <c r="P6591" s="265">
        <f t="shared" si="744"/>
        <v>42</v>
      </c>
    </row>
    <row r="6592" spans="1:16" ht="15" hidden="1" customHeight="1">
      <c r="A6592" s="489">
        <v>64328806</v>
      </c>
      <c r="B6592" s="489">
        <v>1712</v>
      </c>
      <c r="C6592" s="488">
        <v>27520</v>
      </c>
      <c r="D6592" s="597">
        <v>46342</v>
      </c>
      <c r="E6592" s="489" t="s">
        <v>324</v>
      </c>
      <c r="F6592" s="489" t="s">
        <v>1221</v>
      </c>
      <c r="G6592" s="395">
        <f>VLOOKUP($A6592,'Tech Litons'!$A:$I,8,FALSE)</f>
        <v>2.8380000000000002E-3</v>
      </c>
      <c r="H6592" s="174">
        <f>VLOOKUP($A6592,'Tech Litons'!$A:$I,9,FALSE)</f>
        <v>189</v>
      </c>
      <c r="I6592" s="174" t="str">
        <f>VLOOKUP($A6592,'Tech Litons'!$A:$C,3,0)</f>
        <v>ESS</v>
      </c>
      <c r="J6592" s="175" t="str">
        <f t="shared" si="739"/>
        <v>1712ESS</v>
      </c>
      <c r="K6592" s="176">
        <f>VLOOKUP(I6592,'Attain %'!A:B,2,0)</f>
        <v>0.96</v>
      </c>
      <c r="L6592" s="177">
        <f t="shared" si="740"/>
        <v>26419.200000000001</v>
      </c>
      <c r="M6592" s="177">
        <f t="shared" si="741"/>
        <v>74.977689600000005</v>
      </c>
      <c r="N6592" s="177">
        <f t="shared" si="742"/>
        <v>139.784126984127</v>
      </c>
      <c r="O6592" s="175" t="str">
        <f t="shared" si="743"/>
        <v>Nov</v>
      </c>
      <c r="P6592" s="265">
        <f t="shared" si="744"/>
        <v>47</v>
      </c>
    </row>
    <row r="6593" spans="1:16" ht="15" hidden="1" customHeight="1">
      <c r="A6593" s="489">
        <v>64978550</v>
      </c>
      <c r="B6593" s="489">
        <v>1712</v>
      </c>
      <c r="C6593" s="488">
        <v>27600</v>
      </c>
      <c r="D6593" s="597">
        <v>46181</v>
      </c>
      <c r="E6593" s="489" t="s">
        <v>575</v>
      </c>
      <c r="F6593" s="489" t="s">
        <v>1221</v>
      </c>
      <c r="G6593" s="395">
        <f>VLOOKUP($A6593,'Tech Litons'!$A:$I,8,FALSE)</f>
        <v>2.8399999999999996E-3</v>
      </c>
      <c r="H6593" s="174">
        <f>VLOOKUP($A6593,'Tech Litons'!$A:$I,9,FALSE)</f>
        <v>130</v>
      </c>
      <c r="I6593" s="174" t="str">
        <f>VLOOKUP($A6593,'Tech Litons'!$A:$C,3,0)</f>
        <v>Other</v>
      </c>
      <c r="J6593" s="175" t="str">
        <f t="shared" si="739"/>
        <v>1712Other</v>
      </c>
      <c r="K6593" s="176">
        <f>VLOOKUP(I6593,'Attain %'!A:B,2,0)</f>
        <v>0.96</v>
      </c>
      <c r="L6593" s="177">
        <f t="shared" si="740"/>
        <v>26496</v>
      </c>
      <c r="M6593" s="177">
        <f t="shared" si="741"/>
        <v>75.248639999999995</v>
      </c>
      <c r="N6593" s="177">
        <f t="shared" si="742"/>
        <v>203.8153846153846</v>
      </c>
      <c r="O6593" s="175" t="str">
        <f t="shared" si="743"/>
        <v>Jun</v>
      </c>
      <c r="P6593" s="265">
        <f t="shared" si="744"/>
        <v>24</v>
      </c>
    </row>
    <row r="6594" spans="1:16" ht="15" hidden="1" customHeight="1">
      <c r="A6594" s="489">
        <v>64978550</v>
      </c>
      <c r="B6594" s="489">
        <v>1712</v>
      </c>
      <c r="C6594" s="488">
        <v>27600</v>
      </c>
      <c r="D6594" s="597">
        <v>46223</v>
      </c>
      <c r="E6594" s="489" t="s">
        <v>575</v>
      </c>
      <c r="F6594" s="489" t="s">
        <v>1221</v>
      </c>
      <c r="G6594" s="395">
        <f>VLOOKUP($A6594,'Tech Litons'!$A:$I,8,FALSE)</f>
        <v>2.8399999999999996E-3</v>
      </c>
      <c r="H6594" s="174">
        <f>VLOOKUP($A6594,'Tech Litons'!$A:$I,9,FALSE)</f>
        <v>130</v>
      </c>
      <c r="I6594" s="174" t="str">
        <f>VLOOKUP($A6594,'Tech Litons'!$A:$C,3,0)</f>
        <v>Other</v>
      </c>
      <c r="J6594" s="175" t="str">
        <f t="shared" si="739"/>
        <v>1712Other</v>
      </c>
      <c r="K6594" s="176">
        <f>VLOOKUP(I6594,'Attain %'!A:B,2,0)</f>
        <v>0.96</v>
      </c>
      <c r="L6594" s="177">
        <f t="shared" si="740"/>
        <v>26496</v>
      </c>
      <c r="M6594" s="177">
        <f t="shared" si="741"/>
        <v>75.248639999999995</v>
      </c>
      <c r="N6594" s="177">
        <f t="shared" si="742"/>
        <v>203.8153846153846</v>
      </c>
      <c r="O6594" s="175" t="str">
        <f t="shared" si="743"/>
        <v>Jul</v>
      </c>
      <c r="P6594" s="265">
        <f t="shared" si="744"/>
        <v>30</v>
      </c>
    </row>
    <row r="6595" spans="1:16" ht="15" hidden="1" customHeight="1">
      <c r="A6595" s="489">
        <v>64978550</v>
      </c>
      <c r="B6595" s="489">
        <v>1712</v>
      </c>
      <c r="C6595" s="488">
        <v>27600</v>
      </c>
      <c r="D6595" s="597">
        <v>46293</v>
      </c>
      <c r="E6595" s="489" t="s">
        <v>575</v>
      </c>
      <c r="F6595" s="489" t="s">
        <v>1221</v>
      </c>
      <c r="G6595" s="395">
        <f>VLOOKUP($A6595,'Tech Litons'!$A:$I,8,FALSE)</f>
        <v>2.8399999999999996E-3</v>
      </c>
      <c r="H6595" s="174">
        <f>VLOOKUP($A6595,'Tech Litons'!$A:$I,9,FALSE)</f>
        <v>130</v>
      </c>
      <c r="I6595" s="174" t="str">
        <f>VLOOKUP($A6595,'Tech Litons'!$A:$C,3,0)</f>
        <v>Other</v>
      </c>
      <c r="J6595" s="175" t="str">
        <f t="shared" si="739"/>
        <v>1712Other</v>
      </c>
      <c r="K6595" s="176">
        <f>VLOOKUP(I6595,'Attain %'!A:B,2,0)</f>
        <v>0.96</v>
      </c>
      <c r="L6595" s="177">
        <f t="shared" si="740"/>
        <v>26496</v>
      </c>
      <c r="M6595" s="177">
        <f t="shared" si="741"/>
        <v>75.248639999999995</v>
      </c>
      <c r="N6595" s="177">
        <f t="shared" si="742"/>
        <v>203.8153846153846</v>
      </c>
      <c r="O6595" s="175" t="str">
        <f t="shared" si="743"/>
        <v>Sep</v>
      </c>
      <c r="P6595" s="265">
        <f t="shared" si="744"/>
        <v>40</v>
      </c>
    </row>
    <row r="6596" spans="1:16" ht="15" hidden="1" customHeight="1">
      <c r="A6596" s="489">
        <v>64365613</v>
      </c>
      <c r="B6596" s="489" t="s">
        <v>139</v>
      </c>
      <c r="C6596" s="488">
        <v>27936</v>
      </c>
      <c r="D6596" s="597">
        <v>46300</v>
      </c>
      <c r="E6596" s="489" t="s">
        <v>617</v>
      </c>
      <c r="F6596" s="489" t="s">
        <v>1223</v>
      </c>
      <c r="G6596" s="395">
        <f>VLOOKUP($A6596,'Tech Litons'!$A:$I,8,FALSE)</f>
        <v>2.1540000000000001E-3</v>
      </c>
      <c r="H6596" s="174">
        <f>VLOOKUP($A6596,'Tech Litons'!$A:$I,9,FALSE)</f>
        <v>195</v>
      </c>
      <c r="I6596" s="174" t="str">
        <f>VLOOKUP($A6596,'Tech Litons'!$A:$C,3,0)</f>
        <v>Facepieces</v>
      </c>
      <c r="J6596" s="175" t="str">
        <f t="shared" si="739"/>
        <v>IncomFacepieces</v>
      </c>
      <c r="K6596" s="176">
        <f>VLOOKUP(I6596,'Attain %'!A:B,2,0)</f>
        <v>0.96</v>
      </c>
      <c r="L6596" s="177">
        <f t="shared" si="740"/>
        <v>26818.559999999998</v>
      </c>
      <c r="M6596" s="177">
        <f t="shared" si="741"/>
        <v>57.76717824</v>
      </c>
      <c r="N6596" s="177">
        <f t="shared" si="742"/>
        <v>137.53107692307691</v>
      </c>
      <c r="O6596" s="175" t="str">
        <f t="shared" si="743"/>
        <v>Oct</v>
      </c>
      <c r="P6596" s="265">
        <f t="shared" si="744"/>
        <v>41</v>
      </c>
    </row>
    <row r="6597" spans="1:16" ht="15" hidden="1" customHeight="1">
      <c r="A6597" s="489">
        <v>64955743</v>
      </c>
      <c r="B6597" s="489">
        <v>1716</v>
      </c>
      <c r="C6597" s="488">
        <v>28000</v>
      </c>
      <c r="D6597" s="597">
        <v>46146</v>
      </c>
      <c r="E6597" s="489" t="s">
        <v>585</v>
      </c>
      <c r="F6597" s="489" t="s">
        <v>1221</v>
      </c>
      <c r="G6597" s="395">
        <f>VLOOKUP($A6597,'Tech Litons'!$A:$I,8,FALSE)</f>
        <v>3.3119999999999998E-3</v>
      </c>
      <c r="H6597" s="174">
        <f>VLOOKUP($A6597,'Tech Litons'!$A:$I,9,FALSE)</f>
        <v>165</v>
      </c>
      <c r="I6597" s="174" t="str">
        <f>VLOOKUP($A6597,'Tech Litons'!$A:$C,3,0)</f>
        <v>Yasso Sticks</v>
      </c>
      <c r="J6597" s="175" t="str">
        <f t="shared" si="739"/>
        <v>1716Yasso Sticks</v>
      </c>
      <c r="K6597" s="176">
        <f>VLOOKUP(I6597,'Attain %'!A:B,2,0)</f>
        <v>0.96</v>
      </c>
      <c r="L6597" s="177">
        <f t="shared" si="740"/>
        <v>26880</v>
      </c>
      <c r="M6597" s="177">
        <f t="shared" si="741"/>
        <v>89.026559999999989</v>
      </c>
      <c r="N6597" s="177">
        <f t="shared" si="742"/>
        <v>162.90909090909091</v>
      </c>
      <c r="O6597" s="175" t="str">
        <f t="shared" si="743"/>
        <v>May</v>
      </c>
      <c r="P6597" s="265">
        <f t="shared" si="744"/>
        <v>19</v>
      </c>
    </row>
    <row r="6598" spans="1:16" ht="15" hidden="1" customHeight="1">
      <c r="A6598" s="489">
        <v>64955743</v>
      </c>
      <c r="B6598" s="489">
        <v>1716</v>
      </c>
      <c r="C6598" s="488">
        <v>28000</v>
      </c>
      <c r="D6598" s="597">
        <v>46216</v>
      </c>
      <c r="E6598" s="489" t="s">
        <v>585</v>
      </c>
      <c r="F6598" s="489" t="s">
        <v>1221</v>
      </c>
      <c r="G6598" s="395">
        <f>VLOOKUP($A6598,'Tech Litons'!$A:$I,8,FALSE)</f>
        <v>3.3119999999999998E-3</v>
      </c>
      <c r="H6598" s="174">
        <f>VLOOKUP($A6598,'Tech Litons'!$A:$I,9,FALSE)</f>
        <v>165</v>
      </c>
      <c r="I6598" s="174" t="str">
        <f>VLOOKUP($A6598,'Tech Litons'!$A:$C,3,0)</f>
        <v>Yasso Sticks</v>
      </c>
      <c r="J6598" s="175" t="str">
        <f t="shared" si="739"/>
        <v>1716Yasso Sticks</v>
      </c>
      <c r="K6598" s="176">
        <f>VLOOKUP(I6598,'Attain %'!A:B,2,0)</f>
        <v>0.96</v>
      </c>
      <c r="L6598" s="177">
        <f t="shared" si="740"/>
        <v>26880</v>
      </c>
      <c r="M6598" s="177">
        <f t="shared" si="741"/>
        <v>89.026559999999989</v>
      </c>
      <c r="N6598" s="177">
        <f t="shared" si="742"/>
        <v>162.90909090909091</v>
      </c>
      <c r="O6598" s="175" t="str">
        <f t="shared" si="743"/>
        <v>Jul</v>
      </c>
      <c r="P6598" s="265">
        <f t="shared" si="744"/>
        <v>29</v>
      </c>
    </row>
    <row r="6599" spans="1:16" ht="15" hidden="1" customHeight="1">
      <c r="A6599" s="489">
        <v>64958124</v>
      </c>
      <c r="B6599" s="489">
        <v>1716</v>
      </c>
      <c r="C6599" s="488">
        <v>28000</v>
      </c>
      <c r="D6599" s="597">
        <v>46153</v>
      </c>
      <c r="E6599" s="489" t="s">
        <v>587</v>
      </c>
      <c r="F6599" s="489" t="s">
        <v>1221</v>
      </c>
      <c r="G6599" s="395">
        <f>VLOOKUP($A6599,'Tech Litons'!$A:$I,8,FALSE)</f>
        <v>3.3119999999999998E-3</v>
      </c>
      <c r="H6599" s="174">
        <f>VLOOKUP($A6599,'Tech Litons'!$A:$I,9,FALSE)</f>
        <v>165</v>
      </c>
      <c r="I6599" s="174" t="str">
        <f>VLOOKUP($A6599,'Tech Litons'!$A:$C,3,0)</f>
        <v>Yasso Sticks</v>
      </c>
      <c r="J6599" s="175" t="str">
        <f t="shared" si="739"/>
        <v>1716Yasso Sticks</v>
      </c>
      <c r="K6599" s="176">
        <f>VLOOKUP(I6599,'Attain %'!A:B,2,0)</f>
        <v>0.96</v>
      </c>
      <c r="L6599" s="177">
        <f t="shared" si="740"/>
        <v>26880</v>
      </c>
      <c r="M6599" s="177">
        <f t="shared" si="741"/>
        <v>89.026559999999989</v>
      </c>
      <c r="N6599" s="177">
        <f t="shared" si="742"/>
        <v>162.90909090909091</v>
      </c>
      <c r="O6599" s="175" t="str">
        <f t="shared" si="743"/>
        <v>May</v>
      </c>
      <c r="P6599" s="265">
        <f t="shared" si="744"/>
        <v>20</v>
      </c>
    </row>
    <row r="6600" spans="1:16" ht="15" hidden="1" customHeight="1">
      <c r="A6600" s="489">
        <v>64958125</v>
      </c>
      <c r="B6600" s="489">
        <v>1716</v>
      </c>
      <c r="C6600" s="488">
        <v>28000</v>
      </c>
      <c r="D6600" s="597">
        <v>46146</v>
      </c>
      <c r="E6600" s="489" t="s">
        <v>238</v>
      </c>
      <c r="F6600" s="489" t="s">
        <v>1221</v>
      </c>
      <c r="G6600" s="395">
        <f>VLOOKUP($A6600,'Tech Litons'!$A:$I,8,FALSE)</f>
        <v>3.3119999999999998E-3</v>
      </c>
      <c r="H6600" s="174">
        <f>VLOOKUP($A6600,'Tech Litons'!$A:$I,9,FALSE)</f>
        <v>165</v>
      </c>
      <c r="I6600" s="174" t="str">
        <f>VLOOKUP($A6600,'Tech Litons'!$A:$C,3,0)</f>
        <v>Yasso Sticks</v>
      </c>
      <c r="J6600" s="175" t="str">
        <f t="shared" si="739"/>
        <v>1716Yasso Sticks</v>
      </c>
      <c r="K6600" s="176">
        <f>VLOOKUP(I6600,'Attain %'!A:B,2,0)</f>
        <v>0.96</v>
      </c>
      <c r="L6600" s="177">
        <f t="shared" si="740"/>
        <v>26880</v>
      </c>
      <c r="M6600" s="177">
        <f t="shared" si="741"/>
        <v>89.026559999999989</v>
      </c>
      <c r="N6600" s="177">
        <f t="shared" si="742"/>
        <v>162.90909090909091</v>
      </c>
      <c r="O6600" s="175" t="str">
        <f t="shared" si="743"/>
        <v>May</v>
      </c>
      <c r="P6600" s="265">
        <f t="shared" si="744"/>
        <v>19</v>
      </c>
    </row>
    <row r="6601" spans="1:16" ht="15" hidden="1" customHeight="1">
      <c r="A6601" s="489">
        <v>64958125</v>
      </c>
      <c r="B6601" s="489">
        <v>1716</v>
      </c>
      <c r="C6601" s="488">
        <v>28000</v>
      </c>
      <c r="D6601" s="597">
        <v>46202</v>
      </c>
      <c r="E6601" s="489" t="s">
        <v>238</v>
      </c>
      <c r="F6601" s="489" t="s">
        <v>1221</v>
      </c>
      <c r="G6601" s="395">
        <f>VLOOKUP($A6601,'Tech Litons'!$A:$I,8,FALSE)</f>
        <v>3.3119999999999998E-3</v>
      </c>
      <c r="H6601" s="174">
        <f>VLOOKUP($A6601,'Tech Litons'!$A:$I,9,FALSE)</f>
        <v>165</v>
      </c>
      <c r="I6601" s="174" t="str">
        <f>VLOOKUP($A6601,'Tech Litons'!$A:$C,3,0)</f>
        <v>Yasso Sticks</v>
      </c>
      <c r="J6601" s="175" t="str">
        <f t="shared" si="739"/>
        <v>1716Yasso Sticks</v>
      </c>
      <c r="K6601" s="176">
        <f>VLOOKUP(I6601,'Attain %'!A:B,2,0)</f>
        <v>0.96</v>
      </c>
      <c r="L6601" s="177">
        <f t="shared" si="740"/>
        <v>26880</v>
      </c>
      <c r="M6601" s="177">
        <f t="shared" si="741"/>
        <v>89.026559999999989</v>
      </c>
      <c r="N6601" s="177">
        <f t="shared" si="742"/>
        <v>162.90909090909091</v>
      </c>
      <c r="O6601" s="175" t="str">
        <f t="shared" si="743"/>
        <v>Jun</v>
      </c>
      <c r="P6601" s="265">
        <f t="shared" si="744"/>
        <v>27</v>
      </c>
    </row>
    <row r="6602" spans="1:16" ht="15" hidden="1" customHeight="1">
      <c r="A6602" s="489">
        <v>64958126</v>
      </c>
      <c r="B6602" s="489">
        <v>1716</v>
      </c>
      <c r="C6602" s="488">
        <v>28000</v>
      </c>
      <c r="D6602" s="597">
        <v>46209</v>
      </c>
      <c r="E6602" s="489" t="s">
        <v>588</v>
      </c>
      <c r="F6602" s="489" t="s">
        <v>1221</v>
      </c>
      <c r="G6602" s="395">
        <f>VLOOKUP($A6602,'Tech Litons'!$A:$I,8,FALSE)</f>
        <v>3.3119999999999998E-3</v>
      </c>
      <c r="H6602" s="174">
        <f>VLOOKUP($A6602,'Tech Litons'!$A:$I,9,FALSE)</f>
        <v>165</v>
      </c>
      <c r="I6602" s="174" t="str">
        <f>VLOOKUP($A6602,'Tech Litons'!$A:$C,3,0)</f>
        <v>Yasso Sticks</v>
      </c>
      <c r="J6602" s="175" t="str">
        <f t="shared" si="739"/>
        <v>1716Yasso Sticks</v>
      </c>
      <c r="K6602" s="176">
        <f>VLOOKUP(I6602,'Attain %'!A:B,2,0)</f>
        <v>0.96</v>
      </c>
      <c r="L6602" s="177">
        <f t="shared" si="740"/>
        <v>26880</v>
      </c>
      <c r="M6602" s="177">
        <f t="shared" si="741"/>
        <v>89.026559999999989</v>
      </c>
      <c r="N6602" s="177">
        <f t="shared" si="742"/>
        <v>162.90909090909091</v>
      </c>
      <c r="O6602" s="175" t="str">
        <f t="shared" si="743"/>
        <v>Jul</v>
      </c>
      <c r="P6602" s="265">
        <f t="shared" si="744"/>
        <v>28</v>
      </c>
    </row>
    <row r="6603" spans="1:16" ht="15" hidden="1" customHeight="1">
      <c r="A6603" s="489">
        <v>64958127</v>
      </c>
      <c r="B6603" s="489">
        <v>1716</v>
      </c>
      <c r="C6603" s="488">
        <v>28000</v>
      </c>
      <c r="D6603" s="597">
        <v>46153</v>
      </c>
      <c r="E6603" s="489" t="s">
        <v>237</v>
      </c>
      <c r="F6603" s="489" t="s">
        <v>1221</v>
      </c>
      <c r="G6603" s="395">
        <f>VLOOKUP($A6603,'Tech Litons'!$A:$I,8,FALSE)</f>
        <v>3.3119999999999998E-3</v>
      </c>
      <c r="H6603" s="174">
        <f>VLOOKUP($A6603,'Tech Litons'!$A:$I,9,FALSE)</f>
        <v>165</v>
      </c>
      <c r="I6603" s="174" t="str">
        <f>VLOOKUP($A6603,'Tech Litons'!$A:$C,3,0)</f>
        <v>Yasso Sticks</v>
      </c>
      <c r="J6603" s="175" t="str">
        <f t="shared" si="739"/>
        <v>1716Yasso Sticks</v>
      </c>
      <c r="K6603" s="176">
        <f>VLOOKUP(I6603,'Attain %'!A:B,2,0)</f>
        <v>0.96</v>
      </c>
      <c r="L6603" s="177">
        <f t="shared" si="740"/>
        <v>26880</v>
      </c>
      <c r="M6603" s="177">
        <f t="shared" si="741"/>
        <v>89.026559999999989</v>
      </c>
      <c r="N6603" s="177">
        <f t="shared" si="742"/>
        <v>162.90909090909091</v>
      </c>
      <c r="O6603" s="175" t="str">
        <f t="shared" si="743"/>
        <v>May</v>
      </c>
      <c r="P6603" s="265">
        <f t="shared" si="744"/>
        <v>20</v>
      </c>
    </row>
    <row r="6604" spans="1:16" ht="15" hidden="1" customHeight="1">
      <c r="A6604" s="489">
        <v>64958127</v>
      </c>
      <c r="B6604" s="489">
        <v>1716</v>
      </c>
      <c r="C6604" s="488">
        <v>28000</v>
      </c>
      <c r="D6604" s="597">
        <v>46209</v>
      </c>
      <c r="E6604" s="489" t="s">
        <v>237</v>
      </c>
      <c r="F6604" s="489" t="s">
        <v>1221</v>
      </c>
      <c r="G6604" s="395">
        <f>VLOOKUP($A6604,'Tech Litons'!$A:$I,8,FALSE)</f>
        <v>3.3119999999999998E-3</v>
      </c>
      <c r="H6604" s="174">
        <f>VLOOKUP($A6604,'Tech Litons'!$A:$I,9,FALSE)</f>
        <v>165</v>
      </c>
      <c r="I6604" s="174" t="str">
        <f>VLOOKUP($A6604,'Tech Litons'!$A:$C,3,0)</f>
        <v>Yasso Sticks</v>
      </c>
      <c r="J6604" s="175" t="str">
        <f t="shared" si="739"/>
        <v>1716Yasso Sticks</v>
      </c>
      <c r="K6604" s="176">
        <f>VLOOKUP(I6604,'Attain %'!A:B,2,0)</f>
        <v>0.96</v>
      </c>
      <c r="L6604" s="177">
        <f t="shared" si="740"/>
        <v>26880</v>
      </c>
      <c r="M6604" s="177">
        <f t="shared" si="741"/>
        <v>89.026559999999989</v>
      </c>
      <c r="N6604" s="177">
        <f t="shared" si="742"/>
        <v>162.90909090909091</v>
      </c>
      <c r="O6604" s="175" t="str">
        <f t="shared" si="743"/>
        <v>Jul</v>
      </c>
      <c r="P6604" s="265">
        <f t="shared" si="744"/>
        <v>28</v>
      </c>
    </row>
    <row r="6605" spans="1:16" ht="15" hidden="1" customHeight="1">
      <c r="A6605" s="489">
        <v>64958129</v>
      </c>
      <c r="B6605" s="489">
        <v>1716</v>
      </c>
      <c r="C6605" s="488">
        <v>28000</v>
      </c>
      <c r="D6605" s="597">
        <v>46153</v>
      </c>
      <c r="E6605" s="489" t="s">
        <v>589</v>
      </c>
      <c r="F6605" s="489" t="s">
        <v>1221</v>
      </c>
      <c r="G6605" s="395">
        <f>VLOOKUP($A6605,'Tech Litons'!$A:$I,8,FALSE)</f>
        <v>3.3119999999999998E-3</v>
      </c>
      <c r="H6605" s="174">
        <f>VLOOKUP($A6605,'Tech Litons'!$A:$I,9,FALSE)</f>
        <v>165</v>
      </c>
      <c r="I6605" s="174" t="str">
        <f>VLOOKUP($A6605,'Tech Litons'!$A:$C,3,0)</f>
        <v>Yasso Sticks</v>
      </c>
      <c r="J6605" s="175" t="str">
        <f t="shared" si="739"/>
        <v>1716Yasso Sticks</v>
      </c>
      <c r="K6605" s="176">
        <f>VLOOKUP(I6605,'Attain %'!A:B,2,0)</f>
        <v>0.96</v>
      </c>
      <c r="L6605" s="177">
        <f t="shared" si="740"/>
        <v>26880</v>
      </c>
      <c r="M6605" s="177">
        <f t="shared" si="741"/>
        <v>89.026559999999989</v>
      </c>
      <c r="N6605" s="177">
        <f t="shared" si="742"/>
        <v>162.90909090909091</v>
      </c>
      <c r="O6605" s="175" t="str">
        <f t="shared" si="743"/>
        <v>May</v>
      </c>
      <c r="P6605" s="265">
        <f t="shared" si="744"/>
        <v>20</v>
      </c>
    </row>
    <row r="6606" spans="1:16" ht="15" hidden="1" customHeight="1">
      <c r="A6606" s="489">
        <v>64975613</v>
      </c>
      <c r="B6606" s="489">
        <v>1716</v>
      </c>
      <c r="C6606" s="488">
        <v>28000</v>
      </c>
      <c r="D6606" s="597">
        <v>46209</v>
      </c>
      <c r="E6606" s="489" t="s">
        <v>593</v>
      </c>
      <c r="F6606" s="489" t="s">
        <v>1221</v>
      </c>
      <c r="G6606" s="395">
        <f>VLOOKUP($A6606,'Tech Litons'!$A:$I,8,FALSE)</f>
        <v>3.3119999999999998E-3</v>
      </c>
      <c r="H6606" s="174">
        <f>VLOOKUP($A6606,'Tech Litons'!$A:$I,9,FALSE)</f>
        <v>240</v>
      </c>
      <c r="I6606" s="174" t="str">
        <f>VLOOKUP($A6606,'Tech Litons'!$A:$C,3,0)</f>
        <v>YS PTS</v>
      </c>
      <c r="J6606" s="175" t="str">
        <f t="shared" si="739"/>
        <v>1716YS PTS</v>
      </c>
      <c r="K6606" s="176">
        <f>VLOOKUP(I6606,'Attain %'!A:B,2,0)</f>
        <v>0.96</v>
      </c>
      <c r="L6606" s="177">
        <f t="shared" si="740"/>
        <v>26880</v>
      </c>
      <c r="M6606" s="177">
        <f t="shared" si="741"/>
        <v>89.026559999999989</v>
      </c>
      <c r="N6606" s="177">
        <f t="shared" si="742"/>
        <v>112</v>
      </c>
      <c r="O6606" s="175" t="str">
        <f t="shared" si="743"/>
        <v>Jul</v>
      </c>
      <c r="P6606" s="265">
        <f t="shared" si="744"/>
        <v>28</v>
      </c>
    </row>
    <row r="6607" spans="1:16" ht="15" hidden="1" customHeight="1">
      <c r="A6607" s="489">
        <v>64975613</v>
      </c>
      <c r="B6607" s="489">
        <v>1716</v>
      </c>
      <c r="C6607" s="488">
        <v>28000</v>
      </c>
      <c r="D6607" s="597">
        <v>46230</v>
      </c>
      <c r="E6607" s="489" t="s">
        <v>593</v>
      </c>
      <c r="F6607" s="489" t="s">
        <v>1221</v>
      </c>
      <c r="G6607" s="395">
        <f>VLOOKUP($A6607,'Tech Litons'!$A:$I,8,FALSE)</f>
        <v>3.3119999999999998E-3</v>
      </c>
      <c r="H6607" s="174">
        <f>VLOOKUP($A6607,'Tech Litons'!$A:$I,9,FALSE)</f>
        <v>240</v>
      </c>
      <c r="I6607" s="174" t="str">
        <f>VLOOKUP($A6607,'Tech Litons'!$A:$C,3,0)</f>
        <v>YS PTS</v>
      </c>
      <c r="J6607" s="175" t="str">
        <f t="shared" si="739"/>
        <v>1716YS PTS</v>
      </c>
      <c r="K6607" s="176">
        <f>VLOOKUP(I6607,'Attain %'!A:B,2,0)</f>
        <v>0.96</v>
      </c>
      <c r="L6607" s="177">
        <f t="shared" si="740"/>
        <v>26880</v>
      </c>
      <c r="M6607" s="177">
        <f t="shared" si="741"/>
        <v>89.026559999999989</v>
      </c>
      <c r="N6607" s="177">
        <f t="shared" si="742"/>
        <v>112</v>
      </c>
      <c r="O6607" s="175" t="str">
        <f t="shared" si="743"/>
        <v>Jul</v>
      </c>
      <c r="P6607" s="265">
        <f t="shared" si="744"/>
        <v>31</v>
      </c>
    </row>
    <row r="6608" spans="1:16" ht="15" hidden="1" customHeight="1">
      <c r="A6608" s="489">
        <v>64975613</v>
      </c>
      <c r="B6608" s="489">
        <v>1716</v>
      </c>
      <c r="C6608" s="488">
        <v>28000</v>
      </c>
      <c r="D6608" s="597">
        <v>46251</v>
      </c>
      <c r="E6608" s="489" t="s">
        <v>593</v>
      </c>
      <c r="F6608" s="489" t="s">
        <v>1221</v>
      </c>
      <c r="G6608" s="395">
        <f>VLOOKUP($A6608,'Tech Litons'!$A:$I,8,FALSE)</f>
        <v>3.3119999999999998E-3</v>
      </c>
      <c r="H6608" s="174">
        <f>VLOOKUP($A6608,'Tech Litons'!$A:$I,9,FALSE)</f>
        <v>240</v>
      </c>
      <c r="I6608" s="174" t="str">
        <f>VLOOKUP($A6608,'Tech Litons'!$A:$C,3,0)</f>
        <v>YS PTS</v>
      </c>
      <c r="J6608" s="175" t="str">
        <f t="shared" si="739"/>
        <v>1716YS PTS</v>
      </c>
      <c r="K6608" s="176">
        <f>VLOOKUP(I6608,'Attain %'!A:B,2,0)</f>
        <v>0.96</v>
      </c>
      <c r="L6608" s="177">
        <f t="shared" si="740"/>
        <v>26880</v>
      </c>
      <c r="M6608" s="177">
        <f t="shared" si="741"/>
        <v>89.026559999999989</v>
      </c>
      <c r="N6608" s="177">
        <f t="shared" si="742"/>
        <v>112</v>
      </c>
      <c r="O6608" s="175" t="str">
        <f t="shared" si="743"/>
        <v>Aug</v>
      </c>
      <c r="P6608" s="265">
        <f t="shared" si="744"/>
        <v>34</v>
      </c>
    </row>
    <row r="6609" spans="1:16" ht="15" hidden="1" customHeight="1">
      <c r="A6609" s="489">
        <v>64975613</v>
      </c>
      <c r="B6609" s="489">
        <v>1716</v>
      </c>
      <c r="C6609" s="488">
        <v>28000</v>
      </c>
      <c r="D6609" s="597">
        <v>46272</v>
      </c>
      <c r="E6609" s="489" t="s">
        <v>593</v>
      </c>
      <c r="F6609" s="489" t="s">
        <v>1221</v>
      </c>
      <c r="G6609" s="395">
        <f>VLOOKUP($A6609,'Tech Litons'!$A:$I,8,FALSE)</f>
        <v>3.3119999999999998E-3</v>
      </c>
      <c r="H6609" s="174">
        <f>VLOOKUP($A6609,'Tech Litons'!$A:$I,9,FALSE)</f>
        <v>240</v>
      </c>
      <c r="I6609" s="174" t="str">
        <f>VLOOKUP($A6609,'Tech Litons'!$A:$C,3,0)</f>
        <v>YS PTS</v>
      </c>
      <c r="J6609" s="175" t="str">
        <f t="shared" si="739"/>
        <v>1716YS PTS</v>
      </c>
      <c r="K6609" s="176">
        <f>VLOOKUP(I6609,'Attain %'!A:B,2,0)</f>
        <v>0.96</v>
      </c>
      <c r="L6609" s="177">
        <f t="shared" si="740"/>
        <v>26880</v>
      </c>
      <c r="M6609" s="177">
        <f t="shared" si="741"/>
        <v>89.026559999999989</v>
      </c>
      <c r="N6609" s="177">
        <f t="shared" si="742"/>
        <v>112</v>
      </c>
      <c r="O6609" s="175" t="str">
        <f t="shared" si="743"/>
        <v>Sep</v>
      </c>
      <c r="P6609" s="265">
        <f t="shared" si="744"/>
        <v>37</v>
      </c>
    </row>
    <row r="6610" spans="1:16" ht="15" hidden="1" customHeight="1">
      <c r="A6610" s="489">
        <v>64975613</v>
      </c>
      <c r="B6610" s="489">
        <v>1716</v>
      </c>
      <c r="C6610" s="488">
        <v>28000</v>
      </c>
      <c r="D6610" s="597">
        <v>46300</v>
      </c>
      <c r="E6610" s="489" t="s">
        <v>593</v>
      </c>
      <c r="F6610" s="489" t="s">
        <v>1221</v>
      </c>
      <c r="G6610" s="395">
        <f>VLOOKUP($A6610,'Tech Litons'!$A:$I,8,FALSE)</f>
        <v>3.3119999999999998E-3</v>
      </c>
      <c r="H6610" s="174">
        <f>VLOOKUP($A6610,'Tech Litons'!$A:$I,9,FALSE)</f>
        <v>240</v>
      </c>
      <c r="I6610" s="174" t="str">
        <f>VLOOKUP($A6610,'Tech Litons'!$A:$C,3,0)</f>
        <v>YS PTS</v>
      </c>
      <c r="J6610" s="175" t="str">
        <f t="shared" si="739"/>
        <v>1716YS PTS</v>
      </c>
      <c r="K6610" s="176">
        <f>VLOOKUP(I6610,'Attain %'!A:B,2,0)</f>
        <v>0.96</v>
      </c>
      <c r="L6610" s="177">
        <f t="shared" si="740"/>
        <v>26880</v>
      </c>
      <c r="M6610" s="177">
        <f t="shared" si="741"/>
        <v>89.026559999999989</v>
      </c>
      <c r="N6610" s="177">
        <f t="shared" si="742"/>
        <v>112</v>
      </c>
      <c r="O6610" s="175" t="str">
        <f t="shared" si="743"/>
        <v>Oct</v>
      </c>
      <c r="P6610" s="265">
        <f t="shared" si="744"/>
        <v>41</v>
      </c>
    </row>
    <row r="6611" spans="1:16" ht="15" hidden="1" customHeight="1">
      <c r="A6611" s="489">
        <v>64975613</v>
      </c>
      <c r="B6611" s="489">
        <v>1716</v>
      </c>
      <c r="C6611" s="488">
        <v>28000</v>
      </c>
      <c r="D6611" s="597">
        <v>46328</v>
      </c>
      <c r="E6611" s="489" t="s">
        <v>593</v>
      </c>
      <c r="F6611" s="489" t="s">
        <v>1221</v>
      </c>
      <c r="G6611" s="395">
        <f>VLOOKUP($A6611,'Tech Litons'!$A:$I,8,FALSE)</f>
        <v>3.3119999999999998E-3</v>
      </c>
      <c r="H6611" s="174">
        <f>VLOOKUP($A6611,'Tech Litons'!$A:$I,9,FALSE)</f>
        <v>240</v>
      </c>
      <c r="I6611" s="174" t="str">
        <f>VLOOKUP($A6611,'Tech Litons'!$A:$C,3,0)</f>
        <v>YS PTS</v>
      </c>
      <c r="J6611" s="175" t="str">
        <f t="shared" si="739"/>
        <v>1716YS PTS</v>
      </c>
      <c r="K6611" s="176">
        <f>VLOOKUP(I6611,'Attain %'!A:B,2,0)</f>
        <v>0.96</v>
      </c>
      <c r="L6611" s="177">
        <f t="shared" si="740"/>
        <v>26880</v>
      </c>
      <c r="M6611" s="177">
        <f t="shared" si="741"/>
        <v>89.026559999999989</v>
      </c>
      <c r="N6611" s="177">
        <f t="shared" si="742"/>
        <v>112</v>
      </c>
      <c r="O6611" s="175" t="str">
        <f t="shared" si="743"/>
        <v>Nov</v>
      </c>
      <c r="P6611" s="265">
        <f t="shared" si="744"/>
        <v>45</v>
      </c>
    </row>
    <row r="6612" spans="1:16" ht="15" hidden="1" customHeight="1">
      <c r="A6612" s="489">
        <v>64975613</v>
      </c>
      <c r="B6612" s="489">
        <v>1716</v>
      </c>
      <c r="C6612" s="488">
        <v>28000</v>
      </c>
      <c r="D6612" s="597">
        <v>46349</v>
      </c>
      <c r="E6612" s="489" t="s">
        <v>593</v>
      </c>
      <c r="F6612" s="489" t="s">
        <v>1221</v>
      </c>
      <c r="G6612" s="395">
        <f>VLOOKUP($A6612,'Tech Litons'!$A:$I,8,FALSE)</f>
        <v>3.3119999999999998E-3</v>
      </c>
      <c r="H6612" s="174">
        <f>VLOOKUP($A6612,'Tech Litons'!$A:$I,9,FALSE)</f>
        <v>240</v>
      </c>
      <c r="I6612" s="174" t="str">
        <f>VLOOKUP($A6612,'Tech Litons'!$A:$C,3,0)</f>
        <v>YS PTS</v>
      </c>
      <c r="J6612" s="175" t="str">
        <f t="shared" si="739"/>
        <v>1716YS PTS</v>
      </c>
      <c r="K6612" s="176">
        <f>VLOOKUP(I6612,'Attain %'!A:B,2,0)</f>
        <v>0.96</v>
      </c>
      <c r="L6612" s="177">
        <f t="shared" si="740"/>
        <v>26880</v>
      </c>
      <c r="M6612" s="177">
        <f t="shared" si="741"/>
        <v>89.026559999999989</v>
      </c>
      <c r="N6612" s="177">
        <f t="shared" si="742"/>
        <v>112</v>
      </c>
      <c r="O6612" s="175" t="str">
        <f t="shared" si="743"/>
        <v>Nov</v>
      </c>
      <c r="P6612" s="265">
        <f t="shared" si="744"/>
        <v>48</v>
      </c>
    </row>
    <row r="6613" spans="1:16" ht="15" hidden="1" customHeight="1">
      <c r="A6613" s="489">
        <v>64975613</v>
      </c>
      <c r="B6613" s="489">
        <v>1716</v>
      </c>
      <c r="C6613" s="488">
        <v>28000</v>
      </c>
      <c r="D6613" s="597">
        <v>46377</v>
      </c>
      <c r="E6613" s="489" t="s">
        <v>593</v>
      </c>
      <c r="F6613" s="489" t="s">
        <v>1221</v>
      </c>
      <c r="G6613" s="395">
        <f>VLOOKUP($A6613,'Tech Litons'!$A:$I,8,FALSE)</f>
        <v>3.3119999999999998E-3</v>
      </c>
      <c r="H6613" s="174">
        <f>VLOOKUP($A6613,'Tech Litons'!$A:$I,9,FALSE)</f>
        <v>240</v>
      </c>
      <c r="I6613" s="174" t="str">
        <f>VLOOKUP($A6613,'Tech Litons'!$A:$C,3,0)</f>
        <v>YS PTS</v>
      </c>
      <c r="J6613" s="175" t="str">
        <f t="shared" si="739"/>
        <v>1716YS PTS</v>
      </c>
      <c r="K6613" s="176">
        <f>VLOOKUP(I6613,'Attain %'!A:B,2,0)</f>
        <v>0.96</v>
      </c>
      <c r="L6613" s="177">
        <f t="shared" si="740"/>
        <v>26880</v>
      </c>
      <c r="M6613" s="177">
        <f t="shared" si="741"/>
        <v>89.026559999999989</v>
      </c>
      <c r="N6613" s="177">
        <f t="shared" si="742"/>
        <v>112</v>
      </c>
      <c r="O6613" s="175" t="str">
        <f t="shared" si="743"/>
        <v>Dec</v>
      </c>
      <c r="P6613" s="265">
        <f t="shared" si="744"/>
        <v>52</v>
      </c>
    </row>
    <row r="6614" spans="1:16" ht="15" hidden="1" customHeight="1">
      <c r="A6614" s="489">
        <v>64975614</v>
      </c>
      <c r="B6614" s="489">
        <v>1716</v>
      </c>
      <c r="C6614" s="488">
        <v>28000</v>
      </c>
      <c r="D6614" s="597">
        <v>46188</v>
      </c>
      <c r="E6614" s="489" t="s">
        <v>594</v>
      </c>
      <c r="F6614" s="489" t="s">
        <v>1221</v>
      </c>
      <c r="G6614" s="395">
        <f>VLOOKUP($A6614,'Tech Litons'!$A:$I,8,FALSE)</f>
        <v>3.3119999999999998E-3</v>
      </c>
      <c r="H6614" s="174">
        <f>VLOOKUP($A6614,'Tech Litons'!$A:$I,9,FALSE)</f>
        <v>240</v>
      </c>
      <c r="I6614" s="174" t="str">
        <f>VLOOKUP($A6614,'Tech Litons'!$A:$C,3,0)</f>
        <v>YS PTS</v>
      </c>
      <c r="J6614" s="175" t="str">
        <f t="shared" si="739"/>
        <v>1716YS PTS</v>
      </c>
      <c r="K6614" s="176">
        <f>VLOOKUP(I6614,'Attain %'!A:B,2,0)</f>
        <v>0.96</v>
      </c>
      <c r="L6614" s="177">
        <f t="shared" si="740"/>
        <v>26880</v>
      </c>
      <c r="M6614" s="177">
        <f t="shared" si="741"/>
        <v>89.026559999999989</v>
      </c>
      <c r="N6614" s="177">
        <f t="shared" si="742"/>
        <v>112</v>
      </c>
      <c r="O6614" s="175" t="str">
        <f t="shared" si="743"/>
        <v>Jun</v>
      </c>
      <c r="P6614" s="265">
        <f t="shared" si="744"/>
        <v>25</v>
      </c>
    </row>
    <row r="6615" spans="1:16" ht="15" hidden="1" customHeight="1">
      <c r="A6615" s="489">
        <v>64975614</v>
      </c>
      <c r="B6615" s="489">
        <v>1716</v>
      </c>
      <c r="C6615" s="488">
        <v>28000</v>
      </c>
      <c r="D6615" s="597">
        <v>46209</v>
      </c>
      <c r="E6615" s="489" t="s">
        <v>594</v>
      </c>
      <c r="F6615" s="489" t="s">
        <v>1221</v>
      </c>
      <c r="G6615" s="395">
        <f>VLOOKUP($A6615,'Tech Litons'!$A:$I,8,FALSE)</f>
        <v>3.3119999999999998E-3</v>
      </c>
      <c r="H6615" s="174">
        <f>VLOOKUP($A6615,'Tech Litons'!$A:$I,9,FALSE)</f>
        <v>240</v>
      </c>
      <c r="I6615" s="174" t="str">
        <f>VLOOKUP($A6615,'Tech Litons'!$A:$C,3,0)</f>
        <v>YS PTS</v>
      </c>
      <c r="J6615" s="175" t="str">
        <f t="shared" si="739"/>
        <v>1716YS PTS</v>
      </c>
      <c r="K6615" s="176">
        <f>VLOOKUP(I6615,'Attain %'!A:B,2,0)</f>
        <v>0.96</v>
      </c>
      <c r="L6615" s="177">
        <f t="shared" si="740"/>
        <v>26880</v>
      </c>
      <c r="M6615" s="177">
        <f t="shared" si="741"/>
        <v>89.026559999999989</v>
      </c>
      <c r="N6615" s="177">
        <f t="shared" si="742"/>
        <v>112</v>
      </c>
      <c r="O6615" s="175" t="str">
        <f t="shared" si="743"/>
        <v>Jul</v>
      </c>
      <c r="P6615" s="265">
        <f t="shared" si="744"/>
        <v>28</v>
      </c>
    </row>
    <row r="6616" spans="1:16" ht="15" hidden="1" customHeight="1">
      <c r="A6616" s="489">
        <v>64975614</v>
      </c>
      <c r="B6616" s="489">
        <v>1716</v>
      </c>
      <c r="C6616" s="488">
        <v>28000</v>
      </c>
      <c r="D6616" s="597">
        <v>46230</v>
      </c>
      <c r="E6616" s="489" t="s">
        <v>594</v>
      </c>
      <c r="F6616" s="489" t="s">
        <v>1221</v>
      </c>
      <c r="G6616" s="395">
        <f>VLOOKUP($A6616,'Tech Litons'!$A:$I,8,FALSE)</f>
        <v>3.3119999999999998E-3</v>
      </c>
      <c r="H6616" s="174">
        <f>VLOOKUP($A6616,'Tech Litons'!$A:$I,9,FALSE)</f>
        <v>240</v>
      </c>
      <c r="I6616" s="174" t="str">
        <f>VLOOKUP($A6616,'Tech Litons'!$A:$C,3,0)</f>
        <v>YS PTS</v>
      </c>
      <c r="J6616" s="175" t="str">
        <f t="shared" si="739"/>
        <v>1716YS PTS</v>
      </c>
      <c r="K6616" s="176">
        <f>VLOOKUP(I6616,'Attain %'!A:B,2,0)</f>
        <v>0.96</v>
      </c>
      <c r="L6616" s="177">
        <f t="shared" si="740"/>
        <v>26880</v>
      </c>
      <c r="M6616" s="177">
        <f t="shared" si="741"/>
        <v>89.026559999999989</v>
      </c>
      <c r="N6616" s="177">
        <f t="shared" si="742"/>
        <v>112</v>
      </c>
      <c r="O6616" s="175" t="str">
        <f t="shared" si="743"/>
        <v>Jul</v>
      </c>
      <c r="P6616" s="265">
        <f t="shared" si="744"/>
        <v>31</v>
      </c>
    </row>
    <row r="6617" spans="1:16" ht="15" hidden="1" customHeight="1">
      <c r="A6617" s="489">
        <v>64975614</v>
      </c>
      <c r="B6617" s="489">
        <v>1716</v>
      </c>
      <c r="C6617" s="488">
        <v>28000</v>
      </c>
      <c r="D6617" s="597">
        <v>46251</v>
      </c>
      <c r="E6617" s="489" t="s">
        <v>594</v>
      </c>
      <c r="F6617" s="489" t="s">
        <v>1221</v>
      </c>
      <c r="G6617" s="395">
        <f>VLOOKUP($A6617,'Tech Litons'!$A:$I,8,FALSE)</f>
        <v>3.3119999999999998E-3</v>
      </c>
      <c r="H6617" s="174">
        <f>VLOOKUP($A6617,'Tech Litons'!$A:$I,9,FALSE)</f>
        <v>240</v>
      </c>
      <c r="I6617" s="174" t="str">
        <f>VLOOKUP($A6617,'Tech Litons'!$A:$C,3,0)</f>
        <v>YS PTS</v>
      </c>
      <c r="J6617" s="175" t="str">
        <f t="shared" si="739"/>
        <v>1716YS PTS</v>
      </c>
      <c r="K6617" s="176">
        <f>VLOOKUP(I6617,'Attain %'!A:B,2,0)</f>
        <v>0.96</v>
      </c>
      <c r="L6617" s="177">
        <f t="shared" si="740"/>
        <v>26880</v>
      </c>
      <c r="M6617" s="177">
        <f t="shared" si="741"/>
        <v>89.026559999999989</v>
      </c>
      <c r="N6617" s="177">
        <f t="shared" si="742"/>
        <v>112</v>
      </c>
      <c r="O6617" s="175" t="str">
        <f t="shared" si="743"/>
        <v>Aug</v>
      </c>
      <c r="P6617" s="265">
        <f t="shared" si="744"/>
        <v>34</v>
      </c>
    </row>
    <row r="6618" spans="1:16" ht="15" hidden="1" customHeight="1">
      <c r="A6618" s="489">
        <v>64975614</v>
      </c>
      <c r="B6618" s="489">
        <v>1716</v>
      </c>
      <c r="C6618" s="488">
        <v>28000</v>
      </c>
      <c r="D6618" s="597">
        <v>46279</v>
      </c>
      <c r="E6618" s="489" t="s">
        <v>594</v>
      </c>
      <c r="F6618" s="489" t="s">
        <v>1221</v>
      </c>
      <c r="G6618" s="395">
        <f>VLOOKUP($A6618,'Tech Litons'!$A:$I,8,FALSE)</f>
        <v>3.3119999999999998E-3</v>
      </c>
      <c r="H6618" s="174">
        <f>VLOOKUP($A6618,'Tech Litons'!$A:$I,9,FALSE)</f>
        <v>240</v>
      </c>
      <c r="I6618" s="174" t="str">
        <f>VLOOKUP($A6618,'Tech Litons'!$A:$C,3,0)</f>
        <v>YS PTS</v>
      </c>
      <c r="J6618" s="175" t="str">
        <f t="shared" si="739"/>
        <v>1716YS PTS</v>
      </c>
      <c r="K6618" s="176">
        <f>VLOOKUP(I6618,'Attain %'!A:B,2,0)</f>
        <v>0.96</v>
      </c>
      <c r="L6618" s="177">
        <f t="shared" si="740"/>
        <v>26880</v>
      </c>
      <c r="M6618" s="177">
        <f t="shared" si="741"/>
        <v>89.026559999999989</v>
      </c>
      <c r="N6618" s="177">
        <f t="shared" si="742"/>
        <v>112</v>
      </c>
      <c r="O6618" s="175" t="str">
        <f t="shared" si="743"/>
        <v>Sep</v>
      </c>
      <c r="P6618" s="265">
        <f t="shared" si="744"/>
        <v>38</v>
      </c>
    </row>
    <row r="6619" spans="1:16" ht="15" hidden="1" customHeight="1">
      <c r="A6619" s="489">
        <v>64975614</v>
      </c>
      <c r="B6619" s="489">
        <v>1716</v>
      </c>
      <c r="C6619" s="488">
        <v>28000</v>
      </c>
      <c r="D6619" s="597">
        <v>46307</v>
      </c>
      <c r="E6619" s="489" t="s">
        <v>594</v>
      </c>
      <c r="F6619" s="489" t="s">
        <v>1221</v>
      </c>
      <c r="G6619" s="395">
        <f>VLOOKUP($A6619,'Tech Litons'!$A:$I,8,FALSE)</f>
        <v>3.3119999999999998E-3</v>
      </c>
      <c r="H6619" s="174">
        <f>VLOOKUP($A6619,'Tech Litons'!$A:$I,9,FALSE)</f>
        <v>240</v>
      </c>
      <c r="I6619" s="174" t="str">
        <f>VLOOKUP($A6619,'Tech Litons'!$A:$C,3,0)</f>
        <v>YS PTS</v>
      </c>
      <c r="J6619" s="175" t="str">
        <f t="shared" si="739"/>
        <v>1716YS PTS</v>
      </c>
      <c r="K6619" s="176">
        <f>VLOOKUP(I6619,'Attain %'!A:B,2,0)</f>
        <v>0.96</v>
      </c>
      <c r="L6619" s="177">
        <f t="shared" si="740"/>
        <v>26880</v>
      </c>
      <c r="M6619" s="177">
        <f t="shared" si="741"/>
        <v>89.026559999999989</v>
      </c>
      <c r="N6619" s="177">
        <f t="shared" si="742"/>
        <v>112</v>
      </c>
      <c r="O6619" s="175" t="str">
        <f t="shared" si="743"/>
        <v>Oct</v>
      </c>
      <c r="P6619" s="265">
        <f t="shared" si="744"/>
        <v>42</v>
      </c>
    </row>
    <row r="6620" spans="1:16" ht="15" hidden="1" customHeight="1">
      <c r="A6620" s="489">
        <v>64975614</v>
      </c>
      <c r="B6620" s="489">
        <v>1716</v>
      </c>
      <c r="C6620" s="488">
        <v>28000</v>
      </c>
      <c r="D6620" s="597">
        <v>46328</v>
      </c>
      <c r="E6620" s="489" t="s">
        <v>594</v>
      </c>
      <c r="F6620" s="489" t="s">
        <v>1221</v>
      </c>
      <c r="G6620" s="395">
        <f>VLOOKUP($A6620,'Tech Litons'!$A:$I,8,FALSE)</f>
        <v>3.3119999999999998E-3</v>
      </c>
      <c r="H6620" s="174">
        <f>VLOOKUP($A6620,'Tech Litons'!$A:$I,9,FALSE)</f>
        <v>240</v>
      </c>
      <c r="I6620" s="174" t="str">
        <f>VLOOKUP($A6620,'Tech Litons'!$A:$C,3,0)</f>
        <v>YS PTS</v>
      </c>
      <c r="J6620" s="175" t="str">
        <f t="shared" si="739"/>
        <v>1716YS PTS</v>
      </c>
      <c r="K6620" s="176">
        <f>VLOOKUP(I6620,'Attain %'!A:B,2,0)</f>
        <v>0.96</v>
      </c>
      <c r="L6620" s="177">
        <f t="shared" si="740"/>
        <v>26880</v>
      </c>
      <c r="M6620" s="177">
        <f t="shared" si="741"/>
        <v>89.026559999999989</v>
      </c>
      <c r="N6620" s="177">
        <f t="shared" si="742"/>
        <v>112</v>
      </c>
      <c r="O6620" s="175" t="str">
        <f t="shared" si="743"/>
        <v>Nov</v>
      </c>
      <c r="P6620" s="265">
        <f t="shared" si="744"/>
        <v>45</v>
      </c>
    </row>
    <row r="6621" spans="1:16" ht="15" hidden="1" customHeight="1">
      <c r="A6621" s="489">
        <v>64975614</v>
      </c>
      <c r="B6621" s="489">
        <v>1716</v>
      </c>
      <c r="C6621" s="488">
        <v>28000</v>
      </c>
      <c r="D6621" s="597">
        <v>46349</v>
      </c>
      <c r="E6621" s="489" t="s">
        <v>594</v>
      </c>
      <c r="F6621" s="489" t="s">
        <v>1221</v>
      </c>
      <c r="G6621" s="395">
        <f>VLOOKUP($A6621,'Tech Litons'!$A:$I,8,FALSE)</f>
        <v>3.3119999999999998E-3</v>
      </c>
      <c r="H6621" s="174">
        <f>VLOOKUP($A6621,'Tech Litons'!$A:$I,9,FALSE)</f>
        <v>240</v>
      </c>
      <c r="I6621" s="174" t="str">
        <f>VLOOKUP($A6621,'Tech Litons'!$A:$C,3,0)</f>
        <v>YS PTS</v>
      </c>
      <c r="J6621" s="175" t="str">
        <f t="shared" si="739"/>
        <v>1716YS PTS</v>
      </c>
      <c r="K6621" s="176">
        <f>VLOOKUP(I6621,'Attain %'!A:B,2,0)</f>
        <v>0.96</v>
      </c>
      <c r="L6621" s="177">
        <f t="shared" si="740"/>
        <v>26880</v>
      </c>
      <c r="M6621" s="177">
        <f t="shared" si="741"/>
        <v>89.026559999999989</v>
      </c>
      <c r="N6621" s="177">
        <f t="shared" si="742"/>
        <v>112</v>
      </c>
      <c r="O6621" s="175" t="str">
        <f t="shared" si="743"/>
        <v>Nov</v>
      </c>
      <c r="P6621" s="265">
        <f t="shared" si="744"/>
        <v>48</v>
      </c>
    </row>
    <row r="6622" spans="1:16" ht="15" hidden="1" customHeight="1">
      <c r="A6622" s="489">
        <v>64975616</v>
      </c>
      <c r="B6622" s="489">
        <v>1716</v>
      </c>
      <c r="C6622" s="488">
        <v>28000</v>
      </c>
      <c r="D6622" s="597">
        <v>46174</v>
      </c>
      <c r="E6622" s="489" t="s">
        <v>385</v>
      </c>
      <c r="F6622" s="489" t="s">
        <v>1221</v>
      </c>
      <c r="G6622" s="395">
        <f>VLOOKUP($A6622,'Tech Litons'!$A:$I,8,FALSE)</f>
        <v>3.3119999999999998E-3</v>
      </c>
      <c r="H6622" s="174">
        <f>VLOOKUP($A6622,'Tech Litons'!$A:$I,9,FALSE)</f>
        <v>240</v>
      </c>
      <c r="I6622" s="174" t="str">
        <f>VLOOKUP($A6622,'Tech Litons'!$A:$C,3,0)</f>
        <v>YS PTS</v>
      </c>
      <c r="J6622" s="175" t="str">
        <f t="shared" si="739"/>
        <v>1716YS PTS</v>
      </c>
      <c r="K6622" s="176">
        <f>VLOOKUP(I6622,'Attain %'!A:B,2,0)</f>
        <v>0.96</v>
      </c>
      <c r="L6622" s="177">
        <f t="shared" si="740"/>
        <v>26880</v>
      </c>
      <c r="M6622" s="177">
        <f t="shared" si="741"/>
        <v>89.026559999999989</v>
      </c>
      <c r="N6622" s="177">
        <f t="shared" si="742"/>
        <v>112</v>
      </c>
      <c r="O6622" s="175" t="str">
        <f t="shared" si="743"/>
        <v>Jun</v>
      </c>
      <c r="P6622" s="265">
        <f t="shared" si="744"/>
        <v>23</v>
      </c>
    </row>
    <row r="6623" spans="1:16" ht="15" hidden="1" customHeight="1">
      <c r="A6623" s="489">
        <v>64976847</v>
      </c>
      <c r="B6623" s="489">
        <v>1716</v>
      </c>
      <c r="C6623" s="488">
        <v>28000</v>
      </c>
      <c r="D6623" s="597">
        <v>46202</v>
      </c>
      <c r="E6623" s="489" t="s">
        <v>590</v>
      </c>
      <c r="F6623" s="489" t="s">
        <v>1221</v>
      </c>
      <c r="G6623" s="395">
        <f>VLOOKUP($A6623,'Tech Litons'!$A:$I,8,FALSE)</f>
        <v>2.5040000000000001E-3</v>
      </c>
      <c r="H6623" s="174">
        <f>VLOOKUP($A6623,'Tech Litons'!$A:$I,9,FALSE)</f>
        <v>165</v>
      </c>
      <c r="I6623" s="174" t="str">
        <f>VLOOKUP($A6623,'Tech Litons'!$A:$C,3,0)</f>
        <v>Yasso Sticks</v>
      </c>
      <c r="J6623" s="175" t="str">
        <f t="shared" si="739"/>
        <v>1716Yasso Sticks</v>
      </c>
      <c r="K6623" s="176">
        <f>VLOOKUP(I6623,'Attain %'!A:B,2,0)</f>
        <v>0.96</v>
      </c>
      <c r="L6623" s="177">
        <f t="shared" si="740"/>
        <v>26880</v>
      </c>
      <c r="M6623" s="177">
        <f t="shared" si="741"/>
        <v>67.307520000000011</v>
      </c>
      <c r="N6623" s="177">
        <f t="shared" si="742"/>
        <v>162.90909090909091</v>
      </c>
      <c r="O6623" s="175" t="str">
        <f t="shared" si="743"/>
        <v>Jun</v>
      </c>
      <c r="P6623" s="265">
        <f t="shared" si="744"/>
        <v>27</v>
      </c>
    </row>
    <row r="6624" spans="1:16" ht="15" hidden="1" customHeight="1">
      <c r="A6624" s="489">
        <v>64976848</v>
      </c>
      <c r="B6624" s="489">
        <v>1716</v>
      </c>
      <c r="C6624" s="488">
        <v>28000</v>
      </c>
      <c r="D6624" s="597">
        <v>46153</v>
      </c>
      <c r="E6624" s="489" t="s">
        <v>232</v>
      </c>
      <c r="F6624" s="489" t="s">
        <v>1221</v>
      </c>
      <c r="G6624" s="395">
        <f>VLOOKUP($A6624,'Tech Litons'!$A:$I,8,FALSE)</f>
        <v>2.5040000000000001E-3</v>
      </c>
      <c r="H6624" s="174">
        <f>VLOOKUP($A6624,'Tech Litons'!$A:$I,9,FALSE)</f>
        <v>165</v>
      </c>
      <c r="I6624" s="174" t="str">
        <f>VLOOKUP($A6624,'Tech Litons'!$A:$C,3,0)</f>
        <v>Yasso Sticks</v>
      </c>
      <c r="J6624" s="175" t="str">
        <f t="shared" si="739"/>
        <v>1716Yasso Sticks</v>
      </c>
      <c r="K6624" s="176">
        <f>VLOOKUP(I6624,'Attain %'!A:B,2,0)</f>
        <v>0.96</v>
      </c>
      <c r="L6624" s="177">
        <f t="shared" si="740"/>
        <v>26880</v>
      </c>
      <c r="M6624" s="177">
        <f t="shared" si="741"/>
        <v>67.307520000000011</v>
      </c>
      <c r="N6624" s="177">
        <f t="shared" si="742"/>
        <v>162.90909090909091</v>
      </c>
      <c r="O6624" s="175" t="str">
        <f t="shared" si="743"/>
        <v>May</v>
      </c>
      <c r="P6624" s="265">
        <f t="shared" si="744"/>
        <v>20</v>
      </c>
    </row>
    <row r="6625" spans="1:16" ht="15" hidden="1" customHeight="1">
      <c r="A6625" s="489">
        <v>64976848</v>
      </c>
      <c r="B6625" s="489">
        <v>1716</v>
      </c>
      <c r="C6625" s="488">
        <v>28000</v>
      </c>
      <c r="D6625" s="597">
        <v>46209</v>
      </c>
      <c r="E6625" s="489" t="s">
        <v>232</v>
      </c>
      <c r="F6625" s="489" t="s">
        <v>1221</v>
      </c>
      <c r="G6625" s="395">
        <f>VLOOKUP($A6625,'Tech Litons'!$A:$I,8,FALSE)</f>
        <v>2.5040000000000001E-3</v>
      </c>
      <c r="H6625" s="174">
        <f>VLOOKUP($A6625,'Tech Litons'!$A:$I,9,FALSE)</f>
        <v>165</v>
      </c>
      <c r="I6625" s="174" t="str">
        <f>VLOOKUP($A6625,'Tech Litons'!$A:$C,3,0)</f>
        <v>Yasso Sticks</v>
      </c>
      <c r="J6625" s="175" t="str">
        <f t="shared" si="739"/>
        <v>1716Yasso Sticks</v>
      </c>
      <c r="K6625" s="176">
        <f>VLOOKUP(I6625,'Attain %'!A:B,2,0)</f>
        <v>0.96</v>
      </c>
      <c r="L6625" s="177">
        <f t="shared" si="740"/>
        <v>26880</v>
      </c>
      <c r="M6625" s="177">
        <f t="shared" si="741"/>
        <v>67.307520000000011</v>
      </c>
      <c r="N6625" s="177">
        <f t="shared" si="742"/>
        <v>162.90909090909091</v>
      </c>
      <c r="O6625" s="175" t="str">
        <f t="shared" si="743"/>
        <v>Jul</v>
      </c>
      <c r="P6625" s="265">
        <f t="shared" si="744"/>
        <v>28</v>
      </c>
    </row>
    <row r="6626" spans="1:16" ht="15" hidden="1" customHeight="1">
      <c r="A6626" s="489">
        <v>64976851</v>
      </c>
      <c r="B6626" s="489">
        <v>1716</v>
      </c>
      <c r="C6626" s="488">
        <v>28000</v>
      </c>
      <c r="D6626" s="597">
        <v>46146</v>
      </c>
      <c r="E6626" s="489" t="s">
        <v>592</v>
      </c>
      <c r="F6626" s="489" t="s">
        <v>1221</v>
      </c>
      <c r="G6626" s="395">
        <f>VLOOKUP($A6626,'Tech Litons'!$A:$I,8,FALSE)</f>
        <v>2.5040000000000001E-3</v>
      </c>
      <c r="H6626" s="174">
        <f>VLOOKUP($A6626,'Tech Litons'!$A:$I,9,FALSE)</f>
        <v>165</v>
      </c>
      <c r="I6626" s="174" t="str">
        <f>VLOOKUP($A6626,'Tech Litons'!$A:$C,3,0)</f>
        <v>Yasso Sticks</v>
      </c>
      <c r="J6626" s="175" t="str">
        <f t="shared" si="739"/>
        <v>1716Yasso Sticks</v>
      </c>
      <c r="K6626" s="176">
        <f>VLOOKUP(I6626,'Attain %'!A:B,2,0)</f>
        <v>0.96</v>
      </c>
      <c r="L6626" s="177">
        <f t="shared" si="740"/>
        <v>26880</v>
      </c>
      <c r="M6626" s="177">
        <f t="shared" si="741"/>
        <v>67.307520000000011</v>
      </c>
      <c r="N6626" s="177">
        <f t="shared" si="742"/>
        <v>162.90909090909091</v>
      </c>
      <c r="O6626" s="175" t="str">
        <f t="shared" si="743"/>
        <v>May</v>
      </c>
      <c r="P6626" s="265">
        <f t="shared" si="744"/>
        <v>19</v>
      </c>
    </row>
    <row r="6627" spans="1:16" ht="15" hidden="1" customHeight="1">
      <c r="A6627" s="489">
        <v>64976851</v>
      </c>
      <c r="B6627" s="489">
        <v>1716</v>
      </c>
      <c r="C6627" s="488">
        <v>28000</v>
      </c>
      <c r="D6627" s="597">
        <v>46251</v>
      </c>
      <c r="E6627" s="489" t="s">
        <v>592</v>
      </c>
      <c r="F6627" s="489" t="s">
        <v>1221</v>
      </c>
      <c r="G6627" s="395">
        <f>VLOOKUP($A6627,'Tech Litons'!$A:$I,8,FALSE)</f>
        <v>2.5040000000000001E-3</v>
      </c>
      <c r="H6627" s="174">
        <f>VLOOKUP($A6627,'Tech Litons'!$A:$I,9,FALSE)</f>
        <v>165</v>
      </c>
      <c r="I6627" s="174" t="str">
        <f>VLOOKUP($A6627,'Tech Litons'!$A:$C,3,0)</f>
        <v>Yasso Sticks</v>
      </c>
      <c r="J6627" s="175" t="str">
        <f t="shared" si="739"/>
        <v>1716Yasso Sticks</v>
      </c>
      <c r="K6627" s="176">
        <f>VLOOKUP(I6627,'Attain %'!A:B,2,0)</f>
        <v>0.96</v>
      </c>
      <c r="L6627" s="177">
        <f t="shared" si="740"/>
        <v>26880</v>
      </c>
      <c r="M6627" s="177">
        <f t="shared" si="741"/>
        <v>67.307520000000011</v>
      </c>
      <c r="N6627" s="177">
        <f t="shared" si="742"/>
        <v>162.90909090909091</v>
      </c>
      <c r="O6627" s="175" t="str">
        <f t="shared" si="743"/>
        <v>Aug</v>
      </c>
      <c r="P6627" s="265">
        <f t="shared" si="744"/>
        <v>34</v>
      </c>
    </row>
    <row r="6628" spans="1:16" ht="15" hidden="1" customHeight="1">
      <c r="A6628" s="489">
        <v>64987232</v>
      </c>
      <c r="B6628" s="489">
        <v>1716</v>
      </c>
      <c r="C6628" s="488">
        <v>28000</v>
      </c>
      <c r="D6628" s="597">
        <v>46195</v>
      </c>
      <c r="E6628" s="489" t="s">
        <v>596</v>
      </c>
      <c r="F6628" s="489" t="s">
        <v>1221</v>
      </c>
      <c r="G6628" s="395">
        <f>VLOOKUP($A6628,'Tech Litons'!$A:$I,8,FALSE)</f>
        <v>2.3999999999999998E-3</v>
      </c>
      <c r="H6628" s="174">
        <f>VLOOKUP($A6628,'Tech Litons'!$A:$I,9,FALSE)</f>
        <v>165</v>
      </c>
      <c r="I6628" s="174" t="str">
        <f>VLOOKUP($A6628,'Tech Litons'!$A:$C,3,0)</f>
        <v>BJ Bars</v>
      </c>
      <c r="J6628" s="175" t="str">
        <f t="shared" si="739"/>
        <v>1716BJ Bars</v>
      </c>
      <c r="K6628" s="176">
        <f>VLOOKUP(I6628,'Attain %'!A:B,2,0)</f>
        <v>0.96</v>
      </c>
      <c r="L6628" s="177">
        <f t="shared" si="740"/>
        <v>26880</v>
      </c>
      <c r="M6628" s="177">
        <f t="shared" si="741"/>
        <v>64.512</v>
      </c>
      <c r="N6628" s="177">
        <f t="shared" si="742"/>
        <v>162.90909090909091</v>
      </c>
      <c r="O6628" s="175" t="str">
        <f t="shared" si="743"/>
        <v>Jun</v>
      </c>
      <c r="P6628" s="265">
        <f t="shared" si="744"/>
        <v>26</v>
      </c>
    </row>
    <row r="6629" spans="1:16" ht="15" hidden="1" customHeight="1">
      <c r="A6629" s="489">
        <v>64987232</v>
      </c>
      <c r="B6629" s="489">
        <v>1716</v>
      </c>
      <c r="C6629" s="488">
        <v>28000</v>
      </c>
      <c r="D6629" s="597">
        <v>46216</v>
      </c>
      <c r="E6629" s="489" t="s">
        <v>596</v>
      </c>
      <c r="F6629" s="489" t="s">
        <v>1221</v>
      </c>
      <c r="G6629" s="395">
        <f>VLOOKUP($A6629,'Tech Litons'!$A:$I,8,FALSE)</f>
        <v>2.3999999999999998E-3</v>
      </c>
      <c r="H6629" s="174">
        <f>VLOOKUP($A6629,'Tech Litons'!$A:$I,9,FALSE)</f>
        <v>165</v>
      </c>
      <c r="I6629" s="174" t="str">
        <f>VLOOKUP($A6629,'Tech Litons'!$A:$C,3,0)</f>
        <v>BJ Bars</v>
      </c>
      <c r="J6629" s="175" t="str">
        <f t="shared" si="739"/>
        <v>1716BJ Bars</v>
      </c>
      <c r="K6629" s="176">
        <f>VLOOKUP(I6629,'Attain %'!A:B,2,0)</f>
        <v>0.96</v>
      </c>
      <c r="L6629" s="177">
        <f t="shared" si="740"/>
        <v>26880</v>
      </c>
      <c r="M6629" s="177">
        <f t="shared" si="741"/>
        <v>64.512</v>
      </c>
      <c r="N6629" s="177">
        <f t="shared" si="742"/>
        <v>162.90909090909091</v>
      </c>
      <c r="O6629" s="175" t="str">
        <f t="shared" si="743"/>
        <v>Jul</v>
      </c>
      <c r="P6629" s="265">
        <f t="shared" si="744"/>
        <v>29</v>
      </c>
    </row>
    <row r="6630" spans="1:16" ht="15" hidden="1" customHeight="1">
      <c r="A6630" s="489">
        <v>64987232</v>
      </c>
      <c r="B6630" s="489">
        <v>1716</v>
      </c>
      <c r="C6630" s="488">
        <v>28000</v>
      </c>
      <c r="D6630" s="597">
        <v>46237</v>
      </c>
      <c r="E6630" s="489" t="s">
        <v>596</v>
      </c>
      <c r="F6630" s="489" t="s">
        <v>1221</v>
      </c>
      <c r="G6630" s="395">
        <f>VLOOKUP($A6630,'Tech Litons'!$A:$I,8,FALSE)</f>
        <v>2.3999999999999998E-3</v>
      </c>
      <c r="H6630" s="174">
        <f>VLOOKUP($A6630,'Tech Litons'!$A:$I,9,FALSE)</f>
        <v>165</v>
      </c>
      <c r="I6630" s="174" t="str">
        <f>VLOOKUP($A6630,'Tech Litons'!$A:$C,3,0)</f>
        <v>BJ Bars</v>
      </c>
      <c r="J6630" s="175" t="str">
        <f t="shared" si="739"/>
        <v>1716BJ Bars</v>
      </c>
      <c r="K6630" s="176">
        <f>VLOOKUP(I6630,'Attain %'!A:B,2,0)</f>
        <v>0.96</v>
      </c>
      <c r="L6630" s="177">
        <f t="shared" si="740"/>
        <v>26880</v>
      </c>
      <c r="M6630" s="177">
        <f t="shared" si="741"/>
        <v>64.512</v>
      </c>
      <c r="N6630" s="177">
        <f t="shared" si="742"/>
        <v>162.90909090909091</v>
      </c>
      <c r="O6630" s="175" t="str">
        <f t="shared" si="743"/>
        <v>Aug</v>
      </c>
      <c r="P6630" s="265">
        <f t="shared" si="744"/>
        <v>32</v>
      </c>
    </row>
    <row r="6631" spans="1:16" ht="15" hidden="1" customHeight="1">
      <c r="A6631" s="489">
        <v>64987232</v>
      </c>
      <c r="B6631" s="489">
        <v>1716</v>
      </c>
      <c r="C6631" s="488">
        <v>28000</v>
      </c>
      <c r="D6631" s="597">
        <v>46258</v>
      </c>
      <c r="E6631" s="489" t="s">
        <v>596</v>
      </c>
      <c r="F6631" s="489" t="s">
        <v>1221</v>
      </c>
      <c r="G6631" s="395">
        <f>VLOOKUP($A6631,'Tech Litons'!$A:$I,8,FALSE)</f>
        <v>2.3999999999999998E-3</v>
      </c>
      <c r="H6631" s="174">
        <f>VLOOKUP($A6631,'Tech Litons'!$A:$I,9,FALSE)</f>
        <v>165</v>
      </c>
      <c r="I6631" s="174" t="str">
        <f>VLOOKUP($A6631,'Tech Litons'!$A:$C,3,0)</f>
        <v>BJ Bars</v>
      </c>
      <c r="J6631" s="175" t="str">
        <f t="shared" si="739"/>
        <v>1716BJ Bars</v>
      </c>
      <c r="K6631" s="176">
        <f>VLOOKUP(I6631,'Attain %'!A:B,2,0)</f>
        <v>0.96</v>
      </c>
      <c r="L6631" s="177">
        <f t="shared" si="740"/>
        <v>26880</v>
      </c>
      <c r="M6631" s="177">
        <f t="shared" si="741"/>
        <v>64.512</v>
      </c>
      <c r="N6631" s="177">
        <f t="shared" si="742"/>
        <v>162.90909090909091</v>
      </c>
      <c r="O6631" s="175" t="str">
        <f t="shared" si="743"/>
        <v>Aug</v>
      </c>
      <c r="P6631" s="265">
        <f t="shared" si="744"/>
        <v>35</v>
      </c>
    </row>
    <row r="6632" spans="1:16" ht="15" hidden="1" customHeight="1">
      <c r="A6632" s="489">
        <v>64987232</v>
      </c>
      <c r="B6632" s="489">
        <v>1716</v>
      </c>
      <c r="C6632" s="488">
        <v>28000</v>
      </c>
      <c r="D6632" s="597">
        <v>46279</v>
      </c>
      <c r="E6632" s="489" t="s">
        <v>596</v>
      </c>
      <c r="F6632" s="489" t="s">
        <v>1221</v>
      </c>
      <c r="G6632" s="395">
        <f>VLOOKUP($A6632,'Tech Litons'!$A:$I,8,FALSE)</f>
        <v>2.3999999999999998E-3</v>
      </c>
      <c r="H6632" s="174">
        <f>VLOOKUP($A6632,'Tech Litons'!$A:$I,9,FALSE)</f>
        <v>165</v>
      </c>
      <c r="I6632" s="174" t="str">
        <f>VLOOKUP($A6632,'Tech Litons'!$A:$C,3,0)</f>
        <v>BJ Bars</v>
      </c>
      <c r="J6632" s="175" t="str">
        <f t="shared" si="739"/>
        <v>1716BJ Bars</v>
      </c>
      <c r="K6632" s="176">
        <f>VLOOKUP(I6632,'Attain %'!A:B,2,0)</f>
        <v>0.96</v>
      </c>
      <c r="L6632" s="177">
        <f t="shared" si="740"/>
        <v>26880</v>
      </c>
      <c r="M6632" s="177">
        <f t="shared" si="741"/>
        <v>64.512</v>
      </c>
      <c r="N6632" s="177">
        <f t="shared" si="742"/>
        <v>162.90909090909091</v>
      </c>
      <c r="O6632" s="175" t="str">
        <f t="shared" si="743"/>
        <v>Sep</v>
      </c>
      <c r="P6632" s="265">
        <f t="shared" si="744"/>
        <v>38</v>
      </c>
    </row>
    <row r="6633" spans="1:16" ht="15" hidden="1" customHeight="1">
      <c r="A6633" s="489">
        <v>64987232</v>
      </c>
      <c r="B6633" s="489">
        <v>1716</v>
      </c>
      <c r="C6633" s="488">
        <v>28000</v>
      </c>
      <c r="D6633" s="597">
        <v>46293</v>
      </c>
      <c r="E6633" s="489" t="s">
        <v>596</v>
      </c>
      <c r="F6633" s="489" t="s">
        <v>1221</v>
      </c>
      <c r="G6633" s="395">
        <f>VLOOKUP($A6633,'Tech Litons'!$A:$I,8,FALSE)</f>
        <v>2.3999999999999998E-3</v>
      </c>
      <c r="H6633" s="174">
        <f>VLOOKUP($A6633,'Tech Litons'!$A:$I,9,FALSE)</f>
        <v>165</v>
      </c>
      <c r="I6633" s="174" t="str">
        <f>VLOOKUP($A6633,'Tech Litons'!$A:$C,3,0)</f>
        <v>BJ Bars</v>
      </c>
      <c r="J6633" s="175" t="str">
        <f t="shared" si="739"/>
        <v>1716BJ Bars</v>
      </c>
      <c r="K6633" s="176">
        <f>VLOOKUP(I6633,'Attain %'!A:B,2,0)</f>
        <v>0.96</v>
      </c>
      <c r="L6633" s="177">
        <f t="shared" si="740"/>
        <v>26880</v>
      </c>
      <c r="M6633" s="177">
        <f t="shared" si="741"/>
        <v>64.512</v>
      </c>
      <c r="N6633" s="177">
        <f t="shared" si="742"/>
        <v>162.90909090909091</v>
      </c>
      <c r="O6633" s="175" t="str">
        <f t="shared" si="743"/>
        <v>Sep</v>
      </c>
      <c r="P6633" s="265">
        <f t="shared" si="744"/>
        <v>40</v>
      </c>
    </row>
    <row r="6634" spans="1:16" ht="15" hidden="1" customHeight="1">
      <c r="A6634" s="489">
        <v>64987232</v>
      </c>
      <c r="B6634" s="489">
        <v>1716</v>
      </c>
      <c r="C6634" s="488">
        <v>28000</v>
      </c>
      <c r="D6634" s="597">
        <v>46321</v>
      </c>
      <c r="E6634" s="489" t="s">
        <v>596</v>
      </c>
      <c r="F6634" s="489" t="s">
        <v>1221</v>
      </c>
      <c r="G6634" s="395">
        <f>VLOOKUP($A6634,'Tech Litons'!$A:$I,8,FALSE)</f>
        <v>2.3999999999999998E-3</v>
      </c>
      <c r="H6634" s="174">
        <f>VLOOKUP($A6634,'Tech Litons'!$A:$I,9,FALSE)</f>
        <v>165</v>
      </c>
      <c r="I6634" s="174" t="str">
        <f>VLOOKUP($A6634,'Tech Litons'!$A:$C,3,0)</f>
        <v>BJ Bars</v>
      </c>
      <c r="J6634" s="175" t="str">
        <f t="shared" si="739"/>
        <v>1716BJ Bars</v>
      </c>
      <c r="K6634" s="176">
        <f>VLOOKUP(I6634,'Attain %'!A:B,2,0)</f>
        <v>0.96</v>
      </c>
      <c r="L6634" s="177">
        <f t="shared" si="740"/>
        <v>26880</v>
      </c>
      <c r="M6634" s="177">
        <f t="shared" si="741"/>
        <v>64.512</v>
      </c>
      <c r="N6634" s="177">
        <f t="shared" si="742"/>
        <v>162.90909090909091</v>
      </c>
      <c r="O6634" s="175" t="str">
        <f t="shared" si="743"/>
        <v>Oct</v>
      </c>
      <c r="P6634" s="265">
        <f t="shared" si="744"/>
        <v>44</v>
      </c>
    </row>
    <row r="6635" spans="1:16" ht="15" hidden="1" customHeight="1">
      <c r="A6635" s="489">
        <v>64987232</v>
      </c>
      <c r="B6635" s="489">
        <v>1716</v>
      </c>
      <c r="C6635" s="488">
        <v>28000</v>
      </c>
      <c r="D6635" s="597">
        <v>46342</v>
      </c>
      <c r="E6635" s="489" t="s">
        <v>596</v>
      </c>
      <c r="F6635" s="489" t="s">
        <v>1221</v>
      </c>
      <c r="G6635" s="395">
        <f>VLOOKUP($A6635,'Tech Litons'!$A:$I,8,FALSE)</f>
        <v>2.3999999999999998E-3</v>
      </c>
      <c r="H6635" s="174">
        <f>VLOOKUP($A6635,'Tech Litons'!$A:$I,9,FALSE)</f>
        <v>165</v>
      </c>
      <c r="I6635" s="174" t="str">
        <f>VLOOKUP($A6635,'Tech Litons'!$A:$C,3,0)</f>
        <v>BJ Bars</v>
      </c>
      <c r="J6635" s="175" t="str">
        <f t="shared" si="739"/>
        <v>1716BJ Bars</v>
      </c>
      <c r="K6635" s="176">
        <f>VLOOKUP(I6635,'Attain %'!A:B,2,0)</f>
        <v>0.96</v>
      </c>
      <c r="L6635" s="177">
        <f t="shared" si="740"/>
        <v>26880</v>
      </c>
      <c r="M6635" s="177">
        <f t="shared" si="741"/>
        <v>64.512</v>
      </c>
      <c r="N6635" s="177">
        <f t="shared" si="742"/>
        <v>162.90909090909091</v>
      </c>
      <c r="O6635" s="175" t="str">
        <f t="shared" si="743"/>
        <v>Nov</v>
      </c>
      <c r="P6635" s="265">
        <f t="shared" si="744"/>
        <v>47</v>
      </c>
    </row>
    <row r="6636" spans="1:16" ht="15" hidden="1" customHeight="1">
      <c r="A6636" s="489">
        <v>64987232</v>
      </c>
      <c r="B6636" s="489">
        <v>1716</v>
      </c>
      <c r="C6636" s="488">
        <v>28000</v>
      </c>
      <c r="D6636" s="597">
        <v>46363</v>
      </c>
      <c r="E6636" s="489" t="s">
        <v>596</v>
      </c>
      <c r="F6636" s="489" t="s">
        <v>1221</v>
      </c>
      <c r="G6636" s="395">
        <f>VLOOKUP($A6636,'Tech Litons'!$A:$I,8,FALSE)</f>
        <v>2.3999999999999998E-3</v>
      </c>
      <c r="H6636" s="174">
        <f>VLOOKUP($A6636,'Tech Litons'!$A:$I,9,FALSE)</f>
        <v>165</v>
      </c>
      <c r="I6636" s="174" t="str">
        <f>VLOOKUP($A6636,'Tech Litons'!$A:$C,3,0)</f>
        <v>BJ Bars</v>
      </c>
      <c r="J6636" s="175" t="str">
        <f t="shared" si="739"/>
        <v>1716BJ Bars</v>
      </c>
      <c r="K6636" s="176">
        <f>VLOOKUP(I6636,'Attain %'!A:B,2,0)</f>
        <v>0.96</v>
      </c>
      <c r="L6636" s="177">
        <f t="shared" si="740"/>
        <v>26880</v>
      </c>
      <c r="M6636" s="177">
        <f t="shared" si="741"/>
        <v>64.512</v>
      </c>
      <c r="N6636" s="177">
        <f t="shared" si="742"/>
        <v>162.90909090909091</v>
      </c>
      <c r="O6636" s="175" t="str">
        <f t="shared" si="743"/>
        <v>Dec</v>
      </c>
      <c r="P6636" s="265">
        <f t="shared" si="744"/>
        <v>50</v>
      </c>
    </row>
    <row r="6637" spans="1:16" ht="15" hidden="1" customHeight="1">
      <c r="A6637" s="489">
        <v>64987233</v>
      </c>
      <c r="B6637" s="489">
        <v>1716</v>
      </c>
      <c r="C6637" s="488">
        <v>28000</v>
      </c>
      <c r="D6637" s="597">
        <v>46188</v>
      </c>
      <c r="E6637" s="489" t="s">
        <v>597</v>
      </c>
      <c r="F6637" s="489" t="s">
        <v>1221</v>
      </c>
      <c r="G6637" s="395">
        <f>VLOOKUP($A6637,'Tech Litons'!$A:$I,8,FALSE)</f>
        <v>2.3999999999999998E-3</v>
      </c>
      <c r="H6637" s="174">
        <f>VLOOKUP($A6637,'Tech Litons'!$A:$I,9,FALSE)</f>
        <v>165</v>
      </c>
      <c r="I6637" s="174" t="str">
        <f>VLOOKUP($A6637,'Tech Litons'!$A:$C,3,0)</f>
        <v>BJ Bars</v>
      </c>
      <c r="J6637" s="175" t="str">
        <f t="shared" si="739"/>
        <v>1716BJ Bars</v>
      </c>
      <c r="K6637" s="176">
        <f>VLOOKUP(I6637,'Attain %'!A:B,2,0)</f>
        <v>0.96</v>
      </c>
      <c r="L6637" s="177">
        <f t="shared" si="740"/>
        <v>26880</v>
      </c>
      <c r="M6637" s="177">
        <f t="shared" si="741"/>
        <v>64.512</v>
      </c>
      <c r="N6637" s="177">
        <f t="shared" si="742"/>
        <v>162.90909090909091</v>
      </c>
      <c r="O6637" s="175" t="str">
        <f t="shared" si="743"/>
        <v>Jun</v>
      </c>
      <c r="P6637" s="265">
        <f t="shared" si="744"/>
        <v>25</v>
      </c>
    </row>
    <row r="6638" spans="1:16" ht="15" hidden="1" customHeight="1">
      <c r="A6638" s="489">
        <v>64987233</v>
      </c>
      <c r="B6638" s="489">
        <v>1716</v>
      </c>
      <c r="C6638" s="488">
        <v>28000</v>
      </c>
      <c r="D6638" s="597">
        <v>46216</v>
      </c>
      <c r="E6638" s="489" t="s">
        <v>597</v>
      </c>
      <c r="F6638" s="489" t="s">
        <v>1221</v>
      </c>
      <c r="G6638" s="395">
        <f>VLOOKUP($A6638,'Tech Litons'!$A:$I,8,FALSE)</f>
        <v>2.3999999999999998E-3</v>
      </c>
      <c r="H6638" s="174">
        <f>VLOOKUP($A6638,'Tech Litons'!$A:$I,9,FALSE)</f>
        <v>165</v>
      </c>
      <c r="I6638" s="174" t="str">
        <f>VLOOKUP($A6638,'Tech Litons'!$A:$C,3,0)</f>
        <v>BJ Bars</v>
      </c>
      <c r="J6638" s="175" t="str">
        <f t="shared" si="739"/>
        <v>1716BJ Bars</v>
      </c>
      <c r="K6638" s="176">
        <f>VLOOKUP(I6638,'Attain %'!A:B,2,0)</f>
        <v>0.96</v>
      </c>
      <c r="L6638" s="177">
        <f t="shared" si="740"/>
        <v>26880</v>
      </c>
      <c r="M6638" s="177">
        <f t="shared" si="741"/>
        <v>64.512</v>
      </c>
      <c r="N6638" s="177">
        <f t="shared" si="742"/>
        <v>162.90909090909091</v>
      </c>
      <c r="O6638" s="175" t="str">
        <f t="shared" si="743"/>
        <v>Jul</v>
      </c>
      <c r="P6638" s="265">
        <f t="shared" si="744"/>
        <v>29</v>
      </c>
    </row>
    <row r="6639" spans="1:16" ht="15" hidden="1" customHeight="1">
      <c r="A6639" s="489">
        <v>64987233</v>
      </c>
      <c r="B6639" s="489">
        <v>1716</v>
      </c>
      <c r="C6639" s="488">
        <v>28000</v>
      </c>
      <c r="D6639" s="597">
        <v>46237</v>
      </c>
      <c r="E6639" s="489" t="s">
        <v>597</v>
      </c>
      <c r="F6639" s="489" t="s">
        <v>1221</v>
      </c>
      <c r="G6639" s="395">
        <f>VLOOKUP($A6639,'Tech Litons'!$A:$I,8,FALSE)</f>
        <v>2.3999999999999998E-3</v>
      </c>
      <c r="H6639" s="174">
        <f>VLOOKUP($A6639,'Tech Litons'!$A:$I,9,FALSE)</f>
        <v>165</v>
      </c>
      <c r="I6639" s="174" t="str">
        <f>VLOOKUP($A6639,'Tech Litons'!$A:$C,3,0)</f>
        <v>BJ Bars</v>
      </c>
      <c r="J6639" s="175" t="str">
        <f t="shared" si="739"/>
        <v>1716BJ Bars</v>
      </c>
      <c r="K6639" s="176">
        <f>VLOOKUP(I6639,'Attain %'!A:B,2,0)</f>
        <v>0.96</v>
      </c>
      <c r="L6639" s="177">
        <f t="shared" si="740"/>
        <v>26880</v>
      </c>
      <c r="M6639" s="177">
        <f t="shared" si="741"/>
        <v>64.512</v>
      </c>
      <c r="N6639" s="177">
        <f t="shared" si="742"/>
        <v>162.90909090909091</v>
      </c>
      <c r="O6639" s="175" t="str">
        <f t="shared" si="743"/>
        <v>Aug</v>
      </c>
      <c r="P6639" s="265">
        <f t="shared" si="744"/>
        <v>32</v>
      </c>
    </row>
    <row r="6640" spans="1:16" ht="15" hidden="1" customHeight="1">
      <c r="A6640" s="489">
        <v>64987233</v>
      </c>
      <c r="B6640" s="489">
        <v>1716</v>
      </c>
      <c r="C6640" s="488">
        <v>28000</v>
      </c>
      <c r="D6640" s="597">
        <v>46265</v>
      </c>
      <c r="E6640" s="489" t="s">
        <v>597</v>
      </c>
      <c r="F6640" s="489" t="s">
        <v>1221</v>
      </c>
      <c r="G6640" s="395">
        <f>VLOOKUP($A6640,'Tech Litons'!$A:$I,8,FALSE)</f>
        <v>2.3999999999999998E-3</v>
      </c>
      <c r="H6640" s="174">
        <f>VLOOKUP($A6640,'Tech Litons'!$A:$I,9,FALSE)</f>
        <v>165</v>
      </c>
      <c r="I6640" s="174" t="str">
        <f>VLOOKUP($A6640,'Tech Litons'!$A:$C,3,0)</f>
        <v>BJ Bars</v>
      </c>
      <c r="J6640" s="175" t="str">
        <f t="shared" si="739"/>
        <v>1716BJ Bars</v>
      </c>
      <c r="K6640" s="176">
        <f>VLOOKUP(I6640,'Attain %'!A:B,2,0)</f>
        <v>0.96</v>
      </c>
      <c r="L6640" s="177">
        <f t="shared" si="740"/>
        <v>26880</v>
      </c>
      <c r="M6640" s="177">
        <f t="shared" si="741"/>
        <v>64.512</v>
      </c>
      <c r="N6640" s="177">
        <f t="shared" si="742"/>
        <v>162.90909090909091</v>
      </c>
      <c r="O6640" s="175" t="str">
        <f t="shared" si="743"/>
        <v>Aug</v>
      </c>
      <c r="P6640" s="265">
        <f t="shared" si="744"/>
        <v>36</v>
      </c>
    </row>
    <row r="6641" spans="1:16" ht="15" hidden="1" customHeight="1">
      <c r="A6641" s="489">
        <v>64987233</v>
      </c>
      <c r="B6641" s="489">
        <v>1716</v>
      </c>
      <c r="C6641" s="488">
        <v>28000</v>
      </c>
      <c r="D6641" s="597">
        <v>46293</v>
      </c>
      <c r="E6641" s="489" t="s">
        <v>597</v>
      </c>
      <c r="F6641" s="489" t="s">
        <v>1221</v>
      </c>
      <c r="G6641" s="395">
        <f>VLOOKUP($A6641,'Tech Litons'!$A:$I,8,FALSE)</f>
        <v>2.3999999999999998E-3</v>
      </c>
      <c r="H6641" s="174">
        <f>VLOOKUP($A6641,'Tech Litons'!$A:$I,9,FALSE)</f>
        <v>165</v>
      </c>
      <c r="I6641" s="174" t="str">
        <f>VLOOKUP($A6641,'Tech Litons'!$A:$C,3,0)</f>
        <v>BJ Bars</v>
      </c>
      <c r="J6641" s="175" t="str">
        <f t="shared" si="739"/>
        <v>1716BJ Bars</v>
      </c>
      <c r="K6641" s="176">
        <f>VLOOKUP(I6641,'Attain %'!A:B,2,0)</f>
        <v>0.96</v>
      </c>
      <c r="L6641" s="177">
        <f t="shared" si="740"/>
        <v>26880</v>
      </c>
      <c r="M6641" s="177">
        <f t="shared" si="741"/>
        <v>64.512</v>
      </c>
      <c r="N6641" s="177">
        <f t="shared" si="742"/>
        <v>162.90909090909091</v>
      </c>
      <c r="O6641" s="175" t="str">
        <f t="shared" si="743"/>
        <v>Sep</v>
      </c>
      <c r="P6641" s="265">
        <f t="shared" si="744"/>
        <v>40</v>
      </c>
    </row>
    <row r="6642" spans="1:16" ht="15" hidden="1" customHeight="1">
      <c r="A6642" s="489">
        <v>64987233</v>
      </c>
      <c r="B6642" s="489">
        <v>1716</v>
      </c>
      <c r="C6642" s="488">
        <v>28000</v>
      </c>
      <c r="D6642" s="597">
        <v>46328</v>
      </c>
      <c r="E6642" s="489" t="s">
        <v>597</v>
      </c>
      <c r="F6642" s="489" t="s">
        <v>1221</v>
      </c>
      <c r="G6642" s="395">
        <f>VLOOKUP($A6642,'Tech Litons'!$A:$I,8,FALSE)</f>
        <v>2.3999999999999998E-3</v>
      </c>
      <c r="H6642" s="174">
        <f>VLOOKUP($A6642,'Tech Litons'!$A:$I,9,FALSE)</f>
        <v>165</v>
      </c>
      <c r="I6642" s="174" t="str">
        <f>VLOOKUP($A6642,'Tech Litons'!$A:$C,3,0)</f>
        <v>BJ Bars</v>
      </c>
      <c r="J6642" s="175" t="str">
        <f t="shared" si="739"/>
        <v>1716BJ Bars</v>
      </c>
      <c r="K6642" s="176">
        <f>VLOOKUP(I6642,'Attain %'!A:B,2,0)</f>
        <v>0.96</v>
      </c>
      <c r="L6642" s="177">
        <f t="shared" si="740"/>
        <v>26880</v>
      </c>
      <c r="M6642" s="177">
        <f t="shared" si="741"/>
        <v>64.512</v>
      </c>
      <c r="N6642" s="177">
        <f t="shared" si="742"/>
        <v>162.90909090909091</v>
      </c>
      <c r="O6642" s="175" t="str">
        <f t="shared" si="743"/>
        <v>Nov</v>
      </c>
      <c r="P6642" s="265">
        <f t="shared" si="744"/>
        <v>45</v>
      </c>
    </row>
    <row r="6643" spans="1:16" ht="15" hidden="1" customHeight="1">
      <c r="A6643" s="489">
        <v>64987233</v>
      </c>
      <c r="B6643" s="489">
        <v>1716</v>
      </c>
      <c r="C6643" s="488">
        <v>28000</v>
      </c>
      <c r="D6643" s="597">
        <v>46356</v>
      </c>
      <c r="E6643" s="489" t="s">
        <v>597</v>
      </c>
      <c r="F6643" s="489" t="s">
        <v>1221</v>
      </c>
      <c r="G6643" s="395">
        <f>VLOOKUP($A6643,'Tech Litons'!$A:$I,8,FALSE)</f>
        <v>2.3999999999999998E-3</v>
      </c>
      <c r="H6643" s="174">
        <f>VLOOKUP($A6643,'Tech Litons'!$A:$I,9,FALSE)</f>
        <v>165</v>
      </c>
      <c r="I6643" s="174" t="str">
        <f>VLOOKUP($A6643,'Tech Litons'!$A:$C,3,0)</f>
        <v>BJ Bars</v>
      </c>
      <c r="J6643" s="175" t="str">
        <f t="shared" si="739"/>
        <v>1716BJ Bars</v>
      </c>
      <c r="K6643" s="176">
        <f>VLOOKUP(I6643,'Attain %'!A:B,2,0)</f>
        <v>0.96</v>
      </c>
      <c r="L6643" s="177">
        <f t="shared" si="740"/>
        <v>26880</v>
      </c>
      <c r="M6643" s="177">
        <f t="shared" si="741"/>
        <v>64.512</v>
      </c>
      <c r="N6643" s="177">
        <f t="shared" si="742"/>
        <v>162.90909090909091</v>
      </c>
      <c r="O6643" s="175" t="str">
        <f t="shared" si="743"/>
        <v>Nov</v>
      </c>
      <c r="P6643" s="265">
        <f t="shared" si="744"/>
        <v>49</v>
      </c>
    </row>
    <row r="6644" spans="1:16" ht="15" hidden="1" customHeight="1">
      <c r="A6644" s="489">
        <v>64987234</v>
      </c>
      <c r="B6644" s="489">
        <v>1716</v>
      </c>
      <c r="C6644" s="488">
        <v>28000</v>
      </c>
      <c r="D6644" s="597">
        <v>46216</v>
      </c>
      <c r="E6644" s="489" t="s">
        <v>598</v>
      </c>
      <c r="F6644" s="489" t="s">
        <v>1221</v>
      </c>
      <c r="G6644" s="395">
        <f>VLOOKUP($A6644,'Tech Litons'!$A:$I,8,FALSE)</f>
        <v>2.3999999999999998E-3</v>
      </c>
      <c r="H6644" s="174">
        <f>VLOOKUP($A6644,'Tech Litons'!$A:$I,9,FALSE)</f>
        <v>165</v>
      </c>
      <c r="I6644" s="174" t="str">
        <f>VLOOKUP($A6644,'Tech Litons'!$A:$C,3,0)</f>
        <v>BJ Bars</v>
      </c>
      <c r="J6644" s="175" t="str">
        <f t="shared" si="739"/>
        <v>1716BJ Bars</v>
      </c>
      <c r="K6644" s="176">
        <f>VLOOKUP(I6644,'Attain %'!A:B,2,0)</f>
        <v>0.96</v>
      </c>
      <c r="L6644" s="177">
        <f t="shared" si="740"/>
        <v>26880</v>
      </c>
      <c r="M6644" s="177">
        <f t="shared" si="741"/>
        <v>64.512</v>
      </c>
      <c r="N6644" s="177">
        <f t="shared" si="742"/>
        <v>162.90909090909091</v>
      </c>
      <c r="O6644" s="175" t="str">
        <f t="shared" si="743"/>
        <v>Jul</v>
      </c>
      <c r="P6644" s="265">
        <f t="shared" si="744"/>
        <v>29</v>
      </c>
    </row>
    <row r="6645" spans="1:16" ht="15" hidden="1" customHeight="1">
      <c r="A6645" s="489">
        <v>64987234</v>
      </c>
      <c r="B6645" s="489">
        <v>1716</v>
      </c>
      <c r="C6645" s="488">
        <v>28000</v>
      </c>
      <c r="D6645" s="597">
        <v>46237</v>
      </c>
      <c r="E6645" s="489" t="s">
        <v>598</v>
      </c>
      <c r="F6645" s="489" t="s">
        <v>1221</v>
      </c>
      <c r="G6645" s="395">
        <f>VLOOKUP($A6645,'Tech Litons'!$A:$I,8,FALSE)</f>
        <v>2.3999999999999998E-3</v>
      </c>
      <c r="H6645" s="174">
        <f>VLOOKUP($A6645,'Tech Litons'!$A:$I,9,FALSE)</f>
        <v>165</v>
      </c>
      <c r="I6645" s="174" t="str">
        <f>VLOOKUP($A6645,'Tech Litons'!$A:$C,3,0)</f>
        <v>BJ Bars</v>
      </c>
      <c r="J6645" s="175" t="str">
        <f t="shared" si="739"/>
        <v>1716BJ Bars</v>
      </c>
      <c r="K6645" s="176">
        <f>VLOOKUP(I6645,'Attain %'!A:B,2,0)</f>
        <v>0.96</v>
      </c>
      <c r="L6645" s="177">
        <f t="shared" si="740"/>
        <v>26880</v>
      </c>
      <c r="M6645" s="177">
        <f t="shared" si="741"/>
        <v>64.512</v>
      </c>
      <c r="N6645" s="177">
        <f t="shared" si="742"/>
        <v>162.90909090909091</v>
      </c>
      <c r="O6645" s="175" t="str">
        <f t="shared" si="743"/>
        <v>Aug</v>
      </c>
      <c r="P6645" s="265">
        <f t="shared" si="744"/>
        <v>32</v>
      </c>
    </row>
    <row r="6646" spans="1:16" ht="15" hidden="1" customHeight="1">
      <c r="A6646" s="489">
        <v>64987234</v>
      </c>
      <c r="B6646" s="489">
        <v>1716</v>
      </c>
      <c r="C6646" s="488">
        <v>28000</v>
      </c>
      <c r="D6646" s="597">
        <v>46251</v>
      </c>
      <c r="E6646" s="489" t="s">
        <v>598</v>
      </c>
      <c r="F6646" s="489" t="s">
        <v>1221</v>
      </c>
      <c r="G6646" s="395">
        <f>VLOOKUP($A6646,'Tech Litons'!$A:$I,8,FALSE)</f>
        <v>2.3999999999999998E-3</v>
      </c>
      <c r="H6646" s="174">
        <f>VLOOKUP($A6646,'Tech Litons'!$A:$I,9,FALSE)</f>
        <v>165</v>
      </c>
      <c r="I6646" s="174" t="str">
        <f>VLOOKUP($A6646,'Tech Litons'!$A:$C,3,0)</f>
        <v>BJ Bars</v>
      </c>
      <c r="J6646" s="175" t="str">
        <f t="shared" si="739"/>
        <v>1716BJ Bars</v>
      </c>
      <c r="K6646" s="176">
        <f>VLOOKUP(I6646,'Attain %'!A:B,2,0)</f>
        <v>0.96</v>
      </c>
      <c r="L6646" s="177">
        <f t="shared" si="740"/>
        <v>26880</v>
      </c>
      <c r="M6646" s="177">
        <f t="shared" si="741"/>
        <v>64.512</v>
      </c>
      <c r="N6646" s="177">
        <f t="shared" si="742"/>
        <v>162.90909090909091</v>
      </c>
      <c r="O6646" s="175" t="str">
        <f t="shared" si="743"/>
        <v>Aug</v>
      </c>
      <c r="P6646" s="265">
        <f t="shared" si="744"/>
        <v>34</v>
      </c>
    </row>
    <row r="6647" spans="1:16" ht="15" hidden="1" customHeight="1">
      <c r="A6647" s="489">
        <v>64987234</v>
      </c>
      <c r="B6647" s="489">
        <v>1716</v>
      </c>
      <c r="C6647" s="488">
        <v>28000</v>
      </c>
      <c r="D6647" s="597">
        <v>46272</v>
      </c>
      <c r="E6647" s="489" t="s">
        <v>598</v>
      </c>
      <c r="F6647" s="489" t="s">
        <v>1221</v>
      </c>
      <c r="G6647" s="395">
        <f>VLOOKUP($A6647,'Tech Litons'!$A:$I,8,FALSE)</f>
        <v>2.3999999999999998E-3</v>
      </c>
      <c r="H6647" s="174">
        <f>VLOOKUP($A6647,'Tech Litons'!$A:$I,9,FALSE)</f>
        <v>165</v>
      </c>
      <c r="I6647" s="174" t="str">
        <f>VLOOKUP($A6647,'Tech Litons'!$A:$C,3,0)</f>
        <v>BJ Bars</v>
      </c>
      <c r="J6647" s="175" t="str">
        <f t="shared" si="739"/>
        <v>1716BJ Bars</v>
      </c>
      <c r="K6647" s="176">
        <f>VLOOKUP(I6647,'Attain %'!A:B,2,0)</f>
        <v>0.96</v>
      </c>
      <c r="L6647" s="177">
        <f t="shared" si="740"/>
        <v>26880</v>
      </c>
      <c r="M6647" s="177">
        <f t="shared" si="741"/>
        <v>64.512</v>
      </c>
      <c r="N6647" s="177">
        <f t="shared" si="742"/>
        <v>162.90909090909091</v>
      </c>
      <c r="O6647" s="175" t="str">
        <f t="shared" si="743"/>
        <v>Sep</v>
      </c>
      <c r="P6647" s="265">
        <f t="shared" si="744"/>
        <v>37</v>
      </c>
    </row>
    <row r="6648" spans="1:16" ht="15" hidden="1" customHeight="1">
      <c r="A6648" s="489">
        <v>64987234</v>
      </c>
      <c r="B6648" s="489">
        <v>1716</v>
      </c>
      <c r="C6648" s="488">
        <v>28000</v>
      </c>
      <c r="D6648" s="597">
        <v>46286</v>
      </c>
      <c r="E6648" s="489" t="s">
        <v>598</v>
      </c>
      <c r="F6648" s="489" t="s">
        <v>1221</v>
      </c>
      <c r="G6648" s="395">
        <f>VLOOKUP($A6648,'Tech Litons'!$A:$I,8,FALSE)</f>
        <v>2.3999999999999998E-3</v>
      </c>
      <c r="H6648" s="174">
        <f>VLOOKUP($A6648,'Tech Litons'!$A:$I,9,FALSE)</f>
        <v>165</v>
      </c>
      <c r="I6648" s="174" t="str">
        <f>VLOOKUP($A6648,'Tech Litons'!$A:$C,3,0)</f>
        <v>BJ Bars</v>
      </c>
      <c r="J6648" s="175" t="str">
        <f t="shared" ref="J6648:J6711" si="745">B6648&amp;I6648</f>
        <v>1716BJ Bars</v>
      </c>
      <c r="K6648" s="176">
        <f>VLOOKUP(I6648,'Attain %'!A:B,2,0)</f>
        <v>0.96</v>
      </c>
      <c r="L6648" s="177">
        <f t="shared" ref="L6648:L6711" si="746">C6648*$K6648</f>
        <v>26880</v>
      </c>
      <c r="M6648" s="177">
        <f t="shared" ref="M6648:M6711" si="747">L6648*G6648</f>
        <v>64.512</v>
      </c>
      <c r="N6648" s="177">
        <f t="shared" ref="N6648:N6711" si="748">L6648/H6648</f>
        <v>162.90909090909091</v>
      </c>
      <c r="O6648" s="175" t="str">
        <f t="shared" ref="O6648:O6711" si="749">TEXT(D6648,"MMM")</f>
        <v>Sep</v>
      </c>
      <c r="P6648" s="265">
        <f t="shared" ref="P6648:P6711" si="750">WEEKNUM(D6648)</f>
        <v>39</v>
      </c>
    </row>
    <row r="6649" spans="1:16" ht="15" hidden="1" customHeight="1">
      <c r="A6649" s="489">
        <v>64987234</v>
      </c>
      <c r="B6649" s="489">
        <v>1716</v>
      </c>
      <c r="C6649" s="488">
        <v>28000</v>
      </c>
      <c r="D6649" s="597">
        <v>46307</v>
      </c>
      <c r="E6649" s="489" t="s">
        <v>598</v>
      </c>
      <c r="F6649" s="489" t="s">
        <v>1221</v>
      </c>
      <c r="G6649" s="395">
        <f>VLOOKUP($A6649,'Tech Litons'!$A:$I,8,FALSE)</f>
        <v>2.3999999999999998E-3</v>
      </c>
      <c r="H6649" s="174">
        <f>VLOOKUP($A6649,'Tech Litons'!$A:$I,9,FALSE)</f>
        <v>165</v>
      </c>
      <c r="I6649" s="174" t="str">
        <f>VLOOKUP($A6649,'Tech Litons'!$A:$C,3,0)</f>
        <v>BJ Bars</v>
      </c>
      <c r="J6649" s="175" t="str">
        <f t="shared" si="745"/>
        <v>1716BJ Bars</v>
      </c>
      <c r="K6649" s="176">
        <f>VLOOKUP(I6649,'Attain %'!A:B,2,0)</f>
        <v>0.96</v>
      </c>
      <c r="L6649" s="177">
        <f t="shared" si="746"/>
        <v>26880</v>
      </c>
      <c r="M6649" s="177">
        <f t="shared" si="747"/>
        <v>64.512</v>
      </c>
      <c r="N6649" s="177">
        <f t="shared" si="748"/>
        <v>162.90909090909091</v>
      </c>
      <c r="O6649" s="175" t="str">
        <f t="shared" si="749"/>
        <v>Oct</v>
      </c>
      <c r="P6649" s="265">
        <f t="shared" si="750"/>
        <v>42</v>
      </c>
    </row>
    <row r="6650" spans="1:16" ht="15" hidden="1" customHeight="1">
      <c r="A6650" s="489">
        <v>64987234</v>
      </c>
      <c r="B6650" s="489">
        <v>1716</v>
      </c>
      <c r="C6650" s="488">
        <v>28000</v>
      </c>
      <c r="D6650" s="597">
        <v>46321</v>
      </c>
      <c r="E6650" s="489" t="s">
        <v>598</v>
      </c>
      <c r="F6650" s="489" t="s">
        <v>1221</v>
      </c>
      <c r="G6650" s="395">
        <f>VLOOKUP($A6650,'Tech Litons'!$A:$I,8,FALSE)</f>
        <v>2.3999999999999998E-3</v>
      </c>
      <c r="H6650" s="174">
        <f>VLOOKUP($A6650,'Tech Litons'!$A:$I,9,FALSE)</f>
        <v>165</v>
      </c>
      <c r="I6650" s="174" t="str">
        <f>VLOOKUP($A6650,'Tech Litons'!$A:$C,3,0)</f>
        <v>BJ Bars</v>
      </c>
      <c r="J6650" s="175" t="str">
        <f t="shared" si="745"/>
        <v>1716BJ Bars</v>
      </c>
      <c r="K6650" s="176">
        <f>VLOOKUP(I6650,'Attain %'!A:B,2,0)</f>
        <v>0.96</v>
      </c>
      <c r="L6650" s="177">
        <f t="shared" si="746"/>
        <v>26880</v>
      </c>
      <c r="M6650" s="177">
        <f t="shared" si="747"/>
        <v>64.512</v>
      </c>
      <c r="N6650" s="177">
        <f t="shared" si="748"/>
        <v>162.90909090909091</v>
      </c>
      <c r="O6650" s="175" t="str">
        <f t="shared" si="749"/>
        <v>Oct</v>
      </c>
      <c r="P6650" s="265">
        <f t="shared" si="750"/>
        <v>44</v>
      </c>
    </row>
    <row r="6651" spans="1:16" ht="15" hidden="1" customHeight="1">
      <c r="A6651" s="489">
        <v>64987234</v>
      </c>
      <c r="B6651" s="489">
        <v>1716</v>
      </c>
      <c r="C6651" s="488">
        <v>28000</v>
      </c>
      <c r="D6651" s="597">
        <v>46342</v>
      </c>
      <c r="E6651" s="489" t="s">
        <v>598</v>
      </c>
      <c r="F6651" s="489" t="s">
        <v>1221</v>
      </c>
      <c r="G6651" s="395">
        <f>VLOOKUP($A6651,'Tech Litons'!$A:$I,8,FALSE)</f>
        <v>2.3999999999999998E-3</v>
      </c>
      <c r="H6651" s="174">
        <f>VLOOKUP($A6651,'Tech Litons'!$A:$I,9,FALSE)</f>
        <v>165</v>
      </c>
      <c r="I6651" s="174" t="str">
        <f>VLOOKUP($A6651,'Tech Litons'!$A:$C,3,0)</f>
        <v>BJ Bars</v>
      </c>
      <c r="J6651" s="175" t="str">
        <f t="shared" si="745"/>
        <v>1716BJ Bars</v>
      </c>
      <c r="K6651" s="176">
        <f>VLOOKUP(I6651,'Attain %'!A:B,2,0)</f>
        <v>0.96</v>
      </c>
      <c r="L6651" s="177">
        <f t="shared" si="746"/>
        <v>26880</v>
      </c>
      <c r="M6651" s="177">
        <f t="shared" si="747"/>
        <v>64.512</v>
      </c>
      <c r="N6651" s="177">
        <f t="shared" si="748"/>
        <v>162.90909090909091</v>
      </c>
      <c r="O6651" s="175" t="str">
        <f t="shared" si="749"/>
        <v>Nov</v>
      </c>
      <c r="P6651" s="265">
        <f t="shared" si="750"/>
        <v>47</v>
      </c>
    </row>
    <row r="6652" spans="1:16" ht="15" hidden="1" customHeight="1">
      <c r="A6652" s="489">
        <v>64987234</v>
      </c>
      <c r="B6652" s="489">
        <v>1716</v>
      </c>
      <c r="C6652" s="488">
        <v>28000</v>
      </c>
      <c r="D6652" s="597">
        <v>46363</v>
      </c>
      <c r="E6652" s="489" t="s">
        <v>598</v>
      </c>
      <c r="F6652" s="489" t="s">
        <v>1221</v>
      </c>
      <c r="G6652" s="395">
        <f>VLOOKUP($A6652,'Tech Litons'!$A:$I,8,FALSE)</f>
        <v>2.3999999999999998E-3</v>
      </c>
      <c r="H6652" s="174">
        <f>VLOOKUP($A6652,'Tech Litons'!$A:$I,9,FALSE)</f>
        <v>165</v>
      </c>
      <c r="I6652" s="174" t="str">
        <f>VLOOKUP($A6652,'Tech Litons'!$A:$C,3,0)</f>
        <v>BJ Bars</v>
      </c>
      <c r="J6652" s="175" t="str">
        <f t="shared" si="745"/>
        <v>1716BJ Bars</v>
      </c>
      <c r="K6652" s="176">
        <f>VLOOKUP(I6652,'Attain %'!A:B,2,0)</f>
        <v>0.96</v>
      </c>
      <c r="L6652" s="177">
        <f t="shared" si="746"/>
        <v>26880</v>
      </c>
      <c r="M6652" s="177">
        <f t="shared" si="747"/>
        <v>64.512</v>
      </c>
      <c r="N6652" s="177">
        <f t="shared" si="748"/>
        <v>162.90909090909091</v>
      </c>
      <c r="O6652" s="175" t="str">
        <f t="shared" si="749"/>
        <v>Dec</v>
      </c>
      <c r="P6652" s="265">
        <f t="shared" si="750"/>
        <v>50</v>
      </c>
    </row>
    <row r="6653" spans="1:16" ht="15" hidden="1" customHeight="1">
      <c r="A6653" s="489">
        <v>64988053</v>
      </c>
      <c r="B6653" s="489">
        <v>1716</v>
      </c>
      <c r="C6653" s="488">
        <v>28000</v>
      </c>
      <c r="D6653" s="597">
        <v>46153</v>
      </c>
      <c r="E6653" s="489" t="s">
        <v>599</v>
      </c>
      <c r="F6653" s="489" t="s">
        <v>1221</v>
      </c>
      <c r="G6653" s="395">
        <f>VLOOKUP($A6653,'Tech Litons'!$A:$I,8,FALSE)</f>
        <v>2.3999999999999998E-3</v>
      </c>
      <c r="H6653" s="174">
        <f>VLOOKUP($A6653,'Tech Litons'!$A:$I,9,FALSE)</f>
        <v>165</v>
      </c>
      <c r="I6653" s="174" t="str">
        <f>VLOOKUP($A6653,'Tech Litons'!$A:$C,3,0)</f>
        <v>BJ Bars</v>
      </c>
      <c r="J6653" s="175" t="str">
        <f t="shared" si="745"/>
        <v>1716BJ Bars</v>
      </c>
      <c r="K6653" s="176">
        <f>VLOOKUP(I6653,'Attain %'!A:B,2,0)</f>
        <v>0.96</v>
      </c>
      <c r="L6653" s="177">
        <f t="shared" si="746"/>
        <v>26880</v>
      </c>
      <c r="M6653" s="177">
        <f t="shared" si="747"/>
        <v>64.512</v>
      </c>
      <c r="N6653" s="177">
        <f t="shared" si="748"/>
        <v>162.90909090909091</v>
      </c>
      <c r="O6653" s="175" t="str">
        <f t="shared" si="749"/>
        <v>May</v>
      </c>
      <c r="P6653" s="265">
        <f t="shared" si="750"/>
        <v>20</v>
      </c>
    </row>
    <row r="6654" spans="1:16" ht="15" hidden="1" customHeight="1">
      <c r="A6654" s="489">
        <v>64988053</v>
      </c>
      <c r="B6654" s="489">
        <v>1716</v>
      </c>
      <c r="C6654" s="488">
        <v>28000</v>
      </c>
      <c r="D6654" s="597">
        <v>46167</v>
      </c>
      <c r="E6654" s="489" t="s">
        <v>599</v>
      </c>
      <c r="F6654" s="489" t="s">
        <v>1221</v>
      </c>
      <c r="G6654" s="395">
        <f>VLOOKUP($A6654,'Tech Litons'!$A:$I,8,FALSE)</f>
        <v>2.3999999999999998E-3</v>
      </c>
      <c r="H6654" s="174">
        <f>VLOOKUP($A6654,'Tech Litons'!$A:$I,9,FALSE)</f>
        <v>165</v>
      </c>
      <c r="I6654" s="174" t="str">
        <f>VLOOKUP($A6654,'Tech Litons'!$A:$C,3,0)</f>
        <v>BJ Bars</v>
      </c>
      <c r="J6654" s="175" t="str">
        <f t="shared" si="745"/>
        <v>1716BJ Bars</v>
      </c>
      <c r="K6654" s="176">
        <f>VLOOKUP(I6654,'Attain %'!A:B,2,0)</f>
        <v>0.96</v>
      </c>
      <c r="L6654" s="177">
        <f t="shared" si="746"/>
        <v>26880</v>
      </c>
      <c r="M6654" s="177">
        <f t="shared" si="747"/>
        <v>64.512</v>
      </c>
      <c r="N6654" s="177">
        <f t="shared" si="748"/>
        <v>162.90909090909091</v>
      </c>
      <c r="O6654" s="175" t="str">
        <f t="shared" si="749"/>
        <v>May</v>
      </c>
      <c r="P6654" s="265">
        <f t="shared" si="750"/>
        <v>22</v>
      </c>
    </row>
    <row r="6655" spans="1:16" ht="15" hidden="1" customHeight="1">
      <c r="A6655" s="489">
        <v>64988053</v>
      </c>
      <c r="B6655" s="489">
        <v>1716</v>
      </c>
      <c r="C6655" s="488">
        <v>28000</v>
      </c>
      <c r="D6655" s="597">
        <v>46202</v>
      </c>
      <c r="E6655" s="489" t="s">
        <v>599</v>
      </c>
      <c r="F6655" s="489" t="s">
        <v>1221</v>
      </c>
      <c r="G6655" s="395">
        <f>VLOOKUP($A6655,'Tech Litons'!$A:$I,8,FALSE)</f>
        <v>2.3999999999999998E-3</v>
      </c>
      <c r="H6655" s="174">
        <f>VLOOKUP($A6655,'Tech Litons'!$A:$I,9,FALSE)</f>
        <v>165</v>
      </c>
      <c r="I6655" s="174" t="str">
        <f>VLOOKUP($A6655,'Tech Litons'!$A:$C,3,0)</f>
        <v>BJ Bars</v>
      </c>
      <c r="J6655" s="175" t="str">
        <f t="shared" si="745"/>
        <v>1716BJ Bars</v>
      </c>
      <c r="K6655" s="176">
        <f>VLOOKUP(I6655,'Attain %'!A:B,2,0)</f>
        <v>0.96</v>
      </c>
      <c r="L6655" s="177">
        <f t="shared" si="746"/>
        <v>26880</v>
      </c>
      <c r="M6655" s="177">
        <f t="shared" si="747"/>
        <v>64.512</v>
      </c>
      <c r="N6655" s="177">
        <f t="shared" si="748"/>
        <v>162.90909090909091</v>
      </c>
      <c r="O6655" s="175" t="str">
        <f t="shared" si="749"/>
        <v>Jun</v>
      </c>
      <c r="P6655" s="265">
        <f t="shared" si="750"/>
        <v>27</v>
      </c>
    </row>
    <row r="6656" spans="1:16" ht="15" hidden="1" customHeight="1">
      <c r="A6656" s="489">
        <v>64988053</v>
      </c>
      <c r="B6656" s="489">
        <v>1716</v>
      </c>
      <c r="C6656" s="488">
        <v>28000</v>
      </c>
      <c r="D6656" s="597">
        <v>46237</v>
      </c>
      <c r="E6656" s="489" t="s">
        <v>599</v>
      </c>
      <c r="F6656" s="489" t="s">
        <v>1221</v>
      </c>
      <c r="G6656" s="395">
        <f>VLOOKUP($A6656,'Tech Litons'!$A:$I,8,FALSE)</f>
        <v>2.3999999999999998E-3</v>
      </c>
      <c r="H6656" s="174">
        <f>VLOOKUP($A6656,'Tech Litons'!$A:$I,9,FALSE)</f>
        <v>165</v>
      </c>
      <c r="I6656" s="174" t="str">
        <f>VLOOKUP($A6656,'Tech Litons'!$A:$C,3,0)</f>
        <v>BJ Bars</v>
      </c>
      <c r="J6656" s="175" t="str">
        <f t="shared" si="745"/>
        <v>1716BJ Bars</v>
      </c>
      <c r="K6656" s="176">
        <f>VLOOKUP(I6656,'Attain %'!A:B,2,0)</f>
        <v>0.96</v>
      </c>
      <c r="L6656" s="177">
        <f t="shared" si="746"/>
        <v>26880</v>
      </c>
      <c r="M6656" s="177">
        <f t="shared" si="747"/>
        <v>64.512</v>
      </c>
      <c r="N6656" s="177">
        <f t="shared" si="748"/>
        <v>162.90909090909091</v>
      </c>
      <c r="O6656" s="175" t="str">
        <f t="shared" si="749"/>
        <v>Aug</v>
      </c>
      <c r="P6656" s="265">
        <f t="shared" si="750"/>
        <v>32</v>
      </c>
    </row>
    <row r="6657" spans="1:16" ht="15" hidden="1" customHeight="1">
      <c r="A6657" s="489">
        <v>64988053</v>
      </c>
      <c r="B6657" s="489">
        <v>1716</v>
      </c>
      <c r="C6657" s="488">
        <v>28000</v>
      </c>
      <c r="D6657" s="597">
        <v>46279</v>
      </c>
      <c r="E6657" s="489" t="s">
        <v>599</v>
      </c>
      <c r="F6657" s="489" t="s">
        <v>1221</v>
      </c>
      <c r="G6657" s="395">
        <f>VLOOKUP($A6657,'Tech Litons'!$A:$I,8,FALSE)</f>
        <v>2.3999999999999998E-3</v>
      </c>
      <c r="H6657" s="174">
        <f>VLOOKUP($A6657,'Tech Litons'!$A:$I,9,FALSE)</f>
        <v>165</v>
      </c>
      <c r="I6657" s="174" t="str">
        <f>VLOOKUP($A6657,'Tech Litons'!$A:$C,3,0)</f>
        <v>BJ Bars</v>
      </c>
      <c r="J6657" s="175" t="str">
        <f t="shared" si="745"/>
        <v>1716BJ Bars</v>
      </c>
      <c r="K6657" s="176">
        <f>VLOOKUP(I6657,'Attain %'!A:B,2,0)</f>
        <v>0.96</v>
      </c>
      <c r="L6657" s="177">
        <f t="shared" si="746"/>
        <v>26880</v>
      </c>
      <c r="M6657" s="177">
        <f t="shared" si="747"/>
        <v>64.512</v>
      </c>
      <c r="N6657" s="177">
        <f t="shared" si="748"/>
        <v>162.90909090909091</v>
      </c>
      <c r="O6657" s="175" t="str">
        <f t="shared" si="749"/>
        <v>Sep</v>
      </c>
      <c r="P6657" s="265">
        <f t="shared" si="750"/>
        <v>38</v>
      </c>
    </row>
    <row r="6658" spans="1:16" ht="15" hidden="1" customHeight="1">
      <c r="A6658" s="489">
        <v>64988053</v>
      </c>
      <c r="B6658" s="489">
        <v>1716</v>
      </c>
      <c r="C6658" s="488">
        <v>28000</v>
      </c>
      <c r="D6658" s="597">
        <v>46314</v>
      </c>
      <c r="E6658" s="489" t="s">
        <v>599</v>
      </c>
      <c r="F6658" s="489" t="s">
        <v>1221</v>
      </c>
      <c r="G6658" s="395">
        <f>VLOOKUP($A6658,'Tech Litons'!$A:$I,8,FALSE)</f>
        <v>2.3999999999999998E-3</v>
      </c>
      <c r="H6658" s="174">
        <f>VLOOKUP($A6658,'Tech Litons'!$A:$I,9,FALSE)</f>
        <v>165</v>
      </c>
      <c r="I6658" s="174" t="str">
        <f>VLOOKUP($A6658,'Tech Litons'!$A:$C,3,0)</f>
        <v>BJ Bars</v>
      </c>
      <c r="J6658" s="175" t="str">
        <f t="shared" si="745"/>
        <v>1716BJ Bars</v>
      </c>
      <c r="K6658" s="176">
        <f>VLOOKUP(I6658,'Attain %'!A:B,2,0)</f>
        <v>0.96</v>
      </c>
      <c r="L6658" s="177">
        <f t="shared" si="746"/>
        <v>26880</v>
      </c>
      <c r="M6658" s="177">
        <f t="shared" si="747"/>
        <v>64.512</v>
      </c>
      <c r="N6658" s="177">
        <f t="shared" si="748"/>
        <v>162.90909090909091</v>
      </c>
      <c r="O6658" s="175" t="str">
        <f t="shared" si="749"/>
        <v>Oct</v>
      </c>
      <c r="P6658" s="265">
        <f t="shared" si="750"/>
        <v>43</v>
      </c>
    </row>
    <row r="6659" spans="1:16" ht="15" hidden="1" customHeight="1">
      <c r="A6659" s="489">
        <v>64988053</v>
      </c>
      <c r="B6659" s="489">
        <v>1716</v>
      </c>
      <c r="C6659" s="488">
        <v>28000</v>
      </c>
      <c r="D6659" s="597">
        <v>46349</v>
      </c>
      <c r="E6659" s="489" t="s">
        <v>599</v>
      </c>
      <c r="F6659" s="489" t="s">
        <v>1221</v>
      </c>
      <c r="G6659" s="395">
        <f>VLOOKUP($A6659,'Tech Litons'!$A:$I,8,FALSE)</f>
        <v>2.3999999999999998E-3</v>
      </c>
      <c r="H6659" s="174">
        <f>VLOOKUP($A6659,'Tech Litons'!$A:$I,9,FALSE)</f>
        <v>165</v>
      </c>
      <c r="I6659" s="174" t="str">
        <f>VLOOKUP($A6659,'Tech Litons'!$A:$C,3,0)</f>
        <v>BJ Bars</v>
      </c>
      <c r="J6659" s="175" t="str">
        <f t="shared" si="745"/>
        <v>1716BJ Bars</v>
      </c>
      <c r="K6659" s="176">
        <f>VLOOKUP(I6659,'Attain %'!A:B,2,0)</f>
        <v>0.96</v>
      </c>
      <c r="L6659" s="177">
        <f t="shared" si="746"/>
        <v>26880</v>
      </c>
      <c r="M6659" s="177">
        <f t="shared" si="747"/>
        <v>64.512</v>
      </c>
      <c r="N6659" s="177">
        <f t="shared" si="748"/>
        <v>162.90909090909091</v>
      </c>
      <c r="O6659" s="175" t="str">
        <f t="shared" si="749"/>
        <v>Nov</v>
      </c>
      <c r="P6659" s="265">
        <f t="shared" si="750"/>
        <v>48</v>
      </c>
    </row>
    <row r="6660" spans="1:16" ht="15" hidden="1" customHeight="1">
      <c r="A6660" s="489">
        <v>64988054</v>
      </c>
      <c r="B6660" s="489">
        <v>1716</v>
      </c>
      <c r="C6660" s="488">
        <v>28000</v>
      </c>
      <c r="D6660" s="597">
        <v>46188</v>
      </c>
      <c r="E6660" s="489" t="s">
        <v>600</v>
      </c>
      <c r="F6660" s="489" t="s">
        <v>1221</v>
      </c>
      <c r="G6660" s="395">
        <f>VLOOKUP($A6660,'Tech Litons'!$A:$I,8,FALSE)</f>
        <v>2.3999999999999998E-3</v>
      </c>
      <c r="H6660" s="174">
        <f>VLOOKUP($A6660,'Tech Litons'!$A:$I,9,FALSE)</f>
        <v>165</v>
      </c>
      <c r="I6660" s="174" t="str">
        <f>VLOOKUP($A6660,'Tech Litons'!$A:$C,3,0)</f>
        <v>BJ Bars</v>
      </c>
      <c r="J6660" s="175" t="str">
        <f t="shared" si="745"/>
        <v>1716BJ Bars</v>
      </c>
      <c r="K6660" s="176">
        <f>VLOOKUP(I6660,'Attain %'!A:B,2,0)</f>
        <v>0.96</v>
      </c>
      <c r="L6660" s="177">
        <f t="shared" si="746"/>
        <v>26880</v>
      </c>
      <c r="M6660" s="177">
        <f t="shared" si="747"/>
        <v>64.512</v>
      </c>
      <c r="N6660" s="177">
        <f t="shared" si="748"/>
        <v>162.90909090909091</v>
      </c>
      <c r="O6660" s="175" t="str">
        <f t="shared" si="749"/>
        <v>Jun</v>
      </c>
      <c r="P6660" s="265">
        <f t="shared" si="750"/>
        <v>25</v>
      </c>
    </row>
    <row r="6661" spans="1:16" ht="15" hidden="1" customHeight="1">
      <c r="A6661" s="489">
        <v>64988054</v>
      </c>
      <c r="B6661" s="489">
        <v>1716</v>
      </c>
      <c r="C6661" s="488">
        <v>28000</v>
      </c>
      <c r="D6661" s="597">
        <v>46216</v>
      </c>
      <c r="E6661" s="489" t="s">
        <v>600</v>
      </c>
      <c r="F6661" s="489" t="s">
        <v>1221</v>
      </c>
      <c r="G6661" s="395">
        <f>VLOOKUP($A6661,'Tech Litons'!$A:$I,8,FALSE)</f>
        <v>2.3999999999999998E-3</v>
      </c>
      <c r="H6661" s="174">
        <f>VLOOKUP($A6661,'Tech Litons'!$A:$I,9,FALSE)</f>
        <v>165</v>
      </c>
      <c r="I6661" s="174" t="str">
        <f>VLOOKUP($A6661,'Tech Litons'!$A:$C,3,0)</f>
        <v>BJ Bars</v>
      </c>
      <c r="J6661" s="175" t="str">
        <f t="shared" si="745"/>
        <v>1716BJ Bars</v>
      </c>
      <c r="K6661" s="176">
        <f>VLOOKUP(I6661,'Attain %'!A:B,2,0)</f>
        <v>0.96</v>
      </c>
      <c r="L6661" s="177">
        <f t="shared" si="746"/>
        <v>26880</v>
      </c>
      <c r="M6661" s="177">
        <f t="shared" si="747"/>
        <v>64.512</v>
      </c>
      <c r="N6661" s="177">
        <f t="shared" si="748"/>
        <v>162.90909090909091</v>
      </c>
      <c r="O6661" s="175" t="str">
        <f t="shared" si="749"/>
        <v>Jul</v>
      </c>
      <c r="P6661" s="265">
        <f t="shared" si="750"/>
        <v>29</v>
      </c>
    </row>
    <row r="6662" spans="1:16" ht="15" hidden="1" customHeight="1">
      <c r="A6662" s="489">
        <v>64988054</v>
      </c>
      <c r="B6662" s="489">
        <v>1716</v>
      </c>
      <c r="C6662" s="488">
        <v>28000</v>
      </c>
      <c r="D6662" s="597">
        <v>46244</v>
      </c>
      <c r="E6662" s="489" t="s">
        <v>600</v>
      </c>
      <c r="F6662" s="489" t="s">
        <v>1221</v>
      </c>
      <c r="G6662" s="395">
        <f>VLOOKUP($A6662,'Tech Litons'!$A:$I,8,FALSE)</f>
        <v>2.3999999999999998E-3</v>
      </c>
      <c r="H6662" s="174">
        <f>VLOOKUP($A6662,'Tech Litons'!$A:$I,9,FALSE)</f>
        <v>165</v>
      </c>
      <c r="I6662" s="174" t="str">
        <f>VLOOKUP($A6662,'Tech Litons'!$A:$C,3,0)</f>
        <v>BJ Bars</v>
      </c>
      <c r="J6662" s="175" t="str">
        <f t="shared" si="745"/>
        <v>1716BJ Bars</v>
      </c>
      <c r="K6662" s="176">
        <f>VLOOKUP(I6662,'Attain %'!A:B,2,0)</f>
        <v>0.96</v>
      </c>
      <c r="L6662" s="177">
        <f t="shared" si="746"/>
        <v>26880</v>
      </c>
      <c r="M6662" s="177">
        <f t="shared" si="747"/>
        <v>64.512</v>
      </c>
      <c r="N6662" s="177">
        <f t="shared" si="748"/>
        <v>162.90909090909091</v>
      </c>
      <c r="O6662" s="175" t="str">
        <f t="shared" si="749"/>
        <v>Aug</v>
      </c>
      <c r="P6662" s="265">
        <f t="shared" si="750"/>
        <v>33</v>
      </c>
    </row>
    <row r="6663" spans="1:16" ht="15" hidden="1" customHeight="1">
      <c r="A6663" s="489">
        <v>64988054</v>
      </c>
      <c r="B6663" s="489">
        <v>1716</v>
      </c>
      <c r="C6663" s="488">
        <v>28000</v>
      </c>
      <c r="D6663" s="597">
        <v>46272</v>
      </c>
      <c r="E6663" s="489" t="s">
        <v>600</v>
      </c>
      <c r="F6663" s="489" t="s">
        <v>1221</v>
      </c>
      <c r="G6663" s="395">
        <f>VLOOKUP($A6663,'Tech Litons'!$A:$I,8,FALSE)</f>
        <v>2.3999999999999998E-3</v>
      </c>
      <c r="H6663" s="174">
        <f>VLOOKUP($A6663,'Tech Litons'!$A:$I,9,FALSE)</f>
        <v>165</v>
      </c>
      <c r="I6663" s="174" t="str">
        <f>VLOOKUP($A6663,'Tech Litons'!$A:$C,3,0)</f>
        <v>BJ Bars</v>
      </c>
      <c r="J6663" s="175" t="str">
        <f t="shared" si="745"/>
        <v>1716BJ Bars</v>
      </c>
      <c r="K6663" s="176">
        <f>VLOOKUP(I6663,'Attain %'!A:B,2,0)</f>
        <v>0.96</v>
      </c>
      <c r="L6663" s="177">
        <f t="shared" si="746"/>
        <v>26880</v>
      </c>
      <c r="M6663" s="177">
        <f t="shared" si="747"/>
        <v>64.512</v>
      </c>
      <c r="N6663" s="177">
        <f t="shared" si="748"/>
        <v>162.90909090909091</v>
      </c>
      <c r="O6663" s="175" t="str">
        <f t="shared" si="749"/>
        <v>Sep</v>
      </c>
      <c r="P6663" s="265">
        <f t="shared" si="750"/>
        <v>37</v>
      </c>
    </row>
    <row r="6664" spans="1:16" ht="15" hidden="1" customHeight="1">
      <c r="A6664" s="489">
        <v>64988054</v>
      </c>
      <c r="B6664" s="489">
        <v>1716</v>
      </c>
      <c r="C6664" s="488">
        <v>28000</v>
      </c>
      <c r="D6664" s="597">
        <v>46300</v>
      </c>
      <c r="E6664" s="489" t="s">
        <v>600</v>
      </c>
      <c r="F6664" s="489" t="s">
        <v>1221</v>
      </c>
      <c r="G6664" s="395">
        <f>VLOOKUP($A6664,'Tech Litons'!$A:$I,8,FALSE)</f>
        <v>2.3999999999999998E-3</v>
      </c>
      <c r="H6664" s="174">
        <f>VLOOKUP($A6664,'Tech Litons'!$A:$I,9,FALSE)</f>
        <v>165</v>
      </c>
      <c r="I6664" s="174" t="str">
        <f>VLOOKUP($A6664,'Tech Litons'!$A:$C,3,0)</f>
        <v>BJ Bars</v>
      </c>
      <c r="J6664" s="175" t="str">
        <f t="shared" si="745"/>
        <v>1716BJ Bars</v>
      </c>
      <c r="K6664" s="176">
        <f>VLOOKUP(I6664,'Attain %'!A:B,2,0)</f>
        <v>0.96</v>
      </c>
      <c r="L6664" s="177">
        <f t="shared" si="746"/>
        <v>26880</v>
      </c>
      <c r="M6664" s="177">
        <f t="shared" si="747"/>
        <v>64.512</v>
      </c>
      <c r="N6664" s="177">
        <f t="shared" si="748"/>
        <v>162.90909090909091</v>
      </c>
      <c r="O6664" s="175" t="str">
        <f t="shared" si="749"/>
        <v>Oct</v>
      </c>
      <c r="P6664" s="265">
        <f t="shared" si="750"/>
        <v>41</v>
      </c>
    </row>
    <row r="6665" spans="1:16" ht="15" hidden="1" customHeight="1">
      <c r="A6665" s="489">
        <v>64988054</v>
      </c>
      <c r="B6665" s="489">
        <v>1716</v>
      </c>
      <c r="C6665" s="488">
        <v>28000</v>
      </c>
      <c r="D6665" s="597">
        <v>46328</v>
      </c>
      <c r="E6665" s="489" t="s">
        <v>600</v>
      </c>
      <c r="F6665" s="489" t="s">
        <v>1221</v>
      </c>
      <c r="G6665" s="395">
        <f>VLOOKUP($A6665,'Tech Litons'!$A:$I,8,FALSE)</f>
        <v>2.3999999999999998E-3</v>
      </c>
      <c r="H6665" s="174">
        <f>VLOOKUP($A6665,'Tech Litons'!$A:$I,9,FALSE)</f>
        <v>165</v>
      </c>
      <c r="I6665" s="174" t="str">
        <f>VLOOKUP($A6665,'Tech Litons'!$A:$C,3,0)</f>
        <v>BJ Bars</v>
      </c>
      <c r="J6665" s="175" t="str">
        <f t="shared" si="745"/>
        <v>1716BJ Bars</v>
      </c>
      <c r="K6665" s="176">
        <f>VLOOKUP(I6665,'Attain %'!A:B,2,0)</f>
        <v>0.96</v>
      </c>
      <c r="L6665" s="177">
        <f t="shared" si="746"/>
        <v>26880</v>
      </c>
      <c r="M6665" s="177">
        <f t="shared" si="747"/>
        <v>64.512</v>
      </c>
      <c r="N6665" s="177">
        <f t="shared" si="748"/>
        <v>162.90909090909091</v>
      </c>
      <c r="O6665" s="175" t="str">
        <f t="shared" si="749"/>
        <v>Nov</v>
      </c>
      <c r="P6665" s="265">
        <f t="shared" si="750"/>
        <v>45</v>
      </c>
    </row>
    <row r="6666" spans="1:16" ht="15" hidden="1" customHeight="1">
      <c r="A6666" s="489">
        <v>64988054</v>
      </c>
      <c r="B6666" s="489">
        <v>1716</v>
      </c>
      <c r="C6666" s="488">
        <v>28000</v>
      </c>
      <c r="D6666" s="597">
        <v>46363</v>
      </c>
      <c r="E6666" s="489" t="s">
        <v>600</v>
      </c>
      <c r="F6666" s="489" t="s">
        <v>1221</v>
      </c>
      <c r="G6666" s="395">
        <f>VLOOKUP($A6666,'Tech Litons'!$A:$I,8,FALSE)</f>
        <v>2.3999999999999998E-3</v>
      </c>
      <c r="H6666" s="174">
        <f>VLOOKUP($A6666,'Tech Litons'!$A:$I,9,FALSE)</f>
        <v>165</v>
      </c>
      <c r="I6666" s="174" t="str">
        <f>VLOOKUP($A6666,'Tech Litons'!$A:$C,3,0)</f>
        <v>BJ Bars</v>
      </c>
      <c r="J6666" s="175" t="str">
        <f t="shared" si="745"/>
        <v>1716BJ Bars</v>
      </c>
      <c r="K6666" s="176">
        <f>VLOOKUP(I6666,'Attain %'!A:B,2,0)</f>
        <v>0.96</v>
      </c>
      <c r="L6666" s="177">
        <f t="shared" si="746"/>
        <v>26880</v>
      </c>
      <c r="M6666" s="177">
        <f t="shared" si="747"/>
        <v>64.512</v>
      </c>
      <c r="N6666" s="177">
        <f t="shared" si="748"/>
        <v>162.90909090909091</v>
      </c>
      <c r="O6666" s="175" t="str">
        <f t="shared" si="749"/>
        <v>Dec</v>
      </c>
      <c r="P6666" s="265">
        <f t="shared" si="750"/>
        <v>50</v>
      </c>
    </row>
    <row r="6667" spans="1:16" ht="15" hidden="1" customHeight="1">
      <c r="A6667" s="489">
        <v>65540451</v>
      </c>
      <c r="B6667" s="489">
        <v>1716</v>
      </c>
      <c r="C6667" s="488">
        <v>28000</v>
      </c>
      <c r="D6667" s="597">
        <v>46132</v>
      </c>
      <c r="E6667" s="489" t="s">
        <v>1222</v>
      </c>
      <c r="F6667" s="489" t="s">
        <v>1221</v>
      </c>
      <c r="G6667" s="395">
        <f>VLOOKUP($A6667,'Tech Litons'!$A:$I,8,FALSE)</f>
        <v>1.9199999999999998E-2</v>
      </c>
      <c r="H6667" s="174">
        <f>VLOOKUP($A6667,'Tech Litons'!$A:$I,9,FALSE)</f>
        <v>165</v>
      </c>
      <c r="I6667" s="174" t="str">
        <f>VLOOKUP($A6667,'Tech Litons'!$A:$C,3,0)</f>
        <v>BJ Bars</v>
      </c>
      <c r="J6667" s="175" t="str">
        <f t="shared" si="745"/>
        <v>1716BJ Bars</v>
      </c>
      <c r="K6667" s="176">
        <f>VLOOKUP(I6667,'Attain %'!A:B,2,0)</f>
        <v>0.96</v>
      </c>
      <c r="L6667" s="177">
        <f t="shared" si="746"/>
        <v>26880</v>
      </c>
      <c r="M6667" s="177">
        <f t="shared" si="747"/>
        <v>516.096</v>
      </c>
      <c r="N6667" s="177">
        <f t="shared" si="748"/>
        <v>162.90909090909091</v>
      </c>
      <c r="O6667" s="175" t="str">
        <f t="shared" si="749"/>
        <v>Apr</v>
      </c>
      <c r="P6667" s="265">
        <f t="shared" si="750"/>
        <v>17</v>
      </c>
    </row>
    <row r="6668" spans="1:16" ht="15" hidden="1" customHeight="1">
      <c r="A6668" s="489">
        <v>65540451</v>
      </c>
      <c r="B6668" s="489">
        <v>1716</v>
      </c>
      <c r="C6668" s="488">
        <v>28000</v>
      </c>
      <c r="D6668" s="597">
        <v>46153</v>
      </c>
      <c r="E6668" s="489" t="s">
        <v>1222</v>
      </c>
      <c r="F6668" s="489" t="s">
        <v>1221</v>
      </c>
      <c r="G6668" s="395">
        <f>VLOOKUP($A6668,'Tech Litons'!$A:$I,8,FALSE)</f>
        <v>1.9199999999999998E-2</v>
      </c>
      <c r="H6668" s="174">
        <f>VLOOKUP($A6668,'Tech Litons'!$A:$I,9,FALSE)</f>
        <v>165</v>
      </c>
      <c r="I6668" s="174" t="str">
        <f>VLOOKUP($A6668,'Tech Litons'!$A:$C,3,0)</f>
        <v>BJ Bars</v>
      </c>
      <c r="J6668" s="175" t="str">
        <f t="shared" si="745"/>
        <v>1716BJ Bars</v>
      </c>
      <c r="K6668" s="176">
        <f>VLOOKUP(I6668,'Attain %'!A:B,2,0)</f>
        <v>0.96</v>
      </c>
      <c r="L6668" s="177">
        <f t="shared" si="746"/>
        <v>26880</v>
      </c>
      <c r="M6668" s="177">
        <f t="shared" si="747"/>
        <v>516.096</v>
      </c>
      <c r="N6668" s="177">
        <f t="shared" si="748"/>
        <v>162.90909090909091</v>
      </c>
      <c r="O6668" s="175" t="str">
        <f t="shared" si="749"/>
        <v>May</v>
      </c>
      <c r="P6668" s="265">
        <f t="shared" si="750"/>
        <v>20</v>
      </c>
    </row>
    <row r="6669" spans="1:16" ht="15" hidden="1" customHeight="1">
      <c r="A6669" s="489">
        <v>65540451</v>
      </c>
      <c r="B6669" s="489">
        <v>1716</v>
      </c>
      <c r="C6669" s="488">
        <v>28000</v>
      </c>
      <c r="D6669" s="597">
        <v>46202</v>
      </c>
      <c r="E6669" s="489" t="s">
        <v>1222</v>
      </c>
      <c r="F6669" s="489" t="s">
        <v>1221</v>
      </c>
      <c r="G6669" s="395">
        <f>VLOOKUP($A6669,'Tech Litons'!$A:$I,8,FALSE)</f>
        <v>1.9199999999999998E-2</v>
      </c>
      <c r="H6669" s="174">
        <f>VLOOKUP($A6669,'Tech Litons'!$A:$I,9,FALSE)</f>
        <v>165</v>
      </c>
      <c r="I6669" s="174" t="str">
        <f>VLOOKUP($A6669,'Tech Litons'!$A:$C,3,0)</f>
        <v>BJ Bars</v>
      </c>
      <c r="J6669" s="175" t="str">
        <f t="shared" si="745"/>
        <v>1716BJ Bars</v>
      </c>
      <c r="K6669" s="176">
        <f>VLOOKUP(I6669,'Attain %'!A:B,2,0)</f>
        <v>0.96</v>
      </c>
      <c r="L6669" s="177">
        <f t="shared" si="746"/>
        <v>26880</v>
      </c>
      <c r="M6669" s="177">
        <f t="shared" si="747"/>
        <v>516.096</v>
      </c>
      <c r="N6669" s="177">
        <f t="shared" si="748"/>
        <v>162.90909090909091</v>
      </c>
      <c r="O6669" s="175" t="str">
        <f t="shared" si="749"/>
        <v>Jun</v>
      </c>
      <c r="P6669" s="265">
        <f t="shared" si="750"/>
        <v>27</v>
      </c>
    </row>
    <row r="6670" spans="1:16" ht="15" hidden="1" customHeight="1">
      <c r="A6670" s="489">
        <v>65540451</v>
      </c>
      <c r="B6670" s="489">
        <v>1716</v>
      </c>
      <c r="C6670" s="488">
        <v>28000</v>
      </c>
      <c r="D6670" s="597">
        <v>46279</v>
      </c>
      <c r="E6670" s="489" t="s">
        <v>1222</v>
      </c>
      <c r="F6670" s="489" t="s">
        <v>1221</v>
      </c>
      <c r="G6670" s="395">
        <f>VLOOKUP($A6670,'Tech Litons'!$A:$I,8,FALSE)</f>
        <v>1.9199999999999998E-2</v>
      </c>
      <c r="H6670" s="174">
        <f>VLOOKUP($A6670,'Tech Litons'!$A:$I,9,FALSE)</f>
        <v>165</v>
      </c>
      <c r="I6670" s="174" t="str">
        <f>VLOOKUP($A6670,'Tech Litons'!$A:$C,3,0)</f>
        <v>BJ Bars</v>
      </c>
      <c r="J6670" s="175" t="str">
        <f t="shared" si="745"/>
        <v>1716BJ Bars</v>
      </c>
      <c r="K6670" s="176">
        <f>VLOOKUP(I6670,'Attain %'!A:B,2,0)</f>
        <v>0.96</v>
      </c>
      <c r="L6670" s="177">
        <f t="shared" si="746"/>
        <v>26880</v>
      </c>
      <c r="M6670" s="177">
        <f t="shared" si="747"/>
        <v>516.096</v>
      </c>
      <c r="N6670" s="177">
        <f t="shared" si="748"/>
        <v>162.90909090909091</v>
      </c>
      <c r="O6670" s="175" t="str">
        <f t="shared" si="749"/>
        <v>Sep</v>
      </c>
      <c r="P6670" s="265">
        <f t="shared" si="750"/>
        <v>38</v>
      </c>
    </row>
    <row r="6671" spans="1:16" ht="15" hidden="1" customHeight="1">
      <c r="A6671" s="489">
        <v>64776958</v>
      </c>
      <c r="B6671" s="489" t="s">
        <v>133</v>
      </c>
      <c r="D6671" s="597">
        <v>46104</v>
      </c>
      <c r="E6671" s="489" t="s">
        <v>292</v>
      </c>
      <c r="F6671" s="489" t="s">
        <v>1223</v>
      </c>
      <c r="G6671" s="395">
        <f>VLOOKUP($A6671,'Tech Litons'!$A:$I,8,FALSE)</f>
        <v>5.2680000000000001E-3</v>
      </c>
      <c r="H6671" s="174">
        <f>VLOOKUP($A6671,'Tech Litons'!$A:$I,9,FALSE)</f>
        <v>130</v>
      </c>
      <c r="I6671" s="174" t="str">
        <f>VLOOKUP($A6671,'Tech Litons'!$A:$C,3,0)</f>
        <v>PG</v>
      </c>
      <c r="J6671" s="175" t="str">
        <f t="shared" si="745"/>
        <v>GDIPG</v>
      </c>
      <c r="K6671" s="176">
        <f>VLOOKUP(I6671,'Attain %'!A:B,2,0)</f>
        <v>0.96</v>
      </c>
      <c r="L6671" s="177">
        <f t="shared" si="746"/>
        <v>0</v>
      </c>
      <c r="M6671" s="177">
        <f t="shared" si="747"/>
        <v>0</v>
      </c>
      <c r="N6671" s="177">
        <f t="shared" si="748"/>
        <v>0</v>
      </c>
      <c r="O6671" s="175" t="str">
        <f t="shared" si="749"/>
        <v>Mar</v>
      </c>
      <c r="P6671" s="265">
        <f t="shared" si="750"/>
        <v>13</v>
      </c>
    </row>
    <row r="6672" spans="1:16" ht="15" hidden="1" customHeight="1">
      <c r="A6672" s="489">
        <v>64973976</v>
      </c>
      <c r="B6672" s="489">
        <v>1712</v>
      </c>
      <c r="C6672" s="488">
        <v>28665</v>
      </c>
      <c r="D6672" s="597">
        <v>46167</v>
      </c>
      <c r="E6672" s="489" t="s">
        <v>1190</v>
      </c>
      <c r="F6672" s="489" t="s">
        <v>1221</v>
      </c>
      <c r="G6672" s="395">
        <f>VLOOKUP($A6672,'Tech Litons'!$A:$I,8,FALSE)</f>
        <v>1.0644000000000001E-3</v>
      </c>
      <c r="H6672" s="174">
        <f>VLOOKUP($A6672,'Tech Litons'!$A:$I,9,FALSE)</f>
        <v>190</v>
      </c>
      <c r="I6672" s="174" t="str">
        <f>VLOOKUP($A6672,'Tech Litons'!$A:$C,3,0)</f>
        <v>BR Minicups</v>
      </c>
      <c r="J6672" s="175" t="str">
        <f t="shared" si="745"/>
        <v>1712BR Minicups</v>
      </c>
      <c r="K6672" s="176">
        <f>VLOOKUP(I6672,'Attain %'!A:B,2,0)</f>
        <v>0.96</v>
      </c>
      <c r="L6672" s="177">
        <f t="shared" si="746"/>
        <v>27518.399999999998</v>
      </c>
      <c r="M6672" s="177">
        <f t="shared" si="747"/>
        <v>29.29058496</v>
      </c>
      <c r="N6672" s="177">
        <f t="shared" si="748"/>
        <v>144.83368421052631</v>
      </c>
      <c r="O6672" s="175" t="str">
        <f t="shared" si="749"/>
        <v>May</v>
      </c>
      <c r="P6672" s="265">
        <f t="shared" si="750"/>
        <v>22</v>
      </c>
    </row>
    <row r="6673" spans="1:16" ht="15" hidden="1" customHeight="1">
      <c r="A6673" s="489">
        <v>64973976</v>
      </c>
      <c r="B6673" s="489">
        <v>1712</v>
      </c>
      <c r="C6673" s="488">
        <v>28800</v>
      </c>
      <c r="D6673" s="597">
        <v>46223</v>
      </c>
      <c r="E6673" s="489" t="s">
        <v>1190</v>
      </c>
      <c r="F6673" s="489" t="s">
        <v>1221</v>
      </c>
      <c r="G6673" s="395">
        <f>VLOOKUP($A6673,'Tech Litons'!$A:$I,8,FALSE)</f>
        <v>1.0644000000000001E-3</v>
      </c>
      <c r="H6673" s="174">
        <f>VLOOKUP($A6673,'Tech Litons'!$A:$I,9,FALSE)</f>
        <v>190</v>
      </c>
      <c r="I6673" s="174" t="str">
        <f>VLOOKUP($A6673,'Tech Litons'!$A:$C,3,0)</f>
        <v>BR Minicups</v>
      </c>
      <c r="J6673" s="175" t="str">
        <f t="shared" si="745"/>
        <v>1712BR Minicups</v>
      </c>
      <c r="K6673" s="176">
        <f>VLOOKUP(I6673,'Attain %'!A:B,2,0)</f>
        <v>0.96</v>
      </c>
      <c r="L6673" s="177">
        <f t="shared" si="746"/>
        <v>27648</v>
      </c>
      <c r="M6673" s="177">
        <f t="shared" si="747"/>
        <v>29.428531200000002</v>
      </c>
      <c r="N6673" s="177">
        <f t="shared" si="748"/>
        <v>145.51578947368421</v>
      </c>
      <c r="O6673" s="175" t="str">
        <f t="shared" si="749"/>
        <v>Jul</v>
      </c>
      <c r="P6673" s="265">
        <f t="shared" si="750"/>
        <v>30</v>
      </c>
    </row>
    <row r="6674" spans="1:16" ht="15" hidden="1" customHeight="1">
      <c r="A6674" s="489">
        <v>64973976</v>
      </c>
      <c r="B6674" s="489">
        <v>1712</v>
      </c>
      <c r="C6674" s="488">
        <v>28800</v>
      </c>
      <c r="D6674" s="597">
        <v>46230</v>
      </c>
      <c r="E6674" s="489" t="s">
        <v>1190</v>
      </c>
      <c r="F6674" s="489" t="s">
        <v>1221</v>
      </c>
      <c r="G6674" s="395">
        <f>VLOOKUP($A6674,'Tech Litons'!$A:$I,8,FALSE)</f>
        <v>1.0644000000000001E-3</v>
      </c>
      <c r="H6674" s="174">
        <f>VLOOKUP($A6674,'Tech Litons'!$A:$I,9,FALSE)</f>
        <v>190</v>
      </c>
      <c r="I6674" s="174" t="str">
        <f>VLOOKUP($A6674,'Tech Litons'!$A:$C,3,0)</f>
        <v>BR Minicups</v>
      </c>
      <c r="J6674" s="175" t="str">
        <f t="shared" si="745"/>
        <v>1712BR Minicups</v>
      </c>
      <c r="K6674" s="176">
        <f>VLOOKUP(I6674,'Attain %'!A:B,2,0)</f>
        <v>0.96</v>
      </c>
      <c r="L6674" s="177">
        <f t="shared" si="746"/>
        <v>27648</v>
      </c>
      <c r="M6674" s="177">
        <f t="shared" si="747"/>
        <v>29.428531200000002</v>
      </c>
      <c r="N6674" s="177">
        <f t="shared" si="748"/>
        <v>145.51578947368421</v>
      </c>
      <c r="O6674" s="175" t="str">
        <f t="shared" si="749"/>
        <v>Jul</v>
      </c>
      <c r="P6674" s="265">
        <f t="shared" si="750"/>
        <v>31</v>
      </c>
    </row>
    <row r="6675" spans="1:16" ht="15" hidden="1" customHeight="1">
      <c r="A6675" s="489">
        <v>64973976</v>
      </c>
      <c r="B6675" s="489">
        <v>1712</v>
      </c>
      <c r="C6675" s="488">
        <v>28800</v>
      </c>
      <c r="D6675" s="597">
        <v>46237</v>
      </c>
      <c r="E6675" s="489" t="s">
        <v>1190</v>
      </c>
      <c r="F6675" s="489" t="s">
        <v>1221</v>
      </c>
      <c r="G6675" s="395">
        <f>VLOOKUP($A6675,'Tech Litons'!$A:$I,8,FALSE)</f>
        <v>1.0644000000000001E-3</v>
      </c>
      <c r="H6675" s="174">
        <f>VLOOKUP($A6675,'Tech Litons'!$A:$I,9,FALSE)</f>
        <v>190</v>
      </c>
      <c r="I6675" s="174" t="str">
        <f>VLOOKUP($A6675,'Tech Litons'!$A:$C,3,0)</f>
        <v>BR Minicups</v>
      </c>
      <c r="J6675" s="175" t="str">
        <f t="shared" si="745"/>
        <v>1712BR Minicups</v>
      </c>
      <c r="K6675" s="176">
        <f>VLOOKUP(I6675,'Attain %'!A:B,2,0)</f>
        <v>0.96</v>
      </c>
      <c r="L6675" s="177">
        <f t="shared" si="746"/>
        <v>27648</v>
      </c>
      <c r="M6675" s="177">
        <f t="shared" si="747"/>
        <v>29.428531200000002</v>
      </c>
      <c r="N6675" s="177">
        <f t="shared" si="748"/>
        <v>145.51578947368421</v>
      </c>
      <c r="O6675" s="175" t="str">
        <f t="shared" si="749"/>
        <v>Aug</v>
      </c>
      <c r="P6675" s="265">
        <f t="shared" si="750"/>
        <v>32</v>
      </c>
    </row>
    <row r="6676" spans="1:16" ht="15" hidden="1" customHeight="1">
      <c r="A6676" s="489">
        <v>64341108</v>
      </c>
      <c r="B6676" s="489" t="s">
        <v>139</v>
      </c>
      <c r="C6676" s="488">
        <v>28800</v>
      </c>
      <c r="D6676" s="597">
        <v>46202</v>
      </c>
      <c r="E6676" s="489" t="s">
        <v>615</v>
      </c>
      <c r="F6676" s="489" t="s">
        <v>1223</v>
      </c>
      <c r="G6676" s="395">
        <f>VLOOKUP($A6676,'Tech Litons'!$A:$I,8,FALSE)</f>
        <v>2.3599999999999997E-3</v>
      </c>
      <c r="H6676" s="174">
        <f>VLOOKUP($A6676,'Tech Litons'!$A:$I,9,FALSE)</f>
        <v>210</v>
      </c>
      <c r="I6676" s="174" t="str">
        <f>VLOOKUP($A6676,'Tech Litons'!$A:$C,3,0)</f>
        <v>Facepieces</v>
      </c>
      <c r="J6676" s="175" t="str">
        <f t="shared" si="745"/>
        <v>IncomFacepieces</v>
      </c>
      <c r="K6676" s="176">
        <f>VLOOKUP(I6676,'Attain %'!A:B,2,0)</f>
        <v>0.96</v>
      </c>
      <c r="L6676" s="177">
        <f t="shared" si="746"/>
        <v>27648</v>
      </c>
      <c r="M6676" s="177">
        <f t="shared" si="747"/>
        <v>65.249279999999985</v>
      </c>
      <c r="N6676" s="177">
        <f t="shared" si="748"/>
        <v>131.65714285714284</v>
      </c>
      <c r="O6676" s="175" t="str">
        <f t="shared" si="749"/>
        <v>Jun</v>
      </c>
      <c r="P6676" s="265">
        <f t="shared" si="750"/>
        <v>27</v>
      </c>
    </row>
    <row r="6677" spans="1:16" ht="15" hidden="1" customHeight="1">
      <c r="A6677" s="489">
        <v>65549173</v>
      </c>
      <c r="B6677" s="489" t="s">
        <v>139</v>
      </c>
      <c r="D6677" s="597">
        <v>46111</v>
      </c>
      <c r="E6677" s="489" t="s">
        <v>1189</v>
      </c>
      <c r="F6677" s="489" t="s">
        <v>1223</v>
      </c>
      <c r="G6677" s="395">
        <f>VLOOKUP($A6677,'Tech Litons'!$A:$I,8,FALSE)</f>
        <v>1.1999999999999999E-3</v>
      </c>
      <c r="H6677" s="174">
        <f>VLOOKUP($A6677,'Tech Litons'!$A:$I,9,FALSE)</f>
        <v>210</v>
      </c>
      <c r="I6677" s="174" t="str">
        <f>VLOOKUP($A6677,'Tech Litons'!$A:$C,3,0)</f>
        <v>Facepieces</v>
      </c>
      <c r="J6677" s="175" t="str">
        <f t="shared" si="745"/>
        <v>IncomFacepieces</v>
      </c>
      <c r="K6677" s="176">
        <f>VLOOKUP(I6677,'Attain %'!A:B,2,0)</f>
        <v>0.96</v>
      </c>
      <c r="L6677" s="177">
        <f t="shared" si="746"/>
        <v>0</v>
      </c>
      <c r="M6677" s="177">
        <f t="shared" si="747"/>
        <v>0</v>
      </c>
      <c r="N6677" s="177">
        <f t="shared" si="748"/>
        <v>0</v>
      </c>
      <c r="O6677" s="175" t="str">
        <f t="shared" si="749"/>
        <v>Mar</v>
      </c>
      <c r="P6677" s="265">
        <f t="shared" si="750"/>
        <v>14</v>
      </c>
    </row>
    <row r="6678" spans="1:16" ht="15" hidden="1" customHeight="1">
      <c r="A6678" s="489">
        <v>64979101</v>
      </c>
      <c r="B6678" s="489">
        <v>1712</v>
      </c>
      <c r="C6678" s="488">
        <v>29400</v>
      </c>
      <c r="D6678" s="597">
        <v>46167</v>
      </c>
      <c r="E6678" s="489" t="s">
        <v>576</v>
      </c>
      <c r="F6678" s="489" t="s">
        <v>1221</v>
      </c>
      <c r="G6678" s="395">
        <f>VLOOKUP($A6678,'Tech Litons'!$A:$I,8,FALSE)</f>
        <v>1.9199999999999998E-3</v>
      </c>
      <c r="H6678" s="174">
        <f>VLOOKUP($A6678,'Tech Litons'!$A:$I,9,FALSE)</f>
        <v>360</v>
      </c>
      <c r="I6678" s="174" t="str">
        <f>VLOOKUP($A6678,'Tech Litons'!$A:$C,3,0)</f>
        <v>Other</v>
      </c>
      <c r="J6678" s="175" t="str">
        <f t="shared" si="745"/>
        <v>1712Other</v>
      </c>
      <c r="K6678" s="176">
        <f>VLOOKUP(I6678,'Attain %'!A:B,2,0)</f>
        <v>0.96</v>
      </c>
      <c r="L6678" s="177">
        <f t="shared" si="746"/>
        <v>28224</v>
      </c>
      <c r="M6678" s="177">
        <f t="shared" si="747"/>
        <v>54.190079999999995</v>
      </c>
      <c r="N6678" s="177">
        <f t="shared" si="748"/>
        <v>78.400000000000006</v>
      </c>
      <c r="O6678" s="175" t="str">
        <f t="shared" si="749"/>
        <v>May</v>
      </c>
      <c r="P6678" s="265">
        <f t="shared" si="750"/>
        <v>22</v>
      </c>
    </row>
    <row r="6679" spans="1:16" ht="15" hidden="1" customHeight="1">
      <c r="A6679" s="489">
        <v>64341108</v>
      </c>
      <c r="B6679" s="489" t="s">
        <v>139</v>
      </c>
      <c r="C6679" s="488">
        <v>29400</v>
      </c>
      <c r="D6679" s="597">
        <v>46139</v>
      </c>
      <c r="E6679" s="489" t="s">
        <v>615</v>
      </c>
      <c r="F6679" s="489" t="s">
        <v>1223</v>
      </c>
      <c r="G6679" s="395">
        <f>VLOOKUP($A6679,'Tech Litons'!$A:$I,8,FALSE)</f>
        <v>2.3599999999999997E-3</v>
      </c>
      <c r="H6679" s="174">
        <f>VLOOKUP($A6679,'Tech Litons'!$A:$I,9,FALSE)</f>
        <v>210</v>
      </c>
      <c r="I6679" s="174" t="str">
        <f>VLOOKUP($A6679,'Tech Litons'!$A:$C,3,0)</f>
        <v>Facepieces</v>
      </c>
      <c r="J6679" s="175" t="str">
        <f t="shared" si="745"/>
        <v>IncomFacepieces</v>
      </c>
      <c r="K6679" s="176">
        <f>VLOOKUP(I6679,'Attain %'!A:B,2,0)</f>
        <v>0.96</v>
      </c>
      <c r="L6679" s="177">
        <f t="shared" si="746"/>
        <v>28224</v>
      </c>
      <c r="M6679" s="177">
        <f t="shared" si="747"/>
        <v>66.608639999999994</v>
      </c>
      <c r="N6679" s="177">
        <f t="shared" si="748"/>
        <v>134.4</v>
      </c>
      <c r="O6679" s="175" t="str">
        <f t="shared" si="749"/>
        <v>Apr</v>
      </c>
      <c r="P6679" s="265">
        <f t="shared" si="750"/>
        <v>18</v>
      </c>
    </row>
    <row r="6680" spans="1:16" ht="15" hidden="1" customHeight="1">
      <c r="A6680" s="489">
        <v>64958128</v>
      </c>
      <c r="B6680" s="489">
        <v>1717</v>
      </c>
      <c r="D6680" s="597">
        <v>46104</v>
      </c>
      <c r="E6680" s="489" t="s">
        <v>235</v>
      </c>
      <c r="F6680" s="489" t="s">
        <v>1221</v>
      </c>
      <c r="G6680" s="395">
        <f>VLOOKUP($A6680,'Tech Litons'!$A:$I,8,FALSE)</f>
        <v>3.3119999999999998E-3</v>
      </c>
      <c r="H6680" s="174">
        <f>VLOOKUP($A6680,'Tech Litons'!$A:$I,9,FALSE)</f>
        <v>165</v>
      </c>
      <c r="I6680" s="174" t="str">
        <f>VLOOKUP($A6680,'Tech Litons'!$A:$C,3,0)</f>
        <v>Yasso Sticks</v>
      </c>
      <c r="J6680" s="175" t="str">
        <f t="shared" si="745"/>
        <v>1717Yasso Sticks</v>
      </c>
      <c r="K6680" s="176">
        <f>VLOOKUP(I6680,'Attain %'!A:B,2,0)</f>
        <v>0.96</v>
      </c>
      <c r="L6680" s="177">
        <f t="shared" si="746"/>
        <v>0</v>
      </c>
      <c r="M6680" s="177">
        <f t="shared" si="747"/>
        <v>0</v>
      </c>
      <c r="N6680" s="177">
        <f t="shared" si="748"/>
        <v>0</v>
      </c>
      <c r="O6680" s="175" t="str">
        <f t="shared" si="749"/>
        <v>Mar</v>
      </c>
      <c r="P6680" s="265">
        <f t="shared" si="750"/>
        <v>13</v>
      </c>
    </row>
    <row r="6681" spans="1:16" ht="15" hidden="1" customHeight="1">
      <c r="A6681" s="489">
        <v>68709233</v>
      </c>
      <c r="B6681" s="489">
        <v>1352</v>
      </c>
      <c r="C6681" s="488">
        <v>29652</v>
      </c>
      <c r="D6681" s="597">
        <v>46104</v>
      </c>
      <c r="E6681" s="489" t="s">
        <v>426</v>
      </c>
      <c r="F6681" s="489" t="s">
        <v>1212</v>
      </c>
      <c r="G6681" s="395">
        <f>VLOOKUP($A6681,'Tech Litons'!$A:$I,8,FALSE)</f>
        <v>8.4960000000000001E-3</v>
      </c>
      <c r="H6681" s="174">
        <f>VLOOKUP($A6681,'Tech Litons'!$A:$I,9,FALSE)</f>
        <v>132</v>
      </c>
      <c r="I6681" s="174" t="str">
        <f>VLOOKUP($A6681,'Tech Litons'!$A:$C,3,0)</f>
        <v>EDF</v>
      </c>
      <c r="J6681" s="175" t="str">
        <f t="shared" si="745"/>
        <v>1352EDF</v>
      </c>
      <c r="K6681" s="176">
        <f>VLOOKUP(I6681,'Attain %'!A:B,2,0)</f>
        <v>0.96</v>
      </c>
      <c r="L6681" s="177">
        <f t="shared" si="746"/>
        <v>28465.919999999998</v>
      </c>
      <c r="M6681" s="177">
        <f t="shared" si="747"/>
        <v>241.84645631999999</v>
      </c>
      <c r="N6681" s="177">
        <f t="shared" si="748"/>
        <v>215.65090909090907</v>
      </c>
      <c r="O6681" s="175" t="str">
        <f t="shared" si="749"/>
        <v>Mar</v>
      </c>
      <c r="P6681" s="265">
        <f t="shared" si="750"/>
        <v>13</v>
      </c>
    </row>
    <row r="6682" spans="1:16" ht="15" hidden="1" customHeight="1">
      <c r="A6682" s="489">
        <v>65489677</v>
      </c>
      <c r="B6682" s="489">
        <v>1717</v>
      </c>
      <c r="C6682" s="488">
        <v>30000</v>
      </c>
      <c r="D6682" s="597">
        <v>46251</v>
      </c>
      <c r="E6682" s="489" t="s">
        <v>1188</v>
      </c>
      <c r="F6682" s="489" t="s">
        <v>1221</v>
      </c>
      <c r="G6682" s="395">
        <f>VLOOKUP($A6682,'Tech Litons'!$A:$I,8,FALSE)</f>
        <v>2.8319999999999999E-3</v>
      </c>
      <c r="H6682" s="174">
        <f>VLOOKUP($A6682,'Tech Litons'!$A:$I,9,FALSE)</f>
        <v>221</v>
      </c>
      <c r="I6682" s="174" t="str">
        <f>VLOOKUP($A6682,'Tech Litons'!$A:$C,3,0)</f>
        <v>Other</v>
      </c>
      <c r="J6682" s="175" t="str">
        <f t="shared" si="745"/>
        <v>1717Other</v>
      </c>
      <c r="K6682" s="176">
        <f>VLOOKUP(I6682,'Attain %'!A:B,2,0)</f>
        <v>0.96</v>
      </c>
      <c r="L6682" s="177">
        <f t="shared" si="746"/>
        <v>28800</v>
      </c>
      <c r="M6682" s="177">
        <f t="shared" si="747"/>
        <v>81.561599999999999</v>
      </c>
      <c r="N6682" s="177">
        <f t="shared" si="748"/>
        <v>130.31674208144796</v>
      </c>
      <c r="O6682" s="175" t="str">
        <f t="shared" si="749"/>
        <v>Aug</v>
      </c>
      <c r="P6682" s="265">
        <f t="shared" si="750"/>
        <v>34</v>
      </c>
    </row>
    <row r="6683" spans="1:16" ht="15" hidden="1" customHeight="1">
      <c r="A6683" s="489">
        <v>65489677</v>
      </c>
      <c r="B6683" s="489">
        <v>1717</v>
      </c>
      <c r="C6683" s="488">
        <v>30000</v>
      </c>
      <c r="D6683" s="597">
        <v>46279</v>
      </c>
      <c r="E6683" s="489" t="s">
        <v>1188</v>
      </c>
      <c r="F6683" s="489" t="s">
        <v>1221</v>
      </c>
      <c r="G6683" s="395">
        <f>VLOOKUP($A6683,'Tech Litons'!$A:$I,8,FALSE)</f>
        <v>2.8319999999999999E-3</v>
      </c>
      <c r="H6683" s="174">
        <f>VLOOKUP($A6683,'Tech Litons'!$A:$I,9,FALSE)</f>
        <v>221</v>
      </c>
      <c r="I6683" s="174" t="str">
        <f>VLOOKUP($A6683,'Tech Litons'!$A:$C,3,0)</f>
        <v>Other</v>
      </c>
      <c r="J6683" s="175" t="str">
        <f t="shared" si="745"/>
        <v>1717Other</v>
      </c>
      <c r="K6683" s="176">
        <f>VLOOKUP(I6683,'Attain %'!A:B,2,0)</f>
        <v>0.96</v>
      </c>
      <c r="L6683" s="177">
        <f t="shared" si="746"/>
        <v>28800</v>
      </c>
      <c r="M6683" s="177">
        <f t="shared" si="747"/>
        <v>81.561599999999999</v>
      </c>
      <c r="N6683" s="177">
        <f t="shared" si="748"/>
        <v>130.31674208144796</v>
      </c>
      <c r="O6683" s="175" t="str">
        <f t="shared" si="749"/>
        <v>Sep</v>
      </c>
      <c r="P6683" s="265">
        <f t="shared" si="750"/>
        <v>38</v>
      </c>
    </row>
    <row r="6684" spans="1:16" ht="15" hidden="1" customHeight="1">
      <c r="A6684" s="489">
        <v>64976849</v>
      </c>
      <c r="B6684" s="489">
        <v>2904</v>
      </c>
      <c r="C6684" s="488">
        <v>30000</v>
      </c>
      <c r="D6684" s="597">
        <v>46167</v>
      </c>
      <c r="E6684" s="489" t="s">
        <v>233</v>
      </c>
      <c r="F6684" s="489" t="s">
        <v>1233</v>
      </c>
      <c r="G6684" s="395">
        <f>VLOOKUP($A6684,'Tech Litons'!$A:$I,8,FALSE)</f>
        <v>2.5040000000000001E-3</v>
      </c>
      <c r="H6684" s="174">
        <f>VLOOKUP($A6684,'Tech Litons'!$A:$I,9,FALSE)</f>
        <v>165</v>
      </c>
      <c r="I6684" s="174" t="str">
        <f>VLOOKUP($A6684,'Tech Litons'!$A:$C,3,0)</f>
        <v>Yasso Sticks</v>
      </c>
      <c r="J6684" s="175" t="str">
        <f t="shared" si="745"/>
        <v>2904Yasso Sticks</v>
      </c>
      <c r="K6684" s="176">
        <f>VLOOKUP(I6684,'Attain %'!A:B,2,0)</f>
        <v>0.96</v>
      </c>
      <c r="L6684" s="177">
        <f t="shared" si="746"/>
        <v>28800</v>
      </c>
      <c r="M6684" s="177">
        <f t="shared" si="747"/>
        <v>72.115200000000002</v>
      </c>
      <c r="N6684" s="177">
        <f t="shared" si="748"/>
        <v>174.54545454545453</v>
      </c>
      <c r="O6684" s="175" t="str">
        <f t="shared" si="749"/>
        <v>May</v>
      </c>
      <c r="P6684" s="265">
        <f t="shared" si="750"/>
        <v>22</v>
      </c>
    </row>
    <row r="6685" spans="1:16" ht="15" hidden="1" customHeight="1">
      <c r="A6685" s="489">
        <v>68860662</v>
      </c>
      <c r="B6685" s="489">
        <v>2904</v>
      </c>
      <c r="C6685" s="488">
        <v>30000</v>
      </c>
      <c r="D6685" s="597">
        <v>46104</v>
      </c>
      <c r="E6685" s="489" t="s">
        <v>411</v>
      </c>
      <c r="F6685" s="489" t="s">
        <v>1235</v>
      </c>
      <c r="G6685" s="395">
        <f>VLOOKUP($A6685,'Tech Litons'!$A:$I,8,FALSE)</f>
        <v>3.7839999999999996E-3</v>
      </c>
      <c r="H6685" s="174">
        <f>VLOOKUP($A6685,'Tech Litons'!$A:$I,9,FALSE)</f>
        <v>255</v>
      </c>
      <c r="I6685" s="174" t="str">
        <f>VLOOKUP($A6685,'Tech Litons'!$A:$C,3,0)</f>
        <v>Talenti</v>
      </c>
      <c r="J6685" s="175" t="str">
        <f t="shared" si="745"/>
        <v>2904Talenti</v>
      </c>
      <c r="K6685" s="176">
        <f>VLOOKUP(I6685,'Attain %'!A:B,2,0)</f>
        <v>0.96</v>
      </c>
      <c r="L6685" s="177">
        <f t="shared" si="746"/>
        <v>28800</v>
      </c>
      <c r="M6685" s="177">
        <f t="shared" si="747"/>
        <v>108.97919999999999</v>
      </c>
      <c r="N6685" s="177">
        <f t="shared" si="748"/>
        <v>112.94117647058823</v>
      </c>
      <c r="O6685" s="175" t="str">
        <f t="shared" si="749"/>
        <v>Mar</v>
      </c>
      <c r="P6685" s="265">
        <f t="shared" si="750"/>
        <v>13</v>
      </c>
    </row>
    <row r="6686" spans="1:16" ht="15" hidden="1" customHeight="1">
      <c r="A6686" s="489">
        <v>68862392</v>
      </c>
      <c r="B6686" s="489">
        <v>2904</v>
      </c>
      <c r="C6686" s="488">
        <v>30000</v>
      </c>
      <c r="D6686" s="597">
        <v>46104</v>
      </c>
      <c r="E6686" s="489" t="s">
        <v>305</v>
      </c>
      <c r="F6686" s="489" t="s">
        <v>1235</v>
      </c>
      <c r="G6686" s="395">
        <f>VLOOKUP($A6686,'Tech Litons'!$A:$I,8,FALSE)</f>
        <v>3.7839999999999996E-3</v>
      </c>
      <c r="H6686" s="174">
        <f>VLOOKUP($A6686,'Tech Litons'!$A:$I,9,FALSE)</f>
        <v>255</v>
      </c>
      <c r="I6686" s="174" t="str">
        <f>VLOOKUP($A6686,'Tech Litons'!$A:$C,3,0)</f>
        <v>TALENTI</v>
      </c>
      <c r="J6686" s="175" t="str">
        <f t="shared" si="745"/>
        <v>2904TALENTI</v>
      </c>
      <c r="K6686" s="176">
        <f>VLOOKUP(I6686,'Attain %'!A:B,2,0)</f>
        <v>0.96</v>
      </c>
      <c r="L6686" s="177">
        <f t="shared" si="746"/>
        <v>28800</v>
      </c>
      <c r="M6686" s="177">
        <f t="shared" si="747"/>
        <v>108.97919999999999</v>
      </c>
      <c r="N6686" s="177">
        <f t="shared" si="748"/>
        <v>112.94117647058823</v>
      </c>
      <c r="O6686" s="175" t="str">
        <f t="shared" si="749"/>
        <v>Mar</v>
      </c>
      <c r="P6686" s="265">
        <f t="shared" si="750"/>
        <v>13</v>
      </c>
    </row>
    <row r="6687" spans="1:16" ht="15" hidden="1" customHeight="1">
      <c r="A6687" s="489">
        <v>84135781</v>
      </c>
      <c r="B6687" s="489">
        <v>2904</v>
      </c>
      <c r="C6687" s="488">
        <v>30000</v>
      </c>
      <c r="D6687" s="597">
        <v>46125</v>
      </c>
      <c r="E6687" s="489" t="s">
        <v>302</v>
      </c>
      <c r="F6687" s="489" t="s">
        <v>1227</v>
      </c>
      <c r="G6687" s="395">
        <f>VLOOKUP($A6687,'Tech Litons'!$A:$I,8,FALSE)</f>
        <v>3.7853439999999999E-3</v>
      </c>
      <c r="H6687" s="174">
        <f>VLOOKUP($A6687,'Tech Litons'!$A:$I,9,FALSE)</f>
        <v>240</v>
      </c>
      <c r="I6687" s="174" t="str">
        <f>VLOOKUP($A6687,'Tech Litons'!$A:$C,3,0)</f>
        <v>BJ PTS</v>
      </c>
      <c r="J6687" s="175" t="str">
        <f t="shared" si="745"/>
        <v>2904BJ PTS</v>
      </c>
      <c r="K6687" s="176">
        <f>VLOOKUP(I6687,'Attain %'!A:B,2,0)</f>
        <v>0.95</v>
      </c>
      <c r="L6687" s="177">
        <f t="shared" si="746"/>
        <v>28500</v>
      </c>
      <c r="M6687" s="177">
        <f t="shared" si="747"/>
        <v>107.882304</v>
      </c>
      <c r="N6687" s="177">
        <f t="shared" si="748"/>
        <v>118.75</v>
      </c>
      <c r="O6687" s="175" t="str">
        <f t="shared" si="749"/>
        <v>Apr</v>
      </c>
      <c r="P6687" s="265">
        <f t="shared" si="750"/>
        <v>16</v>
      </c>
    </row>
    <row r="6688" spans="1:16" ht="15" hidden="1" customHeight="1">
      <c r="A6688" s="489">
        <v>65472837</v>
      </c>
      <c r="B6688" s="489">
        <v>3985</v>
      </c>
      <c r="C6688" s="488">
        <v>30000</v>
      </c>
      <c r="D6688" s="597">
        <v>46146</v>
      </c>
      <c r="E6688" s="489" t="s">
        <v>1191</v>
      </c>
      <c r="F6688" s="489" t="s">
        <v>1221</v>
      </c>
      <c r="G6688" s="395">
        <f>VLOOKUP($A6688,'Tech Litons'!$A:$I,8,FALSE)</f>
        <v>1.0400000000000001E-3</v>
      </c>
      <c r="H6688" s="174">
        <f>VLOOKUP($A6688,'Tech Litons'!$A:$I,9,FALSE)</f>
        <v>275</v>
      </c>
      <c r="I6688" s="174" t="str">
        <f>VLOOKUP($A6688,'Tech Litons'!$A:$C,3,0)</f>
        <v>Other</v>
      </c>
      <c r="J6688" s="175" t="str">
        <f t="shared" si="745"/>
        <v>3985Other</v>
      </c>
      <c r="K6688" s="176">
        <f>VLOOKUP(I6688,'Attain %'!A:B,2,0)</f>
        <v>0.96</v>
      </c>
      <c r="L6688" s="177">
        <f t="shared" si="746"/>
        <v>28800</v>
      </c>
      <c r="M6688" s="177">
        <f t="shared" si="747"/>
        <v>29.952000000000005</v>
      </c>
      <c r="N6688" s="177">
        <f t="shared" si="748"/>
        <v>104.72727272727273</v>
      </c>
      <c r="O6688" s="175" t="str">
        <f t="shared" si="749"/>
        <v>May</v>
      </c>
      <c r="P6688" s="265">
        <f t="shared" si="750"/>
        <v>19</v>
      </c>
    </row>
    <row r="6689" spans="1:16" ht="15" hidden="1" customHeight="1">
      <c r="A6689" s="489">
        <v>65472837</v>
      </c>
      <c r="B6689" s="489">
        <v>3985</v>
      </c>
      <c r="C6689" s="488">
        <v>30000</v>
      </c>
      <c r="D6689" s="597">
        <v>46153</v>
      </c>
      <c r="E6689" s="489" t="s">
        <v>1191</v>
      </c>
      <c r="F6689" s="489" t="s">
        <v>1221</v>
      </c>
      <c r="G6689" s="395">
        <f>VLOOKUP($A6689,'Tech Litons'!$A:$I,8,FALSE)</f>
        <v>1.0400000000000001E-3</v>
      </c>
      <c r="H6689" s="174">
        <f>VLOOKUP($A6689,'Tech Litons'!$A:$I,9,FALSE)</f>
        <v>275</v>
      </c>
      <c r="I6689" s="174" t="str">
        <f>VLOOKUP($A6689,'Tech Litons'!$A:$C,3,0)</f>
        <v>Other</v>
      </c>
      <c r="J6689" s="175" t="str">
        <f t="shared" si="745"/>
        <v>3985Other</v>
      </c>
      <c r="K6689" s="176">
        <f>VLOOKUP(I6689,'Attain %'!A:B,2,0)</f>
        <v>0.96</v>
      </c>
      <c r="L6689" s="177">
        <f t="shared" si="746"/>
        <v>28800</v>
      </c>
      <c r="M6689" s="177">
        <f t="shared" si="747"/>
        <v>29.952000000000005</v>
      </c>
      <c r="N6689" s="177">
        <f t="shared" si="748"/>
        <v>104.72727272727273</v>
      </c>
      <c r="O6689" s="175" t="str">
        <f t="shared" si="749"/>
        <v>May</v>
      </c>
      <c r="P6689" s="265">
        <f t="shared" si="750"/>
        <v>20</v>
      </c>
    </row>
    <row r="6690" spans="1:16" ht="15" hidden="1" customHeight="1">
      <c r="A6690" s="489">
        <v>65472837</v>
      </c>
      <c r="B6690" s="489">
        <v>3985</v>
      </c>
      <c r="C6690" s="488">
        <v>30000</v>
      </c>
      <c r="D6690" s="597">
        <v>46160</v>
      </c>
      <c r="E6690" s="489" t="s">
        <v>1191</v>
      </c>
      <c r="F6690" s="489" t="s">
        <v>1221</v>
      </c>
      <c r="G6690" s="395">
        <f>VLOOKUP($A6690,'Tech Litons'!$A:$I,8,FALSE)</f>
        <v>1.0400000000000001E-3</v>
      </c>
      <c r="H6690" s="174">
        <f>VLOOKUP($A6690,'Tech Litons'!$A:$I,9,FALSE)</f>
        <v>275</v>
      </c>
      <c r="I6690" s="174" t="str">
        <f>VLOOKUP($A6690,'Tech Litons'!$A:$C,3,0)</f>
        <v>Other</v>
      </c>
      <c r="J6690" s="175" t="str">
        <f t="shared" si="745"/>
        <v>3985Other</v>
      </c>
      <c r="K6690" s="176">
        <f>VLOOKUP(I6690,'Attain %'!A:B,2,0)</f>
        <v>0.96</v>
      </c>
      <c r="L6690" s="177">
        <f t="shared" si="746"/>
        <v>28800</v>
      </c>
      <c r="M6690" s="177">
        <f t="shared" si="747"/>
        <v>29.952000000000005</v>
      </c>
      <c r="N6690" s="177">
        <f t="shared" si="748"/>
        <v>104.72727272727273</v>
      </c>
      <c r="O6690" s="175" t="str">
        <f t="shared" si="749"/>
        <v>May</v>
      </c>
      <c r="P6690" s="265">
        <f t="shared" si="750"/>
        <v>21</v>
      </c>
    </row>
    <row r="6691" spans="1:16" ht="15" hidden="1" customHeight="1">
      <c r="A6691" s="489">
        <v>65472837</v>
      </c>
      <c r="B6691" s="489">
        <v>3985</v>
      </c>
      <c r="C6691" s="488">
        <v>30000</v>
      </c>
      <c r="D6691" s="597">
        <v>46167</v>
      </c>
      <c r="E6691" s="489" t="s">
        <v>1191</v>
      </c>
      <c r="F6691" s="489" t="s">
        <v>1221</v>
      </c>
      <c r="G6691" s="395">
        <f>VLOOKUP($A6691,'Tech Litons'!$A:$I,8,FALSE)</f>
        <v>1.0400000000000001E-3</v>
      </c>
      <c r="H6691" s="174">
        <f>VLOOKUP($A6691,'Tech Litons'!$A:$I,9,FALSE)</f>
        <v>275</v>
      </c>
      <c r="I6691" s="174" t="str">
        <f>VLOOKUP($A6691,'Tech Litons'!$A:$C,3,0)</f>
        <v>Other</v>
      </c>
      <c r="J6691" s="175" t="str">
        <f t="shared" si="745"/>
        <v>3985Other</v>
      </c>
      <c r="K6691" s="176">
        <f>VLOOKUP(I6691,'Attain %'!A:B,2,0)</f>
        <v>0.96</v>
      </c>
      <c r="L6691" s="177">
        <f t="shared" si="746"/>
        <v>28800</v>
      </c>
      <c r="M6691" s="177">
        <f t="shared" si="747"/>
        <v>29.952000000000005</v>
      </c>
      <c r="N6691" s="177">
        <f t="shared" si="748"/>
        <v>104.72727272727273</v>
      </c>
      <c r="O6691" s="175" t="str">
        <f t="shared" si="749"/>
        <v>May</v>
      </c>
      <c r="P6691" s="265">
        <f t="shared" si="750"/>
        <v>22</v>
      </c>
    </row>
    <row r="6692" spans="1:16" ht="15" hidden="1" customHeight="1">
      <c r="A6692" s="489">
        <v>65472837</v>
      </c>
      <c r="B6692" s="489">
        <v>3985</v>
      </c>
      <c r="C6692" s="488">
        <v>30000</v>
      </c>
      <c r="D6692" s="597">
        <v>46174</v>
      </c>
      <c r="E6692" s="489" t="s">
        <v>1191</v>
      </c>
      <c r="F6692" s="489" t="s">
        <v>1221</v>
      </c>
      <c r="G6692" s="395">
        <f>VLOOKUP($A6692,'Tech Litons'!$A:$I,8,FALSE)</f>
        <v>1.0400000000000001E-3</v>
      </c>
      <c r="H6692" s="174">
        <f>VLOOKUP($A6692,'Tech Litons'!$A:$I,9,FALSE)</f>
        <v>275</v>
      </c>
      <c r="I6692" s="174" t="str">
        <f>VLOOKUP($A6692,'Tech Litons'!$A:$C,3,0)</f>
        <v>Other</v>
      </c>
      <c r="J6692" s="175" t="str">
        <f t="shared" si="745"/>
        <v>3985Other</v>
      </c>
      <c r="K6692" s="176">
        <f>VLOOKUP(I6692,'Attain %'!A:B,2,0)</f>
        <v>0.96</v>
      </c>
      <c r="L6692" s="177">
        <f t="shared" si="746"/>
        <v>28800</v>
      </c>
      <c r="M6692" s="177">
        <f t="shared" si="747"/>
        <v>29.952000000000005</v>
      </c>
      <c r="N6692" s="177">
        <f t="shared" si="748"/>
        <v>104.72727272727273</v>
      </c>
      <c r="O6692" s="175" t="str">
        <f t="shared" si="749"/>
        <v>Jun</v>
      </c>
      <c r="P6692" s="265">
        <f t="shared" si="750"/>
        <v>23</v>
      </c>
    </row>
    <row r="6693" spans="1:16" ht="15" hidden="1" customHeight="1">
      <c r="A6693" s="489">
        <v>65472837</v>
      </c>
      <c r="B6693" s="489">
        <v>3985</v>
      </c>
      <c r="C6693" s="488">
        <v>30000</v>
      </c>
      <c r="D6693" s="597">
        <v>46181</v>
      </c>
      <c r="E6693" s="489" t="s">
        <v>1191</v>
      </c>
      <c r="F6693" s="489" t="s">
        <v>1221</v>
      </c>
      <c r="G6693" s="395">
        <f>VLOOKUP($A6693,'Tech Litons'!$A:$I,8,FALSE)</f>
        <v>1.0400000000000001E-3</v>
      </c>
      <c r="H6693" s="174">
        <f>VLOOKUP($A6693,'Tech Litons'!$A:$I,9,FALSE)</f>
        <v>275</v>
      </c>
      <c r="I6693" s="174" t="str">
        <f>VLOOKUP($A6693,'Tech Litons'!$A:$C,3,0)</f>
        <v>Other</v>
      </c>
      <c r="J6693" s="175" t="str">
        <f t="shared" si="745"/>
        <v>3985Other</v>
      </c>
      <c r="K6693" s="176">
        <f>VLOOKUP(I6693,'Attain %'!A:B,2,0)</f>
        <v>0.96</v>
      </c>
      <c r="L6693" s="177">
        <f t="shared" si="746"/>
        <v>28800</v>
      </c>
      <c r="M6693" s="177">
        <f t="shared" si="747"/>
        <v>29.952000000000005</v>
      </c>
      <c r="N6693" s="177">
        <f t="shared" si="748"/>
        <v>104.72727272727273</v>
      </c>
      <c r="O6693" s="175" t="str">
        <f t="shared" si="749"/>
        <v>Jun</v>
      </c>
      <c r="P6693" s="265">
        <f t="shared" si="750"/>
        <v>24</v>
      </c>
    </row>
    <row r="6694" spans="1:16" ht="15" hidden="1" customHeight="1">
      <c r="A6694" s="489">
        <v>65472837</v>
      </c>
      <c r="B6694" s="489">
        <v>3985</v>
      </c>
      <c r="C6694" s="488">
        <v>30000</v>
      </c>
      <c r="D6694" s="597">
        <v>46188</v>
      </c>
      <c r="E6694" s="489" t="s">
        <v>1191</v>
      </c>
      <c r="F6694" s="489" t="s">
        <v>1221</v>
      </c>
      <c r="G6694" s="395">
        <f>VLOOKUP($A6694,'Tech Litons'!$A:$I,8,FALSE)</f>
        <v>1.0400000000000001E-3</v>
      </c>
      <c r="H6694" s="174">
        <f>VLOOKUP($A6694,'Tech Litons'!$A:$I,9,FALSE)</f>
        <v>275</v>
      </c>
      <c r="I6694" s="174" t="str">
        <f>VLOOKUP($A6694,'Tech Litons'!$A:$C,3,0)</f>
        <v>Other</v>
      </c>
      <c r="J6694" s="175" t="str">
        <f t="shared" si="745"/>
        <v>3985Other</v>
      </c>
      <c r="K6694" s="176">
        <f>VLOOKUP(I6694,'Attain %'!A:B,2,0)</f>
        <v>0.96</v>
      </c>
      <c r="L6694" s="177">
        <f t="shared" si="746"/>
        <v>28800</v>
      </c>
      <c r="M6694" s="177">
        <f t="shared" si="747"/>
        <v>29.952000000000005</v>
      </c>
      <c r="N6694" s="177">
        <f t="shared" si="748"/>
        <v>104.72727272727273</v>
      </c>
      <c r="O6694" s="175" t="str">
        <f t="shared" si="749"/>
        <v>Jun</v>
      </c>
      <c r="P6694" s="265">
        <f t="shared" si="750"/>
        <v>25</v>
      </c>
    </row>
    <row r="6695" spans="1:16" ht="15" hidden="1" customHeight="1">
      <c r="A6695" s="489">
        <v>84141102</v>
      </c>
      <c r="B6695" s="489">
        <v>5911</v>
      </c>
      <c r="C6695" s="488">
        <v>30000</v>
      </c>
      <c r="D6695" s="597">
        <v>46111</v>
      </c>
      <c r="E6695" s="489" t="s">
        <v>374</v>
      </c>
      <c r="F6695" s="489" t="s">
        <v>1242</v>
      </c>
      <c r="G6695" s="395">
        <f>VLOOKUP($A6695,'Tech Litons'!$A:$I,8,FALSE)</f>
        <v>3.7853439999999999E-3</v>
      </c>
      <c r="H6695" s="174">
        <f>VLOOKUP($A6695,'Tech Litons'!$A:$I,9,FALSE)</f>
        <v>240</v>
      </c>
      <c r="I6695" s="174" t="str">
        <f>VLOOKUP($A6695,'Tech Litons'!$A:$C,3,0)</f>
        <v>BJ PTS</v>
      </c>
      <c r="J6695" s="175" t="str">
        <f t="shared" si="745"/>
        <v>5911BJ PTS</v>
      </c>
      <c r="K6695" s="176">
        <f>VLOOKUP(I6695,'Attain %'!A:B,2,0)</f>
        <v>0.95</v>
      </c>
      <c r="L6695" s="177">
        <f t="shared" si="746"/>
        <v>28500</v>
      </c>
      <c r="M6695" s="177">
        <f t="shared" si="747"/>
        <v>107.882304</v>
      </c>
      <c r="N6695" s="177">
        <f t="shared" si="748"/>
        <v>118.75</v>
      </c>
      <c r="O6695" s="175" t="str">
        <f t="shared" si="749"/>
        <v>Mar</v>
      </c>
      <c r="P6695" s="265">
        <f t="shared" si="750"/>
        <v>14</v>
      </c>
    </row>
    <row r="6696" spans="1:16" ht="15" hidden="1" customHeight="1">
      <c r="A6696" s="489">
        <v>69645145</v>
      </c>
      <c r="B6696" s="489">
        <v>6706</v>
      </c>
      <c r="C6696" s="488">
        <v>30000</v>
      </c>
      <c r="D6696" s="597">
        <v>46132</v>
      </c>
      <c r="E6696" s="489" t="s">
        <v>602</v>
      </c>
      <c r="F6696" s="489" t="s">
        <v>1221</v>
      </c>
      <c r="G6696" s="395">
        <f>VLOOKUP($A6696,'Tech Litons'!$A:$I,8,FALSE)</f>
        <v>2.8319999999999999E-3</v>
      </c>
      <c r="H6696" s="174">
        <f>VLOOKUP($A6696,'Tech Litons'!$A:$I,9,FALSE)</f>
        <v>240</v>
      </c>
      <c r="I6696" s="174" t="str">
        <f>VLOOKUP($A6696,'Tech Litons'!$A:$C,3,0)</f>
        <v>Other</v>
      </c>
      <c r="J6696" s="175" t="str">
        <f t="shared" si="745"/>
        <v>6706Other</v>
      </c>
      <c r="K6696" s="176">
        <f>VLOOKUP(I6696,'Attain %'!A:B,2,0)</f>
        <v>0.96</v>
      </c>
      <c r="L6696" s="177">
        <f t="shared" si="746"/>
        <v>28800</v>
      </c>
      <c r="M6696" s="177">
        <f t="shared" si="747"/>
        <v>81.561599999999999</v>
      </c>
      <c r="N6696" s="177">
        <f t="shared" si="748"/>
        <v>120</v>
      </c>
      <c r="O6696" s="175" t="str">
        <f t="shared" si="749"/>
        <v>Apr</v>
      </c>
      <c r="P6696" s="265">
        <f t="shared" si="750"/>
        <v>17</v>
      </c>
    </row>
    <row r="6697" spans="1:16" ht="15" hidden="1" customHeight="1">
      <c r="A6697" s="489">
        <v>64875812</v>
      </c>
      <c r="B6697" s="489">
        <v>1712</v>
      </c>
      <c r="C6697" s="488">
        <v>30080</v>
      </c>
      <c r="D6697" s="597">
        <v>46139</v>
      </c>
      <c r="E6697" s="489" t="s">
        <v>347</v>
      </c>
      <c r="F6697" s="489" t="s">
        <v>1221</v>
      </c>
      <c r="G6697" s="395">
        <f>VLOOKUP($A6697,'Tech Litons'!$A:$I,8,FALSE)</f>
        <v>6.0000000000000001E-3</v>
      </c>
      <c r="H6697" s="174">
        <f>VLOOKUP($A6697,'Tech Litons'!$A:$I,9,FALSE)</f>
        <v>108</v>
      </c>
      <c r="I6697" s="174" t="str">
        <f>VLOOKUP($A6697,'Tech Litons'!$A:$C,3,0)</f>
        <v>ESS</v>
      </c>
      <c r="J6697" s="175" t="str">
        <f t="shared" si="745"/>
        <v>1712ESS</v>
      </c>
      <c r="K6697" s="176">
        <f>VLOOKUP(I6697,'Attain %'!A:B,2,0)</f>
        <v>0.96</v>
      </c>
      <c r="L6697" s="177">
        <f t="shared" si="746"/>
        <v>28876.799999999999</v>
      </c>
      <c r="M6697" s="177">
        <f t="shared" si="747"/>
        <v>173.26079999999999</v>
      </c>
      <c r="N6697" s="177">
        <f t="shared" si="748"/>
        <v>267.37777777777779</v>
      </c>
      <c r="O6697" s="175" t="str">
        <f t="shared" si="749"/>
        <v>Apr</v>
      </c>
      <c r="P6697" s="265">
        <f t="shared" si="750"/>
        <v>18</v>
      </c>
    </row>
    <row r="6698" spans="1:16" ht="15" hidden="1" customHeight="1">
      <c r="A6698" s="489">
        <v>68850683</v>
      </c>
      <c r="B6698" s="489">
        <v>1352</v>
      </c>
      <c r="C6698" s="488">
        <v>30368</v>
      </c>
      <c r="D6698" s="597">
        <v>46104</v>
      </c>
      <c r="E6698" s="489" t="s">
        <v>311</v>
      </c>
      <c r="F6698" s="489" t="s">
        <v>1209</v>
      </c>
      <c r="G6698" s="395">
        <f>VLOOKUP($A6698,'Tech Litons'!$A:$I,8,FALSE)</f>
        <v>8.5199999999999998E-3</v>
      </c>
      <c r="H6698" s="174">
        <f>VLOOKUP($A6698,'Tech Litons'!$A:$I,9,FALSE)</f>
        <v>176</v>
      </c>
      <c r="I6698" s="174" t="str">
        <f>VLOOKUP($A6698,'Tech Litons'!$A:$C,3,0)</f>
        <v>48oz</v>
      </c>
      <c r="J6698" s="175" t="str">
        <f t="shared" si="745"/>
        <v>135248oz</v>
      </c>
      <c r="K6698" s="176">
        <f>VLOOKUP(I6698,'Attain %'!A:B,2,0)</f>
        <v>0.94</v>
      </c>
      <c r="L6698" s="177">
        <f t="shared" si="746"/>
        <v>28545.919999999998</v>
      </c>
      <c r="M6698" s="177">
        <f t="shared" si="747"/>
        <v>243.21123839999998</v>
      </c>
      <c r="N6698" s="177">
        <f t="shared" si="748"/>
        <v>162.19272727272727</v>
      </c>
      <c r="O6698" s="175" t="str">
        <f t="shared" si="749"/>
        <v>Mar</v>
      </c>
      <c r="P6698" s="265">
        <f t="shared" si="750"/>
        <v>13</v>
      </c>
    </row>
    <row r="6699" spans="1:16" ht="15" hidden="1" customHeight="1">
      <c r="A6699" s="489">
        <v>65489677</v>
      </c>
      <c r="B6699" s="489">
        <v>1717</v>
      </c>
      <c r="C6699" s="488">
        <v>30558</v>
      </c>
      <c r="D6699" s="597">
        <v>46174</v>
      </c>
      <c r="E6699" s="489" t="s">
        <v>1188</v>
      </c>
      <c r="F6699" s="489" t="s">
        <v>1221</v>
      </c>
      <c r="G6699" s="395">
        <f>VLOOKUP($A6699,'Tech Litons'!$A:$I,8,FALSE)</f>
        <v>2.8319999999999999E-3</v>
      </c>
      <c r="H6699" s="174">
        <f>VLOOKUP($A6699,'Tech Litons'!$A:$I,9,FALSE)</f>
        <v>221</v>
      </c>
      <c r="I6699" s="174" t="str">
        <f>VLOOKUP($A6699,'Tech Litons'!$A:$C,3,0)</f>
        <v>Other</v>
      </c>
      <c r="J6699" s="175" t="str">
        <f t="shared" si="745"/>
        <v>1717Other</v>
      </c>
      <c r="K6699" s="176">
        <f>VLOOKUP(I6699,'Attain %'!A:B,2,0)</f>
        <v>0.96</v>
      </c>
      <c r="L6699" s="177">
        <f t="shared" si="746"/>
        <v>29335.68</v>
      </c>
      <c r="M6699" s="177">
        <f t="shared" si="747"/>
        <v>83.078645760000001</v>
      </c>
      <c r="N6699" s="177">
        <f t="shared" si="748"/>
        <v>132.74063348416288</v>
      </c>
      <c r="O6699" s="175" t="str">
        <f t="shared" si="749"/>
        <v>Jun</v>
      </c>
      <c r="P6699" s="265">
        <f t="shared" si="750"/>
        <v>23</v>
      </c>
    </row>
    <row r="6700" spans="1:16" ht="15" hidden="1" customHeight="1">
      <c r="A6700" s="489">
        <v>64315722</v>
      </c>
      <c r="B6700" s="489">
        <v>2904</v>
      </c>
      <c r="C6700" s="488">
        <v>31000</v>
      </c>
      <c r="D6700" s="597">
        <v>46118</v>
      </c>
      <c r="E6700" s="489" t="s">
        <v>478</v>
      </c>
      <c r="F6700" s="489" t="s">
        <v>1236</v>
      </c>
      <c r="G6700" s="395">
        <f>VLOOKUP($A6700,'Tech Litons'!$A:$I,8,FALSE)</f>
        <v>8.5199999999999998E-3</v>
      </c>
      <c r="H6700" s="174">
        <f>VLOOKUP($A6700,'Tech Litons'!$A:$I,9,FALSE)</f>
        <v>176</v>
      </c>
      <c r="I6700" s="174" t="str">
        <f>VLOOKUP($A6700,'Tech Litons'!$A:$C,3,0)</f>
        <v>48oz</v>
      </c>
      <c r="J6700" s="175" t="str">
        <f t="shared" si="745"/>
        <v>290448oz</v>
      </c>
      <c r="K6700" s="176">
        <f>VLOOKUP(I6700,'Attain %'!A:B,2,0)</f>
        <v>0.94</v>
      </c>
      <c r="L6700" s="177">
        <f t="shared" si="746"/>
        <v>29140</v>
      </c>
      <c r="M6700" s="177">
        <f t="shared" si="747"/>
        <v>248.27279999999999</v>
      </c>
      <c r="N6700" s="177">
        <f t="shared" si="748"/>
        <v>165.56818181818181</v>
      </c>
      <c r="O6700" s="175" t="str">
        <f t="shared" si="749"/>
        <v>Apr</v>
      </c>
      <c r="P6700" s="265">
        <f t="shared" si="750"/>
        <v>15</v>
      </c>
    </row>
    <row r="6701" spans="1:16" ht="15" hidden="1" customHeight="1">
      <c r="A6701" s="489">
        <v>64341962</v>
      </c>
      <c r="B6701" s="489">
        <v>2904</v>
      </c>
      <c r="C6701" s="488">
        <v>21000</v>
      </c>
      <c r="D6701" s="597">
        <v>46111</v>
      </c>
      <c r="E6701" s="489" t="s">
        <v>443</v>
      </c>
      <c r="F6701" s="489" t="s">
        <v>1225</v>
      </c>
      <c r="G6701" s="395">
        <f>VLOOKUP($A6701,'Tech Litons'!$A:$I,8,FALSE)</f>
        <v>8.513999999999999E-3</v>
      </c>
      <c r="H6701" s="174">
        <f>VLOOKUP($A6701,'Tech Litons'!$A:$I,9,FALSE)</f>
        <v>176</v>
      </c>
      <c r="I6701" s="174" t="str">
        <f>VLOOKUP($A6701,'Tech Litons'!$A:$C,3,0)</f>
        <v>48oz</v>
      </c>
      <c r="J6701" s="175" t="str">
        <f t="shared" si="745"/>
        <v>290448oz</v>
      </c>
      <c r="K6701" s="176">
        <f>VLOOKUP(I6701,'Attain %'!A:B,2,0)</f>
        <v>0.94</v>
      </c>
      <c r="L6701" s="177">
        <f t="shared" si="746"/>
        <v>19740</v>
      </c>
      <c r="M6701" s="177">
        <f t="shared" si="747"/>
        <v>168.06635999999997</v>
      </c>
      <c r="N6701" s="177">
        <f t="shared" si="748"/>
        <v>112.15909090909091</v>
      </c>
      <c r="O6701" s="175" t="str">
        <f t="shared" si="749"/>
        <v>Mar</v>
      </c>
      <c r="P6701" s="265">
        <f t="shared" si="750"/>
        <v>14</v>
      </c>
    </row>
    <row r="6702" spans="1:16" ht="15" hidden="1" customHeight="1">
      <c r="A6702" s="489">
        <v>64365613</v>
      </c>
      <c r="B6702" s="489" t="s">
        <v>139</v>
      </c>
      <c r="C6702" s="488">
        <v>31040</v>
      </c>
      <c r="D6702" s="597">
        <v>46293</v>
      </c>
      <c r="E6702" s="489" t="s">
        <v>617</v>
      </c>
      <c r="F6702" s="489" t="s">
        <v>1223</v>
      </c>
      <c r="G6702" s="395">
        <f>VLOOKUP($A6702,'Tech Litons'!$A:$I,8,FALSE)</f>
        <v>2.1540000000000001E-3</v>
      </c>
      <c r="H6702" s="174">
        <f>VLOOKUP($A6702,'Tech Litons'!$A:$I,9,FALSE)</f>
        <v>195</v>
      </c>
      <c r="I6702" s="174" t="str">
        <f>VLOOKUP($A6702,'Tech Litons'!$A:$C,3,0)</f>
        <v>Facepieces</v>
      </c>
      <c r="J6702" s="175" t="str">
        <f t="shared" si="745"/>
        <v>IncomFacepieces</v>
      </c>
      <c r="K6702" s="176">
        <f>VLOOKUP(I6702,'Attain %'!A:B,2,0)</f>
        <v>0.96</v>
      </c>
      <c r="L6702" s="177">
        <f t="shared" si="746"/>
        <v>29798.399999999998</v>
      </c>
      <c r="M6702" s="177">
        <f t="shared" si="747"/>
        <v>64.185753599999998</v>
      </c>
      <c r="N6702" s="177">
        <f t="shared" si="748"/>
        <v>152.81230769230768</v>
      </c>
      <c r="O6702" s="175" t="str">
        <f t="shared" si="749"/>
        <v>Sep</v>
      </c>
      <c r="P6702" s="265">
        <f t="shared" si="750"/>
        <v>40</v>
      </c>
    </row>
    <row r="6703" spans="1:16" ht="15" hidden="1" customHeight="1">
      <c r="A6703" s="489">
        <v>64771676</v>
      </c>
      <c r="B6703" s="489" t="s">
        <v>139</v>
      </c>
      <c r="C6703" s="488">
        <v>31040</v>
      </c>
      <c r="D6703" s="597">
        <v>46342</v>
      </c>
      <c r="E6703" s="489" t="s">
        <v>619</v>
      </c>
      <c r="F6703" s="489" t="s">
        <v>1223</v>
      </c>
      <c r="G6703" s="395">
        <f>VLOOKUP($A6703,'Tech Litons'!$A:$I,8,FALSE)</f>
        <v>2.16E-3</v>
      </c>
      <c r="H6703" s="174">
        <f>VLOOKUP($A6703,'Tech Litons'!$A:$I,9,FALSE)</f>
        <v>195</v>
      </c>
      <c r="I6703" s="174" t="str">
        <f>VLOOKUP($A6703,'Tech Litons'!$A:$C,3,0)</f>
        <v>Facepieces</v>
      </c>
      <c r="J6703" s="175" t="str">
        <f t="shared" si="745"/>
        <v>IncomFacepieces</v>
      </c>
      <c r="K6703" s="176">
        <f>VLOOKUP(I6703,'Attain %'!A:B,2,0)</f>
        <v>0.96</v>
      </c>
      <c r="L6703" s="177">
        <f t="shared" si="746"/>
        <v>29798.399999999998</v>
      </c>
      <c r="M6703" s="177">
        <f t="shared" si="747"/>
        <v>64.364543999999995</v>
      </c>
      <c r="N6703" s="177">
        <f t="shared" si="748"/>
        <v>152.81230769230768</v>
      </c>
      <c r="O6703" s="175" t="str">
        <f t="shared" si="749"/>
        <v>Nov</v>
      </c>
      <c r="P6703" s="265">
        <f t="shared" si="750"/>
        <v>47</v>
      </c>
    </row>
    <row r="6704" spans="1:16" ht="15" hidden="1" customHeight="1">
      <c r="A6704" s="489">
        <v>64771676</v>
      </c>
      <c r="B6704" s="489" t="s">
        <v>139</v>
      </c>
      <c r="C6704" s="488">
        <v>31040</v>
      </c>
      <c r="D6704" s="597">
        <v>46349</v>
      </c>
      <c r="E6704" s="489" t="s">
        <v>619</v>
      </c>
      <c r="F6704" s="489" t="s">
        <v>1223</v>
      </c>
      <c r="G6704" s="395">
        <f>VLOOKUP($A6704,'Tech Litons'!$A:$I,8,FALSE)</f>
        <v>2.16E-3</v>
      </c>
      <c r="H6704" s="174">
        <f>VLOOKUP($A6704,'Tech Litons'!$A:$I,9,FALSE)</f>
        <v>195</v>
      </c>
      <c r="I6704" s="174" t="str">
        <f>VLOOKUP($A6704,'Tech Litons'!$A:$C,3,0)</f>
        <v>Facepieces</v>
      </c>
      <c r="J6704" s="175" t="str">
        <f t="shared" si="745"/>
        <v>IncomFacepieces</v>
      </c>
      <c r="K6704" s="176">
        <f>VLOOKUP(I6704,'Attain %'!A:B,2,0)</f>
        <v>0.96</v>
      </c>
      <c r="L6704" s="177">
        <f t="shared" si="746"/>
        <v>29798.399999999998</v>
      </c>
      <c r="M6704" s="177">
        <f t="shared" si="747"/>
        <v>64.364543999999995</v>
      </c>
      <c r="N6704" s="177">
        <f t="shared" si="748"/>
        <v>152.81230769230768</v>
      </c>
      <c r="O6704" s="175" t="str">
        <f t="shared" si="749"/>
        <v>Nov</v>
      </c>
      <c r="P6704" s="265">
        <f t="shared" si="750"/>
        <v>48</v>
      </c>
    </row>
    <row r="6705" spans="1:16" ht="15" hidden="1" customHeight="1">
      <c r="A6705" s="489">
        <v>64979444</v>
      </c>
      <c r="B6705" s="489" t="s">
        <v>139</v>
      </c>
      <c r="C6705" s="488">
        <v>31124</v>
      </c>
      <c r="D6705" s="597">
        <v>46258</v>
      </c>
      <c r="E6705" s="489" t="s">
        <v>622</v>
      </c>
      <c r="F6705" s="489" t="s">
        <v>1223</v>
      </c>
      <c r="G6705" s="395">
        <f>VLOOKUP($A6705,'Tech Litons'!$A:$I,8,FALSE)</f>
        <v>2.16E-3</v>
      </c>
      <c r="H6705" s="174">
        <f>VLOOKUP($A6705,'Tech Litons'!$A:$I,9,FALSE)</f>
        <v>195</v>
      </c>
      <c r="I6705" s="174" t="str">
        <f>VLOOKUP($A6705,'Tech Litons'!$A:$C,3,0)</f>
        <v>Facepieces</v>
      </c>
      <c r="J6705" s="175" t="str">
        <f t="shared" si="745"/>
        <v>IncomFacepieces</v>
      </c>
      <c r="K6705" s="176">
        <f>VLOOKUP(I6705,'Attain %'!A:B,2,0)</f>
        <v>0.96</v>
      </c>
      <c r="L6705" s="177">
        <f t="shared" si="746"/>
        <v>29879.039999999997</v>
      </c>
      <c r="M6705" s="177">
        <f t="shared" si="747"/>
        <v>64.538726400000002</v>
      </c>
      <c r="N6705" s="177">
        <f t="shared" si="748"/>
        <v>153.22584615384613</v>
      </c>
      <c r="O6705" s="175" t="str">
        <f t="shared" si="749"/>
        <v>Aug</v>
      </c>
      <c r="P6705" s="265">
        <f t="shared" si="750"/>
        <v>35</v>
      </c>
    </row>
    <row r="6706" spans="1:16" ht="15" hidden="1" customHeight="1">
      <c r="A6706" s="489">
        <v>64789262</v>
      </c>
      <c r="B6706" s="489">
        <v>1352</v>
      </c>
      <c r="C6706" s="488">
        <v>31200</v>
      </c>
      <c r="D6706" s="597">
        <v>46111</v>
      </c>
      <c r="E6706" s="489" t="s">
        <v>424</v>
      </c>
      <c r="F6706" s="489" t="s">
        <v>1219</v>
      </c>
      <c r="G6706" s="395">
        <f>VLOOKUP($A6706,'Tech Litons'!$A:$I,8,FALSE)</f>
        <v>2.8319999999999999E-3</v>
      </c>
      <c r="H6706" s="174">
        <f>VLOOKUP($A6706,'Tech Litons'!$A:$I,9,FALSE)</f>
        <v>225</v>
      </c>
      <c r="I6706" s="174" t="str">
        <f>VLOOKUP($A6706,'Tech Litons'!$A:$C,3,0)</f>
        <v>MBG</v>
      </c>
      <c r="J6706" s="175" t="str">
        <f t="shared" si="745"/>
        <v>1352MBG</v>
      </c>
      <c r="K6706" s="176">
        <f>VLOOKUP(I6706,'Attain %'!A:B,2,0)</f>
        <v>0.96</v>
      </c>
      <c r="L6706" s="177">
        <f t="shared" si="746"/>
        <v>29952</v>
      </c>
      <c r="M6706" s="177">
        <f t="shared" si="747"/>
        <v>84.824063999999993</v>
      </c>
      <c r="N6706" s="177">
        <f t="shared" si="748"/>
        <v>133.12</v>
      </c>
      <c r="O6706" s="175" t="str">
        <f t="shared" si="749"/>
        <v>Mar</v>
      </c>
      <c r="P6706" s="265">
        <f t="shared" si="750"/>
        <v>14</v>
      </c>
    </row>
    <row r="6707" spans="1:16" ht="15" hidden="1" customHeight="1">
      <c r="A6707" s="489">
        <v>68741714</v>
      </c>
      <c r="B6707" s="489">
        <v>1352</v>
      </c>
      <c r="C6707" s="488">
        <v>31200</v>
      </c>
      <c r="D6707" s="597">
        <v>46118</v>
      </c>
      <c r="E6707" s="489" t="s">
        <v>286</v>
      </c>
      <c r="F6707" s="489" t="s">
        <v>1219</v>
      </c>
      <c r="G6707" s="395">
        <f>VLOOKUP($A6707,'Tech Litons'!$A:$I,8,FALSE)</f>
        <v>2.8319999999999999E-3</v>
      </c>
      <c r="H6707" s="174">
        <f>VLOOKUP($A6707,'Tech Litons'!$A:$I,9,FALSE)</f>
        <v>225</v>
      </c>
      <c r="I6707" s="174" t="str">
        <f>VLOOKUP($A6707,'Tech Litons'!$A:$C,3,0)</f>
        <v>MBG</v>
      </c>
      <c r="J6707" s="175" t="str">
        <f t="shared" si="745"/>
        <v>1352MBG</v>
      </c>
      <c r="K6707" s="176">
        <f>VLOOKUP(I6707,'Attain %'!A:B,2,0)</f>
        <v>0.96</v>
      </c>
      <c r="L6707" s="177">
        <f t="shared" si="746"/>
        <v>29952</v>
      </c>
      <c r="M6707" s="177">
        <f t="shared" si="747"/>
        <v>84.824063999999993</v>
      </c>
      <c r="N6707" s="177">
        <f t="shared" si="748"/>
        <v>133.12</v>
      </c>
      <c r="O6707" s="175" t="str">
        <f t="shared" si="749"/>
        <v>Apr</v>
      </c>
      <c r="P6707" s="265">
        <f t="shared" si="750"/>
        <v>15</v>
      </c>
    </row>
    <row r="6708" spans="1:16" ht="15" hidden="1" customHeight="1">
      <c r="A6708" s="489">
        <v>68741714</v>
      </c>
      <c r="B6708" s="489">
        <v>1352</v>
      </c>
      <c r="C6708" s="488">
        <v>31200</v>
      </c>
      <c r="D6708" s="597">
        <v>46125</v>
      </c>
      <c r="E6708" s="489" t="s">
        <v>286</v>
      </c>
      <c r="F6708" s="489" t="s">
        <v>1219</v>
      </c>
      <c r="G6708" s="395">
        <f>VLOOKUP($A6708,'Tech Litons'!$A:$I,8,FALSE)</f>
        <v>2.8319999999999999E-3</v>
      </c>
      <c r="H6708" s="174">
        <f>VLOOKUP($A6708,'Tech Litons'!$A:$I,9,FALSE)</f>
        <v>225</v>
      </c>
      <c r="I6708" s="174" t="str">
        <f>VLOOKUP($A6708,'Tech Litons'!$A:$C,3,0)</f>
        <v>MBG</v>
      </c>
      <c r="J6708" s="175" t="str">
        <f t="shared" si="745"/>
        <v>1352MBG</v>
      </c>
      <c r="K6708" s="176">
        <f>VLOOKUP(I6708,'Attain %'!A:B,2,0)</f>
        <v>0.96</v>
      </c>
      <c r="L6708" s="177">
        <f t="shared" si="746"/>
        <v>29952</v>
      </c>
      <c r="M6708" s="177">
        <f t="shared" si="747"/>
        <v>84.824063999999993</v>
      </c>
      <c r="N6708" s="177">
        <f t="shared" si="748"/>
        <v>133.12</v>
      </c>
      <c r="O6708" s="175" t="str">
        <f t="shared" si="749"/>
        <v>Apr</v>
      </c>
      <c r="P6708" s="265">
        <f t="shared" si="750"/>
        <v>16</v>
      </c>
    </row>
    <row r="6709" spans="1:16" ht="15" hidden="1" customHeight="1">
      <c r="A6709" s="489">
        <v>68741714</v>
      </c>
      <c r="B6709" s="489">
        <v>1352</v>
      </c>
      <c r="C6709" s="488">
        <v>31200</v>
      </c>
      <c r="D6709" s="597">
        <v>46139</v>
      </c>
      <c r="E6709" s="489" t="s">
        <v>286</v>
      </c>
      <c r="F6709" s="489" t="s">
        <v>1219</v>
      </c>
      <c r="G6709" s="395">
        <f>VLOOKUP($A6709,'Tech Litons'!$A:$I,8,FALSE)</f>
        <v>2.8319999999999999E-3</v>
      </c>
      <c r="H6709" s="174">
        <f>VLOOKUP($A6709,'Tech Litons'!$A:$I,9,FALSE)</f>
        <v>225</v>
      </c>
      <c r="I6709" s="174" t="str">
        <f>VLOOKUP($A6709,'Tech Litons'!$A:$C,3,0)</f>
        <v>MBG</v>
      </c>
      <c r="J6709" s="175" t="str">
        <f t="shared" si="745"/>
        <v>1352MBG</v>
      </c>
      <c r="K6709" s="176">
        <f>VLOOKUP(I6709,'Attain %'!A:B,2,0)</f>
        <v>0.96</v>
      </c>
      <c r="L6709" s="177">
        <f t="shared" si="746"/>
        <v>29952</v>
      </c>
      <c r="M6709" s="177">
        <f t="shared" si="747"/>
        <v>84.824063999999993</v>
      </c>
      <c r="N6709" s="177">
        <f t="shared" si="748"/>
        <v>133.12</v>
      </c>
      <c r="O6709" s="175" t="str">
        <f t="shared" si="749"/>
        <v>Apr</v>
      </c>
      <c r="P6709" s="265">
        <f t="shared" si="750"/>
        <v>18</v>
      </c>
    </row>
    <row r="6710" spans="1:16" ht="15" hidden="1" customHeight="1">
      <c r="A6710" s="489">
        <v>69700048</v>
      </c>
      <c r="B6710" s="489">
        <v>1352</v>
      </c>
      <c r="C6710" s="488">
        <v>31200</v>
      </c>
      <c r="D6710" s="597">
        <v>46132</v>
      </c>
      <c r="E6710" s="489" t="s">
        <v>328</v>
      </c>
      <c r="F6710" s="489" t="s">
        <v>1219</v>
      </c>
      <c r="G6710" s="395">
        <f>VLOOKUP($A6710,'Tech Litons'!$A:$I,8,FALSE)</f>
        <v>2.7360000000000002E-3</v>
      </c>
      <c r="H6710" s="174">
        <f>VLOOKUP($A6710,'Tech Litons'!$A:$I,9,FALSE)</f>
        <v>225</v>
      </c>
      <c r="I6710" s="174" t="str">
        <f>VLOOKUP($A6710,'Tech Litons'!$A:$C,3,0)</f>
        <v>MBG</v>
      </c>
      <c r="J6710" s="175" t="str">
        <f t="shared" si="745"/>
        <v>1352MBG</v>
      </c>
      <c r="K6710" s="176">
        <f>VLOOKUP(I6710,'Attain %'!A:B,2,0)</f>
        <v>0.96</v>
      </c>
      <c r="L6710" s="177">
        <f t="shared" si="746"/>
        <v>29952</v>
      </c>
      <c r="M6710" s="177">
        <f t="shared" si="747"/>
        <v>81.948672000000002</v>
      </c>
      <c r="N6710" s="177">
        <f t="shared" si="748"/>
        <v>133.12</v>
      </c>
      <c r="O6710" s="175" t="str">
        <f t="shared" si="749"/>
        <v>Apr</v>
      </c>
      <c r="P6710" s="265">
        <f t="shared" si="750"/>
        <v>17</v>
      </c>
    </row>
    <row r="6711" spans="1:16" ht="15" hidden="1" customHeight="1">
      <c r="A6711" s="489">
        <v>64369026</v>
      </c>
      <c r="B6711" s="489">
        <v>2904</v>
      </c>
      <c r="C6711" s="488">
        <v>31200</v>
      </c>
      <c r="D6711" s="597">
        <v>46146</v>
      </c>
      <c r="E6711" s="489" t="s">
        <v>513</v>
      </c>
      <c r="F6711" s="489" t="s">
        <v>1235</v>
      </c>
      <c r="G6711" s="395">
        <f>VLOOKUP($A6711,'Tech Litons'!$A:$I,8,FALSE)</f>
        <v>3.7839999999999996E-3</v>
      </c>
      <c r="H6711" s="174">
        <f>VLOOKUP($A6711,'Tech Litons'!$A:$I,9,FALSE)</f>
        <v>255</v>
      </c>
      <c r="I6711" s="174" t="str">
        <f>VLOOKUP($A6711,'Tech Litons'!$A:$C,3,0)</f>
        <v>Talenti</v>
      </c>
      <c r="J6711" s="175" t="str">
        <f t="shared" si="745"/>
        <v>2904Talenti</v>
      </c>
      <c r="K6711" s="176">
        <f>VLOOKUP(I6711,'Attain %'!A:B,2,0)</f>
        <v>0.96</v>
      </c>
      <c r="L6711" s="177">
        <f t="shared" si="746"/>
        <v>29952</v>
      </c>
      <c r="M6711" s="177">
        <f t="shared" si="747"/>
        <v>113.33836799999999</v>
      </c>
      <c r="N6711" s="177">
        <f t="shared" si="748"/>
        <v>117.45882352941176</v>
      </c>
      <c r="O6711" s="175" t="str">
        <f t="shared" si="749"/>
        <v>May</v>
      </c>
      <c r="P6711" s="265">
        <f t="shared" si="750"/>
        <v>19</v>
      </c>
    </row>
    <row r="6712" spans="1:16" ht="15" hidden="1" customHeight="1">
      <c r="A6712" s="489">
        <v>64369026</v>
      </c>
      <c r="B6712" s="489">
        <v>2904</v>
      </c>
      <c r="C6712" s="488">
        <v>31200</v>
      </c>
      <c r="D6712" s="597">
        <v>46153</v>
      </c>
      <c r="E6712" s="489" t="s">
        <v>513</v>
      </c>
      <c r="F6712" s="489" t="s">
        <v>1235</v>
      </c>
      <c r="G6712" s="395">
        <f>VLOOKUP($A6712,'Tech Litons'!$A:$I,8,FALSE)</f>
        <v>3.7839999999999996E-3</v>
      </c>
      <c r="H6712" s="174">
        <f>VLOOKUP($A6712,'Tech Litons'!$A:$I,9,FALSE)</f>
        <v>255</v>
      </c>
      <c r="I6712" s="174" t="str">
        <f>VLOOKUP($A6712,'Tech Litons'!$A:$C,3,0)</f>
        <v>Talenti</v>
      </c>
      <c r="J6712" s="175" t="str">
        <f t="shared" ref="J6712:J6775" si="751">B6712&amp;I6712</f>
        <v>2904Talenti</v>
      </c>
      <c r="K6712" s="176">
        <f>VLOOKUP(I6712,'Attain %'!A:B,2,0)</f>
        <v>0.96</v>
      </c>
      <c r="L6712" s="177">
        <f t="shared" ref="L6712:L6775" si="752">C6712*$K6712</f>
        <v>29952</v>
      </c>
      <c r="M6712" s="177">
        <f t="shared" ref="M6712:M6775" si="753">L6712*G6712</f>
        <v>113.33836799999999</v>
      </c>
      <c r="N6712" s="177">
        <f t="shared" ref="N6712:N6775" si="754">L6712/H6712</f>
        <v>117.45882352941176</v>
      </c>
      <c r="O6712" s="175" t="str">
        <f t="shared" ref="O6712:O6775" si="755">TEXT(D6712,"MMM")</f>
        <v>May</v>
      </c>
      <c r="P6712" s="265">
        <f t="shared" ref="P6712:P6775" si="756">WEEKNUM(D6712)</f>
        <v>20</v>
      </c>
    </row>
    <row r="6713" spans="1:16" ht="15" hidden="1" customHeight="1">
      <c r="A6713" s="489">
        <v>68860657</v>
      </c>
      <c r="B6713" s="489">
        <v>2904</v>
      </c>
      <c r="C6713" s="488">
        <v>31200</v>
      </c>
      <c r="D6713" s="597">
        <v>46132</v>
      </c>
      <c r="E6713" s="489" t="s">
        <v>423</v>
      </c>
      <c r="F6713" s="489" t="s">
        <v>1235</v>
      </c>
      <c r="G6713" s="395">
        <f>VLOOKUP($A6713,'Tech Litons'!$A:$I,8,FALSE)</f>
        <v>3.7839999999999996E-3</v>
      </c>
      <c r="H6713" s="174">
        <f>VLOOKUP($A6713,'Tech Litons'!$A:$I,9,FALSE)</f>
        <v>255</v>
      </c>
      <c r="I6713" s="174" t="str">
        <f>VLOOKUP($A6713,'Tech Litons'!$A:$C,3,0)</f>
        <v>TALENTI</v>
      </c>
      <c r="J6713" s="175" t="str">
        <f t="shared" si="751"/>
        <v>2904TALENTI</v>
      </c>
      <c r="K6713" s="176">
        <f>VLOOKUP(I6713,'Attain %'!A:B,2,0)</f>
        <v>0.96</v>
      </c>
      <c r="L6713" s="177">
        <f t="shared" si="752"/>
        <v>29952</v>
      </c>
      <c r="M6713" s="177">
        <f t="shared" si="753"/>
        <v>113.33836799999999</v>
      </c>
      <c r="N6713" s="177">
        <f t="shared" si="754"/>
        <v>117.45882352941176</v>
      </c>
      <c r="O6713" s="175" t="str">
        <f t="shared" si="755"/>
        <v>Apr</v>
      </c>
      <c r="P6713" s="265">
        <f t="shared" si="756"/>
        <v>17</v>
      </c>
    </row>
    <row r="6714" spans="1:16" ht="15" hidden="1" customHeight="1">
      <c r="A6714" s="489">
        <v>68860662</v>
      </c>
      <c r="B6714" s="489">
        <v>2904</v>
      </c>
      <c r="C6714" s="488">
        <v>31200</v>
      </c>
      <c r="D6714" s="597">
        <v>46118</v>
      </c>
      <c r="E6714" s="489" t="s">
        <v>411</v>
      </c>
      <c r="F6714" s="489" t="s">
        <v>1235</v>
      </c>
      <c r="G6714" s="395">
        <f>VLOOKUP($A6714,'Tech Litons'!$A:$I,8,FALSE)</f>
        <v>3.7839999999999996E-3</v>
      </c>
      <c r="H6714" s="174">
        <f>VLOOKUP($A6714,'Tech Litons'!$A:$I,9,FALSE)</f>
        <v>255</v>
      </c>
      <c r="I6714" s="174" t="str">
        <f>VLOOKUP($A6714,'Tech Litons'!$A:$C,3,0)</f>
        <v>Talenti</v>
      </c>
      <c r="J6714" s="175" t="str">
        <f t="shared" si="751"/>
        <v>2904Talenti</v>
      </c>
      <c r="K6714" s="176">
        <f>VLOOKUP(I6714,'Attain %'!A:B,2,0)</f>
        <v>0.96</v>
      </c>
      <c r="L6714" s="177">
        <f t="shared" si="752"/>
        <v>29952</v>
      </c>
      <c r="M6714" s="177">
        <f t="shared" si="753"/>
        <v>113.33836799999999</v>
      </c>
      <c r="N6714" s="177">
        <f t="shared" si="754"/>
        <v>117.45882352941176</v>
      </c>
      <c r="O6714" s="175" t="str">
        <f t="shared" si="755"/>
        <v>Apr</v>
      </c>
      <c r="P6714" s="265">
        <f t="shared" si="756"/>
        <v>15</v>
      </c>
    </row>
    <row r="6715" spans="1:16" ht="15" hidden="1" customHeight="1">
      <c r="A6715" s="489">
        <v>64341108</v>
      </c>
      <c r="B6715" s="489" t="s">
        <v>139</v>
      </c>
      <c r="C6715" s="488">
        <v>31200</v>
      </c>
      <c r="D6715" s="597">
        <v>46160</v>
      </c>
      <c r="E6715" s="489" t="s">
        <v>615</v>
      </c>
      <c r="F6715" s="489" t="s">
        <v>1223</v>
      </c>
      <c r="G6715" s="395">
        <f>VLOOKUP($A6715,'Tech Litons'!$A:$I,8,FALSE)</f>
        <v>2.3599999999999997E-3</v>
      </c>
      <c r="H6715" s="174">
        <f>VLOOKUP($A6715,'Tech Litons'!$A:$I,9,FALSE)</f>
        <v>210</v>
      </c>
      <c r="I6715" s="174" t="str">
        <f>VLOOKUP($A6715,'Tech Litons'!$A:$C,3,0)</f>
        <v>Facepieces</v>
      </c>
      <c r="J6715" s="175" t="str">
        <f t="shared" si="751"/>
        <v>IncomFacepieces</v>
      </c>
      <c r="K6715" s="176">
        <f>VLOOKUP(I6715,'Attain %'!A:B,2,0)</f>
        <v>0.96</v>
      </c>
      <c r="L6715" s="177">
        <f t="shared" si="752"/>
        <v>29952</v>
      </c>
      <c r="M6715" s="177">
        <f t="shared" si="753"/>
        <v>70.686719999999994</v>
      </c>
      <c r="N6715" s="177">
        <f t="shared" si="754"/>
        <v>142.62857142857143</v>
      </c>
      <c r="O6715" s="175" t="str">
        <f t="shared" si="755"/>
        <v>May</v>
      </c>
      <c r="P6715" s="265">
        <f t="shared" si="756"/>
        <v>21</v>
      </c>
    </row>
    <row r="6716" spans="1:16" ht="15" hidden="1" customHeight="1">
      <c r="A6716" s="489">
        <v>64365613</v>
      </c>
      <c r="B6716" s="489" t="s">
        <v>139</v>
      </c>
      <c r="D6716" s="597">
        <v>46097</v>
      </c>
      <c r="E6716" s="489" t="s">
        <v>617</v>
      </c>
      <c r="F6716" s="489" t="s">
        <v>1223</v>
      </c>
      <c r="G6716" s="395">
        <f>VLOOKUP($A6716,'Tech Litons'!$A:$I,8,FALSE)</f>
        <v>2.1540000000000001E-3</v>
      </c>
      <c r="H6716" s="174">
        <f>VLOOKUP($A6716,'Tech Litons'!$A:$I,9,FALSE)</f>
        <v>195</v>
      </c>
      <c r="I6716" s="174" t="str">
        <f>VLOOKUP($A6716,'Tech Litons'!$A:$C,3,0)</f>
        <v>Facepieces</v>
      </c>
      <c r="J6716" s="175" t="str">
        <f t="shared" si="751"/>
        <v>IncomFacepieces</v>
      </c>
      <c r="K6716" s="176">
        <f>VLOOKUP(I6716,'Attain %'!A:B,2,0)</f>
        <v>0.96</v>
      </c>
      <c r="L6716" s="177">
        <f t="shared" si="752"/>
        <v>0</v>
      </c>
      <c r="M6716" s="177">
        <f t="shared" si="753"/>
        <v>0</v>
      </c>
      <c r="N6716" s="177">
        <f t="shared" si="754"/>
        <v>0</v>
      </c>
      <c r="O6716" s="175" t="str">
        <f t="shared" si="755"/>
        <v>Mar</v>
      </c>
      <c r="P6716" s="265">
        <f t="shared" si="756"/>
        <v>12</v>
      </c>
    </row>
    <row r="6717" spans="1:16" ht="15" hidden="1" customHeight="1">
      <c r="A6717" s="489">
        <v>68850684</v>
      </c>
      <c r="B6717" s="489">
        <v>1352</v>
      </c>
      <c r="C6717" s="488">
        <v>31275</v>
      </c>
      <c r="D6717" s="597">
        <v>46118</v>
      </c>
      <c r="E6717" s="489" t="s">
        <v>381</v>
      </c>
      <c r="F6717" s="489" t="s">
        <v>1209</v>
      </c>
      <c r="G6717" s="395">
        <f>VLOOKUP($A6717,'Tech Litons'!$A:$I,8,FALSE)</f>
        <v>8.5199999999999998E-3</v>
      </c>
      <c r="H6717" s="174">
        <f>VLOOKUP($A6717,'Tech Litons'!$A:$I,9,FALSE)</f>
        <v>176</v>
      </c>
      <c r="I6717" s="174" t="str">
        <f>VLOOKUP($A6717,'Tech Litons'!$A:$C,3,0)</f>
        <v>48oz</v>
      </c>
      <c r="J6717" s="175" t="str">
        <f t="shared" si="751"/>
        <v>135248oz</v>
      </c>
      <c r="K6717" s="176">
        <f>VLOOKUP(I6717,'Attain %'!A:B,2,0)</f>
        <v>0.94</v>
      </c>
      <c r="L6717" s="177">
        <f t="shared" si="752"/>
        <v>29398.5</v>
      </c>
      <c r="M6717" s="177">
        <f t="shared" si="753"/>
        <v>250.47522000000001</v>
      </c>
      <c r="N6717" s="177">
        <f t="shared" si="754"/>
        <v>167.03693181818181</v>
      </c>
      <c r="O6717" s="175" t="str">
        <f t="shared" si="755"/>
        <v>Apr</v>
      </c>
      <c r="P6717" s="265">
        <f t="shared" si="756"/>
        <v>15</v>
      </c>
    </row>
    <row r="6718" spans="1:16" ht="15" hidden="1" customHeight="1">
      <c r="A6718" s="489">
        <v>84136043</v>
      </c>
      <c r="B6718" s="489">
        <v>5914</v>
      </c>
      <c r="C6718" s="488">
        <v>31320</v>
      </c>
      <c r="D6718" s="597">
        <v>46160</v>
      </c>
      <c r="E6718" s="489" t="s">
        <v>390</v>
      </c>
      <c r="F6718" s="489" t="s">
        <v>1244</v>
      </c>
      <c r="G6718" s="395">
        <f>VLOOKUP($A6718,'Tech Litons'!$A:$I,8,FALSE)</f>
        <v>3.7853439999999999E-3</v>
      </c>
      <c r="H6718" s="174">
        <f>VLOOKUP($A6718,'Tech Litons'!$A:$I,9,FALSE)</f>
        <v>240</v>
      </c>
      <c r="I6718" s="174" t="str">
        <f>VLOOKUP($A6718,'Tech Litons'!$A:$C,3,0)</f>
        <v>BJ PTS</v>
      </c>
      <c r="J6718" s="175" t="str">
        <f t="shared" si="751"/>
        <v>5914BJ PTS</v>
      </c>
      <c r="K6718" s="176">
        <f>VLOOKUP(I6718,'Attain %'!A:B,2,0)</f>
        <v>0.95</v>
      </c>
      <c r="L6718" s="177">
        <f t="shared" si="752"/>
        <v>29754</v>
      </c>
      <c r="M6718" s="177">
        <f t="shared" si="753"/>
        <v>112.629125376</v>
      </c>
      <c r="N6718" s="177">
        <f t="shared" si="754"/>
        <v>123.97499999999999</v>
      </c>
      <c r="O6718" s="175" t="str">
        <f t="shared" si="755"/>
        <v>May</v>
      </c>
      <c r="P6718" s="265">
        <f t="shared" si="756"/>
        <v>21</v>
      </c>
    </row>
    <row r="6719" spans="1:16" ht="15" hidden="1" customHeight="1">
      <c r="A6719" s="489">
        <v>68741742</v>
      </c>
      <c r="B6719" s="489">
        <v>1352</v>
      </c>
      <c r="C6719" s="488">
        <v>31680</v>
      </c>
      <c r="D6719" s="597">
        <v>46132</v>
      </c>
      <c r="E6719" s="489" t="s">
        <v>288</v>
      </c>
      <c r="F6719" s="489" t="s">
        <v>1215</v>
      </c>
      <c r="G6719" s="395">
        <f>VLOOKUP($A6719,'Tech Litons'!$A:$I,8,FALSE)</f>
        <v>4.2560000000000002E-3</v>
      </c>
      <c r="H6719" s="174">
        <f>VLOOKUP($A6719,'Tech Litons'!$A:$I,9,FALSE)</f>
        <v>154</v>
      </c>
      <c r="I6719" s="174" t="str">
        <f>VLOOKUP($A6719,'Tech Litons'!$A:$C,3,0)</f>
        <v>MBG</v>
      </c>
      <c r="J6719" s="175" t="str">
        <f t="shared" si="751"/>
        <v>1352MBG</v>
      </c>
      <c r="K6719" s="176">
        <f>VLOOKUP(I6719,'Attain %'!A:B,2,0)</f>
        <v>0.96</v>
      </c>
      <c r="L6719" s="177">
        <f t="shared" si="752"/>
        <v>30412.799999999999</v>
      </c>
      <c r="M6719" s="177">
        <f t="shared" si="753"/>
        <v>129.43687679999999</v>
      </c>
      <c r="N6719" s="177">
        <f t="shared" si="754"/>
        <v>197.48571428571429</v>
      </c>
      <c r="O6719" s="175" t="str">
        <f t="shared" si="755"/>
        <v>Apr</v>
      </c>
      <c r="P6719" s="265">
        <f t="shared" si="756"/>
        <v>17</v>
      </c>
    </row>
    <row r="6720" spans="1:16" ht="15" hidden="1" customHeight="1">
      <c r="A6720" s="489">
        <v>68300738</v>
      </c>
      <c r="B6720" s="489">
        <v>1352</v>
      </c>
      <c r="C6720" s="488">
        <v>32400</v>
      </c>
      <c r="D6720" s="597">
        <v>46132</v>
      </c>
      <c r="E6720" s="489" t="s">
        <v>325</v>
      </c>
      <c r="F6720" s="489" t="s">
        <v>1212</v>
      </c>
      <c r="G6720" s="395">
        <f>VLOOKUP($A6720,'Tech Litons'!$A:$I,8,FALSE)</f>
        <v>8.4960000000000001E-3</v>
      </c>
      <c r="H6720" s="174">
        <f>VLOOKUP($A6720,'Tech Litons'!$A:$I,9,FALSE)</f>
        <v>132</v>
      </c>
      <c r="I6720" s="174" t="str">
        <f>VLOOKUP($A6720,'Tech Litons'!$A:$C,3,0)</f>
        <v>EDF</v>
      </c>
      <c r="J6720" s="175" t="str">
        <f t="shared" si="751"/>
        <v>1352EDF</v>
      </c>
      <c r="K6720" s="176">
        <f>VLOOKUP(I6720,'Attain %'!A:B,2,0)</f>
        <v>0.96</v>
      </c>
      <c r="L6720" s="177">
        <f t="shared" si="752"/>
        <v>31104</v>
      </c>
      <c r="M6720" s="177">
        <f t="shared" si="753"/>
        <v>264.25958400000002</v>
      </c>
      <c r="N6720" s="177">
        <f t="shared" si="754"/>
        <v>235.63636363636363</v>
      </c>
      <c r="O6720" s="175" t="str">
        <f t="shared" si="755"/>
        <v>Apr</v>
      </c>
      <c r="P6720" s="265">
        <f t="shared" si="756"/>
        <v>17</v>
      </c>
    </row>
    <row r="6721" spans="1:16" ht="15" hidden="1" customHeight="1">
      <c r="A6721" s="489">
        <v>68709233</v>
      </c>
      <c r="B6721" s="489">
        <v>1352</v>
      </c>
      <c r="C6721" s="488">
        <v>32496</v>
      </c>
      <c r="D6721" s="597">
        <v>46104</v>
      </c>
      <c r="E6721" s="489" t="s">
        <v>426</v>
      </c>
      <c r="F6721" s="489" t="s">
        <v>1210</v>
      </c>
      <c r="G6721" s="395">
        <f>VLOOKUP($A6721,'Tech Litons'!$A:$I,8,FALSE)</f>
        <v>8.4960000000000001E-3</v>
      </c>
      <c r="H6721" s="174">
        <f>VLOOKUP($A6721,'Tech Litons'!$A:$I,9,FALSE)</f>
        <v>132</v>
      </c>
      <c r="I6721" s="174" t="str">
        <f>VLOOKUP($A6721,'Tech Litons'!$A:$C,3,0)</f>
        <v>EDF</v>
      </c>
      <c r="J6721" s="175" t="str">
        <f t="shared" si="751"/>
        <v>1352EDF</v>
      </c>
      <c r="K6721" s="176">
        <f>VLOOKUP(I6721,'Attain %'!A:B,2,0)</f>
        <v>0.96</v>
      </c>
      <c r="L6721" s="177">
        <f t="shared" si="752"/>
        <v>31196.16</v>
      </c>
      <c r="M6721" s="177">
        <f t="shared" si="753"/>
        <v>265.04257536</v>
      </c>
      <c r="N6721" s="177">
        <f t="shared" si="754"/>
        <v>236.33454545454546</v>
      </c>
      <c r="O6721" s="175" t="str">
        <f t="shared" si="755"/>
        <v>Mar</v>
      </c>
      <c r="P6721" s="265">
        <f t="shared" si="756"/>
        <v>13</v>
      </c>
    </row>
    <row r="6722" spans="1:16" ht="15" hidden="1" customHeight="1">
      <c r="A6722" s="489">
        <v>69717802</v>
      </c>
      <c r="B6722" s="489">
        <v>2904</v>
      </c>
      <c r="D6722" s="597">
        <v>46104</v>
      </c>
      <c r="E6722" s="489" t="s">
        <v>388</v>
      </c>
      <c r="F6722" s="489" t="s">
        <v>1240</v>
      </c>
      <c r="G6722" s="395">
        <f>VLOOKUP($A6722,'Tech Litons'!$A:$I,8,FALSE)</f>
        <v>4.2560000000000002E-3</v>
      </c>
      <c r="H6722" s="174">
        <f>VLOOKUP($A6722,'Tech Litons'!$A:$I,9,FALSE)</f>
        <v>143</v>
      </c>
      <c r="I6722" s="174" t="str">
        <f>VLOOKUP($A6722,'Tech Litons'!$A:$C,3,0)</f>
        <v>MG Sticks</v>
      </c>
      <c r="J6722" s="175" t="str">
        <f t="shared" si="751"/>
        <v>2904MG Sticks</v>
      </c>
      <c r="K6722" s="176">
        <f>VLOOKUP(I6722,'Attain %'!A:B,2,0)</f>
        <v>0.96</v>
      </c>
      <c r="L6722" s="177">
        <f t="shared" si="752"/>
        <v>0</v>
      </c>
      <c r="M6722" s="177">
        <f t="shared" si="753"/>
        <v>0</v>
      </c>
      <c r="N6722" s="177">
        <f t="shared" si="754"/>
        <v>0</v>
      </c>
      <c r="O6722" s="175" t="str">
        <f t="shared" si="755"/>
        <v>Mar</v>
      </c>
      <c r="P6722" s="265">
        <f t="shared" si="756"/>
        <v>13</v>
      </c>
    </row>
    <row r="6723" spans="1:16" ht="15" hidden="1" customHeight="1">
      <c r="A6723" s="489">
        <v>65254774</v>
      </c>
      <c r="B6723" s="489">
        <v>6765</v>
      </c>
      <c r="C6723" s="488">
        <v>32644</v>
      </c>
      <c r="D6723" s="597">
        <v>46111</v>
      </c>
      <c r="E6723" s="489" t="s">
        <v>614</v>
      </c>
      <c r="F6723" s="489" t="s">
        <v>1221</v>
      </c>
      <c r="G6723" s="395">
        <f>VLOOKUP($A6723,'Tech Litons'!$A:$I,8,FALSE)</f>
        <v>1E-3</v>
      </c>
      <c r="H6723" s="174">
        <f>VLOOKUP($A6723,'Tech Litons'!$A:$I,9,FALSE)</f>
        <v>420</v>
      </c>
      <c r="I6723" s="174" t="str">
        <f>VLOOKUP($A6723,'Tech Litons'!$A:$C,3,0)</f>
        <v>Other</v>
      </c>
      <c r="J6723" s="175" t="str">
        <f t="shared" si="751"/>
        <v>6765Other</v>
      </c>
      <c r="K6723" s="176">
        <f>VLOOKUP(I6723,'Attain %'!A:B,2,0)</f>
        <v>0.96</v>
      </c>
      <c r="L6723" s="177">
        <f t="shared" si="752"/>
        <v>31338.239999999998</v>
      </c>
      <c r="M6723" s="177">
        <f t="shared" si="753"/>
        <v>31.338239999999999</v>
      </c>
      <c r="N6723" s="177">
        <f t="shared" si="754"/>
        <v>74.614857142857133</v>
      </c>
      <c r="O6723" s="175" t="str">
        <f t="shared" si="755"/>
        <v>Mar</v>
      </c>
      <c r="P6723" s="265">
        <f t="shared" si="756"/>
        <v>14</v>
      </c>
    </row>
    <row r="6724" spans="1:16" ht="15" hidden="1" customHeight="1">
      <c r="A6724" s="489">
        <v>64389651</v>
      </c>
      <c r="B6724" s="489">
        <v>2904</v>
      </c>
      <c r="C6724" s="488">
        <v>33000</v>
      </c>
      <c r="D6724" s="597">
        <v>46118</v>
      </c>
      <c r="E6724" s="489" t="s">
        <v>355</v>
      </c>
      <c r="F6724" s="489" t="s">
        <v>1236</v>
      </c>
      <c r="G6724" s="395">
        <f>VLOOKUP($A6724,'Tech Litons'!$A:$I,8,FALSE)</f>
        <v>8.5199999999999998E-3</v>
      </c>
      <c r="H6724" s="174">
        <f>VLOOKUP($A6724,'Tech Litons'!$A:$I,9,FALSE)</f>
        <v>176</v>
      </c>
      <c r="I6724" s="174" t="str">
        <f>VLOOKUP($A6724,'Tech Litons'!$A:$C,3,0)</f>
        <v>48oz</v>
      </c>
      <c r="J6724" s="175" t="str">
        <f t="shared" si="751"/>
        <v>290448oz</v>
      </c>
      <c r="K6724" s="176">
        <f>VLOOKUP(I6724,'Attain %'!A:B,2,0)</f>
        <v>0.94</v>
      </c>
      <c r="L6724" s="177">
        <f t="shared" si="752"/>
        <v>31020</v>
      </c>
      <c r="M6724" s="177">
        <f t="shared" si="753"/>
        <v>264.29039999999998</v>
      </c>
      <c r="N6724" s="177">
        <f t="shared" si="754"/>
        <v>176.25</v>
      </c>
      <c r="O6724" s="175" t="str">
        <f t="shared" si="755"/>
        <v>Apr</v>
      </c>
      <c r="P6724" s="265">
        <f t="shared" si="756"/>
        <v>15</v>
      </c>
    </row>
    <row r="6725" spans="1:16" ht="15" hidden="1" customHeight="1">
      <c r="A6725" s="489">
        <v>64394585</v>
      </c>
      <c r="B6725" s="489">
        <v>2904</v>
      </c>
      <c r="C6725" s="488">
        <v>33000</v>
      </c>
      <c r="D6725" s="597">
        <v>46167</v>
      </c>
      <c r="E6725" s="489" t="s">
        <v>523</v>
      </c>
      <c r="F6725" s="489" t="s">
        <v>1229</v>
      </c>
      <c r="G6725" s="395">
        <f>VLOOKUP($A6725,'Tech Litons'!$A:$I,8,FALSE)</f>
        <v>3.4159999999999998E-3</v>
      </c>
      <c r="H6725" s="174">
        <f>VLOOKUP($A6725,'Tech Litons'!$A:$I,9,FALSE)</f>
        <v>240</v>
      </c>
      <c r="I6725" s="174" t="str">
        <f>VLOOKUP($A6725,'Tech Litons'!$A:$C,3,0)</f>
        <v>Sundaes</v>
      </c>
      <c r="J6725" s="175" t="str">
        <f t="shared" si="751"/>
        <v>2904Sundaes</v>
      </c>
      <c r="K6725" s="176">
        <f>VLOOKUP(I6725,'Attain %'!A:B,2,0)</f>
        <v>0.96</v>
      </c>
      <c r="L6725" s="177">
        <f t="shared" si="752"/>
        <v>31680</v>
      </c>
      <c r="M6725" s="177">
        <f t="shared" si="753"/>
        <v>108.21888</v>
      </c>
      <c r="N6725" s="177">
        <f t="shared" si="754"/>
        <v>132</v>
      </c>
      <c r="O6725" s="175" t="str">
        <f t="shared" si="755"/>
        <v>May</v>
      </c>
      <c r="P6725" s="265">
        <f t="shared" si="756"/>
        <v>22</v>
      </c>
    </row>
    <row r="6726" spans="1:16" ht="15" hidden="1" customHeight="1">
      <c r="A6726" s="489">
        <v>64984153</v>
      </c>
      <c r="B6726" s="489">
        <v>2904</v>
      </c>
      <c r="C6726" s="488">
        <v>33000</v>
      </c>
      <c r="D6726" s="597">
        <v>46146</v>
      </c>
      <c r="E6726" s="489" t="s">
        <v>350</v>
      </c>
      <c r="F6726" s="489" t="s">
        <v>1229</v>
      </c>
      <c r="G6726" s="395">
        <f>VLOOKUP($A6726,'Tech Litons'!$A:$I,8,FALSE)</f>
        <v>3.4159999999999998E-3</v>
      </c>
      <c r="H6726" s="174">
        <f>VLOOKUP($A6726,'Tech Litons'!$A:$I,9,FALSE)</f>
        <v>240</v>
      </c>
      <c r="I6726" s="174" t="str">
        <f>VLOOKUP($A6726,'Tech Litons'!$A:$C,3,0)</f>
        <v>Sundaes</v>
      </c>
      <c r="J6726" s="175" t="str">
        <f t="shared" si="751"/>
        <v>2904Sundaes</v>
      </c>
      <c r="K6726" s="176">
        <f>VLOOKUP(I6726,'Attain %'!A:B,2,0)</f>
        <v>0.96</v>
      </c>
      <c r="L6726" s="177">
        <f t="shared" si="752"/>
        <v>31680</v>
      </c>
      <c r="M6726" s="177">
        <f t="shared" si="753"/>
        <v>108.21888</v>
      </c>
      <c r="N6726" s="177">
        <f t="shared" si="754"/>
        <v>132</v>
      </c>
      <c r="O6726" s="175" t="str">
        <f t="shared" si="755"/>
        <v>May</v>
      </c>
      <c r="P6726" s="265">
        <f t="shared" si="756"/>
        <v>19</v>
      </c>
    </row>
    <row r="6727" spans="1:16" ht="15" hidden="1" customHeight="1">
      <c r="A6727" s="489">
        <v>68354586</v>
      </c>
      <c r="B6727" s="489">
        <v>2904</v>
      </c>
      <c r="C6727" s="488">
        <v>33000</v>
      </c>
      <c r="D6727" s="597">
        <v>46118</v>
      </c>
      <c r="E6727" s="489" t="s">
        <v>361</v>
      </c>
      <c r="F6727" s="489" t="s">
        <v>1229</v>
      </c>
      <c r="G6727" s="395">
        <f>VLOOKUP($A6727,'Tech Litons'!$A:$I,8,FALSE)</f>
        <v>3.5999999999999999E-3</v>
      </c>
      <c r="H6727" s="174">
        <f>VLOOKUP($A6727,'Tech Litons'!$A:$I,9,FALSE)</f>
        <v>240</v>
      </c>
      <c r="I6727" s="174" t="str">
        <f>VLOOKUP($A6727,'Tech Litons'!$A:$C,3,0)</f>
        <v>Topped</v>
      </c>
      <c r="J6727" s="175" t="str">
        <f t="shared" si="751"/>
        <v>2904Topped</v>
      </c>
      <c r="K6727" s="176">
        <f>VLOOKUP(I6727,'Attain %'!A:B,2,0)</f>
        <v>0.96</v>
      </c>
      <c r="L6727" s="177">
        <f t="shared" si="752"/>
        <v>31680</v>
      </c>
      <c r="M6727" s="177">
        <f t="shared" si="753"/>
        <v>114.048</v>
      </c>
      <c r="N6727" s="177">
        <f t="shared" si="754"/>
        <v>132</v>
      </c>
      <c r="O6727" s="175" t="str">
        <f t="shared" si="755"/>
        <v>Apr</v>
      </c>
      <c r="P6727" s="265">
        <f t="shared" si="756"/>
        <v>15</v>
      </c>
    </row>
    <row r="6728" spans="1:16" ht="15" hidden="1" customHeight="1">
      <c r="A6728" s="489">
        <v>68354590</v>
      </c>
      <c r="B6728" s="489">
        <v>2904</v>
      </c>
      <c r="C6728" s="488">
        <v>33000</v>
      </c>
      <c r="D6728" s="597">
        <v>46111</v>
      </c>
      <c r="E6728" s="489" t="s">
        <v>376</v>
      </c>
      <c r="F6728" s="489" t="s">
        <v>1229</v>
      </c>
      <c r="G6728" s="395">
        <f>VLOOKUP($A6728,'Tech Litons'!$A:$I,8,FALSE)</f>
        <v>3.5999999999999999E-3</v>
      </c>
      <c r="H6728" s="174">
        <f>VLOOKUP($A6728,'Tech Litons'!$A:$I,9,FALSE)</f>
        <v>240</v>
      </c>
      <c r="I6728" s="174" t="str">
        <f>VLOOKUP($A6728,'Tech Litons'!$A:$C,3,0)</f>
        <v>Topped</v>
      </c>
      <c r="J6728" s="175" t="str">
        <f t="shared" si="751"/>
        <v>2904Topped</v>
      </c>
      <c r="K6728" s="176">
        <f>VLOOKUP(I6728,'Attain %'!A:B,2,0)</f>
        <v>0.96</v>
      </c>
      <c r="L6728" s="177">
        <f t="shared" si="752"/>
        <v>31680</v>
      </c>
      <c r="M6728" s="177">
        <f t="shared" si="753"/>
        <v>114.048</v>
      </c>
      <c r="N6728" s="177">
        <f t="shared" si="754"/>
        <v>132</v>
      </c>
      <c r="O6728" s="175" t="str">
        <f t="shared" si="755"/>
        <v>Mar</v>
      </c>
      <c r="P6728" s="265">
        <f t="shared" si="756"/>
        <v>14</v>
      </c>
    </row>
    <row r="6729" spans="1:16" ht="15" hidden="1" customHeight="1">
      <c r="A6729" s="489">
        <v>68649096</v>
      </c>
      <c r="B6729" s="489">
        <v>2904</v>
      </c>
      <c r="C6729" s="488">
        <v>33000</v>
      </c>
      <c r="D6729" s="597">
        <v>46125</v>
      </c>
      <c r="E6729" s="489" t="s">
        <v>504</v>
      </c>
      <c r="F6729" s="489" t="s">
        <v>1229</v>
      </c>
      <c r="G6729" s="395">
        <f>VLOOKUP($A6729,'Tech Litons'!$A:$I,8,FALSE)</f>
        <v>3.5999999999999999E-3</v>
      </c>
      <c r="H6729" s="174">
        <f>VLOOKUP($A6729,'Tech Litons'!$A:$I,9,FALSE)</f>
        <v>240</v>
      </c>
      <c r="I6729" s="174" t="str">
        <f>VLOOKUP($A6729,'Tech Litons'!$A:$C,3,0)</f>
        <v>Topped</v>
      </c>
      <c r="J6729" s="175" t="str">
        <f t="shared" si="751"/>
        <v>2904Topped</v>
      </c>
      <c r="K6729" s="176">
        <f>VLOOKUP(I6729,'Attain %'!A:B,2,0)</f>
        <v>0.96</v>
      </c>
      <c r="L6729" s="177">
        <f t="shared" si="752"/>
        <v>31680</v>
      </c>
      <c r="M6729" s="177">
        <f t="shared" si="753"/>
        <v>114.048</v>
      </c>
      <c r="N6729" s="177">
        <f t="shared" si="754"/>
        <v>132</v>
      </c>
      <c r="O6729" s="175" t="str">
        <f t="shared" si="755"/>
        <v>Apr</v>
      </c>
      <c r="P6729" s="265">
        <f t="shared" si="756"/>
        <v>16</v>
      </c>
    </row>
    <row r="6730" spans="1:16" ht="15" hidden="1" customHeight="1">
      <c r="A6730" s="489">
        <v>68860129</v>
      </c>
      <c r="B6730" s="489">
        <v>2904</v>
      </c>
      <c r="C6730" s="488">
        <v>33000</v>
      </c>
      <c r="D6730" s="597">
        <v>46139</v>
      </c>
      <c r="E6730" s="489" t="s">
        <v>502</v>
      </c>
      <c r="F6730" s="489" t="s">
        <v>1228</v>
      </c>
      <c r="G6730" s="395">
        <f>VLOOKUP($A6730,'Tech Litons'!$A:$I,8,FALSE)</f>
        <v>3.7839999999999996E-3</v>
      </c>
      <c r="H6730" s="174">
        <f>VLOOKUP($A6730,'Tech Litons'!$A:$I,9,FALSE)</f>
        <v>255</v>
      </c>
      <c r="I6730" s="174" t="str">
        <f>VLOOKUP($A6730,'Tech Litons'!$A:$C,3,0)</f>
        <v>Talenti</v>
      </c>
      <c r="J6730" s="175" t="str">
        <f t="shared" si="751"/>
        <v>2904Talenti</v>
      </c>
      <c r="K6730" s="176">
        <f>VLOOKUP(I6730,'Attain %'!A:B,2,0)</f>
        <v>0.96</v>
      </c>
      <c r="L6730" s="177">
        <f t="shared" si="752"/>
        <v>31680</v>
      </c>
      <c r="M6730" s="177">
        <f t="shared" si="753"/>
        <v>119.87711999999999</v>
      </c>
      <c r="N6730" s="177">
        <f t="shared" si="754"/>
        <v>124.23529411764706</v>
      </c>
      <c r="O6730" s="175" t="str">
        <f t="shared" si="755"/>
        <v>Apr</v>
      </c>
      <c r="P6730" s="265">
        <f t="shared" si="756"/>
        <v>18</v>
      </c>
    </row>
    <row r="6731" spans="1:16" ht="15" hidden="1" customHeight="1">
      <c r="A6731" s="489">
        <v>69568964</v>
      </c>
      <c r="B6731" s="489">
        <v>2904</v>
      </c>
      <c r="C6731" s="488">
        <v>33000</v>
      </c>
      <c r="D6731" s="597">
        <v>46132</v>
      </c>
      <c r="E6731" s="489" t="s">
        <v>444</v>
      </c>
      <c r="F6731" s="489" t="s">
        <v>1236</v>
      </c>
      <c r="G6731" s="395">
        <f>VLOOKUP($A6731,'Tech Litons'!$A:$I,8,FALSE)</f>
        <v>8.5199999999999998E-3</v>
      </c>
      <c r="H6731" s="174">
        <f>VLOOKUP($A6731,'Tech Litons'!$A:$I,9,FALSE)</f>
        <v>176</v>
      </c>
      <c r="I6731" s="174" t="str">
        <f>VLOOKUP($A6731,'Tech Litons'!$A:$C,3,0)</f>
        <v>48oz</v>
      </c>
      <c r="J6731" s="175" t="str">
        <f t="shared" si="751"/>
        <v>290448oz</v>
      </c>
      <c r="K6731" s="176">
        <f>VLOOKUP(I6731,'Attain %'!A:B,2,0)</f>
        <v>0.94</v>
      </c>
      <c r="L6731" s="177">
        <f t="shared" si="752"/>
        <v>31020</v>
      </c>
      <c r="M6731" s="177">
        <f t="shared" si="753"/>
        <v>264.29039999999998</v>
      </c>
      <c r="N6731" s="177">
        <f t="shared" si="754"/>
        <v>176.25</v>
      </c>
      <c r="O6731" s="175" t="str">
        <f t="shared" si="755"/>
        <v>Apr</v>
      </c>
      <c r="P6731" s="265">
        <f t="shared" si="756"/>
        <v>17</v>
      </c>
    </row>
    <row r="6732" spans="1:16" ht="15" hidden="1" customHeight="1">
      <c r="A6732" s="489">
        <v>64341108</v>
      </c>
      <c r="B6732" s="489" t="s">
        <v>139</v>
      </c>
      <c r="C6732" s="488">
        <v>33000</v>
      </c>
      <c r="D6732" s="597">
        <v>46370</v>
      </c>
      <c r="E6732" s="489" t="s">
        <v>615</v>
      </c>
      <c r="F6732" s="489" t="s">
        <v>1223</v>
      </c>
      <c r="G6732" s="395">
        <f>VLOOKUP($A6732,'Tech Litons'!$A:$I,8,FALSE)</f>
        <v>2.3599999999999997E-3</v>
      </c>
      <c r="H6732" s="174">
        <f>VLOOKUP($A6732,'Tech Litons'!$A:$I,9,FALSE)</f>
        <v>210</v>
      </c>
      <c r="I6732" s="174" t="str">
        <f>VLOOKUP($A6732,'Tech Litons'!$A:$C,3,0)</f>
        <v>Facepieces</v>
      </c>
      <c r="J6732" s="175" t="str">
        <f t="shared" si="751"/>
        <v>IncomFacepieces</v>
      </c>
      <c r="K6732" s="176">
        <f>VLOOKUP(I6732,'Attain %'!A:B,2,0)</f>
        <v>0.96</v>
      </c>
      <c r="L6732" s="177">
        <f t="shared" si="752"/>
        <v>31680</v>
      </c>
      <c r="M6732" s="177">
        <f t="shared" si="753"/>
        <v>74.764799999999994</v>
      </c>
      <c r="N6732" s="177">
        <f t="shared" si="754"/>
        <v>150.85714285714286</v>
      </c>
      <c r="O6732" s="175" t="str">
        <f t="shared" si="755"/>
        <v>Dec</v>
      </c>
      <c r="P6732" s="265">
        <f t="shared" si="756"/>
        <v>51</v>
      </c>
    </row>
    <row r="6733" spans="1:16" ht="15" hidden="1" customHeight="1">
      <c r="A6733" s="489">
        <v>64973976</v>
      </c>
      <c r="B6733" s="489">
        <v>1712</v>
      </c>
      <c r="C6733" s="488">
        <v>33124</v>
      </c>
      <c r="D6733" s="597">
        <v>46174</v>
      </c>
      <c r="E6733" s="489" t="s">
        <v>1190</v>
      </c>
      <c r="F6733" s="489" t="s">
        <v>1221</v>
      </c>
      <c r="G6733" s="395">
        <f>VLOOKUP($A6733,'Tech Litons'!$A:$I,8,FALSE)</f>
        <v>1.0644000000000001E-3</v>
      </c>
      <c r="H6733" s="174">
        <f>VLOOKUP($A6733,'Tech Litons'!$A:$I,9,FALSE)</f>
        <v>190</v>
      </c>
      <c r="I6733" s="174" t="str">
        <f>VLOOKUP($A6733,'Tech Litons'!$A:$C,3,0)</f>
        <v>BR Minicups</v>
      </c>
      <c r="J6733" s="175" t="str">
        <f t="shared" si="751"/>
        <v>1712BR Minicups</v>
      </c>
      <c r="K6733" s="176">
        <f>VLOOKUP(I6733,'Attain %'!A:B,2,0)</f>
        <v>0.96</v>
      </c>
      <c r="L6733" s="177">
        <f t="shared" si="752"/>
        <v>31799.039999999997</v>
      </c>
      <c r="M6733" s="177">
        <f t="shared" si="753"/>
        <v>33.846898175999996</v>
      </c>
      <c r="N6733" s="177">
        <f t="shared" si="754"/>
        <v>167.36336842105263</v>
      </c>
      <c r="O6733" s="175" t="str">
        <f t="shared" si="755"/>
        <v>Jun</v>
      </c>
      <c r="P6733" s="265">
        <f t="shared" si="756"/>
        <v>23</v>
      </c>
    </row>
    <row r="6734" spans="1:16" ht="15" hidden="1" customHeight="1">
      <c r="A6734" s="489">
        <v>64956417</v>
      </c>
      <c r="B6734" s="489" t="s">
        <v>139</v>
      </c>
      <c r="C6734" s="488">
        <v>33280</v>
      </c>
      <c r="D6734" s="597">
        <v>46195</v>
      </c>
      <c r="E6734" s="489" t="s">
        <v>621</v>
      </c>
      <c r="F6734" s="489" t="s">
        <v>1223</v>
      </c>
      <c r="G6734" s="395">
        <f>VLOOKUP($A6734,'Tech Litons'!$A:$I,8,FALSE)</f>
        <v>2.16E-3</v>
      </c>
      <c r="H6734" s="174">
        <f>VLOOKUP($A6734,'Tech Litons'!$A:$I,9,FALSE)</f>
        <v>143</v>
      </c>
      <c r="I6734" s="174" t="str">
        <f>VLOOKUP($A6734,'Tech Litons'!$A:$C,3,0)</f>
        <v>Facepieces</v>
      </c>
      <c r="J6734" s="175" t="str">
        <f t="shared" si="751"/>
        <v>IncomFacepieces</v>
      </c>
      <c r="K6734" s="176">
        <f>VLOOKUP(I6734,'Attain %'!A:B,2,0)</f>
        <v>0.96</v>
      </c>
      <c r="L6734" s="177">
        <f t="shared" si="752"/>
        <v>31948.799999999999</v>
      </c>
      <c r="M6734" s="177">
        <f t="shared" si="753"/>
        <v>69.009407999999993</v>
      </c>
      <c r="N6734" s="177">
        <f t="shared" si="754"/>
        <v>223.41818181818181</v>
      </c>
      <c r="O6734" s="175" t="str">
        <f t="shared" si="755"/>
        <v>Jun</v>
      </c>
      <c r="P6734" s="265">
        <f t="shared" si="756"/>
        <v>26</v>
      </c>
    </row>
    <row r="6735" spans="1:16" ht="15" hidden="1" customHeight="1">
      <c r="A6735" s="489">
        <v>64977528</v>
      </c>
      <c r="B6735" s="489">
        <v>1352</v>
      </c>
      <c r="C6735" s="488">
        <v>33300</v>
      </c>
      <c r="D6735" s="597">
        <v>46153</v>
      </c>
      <c r="E6735" s="489" t="s">
        <v>425</v>
      </c>
      <c r="F6735" s="489" t="s">
        <v>1208</v>
      </c>
      <c r="G6735" s="395">
        <f>VLOOKUP($A6735,'Tech Litons'!$A:$I,8,FALSE)</f>
        <v>8.513999999999999E-3</v>
      </c>
      <c r="H6735" s="174">
        <f>VLOOKUP($A6735,'Tech Litons'!$A:$I,9,FALSE)</f>
        <v>176</v>
      </c>
      <c r="I6735" s="174" t="str">
        <f>VLOOKUP($A6735,'Tech Litons'!$A:$C,3,0)</f>
        <v>48oz</v>
      </c>
      <c r="J6735" s="175" t="str">
        <f t="shared" si="751"/>
        <v>135248oz</v>
      </c>
      <c r="K6735" s="176">
        <f>VLOOKUP(I6735,'Attain %'!A:B,2,0)</f>
        <v>0.94</v>
      </c>
      <c r="L6735" s="177">
        <f t="shared" si="752"/>
        <v>31302</v>
      </c>
      <c r="M6735" s="177">
        <f t="shared" si="753"/>
        <v>266.50522799999999</v>
      </c>
      <c r="N6735" s="177">
        <f t="shared" si="754"/>
        <v>177.85227272727272</v>
      </c>
      <c r="O6735" s="175" t="str">
        <f t="shared" si="755"/>
        <v>May</v>
      </c>
      <c r="P6735" s="265">
        <f t="shared" si="756"/>
        <v>20</v>
      </c>
    </row>
    <row r="6736" spans="1:16" ht="15" hidden="1" customHeight="1">
      <c r="A6736" s="489">
        <v>64977530</v>
      </c>
      <c r="B6736" s="489">
        <v>1352</v>
      </c>
      <c r="C6736" s="488">
        <v>33300</v>
      </c>
      <c r="D6736" s="597">
        <v>46153</v>
      </c>
      <c r="E6736" s="489" t="s">
        <v>310</v>
      </c>
      <c r="F6736" s="489" t="s">
        <v>1208</v>
      </c>
      <c r="G6736" s="395">
        <f>VLOOKUP($A6736,'Tech Litons'!$A:$I,8,FALSE)</f>
        <v>8.513999999999999E-3</v>
      </c>
      <c r="H6736" s="174">
        <f>VLOOKUP($A6736,'Tech Litons'!$A:$I,9,FALSE)</f>
        <v>176</v>
      </c>
      <c r="I6736" s="174" t="str">
        <f>VLOOKUP($A6736,'Tech Litons'!$A:$C,3,0)</f>
        <v>48oz</v>
      </c>
      <c r="J6736" s="175" t="str">
        <f t="shared" si="751"/>
        <v>135248oz</v>
      </c>
      <c r="K6736" s="176">
        <f>VLOOKUP(I6736,'Attain %'!A:B,2,0)</f>
        <v>0.94</v>
      </c>
      <c r="L6736" s="177">
        <f t="shared" si="752"/>
        <v>31302</v>
      </c>
      <c r="M6736" s="177">
        <f t="shared" si="753"/>
        <v>266.50522799999999</v>
      </c>
      <c r="N6736" s="177">
        <f t="shared" si="754"/>
        <v>177.85227272727272</v>
      </c>
      <c r="O6736" s="175" t="str">
        <f t="shared" si="755"/>
        <v>May</v>
      </c>
      <c r="P6736" s="265">
        <f t="shared" si="756"/>
        <v>20</v>
      </c>
    </row>
    <row r="6737" spans="1:16" ht="15" hidden="1" customHeight="1">
      <c r="A6737" s="489">
        <v>68817799</v>
      </c>
      <c r="B6737" s="489">
        <v>1352</v>
      </c>
      <c r="C6737" s="488">
        <v>33300</v>
      </c>
      <c r="D6737" s="597">
        <v>46146</v>
      </c>
      <c r="E6737" s="489" t="s">
        <v>410</v>
      </c>
      <c r="F6737" s="489" t="s">
        <v>1208</v>
      </c>
      <c r="G6737" s="395">
        <f>VLOOKUP($A6737,'Tech Litons'!$A:$I,8,FALSE)</f>
        <v>8.5199999999999998E-3</v>
      </c>
      <c r="H6737" s="174">
        <f>VLOOKUP($A6737,'Tech Litons'!$A:$I,9,FALSE)</f>
        <v>176</v>
      </c>
      <c r="I6737" s="174" t="str">
        <f>VLOOKUP($A6737,'Tech Litons'!$A:$C,3,0)</f>
        <v>48oz</v>
      </c>
      <c r="J6737" s="175" t="str">
        <f t="shared" si="751"/>
        <v>135248oz</v>
      </c>
      <c r="K6737" s="176">
        <f>VLOOKUP(I6737,'Attain %'!A:B,2,0)</f>
        <v>0.94</v>
      </c>
      <c r="L6737" s="177">
        <f t="shared" si="752"/>
        <v>31302</v>
      </c>
      <c r="M6737" s="177">
        <f t="shared" si="753"/>
        <v>266.69304</v>
      </c>
      <c r="N6737" s="177">
        <f t="shared" si="754"/>
        <v>177.85227272727272</v>
      </c>
      <c r="O6737" s="175" t="str">
        <f t="shared" si="755"/>
        <v>May</v>
      </c>
      <c r="P6737" s="265">
        <f t="shared" si="756"/>
        <v>19</v>
      </c>
    </row>
    <row r="6738" spans="1:16" ht="15" hidden="1" customHeight="1">
      <c r="A6738" s="489">
        <v>62714126</v>
      </c>
      <c r="B6738" s="489" t="s">
        <v>133</v>
      </c>
      <c r="C6738" s="488">
        <v>33340</v>
      </c>
      <c r="D6738" s="597">
        <v>46167</v>
      </c>
      <c r="E6738" s="489" t="s">
        <v>402</v>
      </c>
      <c r="F6738" s="489" t="s">
        <v>1223</v>
      </c>
      <c r="G6738" s="395">
        <f>VLOOKUP($A6738,'Tech Litons'!$A:$I,8,FALSE)</f>
        <v>5.2680000000000001E-3</v>
      </c>
      <c r="H6738" s="174">
        <f>VLOOKUP($A6738,'Tech Litons'!$A:$I,9,FALSE)</f>
        <v>130</v>
      </c>
      <c r="I6738" s="174" t="str">
        <f>VLOOKUP($A6738,'Tech Litons'!$A:$C,3,0)</f>
        <v>PG</v>
      </c>
      <c r="J6738" s="175" t="str">
        <f t="shared" si="751"/>
        <v>GDIPG</v>
      </c>
      <c r="K6738" s="176">
        <f>VLOOKUP(I6738,'Attain %'!A:B,2,0)</f>
        <v>0.96</v>
      </c>
      <c r="L6738" s="177">
        <f t="shared" si="752"/>
        <v>32006.399999999998</v>
      </c>
      <c r="M6738" s="177">
        <f t="shared" si="753"/>
        <v>168.60971519999998</v>
      </c>
      <c r="N6738" s="177">
        <f t="shared" si="754"/>
        <v>246.20307692307691</v>
      </c>
      <c r="O6738" s="175" t="str">
        <f t="shared" si="755"/>
        <v>May</v>
      </c>
      <c r="P6738" s="265">
        <f t="shared" si="756"/>
        <v>22</v>
      </c>
    </row>
    <row r="6739" spans="1:16" ht="15" hidden="1" customHeight="1">
      <c r="A6739" s="489">
        <v>64979101</v>
      </c>
      <c r="B6739" s="489">
        <v>1712</v>
      </c>
      <c r="C6739" s="488">
        <v>33400</v>
      </c>
      <c r="D6739" s="597">
        <v>46153</v>
      </c>
      <c r="E6739" s="489" t="s">
        <v>576</v>
      </c>
      <c r="F6739" s="489" t="s">
        <v>1221</v>
      </c>
      <c r="G6739" s="395">
        <f>VLOOKUP($A6739,'Tech Litons'!$A:$I,8,FALSE)</f>
        <v>1.9199999999999998E-3</v>
      </c>
      <c r="H6739" s="174">
        <f>VLOOKUP($A6739,'Tech Litons'!$A:$I,9,FALSE)</f>
        <v>360</v>
      </c>
      <c r="I6739" s="174" t="str">
        <f>VLOOKUP($A6739,'Tech Litons'!$A:$C,3,0)</f>
        <v>Other</v>
      </c>
      <c r="J6739" s="175" t="str">
        <f t="shared" si="751"/>
        <v>1712Other</v>
      </c>
      <c r="K6739" s="176">
        <f>VLOOKUP(I6739,'Attain %'!A:B,2,0)</f>
        <v>0.96</v>
      </c>
      <c r="L6739" s="177">
        <f t="shared" si="752"/>
        <v>32064</v>
      </c>
      <c r="M6739" s="177">
        <f t="shared" si="753"/>
        <v>61.562879999999993</v>
      </c>
      <c r="N6739" s="177">
        <f t="shared" si="754"/>
        <v>89.066666666666663</v>
      </c>
      <c r="O6739" s="175" t="str">
        <f t="shared" si="755"/>
        <v>May</v>
      </c>
      <c r="P6739" s="265">
        <f t="shared" si="756"/>
        <v>20</v>
      </c>
    </row>
    <row r="6740" spans="1:16" ht="15" hidden="1" customHeight="1">
      <c r="A6740" s="489">
        <v>64979101</v>
      </c>
      <c r="B6740" s="489">
        <v>1712</v>
      </c>
      <c r="C6740" s="488">
        <v>33400</v>
      </c>
      <c r="D6740" s="597">
        <v>46174</v>
      </c>
      <c r="E6740" s="489" t="s">
        <v>576</v>
      </c>
      <c r="F6740" s="489" t="s">
        <v>1221</v>
      </c>
      <c r="G6740" s="395">
        <f>VLOOKUP($A6740,'Tech Litons'!$A:$I,8,FALSE)</f>
        <v>1.9199999999999998E-3</v>
      </c>
      <c r="H6740" s="174">
        <f>VLOOKUP($A6740,'Tech Litons'!$A:$I,9,FALSE)</f>
        <v>360</v>
      </c>
      <c r="I6740" s="174" t="str">
        <f>VLOOKUP($A6740,'Tech Litons'!$A:$C,3,0)</f>
        <v>Other</v>
      </c>
      <c r="J6740" s="175" t="str">
        <f t="shared" si="751"/>
        <v>1712Other</v>
      </c>
      <c r="K6740" s="176">
        <f>VLOOKUP(I6740,'Attain %'!A:B,2,0)</f>
        <v>0.96</v>
      </c>
      <c r="L6740" s="177">
        <f t="shared" si="752"/>
        <v>32064</v>
      </c>
      <c r="M6740" s="177">
        <f t="shared" si="753"/>
        <v>61.562879999999993</v>
      </c>
      <c r="N6740" s="177">
        <f t="shared" si="754"/>
        <v>89.066666666666663</v>
      </c>
      <c r="O6740" s="175" t="str">
        <f t="shared" si="755"/>
        <v>Jun</v>
      </c>
      <c r="P6740" s="265">
        <f t="shared" si="756"/>
        <v>23</v>
      </c>
    </row>
    <row r="6741" spans="1:16" ht="15" hidden="1" customHeight="1">
      <c r="A6741" s="489">
        <v>64979101</v>
      </c>
      <c r="B6741" s="489">
        <v>1712</v>
      </c>
      <c r="C6741" s="488">
        <v>33400</v>
      </c>
      <c r="D6741" s="597">
        <v>46195</v>
      </c>
      <c r="E6741" s="489" t="s">
        <v>576</v>
      </c>
      <c r="F6741" s="489" t="s">
        <v>1221</v>
      </c>
      <c r="G6741" s="395">
        <f>VLOOKUP($A6741,'Tech Litons'!$A:$I,8,FALSE)</f>
        <v>1.9199999999999998E-3</v>
      </c>
      <c r="H6741" s="174">
        <f>VLOOKUP($A6741,'Tech Litons'!$A:$I,9,FALSE)</f>
        <v>360</v>
      </c>
      <c r="I6741" s="174" t="str">
        <f>VLOOKUP($A6741,'Tech Litons'!$A:$C,3,0)</f>
        <v>Other</v>
      </c>
      <c r="J6741" s="175" t="str">
        <f t="shared" si="751"/>
        <v>1712Other</v>
      </c>
      <c r="K6741" s="176">
        <f>VLOOKUP(I6741,'Attain %'!A:B,2,0)</f>
        <v>0.96</v>
      </c>
      <c r="L6741" s="177">
        <f t="shared" si="752"/>
        <v>32064</v>
      </c>
      <c r="M6741" s="177">
        <f t="shared" si="753"/>
        <v>61.562879999999993</v>
      </c>
      <c r="N6741" s="177">
        <f t="shared" si="754"/>
        <v>89.066666666666663</v>
      </c>
      <c r="O6741" s="175" t="str">
        <f t="shared" si="755"/>
        <v>Jun</v>
      </c>
      <c r="P6741" s="265">
        <f t="shared" si="756"/>
        <v>26</v>
      </c>
    </row>
    <row r="6742" spans="1:16" ht="15" hidden="1" customHeight="1">
      <c r="A6742" s="489">
        <v>64979101</v>
      </c>
      <c r="B6742" s="489">
        <v>1712</v>
      </c>
      <c r="C6742" s="488">
        <v>33400</v>
      </c>
      <c r="D6742" s="597">
        <v>46307</v>
      </c>
      <c r="E6742" s="489" t="s">
        <v>576</v>
      </c>
      <c r="F6742" s="489" t="s">
        <v>1221</v>
      </c>
      <c r="G6742" s="395">
        <f>VLOOKUP($A6742,'Tech Litons'!$A:$I,8,FALSE)</f>
        <v>1.9199999999999998E-3</v>
      </c>
      <c r="H6742" s="174">
        <f>VLOOKUP($A6742,'Tech Litons'!$A:$I,9,FALSE)</f>
        <v>360</v>
      </c>
      <c r="I6742" s="174" t="str">
        <f>VLOOKUP($A6742,'Tech Litons'!$A:$C,3,0)</f>
        <v>Other</v>
      </c>
      <c r="J6742" s="175" t="str">
        <f t="shared" si="751"/>
        <v>1712Other</v>
      </c>
      <c r="K6742" s="176">
        <f>VLOOKUP(I6742,'Attain %'!A:B,2,0)</f>
        <v>0.96</v>
      </c>
      <c r="L6742" s="177">
        <f t="shared" si="752"/>
        <v>32064</v>
      </c>
      <c r="M6742" s="177">
        <f t="shared" si="753"/>
        <v>61.562879999999993</v>
      </c>
      <c r="N6742" s="177">
        <f t="shared" si="754"/>
        <v>89.066666666666663</v>
      </c>
      <c r="O6742" s="175" t="str">
        <f t="shared" si="755"/>
        <v>Oct</v>
      </c>
      <c r="P6742" s="265">
        <f t="shared" si="756"/>
        <v>42</v>
      </c>
    </row>
    <row r="6743" spans="1:16" ht="15" hidden="1" customHeight="1">
      <c r="A6743" s="489">
        <v>67789314</v>
      </c>
      <c r="B6743" s="489">
        <v>5914</v>
      </c>
      <c r="C6743" s="488">
        <v>33480</v>
      </c>
      <c r="D6743" s="597">
        <v>46139</v>
      </c>
      <c r="E6743" s="489" t="s">
        <v>344</v>
      </c>
      <c r="F6743" s="489" t="s">
        <v>1244</v>
      </c>
      <c r="G6743" s="395">
        <f>VLOOKUP($A6743,'Tech Litons'!$A:$I,8,FALSE)</f>
        <v>3.7853439999999999E-3</v>
      </c>
      <c r="H6743" s="174">
        <f>VLOOKUP($A6743,'Tech Litons'!$A:$I,9,FALSE)</f>
        <v>240</v>
      </c>
      <c r="I6743" s="174" t="str">
        <f>VLOOKUP($A6743,'Tech Litons'!$A:$C,3,0)</f>
        <v>BJ PTS</v>
      </c>
      <c r="J6743" s="175" t="str">
        <f t="shared" si="751"/>
        <v>5914BJ PTS</v>
      </c>
      <c r="K6743" s="176">
        <f>VLOOKUP(I6743,'Attain %'!A:B,2,0)</f>
        <v>0.95</v>
      </c>
      <c r="L6743" s="177">
        <f t="shared" si="752"/>
        <v>31806</v>
      </c>
      <c r="M6743" s="177">
        <f t="shared" si="753"/>
        <v>120.396651264</v>
      </c>
      <c r="N6743" s="177">
        <f t="shared" si="754"/>
        <v>132.52500000000001</v>
      </c>
      <c r="O6743" s="175" t="str">
        <f t="shared" si="755"/>
        <v>Apr</v>
      </c>
      <c r="P6743" s="265">
        <f t="shared" si="756"/>
        <v>18</v>
      </c>
    </row>
    <row r="6744" spans="1:16" ht="15" hidden="1" customHeight="1">
      <c r="A6744" s="489">
        <v>84161610</v>
      </c>
      <c r="B6744" s="489">
        <v>5914</v>
      </c>
      <c r="C6744" s="488">
        <v>33480</v>
      </c>
      <c r="D6744" s="597">
        <v>46139</v>
      </c>
      <c r="E6744" s="489" t="s">
        <v>309</v>
      </c>
      <c r="F6744" s="489" t="s">
        <v>1244</v>
      </c>
      <c r="G6744" s="395">
        <f>VLOOKUP($A6744,'Tech Litons'!$A:$I,8,FALSE)</f>
        <v>3.7853439999999999E-3</v>
      </c>
      <c r="H6744" s="174">
        <f>VLOOKUP($A6744,'Tech Litons'!$A:$I,9,FALSE)</f>
        <v>240</v>
      </c>
      <c r="I6744" s="174" t="str">
        <f>VLOOKUP($A6744,'Tech Litons'!$A:$C,3,0)</f>
        <v>BJ PTS</v>
      </c>
      <c r="J6744" s="175" t="str">
        <f t="shared" si="751"/>
        <v>5914BJ PTS</v>
      </c>
      <c r="K6744" s="176">
        <f>VLOOKUP(I6744,'Attain %'!A:B,2,0)</f>
        <v>0.95</v>
      </c>
      <c r="L6744" s="177">
        <f t="shared" si="752"/>
        <v>31806</v>
      </c>
      <c r="M6744" s="177">
        <f t="shared" si="753"/>
        <v>120.396651264</v>
      </c>
      <c r="N6744" s="177">
        <f t="shared" si="754"/>
        <v>132.52500000000001</v>
      </c>
      <c r="O6744" s="175" t="str">
        <f t="shared" si="755"/>
        <v>Apr</v>
      </c>
      <c r="P6744" s="265">
        <f t="shared" si="756"/>
        <v>18</v>
      </c>
    </row>
    <row r="6745" spans="1:16" ht="15" hidden="1" customHeight="1">
      <c r="A6745" s="489">
        <v>69986506</v>
      </c>
      <c r="B6745" s="489">
        <v>5914</v>
      </c>
      <c r="C6745" s="488">
        <v>33600</v>
      </c>
      <c r="D6745" s="597">
        <v>46132</v>
      </c>
      <c r="E6745" s="489" t="s">
        <v>455</v>
      </c>
      <c r="F6745" s="489" t="s">
        <v>1246</v>
      </c>
      <c r="G6745" s="395">
        <f>VLOOKUP($A6745,'Tech Litons'!$A:$I,8,FALSE)</f>
        <v>3.7839999999999996E-3</v>
      </c>
      <c r="H6745" s="174">
        <f>VLOOKUP($A6745,'Tech Litons'!$A:$I,9,FALSE)</f>
        <v>240</v>
      </c>
      <c r="I6745" s="174" t="str">
        <f>VLOOKUP($A6745,'Tech Litons'!$A:$C,3,0)</f>
        <v>BJ PTS</v>
      </c>
      <c r="J6745" s="175" t="str">
        <f t="shared" si="751"/>
        <v>5914BJ PTS</v>
      </c>
      <c r="K6745" s="176">
        <f>VLOOKUP(I6745,'Attain %'!A:B,2,0)</f>
        <v>0.95</v>
      </c>
      <c r="L6745" s="177">
        <f t="shared" si="752"/>
        <v>31920</v>
      </c>
      <c r="M6745" s="177">
        <f t="shared" si="753"/>
        <v>120.78527999999999</v>
      </c>
      <c r="N6745" s="177">
        <f t="shared" si="754"/>
        <v>133</v>
      </c>
      <c r="O6745" s="175" t="str">
        <f t="shared" si="755"/>
        <v>Apr</v>
      </c>
      <c r="P6745" s="265">
        <f t="shared" si="756"/>
        <v>17</v>
      </c>
    </row>
    <row r="6746" spans="1:16" ht="15" hidden="1" customHeight="1">
      <c r="A6746" s="489">
        <v>84149990</v>
      </c>
      <c r="B6746" s="489">
        <v>5914</v>
      </c>
      <c r="C6746" s="488">
        <v>33600</v>
      </c>
      <c r="D6746" s="597">
        <v>46104</v>
      </c>
      <c r="E6746" s="489" t="s">
        <v>340</v>
      </c>
      <c r="F6746" s="489" t="s">
        <v>1247</v>
      </c>
      <c r="G6746" s="395">
        <f>VLOOKUP($A6746,'Tech Litons'!$A:$I,8,FALSE)</f>
        <v>3.6640000000000002E-3</v>
      </c>
      <c r="H6746" s="174">
        <f>VLOOKUP($A6746,'Tech Litons'!$A:$I,9,FALSE)</f>
        <v>240</v>
      </c>
      <c r="I6746" s="174" t="str">
        <f>VLOOKUP($A6746,'Tech Litons'!$A:$C,3,0)</f>
        <v>PTS Exports</v>
      </c>
      <c r="J6746" s="175" t="str">
        <f t="shared" si="751"/>
        <v>5914PTS Exports</v>
      </c>
      <c r="K6746" s="176">
        <f>VLOOKUP(I6746,'Attain %'!A:B,2,0)</f>
        <v>0.96</v>
      </c>
      <c r="L6746" s="177">
        <f t="shared" si="752"/>
        <v>32256</v>
      </c>
      <c r="M6746" s="177">
        <f t="shared" si="753"/>
        <v>118.185984</v>
      </c>
      <c r="N6746" s="177">
        <f t="shared" si="754"/>
        <v>134.4</v>
      </c>
      <c r="O6746" s="175" t="str">
        <f t="shared" si="755"/>
        <v>Mar</v>
      </c>
      <c r="P6746" s="265">
        <f t="shared" si="756"/>
        <v>13</v>
      </c>
    </row>
    <row r="6747" spans="1:16" ht="15" hidden="1" customHeight="1">
      <c r="A6747" s="489">
        <v>84164937</v>
      </c>
      <c r="B6747" s="489">
        <v>5914</v>
      </c>
      <c r="C6747" s="488">
        <v>33600</v>
      </c>
      <c r="D6747" s="597">
        <v>46160</v>
      </c>
      <c r="E6747" s="489" t="s">
        <v>371</v>
      </c>
      <c r="F6747" s="489" t="s">
        <v>1246</v>
      </c>
      <c r="G6747" s="395">
        <f>VLOOKUP($A6747,'Tech Litons'!$A:$I,8,FALSE)</f>
        <v>3.7853439999999999E-3</v>
      </c>
      <c r="H6747" s="174">
        <f>VLOOKUP($A6747,'Tech Litons'!$A:$I,9,FALSE)</f>
        <v>240</v>
      </c>
      <c r="I6747" s="174" t="str">
        <f>VLOOKUP($A6747,'Tech Litons'!$A:$C,3,0)</f>
        <v>BJ PTS</v>
      </c>
      <c r="J6747" s="175" t="str">
        <f t="shared" si="751"/>
        <v>5914BJ PTS</v>
      </c>
      <c r="K6747" s="176">
        <f>VLOOKUP(I6747,'Attain %'!A:B,2,0)</f>
        <v>0.95</v>
      </c>
      <c r="L6747" s="177">
        <f t="shared" si="752"/>
        <v>31920</v>
      </c>
      <c r="M6747" s="177">
        <f t="shared" si="753"/>
        <v>120.82818048</v>
      </c>
      <c r="N6747" s="177">
        <f t="shared" si="754"/>
        <v>133</v>
      </c>
      <c r="O6747" s="175" t="str">
        <f t="shared" si="755"/>
        <v>May</v>
      </c>
      <c r="P6747" s="265">
        <f t="shared" si="756"/>
        <v>21</v>
      </c>
    </row>
    <row r="6748" spans="1:16" ht="15" hidden="1" customHeight="1">
      <c r="A6748" s="489">
        <v>64986251</v>
      </c>
      <c r="B6748" s="489">
        <v>2904</v>
      </c>
      <c r="C6748" s="488">
        <v>33825</v>
      </c>
      <c r="D6748" s="597">
        <v>46146</v>
      </c>
      <c r="E6748" s="489" t="s">
        <v>313</v>
      </c>
      <c r="F6748" s="489" t="s">
        <v>1229</v>
      </c>
      <c r="G6748" s="395">
        <f>VLOOKUP($A6748,'Tech Litons'!$A:$I,8,FALSE)</f>
        <v>3.4159999999999998E-3</v>
      </c>
      <c r="H6748" s="174">
        <f>VLOOKUP($A6748,'Tech Litons'!$A:$I,9,FALSE)</f>
        <v>240</v>
      </c>
      <c r="I6748" s="174" t="str">
        <f>VLOOKUP($A6748,'Tech Litons'!$A:$C,3,0)</f>
        <v>Sundaes</v>
      </c>
      <c r="J6748" s="175" t="str">
        <f t="shared" si="751"/>
        <v>2904Sundaes</v>
      </c>
      <c r="K6748" s="176">
        <f>VLOOKUP(I6748,'Attain %'!A:B,2,0)</f>
        <v>0.96</v>
      </c>
      <c r="L6748" s="177">
        <f t="shared" si="752"/>
        <v>32472</v>
      </c>
      <c r="M6748" s="177">
        <f t="shared" si="753"/>
        <v>110.924352</v>
      </c>
      <c r="N6748" s="177">
        <f t="shared" si="754"/>
        <v>135.30000000000001</v>
      </c>
      <c r="O6748" s="175" t="str">
        <f t="shared" si="755"/>
        <v>May</v>
      </c>
      <c r="P6748" s="265">
        <f t="shared" si="756"/>
        <v>19</v>
      </c>
    </row>
    <row r="6749" spans="1:16" ht="15" hidden="1" customHeight="1">
      <c r="A6749" s="489">
        <v>68862392</v>
      </c>
      <c r="B6749" s="489">
        <v>2904</v>
      </c>
      <c r="D6749" s="597">
        <v>46111</v>
      </c>
      <c r="E6749" s="489" t="s">
        <v>305</v>
      </c>
      <c r="F6749" s="489" t="s">
        <v>1235</v>
      </c>
      <c r="G6749" s="395">
        <f>VLOOKUP($A6749,'Tech Litons'!$A:$I,8,FALSE)</f>
        <v>3.7839999999999996E-3</v>
      </c>
      <c r="H6749" s="174">
        <f>VLOOKUP($A6749,'Tech Litons'!$A:$I,9,FALSE)</f>
        <v>255</v>
      </c>
      <c r="I6749" s="174" t="str">
        <f>VLOOKUP($A6749,'Tech Litons'!$A:$C,3,0)</f>
        <v>TALENTI</v>
      </c>
      <c r="J6749" s="175" t="str">
        <f t="shared" si="751"/>
        <v>2904TALENTI</v>
      </c>
      <c r="K6749" s="176">
        <f>VLOOKUP(I6749,'Attain %'!A:B,2,0)</f>
        <v>0.96</v>
      </c>
      <c r="L6749" s="177">
        <f t="shared" si="752"/>
        <v>0</v>
      </c>
      <c r="M6749" s="177">
        <f t="shared" si="753"/>
        <v>0</v>
      </c>
      <c r="N6749" s="177">
        <f t="shared" si="754"/>
        <v>0</v>
      </c>
      <c r="O6749" s="175" t="str">
        <f t="shared" si="755"/>
        <v>Mar</v>
      </c>
      <c r="P6749" s="265">
        <f t="shared" si="756"/>
        <v>14</v>
      </c>
    </row>
    <row r="6750" spans="1:16" ht="15" hidden="1" customHeight="1">
      <c r="A6750" s="489">
        <v>68860663</v>
      </c>
      <c r="B6750" s="489">
        <v>2904</v>
      </c>
      <c r="C6750" s="488">
        <v>34100</v>
      </c>
      <c r="D6750" s="597">
        <v>46146</v>
      </c>
      <c r="E6750" s="489" t="s">
        <v>433</v>
      </c>
      <c r="F6750" s="489" t="s">
        <v>1228</v>
      </c>
      <c r="G6750" s="395">
        <f>VLOOKUP($A6750,'Tech Litons'!$A:$I,8,FALSE)</f>
        <v>3.7839999999999996E-3</v>
      </c>
      <c r="H6750" s="174">
        <f>VLOOKUP($A6750,'Tech Litons'!$A:$I,9,FALSE)</f>
        <v>255</v>
      </c>
      <c r="I6750" s="174" t="str">
        <f>VLOOKUP($A6750,'Tech Litons'!$A:$C,3,0)</f>
        <v>Talenti</v>
      </c>
      <c r="J6750" s="175" t="str">
        <f t="shared" si="751"/>
        <v>2904Talenti</v>
      </c>
      <c r="K6750" s="176">
        <f>VLOOKUP(I6750,'Attain %'!A:B,2,0)</f>
        <v>0.96</v>
      </c>
      <c r="L6750" s="177">
        <f t="shared" si="752"/>
        <v>32736</v>
      </c>
      <c r="M6750" s="177">
        <f t="shared" si="753"/>
        <v>123.87302399999999</v>
      </c>
      <c r="N6750" s="177">
        <f t="shared" si="754"/>
        <v>128.37647058823529</v>
      </c>
      <c r="O6750" s="175" t="str">
        <f t="shared" si="755"/>
        <v>May</v>
      </c>
      <c r="P6750" s="265">
        <f t="shared" si="756"/>
        <v>19</v>
      </c>
    </row>
    <row r="6751" spans="1:16" ht="15" hidden="1" customHeight="1">
      <c r="A6751" s="489">
        <v>68862399</v>
      </c>
      <c r="B6751" s="489">
        <v>2904</v>
      </c>
      <c r="C6751" s="488">
        <v>34100</v>
      </c>
      <c r="D6751" s="597">
        <v>46132</v>
      </c>
      <c r="E6751" s="489" t="s">
        <v>387</v>
      </c>
      <c r="F6751" s="489" t="s">
        <v>1228</v>
      </c>
      <c r="G6751" s="395">
        <f>VLOOKUP($A6751,'Tech Litons'!$A:$I,8,FALSE)</f>
        <v>3.7839999999999996E-3</v>
      </c>
      <c r="H6751" s="174">
        <f>VLOOKUP($A6751,'Tech Litons'!$A:$I,9,FALSE)</f>
        <v>255</v>
      </c>
      <c r="I6751" s="174" t="str">
        <f>VLOOKUP($A6751,'Tech Litons'!$A:$C,3,0)</f>
        <v>Talenti</v>
      </c>
      <c r="J6751" s="175" t="str">
        <f t="shared" si="751"/>
        <v>2904Talenti</v>
      </c>
      <c r="K6751" s="176">
        <f>VLOOKUP(I6751,'Attain %'!A:B,2,0)</f>
        <v>0.96</v>
      </c>
      <c r="L6751" s="177">
        <f t="shared" si="752"/>
        <v>32736</v>
      </c>
      <c r="M6751" s="177">
        <f t="shared" si="753"/>
        <v>123.87302399999999</v>
      </c>
      <c r="N6751" s="177">
        <f t="shared" si="754"/>
        <v>128.37647058823529</v>
      </c>
      <c r="O6751" s="175" t="str">
        <f t="shared" si="755"/>
        <v>Apr</v>
      </c>
      <c r="P6751" s="265">
        <f t="shared" si="756"/>
        <v>17</v>
      </c>
    </row>
    <row r="6752" spans="1:16" ht="15" hidden="1" customHeight="1">
      <c r="A6752" s="489">
        <v>68862511</v>
      </c>
      <c r="B6752" s="489">
        <v>2904</v>
      </c>
      <c r="C6752" s="488">
        <v>34100</v>
      </c>
      <c r="D6752" s="597">
        <v>46132</v>
      </c>
      <c r="E6752" s="489" t="s">
        <v>434</v>
      </c>
      <c r="F6752" s="489" t="s">
        <v>1228</v>
      </c>
      <c r="G6752" s="395">
        <f>VLOOKUP($A6752,'Tech Litons'!$A:$I,8,FALSE)</f>
        <v>3.7839999999999996E-3</v>
      </c>
      <c r="H6752" s="174">
        <f>VLOOKUP($A6752,'Tech Litons'!$A:$I,9,FALSE)</f>
        <v>255</v>
      </c>
      <c r="I6752" s="174" t="str">
        <f>VLOOKUP($A6752,'Tech Litons'!$A:$C,3,0)</f>
        <v>Talenti</v>
      </c>
      <c r="J6752" s="175" t="str">
        <f t="shared" si="751"/>
        <v>2904Talenti</v>
      </c>
      <c r="K6752" s="176">
        <f>VLOOKUP(I6752,'Attain %'!A:B,2,0)</f>
        <v>0.96</v>
      </c>
      <c r="L6752" s="177">
        <f t="shared" si="752"/>
        <v>32736</v>
      </c>
      <c r="M6752" s="177">
        <f t="shared" si="753"/>
        <v>123.87302399999999</v>
      </c>
      <c r="N6752" s="177">
        <f t="shared" si="754"/>
        <v>128.37647058823529</v>
      </c>
      <c r="O6752" s="175" t="str">
        <f t="shared" si="755"/>
        <v>Apr</v>
      </c>
      <c r="P6752" s="265">
        <f t="shared" si="756"/>
        <v>17</v>
      </c>
    </row>
    <row r="6753" spans="1:16" ht="15" hidden="1" customHeight="1">
      <c r="A6753" s="489">
        <v>68867755</v>
      </c>
      <c r="B6753" s="489">
        <v>2904</v>
      </c>
      <c r="C6753" s="488">
        <v>34100</v>
      </c>
      <c r="D6753" s="597">
        <v>46139</v>
      </c>
      <c r="E6753" s="489" t="s">
        <v>274</v>
      </c>
      <c r="F6753" s="489" t="s">
        <v>1228</v>
      </c>
      <c r="G6753" s="395">
        <f>VLOOKUP($A6753,'Tech Litons'!$A:$I,8,FALSE)</f>
        <v>3.552E-3</v>
      </c>
      <c r="H6753" s="174">
        <f>VLOOKUP($A6753,'Tech Litons'!$A:$I,9,FALSE)</f>
        <v>255</v>
      </c>
      <c r="I6753" s="174" t="str">
        <f>VLOOKUP($A6753,'Tech Litons'!$A:$C,3,0)</f>
        <v>Talenti</v>
      </c>
      <c r="J6753" s="175" t="str">
        <f t="shared" si="751"/>
        <v>2904Talenti</v>
      </c>
      <c r="K6753" s="176">
        <f>VLOOKUP(I6753,'Attain %'!A:B,2,0)</f>
        <v>0.96</v>
      </c>
      <c r="L6753" s="177">
        <f t="shared" si="752"/>
        <v>32736</v>
      </c>
      <c r="M6753" s="177">
        <f t="shared" si="753"/>
        <v>116.278272</v>
      </c>
      <c r="N6753" s="177">
        <f t="shared" si="754"/>
        <v>128.37647058823529</v>
      </c>
      <c r="O6753" s="175" t="str">
        <f t="shared" si="755"/>
        <v>Apr</v>
      </c>
      <c r="P6753" s="265">
        <f t="shared" si="756"/>
        <v>18</v>
      </c>
    </row>
    <row r="6754" spans="1:16" ht="15" hidden="1" customHeight="1">
      <c r="A6754" s="489">
        <v>68769686</v>
      </c>
      <c r="B6754" s="489">
        <v>1352</v>
      </c>
      <c r="C6754" s="488">
        <v>34200</v>
      </c>
      <c r="D6754" s="597">
        <v>46146</v>
      </c>
      <c r="E6754" s="489" t="s">
        <v>409</v>
      </c>
      <c r="F6754" s="489" t="s">
        <v>1211</v>
      </c>
      <c r="G6754" s="395">
        <f>VLOOKUP($A6754,'Tech Litons'!$A:$I,8,FALSE)</f>
        <v>8.513999999999999E-3</v>
      </c>
      <c r="H6754" s="174">
        <f>VLOOKUP($A6754,'Tech Litons'!$A:$I,9,FALSE)</f>
        <v>154</v>
      </c>
      <c r="I6754" s="174" t="str">
        <f>VLOOKUP($A6754,'Tech Litons'!$A:$C,3,0)</f>
        <v>48oz</v>
      </c>
      <c r="J6754" s="175" t="str">
        <f t="shared" si="751"/>
        <v>135248oz</v>
      </c>
      <c r="K6754" s="176">
        <f>VLOOKUP(I6754,'Attain %'!A:B,2,0)</f>
        <v>0.94</v>
      </c>
      <c r="L6754" s="177">
        <f t="shared" si="752"/>
        <v>32147.999999999996</v>
      </c>
      <c r="M6754" s="177">
        <f t="shared" si="753"/>
        <v>273.70807199999996</v>
      </c>
      <c r="N6754" s="177">
        <f t="shared" si="754"/>
        <v>208.75324675324674</v>
      </c>
      <c r="O6754" s="175" t="str">
        <f t="shared" si="755"/>
        <v>May</v>
      </c>
      <c r="P6754" s="265">
        <f t="shared" si="756"/>
        <v>19</v>
      </c>
    </row>
    <row r="6755" spans="1:16" ht="15" hidden="1" customHeight="1">
      <c r="A6755" s="489">
        <v>68817793</v>
      </c>
      <c r="B6755" s="489">
        <v>1352</v>
      </c>
      <c r="C6755" s="488">
        <v>34200</v>
      </c>
      <c r="D6755" s="597">
        <v>46153</v>
      </c>
      <c r="E6755" s="489" t="s">
        <v>353</v>
      </c>
      <c r="F6755" s="489" t="s">
        <v>1211</v>
      </c>
      <c r="G6755" s="395">
        <f>VLOOKUP($A6755,'Tech Litons'!$A:$I,8,FALSE)</f>
        <v>8.5199999999999998E-3</v>
      </c>
      <c r="H6755" s="174">
        <f>VLOOKUP($A6755,'Tech Litons'!$A:$I,9,FALSE)</f>
        <v>176</v>
      </c>
      <c r="I6755" s="174" t="str">
        <f>VLOOKUP($A6755,'Tech Litons'!$A:$C,3,0)</f>
        <v>48oz</v>
      </c>
      <c r="J6755" s="175" t="str">
        <f t="shared" si="751"/>
        <v>135248oz</v>
      </c>
      <c r="K6755" s="176">
        <f>VLOOKUP(I6755,'Attain %'!A:B,2,0)</f>
        <v>0.94</v>
      </c>
      <c r="L6755" s="177">
        <f t="shared" si="752"/>
        <v>32147.999999999996</v>
      </c>
      <c r="M6755" s="177">
        <f t="shared" si="753"/>
        <v>273.90095999999994</v>
      </c>
      <c r="N6755" s="177">
        <f t="shared" si="754"/>
        <v>182.65909090909088</v>
      </c>
      <c r="O6755" s="175" t="str">
        <f t="shared" si="755"/>
        <v>May</v>
      </c>
      <c r="P6755" s="265">
        <f t="shared" si="756"/>
        <v>20</v>
      </c>
    </row>
    <row r="6756" spans="1:16" ht="15" hidden="1" customHeight="1">
      <c r="A6756" s="489">
        <v>68852591</v>
      </c>
      <c r="B6756" s="489">
        <v>1352</v>
      </c>
      <c r="C6756" s="488">
        <v>34320</v>
      </c>
      <c r="D6756" s="597">
        <v>46118</v>
      </c>
      <c r="E6756" s="489" t="s">
        <v>326</v>
      </c>
      <c r="F6756" s="489" t="s">
        <v>1214</v>
      </c>
      <c r="G6756" s="395">
        <f>VLOOKUP($A6756,'Tech Litons'!$A:$I,8,FALSE)</f>
        <v>8.5199999999999998E-3</v>
      </c>
      <c r="H6756" s="174">
        <f>VLOOKUP($A6756,'Tech Litons'!$A:$I,9,FALSE)</f>
        <v>132</v>
      </c>
      <c r="I6756" s="174" t="str">
        <f>VLOOKUP($A6756,'Tech Litons'!$A:$C,3,0)</f>
        <v>EDF</v>
      </c>
      <c r="J6756" s="175" t="str">
        <f t="shared" si="751"/>
        <v>1352EDF</v>
      </c>
      <c r="K6756" s="176">
        <f>VLOOKUP(I6756,'Attain %'!A:B,2,0)</f>
        <v>0.96</v>
      </c>
      <c r="L6756" s="177">
        <f t="shared" si="752"/>
        <v>32947.199999999997</v>
      </c>
      <c r="M6756" s="177">
        <f t="shared" si="753"/>
        <v>280.71014399999996</v>
      </c>
      <c r="N6756" s="177">
        <f t="shared" si="754"/>
        <v>249.59999999999997</v>
      </c>
      <c r="O6756" s="175" t="str">
        <f t="shared" si="755"/>
        <v>Apr</v>
      </c>
      <c r="P6756" s="265">
        <f t="shared" si="756"/>
        <v>15</v>
      </c>
    </row>
    <row r="6757" spans="1:16" ht="15" hidden="1" customHeight="1">
      <c r="A6757" s="489">
        <v>64987234</v>
      </c>
      <c r="B6757" s="489">
        <v>1716</v>
      </c>
      <c r="C6757" s="488">
        <v>34376</v>
      </c>
      <c r="D6757" s="597">
        <v>46104</v>
      </c>
      <c r="E6757" s="489" t="s">
        <v>598</v>
      </c>
      <c r="F6757" s="489" t="s">
        <v>1221</v>
      </c>
      <c r="G6757" s="395">
        <f>VLOOKUP($A6757,'Tech Litons'!$A:$I,8,FALSE)</f>
        <v>2.3999999999999998E-3</v>
      </c>
      <c r="H6757" s="174">
        <f>VLOOKUP($A6757,'Tech Litons'!$A:$I,9,FALSE)</f>
        <v>165</v>
      </c>
      <c r="I6757" s="174" t="str">
        <f>VLOOKUP($A6757,'Tech Litons'!$A:$C,3,0)</f>
        <v>BJ Bars</v>
      </c>
      <c r="J6757" s="175" t="str">
        <f t="shared" si="751"/>
        <v>1716BJ Bars</v>
      </c>
      <c r="K6757" s="176">
        <f>VLOOKUP(I6757,'Attain %'!A:B,2,0)</f>
        <v>0.96</v>
      </c>
      <c r="L6757" s="177">
        <f t="shared" si="752"/>
        <v>33000.959999999999</v>
      </c>
      <c r="M6757" s="177">
        <f t="shared" si="753"/>
        <v>79.202303999999998</v>
      </c>
      <c r="N6757" s="177">
        <f t="shared" si="754"/>
        <v>200.00581818181817</v>
      </c>
      <c r="O6757" s="175" t="str">
        <f t="shared" si="755"/>
        <v>Mar</v>
      </c>
      <c r="P6757" s="265">
        <f t="shared" si="756"/>
        <v>13</v>
      </c>
    </row>
    <row r="6758" spans="1:16" ht="15" hidden="1" customHeight="1">
      <c r="A6758" s="489">
        <v>64958126</v>
      </c>
      <c r="B6758" s="489">
        <v>1715</v>
      </c>
      <c r="C6758" s="488">
        <v>34500</v>
      </c>
      <c r="D6758" s="597">
        <v>46125</v>
      </c>
      <c r="E6758" s="489" t="s">
        <v>588</v>
      </c>
      <c r="F6758" s="489" t="s">
        <v>1221</v>
      </c>
      <c r="G6758" s="395">
        <f>VLOOKUP($A6758,'Tech Litons'!$A:$I,8,FALSE)</f>
        <v>3.3119999999999998E-3</v>
      </c>
      <c r="H6758" s="174">
        <f>VLOOKUP($A6758,'Tech Litons'!$A:$I,9,FALSE)</f>
        <v>165</v>
      </c>
      <c r="I6758" s="174" t="str">
        <f>VLOOKUP($A6758,'Tech Litons'!$A:$C,3,0)</f>
        <v>Yasso Sticks</v>
      </c>
      <c r="J6758" s="175" t="str">
        <f t="shared" si="751"/>
        <v>1715Yasso Sticks</v>
      </c>
      <c r="K6758" s="176">
        <f>VLOOKUP(I6758,'Attain %'!A:B,2,0)</f>
        <v>0.96</v>
      </c>
      <c r="L6758" s="177">
        <f t="shared" si="752"/>
        <v>33120</v>
      </c>
      <c r="M6758" s="177">
        <f t="shared" si="753"/>
        <v>109.69344</v>
      </c>
      <c r="N6758" s="177">
        <f t="shared" si="754"/>
        <v>200.72727272727272</v>
      </c>
      <c r="O6758" s="175" t="str">
        <f t="shared" si="755"/>
        <v>Apr</v>
      </c>
      <c r="P6758" s="265">
        <f t="shared" si="756"/>
        <v>16</v>
      </c>
    </row>
    <row r="6759" spans="1:16" ht="15" hidden="1" customHeight="1">
      <c r="A6759" s="489">
        <v>64958129</v>
      </c>
      <c r="B6759" s="489">
        <v>1715</v>
      </c>
      <c r="C6759" s="488">
        <v>34500</v>
      </c>
      <c r="D6759" s="597">
        <v>46153</v>
      </c>
      <c r="E6759" s="489" t="s">
        <v>589</v>
      </c>
      <c r="F6759" s="489" t="s">
        <v>1221</v>
      </c>
      <c r="G6759" s="395">
        <f>VLOOKUP($A6759,'Tech Litons'!$A:$I,8,FALSE)</f>
        <v>3.3119999999999998E-3</v>
      </c>
      <c r="H6759" s="174">
        <f>VLOOKUP($A6759,'Tech Litons'!$A:$I,9,FALSE)</f>
        <v>165</v>
      </c>
      <c r="I6759" s="174" t="str">
        <f>VLOOKUP($A6759,'Tech Litons'!$A:$C,3,0)</f>
        <v>Yasso Sticks</v>
      </c>
      <c r="J6759" s="175" t="str">
        <f t="shared" si="751"/>
        <v>1715Yasso Sticks</v>
      </c>
      <c r="K6759" s="176">
        <f>VLOOKUP(I6759,'Attain %'!A:B,2,0)</f>
        <v>0.96</v>
      </c>
      <c r="L6759" s="177">
        <f t="shared" si="752"/>
        <v>33120</v>
      </c>
      <c r="M6759" s="177">
        <f t="shared" si="753"/>
        <v>109.69344</v>
      </c>
      <c r="N6759" s="177">
        <f t="shared" si="754"/>
        <v>200.72727272727272</v>
      </c>
      <c r="O6759" s="175" t="str">
        <f t="shared" si="755"/>
        <v>May</v>
      </c>
      <c r="P6759" s="265">
        <f t="shared" si="756"/>
        <v>20</v>
      </c>
    </row>
    <row r="6760" spans="1:16" ht="15" hidden="1" customHeight="1">
      <c r="A6760" s="489">
        <v>64973976</v>
      </c>
      <c r="B6760" s="489">
        <v>1712</v>
      </c>
      <c r="C6760" s="488">
        <v>34560</v>
      </c>
      <c r="D6760" s="597">
        <v>46244</v>
      </c>
      <c r="E6760" s="489" t="s">
        <v>1190</v>
      </c>
      <c r="F6760" s="489" t="s">
        <v>1221</v>
      </c>
      <c r="G6760" s="395">
        <f>VLOOKUP($A6760,'Tech Litons'!$A:$I,8,FALSE)</f>
        <v>1.0644000000000001E-3</v>
      </c>
      <c r="H6760" s="174">
        <f>VLOOKUP($A6760,'Tech Litons'!$A:$I,9,FALSE)</f>
        <v>190</v>
      </c>
      <c r="I6760" s="174" t="str">
        <f>VLOOKUP($A6760,'Tech Litons'!$A:$C,3,0)</f>
        <v>BR Minicups</v>
      </c>
      <c r="J6760" s="175" t="str">
        <f t="shared" si="751"/>
        <v>1712BR Minicups</v>
      </c>
      <c r="K6760" s="176">
        <f>VLOOKUP(I6760,'Attain %'!A:B,2,0)</f>
        <v>0.96</v>
      </c>
      <c r="L6760" s="177">
        <f t="shared" si="752"/>
        <v>33177.599999999999</v>
      </c>
      <c r="M6760" s="177">
        <f t="shared" si="753"/>
        <v>35.314237439999999</v>
      </c>
      <c r="N6760" s="177">
        <f t="shared" si="754"/>
        <v>174.61894736842103</v>
      </c>
      <c r="O6760" s="175" t="str">
        <f t="shared" si="755"/>
        <v>Aug</v>
      </c>
      <c r="P6760" s="265">
        <f t="shared" si="756"/>
        <v>33</v>
      </c>
    </row>
    <row r="6761" spans="1:16" ht="15" hidden="1" customHeight="1">
      <c r="A6761" s="489">
        <v>84137694</v>
      </c>
      <c r="B6761" s="489">
        <v>5914</v>
      </c>
      <c r="C6761" s="488">
        <v>34560</v>
      </c>
      <c r="D6761" s="597">
        <v>46139</v>
      </c>
      <c r="E6761" s="489" t="s">
        <v>417</v>
      </c>
      <c r="F6761" s="489" t="s">
        <v>1244</v>
      </c>
      <c r="G6761" s="395">
        <f>VLOOKUP($A6761,'Tech Litons'!$A:$I,8,FALSE)</f>
        <v>3.7853439999999999E-3</v>
      </c>
      <c r="H6761" s="174">
        <f>VLOOKUP($A6761,'Tech Litons'!$A:$I,9,FALSE)</f>
        <v>240</v>
      </c>
      <c r="I6761" s="174" t="str">
        <f>VLOOKUP($A6761,'Tech Litons'!$A:$C,3,0)</f>
        <v>BJ PTS</v>
      </c>
      <c r="J6761" s="175" t="str">
        <f t="shared" si="751"/>
        <v>5914BJ PTS</v>
      </c>
      <c r="K6761" s="176">
        <f>VLOOKUP(I6761,'Attain %'!A:B,2,0)</f>
        <v>0.95</v>
      </c>
      <c r="L6761" s="177">
        <f t="shared" si="752"/>
        <v>32832</v>
      </c>
      <c r="M6761" s="177">
        <f t="shared" si="753"/>
        <v>124.280414208</v>
      </c>
      <c r="N6761" s="177">
        <f t="shared" si="754"/>
        <v>136.80000000000001</v>
      </c>
      <c r="O6761" s="175" t="str">
        <f t="shared" si="755"/>
        <v>Apr</v>
      </c>
      <c r="P6761" s="265">
        <f t="shared" si="756"/>
        <v>18</v>
      </c>
    </row>
    <row r="6762" spans="1:16" ht="15" hidden="1" customHeight="1">
      <c r="A6762" s="489">
        <v>64771676</v>
      </c>
      <c r="B6762" s="489" t="s">
        <v>139</v>
      </c>
      <c r="C6762" s="488">
        <v>34632</v>
      </c>
      <c r="D6762" s="597">
        <v>46209</v>
      </c>
      <c r="E6762" s="489" t="s">
        <v>619</v>
      </c>
      <c r="F6762" s="489" t="s">
        <v>1223</v>
      </c>
      <c r="G6762" s="395">
        <f>VLOOKUP($A6762,'Tech Litons'!$A:$I,8,FALSE)</f>
        <v>2.16E-3</v>
      </c>
      <c r="H6762" s="174">
        <f>VLOOKUP($A6762,'Tech Litons'!$A:$I,9,FALSE)</f>
        <v>195</v>
      </c>
      <c r="I6762" s="174" t="str">
        <f>VLOOKUP($A6762,'Tech Litons'!$A:$C,3,0)</f>
        <v>Facepieces</v>
      </c>
      <c r="J6762" s="175" t="str">
        <f t="shared" si="751"/>
        <v>IncomFacepieces</v>
      </c>
      <c r="K6762" s="176">
        <f>VLOOKUP(I6762,'Attain %'!A:B,2,0)</f>
        <v>0.96</v>
      </c>
      <c r="L6762" s="177">
        <f t="shared" si="752"/>
        <v>33246.720000000001</v>
      </c>
      <c r="M6762" s="177">
        <f t="shared" si="753"/>
        <v>71.812915200000006</v>
      </c>
      <c r="N6762" s="177">
        <f t="shared" si="754"/>
        <v>170.49600000000001</v>
      </c>
      <c r="O6762" s="175" t="str">
        <f t="shared" si="755"/>
        <v>Jul</v>
      </c>
      <c r="P6762" s="265">
        <f t="shared" si="756"/>
        <v>28</v>
      </c>
    </row>
    <row r="6763" spans="1:16" ht="15" hidden="1" customHeight="1">
      <c r="A6763" s="489">
        <v>64979444</v>
      </c>
      <c r="B6763" s="489" t="s">
        <v>139</v>
      </c>
      <c r="C6763" s="488">
        <v>34632</v>
      </c>
      <c r="D6763" s="597">
        <v>46237</v>
      </c>
      <c r="E6763" s="489" t="s">
        <v>622</v>
      </c>
      <c r="F6763" s="489" t="s">
        <v>1223</v>
      </c>
      <c r="G6763" s="395">
        <f>VLOOKUP($A6763,'Tech Litons'!$A:$I,8,FALSE)</f>
        <v>2.16E-3</v>
      </c>
      <c r="H6763" s="174">
        <f>VLOOKUP($A6763,'Tech Litons'!$A:$I,9,FALSE)</f>
        <v>195</v>
      </c>
      <c r="I6763" s="174" t="str">
        <f>VLOOKUP($A6763,'Tech Litons'!$A:$C,3,0)</f>
        <v>Facepieces</v>
      </c>
      <c r="J6763" s="175" t="str">
        <f t="shared" si="751"/>
        <v>IncomFacepieces</v>
      </c>
      <c r="K6763" s="176">
        <f>VLOOKUP(I6763,'Attain %'!A:B,2,0)</f>
        <v>0.96</v>
      </c>
      <c r="L6763" s="177">
        <f t="shared" si="752"/>
        <v>33246.720000000001</v>
      </c>
      <c r="M6763" s="177">
        <f t="shared" si="753"/>
        <v>71.812915200000006</v>
      </c>
      <c r="N6763" s="177">
        <f t="shared" si="754"/>
        <v>170.49600000000001</v>
      </c>
      <c r="O6763" s="175" t="str">
        <f t="shared" si="755"/>
        <v>Aug</v>
      </c>
      <c r="P6763" s="265">
        <f t="shared" si="756"/>
        <v>32</v>
      </c>
    </row>
    <row r="6764" spans="1:16" ht="15" hidden="1" customHeight="1">
      <c r="A6764" s="489">
        <v>64987232</v>
      </c>
      <c r="B6764" s="489">
        <v>1716</v>
      </c>
      <c r="C6764" s="488">
        <v>34688</v>
      </c>
      <c r="D6764" s="597">
        <v>46111</v>
      </c>
      <c r="E6764" s="489" t="s">
        <v>596</v>
      </c>
      <c r="F6764" s="489" t="s">
        <v>1221</v>
      </c>
      <c r="G6764" s="395">
        <f>VLOOKUP($A6764,'Tech Litons'!$A:$I,8,FALSE)</f>
        <v>2.3999999999999998E-3</v>
      </c>
      <c r="H6764" s="174">
        <f>VLOOKUP($A6764,'Tech Litons'!$A:$I,9,FALSE)</f>
        <v>165</v>
      </c>
      <c r="I6764" s="174" t="str">
        <f>VLOOKUP($A6764,'Tech Litons'!$A:$C,3,0)</f>
        <v>BJ Bars</v>
      </c>
      <c r="J6764" s="175" t="str">
        <f t="shared" si="751"/>
        <v>1716BJ Bars</v>
      </c>
      <c r="K6764" s="176">
        <f>VLOOKUP(I6764,'Attain %'!A:B,2,0)</f>
        <v>0.96</v>
      </c>
      <c r="L6764" s="177">
        <f t="shared" si="752"/>
        <v>33300.479999999996</v>
      </c>
      <c r="M6764" s="177">
        <f t="shared" si="753"/>
        <v>79.921151999999978</v>
      </c>
      <c r="N6764" s="177">
        <f t="shared" si="754"/>
        <v>201.82109090909088</v>
      </c>
      <c r="O6764" s="175" t="str">
        <f t="shared" si="755"/>
        <v>Mar</v>
      </c>
      <c r="P6764" s="265">
        <f t="shared" si="756"/>
        <v>14</v>
      </c>
    </row>
    <row r="6765" spans="1:16" ht="15" hidden="1" customHeight="1">
      <c r="A6765" s="489">
        <v>67881628</v>
      </c>
      <c r="B6765" s="489">
        <v>5914</v>
      </c>
      <c r="C6765" s="488">
        <v>34720</v>
      </c>
      <c r="D6765" s="597">
        <v>46146</v>
      </c>
      <c r="E6765" s="489" t="s">
        <v>345</v>
      </c>
      <c r="F6765" s="489" t="s">
        <v>1246</v>
      </c>
      <c r="G6765" s="395">
        <f>VLOOKUP($A6765,'Tech Litons'!$A:$I,8,FALSE)</f>
        <v>3.7853439999999999E-3</v>
      </c>
      <c r="H6765" s="174">
        <f>VLOOKUP($A6765,'Tech Litons'!$A:$I,9,FALSE)</f>
        <v>240</v>
      </c>
      <c r="I6765" s="174" t="str">
        <f>VLOOKUP($A6765,'Tech Litons'!$A:$C,3,0)</f>
        <v>BJ PTS</v>
      </c>
      <c r="J6765" s="175" t="str">
        <f t="shared" si="751"/>
        <v>5914BJ PTS</v>
      </c>
      <c r="K6765" s="176">
        <f>VLOOKUP(I6765,'Attain %'!A:B,2,0)</f>
        <v>0.95</v>
      </c>
      <c r="L6765" s="177">
        <f t="shared" si="752"/>
        <v>32984</v>
      </c>
      <c r="M6765" s="177">
        <f t="shared" si="753"/>
        <v>124.85578649599999</v>
      </c>
      <c r="N6765" s="177">
        <f t="shared" si="754"/>
        <v>137.43333333333334</v>
      </c>
      <c r="O6765" s="175" t="str">
        <f t="shared" si="755"/>
        <v>May</v>
      </c>
      <c r="P6765" s="265">
        <f t="shared" si="756"/>
        <v>19</v>
      </c>
    </row>
    <row r="6766" spans="1:16" ht="15" hidden="1" customHeight="1">
      <c r="A6766" s="489">
        <v>69797296</v>
      </c>
      <c r="B6766" s="489">
        <v>5914</v>
      </c>
      <c r="C6766" s="488">
        <v>34720</v>
      </c>
      <c r="D6766" s="597">
        <v>46146</v>
      </c>
      <c r="E6766" s="489" t="s">
        <v>474</v>
      </c>
      <c r="F6766" s="489" t="s">
        <v>1246</v>
      </c>
      <c r="G6766" s="395">
        <f>VLOOKUP($A6766,'Tech Litons'!$A:$I,8,FALSE)</f>
        <v>3.7839999999999996E-3</v>
      </c>
      <c r="H6766" s="174">
        <f>VLOOKUP($A6766,'Tech Litons'!$A:$I,9,FALSE)</f>
        <v>240</v>
      </c>
      <c r="I6766" s="174" t="str">
        <f>VLOOKUP($A6766,'Tech Litons'!$A:$C,3,0)</f>
        <v>BJ PTS</v>
      </c>
      <c r="J6766" s="175" t="str">
        <f t="shared" si="751"/>
        <v>5914BJ PTS</v>
      </c>
      <c r="K6766" s="176">
        <f>VLOOKUP(I6766,'Attain %'!A:B,2,0)</f>
        <v>0.95</v>
      </c>
      <c r="L6766" s="177">
        <f t="shared" si="752"/>
        <v>32984</v>
      </c>
      <c r="M6766" s="177">
        <f t="shared" si="753"/>
        <v>124.81145599999999</v>
      </c>
      <c r="N6766" s="177">
        <f t="shared" si="754"/>
        <v>137.43333333333334</v>
      </c>
      <c r="O6766" s="175" t="str">
        <f t="shared" si="755"/>
        <v>May</v>
      </c>
      <c r="P6766" s="265">
        <f t="shared" si="756"/>
        <v>19</v>
      </c>
    </row>
    <row r="6767" spans="1:16" ht="15" hidden="1" customHeight="1">
      <c r="A6767" s="489">
        <v>65489677</v>
      </c>
      <c r="B6767" s="489">
        <v>1717</v>
      </c>
      <c r="C6767" s="488">
        <v>34726</v>
      </c>
      <c r="D6767" s="597">
        <v>46118</v>
      </c>
      <c r="E6767" s="489" t="s">
        <v>1188</v>
      </c>
      <c r="F6767" s="489" t="s">
        <v>1221</v>
      </c>
      <c r="G6767" s="395">
        <f>VLOOKUP($A6767,'Tech Litons'!$A:$I,8,FALSE)</f>
        <v>2.8319999999999999E-3</v>
      </c>
      <c r="H6767" s="174">
        <f>VLOOKUP($A6767,'Tech Litons'!$A:$I,9,FALSE)</f>
        <v>221</v>
      </c>
      <c r="I6767" s="174" t="str">
        <f>VLOOKUP($A6767,'Tech Litons'!$A:$C,3,0)</f>
        <v>Other</v>
      </c>
      <c r="J6767" s="175" t="str">
        <f t="shared" si="751"/>
        <v>1717Other</v>
      </c>
      <c r="K6767" s="176">
        <f>VLOOKUP(I6767,'Attain %'!A:B,2,0)</f>
        <v>0.96</v>
      </c>
      <c r="L6767" s="177">
        <f t="shared" si="752"/>
        <v>33336.959999999999</v>
      </c>
      <c r="M6767" s="177">
        <f t="shared" si="753"/>
        <v>94.41027072</v>
      </c>
      <c r="N6767" s="177">
        <f t="shared" si="754"/>
        <v>150.84597285067872</v>
      </c>
      <c r="O6767" s="175" t="str">
        <f t="shared" si="755"/>
        <v>Apr</v>
      </c>
      <c r="P6767" s="265">
        <f t="shared" si="756"/>
        <v>15</v>
      </c>
    </row>
    <row r="6768" spans="1:16" ht="15" hidden="1" customHeight="1">
      <c r="A6768" s="489">
        <v>68817793</v>
      </c>
      <c r="B6768" s="489">
        <v>1352</v>
      </c>
      <c r="C6768" s="488">
        <v>34780</v>
      </c>
      <c r="D6768" s="597">
        <v>46160</v>
      </c>
      <c r="E6768" s="489" t="s">
        <v>353</v>
      </c>
      <c r="F6768" s="489" t="s">
        <v>1208</v>
      </c>
      <c r="G6768" s="395">
        <f>VLOOKUP($A6768,'Tech Litons'!$A:$I,8,FALSE)</f>
        <v>8.5199999999999998E-3</v>
      </c>
      <c r="H6768" s="174">
        <f>VLOOKUP($A6768,'Tech Litons'!$A:$I,9,FALSE)</f>
        <v>176</v>
      </c>
      <c r="I6768" s="174" t="str">
        <f>VLOOKUP($A6768,'Tech Litons'!$A:$C,3,0)</f>
        <v>48oz</v>
      </c>
      <c r="J6768" s="175" t="str">
        <f t="shared" si="751"/>
        <v>135248oz</v>
      </c>
      <c r="K6768" s="176">
        <f>VLOOKUP(I6768,'Attain %'!A:B,2,0)</f>
        <v>0.94</v>
      </c>
      <c r="L6768" s="177">
        <f t="shared" si="752"/>
        <v>32693.199999999997</v>
      </c>
      <c r="M6768" s="177">
        <f t="shared" si="753"/>
        <v>278.54606399999994</v>
      </c>
      <c r="N6768" s="177">
        <f t="shared" si="754"/>
        <v>185.75681818181818</v>
      </c>
      <c r="O6768" s="175" t="str">
        <f t="shared" si="755"/>
        <v>May</v>
      </c>
      <c r="P6768" s="265">
        <f t="shared" si="756"/>
        <v>21</v>
      </c>
    </row>
    <row r="6769" spans="1:16" ht="15" hidden="1" customHeight="1">
      <c r="A6769" s="489">
        <v>68881265</v>
      </c>
      <c r="B6769" s="489">
        <v>1352</v>
      </c>
      <c r="C6769" s="488">
        <v>34780</v>
      </c>
      <c r="D6769" s="597">
        <v>46139</v>
      </c>
      <c r="E6769" s="489" t="s">
        <v>486</v>
      </c>
      <c r="F6769" s="489" t="s">
        <v>1208</v>
      </c>
      <c r="G6769" s="395">
        <f>VLOOKUP($A6769,'Tech Litons'!$A:$I,8,FALSE)</f>
        <v>8.5199999999999998E-3</v>
      </c>
      <c r="H6769" s="174">
        <f>VLOOKUP($A6769,'Tech Litons'!$A:$I,9,FALSE)</f>
        <v>176</v>
      </c>
      <c r="I6769" s="174" t="str">
        <f>VLOOKUP($A6769,'Tech Litons'!$A:$C,3,0)</f>
        <v>48oz</v>
      </c>
      <c r="J6769" s="175" t="str">
        <f t="shared" si="751"/>
        <v>135248oz</v>
      </c>
      <c r="K6769" s="176">
        <f>VLOOKUP(I6769,'Attain %'!A:B,2,0)</f>
        <v>0.94</v>
      </c>
      <c r="L6769" s="177">
        <f t="shared" si="752"/>
        <v>32693.199999999997</v>
      </c>
      <c r="M6769" s="177">
        <f t="shared" si="753"/>
        <v>278.54606399999994</v>
      </c>
      <c r="N6769" s="177">
        <f t="shared" si="754"/>
        <v>185.75681818181818</v>
      </c>
      <c r="O6769" s="175" t="str">
        <f t="shared" si="755"/>
        <v>Apr</v>
      </c>
      <c r="P6769" s="265">
        <f t="shared" si="756"/>
        <v>18</v>
      </c>
    </row>
    <row r="6770" spans="1:16" ht="15" hidden="1" customHeight="1">
      <c r="A6770" s="489">
        <v>68881270</v>
      </c>
      <c r="B6770" s="489">
        <v>1352</v>
      </c>
      <c r="C6770" s="488">
        <v>34780</v>
      </c>
      <c r="D6770" s="597">
        <v>46146</v>
      </c>
      <c r="E6770" s="489" t="s">
        <v>383</v>
      </c>
      <c r="F6770" s="489" t="s">
        <v>1208</v>
      </c>
      <c r="G6770" s="395">
        <f>VLOOKUP($A6770,'Tech Litons'!$A:$I,8,FALSE)</f>
        <v>8.5199999999999998E-3</v>
      </c>
      <c r="H6770" s="174">
        <f>VLOOKUP($A6770,'Tech Litons'!$A:$I,9,FALSE)</f>
        <v>176</v>
      </c>
      <c r="I6770" s="174" t="str">
        <f>VLOOKUP($A6770,'Tech Litons'!$A:$C,3,0)</f>
        <v>48oz</v>
      </c>
      <c r="J6770" s="175" t="str">
        <f t="shared" si="751"/>
        <v>135248oz</v>
      </c>
      <c r="K6770" s="176">
        <f>VLOOKUP(I6770,'Attain %'!A:B,2,0)</f>
        <v>0.94</v>
      </c>
      <c r="L6770" s="177">
        <f t="shared" si="752"/>
        <v>32693.199999999997</v>
      </c>
      <c r="M6770" s="177">
        <f t="shared" si="753"/>
        <v>278.54606399999994</v>
      </c>
      <c r="N6770" s="177">
        <f t="shared" si="754"/>
        <v>185.75681818181818</v>
      </c>
      <c r="O6770" s="175" t="str">
        <f t="shared" si="755"/>
        <v>May</v>
      </c>
      <c r="P6770" s="265">
        <f t="shared" si="756"/>
        <v>19</v>
      </c>
    </row>
    <row r="6771" spans="1:16" ht="15" hidden="1" customHeight="1">
      <c r="A6771" s="489">
        <v>68881270</v>
      </c>
      <c r="B6771" s="489">
        <v>1352</v>
      </c>
      <c r="C6771" s="488">
        <v>34780</v>
      </c>
      <c r="D6771" s="597">
        <v>46160</v>
      </c>
      <c r="E6771" s="489" t="s">
        <v>383</v>
      </c>
      <c r="F6771" s="489" t="s">
        <v>1208</v>
      </c>
      <c r="G6771" s="395">
        <f>VLOOKUP($A6771,'Tech Litons'!$A:$I,8,FALSE)</f>
        <v>8.5199999999999998E-3</v>
      </c>
      <c r="H6771" s="174">
        <f>VLOOKUP($A6771,'Tech Litons'!$A:$I,9,FALSE)</f>
        <v>176</v>
      </c>
      <c r="I6771" s="174" t="str">
        <f>VLOOKUP($A6771,'Tech Litons'!$A:$C,3,0)</f>
        <v>48oz</v>
      </c>
      <c r="J6771" s="175" t="str">
        <f t="shared" si="751"/>
        <v>135248oz</v>
      </c>
      <c r="K6771" s="176">
        <f>VLOOKUP(I6771,'Attain %'!A:B,2,0)</f>
        <v>0.94</v>
      </c>
      <c r="L6771" s="177">
        <f t="shared" si="752"/>
        <v>32693.199999999997</v>
      </c>
      <c r="M6771" s="177">
        <f t="shared" si="753"/>
        <v>278.54606399999994</v>
      </c>
      <c r="N6771" s="177">
        <f t="shared" si="754"/>
        <v>185.75681818181818</v>
      </c>
      <c r="O6771" s="175" t="str">
        <f t="shared" si="755"/>
        <v>May</v>
      </c>
      <c r="P6771" s="265">
        <f t="shared" si="756"/>
        <v>21</v>
      </c>
    </row>
    <row r="6772" spans="1:16" ht="15" hidden="1" customHeight="1">
      <c r="A6772" s="489">
        <v>68899821</v>
      </c>
      <c r="B6772" s="489">
        <v>1352</v>
      </c>
      <c r="C6772" s="488">
        <v>34780</v>
      </c>
      <c r="D6772" s="597">
        <v>46167</v>
      </c>
      <c r="E6772" s="489" t="s">
        <v>430</v>
      </c>
      <c r="F6772" s="489" t="s">
        <v>1208</v>
      </c>
      <c r="G6772" s="395">
        <f>VLOOKUP($A6772,'Tech Litons'!$A:$I,8,FALSE)</f>
        <v>8.5199999999999998E-3</v>
      </c>
      <c r="H6772" s="174">
        <f>VLOOKUP($A6772,'Tech Litons'!$A:$I,9,FALSE)</f>
        <v>176</v>
      </c>
      <c r="I6772" s="174" t="str">
        <f>VLOOKUP($A6772,'Tech Litons'!$A:$C,3,0)</f>
        <v>48oz</v>
      </c>
      <c r="J6772" s="175" t="str">
        <f t="shared" si="751"/>
        <v>135248oz</v>
      </c>
      <c r="K6772" s="176">
        <f>VLOOKUP(I6772,'Attain %'!A:B,2,0)</f>
        <v>0.94</v>
      </c>
      <c r="L6772" s="177">
        <f t="shared" si="752"/>
        <v>32693.199999999997</v>
      </c>
      <c r="M6772" s="177">
        <f t="shared" si="753"/>
        <v>278.54606399999994</v>
      </c>
      <c r="N6772" s="177">
        <f t="shared" si="754"/>
        <v>185.75681818181818</v>
      </c>
      <c r="O6772" s="175" t="str">
        <f t="shared" si="755"/>
        <v>May</v>
      </c>
      <c r="P6772" s="265">
        <f t="shared" si="756"/>
        <v>22</v>
      </c>
    </row>
    <row r="6773" spans="1:16" ht="15" hidden="1" customHeight="1">
      <c r="A6773" s="489">
        <v>68709233</v>
      </c>
      <c r="B6773" s="489">
        <v>1352</v>
      </c>
      <c r="C6773" s="488">
        <v>35000</v>
      </c>
      <c r="D6773" s="597">
        <v>46111</v>
      </c>
      <c r="E6773" s="489" t="s">
        <v>426</v>
      </c>
      <c r="F6773" s="489" t="s">
        <v>1212</v>
      </c>
      <c r="G6773" s="395">
        <f>VLOOKUP($A6773,'Tech Litons'!$A:$I,8,FALSE)</f>
        <v>8.4960000000000001E-3</v>
      </c>
      <c r="H6773" s="174">
        <f>VLOOKUP($A6773,'Tech Litons'!$A:$I,9,FALSE)</f>
        <v>132</v>
      </c>
      <c r="I6773" s="174" t="str">
        <f>VLOOKUP($A6773,'Tech Litons'!$A:$C,3,0)</f>
        <v>EDF</v>
      </c>
      <c r="J6773" s="175" t="str">
        <f t="shared" si="751"/>
        <v>1352EDF</v>
      </c>
      <c r="K6773" s="176">
        <f>VLOOKUP(I6773,'Attain %'!A:B,2,0)</f>
        <v>0.96</v>
      </c>
      <c r="L6773" s="177">
        <f t="shared" si="752"/>
        <v>33600</v>
      </c>
      <c r="M6773" s="177">
        <f t="shared" si="753"/>
        <v>285.46559999999999</v>
      </c>
      <c r="N6773" s="177">
        <f t="shared" si="754"/>
        <v>254.54545454545453</v>
      </c>
      <c r="O6773" s="175" t="str">
        <f t="shared" si="755"/>
        <v>Mar</v>
      </c>
      <c r="P6773" s="265">
        <f t="shared" si="756"/>
        <v>14</v>
      </c>
    </row>
    <row r="6774" spans="1:16" ht="15" hidden="1" customHeight="1">
      <c r="A6774" s="489">
        <v>64393723</v>
      </c>
      <c r="B6774" s="489">
        <v>2904</v>
      </c>
      <c r="C6774" s="488">
        <v>35000</v>
      </c>
      <c r="D6774" s="597">
        <v>46132</v>
      </c>
      <c r="E6774" s="489" t="s">
        <v>317</v>
      </c>
      <c r="F6774" s="489" t="s">
        <v>1238</v>
      </c>
      <c r="G6774" s="395">
        <f>VLOOKUP($A6774,'Tech Litons'!$A:$I,8,FALSE)</f>
        <v>2.16E-3</v>
      </c>
      <c r="H6774" s="174">
        <f>VLOOKUP($A6774,'Tech Litons'!$A:$I,9,FALSE)</f>
        <v>210</v>
      </c>
      <c r="I6774" s="174" t="str">
        <f>VLOOKUP($A6774,'Tech Litons'!$A:$C,3,0)</f>
        <v>MG Sticks</v>
      </c>
      <c r="J6774" s="175" t="str">
        <f t="shared" si="751"/>
        <v>2904MG Sticks</v>
      </c>
      <c r="K6774" s="176">
        <f>VLOOKUP(I6774,'Attain %'!A:B,2,0)</f>
        <v>0.96</v>
      </c>
      <c r="L6774" s="177">
        <f t="shared" si="752"/>
        <v>33600</v>
      </c>
      <c r="M6774" s="177">
        <f t="shared" si="753"/>
        <v>72.576000000000008</v>
      </c>
      <c r="N6774" s="177">
        <f t="shared" si="754"/>
        <v>160</v>
      </c>
      <c r="O6774" s="175" t="str">
        <f t="shared" si="755"/>
        <v>Apr</v>
      </c>
      <c r="P6774" s="265">
        <f t="shared" si="756"/>
        <v>17</v>
      </c>
    </row>
    <row r="6775" spans="1:16" ht="15" hidden="1" customHeight="1">
      <c r="A6775" s="489">
        <v>69690941</v>
      </c>
      <c r="B6775" s="489">
        <v>2904</v>
      </c>
      <c r="C6775" s="488">
        <v>35000</v>
      </c>
      <c r="D6775" s="597">
        <v>46153</v>
      </c>
      <c r="E6775" s="489" t="s">
        <v>321</v>
      </c>
      <c r="F6775" s="489" t="s">
        <v>1238</v>
      </c>
      <c r="G6775" s="395">
        <f>VLOOKUP($A6775,'Tech Litons'!$A:$I,8,FALSE)</f>
        <v>1.98E-3</v>
      </c>
      <c r="H6775" s="174">
        <f>VLOOKUP($A6775,'Tech Litons'!$A:$I,9,FALSE)</f>
        <v>176</v>
      </c>
      <c r="I6775" s="174" t="str">
        <f>VLOOKUP($A6775,'Tech Litons'!$A:$C,3,0)</f>
        <v>MG Sticks</v>
      </c>
      <c r="J6775" s="175" t="str">
        <f t="shared" si="751"/>
        <v>2904MG Sticks</v>
      </c>
      <c r="K6775" s="176">
        <f>VLOOKUP(I6775,'Attain %'!A:B,2,0)</f>
        <v>0.96</v>
      </c>
      <c r="L6775" s="177">
        <f t="shared" si="752"/>
        <v>33600</v>
      </c>
      <c r="M6775" s="177">
        <f t="shared" si="753"/>
        <v>66.528000000000006</v>
      </c>
      <c r="N6775" s="177">
        <f t="shared" si="754"/>
        <v>190.90909090909091</v>
      </c>
      <c r="O6775" s="175" t="str">
        <f t="shared" si="755"/>
        <v>May</v>
      </c>
      <c r="P6775" s="265">
        <f t="shared" si="756"/>
        <v>20</v>
      </c>
    </row>
    <row r="6776" spans="1:16" ht="15" hidden="1" customHeight="1">
      <c r="A6776" s="489">
        <v>69989759</v>
      </c>
      <c r="B6776" s="489">
        <v>2904</v>
      </c>
      <c r="C6776" s="488">
        <v>35000</v>
      </c>
      <c r="D6776" s="597">
        <v>46118</v>
      </c>
      <c r="E6776" s="489" t="s">
        <v>357</v>
      </c>
      <c r="F6776" s="489" t="s">
        <v>1238</v>
      </c>
      <c r="G6776" s="395">
        <f>VLOOKUP($A6776,'Tech Litons'!$A:$I,8,FALSE)</f>
        <v>1.98E-3</v>
      </c>
      <c r="H6776" s="174">
        <f>VLOOKUP($A6776,'Tech Litons'!$A:$I,9,FALSE)</f>
        <v>176</v>
      </c>
      <c r="I6776" s="174" t="str">
        <f>VLOOKUP($A6776,'Tech Litons'!$A:$C,3,0)</f>
        <v>MG Sticks</v>
      </c>
      <c r="J6776" s="175" t="str">
        <f t="shared" ref="J6776:J6839" si="757">B6776&amp;I6776</f>
        <v>2904MG Sticks</v>
      </c>
      <c r="K6776" s="176">
        <f>VLOOKUP(I6776,'Attain %'!A:B,2,0)</f>
        <v>0.96</v>
      </c>
      <c r="L6776" s="177">
        <f t="shared" ref="L6776:L6839" si="758">C6776*$K6776</f>
        <v>33600</v>
      </c>
      <c r="M6776" s="177">
        <f t="shared" ref="M6776:M6839" si="759">L6776*G6776</f>
        <v>66.528000000000006</v>
      </c>
      <c r="N6776" s="177">
        <f t="shared" ref="N6776:N6839" si="760">L6776/H6776</f>
        <v>190.90909090909091</v>
      </c>
      <c r="O6776" s="175" t="str">
        <f t="shared" ref="O6776:O6839" si="761">TEXT(D6776,"MMM")</f>
        <v>Apr</v>
      </c>
      <c r="P6776" s="265">
        <f t="shared" ref="P6776:P6839" si="762">WEEKNUM(D6776)</f>
        <v>15</v>
      </c>
    </row>
    <row r="6777" spans="1:16" ht="15" hidden="1" customHeight="1">
      <c r="A6777" s="489">
        <v>64977526</v>
      </c>
      <c r="B6777" s="489">
        <v>1352</v>
      </c>
      <c r="C6777" s="488">
        <v>35100</v>
      </c>
      <c r="D6777" s="597">
        <v>46146</v>
      </c>
      <c r="E6777" s="489" t="s">
        <v>323</v>
      </c>
      <c r="F6777" s="489" t="s">
        <v>1207</v>
      </c>
      <c r="G6777" s="395">
        <f>VLOOKUP($A6777,'Tech Litons'!$A:$I,8,FALSE)</f>
        <v>8.513999999999999E-3</v>
      </c>
      <c r="H6777" s="174">
        <f>VLOOKUP($A6777,'Tech Litons'!$A:$I,9,FALSE)</f>
        <v>176</v>
      </c>
      <c r="I6777" s="174" t="str">
        <f>VLOOKUP($A6777,'Tech Litons'!$A:$C,3,0)</f>
        <v>48oz</v>
      </c>
      <c r="J6777" s="175" t="str">
        <f t="shared" si="757"/>
        <v>135248oz</v>
      </c>
      <c r="K6777" s="176">
        <f>VLOOKUP(I6777,'Attain %'!A:B,2,0)</f>
        <v>0.94</v>
      </c>
      <c r="L6777" s="177">
        <f t="shared" si="758"/>
        <v>32994</v>
      </c>
      <c r="M6777" s="177">
        <f t="shared" si="759"/>
        <v>280.91091599999999</v>
      </c>
      <c r="N6777" s="177">
        <f t="shared" si="760"/>
        <v>187.46590909090909</v>
      </c>
      <c r="O6777" s="175" t="str">
        <f t="shared" si="761"/>
        <v>May</v>
      </c>
      <c r="P6777" s="265">
        <f t="shared" si="762"/>
        <v>19</v>
      </c>
    </row>
    <row r="6778" spans="1:16" ht="15" hidden="1" customHeight="1">
      <c r="A6778" s="489">
        <v>64979444</v>
      </c>
      <c r="B6778" s="489" t="s">
        <v>139</v>
      </c>
      <c r="C6778" s="488">
        <v>35520</v>
      </c>
      <c r="D6778" s="597">
        <v>46335</v>
      </c>
      <c r="E6778" s="489" t="s">
        <v>622</v>
      </c>
      <c r="F6778" s="489" t="s">
        <v>1223</v>
      </c>
      <c r="G6778" s="395">
        <f>VLOOKUP($A6778,'Tech Litons'!$A:$I,8,FALSE)</f>
        <v>2.16E-3</v>
      </c>
      <c r="H6778" s="174">
        <f>VLOOKUP($A6778,'Tech Litons'!$A:$I,9,FALSE)</f>
        <v>195</v>
      </c>
      <c r="I6778" s="174" t="str">
        <f>VLOOKUP($A6778,'Tech Litons'!$A:$C,3,0)</f>
        <v>Facepieces</v>
      </c>
      <c r="J6778" s="175" t="str">
        <f t="shared" si="757"/>
        <v>IncomFacepieces</v>
      </c>
      <c r="K6778" s="176">
        <f>VLOOKUP(I6778,'Attain %'!A:B,2,0)</f>
        <v>0.96</v>
      </c>
      <c r="L6778" s="177">
        <f t="shared" si="758"/>
        <v>34099.199999999997</v>
      </c>
      <c r="M6778" s="177">
        <f t="shared" si="759"/>
        <v>73.654271999999992</v>
      </c>
      <c r="N6778" s="177">
        <f t="shared" si="760"/>
        <v>174.86769230769229</v>
      </c>
      <c r="O6778" s="175" t="str">
        <f t="shared" si="761"/>
        <v>Nov</v>
      </c>
      <c r="P6778" s="265">
        <f t="shared" si="762"/>
        <v>46</v>
      </c>
    </row>
    <row r="6779" spans="1:16" ht="15" hidden="1" customHeight="1">
      <c r="A6779" s="489">
        <v>64979444</v>
      </c>
      <c r="B6779" s="489" t="s">
        <v>139</v>
      </c>
      <c r="C6779" s="488">
        <v>35520</v>
      </c>
      <c r="D6779" s="597">
        <v>46342</v>
      </c>
      <c r="E6779" s="489" t="s">
        <v>622</v>
      </c>
      <c r="F6779" s="489" t="s">
        <v>1223</v>
      </c>
      <c r="G6779" s="395">
        <f>VLOOKUP($A6779,'Tech Litons'!$A:$I,8,FALSE)</f>
        <v>2.16E-3</v>
      </c>
      <c r="H6779" s="174">
        <f>VLOOKUP($A6779,'Tech Litons'!$A:$I,9,FALSE)</f>
        <v>195</v>
      </c>
      <c r="I6779" s="174" t="str">
        <f>VLOOKUP($A6779,'Tech Litons'!$A:$C,3,0)</f>
        <v>Facepieces</v>
      </c>
      <c r="J6779" s="175" t="str">
        <f t="shared" si="757"/>
        <v>IncomFacepieces</v>
      </c>
      <c r="K6779" s="176">
        <f>VLOOKUP(I6779,'Attain %'!A:B,2,0)</f>
        <v>0.96</v>
      </c>
      <c r="L6779" s="177">
        <f t="shared" si="758"/>
        <v>34099.199999999997</v>
      </c>
      <c r="M6779" s="177">
        <f t="shared" si="759"/>
        <v>73.654271999999992</v>
      </c>
      <c r="N6779" s="177">
        <f t="shared" si="760"/>
        <v>174.86769230769229</v>
      </c>
      <c r="O6779" s="175" t="str">
        <f t="shared" si="761"/>
        <v>Nov</v>
      </c>
      <c r="P6779" s="265">
        <f t="shared" si="762"/>
        <v>47</v>
      </c>
    </row>
    <row r="6780" spans="1:16" ht="15" hidden="1" customHeight="1">
      <c r="A6780" s="489">
        <v>64979444</v>
      </c>
      <c r="B6780" s="489" t="s">
        <v>139</v>
      </c>
      <c r="C6780" s="488">
        <v>35520</v>
      </c>
      <c r="D6780" s="597">
        <v>46370</v>
      </c>
      <c r="E6780" s="489" t="s">
        <v>622</v>
      </c>
      <c r="F6780" s="489" t="s">
        <v>1223</v>
      </c>
      <c r="G6780" s="395">
        <f>VLOOKUP($A6780,'Tech Litons'!$A:$I,8,FALSE)</f>
        <v>2.16E-3</v>
      </c>
      <c r="H6780" s="174">
        <f>VLOOKUP($A6780,'Tech Litons'!$A:$I,9,FALSE)</f>
        <v>195</v>
      </c>
      <c r="I6780" s="174" t="str">
        <f>VLOOKUP($A6780,'Tech Litons'!$A:$C,3,0)</f>
        <v>Facepieces</v>
      </c>
      <c r="J6780" s="175" t="str">
        <f t="shared" si="757"/>
        <v>IncomFacepieces</v>
      </c>
      <c r="K6780" s="176">
        <f>VLOOKUP(I6780,'Attain %'!A:B,2,0)</f>
        <v>0.96</v>
      </c>
      <c r="L6780" s="177">
        <f t="shared" si="758"/>
        <v>34099.199999999997</v>
      </c>
      <c r="M6780" s="177">
        <f t="shared" si="759"/>
        <v>73.654271999999992</v>
      </c>
      <c r="N6780" s="177">
        <f t="shared" si="760"/>
        <v>174.86769230769229</v>
      </c>
      <c r="O6780" s="175" t="str">
        <f t="shared" si="761"/>
        <v>Dec</v>
      </c>
      <c r="P6780" s="265">
        <f t="shared" si="762"/>
        <v>51</v>
      </c>
    </row>
    <row r="6781" spans="1:16" ht="15" hidden="1" customHeight="1">
      <c r="A6781" s="489">
        <v>67430513</v>
      </c>
      <c r="B6781" s="489">
        <v>5914</v>
      </c>
      <c r="C6781" s="488">
        <v>35640</v>
      </c>
      <c r="D6781" s="597">
        <v>46160</v>
      </c>
      <c r="E6781" s="489" t="s">
        <v>308</v>
      </c>
      <c r="F6781" s="489" t="s">
        <v>1244</v>
      </c>
      <c r="G6781" s="395">
        <f>VLOOKUP($A6781,'Tech Litons'!$A:$I,8,FALSE)</f>
        <v>3.7839999999999996E-3</v>
      </c>
      <c r="H6781" s="174">
        <f>VLOOKUP($A6781,'Tech Litons'!$A:$I,9,FALSE)</f>
        <v>240</v>
      </c>
      <c r="I6781" s="174" t="str">
        <f>VLOOKUP($A6781,'Tech Litons'!$A:$C,3,0)</f>
        <v>BJ PTS</v>
      </c>
      <c r="J6781" s="175" t="str">
        <f t="shared" si="757"/>
        <v>5914BJ PTS</v>
      </c>
      <c r="K6781" s="176">
        <f>VLOOKUP(I6781,'Attain %'!A:B,2,0)</f>
        <v>0.95</v>
      </c>
      <c r="L6781" s="177">
        <f t="shared" si="758"/>
        <v>33858</v>
      </c>
      <c r="M6781" s="177">
        <f t="shared" si="759"/>
        <v>128.11867199999998</v>
      </c>
      <c r="N6781" s="177">
        <f t="shared" si="760"/>
        <v>141.07499999999999</v>
      </c>
      <c r="O6781" s="175" t="str">
        <f t="shared" si="761"/>
        <v>May</v>
      </c>
      <c r="P6781" s="265">
        <f t="shared" si="762"/>
        <v>21</v>
      </c>
    </row>
    <row r="6782" spans="1:16" ht="15" hidden="1" customHeight="1">
      <c r="A6782" s="489">
        <v>69986507</v>
      </c>
      <c r="B6782" s="489">
        <v>5914</v>
      </c>
      <c r="C6782" s="488">
        <v>35640</v>
      </c>
      <c r="D6782" s="597">
        <v>46132</v>
      </c>
      <c r="E6782" s="489" t="s">
        <v>441</v>
      </c>
      <c r="F6782" s="489" t="s">
        <v>1244</v>
      </c>
      <c r="G6782" s="395">
        <f>VLOOKUP($A6782,'Tech Litons'!$A:$I,8,FALSE)</f>
        <v>3.7839999999999996E-3</v>
      </c>
      <c r="H6782" s="174">
        <f>VLOOKUP($A6782,'Tech Litons'!$A:$I,9,FALSE)</f>
        <v>240</v>
      </c>
      <c r="I6782" s="174" t="str">
        <f>VLOOKUP($A6782,'Tech Litons'!$A:$C,3,0)</f>
        <v>BJ PTS</v>
      </c>
      <c r="J6782" s="175" t="str">
        <f t="shared" si="757"/>
        <v>5914BJ PTS</v>
      </c>
      <c r="K6782" s="176">
        <f>VLOOKUP(I6782,'Attain %'!A:B,2,0)</f>
        <v>0.95</v>
      </c>
      <c r="L6782" s="177">
        <f t="shared" si="758"/>
        <v>33858</v>
      </c>
      <c r="M6782" s="177">
        <f t="shared" si="759"/>
        <v>128.11867199999998</v>
      </c>
      <c r="N6782" s="177">
        <f t="shared" si="760"/>
        <v>141.07499999999999</v>
      </c>
      <c r="O6782" s="175" t="str">
        <f t="shared" si="761"/>
        <v>Apr</v>
      </c>
      <c r="P6782" s="265">
        <f t="shared" si="762"/>
        <v>17</v>
      </c>
    </row>
    <row r="6783" spans="1:16" ht="15" hidden="1" customHeight="1">
      <c r="A6783" s="489">
        <v>84161610</v>
      </c>
      <c r="B6783" s="489">
        <v>5914</v>
      </c>
      <c r="C6783" s="488">
        <v>35640</v>
      </c>
      <c r="D6783" s="597">
        <v>46160</v>
      </c>
      <c r="E6783" s="489" t="s">
        <v>309</v>
      </c>
      <c r="F6783" s="489" t="s">
        <v>1244</v>
      </c>
      <c r="G6783" s="395">
        <f>VLOOKUP($A6783,'Tech Litons'!$A:$I,8,FALSE)</f>
        <v>3.7853439999999999E-3</v>
      </c>
      <c r="H6783" s="174">
        <f>VLOOKUP($A6783,'Tech Litons'!$A:$I,9,FALSE)</f>
        <v>240</v>
      </c>
      <c r="I6783" s="174" t="str">
        <f>VLOOKUP($A6783,'Tech Litons'!$A:$C,3,0)</f>
        <v>BJ PTS</v>
      </c>
      <c r="J6783" s="175" t="str">
        <f t="shared" si="757"/>
        <v>5914BJ PTS</v>
      </c>
      <c r="K6783" s="176">
        <f>VLOOKUP(I6783,'Attain %'!A:B,2,0)</f>
        <v>0.95</v>
      </c>
      <c r="L6783" s="177">
        <f t="shared" si="758"/>
        <v>33858</v>
      </c>
      <c r="M6783" s="177">
        <f t="shared" si="759"/>
        <v>128.16417715200001</v>
      </c>
      <c r="N6783" s="177">
        <f t="shared" si="760"/>
        <v>141.07499999999999</v>
      </c>
      <c r="O6783" s="175" t="str">
        <f t="shared" si="761"/>
        <v>May</v>
      </c>
      <c r="P6783" s="265">
        <f t="shared" si="762"/>
        <v>21</v>
      </c>
    </row>
    <row r="6784" spans="1:16" ht="15" hidden="1" customHeight="1">
      <c r="A6784" s="489">
        <v>64341967</v>
      </c>
      <c r="B6784" s="489">
        <v>1352</v>
      </c>
      <c r="C6784" s="488">
        <v>35720</v>
      </c>
      <c r="D6784" s="597">
        <v>46160</v>
      </c>
      <c r="E6784" s="489" t="s">
        <v>260</v>
      </c>
      <c r="F6784" s="489" t="s">
        <v>1211</v>
      </c>
      <c r="G6784" s="395">
        <f>VLOOKUP($A6784,'Tech Litons'!$A:$I,8,FALSE)</f>
        <v>8.513999999999999E-3</v>
      </c>
      <c r="H6784" s="174">
        <f>VLOOKUP($A6784,'Tech Litons'!$A:$I,9,FALSE)</f>
        <v>176</v>
      </c>
      <c r="I6784" s="174" t="str">
        <f>VLOOKUP($A6784,'Tech Litons'!$A:$C,3,0)</f>
        <v>48oz</v>
      </c>
      <c r="J6784" s="175" t="str">
        <f t="shared" si="757"/>
        <v>135248oz</v>
      </c>
      <c r="K6784" s="176">
        <f>VLOOKUP(I6784,'Attain %'!A:B,2,0)</f>
        <v>0.94</v>
      </c>
      <c r="L6784" s="177">
        <f t="shared" si="758"/>
        <v>33576.799999999996</v>
      </c>
      <c r="M6784" s="177">
        <f t="shared" si="759"/>
        <v>285.87287519999995</v>
      </c>
      <c r="N6784" s="177">
        <f t="shared" si="760"/>
        <v>190.7772727272727</v>
      </c>
      <c r="O6784" s="175" t="str">
        <f t="shared" si="761"/>
        <v>May</v>
      </c>
      <c r="P6784" s="265">
        <f t="shared" si="762"/>
        <v>21</v>
      </c>
    </row>
    <row r="6785" spans="1:16" ht="15" hidden="1" customHeight="1">
      <c r="A6785" s="489">
        <v>64341968</v>
      </c>
      <c r="B6785" s="489">
        <v>1352</v>
      </c>
      <c r="C6785" s="488">
        <v>35720</v>
      </c>
      <c r="D6785" s="597">
        <v>46146</v>
      </c>
      <c r="E6785" s="489" t="s">
        <v>995</v>
      </c>
      <c r="F6785" s="489" t="s">
        <v>1211</v>
      </c>
      <c r="G6785" s="395">
        <f>VLOOKUP($A6785,'Tech Litons'!$A:$I,8,FALSE)</f>
        <v>8.5199999999999998E-3</v>
      </c>
      <c r="H6785" s="174">
        <f>VLOOKUP($A6785,'Tech Litons'!$A:$I,9,FALSE)</f>
        <v>176</v>
      </c>
      <c r="I6785" s="174" t="str">
        <f>VLOOKUP($A6785,'Tech Litons'!$A:$C,3,0)</f>
        <v>48oz</v>
      </c>
      <c r="J6785" s="175" t="str">
        <f t="shared" si="757"/>
        <v>135248oz</v>
      </c>
      <c r="K6785" s="176">
        <f>VLOOKUP(I6785,'Attain %'!A:B,2,0)</f>
        <v>0.94</v>
      </c>
      <c r="L6785" s="177">
        <f t="shared" si="758"/>
        <v>33576.799999999996</v>
      </c>
      <c r="M6785" s="177">
        <f t="shared" si="759"/>
        <v>286.07433599999996</v>
      </c>
      <c r="N6785" s="177">
        <f t="shared" si="760"/>
        <v>190.7772727272727</v>
      </c>
      <c r="O6785" s="175" t="str">
        <f t="shared" si="761"/>
        <v>May</v>
      </c>
      <c r="P6785" s="265">
        <f t="shared" si="762"/>
        <v>19</v>
      </c>
    </row>
    <row r="6786" spans="1:16" ht="15" hidden="1" customHeight="1">
      <c r="A6786" s="489">
        <v>64341968</v>
      </c>
      <c r="B6786" s="489">
        <v>1352</v>
      </c>
      <c r="C6786" s="488">
        <v>35720</v>
      </c>
      <c r="D6786" s="597">
        <v>46153</v>
      </c>
      <c r="E6786" s="489" t="s">
        <v>995</v>
      </c>
      <c r="F6786" s="489" t="s">
        <v>1211</v>
      </c>
      <c r="G6786" s="395">
        <f>VLOOKUP($A6786,'Tech Litons'!$A:$I,8,FALSE)</f>
        <v>8.5199999999999998E-3</v>
      </c>
      <c r="H6786" s="174">
        <f>VLOOKUP($A6786,'Tech Litons'!$A:$I,9,FALSE)</f>
        <v>176</v>
      </c>
      <c r="I6786" s="174" t="str">
        <f>VLOOKUP($A6786,'Tech Litons'!$A:$C,3,0)</f>
        <v>48oz</v>
      </c>
      <c r="J6786" s="175" t="str">
        <f t="shared" si="757"/>
        <v>135248oz</v>
      </c>
      <c r="K6786" s="176">
        <f>VLOOKUP(I6786,'Attain %'!A:B,2,0)</f>
        <v>0.94</v>
      </c>
      <c r="L6786" s="177">
        <f t="shared" si="758"/>
        <v>33576.799999999996</v>
      </c>
      <c r="M6786" s="177">
        <f t="shared" si="759"/>
        <v>286.07433599999996</v>
      </c>
      <c r="N6786" s="177">
        <f t="shared" si="760"/>
        <v>190.7772727272727</v>
      </c>
      <c r="O6786" s="175" t="str">
        <f t="shared" si="761"/>
        <v>May</v>
      </c>
      <c r="P6786" s="265">
        <f t="shared" si="762"/>
        <v>20</v>
      </c>
    </row>
    <row r="6787" spans="1:16" ht="15" hidden="1" customHeight="1">
      <c r="A6787" s="489">
        <v>64341968</v>
      </c>
      <c r="B6787" s="489">
        <v>1352</v>
      </c>
      <c r="C6787" s="488">
        <v>35720</v>
      </c>
      <c r="D6787" s="597">
        <v>46160</v>
      </c>
      <c r="E6787" s="489" t="s">
        <v>995</v>
      </c>
      <c r="F6787" s="489" t="s">
        <v>1211</v>
      </c>
      <c r="G6787" s="395">
        <f>VLOOKUP($A6787,'Tech Litons'!$A:$I,8,FALSE)</f>
        <v>8.5199999999999998E-3</v>
      </c>
      <c r="H6787" s="174">
        <f>VLOOKUP($A6787,'Tech Litons'!$A:$I,9,FALSE)</f>
        <v>176</v>
      </c>
      <c r="I6787" s="174" t="str">
        <f>VLOOKUP($A6787,'Tech Litons'!$A:$C,3,0)</f>
        <v>48oz</v>
      </c>
      <c r="J6787" s="175" t="str">
        <f t="shared" si="757"/>
        <v>135248oz</v>
      </c>
      <c r="K6787" s="176">
        <f>VLOOKUP(I6787,'Attain %'!A:B,2,0)</f>
        <v>0.94</v>
      </c>
      <c r="L6787" s="177">
        <f t="shared" si="758"/>
        <v>33576.799999999996</v>
      </c>
      <c r="M6787" s="177">
        <f t="shared" si="759"/>
        <v>286.07433599999996</v>
      </c>
      <c r="N6787" s="177">
        <f t="shared" si="760"/>
        <v>190.7772727272727</v>
      </c>
      <c r="O6787" s="175" t="str">
        <f t="shared" si="761"/>
        <v>May</v>
      </c>
      <c r="P6787" s="265">
        <f t="shared" si="762"/>
        <v>21</v>
      </c>
    </row>
    <row r="6788" spans="1:16" ht="15" hidden="1" customHeight="1">
      <c r="A6788" s="489">
        <v>68817800</v>
      </c>
      <c r="B6788" s="489">
        <v>1352</v>
      </c>
      <c r="C6788" s="488">
        <v>35720</v>
      </c>
      <c r="D6788" s="597">
        <v>46160</v>
      </c>
      <c r="E6788" s="489" t="s">
        <v>421</v>
      </c>
      <c r="F6788" s="489" t="s">
        <v>1209</v>
      </c>
      <c r="G6788" s="395">
        <f>VLOOKUP($A6788,'Tech Litons'!$A:$I,8,FALSE)</f>
        <v>8.513999999999999E-3</v>
      </c>
      <c r="H6788" s="174">
        <f>VLOOKUP($A6788,'Tech Litons'!$A:$I,9,FALSE)</f>
        <v>176</v>
      </c>
      <c r="I6788" s="174" t="str">
        <f>VLOOKUP($A6788,'Tech Litons'!$A:$C,3,0)</f>
        <v>48oz</v>
      </c>
      <c r="J6788" s="175" t="str">
        <f t="shared" si="757"/>
        <v>135248oz</v>
      </c>
      <c r="K6788" s="176">
        <f>VLOOKUP(I6788,'Attain %'!A:B,2,0)</f>
        <v>0.94</v>
      </c>
      <c r="L6788" s="177">
        <f t="shared" si="758"/>
        <v>33576.799999999996</v>
      </c>
      <c r="M6788" s="177">
        <f t="shared" si="759"/>
        <v>285.87287519999995</v>
      </c>
      <c r="N6788" s="177">
        <f t="shared" si="760"/>
        <v>190.7772727272727</v>
      </c>
      <c r="O6788" s="175" t="str">
        <f t="shared" si="761"/>
        <v>May</v>
      </c>
      <c r="P6788" s="265">
        <f t="shared" si="762"/>
        <v>21</v>
      </c>
    </row>
    <row r="6789" spans="1:16" ht="15" hidden="1" customHeight="1">
      <c r="A6789" s="489">
        <v>68851104</v>
      </c>
      <c r="B6789" s="489">
        <v>1352</v>
      </c>
      <c r="C6789" s="488">
        <v>35720</v>
      </c>
      <c r="D6789" s="597">
        <v>46167</v>
      </c>
      <c r="E6789" s="489" t="s">
        <v>270</v>
      </c>
      <c r="F6789" s="489" t="s">
        <v>1211</v>
      </c>
      <c r="G6789" s="395">
        <f>VLOOKUP($A6789,'Tech Litons'!$A:$I,8,FALSE)</f>
        <v>8.5199999999999998E-3</v>
      </c>
      <c r="H6789" s="174">
        <f>VLOOKUP($A6789,'Tech Litons'!$A:$I,9,FALSE)</f>
        <v>176</v>
      </c>
      <c r="I6789" s="174" t="str">
        <f>VLOOKUP($A6789,'Tech Litons'!$A:$C,3,0)</f>
        <v>48oz</v>
      </c>
      <c r="J6789" s="175" t="str">
        <f t="shared" si="757"/>
        <v>135248oz</v>
      </c>
      <c r="K6789" s="176">
        <f>VLOOKUP(I6789,'Attain %'!A:B,2,0)</f>
        <v>0.94</v>
      </c>
      <c r="L6789" s="177">
        <f t="shared" si="758"/>
        <v>33576.799999999996</v>
      </c>
      <c r="M6789" s="177">
        <f t="shared" si="759"/>
        <v>286.07433599999996</v>
      </c>
      <c r="N6789" s="177">
        <f t="shared" si="760"/>
        <v>190.7772727272727</v>
      </c>
      <c r="O6789" s="175" t="str">
        <f t="shared" si="761"/>
        <v>May</v>
      </c>
      <c r="P6789" s="265">
        <f t="shared" si="762"/>
        <v>22</v>
      </c>
    </row>
    <row r="6790" spans="1:16" ht="15" hidden="1" customHeight="1">
      <c r="A6790" s="489">
        <v>65434831</v>
      </c>
      <c r="B6790" s="489">
        <v>5914</v>
      </c>
      <c r="C6790" s="488">
        <v>35840</v>
      </c>
      <c r="D6790" s="597">
        <v>46139</v>
      </c>
      <c r="E6790" s="489" t="s">
        <v>1248</v>
      </c>
      <c r="F6790" s="489" t="s">
        <v>1246</v>
      </c>
      <c r="G6790" s="395">
        <f>VLOOKUP($A6790,'Tech Litons'!$A:$I,8,FALSE)</f>
        <v>3.7839999999999996E-3</v>
      </c>
      <c r="H6790" s="174">
        <f>VLOOKUP($A6790,'Tech Litons'!$A:$I,9,FALSE)</f>
        <v>240</v>
      </c>
      <c r="I6790" s="174" t="str">
        <f>VLOOKUP($A6790,'Tech Litons'!$A:$C,3,0)</f>
        <v>BJ PTS</v>
      </c>
      <c r="J6790" s="175" t="str">
        <f t="shared" si="757"/>
        <v>5914BJ PTS</v>
      </c>
      <c r="K6790" s="176">
        <f>VLOOKUP(I6790,'Attain %'!A:B,2,0)</f>
        <v>0.95</v>
      </c>
      <c r="L6790" s="177">
        <f t="shared" si="758"/>
        <v>34048</v>
      </c>
      <c r="M6790" s="177">
        <f t="shared" si="759"/>
        <v>128.83763199999999</v>
      </c>
      <c r="N6790" s="177">
        <f t="shared" si="760"/>
        <v>141.86666666666667</v>
      </c>
      <c r="O6790" s="175" t="str">
        <f t="shared" si="761"/>
        <v>Apr</v>
      </c>
      <c r="P6790" s="265">
        <f t="shared" si="762"/>
        <v>18</v>
      </c>
    </row>
    <row r="6791" spans="1:16" ht="15" hidden="1" customHeight="1">
      <c r="A6791" s="489">
        <v>67430513</v>
      </c>
      <c r="B6791" s="489">
        <v>5914</v>
      </c>
      <c r="C6791" s="488">
        <v>35840</v>
      </c>
      <c r="D6791" s="597">
        <v>46104</v>
      </c>
      <c r="E6791" s="489" t="s">
        <v>308</v>
      </c>
      <c r="F6791" s="489" t="s">
        <v>1246</v>
      </c>
      <c r="G6791" s="395">
        <f>VLOOKUP($A6791,'Tech Litons'!$A:$I,8,FALSE)</f>
        <v>3.7839999999999996E-3</v>
      </c>
      <c r="H6791" s="174">
        <f>VLOOKUP($A6791,'Tech Litons'!$A:$I,9,FALSE)</f>
        <v>240</v>
      </c>
      <c r="I6791" s="174" t="str">
        <f>VLOOKUP($A6791,'Tech Litons'!$A:$C,3,0)</f>
        <v>BJ PTS</v>
      </c>
      <c r="J6791" s="175" t="str">
        <f t="shared" si="757"/>
        <v>5914BJ PTS</v>
      </c>
      <c r="K6791" s="176">
        <f>VLOOKUP(I6791,'Attain %'!A:B,2,0)</f>
        <v>0.95</v>
      </c>
      <c r="L6791" s="177">
        <f t="shared" si="758"/>
        <v>34048</v>
      </c>
      <c r="M6791" s="177">
        <f t="shared" si="759"/>
        <v>128.83763199999999</v>
      </c>
      <c r="N6791" s="177">
        <f t="shared" si="760"/>
        <v>141.86666666666667</v>
      </c>
      <c r="O6791" s="175" t="str">
        <f t="shared" si="761"/>
        <v>Mar</v>
      </c>
      <c r="P6791" s="265">
        <f t="shared" si="762"/>
        <v>13</v>
      </c>
    </row>
    <row r="6792" spans="1:16" ht="15" hidden="1" customHeight="1">
      <c r="A6792" s="489">
        <v>68689251</v>
      </c>
      <c r="B6792" s="489">
        <v>1352</v>
      </c>
      <c r="C6792" s="488">
        <v>35940</v>
      </c>
      <c r="D6792" s="597">
        <v>46118</v>
      </c>
      <c r="E6792" s="489" t="s">
        <v>262</v>
      </c>
      <c r="F6792" s="489" t="s">
        <v>1210</v>
      </c>
      <c r="G6792" s="395">
        <f>VLOOKUP($A6792,'Tech Litons'!$A:$I,8,FALSE)</f>
        <v>9.5760000000000012E-3</v>
      </c>
      <c r="H6792" s="174">
        <f>VLOOKUP($A6792,'Tech Litons'!$A:$I,9,FALSE)</f>
        <v>132</v>
      </c>
      <c r="I6792" s="174" t="str">
        <f>VLOOKUP($A6792,'Tech Litons'!$A:$C,3,0)</f>
        <v>EDF</v>
      </c>
      <c r="J6792" s="175" t="str">
        <f t="shared" si="757"/>
        <v>1352EDF</v>
      </c>
      <c r="K6792" s="176">
        <f>VLOOKUP(I6792,'Attain %'!A:B,2,0)</f>
        <v>0.96</v>
      </c>
      <c r="L6792" s="177">
        <f t="shared" si="758"/>
        <v>34502.400000000001</v>
      </c>
      <c r="M6792" s="177">
        <f t="shared" si="759"/>
        <v>330.39498240000006</v>
      </c>
      <c r="N6792" s="177">
        <f t="shared" si="760"/>
        <v>261.38181818181818</v>
      </c>
      <c r="O6792" s="175" t="str">
        <f t="shared" si="761"/>
        <v>Apr</v>
      </c>
      <c r="P6792" s="265">
        <f t="shared" si="762"/>
        <v>15</v>
      </c>
    </row>
    <row r="6793" spans="1:16" ht="15" hidden="1" customHeight="1">
      <c r="A6793" s="489">
        <v>64341968</v>
      </c>
      <c r="B6793" s="489">
        <v>1352</v>
      </c>
      <c r="C6793" s="488">
        <v>36000</v>
      </c>
      <c r="D6793" s="597">
        <v>46132</v>
      </c>
      <c r="E6793" s="489" t="s">
        <v>995</v>
      </c>
      <c r="F6793" s="489" t="s">
        <v>1211</v>
      </c>
      <c r="G6793" s="395">
        <f>VLOOKUP($A6793,'Tech Litons'!$A:$I,8,FALSE)</f>
        <v>8.5199999999999998E-3</v>
      </c>
      <c r="H6793" s="174">
        <f>VLOOKUP($A6793,'Tech Litons'!$A:$I,9,FALSE)</f>
        <v>176</v>
      </c>
      <c r="I6793" s="174" t="str">
        <f>VLOOKUP($A6793,'Tech Litons'!$A:$C,3,0)</f>
        <v>48oz</v>
      </c>
      <c r="J6793" s="175" t="str">
        <f t="shared" si="757"/>
        <v>135248oz</v>
      </c>
      <c r="K6793" s="176">
        <f>VLOOKUP(I6793,'Attain %'!A:B,2,0)</f>
        <v>0.94</v>
      </c>
      <c r="L6793" s="177">
        <f t="shared" si="758"/>
        <v>33840</v>
      </c>
      <c r="M6793" s="177">
        <f t="shared" si="759"/>
        <v>288.3168</v>
      </c>
      <c r="N6793" s="177">
        <f t="shared" si="760"/>
        <v>192.27272727272728</v>
      </c>
      <c r="O6793" s="175" t="str">
        <f t="shared" si="761"/>
        <v>Apr</v>
      </c>
      <c r="P6793" s="265">
        <f t="shared" si="762"/>
        <v>17</v>
      </c>
    </row>
    <row r="6794" spans="1:16" ht="15" hidden="1" customHeight="1">
      <c r="A6794" s="489">
        <v>68737750</v>
      </c>
      <c r="B6794" s="489">
        <v>1352</v>
      </c>
      <c r="C6794" s="488">
        <v>36000</v>
      </c>
      <c r="D6794" s="597">
        <v>46132</v>
      </c>
      <c r="E6794" s="489" t="s">
        <v>407</v>
      </c>
      <c r="F6794" s="489" t="s">
        <v>1211</v>
      </c>
      <c r="G6794" s="395">
        <f>VLOOKUP($A6794,'Tech Litons'!$A:$I,8,FALSE)</f>
        <v>8.5199999999999998E-3</v>
      </c>
      <c r="H6794" s="174">
        <f>VLOOKUP($A6794,'Tech Litons'!$A:$I,9,FALSE)</f>
        <v>176</v>
      </c>
      <c r="I6794" s="174" t="str">
        <f>VLOOKUP($A6794,'Tech Litons'!$A:$C,3,0)</f>
        <v>48oz</v>
      </c>
      <c r="J6794" s="175" t="str">
        <f t="shared" si="757"/>
        <v>135248oz</v>
      </c>
      <c r="K6794" s="176">
        <f>VLOOKUP(I6794,'Attain %'!A:B,2,0)</f>
        <v>0.94</v>
      </c>
      <c r="L6794" s="177">
        <f t="shared" si="758"/>
        <v>33840</v>
      </c>
      <c r="M6794" s="177">
        <f t="shared" si="759"/>
        <v>288.3168</v>
      </c>
      <c r="N6794" s="177">
        <f t="shared" si="760"/>
        <v>192.27272727272728</v>
      </c>
      <c r="O6794" s="175" t="str">
        <f t="shared" si="761"/>
        <v>Apr</v>
      </c>
      <c r="P6794" s="265">
        <f t="shared" si="762"/>
        <v>17</v>
      </c>
    </row>
    <row r="6795" spans="1:16" ht="15" hidden="1" customHeight="1">
      <c r="A6795" s="489">
        <v>68899821</v>
      </c>
      <c r="B6795" s="489">
        <v>1352</v>
      </c>
      <c r="C6795" s="488">
        <v>36000</v>
      </c>
      <c r="D6795" s="597">
        <v>46132</v>
      </c>
      <c r="E6795" s="489" t="s">
        <v>430</v>
      </c>
      <c r="F6795" s="489" t="s">
        <v>1208</v>
      </c>
      <c r="G6795" s="395">
        <f>VLOOKUP($A6795,'Tech Litons'!$A:$I,8,FALSE)</f>
        <v>8.5199999999999998E-3</v>
      </c>
      <c r="H6795" s="174">
        <f>VLOOKUP($A6795,'Tech Litons'!$A:$I,9,FALSE)</f>
        <v>176</v>
      </c>
      <c r="I6795" s="174" t="str">
        <f>VLOOKUP($A6795,'Tech Litons'!$A:$C,3,0)</f>
        <v>48oz</v>
      </c>
      <c r="J6795" s="175" t="str">
        <f t="shared" si="757"/>
        <v>135248oz</v>
      </c>
      <c r="K6795" s="176">
        <f>VLOOKUP(I6795,'Attain %'!A:B,2,0)</f>
        <v>0.94</v>
      </c>
      <c r="L6795" s="177">
        <f t="shared" si="758"/>
        <v>33840</v>
      </c>
      <c r="M6795" s="177">
        <f t="shared" si="759"/>
        <v>288.3168</v>
      </c>
      <c r="N6795" s="177">
        <f t="shared" si="760"/>
        <v>192.27272727272728</v>
      </c>
      <c r="O6795" s="175" t="str">
        <f t="shared" si="761"/>
        <v>Apr</v>
      </c>
      <c r="P6795" s="265">
        <f t="shared" si="762"/>
        <v>17</v>
      </c>
    </row>
    <row r="6796" spans="1:16" ht="15" hidden="1" customHeight="1">
      <c r="A6796" s="489">
        <v>64330596</v>
      </c>
      <c r="B6796" s="489">
        <v>2904</v>
      </c>
      <c r="C6796" s="488">
        <v>36000</v>
      </c>
      <c r="D6796" s="597">
        <v>46153</v>
      </c>
      <c r="E6796" s="489" t="s">
        <v>280</v>
      </c>
      <c r="F6796" s="489" t="s">
        <v>1238</v>
      </c>
      <c r="G6796" s="395">
        <f>VLOOKUP($A6796,'Tech Litons'!$A:$I,8,FALSE)</f>
        <v>1.98E-3</v>
      </c>
      <c r="H6796" s="174">
        <f>VLOOKUP($A6796,'Tech Litons'!$A:$I,9,FALSE)</f>
        <v>176</v>
      </c>
      <c r="I6796" s="174" t="str">
        <f>VLOOKUP($A6796,'Tech Litons'!$A:$C,3,0)</f>
        <v>MG Sticks</v>
      </c>
      <c r="J6796" s="175" t="str">
        <f t="shared" si="757"/>
        <v>2904MG Sticks</v>
      </c>
      <c r="K6796" s="176">
        <f>VLOOKUP(I6796,'Attain %'!A:B,2,0)</f>
        <v>0.96</v>
      </c>
      <c r="L6796" s="177">
        <f t="shared" si="758"/>
        <v>34560</v>
      </c>
      <c r="M6796" s="177">
        <f t="shared" si="759"/>
        <v>68.428799999999995</v>
      </c>
      <c r="N6796" s="177">
        <f t="shared" si="760"/>
        <v>196.36363636363637</v>
      </c>
      <c r="O6796" s="175" t="str">
        <f t="shared" si="761"/>
        <v>May</v>
      </c>
      <c r="P6796" s="265">
        <f t="shared" si="762"/>
        <v>20</v>
      </c>
    </row>
    <row r="6797" spans="1:16" ht="15" hidden="1" customHeight="1">
      <c r="A6797" s="489">
        <v>64393722</v>
      </c>
      <c r="B6797" s="489">
        <v>2904</v>
      </c>
      <c r="C6797" s="488">
        <v>36000</v>
      </c>
      <c r="D6797" s="597">
        <v>46132</v>
      </c>
      <c r="E6797" s="489" t="s">
        <v>282</v>
      </c>
      <c r="F6797" s="489" t="s">
        <v>1238</v>
      </c>
      <c r="G6797" s="395">
        <f>VLOOKUP($A6797,'Tech Litons'!$A:$I,8,FALSE)</f>
        <v>2.16E-3</v>
      </c>
      <c r="H6797" s="174">
        <f>VLOOKUP($A6797,'Tech Litons'!$A:$I,9,FALSE)</f>
        <v>210</v>
      </c>
      <c r="I6797" s="174" t="str">
        <f>VLOOKUP($A6797,'Tech Litons'!$A:$C,3,0)</f>
        <v>MG Sticks</v>
      </c>
      <c r="J6797" s="175" t="str">
        <f t="shared" si="757"/>
        <v>2904MG Sticks</v>
      </c>
      <c r="K6797" s="176">
        <f>VLOOKUP(I6797,'Attain %'!A:B,2,0)</f>
        <v>0.96</v>
      </c>
      <c r="L6797" s="177">
        <f t="shared" si="758"/>
        <v>34560</v>
      </c>
      <c r="M6797" s="177">
        <f t="shared" si="759"/>
        <v>74.649600000000007</v>
      </c>
      <c r="N6797" s="177">
        <f t="shared" si="760"/>
        <v>164.57142857142858</v>
      </c>
      <c r="O6797" s="175" t="str">
        <f t="shared" si="761"/>
        <v>Apr</v>
      </c>
      <c r="P6797" s="265">
        <f t="shared" si="762"/>
        <v>17</v>
      </c>
    </row>
    <row r="6798" spans="1:16" ht="15" hidden="1" customHeight="1">
      <c r="A6798" s="489">
        <v>68821735</v>
      </c>
      <c r="B6798" s="489">
        <v>2904</v>
      </c>
      <c r="C6798" s="488">
        <v>36000</v>
      </c>
      <c r="D6798" s="597">
        <v>46125</v>
      </c>
      <c r="E6798" s="489" t="s">
        <v>318</v>
      </c>
      <c r="F6798" s="489" t="s">
        <v>1236</v>
      </c>
      <c r="G6798" s="395">
        <f>VLOOKUP($A6798,'Tech Litons'!$A:$I,8,FALSE)</f>
        <v>8.5199999999999998E-3</v>
      </c>
      <c r="H6798" s="174">
        <f>VLOOKUP($A6798,'Tech Litons'!$A:$I,9,FALSE)</f>
        <v>176</v>
      </c>
      <c r="I6798" s="174" t="str">
        <f>VLOOKUP($A6798,'Tech Litons'!$A:$C,3,0)</f>
        <v>48oz</v>
      </c>
      <c r="J6798" s="175" t="str">
        <f t="shared" si="757"/>
        <v>290448oz</v>
      </c>
      <c r="K6798" s="176">
        <f>VLOOKUP(I6798,'Attain %'!A:B,2,0)</f>
        <v>0.94</v>
      </c>
      <c r="L6798" s="177">
        <f t="shared" si="758"/>
        <v>33840</v>
      </c>
      <c r="M6798" s="177">
        <f t="shared" si="759"/>
        <v>288.3168</v>
      </c>
      <c r="N6798" s="177">
        <f t="shared" si="760"/>
        <v>192.27272727272728</v>
      </c>
      <c r="O6798" s="175" t="str">
        <f t="shared" si="761"/>
        <v>Apr</v>
      </c>
      <c r="P6798" s="265">
        <f t="shared" si="762"/>
        <v>16</v>
      </c>
    </row>
    <row r="6799" spans="1:16" ht="15" hidden="1" customHeight="1">
      <c r="A6799" s="489">
        <v>64360552</v>
      </c>
      <c r="B6799" s="489">
        <v>3910</v>
      </c>
      <c r="C6799" s="488">
        <v>36000</v>
      </c>
      <c r="D6799" s="597">
        <v>46167</v>
      </c>
      <c r="E6799" s="489" t="s">
        <v>1336</v>
      </c>
      <c r="F6799" s="489" t="s">
        <v>1337</v>
      </c>
      <c r="G6799" s="395">
        <f>VLOOKUP($A6799,'Tech Litons'!$A:$I,8,FALSE)</f>
        <v>8.4600000000000005E-3</v>
      </c>
      <c r="H6799" s="174">
        <f>VLOOKUP($A6799,'Tech Litons'!$A:$I,9,FALSE)</f>
        <v>168</v>
      </c>
      <c r="I6799" s="174" t="str">
        <f>VLOOKUP($A6799,'Tech Litons'!$A:$C,3,0)</f>
        <v>48oz</v>
      </c>
      <c r="J6799" s="175" t="str">
        <f t="shared" si="757"/>
        <v>391048oz</v>
      </c>
      <c r="K6799" s="176">
        <f>VLOOKUP(I6799,'Attain %'!A:B,2,0)</f>
        <v>0.94</v>
      </c>
      <c r="L6799" s="177">
        <f t="shared" si="758"/>
        <v>33840</v>
      </c>
      <c r="M6799" s="177">
        <f t="shared" si="759"/>
        <v>286.28640000000001</v>
      </c>
      <c r="N6799" s="177">
        <f t="shared" si="760"/>
        <v>201.42857142857142</v>
      </c>
      <c r="O6799" s="175" t="str">
        <f t="shared" si="761"/>
        <v>May</v>
      </c>
      <c r="P6799" s="265">
        <f t="shared" si="762"/>
        <v>22</v>
      </c>
    </row>
    <row r="6800" spans="1:16" ht="15" hidden="1" customHeight="1">
      <c r="A6800" s="489">
        <v>64360552</v>
      </c>
      <c r="B6800" s="489">
        <v>3910</v>
      </c>
      <c r="C6800" s="488">
        <v>36000</v>
      </c>
      <c r="D6800" s="597">
        <v>46188</v>
      </c>
      <c r="E6800" s="489" t="s">
        <v>1336</v>
      </c>
      <c r="F6800" s="489" t="s">
        <v>1337</v>
      </c>
      <c r="G6800" s="395">
        <f>VLOOKUP($A6800,'Tech Litons'!$A:$I,8,FALSE)</f>
        <v>8.4600000000000005E-3</v>
      </c>
      <c r="H6800" s="174">
        <f>VLOOKUP($A6800,'Tech Litons'!$A:$I,9,FALSE)</f>
        <v>168</v>
      </c>
      <c r="I6800" s="174" t="str">
        <f>VLOOKUP($A6800,'Tech Litons'!$A:$C,3,0)</f>
        <v>48oz</v>
      </c>
      <c r="J6800" s="175" t="str">
        <f t="shared" si="757"/>
        <v>391048oz</v>
      </c>
      <c r="K6800" s="176">
        <f>VLOOKUP(I6800,'Attain %'!A:B,2,0)</f>
        <v>0.94</v>
      </c>
      <c r="L6800" s="177">
        <f t="shared" si="758"/>
        <v>33840</v>
      </c>
      <c r="M6800" s="177">
        <f t="shared" si="759"/>
        <v>286.28640000000001</v>
      </c>
      <c r="N6800" s="177">
        <f t="shared" si="760"/>
        <v>201.42857142857142</v>
      </c>
      <c r="O6800" s="175" t="str">
        <f t="shared" si="761"/>
        <v>Jun</v>
      </c>
      <c r="P6800" s="265">
        <f t="shared" si="762"/>
        <v>25</v>
      </c>
    </row>
    <row r="6801" spans="1:16" ht="15" hidden="1" customHeight="1">
      <c r="A6801" s="489">
        <v>64360552</v>
      </c>
      <c r="B6801" s="489">
        <v>3910</v>
      </c>
      <c r="C6801" s="488">
        <v>36000</v>
      </c>
      <c r="D6801" s="597">
        <v>46195</v>
      </c>
      <c r="E6801" s="489" t="s">
        <v>1336</v>
      </c>
      <c r="F6801" s="489" t="s">
        <v>1337</v>
      </c>
      <c r="G6801" s="395">
        <f>VLOOKUP($A6801,'Tech Litons'!$A:$I,8,FALSE)</f>
        <v>8.4600000000000005E-3</v>
      </c>
      <c r="H6801" s="174">
        <f>VLOOKUP($A6801,'Tech Litons'!$A:$I,9,FALSE)</f>
        <v>168</v>
      </c>
      <c r="I6801" s="174" t="str">
        <f>VLOOKUP($A6801,'Tech Litons'!$A:$C,3,0)</f>
        <v>48oz</v>
      </c>
      <c r="J6801" s="175" t="str">
        <f t="shared" si="757"/>
        <v>391048oz</v>
      </c>
      <c r="K6801" s="176">
        <f>VLOOKUP(I6801,'Attain %'!A:B,2,0)</f>
        <v>0.94</v>
      </c>
      <c r="L6801" s="177">
        <f t="shared" si="758"/>
        <v>33840</v>
      </c>
      <c r="M6801" s="177">
        <f t="shared" si="759"/>
        <v>286.28640000000001</v>
      </c>
      <c r="N6801" s="177">
        <f t="shared" si="760"/>
        <v>201.42857142857142</v>
      </c>
      <c r="O6801" s="175" t="str">
        <f t="shared" si="761"/>
        <v>Jun</v>
      </c>
      <c r="P6801" s="265">
        <f t="shared" si="762"/>
        <v>26</v>
      </c>
    </row>
    <row r="6802" spans="1:16" ht="15" hidden="1" customHeight="1">
      <c r="A6802" s="489">
        <v>64360552</v>
      </c>
      <c r="B6802" s="489">
        <v>3910</v>
      </c>
      <c r="C6802" s="488">
        <v>36000</v>
      </c>
      <c r="D6802" s="597">
        <v>46209</v>
      </c>
      <c r="E6802" s="489" t="s">
        <v>1336</v>
      </c>
      <c r="F6802" s="489" t="s">
        <v>1337</v>
      </c>
      <c r="G6802" s="395">
        <f>VLOOKUP($A6802,'Tech Litons'!$A:$I,8,FALSE)</f>
        <v>8.4600000000000005E-3</v>
      </c>
      <c r="H6802" s="174">
        <f>VLOOKUP($A6802,'Tech Litons'!$A:$I,9,FALSE)</f>
        <v>168</v>
      </c>
      <c r="I6802" s="174" t="str">
        <f>VLOOKUP($A6802,'Tech Litons'!$A:$C,3,0)</f>
        <v>48oz</v>
      </c>
      <c r="J6802" s="175" t="str">
        <f t="shared" si="757"/>
        <v>391048oz</v>
      </c>
      <c r="K6802" s="176">
        <f>VLOOKUP(I6802,'Attain %'!A:B,2,0)</f>
        <v>0.94</v>
      </c>
      <c r="L6802" s="177">
        <f t="shared" si="758"/>
        <v>33840</v>
      </c>
      <c r="M6802" s="177">
        <f t="shared" si="759"/>
        <v>286.28640000000001</v>
      </c>
      <c r="N6802" s="177">
        <f t="shared" si="760"/>
        <v>201.42857142857142</v>
      </c>
      <c r="O6802" s="175" t="str">
        <f t="shared" si="761"/>
        <v>Jul</v>
      </c>
      <c r="P6802" s="265">
        <f t="shared" si="762"/>
        <v>28</v>
      </c>
    </row>
    <row r="6803" spans="1:16" ht="15" hidden="1" customHeight="1">
      <c r="A6803" s="489">
        <v>64360552</v>
      </c>
      <c r="B6803" s="489">
        <v>3910</v>
      </c>
      <c r="C6803" s="488">
        <v>36000</v>
      </c>
      <c r="D6803" s="597">
        <v>46223</v>
      </c>
      <c r="E6803" s="489" t="s">
        <v>1336</v>
      </c>
      <c r="F6803" s="489" t="s">
        <v>1337</v>
      </c>
      <c r="G6803" s="395">
        <f>VLOOKUP($A6803,'Tech Litons'!$A:$I,8,FALSE)</f>
        <v>8.4600000000000005E-3</v>
      </c>
      <c r="H6803" s="174">
        <f>VLOOKUP($A6803,'Tech Litons'!$A:$I,9,FALSE)</f>
        <v>168</v>
      </c>
      <c r="I6803" s="174" t="str">
        <f>VLOOKUP($A6803,'Tech Litons'!$A:$C,3,0)</f>
        <v>48oz</v>
      </c>
      <c r="J6803" s="175" t="str">
        <f t="shared" si="757"/>
        <v>391048oz</v>
      </c>
      <c r="K6803" s="176">
        <f>VLOOKUP(I6803,'Attain %'!A:B,2,0)</f>
        <v>0.94</v>
      </c>
      <c r="L6803" s="177">
        <f t="shared" si="758"/>
        <v>33840</v>
      </c>
      <c r="M6803" s="177">
        <f t="shared" si="759"/>
        <v>286.28640000000001</v>
      </c>
      <c r="N6803" s="177">
        <f t="shared" si="760"/>
        <v>201.42857142857142</v>
      </c>
      <c r="O6803" s="175" t="str">
        <f t="shared" si="761"/>
        <v>Jul</v>
      </c>
      <c r="P6803" s="265">
        <f t="shared" si="762"/>
        <v>30</v>
      </c>
    </row>
    <row r="6804" spans="1:16" ht="15" hidden="1" customHeight="1">
      <c r="A6804" s="489">
        <v>64360552</v>
      </c>
      <c r="B6804" s="489">
        <v>3910</v>
      </c>
      <c r="C6804" s="488">
        <v>36000</v>
      </c>
      <c r="D6804" s="597">
        <v>46230</v>
      </c>
      <c r="E6804" s="489" t="s">
        <v>1336</v>
      </c>
      <c r="F6804" s="489" t="s">
        <v>1337</v>
      </c>
      <c r="G6804" s="395">
        <f>VLOOKUP($A6804,'Tech Litons'!$A:$I,8,FALSE)</f>
        <v>8.4600000000000005E-3</v>
      </c>
      <c r="H6804" s="174">
        <f>VLOOKUP($A6804,'Tech Litons'!$A:$I,9,FALSE)</f>
        <v>168</v>
      </c>
      <c r="I6804" s="174" t="str">
        <f>VLOOKUP($A6804,'Tech Litons'!$A:$C,3,0)</f>
        <v>48oz</v>
      </c>
      <c r="J6804" s="175" t="str">
        <f t="shared" si="757"/>
        <v>391048oz</v>
      </c>
      <c r="K6804" s="176">
        <f>VLOOKUP(I6804,'Attain %'!A:B,2,0)</f>
        <v>0.94</v>
      </c>
      <c r="L6804" s="177">
        <f t="shared" si="758"/>
        <v>33840</v>
      </c>
      <c r="M6804" s="177">
        <f t="shared" si="759"/>
        <v>286.28640000000001</v>
      </c>
      <c r="N6804" s="177">
        <f t="shared" si="760"/>
        <v>201.42857142857142</v>
      </c>
      <c r="O6804" s="175" t="str">
        <f t="shared" si="761"/>
        <v>Jul</v>
      </c>
      <c r="P6804" s="265">
        <f t="shared" si="762"/>
        <v>31</v>
      </c>
    </row>
    <row r="6805" spans="1:16" ht="15" hidden="1" customHeight="1">
      <c r="A6805" s="489">
        <v>64360552</v>
      </c>
      <c r="B6805" s="489">
        <v>3910</v>
      </c>
      <c r="D6805" s="597">
        <v>46251</v>
      </c>
      <c r="E6805" s="489" t="s">
        <v>1336</v>
      </c>
      <c r="F6805" s="489" t="s">
        <v>1337</v>
      </c>
      <c r="G6805" s="395">
        <f>VLOOKUP($A6805,'Tech Litons'!$A:$I,8,FALSE)</f>
        <v>8.4600000000000005E-3</v>
      </c>
      <c r="H6805" s="174">
        <f>VLOOKUP($A6805,'Tech Litons'!$A:$I,9,FALSE)</f>
        <v>168</v>
      </c>
      <c r="I6805" s="174" t="str">
        <f>VLOOKUP($A6805,'Tech Litons'!$A:$C,3,0)</f>
        <v>48oz</v>
      </c>
      <c r="J6805" s="175" t="str">
        <f t="shared" si="757"/>
        <v>391048oz</v>
      </c>
      <c r="K6805" s="176">
        <f>VLOOKUP(I6805,'Attain %'!A:B,2,0)</f>
        <v>0.94</v>
      </c>
      <c r="L6805" s="177">
        <f t="shared" si="758"/>
        <v>0</v>
      </c>
      <c r="M6805" s="177">
        <f t="shared" si="759"/>
        <v>0</v>
      </c>
      <c r="N6805" s="177">
        <f t="shared" si="760"/>
        <v>0</v>
      </c>
      <c r="O6805" s="175" t="str">
        <f t="shared" si="761"/>
        <v>Aug</v>
      </c>
      <c r="P6805" s="265">
        <f t="shared" si="762"/>
        <v>34</v>
      </c>
    </row>
    <row r="6806" spans="1:16" ht="15" hidden="1" customHeight="1">
      <c r="A6806" s="489">
        <v>64360552</v>
      </c>
      <c r="B6806" s="489">
        <v>3910</v>
      </c>
      <c r="D6806" s="597">
        <v>46279</v>
      </c>
      <c r="E6806" s="489" t="s">
        <v>1336</v>
      </c>
      <c r="F6806" s="489" t="s">
        <v>1337</v>
      </c>
      <c r="G6806" s="395">
        <f>VLOOKUP($A6806,'Tech Litons'!$A:$I,8,FALSE)</f>
        <v>8.4600000000000005E-3</v>
      </c>
      <c r="H6806" s="174">
        <f>VLOOKUP($A6806,'Tech Litons'!$A:$I,9,FALSE)</f>
        <v>168</v>
      </c>
      <c r="I6806" s="174" t="str">
        <f>VLOOKUP($A6806,'Tech Litons'!$A:$C,3,0)</f>
        <v>48oz</v>
      </c>
      <c r="J6806" s="175" t="str">
        <f t="shared" si="757"/>
        <v>391048oz</v>
      </c>
      <c r="K6806" s="176">
        <f>VLOOKUP(I6806,'Attain %'!A:B,2,0)</f>
        <v>0.94</v>
      </c>
      <c r="L6806" s="177">
        <f t="shared" si="758"/>
        <v>0</v>
      </c>
      <c r="M6806" s="177">
        <f t="shared" si="759"/>
        <v>0</v>
      </c>
      <c r="N6806" s="177">
        <f t="shared" si="760"/>
        <v>0</v>
      </c>
      <c r="O6806" s="175" t="str">
        <f t="shared" si="761"/>
        <v>Sep</v>
      </c>
      <c r="P6806" s="265">
        <f t="shared" si="762"/>
        <v>38</v>
      </c>
    </row>
    <row r="6807" spans="1:16" ht="15" hidden="1" customHeight="1">
      <c r="A6807" s="489">
        <v>64360552</v>
      </c>
      <c r="B6807" s="489">
        <v>3910</v>
      </c>
      <c r="D6807" s="597">
        <v>46300</v>
      </c>
      <c r="E6807" s="489" t="s">
        <v>1336</v>
      </c>
      <c r="F6807" s="489" t="s">
        <v>1337</v>
      </c>
      <c r="G6807" s="395">
        <f>VLOOKUP($A6807,'Tech Litons'!$A:$I,8,FALSE)</f>
        <v>8.4600000000000005E-3</v>
      </c>
      <c r="H6807" s="174">
        <f>VLOOKUP($A6807,'Tech Litons'!$A:$I,9,FALSE)</f>
        <v>168</v>
      </c>
      <c r="I6807" s="174" t="str">
        <f>VLOOKUP($A6807,'Tech Litons'!$A:$C,3,0)</f>
        <v>48oz</v>
      </c>
      <c r="J6807" s="175" t="str">
        <f t="shared" si="757"/>
        <v>391048oz</v>
      </c>
      <c r="K6807" s="176">
        <f>VLOOKUP(I6807,'Attain %'!A:B,2,0)</f>
        <v>0.94</v>
      </c>
      <c r="L6807" s="177">
        <f t="shared" si="758"/>
        <v>0</v>
      </c>
      <c r="M6807" s="177">
        <f t="shared" si="759"/>
        <v>0</v>
      </c>
      <c r="N6807" s="177">
        <f t="shared" si="760"/>
        <v>0</v>
      </c>
      <c r="O6807" s="175" t="str">
        <f t="shared" si="761"/>
        <v>Oct</v>
      </c>
      <c r="P6807" s="265">
        <f t="shared" si="762"/>
        <v>41</v>
      </c>
    </row>
    <row r="6808" spans="1:16" ht="15" hidden="1" customHeight="1">
      <c r="A6808" s="489">
        <v>84135781</v>
      </c>
      <c r="B6808" s="489">
        <v>5911</v>
      </c>
      <c r="C6808" s="488">
        <v>36000</v>
      </c>
      <c r="D6808" s="597">
        <v>46139</v>
      </c>
      <c r="E6808" s="489" t="s">
        <v>302</v>
      </c>
      <c r="F6808" s="489" t="s">
        <v>1242</v>
      </c>
      <c r="G6808" s="395">
        <f>VLOOKUP($A6808,'Tech Litons'!$A:$I,8,FALSE)</f>
        <v>3.7853439999999999E-3</v>
      </c>
      <c r="H6808" s="174">
        <f>VLOOKUP($A6808,'Tech Litons'!$A:$I,9,FALSE)</f>
        <v>240</v>
      </c>
      <c r="I6808" s="174" t="str">
        <f>VLOOKUP($A6808,'Tech Litons'!$A:$C,3,0)</f>
        <v>BJ PTS</v>
      </c>
      <c r="J6808" s="175" t="str">
        <f t="shared" si="757"/>
        <v>5911BJ PTS</v>
      </c>
      <c r="K6808" s="176">
        <f>VLOOKUP(I6808,'Attain %'!A:B,2,0)</f>
        <v>0.95</v>
      </c>
      <c r="L6808" s="177">
        <f t="shared" si="758"/>
        <v>34200</v>
      </c>
      <c r="M6808" s="177">
        <f t="shared" si="759"/>
        <v>129.45876480000001</v>
      </c>
      <c r="N6808" s="177">
        <f t="shared" si="760"/>
        <v>142.5</v>
      </c>
      <c r="O6808" s="175" t="str">
        <f t="shared" si="761"/>
        <v>Apr</v>
      </c>
      <c r="P6808" s="265">
        <f t="shared" si="762"/>
        <v>18</v>
      </c>
    </row>
    <row r="6809" spans="1:16" ht="15" hidden="1" customHeight="1">
      <c r="A6809" s="489">
        <v>68851104</v>
      </c>
      <c r="B6809" s="489">
        <v>1352</v>
      </c>
      <c r="D6809" s="597">
        <v>46111</v>
      </c>
      <c r="E6809" s="489" t="s">
        <v>270</v>
      </c>
      <c r="F6809" s="489" t="s">
        <v>1209</v>
      </c>
      <c r="G6809" s="395">
        <f>VLOOKUP($A6809,'Tech Litons'!$A:$I,8,FALSE)</f>
        <v>8.5199999999999998E-3</v>
      </c>
      <c r="H6809" s="174">
        <f>VLOOKUP($A6809,'Tech Litons'!$A:$I,9,FALSE)</f>
        <v>176</v>
      </c>
      <c r="I6809" s="174" t="str">
        <f>VLOOKUP($A6809,'Tech Litons'!$A:$C,3,0)</f>
        <v>48oz</v>
      </c>
      <c r="J6809" s="175" t="str">
        <f t="shared" si="757"/>
        <v>135248oz</v>
      </c>
      <c r="K6809" s="176">
        <f>VLOOKUP(I6809,'Attain %'!A:B,2,0)</f>
        <v>0.94</v>
      </c>
      <c r="L6809" s="177">
        <f t="shared" si="758"/>
        <v>0</v>
      </c>
      <c r="M6809" s="177">
        <f t="shared" si="759"/>
        <v>0</v>
      </c>
      <c r="N6809" s="177">
        <f t="shared" si="760"/>
        <v>0</v>
      </c>
      <c r="O6809" s="175" t="str">
        <f t="shared" si="761"/>
        <v>Mar</v>
      </c>
      <c r="P6809" s="265">
        <f t="shared" si="762"/>
        <v>14</v>
      </c>
    </row>
    <row r="6810" spans="1:16" ht="15" hidden="1" customHeight="1">
      <c r="A6810" s="489">
        <v>65468644</v>
      </c>
      <c r="B6810" s="489" t="s">
        <v>139</v>
      </c>
      <c r="C6810" s="488">
        <v>36271</v>
      </c>
      <c r="D6810" s="597">
        <v>46125</v>
      </c>
      <c r="E6810" s="489" t="s">
        <v>1291</v>
      </c>
      <c r="F6810" s="489" t="s">
        <v>1223</v>
      </c>
      <c r="G6810" s="395">
        <f>VLOOKUP($A6810,'Tech Litons'!$A:$I,8,FALSE)</f>
        <v>7.1999999999999994E-4</v>
      </c>
      <c r="H6810" s="174">
        <f>VLOOKUP($A6810,'Tech Litons'!$A:$I,9,FALSE)</f>
        <v>437</v>
      </c>
      <c r="I6810" s="174" t="str">
        <f>VLOOKUP($A6810,'Tech Litons'!$A:$C,3,0)</f>
        <v>Other</v>
      </c>
      <c r="J6810" s="175" t="str">
        <f t="shared" si="757"/>
        <v>IncomOther</v>
      </c>
      <c r="K6810" s="176">
        <f>VLOOKUP(I6810,'Attain %'!A:B,2,0)</f>
        <v>0.96</v>
      </c>
      <c r="L6810" s="177">
        <f t="shared" si="758"/>
        <v>34820.159999999996</v>
      </c>
      <c r="M6810" s="177">
        <f t="shared" si="759"/>
        <v>25.070515199999996</v>
      </c>
      <c r="N6810" s="177">
        <f t="shared" si="760"/>
        <v>79.679999999999993</v>
      </c>
      <c r="O6810" s="175" t="str">
        <f t="shared" si="761"/>
        <v>Apr</v>
      </c>
      <c r="P6810" s="265">
        <f t="shared" si="762"/>
        <v>16</v>
      </c>
    </row>
    <row r="6811" spans="1:16" ht="15" hidden="1" customHeight="1">
      <c r="A6811" s="489">
        <v>62714126</v>
      </c>
      <c r="B6811" s="489" t="s">
        <v>133</v>
      </c>
      <c r="C6811" s="488">
        <v>36400</v>
      </c>
      <c r="D6811" s="597">
        <v>46188</v>
      </c>
      <c r="E6811" s="489" t="s">
        <v>402</v>
      </c>
      <c r="F6811" s="489" t="s">
        <v>1223</v>
      </c>
      <c r="G6811" s="395">
        <f>VLOOKUP($A6811,'Tech Litons'!$A:$I,8,FALSE)</f>
        <v>5.2680000000000001E-3</v>
      </c>
      <c r="H6811" s="174">
        <f>VLOOKUP($A6811,'Tech Litons'!$A:$I,9,FALSE)</f>
        <v>130</v>
      </c>
      <c r="I6811" s="174" t="str">
        <f>VLOOKUP($A6811,'Tech Litons'!$A:$C,3,0)</f>
        <v>PG</v>
      </c>
      <c r="J6811" s="175" t="str">
        <f t="shared" si="757"/>
        <v>GDIPG</v>
      </c>
      <c r="K6811" s="176">
        <f>VLOOKUP(I6811,'Attain %'!A:B,2,0)</f>
        <v>0.96</v>
      </c>
      <c r="L6811" s="177">
        <f t="shared" si="758"/>
        <v>34944</v>
      </c>
      <c r="M6811" s="177">
        <f t="shared" si="759"/>
        <v>184.084992</v>
      </c>
      <c r="N6811" s="177">
        <f t="shared" si="760"/>
        <v>268.8</v>
      </c>
      <c r="O6811" s="175" t="str">
        <f t="shared" si="761"/>
        <v>Jun</v>
      </c>
      <c r="P6811" s="265">
        <f t="shared" si="762"/>
        <v>25</v>
      </c>
    </row>
    <row r="6812" spans="1:16" ht="15" hidden="1" customHeight="1">
      <c r="A6812" s="489">
        <v>64771676</v>
      </c>
      <c r="B6812" s="489" t="s">
        <v>139</v>
      </c>
      <c r="C6812" s="488">
        <v>36472</v>
      </c>
      <c r="D6812" s="597">
        <v>46188</v>
      </c>
      <c r="E6812" s="489" t="s">
        <v>619</v>
      </c>
      <c r="F6812" s="489" t="s">
        <v>1223</v>
      </c>
      <c r="G6812" s="395">
        <f>VLOOKUP($A6812,'Tech Litons'!$A:$I,8,FALSE)</f>
        <v>2.16E-3</v>
      </c>
      <c r="H6812" s="174">
        <f>VLOOKUP($A6812,'Tech Litons'!$A:$I,9,FALSE)</f>
        <v>195</v>
      </c>
      <c r="I6812" s="174" t="str">
        <f>VLOOKUP($A6812,'Tech Litons'!$A:$C,3,0)</f>
        <v>Facepieces</v>
      </c>
      <c r="J6812" s="175" t="str">
        <f t="shared" si="757"/>
        <v>IncomFacepieces</v>
      </c>
      <c r="K6812" s="176">
        <f>VLOOKUP(I6812,'Attain %'!A:B,2,0)</f>
        <v>0.96</v>
      </c>
      <c r="L6812" s="177">
        <f t="shared" si="758"/>
        <v>35013.119999999995</v>
      </c>
      <c r="M6812" s="177">
        <f t="shared" si="759"/>
        <v>75.628339199999985</v>
      </c>
      <c r="N6812" s="177">
        <f t="shared" si="760"/>
        <v>179.55446153846151</v>
      </c>
      <c r="O6812" s="175" t="str">
        <f t="shared" si="761"/>
        <v>Jun</v>
      </c>
      <c r="P6812" s="265">
        <f t="shared" si="762"/>
        <v>25</v>
      </c>
    </row>
    <row r="6813" spans="1:16" ht="15" hidden="1" customHeight="1">
      <c r="A6813" s="489">
        <v>65468644</v>
      </c>
      <c r="B6813" s="489" t="s">
        <v>139</v>
      </c>
      <c r="C6813" s="488">
        <v>36512</v>
      </c>
      <c r="D6813" s="597">
        <v>46146</v>
      </c>
      <c r="E6813" s="489" t="s">
        <v>1291</v>
      </c>
      <c r="F6813" s="489" t="s">
        <v>1223</v>
      </c>
      <c r="G6813" s="395">
        <f>VLOOKUP($A6813,'Tech Litons'!$A:$I,8,FALSE)</f>
        <v>7.1999999999999994E-4</v>
      </c>
      <c r="H6813" s="174">
        <f>VLOOKUP($A6813,'Tech Litons'!$A:$I,9,FALSE)</f>
        <v>437</v>
      </c>
      <c r="I6813" s="174" t="str">
        <f>VLOOKUP($A6813,'Tech Litons'!$A:$C,3,0)</f>
        <v>Other</v>
      </c>
      <c r="J6813" s="175" t="str">
        <f t="shared" si="757"/>
        <v>IncomOther</v>
      </c>
      <c r="K6813" s="176">
        <f>VLOOKUP(I6813,'Attain %'!A:B,2,0)</f>
        <v>0.96</v>
      </c>
      <c r="L6813" s="177">
        <f t="shared" si="758"/>
        <v>35051.519999999997</v>
      </c>
      <c r="M6813" s="177">
        <f t="shared" si="759"/>
        <v>25.237094399999997</v>
      </c>
      <c r="N6813" s="177">
        <f t="shared" si="760"/>
        <v>80.209427917620133</v>
      </c>
      <c r="O6813" s="175" t="str">
        <f t="shared" si="761"/>
        <v>May</v>
      </c>
      <c r="P6813" s="265">
        <f t="shared" si="762"/>
        <v>19</v>
      </c>
    </row>
    <row r="6814" spans="1:16" ht="15" hidden="1" customHeight="1">
      <c r="A6814" s="489">
        <v>65489677</v>
      </c>
      <c r="B6814" s="489">
        <v>1717</v>
      </c>
      <c r="C6814" s="488">
        <v>36669</v>
      </c>
      <c r="D6814" s="597">
        <v>46146</v>
      </c>
      <c r="E6814" s="489" t="s">
        <v>1188</v>
      </c>
      <c r="F6814" s="489" t="s">
        <v>1221</v>
      </c>
      <c r="G6814" s="395">
        <f>VLOOKUP($A6814,'Tech Litons'!$A:$I,8,FALSE)</f>
        <v>2.8319999999999999E-3</v>
      </c>
      <c r="H6814" s="174">
        <f>VLOOKUP($A6814,'Tech Litons'!$A:$I,9,FALSE)</f>
        <v>221</v>
      </c>
      <c r="I6814" s="174" t="str">
        <f>VLOOKUP($A6814,'Tech Litons'!$A:$C,3,0)</f>
        <v>Other</v>
      </c>
      <c r="J6814" s="175" t="str">
        <f t="shared" si="757"/>
        <v>1717Other</v>
      </c>
      <c r="K6814" s="176">
        <f>VLOOKUP(I6814,'Attain %'!A:B,2,0)</f>
        <v>0.96</v>
      </c>
      <c r="L6814" s="177">
        <f t="shared" si="758"/>
        <v>35202.239999999998</v>
      </c>
      <c r="M6814" s="177">
        <f t="shared" si="759"/>
        <v>99.692743679999992</v>
      </c>
      <c r="N6814" s="177">
        <f t="shared" si="760"/>
        <v>159.28615384615384</v>
      </c>
      <c r="O6814" s="175" t="str">
        <f t="shared" si="761"/>
        <v>May</v>
      </c>
      <c r="P6814" s="265">
        <f t="shared" si="762"/>
        <v>19</v>
      </c>
    </row>
    <row r="6815" spans="1:16" ht="15" hidden="1" customHeight="1">
      <c r="A6815" s="489">
        <v>84141094</v>
      </c>
      <c r="B6815" s="489">
        <v>5914</v>
      </c>
      <c r="C6815" s="488">
        <v>36960</v>
      </c>
      <c r="D6815" s="597">
        <v>46160</v>
      </c>
      <c r="E6815" s="489" t="s">
        <v>393</v>
      </c>
      <c r="F6815" s="489" t="s">
        <v>1246</v>
      </c>
      <c r="G6815" s="395">
        <f>VLOOKUP($A6815,'Tech Litons'!$A:$I,8,FALSE)</f>
        <v>3.7839999999999996E-3</v>
      </c>
      <c r="H6815" s="174">
        <f>VLOOKUP($A6815,'Tech Litons'!$A:$I,9,FALSE)</f>
        <v>240</v>
      </c>
      <c r="I6815" s="174" t="str">
        <f>VLOOKUP($A6815,'Tech Litons'!$A:$C,3,0)</f>
        <v>BJ PTS</v>
      </c>
      <c r="J6815" s="175" t="str">
        <f t="shared" si="757"/>
        <v>5914BJ PTS</v>
      </c>
      <c r="K6815" s="176">
        <f>VLOOKUP(I6815,'Attain %'!A:B,2,0)</f>
        <v>0.95</v>
      </c>
      <c r="L6815" s="177">
        <f t="shared" si="758"/>
        <v>35112</v>
      </c>
      <c r="M6815" s="177">
        <f t="shared" si="759"/>
        <v>132.86380799999998</v>
      </c>
      <c r="N6815" s="177">
        <f t="shared" si="760"/>
        <v>146.30000000000001</v>
      </c>
      <c r="O6815" s="175" t="str">
        <f t="shared" si="761"/>
        <v>May</v>
      </c>
      <c r="P6815" s="265">
        <f t="shared" si="762"/>
        <v>21</v>
      </c>
    </row>
    <row r="6816" spans="1:16" ht="15" hidden="1" customHeight="1">
      <c r="A6816" s="489">
        <v>68851108</v>
      </c>
      <c r="B6816" s="489">
        <v>2904</v>
      </c>
      <c r="C6816" s="488">
        <v>37050</v>
      </c>
      <c r="D6816" s="597">
        <v>46139</v>
      </c>
      <c r="E6816" s="489" t="s">
        <v>296</v>
      </c>
      <c r="F6816" s="489" t="s">
        <v>1226</v>
      </c>
      <c r="G6816" s="395">
        <f>VLOOKUP($A6816,'Tech Litons'!$A:$I,8,FALSE)</f>
        <v>8.5199999999999998E-3</v>
      </c>
      <c r="H6816" s="174">
        <f>VLOOKUP($A6816,'Tech Litons'!$A:$I,9,FALSE)</f>
        <v>176</v>
      </c>
      <c r="I6816" s="174" t="str">
        <f>VLOOKUP($A6816,'Tech Litons'!$A:$C,3,0)</f>
        <v>48oz</v>
      </c>
      <c r="J6816" s="175" t="str">
        <f t="shared" si="757"/>
        <v>290448oz</v>
      </c>
      <c r="K6816" s="176">
        <f>VLOOKUP(I6816,'Attain %'!A:B,2,0)</f>
        <v>0.94</v>
      </c>
      <c r="L6816" s="177">
        <f t="shared" si="758"/>
        <v>34827</v>
      </c>
      <c r="M6816" s="177">
        <f t="shared" si="759"/>
        <v>296.72604000000001</v>
      </c>
      <c r="N6816" s="177">
        <f t="shared" si="760"/>
        <v>197.88068181818181</v>
      </c>
      <c r="O6816" s="175" t="str">
        <f t="shared" si="761"/>
        <v>Apr</v>
      </c>
      <c r="P6816" s="265">
        <f t="shared" si="762"/>
        <v>18</v>
      </c>
    </row>
    <row r="6817" spans="1:16" ht="15" hidden="1" customHeight="1">
      <c r="A6817" s="489">
        <v>64956417</v>
      </c>
      <c r="B6817" s="489" t="s">
        <v>139</v>
      </c>
      <c r="D6817" s="597">
        <v>46104</v>
      </c>
      <c r="E6817" s="489" t="s">
        <v>621</v>
      </c>
      <c r="F6817" s="489" t="s">
        <v>1223</v>
      </c>
      <c r="G6817" s="395">
        <f>VLOOKUP($A6817,'Tech Litons'!$A:$I,8,FALSE)</f>
        <v>2.16E-3</v>
      </c>
      <c r="H6817" s="174">
        <f>VLOOKUP($A6817,'Tech Litons'!$A:$I,9,FALSE)</f>
        <v>143</v>
      </c>
      <c r="I6817" s="174" t="str">
        <f>VLOOKUP($A6817,'Tech Litons'!$A:$C,3,0)</f>
        <v>Facepieces</v>
      </c>
      <c r="J6817" s="175" t="str">
        <f t="shared" si="757"/>
        <v>IncomFacepieces</v>
      </c>
      <c r="K6817" s="176">
        <f>VLOOKUP(I6817,'Attain %'!A:B,2,0)</f>
        <v>0.96</v>
      </c>
      <c r="L6817" s="177">
        <f t="shared" si="758"/>
        <v>0</v>
      </c>
      <c r="M6817" s="177">
        <f t="shared" si="759"/>
        <v>0</v>
      </c>
      <c r="N6817" s="177">
        <f t="shared" si="760"/>
        <v>0</v>
      </c>
      <c r="O6817" s="175" t="str">
        <f t="shared" si="761"/>
        <v>Mar</v>
      </c>
      <c r="P6817" s="265">
        <f t="shared" si="762"/>
        <v>13</v>
      </c>
    </row>
    <row r="6818" spans="1:16" ht="15" hidden="1" customHeight="1">
      <c r="A6818" s="489">
        <v>64987232</v>
      </c>
      <c r="B6818" s="489">
        <v>1716</v>
      </c>
      <c r="C6818" s="488">
        <v>37188</v>
      </c>
      <c r="D6818" s="597">
        <v>46104</v>
      </c>
      <c r="E6818" s="489" t="s">
        <v>596</v>
      </c>
      <c r="F6818" s="489" t="s">
        <v>1221</v>
      </c>
      <c r="G6818" s="395">
        <f>VLOOKUP($A6818,'Tech Litons'!$A:$I,8,FALSE)</f>
        <v>2.3999999999999998E-3</v>
      </c>
      <c r="H6818" s="174">
        <f>VLOOKUP($A6818,'Tech Litons'!$A:$I,9,FALSE)</f>
        <v>165</v>
      </c>
      <c r="I6818" s="174" t="str">
        <f>VLOOKUP($A6818,'Tech Litons'!$A:$C,3,0)</f>
        <v>BJ Bars</v>
      </c>
      <c r="J6818" s="175" t="str">
        <f t="shared" si="757"/>
        <v>1716BJ Bars</v>
      </c>
      <c r="K6818" s="176">
        <f>VLOOKUP(I6818,'Attain %'!A:B,2,0)</f>
        <v>0.96</v>
      </c>
      <c r="L6818" s="177">
        <f t="shared" si="758"/>
        <v>35700.479999999996</v>
      </c>
      <c r="M6818" s="177">
        <f t="shared" si="759"/>
        <v>85.681151999999983</v>
      </c>
      <c r="N6818" s="177">
        <f t="shared" si="760"/>
        <v>216.36654545454542</v>
      </c>
      <c r="O6818" s="175" t="str">
        <f t="shared" si="761"/>
        <v>Mar</v>
      </c>
      <c r="P6818" s="265">
        <f t="shared" si="762"/>
        <v>13</v>
      </c>
    </row>
    <row r="6819" spans="1:16" ht="15" hidden="1" customHeight="1">
      <c r="A6819" s="489">
        <v>64987232</v>
      </c>
      <c r="B6819" s="489">
        <v>1716</v>
      </c>
      <c r="C6819" s="488">
        <v>37188</v>
      </c>
      <c r="D6819" s="597">
        <v>46125</v>
      </c>
      <c r="E6819" s="489" t="s">
        <v>596</v>
      </c>
      <c r="F6819" s="489" t="s">
        <v>1221</v>
      </c>
      <c r="G6819" s="395">
        <f>VLOOKUP($A6819,'Tech Litons'!$A:$I,8,FALSE)</f>
        <v>2.3999999999999998E-3</v>
      </c>
      <c r="H6819" s="174">
        <f>VLOOKUP($A6819,'Tech Litons'!$A:$I,9,FALSE)</f>
        <v>165</v>
      </c>
      <c r="I6819" s="174" t="str">
        <f>VLOOKUP($A6819,'Tech Litons'!$A:$C,3,0)</f>
        <v>BJ Bars</v>
      </c>
      <c r="J6819" s="175" t="str">
        <f t="shared" si="757"/>
        <v>1716BJ Bars</v>
      </c>
      <c r="K6819" s="176">
        <f>VLOOKUP(I6819,'Attain %'!A:B,2,0)</f>
        <v>0.96</v>
      </c>
      <c r="L6819" s="177">
        <f t="shared" si="758"/>
        <v>35700.479999999996</v>
      </c>
      <c r="M6819" s="177">
        <f t="shared" si="759"/>
        <v>85.681151999999983</v>
      </c>
      <c r="N6819" s="177">
        <f t="shared" si="760"/>
        <v>216.36654545454542</v>
      </c>
      <c r="O6819" s="175" t="str">
        <f t="shared" si="761"/>
        <v>Apr</v>
      </c>
      <c r="P6819" s="265">
        <f t="shared" si="762"/>
        <v>16</v>
      </c>
    </row>
    <row r="6820" spans="1:16" ht="15" hidden="1" customHeight="1">
      <c r="A6820" s="489">
        <v>68710285</v>
      </c>
      <c r="B6820" s="489">
        <v>1352</v>
      </c>
      <c r="C6820" s="488">
        <v>37440</v>
      </c>
      <c r="D6820" s="597">
        <v>46125</v>
      </c>
      <c r="E6820" s="489" t="s">
        <v>367</v>
      </c>
      <c r="F6820" s="489" t="s">
        <v>1214</v>
      </c>
      <c r="G6820" s="395">
        <f>VLOOKUP($A6820,'Tech Litons'!$A:$I,8,FALSE)</f>
        <v>9.5760000000000012E-3</v>
      </c>
      <c r="H6820" s="174">
        <f>VLOOKUP($A6820,'Tech Litons'!$A:$I,9,FALSE)</f>
        <v>132</v>
      </c>
      <c r="I6820" s="174" t="str">
        <f>VLOOKUP($A6820,'Tech Litons'!$A:$C,3,0)</f>
        <v>EDF</v>
      </c>
      <c r="J6820" s="175" t="str">
        <f t="shared" si="757"/>
        <v>1352EDF</v>
      </c>
      <c r="K6820" s="176">
        <f>VLOOKUP(I6820,'Attain %'!A:B,2,0)</f>
        <v>0.96</v>
      </c>
      <c r="L6820" s="177">
        <f t="shared" si="758"/>
        <v>35942.400000000001</v>
      </c>
      <c r="M6820" s="177">
        <f t="shared" si="759"/>
        <v>344.18442240000007</v>
      </c>
      <c r="N6820" s="177">
        <f t="shared" si="760"/>
        <v>272.29090909090911</v>
      </c>
      <c r="O6820" s="175" t="str">
        <f t="shared" si="761"/>
        <v>Apr</v>
      </c>
      <c r="P6820" s="265">
        <f t="shared" si="762"/>
        <v>16</v>
      </c>
    </row>
    <row r="6821" spans="1:16" ht="15" hidden="1" customHeight="1">
      <c r="A6821" s="489">
        <v>68852591</v>
      </c>
      <c r="B6821" s="489">
        <v>1352</v>
      </c>
      <c r="C6821" s="488">
        <v>37440</v>
      </c>
      <c r="D6821" s="597">
        <v>46146</v>
      </c>
      <c r="E6821" s="489" t="s">
        <v>326</v>
      </c>
      <c r="F6821" s="489" t="s">
        <v>1214</v>
      </c>
      <c r="G6821" s="395">
        <f>VLOOKUP($A6821,'Tech Litons'!$A:$I,8,FALSE)</f>
        <v>8.5199999999999998E-3</v>
      </c>
      <c r="H6821" s="174">
        <f>VLOOKUP($A6821,'Tech Litons'!$A:$I,9,FALSE)</f>
        <v>132</v>
      </c>
      <c r="I6821" s="174" t="str">
        <f>VLOOKUP($A6821,'Tech Litons'!$A:$C,3,0)</f>
        <v>EDF</v>
      </c>
      <c r="J6821" s="175" t="str">
        <f t="shared" si="757"/>
        <v>1352EDF</v>
      </c>
      <c r="K6821" s="176">
        <f>VLOOKUP(I6821,'Attain %'!A:B,2,0)</f>
        <v>0.96</v>
      </c>
      <c r="L6821" s="177">
        <f t="shared" si="758"/>
        <v>35942.400000000001</v>
      </c>
      <c r="M6821" s="177">
        <f t="shared" si="759"/>
        <v>306.22924799999998</v>
      </c>
      <c r="N6821" s="177">
        <f t="shared" si="760"/>
        <v>272.29090909090911</v>
      </c>
      <c r="O6821" s="175" t="str">
        <f t="shared" si="761"/>
        <v>May</v>
      </c>
      <c r="P6821" s="265">
        <f t="shared" si="762"/>
        <v>19</v>
      </c>
    </row>
    <row r="6822" spans="1:16" ht="15" hidden="1" customHeight="1">
      <c r="A6822" s="489">
        <v>68921994</v>
      </c>
      <c r="B6822" s="489">
        <v>1352</v>
      </c>
      <c r="C6822" s="488">
        <v>37440</v>
      </c>
      <c r="D6822" s="597">
        <v>46118</v>
      </c>
      <c r="E6822" s="489" t="s">
        <v>267</v>
      </c>
      <c r="F6822" s="489" t="s">
        <v>1212</v>
      </c>
      <c r="G6822" s="395">
        <f>VLOOKUP($A6822,'Tech Litons'!$A:$I,8,FALSE)</f>
        <v>9.5760000000000012E-3</v>
      </c>
      <c r="H6822" s="174">
        <f>VLOOKUP($A6822,'Tech Litons'!$A:$I,9,FALSE)</f>
        <v>132</v>
      </c>
      <c r="I6822" s="174" t="str">
        <f>VLOOKUP($A6822,'Tech Litons'!$A:$C,3,0)</f>
        <v>EDF</v>
      </c>
      <c r="J6822" s="175" t="str">
        <f t="shared" si="757"/>
        <v>1352EDF</v>
      </c>
      <c r="K6822" s="176">
        <f>VLOOKUP(I6822,'Attain %'!A:B,2,0)</f>
        <v>0.96</v>
      </c>
      <c r="L6822" s="177">
        <f t="shared" si="758"/>
        <v>35942.400000000001</v>
      </c>
      <c r="M6822" s="177">
        <f t="shared" si="759"/>
        <v>344.18442240000007</v>
      </c>
      <c r="N6822" s="177">
        <f t="shared" si="760"/>
        <v>272.29090909090911</v>
      </c>
      <c r="O6822" s="175" t="str">
        <f t="shared" si="761"/>
        <v>Apr</v>
      </c>
      <c r="P6822" s="265">
        <f t="shared" si="762"/>
        <v>15</v>
      </c>
    </row>
    <row r="6823" spans="1:16" ht="15" hidden="1" customHeight="1">
      <c r="A6823" s="489">
        <v>68921994</v>
      </c>
      <c r="B6823" s="489">
        <v>1352</v>
      </c>
      <c r="C6823" s="488">
        <v>37440</v>
      </c>
      <c r="D6823" s="597">
        <v>46139</v>
      </c>
      <c r="E6823" s="489" t="s">
        <v>267</v>
      </c>
      <c r="F6823" s="489" t="s">
        <v>1214</v>
      </c>
      <c r="G6823" s="395">
        <f>VLOOKUP($A6823,'Tech Litons'!$A:$I,8,FALSE)</f>
        <v>9.5760000000000012E-3</v>
      </c>
      <c r="H6823" s="174">
        <f>VLOOKUP($A6823,'Tech Litons'!$A:$I,9,FALSE)</f>
        <v>132</v>
      </c>
      <c r="I6823" s="174" t="str">
        <f>VLOOKUP($A6823,'Tech Litons'!$A:$C,3,0)</f>
        <v>EDF</v>
      </c>
      <c r="J6823" s="175" t="str">
        <f t="shared" si="757"/>
        <v>1352EDF</v>
      </c>
      <c r="K6823" s="176">
        <f>VLOOKUP(I6823,'Attain %'!A:B,2,0)</f>
        <v>0.96</v>
      </c>
      <c r="L6823" s="177">
        <f t="shared" si="758"/>
        <v>35942.400000000001</v>
      </c>
      <c r="M6823" s="177">
        <f t="shared" si="759"/>
        <v>344.18442240000007</v>
      </c>
      <c r="N6823" s="177">
        <f t="shared" si="760"/>
        <v>272.29090909090911</v>
      </c>
      <c r="O6823" s="175" t="str">
        <f t="shared" si="761"/>
        <v>Apr</v>
      </c>
      <c r="P6823" s="265">
        <f t="shared" si="762"/>
        <v>18</v>
      </c>
    </row>
    <row r="6824" spans="1:16" ht="15" hidden="1" customHeight="1">
      <c r="A6824" s="489">
        <v>64999042</v>
      </c>
      <c r="B6824" s="489">
        <v>1716</v>
      </c>
      <c r="C6824" s="488">
        <v>37500</v>
      </c>
      <c r="D6824" s="597">
        <v>46104</v>
      </c>
      <c r="E6824" s="489" t="s">
        <v>489</v>
      </c>
      <c r="F6824" s="489" t="s">
        <v>1221</v>
      </c>
      <c r="G6824" s="395">
        <f>VLOOKUP($A6824,'Tech Litons'!$A:$I,8,FALSE)</f>
        <v>3.3119999999999998E-3</v>
      </c>
      <c r="H6824" s="174">
        <f>VLOOKUP($A6824,'Tech Litons'!$A:$I,9,FALSE)</f>
        <v>240</v>
      </c>
      <c r="I6824" s="174" t="str">
        <f>VLOOKUP($A6824,'Tech Litons'!$A:$C,3,0)</f>
        <v>YS PTS</v>
      </c>
      <c r="J6824" s="175" t="str">
        <f t="shared" si="757"/>
        <v>1716YS PTS</v>
      </c>
      <c r="K6824" s="176">
        <f>VLOOKUP(I6824,'Attain %'!A:B,2,0)</f>
        <v>0.96</v>
      </c>
      <c r="L6824" s="177">
        <f t="shared" si="758"/>
        <v>36000</v>
      </c>
      <c r="M6824" s="177">
        <f t="shared" si="759"/>
        <v>119.232</v>
      </c>
      <c r="N6824" s="177">
        <f t="shared" si="760"/>
        <v>150</v>
      </c>
      <c r="O6824" s="175" t="str">
        <f t="shared" si="761"/>
        <v>Mar</v>
      </c>
      <c r="P6824" s="265">
        <f t="shared" si="762"/>
        <v>13</v>
      </c>
    </row>
    <row r="6825" spans="1:16" ht="15" hidden="1" customHeight="1">
      <c r="A6825" s="489">
        <v>65489677</v>
      </c>
      <c r="B6825" s="489">
        <v>1717</v>
      </c>
      <c r="C6825" s="488">
        <v>37500</v>
      </c>
      <c r="D6825" s="597">
        <v>46307</v>
      </c>
      <c r="E6825" s="489" t="s">
        <v>1188</v>
      </c>
      <c r="F6825" s="489" t="s">
        <v>1221</v>
      </c>
      <c r="G6825" s="395">
        <f>VLOOKUP($A6825,'Tech Litons'!$A:$I,8,FALSE)</f>
        <v>2.8319999999999999E-3</v>
      </c>
      <c r="H6825" s="174">
        <f>VLOOKUP($A6825,'Tech Litons'!$A:$I,9,FALSE)</f>
        <v>221</v>
      </c>
      <c r="I6825" s="174" t="str">
        <f>VLOOKUP($A6825,'Tech Litons'!$A:$C,3,0)</f>
        <v>Other</v>
      </c>
      <c r="J6825" s="175" t="str">
        <f t="shared" si="757"/>
        <v>1717Other</v>
      </c>
      <c r="K6825" s="176">
        <f>VLOOKUP(I6825,'Attain %'!A:B,2,0)</f>
        <v>0.96</v>
      </c>
      <c r="L6825" s="177">
        <f t="shared" si="758"/>
        <v>36000</v>
      </c>
      <c r="M6825" s="177">
        <f t="shared" si="759"/>
        <v>101.952</v>
      </c>
      <c r="N6825" s="177">
        <f t="shared" si="760"/>
        <v>162.89592760180994</v>
      </c>
      <c r="O6825" s="175" t="str">
        <f t="shared" si="761"/>
        <v>Oct</v>
      </c>
      <c r="P6825" s="265">
        <f t="shared" si="762"/>
        <v>42</v>
      </c>
    </row>
    <row r="6826" spans="1:16" ht="15" hidden="1" customHeight="1">
      <c r="A6826" s="489">
        <v>64958129</v>
      </c>
      <c r="B6826" s="489">
        <v>1715</v>
      </c>
      <c r="D6826" s="597">
        <v>46097</v>
      </c>
      <c r="E6826" s="489" t="s">
        <v>589</v>
      </c>
      <c r="F6826" s="489" t="s">
        <v>1221</v>
      </c>
      <c r="G6826" s="395">
        <f>VLOOKUP($A6826,'Tech Litons'!$A:$I,8,FALSE)</f>
        <v>3.3119999999999998E-3</v>
      </c>
      <c r="H6826" s="174">
        <f>VLOOKUP($A6826,'Tech Litons'!$A:$I,9,FALSE)</f>
        <v>165</v>
      </c>
      <c r="I6826" s="174" t="str">
        <f>VLOOKUP($A6826,'Tech Litons'!$A:$C,3,0)</f>
        <v>Yasso Sticks</v>
      </c>
      <c r="J6826" s="175" t="str">
        <f t="shared" si="757"/>
        <v>1715Yasso Sticks</v>
      </c>
      <c r="K6826" s="176">
        <f>VLOOKUP(I6826,'Attain %'!A:B,2,0)</f>
        <v>0.96</v>
      </c>
      <c r="L6826" s="177">
        <f t="shared" si="758"/>
        <v>0</v>
      </c>
      <c r="M6826" s="177">
        <f t="shared" si="759"/>
        <v>0</v>
      </c>
      <c r="N6826" s="177">
        <f t="shared" si="760"/>
        <v>0</v>
      </c>
      <c r="O6826" s="175" t="str">
        <f t="shared" si="761"/>
        <v>Mar</v>
      </c>
      <c r="P6826" s="265">
        <f t="shared" si="762"/>
        <v>12</v>
      </c>
    </row>
    <row r="6827" spans="1:16" ht="15" hidden="1" customHeight="1">
      <c r="A6827" s="489">
        <v>67546042</v>
      </c>
      <c r="B6827" s="489">
        <v>5914</v>
      </c>
      <c r="C6827" s="488">
        <v>37800</v>
      </c>
      <c r="D6827" s="597">
        <v>46146</v>
      </c>
      <c r="E6827" s="489" t="s">
        <v>397</v>
      </c>
      <c r="F6827" s="489" t="s">
        <v>1244</v>
      </c>
      <c r="G6827" s="395">
        <f>VLOOKUP($A6827,'Tech Litons'!$A:$I,8,FALSE)</f>
        <v>3.7853439999999999E-3</v>
      </c>
      <c r="H6827" s="174">
        <f>VLOOKUP($A6827,'Tech Litons'!$A:$I,9,FALSE)</f>
        <v>240</v>
      </c>
      <c r="I6827" s="174" t="str">
        <f>VLOOKUP($A6827,'Tech Litons'!$A:$C,3,0)</f>
        <v>BJ PTS</v>
      </c>
      <c r="J6827" s="175" t="str">
        <f t="shared" si="757"/>
        <v>5914BJ PTS</v>
      </c>
      <c r="K6827" s="176">
        <f>VLOOKUP(I6827,'Attain %'!A:B,2,0)</f>
        <v>0.95</v>
      </c>
      <c r="L6827" s="177">
        <f t="shared" si="758"/>
        <v>35910</v>
      </c>
      <c r="M6827" s="177">
        <f t="shared" si="759"/>
        <v>135.93170304</v>
      </c>
      <c r="N6827" s="177">
        <f t="shared" si="760"/>
        <v>149.625</v>
      </c>
      <c r="O6827" s="175" t="str">
        <f t="shared" si="761"/>
        <v>May</v>
      </c>
      <c r="P6827" s="265">
        <f t="shared" si="762"/>
        <v>19</v>
      </c>
    </row>
    <row r="6828" spans="1:16" ht="15" hidden="1" customHeight="1">
      <c r="A6828" s="489">
        <v>64341962</v>
      </c>
      <c r="B6828" s="489">
        <v>2904</v>
      </c>
      <c r="C6828" s="488">
        <v>38000</v>
      </c>
      <c r="D6828" s="597">
        <v>46160</v>
      </c>
      <c r="E6828" s="489" t="s">
        <v>443</v>
      </c>
      <c r="F6828" s="489" t="s">
        <v>1225</v>
      </c>
      <c r="G6828" s="395">
        <f>VLOOKUP($A6828,'Tech Litons'!$A:$I,8,FALSE)</f>
        <v>8.513999999999999E-3</v>
      </c>
      <c r="H6828" s="174">
        <f>VLOOKUP($A6828,'Tech Litons'!$A:$I,9,FALSE)</f>
        <v>176</v>
      </c>
      <c r="I6828" s="174" t="str">
        <f>VLOOKUP($A6828,'Tech Litons'!$A:$C,3,0)</f>
        <v>48oz</v>
      </c>
      <c r="J6828" s="175" t="str">
        <f t="shared" si="757"/>
        <v>290448oz</v>
      </c>
      <c r="K6828" s="176">
        <f>VLOOKUP(I6828,'Attain %'!A:B,2,0)</f>
        <v>0.94</v>
      </c>
      <c r="L6828" s="177">
        <f t="shared" si="758"/>
        <v>35720</v>
      </c>
      <c r="M6828" s="177">
        <f t="shared" si="759"/>
        <v>304.12007999999997</v>
      </c>
      <c r="N6828" s="177">
        <f t="shared" si="760"/>
        <v>202.95454545454547</v>
      </c>
      <c r="O6828" s="175" t="str">
        <f t="shared" si="761"/>
        <v>May</v>
      </c>
      <c r="P6828" s="265">
        <f t="shared" si="762"/>
        <v>21</v>
      </c>
    </row>
    <row r="6829" spans="1:16" ht="15" hidden="1" customHeight="1">
      <c r="A6829" s="489">
        <v>64771676</v>
      </c>
      <c r="B6829" s="489" t="s">
        <v>139</v>
      </c>
      <c r="C6829" s="488">
        <v>38064</v>
      </c>
      <c r="D6829" s="597">
        <v>46167</v>
      </c>
      <c r="E6829" s="489" t="s">
        <v>619</v>
      </c>
      <c r="F6829" s="489" t="s">
        <v>1223</v>
      </c>
      <c r="G6829" s="395">
        <f>VLOOKUP($A6829,'Tech Litons'!$A:$I,8,FALSE)</f>
        <v>2.16E-3</v>
      </c>
      <c r="H6829" s="174">
        <f>VLOOKUP($A6829,'Tech Litons'!$A:$I,9,FALSE)</f>
        <v>195</v>
      </c>
      <c r="I6829" s="174" t="str">
        <f>VLOOKUP($A6829,'Tech Litons'!$A:$C,3,0)</f>
        <v>Facepieces</v>
      </c>
      <c r="J6829" s="175" t="str">
        <f t="shared" si="757"/>
        <v>IncomFacepieces</v>
      </c>
      <c r="K6829" s="176">
        <f>VLOOKUP(I6829,'Attain %'!A:B,2,0)</f>
        <v>0.96</v>
      </c>
      <c r="L6829" s="177">
        <f t="shared" si="758"/>
        <v>36541.439999999995</v>
      </c>
      <c r="M6829" s="177">
        <f t="shared" si="759"/>
        <v>78.929510399999984</v>
      </c>
      <c r="N6829" s="177">
        <f t="shared" si="760"/>
        <v>187.39199999999997</v>
      </c>
      <c r="O6829" s="175" t="str">
        <f t="shared" si="761"/>
        <v>May</v>
      </c>
      <c r="P6829" s="265">
        <f t="shared" si="762"/>
        <v>22</v>
      </c>
    </row>
    <row r="6830" spans="1:16" ht="15" hidden="1" customHeight="1">
      <c r="A6830" s="489">
        <v>69986511</v>
      </c>
      <c r="B6830" s="489">
        <v>5914</v>
      </c>
      <c r="C6830" s="488">
        <v>38080</v>
      </c>
      <c r="D6830" s="597">
        <v>46125</v>
      </c>
      <c r="E6830" s="489" t="s">
        <v>442</v>
      </c>
      <c r="F6830" s="489" t="s">
        <v>1246</v>
      </c>
      <c r="G6830" s="395">
        <f>VLOOKUP($A6830,'Tech Litons'!$A:$I,8,FALSE)</f>
        <v>3.7839999999999996E-3</v>
      </c>
      <c r="H6830" s="174">
        <f>VLOOKUP($A6830,'Tech Litons'!$A:$I,9,FALSE)</f>
        <v>240</v>
      </c>
      <c r="I6830" s="174" t="str">
        <f>VLOOKUP($A6830,'Tech Litons'!$A:$C,3,0)</f>
        <v>BJ PTS</v>
      </c>
      <c r="J6830" s="175" t="str">
        <f t="shared" si="757"/>
        <v>5914BJ PTS</v>
      </c>
      <c r="K6830" s="176">
        <f>VLOOKUP(I6830,'Attain %'!A:B,2,0)</f>
        <v>0.95</v>
      </c>
      <c r="L6830" s="177">
        <f t="shared" si="758"/>
        <v>36176</v>
      </c>
      <c r="M6830" s="177">
        <f t="shared" si="759"/>
        <v>136.889984</v>
      </c>
      <c r="N6830" s="177">
        <f t="shared" si="760"/>
        <v>150.73333333333332</v>
      </c>
      <c r="O6830" s="175" t="str">
        <f t="shared" si="761"/>
        <v>Apr</v>
      </c>
      <c r="P6830" s="265">
        <f t="shared" si="762"/>
        <v>16</v>
      </c>
    </row>
    <row r="6831" spans="1:16" ht="15" hidden="1" customHeight="1">
      <c r="A6831" s="489">
        <v>84139090</v>
      </c>
      <c r="B6831" s="489">
        <v>5914</v>
      </c>
      <c r="C6831" s="488">
        <v>38080</v>
      </c>
      <c r="D6831" s="597">
        <v>46146</v>
      </c>
      <c r="E6831" s="489" t="s">
        <v>477</v>
      </c>
      <c r="F6831" s="489" t="s">
        <v>1246</v>
      </c>
      <c r="G6831" s="395">
        <f>VLOOKUP($A6831,'Tech Litons'!$A:$I,8,FALSE)</f>
        <v>3.7853439999999999E-3</v>
      </c>
      <c r="H6831" s="174">
        <f>VLOOKUP($A6831,'Tech Litons'!$A:$I,9,FALSE)</f>
        <v>240</v>
      </c>
      <c r="I6831" s="174" t="str">
        <f>VLOOKUP($A6831,'Tech Litons'!$A:$C,3,0)</f>
        <v>BJ PTS</v>
      </c>
      <c r="J6831" s="175" t="str">
        <f t="shared" si="757"/>
        <v>5914BJ PTS</v>
      </c>
      <c r="K6831" s="176">
        <f>VLOOKUP(I6831,'Attain %'!A:B,2,0)</f>
        <v>0.95</v>
      </c>
      <c r="L6831" s="177">
        <f t="shared" si="758"/>
        <v>36176</v>
      </c>
      <c r="M6831" s="177">
        <f t="shared" si="759"/>
        <v>136.93860454399999</v>
      </c>
      <c r="N6831" s="177">
        <f t="shared" si="760"/>
        <v>150.73333333333332</v>
      </c>
      <c r="O6831" s="175" t="str">
        <f t="shared" si="761"/>
        <v>May</v>
      </c>
      <c r="P6831" s="265">
        <f t="shared" si="762"/>
        <v>19</v>
      </c>
    </row>
    <row r="6832" spans="1:16" ht="15" hidden="1" customHeight="1">
      <c r="A6832" s="489">
        <v>64771677</v>
      </c>
      <c r="B6832" s="489" t="s">
        <v>139</v>
      </c>
      <c r="C6832" s="488">
        <v>38124</v>
      </c>
      <c r="D6832" s="597">
        <v>46125</v>
      </c>
      <c r="E6832" s="489" t="s">
        <v>620</v>
      </c>
      <c r="F6832" s="489" t="s">
        <v>1223</v>
      </c>
      <c r="G6832" s="395">
        <f>VLOOKUP($A6832,'Tech Litons'!$A:$I,8,FALSE)</f>
        <v>2.16E-3</v>
      </c>
      <c r="H6832" s="174">
        <f>VLOOKUP($A6832,'Tech Litons'!$A:$I,9,FALSE)</f>
        <v>195</v>
      </c>
      <c r="I6832" s="174" t="str">
        <f>VLOOKUP($A6832,'Tech Litons'!$A:$C,3,0)</f>
        <v>Facepieces</v>
      </c>
      <c r="J6832" s="175" t="str">
        <f t="shared" si="757"/>
        <v>IncomFacepieces</v>
      </c>
      <c r="K6832" s="176">
        <f>VLOOKUP(I6832,'Attain %'!A:B,2,0)</f>
        <v>0.96</v>
      </c>
      <c r="L6832" s="177">
        <f t="shared" si="758"/>
        <v>36599.040000000001</v>
      </c>
      <c r="M6832" s="177">
        <f t="shared" si="759"/>
        <v>79.053926400000009</v>
      </c>
      <c r="N6832" s="177">
        <f t="shared" si="760"/>
        <v>187.68738461538462</v>
      </c>
      <c r="O6832" s="175" t="str">
        <f t="shared" si="761"/>
        <v>Apr</v>
      </c>
      <c r="P6832" s="265">
        <f t="shared" si="762"/>
        <v>16</v>
      </c>
    </row>
    <row r="6833" spans="1:16" ht="15" hidden="1" customHeight="1">
      <c r="A6833" s="489">
        <v>64341108</v>
      </c>
      <c r="B6833" s="489" t="s">
        <v>139</v>
      </c>
      <c r="C6833" s="488">
        <v>38400</v>
      </c>
      <c r="D6833" s="597">
        <v>46237</v>
      </c>
      <c r="E6833" s="489" t="s">
        <v>615</v>
      </c>
      <c r="F6833" s="489" t="s">
        <v>1223</v>
      </c>
      <c r="G6833" s="395">
        <f>VLOOKUP($A6833,'Tech Litons'!$A:$I,8,FALSE)</f>
        <v>2.3599999999999997E-3</v>
      </c>
      <c r="H6833" s="174">
        <f>VLOOKUP($A6833,'Tech Litons'!$A:$I,9,FALSE)</f>
        <v>210</v>
      </c>
      <c r="I6833" s="174" t="str">
        <f>VLOOKUP($A6833,'Tech Litons'!$A:$C,3,0)</f>
        <v>Facepieces</v>
      </c>
      <c r="J6833" s="175" t="str">
        <f t="shared" si="757"/>
        <v>IncomFacepieces</v>
      </c>
      <c r="K6833" s="176">
        <f>VLOOKUP(I6833,'Attain %'!A:B,2,0)</f>
        <v>0.96</v>
      </c>
      <c r="L6833" s="177">
        <f t="shared" si="758"/>
        <v>36864</v>
      </c>
      <c r="M6833" s="177">
        <f t="shared" si="759"/>
        <v>86.999039999999994</v>
      </c>
      <c r="N6833" s="177">
        <f t="shared" si="760"/>
        <v>175.54285714285714</v>
      </c>
      <c r="O6833" s="175" t="str">
        <f t="shared" si="761"/>
        <v>Aug</v>
      </c>
      <c r="P6833" s="265">
        <f t="shared" si="762"/>
        <v>32</v>
      </c>
    </row>
    <row r="6834" spans="1:16" ht="15" hidden="1" customHeight="1">
      <c r="A6834" s="489">
        <v>64341108</v>
      </c>
      <c r="B6834" s="489" t="s">
        <v>139</v>
      </c>
      <c r="C6834" s="488">
        <v>38400</v>
      </c>
      <c r="D6834" s="597">
        <v>46321</v>
      </c>
      <c r="E6834" s="489" t="s">
        <v>615</v>
      </c>
      <c r="F6834" s="489" t="s">
        <v>1223</v>
      </c>
      <c r="G6834" s="395">
        <f>VLOOKUP($A6834,'Tech Litons'!$A:$I,8,FALSE)</f>
        <v>2.3599999999999997E-3</v>
      </c>
      <c r="H6834" s="174">
        <f>VLOOKUP($A6834,'Tech Litons'!$A:$I,9,FALSE)</f>
        <v>210</v>
      </c>
      <c r="I6834" s="174" t="str">
        <f>VLOOKUP($A6834,'Tech Litons'!$A:$C,3,0)</f>
        <v>Facepieces</v>
      </c>
      <c r="J6834" s="175" t="str">
        <f t="shared" si="757"/>
        <v>IncomFacepieces</v>
      </c>
      <c r="K6834" s="176">
        <f>VLOOKUP(I6834,'Attain %'!A:B,2,0)</f>
        <v>0.96</v>
      </c>
      <c r="L6834" s="177">
        <f t="shared" si="758"/>
        <v>36864</v>
      </c>
      <c r="M6834" s="177">
        <f t="shared" si="759"/>
        <v>86.999039999999994</v>
      </c>
      <c r="N6834" s="177">
        <f t="shared" si="760"/>
        <v>175.54285714285714</v>
      </c>
      <c r="O6834" s="175" t="str">
        <f t="shared" si="761"/>
        <v>Oct</v>
      </c>
      <c r="P6834" s="265">
        <f t="shared" si="762"/>
        <v>44</v>
      </c>
    </row>
    <row r="6835" spans="1:16" ht="15" hidden="1" customHeight="1">
      <c r="A6835" s="489">
        <v>64341108</v>
      </c>
      <c r="B6835" s="489" t="s">
        <v>139</v>
      </c>
      <c r="C6835" s="488">
        <v>38400</v>
      </c>
      <c r="D6835" s="597">
        <v>46363</v>
      </c>
      <c r="E6835" s="489" t="s">
        <v>615</v>
      </c>
      <c r="F6835" s="489" t="s">
        <v>1223</v>
      </c>
      <c r="G6835" s="395">
        <f>VLOOKUP($A6835,'Tech Litons'!$A:$I,8,FALSE)</f>
        <v>2.3599999999999997E-3</v>
      </c>
      <c r="H6835" s="174">
        <f>VLOOKUP($A6835,'Tech Litons'!$A:$I,9,FALSE)</f>
        <v>210</v>
      </c>
      <c r="I6835" s="174" t="str">
        <f>VLOOKUP($A6835,'Tech Litons'!$A:$C,3,0)</f>
        <v>Facepieces</v>
      </c>
      <c r="J6835" s="175" t="str">
        <f t="shared" si="757"/>
        <v>IncomFacepieces</v>
      </c>
      <c r="K6835" s="176">
        <f>VLOOKUP(I6835,'Attain %'!A:B,2,0)</f>
        <v>0.96</v>
      </c>
      <c r="L6835" s="177">
        <f t="shared" si="758"/>
        <v>36864</v>
      </c>
      <c r="M6835" s="177">
        <f t="shared" si="759"/>
        <v>86.999039999999994</v>
      </c>
      <c r="N6835" s="177">
        <f t="shared" si="760"/>
        <v>175.54285714285714</v>
      </c>
      <c r="O6835" s="175" t="str">
        <f t="shared" si="761"/>
        <v>Dec</v>
      </c>
      <c r="P6835" s="265">
        <f t="shared" si="762"/>
        <v>50</v>
      </c>
    </row>
    <row r="6836" spans="1:16" ht="15" hidden="1" customHeight="1">
      <c r="A6836" s="489">
        <v>64830947</v>
      </c>
      <c r="B6836" s="489">
        <v>3985</v>
      </c>
      <c r="D6836" s="597">
        <v>46111</v>
      </c>
      <c r="E6836" s="489" t="s">
        <v>604</v>
      </c>
      <c r="F6836" s="489" t="s">
        <v>1221</v>
      </c>
      <c r="G6836" s="395">
        <f>VLOOKUP($A6836,'Tech Litons'!$A:$I,8,FALSE)</f>
        <v>9.8999999999999999E-4</v>
      </c>
      <c r="H6836" s="174">
        <f>VLOOKUP($A6836,'Tech Litons'!$A:$I,9,FALSE)</f>
        <v>296</v>
      </c>
      <c r="I6836" s="174" t="str">
        <f>VLOOKUP($A6836,'Tech Litons'!$A:$C,3,0)</f>
        <v>Repack MG Sticks</v>
      </c>
      <c r="J6836" s="175" t="str">
        <f t="shared" si="757"/>
        <v>3985Repack MG Sticks</v>
      </c>
      <c r="K6836" s="176">
        <f>VLOOKUP(I6836,'Attain %'!A:B,2,0)</f>
        <v>0.96</v>
      </c>
      <c r="L6836" s="177">
        <f t="shared" si="758"/>
        <v>0</v>
      </c>
      <c r="M6836" s="177">
        <f t="shared" si="759"/>
        <v>0</v>
      </c>
      <c r="N6836" s="177">
        <f t="shared" si="760"/>
        <v>0</v>
      </c>
      <c r="O6836" s="175" t="str">
        <f t="shared" si="761"/>
        <v>Mar</v>
      </c>
      <c r="P6836" s="265">
        <f t="shared" si="762"/>
        <v>14</v>
      </c>
    </row>
    <row r="6837" spans="1:16" ht="15" hidden="1" customHeight="1">
      <c r="A6837" s="489">
        <v>64987233</v>
      </c>
      <c r="B6837" s="489">
        <v>1716</v>
      </c>
      <c r="C6837" s="488">
        <v>38438</v>
      </c>
      <c r="D6837" s="597">
        <v>46125</v>
      </c>
      <c r="E6837" s="489" t="s">
        <v>597</v>
      </c>
      <c r="F6837" s="489" t="s">
        <v>1221</v>
      </c>
      <c r="G6837" s="395">
        <f>VLOOKUP($A6837,'Tech Litons'!$A:$I,8,FALSE)</f>
        <v>2.3999999999999998E-3</v>
      </c>
      <c r="H6837" s="174">
        <f>VLOOKUP($A6837,'Tech Litons'!$A:$I,9,FALSE)</f>
        <v>165</v>
      </c>
      <c r="I6837" s="174" t="str">
        <f>VLOOKUP($A6837,'Tech Litons'!$A:$C,3,0)</f>
        <v>BJ Bars</v>
      </c>
      <c r="J6837" s="175" t="str">
        <f t="shared" si="757"/>
        <v>1716BJ Bars</v>
      </c>
      <c r="K6837" s="176">
        <f>VLOOKUP(I6837,'Attain %'!A:B,2,0)</f>
        <v>0.96</v>
      </c>
      <c r="L6837" s="177">
        <f t="shared" si="758"/>
        <v>36900.479999999996</v>
      </c>
      <c r="M6837" s="177">
        <f t="shared" si="759"/>
        <v>88.561151999999979</v>
      </c>
      <c r="N6837" s="177">
        <f t="shared" si="760"/>
        <v>223.6392727272727</v>
      </c>
      <c r="O6837" s="175" t="str">
        <f t="shared" si="761"/>
        <v>Apr</v>
      </c>
      <c r="P6837" s="265">
        <f t="shared" si="762"/>
        <v>16</v>
      </c>
    </row>
    <row r="6838" spans="1:16" ht="15" customHeight="1">
      <c r="A6838" s="489">
        <v>65539504</v>
      </c>
      <c r="B6838" s="489">
        <v>2904</v>
      </c>
      <c r="C6838" s="488">
        <v>38500</v>
      </c>
      <c r="D6838" s="597">
        <v>46139</v>
      </c>
      <c r="E6838" s="489" t="s">
        <v>1292</v>
      </c>
      <c r="F6838" s="489" t="s">
        <v>1239</v>
      </c>
      <c r="G6838" s="395">
        <f>VLOOKUP($A6838,'Tech Litons'!$A:$I,8,FALSE)</f>
        <v>1.9199999999999998E-3</v>
      </c>
      <c r="H6838" s="174">
        <f>VLOOKUP($A6838,'Tech Litons'!$A:$I,9,FALSE)</f>
        <v>210</v>
      </c>
      <c r="I6838" s="174" t="str">
        <f>VLOOKUP($A6838,'Tech Litons'!$A:$C,3,0)</f>
        <v>MG Sticks</v>
      </c>
      <c r="J6838" s="175" t="str">
        <f t="shared" si="757"/>
        <v>2904MG Sticks</v>
      </c>
      <c r="K6838" s="176">
        <f>VLOOKUP(I6838,'Attain %'!A:B,2,0)</f>
        <v>0.96</v>
      </c>
      <c r="L6838" s="177">
        <f t="shared" si="758"/>
        <v>36960</v>
      </c>
      <c r="M6838" s="177">
        <f t="shared" si="759"/>
        <v>70.963200000000001</v>
      </c>
      <c r="N6838" s="177">
        <f t="shared" si="760"/>
        <v>176</v>
      </c>
      <c r="O6838" s="175" t="str">
        <f t="shared" si="761"/>
        <v>Apr</v>
      </c>
      <c r="P6838" s="265">
        <f t="shared" si="762"/>
        <v>18</v>
      </c>
    </row>
    <row r="6839" spans="1:16" ht="15" hidden="1" customHeight="1">
      <c r="A6839" s="489">
        <v>68852583</v>
      </c>
      <c r="B6839" s="489">
        <v>1352</v>
      </c>
      <c r="C6839" s="488">
        <v>38880</v>
      </c>
      <c r="D6839" s="597">
        <v>46132</v>
      </c>
      <c r="E6839" s="489" t="s">
        <v>428</v>
      </c>
      <c r="F6839" s="489" t="s">
        <v>1210</v>
      </c>
      <c r="G6839" s="395">
        <f>VLOOKUP($A6839,'Tech Litons'!$A:$I,8,FALSE)</f>
        <v>8.5199999999999998E-3</v>
      </c>
      <c r="H6839" s="174">
        <f>VLOOKUP($A6839,'Tech Litons'!$A:$I,9,FALSE)</f>
        <v>132</v>
      </c>
      <c r="I6839" s="174" t="str">
        <f>VLOOKUP($A6839,'Tech Litons'!$A:$C,3,0)</f>
        <v>EDF</v>
      </c>
      <c r="J6839" s="175" t="str">
        <f t="shared" si="757"/>
        <v>1352EDF</v>
      </c>
      <c r="K6839" s="176">
        <f>VLOOKUP(I6839,'Attain %'!A:B,2,0)</f>
        <v>0.96</v>
      </c>
      <c r="L6839" s="177">
        <f t="shared" si="758"/>
        <v>37324.799999999996</v>
      </c>
      <c r="M6839" s="177">
        <f t="shared" si="759"/>
        <v>318.00729599999994</v>
      </c>
      <c r="N6839" s="177">
        <f t="shared" si="760"/>
        <v>282.76363636363635</v>
      </c>
      <c r="O6839" s="175" t="str">
        <f t="shared" si="761"/>
        <v>Apr</v>
      </c>
      <c r="P6839" s="265">
        <f t="shared" si="762"/>
        <v>17</v>
      </c>
    </row>
    <row r="6840" spans="1:16" ht="15" hidden="1" customHeight="1">
      <c r="A6840" s="489">
        <v>84163605</v>
      </c>
      <c r="B6840" s="489">
        <v>5914</v>
      </c>
      <c r="C6840" s="488">
        <v>38880</v>
      </c>
      <c r="D6840" s="597">
        <v>46118</v>
      </c>
      <c r="E6840" s="489" t="s">
        <v>419</v>
      </c>
      <c r="F6840" s="489" t="s">
        <v>1244</v>
      </c>
      <c r="G6840" s="395">
        <f>VLOOKUP($A6840,'Tech Litons'!$A:$I,8,FALSE)</f>
        <v>3.7853439999999999E-3</v>
      </c>
      <c r="H6840" s="174">
        <f>VLOOKUP($A6840,'Tech Litons'!$A:$I,9,FALSE)</f>
        <v>240</v>
      </c>
      <c r="I6840" s="174" t="str">
        <f>VLOOKUP($A6840,'Tech Litons'!$A:$C,3,0)</f>
        <v>BJ PTS</v>
      </c>
      <c r="J6840" s="175" t="str">
        <f t="shared" ref="J6840:J6903" si="763">B6840&amp;I6840</f>
        <v>5914BJ PTS</v>
      </c>
      <c r="K6840" s="176">
        <f>VLOOKUP(I6840,'Attain %'!A:B,2,0)</f>
        <v>0.95</v>
      </c>
      <c r="L6840" s="177">
        <f t="shared" ref="L6840:L6903" si="764">C6840*$K6840</f>
        <v>36936</v>
      </c>
      <c r="M6840" s="177">
        <f t="shared" ref="M6840:M6903" si="765">L6840*G6840</f>
        <v>139.81546598399999</v>
      </c>
      <c r="N6840" s="177">
        <f t="shared" ref="N6840:N6903" si="766">L6840/H6840</f>
        <v>153.9</v>
      </c>
      <c r="O6840" s="175" t="str">
        <f t="shared" ref="O6840:O6903" si="767">TEXT(D6840,"MMM")</f>
        <v>Apr</v>
      </c>
      <c r="P6840" s="265">
        <f t="shared" ref="P6840:P6903" si="768">WEEKNUM(D6840)</f>
        <v>15</v>
      </c>
    </row>
    <row r="6841" spans="1:16" ht="15" hidden="1" customHeight="1">
      <c r="A6841" s="489">
        <v>64789262</v>
      </c>
      <c r="B6841" s="489">
        <v>1352</v>
      </c>
      <c r="C6841" s="488">
        <v>39000</v>
      </c>
      <c r="D6841" s="597">
        <v>46153</v>
      </c>
      <c r="E6841" s="489" t="s">
        <v>424</v>
      </c>
      <c r="F6841" s="489" t="s">
        <v>1219</v>
      </c>
      <c r="G6841" s="395">
        <f>VLOOKUP($A6841,'Tech Litons'!$A:$I,8,FALSE)</f>
        <v>2.8319999999999999E-3</v>
      </c>
      <c r="H6841" s="174">
        <f>VLOOKUP($A6841,'Tech Litons'!$A:$I,9,FALSE)</f>
        <v>225</v>
      </c>
      <c r="I6841" s="174" t="str">
        <f>VLOOKUP($A6841,'Tech Litons'!$A:$C,3,0)</f>
        <v>MBG</v>
      </c>
      <c r="J6841" s="175" t="str">
        <f t="shared" si="763"/>
        <v>1352MBG</v>
      </c>
      <c r="K6841" s="176">
        <f>VLOOKUP(I6841,'Attain %'!A:B,2,0)</f>
        <v>0.96</v>
      </c>
      <c r="L6841" s="177">
        <f t="shared" si="764"/>
        <v>37440</v>
      </c>
      <c r="M6841" s="177">
        <f t="shared" si="765"/>
        <v>106.03008</v>
      </c>
      <c r="N6841" s="177">
        <f t="shared" si="766"/>
        <v>166.4</v>
      </c>
      <c r="O6841" s="175" t="str">
        <f t="shared" si="767"/>
        <v>May</v>
      </c>
      <c r="P6841" s="265">
        <f t="shared" si="768"/>
        <v>20</v>
      </c>
    </row>
    <row r="6842" spans="1:16" ht="15" hidden="1" customHeight="1">
      <c r="A6842" s="489">
        <v>64789262</v>
      </c>
      <c r="B6842" s="489">
        <v>1352</v>
      </c>
      <c r="C6842" s="488">
        <v>39000</v>
      </c>
      <c r="D6842" s="597">
        <v>46160</v>
      </c>
      <c r="E6842" s="489" t="s">
        <v>424</v>
      </c>
      <c r="F6842" s="489" t="s">
        <v>1219</v>
      </c>
      <c r="G6842" s="395">
        <f>VLOOKUP($A6842,'Tech Litons'!$A:$I,8,FALSE)</f>
        <v>2.8319999999999999E-3</v>
      </c>
      <c r="H6842" s="174">
        <f>VLOOKUP($A6842,'Tech Litons'!$A:$I,9,FALSE)</f>
        <v>225</v>
      </c>
      <c r="I6842" s="174" t="str">
        <f>VLOOKUP($A6842,'Tech Litons'!$A:$C,3,0)</f>
        <v>MBG</v>
      </c>
      <c r="J6842" s="175" t="str">
        <f t="shared" si="763"/>
        <v>1352MBG</v>
      </c>
      <c r="K6842" s="176">
        <f>VLOOKUP(I6842,'Attain %'!A:B,2,0)</f>
        <v>0.96</v>
      </c>
      <c r="L6842" s="177">
        <f t="shared" si="764"/>
        <v>37440</v>
      </c>
      <c r="M6842" s="177">
        <f t="shared" si="765"/>
        <v>106.03008</v>
      </c>
      <c r="N6842" s="177">
        <f t="shared" si="766"/>
        <v>166.4</v>
      </c>
      <c r="O6842" s="175" t="str">
        <f t="shared" si="767"/>
        <v>May</v>
      </c>
      <c r="P6842" s="265">
        <f t="shared" si="768"/>
        <v>21</v>
      </c>
    </row>
    <row r="6843" spans="1:16" ht="15" hidden="1" customHeight="1">
      <c r="A6843" s="489">
        <v>68741714</v>
      </c>
      <c r="B6843" s="489">
        <v>1352</v>
      </c>
      <c r="C6843" s="488">
        <v>39000</v>
      </c>
      <c r="D6843" s="597">
        <v>46146</v>
      </c>
      <c r="E6843" s="489" t="s">
        <v>286</v>
      </c>
      <c r="F6843" s="489" t="s">
        <v>1219</v>
      </c>
      <c r="G6843" s="395">
        <f>VLOOKUP($A6843,'Tech Litons'!$A:$I,8,FALSE)</f>
        <v>2.8319999999999999E-3</v>
      </c>
      <c r="H6843" s="174">
        <f>VLOOKUP($A6843,'Tech Litons'!$A:$I,9,FALSE)</f>
        <v>225</v>
      </c>
      <c r="I6843" s="174" t="str">
        <f>VLOOKUP($A6843,'Tech Litons'!$A:$C,3,0)</f>
        <v>MBG</v>
      </c>
      <c r="J6843" s="175" t="str">
        <f t="shared" si="763"/>
        <v>1352MBG</v>
      </c>
      <c r="K6843" s="176">
        <f>VLOOKUP(I6843,'Attain %'!A:B,2,0)</f>
        <v>0.96</v>
      </c>
      <c r="L6843" s="177">
        <f t="shared" si="764"/>
        <v>37440</v>
      </c>
      <c r="M6843" s="177">
        <f t="shared" si="765"/>
        <v>106.03008</v>
      </c>
      <c r="N6843" s="177">
        <f t="shared" si="766"/>
        <v>166.4</v>
      </c>
      <c r="O6843" s="175" t="str">
        <f t="shared" si="767"/>
        <v>May</v>
      </c>
      <c r="P6843" s="265">
        <f t="shared" si="768"/>
        <v>19</v>
      </c>
    </row>
    <row r="6844" spans="1:16" ht="15" hidden="1" customHeight="1">
      <c r="A6844" s="489">
        <v>68850684</v>
      </c>
      <c r="B6844" s="489">
        <v>1352</v>
      </c>
      <c r="D6844" s="597">
        <v>46111</v>
      </c>
      <c r="E6844" s="489" t="s">
        <v>381</v>
      </c>
      <c r="F6844" s="489" t="s">
        <v>1209</v>
      </c>
      <c r="G6844" s="395">
        <f>VLOOKUP($A6844,'Tech Litons'!$A:$I,8,FALSE)</f>
        <v>8.5199999999999998E-3</v>
      </c>
      <c r="H6844" s="174">
        <f>VLOOKUP($A6844,'Tech Litons'!$A:$I,9,FALSE)</f>
        <v>176</v>
      </c>
      <c r="I6844" s="174" t="str">
        <f>VLOOKUP($A6844,'Tech Litons'!$A:$C,3,0)</f>
        <v>48oz</v>
      </c>
      <c r="J6844" s="175" t="str">
        <f t="shared" si="763"/>
        <v>135248oz</v>
      </c>
      <c r="K6844" s="176">
        <f>VLOOKUP(I6844,'Attain %'!A:B,2,0)</f>
        <v>0.94</v>
      </c>
      <c r="L6844" s="177">
        <f t="shared" si="764"/>
        <v>0</v>
      </c>
      <c r="M6844" s="177">
        <f t="shared" si="765"/>
        <v>0</v>
      </c>
      <c r="N6844" s="177">
        <f t="shared" si="766"/>
        <v>0</v>
      </c>
      <c r="O6844" s="175" t="str">
        <f t="shared" si="767"/>
        <v>Mar</v>
      </c>
      <c r="P6844" s="265">
        <f t="shared" si="768"/>
        <v>14</v>
      </c>
    </row>
    <row r="6845" spans="1:16" ht="15" hidden="1" customHeight="1">
      <c r="A6845" s="489">
        <v>68817793</v>
      </c>
      <c r="B6845" s="489">
        <v>1352</v>
      </c>
      <c r="C6845" s="488">
        <v>39000</v>
      </c>
      <c r="D6845" s="597">
        <v>46146</v>
      </c>
      <c r="E6845" s="489" t="s">
        <v>353</v>
      </c>
      <c r="F6845" s="489" t="s">
        <v>1207</v>
      </c>
      <c r="G6845" s="395">
        <f>VLOOKUP($A6845,'Tech Litons'!$A:$I,8,FALSE)</f>
        <v>8.5199999999999998E-3</v>
      </c>
      <c r="H6845" s="174">
        <f>VLOOKUP($A6845,'Tech Litons'!$A:$I,9,FALSE)</f>
        <v>176</v>
      </c>
      <c r="I6845" s="174" t="str">
        <f>VLOOKUP($A6845,'Tech Litons'!$A:$C,3,0)</f>
        <v>48oz</v>
      </c>
      <c r="J6845" s="175" t="str">
        <f t="shared" si="763"/>
        <v>135248oz</v>
      </c>
      <c r="K6845" s="176">
        <f>VLOOKUP(I6845,'Attain %'!A:B,2,0)</f>
        <v>0.94</v>
      </c>
      <c r="L6845" s="177">
        <f t="shared" si="764"/>
        <v>36660</v>
      </c>
      <c r="M6845" s="177">
        <f t="shared" si="765"/>
        <v>312.34319999999997</v>
      </c>
      <c r="N6845" s="177">
        <f t="shared" si="766"/>
        <v>208.29545454545453</v>
      </c>
      <c r="O6845" s="175" t="str">
        <f t="shared" si="767"/>
        <v>May</v>
      </c>
      <c r="P6845" s="265">
        <f t="shared" si="768"/>
        <v>19</v>
      </c>
    </row>
    <row r="6846" spans="1:16" ht="15" hidden="1" customHeight="1">
      <c r="A6846" s="489">
        <v>68817799</v>
      </c>
      <c r="B6846" s="489">
        <v>1352</v>
      </c>
      <c r="C6846" s="488">
        <v>39000</v>
      </c>
      <c r="D6846" s="597">
        <v>46118</v>
      </c>
      <c r="E6846" s="489" t="s">
        <v>410</v>
      </c>
      <c r="F6846" s="489" t="s">
        <v>1207</v>
      </c>
      <c r="G6846" s="395">
        <f>VLOOKUP($A6846,'Tech Litons'!$A:$I,8,FALSE)</f>
        <v>8.5199999999999998E-3</v>
      </c>
      <c r="H6846" s="174">
        <f>VLOOKUP($A6846,'Tech Litons'!$A:$I,9,FALSE)</f>
        <v>176</v>
      </c>
      <c r="I6846" s="174" t="str">
        <f>VLOOKUP($A6846,'Tech Litons'!$A:$C,3,0)</f>
        <v>48oz</v>
      </c>
      <c r="J6846" s="175" t="str">
        <f t="shared" si="763"/>
        <v>135248oz</v>
      </c>
      <c r="K6846" s="176">
        <f>VLOOKUP(I6846,'Attain %'!A:B,2,0)</f>
        <v>0.94</v>
      </c>
      <c r="L6846" s="177">
        <f t="shared" si="764"/>
        <v>36660</v>
      </c>
      <c r="M6846" s="177">
        <f t="shared" si="765"/>
        <v>312.34319999999997</v>
      </c>
      <c r="N6846" s="177">
        <f t="shared" si="766"/>
        <v>208.29545454545453</v>
      </c>
      <c r="O6846" s="175" t="str">
        <f t="shared" si="767"/>
        <v>Apr</v>
      </c>
      <c r="P6846" s="265">
        <f t="shared" si="768"/>
        <v>15</v>
      </c>
    </row>
    <row r="6847" spans="1:16" ht="15" hidden="1" customHeight="1">
      <c r="A6847" s="489">
        <v>68817799</v>
      </c>
      <c r="B6847" s="489">
        <v>1352</v>
      </c>
      <c r="C6847" s="488">
        <v>39000</v>
      </c>
      <c r="D6847" s="597">
        <v>46139</v>
      </c>
      <c r="E6847" s="489" t="s">
        <v>410</v>
      </c>
      <c r="F6847" s="489" t="s">
        <v>1207</v>
      </c>
      <c r="G6847" s="395">
        <f>VLOOKUP($A6847,'Tech Litons'!$A:$I,8,FALSE)</f>
        <v>8.5199999999999998E-3</v>
      </c>
      <c r="H6847" s="174">
        <f>VLOOKUP($A6847,'Tech Litons'!$A:$I,9,FALSE)</f>
        <v>176</v>
      </c>
      <c r="I6847" s="174" t="str">
        <f>VLOOKUP($A6847,'Tech Litons'!$A:$C,3,0)</f>
        <v>48oz</v>
      </c>
      <c r="J6847" s="175" t="str">
        <f t="shared" si="763"/>
        <v>135248oz</v>
      </c>
      <c r="K6847" s="176">
        <f>VLOOKUP(I6847,'Attain %'!A:B,2,0)</f>
        <v>0.94</v>
      </c>
      <c r="L6847" s="177">
        <f t="shared" si="764"/>
        <v>36660</v>
      </c>
      <c r="M6847" s="177">
        <f t="shared" si="765"/>
        <v>312.34319999999997</v>
      </c>
      <c r="N6847" s="177">
        <f t="shared" si="766"/>
        <v>208.29545454545453</v>
      </c>
      <c r="O6847" s="175" t="str">
        <f t="shared" si="767"/>
        <v>Apr</v>
      </c>
      <c r="P6847" s="265">
        <f t="shared" si="768"/>
        <v>18</v>
      </c>
    </row>
    <row r="6848" spans="1:16" ht="15" hidden="1" customHeight="1">
      <c r="A6848" s="489">
        <v>68817799</v>
      </c>
      <c r="B6848" s="489">
        <v>1352</v>
      </c>
      <c r="C6848" s="488">
        <v>39000</v>
      </c>
      <c r="D6848" s="597">
        <v>46160</v>
      </c>
      <c r="E6848" s="489" t="s">
        <v>410</v>
      </c>
      <c r="F6848" s="489" t="s">
        <v>1207</v>
      </c>
      <c r="G6848" s="395">
        <f>VLOOKUP($A6848,'Tech Litons'!$A:$I,8,FALSE)</f>
        <v>8.5199999999999998E-3</v>
      </c>
      <c r="H6848" s="174">
        <f>VLOOKUP($A6848,'Tech Litons'!$A:$I,9,FALSE)</f>
        <v>176</v>
      </c>
      <c r="I6848" s="174" t="str">
        <f>VLOOKUP($A6848,'Tech Litons'!$A:$C,3,0)</f>
        <v>48oz</v>
      </c>
      <c r="J6848" s="175" t="str">
        <f t="shared" si="763"/>
        <v>135248oz</v>
      </c>
      <c r="K6848" s="176">
        <f>VLOOKUP(I6848,'Attain %'!A:B,2,0)</f>
        <v>0.94</v>
      </c>
      <c r="L6848" s="177">
        <f t="shared" si="764"/>
        <v>36660</v>
      </c>
      <c r="M6848" s="177">
        <f t="shared" si="765"/>
        <v>312.34319999999997</v>
      </c>
      <c r="N6848" s="177">
        <f t="shared" si="766"/>
        <v>208.29545454545453</v>
      </c>
      <c r="O6848" s="175" t="str">
        <f t="shared" si="767"/>
        <v>May</v>
      </c>
      <c r="P6848" s="265">
        <f t="shared" si="768"/>
        <v>21</v>
      </c>
    </row>
    <row r="6849" spans="1:16" ht="15" hidden="1" customHeight="1">
      <c r="A6849" s="489">
        <v>68881270</v>
      </c>
      <c r="B6849" s="489">
        <v>1352</v>
      </c>
      <c r="C6849" s="488">
        <v>39000</v>
      </c>
      <c r="D6849" s="597">
        <v>46167</v>
      </c>
      <c r="E6849" s="489" t="s">
        <v>383</v>
      </c>
      <c r="F6849" s="489" t="s">
        <v>1207</v>
      </c>
      <c r="G6849" s="395">
        <f>VLOOKUP($A6849,'Tech Litons'!$A:$I,8,FALSE)</f>
        <v>8.5199999999999998E-3</v>
      </c>
      <c r="H6849" s="174">
        <f>VLOOKUP($A6849,'Tech Litons'!$A:$I,9,FALSE)</f>
        <v>176</v>
      </c>
      <c r="I6849" s="174" t="str">
        <f>VLOOKUP($A6849,'Tech Litons'!$A:$C,3,0)</f>
        <v>48oz</v>
      </c>
      <c r="J6849" s="175" t="str">
        <f t="shared" si="763"/>
        <v>135248oz</v>
      </c>
      <c r="K6849" s="176">
        <f>VLOOKUP(I6849,'Attain %'!A:B,2,0)</f>
        <v>0.94</v>
      </c>
      <c r="L6849" s="177">
        <f t="shared" si="764"/>
        <v>36660</v>
      </c>
      <c r="M6849" s="177">
        <f t="shared" si="765"/>
        <v>312.34319999999997</v>
      </c>
      <c r="N6849" s="177">
        <f t="shared" si="766"/>
        <v>208.29545454545453</v>
      </c>
      <c r="O6849" s="175" t="str">
        <f t="shared" si="767"/>
        <v>May</v>
      </c>
      <c r="P6849" s="265">
        <f t="shared" si="768"/>
        <v>22</v>
      </c>
    </row>
    <row r="6850" spans="1:16" ht="15" hidden="1" customHeight="1">
      <c r="A6850" s="489">
        <v>68930545</v>
      </c>
      <c r="B6850" s="489">
        <v>1352</v>
      </c>
      <c r="C6850" s="488">
        <v>39000</v>
      </c>
      <c r="D6850" s="597">
        <v>46132</v>
      </c>
      <c r="E6850" s="489" t="s">
        <v>349</v>
      </c>
      <c r="F6850" s="489" t="s">
        <v>1207</v>
      </c>
      <c r="G6850" s="395">
        <f>VLOOKUP($A6850,'Tech Litons'!$A:$I,8,FALSE)</f>
        <v>8.5199999999999998E-3</v>
      </c>
      <c r="H6850" s="174">
        <f>VLOOKUP($A6850,'Tech Litons'!$A:$I,9,FALSE)</f>
        <v>176</v>
      </c>
      <c r="I6850" s="174" t="str">
        <f>VLOOKUP($A6850,'Tech Litons'!$A:$C,3,0)</f>
        <v>48oz</v>
      </c>
      <c r="J6850" s="175" t="str">
        <f t="shared" si="763"/>
        <v>135248oz</v>
      </c>
      <c r="K6850" s="176">
        <f>VLOOKUP(I6850,'Attain %'!A:B,2,0)</f>
        <v>0.94</v>
      </c>
      <c r="L6850" s="177">
        <f t="shared" si="764"/>
        <v>36660</v>
      </c>
      <c r="M6850" s="177">
        <f t="shared" si="765"/>
        <v>312.34319999999997</v>
      </c>
      <c r="N6850" s="177">
        <f t="shared" si="766"/>
        <v>208.29545454545453</v>
      </c>
      <c r="O6850" s="175" t="str">
        <f t="shared" si="767"/>
        <v>Apr</v>
      </c>
      <c r="P6850" s="265">
        <f t="shared" si="768"/>
        <v>17</v>
      </c>
    </row>
    <row r="6851" spans="1:16" ht="15" hidden="1" customHeight="1">
      <c r="A6851" s="489">
        <v>68930545</v>
      </c>
      <c r="B6851" s="489">
        <v>1352</v>
      </c>
      <c r="C6851" s="488">
        <v>39000</v>
      </c>
      <c r="D6851" s="597">
        <v>46160</v>
      </c>
      <c r="E6851" s="489" t="s">
        <v>349</v>
      </c>
      <c r="F6851" s="489" t="s">
        <v>1207</v>
      </c>
      <c r="G6851" s="395">
        <f>VLOOKUP($A6851,'Tech Litons'!$A:$I,8,FALSE)</f>
        <v>8.5199999999999998E-3</v>
      </c>
      <c r="H6851" s="174">
        <f>VLOOKUP($A6851,'Tech Litons'!$A:$I,9,FALSE)</f>
        <v>176</v>
      </c>
      <c r="I6851" s="174" t="str">
        <f>VLOOKUP($A6851,'Tech Litons'!$A:$C,3,0)</f>
        <v>48oz</v>
      </c>
      <c r="J6851" s="175" t="str">
        <f t="shared" si="763"/>
        <v>135248oz</v>
      </c>
      <c r="K6851" s="176">
        <f>VLOOKUP(I6851,'Attain %'!A:B,2,0)</f>
        <v>0.94</v>
      </c>
      <c r="L6851" s="177">
        <f t="shared" si="764"/>
        <v>36660</v>
      </c>
      <c r="M6851" s="177">
        <f t="shared" si="765"/>
        <v>312.34319999999997</v>
      </c>
      <c r="N6851" s="177">
        <f t="shared" si="766"/>
        <v>208.29545454545453</v>
      </c>
      <c r="O6851" s="175" t="str">
        <f t="shared" si="767"/>
        <v>May</v>
      </c>
      <c r="P6851" s="265">
        <f t="shared" si="768"/>
        <v>21</v>
      </c>
    </row>
    <row r="6852" spans="1:16" ht="15" hidden="1" customHeight="1">
      <c r="A6852" s="489">
        <v>69700048</v>
      </c>
      <c r="B6852" s="489">
        <v>1352</v>
      </c>
      <c r="C6852" s="488">
        <v>39000</v>
      </c>
      <c r="D6852" s="597">
        <v>46167</v>
      </c>
      <c r="E6852" s="489" t="s">
        <v>328</v>
      </c>
      <c r="F6852" s="489" t="s">
        <v>1219</v>
      </c>
      <c r="G6852" s="395">
        <f>VLOOKUP($A6852,'Tech Litons'!$A:$I,8,FALSE)</f>
        <v>2.7360000000000002E-3</v>
      </c>
      <c r="H6852" s="174">
        <f>VLOOKUP($A6852,'Tech Litons'!$A:$I,9,FALSE)</f>
        <v>225</v>
      </c>
      <c r="I6852" s="174" t="str">
        <f>VLOOKUP($A6852,'Tech Litons'!$A:$C,3,0)</f>
        <v>MBG</v>
      </c>
      <c r="J6852" s="175" t="str">
        <f t="shared" si="763"/>
        <v>1352MBG</v>
      </c>
      <c r="K6852" s="176">
        <f>VLOOKUP(I6852,'Attain %'!A:B,2,0)</f>
        <v>0.96</v>
      </c>
      <c r="L6852" s="177">
        <f t="shared" si="764"/>
        <v>37440</v>
      </c>
      <c r="M6852" s="177">
        <f t="shared" si="765"/>
        <v>102.43584</v>
      </c>
      <c r="N6852" s="177">
        <f t="shared" si="766"/>
        <v>166.4</v>
      </c>
      <c r="O6852" s="175" t="str">
        <f t="shared" si="767"/>
        <v>May</v>
      </c>
      <c r="P6852" s="265">
        <f t="shared" si="768"/>
        <v>22</v>
      </c>
    </row>
    <row r="6853" spans="1:16" ht="15" hidden="1" customHeight="1">
      <c r="A6853" s="489">
        <v>64315722</v>
      </c>
      <c r="B6853" s="489">
        <v>2904</v>
      </c>
      <c r="C6853" s="488">
        <v>39000</v>
      </c>
      <c r="D6853" s="597">
        <v>46146</v>
      </c>
      <c r="E6853" s="489" t="s">
        <v>478</v>
      </c>
      <c r="F6853" s="489" t="s">
        <v>1225</v>
      </c>
      <c r="G6853" s="395">
        <f>VLOOKUP($A6853,'Tech Litons'!$A:$I,8,FALSE)</f>
        <v>8.5199999999999998E-3</v>
      </c>
      <c r="H6853" s="174">
        <f>VLOOKUP($A6853,'Tech Litons'!$A:$I,9,FALSE)</f>
        <v>176</v>
      </c>
      <c r="I6853" s="174" t="str">
        <f>VLOOKUP($A6853,'Tech Litons'!$A:$C,3,0)</f>
        <v>48oz</v>
      </c>
      <c r="J6853" s="175" t="str">
        <f t="shared" si="763"/>
        <v>290448oz</v>
      </c>
      <c r="K6853" s="176">
        <f>VLOOKUP(I6853,'Attain %'!A:B,2,0)</f>
        <v>0.94</v>
      </c>
      <c r="L6853" s="177">
        <f t="shared" si="764"/>
        <v>36660</v>
      </c>
      <c r="M6853" s="177">
        <f t="shared" si="765"/>
        <v>312.34319999999997</v>
      </c>
      <c r="N6853" s="177">
        <f t="shared" si="766"/>
        <v>208.29545454545453</v>
      </c>
      <c r="O6853" s="175" t="str">
        <f t="shared" si="767"/>
        <v>May</v>
      </c>
      <c r="P6853" s="265">
        <f t="shared" si="768"/>
        <v>19</v>
      </c>
    </row>
    <row r="6854" spans="1:16" ht="15" hidden="1" customHeight="1">
      <c r="A6854" s="489">
        <v>64373718</v>
      </c>
      <c r="B6854" s="489">
        <v>2904</v>
      </c>
      <c r="C6854" s="488">
        <v>39000</v>
      </c>
      <c r="D6854" s="597">
        <v>46160</v>
      </c>
      <c r="E6854" s="489" t="s">
        <v>316</v>
      </c>
      <c r="F6854" s="489" t="s">
        <v>1225</v>
      </c>
      <c r="G6854" s="395">
        <f>VLOOKUP($A6854,'Tech Litons'!$A:$I,8,FALSE)</f>
        <v>8.5199999999999998E-3</v>
      </c>
      <c r="H6854" s="174">
        <f>VLOOKUP($A6854,'Tech Litons'!$A:$I,9,FALSE)</f>
        <v>176</v>
      </c>
      <c r="I6854" s="174" t="str">
        <f>VLOOKUP($A6854,'Tech Litons'!$A:$C,3,0)</f>
        <v>48oz</v>
      </c>
      <c r="J6854" s="175" t="str">
        <f t="shared" si="763"/>
        <v>290448oz</v>
      </c>
      <c r="K6854" s="176">
        <f>VLOOKUP(I6854,'Attain %'!A:B,2,0)</f>
        <v>0.94</v>
      </c>
      <c r="L6854" s="177">
        <f t="shared" si="764"/>
        <v>36660</v>
      </c>
      <c r="M6854" s="177">
        <f t="shared" si="765"/>
        <v>312.34319999999997</v>
      </c>
      <c r="N6854" s="177">
        <f t="shared" si="766"/>
        <v>208.29545454545453</v>
      </c>
      <c r="O6854" s="175" t="str">
        <f t="shared" si="767"/>
        <v>May</v>
      </c>
      <c r="P6854" s="265">
        <f t="shared" si="768"/>
        <v>21</v>
      </c>
    </row>
    <row r="6855" spans="1:16" ht="15" hidden="1" customHeight="1">
      <c r="A6855" s="489">
        <v>64389650</v>
      </c>
      <c r="B6855" s="489">
        <v>2904</v>
      </c>
      <c r="C6855" s="488">
        <v>39000</v>
      </c>
      <c r="D6855" s="597">
        <v>46139</v>
      </c>
      <c r="E6855" s="489" t="s">
        <v>330</v>
      </c>
      <c r="F6855" s="489" t="s">
        <v>1225</v>
      </c>
      <c r="G6855" s="395">
        <f>VLOOKUP($A6855,'Tech Litons'!$A:$I,8,FALSE)</f>
        <v>8.5199999999999998E-3</v>
      </c>
      <c r="H6855" s="174">
        <f>VLOOKUP($A6855,'Tech Litons'!$A:$I,9,FALSE)</f>
        <v>176</v>
      </c>
      <c r="I6855" s="174" t="str">
        <f>VLOOKUP($A6855,'Tech Litons'!$A:$C,3,0)</f>
        <v>48oz</v>
      </c>
      <c r="J6855" s="175" t="str">
        <f t="shared" si="763"/>
        <v>290448oz</v>
      </c>
      <c r="K6855" s="176">
        <f>VLOOKUP(I6855,'Attain %'!A:B,2,0)</f>
        <v>0.94</v>
      </c>
      <c r="L6855" s="177">
        <f t="shared" si="764"/>
        <v>36660</v>
      </c>
      <c r="M6855" s="177">
        <f t="shared" si="765"/>
        <v>312.34319999999997</v>
      </c>
      <c r="N6855" s="177">
        <f t="shared" si="766"/>
        <v>208.29545454545453</v>
      </c>
      <c r="O6855" s="175" t="str">
        <f t="shared" si="767"/>
        <v>Apr</v>
      </c>
      <c r="P6855" s="265">
        <f t="shared" si="768"/>
        <v>18</v>
      </c>
    </row>
    <row r="6856" spans="1:16" ht="15" hidden="1" customHeight="1">
      <c r="A6856" s="489">
        <v>64389650</v>
      </c>
      <c r="B6856" s="489">
        <v>2904</v>
      </c>
      <c r="C6856" s="488">
        <v>39000</v>
      </c>
      <c r="D6856" s="597">
        <v>46160</v>
      </c>
      <c r="E6856" s="489" t="s">
        <v>330</v>
      </c>
      <c r="F6856" s="489" t="s">
        <v>1236</v>
      </c>
      <c r="G6856" s="395">
        <f>VLOOKUP($A6856,'Tech Litons'!$A:$I,8,FALSE)</f>
        <v>8.5199999999999998E-3</v>
      </c>
      <c r="H6856" s="174">
        <f>VLOOKUP($A6856,'Tech Litons'!$A:$I,9,FALSE)</f>
        <v>176</v>
      </c>
      <c r="I6856" s="174" t="str">
        <f>VLOOKUP($A6856,'Tech Litons'!$A:$C,3,0)</f>
        <v>48oz</v>
      </c>
      <c r="J6856" s="175" t="str">
        <f t="shared" si="763"/>
        <v>290448oz</v>
      </c>
      <c r="K6856" s="176">
        <f>VLOOKUP(I6856,'Attain %'!A:B,2,0)</f>
        <v>0.94</v>
      </c>
      <c r="L6856" s="177">
        <f t="shared" si="764"/>
        <v>36660</v>
      </c>
      <c r="M6856" s="177">
        <f t="shared" si="765"/>
        <v>312.34319999999997</v>
      </c>
      <c r="N6856" s="177">
        <f t="shared" si="766"/>
        <v>208.29545454545453</v>
      </c>
      <c r="O6856" s="175" t="str">
        <f t="shared" si="767"/>
        <v>May</v>
      </c>
      <c r="P6856" s="265">
        <f t="shared" si="768"/>
        <v>21</v>
      </c>
    </row>
    <row r="6857" spans="1:16" ht="15" hidden="1" customHeight="1">
      <c r="A6857" s="489">
        <v>64389651</v>
      </c>
      <c r="B6857" s="489">
        <v>2904</v>
      </c>
      <c r="C6857" s="488">
        <v>39000</v>
      </c>
      <c r="D6857" s="597">
        <v>46146</v>
      </c>
      <c r="E6857" s="489" t="s">
        <v>355</v>
      </c>
      <c r="F6857" s="489" t="s">
        <v>1236</v>
      </c>
      <c r="G6857" s="395">
        <f>VLOOKUP($A6857,'Tech Litons'!$A:$I,8,FALSE)</f>
        <v>8.5199999999999998E-3</v>
      </c>
      <c r="H6857" s="174">
        <f>VLOOKUP($A6857,'Tech Litons'!$A:$I,9,FALSE)</f>
        <v>176</v>
      </c>
      <c r="I6857" s="174" t="str">
        <f>VLOOKUP($A6857,'Tech Litons'!$A:$C,3,0)</f>
        <v>48oz</v>
      </c>
      <c r="J6857" s="175" t="str">
        <f t="shared" si="763"/>
        <v>290448oz</v>
      </c>
      <c r="K6857" s="176">
        <f>VLOOKUP(I6857,'Attain %'!A:B,2,0)</f>
        <v>0.94</v>
      </c>
      <c r="L6857" s="177">
        <f t="shared" si="764"/>
        <v>36660</v>
      </c>
      <c r="M6857" s="177">
        <f t="shared" si="765"/>
        <v>312.34319999999997</v>
      </c>
      <c r="N6857" s="177">
        <f t="shared" si="766"/>
        <v>208.29545454545453</v>
      </c>
      <c r="O6857" s="175" t="str">
        <f t="shared" si="767"/>
        <v>May</v>
      </c>
      <c r="P6857" s="265">
        <f t="shared" si="768"/>
        <v>19</v>
      </c>
    </row>
    <row r="6858" spans="1:16" ht="15" hidden="1" customHeight="1">
      <c r="A6858" s="489">
        <v>64389651</v>
      </c>
      <c r="B6858" s="489">
        <v>2904</v>
      </c>
      <c r="C6858" s="488">
        <v>39000</v>
      </c>
      <c r="D6858" s="597">
        <v>46153</v>
      </c>
      <c r="E6858" s="489" t="s">
        <v>355</v>
      </c>
      <c r="F6858" s="489" t="s">
        <v>1236</v>
      </c>
      <c r="G6858" s="395">
        <f>VLOOKUP($A6858,'Tech Litons'!$A:$I,8,FALSE)</f>
        <v>8.5199999999999998E-3</v>
      </c>
      <c r="H6858" s="174">
        <f>VLOOKUP($A6858,'Tech Litons'!$A:$I,9,FALSE)</f>
        <v>176</v>
      </c>
      <c r="I6858" s="174" t="str">
        <f>VLOOKUP($A6858,'Tech Litons'!$A:$C,3,0)</f>
        <v>48oz</v>
      </c>
      <c r="J6858" s="175" t="str">
        <f t="shared" si="763"/>
        <v>290448oz</v>
      </c>
      <c r="K6858" s="176">
        <f>VLOOKUP(I6858,'Attain %'!A:B,2,0)</f>
        <v>0.94</v>
      </c>
      <c r="L6858" s="177">
        <f t="shared" si="764"/>
        <v>36660</v>
      </c>
      <c r="M6858" s="177">
        <f t="shared" si="765"/>
        <v>312.34319999999997</v>
      </c>
      <c r="N6858" s="177">
        <f t="shared" si="766"/>
        <v>208.29545454545453</v>
      </c>
      <c r="O6858" s="175" t="str">
        <f t="shared" si="767"/>
        <v>May</v>
      </c>
      <c r="P6858" s="265">
        <f t="shared" si="768"/>
        <v>20</v>
      </c>
    </row>
    <row r="6859" spans="1:16" ht="15" hidden="1" customHeight="1">
      <c r="A6859" s="489">
        <v>64775327</v>
      </c>
      <c r="B6859" s="489">
        <v>2904</v>
      </c>
      <c r="C6859" s="488">
        <v>39000</v>
      </c>
      <c r="D6859" s="597">
        <v>46153</v>
      </c>
      <c r="E6859" s="489" t="s">
        <v>429</v>
      </c>
      <c r="F6859" s="489" t="s">
        <v>1225</v>
      </c>
      <c r="G6859" s="395">
        <f>VLOOKUP($A6859,'Tech Litons'!$A:$I,8,FALSE)</f>
        <v>8.5199999999999998E-3</v>
      </c>
      <c r="H6859" s="174">
        <f>VLOOKUP($A6859,'Tech Litons'!$A:$I,9,FALSE)</f>
        <v>176</v>
      </c>
      <c r="I6859" s="174" t="str">
        <f>VLOOKUP($A6859,'Tech Litons'!$A:$C,3,0)</f>
        <v>48oz</v>
      </c>
      <c r="J6859" s="175" t="str">
        <f t="shared" si="763"/>
        <v>290448oz</v>
      </c>
      <c r="K6859" s="176">
        <f>VLOOKUP(I6859,'Attain %'!A:B,2,0)</f>
        <v>0.94</v>
      </c>
      <c r="L6859" s="177">
        <f t="shared" si="764"/>
        <v>36660</v>
      </c>
      <c r="M6859" s="177">
        <f t="shared" si="765"/>
        <v>312.34319999999997</v>
      </c>
      <c r="N6859" s="177">
        <f t="shared" si="766"/>
        <v>208.29545454545453</v>
      </c>
      <c r="O6859" s="175" t="str">
        <f t="shared" si="767"/>
        <v>May</v>
      </c>
      <c r="P6859" s="265">
        <f t="shared" si="768"/>
        <v>20</v>
      </c>
    </row>
    <row r="6860" spans="1:16" ht="15" hidden="1" customHeight="1">
      <c r="A6860" s="489">
        <v>64775327</v>
      </c>
      <c r="B6860" s="489">
        <v>2904</v>
      </c>
      <c r="C6860" s="488">
        <v>39000</v>
      </c>
      <c r="D6860" s="597">
        <v>46139</v>
      </c>
      <c r="E6860" s="489" t="s">
        <v>429</v>
      </c>
      <c r="F6860" s="489" t="s">
        <v>1236</v>
      </c>
      <c r="G6860" s="395">
        <f>VLOOKUP($A6860,'Tech Litons'!$A:$I,8,FALSE)</f>
        <v>8.5199999999999998E-3</v>
      </c>
      <c r="H6860" s="174">
        <f>VLOOKUP($A6860,'Tech Litons'!$A:$I,9,FALSE)</f>
        <v>176</v>
      </c>
      <c r="I6860" s="174" t="str">
        <f>VLOOKUP($A6860,'Tech Litons'!$A:$C,3,0)</f>
        <v>48oz</v>
      </c>
      <c r="J6860" s="175" t="str">
        <f t="shared" si="763"/>
        <v>290448oz</v>
      </c>
      <c r="K6860" s="176">
        <f>VLOOKUP(I6860,'Attain %'!A:B,2,0)</f>
        <v>0.94</v>
      </c>
      <c r="L6860" s="177">
        <f t="shared" si="764"/>
        <v>36660</v>
      </c>
      <c r="M6860" s="177">
        <f t="shared" si="765"/>
        <v>312.34319999999997</v>
      </c>
      <c r="N6860" s="177">
        <f t="shared" si="766"/>
        <v>208.29545454545453</v>
      </c>
      <c r="O6860" s="175" t="str">
        <f t="shared" si="767"/>
        <v>Apr</v>
      </c>
      <c r="P6860" s="265">
        <f t="shared" si="768"/>
        <v>18</v>
      </c>
    </row>
    <row r="6861" spans="1:16" ht="15" hidden="1" customHeight="1">
      <c r="A6861" s="489">
        <v>64988055</v>
      </c>
      <c r="B6861" s="489">
        <v>2904</v>
      </c>
      <c r="C6861" s="488">
        <v>39000</v>
      </c>
      <c r="D6861" s="597">
        <v>46139</v>
      </c>
      <c r="E6861" s="489" t="s">
        <v>360</v>
      </c>
      <c r="F6861" s="489" t="s">
        <v>1225</v>
      </c>
      <c r="G6861" s="395">
        <f>VLOOKUP($A6861,'Tech Litons'!$A:$I,8,FALSE)</f>
        <v>8.513999999999999E-3</v>
      </c>
      <c r="H6861" s="174">
        <f>VLOOKUP($A6861,'Tech Litons'!$A:$I,9,FALSE)</f>
        <v>176</v>
      </c>
      <c r="I6861" s="174" t="str">
        <f>VLOOKUP($A6861,'Tech Litons'!$A:$C,3,0)</f>
        <v>48oz</v>
      </c>
      <c r="J6861" s="175" t="str">
        <f t="shared" si="763"/>
        <v>290448oz</v>
      </c>
      <c r="K6861" s="176">
        <f>VLOOKUP(I6861,'Attain %'!A:B,2,0)</f>
        <v>0.94</v>
      </c>
      <c r="L6861" s="177">
        <f t="shared" si="764"/>
        <v>36660</v>
      </c>
      <c r="M6861" s="177">
        <f t="shared" si="765"/>
        <v>312.12323999999995</v>
      </c>
      <c r="N6861" s="177">
        <f t="shared" si="766"/>
        <v>208.29545454545453</v>
      </c>
      <c r="O6861" s="175" t="str">
        <f t="shared" si="767"/>
        <v>Apr</v>
      </c>
      <c r="P6861" s="265">
        <f t="shared" si="768"/>
        <v>18</v>
      </c>
    </row>
    <row r="6862" spans="1:16" ht="15" hidden="1" customHeight="1">
      <c r="A6862" s="489">
        <v>64988055</v>
      </c>
      <c r="B6862" s="489">
        <v>2904</v>
      </c>
      <c r="C6862" s="488">
        <v>39000</v>
      </c>
      <c r="D6862" s="597">
        <v>46167</v>
      </c>
      <c r="E6862" s="489" t="s">
        <v>360</v>
      </c>
      <c r="F6862" s="489" t="s">
        <v>1225</v>
      </c>
      <c r="G6862" s="395">
        <f>VLOOKUP($A6862,'Tech Litons'!$A:$I,8,FALSE)</f>
        <v>8.513999999999999E-3</v>
      </c>
      <c r="H6862" s="174">
        <f>VLOOKUP($A6862,'Tech Litons'!$A:$I,9,FALSE)</f>
        <v>176</v>
      </c>
      <c r="I6862" s="174" t="str">
        <f>VLOOKUP($A6862,'Tech Litons'!$A:$C,3,0)</f>
        <v>48oz</v>
      </c>
      <c r="J6862" s="175" t="str">
        <f t="shared" si="763"/>
        <v>290448oz</v>
      </c>
      <c r="K6862" s="176">
        <f>VLOOKUP(I6862,'Attain %'!A:B,2,0)</f>
        <v>0.94</v>
      </c>
      <c r="L6862" s="177">
        <f t="shared" si="764"/>
        <v>36660</v>
      </c>
      <c r="M6862" s="177">
        <f t="shared" si="765"/>
        <v>312.12323999999995</v>
      </c>
      <c r="N6862" s="177">
        <f t="shared" si="766"/>
        <v>208.29545454545453</v>
      </c>
      <c r="O6862" s="175" t="str">
        <f t="shared" si="767"/>
        <v>May</v>
      </c>
      <c r="P6862" s="265">
        <f t="shared" si="768"/>
        <v>22</v>
      </c>
    </row>
    <row r="6863" spans="1:16" ht="15" hidden="1" customHeight="1">
      <c r="A6863" s="489">
        <v>64988056</v>
      </c>
      <c r="B6863" s="489">
        <v>2904</v>
      </c>
      <c r="C6863" s="488">
        <v>39000</v>
      </c>
      <c r="D6863" s="597">
        <v>46139</v>
      </c>
      <c r="E6863" s="489" t="s">
        <v>268</v>
      </c>
      <c r="F6863" s="489" t="s">
        <v>1236</v>
      </c>
      <c r="G6863" s="395">
        <f>VLOOKUP($A6863,'Tech Litons'!$A:$I,8,FALSE)</f>
        <v>8.513999999999999E-3</v>
      </c>
      <c r="H6863" s="174">
        <f>VLOOKUP($A6863,'Tech Litons'!$A:$I,9,FALSE)</f>
        <v>176</v>
      </c>
      <c r="I6863" s="174" t="str">
        <f>VLOOKUP($A6863,'Tech Litons'!$A:$C,3,0)</f>
        <v>48oz</v>
      </c>
      <c r="J6863" s="175" t="str">
        <f t="shared" si="763"/>
        <v>290448oz</v>
      </c>
      <c r="K6863" s="176">
        <f>VLOOKUP(I6863,'Attain %'!A:B,2,0)</f>
        <v>0.94</v>
      </c>
      <c r="L6863" s="177">
        <f t="shared" si="764"/>
        <v>36660</v>
      </c>
      <c r="M6863" s="177">
        <f t="shared" si="765"/>
        <v>312.12323999999995</v>
      </c>
      <c r="N6863" s="177">
        <f t="shared" si="766"/>
        <v>208.29545454545453</v>
      </c>
      <c r="O6863" s="175" t="str">
        <f t="shared" si="767"/>
        <v>Apr</v>
      </c>
      <c r="P6863" s="265">
        <f t="shared" si="768"/>
        <v>18</v>
      </c>
    </row>
    <row r="6864" spans="1:16" ht="15" hidden="1" customHeight="1">
      <c r="A6864" s="489">
        <v>64988056</v>
      </c>
      <c r="B6864" s="489">
        <v>2904</v>
      </c>
      <c r="C6864" s="488">
        <v>39000</v>
      </c>
      <c r="D6864" s="597">
        <v>46146</v>
      </c>
      <c r="E6864" s="489" t="s">
        <v>268</v>
      </c>
      <c r="F6864" s="489" t="s">
        <v>1236</v>
      </c>
      <c r="G6864" s="395">
        <f>VLOOKUP($A6864,'Tech Litons'!$A:$I,8,FALSE)</f>
        <v>8.513999999999999E-3</v>
      </c>
      <c r="H6864" s="174">
        <f>VLOOKUP($A6864,'Tech Litons'!$A:$I,9,FALSE)</f>
        <v>176</v>
      </c>
      <c r="I6864" s="174" t="str">
        <f>VLOOKUP($A6864,'Tech Litons'!$A:$C,3,0)</f>
        <v>48oz</v>
      </c>
      <c r="J6864" s="175" t="str">
        <f t="shared" si="763"/>
        <v>290448oz</v>
      </c>
      <c r="K6864" s="176">
        <f>VLOOKUP(I6864,'Attain %'!A:B,2,0)</f>
        <v>0.94</v>
      </c>
      <c r="L6864" s="177">
        <f t="shared" si="764"/>
        <v>36660</v>
      </c>
      <c r="M6864" s="177">
        <f t="shared" si="765"/>
        <v>312.12323999999995</v>
      </c>
      <c r="N6864" s="177">
        <f t="shared" si="766"/>
        <v>208.29545454545453</v>
      </c>
      <c r="O6864" s="175" t="str">
        <f t="shared" si="767"/>
        <v>May</v>
      </c>
      <c r="P6864" s="265">
        <f t="shared" si="768"/>
        <v>19</v>
      </c>
    </row>
    <row r="6865" spans="1:16" ht="15" hidden="1" customHeight="1">
      <c r="A6865" s="489">
        <v>64988056</v>
      </c>
      <c r="B6865" s="489">
        <v>2904</v>
      </c>
      <c r="C6865" s="488">
        <v>39000</v>
      </c>
      <c r="D6865" s="597">
        <v>46153</v>
      </c>
      <c r="E6865" s="489" t="s">
        <v>268</v>
      </c>
      <c r="F6865" s="489" t="s">
        <v>1236</v>
      </c>
      <c r="G6865" s="395">
        <f>VLOOKUP($A6865,'Tech Litons'!$A:$I,8,FALSE)</f>
        <v>8.513999999999999E-3</v>
      </c>
      <c r="H6865" s="174">
        <f>VLOOKUP($A6865,'Tech Litons'!$A:$I,9,FALSE)</f>
        <v>176</v>
      </c>
      <c r="I6865" s="174" t="str">
        <f>VLOOKUP($A6865,'Tech Litons'!$A:$C,3,0)</f>
        <v>48oz</v>
      </c>
      <c r="J6865" s="175" t="str">
        <f t="shared" si="763"/>
        <v>290448oz</v>
      </c>
      <c r="K6865" s="176">
        <f>VLOOKUP(I6865,'Attain %'!A:B,2,0)</f>
        <v>0.94</v>
      </c>
      <c r="L6865" s="177">
        <f t="shared" si="764"/>
        <v>36660</v>
      </c>
      <c r="M6865" s="177">
        <f t="shared" si="765"/>
        <v>312.12323999999995</v>
      </c>
      <c r="N6865" s="177">
        <f t="shared" si="766"/>
        <v>208.29545454545453</v>
      </c>
      <c r="O6865" s="175" t="str">
        <f t="shared" si="767"/>
        <v>May</v>
      </c>
      <c r="P6865" s="265">
        <f t="shared" si="768"/>
        <v>20</v>
      </c>
    </row>
    <row r="6866" spans="1:16" ht="15" hidden="1" customHeight="1">
      <c r="A6866" s="489">
        <v>64988056</v>
      </c>
      <c r="B6866" s="489">
        <v>2904</v>
      </c>
      <c r="C6866" s="488">
        <v>39000</v>
      </c>
      <c r="D6866" s="597">
        <v>46160</v>
      </c>
      <c r="E6866" s="489" t="s">
        <v>268</v>
      </c>
      <c r="F6866" s="489" t="s">
        <v>1236</v>
      </c>
      <c r="G6866" s="395">
        <f>VLOOKUP($A6866,'Tech Litons'!$A:$I,8,FALSE)</f>
        <v>8.513999999999999E-3</v>
      </c>
      <c r="H6866" s="174">
        <f>VLOOKUP($A6866,'Tech Litons'!$A:$I,9,FALSE)</f>
        <v>176</v>
      </c>
      <c r="I6866" s="174" t="str">
        <f>VLOOKUP($A6866,'Tech Litons'!$A:$C,3,0)</f>
        <v>48oz</v>
      </c>
      <c r="J6866" s="175" t="str">
        <f t="shared" si="763"/>
        <v>290448oz</v>
      </c>
      <c r="K6866" s="176">
        <f>VLOOKUP(I6866,'Attain %'!A:B,2,0)</f>
        <v>0.94</v>
      </c>
      <c r="L6866" s="177">
        <f t="shared" si="764"/>
        <v>36660</v>
      </c>
      <c r="M6866" s="177">
        <f t="shared" si="765"/>
        <v>312.12323999999995</v>
      </c>
      <c r="N6866" s="177">
        <f t="shared" si="766"/>
        <v>208.29545454545453</v>
      </c>
      <c r="O6866" s="175" t="str">
        <f t="shared" si="767"/>
        <v>May</v>
      </c>
      <c r="P6866" s="265">
        <f t="shared" si="768"/>
        <v>21</v>
      </c>
    </row>
    <row r="6867" spans="1:16" ht="15" hidden="1" customHeight="1">
      <c r="A6867" s="489">
        <v>68821728</v>
      </c>
      <c r="B6867" s="489">
        <v>2904</v>
      </c>
      <c r="C6867" s="488">
        <v>39000</v>
      </c>
      <c r="D6867" s="597">
        <v>46146</v>
      </c>
      <c r="E6867" s="489" t="s">
        <v>386</v>
      </c>
      <c r="F6867" s="489" t="s">
        <v>1225</v>
      </c>
      <c r="G6867" s="395">
        <f>VLOOKUP($A6867,'Tech Litons'!$A:$I,8,FALSE)</f>
        <v>8.5199999999999998E-3</v>
      </c>
      <c r="H6867" s="174">
        <f>VLOOKUP($A6867,'Tech Litons'!$A:$I,9,FALSE)</f>
        <v>176</v>
      </c>
      <c r="I6867" s="174" t="str">
        <f>VLOOKUP($A6867,'Tech Litons'!$A:$C,3,0)</f>
        <v>48oz</v>
      </c>
      <c r="J6867" s="175" t="str">
        <f t="shared" si="763"/>
        <v>290448oz</v>
      </c>
      <c r="K6867" s="176">
        <f>VLOOKUP(I6867,'Attain %'!A:B,2,0)</f>
        <v>0.94</v>
      </c>
      <c r="L6867" s="177">
        <f t="shared" si="764"/>
        <v>36660</v>
      </c>
      <c r="M6867" s="177">
        <f t="shared" si="765"/>
        <v>312.34319999999997</v>
      </c>
      <c r="N6867" s="177">
        <f t="shared" si="766"/>
        <v>208.29545454545453</v>
      </c>
      <c r="O6867" s="175" t="str">
        <f t="shared" si="767"/>
        <v>May</v>
      </c>
      <c r="P6867" s="265">
        <f t="shared" si="768"/>
        <v>19</v>
      </c>
    </row>
    <row r="6868" spans="1:16" ht="15" hidden="1" customHeight="1">
      <c r="A6868" s="489">
        <v>68821728</v>
      </c>
      <c r="B6868" s="489">
        <v>2904</v>
      </c>
      <c r="C6868" s="488">
        <v>39000</v>
      </c>
      <c r="D6868" s="597">
        <v>46153</v>
      </c>
      <c r="E6868" s="489" t="s">
        <v>386</v>
      </c>
      <c r="F6868" s="489" t="s">
        <v>1225</v>
      </c>
      <c r="G6868" s="395">
        <f>VLOOKUP($A6868,'Tech Litons'!$A:$I,8,FALSE)</f>
        <v>8.5199999999999998E-3</v>
      </c>
      <c r="H6868" s="174">
        <f>VLOOKUP($A6868,'Tech Litons'!$A:$I,9,FALSE)</f>
        <v>176</v>
      </c>
      <c r="I6868" s="174" t="str">
        <f>VLOOKUP($A6868,'Tech Litons'!$A:$C,3,0)</f>
        <v>48oz</v>
      </c>
      <c r="J6868" s="175" t="str">
        <f t="shared" si="763"/>
        <v>290448oz</v>
      </c>
      <c r="K6868" s="176">
        <f>VLOOKUP(I6868,'Attain %'!A:B,2,0)</f>
        <v>0.94</v>
      </c>
      <c r="L6868" s="177">
        <f t="shared" si="764"/>
        <v>36660</v>
      </c>
      <c r="M6868" s="177">
        <f t="shared" si="765"/>
        <v>312.34319999999997</v>
      </c>
      <c r="N6868" s="177">
        <f t="shared" si="766"/>
        <v>208.29545454545453</v>
      </c>
      <c r="O6868" s="175" t="str">
        <f t="shared" si="767"/>
        <v>May</v>
      </c>
      <c r="P6868" s="265">
        <f t="shared" si="768"/>
        <v>20</v>
      </c>
    </row>
    <row r="6869" spans="1:16" ht="15" hidden="1" customHeight="1">
      <c r="A6869" s="489">
        <v>69999267</v>
      </c>
      <c r="B6869" s="489">
        <v>5914</v>
      </c>
      <c r="C6869" s="488">
        <v>39200</v>
      </c>
      <c r="D6869" s="597">
        <v>46118</v>
      </c>
      <c r="E6869" s="489" t="s">
        <v>335</v>
      </c>
      <c r="F6869" s="489" t="s">
        <v>1246</v>
      </c>
      <c r="G6869" s="395">
        <f>VLOOKUP($A6869,'Tech Litons'!$A:$I,8,FALSE)</f>
        <v>3.7839999999999996E-3</v>
      </c>
      <c r="H6869" s="174">
        <f>VLOOKUP($A6869,'Tech Litons'!$A:$I,9,FALSE)</f>
        <v>240</v>
      </c>
      <c r="I6869" s="174" t="str">
        <f>VLOOKUP($A6869,'Tech Litons'!$A:$C,3,0)</f>
        <v>BJ PTS</v>
      </c>
      <c r="J6869" s="175" t="str">
        <f t="shared" si="763"/>
        <v>5914BJ PTS</v>
      </c>
      <c r="K6869" s="176">
        <f>VLOOKUP(I6869,'Attain %'!A:B,2,0)</f>
        <v>0.95</v>
      </c>
      <c r="L6869" s="177">
        <f t="shared" si="764"/>
        <v>37240</v>
      </c>
      <c r="M6869" s="177">
        <f t="shared" si="765"/>
        <v>140.91615999999999</v>
      </c>
      <c r="N6869" s="177">
        <f t="shared" si="766"/>
        <v>155.16666666666666</v>
      </c>
      <c r="O6869" s="175" t="str">
        <f t="shared" si="767"/>
        <v>Apr</v>
      </c>
      <c r="P6869" s="265">
        <f t="shared" si="768"/>
        <v>15</v>
      </c>
    </row>
    <row r="6870" spans="1:16" ht="15" hidden="1" customHeight="1">
      <c r="A6870" s="489">
        <v>68689251</v>
      </c>
      <c r="B6870" s="489">
        <v>1352</v>
      </c>
      <c r="C6870" s="488">
        <v>24920</v>
      </c>
      <c r="D6870" s="597">
        <v>46111</v>
      </c>
      <c r="E6870" s="489" t="s">
        <v>262</v>
      </c>
      <c r="F6870" s="489" t="s">
        <v>1214</v>
      </c>
      <c r="G6870" s="395">
        <f>VLOOKUP($A6870,'Tech Litons'!$A:$I,8,FALSE)</f>
        <v>9.5760000000000012E-3</v>
      </c>
      <c r="H6870" s="174">
        <f>VLOOKUP($A6870,'Tech Litons'!$A:$I,9,FALSE)</f>
        <v>132</v>
      </c>
      <c r="I6870" s="174" t="str">
        <f>VLOOKUP($A6870,'Tech Litons'!$A:$C,3,0)</f>
        <v>EDF</v>
      </c>
      <c r="J6870" s="175" t="str">
        <f t="shared" si="763"/>
        <v>1352EDF</v>
      </c>
      <c r="K6870" s="176">
        <f>VLOOKUP(I6870,'Attain %'!A:B,2,0)</f>
        <v>0.96</v>
      </c>
      <c r="L6870" s="177">
        <f t="shared" si="764"/>
        <v>23923.200000000001</v>
      </c>
      <c r="M6870" s="177">
        <f t="shared" si="765"/>
        <v>229.08856320000004</v>
      </c>
      <c r="N6870" s="177">
        <f t="shared" si="766"/>
        <v>181.23636363636365</v>
      </c>
      <c r="O6870" s="175" t="str">
        <f t="shared" si="767"/>
        <v>Mar</v>
      </c>
      <c r="P6870" s="265">
        <f t="shared" si="768"/>
        <v>14</v>
      </c>
    </row>
    <row r="6871" spans="1:16" ht="15" hidden="1" customHeight="1">
      <c r="A6871" s="489">
        <v>68850683</v>
      </c>
      <c r="B6871" s="489">
        <v>1352</v>
      </c>
      <c r="C6871" s="488">
        <v>39600</v>
      </c>
      <c r="D6871" s="597">
        <v>46118</v>
      </c>
      <c r="E6871" s="489" t="s">
        <v>311</v>
      </c>
      <c r="F6871" s="489" t="s">
        <v>1209</v>
      </c>
      <c r="G6871" s="395">
        <f>VLOOKUP($A6871,'Tech Litons'!$A:$I,8,FALSE)</f>
        <v>8.5199999999999998E-3</v>
      </c>
      <c r="H6871" s="174">
        <f>VLOOKUP($A6871,'Tech Litons'!$A:$I,9,FALSE)</f>
        <v>176</v>
      </c>
      <c r="I6871" s="174" t="str">
        <f>VLOOKUP($A6871,'Tech Litons'!$A:$C,3,0)</f>
        <v>48oz</v>
      </c>
      <c r="J6871" s="175" t="str">
        <f t="shared" si="763"/>
        <v>135248oz</v>
      </c>
      <c r="K6871" s="176">
        <f>VLOOKUP(I6871,'Attain %'!A:B,2,0)</f>
        <v>0.94</v>
      </c>
      <c r="L6871" s="177">
        <f t="shared" si="764"/>
        <v>37224</v>
      </c>
      <c r="M6871" s="177">
        <f t="shared" si="765"/>
        <v>317.14848000000001</v>
      </c>
      <c r="N6871" s="177">
        <f t="shared" si="766"/>
        <v>211.5</v>
      </c>
      <c r="O6871" s="175" t="str">
        <f t="shared" si="767"/>
        <v>Apr</v>
      </c>
      <c r="P6871" s="265">
        <f t="shared" si="768"/>
        <v>15</v>
      </c>
    </row>
    <row r="6872" spans="1:16" ht="15" hidden="1" customHeight="1">
      <c r="A6872" s="489">
        <v>68850684</v>
      </c>
      <c r="B6872" s="489">
        <v>1352</v>
      </c>
      <c r="C6872" s="488">
        <v>39600</v>
      </c>
      <c r="D6872" s="597">
        <v>46139</v>
      </c>
      <c r="E6872" s="489" t="s">
        <v>381</v>
      </c>
      <c r="F6872" s="489" t="s">
        <v>1209</v>
      </c>
      <c r="G6872" s="395">
        <f>VLOOKUP($A6872,'Tech Litons'!$A:$I,8,FALSE)</f>
        <v>8.5199999999999998E-3</v>
      </c>
      <c r="H6872" s="174">
        <f>VLOOKUP($A6872,'Tech Litons'!$A:$I,9,FALSE)</f>
        <v>176</v>
      </c>
      <c r="I6872" s="174" t="str">
        <f>VLOOKUP($A6872,'Tech Litons'!$A:$C,3,0)</f>
        <v>48oz</v>
      </c>
      <c r="J6872" s="175" t="str">
        <f t="shared" si="763"/>
        <v>135248oz</v>
      </c>
      <c r="K6872" s="176">
        <f>VLOOKUP(I6872,'Attain %'!A:B,2,0)</f>
        <v>0.94</v>
      </c>
      <c r="L6872" s="177">
        <f t="shared" si="764"/>
        <v>37224</v>
      </c>
      <c r="M6872" s="177">
        <f t="shared" si="765"/>
        <v>317.14848000000001</v>
      </c>
      <c r="N6872" s="177">
        <f t="shared" si="766"/>
        <v>211.5</v>
      </c>
      <c r="O6872" s="175" t="str">
        <f t="shared" si="767"/>
        <v>Apr</v>
      </c>
      <c r="P6872" s="265">
        <f t="shared" si="768"/>
        <v>18</v>
      </c>
    </row>
    <row r="6873" spans="1:16" ht="15" hidden="1" customHeight="1">
      <c r="A6873" s="489">
        <v>64330611</v>
      </c>
      <c r="B6873" s="489">
        <v>2904</v>
      </c>
      <c r="C6873" s="488">
        <v>39600</v>
      </c>
      <c r="D6873" s="597">
        <v>46160</v>
      </c>
      <c r="E6873" s="489" t="s">
        <v>354</v>
      </c>
      <c r="F6873" s="489" t="s">
        <v>1239</v>
      </c>
      <c r="G6873" s="395">
        <f>VLOOKUP($A6873,'Tech Litons'!$A:$I,8,FALSE)</f>
        <v>2.16E-3</v>
      </c>
      <c r="H6873" s="174">
        <f>VLOOKUP($A6873,'Tech Litons'!$A:$I,9,FALSE)</f>
        <v>210</v>
      </c>
      <c r="I6873" s="174" t="str">
        <f>VLOOKUP($A6873,'Tech Litons'!$A:$C,3,0)</f>
        <v>MG Sticks</v>
      </c>
      <c r="J6873" s="175" t="str">
        <f t="shared" si="763"/>
        <v>2904MG Sticks</v>
      </c>
      <c r="K6873" s="176">
        <f>VLOOKUP(I6873,'Attain %'!A:B,2,0)</f>
        <v>0.96</v>
      </c>
      <c r="L6873" s="177">
        <f t="shared" si="764"/>
        <v>38016</v>
      </c>
      <c r="M6873" s="177">
        <f t="shared" si="765"/>
        <v>82.114559999999997</v>
      </c>
      <c r="N6873" s="177">
        <f t="shared" si="766"/>
        <v>181.02857142857144</v>
      </c>
      <c r="O6873" s="175" t="str">
        <f t="shared" si="767"/>
        <v>May</v>
      </c>
      <c r="P6873" s="265">
        <f t="shared" si="768"/>
        <v>21</v>
      </c>
    </row>
    <row r="6874" spans="1:16" ht="15" hidden="1" customHeight="1">
      <c r="A6874" s="489">
        <v>64367657</v>
      </c>
      <c r="B6874" s="489">
        <v>2904</v>
      </c>
      <c r="C6874" s="488">
        <v>39600</v>
      </c>
      <c r="D6874" s="597">
        <v>46167</v>
      </c>
      <c r="E6874" s="489" t="s">
        <v>403</v>
      </c>
      <c r="F6874" s="489" t="s">
        <v>1228</v>
      </c>
      <c r="G6874" s="395">
        <f>VLOOKUP($A6874,'Tech Litons'!$A:$I,8,FALSE)</f>
        <v>3.552E-3</v>
      </c>
      <c r="H6874" s="174">
        <f>VLOOKUP($A6874,'Tech Litons'!$A:$I,9,FALSE)</f>
        <v>255</v>
      </c>
      <c r="I6874" s="174" t="str">
        <f>VLOOKUP($A6874,'Tech Litons'!$A:$C,3,0)</f>
        <v>Talenti</v>
      </c>
      <c r="J6874" s="175" t="str">
        <f t="shared" si="763"/>
        <v>2904Talenti</v>
      </c>
      <c r="K6874" s="176">
        <f>VLOOKUP(I6874,'Attain %'!A:B,2,0)</f>
        <v>0.96</v>
      </c>
      <c r="L6874" s="177">
        <f t="shared" si="764"/>
        <v>38016</v>
      </c>
      <c r="M6874" s="177">
        <f t="shared" si="765"/>
        <v>135.03283200000001</v>
      </c>
      <c r="N6874" s="177">
        <f t="shared" si="766"/>
        <v>149.08235294117648</v>
      </c>
      <c r="O6874" s="175" t="str">
        <f t="shared" si="767"/>
        <v>May</v>
      </c>
      <c r="P6874" s="265">
        <f t="shared" si="768"/>
        <v>22</v>
      </c>
    </row>
    <row r="6875" spans="1:16" ht="15" hidden="1" customHeight="1">
      <c r="A6875" s="489">
        <v>64393723</v>
      </c>
      <c r="B6875" s="489">
        <v>2904</v>
      </c>
      <c r="C6875" s="488">
        <v>39600</v>
      </c>
      <c r="D6875" s="597">
        <v>46160</v>
      </c>
      <c r="E6875" s="489" t="s">
        <v>317</v>
      </c>
      <c r="F6875" s="489" t="s">
        <v>1239</v>
      </c>
      <c r="G6875" s="395">
        <f>VLOOKUP($A6875,'Tech Litons'!$A:$I,8,FALSE)</f>
        <v>2.16E-3</v>
      </c>
      <c r="H6875" s="174">
        <f>VLOOKUP($A6875,'Tech Litons'!$A:$I,9,FALSE)</f>
        <v>210</v>
      </c>
      <c r="I6875" s="174" t="str">
        <f>VLOOKUP($A6875,'Tech Litons'!$A:$C,3,0)</f>
        <v>MG Sticks</v>
      </c>
      <c r="J6875" s="175" t="str">
        <f t="shared" si="763"/>
        <v>2904MG Sticks</v>
      </c>
      <c r="K6875" s="176">
        <f>VLOOKUP(I6875,'Attain %'!A:B,2,0)</f>
        <v>0.96</v>
      </c>
      <c r="L6875" s="177">
        <f t="shared" si="764"/>
        <v>38016</v>
      </c>
      <c r="M6875" s="177">
        <f t="shared" si="765"/>
        <v>82.114559999999997</v>
      </c>
      <c r="N6875" s="177">
        <f t="shared" si="766"/>
        <v>181.02857142857144</v>
      </c>
      <c r="O6875" s="175" t="str">
        <f t="shared" si="767"/>
        <v>May</v>
      </c>
      <c r="P6875" s="265">
        <f t="shared" si="768"/>
        <v>21</v>
      </c>
    </row>
    <row r="6876" spans="1:16" ht="15" hidden="1" customHeight="1">
      <c r="A6876" s="489">
        <v>64968813</v>
      </c>
      <c r="B6876" s="489">
        <v>2904</v>
      </c>
      <c r="C6876" s="488">
        <v>39600</v>
      </c>
      <c r="D6876" s="597">
        <v>46160</v>
      </c>
      <c r="E6876" s="489" t="s">
        <v>500</v>
      </c>
      <c r="F6876" s="489" t="s">
        <v>1228</v>
      </c>
      <c r="G6876" s="395">
        <f>VLOOKUP($A6876,'Tech Litons'!$A:$I,8,FALSE)</f>
        <v>3.7839999999999996E-3</v>
      </c>
      <c r="H6876" s="174">
        <f>VLOOKUP($A6876,'Tech Litons'!$A:$I,9,FALSE)</f>
        <v>240</v>
      </c>
      <c r="I6876" s="174" t="str">
        <f>VLOOKUP($A6876,'Tech Litons'!$A:$C,3,0)</f>
        <v>Talenti</v>
      </c>
      <c r="J6876" s="175" t="str">
        <f t="shared" si="763"/>
        <v>2904Talenti</v>
      </c>
      <c r="K6876" s="176">
        <f>VLOOKUP(I6876,'Attain %'!A:B,2,0)</f>
        <v>0.96</v>
      </c>
      <c r="L6876" s="177">
        <f t="shared" si="764"/>
        <v>38016</v>
      </c>
      <c r="M6876" s="177">
        <f t="shared" si="765"/>
        <v>143.85254399999999</v>
      </c>
      <c r="N6876" s="177">
        <f t="shared" si="766"/>
        <v>158.4</v>
      </c>
      <c r="O6876" s="175" t="str">
        <f t="shared" si="767"/>
        <v>May</v>
      </c>
      <c r="P6876" s="265">
        <f t="shared" si="768"/>
        <v>21</v>
      </c>
    </row>
    <row r="6877" spans="1:16" ht="15" hidden="1" customHeight="1">
      <c r="A6877" s="489">
        <v>68354588</v>
      </c>
      <c r="B6877" s="489">
        <v>2904</v>
      </c>
      <c r="C6877" s="488">
        <v>39600</v>
      </c>
      <c r="D6877" s="597">
        <v>46118</v>
      </c>
      <c r="E6877" s="489" t="s">
        <v>332</v>
      </c>
      <c r="F6877" s="489" t="s">
        <v>1229</v>
      </c>
      <c r="G6877" s="395">
        <f>VLOOKUP($A6877,'Tech Litons'!$A:$I,8,FALSE)</f>
        <v>3.5999999999999999E-3</v>
      </c>
      <c r="H6877" s="174">
        <f>VLOOKUP($A6877,'Tech Litons'!$A:$I,9,FALSE)</f>
        <v>240</v>
      </c>
      <c r="I6877" s="174" t="str">
        <f>VLOOKUP($A6877,'Tech Litons'!$A:$C,3,0)</f>
        <v>Topped</v>
      </c>
      <c r="J6877" s="175" t="str">
        <f t="shared" si="763"/>
        <v>2904Topped</v>
      </c>
      <c r="K6877" s="176">
        <f>VLOOKUP(I6877,'Attain %'!A:B,2,0)</f>
        <v>0.96</v>
      </c>
      <c r="L6877" s="177">
        <f t="shared" si="764"/>
        <v>38016</v>
      </c>
      <c r="M6877" s="177">
        <f t="shared" si="765"/>
        <v>136.85759999999999</v>
      </c>
      <c r="N6877" s="177">
        <f t="shared" si="766"/>
        <v>158.4</v>
      </c>
      <c r="O6877" s="175" t="str">
        <f t="shared" si="767"/>
        <v>Apr</v>
      </c>
      <c r="P6877" s="265">
        <f t="shared" si="768"/>
        <v>15</v>
      </c>
    </row>
    <row r="6878" spans="1:16" ht="15" hidden="1" customHeight="1">
      <c r="A6878" s="489">
        <v>69991979</v>
      </c>
      <c r="B6878" s="489">
        <v>2904</v>
      </c>
      <c r="C6878" s="488">
        <v>39600</v>
      </c>
      <c r="D6878" s="597">
        <v>46139</v>
      </c>
      <c r="E6878" s="489" t="s">
        <v>334</v>
      </c>
      <c r="F6878" s="489" t="s">
        <v>1239</v>
      </c>
      <c r="G6878" s="395">
        <f>VLOOKUP($A6878,'Tech Litons'!$A:$I,8,FALSE)</f>
        <v>2.0400000000000001E-3</v>
      </c>
      <c r="H6878" s="174">
        <f>VLOOKUP($A6878,'Tech Litons'!$A:$I,9,FALSE)</f>
        <v>210</v>
      </c>
      <c r="I6878" s="174" t="str">
        <f>VLOOKUP($A6878,'Tech Litons'!$A:$C,3,0)</f>
        <v>MG Sticks</v>
      </c>
      <c r="J6878" s="175" t="str">
        <f t="shared" si="763"/>
        <v>2904MG Sticks</v>
      </c>
      <c r="K6878" s="176">
        <f>VLOOKUP(I6878,'Attain %'!A:B,2,0)</f>
        <v>0.96</v>
      </c>
      <c r="L6878" s="177">
        <f t="shared" si="764"/>
        <v>38016</v>
      </c>
      <c r="M6878" s="177">
        <f t="shared" si="765"/>
        <v>77.552640000000011</v>
      </c>
      <c r="N6878" s="177">
        <f t="shared" si="766"/>
        <v>181.02857142857144</v>
      </c>
      <c r="O6878" s="175" t="str">
        <f t="shared" si="767"/>
        <v>Apr</v>
      </c>
      <c r="P6878" s="265">
        <f t="shared" si="768"/>
        <v>18</v>
      </c>
    </row>
    <row r="6879" spans="1:16" ht="15" hidden="1" customHeight="1">
      <c r="A6879" s="489">
        <v>64987232</v>
      </c>
      <c r="B6879" s="489">
        <v>1716</v>
      </c>
      <c r="C6879" s="488">
        <v>39700</v>
      </c>
      <c r="D6879" s="597">
        <v>46153</v>
      </c>
      <c r="E6879" s="489" t="s">
        <v>596</v>
      </c>
      <c r="F6879" s="489" t="s">
        <v>1221</v>
      </c>
      <c r="G6879" s="395">
        <f>VLOOKUP($A6879,'Tech Litons'!$A:$I,8,FALSE)</f>
        <v>2.3999999999999998E-3</v>
      </c>
      <c r="H6879" s="174">
        <f>VLOOKUP($A6879,'Tech Litons'!$A:$I,9,FALSE)</f>
        <v>165</v>
      </c>
      <c r="I6879" s="174" t="str">
        <f>VLOOKUP($A6879,'Tech Litons'!$A:$C,3,0)</f>
        <v>BJ Bars</v>
      </c>
      <c r="J6879" s="175" t="str">
        <f t="shared" si="763"/>
        <v>1716BJ Bars</v>
      </c>
      <c r="K6879" s="176">
        <f>VLOOKUP(I6879,'Attain %'!A:B,2,0)</f>
        <v>0.96</v>
      </c>
      <c r="L6879" s="177">
        <f t="shared" si="764"/>
        <v>38112</v>
      </c>
      <c r="M6879" s="177">
        <f t="shared" si="765"/>
        <v>91.468799999999987</v>
      </c>
      <c r="N6879" s="177">
        <f t="shared" si="766"/>
        <v>230.98181818181817</v>
      </c>
      <c r="O6879" s="175" t="str">
        <f t="shared" si="767"/>
        <v>May</v>
      </c>
      <c r="P6879" s="265">
        <f t="shared" si="768"/>
        <v>20</v>
      </c>
    </row>
    <row r="6880" spans="1:16" ht="15" hidden="1" customHeight="1">
      <c r="A6880" s="489">
        <v>64988054</v>
      </c>
      <c r="B6880" s="489">
        <v>1716</v>
      </c>
      <c r="C6880" s="488">
        <v>39700</v>
      </c>
      <c r="D6880" s="597">
        <v>46153</v>
      </c>
      <c r="E6880" s="489" t="s">
        <v>600</v>
      </c>
      <c r="F6880" s="489" t="s">
        <v>1221</v>
      </c>
      <c r="G6880" s="395">
        <f>VLOOKUP($A6880,'Tech Litons'!$A:$I,8,FALSE)</f>
        <v>2.3999999999999998E-3</v>
      </c>
      <c r="H6880" s="174">
        <f>VLOOKUP($A6880,'Tech Litons'!$A:$I,9,FALSE)</f>
        <v>165</v>
      </c>
      <c r="I6880" s="174" t="str">
        <f>VLOOKUP($A6880,'Tech Litons'!$A:$C,3,0)</f>
        <v>BJ Bars</v>
      </c>
      <c r="J6880" s="175" t="str">
        <f t="shared" si="763"/>
        <v>1716BJ Bars</v>
      </c>
      <c r="K6880" s="176">
        <f>VLOOKUP(I6880,'Attain %'!A:B,2,0)</f>
        <v>0.96</v>
      </c>
      <c r="L6880" s="177">
        <f t="shared" si="764"/>
        <v>38112</v>
      </c>
      <c r="M6880" s="177">
        <f t="shared" si="765"/>
        <v>91.468799999999987</v>
      </c>
      <c r="N6880" s="177">
        <f t="shared" si="766"/>
        <v>230.98181818181817</v>
      </c>
      <c r="O6880" s="175" t="str">
        <f t="shared" si="767"/>
        <v>May</v>
      </c>
      <c r="P6880" s="265">
        <f t="shared" si="768"/>
        <v>20</v>
      </c>
    </row>
    <row r="6881" spans="1:16" ht="15" hidden="1" customHeight="1">
      <c r="A6881" s="489">
        <v>64987233</v>
      </c>
      <c r="B6881" s="489">
        <v>1716</v>
      </c>
      <c r="C6881" s="488">
        <v>39938</v>
      </c>
      <c r="D6881" s="597">
        <v>46111</v>
      </c>
      <c r="E6881" s="489" t="s">
        <v>597</v>
      </c>
      <c r="F6881" s="489" t="s">
        <v>1221</v>
      </c>
      <c r="G6881" s="395">
        <f>VLOOKUP($A6881,'Tech Litons'!$A:$I,8,FALSE)</f>
        <v>2.3999999999999998E-3</v>
      </c>
      <c r="H6881" s="174">
        <f>VLOOKUP($A6881,'Tech Litons'!$A:$I,9,FALSE)</f>
        <v>165</v>
      </c>
      <c r="I6881" s="174" t="str">
        <f>VLOOKUP($A6881,'Tech Litons'!$A:$C,3,0)</f>
        <v>BJ Bars</v>
      </c>
      <c r="J6881" s="175" t="str">
        <f t="shared" si="763"/>
        <v>1716BJ Bars</v>
      </c>
      <c r="K6881" s="176">
        <f>VLOOKUP(I6881,'Attain %'!A:B,2,0)</f>
        <v>0.96</v>
      </c>
      <c r="L6881" s="177">
        <f t="shared" si="764"/>
        <v>38340.479999999996</v>
      </c>
      <c r="M6881" s="177">
        <f t="shared" si="765"/>
        <v>92.017151999999982</v>
      </c>
      <c r="N6881" s="177">
        <f t="shared" si="766"/>
        <v>232.36654545454542</v>
      </c>
      <c r="O6881" s="175" t="str">
        <f t="shared" si="767"/>
        <v>Mar</v>
      </c>
      <c r="P6881" s="265">
        <f t="shared" si="768"/>
        <v>14</v>
      </c>
    </row>
    <row r="6882" spans="1:16" ht="15" hidden="1" customHeight="1">
      <c r="A6882" s="489">
        <v>64830947</v>
      </c>
      <c r="B6882" s="489">
        <v>3985</v>
      </c>
      <c r="C6882" s="488">
        <v>40000</v>
      </c>
      <c r="D6882" s="597">
        <v>46125</v>
      </c>
      <c r="E6882" s="489" t="s">
        <v>604</v>
      </c>
      <c r="F6882" s="489" t="s">
        <v>1221</v>
      </c>
      <c r="G6882" s="395">
        <f>VLOOKUP($A6882,'Tech Litons'!$A:$I,8,FALSE)</f>
        <v>9.8999999999999999E-4</v>
      </c>
      <c r="H6882" s="174">
        <f>VLOOKUP($A6882,'Tech Litons'!$A:$I,9,FALSE)</f>
        <v>296</v>
      </c>
      <c r="I6882" s="174" t="str">
        <f>VLOOKUP($A6882,'Tech Litons'!$A:$C,3,0)</f>
        <v>Repack MG Sticks</v>
      </c>
      <c r="J6882" s="175" t="str">
        <f t="shared" si="763"/>
        <v>3985Repack MG Sticks</v>
      </c>
      <c r="K6882" s="176">
        <f>VLOOKUP(I6882,'Attain %'!A:B,2,0)</f>
        <v>0.96</v>
      </c>
      <c r="L6882" s="177">
        <f t="shared" si="764"/>
        <v>38400</v>
      </c>
      <c r="M6882" s="177">
        <f t="shared" si="765"/>
        <v>38.015999999999998</v>
      </c>
      <c r="N6882" s="177">
        <f t="shared" si="766"/>
        <v>129.72972972972974</v>
      </c>
      <c r="O6882" s="175" t="str">
        <f t="shared" si="767"/>
        <v>Apr</v>
      </c>
      <c r="P6882" s="265">
        <f t="shared" si="768"/>
        <v>16</v>
      </c>
    </row>
    <row r="6883" spans="1:16" ht="15" hidden="1" customHeight="1">
      <c r="A6883" s="489">
        <v>68709237</v>
      </c>
      <c r="B6883" s="489">
        <v>1352</v>
      </c>
      <c r="C6883" s="488">
        <v>40320</v>
      </c>
      <c r="D6883" s="597">
        <v>46167</v>
      </c>
      <c r="E6883" s="489" t="s">
        <v>459</v>
      </c>
      <c r="F6883" s="489" t="s">
        <v>1212</v>
      </c>
      <c r="G6883" s="395">
        <f>VLOOKUP($A6883,'Tech Litons'!$A:$I,8,FALSE)</f>
        <v>9.5760000000000012E-3</v>
      </c>
      <c r="H6883" s="174">
        <f>VLOOKUP($A6883,'Tech Litons'!$A:$I,9,FALSE)</f>
        <v>132</v>
      </c>
      <c r="I6883" s="174" t="str">
        <f>VLOOKUP($A6883,'Tech Litons'!$A:$C,3,0)</f>
        <v>EDF</v>
      </c>
      <c r="J6883" s="175" t="str">
        <f t="shared" si="763"/>
        <v>1352EDF</v>
      </c>
      <c r="K6883" s="176">
        <f>VLOOKUP(I6883,'Attain %'!A:B,2,0)</f>
        <v>0.96</v>
      </c>
      <c r="L6883" s="177">
        <f t="shared" si="764"/>
        <v>38707.199999999997</v>
      </c>
      <c r="M6883" s="177">
        <f t="shared" si="765"/>
        <v>370.66014720000004</v>
      </c>
      <c r="N6883" s="177">
        <f t="shared" si="766"/>
        <v>293.23636363636359</v>
      </c>
      <c r="O6883" s="175" t="str">
        <f t="shared" si="767"/>
        <v>May</v>
      </c>
      <c r="P6883" s="265">
        <f t="shared" si="768"/>
        <v>22</v>
      </c>
    </row>
    <row r="6884" spans="1:16" ht="15" hidden="1" customHeight="1">
      <c r="A6884" s="489">
        <v>68710285</v>
      </c>
      <c r="B6884" s="489">
        <v>1352</v>
      </c>
      <c r="C6884" s="488">
        <v>40320</v>
      </c>
      <c r="D6884" s="597">
        <v>46160</v>
      </c>
      <c r="E6884" s="489" t="s">
        <v>367</v>
      </c>
      <c r="F6884" s="489" t="s">
        <v>1210</v>
      </c>
      <c r="G6884" s="395">
        <f>VLOOKUP($A6884,'Tech Litons'!$A:$I,8,FALSE)</f>
        <v>9.5760000000000012E-3</v>
      </c>
      <c r="H6884" s="174">
        <f>VLOOKUP($A6884,'Tech Litons'!$A:$I,9,FALSE)</f>
        <v>132</v>
      </c>
      <c r="I6884" s="174" t="str">
        <f>VLOOKUP($A6884,'Tech Litons'!$A:$C,3,0)</f>
        <v>EDF</v>
      </c>
      <c r="J6884" s="175" t="str">
        <f t="shared" si="763"/>
        <v>1352EDF</v>
      </c>
      <c r="K6884" s="176">
        <f>VLOOKUP(I6884,'Attain %'!A:B,2,0)</f>
        <v>0.96</v>
      </c>
      <c r="L6884" s="177">
        <f t="shared" si="764"/>
        <v>38707.199999999997</v>
      </c>
      <c r="M6884" s="177">
        <f t="shared" si="765"/>
        <v>370.66014720000004</v>
      </c>
      <c r="N6884" s="177">
        <f t="shared" si="766"/>
        <v>293.23636363636359</v>
      </c>
      <c r="O6884" s="175" t="str">
        <f t="shared" si="767"/>
        <v>May</v>
      </c>
      <c r="P6884" s="265">
        <f t="shared" si="768"/>
        <v>21</v>
      </c>
    </row>
    <row r="6885" spans="1:16" ht="15" hidden="1" customHeight="1">
      <c r="A6885" s="489">
        <v>64973976</v>
      </c>
      <c r="B6885" s="489">
        <v>1712</v>
      </c>
      <c r="C6885" s="488">
        <v>40320</v>
      </c>
      <c r="D6885" s="597">
        <v>46195</v>
      </c>
      <c r="E6885" s="489" t="s">
        <v>1190</v>
      </c>
      <c r="F6885" s="489" t="s">
        <v>1221</v>
      </c>
      <c r="G6885" s="395">
        <f>VLOOKUP($A6885,'Tech Litons'!$A:$I,8,FALSE)</f>
        <v>1.0644000000000001E-3</v>
      </c>
      <c r="H6885" s="174">
        <f>VLOOKUP($A6885,'Tech Litons'!$A:$I,9,FALSE)</f>
        <v>190</v>
      </c>
      <c r="I6885" s="174" t="str">
        <f>VLOOKUP($A6885,'Tech Litons'!$A:$C,3,0)</f>
        <v>BR Minicups</v>
      </c>
      <c r="J6885" s="175" t="str">
        <f t="shared" si="763"/>
        <v>1712BR Minicups</v>
      </c>
      <c r="K6885" s="176">
        <f>VLOOKUP(I6885,'Attain %'!A:B,2,0)</f>
        <v>0.96</v>
      </c>
      <c r="L6885" s="177">
        <f t="shared" si="764"/>
        <v>38707.199999999997</v>
      </c>
      <c r="M6885" s="177">
        <f t="shared" si="765"/>
        <v>41.199943679999997</v>
      </c>
      <c r="N6885" s="177">
        <f t="shared" si="766"/>
        <v>203.72210526315789</v>
      </c>
      <c r="O6885" s="175" t="str">
        <f t="shared" si="767"/>
        <v>Jun</v>
      </c>
      <c r="P6885" s="265">
        <f t="shared" si="768"/>
        <v>26</v>
      </c>
    </row>
    <row r="6886" spans="1:16" ht="15" hidden="1" customHeight="1">
      <c r="A6886" s="489">
        <v>84136704</v>
      </c>
      <c r="B6886" s="489">
        <v>5914</v>
      </c>
      <c r="C6886" s="488">
        <v>40320</v>
      </c>
      <c r="D6886" s="597">
        <v>46153</v>
      </c>
      <c r="E6886" s="489" t="s">
        <v>416</v>
      </c>
      <c r="F6886" s="489" t="s">
        <v>1246</v>
      </c>
      <c r="G6886" s="395">
        <f>VLOOKUP($A6886,'Tech Litons'!$A:$I,8,FALSE)</f>
        <v>3.7853439999999999E-3</v>
      </c>
      <c r="H6886" s="174">
        <f>VLOOKUP($A6886,'Tech Litons'!$A:$I,9,FALSE)</f>
        <v>240</v>
      </c>
      <c r="I6886" s="174" t="str">
        <f>VLOOKUP($A6886,'Tech Litons'!$A:$C,3,0)</f>
        <v>BJ PTS</v>
      </c>
      <c r="J6886" s="175" t="str">
        <f t="shared" si="763"/>
        <v>5914BJ PTS</v>
      </c>
      <c r="K6886" s="176">
        <f>VLOOKUP(I6886,'Attain %'!A:B,2,0)</f>
        <v>0.95</v>
      </c>
      <c r="L6886" s="177">
        <f t="shared" si="764"/>
        <v>38304</v>
      </c>
      <c r="M6886" s="177">
        <f t="shared" si="765"/>
        <v>144.993816576</v>
      </c>
      <c r="N6886" s="177">
        <f t="shared" si="766"/>
        <v>159.6</v>
      </c>
      <c r="O6886" s="175" t="str">
        <f t="shared" si="767"/>
        <v>May</v>
      </c>
      <c r="P6886" s="265">
        <f t="shared" si="768"/>
        <v>20</v>
      </c>
    </row>
    <row r="6887" spans="1:16" ht="15" hidden="1" customHeight="1">
      <c r="A6887" s="489">
        <v>64977530</v>
      </c>
      <c r="B6887" s="489">
        <v>1352</v>
      </c>
      <c r="C6887" s="488">
        <v>40480</v>
      </c>
      <c r="D6887" s="597">
        <v>46104</v>
      </c>
      <c r="E6887" s="489" t="s">
        <v>310</v>
      </c>
      <c r="F6887" s="489" t="s">
        <v>1208</v>
      </c>
      <c r="G6887" s="395">
        <f>VLOOKUP($A6887,'Tech Litons'!$A:$I,8,FALSE)</f>
        <v>8.513999999999999E-3</v>
      </c>
      <c r="H6887" s="174">
        <f>VLOOKUP($A6887,'Tech Litons'!$A:$I,9,FALSE)</f>
        <v>176</v>
      </c>
      <c r="I6887" s="174" t="str">
        <f>VLOOKUP($A6887,'Tech Litons'!$A:$C,3,0)</f>
        <v>48oz</v>
      </c>
      <c r="J6887" s="175" t="str">
        <f t="shared" si="763"/>
        <v>135248oz</v>
      </c>
      <c r="K6887" s="176">
        <f>VLOOKUP(I6887,'Attain %'!A:B,2,0)</f>
        <v>0.94</v>
      </c>
      <c r="L6887" s="177">
        <f t="shared" si="764"/>
        <v>38051.199999999997</v>
      </c>
      <c r="M6887" s="177">
        <f t="shared" si="765"/>
        <v>323.96791679999995</v>
      </c>
      <c r="N6887" s="177">
        <f t="shared" si="766"/>
        <v>216.2</v>
      </c>
      <c r="O6887" s="175" t="str">
        <f t="shared" si="767"/>
        <v>Mar</v>
      </c>
      <c r="P6887" s="265">
        <f t="shared" si="768"/>
        <v>13</v>
      </c>
    </row>
    <row r="6888" spans="1:16" ht="15" hidden="1" customHeight="1">
      <c r="A6888" s="489">
        <v>64958124</v>
      </c>
      <c r="B6888" s="489">
        <v>1716</v>
      </c>
      <c r="C6888" s="488">
        <v>40500</v>
      </c>
      <c r="D6888" s="597">
        <v>46146</v>
      </c>
      <c r="E6888" s="489" t="s">
        <v>587</v>
      </c>
      <c r="F6888" s="489" t="s">
        <v>1221</v>
      </c>
      <c r="G6888" s="395">
        <f>VLOOKUP($A6888,'Tech Litons'!$A:$I,8,FALSE)</f>
        <v>3.3119999999999998E-3</v>
      </c>
      <c r="H6888" s="174">
        <f>VLOOKUP($A6888,'Tech Litons'!$A:$I,9,FALSE)</f>
        <v>165</v>
      </c>
      <c r="I6888" s="174" t="str">
        <f>VLOOKUP($A6888,'Tech Litons'!$A:$C,3,0)</f>
        <v>Yasso Sticks</v>
      </c>
      <c r="J6888" s="175" t="str">
        <f t="shared" si="763"/>
        <v>1716Yasso Sticks</v>
      </c>
      <c r="K6888" s="176">
        <f>VLOOKUP(I6888,'Attain %'!A:B,2,0)</f>
        <v>0.96</v>
      </c>
      <c r="L6888" s="177">
        <f t="shared" si="764"/>
        <v>38880</v>
      </c>
      <c r="M6888" s="177">
        <f t="shared" si="765"/>
        <v>128.77055999999999</v>
      </c>
      <c r="N6888" s="177">
        <f t="shared" si="766"/>
        <v>235.63636363636363</v>
      </c>
      <c r="O6888" s="175" t="str">
        <f t="shared" si="767"/>
        <v>May</v>
      </c>
      <c r="P6888" s="265">
        <f t="shared" si="768"/>
        <v>19</v>
      </c>
    </row>
    <row r="6889" spans="1:16" ht="15" hidden="1" customHeight="1">
      <c r="A6889" s="489">
        <v>64958126</v>
      </c>
      <c r="B6889" s="489">
        <v>1716</v>
      </c>
      <c r="C6889" s="488">
        <v>40500</v>
      </c>
      <c r="D6889" s="597">
        <v>46153</v>
      </c>
      <c r="E6889" s="489" t="s">
        <v>588</v>
      </c>
      <c r="F6889" s="489" t="s">
        <v>1221</v>
      </c>
      <c r="G6889" s="395">
        <f>VLOOKUP($A6889,'Tech Litons'!$A:$I,8,FALSE)</f>
        <v>3.3119999999999998E-3</v>
      </c>
      <c r="H6889" s="174">
        <f>VLOOKUP($A6889,'Tech Litons'!$A:$I,9,FALSE)</f>
        <v>165</v>
      </c>
      <c r="I6889" s="174" t="str">
        <f>VLOOKUP($A6889,'Tech Litons'!$A:$C,3,0)</f>
        <v>Yasso Sticks</v>
      </c>
      <c r="J6889" s="175" t="str">
        <f t="shared" si="763"/>
        <v>1716Yasso Sticks</v>
      </c>
      <c r="K6889" s="176">
        <f>VLOOKUP(I6889,'Attain %'!A:B,2,0)</f>
        <v>0.96</v>
      </c>
      <c r="L6889" s="177">
        <f t="shared" si="764"/>
        <v>38880</v>
      </c>
      <c r="M6889" s="177">
        <f t="shared" si="765"/>
        <v>128.77055999999999</v>
      </c>
      <c r="N6889" s="177">
        <f t="shared" si="766"/>
        <v>235.63636363636363</v>
      </c>
      <c r="O6889" s="175" t="str">
        <f t="shared" si="767"/>
        <v>May</v>
      </c>
      <c r="P6889" s="265">
        <f t="shared" si="768"/>
        <v>20</v>
      </c>
    </row>
    <row r="6890" spans="1:16" ht="15" hidden="1" customHeight="1">
      <c r="A6890" s="489">
        <v>65218505</v>
      </c>
      <c r="B6890" s="489">
        <v>1716</v>
      </c>
      <c r="C6890" s="488">
        <v>40500</v>
      </c>
      <c r="D6890" s="597">
        <v>46153</v>
      </c>
      <c r="E6890" s="489" t="s">
        <v>586</v>
      </c>
      <c r="F6890" s="489" t="s">
        <v>1223</v>
      </c>
      <c r="G6890" s="395">
        <f>VLOOKUP($A6890,'Tech Litons'!$A:$I,8,FALSE)</f>
        <v>3.3119999999999998E-3</v>
      </c>
      <c r="H6890" s="174">
        <f>VLOOKUP($A6890,'Tech Litons'!$A:$I,9,FALSE)</f>
        <v>165</v>
      </c>
      <c r="I6890" s="174" t="str">
        <f>VLOOKUP($A6890,'Tech Litons'!$A:$C,3,0)</f>
        <v>Yasso Sticks</v>
      </c>
      <c r="J6890" s="175" t="str">
        <f t="shared" si="763"/>
        <v>1716Yasso Sticks</v>
      </c>
      <c r="K6890" s="176">
        <f>VLOOKUP(I6890,'Attain %'!A:B,2,0)</f>
        <v>0.96</v>
      </c>
      <c r="L6890" s="177">
        <f t="shared" si="764"/>
        <v>38880</v>
      </c>
      <c r="M6890" s="177">
        <f t="shared" si="765"/>
        <v>128.77055999999999</v>
      </c>
      <c r="N6890" s="177">
        <f t="shared" si="766"/>
        <v>235.63636363636363</v>
      </c>
      <c r="O6890" s="175" t="str">
        <f t="shared" si="767"/>
        <v>May</v>
      </c>
      <c r="P6890" s="265">
        <f t="shared" si="768"/>
        <v>20</v>
      </c>
    </row>
    <row r="6891" spans="1:16" ht="15" hidden="1" customHeight="1">
      <c r="A6891" s="489">
        <v>64979444</v>
      </c>
      <c r="B6891" s="489" t="s">
        <v>139</v>
      </c>
      <c r="C6891" s="488">
        <v>40654</v>
      </c>
      <c r="D6891" s="597">
        <v>46223</v>
      </c>
      <c r="E6891" s="489" t="s">
        <v>622</v>
      </c>
      <c r="F6891" s="489" t="s">
        <v>1223</v>
      </c>
      <c r="G6891" s="395">
        <f>VLOOKUP($A6891,'Tech Litons'!$A:$I,8,FALSE)</f>
        <v>2.16E-3</v>
      </c>
      <c r="H6891" s="174">
        <f>VLOOKUP($A6891,'Tech Litons'!$A:$I,9,FALSE)</f>
        <v>195</v>
      </c>
      <c r="I6891" s="174" t="str">
        <f>VLOOKUP($A6891,'Tech Litons'!$A:$C,3,0)</f>
        <v>Facepieces</v>
      </c>
      <c r="J6891" s="175" t="str">
        <f t="shared" si="763"/>
        <v>IncomFacepieces</v>
      </c>
      <c r="K6891" s="176">
        <f>VLOOKUP(I6891,'Attain %'!A:B,2,0)</f>
        <v>0.96</v>
      </c>
      <c r="L6891" s="177">
        <f t="shared" si="764"/>
        <v>39027.839999999997</v>
      </c>
      <c r="M6891" s="177">
        <f t="shared" si="765"/>
        <v>84.30013439999999</v>
      </c>
      <c r="N6891" s="177">
        <f t="shared" si="766"/>
        <v>200.1427692307692</v>
      </c>
      <c r="O6891" s="175" t="str">
        <f t="shared" si="767"/>
        <v>Jul</v>
      </c>
      <c r="P6891" s="265">
        <f t="shared" si="768"/>
        <v>30</v>
      </c>
    </row>
    <row r="6892" spans="1:16" ht="15" hidden="1" customHeight="1">
      <c r="A6892" s="489">
        <v>68709237</v>
      </c>
      <c r="B6892" s="489">
        <v>1352</v>
      </c>
      <c r="C6892" s="488">
        <v>41040</v>
      </c>
      <c r="D6892" s="597">
        <v>46125</v>
      </c>
      <c r="E6892" s="489" t="s">
        <v>459</v>
      </c>
      <c r="F6892" s="489" t="s">
        <v>1212</v>
      </c>
      <c r="G6892" s="395">
        <f>VLOOKUP($A6892,'Tech Litons'!$A:$I,8,FALSE)</f>
        <v>9.5760000000000012E-3</v>
      </c>
      <c r="H6892" s="174">
        <f>VLOOKUP($A6892,'Tech Litons'!$A:$I,9,FALSE)</f>
        <v>132</v>
      </c>
      <c r="I6892" s="174" t="str">
        <f>VLOOKUP($A6892,'Tech Litons'!$A:$C,3,0)</f>
        <v>EDF</v>
      </c>
      <c r="J6892" s="175" t="str">
        <f t="shared" si="763"/>
        <v>1352EDF</v>
      </c>
      <c r="K6892" s="176">
        <f>VLOOKUP(I6892,'Attain %'!A:B,2,0)</f>
        <v>0.96</v>
      </c>
      <c r="L6892" s="177">
        <f t="shared" si="764"/>
        <v>39398.400000000001</v>
      </c>
      <c r="M6892" s="177">
        <f t="shared" si="765"/>
        <v>377.27907840000006</v>
      </c>
      <c r="N6892" s="177">
        <f t="shared" si="766"/>
        <v>298.4727272727273</v>
      </c>
      <c r="O6892" s="175" t="str">
        <f t="shared" si="767"/>
        <v>Apr</v>
      </c>
      <c r="P6892" s="265">
        <f t="shared" si="768"/>
        <v>16</v>
      </c>
    </row>
    <row r="6893" spans="1:16" ht="15" hidden="1" customHeight="1">
      <c r="A6893" s="489">
        <v>68852591</v>
      </c>
      <c r="B6893" s="489">
        <v>1352</v>
      </c>
      <c r="C6893" s="488">
        <v>41160</v>
      </c>
      <c r="D6893" s="597">
        <v>46160</v>
      </c>
      <c r="E6893" s="489" t="s">
        <v>326</v>
      </c>
      <c r="F6893" s="489" t="s">
        <v>1214</v>
      </c>
      <c r="G6893" s="395">
        <f>VLOOKUP($A6893,'Tech Litons'!$A:$I,8,FALSE)</f>
        <v>8.5199999999999998E-3</v>
      </c>
      <c r="H6893" s="174">
        <f>VLOOKUP($A6893,'Tech Litons'!$A:$I,9,FALSE)</f>
        <v>132</v>
      </c>
      <c r="I6893" s="174" t="str">
        <f>VLOOKUP($A6893,'Tech Litons'!$A:$C,3,0)</f>
        <v>EDF</v>
      </c>
      <c r="J6893" s="175" t="str">
        <f t="shared" si="763"/>
        <v>1352EDF</v>
      </c>
      <c r="K6893" s="176">
        <f>VLOOKUP(I6893,'Attain %'!A:B,2,0)</f>
        <v>0.96</v>
      </c>
      <c r="L6893" s="177">
        <f t="shared" si="764"/>
        <v>39513.599999999999</v>
      </c>
      <c r="M6893" s="177">
        <f t="shared" si="765"/>
        <v>336.65587199999999</v>
      </c>
      <c r="N6893" s="177">
        <f t="shared" si="766"/>
        <v>299.34545454545452</v>
      </c>
      <c r="O6893" s="175" t="str">
        <f t="shared" si="767"/>
        <v>May</v>
      </c>
      <c r="P6893" s="265">
        <f t="shared" si="768"/>
        <v>21</v>
      </c>
    </row>
    <row r="6894" spans="1:16" ht="15" hidden="1" customHeight="1">
      <c r="A6894" s="489">
        <v>64979444</v>
      </c>
      <c r="B6894" s="489" t="s">
        <v>139</v>
      </c>
      <c r="C6894" s="488">
        <v>41606</v>
      </c>
      <c r="D6894" s="597">
        <v>46251</v>
      </c>
      <c r="E6894" s="489" t="s">
        <v>622</v>
      </c>
      <c r="F6894" s="489" t="s">
        <v>1223</v>
      </c>
      <c r="G6894" s="395">
        <f>VLOOKUP($A6894,'Tech Litons'!$A:$I,8,FALSE)</f>
        <v>2.16E-3</v>
      </c>
      <c r="H6894" s="174">
        <f>VLOOKUP($A6894,'Tech Litons'!$A:$I,9,FALSE)</f>
        <v>195</v>
      </c>
      <c r="I6894" s="174" t="str">
        <f>VLOOKUP($A6894,'Tech Litons'!$A:$C,3,0)</f>
        <v>Facepieces</v>
      </c>
      <c r="J6894" s="175" t="str">
        <f t="shared" si="763"/>
        <v>IncomFacepieces</v>
      </c>
      <c r="K6894" s="176">
        <f>VLOOKUP(I6894,'Attain %'!A:B,2,0)</f>
        <v>0.96</v>
      </c>
      <c r="L6894" s="177">
        <f t="shared" si="764"/>
        <v>39941.760000000002</v>
      </c>
      <c r="M6894" s="177">
        <f t="shared" si="765"/>
        <v>86.274201600000012</v>
      </c>
      <c r="N6894" s="177">
        <f t="shared" si="766"/>
        <v>204.82953846153848</v>
      </c>
      <c r="O6894" s="175" t="str">
        <f t="shared" si="767"/>
        <v>Aug</v>
      </c>
      <c r="P6894" s="265">
        <f t="shared" si="768"/>
        <v>34</v>
      </c>
    </row>
    <row r="6895" spans="1:16" ht="15" hidden="1" customHeight="1">
      <c r="A6895" s="489">
        <v>64771676</v>
      </c>
      <c r="B6895" s="489" t="s">
        <v>139</v>
      </c>
      <c r="C6895" s="488">
        <v>41736</v>
      </c>
      <c r="D6895" s="597">
        <v>46244</v>
      </c>
      <c r="E6895" s="489" t="s">
        <v>619</v>
      </c>
      <c r="F6895" s="489" t="s">
        <v>1223</v>
      </c>
      <c r="G6895" s="395">
        <f>VLOOKUP($A6895,'Tech Litons'!$A:$I,8,FALSE)</f>
        <v>2.16E-3</v>
      </c>
      <c r="H6895" s="174">
        <f>VLOOKUP($A6895,'Tech Litons'!$A:$I,9,FALSE)</f>
        <v>195</v>
      </c>
      <c r="I6895" s="174" t="str">
        <f>VLOOKUP($A6895,'Tech Litons'!$A:$C,3,0)</f>
        <v>Facepieces</v>
      </c>
      <c r="J6895" s="175" t="str">
        <f t="shared" si="763"/>
        <v>IncomFacepieces</v>
      </c>
      <c r="K6895" s="176">
        <f>VLOOKUP(I6895,'Attain %'!A:B,2,0)</f>
        <v>0.96</v>
      </c>
      <c r="L6895" s="177">
        <f t="shared" si="764"/>
        <v>40066.559999999998</v>
      </c>
      <c r="M6895" s="177">
        <f t="shared" si="765"/>
        <v>86.54376959999999</v>
      </c>
      <c r="N6895" s="177">
        <f t="shared" si="766"/>
        <v>205.46953846153846</v>
      </c>
      <c r="O6895" s="175" t="str">
        <f t="shared" si="767"/>
        <v>Aug</v>
      </c>
      <c r="P6895" s="265">
        <f t="shared" si="768"/>
        <v>33</v>
      </c>
    </row>
    <row r="6896" spans="1:16" ht="15" hidden="1" customHeight="1">
      <c r="A6896" s="489">
        <v>64987233</v>
      </c>
      <c r="B6896" s="489">
        <v>1716</v>
      </c>
      <c r="C6896" s="488">
        <v>42000</v>
      </c>
      <c r="D6896" s="597">
        <v>46153</v>
      </c>
      <c r="E6896" s="489" t="s">
        <v>597</v>
      </c>
      <c r="F6896" s="489" t="s">
        <v>1221</v>
      </c>
      <c r="G6896" s="395">
        <f>VLOOKUP($A6896,'Tech Litons'!$A:$I,8,FALSE)</f>
        <v>2.3999999999999998E-3</v>
      </c>
      <c r="H6896" s="174">
        <f>VLOOKUP($A6896,'Tech Litons'!$A:$I,9,FALSE)</f>
        <v>165</v>
      </c>
      <c r="I6896" s="174" t="str">
        <f>VLOOKUP($A6896,'Tech Litons'!$A:$C,3,0)</f>
        <v>BJ Bars</v>
      </c>
      <c r="J6896" s="175" t="str">
        <f t="shared" si="763"/>
        <v>1716BJ Bars</v>
      </c>
      <c r="K6896" s="176">
        <f>VLOOKUP(I6896,'Attain %'!A:B,2,0)</f>
        <v>0.96</v>
      </c>
      <c r="L6896" s="177">
        <f t="shared" si="764"/>
        <v>40320</v>
      </c>
      <c r="M6896" s="177">
        <f t="shared" si="765"/>
        <v>96.767999999999986</v>
      </c>
      <c r="N6896" s="177">
        <f t="shared" si="766"/>
        <v>244.36363636363637</v>
      </c>
      <c r="O6896" s="175" t="str">
        <f t="shared" si="767"/>
        <v>May</v>
      </c>
      <c r="P6896" s="265">
        <f t="shared" si="768"/>
        <v>20</v>
      </c>
    </row>
    <row r="6897" spans="1:16" ht="15" hidden="1" customHeight="1">
      <c r="A6897" s="489">
        <v>65459033</v>
      </c>
      <c r="B6897" s="489">
        <v>2904</v>
      </c>
      <c r="C6897" s="488">
        <v>42000</v>
      </c>
      <c r="D6897" s="597">
        <v>46146</v>
      </c>
      <c r="E6897" s="489" t="s">
        <v>1060</v>
      </c>
      <c r="F6897" s="489" t="s">
        <v>1227</v>
      </c>
      <c r="G6897" s="395">
        <f>VLOOKUP($A6897,'Tech Litons'!$A:$I,8,FALSE)</f>
        <v>3.7839999999999996E-3</v>
      </c>
      <c r="H6897" s="174">
        <f>VLOOKUP($A6897,'Tech Litons'!$A:$I,9,FALSE)</f>
        <v>240</v>
      </c>
      <c r="I6897" s="174" t="str">
        <f>VLOOKUP($A6897,'Tech Litons'!$A:$C,3,0)</f>
        <v>Other</v>
      </c>
      <c r="J6897" s="175" t="str">
        <f t="shared" si="763"/>
        <v>2904Other</v>
      </c>
      <c r="K6897" s="176">
        <f>VLOOKUP(I6897,'Attain %'!A:B,2,0)</f>
        <v>0.96</v>
      </c>
      <c r="L6897" s="177">
        <f t="shared" si="764"/>
        <v>40320</v>
      </c>
      <c r="M6897" s="177">
        <f t="shared" si="765"/>
        <v>152.57087999999999</v>
      </c>
      <c r="N6897" s="177">
        <f t="shared" si="766"/>
        <v>168</v>
      </c>
      <c r="O6897" s="175" t="str">
        <f t="shared" si="767"/>
        <v>May</v>
      </c>
      <c r="P6897" s="265">
        <f t="shared" si="768"/>
        <v>19</v>
      </c>
    </row>
    <row r="6898" spans="1:16" ht="15" hidden="1" customHeight="1">
      <c r="A6898" s="489">
        <v>65471855</v>
      </c>
      <c r="B6898" s="489">
        <v>2904</v>
      </c>
      <c r="C6898" s="488">
        <v>42000</v>
      </c>
      <c r="D6898" s="597">
        <v>46125</v>
      </c>
      <c r="E6898" s="489" t="s">
        <v>248</v>
      </c>
      <c r="F6898" s="489" t="s">
        <v>1227</v>
      </c>
      <c r="G6898" s="395">
        <f>VLOOKUP($A6898,'Tech Litons'!$A:$I,8,FALSE)</f>
        <v>3.7839999999999996E-3</v>
      </c>
      <c r="H6898" s="174">
        <f>VLOOKUP($A6898,'Tech Litons'!$A:$I,9,FALSE)</f>
        <v>240</v>
      </c>
      <c r="I6898" s="174" t="str">
        <f>VLOOKUP($A6898,'Tech Litons'!$A:$C,3,0)</f>
        <v>Other</v>
      </c>
      <c r="J6898" s="175" t="str">
        <f t="shared" si="763"/>
        <v>2904Other</v>
      </c>
      <c r="K6898" s="176">
        <f>VLOOKUP(I6898,'Attain %'!A:B,2,0)</f>
        <v>0.96</v>
      </c>
      <c r="L6898" s="177">
        <f t="shared" si="764"/>
        <v>40320</v>
      </c>
      <c r="M6898" s="177">
        <f t="shared" si="765"/>
        <v>152.57087999999999</v>
      </c>
      <c r="N6898" s="177">
        <f t="shared" si="766"/>
        <v>168</v>
      </c>
      <c r="O6898" s="175" t="str">
        <f t="shared" si="767"/>
        <v>Apr</v>
      </c>
      <c r="P6898" s="265">
        <f t="shared" si="768"/>
        <v>16</v>
      </c>
    </row>
    <row r="6899" spans="1:16" ht="15" hidden="1" customHeight="1">
      <c r="A6899" s="489">
        <v>69999268</v>
      </c>
      <c r="B6899" s="489">
        <v>2904</v>
      </c>
      <c r="C6899" s="488">
        <v>42000</v>
      </c>
      <c r="D6899" s="597">
        <v>46153</v>
      </c>
      <c r="E6899" s="489" t="s">
        <v>351</v>
      </c>
      <c r="F6899" s="489" t="s">
        <v>1227</v>
      </c>
      <c r="G6899" s="395">
        <f>VLOOKUP($A6899,'Tech Litons'!$A:$I,8,FALSE)</f>
        <v>3.7839999999999996E-3</v>
      </c>
      <c r="H6899" s="174">
        <f>VLOOKUP($A6899,'Tech Litons'!$A:$I,9,FALSE)</f>
        <v>240</v>
      </c>
      <c r="I6899" s="174" t="str">
        <f>VLOOKUP($A6899,'Tech Litons'!$A:$C,3,0)</f>
        <v>BJ PTS</v>
      </c>
      <c r="J6899" s="175" t="str">
        <f t="shared" si="763"/>
        <v>2904BJ PTS</v>
      </c>
      <c r="K6899" s="176">
        <f>VLOOKUP(I6899,'Attain %'!A:B,2,0)</f>
        <v>0.95</v>
      </c>
      <c r="L6899" s="177">
        <f t="shared" si="764"/>
        <v>39900</v>
      </c>
      <c r="M6899" s="177">
        <f t="shared" si="765"/>
        <v>150.98159999999999</v>
      </c>
      <c r="N6899" s="177">
        <f t="shared" si="766"/>
        <v>166.25</v>
      </c>
      <c r="O6899" s="175" t="str">
        <f t="shared" si="767"/>
        <v>May</v>
      </c>
      <c r="P6899" s="265">
        <f t="shared" si="768"/>
        <v>20</v>
      </c>
    </row>
    <row r="6900" spans="1:16" ht="15" hidden="1" customHeight="1">
      <c r="A6900" s="489">
        <v>84135781</v>
      </c>
      <c r="B6900" s="489">
        <v>2904</v>
      </c>
      <c r="C6900" s="488">
        <v>42000</v>
      </c>
      <c r="D6900" s="597">
        <v>46132</v>
      </c>
      <c r="E6900" s="489" t="s">
        <v>302</v>
      </c>
      <c r="F6900" s="489" t="s">
        <v>1227</v>
      </c>
      <c r="G6900" s="395">
        <f>VLOOKUP($A6900,'Tech Litons'!$A:$I,8,FALSE)</f>
        <v>3.7853439999999999E-3</v>
      </c>
      <c r="H6900" s="174">
        <f>VLOOKUP($A6900,'Tech Litons'!$A:$I,9,FALSE)</f>
        <v>240</v>
      </c>
      <c r="I6900" s="174" t="str">
        <f>VLOOKUP($A6900,'Tech Litons'!$A:$C,3,0)</f>
        <v>BJ PTS</v>
      </c>
      <c r="J6900" s="175" t="str">
        <f t="shared" si="763"/>
        <v>2904BJ PTS</v>
      </c>
      <c r="K6900" s="176">
        <f>VLOOKUP(I6900,'Attain %'!A:B,2,0)</f>
        <v>0.95</v>
      </c>
      <c r="L6900" s="177">
        <f t="shared" si="764"/>
        <v>39900</v>
      </c>
      <c r="M6900" s="177">
        <f t="shared" si="765"/>
        <v>151.03522559999999</v>
      </c>
      <c r="N6900" s="177">
        <f t="shared" si="766"/>
        <v>166.25</v>
      </c>
      <c r="O6900" s="175" t="str">
        <f t="shared" si="767"/>
        <v>Apr</v>
      </c>
      <c r="P6900" s="265">
        <f t="shared" si="768"/>
        <v>17</v>
      </c>
    </row>
    <row r="6901" spans="1:16" ht="15" hidden="1" customHeight="1">
      <c r="A6901" s="489">
        <v>84144598</v>
      </c>
      <c r="B6901" s="489">
        <v>2904</v>
      </c>
      <c r="C6901" s="488">
        <v>42000</v>
      </c>
      <c r="D6901" s="597">
        <v>46160</v>
      </c>
      <c r="E6901" s="489" t="s">
        <v>364</v>
      </c>
      <c r="F6901" s="489" t="s">
        <v>1227</v>
      </c>
      <c r="G6901" s="395">
        <f>VLOOKUP($A6901,'Tech Litons'!$A:$I,8,FALSE)</f>
        <v>3.7853439999999999E-3</v>
      </c>
      <c r="H6901" s="174">
        <f>VLOOKUP($A6901,'Tech Litons'!$A:$I,9,FALSE)</f>
        <v>240</v>
      </c>
      <c r="I6901" s="174" t="str">
        <f>VLOOKUP($A6901,'Tech Litons'!$A:$C,3,0)</f>
        <v>BJ PTS</v>
      </c>
      <c r="J6901" s="175" t="str">
        <f t="shared" si="763"/>
        <v>2904BJ PTS</v>
      </c>
      <c r="K6901" s="176">
        <f>VLOOKUP(I6901,'Attain %'!A:B,2,0)</f>
        <v>0.95</v>
      </c>
      <c r="L6901" s="177">
        <f t="shared" si="764"/>
        <v>39900</v>
      </c>
      <c r="M6901" s="177">
        <f t="shared" si="765"/>
        <v>151.03522559999999</v>
      </c>
      <c r="N6901" s="177">
        <f t="shared" si="766"/>
        <v>166.25</v>
      </c>
      <c r="O6901" s="175" t="str">
        <f t="shared" si="767"/>
        <v>May</v>
      </c>
      <c r="P6901" s="265">
        <f t="shared" si="768"/>
        <v>21</v>
      </c>
    </row>
    <row r="6902" spans="1:16" ht="15" hidden="1" customHeight="1">
      <c r="A6902" s="489">
        <v>68817796</v>
      </c>
      <c r="B6902" s="489">
        <v>1352</v>
      </c>
      <c r="C6902" s="488">
        <v>42276</v>
      </c>
      <c r="D6902" s="597">
        <v>46153</v>
      </c>
      <c r="E6902" s="489" t="s">
        <v>263</v>
      </c>
      <c r="F6902" s="489" t="s">
        <v>1209</v>
      </c>
      <c r="G6902" s="395">
        <f>VLOOKUP($A6902,'Tech Litons'!$A:$I,8,FALSE)</f>
        <v>8.513999999999999E-3</v>
      </c>
      <c r="H6902" s="174">
        <f>VLOOKUP($A6902,'Tech Litons'!$A:$I,9,FALSE)</f>
        <v>176</v>
      </c>
      <c r="I6902" s="174" t="str">
        <f>VLOOKUP($A6902,'Tech Litons'!$A:$C,3,0)</f>
        <v>48oz</v>
      </c>
      <c r="J6902" s="175" t="str">
        <f t="shared" si="763"/>
        <v>135248oz</v>
      </c>
      <c r="K6902" s="176">
        <f>VLOOKUP(I6902,'Attain %'!A:B,2,0)</f>
        <v>0.94</v>
      </c>
      <c r="L6902" s="177">
        <f t="shared" si="764"/>
        <v>39739.439999999995</v>
      </c>
      <c r="M6902" s="177">
        <f t="shared" si="765"/>
        <v>338.34159215999989</v>
      </c>
      <c r="N6902" s="177">
        <f t="shared" si="766"/>
        <v>225.79227272727269</v>
      </c>
      <c r="O6902" s="175" t="str">
        <f t="shared" si="767"/>
        <v>May</v>
      </c>
      <c r="P6902" s="265">
        <f t="shared" si="768"/>
        <v>20</v>
      </c>
    </row>
    <row r="6903" spans="1:16" ht="15" hidden="1" customHeight="1">
      <c r="A6903" s="489">
        <v>68850683</v>
      </c>
      <c r="B6903" s="489">
        <v>1352</v>
      </c>
      <c r="C6903" s="488">
        <v>42276</v>
      </c>
      <c r="D6903" s="597">
        <v>46139</v>
      </c>
      <c r="E6903" s="489" t="s">
        <v>311</v>
      </c>
      <c r="F6903" s="489" t="s">
        <v>1209</v>
      </c>
      <c r="G6903" s="395">
        <f>VLOOKUP($A6903,'Tech Litons'!$A:$I,8,FALSE)</f>
        <v>8.5199999999999998E-3</v>
      </c>
      <c r="H6903" s="174">
        <f>VLOOKUP($A6903,'Tech Litons'!$A:$I,9,FALSE)</f>
        <v>176</v>
      </c>
      <c r="I6903" s="174" t="str">
        <f>VLOOKUP($A6903,'Tech Litons'!$A:$C,3,0)</f>
        <v>48oz</v>
      </c>
      <c r="J6903" s="175" t="str">
        <f t="shared" si="763"/>
        <v>135248oz</v>
      </c>
      <c r="K6903" s="176">
        <f>VLOOKUP(I6903,'Attain %'!A:B,2,0)</f>
        <v>0.94</v>
      </c>
      <c r="L6903" s="177">
        <f t="shared" si="764"/>
        <v>39739.439999999995</v>
      </c>
      <c r="M6903" s="177">
        <f t="shared" si="765"/>
        <v>338.58002879999992</v>
      </c>
      <c r="N6903" s="177">
        <f t="shared" si="766"/>
        <v>225.79227272727269</v>
      </c>
      <c r="O6903" s="175" t="str">
        <f t="shared" si="767"/>
        <v>Apr</v>
      </c>
      <c r="P6903" s="265">
        <f t="shared" si="768"/>
        <v>18</v>
      </c>
    </row>
    <row r="6904" spans="1:16" ht="15" hidden="1" customHeight="1">
      <c r="A6904" s="489">
        <v>68850683</v>
      </c>
      <c r="B6904" s="489">
        <v>1352</v>
      </c>
      <c r="C6904" s="488">
        <v>42276</v>
      </c>
      <c r="D6904" s="597">
        <v>46146</v>
      </c>
      <c r="E6904" s="489" t="s">
        <v>311</v>
      </c>
      <c r="F6904" s="489" t="s">
        <v>1209</v>
      </c>
      <c r="G6904" s="395">
        <f>VLOOKUP($A6904,'Tech Litons'!$A:$I,8,FALSE)</f>
        <v>8.5199999999999998E-3</v>
      </c>
      <c r="H6904" s="174">
        <f>VLOOKUP($A6904,'Tech Litons'!$A:$I,9,FALSE)</f>
        <v>176</v>
      </c>
      <c r="I6904" s="174" t="str">
        <f>VLOOKUP($A6904,'Tech Litons'!$A:$C,3,0)</f>
        <v>48oz</v>
      </c>
      <c r="J6904" s="175" t="str">
        <f t="shared" ref="J6904:J6967" si="769">B6904&amp;I6904</f>
        <v>135248oz</v>
      </c>
      <c r="K6904" s="176">
        <f>VLOOKUP(I6904,'Attain %'!A:B,2,0)</f>
        <v>0.94</v>
      </c>
      <c r="L6904" s="177">
        <f t="shared" ref="L6904:L6967" si="770">C6904*$K6904</f>
        <v>39739.439999999995</v>
      </c>
      <c r="M6904" s="177">
        <f t="shared" ref="M6904:M6967" si="771">L6904*G6904</f>
        <v>338.58002879999992</v>
      </c>
      <c r="N6904" s="177">
        <f t="shared" ref="N6904:N6967" si="772">L6904/H6904</f>
        <v>225.79227272727269</v>
      </c>
      <c r="O6904" s="175" t="str">
        <f t="shared" ref="O6904:O6967" si="773">TEXT(D6904,"MMM")</f>
        <v>May</v>
      </c>
      <c r="P6904" s="265">
        <f t="shared" ref="P6904:P6967" si="774">WEEKNUM(D6904)</f>
        <v>19</v>
      </c>
    </row>
    <row r="6905" spans="1:16" ht="15" hidden="1" customHeight="1">
      <c r="A6905" s="489">
        <v>68850683</v>
      </c>
      <c r="B6905" s="489">
        <v>1352</v>
      </c>
      <c r="C6905" s="488">
        <v>42276</v>
      </c>
      <c r="D6905" s="597">
        <v>46167</v>
      </c>
      <c r="E6905" s="489" t="s">
        <v>311</v>
      </c>
      <c r="F6905" s="489" t="s">
        <v>1209</v>
      </c>
      <c r="G6905" s="395">
        <f>VLOOKUP($A6905,'Tech Litons'!$A:$I,8,FALSE)</f>
        <v>8.5199999999999998E-3</v>
      </c>
      <c r="H6905" s="174">
        <f>VLOOKUP($A6905,'Tech Litons'!$A:$I,9,FALSE)</f>
        <v>176</v>
      </c>
      <c r="I6905" s="174" t="str">
        <f>VLOOKUP($A6905,'Tech Litons'!$A:$C,3,0)</f>
        <v>48oz</v>
      </c>
      <c r="J6905" s="175" t="str">
        <f t="shared" si="769"/>
        <v>135248oz</v>
      </c>
      <c r="K6905" s="176">
        <f>VLOOKUP(I6905,'Attain %'!A:B,2,0)</f>
        <v>0.94</v>
      </c>
      <c r="L6905" s="177">
        <f t="shared" si="770"/>
        <v>39739.439999999995</v>
      </c>
      <c r="M6905" s="177">
        <f t="shared" si="771"/>
        <v>338.58002879999992</v>
      </c>
      <c r="N6905" s="177">
        <f t="shared" si="772"/>
        <v>225.79227272727269</v>
      </c>
      <c r="O6905" s="175" t="str">
        <f t="shared" si="773"/>
        <v>May</v>
      </c>
      <c r="P6905" s="265">
        <f t="shared" si="774"/>
        <v>22</v>
      </c>
    </row>
    <row r="6906" spans="1:16" ht="15" hidden="1" customHeight="1">
      <c r="A6906" s="489">
        <v>68851104</v>
      </c>
      <c r="B6906" s="489">
        <v>1352</v>
      </c>
      <c r="C6906" s="488">
        <v>42276</v>
      </c>
      <c r="D6906" s="597">
        <v>46160</v>
      </c>
      <c r="E6906" s="489" t="s">
        <v>270</v>
      </c>
      <c r="F6906" s="489" t="s">
        <v>1209</v>
      </c>
      <c r="G6906" s="395">
        <f>VLOOKUP($A6906,'Tech Litons'!$A:$I,8,FALSE)</f>
        <v>8.5199999999999998E-3</v>
      </c>
      <c r="H6906" s="174">
        <f>VLOOKUP($A6906,'Tech Litons'!$A:$I,9,FALSE)</f>
        <v>176</v>
      </c>
      <c r="I6906" s="174" t="str">
        <f>VLOOKUP($A6906,'Tech Litons'!$A:$C,3,0)</f>
        <v>48oz</v>
      </c>
      <c r="J6906" s="175" t="str">
        <f t="shared" si="769"/>
        <v>135248oz</v>
      </c>
      <c r="K6906" s="176">
        <f>VLOOKUP(I6906,'Attain %'!A:B,2,0)</f>
        <v>0.94</v>
      </c>
      <c r="L6906" s="177">
        <f t="shared" si="770"/>
        <v>39739.439999999995</v>
      </c>
      <c r="M6906" s="177">
        <f t="shared" si="771"/>
        <v>338.58002879999992</v>
      </c>
      <c r="N6906" s="177">
        <f t="shared" si="772"/>
        <v>225.79227272727269</v>
      </c>
      <c r="O6906" s="175" t="str">
        <f t="shared" si="773"/>
        <v>May</v>
      </c>
      <c r="P6906" s="265">
        <f t="shared" si="774"/>
        <v>21</v>
      </c>
    </row>
    <row r="6907" spans="1:16" ht="15" hidden="1" customHeight="1">
      <c r="A6907" s="489">
        <v>68851107</v>
      </c>
      <c r="B6907" s="489">
        <v>1352</v>
      </c>
      <c r="C6907" s="488">
        <v>42276</v>
      </c>
      <c r="D6907" s="597">
        <v>46146</v>
      </c>
      <c r="E6907" s="489" t="s">
        <v>272</v>
      </c>
      <c r="F6907" s="489" t="s">
        <v>1209</v>
      </c>
      <c r="G6907" s="395">
        <f>VLOOKUP($A6907,'Tech Litons'!$A:$I,8,FALSE)</f>
        <v>8.5199999999999998E-3</v>
      </c>
      <c r="H6907" s="174">
        <f>VLOOKUP($A6907,'Tech Litons'!$A:$I,9,FALSE)</f>
        <v>176</v>
      </c>
      <c r="I6907" s="174" t="str">
        <f>VLOOKUP($A6907,'Tech Litons'!$A:$C,3,0)</f>
        <v>48oz</v>
      </c>
      <c r="J6907" s="175" t="str">
        <f t="shared" si="769"/>
        <v>135248oz</v>
      </c>
      <c r="K6907" s="176">
        <f>VLOOKUP(I6907,'Attain %'!A:B,2,0)</f>
        <v>0.94</v>
      </c>
      <c r="L6907" s="177">
        <f t="shared" si="770"/>
        <v>39739.439999999995</v>
      </c>
      <c r="M6907" s="177">
        <f t="shared" si="771"/>
        <v>338.58002879999992</v>
      </c>
      <c r="N6907" s="177">
        <f t="shared" si="772"/>
        <v>225.79227272727269</v>
      </c>
      <c r="O6907" s="175" t="str">
        <f t="shared" si="773"/>
        <v>May</v>
      </c>
      <c r="P6907" s="265">
        <f t="shared" si="774"/>
        <v>19</v>
      </c>
    </row>
    <row r="6908" spans="1:16" ht="15" hidden="1" customHeight="1">
      <c r="A6908" s="489">
        <v>68851107</v>
      </c>
      <c r="B6908" s="489">
        <v>1352</v>
      </c>
      <c r="C6908" s="488">
        <v>42276</v>
      </c>
      <c r="D6908" s="597">
        <v>46153</v>
      </c>
      <c r="E6908" s="489" t="s">
        <v>272</v>
      </c>
      <c r="F6908" s="489" t="s">
        <v>1209</v>
      </c>
      <c r="G6908" s="395">
        <f>VLOOKUP($A6908,'Tech Litons'!$A:$I,8,FALSE)</f>
        <v>8.5199999999999998E-3</v>
      </c>
      <c r="H6908" s="174">
        <f>VLOOKUP($A6908,'Tech Litons'!$A:$I,9,FALSE)</f>
        <v>176</v>
      </c>
      <c r="I6908" s="174" t="str">
        <f>VLOOKUP($A6908,'Tech Litons'!$A:$C,3,0)</f>
        <v>48oz</v>
      </c>
      <c r="J6908" s="175" t="str">
        <f t="shared" si="769"/>
        <v>135248oz</v>
      </c>
      <c r="K6908" s="176">
        <f>VLOOKUP(I6908,'Attain %'!A:B,2,0)</f>
        <v>0.94</v>
      </c>
      <c r="L6908" s="177">
        <f t="shared" si="770"/>
        <v>39739.439999999995</v>
      </c>
      <c r="M6908" s="177">
        <f t="shared" si="771"/>
        <v>338.58002879999992</v>
      </c>
      <c r="N6908" s="177">
        <f t="shared" si="772"/>
        <v>225.79227272727269</v>
      </c>
      <c r="O6908" s="175" t="str">
        <f t="shared" si="773"/>
        <v>May</v>
      </c>
      <c r="P6908" s="265">
        <f t="shared" si="774"/>
        <v>20</v>
      </c>
    </row>
    <row r="6909" spans="1:16" ht="15" hidden="1" customHeight="1">
      <c r="A6909" s="489">
        <v>64341108</v>
      </c>
      <c r="B6909" s="489" t="s">
        <v>139</v>
      </c>
      <c r="C6909" s="488">
        <v>42600</v>
      </c>
      <c r="D6909" s="597">
        <v>46293</v>
      </c>
      <c r="E6909" s="489" t="s">
        <v>615</v>
      </c>
      <c r="F6909" s="489" t="s">
        <v>1223</v>
      </c>
      <c r="G6909" s="395">
        <f>VLOOKUP($A6909,'Tech Litons'!$A:$I,8,FALSE)</f>
        <v>2.3599999999999997E-3</v>
      </c>
      <c r="H6909" s="174">
        <f>VLOOKUP($A6909,'Tech Litons'!$A:$I,9,FALSE)</f>
        <v>210</v>
      </c>
      <c r="I6909" s="174" t="str">
        <f>VLOOKUP($A6909,'Tech Litons'!$A:$C,3,0)</f>
        <v>Facepieces</v>
      </c>
      <c r="J6909" s="175" t="str">
        <f t="shared" si="769"/>
        <v>IncomFacepieces</v>
      </c>
      <c r="K6909" s="176">
        <f>VLOOKUP(I6909,'Attain %'!A:B,2,0)</f>
        <v>0.96</v>
      </c>
      <c r="L6909" s="177">
        <f t="shared" si="770"/>
        <v>40896</v>
      </c>
      <c r="M6909" s="177">
        <f t="shared" si="771"/>
        <v>96.514559999999989</v>
      </c>
      <c r="N6909" s="177">
        <f t="shared" si="772"/>
        <v>194.74285714285713</v>
      </c>
      <c r="O6909" s="175" t="str">
        <f t="shared" si="773"/>
        <v>Sep</v>
      </c>
      <c r="P6909" s="265">
        <f t="shared" si="774"/>
        <v>40</v>
      </c>
    </row>
    <row r="6910" spans="1:16" ht="15" hidden="1" customHeight="1">
      <c r="A6910" s="489">
        <v>64956417</v>
      </c>
      <c r="B6910" s="489" t="s">
        <v>139</v>
      </c>
      <c r="D6910" s="597">
        <v>46111</v>
      </c>
      <c r="E6910" s="489" t="s">
        <v>621</v>
      </c>
      <c r="F6910" s="489" t="s">
        <v>1223</v>
      </c>
      <c r="G6910" s="395">
        <f>VLOOKUP($A6910,'Tech Litons'!$A:$I,8,FALSE)</f>
        <v>2.16E-3</v>
      </c>
      <c r="H6910" s="174">
        <f>VLOOKUP($A6910,'Tech Litons'!$A:$I,9,FALSE)</f>
        <v>143</v>
      </c>
      <c r="I6910" s="174" t="str">
        <f>VLOOKUP($A6910,'Tech Litons'!$A:$C,3,0)</f>
        <v>Facepieces</v>
      </c>
      <c r="J6910" s="175" t="str">
        <f t="shared" si="769"/>
        <v>IncomFacepieces</v>
      </c>
      <c r="K6910" s="176">
        <f>VLOOKUP(I6910,'Attain %'!A:B,2,0)</f>
        <v>0.96</v>
      </c>
      <c r="L6910" s="177">
        <f t="shared" si="770"/>
        <v>0</v>
      </c>
      <c r="M6910" s="177">
        <f t="shared" si="771"/>
        <v>0</v>
      </c>
      <c r="N6910" s="177">
        <f t="shared" si="772"/>
        <v>0</v>
      </c>
      <c r="O6910" s="175" t="str">
        <f t="shared" si="773"/>
        <v>Mar</v>
      </c>
      <c r="P6910" s="265">
        <f t="shared" si="774"/>
        <v>14</v>
      </c>
    </row>
    <row r="6911" spans="1:16" ht="15" hidden="1" customHeight="1">
      <c r="A6911" s="489">
        <v>68354588</v>
      </c>
      <c r="B6911" s="489">
        <v>2904</v>
      </c>
      <c r="C6911" s="488">
        <v>42900</v>
      </c>
      <c r="D6911" s="597">
        <v>46167</v>
      </c>
      <c r="E6911" s="489" t="s">
        <v>332</v>
      </c>
      <c r="F6911" s="489" t="s">
        <v>1229</v>
      </c>
      <c r="G6911" s="395">
        <f>VLOOKUP($A6911,'Tech Litons'!$A:$I,8,FALSE)</f>
        <v>3.5999999999999999E-3</v>
      </c>
      <c r="H6911" s="174">
        <f>VLOOKUP($A6911,'Tech Litons'!$A:$I,9,FALSE)</f>
        <v>240</v>
      </c>
      <c r="I6911" s="174" t="str">
        <f>VLOOKUP($A6911,'Tech Litons'!$A:$C,3,0)</f>
        <v>Topped</v>
      </c>
      <c r="J6911" s="175" t="str">
        <f t="shared" si="769"/>
        <v>2904Topped</v>
      </c>
      <c r="K6911" s="176">
        <f>VLOOKUP(I6911,'Attain %'!A:B,2,0)</f>
        <v>0.96</v>
      </c>
      <c r="L6911" s="177">
        <f t="shared" si="770"/>
        <v>41184</v>
      </c>
      <c r="M6911" s="177">
        <f t="shared" si="771"/>
        <v>148.26239999999999</v>
      </c>
      <c r="N6911" s="177">
        <f t="shared" si="772"/>
        <v>171.6</v>
      </c>
      <c r="O6911" s="175" t="str">
        <f t="shared" si="773"/>
        <v>May</v>
      </c>
      <c r="P6911" s="265">
        <f t="shared" si="774"/>
        <v>22</v>
      </c>
    </row>
    <row r="6912" spans="1:16" ht="15" hidden="1" customHeight="1">
      <c r="A6912" s="489">
        <v>68821728</v>
      </c>
      <c r="B6912" s="489">
        <v>2904</v>
      </c>
      <c r="C6912" s="488">
        <v>43000</v>
      </c>
      <c r="D6912" s="597">
        <v>46118</v>
      </c>
      <c r="E6912" s="489" t="s">
        <v>386</v>
      </c>
      <c r="F6912" s="489" t="s">
        <v>1225</v>
      </c>
      <c r="G6912" s="395">
        <f>VLOOKUP($A6912,'Tech Litons'!$A:$I,8,FALSE)</f>
        <v>8.5199999999999998E-3</v>
      </c>
      <c r="H6912" s="174">
        <f>VLOOKUP($A6912,'Tech Litons'!$A:$I,9,FALSE)</f>
        <v>176</v>
      </c>
      <c r="I6912" s="174" t="str">
        <f>VLOOKUP($A6912,'Tech Litons'!$A:$C,3,0)</f>
        <v>48oz</v>
      </c>
      <c r="J6912" s="175" t="str">
        <f t="shared" si="769"/>
        <v>290448oz</v>
      </c>
      <c r="K6912" s="176">
        <f>VLOOKUP(I6912,'Attain %'!A:B,2,0)</f>
        <v>0.94</v>
      </c>
      <c r="L6912" s="177">
        <f t="shared" si="770"/>
        <v>40420</v>
      </c>
      <c r="M6912" s="177">
        <f t="shared" si="771"/>
        <v>344.3784</v>
      </c>
      <c r="N6912" s="177">
        <f t="shared" si="772"/>
        <v>229.65909090909091</v>
      </c>
      <c r="O6912" s="175" t="str">
        <f t="shared" si="773"/>
        <v>Apr</v>
      </c>
      <c r="P6912" s="265">
        <f t="shared" si="774"/>
        <v>15</v>
      </c>
    </row>
    <row r="6913" spans="1:16" ht="15" hidden="1" customHeight="1">
      <c r="A6913" s="489">
        <v>69797288</v>
      </c>
      <c r="B6913" s="489">
        <v>5914</v>
      </c>
      <c r="C6913" s="488">
        <v>43400</v>
      </c>
      <c r="D6913" s="597">
        <v>46125</v>
      </c>
      <c r="E6913" s="489" t="s">
        <v>454</v>
      </c>
      <c r="F6913" s="489" t="s">
        <v>1247</v>
      </c>
      <c r="G6913" s="395">
        <f>VLOOKUP($A6913,'Tech Litons'!$A:$I,8,FALSE)</f>
        <v>3.7839999999999996E-3</v>
      </c>
      <c r="H6913" s="174">
        <f>VLOOKUP($A6913,'Tech Litons'!$A:$I,9,FALSE)</f>
        <v>240</v>
      </c>
      <c r="I6913" s="174" t="str">
        <f>VLOOKUP($A6913,'Tech Litons'!$A:$C,3,0)</f>
        <v>BJ PTS</v>
      </c>
      <c r="J6913" s="175" t="str">
        <f t="shared" si="769"/>
        <v>5914BJ PTS</v>
      </c>
      <c r="K6913" s="176">
        <f>VLOOKUP(I6913,'Attain %'!A:B,2,0)</f>
        <v>0.95</v>
      </c>
      <c r="L6913" s="177">
        <f t="shared" si="770"/>
        <v>41230</v>
      </c>
      <c r="M6913" s="177">
        <f t="shared" si="771"/>
        <v>156.01431999999997</v>
      </c>
      <c r="N6913" s="177">
        <f t="shared" si="772"/>
        <v>171.79166666666666</v>
      </c>
      <c r="O6913" s="175" t="str">
        <f t="shared" si="773"/>
        <v>Apr</v>
      </c>
      <c r="P6913" s="265">
        <f t="shared" si="774"/>
        <v>16</v>
      </c>
    </row>
    <row r="6914" spans="1:16" ht="15" hidden="1" customHeight="1">
      <c r="A6914" s="489">
        <v>64957257</v>
      </c>
      <c r="B6914" s="489">
        <v>6757</v>
      </c>
      <c r="C6914" s="601"/>
      <c r="D6914" s="597">
        <v>46160</v>
      </c>
      <c r="E6914" s="489" t="s">
        <v>609</v>
      </c>
      <c r="F6914" s="489" t="s">
        <v>1221</v>
      </c>
      <c r="G6914" s="395">
        <f>VLOOKUP($A6914,'Tech Litons'!$A:$I,8,FALSE)</f>
        <v>2.4880000000000002E-3</v>
      </c>
      <c r="H6914" s="174">
        <f>VLOOKUP($A6914,'Tech Litons'!$A:$I,9,FALSE)</f>
        <v>180</v>
      </c>
      <c r="I6914" s="174" t="str">
        <f>VLOOKUP($A6914,'Tech Litons'!$A:$C,3,0)</f>
        <v>Yasso Sandwich</v>
      </c>
      <c r="J6914" s="175" t="str">
        <f t="shared" si="769"/>
        <v>6757Yasso Sandwich</v>
      </c>
      <c r="K6914" s="176">
        <f>VLOOKUP(I6914,'Attain %'!A:B,2,0)</f>
        <v>0.96</v>
      </c>
      <c r="L6914" s="177">
        <f t="shared" si="770"/>
        <v>0</v>
      </c>
      <c r="M6914" s="177">
        <f t="shared" si="771"/>
        <v>0</v>
      </c>
      <c r="N6914" s="177">
        <f t="shared" si="772"/>
        <v>0</v>
      </c>
      <c r="O6914" s="175" t="str">
        <f t="shared" si="773"/>
        <v>May</v>
      </c>
      <c r="P6914" s="265">
        <f t="shared" si="774"/>
        <v>21</v>
      </c>
    </row>
    <row r="6915" spans="1:16" ht="15" hidden="1" customHeight="1">
      <c r="A6915" s="489">
        <v>68817793</v>
      </c>
      <c r="B6915" s="489">
        <v>1352</v>
      </c>
      <c r="C6915" s="488">
        <v>43875</v>
      </c>
      <c r="D6915" s="597">
        <v>46118</v>
      </c>
      <c r="E6915" s="489" t="s">
        <v>353</v>
      </c>
      <c r="F6915" s="489" t="s">
        <v>1207</v>
      </c>
      <c r="G6915" s="395">
        <f>VLOOKUP($A6915,'Tech Litons'!$A:$I,8,FALSE)</f>
        <v>8.5199999999999998E-3</v>
      </c>
      <c r="H6915" s="174">
        <f>VLOOKUP($A6915,'Tech Litons'!$A:$I,9,FALSE)</f>
        <v>176</v>
      </c>
      <c r="I6915" s="174" t="str">
        <f>VLOOKUP($A6915,'Tech Litons'!$A:$C,3,0)</f>
        <v>48oz</v>
      </c>
      <c r="J6915" s="175" t="str">
        <f t="shared" si="769"/>
        <v>135248oz</v>
      </c>
      <c r="K6915" s="176">
        <f>VLOOKUP(I6915,'Attain %'!A:B,2,0)</f>
        <v>0.94</v>
      </c>
      <c r="L6915" s="177">
        <f t="shared" si="770"/>
        <v>41242.5</v>
      </c>
      <c r="M6915" s="177">
        <f t="shared" si="771"/>
        <v>351.3861</v>
      </c>
      <c r="N6915" s="177">
        <f t="shared" si="772"/>
        <v>234.33238636363637</v>
      </c>
      <c r="O6915" s="175" t="str">
        <f t="shared" si="773"/>
        <v>Apr</v>
      </c>
      <c r="P6915" s="265">
        <f t="shared" si="774"/>
        <v>15</v>
      </c>
    </row>
    <row r="6916" spans="1:16" ht="15" hidden="1" customHeight="1">
      <c r="A6916" s="489">
        <v>68689251</v>
      </c>
      <c r="B6916" s="489">
        <v>1352</v>
      </c>
      <c r="C6916" s="488">
        <v>43880</v>
      </c>
      <c r="D6916" s="597">
        <v>46125</v>
      </c>
      <c r="E6916" s="489" t="s">
        <v>262</v>
      </c>
      <c r="F6916" s="489" t="s">
        <v>1210</v>
      </c>
      <c r="G6916" s="395">
        <f>VLOOKUP($A6916,'Tech Litons'!$A:$I,8,FALSE)</f>
        <v>9.5760000000000012E-3</v>
      </c>
      <c r="H6916" s="174">
        <f>VLOOKUP($A6916,'Tech Litons'!$A:$I,9,FALSE)</f>
        <v>132</v>
      </c>
      <c r="I6916" s="174" t="str">
        <f>VLOOKUP($A6916,'Tech Litons'!$A:$C,3,0)</f>
        <v>EDF</v>
      </c>
      <c r="J6916" s="175" t="str">
        <f t="shared" si="769"/>
        <v>1352EDF</v>
      </c>
      <c r="K6916" s="176">
        <f>VLOOKUP(I6916,'Attain %'!A:B,2,0)</f>
        <v>0.96</v>
      </c>
      <c r="L6916" s="177">
        <f t="shared" si="770"/>
        <v>42124.799999999996</v>
      </c>
      <c r="M6916" s="177">
        <f t="shared" si="771"/>
        <v>403.38708480000003</v>
      </c>
      <c r="N6916" s="177">
        <f t="shared" si="772"/>
        <v>319.12727272727267</v>
      </c>
      <c r="O6916" s="175" t="str">
        <f t="shared" si="773"/>
        <v>Apr</v>
      </c>
      <c r="P6916" s="265">
        <f t="shared" si="774"/>
        <v>16</v>
      </c>
    </row>
    <row r="6917" spans="1:16" ht="15" hidden="1" customHeight="1">
      <c r="A6917" s="489">
        <v>64979444</v>
      </c>
      <c r="B6917" s="489" t="s">
        <v>139</v>
      </c>
      <c r="C6917" s="488">
        <v>44112</v>
      </c>
      <c r="D6917" s="597">
        <v>46132</v>
      </c>
      <c r="E6917" s="489" t="s">
        <v>622</v>
      </c>
      <c r="F6917" s="489" t="s">
        <v>1223</v>
      </c>
      <c r="G6917" s="395">
        <f>VLOOKUP($A6917,'Tech Litons'!$A:$I,8,FALSE)</f>
        <v>2.16E-3</v>
      </c>
      <c r="H6917" s="174">
        <f>VLOOKUP($A6917,'Tech Litons'!$A:$I,9,FALSE)</f>
        <v>195</v>
      </c>
      <c r="I6917" s="174" t="str">
        <f>VLOOKUP($A6917,'Tech Litons'!$A:$C,3,0)</f>
        <v>Facepieces</v>
      </c>
      <c r="J6917" s="175" t="str">
        <f t="shared" si="769"/>
        <v>IncomFacepieces</v>
      </c>
      <c r="K6917" s="176">
        <f>VLOOKUP(I6917,'Attain %'!A:B,2,0)</f>
        <v>0.96</v>
      </c>
      <c r="L6917" s="177">
        <f t="shared" si="770"/>
        <v>42347.519999999997</v>
      </c>
      <c r="M6917" s="177">
        <f t="shared" si="771"/>
        <v>91.470643199999998</v>
      </c>
      <c r="N6917" s="177">
        <f t="shared" si="772"/>
        <v>217.16676923076921</v>
      </c>
      <c r="O6917" s="175" t="str">
        <f t="shared" si="773"/>
        <v>Apr</v>
      </c>
      <c r="P6917" s="265">
        <f t="shared" si="774"/>
        <v>17</v>
      </c>
    </row>
    <row r="6918" spans="1:16" ht="15" hidden="1" customHeight="1">
      <c r="A6918" s="489">
        <v>64999073</v>
      </c>
      <c r="B6918" s="489">
        <v>1716</v>
      </c>
      <c r="C6918" s="488">
        <v>44375</v>
      </c>
      <c r="D6918" s="597">
        <v>46104</v>
      </c>
      <c r="E6918" s="489" t="s">
        <v>595</v>
      </c>
      <c r="F6918" s="489" t="s">
        <v>1221</v>
      </c>
      <c r="G6918" s="395">
        <f>VLOOKUP($A6918,'Tech Litons'!$A:$I,8,FALSE)</f>
        <v>3.3119999999999998E-3</v>
      </c>
      <c r="H6918" s="174">
        <f>VLOOKUP($A6918,'Tech Litons'!$A:$I,9,FALSE)</f>
        <v>240</v>
      </c>
      <c r="I6918" s="174" t="str">
        <f>VLOOKUP($A6918,'Tech Litons'!$A:$C,3,0)</f>
        <v>YS PTS</v>
      </c>
      <c r="J6918" s="175" t="str">
        <f t="shared" si="769"/>
        <v>1716YS PTS</v>
      </c>
      <c r="K6918" s="176">
        <f>VLOOKUP(I6918,'Attain %'!A:B,2,0)</f>
        <v>0.96</v>
      </c>
      <c r="L6918" s="177">
        <f t="shared" si="770"/>
        <v>42600</v>
      </c>
      <c r="M6918" s="177">
        <f t="shared" si="771"/>
        <v>141.09119999999999</v>
      </c>
      <c r="N6918" s="177">
        <f t="shared" si="772"/>
        <v>177.5</v>
      </c>
      <c r="O6918" s="175" t="str">
        <f t="shared" si="773"/>
        <v>Mar</v>
      </c>
      <c r="P6918" s="265">
        <f t="shared" si="774"/>
        <v>13</v>
      </c>
    </row>
    <row r="6919" spans="1:16" ht="15" hidden="1" customHeight="1">
      <c r="A6919" s="489">
        <v>68842352</v>
      </c>
      <c r="B6919" s="489" t="s">
        <v>137</v>
      </c>
      <c r="C6919" s="488">
        <v>44440</v>
      </c>
      <c r="D6919" s="597">
        <v>46125</v>
      </c>
      <c r="E6919" s="489" t="s">
        <v>628</v>
      </c>
      <c r="F6919" s="489" t="s">
        <v>1223</v>
      </c>
      <c r="G6919" s="395">
        <f>VLOOKUP($A6919,'Tech Litons'!$A:$I,8,FALSE)</f>
        <v>2.6640000000000001E-3</v>
      </c>
      <c r="H6919" s="174">
        <f>VLOOKUP($A6919,'Tech Litons'!$A:$I,9,FALSE)</f>
        <v>220</v>
      </c>
      <c r="I6919" s="174" t="str">
        <f>VLOOKUP($A6919,'Tech Litons'!$A:$C,3,0)</f>
        <v>KL Mini Cones</v>
      </c>
      <c r="J6919" s="175" t="str">
        <f t="shared" si="769"/>
        <v>TurkeyKL Mini Cones</v>
      </c>
      <c r="K6919" s="176">
        <f>VLOOKUP(I6919,'Attain %'!A:B,2,0)</f>
        <v>0.96</v>
      </c>
      <c r="L6919" s="177">
        <f t="shared" si="770"/>
        <v>42662.400000000001</v>
      </c>
      <c r="M6919" s="177">
        <f t="shared" si="771"/>
        <v>113.65263360000002</v>
      </c>
      <c r="N6919" s="177">
        <f t="shared" si="772"/>
        <v>193.92000000000002</v>
      </c>
      <c r="O6919" s="175" t="str">
        <f t="shared" si="773"/>
        <v>Apr</v>
      </c>
      <c r="P6919" s="265">
        <f t="shared" si="774"/>
        <v>16</v>
      </c>
    </row>
    <row r="6920" spans="1:16" ht="15" hidden="1" customHeight="1">
      <c r="A6920" s="489">
        <v>64328806</v>
      </c>
      <c r="B6920" s="489">
        <v>1712</v>
      </c>
      <c r="C6920" s="488">
        <v>44720</v>
      </c>
      <c r="D6920" s="597">
        <v>46167</v>
      </c>
      <c r="E6920" s="489" t="s">
        <v>324</v>
      </c>
      <c r="F6920" s="489" t="s">
        <v>1221</v>
      </c>
      <c r="G6920" s="395">
        <f>VLOOKUP($A6920,'Tech Litons'!$A:$I,8,FALSE)</f>
        <v>2.8380000000000002E-3</v>
      </c>
      <c r="H6920" s="174">
        <f>VLOOKUP($A6920,'Tech Litons'!$A:$I,9,FALSE)</f>
        <v>189</v>
      </c>
      <c r="I6920" s="174" t="str">
        <f>VLOOKUP($A6920,'Tech Litons'!$A:$C,3,0)</f>
        <v>ESS</v>
      </c>
      <c r="J6920" s="175" t="str">
        <f t="shared" si="769"/>
        <v>1712ESS</v>
      </c>
      <c r="K6920" s="176">
        <f>VLOOKUP(I6920,'Attain %'!A:B,2,0)</f>
        <v>0.96</v>
      </c>
      <c r="L6920" s="177">
        <f t="shared" si="770"/>
        <v>42931.199999999997</v>
      </c>
      <c r="M6920" s="177">
        <f t="shared" si="771"/>
        <v>121.8387456</v>
      </c>
      <c r="N6920" s="177">
        <f t="shared" si="772"/>
        <v>227.14920634920634</v>
      </c>
      <c r="O6920" s="175" t="str">
        <f t="shared" si="773"/>
        <v>May</v>
      </c>
      <c r="P6920" s="265">
        <f t="shared" si="774"/>
        <v>22</v>
      </c>
    </row>
    <row r="6921" spans="1:16" ht="15" hidden="1" customHeight="1">
      <c r="A6921" s="489">
        <v>65489677</v>
      </c>
      <c r="B6921" s="489">
        <v>1717</v>
      </c>
      <c r="C6921" s="488">
        <v>45000</v>
      </c>
      <c r="D6921" s="597">
        <v>46216</v>
      </c>
      <c r="E6921" s="489" t="s">
        <v>1188</v>
      </c>
      <c r="F6921" s="489" t="s">
        <v>1221</v>
      </c>
      <c r="G6921" s="395">
        <f>VLOOKUP($A6921,'Tech Litons'!$A:$I,8,FALSE)</f>
        <v>2.8319999999999999E-3</v>
      </c>
      <c r="H6921" s="174">
        <f>VLOOKUP($A6921,'Tech Litons'!$A:$I,9,FALSE)</f>
        <v>221</v>
      </c>
      <c r="I6921" s="174" t="str">
        <f>VLOOKUP($A6921,'Tech Litons'!$A:$C,3,0)</f>
        <v>Other</v>
      </c>
      <c r="J6921" s="175" t="str">
        <f t="shared" si="769"/>
        <v>1717Other</v>
      </c>
      <c r="K6921" s="176">
        <f>VLOOKUP(I6921,'Attain %'!A:B,2,0)</f>
        <v>0.96</v>
      </c>
      <c r="L6921" s="177">
        <f t="shared" si="770"/>
        <v>43200</v>
      </c>
      <c r="M6921" s="177">
        <f t="shared" si="771"/>
        <v>122.3424</v>
      </c>
      <c r="N6921" s="177">
        <f t="shared" si="772"/>
        <v>195.47511312217193</v>
      </c>
      <c r="O6921" s="175" t="str">
        <f t="shared" si="773"/>
        <v>Jul</v>
      </c>
      <c r="P6921" s="265">
        <f t="shared" si="774"/>
        <v>29</v>
      </c>
    </row>
    <row r="6922" spans="1:16" ht="15" hidden="1" customHeight="1">
      <c r="A6922" s="489">
        <v>64389651</v>
      </c>
      <c r="B6922" s="489">
        <v>2904</v>
      </c>
      <c r="C6922" s="488">
        <v>45000</v>
      </c>
      <c r="D6922" s="597">
        <v>46132</v>
      </c>
      <c r="E6922" s="489" t="s">
        <v>355</v>
      </c>
      <c r="F6922" s="489" t="s">
        <v>1236</v>
      </c>
      <c r="G6922" s="395">
        <f>VLOOKUP($A6922,'Tech Litons'!$A:$I,8,FALSE)</f>
        <v>8.5199999999999998E-3</v>
      </c>
      <c r="H6922" s="174">
        <f>VLOOKUP($A6922,'Tech Litons'!$A:$I,9,FALSE)</f>
        <v>176</v>
      </c>
      <c r="I6922" s="174" t="str">
        <f>VLOOKUP($A6922,'Tech Litons'!$A:$C,3,0)</f>
        <v>48oz</v>
      </c>
      <c r="J6922" s="175" t="str">
        <f t="shared" si="769"/>
        <v>290448oz</v>
      </c>
      <c r="K6922" s="176">
        <f>VLOOKUP(I6922,'Attain %'!A:B,2,0)</f>
        <v>0.94</v>
      </c>
      <c r="L6922" s="177">
        <f t="shared" si="770"/>
        <v>42300</v>
      </c>
      <c r="M6922" s="177">
        <f t="shared" si="771"/>
        <v>360.39600000000002</v>
      </c>
      <c r="N6922" s="177">
        <f t="shared" si="772"/>
        <v>240.34090909090909</v>
      </c>
      <c r="O6922" s="175" t="str">
        <f t="shared" si="773"/>
        <v>Apr</v>
      </c>
      <c r="P6922" s="265">
        <f t="shared" si="774"/>
        <v>17</v>
      </c>
    </row>
    <row r="6923" spans="1:16" ht="15" hidden="1" customHeight="1">
      <c r="A6923" s="489">
        <v>64976837</v>
      </c>
      <c r="B6923" s="489">
        <v>2904</v>
      </c>
      <c r="C6923" s="488">
        <v>45000</v>
      </c>
      <c r="D6923" s="597">
        <v>46167</v>
      </c>
      <c r="E6923" s="489" t="s">
        <v>239</v>
      </c>
      <c r="F6923" s="489" t="s">
        <v>1233</v>
      </c>
      <c r="G6923" s="395">
        <f>VLOOKUP($A6923,'Tech Litons'!$A:$I,8,FALSE)</f>
        <v>2.5040000000000001E-3</v>
      </c>
      <c r="H6923" s="174">
        <f>VLOOKUP($A6923,'Tech Litons'!$A:$I,9,FALSE)</f>
        <v>165</v>
      </c>
      <c r="I6923" s="174" t="str">
        <f>VLOOKUP($A6923,'Tech Litons'!$A:$C,3,0)</f>
        <v>Yasso Sticks</v>
      </c>
      <c r="J6923" s="175" t="str">
        <f t="shared" si="769"/>
        <v>2904Yasso Sticks</v>
      </c>
      <c r="K6923" s="176">
        <f>VLOOKUP(I6923,'Attain %'!A:B,2,0)</f>
        <v>0.96</v>
      </c>
      <c r="L6923" s="177">
        <f t="shared" si="770"/>
        <v>43200</v>
      </c>
      <c r="M6923" s="177">
        <f t="shared" si="771"/>
        <v>108.17280000000001</v>
      </c>
      <c r="N6923" s="177">
        <f t="shared" si="772"/>
        <v>261.81818181818181</v>
      </c>
      <c r="O6923" s="175" t="str">
        <f t="shared" si="773"/>
        <v>May</v>
      </c>
      <c r="P6923" s="265">
        <f t="shared" si="774"/>
        <v>22</v>
      </c>
    </row>
    <row r="6924" spans="1:16" ht="15" hidden="1" customHeight="1">
      <c r="A6924" s="489">
        <v>65431089</v>
      </c>
      <c r="B6924" s="489">
        <v>2904</v>
      </c>
      <c r="C6924" s="488">
        <v>45000</v>
      </c>
      <c r="D6924" s="597">
        <v>46153</v>
      </c>
      <c r="E6924" s="489" t="s">
        <v>368</v>
      </c>
      <c r="F6924" s="489" t="s">
        <v>1235</v>
      </c>
      <c r="G6924" s="395">
        <f>VLOOKUP($A6924,'Tech Litons'!$A:$I,8,FALSE)</f>
        <v>3.7839999999999996E-3</v>
      </c>
      <c r="H6924" s="174">
        <f>VLOOKUP($A6924,'Tech Litons'!$A:$I,9,FALSE)</f>
        <v>255</v>
      </c>
      <c r="I6924" s="174" t="str">
        <f>VLOOKUP($A6924,'Tech Litons'!$A:$C,3,0)</f>
        <v>Talenti</v>
      </c>
      <c r="J6924" s="175" t="str">
        <f t="shared" si="769"/>
        <v>2904Talenti</v>
      </c>
      <c r="K6924" s="176">
        <f>VLOOKUP(I6924,'Attain %'!A:B,2,0)</f>
        <v>0.96</v>
      </c>
      <c r="L6924" s="177">
        <f t="shared" si="770"/>
        <v>43200</v>
      </c>
      <c r="M6924" s="177">
        <f t="shared" si="771"/>
        <v>163.46879999999999</v>
      </c>
      <c r="N6924" s="177">
        <f t="shared" si="772"/>
        <v>169.41176470588235</v>
      </c>
      <c r="O6924" s="175" t="str">
        <f t="shared" si="773"/>
        <v>May</v>
      </c>
      <c r="P6924" s="265">
        <f t="shared" si="774"/>
        <v>20</v>
      </c>
    </row>
    <row r="6925" spans="1:16" ht="15" hidden="1" customHeight="1">
      <c r="A6925" s="489">
        <v>65472837</v>
      </c>
      <c r="B6925" s="489">
        <v>3985</v>
      </c>
      <c r="C6925" s="488">
        <v>45000</v>
      </c>
      <c r="D6925" s="597">
        <v>46139</v>
      </c>
      <c r="E6925" s="489" t="s">
        <v>1191</v>
      </c>
      <c r="F6925" s="489" t="s">
        <v>1221</v>
      </c>
      <c r="G6925" s="395">
        <f>VLOOKUP($A6925,'Tech Litons'!$A:$I,8,FALSE)</f>
        <v>1.0400000000000001E-3</v>
      </c>
      <c r="H6925" s="174">
        <f>VLOOKUP($A6925,'Tech Litons'!$A:$I,9,FALSE)</f>
        <v>275</v>
      </c>
      <c r="I6925" s="174" t="str">
        <f>VLOOKUP($A6925,'Tech Litons'!$A:$C,3,0)</f>
        <v>Other</v>
      </c>
      <c r="J6925" s="175" t="str">
        <f t="shared" si="769"/>
        <v>3985Other</v>
      </c>
      <c r="K6925" s="176">
        <f>VLOOKUP(I6925,'Attain %'!A:B,2,0)</f>
        <v>0.96</v>
      </c>
      <c r="L6925" s="177">
        <f t="shared" si="770"/>
        <v>43200</v>
      </c>
      <c r="M6925" s="177">
        <f t="shared" si="771"/>
        <v>44.928000000000004</v>
      </c>
      <c r="N6925" s="177">
        <f t="shared" si="772"/>
        <v>157.09090909090909</v>
      </c>
      <c r="O6925" s="175" t="str">
        <f t="shared" si="773"/>
        <v>Apr</v>
      </c>
      <c r="P6925" s="265">
        <f t="shared" si="774"/>
        <v>18</v>
      </c>
    </row>
    <row r="6926" spans="1:16" ht="15" hidden="1" customHeight="1">
      <c r="A6926" s="489">
        <v>64875812</v>
      </c>
      <c r="B6926" s="489">
        <v>1712</v>
      </c>
      <c r="C6926" s="488">
        <v>45120</v>
      </c>
      <c r="D6926" s="597">
        <v>46174</v>
      </c>
      <c r="E6926" s="489" t="s">
        <v>347</v>
      </c>
      <c r="F6926" s="489" t="s">
        <v>1221</v>
      </c>
      <c r="G6926" s="395">
        <f>VLOOKUP($A6926,'Tech Litons'!$A:$I,8,FALSE)</f>
        <v>6.0000000000000001E-3</v>
      </c>
      <c r="H6926" s="174">
        <f>VLOOKUP($A6926,'Tech Litons'!$A:$I,9,FALSE)</f>
        <v>108</v>
      </c>
      <c r="I6926" s="174" t="str">
        <f>VLOOKUP($A6926,'Tech Litons'!$A:$C,3,0)</f>
        <v>ESS</v>
      </c>
      <c r="J6926" s="175" t="str">
        <f t="shared" si="769"/>
        <v>1712ESS</v>
      </c>
      <c r="K6926" s="176">
        <f>VLOOKUP(I6926,'Attain %'!A:B,2,0)</f>
        <v>0.96</v>
      </c>
      <c r="L6926" s="177">
        <f t="shared" si="770"/>
        <v>43315.199999999997</v>
      </c>
      <c r="M6926" s="177">
        <f t="shared" si="771"/>
        <v>259.89119999999997</v>
      </c>
      <c r="N6926" s="177">
        <f t="shared" si="772"/>
        <v>401.06666666666666</v>
      </c>
      <c r="O6926" s="175" t="str">
        <f t="shared" si="773"/>
        <v>Jun</v>
      </c>
      <c r="P6926" s="265">
        <f t="shared" si="774"/>
        <v>23</v>
      </c>
    </row>
    <row r="6927" spans="1:16" ht="15" hidden="1" customHeight="1">
      <c r="A6927" s="489">
        <v>68300738</v>
      </c>
      <c r="B6927" s="489">
        <v>1352</v>
      </c>
      <c r="C6927" s="488">
        <v>45360</v>
      </c>
      <c r="D6927" s="597">
        <v>46139</v>
      </c>
      <c r="E6927" s="489" t="s">
        <v>325</v>
      </c>
      <c r="F6927" s="489" t="s">
        <v>1212</v>
      </c>
      <c r="G6927" s="395">
        <f>VLOOKUP($A6927,'Tech Litons'!$A:$I,8,FALSE)</f>
        <v>8.4960000000000001E-3</v>
      </c>
      <c r="H6927" s="174">
        <f>VLOOKUP($A6927,'Tech Litons'!$A:$I,9,FALSE)</f>
        <v>132</v>
      </c>
      <c r="I6927" s="174" t="str">
        <f>VLOOKUP($A6927,'Tech Litons'!$A:$C,3,0)</f>
        <v>EDF</v>
      </c>
      <c r="J6927" s="175" t="str">
        <f t="shared" si="769"/>
        <v>1352EDF</v>
      </c>
      <c r="K6927" s="176">
        <f>VLOOKUP(I6927,'Attain %'!A:B,2,0)</f>
        <v>0.96</v>
      </c>
      <c r="L6927" s="177">
        <f t="shared" si="770"/>
        <v>43545.599999999999</v>
      </c>
      <c r="M6927" s="177">
        <f t="shared" si="771"/>
        <v>369.96341760000001</v>
      </c>
      <c r="N6927" s="177">
        <f t="shared" si="772"/>
        <v>329.89090909090908</v>
      </c>
      <c r="O6927" s="175" t="str">
        <f t="shared" si="773"/>
        <v>Apr</v>
      </c>
      <c r="P6927" s="265">
        <f t="shared" si="774"/>
        <v>18</v>
      </c>
    </row>
    <row r="6928" spans="1:16" ht="15" hidden="1" customHeight="1">
      <c r="A6928" s="489">
        <v>68300738</v>
      </c>
      <c r="B6928" s="489">
        <v>1352</v>
      </c>
      <c r="C6928" s="488">
        <v>45360</v>
      </c>
      <c r="D6928" s="597">
        <v>46153</v>
      </c>
      <c r="E6928" s="489" t="s">
        <v>325</v>
      </c>
      <c r="F6928" s="489" t="s">
        <v>1212</v>
      </c>
      <c r="G6928" s="395">
        <f>VLOOKUP($A6928,'Tech Litons'!$A:$I,8,FALSE)</f>
        <v>8.4960000000000001E-3</v>
      </c>
      <c r="H6928" s="174">
        <f>VLOOKUP($A6928,'Tech Litons'!$A:$I,9,FALSE)</f>
        <v>132</v>
      </c>
      <c r="I6928" s="174" t="str">
        <f>VLOOKUP($A6928,'Tech Litons'!$A:$C,3,0)</f>
        <v>EDF</v>
      </c>
      <c r="J6928" s="175" t="str">
        <f t="shared" si="769"/>
        <v>1352EDF</v>
      </c>
      <c r="K6928" s="176">
        <f>VLOOKUP(I6928,'Attain %'!A:B,2,0)</f>
        <v>0.96</v>
      </c>
      <c r="L6928" s="177">
        <f t="shared" si="770"/>
        <v>43545.599999999999</v>
      </c>
      <c r="M6928" s="177">
        <f t="shared" si="771"/>
        <v>369.96341760000001</v>
      </c>
      <c r="N6928" s="177">
        <f t="shared" si="772"/>
        <v>329.89090909090908</v>
      </c>
      <c r="O6928" s="175" t="str">
        <f t="shared" si="773"/>
        <v>May</v>
      </c>
      <c r="P6928" s="265">
        <f t="shared" si="774"/>
        <v>20</v>
      </c>
    </row>
    <row r="6929" spans="1:16" ht="15" hidden="1" customHeight="1">
      <c r="A6929" s="489">
        <v>68300738</v>
      </c>
      <c r="B6929" s="489">
        <v>1352</v>
      </c>
      <c r="C6929" s="488">
        <v>45360</v>
      </c>
      <c r="D6929" s="597">
        <v>46160</v>
      </c>
      <c r="E6929" s="489" t="s">
        <v>325</v>
      </c>
      <c r="F6929" s="489" t="s">
        <v>1212</v>
      </c>
      <c r="G6929" s="395">
        <f>VLOOKUP($A6929,'Tech Litons'!$A:$I,8,FALSE)</f>
        <v>8.4960000000000001E-3</v>
      </c>
      <c r="H6929" s="174">
        <f>VLOOKUP($A6929,'Tech Litons'!$A:$I,9,FALSE)</f>
        <v>132</v>
      </c>
      <c r="I6929" s="174" t="str">
        <f>VLOOKUP($A6929,'Tech Litons'!$A:$C,3,0)</f>
        <v>EDF</v>
      </c>
      <c r="J6929" s="175" t="str">
        <f t="shared" si="769"/>
        <v>1352EDF</v>
      </c>
      <c r="K6929" s="176">
        <f>VLOOKUP(I6929,'Attain %'!A:B,2,0)</f>
        <v>0.96</v>
      </c>
      <c r="L6929" s="177">
        <f t="shared" si="770"/>
        <v>43545.599999999999</v>
      </c>
      <c r="M6929" s="177">
        <f t="shared" si="771"/>
        <v>369.96341760000001</v>
      </c>
      <c r="N6929" s="177">
        <f t="shared" si="772"/>
        <v>329.89090909090908</v>
      </c>
      <c r="O6929" s="175" t="str">
        <f t="shared" si="773"/>
        <v>May</v>
      </c>
      <c r="P6929" s="265">
        <f t="shared" si="774"/>
        <v>21</v>
      </c>
    </row>
    <row r="6930" spans="1:16" ht="15" hidden="1" customHeight="1">
      <c r="A6930" s="489">
        <v>67881629</v>
      </c>
      <c r="B6930" s="489">
        <v>5914</v>
      </c>
      <c r="C6930" s="488">
        <v>45360</v>
      </c>
      <c r="D6930" s="597">
        <v>46146</v>
      </c>
      <c r="E6930" s="489" t="s">
        <v>337</v>
      </c>
      <c r="F6930" s="489" t="s">
        <v>1244</v>
      </c>
      <c r="G6930" s="395">
        <f>VLOOKUP($A6930,'Tech Litons'!$A:$I,8,FALSE)</f>
        <v>3.7853439999999999E-3</v>
      </c>
      <c r="H6930" s="174">
        <f>VLOOKUP($A6930,'Tech Litons'!$A:$I,9,FALSE)</f>
        <v>240</v>
      </c>
      <c r="I6930" s="174" t="str">
        <f>VLOOKUP($A6930,'Tech Litons'!$A:$C,3,0)</f>
        <v>BJ PTS</v>
      </c>
      <c r="J6930" s="175" t="str">
        <f t="shared" si="769"/>
        <v>5914BJ PTS</v>
      </c>
      <c r="K6930" s="176">
        <f>VLOOKUP(I6930,'Attain %'!A:B,2,0)</f>
        <v>0.95</v>
      </c>
      <c r="L6930" s="177">
        <f t="shared" si="770"/>
        <v>43092</v>
      </c>
      <c r="M6930" s="177">
        <f t="shared" si="771"/>
        <v>163.118043648</v>
      </c>
      <c r="N6930" s="177">
        <f t="shared" si="772"/>
        <v>179.55</v>
      </c>
      <c r="O6930" s="175" t="str">
        <f t="shared" si="773"/>
        <v>May</v>
      </c>
      <c r="P6930" s="265">
        <f t="shared" si="774"/>
        <v>19</v>
      </c>
    </row>
    <row r="6931" spans="1:16" ht="15" hidden="1" customHeight="1">
      <c r="A6931" s="489">
        <v>62714126</v>
      </c>
      <c r="B6931" s="489" t="s">
        <v>133</v>
      </c>
      <c r="C6931" s="488">
        <v>45500</v>
      </c>
      <c r="D6931" s="597">
        <v>46195</v>
      </c>
      <c r="E6931" s="489" t="s">
        <v>402</v>
      </c>
      <c r="F6931" s="489" t="s">
        <v>1223</v>
      </c>
      <c r="G6931" s="395">
        <f>VLOOKUP($A6931,'Tech Litons'!$A:$I,8,FALSE)</f>
        <v>5.2680000000000001E-3</v>
      </c>
      <c r="H6931" s="174">
        <f>VLOOKUP($A6931,'Tech Litons'!$A:$I,9,FALSE)</f>
        <v>130</v>
      </c>
      <c r="I6931" s="174" t="str">
        <f>VLOOKUP($A6931,'Tech Litons'!$A:$C,3,0)</f>
        <v>PG</v>
      </c>
      <c r="J6931" s="175" t="str">
        <f t="shared" si="769"/>
        <v>GDIPG</v>
      </c>
      <c r="K6931" s="176">
        <f>VLOOKUP(I6931,'Attain %'!A:B,2,0)</f>
        <v>0.96</v>
      </c>
      <c r="L6931" s="177">
        <f t="shared" si="770"/>
        <v>43680</v>
      </c>
      <c r="M6931" s="177">
        <f t="shared" si="771"/>
        <v>230.10624000000001</v>
      </c>
      <c r="N6931" s="177">
        <f t="shared" si="772"/>
        <v>336</v>
      </c>
      <c r="O6931" s="175" t="str">
        <f t="shared" si="773"/>
        <v>Jun</v>
      </c>
      <c r="P6931" s="265">
        <f t="shared" si="774"/>
        <v>26</v>
      </c>
    </row>
    <row r="6932" spans="1:16" ht="15" hidden="1" customHeight="1">
      <c r="A6932" s="489">
        <v>64394598</v>
      </c>
      <c r="B6932" s="489">
        <v>2904</v>
      </c>
      <c r="C6932" s="488">
        <v>46200</v>
      </c>
      <c r="D6932" s="597">
        <v>46132</v>
      </c>
      <c r="E6932" s="489" t="s">
        <v>451</v>
      </c>
      <c r="F6932" s="489" t="s">
        <v>1229</v>
      </c>
      <c r="G6932" s="395">
        <f>VLOOKUP($A6932,'Tech Litons'!$A:$I,8,FALSE)</f>
        <v>3.4159999999999998E-3</v>
      </c>
      <c r="H6932" s="174">
        <f>VLOOKUP($A6932,'Tech Litons'!$A:$I,9,FALSE)</f>
        <v>240</v>
      </c>
      <c r="I6932" s="174" t="str">
        <f>VLOOKUP($A6932,'Tech Litons'!$A:$C,3,0)</f>
        <v>Sundaes</v>
      </c>
      <c r="J6932" s="175" t="str">
        <f t="shared" si="769"/>
        <v>2904Sundaes</v>
      </c>
      <c r="K6932" s="176">
        <f>VLOOKUP(I6932,'Attain %'!A:B,2,0)</f>
        <v>0.96</v>
      </c>
      <c r="L6932" s="177">
        <f t="shared" si="770"/>
        <v>44352</v>
      </c>
      <c r="M6932" s="177">
        <f t="shared" si="771"/>
        <v>151.50643199999999</v>
      </c>
      <c r="N6932" s="177">
        <f t="shared" si="772"/>
        <v>184.8</v>
      </c>
      <c r="O6932" s="175" t="str">
        <f t="shared" si="773"/>
        <v>Apr</v>
      </c>
      <c r="P6932" s="265">
        <f t="shared" si="774"/>
        <v>17</v>
      </c>
    </row>
    <row r="6933" spans="1:16" ht="15" hidden="1" customHeight="1">
      <c r="A6933" s="489">
        <v>64984152</v>
      </c>
      <c r="B6933" s="489">
        <v>2904</v>
      </c>
      <c r="C6933" s="488">
        <v>46200</v>
      </c>
      <c r="D6933" s="597">
        <v>46153</v>
      </c>
      <c r="E6933" s="489" t="s">
        <v>396</v>
      </c>
      <c r="F6933" s="489" t="s">
        <v>1229</v>
      </c>
      <c r="G6933" s="395">
        <f>VLOOKUP($A6933,'Tech Litons'!$A:$I,8,FALSE)</f>
        <v>3.4159999999999998E-3</v>
      </c>
      <c r="H6933" s="174">
        <f>VLOOKUP($A6933,'Tech Litons'!$A:$I,9,FALSE)</f>
        <v>240</v>
      </c>
      <c r="I6933" s="174" t="str">
        <f>VLOOKUP($A6933,'Tech Litons'!$A:$C,3,0)</f>
        <v>Sundaes</v>
      </c>
      <c r="J6933" s="175" t="str">
        <f t="shared" si="769"/>
        <v>2904Sundaes</v>
      </c>
      <c r="K6933" s="176">
        <f>VLOOKUP(I6933,'Attain %'!A:B,2,0)</f>
        <v>0.96</v>
      </c>
      <c r="L6933" s="177">
        <f t="shared" si="770"/>
        <v>44352</v>
      </c>
      <c r="M6933" s="177">
        <f t="shared" si="771"/>
        <v>151.50643199999999</v>
      </c>
      <c r="N6933" s="177">
        <f t="shared" si="772"/>
        <v>184.8</v>
      </c>
      <c r="O6933" s="175" t="str">
        <f t="shared" si="773"/>
        <v>May</v>
      </c>
      <c r="P6933" s="265">
        <f t="shared" si="774"/>
        <v>20</v>
      </c>
    </row>
    <row r="6934" spans="1:16" ht="15" hidden="1" customHeight="1">
      <c r="A6934" s="489">
        <v>68649095</v>
      </c>
      <c r="B6934" s="489">
        <v>2904</v>
      </c>
      <c r="C6934" s="488">
        <v>46200</v>
      </c>
      <c r="D6934" s="597">
        <v>46111</v>
      </c>
      <c r="E6934" s="489" t="s">
        <v>294</v>
      </c>
      <c r="F6934" s="489" t="s">
        <v>1229</v>
      </c>
      <c r="G6934" s="395">
        <f>VLOOKUP($A6934,'Tech Litons'!$A:$I,8,FALSE)</f>
        <v>3.5999999999999999E-3</v>
      </c>
      <c r="H6934" s="174">
        <f>VLOOKUP($A6934,'Tech Litons'!$A:$I,9,FALSE)</f>
        <v>240</v>
      </c>
      <c r="I6934" s="174" t="str">
        <f>VLOOKUP($A6934,'Tech Litons'!$A:$C,3,0)</f>
        <v>Topped</v>
      </c>
      <c r="J6934" s="175" t="str">
        <f t="shared" si="769"/>
        <v>2904Topped</v>
      </c>
      <c r="K6934" s="176">
        <f>VLOOKUP(I6934,'Attain %'!A:B,2,0)</f>
        <v>0.96</v>
      </c>
      <c r="L6934" s="177">
        <f t="shared" si="770"/>
        <v>44352</v>
      </c>
      <c r="M6934" s="177">
        <f t="shared" si="771"/>
        <v>159.66720000000001</v>
      </c>
      <c r="N6934" s="177">
        <f t="shared" si="772"/>
        <v>184.8</v>
      </c>
      <c r="O6934" s="175" t="str">
        <f t="shared" si="773"/>
        <v>Mar</v>
      </c>
      <c r="P6934" s="265">
        <f t="shared" si="774"/>
        <v>14</v>
      </c>
    </row>
    <row r="6935" spans="1:16" ht="15" hidden="1" customHeight="1">
      <c r="A6935" s="489">
        <v>64341108</v>
      </c>
      <c r="B6935" s="489" t="s">
        <v>139</v>
      </c>
      <c r="C6935" s="488">
        <v>46200</v>
      </c>
      <c r="D6935" s="597">
        <v>46125</v>
      </c>
      <c r="E6935" s="489" t="s">
        <v>615</v>
      </c>
      <c r="F6935" s="489" t="s">
        <v>1223</v>
      </c>
      <c r="G6935" s="395">
        <f>VLOOKUP($A6935,'Tech Litons'!$A:$I,8,FALSE)</f>
        <v>2.3599999999999997E-3</v>
      </c>
      <c r="H6935" s="174">
        <f>VLOOKUP($A6935,'Tech Litons'!$A:$I,9,FALSE)</f>
        <v>210</v>
      </c>
      <c r="I6935" s="174" t="str">
        <f>VLOOKUP($A6935,'Tech Litons'!$A:$C,3,0)</f>
        <v>Facepieces</v>
      </c>
      <c r="J6935" s="175" t="str">
        <f t="shared" si="769"/>
        <v>IncomFacepieces</v>
      </c>
      <c r="K6935" s="176">
        <f>VLOOKUP(I6935,'Attain %'!A:B,2,0)</f>
        <v>0.96</v>
      </c>
      <c r="L6935" s="177">
        <f t="shared" si="770"/>
        <v>44352</v>
      </c>
      <c r="M6935" s="177">
        <f t="shared" si="771"/>
        <v>104.67071999999999</v>
      </c>
      <c r="N6935" s="177">
        <f t="shared" si="772"/>
        <v>211.2</v>
      </c>
      <c r="O6935" s="175" t="str">
        <f t="shared" si="773"/>
        <v>Apr</v>
      </c>
      <c r="P6935" s="265">
        <f t="shared" si="774"/>
        <v>16</v>
      </c>
    </row>
    <row r="6936" spans="1:16" ht="15" hidden="1" customHeight="1">
      <c r="A6936" s="489">
        <v>64771677</v>
      </c>
      <c r="B6936" s="489" t="s">
        <v>139</v>
      </c>
      <c r="C6936" s="488">
        <v>46640</v>
      </c>
      <c r="D6936" s="597">
        <v>46139</v>
      </c>
      <c r="E6936" s="489" t="s">
        <v>620</v>
      </c>
      <c r="F6936" s="489" t="s">
        <v>1223</v>
      </c>
      <c r="G6936" s="395">
        <f>VLOOKUP($A6936,'Tech Litons'!$A:$I,8,FALSE)</f>
        <v>2.16E-3</v>
      </c>
      <c r="H6936" s="174">
        <f>VLOOKUP($A6936,'Tech Litons'!$A:$I,9,FALSE)</f>
        <v>195</v>
      </c>
      <c r="I6936" s="174" t="str">
        <f>VLOOKUP($A6936,'Tech Litons'!$A:$C,3,0)</f>
        <v>Facepieces</v>
      </c>
      <c r="J6936" s="175" t="str">
        <f t="shared" si="769"/>
        <v>IncomFacepieces</v>
      </c>
      <c r="K6936" s="176">
        <f>VLOOKUP(I6936,'Attain %'!A:B,2,0)</f>
        <v>0.96</v>
      </c>
      <c r="L6936" s="177">
        <f t="shared" si="770"/>
        <v>44774.400000000001</v>
      </c>
      <c r="M6936" s="177">
        <f t="shared" si="771"/>
        <v>96.712704000000002</v>
      </c>
      <c r="N6936" s="177">
        <f t="shared" si="772"/>
        <v>229.6123076923077</v>
      </c>
      <c r="O6936" s="175" t="str">
        <f t="shared" si="773"/>
        <v>Apr</v>
      </c>
      <c r="P6936" s="265">
        <f t="shared" si="774"/>
        <v>18</v>
      </c>
    </row>
    <row r="6937" spans="1:16" ht="15" hidden="1" customHeight="1">
      <c r="A6937" s="489">
        <v>68860059</v>
      </c>
      <c r="B6937" s="489">
        <v>2904</v>
      </c>
      <c r="C6937" s="488">
        <v>46800</v>
      </c>
      <c r="D6937" s="597">
        <v>46125</v>
      </c>
      <c r="E6937" s="489" t="s">
        <v>319</v>
      </c>
      <c r="F6937" s="489" t="s">
        <v>1235</v>
      </c>
      <c r="G6937" s="395">
        <f>VLOOKUP($A6937,'Tech Litons'!$A:$I,8,FALSE)</f>
        <v>3.7839999999999996E-3</v>
      </c>
      <c r="H6937" s="174">
        <f>VLOOKUP($A6937,'Tech Litons'!$A:$I,9,FALSE)</f>
        <v>255</v>
      </c>
      <c r="I6937" s="174" t="str">
        <f>VLOOKUP($A6937,'Tech Litons'!$A:$C,3,0)</f>
        <v>Talenti</v>
      </c>
      <c r="J6937" s="175" t="str">
        <f t="shared" si="769"/>
        <v>2904Talenti</v>
      </c>
      <c r="K6937" s="176">
        <f>VLOOKUP(I6937,'Attain %'!A:B,2,0)</f>
        <v>0.96</v>
      </c>
      <c r="L6937" s="177">
        <f t="shared" si="770"/>
        <v>44928</v>
      </c>
      <c r="M6937" s="177">
        <f t="shared" si="771"/>
        <v>170.00755199999998</v>
      </c>
      <c r="N6937" s="177">
        <f t="shared" si="772"/>
        <v>176.18823529411765</v>
      </c>
      <c r="O6937" s="175" t="str">
        <f t="shared" si="773"/>
        <v>Apr</v>
      </c>
      <c r="P6937" s="265">
        <f t="shared" si="774"/>
        <v>16</v>
      </c>
    </row>
    <row r="6938" spans="1:16" ht="15" hidden="1" customHeight="1">
      <c r="A6938" s="489">
        <v>68860059</v>
      </c>
      <c r="B6938" s="489">
        <v>2904</v>
      </c>
      <c r="C6938" s="488">
        <v>46800</v>
      </c>
      <c r="D6938" s="597">
        <v>46146</v>
      </c>
      <c r="E6938" s="489" t="s">
        <v>319</v>
      </c>
      <c r="F6938" s="489" t="s">
        <v>1235</v>
      </c>
      <c r="G6938" s="395">
        <f>VLOOKUP($A6938,'Tech Litons'!$A:$I,8,FALSE)</f>
        <v>3.7839999999999996E-3</v>
      </c>
      <c r="H6938" s="174">
        <f>VLOOKUP($A6938,'Tech Litons'!$A:$I,9,FALSE)</f>
        <v>255</v>
      </c>
      <c r="I6938" s="174" t="str">
        <f>VLOOKUP($A6938,'Tech Litons'!$A:$C,3,0)</f>
        <v>Talenti</v>
      </c>
      <c r="J6938" s="175" t="str">
        <f t="shared" si="769"/>
        <v>2904Talenti</v>
      </c>
      <c r="K6938" s="176">
        <f>VLOOKUP(I6938,'Attain %'!A:B,2,0)</f>
        <v>0.96</v>
      </c>
      <c r="L6938" s="177">
        <f t="shared" si="770"/>
        <v>44928</v>
      </c>
      <c r="M6938" s="177">
        <f t="shared" si="771"/>
        <v>170.00755199999998</v>
      </c>
      <c r="N6938" s="177">
        <f t="shared" si="772"/>
        <v>176.18823529411765</v>
      </c>
      <c r="O6938" s="175" t="str">
        <f t="shared" si="773"/>
        <v>May</v>
      </c>
      <c r="P6938" s="265">
        <f t="shared" si="774"/>
        <v>19</v>
      </c>
    </row>
    <row r="6939" spans="1:16" ht="15" hidden="1" customHeight="1">
      <c r="A6939" s="489">
        <v>64833353</v>
      </c>
      <c r="B6939" s="489" t="s">
        <v>133</v>
      </c>
      <c r="C6939" s="488">
        <v>46800</v>
      </c>
      <c r="D6939" s="597">
        <v>46174</v>
      </c>
      <c r="E6939" s="489" t="s">
        <v>358</v>
      </c>
      <c r="F6939" s="489" t="s">
        <v>1223</v>
      </c>
      <c r="G6939" s="395">
        <f>VLOOKUP($A6939,'Tech Litons'!$A:$I,8,FALSE)</f>
        <v>5.28E-3</v>
      </c>
      <c r="H6939" s="174">
        <f>VLOOKUP($A6939,'Tech Litons'!$A:$I,9,FALSE)</f>
        <v>130</v>
      </c>
      <c r="I6939" s="174" t="str">
        <f>VLOOKUP($A6939,'Tech Litons'!$A:$C,3,0)</f>
        <v>PG</v>
      </c>
      <c r="J6939" s="175" t="str">
        <f t="shared" si="769"/>
        <v>GDIPG</v>
      </c>
      <c r="K6939" s="176">
        <f>VLOOKUP(I6939,'Attain %'!A:B,2,0)</f>
        <v>0.96</v>
      </c>
      <c r="L6939" s="177">
        <f t="shared" si="770"/>
        <v>44928</v>
      </c>
      <c r="M6939" s="177">
        <f t="shared" si="771"/>
        <v>237.21984</v>
      </c>
      <c r="N6939" s="177">
        <f t="shared" si="772"/>
        <v>345.6</v>
      </c>
      <c r="O6939" s="175" t="str">
        <f t="shared" si="773"/>
        <v>Jun</v>
      </c>
      <c r="P6939" s="265">
        <f t="shared" si="774"/>
        <v>23</v>
      </c>
    </row>
    <row r="6940" spans="1:16" ht="15" hidden="1" customHeight="1">
      <c r="A6940" s="489">
        <v>64341109</v>
      </c>
      <c r="B6940" s="489" t="s">
        <v>139</v>
      </c>
      <c r="C6940" s="488">
        <v>46800</v>
      </c>
      <c r="D6940" s="597">
        <v>46181</v>
      </c>
      <c r="E6940" s="489" t="s">
        <v>616</v>
      </c>
      <c r="F6940" s="489" t="s">
        <v>1223</v>
      </c>
      <c r="G6940" s="395">
        <f>VLOOKUP($A6940,'Tech Litons'!$A:$I,8,FALSE)</f>
        <v>2E-3</v>
      </c>
      <c r="H6940" s="174">
        <f>VLOOKUP($A6940,'Tech Litons'!$A:$I,9,FALSE)</f>
        <v>210</v>
      </c>
      <c r="I6940" s="174" t="str">
        <f>VLOOKUP($A6940,'Tech Litons'!$A:$C,3,0)</f>
        <v>Facepieces</v>
      </c>
      <c r="J6940" s="175" t="str">
        <f t="shared" si="769"/>
        <v>IncomFacepieces</v>
      </c>
      <c r="K6940" s="176">
        <f>VLOOKUP(I6940,'Attain %'!A:B,2,0)</f>
        <v>0.96</v>
      </c>
      <c r="L6940" s="177">
        <f t="shared" si="770"/>
        <v>44928</v>
      </c>
      <c r="M6940" s="177">
        <f t="shared" si="771"/>
        <v>89.856000000000009</v>
      </c>
      <c r="N6940" s="177">
        <f t="shared" si="772"/>
        <v>213.94285714285715</v>
      </c>
      <c r="O6940" s="175" t="str">
        <f t="shared" si="773"/>
        <v>Jun</v>
      </c>
      <c r="P6940" s="265">
        <f t="shared" si="774"/>
        <v>24</v>
      </c>
    </row>
    <row r="6941" spans="1:16" ht="15" hidden="1" customHeight="1">
      <c r="A6941" s="489">
        <v>68860061</v>
      </c>
      <c r="B6941" s="489">
        <v>2904</v>
      </c>
      <c r="C6941" s="488">
        <v>47300</v>
      </c>
      <c r="D6941" s="597">
        <v>46125</v>
      </c>
      <c r="E6941" s="489" t="s">
        <v>452</v>
      </c>
      <c r="F6941" s="489" t="s">
        <v>1228</v>
      </c>
      <c r="G6941" s="395">
        <f>VLOOKUP($A6941,'Tech Litons'!$A:$I,8,FALSE)</f>
        <v>3.552E-3</v>
      </c>
      <c r="H6941" s="174">
        <f>VLOOKUP($A6941,'Tech Litons'!$A:$I,9,FALSE)</f>
        <v>255</v>
      </c>
      <c r="I6941" s="174" t="str">
        <f>VLOOKUP($A6941,'Tech Litons'!$A:$C,3,0)</f>
        <v>Talenti</v>
      </c>
      <c r="J6941" s="175" t="str">
        <f t="shared" si="769"/>
        <v>2904Talenti</v>
      </c>
      <c r="K6941" s="176">
        <f>VLOOKUP(I6941,'Attain %'!A:B,2,0)</f>
        <v>0.96</v>
      </c>
      <c r="L6941" s="177">
        <f t="shared" si="770"/>
        <v>45408</v>
      </c>
      <c r="M6941" s="177">
        <f t="shared" si="771"/>
        <v>161.28921600000001</v>
      </c>
      <c r="N6941" s="177">
        <f t="shared" si="772"/>
        <v>178.07058823529411</v>
      </c>
      <c r="O6941" s="175" t="str">
        <f t="shared" si="773"/>
        <v>Apr</v>
      </c>
      <c r="P6941" s="265">
        <f t="shared" si="774"/>
        <v>16</v>
      </c>
    </row>
    <row r="6942" spans="1:16" ht="15" hidden="1" customHeight="1">
      <c r="A6942" s="489">
        <v>68867755</v>
      </c>
      <c r="B6942" s="489">
        <v>2904</v>
      </c>
      <c r="C6942" s="488">
        <v>47300</v>
      </c>
      <c r="D6942" s="597">
        <v>46118</v>
      </c>
      <c r="E6942" s="489" t="s">
        <v>274</v>
      </c>
      <c r="F6942" s="489" t="s">
        <v>1228</v>
      </c>
      <c r="G6942" s="395">
        <f>VLOOKUP($A6942,'Tech Litons'!$A:$I,8,FALSE)</f>
        <v>3.552E-3</v>
      </c>
      <c r="H6942" s="174">
        <f>VLOOKUP($A6942,'Tech Litons'!$A:$I,9,FALSE)</f>
        <v>255</v>
      </c>
      <c r="I6942" s="174" t="str">
        <f>VLOOKUP($A6942,'Tech Litons'!$A:$C,3,0)</f>
        <v>Talenti</v>
      </c>
      <c r="J6942" s="175" t="str">
        <f t="shared" si="769"/>
        <v>2904Talenti</v>
      </c>
      <c r="K6942" s="176">
        <f>VLOOKUP(I6942,'Attain %'!A:B,2,0)</f>
        <v>0.96</v>
      </c>
      <c r="L6942" s="177">
        <f t="shared" si="770"/>
        <v>45408</v>
      </c>
      <c r="M6942" s="177">
        <f t="shared" si="771"/>
        <v>161.28921600000001</v>
      </c>
      <c r="N6942" s="177">
        <f t="shared" si="772"/>
        <v>178.07058823529411</v>
      </c>
      <c r="O6942" s="175" t="str">
        <f t="shared" si="773"/>
        <v>Apr</v>
      </c>
      <c r="P6942" s="265">
        <f t="shared" si="774"/>
        <v>15</v>
      </c>
    </row>
    <row r="6943" spans="1:16" ht="15" hidden="1" customHeight="1">
      <c r="A6943" s="489">
        <v>68689251</v>
      </c>
      <c r="B6943" s="489">
        <v>1352</v>
      </c>
      <c r="C6943" s="488">
        <v>47880</v>
      </c>
      <c r="D6943" s="597">
        <v>46167</v>
      </c>
      <c r="E6943" s="489" t="s">
        <v>262</v>
      </c>
      <c r="F6943" s="489" t="s">
        <v>1214</v>
      </c>
      <c r="G6943" s="395">
        <f>VLOOKUP($A6943,'Tech Litons'!$A:$I,8,FALSE)</f>
        <v>9.5760000000000012E-3</v>
      </c>
      <c r="H6943" s="174">
        <f>VLOOKUP($A6943,'Tech Litons'!$A:$I,9,FALSE)</f>
        <v>132</v>
      </c>
      <c r="I6943" s="174" t="str">
        <f>VLOOKUP($A6943,'Tech Litons'!$A:$C,3,0)</f>
        <v>EDF</v>
      </c>
      <c r="J6943" s="175" t="str">
        <f t="shared" si="769"/>
        <v>1352EDF</v>
      </c>
      <c r="K6943" s="176">
        <f>VLOOKUP(I6943,'Attain %'!A:B,2,0)</f>
        <v>0.96</v>
      </c>
      <c r="L6943" s="177">
        <f t="shared" si="770"/>
        <v>45964.799999999996</v>
      </c>
      <c r="M6943" s="177">
        <f t="shared" si="771"/>
        <v>440.15892480000002</v>
      </c>
      <c r="N6943" s="177">
        <f t="shared" si="772"/>
        <v>348.21818181818179</v>
      </c>
      <c r="O6943" s="175" t="str">
        <f t="shared" si="773"/>
        <v>May</v>
      </c>
      <c r="P6943" s="265">
        <f t="shared" si="774"/>
        <v>22</v>
      </c>
    </row>
    <row r="6944" spans="1:16" ht="15" hidden="1" customHeight="1">
      <c r="A6944" s="489">
        <v>68746232</v>
      </c>
      <c r="B6944" s="489">
        <v>1352</v>
      </c>
      <c r="C6944" s="488">
        <v>47880</v>
      </c>
      <c r="D6944" s="597">
        <v>46167</v>
      </c>
      <c r="E6944" s="489" t="s">
        <v>508</v>
      </c>
      <c r="F6944" s="489" t="s">
        <v>1210</v>
      </c>
      <c r="G6944" s="395">
        <f>VLOOKUP($A6944,'Tech Litons'!$A:$I,8,FALSE)</f>
        <v>8.5199999999999998E-3</v>
      </c>
      <c r="H6944" s="174">
        <f>VLOOKUP($A6944,'Tech Litons'!$A:$I,9,FALSE)</f>
        <v>132</v>
      </c>
      <c r="I6944" s="174" t="str">
        <f>VLOOKUP($A6944,'Tech Litons'!$A:$C,3,0)</f>
        <v>EDF</v>
      </c>
      <c r="J6944" s="175" t="str">
        <f t="shared" si="769"/>
        <v>1352EDF</v>
      </c>
      <c r="K6944" s="176">
        <f>VLOOKUP(I6944,'Attain %'!A:B,2,0)</f>
        <v>0.96</v>
      </c>
      <c r="L6944" s="177">
        <f t="shared" si="770"/>
        <v>45964.799999999996</v>
      </c>
      <c r="M6944" s="177">
        <f t="shared" si="771"/>
        <v>391.62009599999993</v>
      </c>
      <c r="N6944" s="177">
        <f t="shared" si="772"/>
        <v>348.21818181818179</v>
      </c>
      <c r="O6944" s="175" t="str">
        <f t="shared" si="773"/>
        <v>May</v>
      </c>
      <c r="P6944" s="265">
        <f t="shared" si="774"/>
        <v>22</v>
      </c>
    </row>
    <row r="6945" spans="1:16" ht="15" hidden="1" customHeight="1">
      <c r="A6945" s="489">
        <v>69717801</v>
      </c>
      <c r="B6945" s="489">
        <v>2904</v>
      </c>
      <c r="C6945" s="488">
        <v>47950</v>
      </c>
      <c r="D6945" s="597">
        <v>46139</v>
      </c>
      <c r="E6945" s="489" t="s">
        <v>509</v>
      </c>
      <c r="F6945" s="489" t="s">
        <v>1240</v>
      </c>
      <c r="G6945" s="395">
        <f>VLOOKUP($A6945,'Tech Litons'!$A:$I,8,FALSE)</f>
        <v>4.2560000000000002E-3</v>
      </c>
      <c r="H6945" s="174">
        <f>VLOOKUP($A6945,'Tech Litons'!$A:$I,9,FALSE)</f>
        <v>143</v>
      </c>
      <c r="I6945" s="174" t="str">
        <f>VLOOKUP($A6945,'Tech Litons'!$A:$C,3,0)</f>
        <v>MG Sticks</v>
      </c>
      <c r="J6945" s="175" t="str">
        <f t="shared" si="769"/>
        <v>2904MG Sticks</v>
      </c>
      <c r="K6945" s="176">
        <f>VLOOKUP(I6945,'Attain %'!A:B,2,0)</f>
        <v>0.96</v>
      </c>
      <c r="L6945" s="177">
        <f t="shared" si="770"/>
        <v>46032</v>
      </c>
      <c r="M6945" s="177">
        <f t="shared" si="771"/>
        <v>195.912192</v>
      </c>
      <c r="N6945" s="177">
        <f t="shared" si="772"/>
        <v>321.90209790209792</v>
      </c>
      <c r="O6945" s="175" t="str">
        <f t="shared" si="773"/>
        <v>Apr</v>
      </c>
      <c r="P6945" s="265">
        <f t="shared" si="774"/>
        <v>18</v>
      </c>
    </row>
    <row r="6946" spans="1:16" ht="15" hidden="1" customHeight="1">
      <c r="A6946" s="489">
        <v>69717801</v>
      </c>
      <c r="B6946" s="489">
        <v>2904</v>
      </c>
      <c r="C6946" s="488">
        <v>47950</v>
      </c>
      <c r="D6946" s="597">
        <v>46146</v>
      </c>
      <c r="E6946" s="489" t="s">
        <v>509</v>
      </c>
      <c r="F6946" s="489" t="s">
        <v>1240</v>
      </c>
      <c r="G6946" s="395">
        <f>VLOOKUP($A6946,'Tech Litons'!$A:$I,8,FALSE)</f>
        <v>4.2560000000000002E-3</v>
      </c>
      <c r="H6946" s="174">
        <f>VLOOKUP($A6946,'Tech Litons'!$A:$I,9,FALSE)</f>
        <v>143</v>
      </c>
      <c r="I6946" s="174" t="str">
        <f>VLOOKUP($A6946,'Tech Litons'!$A:$C,3,0)</f>
        <v>MG Sticks</v>
      </c>
      <c r="J6946" s="175" t="str">
        <f t="shared" si="769"/>
        <v>2904MG Sticks</v>
      </c>
      <c r="K6946" s="176">
        <f>VLOOKUP(I6946,'Attain %'!A:B,2,0)</f>
        <v>0.96</v>
      </c>
      <c r="L6946" s="177">
        <f t="shared" si="770"/>
        <v>46032</v>
      </c>
      <c r="M6946" s="177">
        <f t="shared" si="771"/>
        <v>195.912192</v>
      </c>
      <c r="N6946" s="177">
        <f t="shared" si="772"/>
        <v>321.90209790209792</v>
      </c>
      <c r="O6946" s="175" t="str">
        <f t="shared" si="773"/>
        <v>May</v>
      </c>
      <c r="P6946" s="265">
        <f t="shared" si="774"/>
        <v>19</v>
      </c>
    </row>
    <row r="6947" spans="1:16" ht="15" hidden="1" customHeight="1">
      <c r="A6947" s="489">
        <v>69717803</v>
      </c>
      <c r="B6947" s="489">
        <v>2904</v>
      </c>
      <c r="C6947" s="488">
        <v>47950</v>
      </c>
      <c r="D6947" s="597">
        <v>46153</v>
      </c>
      <c r="E6947" s="489" t="s">
        <v>362</v>
      </c>
      <c r="F6947" s="489" t="s">
        <v>1240</v>
      </c>
      <c r="G6947" s="395">
        <f>VLOOKUP($A6947,'Tech Litons'!$A:$I,8,FALSE)</f>
        <v>4.2560000000000002E-3</v>
      </c>
      <c r="H6947" s="174">
        <f>VLOOKUP($A6947,'Tech Litons'!$A:$I,9,FALSE)</f>
        <v>143</v>
      </c>
      <c r="I6947" s="174" t="str">
        <f>VLOOKUP($A6947,'Tech Litons'!$A:$C,3,0)</f>
        <v>MG Sticks</v>
      </c>
      <c r="J6947" s="175" t="str">
        <f t="shared" si="769"/>
        <v>2904MG Sticks</v>
      </c>
      <c r="K6947" s="176">
        <f>VLOOKUP(I6947,'Attain %'!A:B,2,0)</f>
        <v>0.96</v>
      </c>
      <c r="L6947" s="177">
        <f t="shared" si="770"/>
        <v>46032</v>
      </c>
      <c r="M6947" s="177">
        <f t="shared" si="771"/>
        <v>195.912192</v>
      </c>
      <c r="N6947" s="177">
        <f t="shared" si="772"/>
        <v>321.90209790209792</v>
      </c>
      <c r="O6947" s="175" t="str">
        <f t="shared" si="773"/>
        <v>May</v>
      </c>
      <c r="P6947" s="265">
        <f t="shared" si="774"/>
        <v>20</v>
      </c>
    </row>
    <row r="6948" spans="1:16" ht="15" hidden="1" customHeight="1">
      <c r="A6948" s="489">
        <v>69717803</v>
      </c>
      <c r="B6948" s="489">
        <v>2904</v>
      </c>
      <c r="C6948" s="488">
        <v>47950</v>
      </c>
      <c r="D6948" s="597">
        <v>46160</v>
      </c>
      <c r="E6948" s="489" t="s">
        <v>362</v>
      </c>
      <c r="F6948" s="489" t="s">
        <v>1240</v>
      </c>
      <c r="G6948" s="395">
        <f>VLOOKUP($A6948,'Tech Litons'!$A:$I,8,FALSE)</f>
        <v>4.2560000000000002E-3</v>
      </c>
      <c r="H6948" s="174">
        <f>VLOOKUP($A6948,'Tech Litons'!$A:$I,9,FALSE)</f>
        <v>143</v>
      </c>
      <c r="I6948" s="174" t="str">
        <f>VLOOKUP($A6948,'Tech Litons'!$A:$C,3,0)</f>
        <v>MG Sticks</v>
      </c>
      <c r="J6948" s="175" t="str">
        <f t="shared" si="769"/>
        <v>2904MG Sticks</v>
      </c>
      <c r="K6948" s="176">
        <f>VLOOKUP(I6948,'Attain %'!A:B,2,0)</f>
        <v>0.96</v>
      </c>
      <c r="L6948" s="177">
        <f t="shared" si="770"/>
        <v>46032</v>
      </c>
      <c r="M6948" s="177">
        <f t="shared" si="771"/>
        <v>195.912192</v>
      </c>
      <c r="N6948" s="177">
        <f t="shared" si="772"/>
        <v>321.90209790209792</v>
      </c>
      <c r="O6948" s="175" t="str">
        <f t="shared" si="773"/>
        <v>May</v>
      </c>
      <c r="P6948" s="265">
        <f t="shared" si="774"/>
        <v>21</v>
      </c>
    </row>
    <row r="6949" spans="1:16" ht="15" hidden="1" customHeight="1">
      <c r="A6949" s="489">
        <v>69797468</v>
      </c>
      <c r="B6949" s="489">
        <v>2904</v>
      </c>
      <c r="C6949" s="488">
        <v>47950</v>
      </c>
      <c r="D6949" s="597">
        <v>46167</v>
      </c>
      <c r="E6949" s="489" t="s">
        <v>545</v>
      </c>
      <c r="F6949" s="489" t="s">
        <v>1240</v>
      </c>
      <c r="G6949" s="395">
        <f>VLOOKUP($A6949,'Tech Litons'!$A:$I,8,FALSE)</f>
        <v>4.2560000000000002E-3</v>
      </c>
      <c r="H6949" s="174">
        <f>VLOOKUP($A6949,'Tech Litons'!$A:$I,9,FALSE)</f>
        <v>143</v>
      </c>
      <c r="I6949" s="174" t="str">
        <f>VLOOKUP($A6949,'Tech Litons'!$A:$C,3,0)</f>
        <v>MG Sticks</v>
      </c>
      <c r="J6949" s="175" t="str">
        <f t="shared" si="769"/>
        <v>2904MG Sticks</v>
      </c>
      <c r="K6949" s="176">
        <f>VLOOKUP(I6949,'Attain %'!A:B,2,0)</f>
        <v>0.96</v>
      </c>
      <c r="L6949" s="177">
        <f t="shared" si="770"/>
        <v>46032</v>
      </c>
      <c r="M6949" s="177">
        <f t="shared" si="771"/>
        <v>195.912192</v>
      </c>
      <c r="N6949" s="177">
        <f t="shared" si="772"/>
        <v>321.90209790209792</v>
      </c>
      <c r="O6949" s="175" t="str">
        <f t="shared" si="773"/>
        <v>May</v>
      </c>
      <c r="P6949" s="265">
        <f t="shared" si="774"/>
        <v>22</v>
      </c>
    </row>
    <row r="6950" spans="1:16" ht="15" hidden="1" customHeight="1">
      <c r="A6950" s="489">
        <v>64977530</v>
      </c>
      <c r="B6950" s="489">
        <v>1352</v>
      </c>
      <c r="C6950" s="488">
        <v>48000</v>
      </c>
      <c r="D6950" s="597">
        <v>46132</v>
      </c>
      <c r="E6950" s="489" t="s">
        <v>310</v>
      </c>
      <c r="F6950" s="489" t="s">
        <v>1208</v>
      </c>
      <c r="G6950" s="395">
        <f>VLOOKUP($A6950,'Tech Litons'!$A:$I,8,FALSE)</f>
        <v>8.513999999999999E-3</v>
      </c>
      <c r="H6950" s="174">
        <f>VLOOKUP($A6950,'Tech Litons'!$A:$I,9,FALSE)</f>
        <v>176</v>
      </c>
      <c r="I6950" s="174" t="str">
        <f>VLOOKUP($A6950,'Tech Litons'!$A:$C,3,0)</f>
        <v>48oz</v>
      </c>
      <c r="J6950" s="175" t="str">
        <f t="shared" si="769"/>
        <v>135248oz</v>
      </c>
      <c r="K6950" s="176">
        <f>VLOOKUP(I6950,'Attain %'!A:B,2,0)</f>
        <v>0.94</v>
      </c>
      <c r="L6950" s="177">
        <f t="shared" si="770"/>
        <v>45120</v>
      </c>
      <c r="M6950" s="177">
        <f t="shared" si="771"/>
        <v>384.15167999999994</v>
      </c>
      <c r="N6950" s="177">
        <f t="shared" si="772"/>
        <v>256.36363636363637</v>
      </c>
      <c r="O6950" s="175" t="str">
        <f t="shared" si="773"/>
        <v>Apr</v>
      </c>
      <c r="P6950" s="265">
        <f t="shared" si="774"/>
        <v>17</v>
      </c>
    </row>
    <row r="6951" spans="1:16" ht="15" hidden="1" customHeight="1">
      <c r="A6951" s="489">
        <v>69986508</v>
      </c>
      <c r="B6951" s="489">
        <v>5914</v>
      </c>
      <c r="C6951" s="488">
        <v>48160</v>
      </c>
      <c r="D6951" s="597">
        <v>46132</v>
      </c>
      <c r="E6951" s="489" t="s">
        <v>450</v>
      </c>
      <c r="F6951" s="489" t="s">
        <v>1246</v>
      </c>
      <c r="G6951" s="395">
        <f>VLOOKUP($A6951,'Tech Litons'!$A:$I,8,FALSE)</f>
        <v>3.7839999999999996E-3</v>
      </c>
      <c r="H6951" s="174">
        <f>VLOOKUP($A6951,'Tech Litons'!$A:$I,9,FALSE)</f>
        <v>240</v>
      </c>
      <c r="I6951" s="174" t="str">
        <f>VLOOKUP($A6951,'Tech Litons'!$A:$C,3,0)</f>
        <v>BJ PTS</v>
      </c>
      <c r="J6951" s="175" t="str">
        <f t="shared" si="769"/>
        <v>5914BJ PTS</v>
      </c>
      <c r="K6951" s="176">
        <f>VLOOKUP(I6951,'Attain %'!A:B,2,0)</f>
        <v>0.95</v>
      </c>
      <c r="L6951" s="177">
        <f t="shared" si="770"/>
        <v>45752</v>
      </c>
      <c r="M6951" s="177">
        <f t="shared" si="771"/>
        <v>173.12556799999999</v>
      </c>
      <c r="N6951" s="177">
        <f t="shared" si="772"/>
        <v>190.63333333333333</v>
      </c>
      <c r="O6951" s="175" t="str">
        <f t="shared" si="773"/>
        <v>Apr</v>
      </c>
      <c r="P6951" s="265">
        <f t="shared" si="774"/>
        <v>17</v>
      </c>
    </row>
    <row r="6952" spans="1:16" ht="15" hidden="1" customHeight="1">
      <c r="A6952" s="489">
        <v>64958127</v>
      </c>
      <c r="B6952" s="489">
        <v>2904</v>
      </c>
      <c r="C6952" s="488">
        <v>48600</v>
      </c>
      <c r="D6952" s="597">
        <v>46125</v>
      </c>
      <c r="E6952" s="489" t="s">
        <v>237</v>
      </c>
      <c r="F6952" s="489" t="s">
        <v>1233</v>
      </c>
      <c r="G6952" s="395">
        <f>VLOOKUP($A6952,'Tech Litons'!$A:$I,8,FALSE)</f>
        <v>3.3119999999999998E-3</v>
      </c>
      <c r="H6952" s="174">
        <f>VLOOKUP($A6952,'Tech Litons'!$A:$I,9,FALSE)</f>
        <v>165</v>
      </c>
      <c r="I6952" s="174" t="str">
        <f>VLOOKUP($A6952,'Tech Litons'!$A:$C,3,0)</f>
        <v>Yasso Sticks</v>
      </c>
      <c r="J6952" s="175" t="str">
        <f t="shared" si="769"/>
        <v>2904Yasso Sticks</v>
      </c>
      <c r="K6952" s="176">
        <f>VLOOKUP(I6952,'Attain %'!A:B,2,0)</f>
        <v>0.96</v>
      </c>
      <c r="L6952" s="177">
        <f t="shared" si="770"/>
        <v>46656</v>
      </c>
      <c r="M6952" s="177">
        <f t="shared" si="771"/>
        <v>154.52467199999998</v>
      </c>
      <c r="N6952" s="177">
        <f t="shared" si="772"/>
        <v>282.76363636363635</v>
      </c>
      <c r="O6952" s="175" t="str">
        <f t="shared" si="773"/>
        <v>Apr</v>
      </c>
      <c r="P6952" s="265">
        <f t="shared" si="774"/>
        <v>16</v>
      </c>
    </row>
    <row r="6953" spans="1:16" ht="15" hidden="1" customHeight="1">
      <c r="A6953" s="489">
        <v>68817796</v>
      </c>
      <c r="B6953" s="489">
        <v>1352</v>
      </c>
      <c r="C6953" s="488">
        <v>49350</v>
      </c>
      <c r="D6953" s="597">
        <v>46118</v>
      </c>
      <c r="E6953" s="489" t="s">
        <v>263</v>
      </c>
      <c r="F6953" s="489" t="s">
        <v>1211</v>
      </c>
      <c r="G6953" s="395">
        <f>VLOOKUP($A6953,'Tech Litons'!$A:$I,8,FALSE)</f>
        <v>8.513999999999999E-3</v>
      </c>
      <c r="H6953" s="174">
        <f>VLOOKUP($A6953,'Tech Litons'!$A:$I,9,FALSE)</f>
        <v>176</v>
      </c>
      <c r="I6953" s="174" t="str">
        <f>VLOOKUP($A6953,'Tech Litons'!$A:$C,3,0)</f>
        <v>48oz</v>
      </c>
      <c r="J6953" s="175" t="str">
        <f t="shared" si="769"/>
        <v>135248oz</v>
      </c>
      <c r="K6953" s="176">
        <f>VLOOKUP(I6953,'Attain %'!A:B,2,0)</f>
        <v>0.94</v>
      </c>
      <c r="L6953" s="177">
        <f t="shared" si="770"/>
        <v>46389</v>
      </c>
      <c r="M6953" s="177">
        <f t="shared" si="771"/>
        <v>394.95594599999993</v>
      </c>
      <c r="N6953" s="177">
        <f t="shared" si="772"/>
        <v>263.57386363636363</v>
      </c>
      <c r="O6953" s="175" t="str">
        <f t="shared" si="773"/>
        <v>Apr</v>
      </c>
      <c r="P6953" s="265">
        <f t="shared" si="774"/>
        <v>15</v>
      </c>
    </row>
    <row r="6954" spans="1:16" ht="15" hidden="1" customHeight="1">
      <c r="A6954" s="489">
        <v>64977526</v>
      </c>
      <c r="B6954" s="489">
        <v>1352</v>
      </c>
      <c r="C6954" s="488">
        <v>22560</v>
      </c>
      <c r="D6954" s="597">
        <v>46111</v>
      </c>
      <c r="E6954" s="489" t="s">
        <v>323</v>
      </c>
      <c r="F6954" s="489" t="s">
        <v>1208</v>
      </c>
      <c r="G6954" s="395">
        <f>VLOOKUP($A6954,'Tech Litons'!$A:$I,8,FALSE)</f>
        <v>8.513999999999999E-3</v>
      </c>
      <c r="H6954" s="174">
        <f>VLOOKUP($A6954,'Tech Litons'!$A:$I,9,FALSE)</f>
        <v>176</v>
      </c>
      <c r="I6954" s="174" t="str">
        <f>VLOOKUP($A6954,'Tech Litons'!$A:$C,3,0)</f>
        <v>48oz</v>
      </c>
      <c r="J6954" s="175" t="str">
        <f t="shared" si="769"/>
        <v>135248oz</v>
      </c>
      <c r="K6954" s="176">
        <f>VLOOKUP(I6954,'Attain %'!A:B,2,0)</f>
        <v>0.94</v>
      </c>
      <c r="L6954" s="177">
        <f t="shared" si="770"/>
        <v>21206.399999999998</v>
      </c>
      <c r="M6954" s="177">
        <f t="shared" si="771"/>
        <v>180.55128959999996</v>
      </c>
      <c r="N6954" s="177">
        <f t="shared" si="772"/>
        <v>120.49090909090908</v>
      </c>
      <c r="O6954" s="175" t="str">
        <f t="shared" si="773"/>
        <v>Mar</v>
      </c>
      <c r="P6954" s="265">
        <f t="shared" si="774"/>
        <v>14</v>
      </c>
    </row>
    <row r="6955" spans="1:16" ht="15" hidden="1" customHeight="1">
      <c r="A6955" s="489">
        <v>62714126</v>
      </c>
      <c r="B6955" s="489" t="s">
        <v>133</v>
      </c>
      <c r="D6955" s="597">
        <v>46111</v>
      </c>
      <c r="E6955" s="489" t="s">
        <v>402</v>
      </c>
      <c r="F6955" s="489" t="s">
        <v>1223</v>
      </c>
      <c r="G6955" s="395">
        <f>VLOOKUP($A6955,'Tech Litons'!$A:$I,8,FALSE)</f>
        <v>5.2680000000000001E-3</v>
      </c>
      <c r="H6955" s="174">
        <f>VLOOKUP($A6955,'Tech Litons'!$A:$I,9,FALSE)</f>
        <v>130</v>
      </c>
      <c r="I6955" s="174" t="str">
        <f>VLOOKUP($A6955,'Tech Litons'!$A:$C,3,0)</f>
        <v>PG</v>
      </c>
      <c r="J6955" s="175" t="str">
        <f t="shared" si="769"/>
        <v>GDIPG</v>
      </c>
      <c r="K6955" s="176">
        <f>VLOOKUP(I6955,'Attain %'!A:B,2,0)</f>
        <v>0.96</v>
      </c>
      <c r="L6955" s="177">
        <f t="shared" si="770"/>
        <v>0</v>
      </c>
      <c r="M6955" s="177">
        <f t="shared" si="771"/>
        <v>0</v>
      </c>
      <c r="N6955" s="177">
        <f t="shared" si="772"/>
        <v>0</v>
      </c>
      <c r="O6955" s="175" t="str">
        <f t="shared" si="773"/>
        <v>Mar</v>
      </c>
      <c r="P6955" s="265">
        <f t="shared" si="774"/>
        <v>14</v>
      </c>
    </row>
    <row r="6956" spans="1:16" ht="15" hidden="1" customHeight="1">
      <c r="A6956" s="489">
        <v>64833353</v>
      </c>
      <c r="B6956" s="489" t="s">
        <v>133</v>
      </c>
      <c r="C6956" s="488">
        <v>49400</v>
      </c>
      <c r="D6956" s="597">
        <v>46202</v>
      </c>
      <c r="E6956" s="489" t="s">
        <v>358</v>
      </c>
      <c r="F6956" s="489" t="s">
        <v>1223</v>
      </c>
      <c r="G6956" s="395">
        <f>VLOOKUP($A6956,'Tech Litons'!$A:$I,8,FALSE)</f>
        <v>5.28E-3</v>
      </c>
      <c r="H6956" s="174">
        <f>VLOOKUP($A6956,'Tech Litons'!$A:$I,9,FALSE)</f>
        <v>130</v>
      </c>
      <c r="I6956" s="174" t="str">
        <f>VLOOKUP($A6956,'Tech Litons'!$A:$C,3,0)</f>
        <v>PG</v>
      </c>
      <c r="J6956" s="175" t="str">
        <f t="shared" si="769"/>
        <v>GDIPG</v>
      </c>
      <c r="K6956" s="176">
        <f>VLOOKUP(I6956,'Attain %'!A:B,2,0)</f>
        <v>0.96</v>
      </c>
      <c r="L6956" s="177">
        <f t="shared" si="770"/>
        <v>47424</v>
      </c>
      <c r="M6956" s="177">
        <f t="shared" si="771"/>
        <v>250.39872</v>
      </c>
      <c r="N6956" s="177">
        <f t="shared" si="772"/>
        <v>364.8</v>
      </c>
      <c r="O6956" s="175" t="str">
        <f t="shared" si="773"/>
        <v>Jun</v>
      </c>
      <c r="P6956" s="265">
        <f t="shared" si="774"/>
        <v>27</v>
      </c>
    </row>
    <row r="6957" spans="1:16" ht="15" hidden="1" customHeight="1">
      <c r="A6957" s="489">
        <v>69999266</v>
      </c>
      <c r="B6957" s="489">
        <v>2904</v>
      </c>
      <c r="C6957" s="488">
        <v>49495</v>
      </c>
      <c r="D6957" s="597">
        <v>46104</v>
      </c>
      <c r="E6957" s="489" t="s">
        <v>298</v>
      </c>
      <c r="F6957" s="489" t="s">
        <v>1227</v>
      </c>
      <c r="G6957" s="395">
        <f>VLOOKUP($A6957,'Tech Litons'!$A:$I,8,FALSE)</f>
        <v>3.7839999999999996E-3</v>
      </c>
      <c r="H6957" s="174">
        <f>VLOOKUP($A6957,'Tech Litons'!$A:$I,9,FALSE)</f>
        <v>240</v>
      </c>
      <c r="I6957" s="174" t="str">
        <f>VLOOKUP($A6957,'Tech Litons'!$A:$C,3,0)</f>
        <v>BJ PTS</v>
      </c>
      <c r="J6957" s="175" t="str">
        <f t="shared" si="769"/>
        <v>2904BJ PTS</v>
      </c>
      <c r="K6957" s="176">
        <f>VLOOKUP(I6957,'Attain %'!A:B,2,0)</f>
        <v>0.95</v>
      </c>
      <c r="L6957" s="177">
        <f t="shared" si="770"/>
        <v>47020.25</v>
      </c>
      <c r="M6957" s="177">
        <f t="shared" si="771"/>
        <v>177.92462599999999</v>
      </c>
      <c r="N6957" s="177">
        <f t="shared" si="772"/>
        <v>195.91770833333334</v>
      </c>
      <c r="O6957" s="175" t="str">
        <f t="shared" si="773"/>
        <v>Mar</v>
      </c>
      <c r="P6957" s="265">
        <f t="shared" si="774"/>
        <v>13</v>
      </c>
    </row>
    <row r="6958" spans="1:16" ht="15" hidden="1" customHeight="1">
      <c r="A6958" s="489">
        <v>64898310</v>
      </c>
      <c r="B6958" s="489">
        <v>2904</v>
      </c>
      <c r="C6958" s="488">
        <v>49500</v>
      </c>
      <c r="D6958" s="597">
        <v>46153</v>
      </c>
      <c r="E6958" s="489" t="s">
        <v>245</v>
      </c>
      <c r="F6958" s="489" t="s">
        <v>1229</v>
      </c>
      <c r="G6958" s="395">
        <f>VLOOKUP($A6958,'Tech Litons'!$A:$I,8,FALSE)</f>
        <v>3.7839999999999996E-3</v>
      </c>
      <c r="H6958" s="174">
        <f>VLOOKUP($A6958,'Tech Litons'!$A:$I,9,FALSE)</f>
        <v>240</v>
      </c>
      <c r="I6958" s="174" t="str">
        <f>VLOOKUP($A6958,'Tech Litons'!$A:$C,3,0)</f>
        <v>PTS</v>
      </c>
      <c r="J6958" s="175" t="str">
        <f t="shared" si="769"/>
        <v>2904PTS</v>
      </c>
      <c r="K6958" s="176">
        <f>VLOOKUP(I6958,'Attain %'!A:B,2,0)</f>
        <v>0.96</v>
      </c>
      <c r="L6958" s="177">
        <f t="shared" si="770"/>
        <v>47520</v>
      </c>
      <c r="M6958" s="177">
        <f t="shared" si="771"/>
        <v>179.81567999999999</v>
      </c>
      <c r="N6958" s="177">
        <f t="shared" si="772"/>
        <v>198</v>
      </c>
      <c r="O6958" s="175" t="str">
        <f t="shared" si="773"/>
        <v>May</v>
      </c>
      <c r="P6958" s="265">
        <f t="shared" si="774"/>
        <v>20</v>
      </c>
    </row>
    <row r="6959" spans="1:16" ht="15" hidden="1" customHeight="1">
      <c r="A6959" s="489">
        <v>68689251</v>
      </c>
      <c r="B6959" s="489">
        <v>1352</v>
      </c>
      <c r="C6959" s="488">
        <v>50000</v>
      </c>
      <c r="D6959" s="597">
        <v>46153</v>
      </c>
      <c r="E6959" s="489" t="s">
        <v>262</v>
      </c>
      <c r="F6959" s="489" t="s">
        <v>1210</v>
      </c>
      <c r="G6959" s="395">
        <f>VLOOKUP($A6959,'Tech Litons'!$A:$I,8,FALSE)</f>
        <v>9.5760000000000012E-3</v>
      </c>
      <c r="H6959" s="174">
        <f>VLOOKUP($A6959,'Tech Litons'!$A:$I,9,FALSE)</f>
        <v>132</v>
      </c>
      <c r="I6959" s="174" t="str">
        <f>VLOOKUP($A6959,'Tech Litons'!$A:$C,3,0)</f>
        <v>EDF</v>
      </c>
      <c r="J6959" s="175" t="str">
        <f t="shared" si="769"/>
        <v>1352EDF</v>
      </c>
      <c r="K6959" s="176">
        <f>VLOOKUP(I6959,'Attain %'!A:B,2,0)</f>
        <v>0.96</v>
      </c>
      <c r="L6959" s="177">
        <f t="shared" si="770"/>
        <v>48000</v>
      </c>
      <c r="M6959" s="177">
        <f t="shared" si="771"/>
        <v>459.64800000000008</v>
      </c>
      <c r="N6959" s="177">
        <f t="shared" si="772"/>
        <v>363.63636363636363</v>
      </c>
      <c r="O6959" s="175" t="str">
        <f t="shared" si="773"/>
        <v>May</v>
      </c>
      <c r="P6959" s="265">
        <f t="shared" si="774"/>
        <v>20</v>
      </c>
    </row>
    <row r="6960" spans="1:16" ht="15" hidden="1" customHeight="1">
      <c r="A6960" s="489">
        <v>69717802</v>
      </c>
      <c r="B6960" s="489">
        <v>2904</v>
      </c>
      <c r="C6960" s="488">
        <v>50400</v>
      </c>
      <c r="D6960" s="597">
        <v>46132</v>
      </c>
      <c r="E6960" s="489" t="s">
        <v>388</v>
      </c>
      <c r="F6960" s="489" t="s">
        <v>1240</v>
      </c>
      <c r="G6960" s="395">
        <f>VLOOKUP($A6960,'Tech Litons'!$A:$I,8,FALSE)</f>
        <v>4.2560000000000002E-3</v>
      </c>
      <c r="H6960" s="174">
        <f>VLOOKUP($A6960,'Tech Litons'!$A:$I,9,FALSE)</f>
        <v>143</v>
      </c>
      <c r="I6960" s="174" t="str">
        <f>VLOOKUP($A6960,'Tech Litons'!$A:$C,3,0)</f>
        <v>MG Sticks</v>
      </c>
      <c r="J6960" s="175" t="str">
        <f t="shared" si="769"/>
        <v>2904MG Sticks</v>
      </c>
      <c r="K6960" s="176">
        <f>VLOOKUP(I6960,'Attain %'!A:B,2,0)</f>
        <v>0.96</v>
      </c>
      <c r="L6960" s="177">
        <f t="shared" si="770"/>
        <v>48384</v>
      </c>
      <c r="M6960" s="177">
        <f t="shared" si="771"/>
        <v>205.92230400000003</v>
      </c>
      <c r="N6960" s="177">
        <f t="shared" si="772"/>
        <v>338.34965034965035</v>
      </c>
      <c r="O6960" s="175" t="str">
        <f t="shared" si="773"/>
        <v>Apr</v>
      </c>
      <c r="P6960" s="265">
        <f t="shared" si="774"/>
        <v>17</v>
      </c>
    </row>
    <row r="6961" spans="1:16" ht="15" hidden="1" customHeight="1">
      <c r="A6961" s="489">
        <v>69717803</v>
      </c>
      <c r="B6961" s="489">
        <v>2904</v>
      </c>
      <c r="C6961" s="488">
        <v>50400</v>
      </c>
      <c r="D6961" s="597">
        <v>46118</v>
      </c>
      <c r="E6961" s="489" t="s">
        <v>362</v>
      </c>
      <c r="F6961" s="489" t="s">
        <v>1240</v>
      </c>
      <c r="G6961" s="395">
        <f>VLOOKUP($A6961,'Tech Litons'!$A:$I,8,FALSE)</f>
        <v>4.2560000000000002E-3</v>
      </c>
      <c r="H6961" s="174">
        <f>VLOOKUP($A6961,'Tech Litons'!$A:$I,9,FALSE)</f>
        <v>143</v>
      </c>
      <c r="I6961" s="174" t="str">
        <f>VLOOKUP($A6961,'Tech Litons'!$A:$C,3,0)</f>
        <v>MG Sticks</v>
      </c>
      <c r="J6961" s="175" t="str">
        <f t="shared" si="769"/>
        <v>2904MG Sticks</v>
      </c>
      <c r="K6961" s="176">
        <f>VLOOKUP(I6961,'Attain %'!A:B,2,0)</f>
        <v>0.96</v>
      </c>
      <c r="L6961" s="177">
        <f t="shared" si="770"/>
        <v>48384</v>
      </c>
      <c r="M6961" s="177">
        <f t="shared" si="771"/>
        <v>205.92230400000003</v>
      </c>
      <c r="N6961" s="177">
        <f t="shared" si="772"/>
        <v>338.34965034965035</v>
      </c>
      <c r="O6961" s="175" t="str">
        <f t="shared" si="773"/>
        <v>Apr</v>
      </c>
      <c r="P6961" s="265">
        <f t="shared" si="774"/>
        <v>15</v>
      </c>
    </row>
    <row r="6962" spans="1:16" ht="15" hidden="1" customHeight="1">
      <c r="A6962" s="489">
        <v>69797468</v>
      </c>
      <c r="B6962" s="489">
        <v>2904</v>
      </c>
      <c r="C6962" s="488">
        <v>50400</v>
      </c>
      <c r="D6962" s="597">
        <v>46125</v>
      </c>
      <c r="E6962" s="489" t="s">
        <v>545</v>
      </c>
      <c r="F6962" s="489" t="s">
        <v>1240</v>
      </c>
      <c r="G6962" s="395">
        <f>VLOOKUP($A6962,'Tech Litons'!$A:$I,8,FALSE)</f>
        <v>4.2560000000000002E-3</v>
      </c>
      <c r="H6962" s="174">
        <f>VLOOKUP($A6962,'Tech Litons'!$A:$I,9,FALSE)</f>
        <v>143</v>
      </c>
      <c r="I6962" s="174" t="str">
        <f>VLOOKUP($A6962,'Tech Litons'!$A:$C,3,0)</f>
        <v>MG Sticks</v>
      </c>
      <c r="J6962" s="175" t="str">
        <f t="shared" si="769"/>
        <v>2904MG Sticks</v>
      </c>
      <c r="K6962" s="176">
        <f>VLOOKUP(I6962,'Attain %'!A:B,2,0)</f>
        <v>0.96</v>
      </c>
      <c r="L6962" s="177">
        <f t="shared" si="770"/>
        <v>48384</v>
      </c>
      <c r="M6962" s="177">
        <f t="shared" si="771"/>
        <v>205.92230400000003</v>
      </c>
      <c r="N6962" s="177">
        <f t="shared" si="772"/>
        <v>338.34965034965035</v>
      </c>
      <c r="O6962" s="175" t="str">
        <f t="shared" si="773"/>
        <v>Apr</v>
      </c>
      <c r="P6962" s="265">
        <f t="shared" si="774"/>
        <v>16</v>
      </c>
    </row>
    <row r="6963" spans="1:16" ht="15" hidden="1" customHeight="1">
      <c r="A6963" s="489">
        <v>64958129</v>
      </c>
      <c r="B6963" s="489">
        <v>1715</v>
      </c>
      <c r="C6963" s="488">
        <v>51084</v>
      </c>
      <c r="D6963" s="597">
        <v>46125</v>
      </c>
      <c r="E6963" s="489" t="s">
        <v>589</v>
      </c>
      <c r="F6963" s="489" t="s">
        <v>1221</v>
      </c>
      <c r="G6963" s="395">
        <f>VLOOKUP($A6963,'Tech Litons'!$A:$I,8,FALSE)</f>
        <v>3.3119999999999998E-3</v>
      </c>
      <c r="H6963" s="174">
        <f>VLOOKUP($A6963,'Tech Litons'!$A:$I,9,FALSE)</f>
        <v>165</v>
      </c>
      <c r="I6963" s="174" t="str">
        <f>VLOOKUP($A6963,'Tech Litons'!$A:$C,3,0)</f>
        <v>Yasso Sticks</v>
      </c>
      <c r="J6963" s="175" t="str">
        <f t="shared" si="769"/>
        <v>1715Yasso Sticks</v>
      </c>
      <c r="K6963" s="176">
        <f>VLOOKUP(I6963,'Attain %'!A:B,2,0)</f>
        <v>0.96</v>
      </c>
      <c r="L6963" s="177">
        <f t="shared" si="770"/>
        <v>49040.639999999999</v>
      </c>
      <c r="M6963" s="177">
        <f t="shared" si="771"/>
        <v>162.42259967999999</v>
      </c>
      <c r="N6963" s="177">
        <f t="shared" si="772"/>
        <v>297.21600000000001</v>
      </c>
      <c r="O6963" s="175" t="str">
        <f t="shared" si="773"/>
        <v>Apr</v>
      </c>
      <c r="P6963" s="265">
        <f t="shared" si="774"/>
        <v>16</v>
      </c>
    </row>
    <row r="6964" spans="1:16" ht="15" hidden="1" customHeight="1">
      <c r="A6964" s="489">
        <v>64975616</v>
      </c>
      <c r="B6964" s="489">
        <v>1716</v>
      </c>
      <c r="C6964" s="488">
        <v>51250</v>
      </c>
      <c r="D6964" s="597">
        <v>46125</v>
      </c>
      <c r="E6964" s="489" t="s">
        <v>385</v>
      </c>
      <c r="F6964" s="489" t="s">
        <v>1221</v>
      </c>
      <c r="G6964" s="395">
        <f>VLOOKUP($A6964,'Tech Litons'!$A:$I,8,FALSE)</f>
        <v>3.3119999999999998E-3</v>
      </c>
      <c r="H6964" s="174">
        <f>VLOOKUP($A6964,'Tech Litons'!$A:$I,9,FALSE)</f>
        <v>240</v>
      </c>
      <c r="I6964" s="174" t="str">
        <f>VLOOKUP($A6964,'Tech Litons'!$A:$C,3,0)</f>
        <v>YS PTS</v>
      </c>
      <c r="J6964" s="175" t="str">
        <f t="shared" si="769"/>
        <v>1716YS PTS</v>
      </c>
      <c r="K6964" s="176">
        <f>VLOOKUP(I6964,'Attain %'!A:B,2,0)</f>
        <v>0.96</v>
      </c>
      <c r="L6964" s="177">
        <f t="shared" si="770"/>
        <v>49200</v>
      </c>
      <c r="M6964" s="177">
        <f t="shared" si="771"/>
        <v>162.9504</v>
      </c>
      <c r="N6964" s="177">
        <f t="shared" si="772"/>
        <v>205</v>
      </c>
      <c r="O6964" s="175" t="str">
        <f t="shared" si="773"/>
        <v>Apr</v>
      </c>
      <c r="P6964" s="265">
        <f t="shared" si="774"/>
        <v>16</v>
      </c>
    </row>
    <row r="6965" spans="1:16" ht="15" hidden="1" customHeight="1">
      <c r="A6965" s="489">
        <v>67430513</v>
      </c>
      <c r="B6965" s="489">
        <v>5914</v>
      </c>
      <c r="C6965" s="488">
        <v>51520</v>
      </c>
      <c r="D6965" s="597">
        <v>46125</v>
      </c>
      <c r="E6965" s="489" t="s">
        <v>308</v>
      </c>
      <c r="F6965" s="489" t="s">
        <v>1246</v>
      </c>
      <c r="G6965" s="395">
        <f>VLOOKUP($A6965,'Tech Litons'!$A:$I,8,FALSE)</f>
        <v>3.7839999999999996E-3</v>
      </c>
      <c r="H6965" s="174">
        <f>VLOOKUP($A6965,'Tech Litons'!$A:$I,9,FALSE)</f>
        <v>240</v>
      </c>
      <c r="I6965" s="174" t="str">
        <f>VLOOKUP($A6965,'Tech Litons'!$A:$C,3,0)</f>
        <v>BJ PTS</v>
      </c>
      <c r="J6965" s="175" t="str">
        <f t="shared" si="769"/>
        <v>5914BJ PTS</v>
      </c>
      <c r="K6965" s="176">
        <f>VLOOKUP(I6965,'Attain %'!A:B,2,0)</f>
        <v>0.95</v>
      </c>
      <c r="L6965" s="177">
        <f t="shared" si="770"/>
        <v>48944</v>
      </c>
      <c r="M6965" s="177">
        <f t="shared" si="771"/>
        <v>185.20409599999999</v>
      </c>
      <c r="N6965" s="177">
        <f t="shared" si="772"/>
        <v>203.93333333333334</v>
      </c>
      <c r="O6965" s="175" t="str">
        <f t="shared" si="773"/>
        <v>Apr</v>
      </c>
      <c r="P6965" s="265">
        <f t="shared" si="774"/>
        <v>16</v>
      </c>
    </row>
    <row r="6966" spans="1:16" ht="15" hidden="1" customHeight="1">
      <c r="A6966" s="489">
        <v>67826412</v>
      </c>
      <c r="B6966" s="489">
        <v>5914</v>
      </c>
      <c r="C6966" s="488">
        <v>51840</v>
      </c>
      <c r="D6966" s="597">
        <v>46104</v>
      </c>
      <c r="E6966" s="489" t="s">
        <v>312</v>
      </c>
      <c r="F6966" s="489" t="s">
        <v>1244</v>
      </c>
      <c r="G6966" s="395">
        <f>VLOOKUP($A6966,'Tech Litons'!$A:$I,8,FALSE)</f>
        <v>3.7853439999999999E-3</v>
      </c>
      <c r="H6966" s="174">
        <f>VLOOKUP($A6966,'Tech Litons'!$A:$I,9,FALSE)</f>
        <v>240</v>
      </c>
      <c r="I6966" s="174" t="str">
        <f>VLOOKUP($A6966,'Tech Litons'!$A:$C,3,0)</f>
        <v>BJ PTS</v>
      </c>
      <c r="J6966" s="175" t="str">
        <f t="shared" si="769"/>
        <v>5914BJ PTS</v>
      </c>
      <c r="K6966" s="176">
        <f>VLOOKUP(I6966,'Attain %'!A:B,2,0)</f>
        <v>0.95</v>
      </c>
      <c r="L6966" s="177">
        <f t="shared" si="770"/>
        <v>49248</v>
      </c>
      <c r="M6966" s="177">
        <f t="shared" si="771"/>
        <v>186.42062131200001</v>
      </c>
      <c r="N6966" s="177">
        <f t="shared" si="772"/>
        <v>205.2</v>
      </c>
      <c r="O6966" s="175" t="str">
        <f t="shared" si="773"/>
        <v>Mar</v>
      </c>
      <c r="P6966" s="265">
        <f t="shared" si="774"/>
        <v>13</v>
      </c>
    </row>
    <row r="6967" spans="1:16" ht="15" hidden="1" customHeight="1">
      <c r="A6967" s="489">
        <v>64979444</v>
      </c>
      <c r="B6967" s="489" t="s">
        <v>139</v>
      </c>
      <c r="C6967" s="488">
        <v>51948</v>
      </c>
      <c r="D6967" s="597">
        <v>46160</v>
      </c>
      <c r="E6967" s="489" t="s">
        <v>622</v>
      </c>
      <c r="F6967" s="489" t="s">
        <v>1223</v>
      </c>
      <c r="G6967" s="395">
        <f>VLOOKUP($A6967,'Tech Litons'!$A:$I,8,FALSE)</f>
        <v>2.16E-3</v>
      </c>
      <c r="H6967" s="174">
        <f>VLOOKUP($A6967,'Tech Litons'!$A:$I,9,FALSE)</f>
        <v>195</v>
      </c>
      <c r="I6967" s="174" t="str">
        <f>VLOOKUP($A6967,'Tech Litons'!$A:$C,3,0)</f>
        <v>Facepieces</v>
      </c>
      <c r="J6967" s="175" t="str">
        <f t="shared" si="769"/>
        <v>IncomFacepieces</v>
      </c>
      <c r="K6967" s="176">
        <f>VLOOKUP(I6967,'Attain %'!A:B,2,0)</f>
        <v>0.96</v>
      </c>
      <c r="L6967" s="177">
        <f t="shared" si="770"/>
        <v>49870.080000000002</v>
      </c>
      <c r="M6967" s="177">
        <f t="shared" si="771"/>
        <v>107.7193728</v>
      </c>
      <c r="N6967" s="177">
        <f t="shared" si="772"/>
        <v>255.744</v>
      </c>
      <c r="O6967" s="175" t="str">
        <f t="shared" si="773"/>
        <v>May</v>
      </c>
      <c r="P6967" s="265">
        <f t="shared" si="774"/>
        <v>21</v>
      </c>
    </row>
    <row r="6968" spans="1:16" ht="15" hidden="1" customHeight="1">
      <c r="A6968" s="489">
        <v>64979444</v>
      </c>
      <c r="B6968" s="489" t="s">
        <v>139</v>
      </c>
      <c r="C6968" s="488">
        <v>51948</v>
      </c>
      <c r="D6968" s="597">
        <v>46181</v>
      </c>
      <c r="E6968" s="489" t="s">
        <v>622</v>
      </c>
      <c r="F6968" s="489" t="s">
        <v>1223</v>
      </c>
      <c r="G6968" s="395">
        <f>VLOOKUP($A6968,'Tech Litons'!$A:$I,8,FALSE)</f>
        <v>2.16E-3</v>
      </c>
      <c r="H6968" s="174">
        <f>VLOOKUP($A6968,'Tech Litons'!$A:$I,9,FALSE)</f>
        <v>195</v>
      </c>
      <c r="I6968" s="174" t="str">
        <f>VLOOKUP($A6968,'Tech Litons'!$A:$C,3,0)</f>
        <v>Facepieces</v>
      </c>
      <c r="J6968" s="175" t="str">
        <f t="shared" ref="J6968:J7031" si="775">B6968&amp;I6968</f>
        <v>IncomFacepieces</v>
      </c>
      <c r="K6968" s="176">
        <f>VLOOKUP(I6968,'Attain %'!A:B,2,0)</f>
        <v>0.96</v>
      </c>
      <c r="L6968" s="177">
        <f t="shared" ref="L6968:L7031" si="776">C6968*$K6968</f>
        <v>49870.080000000002</v>
      </c>
      <c r="M6968" s="177">
        <f t="shared" ref="M6968:M7031" si="777">L6968*G6968</f>
        <v>107.7193728</v>
      </c>
      <c r="N6968" s="177">
        <f t="shared" ref="N6968:N7031" si="778">L6968/H6968</f>
        <v>255.744</v>
      </c>
      <c r="O6968" s="175" t="str">
        <f t="shared" ref="O6968:O7031" si="779">TEXT(D6968,"MMM")</f>
        <v>Jun</v>
      </c>
      <c r="P6968" s="265">
        <f t="shared" ref="P6968:P7031" si="780">WEEKNUM(D6968)</f>
        <v>24</v>
      </c>
    </row>
    <row r="6969" spans="1:16" ht="15" hidden="1" customHeight="1">
      <c r="A6969" s="489">
        <v>68881270</v>
      </c>
      <c r="B6969" s="489">
        <v>1352</v>
      </c>
      <c r="C6969" s="488">
        <v>52000</v>
      </c>
      <c r="D6969" s="597">
        <v>46132</v>
      </c>
      <c r="E6969" s="489" t="s">
        <v>383</v>
      </c>
      <c r="F6969" s="489" t="s">
        <v>1207</v>
      </c>
      <c r="G6969" s="395">
        <f>VLOOKUP($A6969,'Tech Litons'!$A:$I,8,FALSE)</f>
        <v>8.5199999999999998E-3</v>
      </c>
      <c r="H6969" s="174">
        <f>VLOOKUP($A6969,'Tech Litons'!$A:$I,9,FALSE)</f>
        <v>176</v>
      </c>
      <c r="I6969" s="174" t="str">
        <f>VLOOKUP($A6969,'Tech Litons'!$A:$C,3,0)</f>
        <v>48oz</v>
      </c>
      <c r="J6969" s="175" t="str">
        <f t="shared" si="775"/>
        <v>135248oz</v>
      </c>
      <c r="K6969" s="176">
        <f>VLOOKUP(I6969,'Attain %'!A:B,2,0)</f>
        <v>0.94</v>
      </c>
      <c r="L6969" s="177">
        <f t="shared" si="776"/>
        <v>48880</v>
      </c>
      <c r="M6969" s="177">
        <f t="shared" si="777"/>
        <v>416.45760000000001</v>
      </c>
      <c r="N6969" s="177">
        <f t="shared" si="778"/>
        <v>277.72727272727275</v>
      </c>
      <c r="O6969" s="175" t="str">
        <f t="shared" si="779"/>
        <v>Apr</v>
      </c>
      <c r="P6969" s="265">
        <f t="shared" si="780"/>
        <v>17</v>
      </c>
    </row>
    <row r="6970" spans="1:16" ht="15" hidden="1" customHeight="1">
      <c r="A6970" s="489">
        <v>64369025</v>
      </c>
      <c r="B6970" s="489">
        <v>2904</v>
      </c>
      <c r="C6970" s="488">
        <v>52000</v>
      </c>
      <c r="D6970" s="597">
        <v>46118</v>
      </c>
      <c r="E6970" s="489" t="s">
        <v>542</v>
      </c>
      <c r="F6970" s="489" t="s">
        <v>1235</v>
      </c>
      <c r="G6970" s="395">
        <f>VLOOKUP($A6970,'Tech Litons'!$A:$I,8,FALSE)</f>
        <v>3.7839999999999996E-3</v>
      </c>
      <c r="H6970" s="174">
        <f>VLOOKUP($A6970,'Tech Litons'!$A:$I,9,FALSE)</f>
        <v>255</v>
      </c>
      <c r="I6970" s="174" t="str">
        <f>VLOOKUP($A6970,'Tech Litons'!$A:$C,3,0)</f>
        <v>Talenti</v>
      </c>
      <c r="J6970" s="175" t="str">
        <f t="shared" si="775"/>
        <v>2904Talenti</v>
      </c>
      <c r="K6970" s="176">
        <f>VLOOKUP(I6970,'Attain %'!A:B,2,0)</f>
        <v>0.96</v>
      </c>
      <c r="L6970" s="177">
        <f t="shared" si="776"/>
        <v>49920</v>
      </c>
      <c r="M6970" s="177">
        <f t="shared" si="777"/>
        <v>188.89727999999997</v>
      </c>
      <c r="N6970" s="177">
        <f t="shared" si="778"/>
        <v>195.76470588235293</v>
      </c>
      <c r="O6970" s="175" t="str">
        <f t="shared" si="779"/>
        <v>Apr</v>
      </c>
      <c r="P6970" s="265">
        <f t="shared" si="780"/>
        <v>15</v>
      </c>
    </row>
    <row r="6971" spans="1:16" ht="15" hidden="1" customHeight="1">
      <c r="A6971" s="489">
        <v>64393722</v>
      </c>
      <c r="B6971" s="489">
        <v>2904</v>
      </c>
      <c r="D6971" s="597">
        <v>46111</v>
      </c>
      <c r="E6971" s="489" t="s">
        <v>282</v>
      </c>
      <c r="F6971" s="489" t="s">
        <v>1238</v>
      </c>
      <c r="G6971" s="395">
        <f>VLOOKUP($A6971,'Tech Litons'!$A:$I,8,FALSE)</f>
        <v>2.16E-3</v>
      </c>
      <c r="H6971" s="174">
        <f>VLOOKUP($A6971,'Tech Litons'!$A:$I,9,FALSE)</f>
        <v>210</v>
      </c>
      <c r="I6971" s="174" t="str">
        <f>VLOOKUP($A6971,'Tech Litons'!$A:$C,3,0)</f>
        <v>MG Sticks</v>
      </c>
      <c r="J6971" s="175" t="str">
        <f t="shared" si="775"/>
        <v>2904MG Sticks</v>
      </c>
      <c r="K6971" s="176">
        <f>VLOOKUP(I6971,'Attain %'!A:B,2,0)</f>
        <v>0.96</v>
      </c>
      <c r="L6971" s="177">
        <f t="shared" si="776"/>
        <v>0</v>
      </c>
      <c r="M6971" s="177">
        <f t="shared" si="777"/>
        <v>0</v>
      </c>
      <c r="N6971" s="177">
        <f t="shared" si="778"/>
        <v>0</v>
      </c>
      <c r="O6971" s="175" t="str">
        <f t="shared" si="779"/>
        <v>Mar</v>
      </c>
      <c r="P6971" s="265">
        <f t="shared" si="780"/>
        <v>14</v>
      </c>
    </row>
    <row r="6972" spans="1:16" ht="15" hidden="1" customHeight="1">
      <c r="A6972" s="489">
        <v>68860662</v>
      </c>
      <c r="B6972" s="489">
        <v>2904</v>
      </c>
      <c r="C6972" s="488">
        <v>52000</v>
      </c>
      <c r="D6972" s="597">
        <v>46125</v>
      </c>
      <c r="E6972" s="489" t="s">
        <v>411</v>
      </c>
      <c r="F6972" s="489" t="s">
        <v>1235</v>
      </c>
      <c r="G6972" s="395">
        <f>VLOOKUP($A6972,'Tech Litons'!$A:$I,8,FALSE)</f>
        <v>3.7839999999999996E-3</v>
      </c>
      <c r="H6972" s="174">
        <f>VLOOKUP($A6972,'Tech Litons'!$A:$I,9,FALSE)</f>
        <v>255</v>
      </c>
      <c r="I6972" s="174" t="str">
        <f>VLOOKUP($A6972,'Tech Litons'!$A:$C,3,0)</f>
        <v>Talenti</v>
      </c>
      <c r="J6972" s="175" t="str">
        <f t="shared" si="775"/>
        <v>2904Talenti</v>
      </c>
      <c r="K6972" s="176">
        <f>VLOOKUP(I6972,'Attain %'!A:B,2,0)</f>
        <v>0.96</v>
      </c>
      <c r="L6972" s="177">
        <f t="shared" si="776"/>
        <v>49920</v>
      </c>
      <c r="M6972" s="177">
        <f t="shared" si="777"/>
        <v>188.89727999999997</v>
      </c>
      <c r="N6972" s="177">
        <f t="shared" si="778"/>
        <v>195.76470588235293</v>
      </c>
      <c r="O6972" s="175" t="str">
        <f t="shared" si="779"/>
        <v>Apr</v>
      </c>
      <c r="P6972" s="265">
        <f t="shared" si="780"/>
        <v>16</v>
      </c>
    </row>
    <row r="6973" spans="1:16" ht="15" hidden="1" customHeight="1">
      <c r="A6973" s="489">
        <v>68862402</v>
      </c>
      <c r="B6973" s="489">
        <v>2904</v>
      </c>
      <c r="C6973" s="488">
        <v>52000</v>
      </c>
      <c r="D6973" s="597">
        <v>46125</v>
      </c>
      <c r="E6973" s="489" t="s">
        <v>401</v>
      </c>
      <c r="F6973" s="489" t="s">
        <v>1235</v>
      </c>
      <c r="G6973" s="395">
        <f>VLOOKUP($A6973,'Tech Litons'!$A:$I,8,FALSE)</f>
        <v>3.7839999999999996E-3</v>
      </c>
      <c r="H6973" s="174">
        <f>VLOOKUP($A6973,'Tech Litons'!$A:$I,9,FALSE)</f>
        <v>255</v>
      </c>
      <c r="I6973" s="174" t="str">
        <f>VLOOKUP($A6973,'Tech Litons'!$A:$C,3,0)</f>
        <v>Talenti</v>
      </c>
      <c r="J6973" s="175" t="str">
        <f t="shared" si="775"/>
        <v>2904Talenti</v>
      </c>
      <c r="K6973" s="176">
        <f>VLOOKUP(I6973,'Attain %'!A:B,2,0)</f>
        <v>0.96</v>
      </c>
      <c r="L6973" s="177">
        <f t="shared" si="776"/>
        <v>49920</v>
      </c>
      <c r="M6973" s="177">
        <f t="shared" si="777"/>
        <v>188.89727999999997</v>
      </c>
      <c r="N6973" s="177">
        <f t="shared" si="778"/>
        <v>195.76470588235293</v>
      </c>
      <c r="O6973" s="175" t="str">
        <f t="shared" si="779"/>
        <v>Apr</v>
      </c>
      <c r="P6973" s="265">
        <f t="shared" si="780"/>
        <v>16</v>
      </c>
    </row>
    <row r="6974" spans="1:16" ht="15" hidden="1" customHeight="1">
      <c r="A6974" s="489">
        <v>64975613</v>
      </c>
      <c r="B6974" s="489">
        <v>1716</v>
      </c>
      <c r="C6974" s="488">
        <v>52250</v>
      </c>
      <c r="D6974" s="597">
        <v>46132</v>
      </c>
      <c r="E6974" s="489" t="s">
        <v>593</v>
      </c>
      <c r="F6974" s="489" t="s">
        <v>1221</v>
      </c>
      <c r="G6974" s="395">
        <f>VLOOKUP($A6974,'Tech Litons'!$A:$I,8,FALSE)</f>
        <v>3.3119999999999998E-3</v>
      </c>
      <c r="H6974" s="174">
        <f>VLOOKUP($A6974,'Tech Litons'!$A:$I,9,FALSE)</f>
        <v>240</v>
      </c>
      <c r="I6974" s="174" t="str">
        <f>VLOOKUP($A6974,'Tech Litons'!$A:$C,3,0)</f>
        <v>YS PTS</v>
      </c>
      <c r="J6974" s="175" t="str">
        <f t="shared" si="775"/>
        <v>1716YS PTS</v>
      </c>
      <c r="K6974" s="176">
        <f>VLOOKUP(I6974,'Attain %'!A:B,2,0)</f>
        <v>0.96</v>
      </c>
      <c r="L6974" s="177">
        <f t="shared" si="776"/>
        <v>50160</v>
      </c>
      <c r="M6974" s="177">
        <f t="shared" si="777"/>
        <v>166.12992</v>
      </c>
      <c r="N6974" s="177">
        <f t="shared" si="778"/>
        <v>209</v>
      </c>
      <c r="O6974" s="175" t="str">
        <f t="shared" si="779"/>
        <v>Apr</v>
      </c>
      <c r="P6974" s="265">
        <f t="shared" si="780"/>
        <v>17</v>
      </c>
    </row>
    <row r="6975" spans="1:16" ht="15" hidden="1" customHeight="1">
      <c r="A6975" s="489">
        <v>64955743</v>
      </c>
      <c r="B6975" s="489">
        <v>1715</v>
      </c>
      <c r="C6975" s="488">
        <v>52500</v>
      </c>
      <c r="D6975" s="597">
        <v>46146</v>
      </c>
      <c r="E6975" s="489" t="s">
        <v>585</v>
      </c>
      <c r="F6975" s="489" t="s">
        <v>1221</v>
      </c>
      <c r="G6975" s="395">
        <f>VLOOKUP($A6975,'Tech Litons'!$A:$I,8,FALSE)</f>
        <v>3.3119999999999998E-3</v>
      </c>
      <c r="H6975" s="174">
        <f>VLOOKUP($A6975,'Tech Litons'!$A:$I,9,FALSE)</f>
        <v>165</v>
      </c>
      <c r="I6975" s="174" t="str">
        <f>VLOOKUP($A6975,'Tech Litons'!$A:$C,3,0)</f>
        <v>Yasso Sticks</v>
      </c>
      <c r="J6975" s="175" t="str">
        <f t="shared" si="775"/>
        <v>1715Yasso Sticks</v>
      </c>
      <c r="K6975" s="176">
        <f>VLOOKUP(I6975,'Attain %'!A:B,2,0)</f>
        <v>0.96</v>
      </c>
      <c r="L6975" s="177">
        <f t="shared" si="776"/>
        <v>50400</v>
      </c>
      <c r="M6975" s="177">
        <f t="shared" si="777"/>
        <v>166.9248</v>
      </c>
      <c r="N6975" s="177">
        <f t="shared" si="778"/>
        <v>305.45454545454544</v>
      </c>
      <c r="O6975" s="175" t="str">
        <f t="shared" si="779"/>
        <v>May</v>
      </c>
      <c r="P6975" s="265">
        <f t="shared" si="780"/>
        <v>19</v>
      </c>
    </row>
    <row r="6976" spans="1:16" ht="15" hidden="1" customHeight="1">
      <c r="A6976" s="489">
        <v>64958127</v>
      </c>
      <c r="B6976" s="489">
        <v>1715</v>
      </c>
      <c r="C6976" s="488">
        <v>52500</v>
      </c>
      <c r="D6976" s="597">
        <v>46160</v>
      </c>
      <c r="E6976" s="489" t="s">
        <v>237</v>
      </c>
      <c r="F6976" s="489" t="s">
        <v>1221</v>
      </c>
      <c r="G6976" s="395">
        <f>VLOOKUP($A6976,'Tech Litons'!$A:$I,8,FALSE)</f>
        <v>3.3119999999999998E-3</v>
      </c>
      <c r="H6976" s="174">
        <f>VLOOKUP($A6976,'Tech Litons'!$A:$I,9,FALSE)</f>
        <v>165</v>
      </c>
      <c r="I6976" s="174" t="str">
        <f>VLOOKUP($A6976,'Tech Litons'!$A:$C,3,0)</f>
        <v>Yasso Sticks</v>
      </c>
      <c r="J6976" s="175" t="str">
        <f t="shared" si="775"/>
        <v>1715Yasso Sticks</v>
      </c>
      <c r="K6976" s="176">
        <f>VLOOKUP(I6976,'Attain %'!A:B,2,0)</f>
        <v>0.96</v>
      </c>
      <c r="L6976" s="177">
        <f t="shared" si="776"/>
        <v>50400</v>
      </c>
      <c r="M6976" s="177">
        <f t="shared" si="777"/>
        <v>166.9248</v>
      </c>
      <c r="N6976" s="177">
        <f t="shared" si="778"/>
        <v>305.45454545454544</v>
      </c>
      <c r="O6976" s="175" t="str">
        <f t="shared" si="779"/>
        <v>May</v>
      </c>
      <c r="P6976" s="265">
        <f t="shared" si="780"/>
        <v>21</v>
      </c>
    </row>
    <row r="6977" spans="1:16" ht="15" hidden="1" customHeight="1">
      <c r="A6977" s="489">
        <v>64958129</v>
      </c>
      <c r="B6977" s="489">
        <v>1715</v>
      </c>
      <c r="C6977" s="488">
        <v>52500</v>
      </c>
      <c r="D6977" s="597">
        <v>46188</v>
      </c>
      <c r="E6977" s="489" t="s">
        <v>589</v>
      </c>
      <c r="F6977" s="489" t="s">
        <v>1221</v>
      </c>
      <c r="G6977" s="395">
        <f>VLOOKUP($A6977,'Tech Litons'!$A:$I,8,FALSE)</f>
        <v>3.3119999999999998E-3</v>
      </c>
      <c r="H6977" s="174">
        <f>VLOOKUP($A6977,'Tech Litons'!$A:$I,9,FALSE)</f>
        <v>165</v>
      </c>
      <c r="I6977" s="174" t="str">
        <f>VLOOKUP($A6977,'Tech Litons'!$A:$C,3,0)</f>
        <v>Yasso Sticks</v>
      </c>
      <c r="J6977" s="175" t="str">
        <f t="shared" si="775"/>
        <v>1715Yasso Sticks</v>
      </c>
      <c r="K6977" s="176">
        <f>VLOOKUP(I6977,'Attain %'!A:B,2,0)</f>
        <v>0.96</v>
      </c>
      <c r="L6977" s="177">
        <f t="shared" si="776"/>
        <v>50400</v>
      </c>
      <c r="M6977" s="177">
        <f t="shared" si="777"/>
        <v>166.9248</v>
      </c>
      <c r="N6977" s="177">
        <f t="shared" si="778"/>
        <v>305.45454545454544</v>
      </c>
      <c r="O6977" s="175" t="str">
        <f t="shared" si="779"/>
        <v>Jun</v>
      </c>
      <c r="P6977" s="265">
        <f t="shared" si="780"/>
        <v>25</v>
      </c>
    </row>
    <row r="6978" spans="1:16" ht="15" hidden="1" customHeight="1">
      <c r="A6978" s="489">
        <v>64958129</v>
      </c>
      <c r="B6978" s="489">
        <v>1715</v>
      </c>
      <c r="C6978" s="488">
        <v>52500</v>
      </c>
      <c r="D6978" s="597">
        <v>46251</v>
      </c>
      <c r="E6978" s="489" t="s">
        <v>589</v>
      </c>
      <c r="F6978" s="489" t="s">
        <v>1221</v>
      </c>
      <c r="G6978" s="395">
        <f>VLOOKUP($A6978,'Tech Litons'!$A:$I,8,FALSE)</f>
        <v>3.3119999999999998E-3</v>
      </c>
      <c r="H6978" s="174">
        <f>VLOOKUP($A6978,'Tech Litons'!$A:$I,9,FALSE)</f>
        <v>165</v>
      </c>
      <c r="I6978" s="174" t="str">
        <f>VLOOKUP($A6978,'Tech Litons'!$A:$C,3,0)</f>
        <v>Yasso Sticks</v>
      </c>
      <c r="J6978" s="175" t="str">
        <f t="shared" si="775"/>
        <v>1715Yasso Sticks</v>
      </c>
      <c r="K6978" s="176">
        <f>VLOOKUP(I6978,'Attain %'!A:B,2,0)</f>
        <v>0.96</v>
      </c>
      <c r="L6978" s="177">
        <f t="shared" si="776"/>
        <v>50400</v>
      </c>
      <c r="M6978" s="177">
        <f t="shared" si="777"/>
        <v>166.9248</v>
      </c>
      <c r="N6978" s="177">
        <f t="shared" si="778"/>
        <v>305.45454545454544</v>
      </c>
      <c r="O6978" s="175" t="str">
        <f t="shared" si="779"/>
        <v>Aug</v>
      </c>
      <c r="P6978" s="265">
        <f t="shared" si="780"/>
        <v>34</v>
      </c>
    </row>
    <row r="6979" spans="1:16" ht="15" hidden="1" customHeight="1">
      <c r="A6979" s="489">
        <v>64958129</v>
      </c>
      <c r="B6979" s="489">
        <v>1715</v>
      </c>
      <c r="C6979" s="488">
        <v>52500</v>
      </c>
      <c r="D6979" s="597">
        <v>46279</v>
      </c>
      <c r="E6979" s="489" t="s">
        <v>589</v>
      </c>
      <c r="F6979" s="489" t="s">
        <v>1221</v>
      </c>
      <c r="G6979" s="395">
        <f>VLOOKUP($A6979,'Tech Litons'!$A:$I,8,FALSE)</f>
        <v>3.3119999999999998E-3</v>
      </c>
      <c r="H6979" s="174">
        <f>VLOOKUP($A6979,'Tech Litons'!$A:$I,9,FALSE)</f>
        <v>165</v>
      </c>
      <c r="I6979" s="174" t="str">
        <f>VLOOKUP($A6979,'Tech Litons'!$A:$C,3,0)</f>
        <v>Yasso Sticks</v>
      </c>
      <c r="J6979" s="175" t="str">
        <f t="shared" si="775"/>
        <v>1715Yasso Sticks</v>
      </c>
      <c r="K6979" s="176">
        <f>VLOOKUP(I6979,'Attain %'!A:B,2,0)</f>
        <v>0.96</v>
      </c>
      <c r="L6979" s="177">
        <f t="shared" si="776"/>
        <v>50400</v>
      </c>
      <c r="M6979" s="177">
        <f t="shared" si="777"/>
        <v>166.9248</v>
      </c>
      <c r="N6979" s="177">
        <f t="shared" si="778"/>
        <v>305.45454545454544</v>
      </c>
      <c r="O6979" s="175" t="str">
        <f t="shared" si="779"/>
        <v>Sep</v>
      </c>
      <c r="P6979" s="265">
        <f t="shared" si="780"/>
        <v>38</v>
      </c>
    </row>
    <row r="6980" spans="1:16" ht="15" hidden="1" customHeight="1">
      <c r="A6980" s="489">
        <v>64976837</v>
      </c>
      <c r="B6980" s="489">
        <v>1715</v>
      </c>
      <c r="C6980" s="488">
        <v>52500</v>
      </c>
      <c r="D6980" s="597">
        <v>46146</v>
      </c>
      <c r="E6980" s="489" t="s">
        <v>239</v>
      </c>
      <c r="F6980" s="489" t="s">
        <v>1221</v>
      </c>
      <c r="G6980" s="395">
        <f>VLOOKUP($A6980,'Tech Litons'!$A:$I,8,FALSE)</f>
        <v>2.5040000000000001E-3</v>
      </c>
      <c r="H6980" s="174">
        <f>VLOOKUP($A6980,'Tech Litons'!$A:$I,9,FALSE)</f>
        <v>165</v>
      </c>
      <c r="I6980" s="174" t="str">
        <f>VLOOKUP($A6980,'Tech Litons'!$A:$C,3,0)</f>
        <v>Yasso Sticks</v>
      </c>
      <c r="J6980" s="175" t="str">
        <f t="shared" si="775"/>
        <v>1715Yasso Sticks</v>
      </c>
      <c r="K6980" s="176">
        <f>VLOOKUP(I6980,'Attain %'!A:B,2,0)</f>
        <v>0.96</v>
      </c>
      <c r="L6980" s="177">
        <f t="shared" si="776"/>
        <v>50400</v>
      </c>
      <c r="M6980" s="177">
        <f t="shared" si="777"/>
        <v>126.20160000000001</v>
      </c>
      <c r="N6980" s="177">
        <f t="shared" si="778"/>
        <v>305.45454545454544</v>
      </c>
      <c r="O6980" s="175" t="str">
        <f t="shared" si="779"/>
        <v>May</v>
      </c>
      <c r="P6980" s="265">
        <f t="shared" si="780"/>
        <v>19</v>
      </c>
    </row>
    <row r="6981" spans="1:16" ht="15" hidden="1" customHeight="1">
      <c r="A6981" s="489">
        <v>64976847</v>
      </c>
      <c r="B6981" s="489">
        <v>1715</v>
      </c>
      <c r="C6981" s="488">
        <v>52500</v>
      </c>
      <c r="D6981" s="597">
        <v>46286</v>
      </c>
      <c r="E6981" s="489" t="s">
        <v>590</v>
      </c>
      <c r="F6981" s="489" t="s">
        <v>1221</v>
      </c>
      <c r="G6981" s="395">
        <f>VLOOKUP($A6981,'Tech Litons'!$A:$I,8,FALSE)</f>
        <v>2.5040000000000001E-3</v>
      </c>
      <c r="H6981" s="174">
        <f>VLOOKUP($A6981,'Tech Litons'!$A:$I,9,FALSE)</f>
        <v>165</v>
      </c>
      <c r="I6981" s="174" t="str">
        <f>VLOOKUP($A6981,'Tech Litons'!$A:$C,3,0)</f>
        <v>Yasso Sticks</v>
      </c>
      <c r="J6981" s="175" t="str">
        <f t="shared" si="775"/>
        <v>1715Yasso Sticks</v>
      </c>
      <c r="K6981" s="176">
        <f>VLOOKUP(I6981,'Attain %'!A:B,2,0)</f>
        <v>0.96</v>
      </c>
      <c r="L6981" s="177">
        <f t="shared" si="776"/>
        <v>50400</v>
      </c>
      <c r="M6981" s="177">
        <f t="shared" si="777"/>
        <v>126.20160000000001</v>
      </c>
      <c r="N6981" s="177">
        <f t="shared" si="778"/>
        <v>305.45454545454544</v>
      </c>
      <c r="O6981" s="175" t="str">
        <f t="shared" si="779"/>
        <v>Sep</v>
      </c>
      <c r="P6981" s="265">
        <f t="shared" si="780"/>
        <v>39</v>
      </c>
    </row>
    <row r="6982" spans="1:16" ht="15" hidden="1" customHeight="1">
      <c r="A6982" s="489">
        <v>68851104</v>
      </c>
      <c r="B6982" s="489">
        <v>1352</v>
      </c>
      <c r="C6982" s="488">
        <v>52800</v>
      </c>
      <c r="D6982" s="597">
        <v>46125</v>
      </c>
      <c r="E6982" s="489" t="s">
        <v>270</v>
      </c>
      <c r="F6982" s="489" t="s">
        <v>1211</v>
      </c>
      <c r="G6982" s="395">
        <f>VLOOKUP($A6982,'Tech Litons'!$A:$I,8,FALSE)</f>
        <v>8.5199999999999998E-3</v>
      </c>
      <c r="H6982" s="174">
        <f>VLOOKUP($A6982,'Tech Litons'!$A:$I,9,FALSE)</f>
        <v>176</v>
      </c>
      <c r="I6982" s="174" t="str">
        <f>VLOOKUP($A6982,'Tech Litons'!$A:$C,3,0)</f>
        <v>48oz</v>
      </c>
      <c r="J6982" s="175" t="str">
        <f t="shared" si="775"/>
        <v>135248oz</v>
      </c>
      <c r="K6982" s="176">
        <f>VLOOKUP(I6982,'Attain %'!A:B,2,0)</f>
        <v>0.94</v>
      </c>
      <c r="L6982" s="177">
        <f t="shared" si="776"/>
        <v>49632</v>
      </c>
      <c r="M6982" s="177">
        <f t="shared" si="777"/>
        <v>422.86464000000001</v>
      </c>
      <c r="N6982" s="177">
        <f t="shared" si="778"/>
        <v>282</v>
      </c>
      <c r="O6982" s="175" t="str">
        <f t="shared" si="779"/>
        <v>Apr</v>
      </c>
      <c r="P6982" s="265">
        <f t="shared" si="780"/>
        <v>16</v>
      </c>
    </row>
    <row r="6983" spans="1:16" ht="15" hidden="1" customHeight="1">
      <c r="A6983" s="489">
        <v>68899826</v>
      </c>
      <c r="B6983" s="489">
        <v>1352</v>
      </c>
      <c r="C6983" s="488">
        <v>52800</v>
      </c>
      <c r="D6983" s="597">
        <v>46104</v>
      </c>
      <c r="E6983" s="489" t="s">
        <v>460</v>
      </c>
      <c r="F6983" s="489" t="s">
        <v>1207</v>
      </c>
      <c r="G6983" s="395">
        <f>VLOOKUP($A6983,'Tech Litons'!$A:$I,8,FALSE)</f>
        <v>8.5199999999999998E-3</v>
      </c>
      <c r="H6983" s="174">
        <f>VLOOKUP($A6983,'Tech Litons'!$A:$I,9,FALSE)</f>
        <v>176</v>
      </c>
      <c r="I6983" s="174" t="str">
        <f>VLOOKUP($A6983,'Tech Litons'!$A:$C,3,0)</f>
        <v>48oz</v>
      </c>
      <c r="J6983" s="175" t="str">
        <f t="shared" si="775"/>
        <v>135248oz</v>
      </c>
      <c r="K6983" s="176">
        <f>VLOOKUP(I6983,'Attain %'!A:B,2,0)</f>
        <v>0.94</v>
      </c>
      <c r="L6983" s="177">
        <f t="shared" si="776"/>
        <v>49632</v>
      </c>
      <c r="M6983" s="177">
        <f t="shared" si="777"/>
        <v>422.86464000000001</v>
      </c>
      <c r="N6983" s="177">
        <f t="shared" si="778"/>
        <v>282</v>
      </c>
      <c r="O6983" s="175" t="str">
        <f t="shared" si="779"/>
        <v>Mar</v>
      </c>
      <c r="P6983" s="265">
        <f t="shared" si="780"/>
        <v>13</v>
      </c>
    </row>
    <row r="6984" spans="1:16" ht="15" hidden="1" customHeight="1">
      <c r="A6984" s="489">
        <v>64975614</v>
      </c>
      <c r="B6984" s="489">
        <v>1716</v>
      </c>
      <c r="C6984" s="488">
        <v>53250</v>
      </c>
      <c r="D6984" s="597">
        <v>46132</v>
      </c>
      <c r="E6984" s="489" t="s">
        <v>594</v>
      </c>
      <c r="F6984" s="489" t="s">
        <v>1221</v>
      </c>
      <c r="G6984" s="395">
        <f>VLOOKUP($A6984,'Tech Litons'!$A:$I,8,FALSE)</f>
        <v>3.3119999999999998E-3</v>
      </c>
      <c r="H6984" s="174">
        <f>VLOOKUP($A6984,'Tech Litons'!$A:$I,9,FALSE)</f>
        <v>240</v>
      </c>
      <c r="I6984" s="174" t="str">
        <f>VLOOKUP($A6984,'Tech Litons'!$A:$C,3,0)</f>
        <v>YS PTS</v>
      </c>
      <c r="J6984" s="175" t="str">
        <f t="shared" si="775"/>
        <v>1716YS PTS</v>
      </c>
      <c r="K6984" s="176">
        <f>VLOOKUP(I6984,'Attain %'!A:B,2,0)</f>
        <v>0.96</v>
      </c>
      <c r="L6984" s="177">
        <f t="shared" si="776"/>
        <v>51120</v>
      </c>
      <c r="M6984" s="177">
        <f t="shared" si="777"/>
        <v>169.30944</v>
      </c>
      <c r="N6984" s="177">
        <f t="shared" si="778"/>
        <v>213</v>
      </c>
      <c r="O6984" s="175" t="str">
        <f t="shared" si="779"/>
        <v>Apr</v>
      </c>
      <c r="P6984" s="265">
        <f t="shared" si="780"/>
        <v>17</v>
      </c>
    </row>
    <row r="6985" spans="1:16" ht="15" hidden="1" customHeight="1">
      <c r="A6985" s="489">
        <v>64999073</v>
      </c>
      <c r="B6985" s="489">
        <v>1716</v>
      </c>
      <c r="C6985" s="488">
        <v>53250</v>
      </c>
      <c r="D6985" s="597">
        <v>46132</v>
      </c>
      <c r="E6985" s="489" t="s">
        <v>595</v>
      </c>
      <c r="F6985" s="489" t="s">
        <v>1221</v>
      </c>
      <c r="G6985" s="395">
        <f>VLOOKUP($A6985,'Tech Litons'!$A:$I,8,FALSE)</f>
        <v>3.3119999999999998E-3</v>
      </c>
      <c r="H6985" s="174">
        <f>VLOOKUP($A6985,'Tech Litons'!$A:$I,9,FALSE)</f>
        <v>240</v>
      </c>
      <c r="I6985" s="174" t="str">
        <f>VLOOKUP($A6985,'Tech Litons'!$A:$C,3,0)</f>
        <v>YS PTS</v>
      </c>
      <c r="J6985" s="175" t="str">
        <f t="shared" si="775"/>
        <v>1716YS PTS</v>
      </c>
      <c r="K6985" s="176">
        <f>VLOOKUP(I6985,'Attain %'!A:B,2,0)</f>
        <v>0.96</v>
      </c>
      <c r="L6985" s="177">
        <f t="shared" si="776"/>
        <v>51120</v>
      </c>
      <c r="M6985" s="177">
        <f t="shared" si="777"/>
        <v>169.30944</v>
      </c>
      <c r="N6985" s="177">
        <f t="shared" si="778"/>
        <v>213</v>
      </c>
      <c r="O6985" s="175" t="str">
        <f t="shared" si="779"/>
        <v>Apr</v>
      </c>
      <c r="P6985" s="265">
        <f t="shared" si="780"/>
        <v>17</v>
      </c>
    </row>
    <row r="6986" spans="1:16" ht="15" hidden="1" customHeight="1">
      <c r="A6986" s="489">
        <v>65490430</v>
      </c>
      <c r="B6986" s="489">
        <v>1352</v>
      </c>
      <c r="C6986" s="488">
        <v>54000</v>
      </c>
      <c r="D6986" s="597">
        <v>46132</v>
      </c>
      <c r="E6986" s="489" t="s">
        <v>895</v>
      </c>
      <c r="F6986" s="489" t="s">
        <v>1218</v>
      </c>
      <c r="G6986" s="395">
        <f>VLOOKUP($A6986,'Tech Litons'!$A:$I,8,FALSE)</f>
        <v>1.5608888888888888E-3</v>
      </c>
      <c r="H6986" s="174">
        <f>VLOOKUP($A6986,'Tech Litons'!$A:$I,9,FALSE)</f>
        <v>200</v>
      </c>
      <c r="I6986" s="174" t="str">
        <f>VLOOKUP($A6986,'Tech Litons'!$A:$C,3,0)</f>
        <v>PG</v>
      </c>
      <c r="J6986" s="175" t="str">
        <f t="shared" si="775"/>
        <v>1352PG</v>
      </c>
      <c r="K6986" s="176">
        <f>VLOOKUP(I6986,'Attain %'!A:B,2,0)</f>
        <v>0.96</v>
      </c>
      <c r="L6986" s="177">
        <f t="shared" si="776"/>
        <v>51840</v>
      </c>
      <c r="M6986" s="177">
        <f t="shared" si="777"/>
        <v>80.916479999999993</v>
      </c>
      <c r="N6986" s="177">
        <f t="shared" si="778"/>
        <v>259.2</v>
      </c>
      <c r="O6986" s="175" t="str">
        <f t="shared" si="779"/>
        <v>Apr</v>
      </c>
      <c r="P6986" s="265">
        <f t="shared" si="780"/>
        <v>17</v>
      </c>
    </row>
    <row r="6987" spans="1:16" ht="15" hidden="1" customHeight="1">
      <c r="A6987" s="489">
        <v>64988056</v>
      </c>
      <c r="B6987" s="489">
        <v>2904</v>
      </c>
      <c r="C6987" s="488">
        <v>54000</v>
      </c>
      <c r="D6987" s="597">
        <v>46132</v>
      </c>
      <c r="E6987" s="489" t="s">
        <v>268</v>
      </c>
      <c r="F6987" s="489" t="s">
        <v>1225</v>
      </c>
      <c r="G6987" s="395">
        <f>VLOOKUP($A6987,'Tech Litons'!$A:$I,8,FALSE)</f>
        <v>8.513999999999999E-3</v>
      </c>
      <c r="H6987" s="174">
        <f>VLOOKUP($A6987,'Tech Litons'!$A:$I,9,FALSE)</f>
        <v>176</v>
      </c>
      <c r="I6987" s="174" t="str">
        <f>VLOOKUP($A6987,'Tech Litons'!$A:$C,3,0)</f>
        <v>48oz</v>
      </c>
      <c r="J6987" s="175" t="str">
        <f t="shared" si="775"/>
        <v>290448oz</v>
      </c>
      <c r="K6987" s="176">
        <f>VLOOKUP(I6987,'Attain %'!A:B,2,0)</f>
        <v>0.94</v>
      </c>
      <c r="L6987" s="177">
        <f t="shared" si="776"/>
        <v>50760</v>
      </c>
      <c r="M6987" s="177">
        <f t="shared" si="777"/>
        <v>432.17063999999993</v>
      </c>
      <c r="N6987" s="177">
        <f t="shared" si="778"/>
        <v>288.40909090909093</v>
      </c>
      <c r="O6987" s="175" t="str">
        <f t="shared" si="779"/>
        <v>Apr</v>
      </c>
      <c r="P6987" s="265">
        <f t="shared" si="780"/>
        <v>17</v>
      </c>
    </row>
    <row r="6988" spans="1:16" ht="15" hidden="1" customHeight="1">
      <c r="A6988" s="489">
        <v>69988931</v>
      </c>
      <c r="B6988" s="489">
        <v>2904</v>
      </c>
      <c r="C6988" s="488">
        <v>54000</v>
      </c>
      <c r="D6988" s="597">
        <v>46160</v>
      </c>
      <c r="E6988" s="489" t="s">
        <v>363</v>
      </c>
      <c r="F6988" s="489" t="s">
        <v>1238</v>
      </c>
      <c r="G6988" s="395">
        <f>VLOOKUP($A6988,'Tech Litons'!$A:$I,8,FALSE)</f>
        <v>1.98E-3</v>
      </c>
      <c r="H6988" s="174">
        <f>VLOOKUP($A6988,'Tech Litons'!$A:$I,9,FALSE)</f>
        <v>176</v>
      </c>
      <c r="I6988" s="174" t="str">
        <f>VLOOKUP($A6988,'Tech Litons'!$A:$C,3,0)</f>
        <v>MG Sticks</v>
      </c>
      <c r="J6988" s="175" t="str">
        <f t="shared" si="775"/>
        <v>2904MG Sticks</v>
      </c>
      <c r="K6988" s="176">
        <f>VLOOKUP(I6988,'Attain %'!A:B,2,0)</f>
        <v>0.96</v>
      </c>
      <c r="L6988" s="177">
        <f t="shared" si="776"/>
        <v>51840</v>
      </c>
      <c r="M6988" s="177">
        <f t="shared" si="777"/>
        <v>102.64319999999999</v>
      </c>
      <c r="N6988" s="177">
        <f t="shared" si="778"/>
        <v>294.54545454545456</v>
      </c>
      <c r="O6988" s="175" t="str">
        <f t="shared" si="779"/>
        <v>May</v>
      </c>
      <c r="P6988" s="265">
        <f t="shared" si="780"/>
        <v>21</v>
      </c>
    </row>
    <row r="6989" spans="1:16" ht="15" hidden="1" customHeight="1">
      <c r="A6989" s="489">
        <v>62714126</v>
      </c>
      <c r="B6989" s="489" t="s">
        <v>133</v>
      </c>
      <c r="C6989" s="488">
        <v>54306</v>
      </c>
      <c r="D6989" s="597">
        <v>46146</v>
      </c>
      <c r="E6989" s="489" t="s">
        <v>402</v>
      </c>
      <c r="F6989" s="489" t="s">
        <v>1223</v>
      </c>
      <c r="G6989" s="395">
        <f>VLOOKUP($A6989,'Tech Litons'!$A:$I,8,FALSE)</f>
        <v>5.2680000000000001E-3</v>
      </c>
      <c r="H6989" s="174">
        <f>VLOOKUP($A6989,'Tech Litons'!$A:$I,9,FALSE)</f>
        <v>130</v>
      </c>
      <c r="I6989" s="174" t="str">
        <f>VLOOKUP($A6989,'Tech Litons'!$A:$C,3,0)</f>
        <v>PG</v>
      </c>
      <c r="J6989" s="175" t="str">
        <f t="shared" si="775"/>
        <v>GDIPG</v>
      </c>
      <c r="K6989" s="176">
        <f>VLOOKUP(I6989,'Attain %'!A:B,2,0)</f>
        <v>0.96</v>
      </c>
      <c r="L6989" s="177">
        <f t="shared" si="776"/>
        <v>52133.759999999995</v>
      </c>
      <c r="M6989" s="177">
        <f t="shared" si="777"/>
        <v>274.64064767999997</v>
      </c>
      <c r="N6989" s="177">
        <f t="shared" si="778"/>
        <v>401.02892307692304</v>
      </c>
      <c r="O6989" s="175" t="str">
        <f t="shared" si="779"/>
        <v>May</v>
      </c>
      <c r="P6989" s="265">
        <f t="shared" si="780"/>
        <v>19</v>
      </c>
    </row>
    <row r="6990" spans="1:16" ht="15" hidden="1" customHeight="1">
      <c r="A6990" s="489">
        <v>68862496</v>
      </c>
      <c r="B6990" s="489">
        <v>2904</v>
      </c>
      <c r="C6990" s="488">
        <v>54344</v>
      </c>
      <c r="D6990" s="597">
        <v>46104</v>
      </c>
      <c r="E6990" s="489" t="s">
        <v>356</v>
      </c>
      <c r="F6990" s="489" t="s">
        <v>1235</v>
      </c>
      <c r="G6990" s="395">
        <f>VLOOKUP($A6990,'Tech Litons'!$A:$I,8,FALSE)</f>
        <v>3.7839999999999996E-3</v>
      </c>
      <c r="H6990" s="174">
        <f>VLOOKUP($A6990,'Tech Litons'!$A:$I,9,FALSE)</f>
        <v>255</v>
      </c>
      <c r="I6990" s="174" t="str">
        <f>VLOOKUP($A6990,'Tech Litons'!$A:$C,3,0)</f>
        <v>TALENTI</v>
      </c>
      <c r="J6990" s="175" t="str">
        <f t="shared" si="775"/>
        <v>2904TALENTI</v>
      </c>
      <c r="K6990" s="176">
        <f>VLOOKUP(I6990,'Attain %'!A:B,2,0)</f>
        <v>0.96</v>
      </c>
      <c r="L6990" s="177">
        <f t="shared" si="776"/>
        <v>52170.239999999998</v>
      </c>
      <c r="M6990" s="177">
        <f t="shared" si="777"/>
        <v>197.41218815999997</v>
      </c>
      <c r="N6990" s="177">
        <f t="shared" si="778"/>
        <v>204.58917647058823</v>
      </c>
      <c r="O6990" s="175" t="str">
        <f t="shared" si="779"/>
        <v>Mar</v>
      </c>
      <c r="P6990" s="265">
        <f t="shared" si="780"/>
        <v>13</v>
      </c>
    </row>
    <row r="6991" spans="1:16" ht="15" hidden="1" customHeight="1">
      <c r="A6991" s="489">
        <v>64979444</v>
      </c>
      <c r="B6991" s="489" t="s">
        <v>139</v>
      </c>
      <c r="D6991" s="597">
        <v>46111</v>
      </c>
      <c r="E6991" s="489" t="s">
        <v>622</v>
      </c>
      <c r="F6991" s="489" t="s">
        <v>1223</v>
      </c>
      <c r="G6991" s="395">
        <f>VLOOKUP($A6991,'Tech Litons'!$A:$I,8,FALSE)</f>
        <v>2.16E-3</v>
      </c>
      <c r="H6991" s="174">
        <f>VLOOKUP($A6991,'Tech Litons'!$A:$I,9,FALSE)</f>
        <v>195</v>
      </c>
      <c r="I6991" s="174" t="str">
        <f>VLOOKUP($A6991,'Tech Litons'!$A:$C,3,0)</f>
        <v>Facepieces</v>
      </c>
      <c r="J6991" s="175" t="str">
        <f t="shared" si="775"/>
        <v>IncomFacepieces</v>
      </c>
      <c r="K6991" s="176">
        <f>VLOOKUP(I6991,'Attain %'!A:B,2,0)</f>
        <v>0.96</v>
      </c>
      <c r="L6991" s="177">
        <f t="shared" si="776"/>
        <v>0</v>
      </c>
      <c r="M6991" s="177">
        <f t="shared" si="777"/>
        <v>0</v>
      </c>
      <c r="N6991" s="177">
        <f t="shared" si="778"/>
        <v>0</v>
      </c>
      <c r="O6991" s="175" t="str">
        <f t="shared" si="779"/>
        <v>Mar</v>
      </c>
      <c r="P6991" s="265">
        <f t="shared" si="780"/>
        <v>14</v>
      </c>
    </row>
    <row r="6992" spans="1:16" ht="15" hidden="1" customHeight="1">
      <c r="A6992" s="489">
        <v>64328806</v>
      </c>
      <c r="B6992" s="489">
        <v>1712</v>
      </c>
      <c r="C6992" s="488">
        <v>55040</v>
      </c>
      <c r="D6992" s="597">
        <v>46125</v>
      </c>
      <c r="E6992" s="489" t="s">
        <v>324</v>
      </c>
      <c r="F6992" s="489" t="s">
        <v>1221</v>
      </c>
      <c r="G6992" s="395">
        <f>VLOOKUP($A6992,'Tech Litons'!$A:$I,8,FALSE)</f>
        <v>2.8380000000000002E-3</v>
      </c>
      <c r="H6992" s="174">
        <f>VLOOKUP($A6992,'Tech Litons'!$A:$I,9,FALSE)</f>
        <v>189</v>
      </c>
      <c r="I6992" s="174" t="str">
        <f>VLOOKUP($A6992,'Tech Litons'!$A:$C,3,0)</f>
        <v>ESS</v>
      </c>
      <c r="J6992" s="175" t="str">
        <f t="shared" si="775"/>
        <v>1712ESS</v>
      </c>
      <c r="K6992" s="176">
        <f>VLOOKUP(I6992,'Attain %'!A:B,2,0)</f>
        <v>0.96</v>
      </c>
      <c r="L6992" s="177">
        <f t="shared" si="776"/>
        <v>52838.400000000001</v>
      </c>
      <c r="M6992" s="177">
        <f t="shared" si="777"/>
        <v>149.95537920000001</v>
      </c>
      <c r="N6992" s="177">
        <f t="shared" si="778"/>
        <v>279.568253968254</v>
      </c>
      <c r="O6992" s="175" t="str">
        <f t="shared" si="779"/>
        <v>Apr</v>
      </c>
      <c r="P6992" s="265">
        <f t="shared" si="780"/>
        <v>16</v>
      </c>
    </row>
    <row r="6993" spans="1:16" ht="15" hidden="1" customHeight="1">
      <c r="A6993" s="489">
        <v>68851107</v>
      </c>
      <c r="B6993" s="489">
        <v>1352</v>
      </c>
      <c r="C6993" s="488">
        <v>55350</v>
      </c>
      <c r="D6993" s="597">
        <v>46104</v>
      </c>
      <c r="E6993" s="489" t="s">
        <v>272</v>
      </c>
      <c r="F6993" s="489" t="s">
        <v>1211</v>
      </c>
      <c r="G6993" s="395">
        <f>VLOOKUP($A6993,'Tech Litons'!$A:$I,8,FALSE)</f>
        <v>8.5199999999999998E-3</v>
      </c>
      <c r="H6993" s="174">
        <f>VLOOKUP($A6993,'Tech Litons'!$A:$I,9,FALSE)</f>
        <v>176</v>
      </c>
      <c r="I6993" s="174" t="str">
        <f>VLOOKUP($A6993,'Tech Litons'!$A:$C,3,0)</f>
        <v>48oz</v>
      </c>
      <c r="J6993" s="175" t="str">
        <f t="shared" si="775"/>
        <v>135248oz</v>
      </c>
      <c r="K6993" s="176">
        <f>VLOOKUP(I6993,'Attain %'!A:B,2,0)</f>
        <v>0.94</v>
      </c>
      <c r="L6993" s="177">
        <f t="shared" si="776"/>
        <v>52029</v>
      </c>
      <c r="M6993" s="177">
        <f t="shared" si="777"/>
        <v>443.28708</v>
      </c>
      <c r="N6993" s="177">
        <f t="shared" si="778"/>
        <v>295.61931818181819</v>
      </c>
      <c r="O6993" s="175" t="str">
        <f t="shared" si="779"/>
        <v>Mar</v>
      </c>
      <c r="P6993" s="265">
        <f t="shared" si="780"/>
        <v>13</v>
      </c>
    </row>
    <row r="6994" spans="1:16" ht="15" hidden="1" customHeight="1">
      <c r="A6994" s="489">
        <v>64975613</v>
      </c>
      <c r="B6994" s="489">
        <v>1716</v>
      </c>
      <c r="C6994" s="488">
        <v>56000</v>
      </c>
      <c r="D6994" s="597">
        <v>46153</v>
      </c>
      <c r="E6994" s="489" t="s">
        <v>593</v>
      </c>
      <c r="F6994" s="489" t="s">
        <v>1221</v>
      </c>
      <c r="G6994" s="395">
        <f>VLOOKUP($A6994,'Tech Litons'!$A:$I,8,FALSE)</f>
        <v>3.3119999999999998E-3</v>
      </c>
      <c r="H6994" s="174">
        <f>VLOOKUP($A6994,'Tech Litons'!$A:$I,9,FALSE)</f>
        <v>240</v>
      </c>
      <c r="I6994" s="174" t="str">
        <f>VLOOKUP($A6994,'Tech Litons'!$A:$C,3,0)</f>
        <v>YS PTS</v>
      </c>
      <c r="J6994" s="175" t="str">
        <f t="shared" si="775"/>
        <v>1716YS PTS</v>
      </c>
      <c r="K6994" s="176">
        <f>VLOOKUP(I6994,'Attain %'!A:B,2,0)</f>
        <v>0.96</v>
      </c>
      <c r="L6994" s="177">
        <f t="shared" si="776"/>
        <v>53760</v>
      </c>
      <c r="M6994" s="177">
        <f t="shared" si="777"/>
        <v>178.05311999999998</v>
      </c>
      <c r="N6994" s="177">
        <f t="shared" si="778"/>
        <v>224</v>
      </c>
      <c r="O6994" s="175" t="str">
        <f t="shared" si="779"/>
        <v>May</v>
      </c>
      <c r="P6994" s="265">
        <f t="shared" si="780"/>
        <v>20</v>
      </c>
    </row>
    <row r="6995" spans="1:16" ht="15" hidden="1" customHeight="1">
      <c r="A6995" s="489">
        <v>64976847</v>
      </c>
      <c r="B6995" s="489">
        <v>1716</v>
      </c>
      <c r="C6995" s="488">
        <v>56000</v>
      </c>
      <c r="D6995" s="597">
        <v>46146</v>
      </c>
      <c r="E6995" s="489" t="s">
        <v>590</v>
      </c>
      <c r="F6995" s="489" t="s">
        <v>1221</v>
      </c>
      <c r="G6995" s="395">
        <f>VLOOKUP($A6995,'Tech Litons'!$A:$I,8,FALSE)</f>
        <v>2.5040000000000001E-3</v>
      </c>
      <c r="H6995" s="174">
        <f>VLOOKUP($A6995,'Tech Litons'!$A:$I,9,FALSE)</f>
        <v>165</v>
      </c>
      <c r="I6995" s="174" t="str">
        <f>VLOOKUP($A6995,'Tech Litons'!$A:$C,3,0)</f>
        <v>Yasso Sticks</v>
      </c>
      <c r="J6995" s="175" t="str">
        <f t="shared" si="775"/>
        <v>1716Yasso Sticks</v>
      </c>
      <c r="K6995" s="176">
        <f>VLOOKUP(I6995,'Attain %'!A:B,2,0)</f>
        <v>0.96</v>
      </c>
      <c r="L6995" s="177">
        <f t="shared" si="776"/>
        <v>53760</v>
      </c>
      <c r="M6995" s="177">
        <f t="shared" si="777"/>
        <v>134.61504000000002</v>
      </c>
      <c r="N6995" s="177">
        <f t="shared" si="778"/>
        <v>325.81818181818181</v>
      </c>
      <c r="O6995" s="175" t="str">
        <f t="shared" si="779"/>
        <v>May</v>
      </c>
      <c r="P6995" s="265">
        <f t="shared" si="780"/>
        <v>19</v>
      </c>
    </row>
    <row r="6996" spans="1:16" ht="15" customHeight="1">
      <c r="A6996" s="489">
        <v>65594416</v>
      </c>
      <c r="B6996" s="489">
        <v>2904</v>
      </c>
      <c r="C6996" s="488">
        <v>56000</v>
      </c>
      <c r="D6996" s="597">
        <v>46118</v>
      </c>
      <c r="E6996" s="489" t="s">
        <v>1241</v>
      </c>
      <c r="F6996" s="489" t="s">
        <v>1239</v>
      </c>
      <c r="G6996" s="395">
        <f>VLOOKUP($A6996,'Tech Litons'!$A:$I,8,FALSE)</f>
        <v>9.5999999999999992E-4</v>
      </c>
      <c r="H6996" s="174">
        <f>VLOOKUP($A6996,'Tech Litons'!$A:$I,9,FALSE)</f>
        <v>432</v>
      </c>
      <c r="I6996" s="174" t="str">
        <f>VLOOKUP($A6996,'Tech Litons'!$A:$C,3,0)</f>
        <v>MG Sticks</v>
      </c>
      <c r="J6996" s="175" t="str">
        <f t="shared" si="775"/>
        <v>2904MG Sticks</v>
      </c>
      <c r="K6996" s="176">
        <f>VLOOKUP(I6996,'Attain %'!A:B,2,0)</f>
        <v>0.96</v>
      </c>
      <c r="L6996" s="177">
        <f t="shared" si="776"/>
        <v>53760</v>
      </c>
      <c r="M6996" s="177">
        <f t="shared" si="777"/>
        <v>51.609599999999993</v>
      </c>
      <c r="N6996" s="177">
        <f t="shared" si="778"/>
        <v>124.44444444444444</v>
      </c>
      <c r="O6996" s="175" t="str">
        <f t="shared" si="779"/>
        <v>Apr</v>
      </c>
      <c r="P6996" s="265">
        <f t="shared" si="780"/>
        <v>15</v>
      </c>
    </row>
    <row r="6997" spans="1:16" ht="15" hidden="1" customHeight="1">
      <c r="A6997" s="489">
        <v>84138392</v>
      </c>
      <c r="B6997" s="489">
        <v>5914</v>
      </c>
      <c r="C6997" s="488">
        <v>11600</v>
      </c>
      <c r="D6997" s="597">
        <v>46111</v>
      </c>
      <c r="E6997" s="489" t="s">
        <v>418</v>
      </c>
      <c r="F6997" s="489" t="s">
        <v>1244</v>
      </c>
      <c r="G6997" s="395">
        <f>VLOOKUP($A6997,'Tech Litons'!$A:$I,8,FALSE)</f>
        <v>3.7839999999999996E-3</v>
      </c>
      <c r="H6997" s="174">
        <f>VLOOKUP($A6997,'Tech Litons'!$A:$I,9,FALSE)</f>
        <v>240</v>
      </c>
      <c r="I6997" s="174" t="str">
        <f>VLOOKUP($A6997,'Tech Litons'!$A:$C,3,0)</f>
        <v>BJ PTS</v>
      </c>
      <c r="J6997" s="175" t="str">
        <f t="shared" si="775"/>
        <v>5914BJ PTS</v>
      </c>
      <c r="K6997" s="176">
        <f>VLOOKUP(I6997,'Attain %'!A:B,2,0)</f>
        <v>0.95</v>
      </c>
      <c r="L6997" s="177">
        <f t="shared" si="776"/>
        <v>11020</v>
      </c>
      <c r="M6997" s="177">
        <f t="shared" si="777"/>
        <v>41.699679999999994</v>
      </c>
      <c r="N6997" s="177">
        <f t="shared" si="778"/>
        <v>45.916666666666664</v>
      </c>
      <c r="O6997" s="175" t="str">
        <f t="shared" si="779"/>
        <v>Mar</v>
      </c>
      <c r="P6997" s="265">
        <f t="shared" si="780"/>
        <v>14</v>
      </c>
    </row>
    <row r="6998" spans="1:16" ht="15" hidden="1" customHeight="1">
      <c r="A6998" s="489">
        <v>64341108</v>
      </c>
      <c r="B6998" s="489" t="s">
        <v>139</v>
      </c>
      <c r="C6998" s="488">
        <v>56400</v>
      </c>
      <c r="D6998" s="597">
        <v>46209</v>
      </c>
      <c r="E6998" s="489" t="s">
        <v>615</v>
      </c>
      <c r="F6998" s="489" t="s">
        <v>1223</v>
      </c>
      <c r="G6998" s="395">
        <f>VLOOKUP($A6998,'Tech Litons'!$A:$I,8,FALSE)</f>
        <v>2.3599999999999997E-3</v>
      </c>
      <c r="H6998" s="174">
        <f>VLOOKUP($A6998,'Tech Litons'!$A:$I,9,FALSE)</f>
        <v>210</v>
      </c>
      <c r="I6998" s="174" t="str">
        <f>VLOOKUP($A6998,'Tech Litons'!$A:$C,3,0)</f>
        <v>Facepieces</v>
      </c>
      <c r="J6998" s="175" t="str">
        <f t="shared" si="775"/>
        <v>IncomFacepieces</v>
      </c>
      <c r="K6998" s="176">
        <f>VLOOKUP(I6998,'Attain %'!A:B,2,0)</f>
        <v>0.96</v>
      </c>
      <c r="L6998" s="177">
        <f t="shared" si="776"/>
        <v>54144</v>
      </c>
      <c r="M6998" s="177">
        <f t="shared" si="777"/>
        <v>127.77983999999998</v>
      </c>
      <c r="N6998" s="177">
        <f t="shared" si="778"/>
        <v>257.82857142857142</v>
      </c>
      <c r="O6998" s="175" t="str">
        <f t="shared" si="779"/>
        <v>Jul</v>
      </c>
      <c r="P6998" s="265">
        <f t="shared" si="780"/>
        <v>28</v>
      </c>
    </row>
    <row r="6999" spans="1:16" ht="15" hidden="1" customHeight="1">
      <c r="A6999" s="489">
        <v>64341108</v>
      </c>
      <c r="B6999" s="489" t="s">
        <v>139</v>
      </c>
      <c r="C6999" s="488">
        <v>56400</v>
      </c>
      <c r="D6999" s="597">
        <v>46244</v>
      </c>
      <c r="E6999" s="489" t="s">
        <v>615</v>
      </c>
      <c r="F6999" s="489" t="s">
        <v>1223</v>
      </c>
      <c r="G6999" s="395">
        <f>VLOOKUP($A6999,'Tech Litons'!$A:$I,8,FALSE)</f>
        <v>2.3599999999999997E-3</v>
      </c>
      <c r="H6999" s="174">
        <f>VLOOKUP($A6999,'Tech Litons'!$A:$I,9,FALSE)</f>
        <v>210</v>
      </c>
      <c r="I6999" s="174" t="str">
        <f>VLOOKUP($A6999,'Tech Litons'!$A:$C,3,0)</f>
        <v>Facepieces</v>
      </c>
      <c r="J6999" s="175" t="str">
        <f t="shared" si="775"/>
        <v>IncomFacepieces</v>
      </c>
      <c r="K6999" s="176">
        <f>VLOOKUP(I6999,'Attain %'!A:B,2,0)</f>
        <v>0.96</v>
      </c>
      <c r="L6999" s="177">
        <f t="shared" si="776"/>
        <v>54144</v>
      </c>
      <c r="M6999" s="177">
        <f t="shared" si="777"/>
        <v>127.77983999999998</v>
      </c>
      <c r="N6999" s="177">
        <f t="shared" si="778"/>
        <v>257.82857142857142</v>
      </c>
      <c r="O6999" s="175" t="str">
        <f t="shared" si="779"/>
        <v>Aug</v>
      </c>
      <c r="P6999" s="265">
        <f t="shared" si="780"/>
        <v>33</v>
      </c>
    </row>
    <row r="7000" spans="1:16" ht="15" hidden="1" customHeight="1">
      <c r="A7000" s="489">
        <v>67794169</v>
      </c>
      <c r="B7000" s="489">
        <v>5911</v>
      </c>
      <c r="C7000" s="488">
        <v>57480</v>
      </c>
      <c r="D7000" s="597">
        <v>46104</v>
      </c>
      <c r="E7000" s="489" t="s">
        <v>352</v>
      </c>
      <c r="F7000" s="489" t="s">
        <v>1242</v>
      </c>
      <c r="G7000" s="395">
        <f>VLOOKUP($A7000,'Tech Litons'!$A:$I,8,FALSE)</f>
        <v>3.7853439999999999E-3</v>
      </c>
      <c r="H7000" s="174">
        <f>VLOOKUP($A7000,'Tech Litons'!$A:$I,9,FALSE)</f>
        <v>240</v>
      </c>
      <c r="I7000" s="174" t="str">
        <f>VLOOKUP($A7000,'Tech Litons'!$A:$C,3,0)</f>
        <v>BJ PTS</v>
      </c>
      <c r="J7000" s="175" t="str">
        <f t="shared" si="775"/>
        <v>5911BJ PTS</v>
      </c>
      <c r="K7000" s="176">
        <f>VLOOKUP(I7000,'Attain %'!A:B,2,0)</f>
        <v>0.95</v>
      </c>
      <c r="L7000" s="177">
        <f t="shared" si="776"/>
        <v>54606</v>
      </c>
      <c r="M7000" s="177">
        <f t="shared" si="777"/>
        <v>206.70249446399998</v>
      </c>
      <c r="N7000" s="177">
        <f t="shared" si="778"/>
        <v>227.52500000000001</v>
      </c>
      <c r="O7000" s="175" t="str">
        <f t="shared" si="779"/>
        <v>Mar</v>
      </c>
      <c r="P7000" s="265">
        <f t="shared" si="780"/>
        <v>13</v>
      </c>
    </row>
    <row r="7001" spans="1:16" ht="15" hidden="1" customHeight="1">
      <c r="A7001" s="489">
        <v>64973976</v>
      </c>
      <c r="B7001" s="489">
        <v>1712</v>
      </c>
      <c r="C7001" s="488">
        <v>57600</v>
      </c>
      <c r="D7001" s="597">
        <v>46202</v>
      </c>
      <c r="E7001" s="489" t="s">
        <v>1190</v>
      </c>
      <c r="F7001" s="489" t="s">
        <v>1221</v>
      </c>
      <c r="G7001" s="395">
        <f>VLOOKUP($A7001,'Tech Litons'!$A:$I,8,FALSE)</f>
        <v>1.0644000000000001E-3</v>
      </c>
      <c r="H7001" s="174">
        <f>VLOOKUP($A7001,'Tech Litons'!$A:$I,9,FALSE)</f>
        <v>190</v>
      </c>
      <c r="I7001" s="174" t="str">
        <f>VLOOKUP($A7001,'Tech Litons'!$A:$C,3,0)</f>
        <v>BR Minicups</v>
      </c>
      <c r="J7001" s="175" t="str">
        <f t="shared" si="775"/>
        <v>1712BR Minicups</v>
      </c>
      <c r="K7001" s="176">
        <f>VLOOKUP(I7001,'Attain %'!A:B,2,0)</f>
        <v>0.96</v>
      </c>
      <c r="L7001" s="177">
        <f t="shared" si="776"/>
        <v>55296</v>
      </c>
      <c r="M7001" s="177">
        <f t="shared" si="777"/>
        <v>58.857062400000004</v>
      </c>
      <c r="N7001" s="177">
        <f t="shared" si="778"/>
        <v>291.03157894736842</v>
      </c>
      <c r="O7001" s="175" t="str">
        <f t="shared" si="779"/>
        <v>Jun</v>
      </c>
      <c r="P7001" s="265">
        <f t="shared" si="780"/>
        <v>27</v>
      </c>
    </row>
    <row r="7002" spans="1:16" ht="15" hidden="1" customHeight="1">
      <c r="A7002" s="489">
        <v>64396550</v>
      </c>
      <c r="B7002" s="489">
        <v>2904</v>
      </c>
      <c r="D7002" s="597">
        <v>46111</v>
      </c>
      <c r="E7002" s="489" t="s">
        <v>548</v>
      </c>
      <c r="F7002" s="489" t="s">
        <v>1239</v>
      </c>
      <c r="G7002" s="395">
        <f>VLOOKUP($A7002,'Tech Litons'!$A:$I,8,FALSE)</f>
        <v>1.08E-3</v>
      </c>
      <c r="H7002" s="174">
        <f>VLOOKUP($A7002,'Tech Litons'!$A:$I,9,FALSE)</f>
        <v>493</v>
      </c>
      <c r="I7002" s="174" t="str">
        <f>VLOOKUP($A7002,'Tech Litons'!$A:$C,3,0)</f>
        <v>MG Sticks</v>
      </c>
      <c r="J7002" s="175" t="str">
        <f t="shared" si="775"/>
        <v>2904MG Sticks</v>
      </c>
      <c r="K7002" s="176">
        <f>VLOOKUP(I7002,'Attain %'!A:B,2,0)</f>
        <v>0.96</v>
      </c>
      <c r="L7002" s="177">
        <f t="shared" si="776"/>
        <v>0</v>
      </c>
      <c r="M7002" s="177">
        <f t="shared" si="777"/>
        <v>0</v>
      </c>
      <c r="N7002" s="177">
        <f t="shared" si="778"/>
        <v>0</v>
      </c>
      <c r="O7002" s="175" t="str">
        <f t="shared" si="779"/>
        <v>Mar</v>
      </c>
      <c r="P7002" s="265">
        <f t="shared" si="780"/>
        <v>14</v>
      </c>
    </row>
    <row r="7003" spans="1:16" ht="15" hidden="1" customHeight="1">
      <c r="A7003" s="489">
        <v>84138391</v>
      </c>
      <c r="B7003" s="489">
        <v>5914</v>
      </c>
      <c r="C7003" s="488">
        <v>58240</v>
      </c>
      <c r="D7003" s="597">
        <v>46139</v>
      </c>
      <c r="E7003" s="489" t="s">
        <v>339</v>
      </c>
      <c r="F7003" s="489" t="s">
        <v>1246</v>
      </c>
      <c r="G7003" s="395">
        <f>VLOOKUP($A7003,'Tech Litons'!$A:$I,8,FALSE)</f>
        <v>3.7853439999999999E-3</v>
      </c>
      <c r="H7003" s="174">
        <f>VLOOKUP($A7003,'Tech Litons'!$A:$I,9,FALSE)</f>
        <v>240</v>
      </c>
      <c r="I7003" s="174" t="str">
        <f>VLOOKUP($A7003,'Tech Litons'!$A:$C,3,0)</f>
        <v>BJ PTS</v>
      </c>
      <c r="J7003" s="175" t="str">
        <f t="shared" si="775"/>
        <v>5914BJ PTS</v>
      </c>
      <c r="K7003" s="176">
        <f>VLOOKUP(I7003,'Attain %'!A:B,2,0)</f>
        <v>0.95</v>
      </c>
      <c r="L7003" s="177">
        <f t="shared" si="776"/>
        <v>55328</v>
      </c>
      <c r="M7003" s="177">
        <f t="shared" si="777"/>
        <v>209.435512832</v>
      </c>
      <c r="N7003" s="177">
        <f t="shared" si="778"/>
        <v>230.53333333333333</v>
      </c>
      <c r="O7003" s="175" t="str">
        <f t="shared" si="779"/>
        <v>Apr</v>
      </c>
      <c r="P7003" s="265">
        <f t="shared" si="780"/>
        <v>18</v>
      </c>
    </row>
    <row r="7004" spans="1:16" ht="15" hidden="1" customHeight="1">
      <c r="A7004" s="489">
        <v>64341108</v>
      </c>
      <c r="B7004" s="489" t="s">
        <v>139</v>
      </c>
      <c r="D7004" s="597">
        <v>46111</v>
      </c>
      <c r="E7004" s="489" t="s">
        <v>615</v>
      </c>
      <c r="F7004" s="489" t="s">
        <v>1223</v>
      </c>
      <c r="G7004" s="395">
        <f>VLOOKUP($A7004,'Tech Litons'!$A:$I,8,FALSE)</f>
        <v>2.3599999999999997E-3</v>
      </c>
      <c r="H7004" s="174">
        <f>VLOOKUP($A7004,'Tech Litons'!$A:$I,9,FALSE)</f>
        <v>210</v>
      </c>
      <c r="I7004" s="174" t="str">
        <f>VLOOKUP($A7004,'Tech Litons'!$A:$C,3,0)</f>
        <v>Facepieces</v>
      </c>
      <c r="J7004" s="175" t="str">
        <f t="shared" si="775"/>
        <v>IncomFacepieces</v>
      </c>
      <c r="K7004" s="176">
        <f>VLOOKUP(I7004,'Attain %'!A:B,2,0)</f>
        <v>0.96</v>
      </c>
      <c r="L7004" s="177">
        <f t="shared" si="776"/>
        <v>0</v>
      </c>
      <c r="M7004" s="177">
        <f t="shared" si="777"/>
        <v>0</v>
      </c>
      <c r="N7004" s="177">
        <f t="shared" si="778"/>
        <v>0</v>
      </c>
      <c r="O7004" s="175" t="str">
        <f t="shared" si="779"/>
        <v>Mar</v>
      </c>
      <c r="P7004" s="265">
        <f t="shared" si="780"/>
        <v>14</v>
      </c>
    </row>
    <row r="7005" spans="1:16" ht="15" hidden="1" customHeight="1">
      <c r="A7005" s="489">
        <v>64833353</v>
      </c>
      <c r="B7005" s="489" t="s">
        <v>133</v>
      </c>
      <c r="C7005" s="488">
        <v>59090</v>
      </c>
      <c r="D7005" s="597">
        <v>46153</v>
      </c>
      <c r="E7005" s="489" t="s">
        <v>358</v>
      </c>
      <c r="F7005" s="489" t="s">
        <v>1223</v>
      </c>
      <c r="G7005" s="395">
        <f>VLOOKUP($A7005,'Tech Litons'!$A:$I,8,FALSE)</f>
        <v>5.28E-3</v>
      </c>
      <c r="H7005" s="174">
        <f>VLOOKUP($A7005,'Tech Litons'!$A:$I,9,FALSE)</f>
        <v>130</v>
      </c>
      <c r="I7005" s="174" t="str">
        <f>VLOOKUP($A7005,'Tech Litons'!$A:$C,3,0)</f>
        <v>PG</v>
      </c>
      <c r="J7005" s="175" t="str">
        <f t="shared" si="775"/>
        <v>GDIPG</v>
      </c>
      <c r="K7005" s="176">
        <f>VLOOKUP(I7005,'Attain %'!A:B,2,0)</f>
        <v>0.96</v>
      </c>
      <c r="L7005" s="177">
        <f t="shared" si="776"/>
        <v>56726.400000000001</v>
      </c>
      <c r="M7005" s="177">
        <f t="shared" si="777"/>
        <v>299.51539200000002</v>
      </c>
      <c r="N7005" s="177">
        <f t="shared" si="778"/>
        <v>436.35692307692307</v>
      </c>
      <c r="O7005" s="175" t="str">
        <f t="shared" si="779"/>
        <v>May</v>
      </c>
      <c r="P7005" s="265">
        <f t="shared" si="780"/>
        <v>20</v>
      </c>
    </row>
    <row r="7006" spans="1:16" ht="15" hidden="1" customHeight="1">
      <c r="A7006" s="489">
        <v>68850684</v>
      </c>
      <c r="B7006" s="489">
        <v>1352</v>
      </c>
      <c r="C7006" s="488">
        <v>59400</v>
      </c>
      <c r="D7006" s="597">
        <v>46132</v>
      </c>
      <c r="E7006" s="489" t="s">
        <v>381</v>
      </c>
      <c r="F7006" s="489" t="s">
        <v>1209</v>
      </c>
      <c r="G7006" s="395">
        <f>VLOOKUP($A7006,'Tech Litons'!$A:$I,8,FALSE)</f>
        <v>8.5199999999999998E-3</v>
      </c>
      <c r="H7006" s="174">
        <f>VLOOKUP($A7006,'Tech Litons'!$A:$I,9,FALSE)</f>
        <v>176</v>
      </c>
      <c r="I7006" s="174" t="str">
        <f>VLOOKUP($A7006,'Tech Litons'!$A:$C,3,0)</f>
        <v>48oz</v>
      </c>
      <c r="J7006" s="175" t="str">
        <f t="shared" si="775"/>
        <v>135248oz</v>
      </c>
      <c r="K7006" s="176">
        <f>VLOOKUP(I7006,'Attain %'!A:B,2,0)</f>
        <v>0.94</v>
      </c>
      <c r="L7006" s="177">
        <f t="shared" si="776"/>
        <v>55836</v>
      </c>
      <c r="M7006" s="177">
        <f t="shared" si="777"/>
        <v>475.72271999999998</v>
      </c>
      <c r="N7006" s="177">
        <f t="shared" si="778"/>
        <v>317.25</v>
      </c>
      <c r="O7006" s="175" t="str">
        <f t="shared" si="779"/>
        <v>Apr</v>
      </c>
      <c r="P7006" s="265">
        <f t="shared" si="780"/>
        <v>17</v>
      </c>
    </row>
    <row r="7007" spans="1:16" ht="15" hidden="1" customHeight="1">
      <c r="A7007" s="489">
        <v>68851107</v>
      </c>
      <c r="B7007" s="489">
        <v>2904</v>
      </c>
      <c r="C7007" s="488">
        <v>59400</v>
      </c>
      <c r="D7007" s="597">
        <v>46167</v>
      </c>
      <c r="E7007" s="489" t="s">
        <v>272</v>
      </c>
      <c r="F7007" s="489" t="s">
        <v>1226</v>
      </c>
      <c r="G7007" s="395">
        <f>VLOOKUP($A7007,'Tech Litons'!$A:$I,8,FALSE)</f>
        <v>8.5199999999999998E-3</v>
      </c>
      <c r="H7007" s="174">
        <f>VLOOKUP($A7007,'Tech Litons'!$A:$I,9,FALSE)</f>
        <v>176</v>
      </c>
      <c r="I7007" s="174" t="str">
        <f>VLOOKUP($A7007,'Tech Litons'!$A:$C,3,0)</f>
        <v>48oz</v>
      </c>
      <c r="J7007" s="175" t="str">
        <f t="shared" si="775"/>
        <v>290448oz</v>
      </c>
      <c r="K7007" s="176">
        <f>VLOOKUP(I7007,'Attain %'!A:B,2,0)</f>
        <v>0.94</v>
      </c>
      <c r="L7007" s="177">
        <f t="shared" si="776"/>
        <v>55836</v>
      </c>
      <c r="M7007" s="177">
        <f t="shared" si="777"/>
        <v>475.72271999999998</v>
      </c>
      <c r="N7007" s="177">
        <f t="shared" si="778"/>
        <v>317.25</v>
      </c>
      <c r="O7007" s="175" t="str">
        <f t="shared" si="779"/>
        <v>May</v>
      </c>
      <c r="P7007" s="265">
        <f t="shared" si="780"/>
        <v>22</v>
      </c>
    </row>
    <row r="7008" spans="1:16" ht="15" hidden="1" customHeight="1">
      <c r="A7008" s="489">
        <v>62714126</v>
      </c>
      <c r="B7008" s="489" t="s">
        <v>133</v>
      </c>
      <c r="C7008" s="488">
        <v>59800</v>
      </c>
      <c r="D7008" s="597">
        <v>46125</v>
      </c>
      <c r="E7008" s="489" t="s">
        <v>402</v>
      </c>
      <c r="F7008" s="489" t="s">
        <v>1223</v>
      </c>
      <c r="G7008" s="395">
        <f>VLOOKUP($A7008,'Tech Litons'!$A:$I,8,FALSE)</f>
        <v>5.2680000000000001E-3</v>
      </c>
      <c r="H7008" s="174">
        <f>VLOOKUP($A7008,'Tech Litons'!$A:$I,9,FALSE)</f>
        <v>130</v>
      </c>
      <c r="I7008" s="174" t="str">
        <f>VLOOKUP($A7008,'Tech Litons'!$A:$C,3,0)</f>
        <v>PG</v>
      </c>
      <c r="J7008" s="175" t="str">
        <f t="shared" si="775"/>
        <v>GDIPG</v>
      </c>
      <c r="K7008" s="176">
        <f>VLOOKUP(I7008,'Attain %'!A:B,2,0)</f>
        <v>0.96</v>
      </c>
      <c r="L7008" s="177">
        <f t="shared" si="776"/>
        <v>57408</v>
      </c>
      <c r="M7008" s="177">
        <f t="shared" si="777"/>
        <v>302.425344</v>
      </c>
      <c r="N7008" s="177">
        <f t="shared" si="778"/>
        <v>441.6</v>
      </c>
      <c r="O7008" s="175" t="str">
        <f t="shared" si="779"/>
        <v>Apr</v>
      </c>
      <c r="P7008" s="265">
        <f t="shared" si="780"/>
        <v>16</v>
      </c>
    </row>
    <row r="7009" spans="1:16" ht="15" hidden="1" customHeight="1">
      <c r="A7009" s="489">
        <v>62714126</v>
      </c>
      <c r="B7009" s="489" t="s">
        <v>133</v>
      </c>
      <c r="C7009" s="488">
        <v>59800</v>
      </c>
      <c r="D7009" s="597">
        <v>46132</v>
      </c>
      <c r="E7009" s="489" t="s">
        <v>402</v>
      </c>
      <c r="F7009" s="489" t="s">
        <v>1223</v>
      </c>
      <c r="G7009" s="395">
        <f>VLOOKUP($A7009,'Tech Litons'!$A:$I,8,FALSE)</f>
        <v>5.2680000000000001E-3</v>
      </c>
      <c r="H7009" s="174">
        <f>VLOOKUP($A7009,'Tech Litons'!$A:$I,9,FALSE)</f>
        <v>130</v>
      </c>
      <c r="I7009" s="174" t="str">
        <f>VLOOKUP($A7009,'Tech Litons'!$A:$C,3,0)</f>
        <v>PG</v>
      </c>
      <c r="J7009" s="175" t="str">
        <f t="shared" si="775"/>
        <v>GDIPG</v>
      </c>
      <c r="K7009" s="176">
        <f>VLOOKUP(I7009,'Attain %'!A:B,2,0)</f>
        <v>0.96</v>
      </c>
      <c r="L7009" s="177">
        <f t="shared" si="776"/>
        <v>57408</v>
      </c>
      <c r="M7009" s="177">
        <f t="shared" si="777"/>
        <v>302.425344</v>
      </c>
      <c r="N7009" s="177">
        <f t="shared" si="778"/>
        <v>441.6</v>
      </c>
      <c r="O7009" s="175" t="str">
        <f t="shared" si="779"/>
        <v>Apr</v>
      </c>
      <c r="P7009" s="265">
        <f t="shared" si="780"/>
        <v>17</v>
      </c>
    </row>
    <row r="7010" spans="1:16" ht="15" hidden="1" customHeight="1">
      <c r="A7010" s="489">
        <v>68737750</v>
      </c>
      <c r="B7010" s="489">
        <v>1352</v>
      </c>
      <c r="C7010" s="488">
        <v>60000</v>
      </c>
      <c r="D7010" s="597">
        <v>46139</v>
      </c>
      <c r="E7010" s="489" t="s">
        <v>407</v>
      </c>
      <c r="F7010" s="489" t="s">
        <v>1211</v>
      </c>
      <c r="G7010" s="395">
        <f>VLOOKUP($A7010,'Tech Litons'!$A:$I,8,FALSE)</f>
        <v>8.5199999999999998E-3</v>
      </c>
      <c r="H7010" s="174">
        <f>VLOOKUP($A7010,'Tech Litons'!$A:$I,9,FALSE)</f>
        <v>176</v>
      </c>
      <c r="I7010" s="174" t="str">
        <f>VLOOKUP($A7010,'Tech Litons'!$A:$C,3,0)</f>
        <v>48oz</v>
      </c>
      <c r="J7010" s="175" t="str">
        <f t="shared" si="775"/>
        <v>135248oz</v>
      </c>
      <c r="K7010" s="176">
        <f>VLOOKUP(I7010,'Attain %'!A:B,2,0)</f>
        <v>0.94</v>
      </c>
      <c r="L7010" s="177">
        <f t="shared" si="776"/>
        <v>56400</v>
      </c>
      <c r="M7010" s="177">
        <f t="shared" si="777"/>
        <v>480.52799999999996</v>
      </c>
      <c r="N7010" s="177">
        <f t="shared" si="778"/>
        <v>320.45454545454544</v>
      </c>
      <c r="O7010" s="175" t="str">
        <f t="shared" si="779"/>
        <v>Apr</v>
      </c>
      <c r="P7010" s="265">
        <f t="shared" si="780"/>
        <v>18</v>
      </c>
    </row>
    <row r="7011" spans="1:16" ht="15" hidden="1" customHeight="1">
      <c r="A7011" s="489">
        <v>64976847</v>
      </c>
      <c r="B7011" s="489">
        <v>1715</v>
      </c>
      <c r="C7011" s="488">
        <v>60000</v>
      </c>
      <c r="D7011" s="597">
        <v>46125</v>
      </c>
      <c r="E7011" s="489" t="s">
        <v>590</v>
      </c>
      <c r="F7011" s="489" t="s">
        <v>1221</v>
      </c>
      <c r="G7011" s="395">
        <f>VLOOKUP($A7011,'Tech Litons'!$A:$I,8,FALSE)</f>
        <v>2.5040000000000001E-3</v>
      </c>
      <c r="H7011" s="174">
        <f>VLOOKUP($A7011,'Tech Litons'!$A:$I,9,FALSE)</f>
        <v>165</v>
      </c>
      <c r="I7011" s="174" t="str">
        <f>VLOOKUP($A7011,'Tech Litons'!$A:$C,3,0)</f>
        <v>Yasso Sticks</v>
      </c>
      <c r="J7011" s="175" t="str">
        <f t="shared" si="775"/>
        <v>1715Yasso Sticks</v>
      </c>
      <c r="K7011" s="176">
        <f>VLOOKUP(I7011,'Attain %'!A:B,2,0)</f>
        <v>0.96</v>
      </c>
      <c r="L7011" s="177">
        <f t="shared" si="776"/>
        <v>57600</v>
      </c>
      <c r="M7011" s="177">
        <f t="shared" si="777"/>
        <v>144.2304</v>
      </c>
      <c r="N7011" s="177">
        <f t="shared" si="778"/>
        <v>349.09090909090907</v>
      </c>
      <c r="O7011" s="175" t="str">
        <f t="shared" si="779"/>
        <v>Apr</v>
      </c>
      <c r="P7011" s="265">
        <f t="shared" si="780"/>
        <v>16</v>
      </c>
    </row>
    <row r="7012" spans="1:16" ht="15" hidden="1" customHeight="1">
      <c r="A7012" s="489">
        <v>64976847</v>
      </c>
      <c r="B7012" s="489">
        <v>1715</v>
      </c>
      <c r="C7012" s="488">
        <v>60000</v>
      </c>
      <c r="D7012" s="597">
        <v>46153</v>
      </c>
      <c r="E7012" s="489" t="s">
        <v>590</v>
      </c>
      <c r="F7012" s="489" t="s">
        <v>1221</v>
      </c>
      <c r="G7012" s="395">
        <f>VLOOKUP($A7012,'Tech Litons'!$A:$I,8,FALSE)</f>
        <v>2.5040000000000001E-3</v>
      </c>
      <c r="H7012" s="174">
        <f>VLOOKUP($A7012,'Tech Litons'!$A:$I,9,FALSE)</f>
        <v>165</v>
      </c>
      <c r="I7012" s="174" t="str">
        <f>VLOOKUP($A7012,'Tech Litons'!$A:$C,3,0)</f>
        <v>Yasso Sticks</v>
      </c>
      <c r="J7012" s="175" t="str">
        <f t="shared" si="775"/>
        <v>1715Yasso Sticks</v>
      </c>
      <c r="K7012" s="176">
        <f>VLOOKUP(I7012,'Attain %'!A:B,2,0)</f>
        <v>0.96</v>
      </c>
      <c r="L7012" s="177">
        <f t="shared" si="776"/>
        <v>57600</v>
      </c>
      <c r="M7012" s="177">
        <f t="shared" si="777"/>
        <v>144.2304</v>
      </c>
      <c r="N7012" s="177">
        <f t="shared" si="778"/>
        <v>349.09090909090907</v>
      </c>
      <c r="O7012" s="175" t="str">
        <f t="shared" si="779"/>
        <v>May</v>
      </c>
      <c r="P7012" s="265">
        <f t="shared" si="780"/>
        <v>20</v>
      </c>
    </row>
    <row r="7013" spans="1:16" ht="15" hidden="1" customHeight="1">
      <c r="A7013" s="489">
        <v>64833353</v>
      </c>
      <c r="B7013" s="489" t="s">
        <v>133</v>
      </c>
      <c r="C7013" s="488">
        <v>60320</v>
      </c>
      <c r="D7013" s="597">
        <v>46195</v>
      </c>
      <c r="E7013" s="489" t="s">
        <v>358</v>
      </c>
      <c r="F7013" s="489" t="s">
        <v>1223</v>
      </c>
      <c r="G7013" s="395">
        <f>VLOOKUP($A7013,'Tech Litons'!$A:$I,8,FALSE)</f>
        <v>5.28E-3</v>
      </c>
      <c r="H7013" s="174">
        <f>VLOOKUP($A7013,'Tech Litons'!$A:$I,9,FALSE)</f>
        <v>130</v>
      </c>
      <c r="I7013" s="174" t="str">
        <f>VLOOKUP($A7013,'Tech Litons'!$A:$C,3,0)</f>
        <v>PG</v>
      </c>
      <c r="J7013" s="175" t="str">
        <f t="shared" si="775"/>
        <v>GDIPG</v>
      </c>
      <c r="K7013" s="176">
        <f>VLOOKUP(I7013,'Attain %'!A:B,2,0)</f>
        <v>0.96</v>
      </c>
      <c r="L7013" s="177">
        <f t="shared" si="776"/>
        <v>57907.199999999997</v>
      </c>
      <c r="M7013" s="177">
        <f t="shared" si="777"/>
        <v>305.75001599999996</v>
      </c>
      <c r="N7013" s="177">
        <f t="shared" si="778"/>
        <v>445.44</v>
      </c>
      <c r="O7013" s="175" t="str">
        <f t="shared" si="779"/>
        <v>Jun</v>
      </c>
      <c r="P7013" s="265">
        <f t="shared" si="780"/>
        <v>26</v>
      </c>
    </row>
    <row r="7014" spans="1:16" ht="15" hidden="1" customHeight="1">
      <c r="A7014" s="489">
        <v>68851108</v>
      </c>
      <c r="B7014" s="489">
        <v>2904</v>
      </c>
      <c r="C7014" s="488">
        <v>60450</v>
      </c>
      <c r="D7014" s="597">
        <v>46132</v>
      </c>
      <c r="E7014" s="489" t="s">
        <v>296</v>
      </c>
      <c r="F7014" s="489" t="s">
        <v>1226</v>
      </c>
      <c r="G7014" s="395">
        <f>VLOOKUP($A7014,'Tech Litons'!$A:$I,8,FALSE)</f>
        <v>8.5199999999999998E-3</v>
      </c>
      <c r="H7014" s="174">
        <f>VLOOKUP($A7014,'Tech Litons'!$A:$I,9,FALSE)</f>
        <v>176</v>
      </c>
      <c r="I7014" s="174" t="str">
        <f>VLOOKUP($A7014,'Tech Litons'!$A:$C,3,0)</f>
        <v>48oz</v>
      </c>
      <c r="J7014" s="175" t="str">
        <f t="shared" si="775"/>
        <v>290448oz</v>
      </c>
      <c r="K7014" s="176">
        <f>VLOOKUP(I7014,'Attain %'!A:B,2,0)</f>
        <v>0.94</v>
      </c>
      <c r="L7014" s="177">
        <f t="shared" si="776"/>
        <v>56823</v>
      </c>
      <c r="M7014" s="177">
        <f t="shared" si="777"/>
        <v>484.13195999999999</v>
      </c>
      <c r="N7014" s="177">
        <f t="shared" si="778"/>
        <v>322.85795454545456</v>
      </c>
      <c r="O7014" s="175" t="str">
        <f t="shared" si="779"/>
        <v>Apr</v>
      </c>
      <c r="P7014" s="265">
        <f t="shared" si="780"/>
        <v>17</v>
      </c>
    </row>
    <row r="7015" spans="1:16" ht="15" hidden="1" customHeight="1">
      <c r="A7015" s="489">
        <v>62714126</v>
      </c>
      <c r="B7015" s="489" t="s">
        <v>133</v>
      </c>
      <c r="C7015" s="488">
        <v>60504</v>
      </c>
      <c r="D7015" s="597">
        <v>46153</v>
      </c>
      <c r="E7015" s="489" t="s">
        <v>402</v>
      </c>
      <c r="F7015" s="489" t="s">
        <v>1223</v>
      </c>
      <c r="G7015" s="395">
        <f>VLOOKUP($A7015,'Tech Litons'!$A:$I,8,FALSE)</f>
        <v>5.2680000000000001E-3</v>
      </c>
      <c r="H7015" s="174">
        <f>VLOOKUP($A7015,'Tech Litons'!$A:$I,9,FALSE)</f>
        <v>130</v>
      </c>
      <c r="I7015" s="174" t="str">
        <f>VLOOKUP($A7015,'Tech Litons'!$A:$C,3,0)</f>
        <v>PG</v>
      </c>
      <c r="J7015" s="175" t="str">
        <f t="shared" si="775"/>
        <v>GDIPG</v>
      </c>
      <c r="K7015" s="176">
        <f>VLOOKUP(I7015,'Attain %'!A:B,2,0)</f>
        <v>0.96</v>
      </c>
      <c r="L7015" s="177">
        <f t="shared" si="776"/>
        <v>58083.839999999997</v>
      </c>
      <c r="M7015" s="177">
        <f t="shared" si="777"/>
        <v>305.98566912000001</v>
      </c>
      <c r="N7015" s="177">
        <f t="shared" si="778"/>
        <v>446.79876923076921</v>
      </c>
      <c r="O7015" s="175" t="str">
        <f t="shared" si="779"/>
        <v>May</v>
      </c>
      <c r="P7015" s="265">
        <f t="shared" si="780"/>
        <v>20</v>
      </c>
    </row>
    <row r="7016" spans="1:16" ht="15" hidden="1" customHeight="1">
      <c r="A7016" s="489">
        <v>84141094</v>
      </c>
      <c r="B7016" s="489">
        <v>5914</v>
      </c>
      <c r="C7016" s="488">
        <v>61600</v>
      </c>
      <c r="D7016" s="597">
        <v>46125</v>
      </c>
      <c r="E7016" s="489" t="s">
        <v>393</v>
      </c>
      <c r="F7016" s="489" t="s">
        <v>1247</v>
      </c>
      <c r="G7016" s="395">
        <f>VLOOKUP($A7016,'Tech Litons'!$A:$I,8,FALSE)</f>
        <v>3.7839999999999996E-3</v>
      </c>
      <c r="H7016" s="174">
        <f>VLOOKUP($A7016,'Tech Litons'!$A:$I,9,FALSE)</f>
        <v>240</v>
      </c>
      <c r="I7016" s="174" t="str">
        <f>VLOOKUP($A7016,'Tech Litons'!$A:$C,3,0)</f>
        <v>BJ PTS</v>
      </c>
      <c r="J7016" s="175" t="str">
        <f t="shared" si="775"/>
        <v>5914BJ PTS</v>
      </c>
      <c r="K7016" s="176">
        <f>VLOOKUP(I7016,'Attain %'!A:B,2,0)</f>
        <v>0.95</v>
      </c>
      <c r="L7016" s="177">
        <f t="shared" si="776"/>
        <v>58520</v>
      </c>
      <c r="M7016" s="177">
        <f t="shared" si="777"/>
        <v>221.43967999999998</v>
      </c>
      <c r="N7016" s="177">
        <f t="shared" si="778"/>
        <v>243.83333333333334</v>
      </c>
      <c r="O7016" s="175" t="str">
        <f t="shared" si="779"/>
        <v>Apr</v>
      </c>
      <c r="P7016" s="265">
        <f t="shared" si="780"/>
        <v>16</v>
      </c>
    </row>
    <row r="7017" spans="1:16" ht="15" hidden="1" customHeight="1">
      <c r="A7017" s="489">
        <v>68899826</v>
      </c>
      <c r="B7017" s="489">
        <v>1352</v>
      </c>
      <c r="C7017" s="488">
        <v>62000</v>
      </c>
      <c r="D7017" s="597">
        <v>46153</v>
      </c>
      <c r="E7017" s="489" t="s">
        <v>460</v>
      </c>
      <c r="F7017" s="489" t="s">
        <v>1207</v>
      </c>
      <c r="G7017" s="395">
        <f>VLOOKUP($A7017,'Tech Litons'!$A:$I,8,FALSE)</f>
        <v>8.5199999999999998E-3</v>
      </c>
      <c r="H7017" s="174">
        <f>VLOOKUP($A7017,'Tech Litons'!$A:$I,9,FALSE)</f>
        <v>176</v>
      </c>
      <c r="I7017" s="174" t="str">
        <f>VLOOKUP($A7017,'Tech Litons'!$A:$C,3,0)</f>
        <v>48oz</v>
      </c>
      <c r="J7017" s="175" t="str">
        <f t="shared" si="775"/>
        <v>135248oz</v>
      </c>
      <c r="K7017" s="176">
        <f>VLOOKUP(I7017,'Attain %'!A:B,2,0)</f>
        <v>0.94</v>
      </c>
      <c r="L7017" s="177">
        <f t="shared" si="776"/>
        <v>58280</v>
      </c>
      <c r="M7017" s="177">
        <f t="shared" si="777"/>
        <v>496.54559999999998</v>
      </c>
      <c r="N7017" s="177">
        <f t="shared" si="778"/>
        <v>331.13636363636363</v>
      </c>
      <c r="O7017" s="175" t="str">
        <f t="shared" si="779"/>
        <v>May</v>
      </c>
      <c r="P7017" s="265">
        <f t="shared" si="780"/>
        <v>20</v>
      </c>
    </row>
    <row r="7018" spans="1:16" ht="15" hidden="1" customHeight="1">
      <c r="A7018" s="489">
        <v>68860059</v>
      </c>
      <c r="B7018" s="489">
        <v>2904</v>
      </c>
      <c r="C7018" s="488">
        <v>62400</v>
      </c>
      <c r="D7018" s="597">
        <v>46139</v>
      </c>
      <c r="E7018" s="489" t="s">
        <v>319</v>
      </c>
      <c r="F7018" s="489" t="s">
        <v>1235</v>
      </c>
      <c r="G7018" s="395">
        <f>VLOOKUP($A7018,'Tech Litons'!$A:$I,8,FALSE)</f>
        <v>3.7839999999999996E-3</v>
      </c>
      <c r="H7018" s="174">
        <f>VLOOKUP($A7018,'Tech Litons'!$A:$I,9,FALSE)</f>
        <v>255</v>
      </c>
      <c r="I7018" s="174" t="str">
        <f>VLOOKUP($A7018,'Tech Litons'!$A:$C,3,0)</f>
        <v>Talenti</v>
      </c>
      <c r="J7018" s="175" t="str">
        <f t="shared" si="775"/>
        <v>2904Talenti</v>
      </c>
      <c r="K7018" s="176">
        <f>VLOOKUP(I7018,'Attain %'!A:B,2,0)</f>
        <v>0.96</v>
      </c>
      <c r="L7018" s="177">
        <f t="shared" si="776"/>
        <v>59904</v>
      </c>
      <c r="M7018" s="177">
        <f t="shared" si="777"/>
        <v>226.67673599999998</v>
      </c>
      <c r="N7018" s="177">
        <f t="shared" si="778"/>
        <v>234.91764705882352</v>
      </c>
      <c r="O7018" s="175" t="str">
        <f t="shared" si="779"/>
        <v>Apr</v>
      </c>
      <c r="P7018" s="265">
        <f t="shared" si="780"/>
        <v>18</v>
      </c>
    </row>
    <row r="7019" spans="1:16" ht="15" hidden="1" customHeight="1">
      <c r="A7019" s="489">
        <v>64976851</v>
      </c>
      <c r="B7019" s="489">
        <v>2904</v>
      </c>
      <c r="D7019" s="597">
        <v>46104</v>
      </c>
      <c r="E7019" s="489" t="s">
        <v>592</v>
      </c>
      <c r="F7019" s="489" t="s">
        <v>1233</v>
      </c>
      <c r="G7019" s="395">
        <f>VLOOKUP($A7019,'Tech Litons'!$A:$I,8,FALSE)</f>
        <v>2.5040000000000001E-3</v>
      </c>
      <c r="H7019" s="174">
        <f>VLOOKUP($A7019,'Tech Litons'!$A:$I,9,FALSE)</f>
        <v>165</v>
      </c>
      <c r="I7019" s="174" t="str">
        <f>VLOOKUP($A7019,'Tech Litons'!$A:$C,3,0)</f>
        <v>Yasso Sticks</v>
      </c>
      <c r="J7019" s="175" t="str">
        <f t="shared" si="775"/>
        <v>2904Yasso Sticks</v>
      </c>
      <c r="K7019" s="176">
        <f>VLOOKUP(I7019,'Attain %'!A:B,2,0)</f>
        <v>0.96</v>
      </c>
      <c r="L7019" s="177">
        <f t="shared" si="776"/>
        <v>0</v>
      </c>
      <c r="M7019" s="177">
        <f t="shared" si="777"/>
        <v>0</v>
      </c>
      <c r="N7019" s="177">
        <f t="shared" si="778"/>
        <v>0</v>
      </c>
      <c r="O7019" s="175" t="str">
        <f t="shared" si="779"/>
        <v>Mar</v>
      </c>
      <c r="P7019" s="265">
        <f t="shared" si="780"/>
        <v>13</v>
      </c>
    </row>
    <row r="7020" spans="1:16" ht="15" hidden="1" customHeight="1">
      <c r="A7020" s="489">
        <v>68821734</v>
      </c>
      <c r="B7020" s="489">
        <v>2904</v>
      </c>
      <c r="C7020" s="488">
        <v>64350</v>
      </c>
      <c r="D7020" s="597">
        <v>46118</v>
      </c>
      <c r="E7020" s="489" t="s">
        <v>370</v>
      </c>
      <c r="F7020" s="489" t="s">
        <v>1226</v>
      </c>
      <c r="G7020" s="395">
        <f>VLOOKUP($A7020,'Tech Litons'!$A:$I,8,FALSE)</f>
        <v>8.5199999999999998E-3</v>
      </c>
      <c r="H7020" s="174">
        <f>VLOOKUP($A7020,'Tech Litons'!$A:$I,9,FALSE)</f>
        <v>176</v>
      </c>
      <c r="I7020" s="174" t="str">
        <f>VLOOKUP($A7020,'Tech Litons'!$A:$C,3,0)</f>
        <v>48oz</v>
      </c>
      <c r="J7020" s="175" t="str">
        <f t="shared" si="775"/>
        <v>290448oz</v>
      </c>
      <c r="K7020" s="176">
        <f>VLOOKUP(I7020,'Attain %'!A:B,2,0)</f>
        <v>0.94</v>
      </c>
      <c r="L7020" s="177">
        <f t="shared" si="776"/>
        <v>60489</v>
      </c>
      <c r="M7020" s="177">
        <f t="shared" si="777"/>
        <v>515.36627999999996</v>
      </c>
      <c r="N7020" s="177">
        <f t="shared" si="778"/>
        <v>343.6875</v>
      </c>
      <c r="O7020" s="175" t="str">
        <f t="shared" si="779"/>
        <v>Apr</v>
      </c>
      <c r="P7020" s="265">
        <f t="shared" si="780"/>
        <v>15</v>
      </c>
    </row>
    <row r="7021" spans="1:16" ht="15" hidden="1" customHeight="1">
      <c r="A7021" s="489">
        <v>62694914</v>
      </c>
      <c r="B7021" s="489">
        <v>2904</v>
      </c>
      <c r="C7021" s="488">
        <v>64800</v>
      </c>
      <c r="D7021" s="597">
        <v>46118</v>
      </c>
      <c r="E7021" s="489" t="s">
        <v>488</v>
      </c>
      <c r="F7021" s="489" t="s">
        <v>1239</v>
      </c>
      <c r="G7021" s="395">
        <f>VLOOKUP($A7021,'Tech Litons'!$A:$I,8,FALSE)</f>
        <v>1.08E-3</v>
      </c>
      <c r="H7021" s="174">
        <f>VLOOKUP($A7021,'Tech Litons'!$A:$I,9,FALSE)</f>
        <v>493</v>
      </c>
      <c r="I7021" s="174" t="str">
        <f>VLOOKUP($A7021,'Tech Litons'!$A:$C,3,0)</f>
        <v>MG Sticks</v>
      </c>
      <c r="J7021" s="175" t="str">
        <f t="shared" si="775"/>
        <v>2904MG Sticks</v>
      </c>
      <c r="K7021" s="176">
        <f>VLOOKUP(I7021,'Attain %'!A:B,2,0)</f>
        <v>0.96</v>
      </c>
      <c r="L7021" s="177">
        <f t="shared" si="776"/>
        <v>62208</v>
      </c>
      <c r="M7021" s="177">
        <f t="shared" si="777"/>
        <v>67.184640000000002</v>
      </c>
      <c r="N7021" s="177">
        <f t="shared" si="778"/>
        <v>126.18255578093306</v>
      </c>
      <c r="O7021" s="175" t="str">
        <f t="shared" si="779"/>
        <v>Apr</v>
      </c>
      <c r="P7021" s="265">
        <f t="shared" si="780"/>
        <v>15</v>
      </c>
    </row>
    <row r="7022" spans="1:16" ht="15" hidden="1" customHeight="1">
      <c r="A7022" s="489">
        <v>64396550</v>
      </c>
      <c r="B7022" s="489">
        <v>2904</v>
      </c>
      <c r="C7022" s="488">
        <v>64800</v>
      </c>
      <c r="D7022" s="597">
        <v>46153</v>
      </c>
      <c r="E7022" s="489" t="s">
        <v>548</v>
      </c>
      <c r="F7022" s="489" t="s">
        <v>1239</v>
      </c>
      <c r="G7022" s="395">
        <f>VLOOKUP($A7022,'Tech Litons'!$A:$I,8,FALSE)</f>
        <v>1.08E-3</v>
      </c>
      <c r="H7022" s="174">
        <f>VLOOKUP($A7022,'Tech Litons'!$A:$I,9,FALSE)</f>
        <v>493</v>
      </c>
      <c r="I7022" s="174" t="str">
        <f>VLOOKUP($A7022,'Tech Litons'!$A:$C,3,0)</f>
        <v>MG Sticks</v>
      </c>
      <c r="J7022" s="175" t="str">
        <f t="shared" si="775"/>
        <v>2904MG Sticks</v>
      </c>
      <c r="K7022" s="176">
        <f>VLOOKUP(I7022,'Attain %'!A:B,2,0)</f>
        <v>0.96</v>
      </c>
      <c r="L7022" s="177">
        <f t="shared" si="776"/>
        <v>62208</v>
      </c>
      <c r="M7022" s="177">
        <f t="shared" si="777"/>
        <v>67.184640000000002</v>
      </c>
      <c r="N7022" s="177">
        <f t="shared" si="778"/>
        <v>126.18255578093306</v>
      </c>
      <c r="O7022" s="175" t="str">
        <f t="shared" si="779"/>
        <v>May</v>
      </c>
      <c r="P7022" s="265">
        <f t="shared" si="780"/>
        <v>20</v>
      </c>
    </row>
    <row r="7023" spans="1:16" ht="15" hidden="1" customHeight="1">
      <c r="A7023" s="489">
        <v>68881270</v>
      </c>
      <c r="B7023" s="489">
        <v>1352</v>
      </c>
      <c r="C7023" s="488">
        <v>65000</v>
      </c>
      <c r="D7023" s="597">
        <v>46125</v>
      </c>
      <c r="E7023" s="489" t="s">
        <v>383</v>
      </c>
      <c r="F7023" s="489" t="s">
        <v>1207</v>
      </c>
      <c r="G7023" s="395">
        <f>VLOOKUP($A7023,'Tech Litons'!$A:$I,8,FALSE)</f>
        <v>8.5199999999999998E-3</v>
      </c>
      <c r="H7023" s="174">
        <f>VLOOKUP($A7023,'Tech Litons'!$A:$I,9,FALSE)</f>
        <v>176</v>
      </c>
      <c r="I7023" s="174" t="str">
        <f>VLOOKUP($A7023,'Tech Litons'!$A:$C,3,0)</f>
        <v>48oz</v>
      </c>
      <c r="J7023" s="175" t="str">
        <f t="shared" si="775"/>
        <v>135248oz</v>
      </c>
      <c r="K7023" s="176">
        <f>VLOOKUP(I7023,'Attain %'!A:B,2,0)</f>
        <v>0.94</v>
      </c>
      <c r="L7023" s="177">
        <f t="shared" si="776"/>
        <v>61100</v>
      </c>
      <c r="M7023" s="177">
        <f t="shared" si="777"/>
        <v>520.572</v>
      </c>
      <c r="N7023" s="177">
        <f t="shared" si="778"/>
        <v>347.15909090909093</v>
      </c>
      <c r="O7023" s="175" t="str">
        <f t="shared" si="779"/>
        <v>Apr</v>
      </c>
      <c r="P7023" s="265">
        <f t="shared" si="780"/>
        <v>16</v>
      </c>
    </row>
    <row r="7024" spans="1:16" ht="15" hidden="1" customHeight="1">
      <c r="A7024" s="489">
        <v>84135770</v>
      </c>
      <c r="B7024" s="489">
        <v>5911</v>
      </c>
      <c r="C7024" s="488">
        <v>65600</v>
      </c>
      <c r="D7024" s="597">
        <v>46139</v>
      </c>
      <c r="E7024" s="489" t="s">
        <v>415</v>
      </c>
      <c r="F7024" s="489" t="s">
        <v>1242</v>
      </c>
      <c r="G7024" s="395">
        <f>VLOOKUP($A7024,'Tech Litons'!$A:$I,8,FALSE)</f>
        <v>3.7853439999999999E-3</v>
      </c>
      <c r="H7024" s="174">
        <f>VLOOKUP($A7024,'Tech Litons'!$A:$I,9,FALSE)</f>
        <v>240</v>
      </c>
      <c r="I7024" s="174" t="str">
        <f>VLOOKUP($A7024,'Tech Litons'!$A:$C,3,0)</f>
        <v>BJ PTS</v>
      </c>
      <c r="J7024" s="175" t="str">
        <f t="shared" si="775"/>
        <v>5911BJ PTS</v>
      </c>
      <c r="K7024" s="176">
        <f>VLOOKUP(I7024,'Attain %'!A:B,2,0)</f>
        <v>0.95</v>
      </c>
      <c r="L7024" s="177">
        <f t="shared" si="776"/>
        <v>62320</v>
      </c>
      <c r="M7024" s="177">
        <f t="shared" si="777"/>
        <v>235.90263808</v>
      </c>
      <c r="N7024" s="177">
        <f t="shared" si="778"/>
        <v>259.66666666666669</v>
      </c>
      <c r="O7024" s="175" t="str">
        <f t="shared" si="779"/>
        <v>Apr</v>
      </c>
      <c r="P7024" s="265">
        <f t="shared" si="780"/>
        <v>18</v>
      </c>
    </row>
    <row r="7025" spans="1:16" ht="15" hidden="1" customHeight="1">
      <c r="A7025" s="489">
        <v>64958127</v>
      </c>
      <c r="B7025" s="489">
        <v>2904</v>
      </c>
      <c r="D7025" s="597">
        <v>46111</v>
      </c>
      <c r="E7025" s="489" t="s">
        <v>237</v>
      </c>
      <c r="F7025" s="489" t="s">
        <v>1233</v>
      </c>
      <c r="G7025" s="395">
        <f>VLOOKUP($A7025,'Tech Litons'!$A:$I,8,FALSE)</f>
        <v>3.3119999999999998E-3</v>
      </c>
      <c r="H7025" s="174">
        <f>VLOOKUP($A7025,'Tech Litons'!$A:$I,9,FALSE)</f>
        <v>165</v>
      </c>
      <c r="I7025" s="174" t="str">
        <f>VLOOKUP($A7025,'Tech Litons'!$A:$C,3,0)</f>
        <v>Yasso Sticks</v>
      </c>
      <c r="J7025" s="175" t="str">
        <f t="shared" si="775"/>
        <v>2904Yasso Sticks</v>
      </c>
      <c r="K7025" s="176">
        <f>VLOOKUP(I7025,'Attain %'!A:B,2,0)</f>
        <v>0.96</v>
      </c>
      <c r="L7025" s="177">
        <f t="shared" si="776"/>
        <v>0</v>
      </c>
      <c r="M7025" s="177">
        <f t="shared" si="777"/>
        <v>0</v>
      </c>
      <c r="N7025" s="177">
        <f t="shared" si="778"/>
        <v>0</v>
      </c>
      <c r="O7025" s="175" t="str">
        <f t="shared" si="779"/>
        <v>Mar</v>
      </c>
      <c r="P7025" s="265">
        <f t="shared" si="780"/>
        <v>14</v>
      </c>
    </row>
    <row r="7026" spans="1:16" ht="15" hidden="1" customHeight="1">
      <c r="A7026" s="489">
        <v>68851108</v>
      </c>
      <c r="B7026" s="489">
        <v>2904</v>
      </c>
      <c r="C7026" s="488">
        <v>65800</v>
      </c>
      <c r="D7026" s="597">
        <v>46104</v>
      </c>
      <c r="E7026" s="489" t="s">
        <v>296</v>
      </c>
      <c r="F7026" s="489" t="s">
        <v>1226</v>
      </c>
      <c r="G7026" s="395">
        <f>VLOOKUP($A7026,'Tech Litons'!$A:$I,8,FALSE)</f>
        <v>8.5199999999999998E-3</v>
      </c>
      <c r="H7026" s="174">
        <f>VLOOKUP($A7026,'Tech Litons'!$A:$I,9,FALSE)</f>
        <v>176</v>
      </c>
      <c r="I7026" s="174" t="str">
        <f>VLOOKUP($A7026,'Tech Litons'!$A:$C,3,0)</f>
        <v>48oz</v>
      </c>
      <c r="J7026" s="175" t="str">
        <f t="shared" si="775"/>
        <v>290448oz</v>
      </c>
      <c r="K7026" s="176">
        <f>VLOOKUP(I7026,'Attain %'!A:B,2,0)</f>
        <v>0.94</v>
      </c>
      <c r="L7026" s="177">
        <f t="shared" si="776"/>
        <v>61852</v>
      </c>
      <c r="M7026" s="177">
        <f t="shared" si="777"/>
        <v>526.97903999999994</v>
      </c>
      <c r="N7026" s="177">
        <f t="shared" si="778"/>
        <v>351.43181818181819</v>
      </c>
      <c r="O7026" s="175" t="str">
        <f t="shared" si="779"/>
        <v>Mar</v>
      </c>
      <c r="P7026" s="265">
        <f t="shared" si="780"/>
        <v>13</v>
      </c>
    </row>
    <row r="7027" spans="1:16" ht="15" hidden="1" customHeight="1">
      <c r="A7027" s="489">
        <v>67826412</v>
      </c>
      <c r="B7027" s="489">
        <v>2904</v>
      </c>
      <c r="C7027" s="488">
        <v>66000</v>
      </c>
      <c r="D7027" s="597">
        <v>46139</v>
      </c>
      <c r="E7027" s="489" t="s">
        <v>312</v>
      </c>
      <c r="F7027" s="489" t="s">
        <v>1227</v>
      </c>
      <c r="G7027" s="395">
        <f>VLOOKUP($A7027,'Tech Litons'!$A:$I,8,FALSE)</f>
        <v>3.7853439999999999E-3</v>
      </c>
      <c r="H7027" s="174">
        <f>VLOOKUP($A7027,'Tech Litons'!$A:$I,9,FALSE)</f>
        <v>240</v>
      </c>
      <c r="I7027" s="174" t="str">
        <f>VLOOKUP($A7027,'Tech Litons'!$A:$C,3,0)</f>
        <v>BJ PTS</v>
      </c>
      <c r="J7027" s="175" t="str">
        <f t="shared" si="775"/>
        <v>2904BJ PTS</v>
      </c>
      <c r="K7027" s="176">
        <f>VLOOKUP(I7027,'Attain %'!A:B,2,0)</f>
        <v>0.95</v>
      </c>
      <c r="L7027" s="177">
        <f t="shared" si="776"/>
        <v>62700</v>
      </c>
      <c r="M7027" s="177">
        <f t="shared" si="777"/>
        <v>237.34106879999999</v>
      </c>
      <c r="N7027" s="177">
        <f t="shared" si="778"/>
        <v>261.25</v>
      </c>
      <c r="O7027" s="175" t="str">
        <f t="shared" si="779"/>
        <v>Apr</v>
      </c>
      <c r="P7027" s="265">
        <f t="shared" si="780"/>
        <v>18</v>
      </c>
    </row>
    <row r="7028" spans="1:16" ht="15" hidden="1" customHeight="1">
      <c r="A7028" s="489">
        <v>84138391</v>
      </c>
      <c r="B7028" s="489">
        <v>5914</v>
      </c>
      <c r="C7028" s="488">
        <v>66080</v>
      </c>
      <c r="D7028" s="597">
        <v>46153</v>
      </c>
      <c r="E7028" s="489" t="s">
        <v>339</v>
      </c>
      <c r="F7028" s="489" t="s">
        <v>1246</v>
      </c>
      <c r="G7028" s="395">
        <f>VLOOKUP($A7028,'Tech Litons'!$A:$I,8,FALSE)</f>
        <v>3.7853439999999999E-3</v>
      </c>
      <c r="H7028" s="174">
        <f>VLOOKUP($A7028,'Tech Litons'!$A:$I,9,FALSE)</f>
        <v>240</v>
      </c>
      <c r="I7028" s="174" t="str">
        <f>VLOOKUP($A7028,'Tech Litons'!$A:$C,3,0)</f>
        <v>BJ PTS</v>
      </c>
      <c r="J7028" s="175" t="str">
        <f t="shared" si="775"/>
        <v>5914BJ PTS</v>
      </c>
      <c r="K7028" s="176">
        <f>VLOOKUP(I7028,'Attain %'!A:B,2,0)</f>
        <v>0.95</v>
      </c>
      <c r="L7028" s="177">
        <f t="shared" si="776"/>
        <v>62776</v>
      </c>
      <c r="M7028" s="177">
        <f t="shared" si="777"/>
        <v>237.62875494400001</v>
      </c>
      <c r="N7028" s="177">
        <f t="shared" si="778"/>
        <v>261.56666666666666</v>
      </c>
      <c r="O7028" s="175" t="str">
        <f t="shared" si="779"/>
        <v>May</v>
      </c>
      <c r="P7028" s="265">
        <f t="shared" si="780"/>
        <v>20</v>
      </c>
    </row>
    <row r="7029" spans="1:16" ht="15" customHeight="1">
      <c r="A7029" s="489">
        <v>65594416</v>
      </c>
      <c r="B7029" s="489">
        <v>2904</v>
      </c>
      <c r="D7029" s="597">
        <v>46104</v>
      </c>
      <c r="E7029" s="489" t="s">
        <v>1241</v>
      </c>
      <c r="F7029" s="489" t="s">
        <v>1239</v>
      </c>
      <c r="G7029" s="395">
        <f>VLOOKUP($A7029,'Tech Litons'!$A:$I,8,FALSE)</f>
        <v>9.5999999999999992E-4</v>
      </c>
      <c r="H7029" s="174">
        <f>VLOOKUP($A7029,'Tech Litons'!$A:$I,9,FALSE)</f>
        <v>432</v>
      </c>
      <c r="I7029" s="174" t="str">
        <f>VLOOKUP($A7029,'Tech Litons'!$A:$C,3,0)</f>
        <v>MG Sticks</v>
      </c>
      <c r="J7029" s="175" t="str">
        <f t="shared" si="775"/>
        <v>2904MG Sticks</v>
      </c>
      <c r="K7029" s="176">
        <f>VLOOKUP(I7029,'Attain %'!A:B,2,0)</f>
        <v>0.96</v>
      </c>
      <c r="L7029" s="177">
        <f t="shared" si="776"/>
        <v>0</v>
      </c>
      <c r="M7029" s="177">
        <f t="shared" si="777"/>
        <v>0</v>
      </c>
      <c r="N7029" s="177">
        <f t="shared" si="778"/>
        <v>0</v>
      </c>
      <c r="O7029" s="175" t="str">
        <f t="shared" si="779"/>
        <v>Mar</v>
      </c>
      <c r="P7029" s="265">
        <f t="shared" si="780"/>
        <v>13</v>
      </c>
    </row>
    <row r="7030" spans="1:16" ht="15" hidden="1" customHeight="1">
      <c r="A7030" s="489">
        <v>64771676</v>
      </c>
      <c r="B7030" s="489" t="s">
        <v>139</v>
      </c>
      <c r="C7030" s="488">
        <v>67672</v>
      </c>
      <c r="D7030" s="597">
        <v>46125</v>
      </c>
      <c r="E7030" s="489" t="s">
        <v>619</v>
      </c>
      <c r="F7030" s="489" t="s">
        <v>1223</v>
      </c>
      <c r="G7030" s="395">
        <f>VLOOKUP($A7030,'Tech Litons'!$A:$I,8,FALSE)</f>
        <v>2.16E-3</v>
      </c>
      <c r="H7030" s="174">
        <f>VLOOKUP($A7030,'Tech Litons'!$A:$I,9,FALSE)</f>
        <v>195</v>
      </c>
      <c r="I7030" s="174" t="str">
        <f>VLOOKUP($A7030,'Tech Litons'!$A:$C,3,0)</f>
        <v>Facepieces</v>
      </c>
      <c r="J7030" s="175" t="str">
        <f t="shared" si="775"/>
        <v>IncomFacepieces</v>
      </c>
      <c r="K7030" s="176">
        <f>VLOOKUP(I7030,'Attain %'!A:B,2,0)</f>
        <v>0.96</v>
      </c>
      <c r="L7030" s="177">
        <f t="shared" si="776"/>
        <v>64965.119999999995</v>
      </c>
      <c r="M7030" s="177">
        <f t="shared" si="777"/>
        <v>140.32465919999999</v>
      </c>
      <c r="N7030" s="177">
        <f t="shared" si="778"/>
        <v>333.15446153846153</v>
      </c>
      <c r="O7030" s="175" t="str">
        <f t="shared" si="779"/>
        <v>Apr</v>
      </c>
      <c r="P7030" s="265">
        <f t="shared" si="780"/>
        <v>16</v>
      </c>
    </row>
    <row r="7031" spans="1:16" ht="15" hidden="1" customHeight="1">
      <c r="A7031" s="489">
        <v>64958124</v>
      </c>
      <c r="B7031" s="489">
        <v>1715</v>
      </c>
      <c r="D7031" s="597">
        <v>46111</v>
      </c>
      <c r="E7031" s="489" t="s">
        <v>587</v>
      </c>
      <c r="F7031" s="489" t="s">
        <v>1221</v>
      </c>
      <c r="G7031" s="395">
        <f>VLOOKUP($A7031,'Tech Litons'!$A:$I,8,FALSE)</f>
        <v>3.3119999999999998E-3</v>
      </c>
      <c r="H7031" s="174">
        <f>VLOOKUP($A7031,'Tech Litons'!$A:$I,9,FALSE)</f>
        <v>165</v>
      </c>
      <c r="I7031" s="174" t="str">
        <f>VLOOKUP($A7031,'Tech Litons'!$A:$C,3,0)</f>
        <v>Yasso Sticks</v>
      </c>
      <c r="J7031" s="175" t="str">
        <f t="shared" si="775"/>
        <v>1715Yasso Sticks</v>
      </c>
      <c r="K7031" s="176">
        <f>VLOOKUP(I7031,'Attain %'!A:B,2,0)</f>
        <v>0.96</v>
      </c>
      <c r="L7031" s="177">
        <f t="shared" si="776"/>
        <v>0</v>
      </c>
      <c r="M7031" s="177">
        <f t="shared" si="777"/>
        <v>0</v>
      </c>
      <c r="N7031" s="177">
        <f t="shared" si="778"/>
        <v>0</v>
      </c>
      <c r="O7031" s="175" t="str">
        <f t="shared" si="779"/>
        <v>Mar</v>
      </c>
      <c r="P7031" s="265">
        <f t="shared" si="780"/>
        <v>14</v>
      </c>
    </row>
    <row r="7032" spans="1:16" ht="15" hidden="1" customHeight="1">
      <c r="A7032" s="489">
        <v>67881629</v>
      </c>
      <c r="B7032" s="489">
        <v>5914</v>
      </c>
      <c r="C7032" s="488">
        <v>69120</v>
      </c>
      <c r="D7032" s="597">
        <v>46118</v>
      </c>
      <c r="E7032" s="489" t="s">
        <v>337</v>
      </c>
      <c r="F7032" s="489" t="s">
        <v>1244</v>
      </c>
      <c r="G7032" s="395">
        <f>VLOOKUP($A7032,'Tech Litons'!$A:$I,8,FALSE)</f>
        <v>3.7853439999999999E-3</v>
      </c>
      <c r="H7032" s="174">
        <f>VLOOKUP($A7032,'Tech Litons'!$A:$I,9,FALSE)</f>
        <v>240</v>
      </c>
      <c r="I7032" s="174" t="str">
        <f>VLOOKUP($A7032,'Tech Litons'!$A:$C,3,0)</f>
        <v>BJ PTS</v>
      </c>
      <c r="J7032" s="175" t="str">
        <f t="shared" ref="J7032:J7095" si="781">B7032&amp;I7032</f>
        <v>5914BJ PTS</v>
      </c>
      <c r="K7032" s="176">
        <f>VLOOKUP(I7032,'Attain %'!A:B,2,0)</f>
        <v>0.95</v>
      </c>
      <c r="L7032" s="177">
        <f t="shared" ref="L7032:L7095" si="782">C7032*$K7032</f>
        <v>65664</v>
      </c>
      <c r="M7032" s="177">
        <f t="shared" ref="M7032:M7095" si="783">L7032*G7032</f>
        <v>248.56082841599999</v>
      </c>
      <c r="N7032" s="177">
        <f t="shared" ref="N7032:N7095" si="784">L7032/H7032</f>
        <v>273.60000000000002</v>
      </c>
      <c r="O7032" s="175" t="str">
        <f t="shared" ref="O7032:O7095" si="785">TEXT(D7032,"MMM")</f>
        <v>Apr</v>
      </c>
      <c r="P7032" s="265">
        <f t="shared" ref="P7032:P7095" si="786">WEEKNUM(D7032)</f>
        <v>15</v>
      </c>
    </row>
    <row r="7033" spans="1:16" ht="15" hidden="1" customHeight="1">
      <c r="A7033" s="489">
        <v>64394583</v>
      </c>
      <c r="B7033" s="489">
        <v>2904</v>
      </c>
      <c r="C7033" s="488">
        <v>69300</v>
      </c>
      <c r="D7033" s="597">
        <v>46125</v>
      </c>
      <c r="E7033" s="489" t="s">
        <v>462</v>
      </c>
      <c r="F7033" s="489" t="s">
        <v>1229</v>
      </c>
      <c r="G7033" s="395">
        <f>VLOOKUP($A7033,'Tech Litons'!$A:$I,8,FALSE)</f>
        <v>3.4159999999999998E-3</v>
      </c>
      <c r="H7033" s="174">
        <f>VLOOKUP($A7033,'Tech Litons'!$A:$I,9,FALSE)</f>
        <v>240</v>
      </c>
      <c r="I7033" s="174" t="str">
        <f>VLOOKUP($A7033,'Tech Litons'!$A:$C,3,0)</f>
        <v>Sundaes</v>
      </c>
      <c r="J7033" s="175" t="str">
        <f t="shared" si="781"/>
        <v>2904Sundaes</v>
      </c>
      <c r="K7033" s="176">
        <f>VLOOKUP(I7033,'Attain %'!A:B,2,0)</f>
        <v>0.96</v>
      </c>
      <c r="L7033" s="177">
        <f t="shared" si="782"/>
        <v>66528</v>
      </c>
      <c r="M7033" s="177">
        <f t="shared" si="783"/>
        <v>227.259648</v>
      </c>
      <c r="N7033" s="177">
        <f t="shared" si="784"/>
        <v>277.2</v>
      </c>
      <c r="O7033" s="175" t="str">
        <f t="shared" si="785"/>
        <v>Apr</v>
      </c>
      <c r="P7033" s="265">
        <f t="shared" si="786"/>
        <v>16</v>
      </c>
    </row>
    <row r="7034" spans="1:16" ht="15" hidden="1" customHeight="1">
      <c r="A7034" s="489">
        <v>68649095</v>
      </c>
      <c r="B7034" s="489">
        <v>2904</v>
      </c>
      <c r="C7034" s="488">
        <v>69300</v>
      </c>
      <c r="D7034" s="597">
        <v>46139</v>
      </c>
      <c r="E7034" s="489" t="s">
        <v>294</v>
      </c>
      <c r="F7034" s="489" t="s">
        <v>1229</v>
      </c>
      <c r="G7034" s="395">
        <f>VLOOKUP($A7034,'Tech Litons'!$A:$I,8,FALSE)</f>
        <v>3.5999999999999999E-3</v>
      </c>
      <c r="H7034" s="174">
        <f>VLOOKUP($A7034,'Tech Litons'!$A:$I,9,FALSE)</f>
        <v>240</v>
      </c>
      <c r="I7034" s="174" t="str">
        <f>VLOOKUP($A7034,'Tech Litons'!$A:$C,3,0)</f>
        <v>Topped</v>
      </c>
      <c r="J7034" s="175" t="str">
        <f t="shared" si="781"/>
        <v>2904Topped</v>
      </c>
      <c r="K7034" s="176">
        <f>VLOOKUP(I7034,'Attain %'!A:B,2,0)</f>
        <v>0.96</v>
      </c>
      <c r="L7034" s="177">
        <f t="shared" si="782"/>
        <v>66528</v>
      </c>
      <c r="M7034" s="177">
        <f t="shared" si="783"/>
        <v>239.5008</v>
      </c>
      <c r="N7034" s="177">
        <f t="shared" si="784"/>
        <v>277.2</v>
      </c>
      <c r="O7034" s="175" t="str">
        <f t="shared" si="785"/>
        <v>Apr</v>
      </c>
      <c r="P7034" s="265">
        <f t="shared" si="786"/>
        <v>18</v>
      </c>
    </row>
    <row r="7035" spans="1:16" ht="15" hidden="1" customHeight="1">
      <c r="A7035" s="489">
        <v>84144598</v>
      </c>
      <c r="B7035" s="489">
        <v>2904</v>
      </c>
      <c r="C7035" s="488">
        <v>69600</v>
      </c>
      <c r="D7035" s="597">
        <v>46111</v>
      </c>
      <c r="E7035" s="489" t="s">
        <v>364</v>
      </c>
      <c r="F7035" s="489" t="s">
        <v>1227</v>
      </c>
      <c r="G7035" s="395">
        <f>VLOOKUP($A7035,'Tech Litons'!$A:$I,8,FALSE)</f>
        <v>3.7853439999999999E-3</v>
      </c>
      <c r="H7035" s="174">
        <f>VLOOKUP($A7035,'Tech Litons'!$A:$I,9,FALSE)</f>
        <v>240</v>
      </c>
      <c r="I7035" s="174" t="str">
        <f>VLOOKUP($A7035,'Tech Litons'!$A:$C,3,0)</f>
        <v>BJ PTS</v>
      </c>
      <c r="J7035" s="175" t="str">
        <f t="shared" si="781"/>
        <v>2904BJ PTS</v>
      </c>
      <c r="K7035" s="176">
        <f>VLOOKUP(I7035,'Attain %'!A:B,2,0)</f>
        <v>0.95</v>
      </c>
      <c r="L7035" s="177">
        <f t="shared" si="782"/>
        <v>66120</v>
      </c>
      <c r="M7035" s="177">
        <f t="shared" si="783"/>
        <v>250.28694528</v>
      </c>
      <c r="N7035" s="177">
        <f t="shared" si="784"/>
        <v>275.5</v>
      </c>
      <c r="O7035" s="175" t="str">
        <f t="shared" si="785"/>
        <v>Mar</v>
      </c>
      <c r="P7035" s="265">
        <f t="shared" si="786"/>
        <v>14</v>
      </c>
    </row>
    <row r="7036" spans="1:16" ht="15" hidden="1" customHeight="1">
      <c r="A7036" s="489">
        <v>64976851</v>
      </c>
      <c r="B7036" s="489">
        <v>1717</v>
      </c>
      <c r="D7036" s="597">
        <v>46104</v>
      </c>
      <c r="E7036" s="489" t="s">
        <v>592</v>
      </c>
      <c r="F7036" s="489" t="s">
        <v>1221</v>
      </c>
      <c r="G7036" s="395">
        <f>VLOOKUP($A7036,'Tech Litons'!$A:$I,8,FALSE)</f>
        <v>2.5040000000000001E-3</v>
      </c>
      <c r="H7036" s="174">
        <f>VLOOKUP($A7036,'Tech Litons'!$A:$I,9,FALSE)</f>
        <v>165</v>
      </c>
      <c r="I7036" s="174" t="str">
        <f>VLOOKUP($A7036,'Tech Litons'!$A:$C,3,0)</f>
        <v>Yasso Sticks</v>
      </c>
      <c r="J7036" s="175" t="str">
        <f t="shared" si="781"/>
        <v>1717Yasso Sticks</v>
      </c>
      <c r="K7036" s="176">
        <f>VLOOKUP(I7036,'Attain %'!A:B,2,0)</f>
        <v>0.96</v>
      </c>
      <c r="L7036" s="177">
        <f t="shared" si="782"/>
        <v>0</v>
      </c>
      <c r="M7036" s="177">
        <f t="shared" si="783"/>
        <v>0</v>
      </c>
      <c r="N7036" s="177">
        <f t="shared" si="784"/>
        <v>0</v>
      </c>
      <c r="O7036" s="175" t="str">
        <f t="shared" si="785"/>
        <v>Mar</v>
      </c>
      <c r="P7036" s="265">
        <f t="shared" si="786"/>
        <v>13</v>
      </c>
    </row>
    <row r="7037" spans="1:16" ht="15" hidden="1" customHeight="1">
      <c r="A7037" s="489">
        <v>68817801</v>
      </c>
      <c r="B7037" s="489">
        <v>2904</v>
      </c>
      <c r="C7037" s="488">
        <v>70200</v>
      </c>
      <c r="D7037" s="597">
        <v>46146</v>
      </c>
      <c r="E7037" s="489" t="s">
        <v>333</v>
      </c>
      <c r="F7037" s="489" t="s">
        <v>1226</v>
      </c>
      <c r="G7037" s="395">
        <f>VLOOKUP($A7037,'Tech Litons'!$A:$I,8,FALSE)</f>
        <v>8.5199999999999998E-3</v>
      </c>
      <c r="H7037" s="174">
        <f>VLOOKUP($A7037,'Tech Litons'!$A:$I,9,FALSE)</f>
        <v>176</v>
      </c>
      <c r="I7037" s="174" t="str">
        <f>VLOOKUP($A7037,'Tech Litons'!$A:$C,3,0)</f>
        <v>48oz</v>
      </c>
      <c r="J7037" s="175" t="str">
        <f t="shared" si="781"/>
        <v>290448oz</v>
      </c>
      <c r="K7037" s="176">
        <f>VLOOKUP(I7037,'Attain %'!A:B,2,0)</f>
        <v>0.94</v>
      </c>
      <c r="L7037" s="177">
        <f t="shared" si="782"/>
        <v>65988</v>
      </c>
      <c r="M7037" s="177">
        <f t="shared" si="783"/>
        <v>562.21776</v>
      </c>
      <c r="N7037" s="177">
        <f t="shared" si="784"/>
        <v>374.93181818181819</v>
      </c>
      <c r="O7037" s="175" t="str">
        <f t="shared" si="785"/>
        <v>May</v>
      </c>
      <c r="P7037" s="265">
        <f t="shared" si="786"/>
        <v>19</v>
      </c>
    </row>
    <row r="7038" spans="1:16" ht="15" hidden="1" customHeight="1">
      <c r="A7038" s="489">
        <v>68821734</v>
      </c>
      <c r="B7038" s="489">
        <v>2904</v>
      </c>
      <c r="C7038" s="488">
        <v>70200</v>
      </c>
      <c r="D7038" s="597">
        <v>46160</v>
      </c>
      <c r="E7038" s="489" t="s">
        <v>370</v>
      </c>
      <c r="F7038" s="489" t="s">
        <v>1226</v>
      </c>
      <c r="G7038" s="395">
        <f>VLOOKUP($A7038,'Tech Litons'!$A:$I,8,FALSE)</f>
        <v>8.5199999999999998E-3</v>
      </c>
      <c r="H7038" s="174">
        <f>VLOOKUP($A7038,'Tech Litons'!$A:$I,9,FALSE)</f>
        <v>176</v>
      </c>
      <c r="I7038" s="174" t="str">
        <f>VLOOKUP($A7038,'Tech Litons'!$A:$C,3,0)</f>
        <v>48oz</v>
      </c>
      <c r="J7038" s="175" t="str">
        <f t="shared" si="781"/>
        <v>290448oz</v>
      </c>
      <c r="K7038" s="176">
        <f>VLOOKUP(I7038,'Attain %'!A:B,2,0)</f>
        <v>0.94</v>
      </c>
      <c r="L7038" s="177">
        <f t="shared" si="782"/>
        <v>65988</v>
      </c>
      <c r="M7038" s="177">
        <f t="shared" si="783"/>
        <v>562.21776</v>
      </c>
      <c r="N7038" s="177">
        <f t="shared" si="784"/>
        <v>374.93181818181819</v>
      </c>
      <c r="O7038" s="175" t="str">
        <f t="shared" si="785"/>
        <v>May</v>
      </c>
      <c r="P7038" s="265">
        <f t="shared" si="786"/>
        <v>21</v>
      </c>
    </row>
    <row r="7039" spans="1:16" ht="15" hidden="1" customHeight="1">
      <c r="A7039" s="489">
        <v>68821735</v>
      </c>
      <c r="B7039" s="489">
        <v>2904</v>
      </c>
      <c r="C7039" s="488">
        <v>70200</v>
      </c>
      <c r="D7039" s="597">
        <v>46153</v>
      </c>
      <c r="E7039" s="489" t="s">
        <v>318</v>
      </c>
      <c r="F7039" s="489" t="s">
        <v>1226</v>
      </c>
      <c r="G7039" s="395">
        <f>VLOOKUP($A7039,'Tech Litons'!$A:$I,8,FALSE)</f>
        <v>8.5199999999999998E-3</v>
      </c>
      <c r="H7039" s="174">
        <f>VLOOKUP($A7039,'Tech Litons'!$A:$I,9,FALSE)</f>
        <v>176</v>
      </c>
      <c r="I7039" s="174" t="str">
        <f>VLOOKUP($A7039,'Tech Litons'!$A:$C,3,0)</f>
        <v>48oz</v>
      </c>
      <c r="J7039" s="175" t="str">
        <f t="shared" si="781"/>
        <v>290448oz</v>
      </c>
      <c r="K7039" s="176">
        <f>VLOOKUP(I7039,'Attain %'!A:B,2,0)</f>
        <v>0.94</v>
      </c>
      <c r="L7039" s="177">
        <f t="shared" si="782"/>
        <v>65988</v>
      </c>
      <c r="M7039" s="177">
        <f t="shared" si="783"/>
        <v>562.21776</v>
      </c>
      <c r="N7039" s="177">
        <f t="shared" si="784"/>
        <v>374.93181818181819</v>
      </c>
      <c r="O7039" s="175" t="str">
        <f t="shared" si="785"/>
        <v>May</v>
      </c>
      <c r="P7039" s="265">
        <f t="shared" si="786"/>
        <v>20</v>
      </c>
    </row>
    <row r="7040" spans="1:16" ht="15" hidden="1" customHeight="1">
      <c r="A7040" s="489">
        <v>68851107</v>
      </c>
      <c r="B7040" s="489">
        <v>2904</v>
      </c>
      <c r="C7040" s="488">
        <v>70200</v>
      </c>
      <c r="D7040" s="597">
        <v>46125</v>
      </c>
      <c r="E7040" s="489" t="s">
        <v>272</v>
      </c>
      <c r="F7040" s="489" t="s">
        <v>1226</v>
      </c>
      <c r="G7040" s="395">
        <f>VLOOKUP($A7040,'Tech Litons'!$A:$I,8,FALSE)</f>
        <v>8.5199999999999998E-3</v>
      </c>
      <c r="H7040" s="174">
        <f>VLOOKUP($A7040,'Tech Litons'!$A:$I,9,FALSE)</f>
        <v>176</v>
      </c>
      <c r="I7040" s="174" t="str">
        <f>VLOOKUP($A7040,'Tech Litons'!$A:$C,3,0)</f>
        <v>48oz</v>
      </c>
      <c r="J7040" s="175" t="str">
        <f t="shared" si="781"/>
        <v>290448oz</v>
      </c>
      <c r="K7040" s="176">
        <f>VLOOKUP(I7040,'Attain %'!A:B,2,0)</f>
        <v>0.94</v>
      </c>
      <c r="L7040" s="177">
        <f t="shared" si="782"/>
        <v>65988</v>
      </c>
      <c r="M7040" s="177">
        <f t="shared" si="783"/>
        <v>562.21776</v>
      </c>
      <c r="N7040" s="177">
        <f t="shared" si="784"/>
        <v>374.93181818181819</v>
      </c>
      <c r="O7040" s="175" t="str">
        <f t="shared" si="785"/>
        <v>Apr</v>
      </c>
      <c r="P7040" s="265">
        <f t="shared" si="786"/>
        <v>16</v>
      </c>
    </row>
    <row r="7041" spans="1:16" ht="15" hidden="1" customHeight="1">
      <c r="A7041" s="489">
        <v>68851108</v>
      </c>
      <c r="B7041" s="489">
        <v>2904</v>
      </c>
      <c r="C7041" s="488">
        <v>70200</v>
      </c>
      <c r="D7041" s="597">
        <v>46125</v>
      </c>
      <c r="E7041" s="489" t="s">
        <v>296</v>
      </c>
      <c r="F7041" s="489" t="s">
        <v>1226</v>
      </c>
      <c r="G7041" s="395">
        <f>VLOOKUP($A7041,'Tech Litons'!$A:$I,8,FALSE)</f>
        <v>8.5199999999999998E-3</v>
      </c>
      <c r="H7041" s="174">
        <f>VLOOKUP($A7041,'Tech Litons'!$A:$I,9,FALSE)</f>
        <v>176</v>
      </c>
      <c r="I7041" s="174" t="str">
        <f>VLOOKUP($A7041,'Tech Litons'!$A:$C,3,0)</f>
        <v>48oz</v>
      </c>
      <c r="J7041" s="175" t="str">
        <f t="shared" si="781"/>
        <v>290448oz</v>
      </c>
      <c r="K7041" s="176">
        <f>VLOOKUP(I7041,'Attain %'!A:B,2,0)</f>
        <v>0.94</v>
      </c>
      <c r="L7041" s="177">
        <f t="shared" si="782"/>
        <v>65988</v>
      </c>
      <c r="M7041" s="177">
        <f t="shared" si="783"/>
        <v>562.21776</v>
      </c>
      <c r="N7041" s="177">
        <f t="shared" si="784"/>
        <v>374.93181818181819</v>
      </c>
      <c r="O7041" s="175" t="str">
        <f t="shared" si="785"/>
        <v>Apr</v>
      </c>
      <c r="P7041" s="265">
        <f t="shared" si="786"/>
        <v>16</v>
      </c>
    </row>
    <row r="7042" spans="1:16" ht="15" hidden="1" customHeight="1">
      <c r="A7042" s="489">
        <v>68851108</v>
      </c>
      <c r="B7042" s="489">
        <v>2904</v>
      </c>
      <c r="C7042" s="488">
        <v>70200</v>
      </c>
      <c r="D7042" s="597">
        <v>46160</v>
      </c>
      <c r="E7042" s="489" t="s">
        <v>296</v>
      </c>
      <c r="F7042" s="489" t="s">
        <v>1226</v>
      </c>
      <c r="G7042" s="395">
        <f>VLOOKUP($A7042,'Tech Litons'!$A:$I,8,FALSE)</f>
        <v>8.5199999999999998E-3</v>
      </c>
      <c r="H7042" s="174">
        <f>VLOOKUP($A7042,'Tech Litons'!$A:$I,9,FALSE)</f>
        <v>176</v>
      </c>
      <c r="I7042" s="174" t="str">
        <f>VLOOKUP($A7042,'Tech Litons'!$A:$C,3,0)</f>
        <v>48oz</v>
      </c>
      <c r="J7042" s="175" t="str">
        <f t="shared" si="781"/>
        <v>290448oz</v>
      </c>
      <c r="K7042" s="176">
        <f>VLOOKUP(I7042,'Attain %'!A:B,2,0)</f>
        <v>0.94</v>
      </c>
      <c r="L7042" s="177">
        <f t="shared" si="782"/>
        <v>65988</v>
      </c>
      <c r="M7042" s="177">
        <f t="shared" si="783"/>
        <v>562.21776</v>
      </c>
      <c r="N7042" s="177">
        <f t="shared" si="784"/>
        <v>374.93181818181819</v>
      </c>
      <c r="O7042" s="175" t="str">
        <f t="shared" si="785"/>
        <v>May</v>
      </c>
      <c r="P7042" s="265">
        <f t="shared" si="786"/>
        <v>21</v>
      </c>
    </row>
    <row r="7043" spans="1:16" ht="15" hidden="1" customHeight="1">
      <c r="A7043" s="489">
        <v>68899825</v>
      </c>
      <c r="B7043" s="489">
        <v>2904</v>
      </c>
      <c r="C7043" s="488">
        <v>70200</v>
      </c>
      <c r="D7043" s="597">
        <v>46146</v>
      </c>
      <c r="E7043" s="489" t="s">
        <v>382</v>
      </c>
      <c r="F7043" s="489" t="s">
        <v>1226</v>
      </c>
      <c r="G7043" s="395">
        <f>VLOOKUP($A7043,'Tech Litons'!$A:$I,8,FALSE)</f>
        <v>8.513999999999999E-3</v>
      </c>
      <c r="H7043" s="174">
        <f>VLOOKUP($A7043,'Tech Litons'!$A:$I,9,FALSE)</f>
        <v>176</v>
      </c>
      <c r="I7043" s="174" t="str">
        <f>VLOOKUP($A7043,'Tech Litons'!$A:$C,3,0)</f>
        <v>48oz</v>
      </c>
      <c r="J7043" s="175" t="str">
        <f t="shared" si="781"/>
        <v>290448oz</v>
      </c>
      <c r="K7043" s="176">
        <f>VLOOKUP(I7043,'Attain %'!A:B,2,0)</f>
        <v>0.94</v>
      </c>
      <c r="L7043" s="177">
        <f t="shared" si="782"/>
        <v>65988</v>
      </c>
      <c r="M7043" s="177">
        <f t="shared" si="783"/>
        <v>561.82183199999997</v>
      </c>
      <c r="N7043" s="177">
        <f t="shared" si="784"/>
        <v>374.93181818181819</v>
      </c>
      <c r="O7043" s="175" t="str">
        <f t="shared" si="785"/>
        <v>May</v>
      </c>
      <c r="P7043" s="265">
        <f t="shared" si="786"/>
        <v>19</v>
      </c>
    </row>
    <row r="7044" spans="1:16" ht="15" hidden="1" customHeight="1">
      <c r="A7044" s="489">
        <v>69568962</v>
      </c>
      <c r="B7044" s="489">
        <v>2904</v>
      </c>
      <c r="C7044" s="488">
        <v>70200</v>
      </c>
      <c r="D7044" s="597">
        <v>46153</v>
      </c>
      <c r="E7044" s="489" t="s">
        <v>528</v>
      </c>
      <c r="F7044" s="489" t="s">
        <v>1226</v>
      </c>
      <c r="G7044" s="395">
        <f>VLOOKUP($A7044,'Tech Litons'!$A:$I,8,FALSE)</f>
        <v>8.5199999999999998E-3</v>
      </c>
      <c r="H7044" s="174">
        <f>VLOOKUP($A7044,'Tech Litons'!$A:$I,9,FALSE)</f>
        <v>176</v>
      </c>
      <c r="I7044" s="174" t="str">
        <f>VLOOKUP($A7044,'Tech Litons'!$A:$C,3,0)</f>
        <v>48oz</v>
      </c>
      <c r="J7044" s="175" t="str">
        <f t="shared" si="781"/>
        <v>290448oz</v>
      </c>
      <c r="K7044" s="176">
        <f>VLOOKUP(I7044,'Attain %'!A:B,2,0)</f>
        <v>0.94</v>
      </c>
      <c r="L7044" s="177">
        <f t="shared" si="782"/>
        <v>65988</v>
      </c>
      <c r="M7044" s="177">
        <f t="shared" si="783"/>
        <v>562.21776</v>
      </c>
      <c r="N7044" s="177">
        <f t="shared" si="784"/>
        <v>374.93181818181819</v>
      </c>
      <c r="O7044" s="175" t="str">
        <f t="shared" si="785"/>
        <v>May</v>
      </c>
      <c r="P7044" s="265">
        <f t="shared" si="786"/>
        <v>20</v>
      </c>
    </row>
    <row r="7045" spans="1:16" ht="15" hidden="1" customHeight="1">
      <c r="A7045" s="489">
        <v>69568964</v>
      </c>
      <c r="B7045" s="489">
        <v>2904</v>
      </c>
      <c r="C7045" s="488">
        <v>70200</v>
      </c>
      <c r="D7045" s="597">
        <v>46139</v>
      </c>
      <c r="E7045" s="489" t="s">
        <v>444</v>
      </c>
      <c r="F7045" s="489" t="s">
        <v>1226</v>
      </c>
      <c r="G7045" s="395">
        <f>VLOOKUP($A7045,'Tech Litons'!$A:$I,8,FALSE)</f>
        <v>8.5199999999999998E-3</v>
      </c>
      <c r="H7045" s="174">
        <f>VLOOKUP($A7045,'Tech Litons'!$A:$I,9,FALSE)</f>
        <v>176</v>
      </c>
      <c r="I7045" s="174" t="str">
        <f>VLOOKUP($A7045,'Tech Litons'!$A:$C,3,0)</f>
        <v>48oz</v>
      </c>
      <c r="J7045" s="175" t="str">
        <f t="shared" si="781"/>
        <v>290448oz</v>
      </c>
      <c r="K7045" s="176">
        <f>VLOOKUP(I7045,'Attain %'!A:B,2,0)</f>
        <v>0.94</v>
      </c>
      <c r="L7045" s="177">
        <f t="shared" si="782"/>
        <v>65988</v>
      </c>
      <c r="M7045" s="177">
        <f t="shared" si="783"/>
        <v>562.21776</v>
      </c>
      <c r="N7045" s="177">
        <f t="shared" si="784"/>
        <v>374.93181818181819</v>
      </c>
      <c r="O7045" s="175" t="str">
        <f t="shared" si="785"/>
        <v>Apr</v>
      </c>
      <c r="P7045" s="265">
        <f t="shared" si="786"/>
        <v>18</v>
      </c>
    </row>
    <row r="7046" spans="1:16" ht="15" hidden="1" customHeight="1">
      <c r="A7046" s="489">
        <v>69586720</v>
      </c>
      <c r="B7046" s="489" t="s">
        <v>137</v>
      </c>
      <c r="C7046" s="488">
        <v>70400</v>
      </c>
      <c r="D7046" s="597">
        <v>46118</v>
      </c>
      <c r="E7046" s="489" t="s">
        <v>630</v>
      </c>
      <c r="F7046" s="489" t="s">
        <v>1223</v>
      </c>
      <c r="G7046" s="395">
        <f>VLOOKUP($A7046,'Tech Litons'!$A:$I,8,FALSE)</f>
        <v>2.6640000000000001E-3</v>
      </c>
      <c r="H7046" s="174">
        <f>VLOOKUP($A7046,'Tech Litons'!$A:$I,9,FALSE)</f>
        <v>220</v>
      </c>
      <c r="I7046" s="174" t="str">
        <f>VLOOKUP($A7046,'Tech Litons'!$A:$C,3,0)</f>
        <v>KL Mini Cones</v>
      </c>
      <c r="J7046" s="175" t="str">
        <f t="shared" si="781"/>
        <v>TurkeyKL Mini Cones</v>
      </c>
      <c r="K7046" s="176">
        <f>VLOOKUP(I7046,'Attain %'!A:B,2,0)</f>
        <v>0.96</v>
      </c>
      <c r="L7046" s="177">
        <f t="shared" si="782"/>
        <v>67584</v>
      </c>
      <c r="M7046" s="177">
        <f t="shared" si="783"/>
        <v>180.04377600000001</v>
      </c>
      <c r="N7046" s="177">
        <f t="shared" si="784"/>
        <v>307.2</v>
      </c>
      <c r="O7046" s="175" t="str">
        <f t="shared" si="785"/>
        <v>Apr</v>
      </c>
      <c r="P7046" s="265">
        <f t="shared" si="786"/>
        <v>15</v>
      </c>
    </row>
    <row r="7047" spans="1:16" ht="15" hidden="1" customHeight="1">
      <c r="A7047" s="489">
        <v>68896054</v>
      </c>
      <c r="B7047" s="489">
        <v>1352</v>
      </c>
      <c r="C7047" s="488">
        <v>70560</v>
      </c>
      <c r="D7047" s="597">
        <v>46125</v>
      </c>
      <c r="E7047" s="489" t="s">
        <v>265</v>
      </c>
      <c r="F7047" s="489" t="s">
        <v>1208</v>
      </c>
      <c r="G7047" s="395">
        <f>VLOOKUP($A7047,'Tech Litons'!$A:$I,8,FALSE)</f>
        <v>8.5199999999999998E-3</v>
      </c>
      <c r="H7047" s="174">
        <f>VLOOKUP($A7047,'Tech Litons'!$A:$I,9,FALSE)</f>
        <v>176</v>
      </c>
      <c r="I7047" s="174" t="str">
        <f>VLOOKUP($A7047,'Tech Litons'!$A:$C,3,0)</f>
        <v>48oz</v>
      </c>
      <c r="J7047" s="175" t="str">
        <f t="shared" si="781"/>
        <v>135248oz</v>
      </c>
      <c r="K7047" s="176">
        <f>VLOOKUP(I7047,'Attain %'!A:B,2,0)</f>
        <v>0.94</v>
      </c>
      <c r="L7047" s="177">
        <f t="shared" si="782"/>
        <v>66326.399999999994</v>
      </c>
      <c r="M7047" s="177">
        <f t="shared" si="783"/>
        <v>565.10092799999995</v>
      </c>
      <c r="N7047" s="177">
        <f t="shared" si="784"/>
        <v>376.85454545454542</v>
      </c>
      <c r="O7047" s="175" t="str">
        <f t="shared" si="785"/>
        <v>Apr</v>
      </c>
      <c r="P7047" s="265">
        <f t="shared" si="786"/>
        <v>16</v>
      </c>
    </row>
    <row r="7048" spans="1:16" ht="15" hidden="1" customHeight="1">
      <c r="A7048" s="489">
        <v>64330596</v>
      </c>
      <c r="B7048" s="489">
        <v>2904</v>
      </c>
      <c r="C7048" s="488">
        <v>71000</v>
      </c>
      <c r="D7048" s="597">
        <v>46125</v>
      </c>
      <c r="E7048" s="489" t="s">
        <v>280</v>
      </c>
      <c r="F7048" s="489" t="s">
        <v>1238</v>
      </c>
      <c r="G7048" s="395">
        <f>VLOOKUP($A7048,'Tech Litons'!$A:$I,8,FALSE)</f>
        <v>1.98E-3</v>
      </c>
      <c r="H7048" s="174">
        <f>VLOOKUP($A7048,'Tech Litons'!$A:$I,9,FALSE)</f>
        <v>176</v>
      </c>
      <c r="I7048" s="174" t="str">
        <f>VLOOKUP($A7048,'Tech Litons'!$A:$C,3,0)</f>
        <v>MG Sticks</v>
      </c>
      <c r="J7048" s="175" t="str">
        <f t="shared" si="781"/>
        <v>2904MG Sticks</v>
      </c>
      <c r="K7048" s="176">
        <f>VLOOKUP(I7048,'Attain %'!A:B,2,0)</f>
        <v>0.96</v>
      </c>
      <c r="L7048" s="177">
        <f t="shared" si="782"/>
        <v>68160</v>
      </c>
      <c r="M7048" s="177">
        <f t="shared" si="783"/>
        <v>134.95679999999999</v>
      </c>
      <c r="N7048" s="177">
        <f t="shared" si="784"/>
        <v>387.27272727272725</v>
      </c>
      <c r="O7048" s="175" t="str">
        <f t="shared" si="785"/>
        <v>Apr</v>
      </c>
      <c r="P7048" s="265">
        <f t="shared" si="786"/>
        <v>16</v>
      </c>
    </row>
    <row r="7049" spans="1:16" ht="15" hidden="1" customHeight="1">
      <c r="A7049" s="489">
        <v>64330596</v>
      </c>
      <c r="B7049" s="489">
        <v>2904</v>
      </c>
      <c r="C7049" s="488">
        <v>72000</v>
      </c>
      <c r="D7049" s="597">
        <v>46167</v>
      </c>
      <c r="E7049" s="489" t="s">
        <v>280</v>
      </c>
      <c r="F7049" s="489" t="s">
        <v>1238</v>
      </c>
      <c r="G7049" s="395">
        <f>VLOOKUP($A7049,'Tech Litons'!$A:$I,8,FALSE)</f>
        <v>1.98E-3</v>
      </c>
      <c r="H7049" s="174">
        <f>VLOOKUP($A7049,'Tech Litons'!$A:$I,9,FALSE)</f>
        <v>176</v>
      </c>
      <c r="I7049" s="174" t="str">
        <f>VLOOKUP($A7049,'Tech Litons'!$A:$C,3,0)</f>
        <v>MG Sticks</v>
      </c>
      <c r="J7049" s="175" t="str">
        <f t="shared" si="781"/>
        <v>2904MG Sticks</v>
      </c>
      <c r="K7049" s="176">
        <f>VLOOKUP(I7049,'Attain %'!A:B,2,0)</f>
        <v>0.96</v>
      </c>
      <c r="L7049" s="177">
        <f t="shared" si="782"/>
        <v>69120</v>
      </c>
      <c r="M7049" s="177">
        <f t="shared" si="783"/>
        <v>136.85759999999999</v>
      </c>
      <c r="N7049" s="177">
        <f t="shared" si="784"/>
        <v>392.72727272727275</v>
      </c>
      <c r="O7049" s="175" t="str">
        <f t="shared" si="785"/>
        <v>May</v>
      </c>
      <c r="P7049" s="265">
        <f t="shared" si="786"/>
        <v>22</v>
      </c>
    </row>
    <row r="7050" spans="1:16" ht="15" hidden="1" customHeight="1">
      <c r="A7050" s="489">
        <v>64330611</v>
      </c>
      <c r="B7050" s="489">
        <v>2904</v>
      </c>
      <c r="C7050" s="488">
        <v>72000</v>
      </c>
      <c r="D7050" s="597">
        <v>46139</v>
      </c>
      <c r="E7050" s="489" t="s">
        <v>354</v>
      </c>
      <c r="F7050" s="489" t="s">
        <v>1238</v>
      </c>
      <c r="G7050" s="395">
        <f>VLOOKUP($A7050,'Tech Litons'!$A:$I,8,FALSE)</f>
        <v>2.16E-3</v>
      </c>
      <c r="H7050" s="174">
        <f>VLOOKUP($A7050,'Tech Litons'!$A:$I,9,FALSE)</f>
        <v>210</v>
      </c>
      <c r="I7050" s="174" t="str">
        <f>VLOOKUP($A7050,'Tech Litons'!$A:$C,3,0)</f>
        <v>MG Sticks</v>
      </c>
      <c r="J7050" s="175" t="str">
        <f t="shared" si="781"/>
        <v>2904MG Sticks</v>
      </c>
      <c r="K7050" s="176">
        <f>VLOOKUP(I7050,'Attain %'!A:B,2,0)</f>
        <v>0.96</v>
      </c>
      <c r="L7050" s="177">
        <f t="shared" si="782"/>
        <v>69120</v>
      </c>
      <c r="M7050" s="177">
        <f t="shared" si="783"/>
        <v>149.29920000000001</v>
      </c>
      <c r="N7050" s="177">
        <f t="shared" si="784"/>
        <v>329.14285714285717</v>
      </c>
      <c r="O7050" s="175" t="str">
        <f t="shared" si="785"/>
        <v>Apr</v>
      </c>
      <c r="P7050" s="265">
        <f t="shared" si="786"/>
        <v>18</v>
      </c>
    </row>
    <row r="7051" spans="1:16" ht="15" hidden="1" customHeight="1">
      <c r="A7051" s="489">
        <v>64330611</v>
      </c>
      <c r="B7051" s="489">
        <v>2904</v>
      </c>
      <c r="C7051" s="488">
        <v>72000</v>
      </c>
      <c r="D7051" s="597">
        <v>46146</v>
      </c>
      <c r="E7051" s="489" t="s">
        <v>354</v>
      </c>
      <c r="F7051" s="489" t="s">
        <v>1238</v>
      </c>
      <c r="G7051" s="395">
        <f>VLOOKUP($A7051,'Tech Litons'!$A:$I,8,FALSE)</f>
        <v>2.16E-3</v>
      </c>
      <c r="H7051" s="174">
        <f>VLOOKUP($A7051,'Tech Litons'!$A:$I,9,FALSE)</f>
        <v>210</v>
      </c>
      <c r="I7051" s="174" t="str">
        <f>VLOOKUP($A7051,'Tech Litons'!$A:$C,3,0)</f>
        <v>MG Sticks</v>
      </c>
      <c r="J7051" s="175" t="str">
        <f t="shared" si="781"/>
        <v>2904MG Sticks</v>
      </c>
      <c r="K7051" s="176">
        <f>VLOOKUP(I7051,'Attain %'!A:B,2,0)</f>
        <v>0.96</v>
      </c>
      <c r="L7051" s="177">
        <f t="shared" si="782"/>
        <v>69120</v>
      </c>
      <c r="M7051" s="177">
        <f t="shared" si="783"/>
        <v>149.29920000000001</v>
      </c>
      <c r="N7051" s="177">
        <f t="shared" si="784"/>
        <v>329.14285714285717</v>
      </c>
      <c r="O7051" s="175" t="str">
        <f t="shared" si="785"/>
        <v>May</v>
      </c>
      <c r="P7051" s="265">
        <f t="shared" si="786"/>
        <v>19</v>
      </c>
    </row>
    <row r="7052" spans="1:16" ht="15" hidden="1" customHeight="1">
      <c r="A7052" s="489">
        <v>64341109</v>
      </c>
      <c r="B7052" s="489" t="s">
        <v>139</v>
      </c>
      <c r="C7052" s="488">
        <v>72000</v>
      </c>
      <c r="D7052" s="597">
        <v>46139</v>
      </c>
      <c r="E7052" s="489" t="s">
        <v>616</v>
      </c>
      <c r="F7052" s="489" t="s">
        <v>1223</v>
      </c>
      <c r="G7052" s="395">
        <f>VLOOKUP($A7052,'Tech Litons'!$A:$I,8,FALSE)</f>
        <v>2E-3</v>
      </c>
      <c r="H7052" s="174">
        <f>VLOOKUP($A7052,'Tech Litons'!$A:$I,9,FALSE)</f>
        <v>210</v>
      </c>
      <c r="I7052" s="174" t="str">
        <f>VLOOKUP($A7052,'Tech Litons'!$A:$C,3,0)</f>
        <v>Facepieces</v>
      </c>
      <c r="J7052" s="175" t="str">
        <f t="shared" si="781"/>
        <v>IncomFacepieces</v>
      </c>
      <c r="K7052" s="176">
        <f>VLOOKUP(I7052,'Attain %'!A:B,2,0)</f>
        <v>0.96</v>
      </c>
      <c r="L7052" s="177">
        <f t="shared" si="782"/>
        <v>69120</v>
      </c>
      <c r="M7052" s="177">
        <f t="shared" si="783"/>
        <v>138.24</v>
      </c>
      <c r="N7052" s="177">
        <f t="shared" si="784"/>
        <v>329.14285714285717</v>
      </c>
      <c r="O7052" s="175" t="str">
        <f t="shared" si="785"/>
        <v>Apr</v>
      </c>
      <c r="P7052" s="265">
        <f t="shared" si="786"/>
        <v>18</v>
      </c>
    </row>
    <row r="7053" spans="1:16" ht="15" hidden="1" customHeight="1">
      <c r="A7053" s="489">
        <v>64771676</v>
      </c>
      <c r="B7053" s="489" t="s">
        <v>139</v>
      </c>
      <c r="C7053" s="488">
        <v>72000</v>
      </c>
      <c r="D7053" s="597">
        <v>46195</v>
      </c>
      <c r="E7053" s="489" t="s">
        <v>619</v>
      </c>
      <c r="F7053" s="489" t="s">
        <v>1223</v>
      </c>
      <c r="G7053" s="395">
        <f>VLOOKUP($A7053,'Tech Litons'!$A:$I,8,FALSE)</f>
        <v>2.16E-3</v>
      </c>
      <c r="H7053" s="174">
        <f>VLOOKUP($A7053,'Tech Litons'!$A:$I,9,FALSE)</f>
        <v>195</v>
      </c>
      <c r="I7053" s="174" t="str">
        <f>VLOOKUP($A7053,'Tech Litons'!$A:$C,3,0)</f>
        <v>Facepieces</v>
      </c>
      <c r="J7053" s="175" t="str">
        <f t="shared" si="781"/>
        <v>IncomFacepieces</v>
      </c>
      <c r="K7053" s="176">
        <f>VLOOKUP(I7053,'Attain %'!A:B,2,0)</f>
        <v>0.96</v>
      </c>
      <c r="L7053" s="177">
        <f t="shared" si="782"/>
        <v>69120</v>
      </c>
      <c r="M7053" s="177">
        <f t="shared" si="783"/>
        <v>149.29920000000001</v>
      </c>
      <c r="N7053" s="177">
        <f t="shared" si="784"/>
        <v>354.46153846153845</v>
      </c>
      <c r="O7053" s="175" t="str">
        <f t="shared" si="785"/>
        <v>Jun</v>
      </c>
      <c r="P7053" s="265">
        <f t="shared" si="786"/>
        <v>26</v>
      </c>
    </row>
    <row r="7054" spans="1:16" ht="15" hidden="1" customHeight="1">
      <c r="A7054" s="489">
        <v>68850683</v>
      </c>
      <c r="B7054" s="489">
        <v>1352</v>
      </c>
      <c r="C7054" s="488">
        <v>72300</v>
      </c>
      <c r="D7054" s="597">
        <v>46125</v>
      </c>
      <c r="E7054" s="489" t="s">
        <v>311</v>
      </c>
      <c r="F7054" s="489" t="s">
        <v>1209</v>
      </c>
      <c r="G7054" s="395">
        <f>VLOOKUP($A7054,'Tech Litons'!$A:$I,8,FALSE)</f>
        <v>8.5199999999999998E-3</v>
      </c>
      <c r="H7054" s="174">
        <f>VLOOKUP($A7054,'Tech Litons'!$A:$I,9,FALSE)</f>
        <v>176</v>
      </c>
      <c r="I7054" s="174" t="str">
        <f>VLOOKUP($A7054,'Tech Litons'!$A:$C,3,0)</f>
        <v>48oz</v>
      </c>
      <c r="J7054" s="175" t="str">
        <f t="shared" si="781"/>
        <v>135248oz</v>
      </c>
      <c r="K7054" s="176">
        <f>VLOOKUP(I7054,'Attain %'!A:B,2,0)</f>
        <v>0.94</v>
      </c>
      <c r="L7054" s="177">
        <f t="shared" si="782"/>
        <v>67962</v>
      </c>
      <c r="M7054" s="177">
        <f t="shared" si="783"/>
        <v>579.03624000000002</v>
      </c>
      <c r="N7054" s="177">
        <f t="shared" si="784"/>
        <v>386.14772727272725</v>
      </c>
      <c r="O7054" s="175" t="str">
        <f t="shared" si="785"/>
        <v>Apr</v>
      </c>
      <c r="P7054" s="265">
        <f t="shared" si="786"/>
        <v>16</v>
      </c>
    </row>
    <row r="7055" spans="1:16" ht="15" hidden="1" customHeight="1">
      <c r="A7055" s="489">
        <v>67789314</v>
      </c>
      <c r="B7055" s="489">
        <v>5914</v>
      </c>
      <c r="C7055" s="488">
        <v>19440</v>
      </c>
      <c r="D7055" s="597">
        <v>46111</v>
      </c>
      <c r="E7055" s="489" t="s">
        <v>344</v>
      </c>
      <c r="F7055" s="489" t="s">
        <v>1244</v>
      </c>
      <c r="G7055" s="395">
        <f>VLOOKUP($A7055,'Tech Litons'!$A:$I,8,FALSE)</f>
        <v>3.7853439999999999E-3</v>
      </c>
      <c r="H7055" s="174">
        <f>VLOOKUP($A7055,'Tech Litons'!$A:$I,9,FALSE)</f>
        <v>240</v>
      </c>
      <c r="I7055" s="174" t="str">
        <f>VLOOKUP($A7055,'Tech Litons'!$A:$C,3,0)</f>
        <v>BJ PTS</v>
      </c>
      <c r="J7055" s="175" t="str">
        <f t="shared" si="781"/>
        <v>5914BJ PTS</v>
      </c>
      <c r="K7055" s="176">
        <f>VLOOKUP(I7055,'Attain %'!A:B,2,0)</f>
        <v>0.95</v>
      </c>
      <c r="L7055" s="177">
        <f t="shared" si="782"/>
        <v>18468</v>
      </c>
      <c r="M7055" s="177">
        <f t="shared" si="783"/>
        <v>69.907732991999993</v>
      </c>
      <c r="N7055" s="177">
        <f t="shared" si="784"/>
        <v>76.95</v>
      </c>
      <c r="O7055" s="175" t="str">
        <f t="shared" si="785"/>
        <v>Mar</v>
      </c>
      <c r="P7055" s="265">
        <f t="shared" si="786"/>
        <v>14</v>
      </c>
    </row>
    <row r="7056" spans="1:16" ht="15" hidden="1" customHeight="1">
      <c r="A7056" s="489">
        <v>84138391</v>
      </c>
      <c r="B7056" s="489">
        <v>5914</v>
      </c>
      <c r="C7056" s="488">
        <v>72800</v>
      </c>
      <c r="D7056" s="597">
        <v>46118</v>
      </c>
      <c r="E7056" s="489" t="s">
        <v>339</v>
      </c>
      <c r="F7056" s="489" t="s">
        <v>1246</v>
      </c>
      <c r="G7056" s="395">
        <f>VLOOKUP($A7056,'Tech Litons'!$A:$I,8,FALSE)</f>
        <v>3.7853439999999999E-3</v>
      </c>
      <c r="H7056" s="174">
        <f>VLOOKUP($A7056,'Tech Litons'!$A:$I,9,FALSE)</f>
        <v>240</v>
      </c>
      <c r="I7056" s="174" t="str">
        <f>VLOOKUP($A7056,'Tech Litons'!$A:$C,3,0)</f>
        <v>BJ PTS</v>
      </c>
      <c r="J7056" s="175" t="str">
        <f t="shared" si="781"/>
        <v>5914BJ PTS</v>
      </c>
      <c r="K7056" s="176">
        <f>VLOOKUP(I7056,'Attain %'!A:B,2,0)</f>
        <v>0.95</v>
      </c>
      <c r="L7056" s="177">
        <f t="shared" si="782"/>
        <v>69160</v>
      </c>
      <c r="M7056" s="177">
        <f t="shared" si="783"/>
        <v>261.79439103999999</v>
      </c>
      <c r="N7056" s="177">
        <f t="shared" si="784"/>
        <v>288.16666666666669</v>
      </c>
      <c r="O7056" s="175" t="str">
        <f t="shared" si="785"/>
        <v>Apr</v>
      </c>
      <c r="P7056" s="265">
        <f t="shared" si="786"/>
        <v>15</v>
      </c>
    </row>
    <row r="7057" spans="1:16" ht="15" hidden="1" customHeight="1">
      <c r="A7057" s="489">
        <v>64987234</v>
      </c>
      <c r="B7057" s="489">
        <v>1716</v>
      </c>
      <c r="C7057" s="488">
        <v>73292</v>
      </c>
      <c r="D7057" s="597">
        <v>46111</v>
      </c>
      <c r="E7057" s="489" t="s">
        <v>598</v>
      </c>
      <c r="F7057" s="489" t="s">
        <v>1221</v>
      </c>
      <c r="G7057" s="395">
        <f>VLOOKUP($A7057,'Tech Litons'!$A:$I,8,FALSE)</f>
        <v>2.3999999999999998E-3</v>
      </c>
      <c r="H7057" s="174">
        <f>VLOOKUP($A7057,'Tech Litons'!$A:$I,9,FALSE)</f>
        <v>165</v>
      </c>
      <c r="I7057" s="174" t="str">
        <f>VLOOKUP($A7057,'Tech Litons'!$A:$C,3,0)</f>
        <v>BJ Bars</v>
      </c>
      <c r="J7057" s="175" t="str">
        <f t="shared" si="781"/>
        <v>1716BJ Bars</v>
      </c>
      <c r="K7057" s="176">
        <f>VLOOKUP(I7057,'Attain %'!A:B,2,0)</f>
        <v>0.96</v>
      </c>
      <c r="L7057" s="177">
        <f t="shared" si="782"/>
        <v>70360.319999999992</v>
      </c>
      <c r="M7057" s="177">
        <f t="shared" si="783"/>
        <v>168.86476799999997</v>
      </c>
      <c r="N7057" s="177">
        <f t="shared" si="784"/>
        <v>426.42618181818176</v>
      </c>
      <c r="O7057" s="175" t="str">
        <f t="shared" si="785"/>
        <v>Mar</v>
      </c>
      <c r="P7057" s="265">
        <f t="shared" si="786"/>
        <v>14</v>
      </c>
    </row>
    <row r="7058" spans="1:16" ht="15" hidden="1" customHeight="1">
      <c r="A7058" s="489">
        <v>64376316</v>
      </c>
      <c r="B7058" s="489">
        <v>1712</v>
      </c>
      <c r="C7058" s="488">
        <v>74115</v>
      </c>
      <c r="D7058" s="597">
        <v>46153</v>
      </c>
      <c r="E7058" s="489" t="s">
        <v>565</v>
      </c>
      <c r="F7058" s="489" t="s">
        <v>1221</v>
      </c>
      <c r="G7058" s="395">
        <f>VLOOKUP($A7058,'Tech Litons'!$A:$I,8,FALSE)</f>
        <v>1.5449999999999999E-3</v>
      </c>
      <c r="H7058" s="174">
        <f>VLOOKUP($A7058,'Tech Litons'!$A:$I,9,FALSE)</f>
        <v>240</v>
      </c>
      <c r="I7058" s="174" t="str">
        <f>VLOOKUP($A7058,'Tech Litons'!$A:$C,3,0)</f>
        <v>Yasso Club</v>
      </c>
      <c r="J7058" s="175" t="str">
        <f t="shared" si="781"/>
        <v>1712Yasso Club</v>
      </c>
      <c r="K7058" s="176">
        <f>VLOOKUP(I7058,'Attain %'!A:B,2,0)</f>
        <v>0.96</v>
      </c>
      <c r="L7058" s="177">
        <f t="shared" si="782"/>
        <v>71150.399999999994</v>
      </c>
      <c r="M7058" s="177">
        <f t="shared" si="783"/>
        <v>109.92736799999999</v>
      </c>
      <c r="N7058" s="177">
        <f t="shared" si="784"/>
        <v>296.45999999999998</v>
      </c>
      <c r="O7058" s="175" t="str">
        <f t="shared" si="785"/>
        <v>May</v>
      </c>
      <c r="P7058" s="265">
        <f t="shared" si="786"/>
        <v>20</v>
      </c>
    </row>
    <row r="7059" spans="1:16" ht="15" hidden="1" customHeight="1">
      <c r="A7059" s="489">
        <v>64958124</v>
      </c>
      <c r="B7059" s="489">
        <v>2904</v>
      </c>
      <c r="C7059" s="488">
        <v>75000</v>
      </c>
      <c r="D7059" s="597">
        <v>46160</v>
      </c>
      <c r="E7059" s="489" t="s">
        <v>587</v>
      </c>
      <c r="F7059" s="489" t="s">
        <v>1233</v>
      </c>
      <c r="G7059" s="395">
        <f>VLOOKUP($A7059,'Tech Litons'!$A:$I,8,FALSE)</f>
        <v>3.3119999999999998E-3</v>
      </c>
      <c r="H7059" s="174">
        <f>VLOOKUP($A7059,'Tech Litons'!$A:$I,9,FALSE)</f>
        <v>165</v>
      </c>
      <c r="I7059" s="174" t="str">
        <f>VLOOKUP($A7059,'Tech Litons'!$A:$C,3,0)</f>
        <v>Yasso Sticks</v>
      </c>
      <c r="J7059" s="175" t="str">
        <f t="shared" si="781"/>
        <v>2904Yasso Sticks</v>
      </c>
      <c r="K7059" s="176">
        <f>VLOOKUP(I7059,'Attain %'!A:B,2,0)</f>
        <v>0.96</v>
      </c>
      <c r="L7059" s="177">
        <f t="shared" si="782"/>
        <v>72000</v>
      </c>
      <c r="M7059" s="177">
        <f t="shared" si="783"/>
        <v>238.464</v>
      </c>
      <c r="N7059" s="177">
        <f t="shared" si="784"/>
        <v>436.36363636363637</v>
      </c>
      <c r="O7059" s="175" t="str">
        <f t="shared" si="785"/>
        <v>May</v>
      </c>
      <c r="P7059" s="265">
        <f t="shared" si="786"/>
        <v>21</v>
      </c>
    </row>
    <row r="7060" spans="1:16" ht="15" hidden="1" customHeight="1">
      <c r="A7060" s="489">
        <v>64958128</v>
      </c>
      <c r="B7060" s="489">
        <v>2904</v>
      </c>
      <c r="C7060" s="488">
        <v>75000</v>
      </c>
      <c r="D7060" s="597">
        <v>46139</v>
      </c>
      <c r="E7060" s="489" t="s">
        <v>235</v>
      </c>
      <c r="F7060" s="489" t="s">
        <v>1233</v>
      </c>
      <c r="G7060" s="395">
        <f>VLOOKUP($A7060,'Tech Litons'!$A:$I,8,FALSE)</f>
        <v>3.3119999999999998E-3</v>
      </c>
      <c r="H7060" s="174">
        <f>VLOOKUP($A7060,'Tech Litons'!$A:$I,9,FALSE)</f>
        <v>165</v>
      </c>
      <c r="I7060" s="174" t="str">
        <f>VLOOKUP($A7060,'Tech Litons'!$A:$C,3,0)</f>
        <v>Yasso Sticks</v>
      </c>
      <c r="J7060" s="175" t="str">
        <f t="shared" si="781"/>
        <v>2904Yasso Sticks</v>
      </c>
      <c r="K7060" s="176">
        <f>VLOOKUP(I7060,'Attain %'!A:B,2,0)</f>
        <v>0.96</v>
      </c>
      <c r="L7060" s="177">
        <f t="shared" si="782"/>
        <v>72000</v>
      </c>
      <c r="M7060" s="177">
        <f t="shared" si="783"/>
        <v>238.464</v>
      </c>
      <c r="N7060" s="177">
        <f t="shared" si="784"/>
        <v>436.36363636363637</v>
      </c>
      <c r="O7060" s="175" t="str">
        <f t="shared" si="785"/>
        <v>Apr</v>
      </c>
      <c r="P7060" s="265">
        <f t="shared" si="786"/>
        <v>18</v>
      </c>
    </row>
    <row r="7061" spans="1:16" ht="15" hidden="1" customHeight="1">
      <c r="A7061" s="489">
        <v>64976851</v>
      </c>
      <c r="B7061" s="489">
        <v>2904</v>
      </c>
      <c r="C7061" s="488">
        <v>75000</v>
      </c>
      <c r="D7061" s="597">
        <v>46146</v>
      </c>
      <c r="E7061" s="489" t="s">
        <v>592</v>
      </c>
      <c r="F7061" s="489" t="s">
        <v>1233</v>
      </c>
      <c r="G7061" s="395">
        <f>VLOOKUP($A7061,'Tech Litons'!$A:$I,8,FALSE)</f>
        <v>2.5040000000000001E-3</v>
      </c>
      <c r="H7061" s="174">
        <f>VLOOKUP($A7061,'Tech Litons'!$A:$I,9,FALSE)</f>
        <v>165</v>
      </c>
      <c r="I7061" s="174" t="str">
        <f>VLOOKUP($A7061,'Tech Litons'!$A:$C,3,0)</f>
        <v>Yasso Sticks</v>
      </c>
      <c r="J7061" s="175" t="str">
        <f t="shared" si="781"/>
        <v>2904Yasso Sticks</v>
      </c>
      <c r="K7061" s="176">
        <f>VLOOKUP(I7061,'Attain %'!A:B,2,0)</f>
        <v>0.96</v>
      </c>
      <c r="L7061" s="177">
        <f t="shared" si="782"/>
        <v>72000</v>
      </c>
      <c r="M7061" s="177">
        <f t="shared" si="783"/>
        <v>180.28800000000001</v>
      </c>
      <c r="N7061" s="177">
        <f t="shared" si="784"/>
        <v>436.36363636363637</v>
      </c>
      <c r="O7061" s="175" t="str">
        <f t="shared" si="785"/>
        <v>May</v>
      </c>
      <c r="P7061" s="265">
        <f t="shared" si="786"/>
        <v>19</v>
      </c>
    </row>
    <row r="7062" spans="1:16" ht="15" hidden="1" customHeight="1">
      <c r="A7062" s="489">
        <v>64976851</v>
      </c>
      <c r="B7062" s="489">
        <v>2904</v>
      </c>
      <c r="C7062" s="488">
        <v>75000</v>
      </c>
      <c r="D7062" s="597">
        <v>46153</v>
      </c>
      <c r="E7062" s="489" t="s">
        <v>592</v>
      </c>
      <c r="F7062" s="489" t="s">
        <v>1233</v>
      </c>
      <c r="G7062" s="395">
        <f>VLOOKUP($A7062,'Tech Litons'!$A:$I,8,FALSE)</f>
        <v>2.5040000000000001E-3</v>
      </c>
      <c r="H7062" s="174">
        <f>VLOOKUP($A7062,'Tech Litons'!$A:$I,9,FALSE)</f>
        <v>165</v>
      </c>
      <c r="I7062" s="174" t="str">
        <f>VLOOKUP($A7062,'Tech Litons'!$A:$C,3,0)</f>
        <v>Yasso Sticks</v>
      </c>
      <c r="J7062" s="175" t="str">
        <f t="shared" si="781"/>
        <v>2904Yasso Sticks</v>
      </c>
      <c r="K7062" s="176">
        <f>VLOOKUP(I7062,'Attain %'!A:B,2,0)</f>
        <v>0.96</v>
      </c>
      <c r="L7062" s="177">
        <f t="shared" si="782"/>
        <v>72000</v>
      </c>
      <c r="M7062" s="177">
        <f t="shared" si="783"/>
        <v>180.28800000000001</v>
      </c>
      <c r="N7062" s="177">
        <f t="shared" si="784"/>
        <v>436.36363636363637</v>
      </c>
      <c r="O7062" s="175" t="str">
        <f t="shared" si="785"/>
        <v>May</v>
      </c>
      <c r="P7062" s="265">
        <f t="shared" si="786"/>
        <v>20</v>
      </c>
    </row>
    <row r="7063" spans="1:16" ht="15" customHeight="1">
      <c r="A7063" s="489">
        <v>65594416</v>
      </c>
      <c r="B7063" s="489">
        <v>2904</v>
      </c>
      <c r="D7063" s="597">
        <v>46111</v>
      </c>
      <c r="E7063" s="489" t="s">
        <v>1241</v>
      </c>
      <c r="F7063" s="489" t="s">
        <v>1239</v>
      </c>
      <c r="G7063" s="395">
        <f>VLOOKUP($A7063,'Tech Litons'!$A:$I,8,FALSE)</f>
        <v>9.5999999999999992E-4</v>
      </c>
      <c r="H7063" s="174">
        <f>VLOOKUP($A7063,'Tech Litons'!$A:$I,9,FALSE)</f>
        <v>432</v>
      </c>
      <c r="I7063" s="174" t="str">
        <f>VLOOKUP($A7063,'Tech Litons'!$A:$C,3,0)</f>
        <v>MG Sticks</v>
      </c>
      <c r="J7063" s="175" t="str">
        <f t="shared" si="781"/>
        <v>2904MG Sticks</v>
      </c>
      <c r="K7063" s="176">
        <f>VLOOKUP(I7063,'Attain %'!A:B,2,0)</f>
        <v>0.96</v>
      </c>
      <c r="L7063" s="177">
        <f t="shared" si="782"/>
        <v>0</v>
      </c>
      <c r="M7063" s="177">
        <f t="shared" si="783"/>
        <v>0</v>
      </c>
      <c r="N7063" s="177">
        <f t="shared" si="784"/>
        <v>0</v>
      </c>
      <c r="O7063" s="175" t="str">
        <f t="shared" si="785"/>
        <v>Mar</v>
      </c>
      <c r="P7063" s="265">
        <f t="shared" si="786"/>
        <v>14</v>
      </c>
    </row>
    <row r="7064" spans="1:16" ht="15" customHeight="1">
      <c r="A7064" s="489">
        <v>65594416</v>
      </c>
      <c r="B7064" s="489">
        <v>2904</v>
      </c>
      <c r="C7064" s="488">
        <v>76800</v>
      </c>
      <c r="D7064" s="597">
        <v>46153</v>
      </c>
      <c r="E7064" s="489" t="s">
        <v>1241</v>
      </c>
      <c r="F7064" s="489" t="s">
        <v>1239</v>
      </c>
      <c r="G7064" s="395">
        <f>VLOOKUP($A7064,'Tech Litons'!$A:$I,8,FALSE)</f>
        <v>9.5999999999999992E-4</v>
      </c>
      <c r="H7064" s="174">
        <f>VLOOKUP($A7064,'Tech Litons'!$A:$I,9,FALSE)</f>
        <v>432</v>
      </c>
      <c r="I7064" s="174" t="str">
        <f>VLOOKUP($A7064,'Tech Litons'!$A:$C,3,0)</f>
        <v>MG Sticks</v>
      </c>
      <c r="J7064" s="175" t="str">
        <f t="shared" si="781"/>
        <v>2904MG Sticks</v>
      </c>
      <c r="K7064" s="176">
        <f>VLOOKUP(I7064,'Attain %'!A:B,2,0)</f>
        <v>0.96</v>
      </c>
      <c r="L7064" s="177">
        <f t="shared" si="782"/>
        <v>73728</v>
      </c>
      <c r="M7064" s="177">
        <f t="shared" si="783"/>
        <v>70.778879999999987</v>
      </c>
      <c r="N7064" s="177">
        <f t="shared" si="784"/>
        <v>170.66666666666666</v>
      </c>
      <c r="O7064" s="175" t="str">
        <f t="shared" si="785"/>
        <v>May</v>
      </c>
      <c r="P7064" s="265">
        <f t="shared" si="786"/>
        <v>20</v>
      </c>
    </row>
    <row r="7065" spans="1:16" ht="15" hidden="1" customHeight="1">
      <c r="A7065" s="489">
        <v>64976846</v>
      </c>
      <c r="B7065" s="489">
        <v>1717</v>
      </c>
      <c r="C7065" s="488">
        <v>78000</v>
      </c>
      <c r="D7065" s="597">
        <v>46216</v>
      </c>
      <c r="E7065" s="489" t="s">
        <v>603</v>
      </c>
      <c r="F7065" s="489" t="s">
        <v>1221</v>
      </c>
      <c r="G7065" s="395">
        <f>VLOOKUP($A7065,'Tech Litons'!$A:$I,8,FALSE)</f>
        <v>2.5040000000000001E-3</v>
      </c>
      <c r="H7065" s="174">
        <f>VLOOKUP($A7065,'Tech Litons'!$A:$I,9,FALSE)</f>
        <v>165</v>
      </c>
      <c r="I7065" s="174" t="str">
        <f>VLOOKUP($A7065,'Tech Litons'!$A:$C,3,0)</f>
        <v>Yasso Sticks</v>
      </c>
      <c r="J7065" s="175" t="str">
        <f t="shared" si="781"/>
        <v>1717Yasso Sticks</v>
      </c>
      <c r="K7065" s="176">
        <f>VLOOKUP(I7065,'Attain %'!A:B,2,0)</f>
        <v>0.96</v>
      </c>
      <c r="L7065" s="177">
        <f t="shared" si="782"/>
        <v>74880</v>
      </c>
      <c r="M7065" s="177">
        <f t="shared" si="783"/>
        <v>187.49952000000002</v>
      </c>
      <c r="N7065" s="177">
        <f t="shared" si="784"/>
        <v>453.81818181818181</v>
      </c>
      <c r="O7065" s="175" t="str">
        <f t="shared" si="785"/>
        <v>Jul</v>
      </c>
      <c r="P7065" s="265">
        <f t="shared" si="786"/>
        <v>29</v>
      </c>
    </row>
    <row r="7066" spans="1:16" ht="15" hidden="1" customHeight="1">
      <c r="A7066" s="489">
        <v>65431090</v>
      </c>
      <c r="B7066" s="489">
        <v>2904</v>
      </c>
      <c r="C7066" s="488">
        <v>78000</v>
      </c>
      <c r="D7066" s="597">
        <v>46132</v>
      </c>
      <c r="E7066" s="489" t="s">
        <v>375</v>
      </c>
      <c r="F7066" s="489" t="s">
        <v>1235</v>
      </c>
      <c r="G7066" s="395">
        <f>VLOOKUP($A7066,'Tech Litons'!$A:$I,8,FALSE)</f>
        <v>3.7839999999999996E-3</v>
      </c>
      <c r="H7066" s="174">
        <f>VLOOKUP($A7066,'Tech Litons'!$A:$I,9,FALSE)</f>
        <v>255</v>
      </c>
      <c r="I7066" s="174" t="str">
        <f>VLOOKUP($A7066,'Tech Litons'!$A:$C,3,0)</f>
        <v>Talenti</v>
      </c>
      <c r="J7066" s="175" t="str">
        <f t="shared" si="781"/>
        <v>2904Talenti</v>
      </c>
      <c r="K7066" s="176">
        <f>VLOOKUP(I7066,'Attain %'!A:B,2,0)</f>
        <v>0.96</v>
      </c>
      <c r="L7066" s="177">
        <f t="shared" si="782"/>
        <v>74880</v>
      </c>
      <c r="M7066" s="177">
        <f t="shared" si="783"/>
        <v>283.34591999999998</v>
      </c>
      <c r="N7066" s="177">
        <f t="shared" si="784"/>
        <v>293.64705882352939</v>
      </c>
      <c r="O7066" s="175" t="str">
        <f t="shared" si="785"/>
        <v>Apr</v>
      </c>
      <c r="P7066" s="265">
        <f t="shared" si="786"/>
        <v>17</v>
      </c>
    </row>
    <row r="7067" spans="1:16" ht="15" hidden="1" customHeight="1">
      <c r="A7067" s="489">
        <v>84141102</v>
      </c>
      <c r="B7067" s="489">
        <v>5911</v>
      </c>
      <c r="D7067" s="597">
        <v>46160</v>
      </c>
      <c r="E7067" s="489" t="s">
        <v>374</v>
      </c>
      <c r="F7067" s="489" t="s">
        <v>1242</v>
      </c>
      <c r="G7067" s="395">
        <f>VLOOKUP($A7067,'Tech Litons'!$A:$I,8,FALSE)</f>
        <v>3.7853439999999999E-3</v>
      </c>
      <c r="H7067" s="174">
        <f>VLOOKUP($A7067,'Tech Litons'!$A:$I,9,FALSE)</f>
        <v>240</v>
      </c>
      <c r="I7067" s="174" t="str">
        <f>VLOOKUP($A7067,'Tech Litons'!$A:$C,3,0)</f>
        <v>BJ PTS</v>
      </c>
      <c r="J7067" s="175" t="str">
        <f t="shared" si="781"/>
        <v>5911BJ PTS</v>
      </c>
      <c r="K7067" s="176">
        <f>VLOOKUP(I7067,'Attain %'!A:B,2,0)</f>
        <v>0.95</v>
      </c>
      <c r="L7067" s="177">
        <f t="shared" si="782"/>
        <v>0</v>
      </c>
      <c r="M7067" s="177">
        <f t="shared" si="783"/>
        <v>0</v>
      </c>
      <c r="N7067" s="177">
        <f t="shared" si="784"/>
        <v>0</v>
      </c>
      <c r="O7067" s="175" t="str">
        <f t="shared" si="785"/>
        <v>May</v>
      </c>
      <c r="P7067" s="265">
        <f t="shared" si="786"/>
        <v>21</v>
      </c>
    </row>
    <row r="7068" spans="1:16" ht="15" hidden="1" customHeight="1">
      <c r="A7068" s="489">
        <v>84141103</v>
      </c>
      <c r="B7068" s="489">
        <v>5911</v>
      </c>
      <c r="C7068" s="488">
        <v>98000</v>
      </c>
      <c r="D7068" s="597">
        <v>46139</v>
      </c>
      <c r="E7068" s="489" t="s">
        <v>314</v>
      </c>
      <c r="F7068" s="489" t="s">
        <v>1242</v>
      </c>
      <c r="G7068" s="395">
        <f>VLOOKUP($A7068,'Tech Litons'!$A:$I,8,FALSE)</f>
        <v>3.7853439999999999E-3</v>
      </c>
      <c r="H7068" s="174">
        <f>VLOOKUP($A7068,'Tech Litons'!$A:$I,9,FALSE)</f>
        <v>240</v>
      </c>
      <c r="I7068" s="174" t="str">
        <f>VLOOKUP($A7068,'Tech Litons'!$A:$C,3,0)</f>
        <v>BJ PTS</v>
      </c>
      <c r="J7068" s="175" t="str">
        <f t="shared" si="781"/>
        <v>5911BJ PTS</v>
      </c>
      <c r="K7068" s="176">
        <f>VLOOKUP(I7068,'Attain %'!A:B,2,0)</f>
        <v>0.95</v>
      </c>
      <c r="L7068" s="177">
        <f t="shared" si="782"/>
        <v>93100</v>
      </c>
      <c r="M7068" s="177">
        <f t="shared" si="783"/>
        <v>352.41552639999998</v>
      </c>
      <c r="N7068" s="177">
        <f t="shared" si="784"/>
        <v>387.91666666666669</v>
      </c>
      <c r="O7068" s="175" t="str">
        <f t="shared" si="785"/>
        <v>Apr</v>
      </c>
      <c r="P7068" s="265">
        <f t="shared" si="786"/>
        <v>18</v>
      </c>
    </row>
    <row r="7069" spans="1:16" ht="15" hidden="1" customHeight="1">
      <c r="A7069" s="489">
        <v>64979444</v>
      </c>
      <c r="B7069" s="489" t="s">
        <v>139</v>
      </c>
      <c r="D7069" s="597">
        <v>46104</v>
      </c>
      <c r="E7069" s="489" t="s">
        <v>622</v>
      </c>
      <c r="F7069" s="489" t="s">
        <v>1223</v>
      </c>
      <c r="G7069" s="395">
        <f>VLOOKUP($A7069,'Tech Litons'!$A:$I,8,FALSE)</f>
        <v>2.16E-3</v>
      </c>
      <c r="H7069" s="174">
        <f>VLOOKUP($A7069,'Tech Litons'!$A:$I,9,FALSE)</f>
        <v>195</v>
      </c>
      <c r="I7069" s="174" t="str">
        <f>VLOOKUP($A7069,'Tech Litons'!$A:$C,3,0)</f>
        <v>Facepieces</v>
      </c>
      <c r="J7069" s="175" t="str">
        <f t="shared" si="781"/>
        <v>IncomFacepieces</v>
      </c>
      <c r="K7069" s="176">
        <f>VLOOKUP(I7069,'Attain %'!A:B,2,0)</f>
        <v>0.96</v>
      </c>
      <c r="L7069" s="177">
        <f t="shared" si="782"/>
        <v>0</v>
      </c>
      <c r="M7069" s="177">
        <f t="shared" si="783"/>
        <v>0</v>
      </c>
      <c r="N7069" s="177">
        <f t="shared" si="784"/>
        <v>0</v>
      </c>
      <c r="O7069" s="175" t="str">
        <f t="shared" si="785"/>
        <v>Mar</v>
      </c>
      <c r="P7069" s="265">
        <f t="shared" si="786"/>
        <v>13</v>
      </c>
    </row>
    <row r="7070" spans="1:16" ht="15" hidden="1" customHeight="1">
      <c r="A7070" s="489">
        <v>64393722</v>
      </c>
      <c r="B7070" s="489">
        <v>2904</v>
      </c>
      <c r="C7070" s="488">
        <v>79200</v>
      </c>
      <c r="D7070" s="597">
        <v>46167</v>
      </c>
      <c r="E7070" s="489" t="s">
        <v>282</v>
      </c>
      <c r="F7070" s="489" t="s">
        <v>1239</v>
      </c>
      <c r="G7070" s="395">
        <f>VLOOKUP($A7070,'Tech Litons'!$A:$I,8,FALSE)</f>
        <v>2.16E-3</v>
      </c>
      <c r="H7070" s="174">
        <f>VLOOKUP($A7070,'Tech Litons'!$A:$I,9,FALSE)</f>
        <v>210</v>
      </c>
      <c r="I7070" s="174" t="str">
        <f>VLOOKUP($A7070,'Tech Litons'!$A:$C,3,0)</f>
        <v>MG Sticks</v>
      </c>
      <c r="J7070" s="175" t="str">
        <f t="shared" si="781"/>
        <v>2904MG Sticks</v>
      </c>
      <c r="K7070" s="176">
        <f>VLOOKUP(I7070,'Attain %'!A:B,2,0)</f>
        <v>0.96</v>
      </c>
      <c r="L7070" s="177">
        <f t="shared" si="782"/>
        <v>76032</v>
      </c>
      <c r="M7070" s="177">
        <f t="shared" si="783"/>
        <v>164.22911999999999</v>
      </c>
      <c r="N7070" s="177">
        <f t="shared" si="784"/>
        <v>362.05714285714288</v>
      </c>
      <c r="O7070" s="175" t="str">
        <f t="shared" si="785"/>
        <v>May</v>
      </c>
      <c r="P7070" s="265">
        <f t="shared" si="786"/>
        <v>22</v>
      </c>
    </row>
    <row r="7071" spans="1:16" ht="15" hidden="1" customHeight="1">
      <c r="A7071" s="489">
        <v>84141103</v>
      </c>
      <c r="B7071" s="489">
        <v>5911</v>
      </c>
      <c r="C7071" s="488">
        <v>79500</v>
      </c>
      <c r="D7071" s="597">
        <v>46111</v>
      </c>
      <c r="E7071" s="489" t="s">
        <v>314</v>
      </c>
      <c r="F7071" s="489" t="s">
        <v>1242</v>
      </c>
      <c r="G7071" s="395">
        <f>VLOOKUP($A7071,'Tech Litons'!$A:$I,8,FALSE)</f>
        <v>3.7853439999999999E-3</v>
      </c>
      <c r="H7071" s="174">
        <f>VLOOKUP($A7071,'Tech Litons'!$A:$I,9,FALSE)</f>
        <v>240</v>
      </c>
      <c r="I7071" s="174" t="str">
        <f>VLOOKUP($A7071,'Tech Litons'!$A:$C,3,0)</f>
        <v>BJ PTS</v>
      </c>
      <c r="J7071" s="175" t="str">
        <f t="shared" si="781"/>
        <v>5911BJ PTS</v>
      </c>
      <c r="K7071" s="176">
        <f>VLOOKUP(I7071,'Attain %'!A:B,2,0)</f>
        <v>0.95</v>
      </c>
      <c r="L7071" s="177">
        <f t="shared" si="782"/>
        <v>75525</v>
      </c>
      <c r="M7071" s="177">
        <f t="shared" si="783"/>
        <v>285.88810560000002</v>
      </c>
      <c r="N7071" s="177">
        <f t="shared" si="784"/>
        <v>314.6875</v>
      </c>
      <c r="O7071" s="175" t="str">
        <f t="shared" si="785"/>
        <v>Mar</v>
      </c>
      <c r="P7071" s="265">
        <f t="shared" si="786"/>
        <v>14</v>
      </c>
    </row>
    <row r="7072" spans="1:16" ht="15" hidden="1" customHeight="1">
      <c r="A7072" s="489">
        <v>68867755</v>
      </c>
      <c r="B7072" s="489">
        <v>2904</v>
      </c>
      <c r="C7072" s="488">
        <v>20900</v>
      </c>
      <c r="D7072" s="597">
        <v>46111</v>
      </c>
      <c r="E7072" s="489" t="s">
        <v>274</v>
      </c>
      <c r="F7072" s="489" t="s">
        <v>1228</v>
      </c>
      <c r="G7072" s="395">
        <f>VLOOKUP($A7072,'Tech Litons'!$A:$I,8,FALSE)</f>
        <v>3.552E-3</v>
      </c>
      <c r="H7072" s="174">
        <f>VLOOKUP($A7072,'Tech Litons'!$A:$I,9,FALSE)</f>
        <v>255</v>
      </c>
      <c r="I7072" s="174" t="str">
        <f>VLOOKUP($A7072,'Tech Litons'!$A:$C,3,0)</f>
        <v>Talenti</v>
      </c>
      <c r="J7072" s="175" t="str">
        <f t="shared" si="781"/>
        <v>2904Talenti</v>
      </c>
      <c r="K7072" s="176">
        <f>VLOOKUP(I7072,'Attain %'!A:B,2,0)</f>
        <v>0.96</v>
      </c>
      <c r="L7072" s="177">
        <f t="shared" si="782"/>
        <v>20064</v>
      </c>
      <c r="M7072" s="177">
        <f t="shared" si="783"/>
        <v>71.267328000000006</v>
      </c>
      <c r="N7072" s="177">
        <f t="shared" si="784"/>
        <v>78.682352941176475</v>
      </c>
      <c r="O7072" s="175" t="str">
        <f t="shared" si="785"/>
        <v>Mar</v>
      </c>
      <c r="P7072" s="265">
        <f t="shared" si="786"/>
        <v>14</v>
      </c>
    </row>
    <row r="7073" spans="1:16" ht="15" hidden="1" customHeight="1">
      <c r="A7073" s="489">
        <v>64988056</v>
      </c>
      <c r="B7073" s="489">
        <v>2904</v>
      </c>
      <c r="C7073" s="488">
        <v>24000</v>
      </c>
      <c r="D7073" s="597">
        <v>46111</v>
      </c>
      <c r="E7073" s="489" t="s">
        <v>268</v>
      </c>
      <c r="F7073" s="489" t="s">
        <v>1225</v>
      </c>
      <c r="G7073" s="395">
        <f>VLOOKUP($A7073,'Tech Litons'!$A:$I,8,FALSE)</f>
        <v>8.513999999999999E-3</v>
      </c>
      <c r="H7073" s="174">
        <f>VLOOKUP($A7073,'Tech Litons'!$A:$I,9,FALSE)</f>
        <v>176</v>
      </c>
      <c r="I7073" s="174" t="str">
        <f>VLOOKUP($A7073,'Tech Litons'!$A:$C,3,0)</f>
        <v>48oz</v>
      </c>
      <c r="J7073" s="175" t="str">
        <f t="shared" si="781"/>
        <v>290448oz</v>
      </c>
      <c r="K7073" s="176">
        <f>VLOOKUP(I7073,'Attain %'!A:B,2,0)</f>
        <v>0.94</v>
      </c>
      <c r="L7073" s="177">
        <f t="shared" si="782"/>
        <v>22560</v>
      </c>
      <c r="M7073" s="177">
        <f t="shared" si="783"/>
        <v>192.07583999999997</v>
      </c>
      <c r="N7073" s="177">
        <f t="shared" si="784"/>
        <v>128.18181818181819</v>
      </c>
      <c r="O7073" s="175" t="str">
        <f t="shared" si="785"/>
        <v>Mar</v>
      </c>
      <c r="P7073" s="265">
        <f t="shared" si="786"/>
        <v>14</v>
      </c>
    </row>
    <row r="7074" spans="1:16" ht="15" hidden="1" customHeight="1">
      <c r="A7074" s="489">
        <v>84137725</v>
      </c>
      <c r="B7074" s="489">
        <v>5911</v>
      </c>
      <c r="C7074" s="488">
        <v>81000</v>
      </c>
      <c r="D7074" s="597">
        <v>46111</v>
      </c>
      <c r="E7074" s="489" t="s">
        <v>278</v>
      </c>
      <c r="F7074" s="489" t="s">
        <v>1242</v>
      </c>
      <c r="G7074" s="395">
        <f>VLOOKUP($A7074,'Tech Litons'!$A:$I,8,FALSE)</f>
        <v>3.7853439999999999E-3</v>
      </c>
      <c r="H7074" s="174">
        <f>VLOOKUP($A7074,'Tech Litons'!$A:$I,9,FALSE)</f>
        <v>240</v>
      </c>
      <c r="I7074" s="174" t="str">
        <f>VLOOKUP($A7074,'Tech Litons'!$A:$C,3,0)</f>
        <v>BJ PTS</v>
      </c>
      <c r="J7074" s="175" t="str">
        <f t="shared" si="781"/>
        <v>5911BJ PTS</v>
      </c>
      <c r="K7074" s="176">
        <f>VLOOKUP(I7074,'Attain %'!A:B,2,0)</f>
        <v>0.95</v>
      </c>
      <c r="L7074" s="177">
        <f t="shared" si="782"/>
        <v>76950</v>
      </c>
      <c r="M7074" s="177">
        <f t="shared" si="783"/>
        <v>291.2822208</v>
      </c>
      <c r="N7074" s="177">
        <f t="shared" si="784"/>
        <v>320.625</v>
      </c>
      <c r="O7074" s="175" t="str">
        <f t="shared" si="785"/>
        <v>Mar</v>
      </c>
      <c r="P7074" s="265">
        <f t="shared" si="786"/>
        <v>14</v>
      </c>
    </row>
    <row r="7075" spans="1:16" ht="15" hidden="1" customHeight="1">
      <c r="A7075" s="489">
        <v>84141102</v>
      </c>
      <c r="B7075" s="489">
        <v>5911</v>
      </c>
      <c r="C7075" s="488">
        <v>81000</v>
      </c>
      <c r="D7075" s="597">
        <v>46104</v>
      </c>
      <c r="E7075" s="489" t="s">
        <v>374</v>
      </c>
      <c r="F7075" s="489" t="s">
        <v>1242</v>
      </c>
      <c r="G7075" s="395">
        <f>VLOOKUP($A7075,'Tech Litons'!$A:$I,8,FALSE)</f>
        <v>3.7853439999999999E-3</v>
      </c>
      <c r="H7075" s="174">
        <f>VLOOKUP($A7075,'Tech Litons'!$A:$I,9,FALSE)</f>
        <v>240</v>
      </c>
      <c r="I7075" s="174" t="str">
        <f>VLOOKUP($A7075,'Tech Litons'!$A:$C,3,0)</f>
        <v>BJ PTS</v>
      </c>
      <c r="J7075" s="175" t="str">
        <f t="shared" si="781"/>
        <v>5911BJ PTS</v>
      </c>
      <c r="K7075" s="176">
        <f>VLOOKUP(I7075,'Attain %'!A:B,2,0)</f>
        <v>0.95</v>
      </c>
      <c r="L7075" s="177">
        <f t="shared" si="782"/>
        <v>76950</v>
      </c>
      <c r="M7075" s="177">
        <f t="shared" si="783"/>
        <v>291.2822208</v>
      </c>
      <c r="N7075" s="177">
        <f t="shared" si="784"/>
        <v>320.625</v>
      </c>
      <c r="O7075" s="175" t="str">
        <f t="shared" si="785"/>
        <v>Mar</v>
      </c>
      <c r="P7075" s="265">
        <f t="shared" si="786"/>
        <v>13</v>
      </c>
    </row>
    <row r="7076" spans="1:16" ht="15" hidden="1" customHeight="1">
      <c r="A7076" s="489">
        <v>68649095</v>
      </c>
      <c r="B7076" s="489">
        <v>2904</v>
      </c>
      <c r="C7076" s="488">
        <v>82500</v>
      </c>
      <c r="D7076" s="597">
        <v>46160</v>
      </c>
      <c r="E7076" s="489" t="s">
        <v>294</v>
      </c>
      <c r="F7076" s="489" t="s">
        <v>1229</v>
      </c>
      <c r="G7076" s="395">
        <f>VLOOKUP($A7076,'Tech Litons'!$A:$I,8,FALSE)</f>
        <v>3.5999999999999999E-3</v>
      </c>
      <c r="H7076" s="174">
        <f>VLOOKUP($A7076,'Tech Litons'!$A:$I,9,FALSE)</f>
        <v>240</v>
      </c>
      <c r="I7076" s="174" t="str">
        <f>VLOOKUP($A7076,'Tech Litons'!$A:$C,3,0)</f>
        <v>Topped</v>
      </c>
      <c r="J7076" s="175" t="str">
        <f t="shared" si="781"/>
        <v>2904Topped</v>
      </c>
      <c r="K7076" s="176">
        <f>VLOOKUP(I7076,'Attain %'!A:B,2,0)</f>
        <v>0.96</v>
      </c>
      <c r="L7076" s="177">
        <f t="shared" si="782"/>
        <v>79200</v>
      </c>
      <c r="M7076" s="177">
        <f t="shared" si="783"/>
        <v>285.12</v>
      </c>
      <c r="N7076" s="177">
        <f t="shared" si="784"/>
        <v>330</v>
      </c>
      <c r="O7076" s="175" t="str">
        <f t="shared" si="785"/>
        <v>May</v>
      </c>
      <c r="P7076" s="265">
        <f t="shared" si="786"/>
        <v>21</v>
      </c>
    </row>
    <row r="7077" spans="1:16" ht="15" hidden="1" customHeight="1">
      <c r="A7077" s="489">
        <v>64341108</v>
      </c>
      <c r="B7077" s="489" t="s">
        <v>139</v>
      </c>
      <c r="C7077" s="488">
        <v>82800</v>
      </c>
      <c r="D7077" s="597">
        <v>46118</v>
      </c>
      <c r="E7077" s="489" t="s">
        <v>615</v>
      </c>
      <c r="F7077" s="489" t="s">
        <v>1223</v>
      </c>
      <c r="G7077" s="395">
        <f>VLOOKUP($A7077,'Tech Litons'!$A:$I,8,FALSE)</f>
        <v>2.3599999999999997E-3</v>
      </c>
      <c r="H7077" s="174">
        <f>VLOOKUP($A7077,'Tech Litons'!$A:$I,9,FALSE)</f>
        <v>210</v>
      </c>
      <c r="I7077" s="174" t="str">
        <f>VLOOKUP($A7077,'Tech Litons'!$A:$C,3,0)</f>
        <v>Facepieces</v>
      </c>
      <c r="J7077" s="175" t="str">
        <f t="shared" si="781"/>
        <v>IncomFacepieces</v>
      </c>
      <c r="K7077" s="176">
        <f>VLOOKUP(I7077,'Attain %'!A:B,2,0)</f>
        <v>0.96</v>
      </c>
      <c r="L7077" s="177">
        <f t="shared" si="782"/>
        <v>79488</v>
      </c>
      <c r="M7077" s="177">
        <f t="shared" si="783"/>
        <v>187.59167999999997</v>
      </c>
      <c r="N7077" s="177">
        <f t="shared" si="784"/>
        <v>378.51428571428573</v>
      </c>
      <c r="O7077" s="175" t="str">
        <f t="shared" si="785"/>
        <v>Apr</v>
      </c>
      <c r="P7077" s="265">
        <f t="shared" si="786"/>
        <v>15</v>
      </c>
    </row>
    <row r="7078" spans="1:16" ht="15" hidden="1" customHeight="1">
      <c r="A7078" s="489">
        <v>64771676</v>
      </c>
      <c r="B7078" s="489" t="s">
        <v>139</v>
      </c>
      <c r="C7078" s="488">
        <v>83148</v>
      </c>
      <c r="D7078" s="597">
        <v>46139</v>
      </c>
      <c r="E7078" s="489" t="s">
        <v>619</v>
      </c>
      <c r="F7078" s="489" t="s">
        <v>1223</v>
      </c>
      <c r="G7078" s="395">
        <f>VLOOKUP($A7078,'Tech Litons'!$A:$I,8,FALSE)</f>
        <v>2.16E-3</v>
      </c>
      <c r="H7078" s="174">
        <f>VLOOKUP($A7078,'Tech Litons'!$A:$I,9,FALSE)</f>
        <v>195</v>
      </c>
      <c r="I7078" s="174" t="str">
        <f>VLOOKUP($A7078,'Tech Litons'!$A:$C,3,0)</f>
        <v>Facepieces</v>
      </c>
      <c r="J7078" s="175" t="str">
        <f t="shared" si="781"/>
        <v>IncomFacepieces</v>
      </c>
      <c r="K7078" s="176">
        <f>VLOOKUP(I7078,'Attain %'!A:B,2,0)</f>
        <v>0.96</v>
      </c>
      <c r="L7078" s="177">
        <f t="shared" si="782"/>
        <v>79822.080000000002</v>
      </c>
      <c r="M7078" s="177">
        <f t="shared" si="783"/>
        <v>172.41569280000002</v>
      </c>
      <c r="N7078" s="177">
        <f t="shared" si="784"/>
        <v>409.34399999999999</v>
      </c>
      <c r="O7078" s="175" t="str">
        <f t="shared" si="785"/>
        <v>Apr</v>
      </c>
      <c r="P7078" s="265">
        <f t="shared" si="786"/>
        <v>18</v>
      </c>
    </row>
    <row r="7079" spans="1:16" ht="15" hidden="1" customHeight="1">
      <c r="A7079" s="489">
        <v>68860136</v>
      </c>
      <c r="B7079" s="489">
        <v>2904</v>
      </c>
      <c r="C7079" s="488">
        <v>83200</v>
      </c>
      <c r="D7079" s="597">
        <v>46132</v>
      </c>
      <c r="E7079" s="489" t="s">
        <v>503</v>
      </c>
      <c r="F7079" s="489" t="s">
        <v>1235</v>
      </c>
      <c r="G7079" s="395">
        <f>VLOOKUP($A7079,'Tech Litons'!$A:$I,8,FALSE)</f>
        <v>3.7839999999999996E-3</v>
      </c>
      <c r="H7079" s="174">
        <f>VLOOKUP($A7079,'Tech Litons'!$A:$I,9,FALSE)</f>
        <v>255</v>
      </c>
      <c r="I7079" s="174" t="str">
        <f>VLOOKUP($A7079,'Tech Litons'!$A:$C,3,0)</f>
        <v>TALENTI</v>
      </c>
      <c r="J7079" s="175" t="str">
        <f t="shared" si="781"/>
        <v>2904TALENTI</v>
      </c>
      <c r="K7079" s="176">
        <f>VLOOKUP(I7079,'Attain %'!A:B,2,0)</f>
        <v>0.96</v>
      </c>
      <c r="L7079" s="177">
        <f t="shared" si="782"/>
        <v>79872</v>
      </c>
      <c r="M7079" s="177">
        <f t="shared" si="783"/>
        <v>302.23564799999997</v>
      </c>
      <c r="N7079" s="177">
        <f t="shared" si="784"/>
        <v>313.22352941176473</v>
      </c>
      <c r="O7079" s="175" t="str">
        <f t="shared" si="785"/>
        <v>Apr</v>
      </c>
      <c r="P7079" s="265">
        <f t="shared" si="786"/>
        <v>17</v>
      </c>
    </row>
    <row r="7080" spans="1:16" ht="15" hidden="1" customHeight="1">
      <c r="A7080" s="489">
        <v>68851107</v>
      </c>
      <c r="B7080" s="489">
        <v>2904</v>
      </c>
      <c r="C7080" s="488">
        <v>83850</v>
      </c>
      <c r="D7080" s="597">
        <v>46118</v>
      </c>
      <c r="E7080" s="489" t="s">
        <v>272</v>
      </c>
      <c r="F7080" s="489" t="s">
        <v>1226</v>
      </c>
      <c r="G7080" s="395">
        <f>VLOOKUP($A7080,'Tech Litons'!$A:$I,8,FALSE)</f>
        <v>8.5199999999999998E-3</v>
      </c>
      <c r="H7080" s="174">
        <f>VLOOKUP($A7080,'Tech Litons'!$A:$I,9,FALSE)</f>
        <v>176</v>
      </c>
      <c r="I7080" s="174" t="str">
        <f>VLOOKUP($A7080,'Tech Litons'!$A:$C,3,0)</f>
        <v>48oz</v>
      </c>
      <c r="J7080" s="175" t="str">
        <f t="shared" si="781"/>
        <v>290448oz</v>
      </c>
      <c r="K7080" s="176">
        <f>VLOOKUP(I7080,'Attain %'!A:B,2,0)</f>
        <v>0.94</v>
      </c>
      <c r="L7080" s="177">
        <f t="shared" si="782"/>
        <v>78819</v>
      </c>
      <c r="M7080" s="177">
        <f t="shared" si="783"/>
        <v>671.53787999999997</v>
      </c>
      <c r="N7080" s="177">
        <f t="shared" si="784"/>
        <v>447.83522727272725</v>
      </c>
      <c r="O7080" s="175" t="str">
        <f t="shared" si="785"/>
        <v>Apr</v>
      </c>
      <c r="P7080" s="265">
        <f t="shared" si="786"/>
        <v>15</v>
      </c>
    </row>
    <row r="7081" spans="1:16" ht="15" hidden="1" customHeight="1">
      <c r="A7081" s="489">
        <v>69999267</v>
      </c>
      <c r="B7081" s="489">
        <v>2904</v>
      </c>
      <c r="C7081" s="488">
        <v>85500</v>
      </c>
      <c r="D7081" s="597">
        <v>46118</v>
      </c>
      <c r="E7081" s="489" t="s">
        <v>335</v>
      </c>
      <c r="F7081" s="489" t="s">
        <v>1227</v>
      </c>
      <c r="G7081" s="395">
        <f>VLOOKUP($A7081,'Tech Litons'!$A:$I,8,FALSE)</f>
        <v>3.7839999999999996E-3</v>
      </c>
      <c r="H7081" s="174">
        <f>VLOOKUP($A7081,'Tech Litons'!$A:$I,9,FALSE)</f>
        <v>240</v>
      </c>
      <c r="I7081" s="174" t="str">
        <f>VLOOKUP($A7081,'Tech Litons'!$A:$C,3,0)</f>
        <v>BJ PTS</v>
      </c>
      <c r="J7081" s="175" t="str">
        <f t="shared" si="781"/>
        <v>2904BJ PTS</v>
      </c>
      <c r="K7081" s="176">
        <f>VLOOKUP(I7081,'Attain %'!A:B,2,0)</f>
        <v>0.95</v>
      </c>
      <c r="L7081" s="177">
        <f t="shared" si="782"/>
        <v>81225</v>
      </c>
      <c r="M7081" s="177">
        <f t="shared" si="783"/>
        <v>307.35539999999997</v>
      </c>
      <c r="N7081" s="177">
        <f t="shared" si="784"/>
        <v>338.4375</v>
      </c>
      <c r="O7081" s="175" t="str">
        <f t="shared" si="785"/>
        <v>Apr</v>
      </c>
      <c r="P7081" s="265">
        <f t="shared" si="786"/>
        <v>15</v>
      </c>
    </row>
    <row r="7082" spans="1:16" ht="15" hidden="1" customHeight="1">
      <c r="A7082" s="489">
        <v>84141102</v>
      </c>
      <c r="B7082" s="489">
        <v>5911</v>
      </c>
      <c r="D7082" s="597">
        <v>46146</v>
      </c>
      <c r="E7082" s="489" t="s">
        <v>374</v>
      </c>
      <c r="F7082" s="489" t="s">
        <v>1242</v>
      </c>
      <c r="G7082" s="395">
        <f>VLOOKUP($A7082,'Tech Litons'!$A:$I,8,FALSE)</f>
        <v>3.7853439999999999E-3</v>
      </c>
      <c r="H7082" s="174">
        <f>VLOOKUP($A7082,'Tech Litons'!$A:$I,9,FALSE)</f>
        <v>240</v>
      </c>
      <c r="I7082" s="174" t="str">
        <f>VLOOKUP($A7082,'Tech Litons'!$A:$C,3,0)</f>
        <v>BJ PTS</v>
      </c>
      <c r="J7082" s="175" t="str">
        <f t="shared" si="781"/>
        <v>5911BJ PTS</v>
      </c>
      <c r="K7082" s="176">
        <f>VLOOKUP(I7082,'Attain %'!A:B,2,0)</f>
        <v>0.95</v>
      </c>
      <c r="L7082" s="177">
        <f t="shared" si="782"/>
        <v>0</v>
      </c>
      <c r="M7082" s="177">
        <f t="shared" si="783"/>
        <v>0</v>
      </c>
      <c r="N7082" s="177">
        <f t="shared" si="784"/>
        <v>0</v>
      </c>
      <c r="O7082" s="175" t="str">
        <f t="shared" si="785"/>
        <v>May</v>
      </c>
      <c r="P7082" s="265">
        <f t="shared" si="786"/>
        <v>19</v>
      </c>
    </row>
    <row r="7083" spans="1:16" ht="15" hidden="1" customHeight="1">
      <c r="A7083" s="489">
        <v>84141103</v>
      </c>
      <c r="B7083" s="489">
        <v>5911</v>
      </c>
      <c r="C7083" s="488">
        <v>99000</v>
      </c>
      <c r="D7083" s="597">
        <v>46160</v>
      </c>
      <c r="E7083" s="489" t="s">
        <v>314</v>
      </c>
      <c r="F7083" s="489" t="s">
        <v>1242</v>
      </c>
      <c r="G7083" s="395">
        <f>VLOOKUP($A7083,'Tech Litons'!$A:$I,8,FALSE)</f>
        <v>3.7853439999999999E-3</v>
      </c>
      <c r="H7083" s="174">
        <f>VLOOKUP($A7083,'Tech Litons'!$A:$I,9,FALSE)</f>
        <v>240</v>
      </c>
      <c r="I7083" s="174" t="str">
        <f>VLOOKUP($A7083,'Tech Litons'!$A:$C,3,0)</f>
        <v>BJ PTS</v>
      </c>
      <c r="J7083" s="175" t="str">
        <f t="shared" si="781"/>
        <v>5911BJ PTS</v>
      </c>
      <c r="K7083" s="176">
        <f>VLOOKUP(I7083,'Attain %'!A:B,2,0)</f>
        <v>0.95</v>
      </c>
      <c r="L7083" s="177">
        <f t="shared" si="782"/>
        <v>94050</v>
      </c>
      <c r="M7083" s="177">
        <f t="shared" si="783"/>
        <v>356.01160319999997</v>
      </c>
      <c r="N7083" s="177">
        <f t="shared" si="784"/>
        <v>391.875</v>
      </c>
      <c r="O7083" s="175" t="str">
        <f t="shared" si="785"/>
        <v>May</v>
      </c>
      <c r="P7083" s="265">
        <f t="shared" si="786"/>
        <v>21</v>
      </c>
    </row>
    <row r="7084" spans="1:16" ht="15" hidden="1" customHeight="1">
      <c r="A7084" s="489">
        <v>68851107</v>
      </c>
      <c r="B7084" s="489">
        <v>2904</v>
      </c>
      <c r="C7084" s="488">
        <v>87750</v>
      </c>
      <c r="D7084" s="597">
        <v>46132</v>
      </c>
      <c r="E7084" s="489" t="s">
        <v>272</v>
      </c>
      <c r="F7084" s="489" t="s">
        <v>1226</v>
      </c>
      <c r="G7084" s="395">
        <f>VLOOKUP($A7084,'Tech Litons'!$A:$I,8,FALSE)</f>
        <v>8.5199999999999998E-3</v>
      </c>
      <c r="H7084" s="174">
        <f>VLOOKUP($A7084,'Tech Litons'!$A:$I,9,FALSE)</f>
        <v>176</v>
      </c>
      <c r="I7084" s="174" t="str">
        <f>VLOOKUP($A7084,'Tech Litons'!$A:$C,3,0)</f>
        <v>48oz</v>
      </c>
      <c r="J7084" s="175" t="str">
        <f t="shared" si="781"/>
        <v>290448oz</v>
      </c>
      <c r="K7084" s="176">
        <f>VLOOKUP(I7084,'Attain %'!A:B,2,0)</f>
        <v>0.94</v>
      </c>
      <c r="L7084" s="177">
        <f t="shared" si="782"/>
        <v>82485</v>
      </c>
      <c r="M7084" s="177">
        <f t="shared" si="783"/>
        <v>702.7722</v>
      </c>
      <c r="N7084" s="177">
        <f t="shared" si="784"/>
        <v>468.66477272727275</v>
      </c>
      <c r="O7084" s="175" t="str">
        <f t="shared" si="785"/>
        <v>Apr</v>
      </c>
      <c r="P7084" s="265">
        <f t="shared" si="786"/>
        <v>17</v>
      </c>
    </row>
    <row r="7085" spans="1:16" ht="15" hidden="1" customHeight="1">
      <c r="A7085" s="489">
        <v>64987234</v>
      </c>
      <c r="B7085" s="489">
        <v>1716</v>
      </c>
      <c r="C7085" s="488">
        <v>88214</v>
      </c>
      <c r="D7085" s="597">
        <v>46146</v>
      </c>
      <c r="E7085" s="489" t="s">
        <v>598</v>
      </c>
      <c r="F7085" s="489" t="s">
        <v>1221</v>
      </c>
      <c r="G7085" s="395">
        <f>VLOOKUP($A7085,'Tech Litons'!$A:$I,8,FALSE)</f>
        <v>2.3999999999999998E-3</v>
      </c>
      <c r="H7085" s="174">
        <f>VLOOKUP($A7085,'Tech Litons'!$A:$I,9,FALSE)</f>
        <v>165</v>
      </c>
      <c r="I7085" s="174" t="str">
        <f>VLOOKUP($A7085,'Tech Litons'!$A:$C,3,0)</f>
        <v>BJ Bars</v>
      </c>
      <c r="J7085" s="175" t="str">
        <f t="shared" si="781"/>
        <v>1716BJ Bars</v>
      </c>
      <c r="K7085" s="176">
        <f>VLOOKUP(I7085,'Attain %'!A:B,2,0)</f>
        <v>0.96</v>
      </c>
      <c r="L7085" s="177">
        <f t="shared" si="782"/>
        <v>84685.440000000002</v>
      </c>
      <c r="M7085" s="177">
        <f t="shared" si="783"/>
        <v>203.24505599999998</v>
      </c>
      <c r="N7085" s="177">
        <f t="shared" si="784"/>
        <v>513.24509090909089</v>
      </c>
      <c r="O7085" s="175" t="str">
        <f t="shared" si="785"/>
        <v>May</v>
      </c>
      <c r="P7085" s="265">
        <f t="shared" si="786"/>
        <v>19</v>
      </c>
    </row>
    <row r="7086" spans="1:16" ht="15" hidden="1" customHeight="1">
      <c r="A7086" s="489">
        <v>64979444</v>
      </c>
      <c r="B7086" s="489" t="s">
        <v>139</v>
      </c>
      <c r="C7086" s="488">
        <v>88998</v>
      </c>
      <c r="D7086" s="597">
        <v>46146</v>
      </c>
      <c r="E7086" s="489" t="s">
        <v>622</v>
      </c>
      <c r="F7086" s="489" t="s">
        <v>1223</v>
      </c>
      <c r="G7086" s="395">
        <f>VLOOKUP($A7086,'Tech Litons'!$A:$I,8,FALSE)</f>
        <v>2.16E-3</v>
      </c>
      <c r="H7086" s="174">
        <f>VLOOKUP($A7086,'Tech Litons'!$A:$I,9,FALSE)</f>
        <v>195</v>
      </c>
      <c r="I7086" s="174" t="str">
        <f>VLOOKUP($A7086,'Tech Litons'!$A:$C,3,0)</f>
        <v>Facepieces</v>
      </c>
      <c r="J7086" s="175" t="str">
        <f t="shared" si="781"/>
        <v>IncomFacepieces</v>
      </c>
      <c r="K7086" s="176">
        <f>VLOOKUP(I7086,'Attain %'!A:B,2,0)</f>
        <v>0.96</v>
      </c>
      <c r="L7086" s="177">
        <f t="shared" si="782"/>
        <v>85438.080000000002</v>
      </c>
      <c r="M7086" s="177">
        <f t="shared" si="783"/>
        <v>184.54625280000002</v>
      </c>
      <c r="N7086" s="177">
        <f t="shared" si="784"/>
        <v>438.14400000000001</v>
      </c>
      <c r="O7086" s="175" t="str">
        <f t="shared" si="785"/>
        <v>May</v>
      </c>
      <c r="P7086" s="265">
        <f t="shared" si="786"/>
        <v>19</v>
      </c>
    </row>
    <row r="7087" spans="1:16" ht="15" hidden="1" customHeight="1">
      <c r="A7087" s="489">
        <v>64973976</v>
      </c>
      <c r="B7087" s="489">
        <v>1712</v>
      </c>
      <c r="C7087" s="488">
        <v>92160</v>
      </c>
      <c r="D7087" s="597">
        <v>46209</v>
      </c>
      <c r="E7087" s="489" t="s">
        <v>1190</v>
      </c>
      <c r="F7087" s="489" t="s">
        <v>1221</v>
      </c>
      <c r="G7087" s="395">
        <f>VLOOKUP($A7087,'Tech Litons'!$A:$I,8,FALSE)</f>
        <v>1.0644000000000001E-3</v>
      </c>
      <c r="H7087" s="174">
        <f>VLOOKUP($A7087,'Tech Litons'!$A:$I,9,FALSE)</f>
        <v>190</v>
      </c>
      <c r="I7087" s="174" t="str">
        <f>VLOOKUP($A7087,'Tech Litons'!$A:$C,3,0)</f>
        <v>BR Minicups</v>
      </c>
      <c r="J7087" s="175" t="str">
        <f t="shared" si="781"/>
        <v>1712BR Minicups</v>
      </c>
      <c r="K7087" s="176">
        <f>VLOOKUP(I7087,'Attain %'!A:B,2,0)</f>
        <v>0.96</v>
      </c>
      <c r="L7087" s="177">
        <f t="shared" si="782"/>
        <v>88473.599999999991</v>
      </c>
      <c r="M7087" s="177">
        <f t="shared" si="783"/>
        <v>94.171299840000003</v>
      </c>
      <c r="N7087" s="177">
        <f t="shared" si="784"/>
        <v>465.65052631578942</v>
      </c>
      <c r="O7087" s="175" t="str">
        <f t="shared" si="785"/>
        <v>Jul</v>
      </c>
      <c r="P7087" s="265">
        <f t="shared" si="786"/>
        <v>28</v>
      </c>
    </row>
    <row r="7088" spans="1:16" ht="15" hidden="1" customHeight="1">
      <c r="A7088" s="489">
        <v>64958122</v>
      </c>
      <c r="B7088" s="489">
        <v>2904</v>
      </c>
      <c r="C7088" s="488">
        <v>92475</v>
      </c>
      <c r="D7088" s="597">
        <v>46132</v>
      </c>
      <c r="E7088" s="489" t="s">
        <v>236</v>
      </c>
      <c r="F7088" s="489" t="s">
        <v>1233</v>
      </c>
      <c r="G7088" s="395">
        <f>VLOOKUP($A7088,'Tech Litons'!$A:$I,8,FALSE)</f>
        <v>3.3119999999999998E-3</v>
      </c>
      <c r="H7088" s="174">
        <f>VLOOKUP($A7088,'Tech Litons'!$A:$I,9,FALSE)</f>
        <v>165</v>
      </c>
      <c r="I7088" s="174" t="str">
        <f>VLOOKUP($A7088,'Tech Litons'!$A:$C,3,0)</f>
        <v>Yasso Sticks</v>
      </c>
      <c r="J7088" s="175" t="str">
        <f t="shared" si="781"/>
        <v>2904Yasso Sticks</v>
      </c>
      <c r="K7088" s="176">
        <f>VLOOKUP(I7088,'Attain %'!A:B,2,0)</f>
        <v>0.96</v>
      </c>
      <c r="L7088" s="177">
        <f t="shared" si="782"/>
        <v>88776</v>
      </c>
      <c r="M7088" s="177">
        <f t="shared" si="783"/>
        <v>294.02611200000001</v>
      </c>
      <c r="N7088" s="177">
        <f t="shared" si="784"/>
        <v>538.0363636363636</v>
      </c>
      <c r="O7088" s="175" t="str">
        <f t="shared" si="785"/>
        <v>Apr</v>
      </c>
      <c r="P7088" s="265">
        <f t="shared" si="786"/>
        <v>17</v>
      </c>
    </row>
    <row r="7089" spans="1:16" ht="15" hidden="1" customHeight="1">
      <c r="A7089" s="489">
        <v>64958128</v>
      </c>
      <c r="B7089" s="489">
        <v>2904</v>
      </c>
      <c r="C7089" s="488">
        <v>92475</v>
      </c>
      <c r="D7089" s="597">
        <v>46118</v>
      </c>
      <c r="E7089" s="489" t="s">
        <v>235</v>
      </c>
      <c r="F7089" s="489" t="s">
        <v>1233</v>
      </c>
      <c r="G7089" s="395">
        <f>VLOOKUP($A7089,'Tech Litons'!$A:$I,8,FALSE)</f>
        <v>3.3119999999999998E-3</v>
      </c>
      <c r="H7089" s="174">
        <f>VLOOKUP($A7089,'Tech Litons'!$A:$I,9,FALSE)</f>
        <v>165</v>
      </c>
      <c r="I7089" s="174" t="str">
        <f>VLOOKUP($A7089,'Tech Litons'!$A:$C,3,0)</f>
        <v>Yasso Sticks</v>
      </c>
      <c r="J7089" s="175" t="str">
        <f t="shared" si="781"/>
        <v>2904Yasso Sticks</v>
      </c>
      <c r="K7089" s="176">
        <f>VLOOKUP(I7089,'Attain %'!A:B,2,0)</f>
        <v>0.96</v>
      </c>
      <c r="L7089" s="177">
        <f t="shared" si="782"/>
        <v>88776</v>
      </c>
      <c r="M7089" s="177">
        <f t="shared" si="783"/>
        <v>294.02611200000001</v>
      </c>
      <c r="N7089" s="177">
        <f t="shared" si="784"/>
        <v>538.0363636363636</v>
      </c>
      <c r="O7089" s="175" t="str">
        <f t="shared" si="785"/>
        <v>Apr</v>
      </c>
      <c r="P7089" s="265">
        <f t="shared" si="786"/>
        <v>15</v>
      </c>
    </row>
    <row r="7090" spans="1:16" ht="15" hidden="1" customHeight="1">
      <c r="A7090" s="489">
        <v>68860659</v>
      </c>
      <c r="B7090" s="489">
        <v>2904</v>
      </c>
      <c r="C7090" s="488">
        <v>93600</v>
      </c>
      <c r="D7090" s="597">
        <v>46153</v>
      </c>
      <c r="E7090" s="489" t="s">
        <v>453</v>
      </c>
      <c r="F7090" s="489" t="s">
        <v>1235</v>
      </c>
      <c r="G7090" s="395">
        <f>VLOOKUP($A7090,'Tech Litons'!$A:$I,8,FALSE)</f>
        <v>3.7839999999999996E-3</v>
      </c>
      <c r="H7090" s="174">
        <f>VLOOKUP($A7090,'Tech Litons'!$A:$I,9,FALSE)</f>
        <v>255</v>
      </c>
      <c r="I7090" s="174" t="str">
        <f>VLOOKUP($A7090,'Tech Litons'!$A:$C,3,0)</f>
        <v>Talenti</v>
      </c>
      <c r="J7090" s="175" t="str">
        <f t="shared" si="781"/>
        <v>2904Talenti</v>
      </c>
      <c r="K7090" s="176">
        <f>VLOOKUP(I7090,'Attain %'!A:B,2,0)</f>
        <v>0.96</v>
      </c>
      <c r="L7090" s="177">
        <f t="shared" si="782"/>
        <v>89856</v>
      </c>
      <c r="M7090" s="177">
        <f t="shared" si="783"/>
        <v>340.01510399999995</v>
      </c>
      <c r="N7090" s="177">
        <f t="shared" si="784"/>
        <v>352.37647058823529</v>
      </c>
      <c r="O7090" s="175" t="str">
        <f t="shared" si="785"/>
        <v>May</v>
      </c>
      <c r="P7090" s="265">
        <f t="shared" si="786"/>
        <v>20</v>
      </c>
    </row>
    <row r="7091" spans="1:16" ht="15" hidden="1" customHeight="1">
      <c r="A7091" s="489">
        <v>68862392</v>
      </c>
      <c r="B7091" s="489">
        <v>2904</v>
      </c>
      <c r="C7091" s="488">
        <v>93600</v>
      </c>
      <c r="D7091" s="597">
        <v>46167</v>
      </c>
      <c r="E7091" s="489" t="s">
        <v>305</v>
      </c>
      <c r="F7091" s="489" t="s">
        <v>1235</v>
      </c>
      <c r="G7091" s="395">
        <f>VLOOKUP($A7091,'Tech Litons'!$A:$I,8,FALSE)</f>
        <v>3.7839999999999996E-3</v>
      </c>
      <c r="H7091" s="174">
        <f>VLOOKUP($A7091,'Tech Litons'!$A:$I,9,FALSE)</f>
        <v>255</v>
      </c>
      <c r="I7091" s="174" t="str">
        <f>VLOOKUP($A7091,'Tech Litons'!$A:$C,3,0)</f>
        <v>TALENTI</v>
      </c>
      <c r="J7091" s="175" t="str">
        <f t="shared" si="781"/>
        <v>2904TALENTI</v>
      </c>
      <c r="K7091" s="176">
        <f>VLOOKUP(I7091,'Attain %'!A:B,2,0)</f>
        <v>0.96</v>
      </c>
      <c r="L7091" s="177">
        <f t="shared" si="782"/>
        <v>89856</v>
      </c>
      <c r="M7091" s="177">
        <f t="shared" si="783"/>
        <v>340.01510399999995</v>
      </c>
      <c r="N7091" s="177">
        <f t="shared" si="784"/>
        <v>352.37647058823529</v>
      </c>
      <c r="O7091" s="175" t="str">
        <f t="shared" si="785"/>
        <v>May</v>
      </c>
      <c r="P7091" s="265">
        <f t="shared" si="786"/>
        <v>22</v>
      </c>
    </row>
    <row r="7092" spans="1:16" ht="15" hidden="1" customHeight="1">
      <c r="A7092" s="489">
        <v>68862496</v>
      </c>
      <c r="B7092" s="489">
        <v>2904</v>
      </c>
      <c r="C7092" s="488">
        <v>93600</v>
      </c>
      <c r="D7092" s="597">
        <v>46160</v>
      </c>
      <c r="E7092" s="489" t="s">
        <v>356</v>
      </c>
      <c r="F7092" s="489" t="s">
        <v>1235</v>
      </c>
      <c r="G7092" s="395">
        <f>VLOOKUP($A7092,'Tech Litons'!$A:$I,8,FALSE)</f>
        <v>3.7839999999999996E-3</v>
      </c>
      <c r="H7092" s="174">
        <f>VLOOKUP($A7092,'Tech Litons'!$A:$I,9,FALSE)</f>
        <v>255</v>
      </c>
      <c r="I7092" s="174" t="str">
        <f>VLOOKUP($A7092,'Tech Litons'!$A:$C,3,0)</f>
        <v>TALENTI</v>
      </c>
      <c r="J7092" s="175" t="str">
        <f t="shared" si="781"/>
        <v>2904TALENTI</v>
      </c>
      <c r="K7092" s="176">
        <f>VLOOKUP(I7092,'Attain %'!A:B,2,0)</f>
        <v>0.96</v>
      </c>
      <c r="L7092" s="177">
        <f t="shared" si="782"/>
        <v>89856</v>
      </c>
      <c r="M7092" s="177">
        <f t="shared" si="783"/>
        <v>340.01510399999995</v>
      </c>
      <c r="N7092" s="177">
        <f t="shared" si="784"/>
        <v>352.37647058823529</v>
      </c>
      <c r="O7092" s="175" t="str">
        <f t="shared" si="785"/>
        <v>May</v>
      </c>
      <c r="P7092" s="265">
        <f t="shared" si="786"/>
        <v>21</v>
      </c>
    </row>
    <row r="7093" spans="1:16" ht="15" hidden="1" customHeight="1">
      <c r="A7093" s="489">
        <v>68867756</v>
      </c>
      <c r="B7093" s="489">
        <v>2904</v>
      </c>
      <c r="C7093" s="488">
        <v>93600</v>
      </c>
      <c r="D7093" s="597">
        <v>46146</v>
      </c>
      <c r="E7093" s="489" t="s">
        <v>527</v>
      </c>
      <c r="F7093" s="489" t="s">
        <v>1235</v>
      </c>
      <c r="G7093" s="395">
        <f>VLOOKUP($A7093,'Tech Litons'!$A:$I,8,FALSE)</f>
        <v>3.7839999999999996E-3</v>
      </c>
      <c r="H7093" s="174">
        <f>VLOOKUP($A7093,'Tech Litons'!$A:$I,9,FALSE)</f>
        <v>255</v>
      </c>
      <c r="I7093" s="174" t="str">
        <f>VLOOKUP($A7093,'Tech Litons'!$A:$C,3,0)</f>
        <v>Talenti</v>
      </c>
      <c r="J7093" s="175" t="str">
        <f t="shared" si="781"/>
        <v>2904Talenti</v>
      </c>
      <c r="K7093" s="176">
        <f>VLOOKUP(I7093,'Attain %'!A:B,2,0)</f>
        <v>0.96</v>
      </c>
      <c r="L7093" s="177">
        <f t="shared" si="782"/>
        <v>89856</v>
      </c>
      <c r="M7093" s="177">
        <f t="shared" si="783"/>
        <v>340.01510399999995</v>
      </c>
      <c r="N7093" s="177">
        <f t="shared" si="784"/>
        <v>352.37647058823529</v>
      </c>
      <c r="O7093" s="175" t="str">
        <f t="shared" si="785"/>
        <v>May</v>
      </c>
      <c r="P7093" s="265">
        <f t="shared" si="786"/>
        <v>19</v>
      </c>
    </row>
    <row r="7094" spans="1:16" ht="15" hidden="1" customHeight="1">
      <c r="A7094" s="489">
        <v>68922108</v>
      </c>
      <c r="B7094" s="489">
        <v>2904</v>
      </c>
      <c r="C7094" s="488">
        <v>93600</v>
      </c>
      <c r="D7094" s="597">
        <v>46139</v>
      </c>
      <c r="E7094" s="489" t="s">
        <v>276</v>
      </c>
      <c r="F7094" s="489" t="s">
        <v>1235</v>
      </c>
      <c r="G7094" s="395">
        <f>VLOOKUP($A7094,'Tech Litons'!$A:$I,8,FALSE)</f>
        <v>3.7839999999999996E-3</v>
      </c>
      <c r="H7094" s="174">
        <f>VLOOKUP($A7094,'Tech Litons'!$A:$I,9,FALSE)</f>
        <v>255</v>
      </c>
      <c r="I7094" s="174" t="str">
        <f>VLOOKUP($A7094,'Tech Litons'!$A:$C,3,0)</f>
        <v>TALENTI</v>
      </c>
      <c r="J7094" s="175" t="str">
        <f t="shared" si="781"/>
        <v>2904TALENTI</v>
      </c>
      <c r="K7094" s="176">
        <f>VLOOKUP(I7094,'Attain %'!A:B,2,0)</f>
        <v>0.96</v>
      </c>
      <c r="L7094" s="177">
        <f t="shared" si="782"/>
        <v>89856</v>
      </c>
      <c r="M7094" s="177">
        <f t="shared" si="783"/>
        <v>340.01510399999995</v>
      </c>
      <c r="N7094" s="177">
        <f t="shared" si="784"/>
        <v>352.37647058823529</v>
      </c>
      <c r="O7094" s="175" t="str">
        <f t="shared" si="785"/>
        <v>Apr</v>
      </c>
      <c r="P7094" s="265">
        <f t="shared" si="786"/>
        <v>18</v>
      </c>
    </row>
    <row r="7095" spans="1:16" ht="15" hidden="1" customHeight="1">
      <c r="A7095" s="489">
        <v>68922108</v>
      </c>
      <c r="B7095" s="489">
        <v>2904</v>
      </c>
      <c r="C7095" s="488">
        <v>93600</v>
      </c>
      <c r="D7095" s="597">
        <v>46160</v>
      </c>
      <c r="E7095" s="489" t="s">
        <v>276</v>
      </c>
      <c r="F7095" s="489" t="s">
        <v>1235</v>
      </c>
      <c r="G7095" s="395">
        <f>VLOOKUP($A7095,'Tech Litons'!$A:$I,8,FALSE)</f>
        <v>3.7839999999999996E-3</v>
      </c>
      <c r="H7095" s="174">
        <f>VLOOKUP($A7095,'Tech Litons'!$A:$I,9,FALSE)</f>
        <v>255</v>
      </c>
      <c r="I7095" s="174" t="str">
        <f>VLOOKUP($A7095,'Tech Litons'!$A:$C,3,0)</f>
        <v>TALENTI</v>
      </c>
      <c r="J7095" s="175" t="str">
        <f t="shared" si="781"/>
        <v>2904TALENTI</v>
      </c>
      <c r="K7095" s="176">
        <f>VLOOKUP(I7095,'Attain %'!A:B,2,0)</f>
        <v>0.96</v>
      </c>
      <c r="L7095" s="177">
        <f t="shared" si="782"/>
        <v>89856</v>
      </c>
      <c r="M7095" s="177">
        <f t="shared" si="783"/>
        <v>340.01510399999995</v>
      </c>
      <c r="N7095" s="177">
        <f t="shared" si="784"/>
        <v>352.37647058823529</v>
      </c>
      <c r="O7095" s="175" t="str">
        <f t="shared" si="785"/>
        <v>May</v>
      </c>
      <c r="P7095" s="265">
        <f t="shared" si="786"/>
        <v>21</v>
      </c>
    </row>
    <row r="7096" spans="1:16" ht="15" customHeight="1">
      <c r="A7096" s="489">
        <v>65594416</v>
      </c>
      <c r="B7096" s="489">
        <v>2904</v>
      </c>
      <c r="C7096" s="488">
        <v>94400</v>
      </c>
      <c r="D7096" s="597">
        <v>46139</v>
      </c>
      <c r="E7096" s="489" t="s">
        <v>1241</v>
      </c>
      <c r="F7096" s="489" t="s">
        <v>1239</v>
      </c>
      <c r="G7096" s="395">
        <f>VLOOKUP($A7096,'Tech Litons'!$A:$I,8,FALSE)</f>
        <v>9.5999999999999992E-4</v>
      </c>
      <c r="H7096" s="174">
        <f>VLOOKUP($A7096,'Tech Litons'!$A:$I,9,FALSE)</f>
        <v>432</v>
      </c>
      <c r="I7096" s="174" t="str">
        <f>VLOOKUP($A7096,'Tech Litons'!$A:$C,3,0)</f>
        <v>MG Sticks</v>
      </c>
      <c r="J7096" s="175" t="str">
        <f t="shared" ref="J7096:J7159" si="787">B7096&amp;I7096</f>
        <v>2904MG Sticks</v>
      </c>
      <c r="K7096" s="176">
        <f>VLOOKUP(I7096,'Attain %'!A:B,2,0)</f>
        <v>0.96</v>
      </c>
      <c r="L7096" s="177">
        <f t="shared" ref="L7096:L7159" si="788">C7096*$K7096</f>
        <v>90624</v>
      </c>
      <c r="M7096" s="177">
        <f t="shared" ref="M7096:M7159" si="789">L7096*G7096</f>
        <v>86.999039999999994</v>
      </c>
      <c r="N7096" s="177">
        <f t="shared" ref="N7096:N7159" si="790">L7096/H7096</f>
        <v>209.77777777777777</v>
      </c>
      <c r="O7096" s="175" t="str">
        <f t="shared" ref="O7096:O7159" si="791">TEXT(D7096,"MMM")</f>
        <v>Apr</v>
      </c>
      <c r="P7096" s="265">
        <f t="shared" ref="P7096:P7159" si="792">WEEKNUM(D7096)</f>
        <v>18</v>
      </c>
    </row>
    <row r="7097" spans="1:16" ht="15" hidden="1" customHeight="1">
      <c r="A7097" s="489">
        <v>84141102</v>
      </c>
      <c r="B7097" s="489">
        <v>5911</v>
      </c>
      <c r="C7097" s="488">
        <v>94500</v>
      </c>
      <c r="D7097" s="597">
        <v>46125</v>
      </c>
      <c r="E7097" s="489" t="s">
        <v>374</v>
      </c>
      <c r="F7097" s="489" t="s">
        <v>1242</v>
      </c>
      <c r="G7097" s="395">
        <f>VLOOKUP($A7097,'Tech Litons'!$A:$I,8,FALSE)</f>
        <v>3.7853439999999999E-3</v>
      </c>
      <c r="H7097" s="174">
        <f>VLOOKUP($A7097,'Tech Litons'!$A:$I,9,FALSE)</f>
        <v>240</v>
      </c>
      <c r="I7097" s="174" t="str">
        <f>VLOOKUP($A7097,'Tech Litons'!$A:$C,3,0)</f>
        <v>BJ PTS</v>
      </c>
      <c r="J7097" s="175" t="str">
        <f t="shared" si="787"/>
        <v>5911BJ PTS</v>
      </c>
      <c r="K7097" s="176">
        <f>VLOOKUP(I7097,'Attain %'!A:B,2,0)</f>
        <v>0.95</v>
      </c>
      <c r="L7097" s="177">
        <f t="shared" si="788"/>
        <v>89775</v>
      </c>
      <c r="M7097" s="177">
        <f t="shared" si="789"/>
        <v>339.82925760000001</v>
      </c>
      <c r="N7097" s="177">
        <f t="shared" si="790"/>
        <v>374.0625</v>
      </c>
      <c r="O7097" s="175" t="str">
        <f t="shared" si="791"/>
        <v>Apr</v>
      </c>
      <c r="P7097" s="265">
        <f t="shared" si="792"/>
        <v>16</v>
      </c>
    </row>
    <row r="7098" spans="1:16" ht="15" hidden="1" customHeight="1">
      <c r="A7098" s="489">
        <v>67794167</v>
      </c>
      <c r="B7098" s="489">
        <v>5911</v>
      </c>
      <c r="C7098" s="488">
        <v>102000</v>
      </c>
      <c r="D7098" s="597">
        <v>46125</v>
      </c>
      <c r="E7098" s="489" t="s">
        <v>343</v>
      </c>
      <c r="F7098" s="489" t="s">
        <v>1242</v>
      </c>
      <c r="G7098" s="395">
        <f>VLOOKUP($A7098,'Tech Litons'!$A:$I,8,FALSE)</f>
        <v>3.7853439999999999E-3</v>
      </c>
      <c r="H7098" s="174">
        <f>VLOOKUP($A7098,'Tech Litons'!$A:$I,9,FALSE)</f>
        <v>240</v>
      </c>
      <c r="I7098" s="174" t="str">
        <f>VLOOKUP($A7098,'Tech Litons'!$A:$C,3,0)</f>
        <v>BJ PTS</v>
      </c>
      <c r="J7098" s="175" t="str">
        <f t="shared" si="787"/>
        <v>5911BJ PTS</v>
      </c>
      <c r="K7098" s="176">
        <f>VLOOKUP(I7098,'Attain %'!A:B,2,0)</f>
        <v>0.95</v>
      </c>
      <c r="L7098" s="177">
        <f t="shared" si="788"/>
        <v>96900</v>
      </c>
      <c r="M7098" s="177">
        <f t="shared" si="789"/>
        <v>366.7998336</v>
      </c>
      <c r="N7098" s="177">
        <f t="shared" si="790"/>
        <v>403.75</v>
      </c>
      <c r="O7098" s="175" t="str">
        <f t="shared" si="791"/>
        <v>Apr</v>
      </c>
      <c r="P7098" s="265">
        <f t="shared" si="792"/>
        <v>16</v>
      </c>
    </row>
    <row r="7099" spans="1:16" ht="15" hidden="1" customHeight="1">
      <c r="A7099" s="489">
        <v>67794167</v>
      </c>
      <c r="B7099" s="489">
        <v>5911</v>
      </c>
      <c r="C7099" s="488">
        <v>102000</v>
      </c>
      <c r="D7099" s="597">
        <v>46153</v>
      </c>
      <c r="E7099" s="489" t="s">
        <v>343</v>
      </c>
      <c r="F7099" s="489" t="s">
        <v>1242</v>
      </c>
      <c r="G7099" s="395">
        <f>VLOOKUP($A7099,'Tech Litons'!$A:$I,8,FALSE)</f>
        <v>3.7853439999999999E-3</v>
      </c>
      <c r="H7099" s="174">
        <f>VLOOKUP($A7099,'Tech Litons'!$A:$I,9,FALSE)</f>
        <v>240</v>
      </c>
      <c r="I7099" s="174" t="str">
        <f>VLOOKUP($A7099,'Tech Litons'!$A:$C,3,0)</f>
        <v>BJ PTS</v>
      </c>
      <c r="J7099" s="175" t="str">
        <f t="shared" si="787"/>
        <v>5911BJ PTS</v>
      </c>
      <c r="K7099" s="176">
        <f>VLOOKUP(I7099,'Attain %'!A:B,2,0)</f>
        <v>0.95</v>
      </c>
      <c r="L7099" s="177">
        <f t="shared" si="788"/>
        <v>96900</v>
      </c>
      <c r="M7099" s="177">
        <f t="shared" si="789"/>
        <v>366.7998336</v>
      </c>
      <c r="N7099" s="177">
        <f t="shared" si="790"/>
        <v>403.75</v>
      </c>
      <c r="O7099" s="175" t="str">
        <f t="shared" si="791"/>
        <v>May</v>
      </c>
      <c r="P7099" s="265">
        <f t="shared" si="792"/>
        <v>20</v>
      </c>
    </row>
    <row r="7100" spans="1:16" ht="15" hidden="1" customHeight="1">
      <c r="A7100" s="489">
        <v>84135718</v>
      </c>
      <c r="B7100" s="489">
        <v>5911</v>
      </c>
      <c r="C7100" s="488">
        <v>102000</v>
      </c>
      <c r="D7100" s="597">
        <v>46118</v>
      </c>
      <c r="E7100" s="489" t="s">
        <v>338</v>
      </c>
      <c r="F7100" s="489" t="s">
        <v>1242</v>
      </c>
      <c r="G7100" s="395">
        <f>VLOOKUP($A7100,'Tech Litons'!$A:$I,8,FALSE)</f>
        <v>3.7853439999999999E-3</v>
      </c>
      <c r="H7100" s="174">
        <f>VLOOKUP($A7100,'Tech Litons'!$A:$I,9,FALSE)</f>
        <v>240</v>
      </c>
      <c r="I7100" s="174" t="str">
        <f>VLOOKUP($A7100,'Tech Litons'!$A:$C,3,0)</f>
        <v>BJ PTS</v>
      </c>
      <c r="J7100" s="175" t="str">
        <f t="shared" si="787"/>
        <v>5911BJ PTS</v>
      </c>
      <c r="K7100" s="176">
        <f>VLOOKUP(I7100,'Attain %'!A:B,2,0)</f>
        <v>0.95</v>
      </c>
      <c r="L7100" s="177">
        <f t="shared" si="788"/>
        <v>96900</v>
      </c>
      <c r="M7100" s="177">
        <f t="shared" si="789"/>
        <v>366.7998336</v>
      </c>
      <c r="N7100" s="177">
        <f t="shared" si="790"/>
        <v>403.75</v>
      </c>
      <c r="O7100" s="175" t="str">
        <f t="shared" si="791"/>
        <v>Apr</v>
      </c>
      <c r="P7100" s="265">
        <f t="shared" si="792"/>
        <v>15</v>
      </c>
    </row>
    <row r="7101" spans="1:16" ht="15" hidden="1" customHeight="1">
      <c r="A7101" s="489">
        <v>84135718</v>
      </c>
      <c r="B7101" s="489">
        <v>5911</v>
      </c>
      <c r="C7101" s="488">
        <v>102000</v>
      </c>
      <c r="D7101" s="597">
        <v>46132</v>
      </c>
      <c r="E7101" s="489" t="s">
        <v>338</v>
      </c>
      <c r="F7101" s="489" t="s">
        <v>1242</v>
      </c>
      <c r="G7101" s="395">
        <f>VLOOKUP($A7101,'Tech Litons'!$A:$I,8,FALSE)</f>
        <v>3.7853439999999999E-3</v>
      </c>
      <c r="H7101" s="174">
        <f>VLOOKUP($A7101,'Tech Litons'!$A:$I,9,FALSE)</f>
        <v>240</v>
      </c>
      <c r="I7101" s="174" t="str">
        <f>VLOOKUP($A7101,'Tech Litons'!$A:$C,3,0)</f>
        <v>BJ PTS</v>
      </c>
      <c r="J7101" s="175" t="str">
        <f t="shared" si="787"/>
        <v>5911BJ PTS</v>
      </c>
      <c r="K7101" s="176">
        <f>VLOOKUP(I7101,'Attain %'!A:B,2,0)</f>
        <v>0.95</v>
      </c>
      <c r="L7101" s="177">
        <f t="shared" si="788"/>
        <v>96900</v>
      </c>
      <c r="M7101" s="177">
        <f t="shared" si="789"/>
        <v>366.7998336</v>
      </c>
      <c r="N7101" s="177">
        <f t="shared" si="790"/>
        <v>403.75</v>
      </c>
      <c r="O7101" s="175" t="str">
        <f t="shared" si="791"/>
        <v>Apr</v>
      </c>
      <c r="P7101" s="265">
        <f t="shared" si="792"/>
        <v>17</v>
      </c>
    </row>
    <row r="7102" spans="1:16" ht="15" hidden="1" customHeight="1">
      <c r="A7102" s="489">
        <v>84137725</v>
      </c>
      <c r="B7102" s="489">
        <v>5911</v>
      </c>
      <c r="C7102" s="488">
        <v>102000</v>
      </c>
      <c r="D7102" s="597">
        <v>46132</v>
      </c>
      <c r="E7102" s="489" t="s">
        <v>278</v>
      </c>
      <c r="F7102" s="489" t="s">
        <v>1242</v>
      </c>
      <c r="G7102" s="395">
        <f>VLOOKUP($A7102,'Tech Litons'!$A:$I,8,FALSE)</f>
        <v>3.7853439999999999E-3</v>
      </c>
      <c r="H7102" s="174">
        <f>VLOOKUP($A7102,'Tech Litons'!$A:$I,9,FALSE)</f>
        <v>240</v>
      </c>
      <c r="I7102" s="174" t="str">
        <f>VLOOKUP($A7102,'Tech Litons'!$A:$C,3,0)</f>
        <v>BJ PTS</v>
      </c>
      <c r="J7102" s="175" t="str">
        <f t="shared" si="787"/>
        <v>5911BJ PTS</v>
      </c>
      <c r="K7102" s="176">
        <f>VLOOKUP(I7102,'Attain %'!A:B,2,0)</f>
        <v>0.95</v>
      </c>
      <c r="L7102" s="177">
        <f t="shared" si="788"/>
        <v>96900</v>
      </c>
      <c r="M7102" s="177">
        <f t="shared" si="789"/>
        <v>366.7998336</v>
      </c>
      <c r="N7102" s="177">
        <f t="shared" si="790"/>
        <v>403.75</v>
      </c>
      <c r="O7102" s="175" t="str">
        <f t="shared" si="791"/>
        <v>Apr</v>
      </c>
      <c r="P7102" s="265">
        <f t="shared" si="792"/>
        <v>17</v>
      </c>
    </row>
    <row r="7103" spans="1:16" ht="15" hidden="1" customHeight="1">
      <c r="A7103" s="489">
        <v>84137725</v>
      </c>
      <c r="B7103" s="489">
        <v>5911</v>
      </c>
      <c r="C7103" s="488">
        <v>102000</v>
      </c>
      <c r="D7103" s="597">
        <v>46146</v>
      </c>
      <c r="E7103" s="489" t="s">
        <v>278</v>
      </c>
      <c r="F7103" s="489" t="s">
        <v>1242</v>
      </c>
      <c r="G7103" s="395">
        <f>VLOOKUP($A7103,'Tech Litons'!$A:$I,8,FALSE)</f>
        <v>3.7853439999999999E-3</v>
      </c>
      <c r="H7103" s="174">
        <f>VLOOKUP($A7103,'Tech Litons'!$A:$I,9,FALSE)</f>
        <v>240</v>
      </c>
      <c r="I7103" s="174" t="str">
        <f>VLOOKUP($A7103,'Tech Litons'!$A:$C,3,0)</f>
        <v>BJ PTS</v>
      </c>
      <c r="J7103" s="175" t="str">
        <f t="shared" si="787"/>
        <v>5911BJ PTS</v>
      </c>
      <c r="K7103" s="176">
        <f>VLOOKUP(I7103,'Attain %'!A:B,2,0)</f>
        <v>0.95</v>
      </c>
      <c r="L7103" s="177">
        <f t="shared" si="788"/>
        <v>96900</v>
      </c>
      <c r="M7103" s="177">
        <f t="shared" si="789"/>
        <v>366.7998336</v>
      </c>
      <c r="N7103" s="177">
        <f t="shared" si="790"/>
        <v>403.75</v>
      </c>
      <c r="O7103" s="175" t="str">
        <f t="shared" si="791"/>
        <v>May</v>
      </c>
      <c r="P7103" s="265">
        <f t="shared" si="792"/>
        <v>19</v>
      </c>
    </row>
    <row r="7104" spans="1:16" ht="15" hidden="1" customHeight="1">
      <c r="A7104" s="489">
        <v>84137725</v>
      </c>
      <c r="B7104" s="489">
        <v>5911</v>
      </c>
      <c r="C7104" s="488">
        <v>102000</v>
      </c>
      <c r="D7104" s="597">
        <v>46160</v>
      </c>
      <c r="E7104" s="489" t="s">
        <v>278</v>
      </c>
      <c r="F7104" s="489" t="s">
        <v>1242</v>
      </c>
      <c r="G7104" s="395">
        <f>VLOOKUP($A7104,'Tech Litons'!$A:$I,8,FALSE)</f>
        <v>3.7853439999999999E-3</v>
      </c>
      <c r="H7104" s="174">
        <f>VLOOKUP($A7104,'Tech Litons'!$A:$I,9,FALSE)</f>
        <v>240</v>
      </c>
      <c r="I7104" s="174" t="str">
        <f>VLOOKUP($A7104,'Tech Litons'!$A:$C,3,0)</f>
        <v>BJ PTS</v>
      </c>
      <c r="J7104" s="175" t="str">
        <f t="shared" si="787"/>
        <v>5911BJ PTS</v>
      </c>
      <c r="K7104" s="176">
        <f>VLOOKUP(I7104,'Attain %'!A:B,2,0)</f>
        <v>0.95</v>
      </c>
      <c r="L7104" s="177">
        <f t="shared" si="788"/>
        <v>96900</v>
      </c>
      <c r="M7104" s="177">
        <f t="shared" si="789"/>
        <v>366.7998336</v>
      </c>
      <c r="N7104" s="177">
        <f t="shared" si="790"/>
        <v>403.75</v>
      </c>
      <c r="O7104" s="175" t="str">
        <f t="shared" si="791"/>
        <v>May</v>
      </c>
      <c r="P7104" s="265">
        <f t="shared" si="792"/>
        <v>21</v>
      </c>
    </row>
    <row r="7105" spans="1:16" ht="15" hidden="1" customHeight="1">
      <c r="A7105" s="489">
        <v>84141102</v>
      </c>
      <c r="B7105" s="489">
        <v>5911</v>
      </c>
      <c r="C7105" s="488">
        <v>102000</v>
      </c>
      <c r="D7105" s="597">
        <v>46153</v>
      </c>
      <c r="E7105" s="489" t="s">
        <v>374</v>
      </c>
      <c r="F7105" s="489" t="s">
        <v>1242</v>
      </c>
      <c r="G7105" s="395">
        <f>VLOOKUP($A7105,'Tech Litons'!$A:$I,8,FALSE)</f>
        <v>3.7853439999999999E-3</v>
      </c>
      <c r="H7105" s="174">
        <f>VLOOKUP($A7105,'Tech Litons'!$A:$I,9,FALSE)</f>
        <v>240</v>
      </c>
      <c r="I7105" s="174" t="str">
        <f>VLOOKUP($A7105,'Tech Litons'!$A:$C,3,0)</f>
        <v>BJ PTS</v>
      </c>
      <c r="J7105" s="175" t="str">
        <f t="shared" si="787"/>
        <v>5911BJ PTS</v>
      </c>
      <c r="K7105" s="176">
        <f>VLOOKUP(I7105,'Attain %'!A:B,2,0)</f>
        <v>0.95</v>
      </c>
      <c r="L7105" s="177">
        <f t="shared" si="788"/>
        <v>96900</v>
      </c>
      <c r="M7105" s="177">
        <f t="shared" si="789"/>
        <v>366.7998336</v>
      </c>
      <c r="N7105" s="177">
        <f t="shared" si="790"/>
        <v>403.75</v>
      </c>
      <c r="O7105" s="175" t="str">
        <f t="shared" si="791"/>
        <v>May</v>
      </c>
      <c r="P7105" s="265">
        <f t="shared" si="792"/>
        <v>20</v>
      </c>
    </row>
    <row r="7106" spans="1:16" ht="15" hidden="1" customHeight="1">
      <c r="A7106" s="489">
        <v>84141103</v>
      </c>
      <c r="B7106" s="489">
        <v>5911</v>
      </c>
      <c r="C7106" s="488">
        <v>102000</v>
      </c>
      <c r="D7106" s="597">
        <v>46146</v>
      </c>
      <c r="E7106" s="489" t="s">
        <v>314</v>
      </c>
      <c r="F7106" s="489" t="s">
        <v>1242</v>
      </c>
      <c r="G7106" s="395">
        <f>VLOOKUP($A7106,'Tech Litons'!$A:$I,8,FALSE)</f>
        <v>3.7853439999999999E-3</v>
      </c>
      <c r="H7106" s="174">
        <f>VLOOKUP($A7106,'Tech Litons'!$A:$I,9,FALSE)</f>
        <v>240</v>
      </c>
      <c r="I7106" s="174" t="str">
        <f>VLOOKUP($A7106,'Tech Litons'!$A:$C,3,0)</f>
        <v>BJ PTS</v>
      </c>
      <c r="J7106" s="175" t="str">
        <f t="shared" si="787"/>
        <v>5911BJ PTS</v>
      </c>
      <c r="K7106" s="176">
        <f>VLOOKUP(I7106,'Attain %'!A:B,2,0)</f>
        <v>0.95</v>
      </c>
      <c r="L7106" s="177">
        <f t="shared" si="788"/>
        <v>96900</v>
      </c>
      <c r="M7106" s="177">
        <f t="shared" si="789"/>
        <v>366.7998336</v>
      </c>
      <c r="N7106" s="177">
        <f t="shared" si="790"/>
        <v>403.75</v>
      </c>
      <c r="O7106" s="175" t="str">
        <f t="shared" si="791"/>
        <v>May</v>
      </c>
      <c r="P7106" s="265">
        <f t="shared" si="792"/>
        <v>19</v>
      </c>
    </row>
    <row r="7107" spans="1:16" ht="15" hidden="1" customHeight="1">
      <c r="A7107" s="489">
        <v>64875812</v>
      </c>
      <c r="B7107" s="489">
        <v>1712</v>
      </c>
      <c r="C7107" s="488">
        <v>103040</v>
      </c>
      <c r="D7107" s="597">
        <v>46167</v>
      </c>
      <c r="E7107" s="489" t="s">
        <v>347</v>
      </c>
      <c r="F7107" s="489" t="s">
        <v>1221</v>
      </c>
      <c r="G7107" s="395">
        <f>VLOOKUP($A7107,'Tech Litons'!$A:$I,8,FALSE)</f>
        <v>6.0000000000000001E-3</v>
      </c>
      <c r="H7107" s="174">
        <f>VLOOKUP($A7107,'Tech Litons'!$A:$I,9,FALSE)</f>
        <v>108</v>
      </c>
      <c r="I7107" s="174" t="str">
        <f>VLOOKUP($A7107,'Tech Litons'!$A:$C,3,0)</f>
        <v>ESS</v>
      </c>
      <c r="J7107" s="175" t="str">
        <f t="shared" si="787"/>
        <v>1712ESS</v>
      </c>
      <c r="K7107" s="176">
        <f>VLOOKUP(I7107,'Attain %'!A:B,2,0)</f>
        <v>0.96</v>
      </c>
      <c r="L7107" s="177">
        <f t="shared" si="788"/>
        <v>98918.399999999994</v>
      </c>
      <c r="M7107" s="177">
        <f t="shared" si="789"/>
        <v>593.5104</v>
      </c>
      <c r="N7107" s="177">
        <f t="shared" si="790"/>
        <v>915.91111111111104</v>
      </c>
      <c r="O7107" s="175" t="str">
        <f t="shared" si="791"/>
        <v>May</v>
      </c>
      <c r="P7107" s="265">
        <f t="shared" si="792"/>
        <v>22</v>
      </c>
    </row>
    <row r="7108" spans="1:16" ht="15" hidden="1" customHeight="1">
      <c r="A7108" s="489">
        <v>64979444</v>
      </c>
      <c r="B7108" s="489" t="s">
        <v>139</v>
      </c>
      <c r="C7108" s="488">
        <v>104832</v>
      </c>
      <c r="D7108" s="597">
        <v>46125</v>
      </c>
      <c r="E7108" s="489" t="s">
        <v>622</v>
      </c>
      <c r="F7108" s="489" t="s">
        <v>1223</v>
      </c>
      <c r="G7108" s="395">
        <f>VLOOKUP($A7108,'Tech Litons'!$A:$I,8,FALSE)</f>
        <v>2.16E-3</v>
      </c>
      <c r="H7108" s="174">
        <f>VLOOKUP($A7108,'Tech Litons'!$A:$I,9,FALSE)</f>
        <v>195</v>
      </c>
      <c r="I7108" s="174" t="str">
        <f>VLOOKUP($A7108,'Tech Litons'!$A:$C,3,0)</f>
        <v>Facepieces</v>
      </c>
      <c r="J7108" s="175" t="str">
        <f t="shared" si="787"/>
        <v>IncomFacepieces</v>
      </c>
      <c r="K7108" s="176">
        <f>VLOOKUP(I7108,'Attain %'!A:B,2,0)</f>
        <v>0.96</v>
      </c>
      <c r="L7108" s="177">
        <f t="shared" si="788"/>
        <v>100638.72</v>
      </c>
      <c r="M7108" s="177">
        <f t="shared" si="789"/>
        <v>217.3796352</v>
      </c>
      <c r="N7108" s="177">
        <f t="shared" si="790"/>
        <v>516.096</v>
      </c>
      <c r="O7108" s="175" t="str">
        <f t="shared" si="791"/>
        <v>Apr</v>
      </c>
      <c r="P7108" s="265">
        <f t="shared" si="792"/>
        <v>16</v>
      </c>
    </row>
    <row r="7109" spans="1:16" ht="15" hidden="1" customHeight="1">
      <c r="A7109" s="489">
        <v>64958125</v>
      </c>
      <c r="B7109" s="489">
        <v>1715</v>
      </c>
      <c r="C7109" s="488">
        <v>105000</v>
      </c>
      <c r="D7109" s="597">
        <v>46146</v>
      </c>
      <c r="E7109" s="489" t="s">
        <v>238</v>
      </c>
      <c r="F7109" s="489" t="s">
        <v>1221</v>
      </c>
      <c r="G7109" s="395">
        <f>VLOOKUP($A7109,'Tech Litons'!$A:$I,8,FALSE)</f>
        <v>3.3119999999999998E-3</v>
      </c>
      <c r="H7109" s="174">
        <f>VLOOKUP($A7109,'Tech Litons'!$A:$I,9,FALSE)</f>
        <v>165</v>
      </c>
      <c r="I7109" s="174" t="str">
        <f>VLOOKUP($A7109,'Tech Litons'!$A:$C,3,0)</f>
        <v>Yasso Sticks</v>
      </c>
      <c r="J7109" s="175" t="str">
        <f t="shared" si="787"/>
        <v>1715Yasso Sticks</v>
      </c>
      <c r="K7109" s="176">
        <f>VLOOKUP(I7109,'Attain %'!A:B,2,0)</f>
        <v>0.96</v>
      </c>
      <c r="L7109" s="177">
        <f t="shared" si="788"/>
        <v>100800</v>
      </c>
      <c r="M7109" s="177">
        <f t="shared" si="789"/>
        <v>333.84960000000001</v>
      </c>
      <c r="N7109" s="177">
        <f t="shared" si="790"/>
        <v>610.90909090909088</v>
      </c>
      <c r="O7109" s="175" t="str">
        <f t="shared" si="791"/>
        <v>May</v>
      </c>
      <c r="P7109" s="265">
        <f t="shared" si="792"/>
        <v>19</v>
      </c>
    </row>
    <row r="7110" spans="1:16" ht="15" hidden="1" customHeight="1">
      <c r="A7110" s="489">
        <v>84137725</v>
      </c>
      <c r="B7110" s="489">
        <v>5911</v>
      </c>
      <c r="C7110" s="488">
        <v>108000</v>
      </c>
      <c r="D7110" s="597">
        <v>46167</v>
      </c>
      <c r="E7110" s="489" t="s">
        <v>278</v>
      </c>
      <c r="F7110" s="489" t="s">
        <v>1242</v>
      </c>
      <c r="G7110" s="395">
        <f>VLOOKUP($A7110,'Tech Litons'!$A:$I,8,FALSE)</f>
        <v>3.7853439999999999E-3</v>
      </c>
      <c r="H7110" s="174">
        <f>VLOOKUP($A7110,'Tech Litons'!$A:$I,9,FALSE)</f>
        <v>240</v>
      </c>
      <c r="I7110" s="174" t="str">
        <f>VLOOKUP($A7110,'Tech Litons'!$A:$C,3,0)</f>
        <v>BJ PTS</v>
      </c>
      <c r="J7110" s="175" t="str">
        <f t="shared" si="787"/>
        <v>5911BJ PTS</v>
      </c>
      <c r="K7110" s="176">
        <f>VLOOKUP(I7110,'Attain %'!A:B,2,0)</f>
        <v>0.95</v>
      </c>
      <c r="L7110" s="177">
        <f t="shared" si="788"/>
        <v>102600</v>
      </c>
      <c r="M7110" s="177">
        <f t="shared" si="789"/>
        <v>388.37629440000001</v>
      </c>
      <c r="N7110" s="177">
        <f t="shared" si="790"/>
        <v>427.5</v>
      </c>
      <c r="O7110" s="175" t="str">
        <f t="shared" si="791"/>
        <v>May</v>
      </c>
      <c r="P7110" s="265">
        <f t="shared" si="792"/>
        <v>22</v>
      </c>
    </row>
    <row r="7111" spans="1:16" ht="15" hidden="1" customHeight="1">
      <c r="A7111" s="489">
        <v>84141103</v>
      </c>
      <c r="B7111" s="489">
        <v>5911</v>
      </c>
      <c r="C7111" s="488">
        <v>108000</v>
      </c>
      <c r="D7111" s="597">
        <v>46167</v>
      </c>
      <c r="E7111" s="489" t="s">
        <v>314</v>
      </c>
      <c r="F7111" s="489" t="s">
        <v>1242</v>
      </c>
      <c r="G7111" s="395">
        <f>VLOOKUP($A7111,'Tech Litons'!$A:$I,8,FALSE)</f>
        <v>3.7853439999999999E-3</v>
      </c>
      <c r="H7111" s="174">
        <f>VLOOKUP($A7111,'Tech Litons'!$A:$I,9,FALSE)</f>
        <v>240</v>
      </c>
      <c r="I7111" s="174" t="str">
        <f>VLOOKUP($A7111,'Tech Litons'!$A:$C,3,0)</f>
        <v>BJ PTS</v>
      </c>
      <c r="J7111" s="175" t="str">
        <f t="shared" si="787"/>
        <v>5911BJ PTS</v>
      </c>
      <c r="K7111" s="176">
        <f>VLOOKUP(I7111,'Attain %'!A:B,2,0)</f>
        <v>0.95</v>
      </c>
      <c r="L7111" s="177">
        <f t="shared" si="788"/>
        <v>102600</v>
      </c>
      <c r="M7111" s="177">
        <f t="shared" si="789"/>
        <v>388.37629440000001</v>
      </c>
      <c r="N7111" s="177">
        <f t="shared" si="790"/>
        <v>427.5</v>
      </c>
      <c r="O7111" s="175" t="str">
        <f t="shared" si="791"/>
        <v>May</v>
      </c>
      <c r="P7111" s="265">
        <f t="shared" si="792"/>
        <v>22</v>
      </c>
    </row>
    <row r="7112" spans="1:16" ht="15" hidden="1" customHeight="1">
      <c r="A7112" s="489">
        <v>84164936</v>
      </c>
      <c r="B7112" s="489">
        <v>5914</v>
      </c>
      <c r="C7112" s="488">
        <v>108000</v>
      </c>
      <c r="D7112" s="597">
        <v>46153</v>
      </c>
      <c r="E7112" s="489" t="s">
        <v>420</v>
      </c>
      <c r="F7112" s="489" t="s">
        <v>1244</v>
      </c>
      <c r="G7112" s="395">
        <f>VLOOKUP($A7112,'Tech Litons'!$A:$I,8,FALSE)</f>
        <v>3.7853439999999999E-3</v>
      </c>
      <c r="H7112" s="174">
        <f>VLOOKUP($A7112,'Tech Litons'!$A:$I,9,FALSE)</f>
        <v>240</v>
      </c>
      <c r="I7112" s="174" t="str">
        <f>VLOOKUP($A7112,'Tech Litons'!$A:$C,3,0)</f>
        <v>BJ PTS</v>
      </c>
      <c r="J7112" s="175" t="str">
        <f t="shared" si="787"/>
        <v>5914BJ PTS</v>
      </c>
      <c r="K7112" s="176">
        <f>VLOOKUP(I7112,'Attain %'!A:B,2,0)</f>
        <v>0.95</v>
      </c>
      <c r="L7112" s="177">
        <f t="shared" si="788"/>
        <v>102600</v>
      </c>
      <c r="M7112" s="177">
        <f t="shared" si="789"/>
        <v>388.37629440000001</v>
      </c>
      <c r="N7112" s="177">
        <f t="shared" si="790"/>
        <v>427.5</v>
      </c>
      <c r="O7112" s="175" t="str">
        <f t="shared" si="791"/>
        <v>May</v>
      </c>
      <c r="P7112" s="265">
        <f t="shared" si="792"/>
        <v>20</v>
      </c>
    </row>
    <row r="7113" spans="1:16" ht="15" hidden="1" customHeight="1">
      <c r="A7113" s="489">
        <v>64327161</v>
      </c>
      <c r="B7113" s="489">
        <v>1712</v>
      </c>
      <c r="C7113" s="488">
        <v>108800</v>
      </c>
      <c r="D7113" s="597">
        <v>46335</v>
      </c>
      <c r="E7113" s="489" t="s">
        <v>563</v>
      </c>
      <c r="F7113" s="489" t="s">
        <v>1221</v>
      </c>
      <c r="G7113" s="395">
        <f>VLOOKUP($A7113,'Tech Litons'!$A:$I,8,FALSE)</f>
        <v>1.56E-3</v>
      </c>
      <c r="H7113" s="174">
        <f>VLOOKUP($A7113,'Tech Litons'!$A:$I,9,FALSE)</f>
        <v>240</v>
      </c>
      <c r="I7113" s="174" t="str">
        <f>VLOOKUP($A7113,'Tech Litons'!$A:$C,3,0)</f>
        <v>Yasso Club</v>
      </c>
      <c r="J7113" s="175" t="str">
        <f t="shared" si="787"/>
        <v>1712Yasso Club</v>
      </c>
      <c r="K7113" s="176">
        <f>VLOOKUP(I7113,'Attain %'!A:B,2,0)</f>
        <v>0.96</v>
      </c>
      <c r="L7113" s="177">
        <f t="shared" si="788"/>
        <v>104448</v>
      </c>
      <c r="M7113" s="177">
        <f t="shared" si="789"/>
        <v>162.93887999999998</v>
      </c>
      <c r="N7113" s="177">
        <f t="shared" si="790"/>
        <v>435.2</v>
      </c>
      <c r="O7113" s="175" t="str">
        <f t="shared" si="791"/>
        <v>Nov</v>
      </c>
      <c r="P7113" s="265">
        <f t="shared" si="792"/>
        <v>46</v>
      </c>
    </row>
    <row r="7114" spans="1:16" ht="15" hidden="1" customHeight="1">
      <c r="A7114" s="489">
        <v>64367657</v>
      </c>
      <c r="B7114" s="489">
        <v>2904</v>
      </c>
      <c r="C7114" s="488">
        <v>26400</v>
      </c>
      <c r="D7114" s="597">
        <v>46114</v>
      </c>
      <c r="E7114" s="489" t="s">
        <v>403</v>
      </c>
      <c r="F7114" s="489" t="s">
        <v>1228</v>
      </c>
      <c r="G7114" s="395">
        <f>VLOOKUP($A7114,'Tech Litons'!$A:$I,8,FALSE)</f>
        <v>3.552E-3</v>
      </c>
      <c r="H7114" s="174">
        <f>VLOOKUP($A7114,'Tech Litons'!$A:$I,9,FALSE)</f>
        <v>255</v>
      </c>
      <c r="I7114" s="174" t="str">
        <f>VLOOKUP($A7114,'Tech Litons'!$A:$C,3,0)</f>
        <v>Talenti</v>
      </c>
      <c r="J7114" s="175" t="str">
        <f t="shared" si="787"/>
        <v>2904Talenti</v>
      </c>
      <c r="K7114" s="176">
        <f>VLOOKUP(I7114,'Attain %'!A:B,2,0)</f>
        <v>0.96</v>
      </c>
      <c r="L7114" s="177">
        <f t="shared" si="788"/>
        <v>25344</v>
      </c>
      <c r="M7114" s="177">
        <f t="shared" si="789"/>
        <v>90.021888000000004</v>
      </c>
      <c r="N7114" s="177">
        <f t="shared" si="790"/>
        <v>99.388235294117649</v>
      </c>
      <c r="O7114" s="175" t="str">
        <f t="shared" si="791"/>
        <v>Apr</v>
      </c>
      <c r="P7114" s="265">
        <f t="shared" si="792"/>
        <v>14</v>
      </c>
    </row>
    <row r="7115" spans="1:16" ht="15" customHeight="1">
      <c r="A7115" s="489">
        <v>65594416</v>
      </c>
      <c r="B7115" s="489">
        <v>2904</v>
      </c>
      <c r="C7115" s="488">
        <v>113600</v>
      </c>
      <c r="D7115" s="597">
        <v>46125</v>
      </c>
      <c r="E7115" s="489" t="s">
        <v>1241</v>
      </c>
      <c r="F7115" s="489" t="s">
        <v>1239</v>
      </c>
      <c r="G7115" s="395">
        <f>VLOOKUP($A7115,'Tech Litons'!$A:$I,8,FALSE)</f>
        <v>9.5999999999999992E-4</v>
      </c>
      <c r="H7115" s="174">
        <f>VLOOKUP($A7115,'Tech Litons'!$A:$I,9,FALSE)</f>
        <v>432</v>
      </c>
      <c r="I7115" s="174" t="str">
        <f>VLOOKUP($A7115,'Tech Litons'!$A:$C,3,0)</f>
        <v>MG Sticks</v>
      </c>
      <c r="J7115" s="175" t="str">
        <f t="shared" si="787"/>
        <v>2904MG Sticks</v>
      </c>
      <c r="K7115" s="176">
        <f>VLOOKUP(I7115,'Attain %'!A:B,2,0)</f>
        <v>0.96</v>
      </c>
      <c r="L7115" s="177">
        <f t="shared" si="788"/>
        <v>109056</v>
      </c>
      <c r="M7115" s="177">
        <f t="shared" si="789"/>
        <v>104.69376</v>
      </c>
      <c r="N7115" s="177">
        <f t="shared" si="790"/>
        <v>252.44444444444446</v>
      </c>
      <c r="O7115" s="175" t="str">
        <f t="shared" si="791"/>
        <v>Apr</v>
      </c>
      <c r="P7115" s="265">
        <f t="shared" si="792"/>
        <v>16</v>
      </c>
    </row>
    <row r="7116" spans="1:16" ht="15" customHeight="1">
      <c r="A7116" s="489">
        <v>65594416</v>
      </c>
      <c r="B7116" s="489">
        <v>2904</v>
      </c>
      <c r="C7116" s="488">
        <v>113600</v>
      </c>
      <c r="D7116" s="597">
        <v>46132</v>
      </c>
      <c r="E7116" s="489" t="s">
        <v>1241</v>
      </c>
      <c r="F7116" s="489" t="s">
        <v>1239</v>
      </c>
      <c r="G7116" s="395">
        <f>VLOOKUP($A7116,'Tech Litons'!$A:$I,8,FALSE)</f>
        <v>9.5999999999999992E-4</v>
      </c>
      <c r="H7116" s="174">
        <f>VLOOKUP($A7116,'Tech Litons'!$A:$I,9,FALSE)</f>
        <v>432</v>
      </c>
      <c r="I7116" s="174" t="str">
        <f>VLOOKUP($A7116,'Tech Litons'!$A:$C,3,0)</f>
        <v>MG Sticks</v>
      </c>
      <c r="J7116" s="175" t="str">
        <f t="shared" si="787"/>
        <v>2904MG Sticks</v>
      </c>
      <c r="K7116" s="176">
        <f>VLOOKUP(I7116,'Attain %'!A:B,2,0)</f>
        <v>0.96</v>
      </c>
      <c r="L7116" s="177">
        <f t="shared" si="788"/>
        <v>109056</v>
      </c>
      <c r="M7116" s="177">
        <f t="shared" si="789"/>
        <v>104.69376</v>
      </c>
      <c r="N7116" s="177">
        <f t="shared" si="790"/>
        <v>252.44444444444446</v>
      </c>
      <c r="O7116" s="175" t="str">
        <f t="shared" si="791"/>
        <v>Apr</v>
      </c>
      <c r="P7116" s="265">
        <f t="shared" si="792"/>
        <v>17</v>
      </c>
    </row>
    <row r="7117" spans="1:16" ht="15" customHeight="1">
      <c r="A7117" s="489">
        <v>65594416</v>
      </c>
      <c r="B7117" s="489">
        <v>2904</v>
      </c>
      <c r="C7117" s="488">
        <v>113600</v>
      </c>
      <c r="D7117" s="597">
        <v>46146</v>
      </c>
      <c r="E7117" s="489" t="s">
        <v>1241</v>
      </c>
      <c r="F7117" s="489" t="s">
        <v>1239</v>
      </c>
      <c r="G7117" s="395">
        <f>VLOOKUP($A7117,'Tech Litons'!$A:$I,8,FALSE)</f>
        <v>9.5999999999999992E-4</v>
      </c>
      <c r="H7117" s="174">
        <f>VLOOKUP($A7117,'Tech Litons'!$A:$I,9,FALSE)</f>
        <v>432</v>
      </c>
      <c r="I7117" s="174" t="str">
        <f>VLOOKUP($A7117,'Tech Litons'!$A:$C,3,0)</f>
        <v>MG Sticks</v>
      </c>
      <c r="J7117" s="175" t="str">
        <f t="shared" si="787"/>
        <v>2904MG Sticks</v>
      </c>
      <c r="K7117" s="176">
        <f>VLOOKUP(I7117,'Attain %'!A:B,2,0)</f>
        <v>0.96</v>
      </c>
      <c r="L7117" s="177">
        <f t="shared" si="788"/>
        <v>109056</v>
      </c>
      <c r="M7117" s="177">
        <f t="shared" si="789"/>
        <v>104.69376</v>
      </c>
      <c r="N7117" s="177">
        <f t="shared" si="790"/>
        <v>252.44444444444446</v>
      </c>
      <c r="O7117" s="175" t="str">
        <f t="shared" si="791"/>
        <v>May</v>
      </c>
      <c r="P7117" s="265">
        <f t="shared" si="792"/>
        <v>19</v>
      </c>
    </row>
    <row r="7118" spans="1:16" ht="15" hidden="1" customHeight="1">
      <c r="A7118" s="489">
        <v>62714126</v>
      </c>
      <c r="B7118" s="489" t="s">
        <v>133</v>
      </c>
      <c r="D7118" s="597">
        <v>46104</v>
      </c>
      <c r="E7118" s="489" t="s">
        <v>402</v>
      </c>
      <c r="F7118" s="489" t="s">
        <v>1223</v>
      </c>
      <c r="G7118" s="395">
        <f>VLOOKUP($A7118,'Tech Litons'!$A:$I,8,FALSE)</f>
        <v>5.2680000000000001E-3</v>
      </c>
      <c r="H7118" s="174">
        <f>VLOOKUP($A7118,'Tech Litons'!$A:$I,9,FALSE)</f>
        <v>130</v>
      </c>
      <c r="I7118" s="174" t="str">
        <f>VLOOKUP($A7118,'Tech Litons'!$A:$C,3,0)</f>
        <v>PG</v>
      </c>
      <c r="J7118" s="175" t="str">
        <f t="shared" si="787"/>
        <v>GDIPG</v>
      </c>
      <c r="K7118" s="176">
        <f>VLOOKUP(I7118,'Attain %'!A:B,2,0)</f>
        <v>0.96</v>
      </c>
      <c r="L7118" s="177">
        <f t="shared" si="788"/>
        <v>0</v>
      </c>
      <c r="M7118" s="177">
        <f t="shared" si="789"/>
        <v>0</v>
      </c>
      <c r="N7118" s="177">
        <f t="shared" si="790"/>
        <v>0</v>
      </c>
      <c r="O7118" s="175" t="str">
        <f t="shared" si="791"/>
        <v>Mar</v>
      </c>
      <c r="P7118" s="265">
        <f t="shared" si="792"/>
        <v>13</v>
      </c>
    </row>
    <row r="7119" spans="1:16" ht="15" hidden="1" customHeight="1">
      <c r="A7119" s="489">
        <v>67794169</v>
      </c>
      <c r="B7119" s="489">
        <v>5914</v>
      </c>
      <c r="C7119" s="488">
        <v>114800</v>
      </c>
      <c r="D7119" s="597">
        <v>46118</v>
      </c>
      <c r="E7119" s="489" t="s">
        <v>352</v>
      </c>
      <c r="F7119" s="489" t="s">
        <v>1247</v>
      </c>
      <c r="G7119" s="395">
        <f>VLOOKUP($A7119,'Tech Litons'!$A:$I,8,FALSE)</f>
        <v>3.7853439999999999E-3</v>
      </c>
      <c r="H7119" s="174">
        <f>VLOOKUP($A7119,'Tech Litons'!$A:$I,9,FALSE)</f>
        <v>240</v>
      </c>
      <c r="I7119" s="174" t="str">
        <f>VLOOKUP($A7119,'Tech Litons'!$A:$C,3,0)</f>
        <v>BJ PTS</v>
      </c>
      <c r="J7119" s="175" t="str">
        <f t="shared" si="787"/>
        <v>5914BJ PTS</v>
      </c>
      <c r="K7119" s="176">
        <f>VLOOKUP(I7119,'Attain %'!A:B,2,0)</f>
        <v>0.95</v>
      </c>
      <c r="L7119" s="177">
        <f t="shared" si="788"/>
        <v>109060</v>
      </c>
      <c r="M7119" s="177">
        <f t="shared" si="789"/>
        <v>412.82961663999998</v>
      </c>
      <c r="N7119" s="177">
        <f t="shared" si="790"/>
        <v>454.41666666666669</v>
      </c>
      <c r="O7119" s="175" t="str">
        <f t="shared" si="791"/>
        <v>Apr</v>
      </c>
      <c r="P7119" s="265">
        <f t="shared" si="792"/>
        <v>15</v>
      </c>
    </row>
    <row r="7120" spans="1:16" ht="15" hidden="1" customHeight="1">
      <c r="A7120" s="489">
        <v>64376316</v>
      </c>
      <c r="B7120" s="489">
        <v>1712</v>
      </c>
      <c r="C7120" s="488">
        <v>115200</v>
      </c>
      <c r="D7120" s="597">
        <v>46139</v>
      </c>
      <c r="E7120" s="489" t="s">
        <v>565</v>
      </c>
      <c r="F7120" s="489" t="s">
        <v>1221</v>
      </c>
      <c r="G7120" s="395">
        <f>VLOOKUP($A7120,'Tech Litons'!$A:$I,8,FALSE)</f>
        <v>1.5449999999999999E-3</v>
      </c>
      <c r="H7120" s="174">
        <f>VLOOKUP($A7120,'Tech Litons'!$A:$I,9,FALSE)</f>
        <v>240</v>
      </c>
      <c r="I7120" s="174" t="str">
        <f>VLOOKUP($A7120,'Tech Litons'!$A:$C,3,0)</f>
        <v>Yasso Club</v>
      </c>
      <c r="J7120" s="175" t="str">
        <f t="shared" si="787"/>
        <v>1712Yasso Club</v>
      </c>
      <c r="K7120" s="176">
        <f>VLOOKUP(I7120,'Attain %'!A:B,2,0)</f>
        <v>0.96</v>
      </c>
      <c r="L7120" s="177">
        <f t="shared" si="788"/>
        <v>110592</v>
      </c>
      <c r="M7120" s="177">
        <f t="shared" si="789"/>
        <v>170.86463999999998</v>
      </c>
      <c r="N7120" s="177">
        <f t="shared" si="790"/>
        <v>460.8</v>
      </c>
      <c r="O7120" s="175" t="str">
        <f t="shared" si="791"/>
        <v>Apr</v>
      </c>
      <c r="P7120" s="265">
        <f t="shared" si="792"/>
        <v>18</v>
      </c>
    </row>
    <row r="7121" spans="1:16" ht="15" hidden="1" customHeight="1">
      <c r="A7121" s="489">
        <v>64376316</v>
      </c>
      <c r="B7121" s="489">
        <v>1712</v>
      </c>
      <c r="C7121" s="488">
        <v>115200</v>
      </c>
      <c r="D7121" s="597">
        <v>46167</v>
      </c>
      <c r="E7121" s="489" t="s">
        <v>565</v>
      </c>
      <c r="F7121" s="489" t="s">
        <v>1221</v>
      </c>
      <c r="G7121" s="395">
        <f>VLOOKUP($A7121,'Tech Litons'!$A:$I,8,FALSE)</f>
        <v>1.5449999999999999E-3</v>
      </c>
      <c r="H7121" s="174">
        <f>VLOOKUP($A7121,'Tech Litons'!$A:$I,9,FALSE)</f>
        <v>240</v>
      </c>
      <c r="I7121" s="174" t="str">
        <f>VLOOKUP($A7121,'Tech Litons'!$A:$C,3,0)</f>
        <v>Yasso Club</v>
      </c>
      <c r="J7121" s="175" t="str">
        <f t="shared" si="787"/>
        <v>1712Yasso Club</v>
      </c>
      <c r="K7121" s="176">
        <f>VLOOKUP(I7121,'Attain %'!A:B,2,0)</f>
        <v>0.96</v>
      </c>
      <c r="L7121" s="177">
        <f t="shared" si="788"/>
        <v>110592</v>
      </c>
      <c r="M7121" s="177">
        <f t="shared" si="789"/>
        <v>170.86463999999998</v>
      </c>
      <c r="N7121" s="177">
        <f t="shared" si="790"/>
        <v>460.8</v>
      </c>
      <c r="O7121" s="175" t="str">
        <f t="shared" si="791"/>
        <v>May</v>
      </c>
      <c r="P7121" s="265">
        <f t="shared" si="792"/>
        <v>22</v>
      </c>
    </row>
    <row r="7122" spans="1:16" ht="15" hidden="1" customHeight="1">
      <c r="A7122" s="489">
        <v>64376316</v>
      </c>
      <c r="B7122" s="489">
        <v>1712</v>
      </c>
      <c r="C7122" s="488">
        <v>115200</v>
      </c>
      <c r="D7122" s="597">
        <v>46216</v>
      </c>
      <c r="E7122" s="489" t="s">
        <v>565</v>
      </c>
      <c r="F7122" s="489" t="s">
        <v>1221</v>
      </c>
      <c r="G7122" s="395">
        <f>VLOOKUP($A7122,'Tech Litons'!$A:$I,8,FALSE)</f>
        <v>1.5449999999999999E-3</v>
      </c>
      <c r="H7122" s="174">
        <f>VLOOKUP($A7122,'Tech Litons'!$A:$I,9,FALSE)</f>
        <v>240</v>
      </c>
      <c r="I7122" s="174" t="str">
        <f>VLOOKUP($A7122,'Tech Litons'!$A:$C,3,0)</f>
        <v>Yasso Club</v>
      </c>
      <c r="J7122" s="175" t="str">
        <f t="shared" si="787"/>
        <v>1712Yasso Club</v>
      </c>
      <c r="K7122" s="176">
        <f>VLOOKUP(I7122,'Attain %'!A:B,2,0)</f>
        <v>0.96</v>
      </c>
      <c r="L7122" s="177">
        <f t="shared" si="788"/>
        <v>110592</v>
      </c>
      <c r="M7122" s="177">
        <f t="shared" si="789"/>
        <v>170.86463999999998</v>
      </c>
      <c r="N7122" s="177">
        <f t="shared" si="790"/>
        <v>460.8</v>
      </c>
      <c r="O7122" s="175" t="str">
        <f t="shared" si="791"/>
        <v>Jul</v>
      </c>
      <c r="P7122" s="265">
        <f t="shared" si="792"/>
        <v>29</v>
      </c>
    </row>
    <row r="7123" spans="1:16" ht="15" hidden="1" customHeight="1">
      <c r="A7123" s="489">
        <v>64979444</v>
      </c>
      <c r="B7123" s="489" t="s">
        <v>139</v>
      </c>
      <c r="C7123" s="488">
        <v>116656</v>
      </c>
      <c r="D7123" s="597">
        <v>46118</v>
      </c>
      <c r="E7123" s="489" t="s">
        <v>622</v>
      </c>
      <c r="F7123" s="489" t="s">
        <v>1223</v>
      </c>
      <c r="G7123" s="395">
        <f>VLOOKUP($A7123,'Tech Litons'!$A:$I,8,FALSE)</f>
        <v>2.16E-3</v>
      </c>
      <c r="H7123" s="174">
        <f>VLOOKUP($A7123,'Tech Litons'!$A:$I,9,FALSE)</f>
        <v>195</v>
      </c>
      <c r="I7123" s="174" t="str">
        <f>VLOOKUP($A7123,'Tech Litons'!$A:$C,3,0)</f>
        <v>Facepieces</v>
      </c>
      <c r="J7123" s="175" t="str">
        <f t="shared" si="787"/>
        <v>IncomFacepieces</v>
      </c>
      <c r="K7123" s="176">
        <f>VLOOKUP(I7123,'Attain %'!A:B,2,0)</f>
        <v>0.96</v>
      </c>
      <c r="L7123" s="177">
        <f t="shared" si="788"/>
        <v>111989.75999999999</v>
      </c>
      <c r="M7123" s="177">
        <f t="shared" si="789"/>
        <v>241.89788160000001</v>
      </c>
      <c r="N7123" s="177">
        <f t="shared" si="790"/>
        <v>574.30646153846146</v>
      </c>
      <c r="O7123" s="175" t="str">
        <f t="shared" si="791"/>
        <v>Apr</v>
      </c>
      <c r="P7123" s="265">
        <f t="shared" si="792"/>
        <v>15</v>
      </c>
    </row>
    <row r="7124" spans="1:16" ht="15" hidden="1" customHeight="1">
      <c r="A7124" s="489">
        <v>69999269</v>
      </c>
      <c r="B7124" s="489">
        <v>5914</v>
      </c>
      <c r="C7124" s="488">
        <v>128000</v>
      </c>
      <c r="D7124" s="597">
        <v>46132</v>
      </c>
      <c r="E7124" s="489" t="s">
        <v>300</v>
      </c>
      <c r="F7124" s="489" t="s">
        <v>1247</v>
      </c>
      <c r="G7124" s="395">
        <f>VLOOKUP($A7124,'Tech Litons'!$A:$I,8,FALSE)</f>
        <v>3.7839999999999996E-3</v>
      </c>
      <c r="H7124" s="174">
        <f>VLOOKUP($A7124,'Tech Litons'!$A:$I,9,FALSE)</f>
        <v>240</v>
      </c>
      <c r="I7124" s="174" t="str">
        <f>VLOOKUP($A7124,'Tech Litons'!$A:$C,3,0)</f>
        <v>BJ PTS</v>
      </c>
      <c r="J7124" s="175" t="str">
        <f t="shared" si="787"/>
        <v>5914BJ PTS</v>
      </c>
      <c r="K7124" s="176">
        <f>VLOOKUP(I7124,'Attain %'!A:B,2,0)</f>
        <v>0.95</v>
      </c>
      <c r="L7124" s="177">
        <f t="shared" si="788"/>
        <v>121600</v>
      </c>
      <c r="M7124" s="177">
        <f t="shared" si="789"/>
        <v>460.13439999999997</v>
      </c>
      <c r="N7124" s="177">
        <f t="shared" si="790"/>
        <v>506.66666666666669</v>
      </c>
      <c r="O7124" s="175" t="str">
        <f t="shared" si="791"/>
        <v>Apr</v>
      </c>
      <c r="P7124" s="265">
        <f t="shared" si="792"/>
        <v>17</v>
      </c>
    </row>
    <row r="7125" spans="1:16" ht="15" hidden="1" customHeight="1">
      <c r="A7125" s="489">
        <v>67794169</v>
      </c>
      <c r="B7125" s="489">
        <v>5914</v>
      </c>
      <c r="C7125" s="488">
        <v>128800</v>
      </c>
      <c r="D7125" s="597">
        <v>46139</v>
      </c>
      <c r="E7125" s="489" t="s">
        <v>352</v>
      </c>
      <c r="F7125" s="489" t="s">
        <v>1247</v>
      </c>
      <c r="G7125" s="395">
        <f>VLOOKUP($A7125,'Tech Litons'!$A:$I,8,FALSE)</f>
        <v>3.7853439999999999E-3</v>
      </c>
      <c r="H7125" s="174">
        <f>VLOOKUP($A7125,'Tech Litons'!$A:$I,9,FALSE)</f>
        <v>240</v>
      </c>
      <c r="I7125" s="174" t="str">
        <f>VLOOKUP($A7125,'Tech Litons'!$A:$C,3,0)</f>
        <v>BJ PTS</v>
      </c>
      <c r="J7125" s="175" t="str">
        <f t="shared" si="787"/>
        <v>5914BJ PTS</v>
      </c>
      <c r="K7125" s="176">
        <f>VLOOKUP(I7125,'Attain %'!A:B,2,0)</f>
        <v>0.95</v>
      </c>
      <c r="L7125" s="177">
        <f t="shared" si="788"/>
        <v>122360</v>
      </c>
      <c r="M7125" s="177">
        <f t="shared" si="789"/>
        <v>463.17469183999998</v>
      </c>
      <c r="N7125" s="177">
        <f t="shared" si="790"/>
        <v>509.83333333333331</v>
      </c>
      <c r="O7125" s="175" t="str">
        <f t="shared" si="791"/>
        <v>Apr</v>
      </c>
      <c r="P7125" s="265">
        <f t="shared" si="792"/>
        <v>18</v>
      </c>
    </row>
    <row r="7126" spans="1:16" ht="15" hidden="1" customHeight="1">
      <c r="A7126" s="489">
        <v>84135718</v>
      </c>
      <c r="B7126" s="489">
        <v>5914</v>
      </c>
      <c r="C7126" s="488">
        <v>130200</v>
      </c>
      <c r="D7126" s="597">
        <v>46146</v>
      </c>
      <c r="E7126" s="489" t="s">
        <v>338</v>
      </c>
      <c r="F7126" s="489" t="s">
        <v>1247</v>
      </c>
      <c r="G7126" s="395">
        <f>VLOOKUP($A7126,'Tech Litons'!$A:$I,8,FALSE)</f>
        <v>3.7853439999999999E-3</v>
      </c>
      <c r="H7126" s="174">
        <f>VLOOKUP($A7126,'Tech Litons'!$A:$I,9,FALSE)</f>
        <v>240</v>
      </c>
      <c r="I7126" s="174" t="str">
        <f>VLOOKUP($A7126,'Tech Litons'!$A:$C,3,0)</f>
        <v>BJ PTS</v>
      </c>
      <c r="J7126" s="175" t="str">
        <f t="shared" si="787"/>
        <v>5914BJ PTS</v>
      </c>
      <c r="K7126" s="176">
        <f>VLOOKUP(I7126,'Attain %'!A:B,2,0)</f>
        <v>0.95</v>
      </c>
      <c r="L7126" s="177">
        <f t="shared" si="788"/>
        <v>123690</v>
      </c>
      <c r="M7126" s="177">
        <f t="shared" si="789"/>
        <v>468.20919936000001</v>
      </c>
      <c r="N7126" s="177">
        <f t="shared" si="790"/>
        <v>515.375</v>
      </c>
      <c r="O7126" s="175" t="str">
        <f t="shared" si="791"/>
        <v>May</v>
      </c>
      <c r="P7126" s="265">
        <f t="shared" si="792"/>
        <v>19</v>
      </c>
    </row>
    <row r="7127" spans="1:16" ht="15" hidden="1" customHeight="1">
      <c r="A7127" s="489">
        <v>68867756</v>
      </c>
      <c r="B7127" s="489">
        <v>2904</v>
      </c>
      <c r="C7127" s="488">
        <v>134000</v>
      </c>
      <c r="D7127" s="597">
        <v>46118</v>
      </c>
      <c r="E7127" s="489" t="s">
        <v>527</v>
      </c>
      <c r="F7127" s="489" t="s">
        <v>1235</v>
      </c>
      <c r="G7127" s="395">
        <f>VLOOKUP($A7127,'Tech Litons'!$A:$I,8,FALSE)</f>
        <v>3.7839999999999996E-3</v>
      </c>
      <c r="H7127" s="174">
        <f>VLOOKUP($A7127,'Tech Litons'!$A:$I,9,FALSE)</f>
        <v>255</v>
      </c>
      <c r="I7127" s="174" t="str">
        <f>VLOOKUP($A7127,'Tech Litons'!$A:$C,3,0)</f>
        <v>Talenti</v>
      </c>
      <c r="J7127" s="175" t="str">
        <f t="shared" si="787"/>
        <v>2904Talenti</v>
      </c>
      <c r="K7127" s="176">
        <f>VLOOKUP(I7127,'Attain %'!A:B,2,0)</f>
        <v>0.96</v>
      </c>
      <c r="L7127" s="177">
        <f t="shared" si="788"/>
        <v>128640</v>
      </c>
      <c r="M7127" s="177">
        <f t="shared" si="789"/>
        <v>486.77375999999992</v>
      </c>
      <c r="N7127" s="177">
        <f t="shared" si="790"/>
        <v>504.47058823529414</v>
      </c>
      <c r="O7127" s="175" t="str">
        <f t="shared" si="791"/>
        <v>Apr</v>
      </c>
      <c r="P7127" s="265">
        <f t="shared" si="792"/>
        <v>15</v>
      </c>
    </row>
    <row r="7128" spans="1:16" ht="15" hidden="1" customHeight="1">
      <c r="A7128" s="489">
        <v>69999269</v>
      </c>
      <c r="B7128" s="489">
        <v>5914</v>
      </c>
      <c r="C7128" s="488">
        <v>140000</v>
      </c>
      <c r="D7128" s="597">
        <v>46153</v>
      </c>
      <c r="E7128" s="489" t="s">
        <v>300</v>
      </c>
      <c r="F7128" s="489" t="s">
        <v>1247</v>
      </c>
      <c r="G7128" s="395">
        <f>VLOOKUP($A7128,'Tech Litons'!$A:$I,8,FALSE)</f>
        <v>3.7839999999999996E-3</v>
      </c>
      <c r="H7128" s="174">
        <f>VLOOKUP($A7128,'Tech Litons'!$A:$I,9,FALSE)</f>
        <v>240</v>
      </c>
      <c r="I7128" s="174" t="str">
        <f>VLOOKUP($A7128,'Tech Litons'!$A:$C,3,0)</f>
        <v>BJ PTS</v>
      </c>
      <c r="J7128" s="175" t="str">
        <f t="shared" si="787"/>
        <v>5914BJ PTS</v>
      </c>
      <c r="K7128" s="176">
        <f>VLOOKUP(I7128,'Attain %'!A:B,2,0)</f>
        <v>0.95</v>
      </c>
      <c r="L7128" s="177">
        <f t="shared" si="788"/>
        <v>133000</v>
      </c>
      <c r="M7128" s="177">
        <f t="shared" si="789"/>
        <v>503.27199999999993</v>
      </c>
      <c r="N7128" s="177">
        <f t="shared" si="790"/>
        <v>554.16666666666663</v>
      </c>
      <c r="O7128" s="175" t="str">
        <f t="shared" si="791"/>
        <v>May</v>
      </c>
      <c r="P7128" s="265">
        <f t="shared" si="792"/>
        <v>20</v>
      </c>
    </row>
    <row r="7129" spans="1:16" ht="15" hidden="1" customHeight="1">
      <c r="A7129" s="489">
        <v>64903296</v>
      </c>
      <c r="B7129" s="489" t="s">
        <v>132</v>
      </c>
      <c r="C7129" s="488">
        <v>153000</v>
      </c>
      <c r="D7129" s="597">
        <v>46167</v>
      </c>
      <c r="E7129" s="489" t="s">
        <v>363</v>
      </c>
      <c r="F7129" s="489" t="s">
        <v>1223</v>
      </c>
      <c r="G7129" s="395">
        <f>VLOOKUP($A7129,'Tech Litons'!$A:$I,8,FALSE)</f>
        <v>1.98E-3</v>
      </c>
      <c r="H7129" s="174">
        <f>VLOOKUP($A7129,'Tech Litons'!$A:$I,9,FALSE)</f>
        <v>162</v>
      </c>
      <c r="I7129" s="174" t="str">
        <f>VLOOKUP($A7129,'Tech Litons'!$A:$C,3,0)</f>
        <v>MG Sticks</v>
      </c>
      <c r="J7129" s="175" t="str">
        <f t="shared" si="787"/>
        <v>VeszpremMG Sticks</v>
      </c>
      <c r="K7129" s="176">
        <f>VLOOKUP(I7129,'Attain %'!A:B,2,0)</f>
        <v>0.96</v>
      </c>
      <c r="L7129" s="177">
        <f t="shared" si="788"/>
        <v>146880</v>
      </c>
      <c r="M7129" s="177">
        <f t="shared" si="789"/>
        <v>290.82240000000002</v>
      </c>
      <c r="N7129" s="177">
        <f t="shared" si="790"/>
        <v>906.66666666666663</v>
      </c>
      <c r="O7129" s="175" t="str">
        <f t="shared" si="791"/>
        <v>May</v>
      </c>
      <c r="P7129" s="265">
        <f t="shared" si="792"/>
        <v>22</v>
      </c>
    </row>
    <row r="7130" spans="1:16" ht="15" hidden="1" customHeight="1">
      <c r="A7130" s="489">
        <v>64376316</v>
      </c>
      <c r="B7130" s="489">
        <v>1712</v>
      </c>
      <c r="C7130" s="488">
        <v>230400</v>
      </c>
      <c r="D7130" s="597">
        <v>46181</v>
      </c>
      <c r="E7130" s="489" t="s">
        <v>565</v>
      </c>
      <c r="F7130" s="489" t="s">
        <v>1221</v>
      </c>
      <c r="G7130" s="395">
        <f>VLOOKUP($A7130,'Tech Litons'!$A:$I,8,FALSE)</f>
        <v>1.5449999999999999E-3</v>
      </c>
      <c r="H7130" s="174">
        <f>VLOOKUP($A7130,'Tech Litons'!$A:$I,9,FALSE)</f>
        <v>240</v>
      </c>
      <c r="I7130" s="174" t="str">
        <f>VLOOKUP($A7130,'Tech Litons'!$A:$C,3,0)</f>
        <v>Yasso Club</v>
      </c>
      <c r="J7130" s="175" t="str">
        <f t="shared" si="787"/>
        <v>1712Yasso Club</v>
      </c>
      <c r="K7130" s="176">
        <f>VLOOKUP(I7130,'Attain %'!A:B,2,0)</f>
        <v>0.96</v>
      </c>
      <c r="L7130" s="177">
        <f t="shared" si="788"/>
        <v>221184</v>
      </c>
      <c r="M7130" s="177">
        <f t="shared" si="789"/>
        <v>341.72927999999996</v>
      </c>
      <c r="N7130" s="177">
        <f t="shared" si="790"/>
        <v>921.6</v>
      </c>
      <c r="O7130" s="175" t="str">
        <f t="shared" si="791"/>
        <v>Jun</v>
      </c>
      <c r="P7130" s="265">
        <f t="shared" si="792"/>
        <v>24</v>
      </c>
    </row>
    <row r="7131" spans="1:16" ht="15" hidden="1" customHeight="1">
      <c r="A7131" s="489">
        <v>64376316</v>
      </c>
      <c r="B7131" s="489">
        <v>1712</v>
      </c>
      <c r="C7131" s="488">
        <v>230400</v>
      </c>
      <c r="D7131" s="597">
        <v>46342</v>
      </c>
      <c r="E7131" s="489" t="s">
        <v>565</v>
      </c>
      <c r="F7131" s="489" t="s">
        <v>1221</v>
      </c>
      <c r="G7131" s="395">
        <f>VLOOKUP($A7131,'Tech Litons'!$A:$I,8,FALSE)</f>
        <v>1.5449999999999999E-3</v>
      </c>
      <c r="H7131" s="174">
        <f>VLOOKUP($A7131,'Tech Litons'!$A:$I,9,FALSE)</f>
        <v>240</v>
      </c>
      <c r="I7131" s="174" t="str">
        <f>VLOOKUP($A7131,'Tech Litons'!$A:$C,3,0)</f>
        <v>Yasso Club</v>
      </c>
      <c r="J7131" s="175" t="str">
        <f t="shared" si="787"/>
        <v>1712Yasso Club</v>
      </c>
      <c r="K7131" s="176">
        <f>VLOOKUP(I7131,'Attain %'!A:B,2,0)</f>
        <v>0.96</v>
      </c>
      <c r="L7131" s="177">
        <f t="shared" si="788"/>
        <v>221184</v>
      </c>
      <c r="M7131" s="177">
        <f t="shared" si="789"/>
        <v>341.72927999999996</v>
      </c>
      <c r="N7131" s="177">
        <f t="shared" si="790"/>
        <v>921.6</v>
      </c>
      <c r="O7131" s="175" t="str">
        <f t="shared" si="791"/>
        <v>Nov</v>
      </c>
      <c r="P7131" s="265">
        <f t="shared" si="792"/>
        <v>47</v>
      </c>
    </row>
    <row r="7132" spans="1:16" ht="15" hidden="1" customHeight="1">
      <c r="A7132" s="489">
        <v>64376316</v>
      </c>
      <c r="B7132" s="489">
        <v>1712</v>
      </c>
      <c r="C7132" s="488">
        <v>345600</v>
      </c>
      <c r="D7132" s="597">
        <v>46279</v>
      </c>
      <c r="E7132" s="489" t="s">
        <v>565</v>
      </c>
      <c r="F7132" s="489" t="s">
        <v>1221</v>
      </c>
      <c r="G7132" s="395">
        <f>VLOOKUP($A7132,'Tech Litons'!$A:$I,8,FALSE)</f>
        <v>1.5449999999999999E-3</v>
      </c>
      <c r="H7132" s="174">
        <f>VLOOKUP($A7132,'Tech Litons'!$A:$I,9,FALSE)</f>
        <v>240</v>
      </c>
      <c r="I7132" s="174" t="str">
        <f>VLOOKUP($A7132,'Tech Litons'!$A:$C,3,0)</f>
        <v>Yasso Club</v>
      </c>
      <c r="J7132" s="175" t="str">
        <f t="shared" si="787"/>
        <v>1712Yasso Club</v>
      </c>
      <c r="K7132" s="176">
        <f>VLOOKUP(I7132,'Attain %'!A:B,2,0)</f>
        <v>0.96</v>
      </c>
      <c r="L7132" s="177">
        <f t="shared" si="788"/>
        <v>331776</v>
      </c>
      <c r="M7132" s="177">
        <f t="shared" si="789"/>
        <v>512.59392000000003</v>
      </c>
      <c r="N7132" s="177">
        <f t="shared" si="790"/>
        <v>1382.4</v>
      </c>
      <c r="O7132" s="175" t="str">
        <f t="shared" si="791"/>
        <v>Sep</v>
      </c>
      <c r="P7132" s="265">
        <f t="shared" si="792"/>
        <v>38</v>
      </c>
    </row>
    <row r="7133" spans="1:16" ht="15" hidden="1" customHeight="1">
      <c r="A7133" s="489">
        <v>64376316</v>
      </c>
      <c r="B7133" s="489">
        <v>1712</v>
      </c>
      <c r="C7133" s="488">
        <v>345600</v>
      </c>
      <c r="D7133" s="597">
        <v>46307</v>
      </c>
      <c r="E7133" s="489" t="s">
        <v>565</v>
      </c>
      <c r="F7133" s="489" t="s">
        <v>1221</v>
      </c>
      <c r="G7133" s="395">
        <f>VLOOKUP($A7133,'Tech Litons'!$A:$I,8,FALSE)</f>
        <v>1.5449999999999999E-3</v>
      </c>
      <c r="H7133" s="174">
        <f>VLOOKUP($A7133,'Tech Litons'!$A:$I,9,FALSE)</f>
        <v>240</v>
      </c>
      <c r="I7133" s="174" t="str">
        <f>VLOOKUP($A7133,'Tech Litons'!$A:$C,3,0)</f>
        <v>Yasso Club</v>
      </c>
      <c r="J7133" s="175" t="str">
        <f t="shared" si="787"/>
        <v>1712Yasso Club</v>
      </c>
      <c r="K7133" s="176">
        <f>VLOOKUP(I7133,'Attain %'!A:B,2,0)</f>
        <v>0.96</v>
      </c>
      <c r="L7133" s="177">
        <f t="shared" si="788"/>
        <v>331776</v>
      </c>
      <c r="M7133" s="177">
        <f t="shared" si="789"/>
        <v>512.59392000000003</v>
      </c>
      <c r="N7133" s="177">
        <f t="shared" si="790"/>
        <v>1382.4</v>
      </c>
      <c r="O7133" s="175" t="str">
        <f t="shared" si="791"/>
        <v>Oct</v>
      </c>
      <c r="P7133" s="265">
        <f t="shared" si="792"/>
        <v>42</v>
      </c>
    </row>
    <row r="7134" spans="1:16" ht="15" hidden="1" customHeight="1">
      <c r="A7134" s="489">
        <v>64376316</v>
      </c>
      <c r="B7134" s="489">
        <v>1712</v>
      </c>
      <c r="C7134" s="488">
        <v>345600</v>
      </c>
      <c r="D7134" s="597">
        <v>46370</v>
      </c>
      <c r="E7134" s="489" t="s">
        <v>565</v>
      </c>
      <c r="F7134" s="489" t="s">
        <v>1221</v>
      </c>
      <c r="G7134" s="395">
        <f>VLOOKUP($A7134,'Tech Litons'!$A:$I,8,FALSE)</f>
        <v>1.5449999999999999E-3</v>
      </c>
      <c r="H7134" s="174">
        <f>VLOOKUP($A7134,'Tech Litons'!$A:$I,9,FALSE)</f>
        <v>240</v>
      </c>
      <c r="I7134" s="174" t="str">
        <f>VLOOKUP($A7134,'Tech Litons'!$A:$C,3,0)</f>
        <v>Yasso Club</v>
      </c>
      <c r="J7134" s="175" t="str">
        <f t="shared" si="787"/>
        <v>1712Yasso Club</v>
      </c>
      <c r="K7134" s="176">
        <f>VLOOKUP(I7134,'Attain %'!A:B,2,0)</f>
        <v>0.96</v>
      </c>
      <c r="L7134" s="177">
        <f t="shared" si="788"/>
        <v>331776</v>
      </c>
      <c r="M7134" s="177">
        <f t="shared" si="789"/>
        <v>512.59392000000003</v>
      </c>
      <c r="N7134" s="177">
        <f t="shared" si="790"/>
        <v>1382.4</v>
      </c>
      <c r="O7134" s="175" t="str">
        <f t="shared" si="791"/>
        <v>Dec</v>
      </c>
      <c r="P7134" s="265">
        <f t="shared" si="792"/>
        <v>51</v>
      </c>
    </row>
    <row r="7135" spans="1:16" ht="15" hidden="1" customHeight="1">
      <c r="A7135" s="489">
        <v>64376316</v>
      </c>
      <c r="B7135" s="489">
        <v>1712</v>
      </c>
      <c r="C7135" s="488">
        <v>460800</v>
      </c>
      <c r="D7135" s="597">
        <v>46244</v>
      </c>
      <c r="E7135" s="489" t="s">
        <v>565</v>
      </c>
      <c r="F7135" s="489" t="s">
        <v>1221</v>
      </c>
      <c r="G7135" s="395">
        <f>VLOOKUP($A7135,'Tech Litons'!$A:$I,8,FALSE)</f>
        <v>1.5449999999999999E-3</v>
      </c>
      <c r="H7135" s="174">
        <f>VLOOKUP($A7135,'Tech Litons'!$A:$I,9,FALSE)</f>
        <v>240</v>
      </c>
      <c r="I7135" s="174" t="str">
        <f>VLOOKUP($A7135,'Tech Litons'!$A:$C,3,0)</f>
        <v>Yasso Club</v>
      </c>
      <c r="J7135" s="175" t="str">
        <f t="shared" si="787"/>
        <v>1712Yasso Club</v>
      </c>
      <c r="K7135" s="176">
        <f>VLOOKUP(I7135,'Attain %'!A:B,2,0)</f>
        <v>0.96</v>
      </c>
      <c r="L7135" s="177">
        <f t="shared" si="788"/>
        <v>442368</v>
      </c>
      <c r="M7135" s="177">
        <f t="shared" si="789"/>
        <v>683.45855999999992</v>
      </c>
      <c r="N7135" s="177">
        <f t="shared" si="790"/>
        <v>1843.2</v>
      </c>
      <c r="O7135" s="175" t="str">
        <f t="shared" si="791"/>
        <v>Aug</v>
      </c>
      <c r="P7135" s="265">
        <f t="shared" si="792"/>
        <v>33</v>
      </c>
    </row>
    <row r="7136" spans="1:16" ht="15" hidden="1" customHeight="1">
      <c r="A7136" s="489">
        <v>84137721</v>
      </c>
      <c r="B7136" s="489">
        <v>5914</v>
      </c>
      <c r="C7136" s="488">
        <v>2990</v>
      </c>
      <c r="D7136" s="597">
        <v>46104</v>
      </c>
      <c r="E7136" s="489" t="s">
        <v>475</v>
      </c>
      <c r="F7136" s="489" t="s">
        <v>1243</v>
      </c>
      <c r="G7136" s="395">
        <f>VLOOKUP($A7136,'Tech Litons'!$A:$I,8,FALSE)</f>
        <v>9.0848256361922702E-3</v>
      </c>
      <c r="H7136" s="174">
        <f>VLOOKUP($A7136,'Tech Litons'!$A:$I,9,FALSE)</f>
        <v>125</v>
      </c>
      <c r="I7136" s="174" t="str">
        <f>VLOOKUP($A7136,'Tech Litons'!$A:$C,3,0)</f>
        <v>2.4 Gal</v>
      </c>
      <c r="J7136" s="175" t="str">
        <f t="shared" si="787"/>
        <v>59142.4 Gal</v>
      </c>
      <c r="K7136" s="176">
        <f>VLOOKUP(I7136,'Attain %'!A:B,2,0)</f>
        <v>0.85</v>
      </c>
      <c r="L7136" s="177">
        <f t="shared" si="788"/>
        <v>2541.5</v>
      </c>
      <c r="M7136" s="177">
        <f t="shared" si="789"/>
        <v>23.089084354382656</v>
      </c>
      <c r="N7136" s="177">
        <f t="shared" si="790"/>
        <v>20.332000000000001</v>
      </c>
      <c r="O7136" s="175" t="str">
        <f t="shared" si="791"/>
        <v>Mar</v>
      </c>
      <c r="P7136" s="265">
        <f t="shared" si="792"/>
        <v>13</v>
      </c>
    </row>
    <row r="7137" spans="1:16" ht="15" hidden="1" customHeight="1">
      <c r="A7137" s="489">
        <v>64799252</v>
      </c>
      <c r="B7137" s="489">
        <v>5914</v>
      </c>
      <c r="C7137" s="488">
        <v>3640</v>
      </c>
      <c r="D7137" s="597">
        <v>46328</v>
      </c>
      <c r="E7137" s="489" t="s">
        <v>439</v>
      </c>
      <c r="F7137" s="489" t="s">
        <v>1243</v>
      </c>
      <c r="G7137" s="395">
        <f>VLOOKUP($A7137,'Tech Litons'!$A:$I,8,FALSE)</f>
        <v>9.0850000000000011E-3</v>
      </c>
      <c r="H7137" s="174">
        <f>VLOOKUP($A7137,'Tech Litons'!$A:$I,9,FALSE)</f>
        <v>125</v>
      </c>
      <c r="I7137" s="174" t="str">
        <f>VLOOKUP($A7137,'Tech Litons'!$A:$C,3,0)</f>
        <v>2.4 Gal</v>
      </c>
      <c r="J7137" s="175" t="str">
        <f t="shared" si="787"/>
        <v>59142.4 Gal</v>
      </c>
      <c r="K7137" s="176">
        <f>VLOOKUP(I7137,'Attain %'!A:B,2,0)</f>
        <v>0.85</v>
      </c>
      <c r="L7137" s="177">
        <f t="shared" si="788"/>
        <v>3094</v>
      </c>
      <c r="M7137" s="177">
        <f t="shared" si="789"/>
        <v>28.108990000000002</v>
      </c>
      <c r="N7137" s="177">
        <f t="shared" si="790"/>
        <v>24.751999999999999</v>
      </c>
      <c r="O7137" s="175" t="str">
        <f t="shared" si="791"/>
        <v>Nov</v>
      </c>
      <c r="P7137" s="265">
        <f t="shared" si="792"/>
        <v>45</v>
      </c>
    </row>
    <row r="7138" spans="1:16" ht="15" hidden="1" customHeight="1">
      <c r="A7138" s="489">
        <v>69600859</v>
      </c>
      <c r="B7138" s="489">
        <v>5914</v>
      </c>
      <c r="C7138" s="488">
        <v>4680</v>
      </c>
      <c r="D7138" s="597">
        <v>46209</v>
      </c>
      <c r="E7138" s="489" t="s">
        <v>365</v>
      </c>
      <c r="F7138" s="489" t="s">
        <v>1243</v>
      </c>
      <c r="G7138" s="395">
        <f>VLOOKUP($A7138,'Tech Litons'!$A:$I,8,FALSE)</f>
        <v>9.0850000000000011E-3</v>
      </c>
      <c r="H7138" s="174">
        <f>VLOOKUP($A7138,'Tech Litons'!$A:$I,9,FALSE)</f>
        <v>125</v>
      </c>
      <c r="I7138" s="174" t="str">
        <f>VLOOKUP($A7138,'Tech Litons'!$A:$C,3,0)</f>
        <v>2.4 Gal</v>
      </c>
      <c r="J7138" s="175" t="str">
        <f t="shared" si="787"/>
        <v>59142.4 Gal</v>
      </c>
      <c r="K7138" s="176">
        <f>VLOOKUP(I7138,'Attain %'!A:B,2,0)</f>
        <v>0.85</v>
      </c>
      <c r="L7138" s="177">
        <f t="shared" si="788"/>
        <v>3978</v>
      </c>
      <c r="M7138" s="177">
        <f t="shared" si="789"/>
        <v>36.140130000000006</v>
      </c>
      <c r="N7138" s="177">
        <f t="shared" si="790"/>
        <v>31.824000000000002</v>
      </c>
      <c r="O7138" s="175" t="str">
        <f t="shared" si="791"/>
        <v>Jul</v>
      </c>
      <c r="P7138" s="265">
        <f t="shared" si="792"/>
        <v>28</v>
      </c>
    </row>
    <row r="7139" spans="1:16" ht="15" hidden="1" customHeight="1">
      <c r="A7139" s="489">
        <v>62735647</v>
      </c>
      <c r="B7139" s="489">
        <v>5914</v>
      </c>
      <c r="C7139" s="488">
        <v>5200</v>
      </c>
      <c r="D7139" s="597">
        <v>46328</v>
      </c>
      <c r="E7139" s="489" t="s">
        <v>437</v>
      </c>
      <c r="F7139" s="489" t="s">
        <v>1243</v>
      </c>
      <c r="G7139" s="395">
        <f>VLOOKUP($A7139,'Tech Litons'!$A:$I,8,FALSE)</f>
        <v>9.0850000000000011E-3</v>
      </c>
      <c r="H7139" s="174">
        <f>VLOOKUP($A7139,'Tech Litons'!$A:$I,9,FALSE)</f>
        <v>125</v>
      </c>
      <c r="I7139" s="174" t="str">
        <f>VLOOKUP($A7139,'Tech Litons'!$A:$C,3,0)</f>
        <v>2.4 Gal</v>
      </c>
      <c r="J7139" s="175" t="str">
        <f t="shared" si="787"/>
        <v>59142.4 Gal</v>
      </c>
      <c r="K7139" s="176">
        <f>VLOOKUP(I7139,'Attain %'!A:B,2,0)</f>
        <v>0.85</v>
      </c>
      <c r="L7139" s="177">
        <f t="shared" si="788"/>
        <v>4420</v>
      </c>
      <c r="M7139" s="177">
        <f t="shared" si="789"/>
        <v>40.155700000000003</v>
      </c>
      <c r="N7139" s="177">
        <f t="shared" si="790"/>
        <v>35.36</v>
      </c>
      <c r="O7139" s="175" t="str">
        <f t="shared" si="791"/>
        <v>Nov</v>
      </c>
      <c r="P7139" s="265">
        <f t="shared" si="792"/>
        <v>45</v>
      </c>
    </row>
    <row r="7140" spans="1:16" ht="15" hidden="1" customHeight="1">
      <c r="A7140" s="489">
        <v>84141035</v>
      </c>
      <c r="B7140" s="489">
        <v>5914</v>
      </c>
      <c r="C7140" s="488">
        <v>5200</v>
      </c>
      <c r="D7140" s="597">
        <v>46216</v>
      </c>
      <c r="E7140" s="489" t="s">
        <v>392</v>
      </c>
      <c r="F7140" s="489" t="s">
        <v>1243</v>
      </c>
      <c r="G7140" s="395">
        <f>VLOOKUP($A7140,'Tech Litons'!$A:$I,8,FALSE)</f>
        <v>9.0848256361922702E-3</v>
      </c>
      <c r="H7140" s="174">
        <f>VLOOKUP($A7140,'Tech Litons'!$A:$I,9,FALSE)</f>
        <v>125</v>
      </c>
      <c r="I7140" s="174" t="str">
        <f>VLOOKUP($A7140,'Tech Litons'!$A:$C,3,0)</f>
        <v>2.4 Gal</v>
      </c>
      <c r="J7140" s="175" t="str">
        <f t="shared" si="787"/>
        <v>59142.4 Gal</v>
      </c>
      <c r="K7140" s="176">
        <f>VLOOKUP(I7140,'Attain %'!A:B,2,0)</f>
        <v>0.85</v>
      </c>
      <c r="L7140" s="177">
        <f t="shared" si="788"/>
        <v>4420</v>
      </c>
      <c r="M7140" s="177">
        <f t="shared" si="789"/>
        <v>40.154929311969838</v>
      </c>
      <c r="N7140" s="177">
        <f t="shared" si="790"/>
        <v>35.36</v>
      </c>
      <c r="O7140" s="175" t="str">
        <f t="shared" si="791"/>
        <v>Jul</v>
      </c>
      <c r="P7140" s="265">
        <f t="shared" si="792"/>
        <v>29</v>
      </c>
    </row>
    <row r="7141" spans="1:16" ht="15" hidden="1" customHeight="1">
      <c r="A7141" s="489">
        <v>62689431</v>
      </c>
      <c r="B7141" s="489">
        <v>5914</v>
      </c>
      <c r="C7141" s="488">
        <v>5720</v>
      </c>
      <c r="D7141" s="597">
        <v>46293</v>
      </c>
      <c r="E7141" s="489" t="s">
        <v>466</v>
      </c>
      <c r="F7141" s="489" t="s">
        <v>1243</v>
      </c>
      <c r="G7141" s="395">
        <f>VLOOKUP($A7141,'Tech Litons'!$A:$I,8,FALSE)</f>
        <v>9.0850000000000011E-3</v>
      </c>
      <c r="H7141" s="174">
        <f>VLOOKUP($A7141,'Tech Litons'!$A:$I,9,FALSE)</f>
        <v>125</v>
      </c>
      <c r="I7141" s="174" t="str">
        <f>VLOOKUP($A7141,'Tech Litons'!$A:$C,3,0)</f>
        <v>2.4 Gal</v>
      </c>
      <c r="J7141" s="175" t="str">
        <f t="shared" si="787"/>
        <v>59142.4 Gal</v>
      </c>
      <c r="K7141" s="176">
        <f>VLOOKUP(I7141,'Attain %'!A:B,2,0)</f>
        <v>0.85</v>
      </c>
      <c r="L7141" s="177">
        <f t="shared" si="788"/>
        <v>4862</v>
      </c>
      <c r="M7141" s="177">
        <f t="shared" si="789"/>
        <v>44.171270000000007</v>
      </c>
      <c r="N7141" s="177">
        <f t="shared" si="790"/>
        <v>38.896000000000001</v>
      </c>
      <c r="O7141" s="175" t="str">
        <f t="shared" si="791"/>
        <v>Sep</v>
      </c>
      <c r="P7141" s="265">
        <f t="shared" si="792"/>
        <v>40</v>
      </c>
    </row>
    <row r="7142" spans="1:16" ht="15" hidden="1" customHeight="1">
      <c r="A7142" s="489">
        <v>62689431</v>
      </c>
      <c r="B7142" s="489">
        <v>5914</v>
      </c>
      <c r="C7142" s="488">
        <v>6240</v>
      </c>
      <c r="D7142" s="597">
        <v>46146</v>
      </c>
      <c r="E7142" s="489" t="s">
        <v>466</v>
      </c>
      <c r="F7142" s="489" t="s">
        <v>1243</v>
      </c>
      <c r="G7142" s="395">
        <f>VLOOKUP($A7142,'Tech Litons'!$A:$I,8,FALSE)</f>
        <v>9.0850000000000011E-3</v>
      </c>
      <c r="H7142" s="174">
        <f>VLOOKUP($A7142,'Tech Litons'!$A:$I,9,FALSE)</f>
        <v>125</v>
      </c>
      <c r="I7142" s="174" t="str">
        <f>VLOOKUP($A7142,'Tech Litons'!$A:$C,3,0)</f>
        <v>2.4 Gal</v>
      </c>
      <c r="J7142" s="175" t="str">
        <f t="shared" si="787"/>
        <v>59142.4 Gal</v>
      </c>
      <c r="K7142" s="176">
        <f>VLOOKUP(I7142,'Attain %'!A:B,2,0)</f>
        <v>0.85</v>
      </c>
      <c r="L7142" s="177">
        <f t="shared" si="788"/>
        <v>5304</v>
      </c>
      <c r="M7142" s="177">
        <f t="shared" si="789"/>
        <v>48.186840000000004</v>
      </c>
      <c r="N7142" s="177">
        <f t="shared" si="790"/>
        <v>42.432000000000002</v>
      </c>
      <c r="O7142" s="175" t="str">
        <f t="shared" si="791"/>
        <v>May</v>
      </c>
      <c r="P7142" s="265">
        <f t="shared" si="792"/>
        <v>19</v>
      </c>
    </row>
    <row r="7143" spans="1:16" ht="15" hidden="1" customHeight="1">
      <c r="A7143" s="489">
        <v>64799253</v>
      </c>
      <c r="B7143" s="489">
        <v>5914</v>
      </c>
      <c r="C7143" s="488">
        <v>6240</v>
      </c>
      <c r="D7143" s="597">
        <v>46167</v>
      </c>
      <c r="E7143" s="489" t="s">
        <v>447</v>
      </c>
      <c r="F7143" s="489" t="s">
        <v>1243</v>
      </c>
      <c r="G7143" s="395">
        <f>VLOOKUP($A7143,'Tech Litons'!$A:$I,8,FALSE)</f>
        <v>9.0840000000000001E-3</v>
      </c>
      <c r="H7143" s="174">
        <f>VLOOKUP($A7143,'Tech Litons'!$A:$I,9,FALSE)</f>
        <v>125</v>
      </c>
      <c r="I7143" s="174" t="str">
        <f>VLOOKUP($A7143,'Tech Litons'!$A:$C,3,0)</f>
        <v>2.4 Gal</v>
      </c>
      <c r="J7143" s="175" t="str">
        <f t="shared" si="787"/>
        <v>59142.4 Gal</v>
      </c>
      <c r="K7143" s="176">
        <f>VLOOKUP(I7143,'Attain %'!A:B,2,0)</f>
        <v>0.85</v>
      </c>
      <c r="L7143" s="177">
        <f t="shared" si="788"/>
        <v>5304</v>
      </c>
      <c r="M7143" s="177">
        <f t="shared" si="789"/>
        <v>48.181536000000001</v>
      </c>
      <c r="N7143" s="177">
        <f t="shared" si="790"/>
        <v>42.432000000000002</v>
      </c>
      <c r="O7143" s="175" t="str">
        <f t="shared" si="791"/>
        <v>May</v>
      </c>
      <c r="P7143" s="265">
        <f t="shared" si="792"/>
        <v>22</v>
      </c>
    </row>
    <row r="7144" spans="1:16" ht="15" hidden="1" customHeight="1">
      <c r="A7144" s="489">
        <v>64924302</v>
      </c>
      <c r="B7144" s="489">
        <v>5914</v>
      </c>
      <c r="C7144" s="488">
        <v>6240</v>
      </c>
      <c r="D7144" s="597">
        <v>46139</v>
      </c>
      <c r="E7144" s="489" t="s">
        <v>467</v>
      </c>
      <c r="F7144" s="489" t="s">
        <v>1243</v>
      </c>
      <c r="G7144" s="395">
        <f>VLOOKUP($A7144,'Tech Litons'!$A:$I,8,FALSE)</f>
        <v>9.0850000000000011E-3</v>
      </c>
      <c r="H7144" s="174">
        <f>VLOOKUP($A7144,'Tech Litons'!$A:$I,9,FALSE)</f>
        <v>125</v>
      </c>
      <c r="I7144" s="174" t="str">
        <f>VLOOKUP($A7144,'Tech Litons'!$A:$C,3,0)</f>
        <v>2.4 Gal</v>
      </c>
      <c r="J7144" s="175" t="str">
        <f t="shared" si="787"/>
        <v>59142.4 Gal</v>
      </c>
      <c r="K7144" s="176">
        <f>VLOOKUP(I7144,'Attain %'!A:B,2,0)</f>
        <v>0.85</v>
      </c>
      <c r="L7144" s="177">
        <f t="shared" si="788"/>
        <v>5304</v>
      </c>
      <c r="M7144" s="177">
        <f t="shared" si="789"/>
        <v>48.186840000000004</v>
      </c>
      <c r="N7144" s="177">
        <f t="shared" si="790"/>
        <v>42.432000000000002</v>
      </c>
      <c r="O7144" s="175" t="str">
        <f t="shared" si="791"/>
        <v>Apr</v>
      </c>
      <c r="P7144" s="265">
        <f t="shared" si="792"/>
        <v>18</v>
      </c>
    </row>
    <row r="7145" spans="1:16" ht="15" hidden="1" customHeight="1">
      <c r="A7145" s="489">
        <v>64924302</v>
      </c>
      <c r="B7145" s="489">
        <v>5914</v>
      </c>
      <c r="C7145" s="488">
        <v>6240</v>
      </c>
      <c r="D7145" s="597">
        <v>46188</v>
      </c>
      <c r="E7145" s="489" t="s">
        <v>467</v>
      </c>
      <c r="F7145" s="489" t="s">
        <v>1243</v>
      </c>
      <c r="G7145" s="395">
        <f>VLOOKUP($A7145,'Tech Litons'!$A:$I,8,FALSE)</f>
        <v>9.0850000000000011E-3</v>
      </c>
      <c r="H7145" s="174">
        <f>VLOOKUP($A7145,'Tech Litons'!$A:$I,9,FALSE)</f>
        <v>125</v>
      </c>
      <c r="I7145" s="174" t="str">
        <f>VLOOKUP($A7145,'Tech Litons'!$A:$C,3,0)</f>
        <v>2.4 Gal</v>
      </c>
      <c r="J7145" s="175" t="str">
        <f t="shared" si="787"/>
        <v>59142.4 Gal</v>
      </c>
      <c r="K7145" s="176">
        <f>VLOOKUP(I7145,'Attain %'!A:B,2,0)</f>
        <v>0.85</v>
      </c>
      <c r="L7145" s="177">
        <f t="shared" si="788"/>
        <v>5304</v>
      </c>
      <c r="M7145" s="177">
        <f t="shared" si="789"/>
        <v>48.186840000000004</v>
      </c>
      <c r="N7145" s="177">
        <f t="shared" si="790"/>
        <v>42.432000000000002</v>
      </c>
      <c r="O7145" s="175" t="str">
        <f t="shared" si="791"/>
        <v>Jun</v>
      </c>
      <c r="P7145" s="265">
        <f t="shared" si="792"/>
        <v>25</v>
      </c>
    </row>
    <row r="7146" spans="1:16" ht="15" hidden="1" customHeight="1">
      <c r="A7146" s="489">
        <v>65451821</v>
      </c>
      <c r="B7146" s="489">
        <v>5914</v>
      </c>
      <c r="C7146" s="488">
        <v>6240</v>
      </c>
      <c r="D7146" s="597">
        <v>46328</v>
      </c>
      <c r="E7146" s="489" t="s">
        <v>440</v>
      </c>
      <c r="F7146" s="489" t="s">
        <v>1243</v>
      </c>
      <c r="G7146" s="395">
        <f>VLOOKUP($A7146,'Tech Litons'!$A:$I,8,FALSE)</f>
        <v>9.0850000000000011E-3</v>
      </c>
      <c r="H7146" s="174">
        <f>VLOOKUP($A7146,'Tech Litons'!$A:$I,9,FALSE)</f>
        <v>125</v>
      </c>
      <c r="I7146" s="174" t="str">
        <f>VLOOKUP($A7146,'Tech Litons'!$A:$C,3,0)</f>
        <v>2.4 Gal</v>
      </c>
      <c r="J7146" s="175" t="str">
        <f t="shared" si="787"/>
        <v>59142.4 Gal</v>
      </c>
      <c r="K7146" s="176">
        <f>VLOOKUP(I7146,'Attain %'!A:B,2,0)</f>
        <v>0.85</v>
      </c>
      <c r="L7146" s="177">
        <f t="shared" si="788"/>
        <v>5304</v>
      </c>
      <c r="M7146" s="177">
        <f t="shared" si="789"/>
        <v>48.186840000000004</v>
      </c>
      <c r="N7146" s="177">
        <f t="shared" si="790"/>
        <v>42.432000000000002</v>
      </c>
      <c r="O7146" s="175" t="str">
        <f t="shared" si="791"/>
        <v>Nov</v>
      </c>
      <c r="P7146" s="265">
        <f t="shared" si="792"/>
        <v>45</v>
      </c>
    </row>
    <row r="7147" spans="1:16" ht="15" hidden="1" customHeight="1">
      <c r="A7147" s="489">
        <v>65498063</v>
      </c>
      <c r="B7147" s="489">
        <v>5914</v>
      </c>
      <c r="C7147" s="488">
        <v>6240</v>
      </c>
      <c r="D7147" s="597">
        <v>46237</v>
      </c>
      <c r="E7147" s="489" t="s">
        <v>1245</v>
      </c>
      <c r="F7147" s="489" t="s">
        <v>1243</v>
      </c>
      <c r="G7147" s="395">
        <f>VLOOKUP($A7147,'Tech Litons'!$A:$I,8,FALSE)</f>
        <v>9.0850000000000011E-3</v>
      </c>
      <c r="H7147" s="174">
        <f>VLOOKUP($A7147,'Tech Litons'!$A:$I,9,FALSE)</f>
        <v>125</v>
      </c>
      <c r="I7147" s="174" t="str">
        <f>VLOOKUP($A7147,'Tech Litons'!$A:$C,3,0)</f>
        <v>2.4 Gal</v>
      </c>
      <c r="J7147" s="175" t="str">
        <f t="shared" si="787"/>
        <v>59142.4 Gal</v>
      </c>
      <c r="K7147" s="176">
        <f>VLOOKUP(I7147,'Attain %'!A:B,2,0)</f>
        <v>0.85</v>
      </c>
      <c r="L7147" s="177">
        <f t="shared" si="788"/>
        <v>5304</v>
      </c>
      <c r="M7147" s="177">
        <f t="shared" si="789"/>
        <v>48.186840000000004</v>
      </c>
      <c r="N7147" s="177">
        <f t="shared" si="790"/>
        <v>42.432000000000002</v>
      </c>
      <c r="O7147" s="175" t="str">
        <f t="shared" si="791"/>
        <v>Aug</v>
      </c>
      <c r="P7147" s="265">
        <f t="shared" si="792"/>
        <v>32</v>
      </c>
    </row>
    <row r="7148" spans="1:16" ht="15" hidden="1" customHeight="1">
      <c r="A7148" s="489">
        <v>67278370</v>
      </c>
      <c r="B7148" s="489">
        <v>5914</v>
      </c>
      <c r="C7148" s="488">
        <v>6240</v>
      </c>
      <c r="D7148" s="597">
        <v>46139</v>
      </c>
      <c r="E7148" s="489" t="s">
        <v>495</v>
      </c>
      <c r="F7148" s="489" t="s">
        <v>1243</v>
      </c>
      <c r="G7148" s="395">
        <f>VLOOKUP($A7148,'Tech Litons'!$A:$I,8,FALSE)</f>
        <v>9.0848256361922702E-3</v>
      </c>
      <c r="H7148" s="174">
        <f>VLOOKUP($A7148,'Tech Litons'!$A:$I,9,FALSE)</f>
        <v>125</v>
      </c>
      <c r="I7148" s="174" t="str">
        <f>VLOOKUP($A7148,'Tech Litons'!$A:$C,3,0)</f>
        <v>2.4 Gal</v>
      </c>
      <c r="J7148" s="175" t="str">
        <f t="shared" si="787"/>
        <v>59142.4 Gal</v>
      </c>
      <c r="K7148" s="176">
        <f>VLOOKUP(I7148,'Attain %'!A:B,2,0)</f>
        <v>0.85</v>
      </c>
      <c r="L7148" s="177">
        <f t="shared" si="788"/>
        <v>5304</v>
      </c>
      <c r="M7148" s="177">
        <f t="shared" si="789"/>
        <v>48.185915174363799</v>
      </c>
      <c r="N7148" s="177">
        <f t="shared" si="790"/>
        <v>42.432000000000002</v>
      </c>
      <c r="O7148" s="175" t="str">
        <f t="shared" si="791"/>
        <v>Apr</v>
      </c>
      <c r="P7148" s="265">
        <f t="shared" si="792"/>
        <v>18</v>
      </c>
    </row>
    <row r="7149" spans="1:16" ht="15" hidden="1" customHeight="1">
      <c r="A7149" s="489">
        <v>67278370</v>
      </c>
      <c r="B7149" s="489">
        <v>5914</v>
      </c>
      <c r="C7149" s="488">
        <v>6240</v>
      </c>
      <c r="D7149" s="597">
        <v>46328</v>
      </c>
      <c r="E7149" s="489" t="s">
        <v>495</v>
      </c>
      <c r="F7149" s="489" t="s">
        <v>1243</v>
      </c>
      <c r="G7149" s="395">
        <f>VLOOKUP($A7149,'Tech Litons'!$A:$I,8,FALSE)</f>
        <v>9.0848256361922702E-3</v>
      </c>
      <c r="H7149" s="174">
        <f>VLOOKUP($A7149,'Tech Litons'!$A:$I,9,FALSE)</f>
        <v>125</v>
      </c>
      <c r="I7149" s="174" t="str">
        <f>VLOOKUP($A7149,'Tech Litons'!$A:$C,3,0)</f>
        <v>2.4 Gal</v>
      </c>
      <c r="J7149" s="175" t="str">
        <f t="shared" si="787"/>
        <v>59142.4 Gal</v>
      </c>
      <c r="K7149" s="176">
        <f>VLOOKUP(I7149,'Attain %'!A:B,2,0)</f>
        <v>0.85</v>
      </c>
      <c r="L7149" s="177">
        <f t="shared" si="788"/>
        <v>5304</v>
      </c>
      <c r="M7149" s="177">
        <f t="shared" si="789"/>
        <v>48.185915174363799</v>
      </c>
      <c r="N7149" s="177">
        <f t="shared" si="790"/>
        <v>42.432000000000002</v>
      </c>
      <c r="O7149" s="175" t="str">
        <f t="shared" si="791"/>
        <v>Nov</v>
      </c>
      <c r="P7149" s="265">
        <f t="shared" si="792"/>
        <v>45</v>
      </c>
    </row>
    <row r="7150" spans="1:16" ht="15" hidden="1" customHeight="1">
      <c r="A7150" s="489">
        <v>67825196</v>
      </c>
      <c r="B7150" s="489">
        <v>5914</v>
      </c>
      <c r="C7150" s="488">
        <v>6240</v>
      </c>
      <c r="D7150" s="597">
        <v>46104</v>
      </c>
      <c r="E7150" s="489" t="s">
        <v>529</v>
      </c>
      <c r="F7150" s="489" t="s">
        <v>1243</v>
      </c>
      <c r="G7150" s="395">
        <f>VLOOKUP($A7150,'Tech Litons'!$A:$I,8,FALSE)</f>
        <v>9.0848256361922702E-3</v>
      </c>
      <c r="H7150" s="174">
        <f>VLOOKUP($A7150,'Tech Litons'!$A:$I,9,FALSE)</f>
        <v>125</v>
      </c>
      <c r="I7150" s="174" t="str">
        <f>VLOOKUP($A7150,'Tech Litons'!$A:$C,3,0)</f>
        <v>2.4 Gal</v>
      </c>
      <c r="J7150" s="175" t="str">
        <f t="shared" si="787"/>
        <v>59142.4 Gal</v>
      </c>
      <c r="K7150" s="176">
        <f>VLOOKUP(I7150,'Attain %'!A:B,2,0)</f>
        <v>0.85</v>
      </c>
      <c r="L7150" s="177">
        <f t="shared" si="788"/>
        <v>5304</v>
      </c>
      <c r="M7150" s="177">
        <f t="shared" si="789"/>
        <v>48.185915174363799</v>
      </c>
      <c r="N7150" s="177">
        <f t="shared" si="790"/>
        <v>42.432000000000002</v>
      </c>
      <c r="O7150" s="175" t="str">
        <f t="shared" si="791"/>
        <v>Mar</v>
      </c>
      <c r="P7150" s="265">
        <f t="shared" si="792"/>
        <v>13</v>
      </c>
    </row>
    <row r="7151" spans="1:16" ht="15" hidden="1" customHeight="1">
      <c r="A7151" s="489">
        <v>67825196</v>
      </c>
      <c r="B7151" s="489">
        <v>5914</v>
      </c>
      <c r="C7151" s="488">
        <v>6240</v>
      </c>
      <c r="D7151" s="597">
        <v>46216</v>
      </c>
      <c r="E7151" s="489" t="s">
        <v>529</v>
      </c>
      <c r="F7151" s="489" t="s">
        <v>1243</v>
      </c>
      <c r="G7151" s="395">
        <f>VLOOKUP($A7151,'Tech Litons'!$A:$I,8,FALSE)</f>
        <v>9.0848256361922702E-3</v>
      </c>
      <c r="H7151" s="174">
        <f>VLOOKUP($A7151,'Tech Litons'!$A:$I,9,FALSE)</f>
        <v>125</v>
      </c>
      <c r="I7151" s="174" t="str">
        <f>VLOOKUP($A7151,'Tech Litons'!$A:$C,3,0)</f>
        <v>2.4 Gal</v>
      </c>
      <c r="J7151" s="175" t="str">
        <f t="shared" si="787"/>
        <v>59142.4 Gal</v>
      </c>
      <c r="K7151" s="176">
        <f>VLOOKUP(I7151,'Attain %'!A:B,2,0)</f>
        <v>0.85</v>
      </c>
      <c r="L7151" s="177">
        <f t="shared" si="788"/>
        <v>5304</v>
      </c>
      <c r="M7151" s="177">
        <f t="shared" si="789"/>
        <v>48.185915174363799</v>
      </c>
      <c r="N7151" s="177">
        <f t="shared" si="790"/>
        <v>42.432000000000002</v>
      </c>
      <c r="O7151" s="175" t="str">
        <f t="shared" si="791"/>
        <v>Jul</v>
      </c>
      <c r="P7151" s="265">
        <f t="shared" si="792"/>
        <v>29</v>
      </c>
    </row>
    <row r="7152" spans="1:16" ht="15" hidden="1" customHeight="1">
      <c r="A7152" s="489">
        <v>67825197</v>
      </c>
      <c r="B7152" s="489">
        <v>5914</v>
      </c>
      <c r="C7152" s="488">
        <v>6240</v>
      </c>
      <c r="D7152" s="597">
        <v>46265</v>
      </c>
      <c r="E7152" s="489" t="s">
        <v>496</v>
      </c>
      <c r="F7152" s="489" t="s">
        <v>1243</v>
      </c>
      <c r="G7152" s="395">
        <f>VLOOKUP($A7152,'Tech Litons'!$A:$I,8,FALSE)</f>
        <v>9.0848256361922702E-3</v>
      </c>
      <c r="H7152" s="174">
        <f>VLOOKUP($A7152,'Tech Litons'!$A:$I,9,FALSE)</f>
        <v>125</v>
      </c>
      <c r="I7152" s="174" t="str">
        <f>VLOOKUP($A7152,'Tech Litons'!$A:$C,3,0)</f>
        <v>2.4 Gal</v>
      </c>
      <c r="J7152" s="175" t="str">
        <f t="shared" si="787"/>
        <v>59142.4 Gal</v>
      </c>
      <c r="K7152" s="176">
        <f>VLOOKUP(I7152,'Attain %'!A:B,2,0)</f>
        <v>0.85</v>
      </c>
      <c r="L7152" s="177">
        <f t="shared" si="788"/>
        <v>5304</v>
      </c>
      <c r="M7152" s="177">
        <f t="shared" si="789"/>
        <v>48.185915174363799</v>
      </c>
      <c r="N7152" s="177">
        <f t="shared" si="790"/>
        <v>42.432000000000002</v>
      </c>
      <c r="O7152" s="175" t="str">
        <f t="shared" si="791"/>
        <v>Aug</v>
      </c>
      <c r="P7152" s="265">
        <f t="shared" si="792"/>
        <v>36</v>
      </c>
    </row>
    <row r="7153" spans="1:16" ht="15" hidden="1" customHeight="1">
      <c r="A7153" s="489">
        <v>67825198</v>
      </c>
      <c r="B7153" s="489">
        <v>5914</v>
      </c>
      <c r="C7153" s="488">
        <v>6240</v>
      </c>
      <c r="D7153" s="597">
        <v>46160</v>
      </c>
      <c r="E7153" s="489" t="s">
        <v>470</v>
      </c>
      <c r="F7153" s="489" t="s">
        <v>1243</v>
      </c>
      <c r="G7153" s="395">
        <f>VLOOKUP($A7153,'Tech Litons'!$A:$I,8,FALSE)</f>
        <v>9.0848256361922702E-3</v>
      </c>
      <c r="H7153" s="174">
        <f>VLOOKUP($A7153,'Tech Litons'!$A:$I,9,FALSE)</f>
        <v>125</v>
      </c>
      <c r="I7153" s="174" t="str">
        <f>VLOOKUP($A7153,'Tech Litons'!$A:$C,3,0)</f>
        <v>2.4 Gal</v>
      </c>
      <c r="J7153" s="175" t="str">
        <f t="shared" si="787"/>
        <v>59142.4 Gal</v>
      </c>
      <c r="K7153" s="176">
        <f>VLOOKUP(I7153,'Attain %'!A:B,2,0)</f>
        <v>0.85</v>
      </c>
      <c r="L7153" s="177">
        <f t="shared" si="788"/>
        <v>5304</v>
      </c>
      <c r="M7153" s="177">
        <f t="shared" si="789"/>
        <v>48.185915174363799</v>
      </c>
      <c r="N7153" s="177">
        <f t="shared" si="790"/>
        <v>42.432000000000002</v>
      </c>
      <c r="O7153" s="175" t="str">
        <f t="shared" si="791"/>
        <v>May</v>
      </c>
      <c r="P7153" s="265">
        <f t="shared" si="792"/>
        <v>21</v>
      </c>
    </row>
    <row r="7154" spans="1:16" ht="15" hidden="1" customHeight="1">
      <c r="A7154" s="489">
        <v>67825198</v>
      </c>
      <c r="B7154" s="489">
        <v>5914</v>
      </c>
      <c r="C7154" s="488">
        <v>6240</v>
      </c>
      <c r="D7154" s="597">
        <v>46293</v>
      </c>
      <c r="E7154" s="489" t="s">
        <v>470</v>
      </c>
      <c r="F7154" s="489" t="s">
        <v>1243</v>
      </c>
      <c r="G7154" s="395">
        <f>VLOOKUP($A7154,'Tech Litons'!$A:$I,8,FALSE)</f>
        <v>9.0848256361922702E-3</v>
      </c>
      <c r="H7154" s="174">
        <f>VLOOKUP($A7154,'Tech Litons'!$A:$I,9,FALSE)</f>
        <v>125</v>
      </c>
      <c r="I7154" s="174" t="str">
        <f>VLOOKUP($A7154,'Tech Litons'!$A:$C,3,0)</f>
        <v>2.4 Gal</v>
      </c>
      <c r="J7154" s="175" t="str">
        <f t="shared" si="787"/>
        <v>59142.4 Gal</v>
      </c>
      <c r="K7154" s="176">
        <f>VLOOKUP(I7154,'Attain %'!A:B,2,0)</f>
        <v>0.85</v>
      </c>
      <c r="L7154" s="177">
        <f t="shared" si="788"/>
        <v>5304</v>
      </c>
      <c r="M7154" s="177">
        <f t="shared" si="789"/>
        <v>48.185915174363799</v>
      </c>
      <c r="N7154" s="177">
        <f t="shared" si="790"/>
        <v>42.432000000000002</v>
      </c>
      <c r="O7154" s="175" t="str">
        <f t="shared" si="791"/>
        <v>Sep</v>
      </c>
      <c r="P7154" s="265">
        <f t="shared" si="792"/>
        <v>40</v>
      </c>
    </row>
    <row r="7155" spans="1:16" ht="15" hidden="1" customHeight="1">
      <c r="A7155" s="489">
        <v>68354578</v>
      </c>
      <c r="B7155" s="489">
        <v>5914</v>
      </c>
      <c r="C7155" s="488">
        <v>6240</v>
      </c>
      <c r="D7155" s="597">
        <v>46209</v>
      </c>
      <c r="E7155" s="489" t="s">
        <v>398</v>
      </c>
      <c r="F7155" s="489" t="s">
        <v>1243</v>
      </c>
      <c r="G7155" s="395">
        <f>VLOOKUP($A7155,'Tech Litons'!$A:$I,8,FALSE)</f>
        <v>9.0848256361922702E-3</v>
      </c>
      <c r="H7155" s="174">
        <f>VLOOKUP($A7155,'Tech Litons'!$A:$I,9,FALSE)</f>
        <v>125</v>
      </c>
      <c r="I7155" s="174" t="str">
        <f>VLOOKUP($A7155,'Tech Litons'!$A:$C,3,0)</f>
        <v>2.4 Gal</v>
      </c>
      <c r="J7155" s="175" t="str">
        <f t="shared" si="787"/>
        <v>59142.4 Gal</v>
      </c>
      <c r="K7155" s="176">
        <f>VLOOKUP(I7155,'Attain %'!A:B,2,0)</f>
        <v>0.85</v>
      </c>
      <c r="L7155" s="177">
        <f t="shared" si="788"/>
        <v>5304</v>
      </c>
      <c r="M7155" s="177">
        <f t="shared" si="789"/>
        <v>48.185915174363799</v>
      </c>
      <c r="N7155" s="177">
        <f t="shared" si="790"/>
        <v>42.432000000000002</v>
      </c>
      <c r="O7155" s="175" t="str">
        <f t="shared" si="791"/>
        <v>Jul</v>
      </c>
      <c r="P7155" s="265">
        <f t="shared" si="792"/>
        <v>28</v>
      </c>
    </row>
    <row r="7156" spans="1:16" ht="15" hidden="1" customHeight="1">
      <c r="A7156" s="489">
        <v>68354578</v>
      </c>
      <c r="B7156" s="489">
        <v>5914</v>
      </c>
      <c r="C7156" s="488">
        <v>6240</v>
      </c>
      <c r="D7156" s="597">
        <v>46265</v>
      </c>
      <c r="E7156" s="489" t="s">
        <v>398</v>
      </c>
      <c r="F7156" s="489" t="s">
        <v>1243</v>
      </c>
      <c r="G7156" s="395">
        <f>VLOOKUP($A7156,'Tech Litons'!$A:$I,8,FALSE)</f>
        <v>9.0848256361922702E-3</v>
      </c>
      <c r="H7156" s="174">
        <f>VLOOKUP($A7156,'Tech Litons'!$A:$I,9,FALSE)</f>
        <v>125</v>
      </c>
      <c r="I7156" s="174" t="str">
        <f>VLOOKUP($A7156,'Tech Litons'!$A:$C,3,0)</f>
        <v>2.4 Gal</v>
      </c>
      <c r="J7156" s="175" t="str">
        <f t="shared" si="787"/>
        <v>59142.4 Gal</v>
      </c>
      <c r="K7156" s="176">
        <f>VLOOKUP(I7156,'Attain %'!A:B,2,0)</f>
        <v>0.85</v>
      </c>
      <c r="L7156" s="177">
        <f t="shared" si="788"/>
        <v>5304</v>
      </c>
      <c r="M7156" s="177">
        <f t="shared" si="789"/>
        <v>48.185915174363799</v>
      </c>
      <c r="N7156" s="177">
        <f t="shared" si="790"/>
        <v>42.432000000000002</v>
      </c>
      <c r="O7156" s="175" t="str">
        <f t="shared" si="791"/>
        <v>Aug</v>
      </c>
      <c r="P7156" s="265">
        <f t="shared" si="792"/>
        <v>36</v>
      </c>
    </row>
    <row r="7157" spans="1:16" ht="15" hidden="1" customHeight="1">
      <c r="A7157" s="489">
        <v>68499787</v>
      </c>
      <c r="B7157" s="489">
        <v>5914</v>
      </c>
      <c r="C7157" s="488">
        <v>6240</v>
      </c>
      <c r="D7157" s="597">
        <v>46146</v>
      </c>
      <c r="E7157" s="489" t="s">
        <v>394</v>
      </c>
      <c r="F7157" s="489" t="s">
        <v>1243</v>
      </c>
      <c r="G7157" s="395">
        <f>VLOOKUP($A7157,'Tech Litons'!$A:$I,8,FALSE)</f>
        <v>9.0850000000000011E-3</v>
      </c>
      <c r="H7157" s="174">
        <f>VLOOKUP($A7157,'Tech Litons'!$A:$I,9,FALSE)</f>
        <v>125</v>
      </c>
      <c r="I7157" s="174" t="str">
        <f>VLOOKUP($A7157,'Tech Litons'!$A:$C,3,0)</f>
        <v>2.4 Gal</v>
      </c>
      <c r="J7157" s="175" t="str">
        <f t="shared" si="787"/>
        <v>59142.4 Gal</v>
      </c>
      <c r="K7157" s="176">
        <f>VLOOKUP(I7157,'Attain %'!A:B,2,0)</f>
        <v>0.85</v>
      </c>
      <c r="L7157" s="177">
        <f t="shared" si="788"/>
        <v>5304</v>
      </c>
      <c r="M7157" s="177">
        <f t="shared" si="789"/>
        <v>48.186840000000004</v>
      </c>
      <c r="N7157" s="177">
        <f t="shared" si="790"/>
        <v>42.432000000000002</v>
      </c>
      <c r="O7157" s="175" t="str">
        <f t="shared" si="791"/>
        <v>May</v>
      </c>
      <c r="P7157" s="265">
        <f t="shared" si="792"/>
        <v>19</v>
      </c>
    </row>
    <row r="7158" spans="1:16" ht="15" hidden="1" customHeight="1">
      <c r="A7158" s="489">
        <v>68499787</v>
      </c>
      <c r="B7158" s="489">
        <v>5914</v>
      </c>
      <c r="C7158" s="488">
        <v>6240</v>
      </c>
      <c r="D7158" s="597">
        <v>46237</v>
      </c>
      <c r="E7158" s="489" t="s">
        <v>394</v>
      </c>
      <c r="F7158" s="489" t="s">
        <v>1243</v>
      </c>
      <c r="G7158" s="395">
        <f>VLOOKUP($A7158,'Tech Litons'!$A:$I,8,FALSE)</f>
        <v>9.0850000000000011E-3</v>
      </c>
      <c r="H7158" s="174">
        <f>VLOOKUP($A7158,'Tech Litons'!$A:$I,9,FALSE)</f>
        <v>125</v>
      </c>
      <c r="I7158" s="174" t="str">
        <f>VLOOKUP($A7158,'Tech Litons'!$A:$C,3,0)</f>
        <v>2.4 Gal</v>
      </c>
      <c r="J7158" s="175" t="str">
        <f t="shared" si="787"/>
        <v>59142.4 Gal</v>
      </c>
      <c r="K7158" s="176">
        <f>VLOOKUP(I7158,'Attain %'!A:B,2,0)</f>
        <v>0.85</v>
      </c>
      <c r="L7158" s="177">
        <f t="shared" si="788"/>
        <v>5304</v>
      </c>
      <c r="M7158" s="177">
        <f t="shared" si="789"/>
        <v>48.186840000000004</v>
      </c>
      <c r="N7158" s="177">
        <f t="shared" si="790"/>
        <v>42.432000000000002</v>
      </c>
      <c r="O7158" s="175" t="str">
        <f t="shared" si="791"/>
        <v>Aug</v>
      </c>
      <c r="P7158" s="265">
        <f t="shared" si="792"/>
        <v>32</v>
      </c>
    </row>
    <row r="7159" spans="1:16" ht="15" hidden="1" customHeight="1">
      <c r="A7159" s="489">
        <v>68499787</v>
      </c>
      <c r="B7159" s="489">
        <v>5914</v>
      </c>
      <c r="C7159" s="488">
        <v>6240</v>
      </c>
      <c r="D7159" s="597">
        <v>46356</v>
      </c>
      <c r="E7159" s="489" t="s">
        <v>394</v>
      </c>
      <c r="F7159" s="489" t="s">
        <v>1243</v>
      </c>
      <c r="G7159" s="395">
        <f>VLOOKUP($A7159,'Tech Litons'!$A:$I,8,FALSE)</f>
        <v>9.0850000000000011E-3</v>
      </c>
      <c r="H7159" s="174">
        <f>VLOOKUP($A7159,'Tech Litons'!$A:$I,9,FALSE)</f>
        <v>125</v>
      </c>
      <c r="I7159" s="174" t="str">
        <f>VLOOKUP($A7159,'Tech Litons'!$A:$C,3,0)</f>
        <v>2.4 Gal</v>
      </c>
      <c r="J7159" s="175" t="str">
        <f t="shared" si="787"/>
        <v>59142.4 Gal</v>
      </c>
      <c r="K7159" s="176">
        <f>VLOOKUP(I7159,'Attain %'!A:B,2,0)</f>
        <v>0.85</v>
      </c>
      <c r="L7159" s="177">
        <f t="shared" si="788"/>
        <v>5304</v>
      </c>
      <c r="M7159" s="177">
        <f t="shared" si="789"/>
        <v>48.186840000000004</v>
      </c>
      <c r="N7159" s="177">
        <f t="shared" si="790"/>
        <v>42.432000000000002</v>
      </c>
      <c r="O7159" s="175" t="str">
        <f t="shared" si="791"/>
        <v>Nov</v>
      </c>
      <c r="P7159" s="265">
        <f t="shared" si="792"/>
        <v>49</v>
      </c>
    </row>
    <row r="7160" spans="1:16" ht="15" hidden="1" customHeight="1">
      <c r="A7160" s="489">
        <v>69997338</v>
      </c>
      <c r="B7160" s="489">
        <v>5914</v>
      </c>
      <c r="C7160" s="488">
        <v>6240</v>
      </c>
      <c r="D7160" s="597">
        <v>46216</v>
      </c>
      <c r="E7160" s="489" t="s">
        <v>372</v>
      </c>
      <c r="F7160" s="489" t="s">
        <v>1243</v>
      </c>
      <c r="G7160" s="395">
        <f>VLOOKUP($A7160,'Tech Litons'!$A:$I,8,FALSE)</f>
        <v>9.0850000000000011E-3</v>
      </c>
      <c r="H7160" s="174">
        <f>VLOOKUP($A7160,'Tech Litons'!$A:$I,9,FALSE)</f>
        <v>125</v>
      </c>
      <c r="I7160" s="174" t="str">
        <f>VLOOKUP($A7160,'Tech Litons'!$A:$C,3,0)</f>
        <v>2.4 Gal</v>
      </c>
      <c r="J7160" s="175" t="str">
        <f t="shared" ref="J7160:J7223" si="793">B7160&amp;I7160</f>
        <v>59142.4 Gal</v>
      </c>
      <c r="K7160" s="176">
        <f>VLOOKUP(I7160,'Attain %'!A:B,2,0)</f>
        <v>0.85</v>
      </c>
      <c r="L7160" s="177">
        <f t="shared" ref="L7160:L7223" si="794">C7160*$K7160</f>
        <v>5304</v>
      </c>
      <c r="M7160" s="177">
        <f t="shared" ref="M7160:M7223" si="795">L7160*G7160</f>
        <v>48.186840000000004</v>
      </c>
      <c r="N7160" s="177">
        <f t="shared" ref="N7160:N7223" si="796">L7160/H7160</f>
        <v>42.432000000000002</v>
      </c>
      <c r="O7160" s="175" t="str">
        <f t="shared" ref="O7160:O7223" si="797">TEXT(D7160,"MMM")</f>
        <v>Jul</v>
      </c>
      <c r="P7160" s="265">
        <f t="shared" ref="P7160:P7223" si="798">WEEKNUM(D7160)</f>
        <v>29</v>
      </c>
    </row>
    <row r="7161" spans="1:16" ht="15" hidden="1" customHeight="1">
      <c r="A7161" s="489">
        <v>69997338</v>
      </c>
      <c r="B7161" s="489">
        <v>5914</v>
      </c>
      <c r="C7161" s="488">
        <v>6240</v>
      </c>
      <c r="D7161" s="597">
        <v>46356</v>
      </c>
      <c r="E7161" s="489" t="s">
        <v>372</v>
      </c>
      <c r="F7161" s="489" t="s">
        <v>1243</v>
      </c>
      <c r="G7161" s="395">
        <f>VLOOKUP($A7161,'Tech Litons'!$A:$I,8,FALSE)</f>
        <v>9.0850000000000011E-3</v>
      </c>
      <c r="H7161" s="174">
        <f>VLOOKUP($A7161,'Tech Litons'!$A:$I,9,FALSE)</f>
        <v>125</v>
      </c>
      <c r="I7161" s="174" t="str">
        <f>VLOOKUP($A7161,'Tech Litons'!$A:$C,3,0)</f>
        <v>2.4 Gal</v>
      </c>
      <c r="J7161" s="175" t="str">
        <f t="shared" si="793"/>
        <v>59142.4 Gal</v>
      </c>
      <c r="K7161" s="176">
        <f>VLOOKUP(I7161,'Attain %'!A:B,2,0)</f>
        <v>0.85</v>
      </c>
      <c r="L7161" s="177">
        <f t="shared" si="794"/>
        <v>5304</v>
      </c>
      <c r="M7161" s="177">
        <f t="shared" si="795"/>
        <v>48.186840000000004</v>
      </c>
      <c r="N7161" s="177">
        <f t="shared" si="796"/>
        <v>42.432000000000002</v>
      </c>
      <c r="O7161" s="175" t="str">
        <f t="shared" si="797"/>
        <v>Nov</v>
      </c>
      <c r="P7161" s="265">
        <f t="shared" si="798"/>
        <v>49</v>
      </c>
    </row>
    <row r="7162" spans="1:16" ht="15" hidden="1" customHeight="1">
      <c r="A7162" s="489">
        <v>84135794</v>
      </c>
      <c r="B7162" s="489">
        <v>5914</v>
      </c>
      <c r="C7162" s="488">
        <v>6240</v>
      </c>
      <c r="D7162" s="597">
        <v>46125</v>
      </c>
      <c r="E7162" s="489" t="s">
        <v>532</v>
      </c>
      <c r="F7162" s="489" t="s">
        <v>1243</v>
      </c>
      <c r="G7162" s="395">
        <f>VLOOKUP($A7162,'Tech Litons'!$A:$I,8,FALSE)</f>
        <v>9.0848256361922702E-3</v>
      </c>
      <c r="H7162" s="174">
        <f>VLOOKUP($A7162,'Tech Litons'!$A:$I,9,FALSE)</f>
        <v>125</v>
      </c>
      <c r="I7162" s="174" t="str">
        <f>VLOOKUP($A7162,'Tech Litons'!$A:$C,3,0)</f>
        <v>2.4 Gal</v>
      </c>
      <c r="J7162" s="175" t="str">
        <f t="shared" si="793"/>
        <v>59142.4 Gal</v>
      </c>
      <c r="K7162" s="176">
        <f>VLOOKUP(I7162,'Attain %'!A:B,2,0)</f>
        <v>0.85</v>
      </c>
      <c r="L7162" s="177">
        <f t="shared" si="794"/>
        <v>5304</v>
      </c>
      <c r="M7162" s="177">
        <f t="shared" si="795"/>
        <v>48.185915174363799</v>
      </c>
      <c r="N7162" s="177">
        <f t="shared" si="796"/>
        <v>42.432000000000002</v>
      </c>
      <c r="O7162" s="175" t="str">
        <f t="shared" si="797"/>
        <v>Apr</v>
      </c>
      <c r="P7162" s="265">
        <f t="shared" si="798"/>
        <v>16</v>
      </c>
    </row>
    <row r="7163" spans="1:16" ht="15" hidden="1" customHeight="1">
      <c r="A7163" s="489">
        <v>84135794</v>
      </c>
      <c r="B7163" s="489">
        <v>5914</v>
      </c>
      <c r="C7163" s="488">
        <v>6240</v>
      </c>
      <c r="D7163" s="597">
        <v>46216</v>
      </c>
      <c r="E7163" s="489" t="s">
        <v>532</v>
      </c>
      <c r="F7163" s="489" t="s">
        <v>1243</v>
      </c>
      <c r="G7163" s="395">
        <f>VLOOKUP($A7163,'Tech Litons'!$A:$I,8,FALSE)</f>
        <v>9.0848256361922702E-3</v>
      </c>
      <c r="H7163" s="174">
        <f>VLOOKUP($A7163,'Tech Litons'!$A:$I,9,FALSE)</f>
        <v>125</v>
      </c>
      <c r="I7163" s="174" t="str">
        <f>VLOOKUP($A7163,'Tech Litons'!$A:$C,3,0)</f>
        <v>2.4 Gal</v>
      </c>
      <c r="J7163" s="175" t="str">
        <f t="shared" si="793"/>
        <v>59142.4 Gal</v>
      </c>
      <c r="K7163" s="176">
        <f>VLOOKUP(I7163,'Attain %'!A:B,2,0)</f>
        <v>0.85</v>
      </c>
      <c r="L7163" s="177">
        <f t="shared" si="794"/>
        <v>5304</v>
      </c>
      <c r="M7163" s="177">
        <f t="shared" si="795"/>
        <v>48.185915174363799</v>
      </c>
      <c r="N7163" s="177">
        <f t="shared" si="796"/>
        <v>42.432000000000002</v>
      </c>
      <c r="O7163" s="175" t="str">
        <f t="shared" si="797"/>
        <v>Jul</v>
      </c>
      <c r="P7163" s="265">
        <f t="shared" si="798"/>
        <v>29</v>
      </c>
    </row>
    <row r="7164" spans="1:16" ht="15" hidden="1" customHeight="1">
      <c r="A7164" s="489">
        <v>84135794</v>
      </c>
      <c r="B7164" s="489">
        <v>5914</v>
      </c>
      <c r="C7164" s="488">
        <v>6240</v>
      </c>
      <c r="D7164" s="597">
        <v>46293</v>
      </c>
      <c r="E7164" s="489" t="s">
        <v>532</v>
      </c>
      <c r="F7164" s="489" t="s">
        <v>1243</v>
      </c>
      <c r="G7164" s="395">
        <f>VLOOKUP($A7164,'Tech Litons'!$A:$I,8,FALSE)</f>
        <v>9.0848256361922702E-3</v>
      </c>
      <c r="H7164" s="174">
        <f>VLOOKUP($A7164,'Tech Litons'!$A:$I,9,FALSE)</f>
        <v>125</v>
      </c>
      <c r="I7164" s="174" t="str">
        <f>VLOOKUP($A7164,'Tech Litons'!$A:$C,3,0)</f>
        <v>2.4 Gal</v>
      </c>
      <c r="J7164" s="175" t="str">
        <f t="shared" si="793"/>
        <v>59142.4 Gal</v>
      </c>
      <c r="K7164" s="176">
        <f>VLOOKUP(I7164,'Attain %'!A:B,2,0)</f>
        <v>0.85</v>
      </c>
      <c r="L7164" s="177">
        <f t="shared" si="794"/>
        <v>5304</v>
      </c>
      <c r="M7164" s="177">
        <f t="shared" si="795"/>
        <v>48.185915174363799</v>
      </c>
      <c r="N7164" s="177">
        <f t="shared" si="796"/>
        <v>42.432000000000002</v>
      </c>
      <c r="O7164" s="175" t="str">
        <f t="shared" si="797"/>
        <v>Sep</v>
      </c>
      <c r="P7164" s="265">
        <f t="shared" si="798"/>
        <v>40</v>
      </c>
    </row>
    <row r="7165" spans="1:16" ht="15" hidden="1" customHeight="1">
      <c r="A7165" s="489">
        <v>84135795</v>
      </c>
      <c r="B7165" s="489">
        <v>5914</v>
      </c>
      <c r="C7165" s="488">
        <v>6240</v>
      </c>
      <c r="D7165" s="597">
        <v>46153</v>
      </c>
      <c r="E7165" s="489" t="s">
        <v>497</v>
      </c>
      <c r="F7165" s="489" t="s">
        <v>1243</v>
      </c>
      <c r="G7165" s="395">
        <f>VLOOKUP($A7165,'Tech Litons'!$A:$I,8,FALSE)</f>
        <v>9.0848256361922702E-3</v>
      </c>
      <c r="H7165" s="174">
        <f>VLOOKUP($A7165,'Tech Litons'!$A:$I,9,FALSE)</f>
        <v>125</v>
      </c>
      <c r="I7165" s="174" t="str">
        <f>VLOOKUP($A7165,'Tech Litons'!$A:$C,3,0)</f>
        <v>2.4 Gal</v>
      </c>
      <c r="J7165" s="175" t="str">
        <f t="shared" si="793"/>
        <v>59142.4 Gal</v>
      </c>
      <c r="K7165" s="176">
        <f>VLOOKUP(I7165,'Attain %'!A:B,2,0)</f>
        <v>0.85</v>
      </c>
      <c r="L7165" s="177">
        <f t="shared" si="794"/>
        <v>5304</v>
      </c>
      <c r="M7165" s="177">
        <f t="shared" si="795"/>
        <v>48.185915174363799</v>
      </c>
      <c r="N7165" s="177">
        <f t="shared" si="796"/>
        <v>42.432000000000002</v>
      </c>
      <c r="O7165" s="175" t="str">
        <f t="shared" si="797"/>
        <v>May</v>
      </c>
      <c r="P7165" s="265">
        <f t="shared" si="798"/>
        <v>20</v>
      </c>
    </row>
    <row r="7166" spans="1:16" ht="15" hidden="1" customHeight="1">
      <c r="A7166" s="489">
        <v>84135795</v>
      </c>
      <c r="B7166" s="489">
        <v>5914</v>
      </c>
      <c r="C7166" s="488">
        <v>6240</v>
      </c>
      <c r="D7166" s="597">
        <v>46209</v>
      </c>
      <c r="E7166" s="489" t="s">
        <v>497</v>
      </c>
      <c r="F7166" s="489" t="s">
        <v>1243</v>
      </c>
      <c r="G7166" s="395">
        <f>VLOOKUP($A7166,'Tech Litons'!$A:$I,8,FALSE)</f>
        <v>9.0848256361922702E-3</v>
      </c>
      <c r="H7166" s="174">
        <f>VLOOKUP($A7166,'Tech Litons'!$A:$I,9,FALSE)</f>
        <v>125</v>
      </c>
      <c r="I7166" s="174" t="str">
        <f>VLOOKUP($A7166,'Tech Litons'!$A:$C,3,0)</f>
        <v>2.4 Gal</v>
      </c>
      <c r="J7166" s="175" t="str">
        <f t="shared" si="793"/>
        <v>59142.4 Gal</v>
      </c>
      <c r="K7166" s="176">
        <f>VLOOKUP(I7166,'Attain %'!A:B,2,0)</f>
        <v>0.85</v>
      </c>
      <c r="L7166" s="177">
        <f t="shared" si="794"/>
        <v>5304</v>
      </c>
      <c r="M7166" s="177">
        <f t="shared" si="795"/>
        <v>48.185915174363799</v>
      </c>
      <c r="N7166" s="177">
        <f t="shared" si="796"/>
        <v>42.432000000000002</v>
      </c>
      <c r="O7166" s="175" t="str">
        <f t="shared" si="797"/>
        <v>Jul</v>
      </c>
      <c r="P7166" s="265">
        <f t="shared" si="798"/>
        <v>28</v>
      </c>
    </row>
    <row r="7167" spans="1:16" ht="15" hidden="1" customHeight="1">
      <c r="A7167" s="489">
        <v>84135795</v>
      </c>
      <c r="B7167" s="489">
        <v>5914</v>
      </c>
      <c r="C7167" s="488">
        <v>6240</v>
      </c>
      <c r="D7167" s="597">
        <v>46265</v>
      </c>
      <c r="E7167" s="489" t="s">
        <v>497</v>
      </c>
      <c r="F7167" s="489" t="s">
        <v>1243</v>
      </c>
      <c r="G7167" s="395">
        <f>VLOOKUP($A7167,'Tech Litons'!$A:$I,8,FALSE)</f>
        <v>9.0848256361922702E-3</v>
      </c>
      <c r="H7167" s="174">
        <f>VLOOKUP($A7167,'Tech Litons'!$A:$I,9,FALSE)</f>
        <v>125</v>
      </c>
      <c r="I7167" s="174" t="str">
        <f>VLOOKUP($A7167,'Tech Litons'!$A:$C,3,0)</f>
        <v>2.4 Gal</v>
      </c>
      <c r="J7167" s="175" t="str">
        <f t="shared" si="793"/>
        <v>59142.4 Gal</v>
      </c>
      <c r="K7167" s="176">
        <f>VLOOKUP(I7167,'Attain %'!A:B,2,0)</f>
        <v>0.85</v>
      </c>
      <c r="L7167" s="177">
        <f t="shared" si="794"/>
        <v>5304</v>
      </c>
      <c r="M7167" s="177">
        <f t="shared" si="795"/>
        <v>48.185915174363799</v>
      </c>
      <c r="N7167" s="177">
        <f t="shared" si="796"/>
        <v>42.432000000000002</v>
      </c>
      <c r="O7167" s="175" t="str">
        <f t="shared" si="797"/>
        <v>Aug</v>
      </c>
      <c r="P7167" s="265">
        <f t="shared" si="798"/>
        <v>36</v>
      </c>
    </row>
    <row r="7168" spans="1:16" ht="15" hidden="1" customHeight="1">
      <c r="A7168" s="489">
        <v>84135795</v>
      </c>
      <c r="B7168" s="489">
        <v>5914</v>
      </c>
      <c r="C7168" s="488">
        <v>6240</v>
      </c>
      <c r="D7168" s="597">
        <v>46300</v>
      </c>
      <c r="E7168" s="489" t="s">
        <v>497</v>
      </c>
      <c r="F7168" s="489" t="s">
        <v>1243</v>
      </c>
      <c r="G7168" s="395">
        <f>VLOOKUP($A7168,'Tech Litons'!$A:$I,8,FALSE)</f>
        <v>9.0848256361922702E-3</v>
      </c>
      <c r="H7168" s="174">
        <f>VLOOKUP($A7168,'Tech Litons'!$A:$I,9,FALSE)</f>
        <v>125</v>
      </c>
      <c r="I7168" s="174" t="str">
        <f>VLOOKUP($A7168,'Tech Litons'!$A:$C,3,0)</f>
        <v>2.4 Gal</v>
      </c>
      <c r="J7168" s="175" t="str">
        <f t="shared" si="793"/>
        <v>59142.4 Gal</v>
      </c>
      <c r="K7168" s="176">
        <f>VLOOKUP(I7168,'Attain %'!A:B,2,0)</f>
        <v>0.85</v>
      </c>
      <c r="L7168" s="177">
        <f t="shared" si="794"/>
        <v>5304</v>
      </c>
      <c r="M7168" s="177">
        <f t="shared" si="795"/>
        <v>48.185915174363799</v>
      </c>
      <c r="N7168" s="177">
        <f t="shared" si="796"/>
        <v>42.432000000000002</v>
      </c>
      <c r="O7168" s="175" t="str">
        <f t="shared" si="797"/>
        <v>Oct</v>
      </c>
      <c r="P7168" s="265">
        <f t="shared" si="798"/>
        <v>41</v>
      </c>
    </row>
    <row r="7169" spans="1:16" ht="15" hidden="1" customHeight="1">
      <c r="A7169" s="489">
        <v>84135799</v>
      </c>
      <c r="B7169" s="489">
        <v>5914</v>
      </c>
      <c r="C7169" s="488">
        <v>6240</v>
      </c>
      <c r="D7169" s="597">
        <v>46188</v>
      </c>
      <c r="E7169" s="489" t="s">
        <v>498</v>
      </c>
      <c r="F7169" s="489" t="s">
        <v>1243</v>
      </c>
      <c r="G7169" s="395">
        <f>VLOOKUP($A7169,'Tech Litons'!$A:$I,8,FALSE)</f>
        <v>9.0848256361922702E-3</v>
      </c>
      <c r="H7169" s="174">
        <f>VLOOKUP($A7169,'Tech Litons'!$A:$I,9,FALSE)</f>
        <v>125</v>
      </c>
      <c r="I7169" s="174" t="str">
        <f>VLOOKUP($A7169,'Tech Litons'!$A:$C,3,0)</f>
        <v>2.4 Gal</v>
      </c>
      <c r="J7169" s="175" t="str">
        <f t="shared" si="793"/>
        <v>59142.4 Gal</v>
      </c>
      <c r="K7169" s="176">
        <f>VLOOKUP(I7169,'Attain %'!A:B,2,0)</f>
        <v>0.85</v>
      </c>
      <c r="L7169" s="177">
        <f t="shared" si="794"/>
        <v>5304</v>
      </c>
      <c r="M7169" s="177">
        <f t="shared" si="795"/>
        <v>48.185915174363799</v>
      </c>
      <c r="N7169" s="177">
        <f t="shared" si="796"/>
        <v>42.432000000000002</v>
      </c>
      <c r="O7169" s="175" t="str">
        <f t="shared" si="797"/>
        <v>Jun</v>
      </c>
      <c r="P7169" s="265">
        <f t="shared" si="798"/>
        <v>25</v>
      </c>
    </row>
    <row r="7170" spans="1:16" ht="15" hidden="1" customHeight="1">
      <c r="A7170" s="489">
        <v>84135799</v>
      </c>
      <c r="B7170" s="489">
        <v>5914</v>
      </c>
      <c r="C7170" s="488">
        <v>6240</v>
      </c>
      <c r="D7170" s="597">
        <v>46237</v>
      </c>
      <c r="E7170" s="489" t="s">
        <v>498</v>
      </c>
      <c r="F7170" s="489" t="s">
        <v>1243</v>
      </c>
      <c r="G7170" s="395">
        <f>VLOOKUP($A7170,'Tech Litons'!$A:$I,8,FALSE)</f>
        <v>9.0848256361922702E-3</v>
      </c>
      <c r="H7170" s="174">
        <f>VLOOKUP($A7170,'Tech Litons'!$A:$I,9,FALSE)</f>
        <v>125</v>
      </c>
      <c r="I7170" s="174" t="str">
        <f>VLOOKUP($A7170,'Tech Litons'!$A:$C,3,0)</f>
        <v>2.4 Gal</v>
      </c>
      <c r="J7170" s="175" t="str">
        <f t="shared" si="793"/>
        <v>59142.4 Gal</v>
      </c>
      <c r="K7170" s="176">
        <f>VLOOKUP(I7170,'Attain %'!A:B,2,0)</f>
        <v>0.85</v>
      </c>
      <c r="L7170" s="177">
        <f t="shared" si="794"/>
        <v>5304</v>
      </c>
      <c r="M7170" s="177">
        <f t="shared" si="795"/>
        <v>48.185915174363799</v>
      </c>
      <c r="N7170" s="177">
        <f t="shared" si="796"/>
        <v>42.432000000000002</v>
      </c>
      <c r="O7170" s="175" t="str">
        <f t="shared" si="797"/>
        <v>Aug</v>
      </c>
      <c r="P7170" s="265">
        <f t="shared" si="798"/>
        <v>32</v>
      </c>
    </row>
    <row r="7171" spans="1:16" ht="15" hidden="1" customHeight="1">
      <c r="A7171" s="489">
        <v>84135799</v>
      </c>
      <c r="B7171" s="489">
        <v>5914</v>
      </c>
      <c r="C7171" s="488">
        <v>6240</v>
      </c>
      <c r="D7171" s="597">
        <v>46328</v>
      </c>
      <c r="E7171" s="489" t="s">
        <v>498</v>
      </c>
      <c r="F7171" s="489" t="s">
        <v>1243</v>
      </c>
      <c r="G7171" s="395">
        <f>VLOOKUP($A7171,'Tech Litons'!$A:$I,8,FALSE)</f>
        <v>9.0848256361922702E-3</v>
      </c>
      <c r="H7171" s="174">
        <f>VLOOKUP($A7171,'Tech Litons'!$A:$I,9,FALSE)</f>
        <v>125</v>
      </c>
      <c r="I7171" s="174" t="str">
        <f>VLOOKUP($A7171,'Tech Litons'!$A:$C,3,0)</f>
        <v>2.4 Gal</v>
      </c>
      <c r="J7171" s="175" t="str">
        <f t="shared" si="793"/>
        <v>59142.4 Gal</v>
      </c>
      <c r="K7171" s="176">
        <f>VLOOKUP(I7171,'Attain %'!A:B,2,0)</f>
        <v>0.85</v>
      </c>
      <c r="L7171" s="177">
        <f t="shared" si="794"/>
        <v>5304</v>
      </c>
      <c r="M7171" s="177">
        <f t="shared" si="795"/>
        <v>48.185915174363799</v>
      </c>
      <c r="N7171" s="177">
        <f t="shared" si="796"/>
        <v>42.432000000000002</v>
      </c>
      <c r="O7171" s="175" t="str">
        <f t="shared" si="797"/>
        <v>Nov</v>
      </c>
      <c r="P7171" s="265">
        <f t="shared" si="798"/>
        <v>45</v>
      </c>
    </row>
    <row r="7172" spans="1:16" ht="15" hidden="1" customHeight="1">
      <c r="A7172" s="489">
        <v>84137721</v>
      </c>
      <c r="B7172" s="489">
        <v>5914</v>
      </c>
      <c r="C7172" s="488">
        <v>6240</v>
      </c>
      <c r="D7172" s="597">
        <v>46209</v>
      </c>
      <c r="E7172" s="489" t="s">
        <v>475</v>
      </c>
      <c r="F7172" s="489" t="s">
        <v>1243</v>
      </c>
      <c r="G7172" s="395">
        <f>VLOOKUP($A7172,'Tech Litons'!$A:$I,8,FALSE)</f>
        <v>9.0848256361922702E-3</v>
      </c>
      <c r="H7172" s="174">
        <f>VLOOKUP($A7172,'Tech Litons'!$A:$I,9,FALSE)</f>
        <v>125</v>
      </c>
      <c r="I7172" s="174" t="str">
        <f>VLOOKUP($A7172,'Tech Litons'!$A:$C,3,0)</f>
        <v>2.4 Gal</v>
      </c>
      <c r="J7172" s="175" t="str">
        <f t="shared" si="793"/>
        <v>59142.4 Gal</v>
      </c>
      <c r="K7172" s="176">
        <f>VLOOKUP(I7172,'Attain %'!A:B,2,0)</f>
        <v>0.85</v>
      </c>
      <c r="L7172" s="177">
        <f t="shared" si="794"/>
        <v>5304</v>
      </c>
      <c r="M7172" s="177">
        <f t="shared" si="795"/>
        <v>48.185915174363799</v>
      </c>
      <c r="N7172" s="177">
        <f t="shared" si="796"/>
        <v>42.432000000000002</v>
      </c>
      <c r="O7172" s="175" t="str">
        <f t="shared" si="797"/>
        <v>Jul</v>
      </c>
      <c r="P7172" s="265">
        <f t="shared" si="798"/>
        <v>28</v>
      </c>
    </row>
    <row r="7173" spans="1:16" ht="15" hidden="1" customHeight="1">
      <c r="A7173" s="489">
        <v>84137721</v>
      </c>
      <c r="B7173" s="489">
        <v>5914</v>
      </c>
      <c r="C7173" s="488">
        <v>6240</v>
      </c>
      <c r="D7173" s="597">
        <v>46300</v>
      </c>
      <c r="E7173" s="489" t="s">
        <v>475</v>
      </c>
      <c r="F7173" s="489" t="s">
        <v>1243</v>
      </c>
      <c r="G7173" s="395">
        <f>VLOOKUP($A7173,'Tech Litons'!$A:$I,8,FALSE)</f>
        <v>9.0848256361922702E-3</v>
      </c>
      <c r="H7173" s="174">
        <f>VLOOKUP($A7173,'Tech Litons'!$A:$I,9,FALSE)</f>
        <v>125</v>
      </c>
      <c r="I7173" s="174" t="str">
        <f>VLOOKUP($A7173,'Tech Litons'!$A:$C,3,0)</f>
        <v>2.4 Gal</v>
      </c>
      <c r="J7173" s="175" t="str">
        <f t="shared" si="793"/>
        <v>59142.4 Gal</v>
      </c>
      <c r="K7173" s="176">
        <f>VLOOKUP(I7173,'Attain %'!A:B,2,0)</f>
        <v>0.85</v>
      </c>
      <c r="L7173" s="177">
        <f t="shared" si="794"/>
        <v>5304</v>
      </c>
      <c r="M7173" s="177">
        <f t="shared" si="795"/>
        <v>48.185915174363799</v>
      </c>
      <c r="N7173" s="177">
        <f t="shared" si="796"/>
        <v>42.432000000000002</v>
      </c>
      <c r="O7173" s="175" t="str">
        <f t="shared" si="797"/>
        <v>Oct</v>
      </c>
      <c r="P7173" s="265">
        <f t="shared" si="798"/>
        <v>41</v>
      </c>
    </row>
    <row r="7174" spans="1:16" ht="15" hidden="1" customHeight="1">
      <c r="A7174" s="489">
        <v>84138346</v>
      </c>
      <c r="B7174" s="489">
        <v>5914</v>
      </c>
      <c r="C7174" s="488">
        <v>6240</v>
      </c>
      <c r="D7174" s="597">
        <v>46104</v>
      </c>
      <c r="E7174" s="489" t="s">
        <v>499</v>
      </c>
      <c r="F7174" s="489" t="s">
        <v>1243</v>
      </c>
      <c r="G7174" s="395">
        <f>VLOOKUP($A7174,'Tech Litons'!$A:$I,8,FALSE)</f>
        <v>9.0848256361922702E-3</v>
      </c>
      <c r="H7174" s="174">
        <f>VLOOKUP($A7174,'Tech Litons'!$A:$I,9,FALSE)</f>
        <v>125</v>
      </c>
      <c r="I7174" s="174" t="str">
        <f>VLOOKUP($A7174,'Tech Litons'!$A:$C,3,0)</f>
        <v>2.4 Gal</v>
      </c>
      <c r="J7174" s="175" t="str">
        <f t="shared" si="793"/>
        <v>59142.4 Gal</v>
      </c>
      <c r="K7174" s="176">
        <f>VLOOKUP(I7174,'Attain %'!A:B,2,0)</f>
        <v>0.85</v>
      </c>
      <c r="L7174" s="177">
        <f t="shared" si="794"/>
        <v>5304</v>
      </c>
      <c r="M7174" s="177">
        <f t="shared" si="795"/>
        <v>48.185915174363799</v>
      </c>
      <c r="N7174" s="177">
        <f t="shared" si="796"/>
        <v>42.432000000000002</v>
      </c>
      <c r="O7174" s="175" t="str">
        <f t="shared" si="797"/>
        <v>Mar</v>
      </c>
      <c r="P7174" s="265">
        <f t="shared" si="798"/>
        <v>13</v>
      </c>
    </row>
    <row r="7175" spans="1:16" ht="15" hidden="1" customHeight="1">
      <c r="A7175" s="489">
        <v>84138346</v>
      </c>
      <c r="B7175" s="489">
        <v>5914</v>
      </c>
      <c r="C7175" s="488">
        <v>6240</v>
      </c>
      <c r="D7175" s="597">
        <v>46237</v>
      </c>
      <c r="E7175" s="489" t="s">
        <v>499</v>
      </c>
      <c r="F7175" s="489" t="s">
        <v>1243</v>
      </c>
      <c r="G7175" s="395">
        <f>VLOOKUP($A7175,'Tech Litons'!$A:$I,8,FALSE)</f>
        <v>9.0848256361922702E-3</v>
      </c>
      <c r="H7175" s="174">
        <f>VLOOKUP($A7175,'Tech Litons'!$A:$I,9,FALSE)</f>
        <v>125</v>
      </c>
      <c r="I7175" s="174" t="str">
        <f>VLOOKUP($A7175,'Tech Litons'!$A:$C,3,0)</f>
        <v>2.4 Gal</v>
      </c>
      <c r="J7175" s="175" t="str">
        <f t="shared" si="793"/>
        <v>59142.4 Gal</v>
      </c>
      <c r="K7175" s="176">
        <f>VLOOKUP(I7175,'Attain %'!A:B,2,0)</f>
        <v>0.85</v>
      </c>
      <c r="L7175" s="177">
        <f t="shared" si="794"/>
        <v>5304</v>
      </c>
      <c r="M7175" s="177">
        <f t="shared" si="795"/>
        <v>48.185915174363799</v>
      </c>
      <c r="N7175" s="177">
        <f t="shared" si="796"/>
        <v>42.432000000000002</v>
      </c>
      <c r="O7175" s="175" t="str">
        <f t="shared" si="797"/>
        <v>Aug</v>
      </c>
      <c r="P7175" s="265">
        <f t="shared" si="798"/>
        <v>32</v>
      </c>
    </row>
    <row r="7176" spans="1:16" ht="15" hidden="1" customHeight="1">
      <c r="A7176" s="489">
        <v>84138347</v>
      </c>
      <c r="B7176" s="489">
        <v>5914</v>
      </c>
      <c r="C7176" s="488">
        <v>6240</v>
      </c>
      <c r="D7176" s="597">
        <v>46160</v>
      </c>
      <c r="E7176" s="489" t="s">
        <v>476</v>
      </c>
      <c r="F7176" s="489" t="s">
        <v>1243</v>
      </c>
      <c r="G7176" s="395">
        <f>VLOOKUP($A7176,'Tech Litons'!$A:$I,8,FALSE)</f>
        <v>9.0848256361922702E-3</v>
      </c>
      <c r="H7176" s="174">
        <f>VLOOKUP($A7176,'Tech Litons'!$A:$I,9,FALSE)</f>
        <v>125</v>
      </c>
      <c r="I7176" s="174" t="str">
        <f>VLOOKUP($A7176,'Tech Litons'!$A:$C,3,0)</f>
        <v>2.4 Gal</v>
      </c>
      <c r="J7176" s="175" t="str">
        <f t="shared" si="793"/>
        <v>59142.4 Gal</v>
      </c>
      <c r="K7176" s="176">
        <f>VLOOKUP(I7176,'Attain %'!A:B,2,0)</f>
        <v>0.85</v>
      </c>
      <c r="L7176" s="177">
        <f t="shared" si="794"/>
        <v>5304</v>
      </c>
      <c r="M7176" s="177">
        <f t="shared" si="795"/>
        <v>48.185915174363799</v>
      </c>
      <c r="N7176" s="177">
        <f t="shared" si="796"/>
        <v>42.432000000000002</v>
      </c>
      <c r="O7176" s="175" t="str">
        <f t="shared" si="797"/>
        <v>May</v>
      </c>
      <c r="P7176" s="265">
        <f t="shared" si="798"/>
        <v>21</v>
      </c>
    </row>
    <row r="7177" spans="1:16" ht="15" hidden="1" customHeight="1">
      <c r="A7177" s="489">
        <v>84138347</v>
      </c>
      <c r="B7177" s="489">
        <v>5914</v>
      </c>
      <c r="C7177" s="488">
        <v>6240</v>
      </c>
      <c r="D7177" s="597">
        <v>46188</v>
      </c>
      <c r="E7177" s="489" t="s">
        <v>476</v>
      </c>
      <c r="F7177" s="489" t="s">
        <v>1243</v>
      </c>
      <c r="G7177" s="395">
        <f>VLOOKUP($A7177,'Tech Litons'!$A:$I,8,FALSE)</f>
        <v>9.0848256361922702E-3</v>
      </c>
      <c r="H7177" s="174">
        <f>VLOOKUP($A7177,'Tech Litons'!$A:$I,9,FALSE)</f>
        <v>125</v>
      </c>
      <c r="I7177" s="174" t="str">
        <f>VLOOKUP($A7177,'Tech Litons'!$A:$C,3,0)</f>
        <v>2.4 Gal</v>
      </c>
      <c r="J7177" s="175" t="str">
        <f t="shared" si="793"/>
        <v>59142.4 Gal</v>
      </c>
      <c r="K7177" s="176">
        <f>VLOOKUP(I7177,'Attain %'!A:B,2,0)</f>
        <v>0.85</v>
      </c>
      <c r="L7177" s="177">
        <f t="shared" si="794"/>
        <v>5304</v>
      </c>
      <c r="M7177" s="177">
        <f t="shared" si="795"/>
        <v>48.185915174363799</v>
      </c>
      <c r="N7177" s="177">
        <f t="shared" si="796"/>
        <v>42.432000000000002</v>
      </c>
      <c r="O7177" s="175" t="str">
        <f t="shared" si="797"/>
        <v>Jun</v>
      </c>
      <c r="P7177" s="265">
        <f t="shared" si="798"/>
        <v>25</v>
      </c>
    </row>
    <row r="7178" spans="1:16" ht="15" hidden="1" customHeight="1">
      <c r="A7178" s="489">
        <v>84138347</v>
      </c>
      <c r="B7178" s="489">
        <v>5914</v>
      </c>
      <c r="C7178" s="488">
        <v>6240</v>
      </c>
      <c r="D7178" s="597">
        <v>46356</v>
      </c>
      <c r="E7178" s="489" t="s">
        <v>476</v>
      </c>
      <c r="F7178" s="489" t="s">
        <v>1243</v>
      </c>
      <c r="G7178" s="395">
        <f>VLOOKUP($A7178,'Tech Litons'!$A:$I,8,FALSE)</f>
        <v>9.0848256361922702E-3</v>
      </c>
      <c r="H7178" s="174">
        <f>VLOOKUP($A7178,'Tech Litons'!$A:$I,9,FALSE)</f>
        <v>125</v>
      </c>
      <c r="I7178" s="174" t="str">
        <f>VLOOKUP($A7178,'Tech Litons'!$A:$C,3,0)</f>
        <v>2.4 Gal</v>
      </c>
      <c r="J7178" s="175" t="str">
        <f t="shared" si="793"/>
        <v>59142.4 Gal</v>
      </c>
      <c r="K7178" s="176">
        <f>VLOOKUP(I7178,'Attain %'!A:B,2,0)</f>
        <v>0.85</v>
      </c>
      <c r="L7178" s="177">
        <f t="shared" si="794"/>
        <v>5304</v>
      </c>
      <c r="M7178" s="177">
        <f t="shared" si="795"/>
        <v>48.185915174363799</v>
      </c>
      <c r="N7178" s="177">
        <f t="shared" si="796"/>
        <v>42.432000000000002</v>
      </c>
      <c r="O7178" s="175" t="str">
        <f t="shared" si="797"/>
        <v>Nov</v>
      </c>
      <c r="P7178" s="265">
        <f t="shared" si="798"/>
        <v>49</v>
      </c>
    </row>
    <row r="7179" spans="1:16" ht="15" hidden="1" customHeight="1">
      <c r="A7179" s="489">
        <v>84139000</v>
      </c>
      <c r="B7179" s="489">
        <v>5914</v>
      </c>
      <c r="C7179" s="488">
        <v>6240</v>
      </c>
      <c r="D7179" s="597">
        <v>46153</v>
      </c>
      <c r="E7179" s="489" t="s">
        <v>373</v>
      </c>
      <c r="F7179" s="489" t="s">
        <v>1243</v>
      </c>
      <c r="G7179" s="395">
        <f>VLOOKUP($A7179,'Tech Litons'!$A:$I,8,FALSE)</f>
        <v>9.0848256361922702E-3</v>
      </c>
      <c r="H7179" s="174">
        <f>VLOOKUP($A7179,'Tech Litons'!$A:$I,9,FALSE)</f>
        <v>125</v>
      </c>
      <c r="I7179" s="174" t="str">
        <f>VLOOKUP($A7179,'Tech Litons'!$A:$C,3,0)</f>
        <v>2.4 Gal</v>
      </c>
      <c r="J7179" s="175" t="str">
        <f t="shared" si="793"/>
        <v>59142.4 Gal</v>
      </c>
      <c r="K7179" s="176">
        <f>VLOOKUP(I7179,'Attain %'!A:B,2,0)</f>
        <v>0.85</v>
      </c>
      <c r="L7179" s="177">
        <f t="shared" si="794"/>
        <v>5304</v>
      </c>
      <c r="M7179" s="177">
        <f t="shared" si="795"/>
        <v>48.185915174363799</v>
      </c>
      <c r="N7179" s="177">
        <f t="shared" si="796"/>
        <v>42.432000000000002</v>
      </c>
      <c r="O7179" s="175" t="str">
        <f t="shared" si="797"/>
        <v>May</v>
      </c>
      <c r="P7179" s="265">
        <f t="shared" si="798"/>
        <v>20</v>
      </c>
    </row>
    <row r="7180" spans="1:16" ht="15" hidden="1" customHeight="1">
      <c r="A7180" s="489">
        <v>84139000</v>
      </c>
      <c r="B7180" s="489">
        <v>5914</v>
      </c>
      <c r="C7180" s="488">
        <v>6240</v>
      </c>
      <c r="D7180" s="597">
        <v>46237</v>
      </c>
      <c r="E7180" s="489" t="s">
        <v>373</v>
      </c>
      <c r="F7180" s="489" t="s">
        <v>1243</v>
      </c>
      <c r="G7180" s="395">
        <f>VLOOKUP($A7180,'Tech Litons'!$A:$I,8,FALSE)</f>
        <v>9.0848256361922702E-3</v>
      </c>
      <c r="H7180" s="174">
        <f>VLOOKUP($A7180,'Tech Litons'!$A:$I,9,FALSE)</f>
        <v>125</v>
      </c>
      <c r="I7180" s="174" t="str">
        <f>VLOOKUP($A7180,'Tech Litons'!$A:$C,3,0)</f>
        <v>2.4 Gal</v>
      </c>
      <c r="J7180" s="175" t="str">
        <f t="shared" si="793"/>
        <v>59142.4 Gal</v>
      </c>
      <c r="K7180" s="176">
        <f>VLOOKUP(I7180,'Attain %'!A:B,2,0)</f>
        <v>0.85</v>
      </c>
      <c r="L7180" s="177">
        <f t="shared" si="794"/>
        <v>5304</v>
      </c>
      <c r="M7180" s="177">
        <f t="shared" si="795"/>
        <v>48.185915174363799</v>
      </c>
      <c r="N7180" s="177">
        <f t="shared" si="796"/>
        <v>42.432000000000002</v>
      </c>
      <c r="O7180" s="175" t="str">
        <f t="shared" si="797"/>
        <v>Aug</v>
      </c>
      <c r="P7180" s="265">
        <f t="shared" si="798"/>
        <v>32</v>
      </c>
    </row>
    <row r="7181" spans="1:16" ht="15" hidden="1" customHeight="1">
      <c r="A7181" s="489">
        <v>84139000</v>
      </c>
      <c r="B7181" s="489">
        <v>5914</v>
      </c>
      <c r="C7181" s="488">
        <v>6240</v>
      </c>
      <c r="D7181" s="597">
        <v>46356</v>
      </c>
      <c r="E7181" s="489" t="s">
        <v>373</v>
      </c>
      <c r="F7181" s="489" t="s">
        <v>1243</v>
      </c>
      <c r="G7181" s="395">
        <f>VLOOKUP($A7181,'Tech Litons'!$A:$I,8,FALSE)</f>
        <v>9.0848256361922702E-3</v>
      </c>
      <c r="H7181" s="174">
        <f>VLOOKUP($A7181,'Tech Litons'!$A:$I,9,FALSE)</f>
        <v>125</v>
      </c>
      <c r="I7181" s="174" t="str">
        <f>VLOOKUP($A7181,'Tech Litons'!$A:$C,3,0)</f>
        <v>2.4 Gal</v>
      </c>
      <c r="J7181" s="175" t="str">
        <f t="shared" si="793"/>
        <v>59142.4 Gal</v>
      </c>
      <c r="K7181" s="176">
        <f>VLOOKUP(I7181,'Attain %'!A:B,2,0)</f>
        <v>0.85</v>
      </c>
      <c r="L7181" s="177">
        <f t="shared" si="794"/>
        <v>5304</v>
      </c>
      <c r="M7181" s="177">
        <f t="shared" si="795"/>
        <v>48.185915174363799</v>
      </c>
      <c r="N7181" s="177">
        <f t="shared" si="796"/>
        <v>42.432000000000002</v>
      </c>
      <c r="O7181" s="175" t="str">
        <f t="shared" si="797"/>
        <v>Nov</v>
      </c>
      <c r="P7181" s="265">
        <f t="shared" si="798"/>
        <v>49</v>
      </c>
    </row>
    <row r="7182" spans="1:16" ht="15" hidden="1" customHeight="1">
      <c r="A7182" s="489">
        <v>84139971</v>
      </c>
      <c r="B7182" s="489">
        <v>5914</v>
      </c>
      <c r="C7182" s="488">
        <v>6240</v>
      </c>
      <c r="D7182" s="597">
        <v>46118</v>
      </c>
      <c r="E7182" s="489" t="s">
        <v>391</v>
      </c>
      <c r="F7182" s="489" t="s">
        <v>1243</v>
      </c>
      <c r="G7182" s="395">
        <f>VLOOKUP($A7182,'Tech Litons'!$A:$I,8,FALSE)</f>
        <v>9.0848256361922702E-3</v>
      </c>
      <c r="H7182" s="174">
        <f>VLOOKUP($A7182,'Tech Litons'!$A:$I,9,FALSE)</f>
        <v>125</v>
      </c>
      <c r="I7182" s="174" t="str">
        <f>VLOOKUP($A7182,'Tech Litons'!$A:$C,3,0)</f>
        <v>2.4 Gal</v>
      </c>
      <c r="J7182" s="175" t="str">
        <f t="shared" si="793"/>
        <v>59142.4 Gal</v>
      </c>
      <c r="K7182" s="176">
        <f>VLOOKUP(I7182,'Attain %'!A:B,2,0)</f>
        <v>0.85</v>
      </c>
      <c r="L7182" s="177">
        <f t="shared" si="794"/>
        <v>5304</v>
      </c>
      <c r="M7182" s="177">
        <f t="shared" si="795"/>
        <v>48.185915174363799</v>
      </c>
      <c r="N7182" s="177">
        <f t="shared" si="796"/>
        <v>42.432000000000002</v>
      </c>
      <c r="O7182" s="175" t="str">
        <f t="shared" si="797"/>
        <v>Apr</v>
      </c>
      <c r="P7182" s="265">
        <f t="shared" si="798"/>
        <v>15</v>
      </c>
    </row>
    <row r="7183" spans="1:16" ht="15" hidden="1" customHeight="1">
      <c r="A7183" s="489">
        <v>84139971</v>
      </c>
      <c r="B7183" s="489">
        <v>5914</v>
      </c>
      <c r="C7183" s="488">
        <v>6240</v>
      </c>
      <c r="D7183" s="597">
        <v>46153</v>
      </c>
      <c r="E7183" s="489" t="s">
        <v>391</v>
      </c>
      <c r="F7183" s="489" t="s">
        <v>1243</v>
      </c>
      <c r="G7183" s="395">
        <f>VLOOKUP($A7183,'Tech Litons'!$A:$I,8,FALSE)</f>
        <v>9.0848256361922702E-3</v>
      </c>
      <c r="H7183" s="174">
        <f>VLOOKUP($A7183,'Tech Litons'!$A:$I,9,FALSE)</f>
        <v>125</v>
      </c>
      <c r="I7183" s="174" t="str">
        <f>VLOOKUP($A7183,'Tech Litons'!$A:$C,3,0)</f>
        <v>2.4 Gal</v>
      </c>
      <c r="J7183" s="175" t="str">
        <f t="shared" si="793"/>
        <v>59142.4 Gal</v>
      </c>
      <c r="K7183" s="176">
        <f>VLOOKUP(I7183,'Attain %'!A:B,2,0)</f>
        <v>0.85</v>
      </c>
      <c r="L7183" s="177">
        <f t="shared" si="794"/>
        <v>5304</v>
      </c>
      <c r="M7183" s="177">
        <f t="shared" si="795"/>
        <v>48.185915174363799</v>
      </c>
      <c r="N7183" s="177">
        <f t="shared" si="796"/>
        <v>42.432000000000002</v>
      </c>
      <c r="O7183" s="175" t="str">
        <f t="shared" si="797"/>
        <v>May</v>
      </c>
      <c r="P7183" s="265">
        <f t="shared" si="798"/>
        <v>20</v>
      </c>
    </row>
    <row r="7184" spans="1:16" ht="15" hidden="1" customHeight="1">
      <c r="A7184" s="489">
        <v>84139971</v>
      </c>
      <c r="B7184" s="489">
        <v>5914</v>
      </c>
      <c r="C7184" s="488">
        <v>6240</v>
      </c>
      <c r="D7184" s="597">
        <v>46300</v>
      </c>
      <c r="E7184" s="489" t="s">
        <v>391</v>
      </c>
      <c r="F7184" s="489" t="s">
        <v>1243</v>
      </c>
      <c r="G7184" s="395">
        <f>VLOOKUP($A7184,'Tech Litons'!$A:$I,8,FALSE)</f>
        <v>9.0848256361922702E-3</v>
      </c>
      <c r="H7184" s="174">
        <f>VLOOKUP($A7184,'Tech Litons'!$A:$I,9,FALSE)</f>
        <v>125</v>
      </c>
      <c r="I7184" s="174" t="str">
        <f>VLOOKUP($A7184,'Tech Litons'!$A:$C,3,0)</f>
        <v>2.4 Gal</v>
      </c>
      <c r="J7184" s="175" t="str">
        <f t="shared" si="793"/>
        <v>59142.4 Gal</v>
      </c>
      <c r="K7184" s="176">
        <f>VLOOKUP(I7184,'Attain %'!A:B,2,0)</f>
        <v>0.85</v>
      </c>
      <c r="L7184" s="177">
        <f t="shared" si="794"/>
        <v>5304</v>
      </c>
      <c r="M7184" s="177">
        <f t="shared" si="795"/>
        <v>48.185915174363799</v>
      </c>
      <c r="N7184" s="177">
        <f t="shared" si="796"/>
        <v>42.432000000000002</v>
      </c>
      <c r="O7184" s="175" t="str">
        <f t="shared" si="797"/>
        <v>Oct</v>
      </c>
      <c r="P7184" s="265">
        <f t="shared" si="798"/>
        <v>41</v>
      </c>
    </row>
    <row r="7185" spans="1:16" ht="15" hidden="1" customHeight="1">
      <c r="A7185" s="489">
        <v>84139972</v>
      </c>
      <c r="B7185" s="489">
        <v>5914</v>
      </c>
      <c r="C7185" s="488">
        <v>6240</v>
      </c>
      <c r="D7185" s="597">
        <v>46139</v>
      </c>
      <c r="E7185" s="489" t="s">
        <v>540</v>
      </c>
      <c r="F7185" s="489" t="s">
        <v>1243</v>
      </c>
      <c r="G7185" s="395">
        <f>VLOOKUP($A7185,'Tech Litons'!$A:$I,8,FALSE)</f>
        <v>9.0848256361922702E-3</v>
      </c>
      <c r="H7185" s="174">
        <f>VLOOKUP($A7185,'Tech Litons'!$A:$I,9,FALSE)</f>
        <v>125</v>
      </c>
      <c r="I7185" s="174" t="str">
        <f>VLOOKUP($A7185,'Tech Litons'!$A:$C,3,0)</f>
        <v>2.4 Gal</v>
      </c>
      <c r="J7185" s="175" t="str">
        <f t="shared" si="793"/>
        <v>59142.4 Gal</v>
      </c>
      <c r="K7185" s="176">
        <f>VLOOKUP(I7185,'Attain %'!A:B,2,0)</f>
        <v>0.85</v>
      </c>
      <c r="L7185" s="177">
        <f t="shared" si="794"/>
        <v>5304</v>
      </c>
      <c r="M7185" s="177">
        <f t="shared" si="795"/>
        <v>48.185915174363799</v>
      </c>
      <c r="N7185" s="177">
        <f t="shared" si="796"/>
        <v>42.432000000000002</v>
      </c>
      <c r="O7185" s="175" t="str">
        <f t="shared" si="797"/>
        <v>Apr</v>
      </c>
      <c r="P7185" s="265">
        <f t="shared" si="798"/>
        <v>18</v>
      </c>
    </row>
    <row r="7186" spans="1:16" ht="15" hidden="1" customHeight="1">
      <c r="A7186" s="489">
        <v>84139972</v>
      </c>
      <c r="B7186" s="489">
        <v>5914</v>
      </c>
      <c r="C7186" s="488">
        <v>6240</v>
      </c>
      <c r="D7186" s="597">
        <v>46293</v>
      </c>
      <c r="E7186" s="489" t="s">
        <v>540</v>
      </c>
      <c r="F7186" s="489" t="s">
        <v>1243</v>
      </c>
      <c r="G7186" s="395">
        <f>VLOOKUP($A7186,'Tech Litons'!$A:$I,8,FALSE)</f>
        <v>9.0848256361922702E-3</v>
      </c>
      <c r="H7186" s="174">
        <f>VLOOKUP($A7186,'Tech Litons'!$A:$I,9,FALSE)</f>
        <v>125</v>
      </c>
      <c r="I7186" s="174" t="str">
        <f>VLOOKUP($A7186,'Tech Litons'!$A:$C,3,0)</f>
        <v>2.4 Gal</v>
      </c>
      <c r="J7186" s="175" t="str">
        <f t="shared" si="793"/>
        <v>59142.4 Gal</v>
      </c>
      <c r="K7186" s="176">
        <f>VLOOKUP(I7186,'Attain %'!A:B,2,0)</f>
        <v>0.85</v>
      </c>
      <c r="L7186" s="177">
        <f t="shared" si="794"/>
        <v>5304</v>
      </c>
      <c r="M7186" s="177">
        <f t="shared" si="795"/>
        <v>48.185915174363799</v>
      </c>
      <c r="N7186" s="177">
        <f t="shared" si="796"/>
        <v>42.432000000000002</v>
      </c>
      <c r="O7186" s="175" t="str">
        <f t="shared" si="797"/>
        <v>Sep</v>
      </c>
      <c r="P7186" s="265">
        <f t="shared" si="798"/>
        <v>40</v>
      </c>
    </row>
    <row r="7187" spans="1:16" ht="15" hidden="1" customHeight="1">
      <c r="A7187" s="489">
        <v>84141037</v>
      </c>
      <c r="B7187" s="489">
        <v>5914</v>
      </c>
      <c r="C7187" s="488">
        <v>6240</v>
      </c>
      <c r="D7187" s="597">
        <v>46160</v>
      </c>
      <c r="E7187" s="489" t="s">
        <v>377</v>
      </c>
      <c r="F7187" s="489" t="s">
        <v>1243</v>
      </c>
      <c r="G7187" s="395">
        <f>VLOOKUP($A7187,'Tech Litons'!$A:$I,8,FALSE)</f>
        <v>9.0848256361922702E-3</v>
      </c>
      <c r="H7187" s="174">
        <f>VLOOKUP($A7187,'Tech Litons'!$A:$I,9,FALSE)</f>
        <v>125</v>
      </c>
      <c r="I7187" s="174" t="str">
        <f>VLOOKUP($A7187,'Tech Litons'!$A:$C,3,0)</f>
        <v>2.4 Gal</v>
      </c>
      <c r="J7187" s="175" t="str">
        <f t="shared" si="793"/>
        <v>59142.4 Gal</v>
      </c>
      <c r="K7187" s="176">
        <f>VLOOKUP(I7187,'Attain %'!A:B,2,0)</f>
        <v>0.85</v>
      </c>
      <c r="L7187" s="177">
        <f t="shared" si="794"/>
        <v>5304</v>
      </c>
      <c r="M7187" s="177">
        <f t="shared" si="795"/>
        <v>48.185915174363799</v>
      </c>
      <c r="N7187" s="177">
        <f t="shared" si="796"/>
        <v>42.432000000000002</v>
      </c>
      <c r="O7187" s="175" t="str">
        <f t="shared" si="797"/>
        <v>May</v>
      </c>
      <c r="P7187" s="265">
        <f t="shared" si="798"/>
        <v>21</v>
      </c>
    </row>
    <row r="7188" spans="1:16" ht="15" hidden="1" customHeight="1">
      <c r="A7188" s="489">
        <v>84141037</v>
      </c>
      <c r="B7188" s="489">
        <v>5914</v>
      </c>
      <c r="C7188" s="488">
        <v>6240</v>
      </c>
      <c r="D7188" s="597">
        <v>46216</v>
      </c>
      <c r="E7188" s="489" t="s">
        <v>377</v>
      </c>
      <c r="F7188" s="489" t="s">
        <v>1243</v>
      </c>
      <c r="G7188" s="395">
        <f>VLOOKUP($A7188,'Tech Litons'!$A:$I,8,FALSE)</f>
        <v>9.0848256361922702E-3</v>
      </c>
      <c r="H7188" s="174">
        <f>VLOOKUP($A7188,'Tech Litons'!$A:$I,9,FALSE)</f>
        <v>125</v>
      </c>
      <c r="I7188" s="174" t="str">
        <f>VLOOKUP($A7188,'Tech Litons'!$A:$C,3,0)</f>
        <v>2.4 Gal</v>
      </c>
      <c r="J7188" s="175" t="str">
        <f t="shared" si="793"/>
        <v>59142.4 Gal</v>
      </c>
      <c r="K7188" s="176">
        <f>VLOOKUP(I7188,'Attain %'!A:B,2,0)</f>
        <v>0.85</v>
      </c>
      <c r="L7188" s="177">
        <f t="shared" si="794"/>
        <v>5304</v>
      </c>
      <c r="M7188" s="177">
        <f t="shared" si="795"/>
        <v>48.185915174363799</v>
      </c>
      <c r="N7188" s="177">
        <f t="shared" si="796"/>
        <v>42.432000000000002</v>
      </c>
      <c r="O7188" s="175" t="str">
        <f t="shared" si="797"/>
        <v>Jul</v>
      </c>
      <c r="P7188" s="265">
        <f t="shared" si="798"/>
        <v>29</v>
      </c>
    </row>
    <row r="7189" spans="1:16" ht="15" hidden="1" customHeight="1">
      <c r="A7189" s="489">
        <v>84141037</v>
      </c>
      <c r="B7189" s="489">
        <v>5914</v>
      </c>
      <c r="C7189" s="488">
        <v>6240</v>
      </c>
      <c r="D7189" s="597">
        <v>46265</v>
      </c>
      <c r="E7189" s="489" t="s">
        <v>377</v>
      </c>
      <c r="F7189" s="489" t="s">
        <v>1243</v>
      </c>
      <c r="G7189" s="395">
        <f>VLOOKUP($A7189,'Tech Litons'!$A:$I,8,FALSE)</f>
        <v>9.0848256361922702E-3</v>
      </c>
      <c r="H7189" s="174">
        <f>VLOOKUP($A7189,'Tech Litons'!$A:$I,9,FALSE)</f>
        <v>125</v>
      </c>
      <c r="I7189" s="174" t="str">
        <f>VLOOKUP($A7189,'Tech Litons'!$A:$C,3,0)</f>
        <v>2.4 Gal</v>
      </c>
      <c r="J7189" s="175" t="str">
        <f t="shared" si="793"/>
        <v>59142.4 Gal</v>
      </c>
      <c r="K7189" s="176">
        <f>VLOOKUP(I7189,'Attain %'!A:B,2,0)</f>
        <v>0.85</v>
      </c>
      <c r="L7189" s="177">
        <f t="shared" si="794"/>
        <v>5304</v>
      </c>
      <c r="M7189" s="177">
        <f t="shared" si="795"/>
        <v>48.185915174363799</v>
      </c>
      <c r="N7189" s="177">
        <f t="shared" si="796"/>
        <v>42.432000000000002</v>
      </c>
      <c r="O7189" s="175" t="str">
        <f t="shared" si="797"/>
        <v>Aug</v>
      </c>
      <c r="P7189" s="265">
        <f t="shared" si="798"/>
        <v>36</v>
      </c>
    </row>
    <row r="7190" spans="1:16" ht="15" hidden="1" customHeight="1">
      <c r="A7190" s="489">
        <v>84141418</v>
      </c>
      <c r="B7190" s="489">
        <v>5914</v>
      </c>
      <c r="C7190" s="488">
        <v>6240</v>
      </c>
      <c r="D7190" s="597">
        <v>46188</v>
      </c>
      <c r="E7190" s="489" t="s">
        <v>369</v>
      </c>
      <c r="F7190" s="489" t="s">
        <v>1243</v>
      </c>
      <c r="G7190" s="395">
        <f>VLOOKUP($A7190,'Tech Litons'!$A:$I,8,FALSE)</f>
        <v>9.0848256361922702E-3</v>
      </c>
      <c r="H7190" s="174">
        <f>VLOOKUP($A7190,'Tech Litons'!$A:$I,9,FALSE)</f>
        <v>125</v>
      </c>
      <c r="I7190" s="174" t="str">
        <f>VLOOKUP($A7190,'Tech Litons'!$A:$C,3,0)</f>
        <v>2.4 Gal</v>
      </c>
      <c r="J7190" s="175" t="str">
        <f t="shared" si="793"/>
        <v>59142.4 Gal</v>
      </c>
      <c r="K7190" s="176">
        <f>VLOOKUP(I7190,'Attain %'!A:B,2,0)</f>
        <v>0.85</v>
      </c>
      <c r="L7190" s="177">
        <f t="shared" si="794"/>
        <v>5304</v>
      </c>
      <c r="M7190" s="177">
        <f t="shared" si="795"/>
        <v>48.185915174363799</v>
      </c>
      <c r="N7190" s="177">
        <f t="shared" si="796"/>
        <v>42.432000000000002</v>
      </c>
      <c r="O7190" s="175" t="str">
        <f t="shared" si="797"/>
        <v>Jun</v>
      </c>
      <c r="P7190" s="265">
        <f t="shared" si="798"/>
        <v>25</v>
      </c>
    </row>
    <row r="7191" spans="1:16" ht="15" hidden="1" customHeight="1">
      <c r="A7191" s="489">
        <v>84141418</v>
      </c>
      <c r="B7191" s="489">
        <v>5914</v>
      </c>
      <c r="C7191" s="488">
        <v>6240</v>
      </c>
      <c r="D7191" s="597">
        <v>46356</v>
      </c>
      <c r="E7191" s="489" t="s">
        <v>369</v>
      </c>
      <c r="F7191" s="489" t="s">
        <v>1243</v>
      </c>
      <c r="G7191" s="395">
        <f>VLOOKUP($A7191,'Tech Litons'!$A:$I,8,FALSE)</f>
        <v>9.0848256361922702E-3</v>
      </c>
      <c r="H7191" s="174">
        <f>VLOOKUP($A7191,'Tech Litons'!$A:$I,9,FALSE)</f>
        <v>125</v>
      </c>
      <c r="I7191" s="174" t="str">
        <f>VLOOKUP($A7191,'Tech Litons'!$A:$C,3,0)</f>
        <v>2.4 Gal</v>
      </c>
      <c r="J7191" s="175" t="str">
        <f t="shared" si="793"/>
        <v>59142.4 Gal</v>
      </c>
      <c r="K7191" s="176">
        <f>VLOOKUP(I7191,'Attain %'!A:B,2,0)</f>
        <v>0.85</v>
      </c>
      <c r="L7191" s="177">
        <f t="shared" si="794"/>
        <v>5304</v>
      </c>
      <c r="M7191" s="177">
        <f t="shared" si="795"/>
        <v>48.185915174363799</v>
      </c>
      <c r="N7191" s="177">
        <f t="shared" si="796"/>
        <v>42.432000000000002</v>
      </c>
      <c r="O7191" s="175" t="str">
        <f t="shared" si="797"/>
        <v>Nov</v>
      </c>
      <c r="P7191" s="265">
        <f t="shared" si="798"/>
        <v>49</v>
      </c>
    </row>
    <row r="7192" spans="1:16" ht="15" hidden="1" customHeight="1">
      <c r="A7192" s="489">
        <v>84164939</v>
      </c>
      <c r="B7192" s="489">
        <v>5914</v>
      </c>
      <c r="C7192" s="488">
        <v>6240</v>
      </c>
      <c r="D7192" s="597">
        <v>46118</v>
      </c>
      <c r="E7192" s="489" t="s">
        <v>399</v>
      </c>
      <c r="F7192" s="489" t="s">
        <v>1243</v>
      </c>
      <c r="G7192" s="395">
        <f>VLOOKUP($A7192,'Tech Litons'!$A:$I,8,FALSE)</f>
        <v>9.0848256361922702E-3</v>
      </c>
      <c r="H7192" s="174">
        <f>VLOOKUP($A7192,'Tech Litons'!$A:$I,9,FALSE)</f>
        <v>125</v>
      </c>
      <c r="I7192" s="174" t="str">
        <f>VLOOKUP($A7192,'Tech Litons'!$A:$C,3,0)</f>
        <v>2.4 Gal</v>
      </c>
      <c r="J7192" s="175" t="str">
        <f t="shared" si="793"/>
        <v>59142.4 Gal</v>
      </c>
      <c r="K7192" s="176">
        <f>VLOOKUP(I7192,'Attain %'!A:B,2,0)</f>
        <v>0.85</v>
      </c>
      <c r="L7192" s="177">
        <f t="shared" si="794"/>
        <v>5304</v>
      </c>
      <c r="M7192" s="177">
        <f t="shared" si="795"/>
        <v>48.185915174363799</v>
      </c>
      <c r="N7192" s="177">
        <f t="shared" si="796"/>
        <v>42.432000000000002</v>
      </c>
      <c r="O7192" s="175" t="str">
        <f t="shared" si="797"/>
        <v>Apr</v>
      </c>
      <c r="P7192" s="265">
        <f t="shared" si="798"/>
        <v>15</v>
      </c>
    </row>
    <row r="7193" spans="1:16" ht="15" hidden="1" customHeight="1">
      <c r="A7193" s="489">
        <v>84164939</v>
      </c>
      <c r="B7193" s="489">
        <v>5914</v>
      </c>
      <c r="C7193" s="488">
        <v>6240</v>
      </c>
      <c r="D7193" s="597">
        <v>46209</v>
      </c>
      <c r="E7193" s="489" t="s">
        <v>399</v>
      </c>
      <c r="F7193" s="489" t="s">
        <v>1243</v>
      </c>
      <c r="G7193" s="395">
        <f>VLOOKUP($A7193,'Tech Litons'!$A:$I,8,FALSE)</f>
        <v>9.0848256361922702E-3</v>
      </c>
      <c r="H7193" s="174">
        <f>VLOOKUP($A7193,'Tech Litons'!$A:$I,9,FALSE)</f>
        <v>125</v>
      </c>
      <c r="I7193" s="174" t="str">
        <f>VLOOKUP($A7193,'Tech Litons'!$A:$C,3,0)</f>
        <v>2.4 Gal</v>
      </c>
      <c r="J7193" s="175" t="str">
        <f t="shared" si="793"/>
        <v>59142.4 Gal</v>
      </c>
      <c r="K7193" s="176">
        <f>VLOOKUP(I7193,'Attain %'!A:B,2,0)</f>
        <v>0.85</v>
      </c>
      <c r="L7193" s="177">
        <f t="shared" si="794"/>
        <v>5304</v>
      </c>
      <c r="M7193" s="177">
        <f t="shared" si="795"/>
        <v>48.185915174363799</v>
      </c>
      <c r="N7193" s="177">
        <f t="shared" si="796"/>
        <v>42.432000000000002</v>
      </c>
      <c r="O7193" s="175" t="str">
        <f t="shared" si="797"/>
        <v>Jul</v>
      </c>
      <c r="P7193" s="265">
        <f t="shared" si="798"/>
        <v>28</v>
      </c>
    </row>
    <row r="7194" spans="1:16" ht="15" hidden="1" customHeight="1">
      <c r="A7194" s="489">
        <v>84164939</v>
      </c>
      <c r="B7194" s="489">
        <v>5914</v>
      </c>
      <c r="C7194" s="488">
        <v>6240</v>
      </c>
      <c r="D7194" s="597">
        <v>46265</v>
      </c>
      <c r="E7194" s="489" t="s">
        <v>399</v>
      </c>
      <c r="F7194" s="489" t="s">
        <v>1243</v>
      </c>
      <c r="G7194" s="395">
        <f>VLOOKUP($A7194,'Tech Litons'!$A:$I,8,FALSE)</f>
        <v>9.0848256361922702E-3</v>
      </c>
      <c r="H7194" s="174">
        <f>VLOOKUP($A7194,'Tech Litons'!$A:$I,9,FALSE)</f>
        <v>125</v>
      </c>
      <c r="I7194" s="174" t="str">
        <f>VLOOKUP($A7194,'Tech Litons'!$A:$C,3,0)</f>
        <v>2.4 Gal</v>
      </c>
      <c r="J7194" s="175" t="str">
        <f t="shared" si="793"/>
        <v>59142.4 Gal</v>
      </c>
      <c r="K7194" s="176">
        <f>VLOOKUP(I7194,'Attain %'!A:B,2,0)</f>
        <v>0.85</v>
      </c>
      <c r="L7194" s="177">
        <f t="shared" si="794"/>
        <v>5304</v>
      </c>
      <c r="M7194" s="177">
        <f t="shared" si="795"/>
        <v>48.185915174363799</v>
      </c>
      <c r="N7194" s="177">
        <f t="shared" si="796"/>
        <v>42.432000000000002</v>
      </c>
      <c r="O7194" s="175" t="str">
        <f t="shared" si="797"/>
        <v>Aug</v>
      </c>
      <c r="P7194" s="265">
        <f t="shared" si="798"/>
        <v>36</v>
      </c>
    </row>
    <row r="7195" spans="1:16" ht="15" hidden="1" customHeight="1">
      <c r="A7195" s="489">
        <v>65451950</v>
      </c>
      <c r="B7195" s="489">
        <v>5914</v>
      </c>
      <c r="C7195" s="488">
        <v>7280</v>
      </c>
      <c r="D7195" s="597">
        <v>46188</v>
      </c>
      <c r="E7195" s="489" t="s">
        <v>562</v>
      </c>
      <c r="F7195" s="489" t="s">
        <v>1243</v>
      </c>
      <c r="G7195" s="395">
        <f>VLOOKUP($A7195,'Tech Litons'!$A:$I,8,FALSE)</f>
        <v>9.0850000000000011E-3</v>
      </c>
      <c r="H7195" s="174">
        <f>VLOOKUP($A7195,'Tech Litons'!$A:$I,9,FALSE)</f>
        <v>125</v>
      </c>
      <c r="I7195" s="174" t="str">
        <f>VLOOKUP($A7195,'Tech Litons'!$A:$C,3,0)</f>
        <v>2.4 Gal</v>
      </c>
      <c r="J7195" s="175" t="str">
        <f t="shared" si="793"/>
        <v>59142.4 Gal</v>
      </c>
      <c r="K7195" s="176">
        <f>VLOOKUP(I7195,'Attain %'!A:B,2,0)</f>
        <v>0.85</v>
      </c>
      <c r="L7195" s="177">
        <f t="shared" si="794"/>
        <v>6188</v>
      </c>
      <c r="M7195" s="177">
        <f t="shared" si="795"/>
        <v>56.217980000000004</v>
      </c>
      <c r="N7195" s="177">
        <f t="shared" si="796"/>
        <v>49.503999999999998</v>
      </c>
      <c r="O7195" s="175" t="str">
        <f t="shared" si="797"/>
        <v>Jun</v>
      </c>
      <c r="P7195" s="265">
        <f t="shared" si="798"/>
        <v>25</v>
      </c>
    </row>
    <row r="7196" spans="1:16" ht="15" hidden="1" customHeight="1">
      <c r="A7196" s="489">
        <v>64365613</v>
      </c>
      <c r="B7196" s="489" t="s">
        <v>139</v>
      </c>
      <c r="D7196" s="597">
        <v>46111</v>
      </c>
      <c r="E7196" s="489" t="s">
        <v>617</v>
      </c>
      <c r="F7196" s="489" t="s">
        <v>1223</v>
      </c>
      <c r="G7196" s="395">
        <f>VLOOKUP($A7196,'Tech Litons'!$A:$I,8,FALSE)</f>
        <v>2.1540000000000001E-3</v>
      </c>
      <c r="H7196" s="174">
        <f>VLOOKUP($A7196,'Tech Litons'!$A:$I,9,FALSE)</f>
        <v>195</v>
      </c>
      <c r="I7196" s="174" t="str">
        <f>VLOOKUP($A7196,'Tech Litons'!$A:$C,3,0)</f>
        <v>Facepieces</v>
      </c>
      <c r="J7196" s="175" t="str">
        <f t="shared" si="793"/>
        <v>IncomFacepieces</v>
      </c>
      <c r="K7196" s="176">
        <f>VLOOKUP(I7196,'Attain %'!A:B,2,0)</f>
        <v>0.96</v>
      </c>
      <c r="L7196" s="177">
        <f t="shared" si="794"/>
        <v>0</v>
      </c>
      <c r="M7196" s="177">
        <f t="shared" si="795"/>
        <v>0</v>
      </c>
      <c r="N7196" s="177">
        <f t="shared" si="796"/>
        <v>0</v>
      </c>
      <c r="O7196" s="175" t="str">
        <f t="shared" si="797"/>
        <v>Mar</v>
      </c>
      <c r="P7196" s="265">
        <f t="shared" si="798"/>
        <v>14</v>
      </c>
    </row>
    <row r="7197" spans="1:16" ht="15" hidden="1" customHeight="1">
      <c r="A7197" s="489">
        <v>84161610</v>
      </c>
      <c r="B7197" s="489">
        <v>5914</v>
      </c>
      <c r="C7197" s="488">
        <v>23760</v>
      </c>
      <c r="D7197" s="597">
        <v>46111</v>
      </c>
      <c r="E7197" s="489" t="s">
        <v>309</v>
      </c>
      <c r="F7197" s="489" t="s">
        <v>1244</v>
      </c>
      <c r="G7197" s="395">
        <f>VLOOKUP($A7197,'Tech Litons'!$A:$I,8,FALSE)</f>
        <v>3.7853439999999999E-3</v>
      </c>
      <c r="H7197" s="174">
        <f>VLOOKUP($A7197,'Tech Litons'!$A:$I,9,FALSE)</f>
        <v>240</v>
      </c>
      <c r="I7197" s="174" t="str">
        <f>VLOOKUP($A7197,'Tech Litons'!$A:$C,3,0)</f>
        <v>BJ PTS</v>
      </c>
      <c r="J7197" s="175" t="str">
        <f t="shared" si="793"/>
        <v>5914BJ PTS</v>
      </c>
      <c r="K7197" s="176">
        <f>VLOOKUP(I7197,'Attain %'!A:B,2,0)</f>
        <v>0.95</v>
      </c>
      <c r="L7197" s="177">
        <f t="shared" si="794"/>
        <v>22572</v>
      </c>
      <c r="M7197" s="177">
        <f t="shared" si="795"/>
        <v>85.442784767999996</v>
      </c>
      <c r="N7197" s="177">
        <f t="shared" si="796"/>
        <v>94.05</v>
      </c>
      <c r="O7197" s="175" t="str">
        <f t="shared" si="797"/>
        <v>Mar</v>
      </c>
      <c r="P7197" s="265">
        <f t="shared" si="798"/>
        <v>14</v>
      </c>
    </row>
    <row r="7198" spans="1:16" ht="15" hidden="1" customHeight="1">
      <c r="A7198" s="489">
        <v>65489676</v>
      </c>
      <c r="B7198" s="489">
        <v>1717</v>
      </c>
      <c r="C7198" s="488">
        <v>8334</v>
      </c>
      <c r="D7198" s="597">
        <v>46111</v>
      </c>
      <c r="E7198" s="489" t="s">
        <v>1224</v>
      </c>
      <c r="F7198" s="489" t="s">
        <v>1221</v>
      </c>
      <c r="G7198" s="395">
        <f>VLOOKUP($A7198,'Tech Litons'!$A:$I,8,FALSE)</f>
        <v>2.8319999999999999E-3</v>
      </c>
      <c r="H7198" s="174">
        <f>VLOOKUP($A7198,'Tech Litons'!$A:$I,9,FALSE)</f>
        <v>221</v>
      </c>
      <c r="I7198" s="174" t="str">
        <f>VLOOKUP($A7198,'Tech Litons'!$A:$C,3,0)</f>
        <v>Other</v>
      </c>
      <c r="J7198" s="175" t="str">
        <f t="shared" si="793"/>
        <v>1717Other</v>
      </c>
      <c r="K7198" s="176">
        <f>VLOOKUP(I7198,'Attain %'!A:B,2,0)</f>
        <v>0.96</v>
      </c>
      <c r="L7198" s="177">
        <f t="shared" si="794"/>
        <v>8000.6399999999994</v>
      </c>
      <c r="M7198" s="177">
        <f t="shared" si="795"/>
        <v>22.657812479999997</v>
      </c>
      <c r="N7198" s="177">
        <f t="shared" si="796"/>
        <v>36.201990950226239</v>
      </c>
      <c r="O7198" s="175" t="str">
        <f t="shared" si="797"/>
        <v>Mar</v>
      </c>
      <c r="P7198" s="265">
        <f t="shared" si="798"/>
        <v>14</v>
      </c>
    </row>
    <row r="7199" spans="1:16" ht="15" hidden="1" customHeight="1">
      <c r="A7199" s="489">
        <v>69717802</v>
      </c>
      <c r="B7199" s="489">
        <v>2904</v>
      </c>
      <c r="D7199" s="597">
        <v>46111</v>
      </c>
      <c r="E7199" s="489" t="s">
        <v>388</v>
      </c>
      <c r="F7199" s="489" t="s">
        <v>1240</v>
      </c>
      <c r="G7199" s="395">
        <f>VLOOKUP($A7199,'Tech Litons'!$A:$I,8,FALSE)</f>
        <v>4.2560000000000002E-3</v>
      </c>
      <c r="H7199" s="174">
        <f>VLOOKUP($A7199,'Tech Litons'!$A:$I,9,FALSE)</f>
        <v>143</v>
      </c>
      <c r="I7199" s="174" t="str">
        <f>VLOOKUP($A7199,'Tech Litons'!$A:$C,3,0)</f>
        <v>MG Sticks</v>
      </c>
      <c r="J7199" s="175" t="str">
        <f t="shared" si="793"/>
        <v>2904MG Sticks</v>
      </c>
      <c r="K7199" s="176">
        <f>VLOOKUP(I7199,'Attain %'!A:B,2,0)</f>
        <v>0.96</v>
      </c>
      <c r="L7199" s="177">
        <f t="shared" si="794"/>
        <v>0</v>
      </c>
      <c r="M7199" s="177">
        <f t="shared" si="795"/>
        <v>0</v>
      </c>
      <c r="N7199" s="177">
        <f t="shared" si="796"/>
        <v>0</v>
      </c>
      <c r="O7199" s="175" t="str">
        <f t="shared" si="797"/>
        <v>Mar</v>
      </c>
      <c r="P7199" s="265">
        <f t="shared" si="798"/>
        <v>14</v>
      </c>
    </row>
    <row r="7200" spans="1:16" ht="15" hidden="1" customHeight="1">
      <c r="A7200" s="489">
        <v>64977529</v>
      </c>
      <c r="B7200" s="489">
        <v>1352</v>
      </c>
      <c r="C7200" s="488">
        <v>22560</v>
      </c>
      <c r="D7200" s="597">
        <v>46111</v>
      </c>
      <c r="E7200" s="489" t="s">
        <v>406</v>
      </c>
      <c r="F7200" s="489" t="s">
        <v>1208</v>
      </c>
      <c r="G7200" s="395">
        <f>VLOOKUP($A7200,'Tech Litons'!$A:$I,8,FALSE)</f>
        <v>8.513999999999999E-3</v>
      </c>
      <c r="H7200" s="174">
        <f>VLOOKUP($A7200,'Tech Litons'!$A:$I,9,FALSE)</f>
        <v>176</v>
      </c>
      <c r="I7200" s="174" t="str">
        <f>VLOOKUP($A7200,'Tech Litons'!$A:$C,3,0)</f>
        <v>48oz</v>
      </c>
      <c r="J7200" s="175" t="str">
        <f t="shared" si="793"/>
        <v>135248oz</v>
      </c>
      <c r="K7200" s="176">
        <f>VLOOKUP(I7200,'Attain %'!A:B,2,0)</f>
        <v>0.94</v>
      </c>
      <c r="L7200" s="177">
        <f t="shared" si="794"/>
        <v>21206.399999999998</v>
      </c>
      <c r="M7200" s="177">
        <f t="shared" si="795"/>
        <v>180.55128959999996</v>
      </c>
      <c r="N7200" s="177">
        <f t="shared" si="796"/>
        <v>120.49090909090908</v>
      </c>
      <c r="O7200" s="175" t="str">
        <f t="shared" si="797"/>
        <v>Mar</v>
      </c>
      <c r="P7200" s="265">
        <f t="shared" si="798"/>
        <v>14</v>
      </c>
    </row>
    <row r="7201" spans="1:16" ht="15" hidden="1" customHeight="1">
      <c r="A7201" s="489">
        <v>64413475</v>
      </c>
      <c r="B7201" s="489">
        <v>1712</v>
      </c>
      <c r="C7201" s="488">
        <v>10260</v>
      </c>
      <c r="D7201" s="597">
        <v>46111</v>
      </c>
      <c r="E7201" s="489" t="s">
        <v>566</v>
      </c>
      <c r="F7201" s="489" t="s">
        <v>1221</v>
      </c>
      <c r="G7201" s="395">
        <f>VLOOKUP($A7201,'Tech Litons'!$A:$I,8,FALSE)</f>
        <v>1.4159999999999999E-3</v>
      </c>
      <c r="H7201" s="174">
        <f>VLOOKUP($A7201,'Tech Litons'!$A:$I,9,FALSE)</f>
        <v>468</v>
      </c>
      <c r="I7201" s="174" t="str">
        <f>VLOOKUP($A7201,'Tech Litons'!$A:$C,3,0)</f>
        <v>B&amp;J Cups</v>
      </c>
      <c r="J7201" s="175" t="str">
        <f t="shared" si="793"/>
        <v>1712B&amp;J Cups</v>
      </c>
      <c r="K7201" s="176">
        <f>VLOOKUP(I7201,'Attain %'!A:B,2,0)</f>
        <v>0.96</v>
      </c>
      <c r="L7201" s="177">
        <f t="shared" si="794"/>
        <v>9849.6</v>
      </c>
      <c r="M7201" s="177">
        <f t="shared" si="795"/>
        <v>13.947033599999999</v>
      </c>
      <c r="N7201" s="177">
        <f t="shared" si="796"/>
        <v>21.046153846153846</v>
      </c>
      <c r="O7201" s="175" t="str">
        <f t="shared" si="797"/>
        <v>Mar</v>
      </c>
      <c r="P7201" s="265">
        <f t="shared" si="798"/>
        <v>14</v>
      </c>
    </row>
    <row r="7202" spans="1:16" ht="15" hidden="1" customHeight="1">
      <c r="A7202" s="489">
        <v>64413477</v>
      </c>
      <c r="B7202" s="489">
        <v>1712</v>
      </c>
      <c r="C7202" s="488">
        <v>10305</v>
      </c>
      <c r="D7202" s="597">
        <v>46111</v>
      </c>
      <c r="E7202" s="489" t="s">
        <v>568</v>
      </c>
      <c r="F7202" s="489" t="s">
        <v>1221</v>
      </c>
      <c r="G7202" s="395">
        <f>VLOOKUP($A7202,'Tech Litons'!$A:$I,8,FALSE)</f>
        <v>1.4159999999999999E-3</v>
      </c>
      <c r="H7202" s="174">
        <f>VLOOKUP($A7202,'Tech Litons'!$A:$I,9,FALSE)</f>
        <v>468</v>
      </c>
      <c r="I7202" s="174" t="str">
        <f>VLOOKUP($A7202,'Tech Litons'!$A:$C,3,0)</f>
        <v>B&amp;J Cups</v>
      </c>
      <c r="J7202" s="175" t="str">
        <f t="shared" si="793"/>
        <v>1712B&amp;J Cups</v>
      </c>
      <c r="K7202" s="176">
        <f>VLOOKUP(I7202,'Attain %'!A:B,2,0)</f>
        <v>0.96</v>
      </c>
      <c r="L7202" s="177">
        <f t="shared" si="794"/>
        <v>9892.7999999999993</v>
      </c>
      <c r="M7202" s="177">
        <f t="shared" si="795"/>
        <v>14.008204799999998</v>
      </c>
      <c r="N7202" s="177">
        <f t="shared" si="796"/>
        <v>21.138461538461538</v>
      </c>
      <c r="O7202" s="175" t="str">
        <f t="shared" si="797"/>
        <v>Mar</v>
      </c>
      <c r="P7202" s="265">
        <f t="shared" si="798"/>
        <v>14</v>
      </c>
    </row>
    <row r="7203" spans="1:16" ht="15" hidden="1" customHeight="1">
      <c r="A7203" s="489">
        <v>69568828</v>
      </c>
      <c r="B7203" s="489">
        <v>2904</v>
      </c>
      <c r="C7203" s="488">
        <v>31000</v>
      </c>
      <c r="D7203" s="597">
        <v>46111</v>
      </c>
      <c r="E7203" s="489" t="s">
        <v>320</v>
      </c>
      <c r="F7203" s="489" t="s">
        <v>1225</v>
      </c>
      <c r="G7203" s="395">
        <f>VLOOKUP($A7203,'Tech Litons'!$A:$I,8,FALSE)</f>
        <v>8.5199999999999998E-3</v>
      </c>
      <c r="H7203" s="174">
        <f>VLOOKUP($A7203,'Tech Litons'!$A:$I,9,FALSE)</f>
        <v>176</v>
      </c>
      <c r="I7203" s="174" t="str">
        <f>VLOOKUP($A7203,'Tech Litons'!$A:$C,3,0)</f>
        <v>48oz</v>
      </c>
      <c r="J7203" s="175" t="str">
        <f t="shared" si="793"/>
        <v>290448oz</v>
      </c>
      <c r="K7203" s="176">
        <f>VLOOKUP(I7203,'Attain %'!A:B,2,0)</f>
        <v>0.94</v>
      </c>
      <c r="L7203" s="177">
        <f t="shared" si="794"/>
        <v>29140</v>
      </c>
      <c r="M7203" s="177">
        <f t="shared" si="795"/>
        <v>248.27279999999999</v>
      </c>
      <c r="N7203" s="177">
        <f t="shared" si="796"/>
        <v>165.56818181818181</v>
      </c>
      <c r="O7203" s="175" t="str">
        <f t="shared" si="797"/>
        <v>Mar</v>
      </c>
      <c r="P7203" s="265">
        <f t="shared" si="798"/>
        <v>14</v>
      </c>
    </row>
    <row r="7204" spans="1:16" ht="15" hidden="1" customHeight="1">
      <c r="A7204" s="489">
        <v>84135770</v>
      </c>
      <c r="B7204" s="489">
        <v>5914</v>
      </c>
      <c r="C7204" s="488">
        <v>28080</v>
      </c>
      <c r="D7204" s="597">
        <v>46111</v>
      </c>
      <c r="E7204" s="489" t="s">
        <v>415</v>
      </c>
      <c r="F7204" s="489" t="s">
        <v>1244</v>
      </c>
      <c r="G7204" s="395">
        <f>VLOOKUP($A7204,'Tech Litons'!$A:$I,8,FALSE)</f>
        <v>3.7853439999999999E-3</v>
      </c>
      <c r="H7204" s="174">
        <f>VLOOKUP($A7204,'Tech Litons'!$A:$I,9,FALSE)</f>
        <v>240</v>
      </c>
      <c r="I7204" s="174" t="str">
        <f>VLOOKUP($A7204,'Tech Litons'!$A:$C,3,0)</f>
        <v>BJ PTS</v>
      </c>
      <c r="J7204" s="175" t="str">
        <f t="shared" si="793"/>
        <v>5914BJ PTS</v>
      </c>
      <c r="K7204" s="176">
        <f>VLOOKUP(I7204,'Attain %'!A:B,2,0)</f>
        <v>0.95</v>
      </c>
      <c r="L7204" s="177">
        <f t="shared" si="794"/>
        <v>26676</v>
      </c>
      <c r="M7204" s="177">
        <f t="shared" si="795"/>
        <v>100.977836544</v>
      </c>
      <c r="N7204" s="177">
        <f t="shared" si="796"/>
        <v>111.15</v>
      </c>
      <c r="O7204" s="175" t="str">
        <f t="shared" si="797"/>
        <v>Mar</v>
      </c>
      <c r="P7204" s="265">
        <f t="shared" si="798"/>
        <v>14</v>
      </c>
    </row>
    <row r="7205" spans="1:16" ht="15" hidden="1" customHeight="1">
      <c r="A7205" s="489">
        <v>64330596</v>
      </c>
      <c r="B7205" s="489">
        <v>2904</v>
      </c>
      <c r="D7205" s="597">
        <v>46111</v>
      </c>
      <c r="E7205" s="489" t="s">
        <v>280</v>
      </c>
      <c r="F7205" s="489" t="s">
        <v>1238</v>
      </c>
      <c r="G7205" s="395">
        <f>VLOOKUP($A7205,'Tech Litons'!$A:$I,8,FALSE)</f>
        <v>1.98E-3</v>
      </c>
      <c r="H7205" s="174">
        <f>VLOOKUP($A7205,'Tech Litons'!$A:$I,9,FALSE)</f>
        <v>176</v>
      </c>
      <c r="I7205" s="174" t="str">
        <f>VLOOKUP($A7205,'Tech Litons'!$A:$C,3,0)</f>
        <v>MG Sticks</v>
      </c>
      <c r="J7205" s="175" t="str">
        <f t="shared" si="793"/>
        <v>2904MG Sticks</v>
      </c>
      <c r="K7205" s="176">
        <f>VLOOKUP(I7205,'Attain %'!A:B,2,0)</f>
        <v>0.96</v>
      </c>
      <c r="L7205" s="177">
        <f t="shared" si="794"/>
        <v>0</v>
      </c>
      <c r="M7205" s="177">
        <f t="shared" si="795"/>
        <v>0</v>
      </c>
      <c r="N7205" s="177">
        <f t="shared" si="796"/>
        <v>0</v>
      </c>
      <c r="O7205" s="175" t="str">
        <f t="shared" si="797"/>
        <v>Mar</v>
      </c>
      <c r="P7205" s="265">
        <f t="shared" si="798"/>
        <v>14</v>
      </c>
    </row>
    <row r="7206" spans="1:16" ht="15" hidden="1" customHeight="1">
      <c r="A7206" s="489">
        <v>69717803</v>
      </c>
      <c r="B7206" s="489">
        <v>2904</v>
      </c>
      <c r="D7206" s="597">
        <v>46111</v>
      </c>
      <c r="E7206" s="489" t="s">
        <v>362</v>
      </c>
      <c r="F7206" s="489" t="s">
        <v>1240</v>
      </c>
      <c r="G7206" s="395">
        <f>VLOOKUP($A7206,'Tech Litons'!$A:$I,8,FALSE)</f>
        <v>4.2560000000000002E-3</v>
      </c>
      <c r="H7206" s="174">
        <f>VLOOKUP($A7206,'Tech Litons'!$A:$I,9,FALSE)</f>
        <v>143</v>
      </c>
      <c r="I7206" s="174" t="str">
        <f>VLOOKUP($A7206,'Tech Litons'!$A:$C,3,0)</f>
        <v>MG Sticks</v>
      </c>
      <c r="J7206" s="175" t="str">
        <f t="shared" si="793"/>
        <v>2904MG Sticks</v>
      </c>
      <c r="K7206" s="176">
        <f>VLOOKUP(I7206,'Attain %'!A:B,2,0)</f>
        <v>0.96</v>
      </c>
      <c r="L7206" s="177">
        <f t="shared" si="794"/>
        <v>0</v>
      </c>
      <c r="M7206" s="177">
        <f t="shared" si="795"/>
        <v>0</v>
      </c>
      <c r="N7206" s="177">
        <f t="shared" si="796"/>
        <v>0</v>
      </c>
      <c r="O7206" s="175" t="str">
        <f t="shared" si="797"/>
        <v>Mar</v>
      </c>
      <c r="P7206" s="265">
        <f t="shared" si="798"/>
        <v>14</v>
      </c>
    </row>
    <row r="7207" spans="1:16" ht="15" hidden="1" customHeight="1">
      <c r="A7207" s="489">
        <v>68851107</v>
      </c>
      <c r="B7207" s="489">
        <v>1352</v>
      </c>
      <c r="C7207" s="488">
        <v>22750</v>
      </c>
      <c r="D7207" s="597">
        <v>46111</v>
      </c>
      <c r="E7207" s="489" t="s">
        <v>272</v>
      </c>
      <c r="F7207" s="489" t="s">
        <v>1208</v>
      </c>
      <c r="G7207" s="395">
        <f>VLOOKUP($A7207,'Tech Litons'!$A:$I,8,FALSE)</f>
        <v>8.5199999999999998E-3</v>
      </c>
      <c r="H7207" s="174">
        <f>VLOOKUP($A7207,'Tech Litons'!$A:$I,9,FALSE)</f>
        <v>176</v>
      </c>
      <c r="I7207" s="174" t="str">
        <f>VLOOKUP($A7207,'Tech Litons'!$A:$C,3,0)</f>
        <v>48oz</v>
      </c>
      <c r="J7207" s="175" t="str">
        <f t="shared" si="793"/>
        <v>135248oz</v>
      </c>
      <c r="K7207" s="176">
        <f>VLOOKUP(I7207,'Attain %'!A:B,2,0)</f>
        <v>0.94</v>
      </c>
      <c r="L7207" s="177">
        <f t="shared" si="794"/>
        <v>21385</v>
      </c>
      <c r="M7207" s="177">
        <f t="shared" si="795"/>
        <v>182.2002</v>
      </c>
      <c r="N7207" s="177">
        <f t="shared" si="796"/>
        <v>121.50568181818181</v>
      </c>
      <c r="O7207" s="175" t="str">
        <f t="shared" si="797"/>
        <v>Mar</v>
      </c>
      <c r="P7207" s="265">
        <f t="shared" si="798"/>
        <v>14</v>
      </c>
    </row>
    <row r="7208" spans="1:16" ht="15" hidden="1" customHeight="1">
      <c r="A7208" s="489">
        <v>64771677</v>
      </c>
      <c r="B7208" s="489" t="s">
        <v>139</v>
      </c>
      <c r="D7208" s="597">
        <v>46111</v>
      </c>
      <c r="E7208" s="489" t="s">
        <v>620</v>
      </c>
      <c r="F7208" s="489" t="s">
        <v>1223</v>
      </c>
      <c r="G7208" s="395">
        <f>VLOOKUP($A7208,'Tech Litons'!$A:$I,8,FALSE)</f>
        <v>2.16E-3</v>
      </c>
      <c r="H7208" s="174">
        <f>VLOOKUP($A7208,'Tech Litons'!$A:$I,9,FALSE)</f>
        <v>195</v>
      </c>
      <c r="I7208" s="174" t="str">
        <f>VLOOKUP($A7208,'Tech Litons'!$A:$C,3,0)</f>
        <v>Facepieces</v>
      </c>
      <c r="J7208" s="175" t="str">
        <f t="shared" si="793"/>
        <v>IncomFacepieces</v>
      </c>
      <c r="K7208" s="176">
        <f>VLOOKUP(I7208,'Attain %'!A:B,2,0)</f>
        <v>0.96</v>
      </c>
      <c r="L7208" s="177">
        <f t="shared" si="794"/>
        <v>0</v>
      </c>
      <c r="M7208" s="177">
        <f t="shared" si="795"/>
        <v>0</v>
      </c>
      <c r="N7208" s="177">
        <f t="shared" si="796"/>
        <v>0</v>
      </c>
      <c r="O7208" s="175" t="str">
        <f t="shared" si="797"/>
        <v>Mar</v>
      </c>
      <c r="P7208" s="265">
        <f t="shared" si="798"/>
        <v>14</v>
      </c>
    </row>
    <row r="7209" spans="1:16" ht="15" hidden="1" customHeight="1">
      <c r="A7209" s="489">
        <v>69629468</v>
      </c>
      <c r="B7209" s="489">
        <v>2904</v>
      </c>
      <c r="D7209" s="597">
        <v>46111</v>
      </c>
      <c r="E7209" s="489" t="s">
        <v>291</v>
      </c>
      <c r="F7209" s="489" t="s">
        <v>1232</v>
      </c>
      <c r="G7209" s="395">
        <f>VLOOKUP($A7209,'Tech Litons'!$A:$I,8,FALSE)</f>
        <v>5.2680000000000001E-3</v>
      </c>
      <c r="H7209" s="174">
        <f>VLOOKUP($A7209,'Tech Litons'!$A:$I,9,FALSE)</f>
        <v>130</v>
      </c>
      <c r="I7209" s="174" t="str">
        <f>VLOOKUP($A7209,'Tech Litons'!$A:$C,3,0)</f>
        <v>PG</v>
      </c>
      <c r="J7209" s="175" t="str">
        <f t="shared" si="793"/>
        <v>2904PG</v>
      </c>
      <c r="K7209" s="176">
        <f>VLOOKUP(I7209,'Attain %'!A:B,2,0)</f>
        <v>0.96</v>
      </c>
      <c r="L7209" s="177">
        <f t="shared" si="794"/>
        <v>0</v>
      </c>
      <c r="M7209" s="177">
        <f t="shared" si="795"/>
        <v>0</v>
      </c>
      <c r="N7209" s="177">
        <f t="shared" si="796"/>
        <v>0</v>
      </c>
      <c r="O7209" s="175" t="str">
        <f t="shared" si="797"/>
        <v>Mar</v>
      </c>
      <c r="P7209" s="265">
        <f t="shared" si="798"/>
        <v>14</v>
      </c>
    </row>
    <row r="7210" spans="1:16" ht="15" hidden="1" customHeight="1">
      <c r="A7210" s="489">
        <v>65489677</v>
      </c>
      <c r="B7210" s="489">
        <v>1717</v>
      </c>
      <c r="C7210" s="488">
        <v>15247</v>
      </c>
      <c r="D7210" s="597">
        <v>46111</v>
      </c>
      <c r="E7210" s="489" t="s">
        <v>1188</v>
      </c>
      <c r="F7210" s="489" t="s">
        <v>1221</v>
      </c>
      <c r="G7210" s="395">
        <f>VLOOKUP($A7210,'Tech Litons'!$A:$I,8,FALSE)</f>
        <v>2.8319999999999999E-3</v>
      </c>
      <c r="H7210" s="174">
        <f>VLOOKUP($A7210,'Tech Litons'!$A:$I,9,FALSE)</f>
        <v>221</v>
      </c>
      <c r="I7210" s="174" t="str">
        <f>VLOOKUP($A7210,'Tech Litons'!$A:$C,3,0)</f>
        <v>Other</v>
      </c>
      <c r="J7210" s="175" t="str">
        <f t="shared" si="793"/>
        <v>1717Other</v>
      </c>
      <c r="K7210" s="176">
        <f>VLOOKUP(I7210,'Attain %'!A:B,2,0)</f>
        <v>0.96</v>
      </c>
      <c r="L7210" s="177">
        <f t="shared" si="794"/>
        <v>14637.119999999999</v>
      </c>
      <c r="M7210" s="177">
        <f t="shared" si="795"/>
        <v>41.452323839999998</v>
      </c>
      <c r="N7210" s="177">
        <f t="shared" si="796"/>
        <v>66.231312217194571</v>
      </c>
      <c r="O7210" s="175" t="str">
        <f t="shared" si="797"/>
        <v>Mar</v>
      </c>
      <c r="P7210" s="265">
        <f t="shared" si="798"/>
        <v>14</v>
      </c>
    </row>
    <row r="7211" spans="1:16" ht="15" hidden="1" customHeight="1">
      <c r="A7211" s="489">
        <v>64976851</v>
      </c>
      <c r="B7211" s="489">
        <v>2904</v>
      </c>
      <c r="D7211" s="597">
        <v>46111</v>
      </c>
      <c r="E7211" s="489" t="s">
        <v>592</v>
      </c>
      <c r="F7211" s="489" t="s">
        <v>1233</v>
      </c>
      <c r="G7211" s="395">
        <f>VLOOKUP($A7211,'Tech Litons'!$A:$I,8,FALSE)</f>
        <v>2.5040000000000001E-3</v>
      </c>
      <c r="H7211" s="174">
        <f>VLOOKUP($A7211,'Tech Litons'!$A:$I,9,FALSE)</f>
        <v>165</v>
      </c>
      <c r="I7211" s="174" t="str">
        <f>VLOOKUP($A7211,'Tech Litons'!$A:$C,3,0)</f>
        <v>Yasso Sticks</v>
      </c>
      <c r="J7211" s="175" t="str">
        <f t="shared" si="793"/>
        <v>2904Yasso Sticks</v>
      </c>
      <c r="K7211" s="176">
        <f>VLOOKUP(I7211,'Attain %'!A:B,2,0)</f>
        <v>0.96</v>
      </c>
      <c r="L7211" s="177">
        <f t="shared" si="794"/>
        <v>0</v>
      </c>
      <c r="M7211" s="177">
        <f t="shared" si="795"/>
        <v>0</v>
      </c>
      <c r="N7211" s="177">
        <f t="shared" si="796"/>
        <v>0</v>
      </c>
      <c r="O7211" s="175" t="str">
        <f t="shared" si="797"/>
        <v>Mar</v>
      </c>
      <c r="P7211" s="265">
        <f t="shared" si="798"/>
        <v>14</v>
      </c>
    </row>
    <row r="7212" spans="1:16" ht="15" hidden="1" customHeight="1">
      <c r="A7212" s="489">
        <v>68852591</v>
      </c>
      <c r="B7212" s="489">
        <v>1352</v>
      </c>
      <c r="D7212" s="597">
        <v>46111</v>
      </c>
      <c r="E7212" s="489" t="s">
        <v>326</v>
      </c>
      <c r="F7212" s="489" t="s">
        <v>1214</v>
      </c>
      <c r="G7212" s="395">
        <f>VLOOKUP($A7212,'Tech Litons'!$A:$I,8,FALSE)</f>
        <v>8.5199999999999998E-3</v>
      </c>
      <c r="H7212" s="174">
        <f>VLOOKUP($A7212,'Tech Litons'!$A:$I,9,FALSE)</f>
        <v>132</v>
      </c>
      <c r="I7212" s="174" t="str">
        <f>VLOOKUP($A7212,'Tech Litons'!$A:$C,3,0)</f>
        <v>EDF</v>
      </c>
      <c r="J7212" s="175" t="str">
        <f t="shared" si="793"/>
        <v>1352EDF</v>
      </c>
      <c r="K7212" s="176">
        <f>VLOOKUP(I7212,'Attain %'!A:B,2,0)</f>
        <v>0.96</v>
      </c>
      <c r="L7212" s="177">
        <f t="shared" si="794"/>
        <v>0</v>
      </c>
      <c r="M7212" s="177">
        <f t="shared" si="795"/>
        <v>0</v>
      </c>
      <c r="N7212" s="177">
        <f t="shared" si="796"/>
        <v>0</v>
      </c>
      <c r="O7212" s="175" t="str">
        <f t="shared" si="797"/>
        <v>Mar</v>
      </c>
      <c r="P7212" s="265">
        <f t="shared" si="798"/>
        <v>14</v>
      </c>
    </row>
    <row r="7213" spans="1:16" ht="15" hidden="1" customHeight="1">
      <c r="A7213" s="489">
        <v>68689251</v>
      </c>
      <c r="B7213" s="489">
        <v>1352</v>
      </c>
      <c r="D7213" s="597">
        <v>46111</v>
      </c>
      <c r="E7213" s="489" t="s">
        <v>262</v>
      </c>
      <c r="F7213" s="489" t="s">
        <v>1214</v>
      </c>
      <c r="G7213" s="395">
        <f>VLOOKUP($A7213,'Tech Litons'!$A:$I,8,FALSE)</f>
        <v>9.5760000000000012E-3</v>
      </c>
      <c r="H7213" s="174">
        <f>VLOOKUP($A7213,'Tech Litons'!$A:$I,9,FALSE)</f>
        <v>132</v>
      </c>
      <c r="I7213" s="174" t="str">
        <f>VLOOKUP($A7213,'Tech Litons'!$A:$C,3,0)</f>
        <v>EDF</v>
      </c>
      <c r="J7213" s="175" t="str">
        <f t="shared" si="793"/>
        <v>1352EDF</v>
      </c>
      <c r="K7213" s="176">
        <f>VLOOKUP(I7213,'Attain %'!A:B,2,0)</f>
        <v>0.96</v>
      </c>
      <c r="L7213" s="177">
        <f t="shared" si="794"/>
        <v>0</v>
      </c>
      <c r="M7213" s="177">
        <f t="shared" si="795"/>
        <v>0</v>
      </c>
      <c r="N7213" s="177">
        <f t="shared" si="796"/>
        <v>0</v>
      </c>
      <c r="O7213" s="175" t="str">
        <f t="shared" si="797"/>
        <v>Mar</v>
      </c>
      <c r="P7213" s="265">
        <f t="shared" si="798"/>
        <v>14</v>
      </c>
    </row>
    <row r="7214" spans="1:16" ht="15" hidden="1" customHeight="1">
      <c r="A7214" s="489">
        <v>64988054</v>
      </c>
      <c r="B7214" s="489">
        <v>1716</v>
      </c>
      <c r="C7214" s="601"/>
      <c r="D7214" s="597">
        <v>46111</v>
      </c>
      <c r="E7214" s="489" t="s">
        <v>600</v>
      </c>
      <c r="F7214" s="489" t="s">
        <v>1221</v>
      </c>
      <c r="G7214" s="395">
        <f>VLOOKUP($A7214,'Tech Litons'!$A:$I,8,FALSE)</f>
        <v>2.3999999999999998E-3</v>
      </c>
      <c r="H7214" s="174">
        <f>VLOOKUP($A7214,'Tech Litons'!$A:$I,9,FALSE)</f>
        <v>165</v>
      </c>
      <c r="I7214" s="174" t="str">
        <f>VLOOKUP($A7214,'Tech Litons'!$A:$C,3,0)</f>
        <v>BJ Bars</v>
      </c>
      <c r="J7214" s="175" t="str">
        <f t="shared" si="793"/>
        <v>1716BJ Bars</v>
      </c>
      <c r="K7214" s="176">
        <f>VLOOKUP(I7214,'Attain %'!A:B,2,0)</f>
        <v>0.96</v>
      </c>
      <c r="L7214" s="177">
        <f t="shared" si="794"/>
        <v>0</v>
      </c>
      <c r="M7214" s="177">
        <f t="shared" si="795"/>
        <v>0</v>
      </c>
      <c r="N7214" s="177">
        <f t="shared" si="796"/>
        <v>0</v>
      </c>
      <c r="O7214" s="175" t="str">
        <f t="shared" si="797"/>
        <v>Mar</v>
      </c>
      <c r="P7214" s="265">
        <f t="shared" si="798"/>
        <v>14</v>
      </c>
    </row>
    <row r="7215" spans="1:16" ht="15" hidden="1" customHeight="1">
      <c r="A7215" s="489">
        <v>69629468</v>
      </c>
      <c r="B7215" s="489">
        <v>1352</v>
      </c>
      <c r="D7215" s="597">
        <v>46111</v>
      </c>
      <c r="E7215" s="489" t="s">
        <v>291</v>
      </c>
      <c r="F7215" s="489" t="s">
        <v>1216</v>
      </c>
      <c r="G7215" s="395">
        <f>VLOOKUP($A7215,'Tech Litons'!$A:$I,8,FALSE)</f>
        <v>5.2680000000000001E-3</v>
      </c>
      <c r="H7215" s="174">
        <f>VLOOKUP($A7215,'Tech Litons'!$A:$I,9,FALSE)</f>
        <v>130</v>
      </c>
      <c r="I7215" s="174" t="str">
        <f>VLOOKUP($A7215,'Tech Litons'!$A:$C,3,0)</f>
        <v>PG</v>
      </c>
      <c r="J7215" s="175" t="str">
        <f t="shared" si="793"/>
        <v>1352PG</v>
      </c>
      <c r="K7215" s="176">
        <f>VLOOKUP(I7215,'Attain %'!A:B,2,0)</f>
        <v>0.96</v>
      </c>
      <c r="L7215" s="177">
        <f t="shared" si="794"/>
        <v>0</v>
      </c>
      <c r="M7215" s="177">
        <f t="shared" si="795"/>
        <v>0</v>
      </c>
      <c r="N7215" s="177">
        <f t="shared" si="796"/>
        <v>0</v>
      </c>
      <c r="O7215" s="175" t="str">
        <f t="shared" si="797"/>
        <v>Mar</v>
      </c>
      <c r="P7215" s="265">
        <f t="shared" si="798"/>
        <v>14</v>
      </c>
    </row>
    <row r="7216" spans="1:16" ht="15" hidden="1" customHeight="1">
      <c r="A7216" s="489">
        <v>64341106</v>
      </c>
      <c r="B7216" s="489">
        <v>2904</v>
      </c>
      <c r="D7216" s="597">
        <v>46111</v>
      </c>
      <c r="E7216" s="489" t="s">
        <v>293</v>
      </c>
      <c r="F7216" s="489" t="s">
        <v>1237</v>
      </c>
      <c r="G7216" s="395">
        <f>VLOOKUP($A7216,'Tech Litons'!$A:$I,8,FALSE)</f>
        <v>5.2680000000000001E-3</v>
      </c>
      <c r="H7216" s="174">
        <f>VLOOKUP($A7216,'Tech Litons'!$A:$I,9,FALSE)</f>
        <v>130</v>
      </c>
      <c r="I7216" s="174" t="str">
        <f>VLOOKUP($A7216,'Tech Litons'!$A:$C,3,0)</f>
        <v>PG</v>
      </c>
      <c r="J7216" s="175" t="str">
        <f t="shared" si="793"/>
        <v>2904PG</v>
      </c>
      <c r="K7216" s="176">
        <f>VLOOKUP(I7216,'Attain %'!A:B,2,0)</f>
        <v>0.96</v>
      </c>
      <c r="L7216" s="177">
        <f t="shared" si="794"/>
        <v>0</v>
      </c>
      <c r="M7216" s="177">
        <f t="shared" si="795"/>
        <v>0</v>
      </c>
      <c r="N7216" s="177">
        <f t="shared" si="796"/>
        <v>0</v>
      </c>
      <c r="O7216" s="175" t="str">
        <f t="shared" si="797"/>
        <v>Mar</v>
      </c>
      <c r="P7216" s="265">
        <f t="shared" si="798"/>
        <v>14</v>
      </c>
    </row>
    <row r="7217" spans="1:16" ht="15" hidden="1" customHeight="1">
      <c r="A7217" s="489">
        <v>69725082</v>
      </c>
      <c r="B7217" s="489">
        <v>1352</v>
      </c>
      <c r="D7217" s="597">
        <v>46111</v>
      </c>
      <c r="E7217" s="489" t="s">
        <v>292</v>
      </c>
      <c r="F7217" s="489" t="s">
        <v>1217</v>
      </c>
      <c r="G7217" s="395">
        <f>VLOOKUP($A7217,'Tech Litons'!$A:$I,8,FALSE)</f>
        <v>5.2680000000000001E-3</v>
      </c>
      <c r="H7217" s="174">
        <f>VLOOKUP($A7217,'Tech Litons'!$A:$I,9,FALSE)</f>
        <v>130</v>
      </c>
      <c r="I7217" s="174" t="str">
        <f>VLOOKUP($A7217,'Tech Litons'!$A:$C,3,0)</f>
        <v>PG</v>
      </c>
      <c r="J7217" s="175" t="str">
        <f t="shared" si="793"/>
        <v>1352PG</v>
      </c>
      <c r="K7217" s="176">
        <f>VLOOKUP(I7217,'Attain %'!A:B,2,0)</f>
        <v>0.96</v>
      </c>
      <c r="L7217" s="177">
        <f t="shared" si="794"/>
        <v>0</v>
      </c>
      <c r="M7217" s="177">
        <f t="shared" si="795"/>
        <v>0</v>
      </c>
      <c r="N7217" s="177">
        <f t="shared" si="796"/>
        <v>0</v>
      </c>
      <c r="O7217" s="175" t="str">
        <f t="shared" si="797"/>
        <v>Mar</v>
      </c>
      <c r="P7217" s="265">
        <f t="shared" si="798"/>
        <v>14</v>
      </c>
    </row>
    <row r="7218" spans="1:16" ht="15" hidden="1" customHeight="1">
      <c r="A7218" s="489">
        <v>64413476</v>
      </c>
      <c r="B7218" s="489">
        <v>1712</v>
      </c>
      <c r="C7218" s="488">
        <v>20520</v>
      </c>
      <c r="D7218" s="597">
        <v>46111</v>
      </c>
      <c r="E7218" s="489" t="s">
        <v>567</v>
      </c>
      <c r="F7218" s="489" t="s">
        <v>1221</v>
      </c>
      <c r="G7218" s="395">
        <f>VLOOKUP($A7218,'Tech Litons'!$A:$I,8,FALSE)</f>
        <v>1.4399999999999999E-3</v>
      </c>
      <c r="H7218" s="174">
        <f>VLOOKUP($A7218,'Tech Litons'!$A:$I,9,FALSE)</f>
        <v>468</v>
      </c>
      <c r="I7218" s="174" t="str">
        <f>VLOOKUP($A7218,'Tech Litons'!$A:$C,3,0)</f>
        <v>B&amp;J Cups</v>
      </c>
      <c r="J7218" s="175" t="str">
        <f t="shared" si="793"/>
        <v>1712B&amp;J Cups</v>
      </c>
      <c r="K7218" s="176">
        <f>VLOOKUP(I7218,'Attain %'!A:B,2,0)</f>
        <v>0.96</v>
      </c>
      <c r="L7218" s="177">
        <f t="shared" si="794"/>
        <v>19699.2</v>
      </c>
      <c r="M7218" s="177">
        <f t="shared" si="795"/>
        <v>28.366847999999997</v>
      </c>
      <c r="N7218" s="177">
        <f t="shared" si="796"/>
        <v>42.092307692307692</v>
      </c>
      <c r="O7218" s="175" t="str">
        <f t="shared" si="797"/>
        <v>Mar</v>
      </c>
      <c r="P7218" s="265">
        <f t="shared" si="798"/>
        <v>14</v>
      </c>
    </row>
    <row r="7219" spans="1:16" ht="15" hidden="1" customHeight="1">
      <c r="A7219" s="489">
        <v>68852628</v>
      </c>
      <c r="B7219" s="489">
        <v>2904</v>
      </c>
      <c r="C7219" s="488">
        <v>34100</v>
      </c>
      <c r="D7219" s="597">
        <v>46114</v>
      </c>
      <c r="E7219" s="489" t="s">
        <v>516</v>
      </c>
      <c r="F7219" s="489" t="s">
        <v>1228</v>
      </c>
      <c r="G7219" s="395">
        <f>VLOOKUP($A7219,'Tech Litons'!$A:$I,8,FALSE)</f>
        <v>3.552E-3</v>
      </c>
      <c r="H7219" s="174">
        <f>VLOOKUP($A7219,'Tech Litons'!$A:$I,9,FALSE)</f>
        <v>255</v>
      </c>
      <c r="I7219" s="174" t="str">
        <f>VLOOKUP($A7219,'Tech Litons'!$A:$C,3,0)</f>
        <v>Talenti</v>
      </c>
      <c r="J7219" s="175" t="str">
        <f t="shared" si="793"/>
        <v>2904Talenti</v>
      </c>
      <c r="K7219" s="176">
        <f>VLOOKUP(I7219,'Attain %'!A:B,2,0)</f>
        <v>0.96</v>
      </c>
      <c r="L7219" s="177">
        <f t="shared" si="794"/>
        <v>32736</v>
      </c>
      <c r="M7219" s="177">
        <f t="shared" si="795"/>
        <v>116.278272</v>
      </c>
      <c r="N7219" s="177">
        <f t="shared" si="796"/>
        <v>128.37647058823529</v>
      </c>
      <c r="O7219" s="175" t="str">
        <f t="shared" si="797"/>
        <v>Apr</v>
      </c>
      <c r="P7219" s="265">
        <f t="shared" si="798"/>
        <v>14</v>
      </c>
    </row>
    <row r="7220" spans="1:16" ht="15" hidden="1" customHeight="1">
      <c r="A7220" s="489">
        <v>64776954</v>
      </c>
      <c r="B7220" s="489">
        <v>1352</v>
      </c>
      <c r="D7220" s="597">
        <v>46111</v>
      </c>
      <c r="E7220" s="489" t="s">
        <v>285</v>
      </c>
      <c r="F7220" s="489" t="s">
        <v>1213</v>
      </c>
      <c r="G7220" s="395">
        <f>VLOOKUP($A7220,'Tech Litons'!$A:$I,8,FALSE)</f>
        <v>3.8340000000000002E-3</v>
      </c>
      <c r="H7220" s="174">
        <f>VLOOKUP($A7220,'Tech Litons'!$A:$I,9,FALSE)</f>
        <v>130</v>
      </c>
      <c r="I7220" s="174" t="str">
        <f>VLOOKUP($A7220,'Tech Litons'!$A:$C,3,0)</f>
        <v>pG</v>
      </c>
      <c r="J7220" s="175" t="str">
        <f t="shared" si="793"/>
        <v>1352pG</v>
      </c>
      <c r="K7220" s="176">
        <f>VLOOKUP(I7220,'Attain %'!A:B,2,0)</f>
        <v>0.96</v>
      </c>
      <c r="L7220" s="177">
        <f t="shared" si="794"/>
        <v>0</v>
      </c>
      <c r="M7220" s="177">
        <f t="shared" si="795"/>
        <v>0</v>
      </c>
      <c r="N7220" s="177">
        <f t="shared" si="796"/>
        <v>0</v>
      </c>
      <c r="O7220" s="175" t="str">
        <f t="shared" si="797"/>
        <v>Mar</v>
      </c>
      <c r="P7220" s="265">
        <f t="shared" si="798"/>
        <v>14</v>
      </c>
    </row>
    <row r="7221" spans="1:16" ht="15" hidden="1" customHeight="1">
      <c r="A7221" s="489">
        <v>64786654</v>
      </c>
      <c r="B7221" s="489">
        <v>1352</v>
      </c>
      <c r="D7221" s="597">
        <v>46111</v>
      </c>
      <c r="E7221" s="489" t="s">
        <v>484</v>
      </c>
      <c r="F7221" s="489" t="s">
        <v>1215</v>
      </c>
      <c r="G7221" s="395">
        <f>VLOOKUP($A7221,'Tech Litons'!$A:$I,8,FALSE)</f>
        <v>3.8959999999999997E-3</v>
      </c>
      <c r="H7221" s="174">
        <f>VLOOKUP($A7221,'Tech Litons'!$A:$I,9,FALSE)</f>
        <v>154</v>
      </c>
      <c r="I7221" s="174" t="str">
        <f>VLOOKUP($A7221,'Tech Litons'!$A:$C,3,0)</f>
        <v>MBG</v>
      </c>
      <c r="J7221" s="175" t="str">
        <f t="shared" si="793"/>
        <v>1352MBG</v>
      </c>
      <c r="K7221" s="176">
        <f>VLOOKUP(I7221,'Attain %'!A:B,2,0)</f>
        <v>0.96</v>
      </c>
      <c r="L7221" s="177">
        <f t="shared" si="794"/>
        <v>0</v>
      </c>
      <c r="M7221" s="177">
        <f t="shared" si="795"/>
        <v>0</v>
      </c>
      <c r="N7221" s="177">
        <f t="shared" si="796"/>
        <v>0</v>
      </c>
      <c r="O7221" s="175" t="str">
        <f t="shared" si="797"/>
        <v>Mar</v>
      </c>
      <c r="P7221" s="265">
        <f t="shared" si="798"/>
        <v>14</v>
      </c>
    </row>
    <row r="7222" spans="1:16" ht="15" hidden="1" customHeight="1">
      <c r="A7222" s="489">
        <v>64977526</v>
      </c>
      <c r="B7222" s="489">
        <v>1352</v>
      </c>
      <c r="D7222" s="597">
        <v>46111</v>
      </c>
      <c r="E7222" s="489" t="s">
        <v>323</v>
      </c>
      <c r="F7222" s="489" t="s">
        <v>1208</v>
      </c>
      <c r="G7222" s="395">
        <f>VLOOKUP($A7222,'Tech Litons'!$A:$I,8,FALSE)</f>
        <v>8.513999999999999E-3</v>
      </c>
      <c r="H7222" s="174">
        <f>VLOOKUP($A7222,'Tech Litons'!$A:$I,9,FALSE)</f>
        <v>176</v>
      </c>
      <c r="I7222" s="174" t="str">
        <f>VLOOKUP($A7222,'Tech Litons'!$A:$C,3,0)</f>
        <v>48oz</v>
      </c>
      <c r="J7222" s="175" t="str">
        <f t="shared" si="793"/>
        <v>135248oz</v>
      </c>
      <c r="K7222" s="176">
        <f>VLOOKUP(I7222,'Attain %'!A:B,2,0)</f>
        <v>0.94</v>
      </c>
      <c r="L7222" s="177">
        <f t="shared" si="794"/>
        <v>0</v>
      </c>
      <c r="M7222" s="177">
        <f t="shared" si="795"/>
        <v>0</v>
      </c>
      <c r="N7222" s="177">
        <f t="shared" si="796"/>
        <v>0</v>
      </c>
      <c r="O7222" s="175" t="str">
        <f t="shared" si="797"/>
        <v>Mar</v>
      </c>
      <c r="P7222" s="265">
        <f t="shared" si="798"/>
        <v>14</v>
      </c>
    </row>
    <row r="7223" spans="1:16" ht="15" hidden="1" customHeight="1">
      <c r="A7223" s="489">
        <v>64977529</v>
      </c>
      <c r="B7223" s="489">
        <v>1352</v>
      </c>
      <c r="D7223" s="597">
        <v>46111</v>
      </c>
      <c r="E7223" s="489" t="s">
        <v>406</v>
      </c>
      <c r="F7223" s="489" t="s">
        <v>1208</v>
      </c>
      <c r="G7223" s="395">
        <f>VLOOKUP($A7223,'Tech Litons'!$A:$I,8,FALSE)</f>
        <v>8.513999999999999E-3</v>
      </c>
      <c r="H7223" s="174">
        <f>VLOOKUP($A7223,'Tech Litons'!$A:$I,9,FALSE)</f>
        <v>176</v>
      </c>
      <c r="I7223" s="174" t="str">
        <f>VLOOKUP($A7223,'Tech Litons'!$A:$C,3,0)</f>
        <v>48oz</v>
      </c>
      <c r="J7223" s="175" t="str">
        <f t="shared" si="793"/>
        <v>135248oz</v>
      </c>
      <c r="K7223" s="176">
        <f>VLOOKUP(I7223,'Attain %'!A:B,2,0)</f>
        <v>0.94</v>
      </c>
      <c r="L7223" s="177">
        <f t="shared" si="794"/>
        <v>0</v>
      </c>
      <c r="M7223" s="177">
        <f t="shared" si="795"/>
        <v>0</v>
      </c>
      <c r="N7223" s="177">
        <f t="shared" si="796"/>
        <v>0</v>
      </c>
      <c r="O7223" s="175" t="str">
        <f t="shared" si="797"/>
        <v>Mar</v>
      </c>
      <c r="P7223" s="265">
        <f t="shared" si="798"/>
        <v>14</v>
      </c>
    </row>
    <row r="7224" spans="1:16" ht="15" hidden="1" customHeight="1">
      <c r="A7224" s="489">
        <v>68851107</v>
      </c>
      <c r="B7224" s="489">
        <v>1352</v>
      </c>
      <c r="D7224" s="597">
        <v>46111</v>
      </c>
      <c r="E7224" s="489" t="s">
        <v>272</v>
      </c>
      <c r="F7224" s="489" t="s">
        <v>1208</v>
      </c>
      <c r="G7224" s="395">
        <f>VLOOKUP($A7224,'Tech Litons'!$A:$I,8,FALSE)</f>
        <v>8.5199999999999998E-3</v>
      </c>
      <c r="H7224" s="174">
        <f>VLOOKUP($A7224,'Tech Litons'!$A:$I,9,FALSE)</f>
        <v>176</v>
      </c>
      <c r="I7224" s="174" t="str">
        <f>VLOOKUP($A7224,'Tech Litons'!$A:$C,3,0)</f>
        <v>48oz</v>
      </c>
      <c r="J7224" s="175" t="str">
        <f t="shared" ref="J7224:J7262" si="799">B7224&amp;I7224</f>
        <v>135248oz</v>
      </c>
      <c r="K7224" s="176">
        <f>VLOOKUP(I7224,'Attain %'!A:B,2,0)</f>
        <v>0.94</v>
      </c>
      <c r="L7224" s="177">
        <f t="shared" ref="L7224:L7262" si="800">C7224*$K7224</f>
        <v>0</v>
      </c>
      <c r="M7224" s="177">
        <f t="shared" ref="M7224:M7262" si="801">L7224*G7224</f>
        <v>0</v>
      </c>
      <c r="N7224" s="177">
        <f t="shared" ref="N7224:N7262" si="802">L7224/H7224</f>
        <v>0</v>
      </c>
      <c r="O7224" s="175" t="str">
        <f t="shared" ref="O7224:O7262" si="803">TEXT(D7224,"MMM")</f>
        <v>Mar</v>
      </c>
      <c r="P7224" s="265">
        <f t="shared" ref="P7224:P7262" si="804">WEEKNUM(D7224)</f>
        <v>14</v>
      </c>
    </row>
    <row r="7225" spans="1:16" ht="15" hidden="1" customHeight="1">
      <c r="A7225" s="489">
        <v>68851107</v>
      </c>
      <c r="B7225" s="489">
        <v>1352</v>
      </c>
      <c r="C7225" s="488">
        <v>13000</v>
      </c>
      <c r="D7225" s="597">
        <v>46111</v>
      </c>
      <c r="E7225" s="489" t="s">
        <v>272</v>
      </c>
      <c r="F7225" s="489" t="s">
        <v>1211</v>
      </c>
      <c r="G7225" s="395">
        <f>VLOOKUP($A7225,'Tech Litons'!$A:$I,8,FALSE)</f>
        <v>8.5199999999999998E-3</v>
      </c>
      <c r="H7225" s="174">
        <f>VLOOKUP($A7225,'Tech Litons'!$A:$I,9,FALSE)</f>
        <v>176</v>
      </c>
      <c r="I7225" s="174" t="str">
        <f>VLOOKUP($A7225,'Tech Litons'!$A:$C,3,0)</f>
        <v>48oz</v>
      </c>
      <c r="J7225" s="175" t="str">
        <f t="shared" si="799"/>
        <v>135248oz</v>
      </c>
      <c r="K7225" s="176">
        <f>VLOOKUP(I7225,'Attain %'!A:B,2,0)</f>
        <v>0.94</v>
      </c>
      <c r="L7225" s="177">
        <f t="shared" si="800"/>
        <v>12220</v>
      </c>
      <c r="M7225" s="177">
        <f t="shared" si="801"/>
        <v>104.1144</v>
      </c>
      <c r="N7225" s="177">
        <f t="shared" si="802"/>
        <v>69.431818181818187</v>
      </c>
      <c r="O7225" s="175" t="str">
        <f t="shared" si="803"/>
        <v>Mar</v>
      </c>
      <c r="P7225" s="265">
        <f t="shared" si="804"/>
        <v>14</v>
      </c>
    </row>
    <row r="7226" spans="1:16" ht="15" hidden="1" customHeight="1">
      <c r="A7226" s="489">
        <v>64988056</v>
      </c>
      <c r="B7226" s="489">
        <v>2904</v>
      </c>
      <c r="C7226" s="488">
        <v>21000</v>
      </c>
      <c r="D7226" s="597">
        <v>46111</v>
      </c>
      <c r="E7226" s="489" t="s">
        <v>268</v>
      </c>
      <c r="F7226" s="489" t="s">
        <v>1236</v>
      </c>
      <c r="G7226" s="395">
        <f>VLOOKUP($A7226,'Tech Litons'!$A:$I,8,FALSE)</f>
        <v>8.513999999999999E-3</v>
      </c>
      <c r="H7226" s="174">
        <f>VLOOKUP($A7226,'Tech Litons'!$A:$I,9,FALSE)</f>
        <v>176</v>
      </c>
      <c r="I7226" s="174" t="str">
        <f>VLOOKUP($A7226,'Tech Litons'!$A:$C,3,0)</f>
        <v>48oz</v>
      </c>
      <c r="J7226" s="175" t="str">
        <f t="shared" si="799"/>
        <v>290448oz</v>
      </c>
      <c r="K7226" s="176">
        <f>VLOOKUP(I7226,'Attain %'!A:B,2,0)</f>
        <v>0.94</v>
      </c>
      <c r="L7226" s="177">
        <f t="shared" si="800"/>
        <v>19740</v>
      </c>
      <c r="M7226" s="177">
        <f t="shared" si="801"/>
        <v>168.06635999999997</v>
      </c>
      <c r="N7226" s="177">
        <f t="shared" si="802"/>
        <v>112.15909090909091</v>
      </c>
      <c r="O7226" s="175" t="str">
        <f t="shared" si="803"/>
        <v>Mar</v>
      </c>
      <c r="P7226" s="265">
        <f t="shared" si="804"/>
        <v>14</v>
      </c>
    </row>
    <row r="7227" spans="1:16" ht="15" hidden="1" customHeight="1">
      <c r="A7227" s="489">
        <v>64776952</v>
      </c>
      <c r="B7227" s="489">
        <v>1352</v>
      </c>
      <c r="D7227" s="597">
        <v>46111</v>
      </c>
      <c r="E7227" s="489" t="s">
        <v>404</v>
      </c>
      <c r="F7227" s="489" t="s">
        <v>1218</v>
      </c>
      <c r="G7227" s="395">
        <f>VLOOKUP($A7227,'Tech Litons'!$A:$I,8,FALSE)</f>
        <v>5.0940000000000004E-3</v>
      </c>
      <c r="H7227" s="174">
        <f>VLOOKUP($A7227,'Tech Litons'!$A:$I,9,FALSE)</f>
        <v>130</v>
      </c>
      <c r="I7227" s="174" t="str">
        <f>VLOOKUP($A7227,'Tech Litons'!$A:$C,3,0)</f>
        <v>PG</v>
      </c>
      <c r="J7227" s="175" t="str">
        <f t="shared" si="799"/>
        <v>1352PG</v>
      </c>
      <c r="K7227" s="176">
        <f>VLOOKUP(I7227,'Attain %'!A:B,2,0)</f>
        <v>0.96</v>
      </c>
      <c r="L7227" s="177">
        <f t="shared" si="800"/>
        <v>0</v>
      </c>
      <c r="M7227" s="177">
        <f t="shared" si="801"/>
        <v>0</v>
      </c>
      <c r="N7227" s="177">
        <f t="shared" si="802"/>
        <v>0</v>
      </c>
      <c r="O7227" s="175" t="str">
        <f t="shared" si="803"/>
        <v>Mar</v>
      </c>
      <c r="P7227" s="265">
        <f t="shared" si="804"/>
        <v>14</v>
      </c>
    </row>
    <row r="7228" spans="1:16" ht="15" hidden="1" customHeight="1">
      <c r="A7228" s="489">
        <v>68821735</v>
      </c>
      <c r="B7228" s="489">
        <v>2904</v>
      </c>
      <c r="C7228" s="488">
        <v>24000</v>
      </c>
      <c r="D7228" s="597">
        <v>46111</v>
      </c>
      <c r="E7228" s="489" t="s">
        <v>318</v>
      </c>
      <c r="F7228" s="489" t="s">
        <v>1236</v>
      </c>
      <c r="G7228" s="395">
        <f>VLOOKUP($A7228,'Tech Litons'!$A:$I,8,FALSE)</f>
        <v>8.5199999999999998E-3</v>
      </c>
      <c r="H7228" s="174">
        <f>VLOOKUP($A7228,'Tech Litons'!$A:$I,9,FALSE)</f>
        <v>176</v>
      </c>
      <c r="I7228" s="174" t="str">
        <f>VLOOKUP($A7228,'Tech Litons'!$A:$C,3,0)</f>
        <v>48oz</v>
      </c>
      <c r="J7228" s="175" t="str">
        <f t="shared" si="799"/>
        <v>290448oz</v>
      </c>
      <c r="K7228" s="176">
        <f>VLOOKUP(I7228,'Attain %'!A:B,2,0)</f>
        <v>0.94</v>
      </c>
      <c r="L7228" s="177">
        <f t="shared" si="800"/>
        <v>22560</v>
      </c>
      <c r="M7228" s="177">
        <f t="shared" si="801"/>
        <v>192.21119999999999</v>
      </c>
      <c r="N7228" s="177">
        <f t="shared" si="802"/>
        <v>128.18181818181819</v>
      </c>
      <c r="O7228" s="175" t="str">
        <f t="shared" si="803"/>
        <v>Mar</v>
      </c>
      <c r="P7228" s="265">
        <f t="shared" si="804"/>
        <v>14</v>
      </c>
    </row>
    <row r="7229" spans="1:16" ht="15" hidden="1" customHeight="1">
      <c r="A7229" s="489">
        <v>69568829</v>
      </c>
      <c r="B7229" s="489">
        <v>2904</v>
      </c>
      <c r="C7229" s="488">
        <v>31000</v>
      </c>
      <c r="D7229" s="597">
        <v>46111</v>
      </c>
      <c r="E7229" s="489" t="s">
        <v>487</v>
      </c>
      <c r="F7229" s="489" t="s">
        <v>1236</v>
      </c>
      <c r="G7229" s="395">
        <f>VLOOKUP($A7229,'Tech Litons'!$A:$I,8,FALSE)</f>
        <v>8.5199999999999998E-3</v>
      </c>
      <c r="H7229" s="174">
        <f>VLOOKUP($A7229,'Tech Litons'!$A:$I,9,FALSE)</f>
        <v>176</v>
      </c>
      <c r="I7229" s="174" t="str">
        <f>VLOOKUP($A7229,'Tech Litons'!$A:$C,3,0)</f>
        <v>48oz</v>
      </c>
      <c r="J7229" s="175" t="str">
        <f t="shared" si="799"/>
        <v>290448oz</v>
      </c>
      <c r="K7229" s="176">
        <f>VLOOKUP(I7229,'Attain %'!A:B,2,0)</f>
        <v>0.94</v>
      </c>
      <c r="L7229" s="177">
        <f t="shared" si="800"/>
        <v>29140</v>
      </c>
      <c r="M7229" s="177">
        <f t="shared" si="801"/>
        <v>248.27279999999999</v>
      </c>
      <c r="N7229" s="177">
        <f t="shared" si="802"/>
        <v>165.56818181818181</v>
      </c>
      <c r="O7229" s="175" t="str">
        <f t="shared" si="803"/>
        <v>Mar</v>
      </c>
      <c r="P7229" s="265">
        <f t="shared" si="804"/>
        <v>14</v>
      </c>
    </row>
    <row r="7230" spans="1:16" ht="15" hidden="1" customHeight="1">
      <c r="A7230" s="489">
        <v>68852591</v>
      </c>
      <c r="B7230" s="489">
        <v>1352</v>
      </c>
      <c r="D7230" s="597">
        <v>46111</v>
      </c>
      <c r="E7230" s="489" t="s">
        <v>326</v>
      </c>
      <c r="F7230" s="489" t="s">
        <v>1214</v>
      </c>
      <c r="G7230" s="395">
        <f>VLOOKUP($A7230,'Tech Litons'!$A:$I,8,FALSE)</f>
        <v>8.5199999999999998E-3</v>
      </c>
      <c r="H7230" s="174">
        <f>VLOOKUP($A7230,'Tech Litons'!$A:$I,9,FALSE)</f>
        <v>132</v>
      </c>
      <c r="I7230" s="174" t="str">
        <f>VLOOKUP($A7230,'Tech Litons'!$A:$C,3,0)</f>
        <v>EDF</v>
      </c>
      <c r="J7230" s="175" t="str">
        <f t="shared" si="799"/>
        <v>1352EDF</v>
      </c>
      <c r="K7230" s="176">
        <f>VLOOKUP(I7230,'Attain %'!A:B,2,0)</f>
        <v>0.96</v>
      </c>
      <c r="L7230" s="177">
        <f t="shared" si="800"/>
        <v>0</v>
      </c>
      <c r="M7230" s="177">
        <f t="shared" si="801"/>
        <v>0</v>
      </c>
      <c r="N7230" s="177">
        <f t="shared" si="802"/>
        <v>0</v>
      </c>
      <c r="O7230" s="175" t="str">
        <f t="shared" si="803"/>
        <v>Mar</v>
      </c>
      <c r="P7230" s="265">
        <f t="shared" si="804"/>
        <v>14</v>
      </c>
    </row>
    <row r="7231" spans="1:16" ht="15" hidden="1" customHeight="1">
      <c r="A7231" s="489">
        <v>64958129</v>
      </c>
      <c r="B7231" s="489">
        <v>1716</v>
      </c>
      <c r="D7231" s="597">
        <v>46111</v>
      </c>
      <c r="E7231" s="489" t="s">
        <v>589</v>
      </c>
      <c r="F7231" s="489" t="s">
        <v>1221</v>
      </c>
      <c r="G7231" s="395">
        <f>VLOOKUP($A7231,'Tech Litons'!$A:$I,8,FALSE)</f>
        <v>3.3119999999999998E-3</v>
      </c>
      <c r="H7231" s="174">
        <f>VLOOKUP($A7231,'Tech Litons'!$A:$I,9,FALSE)</f>
        <v>165</v>
      </c>
      <c r="I7231" s="174" t="str">
        <f>VLOOKUP($A7231,'Tech Litons'!$A:$C,3,0)</f>
        <v>Yasso Sticks</v>
      </c>
      <c r="J7231" s="175" t="str">
        <f t="shared" si="799"/>
        <v>1716Yasso Sticks</v>
      </c>
      <c r="K7231" s="176">
        <f>VLOOKUP(I7231,'Attain %'!A:B,2,0)</f>
        <v>0.96</v>
      </c>
      <c r="L7231" s="177">
        <f t="shared" si="800"/>
        <v>0</v>
      </c>
      <c r="M7231" s="177">
        <f t="shared" si="801"/>
        <v>0</v>
      </c>
      <c r="N7231" s="177">
        <f t="shared" si="802"/>
        <v>0</v>
      </c>
      <c r="O7231" s="175" t="str">
        <f t="shared" si="803"/>
        <v>Mar</v>
      </c>
      <c r="P7231" s="265">
        <f t="shared" si="804"/>
        <v>14</v>
      </c>
    </row>
    <row r="7232" spans="1:16" ht="15" hidden="1" customHeight="1">
      <c r="A7232" s="489">
        <v>68817801</v>
      </c>
      <c r="B7232" s="489">
        <v>1352</v>
      </c>
      <c r="C7232" s="488">
        <v>26400</v>
      </c>
      <c r="D7232" s="597">
        <v>46111</v>
      </c>
      <c r="E7232" s="489" t="s">
        <v>333</v>
      </c>
      <c r="F7232" s="489" t="s">
        <v>1211</v>
      </c>
      <c r="G7232" s="395">
        <f>VLOOKUP($A7232,'Tech Litons'!$A:$I,8,FALSE)</f>
        <v>8.5199999999999998E-3</v>
      </c>
      <c r="H7232" s="174">
        <f>VLOOKUP($A7232,'Tech Litons'!$A:$I,9,FALSE)</f>
        <v>176</v>
      </c>
      <c r="I7232" s="174" t="str">
        <f>VLOOKUP($A7232,'Tech Litons'!$A:$C,3,0)</f>
        <v>48oz</v>
      </c>
      <c r="J7232" s="175" t="str">
        <f t="shared" si="799"/>
        <v>135248oz</v>
      </c>
      <c r="K7232" s="176">
        <f>VLOOKUP(I7232,'Attain %'!A:B,2,0)</f>
        <v>0.94</v>
      </c>
      <c r="L7232" s="177">
        <f t="shared" si="800"/>
        <v>24816</v>
      </c>
      <c r="M7232" s="177">
        <f t="shared" si="801"/>
        <v>211.43232</v>
      </c>
      <c r="N7232" s="177">
        <f t="shared" si="802"/>
        <v>141</v>
      </c>
      <c r="O7232" s="175" t="str">
        <f t="shared" si="803"/>
        <v>Mar</v>
      </c>
      <c r="P7232" s="265">
        <f t="shared" si="804"/>
        <v>14</v>
      </c>
    </row>
    <row r="7233" spans="1:16" ht="15" hidden="1" customHeight="1">
      <c r="A7233" s="489">
        <v>69568829</v>
      </c>
      <c r="B7233" s="489">
        <v>1352</v>
      </c>
      <c r="C7233" s="488">
        <v>36150</v>
      </c>
      <c r="D7233" s="597">
        <v>46111</v>
      </c>
      <c r="E7233" s="489" t="s">
        <v>487</v>
      </c>
      <c r="F7233" s="489" t="s">
        <v>1211</v>
      </c>
      <c r="G7233" s="395">
        <f>VLOOKUP($A7233,'Tech Litons'!$A:$I,8,FALSE)</f>
        <v>8.5199999999999998E-3</v>
      </c>
      <c r="H7233" s="174">
        <f>VLOOKUP($A7233,'Tech Litons'!$A:$I,9,FALSE)</f>
        <v>176</v>
      </c>
      <c r="I7233" s="174" t="str">
        <f>VLOOKUP($A7233,'Tech Litons'!$A:$C,3,0)</f>
        <v>48oz</v>
      </c>
      <c r="J7233" s="175" t="str">
        <f t="shared" si="799"/>
        <v>135248oz</v>
      </c>
      <c r="K7233" s="176">
        <f>VLOOKUP(I7233,'Attain %'!A:B,2,0)</f>
        <v>0.94</v>
      </c>
      <c r="L7233" s="177">
        <f t="shared" si="800"/>
        <v>33981</v>
      </c>
      <c r="M7233" s="177">
        <f t="shared" si="801"/>
        <v>289.51812000000001</v>
      </c>
      <c r="N7233" s="177">
        <f t="shared" si="802"/>
        <v>193.07386363636363</v>
      </c>
      <c r="O7233" s="175" t="str">
        <f t="shared" si="803"/>
        <v>Mar</v>
      </c>
      <c r="P7233" s="265">
        <f t="shared" si="804"/>
        <v>14</v>
      </c>
    </row>
    <row r="7234" spans="1:16" ht="15" hidden="1" customHeight="1">
      <c r="A7234" s="489">
        <v>64977494</v>
      </c>
      <c r="B7234" s="489">
        <v>1712</v>
      </c>
      <c r="C7234" s="488">
        <v>26480</v>
      </c>
      <c r="D7234" s="597">
        <v>46111</v>
      </c>
      <c r="E7234" s="489" t="s">
        <v>574</v>
      </c>
      <c r="F7234" s="489" t="s">
        <v>1221</v>
      </c>
      <c r="G7234" s="395">
        <f>VLOOKUP($A7234,'Tech Litons'!$A:$I,8,FALSE)</f>
        <v>2.8399999999999996E-3</v>
      </c>
      <c r="H7234" s="174">
        <f>VLOOKUP($A7234,'Tech Litons'!$A:$I,9,FALSE)</f>
        <v>130</v>
      </c>
      <c r="I7234" s="174" t="str">
        <f>VLOOKUP($A7234,'Tech Litons'!$A:$C,3,0)</f>
        <v>Other</v>
      </c>
      <c r="J7234" s="175" t="str">
        <f t="shared" si="799"/>
        <v>1712Other</v>
      </c>
      <c r="K7234" s="176">
        <f>VLOOKUP(I7234,'Attain %'!A:B,2,0)</f>
        <v>0.96</v>
      </c>
      <c r="L7234" s="177">
        <f t="shared" si="800"/>
        <v>25420.799999999999</v>
      </c>
      <c r="M7234" s="177">
        <f t="shared" si="801"/>
        <v>72.195071999999982</v>
      </c>
      <c r="N7234" s="177">
        <f t="shared" si="802"/>
        <v>195.54461538461538</v>
      </c>
      <c r="O7234" s="175" t="str">
        <f t="shared" si="803"/>
        <v>Mar</v>
      </c>
      <c r="P7234" s="265">
        <f t="shared" si="804"/>
        <v>14</v>
      </c>
    </row>
    <row r="7235" spans="1:16" ht="15" hidden="1" customHeight="1">
      <c r="A7235" s="489">
        <v>64999042</v>
      </c>
      <c r="B7235" s="489">
        <v>1716</v>
      </c>
      <c r="C7235" s="488">
        <v>26875</v>
      </c>
      <c r="D7235" s="597">
        <v>46111</v>
      </c>
      <c r="E7235" s="489" t="s">
        <v>489</v>
      </c>
      <c r="F7235" s="489" t="s">
        <v>1221</v>
      </c>
      <c r="G7235" s="395">
        <f>VLOOKUP($A7235,'Tech Litons'!$A:$I,8,FALSE)</f>
        <v>3.3119999999999998E-3</v>
      </c>
      <c r="H7235" s="174">
        <f>VLOOKUP($A7235,'Tech Litons'!$A:$I,9,FALSE)</f>
        <v>240</v>
      </c>
      <c r="I7235" s="174" t="str">
        <f>VLOOKUP($A7235,'Tech Litons'!$A:$C,3,0)</f>
        <v>YS PTS</v>
      </c>
      <c r="J7235" s="175" t="str">
        <f t="shared" si="799"/>
        <v>1716YS PTS</v>
      </c>
      <c r="K7235" s="176">
        <f>VLOOKUP(I7235,'Attain %'!A:B,2,0)</f>
        <v>0.96</v>
      </c>
      <c r="L7235" s="177">
        <f t="shared" si="800"/>
        <v>25800</v>
      </c>
      <c r="M7235" s="177">
        <f t="shared" si="801"/>
        <v>85.44959999999999</v>
      </c>
      <c r="N7235" s="177">
        <f t="shared" si="802"/>
        <v>107.5</v>
      </c>
      <c r="O7235" s="175" t="str">
        <f t="shared" si="803"/>
        <v>Mar</v>
      </c>
      <c r="P7235" s="265">
        <f t="shared" si="804"/>
        <v>14</v>
      </c>
    </row>
    <row r="7236" spans="1:16" ht="15" hidden="1" customHeight="1">
      <c r="A7236" s="489">
        <v>84141103</v>
      </c>
      <c r="B7236" s="489">
        <v>5914</v>
      </c>
      <c r="C7236" s="488">
        <v>56000</v>
      </c>
      <c r="D7236" s="597">
        <v>46111</v>
      </c>
      <c r="E7236" s="489" t="s">
        <v>314</v>
      </c>
      <c r="F7236" s="489" t="s">
        <v>1247</v>
      </c>
      <c r="G7236" s="395">
        <f>VLOOKUP($A7236,'Tech Litons'!$A:$I,8,FALSE)</f>
        <v>3.7853439999999999E-3</v>
      </c>
      <c r="H7236" s="174">
        <f>VLOOKUP($A7236,'Tech Litons'!$A:$I,9,FALSE)</f>
        <v>240</v>
      </c>
      <c r="I7236" s="174" t="str">
        <f>VLOOKUP($A7236,'Tech Litons'!$A:$C,3,0)</f>
        <v>BJ PTS</v>
      </c>
      <c r="J7236" s="175" t="str">
        <f t="shared" si="799"/>
        <v>5914BJ PTS</v>
      </c>
      <c r="K7236" s="176">
        <f>VLOOKUP(I7236,'Attain %'!A:B,2,0)</f>
        <v>0.95</v>
      </c>
      <c r="L7236" s="177">
        <f t="shared" si="800"/>
        <v>53200</v>
      </c>
      <c r="M7236" s="177">
        <f t="shared" si="801"/>
        <v>201.38030079999999</v>
      </c>
      <c r="N7236" s="177">
        <f t="shared" si="802"/>
        <v>221.66666666666666</v>
      </c>
      <c r="O7236" s="175" t="str">
        <f t="shared" si="803"/>
        <v>Mar</v>
      </c>
      <c r="P7236" s="265">
        <f t="shared" si="804"/>
        <v>14</v>
      </c>
    </row>
    <row r="7237" spans="1:16" ht="15" hidden="1" customHeight="1">
      <c r="A7237" s="489">
        <v>65549173</v>
      </c>
      <c r="B7237" s="489" t="s">
        <v>139</v>
      </c>
      <c r="D7237" s="597">
        <v>46111</v>
      </c>
      <c r="E7237" s="489" t="s">
        <v>1189</v>
      </c>
      <c r="F7237" s="489" t="s">
        <v>1223</v>
      </c>
      <c r="G7237" s="395">
        <f>VLOOKUP($A7237,'Tech Litons'!$A:$I,8,FALSE)</f>
        <v>1.1999999999999999E-3</v>
      </c>
      <c r="H7237" s="174">
        <f>VLOOKUP($A7237,'Tech Litons'!$A:$I,9,FALSE)</f>
        <v>210</v>
      </c>
      <c r="I7237" s="174" t="str">
        <f>VLOOKUP($A7237,'Tech Litons'!$A:$C,3,0)</f>
        <v>Facepieces</v>
      </c>
      <c r="J7237" s="175" t="str">
        <f t="shared" si="799"/>
        <v>IncomFacepieces</v>
      </c>
      <c r="K7237" s="176">
        <f>VLOOKUP(I7237,'Attain %'!A:B,2,0)</f>
        <v>0.96</v>
      </c>
      <c r="L7237" s="177">
        <f t="shared" si="800"/>
        <v>0</v>
      </c>
      <c r="M7237" s="177">
        <f t="shared" si="801"/>
        <v>0</v>
      </c>
      <c r="N7237" s="177">
        <f t="shared" si="802"/>
        <v>0</v>
      </c>
      <c r="O7237" s="175" t="str">
        <f t="shared" si="803"/>
        <v>Mar</v>
      </c>
      <c r="P7237" s="265">
        <f t="shared" si="804"/>
        <v>14</v>
      </c>
    </row>
    <row r="7238" spans="1:16" ht="15" hidden="1" customHeight="1">
      <c r="A7238" s="489">
        <v>64789262</v>
      </c>
      <c r="B7238" s="489">
        <v>1352</v>
      </c>
      <c r="D7238" s="597">
        <v>46111</v>
      </c>
      <c r="E7238" s="489" t="s">
        <v>424</v>
      </c>
      <c r="F7238" s="489" t="s">
        <v>1219</v>
      </c>
      <c r="G7238" s="395">
        <f>VLOOKUP($A7238,'Tech Litons'!$A:$I,8,FALSE)</f>
        <v>2.8319999999999999E-3</v>
      </c>
      <c r="H7238" s="174">
        <f>VLOOKUP($A7238,'Tech Litons'!$A:$I,9,FALSE)</f>
        <v>225</v>
      </c>
      <c r="I7238" s="174" t="str">
        <f>VLOOKUP($A7238,'Tech Litons'!$A:$C,3,0)</f>
        <v>MBG</v>
      </c>
      <c r="J7238" s="175" t="str">
        <f t="shared" si="799"/>
        <v>1352MBG</v>
      </c>
      <c r="K7238" s="176">
        <f>VLOOKUP(I7238,'Attain %'!A:B,2,0)</f>
        <v>0.96</v>
      </c>
      <c r="L7238" s="177">
        <f t="shared" si="800"/>
        <v>0</v>
      </c>
      <c r="M7238" s="177">
        <f t="shared" si="801"/>
        <v>0</v>
      </c>
      <c r="N7238" s="177">
        <f t="shared" si="802"/>
        <v>0</v>
      </c>
      <c r="O7238" s="175" t="str">
        <f t="shared" si="803"/>
        <v>Mar</v>
      </c>
      <c r="P7238" s="265">
        <f t="shared" si="804"/>
        <v>14</v>
      </c>
    </row>
    <row r="7239" spans="1:16" ht="15" hidden="1" customHeight="1">
      <c r="A7239" s="489">
        <v>68354590</v>
      </c>
      <c r="B7239" s="489">
        <v>2904</v>
      </c>
      <c r="D7239" s="597">
        <v>46111</v>
      </c>
      <c r="E7239" s="489" t="s">
        <v>376</v>
      </c>
      <c r="F7239" s="489" t="s">
        <v>1229</v>
      </c>
      <c r="G7239" s="395">
        <f>VLOOKUP($A7239,'Tech Litons'!$A:$I,8,FALSE)</f>
        <v>3.5999999999999999E-3</v>
      </c>
      <c r="H7239" s="174">
        <f>VLOOKUP($A7239,'Tech Litons'!$A:$I,9,FALSE)</f>
        <v>240</v>
      </c>
      <c r="I7239" s="174" t="str">
        <f>VLOOKUP($A7239,'Tech Litons'!$A:$C,3,0)</f>
        <v>Topped</v>
      </c>
      <c r="J7239" s="175" t="str">
        <f t="shared" si="799"/>
        <v>2904Topped</v>
      </c>
      <c r="K7239" s="176">
        <f>VLOOKUP(I7239,'Attain %'!A:B,2,0)</f>
        <v>0.96</v>
      </c>
      <c r="L7239" s="177">
        <f t="shared" si="800"/>
        <v>0</v>
      </c>
      <c r="M7239" s="177">
        <f t="shared" si="801"/>
        <v>0</v>
      </c>
      <c r="N7239" s="177">
        <f t="shared" si="802"/>
        <v>0</v>
      </c>
      <c r="O7239" s="175" t="str">
        <f t="shared" si="803"/>
        <v>Mar</v>
      </c>
      <c r="P7239" s="265">
        <f t="shared" si="804"/>
        <v>14</v>
      </c>
    </row>
    <row r="7240" spans="1:16" ht="15" hidden="1" customHeight="1">
      <c r="A7240" s="489">
        <v>64987232</v>
      </c>
      <c r="B7240" s="489">
        <v>1716</v>
      </c>
      <c r="C7240" s="601"/>
      <c r="D7240" s="597">
        <v>46111</v>
      </c>
      <c r="E7240" s="489" t="s">
        <v>596</v>
      </c>
      <c r="F7240" s="489" t="s">
        <v>1221</v>
      </c>
      <c r="G7240" s="395">
        <f>VLOOKUP($A7240,'Tech Litons'!$A:$I,8,FALSE)</f>
        <v>2.3999999999999998E-3</v>
      </c>
      <c r="H7240" s="174">
        <f>VLOOKUP($A7240,'Tech Litons'!$A:$I,9,FALSE)</f>
        <v>165</v>
      </c>
      <c r="I7240" s="174" t="str">
        <f>VLOOKUP($A7240,'Tech Litons'!$A:$C,3,0)</f>
        <v>BJ Bars</v>
      </c>
      <c r="J7240" s="175" t="str">
        <f t="shared" si="799"/>
        <v>1716BJ Bars</v>
      </c>
      <c r="K7240" s="176">
        <f>VLOOKUP(I7240,'Attain %'!A:B,2,0)</f>
        <v>0.96</v>
      </c>
      <c r="L7240" s="177">
        <f t="shared" si="800"/>
        <v>0</v>
      </c>
      <c r="M7240" s="177">
        <f t="shared" si="801"/>
        <v>0</v>
      </c>
      <c r="N7240" s="177">
        <f t="shared" si="802"/>
        <v>0</v>
      </c>
      <c r="O7240" s="175" t="str">
        <f t="shared" si="803"/>
        <v>Mar</v>
      </c>
      <c r="P7240" s="265">
        <f t="shared" si="804"/>
        <v>14</v>
      </c>
    </row>
    <row r="7241" spans="1:16" ht="15" hidden="1" customHeight="1">
      <c r="A7241" s="489">
        <v>68689251</v>
      </c>
      <c r="B7241" s="489">
        <v>1352</v>
      </c>
      <c r="C7241" s="488">
        <v>16500</v>
      </c>
      <c r="D7241" s="597">
        <v>46111</v>
      </c>
      <c r="E7241" s="489" t="s">
        <v>262</v>
      </c>
      <c r="F7241" s="489" t="s">
        <v>1210</v>
      </c>
      <c r="G7241" s="395">
        <f>VLOOKUP($A7241,'Tech Litons'!$A:$I,8,FALSE)</f>
        <v>9.5760000000000012E-3</v>
      </c>
      <c r="H7241" s="174">
        <f>VLOOKUP($A7241,'Tech Litons'!$A:$I,9,FALSE)</f>
        <v>132</v>
      </c>
      <c r="I7241" s="174" t="str">
        <f>VLOOKUP($A7241,'Tech Litons'!$A:$C,3,0)</f>
        <v>EDF</v>
      </c>
      <c r="J7241" s="175" t="str">
        <f t="shared" si="799"/>
        <v>1352EDF</v>
      </c>
      <c r="K7241" s="176">
        <f>VLOOKUP(I7241,'Attain %'!A:B,2,0)</f>
        <v>0.96</v>
      </c>
      <c r="L7241" s="177">
        <f t="shared" si="800"/>
        <v>15840</v>
      </c>
      <c r="M7241" s="177">
        <f t="shared" si="801"/>
        <v>151.68384000000003</v>
      </c>
      <c r="N7241" s="177">
        <f t="shared" si="802"/>
        <v>120</v>
      </c>
      <c r="O7241" s="175" t="str">
        <f t="shared" si="803"/>
        <v>Mar</v>
      </c>
      <c r="P7241" s="265">
        <f t="shared" si="804"/>
        <v>14</v>
      </c>
    </row>
    <row r="7242" spans="1:16" ht="15" hidden="1" customHeight="1">
      <c r="A7242" s="489">
        <v>68851107</v>
      </c>
      <c r="B7242" s="489">
        <v>1352</v>
      </c>
      <c r="D7242" s="597">
        <v>46111</v>
      </c>
      <c r="E7242" s="489" t="s">
        <v>272</v>
      </c>
      <c r="F7242" s="489" t="s">
        <v>1211</v>
      </c>
      <c r="G7242" s="395">
        <f>VLOOKUP($A7242,'Tech Litons'!$A:$I,8,FALSE)</f>
        <v>8.5199999999999998E-3</v>
      </c>
      <c r="H7242" s="174">
        <f>VLOOKUP($A7242,'Tech Litons'!$A:$I,9,FALSE)</f>
        <v>176</v>
      </c>
      <c r="I7242" s="174" t="str">
        <f>VLOOKUP($A7242,'Tech Litons'!$A:$C,3,0)</f>
        <v>48oz</v>
      </c>
      <c r="J7242" s="175" t="str">
        <f t="shared" si="799"/>
        <v>135248oz</v>
      </c>
      <c r="K7242" s="176">
        <f>VLOOKUP(I7242,'Attain %'!A:B,2,0)</f>
        <v>0.94</v>
      </c>
      <c r="L7242" s="177">
        <f t="shared" si="800"/>
        <v>0</v>
      </c>
      <c r="M7242" s="177">
        <f t="shared" si="801"/>
        <v>0</v>
      </c>
      <c r="N7242" s="177">
        <f t="shared" si="802"/>
        <v>0</v>
      </c>
      <c r="O7242" s="175" t="str">
        <f t="shared" si="803"/>
        <v>Mar</v>
      </c>
      <c r="P7242" s="265">
        <f t="shared" si="804"/>
        <v>14</v>
      </c>
    </row>
    <row r="7243" spans="1:16" ht="15" hidden="1" customHeight="1">
      <c r="A7243" s="489">
        <v>69999269</v>
      </c>
      <c r="B7243" s="489">
        <v>5914</v>
      </c>
      <c r="C7243" s="488">
        <v>72800</v>
      </c>
      <c r="D7243" s="597">
        <v>46111</v>
      </c>
      <c r="E7243" s="489" t="s">
        <v>300</v>
      </c>
      <c r="F7243" s="489" t="s">
        <v>1247</v>
      </c>
      <c r="G7243" s="395">
        <f>VLOOKUP($A7243,'Tech Litons'!$A:$I,8,FALSE)</f>
        <v>3.7839999999999996E-3</v>
      </c>
      <c r="H7243" s="174">
        <f>VLOOKUP($A7243,'Tech Litons'!$A:$I,9,FALSE)</f>
        <v>240</v>
      </c>
      <c r="I7243" s="174" t="str">
        <f>VLOOKUP($A7243,'Tech Litons'!$A:$C,3,0)</f>
        <v>BJ PTS</v>
      </c>
      <c r="J7243" s="175" t="str">
        <f t="shared" si="799"/>
        <v>5914BJ PTS</v>
      </c>
      <c r="K7243" s="176">
        <f>VLOOKUP(I7243,'Attain %'!A:B,2,0)</f>
        <v>0.95</v>
      </c>
      <c r="L7243" s="177">
        <f t="shared" si="800"/>
        <v>69160</v>
      </c>
      <c r="M7243" s="177">
        <f t="shared" si="801"/>
        <v>261.70143999999999</v>
      </c>
      <c r="N7243" s="177">
        <f t="shared" si="802"/>
        <v>288.16666666666669</v>
      </c>
      <c r="O7243" s="175" t="str">
        <f t="shared" si="803"/>
        <v>Mar</v>
      </c>
      <c r="P7243" s="265">
        <f t="shared" si="804"/>
        <v>14</v>
      </c>
    </row>
    <row r="7244" spans="1:16" ht="15" hidden="1" customHeight="1">
      <c r="A7244" s="489">
        <v>68817801</v>
      </c>
      <c r="B7244" s="489">
        <v>1352</v>
      </c>
      <c r="D7244" s="597">
        <v>46111</v>
      </c>
      <c r="E7244" s="489" t="s">
        <v>333</v>
      </c>
      <c r="F7244" s="489" t="s">
        <v>1211</v>
      </c>
      <c r="G7244" s="395">
        <f>VLOOKUP($A7244,'Tech Litons'!$A:$I,8,FALSE)</f>
        <v>8.5199999999999998E-3</v>
      </c>
      <c r="H7244" s="174">
        <f>VLOOKUP($A7244,'Tech Litons'!$A:$I,9,FALSE)</f>
        <v>176</v>
      </c>
      <c r="I7244" s="174" t="str">
        <f>VLOOKUP($A7244,'Tech Litons'!$A:$C,3,0)</f>
        <v>48oz</v>
      </c>
      <c r="J7244" s="175" t="str">
        <f t="shared" si="799"/>
        <v>135248oz</v>
      </c>
      <c r="K7244" s="176">
        <f>VLOOKUP(I7244,'Attain %'!A:B,2,0)</f>
        <v>0.94</v>
      </c>
      <c r="L7244" s="177">
        <f t="shared" si="800"/>
        <v>0</v>
      </c>
      <c r="M7244" s="177">
        <f t="shared" si="801"/>
        <v>0</v>
      </c>
      <c r="N7244" s="177">
        <f t="shared" si="802"/>
        <v>0</v>
      </c>
      <c r="O7244" s="175" t="str">
        <f t="shared" si="803"/>
        <v>Mar</v>
      </c>
      <c r="P7244" s="265">
        <f t="shared" si="804"/>
        <v>14</v>
      </c>
    </row>
    <row r="7245" spans="1:16" ht="15" hidden="1" customHeight="1">
      <c r="A7245" s="489">
        <v>68689251</v>
      </c>
      <c r="B7245" s="489">
        <v>1352</v>
      </c>
      <c r="C7245" s="488">
        <v>16500</v>
      </c>
      <c r="D7245" s="597">
        <v>46111</v>
      </c>
      <c r="E7245" s="489" t="s">
        <v>262</v>
      </c>
      <c r="F7245" s="489" t="s">
        <v>1210</v>
      </c>
      <c r="G7245" s="395">
        <f>VLOOKUP($A7245,'Tech Litons'!$A:$I,8,FALSE)</f>
        <v>9.5760000000000012E-3</v>
      </c>
      <c r="H7245" s="174">
        <f>VLOOKUP($A7245,'Tech Litons'!$A:$I,9,FALSE)</f>
        <v>132</v>
      </c>
      <c r="I7245" s="174" t="str">
        <f>VLOOKUP($A7245,'Tech Litons'!$A:$C,3,0)</f>
        <v>EDF</v>
      </c>
      <c r="J7245" s="175" t="str">
        <f t="shared" si="799"/>
        <v>1352EDF</v>
      </c>
      <c r="K7245" s="176">
        <f>VLOOKUP(I7245,'Attain %'!A:B,2,0)</f>
        <v>0.96</v>
      </c>
      <c r="L7245" s="177">
        <f t="shared" si="800"/>
        <v>15840</v>
      </c>
      <c r="M7245" s="177">
        <f t="shared" si="801"/>
        <v>151.68384000000003</v>
      </c>
      <c r="N7245" s="177">
        <f t="shared" si="802"/>
        <v>120</v>
      </c>
      <c r="O7245" s="175" t="str">
        <f t="shared" si="803"/>
        <v>Mar</v>
      </c>
      <c r="P7245" s="265">
        <f t="shared" si="804"/>
        <v>14</v>
      </c>
    </row>
    <row r="7246" spans="1:16" ht="15" hidden="1" customHeight="1">
      <c r="A7246" s="489">
        <v>64987233</v>
      </c>
      <c r="B7246" s="489">
        <v>1716</v>
      </c>
      <c r="C7246" s="601"/>
      <c r="D7246" s="597">
        <v>46111</v>
      </c>
      <c r="E7246" s="489" t="s">
        <v>597</v>
      </c>
      <c r="F7246" s="489" t="s">
        <v>1221</v>
      </c>
      <c r="G7246" s="395">
        <f>VLOOKUP($A7246,'Tech Litons'!$A:$I,8,FALSE)</f>
        <v>2.3999999999999998E-3</v>
      </c>
      <c r="H7246" s="174">
        <f>VLOOKUP($A7246,'Tech Litons'!$A:$I,9,FALSE)</f>
        <v>165</v>
      </c>
      <c r="I7246" s="174" t="str">
        <f>VLOOKUP($A7246,'Tech Litons'!$A:$C,3,0)</f>
        <v>BJ Bars</v>
      </c>
      <c r="J7246" s="175" t="str">
        <f t="shared" si="799"/>
        <v>1716BJ Bars</v>
      </c>
      <c r="K7246" s="176">
        <f>VLOOKUP(I7246,'Attain %'!A:B,2,0)</f>
        <v>0.96</v>
      </c>
      <c r="L7246" s="177">
        <f t="shared" si="800"/>
        <v>0</v>
      </c>
      <c r="M7246" s="177">
        <f t="shared" si="801"/>
        <v>0</v>
      </c>
      <c r="N7246" s="177">
        <f t="shared" si="802"/>
        <v>0</v>
      </c>
      <c r="O7246" s="175" t="str">
        <f t="shared" si="803"/>
        <v>Mar</v>
      </c>
      <c r="P7246" s="265">
        <f t="shared" si="804"/>
        <v>14</v>
      </c>
    </row>
    <row r="7247" spans="1:16" ht="15" hidden="1" customHeight="1">
      <c r="A7247" s="489">
        <v>64956417</v>
      </c>
      <c r="B7247" s="489" t="s">
        <v>139</v>
      </c>
      <c r="D7247" s="597">
        <v>46111</v>
      </c>
      <c r="E7247" s="489" t="s">
        <v>621</v>
      </c>
      <c r="F7247" s="489" t="s">
        <v>1223</v>
      </c>
      <c r="G7247" s="395">
        <f>VLOOKUP($A7247,'Tech Litons'!$A:$I,8,FALSE)</f>
        <v>2.16E-3</v>
      </c>
      <c r="H7247" s="174">
        <f>VLOOKUP($A7247,'Tech Litons'!$A:$I,9,FALSE)</f>
        <v>143</v>
      </c>
      <c r="I7247" s="174" t="str">
        <f>VLOOKUP($A7247,'Tech Litons'!$A:$C,3,0)</f>
        <v>Facepieces</v>
      </c>
      <c r="J7247" s="175" t="str">
        <f t="shared" si="799"/>
        <v>IncomFacepieces</v>
      </c>
      <c r="K7247" s="176">
        <f>VLOOKUP(I7247,'Attain %'!A:B,2,0)</f>
        <v>0.96</v>
      </c>
      <c r="L7247" s="177">
        <f t="shared" si="800"/>
        <v>0</v>
      </c>
      <c r="M7247" s="177">
        <f t="shared" si="801"/>
        <v>0</v>
      </c>
      <c r="N7247" s="177">
        <f t="shared" si="802"/>
        <v>0</v>
      </c>
      <c r="O7247" s="175" t="str">
        <f t="shared" si="803"/>
        <v>Mar</v>
      </c>
      <c r="P7247" s="265">
        <f t="shared" si="804"/>
        <v>14</v>
      </c>
    </row>
    <row r="7248" spans="1:16" ht="15" hidden="1" customHeight="1">
      <c r="A7248" s="489">
        <v>68649095</v>
      </c>
      <c r="B7248" s="489">
        <v>2904</v>
      </c>
      <c r="D7248" s="597">
        <v>46111</v>
      </c>
      <c r="E7248" s="489" t="s">
        <v>294</v>
      </c>
      <c r="F7248" s="489" t="s">
        <v>1229</v>
      </c>
      <c r="G7248" s="395">
        <f>VLOOKUP($A7248,'Tech Litons'!$A:$I,8,FALSE)</f>
        <v>3.5999999999999999E-3</v>
      </c>
      <c r="H7248" s="174">
        <f>VLOOKUP($A7248,'Tech Litons'!$A:$I,9,FALSE)</f>
        <v>240</v>
      </c>
      <c r="I7248" s="174" t="str">
        <f>VLOOKUP($A7248,'Tech Litons'!$A:$C,3,0)</f>
        <v>Topped</v>
      </c>
      <c r="J7248" s="175" t="str">
        <f t="shared" si="799"/>
        <v>2904Topped</v>
      </c>
      <c r="K7248" s="176">
        <f>VLOOKUP(I7248,'Attain %'!A:B,2,0)</f>
        <v>0.96</v>
      </c>
      <c r="L7248" s="177">
        <f t="shared" si="800"/>
        <v>0</v>
      </c>
      <c r="M7248" s="177">
        <f t="shared" si="801"/>
        <v>0</v>
      </c>
      <c r="N7248" s="177">
        <f t="shared" si="802"/>
        <v>0</v>
      </c>
      <c r="O7248" s="175" t="str">
        <f t="shared" si="803"/>
        <v>Mar</v>
      </c>
      <c r="P7248" s="265">
        <f t="shared" si="804"/>
        <v>14</v>
      </c>
    </row>
    <row r="7249" spans="1:16" ht="15" hidden="1" customHeight="1">
      <c r="A7249" s="489">
        <v>69568829</v>
      </c>
      <c r="B7249" s="489">
        <v>1352</v>
      </c>
      <c r="D7249" s="597">
        <v>46111</v>
      </c>
      <c r="E7249" s="489" t="s">
        <v>487</v>
      </c>
      <c r="F7249" s="489" t="s">
        <v>1211</v>
      </c>
      <c r="G7249" s="395">
        <f>VLOOKUP($A7249,'Tech Litons'!$A:$I,8,FALSE)</f>
        <v>8.5199999999999998E-3</v>
      </c>
      <c r="H7249" s="174">
        <f>VLOOKUP($A7249,'Tech Litons'!$A:$I,9,FALSE)</f>
        <v>176</v>
      </c>
      <c r="I7249" s="174" t="str">
        <f>VLOOKUP($A7249,'Tech Litons'!$A:$C,3,0)</f>
        <v>48oz</v>
      </c>
      <c r="J7249" s="175" t="str">
        <f t="shared" si="799"/>
        <v>135248oz</v>
      </c>
      <c r="K7249" s="176">
        <f>VLOOKUP(I7249,'Attain %'!A:B,2,0)</f>
        <v>0.94</v>
      </c>
      <c r="L7249" s="177">
        <f t="shared" si="800"/>
        <v>0</v>
      </c>
      <c r="M7249" s="177">
        <f t="shared" si="801"/>
        <v>0</v>
      </c>
      <c r="N7249" s="177">
        <f t="shared" si="802"/>
        <v>0</v>
      </c>
      <c r="O7249" s="175" t="str">
        <f t="shared" si="803"/>
        <v>Mar</v>
      </c>
      <c r="P7249" s="265">
        <f t="shared" si="804"/>
        <v>14</v>
      </c>
    </row>
    <row r="7250" spans="1:16" ht="15" hidden="1" customHeight="1">
      <c r="A7250" s="489">
        <v>62714126</v>
      </c>
      <c r="B7250" s="489" t="s">
        <v>133</v>
      </c>
      <c r="D7250" s="597">
        <v>46111</v>
      </c>
      <c r="E7250" s="489" t="s">
        <v>402</v>
      </c>
      <c r="F7250" s="489" t="s">
        <v>1223</v>
      </c>
      <c r="G7250" s="395">
        <f>VLOOKUP($A7250,'Tech Litons'!$A:$I,8,FALSE)</f>
        <v>5.2680000000000001E-3</v>
      </c>
      <c r="H7250" s="174">
        <f>VLOOKUP($A7250,'Tech Litons'!$A:$I,9,FALSE)</f>
        <v>130</v>
      </c>
      <c r="I7250" s="174" t="str">
        <f>VLOOKUP($A7250,'Tech Litons'!$A:$C,3,0)</f>
        <v>PG</v>
      </c>
      <c r="J7250" s="175" t="str">
        <f t="shared" si="799"/>
        <v>GDIPG</v>
      </c>
      <c r="K7250" s="176">
        <f>VLOOKUP(I7250,'Attain %'!A:B,2,0)</f>
        <v>0.96</v>
      </c>
      <c r="L7250" s="177">
        <f t="shared" si="800"/>
        <v>0</v>
      </c>
      <c r="M7250" s="177">
        <f t="shared" si="801"/>
        <v>0</v>
      </c>
      <c r="N7250" s="177">
        <f t="shared" si="802"/>
        <v>0</v>
      </c>
      <c r="O7250" s="175" t="str">
        <f t="shared" si="803"/>
        <v>Mar</v>
      </c>
      <c r="P7250" s="265">
        <f t="shared" si="804"/>
        <v>14</v>
      </c>
    </row>
    <row r="7251" spans="1:16" ht="15" hidden="1" customHeight="1">
      <c r="A7251" s="489">
        <v>64393722</v>
      </c>
      <c r="B7251" s="489">
        <v>2904</v>
      </c>
      <c r="D7251" s="597">
        <v>46111</v>
      </c>
      <c r="E7251" s="489" t="s">
        <v>282</v>
      </c>
      <c r="F7251" s="489" t="s">
        <v>1238</v>
      </c>
      <c r="G7251" s="395">
        <f>VLOOKUP($A7251,'Tech Litons'!$A:$I,8,FALSE)</f>
        <v>2.16E-3</v>
      </c>
      <c r="H7251" s="174">
        <f>VLOOKUP($A7251,'Tech Litons'!$A:$I,9,FALSE)</f>
        <v>210</v>
      </c>
      <c r="I7251" s="174" t="str">
        <f>VLOOKUP($A7251,'Tech Litons'!$A:$C,3,0)</f>
        <v>MG Sticks</v>
      </c>
      <c r="J7251" s="175" t="str">
        <f t="shared" si="799"/>
        <v>2904MG Sticks</v>
      </c>
      <c r="K7251" s="176">
        <f>VLOOKUP(I7251,'Attain %'!A:B,2,0)</f>
        <v>0.96</v>
      </c>
      <c r="L7251" s="177">
        <f t="shared" si="800"/>
        <v>0</v>
      </c>
      <c r="M7251" s="177">
        <f t="shared" si="801"/>
        <v>0</v>
      </c>
      <c r="N7251" s="177">
        <f t="shared" si="802"/>
        <v>0</v>
      </c>
      <c r="O7251" s="175" t="str">
        <f t="shared" si="803"/>
        <v>Mar</v>
      </c>
      <c r="P7251" s="265">
        <f t="shared" si="804"/>
        <v>14</v>
      </c>
    </row>
    <row r="7252" spans="1:16" ht="15" hidden="1" customHeight="1">
      <c r="A7252" s="489">
        <v>64979444</v>
      </c>
      <c r="B7252" s="489" t="s">
        <v>139</v>
      </c>
      <c r="D7252" s="597">
        <v>46111</v>
      </c>
      <c r="E7252" s="489" t="s">
        <v>622</v>
      </c>
      <c r="F7252" s="489" t="s">
        <v>1223</v>
      </c>
      <c r="G7252" s="395">
        <f>VLOOKUP($A7252,'Tech Litons'!$A:$I,8,FALSE)</f>
        <v>2.16E-3</v>
      </c>
      <c r="H7252" s="174">
        <f>VLOOKUP($A7252,'Tech Litons'!$A:$I,9,FALSE)</f>
        <v>195</v>
      </c>
      <c r="I7252" s="174" t="str">
        <f>VLOOKUP($A7252,'Tech Litons'!$A:$C,3,0)</f>
        <v>Facepieces</v>
      </c>
      <c r="J7252" s="175" t="str">
        <f t="shared" si="799"/>
        <v>IncomFacepieces</v>
      </c>
      <c r="K7252" s="176">
        <f>VLOOKUP(I7252,'Attain %'!A:B,2,0)</f>
        <v>0.96</v>
      </c>
      <c r="L7252" s="177">
        <f t="shared" si="800"/>
        <v>0</v>
      </c>
      <c r="M7252" s="177">
        <f t="shared" si="801"/>
        <v>0</v>
      </c>
      <c r="N7252" s="177">
        <f t="shared" si="802"/>
        <v>0</v>
      </c>
      <c r="O7252" s="175" t="str">
        <f t="shared" si="803"/>
        <v>Mar</v>
      </c>
      <c r="P7252" s="265">
        <f t="shared" si="804"/>
        <v>14</v>
      </c>
    </row>
    <row r="7253" spans="1:16" ht="15" hidden="1" customHeight="1">
      <c r="A7253" s="489">
        <v>64396550</v>
      </c>
      <c r="B7253" s="489">
        <v>2904</v>
      </c>
      <c r="D7253" s="597">
        <v>46111</v>
      </c>
      <c r="E7253" s="489" t="s">
        <v>548</v>
      </c>
      <c r="F7253" s="489" t="s">
        <v>1239</v>
      </c>
      <c r="G7253" s="395">
        <f>VLOOKUP($A7253,'Tech Litons'!$A:$I,8,FALSE)</f>
        <v>1.08E-3</v>
      </c>
      <c r="H7253" s="174">
        <f>VLOOKUP($A7253,'Tech Litons'!$A:$I,9,FALSE)</f>
        <v>493</v>
      </c>
      <c r="I7253" s="174" t="str">
        <f>VLOOKUP($A7253,'Tech Litons'!$A:$C,3,0)</f>
        <v>MG Sticks</v>
      </c>
      <c r="J7253" s="175" t="str">
        <f t="shared" si="799"/>
        <v>2904MG Sticks</v>
      </c>
      <c r="K7253" s="176">
        <f>VLOOKUP(I7253,'Attain %'!A:B,2,0)</f>
        <v>0.96</v>
      </c>
      <c r="L7253" s="177">
        <f t="shared" si="800"/>
        <v>0</v>
      </c>
      <c r="M7253" s="177">
        <f t="shared" si="801"/>
        <v>0</v>
      </c>
      <c r="N7253" s="177">
        <f t="shared" si="802"/>
        <v>0</v>
      </c>
      <c r="O7253" s="175" t="str">
        <f t="shared" si="803"/>
        <v>Mar</v>
      </c>
      <c r="P7253" s="265">
        <f t="shared" si="804"/>
        <v>14</v>
      </c>
    </row>
    <row r="7254" spans="1:16" ht="15" hidden="1" customHeight="1">
      <c r="A7254" s="489">
        <v>64341108</v>
      </c>
      <c r="B7254" s="489" t="s">
        <v>139</v>
      </c>
      <c r="D7254" s="597">
        <v>46111</v>
      </c>
      <c r="E7254" s="489" t="s">
        <v>615</v>
      </c>
      <c r="F7254" s="489" t="s">
        <v>1223</v>
      </c>
      <c r="G7254" s="395">
        <f>VLOOKUP($A7254,'Tech Litons'!$A:$I,8,FALSE)</f>
        <v>2.3599999999999997E-3</v>
      </c>
      <c r="H7254" s="174">
        <f>VLOOKUP($A7254,'Tech Litons'!$A:$I,9,FALSE)</f>
        <v>210</v>
      </c>
      <c r="I7254" s="174" t="str">
        <f>VLOOKUP($A7254,'Tech Litons'!$A:$C,3,0)</f>
        <v>Facepieces</v>
      </c>
      <c r="J7254" s="175" t="str">
        <f t="shared" si="799"/>
        <v>IncomFacepieces</v>
      </c>
      <c r="K7254" s="176">
        <f>VLOOKUP(I7254,'Attain %'!A:B,2,0)</f>
        <v>0.96</v>
      </c>
      <c r="L7254" s="177">
        <f t="shared" si="800"/>
        <v>0</v>
      </c>
      <c r="M7254" s="177">
        <f t="shared" si="801"/>
        <v>0</v>
      </c>
      <c r="N7254" s="177">
        <f t="shared" si="802"/>
        <v>0</v>
      </c>
      <c r="O7254" s="175" t="str">
        <f t="shared" si="803"/>
        <v>Mar</v>
      </c>
      <c r="P7254" s="265">
        <f t="shared" si="804"/>
        <v>14</v>
      </c>
    </row>
    <row r="7255" spans="1:16" ht="15" hidden="1" customHeight="1">
      <c r="A7255" s="489">
        <v>64958127</v>
      </c>
      <c r="B7255" s="489">
        <v>2904</v>
      </c>
      <c r="D7255" s="597">
        <v>46111</v>
      </c>
      <c r="E7255" s="489" t="s">
        <v>237</v>
      </c>
      <c r="F7255" s="489" t="s">
        <v>1233</v>
      </c>
      <c r="G7255" s="395">
        <f>VLOOKUP($A7255,'Tech Litons'!$A:$I,8,FALSE)</f>
        <v>3.3119999999999998E-3</v>
      </c>
      <c r="H7255" s="174">
        <f>VLOOKUP($A7255,'Tech Litons'!$A:$I,9,FALSE)</f>
        <v>165</v>
      </c>
      <c r="I7255" s="174" t="str">
        <f>VLOOKUP($A7255,'Tech Litons'!$A:$C,3,0)</f>
        <v>Yasso Sticks</v>
      </c>
      <c r="J7255" s="175" t="str">
        <f t="shared" si="799"/>
        <v>2904Yasso Sticks</v>
      </c>
      <c r="K7255" s="176">
        <f>VLOOKUP(I7255,'Attain %'!A:B,2,0)</f>
        <v>0.96</v>
      </c>
      <c r="L7255" s="177">
        <f t="shared" si="800"/>
        <v>0</v>
      </c>
      <c r="M7255" s="177">
        <f t="shared" si="801"/>
        <v>0</v>
      </c>
      <c r="N7255" s="177">
        <f t="shared" si="802"/>
        <v>0</v>
      </c>
      <c r="O7255" s="175" t="str">
        <f t="shared" si="803"/>
        <v>Mar</v>
      </c>
      <c r="P7255" s="265">
        <f t="shared" si="804"/>
        <v>14</v>
      </c>
    </row>
    <row r="7256" spans="1:16" ht="15" hidden="1" customHeight="1">
      <c r="A7256" s="489">
        <v>64958124</v>
      </c>
      <c r="B7256" s="489">
        <v>1715</v>
      </c>
      <c r="D7256" s="597">
        <v>46111</v>
      </c>
      <c r="E7256" s="489" t="s">
        <v>587</v>
      </c>
      <c r="F7256" s="489" t="s">
        <v>1221</v>
      </c>
      <c r="G7256" s="395">
        <f>VLOOKUP($A7256,'Tech Litons'!$A:$I,8,FALSE)</f>
        <v>3.3119999999999998E-3</v>
      </c>
      <c r="H7256" s="174">
        <f>VLOOKUP($A7256,'Tech Litons'!$A:$I,9,FALSE)</f>
        <v>165</v>
      </c>
      <c r="I7256" s="174" t="str">
        <f>VLOOKUP($A7256,'Tech Litons'!$A:$C,3,0)</f>
        <v>Yasso Sticks</v>
      </c>
      <c r="J7256" s="175" t="str">
        <f t="shared" si="799"/>
        <v>1715Yasso Sticks</v>
      </c>
      <c r="K7256" s="176">
        <f>VLOOKUP(I7256,'Attain %'!A:B,2,0)</f>
        <v>0.96</v>
      </c>
      <c r="L7256" s="177">
        <f t="shared" si="800"/>
        <v>0</v>
      </c>
      <c r="M7256" s="177">
        <f t="shared" si="801"/>
        <v>0</v>
      </c>
      <c r="N7256" s="177">
        <f t="shared" si="802"/>
        <v>0</v>
      </c>
      <c r="O7256" s="175" t="str">
        <f t="shared" si="803"/>
        <v>Mar</v>
      </c>
      <c r="P7256" s="265">
        <f t="shared" si="804"/>
        <v>14</v>
      </c>
    </row>
    <row r="7257" spans="1:16" ht="15" hidden="1" customHeight="1">
      <c r="A7257" s="489">
        <v>84144598</v>
      </c>
      <c r="B7257" s="489">
        <v>2904</v>
      </c>
      <c r="D7257" s="597">
        <v>46111</v>
      </c>
      <c r="E7257" s="489" t="s">
        <v>364</v>
      </c>
      <c r="F7257" s="489" t="s">
        <v>1227</v>
      </c>
      <c r="G7257" s="395">
        <f>VLOOKUP($A7257,'Tech Litons'!$A:$I,8,FALSE)</f>
        <v>3.7853439999999999E-3</v>
      </c>
      <c r="H7257" s="174">
        <f>VLOOKUP($A7257,'Tech Litons'!$A:$I,9,FALSE)</f>
        <v>240</v>
      </c>
      <c r="I7257" s="174" t="str">
        <f>VLOOKUP($A7257,'Tech Litons'!$A:$C,3,0)</f>
        <v>BJ PTS</v>
      </c>
      <c r="J7257" s="175" t="str">
        <f t="shared" si="799"/>
        <v>2904BJ PTS</v>
      </c>
      <c r="K7257" s="176">
        <f>VLOOKUP(I7257,'Attain %'!A:B,2,0)</f>
        <v>0.95</v>
      </c>
      <c r="L7257" s="177">
        <f t="shared" si="800"/>
        <v>0</v>
      </c>
      <c r="M7257" s="177">
        <f t="shared" si="801"/>
        <v>0</v>
      </c>
      <c r="N7257" s="177">
        <f t="shared" si="802"/>
        <v>0</v>
      </c>
      <c r="O7257" s="175" t="str">
        <f t="shared" si="803"/>
        <v>Mar</v>
      </c>
      <c r="P7257" s="265">
        <f t="shared" si="804"/>
        <v>14</v>
      </c>
    </row>
    <row r="7258" spans="1:16" ht="15" hidden="1" customHeight="1">
      <c r="A7258" s="489">
        <v>64987234</v>
      </c>
      <c r="B7258" s="489">
        <v>1716</v>
      </c>
      <c r="C7258" s="601"/>
      <c r="D7258" s="597">
        <v>46111</v>
      </c>
      <c r="E7258" s="489" t="s">
        <v>598</v>
      </c>
      <c r="F7258" s="489" t="s">
        <v>1221</v>
      </c>
      <c r="G7258" s="395">
        <f>VLOOKUP($A7258,'Tech Litons'!$A:$I,8,FALSE)</f>
        <v>2.3999999999999998E-3</v>
      </c>
      <c r="H7258" s="174">
        <f>VLOOKUP($A7258,'Tech Litons'!$A:$I,9,FALSE)</f>
        <v>165</v>
      </c>
      <c r="I7258" s="174" t="str">
        <f>VLOOKUP($A7258,'Tech Litons'!$A:$C,3,0)</f>
        <v>BJ Bars</v>
      </c>
      <c r="J7258" s="175" t="str">
        <f t="shared" si="799"/>
        <v>1716BJ Bars</v>
      </c>
      <c r="K7258" s="176">
        <f>VLOOKUP(I7258,'Attain %'!A:B,2,0)</f>
        <v>0.96</v>
      </c>
      <c r="L7258" s="177">
        <f t="shared" si="800"/>
        <v>0</v>
      </c>
      <c r="M7258" s="177">
        <f t="shared" si="801"/>
        <v>0</v>
      </c>
      <c r="N7258" s="177">
        <f t="shared" si="802"/>
        <v>0</v>
      </c>
      <c r="O7258" s="175" t="str">
        <f t="shared" si="803"/>
        <v>Mar</v>
      </c>
      <c r="P7258" s="265">
        <f t="shared" si="804"/>
        <v>14</v>
      </c>
    </row>
    <row r="7259" spans="1:16" ht="15" customHeight="1">
      <c r="A7259" s="489">
        <v>65594416</v>
      </c>
      <c r="B7259" s="489">
        <v>2904</v>
      </c>
      <c r="D7259" s="597">
        <v>46111</v>
      </c>
      <c r="E7259" s="489" t="s">
        <v>1241</v>
      </c>
      <c r="F7259" s="489" t="s">
        <v>1239</v>
      </c>
      <c r="G7259" s="395">
        <f>VLOOKUP($A7259,'Tech Litons'!$A:$I,8,FALSE)</f>
        <v>9.5999999999999992E-4</v>
      </c>
      <c r="H7259" s="174">
        <f>VLOOKUP($A7259,'Tech Litons'!$A:$I,9,FALSE)</f>
        <v>432</v>
      </c>
      <c r="I7259" s="174" t="str">
        <f>VLOOKUP($A7259,'Tech Litons'!$A:$C,3,0)</f>
        <v>MG Sticks</v>
      </c>
      <c r="J7259" s="175" t="str">
        <f t="shared" si="799"/>
        <v>2904MG Sticks</v>
      </c>
      <c r="K7259" s="176">
        <f>VLOOKUP(I7259,'Attain %'!A:B,2,0)</f>
        <v>0.96</v>
      </c>
      <c r="L7259" s="177">
        <f t="shared" si="800"/>
        <v>0</v>
      </c>
      <c r="M7259" s="177">
        <f t="shared" si="801"/>
        <v>0</v>
      </c>
      <c r="N7259" s="177">
        <f t="shared" si="802"/>
        <v>0</v>
      </c>
      <c r="O7259" s="175" t="str">
        <f t="shared" si="803"/>
        <v>Mar</v>
      </c>
      <c r="P7259" s="265">
        <f t="shared" si="804"/>
        <v>14</v>
      </c>
    </row>
    <row r="7260" spans="1:16" ht="15" hidden="1" customHeight="1">
      <c r="A7260" s="489">
        <v>68867755</v>
      </c>
      <c r="B7260" s="489">
        <v>2904</v>
      </c>
      <c r="D7260" s="597">
        <v>46111</v>
      </c>
      <c r="E7260" s="489" t="s">
        <v>274</v>
      </c>
      <c r="F7260" s="489" t="s">
        <v>1228</v>
      </c>
      <c r="G7260" s="395">
        <f>VLOOKUP($A7260,'Tech Litons'!$A:$I,8,FALSE)</f>
        <v>3.552E-3</v>
      </c>
      <c r="H7260" s="174">
        <f>VLOOKUP($A7260,'Tech Litons'!$A:$I,9,FALSE)</f>
        <v>255</v>
      </c>
      <c r="I7260" s="174" t="str">
        <f>VLOOKUP($A7260,'Tech Litons'!$A:$C,3,0)</f>
        <v>Talenti</v>
      </c>
      <c r="J7260" s="175" t="str">
        <f t="shared" si="799"/>
        <v>2904Talenti</v>
      </c>
      <c r="K7260" s="176">
        <f>VLOOKUP(I7260,'Attain %'!A:B,2,0)</f>
        <v>0.96</v>
      </c>
      <c r="L7260" s="177">
        <f t="shared" si="800"/>
        <v>0</v>
      </c>
      <c r="M7260" s="177">
        <f t="shared" si="801"/>
        <v>0</v>
      </c>
      <c r="N7260" s="177">
        <f t="shared" si="802"/>
        <v>0</v>
      </c>
      <c r="O7260" s="175" t="str">
        <f t="shared" si="803"/>
        <v>Mar</v>
      </c>
      <c r="P7260" s="265">
        <f t="shared" si="804"/>
        <v>14</v>
      </c>
    </row>
    <row r="7261" spans="1:16" ht="15" hidden="1" customHeight="1">
      <c r="A7261" s="103">
        <v>64898310</v>
      </c>
      <c r="B7261" s="608">
        <v>1716</v>
      </c>
      <c r="C7261" s="601">
        <v>50000</v>
      </c>
      <c r="D7261" s="606">
        <v>46357</v>
      </c>
      <c r="E7261" s="103" t="s">
        <v>245</v>
      </c>
      <c r="F7261" s="608" t="s">
        <v>1352</v>
      </c>
      <c r="G7261" s="395">
        <f>VLOOKUP($A7261,'Tech Litons'!$A:$I,8,FALSE)</f>
        <v>3.7839999999999996E-3</v>
      </c>
      <c r="H7261" s="174">
        <f>VLOOKUP($A7261,'Tech Litons'!$A:$I,9,FALSE)</f>
        <v>240</v>
      </c>
      <c r="I7261" s="174" t="str">
        <f>VLOOKUP($A7261,'Tech Litons'!$A:$C,3,0)</f>
        <v>PTS</v>
      </c>
      <c r="J7261" s="175" t="str">
        <f t="shared" si="799"/>
        <v>1716PTS</v>
      </c>
      <c r="K7261" s="974">
        <v>0.9</v>
      </c>
      <c r="L7261" s="177">
        <f t="shared" si="800"/>
        <v>45000</v>
      </c>
      <c r="M7261" s="177">
        <f t="shared" si="801"/>
        <v>170.27999999999997</v>
      </c>
      <c r="N7261" s="177">
        <f t="shared" si="802"/>
        <v>187.5</v>
      </c>
      <c r="O7261" s="175" t="str">
        <f t="shared" si="803"/>
        <v>Dec</v>
      </c>
      <c r="P7261" s="265">
        <f t="shared" si="804"/>
        <v>49</v>
      </c>
    </row>
    <row r="7262" spans="1:16" ht="15" hidden="1" customHeight="1">
      <c r="A7262" s="103">
        <v>64898310</v>
      </c>
      <c r="B7262" s="608">
        <v>1716</v>
      </c>
      <c r="C7262" s="601">
        <v>50000</v>
      </c>
      <c r="D7262" s="606">
        <v>46357</v>
      </c>
      <c r="E7262" s="103" t="s">
        <v>245</v>
      </c>
      <c r="F7262" s="608" t="s">
        <v>1352</v>
      </c>
      <c r="G7262" s="395">
        <f>VLOOKUP($A7262,'Tech Litons'!$A:$I,8,FALSE)</f>
        <v>3.7839999999999996E-3</v>
      </c>
      <c r="H7262" s="174">
        <f>VLOOKUP($A7262,'Tech Litons'!$A:$I,9,FALSE)</f>
        <v>240</v>
      </c>
      <c r="I7262" s="174" t="str">
        <f>VLOOKUP($A7262,'Tech Litons'!$A:$C,3,0)</f>
        <v>PTS</v>
      </c>
      <c r="J7262" s="175" t="str">
        <f t="shared" si="799"/>
        <v>1716PTS</v>
      </c>
      <c r="K7262" s="974">
        <v>0.9</v>
      </c>
      <c r="L7262" s="177">
        <f t="shared" si="800"/>
        <v>45000</v>
      </c>
      <c r="M7262" s="177">
        <f t="shared" si="801"/>
        <v>170.27999999999997</v>
      </c>
      <c r="N7262" s="177">
        <f t="shared" si="802"/>
        <v>187.5</v>
      </c>
      <c r="O7262" s="175" t="str">
        <f t="shared" si="803"/>
        <v>Dec</v>
      </c>
      <c r="P7262" s="265">
        <f t="shared" si="804"/>
        <v>49</v>
      </c>
    </row>
  </sheetData>
  <sheetProtection insertRows="0" sort="0"/>
  <autoFilter ref="A1:S7262" xr:uid="{50E222A8-A487-4AA2-93F1-D8111CC96B04}">
    <filterColumn colId="4">
      <filters>
        <filter val="MG Bars Dubai Chocolate 1-12pk"/>
        <filter val="MG Bars Dubai Chocolate 8-3pk"/>
      </filters>
    </filterColumn>
  </autoFilter>
  <phoneticPr fontId="35" type="noConversion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26F6-792A-4F06-BB6A-6DB1A8B6CC64}">
  <sheetPr codeName="Sheet7"/>
  <dimension ref="A1:AN52"/>
  <sheetViews>
    <sheetView zoomScale="80" zoomScaleNormal="80" workbookViewId="0">
      <pane xSplit="5" ySplit="2" topLeftCell="F16" activePane="bottomRight" state="frozen"/>
      <selection pane="topRight"/>
      <selection pane="bottomLeft" activeCell="C1" sqref="C1"/>
      <selection pane="bottomRight" activeCell="L27" sqref="L27"/>
    </sheetView>
  </sheetViews>
  <sheetFormatPr defaultRowHeight="15"/>
  <cols>
    <col min="1" max="1" width="14.5703125" customWidth="1"/>
    <col min="2" max="2" width="18.42578125" customWidth="1"/>
    <col min="3" max="3" width="7.42578125" bestFit="1" customWidth="1"/>
    <col min="4" max="5" width="11.5703125" customWidth="1"/>
    <col min="6" max="8" width="11" customWidth="1"/>
    <col min="9" max="9" width="19.42578125" customWidth="1"/>
    <col min="10" max="38" width="11" customWidth="1"/>
    <col min="39" max="39" width="27" bestFit="1" customWidth="1"/>
  </cols>
  <sheetData>
    <row r="1" spans="1:40">
      <c r="F1" t="s">
        <v>210</v>
      </c>
      <c r="G1" t="s">
        <v>210</v>
      </c>
      <c r="J1" t="s">
        <v>211</v>
      </c>
      <c r="L1" t="s">
        <v>634</v>
      </c>
      <c r="T1" t="s">
        <v>635</v>
      </c>
      <c r="U1" t="s">
        <v>635</v>
      </c>
      <c r="AG1" t="s">
        <v>215</v>
      </c>
      <c r="AK1" t="s">
        <v>216</v>
      </c>
    </row>
    <row r="2" spans="1:40" ht="30">
      <c r="A2" s="129" t="s">
        <v>636</v>
      </c>
      <c r="B2" s="129" t="s">
        <v>637</v>
      </c>
      <c r="C2" s="129" t="s">
        <v>638</v>
      </c>
      <c r="D2" s="129" t="s">
        <v>639</v>
      </c>
      <c r="E2" s="129" t="s">
        <v>640</v>
      </c>
      <c r="F2" s="130">
        <v>45432</v>
      </c>
      <c r="G2" s="130">
        <v>45439</v>
      </c>
      <c r="H2" s="130">
        <v>45446</v>
      </c>
      <c r="I2" s="130">
        <v>45453</v>
      </c>
      <c r="J2" s="130">
        <v>45460</v>
      </c>
      <c r="K2" s="130">
        <v>45467</v>
      </c>
      <c r="L2" s="130">
        <v>45474</v>
      </c>
      <c r="M2" s="130">
        <v>45481</v>
      </c>
      <c r="N2" s="130">
        <v>45488</v>
      </c>
      <c r="O2" s="130">
        <v>45495</v>
      </c>
      <c r="P2" s="130">
        <v>45502</v>
      </c>
      <c r="Q2" s="130">
        <v>45509</v>
      </c>
      <c r="R2" s="130">
        <v>45516</v>
      </c>
      <c r="S2" s="130">
        <v>45523</v>
      </c>
      <c r="T2" s="130">
        <v>45530</v>
      </c>
      <c r="U2" s="130">
        <v>45537</v>
      </c>
      <c r="V2" s="130">
        <v>45544</v>
      </c>
      <c r="W2" s="130">
        <v>45551</v>
      </c>
      <c r="X2" s="130">
        <v>45558</v>
      </c>
      <c r="Y2" s="130">
        <v>45565</v>
      </c>
      <c r="Z2" s="130">
        <v>45572</v>
      </c>
      <c r="AA2" s="130">
        <v>45579</v>
      </c>
      <c r="AB2" s="130">
        <v>45586</v>
      </c>
      <c r="AC2" s="130">
        <v>45593</v>
      </c>
      <c r="AD2" s="130">
        <v>45600</v>
      </c>
      <c r="AE2" s="130">
        <v>45607</v>
      </c>
      <c r="AF2" s="130">
        <v>45614</v>
      </c>
      <c r="AG2" s="130">
        <v>45621</v>
      </c>
      <c r="AH2" s="130">
        <v>45628</v>
      </c>
      <c r="AI2" s="130">
        <v>45635</v>
      </c>
      <c r="AJ2" s="130">
        <v>45642</v>
      </c>
      <c r="AK2" s="130">
        <v>45649</v>
      </c>
      <c r="AL2" s="130">
        <v>45656</v>
      </c>
      <c r="AM2" s="131" t="s">
        <v>641</v>
      </c>
      <c r="AN2" s="132"/>
    </row>
    <row r="3" spans="1:40">
      <c r="A3" s="133" t="s">
        <v>642</v>
      </c>
      <c r="B3" s="133" t="s">
        <v>643</v>
      </c>
      <c r="C3" s="133" t="s">
        <v>644</v>
      </c>
      <c r="D3" s="133" t="s">
        <v>39</v>
      </c>
      <c r="E3" s="143">
        <v>24.7</v>
      </c>
      <c r="F3" s="138"/>
      <c r="G3" s="144" t="s">
        <v>645</v>
      </c>
      <c r="H3" s="138"/>
      <c r="I3" s="138"/>
      <c r="J3" s="144" t="s">
        <v>646</v>
      </c>
      <c r="K3" s="138"/>
      <c r="L3" s="144" t="s">
        <v>645</v>
      </c>
      <c r="M3" s="138"/>
      <c r="N3" s="138"/>
      <c r="O3" s="138"/>
      <c r="P3" s="138"/>
      <c r="Q3" s="138"/>
      <c r="R3" s="138"/>
      <c r="S3" s="138"/>
      <c r="T3" s="138"/>
      <c r="U3" s="144" t="s">
        <v>645</v>
      </c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44" t="s">
        <v>645</v>
      </c>
      <c r="AH3" s="138"/>
      <c r="AI3" s="138"/>
      <c r="AJ3" s="138"/>
      <c r="AK3" s="144" t="s">
        <v>645</v>
      </c>
      <c r="AL3" s="144" t="s">
        <v>645</v>
      </c>
      <c r="AM3" s="137"/>
      <c r="AN3" s="132"/>
    </row>
    <row r="4" spans="1:40" ht="30">
      <c r="A4" s="133" t="s">
        <v>642</v>
      </c>
      <c r="B4" s="133" t="s">
        <v>243</v>
      </c>
      <c r="C4" s="133" t="s">
        <v>647</v>
      </c>
      <c r="D4" s="133" t="s">
        <v>31</v>
      </c>
      <c r="E4" s="143">
        <v>24.7</v>
      </c>
      <c r="F4" s="144" t="s">
        <v>648</v>
      </c>
      <c r="G4" s="144" t="s">
        <v>649</v>
      </c>
      <c r="H4" s="138"/>
      <c r="I4" s="138"/>
      <c r="J4" s="144" t="s">
        <v>650</v>
      </c>
      <c r="K4" s="138"/>
      <c r="L4" s="144" t="s">
        <v>650</v>
      </c>
      <c r="M4" s="138"/>
      <c r="N4" s="138"/>
      <c r="O4" s="138"/>
      <c r="P4" s="138"/>
      <c r="Q4" s="138"/>
      <c r="R4" s="138"/>
      <c r="S4" s="138"/>
      <c r="T4" s="144" t="s">
        <v>648</v>
      </c>
      <c r="U4" s="144" t="s">
        <v>649</v>
      </c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44" t="s">
        <v>651</v>
      </c>
      <c r="AH4" s="138"/>
      <c r="AI4" s="138"/>
      <c r="AJ4" s="138"/>
      <c r="AK4" s="144" t="s">
        <v>645</v>
      </c>
      <c r="AL4" s="144" t="s">
        <v>645</v>
      </c>
      <c r="AM4" s="137"/>
      <c r="AN4" s="132"/>
    </row>
    <row r="5" spans="1:40" ht="30">
      <c r="A5" s="133" t="s">
        <v>642</v>
      </c>
      <c r="B5" s="133" t="s">
        <v>299</v>
      </c>
      <c r="C5" s="133" t="s">
        <v>652</v>
      </c>
      <c r="D5" s="133" t="s">
        <v>33</v>
      </c>
      <c r="E5" s="143">
        <v>24.5</v>
      </c>
      <c r="F5" s="138"/>
      <c r="G5" s="144" t="s">
        <v>649</v>
      </c>
      <c r="H5" s="138"/>
      <c r="I5" s="138"/>
      <c r="J5" s="144" t="s">
        <v>650</v>
      </c>
      <c r="K5" s="138"/>
      <c r="L5" s="144" t="s">
        <v>651</v>
      </c>
      <c r="M5" s="138"/>
      <c r="N5" s="138"/>
      <c r="O5" s="138"/>
      <c r="P5" s="138"/>
      <c r="Q5" s="138"/>
      <c r="R5" s="138"/>
      <c r="S5" s="138"/>
      <c r="T5" s="144" t="s">
        <v>648</v>
      </c>
      <c r="U5" s="144" t="s">
        <v>649</v>
      </c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44" t="s">
        <v>651</v>
      </c>
      <c r="AH5" s="138"/>
      <c r="AI5" s="138"/>
      <c r="AJ5" s="138"/>
      <c r="AK5" s="144" t="s">
        <v>645</v>
      </c>
      <c r="AL5" s="144" t="s">
        <v>645</v>
      </c>
      <c r="AM5" s="137"/>
      <c r="AN5" s="132"/>
    </row>
    <row r="6" spans="1:40" ht="30">
      <c r="A6" s="133" t="s">
        <v>642</v>
      </c>
      <c r="B6" s="133" t="s">
        <v>653</v>
      </c>
      <c r="C6" s="133" t="s">
        <v>652</v>
      </c>
      <c r="D6" s="133" t="s">
        <v>33</v>
      </c>
      <c r="E6" s="143">
        <v>24.5</v>
      </c>
      <c r="F6" s="138"/>
      <c r="G6" s="144" t="s">
        <v>649</v>
      </c>
      <c r="H6" s="138"/>
      <c r="I6" s="138"/>
      <c r="J6" s="144" t="s">
        <v>650</v>
      </c>
      <c r="K6" s="138"/>
      <c r="L6" s="144" t="s">
        <v>651</v>
      </c>
      <c r="M6" s="138"/>
      <c r="N6" s="138"/>
      <c r="O6" s="138"/>
      <c r="P6" s="138"/>
      <c r="Q6" s="138"/>
      <c r="R6" s="138"/>
      <c r="S6" s="138"/>
      <c r="T6" s="144" t="s">
        <v>648</v>
      </c>
      <c r="U6" s="144" t="s">
        <v>649</v>
      </c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44" t="s">
        <v>651</v>
      </c>
      <c r="AH6" s="138"/>
      <c r="AI6" s="138"/>
      <c r="AJ6" s="138"/>
      <c r="AK6" s="144" t="s">
        <v>645</v>
      </c>
      <c r="AL6" s="144" t="s">
        <v>645</v>
      </c>
      <c r="AM6" s="137"/>
      <c r="AN6" s="132"/>
    </row>
    <row r="7" spans="1:40" ht="30">
      <c r="A7" s="133" t="s">
        <v>642</v>
      </c>
      <c r="B7" s="133" t="s">
        <v>654</v>
      </c>
      <c r="C7" s="133" t="s">
        <v>652</v>
      </c>
      <c r="D7" s="133" t="s">
        <v>33</v>
      </c>
      <c r="E7" s="143">
        <v>24.5</v>
      </c>
      <c r="F7" s="138"/>
      <c r="G7" s="144" t="s">
        <v>649</v>
      </c>
      <c r="H7" s="138"/>
      <c r="I7" s="138"/>
      <c r="J7" s="144" t="s">
        <v>650</v>
      </c>
      <c r="K7" s="138"/>
      <c r="L7" s="144" t="s">
        <v>651</v>
      </c>
      <c r="M7" s="144" t="s">
        <v>645</v>
      </c>
      <c r="N7" s="144" t="s">
        <v>645</v>
      </c>
      <c r="O7" s="144" t="s">
        <v>645</v>
      </c>
      <c r="P7" s="144" t="s">
        <v>645</v>
      </c>
      <c r="Q7" s="144" t="s">
        <v>645</v>
      </c>
      <c r="R7" s="144" t="s">
        <v>645</v>
      </c>
      <c r="S7" s="144" t="s">
        <v>645</v>
      </c>
      <c r="T7" s="144" t="s">
        <v>648</v>
      </c>
      <c r="U7" s="144" t="s">
        <v>649</v>
      </c>
      <c r="V7" s="144" t="s">
        <v>645</v>
      </c>
      <c r="W7" s="144" t="s">
        <v>645</v>
      </c>
      <c r="X7" s="144" t="s">
        <v>645</v>
      </c>
      <c r="Y7" s="144" t="s">
        <v>645</v>
      </c>
      <c r="Z7" s="144" t="s">
        <v>645</v>
      </c>
      <c r="AA7" s="138"/>
      <c r="AB7" s="138"/>
      <c r="AC7" s="138"/>
      <c r="AD7" s="138"/>
      <c r="AE7" s="138"/>
      <c r="AF7" s="138"/>
      <c r="AG7" s="144" t="s">
        <v>651</v>
      </c>
      <c r="AH7" s="138"/>
      <c r="AI7" s="138"/>
      <c r="AJ7" s="138"/>
      <c r="AK7" s="144" t="s">
        <v>645</v>
      </c>
      <c r="AL7" s="144" t="s">
        <v>645</v>
      </c>
      <c r="AM7" s="137"/>
      <c r="AN7" s="132"/>
    </row>
    <row r="8" spans="1:40" ht="30">
      <c r="A8" s="133" t="s">
        <v>642</v>
      </c>
      <c r="B8" s="133" t="s">
        <v>655</v>
      </c>
      <c r="C8" s="133" t="s">
        <v>656</v>
      </c>
      <c r="D8" s="133" t="s">
        <v>656</v>
      </c>
      <c r="E8" s="143">
        <v>24.7</v>
      </c>
      <c r="F8" s="138"/>
      <c r="G8" s="144" t="s">
        <v>657</v>
      </c>
      <c r="H8" s="138"/>
      <c r="I8" s="138"/>
      <c r="J8" s="144" t="s">
        <v>657</v>
      </c>
      <c r="K8" s="138"/>
      <c r="L8" s="144" t="s">
        <v>657</v>
      </c>
      <c r="M8" s="138"/>
      <c r="N8" s="138"/>
      <c r="O8" s="138"/>
      <c r="P8" s="138"/>
      <c r="Q8" s="138"/>
      <c r="R8" s="138"/>
      <c r="S8" s="138"/>
      <c r="T8" s="138"/>
      <c r="U8" s="144" t="s">
        <v>657</v>
      </c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44" t="s">
        <v>645</v>
      </c>
      <c r="AH8" s="138"/>
      <c r="AI8" s="138"/>
      <c r="AJ8" s="138"/>
      <c r="AK8" s="144" t="s">
        <v>645</v>
      </c>
      <c r="AL8" s="144" t="s">
        <v>645</v>
      </c>
      <c r="AM8" s="137"/>
      <c r="AN8" s="132"/>
    </row>
    <row r="9" spans="1:40" ht="30">
      <c r="A9" s="133" t="s">
        <v>642</v>
      </c>
      <c r="B9" s="133" t="s">
        <v>658</v>
      </c>
      <c r="C9" s="133" t="s">
        <v>656</v>
      </c>
      <c r="D9" s="133" t="s">
        <v>656</v>
      </c>
      <c r="E9" s="143"/>
      <c r="F9" s="138"/>
      <c r="G9" s="144" t="s">
        <v>657</v>
      </c>
      <c r="H9" s="138"/>
      <c r="I9" s="138"/>
      <c r="J9" s="144" t="s">
        <v>657</v>
      </c>
      <c r="K9" s="138"/>
      <c r="L9" s="144" t="s">
        <v>657</v>
      </c>
      <c r="M9" s="138"/>
      <c r="N9" s="138"/>
      <c r="O9" s="138"/>
      <c r="P9" s="138"/>
      <c r="Q9" s="138"/>
      <c r="R9" s="138"/>
      <c r="S9" s="138"/>
      <c r="T9" s="138"/>
      <c r="U9" s="144" t="s">
        <v>657</v>
      </c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44" t="s">
        <v>645</v>
      </c>
      <c r="AH9" s="138"/>
      <c r="AI9" s="138"/>
      <c r="AJ9" s="138"/>
      <c r="AK9" s="144" t="s">
        <v>645</v>
      </c>
      <c r="AL9" s="144" t="s">
        <v>645</v>
      </c>
      <c r="AM9" s="137"/>
      <c r="AN9" s="132"/>
    </row>
    <row r="10" spans="1:40" ht="20.100000000000001" customHeight="1">
      <c r="A10" s="133" t="s">
        <v>642</v>
      </c>
      <c r="B10" s="133" t="s">
        <v>40</v>
      </c>
      <c r="C10" s="133" t="s">
        <v>659</v>
      </c>
      <c r="D10" s="133" t="s">
        <v>660</v>
      </c>
      <c r="E10" s="143">
        <v>24.6</v>
      </c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44" t="s">
        <v>661</v>
      </c>
      <c r="X10" s="144" t="s">
        <v>661</v>
      </c>
      <c r="Y10" s="144" t="s">
        <v>661</v>
      </c>
      <c r="Z10" s="144" t="s">
        <v>661</v>
      </c>
      <c r="AA10" s="144" t="s">
        <v>661</v>
      </c>
      <c r="AB10" s="144" t="s">
        <v>661</v>
      </c>
      <c r="AC10" s="144" t="s">
        <v>661</v>
      </c>
      <c r="AD10" s="138"/>
      <c r="AE10" s="144" t="s">
        <v>661</v>
      </c>
      <c r="AF10" s="144" t="s">
        <v>661</v>
      </c>
      <c r="AG10" s="138"/>
      <c r="AH10" s="138"/>
      <c r="AI10" s="138"/>
      <c r="AJ10" s="138"/>
      <c r="AK10" s="144" t="s">
        <v>661</v>
      </c>
      <c r="AL10" s="138"/>
      <c r="AM10" s="137"/>
      <c r="AN10" s="132"/>
    </row>
    <row r="11" spans="1:40" ht="30">
      <c r="A11" s="133" t="s">
        <v>642</v>
      </c>
      <c r="B11" s="133" t="s">
        <v>273</v>
      </c>
      <c r="C11" s="133" t="s">
        <v>662</v>
      </c>
      <c r="D11" s="133" t="s">
        <v>663</v>
      </c>
      <c r="E11" s="143">
        <v>24.7</v>
      </c>
      <c r="F11" s="279" t="s">
        <v>664</v>
      </c>
      <c r="G11" s="138"/>
      <c r="H11" s="138"/>
      <c r="I11" s="138" t="s">
        <v>665</v>
      </c>
      <c r="J11" s="279" t="s">
        <v>664</v>
      </c>
      <c r="K11" s="138"/>
      <c r="L11" s="279" t="s">
        <v>666</v>
      </c>
      <c r="M11" s="138"/>
      <c r="N11" s="138"/>
      <c r="O11" s="138"/>
      <c r="P11" s="138"/>
      <c r="Q11" s="138"/>
      <c r="R11" s="138"/>
      <c r="S11" s="138"/>
      <c r="T11" s="280" t="s">
        <v>667</v>
      </c>
      <c r="U11" s="138" t="s">
        <v>668</v>
      </c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 t="s">
        <v>668</v>
      </c>
      <c r="AG11" s="138" t="s">
        <v>669</v>
      </c>
      <c r="AH11" s="138"/>
      <c r="AI11" s="138"/>
      <c r="AJ11" s="138"/>
      <c r="AK11" s="138" t="s">
        <v>669</v>
      </c>
      <c r="AL11" s="138"/>
      <c r="AM11" s="137"/>
      <c r="AN11" s="132"/>
    </row>
    <row r="12" spans="1:40" ht="30">
      <c r="A12" s="133" t="s">
        <v>642</v>
      </c>
      <c r="B12" s="133" t="s">
        <v>271</v>
      </c>
      <c r="C12" s="133" t="s">
        <v>662</v>
      </c>
      <c r="D12" s="133" t="s">
        <v>663</v>
      </c>
      <c r="E12" s="143">
        <v>24.7</v>
      </c>
      <c r="F12" s="279" t="s">
        <v>664</v>
      </c>
      <c r="G12" s="138"/>
      <c r="H12" s="138"/>
      <c r="I12" s="138"/>
      <c r="J12" s="279" t="s">
        <v>664</v>
      </c>
      <c r="K12" s="138"/>
      <c r="L12" s="279" t="s">
        <v>666</v>
      </c>
      <c r="M12" s="138"/>
      <c r="N12" s="138"/>
      <c r="O12" s="138"/>
      <c r="P12" s="138"/>
      <c r="Q12" s="138"/>
      <c r="R12" s="138"/>
      <c r="S12" s="138"/>
      <c r="T12" s="280" t="s">
        <v>667</v>
      </c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 t="s">
        <v>668</v>
      </c>
      <c r="AG12" s="138" t="s">
        <v>669</v>
      </c>
      <c r="AH12" s="138"/>
      <c r="AI12" s="138"/>
      <c r="AJ12" s="138"/>
      <c r="AK12" s="138" t="s">
        <v>669</v>
      </c>
      <c r="AL12" s="138"/>
      <c r="AM12" s="137"/>
      <c r="AN12" s="132"/>
    </row>
    <row r="13" spans="1:40" ht="30">
      <c r="A13" s="133" t="s">
        <v>642</v>
      </c>
      <c r="B13" s="133" t="s">
        <v>269</v>
      </c>
      <c r="C13" s="133" t="s">
        <v>662</v>
      </c>
      <c r="D13" s="133" t="s">
        <v>663</v>
      </c>
      <c r="E13" s="143">
        <v>24.7</v>
      </c>
      <c r="F13" s="279" t="s">
        <v>664</v>
      </c>
      <c r="G13" s="138"/>
      <c r="H13" s="138"/>
      <c r="I13" s="138"/>
      <c r="J13" s="279" t="s">
        <v>664</v>
      </c>
      <c r="K13" s="138"/>
      <c r="L13" s="279" t="s">
        <v>666</v>
      </c>
      <c r="M13" s="138"/>
      <c r="N13" s="138"/>
      <c r="O13" s="138"/>
      <c r="P13" s="138"/>
      <c r="Q13" s="138"/>
      <c r="R13" s="138"/>
      <c r="S13" s="138"/>
      <c r="T13" s="280" t="s">
        <v>667</v>
      </c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 t="s">
        <v>668</v>
      </c>
      <c r="AG13" s="138" t="s">
        <v>669</v>
      </c>
      <c r="AH13" s="138"/>
      <c r="AI13" s="138"/>
      <c r="AJ13" s="138"/>
      <c r="AK13" s="138" t="s">
        <v>669</v>
      </c>
      <c r="AL13" s="138"/>
      <c r="AM13" s="137"/>
      <c r="AN13" s="132"/>
    </row>
    <row r="14" spans="1:40" ht="30">
      <c r="A14" s="133" t="s">
        <v>642</v>
      </c>
      <c r="B14" s="133" t="s">
        <v>277</v>
      </c>
      <c r="C14" s="133" t="s">
        <v>670</v>
      </c>
      <c r="D14" s="133" t="s">
        <v>671</v>
      </c>
      <c r="E14" s="143">
        <v>24.6</v>
      </c>
      <c r="F14" s="144" t="s">
        <v>672</v>
      </c>
      <c r="G14" s="138"/>
      <c r="H14" s="138"/>
      <c r="I14" s="138"/>
      <c r="J14" s="144" t="s">
        <v>672</v>
      </c>
      <c r="K14" s="138"/>
      <c r="L14" s="144" t="s">
        <v>673</v>
      </c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44" t="s">
        <v>674</v>
      </c>
      <c r="X14" s="138"/>
      <c r="Y14" s="138"/>
      <c r="Z14" s="138"/>
      <c r="AA14" s="138"/>
      <c r="AB14" s="144" t="s">
        <v>674</v>
      </c>
      <c r="AC14" s="138"/>
      <c r="AD14" s="138"/>
      <c r="AE14" s="138"/>
      <c r="AF14" s="138"/>
      <c r="AG14" s="144" t="s">
        <v>645</v>
      </c>
      <c r="AH14" s="138"/>
      <c r="AI14" s="138"/>
      <c r="AJ14" s="138"/>
      <c r="AK14" s="144" t="s">
        <v>645</v>
      </c>
      <c r="AL14" s="144" t="s">
        <v>645</v>
      </c>
      <c r="AM14" s="137"/>
      <c r="AN14" s="132"/>
    </row>
    <row r="15" spans="1:40" ht="30">
      <c r="A15" s="133" t="s">
        <v>642</v>
      </c>
      <c r="B15" s="133" t="s">
        <v>275</v>
      </c>
      <c r="C15" s="133" t="s">
        <v>670</v>
      </c>
      <c r="D15" s="133" t="s">
        <v>671</v>
      </c>
      <c r="E15" s="143">
        <v>24.6</v>
      </c>
      <c r="F15" s="144" t="s">
        <v>672</v>
      </c>
      <c r="G15" s="138"/>
      <c r="H15" s="138"/>
      <c r="I15" s="138"/>
      <c r="J15" s="144" t="s">
        <v>672</v>
      </c>
      <c r="K15" s="138"/>
      <c r="L15" s="144" t="s">
        <v>673</v>
      </c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44" t="s">
        <v>674</v>
      </c>
      <c r="X15" s="138"/>
      <c r="Y15" s="138"/>
      <c r="Z15" s="138"/>
      <c r="AA15" s="138"/>
      <c r="AB15" s="144" t="s">
        <v>674</v>
      </c>
      <c r="AC15" s="138"/>
      <c r="AD15" s="138"/>
      <c r="AE15" s="138"/>
      <c r="AF15" s="138"/>
      <c r="AG15" s="144" t="s">
        <v>645</v>
      </c>
      <c r="AH15" s="138"/>
      <c r="AI15" s="138"/>
      <c r="AJ15" s="138"/>
      <c r="AK15" s="144" t="s">
        <v>645</v>
      </c>
      <c r="AL15" s="144" t="s">
        <v>645</v>
      </c>
      <c r="AM15" s="137"/>
      <c r="AN15" s="132"/>
    </row>
    <row r="16" spans="1:40" ht="30">
      <c r="A16" s="133" t="s">
        <v>642</v>
      </c>
      <c r="B16" s="133" t="s">
        <v>231</v>
      </c>
      <c r="C16" s="133" t="s">
        <v>675</v>
      </c>
      <c r="D16" s="133"/>
      <c r="E16" s="143">
        <v>24.7</v>
      </c>
      <c r="F16" s="138"/>
      <c r="G16" s="144" t="s">
        <v>657</v>
      </c>
      <c r="H16" s="138"/>
      <c r="I16" s="138"/>
      <c r="J16" s="144" t="s">
        <v>657</v>
      </c>
      <c r="K16" s="138"/>
      <c r="L16" s="144" t="s">
        <v>657</v>
      </c>
      <c r="M16" s="138"/>
      <c r="N16" s="138"/>
      <c r="O16" s="138"/>
      <c r="P16" s="138"/>
      <c r="Q16" s="138"/>
      <c r="R16" s="138"/>
      <c r="S16" s="138"/>
      <c r="T16" s="138"/>
      <c r="U16" s="144" t="s">
        <v>657</v>
      </c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44" t="s">
        <v>645</v>
      </c>
      <c r="AH16" s="138"/>
      <c r="AI16" s="138"/>
      <c r="AJ16" s="138"/>
      <c r="AK16" s="144" t="s">
        <v>645</v>
      </c>
      <c r="AL16" s="144" t="s">
        <v>645</v>
      </c>
      <c r="AM16" s="137"/>
      <c r="AN16" s="132"/>
    </row>
    <row r="17" spans="1:40">
      <c r="A17" s="133" t="s">
        <v>642</v>
      </c>
      <c r="B17" s="133" t="s">
        <v>287</v>
      </c>
      <c r="C17" s="133" t="s">
        <v>676</v>
      </c>
      <c r="D17" s="133" t="s">
        <v>677</v>
      </c>
      <c r="E17" s="143">
        <v>24.5</v>
      </c>
      <c r="F17" s="138"/>
      <c r="G17" s="144" t="s">
        <v>646</v>
      </c>
      <c r="H17" s="138"/>
      <c r="I17" s="138"/>
      <c r="J17" s="144" t="s">
        <v>646</v>
      </c>
      <c r="K17" s="138"/>
      <c r="L17" s="274" t="s">
        <v>650</v>
      </c>
      <c r="M17" s="138"/>
      <c r="N17" s="138"/>
      <c r="O17" s="138"/>
      <c r="P17" s="138"/>
      <c r="Q17" s="138"/>
      <c r="R17" s="138"/>
      <c r="S17" s="138"/>
      <c r="T17" s="138"/>
      <c r="U17" s="144" t="s">
        <v>645</v>
      </c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44" t="s">
        <v>645</v>
      </c>
      <c r="AH17" s="138"/>
      <c r="AI17" s="138"/>
      <c r="AJ17" s="138"/>
      <c r="AK17" s="144" t="s">
        <v>645</v>
      </c>
      <c r="AL17" s="144" t="s">
        <v>645</v>
      </c>
      <c r="AM17" s="137"/>
      <c r="AN17" s="132"/>
    </row>
    <row r="18" spans="1:40">
      <c r="A18" s="133" t="s">
        <v>642</v>
      </c>
      <c r="B18" s="133" t="s">
        <v>678</v>
      </c>
      <c r="C18" s="133" t="s">
        <v>679</v>
      </c>
      <c r="D18" s="133" t="s">
        <v>39</v>
      </c>
      <c r="E18" s="143">
        <v>24.7</v>
      </c>
      <c r="F18" s="138"/>
      <c r="G18" s="144" t="s">
        <v>645</v>
      </c>
      <c r="H18" s="138"/>
      <c r="I18" s="138"/>
      <c r="J18" s="144" t="s">
        <v>646</v>
      </c>
      <c r="K18" s="138"/>
      <c r="L18" s="274" t="s">
        <v>645</v>
      </c>
      <c r="M18" s="138"/>
      <c r="N18" s="138"/>
      <c r="O18" s="138"/>
      <c r="P18" s="138"/>
      <c r="Q18" s="138"/>
      <c r="R18" s="138"/>
      <c r="S18" s="138"/>
      <c r="T18" s="138"/>
      <c r="U18" s="144" t="s">
        <v>645</v>
      </c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44" t="s">
        <v>645</v>
      </c>
      <c r="AH18" s="138"/>
      <c r="AI18" s="138"/>
      <c r="AJ18" s="138"/>
      <c r="AK18" s="144"/>
      <c r="AL18" s="144"/>
      <c r="AM18" s="137"/>
      <c r="AN18" s="132"/>
    </row>
    <row r="19" spans="1:40" ht="24" customHeight="1">
      <c r="A19" s="134" t="s">
        <v>680</v>
      </c>
      <c r="B19" s="134" t="s">
        <v>681</v>
      </c>
      <c r="C19" s="134" t="s">
        <v>676</v>
      </c>
      <c r="D19" s="134" t="s">
        <v>36</v>
      </c>
      <c r="E19" s="143">
        <v>24.7</v>
      </c>
      <c r="F19" s="138"/>
      <c r="G19" s="144" t="s">
        <v>646</v>
      </c>
      <c r="H19" s="138"/>
      <c r="I19" s="138"/>
      <c r="J19" s="144" t="s">
        <v>646</v>
      </c>
      <c r="K19" s="138"/>
      <c r="L19" s="274" t="s">
        <v>650</v>
      </c>
      <c r="M19" s="138"/>
      <c r="N19" s="138"/>
      <c r="O19" s="138"/>
      <c r="P19" s="138"/>
      <c r="Q19" s="138"/>
      <c r="R19" s="138"/>
      <c r="S19" s="138"/>
      <c r="T19" s="138"/>
      <c r="U19" s="144" t="s">
        <v>645</v>
      </c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44" t="s">
        <v>645</v>
      </c>
      <c r="AH19" s="138"/>
      <c r="AI19" s="138"/>
      <c r="AJ19" s="138"/>
      <c r="AK19" s="144" t="s">
        <v>645</v>
      </c>
      <c r="AL19" s="144" t="s">
        <v>645</v>
      </c>
      <c r="AM19" s="137"/>
      <c r="AN19" s="132"/>
    </row>
    <row r="20" spans="1:40">
      <c r="A20" s="134" t="s">
        <v>680</v>
      </c>
      <c r="B20" s="134" t="s">
        <v>682</v>
      </c>
      <c r="C20" s="134" t="s">
        <v>679</v>
      </c>
      <c r="D20" s="134" t="s">
        <v>39</v>
      </c>
      <c r="E20" s="143">
        <v>24.5</v>
      </c>
      <c r="F20" s="144" t="s">
        <v>645</v>
      </c>
      <c r="G20" s="144" t="s">
        <v>645</v>
      </c>
      <c r="H20" s="144" t="s">
        <v>645</v>
      </c>
      <c r="I20" s="144" t="s">
        <v>645</v>
      </c>
      <c r="J20" s="144" t="s">
        <v>645</v>
      </c>
      <c r="K20" s="144" t="s">
        <v>645</v>
      </c>
      <c r="L20" s="144" t="s">
        <v>645</v>
      </c>
      <c r="M20" s="144" t="s">
        <v>645</v>
      </c>
      <c r="N20" s="144" t="s">
        <v>645</v>
      </c>
      <c r="O20" s="144" t="s">
        <v>645</v>
      </c>
      <c r="P20" s="144" t="s">
        <v>645</v>
      </c>
      <c r="Q20" s="144" t="s">
        <v>645</v>
      </c>
      <c r="R20" s="144" t="s">
        <v>645</v>
      </c>
      <c r="S20" s="144" t="s">
        <v>645</v>
      </c>
      <c r="T20" s="144" t="s">
        <v>645</v>
      </c>
      <c r="U20" s="144" t="s">
        <v>645</v>
      </c>
      <c r="V20" s="144" t="s">
        <v>645</v>
      </c>
      <c r="W20" s="144" t="s">
        <v>645</v>
      </c>
      <c r="X20" s="144" t="s">
        <v>645</v>
      </c>
      <c r="Y20" s="144" t="s">
        <v>645</v>
      </c>
      <c r="Z20" s="144" t="s">
        <v>645</v>
      </c>
      <c r="AA20" s="144" t="s">
        <v>645</v>
      </c>
      <c r="AB20" s="144" t="s">
        <v>645</v>
      </c>
      <c r="AC20" s="144" t="s">
        <v>645</v>
      </c>
      <c r="AD20" s="144" t="s">
        <v>645</v>
      </c>
      <c r="AE20" s="144" t="s">
        <v>645</v>
      </c>
      <c r="AF20" s="144" t="s">
        <v>645</v>
      </c>
      <c r="AG20" s="144" t="s">
        <v>645</v>
      </c>
      <c r="AH20" s="144" t="s">
        <v>645</v>
      </c>
      <c r="AI20" s="144" t="s">
        <v>645</v>
      </c>
      <c r="AJ20" s="144" t="s">
        <v>645</v>
      </c>
      <c r="AK20" s="144" t="s">
        <v>645</v>
      </c>
      <c r="AL20" s="144" t="s">
        <v>645</v>
      </c>
      <c r="AM20" s="137"/>
      <c r="AN20" s="132"/>
    </row>
    <row r="21" spans="1:40">
      <c r="A21" s="134" t="s">
        <v>680</v>
      </c>
      <c r="B21" s="134" t="s">
        <v>683</v>
      </c>
      <c r="C21" s="134" t="s">
        <v>679</v>
      </c>
      <c r="D21" s="134" t="s">
        <v>39</v>
      </c>
      <c r="E21" s="143">
        <v>24.5</v>
      </c>
      <c r="F21" s="138"/>
      <c r="G21" s="144" t="s">
        <v>645</v>
      </c>
      <c r="H21" s="138"/>
      <c r="I21" s="138"/>
      <c r="J21" s="144" t="s">
        <v>646</v>
      </c>
      <c r="K21" s="138"/>
      <c r="L21" s="274" t="s">
        <v>645</v>
      </c>
      <c r="M21" s="138"/>
      <c r="N21" s="138"/>
      <c r="O21" s="138"/>
      <c r="P21" s="138"/>
      <c r="Q21" s="138"/>
      <c r="R21" s="138"/>
      <c r="S21" s="138"/>
      <c r="T21" s="138"/>
      <c r="U21" s="144" t="s">
        <v>645</v>
      </c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44" t="s">
        <v>645</v>
      </c>
      <c r="AH21" s="138"/>
      <c r="AI21" s="138"/>
      <c r="AJ21" s="138"/>
      <c r="AK21" s="144" t="s">
        <v>645</v>
      </c>
      <c r="AL21" s="144" t="s">
        <v>645</v>
      </c>
      <c r="AM21" s="137"/>
      <c r="AN21" s="132"/>
    </row>
    <row r="22" spans="1:40">
      <c r="A22" s="134" t="s">
        <v>680</v>
      </c>
      <c r="B22" s="134" t="s">
        <v>684</v>
      </c>
      <c r="C22" s="134" t="s">
        <v>676</v>
      </c>
      <c r="D22" s="134" t="s">
        <v>36</v>
      </c>
      <c r="E22" s="143">
        <v>24.5</v>
      </c>
      <c r="F22" s="138"/>
      <c r="G22" s="144" t="s">
        <v>646</v>
      </c>
      <c r="H22" s="138"/>
      <c r="I22" s="138"/>
      <c r="J22" s="144" t="s">
        <v>646</v>
      </c>
      <c r="K22" s="138"/>
      <c r="L22" s="274" t="s">
        <v>650</v>
      </c>
      <c r="M22" s="138"/>
      <c r="N22" s="138"/>
      <c r="O22" s="138"/>
      <c r="P22" s="138"/>
      <c r="Q22" s="138"/>
      <c r="R22" s="138"/>
      <c r="S22" s="138"/>
      <c r="T22" s="138"/>
      <c r="U22" s="144" t="s">
        <v>645</v>
      </c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44" t="s">
        <v>645</v>
      </c>
      <c r="AH22" s="138"/>
      <c r="AI22" s="138"/>
      <c r="AJ22" s="138"/>
      <c r="AK22" s="144" t="s">
        <v>645</v>
      </c>
      <c r="AL22" s="144" t="s">
        <v>645</v>
      </c>
      <c r="AM22" s="137"/>
      <c r="AN22" s="132"/>
    </row>
    <row r="23" spans="1:40">
      <c r="A23" s="134" t="s">
        <v>680</v>
      </c>
      <c r="B23" s="134" t="s">
        <v>685</v>
      </c>
      <c r="C23" s="134" t="s">
        <v>679</v>
      </c>
      <c r="D23" s="134" t="s">
        <v>39</v>
      </c>
      <c r="E23" s="143" t="s">
        <v>686</v>
      </c>
      <c r="F23" s="144" t="s">
        <v>645</v>
      </c>
      <c r="G23" s="144" t="s">
        <v>645</v>
      </c>
      <c r="H23" s="144" t="s">
        <v>645</v>
      </c>
      <c r="I23" s="144" t="s">
        <v>645</v>
      </c>
      <c r="J23" s="144" t="s">
        <v>645</v>
      </c>
      <c r="K23" s="144" t="s">
        <v>645</v>
      </c>
      <c r="L23" s="144" t="s">
        <v>645</v>
      </c>
      <c r="M23" s="144" t="s">
        <v>645</v>
      </c>
      <c r="N23" s="144" t="s">
        <v>645</v>
      </c>
      <c r="O23" s="144" t="s">
        <v>645</v>
      </c>
      <c r="P23" s="144" t="s">
        <v>645</v>
      </c>
      <c r="Q23" s="144" t="s">
        <v>645</v>
      </c>
      <c r="R23" s="144" t="s">
        <v>645</v>
      </c>
      <c r="S23" s="144" t="s">
        <v>645</v>
      </c>
      <c r="T23" s="144" t="s">
        <v>645</v>
      </c>
      <c r="U23" s="144" t="s">
        <v>645</v>
      </c>
      <c r="V23" s="144" t="s">
        <v>645</v>
      </c>
      <c r="W23" s="144" t="s">
        <v>645</v>
      </c>
      <c r="X23" s="144" t="s">
        <v>645</v>
      </c>
      <c r="Y23" s="144" t="s">
        <v>645</v>
      </c>
      <c r="Z23" s="144" t="s">
        <v>645</v>
      </c>
      <c r="AA23" s="144" t="s">
        <v>645</v>
      </c>
      <c r="AB23" s="144" t="s">
        <v>645</v>
      </c>
      <c r="AC23" s="144" t="s">
        <v>645</v>
      </c>
      <c r="AD23" s="144" t="s">
        <v>645</v>
      </c>
      <c r="AE23" s="144" t="s">
        <v>645</v>
      </c>
      <c r="AF23" s="144" t="s">
        <v>645</v>
      </c>
      <c r="AG23" s="144" t="s">
        <v>645</v>
      </c>
      <c r="AH23" s="144" t="s">
        <v>645</v>
      </c>
      <c r="AI23" s="144" t="s">
        <v>645</v>
      </c>
      <c r="AJ23" s="144" t="s">
        <v>645</v>
      </c>
      <c r="AK23" s="144" t="s">
        <v>645</v>
      </c>
      <c r="AL23" s="144" t="s">
        <v>645</v>
      </c>
      <c r="AM23" s="137"/>
      <c r="AN23" s="132"/>
    </row>
    <row r="24" spans="1:40">
      <c r="A24" s="134" t="s">
        <v>680</v>
      </c>
      <c r="B24" s="134" t="s">
        <v>687</v>
      </c>
      <c r="C24" s="134" t="s">
        <v>679</v>
      </c>
      <c r="D24" s="134" t="s">
        <v>39</v>
      </c>
      <c r="E24" s="143" t="s">
        <v>686</v>
      </c>
      <c r="F24" s="144" t="s">
        <v>645</v>
      </c>
      <c r="G24" s="144" t="s">
        <v>645</v>
      </c>
      <c r="H24" s="144" t="s">
        <v>645</v>
      </c>
      <c r="I24" s="144" t="s">
        <v>645</v>
      </c>
      <c r="J24" s="144" t="s">
        <v>645</v>
      </c>
      <c r="K24" s="144" t="s">
        <v>645</v>
      </c>
      <c r="L24" s="144" t="s">
        <v>645</v>
      </c>
      <c r="M24" s="144" t="s">
        <v>645</v>
      </c>
      <c r="N24" s="144" t="s">
        <v>645</v>
      </c>
      <c r="O24" s="144" t="s">
        <v>645</v>
      </c>
      <c r="P24" s="144" t="s">
        <v>645</v>
      </c>
      <c r="Q24" s="144" t="s">
        <v>645</v>
      </c>
      <c r="R24" s="144" t="s">
        <v>645</v>
      </c>
      <c r="S24" s="144" t="s">
        <v>645</v>
      </c>
      <c r="T24" s="144" t="s">
        <v>645</v>
      </c>
      <c r="U24" s="144" t="s">
        <v>645</v>
      </c>
      <c r="V24" s="144" t="s">
        <v>645</v>
      </c>
      <c r="W24" s="144" t="s">
        <v>645</v>
      </c>
      <c r="X24" s="144" t="s">
        <v>645</v>
      </c>
      <c r="Y24" s="144" t="s">
        <v>645</v>
      </c>
      <c r="Z24" s="144" t="s">
        <v>645</v>
      </c>
      <c r="AA24" s="144" t="s">
        <v>645</v>
      </c>
      <c r="AB24" s="144" t="s">
        <v>645</v>
      </c>
      <c r="AC24" s="144" t="s">
        <v>645</v>
      </c>
      <c r="AD24" s="144" t="s">
        <v>645</v>
      </c>
      <c r="AE24" s="144" t="s">
        <v>645</v>
      </c>
      <c r="AF24" s="144" t="s">
        <v>645</v>
      </c>
      <c r="AG24" s="144" t="s">
        <v>645</v>
      </c>
      <c r="AH24" s="144" t="s">
        <v>645</v>
      </c>
      <c r="AI24" s="144" t="s">
        <v>645</v>
      </c>
      <c r="AJ24" s="144" t="s">
        <v>645</v>
      </c>
      <c r="AK24" s="144" t="s">
        <v>645</v>
      </c>
      <c r="AL24" s="144" t="s">
        <v>645</v>
      </c>
      <c r="AM24" s="137"/>
      <c r="AN24" s="132"/>
    </row>
    <row r="25" spans="1:40">
      <c r="A25" s="134" t="s">
        <v>680</v>
      </c>
      <c r="B25" s="134" t="s">
        <v>688</v>
      </c>
      <c r="C25" s="134" t="s">
        <v>679</v>
      </c>
      <c r="D25" s="134" t="s">
        <v>39</v>
      </c>
      <c r="E25" s="143" t="s">
        <v>686</v>
      </c>
      <c r="F25" s="144" t="s">
        <v>645</v>
      </c>
      <c r="G25" s="144" t="s">
        <v>645</v>
      </c>
      <c r="H25" s="144" t="s">
        <v>645</v>
      </c>
      <c r="I25" s="144" t="s">
        <v>645</v>
      </c>
      <c r="J25" s="144" t="s">
        <v>645</v>
      </c>
      <c r="K25" s="144" t="s">
        <v>645</v>
      </c>
      <c r="L25" s="144" t="s">
        <v>645</v>
      </c>
      <c r="M25" s="144" t="s">
        <v>645</v>
      </c>
      <c r="N25" s="144" t="s">
        <v>645</v>
      </c>
      <c r="O25" s="144" t="s">
        <v>645</v>
      </c>
      <c r="P25" s="144" t="s">
        <v>645</v>
      </c>
      <c r="Q25" s="144" t="s">
        <v>645</v>
      </c>
      <c r="R25" s="144" t="s">
        <v>645</v>
      </c>
      <c r="S25" s="144" t="s">
        <v>645</v>
      </c>
      <c r="T25" s="144" t="s">
        <v>645</v>
      </c>
      <c r="U25" s="144" t="s">
        <v>645</v>
      </c>
      <c r="V25" s="144" t="s">
        <v>645</v>
      </c>
      <c r="W25" s="144" t="s">
        <v>645</v>
      </c>
      <c r="X25" s="144" t="s">
        <v>645</v>
      </c>
      <c r="Y25" s="144" t="s">
        <v>645</v>
      </c>
      <c r="Z25" s="144" t="s">
        <v>645</v>
      </c>
      <c r="AA25" s="144" t="s">
        <v>645</v>
      </c>
      <c r="AB25" s="144" t="s">
        <v>645</v>
      </c>
      <c r="AC25" s="144" t="s">
        <v>645</v>
      </c>
      <c r="AD25" s="144" t="s">
        <v>645</v>
      </c>
      <c r="AE25" s="144" t="s">
        <v>645</v>
      </c>
      <c r="AF25" s="144" t="s">
        <v>645</v>
      </c>
      <c r="AG25" s="144" t="s">
        <v>645</v>
      </c>
      <c r="AH25" s="144" t="s">
        <v>645</v>
      </c>
      <c r="AI25" s="144" t="s">
        <v>645</v>
      </c>
      <c r="AJ25" s="144" t="s">
        <v>645</v>
      </c>
      <c r="AK25" s="144" t="s">
        <v>645</v>
      </c>
      <c r="AL25" s="144" t="s">
        <v>645</v>
      </c>
      <c r="AM25" s="137"/>
      <c r="AN25" s="132"/>
    </row>
    <row r="26" spans="1:40">
      <c r="A26" s="134" t="s">
        <v>680</v>
      </c>
      <c r="B26" s="134" t="s">
        <v>689</v>
      </c>
      <c r="C26" s="134" t="s">
        <v>679</v>
      </c>
      <c r="D26" s="134" t="s">
        <v>39</v>
      </c>
      <c r="E26" s="143">
        <v>24.5</v>
      </c>
      <c r="F26" s="144" t="s">
        <v>645</v>
      </c>
      <c r="G26" s="144" t="s">
        <v>645</v>
      </c>
      <c r="H26" s="138"/>
      <c r="I26" s="138"/>
      <c r="J26" s="144" t="s">
        <v>646</v>
      </c>
      <c r="K26" s="138"/>
      <c r="L26" s="274" t="s">
        <v>645</v>
      </c>
      <c r="M26" s="138"/>
      <c r="N26" s="138"/>
      <c r="O26" s="138"/>
      <c r="P26" s="138"/>
      <c r="Q26" s="138"/>
      <c r="R26" s="138"/>
      <c r="S26" s="138"/>
      <c r="T26" s="138"/>
      <c r="U26" s="144" t="s">
        <v>645</v>
      </c>
      <c r="V26" s="138"/>
      <c r="W26" s="138"/>
      <c r="X26" s="144" t="s">
        <v>645</v>
      </c>
      <c r="Y26" s="144" t="s">
        <v>645</v>
      </c>
      <c r="Z26" s="144" t="s">
        <v>645</v>
      </c>
      <c r="AA26" s="144" t="s">
        <v>645</v>
      </c>
      <c r="AB26" s="144" t="s">
        <v>645</v>
      </c>
      <c r="AC26" s="144" t="s">
        <v>645</v>
      </c>
      <c r="AD26" s="144" t="s">
        <v>645</v>
      </c>
      <c r="AE26" s="144" t="s">
        <v>645</v>
      </c>
      <c r="AF26" s="144" t="s">
        <v>645</v>
      </c>
      <c r="AG26" s="144" t="s">
        <v>645</v>
      </c>
      <c r="AH26" s="144" t="s">
        <v>645</v>
      </c>
      <c r="AI26" s="144" t="s">
        <v>645</v>
      </c>
      <c r="AJ26" s="144" t="s">
        <v>645</v>
      </c>
      <c r="AK26" s="144" t="s">
        <v>645</v>
      </c>
      <c r="AL26" s="144" t="s">
        <v>645</v>
      </c>
      <c r="AM26" s="137"/>
      <c r="AN26" s="132"/>
    </row>
    <row r="27" spans="1:40">
      <c r="A27" s="134" t="s">
        <v>680</v>
      </c>
      <c r="B27" s="134" t="s">
        <v>690</v>
      </c>
      <c r="C27" s="134" t="s">
        <v>679</v>
      </c>
      <c r="D27" s="134" t="s">
        <v>39</v>
      </c>
      <c r="E27" s="143">
        <v>24.5</v>
      </c>
      <c r="F27" s="138"/>
      <c r="G27" s="144" t="s">
        <v>645</v>
      </c>
      <c r="H27" s="144" t="s">
        <v>645</v>
      </c>
      <c r="I27" s="144" t="s">
        <v>645</v>
      </c>
      <c r="J27" s="144" t="s">
        <v>645</v>
      </c>
      <c r="K27" s="144" t="s">
        <v>645</v>
      </c>
      <c r="L27" s="144" t="s">
        <v>645</v>
      </c>
      <c r="M27" s="144" t="s">
        <v>645</v>
      </c>
      <c r="N27" s="144" t="s">
        <v>645</v>
      </c>
      <c r="O27" s="144" t="s">
        <v>645</v>
      </c>
      <c r="P27" s="144" t="s">
        <v>645</v>
      </c>
      <c r="Q27" s="144" t="s">
        <v>645</v>
      </c>
      <c r="R27" s="144" t="s">
        <v>645</v>
      </c>
      <c r="S27" s="144" t="s">
        <v>645</v>
      </c>
      <c r="T27" s="144" t="s">
        <v>645</v>
      </c>
      <c r="U27" s="144" t="s">
        <v>645</v>
      </c>
      <c r="V27" s="144" t="s">
        <v>645</v>
      </c>
      <c r="W27" s="144" t="s">
        <v>645</v>
      </c>
      <c r="X27" s="138"/>
      <c r="Y27" s="138"/>
      <c r="Z27" s="138"/>
      <c r="AA27" s="138"/>
      <c r="AB27" s="138"/>
      <c r="AC27" s="138"/>
      <c r="AD27" s="138"/>
      <c r="AE27" s="138"/>
      <c r="AF27" s="138"/>
      <c r="AG27" s="144" t="s">
        <v>645</v>
      </c>
      <c r="AH27" s="138"/>
      <c r="AI27" s="138"/>
      <c r="AJ27" s="138"/>
      <c r="AK27" s="144" t="s">
        <v>645</v>
      </c>
      <c r="AL27" s="144" t="s">
        <v>645</v>
      </c>
      <c r="AM27" s="137"/>
      <c r="AN27" s="132"/>
    </row>
    <row r="28" spans="1:40">
      <c r="A28" s="134" t="s">
        <v>680</v>
      </c>
      <c r="B28" s="134" t="s">
        <v>691</v>
      </c>
      <c r="C28" s="134" t="s">
        <v>679</v>
      </c>
      <c r="D28" s="134" t="s">
        <v>39</v>
      </c>
      <c r="E28" s="143">
        <v>24.5</v>
      </c>
      <c r="F28" s="138"/>
      <c r="G28" s="144" t="s">
        <v>645</v>
      </c>
      <c r="H28" s="138"/>
      <c r="I28" s="138"/>
      <c r="J28" s="144" t="s">
        <v>646</v>
      </c>
      <c r="K28" s="138"/>
      <c r="L28" s="144" t="s">
        <v>645</v>
      </c>
      <c r="M28" s="138"/>
      <c r="N28" s="138"/>
      <c r="O28" s="138"/>
      <c r="P28" s="138"/>
      <c r="Q28" s="138"/>
      <c r="R28" s="138"/>
      <c r="S28" s="138"/>
      <c r="T28" s="138"/>
      <c r="U28" s="144" t="s">
        <v>645</v>
      </c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44" t="s">
        <v>645</v>
      </c>
      <c r="AH28" s="138"/>
      <c r="AI28" s="138"/>
      <c r="AJ28" s="138"/>
      <c r="AK28" s="144" t="s">
        <v>645</v>
      </c>
      <c r="AL28" s="144" t="s">
        <v>645</v>
      </c>
      <c r="AM28" s="137"/>
      <c r="AN28" s="132"/>
    </row>
    <row r="29" spans="1:40" ht="30">
      <c r="A29" s="134" t="s">
        <v>680</v>
      </c>
      <c r="B29" s="134" t="s">
        <v>240</v>
      </c>
      <c r="C29" s="134" t="s">
        <v>647</v>
      </c>
      <c r="D29" s="134" t="s">
        <v>31</v>
      </c>
      <c r="E29" s="143">
        <v>24.5</v>
      </c>
      <c r="F29" s="138"/>
      <c r="G29" s="144" t="s">
        <v>649</v>
      </c>
      <c r="H29" s="138"/>
      <c r="I29" s="138"/>
      <c r="J29" s="144" t="s">
        <v>650</v>
      </c>
      <c r="K29" s="138"/>
      <c r="L29" s="144" t="s">
        <v>651</v>
      </c>
      <c r="M29" s="138"/>
      <c r="N29" s="138"/>
      <c r="O29" s="138"/>
      <c r="P29" s="138"/>
      <c r="Q29" s="138"/>
      <c r="R29" s="138"/>
      <c r="S29" s="138"/>
      <c r="T29" s="144" t="s">
        <v>648</v>
      </c>
      <c r="U29" s="144" t="s">
        <v>649</v>
      </c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44" t="s">
        <v>651</v>
      </c>
      <c r="AH29" s="138"/>
      <c r="AI29" s="138"/>
      <c r="AJ29" s="138"/>
      <c r="AK29" s="144" t="s">
        <v>645</v>
      </c>
      <c r="AL29" s="144" t="s">
        <v>645</v>
      </c>
      <c r="AM29" s="137"/>
      <c r="AN29" s="132"/>
    </row>
    <row r="30" spans="1:40" ht="30">
      <c r="A30" s="134" t="s">
        <v>680</v>
      </c>
      <c r="B30" s="134" t="s">
        <v>241</v>
      </c>
      <c r="C30" s="134" t="s">
        <v>647</v>
      </c>
      <c r="D30" s="134" t="s">
        <v>31</v>
      </c>
      <c r="E30" s="143">
        <v>24.7</v>
      </c>
      <c r="F30" s="144" t="s">
        <v>648</v>
      </c>
      <c r="G30" s="144" t="s">
        <v>649</v>
      </c>
      <c r="H30" s="138"/>
      <c r="I30" s="138"/>
      <c r="J30" s="144" t="s">
        <v>650</v>
      </c>
      <c r="K30" s="138"/>
      <c r="L30" s="144" t="s">
        <v>650</v>
      </c>
      <c r="M30" s="138"/>
      <c r="N30" s="138"/>
      <c r="O30" s="138"/>
      <c r="P30" s="138"/>
      <c r="Q30" s="138"/>
      <c r="R30" s="138"/>
      <c r="S30" s="138"/>
      <c r="T30" s="144" t="s">
        <v>648</v>
      </c>
      <c r="U30" s="144" t="s">
        <v>649</v>
      </c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44" t="s">
        <v>651</v>
      </c>
      <c r="AH30" s="138"/>
      <c r="AI30" s="138"/>
      <c r="AJ30" s="138"/>
      <c r="AK30" s="144" t="s">
        <v>645</v>
      </c>
      <c r="AL30" s="144" t="s">
        <v>645</v>
      </c>
      <c r="AM30" s="137"/>
      <c r="AN30" s="132"/>
    </row>
    <row r="31" spans="1:40" ht="30">
      <c r="A31" s="134" t="s">
        <v>680</v>
      </c>
      <c r="B31" s="134" t="s">
        <v>242</v>
      </c>
      <c r="C31" s="134" t="s">
        <v>647</v>
      </c>
      <c r="D31" s="134" t="s">
        <v>31</v>
      </c>
      <c r="E31" s="143">
        <v>24.7</v>
      </c>
      <c r="F31" s="144" t="s">
        <v>648</v>
      </c>
      <c r="G31" s="144" t="s">
        <v>649</v>
      </c>
      <c r="H31" s="138"/>
      <c r="I31" s="138"/>
      <c r="J31" s="144" t="s">
        <v>650</v>
      </c>
      <c r="K31" s="138"/>
      <c r="L31" s="144" t="s">
        <v>650</v>
      </c>
      <c r="M31" s="138"/>
      <c r="N31" s="138"/>
      <c r="O31" s="138"/>
      <c r="P31" s="138"/>
      <c r="Q31" s="138"/>
      <c r="R31" s="138"/>
      <c r="S31" s="138"/>
      <c r="T31" s="144" t="s">
        <v>648</v>
      </c>
      <c r="U31" s="144" t="s">
        <v>649</v>
      </c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44" t="s">
        <v>651</v>
      </c>
      <c r="AH31" s="138"/>
      <c r="AI31" s="138"/>
      <c r="AJ31" s="138"/>
      <c r="AK31" s="144" t="s">
        <v>645</v>
      </c>
      <c r="AL31" s="144" t="s">
        <v>645</v>
      </c>
      <c r="AM31" s="137"/>
      <c r="AN31" s="132"/>
    </row>
    <row r="32" spans="1:40">
      <c r="A32" s="134" t="s">
        <v>680</v>
      </c>
      <c r="B32" s="134" t="s">
        <v>427</v>
      </c>
      <c r="C32" s="134" t="s">
        <v>652</v>
      </c>
      <c r="D32" s="134" t="s">
        <v>32</v>
      </c>
      <c r="E32" s="143">
        <v>24.5</v>
      </c>
      <c r="F32" s="138"/>
      <c r="G32" s="144" t="s">
        <v>645</v>
      </c>
      <c r="H32" s="138"/>
      <c r="I32" s="138"/>
      <c r="J32" s="144" t="s">
        <v>645</v>
      </c>
      <c r="K32" s="138"/>
      <c r="L32" s="144" t="s">
        <v>645</v>
      </c>
      <c r="M32" s="144" t="s">
        <v>645</v>
      </c>
      <c r="N32" s="138"/>
      <c r="O32" s="144" t="s">
        <v>645</v>
      </c>
      <c r="P32" s="138"/>
      <c r="Q32" s="144" t="s">
        <v>645</v>
      </c>
      <c r="R32" s="138"/>
      <c r="S32" s="144" t="s">
        <v>645</v>
      </c>
      <c r="T32" s="144" t="s">
        <v>645</v>
      </c>
      <c r="U32" s="144" t="s">
        <v>645</v>
      </c>
      <c r="V32" s="144" t="s">
        <v>645</v>
      </c>
      <c r="W32" s="138"/>
      <c r="X32" s="144" t="s">
        <v>645</v>
      </c>
      <c r="Y32" s="144" t="s">
        <v>645</v>
      </c>
      <c r="Z32" s="138"/>
      <c r="AA32" s="138"/>
      <c r="AB32" s="144" t="s">
        <v>645</v>
      </c>
      <c r="AC32" s="144" t="s">
        <v>645</v>
      </c>
      <c r="AD32" s="144" t="s">
        <v>645</v>
      </c>
      <c r="AE32" s="144" t="s">
        <v>645</v>
      </c>
      <c r="AF32" s="138"/>
      <c r="AG32" s="144" t="s">
        <v>645</v>
      </c>
      <c r="AH32" s="138"/>
      <c r="AI32" s="144" t="s">
        <v>645</v>
      </c>
      <c r="AJ32" s="144" t="s">
        <v>645</v>
      </c>
      <c r="AK32" s="144" t="s">
        <v>645</v>
      </c>
      <c r="AL32" s="144" t="s">
        <v>645</v>
      </c>
      <c r="AM32" s="137"/>
      <c r="AN32" s="132"/>
    </row>
    <row r="33" spans="1:40" ht="30">
      <c r="A33" s="134" t="s">
        <v>680</v>
      </c>
      <c r="B33" s="134" t="s">
        <v>273</v>
      </c>
      <c r="C33" s="134" t="s">
        <v>692</v>
      </c>
      <c r="D33" s="134" t="s">
        <v>663</v>
      </c>
      <c r="E33" s="143">
        <v>24.7</v>
      </c>
      <c r="F33" s="279" t="s">
        <v>664</v>
      </c>
      <c r="G33" s="138"/>
      <c r="H33" s="140"/>
      <c r="I33" s="140"/>
      <c r="J33" s="279" t="s">
        <v>664</v>
      </c>
      <c r="K33" s="140"/>
      <c r="L33" s="279" t="s">
        <v>666</v>
      </c>
      <c r="M33" s="140"/>
      <c r="N33" s="140"/>
      <c r="O33" s="140"/>
      <c r="P33" s="140"/>
      <c r="Q33" s="140"/>
      <c r="R33" s="140"/>
      <c r="S33" s="140"/>
      <c r="T33" s="280" t="s">
        <v>667</v>
      </c>
      <c r="U33" s="140" t="s">
        <v>668</v>
      </c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 t="s">
        <v>669</v>
      </c>
      <c r="AH33" s="140"/>
      <c r="AI33" s="140"/>
      <c r="AJ33" s="140"/>
      <c r="AK33" s="140" t="s">
        <v>669</v>
      </c>
      <c r="AL33" s="140"/>
      <c r="AM33" s="1102"/>
      <c r="AN33" s="132"/>
    </row>
    <row r="34" spans="1:40" ht="30">
      <c r="A34" s="134" t="s">
        <v>680</v>
      </c>
      <c r="B34" s="134" t="s">
        <v>271</v>
      </c>
      <c r="C34" s="134" t="s">
        <v>692</v>
      </c>
      <c r="D34" s="134" t="s">
        <v>663</v>
      </c>
      <c r="E34" s="143">
        <v>24.7</v>
      </c>
      <c r="F34" s="279" t="s">
        <v>664</v>
      </c>
      <c r="G34" s="138"/>
      <c r="H34" s="141"/>
      <c r="I34" s="141"/>
      <c r="J34" s="279" t="s">
        <v>664</v>
      </c>
      <c r="K34" s="141"/>
      <c r="L34" s="279" t="s">
        <v>666</v>
      </c>
      <c r="M34" s="141"/>
      <c r="N34" s="141"/>
      <c r="O34" s="141"/>
      <c r="P34" s="141"/>
      <c r="Q34" s="141"/>
      <c r="R34" s="141"/>
      <c r="S34" s="141"/>
      <c r="T34" s="280" t="s">
        <v>667</v>
      </c>
      <c r="U34" s="141"/>
      <c r="V34" s="141"/>
      <c r="W34" s="141"/>
      <c r="X34" s="141"/>
      <c r="Y34" s="141"/>
      <c r="Z34" s="141" t="s">
        <v>693</v>
      </c>
      <c r="AA34" s="141"/>
      <c r="AB34" s="141"/>
      <c r="AC34" s="141"/>
      <c r="AD34" s="141"/>
      <c r="AE34" s="141"/>
      <c r="AF34" s="141"/>
      <c r="AG34" s="141" t="s">
        <v>669</v>
      </c>
      <c r="AH34" s="141"/>
      <c r="AI34" s="141"/>
      <c r="AJ34" s="141"/>
      <c r="AK34" s="141" t="s">
        <v>669</v>
      </c>
      <c r="AL34" s="141"/>
      <c r="AM34" s="1103"/>
      <c r="AN34" s="132"/>
    </row>
    <row r="35" spans="1:40" ht="30">
      <c r="A35" s="134" t="s">
        <v>680</v>
      </c>
      <c r="B35" s="134" t="s">
        <v>269</v>
      </c>
      <c r="C35" s="134" t="s">
        <v>692</v>
      </c>
      <c r="D35" s="134" t="s">
        <v>663</v>
      </c>
      <c r="E35" s="143">
        <v>24.7</v>
      </c>
      <c r="F35" s="279" t="s">
        <v>664</v>
      </c>
      <c r="G35" s="138"/>
      <c r="H35" s="141"/>
      <c r="I35" s="141" t="s">
        <v>694</v>
      </c>
      <c r="J35" s="279" t="s">
        <v>664</v>
      </c>
      <c r="K35" s="141"/>
      <c r="L35" s="279" t="s">
        <v>666</v>
      </c>
      <c r="M35" s="141"/>
      <c r="N35" s="141"/>
      <c r="O35" s="141"/>
      <c r="P35" s="141"/>
      <c r="Q35" s="141"/>
      <c r="R35" s="141"/>
      <c r="S35" s="141"/>
      <c r="T35" s="280" t="s">
        <v>667</v>
      </c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 t="s">
        <v>669</v>
      </c>
      <c r="AH35" s="141"/>
      <c r="AI35" s="141"/>
      <c r="AJ35" s="141"/>
      <c r="AK35" s="141" t="s">
        <v>669</v>
      </c>
      <c r="AL35" s="141"/>
      <c r="AM35" s="1103"/>
      <c r="AN35" s="132"/>
    </row>
    <row r="36" spans="1:40" ht="45">
      <c r="A36" s="134" t="s">
        <v>680</v>
      </c>
      <c r="B36" s="134" t="s">
        <v>695</v>
      </c>
      <c r="C36" s="134" t="s">
        <v>692</v>
      </c>
      <c r="D36" s="134" t="s">
        <v>663</v>
      </c>
      <c r="E36" s="143">
        <v>24.7</v>
      </c>
      <c r="F36" s="279" t="s">
        <v>664</v>
      </c>
      <c r="G36" s="138"/>
      <c r="H36" s="142"/>
      <c r="I36" s="142"/>
      <c r="J36" s="279" t="s">
        <v>664</v>
      </c>
      <c r="K36" s="142" t="s">
        <v>694</v>
      </c>
      <c r="L36" s="279" t="s">
        <v>666</v>
      </c>
      <c r="M36" s="142"/>
      <c r="N36" s="142"/>
      <c r="O36" s="142"/>
      <c r="P36" s="142"/>
      <c r="Q36" s="142"/>
      <c r="R36" s="142"/>
      <c r="S36" s="142"/>
      <c r="T36" s="280" t="s">
        <v>667</v>
      </c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 t="s">
        <v>669</v>
      </c>
      <c r="AH36" s="142"/>
      <c r="AI36" s="142"/>
      <c r="AJ36" s="142"/>
      <c r="AK36" s="142" t="s">
        <v>669</v>
      </c>
      <c r="AL36" s="142"/>
      <c r="AM36" s="1104"/>
      <c r="AN36" s="132"/>
    </row>
    <row r="37" spans="1:40" ht="30">
      <c r="A37" s="135" t="s">
        <v>696</v>
      </c>
      <c r="B37" s="135" t="s">
        <v>697</v>
      </c>
      <c r="C37" s="135" t="s">
        <v>698</v>
      </c>
      <c r="D37" s="135" t="s">
        <v>699</v>
      </c>
      <c r="E37" s="143">
        <v>24.7</v>
      </c>
      <c r="F37" s="138"/>
      <c r="G37" s="144" t="s">
        <v>700</v>
      </c>
      <c r="H37" s="138"/>
      <c r="I37" s="138"/>
      <c r="J37" s="138"/>
      <c r="K37" s="138"/>
      <c r="L37" s="144" t="s">
        <v>700</v>
      </c>
      <c r="M37" s="138"/>
      <c r="N37" s="138"/>
      <c r="O37" s="138"/>
      <c r="P37" s="138"/>
      <c r="Q37" s="138"/>
      <c r="R37" s="138"/>
      <c r="S37" s="138"/>
      <c r="T37" s="138"/>
      <c r="U37" s="144" t="s">
        <v>700</v>
      </c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44" t="s">
        <v>674</v>
      </c>
      <c r="AH37" s="138"/>
      <c r="AI37" s="138"/>
      <c r="AJ37" s="138"/>
      <c r="AK37" s="144" t="s">
        <v>645</v>
      </c>
      <c r="AL37" s="144" t="s">
        <v>645</v>
      </c>
      <c r="AM37" s="137"/>
      <c r="AN37" s="132"/>
    </row>
    <row r="38" spans="1:40" ht="30">
      <c r="A38" s="135" t="s">
        <v>696</v>
      </c>
      <c r="B38" s="135" t="s">
        <v>701</v>
      </c>
      <c r="C38" s="135" t="s">
        <v>698</v>
      </c>
      <c r="D38" s="135" t="s">
        <v>699</v>
      </c>
      <c r="E38" s="143">
        <v>24.7</v>
      </c>
      <c r="F38" s="138"/>
      <c r="G38" s="144" t="s">
        <v>700</v>
      </c>
      <c r="H38" s="138"/>
      <c r="I38" s="138"/>
      <c r="J38" s="138"/>
      <c r="K38" s="138"/>
      <c r="L38" s="144" t="s">
        <v>700</v>
      </c>
      <c r="M38" s="138"/>
      <c r="N38" s="138"/>
      <c r="O38" s="138"/>
      <c r="P38" s="138"/>
      <c r="Q38" s="138"/>
      <c r="R38" s="138"/>
      <c r="S38" s="138"/>
      <c r="T38" s="138"/>
      <c r="U38" s="144" t="s">
        <v>700</v>
      </c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44" t="s">
        <v>674</v>
      </c>
      <c r="AH38" s="138"/>
      <c r="AI38" s="138"/>
      <c r="AJ38" s="138"/>
      <c r="AK38" s="144" t="s">
        <v>645</v>
      </c>
      <c r="AL38" s="144" t="s">
        <v>645</v>
      </c>
      <c r="AM38" s="137"/>
      <c r="AN38" s="132"/>
    </row>
    <row r="39" spans="1:40" ht="30">
      <c r="A39" s="135" t="s">
        <v>696</v>
      </c>
      <c r="B39" s="135" t="s">
        <v>702</v>
      </c>
      <c r="C39" s="135" t="s">
        <v>698</v>
      </c>
      <c r="D39" s="135" t="s">
        <v>25</v>
      </c>
      <c r="E39" s="143">
        <v>24.7</v>
      </c>
      <c r="F39" s="138"/>
      <c r="G39" s="144" t="s">
        <v>700</v>
      </c>
      <c r="H39" s="138"/>
      <c r="I39" s="138"/>
      <c r="J39" s="138"/>
      <c r="K39" s="138"/>
      <c r="L39" s="144" t="s">
        <v>700</v>
      </c>
      <c r="M39" s="138"/>
      <c r="N39" s="138"/>
      <c r="O39" s="138"/>
      <c r="P39" s="138"/>
      <c r="Q39" s="138"/>
      <c r="R39" s="138"/>
      <c r="S39" s="138"/>
      <c r="T39" s="138"/>
      <c r="U39" s="144" t="s">
        <v>700</v>
      </c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44" t="s">
        <v>674</v>
      </c>
      <c r="AH39" s="138"/>
      <c r="AI39" s="138"/>
      <c r="AJ39" s="138"/>
      <c r="AK39" s="144" t="s">
        <v>645</v>
      </c>
      <c r="AL39" s="144" t="s">
        <v>645</v>
      </c>
      <c r="AM39" s="137"/>
      <c r="AN39" s="132"/>
    </row>
    <row r="40" spans="1:40" ht="30">
      <c r="A40" s="135" t="s">
        <v>696</v>
      </c>
      <c r="B40" s="135" t="s">
        <v>703</v>
      </c>
      <c r="C40" s="135" t="s">
        <v>704</v>
      </c>
      <c r="D40" s="135" t="s">
        <v>705</v>
      </c>
      <c r="E40" s="143">
        <v>24.7</v>
      </c>
      <c r="F40" s="138"/>
      <c r="G40" s="144" t="s">
        <v>700</v>
      </c>
      <c r="H40" s="138"/>
      <c r="I40" s="138"/>
      <c r="J40" s="138"/>
      <c r="K40" s="138"/>
      <c r="L40" s="144" t="s">
        <v>700</v>
      </c>
      <c r="M40" s="138"/>
      <c r="N40" s="138"/>
      <c r="O40" s="138"/>
      <c r="P40" s="138"/>
      <c r="Q40" s="138"/>
      <c r="R40" s="138"/>
      <c r="S40" s="138"/>
      <c r="T40" s="138"/>
      <c r="U40" s="144" t="s">
        <v>700</v>
      </c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44" t="s">
        <v>674</v>
      </c>
      <c r="AH40" s="138"/>
      <c r="AI40" s="138"/>
      <c r="AJ40" s="138"/>
      <c r="AK40" s="144" t="s">
        <v>645</v>
      </c>
      <c r="AL40" s="144" t="s">
        <v>645</v>
      </c>
      <c r="AM40" s="137"/>
      <c r="AN40" s="132"/>
    </row>
    <row r="41" spans="1:40" ht="30">
      <c r="A41" s="135" t="s">
        <v>696</v>
      </c>
      <c r="B41" s="135" t="s">
        <v>706</v>
      </c>
      <c r="C41" s="135" t="s">
        <v>698</v>
      </c>
      <c r="D41" s="135" t="s">
        <v>699</v>
      </c>
      <c r="E41" s="143">
        <v>24.5</v>
      </c>
      <c r="F41" s="138"/>
      <c r="G41" s="144" t="s">
        <v>700</v>
      </c>
      <c r="H41" s="138"/>
      <c r="I41" s="138"/>
      <c r="J41" s="138"/>
      <c r="K41" s="138"/>
      <c r="L41" s="144" t="s">
        <v>700</v>
      </c>
      <c r="M41" s="138"/>
      <c r="N41" s="138"/>
      <c r="O41" s="138"/>
      <c r="P41" s="138"/>
      <c r="Q41" s="138"/>
      <c r="R41" s="138"/>
      <c r="S41" s="138"/>
      <c r="T41" s="138"/>
      <c r="U41" s="144" t="s">
        <v>700</v>
      </c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44" t="s">
        <v>674</v>
      </c>
      <c r="AH41" s="138"/>
      <c r="AI41" s="138"/>
      <c r="AJ41" s="138"/>
      <c r="AK41" s="144" t="s">
        <v>645</v>
      </c>
      <c r="AL41" s="144" t="s">
        <v>645</v>
      </c>
      <c r="AM41" s="137"/>
      <c r="AN41" s="132"/>
    </row>
    <row r="42" spans="1:40" ht="30">
      <c r="A42" s="136" t="s">
        <v>707</v>
      </c>
      <c r="B42" s="136" t="s">
        <v>697</v>
      </c>
      <c r="C42" s="136" t="s">
        <v>698</v>
      </c>
      <c r="D42" s="136" t="s">
        <v>699</v>
      </c>
      <c r="E42" s="143">
        <v>24.7</v>
      </c>
      <c r="F42" s="139"/>
      <c r="G42" s="144" t="s">
        <v>700</v>
      </c>
      <c r="H42" s="138"/>
      <c r="I42" s="138"/>
      <c r="J42" s="138"/>
      <c r="K42" s="138"/>
      <c r="L42" s="144" t="s">
        <v>700</v>
      </c>
      <c r="M42" s="138"/>
      <c r="N42" s="138"/>
      <c r="O42" s="138"/>
      <c r="P42" s="138"/>
      <c r="Q42" s="138"/>
      <c r="R42" s="138"/>
      <c r="S42" s="138"/>
      <c r="T42" s="138"/>
      <c r="U42" s="144" t="s">
        <v>700</v>
      </c>
      <c r="V42" s="138"/>
      <c r="W42" s="138"/>
      <c r="X42" s="138"/>
      <c r="Y42" s="138"/>
      <c r="Z42" s="138"/>
      <c r="AA42" s="138"/>
      <c r="AB42" s="144" t="s">
        <v>645</v>
      </c>
      <c r="AC42" s="144" t="s">
        <v>645</v>
      </c>
      <c r="AD42" s="144" t="s">
        <v>645</v>
      </c>
      <c r="AE42" s="144" t="s">
        <v>645</v>
      </c>
      <c r="AF42" s="144" t="s">
        <v>645</v>
      </c>
      <c r="AG42" s="144" t="s">
        <v>645</v>
      </c>
      <c r="AH42" s="138"/>
      <c r="AI42" s="138"/>
      <c r="AJ42" s="138"/>
      <c r="AK42" s="144" t="s">
        <v>645</v>
      </c>
      <c r="AL42" s="144" t="s">
        <v>645</v>
      </c>
      <c r="AM42" s="137"/>
      <c r="AN42" s="132"/>
    </row>
    <row r="43" spans="1:40">
      <c r="A43" s="134" t="s">
        <v>708</v>
      </c>
      <c r="B43" s="134" t="s">
        <v>23</v>
      </c>
      <c r="C43" s="134" t="s">
        <v>692</v>
      </c>
      <c r="D43" s="134"/>
      <c r="E43" s="143"/>
      <c r="F43" s="139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7"/>
      <c r="AN43" s="132"/>
    </row>
    <row r="44" spans="1:40">
      <c r="A44" s="134" t="s">
        <v>708</v>
      </c>
      <c r="B44" s="134" t="s">
        <v>709</v>
      </c>
      <c r="C44" s="134" t="s">
        <v>676</v>
      </c>
      <c r="D44" s="134"/>
      <c r="E44" s="143"/>
      <c r="F44" s="139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7"/>
    </row>
    <row r="45" spans="1:40">
      <c r="A45" s="134" t="s">
        <v>708</v>
      </c>
      <c r="B45" s="134" t="s">
        <v>710</v>
      </c>
      <c r="C45" s="134"/>
      <c r="D45" s="134"/>
      <c r="E45" s="143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7"/>
    </row>
    <row r="46" spans="1:40">
      <c r="A46" s="134" t="s">
        <v>708</v>
      </c>
      <c r="B46" s="134" t="s">
        <v>711</v>
      </c>
      <c r="C46" s="134" t="s">
        <v>692</v>
      </c>
      <c r="D46" s="134"/>
      <c r="E46" s="143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7"/>
    </row>
    <row r="47" spans="1:40">
      <c r="A47" s="133" t="s">
        <v>712</v>
      </c>
      <c r="B47" s="133" t="s">
        <v>713</v>
      </c>
      <c r="C47" s="133" t="s">
        <v>656</v>
      </c>
      <c r="D47" s="133"/>
      <c r="E47" s="143"/>
      <c r="F47" s="139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7"/>
    </row>
    <row r="48" spans="1:40">
      <c r="A48" s="133" t="s">
        <v>712</v>
      </c>
      <c r="B48" s="133" t="s">
        <v>714</v>
      </c>
      <c r="C48" s="133" t="s">
        <v>676</v>
      </c>
      <c r="D48" s="133"/>
      <c r="E48" s="143"/>
      <c r="F48" s="139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7"/>
    </row>
    <row r="49" spans="1:39">
      <c r="A49" s="133" t="s">
        <v>712</v>
      </c>
      <c r="B49" s="133" t="s">
        <v>715</v>
      </c>
      <c r="C49" s="133" t="s">
        <v>716</v>
      </c>
      <c r="D49" s="133"/>
      <c r="E49" s="143"/>
      <c r="F49" s="139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7"/>
    </row>
    <row r="50" spans="1:39">
      <c r="A50" s="133" t="s">
        <v>712</v>
      </c>
      <c r="B50" s="133" t="s">
        <v>717</v>
      </c>
      <c r="C50" s="133" t="s">
        <v>644</v>
      </c>
      <c r="D50" s="133"/>
      <c r="E50" s="143"/>
      <c r="F50" s="139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7"/>
    </row>
    <row r="51" spans="1:39">
      <c r="A51" s="133" t="s">
        <v>712</v>
      </c>
      <c r="B51" s="133" t="s">
        <v>134</v>
      </c>
      <c r="C51" s="133"/>
      <c r="D51" s="133"/>
      <c r="E51" s="143"/>
      <c r="F51" s="139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7"/>
    </row>
    <row r="52" spans="1:39">
      <c r="A52" s="133" t="s">
        <v>712</v>
      </c>
      <c r="B52" s="133" t="s">
        <v>137</v>
      </c>
      <c r="C52" s="133" t="s">
        <v>647</v>
      </c>
      <c r="D52" s="133"/>
      <c r="E52" s="143"/>
      <c r="F52" s="139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7"/>
    </row>
  </sheetData>
  <autoFilter ref="A2:AN52" xr:uid="{25DC26F6-792A-4F06-BB6A-6DB1A8B6CC64}"/>
  <mergeCells count="1">
    <mergeCell ref="AM33:AM36"/>
  </mergeCells>
  <conditionalFormatting sqref="E1:E1048576">
    <cfRule type="cellIs" dxfId="765" priority="2" operator="equal">
      <formula>24.6</formula>
    </cfRule>
    <cfRule type="cellIs" dxfId="764" priority="3" operator="equal">
      <formula>24.5</formula>
    </cfRule>
    <cfRule type="cellIs" dxfId="763" priority="4" operator="equal">
      <formula>24.7</formula>
    </cfRule>
  </conditionalFormatting>
  <conditionalFormatting sqref="E3:E52">
    <cfRule type="cellIs" dxfId="762" priority="1" operator="equal">
      <formula>"n/a"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20A8-EAA4-46F0-A7E5-C12BC8531263}">
  <sheetPr codeName="Sheet12">
    <tabColor rgb="FFFFFF00"/>
  </sheetPr>
  <dimension ref="A1:AT194"/>
  <sheetViews>
    <sheetView topLeftCell="A116" zoomScale="50" zoomScaleNormal="50" workbookViewId="0">
      <pane xSplit="3" topLeftCell="D1" activePane="topRight" state="frozen"/>
      <selection activeCell="A157" sqref="A157"/>
      <selection pane="topRight" activeCell="O158" sqref="D158:O158"/>
    </sheetView>
  </sheetViews>
  <sheetFormatPr defaultRowHeight="15"/>
  <cols>
    <col min="1" max="1" width="18.5703125" bestFit="1" customWidth="1"/>
    <col min="2" max="2" width="15.5703125" bestFit="1" customWidth="1"/>
    <col min="3" max="3" width="19.5703125" customWidth="1"/>
    <col min="4" max="5" width="15.5703125" customWidth="1"/>
    <col min="6" max="7" width="16.5703125" customWidth="1"/>
    <col min="8" max="8" width="16.42578125" customWidth="1"/>
    <col min="9" max="9" width="15.5703125" customWidth="1"/>
    <col min="10" max="10" width="18.42578125" bestFit="1" customWidth="1"/>
    <col min="11" max="12" width="15.5703125" bestFit="1" customWidth="1"/>
    <col min="13" max="13" width="16.5703125" bestFit="1" customWidth="1"/>
    <col min="14" max="14" width="18.5703125" customWidth="1"/>
    <col min="15" max="15" width="17.42578125" bestFit="1" customWidth="1"/>
    <col min="16" max="16" width="86.7109375" customWidth="1"/>
    <col min="17" max="17" width="14.5703125" customWidth="1"/>
    <col min="18" max="18" width="24.42578125" style="204" bestFit="1" customWidth="1"/>
    <col min="19" max="19" width="24.42578125" customWidth="1"/>
    <col min="20" max="31" width="12.85546875" customWidth="1"/>
    <col min="32" max="32" width="17.42578125" customWidth="1"/>
    <col min="33" max="33" width="15.5703125" bestFit="1" customWidth="1"/>
    <col min="34" max="34" width="19.5703125" customWidth="1"/>
    <col min="35" max="36" width="15.5703125" customWidth="1"/>
    <col min="37" max="38" width="16.5703125" customWidth="1"/>
    <col min="39" max="39" width="16.42578125" customWidth="1"/>
    <col min="40" max="40" width="15.5703125" customWidth="1"/>
    <col min="41" max="41" width="18.42578125" bestFit="1" customWidth="1"/>
    <col min="42" max="43" width="15.5703125" bestFit="1" customWidth="1"/>
    <col min="44" max="44" width="16.5703125" bestFit="1" customWidth="1"/>
    <col min="45" max="45" width="18.5703125" customWidth="1"/>
    <col min="46" max="46" width="17.42578125" bestFit="1" customWidth="1"/>
  </cols>
  <sheetData>
    <row r="1" spans="1:46" ht="15.75" thickBot="1">
      <c r="AG1" t="s">
        <v>1350</v>
      </c>
    </row>
    <row r="2" spans="1:46">
      <c r="B2" s="108"/>
      <c r="C2" s="200"/>
      <c r="D2" s="109" t="s">
        <v>68</v>
      </c>
      <c r="E2" s="109" t="s">
        <v>69</v>
      </c>
      <c r="F2" s="109" t="s">
        <v>70</v>
      </c>
      <c r="G2" s="109" t="s">
        <v>71</v>
      </c>
      <c r="H2" s="109" t="s">
        <v>72</v>
      </c>
      <c r="I2" s="109" t="s">
        <v>73</v>
      </c>
      <c r="J2" s="109" t="s">
        <v>74</v>
      </c>
      <c r="K2" s="109" t="s">
        <v>75</v>
      </c>
      <c r="L2" s="109" t="s">
        <v>76</v>
      </c>
      <c r="M2" s="109" t="s">
        <v>77</v>
      </c>
      <c r="N2" s="109" t="s">
        <v>78</v>
      </c>
      <c r="O2" s="110" t="s">
        <v>79</v>
      </c>
      <c r="S2" t="s">
        <v>751</v>
      </c>
      <c r="T2" s="109" t="s">
        <v>68</v>
      </c>
      <c r="U2" s="109" t="s">
        <v>69</v>
      </c>
      <c r="V2" s="109" t="s">
        <v>70</v>
      </c>
      <c r="W2" s="109" t="s">
        <v>71</v>
      </c>
      <c r="X2" s="109" t="s">
        <v>72</v>
      </c>
      <c r="Y2" s="109" t="s">
        <v>73</v>
      </c>
      <c r="Z2" s="109" t="s">
        <v>74</v>
      </c>
      <c r="AA2" s="109" t="s">
        <v>75</v>
      </c>
      <c r="AB2" s="109" t="s">
        <v>76</v>
      </c>
      <c r="AC2" s="109" t="s">
        <v>77</v>
      </c>
      <c r="AD2" s="109" t="s">
        <v>78</v>
      </c>
      <c r="AE2" s="110" t="s">
        <v>79</v>
      </c>
      <c r="AG2" s="108"/>
      <c r="AH2" s="200"/>
      <c r="AI2" s="109" t="s">
        <v>68</v>
      </c>
      <c r="AJ2" s="109" t="s">
        <v>69</v>
      </c>
      <c r="AK2" s="109" t="s">
        <v>70</v>
      </c>
      <c r="AL2" s="109" t="s">
        <v>71</v>
      </c>
      <c r="AM2" s="109" t="s">
        <v>72</v>
      </c>
      <c r="AN2" s="109" t="s">
        <v>73</v>
      </c>
      <c r="AO2" s="109" t="s">
        <v>74</v>
      </c>
      <c r="AP2" s="109" t="s">
        <v>75</v>
      </c>
      <c r="AQ2" s="109" t="s">
        <v>76</v>
      </c>
      <c r="AR2" s="109" t="s">
        <v>77</v>
      </c>
      <c r="AS2" s="109" t="s">
        <v>78</v>
      </c>
      <c r="AT2" s="110" t="s">
        <v>79</v>
      </c>
    </row>
    <row r="3" spans="1:46">
      <c r="A3" s="976" t="s">
        <v>1310</v>
      </c>
      <c r="B3" s="405" t="s">
        <v>23</v>
      </c>
      <c r="C3" t="s">
        <v>196</v>
      </c>
      <c r="D3" s="112">
        <f>SUMIF('Cases post Attain'!$A:$A,"=48oz",'Cases post Attain'!D:D)</f>
        <v>1856750</v>
      </c>
      <c r="E3" s="112">
        <f>SUMIF('Cases post Attain'!$A:$A,"=48oz",'Cases post Attain'!E:E)</f>
        <v>2213068</v>
      </c>
      <c r="F3" s="112">
        <f>SUMIF('Cases post Attain'!$A:$A,"=48oz",'Cases post Attain'!F:F)</f>
        <v>2894790.42</v>
      </c>
      <c r="G3" s="427">
        <f>SUMIF('Cases post Attain'!$A:$A,"=48oz",'Cases post Attain'!G:G)</f>
        <v>2353352.04</v>
      </c>
      <c r="H3" s="112">
        <f>SUMIF('Cases post Attain'!$A:$A,"=48oz",'Cases post Attain'!H:H)</f>
        <v>2119702.2399999998</v>
      </c>
      <c r="I3" s="112">
        <f>SUMIF('Cases post Attain'!$A:$A,"=48oz",'Cases post Attain'!I:I)</f>
        <v>2281860.6857142854</v>
      </c>
      <c r="J3" s="112">
        <f>SUMIF('Cases post Attain'!$A:$A,"=48oz",'Cases post Attain'!J:J)</f>
        <v>2318929.6</v>
      </c>
      <c r="K3" s="112">
        <f>SUMIF('Cases post Attain'!$A:$A,"=48oz",'Cases post Attain'!K:K)</f>
        <v>2334003.4285714286</v>
      </c>
      <c r="L3" s="112">
        <f>SUMIF('Cases post Attain'!$A:$A,"=48oz",'Cases post Attain'!L:L)</f>
        <v>1732119.8354285713</v>
      </c>
      <c r="M3" s="112">
        <f>SUMIF('Cases post Attain'!$A:$A,"=48oz",'Cases post Attain'!M:M)</f>
        <v>1687020.9371428571</v>
      </c>
      <c r="N3" s="112">
        <f>SUMIF('Cases post Attain'!$A:$A,"=48oz",'Cases post Attain'!N:N)</f>
        <v>1215970.5279999999</v>
      </c>
      <c r="O3" s="112">
        <f>SUMIF('Cases post Attain'!$A:$A,"=48oz",'Cases post Attain'!O:O)</f>
        <v>1215970.5279999999</v>
      </c>
      <c r="Q3" s="192" t="s">
        <v>752</v>
      </c>
      <c r="R3" s="397">
        <v>45</v>
      </c>
      <c r="S3" s="194"/>
      <c r="T3" s="50">
        <f>D3-AI3</f>
        <v>0</v>
      </c>
      <c r="U3" s="50">
        <f t="shared" ref="U3:AE3" si="0">E3-AJ3</f>
        <v>-37196</v>
      </c>
      <c r="V3" s="50">
        <f t="shared" si="0"/>
        <v>182124.41999999993</v>
      </c>
      <c r="W3" s="50">
        <f t="shared" si="0"/>
        <v>131300.04000000004</v>
      </c>
      <c r="X3" s="50">
        <f t="shared" si="0"/>
        <v>-407865.76000000024</v>
      </c>
      <c r="Y3" s="50">
        <f t="shared" si="0"/>
        <v>-101330.31428571464</v>
      </c>
      <c r="Z3" s="50">
        <f t="shared" si="0"/>
        <v>-8638.3999999999069</v>
      </c>
      <c r="AA3" s="50">
        <f t="shared" si="0"/>
        <v>-156403.57142857136</v>
      </c>
      <c r="AB3" s="50">
        <f t="shared" si="0"/>
        <v>165637.83542857133</v>
      </c>
      <c r="AC3" s="50">
        <f t="shared" si="0"/>
        <v>232772.93714285712</v>
      </c>
      <c r="AD3" s="50">
        <f t="shared" si="0"/>
        <v>-0.47200000006705523</v>
      </c>
      <c r="AE3" s="50">
        <f t="shared" si="0"/>
        <v>-0.47200000006705523</v>
      </c>
      <c r="AG3" s="405" t="s">
        <v>23</v>
      </c>
      <c r="AH3" t="s">
        <v>196</v>
      </c>
      <c r="AI3" s="112">
        <v>1856750</v>
      </c>
      <c r="AJ3" s="112">
        <v>2250264</v>
      </c>
      <c r="AK3" s="112">
        <v>2712666</v>
      </c>
      <c r="AL3" s="427">
        <v>2222052</v>
      </c>
      <c r="AM3" s="112">
        <v>2527568</v>
      </c>
      <c r="AN3" s="112">
        <v>2383191</v>
      </c>
      <c r="AO3" s="112">
        <v>2327568</v>
      </c>
      <c r="AP3" s="112">
        <v>2490407</v>
      </c>
      <c r="AQ3" s="112">
        <v>1566482</v>
      </c>
      <c r="AR3" s="112">
        <v>1454248</v>
      </c>
      <c r="AS3" s="112">
        <v>1215971</v>
      </c>
      <c r="AT3" s="112">
        <v>1215971</v>
      </c>
    </row>
    <row r="4" spans="1:46" ht="18.75">
      <c r="B4" s="111"/>
      <c r="C4" t="s">
        <v>12</v>
      </c>
      <c r="D4" s="112">
        <f>SUMIF('MRF3 Demand'!$D:$D,"=48oz",'MRF3 Demand'!G:G)</f>
        <v>1685873</v>
      </c>
      <c r="E4" s="112">
        <f>SUMIF('MRF3 Demand'!$D:$D,"=48oz",'MRF3 Demand'!H:H)</f>
        <v>1636436</v>
      </c>
      <c r="F4" s="112">
        <f>SUMIF('MRF3 Demand'!$D:$D,"=48oz",'MRF3 Demand'!I:I)</f>
        <v>2420537.0466083041</v>
      </c>
      <c r="G4" s="112">
        <f>SUMIF('MRF3 Demand'!$D:$D,"=48oz",'MRF3 Demand'!J:J)</f>
        <v>2003949.5013262185</v>
      </c>
      <c r="H4" s="112">
        <f>SUMIF('MRF3 Demand'!$D:$D,"=48oz",'MRF3 Demand'!K:K)</f>
        <v>2294147.9940432822</v>
      </c>
      <c r="I4" s="112">
        <f>SUMIF('MRF3 Demand'!$D:$D,"=48oz",'MRF3 Demand'!L:L)</f>
        <v>2519919.9541342859</v>
      </c>
      <c r="J4" s="112">
        <f>SUMIF('MRF3 Demand'!$D:$D,"=48oz",'MRF3 Demand'!M:M)</f>
        <v>2248430.5394341485</v>
      </c>
      <c r="K4" s="112">
        <f>SUMIF('MRF3 Demand'!$D:$D,"=48oz",'MRF3 Demand'!N:N)</f>
        <v>2161093.3423169283</v>
      </c>
      <c r="L4" s="112">
        <f>SUMIF('MRF3 Demand'!$D:$D,"=48oz",'MRF3 Demand'!O:O)</f>
        <v>1698754.750202419</v>
      </c>
      <c r="M4" s="112">
        <f>SUMIF('MRF3 Demand'!$D:$D,"=48oz",'MRF3 Demand'!P:P)</f>
        <v>1801333.5447872533</v>
      </c>
      <c r="N4" s="112">
        <f>SUMIF('MRF3 Demand'!$D:$D,"=48oz",'MRF3 Demand'!Q:Q)</f>
        <v>2033843.7938046316</v>
      </c>
      <c r="O4" s="112">
        <f>SUMIF('MRF3 Demand'!$D:$D,"=48oz",'MRF3 Demand'!R:R)</f>
        <v>1639652.032942127</v>
      </c>
      <c r="P4" s="152"/>
      <c r="Q4" s="58" t="s">
        <v>753</v>
      </c>
      <c r="R4" s="398">
        <f>K6-R3</f>
        <v>26.17090979629053</v>
      </c>
      <c r="S4" s="94"/>
      <c r="T4" s="50">
        <f>D4-AI4</f>
        <v>16512</v>
      </c>
      <c r="U4" s="50">
        <f t="shared" ref="U4:U5" si="1">E4-AJ4</f>
        <v>21867</v>
      </c>
      <c r="V4" s="50">
        <f t="shared" ref="V4:V5" si="2">F4-AK4</f>
        <v>-61765.953391695861</v>
      </c>
      <c r="W4" s="50">
        <f t="shared" ref="W4:W5" si="3">G4-AL4</f>
        <v>184116.50132621848</v>
      </c>
      <c r="X4" s="50">
        <f t="shared" ref="X4:X5" si="4">H4-AM4</f>
        <v>63442.994043282233</v>
      </c>
      <c r="Y4" s="50">
        <f t="shared" ref="Y4:Y5" si="5">I4-AN4</f>
        <v>9447.9541342859156</v>
      </c>
      <c r="Z4" s="50">
        <f t="shared" ref="Z4:Z5" si="6">J4-AO4</f>
        <v>2354.5394341484644</v>
      </c>
      <c r="AA4" s="50">
        <f t="shared" ref="AA4:AA5" si="7">K4-AP4</f>
        <v>-7690.6576830716804</v>
      </c>
      <c r="AB4" s="50">
        <f t="shared" ref="AB4:AB5" si="8">L4-AQ4</f>
        <v>-417.24979758099653</v>
      </c>
      <c r="AC4" s="50">
        <f t="shared" ref="AC4:AC5" si="9">M4-AR4</f>
        <v>-51.455212746746838</v>
      </c>
      <c r="AD4" s="50">
        <f t="shared" ref="AD4:AD5" si="10">N4-AS4</f>
        <v>50875.793804631568</v>
      </c>
      <c r="AE4" s="50">
        <f t="shared" ref="AE4:AE5" si="11">O4-AT4</f>
        <v>16033.032942126971</v>
      </c>
      <c r="AG4" s="111"/>
      <c r="AH4" t="s">
        <v>12</v>
      </c>
      <c r="AI4" s="112">
        <v>1669361</v>
      </c>
      <c r="AJ4" s="112">
        <v>1614569</v>
      </c>
      <c r="AK4" s="112">
        <v>2482303</v>
      </c>
      <c r="AL4" s="112">
        <v>1819833</v>
      </c>
      <c r="AM4" s="112">
        <v>2230705</v>
      </c>
      <c r="AN4" s="112">
        <v>2510472</v>
      </c>
      <c r="AO4" s="112">
        <v>2246076</v>
      </c>
      <c r="AP4" s="112">
        <v>2168784</v>
      </c>
      <c r="AQ4" s="112">
        <v>1699172</v>
      </c>
      <c r="AR4" s="112">
        <v>1801385</v>
      </c>
      <c r="AS4" s="112">
        <v>1982968</v>
      </c>
      <c r="AT4" s="112">
        <v>1623619</v>
      </c>
    </row>
    <row r="5" spans="1:46" s="153" customFormat="1" ht="19.5" thickBot="1">
      <c r="B5" s="148" t="s">
        <v>754</v>
      </c>
      <c r="C5" s="149">
        <v>2642489</v>
      </c>
      <c r="D5" s="1004">
        <v>2807066</v>
      </c>
      <c r="E5" s="1004">
        <v>3375504</v>
      </c>
      <c r="F5" s="150">
        <f t="shared" ref="F5" si="12">E5+F3-F4</f>
        <v>3849757.3733916958</v>
      </c>
      <c r="G5" s="150">
        <f t="shared" ref="G5" si="13">F5+G3-G4</f>
        <v>4199159.912065478</v>
      </c>
      <c r="H5" s="150">
        <f t="shared" ref="H5" si="14">G5+H3-H4</f>
        <v>4024714.158022196</v>
      </c>
      <c r="I5" s="150">
        <f t="shared" ref="I5" si="15">H5+I3-I4</f>
        <v>3786654.889602195</v>
      </c>
      <c r="J5" s="150">
        <f t="shared" ref="J5:N5" si="16">I5+J3-J4</f>
        <v>3857153.9501680466</v>
      </c>
      <c r="K5" s="150">
        <f t="shared" si="16"/>
        <v>4030064.036422547</v>
      </c>
      <c r="L5" s="150">
        <f t="shared" si="16"/>
        <v>4063429.121648699</v>
      </c>
      <c r="M5" s="150">
        <f t="shared" si="16"/>
        <v>3949116.5140043031</v>
      </c>
      <c r="N5" s="150">
        <f t="shared" si="16"/>
        <v>3131243.2481996715</v>
      </c>
      <c r="O5" s="151">
        <f>N5+O3-O4</f>
        <v>2707561.7432575445</v>
      </c>
      <c r="P5" s="152"/>
      <c r="Q5" s="193" t="s">
        <v>755</v>
      </c>
      <c r="R5" s="399">
        <f>R4*(SUM(L4:M4)/60)</f>
        <v>1526674.917453784</v>
      </c>
      <c r="S5" s="158"/>
      <c r="T5" s="50">
        <f>D5-AI5</f>
        <v>0</v>
      </c>
      <c r="U5" s="50">
        <f t="shared" si="1"/>
        <v>-67257</v>
      </c>
      <c r="V5" s="50">
        <f t="shared" si="2"/>
        <v>176633.37339169579</v>
      </c>
      <c r="W5" s="50">
        <f t="shared" si="3"/>
        <v>123816.91206547804</v>
      </c>
      <c r="X5" s="50">
        <f t="shared" si="4"/>
        <v>-347491.84197780397</v>
      </c>
      <c r="Y5" s="50">
        <f t="shared" si="5"/>
        <v>-458270.11039780499</v>
      </c>
      <c r="Z5" s="50">
        <f t="shared" si="6"/>
        <v>-469264.04983195337</v>
      </c>
      <c r="AA5" s="50">
        <f t="shared" si="7"/>
        <v>-617975.96357745305</v>
      </c>
      <c r="AB5" s="50">
        <f t="shared" si="8"/>
        <v>-451920.87835130095</v>
      </c>
      <c r="AC5" s="50">
        <f t="shared" si="9"/>
        <v>-219097.48599569686</v>
      </c>
      <c r="AD5" s="50">
        <f t="shared" si="10"/>
        <v>-269972.75180032849</v>
      </c>
      <c r="AE5" s="50">
        <f t="shared" si="11"/>
        <v>-286005.25674245553</v>
      </c>
      <c r="AG5" s="148" t="s">
        <v>754</v>
      </c>
      <c r="AH5" s="149">
        <v>2642489</v>
      </c>
      <c r="AI5" s="1004">
        <v>2807066</v>
      </c>
      <c r="AJ5" s="150">
        <v>3442761</v>
      </c>
      <c r="AK5" s="150">
        <v>3673124</v>
      </c>
      <c r="AL5" s="150">
        <v>4075343</v>
      </c>
      <c r="AM5" s="150">
        <v>4372206</v>
      </c>
      <c r="AN5" s="150">
        <v>4244925</v>
      </c>
      <c r="AO5" s="150">
        <v>4326418</v>
      </c>
      <c r="AP5" s="150">
        <v>4648040</v>
      </c>
      <c r="AQ5" s="150">
        <v>4515350</v>
      </c>
      <c r="AR5" s="150">
        <v>4168214</v>
      </c>
      <c r="AS5" s="150">
        <v>3401216</v>
      </c>
      <c r="AT5" s="151">
        <v>2993567</v>
      </c>
    </row>
    <row r="6" spans="1:46">
      <c r="C6" t="s">
        <v>756</v>
      </c>
      <c r="D6" s="190">
        <f t="shared" ref="D6:J6" si="17">D5/(SUM(E4:F4)/60)</f>
        <v>41.514685472412786</v>
      </c>
      <c r="E6" s="190">
        <f t="shared" si="17"/>
        <v>45.774857219205906</v>
      </c>
      <c r="F6" s="190">
        <f t="shared" si="17"/>
        <v>53.741322213456286</v>
      </c>
      <c r="G6" s="190">
        <f t="shared" si="17"/>
        <v>52.336111047063156</v>
      </c>
      <c r="H6" s="190">
        <f t="shared" si="17"/>
        <v>50.642848047148497</v>
      </c>
      <c r="I6" s="190">
        <f t="shared" si="17"/>
        <v>51.524676919519948</v>
      </c>
      <c r="J6" s="190">
        <f t="shared" si="17"/>
        <v>59.958120491479619</v>
      </c>
      <c r="K6" s="190">
        <f>K5/(SUM(L4)/30)</f>
        <v>71.17090979629053</v>
      </c>
      <c r="L6" s="190">
        <f>L5/(SUM(M4:N4)/60)</f>
        <v>63.570918832253298</v>
      </c>
      <c r="M6" s="190">
        <f>M5/(SUM(N4:O4)/60)</f>
        <v>64.501772158020401</v>
      </c>
      <c r="N6" s="190">
        <f>N5/(SUM(O4,D4)/60)</f>
        <v>56.494716783342227</v>
      </c>
      <c r="O6" s="190">
        <f>O5/(SUM(D4,E4)/60)</f>
        <v>48.897831175683137</v>
      </c>
      <c r="Q6" s="197" t="s">
        <v>757</v>
      </c>
      <c r="R6" s="400">
        <f>R5/SUM(G4:K4)</f>
        <v>0.13597588932528587</v>
      </c>
      <c r="S6" s="95"/>
      <c r="AF6" s="50"/>
      <c r="AH6" t="s">
        <v>756</v>
      </c>
      <c r="AI6" s="190">
        <v>41.1</v>
      </c>
      <c r="AJ6" s="190">
        <v>48</v>
      </c>
      <c r="AK6" s="190">
        <v>54.4</v>
      </c>
      <c r="AL6" s="190">
        <v>51.6</v>
      </c>
      <c r="AM6" s="190">
        <v>55.2</v>
      </c>
      <c r="AN6" s="190">
        <v>57.7</v>
      </c>
      <c r="AO6" s="190">
        <v>67.099999999999994</v>
      </c>
      <c r="AP6" s="190">
        <v>82.1</v>
      </c>
      <c r="AQ6" s="190">
        <v>71.599999999999994</v>
      </c>
      <c r="AR6" s="190">
        <v>69.3</v>
      </c>
      <c r="AS6" s="190">
        <v>62</v>
      </c>
      <c r="AT6" s="190">
        <v>54.7</v>
      </c>
    </row>
    <row r="7" spans="1:46">
      <c r="C7" t="s">
        <v>758</v>
      </c>
      <c r="D7" s="112"/>
      <c r="E7" s="112"/>
      <c r="F7" s="112"/>
      <c r="G7" s="121">
        <v>4000000</v>
      </c>
      <c r="H7" s="112"/>
      <c r="I7" s="112"/>
      <c r="J7" s="112"/>
      <c r="K7" s="112">
        <v>3000000</v>
      </c>
      <c r="L7" s="112"/>
      <c r="M7" s="112"/>
      <c r="N7" s="112"/>
      <c r="O7" s="112">
        <v>2900000</v>
      </c>
      <c r="AH7" t="s">
        <v>758</v>
      </c>
      <c r="AI7" s="112"/>
      <c r="AJ7" s="112"/>
      <c r="AK7" s="112"/>
      <c r="AL7" s="121">
        <v>4000000</v>
      </c>
      <c r="AM7" s="112"/>
      <c r="AN7" s="112"/>
      <c r="AO7" s="112"/>
      <c r="AP7" s="112">
        <v>3000000</v>
      </c>
      <c r="AQ7" s="112"/>
      <c r="AR7" s="112"/>
      <c r="AS7" s="112"/>
      <c r="AT7" s="112">
        <v>2900000</v>
      </c>
    </row>
    <row r="8" spans="1:46" ht="15.75" thickBot="1">
      <c r="D8" s="112"/>
      <c r="E8" s="112"/>
      <c r="F8" s="112"/>
      <c r="G8" s="112">
        <f>G5-G7</f>
        <v>199159.91206547804</v>
      </c>
      <c r="H8" s="112"/>
      <c r="I8" s="112"/>
      <c r="J8" s="112"/>
      <c r="K8" s="112">
        <f>K5-K7</f>
        <v>1030064.036422547</v>
      </c>
      <c r="L8" s="112"/>
      <c r="M8" s="112"/>
      <c r="N8" s="112"/>
      <c r="O8" s="112">
        <f>O5-O7</f>
        <v>-192438.25674245553</v>
      </c>
      <c r="AI8" s="112"/>
      <c r="AJ8" s="112"/>
      <c r="AK8" s="112"/>
      <c r="AL8" s="112">
        <v>75343</v>
      </c>
      <c r="AM8" s="112"/>
      <c r="AN8" s="112"/>
      <c r="AO8" s="112"/>
      <c r="AP8" s="112">
        <v>1648040</v>
      </c>
      <c r="AQ8" s="112"/>
      <c r="AR8" s="112"/>
      <c r="AS8" s="112"/>
      <c r="AT8" s="112">
        <v>93567</v>
      </c>
    </row>
    <row r="9" spans="1:46">
      <c r="B9" s="404"/>
      <c r="C9" s="200"/>
      <c r="D9" s="201" t="s">
        <v>68</v>
      </c>
      <c r="E9" s="201" t="s">
        <v>69</v>
      </c>
      <c r="F9" s="201" t="s">
        <v>70</v>
      </c>
      <c r="G9" s="201" t="s">
        <v>71</v>
      </c>
      <c r="H9" s="201" t="s">
        <v>72</v>
      </c>
      <c r="I9" s="201" t="s">
        <v>73</v>
      </c>
      <c r="J9" s="201" t="s">
        <v>74</v>
      </c>
      <c r="K9" s="201" t="s">
        <v>75</v>
      </c>
      <c r="L9" s="201" t="s">
        <v>76</v>
      </c>
      <c r="M9" s="201" t="s">
        <v>77</v>
      </c>
      <c r="N9" s="201" t="s">
        <v>78</v>
      </c>
      <c r="O9" s="113" t="s">
        <v>79</v>
      </c>
      <c r="AG9" s="404"/>
      <c r="AH9" s="200"/>
      <c r="AI9" s="201" t="s">
        <v>68</v>
      </c>
      <c r="AJ9" s="201" t="s">
        <v>69</v>
      </c>
      <c r="AK9" s="201" t="s">
        <v>70</v>
      </c>
      <c r="AL9" s="201" t="s">
        <v>71</v>
      </c>
      <c r="AM9" s="201" t="s">
        <v>72</v>
      </c>
      <c r="AN9" s="201" t="s">
        <v>73</v>
      </c>
      <c r="AO9" s="201" t="s">
        <v>74</v>
      </c>
      <c r="AP9" s="201" t="s">
        <v>75</v>
      </c>
      <c r="AQ9" s="201" t="s">
        <v>76</v>
      </c>
      <c r="AR9" s="201" t="s">
        <v>77</v>
      </c>
      <c r="AS9" s="201" t="s">
        <v>78</v>
      </c>
      <c r="AT9" s="113" t="s">
        <v>79</v>
      </c>
    </row>
    <row r="10" spans="1:46">
      <c r="A10" s="976" t="s">
        <v>1310</v>
      </c>
      <c r="B10" s="405" t="s">
        <v>120</v>
      </c>
      <c r="C10" t="s">
        <v>196</v>
      </c>
      <c r="D10" s="112">
        <f>SUMIF('Cases post Attain'!$A:$A,"=BJ PTS",'Cases post Attain'!D:D)</f>
        <v>1909590</v>
      </c>
      <c r="E10" s="112">
        <f>SUMIF('Cases post Attain'!$A:$A,"=BJ PTS",'Cases post Attain'!E:E)</f>
        <v>2297525</v>
      </c>
      <c r="F10" s="112">
        <f>SUMIF('Cases post Attain'!$A:$A,"=BJ PTS",'Cases post Attain'!F:F)</f>
        <v>3138900.65</v>
      </c>
      <c r="G10" s="112">
        <f>SUMIF('Cases post Attain'!$A:$A,"=BJ PTS",'Cases post Attain'!G:G)</f>
        <v>2230815</v>
      </c>
      <c r="H10" s="112">
        <f>SUMIF('Cases post Attain'!$A:$A,"=BJ PTS",'Cases post Attain'!H:H)</f>
        <v>1992842</v>
      </c>
      <c r="I10" s="112">
        <f>SUMIF('Cases post Attain'!$A:$A,"=BJ PTS",'Cases post Attain'!I:I)</f>
        <v>2136242.4</v>
      </c>
      <c r="J10" s="112">
        <f>SUMIF('Cases post Attain'!$A:$A,"=BJ PTS",'Cases post Attain'!J:J)</f>
        <v>2220003.4285714286</v>
      </c>
      <c r="K10" s="112">
        <f>SUMIF('Cases post Attain'!$A:$A,"=BJ PTS",'Cases post Attain'!K:K)</f>
        <v>2161075.2000000002</v>
      </c>
      <c r="L10" s="112">
        <f>SUMIF('Cases post Attain'!$A:$A,"=BJ PTS",'Cases post Attain'!L:L)</f>
        <v>1830432</v>
      </c>
      <c r="M10" s="112">
        <f>SUMIF('Cases post Attain'!$A:$A,"=BJ PTS",'Cases post Attain'!M:M)</f>
        <v>1646148</v>
      </c>
      <c r="N10" s="112">
        <f>SUMIF('Cases post Attain'!$A:$A,"=BJ PTS",'Cases post Attain'!N:N)</f>
        <v>1106265.6000000001</v>
      </c>
      <c r="O10" s="112">
        <f>SUMIF('Cases post Attain'!$A:$A,"=BJ PTS",'Cases post Attain'!O:O)</f>
        <v>1506265.6</v>
      </c>
      <c r="P10" s="396"/>
      <c r="Q10" s="192" t="s">
        <v>752</v>
      </c>
      <c r="R10" s="397">
        <v>45</v>
      </c>
      <c r="S10" s="194"/>
      <c r="T10" s="50">
        <f>D10-AI10</f>
        <v>0</v>
      </c>
      <c r="U10" s="50">
        <f t="shared" ref="U10:U12" si="18">E10-AJ10</f>
        <v>-13941</v>
      </c>
      <c r="V10" s="50">
        <f t="shared" ref="V10:V12" si="19">F10-AK10</f>
        <v>171942.64999999991</v>
      </c>
      <c r="W10" s="50">
        <f t="shared" ref="W10:W12" si="20">G10-AL10</f>
        <v>-194888</v>
      </c>
      <c r="X10" s="50">
        <f t="shared" ref="X10:X12" si="21">H10-AM10</f>
        <v>-302161</v>
      </c>
      <c r="Y10" s="50">
        <f t="shared" ref="Y10:Y12" si="22">I10-AN10</f>
        <v>-15359.600000000093</v>
      </c>
      <c r="Z10" s="50">
        <f t="shared" ref="Z10:Z12" si="23">J10-AO10</f>
        <v>0.42857142863795161</v>
      </c>
      <c r="AA10" s="50">
        <f t="shared" ref="AA10:AA12" si="24">K10-AP10</f>
        <v>0.20000000018626451</v>
      </c>
      <c r="AB10" s="50">
        <f t="shared" ref="AB10:AB12" si="25">L10-AQ10</f>
        <v>372000</v>
      </c>
      <c r="AC10" s="50">
        <f t="shared" ref="AC10:AC12" si="26">M10-AR10</f>
        <v>101714</v>
      </c>
      <c r="AD10" s="50">
        <f t="shared" ref="AD10:AD12" si="27">N10-AS10</f>
        <v>-0.39999999990686774</v>
      </c>
      <c r="AE10" s="50">
        <f t="shared" ref="AE10:AE12" si="28">O10-AT10</f>
        <v>23999.600000000093</v>
      </c>
      <c r="AG10" s="405" t="s">
        <v>120</v>
      </c>
      <c r="AH10" t="s">
        <v>196</v>
      </c>
      <c r="AI10" s="112">
        <v>1909590</v>
      </c>
      <c r="AJ10" s="112">
        <v>2311466</v>
      </c>
      <c r="AK10" s="112">
        <v>2966958</v>
      </c>
      <c r="AL10" s="112">
        <v>2425703</v>
      </c>
      <c r="AM10" s="112">
        <v>2295003</v>
      </c>
      <c r="AN10" s="112">
        <v>2151602</v>
      </c>
      <c r="AO10" s="112">
        <v>2220003</v>
      </c>
      <c r="AP10" s="112">
        <v>2161075</v>
      </c>
      <c r="AQ10" s="112">
        <v>1458432</v>
      </c>
      <c r="AR10" s="112">
        <v>1544434</v>
      </c>
      <c r="AS10" s="112">
        <v>1106266</v>
      </c>
      <c r="AT10" s="112">
        <v>1482266</v>
      </c>
    </row>
    <row r="11" spans="1:46">
      <c r="B11" s="111"/>
      <c r="C11" t="s">
        <v>12</v>
      </c>
      <c r="D11" s="112">
        <f>SUMIF('MRF3 Demand'!$D:$D,"=BJ Pts",'MRF3 Demand'!G:G)</f>
        <v>1586282</v>
      </c>
      <c r="E11" s="112">
        <f>SUMIF('MRF3 Demand'!$D:$D,"=BJ Pts",'MRF3 Demand'!H:H)</f>
        <v>2016058</v>
      </c>
      <c r="F11" s="112">
        <f>SUMIF('MRF3 Demand'!$D:$D,"=BJ Pts",'MRF3 Demand'!I:I)</f>
        <v>2399918.5183534431</v>
      </c>
      <c r="G11" s="112">
        <f>SUMIF('MRF3 Demand'!$D:$D,"=BJ Pts",'MRF3 Demand'!J:J)</f>
        <v>2058368.8059623737</v>
      </c>
      <c r="H11" s="112">
        <f>SUMIF('MRF3 Demand'!$D:$D,"=BJ Pts",'MRF3 Demand'!K:K)</f>
        <v>2176596.2481469251</v>
      </c>
      <c r="I11" s="112">
        <f>SUMIF('MRF3 Demand'!$D:$D,"=BJ Pts",'MRF3 Demand'!L:L)</f>
        <v>2430410.5499754576</v>
      </c>
      <c r="J11" s="112">
        <f>SUMIF('MRF3 Demand'!$D:$D,"=BJ Pts",'MRF3 Demand'!M:M)</f>
        <v>2032308.2327267802</v>
      </c>
      <c r="K11" s="112">
        <f>SUMIF('MRF3 Demand'!$D:$D,"=BJ Pts",'MRF3 Demand'!N:N)</f>
        <v>2128678.9177362844</v>
      </c>
      <c r="L11" s="112">
        <f>SUMIF('MRF3 Demand'!$D:$D,"=BJ Pts",'MRF3 Demand'!O:O)</f>
        <v>1839270.1834751221</v>
      </c>
      <c r="M11" s="112">
        <f>SUMIF('MRF3 Demand'!$D:$D,"=BJ Pts",'MRF3 Demand'!P:P)</f>
        <v>1741681.587351169</v>
      </c>
      <c r="N11" s="112">
        <f>SUMIF('MRF3 Demand'!$D:$D,"=BJ Pts",'MRF3 Demand'!Q:Q)</f>
        <v>1700507.7323926948</v>
      </c>
      <c r="O11" s="112">
        <f>SUMIF('MRF3 Demand'!$D:$D,"=BJ Pts",'MRF3 Demand'!R:R)</f>
        <v>1524169.9882385691</v>
      </c>
      <c r="Q11" s="58" t="s">
        <v>753</v>
      </c>
      <c r="R11" s="398">
        <f>K13-R10</f>
        <v>15.906071429686889</v>
      </c>
      <c r="S11" s="94"/>
      <c r="T11" s="50">
        <f>D11-AI11</f>
        <v>-27737</v>
      </c>
      <c r="U11" s="50">
        <f t="shared" si="18"/>
        <v>48432</v>
      </c>
      <c r="V11" s="50">
        <f t="shared" si="19"/>
        <v>48654.518353443127</v>
      </c>
      <c r="W11" s="50">
        <f t="shared" si="20"/>
        <v>-34784.194037626265</v>
      </c>
      <c r="X11" s="50">
        <f t="shared" si="21"/>
        <v>1520.2481469251215</v>
      </c>
      <c r="Y11" s="50">
        <f t="shared" si="22"/>
        <v>-2623.4500245423988</v>
      </c>
      <c r="Z11" s="50">
        <f t="shared" si="23"/>
        <v>-27859.767273219768</v>
      </c>
      <c r="AA11" s="50">
        <f t="shared" si="24"/>
        <v>-52256.082263715565</v>
      </c>
      <c r="AB11" s="50">
        <f t="shared" si="25"/>
        <v>-26674.816524877911</v>
      </c>
      <c r="AC11" s="50">
        <f t="shared" si="26"/>
        <v>-35934.412648831028</v>
      </c>
      <c r="AD11" s="50">
        <f t="shared" si="27"/>
        <v>5563.7323926948011</v>
      </c>
      <c r="AE11" s="50">
        <f t="shared" si="28"/>
        <v>-30524.011761430884</v>
      </c>
      <c r="AG11" s="111"/>
      <c r="AH11" t="s">
        <v>12</v>
      </c>
      <c r="AI11" s="112">
        <v>1614019</v>
      </c>
      <c r="AJ11" s="112">
        <v>1967626</v>
      </c>
      <c r="AK11" s="112">
        <v>2351264</v>
      </c>
      <c r="AL11" s="112">
        <v>2093153</v>
      </c>
      <c r="AM11" s="112">
        <v>2175076</v>
      </c>
      <c r="AN11" s="112">
        <v>2433034</v>
      </c>
      <c r="AO11" s="112">
        <v>2060168</v>
      </c>
      <c r="AP11" s="112">
        <v>2180935</v>
      </c>
      <c r="AQ11" s="112">
        <v>1865945</v>
      </c>
      <c r="AR11" s="112">
        <v>1777616</v>
      </c>
      <c r="AS11" s="112">
        <v>1694944</v>
      </c>
      <c r="AT11" s="112">
        <v>1554694</v>
      </c>
    </row>
    <row r="12" spans="1:46" s="153" customFormat="1" ht="19.5" thickBot="1">
      <c r="B12" s="148" t="s">
        <v>754</v>
      </c>
      <c r="C12" s="149">
        <v>2668245</v>
      </c>
      <c r="D12" s="1004">
        <v>2858774</v>
      </c>
      <c r="E12" s="1004">
        <v>2981431</v>
      </c>
      <c r="F12" s="150">
        <f t="shared" ref="F12" si="29">E12+F10-F11</f>
        <v>3720413.1316465572</v>
      </c>
      <c r="G12" s="150">
        <f t="shared" ref="G12" si="30">F12+G10-G11</f>
        <v>3892859.3256841833</v>
      </c>
      <c r="H12" s="150">
        <f t="shared" ref="H12" si="31">G12+H10-H11</f>
        <v>3709105.0775372582</v>
      </c>
      <c r="I12" s="150">
        <f t="shared" ref="I12" si="32">H12+I10-I11</f>
        <v>3414936.9275618</v>
      </c>
      <c r="J12" s="150">
        <f t="shared" ref="J12:N12" si="33">I12+J10-J11</f>
        <v>3602632.1234064479</v>
      </c>
      <c r="K12" s="150">
        <f t="shared" si="33"/>
        <v>3635028.4056701642</v>
      </c>
      <c r="L12" s="150">
        <f>K12+L10-L11</f>
        <v>3626190.2221950423</v>
      </c>
      <c r="M12" s="150">
        <f t="shared" si="33"/>
        <v>3530656.6348438733</v>
      </c>
      <c r="N12" s="150">
        <f t="shared" si="33"/>
        <v>2936414.5024511786</v>
      </c>
      <c r="O12" s="151">
        <f>N12+O10-O11</f>
        <v>2918510.1142126098</v>
      </c>
      <c r="P12" s="152"/>
      <c r="Q12" s="193" t="s">
        <v>755</v>
      </c>
      <c r="R12" s="399">
        <f>R11*(SUM(L11:M11)/60)</f>
        <v>949314.5775504458</v>
      </c>
      <c r="S12" s="158"/>
      <c r="T12" s="50">
        <f>D12-AI12</f>
        <v>0</v>
      </c>
      <c r="U12" s="50">
        <f t="shared" si="18"/>
        <v>-221183</v>
      </c>
      <c r="V12" s="50">
        <f t="shared" si="19"/>
        <v>-97894.868353442755</v>
      </c>
      <c r="W12" s="50">
        <f t="shared" si="20"/>
        <v>-257998.67431581672</v>
      </c>
      <c r="X12" s="50">
        <f t="shared" si="21"/>
        <v>-561680.92246274184</v>
      </c>
      <c r="Y12" s="50">
        <f t="shared" si="22"/>
        <v>-574418.0724382</v>
      </c>
      <c r="Z12" s="50">
        <f t="shared" si="23"/>
        <v>-546557.87659355206</v>
      </c>
      <c r="AA12" s="50">
        <f t="shared" si="24"/>
        <v>-494301.59432983585</v>
      </c>
      <c r="AB12" s="50">
        <f t="shared" si="25"/>
        <v>-95626.777804957703</v>
      </c>
      <c r="AC12" s="50">
        <f t="shared" si="26"/>
        <v>42021.634843873326</v>
      </c>
      <c r="AD12" s="50">
        <f t="shared" si="27"/>
        <v>36457.502451178618</v>
      </c>
      <c r="AE12" s="50">
        <f t="shared" si="28"/>
        <v>90981.114212609828</v>
      </c>
      <c r="AG12" s="148" t="s">
        <v>754</v>
      </c>
      <c r="AH12" s="149">
        <v>2668245</v>
      </c>
      <c r="AI12" s="1004">
        <v>2858774</v>
      </c>
      <c r="AJ12" s="150">
        <v>3202614</v>
      </c>
      <c r="AK12" s="150">
        <v>3818308</v>
      </c>
      <c r="AL12" s="150">
        <v>4150858</v>
      </c>
      <c r="AM12" s="150">
        <v>4270786</v>
      </c>
      <c r="AN12" s="150">
        <v>3989355</v>
      </c>
      <c r="AO12" s="150">
        <v>4149190</v>
      </c>
      <c r="AP12" s="150">
        <v>4129330</v>
      </c>
      <c r="AQ12" s="150">
        <v>3721817</v>
      </c>
      <c r="AR12" s="150">
        <v>3488635</v>
      </c>
      <c r="AS12" s="150">
        <v>2899957</v>
      </c>
      <c r="AT12" s="151">
        <v>2827529</v>
      </c>
    </row>
    <row r="13" spans="1:46">
      <c r="C13" t="s">
        <v>756</v>
      </c>
      <c r="D13" s="112">
        <f t="shared" ref="D13:M13" si="34">D12/(SUM(E11:F11)/60)</f>
        <v>38.842244583301351</v>
      </c>
      <c r="E13" s="112">
        <f t="shared" si="34"/>
        <v>40.124345289354444</v>
      </c>
      <c r="F13" s="112">
        <f t="shared" si="34"/>
        <v>52.709948027125407</v>
      </c>
      <c r="G13" s="112">
        <f t="shared" si="34"/>
        <v>50.699200104554805</v>
      </c>
      <c r="H13" s="112">
        <f t="shared" si="34"/>
        <v>49.867875501104429</v>
      </c>
      <c r="I13" s="112">
        <f t="shared" si="34"/>
        <v>49.242213024115124</v>
      </c>
      <c r="J13" s="112">
        <f t="shared" si="34"/>
        <v>54.475982904718798</v>
      </c>
      <c r="K13" s="112">
        <f t="shared" si="34"/>
        <v>60.906071429686889</v>
      </c>
      <c r="L13" s="112">
        <f t="shared" si="34"/>
        <v>63.207276858290932</v>
      </c>
      <c r="M13" s="112">
        <f t="shared" si="34"/>
        <v>65.693199892596596</v>
      </c>
      <c r="N13" s="112">
        <f>N12/(SUM(O11,D11)/60)</f>
        <v>56.642851525524804</v>
      </c>
      <c r="O13" s="112">
        <f>O12/(SUM(D11,E11)/60)</f>
        <v>48.610238581798662</v>
      </c>
      <c r="Q13" s="58" t="s">
        <v>757</v>
      </c>
      <c r="R13" s="400">
        <f>R12/SUM(G11:K11)</f>
        <v>8.7685458087174109E-2</v>
      </c>
      <c r="S13" s="95"/>
      <c r="AF13" s="50"/>
      <c r="AH13" t="s">
        <v>756</v>
      </c>
      <c r="AI13" s="112">
        <v>40</v>
      </c>
      <c r="AJ13" s="112">
        <v>43</v>
      </c>
      <c r="AK13" s="112">
        <v>54</v>
      </c>
      <c r="AL13" s="112">
        <v>54</v>
      </c>
      <c r="AM13" s="112">
        <v>57</v>
      </c>
      <c r="AN13" s="112">
        <v>56</v>
      </c>
      <c r="AO13" s="112">
        <v>62</v>
      </c>
      <c r="AP13" s="112">
        <v>68</v>
      </c>
      <c r="AQ13" s="112">
        <v>64</v>
      </c>
      <c r="AR13" s="112">
        <v>64</v>
      </c>
      <c r="AS13" s="112">
        <v>55</v>
      </c>
      <c r="AT13" s="112">
        <v>47</v>
      </c>
    </row>
    <row r="14" spans="1:46">
      <c r="A14" s="56"/>
      <c r="D14" s="112"/>
      <c r="E14" s="112"/>
      <c r="F14" s="112"/>
      <c r="G14" s="121">
        <v>4000000</v>
      </c>
      <c r="H14" s="112"/>
      <c r="I14" s="112"/>
      <c r="J14" s="112"/>
      <c r="K14" s="121">
        <v>3100000</v>
      </c>
      <c r="L14" s="112"/>
      <c r="M14" s="112"/>
      <c r="N14" s="112"/>
      <c r="O14" s="121">
        <v>2900000</v>
      </c>
      <c r="AI14" s="112"/>
      <c r="AJ14" s="112"/>
      <c r="AK14" s="112"/>
      <c r="AL14" s="121">
        <v>4000000</v>
      </c>
      <c r="AM14" s="112"/>
      <c r="AN14" s="112"/>
      <c r="AO14" s="112"/>
      <c r="AP14" s="121">
        <v>3100000</v>
      </c>
      <c r="AQ14" s="112"/>
      <c r="AR14" s="112"/>
      <c r="AS14" s="112"/>
      <c r="AT14" s="121">
        <v>2900000</v>
      </c>
    </row>
    <row r="15" spans="1:46" ht="15.75" thickBot="1">
      <c r="D15" s="94"/>
      <c r="E15" s="94"/>
      <c r="G15" s="112">
        <f>G12-G14</f>
        <v>-107140.67431581672</v>
      </c>
      <c r="H15" s="56"/>
      <c r="K15" s="112">
        <f>K12-K14</f>
        <v>535028.40567016415</v>
      </c>
      <c r="O15" s="112">
        <f>O12-O14</f>
        <v>18510.114212609828</v>
      </c>
      <c r="AI15" s="94"/>
      <c r="AJ15" s="94"/>
      <c r="AL15" s="112">
        <v>150858</v>
      </c>
      <c r="AM15" s="56"/>
      <c r="AP15" s="112">
        <v>1029330</v>
      </c>
      <c r="AT15" s="112">
        <v>-72471</v>
      </c>
    </row>
    <row r="16" spans="1:46">
      <c r="B16" s="108"/>
      <c r="C16" s="200"/>
      <c r="D16" s="109" t="s">
        <v>68</v>
      </c>
      <c r="E16" s="109" t="s">
        <v>69</v>
      </c>
      <c r="F16" s="109" t="s">
        <v>70</v>
      </c>
      <c r="G16" s="109" t="s">
        <v>71</v>
      </c>
      <c r="H16" s="109" t="s">
        <v>72</v>
      </c>
      <c r="I16" s="109" t="s">
        <v>73</v>
      </c>
      <c r="J16" s="109" t="s">
        <v>74</v>
      </c>
      <c r="K16" s="109" t="s">
        <v>75</v>
      </c>
      <c r="L16" s="109" t="s">
        <v>76</v>
      </c>
      <c r="M16" s="109" t="s">
        <v>77</v>
      </c>
      <c r="N16" s="109" t="s">
        <v>78</v>
      </c>
      <c r="O16" s="110" t="s">
        <v>79</v>
      </c>
      <c r="AG16" s="108"/>
      <c r="AH16" s="200"/>
      <c r="AI16" s="109" t="s">
        <v>68</v>
      </c>
      <c r="AJ16" s="109" t="s">
        <v>69</v>
      </c>
      <c r="AK16" s="109" t="s">
        <v>70</v>
      </c>
      <c r="AL16" s="109" t="s">
        <v>71</v>
      </c>
      <c r="AM16" s="109" t="s">
        <v>72</v>
      </c>
      <c r="AN16" s="109" t="s">
        <v>73</v>
      </c>
      <c r="AO16" s="109" t="s">
        <v>74</v>
      </c>
      <c r="AP16" s="109" t="s">
        <v>75</v>
      </c>
      <c r="AQ16" s="109" t="s">
        <v>76</v>
      </c>
      <c r="AR16" s="109" t="s">
        <v>77</v>
      </c>
      <c r="AS16" s="109" t="s">
        <v>78</v>
      </c>
      <c r="AT16" s="110" t="s">
        <v>79</v>
      </c>
    </row>
    <row r="17" spans="1:46">
      <c r="A17" s="976" t="s">
        <v>1310</v>
      </c>
      <c r="B17" s="405" t="s">
        <v>41</v>
      </c>
      <c r="C17" t="s">
        <v>196</v>
      </c>
      <c r="D17" s="112">
        <f>SUMIF('Cases post Attain'!$A:$A,"=Talenti",'Cases post Attain'!D:D)</f>
        <v>787404</v>
      </c>
      <c r="E17" s="112">
        <f>SUMIF('Cases post Attain'!$A:$A,"=Talenti",'Cases post Attain'!E:E)</f>
        <v>936622</v>
      </c>
      <c r="F17" s="112">
        <f>SUMIF('Cases post Attain'!$A:$A,"=Talenti",'Cases post Attain'!F:F)</f>
        <v>1043191.24</v>
      </c>
      <c r="G17" s="112">
        <f>SUMIF('Cases post Attain'!$A:$A,"=Talenti",'Cases post Attain'!G:G)</f>
        <v>1240608</v>
      </c>
      <c r="H17" s="112">
        <f>SUMIF('Cases post Attain'!$A:$A,"=Talenti",'Cases post Attain'!H:H)</f>
        <v>912864</v>
      </c>
      <c r="I17" s="112">
        <f>SUMIF('Cases post Attain'!$A:$A,"=Talenti",'Cases post Attain'!I:I)</f>
        <v>1000719.3599999999</v>
      </c>
      <c r="J17" s="112">
        <f>SUMIF('Cases post Attain'!$A:$A,"=Talenti",'Cases post Attain'!J:J)</f>
        <v>1000719.3599999999</v>
      </c>
      <c r="K17" s="112">
        <f>SUMIF('Cases post Attain'!$A:$A,"=Talenti",'Cases post Attain'!K:K)</f>
        <v>1107939.2914285713</v>
      </c>
      <c r="L17" s="112">
        <f>SUMIF('Cases post Attain'!$A:$A,"=Talenti",'Cases post Attain'!L:L)</f>
        <v>806400</v>
      </c>
      <c r="M17" s="112">
        <f>SUMIF('Cases post Attain'!$A:$A,"=Talenti",'Cases post Attain'!M:M)</f>
        <v>952711.67999999993</v>
      </c>
      <c r="N17" s="112">
        <f>SUMIF('Cases post Attain'!$A:$A,"=Talenti",'Cases post Attain'!N:N)</f>
        <v>576000</v>
      </c>
      <c r="O17" s="112">
        <f>SUMIF('Cases post Attain'!$A:$A,"=Talenti",'Cases post Attain'!O:O)</f>
        <v>678950.94857142854</v>
      </c>
      <c r="P17" s="328"/>
      <c r="Q17" s="192" t="s">
        <v>752</v>
      </c>
      <c r="R17" s="397">
        <v>65</v>
      </c>
      <c r="S17" s="194"/>
      <c r="T17" s="50">
        <f>D17-AI17</f>
        <v>0</v>
      </c>
      <c r="U17" s="50">
        <f t="shared" ref="U17:U19" si="35">E17-AJ17</f>
        <v>-49818</v>
      </c>
      <c r="V17" s="50">
        <f t="shared" ref="V17:V19" si="36">F17-AK17</f>
        <v>-110056.76000000001</v>
      </c>
      <c r="W17" s="50">
        <f t="shared" ref="W17:W19" si="37">G17-AL17</f>
        <v>44961</v>
      </c>
      <c r="X17" s="50">
        <f t="shared" ref="X17:X19" si="38">H17-AM17</f>
        <v>-87855</v>
      </c>
      <c r="Y17" s="50">
        <f t="shared" ref="Y17:Y19" si="39">I17-AN17</f>
        <v>0.35999999986961484</v>
      </c>
      <c r="Z17" s="50">
        <f t="shared" ref="Z17:Z19" si="40">J17-AO17</f>
        <v>0.35999999986961484</v>
      </c>
      <c r="AA17" s="50">
        <f t="shared" ref="AA17:AA19" si="41">K17-AP17</f>
        <v>0.29142857133410871</v>
      </c>
      <c r="AB17" s="50">
        <f t="shared" ref="AB17:AB19" si="42">L17-AQ17</f>
        <v>88102</v>
      </c>
      <c r="AC17" s="50">
        <f t="shared" ref="AC17:AC19" si="43">M17-AR17</f>
        <v>202280.67999999993</v>
      </c>
      <c r="AD17" s="50">
        <f t="shared" ref="AD17:AD19" si="44">N17-AS17</f>
        <v>-67211</v>
      </c>
      <c r="AE17" s="50">
        <f t="shared" ref="AE17:AE19" si="45">O17-AT17</f>
        <v>-5.1428571459837258E-2</v>
      </c>
      <c r="AG17" s="405" t="s">
        <v>41</v>
      </c>
      <c r="AH17" t="s">
        <v>196</v>
      </c>
      <c r="AI17" s="112">
        <v>787404</v>
      </c>
      <c r="AJ17" s="112">
        <v>986440</v>
      </c>
      <c r="AK17" s="112">
        <v>1153248</v>
      </c>
      <c r="AL17" s="112">
        <v>1195647</v>
      </c>
      <c r="AM17" s="112">
        <v>1000719</v>
      </c>
      <c r="AN17" s="112">
        <v>1000719</v>
      </c>
      <c r="AO17" s="112">
        <v>1000719</v>
      </c>
      <c r="AP17" s="112">
        <v>1107939</v>
      </c>
      <c r="AQ17" s="112">
        <v>718298</v>
      </c>
      <c r="AR17" s="112">
        <v>750431</v>
      </c>
      <c r="AS17" s="112">
        <v>643211</v>
      </c>
      <c r="AT17" s="112">
        <v>678951</v>
      </c>
    </row>
    <row r="18" spans="1:46">
      <c r="B18" s="111"/>
      <c r="C18" t="s">
        <v>12</v>
      </c>
      <c r="D18" s="112">
        <f>SUMIF('MRF3 Demand'!$D:$D,"=Talenti",'MRF3 Demand'!G:G)</f>
        <v>676223</v>
      </c>
      <c r="E18" s="112">
        <f>SUMIF('MRF3 Demand'!$D:$D,"=Talenti",'MRF3 Demand'!H:H)</f>
        <v>861510</v>
      </c>
      <c r="F18" s="112">
        <f>SUMIF('MRF3 Demand'!$D:$D,"=Talenti",'MRF3 Demand'!I:I)</f>
        <v>972911.29137021501</v>
      </c>
      <c r="G18" s="112">
        <f>SUMIF('MRF3 Demand'!$D:$D,"=Talenti",'MRF3 Demand'!J:J)</f>
        <v>957610.04073112202</v>
      </c>
      <c r="H18" s="112">
        <f>SUMIF('MRF3 Demand'!$D:$D,"=Talenti",'MRF3 Demand'!K:K)</f>
        <v>1063405.0022412182</v>
      </c>
      <c r="I18" s="112">
        <f>SUMIF('MRF3 Demand'!$D:$D,"=Talenti",'MRF3 Demand'!L:L)</f>
        <v>1162056.8432606345</v>
      </c>
      <c r="J18" s="112">
        <f>SUMIF('MRF3 Demand'!$D:$D,"=Talenti",'MRF3 Demand'!M:M)</f>
        <v>971619.95054350502</v>
      </c>
      <c r="K18" s="112">
        <f>SUMIF('MRF3 Demand'!$D:$D,"=Talenti",'MRF3 Demand'!N:N)</f>
        <v>873818.49544252141</v>
      </c>
      <c r="L18" s="112">
        <f>SUMIF('MRF3 Demand'!$D:$D,"=Talenti",'MRF3 Demand'!O:O)</f>
        <v>872242.14407880616</v>
      </c>
      <c r="M18" s="112">
        <f>SUMIF('MRF3 Demand'!$D:$D,"=Talenti",'MRF3 Demand'!P:P)</f>
        <v>830663.43122903071</v>
      </c>
      <c r="N18" s="112">
        <f>SUMIF('MRF3 Demand'!$D:$D,"=Talenti",'MRF3 Demand'!Q:Q)</f>
        <v>717137.04012144892</v>
      </c>
      <c r="O18" s="112">
        <f>SUMIF('MRF3 Demand'!$D:$D,"=Talenti",'MRF3 Demand'!R:R)</f>
        <v>590707.59840342205</v>
      </c>
      <c r="P18" s="157"/>
      <c r="Q18" s="58" t="s">
        <v>753</v>
      </c>
      <c r="R18" s="398">
        <f>K20-R17</f>
        <v>11.154567552530452</v>
      </c>
      <c r="S18" s="94"/>
      <c r="T18" s="50">
        <f>D18-AI18</f>
        <v>0</v>
      </c>
      <c r="U18" s="50">
        <f t="shared" si="35"/>
        <v>-7058</v>
      </c>
      <c r="V18" s="50">
        <f t="shared" si="36"/>
        <v>5638.2913702150108</v>
      </c>
      <c r="W18" s="50">
        <f t="shared" si="37"/>
        <v>-26461.959268877981</v>
      </c>
      <c r="X18" s="50">
        <f t="shared" si="38"/>
        <v>2257.0022412182298</v>
      </c>
      <c r="Y18" s="50">
        <f t="shared" si="39"/>
        <v>-24716.156739365542</v>
      </c>
      <c r="Z18" s="50">
        <f t="shared" si="40"/>
        <v>2163.9505435050232</v>
      </c>
      <c r="AA18" s="50">
        <f t="shared" si="41"/>
        <v>2457.4954425214091</v>
      </c>
      <c r="AB18" s="50">
        <f t="shared" si="42"/>
        <v>-3969.8559211938409</v>
      </c>
      <c r="AC18" s="50">
        <f t="shared" si="43"/>
        <v>-11578.568770969287</v>
      </c>
      <c r="AD18" s="50">
        <f t="shared" si="44"/>
        <v>-17333.959878551075</v>
      </c>
      <c r="AE18" s="50">
        <f t="shared" si="45"/>
        <v>21288.598403422046</v>
      </c>
      <c r="AG18" s="111"/>
      <c r="AH18" t="s">
        <v>12</v>
      </c>
      <c r="AI18" s="112">
        <v>676223</v>
      </c>
      <c r="AJ18" s="112">
        <v>868568</v>
      </c>
      <c r="AK18" s="112">
        <v>967273</v>
      </c>
      <c r="AL18" s="112">
        <v>984072</v>
      </c>
      <c r="AM18" s="112">
        <v>1061148</v>
      </c>
      <c r="AN18" s="112">
        <v>1186773</v>
      </c>
      <c r="AO18" s="112">
        <v>969456</v>
      </c>
      <c r="AP18" s="112">
        <v>871361</v>
      </c>
      <c r="AQ18" s="112">
        <v>876212</v>
      </c>
      <c r="AR18" s="112">
        <v>842242</v>
      </c>
      <c r="AS18" s="112">
        <v>734471</v>
      </c>
      <c r="AT18" s="112">
        <v>569419</v>
      </c>
    </row>
    <row r="19" spans="1:46" s="153" customFormat="1" ht="19.5" thickBot="1">
      <c r="B19" s="148" t="s">
        <v>754</v>
      </c>
      <c r="C19" s="972">
        <v>1678609</v>
      </c>
      <c r="D19" s="1004">
        <v>1781417</v>
      </c>
      <c r="E19" s="1004">
        <v>1856781</v>
      </c>
      <c r="F19" s="150">
        <f t="shared" ref="F19" si="46">E19+F17-F18</f>
        <v>1927060.9486297853</v>
      </c>
      <c r="G19" s="150">
        <f t="shared" ref="G19" si="47">F19+G17-G18</f>
        <v>2210058.9078986635</v>
      </c>
      <c r="H19" s="150">
        <f t="shared" ref="H19" si="48">G19+H17-H18</f>
        <v>2059517.9056574453</v>
      </c>
      <c r="I19" s="150">
        <f t="shared" ref="I19" si="49">H19+I17-I18</f>
        <v>1898180.422396811</v>
      </c>
      <c r="J19" s="150">
        <f t="shared" ref="J19:N19" si="50">I19+J17-J18</f>
        <v>1927279.8318533059</v>
      </c>
      <c r="K19" s="150">
        <f t="shared" si="50"/>
        <v>2161400.6278393562</v>
      </c>
      <c r="L19" s="150">
        <f t="shared" si="50"/>
        <v>2095558.4837605502</v>
      </c>
      <c r="M19" s="150">
        <f t="shared" si="50"/>
        <v>2217606.7325315196</v>
      </c>
      <c r="N19" s="150">
        <f t="shared" si="50"/>
        <v>2076469.6924100707</v>
      </c>
      <c r="O19" s="151">
        <f>N19+O17-O18</f>
        <v>2164713.0425780769</v>
      </c>
      <c r="P19" s="152"/>
      <c r="Q19" s="193" t="s">
        <v>755</v>
      </c>
      <c r="R19" s="399">
        <f>R18*(SUM(L18:M18)/60)</f>
        <v>316586.25458919996</v>
      </c>
      <c r="S19" s="158"/>
      <c r="T19" s="50">
        <f>D19-AI19</f>
        <v>0</v>
      </c>
      <c r="U19" s="50">
        <f t="shared" si="35"/>
        <v>-42509</v>
      </c>
      <c r="V19" s="50">
        <f t="shared" si="36"/>
        <v>-158203.05137021467</v>
      </c>
      <c r="W19" s="50">
        <f t="shared" si="37"/>
        <v>-86780.092101336457</v>
      </c>
      <c r="X19" s="50">
        <f t="shared" si="38"/>
        <v>-176893.09434255469</v>
      </c>
      <c r="Y19" s="50">
        <f t="shared" si="39"/>
        <v>-152176.57760318904</v>
      </c>
      <c r="Z19" s="50">
        <f t="shared" si="40"/>
        <v>-154340.16814669408</v>
      </c>
      <c r="AA19" s="50">
        <f t="shared" si="41"/>
        <v>-156797.3721606438</v>
      </c>
      <c r="AB19" s="50">
        <f t="shared" si="42"/>
        <v>-64725.516239449847</v>
      </c>
      <c r="AC19" s="50">
        <f t="shared" si="43"/>
        <v>149133.73253151961</v>
      </c>
      <c r="AD19" s="50">
        <f t="shared" si="44"/>
        <v>99257.692410070682</v>
      </c>
      <c r="AE19" s="50">
        <f t="shared" si="45"/>
        <v>77968.042578076944</v>
      </c>
      <c r="AG19" s="148" t="s">
        <v>754</v>
      </c>
      <c r="AH19" s="972">
        <v>1678609</v>
      </c>
      <c r="AI19" s="1004">
        <v>1781417</v>
      </c>
      <c r="AJ19" s="150">
        <v>1899290</v>
      </c>
      <c r="AK19" s="150">
        <v>2085264</v>
      </c>
      <c r="AL19" s="150">
        <v>2296839</v>
      </c>
      <c r="AM19" s="150">
        <v>2236411</v>
      </c>
      <c r="AN19" s="150">
        <v>2050357</v>
      </c>
      <c r="AO19" s="150">
        <v>2081620</v>
      </c>
      <c r="AP19" s="150">
        <v>2318198</v>
      </c>
      <c r="AQ19" s="150">
        <v>2160284</v>
      </c>
      <c r="AR19" s="150">
        <v>2068473</v>
      </c>
      <c r="AS19" s="150">
        <v>1977212</v>
      </c>
      <c r="AT19" s="151">
        <v>2086745</v>
      </c>
    </row>
    <row r="20" spans="1:46">
      <c r="C20" t="s">
        <v>756</v>
      </c>
      <c r="D20" s="190">
        <f t="shared" ref="D20:M20" si="51">D19/(SUM(E18:F18)/60)</f>
        <v>58.266342907611261</v>
      </c>
      <c r="E20" s="190">
        <f t="shared" si="51"/>
        <v>57.708173511211953</v>
      </c>
      <c r="F20" s="190">
        <f t="shared" si="51"/>
        <v>57.210685947066224</v>
      </c>
      <c r="G20" s="190">
        <f t="shared" si="51"/>
        <v>59.584726083684913</v>
      </c>
      <c r="H20" s="190">
        <f t="shared" si="51"/>
        <v>57.914617011478782</v>
      </c>
      <c r="I20" s="190">
        <f t="shared" si="51"/>
        <v>61.714778724551962</v>
      </c>
      <c r="J20" s="190">
        <f t="shared" si="51"/>
        <v>66.227247378361099</v>
      </c>
      <c r="K20" s="190">
        <f t="shared" si="51"/>
        <v>76.154567552530452</v>
      </c>
      <c r="L20" s="190">
        <f t="shared" si="51"/>
        <v>81.233667616038773</v>
      </c>
      <c r="M20" s="190">
        <f t="shared" si="51"/>
        <v>101.73716359916162</v>
      </c>
      <c r="N20" s="190">
        <f>N19/(SUM(O18,D18)/60)</f>
        <v>98.338600158216607</v>
      </c>
      <c r="O20" s="190">
        <f>O19/(SUM(D18,E18)/60)</f>
        <v>84.463806496111232</v>
      </c>
      <c r="Q20" s="58" t="s">
        <v>757</v>
      </c>
      <c r="R20" s="400">
        <f>R19/SUM(G18:K18)</f>
        <v>6.2958258743299716E-2</v>
      </c>
      <c r="S20" s="95"/>
      <c r="AF20" s="50"/>
      <c r="AH20" t="s">
        <v>756</v>
      </c>
      <c r="AI20" s="190">
        <v>58.2</v>
      </c>
      <c r="AJ20" s="190">
        <v>58.4</v>
      </c>
      <c r="AK20" s="190">
        <v>61.2</v>
      </c>
      <c r="AL20" s="190">
        <v>61.3</v>
      </c>
      <c r="AM20" s="190">
        <v>62.2</v>
      </c>
      <c r="AN20" s="190">
        <v>66.8</v>
      </c>
      <c r="AO20" s="190">
        <v>71.5</v>
      </c>
      <c r="AP20" s="190">
        <v>80.900000000000006</v>
      </c>
      <c r="AQ20" s="190">
        <v>82.2</v>
      </c>
      <c r="AR20" s="190">
        <v>95.2</v>
      </c>
      <c r="AS20" s="190">
        <v>95.2</v>
      </c>
      <c r="AT20" s="190">
        <v>81</v>
      </c>
    </row>
    <row r="21" spans="1:46" ht="15.75" thickBot="1">
      <c r="D21" s="112"/>
      <c r="E21" s="112"/>
      <c r="F21" s="112"/>
      <c r="G21" s="248">
        <v>2500000</v>
      </c>
      <c r="H21" s="112"/>
      <c r="I21" s="112"/>
      <c r="J21" s="112"/>
      <c r="K21" s="56">
        <v>1900000</v>
      </c>
      <c r="L21" s="191"/>
      <c r="M21" s="191"/>
      <c r="N21" s="191"/>
      <c r="O21" s="248">
        <v>2000000</v>
      </c>
      <c r="AI21" s="112"/>
      <c r="AJ21" s="112"/>
      <c r="AK21" s="112"/>
      <c r="AL21" s="248">
        <v>2500000</v>
      </c>
      <c r="AM21" s="112"/>
      <c r="AN21" s="112"/>
      <c r="AO21" s="112"/>
      <c r="AP21" s="56">
        <v>1900000</v>
      </c>
      <c r="AQ21" s="191"/>
      <c r="AR21" s="191"/>
      <c r="AS21" s="191"/>
      <c r="AT21" s="248">
        <v>2000000</v>
      </c>
    </row>
    <row r="22" spans="1:46" ht="15.75" thickBot="1">
      <c r="D22" s="112"/>
      <c r="E22" s="112"/>
      <c r="F22" s="112"/>
      <c r="G22" s="112">
        <f>G19-G21</f>
        <v>-289941.09210133646</v>
      </c>
      <c r="H22" s="112"/>
      <c r="I22" s="112"/>
      <c r="J22" s="112"/>
      <c r="K22" s="112">
        <f>K19-K21</f>
        <v>261400.6278393562</v>
      </c>
      <c r="L22" s="112"/>
      <c r="M22" s="112"/>
      <c r="N22" s="112"/>
      <c r="O22" s="112">
        <f>O19-O21</f>
        <v>164713.04257807694</v>
      </c>
      <c r="AI22" s="112"/>
      <c r="AJ22" s="112"/>
      <c r="AK22" s="112"/>
      <c r="AL22" s="112">
        <v>-203161</v>
      </c>
      <c r="AM22" s="112"/>
      <c r="AN22" s="112"/>
      <c r="AO22" s="112"/>
      <c r="AP22" s="112">
        <v>418198</v>
      </c>
      <c r="AQ22" s="112"/>
      <c r="AR22" s="112"/>
      <c r="AS22" s="112"/>
      <c r="AT22" s="112">
        <v>86745</v>
      </c>
    </row>
    <row r="23" spans="1:46">
      <c r="B23" s="108"/>
      <c r="C23" s="200"/>
      <c r="D23" s="109" t="s">
        <v>68</v>
      </c>
      <c r="E23" s="109" t="s">
        <v>69</v>
      </c>
      <c r="F23" s="109" t="s">
        <v>70</v>
      </c>
      <c r="G23" s="109" t="s">
        <v>71</v>
      </c>
      <c r="H23" s="109" t="s">
        <v>72</v>
      </c>
      <c r="I23" s="109" t="s">
        <v>73</v>
      </c>
      <c r="J23" s="109" t="s">
        <v>74</v>
      </c>
      <c r="K23" s="109" t="s">
        <v>75</v>
      </c>
      <c r="L23" s="109" t="s">
        <v>76</v>
      </c>
      <c r="M23" s="109" t="s">
        <v>77</v>
      </c>
      <c r="N23" s="109" t="s">
        <v>78</v>
      </c>
      <c r="O23" s="110" t="s">
        <v>79</v>
      </c>
      <c r="P23" s="403"/>
      <c r="AG23" s="108"/>
      <c r="AH23" s="200"/>
      <c r="AI23" s="109" t="s">
        <v>68</v>
      </c>
      <c r="AJ23" s="109" t="s">
        <v>69</v>
      </c>
      <c r="AK23" s="109" t="s">
        <v>70</v>
      </c>
      <c r="AL23" s="109" t="s">
        <v>71</v>
      </c>
      <c r="AM23" s="109" t="s">
        <v>72</v>
      </c>
      <c r="AN23" s="109" t="s">
        <v>73</v>
      </c>
      <c r="AO23" s="109" t="s">
        <v>74</v>
      </c>
      <c r="AP23" s="109" t="s">
        <v>75</v>
      </c>
      <c r="AQ23" s="109" t="s">
        <v>76</v>
      </c>
      <c r="AR23" s="109" t="s">
        <v>77</v>
      </c>
      <c r="AS23" s="109" t="s">
        <v>78</v>
      </c>
      <c r="AT23" s="110" t="s">
        <v>79</v>
      </c>
    </row>
    <row r="24" spans="1:46">
      <c r="A24" s="976" t="s">
        <v>1310</v>
      </c>
      <c r="B24" s="405" t="s">
        <v>156</v>
      </c>
      <c r="C24" t="s">
        <v>196</v>
      </c>
      <c r="D24" s="112">
        <f>SUMIF('Cases post Attain'!$A:$A,"=MG Sticks",'Cases post Attain'!D:D)</f>
        <v>543661</v>
      </c>
      <c r="E24" s="112">
        <f>SUMIF('Cases post Attain'!$A:$A,"=MG Sticks",'Cases post Attain'!E:E)</f>
        <v>675319</v>
      </c>
      <c r="F24" s="112">
        <f>SUMIF('Cases post Attain'!$A:$A,"=MG Sticks",'Cases post Attain'!F:F)</f>
        <v>705455</v>
      </c>
      <c r="G24" s="112">
        <f>SUMIF('Cases post Attain'!$A:$A,"=MG Sticks",'Cases post Attain'!G:G)</f>
        <v>955824</v>
      </c>
      <c r="H24" s="112">
        <f>SUMIF('Cases post Attain'!$A:$A,"=MG Sticks",'Cases post Attain'!H:H)</f>
        <v>986304</v>
      </c>
      <c r="I24" s="112">
        <f>SUMIF('Cases post Attain'!$A:$A,"=MG Sticks",'Cases post Attain'!I:I)</f>
        <v>694925</v>
      </c>
      <c r="J24" s="112">
        <f>SUMIF('Cases post Attain'!$A:$A,"=MG Sticks",'Cases post Attain'!J:J)</f>
        <v>711075</v>
      </c>
      <c r="K24" s="112">
        <f>SUMIF('Cases post Attain'!$A:$A,"=MG Sticks",'Cases post Attain'!K:K)</f>
        <v>676875</v>
      </c>
      <c r="L24" s="112">
        <f>SUMIF('Cases post Attain'!$A:$A,"=MG Sticks",'Cases post Attain'!L:L)</f>
        <v>568575</v>
      </c>
      <c r="M24" s="112">
        <f>SUMIF('Cases post Attain'!$A:$A,"=MG Sticks",'Cases post Attain'!M:M)</f>
        <v>140000</v>
      </c>
      <c r="N24" s="112">
        <f>SUMIF('Cases post Attain'!$A:$A,"=MG Sticks",'Cases post Attain'!N:N)</f>
        <v>0</v>
      </c>
      <c r="O24" s="112">
        <f>SUMIF('Cases post Attain'!$A:$A,"=MG Sticks",'Cases post Attain'!O:O)</f>
        <v>0</v>
      </c>
      <c r="P24" s="325"/>
      <c r="Q24" s="192" t="s">
        <v>752</v>
      </c>
      <c r="R24" s="397">
        <v>60</v>
      </c>
      <c r="S24" s="94"/>
      <c r="T24" s="50">
        <f>D24-AI24</f>
        <v>0</v>
      </c>
      <c r="U24" s="50">
        <f t="shared" ref="U24:U26" si="52">E24-AJ24</f>
        <v>-33900</v>
      </c>
      <c r="V24" s="50">
        <f t="shared" ref="V24:V26" si="53">F24-AK24</f>
        <v>-211393</v>
      </c>
      <c r="W24" s="50">
        <f t="shared" ref="W24:W26" si="54">G24-AL24</f>
        <v>13296</v>
      </c>
      <c r="X24" s="50">
        <f t="shared" ref="X24:X26" si="55">H24-AM24</f>
        <v>164554</v>
      </c>
      <c r="Y24" s="50">
        <f t="shared" ref="Y24:Y26" si="56">I24-AN24</f>
        <v>0</v>
      </c>
      <c r="Z24" s="50">
        <f t="shared" ref="Z24:Z26" si="57">J24-AO24</f>
        <v>0</v>
      </c>
      <c r="AA24" s="50">
        <f t="shared" ref="AA24:AA26" si="58">K24-AP24</f>
        <v>0</v>
      </c>
      <c r="AB24" s="50">
        <f t="shared" ref="AB24:AB26" si="59">L24-AQ24</f>
        <v>0</v>
      </c>
      <c r="AC24" s="50">
        <f t="shared" ref="AC24:AC26" si="60">M24-AR24</f>
        <v>0</v>
      </c>
      <c r="AD24" s="50">
        <f t="shared" ref="AD24:AD26" si="61">N24-AS24</f>
        <v>-100000</v>
      </c>
      <c r="AE24" s="50" t="e">
        <f t="shared" ref="AE24:AE26" si="62">O24-AT24</f>
        <v>#VALUE!</v>
      </c>
      <c r="AG24" s="405" t="s">
        <v>156</v>
      </c>
      <c r="AH24" t="s">
        <v>196</v>
      </c>
      <c r="AI24" s="112">
        <v>543661</v>
      </c>
      <c r="AJ24" s="112">
        <v>709219</v>
      </c>
      <c r="AK24" s="112">
        <v>916848</v>
      </c>
      <c r="AL24" s="112">
        <v>942528</v>
      </c>
      <c r="AM24" s="112">
        <v>821750</v>
      </c>
      <c r="AN24" s="112">
        <v>694925</v>
      </c>
      <c r="AO24" s="112">
        <v>711075</v>
      </c>
      <c r="AP24" s="112">
        <v>676875</v>
      </c>
      <c r="AQ24" s="112">
        <v>568575</v>
      </c>
      <c r="AR24" s="112">
        <v>140000</v>
      </c>
      <c r="AS24" s="112">
        <v>100000</v>
      </c>
      <c r="AT24" s="112" t="s">
        <v>1348</v>
      </c>
    </row>
    <row r="25" spans="1:46">
      <c r="A25" t="s">
        <v>1344</v>
      </c>
      <c r="B25" s="111"/>
      <c r="C25" t="s">
        <v>12</v>
      </c>
      <c r="D25" s="112">
        <f>SUMIF('MRF3 Demand'!$D:$D,"=MG Sticks",'MRF3 Demand'!G:G)</f>
        <v>344315</v>
      </c>
      <c r="E25" s="112">
        <f>SUMIF('MRF3 Demand'!$D:$D,"=MG Sticks",'MRF3 Demand'!H:H)</f>
        <v>431724</v>
      </c>
      <c r="F25" s="112">
        <f>SUMIF('MRF3 Demand'!$D:$D,"=MG Sticks",'MRF3 Demand'!I:I)</f>
        <v>540813.05615513097</v>
      </c>
      <c r="G25" s="112">
        <f>SUMIF('MRF3 Demand'!$D:$D,"=MG Sticks",'MRF3 Demand'!J:J)</f>
        <v>751815.10584904219</v>
      </c>
      <c r="H25" s="112">
        <f>SUMIF('MRF3 Demand'!$D:$D,"=MG Sticks",'MRF3 Demand'!K:K)</f>
        <v>772720.52686772624</v>
      </c>
      <c r="I25" s="112">
        <f>SUMIF('MRF3 Demand'!$D:$D,"=MG Sticks",'MRF3 Demand'!L:L)</f>
        <v>788016.76534091285</v>
      </c>
      <c r="J25" s="112">
        <f>SUMIF('MRF3 Demand'!$D:$D,"=MG Sticks",'MRF3 Demand'!M:M)</f>
        <v>560771.2236630196</v>
      </c>
      <c r="K25" s="112">
        <f>SUMIF('MRF3 Demand'!$D:$D,"=MG Sticks",'MRF3 Demand'!N:N)</f>
        <v>548034.69194539951</v>
      </c>
      <c r="L25" s="112">
        <f>SUMIF('MRF3 Demand'!$D:$D,"=MG Sticks",'MRF3 Demand'!O:O)</f>
        <v>456107.86341917113</v>
      </c>
      <c r="M25" s="112">
        <f>SUMIF('MRF3 Demand'!$D:$D,"=MG Sticks",'MRF3 Demand'!P:P)</f>
        <v>399375.33025683678</v>
      </c>
      <c r="N25" s="112">
        <f>SUMIF('MRF3 Demand'!$D:$D,"=MG Sticks",'MRF3 Demand'!Q:Q)</f>
        <v>346265.02484993613</v>
      </c>
      <c r="O25" s="112">
        <f>SUMIF('MRF3 Demand'!$D:$D,"=MG Sticks",'MRF3 Demand'!R:R)</f>
        <v>314025.47499942867</v>
      </c>
      <c r="P25" s="325"/>
      <c r="Q25" s="58" t="s">
        <v>753</v>
      </c>
      <c r="R25" s="398">
        <f>K27-R24</f>
        <v>118.62751593528088</v>
      </c>
      <c r="S25" s="94"/>
      <c r="T25" s="50">
        <f>D25-AI25</f>
        <v>0</v>
      </c>
      <c r="U25" s="50">
        <f t="shared" si="52"/>
        <v>23781</v>
      </c>
      <c r="V25" s="50">
        <f t="shared" si="53"/>
        <v>-140051.94384486903</v>
      </c>
      <c r="W25" s="50">
        <f t="shared" si="54"/>
        <v>63117.105849042186</v>
      </c>
      <c r="X25" s="50">
        <f t="shared" si="55"/>
        <v>-38667.473132273764</v>
      </c>
      <c r="Y25" s="50">
        <f t="shared" si="56"/>
        <v>68678.765340912854</v>
      </c>
      <c r="Z25" s="50">
        <f t="shared" si="57"/>
        <v>-10918.776336980402</v>
      </c>
      <c r="AA25" s="50">
        <f t="shared" si="58"/>
        <v>-3224.3080546004931</v>
      </c>
      <c r="AB25" s="50">
        <f t="shared" si="59"/>
        <v>-17171.136580828868</v>
      </c>
      <c r="AC25" s="50">
        <f t="shared" si="60"/>
        <v>-19087.66974316322</v>
      </c>
      <c r="AD25" s="50">
        <f t="shared" si="61"/>
        <v>-17648.975150063867</v>
      </c>
      <c r="AE25" s="50">
        <f t="shared" si="62"/>
        <v>-21773.525000571331</v>
      </c>
      <c r="AG25" s="111"/>
      <c r="AH25" t="s">
        <v>12</v>
      </c>
      <c r="AI25" s="112">
        <v>344315</v>
      </c>
      <c r="AJ25" s="112">
        <v>407943</v>
      </c>
      <c r="AK25" s="112">
        <v>680865</v>
      </c>
      <c r="AL25" s="112">
        <v>688698</v>
      </c>
      <c r="AM25" s="112">
        <v>811388</v>
      </c>
      <c r="AN25" s="112">
        <v>719338</v>
      </c>
      <c r="AO25" s="112">
        <v>571690</v>
      </c>
      <c r="AP25" s="112">
        <v>551259</v>
      </c>
      <c r="AQ25" s="112">
        <v>473279</v>
      </c>
      <c r="AR25" s="112">
        <v>418463</v>
      </c>
      <c r="AS25" s="112">
        <v>363914</v>
      </c>
      <c r="AT25" s="112">
        <v>335799</v>
      </c>
    </row>
    <row r="26" spans="1:46" ht="19.5" thickBot="1">
      <c r="B26" s="148" t="s">
        <v>754</v>
      </c>
      <c r="C26" s="149">
        <v>1422614.3759999999</v>
      </c>
      <c r="D26" s="1004">
        <v>1521572</v>
      </c>
      <c r="E26" s="1004">
        <v>1778594</v>
      </c>
      <c r="F26" s="150">
        <f t="shared" ref="F26" si="63">E26+F24-F25</f>
        <v>1943235.943844869</v>
      </c>
      <c r="G26" s="150">
        <f t="shared" ref="G26" si="64">F26+G24-G25</f>
        <v>2147244.8379958267</v>
      </c>
      <c r="H26" s="150">
        <f t="shared" ref="H26" si="65">G26+H24-H25</f>
        <v>2360828.3111281004</v>
      </c>
      <c r="I26" s="150">
        <f t="shared" ref="I26" si="66">H26+I24-I25</f>
        <v>2267736.5457871873</v>
      </c>
      <c r="J26" s="150">
        <f t="shared" ref="J26:O26" si="67">I26+J24-J25</f>
        <v>2418040.3221241678</v>
      </c>
      <c r="K26" s="150">
        <f t="shared" si="67"/>
        <v>2546880.6301787682</v>
      </c>
      <c r="L26" s="150">
        <f t="shared" si="67"/>
        <v>2659347.7667595972</v>
      </c>
      <c r="M26" s="150">
        <f t="shared" si="67"/>
        <v>2399972.4365027603</v>
      </c>
      <c r="N26" s="150">
        <f t="shared" si="67"/>
        <v>2053707.4116528241</v>
      </c>
      <c r="O26" s="151">
        <f t="shared" si="67"/>
        <v>1739681.9366533954</v>
      </c>
      <c r="P26" s="407"/>
      <c r="Q26" s="193" t="s">
        <v>755</v>
      </c>
      <c r="R26" s="399">
        <f>R25*(SUM(L25:M25)/60)</f>
        <v>1691397.4365027603</v>
      </c>
      <c r="S26" s="158"/>
      <c r="T26" s="50">
        <f>D26-AI26</f>
        <v>0</v>
      </c>
      <c r="U26" s="50">
        <f t="shared" si="52"/>
        <v>-44254</v>
      </c>
      <c r="V26" s="50">
        <f t="shared" si="53"/>
        <v>-115595.05615513097</v>
      </c>
      <c r="W26" s="50">
        <f t="shared" si="54"/>
        <v>-165416.16200417327</v>
      </c>
      <c r="X26" s="50">
        <f t="shared" si="55"/>
        <v>37805.31112810038</v>
      </c>
      <c r="Y26" s="50">
        <f t="shared" si="56"/>
        <v>-30872.454212812707</v>
      </c>
      <c r="Z26" s="50">
        <f t="shared" si="57"/>
        <v>-19954.677875832189</v>
      </c>
      <c r="AA26" s="50">
        <f t="shared" si="58"/>
        <v>-16729.369821231812</v>
      </c>
      <c r="AB26" s="50">
        <f t="shared" si="59"/>
        <v>440.7667595972307</v>
      </c>
      <c r="AC26" s="50">
        <f t="shared" si="60"/>
        <v>19528.436502760276</v>
      </c>
      <c r="AD26" s="50">
        <f t="shared" si="61"/>
        <v>-62822.588347175857</v>
      </c>
      <c r="AE26" s="50">
        <f t="shared" si="62"/>
        <v>-41049.063346604584</v>
      </c>
      <c r="AG26" s="148" t="s">
        <v>754</v>
      </c>
      <c r="AH26" s="149">
        <v>1422614</v>
      </c>
      <c r="AI26" s="1004">
        <v>1521572</v>
      </c>
      <c r="AJ26" s="150">
        <v>1822848</v>
      </c>
      <c r="AK26" s="150">
        <v>2058831</v>
      </c>
      <c r="AL26" s="150">
        <v>2312661</v>
      </c>
      <c r="AM26" s="150">
        <v>2323023</v>
      </c>
      <c r="AN26" s="150">
        <v>2298609</v>
      </c>
      <c r="AO26" s="150">
        <v>2437995</v>
      </c>
      <c r="AP26" s="150">
        <v>2563610</v>
      </c>
      <c r="AQ26" s="150">
        <v>2658907</v>
      </c>
      <c r="AR26" s="150">
        <v>2380444</v>
      </c>
      <c r="AS26" s="150">
        <v>2116530</v>
      </c>
      <c r="AT26" s="151">
        <v>1780731</v>
      </c>
    </row>
    <row r="27" spans="1:46" ht="15.75" thickBot="1">
      <c r="C27" t="s">
        <v>756</v>
      </c>
      <c r="D27" s="190">
        <f t="shared" ref="D27:M27" si="68">D26/(SUM(E25:F25)/60)</f>
        <v>93.872330542269324</v>
      </c>
      <c r="E27" s="190">
        <f t="shared" si="68"/>
        <v>82.557105853659607</v>
      </c>
      <c r="F27" s="190">
        <f t="shared" si="68"/>
        <v>76.478472610651835</v>
      </c>
      <c r="G27" s="190">
        <f t="shared" si="68"/>
        <v>82.547326140603943</v>
      </c>
      <c r="H27" s="190">
        <f t="shared" si="68"/>
        <v>105.01998818383088</v>
      </c>
      <c r="I27" s="190">
        <f t="shared" si="68"/>
        <v>122.71236185872141</v>
      </c>
      <c r="J27" s="190">
        <f t="shared" si="68"/>
        <v>144.48388682698095</v>
      </c>
      <c r="K27" s="190">
        <f t="shared" si="68"/>
        <v>178.62751593528088</v>
      </c>
      <c r="L27" s="190">
        <f t="shared" si="68"/>
        <v>213.9917252503418</v>
      </c>
      <c r="M27" s="190">
        <f t="shared" si="68"/>
        <v>218.08332275417658</v>
      </c>
      <c r="N27" s="190">
        <f>N26/(SUM(O25,D25)/60)</f>
        <v>187.1713032671679</v>
      </c>
      <c r="O27" s="190">
        <f>O26/(SUM(D25,E25)/60)</f>
        <v>134.50473004475771</v>
      </c>
      <c r="P27" s="325"/>
      <c r="Q27" s="58" t="s">
        <v>757</v>
      </c>
      <c r="R27" s="400">
        <f>R26/SUM(G25:K25)</f>
        <v>0.49436430839375339</v>
      </c>
      <c r="S27" s="331"/>
      <c r="AF27" s="50"/>
      <c r="AH27" t="s">
        <v>756</v>
      </c>
      <c r="AI27" s="190">
        <v>83.8</v>
      </c>
      <c r="AJ27" s="190">
        <v>79.900000000000006</v>
      </c>
      <c r="AK27" s="190">
        <v>82.3</v>
      </c>
      <c r="AL27" s="190">
        <v>90.6</v>
      </c>
      <c r="AM27" s="190">
        <v>108</v>
      </c>
      <c r="AN27" s="190">
        <v>122.8</v>
      </c>
      <c r="AO27" s="190">
        <v>142.80000000000001</v>
      </c>
      <c r="AP27" s="190">
        <v>172.5</v>
      </c>
      <c r="AQ27" s="190">
        <v>203.9</v>
      </c>
      <c r="AR27" s="190">
        <v>204.1</v>
      </c>
      <c r="AS27" s="190">
        <v>186.7</v>
      </c>
      <c r="AT27" s="190">
        <v>142</v>
      </c>
    </row>
    <row r="28" spans="1:46" ht="15.75" thickBot="1">
      <c r="C28" t="s">
        <v>719</v>
      </c>
      <c r="E28" s="112"/>
      <c r="G28" s="248">
        <v>2500000</v>
      </c>
      <c r="I28" s="125"/>
      <c r="K28" s="56">
        <v>1200000</v>
      </c>
      <c r="L28" s="246"/>
      <c r="M28" s="246"/>
      <c r="N28" s="246"/>
      <c r="O28" s="247">
        <v>1500000</v>
      </c>
      <c r="P28" s="325"/>
      <c r="AH28" t="s">
        <v>719</v>
      </c>
      <c r="AJ28" s="112"/>
      <c r="AL28" s="248">
        <v>2500000</v>
      </c>
      <c r="AN28" s="125"/>
      <c r="AP28" s="56">
        <v>1200000</v>
      </c>
      <c r="AQ28" s="246"/>
      <c r="AR28" s="246"/>
      <c r="AS28" s="246"/>
      <c r="AT28" s="247">
        <v>1500000</v>
      </c>
    </row>
    <row r="29" spans="1:46">
      <c r="D29" s="112"/>
      <c r="E29" s="112"/>
      <c r="F29" s="112"/>
      <c r="G29" s="112">
        <f>G26-G28</f>
        <v>-352755.16200417327</v>
      </c>
      <c r="H29" s="112"/>
      <c r="I29" s="112"/>
      <c r="J29" s="112"/>
      <c r="K29" s="112">
        <f>K26-K28</f>
        <v>1346880.6301787682</v>
      </c>
      <c r="L29" s="112"/>
      <c r="M29" s="112"/>
      <c r="N29" s="112"/>
      <c r="O29" s="112">
        <f>O26-O28</f>
        <v>239681.93665339542</v>
      </c>
      <c r="P29" s="157"/>
      <c r="AI29" s="112"/>
      <c r="AJ29" s="112"/>
      <c r="AK29" s="112"/>
      <c r="AL29" s="112">
        <v>-187339</v>
      </c>
      <c r="AM29" s="112"/>
      <c r="AN29" s="112"/>
      <c r="AO29" s="112"/>
      <c r="AP29" s="112">
        <v>1363610</v>
      </c>
      <c r="AQ29" s="112"/>
      <c r="AR29" s="112"/>
      <c r="AS29" s="112"/>
      <c r="AT29" s="112">
        <v>280731</v>
      </c>
    </row>
    <row r="30" spans="1:46"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57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</row>
    <row r="31" spans="1:46" ht="15.75" thickBot="1"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57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</row>
    <row r="32" spans="1:46">
      <c r="B32" s="108"/>
      <c r="C32" s="200"/>
      <c r="D32" s="109" t="s">
        <v>68</v>
      </c>
      <c r="E32" s="109" t="s">
        <v>69</v>
      </c>
      <c r="F32" s="109" t="s">
        <v>70</v>
      </c>
      <c r="G32" s="109" t="s">
        <v>71</v>
      </c>
      <c r="H32" s="109" t="s">
        <v>72</v>
      </c>
      <c r="I32" s="109" t="s">
        <v>73</v>
      </c>
      <c r="J32" s="109" t="s">
        <v>74</v>
      </c>
      <c r="K32" s="109" t="s">
        <v>75</v>
      </c>
      <c r="L32" s="109" t="s">
        <v>76</v>
      </c>
      <c r="M32" s="109" t="s">
        <v>77</v>
      </c>
      <c r="N32" s="109" t="s">
        <v>78</v>
      </c>
      <c r="O32" s="110" t="s">
        <v>79</v>
      </c>
      <c r="P32" s="325"/>
      <c r="Q32" s="325"/>
      <c r="AG32" s="108"/>
      <c r="AH32" s="200"/>
      <c r="AI32" s="109" t="s">
        <v>68</v>
      </c>
      <c r="AJ32" s="109" t="s">
        <v>69</v>
      </c>
      <c r="AK32" s="109" t="s">
        <v>70</v>
      </c>
      <c r="AL32" s="109" t="s">
        <v>71</v>
      </c>
      <c r="AM32" s="109" t="s">
        <v>72</v>
      </c>
      <c r="AN32" s="109" t="s">
        <v>73</v>
      </c>
      <c r="AO32" s="109" t="s">
        <v>74</v>
      </c>
      <c r="AP32" s="109" t="s">
        <v>75</v>
      </c>
      <c r="AQ32" s="109" t="s">
        <v>76</v>
      </c>
      <c r="AR32" s="109" t="s">
        <v>77</v>
      </c>
      <c r="AS32" s="109" t="s">
        <v>78</v>
      </c>
      <c r="AT32" s="110" t="s">
        <v>79</v>
      </c>
    </row>
    <row r="33" spans="1:46">
      <c r="A33" s="976" t="s">
        <v>1310</v>
      </c>
      <c r="B33" s="405" t="s">
        <v>44</v>
      </c>
      <c r="C33" t="s">
        <v>196</v>
      </c>
      <c r="D33" s="112">
        <f>SUMIF('Cases post Attain'!$A:$A,"=Yasso Sticks",'Cases post Attain'!D:D)</f>
        <v>790485</v>
      </c>
      <c r="E33" s="112">
        <f>SUMIF('Cases post Attain'!$A:$A,"=Yasso Sticks",'Cases post Attain'!E:E)</f>
        <v>759694</v>
      </c>
      <c r="F33" s="112">
        <f>SUMIF('Cases post Attain'!$A:$A,"=Yasso Sticks",'Cases post Attain'!F:F)</f>
        <v>580565</v>
      </c>
      <c r="G33" s="112">
        <f>SUMIF('Cases post Attain'!$A:$A,"=Yasso Sticks",'Cases post Attain'!G:G)</f>
        <v>547379.52</v>
      </c>
      <c r="H33" s="112">
        <f>SUMIF('Cases post Attain'!$A:$A,"=Yasso Sticks",'Cases post Attain'!H:H)</f>
        <v>1543440</v>
      </c>
      <c r="I33" s="112">
        <f>SUMIF('Cases post Attain'!$A:$A,"=Yasso Sticks",'Cases post Attain'!I:I)</f>
        <v>806910</v>
      </c>
      <c r="J33" s="112">
        <f>SUMIF('Cases post Attain'!$A:$A,"=Yasso Sticks",'Cases post Attain'!J:J)</f>
        <v>820102.5</v>
      </c>
      <c r="K33" s="112">
        <f>SUMIF('Cases post Attain'!$A:$A,"=Yasso Sticks",'Cases post Attain'!K:K)</f>
        <v>684247.5</v>
      </c>
      <c r="L33" s="112">
        <f>SUMIF('Cases post Attain'!$A:$A,"=Yasso Sticks",'Cases post Attain'!L:L)</f>
        <v>527070</v>
      </c>
      <c r="M33" s="112">
        <f>SUMIF('Cases post Attain'!$A:$A,"=Yasso Sticks",'Cases post Attain'!M:M)</f>
        <v>861107.5</v>
      </c>
      <c r="N33" s="112">
        <f>SUMIF('Cases post Attain'!$A:$A,"=Yasso Sticks",'Cases post Attain'!N:N)</f>
        <v>867246.5</v>
      </c>
      <c r="O33" s="112">
        <f>SUMIF('Cases post Attain'!$A:$A,"=Yasso Sticks",'Cases post Attain'!O:O)</f>
        <v>597397.5</v>
      </c>
      <c r="P33" s="325"/>
      <c r="Q33" s="192" t="s">
        <v>752</v>
      </c>
      <c r="R33" s="397">
        <v>45</v>
      </c>
      <c r="S33" s="94"/>
      <c r="T33" s="50">
        <f>D33-AI33</f>
        <v>0</v>
      </c>
      <c r="U33" s="50">
        <f t="shared" ref="U33:U35" si="69">E33-AJ33</f>
        <v>-122750</v>
      </c>
      <c r="V33" s="50">
        <f t="shared" ref="V33:V35" si="70">F33-AK33</f>
        <v>-557836</v>
      </c>
      <c r="W33" s="50">
        <f t="shared" ref="W33:W35" si="71">G33-AL33</f>
        <v>-292601.48</v>
      </c>
      <c r="X33" s="50">
        <f t="shared" ref="X33:X35" si="72">H33-AM33</f>
        <v>757283</v>
      </c>
      <c r="Y33" s="50">
        <f t="shared" ref="Y33:Y35" si="73">I33-AN33</f>
        <v>149546</v>
      </c>
      <c r="Z33" s="50">
        <f t="shared" ref="Z33:Z35" si="74">J33-AO33</f>
        <v>96407.5</v>
      </c>
      <c r="AA33" s="50">
        <f t="shared" ref="AA33:AA35" si="75">K33-AP33</f>
        <v>-246041.5</v>
      </c>
      <c r="AB33" s="50">
        <f t="shared" ref="AB33:AB35" si="76">L33-AQ33</f>
        <v>-464555</v>
      </c>
      <c r="AC33" s="50">
        <f t="shared" ref="AC33:AC35" si="77">M33-AR33</f>
        <v>-7669.5</v>
      </c>
      <c r="AD33" s="50">
        <f t="shared" ref="AD33:AD35" si="78">N33-AS33</f>
        <v>81000.5</v>
      </c>
      <c r="AE33" s="50" t="e">
        <f t="shared" ref="AE33:AE35" si="79">O33-AT33</f>
        <v>#VALUE!</v>
      </c>
      <c r="AG33" s="405" t="s">
        <v>44</v>
      </c>
      <c r="AH33" t="s">
        <v>196</v>
      </c>
      <c r="AI33" s="112">
        <v>790485</v>
      </c>
      <c r="AJ33" s="112">
        <v>882444</v>
      </c>
      <c r="AK33" s="112">
        <v>1138401</v>
      </c>
      <c r="AL33" s="112">
        <v>839981</v>
      </c>
      <c r="AM33" s="112">
        <v>786157</v>
      </c>
      <c r="AN33" s="112">
        <v>657364</v>
      </c>
      <c r="AO33" s="112">
        <v>723695</v>
      </c>
      <c r="AP33" s="112">
        <v>930289</v>
      </c>
      <c r="AQ33" s="112">
        <v>991625</v>
      </c>
      <c r="AR33" s="112">
        <v>868777</v>
      </c>
      <c r="AS33" s="112">
        <v>786246</v>
      </c>
      <c r="AT33" s="112" t="s">
        <v>1348</v>
      </c>
    </row>
    <row r="34" spans="1:46">
      <c r="B34" s="111"/>
      <c r="C34" t="s">
        <v>12</v>
      </c>
      <c r="D34" s="112">
        <f>SUMIF('MRF3 Demand'!$D:$D,"=Yasso Sticks",'MRF3 Demand'!G:G)</f>
        <v>600413</v>
      </c>
      <c r="E34" s="112">
        <f>SUMIF('MRF3 Demand'!$D:$D,"=Yasso Sticks",'MRF3 Demand'!H:H)</f>
        <v>645420</v>
      </c>
      <c r="F34" s="112">
        <f>SUMIF('MRF3 Demand'!$D:$D,"=Yasso Sticks",'MRF3 Demand'!I:I)</f>
        <v>839178.39749999996</v>
      </c>
      <c r="G34" s="121">
        <f>SUMIF('MRF3 Demand'!$D:$D,"=Yasso Sticks",'MRF3 Demand'!J:J)</f>
        <v>730208.12749999994</v>
      </c>
      <c r="H34" s="121">
        <f>SUMIF('MRF3 Demand'!$D:$D,"=Yasso Sticks",'MRF3 Demand'!K:K)</f>
        <v>886437.03749999998</v>
      </c>
      <c r="I34" s="121">
        <f>SUMIF('MRF3 Demand'!$D:$D,"=Yasso Sticks",'MRF3 Demand'!L:L)</f>
        <v>981210.8175</v>
      </c>
      <c r="J34" s="121">
        <f>SUMIF('MRF3 Demand'!$D:$D,"=Yasso Sticks",'MRF3 Demand'!M:M)</f>
        <v>981482.84750000003</v>
      </c>
      <c r="K34" s="121">
        <f>SUMIF('MRF3 Demand'!$D:$D,"=Yasso Sticks",'MRF3 Demand'!N:N)</f>
        <v>946846.00750000018</v>
      </c>
      <c r="L34" s="121">
        <f>SUMIF('MRF3 Demand'!$D:$D,"=Yasso Sticks",'MRF3 Demand'!O:O)</f>
        <v>771212.16749999986</v>
      </c>
      <c r="M34" s="121">
        <f>SUMIF('MRF3 Demand'!$D:$D,"=Yasso Sticks",'MRF3 Demand'!P:P)</f>
        <v>643882.36749999982</v>
      </c>
      <c r="N34" s="121">
        <f>SUMIF('MRF3 Demand'!$D:$D,"=Yasso Sticks",'MRF3 Demand'!Q:Q)</f>
        <v>611612.50750000018</v>
      </c>
      <c r="O34" s="121">
        <f>SUMIF('MRF3 Demand'!$D:$D,"=Yasso Sticks",'MRF3 Demand'!R:R)</f>
        <v>505603.83749999985</v>
      </c>
      <c r="P34" s="325"/>
      <c r="Q34" s="58" t="s">
        <v>753</v>
      </c>
      <c r="R34" s="398">
        <f>K36-R33</f>
        <v>24.601383274369027</v>
      </c>
      <c r="S34" s="94"/>
      <c r="T34" s="50">
        <f>D34-AI34</f>
        <v>0</v>
      </c>
      <c r="U34" s="50">
        <f t="shared" si="69"/>
        <v>33460</v>
      </c>
      <c r="V34" s="50">
        <f t="shared" si="70"/>
        <v>13200.397499999963</v>
      </c>
      <c r="W34" s="50">
        <f t="shared" si="71"/>
        <v>-8562.8725000000559</v>
      </c>
      <c r="X34" s="50">
        <f t="shared" si="72"/>
        <v>32160.037499999977</v>
      </c>
      <c r="Y34" s="50">
        <f t="shared" si="73"/>
        <v>-12717.182499999995</v>
      </c>
      <c r="Z34" s="50">
        <f t="shared" si="74"/>
        <v>4692.8475000000326</v>
      </c>
      <c r="AA34" s="50">
        <f t="shared" si="75"/>
        <v>-4074.9924999998184</v>
      </c>
      <c r="AB34" s="50">
        <f t="shared" si="76"/>
        <v>28134.167499999865</v>
      </c>
      <c r="AC34" s="50">
        <f t="shared" si="77"/>
        <v>-6005.6325000001816</v>
      </c>
      <c r="AD34" s="50">
        <f t="shared" si="78"/>
        <v>-16619.492499999818</v>
      </c>
      <c r="AE34" s="50">
        <f t="shared" si="79"/>
        <v>-12412.162500000151</v>
      </c>
      <c r="AG34" s="111"/>
      <c r="AH34" t="s">
        <v>12</v>
      </c>
      <c r="AI34" s="112">
        <v>600413</v>
      </c>
      <c r="AJ34" s="112">
        <v>611960</v>
      </c>
      <c r="AK34" s="112">
        <v>825978</v>
      </c>
      <c r="AL34" s="121">
        <v>738771</v>
      </c>
      <c r="AM34" s="121">
        <v>854277</v>
      </c>
      <c r="AN34" s="121">
        <v>993928</v>
      </c>
      <c r="AO34" s="121">
        <v>976790</v>
      </c>
      <c r="AP34" s="121">
        <v>950921</v>
      </c>
      <c r="AQ34" s="121">
        <v>743078</v>
      </c>
      <c r="AR34" s="121">
        <v>649888</v>
      </c>
      <c r="AS34" s="121">
        <v>628232</v>
      </c>
      <c r="AT34" s="121">
        <v>518016</v>
      </c>
    </row>
    <row r="35" spans="1:46" ht="19.5" thickBot="1">
      <c r="B35" s="148" t="s">
        <v>754</v>
      </c>
      <c r="C35" s="972">
        <v>1939295</v>
      </c>
      <c r="D35" s="1004">
        <v>1960177</v>
      </c>
      <c r="E35" s="1004">
        <v>2024261</v>
      </c>
      <c r="F35" s="150">
        <f t="shared" ref="F35" si="80">E35+F33-F34</f>
        <v>1765647.6025</v>
      </c>
      <c r="G35" s="150">
        <f t="shared" ref="G35" si="81">F35+G33-G34</f>
        <v>1582818.9950000001</v>
      </c>
      <c r="H35" s="150">
        <f t="shared" ref="H35" si="82">G35+H33-H34</f>
        <v>2239821.9575</v>
      </c>
      <c r="I35" s="150">
        <f t="shared" ref="I35" si="83">H35+I33-I34</f>
        <v>2065521.1400000001</v>
      </c>
      <c r="J35" s="150">
        <f t="shared" ref="J35" si="84">I35+J33-J34</f>
        <v>1904140.7925</v>
      </c>
      <c r="K35" s="150">
        <f t="shared" ref="K35" si="85">J35+K33-K34</f>
        <v>1641542.2849999997</v>
      </c>
      <c r="L35" s="150">
        <f t="shared" ref="L35" si="86">K35+L33-L34</f>
        <v>1397400.1174999997</v>
      </c>
      <c r="M35" s="150">
        <f t="shared" ref="M35" si="87">L35+M33-M34</f>
        <v>1614625.25</v>
      </c>
      <c r="N35" s="150">
        <f t="shared" ref="N35" si="88">M35+N33-N34</f>
        <v>1870259.2424999997</v>
      </c>
      <c r="O35" s="151">
        <f t="shared" ref="O35" si="89">N35+O33-O34</f>
        <v>1962052.9049999998</v>
      </c>
      <c r="P35" s="325"/>
      <c r="Q35" s="193" t="s">
        <v>755</v>
      </c>
      <c r="R35" s="399">
        <f>R34*(SUM(L34:M34)/60)</f>
        <v>580221.38375000015</v>
      </c>
      <c r="S35" s="158"/>
      <c r="T35" s="50">
        <f>D35-AI35</f>
        <v>0</v>
      </c>
      <c r="U35" s="50">
        <f t="shared" si="69"/>
        <v>-206400</v>
      </c>
      <c r="V35" s="50">
        <f t="shared" si="70"/>
        <v>-777436.39749999996</v>
      </c>
      <c r="W35" s="50">
        <f t="shared" si="71"/>
        <v>-1061475.0049999999</v>
      </c>
      <c r="X35" s="50">
        <f t="shared" si="72"/>
        <v>-336351.04249999998</v>
      </c>
      <c r="Y35" s="50">
        <f t="shared" si="73"/>
        <v>-174087.85999999987</v>
      </c>
      <c r="Z35" s="50">
        <f t="shared" si="74"/>
        <v>-82374.207500000019</v>
      </c>
      <c r="AA35" s="50">
        <f t="shared" si="75"/>
        <v>-324340.71500000032</v>
      </c>
      <c r="AB35" s="50">
        <f t="shared" si="76"/>
        <v>-817029.8825000003</v>
      </c>
      <c r="AC35" s="50">
        <f t="shared" si="77"/>
        <v>-818693.75</v>
      </c>
      <c r="AD35" s="50">
        <f t="shared" si="78"/>
        <v>-721074.7575000003</v>
      </c>
      <c r="AE35" s="50">
        <f t="shared" si="79"/>
        <v>-111265.0950000002</v>
      </c>
      <c r="AG35" s="148" t="s">
        <v>754</v>
      </c>
      <c r="AH35" s="972">
        <v>1939295</v>
      </c>
      <c r="AI35" s="1004">
        <v>1960177</v>
      </c>
      <c r="AJ35" s="150">
        <v>2230661</v>
      </c>
      <c r="AK35" s="150">
        <v>2543084</v>
      </c>
      <c r="AL35" s="150">
        <v>2644294</v>
      </c>
      <c r="AM35" s="150">
        <v>2576173</v>
      </c>
      <c r="AN35" s="150">
        <v>2239609</v>
      </c>
      <c r="AO35" s="150">
        <v>1986515</v>
      </c>
      <c r="AP35" s="150">
        <v>1965883</v>
      </c>
      <c r="AQ35" s="150">
        <v>2214430</v>
      </c>
      <c r="AR35" s="150">
        <v>2433319</v>
      </c>
      <c r="AS35" s="150">
        <v>2591334</v>
      </c>
      <c r="AT35" s="151">
        <v>2073318</v>
      </c>
    </row>
    <row r="36" spans="1:46" ht="15.75" thickBot="1">
      <c r="C36" t="s">
        <v>756</v>
      </c>
      <c r="D36" s="190">
        <f t="shared" ref="D36" si="90">D35/(SUM(E34:F34)/60)</f>
        <v>79.22049504973954</v>
      </c>
      <c r="E36" s="190">
        <f t="shared" ref="E36" si="91">E35/(SUM(F34:G34)/60)</f>
        <v>77.390533221253449</v>
      </c>
      <c r="F36" s="190">
        <f t="shared" ref="F36" si="92">F35/(SUM(G34:H34)/60)</f>
        <v>65.530060920944265</v>
      </c>
      <c r="G36" s="190">
        <f t="shared" ref="G36" si="93">G35/(SUM(H34:I34)/60)</f>
        <v>50.849596429943695</v>
      </c>
      <c r="H36" s="190">
        <f t="shared" ref="H36" si="94">H35/(SUM(I34:J34)/60)</f>
        <v>68.471876098912261</v>
      </c>
      <c r="I36" s="190">
        <f t="shared" ref="I36" si="95">I35/(SUM(J34:K34)/60)</f>
        <v>64.268741339764887</v>
      </c>
      <c r="J36" s="190">
        <f t="shared" ref="J36" si="96">J35/(SUM(K34:L34)/60)</f>
        <v>66.498590800046685</v>
      </c>
      <c r="K36" s="190">
        <f t="shared" ref="K36" si="97">K35/(SUM(L34:M34)/60)</f>
        <v>69.601383274369027</v>
      </c>
      <c r="L36" s="190">
        <f t="shared" ref="L36" si="98">L35/(SUM(M34:N34)/60)</f>
        <v>66.781640227722932</v>
      </c>
      <c r="M36" s="190">
        <f t="shared" ref="M36" si="99">M35/(SUM(N34:O34)/60)</f>
        <v>86.713299025355738</v>
      </c>
      <c r="N36" s="190">
        <f>N35/(SUM(O34,D34)/60)</f>
        <v>101.45917380755968</v>
      </c>
      <c r="O36" s="190">
        <f>O35/(SUM(D34,E34)/60)</f>
        <v>94.493543115329246</v>
      </c>
      <c r="P36" s="325"/>
      <c r="Q36" s="58" t="s">
        <v>757</v>
      </c>
      <c r="R36" s="400">
        <f>R35/SUM(G34:K34)</f>
        <v>0.12819215400634865</v>
      </c>
      <c r="S36" s="95"/>
      <c r="AF36" s="50"/>
      <c r="AH36" t="s">
        <v>756</v>
      </c>
      <c r="AI36" s="190">
        <v>81.8</v>
      </c>
      <c r="AJ36" s="190">
        <v>85.5</v>
      </c>
      <c r="AK36" s="190">
        <v>95.8</v>
      </c>
      <c r="AL36" s="190">
        <v>85.8</v>
      </c>
      <c r="AM36" s="190">
        <v>78.400000000000006</v>
      </c>
      <c r="AN36" s="190">
        <v>69.7</v>
      </c>
      <c r="AO36" s="190">
        <v>70.400000000000006</v>
      </c>
      <c r="AP36" s="190">
        <v>84.7</v>
      </c>
      <c r="AQ36" s="190">
        <v>104</v>
      </c>
      <c r="AR36" s="190">
        <v>127.4</v>
      </c>
      <c r="AS36" s="190">
        <v>139</v>
      </c>
      <c r="AT36" s="190">
        <v>102.6</v>
      </c>
    </row>
    <row r="37" spans="1:46" ht="15.75" thickBot="1">
      <c r="C37" t="s">
        <v>719</v>
      </c>
      <c r="E37" s="112"/>
      <c r="G37" s="248">
        <v>2300000</v>
      </c>
      <c r="I37" s="125"/>
      <c r="K37" s="56">
        <v>1800000</v>
      </c>
      <c r="L37" s="246"/>
      <c r="M37" s="246"/>
      <c r="N37" s="246"/>
      <c r="O37" s="247">
        <v>1500000</v>
      </c>
      <c r="P37" s="326"/>
      <c r="AH37" t="s">
        <v>719</v>
      </c>
      <c r="AJ37" s="112"/>
      <c r="AL37" s="248">
        <v>2300000</v>
      </c>
      <c r="AN37" s="125"/>
      <c r="AP37" s="56">
        <v>1800000</v>
      </c>
      <c r="AQ37" s="246"/>
      <c r="AR37" s="246"/>
      <c r="AS37" s="246"/>
      <c r="AT37" s="247">
        <v>1500000</v>
      </c>
    </row>
    <row r="38" spans="1:46">
      <c r="D38" s="112"/>
      <c r="E38" s="112"/>
      <c r="F38" s="112"/>
      <c r="G38" s="112">
        <f>G35-G37</f>
        <v>-717181.00499999989</v>
      </c>
      <c r="H38" s="112"/>
      <c r="I38" s="112"/>
      <c r="J38" s="112"/>
      <c r="K38" s="112">
        <f>K35-K37</f>
        <v>-158457.71500000032</v>
      </c>
      <c r="L38" s="112"/>
      <c r="M38" s="112"/>
      <c r="N38" s="112"/>
      <c r="O38" s="112">
        <f>O35-O37</f>
        <v>462052.9049999998</v>
      </c>
      <c r="P38" s="325"/>
      <c r="AI38" s="112"/>
      <c r="AJ38" s="112"/>
      <c r="AK38" s="112"/>
      <c r="AL38" s="112">
        <v>344294</v>
      </c>
      <c r="AM38" s="112"/>
      <c r="AN38" s="112"/>
      <c r="AO38" s="112"/>
      <c r="AP38" s="112">
        <v>165883</v>
      </c>
      <c r="AQ38" s="112"/>
      <c r="AR38" s="112"/>
      <c r="AS38" s="112"/>
      <c r="AT38" s="112">
        <v>573318</v>
      </c>
    </row>
    <row r="39" spans="1:46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325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</row>
    <row r="40" spans="1:46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325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</row>
    <row r="41" spans="1:46" ht="15.75" thickBot="1"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325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</row>
    <row r="42" spans="1:46">
      <c r="B42" s="108"/>
      <c r="C42" s="200"/>
      <c r="D42" s="109" t="s">
        <v>68</v>
      </c>
      <c r="E42" s="109" t="s">
        <v>69</v>
      </c>
      <c r="F42" s="109" t="s">
        <v>70</v>
      </c>
      <c r="G42" s="109" t="s">
        <v>71</v>
      </c>
      <c r="H42" s="109" t="s">
        <v>72</v>
      </c>
      <c r="I42" s="109" t="s">
        <v>73</v>
      </c>
      <c r="J42" s="109" t="s">
        <v>74</v>
      </c>
      <c r="K42" s="109" t="s">
        <v>75</v>
      </c>
      <c r="L42" s="109" t="s">
        <v>76</v>
      </c>
      <c r="M42" s="109" t="s">
        <v>77</v>
      </c>
      <c r="N42" s="109" t="s">
        <v>78</v>
      </c>
      <c r="O42" s="110" t="s">
        <v>79</v>
      </c>
      <c r="P42" s="326"/>
      <c r="AG42" s="108"/>
      <c r="AH42" s="200"/>
      <c r="AI42" s="109" t="s">
        <v>68</v>
      </c>
      <c r="AJ42" s="109" t="s">
        <v>69</v>
      </c>
      <c r="AK42" s="109" t="s">
        <v>70</v>
      </c>
      <c r="AL42" s="109" t="s">
        <v>71</v>
      </c>
      <c r="AM42" s="109" t="s">
        <v>72</v>
      </c>
      <c r="AN42" s="109" t="s">
        <v>73</v>
      </c>
      <c r="AO42" s="109" t="s">
        <v>74</v>
      </c>
      <c r="AP42" s="109" t="s">
        <v>75</v>
      </c>
      <c r="AQ42" s="109" t="s">
        <v>76</v>
      </c>
      <c r="AR42" s="109" t="s">
        <v>77</v>
      </c>
      <c r="AS42" s="109" t="s">
        <v>78</v>
      </c>
      <c r="AT42" s="110" t="s">
        <v>79</v>
      </c>
    </row>
    <row r="43" spans="1:46" ht="62.1" customHeight="1">
      <c r="A43" s="976" t="s">
        <v>1340</v>
      </c>
      <c r="B43" s="405" t="s">
        <v>39</v>
      </c>
      <c r="C43" t="s">
        <v>196</v>
      </c>
      <c r="D43" s="112">
        <f>SUMIF('Cases post Attain'!$A:$A,"=PG",'Cases post Attain'!D:D)</f>
        <v>498856</v>
      </c>
      <c r="E43" s="112">
        <f>SUMIF('Cases post Attain'!$A:$A,"=PG",'Cases post Attain'!E:E)</f>
        <v>537741</v>
      </c>
      <c r="F43" s="112">
        <f>SUMIF('Cases post Attain'!$A:$A,"=PG",'Cases post Attain'!F:F)</f>
        <v>581868</v>
      </c>
      <c r="G43" s="112">
        <f>SUMIF('Cases post Attain'!$A:$A,"=PG",'Cases post Attain'!G:G)</f>
        <v>595123.19999999995</v>
      </c>
      <c r="H43" s="112">
        <f>SUMIF('Cases post Attain'!$A:$A,"=PG",'Cases post Attain'!H:H)</f>
        <v>610097.28</v>
      </c>
      <c r="I43" s="112">
        <f>SUMIF('Cases post Attain'!$A:$A,"=PG",'Cases post Attain'!I:I)</f>
        <v>651763.19999999995</v>
      </c>
      <c r="J43" s="112">
        <f>SUMIF('Cases post Attain'!$A:$A,"=PG",'Cases post Attain'!J:J)</f>
        <v>753641.75700090337</v>
      </c>
      <c r="K43" s="112">
        <f>SUMIF('Cases post Attain'!$A:$A,"=PG",'Cases post Attain'!K:K)</f>
        <v>750479.85546522134</v>
      </c>
      <c r="L43" s="112">
        <f>SUMIF('Cases post Attain'!$A:$A,"=PG",'Cases post Attain'!L:L)</f>
        <v>712791.75700090337</v>
      </c>
      <c r="M43" s="112">
        <f>SUMIF('Cases post Attain'!$A:$A,"=PG",'Cases post Attain'!M:M)</f>
        <v>769167.9539295393</v>
      </c>
      <c r="N43" s="112">
        <f>SUMIF('Cases post Attain'!$A:$A,"=PG",'Cases post Attain'!N:N)</f>
        <v>239400</v>
      </c>
      <c r="O43" s="112">
        <f>SUMIF('Cases post Attain'!$A:$A,"=PG",'Cases post Attain'!O:O)</f>
        <v>0</v>
      </c>
      <c r="P43" s="491"/>
      <c r="Q43" s="192" t="s">
        <v>752</v>
      </c>
      <c r="R43" s="397">
        <v>43</v>
      </c>
      <c r="S43" s="94"/>
      <c r="T43" s="50">
        <f>D43-AI43</f>
        <v>0</v>
      </c>
      <c r="U43" s="50">
        <f t="shared" ref="U43:U45" si="100">E43-AJ43</f>
        <v>-17958</v>
      </c>
      <c r="V43" s="50">
        <f t="shared" ref="V43:V45" si="101">F43-AK43</f>
        <v>-380513</v>
      </c>
      <c r="W43" s="50">
        <f t="shared" ref="W43:W45" si="102">G43-AL43</f>
        <v>327793.19999999995</v>
      </c>
      <c r="X43" s="50">
        <f t="shared" ref="X43:X45" si="103">H43-AM43</f>
        <v>-74669.719999999972</v>
      </c>
      <c r="Y43" s="50">
        <f t="shared" ref="Y43:Y45" si="104">I43-AN43</f>
        <v>31759.199999999953</v>
      </c>
      <c r="Z43" s="50">
        <f t="shared" ref="Z43:Z45" si="105">J43-AO43</f>
        <v>-0.24299909663386643</v>
      </c>
      <c r="AA43" s="50">
        <f t="shared" ref="AA43:AA45" si="106">K43-AP43</f>
        <v>-0.1445347786648199</v>
      </c>
      <c r="AB43" s="50">
        <f t="shared" ref="AB43:AB45" si="107">L43-AQ43</f>
        <v>-0.24299909663386643</v>
      </c>
      <c r="AC43" s="50">
        <f t="shared" ref="AC43:AC45" si="108">M43-AR43</f>
        <v>-4.6070460695773363E-2</v>
      </c>
      <c r="AD43" s="50">
        <f t="shared" ref="AD43:AD45" si="109">N43-AS43</f>
        <v>0</v>
      </c>
      <c r="AE43" s="50" t="e">
        <f t="shared" ref="AE43:AE45" si="110">O43-AT43</f>
        <v>#VALUE!</v>
      </c>
      <c r="AG43" s="405" t="s">
        <v>39</v>
      </c>
      <c r="AH43" t="s">
        <v>196</v>
      </c>
      <c r="AI43" s="112">
        <v>498856</v>
      </c>
      <c r="AJ43" s="112">
        <v>555699</v>
      </c>
      <c r="AK43" s="112">
        <v>962381</v>
      </c>
      <c r="AL43" s="112">
        <v>267330</v>
      </c>
      <c r="AM43" s="112">
        <v>684767</v>
      </c>
      <c r="AN43" s="112">
        <v>620004</v>
      </c>
      <c r="AO43" s="112">
        <v>753642</v>
      </c>
      <c r="AP43" s="112">
        <v>750480</v>
      </c>
      <c r="AQ43" s="112">
        <v>712792</v>
      </c>
      <c r="AR43" s="112">
        <v>769168</v>
      </c>
      <c r="AS43" s="112">
        <v>239400</v>
      </c>
      <c r="AT43" s="112" t="s">
        <v>1348</v>
      </c>
    </row>
    <row r="44" spans="1:46">
      <c r="A44" t="s">
        <v>1342</v>
      </c>
      <c r="B44" s="111"/>
      <c r="C44" t="s">
        <v>12</v>
      </c>
      <c r="D44" s="112">
        <f>SUMIF('MRF3 Demand'!$D:$D,"=PG",'MRF3 Demand'!G:G)</f>
        <v>410926</v>
      </c>
      <c r="E44" s="112">
        <f>SUMIF('MRF3 Demand'!$D:$D,"=PG",'MRF3 Demand'!H:H)</f>
        <v>427132</v>
      </c>
      <c r="F44" s="112">
        <f>SUMIF('MRF3 Demand'!$D:$D,"=PG",'MRF3 Demand'!I:I)</f>
        <v>529939.4</v>
      </c>
      <c r="G44" s="112">
        <f>SUMIF('MRF3 Demand'!$D:$D,"=PG",'MRF3 Demand'!J:J)</f>
        <v>617329.26</v>
      </c>
      <c r="H44" s="112">
        <f>SUMIF('MRF3 Demand'!$D:$D,"=PG",'MRF3 Demand'!K:K)</f>
        <v>840837.66999999993</v>
      </c>
      <c r="I44" s="112">
        <f>SUMIF('MRF3 Demand'!$D:$D,"=PG",'MRF3 Demand'!L:L)</f>
        <v>910124.35999999987</v>
      </c>
      <c r="J44" s="112">
        <f>SUMIF('MRF3 Demand'!$D:$D,"=PG",'MRF3 Demand'!M:M)</f>
        <v>769769.41</v>
      </c>
      <c r="K44" s="112">
        <f>SUMIF('MRF3 Demand'!$D:$D,"=PG",'MRF3 Demand'!N:N)</f>
        <v>593396.46</v>
      </c>
      <c r="L44" s="112">
        <f>SUMIF('MRF3 Demand'!$D:$D,"=PG",'MRF3 Demand'!O:O)</f>
        <v>455296.7</v>
      </c>
      <c r="M44" s="112">
        <f>SUMIF('MRF3 Demand'!$D:$D,"=PG",'MRF3 Demand'!P:P)</f>
        <v>355297.29</v>
      </c>
      <c r="N44" s="112">
        <f>SUMIF('MRF3 Demand'!$D:$D,"=PG",'MRF3 Demand'!Q:Q)</f>
        <v>370207.58</v>
      </c>
      <c r="O44" s="112">
        <f>SUMIF('MRF3 Demand'!$D:$D,"=PG",'MRF3 Demand'!R:R)</f>
        <v>381393.57000000007</v>
      </c>
      <c r="P44" s="492"/>
      <c r="Q44" s="58" t="s">
        <v>753</v>
      </c>
      <c r="R44" s="398">
        <f>K46-R43</f>
        <v>52.52763146932223</v>
      </c>
      <c r="S44" s="94"/>
      <c r="T44" s="50">
        <f>D44-AI44</f>
        <v>0</v>
      </c>
      <c r="U44" s="50">
        <f t="shared" si="100"/>
        <v>26637</v>
      </c>
      <c r="V44" s="50">
        <f t="shared" si="101"/>
        <v>-15097.599999999977</v>
      </c>
      <c r="W44" s="50">
        <f t="shared" si="102"/>
        <v>-40189.739999999991</v>
      </c>
      <c r="X44" s="50">
        <f t="shared" si="103"/>
        <v>46958.669999999925</v>
      </c>
      <c r="Y44" s="50">
        <f t="shared" si="104"/>
        <v>19779.35999999987</v>
      </c>
      <c r="Z44" s="50">
        <f t="shared" si="105"/>
        <v>1772.4100000000326</v>
      </c>
      <c r="AA44" s="50">
        <f t="shared" si="106"/>
        <v>10503.459999999963</v>
      </c>
      <c r="AB44" s="50">
        <f t="shared" si="107"/>
        <v>-157.29999999998836</v>
      </c>
      <c r="AC44" s="50">
        <f t="shared" si="108"/>
        <v>-12298.710000000021</v>
      </c>
      <c r="AD44" s="50">
        <f t="shared" si="109"/>
        <v>-18800.419999999984</v>
      </c>
      <c r="AE44" s="50">
        <f t="shared" si="110"/>
        <v>-18066.429999999935</v>
      </c>
      <c r="AG44" s="111"/>
      <c r="AH44" t="s">
        <v>12</v>
      </c>
      <c r="AI44" s="112">
        <v>410926</v>
      </c>
      <c r="AJ44" s="112">
        <v>400495</v>
      </c>
      <c r="AK44" s="112">
        <v>545037</v>
      </c>
      <c r="AL44" s="112">
        <v>657519</v>
      </c>
      <c r="AM44" s="112">
        <v>793879</v>
      </c>
      <c r="AN44" s="112">
        <v>890345</v>
      </c>
      <c r="AO44" s="112">
        <v>767997</v>
      </c>
      <c r="AP44" s="112">
        <v>582893</v>
      </c>
      <c r="AQ44" s="112">
        <v>455454</v>
      </c>
      <c r="AR44" s="112">
        <v>367596</v>
      </c>
      <c r="AS44" s="112">
        <v>389008</v>
      </c>
      <c r="AT44" s="112">
        <v>399460</v>
      </c>
    </row>
    <row r="45" spans="1:46" ht="19.5" thickBot="1">
      <c r="A45" t="s">
        <v>1343</v>
      </c>
      <c r="B45" s="148" t="s">
        <v>754</v>
      </c>
      <c r="C45" s="972">
        <v>1441288</v>
      </c>
      <c r="D45" s="1004">
        <v>1519052</v>
      </c>
      <c r="E45" s="1004">
        <v>1608992</v>
      </c>
      <c r="F45" s="150">
        <f t="shared" ref="F45:I45" si="111">E45+F43-F44</f>
        <v>1660920.6</v>
      </c>
      <c r="G45" s="150">
        <f t="shared" si="111"/>
        <v>1638714.5399999998</v>
      </c>
      <c r="H45" s="150">
        <f t="shared" si="111"/>
        <v>1407974.15</v>
      </c>
      <c r="I45" s="150">
        <f t="shared" si="111"/>
        <v>1149612.99</v>
      </c>
      <c r="J45" s="150">
        <f>I45+J43-J44</f>
        <v>1133485.3370009032</v>
      </c>
      <c r="K45" s="150">
        <f t="shared" ref="K45" si="112">J45+K43-K44</f>
        <v>1290568.7324661245</v>
      </c>
      <c r="L45" s="150">
        <f t="shared" ref="L45" si="113">K45+L43-L44</f>
        <v>1548063.7894670279</v>
      </c>
      <c r="M45" s="150">
        <f t="shared" ref="M45" si="114">L45+M43-M44</f>
        <v>1961934.4533965671</v>
      </c>
      <c r="N45" s="150">
        <f t="shared" ref="N45" si="115">M45+N43-N44</f>
        <v>1831126.8733965671</v>
      </c>
      <c r="O45" s="151">
        <f>N45+O43-O44</f>
        <v>1449733.303396567</v>
      </c>
      <c r="P45" s="327"/>
      <c r="Q45" s="193" t="s">
        <v>755</v>
      </c>
      <c r="R45" s="399">
        <f>R44*(SUM(L44:M44)/60)</f>
        <v>709643.03963279119</v>
      </c>
      <c r="S45" s="158"/>
      <c r="T45" s="50">
        <f>D45-AI45</f>
        <v>0</v>
      </c>
      <c r="U45" s="50">
        <f t="shared" si="100"/>
        <v>-65264</v>
      </c>
      <c r="V45" s="50">
        <f t="shared" si="101"/>
        <v>-430680.39999999991</v>
      </c>
      <c r="W45" s="50">
        <f t="shared" si="102"/>
        <v>-62696.460000000196</v>
      </c>
      <c r="X45" s="50">
        <f t="shared" si="103"/>
        <v>-184324.85000000009</v>
      </c>
      <c r="Y45" s="50">
        <f t="shared" si="104"/>
        <v>-172344.01</v>
      </c>
      <c r="Z45" s="50">
        <f t="shared" si="105"/>
        <v>-174116.66299909679</v>
      </c>
      <c r="AA45" s="50">
        <f t="shared" si="106"/>
        <v>-184620.26753387554</v>
      </c>
      <c r="AB45" s="50">
        <f t="shared" si="107"/>
        <v>-184463.21053297212</v>
      </c>
      <c r="AC45" s="50">
        <f t="shared" si="108"/>
        <v>-172164.54660343286</v>
      </c>
      <c r="AD45" s="50">
        <f t="shared" si="109"/>
        <v>-153364.12660343293</v>
      </c>
      <c r="AE45" s="50">
        <f t="shared" si="110"/>
        <v>-135297.696603433</v>
      </c>
      <c r="AF45" s="94"/>
      <c r="AG45" s="148" t="s">
        <v>754</v>
      </c>
      <c r="AH45" s="972">
        <v>1441288</v>
      </c>
      <c r="AI45" s="1004">
        <v>1519052</v>
      </c>
      <c r="AJ45" s="150">
        <v>1674256</v>
      </c>
      <c r="AK45" s="150">
        <v>2091601</v>
      </c>
      <c r="AL45" s="150">
        <v>1701411</v>
      </c>
      <c r="AM45" s="150">
        <v>1592299</v>
      </c>
      <c r="AN45" s="150">
        <v>1321957</v>
      </c>
      <c r="AO45" s="150">
        <v>1307602</v>
      </c>
      <c r="AP45" s="150">
        <v>1475189</v>
      </c>
      <c r="AQ45" s="150">
        <v>1732527</v>
      </c>
      <c r="AR45" s="150">
        <v>2134099</v>
      </c>
      <c r="AS45" s="150">
        <v>1984491</v>
      </c>
      <c r="AT45" s="151">
        <v>1585031</v>
      </c>
    </row>
    <row r="46" spans="1:46">
      <c r="C46" t="s">
        <v>756</v>
      </c>
      <c r="D46" s="190">
        <f t="shared" ref="D46:M46" si="116">D45/(SUM(E44:F44)/60)</f>
        <v>95.231264877416663</v>
      </c>
      <c r="E46" s="190">
        <f t="shared" si="116"/>
        <v>84.147265035549722</v>
      </c>
      <c r="F46" s="190">
        <f t="shared" si="116"/>
        <v>68.342817238352822</v>
      </c>
      <c r="G46" s="190">
        <f t="shared" si="116"/>
        <v>56.153629099541355</v>
      </c>
      <c r="H46" s="190">
        <f t="shared" si="116"/>
        <v>50.287970887587726</v>
      </c>
      <c r="I46" s="190">
        <f t="shared" si="116"/>
        <v>50.600430158950495</v>
      </c>
      <c r="J46" s="190">
        <f t="shared" si="116"/>
        <v>64.851305237896469</v>
      </c>
      <c r="K46" s="190">
        <f t="shared" si="116"/>
        <v>95.52763146932223</v>
      </c>
      <c r="L46" s="190">
        <f t="shared" si="116"/>
        <v>128.0264698540503</v>
      </c>
      <c r="M46" s="190">
        <f t="shared" si="116"/>
        <v>156.62039261620876</v>
      </c>
      <c r="N46" s="190">
        <f>N45/(SUM(O44,D44)/60)</f>
        <v>138.66578154038783</v>
      </c>
      <c r="O46" s="190">
        <f>O45/(SUM(D44,E44)/60)</f>
        <v>103.79233681176484</v>
      </c>
      <c r="P46" s="326"/>
      <c r="Q46" s="58" t="s">
        <v>757</v>
      </c>
      <c r="R46" s="400">
        <f>R45/SUM(G44:K44)</f>
        <v>0.1901785305858345</v>
      </c>
      <c r="S46" s="95"/>
      <c r="AF46" s="50"/>
      <c r="AH46" t="s">
        <v>756</v>
      </c>
      <c r="AI46" s="190">
        <v>96.4</v>
      </c>
      <c r="AJ46" s="190">
        <v>83.5</v>
      </c>
      <c r="AK46" s="190">
        <v>86.5</v>
      </c>
      <c r="AL46" s="190">
        <v>60.6</v>
      </c>
      <c r="AM46" s="190">
        <v>57.6</v>
      </c>
      <c r="AN46" s="190">
        <v>58.7</v>
      </c>
      <c r="AO46" s="190">
        <v>75.599999999999994</v>
      </c>
      <c r="AP46" s="190">
        <v>107.5</v>
      </c>
      <c r="AQ46" s="190">
        <v>137.4</v>
      </c>
      <c r="AR46" s="190">
        <v>162.4</v>
      </c>
      <c r="AS46" s="190">
        <v>146.9</v>
      </c>
      <c r="AT46" s="190">
        <v>117.2</v>
      </c>
    </row>
    <row r="47" spans="1:46">
      <c r="C47" t="s">
        <v>719</v>
      </c>
      <c r="D47" s="112"/>
      <c r="E47" s="112"/>
      <c r="F47" s="112"/>
      <c r="G47" s="248">
        <v>2000000</v>
      </c>
      <c r="H47" s="112"/>
      <c r="I47" s="112"/>
      <c r="J47" s="112"/>
      <c r="K47" s="248">
        <v>1000000</v>
      </c>
      <c r="L47" s="112"/>
      <c r="M47" s="112"/>
      <c r="N47" s="112"/>
      <c r="O47" s="248">
        <v>1300000</v>
      </c>
      <c r="P47" s="326"/>
      <c r="AH47" t="s">
        <v>719</v>
      </c>
      <c r="AI47" s="112"/>
      <c r="AJ47" s="112"/>
      <c r="AK47" s="112"/>
      <c r="AL47" s="248">
        <v>2000000</v>
      </c>
      <c r="AM47" s="112"/>
      <c r="AN47" s="112"/>
      <c r="AO47" s="112"/>
      <c r="AP47" s="248">
        <v>1000000</v>
      </c>
      <c r="AQ47" s="112"/>
      <c r="AR47" s="112"/>
      <c r="AS47" s="112"/>
      <c r="AT47" s="248">
        <v>1300000</v>
      </c>
    </row>
    <row r="48" spans="1:46" ht="15.75" thickBot="1">
      <c r="D48" s="112"/>
      <c r="E48" s="112"/>
      <c r="F48" s="112"/>
      <c r="G48" s="112">
        <f>G45-G47</f>
        <v>-361285.4600000002</v>
      </c>
      <c r="H48" s="112"/>
      <c r="I48" s="112"/>
      <c r="J48" s="112"/>
      <c r="K48" s="112">
        <f>K45-K47</f>
        <v>290568.73246612446</v>
      </c>
      <c r="L48" s="112"/>
      <c r="M48" s="112"/>
      <c r="N48" s="112"/>
      <c r="O48" s="112">
        <f>O45-O47</f>
        <v>149733.303396567</v>
      </c>
      <c r="P48" s="326"/>
      <c r="AI48" s="112"/>
      <c r="AJ48" s="112"/>
      <c r="AK48" s="112"/>
      <c r="AL48" s="112">
        <v>-298589</v>
      </c>
      <c r="AM48" s="112"/>
      <c r="AN48" s="112"/>
      <c r="AO48" s="112"/>
      <c r="AP48" s="112">
        <v>475189</v>
      </c>
      <c r="AQ48" s="112"/>
      <c r="AR48" s="112"/>
      <c r="AS48" s="112"/>
      <c r="AT48" s="112">
        <v>285031</v>
      </c>
    </row>
    <row r="49" spans="1:46">
      <c r="B49" s="108"/>
      <c r="C49" s="200"/>
      <c r="D49" s="109" t="s">
        <v>68</v>
      </c>
      <c r="E49" s="109" t="s">
        <v>69</v>
      </c>
      <c r="F49" s="109" t="s">
        <v>70</v>
      </c>
      <c r="G49" s="109" t="s">
        <v>71</v>
      </c>
      <c r="H49" s="109" t="s">
        <v>72</v>
      </c>
      <c r="I49" s="109" t="s">
        <v>73</v>
      </c>
      <c r="J49" s="109" t="s">
        <v>74</v>
      </c>
      <c r="K49" s="109" t="s">
        <v>75</v>
      </c>
      <c r="L49" s="109" t="s">
        <v>76</v>
      </c>
      <c r="M49" s="109" t="s">
        <v>77</v>
      </c>
      <c r="N49" s="109" t="s">
        <v>78</v>
      </c>
      <c r="O49" s="110" t="s">
        <v>79</v>
      </c>
      <c r="P49" s="326"/>
      <c r="AG49" s="108"/>
      <c r="AH49" s="200"/>
      <c r="AI49" s="109" t="s">
        <v>68</v>
      </c>
      <c r="AJ49" s="109" t="s">
        <v>69</v>
      </c>
      <c r="AK49" s="109" t="s">
        <v>70</v>
      </c>
      <c r="AL49" s="109" t="s">
        <v>71</v>
      </c>
      <c r="AM49" s="109" t="s">
        <v>72</v>
      </c>
      <c r="AN49" s="109" t="s">
        <v>73</v>
      </c>
      <c r="AO49" s="109" t="s">
        <v>74</v>
      </c>
      <c r="AP49" s="109" t="s">
        <v>75</v>
      </c>
      <c r="AQ49" s="109" t="s">
        <v>76</v>
      </c>
      <c r="AR49" s="109" t="s">
        <v>77</v>
      </c>
      <c r="AS49" s="109" t="s">
        <v>78</v>
      </c>
      <c r="AT49" s="110" t="s">
        <v>79</v>
      </c>
    </row>
    <row r="50" spans="1:46">
      <c r="A50" s="976" t="s">
        <v>1340</v>
      </c>
      <c r="B50" s="405" t="s">
        <v>36</v>
      </c>
      <c r="C50" t="s">
        <v>196</v>
      </c>
      <c r="D50" s="112">
        <f>SUMIF('Cases post Attain'!$A:$A,"=MBG",'Cases post Attain'!D:D)</f>
        <v>203368</v>
      </c>
      <c r="E50" s="112">
        <f>SUMIF('Cases post Attain'!$A:$A,"=MBG",'Cases post Attain'!E:E)</f>
        <v>270058</v>
      </c>
      <c r="F50" s="112">
        <f>SUMIF('Cases post Attain'!$A:$A,"=MBG",'Cases post Attain'!F:F)</f>
        <v>340353.08</v>
      </c>
      <c r="G50" s="112">
        <f>SUMIF('Cases post Attain'!$A:$A,"=MBG",'Cases post Attain'!G:G)</f>
        <v>424608</v>
      </c>
      <c r="H50" s="112">
        <f>SUMIF('Cases post Attain'!$A:$A,"=MBG",'Cases post Attain'!H:H)</f>
        <v>424128</v>
      </c>
      <c r="I50" s="112">
        <f>SUMIF('Cases post Attain'!$A:$A,"=MBG",'Cases post Attain'!I:I)</f>
        <v>343900</v>
      </c>
      <c r="J50" s="112">
        <f>SUMIF('Cases post Attain'!$A:$A,"=MBG",'Cases post Attain'!J:J)</f>
        <v>326657.5</v>
      </c>
      <c r="K50" s="112">
        <f>SUMIF('Cases post Attain'!$A:$A,"=MBG",'Cases post Attain'!K:K)</f>
        <v>312455</v>
      </c>
      <c r="L50" s="112">
        <f>SUMIF('Cases post Attain'!$A:$A,"=MBG",'Cases post Attain'!L:L)</f>
        <v>238577.5</v>
      </c>
      <c r="M50" s="112">
        <f>SUMIF('Cases post Attain'!$A:$A,"=MBG",'Cases post Attain'!M:M)</f>
        <v>246557.5</v>
      </c>
      <c r="N50" s="112">
        <f>SUMIF('Cases post Attain'!$A:$A,"=MBG",'Cases post Attain'!N:N)</f>
        <v>0</v>
      </c>
      <c r="O50" s="112">
        <f>SUMIF('Cases post Attain'!$A:$A,"=MBG",'Cases post Attain'!O:O)</f>
        <v>0</v>
      </c>
      <c r="P50" s="325"/>
      <c r="Q50" s="192" t="s">
        <v>752</v>
      </c>
      <c r="R50" s="397">
        <v>41</v>
      </c>
      <c r="S50" s="94"/>
      <c r="T50" s="50">
        <f>D50-AI50</f>
        <v>0</v>
      </c>
      <c r="U50" s="50">
        <f t="shared" ref="U50:U52" si="117">E50-AJ50</f>
        <v>7253</v>
      </c>
      <c r="V50" s="50">
        <f t="shared" ref="V50:V52" si="118">F50-AK50</f>
        <v>-59275.919999999984</v>
      </c>
      <c r="W50" s="50">
        <f t="shared" ref="W50:W52" si="119">G50-AL50</f>
        <v>77395</v>
      </c>
      <c r="X50" s="50">
        <f t="shared" ref="X50:X52" si="120">H50-AM50</f>
        <v>28643</v>
      </c>
      <c r="Y50" s="50">
        <f t="shared" ref="Y50:Y52" si="121">I50-AN50</f>
        <v>0</v>
      </c>
      <c r="Z50" s="50">
        <f t="shared" ref="Z50:Z52" si="122">J50-AO50</f>
        <v>-0.5</v>
      </c>
      <c r="AA50" s="50">
        <f t="shared" ref="AA50:AA52" si="123">K50-AP50</f>
        <v>0</v>
      </c>
      <c r="AB50" s="50">
        <f t="shared" ref="AB50:AB52" si="124">L50-AQ50</f>
        <v>-0.5</v>
      </c>
      <c r="AC50" s="50">
        <f t="shared" ref="AC50:AC52" si="125">M50-AR50</f>
        <v>-0.5</v>
      </c>
      <c r="AD50" s="50" t="e">
        <f t="shared" ref="AD50:AD52" si="126">N50-AS50</f>
        <v>#VALUE!</v>
      </c>
      <c r="AE50" s="50" t="e">
        <f t="shared" ref="AE50:AE52" si="127">O50-AT50</f>
        <v>#VALUE!</v>
      </c>
      <c r="AG50" s="405" t="s">
        <v>36</v>
      </c>
      <c r="AH50" t="s">
        <v>196</v>
      </c>
      <c r="AI50" s="112">
        <v>203368</v>
      </c>
      <c r="AJ50" s="112">
        <v>262805</v>
      </c>
      <c r="AK50" s="112">
        <v>399629</v>
      </c>
      <c r="AL50" s="112">
        <v>347213</v>
      </c>
      <c r="AM50" s="112">
        <v>395485</v>
      </c>
      <c r="AN50" s="112">
        <v>343900</v>
      </c>
      <c r="AO50" s="112">
        <v>326658</v>
      </c>
      <c r="AP50" s="112">
        <v>312455</v>
      </c>
      <c r="AQ50" s="112">
        <v>238578</v>
      </c>
      <c r="AR50" s="112">
        <v>246558</v>
      </c>
      <c r="AS50" s="112" t="s">
        <v>1348</v>
      </c>
      <c r="AT50" s="112" t="s">
        <v>1348</v>
      </c>
    </row>
    <row r="51" spans="1:46">
      <c r="B51" s="111"/>
      <c r="C51" t="s">
        <v>12</v>
      </c>
      <c r="D51" s="112">
        <f>SUMIF('MRF3 Demand'!$D:$D,"MBG",'MRF3 Demand'!G:G)</f>
        <v>150897</v>
      </c>
      <c r="E51" s="112">
        <f>SUMIF('MRF3 Demand'!$D:$D,"MBG",'MRF3 Demand'!H:H)</f>
        <v>190769</v>
      </c>
      <c r="F51" s="112">
        <f>SUMIF('MRF3 Demand'!$D:$D,"MBG",'MRF3 Demand'!I:I)</f>
        <v>217672.84770065945</v>
      </c>
      <c r="G51" s="112">
        <f>SUMIF('MRF3 Demand'!$D:$D,"MBG",'MRF3 Demand'!J:J)</f>
        <v>331798.43842410907</v>
      </c>
      <c r="H51" s="112">
        <f>SUMIF('MRF3 Demand'!$D:$D,"MBG",'MRF3 Demand'!K:K)</f>
        <v>391378.94684444548</v>
      </c>
      <c r="I51" s="112">
        <f>SUMIF('MRF3 Demand'!$D:$D,"MBG",'MRF3 Demand'!L:L)</f>
        <v>375873.27369412791</v>
      </c>
      <c r="J51" s="112">
        <f>SUMIF('MRF3 Demand'!$D:$D,"MBG",'MRF3 Demand'!M:M)</f>
        <v>370483.9974083323</v>
      </c>
      <c r="K51" s="112">
        <f>SUMIF('MRF3 Demand'!$D:$D,"MBG",'MRF3 Demand'!N:N)</f>
        <v>310665.3068375492</v>
      </c>
      <c r="L51" s="112">
        <f>SUMIF('MRF3 Demand'!$D:$D,"MBG",'MRF3 Demand'!O:O)</f>
        <v>248401.75753759634</v>
      </c>
      <c r="M51" s="112">
        <f>SUMIF('MRF3 Demand'!$D:$D,"MBG",'MRF3 Demand'!P:P)</f>
        <v>188962.48746712753</v>
      </c>
      <c r="N51" s="112">
        <f>SUMIF('MRF3 Demand'!$D:$D,"MBG",'MRF3 Demand'!Q:Q)</f>
        <v>176231.65965352452</v>
      </c>
      <c r="O51" s="112">
        <f>SUMIF('MRF3 Demand'!$D:$D,"MBG",'MRF3 Demand'!R:R)</f>
        <v>155031.77993154441</v>
      </c>
      <c r="P51" s="325"/>
      <c r="Q51" s="58" t="s">
        <v>753</v>
      </c>
      <c r="R51" s="398">
        <f>K53-R50</f>
        <v>52.963067660006644</v>
      </c>
      <c r="S51" s="94"/>
      <c r="T51" s="50">
        <f>D51-AI51</f>
        <v>0</v>
      </c>
      <c r="U51" s="50">
        <f t="shared" si="117"/>
        <v>24119</v>
      </c>
      <c r="V51" s="50">
        <f t="shared" si="118"/>
        <v>-68.152299340552418</v>
      </c>
      <c r="W51" s="50">
        <f t="shared" si="119"/>
        <v>8011.4384241090738</v>
      </c>
      <c r="X51" s="50">
        <f t="shared" si="120"/>
        <v>26874.946844445483</v>
      </c>
      <c r="Y51" s="50">
        <f t="shared" si="121"/>
        <v>23930.273694127914</v>
      </c>
      <c r="Z51" s="50">
        <f t="shared" si="122"/>
        <v>17221.997408332303</v>
      </c>
      <c r="AA51" s="50">
        <f t="shared" si="123"/>
        <v>15710.3068375492</v>
      </c>
      <c r="AB51" s="50">
        <f t="shared" si="124"/>
        <v>20207.757537596335</v>
      </c>
      <c r="AC51" s="50">
        <f t="shared" si="125"/>
        <v>-857.512532872468</v>
      </c>
      <c r="AD51" s="50">
        <f t="shared" si="126"/>
        <v>-464.34034647548106</v>
      </c>
      <c r="AE51" s="50">
        <f t="shared" si="127"/>
        <v>85.779931544413557</v>
      </c>
      <c r="AG51" s="111"/>
      <c r="AH51" t="s">
        <v>12</v>
      </c>
      <c r="AI51" s="112">
        <v>150897</v>
      </c>
      <c r="AJ51" s="112">
        <v>166650</v>
      </c>
      <c r="AK51" s="112">
        <v>217741</v>
      </c>
      <c r="AL51" s="112">
        <v>323787</v>
      </c>
      <c r="AM51" s="112">
        <v>364504</v>
      </c>
      <c r="AN51" s="112">
        <v>351943</v>
      </c>
      <c r="AO51" s="112">
        <v>353262</v>
      </c>
      <c r="AP51" s="112">
        <v>294955</v>
      </c>
      <c r="AQ51" s="112">
        <v>228194</v>
      </c>
      <c r="AR51" s="112">
        <v>189820</v>
      </c>
      <c r="AS51" s="112">
        <v>176696</v>
      </c>
      <c r="AT51" s="112">
        <v>154946</v>
      </c>
    </row>
    <row r="52" spans="1:46" ht="19.5" thickBot="1">
      <c r="B52" s="148" t="s">
        <v>754</v>
      </c>
      <c r="C52" s="972">
        <v>394299</v>
      </c>
      <c r="D52" s="1004">
        <v>434030</v>
      </c>
      <c r="E52" s="1004">
        <v>510706</v>
      </c>
      <c r="F52" s="150">
        <f t="shared" ref="F52" si="128">E52+F50-F51</f>
        <v>633386.23229934066</v>
      </c>
      <c r="G52" s="150">
        <f t="shared" ref="G52" si="129">F52+G50-G51</f>
        <v>726195.79387523164</v>
      </c>
      <c r="H52" s="150">
        <f t="shared" ref="H52" si="130">G52+H50-H51</f>
        <v>758944.8470307861</v>
      </c>
      <c r="I52" s="150">
        <f t="shared" ref="I52" si="131">H52+I50-I51</f>
        <v>726971.57333665818</v>
      </c>
      <c r="J52" s="150">
        <f t="shared" ref="J52" si="132">I52+J50-J51</f>
        <v>683145.07592832576</v>
      </c>
      <c r="K52" s="150">
        <f t="shared" ref="K52" si="133">J52+K50-K51</f>
        <v>684934.76909077656</v>
      </c>
      <c r="L52" s="150">
        <f t="shared" ref="L52" si="134">K52+L50-L51</f>
        <v>675110.51155318017</v>
      </c>
      <c r="M52" s="150">
        <f t="shared" ref="M52" si="135">L52+M50-M51</f>
        <v>732705.52408605267</v>
      </c>
      <c r="N52" s="150">
        <f t="shared" ref="N52" si="136">M52+N50-N51</f>
        <v>556473.86443252815</v>
      </c>
      <c r="O52" s="151">
        <f t="shared" ref="O52" si="137">N52+O50-O51</f>
        <v>401442.08450098371</v>
      </c>
      <c r="P52" s="327"/>
      <c r="Q52" s="193" t="s">
        <v>755</v>
      </c>
      <c r="R52" s="399">
        <f>R51*(SUM(L51:M51)/60)</f>
        <v>386069.20167088194</v>
      </c>
      <c r="S52" s="158"/>
      <c r="T52" s="50">
        <f>D52-AI52</f>
        <v>0</v>
      </c>
      <c r="U52" s="50">
        <f t="shared" si="117"/>
        <v>-19478</v>
      </c>
      <c r="V52" s="50">
        <f t="shared" si="118"/>
        <v>-78685.767700659344</v>
      </c>
      <c r="W52" s="50">
        <f t="shared" si="119"/>
        <v>-9302.2061247683596</v>
      </c>
      <c r="X52" s="50">
        <f t="shared" si="120"/>
        <v>-7533.1529692139011</v>
      </c>
      <c r="Y52" s="50">
        <f t="shared" si="121"/>
        <v>-31464.426663341816</v>
      </c>
      <c r="Z52" s="50">
        <f t="shared" si="122"/>
        <v>-48685.924071674235</v>
      </c>
      <c r="AA52" s="50">
        <f t="shared" si="123"/>
        <v>-64396.230909223435</v>
      </c>
      <c r="AB52" s="50">
        <f t="shared" si="124"/>
        <v>-84603.488446819829</v>
      </c>
      <c r="AC52" s="50">
        <f t="shared" si="125"/>
        <v>-83746.475913947332</v>
      </c>
      <c r="AD52" s="50">
        <f t="shared" si="126"/>
        <v>-83282.135567471851</v>
      </c>
      <c r="AE52" s="50">
        <f t="shared" si="127"/>
        <v>-83367.915499016293</v>
      </c>
      <c r="AG52" s="148" t="s">
        <v>754</v>
      </c>
      <c r="AH52" s="972">
        <v>394299</v>
      </c>
      <c r="AI52" s="1004">
        <v>434030</v>
      </c>
      <c r="AJ52" s="150">
        <v>530184</v>
      </c>
      <c r="AK52" s="150">
        <v>712072</v>
      </c>
      <c r="AL52" s="150">
        <v>735498</v>
      </c>
      <c r="AM52" s="150">
        <v>766478</v>
      </c>
      <c r="AN52" s="150">
        <v>758436</v>
      </c>
      <c r="AO52" s="150">
        <v>731831</v>
      </c>
      <c r="AP52" s="150">
        <v>749331</v>
      </c>
      <c r="AQ52" s="150">
        <v>759714</v>
      </c>
      <c r="AR52" s="150">
        <v>816452</v>
      </c>
      <c r="AS52" s="150">
        <v>639756</v>
      </c>
      <c r="AT52" s="151">
        <v>484810</v>
      </c>
    </row>
    <row r="53" spans="1:46">
      <c r="C53" t="s">
        <v>756</v>
      </c>
      <c r="D53" s="190">
        <f>D52/(SUM(E51:F51)/60)</f>
        <v>63.758892842649225</v>
      </c>
      <c r="E53" s="190">
        <f t="shared" ref="E53:M53" si="138">E52/(SUM(F51:G51)/60)</f>
        <v>55.766990512115733</v>
      </c>
      <c r="F53" s="190">
        <f t="shared" si="138"/>
        <v>52.55027979594221</v>
      </c>
      <c r="G53" s="190">
        <f t="shared" si="138"/>
        <v>56.789340540361913</v>
      </c>
      <c r="H53" s="190">
        <f t="shared" si="138"/>
        <v>61.011920945827931</v>
      </c>
      <c r="I53" s="190">
        <f t="shared" si="138"/>
        <v>64.03631939181156</v>
      </c>
      <c r="J53" s="190">
        <f t="shared" si="138"/>
        <v>73.31625697090837</v>
      </c>
      <c r="K53" s="190">
        <f t="shared" si="138"/>
        <v>93.963067660006644</v>
      </c>
      <c r="L53" s="190">
        <f t="shared" si="138"/>
        <v>110.91807196956067</v>
      </c>
      <c r="M53" s="190">
        <f t="shared" si="138"/>
        <v>132.71108788892946</v>
      </c>
      <c r="N53" s="190">
        <f>N52/(SUM(O51,D51)/60)</f>
        <v>109.13792377893569</v>
      </c>
      <c r="O53" s="190">
        <f>O52/(SUM(D51,E51)/60)</f>
        <v>70.497284102190505</v>
      </c>
      <c r="Q53" s="58" t="s">
        <v>757</v>
      </c>
      <c r="R53" s="400">
        <f>R52/SUM(G51:K51)</f>
        <v>0.21686844716873585</v>
      </c>
      <c r="S53" s="95"/>
      <c r="AF53" s="50"/>
      <c r="AH53" t="s">
        <v>756</v>
      </c>
      <c r="AI53" s="190">
        <v>67.7</v>
      </c>
      <c r="AJ53" s="190">
        <v>58.7</v>
      </c>
      <c r="AK53" s="190">
        <v>62.1</v>
      </c>
      <c r="AL53" s="190">
        <v>61.6</v>
      </c>
      <c r="AM53" s="190">
        <v>65.2</v>
      </c>
      <c r="AN53" s="190">
        <v>70.2</v>
      </c>
      <c r="AO53" s="190">
        <v>83.9</v>
      </c>
      <c r="AP53" s="190">
        <v>107.6</v>
      </c>
      <c r="AQ53" s="190">
        <v>124.4</v>
      </c>
      <c r="AR53" s="190">
        <v>147.69999999999999</v>
      </c>
      <c r="AS53" s="190">
        <v>125.5</v>
      </c>
      <c r="AT53" s="190">
        <v>91.6</v>
      </c>
    </row>
    <row r="54" spans="1:46">
      <c r="C54" t="s">
        <v>719</v>
      </c>
      <c r="D54" s="112"/>
      <c r="E54" s="112"/>
      <c r="F54" s="112"/>
      <c r="G54" s="248">
        <v>900000</v>
      </c>
      <c r="H54" s="112"/>
      <c r="I54" s="112"/>
      <c r="J54" s="112"/>
      <c r="K54" s="248">
        <v>400000</v>
      </c>
      <c r="L54" s="112"/>
      <c r="M54" s="112"/>
      <c r="N54" s="112"/>
      <c r="O54" s="248">
        <v>600000</v>
      </c>
      <c r="AH54" t="s">
        <v>719</v>
      </c>
      <c r="AI54" s="112"/>
      <c r="AJ54" s="112"/>
      <c r="AK54" s="112"/>
      <c r="AL54" s="248">
        <v>900000</v>
      </c>
      <c r="AM54" s="112"/>
      <c r="AN54" s="112"/>
      <c r="AO54" s="112"/>
      <c r="AP54" s="248">
        <v>400000</v>
      </c>
      <c r="AQ54" s="112"/>
      <c r="AR54" s="112"/>
      <c r="AS54" s="112"/>
      <c r="AT54" s="248">
        <v>600000</v>
      </c>
    </row>
    <row r="55" spans="1:46" ht="15.75" thickBot="1">
      <c r="D55" s="112"/>
      <c r="E55" s="112"/>
      <c r="F55" s="112"/>
      <c r="G55" s="112">
        <f>G52-G54</f>
        <v>-173804.20612476836</v>
      </c>
      <c r="H55" s="112"/>
      <c r="I55" s="112"/>
      <c r="J55" s="112"/>
      <c r="K55" s="112">
        <f>K52-K54</f>
        <v>284934.76909077656</v>
      </c>
      <c r="L55" s="112"/>
      <c r="M55" s="112"/>
      <c r="N55" s="112"/>
      <c r="O55" s="112">
        <f>O52-O54</f>
        <v>-198557.91549901629</v>
      </c>
      <c r="AI55" s="112"/>
      <c r="AJ55" s="112"/>
      <c r="AK55" s="112"/>
      <c r="AL55" s="112">
        <v>-164502</v>
      </c>
      <c r="AM55" s="112"/>
      <c r="AN55" s="112"/>
      <c r="AO55" s="112"/>
      <c r="AP55" s="112">
        <v>349331</v>
      </c>
      <c r="AQ55" s="112"/>
      <c r="AR55" s="112"/>
      <c r="AS55" s="112"/>
      <c r="AT55" s="112">
        <v>-115190</v>
      </c>
    </row>
    <row r="56" spans="1:46">
      <c r="B56" s="108"/>
      <c r="C56" s="200"/>
      <c r="D56" s="109" t="s">
        <v>68</v>
      </c>
      <c r="E56" s="109" t="s">
        <v>69</v>
      </c>
      <c r="F56" s="109" t="s">
        <v>70</v>
      </c>
      <c r="G56" s="109" t="s">
        <v>71</v>
      </c>
      <c r="H56" s="109" t="s">
        <v>72</v>
      </c>
      <c r="I56" s="109" t="s">
        <v>73</v>
      </c>
      <c r="J56" s="109" t="s">
        <v>74</v>
      </c>
      <c r="K56" s="109" t="s">
        <v>75</v>
      </c>
      <c r="L56" s="109" t="s">
        <v>76</v>
      </c>
      <c r="M56" s="109" t="s">
        <v>77</v>
      </c>
      <c r="N56" s="109" t="s">
        <v>78</v>
      </c>
      <c r="O56" s="110" t="s">
        <v>79</v>
      </c>
      <c r="AG56" s="108"/>
      <c r="AH56" s="200"/>
      <c r="AI56" s="109" t="s">
        <v>68</v>
      </c>
      <c r="AJ56" s="109" t="s">
        <v>69</v>
      </c>
      <c r="AK56" s="109" t="s">
        <v>70</v>
      </c>
      <c r="AL56" s="109" t="s">
        <v>71</v>
      </c>
      <c r="AM56" s="109" t="s">
        <v>72</v>
      </c>
      <c r="AN56" s="109" t="s">
        <v>73</v>
      </c>
      <c r="AO56" s="109" t="s">
        <v>74</v>
      </c>
      <c r="AP56" s="109" t="s">
        <v>75</v>
      </c>
      <c r="AQ56" s="109" t="s">
        <v>76</v>
      </c>
      <c r="AR56" s="109" t="s">
        <v>77</v>
      </c>
      <c r="AS56" s="109" t="s">
        <v>78</v>
      </c>
      <c r="AT56" s="110" t="s">
        <v>79</v>
      </c>
    </row>
    <row r="57" spans="1:46">
      <c r="A57" s="976" t="s">
        <v>1340</v>
      </c>
      <c r="B57" s="405" t="s">
        <v>40</v>
      </c>
      <c r="C57" t="s">
        <v>196</v>
      </c>
      <c r="D57" s="112">
        <f>SUMIF('Cases post Attain'!$A:$A,"=SP1",'Cases post Attain'!D:D)</f>
        <v>178252</v>
      </c>
      <c r="E57" s="112">
        <f>SUMIF('Cases post Attain'!$A:$A,"=SP1",'Cases post Attain'!E:E)</f>
        <v>244571</v>
      </c>
      <c r="F57" s="112">
        <f>SUMIF('Cases post Attain'!$A:$A,"=SP1",'Cases post Attain'!F:F)</f>
        <v>327079.16000000003</v>
      </c>
      <c r="G57" s="112">
        <f>SUMIF('Cases post Attain'!$A:$A,"=SP1",'Cases post Attain'!G:G)</f>
        <v>304128</v>
      </c>
      <c r="H57" s="112">
        <f>SUMIF('Cases post Attain'!$A:$A,"=SP1",'Cases post Attain'!H:H)</f>
        <v>336600</v>
      </c>
      <c r="I57" s="112">
        <f>SUMIF('Cases post Attain'!$A:$A,"=SP1",'Cases post Attain'!I:I)</f>
        <v>283668.47999999998</v>
      </c>
      <c r="J57" s="112">
        <f>SUMIF('Cases post Attain'!$A:$A,"=SP1",'Cases post Attain'!J:J)</f>
        <v>315187.19999999995</v>
      </c>
      <c r="K57" s="112">
        <f>SUMIF('Cases post Attain'!$A:$A,"=SP1",'Cases post Attain'!K:K)</f>
        <v>346705.91999999998</v>
      </c>
      <c r="L57" s="112">
        <f>SUMIF('Cases post Attain'!$A:$A,"=SP1",'Cases post Attain'!L:L)</f>
        <v>299427.83999999997</v>
      </c>
      <c r="M57" s="112">
        <f>SUMIF('Cases post Attain'!$A:$A,"=SP1",'Cases post Attain'!M:M)</f>
        <v>324000</v>
      </c>
      <c r="N57" s="112">
        <f>SUMIF('Cases post Attain'!$A:$A,"=SP1",'Cases post Attain'!N:N)</f>
        <v>283668.47999999998</v>
      </c>
      <c r="O57" s="112">
        <f>SUMIF('Cases post Attain'!$A:$A,"=SP1",'Cases post Attain'!O:O)</f>
        <v>396000</v>
      </c>
      <c r="Q57" s="192" t="s">
        <v>752</v>
      </c>
      <c r="R57" s="397">
        <v>60</v>
      </c>
      <c r="S57" s="94"/>
      <c r="T57" s="50">
        <f>D57-AI57</f>
        <v>0</v>
      </c>
      <c r="U57" s="50">
        <f t="shared" ref="U57:U59" si="139">E57-AJ57</f>
        <v>2646</v>
      </c>
      <c r="V57" s="50">
        <f t="shared" ref="V57:V59" si="140">F57-AK57</f>
        <v>-85288.839999999967</v>
      </c>
      <c r="W57" s="50">
        <f t="shared" ref="W57:W59" si="141">G57-AL57</f>
        <v>-5952</v>
      </c>
      <c r="X57" s="50">
        <f t="shared" ref="X57:X59" si="142">H57-AM57</f>
        <v>-31118</v>
      </c>
      <c r="Y57" s="50">
        <f t="shared" ref="Y57:Y59" si="143">I57-AN57</f>
        <v>-31518.520000000019</v>
      </c>
      <c r="Z57" s="50">
        <f t="shared" ref="Z57:Z59" si="144">J57-AO57</f>
        <v>-35020.800000000047</v>
      </c>
      <c r="AA57" s="50">
        <f t="shared" ref="AA57:AA59" si="145">K57-AP57</f>
        <v>-38523.080000000016</v>
      </c>
      <c r="AB57" s="50">
        <f t="shared" ref="AB57:AB59" si="146">L57-AQ57</f>
        <v>-33270.160000000033</v>
      </c>
      <c r="AC57" s="50">
        <f t="shared" ref="AC57:AC59" si="147">M57-AR57</f>
        <v>166406</v>
      </c>
      <c r="AD57" s="50">
        <f t="shared" ref="AD57:AD59" si="148">N57-AS57</f>
        <v>-31518.520000000019</v>
      </c>
      <c r="AE57" s="50">
        <f t="shared" ref="AE57:AE59" si="149">O57-AT57</f>
        <v>63302</v>
      </c>
      <c r="AG57" s="405" t="s">
        <v>40</v>
      </c>
      <c r="AH57" t="s">
        <v>196</v>
      </c>
      <c r="AI57" s="112">
        <v>178252</v>
      </c>
      <c r="AJ57" s="112">
        <v>241925</v>
      </c>
      <c r="AK57" s="112">
        <v>412368</v>
      </c>
      <c r="AL57" s="112">
        <v>310080</v>
      </c>
      <c r="AM57" s="112">
        <v>367718</v>
      </c>
      <c r="AN57" s="112">
        <v>315187</v>
      </c>
      <c r="AO57" s="112">
        <v>350208</v>
      </c>
      <c r="AP57" s="112">
        <v>385229</v>
      </c>
      <c r="AQ57" s="112">
        <v>332698</v>
      </c>
      <c r="AR57" s="112">
        <v>157594</v>
      </c>
      <c r="AS57" s="112">
        <v>315187</v>
      </c>
      <c r="AT57" s="112">
        <v>332698</v>
      </c>
    </row>
    <row r="58" spans="1:46">
      <c r="A58" t="s">
        <v>1341</v>
      </c>
      <c r="B58" s="111"/>
      <c r="C58" t="s">
        <v>12</v>
      </c>
      <c r="D58" s="112">
        <f>SUMIF('MRF3 Demand'!$D:$D,"=SP1",'MRF3 Demand'!G:G)</f>
        <v>215139</v>
      </c>
      <c r="E58" s="112">
        <f>SUMIF('MRF3 Demand'!$D:$D,"=SP1",'MRF3 Demand'!H:H)</f>
        <v>304086</v>
      </c>
      <c r="F58" s="112">
        <f>SUMIF('MRF3 Demand'!$D:$D,"=SP1",'MRF3 Demand'!I:I)</f>
        <v>369644.67372575623</v>
      </c>
      <c r="G58" s="112">
        <f>SUMIF('MRF3 Demand'!$D:$D,"=SP1",'MRF3 Demand'!J:J)</f>
        <v>329668.92728042277</v>
      </c>
      <c r="H58" s="112">
        <f>SUMIF('MRF3 Demand'!$D:$D,"=SP1",'MRF3 Demand'!K:K)</f>
        <v>362174.18125092599</v>
      </c>
      <c r="I58" s="112">
        <f>SUMIF('MRF3 Demand'!$D:$D,"=SP1",'MRF3 Demand'!L:L)</f>
        <v>376560.193843232</v>
      </c>
      <c r="J58" s="112">
        <f>SUMIF('MRF3 Demand'!$D:$D,"=SP1",'MRF3 Demand'!M:M)</f>
        <v>345187.33154700178</v>
      </c>
      <c r="K58" s="112">
        <f>SUMIF('MRF3 Demand'!$D:$D,"=SP1",'MRF3 Demand'!N:N)</f>
        <v>339063.91952966683</v>
      </c>
      <c r="L58" s="112">
        <f>SUMIF('MRF3 Demand'!$D:$D,"=SP1",'MRF3 Demand'!O:O)</f>
        <v>294428.29237382469</v>
      </c>
      <c r="M58" s="112">
        <f>SUMIF('MRF3 Demand'!$D:$D,"=SP1",'MRF3 Demand'!P:P)</f>
        <v>286013.3913956398</v>
      </c>
      <c r="N58" s="112">
        <f>SUMIF('MRF3 Demand'!$D:$D,"=SP1",'MRF3 Demand'!Q:Q)</f>
        <v>263209.11431397742</v>
      </c>
      <c r="O58" s="112">
        <f>SUMIF('MRF3 Demand'!$D:$D,"=SP1",'MRF3 Demand'!R:R)</f>
        <v>247159.31151182388</v>
      </c>
      <c r="Q58" s="58" t="s">
        <v>753</v>
      </c>
      <c r="R58" s="398">
        <f>K60-R57</f>
        <v>-2.4639323756014733</v>
      </c>
      <c r="S58" s="94"/>
      <c r="T58" s="50">
        <f>D58-AI58</f>
        <v>0</v>
      </c>
      <c r="U58" s="50">
        <f t="shared" si="139"/>
        <v>-6555</v>
      </c>
      <c r="V58" s="50">
        <f t="shared" si="140"/>
        <v>-722.32627424376551</v>
      </c>
      <c r="W58" s="50">
        <f t="shared" si="141"/>
        <v>-9674.0727195772342</v>
      </c>
      <c r="X58" s="50">
        <f t="shared" si="142"/>
        <v>-6857.8187490740092</v>
      </c>
      <c r="Y58" s="50">
        <f t="shared" si="143"/>
        <v>-17124.806156767998</v>
      </c>
      <c r="Z58" s="50">
        <f t="shared" si="144"/>
        <v>-9745.6684529982158</v>
      </c>
      <c r="AA58" s="50">
        <f t="shared" si="145"/>
        <v>-3986.0804703331669</v>
      </c>
      <c r="AB58" s="50">
        <f t="shared" si="146"/>
        <v>5875.29237382469</v>
      </c>
      <c r="AC58" s="50">
        <f t="shared" si="147"/>
        <v>1135.3913956398028</v>
      </c>
      <c r="AD58" s="50">
        <f t="shared" si="148"/>
        <v>-204.88568602257874</v>
      </c>
      <c r="AE58" s="50">
        <f t="shared" si="149"/>
        <v>-8972.6884881761216</v>
      </c>
      <c r="AG58" s="111"/>
      <c r="AH58" t="s">
        <v>12</v>
      </c>
      <c r="AI58" s="112">
        <v>215139</v>
      </c>
      <c r="AJ58" s="112">
        <v>310641</v>
      </c>
      <c r="AK58" s="112">
        <v>370367</v>
      </c>
      <c r="AL58" s="112">
        <v>339343</v>
      </c>
      <c r="AM58" s="112">
        <v>369032</v>
      </c>
      <c r="AN58" s="112">
        <v>393685</v>
      </c>
      <c r="AO58" s="112">
        <v>354933</v>
      </c>
      <c r="AP58" s="112">
        <v>343050</v>
      </c>
      <c r="AQ58" s="112">
        <v>288553</v>
      </c>
      <c r="AR58" s="112">
        <v>284878</v>
      </c>
      <c r="AS58" s="112">
        <v>263414</v>
      </c>
      <c r="AT58" s="112">
        <v>256132</v>
      </c>
    </row>
    <row r="59" spans="1:46" ht="19.5" thickBot="1">
      <c r="B59" s="148" t="s">
        <v>754</v>
      </c>
      <c r="C59" s="972">
        <v>877051</v>
      </c>
      <c r="D59" s="1005">
        <v>829091</v>
      </c>
      <c r="E59" s="1004">
        <v>765536</v>
      </c>
      <c r="F59" s="150">
        <f t="shared" ref="F59" si="150">E59+F57-F58</f>
        <v>722970.48627424391</v>
      </c>
      <c r="G59" s="150">
        <f t="shared" ref="G59" si="151">F59+G57-G58</f>
        <v>697429.55899382115</v>
      </c>
      <c r="H59" s="150">
        <f t="shared" ref="H59" si="152">G59+H57-H58</f>
        <v>671855.37774289516</v>
      </c>
      <c r="I59" s="150">
        <f t="shared" ref="I59" si="153">H59+I57-I58</f>
        <v>578963.66389966314</v>
      </c>
      <c r="J59" s="150">
        <f t="shared" ref="J59" si="154">I59+J57-J58</f>
        <v>548963.53235266125</v>
      </c>
      <c r="K59" s="150">
        <f t="shared" ref="K59" si="155">J59+K57-K58</f>
        <v>556605.53282299428</v>
      </c>
      <c r="L59" s="150">
        <f t="shared" ref="L59" si="156">K59+L57-L58</f>
        <v>561605.0804491695</v>
      </c>
      <c r="M59" s="150">
        <f t="shared" ref="M59" si="157">L59+M57-M58</f>
        <v>599591.68905352964</v>
      </c>
      <c r="N59" s="150">
        <f t="shared" ref="N59" si="158">M59+N57-N58</f>
        <v>620051.0547395522</v>
      </c>
      <c r="O59" s="151">
        <f t="shared" ref="O59" si="159">N59+O57-O58</f>
        <v>768891.74322772829</v>
      </c>
      <c r="P59" s="249"/>
      <c r="Q59" s="193" t="s">
        <v>755</v>
      </c>
      <c r="R59" s="399">
        <f>R58*(SUM(L58:M58)/60)</f>
        <v>-23836.150946470265</v>
      </c>
      <c r="S59" s="158"/>
      <c r="T59" s="50">
        <f>D59-AI59</f>
        <v>0</v>
      </c>
      <c r="U59" s="50">
        <f t="shared" si="139"/>
        <v>5162</v>
      </c>
      <c r="V59" s="50">
        <f t="shared" si="140"/>
        <v>-79404.513725756085</v>
      </c>
      <c r="W59" s="50">
        <f t="shared" si="141"/>
        <v>-75683.441006178851</v>
      </c>
      <c r="X59" s="50">
        <f t="shared" si="142"/>
        <v>-99943.622257104842</v>
      </c>
      <c r="Y59" s="50">
        <f t="shared" si="143"/>
        <v>-114337.33610033686</v>
      </c>
      <c r="Z59" s="50">
        <f t="shared" si="144"/>
        <v>-139612.46764733875</v>
      </c>
      <c r="AA59" s="50">
        <f t="shared" si="145"/>
        <v>-174149.46717700572</v>
      </c>
      <c r="AB59" s="50">
        <f t="shared" si="146"/>
        <v>-213293.9195508305</v>
      </c>
      <c r="AC59" s="50">
        <f t="shared" si="147"/>
        <v>-48022.310946470359</v>
      </c>
      <c r="AD59" s="50">
        <f t="shared" si="148"/>
        <v>-79335.945260447799</v>
      </c>
      <c r="AE59" s="50">
        <f t="shared" si="149"/>
        <v>-7061.2567722717067</v>
      </c>
      <c r="AG59" s="148" t="s">
        <v>754</v>
      </c>
      <c r="AH59" s="972">
        <v>877051</v>
      </c>
      <c r="AI59" s="1005">
        <v>829091</v>
      </c>
      <c r="AJ59" s="150">
        <v>760374</v>
      </c>
      <c r="AK59" s="150">
        <v>802375</v>
      </c>
      <c r="AL59" s="150">
        <v>773113</v>
      </c>
      <c r="AM59" s="150">
        <v>771799</v>
      </c>
      <c r="AN59" s="150">
        <v>693301</v>
      </c>
      <c r="AO59" s="150">
        <v>688576</v>
      </c>
      <c r="AP59" s="150">
        <v>730755</v>
      </c>
      <c r="AQ59" s="150">
        <v>774899</v>
      </c>
      <c r="AR59" s="150">
        <v>647614</v>
      </c>
      <c r="AS59" s="150">
        <v>699387</v>
      </c>
      <c r="AT59" s="151">
        <v>775953</v>
      </c>
    </row>
    <row r="60" spans="1:46">
      <c r="C60" t="s">
        <v>756</v>
      </c>
      <c r="D60" s="190">
        <f t="shared" ref="D60:M60" si="160">D59/(SUM(E58:F58)/60)</f>
        <v>73.835824818403637</v>
      </c>
      <c r="E60" s="190">
        <f t="shared" si="160"/>
        <v>65.681777008072459</v>
      </c>
      <c r="F60" s="190">
        <f t="shared" si="160"/>
        <v>62.699517624072833</v>
      </c>
      <c r="G60" s="190">
        <f t="shared" si="160"/>
        <v>56.645223168741367</v>
      </c>
      <c r="H60" s="190">
        <f t="shared" si="160"/>
        <v>55.852387776152355</v>
      </c>
      <c r="I60" s="190">
        <f t="shared" si="160"/>
        <v>50.767638026704169</v>
      </c>
      <c r="J60" s="190">
        <f t="shared" si="160"/>
        <v>51.994028217315382</v>
      </c>
      <c r="K60" s="190">
        <f t="shared" si="160"/>
        <v>57.536067624398527</v>
      </c>
      <c r="L60" s="190">
        <f t="shared" si="160"/>
        <v>61.35273860165875</v>
      </c>
      <c r="M60" s="190">
        <f t="shared" si="160"/>
        <v>70.489277006118954</v>
      </c>
      <c r="N60" s="190">
        <f>N59/(SUM(O58,D58)/60)</f>
        <v>80.474149175908494</v>
      </c>
      <c r="O60" s="190">
        <f>O59/(SUM(D58,E58)/60)</f>
        <v>88.850699780757282</v>
      </c>
      <c r="Q60" s="58" t="s">
        <v>757</v>
      </c>
      <c r="R60" s="400">
        <f>R59/SUM(G58:K58)</f>
        <v>-1.3600027968736437E-2</v>
      </c>
      <c r="S60" s="95"/>
      <c r="AF60" s="50"/>
      <c r="AH60" t="s">
        <v>756</v>
      </c>
      <c r="AI60" s="190">
        <v>73</v>
      </c>
      <c r="AJ60" s="190">
        <v>64.3</v>
      </c>
      <c r="AK60" s="190">
        <v>68</v>
      </c>
      <c r="AL60" s="190">
        <v>60.8</v>
      </c>
      <c r="AM60" s="190">
        <v>61.9</v>
      </c>
      <c r="AN60" s="190">
        <v>59.6</v>
      </c>
      <c r="AO60" s="190">
        <v>65.400000000000006</v>
      </c>
      <c r="AP60" s="190">
        <v>76.5</v>
      </c>
      <c r="AQ60" s="190">
        <v>84.8</v>
      </c>
      <c r="AR60" s="190">
        <v>74.8</v>
      </c>
      <c r="AS60" s="190">
        <v>89</v>
      </c>
      <c r="AT60" s="190">
        <v>88.5</v>
      </c>
    </row>
    <row r="61" spans="1:46">
      <c r="C61" t="s">
        <v>719</v>
      </c>
      <c r="D61" s="94"/>
      <c r="E61" s="94"/>
      <c r="G61" s="248">
        <v>800000</v>
      </c>
      <c r="K61" s="248">
        <v>700000</v>
      </c>
      <c r="O61" s="248">
        <v>1000000</v>
      </c>
      <c r="AH61" t="s">
        <v>719</v>
      </c>
      <c r="AI61" s="94"/>
      <c r="AJ61" s="94"/>
      <c r="AL61" s="248">
        <v>800000</v>
      </c>
      <c r="AP61" s="248">
        <v>700000</v>
      </c>
      <c r="AT61" s="248">
        <v>1000000</v>
      </c>
    </row>
    <row r="62" spans="1:46" ht="15.75" thickBot="1">
      <c r="D62" s="112"/>
      <c r="E62" s="112"/>
      <c r="F62" s="112"/>
      <c r="G62" s="112">
        <f>G59-G61</f>
        <v>-102570.44100617885</v>
      </c>
      <c r="H62" s="112"/>
      <c r="I62" s="112"/>
      <c r="J62" s="112"/>
      <c r="K62" s="112">
        <f>K59-K61</f>
        <v>-143394.46717700572</v>
      </c>
      <c r="L62" s="112"/>
      <c r="M62" s="112"/>
      <c r="N62" s="112"/>
      <c r="O62" s="112">
        <f>O59-O61</f>
        <v>-231108.25677227171</v>
      </c>
      <c r="AI62" s="112"/>
      <c r="AJ62" s="112"/>
      <c r="AK62" s="112"/>
      <c r="AL62" s="112">
        <v>-26887</v>
      </c>
      <c r="AM62" s="112"/>
      <c r="AN62" s="112"/>
      <c r="AO62" s="112"/>
      <c r="AP62" s="112">
        <v>30755</v>
      </c>
      <c r="AQ62" s="112"/>
      <c r="AR62" s="112"/>
      <c r="AS62" s="112"/>
      <c r="AT62" s="112">
        <v>-224047</v>
      </c>
    </row>
    <row r="63" spans="1:46">
      <c r="B63" s="108"/>
      <c r="C63" s="200"/>
      <c r="D63" s="109" t="s">
        <v>68</v>
      </c>
      <c r="E63" s="109" t="s">
        <v>69</v>
      </c>
      <c r="F63" s="109" t="s">
        <v>70</v>
      </c>
      <c r="G63" s="109" t="s">
        <v>71</v>
      </c>
      <c r="H63" s="109" t="s">
        <v>72</v>
      </c>
      <c r="I63" s="109" t="s">
        <v>73</v>
      </c>
      <c r="J63" s="109" t="s">
        <v>74</v>
      </c>
      <c r="K63" s="109" t="s">
        <v>75</v>
      </c>
      <c r="L63" s="109" t="s">
        <v>76</v>
      </c>
      <c r="M63" s="109" t="s">
        <v>77</v>
      </c>
      <c r="N63" s="109" t="s">
        <v>78</v>
      </c>
      <c r="O63" s="110" t="s">
        <v>79</v>
      </c>
      <c r="AG63" s="108"/>
      <c r="AH63" s="200"/>
      <c r="AI63" s="109" t="s">
        <v>68</v>
      </c>
      <c r="AJ63" s="109" t="s">
        <v>69</v>
      </c>
      <c r="AK63" s="109" t="s">
        <v>70</v>
      </c>
      <c r="AL63" s="109" t="s">
        <v>71</v>
      </c>
      <c r="AM63" s="109" t="s">
        <v>72</v>
      </c>
      <c r="AN63" s="109" t="s">
        <v>73</v>
      </c>
      <c r="AO63" s="109" t="s">
        <v>74</v>
      </c>
      <c r="AP63" s="109" t="s">
        <v>75</v>
      </c>
      <c r="AQ63" s="109" t="s">
        <v>76</v>
      </c>
      <c r="AR63" s="109" t="s">
        <v>77</v>
      </c>
      <c r="AS63" s="109" t="s">
        <v>78</v>
      </c>
      <c r="AT63" s="110" t="s">
        <v>79</v>
      </c>
    </row>
    <row r="64" spans="1:46">
      <c r="A64" s="976" t="s">
        <v>1340</v>
      </c>
      <c r="B64" s="405" t="s">
        <v>31</v>
      </c>
      <c r="C64" t="s">
        <v>196</v>
      </c>
      <c r="D64" s="329">
        <f>SUMIF('Cases post Attain'!$A:$A,"=EDF",'Cases post Attain'!D:D)</f>
        <v>417960</v>
      </c>
      <c r="E64" s="329">
        <f>SUMIF('Cases post Attain'!$A:$A,"=EDF",'Cases post Attain'!E:E)</f>
        <v>514428</v>
      </c>
      <c r="F64" s="329">
        <f>SUMIF('Cases post Attain'!$A:$A,"=EDF",'Cases post Attain'!F:F)</f>
        <v>658463.91999999993</v>
      </c>
      <c r="G64" s="329">
        <f>SUMIF('Cases post Attain'!$A:$A,"=EDF",'Cases post Attain'!G:G)</f>
        <v>551635.19999999995</v>
      </c>
      <c r="H64" s="329">
        <f>SUMIF('Cases post Attain'!$A:$A,"=EDF",'Cases post Attain'!H:H)</f>
        <v>485184</v>
      </c>
      <c r="I64" s="329">
        <f>SUMIF('Cases post Attain'!$A:$A,"=EDF",'Cases post Attain'!I:I)</f>
        <v>395580</v>
      </c>
      <c r="J64" s="329">
        <f>SUMIF('Cases post Attain'!$A:$A,"=EDF",'Cases post Attain'!J:J)</f>
        <v>414105</v>
      </c>
      <c r="K64" s="329">
        <f>SUMIF('Cases post Attain'!$A:$A,"=EDF",'Cases post Attain'!K:K)</f>
        <v>377311.5</v>
      </c>
      <c r="L64" s="329">
        <f>SUMIF('Cases post Attain'!$A:$A,"=EDF",'Cases post Attain'!L:L)</f>
        <v>356022</v>
      </c>
      <c r="M64" s="329">
        <f>SUMIF('Cases post Attain'!$A:$A,"=EDF",'Cases post Attain'!M:M)</f>
        <v>241893</v>
      </c>
      <c r="N64" s="329">
        <f>SUMIF('Cases post Attain'!$A:$A,"=EDF",'Cases post Attain'!N:N)</f>
        <v>193882.5</v>
      </c>
      <c r="O64" s="329">
        <f>SUMIF('Cases post Attain'!$A:$A,"=EDF",'Cases post Attain'!O:O)</f>
        <v>45000</v>
      </c>
      <c r="P64" s="325"/>
      <c r="Q64" s="192" t="s">
        <v>752</v>
      </c>
      <c r="R64" s="397">
        <v>45</v>
      </c>
      <c r="S64" s="94"/>
      <c r="T64" s="50">
        <f>D64-AI64</f>
        <v>0</v>
      </c>
      <c r="U64" s="50">
        <f t="shared" ref="U64:U66" si="161">E64-AJ64</f>
        <v>4987</v>
      </c>
      <c r="V64" s="50">
        <f t="shared" ref="V64:V66" si="162">F64-AK64</f>
        <v>36460.919999999925</v>
      </c>
      <c r="W64" s="50">
        <f t="shared" ref="W64:W66" si="163">G64-AL64</f>
        <v>-145860.80000000005</v>
      </c>
      <c r="X64" s="50">
        <f t="shared" ref="X64:X66" si="164">H64-AM64</f>
        <v>-14051</v>
      </c>
      <c r="Y64" s="50">
        <f t="shared" ref="Y64:Y66" si="165">I64-AN64</f>
        <v>0</v>
      </c>
      <c r="Z64" s="50">
        <f t="shared" ref="Z64:Z66" si="166">J64-AO64</f>
        <v>0</v>
      </c>
      <c r="AA64" s="50">
        <f t="shared" ref="AA64:AA66" si="167">K64-AP64</f>
        <v>-0.5</v>
      </c>
      <c r="AB64" s="50">
        <f t="shared" ref="AB64:AB66" si="168">L64-AQ64</f>
        <v>0</v>
      </c>
      <c r="AC64" s="50">
        <f t="shared" ref="AC64:AC66" si="169">M64-AR64</f>
        <v>0</v>
      </c>
      <c r="AD64" s="50">
        <f t="shared" ref="AD64:AD66" si="170">N64-AS64</f>
        <v>-0.5</v>
      </c>
      <c r="AE64" s="50">
        <f t="shared" ref="AE64:AE66" si="171">O64-AT64</f>
        <v>0</v>
      </c>
      <c r="AG64" s="405" t="s">
        <v>31</v>
      </c>
      <c r="AH64" t="s">
        <v>196</v>
      </c>
      <c r="AI64" s="329">
        <v>417960</v>
      </c>
      <c r="AJ64" s="329">
        <v>509441</v>
      </c>
      <c r="AK64" s="329">
        <v>622003</v>
      </c>
      <c r="AL64" s="329">
        <v>697496</v>
      </c>
      <c r="AM64" s="329">
        <v>499235</v>
      </c>
      <c r="AN64" s="329">
        <v>395580</v>
      </c>
      <c r="AO64" s="329">
        <v>414105</v>
      </c>
      <c r="AP64" s="329">
        <v>377312</v>
      </c>
      <c r="AQ64" s="329">
        <v>356022</v>
      </c>
      <c r="AR64" s="329">
        <v>241893</v>
      </c>
      <c r="AS64" s="329">
        <v>193883</v>
      </c>
      <c r="AT64" s="329">
        <v>45000</v>
      </c>
    </row>
    <row r="65" spans="1:46">
      <c r="B65" s="111"/>
      <c r="C65" t="s">
        <v>12</v>
      </c>
      <c r="D65" s="112">
        <f>SUMIF('MRF3 Demand'!$D:$D,"=EDF",'MRF3 Demand'!G:G)</f>
        <v>279531</v>
      </c>
      <c r="E65" s="112">
        <f>SUMIF('MRF3 Demand'!$D:$D,"=EDF",'MRF3 Demand'!H:H)</f>
        <v>324664</v>
      </c>
      <c r="F65" s="112">
        <f>SUMIF('MRF3 Demand'!$D:$D,"=EDF",'MRF3 Demand'!I:I)</f>
        <v>482355.45</v>
      </c>
      <c r="G65" s="112">
        <f>SUMIF('MRF3 Demand'!$D:$D,"=EDF",'MRF3 Demand'!J:J)</f>
        <v>435044.45999999996</v>
      </c>
      <c r="H65" s="112">
        <f>SUMIF('MRF3 Demand'!$D:$D,"=EDF",'MRF3 Demand'!K:K)</f>
        <v>517715.65</v>
      </c>
      <c r="I65" s="112">
        <f>SUMIF('MRF3 Demand'!$D:$D,"=EDF",'MRF3 Demand'!L:L)</f>
        <v>584342.95000000007</v>
      </c>
      <c r="J65" s="112">
        <f>SUMIF('MRF3 Demand'!$D:$D,"=EDF",'MRF3 Demand'!M:M)</f>
        <v>518341.71</v>
      </c>
      <c r="K65" s="112">
        <f>SUMIF('MRF3 Demand'!$D:$D,"=EDF",'MRF3 Demand'!N:N)</f>
        <v>443852.83000000007</v>
      </c>
      <c r="L65" s="112">
        <f>SUMIF('MRF3 Demand'!$D:$D,"=EDF",'MRF3 Demand'!O:O)</f>
        <v>340948.43000000005</v>
      </c>
      <c r="M65" s="112">
        <f>SUMIF('MRF3 Demand'!$D:$D,"=EDF",'MRF3 Demand'!P:P)</f>
        <v>337854.61000000004</v>
      </c>
      <c r="N65" s="112">
        <f>SUMIF('MRF3 Demand'!$D:$D,"=EDF",'MRF3 Demand'!Q:Q)</f>
        <v>239865.30000000002</v>
      </c>
      <c r="O65" s="112">
        <f>SUMIF('MRF3 Demand'!$D:$D,"=EDF",'MRF3 Demand'!R:R)</f>
        <v>242762.24000000002</v>
      </c>
      <c r="P65" s="327"/>
      <c r="Q65" s="58" t="s">
        <v>753</v>
      </c>
      <c r="R65" s="398">
        <f>K67-R64</f>
        <v>42.584543227738038</v>
      </c>
      <c r="S65" s="94"/>
      <c r="T65" s="50">
        <f>D65-AI65</f>
        <v>0</v>
      </c>
      <c r="U65" s="50">
        <f t="shared" si="161"/>
        <v>37129</v>
      </c>
      <c r="V65" s="50">
        <f t="shared" si="162"/>
        <v>-6538.5499999999884</v>
      </c>
      <c r="W65" s="50">
        <f t="shared" si="163"/>
        <v>-17557.540000000037</v>
      </c>
      <c r="X65" s="50">
        <f t="shared" si="164"/>
        <v>1966.6500000000233</v>
      </c>
      <c r="Y65" s="50">
        <f t="shared" si="165"/>
        <v>-42180.04999999993</v>
      </c>
      <c r="Z65" s="50">
        <f t="shared" si="166"/>
        <v>-17702.289999999979</v>
      </c>
      <c r="AA65" s="50">
        <f t="shared" si="167"/>
        <v>-1168.1699999999255</v>
      </c>
      <c r="AB65" s="50">
        <f t="shared" si="168"/>
        <v>-7552.5699999999488</v>
      </c>
      <c r="AC65" s="50">
        <f t="shared" si="169"/>
        <v>-5869.3899999999558</v>
      </c>
      <c r="AD65" s="50">
        <f t="shared" si="170"/>
        <v>-11856.699999999983</v>
      </c>
      <c r="AE65" s="50">
        <f t="shared" si="171"/>
        <v>-6409.7599999999802</v>
      </c>
      <c r="AG65" s="111"/>
      <c r="AH65" t="s">
        <v>12</v>
      </c>
      <c r="AI65" s="112">
        <v>279531</v>
      </c>
      <c r="AJ65" s="112">
        <v>287535</v>
      </c>
      <c r="AK65" s="112">
        <v>488894</v>
      </c>
      <c r="AL65" s="112">
        <v>452602</v>
      </c>
      <c r="AM65" s="112">
        <v>515749</v>
      </c>
      <c r="AN65" s="112">
        <v>626523</v>
      </c>
      <c r="AO65" s="112">
        <v>536044</v>
      </c>
      <c r="AP65" s="112">
        <v>445021</v>
      </c>
      <c r="AQ65" s="112">
        <v>348501</v>
      </c>
      <c r="AR65" s="112">
        <v>343724</v>
      </c>
      <c r="AS65" s="112">
        <v>251722</v>
      </c>
      <c r="AT65" s="112">
        <v>249172</v>
      </c>
    </row>
    <row r="66" spans="1:46" ht="19.5" thickBot="1">
      <c r="A66" s="977"/>
      <c r="B66" s="148" t="s">
        <v>754</v>
      </c>
      <c r="C66" s="972">
        <v>768785</v>
      </c>
      <c r="D66" s="1005">
        <v>902238</v>
      </c>
      <c r="E66" s="1004">
        <v>1090251</v>
      </c>
      <c r="F66" s="150">
        <f t="shared" ref="F66" si="172">E66+F64-F65</f>
        <v>1266359.47</v>
      </c>
      <c r="G66" s="150">
        <f t="shared" ref="G66" si="173">F66+G64-G65</f>
        <v>1382950.21</v>
      </c>
      <c r="H66" s="150">
        <f t="shared" ref="H66" si="174">G66+H64-H65</f>
        <v>1350418.56</v>
      </c>
      <c r="I66" s="150">
        <f t="shared" ref="I66" si="175">H66+I64-I65</f>
        <v>1161655.6099999999</v>
      </c>
      <c r="J66" s="150">
        <f t="shared" ref="J66" si="176">I66+J64-J65</f>
        <v>1057418.8999999999</v>
      </c>
      <c r="K66" s="150">
        <f t="shared" ref="K66" si="177">J66+K64-K65</f>
        <v>990877.56999999983</v>
      </c>
      <c r="L66" s="150">
        <f t="shared" ref="L66" si="178">K66+L64-L65</f>
        <v>1005951.1399999998</v>
      </c>
      <c r="M66" s="150">
        <f t="shared" ref="M66" si="179">L66+M64-M65</f>
        <v>909989.52999999956</v>
      </c>
      <c r="N66" s="150">
        <f t="shared" ref="N66" si="180">M66+N64-N65</f>
        <v>864006.72999999952</v>
      </c>
      <c r="O66" s="151">
        <f t="shared" ref="O66" si="181">N66+O64-O65</f>
        <v>666244.48999999953</v>
      </c>
      <c r="P66" s="128"/>
      <c r="Q66" s="193" t="s">
        <v>755</v>
      </c>
      <c r="R66" s="399">
        <f>R65*(SUM(L65:M65)/60)</f>
        <v>481775.28999999986</v>
      </c>
      <c r="S66" s="158"/>
      <c r="T66" s="50">
        <f>D66-AI66</f>
        <v>0</v>
      </c>
      <c r="U66" s="50">
        <f t="shared" si="161"/>
        <v>-33893</v>
      </c>
      <c r="V66" s="50">
        <f t="shared" si="162"/>
        <v>9105.4699999999721</v>
      </c>
      <c r="W66" s="50">
        <f t="shared" si="163"/>
        <v>-119196.79000000004</v>
      </c>
      <c r="X66" s="50">
        <f t="shared" si="164"/>
        <v>-135214.43999999994</v>
      </c>
      <c r="Y66" s="50">
        <f t="shared" si="165"/>
        <v>-93034.39000000013</v>
      </c>
      <c r="Z66" s="50">
        <f t="shared" si="166"/>
        <v>-75332.100000000093</v>
      </c>
      <c r="AA66" s="50">
        <f t="shared" si="167"/>
        <v>-74163.430000000168</v>
      </c>
      <c r="AB66" s="50">
        <f t="shared" si="168"/>
        <v>-66610.860000000219</v>
      </c>
      <c r="AC66" s="50">
        <f t="shared" si="169"/>
        <v>-60741.470000000438</v>
      </c>
      <c r="AD66" s="50">
        <f t="shared" si="170"/>
        <v>-48885.270000000484</v>
      </c>
      <c r="AE66" s="50">
        <f t="shared" si="171"/>
        <v>-42475.510000000475</v>
      </c>
      <c r="AG66" s="148" t="s">
        <v>754</v>
      </c>
      <c r="AH66" s="972">
        <v>768785</v>
      </c>
      <c r="AI66" s="1005">
        <v>902238</v>
      </c>
      <c r="AJ66" s="150">
        <v>1124144</v>
      </c>
      <c r="AK66" s="150">
        <v>1257254</v>
      </c>
      <c r="AL66" s="150">
        <v>1502147</v>
      </c>
      <c r="AM66" s="150">
        <v>1485633</v>
      </c>
      <c r="AN66" s="150">
        <v>1254690</v>
      </c>
      <c r="AO66" s="150">
        <v>1132751</v>
      </c>
      <c r="AP66" s="150">
        <v>1065041</v>
      </c>
      <c r="AQ66" s="150">
        <v>1072562</v>
      </c>
      <c r="AR66" s="150">
        <v>970731</v>
      </c>
      <c r="AS66" s="150">
        <v>912892</v>
      </c>
      <c r="AT66" s="151">
        <v>708720</v>
      </c>
    </row>
    <row r="67" spans="1:46">
      <c r="C67" t="s">
        <v>756</v>
      </c>
      <c r="D67" s="190">
        <f t="shared" ref="D67:M67" si="182">D66/(SUM(E65:F65)/60)</f>
        <v>67.079275474711309</v>
      </c>
      <c r="E67" s="190">
        <f t="shared" si="182"/>
        <v>71.304846759795311</v>
      </c>
      <c r="F67" s="190">
        <f t="shared" si="182"/>
        <v>79.748897337861891</v>
      </c>
      <c r="G67" s="190">
        <f t="shared" si="182"/>
        <v>75.29274087602964</v>
      </c>
      <c r="H67" s="190">
        <f t="shared" si="182"/>
        <v>73.47985923736347</v>
      </c>
      <c r="I67" s="190">
        <f t="shared" si="182"/>
        <v>72.437884130999109</v>
      </c>
      <c r="J67" s="190">
        <f t="shared" si="182"/>
        <v>80.842293754727123</v>
      </c>
      <c r="K67" s="190">
        <f t="shared" si="182"/>
        <v>87.584543227738038</v>
      </c>
      <c r="L67" s="190">
        <f t="shared" si="182"/>
        <v>104.47462058214332</v>
      </c>
      <c r="M67" s="190">
        <f t="shared" si="182"/>
        <v>113.12941611247459</v>
      </c>
      <c r="N67" s="190">
        <f>N66/(SUM(O65,D65)/60)</f>
        <v>99.255360456129907</v>
      </c>
      <c r="O67" s="190">
        <f>O66/(SUM(D65,E65)/60)</f>
        <v>66.161867277948303</v>
      </c>
      <c r="Q67" s="58" t="s">
        <v>757</v>
      </c>
      <c r="R67" s="400">
        <f>R66/SUM(G65:K65)</f>
        <v>0.19276427505071819</v>
      </c>
      <c r="S67" s="95"/>
      <c r="AF67" s="50"/>
      <c r="AH67" t="s">
        <v>756</v>
      </c>
      <c r="AI67" s="190">
        <v>69.7</v>
      </c>
      <c r="AJ67" s="190">
        <v>71.599999999999994</v>
      </c>
      <c r="AK67" s="190">
        <v>77.900000000000006</v>
      </c>
      <c r="AL67" s="190">
        <v>78.900000000000006</v>
      </c>
      <c r="AM67" s="190">
        <v>76.7</v>
      </c>
      <c r="AN67" s="190">
        <v>76.7</v>
      </c>
      <c r="AO67" s="190">
        <v>85.6</v>
      </c>
      <c r="AP67" s="190">
        <v>92.3</v>
      </c>
      <c r="AQ67" s="190">
        <v>108.1</v>
      </c>
      <c r="AR67" s="190">
        <v>116.3</v>
      </c>
      <c r="AS67" s="190">
        <v>103.6</v>
      </c>
      <c r="AT67" s="190">
        <v>75</v>
      </c>
    </row>
    <row r="68" spans="1:46">
      <c r="C68" t="s">
        <v>719</v>
      </c>
      <c r="D68" s="112"/>
      <c r="E68" s="112"/>
      <c r="F68" s="112"/>
      <c r="G68" s="248">
        <v>1000000</v>
      </c>
      <c r="H68" s="112"/>
      <c r="I68" s="112"/>
      <c r="J68" s="112"/>
      <c r="K68" s="248">
        <v>700000</v>
      </c>
      <c r="L68" s="112"/>
      <c r="M68" s="112"/>
      <c r="N68" s="112"/>
      <c r="O68" s="248">
        <v>650000</v>
      </c>
      <c r="P68" s="127"/>
      <c r="AH68" t="s">
        <v>719</v>
      </c>
      <c r="AI68" s="112"/>
      <c r="AJ68" s="112"/>
      <c r="AK68" s="112"/>
      <c r="AL68" s="248">
        <v>1000000</v>
      </c>
      <c r="AM68" s="112"/>
      <c r="AN68" s="112"/>
      <c r="AO68" s="112"/>
      <c r="AP68" s="248">
        <v>700000</v>
      </c>
      <c r="AQ68" s="112"/>
      <c r="AR68" s="112"/>
      <c r="AS68" s="112"/>
      <c r="AT68" s="248">
        <v>650000</v>
      </c>
    </row>
    <row r="69" spans="1:46" ht="15.75" thickBot="1">
      <c r="D69" s="112"/>
      <c r="E69" s="112"/>
      <c r="F69" s="112"/>
      <c r="G69" s="112">
        <f>G66-G68</f>
        <v>382950.20999999996</v>
      </c>
      <c r="H69" s="112"/>
      <c r="I69" s="112"/>
      <c r="J69" s="112"/>
      <c r="K69" s="112">
        <f>K66-K68</f>
        <v>290877.56999999983</v>
      </c>
      <c r="L69" s="112"/>
      <c r="M69" s="112"/>
      <c r="N69" s="112"/>
      <c r="O69" s="112">
        <f>O66-O68</f>
        <v>16244.489999999525</v>
      </c>
      <c r="AI69" s="112"/>
      <c r="AJ69" s="112"/>
      <c r="AK69" s="112"/>
      <c r="AL69" s="112">
        <v>502147</v>
      </c>
      <c r="AM69" s="112"/>
      <c r="AN69" s="112"/>
      <c r="AO69" s="112"/>
      <c r="AP69" s="112">
        <v>365041</v>
      </c>
      <c r="AQ69" s="112"/>
      <c r="AR69" s="112"/>
      <c r="AS69" s="112"/>
      <c r="AT69" s="112">
        <v>58720</v>
      </c>
    </row>
    <row r="70" spans="1:46">
      <c r="B70" s="108"/>
      <c r="C70" s="200"/>
      <c r="D70" s="109" t="s">
        <v>68</v>
      </c>
      <c r="E70" s="109" t="s">
        <v>69</v>
      </c>
      <c r="F70" s="109" t="s">
        <v>70</v>
      </c>
      <c r="G70" s="109" t="s">
        <v>71</v>
      </c>
      <c r="H70" s="109" t="s">
        <v>72</v>
      </c>
      <c r="I70" s="109" t="s">
        <v>73</v>
      </c>
      <c r="J70" s="109" t="s">
        <v>74</v>
      </c>
      <c r="K70" s="109" t="s">
        <v>75</v>
      </c>
      <c r="L70" s="109" t="s">
        <v>76</v>
      </c>
      <c r="M70" s="109" t="s">
        <v>77</v>
      </c>
      <c r="N70" s="109" t="s">
        <v>78</v>
      </c>
      <c r="O70" s="110" t="s">
        <v>79</v>
      </c>
      <c r="AG70" s="108"/>
      <c r="AH70" s="200"/>
      <c r="AI70" s="109" t="s">
        <v>68</v>
      </c>
      <c r="AJ70" s="109" t="s">
        <v>69</v>
      </c>
      <c r="AK70" s="109" t="s">
        <v>70</v>
      </c>
      <c r="AL70" s="109" t="s">
        <v>71</v>
      </c>
      <c r="AM70" s="109" t="s">
        <v>72</v>
      </c>
      <c r="AN70" s="109" t="s">
        <v>73</v>
      </c>
      <c r="AO70" s="109" t="s">
        <v>74</v>
      </c>
      <c r="AP70" s="109" t="s">
        <v>75</v>
      </c>
      <c r="AQ70" s="109" t="s">
        <v>76</v>
      </c>
      <c r="AR70" s="109" t="s">
        <v>77</v>
      </c>
      <c r="AS70" s="109" t="s">
        <v>78</v>
      </c>
      <c r="AT70" s="110" t="s">
        <v>79</v>
      </c>
    </row>
    <row r="71" spans="1:46">
      <c r="A71" s="976" t="s">
        <v>1340</v>
      </c>
      <c r="B71" s="405" t="s">
        <v>32</v>
      </c>
      <c r="C71" t="s">
        <v>196</v>
      </c>
      <c r="D71" s="112">
        <f>SUMIF('Cases post Attain'!$A:$A,"=EFW",'Cases post Attain'!D:D)</f>
        <v>0</v>
      </c>
      <c r="E71" s="112">
        <f>SUMIF('Cases post Attain'!$A:$A,"=EFW",'Cases post Attain'!E:E)</f>
        <v>9618</v>
      </c>
      <c r="F71" s="112">
        <f>SUMIF('Cases post Attain'!$A:$A,"=EFW",'Cases post Attain'!F:F)</f>
        <v>240</v>
      </c>
      <c r="G71" s="112">
        <f>SUMIF('Cases post Attain'!$A:$A,"=EFW",'Cases post Attain'!G:G)</f>
        <v>18662.399999999998</v>
      </c>
      <c r="H71" s="112">
        <f>SUMIF('Cases post Attain'!$A:$A,"=EFW",'Cases post Attain'!H:H)</f>
        <v>41472</v>
      </c>
      <c r="I71" s="112">
        <f>SUMIF('Cases post Attain'!$A:$A,"=EFW",'Cases post Attain'!I:I)</f>
        <v>121472</v>
      </c>
      <c r="J71" s="112">
        <f>SUMIF('Cases post Attain'!$A:$A,"=EFW",'Cases post Attain'!J:J)</f>
        <v>142208</v>
      </c>
      <c r="K71" s="112">
        <f>SUMIF('Cases post Attain'!$A:$A,"=EFW",'Cases post Attain'!K:K)</f>
        <v>122208</v>
      </c>
      <c r="L71" s="112">
        <f>SUMIF('Cases post Attain'!$A:$A,"=EFW",'Cases post Attain'!L:L)</f>
        <v>61472</v>
      </c>
      <c r="M71" s="112">
        <f>SUMIF('Cases post Attain'!$A:$A,"=EFW",'Cases post Attain'!M:M)</f>
        <v>40736</v>
      </c>
      <c r="N71" s="112">
        <f>SUMIF('Cases post Attain'!$A:$A,"=EFW",'Cases post Attain'!N:N)</f>
        <v>102208</v>
      </c>
      <c r="O71" s="112">
        <f>SUMIF('Cases post Attain'!$A:$A,"=EFW",'Cases post Attain'!O:O)</f>
        <v>20000</v>
      </c>
      <c r="P71" s="325" t="s">
        <v>759</v>
      </c>
      <c r="Q71" s="192" t="s">
        <v>752</v>
      </c>
      <c r="R71" s="397">
        <v>35</v>
      </c>
      <c r="S71" s="94"/>
      <c r="T71" s="50" t="e">
        <f>D71-AI71</f>
        <v>#VALUE!</v>
      </c>
      <c r="U71" s="50" t="e">
        <f t="shared" ref="U71:U73" si="183">E71-AJ71</f>
        <v>#VALUE!</v>
      </c>
      <c r="V71" s="50" t="e">
        <f t="shared" ref="V71:V73" si="184">F71-AK71</f>
        <v>#VALUE!</v>
      </c>
      <c r="W71" s="50">
        <f t="shared" ref="W71:W73" si="185">G71-AL71</f>
        <v>-61337.600000000006</v>
      </c>
      <c r="X71" s="50">
        <f t="shared" ref="X71:X73" si="186">H71-AM71</f>
        <v>-38528</v>
      </c>
      <c r="Y71" s="50">
        <f t="shared" ref="Y71:Y73" si="187">I71-AN71</f>
        <v>41472</v>
      </c>
      <c r="Z71" s="50">
        <f t="shared" ref="Z71:Z73" si="188">J71-AO71</f>
        <v>62208</v>
      </c>
      <c r="AA71" s="50">
        <f t="shared" ref="AA71:AA73" si="189">K71-AP71</f>
        <v>62208</v>
      </c>
      <c r="AB71" s="50">
        <f t="shared" ref="AB71:AB73" si="190">L71-AQ71</f>
        <v>41472</v>
      </c>
      <c r="AC71" s="50">
        <f t="shared" ref="AC71:AC73" si="191">M71-AR71</f>
        <v>20736</v>
      </c>
      <c r="AD71" s="50">
        <f t="shared" ref="AD71:AD73" si="192">N71-AS71</f>
        <v>62208</v>
      </c>
      <c r="AE71" s="50">
        <f t="shared" ref="AE71:AE73" si="193">O71-AT71</f>
        <v>0</v>
      </c>
      <c r="AG71" s="405" t="s">
        <v>32</v>
      </c>
      <c r="AH71" t="s">
        <v>196</v>
      </c>
      <c r="AI71" s="112" t="s">
        <v>1348</v>
      </c>
      <c r="AJ71" s="112" t="s">
        <v>1348</v>
      </c>
      <c r="AK71" s="112" t="s">
        <v>1348</v>
      </c>
      <c r="AL71" s="112">
        <v>80000</v>
      </c>
      <c r="AM71" s="112">
        <v>80000</v>
      </c>
      <c r="AN71" s="112">
        <v>80000</v>
      </c>
      <c r="AO71" s="112">
        <v>80000</v>
      </c>
      <c r="AP71" s="112">
        <v>60000</v>
      </c>
      <c r="AQ71" s="112">
        <v>20000</v>
      </c>
      <c r="AR71" s="112">
        <v>20000</v>
      </c>
      <c r="AS71" s="112">
        <v>40000</v>
      </c>
      <c r="AT71" s="112">
        <v>20000</v>
      </c>
    </row>
    <row r="72" spans="1:46">
      <c r="A72" s="157"/>
      <c r="B72" s="111"/>
      <c r="C72" t="s">
        <v>12</v>
      </c>
      <c r="D72" s="112">
        <f>SUMIF('MRF3 Demand'!$D:$D,"=EFW",'MRF3 Demand'!G:G)</f>
        <v>22795</v>
      </c>
      <c r="E72" s="112">
        <f>SUMIF('MRF3 Demand'!$D:$D,"=EFW",'MRF3 Demand'!H:H)</f>
        <v>29463</v>
      </c>
      <c r="F72" s="112">
        <f>SUMIF('MRF3 Demand'!$D:$D,"=EFW",'MRF3 Demand'!I:I)</f>
        <v>44635.670000000006</v>
      </c>
      <c r="G72" s="112">
        <f>SUMIF('MRF3 Demand'!$D:$D,"=EFW",'MRF3 Demand'!J:J)</f>
        <v>42589.899999999994</v>
      </c>
      <c r="H72" s="112">
        <f>SUMIF('MRF3 Demand'!$D:$D,"=EFW",'MRF3 Demand'!K:K)</f>
        <v>56981.03</v>
      </c>
      <c r="I72" s="112">
        <f>SUMIF('MRF3 Demand'!$D:$D,"=EFW",'MRF3 Demand'!L:L)</f>
        <v>67702.679999999993</v>
      </c>
      <c r="J72" s="112">
        <f>SUMIF('MRF3 Demand'!$D:$D,"=EFW",'MRF3 Demand'!M:M)</f>
        <v>51121.03</v>
      </c>
      <c r="K72" s="112">
        <f>SUMIF('MRF3 Demand'!$D:$D,"=EFW",'MRF3 Demand'!N:N)</f>
        <v>58712.679999999993</v>
      </c>
      <c r="L72" s="112">
        <f>SUMIF('MRF3 Demand'!$D:$D,"=EFW",'MRF3 Demand'!O:O)</f>
        <v>45622.28</v>
      </c>
      <c r="M72" s="112">
        <f>SUMIF('MRF3 Demand'!$D:$D,"=EFW",'MRF3 Demand'!P:P)</f>
        <v>34868.33</v>
      </c>
      <c r="N72" s="112">
        <f>SUMIF('MRF3 Demand'!$D:$D,"=EFW",'MRF3 Demand'!Q:Q)</f>
        <v>36148.53</v>
      </c>
      <c r="O72" s="112">
        <f>SUMIF('MRF3 Demand'!$D:$D,"=EFW",'MRF3 Demand'!R:R)</f>
        <v>30585.18</v>
      </c>
      <c r="P72" s="325"/>
      <c r="Q72" s="58" t="s">
        <v>753</v>
      </c>
      <c r="R72" s="398">
        <f>K74-R71</f>
        <v>117.39423083015521</v>
      </c>
      <c r="S72" s="94"/>
      <c r="T72" s="50">
        <f>D72-AI72</f>
        <v>0</v>
      </c>
      <c r="U72" s="50">
        <f t="shared" si="183"/>
        <v>-6024</v>
      </c>
      <c r="V72" s="50">
        <f t="shared" si="184"/>
        <v>-2533.3299999999945</v>
      </c>
      <c r="W72" s="50">
        <f t="shared" si="185"/>
        <v>-5223.1000000000058</v>
      </c>
      <c r="X72" s="50">
        <f t="shared" si="186"/>
        <v>-6505.9700000000012</v>
      </c>
      <c r="Y72" s="50">
        <f t="shared" si="187"/>
        <v>-6907.320000000007</v>
      </c>
      <c r="Z72" s="50">
        <f t="shared" si="188"/>
        <v>-5993.9700000000012</v>
      </c>
      <c r="AA72" s="50">
        <f t="shared" si="189"/>
        <v>-6363.320000000007</v>
      </c>
      <c r="AB72" s="50">
        <f t="shared" si="190"/>
        <v>-3837.7200000000012</v>
      </c>
      <c r="AC72" s="50">
        <f t="shared" si="191"/>
        <v>-2499.6699999999983</v>
      </c>
      <c r="AD72" s="50">
        <f t="shared" si="192"/>
        <v>-998.47000000000116</v>
      </c>
      <c r="AE72" s="50">
        <f t="shared" si="193"/>
        <v>-1170.8199999999997</v>
      </c>
      <c r="AG72" s="111"/>
      <c r="AH72" t="s">
        <v>12</v>
      </c>
      <c r="AI72" s="112">
        <v>22795</v>
      </c>
      <c r="AJ72" s="112">
        <v>35487</v>
      </c>
      <c r="AK72" s="112">
        <v>47169</v>
      </c>
      <c r="AL72" s="112">
        <v>47813</v>
      </c>
      <c r="AM72" s="112">
        <v>63487</v>
      </c>
      <c r="AN72" s="112">
        <v>74610</v>
      </c>
      <c r="AO72" s="112">
        <v>57115</v>
      </c>
      <c r="AP72" s="112">
        <v>65076</v>
      </c>
      <c r="AQ72" s="112">
        <v>49460</v>
      </c>
      <c r="AR72" s="112">
        <v>37368</v>
      </c>
      <c r="AS72" s="112">
        <v>37147</v>
      </c>
      <c r="AT72" s="112">
        <v>31756</v>
      </c>
    </row>
    <row r="73" spans="1:46" ht="19.5" thickBot="1">
      <c r="A73" s="977"/>
      <c r="B73" s="148" t="s">
        <v>754</v>
      </c>
      <c r="C73" s="972">
        <v>133088</v>
      </c>
      <c r="D73" s="1005">
        <v>110146</v>
      </c>
      <c r="E73" s="1004">
        <v>79919</v>
      </c>
      <c r="F73" s="150">
        <f t="shared" ref="F73" si="194">E73+F71-F72</f>
        <v>35523.329999999994</v>
      </c>
      <c r="G73" s="150">
        <f t="shared" ref="G73" si="195">F73+G71-G72</f>
        <v>11595.830000000002</v>
      </c>
      <c r="H73" s="150">
        <f t="shared" ref="H73" si="196">G73+H71-H72</f>
        <v>-3913.1999999999971</v>
      </c>
      <c r="I73" s="150">
        <f t="shared" ref="I73" si="197">H73+I71-I72</f>
        <v>49856.12000000001</v>
      </c>
      <c r="J73" s="150">
        <f t="shared" ref="J73:O73" si="198">I73+J71-J72</f>
        <v>140943.09</v>
      </c>
      <c r="K73" s="150">
        <f t="shared" si="198"/>
        <v>204438.40999999997</v>
      </c>
      <c r="L73" s="150">
        <f t="shared" si="198"/>
        <v>220288.12999999998</v>
      </c>
      <c r="M73" s="150">
        <f t="shared" si="198"/>
        <v>226155.8</v>
      </c>
      <c r="N73" s="150">
        <f t="shared" si="198"/>
        <v>292215.27</v>
      </c>
      <c r="O73" s="151">
        <f t="shared" si="198"/>
        <v>281630.09000000003</v>
      </c>
      <c r="P73" s="327"/>
      <c r="Q73" s="193" t="s">
        <v>755</v>
      </c>
      <c r="R73" s="399">
        <f>R72*(SUM(L72:M72)/60)-S73</f>
        <v>57485.554166666669</v>
      </c>
      <c r="S73" s="497">
        <v>100000</v>
      </c>
      <c r="T73" s="50">
        <f>D73-AI73</f>
        <v>0</v>
      </c>
      <c r="U73" s="50">
        <f t="shared" si="183"/>
        <v>5260</v>
      </c>
      <c r="V73" s="50">
        <f t="shared" si="184"/>
        <v>8033.3299999999945</v>
      </c>
      <c r="W73" s="50">
        <f t="shared" si="185"/>
        <v>-48081.17</v>
      </c>
      <c r="X73" s="50">
        <f t="shared" si="186"/>
        <v>-80103.199999999997</v>
      </c>
      <c r="Y73" s="50">
        <f t="shared" si="187"/>
        <v>-31724.87999999999</v>
      </c>
      <c r="Z73" s="50">
        <f t="shared" si="188"/>
        <v>36477.089999999997</v>
      </c>
      <c r="AA73" s="50">
        <f t="shared" si="189"/>
        <v>105048.40999999997</v>
      </c>
      <c r="AB73" s="50">
        <f t="shared" si="190"/>
        <v>150358.12999999998</v>
      </c>
      <c r="AC73" s="50">
        <f t="shared" si="191"/>
        <v>173592.8</v>
      </c>
      <c r="AD73" s="50">
        <f t="shared" si="192"/>
        <v>236800.27000000002</v>
      </c>
      <c r="AE73" s="50">
        <f t="shared" si="193"/>
        <v>237971.09000000003</v>
      </c>
      <c r="AG73" s="148" t="s">
        <v>754</v>
      </c>
      <c r="AH73" s="972">
        <v>133088</v>
      </c>
      <c r="AI73" s="1005">
        <v>110146</v>
      </c>
      <c r="AJ73" s="150">
        <v>74659</v>
      </c>
      <c r="AK73" s="150">
        <v>27490</v>
      </c>
      <c r="AL73" s="150">
        <v>59677</v>
      </c>
      <c r="AM73" s="150">
        <v>76190</v>
      </c>
      <c r="AN73" s="150">
        <v>81581</v>
      </c>
      <c r="AO73" s="150">
        <v>104466</v>
      </c>
      <c r="AP73" s="150">
        <v>99390</v>
      </c>
      <c r="AQ73" s="150">
        <v>69930</v>
      </c>
      <c r="AR73" s="150">
        <v>52563</v>
      </c>
      <c r="AS73" s="150">
        <v>55415</v>
      </c>
      <c r="AT73" s="151">
        <v>43659</v>
      </c>
    </row>
    <row r="74" spans="1:46">
      <c r="C74" t="s">
        <v>756</v>
      </c>
      <c r="D74" s="190">
        <f t="shared" ref="D74:M74" si="199">D73/(SUM(E72:F72)/60)</f>
        <v>89.188645356252664</v>
      </c>
      <c r="E74" s="190">
        <f t="shared" si="199"/>
        <v>54.974017366696479</v>
      </c>
      <c r="F74" s="190">
        <f t="shared" si="199"/>
        <v>21.405844055087158</v>
      </c>
      <c r="G74" s="190">
        <f t="shared" si="199"/>
        <v>5.5801178838839505</v>
      </c>
      <c r="H74" s="190">
        <f t="shared" si="199"/>
        <v>-1.9759692741457058</v>
      </c>
      <c r="I74" s="190">
        <f t="shared" si="199"/>
        <v>27.235419799622544</v>
      </c>
      <c r="J74" s="190">
        <f t="shared" si="199"/>
        <v>81.052270494952026</v>
      </c>
      <c r="K74" s="190">
        <f t="shared" si="199"/>
        <v>152.39423083015521</v>
      </c>
      <c r="L74" s="190">
        <f t="shared" si="199"/>
        <v>186.114787389924</v>
      </c>
      <c r="M74" s="190">
        <f t="shared" si="199"/>
        <v>203.33573541767723</v>
      </c>
      <c r="N74" s="190">
        <f>N73/(SUM(O72,D72)/60)</f>
        <v>328.45367325475485</v>
      </c>
      <c r="O74" s="190">
        <f>O73/(SUM(D72,E72)/60)</f>
        <v>323.35346549810555</v>
      </c>
      <c r="Q74" s="58" t="s">
        <v>757</v>
      </c>
      <c r="R74" s="400">
        <f>R73/SUM(G72:K72)</f>
        <v>0.20744870314745451</v>
      </c>
      <c r="S74" s="95"/>
      <c r="AF74" s="50"/>
      <c r="AH74" t="s">
        <v>756</v>
      </c>
      <c r="AI74" s="190">
        <v>80</v>
      </c>
      <c r="AJ74" s="190">
        <v>47.2</v>
      </c>
      <c r="AK74" s="190">
        <v>14.8</v>
      </c>
      <c r="AL74" s="190">
        <v>25.9</v>
      </c>
      <c r="AM74" s="190">
        <v>34.700000000000003</v>
      </c>
      <c r="AN74" s="190">
        <v>40.1</v>
      </c>
      <c r="AO74" s="190">
        <v>54.7</v>
      </c>
      <c r="AP74" s="190">
        <v>68.7</v>
      </c>
      <c r="AQ74" s="190">
        <v>56.3</v>
      </c>
      <c r="AR74" s="190">
        <v>45.8</v>
      </c>
      <c r="AS74" s="190">
        <v>61</v>
      </c>
      <c r="AT74" s="190">
        <v>44.9</v>
      </c>
    </row>
    <row r="75" spans="1:46">
      <c r="C75" t="s">
        <v>719</v>
      </c>
      <c r="G75" s="248">
        <v>100000</v>
      </c>
      <c r="H75" s="112"/>
      <c r="I75" s="112"/>
      <c r="J75" s="112"/>
      <c r="K75" s="248">
        <v>75000</v>
      </c>
      <c r="L75" s="112"/>
      <c r="M75" s="112"/>
      <c r="N75" s="112"/>
      <c r="O75" s="248">
        <v>75000</v>
      </c>
      <c r="AH75" t="s">
        <v>719</v>
      </c>
      <c r="AL75" s="248">
        <v>100000</v>
      </c>
      <c r="AM75" s="112"/>
      <c r="AN75" s="112"/>
      <c r="AO75" s="112"/>
      <c r="AP75" s="248">
        <v>75000</v>
      </c>
      <c r="AQ75" s="112"/>
      <c r="AR75" s="112"/>
      <c r="AS75" s="112"/>
      <c r="AT75" s="248">
        <v>75000</v>
      </c>
    </row>
    <row r="76" spans="1:46" ht="15.75" thickBot="1">
      <c r="D76" s="112"/>
      <c r="E76" s="112"/>
      <c r="F76" s="112"/>
      <c r="G76" s="112">
        <f>G73-G75</f>
        <v>-88404.17</v>
      </c>
      <c r="H76" s="112"/>
      <c r="I76" s="112"/>
      <c r="J76" s="112"/>
      <c r="K76" s="112">
        <f>K73-K75</f>
        <v>129438.40999999997</v>
      </c>
      <c r="L76" s="112"/>
      <c r="M76" s="112"/>
      <c r="N76" s="112"/>
      <c r="O76" s="112">
        <f>O73-O75</f>
        <v>206630.09000000003</v>
      </c>
      <c r="AI76" s="112"/>
      <c r="AJ76" s="112"/>
      <c r="AK76" s="112"/>
      <c r="AL76" s="112">
        <v>-40323</v>
      </c>
      <c r="AM76" s="112"/>
      <c r="AN76" s="112"/>
      <c r="AO76" s="112"/>
      <c r="AP76" s="112">
        <v>24390</v>
      </c>
      <c r="AQ76" s="112"/>
      <c r="AR76" s="112"/>
      <c r="AS76" s="112"/>
      <c r="AT76" s="112">
        <v>-31341</v>
      </c>
    </row>
    <row r="77" spans="1:46">
      <c r="A77" s="328"/>
      <c r="B77" s="108"/>
      <c r="C77" s="200"/>
      <c r="D77" s="109" t="s">
        <v>68</v>
      </c>
      <c r="E77" s="109" t="s">
        <v>69</v>
      </c>
      <c r="F77" s="109" t="s">
        <v>70</v>
      </c>
      <c r="G77" s="109" t="s">
        <v>71</v>
      </c>
      <c r="H77" s="109" t="s">
        <v>72</v>
      </c>
      <c r="I77" s="109" t="s">
        <v>73</v>
      </c>
      <c r="J77" s="109" t="s">
        <v>74</v>
      </c>
      <c r="K77" s="109" t="s">
        <v>75</v>
      </c>
      <c r="L77" s="109" t="s">
        <v>76</v>
      </c>
      <c r="M77" s="109" t="s">
        <v>77</v>
      </c>
      <c r="N77" s="109" t="s">
        <v>78</v>
      </c>
      <c r="O77" s="110" t="s">
        <v>79</v>
      </c>
      <c r="AG77" s="108"/>
      <c r="AH77" s="200"/>
      <c r="AI77" s="109" t="s">
        <v>68</v>
      </c>
      <c r="AJ77" s="109" t="s">
        <v>69</v>
      </c>
      <c r="AK77" s="109" t="s">
        <v>70</v>
      </c>
      <c r="AL77" s="109" t="s">
        <v>71</v>
      </c>
      <c r="AM77" s="109" t="s">
        <v>72</v>
      </c>
      <c r="AN77" s="109" t="s">
        <v>73</v>
      </c>
      <c r="AO77" s="109" t="s">
        <v>74</v>
      </c>
      <c r="AP77" s="109" t="s">
        <v>75</v>
      </c>
      <c r="AQ77" s="109" t="s">
        <v>76</v>
      </c>
      <c r="AR77" s="109" t="s">
        <v>77</v>
      </c>
      <c r="AS77" s="109" t="s">
        <v>78</v>
      </c>
      <c r="AT77" s="110" t="s">
        <v>79</v>
      </c>
    </row>
    <row r="78" spans="1:46">
      <c r="A78" s="976" t="s">
        <v>1340</v>
      </c>
      <c r="B78" s="405" t="s">
        <v>33</v>
      </c>
      <c r="C78" t="s">
        <v>196</v>
      </c>
      <c r="D78" s="112">
        <f>SUMIF('Cases post Attain'!$A:$A,"=ESS",'Cases post Attain'!D:D)</f>
        <v>144534</v>
      </c>
      <c r="E78" s="112">
        <f>SUMIF('Cases post Attain'!$A:$A,"=ESS",'Cases post Attain'!E:E)</f>
        <v>98921</v>
      </c>
      <c r="F78" s="112">
        <f>SUMIF('Cases post Attain'!$A:$A,"=ESS",'Cases post Attain'!F:F)</f>
        <v>149406.24</v>
      </c>
      <c r="G78" s="112">
        <f>SUMIF('Cases post Attain'!$A:$A,"=ESS",'Cases post Attain'!G:G)</f>
        <v>209183.27703703698</v>
      </c>
      <c r="H78" s="112">
        <f>SUMIF('Cases post Attain'!$A:$A,"=ESS",'Cases post Attain'!H:H)</f>
        <v>311931.51999999996</v>
      </c>
      <c r="I78" s="121">
        <f>SUMIF('Cases post Attain'!$A:$A,"=ESS",'Cases post Attain'!I:I)</f>
        <v>264733.35703703697</v>
      </c>
      <c r="J78" s="112">
        <f>SUMIF('Cases post Attain'!$A:$A,"=ESS",'Cases post Attain'!J:J)</f>
        <v>137425.25703703699</v>
      </c>
      <c r="K78" s="112">
        <f>SUMIF('Cases post Attain'!$A:$A,"=ESS",'Cases post Attain'!K:K)</f>
        <v>179524.137037037</v>
      </c>
      <c r="L78" s="112">
        <f>SUMIF('Cases post Attain'!$A:$A,"=ESS",'Cases post Attain'!L:L)</f>
        <v>167898.15703703699</v>
      </c>
      <c r="M78" s="112">
        <f>SUMIF('Cases post Attain'!$A:$A,"=ESS",'Cases post Attain'!M:M)</f>
        <v>146579.59703703699</v>
      </c>
      <c r="N78" s="112">
        <f>SUMIF('Cases post Attain'!$A:$A,"=ESS",'Cases post Attain'!N:N)</f>
        <v>148032.77037037042</v>
      </c>
      <c r="O78" s="112">
        <f>SUMIF('Cases post Attain'!$A:$A,"=ESS",'Cases post Attain'!O:O)</f>
        <v>81312.770370370403</v>
      </c>
      <c r="P78" s="128"/>
      <c r="Q78" s="192" t="s">
        <v>752</v>
      </c>
      <c r="R78" s="397">
        <v>35</v>
      </c>
      <c r="S78" s="94"/>
      <c r="T78" s="50">
        <f>D78-AI78</f>
        <v>0</v>
      </c>
      <c r="U78" s="50">
        <f t="shared" ref="U78:U80" si="200">E78-AJ78</f>
        <v>9104</v>
      </c>
      <c r="V78" s="50">
        <f t="shared" ref="V78:V80" si="201">F78-AK78</f>
        <v>-7301.7600000000093</v>
      </c>
      <c r="W78" s="50">
        <f t="shared" ref="W78:W80" si="202">G78-AL78</f>
        <v>-134241.72296296302</v>
      </c>
      <c r="X78" s="50">
        <f t="shared" ref="X78:X80" si="203">H78-AM78</f>
        <v>91456.51999999996</v>
      </c>
      <c r="Y78" s="50">
        <f t="shared" ref="Y78:Y80" si="204">I78-AN78</f>
        <v>52025.357037036971</v>
      </c>
      <c r="Z78" s="50">
        <f t="shared" ref="Z78:Z80" si="205">J78-AO78</f>
        <v>-24452.742962963006</v>
      </c>
      <c r="AA78" s="50">
        <f t="shared" ref="AA78:AA80" si="206">K78-AP78</f>
        <v>-19049.862962963001</v>
      </c>
      <c r="AB78" s="50">
        <f t="shared" ref="AB78:AB80" si="207">L78-AQ78</f>
        <v>20148.157037036988</v>
      </c>
      <c r="AC78" s="50">
        <f t="shared" ref="AC78:AC80" si="208">M78-AR78</f>
        <v>45523.597037036991</v>
      </c>
      <c r="AD78" s="50">
        <f t="shared" ref="AD78:AD80" si="209">N78-AS78</f>
        <v>-3997.2296296295826</v>
      </c>
      <c r="AE78" s="50">
        <f t="shared" ref="AE78:AE80" si="210">O78-AT78</f>
        <v>-17387.229629629597</v>
      </c>
      <c r="AG78" s="405" t="s">
        <v>33</v>
      </c>
      <c r="AH78" t="s">
        <v>196</v>
      </c>
      <c r="AI78" s="112">
        <v>144534</v>
      </c>
      <c r="AJ78" s="112">
        <v>89817</v>
      </c>
      <c r="AK78" s="112">
        <v>156708</v>
      </c>
      <c r="AL78" s="112">
        <v>343425</v>
      </c>
      <c r="AM78" s="112">
        <v>220475</v>
      </c>
      <c r="AN78" s="121">
        <v>212708</v>
      </c>
      <c r="AO78" s="112">
        <v>161878</v>
      </c>
      <c r="AP78" s="112">
        <v>198574</v>
      </c>
      <c r="AQ78" s="112">
        <v>147750</v>
      </c>
      <c r="AR78" s="112">
        <v>101056</v>
      </c>
      <c r="AS78" s="112">
        <v>152030</v>
      </c>
      <c r="AT78" s="112">
        <v>98700</v>
      </c>
    </row>
    <row r="79" spans="1:46">
      <c r="B79" s="111"/>
      <c r="C79" t="s">
        <v>12</v>
      </c>
      <c r="D79" s="112">
        <f>SUMIF('MRF3 Demand'!$D:$D,"=ESS",'MRF3 Demand'!G:G)</f>
        <v>106496</v>
      </c>
      <c r="E79" s="112">
        <f>SUMIF('MRF3 Demand'!$D:$D,"=ESS",'MRF3 Demand'!H:H)</f>
        <v>130703</v>
      </c>
      <c r="F79" s="112">
        <f>SUMIF('MRF3 Demand'!$D:$D,"=ESS",'MRF3 Demand'!I:I)</f>
        <v>154078.31000000003</v>
      </c>
      <c r="G79" s="112">
        <f>SUMIF('MRF3 Demand'!$D:$D,"=ESS",'MRF3 Demand'!J:J)</f>
        <v>144616.50999999998</v>
      </c>
      <c r="H79" s="112">
        <f>SUMIF('MRF3 Demand'!$D:$D,"=ESS",'MRF3 Demand'!K:K)</f>
        <v>180385.89782188743</v>
      </c>
      <c r="I79" s="112">
        <f>SUMIF('MRF3 Demand'!$D:$D,"=ESS",'MRF3 Demand'!L:L)</f>
        <v>201558.96999999997</v>
      </c>
      <c r="J79" s="112">
        <f>SUMIF('MRF3 Demand'!$D:$D,"=ESS",'MRF3 Demand'!M:M)</f>
        <v>171708.21000000002</v>
      </c>
      <c r="K79" s="112">
        <f>SUMIF('MRF3 Demand'!$D:$D,"=ESS",'MRF3 Demand'!N:N)</f>
        <v>160815.87000000002</v>
      </c>
      <c r="L79" s="112">
        <f>SUMIF('MRF3 Demand'!$D:$D,"=ESS",'MRF3 Demand'!O:O)</f>
        <v>136691.81050911822</v>
      </c>
      <c r="M79" s="112">
        <f>SUMIF('MRF3 Demand'!$D:$D,"=ESS",'MRF3 Demand'!P:P)</f>
        <v>120047.24920842116</v>
      </c>
      <c r="N79" s="112">
        <f>SUMIF('MRF3 Demand'!$D:$D,"=ESS",'MRF3 Demand'!Q:Q)</f>
        <v>103659.31002226254</v>
      </c>
      <c r="O79" s="112">
        <f>SUMIF('MRF3 Demand'!$D:$D,"=ESS",'MRF3 Demand'!R:R)</f>
        <v>98628.957454934221</v>
      </c>
      <c r="P79" s="325"/>
      <c r="Q79" s="58" t="s">
        <v>753</v>
      </c>
      <c r="R79" s="398">
        <f>K81-R78</f>
        <v>90.340730214480971</v>
      </c>
      <c r="S79" s="94"/>
      <c r="T79" s="50">
        <f>D79-AI79</f>
        <v>0</v>
      </c>
      <c r="U79" s="50">
        <f t="shared" si="200"/>
        <v>25184</v>
      </c>
      <c r="V79" s="50">
        <f t="shared" si="201"/>
        <v>-1245.6899999999732</v>
      </c>
      <c r="W79" s="50">
        <f t="shared" si="202"/>
        <v>-4281.4900000000198</v>
      </c>
      <c r="X79" s="50">
        <f t="shared" si="203"/>
        <v>-3790.1021781125746</v>
      </c>
      <c r="Y79" s="50">
        <f t="shared" si="204"/>
        <v>-4750.0300000000279</v>
      </c>
      <c r="Z79" s="50">
        <f t="shared" si="205"/>
        <v>-12753.789999999979</v>
      </c>
      <c r="AA79" s="50">
        <f t="shared" si="206"/>
        <v>-1655.1299999999756</v>
      </c>
      <c r="AB79" s="50">
        <f t="shared" si="207"/>
        <v>-3335.1894908817776</v>
      </c>
      <c r="AC79" s="50">
        <f t="shared" si="208"/>
        <v>-1314.7507915788447</v>
      </c>
      <c r="AD79" s="50">
        <f t="shared" si="209"/>
        <v>-3735.6899777374638</v>
      </c>
      <c r="AE79" s="50">
        <f t="shared" si="210"/>
        <v>-5892.0425450657785</v>
      </c>
      <c r="AG79" s="111"/>
      <c r="AH79" t="s">
        <v>12</v>
      </c>
      <c r="AI79" s="112">
        <v>106496</v>
      </c>
      <c r="AJ79" s="112">
        <v>105519</v>
      </c>
      <c r="AK79" s="112">
        <v>155324</v>
      </c>
      <c r="AL79" s="112">
        <v>148898</v>
      </c>
      <c r="AM79" s="112">
        <v>184176</v>
      </c>
      <c r="AN79" s="112">
        <v>206309</v>
      </c>
      <c r="AO79" s="112">
        <v>184462</v>
      </c>
      <c r="AP79" s="112">
        <v>162471</v>
      </c>
      <c r="AQ79" s="112">
        <v>140027</v>
      </c>
      <c r="AR79" s="112">
        <v>121362</v>
      </c>
      <c r="AS79" s="112">
        <v>107395</v>
      </c>
      <c r="AT79" s="112">
        <v>104521</v>
      </c>
    </row>
    <row r="80" spans="1:46" ht="19.5" thickBot="1">
      <c r="A80" s="977"/>
      <c r="B80" s="148" t="s">
        <v>754</v>
      </c>
      <c r="C80" s="972">
        <v>292537</v>
      </c>
      <c r="D80" s="1005">
        <v>321159</v>
      </c>
      <c r="E80" s="1004">
        <v>297291</v>
      </c>
      <c r="F80" s="150">
        <f t="shared" ref="F80" si="211">E80+F78-F79</f>
        <v>292618.92999999993</v>
      </c>
      <c r="G80" s="150">
        <f t="shared" ref="G80" si="212">F80+G78-G79</f>
        <v>357185.69703703688</v>
      </c>
      <c r="H80" s="150">
        <f t="shared" ref="H80" si="213">G80+H78-H79</f>
        <v>488731.31921514939</v>
      </c>
      <c r="I80" s="150">
        <f t="shared" ref="I80" si="214">H80+I78-I79</f>
        <v>551905.70625218633</v>
      </c>
      <c r="J80" s="150">
        <f t="shared" ref="J80" si="215">I80+J78-J79</f>
        <v>517622.75328922336</v>
      </c>
      <c r="K80" s="150">
        <f t="shared" ref="K80" si="216">J80+K78-K79</f>
        <v>536331.02032626036</v>
      </c>
      <c r="L80" s="150">
        <f t="shared" ref="L80" si="217">K80+L78-L79</f>
        <v>567537.36685417907</v>
      </c>
      <c r="M80" s="150">
        <f t="shared" ref="M80" si="218">L80+M78-M79</f>
        <v>594069.71468279487</v>
      </c>
      <c r="N80" s="150">
        <f t="shared" ref="N80" si="219">M80+N78-N79</f>
        <v>638443.17503090284</v>
      </c>
      <c r="O80" s="150">
        <f t="shared" ref="O80" si="220">N80+O78-O79</f>
        <v>621126.98794633895</v>
      </c>
      <c r="P80" s="327"/>
      <c r="Q80" s="193" t="s">
        <v>755</v>
      </c>
      <c r="R80" s="399">
        <f>R79*(SUM(L79:M79)/60)</f>
        <v>386566.56882436242</v>
      </c>
      <c r="S80" s="158"/>
      <c r="T80" s="50">
        <f>D80-AI80</f>
        <v>0</v>
      </c>
      <c r="U80" s="50">
        <f t="shared" si="200"/>
        <v>-8167</v>
      </c>
      <c r="V80" s="50">
        <f t="shared" si="201"/>
        <v>-14222.070000000065</v>
      </c>
      <c r="W80" s="50">
        <f t="shared" si="202"/>
        <v>-144182.30296296312</v>
      </c>
      <c r="X80" s="50">
        <f t="shared" si="203"/>
        <v>-48935.680784850614</v>
      </c>
      <c r="Y80" s="50">
        <f t="shared" si="204"/>
        <v>7838.7062521863263</v>
      </c>
      <c r="Z80" s="50">
        <f t="shared" si="205"/>
        <v>-3860.2467107766424</v>
      </c>
      <c r="AA80" s="50">
        <f t="shared" si="206"/>
        <v>-21254.979673739639</v>
      </c>
      <c r="AB80" s="50">
        <f t="shared" si="207"/>
        <v>2228.3668541790685</v>
      </c>
      <c r="AC80" s="50">
        <f t="shared" si="208"/>
        <v>49066.714682794875</v>
      </c>
      <c r="AD80" s="50">
        <f t="shared" si="209"/>
        <v>48805.175030902843</v>
      </c>
      <c r="AE80" s="50">
        <f t="shared" si="210"/>
        <v>37308.987946338952</v>
      </c>
      <c r="AG80" s="148" t="s">
        <v>754</v>
      </c>
      <c r="AH80" s="972">
        <v>292537</v>
      </c>
      <c r="AI80" s="1005">
        <v>321159</v>
      </c>
      <c r="AJ80" s="150">
        <v>305458</v>
      </c>
      <c r="AK80" s="150">
        <v>306841</v>
      </c>
      <c r="AL80" s="150">
        <v>501368</v>
      </c>
      <c r="AM80" s="150">
        <v>537667</v>
      </c>
      <c r="AN80" s="150">
        <v>544067</v>
      </c>
      <c r="AO80" s="150">
        <v>521483</v>
      </c>
      <c r="AP80" s="150">
        <v>557586</v>
      </c>
      <c r="AQ80" s="150">
        <v>565309</v>
      </c>
      <c r="AR80" s="150">
        <v>545003</v>
      </c>
      <c r="AS80" s="150">
        <v>589638</v>
      </c>
      <c r="AT80" s="150">
        <v>583818</v>
      </c>
    </row>
    <row r="81" spans="1:46">
      <c r="C81" t="s">
        <v>756</v>
      </c>
      <c r="D81" s="190">
        <f t="shared" ref="D81:M81" si="221">D80/(SUM(E79:F79)/60)</f>
        <v>67.664342157847358</v>
      </c>
      <c r="E81" s="190">
        <f t="shared" si="221"/>
        <v>59.718009170698032</v>
      </c>
      <c r="F81" s="190">
        <f t="shared" si="221"/>
        <v>54.021556079122703</v>
      </c>
      <c r="G81" s="190">
        <f t="shared" si="221"/>
        <v>56.110563664429741</v>
      </c>
      <c r="H81" s="190">
        <f t="shared" si="221"/>
        <v>78.560025429797932</v>
      </c>
      <c r="I81" s="190">
        <f t="shared" si="221"/>
        <v>99.584795107563863</v>
      </c>
      <c r="J81" s="190">
        <f t="shared" si="221"/>
        <v>104.39180979867689</v>
      </c>
      <c r="K81" s="190">
        <f t="shared" si="221"/>
        <v>125.34073021448097</v>
      </c>
      <c r="L81" s="190">
        <f t="shared" si="221"/>
        <v>152.21834410378844</v>
      </c>
      <c r="M81" s="190">
        <f t="shared" si="221"/>
        <v>176.20489475488606</v>
      </c>
      <c r="N81" s="190">
        <f>N80/(SUM(O79,D79)/60)</f>
        <v>186.74758536035333</v>
      </c>
      <c r="O81" s="190">
        <f>O80/(SUM(D79,E79)/60)</f>
        <v>157.11541480689354</v>
      </c>
      <c r="P81" s="327"/>
      <c r="Q81" s="58" t="s">
        <v>757</v>
      </c>
      <c r="R81" s="400">
        <f>R80/SUM(G79:K79)</f>
        <v>0.44997452267956861</v>
      </c>
      <c r="S81" s="95"/>
      <c r="AF81" s="50"/>
      <c r="AH81" t="s">
        <v>756</v>
      </c>
      <c r="AI81" s="190">
        <v>73.900000000000006</v>
      </c>
      <c r="AJ81" s="190">
        <v>60.2</v>
      </c>
      <c r="AK81" s="190">
        <v>55.3</v>
      </c>
      <c r="AL81" s="190">
        <v>77</v>
      </c>
      <c r="AM81" s="190">
        <v>82.6</v>
      </c>
      <c r="AN81" s="190">
        <v>94.1</v>
      </c>
      <c r="AO81" s="190">
        <v>103.4</v>
      </c>
      <c r="AP81" s="190">
        <v>128</v>
      </c>
      <c r="AQ81" s="190">
        <v>148.30000000000001</v>
      </c>
      <c r="AR81" s="190">
        <v>154.30000000000001</v>
      </c>
      <c r="AS81" s="190">
        <v>167.7</v>
      </c>
      <c r="AT81" s="190">
        <v>165.2</v>
      </c>
    </row>
    <row r="82" spans="1:46">
      <c r="C82" t="s">
        <v>719</v>
      </c>
      <c r="G82" s="248">
        <v>700000</v>
      </c>
      <c r="H82" s="112"/>
      <c r="I82" s="112"/>
      <c r="J82" s="112"/>
      <c r="K82" s="248">
        <v>450000</v>
      </c>
      <c r="L82" s="112"/>
      <c r="M82" s="112"/>
      <c r="N82" s="112"/>
      <c r="O82" s="248">
        <v>400000</v>
      </c>
      <c r="AH82" t="s">
        <v>719</v>
      </c>
      <c r="AL82" s="248">
        <v>700000</v>
      </c>
      <c r="AM82" s="112"/>
      <c r="AN82" s="112"/>
      <c r="AO82" s="112"/>
      <c r="AP82" s="248">
        <v>450000</v>
      </c>
      <c r="AQ82" s="112"/>
      <c r="AR82" s="112"/>
      <c r="AS82" s="112"/>
      <c r="AT82" s="248">
        <v>400000</v>
      </c>
    </row>
    <row r="83" spans="1:46">
      <c r="D83" s="112"/>
      <c r="E83" s="112"/>
      <c r="F83" s="112"/>
      <c r="G83" s="112">
        <f>G80-G82</f>
        <v>-342814.30296296312</v>
      </c>
      <c r="H83" s="112"/>
      <c r="I83" s="112"/>
      <c r="J83" s="112"/>
      <c r="K83" s="112">
        <f>K80-K82</f>
        <v>86331.020326260361</v>
      </c>
      <c r="L83" s="112"/>
      <c r="M83" s="112"/>
      <c r="N83" s="112"/>
      <c r="O83" s="112">
        <f>O80-O82</f>
        <v>221126.98794633895</v>
      </c>
      <c r="AI83" s="112"/>
      <c r="AJ83" s="112"/>
      <c r="AK83" s="112"/>
      <c r="AL83" s="112">
        <v>-198632</v>
      </c>
      <c r="AM83" s="112"/>
      <c r="AN83" s="112"/>
      <c r="AO83" s="112"/>
      <c r="AP83" s="112">
        <v>107586</v>
      </c>
      <c r="AQ83" s="112"/>
      <c r="AR83" s="112"/>
      <c r="AS83" s="112"/>
      <c r="AT83" s="112">
        <v>183818</v>
      </c>
    </row>
    <row r="84" spans="1:46" ht="15.75" thickBot="1">
      <c r="F84" s="56"/>
      <c r="G84" s="56"/>
      <c r="H84" s="56"/>
      <c r="I84" s="394"/>
      <c r="J84" s="56"/>
      <c r="K84" s="56"/>
      <c r="L84" s="56"/>
      <c r="M84" s="56"/>
      <c r="N84" s="56"/>
      <c r="O84" s="56"/>
      <c r="AK84" s="56"/>
      <c r="AL84" s="56"/>
      <c r="AM84" s="56"/>
      <c r="AN84" s="394"/>
      <c r="AO84" s="56"/>
      <c r="AP84" s="56"/>
      <c r="AQ84" s="56"/>
      <c r="AR84" s="56"/>
      <c r="AS84" s="56"/>
      <c r="AT84" s="56"/>
    </row>
    <row r="85" spans="1:46">
      <c r="B85" s="108"/>
      <c r="C85" s="200"/>
      <c r="D85" s="109" t="s">
        <v>68</v>
      </c>
      <c r="E85" s="109" t="s">
        <v>69</v>
      </c>
      <c r="F85" s="109" t="s">
        <v>70</v>
      </c>
      <c r="G85" s="109" t="s">
        <v>71</v>
      </c>
      <c r="H85" s="109" t="s">
        <v>72</v>
      </c>
      <c r="I85" s="109" t="s">
        <v>73</v>
      </c>
      <c r="J85" s="109" t="s">
        <v>74</v>
      </c>
      <c r="K85" s="109" t="s">
        <v>75</v>
      </c>
      <c r="L85" s="109" t="s">
        <v>76</v>
      </c>
      <c r="M85" s="109" t="s">
        <v>77</v>
      </c>
      <c r="N85" s="109" t="s">
        <v>78</v>
      </c>
      <c r="O85" s="110" t="s">
        <v>79</v>
      </c>
      <c r="S85" s="204" t="s">
        <v>760</v>
      </c>
      <c r="AG85" s="108"/>
      <c r="AH85" s="200"/>
      <c r="AI85" s="109" t="s">
        <v>68</v>
      </c>
      <c r="AJ85" s="109" t="s">
        <v>69</v>
      </c>
      <c r="AK85" s="109" t="s">
        <v>70</v>
      </c>
      <c r="AL85" s="109" t="s">
        <v>71</v>
      </c>
      <c r="AM85" s="109" t="s">
        <v>72</v>
      </c>
      <c r="AN85" s="109" t="s">
        <v>73</v>
      </c>
      <c r="AO85" s="109" t="s">
        <v>74</v>
      </c>
      <c r="AP85" s="109" t="s">
        <v>75</v>
      </c>
      <c r="AQ85" s="109" t="s">
        <v>76</v>
      </c>
      <c r="AR85" s="109" t="s">
        <v>77</v>
      </c>
      <c r="AS85" s="109" t="s">
        <v>78</v>
      </c>
      <c r="AT85" s="110" t="s">
        <v>79</v>
      </c>
    </row>
    <row r="86" spans="1:46">
      <c r="A86" s="976" t="s">
        <v>1310</v>
      </c>
      <c r="B86" s="405" t="s">
        <v>35</v>
      </c>
      <c r="C86" t="s">
        <v>196</v>
      </c>
      <c r="D86" s="112">
        <f>SUMIF('Cases post Attain'!$A:$A,"=KL Mini Cones",'Cases post Attain'!D:D)</f>
        <v>3888</v>
      </c>
      <c r="E86" s="112">
        <f>SUMIF('Cases post Attain'!$A:$A,"=KL Mini Cones",'Cases post Attain'!E:E)</f>
        <v>13425</v>
      </c>
      <c r="F86" s="112">
        <f>SUMIF('Cases post Attain'!$A:$A,"=KL Mini Cones",'Cases post Attain'!F:F)</f>
        <v>14606.08</v>
      </c>
      <c r="G86" s="112">
        <f>SUMIF('Cases post Attain'!$A:$A,"=KL Mini Cones",'Cases post Attain'!G:G)</f>
        <v>161280</v>
      </c>
      <c r="H86" s="112">
        <f>SUMIF('Cases post Attain'!$A:$A,"=KL Mini Cones",'Cases post Attain'!H:H)</f>
        <v>59131.199999999997</v>
      </c>
      <c r="I86" s="112">
        <f>SUMIF('Cases post Attain'!$A:$A,"=KL Mini Cones",'Cases post Attain'!I:I)</f>
        <v>42240</v>
      </c>
      <c r="J86" s="112">
        <f>SUMIF('Cases post Attain'!$A:$A,"=KL Mini Cones",'Cases post Attain'!J:J)</f>
        <v>56448</v>
      </c>
      <c r="K86" s="112">
        <f>SUMIF('Cases post Attain'!$A:$A,"=KL Mini Cones",'Cases post Attain'!K:K)</f>
        <v>0</v>
      </c>
      <c r="L86" s="112">
        <f>SUMIF('Cases post Attain'!$A:$A,"=KL Mini Cones",'Cases post Attain'!L:L)</f>
        <v>0</v>
      </c>
      <c r="M86" s="112">
        <f>SUMIF('Cases post Attain'!$A:$A,"=KL Mini Cones",'Cases post Attain'!M:M)</f>
        <v>24504.959999999999</v>
      </c>
      <c r="N86" s="112">
        <f>SUMIF('Cases post Attain'!$A:$A,"=KL Mini Cones",'Cases post Attain'!N:N)</f>
        <v>0</v>
      </c>
      <c r="O86" s="112">
        <f>SUMIF('Cases post Attain'!$A:$A,"=KL Mini Cones",'Cases post Attain'!O:O)</f>
        <v>0</v>
      </c>
      <c r="Q86" s="192" t="s">
        <v>752</v>
      </c>
      <c r="R86" s="397">
        <v>60</v>
      </c>
      <c r="S86" s="314">
        <v>50000</v>
      </c>
      <c r="T86" s="50">
        <f>D86-AI86</f>
        <v>0</v>
      </c>
      <c r="U86" s="50">
        <f t="shared" ref="U86:U88" si="222">E86-AJ86</f>
        <v>-2800</v>
      </c>
      <c r="V86" s="50">
        <f t="shared" ref="V86:V88" si="223">F86-AK86</f>
        <v>-66394.92</v>
      </c>
      <c r="W86" s="50">
        <f t="shared" ref="W86:W88" si="224">G86-AL86</f>
        <v>97152</v>
      </c>
      <c r="X86" s="50">
        <f t="shared" ref="X86:X88" si="225">H86-AM86</f>
        <v>7387.1999999999971</v>
      </c>
      <c r="Y86" s="50">
        <f t="shared" ref="Y86:Y88" si="226">I86-AN86</f>
        <v>-14400</v>
      </c>
      <c r="Z86" s="50">
        <f t="shared" ref="Z86:Z88" si="227">J86-AO86</f>
        <v>0</v>
      </c>
      <c r="AA86" s="50">
        <f t="shared" ref="AA86:AA88" si="228">K86-AP86</f>
        <v>-24505</v>
      </c>
      <c r="AB86" s="50" t="e">
        <f t="shared" ref="AB86:AB88" si="229">L86-AQ86</f>
        <v>#VALUE!</v>
      </c>
      <c r="AC86" s="50">
        <f t="shared" ref="AC86:AC88" si="230">M86-AR86</f>
        <v>-4.0000000000873115E-2</v>
      </c>
      <c r="AD86" s="50" t="e">
        <f t="shared" ref="AD86:AD88" si="231">N86-AS86</f>
        <v>#VALUE!</v>
      </c>
      <c r="AE86" s="50" t="e">
        <f t="shared" ref="AE86:AE88" si="232">O86-AT86</f>
        <v>#VALUE!</v>
      </c>
      <c r="AG86" s="405" t="s">
        <v>35</v>
      </c>
      <c r="AH86" t="s">
        <v>196</v>
      </c>
      <c r="AI86" s="112">
        <v>3888</v>
      </c>
      <c r="AJ86" s="112">
        <v>16225</v>
      </c>
      <c r="AK86" s="112">
        <v>81001</v>
      </c>
      <c r="AL86" s="112">
        <v>64128</v>
      </c>
      <c r="AM86" s="112">
        <v>51744</v>
      </c>
      <c r="AN86" s="112">
        <v>56640</v>
      </c>
      <c r="AO86" s="112">
        <v>56448</v>
      </c>
      <c r="AP86" s="112">
        <v>24505</v>
      </c>
      <c r="AQ86" s="112" t="s">
        <v>1348</v>
      </c>
      <c r="AR86" s="112">
        <v>24505</v>
      </c>
      <c r="AS86" s="112" t="s">
        <v>1348</v>
      </c>
      <c r="AT86" s="112" t="s">
        <v>1348</v>
      </c>
    </row>
    <row r="87" spans="1:46">
      <c r="B87" s="111"/>
      <c r="C87" t="s">
        <v>12</v>
      </c>
      <c r="D87" s="112">
        <f>SUMIF('MRF3 Demand'!$D:$D,"=KL Mini Cones",'MRF3 Demand'!G:G)</f>
        <v>19665</v>
      </c>
      <c r="E87" s="112">
        <f>SUMIF('MRF3 Demand'!$D:$D,"=KL Mini Cones",'MRF3 Demand'!H:H)</f>
        <v>19358</v>
      </c>
      <c r="F87" s="112">
        <f>SUMIF('MRF3 Demand'!$D:$D,"=KL Mini Cones",'MRF3 Demand'!I:I)</f>
        <v>31119.787391095306</v>
      </c>
      <c r="G87" s="112">
        <f>SUMIF('MRF3 Demand'!$D:$D,"=KL Mini Cones",'MRF3 Demand'!J:J)</f>
        <v>36380.163431609726</v>
      </c>
      <c r="H87" s="112">
        <f>SUMIF('MRF3 Demand'!$D:$D,"=KL Mini Cones",'MRF3 Demand'!K:K)</f>
        <v>36605.025847164427</v>
      </c>
      <c r="I87" s="112">
        <f>SUMIF('MRF3 Demand'!$D:$D,"=KL Mini Cones",'MRF3 Demand'!L:L)</f>
        <v>40122.873581801556</v>
      </c>
      <c r="J87" s="112">
        <f>SUMIF('MRF3 Demand'!$D:$D,"=KL Mini Cones",'MRF3 Demand'!M:M)</f>
        <v>41783.8677408609</v>
      </c>
      <c r="K87" s="112">
        <f>SUMIF('MRF3 Demand'!$D:$D,"=KL Mini Cones",'MRF3 Demand'!N:N)</f>
        <v>30906.907572802174</v>
      </c>
      <c r="L87" s="112">
        <f>SUMIF('MRF3 Demand'!$D:$D,"=KL Mini Cones",'MRF3 Demand'!O:O)</f>
        <v>32951.639111908429</v>
      </c>
      <c r="M87" s="112">
        <f>SUMIF('MRF3 Demand'!$D:$D,"=KL Mini Cones",'MRF3 Demand'!P:P)</f>
        <v>26509.631864435407</v>
      </c>
      <c r="N87" s="112">
        <f>SUMIF('MRF3 Demand'!$D:$D,"=KL Mini Cones",'MRF3 Demand'!Q:Q)</f>
        <v>25169.984122710834</v>
      </c>
      <c r="O87" s="112">
        <f>SUMIF('MRF3 Demand'!$D:$D,"=KL Mini Cones",'MRF3 Demand'!R:R)</f>
        <v>23076.830260220311</v>
      </c>
      <c r="Q87" s="58" t="s">
        <v>753</v>
      </c>
      <c r="R87" s="398">
        <f>K89-R86</f>
        <v>342.36844711238092</v>
      </c>
      <c r="S87" s="94"/>
      <c r="T87" s="50">
        <f>D87-AI87</f>
        <v>0</v>
      </c>
      <c r="U87" s="50">
        <f t="shared" si="222"/>
        <v>-13024</v>
      </c>
      <c r="V87" s="50">
        <f t="shared" si="223"/>
        <v>-6675.2126089046942</v>
      </c>
      <c r="W87" s="50">
        <f t="shared" si="224"/>
        <v>-4011.8365683902739</v>
      </c>
      <c r="X87" s="50">
        <f t="shared" si="225"/>
        <v>-2192.9741528355735</v>
      </c>
      <c r="Y87" s="50">
        <f t="shared" si="226"/>
        <v>-7977.1264181984443</v>
      </c>
      <c r="Z87" s="50">
        <f t="shared" si="227"/>
        <v>-4369.1322591390999</v>
      </c>
      <c r="AA87" s="50">
        <f t="shared" si="228"/>
        <v>-6477.0924271978256</v>
      </c>
      <c r="AB87" s="50">
        <f t="shared" si="229"/>
        <v>-8089.3608880915708</v>
      </c>
      <c r="AC87" s="50">
        <f t="shared" si="230"/>
        <v>-3765.3681355645931</v>
      </c>
      <c r="AD87" s="50">
        <f t="shared" si="231"/>
        <v>-4404.0158772891664</v>
      </c>
      <c r="AE87" s="50">
        <f t="shared" si="232"/>
        <v>-2084.1697397796888</v>
      </c>
      <c r="AG87" s="111"/>
      <c r="AH87" t="s">
        <v>12</v>
      </c>
      <c r="AI87" s="112">
        <v>19665</v>
      </c>
      <c r="AJ87" s="112">
        <v>32382</v>
      </c>
      <c r="AK87" s="112">
        <v>37795</v>
      </c>
      <c r="AL87" s="112">
        <v>40392</v>
      </c>
      <c r="AM87" s="112">
        <v>38798</v>
      </c>
      <c r="AN87" s="112">
        <v>48100</v>
      </c>
      <c r="AO87" s="112">
        <v>46153</v>
      </c>
      <c r="AP87" s="112">
        <v>37384</v>
      </c>
      <c r="AQ87" s="112">
        <v>41041</v>
      </c>
      <c r="AR87" s="112">
        <v>30275</v>
      </c>
      <c r="AS87" s="112">
        <v>29574</v>
      </c>
      <c r="AT87" s="112">
        <v>25161</v>
      </c>
    </row>
    <row r="88" spans="1:46" ht="19.5" thickBot="1">
      <c r="B88" s="148" t="s">
        <v>754</v>
      </c>
      <c r="C88" s="973">
        <v>318098</v>
      </c>
      <c r="D88" s="1005">
        <v>296187</v>
      </c>
      <c r="E88" s="1004">
        <v>281969</v>
      </c>
      <c r="F88" s="150">
        <f t="shared" ref="F88:I88" si="233">E88+F86-F87</f>
        <v>265455.29260890471</v>
      </c>
      <c r="G88" s="150">
        <f t="shared" si="233"/>
        <v>390355.12917729496</v>
      </c>
      <c r="H88" s="150">
        <f t="shared" si="233"/>
        <v>412881.30333013053</v>
      </c>
      <c r="I88" s="150">
        <f t="shared" si="233"/>
        <v>414998.42974832898</v>
      </c>
      <c r="J88" s="150">
        <f>I88+J86-J87</f>
        <v>429662.56200746808</v>
      </c>
      <c r="K88" s="150">
        <f t="shared" ref="K88" si="234">J88+K86-K87</f>
        <v>398755.65443466592</v>
      </c>
      <c r="L88" s="150">
        <f t="shared" ref="L88" si="235">K88+L86-L87</f>
        <v>365804.01532275748</v>
      </c>
      <c r="M88" s="150">
        <f t="shared" ref="M88" si="236">L88+M86-M87</f>
        <v>363799.34345832211</v>
      </c>
      <c r="N88" s="150">
        <f t="shared" ref="N88" si="237">M88+N86-N87</f>
        <v>338629.35933561128</v>
      </c>
      <c r="O88" s="150">
        <f t="shared" ref="O88" si="238">N88+O86-O87</f>
        <v>315552.52907539095</v>
      </c>
      <c r="P88" s="196"/>
      <c r="Q88" s="193" t="s">
        <v>755</v>
      </c>
      <c r="R88" s="399">
        <f>R87*(SUM(L87:M87)/60)-S86</f>
        <v>289294.38345832209</v>
      </c>
      <c r="S88" s="158"/>
      <c r="T88" s="50">
        <f>D88-AI88</f>
        <v>0</v>
      </c>
      <c r="U88" s="50">
        <f t="shared" si="222"/>
        <v>1939</v>
      </c>
      <c r="V88" s="50">
        <f t="shared" si="223"/>
        <v>-57780.707391095289</v>
      </c>
      <c r="W88" s="50">
        <f t="shared" si="224"/>
        <v>43383.129177294963</v>
      </c>
      <c r="X88" s="50">
        <f t="shared" si="225"/>
        <v>52964.303330130526</v>
      </c>
      <c r="Y88" s="50">
        <f t="shared" si="226"/>
        <v>46541.429748328985</v>
      </c>
      <c r="Z88" s="50">
        <f t="shared" si="227"/>
        <v>50909.562007468077</v>
      </c>
      <c r="AA88" s="50">
        <f t="shared" si="228"/>
        <v>32881.654434665921</v>
      </c>
      <c r="AB88" s="50">
        <f t="shared" si="229"/>
        <v>40971.015322757477</v>
      </c>
      <c r="AC88" s="50">
        <f t="shared" si="230"/>
        <v>44736.34345832211</v>
      </c>
      <c r="AD88" s="50">
        <f t="shared" si="231"/>
        <v>49140.359335611283</v>
      </c>
      <c r="AE88" s="50">
        <f t="shared" si="232"/>
        <v>51224.52907539095</v>
      </c>
      <c r="AG88" s="148" t="s">
        <v>754</v>
      </c>
      <c r="AH88" s="973">
        <v>318098</v>
      </c>
      <c r="AI88" s="1005">
        <v>296187</v>
      </c>
      <c r="AJ88" s="150">
        <v>280030</v>
      </c>
      <c r="AK88" s="150">
        <v>323236</v>
      </c>
      <c r="AL88" s="150">
        <v>346972</v>
      </c>
      <c r="AM88" s="150">
        <v>359917</v>
      </c>
      <c r="AN88" s="150">
        <v>368457</v>
      </c>
      <c r="AO88" s="150">
        <v>378753</v>
      </c>
      <c r="AP88" s="150">
        <v>365874</v>
      </c>
      <c r="AQ88" s="150">
        <v>324833</v>
      </c>
      <c r="AR88" s="150">
        <v>319063</v>
      </c>
      <c r="AS88" s="150">
        <v>289489</v>
      </c>
      <c r="AT88" s="150">
        <v>264328</v>
      </c>
    </row>
    <row r="89" spans="1:46">
      <c r="C89" t="s">
        <v>756</v>
      </c>
      <c r="D89" s="190">
        <f t="shared" ref="D89:M89" si="239">D88/(SUM(E87:F87)/60)</f>
        <v>352.06020149637123</v>
      </c>
      <c r="E89" s="190">
        <f t="shared" si="239"/>
        <v>250.6392937149997</v>
      </c>
      <c r="F89" s="190">
        <f t="shared" si="239"/>
        <v>218.22670755430005</v>
      </c>
      <c r="G89" s="190">
        <f t="shared" si="239"/>
        <v>305.25151770016771</v>
      </c>
      <c r="H89" s="190">
        <f t="shared" si="239"/>
        <v>302.45224995849668</v>
      </c>
      <c r="I89" s="190">
        <f t="shared" si="239"/>
        <v>342.54560743719998</v>
      </c>
      <c r="J89" s="190">
        <f t="shared" si="239"/>
        <v>403.70091489445736</v>
      </c>
      <c r="K89" s="190">
        <f t="shared" si="239"/>
        <v>402.36844711238092</v>
      </c>
      <c r="L89" s="190">
        <f t="shared" si="239"/>
        <v>424.69821998724632</v>
      </c>
      <c r="M89" s="190">
        <f t="shared" si="239"/>
        <v>452.42283634008521</v>
      </c>
      <c r="N89" s="190">
        <f>N88/(SUM(O87,D87)/60)</f>
        <v>475.36011996768315</v>
      </c>
      <c r="O89" s="190">
        <f>O88/(SUM(D87,E87)/60)</f>
        <v>485.17929796590363</v>
      </c>
      <c r="Q89" s="58" t="s">
        <v>757</v>
      </c>
      <c r="R89" s="400">
        <f>R88/SUM(G87:K87)</f>
        <v>1.5570300993326289</v>
      </c>
      <c r="S89" s="95"/>
      <c r="AF89" s="50"/>
      <c r="AH89" t="s">
        <v>756</v>
      </c>
      <c r="AI89" s="190">
        <v>253.2</v>
      </c>
      <c r="AJ89" s="190">
        <v>214.9</v>
      </c>
      <c r="AK89" s="190">
        <v>244.9</v>
      </c>
      <c r="AL89" s="190">
        <v>239.6</v>
      </c>
      <c r="AM89" s="190">
        <v>229.1</v>
      </c>
      <c r="AN89" s="190">
        <v>264.60000000000002</v>
      </c>
      <c r="AO89" s="190">
        <v>289.8</v>
      </c>
      <c r="AP89" s="190">
        <v>307.8</v>
      </c>
      <c r="AQ89" s="190">
        <v>325.7</v>
      </c>
      <c r="AR89" s="190">
        <v>349.8</v>
      </c>
      <c r="AS89" s="190">
        <v>387.5</v>
      </c>
      <c r="AT89" s="190">
        <v>304.7</v>
      </c>
    </row>
    <row r="90" spans="1:46">
      <c r="C90" s="195" t="s">
        <v>719</v>
      </c>
      <c r="D90" s="112"/>
      <c r="E90" s="112"/>
      <c r="F90" s="112"/>
      <c r="G90" s="121">
        <v>400000</v>
      </c>
      <c r="H90" s="112"/>
      <c r="I90" s="112"/>
      <c r="J90" s="112"/>
      <c r="K90" s="121">
        <v>250000</v>
      </c>
      <c r="L90" s="112"/>
      <c r="M90" s="112"/>
      <c r="N90" s="112"/>
      <c r="O90" s="121">
        <v>150000</v>
      </c>
      <c r="AH90" s="195" t="s">
        <v>719</v>
      </c>
      <c r="AI90" s="112"/>
      <c r="AJ90" s="112"/>
      <c r="AK90" s="112"/>
      <c r="AL90" s="121">
        <v>400000</v>
      </c>
      <c r="AM90" s="112"/>
      <c r="AN90" s="112"/>
      <c r="AO90" s="112"/>
      <c r="AP90" s="121">
        <v>250000</v>
      </c>
      <c r="AQ90" s="112"/>
      <c r="AR90" s="112"/>
      <c r="AS90" s="112"/>
      <c r="AT90" s="121">
        <v>150000</v>
      </c>
    </row>
    <row r="91" spans="1:46" ht="15.75" thickBot="1">
      <c r="D91" s="112"/>
      <c r="E91" s="112"/>
      <c r="F91" s="112"/>
      <c r="G91" s="112">
        <f>G88-G90</f>
        <v>-9644.8708227050374</v>
      </c>
      <c r="H91" s="112"/>
      <c r="I91" s="112"/>
      <c r="J91" s="112"/>
      <c r="K91" s="112">
        <f>K88-K90</f>
        <v>148755.65443466592</v>
      </c>
      <c r="L91" s="112"/>
      <c r="M91" s="112"/>
      <c r="N91" s="112"/>
      <c r="O91" s="112">
        <f>O88-O90</f>
        <v>165552.52907539095</v>
      </c>
      <c r="AI91" s="112"/>
      <c r="AJ91" s="112"/>
      <c r="AK91" s="112"/>
      <c r="AL91" s="112">
        <v>-53028</v>
      </c>
      <c r="AM91" s="112"/>
      <c r="AN91" s="112"/>
      <c r="AO91" s="112"/>
      <c r="AP91" s="112">
        <v>115874</v>
      </c>
      <c r="AQ91" s="112"/>
      <c r="AR91" s="112"/>
      <c r="AS91" s="112"/>
      <c r="AT91" s="112">
        <v>114328</v>
      </c>
    </row>
    <row r="92" spans="1:46">
      <c r="B92" s="108"/>
      <c r="C92" s="200"/>
      <c r="D92" s="109" t="s">
        <v>68</v>
      </c>
      <c r="E92" s="109" t="s">
        <v>69</v>
      </c>
      <c r="F92" s="109" t="s">
        <v>70</v>
      </c>
      <c r="G92" s="109" t="s">
        <v>71</v>
      </c>
      <c r="H92" s="109" t="s">
        <v>72</v>
      </c>
      <c r="I92" s="109" t="s">
        <v>73</v>
      </c>
      <c r="J92" s="109" t="s">
        <v>74</v>
      </c>
      <c r="K92" s="109" t="s">
        <v>75</v>
      </c>
      <c r="L92" s="109" t="s">
        <v>76</v>
      </c>
      <c r="M92" s="109" t="s">
        <v>77</v>
      </c>
      <c r="N92" s="109" t="s">
        <v>78</v>
      </c>
      <c r="O92" s="110" t="s">
        <v>79</v>
      </c>
      <c r="AG92" s="108"/>
      <c r="AH92" s="200"/>
      <c r="AI92" s="109" t="s">
        <v>68</v>
      </c>
      <c r="AJ92" s="109" t="s">
        <v>69</v>
      </c>
      <c r="AK92" s="109" t="s">
        <v>70</v>
      </c>
      <c r="AL92" s="109" t="s">
        <v>71</v>
      </c>
      <c r="AM92" s="109" t="s">
        <v>72</v>
      </c>
      <c r="AN92" s="109" t="s">
        <v>73</v>
      </c>
      <c r="AO92" s="109" t="s">
        <v>74</v>
      </c>
      <c r="AP92" s="109" t="s">
        <v>75</v>
      </c>
      <c r="AQ92" s="109" t="s">
        <v>76</v>
      </c>
      <c r="AR92" s="109" t="s">
        <v>77</v>
      </c>
      <c r="AS92" s="109" t="s">
        <v>78</v>
      </c>
      <c r="AT92" s="110" t="s">
        <v>79</v>
      </c>
    </row>
    <row r="93" spans="1:46">
      <c r="A93" s="976"/>
      <c r="B93" s="405" t="s">
        <v>42</v>
      </c>
      <c r="C93" t="s">
        <v>196</v>
      </c>
      <c r="D93" s="112">
        <f>SUMIF('Cases post Attain'!$A:$A,"=Yasso Poppables",'Cases post Attain'!D:D)</f>
        <v>99</v>
      </c>
      <c r="E93" s="112">
        <f>SUMIF('Cases post Attain'!$A:$A,"=Yasso Poppables",'Cases post Attain'!E:E)</f>
        <v>20779</v>
      </c>
      <c r="F93" s="112">
        <f>SUMIF('Cases post Attain'!$A:$A,"=Yasso Poppables",'Cases post Attain'!F:F)</f>
        <v>0</v>
      </c>
      <c r="G93" s="112">
        <f>SUMIF('Cases post Attain'!$A:$A,"=Yasso Poppables",'Cases post Attain'!G:G)</f>
        <v>3456</v>
      </c>
      <c r="H93" s="112">
        <f>SUMIF('Cases post Attain'!$A:$A,"=Yasso Poppables",'Cases post Attain'!H:H)</f>
        <v>0</v>
      </c>
      <c r="I93" s="112">
        <f>SUMIF('Cases post Attain'!$A:$A,"=Yasso Poppables",'Cases post Attain'!I:I)</f>
        <v>21120</v>
      </c>
      <c r="J93" s="112">
        <f>SUMIF('Cases post Attain'!$A:$A,"=Yasso Poppables",'Cases post Attain'!J:J)</f>
        <v>10560</v>
      </c>
      <c r="K93" s="112">
        <f>SUMIF('Cases post Attain'!$A:$A,"=Yasso Poppables",'Cases post Attain'!K:K)</f>
        <v>8448</v>
      </c>
      <c r="L93" s="112">
        <f>SUMIF('Cases post Attain'!$A:$A,"=Yasso Poppables",'Cases post Attain'!L:L)</f>
        <v>10560</v>
      </c>
      <c r="M93" s="112">
        <f>SUMIF('Cases post Attain'!$A:$A,"=Yasso Poppables",'Cases post Attain'!M:M)</f>
        <v>6336</v>
      </c>
      <c r="N93" s="112">
        <f>SUMIF('Cases post Attain'!$A:$A,"=Yasso Poppables",'Cases post Attain'!N:N)</f>
        <v>4224</v>
      </c>
      <c r="O93" s="112">
        <f>SUMIF('Cases post Attain'!$A:$A,"=Yasso Poppables",'Cases post Attain'!O:O)</f>
        <v>0</v>
      </c>
      <c r="Q93" s="192" t="s">
        <v>752</v>
      </c>
      <c r="R93" s="397">
        <v>40</v>
      </c>
      <c r="S93" s="94"/>
      <c r="T93" s="50">
        <f>D93-AI93</f>
        <v>0</v>
      </c>
      <c r="U93" s="50">
        <f t="shared" ref="U93:U95" si="240">E93-AJ93</f>
        <v>-13749</v>
      </c>
      <c r="V93" s="50">
        <f t="shared" ref="V93:V95" si="241">F93-AK93</f>
        <v>-4224</v>
      </c>
      <c r="W93" s="50">
        <f t="shared" ref="W93:W95" si="242">G93-AL93</f>
        <v>0</v>
      </c>
      <c r="X93" s="50" t="e">
        <f t="shared" ref="X93:X95" si="243">H93-AM93</f>
        <v>#VALUE!</v>
      </c>
      <c r="Y93" s="50">
        <f t="shared" ref="Y93:Y95" si="244">I93-AN93</f>
        <v>17664</v>
      </c>
      <c r="Z93" s="50">
        <f t="shared" ref="Z93:Z95" si="245">J93-AO93</f>
        <v>7104</v>
      </c>
      <c r="AA93" s="50">
        <f t="shared" ref="AA93:AA95" si="246">K93-AP93</f>
        <v>4992</v>
      </c>
      <c r="AB93" s="50">
        <f t="shared" ref="AB93:AB95" si="247">L93-AQ93</f>
        <v>3648</v>
      </c>
      <c r="AC93" s="50">
        <f t="shared" ref="AC93:AC95" si="248">M93-AR93</f>
        <v>-576</v>
      </c>
      <c r="AD93" s="50">
        <f t="shared" ref="AD93:AD95" si="249">N93-AS93</f>
        <v>-9600</v>
      </c>
      <c r="AE93" s="50">
        <f t="shared" ref="AE93:AE95" si="250">O93-AT93</f>
        <v>-10368</v>
      </c>
      <c r="AG93" s="405" t="s">
        <v>42</v>
      </c>
      <c r="AH93" t="s">
        <v>196</v>
      </c>
      <c r="AI93" s="112">
        <v>99</v>
      </c>
      <c r="AJ93" s="112">
        <v>34528</v>
      </c>
      <c r="AK93" s="112">
        <v>4224</v>
      </c>
      <c r="AL93" s="112">
        <v>3456</v>
      </c>
      <c r="AM93" s="112" t="s">
        <v>1348</v>
      </c>
      <c r="AN93" s="112">
        <v>3456</v>
      </c>
      <c r="AO93" s="112">
        <v>3456</v>
      </c>
      <c r="AP93" s="112">
        <v>3456</v>
      </c>
      <c r="AQ93" s="112">
        <v>6912</v>
      </c>
      <c r="AR93" s="112">
        <v>6912</v>
      </c>
      <c r="AS93" s="112">
        <v>13824</v>
      </c>
      <c r="AT93" s="112">
        <v>10368</v>
      </c>
    </row>
    <row r="94" spans="1:46">
      <c r="B94" s="111"/>
      <c r="C94" t="s">
        <v>12</v>
      </c>
      <c r="D94" s="112">
        <f>SUMIF('MRF3 Demand'!$C:$C,"=Yasso Poppables",'MRF3 Demand'!G:G)</f>
        <v>10801</v>
      </c>
      <c r="E94" s="112">
        <f>SUMIF('MRF3 Demand'!$C:$C,"=Yasso Poppables",'MRF3 Demand'!H:H)</f>
        <v>12747</v>
      </c>
      <c r="F94" s="112">
        <f>SUMIF('MRF3 Demand'!$C:$C,"=Yasso Poppables",'MRF3 Demand'!I:I)</f>
        <v>14913.629999999997</v>
      </c>
      <c r="G94" s="112">
        <f>SUMIF('MRF3 Demand'!$C:$C,"=Yasso Poppables",'MRF3 Demand'!J:J)</f>
        <v>16232.909999999998</v>
      </c>
      <c r="H94" s="112">
        <f>SUMIF('MRF3 Demand'!$C:$C,"=Yasso Poppables",'MRF3 Demand'!K:K)</f>
        <v>15888.290000000003</v>
      </c>
      <c r="I94" s="112">
        <f>SUMIF('MRF3 Demand'!$C:$C,"=Yasso Poppables",'MRF3 Demand'!L:L)</f>
        <v>21675.129999999997</v>
      </c>
      <c r="J94" s="112">
        <f>SUMIF('MRF3 Demand'!$C:$C,"=Yasso Poppables",'MRF3 Demand'!M:M)</f>
        <v>17594.599999999999</v>
      </c>
      <c r="K94" s="112">
        <f>SUMIF('MRF3 Demand'!$C:$C,"=Yasso Poppables",'MRF3 Demand'!N:N)</f>
        <v>15850.089999999998</v>
      </c>
      <c r="L94" s="112">
        <f>SUMIF('MRF3 Demand'!$C:$C,"=Yasso Poppables",'MRF3 Demand'!O:O)</f>
        <v>13436.74</v>
      </c>
      <c r="M94" s="112">
        <f>SUMIF('MRF3 Demand'!$C:$C,"=Yasso Poppables",'MRF3 Demand'!P:P)</f>
        <v>7217.9096322422956</v>
      </c>
      <c r="N94" s="112">
        <f>SUMIF('MRF3 Demand'!$C:$C,"=Yasso Poppables",'MRF3 Demand'!Q:Q)</f>
        <v>6539.44</v>
      </c>
      <c r="O94" s="112">
        <f>SUMIF('MRF3 Demand'!$C:$C,"=Yasso Poppables",'MRF3 Demand'!R:R)</f>
        <v>10479.93</v>
      </c>
      <c r="Q94" s="58" t="s">
        <v>753</v>
      </c>
      <c r="R94" s="398">
        <f>K96-R93</f>
        <v>37.626153362444597</v>
      </c>
      <c r="S94" s="94"/>
      <c r="T94" s="50">
        <f>D94-AI94</f>
        <v>0</v>
      </c>
      <c r="U94" s="50">
        <f t="shared" si="240"/>
        <v>3691</v>
      </c>
      <c r="V94" s="50">
        <f t="shared" si="241"/>
        <v>1534.6299999999974</v>
      </c>
      <c r="W94" s="50">
        <f t="shared" si="242"/>
        <v>5295.909999999998</v>
      </c>
      <c r="X94" s="50">
        <f t="shared" si="243"/>
        <v>2109.2900000000027</v>
      </c>
      <c r="Y94" s="50">
        <f t="shared" si="244"/>
        <v>6076.1299999999974</v>
      </c>
      <c r="Z94" s="50">
        <f t="shared" si="245"/>
        <v>5836.5999999999985</v>
      </c>
      <c r="AA94" s="50">
        <f t="shared" si="246"/>
        <v>1370.0899999999983</v>
      </c>
      <c r="AB94" s="50">
        <f t="shared" si="247"/>
        <v>3619.74</v>
      </c>
      <c r="AC94" s="50">
        <f t="shared" si="248"/>
        <v>-1021.0903677577044</v>
      </c>
      <c r="AD94" s="50">
        <f t="shared" si="249"/>
        <v>-1961.5600000000004</v>
      </c>
      <c r="AE94" s="50">
        <f t="shared" si="250"/>
        <v>-1417.0699999999997</v>
      </c>
      <c r="AG94" s="111"/>
      <c r="AH94" t="s">
        <v>12</v>
      </c>
      <c r="AI94" s="112">
        <v>10801</v>
      </c>
      <c r="AJ94" s="112">
        <v>9056</v>
      </c>
      <c r="AK94" s="112">
        <v>13379</v>
      </c>
      <c r="AL94" s="112">
        <v>10937</v>
      </c>
      <c r="AM94" s="112">
        <v>13779</v>
      </c>
      <c r="AN94" s="112">
        <v>15599</v>
      </c>
      <c r="AO94" s="112">
        <v>11758</v>
      </c>
      <c r="AP94" s="112">
        <v>14480</v>
      </c>
      <c r="AQ94" s="112">
        <v>9817</v>
      </c>
      <c r="AR94" s="112">
        <v>8239</v>
      </c>
      <c r="AS94" s="112">
        <v>8501</v>
      </c>
      <c r="AT94" s="112">
        <v>11897</v>
      </c>
    </row>
    <row r="95" spans="1:46" ht="19.5" thickBot="1">
      <c r="B95" s="148" t="s">
        <v>754</v>
      </c>
      <c r="C95" s="972">
        <v>76188</v>
      </c>
      <c r="D95" s="1005">
        <v>71314</v>
      </c>
      <c r="E95" s="1004">
        <v>85293</v>
      </c>
      <c r="F95" s="150">
        <f t="shared" ref="F95" si="251">E95+F93-F94</f>
        <v>70379.37</v>
      </c>
      <c r="G95" s="150">
        <f t="shared" ref="G95" si="252">F95+G93-G94</f>
        <v>57602.46</v>
      </c>
      <c r="H95" s="150">
        <f t="shared" ref="H95" si="253">G95+H93-H94</f>
        <v>41714.17</v>
      </c>
      <c r="I95" s="150">
        <f t="shared" ref="I95" si="254">H95+I93-I94</f>
        <v>41159.040000000001</v>
      </c>
      <c r="J95" s="150">
        <f t="shared" ref="J95:L95" si="255">I95+J93-J94</f>
        <v>34124.44</v>
      </c>
      <c r="K95" s="150">
        <f t="shared" si="255"/>
        <v>26722.350000000006</v>
      </c>
      <c r="L95" s="150">
        <f t="shared" si="255"/>
        <v>23845.610000000008</v>
      </c>
      <c r="M95" s="150">
        <f t="shared" ref="M95" si="256">L95+M93-M94</f>
        <v>22963.700367757712</v>
      </c>
      <c r="N95" s="150">
        <f t="shared" ref="N95" si="257">M95+N93-N94</f>
        <v>20648.260367757714</v>
      </c>
      <c r="O95" s="151">
        <f t="shared" ref="O95" si="258">N95+O93-O94</f>
        <v>10168.330367757713</v>
      </c>
      <c r="P95" s="128"/>
      <c r="Q95" s="193" t="s">
        <v>755</v>
      </c>
      <c r="R95" s="399">
        <f>R94*(SUM(L94:M94)/60)</f>
        <v>12952.583578505142</v>
      </c>
      <c r="S95" s="158"/>
      <c r="T95" s="50">
        <f>D95-AI95</f>
        <v>0</v>
      </c>
      <c r="U95" s="50">
        <f t="shared" si="240"/>
        <v>-11493</v>
      </c>
      <c r="V95" s="50">
        <f t="shared" si="241"/>
        <v>-17251.630000000005</v>
      </c>
      <c r="W95" s="50">
        <f t="shared" si="242"/>
        <v>-22547.54</v>
      </c>
      <c r="X95" s="50">
        <f t="shared" si="243"/>
        <v>-24656.83</v>
      </c>
      <c r="Y95" s="50">
        <f t="shared" si="244"/>
        <v>-13068.96</v>
      </c>
      <c r="Z95" s="50">
        <f t="shared" si="245"/>
        <v>-11801.559999999998</v>
      </c>
      <c r="AA95" s="50">
        <f t="shared" si="246"/>
        <v>-8179.6499999999942</v>
      </c>
      <c r="AB95" s="50">
        <f t="shared" si="247"/>
        <v>-8151.3899999999921</v>
      </c>
      <c r="AC95" s="50">
        <f t="shared" si="248"/>
        <v>-7707.2996322422878</v>
      </c>
      <c r="AD95" s="50">
        <f t="shared" si="249"/>
        <v>-15344.739632242286</v>
      </c>
      <c r="AE95" s="50">
        <f t="shared" si="250"/>
        <v>-24295.669632242287</v>
      </c>
      <c r="AG95" s="148" t="s">
        <v>754</v>
      </c>
      <c r="AH95" s="972">
        <v>76188</v>
      </c>
      <c r="AI95" s="1005">
        <v>71314</v>
      </c>
      <c r="AJ95" s="150">
        <v>96786</v>
      </c>
      <c r="AK95" s="150">
        <v>87631</v>
      </c>
      <c r="AL95" s="150">
        <v>80150</v>
      </c>
      <c r="AM95" s="150">
        <v>66371</v>
      </c>
      <c r="AN95" s="150">
        <v>54228</v>
      </c>
      <c r="AO95" s="150">
        <v>45926</v>
      </c>
      <c r="AP95" s="150">
        <v>34902</v>
      </c>
      <c r="AQ95" s="150">
        <v>31997</v>
      </c>
      <c r="AR95" s="150">
        <v>30671</v>
      </c>
      <c r="AS95" s="150">
        <v>35993</v>
      </c>
      <c r="AT95" s="151">
        <v>34464</v>
      </c>
    </row>
    <row r="96" spans="1:46">
      <c r="C96" t="s">
        <v>756</v>
      </c>
      <c r="D96" s="190">
        <f t="shared" ref="D96:M96" si="259">D95/(SUM(E94:F94)/60)</f>
        <v>154.69061984488422</v>
      </c>
      <c r="E96" s="190">
        <f t="shared" si="259"/>
        <v>164.30653292468443</v>
      </c>
      <c r="F96" s="190">
        <f t="shared" si="259"/>
        <v>131.46340111826456</v>
      </c>
      <c r="G96" s="190">
        <f t="shared" si="259"/>
        <v>92.008331509750704</v>
      </c>
      <c r="H96" s="190">
        <f t="shared" si="259"/>
        <v>63.734846152494562</v>
      </c>
      <c r="I96" s="190">
        <f t="shared" si="259"/>
        <v>73.839596061437561</v>
      </c>
      <c r="J96" s="190">
        <f t="shared" si="259"/>
        <v>69.910823397411065</v>
      </c>
      <c r="K96" s="190">
        <f t="shared" si="259"/>
        <v>77.626153362444597</v>
      </c>
      <c r="L96" s="190">
        <f t="shared" si="259"/>
        <v>103.99798204204005</v>
      </c>
      <c r="M96" s="190">
        <f t="shared" si="259"/>
        <v>80.956111892829341</v>
      </c>
      <c r="N96" s="190">
        <f>N95/(SUM(O94,D94)/60)</f>
        <v>58.216235007843302</v>
      </c>
      <c r="O96" s="190">
        <f>O95/(SUM(D94,E94)/60)</f>
        <v>25.908774505922491</v>
      </c>
      <c r="Q96" s="58" t="s">
        <v>757</v>
      </c>
      <c r="R96" s="400">
        <f>R95/SUM(G94:K94)</f>
        <v>0.14846896079969199</v>
      </c>
      <c r="S96" s="95"/>
      <c r="AH96" t="s">
        <v>756</v>
      </c>
      <c r="AI96" s="190">
        <v>190.7</v>
      </c>
      <c r="AJ96" s="190">
        <v>238.8</v>
      </c>
      <c r="AK96" s="190">
        <v>212.7</v>
      </c>
      <c r="AL96" s="190">
        <v>163.69999999999999</v>
      </c>
      <c r="AM96" s="190">
        <v>145.6</v>
      </c>
      <c r="AN96" s="190">
        <v>124</v>
      </c>
      <c r="AO96" s="190">
        <v>113.4</v>
      </c>
      <c r="AP96" s="190">
        <v>116</v>
      </c>
      <c r="AQ96" s="190">
        <v>114.7</v>
      </c>
      <c r="AR96" s="190">
        <v>90.2</v>
      </c>
      <c r="AS96" s="190">
        <v>95.1</v>
      </c>
      <c r="AT96" s="190">
        <v>104.1</v>
      </c>
    </row>
    <row r="97" spans="1:46">
      <c r="C97" s="195" t="s">
        <v>719</v>
      </c>
      <c r="D97" s="112"/>
      <c r="E97" s="112"/>
      <c r="F97" s="112"/>
      <c r="G97" s="121">
        <v>40000</v>
      </c>
      <c r="H97" s="112"/>
      <c r="I97" s="112"/>
      <c r="J97" s="112"/>
      <c r="K97" s="121">
        <v>40000</v>
      </c>
      <c r="L97" s="112"/>
      <c r="M97" s="112"/>
      <c r="N97" s="112"/>
      <c r="O97" s="121">
        <v>40000</v>
      </c>
      <c r="AH97" s="195" t="s">
        <v>719</v>
      </c>
      <c r="AI97" s="112"/>
      <c r="AJ97" s="112"/>
      <c r="AK97" s="112"/>
      <c r="AL97" s="121">
        <v>40000</v>
      </c>
      <c r="AM97" s="112"/>
      <c r="AN97" s="112"/>
      <c r="AO97" s="112"/>
      <c r="AP97" s="121">
        <v>40000</v>
      </c>
      <c r="AQ97" s="112"/>
      <c r="AR97" s="112"/>
      <c r="AS97" s="112"/>
      <c r="AT97" s="121">
        <v>40000</v>
      </c>
    </row>
    <row r="98" spans="1:46" ht="15.75" thickBot="1">
      <c r="D98" s="112"/>
      <c r="E98" s="112"/>
      <c r="F98" s="112"/>
      <c r="G98" s="112">
        <f>G95-G97</f>
        <v>17602.46</v>
      </c>
      <c r="H98" s="112"/>
      <c r="I98" s="112"/>
      <c r="J98" s="112"/>
      <c r="K98" s="112">
        <f>K95-K97</f>
        <v>-13277.649999999994</v>
      </c>
      <c r="L98" s="112"/>
      <c r="M98" s="112"/>
      <c r="N98" s="112"/>
      <c r="O98" s="112">
        <f>O95-O97</f>
        <v>-29831.669632242287</v>
      </c>
      <c r="AI98" s="112"/>
      <c r="AJ98" s="112"/>
      <c r="AK98" s="112"/>
      <c r="AL98" s="112">
        <v>40150</v>
      </c>
      <c r="AM98" s="112"/>
      <c r="AN98" s="112"/>
      <c r="AO98" s="112"/>
      <c r="AP98" s="112">
        <v>-5098</v>
      </c>
      <c r="AQ98" s="112"/>
      <c r="AR98" s="112"/>
      <c r="AS98" s="112"/>
      <c r="AT98" s="112">
        <v>-5536</v>
      </c>
    </row>
    <row r="99" spans="1:46">
      <c r="B99" s="108"/>
      <c r="C99" s="200"/>
      <c r="D99" s="109" t="s">
        <v>68</v>
      </c>
      <c r="E99" s="109" t="s">
        <v>69</v>
      </c>
      <c r="F99" s="109" t="s">
        <v>70</v>
      </c>
      <c r="G99" s="109" t="s">
        <v>71</v>
      </c>
      <c r="H99" s="109" t="s">
        <v>72</v>
      </c>
      <c r="I99" s="109" t="s">
        <v>73</v>
      </c>
      <c r="J99" s="109" t="s">
        <v>74</v>
      </c>
      <c r="K99" s="109" t="s">
        <v>75</v>
      </c>
      <c r="L99" s="109" t="s">
        <v>76</v>
      </c>
      <c r="M99" s="109" t="s">
        <v>77</v>
      </c>
      <c r="N99" s="109" t="s">
        <v>78</v>
      </c>
      <c r="O99" s="110" t="s">
        <v>79</v>
      </c>
      <c r="AG99" s="108"/>
      <c r="AH99" s="200"/>
      <c r="AI99" s="109" t="s">
        <v>68</v>
      </c>
      <c r="AJ99" s="109" t="s">
        <v>69</v>
      </c>
      <c r="AK99" s="109" t="s">
        <v>70</v>
      </c>
      <c r="AL99" s="109" t="s">
        <v>71</v>
      </c>
      <c r="AM99" s="109" t="s">
        <v>72</v>
      </c>
      <c r="AN99" s="109" t="s">
        <v>73</v>
      </c>
      <c r="AO99" s="109" t="s">
        <v>74</v>
      </c>
      <c r="AP99" s="109" t="s">
        <v>75</v>
      </c>
      <c r="AQ99" s="109" t="s">
        <v>76</v>
      </c>
      <c r="AR99" s="109" t="s">
        <v>77</v>
      </c>
      <c r="AS99" s="109" t="s">
        <v>78</v>
      </c>
      <c r="AT99" s="110" t="s">
        <v>79</v>
      </c>
    </row>
    <row r="100" spans="1:46">
      <c r="A100" s="976" t="s">
        <v>1310</v>
      </c>
      <c r="B100" s="155" t="s">
        <v>21</v>
      </c>
      <c r="C100" t="s">
        <v>196</v>
      </c>
      <c r="D100" s="112">
        <f>SUMIF('Cases post Attain'!$A:$A,"=2.4 Gal",'Cases post Attain'!D:D)</f>
        <v>40870</v>
      </c>
      <c r="E100" s="112">
        <f>SUMIF('Cases post Attain'!$A:$A,"=2.4 Gal",'Cases post Attain'!E:E)</f>
        <v>84448</v>
      </c>
      <c r="F100" s="112">
        <f>SUMIF('Cases post Attain'!$A:$A,"=2.4 Gal",'Cases post Attain'!F:F)</f>
        <v>63514</v>
      </c>
      <c r="G100" s="112">
        <f>SUMIF('Cases post Attain'!$A:$A,"=2.4 Gal",'Cases post Attain'!G:G)</f>
        <v>63648</v>
      </c>
      <c r="H100" s="112">
        <f>SUMIF('Cases post Attain'!$A:$A,"=2.4 Gal",'Cases post Attain'!H:H)</f>
        <v>95999</v>
      </c>
      <c r="I100" s="112">
        <f>SUMIF('Cases post Attain'!$A:$A,"=2.4 Gal",'Cases post Attain'!I:I)</f>
        <v>27404</v>
      </c>
      <c r="J100" s="112">
        <f>SUMIF('Cases post Attain'!$A:$A,"=2.4 Gal",'Cases post Attain'!J:J)</f>
        <v>50830</v>
      </c>
      <c r="K100" s="112">
        <f>SUMIF('Cases post Attain'!$A:$A,"=2.4 Gal",'Cases post Attain'!K:K)</f>
        <v>53040</v>
      </c>
      <c r="L100" s="112">
        <f>SUMIF('Cases post Attain'!$A:$A,"=2.4 Gal",'Cases post Attain'!L:L)</f>
        <v>20774</v>
      </c>
      <c r="M100" s="112">
        <f>SUMIF('Cases post Attain'!$A:$A,"=2.4 Gal",'Cases post Attain'!M:M)</f>
        <v>15912</v>
      </c>
      <c r="N100" s="112">
        <f>SUMIF('Cases post Attain'!$A:$A,"=2.4 Gal",'Cases post Attain'!N:N)</f>
        <v>49946</v>
      </c>
      <c r="O100" s="112">
        <f>SUMIF('Cases post Attain'!$A:$A,"=2.4 Gal",'Cases post Attain'!O:O)</f>
        <v>0</v>
      </c>
      <c r="Q100" s="192" t="s">
        <v>752</v>
      </c>
      <c r="R100" s="397">
        <v>120</v>
      </c>
      <c r="S100" s="94"/>
      <c r="T100" s="50">
        <f>D100-AI100</f>
        <v>0</v>
      </c>
      <c r="U100" s="50">
        <f t="shared" ref="U100:U102" si="260">E100-AJ100</f>
        <v>-106</v>
      </c>
      <c r="V100" s="50">
        <f t="shared" ref="V100:V102" si="261">F100-AK100</f>
        <v>15591</v>
      </c>
      <c r="W100" s="50">
        <f t="shared" ref="W100:W102" si="262">G100-AL100</f>
        <v>33696</v>
      </c>
      <c r="X100" s="50">
        <f t="shared" ref="X100:X102" si="263">H100-AM100</f>
        <v>65548</v>
      </c>
      <c r="Y100" s="50">
        <f t="shared" ref="Y100:Y102" si="264">I100-AN100</f>
        <v>-32500</v>
      </c>
      <c r="Z100" s="50">
        <f t="shared" ref="Z100:Z102" si="265">J100-AO100</f>
        <v>-8575</v>
      </c>
      <c r="AA100" s="50">
        <f t="shared" ref="AA100:AA102" si="266">K100-AP100</f>
        <v>-5866</v>
      </c>
      <c r="AB100" s="50">
        <f t="shared" ref="AB100:AB102" si="267">L100-AQ100</f>
        <v>-8679</v>
      </c>
      <c r="AC100" s="50">
        <f t="shared" ref="AC100:AC102" si="268">M100-AR100</f>
        <v>3931</v>
      </c>
      <c r="AD100" s="50">
        <f t="shared" ref="AD100:AD102" si="269">N100-AS100</f>
        <v>-1472</v>
      </c>
      <c r="AE100" s="50" t="e">
        <f t="shared" ref="AE100:AE102" si="270">O100-AT100</f>
        <v>#VALUE!</v>
      </c>
      <c r="AG100" s="155" t="s">
        <v>21</v>
      </c>
      <c r="AH100" t="s">
        <v>196</v>
      </c>
      <c r="AI100" s="112">
        <v>40870</v>
      </c>
      <c r="AJ100" s="112">
        <v>84554</v>
      </c>
      <c r="AK100" s="112">
        <v>47923</v>
      </c>
      <c r="AL100" s="112">
        <v>29952</v>
      </c>
      <c r="AM100" s="112">
        <v>30451</v>
      </c>
      <c r="AN100" s="112">
        <v>59904</v>
      </c>
      <c r="AO100" s="112">
        <v>59405</v>
      </c>
      <c r="AP100" s="112">
        <v>58906</v>
      </c>
      <c r="AQ100" s="112">
        <v>29453</v>
      </c>
      <c r="AR100" s="112">
        <v>11981</v>
      </c>
      <c r="AS100" s="112">
        <v>51418</v>
      </c>
      <c r="AT100" s="112" t="s">
        <v>1348</v>
      </c>
    </row>
    <row r="101" spans="1:46">
      <c r="B101" s="111"/>
      <c r="C101" t="s">
        <v>12</v>
      </c>
      <c r="D101" s="112">
        <f>SUMIF('MRF3 Demand'!$D:$D,"=2.4 Gal",'MRF3 Demand'!G:G)</f>
        <v>25743</v>
      </c>
      <c r="E101" s="112">
        <f>SUMIF('MRF3 Demand'!$D:$D,"=2.4 Gal",'MRF3 Demand'!H:H)</f>
        <v>26984</v>
      </c>
      <c r="F101" s="112">
        <f>SUMIF('MRF3 Demand'!$D:$D,"=2.4 Gal",'MRF3 Demand'!I:I)</f>
        <v>55222.347076517792</v>
      </c>
      <c r="G101" s="112">
        <f>SUMIF('MRF3 Demand'!$D:$D,"=2.4 Gal",'MRF3 Demand'!J:J)</f>
        <v>54502.086214184201</v>
      </c>
      <c r="H101" s="112">
        <f>SUMIF('MRF3 Demand'!$D:$D,"=2.4 Gal",'MRF3 Demand'!K:K)</f>
        <v>51325.979630484107</v>
      </c>
      <c r="I101" s="112">
        <f>SUMIF('MRF3 Demand'!$D:$D,"=2.4 Gal",'MRF3 Demand'!L:L)</f>
        <v>66295.718381352039</v>
      </c>
      <c r="J101" s="112">
        <f>SUMIF('MRF3 Demand'!$D:$D,"=2.4 Gal",'MRF3 Demand'!M:M)</f>
        <v>80090.852584704699</v>
      </c>
      <c r="K101" s="112">
        <f>SUMIF('MRF3 Demand'!$D:$D,"=2.4 Gal",'MRF3 Demand'!N:N)</f>
        <v>55227.293463091337</v>
      </c>
      <c r="L101" s="112">
        <f>SUMIF('MRF3 Demand'!$D:$D,"=2.4 Gal",'MRF3 Demand'!O:O)</f>
        <v>32674.619181328177</v>
      </c>
      <c r="M101" s="112">
        <f>SUMIF('MRF3 Demand'!$D:$D,"=2.4 Gal",'MRF3 Demand'!P:P)</f>
        <v>26772.748677025022</v>
      </c>
      <c r="N101" s="112">
        <f>SUMIF('MRF3 Demand'!$D:$D,"=2.4 Gal",'MRF3 Demand'!Q:Q)</f>
        <v>21644.452293488594</v>
      </c>
      <c r="O101" s="112">
        <f>SUMIF('MRF3 Demand'!$D:$D,"=2.4 Gal",'MRF3 Demand'!R:R)</f>
        <v>22406.801055074302</v>
      </c>
      <c r="Q101" s="58" t="s">
        <v>753</v>
      </c>
      <c r="R101" s="398">
        <f>K103-R100</f>
        <v>60.831275567896029</v>
      </c>
      <c r="S101" s="94"/>
      <c r="T101" s="50">
        <f>D101-AI101</f>
        <v>0</v>
      </c>
      <c r="U101" s="50">
        <f t="shared" si="260"/>
        <v>1202</v>
      </c>
      <c r="V101" s="50">
        <f t="shared" si="261"/>
        <v>88.34707651779172</v>
      </c>
      <c r="W101" s="50">
        <f t="shared" si="262"/>
        <v>1401.0862141842008</v>
      </c>
      <c r="X101" s="50">
        <f t="shared" si="263"/>
        <v>948.97963048410747</v>
      </c>
      <c r="Y101" s="50">
        <f t="shared" si="264"/>
        <v>1656.7183813520387</v>
      </c>
      <c r="Z101" s="50">
        <f t="shared" si="265"/>
        <v>962.85258470469853</v>
      </c>
      <c r="AA101" s="50">
        <f t="shared" si="266"/>
        <v>306.29346309133689</v>
      </c>
      <c r="AB101" s="50">
        <f t="shared" si="267"/>
        <v>736.61918132817664</v>
      </c>
      <c r="AC101" s="50">
        <f t="shared" si="268"/>
        <v>-663.25132297497839</v>
      </c>
      <c r="AD101" s="50">
        <f t="shared" si="269"/>
        <v>20.452293488593568</v>
      </c>
      <c r="AE101" s="50">
        <f t="shared" si="270"/>
        <v>359.80105507430198</v>
      </c>
      <c r="AG101" s="111"/>
      <c r="AH101" t="s">
        <v>12</v>
      </c>
      <c r="AI101" s="112">
        <v>25743</v>
      </c>
      <c r="AJ101" s="112">
        <v>25782</v>
      </c>
      <c r="AK101" s="112">
        <v>55134</v>
      </c>
      <c r="AL101" s="112">
        <v>53101</v>
      </c>
      <c r="AM101" s="112">
        <v>50377</v>
      </c>
      <c r="AN101" s="112">
        <v>64639</v>
      </c>
      <c r="AO101" s="112">
        <v>79128</v>
      </c>
      <c r="AP101" s="112">
        <v>54921</v>
      </c>
      <c r="AQ101" s="112">
        <v>31938</v>
      </c>
      <c r="AR101" s="112">
        <v>27436</v>
      </c>
      <c r="AS101" s="112">
        <v>21624</v>
      </c>
      <c r="AT101" s="112">
        <v>22047</v>
      </c>
    </row>
    <row r="102" spans="1:46" ht="19.5" thickBot="1">
      <c r="B102" s="148" t="s">
        <v>754</v>
      </c>
      <c r="C102" s="972">
        <v>125028</v>
      </c>
      <c r="D102" s="1005">
        <v>141515</v>
      </c>
      <c r="E102" s="1004">
        <v>187395</v>
      </c>
      <c r="F102" s="150">
        <f t="shared" ref="F102" si="271">E102+F100-F101</f>
        <v>195686.65292348221</v>
      </c>
      <c r="G102" s="150">
        <f t="shared" ref="G102" si="272">F102+G100-G101</f>
        <v>204832.566709298</v>
      </c>
      <c r="H102" s="150">
        <f t="shared" ref="H102" si="273">G102+H100-H101</f>
        <v>249505.5870788139</v>
      </c>
      <c r="I102" s="150">
        <f t="shared" ref="I102" si="274">H102+I100-I101</f>
        <v>210613.8686974619</v>
      </c>
      <c r="J102" s="150">
        <f t="shared" ref="J102" si="275">I102+J100-J101</f>
        <v>181353.01611275721</v>
      </c>
      <c r="K102" s="150">
        <f t="shared" ref="K102" si="276">J102+K100-K101</f>
        <v>179165.72264966587</v>
      </c>
      <c r="L102" s="150">
        <f t="shared" ref="L102" si="277">K102+L100-L101</f>
        <v>167265.10346833768</v>
      </c>
      <c r="M102" s="150">
        <f t="shared" ref="M102" si="278">L102+M100-M101</f>
        <v>156404.35479131265</v>
      </c>
      <c r="N102" s="150">
        <f t="shared" ref="N102" si="279">M102+N100-N101</f>
        <v>184705.90249782405</v>
      </c>
      <c r="O102" s="151">
        <f t="shared" ref="O102" si="280">N102+O100-O101</f>
        <v>162299.10144274976</v>
      </c>
      <c r="P102" s="396"/>
      <c r="Q102" s="193" t="s">
        <v>755</v>
      </c>
      <c r="R102" s="399">
        <f>R101*(SUM(L101:M101)/60)</f>
        <v>60270.98693295948</v>
      </c>
      <c r="S102" s="158"/>
      <c r="T102" s="50">
        <f>D102-AI102</f>
        <v>0</v>
      </c>
      <c r="U102" s="50">
        <f t="shared" si="260"/>
        <v>-12893</v>
      </c>
      <c r="V102" s="50">
        <f t="shared" si="261"/>
        <v>2608.6529234822083</v>
      </c>
      <c r="W102" s="50">
        <f t="shared" si="262"/>
        <v>34904.566709298</v>
      </c>
      <c r="X102" s="50">
        <f t="shared" si="263"/>
        <v>99503.5870788139</v>
      </c>
      <c r="Y102" s="50">
        <f t="shared" si="264"/>
        <v>65347.868697461905</v>
      </c>
      <c r="Z102" s="50">
        <f t="shared" si="265"/>
        <v>55809.016112757206</v>
      </c>
      <c r="AA102" s="50">
        <f t="shared" si="266"/>
        <v>49636.72264966587</v>
      </c>
      <c r="AB102" s="50">
        <f t="shared" si="267"/>
        <v>40222.103468337678</v>
      </c>
      <c r="AC102" s="50">
        <f t="shared" si="268"/>
        <v>44815.354791312653</v>
      </c>
      <c r="AD102" s="50">
        <f t="shared" si="269"/>
        <v>43323.902497824049</v>
      </c>
      <c r="AE102" s="50">
        <f t="shared" si="270"/>
        <v>42964.101442749758</v>
      </c>
      <c r="AG102" s="148" t="s">
        <v>754</v>
      </c>
      <c r="AH102" s="972">
        <v>125028</v>
      </c>
      <c r="AI102" s="1005">
        <v>141515</v>
      </c>
      <c r="AJ102" s="150">
        <v>200288</v>
      </c>
      <c r="AK102" s="150">
        <v>193078</v>
      </c>
      <c r="AL102" s="150">
        <v>169928</v>
      </c>
      <c r="AM102" s="150">
        <v>150002</v>
      </c>
      <c r="AN102" s="150">
        <v>145266</v>
      </c>
      <c r="AO102" s="150">
        <v>125544</v>
      </c>
      <c r="AP102" s="150">
        <v>129529</v>
      </c>
      <c r="AQ102" s="150">
        <v>127043</v>
      </c>
      <c r="AR102" s="150">
        <v>111589</v>
      </c>
      <c r="AS102" s="150">
        <v>141382</v>
      </c>
      <c r="AT102" s="151">
        <v>119335</v>
      </c>
    </row>
    <row r="103" spans="1:46">
      <c r="C103" t="s">
        <v>756</v>
      </c>
      <c r="D103" s="190">
        <f t="shared" ref="D103:M103" si="281">D102/(SUM(E101:F101)/60)</f>
        <v>103.28764507802126</v>
      </c>
      <c r="E103" s="190">
        <f t="shared" si="281"/>
        <v>102.47216287926625</v>
      </c>
      <c r="F103" s="190">
        <f t="shared" si="281"/>
        <v>110.94598660285789</v>
      </c>
      <c r="G103" s="190">
        <f t="shared" si="281"/>
        <v>104.48713298902686</v>
      </c>
      <c r="H103" s="190">
        <f t="shared" si="281"/>
        <v>102.26576881973735</v>
      </c>
      <c r="I103" s="190">
        <f t="shared" si="281"/>
        <v>93.38608672176332</v>
      </c>
      <c r="J103" s="190">
        <f t="shared" si="281"/>
        <v>123.78776114669932</v>
      </c>
      <c r="K103" s="190">
        <f t="shared" si="281"/>
        <v>180.83127556789603</v>
      </c>
      <c r="L103" s="190">
        <f t="shared" si="281"/>
        <v>207.27976848996687</v>
      </c>
      <c r="M103" s="190">
        <f t="shared" si="281"/>
        <v>213.0305172755069</v>
      </c>
      <c r="N103" s="190">
        <f>N102/(SUM(O101,D101)/60)</f>
        <v>230.16406936330466</v>
      </c>
      <c r="O103" s="190">
        <f>O102/(SUM(D101,E101)/60)</f>
        <v>184.68613967350666</v>
      </c>
      <c r="Q103" s="58" t="s">
        <v>757</v>
      </c>
      <c r="R103" s="400">
        <f>R102/SUM(G101:K101)</f>
        <v>0.19604023068447579</v>
      </c>
      <c r="S103" s="95"/>
      <c r="AF103" s="50"/>
      <c r="AH103" t="s">
        <v>756</v>
      </c>
      <c r="AI103" s="190">
        <v>104.9</v>
      </c>
      <c r="AJ103" s="190">
        <v>111</v>
      </c>
      <c r="AK103" s="190">
        <v>112</v>
      </c>
      <c r="AL103" s="190">
        <v>88.6</v>
      </c>
      <c r="AM103" s="190">
        <v>62.6</v>
      </c>
      <c r="AN103" s="190">
        <v>65</v>
      </c>
      <c r="AO103" s="190">
        <v>86.7</v>
      </c>
      <c r="AP103" s="190">
        <v>130.9</v>
      </c>
      <c r="AQ103" s="190">
        <v>155.4</v>
      </c>
      <c r="AR103" s="190">
        <v>153.30000000000001</v>
      </c>
      <c r="AS103" s="190">
        <v>177.5</v>
      </c>
      <c r="AT103" s="190">
        <v>139</v>
      </c>
    </row>
    <row r="104" spans="1:46">
      <c r="C104" s="195" t="s">
        <v>719</v>
      </c>
      <c r="D104" s="112"/>
      <c r="E104" s="112"/>
      <c r="F104" s="112"/>
      <c r="G104" s="248">
        <v>200000</v>
      </c>
      <c r="H104" s="112"/>
      <c r="I104" s="112"/>
      <c r="J104" s="112"/>
      <c r="K104" s="248">
        <v>120000</v>
      </c>
      <c r="L104" s="112"/>
      <c r="M104" s="112"/>
      <c r="N104" s="112"/>
      <c r="O104" s="248">
        <v>120000</v>
      </c>
      <c r="AH104" s="195" t="s">
        <v>719</v>
      </c>
      <c r="AI104" s="112"/>
      <c r="AJ104" s="112"/>
      <c r="AK104" s="112"/>
      <c r="AL104" s="248">
        <v>200000</v>
      </c>
      <c r="AM104" s="112"/>
      <c r="AN104" s="112"/>
      <c r="AO104" s="112"/>
      <c r="AP104" s="248">
        <v>120000</v>
      </c>
      <c r="AQ104" s="112"/>
      <c r="AR104" s="112"/>
      <c r="AS104" s="112"/>
      <c r="AT104" s="248">
        <v>120000</v>
      </c>
    </row>
    <row r="105" spans="1:46" ht="15.75" thickBot="1">
      <c r="D105" s="112"/>
      <c r="E105" s="112"/>
      <c r="F105" s="112"/>
      <c r="G105" s="112">
        <f>G102-G104</f>
        <v>4832.5667092980002</v>
      </c>
      <c r="H105" s="112"/>
      <c r="I105" s="112"/>
      <c r="J105" s="112"/>
      <c r="K105" s="112">
        <f>K102-K104</f>
        <v>59165.72264966587</v>
      </c>
      <c r="L105" s="112"/>
      <c r="M105" s="112"/>
      <c r="N105" s="112"/>
      <c r="O105" s="112">
        <f>O102-O104</f>
        <v>42299.101442749758</v>
      </c>
      <c r="AI105" s="112"/>
      <c r="AJ105" s="112"/>
      <c r="AK105" s="112"/>
      <c r="AL105" s="112">
        <v>-30072</v>
      </c>
      <c r="AM105" s="112"/>
      <c r="AN105" s="112"/>
      <c r="AO105" s="112"/>
      <c r="AP105" s="112">
        <v>9529</v>
      </c>
      <c r="AQ105" s="112"/>
      <c r="AR105" s="112"/>
      <c r="AS105" s="112"/>
      <c r="AT105" s="112">
        <v>-665</v>
      </c>
    </row>
    <row r="106" spans="1:46">
      <c r="B106" s="108"/>
      <c r="C106" s="200"/>
      <c r="D106" s="109" t="s">
        <v>68</v>
      </c>
      <c r="E106" s="109" t="s">
        <v>69</v>
      </c>
      <c r="F106" s="109" t="s">
        <v>70</v>
      </c>
      <c r="G106" s="109" t="s">
        <v>71</v>
      </c>
      <c r="H106" s="109" t="s">
        <v>72</v>
      </c>
      <c r="I106" s="109" t="s">
        <v>73</v>
      </c>
      <c r="J106" s="109" t="s">
        <v>74</v>
      </c>
      <c r="K106" s="109" t="s">
        <v>75</v>
      </c>
      <c r="L106" s="109" t="s">
        <v>76</v>
      </c>
      <c r="M106" s="109" t="s">
        <v>77</v>
      </c>
      <c r="N106" s="109" t="s">
        <v>78</v>
      </c>
      <c r="O106" s="110" t="s">
        <v>79</v>
      </c>
      <c r="AG106" s="108"/>
      <c r="AH106" s="200"/>
      <c r="AI106" s="109" t="s">
        <v>68</v>
      </c>
      <c r="AJ106" s="109" t="s">
        <v>69</v>
      </c>
      <c r="AK106" s="109" t="s">
        <v>70</v>
      </c>
      <c r="AL106" s="109" t="s">
        <v>71</v>
      </c>
      <c r="AM106" s="109" t="s">
        <v>72</v>
      </c>
      <c r="AN106" s="109" t="s">
        <v>73</v>
      </c>
      <c r="AO106" s="109" t="s">
        <v>74</v>
      </c>
      <c r="AP106" s="109" t="s">
        <v>75</v>
      </c>
      <c r="AQ106" s="109" t="s">
        <v>76</v>
      </c>
      <c r="AR106" s="109" t="s">
        <v>77</v>
      </c>
      <c r="AS106" s="109" t="s">
        <v>78</v>
      </c>
      <c r="AT106" s="110" t="s">
        <v>79</v>
      </c>
    </row>
    <row r="107" spans="1:46">
      <c r="A107" s="976"/>
      <c r="B107" s="156" t="s">
        <v>25</v>
      </c>
      <c r="C107" t="s">
        <v>196</v>
      </c>
      <c r="D107" s="112">
        <f>SUMIF('Cases post Attain'!$A:$A,"=B&amp;J Cups",'Cases post Attain'!D:D)</f>
        <v>99137</v>
      </c>
      <c r="E107" s="112">
        <f>SUMIF('Cases post Attain'!$A:$A,"=B&amp;J Cups",'Cases post Attain'!E:E)</f>
        <v>46867</v>
      </c>
      <c r="F107" s="112">
        <f>SUMIF('Cases post Attain'!$A:$A,"=B&amp;J Cups",'Cases post Attain'!F:F)</f>
        <v>142438.80000000002</v>
      </c>
      <c r="G107" s="112">
        <f>SUMIF('Cases post Attain'!$A:$A,"=B&amp;J Cups",'Cases post Attain'!G:G)</f>
        <v>58052.160000000003</v>
      </c>
      <c r="H107" s="112">
        <f>SUMIF('Cases post Attain'!$A:$A,"=B&amp;J Cups",'Cases post Attain'!H:H)</f>
        <v>0</v>
      </c>
      <c r="I107" s="112">
        <f>SUMIF('Cases post Attain'!$A:$A,"=B&amp;J Cups",'Cases post Attain'!I:I)</f>
        <v>20511.36</v>
      </c>
      <c r="J107" s="112">
        <f>SUMIF('Cases post Attain'!$A:$A,"=B&amp;J Cups",'Cases post Attain'!J:J)</f>
        <v>49464</v>
      </c>
      <c r="K107" s="112">
        <f>SUMIF('Cases post Attain'!$A:$A,"=B&amp;J Cups",'Cases post Attain'!K:K)</f>
        <v>102677.76000000002</v>
      </c>
      <c r="L107" s="112">
        <f>SUMIF('Cases post Attain'!$A:$A,"=B&amp;J Cups",'Cases post Attain'!L:L)</f>
        <v>38232</v>
      </c>
      <c r="M107" s="112">
        <f>SUMIF('Cases post Attain'!$A:$A,"=B&amp;J Cups",'Cases post Attain'!M:M)</f>
        <v>67910.399999999994</v>
      </c>
      <c r="N107" s="112">
        <f>SUMIF('Cases post Attain'!$A:$A,"=B&amp;J Cups",'Cases post Attain'!N:N)</f>
        <v>96249.60000000002</v>
      </c>
      <c r="O107" s="112">
        <f>SUMIF('Cases post Attain'!$A:$A,"=B&amp;J Cups",'Cases post Attain'!O:O)</f>
        <v>29790.719999999998</v>
      </c>
      <c r="Q107" s="192" t="s">
        <v>752</v>
      </c>
      <c r="R107" s="397">
        <v>35</v>
      </c>
      <c r="S107" s="94"/>
      <c r="T107" s="50">
        <f>D107-AI107</f>
        <v>0</v>
      </c>
      <c r="U107" s="50">
        <f t="shared" ref="U107:U109" si="282">E107-AJ107</f>
        <v>-22441</v>
      </c>
      <c r="V107" s="50">
        <f t="shared" ref="V107:V109" si="283">F107-AK107</f>
        <v>118462.80000000002</v>
      </c>
      <c r="W107" s="50">
        <f t="shared" ref="W107:W109" si="284">G107-AL107</f>
        <v>37834.160000000003</v>
      </c>
      <c r="X107" s="50">
        <f t="shared" ref="X107:X109" si="285">H107-AM107</f>
        <v>-15034</v>
      </c>
      <c r="Y107" s="50">
        <f t="shared" ref="Y107:Y109" si="286">I107-AN107</f>
        <v>-29902.639999999999</v>
      </c>
      <c r="Z107" s="50">
        <f t="shared" ref="Z107:Z109" si="287">J107-AO107</f>
        <v>-46051</v>
      </c>
      <c r="AA107" s="50">
        <f t="shared" ref="AA107:AA109" si="288">K107-AP107</f>
        <v>13771.760000000024</v>
      </c>
      <c r="AB107" s="50">
        <f t="shared" ref="AB107:AB109" si="289">L107-AQ107</f>
        <v>-21384</v>
      </c>
      <c r="AC107" s="50">
        <f t="shared" ref="AC107:AC109" si="290">M107-AR107</f>
        <v>8294.3999999999942</v>
      </c>
      <c r="AD107" s="50">
        <f t="shared" ref="AD107:AD109" si="291">N107-AS107</f>
        <v>20951.60000000002</v>
      </c>
      <c r="AE107" s="50">
        <f t="shared" ref="AE107:AE109" si="292">O107-AT107</f>
        <v>-19975.280000000002</v>
      </c>
      <c r="AG107" s="156" t="s">
        <v>25</v>
      </c>
      <c r="AH107" t="s">
        <v>196</v>
      </c>
      <c r="AI107" s="112">
        <v>99137</v>
      </c>
      <c r="AJ107" s="112">
        <v>69308</v>
      </c>
      <c r="AK107" s="112">
        <v>23976</v>
      </c>
      <c r="AL107" s="112">
        <v>20218</v>
      </c>
      <c r="AM107" s="112">
        <v>15034</v>
      </c>
      <c r="AN107" s="112">
        <v>50414</v>
      </c>
      <c r="AO107" s="112">
        <v>95515</v>
      </c>
      <c r="AP107" s="112">
        <v>88906</v>
      </c>
      <c r="AQ107" s="112">
        <v>59616</v>
      </c>
      <c r="AR107" s="112">
        <v>59616</v>
      </c>
      <c r="AS107" s="112">
        <v>75298</v>
      </c>
      <c r="AT107" s="112">
        <v>49766</v>
      </c>
    </row>
    <row r="108" spans="1:46">
      <c r="B108" s="124"/>
      <c r="C108" s="118" t="s">
        <v>12</v>
      </c>
      <c r="D108" s="112">
        <f>SUMIF('MRF3 Demand'!$D:$D,"=B&amp;J Cups",'MRF3 Demand'!G:G)</f>
        <v>53384</v>
      </c>
      <c r="E108" s="112">
        <f>SUMIF('MRF3 Demand'!$D:$D,"=B&amp;J Cups",'MRF3 Demand'!H:H)</f>
        <v>67477</v>
      </c>
      <c r="F108" s="112">
        <f>SUMIF('MRF3 Demand'!$D:$D,"=B&amp;J Cups",'MRF3 Demand'!I:I)</f>
        <v>80204.210000000006</v>
      </c>
      <c r="G108" s="112">
        <f>SUMIF('MRF3 Demand'!$D:$D,"=B&amp;J Cups",'MRF3 Demand'!J:J)</f>
        <v>81449.88</v>
      </c>
      <c r="H108" s="112">
        <f>SUMIF('MRF3 Demand'!$D:$D,"=B&amp;J Cups",'MRF3 Demand'!K:K)</f>
        <v>86715.27</v>
      </c>
      <c r="I108" s="112">
        <f>SUMIF('MRF3 Demand'!$D:$D,"=B&amp;J Cups",'MRF3 Demand'!L:L)</f>
        <v>93197.03</v>
      </c>
      <c r="J108" s="112">
        <f>SUMIF('MRF3 Demand'!$D:$D,"=B&amp;J Cups",'MRF3 Demand'!M:M)</f>
        <v>100348.5</v>
      </c>
      <c r="K108" s="112">
        <f>SUMIF('MRF3 Demand'!$D:$D,"=B&amp;J Cups",'MRF3 Demand'!N:N)</f>
        <v>98440.799999999988</v>
      </c>
      <c r="L108" s="112">
        <f>SUMIF('MRF3 Demand'!$D:$D,"=B&amp;J Cups",'MRF3 Demand'!O:O)</f>
        <v>95837.940000000017</v>
      </c>
      <c r="M108" s="112">
        <f>SUMIF('MRF3 Demand'!$D:$D,"=B&amp;J Cups",'MRF3 Demand'!P:P)</f>
        <v>58561.249999999985</v>
      </c>
      <c r="N108" s="112">
        <f>SUMIF('MRF3 Demand'!$D:$D,"=B&amp;J Cups",'MRF3 Demand'!Q:Q)</f>
        <v>64339.560000000012</v>
      </c>
      <c r="O108" s="112">
        <f>SUMIF('MRF3 Demand'!$D:$D,"=B&amp;J Cups",'MRF3 Demand'!R:R)</f>
        <v>66315.41</v>
      </c>
      <c r="Q108" s="58" t="s">
        <v>753</v>
      </c>
      <c r="R108" s="398">
        <f>K110-R107</f>
        <v>81.769546524175439</v>
      </c>
      <c r="S108" s="94"/>
      <c r="T108" s="50">
        <f>D108-AI108</f>
        <v>0</v>
      </c>
      <c r="U108" s="50">
        <f t="shared" si="282"/>
        <v>-21191</v>
      </c>
      <c r="V108" s="50">
        <f t="shared" si="283"/>
        <v>-1211.7899999999936</v>
      </c>
      <c r="W108" s="50">
        <f t="shared" si="284"/>
        <v>-468.11999999999534</v>
      </c>
      <c r="X108" s="50">
        <f t="shared" si="285"/>
        <v>-870.72999999999593</v>
      </c>
      <c r="Y108" s="50">
        <f t="shared" si="286"/>
        <v>2094.0299999999988</v>
      </c>
      <c r="Z108" s="50">
        <f t="shared" si="287"/>
        <v>-1594.5</v>
      </c>
      <c r="AA108" s="50">
        <f t="shared" si="288"/>
        <v>-2055.2000000000116</v>
      </c>
      <c r="AB108" s="50">
        <f t="shared" si="289"/>
        <v>1464.9400000000169</v>
      </c>
      <c r="AC108" s="50">
        <f t="shared" si="290"/>
        <v>-1006.7500000000146</v>
      </c>
      <c r="AD108" s="50">
        <f t="shared" si="291"/>
        <v>-1806.4399999999878</v>
      </c>
      <c r="AE108" s="50">
        <f t="shared" si="292"/>
        <v>-1082.5899999999965</v>
      </c>
      <c r="AG108" s="124"/>
      <c r="AH108" s="118" t="s">
        <v>12</v>
      </c>
      <c r="AI108" s="112">
        <v>53384</v>
      </c>
      <c r="AJ108" s="112">
        <v>88668</v>
      </c>
      <c r="AK108" s="112">
        <v>81416</v>
      </c>
      <c r="AL108" s="112">
        <v>81918</v>
      </c>
      <c r="AM108" s="112">
        <v>87586</v>
      </c>
      <c r="AN108" s="112">
        <v>91103</v>
      </c>
      <c r="AO108" s="112">
        <v>101943</v>
      </c>
      <c r="AP108" s="112">
        <v>100496</v>
      </c>
      <c r="AQ108" s="112">
        <v>94373</v>
      </c>
      <c r="AR108" s="112">
        <v>59568</v>
      </c>
      <c r="AS108" s="112">
        <v>66146</v>
      </c>
      <c r="AT108" s="112">
        <v>67398</v>
      </c>
    </row>
    <row r="109" spans="1:46" ht="19.5" thickBot="1">
      <c r="B109" s="148" t="s">
        <v>754</v>
      </c>
      <c r="C109" s="972">
        <v>479019</v>
      </c>
      <c r="D109" s="1005">
        <v>491525</v>
      </c>
      <c r="E109" s="1004">
        <v>467697</v>
      </c>
      <c r="F109" s="150">
        <f t="shared" ref="F109" si="293">E109+F107-F108</f>
        <v>529931.59000000008</v>
      </c>
      <c r="G109" s="150">
        <f t="shared" ref="G109" si="294">F109+G107-G108</f>
        <v>506533.87000000011</v>
      </c>
      <c r="H109" s="150">
        <f t="shared" ref="H109" si="295">G109+H107-H108</f>
        <v>419818.60000000009</v>
      </c>
      <c r="I109" s="150">
        <f t="shared" ref="I109" si="296">H109+I107-I108</f>
        <v>347132.93000000005</v>
      </c>
      <c r="J109" s="150">
        <f t="shared" ref="J109:O109" si="297">I109+J107-J108</f>
        <v>296248.43000000005</v>
      </c>
      <c r="K109" s="150">
        <f t="shared" si="297"/>
        <v>300485.39000000007</v>
      </c>
      <c r="L109" s="150">
        <f t="shared" si="297"/>
        <v>242879.45000000007</v>
      </c>
      <c r="M109" s="150">
        <f t="shared" si="297"/>
        <v>252228.60000000009</v>
      </c>
      <c r="N109" s="150">
        <f t="shared" si="297"/>
        <v>284138.64000000013</v>
      </c>
      <c r="O109" s="151">
        <f t="shared" si="297"/>
        <v>247613.9500000001</v>
      </c>
      <c r="P109" s="159"/>
      <c r="Q109" s="193" t="s">
        <v>755</v>
      </c>
      <c r="R109" s="399">
        <f>R108*(SUM(L108:M108)/60)</f>
        <v>210419.19583333339</v>
      </c>
      <c r="S109" s="158"/>
      <c r="T109" s="50">
        <f>D109-AI109</f>
        <v>0</v>
      </c>
      <c r="U109" s="50">
        <f t="shared" si="282"/>
        <v>-4468</v>
      </c>
      <c r="V109" s="50">
        <f t="shared" si="283"/>
        <v>115206.59000000008</v>
      </c>
      <c r="W109" s="50">
        <f t="shared" si="284"/>
        <v>153508.87000000011</v>
      </c>
      <c r="X109" s="50">
        <f t="shared" si="285"/>
        <v>139345.60000000009</v>
      </c>
      <c r="Y109" s="50">
        <f t="shared" si="286"/>
        <v>107348.93000000005</v>
      </c>
      <c r="Z109" s="50">
        <f t="shared" si="287"/>
        <v>62892.430000000051</v>
      </c>
      <c r="AA109" s="50">
        <f t="shared" si="288"/>
        <v>78720.390000000072</v>
      </c>
      <c r="AB109" s="50">
        <f t="shared" si="289"/>
        <v>55871.45000000007</v>
      </c>
      <c r="AC109" s="50">
        <f t="shared" si="290"/>
        <v>65172.600000000093</v>
      </c>
      <c r="AD109" s="50">
        <f t="shared" si="291"/>
        <v>87930.64000000013</v>
      </c>
      <c r="AE109" s="50">
        <f t="shared" si="292"/>
        <v>69037.950000000099</v>
      </c>
      <c r="AG109" s="148" t="s">
        <v>754</v>
      </c>
      <c r="AH109" s="972">
        <v>479019</v>
      </c>
      <c r="AI109" s="1005">
        <v>491525</v>
      </c>
      <c r="AJ109" s="150">
        <v>472165</v>
      </c>
      <c r="AK109" s="150">
        <v>414725</v>
      </c>
      <c r="AL109" s="150">
        <v>353025</v>
      </c>
      <c r="AM109" s="150">
        <v>280473</v>
      </c>
      <c r="AN109" s="150">
        <v>239784</v>
      </c>
      <c r="AO109" s="150">
        <v>233356</v>
      </c>
      <c r="AP109" s="150">
        <v>221765</v>
      </c>
      <c r="AQ109" s="150">
        <v>187008</v>
      </c>
      <c r="AR109" s="150">
        <v>187056</v>
      </c>
      <c r="AS109" s="150">
        <v>196208</v>
      </c>
      <c r="AT109" s="151">
        <v>178576</v>
      </c>
    </row>
    <row r="110" spans="1:46">
      <c r="C110" t="s">
        <v>756</v>
      </c>
      <c r="D110" s="190">
        <f t="shared" ref="D110:M110" si="298">D109/(SUM(E108:F108)/60)</f>
        <v>199.69703661014151</v>
      </c>
      <c r="E110" s="190">
        <f t="shared" si="298"/>
        <v>173.59177240736682</v>
      </c>
      <c r="F110" s="190">
        <f t="shared" si="298"/>
        <v>189.07541425794821</v>
      </c>
      <c r="G110" s="190">
        <f t="shared" si="298"/>
        <v>168.92692828672642</v>
      </c>
      <c r="H110" s="190">
        <f t="shared" si="298"/>
        <v>130.14568716725211</v>
      </c>
      <c r="I110" s="190">
        <f t="shared" si="298"/>
        <v>104.77412919105809</v>
      </c>
      <c r="J110" s="190">
        <f t="shared" si="298"/>
        <v>91.49177002074444</v>
      </c>
      <c r="K110" s="190">
        <f t="shared" si="298"/>
        <v>116.76954652417544</v>
      </c>
      <c r="L110" s="190">
        <f t="shared" si="298"/>
        <v>118.5734007774237</v>
      </c>
      <c r="M110" s="190">
        <f t="shared" si="298"/>
        <v>115.82962362625781</v>
      </c>
      <c r="N110" s="190">
        <f>N109/(SUM(O108,D108)/60)</f>
        <v>142.42608547527516</v>
      </c>
      <c r="O110" s="190">
        <f>O109/(SUM(D108,E108)/60)</f>
        <v>122.92498820959621</v>
      </c>
      <c r="Q110" s="58" t="s">
        <v>757</v>
      </c>
      <c r="R110" s="400">
        <f>R109/SUM(G108:K108)</f>
        <v>0.45728244932154377</v>
      </c>
      <c r="S110" s="95"/>
      <c r="AF110" s="50"/>
      <c r="AH110" t="s">
        <v>756</v>
      </c>
      <c r="AI110" s="190">
        <v>173.4</v>
      </c>
      <c r="AJ110" s="190">
        <v>173.4</v>
      </c>
      <c r="AK110" s="190">
        <v>146.80000000000001</v>
      </c>
      <c r="AL110" s="190">
        <v>118.5</v>
      </c>
      <c r="AM110" s="190">
        <v>87.2</v>
      </c>
      <c r="AN110" s="190">
        <v>71.099999999999994</v>
      </c>
      <c r="AO110" s="190">
        <v>71.8</v>
      </c>
      <c r="AP110" s="190">
        <v>86.4</v>
      </c>
      <c r="AQ110" s="190">
        <v>89.3</v>
      </c>
      <c r="AR110" s="190">
        <v>84</v>
      </c>
      <c r="AS110" s="190">
        <v>97.5</v>
      </c>
      <c r="AT110" s="190">
        <v>75.400000000000006</v>
      </c>
    </row>
    <row r="111" spans="1:46">
      <c r="C111" s="195" t="s">
        <v>719</v>
      </c>
      <c r="D111" s="112"/>
      <c r="E111" s="112"/>
      <c r="F111" s="112"/>
      <c r="G111" s="248">
        <v>250000</v>
      </c>
      <c r="H111" s="112"/>
      <c r="I111" s="112"/>
      <c r="J111" s="112"/>
      <c r="K111" s="248">
        <v>150000</v>
      </c>
      <c r="L111" s="112"/>
      <c r="M111" s="112"/>
      <c r="N111" s="112"/>
      <c r="O111" s="248">
        <v>150000</v>
      </c>
      <c r="AH111" s="195" t="s">
        <v>719</v>
      </c>
      <c r="AI111" s="112"/>
      <c r="AJ111" s="112"/>
      <c r="AK111" s="112"/>
      <c r="AL111" s="248">
        <v>250000</v>
      </c>
      <c r="AM111" s="112"/>
      <c r="AN111" s="112"/>
      <c r="AO111" s="112"/>
      <c r="AP111" s="248">
        <v>150000</v>
      </c>
      <c r="AQ111" s="112"/>
      <c r="AR111" s="112"/>
      <c r="AS111" s="112"/>
      <c r="AT111" s="248">
        <v>150000</v>
      </c>
    </row>
    <row r="112" spans="1:46" ht="15" customHeight="1" thickBot="1">
      <c r="D112" s="121"/>
      <c r="E112" s="121"/>
      <c r="F112" s="121"/>
      <c r="G112" s="112">
        <f>G109-G111</f>
        <v>256533.87000000011</v>
      </c>
      <c r="H112" s="112"/>
      <c r="I112" s="112"/>
      <c r="J112" s="112"/>
      <c r="K112" s="112">
        <f>K109-K111</f>
        <v>150485.39000000007</v>
      </c>
      <c r="L112" s="112"/>
      <c r="M112" s="112"/>
      <c r="N112" s="112"/>
      <c r="O112" s="112">
        <f>O109-O111</f>
        <v>97613.950000000099</v>
      </c>
      <c r="AI112" s="121"/>
      <c r="AJ112" s="121"/>
      <c r="AK112" s="121"/>
      <c r="AL112" s="112">
        <v>103025</v>
      </c>
      <c r="AM112" s="112"/>
      <c r="AN112" s="112"/>
      <c r="AO112" s="112"/>
      <c r="AP112" s="112">
        <v>71765</v>
      </c>
      <c r="AQ112" s="112"/>
      <c r="AR112" s="112"/>
      <c r="AS112" s="112"/>
      <c r="AT112" s="112">
        <v>28576</v>
      </c>
    </row>
    <row r="113" spans="1:46">
      <c r="B113" s="108"/>
      <c r="C113" s="200"/>
      <c r="D113" s="109" t="s">
        <v>68</v>
      </c>
      <c r="E113" s="109" t="s">
        <v>69</v>
      </c>
      <c r="F113" s="109" t="s">
        <v>70</v>
      </c>
      <c r="G113" s="109" t="s">
        <v>71</v>
      </c>
      <c r="H113" s="109" t="s">
        <v>72</v>
      </c>
      <c r="I113" s="109" t="s">
        <v>73</v>
      </c>
      <c r="J113" s="109" t="s">
        <v>74</v>
      </c>
      <c r="K113" s="109" t="s">
        <v>75</v>
      </c>
      <c r="L113" s="109" t="s">
        <v>76</v>
      </c>
      <c r="M113" s="109" t="s">
        <v>77</v>
      </c>
      <c r="N113" s="109" t="s">
        <v>78</v>
      </c>
      <c r="O113" s="110" t="s">
        <v>79</v>
      </c>
      <c r="AG113" s="108"/>
      <c r="AH113" s="200"/>
      <c r="AI113" s="109" t="s">
        <v>68</v>
      </c>
      <c r="AJ113" s="109" t="s">
        <v>69</v>
      </c>
      <c r="AK113" s="109" t="s">
        <v>70</v>
      </c>
      <c r="AL113" s="109" t="s">
        <v>71</v>
      </c>
      <c r="AM113" s="109" t="s">
        <v>72</v>
      </c>
      <c r="AN113" s="109" t="s">
        <v>73</v>
      </c>
      <c r="AO113" s="109" t="s">
        <v>74</v>
      </c>
      <c r="AP113" s="109" t="s">
        <v>75</v>
      </c>
      <c r="AQ113" s="109" t="s">
        <v>76</v>
      </c>
      <c r="AR113" s="109" t="s">
        <v>77</v>
      </c>
      <c r="AS113" s="109" t="s">
        <v>78</v>
      </c>
      <c r="AT113" s="110" t="s">
        <v>79</v>
      </c>
    </row>
    <row r="114" spans="1:46">
      <c r="A114" s="976"/>
      <c r="B114" s="406" t="s">
        <v>43</v>
      </c>
      <c r="C114" t="s">
        <v>196</v>
      </c>
      <c r="D114" s="112">
        <f>SUMIF('Cases post Attain'!$A:$A,"=Yasso Sandwich",'Cases post Attain'!D:D)</f>
        <v>0</v>
      </c>
      <c r="E114" s="112">
        <f>SUMIF('Cases post Attain'!$A:$A,"=Yasso Sandwich",'Cases post Attain'!E:E)</f>
        <v>33793</v>
      </c>
      <c r="F114" s="112">
        <f>SUMIF('Cases post Attain'!$A:$A,"=Yasso Sandwich",'Cases post Attain'!F:F)</f>
        <v>34332</v>
      </c>
      <c r="G114" s="112">
        <f>SUMIF('Cases post Attain'!$A:$A,"=Yasso Sandwich",'Cases post Attain'!G:G)</f>
        <v>0</v>
      </c>
      <c r="H114" s="112">
        <f>SUMIF('Cases post Attain'!$A:$A,"=Yasso Sandwich",'Cases post Attain'!H:H)</f>
        <v>11808</v>
      </c>
      <c r="I114" s="112">
        <f>SUMIF('Cases post Attain'!$A:$A,"=Yasso Sandwich",'Cases post Attain'!I:I)</f>
        <v>0</v>
      </c>
      <c r="J114" s="112">
        <f>SUMIF('Cases post Attain'!$A:$A,"=Yasso Sandwich",'Cases post Attain'!J:J)</f>
        <v>0</v>
      </c>
      <c r="K114" s="112">
        <f>SUMIF('Cases post Attain'!$A:$A,"=Yasso Sandwich",'Cases post Attain'!K:K)</f>
        <v>0</v>
      </c>
      <c r="L114" s="112">
        <f>SUMIF('Cases post Attain'!$A:$A,"=Yasso Sandwich",'Cases post Attain'!L:L)</f>
        <v>0</v>
      </c>
      <c r="M114" s="112">
        <f>SUMIF('Cases post Attain'!$A:$A,"=Yasso Sandwich",'Cases post Attain'!M:M)</f>
        <v>7065.5999999999995</v>
      </c>
      <c r="N114" s="112">
        <f>SUMIF('Cases post Attain'!$A:$A,"=Yasso Sandwich",'Cases post Attain'!N:N)</f>
        <v>0</v>
      </c>
      <c r="O114" s="112">
        <f>SUMIF('Cases post Attain'!$A:$A,"=Yasso Sandwich",'Cases post Attain'!O:O)</f>
        <v>0</v>
      </c>
      <c r="Q114" s="192" t="s">
        <v>752</v>
      </c>
      <c r="R114" s="397">
        <v>90</v>
      </c>
      <c r="S114" s="94"/>
      <c r="T114" s="50" t="e">
        <f>D114-AI114</f>
        <v>#VALUE!</v>
      </c>
      <c r="U114" s="50">
        <f t="shared" ref="U114:U116" si="299">E114-AJ114</f>
        <v>-2610</v>
      </c>
      <c r="V114" s="50" t="e">
        <f t="shared" ref="V114:V116" si="300">F114-AK114</f>
        <v>#VALUE!</v>
      </c>
      <c r="W114" s="50" t="e">
        <f t="shared" ref="W114:W116" si="301">G114-AL114</f>
        <v>#VALUE!</v>
      </c>
      <c r="X114" s="50">
        <f t="shared" ref="X114:X116" si="302">H114-AM114</f>
        <v>4742</v>
      </c>
      <c r="Y114" s="50" t="e">
        <f t="shared" ref="Y114:Y116" si="303">I114-AN114</f>
        <v>#VALUE!</v>
      </c>
      <c r="Z114" s="50" t="e">
        <f t="shared" ref="Z114:Z116" si="304">J114-AO114</f>
        <v>#VALUE!</v>
      </c>
      <c r="AA114" s="50">
        <f t="shared" ref="AA114:AA116" si="305">K114-AP114</f>
        <v>-14131</v>
      </c>
      <c r="AB114" s="50">
        <f t="shared" ref="AB114:AB116" si="306">L114-AQ114</f>
        <v>-7066</v>
      </c>
      <c r="AC114" s="50">
        <f t="shared" ref="AC114:AC116" si="307">M114-AR114</f>
        <v>-0.4000000000005457</v>
      </c>
      <c r="AD114" s="50">
        <f t="shared" ref="AD114:AD116" si="308">N114-AS114</f>
        <v>-7066</v>
      </c>
      <c r="AE114" s="50" t="e">
        <f t="shared" ref="AE114:AE116" si="309">O114-AT114</f>
        <v>#VALUE!</v>
      </c>
      <c r="AG114" s="406" t="s">
        <v>43</v>
      </c>
      <c r="AH114" t="s">
        <v>196</v>
      </c>
      <c r="AI114" s="112" t="s">
        <v>1348</v>
      </c>
      <c r="AJ114" s="112">
        <v>36403</v>
      </c>
      <c r="AK114" s="112" t="s">
        <v>1348</v>
      </c>
      <c r="AL114" s="112" t="s">
        <v>1348</v>
      </c>
      <c r="AM114" s="112">
        <v>7066</v>
      </c>
      <c r="AN114" s="112" t="s">
        <v>1348</v>
      </c>
      <c r="AO114" s="112" t="s">
        <v>1348</v>
      </c>
      <c r="AP114" s="112">
        <v>14131</v>
      </c>
      <c r="AQ114" s="112">
        <v>7066</v>
      </c>
      <c r="AR114" s="112">
        <v>7066</v>
      </c>
      <c r="AS114" s="112">
        <v>7066</v>
      </c>
      <c r="AT114" s="112" t="s">
        <v>1348</v>
      </c>
    </row>
    <row r="115" spans="1:46">
      <c r="B115" s="111"/>
      <c r="C115" t="s">
        <v>12</v>
      </c>
      <c r="D115" s="112">
        <f>SUMIF('MRF3 Demand'!$D:$D,"=Yasso Sandwich",'MRF3 Demand'!G:G)</f>
        <v>10106</v>
      </c>
      <c r="E115" s="112">
        <f>SUMIF('MRF3 Demand'!$D:$D,"=Yasso Sandwich",'MRF3 Demand'!H:H)</f>
        <v>10545</v>
      </c>
      <c r="F115" s="112">
        <f>SUMIF('MRF3 Demand'!$D:$D,"=Yasso Sandwich",'MRF3 Demand'!I:I)</f>
        <v>12404.59</v>
      </c>
      <c r="G115" s="112">
        <f>SUMIF('MRF3 Demand'!$D:$D,"=Yasso Sandwich",'MRF3 Demand'!J:J)</f>
        <v>11308.48</v>
      </c>
      <c r="H115" s="112">
        <f>SUMIF('MRF3 Demand'!$D:$D,"=Yasso Sandwich",'MRF3 Demand'!K:K)</f>
        <v>12276.67</v>
      </c>
      <c r="I115" s="112">
        <f>SUMIF('MRF3 Demand'!$D:$D,"=Yasso Sandwich",'MRF3 Demand'!L:L)</f>
        <v>12667</v>
      </c>
      <c r="J115" s="755">
        <f>SUMIF('MRF3 Demand'!$D:$D,"=Yasso Sandwich",'MRF3 Demand'!M:M)</f>
        <v>12059.08</v>
      </c>
      <c r="K115" s="112">
        <f>SUMIF('MRF3 Demand'!$D:$D,"=Yasso Sandwich",'MRF3 Demand'!N:N)</f>
        <v>12970.11</v>
      </c>
      <c r="L115" s="112">
        <f>SUMIF('MRF3 Demand'!$D:$D,"=Yasso Sandwich",'MRF3 Demand'!O:O)</f>
        <v>11610.150000000001</v>
      </c>
      <c r="M115" s="112">
        <f>SUMIF('MRF3 Demand'!$D:$D,"=Yasso Sandwich",'MRF3 Demand'!P:P)</f>
        <v>12014.43</v>
      </c>
      <c r="N115" s="112">
        <f>SUMIF('MRF3 Demand'!$D:$D,"=Yasso Sandwich",'MRF3 Demand'!Q:Q)</f>
        <v>10454.17</v>
      </c>
      <c r="O115" s="112">
        <f>SUMIF('MRF3 Demand'!$D:$D,"=Yasso Sandwich",'MRF3 Demand'!R:R)</f>
        <v>10891.030000000002</v>
      </c>
      <c r="Q115" s="58" t="s">
        <v>753</v>
      </c>
      <c r="R115" s="398">
        <f>K117-R114</f>
        <v>71.89257967760696</v>
      </c>
      <c r="S115" s="94"/>
      <c r="T115" s="50">
        <f>D115-AI115</f>
        <v>0</v>
      </c>
      <c r="U115" s="50">
        <f t="shared" si="299"/>
        <v>294</v>
      </c>
      <c r="V115" s="50">
        <f t="shared" si="300"/>
        <v>479.59000000000015</v>
      </c>
      <c r="W115" s="50">
        <f t="shared" si="301"/>
        <v>304.47999999999956</v>
      </c>
      <c r="X115" s="50">
        <f t="shared" si="302"/>
        <v>-341.32999999999993</v>
      </c>
      <c r="Y115" s="50">
        <f t="shared" si="303"/>
        <v>704</v>
      </c>
      <c r="Z115" s="50">
        <f t="shared" si="304"/>
        <v>547.07999999999993</v>
      </c>
      <c r="AA115" s="50">
        <f t="shared" si="305"/>
        <v>-338.88999999999942</v>
      </c>
      <c r="AB115" s="50">
        <f t="shared" si="306"/>
        <v>928.15000000000146</v>
      </c>
      <c r="AC115" s="50">
        <f t="shared" si="307"/>
        <v>861.43000000000029</v>
      </c>
      <c r="AD115" s="50">
        <f t="shared" si="308"/>
        <v>118.17000000000007</v>
      </c>
      <c r="AE115" s="50">
        <f t="shared" si="309"/>
        <v>236.03000000000247</v>
      </c>
      <c r="AG115" s="111"/>
      <c r="AH115" t="s">
        <v>12</v>
      </c>
      <c r="AI115" s="112">
        <v>10106</v>
      </c>
      <c r="AJ115" s="112">
        <v>10251</v>
      </c>
      <c r="AK115" s="112">
        <v>11925</v>
      </c>
      <c r="AL115" s="112">
        <v>11004</v>
      </c>
      <c r="AM115" s="112">
        <v>12618</v>
      </c>
      <c r="AN115" s="112">
        <v>11963</v>
      </c>
      <c r="AO115" s="755">
        <v>11512</v>
      </c>
      <c r="AP115" s="112">
        <v>13309</v>
      </c>
      <c r="AQ115" s="112">
        <v>10682</v>
      </c>
      <c r="AR115" s="112">
        <v>11153</v>
      </c>
      <c r="AS115" s="112">
        <v>10336</v>
      </c>
      <c r="AT115" s="112">
        <v>10655</v>
      </c>
    </row>
    <row r="116" spans="1:46" ht="19.5" thickBot="1">
      <c r="B116" s="148" t="s">
        <v>754</v>
      </c>
      <c r="C116" s="972">
        <v>78593</v>
      </c>
      <c r="D116" s="1005">
        <v>68423</v>
      </c>
      <c r="E116" s="1004">
        <v>91290</v>
      </c>
      <c r="F116" s="150">
        <f t="shared" ref="F116" si="310">E116+F114-F115</f>
        <v>113217.41</v>
      </c>
      <c r="G116" s="150">
        <f t="shared" ref="G116" si="311">F116+G114-G115</f>
        <v>101908.93000000001</v>
      </c>
      <c r="H116" s="150">
        <f t="shared" ref="H116" si="312">G116+H114-H115</f>
        <v>101440.26000000001</v>
      </c>
      <c r="I116" s="150">
        <f t="shared" ref="I116" si="313">H116+I114-I115</f>
        <v>88773.260000000009</v>
      </c>
      <c r="J116" s="150">
        <f t="shared" ref="J116" si="314">I116+J114-J115</f>
        <v>76714.180000000008</v>
      </c>
      <c r="K116" s="150">
        <f t="shared" ref="K116" si="315">J116+K114-K115</f>
        <v>63744.070000000007</v>
      </c>
      <c r="L116" s="150">
        <f t="shared" ref="L116" si="316">K116+L114-L115</f>
        <v>52133.920000000006</v>
      </c>
      <c r="M116" s="150">
        <f t="shared" ref="M116" si="317">L116+M114-M115</f>
        <v>47185.090000000004</v>
      </c>
      <c r="N116" s="150">
        <f t="shared" ref="N116" si="318">M116+N114-N115</f>
        <v>36730.920000000006</v>
      </c>
      <c r="O116" s="151">
        <f t="shared" ref="O116" si="319">N116+O114-O115</f>
        <v>25839.890000000003</v>
      </c>
      <c r="P116" s="128"/>
      <c r="Q116" s="193" t="s">
        <v>755</v>
      </c>
      <c r="R116" s="399">
        <f>R115*(SUM(L115:M115)/60)</f>
        <v>28307.200000000001</v>
      </c>
      <c r="S116" s="158"/>
      <c r="T116" s="50">
        <f>D116-AI116</f>
        <v>0</v>
      </c>
      <c r="U116" s="50">
        <f t="shared" si="299"/>
        <v>-3285</v>
      </c>
      <c r="V116" s="50">
        <f t="shared" si="300"/>
        <v>30567.410000000003</v>
      </c>
      <c r="W116" s="50">
        <f t="shared" si="301"/>
        <v>30262.930000000008</v>
      </c>
      <c r="X116" s="50">
        <f t="shared" si="302"/>
        <v>35347.260000000009</v>
      </c>
      <c r="Y116" s="50">
        <f t="shared" si="303"/>
        <v>34643.260000000009</v>
      </c>
      <c r="Z116" s="50">
        <f t="shared" si="304"/>
        <v>34096.180000000008</v>
      </c>
      <c r="AA116" s="50">
        <f t="shared" si="305"/>
        <v>20304.070000000007</v>
      </c>
      <c r="AB116" s="50">
        <f t="shared" si="306"/>
        <v>12309.920000000006</v>
      </c>
      <c r="AC116" s="50">
        <f t="shared" si="307"/>
        <v>11448.090000000004</v>
      </c>
      <c r="AD116" s="50">
        <f t="shared" si="308"/>
        <v>4264.9200000000055</v>
      </c>
      <c r="AE116" s="50">
        <f t="shared" si="309"/>
        <v>4027.8900000000031</v>
      </c>
      <c r="AG116" s="148" t="s">
        <v>754</v>
      </c>
      <c r="AH116" s="972">
        <v>78593</v>
      </c>
      <c r="AI116" s="1005">
        <v>68423</v>
      </c>
      <c r="AJ116" s="150">
        <v>94575</v>
      </c>
      <c r="AK116" s="150">
        <v>82650</v>
      </c>
      <c r="AL116" s="150">
        <v>71646</v>
      </c>
      <c r="AM116" s="150">
        <v>66093</v>
      </c>
      <c r="AN116" s="150">
        <v>54130</v>
      </c>
      <c r="AO116" s="150">
        <v>42618</v>
      </c>
      <c r="AP116" s="150">
        <v>43440</v>
      </c>
      <c r="AQ116" s="150">
        <v>39824</v>
      </c>
      <c r="AR116" s="150">
        <v>35737</v>
      </c>
      <c r="AS116" s="150">
        <v>32466</v>
      </c>
      <c r="AT116" s="151">
        <v>21812</v>
      </c>
    </row>
    <row r="117" spans="1:46">
      <c r="C117" t="s">
        <v>756</v>
      </c>
      <c r="D117" s="190">
        <f t="shared" ref="D117:M117" si="320">D116/(SUM(E115:F115)/60)</f>
        <v>178.88685593075954</v>
      </c>
      <c r="E117" s="190">
        <f t="shared" si="320"/>
        <v>230.98654033408582</v>
      </c>
      <c r="F117" s="190">
        <f t="shared" si="320"/>
        <v>288.02210713097008</v>
      </c>
      <c r="G117" s="190">
        <f t="shared" si="320"/>
        <v>245.13376740471634</v>
      </c>
      <c r="H117" s="190">
        <f>H116/(SUM(I115:J115)/60)</f>
        <v>246.1536806481254</v>
      </c>
      <c r="I117" s="190">
        <f t="shared" si="320"/>
        <v>212.80735013797889</v>
      </c>
      <c r="J117" s="190">
        <f t="shared" si="320"/>
        <v>187.25801923982903</v>
      </c>
      <c r="K117" s="190">
        <f t="shared" si="320"/>
        <v>161.89257967760696</v>
      </c>
      <c r="L117" s="190">
        <f t="shared" si="320"/>
        <v>139.21807322218567</v>
      </c>
      <c r="M117" s="190">
        <f t="shared" si="320"/>
        <v>132.63428780240989</v>
      </c>
      <c r="N117" s="190">
        <f>N116/(SUM(O115,D115)/60)</f>
        <v>104.96033010382898</v>
      </c>
      <c r="O117" s="190">
        <f>O116/(SUM(D115,E115)/60)</f>
        <v>75.075947895985678</v>
      </c>
      <c r="Q117" s="58" t="s">
        <v>757</v>
      </c>
      <c r="R117" s="400">
        <f>R116/SUM(G115:K115)</f>
        <v>0.46192201410739386</v>
      </c>
      <c r="S117" s="95"/>
      <c r="AF117" s="50"/>
      <c r="AH117" t="s">
        <v>756</v>
      </c>
      <c r="AI117" s="190">
        <v>185.1</v>
      </c>
      <c r="AJ117" s="190">
        <v>247.5</v>
      </c>
      <c r="AK117" s="190">
        <v>209.9</v>
      </c>
      <c r="AL117" s="190">
        <v>174.9</v>
      </c>
      <c r="AM117" s="190">
        <v>168.9</v>
      </c>
      <c r="AN117" s="190">
        <v>130.80000000000001</v>
      </c>
      <c r="AO117" s="190">
        <v>106.6</v>
      </c>
      <c r="AP117" s="190">
        <v>119.4</v>
      </c>
      <c r="AQ117" s="190">
        <v>111.2</v>
      </c>
      <c r="AR117" s="190">
        <v>102.2</v>
      </c>
      <c r="AS117" s="190">
        <v>93.8</v>
      </c>
      <c r="AT117" s="190">
        <v>64.3</v>
      </c>
    </row>
    <row r="118" spans="1:46">
      <c r="C118" s="195" t="s">
        <v>719</v>
      </c>
      <c r="D118" s="112"/>
      <c r="E118" s="112"/>
      <c r="F118" s="112"/>
      <c r="G118" s="121">
        <v>50000</v>
      </c>
      <c r="H118" s="112"/>
      <c r="I118" s="112"/>
      <c r="J118" s="112"/>
      <c r="K118" s="121">
        <v>40000</v>
      </c>
      <c r="L118" s="112"/>
      <c r="M118" s="112"/>
      <c r="N118" s="112"/>
      <c r="O118" s="121">
        <v>40000</v>
      </c>
      <c r="P118" s="1014" t="s">
        <v>1315</v>
      </c>
      <c r="AH118" s="195" t="s">
        <v>719</v>
      </c>
      <c r="AI118" s="112"/>
      <c r="AJ118" s="112"/>
      <c r="AK118" s="112"/>
      <c r="AL118" s="121">
        <v>50000</v>
      </c>
      <c r="AM118" s="112"/>
      <c r="AN118" s="112"/>
      <c r="AO118" s="112"/>
      <c r="AP118" s="121">
        <v>40000</v>
      </c>
      <c r="AQ118" s="112"/>
      <c r="AR118" s="112"/>
      <c r="AS118" s="112"/>
      <c r="AT118" s="121">
        <v>40000</v>
      </c>
    </row>
    <row r="119" spans="1:46" ht="15.75" thickBot="1">
      <c r="G119" s="112">
        <f>G116-G118</f>
        <v>51908.930000000008</v>
      </c>
      <c r="H119" s="112"/>
      <c r="I119" s="112"/>
      <c r="J119" s="112"/>
      <c r="K119" s="112">
        <f>K116-K118</f>
        <v>23744.070000000007</v>
      </c>
      <c r="L119" s="112"/>
      <c r="M119" s="112"/>
      <c r="N119" s="112"/>
      <c r="O119" s="112">
        <f>O116-O118</f>
        <v>-14160.109999999997</v>
      </c>
      <c r="P119" s="1014" t="s">
        <v>1252</v>
      </c>
      <c r="AL119" s="112">
        <v>21646</v>
      </c>
      <c r="AM119" s="112"/>
      <c r="AN119" s="112"/>
      <c r="AO119" s="112"/>
      <c r="AP119" s="112">
        <v>3440</v>
      </c>
      <c r="AQ119" s="112"/>
      <c r="AR119" s="112"/>
      <c r="AS119" s="112"/>
      <c r="AT119" s="112">
        <v>-18188</v>
      </c>
    </row>
    <row r="120" spans="1:46">
      <c r="B120" s="108"/>
      <c r="C120" s="200"/>
      <c r="D120" s="109" t="s">
        <v>68</v>
      </c>
      <c r="E120" s="109" t="s">
        <v>69</v>
      </c>
      <c r="F120" s="109" t="s">
        <v>70</v>
      </c>
      <c r="G120" s="109" t="s">
        <v>71</v>
      </c>
      <c r="H120" s="109" t="s">
        <v>72</v>
      </c>
      <c r="I120" s="109" t="s">
        <v>73</v>
      </c>
      <c r="J120" s="109" t="s">
        <v>74</v>
      </c>
      <c r="K120" s="109" t="s">
        <v>75</v>
      </c>
      <c r="L120" s="109" t="s">
        <v>76</v>
      </c>
      <c r="M120" s="109" t="s">
        <v>77</v>
      </c>
      <c r="N120" s="109" t="s">
        <v>78</v>
      </c>
      <c r="O120" s="110" t="s">
        <v>79</v>
      </c>
      <c r="P120" s="1014" t="s">
        <v>761</v>
      </c>
      <c r="AG120" s="108"/>
      <c r="AH120" s="200"/>
      <c r="AI120" s="109" t="s">
        <v>68</v>
      </c>
      <c r="AJ120" s="109" t="s">
        <v>69</v>
      </c>
      <c r="AK120" s="109" t="s">
        <v>70</v>
      </c>
      <c r="AL120" s="109" t="s">
        <v>71</v>
      </c>
      <c r="AM120" s="109" t="s">
        <v>72</v>
      </c>
      <c r="AN120" s="109" t="s">
        <v>73</v>
      </c>
      <c r="AO120" s="109" t="s">
        <v>74</v>
      </c>
      <c r="AP120" s="109" t="s">
        <v>75</v>
      </c>
      <c r="AQ120" s="109" t="s">
        <v>76</v>
      </c>
      <c r="AR120" s="109" t="s">
        <v>77</v>
      </c>
      <c r="AS120" s="109" t="s">
        <v>78</v>
      </c>
      <c r="AT120" s="110" t="s">
        <v>79</v>
      </c>
    </row>
    <row r="121" spans="1:46">
      <c r="A121" s="157"/>
      <c r="B121" s="123" t="s">
        <v>38</v>
      </c>
      <c r="C121" t="s">
        <v>196</v>
      </c>
      <c r="D121" s="112">
        <f>SUMIF('Cases post Attain'!$A:$A,"=Other",'Cases post Attain'!D:D)</f>
        <v>272641</v>
      </c>
      <c r="E121" s="112">
        <f>SUMIF('Cases post Attain'!$A:$A,"=Other",'Cases post Attain'!E:E)</f>
        <v>440599</v>
      </c>
      <c r="F121" s="112">
        <f>SUMIF('Cases post Attain'!$A:$A,"=Other",'Cases post Attain'!F:F)</f>
        <v>495154.84</v>
      </c>
      <c r="G121" s="112">
        <f>SUMIF('Cases post Attain'!$A:$A,"=Other",'Cases post Attain'!G:G)</f>
        <v>549682.55999999994</v>
      </c>
      <c r="H121" s="112">
        <f>SUMIF('Cases post Attain'!$A:$A,"=Other",'Cases post Attain'!H:H)</f>
        <v>554352.96</v>
      </c>
      <c r="I121" s="112">
        <f>SUMIF('Cases post Attain'!$A:$A,"=Other",'Cases post Attain'!I:I)</f>
        <v>522756.48</v>
      </c>
      <c r="J121" s="112">
        <f>SUMIF('Cases post Attain'!$A:$A,"=Other",'Cases post Attain'!J:J)</f>
        <v>301422.57</v>
      </c>
      <c r="K121" s="112">
        <f>SUMIF('Cases post Attain'!$A:$A,"=Other",'Cases post Attain'!K:K)</f>
        <v>210153.40000000002</v>
      </c>
      <c r="L121" s="112">
        <f>SUMIF('Cases post Attain'!$A:$A,"=Other",'Cases post Attain'!L:L)</f>
        <v>132113.93</v>
      </c>
      <c r="M121" s="112">
        <f>SUMIF('Cases post Attain'!$A:$A,"=Other",'Cases post Attain'!M:M)</f>
        <v>138737.07999999999</v>
      </c>
      <c r="N121" s="112">
        <f>SUMIF('Cases post Attain'!$A:$A,"=Other",'Cases post Attain'!N:N)</f>
        <v>106263.04999999999</v>
      </c>
      <c r="O121" s="112">
        <f>SUMIF('Cases post Attain'!$A:$A,"=Other",'Cases post Attain'!O:O)</f>
        <v>67660.600000000006</v>
      </c>
      <c r="P121" s="1032" t="s">
        <v>1314</v>
      </c>
      <c r="Q121" s="192" t="s">
        <v>752</v>
      </c>
      <c r="R121" s="397">
        <v>35</v>
      </c>
      <c r="S121" s="94"/>
      <c r="T121" s="50">
        <f>D121-AI121</f>
        <v>0</v>
      </c>
      <c r="U121" s="50">
        <f t="shared" ref="U121:U123" si="321">E121-AJ121</f>
        <v>-52612</v>
      </c>
      <c r="V121" s="50">
        <f t="shared" ref="V121:V123" si="322">F121-AK121</f>
        <v>-190573.15999999997</v>
      </c>
      <c r="W121" s="50">
        <f t="shared" ref="W121:W123" si="323">G121-AL121</f>
        <v>56297.559999999939</v>
      </c>
      <c r="X121" s="50">
        <f t="shared" ref="X121:X123" si="324">H121-AM121</f>
        <v>-103157.04000000004</v>
      </c>
      <c r="Y121" s="50">
        <f t="shared" ref="Y121:Y123" si="325">I121-AN121</f>
        <v>-181177.52000000002</v>
      </c>
      <c r="Z121" s="50">
        <f t="shared" ref="Z121:Z123" si="326">J121-AO121</f>
        <v>-218464.43</v>
      </c>
      <c r="AA121" s="50">
        <f t="shared" ref="AA121:AA123" si="327">K121-AP121</f>
        <v>-82293.599999999977</v>
      </c>
      <c r="AB121" s="50">
        <f t="shared" ref="AB121:AB123" si="328">L121-AQ121</f>
        <v>-35191.070000000007</v>
      </c>
      <c r="AC121" s="50">
        <f t="shared" ref="AC121:AC123" si="329">M121-AR121</f>
        <v>-75424.920000000013</v>
      </c>
      <c r="AD121" s="50">
        <f t="shared" ref="AD121:AD123" si="330">N121-AS121</f>
        <v>-45062.950000000012</v>
      </c>
      <c r="AE121" s="50">
        <f t="shared" ref="AE121:AE123" si="331">O121-AT121</f>
        <v>-31128.399999999994</v>
      </c>
      <c r="AG121" s="123" t="s">
        <v>38</v>
      </c>
      <c r="AH121" t="s">
        <v>196</v>
      </c>
      <c r="AI121" s="112">
        <v>272641</v>
      </c>
      <c r="AJ121" s="112">
        <v>493211</v>
      </c>
      <c r="AK121" s="112">
        <v>685728</v>
      </c>
      <c r="AL121" s="112">
        <v>493385</v>
      </c>
      <c r="AM121" s="112">
        <v>657510</v>
      </c>
      <c r="AN121" s="112">
        <v>703934</v>
      </c>
      <c r="AO121" s="112">
        <v>519887</v>
      </c>
      <c r="AP121" s="112">
        <v>292447</v>
      </c>
      <c r="AQ121" s="112">
        <v>167305</v>
      </c>
      <c r="AR121" s="112">
        <v>214162</v>
      </c>
      <c r="AS121" s="112">
        <v>151326</v>
      </c>
      <c r="AT121" s="112">
        <v>98789</v>
      </c>
    </row>
    <row r="122" spans="1:46">
      <c r="B122" s="111"/>
      <c r="C122" t="s">
        <v>12</v>
      </c>
      <c r="D122" s="112">
        <f>SUMIF('MRF3 Demand'!$D:$D,"=other",'MRF3 Demand'!G:G)</f>
        <v>75385</v>
      </c>
      <c r="E122" s="112">
        <f>SUMIF('MRF3 Demand'!$D:$D,"=other",'MRF3 Demand'!H:H)</f>
        <v>103149</v>
      </c>
      <c r="F122" s="112">
        <f>SUMIF('MRF3 Demand'!$D:$D,"=other",'MRF3 Demand'!I:I)</f>
        <v>230535.66181737179</v>
      </c>
      <c r="G122" s="112">
        <f>SUMIF('MRF3 Demand'!$D:$D,"=other",'MRF3 Demand'!J:J)</f>
        <v>334964.20799989998</v>
      </c>
      <c r="H122" s="112">
        <f>SUMIF('MRF3 Demand'!$D:$D,"=other",'MRF3 Demand'!K:K)</f>
        <v>472406.02800001</v>
      </c>
      <c r="I122" s="112">
        <f>SUMIF('MRF3 Demand'!$D:$D,"=other",'MRF3 Demand'!L:L)</f>
        <v>509564.36257099995</v>
      </c>
      <c r="J122" s="112">
        <f>SUMIF('MRF3 Demand'!$D:$D,"=other",'MRF3 Demand'!M:M)</f>
        <v>855637.93457099993</v>
      </c>
      <c r="K122" s="112">
        <f>SUMIF('MRF3 Demand'!$D:$D,"=other",'MRF3 Demand'!N:N)</f>
        <v>700565.45076499996</v>
      </c>
      <c r="L122" s="112">
        <f>SUMIF('MRF3 Demand'!$D:$D,"=other",'MRF3 Demand'!O:O)</f>
        <v>427654.96828597004</v>
      </c>
      <c r="M122" s="112">
        <f>SUMIF('MRF3 Demand'!$D:$D,"=other",'MRF3 Demand'!P:P)</f>
        <v>282220.05376499996</v>
      </c>
      <c r="N122" s="112">
        <f>SUMIF('MRF3 Demand'!$D:$D,"=other",'MRF3 Demand'!Q:Q)</f>
        <v>248044.197286018</v>
      </c>
      <c r="O122" s="112">
        <f>SUMIF('MRF3 Demand'!$D:$D,"=other",'MRF3 Demand'!R:R)</f>
        <v>186845.20076459998</v>
      </c>
      <c r="P122" s="1014" t="s">
        <v>762</v>
      </c>
      <c r="Q122" s="58" t="s">
        <v>753</v>
      </c>
      <c r="R122" s="398">
        <f>K124-R121</f>
        <v>20.568358698653817</v>
      </c>
      <c r="S122" s="94"/>
      <c r="T122" s="50">
        <f>D122-AI122</f>
        <v>-6849</v>
      </c>
      <c r="U122" s="50">
        <f t="shared" si="321"/>
        <v>-26497</v>
      </c>
      <c r="V122" s="50">
        <f t="shared" si="322"/>
        <v>-40357.338182628213</v>
      </c>
      <c r="W122" s="50">
        <f t="shared" si="323"/>
        <v>-57078.792000100017</v>
      </c>
      <c r="X122" s="50">
        <f t="shared" si="324"/>
        <v>-273868.97199999</v>
      </c>
      <c r="Y122" s="50">
        <f t="shared" si="325"/>
        <v>-184493.63742900005</v>
      </c>
      <c r="Z122" s="50">
        <f t="shared" si="326"/>
        <v>-93730.065429000068</v>
      </c>
      <c r="AA122" s="50">
        <f t="shared" si="327"/>
        <v>-6646.5492350000422</v>
      </c>
      <c r="AB122" s="50">
        <f t="shared" si="328"/>
        <v>50907.968285970041</v>
      </c>
      <c r="AC122" s="50">
        <f t="shared" si="329"/>
        <v>30209.053764999961</v>
      </c>
      <c r="AD122" s="50">
        <f t="shared" si="330"/>
        <v>26035.197286017996</v>
      </c>
      <c r="AE122" s="50">
        <f t="shared" si="331"/>
        <v>-36144.799235400016</v>
      </c>
      <c r="AG122" s="111"/>
      <c r="AH122" t="s">
        <v>12</v>
      </c>
      <c r="AI122" s="112">
        <v>82234</v>
      </c>
      <c r="AJ122" s="112">
        <v>129646</v>
      </c>
      <c r="AK122" s="112">
        <v>270893</v>
      </c>
      <c r="AL122" s="112">
        <v>392043</v>
      </c>
      <c r="AM122" s="112">
        <v>746275</v>
      </c>
      <c r="AN122" s="112">
        <v>694058</v>
      </c>
      <c r="AO122" s="112">
        <v>949368</v>
      </c>
      <c r="AP122" s="112">
        <v>707212</v>
      </c>
      <c r="AQ122" s="112">
        <v>376747</v>
      </c>
      <c r="AR122" s="112">
        <v>252011</v>
      </c>
      <c r="AS122" s="112">
        <v>222009</v>
      </c>
      <c r="AT122" s="112">
        <v>222990</v>
      </c>
    </row>
    <row r="123" spans="1:46" ht="19.5" thickBot="1">
      <c r="B123" s="148" t="s">
        <v>754</v>
      </c>
      <c r="C123" s="972">
        <v>715502</v>
      </c>
      <c r="D123" s="1004">
        <v>860979</v>
      </c>
      <c r="E123" s="1004">
        <v>1127594</v>
      </c>
      <c r="F123" s="150">
        <f t="shared" ref="F123:I123" si="332">E123+F121-F122</f>
        <v>1392213.1781826282</v>
      </c>
      <c r="G123" s="150">
        <f t="shared" si="332"/>
        <v>1606931.5301827281</v>
      </c>
      <c r="H123" s="150">
        <f t="shared" si="332"/>
        <v>1688878.4621827181</v>
      </c>
      <c r="I123" s="150">
        <f t="shared" si="332"/>
        <v>1702070.579611718</v>
      </c>
      <c r="J123" s="150">
        <f>I123+J121-J122</f>
        <v>1147855.2150407182</v>
      </c>
      <c r="K123" s="150">
        <f t="shared" ref="K123" si="333">J123+K121-K122</f>
        <v>657443.16427571815</v>
      </c>
      <c r="L123" s="150">
        <f t="shared" ref="L123" si="334">K123+L121-L122</f>
        <v>361902.12598974805</v>
      </c>
      <c r="M123" s="150">
        <f t="shared" ref="M123" si="335">L123+M121-M122</f>
        <v>218419.15222474805</v>
      </c>
      <c r="N123" s="150">
        <f t="shared" ref="N123" si="336">M123+N121-N122</f>
        <v>76638.004938730039</v>
      </c>
      <c r="O123" s="151">
        <f t="shared" ref="O123" si="337">N123+O121-O122</f>
        <v>-42546.595825869939</v>
      </c>
      <c r="P123" s="102"/>
      <c r="Q123" s="193" t="s">
        <v>755</v>
      </c>
      <c r="R123" s="399">
        <f>R122*(SUM(L122:M122)/60)</f>
        <v>243349.40141265231</v>
      </c>
      <c r="S123" s="158"/>
      <c r="T123" s="50">
        <f>D123-AI123</f>
        <v>0</v>
      </c>
      <c r="U123" s="50">
        <f t="shared" si="321"/>
        <v>-96949</v>
      </c>
      <c r="V123" s="50">
        <f t="shared" si="322"/>
        <v>-247164.82181737176</v>
      </c>
      <c r="W123" s="50">
        <f t="shared" si="323"/>
        <v>-133788.46981727192</v>
      </c>
      <c r="X123" s="50">
        <f t="shared" si="324"/>
        <v>36922.462182718096</v>
      </c>
      <c r="Y123" s="50">
        <f t="shared" si="325"/>
        <v>40238.579611717956</v>
      </c>
      <c r="Z123" s="50">
        <f t="shared" si="326"/>
        <v>-84494.784959281795</v>
      </c>
      <c r="AA123" s="50">
        <f t="shared" si="327"/>
        <v>-160141.83572428185</v>
      </c>
      <c r="AB123" s="50">
        <f t="shared" si="328"/>
        <v>-246240.87401025195</v>
      </c>
      <c r="AC123" s="50">
        <f t="shared" si="329"/>
        <v>-351875.84777525195</v>
      </c>
      <c r="AD123" s="50">
        <f t="shared" si="330"/>
        <v>-422973.99506126996</v>
      </c>
      <c r="AE123" s="50">
        <f t="shared" si="331"/>
        <v>-417957.59582586994</v>
      </c>
      <c r="AG123" s="148" t="s">
        <v>754</v>
      </c>
      <c r="AH123" s="972">
        <v>715502</v>
      </c>
      <c r="AI123" s="1004">
        <v>860979</v>
      </c>
      <c r="AJ123" s="150">
        <v>1224543</v>
      </c>
      <c r="AK123" s="150">
        <v>1639378</v>
      </c>
      <c r="AL123" s="150">
        <v>1740720</v>
      </c>
      <c r="AM123" s="150">
        <v>1651956</v>
      </c>
      <c r="AN123" s="150">
        <v>1661832</v>
      </c>
      <c r="AO123" s="150">
        <v>1232350</v>
      </c>
      <c r="AP123" s="150">
        <v>817585</v>
      </c>
      <c r="AQ123" s="150">
        <v>608143</v>
      </c>
      <c r="AR123" s="150">
        <v>570295</v>
      </c>
      <c r="AS123" s="150">
        <v>499612</v>
      </c>
      <c r="AT123" s="151">
        <v>375411</v>
      </c>
    </row>
    <row r="124" spans="1:46">
      <c r="C124" t="s">
        <v>756</v>
      </c>
      <c r="D124" s="190">
        <f t="shared" ref="D124:M124" si="338">D123/(SUM(E122:F122)/60)</f>
        <v>154.81304929824205</v>
      </c>
      <c r="E124" s="190">
        <f t="shared" si="338"/>
        <v>119.63864823145114</v>
      </c>
      <c r="F124" s="190">
        <f t="shared" si="338"/>
        <v>103.46280673513337</v>
      </c>
      <c r="G124" s="190">
        <f t="shared" si="338"/>
        <v>98.186149742150988</v>
      </c>
      <c r="H124" s="190">
        <f t="shared" si="338"/>
        <v>74.225415488312123</v>
      </c>
      <c r="I124" s="190">
        <f>I123/(SUM(J122:K122)/60)</f>
        <v>65.623963897658157</v>
      </c>
      <c r="J124" s="190">
        <f>J123/(SUM(K122:L122)/60)</f>
        <v>61.044199998060542</v>
      </c>
      <c r="K124" s="190">
        <f t="shared" si="338"/>
        <v>55.568358698653817</v>
      </c>
      <c r="L124" s="190">
        <f t="shared" si="338"/>
        <v>40.949635047707019</v>
      </c>
      <c r="M124" s="190">
        <f t="shared" si="338"/>
        <v>30.134441520599079</v>
      </c>
      <c r="N124" s="190">
        <f>N123/(SUM(O122,D122)/60)</f>
        <v>17.535281149601865</v>
      </c>
      <c r="O124" s="190">
        <f>O123/(SUM(D122,E122)/60)</f>
        <v>-14.298653195202014</v>
      </c>
      <c r="P124" s="976" t="s">
        <v>86</v>
      </c>
      <c r="Q124" s="58" t="s">
        <v>757</v>
      </c>
      <c r="R124" s="400">
        <f>R123/SUM(G122:K122)</f>
        <v>8.469812545575843E-2</v>
      </c>
      <c r="S124" s="95"/>
      <c r="AF124" s="50"/>
      <c r="AH124" t="s">
        <v>756</v>
      </c>
      <c r="AI124" s="190">
        <v>129</v>
      </c>
      <c r="AJ124" s="190">
        <v>110.8</v>
      </c>
      <c r="AK124" s="190">
        <v>86.4</v>
      </c>
      <c r="AL124" s="190">
        <v>72.5</v>
      </c>
      <c r="AM124" s="190">
        <v>60.3</v>
      </c>
      <c r="AN124" s="190">
        <v>60.2</v>
      </c>
      <c r="AO124" s="190">
        <v>68.2</v>
      </c>
      <c r="AP124" s="190">
        <v>78</v>
      </c>
      <c r="AQ124" s="190">
        <v>77</v>
      </c>
      <c r="AR124" s="190">
        <v>76.900000000000006</v>
      </c>
      <c r="AS124" s="190">
        <v>98.2</v>
      </c>
      <c r="AT124" s="190">
        <v>106.3</v>
      </c>
    </row>
    <row r="125" spans="1:46">
      <c r="C125" s="195" t="s">
        <v>719</v>
      </c>
      <c r="D125" s="112"/>
      <c r="E125" s="112"/>
      <c r="F125" s="112"/>
      <c r="G125" s="121">
        <v>550000</v>
      </c>
      <c r="H125" s="112"/>
      <c r="I125" s="112"/>
      <c r="J125" s="112"/>
      <c r="K125" s="121">
        <v>400000</v>
      </c>
      <c r="L125" s="112"/>
      <c r="M125" s="112"/>
      <c r="N125" s="112"/>
      <c r="O125" s="121">
        <v>300000</v>
      </c>
      <c r="P125" s="976" t="s">
        <v>763</v>
      </c>
      <c r="AH125" s="195" t="s">
        <v>719</v>
      </c>
      <c r="AI125" s="112"/>
      <c r="AJ125" s="112"/>
      <c r="AK125" s="112"/>
      <c r="AL125" s="121">
        <v>550000</v>
      </c>
      <c r="AM125" s="112"/>
      <c r="AN125" s="112"/>
      <c r="AO125" s="112"/>
      <c r="AP125" s="121">
        <v>400000</v>
      </c>
      <c r="AQ125" s="112"/>
      <c r="AR125" s="112"/>
      <c r="AS125" s="112"/>
      <c r="AT125" s="121">
        <v>300000</v>
      </c>
    </row>
    <row r="126" spans="1:46" ht="15.75" thickBot="1">
      <c r="D126" s="112"/>
      <c r="E126" s="112"/>
      <c r="F126" s="112"/>
      <c r="G126" s="112">
        <f>G123-G125</f>
        <v>1056931.5301827281</v>
      </c>
      <c r="H126" s="112"/>
      <c r="I126" s="112"/>
      <c r="J126" s="112"/>
      <c r="K126" s="112">
        <f>K123-K125</f>
        <v>257443.16427571815</v>
      </c>
      <c r="L126" s="112"/>
      <c r="M126" s="112"/>
      <c r="N126" s="112"/>
      <c r="O126" s="112">
        <f>O123-O125</f>
        <v>-342546.59582586994</v>
      </c>
      <c r="P126" s="976" t="s">
        <v>764</v>
      </c>
      <c r="AI126" s="112"/>
      <c r="AJ126" s="112"/>
      <c r="AK126" s="112"/>
      <c r="AL126" s="112">
        <v>1190720</v>
      </c>
      <c r="AM126" s="112"/>
      <c r="AN126" s="112"/>
      <c r="AO126" s="112"/>
      <c r="AP126" s="112">
        <v>417585</v>
      </c>
      <c r="AQ126" s="112"/>
      <c r="AR126" s="112"/>
      <c r="AS126" s="112"/>
      <c r="AT126" s="112">
        <v>75411</v>
      </c>
    </row>
    <row r="127" spans="1:46">
      <c r="B127" s="108"/>
      <c r="C127" s="200"/>
      <c r="D127" s="109" t="s">
        <v>68</v>
      </c>
      <c r="E127" s="109" t="s">
        <v>69</v>
      </c>
      <c r="F127" s="109" t="s">
        <v>70</v>
      </c>
      <c r="G127" s="109" t="s">
        <v>71</v>
      </c>
      <c r="H127" s="109" t="s">
        <v>72</v>
      </c>
      <c r="I127" s="109" t="s">
        <v>73</v>
      </c>
      <c r="J127" s="109" t="s">
        <v>74</v>
      </c>
      <c r="K127" s="109" t="s">
        <v>75</v>
      </c>
      <c r="L127" s="109" t="s">
        <v>76</v>
      </c>
      <c r="M127" s="109" t="s">
        <v>77</v>
      </c>
      <c r="N127" s="109" t="s">
        <v>78</v>
      </c>
      <c r="O127" s="110" t="s">
        <v>79</v>
      </c>
      <c r="P127" s="976" t="s">
        <v>1254</v>
      </c>
      <c r="AG127" s="108"/>
      <c r="AH127" s="200"/>
      <c r="AI127" s="109" t="s">
        <v>68</v>
      </c>
      <c r="AJ127" s="109" t="s">
        <v>69</v>
      </c>
      <c r="AK127" s="109" t="s">
        <v>70</v>
      </c>
      <c r="AL127" s="109" t="s">
        <v>71</v>
      </c>
      <c r="AM127" s="109" t="s">
        <v>72</v>
      </c>
      <c r="AN127" s="109" t="s">
        <v>73</v>
      </c>
      <c r="AO127" s="109" t="s">
        <v>74</v>
      </c>
      <c r="AP127" s="109" t="s">
        <v>75</v>
      </c>
      <c r="AQ127" s="109" t="s">
        <v>76</v>
      </c>
      <c r="AR127" s="109" t="s">
        <v>77</v>
      </c>
      <c r="AS127" s="109" t="s">
        <v>78</v>
      </c>
      <c r="AT127" s="110" t="s">
        <v>79</v>
      </c>
    </row>
    <row r="128" spans="1:46">
      <c r="A128" s="976" t="s">
        <v>1310</v>
      </c>
      <c r="B128" s="123" t="s">
        <v>30</v>
      </c>
      <c r="C128" t="s">
        <v>196</v>
      </c>
      <c r="D128" s="112">
        <f>SUMIF('Cases post Attain'!$A:$A,"=Dough Bites",'Cases post Attain'!D:D)</f>
        <v>69103</v>
      </c>
      <c r="E128" s="112">
        <f>SUMIF('Cases post Attain'!$A:$A,"=Dough Bites",'Cases post Attain'!E:E)</f>
        <v>49152</v>
      </c>
      <c r="F128" s="112">
        <f>SUMIF('Cases post Attain'!$A:$A,"=Dough Bites",'Cases post Attain'!F:F)</f>
        <v>40557</v>
      </c>
      <c r="G128" s="112">
        <f>SUMIF('Cases post Attain'!$A:$A,"=Dough Bites",'Cases post Attain'!G:G)</f>
        <v>51840</v>
      </c>
      <c r="H128" s="112">
        <f>SUMIF('Cases post Attain'!$A:$A,"=Dough Bites",'Cases post Attain'!H:H)</f>
        <v>43680</v>
      </c>
      <c r="I128" s="112">
        <f>SUMIF('Cases post Attain'!$A:$A,"=Dough Bites",'Cases post Attain'!I:I)</f>
        <v>34800</v>
      </c>
      <c r="J128" s="112">
        <f>SUMIF('Cases post Attain'!$A:$A,"=Dough Bites",'Cases post Attain'!J:J)</f>
        <v>37920</v>
      </c>
      <c r="K128" s="112">
        <f>SUMIF('Cases post Attain'!$A:$A,"=Dough Bites",'Cases post Attain'!K:K)</f>
        <v>30720</v>
      </c>
      <c r="L128" s="112">
        <f>SUMIF('Cases post Attain'!$A:$A,"=Dough Bites",'Cases post Attain'!L:L)</f>
        <v>13440</v>
      </c>
      <c r="M128" s="112">
        <f>SUMIF('Cases post Attain'!$A:$A,"=Dough Bites",'Cases post Attain'!M:M)</f>
        <v>24960</v>
      </c>
      <c r="N128" s="112">
        <f>SUMIF('Cases post Attain'!$A:$A,"=Dough Bites",'Cases post Attain'!N:N)</f>
        <v>25440</v>
      </c>
      <c r="O128" s="112">
        <f>SUMIF('Cases post Attain'!$A:$A,"=Dough Bites",'Cases post Attain'!O:O)</f>
        <v>18720</v>
      </c>
      <c r="P128" s="1014" t="s">
        <v>1253</v>
      </c>
      <c r="Q128" s="192" t="s">
        <v>752</v>
      </c>
      <c r="R128" s="397">
        <v>30</v>
      </c>
      <c r="S128" s="194"/>
      <c r="T128" s="50">
        <f>D128-AI128</f>
        <v>0</v>
      </c>
      <c r="U128" s="50">
        <f t="shared" ref="U128:U130" si="339">E128-AJ128</f>
        <v>5120</v>
      </c>
      <c r="V128" s="50">
        <f t="shared" ref="V128:V130" si="340">F128-AK128</f>
        <v>-8403</v>
      </c>
      <c r="W128" s="50">
        <f t="shared" ref="W128:W130" si="341">G128-AL128</f>
        <v>0</v>
      </c>
      <c r="X128" s="50">
        <f t="shared" ref="X128:X130" si="342">H128-AM128</f>
        <v>16800</v>
      </c>
      <c r="Y128" s="50">
        <f t="shared" ref="Y128:Y130" si="343">I128-AN128</f>
        <v>960</v>
      </c>
      <c r="Z128" s="50">
        <f t="shared" ref="Z128:Z130" si="344">J128-AO128</f>
        <v>18240</v>
      </c>
      <c r="AA128" s="50">
        <f t="shared" ref="AA128:AA130" si="345">K128-AP128</f>
        <v>-9840</v>
      </c>
      <c r="AB128" s="50">
        <f t="shared" ref="AB128:AB130" si="346">L128-AQ128</f>
        <v>-5280</v>
      </c>
      <c r="AC128" s="50">
        <f t="shared" ref="AC128:AC130" si="347">M128-AR128</f>
        <v>5280</v>
      </c>
      <c r="AD128" s="50">
        <f t="shared" ref="AD128:AD130" si="348">N128-AS128</f>
        <v>0</v>
      </c>
      <c r="AE128" s="50">
        <f t="shared" ref="AE128:AE130" si="349">O128-AT128</f>
        <v>0</v>
      </c>
      <c r="AG128" s="123" t="s">
        <v>30</v>
      </c>
      <c r="AH128" t="s">
        <v>196</v>
      </c>
      <c r="AI128" s="112">
        <v>69103</v>
      </c>
      <c r="AJ128" s="112">
        <v>44032</v>
      </c>
      <c r="AK128" s="112">
        <v>48960</v>
      </c>
      <c r="AL128" s="112">
        <v>51840</v>
      </c>
      <c r="AM128" s="112">
        <v>26880</v>
      </c>
      <c r="AN128" s="112">
        <v>33840</v>
      </c>
      <c r="AO128" s="112">
        <v>19680</v>
      </c>
      <c r="AP128" s="112">
        <v>40560</v>
      </c>
      <c r="AQ128" s="112">
        <v>18720</v>
      </c>
      <c r="AR128" s="112">
        <v>19680</v>
      </c>
      <c r="AS128" s="112">
        <v>25440</v>
      </c>
      <c r="AT128" s="112">
        <v>18720</v>
      </c>
    </row>
    <row r="129" spans="1:46">
      <c r="B129" s="111"/>
      <c r="C129" t="s">
        <v>12</v>
      </c>
      <c r="D129" s="112">
        <f>SUMIF('MRF3 Demand'!$D:$D,"=Dough Bites",'MRF3 Demand'!G:G)</f>
        <v>30805</v>
      </c>
      <c r="E129" s="112">
        <f>SUMIF('MRF3 Demand'!$D:$D,"=Dough Bites",'MRF3 Demand'!H:H)</f>
        <v>30214</v>
      </c>
      <c r="F129" s="112">
        <f>SUMIF('MRF3 Demand'!$D:$D,"=Dough Bites",'MRF3 Demand'!I:I)</f>
        <v>40274.459999999992</v>
      </c>
      <c r="G129" s="112">
        <f>SUMIF('MRF3 Demand'!$D:$D,"=Dough Bites",'MRF3 Demand'!J:J)</f>
        <v>39317.712059719466</v>
      </c>
      <c r="H129" s="112">
        <f>SUMIF('MRF3 Demand'!$D:$D,"=Dough Bites",'MRF3 Demand'!K:K)</f>
        <v>66736.688929710494</v>
      </c>
      <c r="I129" s="112">
        <f>SUMIF('MRF3 Demand'!$D:$D,"=Dough Bites",'MRF3 Demand'!L:L)</f>
        <v>33902.643920179471</v>
      </c>
      <c r="J129" s="112">
        <f>SUMIF('MRF3 Demand'!$D:$D,"=Dough Bites",'MRF3 Demand'!M:M)</f>
        <v>32386.309833124804</v>
      </c>
      <c r="K129" s="112">
        <f>SUMIF('MRF3 Demand'!$D:$D,"=Dough Bites",'MRF3 Demand'!N:N)</f>
        <v>28255.375834660936</v>
      </c>
      <c r="L129" s="112">
        <f>SUMIF('MRF3 Demand'!$D:$D,"=Dough Bites",'MRF3 Demand'!O:O)</f>
        <v>28382.625755301164</v>
      </c>
      <c r="M129" s="112">
        <f>SUMIF('MRF3 Demand'!$D:$D,"=Dough Bites",'MRF3 Demand'!P:P)</f>
        <v>26928.81615068813</v>
      </c>
      <c r="N129" s="112">
        <f>SUMIF('MRF3 Demand'!$D:$D,"=Dough Bites",'MRF3 Demand'!Q:Q)</f>
        <v>24066.47695355826</v>
      </c>
      <c r="O129" s="112">
        <f>SUMIF('MRF3 Demand'!$D:$D,"=Dough Bites",'MRF3 Demand'!R:R)</f>
        <v>21518.211477132227</v>
      </c>
      <c r="P129" s="976" t="s">
        <v>807</v>
      </c>
      <c r="Q129" s="58" t="s">
        <v>753</v>
      </c>
      <c r="R129" s="398">
        <f>K131-R128</f>
        <v>74.645049304519034</v>
      </c>
      <c r="S129" s="94"/>
      <c r="T129" s="50">
        <f>D129-AI129</f>
        <v>0</v>
      </c>
      <c r="U129" s="50">
        <f t="shared" si="339"/>
        <v>2397</v>
      </c>
      <c r="V129" s="50">
        <f t="shared" si="340"/>
        <v>-3181.5400000000081</v>
      </c>
      <c r="W129" s="50">
        <f t="shared" si="341"/>
        <v>-5568.2879402805338</v>
      </c>
      <c r="X129" s="50">
        <f t="shared" si="342"/>
        <v>6783.6889297104935</v>
      </c>
      <c r="Y129" s="50">
        <f t="shared" si="343"/>
        <v>-1235.356079820529</v>
      </c>
      <c r="Z129" s="50">
        <f t="shared" si="344"/>
        <v>-921.69016687519616</v>
      </c>
      <c r="AA129" s="50">
        <f t="shared" si="345"/>
        <v>-2513.6241653390643</v>
      </c>
      <c r="AB129" s="50">
        <f t="shared" si="346"/>
        <v>526.62575530116374</v>
      </c>
      <c r="AC129" s="50">
        <f t="shared" si="347"/>
        <v>312.81615068812971</v>
      </c>
      <c r="AD129" s="50">
        <f t="shared" si="348"/>
        <v>119.47695355825999</v>
      </c>
      <c r="AE129" s="50">
        <f t="shared" si="349"/>
        <v>-2138.7885228677733</v>
      </c>
      <c r="AG129" s="111"/>
      <c r="AH129" t="s">
        <v>12</v>
      </c>
      <c r="AI129" s="112">
        <v>30805</v>
      </c>
      <c r="AJ129" s="112">
        <v>27817</v>
      </c>
      <c r="AK129" s="112">
        <v>43456</v>
      </c>
      <c r="AL129" s="112">
        <v>44886</v>
      </c>
      <c r="AM129" s="112">
        <v>59953</v>
      </c>
      <c r="AN129" s="112">
        <v>35138</v>
      </c>
      <c r="AO129" s="112">
        <v>33308</v>
      </c>
      <c r="AP129" s="112">
        <v>30769</v>
      </c>
      <c r="AQ129" s="112">
        <v>27856</v>
      </c>
      <c r="AR129" s="112">
        <v>26616</v>
      </c>
      <c r="AS129" s="112">
        <v>23947</v>
      </c>
      <c r="AT129" s="112">
        <v>23657</v>
      </c>
    </row>
    <row r="130" spans="1:46" ht="19.5" thickBot="1">
      <c r="B130" s="148" t="s">
        <v>754</v>
      </c>
      <c r="C130" s="972">
        <v>42409</v>
      </c>
      <c r="D130" s="1005">
        <v>79403</v>
      </c>
      <c r="E130" s="1004">
        <v>97824</v>
      </c>
      <c r="F130" s="150">
        <f t="shared" ref="F130" si="350">E130+F128-F129</f>
        <v>98106.540000000008</v>
      </c>
      <c r="G130" s="150">
        <f t="shared" ref="G130" si="351">F130+G128-G129</f>
        <v>110628.82794028055</v>
      </c>
      <c r="H130" s="150">
        <f t="shared" ref="H130" si="352">G130+H128-H129</f>
        <v>87572.139010570056</v>
      </c>
      <c r="I130" s="150">
        <f t="shared" ref="I130" si="353">H130+I128-I129</f>
        <v>88469.495090390585</v>
      </c>
      <c r="J130" s="150">
        <f t="shared" ref="J130" si="354">I130+J128-J129</f>
        <v>94003.185257265781</v>
      </c>
      <c r="K130" s="150">
        <f t="shared" ref="K130" si="355">J130+K128-K129</f>
        <v>96467.809422604842</v>
      </c>
      <c r="L130" s="150">
        <f t="shared" ref="L130" si="356">K130+L128-L129</f>
        <v>81525.183667303674</v>
      </c>
      <c r="M130" s="150">
        <f t="shared" ref="M130" si="357">L130+M128-M129</f>
        <v>79556.367516615544</v>
      </c>
      <c r="N130" s="150">
        <f t="shared" ref="N130" si="358">M130+N128-N129</f>
        <v>80929.890563057284</v>
      </c>
      <c r="O130" s="151">
        <f t="shared" ref="O130" si="359">N130+O128-O129</f>
        <v>78131.679085925061</v>
      </c>
      <c r="P130" s="245" t="s">
        <v>1255</v>
      </c>
      <c r="Q130" s="193" t="s">
        <v>755</v>
      </c>
      <c r="R130" s="399">
        <f>R129*(SUM(L129:M129)/60)</f>
        <v>68812.088469610186</v>
      </c>
      <c r="S130" s="158"/>
      <c r="T130" s="50">
        <f>D130-AI130</f>
        <v>0</v>
      </c>
      <c r="U130" s="50">
        <f t="shared" si="339"/>
        <v>2206</v>
      </c>
      <c r="V130" s="50">
        <f t="shared" si="340"/>
        <v>-3015.4599999999919</v>
      </c>
      <c r="W130" s="50">
        <f t="shared" si="341"/>
        <v>2552.8279402805492</v>
      </c>
      <c r="X130" s="50">
        <f t="shared" si="342"/>
        <v>12569.139010570056</v>
      </c>
      <c r="Y130" s="50">
        <f t="shared" si="343"/>
        <v>14764.495090390585</v>
      </c>
      <c r="Z130" s="50">
        <f t="shared" si="344"/>
        <v>33927.185257265781</v>
      </c>
      <c r="AA130" s="50">
        <f t="shared" si="345"/>
        <v>26600.809422604842</v>
      </c>
      <c r="AB130" s="50">
        <f t="shared" si="346"/>
        <v>20794.183667303674</v>
      </c>
      <c r="AC130" s="50">
        <f t="shared" si="347"/>
        <v>25761.367516615544</v>
      </c>
      <c r="AD130" s="50">
        <f t="shared" si="348"/>
        <v>25641.890563057284</v>
      </c>
      <c r="AE130" s="50">
        <f t="shared" si="349"/>
        <v>27780.679085925061</v>
      </c>
      <c r="AG130" s="148" t="s">
        <v>754</v>
      </c>
      <c r="AH130" s="972">
        <v>42409</v>
      </c>
      <c r="AI130" s="1005">
        <v>79403</v>
      </c>
      <c r="AJ130" s="150">
        <v>95618</v>
      </c>
      <c r="AK130" s="150">
        <v>101122</v>
      </c>
      <c r="AL130" s="150">
        <v>108076</v>
      </c>
      <c r="AM130" s="150">
        <v>75003</v>
      </c>
      <c r="AN130" s="150">
        <v>73705</v>
      </c>
      <c r="AO130" s="150">
        <v>60076</v>
      </c>
      <c r="AP130" s="150">
        <v>69867</v>
      </c>
      <c r="AQ130" s="150">
        <v>60731</v>
      </c>
      <c r="AR130" s="150">
        <v>53795</v>
      </c>
      <c r="AS130" s="150">
        <v>55288</v>
      </c>
      <c r="AT130" s="151">
        <v>50351</v>
      </c>
    </row>
    <row r="131" spans="1:46">
      <c r="C131" t="s">
        <v>756</v>
      </c>
      <c r="D131" s="190">
        <f t="shared" ref="D131:M131" si="360">D130/(SUM(E129:F129)/60)</f>
        <v>67.588084631158068</v>
      </c>
      <c r="E131" s="190">
        <f t="shared" si="360"/>
        <v>73.743935466367887</v>
      </c>
      <c r="F131" s="190">
        <f t="shared" si="360"/>
        <v>55.503518430948233</v>
      </c>
      <c r="G131" s="190">
        <f t="shared" si="360"/>
        <v>65.955620813955846</v>
      </c>
      <c r="H131" s="190">
        <f t="shared" si="360"/>
        <v>79.264010715696244</v>
      </c>
      <c r="I131" s="190">
        <f t="shared" si="360"/>
        <v>87.533346854888919</v>
      </c>
      <c r="J131" s="190">
        <f t="shared" si="360"/>
        <v>99.583158958693772</v>
      </c>
      <c r="K131" s="190">
        <f t="shared" si="360"/>
        <v>104.64504930451903</v>
      </c>
      <c r="L131" s="190">
        <f t="shared" si="360"/>
        <v>95.920833517689957</v>
      </c>
      <c r="M131" s="190">
        <f t="shared" si="360"/>
        <v>104.714592011628</v>
      </c>
      <c r="N131" s="190">
        <f>N130/(SUM(O129,D129)/60)</f>
        <v>92.803811094539824</v>
      </c>
      <c r="O131" s="190">
        <f>O130/(SUM(D129,E129)/60)</f>
        <v>76.826902196946918</v>
      </c>
      <c r="P131" s="1014" t="s">
        <v>122</v>
      </c>
      <c r="Q131" s="58" t="s">
        <v>757</v>
      </c>
      <c r="R131" s="400">
        <f>R130/SUM(G129:K129)</f>
        <v>0.34303351906337737</v>
      </c>
      <c r="S131" s="95"/>
      <c r="AF131" s="50"/>
      <c r="AH131" t="s">
        <v>756</v>
      </c>
      <c r="AI131" s="190">
        <v>66.8</v>
      </c>
      <c r="AJ131" s="190">
        <v>64.900000000000006</v>
      </c>
      <c r="AK131" s="190">
        <v>57.9</v>
      </c>
      <c r="AL131" s="190">
        <v>68.2</v>
      </c>
      <c r="AM131" s="190">
        <v>65.7</v>
      </c>
      <c r="AN131" s="190">
        <v>69</v>
      </c>
      <c r="AO131" s="190">
        <v>61.5</v>
      </c>
      <c r="AP131" s="190">
        <v>77</v>
      </c>
      <c r="AQ131" s="190">
        <v>72.099999999999994</v>
      </c>
      <c r="AR131" s="190">
        <v>67.8</v>
      </c>
      <c r="AS131" s="190">
        <v>60.9</v>
      </c>
      <c r="AT131" s="190">
        <v>51.5</v>
      </c>
    </row>
    <row r="132" spans="1:46">
      <c r="C132" s="195" t="s">
        <v>719</v>
      </c>
      <c r="D132" s="112"/>
      <c r="E132" s="112"/>
      <c r="F132" s="112"/>
      <c r="G132" s="121">
        <v>50000</v>
      </c>
      <c r="H132" s="112"/>
      <c r="I132" s="112"/>
      <c r="J132" s="112"/>
      <c r="K132" s="121">
        <v>50000</v>
      </c>
      <c r="L132" s="112"/>
      <c r="M132" s="112"/>
      <c r="N132" s="112"/>
      <c r="O132" s="121">
        <v>50000</v>
      </c>
      <c r="P132" s="1014" t="s">
        <v>1256</v>
      </c>
      <c r="AH132" s="195" t="s">
        <v>719</v>
      </c>
      <c r="AI132" s="112"/>
      <c r="AJ132" s="112"/>
      <c r="AK132" s="112"/>
      <c r="AL132" s="121">
        <v>50000</v>
      </c>
      <c r="AM132" s="112"/>
      <c r="AN132" s="112"/>
      <c r="AO132" s="112"/>
      <c r="AP132" s="121">
        <v>50000</v>
      </c>
      <c r="AQ132" s="112"/>
      <c r="AR132" s="112"/>
      <c r="AS132" s="112"/>
      <c r="AT132" s="121">
        <v>50000</v>
      </c>
    </row>
    <row r="133" spans="1:46" ht="15.75" thickBot="1">
      <c r="D133" s="112"/>
      <c r="E133" s="112"/>
      <c r="F133" s="112"/>
      <c r="G133" s="112">
        <f>G130-G132</f>
        <v>60628.827940280549</v>
      </c>
      <c r="H133" s="112"/>
      <c r="I133" s="112"/>
      <c r="J133" s="112"/>
      <c r="K133" s="112">
        <f>K130-K132</f>
        <v>46467.809422604842</v>
      </c>
      <c r="L133" s="112"/>
      <c r="M133" s="112"/>
      <c r="N133" s="112"/>
      <c r="O133" s="112">
        <f>O130-O132</f>
        <v>28131.679085925061</v>
      </c>
      <c r="P133" s="1014" t="s">
        <v>744</v>
      </c>
      <c r="AI133" s="112"/>
      <c r="AJ133" s="112"/>
      <c r="AK133" s="112"/>
      <c r="AL133" s="112">
        <v>58076</v>
      </c>
      <c r="AM133" s="112"/>
      <c r="AN133" s="112"/>
      <c r="AO133" s="112"/>
      <c r="AP133" s="112">
        <v>19867</v>
      </c>
      <c r="AQ133" s="112"/>
      <c r="AR133" s="112"/>
      <c r="AS133" s="112"/>
      <c r="AT133" s="112">
        <v>351</v>
      </c>
    </row>
    <row r="134" spans="1:46">
      <c r="B134" s="108"/>
      <c r="C134" s="200"/>
      <c r="D134" s="109" t="s">
        <v>68</v>
      </c>
      <c r="E134" s="109" t="s">
        <v>69</v>
      </c>
      <c r="F134" s="109" t="s">
        <v>70</v>
      </c>
      <c r="G134" s="109" t="s">
        <v>71</v>
      </c>
      <c r="H134" s="109" t="s">
        <v>72</v>
      </c>
      <c r="I134" s="109" t="s">
        <v>73</v>
      </c>
      <c r="J134" s="109" t="s">
        <v>74</v>
      </c>
      <c r="K134" s="109" t="s">
        <v>75</v>
      </c>
      <c r="L134" s="109" t="s">
        <v>76</v>
      </c>
      <c r="M134" s="109" t="s">
        <v>77</v>
      </c>
      <c r="N134" s="109" t="s">
        <v>78</v>
      </c>
      <c r="O134" s="110" t="s">
        <v>79</v>
      </c>
      <c r="P134" s="1014" t="s">
        <v>1351</v>
      </c>
      <c r="AG134" s="108"/>
      <c r="AH134" s="200"/>
      <c r="AI134" s="109" t="s">
        <v>68</v>
      </c>
      <c r="AJ134" s="109" t="s">
        <v>69</v>
      </c>
      <c r="AK134" s="109" t="s">
        <v>70</v>
      </c>
      <c r="AL134" s="109" t="s">
        <v>71</v>
      </c>
      <c r="AM134" s="109" t="s">
        <v>72</v>
      </c>
      <c r="AN134" s="109" t="s">
        <v>73</v>
      </c>
      <c r="AO134" s="109" t="s">
        <v>74</v>
      </c>
      <c r="AP134" s="109" t="s">
        <v>75</v>
      </c>
      <c r="AQ134" s="109" t="s">
        <v>76</v>
      </c>
      <c r="AR134" s="109" t="s">
        <v>77</v>
      </c>
      <c r="AS134" s="109" t="s">
        <v>78</v>
      </c>
      <c r="AT134" s="110" t="s">
        <v>79</v>
      </c>
    </row>
    <row r="135" spans="1:46">
      <c r="A135" s="976" t="s">
        <v>1310</v>
      </c>
      <c r="B135" s="123" t="s">
        <v>34</v>
      </c>
      <c r="C135" t="s">
        <v>196</v>
      </c>
      <c r="D135" s="112">
        <f>SUMIF('Cases post Attain'!$A:$A,"=Facepieces",'Cases post Attain'!D:D)</f>
        <v>195300</v>
      </c>
      <c r="E135" s="112">
        <f>SUMIF('Cases post Attain'!$A:$A,"=Facepieces",'Cases post Attain'!E:E)</f>
        <v>437356</v>
      </c>
      <c r="F135" s="112">
        <f>SUMIF('Cases post Attain'!$A:$A,"=Facepieces",'Cases post Attain'!F:F)</f>
        <v>322308</v>
      </c>
      <c r="G135" s="112">
        <f>SUMIF('Cases post Attain'!$A:$A,"=Facepieces",'Cases post Attain'!G:G)</f>
        <v>831169.91999999993</v>
      </c>
      <c r="H135" s="112">
        <f>SUMIF('Cases post Attain'!$A:$A,"=Facepieces",'Cases post Attain'!H:H)</f>
        <v>324119.04000000004</v>
      </c>
      <c r="I135" s="112">
        <f>SUMIF('Cases post Attain'!$A:$A,"=Facepieces",'Cases post Attain'!I:I)</f>
        <v>307088.64000000001</v>
      </c>
      <c r="J135" s="112">
        <f>SUMIF('Cases post Attain'!$A:$A,"=Facepieces",'Cases post Attain'!J:J)</f>
        <v>245253.12</v>
      </c>
      <c r="K135" s="112">
        <f>SUMIF('Cases post Attain'!$A:$A,"=Facepieces",'Cases post Attain'!K:K)</f>
        <v>391336.32</v>
      </c>
      <c r="L135" s="112">
        <f>SUMIF('Cases post Attain'!$A:$A,"=Facepieces",'Cases post Attain'!L:L)</f>
        <v>145927.67999999999</v>
      </c>
      <c r="M135" s="112">
        <f>SUMIF('Cases post Attain'!$A:$A,"=Facepieces",'Cases post Attain'!M:M)</f>
        <v>150320.64000000001</v>
      </c>
      <c r="N135" s="112">
        <f>SUMIF('Cases post Attain'!$A:$A,"=Facepieces",'Cases post Attain'!N:N)</f>
        <v>206154.23999999999</v>
      </c>
      <c r="O135" s="112">
        <f>SUMIF('Cases post Attain'!$A:$A,"=Facepieces",'Cases post Attain'!O:O)</f>
        <v>135010.56</v>
      </c>
      <c r="P135" t="s">
        <v>765</v>
      </c>
      <c r="Q135" s="192" t="s">
        <v>752</v>
      </c>
      <c r="R135" s="397">
        <v>60</v>
      </c>
      <c r="S135" s="194"/>
      <c r="T135" s="50">
        <f>D135-AI135</f>
        <v>0</v>
      </c>
      <c r="U135" s="50">
        <f t="shared" ref="U135:U137" si="361">E135-AJ135</f>
        <v>-130947</v>
      </c>
      <c r="V135" s="50">
        <f t="shared" ref="V135:V137" si="362">F135-AK135</f>
        <v>-392671</v>
      </c>
      <c r="W135" s="50">
        <f t="shared" ref="W135:W137" si="363">G135-AL135</f>
        <v>766945.91999999993</v>
      </c>
      <c r="X135" s="50">
        <f t="shared" ref="X135:X137" si="364">H135-AM135</f>
        <v>34135.040000000037</v>
      </c>
      <c r="Y135" s="50">
        <f t="shared" ref="Y135:Y137" si="365">I135-AN135</f>
        <v>32208.640000000014</v>
      </c>
      <c r="Z135" s="50">
        <f t="shared" ref="Z135:Z137" si="366">J135-AO135</f>
        <v>-4218.8800000000047</v>
      </c>
      <c r="AA135" s="50">
        <f t="shared" ref="AA135:AA137" si="367">K135-AP135</f>
        <v>317864.32000000001</v>
      </c>
      <c r="AB135" s="50">
        <f t="shared" ref="AB135:AB137" si="368">L135-AQ135</f>
        <v>83271.679999999993</v>
      </c>
      <c r="AC135" s="50">
        <f t="shared" ref="AC135:AC137" si="369">M135-AR135</f>
        <v>-149679.35999999999</v>
      </c>
      <c r="AD135" s="50">
        <f t="shared" ref="AD135:AD137" si="370">N135-AS135</f>
        <v>-93845.760000000009</v>
      </c>
      <c r="AE135" s="50">
        <f t="shared" ref="AE135:AE137" si="371">O135-AT135</f>
        <v>-164989.44</v>
      </c>
      <c r="AG135" s="123" t="s">
        <v>34</v>
      </c>
      <c r="AH135" t="s">
        <v>196</v>
      </c>
      <c r="AI135" s="112">
        <v>195300</v>
      </c>
      <c r="AJ135" s="112">
        <v>568303</v>
      </c>
      <c r="AK135" s="112">
        <v>714979</v>
      </c>
      <c r="AL135" s="112">
        <v>64224</v>
      </c>
      <c r="AM135" s="112">
        <v>289984</v>
      </c>
      <c r="AN135" s="112">
        <v>274880</v>
      </c>
      <c r="AO135" s="112">
        <v>249472</v>
      </c>
      <c r="AP135" s="112">
        <v>73472</v>
      </c>
      <c r="AQ135" s="112">
        <v>62656</v>
      </c>
      <c r="AR135" s="112">
        <v>300000</v>
      </c>
      <c r="AS135" s="112">
        <v>300000</v>
      </c>
      <c r="AT135" s="112">
        <v>300000</v>
      </c>
    </row>
    <row r="136" spans="1:46">
      <c r="B136" s="111"/>
      <c r="C136" t="s">
        <v>12</v>
      </c>
      <c r="D136" s="112">
        <f>SUMIF('MRF3 Demand'!$D:$D,"=Facepieces",'MRF3 Demand'!G:G)</f>
        <v>217625</v>
      </c>
      <c r="E136" s="112">
        <f>SUMIF('MRF3 Demand'!$D:$D,"=Facepieces",'MRF3 Demand'!H:H)</f>
        <v>274839</v>
      </c>
      <c r="F136" s="112">
        <f>SUMIF('MRF3 Demand'!$D:$D,"=Facepieces",'MRF3 Demand'!I:I)</f>
        <v>387980.34</v>
      </c>
      <c r="G136" s="112">
        <f>SUMIF('MRF3 Demand'!$D:$D,"=Facepieces",'MRF3 Demand'!J:J)</f>
        <v>555063.75</v>
      </c>
      <c r="H136" s="112">
        <f>SUMIF('MRF3 Demand'!$D:$D,"=Facepieces",'MRF3 Demand'!K:K)</f>
        <v>747659.02799999993</v>
      </c>
      <c r="I136" s="112">
        <f>SUMIF('MRF3 Demand'!$D:$D,"=Facepieces",'MRF3 Demand'!L:L)</f>
        <v>789802.11676552438</v>
      </c>
      <c r="J136" s="112">
        <f>SUMIF('MRF3 Demand'!$D:$D,"=Facepieces",'MRF3 Demand'!M:M)</f>
        <v>598212.30000000005</v>
      </c>
      <c r="K136" s="112">
        <f>SUMIF('MRF3 Demand'!$D:$D,"=Facepieces",'MRF3 Demand'!N:N)</f>
        <v>414824.74522296042</v>
      </c>
      <c r="L136" s="112">
        <f>SUMIF('MRF3 Demand'!$D:$D,"=Facepieces",'MRF3 Demand'!O:O)</f>
        <v>348179.77614257461</v>
      </c>
      <c r="M136" s="112">
        <f>SUMIF('MRF3 Demand'!$D:$D,"=Facepieces",'MRF3 Demand'!P:P)</f>
        <v>264564.01090153772</v>
      </c>
      <c r="N136" s="112">
        <f>SUMIF('MRF3 Demand'!$D:$D,"=Facepieces",'MRF3 Demand'!Q:Q)</f>
        <v>235959.61907088856</v>
      </c>
      <c r="O136" s="112">
        <f>SUMIF('MRF3 Demand'!$D:$D,"=Facepieces",'MRF3 Demand'!R:R)</f>
        <v>266268.06300559174</v>
      </c>
      <c r="Q136" s="58" t="s">
        <v>753</v>
      </c>
      <c r="R136" s="398">
        <f>K138-R135</f>
        <v>63.274763772109893</v>
      </c>
      <c r="S136" s="94"/>
      <c r="T136" s="50">
        <f>D136-AI136</f>
        <v>0</v>
      </c>
      <c r="U136" s="50">
        <f t="shared" si="361"/>
        <v>-49332</v>
      </c>
      <c r="V136" s="50">
        <f t="shared" si="362"/>
        <v>-84854.659999999974</v>
      </c>
      <c r="W136" s="50">
        <f t="shared" si="363"/>
        <v>19511.75</v>
      </c>
      <c r="X136" s="50">
        <f t="shared" si="364"/>
        <v>190071.02799999993</v>
      </c>
      <c r="Y136" s="50">
        <f t="shared" si="365"/>
        <v>105374.11676552438</v>
      </c>
      <c r="Z136" s="50">
        <f t="shared" si="366"/>
        <v>64720.300000000047</v>
      </c>
      <c r="AA136" s="50">
        <f t="shared" si="367"/>
        <v>25730.745222960424</v>
      </c>
      <c r="AB136" s="50">
        <f t="shared" si="368"/>
        <v>30680.776142574614</v>
      </c>
      <c r="AC136" s="50">
        <f t="shared" si="369"/>
        <v>18479.010901537724</v>
      </c>
      <c r="AD136" s="50">
        <f t="shared" si="370"/>
        <v>6025.6190708885551</v>
      </c>
      <c r="AE136" s="50">
        <f t="shared" si="371"/>
        <v>4803.0630055917427</v>
      </c>
      <c r="AG136" s="111"/>
      <c r="AH136" t="s">
        <v>12</v>
      </c>
      <c r="AI136" s="112">
        <v>217625</v>
      </c>
      <c r="AJ136" s="112">
        <v>324171</v>
      </c>
      <c r="AK136" s="112">
        <v>472835</v>
      </c>
      <c r="AL136" s="112">
        <v>535552</v>
      </c>
      <c r="AM136" s="112">
        <v>557588</v>
      </c>
      <c r="AN136" s="112">
        <v>684428</v>
      </c>
      <c r="AO136" s="112">
        <v>533492</v>
      </c>
      <c r="AP136" s="112">
        <v>389094</v>
      </c>
      <c r="AQ136" s="112">
        <v>317499</v>
      </c>
      <c r="AR136" s="112">
        <v>246085</v>
      </c>
      <c r="AS136" s="112">
        <v>229934</v>
      </c>
      <c r="AT136" s="112">
        <v>261465</v>
      </c>
    </row>
    <row r="137" spans="1:46" ht="19.5" thickBot="1">
      <c r="B137" s="148" t="s">
        <v>754</v>
      </c>
      <c r="C137" s="972">
        <v>2232153</v>
      </c>
      <c r="D137" s="1005">
        <v>2201631</v>
      </c>
      <c r="E137" s="1004">
        <v>2331198</v>
      </c>
      <c r="F137" s="150">
        <f t="shared" ref="F137" si="372">E137+F135-F136</f>
        <v>2265525.66</v>
      </c>
      <c r="G137" s="150">
        <f t="shared" ref="G137" si="373">F137+G135-G136</f>
        <v>2541631.83</v>
      </c>
      <c r="H137" s="150">
        <f t="shared" ref="H137" si="374">G137+H135-H136</f>
        <v>2118091.8420000002</v>
      </c>
      <c r="I137" s="150">
        <f t="shared" ref="I137" si="375">H137+I135-I136</f>
        <v>1635378.365234476</v>
      </c>
      <c r="J137" s="150">
        <f t="shared" ref="J137" si="376">I137+J135-J136</f>
        <v>1282419.1852344761</v>
      </c>
      <c r="K137" s="150">
        <f t="shared" ref="K137" si="377">J137+K135-K136</f>
        <v>1258930.7600115158</v>
      </c>
      <c r="L137" s="150">
        <f t="shared" ref="L137" si="378">K137+L135-L136</f>
        <v>1056678.6638689411</v>
      </c>
      <c r="M137" s="150">
        <f t="shared" ref="M137" si="379">L137+M135-M136</f>
        <v>942435.29296740331</v>
      </c>
      <c r="N137" s="150">
        <f t="shared" ref="N137" si="380">M137+N135-N136</f>
        <v>912629.9138965148</v>
      </c>
      <c r="O137" s="151">
        <f>N137+O135-O136</f>
        <v>781372.41089092311</v>
      </c>
      <c r="Q137" s="193" t="s">
        <v>755</v>
      </c>
      <c r="R137" s="399">
        <f>R136*(SUM(L136:M136)/60)-S137</f>
        <v>546186.97296740359</v>
      </c>
      <c r="S137" s="497">
        <v>100000</v>
      </c>
      <c r="T137" s="50">
        <f>D137-AI137</f>
        <v>0</v>
      </c>
      <c r="U137" s="50">
        <f t="shared" si="361"/>
        <v>-114566</v>
      </c>
      <c r="V137" s="50">
        <f t="shared" si="362"/>
        <v>-422382.33999999985</v>
      </c>
      <c r="W137" s="50">
        <f t="shared" si="363"/>
        <v>325051.83000000007</v>
      </c>
      <c r="X137" s="50">
        <f t="shared" si="364"/>
        <v>169115.84200000018</v>
      </c>
      <c r="Y137" s="50">
        <f t="shared" si="365"/>
        <v>95950.365234476048</v>
      </c>
      <c r="Z137" s="50">
        <f t="shared" si="366"/>
        <v>27010.185234476114</v>
      </c>
      <c r="AA137" s="50">
        <f t="shared" si="367"/>
        <v>319143.76001151581</v>
      </c>
      <c r="AB137" s="50">
        <f t="shared" si="368"/>
        <v>371734.66386894113</v>
      </c>
      <c r="AC137" s="50">
        <f t="shared" si="369"/>
        <v>203576.29296740331</v>
      </c>
      <c r="AD137" s="50">
        <f t="shared" si="370"/>
        <v>103704.9138965148</v>
      </c>
      <c r="AE137" s="50">
        <f t="shared" si="371"/>
        <v>-66087.589109076886</v>
      </c>
      <c r="AG137" s="148" t="s">
        <v>754</v>
      </c>
      <c r="AH137" s="972">
        <v>2232153</v>
      </c>
      <c r="AI137" s="1005">
        <v>2201631</v>
      </c>
      <c r="AJ137" s="150">
        <v>2445764</v>
      </c>
      <c r="AK137" s="150">
        <v>2687908</v>
      </c>
      <c r="AL137" s="150">
        <v>2216580</v>
      </c>
      <c r="AM137" s="150">
        <v>1948976</v>
      </c>
      <c r="AN137" s="150">
        <v>1539428</v>
      </c>
      <c r="AO137" s="150">
        <v>1255409</v>
      </c>
      <c r="AP137" s="150">
        <v>939787</v>
      </c>
      <c r="AQ137" s="150">
        <v>684944</v>
      </c>
      <c r="AR137" s="150">
        <v>738859</v>
      </c>
      <c r="AS137" s="150">
        <v>808925</v>
      </c>
      <c r="AT137" s="151">
        <v>847460</v>
      </c>
    </row>
    <row r="138" spans="1:46">
      <c r="C138" t="s">
        <v>756</v>
      </c>
      <c r="D138" s="190">
        <f t="shared" ref="D138:M138" si="381">D137/(SUM(E136:F136)/60)</f>
        <v>199.29693059348568</v>
      </c>
      <c r="E138" s="190">
        <f t="shared" si="381"/>
        <v>148.31955523945862</v>
      </c>
      <c r="F138" s="190">
        <f t="shared" si="381"/>
        <v>104.34417966398682</v>
      </c>
      <c r="G138" s="190">
        <f t="shared" si="381"/>
        <v>99.188139042861607</v>
      </c>
      <c r="H138" s="190">
        <f t="shared" si="381"/>
        <v>91.559215080882268</v>
      </c>
      <c r="I138" s="190">
        <f t="shared" si="381"/>
        <v>96.859934566827846</v>
      </c>
      <c r="J138" s="190">
        <f t="shared" si="381"/>
        <v>100.84494778138571</v>
      </c>
      <c r="K138" s="190">
        <f t="shared" si="381"/>
        <v>123.27476377210989</v>
      </c>
      <c r="L138" s="190">
        <f t="shared" si="381"/>
        <v>126.66878451998201</v>
      </c>
      <c r="M138" s="190">
        <f t="shared" si="381"/>
        <v>112.59060301943539</v>
      </c>
      <c r="N138" s="190">
        <f>N137/(SUM(O136,D136)/60)</f>
        <v>113.16094199341337</v>
      </c>
      <c r="O138" s="190">
        <f>O137/(SUM(D136,E136)/60)</f>
        <v>95.19953672442125</v>
      </c>
      <c r="Q138" s="58" t="s">
        <v>757</v>
      </c>
      <c r="R138" s="400">
        <f>R137/SUM(G136:K136)</f>
        <v>0.17587379788967558</v>
      </c>
      <c r="S138" s="95"/>
      <c r="AF138" s="50"/>
      <c r="AH138" t="s">
        <v>756</v>
      </c>
      <c r="AI138" s="190">
        <v>165.7</v>
      </c>
      <c r="AJ138" s="190">
        <v>145.5</v>
      </c>
      <c r="AK138" s="190">
        <v>147.5</v>
      </c>
      <c r="AL138" s="190">
        <v>107.1</v>
      </c>
      <c r="AM138" s="190">
        <v>96</v>
      </c>
      <c r="AN138" s="190">
        <v>100.1</v>
      </c>
      <c r="AO138" s="190">
        <v>106.6</v>
      </c>
      <c r="AP138" s="190">
        <v>100.1</v>
      </c>
      <c r="AQ138" s="190">
        <v>86.3</v>
      </c>
      <c r="AR138" s="190">
        <v>90.2</v>
      </c>
      <c r="AS138" s="190">
        <v>101.3</v>
      </c>
      <c r="AT138" s="190">
        <v>93.9</v>
      </c>
    </row>
    <row r="139" spans="1:46">
      <c r="C139" s="195" t="s">
        <v>719</v>
      </c>
      <c r="D139" s="112"/>
      <c r="E139" s="112"/>
      <c r="F139" s="112"/>
      <c r="G139" s="121">
        <v>1500000</v>
      </c>
      <c r="H139" s="112"/>
      <c r="I139" s="112"/>
      <c r="J139" s="112"/>
      <c r="K139" s="121">
        <v>1000000</v>
      </c>
      <c r="L139" s="112"/>
      <c r="M139" s="112"/>
      <c r="N139" s="112"/>
      <c r="O139" s="121">
        <v>1500000</v>
      </c>
      <c r="AH139" s="195" t="s">
        <v>719</v>
      </c>
      <c r="AI139" s="112"/>
      <c r="AJ139" s="112"/>
      <c r="AK139" s="112"/>
      <c r="AL139" s="121">
        <v>1500000</v>
      </c>
      <c r="AM139" s="112"/>
      <c r="AN139" s="112"/>
      <c r="AO139" s="112"/>
      <c r="AP139" s="121">
        <v>1000000</v>
      </c>
      <c r="AQ139" s="112"/>
      <c r="AR139" s="112"/>
      <c r="AS139" s="112"/>
      <c r="AT139" s="121">
        <v>1500000</v>
      </c>
    </row>
    <row r="140" spans="1:46" ht="15.75" thickBot="1">
      <c r="G140" s="112">
        <f>G137-G139</f>
        <v>1041631.8300000001</v>
      </c>
      <c r="H140" s="112"/>
      <c r="I140" s="112"/>
      <c r="J140" s="112"/>
      <c r="K140" s="112">
        <f>K137-K139</f>
        <v>258930.76001151581</v>
      </c>
      <c r="L140" s="112"/>
      <c r="M140" s="112"/>
      <c r="N140" s="112"/>
      <c r="O140" s="112">
        <f>O137-O139</f>
        <v>-718627.58910907689</v>
      </c>
      <c r="AL140" s="112">
        <v>716580</v>
      </c>
      <c r="AM140" s="112"/>
      <c r="AN140" s="112"/>
      <c r="AO140" s="112"/>
      <c r="AP140" s="112">
        <v>-60213</v>
      </c>
      <c r="AQ140" s="112"/>
      <c r="AR140" s="112"/>
      <c r="AS140" s="112"/>
      <c r="AT140" s="112">
        <v>-652540</v>
      </c>
    </row>
    <row r="141" spans="1:46">
      <c r="B141" s="108"/>
      <c r="C141" s="200"/>
      <c r="D141" s="109" t="s">
        <v>68</v>
      </c>
      <c r="E141" s="109" t="s">
        <v>69</v>
      </c>
      <c r="F141" s="109" t="s">
        <v>70</v>
      </c>
      <c r="G141" s="109" t="s">
        <v>71</v>
      </c>
      <c r="H141" s="109" t="s">
        <v>72</v>
      </c>
      <c r="I141" s="109" t="s">
        <v>73</v>
      </c>
      <c r="J141" s="109" t="s">
        <v>74</v>
      </c>
      <c r="K141" s="109" t="s">
        <v>75</v>
      </c>
      <c r="L141" s="109" t="s">
        <v>76</v>
      </c>
      <c r="M141" s="109" t="s">
        <v>77</v>
      </c>
      <c r="N141" s="109" t="s">
        <v>78</v>
      </c>
      <c r="O141" s="110" t="s">
        <v>79</v>
      </c>
      <c r="AG141" s="108"/>
      <c r="AH141" s="200"/>
      <c r="AI141" s="109" t="s">
        <v>68</v>
      </c>
      <c r="AJ141" s="109" t="s">
        <v>69</v>
      </c>
      <c r="AK141" s="109" t="s">
        <v>70</v>
      </c>
      <c r="AL141" s="109" t="s">
        <v>71</v>
      </c>
      <c r="AM141" s="109" t="s">
        <v>72</v>
      </c>
      <c r="AN141" s="109" t="s">
        <v>73</v>
      </c>
      <c r="AO141" s="109" t="s">
        <v>74</v>
      </c>
      <c r="AP141" s="109" t="s">
        <v>75</v>
      </c>
      <c r="AQ141" s="109" t="s">
        <v>76</v>
      </c>
      <c r="AR141" s="109" t="s">
        <v>77</v>
      </c>
      <c r="AS141" s="109" t="s">
        <v>78</v>
      </c>
      <c r="AT141" s="110" t="s">
        <v>79</v>
      </c>
    </row>
    <row r="142" spans="1:46">
      <c r="A142" s="976" t="s">
        <v>1310</v>
      </c>
      <c r="B142" s="123" t="s">
        <v>27</v>
      </c>
      <c r="C142" t="s">
        <v>196</v>
      </c>
      <c r="D142" s="112">
        <f>SUMIF('Cases post Attain'!$A:$A,"=BJ Bars",'Cases post Attain'!D:D)</f>
        <v>90072</v>
      </c>
      <c r="E142" s="112">
        <f>SUMIF('Cases post Attain'!$A:$A,"=BJ Bars",'Cases post Attain'!E:E)</f>
        <v>112410</v>
      </c>
      <c r="F142" s="112">
        <f>SUMIF('Cases post Attain'!$A:$A,"=BJ Bars",'Cases post Attain'!F:F)</f>
        <v>285317.39999999997</v>
      </c>
      <c r="G142" s="112">
        <f>SUMIF('Cases post Attain'!$A:$A,"=BJ Bars",'Cases post Attain'!G:G)</f>
        <v>132960.95999999999</v>
      </c>
      <c r="H142" s="112">
        <f>SUMIF('Cases post Attain'!$A:$A,"=BJ Bars",'Cases post Attain'!H:H)</f>
        <v>281869.44</v>
      </c>
      <c r="I142" s="112">
        <f>SUMIF('Cases post Attain'!$A:$A,"=BJ Bars",'Cases post Attain'!I:I)</f>
        <v>134400</v>
      </c>
      <c r="J142" s="112">
        <f>SUMIF('Cases post Attain'!$A:$A,"=BJ Bars",'Cases post Attain'!J:J)</f>
        <v>107520</v>
      </c>
      <c r="K142" s="112">
        <f>SUMIF('Cases post Attain'!$A:$A,"=BJ Bars",'Cases post Attain'!K:K)</f>
        <v>215040</v>
      </c>
      <c r="L142" s="112">
        <f>SUMIF('Cases post Attain'!$A:$A,"=BJ Bars",'Cases post Attain'!L:L)</f>
        <v>215040</v>
      </c>
      <c r="M142" s="112">
        <f>SUMIF('Cases post Attain'!$A:$A,"=BJ Bars",'Cases post Attain'!M:M)</f>
        <v>134400</v>
      </c>
      <c r="N142" s="112">
        <f>SUMIF('Cases post Attain'!$A:$A,"=BJ Bars",'Cases post Attain'!N:N)</f>
        <v>161280</v>
      </c>
      <c r="O142" s="112">
        <f>SUMIF('Cases post Attain'!$A:$A,"=BJ Bars",'Cases post Attain'!O:O)</f>
        <v>80640</v>
      </c>
      <c r="Q142" s="192" t="s">
        <v>752</v>
      </c>
      <c r="R142" s="397">
        <v>35</v>
      </c>
      <c r="S142" s="194"/>
      <c r="T142" s="50">
        <f>D142-AI142</f>
        <v>0</v>
      </c>
      <c r="U142" s="50">
        <f t="shared" ref="U142:U144" si="382">E142-AJ142</f>
        <v>-38233</v>
      </c>
      <c r="V142" s="50">
        <f t="shared" ref="V142:V144" si="383">F142-AK142</f>
        <v>-834.60000000003492</v>
      </c>
      <c r="W142" s="50">
        <f t="shared" ref="W142:W144" si="384">G142-AL142</f>
        <v>-146627.04</v>
      </c>
      <c r="X142" s="50" t="e">
        <f t="shared" ref="X142:X144" si="385">H142-AM142</f>
        <v>#VALUE!</v>
      </c>
      <c r="Y142" s="50">
        <f t="shared" ref="Y142:Y144" si="386">I142-AN142</f>
        <v>50400</v>
      </c>
      <c r="Z142" s="50">
        <f t="shared" ref="Z142:Z144" si="387">J142-AO142</f>
        <v>-24480</v>
      </c>
      <c r="AA142" s="50">
        <f t="shared" ref="AA142:AA144" si="388">K142-AP142</f>
        <v>11040</v>
      </c>
      <c r="AB142" s="50">
        <f t="shared" ref="AB142:AB144" si="389">L142-AQ142</f>
        <v>83040</v>
      </c>
      <c r="AC142" s="50">
        <f t="shared" ref="AC142:AC144" si="390">M142-AR142</f>
        <v>-9600</v>
      </c>
      <c r="AD142" s="50">
        <f t="shared" ref="AD142:AD144" si="391">N142-AS142</f>
        <v>-6720</v>
      </c>
      <c r="AE142" s="50">
        <f t="shared" ref="AE142:AE144" si="392">O142-AT142</f>
        <v>-66240</v>
      </c>
      <c r="AG142" s="123" t="s">
        <v>27</v>
      </c>
      <c r="AH142" t="s">
        <v>196</v>
      </c>
      <c r="AI142" s="112">
        <v>90072</v>
      </c>
      <c r="AJ142" s="112">
        <v>150643</v>
      </c>
      <c r="AK142" s="112">
        <v>286152</v>
      </c>
      <c r="AL142" s="112">
        <v>279588</v>
      </c>
      <c r="AM142" s="112" t="s">
        <v>1348</v>
      </c>
      <c r="AN142" s="112">
        <v>84000</v>
      </c>
      <c r="AO142" s="112">
        <v>132000</v>
      </c>
      <c r="AP142" s="112">
        <v>204000</v>
      </c>
      <c r="AQ142" s="112">
        <v>132000</v>
      </c>
      <c r="AR142" s="112">
        <v>144000</v>
      </c>
      <c r="AS142" s="112">
        <v>168000</v>
      </c>
      <c r="AT142" s="112">
        <v>146880</v>
      </c>
    </row>
    <row r="143" spans="1:46">
      <c r="B143" s="111"/>
      <c r="C143" t="s">
        <v>12</v>
      </c>
      <c r="D143" s="112">
        <f>SUMIF('MRF3 Demand'!$D:$D,"=BJ Bars",'MRF3 Demand'!G:G)</f>
        <v>48006</v>
      </c>
      <c r="E143" s="112">
        <f>SUMIF('MRF3 Demand'!$D:$D,"=BJ Bars",'MRF3 Demand'!H:H)</f>
        <v>84308</v>
      </c>
      <c r="F143" s="112">
        <f>SUMIF('MRF3 Demand'!$D:$D,"=BJ Bars",'MRF3 Demand'!I:I)</f>
        <v>157171</v>
      </c>
      <c r="G143" s="112">
        <f>SUMIF('MRF3 Demand'!$D:$D,"=BJ Bars",'MRF3 Demand'!J:J)</f>
        <v>154146</v>
      </c>
      <c r="H143" s="112">
        <f>SUMIF('MRF3 Demand'!$D:$D,"=BJ Bars",'MRF3 Demand'!K:K)</f>
        <v>217206</v>
      </c>
      <c r="I143" s="112">
        <f>SUMIF('MRF3 Demand'!$D:$D,"=BJ Bars",'MRF3 Demand'!L:L)</f>
        <v>205344</v>
      </c>
      <c r="J143" s="112">
        <f>SUMIF('MRF3 Demand'!$D:$D,"=BJ Bars",'MRF3 Demand'!M:M)</f>
        <v>191915</v>
      </c>
      <c r="K143" s="112">
        <f>SUMIF('MRF3 Demand'!$D:$D,"=BJ Bars",'MRF3 Demand'!N:N)</f>
        <v>198033</v>
      </c>
      <c r="L143" s="112">
        <f>SUMIF('MRF3 Demand'!$D:$D,"=BJ Bars",'MRF3 Demand'!O:O)</f>
        <v>185868</v>
      </c>
      <c r="M143" s="112">
        <f>SUMIF('MRF3 Demand'!$D:$D,"=BJ Bars",'MRF3 Demand'!P:P)</f>
        <v>187195</v>
      </c>
      <c r="N143" s="112">
        <f>SUMIF('MRF3 Demand'!$D:$D,"=BJ Bars",'MRF3 Demand'!Q:Q)</f>
        <v>161954</v>
      </c>
      <c r="O143" s="112">
        <f>SUMIF('MRF3 Demand'!$D:$D,"=BJ Bars",'MRF3 Demand'!R:R)</f>
        <v>168474</v>
      </c>
      <c r="Q143" s="58" t="s">
        <v>753</v>
      </c>
      <c r="R143" s="398">
        <f>K145-R142</f>
        <v>13.649498878205534</v>
      </c>
      <c r="S143" s="94"/>
      <c r="T143" s="50">
        <f>D143-AI143</f>
        <v>0</v>
      </c>
      <c r="U143" s="50">
        <f t="shared" si="382"/>
        <v>20051</v>
      </c>
      <c r="V143" s="50">
        <f t="shared" si="383"/>
        <v>27584</v>
      </c>
      <c r="W143" s="50">
        <f t="shared" si="384"/>
        <v>-1712</v>
      </c>
      <c r="X143" s="50">
        <f t="shared" si="385"/>
        <v>26113</v>
      </c>
      <c r="Y143" s="50">
        <f t="shared" si="386"/>
        <v>10366</v>
      </c>
      <c r="Z143" s="50">
        <f t="shared" si="387"/>
        <v>6910</v>
      </c>
      <c r="AA143" s="50">
        <f t="shared" si="388"/>
        <v>7372</v>
      </c>
      <c r="AB143" s="50">
        <f t="shared" si="389"/>
        <v>6801</v>
      </c>
      <c r="AC143" s="50">
        <f t="shared" si="390"/>
        <v>6873</v>
      </c>
      <c r="AD143" s="50">
        <f t="shared" si="391"/>
        <v>5986</v>
      </c>
      <c r="AE143" s="50">
        <f t="shared" si="392"/>
        <v>6248</v>
      </c>
      <c r="AG143" s="111"/>
      <c r="AH143" t="s">
        <v>12</v>
      </c>
      <c r="AI143" s="112">
        <v>48006</v>
      </c>
      <c r="AJ143" s="112">
        <v>64257</v>
      </c>
      <c r="AK143" s="112">
        <v>129587</v>
      </c>
      <c r="AL143" s="112">
        <v>155858</v>
      </c>
      <c r="AM143" s="112">
        <v>191093</v>
      </c>
      <c r="AN143" s="112">
        <v>194978</v>
      </c>
      <c r="AO143" s="112">
        <v>185005</v>
      </c>
      <c r="AP143" s="112">
        <v>190661</v>
      </c>
      <c r="AQ143" s="112">
        <v>179067</v>
      </c>
      <c r="AR143" s="112">
        <v>180322</v>
      </c>
      <c r="AS143" s="112">
        <v>155968</v>
      </c>
      <c r="AT143" s="112">
        <v>162226</v>
      </c>
    </row>
    <row r="144" spans="1:46" ht="19.5" thickBot="1">
      <c r="B144" s="148" t="s">
        <v>754</v>
      </c>
      <c r="C144" s="972">
        <v>195671</v>
      </c>
      <c r="D144" s="1005">
        <v>241562</v>
      </c>
      <c r="E144" s="1004">
        <v>269196</v>
      </c>
      <c r="F144" s="150">
        <f t="shared" ref="F144" si="393">E144+F142-F143</f>
        <v>397342.39999999991</v>
      </c>
      <c r="G144" s="150">
        <f t="shared" ref="G144" si="394">F144+G142-G143</f>
        <v>376157.35999999987</v>
      </c>
      <c r="H144" s="150">
        <f t="shared" ref="H144" si="395">G144+H142-H143</f>
        <v>440820.79999999981</v>
      </c>
      <c r="I144" s="150">
        <f t="shared" ref="I144" si="396">H144+I142-I143</f>
        <v>369876.79999999981</v>
      </c>
      <c r="J144" s="150">
        <f t="shared" ref="J144" si="397">I144+J142-J143</f>
        <v>285481.79999999981</v>
      </c>
      <c r="K144" s="150">
        <f t="shared" ref="K144" si="398">J144+K142-K143</f>
        <v>302488.79999999981</v>
      </c>
      <c r="L144" s="150">
        <f t="shared" ref="L144" si="399">K144+L142-L143</f>
        <v>331660.79999999981</v>
      </c>
      <c r="M144" s="150">
        <f t="shared" ref="M144" si="400">L144+M142-M143</f>
        <v>278865.79999999981</v>
      </c>
      <c r="N144" s="150">
        <f t="shared" ref="N144" si="401">M144+N142-N143</f>
        <v>278191.79999999981</v>
      </c>
      <c r="O144" s="151">
        <f>N144+O142-O143</f>
        <v>190357.79999999981</v>
      </c>
      <c r="Q144" s="193" t="s">
        <v>755</v>
      </c>
      <c r="R144" s="399">
        <f>R143*(SUM(L143:M143)/60)-S144</f>
        <v>84868.716666666514</v>
      </c>
      <c r="S144" s="497"/>
      <c r="T144" s="50">
        <f>D144-AI144</f>
        <v>0</v>
      </c>
      <c r="U144" s="50">
        <f t="shared" si="382"/>
        <v>-58752</v>
      </c>
      <c r="V144" s="50">
        <f t="shared" si="383"/>
        <v>-87170.600000000093</v>
      </c>
      <c r="W144" s="50">
        <f t="shared" si="384"/>
        <v>-232086.64000000013</v>
      </c>
      <c r="X144" s="50">
        <f t="shared" si="385"/>
        <v>23669.799999999814</v>
      </c>
      <c r="Y144" s="50">
        <f t="shared" si="386"/>
        <v>63703.799999999814</v>
      </c>
      <c r="Z144" s="50">
        <f t="shared" si="387"/>
        <v>32313.799999999814</v>
      </c>
      <c r="AA144" s="50">
        <f t="shared" si="388"/>
        <v>35981.799999999814</v>
      </c>
      <c r="AB144" s="50">
        <f t="shared" si="389"/>
        <v>112220.79999999981</v>
      </c>
      <c r="AC144" s="50">
        <f t="shared" si="390"/>
        <v>95747.799999999814</v>
      </c>
      <c r="AD144" s="50">
        <f t="shared" si="391"/>
        <v>83041.799999999814</v>
      </c>
      <c r="AE144" s="50">
        <f t="shared" si="392"/>
        <v>10553.799999999814</v>
      </c>
      <c r="AG144" s="148" t="s">
        <v>754</v>
      </c>
      <c r="AH144" s="972">
        <v>195671</v>
      </c>
      <c r="AI144" s="1005">
        <v>241562</v>
      </c>
      <c r="AJ144" s="150">
        <v>327948</v>
      </c>
      <c r="AK144" s="150">
        <v>484513</v>
      </c>
      <c r="AL144" s="150">
        <v>608244</v>
      </c>
      <c r="AM144" s="150">
        <v>417151</v>
      </c>
      <c r="AN144" s="150">
        <v>306173</v>
      </c>
      <c r="AO144" s="150">
        <v>253168</v>
      </c>
      <c r="AP144" s="150">
        <v>266507</v>
      </c>
      <c r="AQ144" s="150">
        <v>219440</v>
      </c>
      <c r="AR144" s="150">
        <v>183118</v>
      </c>
      <c r="AS144" s="150">
        <v>195150</v>
      </c>
      <c r="AT144" s="151">
        <v>179804</v>
      </c>
    </row>
    <row r="145" spans="1:46">
      <c r="C145" t="s">
        <v>756</v>
      </c>
      <c r="D145" s="190">
        <f t="shared" ref="D145" si="402">D144/(SUM(E143:F143)/60)</f>
        <v>60.020622911309054</v>
      </c>
      <c r="E145" s="190">
        <f t="shared" ref="E145" si="403">E144/(SUM(F143:G143)/60)</f>
        <v>51.88203663789642</v>
      </c>
      <c r="F145" s="190">
        <f t="shared" ref="F145" si="404">F144/(SUM(G143:H143)/60)</f>
        <v>64.199314935694417</v>
      </c>
      <c r="G145" s="190">
        <f t="shared" ref="G145" si="405">G144/(SUM(H143:I143)/60)</f>
        <v>53.412475683351062</v>
      </c>
      <c r="H145" s="190">
        <f t="shared" ref="H145" si="406">H144/(SUM(I143:J143)/60)</f>
        <v>66.579355030345411</v>
      </c>
      <c r="I145" s="190">
        <f t="shared" ref="I145" si="407">I144/(SUM(J143:K143)/60)</f>
        <v>56.911711305097064</v>
      </c>
      <c r="J145" s="190">
        <f t="shared" ref="J145" si="408">J144/(SUM(K143:L143)/60)</f>
        <v>44.618034336977473</v>
      </c>
      <c r="K145" s="190">
        <f t="shared" ref="K145" si="409">K144/(SUM(L143:M143)/60)</f>
        <v>48.649498878205534</v>
      </c>
      <c r="L145" s="190">
        <f t="shared" ref="L145" si="410">L144/(SUM(M143:N143)/60)</f>
        <v>56.994715723086678</v>
      </c>
      <c r="M145" s="190">
        <f t="shared" ref="M145" si="411">M144/(SUM(N143:O143)/60)</f>
        <v>50.637197816165667</v>
      </c>
      <c r="N145" s="190">
        <f>N144/(SUM(O143,D143)/60)</f>
        <v>77.104157427937864</v>
      </c>
      <c r="O145" s="190">
        <f>O144/(SUM(D143,E143)/60)</f>
        <v>86.320933536889441</v>
      </c>
      <c r="Q145" s="58" t="s">
        <v>757</v>
      </c>
      <c r="R145" s="400">
        <f>R144/SUM(G143:K143)</f>
        <v>8.7797282832838677E-2</v>
      </c>
      <c r="S145" s="95"/>
      <c r="AF145" s="50"/>
      <c r="AH145" t="s">
        <v>756</v>
      </c>
      <c r="AI145" s="190">
        <v>74.8</v>
      </c>
      <c r="AJ145" s="190">
        <v>68.900000000000006</v>
      </c>
      <c r="AK145" s="190">
        <v>83.8</v>
      </c>
      <c r="AL145" s="190">
        <v>94.5</v>
      </c>
      <c r="AM145" s="190">
        <v>65.900000000000006</v>
      </c>
      <c r="AN145" s="190">
        <v>48.9</v>
      </c>
      <c r="AO145" s="190">
        <v>41.1</v>
      </c>
      <c r="AP145" s="190">
        <v>44.5</v>
      </c>
      <c r="AQ145" s="190">
        <v>39.200000000000003</v>
      </c>
      <c r="AR145" s="190">
        <v>34.5</v>
      </c>
      <c r="AS145" s="190">
        <v>55.7</v>
      </c>
      <c r="AT145" s="190">
        <v>96.1</v>
      </c>
    </row>
    <row r="146" spans="1:46">
      <c r="C146" s="195" t="s">
        <v>719</v>
      </c>
      <c r="D146" s="112"/>
      <c r="E146" s="112"/>
      <c r="F146" s="112"/>
      <c r="G146" s="121">
        <v>40000</v>
      </c>
      <c r="H146" s="112"/>
      <c r="I146" s="112"/>
      <c r="J146" s="112"/>
      <c r="K146" s="121">
        <v>359000</v>
      </c>
      <c r="L146" s="112"/>
      <c r="M146" s="112"/>
      <c r="N146" s="112"/>
      <c r="O146" s="121">
        <v>260000</v>
      </c>
      <c r="AH146" s="195" t="s">
        <v>719</v>
      </c>
      <c r="AI146" s="112"/>
      <c r="AJ146" s="112"/>
      <c r="AK146" s="112"/>
      <c r="AL146" s="121">
        <v>40000</v>
      </c>
      <c r="AM146" s="112"/>
      <c r="AN146" s="112"/>
      <c r="AO146" s="112"/>
      <c r="AP146" s="121">
        <v>359000</v>
      </c>
      <c r="AQ146" s="112"/>
      <c r="AR146" s="112"/>
      <c r="AS146" s="112"/>
      <c r="AT146" s="121">
        <v>260000</v>
      </c>
    </row>
    <row r="147" spans="1:46" ht="15.75" thickBot="1">
      <c r="G147" s="112">
        <f>G144-G146</f>
        <v>336157.35999999987</v>
      </c>
      <c r="H147" s="112"/>
      <c r="I147" s="112"/>
      <c r="J147" s="112"/>
      <c r="K147" s="112">
        <f>K144-K146</f>
        <v>-56511.200000000186</v>
      </c>
      <c r="L147" s="112"/>
      <c r="M147" s="112"/>
      <c r="N147" s="112"/>
      <c r="O147" s="112">
        <f>O144-O146</f>
        <v>-69642.200000000186</v>
      </c>
      <c r="AL147" s="112">
        <v>568244</v>
      </c>
      <c r="AM147" s="112"/>
      <c r="AN147" s="112"/>
      <c r="AO147" s="112"/>
      <c r="AP147" s="112">
        <v>-92493</v>
      </c>
      <c r="AQ147" s="112"/>
      <c r="AR147" s="112"/>
      <c r="AS147" s="112"/>
      <c r="AT147" s="112">
        <v>-80196</v>
      </c>
    </row>
    <row r="148" spans="1:46">
      <c r="B148" s="108"/>
      <c r="C148" s="200"/>
      <c r="D148" s="109" t="s">
        <v>68</v>
      </c>
      <c r="E148" s="109" t="s">
        <v>69</v>
      </c>
      <c r="F148" s="109" t="s">
        <v>70</v>
      </c>
      <c r="G148" s="109" t="s">
        <v>71</v>
      </c>
      <c r="H148" s="109" t="s">
        <v>72</v>
      </c>
      <c r="I148" s="109" t="s">
        <v>73</v>
      </c>
      <c r="J148" s="109" t="s">
        <v>74</v>
      </c>
      <c r="K148" s="109" t="s">
        <v>75</v>
      </c>
      <c r="L148" s="109" t="s">
        <v>76</v>
      </c>
      <c r="M148" s="109" t="s">
        <v>77</v>
      </c>
      <c r="N148" s="109" t="s">
        <v>78</v>
      </c>
      <c r="O148" s="110" t="s">
        <v>79</v>
      </c>
      <c r="AG148" s="108"/>
      <c r="AH148" s="200"/>
      <c r="AI148" s="109" t="s">
        <v>68</v>
      </c>
      <c r="AJ148" s="109" t="s">
        <v>69</v>
      </c>
      <c r="AK148" s="109" t="s">
        <v>70</v>
      </c>
      <c r="AL148" s="109" t="s">
        <v>71</v>
      </c>
      <c r="AM148" s="109" t="s">
        <v>72</v>
      </c>
      <c r="AN148" s="109" t="s">
        <v>73</v>
      </c>
      <c r="AO148" s="109" t="s">
        <v>74</v>
      </c>
      <c r="AP148" s="109" t="s">
        <v>75</v>
      </c>
      <c r="AQ148" s="109" t="s">
        <v>76</v>
      </c>
      <c r="AR148" s="109" t="s">
        <v>77</v>
      </c>
      <c r="AS148" s="109" t="s">
        <v>78</v>
      </c>
      <c r="AT148" s="110" t="s">
        <v>79</v>
      </c>
    </row>
    <row r="149" spans="1:46">
      <c r="A149" s="976" t="s">
        <v>1310</v>
      </c>
      <c r="B149" s="123" t="s">
        <v>45</v>
      </c>
      <c r="C149" t="s">
        <v>196</v>
      </c>
      <c r="D149" s="112">
        <f>SUMIF('Cases post Attain'!$A:$A,"=YS PTS",'Cases post Attain'!D:D)</f>
        <v>209337</v>
      </c>
      <c r="E149" s="112">
        <f>SUMIF('Cases post Attain'!$A:$A,"=YS PTS",'Cases post Attain'!E:E)</f>
        <v>328277</v>
      </c>
      <c r="F149" s="112">
        <f>SUMIF('Cases post Attain'!$A:$A,"=YS PTS",'Cases post Attain'!F:F)</f>
        <v>312886</v>
      </c>
      <c r="G149" s="112">
        <f>SUMIF('Cases post Attain'!$A:$A,"=YS PTS",'Cases post Attain'!G:G)</f>
        <v>226200</v>
      </c>
      <c r="H149" s="112">
        <f>SUMIF('Cases post Attain'!$A:$A,"=YS PTS",'Cases post Attain'!H:H)</f>
        <v>125760</v>
      </c>
      <c r="I149" s="112">
        <f>SUMIF('Cases post Attain'!$A:$A,"=YS PTS",'Cases post Attain'!I:I)</f>
        <v>118260</v>
      </c>
      <c r="J149" s="112">
        <f>SUMIF('Cases post Attain'!$A:$A,"=YS PTS",'Cases post Attain'!J:J)</f>
        <v>230520</v>
      </c>
      <c r="K149" s="112">
        <f>SUMIF('Cases post Attain'!$A:$A,"=YS PTS",'Cases post Attain'!K:K)</f>
        <v>292760</v>
      </c>
      <c r="L149" s="112">
        <f>SUMIF('Cases post Attain'!$A:$A,"=YS PTS",'Cases post Attain'!L:L)</f>
        <v>350760</v>
      </c>
      <c r="M149" s="112">
        <f>SUMIF('Cases post Attain'!$A:$A,"=YS PTS",'Cases post Attain'!M:M)</f>
        <v>277760</v>
      </c>
      <c r="N149" s="112">
        <f>SUMIF('Cases post Attain'!$A:$A,"=YS PTS",'Cases post Attain'!N:N)</f>
        <v>291520</v>
      </c>
      <c r="O149" s="112">
        <f>SUMIF('Cases post Attain'!$A:$A,"=YS PTS",'Cases post Attain'!O:O)</f>
        <v>210880</v>
      </c>
      <c r="Q149" s="192" t="s">
        <v>752</v>
      </c>
      <c r="R149" s="397">
        <v>35</v>
      </c>
      <c r="S149" s="194"/>
      <c r="T149" s="50">
        <f>D149-AI149</f>
        <v>0</v>
      </c>
      <c r="U149" s="50">
        <f t="shared" ref="U149:U151" si="412">E149-AJ149</f>
        <v>133224</v>
      </c>
      <c r="V149" s="50">
        <f t="shared" ref="V149:V151" si="413">F149-AK149</f>
        <v>-40874</v>
      </c>
      <c r="W149" s="50">
        <f t="shared" ref="W149:W151" si="414">G149-AL149</f>
        <v>-189480</v>
      </c>
      <c r="X149" s="50">
        <f t="shared" ref="X149:X151" si="415">H149-AM149</f>
        <v>-18240</v>
      </c>
      <c r="Y149" s="50">
        <f t="shared" ref="Y149:Y151" si="416">I149-AN149</f>
        <v>-66240</v>
      </c>
      <c r="Z149" s="50">
        <f t="shared" ref="Z149:Z151" si="417">J149-AO149</f>
        <v>155520</v>
      </c>
      <c r="AA149" s="50">
        <f t="shared" ref="AA149:AA151" si="418">K149-AP149</f>
        <v>117760</v>
      </c>
      <c r="AB149" s="50">
        <f t="shared" ref="AB149:AB151" si="419">L149-AQ149</f>
        <v>79760</v>
      </c>
      <c r="AC149" s="50">
        <f t="shared" ref="AC149:AC151" si="420">M149-AR149</f>
        <v>55760</v>
      </c>
      <c r="AD149" s="50">
        <f t="shared" ref="AD149:AD151" si="421">N149-AS149</f>
        <v>195520</v>
      </c>
      <c r="AE149" s="50">
        <f t="shared" ref="AE149:AE151" si="422">O149-AT149</f>
        <v>138880</v>
      </c>
      <c r="AG149" s="123" t="s">
        <v>45</v>
      </c>
      <c r="AH149" t="s">
        <v>196</v>
      </c>
      <c r="AI149" s="112">
        <v>209337</v>
      </c>
      <c r="AJ149" s="112">
        <v>195053</v>
      </c>
      <c r="AK149" s="112">
        <v>353760</v>
      </c>
      <c r="AL149" s="112">
        <v>415680</v>
      </c>
      <c r="AM149" s="112">
        <v>144000</v>
      </c>
      <c r="AN149" s="112">
        <v>184500</v>
      </c>
      <c r="AO149" s="112">
        <v>75000</v>
      </c>
      <c r="AP149" s="112">
        <v>175000</v>
      </c>
      <c r="AQ149" s="112">
        <v>271000</v>
      </c>
      <c r="AR149" s="112">
        <v>222000</v>
      </c>
      <c r="AS149" s="112">
        <v>96000</v>
      </c>
      <c r="AT149" s="112">
        <v>72000</v>
      </c>
    </row>
    <row r="150" spans="1:46">
      <c r="B150" s="111"/>
      <c r="C150" t="s">
        <v>12</v>
      </c>
      <c r="D150" s="112">
        <f>SUMIF('MRF3 Demand'!$D:$D,"=YS PTS",'MRF3 Demand'!G:G)</f>
        <v>81821</v>
      </c>
      <c r="E150" s="112">
        <f>SUMIF('MRF3 Demand'!$D:$D,"=YS PTS",'MRF3 Demand'!H:H)</f>
        <v>76507</v>
      </c>
      <c r="F150" s="112">
        <f>SUMIF('MRF3 Demand'!$D:$D,"=YS PTS",'MRF3 Demand'!I:I)</f>
        <v>189400.33333333334</v>
      </c>
      <c r="G150" s="112">
        <f>SUMIF('MRF3 Demand'!$D:$D,"=YS PTS",'MRF3 Demand'!J:J)</f>
        <v>205472.66666666666</v>
      </c>
      <c r="H150" s="112">
        <f>SUMIF('MRF3 Demand'!$D:$D,"=YS PTS",'MRF3 Demand'!K:K)</f>
        <v>236220</v>
      </c>
      <c r="I150" s="112">
        <f>SUMIF('MRF3 Demand'!$D:$D,"=YS PTS",'MRF3 Demand'!L:L)</f>
        <v>257469.16666666669</v>
      </c>
      <c r="J150" s="112">
        <f>SUMIF('MRF3 Demand'!$D:$D,"=YS PTS",'MRF3 Demand'!M:M)</f>
        <v>195140</v>
      </c>
      <c r="K150" s="112">
        <f>SUMIF('MRF3 Demand'!$D:$D,"=YS PTS",'MRF3 Demand'!N:N)</f>
        <v>192082.66666666663</v>
      </c>
      <c r="L150" s="112">
        <f>SUMIF('MRF3 Demand'!$D:$D,"=YS PTS",'MRF3 Demand'!O:O)</f>
        <v>183552.33333333334</v>
      </c>
      <c r="M150" s="112">
        <f>SUMIF('MRF3 Demand'!$D:$D,"=YS PTS",'MRF3 Demand'!P:P)</f>
        <v>142459</v>
      </c>
      <c r="N150" s="112">
        <f>SUMIF('MRF3 Demand'!$D:$D,"=YS PTS",'MRF3 Demand'!Q:Q)</f>
        <v>140997</v>
      </c>
      <c r="O150" s="112">
        <f>SUMIF('MRF3 Demand'!$D:$D,"=YS PTS",'MRF3 Demand'!R:R)</f>
        <v>158615.66666666666</v>
      </c>
      <c r="Q150" s="58" t="s">
        <v>753</v>
      </c>
      <c r="R150" s="398">
        <f>K152-R149</f>
        <v>49.053059505088768</v>
      </c>
      <c r="S150" s="94"/>
      <c r="T150" s="50">
        <f>D150-AI150</f>
        <v>0</v>
      </c>
      <c r="U150" s="50">
        <f t="shared" si="412"/>
        <v>-15959</v>
      </c>
      <c r="V150" s="50">
        <f t="shared" si="413"/>
        <v>18150.333333333343</v>
      </c>
      <c r="W150" s="50">
        <f t="shared" si="414"/>
        <v>44174.666666666657</v>
      </c>
      <c r="X150" s="50">
        <f t="shared" si="415"/>
        <v>50908</v>
      </c>
      <c r="Y150" s="50">
        <f t="shared" si="416"/>
        <v>50238.166666666686</v>
      </c>
      <c r="Z150" s="50">
        <f t="shared" si="417"/>
        <v>9050</v>
      </c>
      <c r="AA150" s="50">
        <f t="shared" si="418"/>
        <v>7226.6666666666279</v>
      </c>
      <c r="AB150" s="50">
        <f t="shared" si="419"/>
        <v>6662.333333333343</v>
      </c>
      <c r="AC150" s="50">
        <f t="shared" si="420"/>
        <v>5454</v>
      </c>
      <c r="AD150" s="50">
        <f t="shared" si="421"/>
        <v>5211</v>
      </c>
      <c r="AE150" s="50">
        <f t="shared" si="422"/>
        <v>5390.666666666657</v>
      </c>
      <c r="AG150" s="111"/>
      <c r="AH150" t="s">
        <v>12</v>
      </c>
      <c r="AI150" s="112">
        <v>81821</v>
      </c>
      <c r="AJ150" s="112">
        <v>92466</v>
      </c>
      <c r="AK150" s="112">
        <v>171250</v>
      </c>
      <c r="AL150" s="112">
        <v>161298</v>
      </c>
      <c r="AM150" s="112">
        <v>185312</v>
      </c>
      <c r="AN150" s="112">
        <v>207231</v>
      </c>
      <c r="AO150" s="112">
        <v>186090</v>
      </c>
      <c r="AP150" s="112">
        <v>184856</v>
      </c>
      <c r="AQ150" s="112">
        <v>176890</v>
      </c>
      <c r="AR150" s="112">
        <v>137005</v>
      </c>
      <c r="AS150" s="112">
        <v>135786</v>
      </c>
      <c r="AT150" s="112">
        <v>153225</v>
      </c>
    </row>
    <row r="151" spans="1:46" ht="19.5" thickBot="1">
      <c r="B151" s="148" t="s">
        <v>754</v>
      </c>
      <c r="C151" s="972">
        <v>126615</v>
      </c>
      <c r="D151" s="1005">
        <v>229541</v>
      </c>
      <c r="E151" s="1004">
        <v>426103</v>
      </c>
      <c r="F151" s="150">
        <f t="shared" ref="F151" si="423">E151+F149-F150</f>
        <v>549588.66666666663</v>
      </c>
      <c r="G151" s="150">
        <f t="shared" ref="G151" si="424">F151+G149-G150</f>
        <v>570316</v>
      </c>
      <c r="H151" s="150">
        <f t="shared" ref="H151" si="425">G151+H149-H150</f>
        <v>459856</v>
      </c>
      <c r="I151" s="150">
        <f t="shared" ref="I151" si="426">H151+I149-I150</f>
        <v>320646.83333333331</v>
      </c>
      <c r="J151" s="150">
        <f t="shared" ref="J151" si="427">I151+J149-J150</f>
        <v>356026.83333333326</v>
      </c>
      <c r="K151" s="150">
        <f t="shared" ref="K151" si="428">J151+K149-K150</f>
        <v>456704.16666666663</v>
      </c>
      <c r="L151" s="150">
        <f t="shared" ref="L151" si="429">K151+L149-L150</f>
        <v>623911.83333333326</v>
      </c>
      <c r="M151" s="150">
        <f t="shared" ref="M151" si="430">L151+M149-M150</f>
        <v>759212.83333333326</v>
      </c>
      <c r="N151" s="150">
        <f t="shared" ref="N151" si="431">M151+N149-N150</f>
        <v>909735.83333333326</v>
      </c>
      <c r="O151" s="151">
        <f>N151+O149-O150</f>
        <v>962000.16666666663</v>
      </c>
      <c r="Q151" s="193" t="s">
        <v>755</v>
      </c>
      <c r="R151" s="399">
        <f>R150*(SUM(L150:M150)/60)-S151</f>
        <v>266530.88888888888</v>
      </c>
      <c r="S151" s="497"/>
      <c r="T151" s="50">
        <f>D151-AI151</f>
        <v>0</v>
      </c>
      <c r="U151" s="50">
        <f t="shared" si="412"/>
        <v>93974</v>
      </c>
      <c r="V151" s="50">
        <f t="shared" si="413"/>
        <v>34950.666666666628</v>
      </c>
      <c r="W151" s="50">
        <f t="shared" si="414"/>
        <v>-198705</v>
      </c>
      <c r="X151" s="50">
        <f t="shared" si="415"/>
        <v>-267853</v>
      </c>
      <c r="Y151" s="50">
        <f t="shared" si="416"/>
        <v>-384330.16666666669</v>
      </c>
      <c r="Z151" s="50">
        <f t="shared" si="417"/>
        <v>-237860.16666666674</v>
      </c>
      <c r="AA151" s="50">
        <f t="shared" si="418"/>
        <v>-127327.83333333337</v>
      </c>
      <c r="AB151" s="50">
        <f t="shared" si="419"/>
        <v>-54229.166666666744</v>
      </c>
      <c r="AC151" s="50">
        <f t="shared" si="420"/>
        <v>-3923.1666666667443</v>
      </c>
      <c r="AD151" s="50">
        <f t="shared" si="421"/>
        <v>186385.83333333326</v>
      </c>
      <c r="AE151" s="50">
        <f t="shared" si="422"/>
        <v>319874.16666666663</v>
      </c>
      <c r="AG151" s="148" t="s">
        <v>754</v>
      </c>
      <c r="AH151" s="972">
        <v>126615</v>
      </c>
      <c r="AI151" s="1005">
        <v>229541</v>
      </c>
      <c r="AJ151" s="150">
        <v>332129</v>
      </c>
      <c r="AK151" s="150">
        <v>514638</v>
      </c>
      <c r="AL151" s="150">
        <v>769021</v>
      </c>
      <c r="AM151" s="150">
        <v>727709</v>
      </c>
      <c r="AN151" s="150">
        <v>704977</v>
      </c>
      <c r="AO151" s="150">
        <v>593887</v>
      </c>
      <c r="AP151" s="150">
        <v>584032</v>
      </c>
      <c r="AQ151" s="150">
        <v>678141</v>
      </c>
      <c r="AR151" s="150">
        <v>763136</v>
      </c>
      <c r="AS151" s="150">
        <v>723350</v>
      </c>
      <c r="AT151" s="151">
        <v>642126</v>
      </c>
    </row>
    <row r="152" spans="1:46">
      <c r="C152" t="s">
        <v>756</v>
      </c>
      <c r="D152" s="190">
        <f t="shared" ref="D152" si="432">D151/(SUM(E150:F150)/60)</f>
        <v>51.794209010156415</v>
      </c>
      <c r="E152" s="190">
        <f t="shared" ref="E152" si="433">E151/(SUM(F150:G150)/60)</f>
        <v>64.745323179857834</v>
      </c>
      <c r="F152" s="190">
        <f t="shared" ref="F152" si="434">F151/(SUM(G150:H150)/60)</f>
        <v>74.65670700139917</v>
      </c>
      <c r="G152" s="190">
        <f t="shared" ref="G152" si="435">G151/(SUM(H150:I150)/60)</f>
        <v>69.312762585094873</v>
      </c>
      <c r="H152" s="190">
        <f t="shared" ref="H152" si="436">H151/(SUM(I150:J150)/60)</f>
        <v>60.960674312458686</v>
      </c>
      <c r="I152" s="190">
        <f t="shared" ref="I152" si="437">I151/(SUM(J150:K150)/60)</f>
        <v>49.684100792997654</v>
      </c>
      <c r="J152" s="190">
        <f t="shared" ref="J152" si="438">J151/(SUM(K150:L150)/60)</f>
        <v>56.867996858652674</v>
      </c>
      <c r="K152" s="190">
        <f t="shared" ref="K152" si="439">K151/(SUM(L150:M150)/60)</f>
        <v>84.053059505088768</v>
      </c>
      <c r="L152" s="190">
        <f t="shared" ref="L152" si="440">L151/(SUM(M150:N150)/60)</f>
        <v>132.06532936328742</v>
      </c>
      <c r="M152" s="190">
        <f t="shared" ref="M152" si="441">M151/(SUM(N150:O150)/60)</f>
        <v>152.03886573553856</v>
      </c>
      <c r="N152" s="190">
        <f>N151/(SUM(O150,D150)/60)</f>
        <v>227.02090640639943</v>
      </c>
      <c r="O152" s="190">
        <f>O151/(SUM(D150,E150)/60)</f>
        <v>364.5597114850184</v>
      </c>
      <c r="Q152" s="58" t="s">
        <v>757</v>
      </c>
      <c r="R152" s="400">
        <f>R151/SUM(G150:K150)</f>
        <v>0.245337529105845</v>
      </c>
      <c r="S152" s="95"/>
      <c r="AF152" s="50"/>
      <c r="AH152" t="s">
        <v>756</v>
      </c>
      <c r="AI152" s="190">
        <v>52.2</v>
      </c>
      <c r="AJ152" s="190">
        <v>59.9</v>
      </c>
      <c r="AK152" s="190">
        <v>89.1</v>
      </c>
      <c r="AL152" s="190">
        <v>117.5</v>
      </c>
      <c r="AM152" s="190">
        <v>111</v>
      </c>
      <c r="AN152" s="190">
        <v>114</v>
      </c>
      <c r="AO152" s="190">
        <v>98.5</v>
      </c>
      <c r="AP152" s="190">
        <v>111.6</v>
      </c>
      <c r="AQ152" s="190">
        <v>149.19999999999999</v>
      </c>
      <c r="AR152" s="190">
        <v>158.4</v>
      </c>
      <c r="AS152" s="190">
        <v>184.6</v>
      </c>
      <c r="AT152" s="190">
        <v>221.1</v>
      </c>
    </row>
    <row r="153" spans="1:46">
      <c r="C153" s="195" t="s">
        <v>719</v>
      </c>
      <c r="D153" s="112"/>
      <c r="E153" s="112"/>
      <c r="F153" s="112"/>
      <c r="G153" s="121">
        <v>400000</v>
      </c>
      <c r="H153" s="112"/>
      <c r="I153" s="112"/>
      <c r="J153" s="112"/>
      <c r="K153" s="121">
        <v>300000</v>
      </c>
      <c r="L153" s="112"/>
      <c r="M153" s="112"/>
      <c r="N153" s="112"/>
      <c r="O153" s="121">
        <v>300000</v>
      </c>
      <c r="AH153" s="195" t="s">
        <v>719</v>
      </c>
      <c r="AI153" s="112"/>
      <c r="AJ153" s="112"/>
      <c r="AK153" s="112"/>
      <c r="AL153" s="121">
        <v>400000</v>
      </c>
      <c r="AM153" s="112"/>
      <c r="AN153" s="112"/>
      <c r="AO153" s="112"/>
      <c r="AP153" s="121">
        <v>300000</v>
      </c>
      <c r="AQ153" s="112"/>
      <c r="AR153" s="112"/>
      <c r="AS153" s="112"/>
      <c r="AT153" s="121">
        <v>300000</v>
      </c>
    </row>
    <row r="154" spans="1:46" ht="15.75" thickBot="1">
      <c r="G154" s="112">
        <f>G151-G153</f>
        <v>170316</v>
      </c>
      <c r="H154" s="112"/>
      <c r="I154" s="112"/>
      <c r="J154" s="112"/>
      <c r="K154" s="112">
        <f>K151-K153</f>
        <v>156704.16666666663</v>
      </c>
      <c r="L154" s="112"/>
      <c r="M154" s="112"/>
      <c r="N154" s="112"/>
      <c r="O154" s="112">
        <f>O151-O153</f>
        <v>662000.16666666663</v>
      </c>
      <c r="AL154" s="112">
        <v>369021</v>
      </c>
      <c r="AM154" s="112"/>
      <c r="AN154" s="112"/>
      <c r="AO154" s="112"/>
      <c r="AP154" s="112">
        <v>284032</v>
      </c>
      <c r="AQ154" s="112"/>
      <c r="AR154" s="112"/>
      <c r="AS154" s="112"/>
      <c r="AT154" s="112">
        <v>342126</v>
      </c>
    </row>
    <row r="155" spans="1:46">
      <c r="B155" t="s">
        <v>52</v>
      </c>
      <c r="D155" s="109" t="s">
        <v>68</v>
      </c>
      <c r="E155" s="109" t="s">
        <v>69</v>
      </c>
      <c r="F155" s="109" t="s">
        <v>70</v>
      </c>
      <c r="G155" s="109" t="s">
        <v>71</v>
      </c>
      <c r="H155" s="109" t="s">
        <v>72</v>
      </c>
      <c r="I155" s="109" t="s">
        <v>73</v>
      </c>
      <c r="J155" s="109" t="s">
        <v>74</v>
      </c>
      <c r="K155" s="109" t="s">
        <v>75</v>
      </c>
      <c r="L155" s="109" t="s">
        <v>76</v>
      </c>
      <c r="M155" s="109" t="s">
        <v>77</v>
      </c>
      <c r="N155" s="109" t="s">
        <v>78</v>
      </c>
      <c r="O155" s="110" t="s">
        <v>79</v>
      </c>
      <c r="AG155" t="s">
        <v>52</v>
      </c>
      <c r="AI155" s="109" t="s">
        <v>68</v>
      </c>
      <c r="AJ155" s="109" t="s">
        <v>69</v>
      </c>
      <c r="AK155" s="109" t="s">
        <v>70</v>
      </c>
      <c r="AL155" s="109" t="s">
        <v>71</v>
      </c>
      <c r="AM155" s="109" t="s">
        <v>72</v>
      </c>
      <c r="AN155" s="109" t="s">
        <v>73</v>
      </c>
      <c r="AO155" s="109" t="s">
        <v>74</v>
      </c>
      <c r="AP155" s="109" t="s">
        <v>75</v>
      </c>
      <c r="AQ155" s="109" t="s">
        <v>76</v>
      </c>
      <c r="AR155" s="109" t="s">
        <v>77</v>
      </c>
      <c r="AS155" s="109" t="s">
        <v>78</v>
      </c>
      <c r="AT155" s="110" t="s">
        <v>79</v>
      </c>
    </row>
    <row r="156" spans="1:46" ht="21">
      <c r="B156" s="199" t="s">
        <v>766</v>
      </c>
      <c r="C156" t="s">
        <v>196</v>
      </c>
      <c r="D156" s="56">
        <f>SUM(D3,D10,D17,D24,D43,D50,D57,D64,D71,D78,D86,D93,D100,D107,D114,D121,D128,D135,D33,D142,D149)</f>
        <v>8311307</v>
      </c>
      <c r="E156" s="56">
        <f>SUM(E3,E10,E17,E24,E43,E50,E57,E64,E71,E78,E86,E93,E100,E107,E114,E121,E128,E135,E33)</f>
        <v>9683984</v>
      </c>
      <c r="F156" s="56">
        <f t="shared" ref="F156:O156" si="442">SUM(F3,F10,F17,F24,F43,F50,F57,F64,F71,F78,F86,F93,F100,F107,F114,F121,F128,F135,F33)</f>
        <v>11533223.430000002</v>
      </c>
      <c r="G156" s="56">
        <f t="shared" si="442"/>
        <v>11150447.277037038</v>
      </c>
      <c r="H156" s="56">
        <f t="shared" si="442"/>
        <v>10853655.239999998</v>
      </c>
      <c r="I156" s="56">
        <f t="shared" si="442"/>
        <v>9957694.9627513234</v>
      </c>
      <c r="J156" s="56">
        <f t="shared" si="442"/>
        <v>9911952.2926093694</v>
      </c>
      <c r="K156" s="56">
        <f t="shared" si="442"/>
        <v>9849200.3125022575</v>
      </c>
      <c r="L156" s="56">
        <f t="shared" si="442"/>
        <v>7661833.6994665116</v>
      </c>
      <c r="M156" s="56">
        <f t="shared" si="442"/>
        <v>7491668.8481094325</v>
      </c>
      <c r="N156" s="56">
        <f t="shared" si="442"/>
        <v>5220951.2683703704</v>
      </c>
      <c r="O156" s="56">
        <f t="shared" si="442"/>
        <v>4792079.2269417988</v>
      </c>
      <c r="P156" s="50"/>
      <c r="Q156" s="192" t="s">
        <v>752</v>
      </c>
      <c r="R156" s="397">
        <v>45</v>
      </c>
      <c r="S156" s="194"/>
      <c r="T156" s="50">
        <f>D156-AI156</f>
        <v>0</v>
      </c>
      <c r="U156" s="50">
        <f t="shared" ref="U156:U158" si="443">E156-AJ156</f>
        <v>-462101</v>
      </c>
      <c r="V156" s="50">
        <f t="shared" ref="V156:V158" si="444">F156-AK156</f>
        <v>-1514777.5699999984</v>
      </c>
      <c r="W156" s="50">
        <f t="shared" ref="W156:W158" si="445">G156-AL156</f>
        <v>751789.27703703754</v>
      </c>
      <c r="X156" s="50">
        <f t="shared" ref="X156:X158" si="446">H156-AM156</f>
        <v>96108.239999998361</v>
      </c>
      <c r="Y156" s="50">
        <f t="shared" ref="Y156:Y158" si="447">I156-AN156</f>
        <v>-80554.037248676643</v>
      </c>
      <c r="Z156" s="50">
        <f t="shared" ref="Z156:Z158" si="448">J156-AO156</f>
        <v>-161462.70739063062</v>
      </c>
      <c r="AA156" s="50">
        <f t="shared" ref="AA156:AA158" si="449">K156-AP156</f>
        <v>-197816.68749774247</v>
      </c>
      <c r="AB156" s="50">
        <f t="shared" ref="AB156:AB158" si="450">L156-AQ156</f>
        <v>198855.69946651161</v>
      </c>
      <c r="AC156" s="50">
        <f t="shared" ref="AC156:AC158" si="451">M156-AR156</f>
        <v>553589.8481094325</v>
      </c>
      <c r="AD156" s="50">
        <f t="shared" ref="AD156:AD158" si="452">N156-AS156</f>
        <v>-195613.73162962962</v>
      </c>
      <c r="AE156" s="50">
        <f t="shared" ref="AE156:AE158" si="453">O156-AT156</f>
        <v>440851.22694179881</v>
      </c>
      <c r="AG156" s="199" t="s">
        <v>766</v>
      </c>
      <c r="AH156" t="s">
        <v>196</v>
      </c>
      <c r="AI156" s="56">
        <v>8311307</v>
      </c>
      <c r="AJ156" s="56">
        <v>10146085</v>
      </c>
      <c r="AK156" s="56">
        <v>13048001</v>
      </c>
      <c r="AL156" s="56">
        <v>10398658</v>
      </c>
      <c r="AM156" s="56">
        <v>10757547</v>
      </c>
      <c r="AN156" s="56">
        <v>10038249</v>
      </c>
      <c r="AO156" s="56">
        <v>10073415</v>
      </c>
      <c r="AP156" s="56">
        <v>10047017</v>
      </c>
      <c r="AQ156" s="56">
        <v>7462978</v>
      </c>
      <c r="AR156" s="56">
        <v>6938079</v>
      </c>
      <c r="AS156" s="56">
        <v>5416565</v>
      </c>
      <c r="AT156" s="56">
        <v>4351228</v>
      </c>
    </row>
    <row r="157" spans="1:46">
      <c r="C157" t="s">
        <v>12</v>
      </c>
      <c r="D157" s="56">
        <f>SUM(D4,D11,D18,D25,D34,D44,D51,D58,D65,D72,D79,D87,D94,D101,D108,D115,D122,D129,D136,D143,D150)</f>
        <v>6652231</v>
      </c>
      <c r="E157" s="56">
        <f t="shared" ref="E157:O157" si="454">SUM(E4,E11,E18,E25,E34,E44,E51,E58,E65,E72,E79,E87,E94,E101,E108,E115,E122,E129,E136)</f>
        <v>7543278</v>
      </c>
      <c r="F157" s="56">
        <f t="shared" si="454"/>
        <v>9824339.6876984965</v>
      </c>
      <c r="G157" s="56">
        <f t="shared" si="454"/>
        <v>9532218.2667787056</v>
      </c>
      <c r="H157" s="56">
        <f t="shared" si="454"/>
        <v>11032393.165123779</v>
      </c>
      <c r="I157" s="56">
        <f t="shared" si="454"/>
        <v>11965004.232968511</v>
      </c>
      <c r="J157" s="56">
        <f t="shared" si="454"/>
        <v>10759337.927552478</v>
      </c>
      <c r="K157" s="56">
        <f t="shared" si="454"/>
        <v>9922019.294166863</v>
      </c>
      <c r="L157" s="56">
        <f t="shared" si="454"/>
        <v>8149704.8375731409</v>
      </c>
      <c r="M157" s="56">
        <f t="shared" si="454"/>
        <v>7444768.4701864058</v>
      </c>
      <c r="N157" s="56">
        <f t="shared" si="454"/>
        <v>7234905.4923851425</v>
      </c>
      <c r="O157" s="56">
        <f t="shared" si="454"/>
        <v>6337521.4475444676</v>
      </c>
      <c r="P157" s="50"/>
      <c r="Q157" s="58" t="s">
        <v>753</v>
      </c>
      <c r="R157" s="398">
        <f>K159-R156</f>
        <v>39.475881322723183</v>
      </c>
      <c r="S157" s="94"/>
      <c r="T157" s="50">
        <f>D157-AI157</f>
        <v>-18074</v>
      </c>
      <c r="U157" s="50">
        <f t="shared" si="443"/>
        <v>118512</v>
      </c>
      <c r="V157" s="50">
        <f t="shared" si="444"/>
        <v>-294708.31230150349</v>
      </c>
      <c r="W157" s="50">
        <f t="shared" si="445"/>
        <v>67894.266778705642</v>
      </c>
      <c r="X157" s="50">
        <f t="shared" si="446"/>
        <v>41997.165123779327</v>
      </c>
      <c r="Y157" s="50">
        <f t="shared" si="447"/>
        <v>-66984.76703148894</v>
      </c>
      <c r="Z157" s="50">
        <f t="shared" si="448"/>
        <v>-85316.072447521612</v>
      </c>
      <c r="AA157" s="50">
        <f t="shared" si="449"/>
        <v>-42373.705833137035</v>
      </c>
      <c r="AB157" s="50">
        <f t="shared" si="450"/>
        <v>71878.83757314086</v>
      </c>
      <c r="AC157" s="50">
        <f t="shared" si="451"/>
        <v>-50952.529813594185</v>
      </c>
      <c r="AD157" s="50">
        <f t="shared" si="452"/>
        <v>-7078.5076148575172</v>
      </c>
      <c r="AE157" s="50">
        <f t="shared" si="453"/>
        <v>-105282.55245553236</v>
      </c>
      <c r="AH157" t="s">
        <v>12</v>
      </c>
      <c r="AI157" s="56">
        <v>6670305</v>
      </c>
      <c r="AJ157" s="56">
        <v>7424766</v>
      </c>
      <c r="AK157" s="56">
        <v>10119048</v>
      </c>
      <c r="AL157" s="56">
        <v>9464324</v>
      </c>
      <c r="AM157" s="56">
        <v>10990396</v>
      </c>
      <c r="AN157" s="56">
        <v>12031989</v>
      </c>
      <c r="AO157" s="56">
        <v>10844654</v>
      </c>
      <c r="AP157" s="56">
        <v>9964393</v>
      </c>
      <c r="AQ157" s="56">
        <v>8077826</v>
      </c>
      <c r="AR157" s="56">
        <v>7495721</v>
      </c>
      <c r="AS157" s="56">
        <v>7241984</v>
      </c>
      <c r="AT157" s="56">
        <v>6442804</v>
      </c>
    </row>
    <row r="158" spans="1:46" ht="19.5" thickBot="1">
      <c r="B158" s="148" t="s">
        <v>754</v>
      </c>
      <c r="C158" s="425">
        <v>18647576.376000002</v>
      </c>
      <c r="D158" s="1004">
        <v>19728790</v>
      </c>
      <c r="E158" s="1004">
        <v>21735087</v>
      </c>
      <c r="F158" s="150">
        <f>E158+F156-F157</f>
        <v>23443970.742301501</v>
      </c>
      <c r="G158" s="150">
        <f t="shared" ref="G158" si="455">F158+G156-G157</f>
        <v>25062199.752559833</v>
      </c>
      <c r="H158" s="150">
        <f t="shared" ref="H158" si="456">G158+H156-H157</f>
        <v>24883461.827436056</v>
      </c>
      <c r="I158" s="150">
        <f t="shared" ref="I158" si="457">H158+I156-I157</f>
        <v>22876152.557218872</v>
      </c>
      <c r="J158" s="150">
        <f t="shared" ref="J158:N158" si="458">I158+J156-J157</f>
        <v>22028766.922275767</v>
      </c>
      <c r="K158" s="150">
        <f t="shared" si="458"/>
        <v>21955947.940611161</v>
      </c>
      <c r="L158" s="150">
        <f t="shared" si="458"/>
        <v>21468076.802504532</v>
      </c>
      <c r="M158" s="150">
        <f>L158+M156-M157</f>
        <v>21514977.180427559</v>
      </c>
      <c r="N158" s="150">
        <f t="shared" si="458"/>
        <v>19501022.956412788</v>
      </c>
      <c r="O158" s="151">
        <f>N158+O156-O157</f>
        <v>17955580.73581012</v>
      </c>
      <c r="P158" s="128"/>
      <c r="Q158" s="193" t="s">
        <v>755</v>
      </c>
      <c r="R158" s="399">
        <f>R157*(SUM(L157:M157)/60)</f>
        <v>10260092.959791504</v>
      </c>
      <c r="S158" s="158"/>
      <c r="T158" s="50">
        <f>D158-AI158</f>
        <v>-410872</v>
      </c>
      <c r="U158" s="50">
        <f t="shared" si="443"/>
        <v>-1125895</v>
      </c>
      <c r="V158" s="50">
        <f t="shared" si="444"/>
        <v>-2345964.2576984987</v>
      </c>
      <c r="W158" s="50">
        <f t="shared" si="445"/>
        <v>-1662068.2474401668</v>
      </c>
      <c r="X158" s="50">
        <f t="shared" si="446"/>
        <v>-1607958.172563944</v>
      </c>
      <c r="Y158" s="50">
        <f t="shared" si="447"/>
        <v>-1621527.442781128</v>
      </c>
      <c r="Z158" s="50">
        <f t="shared" si="448"/>
        <v>-1697674.0777242333</v>
      </c>
      <c r="AA158" s="50">
        <f t="shared" si="449"/>
        <v>-1853117.0593888387</v>
      </c>
      <c r="AB158" s="50">
        <f t="shared" si="450"/>
        <v>-1726139.197495468</v>
      </c>
      <c r="AC158" s="50">
        <f t="shared" si="451"/>
        <v>-1121597.8195724413</v>
      </c>
      <c r="AD158" s="50">
        <f t="shared" si="452"/>
        <v>-1310133.0435872115</v>
      </c>
      <c r="AE158" s="50">
        <f t="shared" si="453"/>
        <v>-763999.26418988034</v>
      </c>
      <c r="AG158" s="148" t="s">
        <v>754</v>
      </c>
      <c r="AH158" s="425">
        <v>18647576</v>
      </c>
      <c r="AI158" s="1004">
        <v>20139662</v>
      </c>
      <c r="AJ158" s="150">
        <v>22860982</v>
      </c>
      <c r="AK158" s="150">
        <v>25789935</v>
      </c>
      <c r="AL158" s="150">
        <v>26724268</v>
      </c>
      <c r="AM158" s="150">
        <v>26491420</v>
      </c>
      <c r="AN158" s="150">
        <v>24497680</v>
      </c>
      <c r="AO158" s="150">
        <v>23726441</v>
      </c>
      <c r="AP158" s="150">
        <v>23809065</v>
      </c>
      <c r="AQ158" s="150">
        <v>23194216</v>
      </c>
      <c r="AR158" s="150">
        <v>22636575</v>
      </c>
      <c r="AS158" s="150">
        <v>20811156</v>
      </c>
      <c r="AT158" s="151">
        <v>18719580</v>
      </c>
    </row>
    <row r="159" spans="1:46">
      <c r="C159" t="s">
        <v>756</v>
      </c>
      <c r="D159" s="190">
        <f t="shared" ref="D159:M159" si="459">D158/(SUM(E157:F157)/60)</f>
        <v>68.157154382689768</v>
      </c>
      <c r="E159" s="190">
        <f t="shared" si="459"/>
        <v>67.372785133958104</v>
      </c>
      <c r="F159" s="190">
        <f t="shared" si="459"/>
        <v>68.400915290620617</v>
      </c>
      <c r="G159" s="190">
        <f t="shared" si="459"/>
        <v>65.387050505042339</v>
      </c>
      <c r="H159" s="190">
        <f t="shared" si="459"/>
        <v>65.70081101137292</v>
      </c>
      <c r="I159" s="190">
        <f t="shared" si="459"/>
        <v>66.367460255058845</v>
      </c>
      <c r="J159" s="190">
        <f t="shared" si="459"/>
        <v>73.13779281386617</v>
      </c>
      <c r="K159" s="190">
        <f t="shared" si="459"/>
        <v>84.475881322723183</v>
      </c>
      <c r="L159" s="190">
        <f t="shared" si="459"/>
        <v>87.746131925986489</v>
      </c>
      <c r="M159" s="190">
        <f t="shared" si="459"/>
        <v>95.111849674274126</v>
      </c>
      <c r="N159" s="190">
        <f>N158/(SUM(O157,D157)/60)</f>
        <v>90.075725623697423</v>
      </c>
      <c r="O159" s="190">
        <f>O158/(SUM(D157,E157)/60)</f>
        <v>75.892653384151785</v>
      </c>
      <c r="P159" s="94"/>
      <c r="Q159" s="58" t="s">
        <v>757</v>
      </c>
      <c r="R159" s="400">
        <f>R158/SUM(G157:K157)</f>
        <v>0.19281911987700462</v>
      </c>
      <c r="S159" s="95"/>
      <c r="AF159" s="50"/>
      <c r="AH159" t="s">
        <v>756</v>
      </c>
      <c r="AI159" s="190">
        <v>68.900000000000006</v>
      </c>
      <c r="AJ159" s="190">
        <v>70</v>
      </c>
      <c r="AK159" s="190">
        <v>75.599999999999994</v>
      </c>
      <c r="AL159" s="190">
        <v>69.599999999999994</v>
      </c>
      <c r="AM159" s="190">
        <v>69.5</v>
      </c>
      <c r="AN159" s="190">
        <v>70.599999999999994</v>
      </c>
      <c r="AO159" s="190">
        <v>78.900000000000006</v>
      </c>
      <c r="AP159" s="190">
        <v>91.7</v>
      </c>
      <c r="AQ159" s="190">
        <v>94.4</v>
      </c>
      <c r="AR159" s="190">
        <v>99.2</v>
      </c>
      <c r="AS159" s="190">
        <v>95.2</v>
      </c>
      <c r="AT159" s="190">
        <v>79.7</v>
      </c>
    </row>
    <row r="160" spans="1:46">
      <c r="C160" s="195" t="s">
        <v>719</v>
      </c>
      <c r="D160" s="112"/>
      <c r="E160" s="112"/>
      <c r="F160" s="112"/>
      <c r="G160" s="121">
        <f>SUM(G7,G14,G21,G28,G47,G54,G61,G68,G75,G82,G90,G97,G104,G118,G125,G139,G133)</f>
        <v>21300628.827940281</v>
      </c>
      <c r="H160" s="112"/>
      <c r="I160" s="112"/>
      <c r="J160" s="112"/>
      <c r="K160" s="121">
        <f>SUM(K7,K14,K21,K28,K47,K54,K61,K68,K75,K82,K90,K97,K104,K118,K125,K139,K133)</f>
        <v>14421467.809422605</v>
      </c>
      <c r="L160" s="112"/>
      <c r="M160" s="112"/>
      <c r="N160" s="112"/>
      <c r="O160" s="121">
        <f>SUM(O7,O14,O21,O28,O47,O54,O61,O68,O75,O82,O90,O97,O104,O118,O125,O139,O133,O111,O37)</f>
        <v>17153131.679085925</v>
      </c>
      <c r="AH160" s="195" t="s">
        <v>719</v>
      </c>
      <c r="AI160" s="112"/>
      <c r="AJ160" s="112"/>
      <c r="AK160" s="112"/>
      <c r="AL160" s="121">
        <v>21298076</v>
      </c>
      <c r="AM160" s="112"/>
      <c r="AN160" s="112"/>
      <c r="AO160" s="112"/>
      <c r="AP160" s="121">
        <v>14394867</v>
      </c>
      <c r="AQ160" s="112"/>
      <c r="AR160" s="112"/>
      <c r="AS160" s="112"/>
      <c r="AT160" s="121">
        <v>17125351</v>
      </c>
    </row>
    <row r="161" spans="1:46">
      <c r="C161" s="195"/>
      <c r="D161" s="154"/>
      <c r="E161" s="112"/>
      <c r="F161" s="112"/>
      <c r="G161" s="112">
        <f>G158-G160</f>
        <v>3761570.9246195517</v>
      </c>
      <c r="H161" s="112"/>
      <c r="I161" s="112"/>
      <c r="J161" s="112"/>
      <c r="K161" s="112">
        <f>K158-K160</f>
        <v>7534480.1311885566</v>
      </c>
      <c r="L161" s="112"/>
      <c r="M161" s="112"/>
      <c r="N161" s="112"/>
      <c r="O161" s="112">
        <f>O158-O160</f>
        <v>802449.05672419444</v>
      </c>
      <c r="P161" s="50"/>
      <c r="AH161" s="195"/>
      <c r="AI161" s="154"/>
      <c r="AJ161" s="112"/>
      <c r="AK161" s="112"/>
      <c r="AL161" s="112">
        <v>5426193</v>
      </c>
      <c r="AM161" s="112"/>
      <c r="AN161" s="112"/>
      <c r="AO161" s="112"/>
      <c r="AP161" s="112">
        <v>9414198</v>
      </c>
      <c r="AQ161" s="112"/>
      <c r="AR161" s="112"/>
      <c r="AS161" s="112"/>
      <c r="AT161" s="112">
        <v>1594229</v>
      </c>
    </row>
    <row r="162" spans="1:46">
      <c r="C162" s="228">
        <f>C158/1000</f>
        <v>18647.576376000001</v>
      </c>
      <c r="D162" s="228">
        <f>D158/1000</f>
        <v>19728.79</v>
      </c>
      <c r="E162" s="228">
        <f t="shared" ref="E162:O162" si="460">E158/1000</f>
        <v>21735.087</v>
      </c>
      <c r="F162" s="228">
        <f t="shared" si="460"/>
        <v>23443.970742301502</v>
      </c>
      <c r="G162" s="228">
        <f t="shared" si="460"/>
        <v>25062.199752559834</v>
      </c>
      <c r="H162" s="228">
        <f t="shared" si="460"/>
        <v>24883.461827436055</v>
      </c>
      <c r="I162" s="228">
        <f t="shared" si="460"/>
        <v>22876.152557218873</v>
      </c>
      <c r="J162" s="228">
        <f t="shared" si="460"/>
        <v>22028.766922275765</v>
      </c>
      <c r="K162" s="228">
        <f t="shared" si="460"/>
        <v>21955.94794061116</v>
      </c>
      <c r="L162" s="228">
        <f t="shared" si="460"/>
        <v>21468.076802504533</v>
      </c>
      <c r="M162" s="228">
        <f t="shared" si="460"/>
        <v>21514.977180427559</v>
      </c>
      <c r="N162" s="228">
        <f t="shared" si="460"/>
        <v>19501.022956412788</v>
      </c>
      <c r="O162" s="228">
        <f t="shared" si="460"/>
        <v>17955.580735810119</v>
      </c>
      <c r="P162" s="251"/>
      <c r="AH162" s="94"/>
      <c r="AI162" s="228">
        <v>20139.66</v>
      </c>
      <c r="AJ162" s="228">
        <v>22860.98</v>
      </c>
      <c r="AK162" s="228">
        <v>25789.93</v>
      </c>
      <c r="AL162" s="228">
        <v>26724.27</v>
      </c>
      <c r="AM162" s="228">
        <v>26491.42</v>
      </c>
      <c r="AN162" s="228">
        <v>24497.68</v>
      </c>
      <c r="AO162" s="228">
        <v>23726.44</v>
      </c>
      <c r="AP162" s="228">
        <v>23809.07</v>
      </c>
      <c r="AQ162" s="228">
        <v>23194.22</v>
      </c>
      <c r="AR162" s="228">
        <v>22636.57</v>
      </c>
      <c r="AS162" s="228">
        <v>20811.16</v>
      </c>
      <c r="AT162" s="228">
        <v>18719.580000000002</v>
      </c>
    </row>
    <row r="163" spans="1:46">
      <c r="B163" s="94" t="s">
        <v>767</v>
      </c>
      <c r="C163" s="94">
        <v>341</v>
      </c>
      <c r="D163" s="1027">
        <f>'Club Info'!D15</f>
        <v>410</v>
      </c>
      <c r="E163" s="1027">
        <f>'Club Info'!E15</f>
        <v>746.096</v>
      </c>
      <c r="F163" s="1048">
        <f>'Club Info'!F15</f>
        <v>921.35799999999995</v>
      </c>
      <c r="G163" s="1048">
        <f>'Club Info'!G15</f>
        <v>865.86460000000011</v>
      </c>
      <c r="H163" s="1048">
        <f>'Club Info'!H15</f>
        <v>1016.059</v>
      </c>
      <c r="I163" s="1048">
        <f>'Club Info'!I15</f>
        <v>1573.1566</v>
      </c>
      <c r="J163" s="1048">
        <f>'Club Info'!J15</f>
        <v>2090.1316000000002</v>
      </c>
      <c r="K163" s="1048">
        <f>'Club Info'!K15</f>
        <v>1701.2946000000002</v>
      </c>
      <c r="L163" s="1048">
        <f>'Club Info'!L15</f>
        <v>462.1296000000001</v>
      </c>
      <c r="M163" s="1048">
        <f>'Club Info'!M15</f>
        <v>439.41860000000008</v>
      </c>
      <c r="N163" s="1048">
        <f>'Club Info'!N15</f>
        <v>417.98860000000008</v>
      </c>
      <c r="O163" s="1048">
        <f>'Club Info'!O15</f>
        <v>398.70360000000011</v>
      </c>
      <c r="P163" s="251"/>
      <c r="AH163" s="94" t="s">
        <v>1349</v>
      </c>
      <c r="AI163" s="494">
        <v>150</v>
      </c>
      <c r="AJ163" s="494">
        <v>150</v>
      </c>
      <c r="AK163" s="494">
        <v>150</v>
      </c>
      <c r="AL163" s="494">
        <v>150</v>
      </c>
      <c r="AM163" s="494">
        <v>150</v>
      </c>
      <c r="AN163" s="494">
        <v>150</v>
      </c>
      <c r="AO163" s="494">
        <v>150</v>
      </c>
      <c r="AP163" s="494">
        <v>150</v>
      </c>
      <c r="AQ163" s="494">
        <v>150</v>
      </c>
      <c r="AR163" s="494">
        <v>150</v>
      </c>
      <c r="AS163" s="494">
        <v>150</v>
      </c>
      <c r="AT163" s="494">
        <v>150</v>
      </c>
    </row>
    <row r="164" spans="1:46">
      <c r="C164" s="495">
        <f t="shared" ref="C164:H164" si="461">SUM(C162:C163)</f>
        <v>18988.576376000001</v>
      </c>
      <c r="D164" s="495">
        <f t="shared" si="461"/>
        <v>20138.79</v>
      </c>
      <c r="E164" s="495">
        <f t="shared" si="461"/>
        <v>22481.183000000001</v>
      </c>
      <c r="F164" s="495">
        <f t="shared" si="461"/>
        <v>24365.328742301503</v>
      </c>
      <c r="G164" s="495">
        <f t="shared" si="461"/>
        <v>25928.064352559835</v>
      </c>
      <c r="H164" s="495">
        <f t="shared" si="461"/>
        <v>25899.520827436056</v>
      </c>
      <c r="I164" s="495">
        <f>SUM(I162:I163)</f>
        <v>24449.309157218871</v>
      </c>
      <c r="J164" s="495">
        <f t="shared" ref="J164:O164" si="462">SUM(J162:J163)</f>
        <v>24118.898522275766</v>
      </c>
      <c r="K164" s="495">
        <f t="shared" si="462"/>
        <v>23657.242540611162</v>
      </c>
      <c r="L164" s="495">
        <f t="shared" si="462"/>
        <v>21930.206402504533</v>
      </c>
      <c r="M164" s="495">
        <f t="shared" si="462"/>
        <v>21954.39578042756</v>
      </c>
      <c r="N164" s="495">
        <f t="shared" si="462"/>
        <v>19919.011556412788</v>
      </c>
      <c r="O164" s="495">
        <f t="shared" si="462"/>
        <v>18354.28433581012</v>
      </c>
      <c r="P164" s="251"/>
      <c r="T164" s="50">
        <f>D164-AI164</f>
        <v>-151.20999999999913</v>
      </c>
      <c r="U164" s="50">
        <f t="shared" ref="U164" si="463">E164-AJ164</f>
        <v>-529.8169999999991</v>
      </c>
      <c r="V164" s="50">
        <f t="shared" ref="V164" si="464">F164-AK164</f>
        <v>-1574.6712576984974</v>
      </c>
      <c r="W164" s="50">
        <f t="shared" ref="W164" si="465">G164-AL164</f>
        <v>-945.93564744016476</v>
      </c>
      <c r="X164" s="50">
        <f t="shared" ref="X164" si="466">H164-AM164</f>
        <v>-741.4791725639443</v>
      </c>
      <c r="Y164" s="50">
        <f t="shared" ref="Y164" si="467">I164-AN164</f>
        <v>-198.69084278112859</v>
      </c>
      <c r="Z164" s="50">
        <f t="shared" ref="Z164" si="468">J164-AO164</f>
        <v>242.89852227576557</v>
      </c>
      <c r="AA164" s="50">
        <f t="shared" ref="AA164" si="469">K164-AP164</f>
        <v>-301.75745938883847</v>
      </c>
      <c r="AB164" s="50">
        <f t="shared" ref="AB164" si="470">L164-AQ164</f>
        <v>-1413.7935974954671</v>
      </c>
      <c r="AC164" s="50">
        <f t="shared" ref="AC164" si="471">M164-AR164</f>
        <v>-832.60421957244034</v>
      </c>
      <c r="AD164" s="50">
        <f t="shared" ref="AD164" si="472">N164-AS164</f>
        <v>-1041.9884435872118</v>
      </c>
      <c r="AE164" s="50">
        <f t="shared" ref="AE164" si="473">O164-AT164</f>
        <v>-515.71566418988004</v>
      </c>
      <c r="AH164" s="94"/>
      <c r="AI164" s="495">
        <v>20290</v>
      </c>
      <c r="AJ164" s="495">
        <v>23011</v>
      </c>
      <c r="AK164" s="495">
        <v>25940</v>
      </c>
      <c r="AL164" s="495">
        <v>26874</v>
      </c>
      <c r="AM164" s="495">
        <v>26641</v>
      </c>
      <c r="AN164" s="495">
        <v>24648</v>
      </c>
      <c r="AO164" s="495">
        <v>23876</v>
      </c>
      <c r="AP164" s="495">
        <v>23959</v>
      </c>
      <c r="AQ164" s="495">
        <v>23344</v>
      </c>
      <c r="AR164" s="495">
        <v>22787</v>
      </c>
      <c r="AS164" s="495">
        <v>20961</v>
      </c>
      <c r="AT164" s="495">
        <v>18870</v>
      </c>
    </row>
    <row r="165" spans="1:46">
      <c r="D165" s="112"/>
      <c r="E165" s="112"/>
      <c r="F165" s="112"/>
      <c r="G165" s="121"/>
      <c r="H165" s="112"/>
      <c r="I165" s="112"/>
      <c r="J165" s="112"/>
      <c r="K165" s="281"/>
      <c r="L165" s="112"/>
      <c r="M165" s="112"/>
      <c r="N165" s="112"/>
      <c r="O165" s="154"/>
      <c r="P165" s="251"/>
      <c r="AI165" s="112"/>
      <c r="AJ165" s="112"/>
      <c r="AK165" s="112"/>
      <c r="AL165" s="121"/>
      <c r="AM165" s="112"/>
      <c r="AN165" s="112"/>
      <c r="AO165" s="112"/>
      <c r="AP165" s="281"/>
      <c r="AQ165" s="112"/>
      <c r="AR165" s="112"/>
      <c r="AS165" s="112"/>
      <c r="AT165" s="154"/>
    </row>
    <row r="166" spans="1:46">
      <c r="D166" s="56">
        <f>D158/180</f>
        <v>109604.38888888889</v>
      </c>
      <c r="E166" s="56">
        <f t="shared" ref="E166:N166" si="474">E158/180</f>
        <v>120750.48333333334</v>
      </c>
      <c r="F166" s="56">
        <f t="shared" si="474"/>
        <v>130244.28190167501</v>
      </c>
      <c r="G166" s="56">
        <f>G158/180</f>
        <v>139234.44306977684</v>
      </c>
      <c r="H166" s="56">
        <f t="shared" si="474"/>
        <v>138241.45459686697</v>
      </c>
      <c r="I166" s="56">
        <f t="shared" si="474"/>
        <v>127089.73642899374</v>
      </c>
      <c r="J166" s="56">
        <f t="shared" si="474"/>
        <v>122382.03845708759</v>
      </c>
      <c r="K166" s="56">
        <f t="shared" si="474"/>
        <v>121977.48855895089</v>
      </c>
      <c r="L166" s="56">
        <f t="shared" si="474"/>
        <v>119267.0933472474</v>
      </c>
      <c r="M166" s="56">
        <f t="shared" si="474"/>
        <v>119527.65100237532</v>
      </c>
      <c r="N166" s="56">
        <f t="shared" si="474"/>
        <v>108339.01642451549</v>
      </c>
      <c r="O166" s="56">
        <f>O158/180</f>
        <v>99753.226310056227</v>
      </c>
    </row>
    <row r="167" spans="1:46" s="145" customFormat="1">
      <c r="A167" s="145" t="s">
        <v>768</v>
      </c>
      <c r="B167" s="145" t="s">
        <v>769</v>
      </c>
      <c r="C167" s="145" t="s">
        <v>770</v>
      </c>
      <c r="D167" s="146">
        <f t="shared" ref="D167:O167" si="475">SUM(D3,D10,D17,D24,D43,D50,D57,D64,D71,D78,D86,D93,D100,D107,D114,D121,D128,D135,D33)-D156</f>
        <v>-299409</v>
      </c>
      <c r="E167" s="146">
        <f t="shared" si="475"/>
        <v>0</v>
      </c>
      <c r="F167" s="146">
        <f t="shared" si="475"/>
        <v>0</v>
      </c>
      <c r="G167" s="146">
        <f t="shared" si="475"/>
        <v>0</v>
      </c>
      <c r="H167" s="146">
        <f t="shared" si="475"/>
        <v>0</v>
      </c>
      <c r="I167" s="146">
        <f t="shared" si="475"/>
        <v>0</v>
      </c>
      <c r="J167" s="146">
        <f t="shared" si="475"/>
        <v>0</v>
      </c>
      <c r="K167" s="146">
        <f t="shared" si="475"/>
        <v>0</v>
      </c>
      <c r="L167" s="146">
        <f t="shared" si="475"/>
        <v>0</v>
      </c>
      <c r="M167" s="146">
        <f t="shared" si="475"/>
        <v>0</v>
      </c>
      <c r="N167" s="146">
        <f t="shared" si="475"/>
        <v>0</v>
      </c>
      <c r="O167" s="146">
        <f t="shared" si="475"/>
        <v>0</v>
      </c>
      <c r="R167" s="401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 spans="1:46" s="145" customFormat="1">
      <c r="A168" s="145" t="s">
        <v>768</v>
      </c>
      <c r="B168" s="145" t="s">
        <v>769</v>
      </c>
      <c r="C168" s="145" t="s">
        <v>12</v>
      </c>
      <c r="D168" s="146">
        <f t="shared" ref="D168:O168" si="476">SUM(D4,D11,D18,D25,D44,D51,D58,D65,D72,D79,D87,D94,D101,D108,D115,D122,D129,D136,D34)-D157</f>
        <v>-129827</v>
      </c>
      <c r="E168" s="146">
        <f t="shared" si="476"/>
        <v>0</v>
      </c>
      <c r="F168" s="146">
        <f t="shared" si="476"/>
        <v>0</v>
      </c>
      <c r="G168" s="146">
        <f t="shared" si="476"/>
        <v>0</v>
      </c>
      <c r="H168" s="146">
        <f t="shared" si="476"/>
        <v>0</v>
      </c>
      <c r="I168" s="146">
        <f t="shared" si="476"/>
        <v>0</v>
      </c>
      <c r="J168" s="146">
        <f t="shared" si="476"/>
        <v>0</v>
      </c>
      <c r="K168" s="146">
        <f t="shared" si="476"/>
        <v>0</v>
      </c>
      <c r="L168" s="146">
        <f t="shared" si="476"/>
        <v>0</v>
      </c>
      <c r="M168" s="146">
        <f t="shared" si="476"/>
        <v>0</v>
      </c>
      <c r="N168" s="146">
        <f t="shared" si="476"/>
        <v>0</v>
      </c>
      <c r="O168" s="146">
        <f t="shared" si="476"/>
        <v>0</v>
      </c>
      <c r="R168" s="401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 spans="1:46" ht="14.85" customHeight="1">
      <c r="G169" s="50"/>
    </row>
    <row r="170" spans="1:46" s="145" customFormat="1">
      <c r="A170" s="145" t="s">
        <v>771</v>
      </c>
      <c r="B170" s="145" t="s">
        <v>769</v>
      </c>
      <c r="C170" s="145" t="s">
        <v>770</v>
      </c>
      <c r="D170" s="147">
        <f>'Cases post Attain'!D118-'Inv By Tech Post Attain'!D156</f>
        <v>119771</v>
      </c>
      <c r="E170" s="147">
        <f>'Cases post Attain'!E118-'Inv By Tech Post Attain'!E156</f>
        <v>733142</v>
      </c>
      <c r="F170" s="147">
        <f>'Cases post Attain'!F118-'Inv By Tech Post Attain'!F156</f>
        <v>956897.39999999851</v>
      </c>
      <c r="G170" s="147">
        <f>'Cases post Attain'!G118-'Inv By Tech Post Attain'!G156</f>
        <v>469752.96000000089</v>
      </c>
      <c r="H170" s="147">
        <f>'Cases post Attain'!H118-'Inv By Tech Post Attain'!H156</f>
        <v>589371.84000000171</v>
      </c>
      <c r="I170" s="147">
        <f>'Cases post Attain'!I118-'Inv By Tech Post Attain'!I156</f>
        <v>473844</v>
      </c>
      <c r="J170" s="147">
        <f>'Cases post Attain'!J118-'Inv By Tech Post Attain'!J156</f>
        <v>448632</v>
      </c>
      <c r="K170" s="147">
        <f>'Cases post Attain'!K118-'Inv By Tech Post Attain'!K156</f>
        <v>950168.00000000186</v>
      </c>
      <c r="L170" s="147">
        <f>'Cases post Attain'!L118-'Inv By Tech Post Attain'!L156</f>
        <v>897576</v>
      </c>
      <c r="M170" s="147">
        <f>'Cases post Attain'!M118-'Inv By Tech Post Attain'!M156</f>
        <v>743936.00000000093</v>
      </c>
      <c r="N170" s="147">
        <f>'Cases post Attain'!N118-'Inv By Tech Post Attain'!N156</f>
        <v>797632.00000000093</v>
      </c>
      <c r="O170" s="147">
        <f>'Cases post Attain'!O118-'Inv By Tech Post Attain'!O156</f>
        <v>623295.99999999907</v>
      </c>
      <c r="R170" s="401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 spans="1:46" s="145" customFormat="1">
      <c r="A171" s="145" t="s">
        <v>771</v>
      </c>
      <c r="B171" s="145" t="s">
        <v>769</v>
      </c>
      <c r="C171" s="145" t="s">
        <v>12</v>
      </c>
      <c r="D171" s="147">
        <f>'MRF3 Demand'!G2-'Inv By Tech Post Attain'!D157</f>
        <v>101280</v>
      </c>
      <c r="E171" s="147">
        <f>'MRF3 Demand'!H2-'Inv By Tech Post Attain'!E157</f>
        <v>184815</v>
      </c>
      <c r="F171" s="147">
        <f>'MRF3 Demand'!I2-'Inv By Tech Post Attain'!F157</f>
        <v>648597.33333333954</v>
      </c>
      <c r="G171" s="147">
        <f>'MRF3 Demand'!J2-'Inv By Tech Post Attain'!G157</f>
        <v>555857.66666664742</v>
      </c>
      <c r="H171" s="147">
        <f>'MRF3 Demand'!K2-'Inv By Tech Post Attain'!H157</f>
        <v>711846.00000000745</v>
      </c>
      <c r="I171" s="147">
        <f>'MRF3 Demand'!L2-'Inv By Tech Post Attain'!I157</f>
        <v>757965.16666666977</v>
      </c>
      <c r="J171" s="147">
        <f>'MRF3 Demand'!M2-'Inv By Tech Post Attain'!J157</f>
        <v>581583.99999998882</v>
      </c>
      <c r="K171" s="147">
        <f>'MRF3 Demand'!N2-'Inv By Tech Post Attain'!K157</f>
        <v>778952.66666666977</v>
      </c>
      <c r="L171" s="147">
        <f>'MRF3 Demand'!O2-'Inv By Tech Post Attain'!L157</f>
        <v>1608585.3333333246</v>
      </c>
      <c r="M171" s="147">
        <f>'MRF3 Demand'!P2-'Inv By Tech Post Attain'!M157</f>
        <v>352365.00000000093</v>
      </c>
      <c r="N171" s="147">
        <f>'MRF3 Demand'!Q2-'Inv By Tech Post Attain'!N157</f>
        <v>324380.99999999255</v>
      </c>
      <c r="O171" s="147">
        <f>'MRF3 Demand'!R2-'Inv By Tech Post Attain'!O157</f>
        <v>346374.66666666884</v>
      </c>
      <c r="R171" s="40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 spans="1:46">
      <c r="D172" s="112"/>
    </row>
    <row r="173" spans="1:46">
      <c r="D173" s="112"/>
    </row>
    <row r="174" spans="1:46">
      <c r="C174" s="94">
        <f>C164/185</f>
        <v>102.6409533837838</v>
      </c>
      <c r="D174" s="112"/>
      <c r="E174" s="50"/>
      <c r="F174" s="94"/>
      <c r="G174" s="94"/>
      <c r="H174" s="94"/>
      <c r="I174" s="94"/>
      <c r="J174" s="94"/>
      <c r="K174" s="94"/>
      <c r="L174" s="94"/>
      <c r="M174" s="94"/>
      <c r="N174" s="94"/>
      <c r="O174" s="94"/>
    </row>
    <row r="176" spans="1:46">
      <c r="D176" s="56">
        <f>D158/1000</f>
        <v>19728.79</v>
      </c>
      <c r="E176" s="56">
        <f t="shared" ref="E176:O176" si="477">E158/1000</f>
        <v>21735.087</v>
      </c>
      <c r="F176" s="56">
        <f t="shared" si="477"/>
        <v>23443.970742301502</v>
      </c>
      <c r="G176" s="56">
        <f t="shared" si="477"/>
        <v>25062.199752559834</v>
      </c>
      <c r="H176" s="56">
        <f t="shared" si="477"/>
        <v>24883.461827436055</v>
      </c>
      <c r="I176" s="56">
        <f>I158/1000</f>
        <v>22876.152557218873</v>
      </c>
      <c r="J176" s="56">
        <f t="shared" si="477"/>
        <v>22028.766922275765</v>
      </c>
      <c r="K176" s="56">
        <f t="shared" si="477"/>
        <v>21955.94794061116</v>
      </c>
      <c r="L176" s="56">
        <f t="shared" si="477"/>
        <v>21468.076802504533</v>
      </c>
      <c r="M176" s="56">
        <f t="shared" si="477"/>
        <v>21514.977180427559</v>
      </c>
      <c r="N176" s="56">
        <f t="shared" si="477"/>
        <v>19501.022956412788</v>
      </c>
      <c r="O176" s="56">
        <f t="shared" si="477"/>
        <v>17955.580735810119</v>
      </c>
      <c r="P176" s="315"/>
    </row>
    <row r="177" spans="2:15"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</row>
    <row r="178" spans="2:15">
      <c r="K178" s="50"/>
    </row>
    <row r="179" spans="2:15">
      <c r="I179" s="56"/>
      <c r="J179" s="56"/>
      <c r="K179" s="56"/>
      <c r="L179" s="56"/>
      <c r="M179" s="56"/>
      <c r="N179" s="56"/>
      <c r="O179" s="56"/>
    </row>
    <row r="181" spans="2:15">
      <c r="I181" s="50"/>
    </row>
    <row r="184" spans="2:15">
      <c r="C184" t="s">
        <v>772</v>
      </c>
      <c r="D184" s="402">
        <v>1000.5</v>
      </c>
      <c r="E184" s="402">
        <v>750</v>
      </c>
      <c r="F184" s="402">
        <v>29500</v>
      </c>
      <c r="G184" s="402">
        <v>61250</v>
      </c>
      <c r="H184" s="402">
        <v>89250</v>
      </c>
      <c r="I184" s="402">
        <v>47750</v>
      </c>
      <c r="J184" s="402">
        <v>9000</v>
      </c>
      <c r="K184" s="402">
        <v>1000</v>
      </c>
      <c r="L184" s="402">
        <v>1000</v>
      </c>
      <c r="M184" s="402">
        <v>1000</v>
      </c>
    </row>
    <row r="187" spans="2:15">
      <c r="C187" t="s">
        <v>773</v>
      </c>
      <c r="D187" s="402">
        <v>6000</v>
      </c>
      <c r="E187" s="402">
        <v>9000</v>
      </c>
      <c r="F187" s="402">
        <v>6000</v>
      </c>
      <c r="G187" s="402">
        <v>9000</v>
      </c>
      <c r="H187" s="402">
        <v>15000</v>
      </c>
      <c r="I187" s="402">
        <v>9000</v>
      </c>
      <c r="J187" s="402">
        <v>6000</v>
      </c>
      <c r="K187" s="402">
        <v>6000</v>
      </c>
      <c r="L187" s="402">
        <v>9000</v>
      </c>
      <c r="M187" s="402">
        <v>9000</v>
      </c>
      <c r="N187" s="402">
        <v>6000</v>
      </c>
      <c r="O187" s="402">
        <v>3000</v>
      </c>
    </row>
    <row r="191" spans="2:15">
      <c r="C191" t="s">
        <v>733</v>
      </c>
      <c r="D191" s="50">
        <f t="shared" ref="D191:O191" si="478">D158/1000</f>
        <v>19728.79</v>
      </c>
      <c r="E191" s="94">
        <f t="shared" si="478"/>
        <v>21735.087</v>
      </c>
      <c r="F191" s="94">
        <f t="shared" si="478"/>
        <v>23443.970742301502</v>
      </c>
      <c r="G191" s="94">
        <f t="shared" si="478"/>
        <v>25062.199752559834</v>
      </c>
      <c r="H191" s="94">
        <f t="shared" si="478"/>
        <v>24883.461827436055</v>
      </c>
      <c r="I191" s="94">
        <f t="shared" si="478"/>
        <v>22876.152557218873</v>
      </c>
      <c r="J191" s="94">
        <f t="shared" si="478"/>
        <v>22028.766922275765</v>
      </c>
      <c r="K191" s="94">
        <f t="shared" si="478"/>
        <v>21955.94794061116</v>
      </c>
      <c r="L191" s="94">
        <f t="shared" si="478"/>
        <v>21468.076802504533</v>
      </c>
      <c r="M191" s="94">
        <f t="shared" si="478"/>
        <v>21514.977180427559</v>
      </c>
      <c r="N191" s="94">
        <f t="shared" si="478"/>
        <v>19501.022956412788</v>
      </c>
      <c r="O191" s="94">
        <f t="shared" si="478"/>
        <v>17955.580735810119</v>
      </c>
    </row>
    <row r="192" spans="2:15">
      <c r="B192" t="s">
        <v>774</v>
      </c>
      <c r="C192" s="50">
        <f t="shared" ref="C192:O192" si="479">(SUM(C95,C116,C35)+100000)/1000</f>
        <v>2194.076</v>
      </c>
      <c r="D192" s="50">
        <f t="shared" si="479"/>
        <v>2199.9140000000002</v>
      </c>
      <c r="E192" s="50">
        <f t="shared" si="479"/>
        <v>2300.8440000000001</v>
      </c>
      <c r="F192" s="50">
        <f t="shared" si="479"/>
        <v>2049.2443825</v>
      </c>
      <c r="G192" s="50">
        <f t="shared" si="479"/>
        <v>1842.3303850000002</v>
      </c>
      <c r="H192" s="50">
        <f t="shared" si="479"/>
        <v>2482.9763875000003</v>
      </c>
      <c r="I192" s="50">
        <f t="shared" si="479"/>
        <v>2295.4534399999998</v>
      </c>
      <c r="J192" s="50">
        <f t="shared" si="479"/>
        <v>2114.9794125000003</v>
      </c>
      <c r="K192" s="50">
        <f t="shared" si="479"/>
        <v>1832.0087049999995</v>
      </c>
      <c r="L192" s="50">
        <f t="shared" si="479"/>
        <v>1573.3796474999997</v>
      </c>
      <c r="M192" s="50">
        <f t="shared" si="479"/>
        <v>1784.7740403677576</v>
      </c>
      <c r="N192" s="50">
        <f t="shared" si="479"/>
        <v>2027.6384228677575</v>
      </c>
      <c r="O192" s="50">
        <f t="shared" si="479"/>
        <v>2098.0611253677575</v>
      </c>
    </row>
    <row r="193" spans="3:15">
      <c r="C193" t="s">
        <v>775</v>
      </c>
      <c r="D193" s="94">
        <f t="shared" ref="D193:O193" si="480">D191-D192</f>
        <v>17528.876</v>
      </c>
      <c r="E193" s="94">
        <f t="shared" si="480"/>
        <v>19434.242999999999</v>
      </c>
      <c r="F193" s="94">
        <f t="shared" si="480"/>
        <v>21394.726359801502</v>
      </c>
      <c r="G193" s="94">
        <f t="shared" si="480"/>
        <v>23219.869367559833</v>
      </c>
      <c r="H193" s="94">
        <f t="shared" si="480"/>
        <v>22400.485439936056</v>
      </c>
      <c r="I193" s="94">
        <f t="shared" si="480"/>
        <v>20580.699117218872</v>
      </c>
      <c r="J193" s="94">
        <f t="shared" si="480"/>
        <v>19913.787509775764</v>
      </c>
      <c r="K193" s="94">
        <f t="shared" si="480"/>
        <v>20123.93923561116</v>
      </c>
      <c r="L193" s="94">
        <f t="shared" si="480"/>
        <v>19894.697155004535</v>
      </c>
      <c r="M193" s="94">
        <f t="shared" si="480"/>
        <v>19730.203140059803</v>
      </c>
      <c r="N193" s="94">
        <f t="shared" si="480"/>
        <v>17473.384533545031</v>
      </c>
      <c r="O193" s="94">
        <f t="shared" si="480"/>
        <v>15857.519610442361</v>
      </c>
    </row>
    <row r="194" spans="3:15">
      <c r="C194" t="s">
        <v>776</v>
      </c>
    </row>
  </sheetData>
  <conditionalFormatting sqref="D7:F8 H7:I8 L7:N8">
    <cfRule type="cellIs" dxfId="761" priority="700" operator="lessThan">
      <formula>0</formula>
    </cfRule>
    <cfRule type="cellIs" dxfId="760" priority="701" operator="greaterThan">
      <formula>0</formula>
    </cfRule>
  </conditionalFormatting>
  <conditionalFormatting sqref="D14:F14 H14:J14 L14:N14">
    <cfRule type="cellIs" dxfId="759" priority="704" operator="lessThan">
      <formula>0</formula>
    </cfRule>
    <cfRule type="cellIs" dxfId="758" priority="705" operator="greaterThan">
      <formula>0</formula>
    </cfRule>
  </conditionalFormatting>
  <conditionalFormatting sqref="D21:F22 L21:N22 H22:I22">
    <cfRule type="cellIs" dxfId="757" priority="463" operator="lessThan">
      <formula>0</formula>
    </cfRule>
    <cfRule type="cellIs" dxfId="756" priority="464" operator="greaterThan">
      <formula>0</formula>
    </cfRule>
  </conditionalFormatting>
  <conditionalFormatting sqref="D29:F31 H29:I31 L29:N31 D38:F41 H38:I41 L38:N41">
    <cfRule type="cellIs" dxfId="755" priority="455" operator="lessThan">
      <formula>0</formula>
    </cfRule>
    <cfRule type="cellIs" dxfId="754" priority="456" operator="greaterThan">
      <formula>0</formula>
    </cfRule>
  </conditionalFormatting>
  <conditionalFormatting sqref="D47:F48 L47:N48 H48:I48">
    <cfRule type="cellIs" dxfId="753" priority="447" operator="lessThan">
      <formula>0</formula>
    </cfRule>
    <cfRule type="cellIs" dxfId="752" priority="448" operator="greaterThan">
      <formula>0</formula>
    </cfRule>
  </conditionalFormatting>
  <conditionalFormatting sqref="D54:F55 L54:N55 H55:I55">
    <cfRule type="cellIs" dxfId="751" priority="439" operator="lessThan">
      <formula>0</formula>
    </cfRule>
    <cfRule type="cellIs" dxfId="750" priority="440" operator="greaterThan">
      <formula>0</formula>
    </cfRule>
  </conditionalFormatting>
  <conditionalFormatting sqref="D62:F62 H62:I62 L62:N62">
    <cfRule type="cellIs" dxfId="749" priority="431" operator="lessThan">
      <formula>0</formula>
    </cfRule>
    <cfRule type="cellIs" dxfId="748" priority="432" operator="greaterThan">
      <formula>0</formula>
    </cfRule>
  </conditionalFormatting>
  <conditionalFormatting sqref="D68:F69">
    <cfRule type="cellIs" dxfId="747" priority="423" operator="lessThan">
      <formula>0</formula>
    </cfRule>
    <cfRule type="cellIs" dxfId="746" priority="424" operator="greaterThan">
      <formula>0</formula>
    </cfRule>
  </conditionalFormatting>
  <conditionalFormatting sqref="D90:F91 L90:N91 H91:I91">
    <cfRule type="cellIs" dxfId="745" priority="399" operator="lessThan">
      <formula>0</formula>
    </cfRule>
    <cfRule type="cellIs" dxfId="744" priority="400" operator="greaterThan">
      <formula>0</formula>
    </cfRule>
  </conditionalFormatting>
  <conditionalFormatting sqref="D97:F98 L97:N98 H98:I98">
    <cfRule type="cellIs" dxfId="743" priority="373" operator="lessThan">
      <formula>0</formula>
    </cfRule>
    <cfRule type="cellIs" dxfId="742" priority="374" operator="greaterThan">
      <formula>0</formula>
    </cfRule>
  </conditionalFormatting>
  <conditionalFormatting sqref="D104:F105">
    <cfRule type="cellIs" dxfId="741" priority="391" operator="lessThan">
      <formula>0</formula>
    </cfRule>
    <cfRule type="cellIs" dxfId="740" priority="392" operator="greaterThan">
      <formula>0</formula>
    </cfRule>
  </conditionalFormatting>
  <conditionalFormatting sqref="D111:F111">
    <cfRule type="cellIs" dxfId="739" priority="504" operator="lessThan">
      <formula>0</formula>
    </cfRule>
    <cfRule type="cellIs" dxfId="738" priority="505" operator="greaterThan">
      <formula>0</formula>
    </cfRule>
  </conditionalFormatting>
  <conditionalFormatting sqref="D118:F118 H118:J118">
    <cfRule type="cellIs" dxfId="737" priority="578" operator="lessThan">
      <formula>0</formula>
    </cfRule>
    <cfRule type="cellIs" dxfId="736" priority="579" operator="greaterThan">
      <formula>0</formula>
    </cfRule>
  </conditionalFormatting>
  <conditionalFormatting sqref="D125:F126">
    <cfRule type="cellIs" dxfId="735" priority="576" operator="lessThan">
      <formula>0</formula>
    </cfRule>
    <cfRule type="cellIs" dxfId="734" priority="577" operator="greaterThan">
      <formula>0</formula>
    </cfRule>
  </conditionalFormatting>
  <conditionalFormatting sqref="D132:F132">
    <cfRule type="cellIs" dxfId="733" priority="498" operator="lessThan">
      <formula>0</formula>
    </cfRule>
    <cfRule type="cellIs" dxfId="732" priority="499" operator="greaterThan">
      <formula>0</formula>
    </cfRule>
  </conditionalFormatting>
  <conditionalFormatting sqref="D133:F133">
    <cfRule type="cellIs" dxfId="731" priority="574" operator="lessThan">
      <formula>0</formula>
    </cfRule>
    <cfRule type="cellIs" dxfId="730" priority="575" operator="greaterThan">
      <formula>0</formula>
    </cfRule>
  </conditionalFormatting>
  <conditionalFormatting sqref="D139:F139">
    <cfRule type="cellIs" dxfId="729" priority="572" operator="lessThan">
      <formula>0</formula>
    </cfRule>
    <cfRule type="cellIs" dxfId="728" priority="573" operator="greaterThan">
      <formula>0</formula>
    </cfRule>
  </conditionalFormatting>
  <conditionalFormatting sqref="D146:F146">
    <cfRule type="cellIs" dxfId="727" priority="257" operator="lessThan">
      <formula>0</formula>
    </cfRule>
    <cfRule type="cellIs" dxfId="726" priority="258" operator="greaterThan">
      <formula>0</formula>
    </cfRule>
  </conditionalFormatting>
  <conditionalFormatting sqref="D153:F153">
    <cfRule type="cellIs" dxfId="725" priority="251" operator="lessThan">
      <formula>0</formula>
    </cfRule>
    <cfRule type="cellIs" dxfId="724" priority="252" operator="greaterThan">
      <formula>0</formula>
    </cfRule>
  </conditionalFormatting>
  <conditionalFormatting sqref="D160:F161 H160:J161 L160:N161">
    <cfRule type="cellIs" dxfId="723" priority="494" operator="lessThan">
      <formula>0</formula>
    </cfRule>
    <cfRule type="cellIs" dxfId="722" priority="495" operator="greaterThan">
      <formula>0</formula>
    </cfRule>
  </conditionalFormatting>
  <conditionalFormatting sqref="D6:O6 D165:F165">
    <cfRule type="cellIs" dxfId="721" priority="668" operator="lessThan">
      <formula>0</formula>
    </cfRule>
    <cfRule type="cellIs" dxfId="720" priority="669" operator="greaterThan">
      <formula>0</formula>
    </cfRule>
  </conditionalFormatting>
  <conditionalFormatting sqref="D13:O13">
    <cfRule type="cellIs" dxfId="719" priority="568" operator="lessThan">
      <formula>0</formula>
    </cfRule>
    <cfRule type="cellIs" dxfId="718" priority="569" operator="greaterThan">
      <formula>0</formula>
    </cfRule>
  </conditionalFormatting>
  <conditionalFormatting sqref="D20:O20">
    <cfRule type="cellIs" dxfId="717" priority="566" operator="lessThan">
      <formula>0</formula>
    </cfRule>
    <cfRule type="cellIs" dxfId="716" priority="567" operator="greaterThan">
      <formula>0</formula>
    </cfRule>
  </conditionalFormatting>
  <conditionalFormatting sqref="D27:O27">
    <cfRule type="cellIs" dxfId="715" priority="542" operator="lessThan">
      <formula>0</formula>
    </cfRule>
    <cfRule type="cellIs" dxfId="714" priority="543" operator="greaterThan">
      <formula>0</formula>
    </cfRule>
  </conditionalFormatting>
  <conditionalFormatting sqref="D36:O36">
    <cfRule type="cellIs" dxfId="713" priority="267" operator="lessThan">
      <formula>0</formula>
    </cfRule>
    <cfRule type="cellIs" dxfId="712" priority="268" operator="greaterThan">
      <formula>0</formula>
    </cfRule>
  </conditionalFormatting>
  <conditionalFormatting sqref="D46:O46">
    <cfRule type="cellIs" dxfId="711" priority="534" operator="lessThan">
      <formula>0</formula>
    </cfRule>
    <cfRule type="cellIs" dxfId="710" priority="535" operator="greaterThan">
      <formula>0</formula>
    </cfRule>
  </conditionalFormatting>
  <conditionalFormatting sqref="D53:O53">
    <cfRule type="cellIs" dxfId="709" priority="564" operator="lessThan">
      <formula>0</formula>
    </cfRule>
    <cfRule type="cellIs" dxfId="708" priority="565" operator="greaterThan">
      <formula>0</formula>
    </cfRule>
  </conditionalFormatting>
  <conditionalFormatting sqref="D60:O60">
    <cfRule type="cellIs" dxfId="707" priority="562" operator="lessThan">
      <formula>0</formula>
    </cfRule>
    <cfRule type="cellIs" dxfId="706" priority="563" operator="greaterThan">
      <formula>0</formula>
    </cfRule>
  </conditionalFormatting>
  <conditionalFormatting sqref="D67:O67">
    <cfRule type="cellIs" dxfId="705" priority="560" operator="lessThan">
      <formula>0</formula>
    </cfRule>
    <cfRule type="cellIs" dxfId="704" priority="561" operator="greaterThan">
      <formula>0</formula>
    </cfRule>
  </conditionalFormatting>
  <conditionalFormatting sqref="D74:O74">
    <cfRule type="cellIs" dxfId="703" priority="558" operator="lessThan">
      <formula>0</formula>
    </cfRule>
    <cfRule type="cellIs" dxfId="702" priority="559" operator="greaterThan">
      <formula>0</formula>
    </cfRule>
  </conditionalFormatting>
  <conditionalFormatting sqref="D81:O81">
    <cfRule type="cellIs" dxfId="701" priority="556" operator="lessThan">
      <formula>0</formula>
    </cfRule>
    <cfRule type="cellIs" dxfId="700" priority="557" operator="greaterThan">
      <formula>0</formula>
    </cfRule>
  </conditionalFormatting>
  <conditionalFormatting sqref="D89:O89">
    <cfRule type="cellIs" dxfId="699" priority="554" operator="lessThan">
      <formula>0</formula>
    </cfRule>
    <cfRule type="cellIs" dxfId="698" priority="555" operator="greaterThan">
      <formula>0</formula>
    </cfRule>
  </conditionalFormatting>
  <conditionalFormatting sqref="D96:O96">
    <cfRule type="cellIs" dxfId="697" priority="552" operator="lessThan">
      <formula>0</formula>
    </cfRule>
    <cfRule type="cellIs" dxfId="696" priority="553" operator="greaterThan">
      <formula>0</formula>
    </cfRule>
  </conditionalFormatting>
  <conditionalFormatting sqref="D103:O103">
    <cfRule type="cellIs" dxfId="695" priority="550" operator="lessThan">
      <formula>0</formula>
    </cfRule>
    <cfRule type="cellIs" dxfId="694" priority="551" operator="greaterThan">
      <formula>0</formula>
    </cfRule>
  </conditionalFormatting>
  <conditionalFormatting sqref="D110:O110">
    <cfRule type="cellIs" dxfId="693" priority="548" operator="lessThan">
      <formula>0</formula>
    </cfRule>
    <cfRule type="cellIs" dxfId="692" priority="549" operator="greaterThan">
      <formula>0</formula>
    </cfRule>
  </conditionalFormatting>
  <conditionalFormatting sqref="D117:O117">
    <cfRule type="cellIs" dxfId="691" priority="536" operator="lessThan">
      <formula>0</formula>
    </cfRule>
    <cfRule type="cellIs" dxfId="690" priority="537" operator="greaterThan">
      <formula>0</formula>
    </cfRule>
  </conditionalFormatting>
  <conditionalFormatting sqref="D124:O124">
    <cfRule type="cellIs" dxfId="689" priority="546" operator="lessThan">
      <formula>0</formula>
    </cfRule>
    <cfRule type="cellIs" dxfId="688" priority="547" operator="greaterThan">
      <formula>0</formula>
    </cfRule>
  </conditionalFormatting>
  <conditionalFormatting sqref="D131:O131">
    <cfRule type="cellIs" dxfId="687" priority="540" operator="lessThan">
      <formula>0</formula>
    </cfRule>
    <cfRule type="cellIs" dxfId="686" priority="541" operator="greaterThan">
      <formula>0</formula>
    </cfRule>
  </conditionalFormatting>
  <conditionalFormatting sqref="D138:O138">
    <cfRule type="cellIs" dxfId="685" priority="538" operator="lessThan">
      <formula>0</formula>
    </cfRule>
    <cfRule type="cellIs" dxfId="684" priority="539" operator="greaterThan">
      <formula>0</formula>
    </cfRule>
  </conditionalFormatting>
  <conditionalFormatting sqref="D145:O145">
    <cfRule type="cellIs" dxfId="683" priority="255" operator="lessThan">
      <formula>0</formula>
    </cfRule>
    <cfRule type="cellIs" dxfId="682" priority="256" operator="greaterThan">
      <formula>0</formula>
    </cfRule>
  </conditionalFormatting>
  <conditionalFormatting sqref="D152:O152">
    <cfRule type="cellIs" dxfId="681" priority="249" operator="lessThan">
      <formula>0</formula>
    </cfRule>
    <cfRule type="cellIs" dxfId="680" priority="250" operator="greaterThan">
      <formula>0</formula>
    </cfRule>
  </conditionalFormatting>
  <conditionalFormatting sqref="D159:O159">
    <cfRule type="cellIs" dxfId="679" priority="544" operator="lessThan">
      <formula>0</formula>
    </cfRule>
    <cfRule type="cellIs" dxfId="678" priority="545" operator="greaterThan">
      <formula>0</formula>
    </cfRule>
  </conditionalFormatting>
  <conditionalFormatting sqref="G8">
    <cfRule type="cellIs" dxfId="677" priority="477" operator="lessThan">
      <formula>0</formula>
    </cfRule>
    <cfRule type="cellIs" dxfId="676" priority="485" operator="greaterThan">
      <formula>0</formula>
    </cfRule>
  </conditionalFormatting>
  <conditionalFormatting sqref="G15">
    <cfRule type="cellIs" dxfId="675" priority="475" operator="lessThan">
      <formula>0</formula>
    </cfRule>
    <cfRule type="cellIs" dxfId="674" priority="476" operator="greaterThan">
      <formula>0</formula>
    </cfRule>
  </conditionalFormatting>
  <conditionalFormatting sqref="G22">
    <cfRule type="cellIs" dxfId="673" priority="461" operator="lessThan">
      <formula>0</formula>
    </cfRule>
    <cfRule type="cellIs" dxfId="672" priority="462" operator="greaterThan">
      <formula>0</formula>
    </cfRule>
  </conditionalFormatting>
  <conditionalFormatting sqref="G29:G31 G38:G41">
    <cfRule type="cellIs" dxfId="671" priority="453" operator="lessThan">
      <formula>0</formula>
    </cfRule>
    <cfRule type="cellIs" dxfId="670" priority="454" operator="greaterThan">
      <formula>0</formula>
    </cfRule>
  </conditionalFormatting>
  <conditionalFormatting sqref="G48">
    <cfRule type="cellIs" dxfId="669" priority="445" operator="lessThan">
      <formula>0</formula>
    </cfRule>
    <cfRule type="cellIs" dxfId="668" priority="446" operator="greaterThan">
      <formula>0</formula>
    </cfRule>
  </conditionalFormatting>
  <conditionalFormatting sqref="G55">
    <cfRule type="cellIs" dxfId="667" priority="437" operator="lessThan">
      <formula>0</formula>
    </cfRule>
    <cfRule type="cellIs" dxfId="666" priority="438" operator="greaterThan">
      <formula>0</formula>
    </cfRule>
  </conditionalFormatting>
  <conditionalFormatting sqref="G62">
    <cfRule type="cellIs" dxfId="665" priority="429" operator="lessThan">
      <formula>0</formula>
    </cfRule>
    <cfRule type="cellIs" dxfId="664" priority="430" operator="greaterThan">
      <formula>0</formula>
    </cfRule>
  </conditionalFormatting>
  <conditionalFormatting sqref="G69">
    <cfRule type="cellIs" dxfId="663" priority="263" operator="lessThan">
      <formula>0</formula>
    </cfRule>
    <cfRule type="cellIs" dxfId="662" priority="264" operator="greaterThan">
      <formula>0</formula>
    </cfRule>
  </conditionalFormatting>
  <conditionalFormatting sqref="G76">
    <cfRule type="cellIs" dxfId="661" priority="413" operator="lessThan">
      <formula>0</formula>
    </cfRule>
    <cfRule type="cellIs" dxfId="660" priority="414" operator="greaterThan">
      <formula>0</formula>
    </cfRule>
  </conditionalFormatting>
  <conditionalFormatting sqref="G83">
    <cfRule type="cellIs" dxfId="659" priority="405" operator="lessThan">
      <formula>0</formula>
    </cfRule>
    <cfRule type="cellIs" dxfId="658" priority="406" operator="greaterThan">
      <formula>0</formula>
    </cfRule>
  </conditionalFormatting>
  <conditionalFormatting sqref="G91">
    <cfRule type="cellIs" dxfId="657" priority="397" operator="lessThan">
      <formula>0</formula>
    </cfRule>
    <cfRule type="cellIs" dxfId="656" priority="398" operator="greaterThan">
      <formula>0</formula>
    </cfRule>
  </conditionalFormatting>
  <conditionalFormatting sqref="G98">
    <cfRule type="cellIs" dxfId="655" priority="371" operator="lessThan">
      <formula>0</formula>
    </cfRule>
    <cfRule type="cellIs" dxfId="654" priority="372" operator="greaterThan">
      <formula>0</formula>
    </cfRule>
  </conditionalFormatting>
  <conditionalFormatting sqref="G105">
    <cfRule type="cellIs" dxfId="653" priority="379" operator="lessThan">
      <formula>0</formula>
    </cfRule>
    <cfRule type="cellIs" dxfId="652" priority="380" operator="greaterThan">
      <formula>0</formula>
    </cfRule>
  </conditionalFormatting>
  <conditionalFormatting sqref="G112">
    <cfRule type="cellIs" dxfId="651" priority="361" operator="lessThan">
      <formula>0</formula>
    </cfRule>
    <cfRule type="cellIs" dxfId="650" priority="362" operator="greaterThan">
      <formula>0</formula>
    </cfRule>
  </conditionalFormatting>
  <conditionalFormatting sqref="G119">
    <cfRule type="cellIs" dxfId="649" priority="351" operator="lessThan">
      <formula>0</formula>
    </cfRule>
    <cfRule type="cellIs" dxfId="648" priority="352" operator="greaterThan">
      <formula>0</formula>
    </cfRule>
  </conditionalFormatting>
  <conditionalFormatting sqref="G126">
    <cfRule type="cellIs" dxfId="647" priority="329" operator="lessThan">
      <formula>0</formula>
    </cfRule>
    <cfRule type="cellIs" dxfId="646" priority="330" operator="greaterThan">
      <formula>0</formula>
    </cfRule>
  </conditionalFormatting>
  <conditionalFormatting sqref="G133">
    <cfRule type="cellIs" dxfId="645" priority="319" operator="lessThan">
      <formula>0</formula>
    </cfRule>
    <cfRule type="cellIs" dxfId="644" priority="320" operator="greaterThan">
      <formula>0</formula>
    </cfRule>
  </conditionalFormatting>
  <conditionalFormatting sqref="G140 G147 G154">
    <cfRule type="cellIs" dxfId="643" priority="309" operator="lessThan">
      <formula>0</formula>
    </cfRule>
    <cfRule type="cellIs" dxfId="642" priority="310" operator="greaterThan">
      <formula>0</formula>
    </cfRule>
  </conditionalFormatting>
  <conditionalFormatting sqref="G161">
    <cfRule type="cellIs" dxfId="641" priority="301" operator="lessThan">
      <formula>0</formula>
    </cfRule>
    <cfRule type="cellIs" dxfId="640" priority="302" operator="greaterThan">
      <formula>0</formula>
    </cfRule>
  </conditionalFormatting>
  <conditionalFormatting sqref="H21:J21">
    <cfRule type="cellIs" dxfId="639" priority="604" operator="lessThan">
      <formula>0</formula>
    </cfRule>
    <cfRule type="cellIs" dxfId="638" priority="605" operator="greaterThan">
      <formula>0</formula>
    </cfRule>
  </conditionalFormatting>
  <conditionalFormatting sqref="H47:J47">
    <cfRule type="cellIs" dxfId="637" priority="600" operator="lessThan">
      <formula>0</formula>
    </cfRule>
    <cfRule type="cellIs" dxfId="636" priority="601" operator="greaterThan">
      <formula>0</formula>
    </cfRule>
  </conditionalFormatting>
  <conditionalFormatting sqref="H54:J54">
    <cfRule type="cellIs" dxfId="635" priority="596" operator="lessThan">
      <formula>0</formula>
    </cfRule>
    <cfRule type="cellIs" dxfId="634" priority="597" operator="greaterThan">
      <formula>0</formula>
    </cfRule>
  </conditionalFormatting>
  <conditionalFormatting sqref="H68:J68">
    <cfRule type="cellIs" dxfId="633" priority="592" operator="lessThan">
      <formula>0</formula>
    </cfRule>
    <cfRule type="cellIs" dxfId="632" priority="593" operator="greaterThan">
      <formula>0</formula>
    </cfRule>
  </conditionalFormatting>
  <conditionalFormatting sqref="H75:J75">
    <cfRule type="cellIs" dxfId="631" priority="488" operator="lessThan">
      <formula>0</formula>
    </cfRule>
    <cfRule type="cellIs" dxfId="630" priority="489" operator="greaterThan">
      <formula>0</formula>
    </cfRule>
  </conditionalFormatting>
  <conditionalFormatting sqref="H82:J82">
    <cfRule type="cellIs" dxfId="629" priority="486" operator="lessThan">
      <formula>0</formula>
    </cfRule>
    <cfRule type="cellIs" dxfId="628" priority="487" operator="greaterThan">
      <formula>0</formula>
    </cfRule>
  </conditionalFormatting>
  <conditionalFormatting sqref="H90:J90">
    <cfRule type="cellIs" dxfId="627" priority="586" operator="lessThan">
      <formula>0</formula>
    </cfRule>
    <cfRule type="cellIs" dxfId="626" priority="587" operator="greaterThan">
      <formula>0</formula>
    </cfRule>
  </conditionalFormatting>
  <conditionalFormatting sqref="H97:J97">
    <cfRule type="cellIs" dxfId="625" priority="584" operator="lessThan">
      <formula>0</formula>
    </cfRule>
    <cfRule type="cellIs" dxfId="624" priority="585" operator="greaterThan">
      <formula>0</formula>
    </cfRule>
  </conditionalFormatting>
  <conditionalFormatting sqref="H104:J104">
    <cfRule type="cellIs" dxfId="623" priority="383" operator="lessThan">
      <formula>0</formula>
    </cfRule>
    <cfRule type="cellIs" dxfId="622" priority="384" operator="greaterThan">
      <formula>0</formula>
    </cfRule>
  </conditionalFormatting>
  <conditionalFormatting sqref="H111:J111">
    <cfRule type="cellIs" dxfId="621" priority="365" operator="lessThan">
      <formula>0</formula>
    </cfRule>
    <cfRule type="cellIs" dxfId="620" priority="366" operator="greaterThan">
      <formula>0</formula>
    </cfRule>
  </conditionalFormatting>
  <conditionalFormatting sqref="H125:J125">
    <cfRule type="cellIs" dxfId="619" priority="333" operator="lessThan">
      <formula>0</formula>
    </cfRule>
    <cfRule type="cellIs" dxfId="618" priority="334" operator="greaterThan">
      <formula>0</formula>
    </cfRule>
  </conditionalFormatting>
  <conditionalFormatting sqref="H132:J132">
    <cfRule type="cellIs" dxfId="617" priority="323" operator="lessThan">
      <formula>0</formula>
    </cfRule>
    <cfRule type="cellIs" dxfId="616" priority="324" operator="greaterThan">
      <formula>0</formula>
    </cfRule>
  </conditionalFormatting>
  <conditionalFormatting sqref="H139:J139">
    <cfRule type="cellIs" dxfId="615" priority="313" operator="lessThan">
      <formula>0</formula>
    </cfRule>
    <cfRule type="cellIs" dxfId="614" priority="314" operator="greaterThan">
      <formula>0</formula>
    </cfRule>
  </conditionalFormatting>
  <conditionalFormatting sqref="H146:J146">
    <cfRule type="cellIs" dxfId="613" priority="253" operator="lessThan">
      <formula>0</formula>
    </cfRule>
    <cfRule type="cellIs" dxfId="612" priority="254" operator="greaterThan">
      <formula>0</formula>
    </cfRule>
  </conditionalFormatting>
  <conditionalFormatting sqref="H153:J153">
    <cfRule type="cellIs" dxfId="611" priority="247" operator="lessThan">
      <formula>0</formula>
    </cfRule>
    <cfRule type="cellIs" dxfId="610" priority="248" operator="greaterThan">
      <formula>0</formula>
    </cfRule>
  </conditionalFormatting>
  <conditionalFormatting sqref="K8">
    <cfRule type="cellIs" dxfId="609" priority="467" operator="lessThan">
      <formula>0</formula>
    </cfRule>
    <cfRule type="cellIs" dxfId="608" priority="468" operator="greaterThan">
      <formula>0</formula>
    </cfRule>
  </conditionalFormatting>
  <conditionalFormatting sqref="K15">
    <cfRule type="cellIs" dxfId="607" priority="289" operator="lessThan">
      <formula>0</formula>
    </cfRule>
    <cfRule type="cellIs" dxfId="606" priority="290" operator="greaterThan">
      <formula>0</formula>
    </cfRule>
  </conditionalFormatting>
  <conditionalFormatting sqref="K22">
    <cfRule type="cellIs" dxfId="605" priority="459" operator="lessThan">
      <formula>0</formula>
    </cfRule>
    <cfRule type="cellIs" dxfId="604" priority="460" operator="greaterThan">
      <formula>0</formula>
    </cfRule>
  </conditionalFormatting>
  <conditionalFormatting sqref="K29:K31 K38:K41">
    <cfRule type="cellIs" dxfId="603" priority="285" operator="lessThan">
      <formula>0</formula>
    </cfRule>
    <cfRule type="cellIs" dxfId="602" priority="286" operator="greaterThan">
      <formula>0</formula>
    </cfRule>
  </conditionalFormatting>
  <conditionalFormatting sqref="K48">
    <cfRule type="cellIs" dxfId="601" priority="283" operator="lessThan">
      <formula>0</formula>
    </cfRule>
    <cfRule type="cellIs" dxfId="600" priority="284" operator="greaterThan">
      <formula>0</formula>
    </cfRule>
  </conditionalFormatting>
  <conditionalFormatting sqref="K55">
    <cfRule type="cellIs" dxfId="599" priority="281" operator="lessThan">
      <formula>0</formula>
    </cfRule>
    <cfRule type="cellIs" dxfId="598" priority="282" operator="greaterThan">
      <formula>0</formula>
    </cfRule>
  </conditionalFormatting>
  <conditionalFormatting sqref="K62">
    <cfRule type="cellIs" dxfId="597" priority="427" operator="lessThan">
      <formula>0</formula>
    </cfRule>
    <cfRule type="cellIs" dxfId="596" priority="428" operator="greaterThan">
      <formula>0</formula>
    </cfRule>
  </conditionalFormatting>
  <conditionalFormatting sqref="K69">
    <cfRule type="cellIs" dxfId="595" priority="261" operator="lessThan">
      <formula>0</formula>
    </cfRule>
    <cfRule type="cellIs" dxfId="594" priority="262" operator="greaterThan">
      <formula>0</formula>
    </cfRule>
  </conditionalFormatting>
  <conditionalFormatting sqref="K76">
    <cfRule type="cellIs" dxfId="593" priority="411" operator="lessThan">
      <formula>0</formula>
    </cfRule>
    <cfRule type="cellIs" dxfId="592" priority="412" operator="greaterThan">
      <formula>0</formula>
    </cfRule>
  </conditionalFormatting>
  <conditionalFormatting sqref="K83">
    <cfRule type="cellIs" dxfId="591" priority="403" operator="lessThan">
      <formula>0</formula>
    </cfRule>
    <cfRule type="cellIs" dxfId="590" priority="404" operator="greaterThan">
      <formula>0</formula>
    </cfRule>
  </conditionalFormatting>
  <conditionalFormatting sqref="K91">
    <cfRule type="cellIs" dxfId="589" priority="279" operator="lessThan">
      <formula>0</formula>
    </cfRule>
    <cfRule type="cellIs" dxfId="588" priority="280" operator="greaterThan">
      <formula>0</formula>
    </cfRule>
  </conditionalFormatting>
  <conditionalFormatting sqref="K98">
    <cfRule type="cellIs" dxfId="587" priority="277" operator="lessThan">
      <formula>0</formula>
    </cfRule>
    <cfRule type="cellIs" dxfId="586" priority="278" operator="greaterThan">
      <formula>0</formula>
    </cfRule>
  </conditionalFormatting>
  <conditionalFormatting sqref="K105">
    <cfRule type="cellIs" dxfId="585" priority="273" operator="lessThan">
      <formula>0</formula>
    </cfRule>
    <cfRule type="cellIs" dxfId="584" priority="274" operator="greaterThan">
      <formula>0</formula>
    </cfRule>
  </conditionalFormatting>
  <conditionalFormatting sqref="K112">
    <cfRule type="cellIs" dxfId="583" priority="271" operator="lessThan">
      <formula>0</formula>
    </cfRule>
    <cfRule type="cellIs" dxfId="582" priority="272" operator="greaterThan">
      <formula>0</formula>
    </cfRule>
  </conditionalFormatting>
  <conditionalFormatting sqref="K119">
    <cfRule type="cellIs" dxfId="581" priority="345" operator="lessThan">
      <formula>0</formula>
    </cfRule>
    <cfRule type="cellIs" dxfId="580" priority="346" operator="greaterThan">
      <formula>0</formula>
    </cfRule>
  </conditionalFormatting>
  <conditionalFormatting sqref="K126">
    <cfRule type="cellIs" dxfId="579" priority="327" operator="lessThan">
      <formula>0</formula>
    </cfRule>
    <cfRule type="cellIs" dxfId="578" priority="328" operator="greaterThan">
      <formula>0</formula>
    </cfRule>
  </conditionalFormatting>
  <conditionalFormatting sqref="K133">
    <cfRule type="cellIs" dxfId="577" priority="317" operator="lessThan">
      <formula>0</formula>
    </cfRule>
    <cfRule type="cellIs" dxfId="576" priority="318" operator="greaterThan">
      <formula>0</formula>
    </cfRule>
  </conditionalFormatting>
  <conditionalFormatting sqref="K140 K147 K154">
    <cfRule type="cellIs" dxfId="575" priority="269" operator="lessThan">
      <formula>0</formula>
    </cfRule>
    <cfRule type="cellIs" dxfId="574" priority="270" operator="greaterThan">
      <formula>0</formula>
    </cfRule>
  </conditionalFormatting>
  <conditionalFormatting sqref="K161">
    <cfRule type="cellIs" dxfId="573" priority="293" operator="lessThan">
      <formula>0</formula>
    </cfRule>
    <cfRule type="cellIs" dxfId="572" priority="294" operator="greaterThan">
      <formula>0</formula>
    </cfRule>
  </conditionalFormatting>
  <conditionalFormatting sqref="L68:N69 H69:I69">
    <cfRule type="cellIs" dxfId="571" priority="265" operator="lessThan">
      <formula>0</formula>
    </cfRule>
    <cfRule type="cellIs" dxfId="570" priority="266" operator="greaterThan">
      <formula>0</formula>
    </cfRule>
  </conditionalFormatting>
  <conditionalFormatting sqref="L75:N76 D76:F76 H76:I76">
    <cfRule type="cellIs" dxfId="569" priority="415" operator="lessThan">
      <formula>0</formula>
    </cfRule>
    <cfRule type="cellIs" dxfId="568" priority="416" operator="greaterThan">
      <formula>0</formula>
    </cfRule>
  </conditionalFormatting>
  <conditionalFormatting sqref="L82:N83 D83:F83 H83:I83">
    <cfRule type="cellIs" dxfId="567" priority="407" operator="lessThan">
      <formula>0</formula>
    </cfRule>
    <cfRule type="cellIs" dxfId="566" priority="408" operator="greaterThan">
      <formula>0</formula>
    </cfRule>
  </conditionalFormatting>
  <conditionalFormatting sqref="L104:N105 H105:I105">
    <cfRule type="cellIs" dxfId="565" priority="381" operator="lessThan">
      <formula>0</formula>
    </cfRule>
    <cfRule type="cellIs" dxfId="564" priority="382" operator="greaterThan">
      <formula>0</formula>
    </cfRule>
  </conditionalFormatting>
  <conditionalFormatting sqref="L111:N112 H112:I112">
    <cfRule type="cellIs" dxfId="563" priority="363" operator="lessThan">
      <formula>0</formula>
    </cfRule>
    <cfRule type="cellIs" dxfId="562" priority="364" operator="greaterThan">
      <formula>0</formula>
    </cfRule>
  </conditionalFormatting>
  <conditionalFormatting sqref="L118:N119 H119:I119">
    <cfRule type="cellIs" dxfId="561" priority="353" operator="lessThan">
      <formula>0</formula>
    </cfRule>
    <cfRule type="cellIs" dxfId="560" priority="354" operator="greaterThan">
      <formula>0</formula>
    </cfRule>
  </conditionalFormatting>
  <conditionalFormatting sqref="L125:N126 H126:I126">
    <cfRule type="cellIs" dxfId="559" priority="331" operator="lessThan">
      <formula>0</formula>
    </cfRule>
    <cfRule type="cellIs" dxfId="558" priority="332" operator="greaterThan">
      <formula>0</formula>
    </cfRule>
  </conditionalFormatting>
  <conditionalFormatting sqref="L132:N133 H133:I133">
    <cfRule type="cellIs" dxfId="557" priority="321" operator="lessThan">
      <formula>0</formula>
    </cfRule>
    <cfRule type="cellIs" dxfId="556" priority="322" operator="greaterThan">
      <formula>0</formula>
    </cfRule>
  </conditionalFormatting>
  <conditionalFormatting sqref="L139:N140 H140:I140 L146:N147 H147:I147 L153:N154 H154:I154">
    <cfRule type="cellIs" dxfId="555" priority="311" operator="lessThan">
      <formula>0</formula>
    </cfRule>
    <cfRule type="cellIs" dxfId="554" priority="312" operator="greaterThan">
      <formula>0</formula>
    </cfRule>
  </conditionalFormatting>
  <conditionalFormatting sqref="O8">
    <cfRule type="cellIs" dxfId="553" priority="465" operator="lessThan">
      <formula>0</formula>
    </cfRule>
    <cfRule type="cellIs" dxfId="552" priority="466" operator="greaterThan">
      <formula>0</formula>
    </cfRule>
  </conditionalFormatting>
  <conditionalFormatting sqref="O15">
    <cfRule type="cellIs" dxfId="551" priority="287" operator="lessThan">
      <formula>0</formula>
    </cfRule>
    <cfRule type="cellIs" dxfId="550" priority="288" operator="greaterThan">
      <formula>0</formula>
    </cfRule>
  </conditionalFormatting>
  <conditionalFormatting sqref="O22">
    <cfRule type="cellIs" dxfId="549" priority="457" operator="lessThan">
      <formula>0</formula>
    </cfRule>
    <cfRule type="cellIs" dxfId="548" priority="458" operator="greaterThan">
      <formula>0</formula>
    </cfRule>
  </conditionalFormatting>
  <conditionalFormatting sqref="O29:O31 O38:O41">
    <cfRule type="cellIs" dxfId="547" priority="449" operator="lessThan">
      <formula>0</formula>
    </cfRule>
    <cfRule type="cellIs" dxfId="546" priority="450" operator="greaterThan">
      <formula>0</formula>
    </cfRule>
  </conditionalFormatting>
  <conditionalFormatting sqref="O48">
    <cfRule type="cellIs" dxfId="545" priority="441" operator="lessThan">
      <formula>0</formula>
    </cfRule>
    <cfRule type="cellIs" dxfId="544" priority="442" operator="greaterThan">
      <formula>0</formula>
    </cfRule>
  </conditionalFormatting>
  <conditionalFormatting sqref="O55">
    <cfRule type="cellIs" dxfId="543" priority="433" operator="lessThan">
      <formula>0</formula>
    </cfRule>
    <cfRule type="cellIs" dxfId="542" priority="434" operator="greaterThan">
      <formula>0</formula>
    </cfRule>
  </conditionalFormatting>
  <conditionalFormatting sqref="O62">
    <cfRule type="cellIs" dxfId="541" priority="425" operator="lessThan">
      <formula>0</formula>
    </cfRule>
    <cfRule type="cellIs" dxfId="540" priority="426" operator="greaterThan">
      <formula>0</formula>
    </cfRule>
  </conditionalFormatting>
  <conditionalFormatting sqref="O69">
    <cfRule type="cellIs" dxfId="539" priority="259" operator="lessThan">
      <formula>0</formula>
    </cfRule>
    <cfRule type="cellIs" dxfId="538" priority="260" operator="greaterThan">
      <formula>0</formula>
    </cfRule>
  </conditionalFormatting>
  <conditionalFormatting sqref="O76">
    <cfRule type="cellIs" dxfId="537" priority="409" operator="lessThan">
      <formula>0</formula>
    </cfRule>
    <cfRule type="cellIs" dxfId="536" priority="410" operator="greaterThan">
      <formula>0</formula>
    </cfRule>
  </conditionalFormatting>
  <conditionalFormatting sqref="O83">
    <cfRule type="cellIs" dxfId="535" priority="401" operator="lessThan">
      <formula>0</formula>
    </cfRule>
    <cfRule type="cellIs" dxfId="534" priority="402" operator="greaterThan">
      <formula>0</formula>
    </cfRule>
  </conditionalFormatting>
  <conditionalFormatting sqref="O91">
    <cfRule type="cellIs" dxfId="533" priority="299" operator="lessThan">
      <formula>0</formula>
    </cfRule>
    <cfRule type="cellIs" dxfId="532" priority="300" operator="greaterThan">
      <formula>0</formula>
    </cfRule>
  </conditionalFormatting>
  <conditionalFormatting sqref="O98">
    <cfRule type="cellIs" dxfId="531" priority="275" operator="lessThan">
      <formula>0</formula>
    </cfRule>
    <cfRule type="cellIs" dxfId="530" priority="276" operator="greaterThan">
      <formula>0</formula>
    </cfRule>
  </conditionalFormatting>
  <conditionalFormatting sqref="O105">
    <cfRule type="cellIs" dxfId="529" priority="355" operator="lessThan">
      <formula>0</formula>
    </cfRule>
    <cfRule type="cellIs" dxfId="528" priority="356" operator="greaterThan">
      <formula>0</formula>
    </cfRule>
  </conditionalFormatting>
  <conditionalFormatting sqref="O112">
    <cfRule type="cellIs" dxfId="527" priority="357" operator="lessThan">
      <formula>0</formula>
    </cfRule>
    <cfRule type="cellIs" dxfId="526" priority="358" operator="greaterThan">
      <formula>0</formula>
    </cfRule>
  </conditionalFormatting>
  <conditionalFormatting sqref="O119">
    <cfRule type="cellIs" dxfId="525" priority="343" operator="lessThan">
      <formula>0</formula>
    </cfRule>
    <cfRule type="cellIs" dxfId="524" priority="344" operator="greaterThan">
      <formula>0</formula>
    </cfRule>
  </conditionalFormatting>
  <conditionalFormatting sqref="O126">
    <cfRule type="cellIs" dxfId="523" priority="325" operator="lessThan">
      <formula>0</formula>
    </cfRule>
    <cfRule type="cellIs" dxfId="522" priority="326" operator="greaterThan">
      <formula>0</formula>
    </cfRule>
  </conditionalFormatting>
  <conditionalFormatting sqref="O133">
    <cfRule type="cellIs" dxfId="521" priority="315" operator="lessThan">
      <formula>0</formula>
    </cfRule>
    <cfRule type="cellIs" dxfId="520" priority="316" operator="greaterThan">
      <formula>0</formula>
    </cfRule>
  </conditionalFormatting>
  <conditionalFormatting sqref="O140 O147 O154">
    <cfRule type="cellIs" dxfId="519" priority="303" operator="lessThan">
      <formula>0</formula>
    </cfRule>
    <cfRule type="cellIs" dxfId="518" priority="304" operator="greaterThan">
      <formula>0</formula>
    </cfRule>
  </conditionalFormatting>
  <conditionalFormatting sqref="O161">
    <cfRule type="cellIs" dxfId="517" priority="291" operator="lessThan">
      <formula>0</formula>
    </cfRule>
    <cfRule type="cellIs" dxfId="516" priority="292" operator="greaterThan">
      <formula>0</formula>
    </cfRule>
  </conditionalFormatting>
  <conditionalFormatting sqref="AI7:AK8 AM7:AN8 AQ7:AS8">
    <cfRule type="cellIs" dxfId="515" priority="243" operator="lessThan">
      <formula>0</formula>
    </cfRule>
    <cfRule type="cellIs" dxfId="514" priority="244" operator="greaterThan">
      <formula>0</formula>
    </cfRule>
  </conditionalFormatting>
  <conditionalFormatting sqref="AI14:AK14 AM14:AO14 AQ14:AS14">
    <cfRule type="cellIs" dxfId="513" priority="245" operator="lessThan">
      <formula>0</formula>
    </cfRule>
    <cfRule type="cellIs" dxfId="512" priority="246" operator="greaterThan">
      <formula>0</formula>
    </cfRule>
  </conditionalFormatting>
  <conditionalFormatting sqref="AI21:AK22 AQ21:AS22 AM22:AN22">
    <cfRule type="cellIs" dxfId="511" priority="165" operator="lessThan">
      <formula>0</formula>
    </cfRule>
    <cfRule type="cellIs" dxfId="510" priority="166" operator="greaterThan">
      <formula>0</formula>
    </cfRule>
  </conditionalFormatting>
  <conditionalFormatting sqref="AI29:AK31 AM29:AN31 AQ29:AS31 AI38:AK41 AM38:AN41 AQ38:AS41">
    <cfRule type="cellIs" dxfId="509" priority="157" operator="lessThan">
      <formula>0</formula>
    </cfRule>
    <cfRule type="cellIs" dxfId="508" priority="158" operator="greaterThan">
      <formula>0</formula>
    </cfRule>
  </conditionalFormatting>
  <conditionalFormatting sqref="AI47:AK48 AQ47:AS48 AM48:AN48">
    <cfRule type="cellIs" dxfId="507" priority="151" operator="lessThan">
      <formula>0</formula>
    </cfRule>
    <cfRule type="cellIs" dxfId="506" priority="152" operator="greaterThan">
      <formula>0</formula>
    </cfRule>
  </conditionalFormatting>
  <conditionalFormatting sqref="AI54:AK55 AQ54:AS55 AM55:AN55">
    <cfRule type="cellIs" dxfId="505" priority="145" operator="lessThan">
      <formula>0</formula>
    </cfRule>
    <cfRule type="cellIs" dxfId="504" priority="146" operator="greaterThan">
      <formula>0</formula>
    </cfRule>
  </conditionalFormatting>
  <conditionalFormatting sqref="AI62:AK62 AM62:AN62 AQ62:AS62">
    <cfRule type="cellIs" dxfId="503" priority="139" operator="lessThan">
      <formula>0</formula>
    </cfRule>
    <cfRule type="cellIs" dxfId="502" priority="140" operator="greaterThan">
      <formula>0</formula>
    </cfRule>
  </conditionalFormatting>
  <conditionalFormatting sqref="AI68:AK69">
    <cfRule type="cellIs" dxfId="501" priority="131" operator="lessThan">
      <formula>0</formula>
    </cfRule>
    <cfRule type="cellIs" dxfId="500" priority="132" operator="greaterThan">
      <formula>0</formula>
    </cfRule>
  </conditionalFormatting>
  <conditionalFormatting sqref="AI90:AK91 AQ90:AS91 AM91:AN91">
    <cfRule type="cellIs" dxfId="499" priority="113" operator="lessThan">
      <formula>0</formula>
    </cfRule>
    <cfRule type="cellIs" dxfId="498" priority="114" operator="greaterThan">
      <formula>0</formula>
    </cfRule>
  </conditionalFormatting>
  <conditionalFormatting sqref="AI97:AK98 AQ97:AS98 AM98:AN98">
    <cfRule type="cellIs" dxfId="497" priority="101" operator="lessThan">
      <formula>0</formula>
    </cfRule>
    <cfRule type="cellIs" dxfId="496" priority="102" operator="greaterThan">
      <formula>0</formula>
    </cfRule>
  </conditionalFormatting>
  <conditionalFormatting sqref="AI104:AK105">
    <cfRule type="cellIs" dxfId="495" priority="109" operator="lessThan">
      <formula>0</formula>
    </cfRule>
    <cfRule type="cellIs" dxfId="494" priority="110" operator="greaterThan">
      <formula>0</formula>
    </cfRule>
  </conditionalFormatting>
  <conditionalFormatting sqref="AI111:AK111">
    <cfRule type="cellIs" dxfId="493" priority="183" operator="lessThan">
      <formula>0</formula>
    </cfRule>
    <cfRule type="cellIs" dxfId="492" priority="184" operator="greaterThan">
      <formula>0</formula>
    </cfRule>
  </conditionalFormatting>
  <conditionalFormatting sqref="AI118:AK118 AM118:AO118">
    <cfRule type="cellIs" dxfId="491" priority="227" operator="lessThan">
      <formula>0</formula>
    </cfRule>
    <cfRule type="cellIs" dxfId="490" priority="228" operator="greaterThan">
      <formula>0</formula>
    </cfRule>
  </conditionalFormatting>
  <conditionalFormatting sqref="AI125:AK126">
    <cfRule type="cellIs" dxfId="489" priority="225" operator="lessThan">
      <formula>0</formula>
    </cfRule>
    <cfRule type="cellIs" dxfId="488" priority="226" operator="greaterThan">
      <formula>0</formula>
    </cfRule>
  </conditionalFormatting>
  <conditionalFormatting sqref="AI132:AK132">
    <cfRule type="cellIs" dxfId="487" priority="181" operator="lessThan">
      <formula>0</formula>
    </cfRule>
    <cfRule type="cellIs" dxfId="486" priority="182" operator="greaterThan">
      <formula>0</formula>
    </cfRule>
  </conditionalFormatting>
  <conditionalFormatting sqref="AI133:AK133">
    <cfRule type="cellIs" dxfId="485" priority="223" operator="lessThan">
      <formula>0</formula>
    </cfRule>
    <cfRule type="cellIs" dxfId="484" priority="224" operator="greaterThan">
      <formula>0</formula>
    </cfRule>
  </conditionalFormatting>
  <conditionalFormatting sqref="AI139:AK139">
    <cfRule type="cellIs" dxfId="483" priority="221" operator="lessThan">
      <formula>0</formula>
    </cfRule>
    <cfRule type="cellIs" dxfId="482" priority="222" operator="greaterThan">
      <formula>0</formula>
    </cfRule>
  </conditionalFormatting>
  <conditionalFormatting sqref="AI146:AK146">
    <cfRule type="cellIs" dxfId="481" priority="11" operator="lessThan">
      <formula>0</formula>
    </cfRule>
    <cfRule type="cellIs" dxfId="480" priority="12" operator="greaterThan">
      <formula>0</formula>
    </cfRule>
  </conditionalFormatting>
  <conditionalFormatting sqref="AI153:AK153">
    <cfRule type="cellIs" dxfId="479" priority="5" operator="lessThan">
      <formula>0</formula>
    </cfRule>
    <cfRule type="cellIs" dxfId="478" priority="6" operator="greaterThan">
      <formula>0</formula>
    </cfRule>
  </conditionalFormatting>
  <conditionalFormatting sqref="AI160:AK161 AM160:AO161 AQ160:AS161">
    <cfRule type="cellIs" dxfId="477" priority="179" operator="lessThan">
      <formula>0</formula>
    </cfRule>
    <cfRule type="cellIs" dxfId="476" priority="180" operator="greaterThan">
      <formula>0</formula>
    </cfRule>
  </conditionalFormatting>
  <conditionalFormatting sqref="AI6:AT6 AI165:AK165">
    <cfRule type="cellIs" dxfId="475" priority="241" operator="lessThan">
      <formula>0</formula>
    </cfRule>
    <cfRule type="cellIs" dxfId="474" priority="242" operator="greaterThan">
      <formula>0</formula>
    </cfRule>
  </conditionalFormatting>
  <conditionalFormatting sqref="AI13:AT13">
    <cfRule type="cellIs" dxfId="473" priority="219" operator="lessThan">
      <formula>0</formula>
    </cfRule>
    <cfRule type="cellIs" dxfId="472" priority="220" operator="greaterThan">
      <formula>0</formula>
    </cfRule>
  </conditionalFormatting>
  <conditionalFormatting sqref="AI20:AT20">
    <cfRule type="cellIs" dxfId="471" priority="217" operator="lessThan">
      <formula>0</formula>
    </cfRule>
    <cfRule type="cellIs" dxfId="470" priority="218" operator="greaterThan">
      <formula>0</formula>
    </cfRule>
  </conditionalFormatting>
  <conditionalFormatting sqref="AI27:AT27">
    <cfRule type="cellIs" dxfId="469" priority="193" operator="lessThan">
      <formula>0</formula>
    </cfRule>
    <cfRule type="cellIs" dxfId="468" priority="194" operator="greaterThan">
      <formula>0</formula>
    </cfRule>
  </conditionalFormatting>
  <conditionalFormatting sqref="AI36:AT36">
    <cfRule type="cellIs" dxfId="467" priority="21" operator="lessThan">
      <formula>0</formula>
    </cfRule>
    <cfRule type="cellIs" dxfId="466" priority="22" operator="greaterThan">
      <formula>0</formula>
    </cfRule>
  </conditionalFormatting>
  <conditionalFormatting sqref="AI46:AT46">
    <cfRule type="cellIs" dxfId="465" priority="185" operator="lessThan">
      <formula>0</formula>
    </cfRule>
    <cfRule type="cellIs" dxfId="464" priority="186" operator="greaterThan">
      <formula>0</formula>
    </cfRule>
  </conditionalFormatting>
  <conditionalFormatting sqref="AI53:AT53">
    <cfRule type="cellIs" dxfId="463" priority="215" operator="lessThan">
      <formula>0</formula>
    </cfRule>
    <cfRule type="cellIs" dxfId="462" priority="216" operator="greaterThan">
      <formula>0</formula>
    </cfRule>
  </conditionalFormatting>
  <conditionalFormatting sqref="AI60:AT60">
    <cfRule type="cellIs" dxfId="461" priority="213" operator="lessThan">
      <formula>0</formula>
    </cfRule>
    <cfRule type="cellIs" dxfId="460" priority="214" operator="greaterThan">
      <formula>0</formula>
    </cfRule>
  </conditionalFormatting>
  <conditionalFormatting sqref="AI67:AT67">
    <cfRule type="cellIs" dxfId="459" priority="211" operator="lessThan">
      <formula>0</formula>
    </cfRule>
    <cfRule type="cellIs" dxfId="458" priority="212" operator="greaterThan">
      <formula>0</formula>
    </cfRule>
  </conditionalFormatting>
  <conditionalFormatting sqref="AI74:AT74">
    <cfRule type="cellIs" dxfId="457" priority="209" operator="lessThan">
      <formula>0</formula>
    </cfRule>
    <cfRule type="cellIs" dxfId="456" priority="210" operator="greaterThan">
      <formula>0</formula>
    </cfRule>
  </conditionalFormatting>
  <conditionalFormatting sqref="AI81:AT81">
    <cfRule type="cellIs" dxfId="455" priority="207" operator="lessThan">
      <formula>0</formula>
    </cfRule>
    <cfRule type="cellIs" dxfId="454" priority="208" operator="greaterThan">
      <formula>0</formula>
    </cfRule>
  </conditionalFormatting>
  <conditionalFormatting sqref="AI89:AT89">
    <cfRule type="cellIs" dxfId="453" priority="205" operator="lessThan">
      <formula>0</formula>
    </cfRule>
    <cfRule type="cellIs" dxfId="452" priority="206" operator="greaterThan">
      <formula>0</formula>
    </cfRule>
  </conditionalFormatting>
  <conditionalFormatting sqref="AI96:AT96">
    <cfRule type="cellIs" dxfId="451" priority="203" operator="lessThan">
      <formula>0</formula>
    </cfRule>
    <cfRule type="cellIs" dxfId="450" priority="204" operator="greaterThan">
      <formula>0</formula>
    </cfRule>
  </conditionalFormatting>
  <conditionalFormatting sqref="AI103:AT103">
    <cfRule type="cellIs" dxfId="449" priority="201" operator="lessThan">
      <formula>0</formula>
    </cfRule>
    <cfRule type="cellIs" dxfId="448" priority="202" operator="greaterThan">
      <formula>0</formula>
    </cfRule>
  </conditionalFormatting>
  <conditionalFormatting sqref="AI110:AT110">
    <cfRule type="cellIs" dxfId="447" priority="199" operator="lessThan">
      <formula>0</formula>
    </cfRule>
    <cfRule type="cellIs" dxfId="446" priority="200" operator="greaterThan">
      <formula>0</formula>
    </cfRule>
  </conditionalFormatting>
  <conditionalFormatting sqref="AI117:AT117">
    <cfRule type="cellIs" dxfId="445" priority="187" operator="lessThan">
      <formula>0</formula>
    </cfRule>
    <cfRule type="cellIs" dxfId="444" priority="188" operator="greaterThan">
      <formula>0</formula>
    </cfRule>
  </conditionalFormatting>
  <conditionalFormatting sqref="AI124:AT124">
    <cfRule type="cellIs" dxfId="443" priority="197" operator="lessThan">
      <formula>0</formula>
    </cfRule>
    <cfRule type="cellIs" dxfId="442" priority="198" operator="greaterThan">
      <formula>0</formula>
    </cfRule>
  </conditionalFormatting>
  <conditionalFormatting sqref="AI131:AT131">
    <cfRule type="cellIs" dxfId="441" priority="191" operator="lessThan">
      <formula>0</formula>
    </cfRule>
    <cfRule type="cellIs" dxfId="440" priority="192" operator="greaterThan">
      <formula>0</formula>
    </cfRule>
  </conditionalFormatting>
  <conditionalFormatting sqref="AI138:AT138">
    <cfRule type="cellIs" dxfId="439" priority="189" operator="lessThan">
      <formula>0</formula>
    </cfRule>
    <cfRule type="cellIs" dxfId="438" priority="190" operator="greaterThan">
      <formula>0</formula>
    </cfRule>
  </conditionalFormatting>
  <conditionalFormatting sqref="AI145:AT145">
    <cfRule type="cellIs" dxfId="437" priority="9" operator="lessThan">
      <formula>0</formula>
    </cfRule>
    <cfRule type="cellIs" dxfId="436" priority="10" operator="greaterThan">
      <formula>0</formula>
    </cfRule>
  </conditionalFormatting>
  <conditionalFormatting sqref="AI152:AT152">
    <cfRule type="cellIs" dxfId="435" priority="3" operator="lessThan">
      <formula>0</formula>
    </cfRule>
    <cfRule type="cellIs" dxfId="434" priority="4" operator="greaterThan">
      <formula>0</formula>
    </cfRule>
  </conditionalFormatting>
  <conditionalFormatting sqref="AI159:AT159">
    <cfRule type="cellIs" dxfId="433" priority="195" operator="lessThan">
      <formula>0</formula>
    </cfRule>
    <cfRule type="cellIs" dxfId="432" priority="196" operator="greaterThan">
      <formula>0</formula>
    </cfRule>
  </conditionalFormatting>
  <conditionalFormatting sqref="AL8">
    <cfRule type="cellIs" dxfId="431" priority="173" operator="lessThan">
      <formula>0</formula>
    </cfRule>
    <cfRule type="cellIs" dxfId="430" priority="174" operator="greaterThan">
      <formula>0</formula>
    </cfRule>
  </conditionalFormatting>
  <conditionalFormatting sqref="AL15">
    <cfRule type="cellIs" dxfId="429" priority="171" operator="lessThan">
      <formula>0</formula>
    </cfRule>
    <cfRule type="cellIs" dxfId="428" priority="172" operator="greaterThan">
      <formula>0</formula>
    </cfRule>
  </conditionalFormatting>
  <conditionalFormatting sqref="AL22">
    <cfRule type="cellIs" dxfId="427" priority="163" operator="lessThan">
      <formula>0</formula>
    </cfRule>
    <cfRule type="cellIs" dxfId="426" priority="164" operator="greaterThan">
      <formula>0</formula>
    </cfRule>
  </conditionalFormatting>
  <conditionalFormatting sqref="AL29:AL31 AL38:AL41">
    <cfRule type="cellIs" dxfId="425" priority="155" operator="lessThan">
      <formula>0</formula>
    </cfRule>
    <cfRule type="cellIs" dxfId="424" priority="156" operator="greaterThan">
      <formula>0</formula>
    </cfRule>
  </conditionalFormatting>
  <conditionalFormatting sqref="AL48">
    <cfRule type="cellIs" dxfId="423" priority="149" operator="lessThan">
      <formula>0</formula>
    </cfRule>
    <cfRule type="cellIs" dxfId="422" priority="150" operator="greaterThan">
      <formula>0</formula>
    </cfRule>
  </conditionalFormatting>
  <conditionalFormatting sqref="AL55">
    <cfRule type="cellIs" dxfId="421" priority="143" operator="lessThan">
      <formula>0</formula>
    </cfRule>
    <cfRule type="cellIs" dxfId="420" priority="144" operator="greaterThan">
      <formula>0</formula>
    </cfRule>
  </conditionalFormatting>
  <conditionalFormatting sqref="AL62">
    <cfRule type="cellIs" dxfId="419" priority="137" operator="lessThan">
      <formula>0</formula>
    </cfRule>
    <cfRule type="cellIs" dxfId="418" priority="138" operator="greaterThan">
      <formula>0</formula>
    </cfRule>
  </conditionalFormatting>
  <conditionalFormatting sqref="AL69">
    <cfRule type="cellIs" dxfId="417" priority="17" operator="lessThan">
      <formula>0</formula>
    </cfRule>
    <cfRule type="cellIs" dxfId="416" priority="18" operator="greaterThan">
      <formula>0</formula>
    </cfRule>
  </conditionalFormatting>
  <conditionalFormatting sqref="AL76">
    <cfRule type="cellIs" dxfId="415" priority="127" operator="lessThan">
      <formula>0</formula>
    </cfRule>
    <cfRule type="cellIs" dxfId="414" priority="128" operator="greaterThan">
      <formula>0</formula>
    </cfRule>
  </conditionalFormatting>
  <conditionalFormatting sqref="AL83">
    <cfRule type="cellIs" dxfId="413" priority="119" operator="lessThan">
      <formula>0</formula>
    </cfRule>
    <cfRule type="cellIs" dxfId="412" priority="120" operator="greaterThan">
      <formula>0</formula>
    </cfRule>
  </conditionalFormatting>
  <conditionalFormatting sqref="AL91">
    <cfRule type="cellIs" dxfId="411" priority="111" operator="lessThan">
      <formula>0</formula>
    </cfRule>
    <cfRule type="cellIs" dxfId="410" priority="112" operator="greaterThan">
      <formula>0</formula>
    </cfRule>
  </conditionalFormatting>
  <conditionalFormatting sqref="AL98">
    <cfRule type="cellIs" dxfId="409" priority="99" operator="lessThan">
      <formula>0</formula>
    </cfRule>
    <cfRule type="cellIs" dxfId="408" priority="100" operator="greaterThan">
      <formula>0</formula>
    </cfRule>
  </conditionalFormatting>
  <conditionalFormatting sqref="AL105">
    <cfRule type="cellIs" dxfId="407" priority="103" operator="lessThan">
      <formula>0</formula>
    </cfRule>
    <cfRule type="cellIs" dxfId="406" priority="104" operator="greaterThan">
      <formula>0</formula>
    </cfRule>
  </conditionalFormatting>
  <conditionalFormatting sqref="AL112">
    <cfRule type="cellIs" dxfId="405" priority="93" operator="lessThan">
      <formula>0</formula>
    </cfRule>
    <cfRule type="cellIs" dxfId="404" priority="94" operator="greaterThan">
      <formula>0</formula>
    </cfRule>
  </conditionalFormatting>
  <conditionalFormatting sqref="AL119">
    <cfRule type="cellIs" dxfId="403" priority="85" operator="lessThan">
      <formula>0</formula>
    </cfRule>
    <cfRule type="cellIs" dxfId="402" priority="86" operator="greaterThan">
      <formula>0</formula>
    </cfRule>
  </conditionalFormatting>
  <conditionalFormatting sqref="AL126">
    <cfRule type="cellIs" dxfId="401" priority="75" operator="lessThan">
      <formula>0</formula>
    </cfRule>
    <cfRule type="cellIs" dxfId="400" priority="76" operator="greaterThan">
      <formula>0</formula>
    </cfRule>
  </conditionalFormatting>
  <conditionalFormatting sqref="AL133">
    <cfRule type="cellIs" dxfId="399" priority="65" operator="lessThan">
      <formula>0</formula>
    </cfRule>
    <cfRule type="cellIs" dxfId="398" priority="66" operator="greaterThan">
      <formula>0</formula>
    </cfRule>
  </conditionalFormatting>
  <conditionalFormatting sqref="AL140 AL147 AL154">
    <cfRule type="cellIs" dxfId="397" priority="55" operator="lessThan">
      <formula>0</formula>
    </cfRule>
    <cfRule type="cellIs" dxfId="396" priority="56" operator="greaterThan">
      <formula>0</formula>
    </cfRule>
  </conditionalFormatting>
  <conditionalFormatting sqref="AL161">
    <cfRule type="cellIs" dxfId="395" priority="51" operator="lessThan">
      <formula>0</formula>
    </cfRule>
    <cfRule type="cellIs" dxfId="394" priority="52" operator="greaterThan">
      <formula>0</formula>
    </cfRule>
  </conditionalFormatting>
  <conditionalFormatting sqref="AM21:AO21">
    <cfRule type="cellIs" dxfId="393" priority="239" operator="lessThan">
      <formula>0</formula>
    </cfRule>
    <cfRule type="cellIs" dxfId="392" priority="240" operator="greaterThan">
      <formula>0</formula>
    </cfRule>
  </conditionalFormatting>
  <conditionalFormatting sqref="AM47:AO47">
    <cfRule type="cellIs" dxfId="391" priority="237" operator="lessThan">
      <formula>0</formula>
    </cfRule>
    <cfRule type="cellIs" dxfId="390" priority="238" operator="greaterThan">
      <formula>0</formula>
    </cfRule>
  </conditionalFormatting>
  <conditionalFormatting sqref="AM54:AO54">
    <cfRule type="cellIs" dxfId="389" priority="235" operator="lessThan">
      <formula>0</formula>
    </cfRule>
    <cfRule type="cellIs" dxfId="388" priority="236" operator="greaterThan">
      <formula>0</formula>
    </cfRule>
  </conditionalFormatting>
  <conditionalFormatting sqref="AM68:AO68">
    <cfRule type="cellIs" dxfId="387" priority="233" operator="lessThan">
      <formula>0</formula>
    </cfRule>
    <cfRule type="cellIs" dxfId="386" priority="234" operator="greaterThan">
      <formula>0</formula>
    </cfRule>
  </conditionalFormatting>
  <conditionalFormatting sqref="AM75:AO75">
    <cfRule type="cellIs" dxfId="385" priority="177" operator="lessThan">
      <formula>0</formula>
    </cfRule>
    <cfRule type="cellIs" dxfId="384" priority="178" operator="greaterThan">
      <formula>0</formula>
    </cfRule>
  </conditionalFormatting>
  <conditionalFormatting sqref="AM82:AO82">
    <cfRule type="cellIs" dxfId="383" priority="175" operator="lessThan">
      <formula>0</formula>
    </cfRule>
    <cfRule type="cellIs" dxfId="382" priority="176" operator="greaterThan">
      <formula>0</formula>
    </cfRule>
  </conditionalFormatting>
  <conditionalFormatting sqref="AM90:AO90">
    <cfRule type="cellIs" dxfId="381" priority="231" operator="lessThan">
      <formula>0</formula>
    </cfRule>
    <cfRule type="cellIs" dxfId="380" priority="232" operator="greaterThan">
      <formula>0</formula>
    </cfRule>
  </conditionalFormatting>
  <conditionalFormatting sqref="AM97:AO97">
    <cfRule type="cellIs" dxfId="379" priority="229" operator="lessThan">
      <formula>0</formula>
    </cfRule>
    <cfRule type="cellIs" dxfId="378" priority="230" operator="greaterThan">
      <formula>0</formula>
    </cfRule>
  </conditionalFormatting>
  <conditionalFormatting sqref="AM104:AO104">
    <cfRule type="cellIs" dxfId="377" priority="107" operator="lessThan">
      <formula>0</formula>
    </cfRule>
    <cfRule type="cellIs" dxfId="376" priority="108" operator="greaterThan">
      <formula>0</formula>
    </cfRule>
  </conditionalFormatting>
  <conditionalFormatting sqref="AM111:AO111">
    <cfRule type="cellIs" dxfId="375" priority="97" operator="lessThan">
      <formula>0</formula>
    </cfRule>
    <cfRule type="cellIs" dxfId="374" priority="98" operator="greaterThan">
      <formula>0</formula>
    </cfRule>
  </conditionalFormatting>
  <conditionalFormatting sqref="AM125:AO125">
    <cfRule type="cellIs" dxfId="373" priority="79" operator="lessThan">
      <formula>0</formula>
    </cfRule>
    <cfRule type="cellIs" dxfId="372" priority="80" operator="greaterThan">
      <formula>0</formula>
    </cfRule>
  </conditionalFormatting>
  <conditionalFormatting sqref="AM132:AO132">
    <cfRule type="cellIs" dxfId="371" priority="69" operator="lessThan">
      <formula>0</formula>
    </cfRule>
    <cfRule type="cellIs" dxfId="370" priority="70" operator="greaterThan">
      <formula>0</formula>
    </cfRule>
  </conditionalFormatting>
  <conditionalFormatting sqref="AM139:AO139">
    <cfRule type="cellIs" dxfId="369" priority="59" operator="lessThan">
      <formula>0</formula>
    </cfRule>
    <cfRule type="cellIs" dxfId="368" priority="60" operator="greaterThan">
      <formula>0</formula>
    </cfRule>
  </conditionalFormatting>
  <conditionalFormatting sqref="AM146:AO146">
    <cfRule type="cellIs" dxfId="367" priority="7" operator="lessThan">
      <formula>0</formula>
    </cfRule>
    <cfRule type="cellIs" dxfId="366" priority="8" operator="greaterThan">
      <formula>0</formula>
    </cfRule>
  </conditionalFormatting>
  <conditionalFormatting sqref="AM153:AO153">
    <cfRule type="cellIs" dxfId="365" priority="1" operator="lessThan">
      <formula>0</formula>
    </cfRule>
    <cfRule type="cellIs" dxfId="364" priority="2" operator="greaterThan">
      <formula>0</formula>
    </cfRule>
  </conditionalFormatting>
  <conditionalFormatting sqref="AP8">
    <cfRule type="cellIs" dxfId="363" priority="169" operator="lessThan">
      <formula>0</formula>
    </cfRule>
    <cfRule type="cellIs" dxfId="362" priority="170" operator="greaterThan">
      <formula>0</formula>
    </cfRule>
  </conditionalFormatting>
  <conditionalFormatting sqref="AP15">
    <cfRule type="cellIs" dxfId="361" priority="43" operator="lessThan">
      <formula>0</formula>
    </cfRule>
    <cfRule type="cellIs" dxfId="360" priority="44" operator="greaterThan">
      <formula>0</formula>
    </cfRule>
  </conditionalFormatting>
  <conditionalFormatting sqref="AP22">
    <cfRule type="cellIs" dxfId="359" priority="161" operator="lessThan">
      <formula>0</formula>
    </cfRule>
    <cfRule type="cellIs" dxfId="358" priority="162" operator="greaterThan">
      <formula>0</formula>
    </cfRule>
  </conditionalFormatting>
  <conditionalFormatting sqref="AP29:AP31 AP38:AP41">
    <cfRule type="cellIs" dxfId="357" priority="39" operator="lessThan">
      <formula>0</formula>
    </cfRule>
    <cfRule type="cellIs" dxfId="356" priority="40" operator="greaterThan">
      <formula>0</formula>
    </cfRule>
  </conditionalFormatting>
  <conditionalFormatting sqref="AP48">
    <cfRule type="cellIs" dxfId="355" priority="37" operator="lessThan">
      <formula>0</formula>
    </cfRule>
    <cfRule type="cellIs" dxfId="354" priority="38" operator="greaterThan">
      <formula>0</formula>
    </cfRule>
  </conditionalFormatting>
  <conditionalFormatting sqref="AP55">
    <cfRule type="cellIs" dxfId="353" priority="35" operator="lessThan">
      <formula>0</formula>
    </cfRule>
    <cfRule type="cellIs" dxfId="352" priority="36" operator="greaterThan">
      <formula>0</formula>
    </cfRule>
  </conditionalFormatting>
  <conditionalFormatting sqref="AP62">
    <cfRule type="cellIs" dxfId="351" priority="135" operator="lessThan">
      <formula>0</formula>
    </cfRule>
    <cfRule type="cellIs" dxfId="350" priority="136" operator="greaterThan">
      <formula>0</formula>
    </cfRule>
  </conditionalFormatting>
  <conditionalFormatting sqref="AP69">
    <cfRule type="cellIs" dxfId="349" priority="15" operator="lessThan">
      <formula>0</formula>
    </cfRule>
    <cfRule type="cellIs" dxfId="348" priority="16" operator="greaterThan">
      <formula>0</formula>
    </cfRule>
  </conditionalFormatting>
  <conditionalFormatting sqref="AP76">
    <cfRule type="cellIs" dxfId="347" priority="125" operator="lessThan">
      <formula>0</formula>
    </cfRule>
    <cfRule type="cellIs" dxfId="346" priority="126" operator="greaterThan">
      <formula>0</formula>
    </cfRule>
  </conditionalFormatting>
  <conditionalFormatting sqref="AP83">
    <cfRule type="cellIs" dxfId="345" priority="117" operator="lessThan">
      <formula>0</formula>
    </cfRule>
    <cfRule type="cellIs" dxfId="344" priority="118" operator="greaterThan">
      <formula>0</formula>
    </cfRule>
  </conditionalFormatting>
  <conditionalFormatting sqref="AP91">
    <cfRule type="cellIs" dxfId="343" priority="33" operator="lessThan">
      <formula>0</formula>
    </cfRule>
    <cfRule type="cellIs" dxfId="342" priority="34" operator="greaterThan">
      <formula>0</formula>
    </cfRule>
  </conditionalFormatting>
  <conditionalFormatting sqref="AP98">
    <cfRule type="cellIs" dxfId="341" priority="31" operator="lessThan">
      <formula>0</formula>
    </cfRule>
    <cfRule type="cellIs" dxfId="340" priority="32" operator="greaterThan">
      <formula>0</formula>
    </cfRule>
  </conditionalFormatting>
  <conditionalFormatting sqref="AP105">
    <cfRule type="cellIs" dxfId="339" priority="27" operator="lessThan">
      <formula>0</formula>
    </cfRule>
    <cfRule type="cellIs" dxfId="338" priority="28" operator="greaterThan">
      <formula>0</formula>
    </cfRule>
  </conditionalFormatting>
  <conditionalFormatting sqref="AP112">
    <cfRule type="cellIs" dxfId="337" priority="25" operator="lessThan">
      <formula>0</formula>
    </cfRule>
    <cfRule type="cellIs" dxfId="336" priority="26" operator="greaterThan">
      <formula>0</formula>
    </cfRule>
  </conditionalFormatting>
  <conditionalFormatting sqref="AP119">
    <cfRule type="cellIs" dxfId="335" priority="83" operator="lessThan">
      <formula>0</formula>
    </cfRule>
    <cfRule type="cellIs" dxfId="334" priority="84" operator="greaterThan">
      <formula>0</formula>
    </cfRule>
  </conditionalFormatting>
  <conditionalFormatting sqref="AP126">
    <cfRule type="cellIs" dxfId="333" priority="73" operator="lessThan">
      <formula>0</formula>
    </cfRule>
    <cfRule type="cellIs" dxfId="332" priority="74" operator="greaterThan">
      <formula>0</formula>
    </cfRule>
  </conditionalFormatting>
  <conditionalFormatting sqref="AP133">
    <cfRule type="cellIs" dxfId="331" priority="63" operator="lessThan">
      <formula>0</formula>
    </cfRule>
    <cfRule type="cellIs" dxfId="330" priority="64" operator="greaterThan">
      <formula>0</formula>
    </cfRule>
  </conditionalFormatting>
  <conditionalFormatting sqref="AP140 AP147 AP154">
    <cfRule type="cellIs" dxfId="329" priority="23" operator="lessThan">
      <formula>0</formula>
    </cfRule>
    <cfRule type="cellIs" dxfId="328" priority="24" operator="greaterThan">
      <formula>0</formula>
    </cfRule>
  </conditionalFormatting>
  <conditionalFormatting sqref="AP161">
    <cfRule type="cellIs" dxfId="327" priority="47" operator="lessThan">
      <formula>0</formula>
    </cfRule>
    <cfRule type="cellIs" dxfId="326" priority="48" operator="greaterThan">
      <formula>0</formula>
    </cfRule>
  </conditionalFormatting>
  <conditionalFormatting sqref="AQ68:AS69 AM69:AN69">
    <cfRule type="cellIs" dxfId="325" priority="19" operator="lessThan">
      <formula>0</formula>
    </cfRule>
    <cfRule type="cellIs" dxfId="324" priority="20" operator="greaterThan">
      <formula>0</formula>
    </cfRule>
  </conditionalFormatting>
  <conditionalFormatting sqref="AQ75:AS76 AI76:AK76 AM76:AN76">
    <cfRule type="cellIs" dxfId="323" priority="129" operator="lessThan">
      <formula>0</formula>
    </cfRule>
    <cfRule type="cellIs" dxfId="322" priority="130" operator="greaterThan">
      <formula>0</formula>
    </cfRule>
  </conditionalFormatting>
  <conditionalFormatting sqref="AQ82:AS83 AI83:AK83 AM83:AN83">
    <cfRule type="cellIs" dxfId="321" priority="121" operator="lessThan">
      <formula>0</formula>
    </cfRule>
    <cfRule type="cellIs" dxfId="320" priority="122" operator="greaterThan">
      <formula>0</formula>
    </cfRule>
  </conditionalFormatting>
  <conditionalFormatting sqref="AQ104:AS105 AM105:AN105">
    <cfRule type="cellIs" dxfId="319" priority="105" operator="lessThan">
      <formula>0</formula>
    </cfRule>
    <cfRule type="cellIs" dxfId="318" priority="106" operator="greaterThan">
      <formula>0</formula>
    </cfRule>
  </conditionalFormatting>
  <conditionalFormatting sqref="AQ111:AS112 AM112:AN112">
    <cfRule type="cellIs" dxfId="317" priority="95" operator="lessThan">
      <formula>0</formula>
    </cfRule>
    <cfRule type="cellIs" dxfId="316" priority="96" operator="greaterThan">
      <formula>0</formula>
    </cfRule>
  </conditionalFormatting>
  <conditionalFormatting sqref="AQ118:AS119 AM119:AN119">
    <cfRule type="cellIs" dxfId="315" priority="87" operator="lessThan">
      <formula>0</formula>
    </cfRule>
    <cfRule type="cellIs" dxfId="314" priority="88" operator="greaterThan">
      <formula>0</formula>
    </cfRule>
  </conditionalFormatting>
  <conditionalFormatting sqref="AQ125:AS126 AM126:AN126">
    <cfRule type="cellIs" dxfId="313" priority="77" operator="lessThan">
      <formula>0</formula>
    </cfRule>
    <cfRule type="cellIs" dxfId="312" priority="78" operator="greaterThan">
      <formula>0</formula>
    </cfRule>
  </conditionalFormatting>
  <conditionalFormatting sqref="AQ132:AS133 AM133:AN133">
    <cfRule type="cellIs" dxfId="311" priority="67" operator="lessThan">
      <formula>0</formula>
    </cfRule>
    <cfRule type="cellIs" dxfId="310" priority="68" operator="greaterThan">
      <formula>0</formula>
    </cfRule>
  </conditionalFormatting>
  <conditionalFormatting sqref="AQ139:AS140 AM140:AN140 AQ146:AS147 AM147:AN147 AQ153:AS154 AM154:AN154">
    <cfRule type="cellIs" dxfId="309" priority="57" operator="lessThan">
      <formula>0</formula>
    </cfRule>
    <cfRule type="cellIs" dxfId="308" priority="58" operator="greaterThan">
      <formula>0</formula>
    </cfRule>
  </conditionalFormatting>
  <conditionalFormatting sqref="AT8">
    <cfRule type="cellIs" dxfId="307" priority="167" operator="lessThan">
      <formula>0</formula>
    </cfRule>
    <cfRule type="cellIs" dxfId="306" priority="168" operator="greaterThan">
      <formula>0</formula>
    </cfRule>
  </conditionalFormatting>
  <conditionalFormatting sqref="AT15">
    <cfRule type="cellIs" dxfId="305" priority="41" operator="lessThan">
      <formula>0</formula>
    </cfRule>
    <cfRule type="cellIs" dxfId="304" priority="42" operator="greaterThan">
      <formula>0</formula>
    </cfRule>
  </conditionalFormatting>
  <conditionalFormatting sqref="AT22">
    <cfRule type="cellIs" dxfId="303" priority="159" operator="lessThan">
      <formula>0</formula>
    </cfRule>
    <cfRule type="cellIs" dxfId="302" priority="160" operator="greaterThan">
      <formula>0</formula>
    </cfRule>
  </conditionalFormatting>
  <conditionalFormatting sqref="AT29:AT31 AT38:AT41">
    <cfRule type="cellIs" dxfId="301" priority="153" operator="lessThan">
      <formula>0</formula>
    </cfRule>
    <cfRule type="cellIs" dxfId="300" priority="154" operator="greaterThan">
      <formula>0</formula>
    </cfRule>
  </conditionalFormatting>
  <conditionalFormatting sqref="AT48">
    <cfRule type="cellIs" dxfId="299" priority="147" operator="lessThan">
      <formula>0</formula>
    </cfRule>
    <cfRule type="cellIs" dxfId="298" priority="148" operator="greaterThan">
      <formula>0</formula>
    </cfRule>
  </conditionalFormatting>
  <conditionalFormatting sqref="AT55">
    <cfRule type="cellIs" dxfId="297" priority="141" operator="lessThan">
      <formula>0</formula>
    </cfRule>
    <cfRule type="cellIs" dxfId="296" priority="142" operator="greaterThan">
      <formula>0</formula>
    </cfRule>
  </conditionalFormatting>
  <conditionalFormatting sqref="AT62">
    <cfRule type="cellIs" dxfId="295" priority="133" operator="lessThan">
      <formula>0</formula>
    </cfRule>
    <cfRule type="cellIs" dxfId="294" priority="134" operator="greaterThan">
      <formula>0</formula>
    </cfRule>
  </conditionalFormatting>
  <conditionalFormatting sqref="AT69">
    <cfRule type="cellIs" dxfId="293" priority="13" operator="lessThan">
      <formula>0</formula>
    </cfRule>
    <cfRule type="cellIs" dxfId="292" priority="14" operator="greaterThan">
      <formula>0</formula>
    </cfRule>
  </conditionalFormatting>
  <conditionalFormatting sqref="AT76">
    <cfRule type="cellIs" dxfId="291" priority="123" operator="lessThan">
      <formula>0</formula>
    </cfRule>
    <cfRule type="cellIs" dxfId="290" priority="124" operator="greaterThan">
      <formula>0</formula>
    </cfRule>
  </conditionalFormatting>
  <conditionalFormatting sqref="AT83">
    <cfRule type="cellIs" dxfId="289" priority="115" operator="lessThan">
      <formula>0</formula>
    </cfRule>
    <cfRule type="cellIs" dxfId="288" priority="116" operator="greaterThan">
      <formula>0</formula>
    </cfRule>
  </conditionalFormatting>
  <conditionalFormatting sqref="AT91">
    <cfRule type="cellIs" dxfId="287" priority="49" operator="lessThan">
      <formula>0</formula>
    </cfRule>
    <cfRule type="cellIs" dxfId="286" priority="50" operator="greaterThan">
      <formula>0</formula>
    </cfRule>
  </conditionalFormatting>
  <conditionalFormatting sqref="AT98">
    <cfRule type="cellIs" dxfId="285" priority="29" operator="lessThan">
      <formula>0</formula>
    </cfRule>
    <cfRule type="cellIs" dxfId="284" priority="30" operator="greaterThan">
      <formula>0</formula>
    </cfRule>
  </conditionalFormatting>
  <conditionalFormatting sqref="AT105">
    <cfRule type="cellIs" dxfId="283" priority="89" operator="lessThan">
      <formula>0</formula>
    </cfRule>
    <cfRule type="cellIs" dxfId="282" priority="90" operator="greaterThan">
      <formula>0</formula>
    </cfRule>
  </conditionalFormatting>
  <conditionalFormatting sqref="AT112">
    <cfRule type="cellIs" dxfId="281" priority="91" operator="lessThan">
      <formula>0</formula>
    </cfRule>
    <cfRule type="cellIs" dxfId="280" priority="92" operator="greaterThan">
      <formula>0</formula>
    </cfRule>
  </conditionalFormatting>
  <conditionalFormatting sqref="AT119">
    <cfRule type="cellIs" dxfId="279" priority="81" operator="lessThan">
      <formula>0</formula>
    </cfRule>
    <cfRule type="cellIs" dxfId="278" priority="82" operator="greaterThan">
      <formula>0</formula>
    </cfRule>
  </conditionalFormatting>
  <conditionalFormatting sqref="AT126">
    <cfRule type="cellIs" dxfId="277" priority="71" operator="lessThan">
      <formula>0</formula>
    </cfRule>
    <cfRule type="cellIs" dxfId="276" priority="72" operator="greaterThan">
      <formula>0</formula>
    </cfRule>
  </conditionalFormatting>
  <conditionalFormatting sqref="AT133">
    <cfRule type="cellIs" dxfId="275" priority="61" operator="lessThan">
      <formula>0</formula>
    </cfRule>
    <cfRule type="cellIs" dxfId="274" priority="62" operator="greaterThan">
      <formula>0</formula>
    </cfRule>
  </conditionalFormatting>
  <conditionalFormatting sqref="AT140 AT147 AT154">
    <cfRule type="cellIs" dxfId="273" priority="53" operator="lessThan">
      <formula>0</formula>
    </cfRule>
    <cfRule type="cellIs" dxfId="272" priority="54" operator="greaterThan">
      <formula>0</formula>
    </cfRule>
  </conditionalFormatting>
  <conditionalFormatting sqref="AT161">
    <cfRule type="cellIs" dxfId="271" priority="45" operator="lessThan">
      <formula>0</formula>
    </cfRule>
    <cfRule type="cellIs" dxfId="270" priority="46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8FB8-7918-404E-942C-BBC8EACE5E0F}">
  <dimension ref="A1:M7"/>
  <sheetViews>
    <sheetView workbookViewId="0">
      <selection activeCell="D11" sqref="D11"/>
    </sheetView>
  </sheetViews>
  <sheetFormatPr defaultRowHeight="15"/>
  <cols>
    <col min="1" max="1" width="11.140625" bestFit="1" customWidth="1"/>
    <col min="2" max="13" width="10.7109375" customWidth="1"/>
  </cols>
  <sheetData>
    <row r="1" spans="1:13">
      <c r="A1" s="51"/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1299</v>
      </c>
      <c r="K1" s="51" t="s">
        <v>77</v>
      </c>
      <c r="L1" s="51" t="s">
        <v>78</v>
      </c>
      <c r="M1" s="51" t="s">
        <v>79</v>
      </c>
    </row>
    <row r="2" spans="1:13">
      <c r="A2" s="51" t="s">
        <v>1300</v>
      </c>
      <c r="B2" s="1010" t="s">
        <v>1301</v>
      </c>
      <c r="C2" s="1010" t="s">
        <v>1302</v>
      </c>
      <c r="D2" s="439" t="s">
        <v>1303</v>
      </c>
      <c r="E2" s="439" t="s">
        <v>1303</v>
      </c>
      <c r="F2" s="1011" t="s">
        <v>1306</v>
      </c>
      <c r="G2" s="1011"/>
      <c r="H2" s="1011"/>
      <c r="I2" s="1011"/>
      <c r="J2" s="1011"/>
      <c r="K2" s="1011"/>
      <c r="L2" s="1011"/>
      <c r="M2" s="1011"/>
    </row>
    <row r="3" spans="1:13">
      <c r="A3" s="51" t="s">
        <v>1304</v>
      </c>
      <c r="B3" s="1010" t="s">
        <v>1301</v>
      </c>
      <c r="C3" s="1010" t="s">
        <v>1302</v>
      </c>
      <c r="D3" s="439" t="s">
        <v>1303</v>
      </c>
      <c r="E3" s="439" t="s">
        <v>1303</v>
      </c>
      <c r="F3" s="439" t="s">
        <v>1303</v>
      </c>
      <c r="G3" s="439" t="s">
        <v>1303</v>
      </c>
      <c r="H3" s="439" t="s">
        <v>1303</v>
      </c>
      <c r="I3" s="439" t="s">
        <v>1303</v>
      </c>
      <c r="J3" s="439" t="s">
        <v>1303</v>
      </c>
      <c r="K3" s="439" t="s">
        <v>1303</v>
      </c>
      <c r="L3" s="439" t="s">
        <v>1303</v>
      </c>
      <c r="M3" s="439" t="s">
        <v>1303</v>
      </c>
    </row>
    <row r="4" spans="1:13">
      <c r="A4" s="1012" t="s">
        <v>1304</v>
      </c>
      <c r="B4" s="1012"/>
      <c r="C4" s="1012"/>
      <c r="D4" s="1012" t="s">
        <v>1305</v>
      </c>
      <c r="E4" s="1012"/>
      <c r="F4" s="1012"/>
      <c r="G4" s="1012"/>
      <c r="H4" s="1012"/>
      <c r="I4" s="1012"/>
      <c r="J4" s="1012"/>
      <c r="K4" s="1012"/>
      <c r="L4" s="1012"/>
      <c r="M4" s="1012"/>
    </row>
    <row r="5" spans="1:13">
      <c r="A5" s="1012" t="s">
        <v>1304</v>
      </c>
      <c r="B5" s="1012"/>
      <c r="C5" s="1012"/>
      <c r="D5" s="1012" t="s">
        <v>1307</v>
      </c>
      <c r="E5" s="1012"/>
      <c r="F5" s="1012"/>
      <c r="G5" s="1012"/>
      <c r="H5" s="1012"/>
      <c r="I5" s="1012"/>
      <c r="J5" s="1012"/>
      <c r="K5" s="1012"/>
      <c r="L5" s="1012"/>
      <c r="M5" s="1012"/>
    </row>
    <row r="6" spans="1:13">
      <c r="A6" s="1012" t="s">
        <v>1304</v>
      </c>
      <c r="B6" s="1012"/>
      <c r="C6" s="1012"/>
      <c r="D6" s="1012" t="s">
        <v>1308</v>
      </c>
      <c r="E6" s="1012"/>
      <c r="F6" s="1012"/>
      <c r="G6" s="1012"/>
      <c r="H6" s="1012"/>
      <c r="I6" s="1012"/>
      <c r="J6" s="1012"/>
      <c r="K6" s="1012"/>
      <c r="L6" s="1012"/>
      <c r="M6" s="1012"/>
    </row>
    <row r="7" spans="1:13">
      <c r="A7" s="1012" t="s">
        <v>1304</v>
      </c>
      <c r="B7" s="1012"/>
      <c r="C7" s="1012"/>
      <c r="D7" s="1012" t="s">
        <v>201</v>
      </c>
      <c r="E7" s="1012"/>
      <c r="F7" s="1012"/>
      <c r="G7" s="1012"/>
      <c r="H7" s="1012"/>
      <c r="I7" s="1012"/>
      <c r="J7" s="1012"/>
      <c r="K7" s="1012"/>
      <c r="L7" s="1012"/>
      <c r="M7" s="10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64F1-8DFB-4F18-947F-3E17BA6C35BD}">
  <sheetPr codeName="Sheet10"/>
  <dimension ref="A1:I10"/>
  <sheetViews>
    <sheetView workbookViewId="0">
      <selection sqref="A1:G11"/>
    </sheetView>
  </sheetViews>
  <sheetFormatPr defaultRowHeight="15"/>
  <cols>
    <col min="1" max="1" width="11.42578125" customWidth="1"/>
    <col min="4" max="4" width="16" bestFit="1" customWidth="1"/>
  </cols>
  <sheetData>
    <row r="1" spans="1:9">
      <c r="A1" s="285" t="s">
        <v>737</v>
      </c>
      <c r="B1" s="285"/>
      <c r="C1" s="194"/>
      <c r="D1" s="194"/>
      <c r="E1" s="194"/>
      <c r="F1" s="194"/>
      <c r="G1" s="194"/>
      <c r="H1" s="194"/>
      <c r="I1" s="194"/>
    </row>
    <row r="2" spans="1:9" s="100" customFormat="1">
      <c r="A2" s="100" t="s">
        <v>738</v>
      </c>
      <c r="B2" s="100" t="s">
        <v>12</v>
      </c>
      <c r="C2" s="100" t="s">
        <v>739</v>
      </c>
      <c r="D2" s="100" t="s">
        <v>740</v>
      </c>
      <c r="E2" s="100" t="s">
        <v>741</v>
      </c>
    </row>
    <row r="3" spans="1:9">
      <c r="A3" t="s">
        <v>742</v>
      </c>
      <c r="B3" t="s">
        <v>742</v>
      </c>
      <c r="C3" t="s">
        <v>743</v>
      </c>
      <c r="D3" t="s">
        <v>744</v>
      </c>
    </row>
    <row r="4" spans="1:9">
      <c r="A4" t="s">
        <v>742</v>
      </c>
      <c r="B4" t="s">
        <v>742</v>
      </c>
      <c r="C4" t="s">
        <v>745</v>
      </c>
      <c r="D4" t="s">
        <v>746</v>
      </c>
    </row>
    <row r="5" spans="1:9">
      <c r="A5" t="s">
        <v>742</v>
      </c>
      <c r="B5" t="s">
        <v>742</v>
      </c>
      <c r="C5" t="s">
        <v>747</v>
      </c>
      <c r="D5" t="s">
        <v>748</v>
      </c>
    </row>
    <row r="8" spans="1:9">
      <c r="A8" s="285" t="s">
        <v>749</v>
      </c>
      <c r="B8" s="285"/>
      <c r="C8" s="194"/>
      <c r="D8" s="194"/>
      <c r="E8" s="194"/>
      <c r="F8" s="194"/>
      <c r="G8" s="194"/>
      <c r="H8" s="194"/>
      <c r="I8" s="194"/>
    </row>
    <row r="9" spans="1:9" s="100" customFormat="1">
      <c r="A9" s="100" t="s">
        <v>738</v>
      </c>
      <c r="B9" s="100" t="s">
        <v>12</v>
      </c>
      <c r="C9" s="100" t="s">
        <v>739</v>
      </c>
      <c r="D9" s="100" t="s">
        <v>740</v>
      </c>
      <c r="E9" s="100" t="s">
        <v>741</v>
      </c>
    </row>
    <row r="10" spans="1:9">
      <c r="A10" t="s">
        <v>742</v>
      </c>
      <c r="B10" t="s">
        <v>742</v>
      </c>
      <c r="C10" t="s">
        <v>5</v>
      </c>
      <c r="D10" t="s">
        <v>750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8C6A-A4D3-4A42-A7B1-F059AD2018A9}">
  <sheetPr codeName="Sheet4"/>
  <dimension ref="A1:AA34"/>
  <sheetViews>
    <sheetView zoomScale="80" zoomScaleNormal="80" workbookViewId="0">
      <selection activeCell="G17" sqref="G17"/>
    </sheetView>
  </sheetViews>
  <sheetFormatPr defaultRowHeight="15"/>
  <cols>
    <col min="1" max="1" width="8.5703125" style="189"/>
    <col min="2" max="2" width="9.5703125" style="330" bestFit="1" customWidth="1"/>
    <col min="3" max="3" width="13.42578125" style="330" bestFit="1" customWidth="1"/>
    <col min="4" max="4" width="6.42578125" style="204" bestFit="1" customWidth="1"/>
    <col min="5" max="6" width="6.42578125" style="204" customWidth="1"/>
    <col min="7" max="7" width="32.42578125" style="204" customWidth="1"/>
    <col min="8" max="8" width="5.7109375" style="330" customWidth="1"/>
    <col min="9" max="9" width="9.5703125" style="330" customWidth="1"/>
    <col min="10" max="10" width="7.5703125" style="330" bestFit="1" customWidth="1"/>
    <col min="11" max="11" width="5.5703125" style="204" bestFit="1" customWidth="1"/>
    <col min="12" max="13" width="10.42578125" style="204" customWidth="1"/>
    <col min="14" max="14" width="46.5703125" style="204" customWidth="1"/>
    <col min="15" max="15" width="8.5703125" style="330" customWidth="1"/>
    <col min="16" max="16" width="10.42578125" style="330" bestFit="1" customWidth="1"/>
    <col min="17" max="17" width="4.5703125" style="330" bestFit="1" customWidth="1"/>
    <col min="18" max="18" width="5.5703125" style="330" bestFit="1" customWidth="1"/>
    <col min="19" max="20" width="5.5703125" style="330" customWidth="1"/>
    <col min="21" max="21" width="28" style="189" bestFit="1" customWidth="1"/>
    <col min="22" max="22" width="16.42578125" bestFit="1" customWidth="1"/>
  </cols>
  <sheetData>
    <row r="1" spans="2:27" s="189" customFormat="1" ht="15.75" thickBot="1"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</row>
    <row r="2" spans="2:27" s="189" customFormat="1" ht="15.75" thickBot="1">
      <c r="B2" s="386" t="s">
        <v>636</v>
      </c>
      <c r="C2" s="382" t="s">
        <v>637</v>
      </c>
      <c r="D2" s="382">
        <v>2024</v>
      </c>
      <c r="E2" s="382">
        <v>2025</v>
      </c>
      <c r="F2" s="682">
        <v>2026</v>
      </c>
      <c r="G2" s="383" t="s">
        <v>777</v>
      </c>
      <c r="H2" s="330"/>
      <c r="I2" s="380" t="s">
        <v>636</v>
      </c>
      <c r="J2" s="381" t="s">
        <v>637</v>
      </c>
      <c r="K2" s="381">
        <v>2024</v>
      </c>
      <c r="L2" s="382">
        <v>2025</v>
      </c>
      <c r="M2" s="682">
        <v>2026</v>
      </c>
      <c r="N2" s="383" t="s">
        <v>777</v>
      </c>
      <c r="O2" s="332"/>
      <c r="P2" s="700" t="s">
        <v>636</v>
      </c>
      <c r="Q2" s="701" t="s">
        <v>637</v>
      </c>
      <c r="R2" s="382">
        <v>2024</v>
      </c>
      <c r="S2" s="382">
        <v>2025</v>
      </c>
      <c r="T2" s="382">
        <v>2026</v>
      </c>
      <c r="U2" s="383" t="s">
        <v>777</v>
      </c>
    </row>
    <row r="3" spans="2:27" s="189" customFormat="1" ht="15.75" thickBot="1">
      <c r="B3" s="333" t="s">
        <v>680</v>
      </c>
      <c r="C3" s="384" t="s">
        <v>778</v>
      </c>
      <c r="D3" s="384" t="s">
        <v>779</v>
      </c>
      <c r="E3" s="384" t="s">
        <v>779</v>
      </c>
      <c r="F3" s="707" t="s">
        <v>780</v>
      </c>
      <c r="G3" s="345"/>
      <c r="H3" s="330"/>
      <c r="I3" s="355" t="s">
        <v>642</v>
      </c>
      <c r="J3" s="334" t="s">
        <v>643</v>
      </c>
      <c r="K3" s="334" t="s">
        <v>779</v>
      </c>
      <c r="L3" s="334" t="s">
        <v>779</v>
      </c>
      <c r="M3" s="334" t="s">
        <v>779</v>
      </c>
      <c r="N3" s="340"/>
      <c r="O3" s="330"/>
      <c r="P3" s="350" t="s">
        <v>707</v>
      </c>
      <c r="Q3" s="351" t="s">
        <v>781</v>
      </c>
      <c r="R3" s="351" t="s">
        <v>779</v>
      </c>
      <c r="S3" s="384" t="s">
        <v>779</v>
      </c>
      <c r="T3" s="384"/>
      <c r="U3" s="349" t="s">
        <v>782</v>
      </c>
    </row>
    <row r="4" spans="2:27" s="189" customFormat="1" ht="15.75" thickBot="1">
      <c r="B4" s="339" t="s">
        <v>680</v>
      </c>
      <c r="C4" s="330" t="s">
        <v>783</v>
      </c>
      <c r="D4" s="330" t="s">
        <v>780</v>
      </c>
      <c r="E4" s="330" t="s">
        <v>779</v>
      </c>
      <c r="F4" s="708" t="s">
        <v>780</v>
      </c>
      <c r="G4" s="340"/>
      <c r="H4" s="330"/>
      <c r="I4" s="350" t="s">
        <v>642</v>
      </c>
      <c r="J4" s="351" t="s">
        <v>243</v>
      </c>
      <c r="K4" s="351" t="s">
        <v>780</v>
      </c>
      <c r="L4" s="351" t="s">
        <v>780</v>
      </c>
      <c r="M4" s="705" t="s">
        <v>779</v>
      </c>
      <c r="N4" s="254" t="s">
        <v>784</v>
      </c>
      <c r="O4" s="330"/>
      <c r="P4" s="333" t="s">
        <v>785</v>
      </c>
      <c r="Q4" s="384" t="s">
        <v>786</v>
      </c>
      <c r="R4" s="384" t="s">
        <v>779</v>
      </c>
      <c r="S4" s="384" t="s">
        <v>779</v>
      </c>
      <c r="T4" s="710" t="s">
        <v>780</v>
      </c>
      <c r="U4" s="349" t="s">
        <v>787</v>
      </c>
    </row>
    <row r="5" spans="2:27" s="189" customFormat="1" ht="20.25" customHeight="1" thickBot="1">
      <c r="B5" s="335" t="s">
        <v>680</v>
      </c>
      <c r="C5" s="336" t="s">
        <v>788</v>
      </c>
      <c r="D5" s="336" t="s">
        <v>780</v>
      </c>
      <c r="E5" s="336" t="s">
        <v>780</v>
      </c>
      <c r="F5" s="709" t="s">
        <v>176</v>
      </c>
      <c r="G5" s="343" t="s">
        <v>789</v>
      </c>
      <c r="H5" s="330"/>
      <c r="I5" s="337" t="s">
        <v>642</v>
      </c>
      <c r="J5" s="338" t="s">
        <v>299</v>
      </c>
      <c r="K5" s="338" t="s">
        <v>780</v>
      </c>
      <c r="L5" s="338" t="s">
        <v>780</v>
      </c>
      <c r="M5" s="338" t="s">
        <v>790</v>
      </c>
      <c r="N5" s="1124"/>
      <c r="O5" s="330"/>
      <c r="P5" s="335" t="s">
        <v>785</v>
      </c>
      <c r="Q5" s="336" t="s">
        <v>781</v>
      </c>
      <c r="R5" s="336" t="s">
        <v>779</v>
      </c>
      <c r="S5" s="336" t="s">
        <v>779</v>
      </c>
      <c r="T5" s="711" t="s">
        <v>780</v>
      </c>
      <c r="U5" s="352" t="s">
        <v>791</v>
      </c>
    </row>
    <row r="6" spans="2:27" s="189" customFormat="1" ht="20.25" customHeight="1" thickBot="1">
      <c r="B6" s="339" t="s">
        <v>680</v>
      </c>
      <c r="C6" s="330" t="s">
        <v>682</v>
      </c>
      <c r="D6" s="330" t="s">
        <v>661</v>
      </c>
      <c r="E6" s="330" t="s">
        <v>661</v>
      </c>
      <c r="F6" s="330" t="s">
        <v>661</v>
      </c>
      <c r="G6" s="1111"/>
      <c r="H6" s="330"/>
      <c r="I6" s="341" t="s">
        <v>642</v>
      </c>
      <c r="J6" s="342" t="s">
        <v>653</v>
      </c>
      <c r="K6" s="342" t="s">
        <v>780</v>
      </c>
      <c r="L6" s="342" t="s">
        <v>780</v>
      </c>
      <c r="M6" s="338" t="s">
        <v>790</v>
      </c>
      <c r="N6" s="1125"/>
      <c r="O6" s="330"/>
      <c r="P6" s="333" t="s">
        <v>785</v>
      </c>
      <c r="Q6" s="384" t="s">
        <v>792</v>
      </c>
      <c r="R6" s="1121" t="s">
        <v>779</v>
      </c>
      <c r="S6" s="712" t="s">
        <v>780</v>
      </c>
      <c r="T6" s="695" t="s">
        <v>780</v>
      </c>
      <c r="U6" s="696" t="s">
        <v>793</v>
      </c>
    </row>
    <row r="7" spans="2:27" s="189" customFormat="1" ht="20.25" customHeight="1">
      <c r="B7" s="339" t="s">
        <v>680</v>
      </c>
      <c r="C7" s="330" t="s">
        <v>683</v>
      </c>
      <c r="D7" s="330" t="s">
        <v>780</v>
      </c>
      <c r="E7" s="330" t="s">
        <v>780</v>
      </c>
      <c r="F7" s="330" t="s">
        <v>780</v>
      </c>
      <c r="G7" s="1117"/>
      <c r="H7" s="330"/>
      <c r="I7" s="333" t="s">
        <v>642</v>
      </c>
      <c r="J7" s="384" t="s">
        <v>283</v>
      </c>
      <c r="K7" s="384" t="s">
        <v>779</v>
      </c>
      <c r="L7" s="384" t="s">
        <v>779</v>
      </c>
      <c r="M7" s="384">
        <v>24.7</v>
      </c>
      <c r="N7" s="345"/>
      <c r="O7" s="330"/>
      <c r="P7" s="339" t="s">
        <v>785</v>
      </c>
      <c r="Q7" s="330" t="s">
        <v>794</v>
      </c>
      <c r="R7" s="1122"/>
      <c r="S7" s="1105" t="s">
        <v>780</v>
      </c>
      <c r="T7" s="1107" t="s">
        <v>780</v>
      </c>
      <c r="U7" s="1109" t="s">
        <v>795</v>
      </c>
    </row>
    <row r="8" spans="2:27" ht="20.25" customHeight="1" thickBot="1">
      <c r="B8" s="339" t="s">
        <v>680</v>
      </c>
      <c r="C8" s="330" t="s">
        <v>685</v>
      </c>
      <c r="D8" s="330" t="s">
        <v>661</v>
      </c>
      <c r="E8" s="330" t="s">
        <v>661</v>
      </c>
      <c r="F8" s="330" t="s">
        <v>661</v>
      </c>
      <c r="G8" s="1117"/>
      <c r="I8" s="339" t="s">
        <v>642</v>
      </c>
      <c r="J8" s="330" t="s">
        <v>281</v>
      </c>
      <c r="K8" s="330" t="s">
        <v>780</v>
      </c>
      <c r="L8" s="330" t="s">
        <v>779</v>
      </c>
      <c r="M8" s="330">
        <v>24.7</v>
      </c>
      <c r="N8" s="340" t="s">
        <v>796</v>
      </c>
      <c r="P8" s="335" t="s">
        <v>785</v>
      </c>
      <c r="Q8" s="336" t="s">
        <v>797</v>
      </c>
      <c r="R8" s="1123"/>
      <c r="S8" s="1106"/>
      <c r="T8" s="1108"/>
      <c r="U8" s="1110"/>
      <c r="V8" s="189"/>
      <c r="W8" s="189"/>
      <c r="X8" s="189"/>
      <c r="Y8" s="189"/>
      <c r="Z8" s="189"/>
      <c r="AA8" s="189"/>
    </row>
    <row r="9" spans="2:27">
      <c r="B9" s="339" t="s">
        <v>680</v>
      </c>
      <c r="C9" s="330" t="s">
        <v>687</v>
      </c>
      <c r="D9" s="330" t="s">
        <v>661</v>
      </c>
      <c r="E9" s="330" t="s">
        <v>661</v>
      </c>
      <c r="F9" s="330" t="s">
        <v>661</v>
      </c>
      <c r="G9" s="1117"/>
      <c r="I9" s="339" t="s">
        <v>642</v>
      </c>
      <c r="J9" s="330" t="s">
        <v>231</v>
      </c>
      <c r="K9" s="330" t="s">
        <v>779</v>
      </c>
      <c r="L9" s="330">
        <v>24.7</v>
      </c>
      <c r="M9" s="330">
        <v>24.7</v>
      </c>
      <c r="N9" s="340"/>
      <c r="R9" s="347"/>
      <c r="S9" s="348"/>
      <c r="T9" s="348"/>
      <c r="V9" s="189"/>
      <c r="W9" s="189"/>
      <c r="X9" s="189"/>
      <c r="Y9" s="189"/>
      <c r="Z9" s="189"/>
      <c r="AA9" s="189"/>
    </row>
    <row r="10" spans="2:27" ht="20.25" customHeight="1" thickBot="1">
      <c r="B10" s="339" t="s">
        <v>680</v>
      </c>
      <c r="C10" s="330" t="s">
        <v>688</v>
      </c>
      <c r="D10" s="330" t="s">
        <v>661</v>
      </c>
      <c r="E10" s="330" t="s">
        <v>661</v>
      </c>
      <c r="F10" s="330" t="s">
        <v>661</v>
      </c>
      <c r="G10" s="1117"/>
      <c r="I10" s="339" t="s">
        <v>642</v>
      </c>
      <c r="J10" s="330" t="s">
        <v>234</v>
      </c>
      <c r="K10" s="330"/>
      <c r="L10" s="330">
        <v>24.7</v>
      </c>
      <c r="M10" s="330">
        <v>24.7</v>
      </c>
      <c r="N10" s="340"/>
      <c r="V10" s="189"/>
      <c r="W10" s="189"/>
      <c r="X10" s="189"/>
      <c r="Y10" s="189"/>
      <c r="Z10" s="189"/>
      <c r="AA10" s="189"/>
    </row>
    <row r="11" spans="2:27" ht="20.25" customHeight="1">
      <c r="B11" s="339" t="s">
        <v>680</v>
      </c>
      <c r="C11" s="330" t="s">
        <v>689</v>
      </c>
      <c r="D11" s="330" t="s">
        <v>780</v>
      </c>
      <c r="E11" s="330" t="s">
        <v>780</v>
      </c>
      <c r="F11" s="330" t="s">
        <v>780</v>
      </c>
      <c r="G11" s="1117"/>
      <c r="I11" s="333" t="s">
        <v>642</v>
      </c>
      <c r="J11" s="384" t="s">
        <v>295</v>
      </c>
      <c r="K11" s="384" t="s">
        <v>780</v>
      </c>
      <c r="L11" s="384" t="s">
        <v>779</v>
      </c>
      <c r="M11" s="707" t="s">
        <v>780</v>
      </c>
      <c r="N11" s="345"/>
      <c r="V11" s="189"/>
      <c r="W11" s="189"/>
      <c r="X11" s="189"/>
      <c r="Y11" s="189"/>
      <c r="Z11" s="189"/>
      <c r="AA11" s="189"/>
    </row>
    <row r="12" spans="2:27" ht="15.75" thickBot="1">
      <c r="B12" s="339" t="s">
        <v>680</v>
      </c>
      <c r="C12" s="330" t="s">
        <v>690</v>
      </c>
      <c r="D12" s="330" t="s">
        <v>780</v>
      </c>
      <c r="E12" s="330" t="s">
        <v>780</v>
      </c>
      <c r="F12" s="330" t="s">
        <v>780</v>
      </c>
      <c r="G12" s="1117"/>
      <c r="I12" s="335" t="s">
        <v>642</v>
      </c>
      <c r="J12" s="336" t="s">
        <v>226</v>
      </c>
      <c r="K12" s="336" t="s">
        <v>780</v>
      </c>
      <c r="L12" s="336" t="s">
        <v>780</v>
      </c>
      <c r="M12" s="336" t="s">
        <v>780</v>
      </c>
      <c r="N12" s="343"/>
      <c r="V12" s="189"/>
      <c r="W12" s="189"/>
      <c r="X12" s="189"/>
      <c r="Y12" s="189"/>
      <c r="Z12" s="189"/>
      <c r="AA12" s="189"/>
    </row>
    <row r="13" spans="2:27" ht="20.25" customHeight="1" thickBot="1">
      <c r="B13" s="335" t="s">
        <v>680</v>
      </c>
      <c r="C13" s="336" t="s">
        <v>691</v>
      </c>
      <c r="D13" s="336" t="s">
        <v>780</v>
      </c>
      <c r="E13" s="336" t="s">
        <v>780</v>
      </c>
      <c r="F13" s="336" t="s">
        <v>780</v>
      </c>
      <c r="G13" s="1118"/>
      <c r="I13" s="339" t="s">
        <v>642</v>
      </c>
      <c r="J13" s="330" t="s">
        <v>273</v>
      </c>
      <c r="K13" s="330" t="s">
        <v>779</v>
      </c>
      <c r="L13" s="330" t="s">
        <v>779</v>
      </c>
      <c r="M13" s="330" t="s">
        <v>779</v>
      </c>
      <c r="N13" s="1111" t="s">
        <v>798</v>
      </c>
      <c r="V13" s="189"/>
      <c r="W13" s="189"/>
      <c r="X13" s="189"/>
      <c r="Y13" s="189"/>
      <c r="Z13" s="189"/>
      <c r="AA13" s="189"/>
    </row>
    <row r="14" spans="2:27" ht="20.25" customHeight="1">
      <c r="B14" s="344" t="s">
        <v>680</v>
      </c>
      <c r="C14" s="702" t="s">
        <v>240</v>
      </c>
      <c r="D14" s="330" t="s">
        <v>780</v>
      </c>
      <c r="E14" s="330">
        <v>24.5</v>
      </c>
      <c r="F14" s="330" t="s">
        <v>779</v>
      </c>
      <c r="G14" s="340"/>
      <c r="I14" s="339" t="s">
        <v>642</v>
      </c>
      <c r="J14" s="330" t="s">
        <v>271</v>
      </c>
      <c r="K14" s="330" t="s">
        <v>779</v>
      </c>
      <c r="L14" s="330" t="s">
        <v>779</v>
      </c>
      <c r="M14" s="330" t="s">
        <v>779</v>
      </c>
      <c r="N14" s="1112"/>
      <c r="V14" s="189"/>
      <c r="W14" s="189"/>
      <c r="X14" s="189"/>
      <c r="Y14" s="189"/>
      <c r="Z14" s="189"/>
      <c r="AA14" s="189"/>
    </row>
    <row r="15" spans="2:27" ht="20.25" customHeight="1" thickBot="1">
      <c r="B15" s="344" t="s">
        <v>680</v>
      </c>
      <c r="C15" s="702" t="s">
        <v>241</v>
      </c>
      <c r="D15" s="330" t="s">
        <v>779</v>
      </c>
      <c r="E15" s="330" t="s">
        <v>779</v>
      </c>
      <c r="F15" s="330" t="s">
        <v>779</v>
      </c>
      <c r="G15" s="340"/>
      <c r="I15" s="339" t="s">
        <v>642</v>
      </c>
      <c r="J15" s="330" t="s">
        <v>269</v>
      </c>
      <c r="K15" s="330" t="s">
        <v>779</v>
      </c>
      <c r="L15" s="330" t="s">
        <v>779</v>
      </c>
      <c r="M15" s="330" t="s">
        <v>779</v>
      </c>
      <c r="N15" s="1113"/>
      <c r="O15" s="346"/>
      <c r="V15" s="189"/>
      <c r="W15" s="189"/>
      <c r="X15" s="189"/>
      <c r="Y15" s="189"/>
      <c r="Z15" s="189"/>
      <c r="AA15" s="189"/>
    </row>
    <row r="16" spans="2:27" ht="29.85" customHeight="1" thickBot="1">
      <c r="B16" s="344" t="s">
        <v>680</v>
      </c>
      <c r="C16" s="702" t="s">
        <v>242</v>
      </c>
      <c r="D16" s="330" t="s">
        <v>779</v>
      </c>
      <c r="E16" s="330" t="s">
        <v>779</v>
      </c>
      <c r="F16" s="330" t="s">
        <v>779</v>
      </c>
      <c r="G16" s="340"/>
      <c r="I16" s="333" t="s">
        <v>642</v>
      </c>
      <c r="J16" s="384" t="s">
        <v>40</v>
      </c>
      <c r="K16" s="1120" t="s">
        <v>799</v>
      </c>
      <c r="L16" s="706" t="s">
        <v>780</v>
      </c>
      <c r="M16" s="693" t="s">
        <v>780</v>
      </c>
      <c r="N16" s="697"/>
      <c r="O16" s="346"/>
      <c r="V16" s="189"/>
      <c r="W16" s="189"/>
      <c r="X16" s="189"/>
      <c r="Y16" s="189"/>
      <c r="Z16" s="189"/>
      <c r="AA16" s="189"/>
    </row>
    <row r="17" spans="2:27" ht="20.25" customHeight="1" thickBot="1">
      <c r="B17" s="344" t="s">
        <v>680</v>
      </c>
      <c r="C17" s="702" t="s">
        <v>427</v>
      </c>
      <c r="D17" s="330" t="s">
        <v>780</v>
      </c>
      <c r="E17" s="330" t="s">
        <v>780</v>
      </c>
      <c r="F17" s="708" t="s">
        <v>800</v>
      </c>
      <c r="G17" s="340" t="s">
        <v>801</v>
      </c>
      <c r="I17" s="339" t="s">
        <v>642</v>
      </c>
      <c r="J17" s="330" t="s">
        <v>277</v>
      </c>
      <c r="K17" s="1117"/>
      <c r="L17" s="1119" t="s">
        <v>780</v>
      </c>
      <c r="M17" s="1126" t="s">
        <v>779</v>
      </c>
      <c r="N17" s="698"/>
      <c r="O17" s="346"/>
      <c r="V17" s="189"/>
      <c r="W17" s="189"/>
      <c r="X17" s="189"/>
      <c r="Y17" s="189"/>
      <c r="Z17" s="189"/>
      <c r="AA17" s="189"/>
    </row>
    <row r="18" spans="2:27" ht="20.25" customHeight="1" thickBot="1">
      <c r="B18" s="333" t="s">
        <v>680</v>
      </c>
      <c r="C18" s="384" t="s">
        <v>273</v>
      </c>
      <c r="D18" s="384" t="s">
        <v>779</v>
      </c>
      <c r="E18" s="384" t="s">
        <v>779</v>
      </c>
      <c r="F18" s="384" t="s">
        <v>779</v>
      </c>
      <c r="G18" s="1114" t="s">
        <v>802</v>
      </c>
      <c r="I18" s="335" t="s">
        <v>642</v>
      </c>
      <c r="J18" s="336" t="s">
        <v>275</v>
      </c>
      <c r="K18" s="1118"/>
      <c r="L18" s="1116"/>
      <c r="M18" s="1127"/>
      <c r="N18" s="699"/>
      <c r="V18" s="189"/>
      <c r="W18" s="189"/>
      <c r="X18" s="189"/>
      <c r="Y18" s="189"/>
      <c r="Z18" s="189"/>
      <c r="AA18" s="189"/>
    </row>
    <row r="19" spans="2:27" ht="20.25" customHeight="1" thickBot="1">
      <c r="B19" s="339" t="s">
        <v>680</v>
      </c>
      <c r="C19" s="330" t="s">
        <v>271</v>
      </c>
      <c r="D19" s="330" t="s">
        <v>779</v>
      </c>
      <c r="E19" s="330" t="s">
        <v>779</v>
      </c>
      <c r="F19" s="330" t="s">
        <v>779</v>
      </c>
      <c r="G19" s="1115"/>
      <c r="I19" s="408" t="s">
        <v>642</v>
      </c>
      <c r="J19" s="409" t="s">
        <v>803</v>
      </c>
      <c r="K19" s="409"/>
      <c r="L19" s="694" t="s">
        <v>780</v>
      </c>
      <c r="M19" s="409" t="s">
        <v>780</v>
      </c>
      <c r="N19" s="410" t="s">
        <v>804</v>
      </c>
      <c r="V19" s="189"/>
      <c r="W19" s="189"/>
      <c r="X19" s="189"/>
      <c r="Y19" s="189"/>
      <c r="Z19" s="189"/>
      <c r="AA19" s="189"/>
    </row>
    <row r="20" spans="2:27" ht="20.25" customHeight="1">
      <c r="B20" s="339" t="s">
        <v>680</v>
      </c>
      <c r="C20" s="330" t="s">
        <v>269</v>
      </c>
      <c r="D20" s="330" t="s">
        <v>779</v>
      </c>
      <c r="E20" s="330" t="s">
        <v>779</v>
      </c>
      <c r="F20" s="330" t="s">
        <v>779</v>
      </c>
      <c r="G20" s="1115"/>
      <c r="K20" s="330"/>
      <c r="L20" s="330"/>
      <c r="M20" s="330"/>
      <c r="N20" s="330"/>
      <c r="V20" s="189"/>
      <c r="W20" s="189"/>
      <c r="X20" s="189"/>
      <c r="Y20" s="189"/>
      <c r="Z20" s="189"/>
      <c r="AA20" s="189"/>
    </row>
    <row r="21" spans="2:27" s="189" customFormat="1" ht="15.75" thickBot="1">
      <c r="B21" s="335" t="s">
        <v>680</v>
      </c>
      <c r="C21" s="336" t="s">
        <v>695</v>
      </c>
      <c r="D21" s="336" t="s">
        <v>779</v>
      </c>
      <c r="E21" s="336" t="s">
        <v>779</v>
      </c>
      <c r="F21" s="336" t="s">
        <v>779</v>
      </c>
      <c r="G21" s="1116"/>
      <c r="H21" s="330"/>
      <c r="I21" s="330"/>
      <c r="J21" s="330"/>
      <c r="K21" s="330"/>
      <c r="L21" s="330"/>
      <c r="M21" s="330"/>
      <c r="N21" s="330"/>
      <c r="O21" s="330"/>
      <c r="P21" s="330"/>
      <c r="Q21" s="330"/>
      <c r="R21" s="330"/>
      <c r="S21" s="330"/>
      <c r="T21" s="330"/>
    </row>
    <row r="22" spans="2:27" s="189" customFormat="1">
      <c r="B22" s="330"/>
      <c r="C22" s="330"/>
      <c r="D22" s="330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30"/>
      <c r="Q22" s="330"/>
      <c r="R22" s="330"/>
      <c r="S22" s="330"/>
      <c r="T22" s="330"/>
    </row>
    <row r="23" spans="2:27" s="189" customFormat="1">
      <c r="B23" s="330"/>
      <c r="C23" s="330"/>
      <c r="D23" s="330"/>
      <c r="E23" s="330"/>
      <c r="F23" s="330"/>
      <c r="G23" s="330"/>
      <c r="H23" s="330"/>
      <c r="I23" s="330"/>
      <c r="J23" s="330"/>
      <c r="K23" s="330"/>
      <c r="L23" s="330"/>
      <c r="M23" s="330"/>
      <c r="N23" s="330"/>
      <c r="O23" s="330"/>
      <c r="P23" s="330"/>
      <c r="Q23" s="330"/>
      <c r="R23" s="330"/>
      <c r="S23" s="330"/>
      <c r="T23" s="330"/>
    </row>
    <row r="24" spans="2:27" s="189" customFormat="1"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0"/>
      <c r="S24" s="330"/>
      <c r="T24" s="330"/>
    </row>
    <row r="25" spans="2:27" s="189" customFormat="1">
      <c r="B25" s="330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</row>
    <row r="26" spans="2:27" s="189" customFormat="1">
      <c r="B26" s="330"/>
      <c r="C26" s="330"/>
      <c r="D26" s="330"/>
      <c r="E26" s="330"/>
      <c r="F26" s="330"/>
      <c r="G26" s="330"/>
      <c r="H26" s="330"/>
      <c r="I26" s="330"/>
      <c r="J26" s="330"/>
      <c r="K26" s="330"/>
      <c r="L26" s="330"/>
      <c r="M26" s="330"/>
      <c r="N26" s="330"/>
      <c r="O26" s="330"/>
      <c r="P26" s="330"/>
      <c r="Q26" s="330"/>
      <c r="R26" s="330"/>
      <c r="S26" s="330"/>
      <c r="T26" s="330"/>
    </row>
    <row r="27" spans="2:27" s="189" customFormat="1">
      <c r="B27" s="330"/>
      <c r="C27" s="330"/>
      <c r="D27" s="330"/>
      <c r="E27" s="330"/>
      <c r="F27" s="330"/>
      <c r="G27" s="330"/>
      <c r="H27" s="330"/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</row>
    <row r="28" spans="2:27" s="189" customFormat="1">
      <c r="B28" s="330"/>
      <c r="C28" s="330"/>
      <c r="D28" s="330"/>
      <c r="E28" s="330"/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0"/>
      <c r="S28" s="330"/>
      <c r="T28" s="330"/>
    </row>
    <row r="29" spans="2:27" s="189" customFormat="1">
      <c r="B29" s="330"/>
      <c r="C29" s="330"/>
      <c r="D29" s="330"/>
      <c r="E29" s="330"/>
      <c r="F29" s="330"/>
      <c r="G29" s="330"/>
      <c r="H29" s="330"/>
      <c r="I29" s="330"/>
      <c r="J29" s="330"/>
      <c r="K29" s="330"/>
      <c r="L29" s="330"/>
      <c r="M29" s="330"/>
      <c r="N29" s="330"/>
      <c r="O29" s="330"/>
      <c r="P29" s="330"/>
      <c r="Q29" s="330"/>
      <c r="R29" s="330"/>
      <c r="S29" s="330"/>
      <c r="T29" s="330"/>
    </row>
    <row r="30" spans="2:27" s="189" customFormat="1">
      <c r="B30" s="330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0"/>
      <c r="T30" s="330"/>
    </row>
    <row r="31" spans="2:27" s="189" customFormat="1">
      <c r="B31" s="330"/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330"/>
      <c r="O31" s="330"/>
      <c r="P31" s="330"/>
      <c r="Q31" s="330"/>
      <c r="R31" s="330"/>
      <c r="S31" s="330"/>
      <c r="T31" s="330"/>
    </row>
    <row r="32" spans="2:27" s="189" customFormat="1"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0"/>
      <c r="T32" s="330"/>
    </row>
    <row r="33" spans="2:20" s="189" customFormat="1">
      <c r="B33" s="330"/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</row>
    <row r="34" spans="2:20">
      <c r="D34" s="330"/>
      <c r="E34" s="330"/>
      <c r="F34" s="330"/>
      <c r="G34" s="330"/>
      <c r="K34" s="330"/>
      <c r="L34" s="330"/>
      <c r="M34" s="330"/>
      <c r="N34" s="330"/>
    </row>
  </sheetData>
  <mergeCells count="11">
    <mergeCell ref="S7:S8"/>
    <mergeCell ref="T7:T8"/>
    <mergeCell ref="U7:U8"/>
    <mergeCell ref="N13:N15"/>
    <mergeCell ref="G18:G21"/>
    <mergeCell ref="G6:G13"/>
    <mergeCell ref="L17:L18"/>
    <mergeCell ref="K16:K18"/>
    <mergeCell ref="R6:R8"/>
    <mergeCell ref="N5:N6"/>
    <mergeCell ref="M17:M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B54E-9D5A-4D80-A1CE-80CF14861538}">
  <sheetPr codeName="Sheet16" filterMode="1">
    <tabColor rgb="FFFF0000"/>
  </sheetPr>
  <dimension ref="A1:N3288"/>
  <sheetViews>
    <sheetView zoomScale="80" zoomScaleNormal="80" workbookViewId="0">
      <pane ySplit="1" topLeftCell="A463" activePane="bottomLeft" state="frozen"/>
      <selection activeCell="E42" sqref="E42"/>
      <selection pane="bottomLeft" activeCell="C463" sqref="C463:D464"/>
    </sheetView>
  </sheetViews>
  <sheetFormatPr defaultColWidth="9.42578125" defaultRowHeight="12"/>
  <cols>
    <col min="1" max="1" width="12.42578125" style="167" customWidth="1"/>
    <col min="2" max="2" width="45.5703125" style="167" customWidth="1"/>
    <col min="3" max="3" width="18.5703125" style="932" bestFit="1" customWidth="1"/>
    <col min="4" max="4" width="11.5703125" style="935" bestFit="1" customWidth="1"/>
    <col min="5" max="5" width="15.42578125" style="167" customWidth="1"/>
    <col min="6" max="6" width="16.5703125" style="167" customWidth="1"/>
    <col min="7" max="7" width="14.5703125" style="167" customWidth="1"/>
    <col min="8" max="8" width="10.42578125" style="956" customWidth="1"/>
    <col min="9" max="9" width="12.5703125" style="167" customWidth="1"/>
    <col min="10" max="11" width="9.42578125" style="167"/>
    <col min="12" max="12" width="12" style="167" bestFit="1" customWidth="1"/>
    <col min="13" max="16384" width="9.42578125" style="167"/>
  </cols>
  <sheetData>
    <row r="1" spans="1:9" s="924" customFormat="1">
      <c r="A1" s="923" t="s">
        <v>880</v>
      </c>
      <c r="B1" s="924" t="s">
        <v>881</v>
      </c>
      <c r="C1" s="925" t="s">
        <v>219</v>
      </c>
      <c r="D1" s="926" t="s">
        <v>218</v>
      </c>
      <c r="E1" s="927" t="s">
        <v>882</v>
      </c>
      <c r="F1" s="927" t="s">
        <v>883</v>
      </c>
      <c r="G1" s="928" t="s">
        <v>884</v>
      </c>
      <c r="H1" s="929" t="s">
        <v>13</v>
      </c>
      <c r="I1" s="924" t="s">
        <v>253</v>
      </c>
    </row>
    <row r="2" spans="1:9" hidden="1">
      <c r="A2" s="167">
        <v>64343267</v>
      </c>
      <c r="B2" s="167" t="s">
        <v>1107</v>
      </c>
      <c r="C2" s="932" t="s">
        <v>25</v>
      </c>
      <c r="D2" s="932" t="s">
        <v>25</v>
      </c>
      <c r="E2" s="167">
        <v>25</v>
      </c>
      <c r="F2" s="167">
        <v>324</v>
      </c>
      <c r="G2" s="968">
        <f t="shared" ref="G2:G65" si="0">F2/E2</f>
        <v>12.96</v>
      </c>
      <c r="H2" s="969">
        <f t="shared" ref="H2:H65" si="1">G2/1000</f>
        <v>1.2960000000000001E-2</v>
      </c>
      <c r="I2" s="167">
        <v>50</v>
      </c>
    </row>
    <row r="3" spans="1:9" hidden="1">
      <c r="A3" s="167">
        <v>64343704</v>
      </c>
      <c r="B3" s="167" t="s">
        <v>573</v>
      </c>
      <c r="C3" s="932" t="s">
        <v>25</v>
      </c>
      <c r="D3" s="932" t="s">
        <v>25</v>
      </c>
      <c r="E3" s="167">
        <v>25</v>
      </c>
      <c r="F3" s="167">
        <v>324</v>
      </c>
      <c r="G3" s="968">
        <f t="shared" si="0"/>
        <v>12.96</v>
      </c>
      <c r="H3" s="969">
        <f t="shared" si="1"/>
        <v>1.2960000000000001E-2</v>
      </c>
      <c r="I3" s="167">
        <v>50</v>
      </c>
    </row>
    <row r="4" spans="1:9" ht="15" hidden="1">
      <c r="A4" s="167">
        <v>64804361</v>
      </c>
      <c r="B4" s="167" t="s">
        <v>570</v>
      </c>
      <c r="C4" s="932" t="s">
        <v>25</v>
      </c>
      <c r="D4" s="868" t="s">
        <v>25</v>
      </c>
      <c r="E4" s="167">
        <v>25</v>
      </c>
      <c r="F4" s="167">
        <v>324</v>
      </c>
      <c r="G4" s="968">
        <f t="shared" si="0"/>
        <v>12.96</v>
      </c>
      <c r="H4" s="969">
        <f t="shared" si="1"/>
        <v>1.2960000000000001E-2</v>
      </c>
      <c r="I4" s="167">
        <v>50</v>
      </c>
    </row>
    <row r="5" spans="1:9" ht="15" hidden="1">
      <c r="A5" s="167">
        <v>64806254</v>
      </c>
      <c r="B5" s="167" t="s">
        <v>573</v>
      </c>
      <c r="C5" s="932" t="s">
        <v>25</v>
      </c>
      <c r="D5" s="868" t="s">
        <v>25</v>
      </c>
      <c r="E5" s="167">
        <v>25</v>
      </c>
      <c r="F5" s="167">
        <v>324</v>
      </c>
      <c r="G5" s="968">
        <f t="shared" si="0"/>
        <v>12.96</v>
      </c>
      <c r="H5" s="969">
        <f t="shared" si="1"/>
        <v>1.2960000000000001E-2</v>
      </c>
      <c r="I5" s="167">
        <v>50</v>
      </c>
    </row>
    <row r="6" spans="1:9" ht="15" hidden="1">
      <c r="A6" s="167">
        <v>64865906</v>
      </c>
      <c r="B6" s="167" t="s">
        <v>1046</v>
      </c>
      <c r="C6" s="932" t="s">
        <v>38</v>
      </c>
      <c r="D6" s="868" t="s">
        <v>38</v>
      </c>
      <c r="E6" s="167">
        <v>10</v>
      </c>
      <c r="F6" s="167">
        <v>113</v>
      </c>
      <c r="G6" s="968">
        <f t="shared" si="0"/>
        <v>11.3</v>
      </c>
      <c r="H6" s="969">
        <f t="shared" si="1"/>
        <v>1.1300000000000001E-2</v>
      </c>
      <c r="I6" s="167">
        <v>120</v>
      </c>
    </row>
    <row r="7" spans="1:9" ht="15" hidden="1">
      <c r="A7" s="167">
        <v>64865948</v>
      </c>
      <c r="B7" s="167" t="s">
        <v>1047</v>
      </c>
      <c r="C7" s="932" t="s">
        <v>38</v>
      </c>
      <c r="D7" s="868" t="s">
        <v>38</v>
      </c>
      <c r="E7" s="167">
        <v>10</v>
      </c>
      <c r="F7" s="167">
        <v>113</v>
      </c>
      <c r="G7" s="968">
        <f t="shared" si="0"/>
        <v>11.3</v>
      </c>
      <c r="H7" s="969">
        <f t="shared" si="1"/>
        <v>1.1300000000000001E-2</v>
      </c>
      <c r="I7" s="167">
        <v>120</v>
      </c>
    </row>
    <row r="8" spans="1:9" ht="15" hidden="1">
      <c r="A8" s="167">
        <v>64865961</v>
      </c>
      <c r="B8" s="167" t="s">
        <v>1048</v>
      </c>
      <c r="C8" s="932" t="s">
        <v>38</v>
      </c>
      <c r="D8" s="868" t="s">
        <v>38</v>
      </c>
      <c r="E8" s="167">
        <v>10</v>
      </c>
      <c r="F8" s="167">
        <v>113</v>
      </c>
      <c r="G8" s="968">
        <f t="shared" si="0"/>
        <v>11.3</v>
      </c>
      <c r="H8" s="969">
        <f t="shared" si="1"/>
        <v>1.1300000000000001E-2</v>
      </c>
      <c r="I8" s="167">
        <v>120</v>
      </c>
    </row>
    <row r="9" spans="1:9" ht="15" hidden="1">
      <c r="A9" s="167">
        <v>64865964</v>
      </c>
      <c r="B9" s="167" t="s">
        <v>1049</v>
      </c>
      <c r="C9" s="932" t="s">
        <v>38</v>
      </c>
      <c r="D9" s="868" t="s">
        <v>38</v>
      </c>
      <c r="E9" s="167">
        <v>10</v>
      </c>
      <c r="F9" s="167">
        <v>113</v>
      </c>
      <c r="G9" s="968">
        <f t="shared" si="0"/>
        <v>11.3</v>
      </c>
      <c r="H9" s="969">
        <f t="shared" si="1"/>
        <v>1.1300000000000001E-2</v>
      </c>
      <c r="I9" s="167">
        <v>120</v>
      </c>
    </row>
    <row r="10" spans="1:9" hidden="1">
      <c r="A10" s="167">
        <v>68689251</v>
      </c>
      <c r="B10" s="167" t="s">
        <v>262</v>
      </c>
      <c r="C10" s="932" t="s">
        <v>31</v>
      </c>
      <c r="D10" s="932" t="s">
        <v>31</v>
      </c>
      <c r="E10" s="167">
        <v>125</v>
      </c>
      <c r="F10" s="167">
        <v>1197</v>
      </c>
      <c r="G10" s="968">
        <f t="shared" si="0"/>
        <v>9.5760000000000005</v>
      </c>
      <c r="H10" s="969">
        <f t="shared" si="1"/>
        <v>9.5760000000000012E-3</v>
      </c>
      <c r="I10" s="167">
        <v>132</v>
      </c>
    </row>
    <row r="11" spans="1:9" hidden="1">
      <c r="A11" s="167">
        <v>68709237</v>
      </c>
      <c r="B11" s="167" t="s">
        <v>459</v>
      </c>
      <c r="C11" s="932" t="s">
        <v>31</v>
      </c>
      <c r="D11" s="932" t="s">
        <v>31</v>
      </c>
      <c r="E11" s="167">
        <v>125</v>
      </c>
      <c r="F11" s="167">
        <v>1197</v>
      </c>
      <c r="G11" s="968">
        <f t="shared" si="0"/>
        <v>9.5760000000000005</v>
      </c>
      <c r="H11" s="969">
        <f t="shared" si="1"/>
        <v>9.5760000000000012E-3</v>
      </c>
      <c r="I11" s="167">
        <v>132</v>
      </c>
    </row>
    <row r="12" spans="1:9" hidden="1">
      <c r="A12" s="930">
        <v>68710285</v>
      </c>
      <c r="B12" s="931" t="s">
        <v>367</v>
      </c>
      <c r="C12" s="932" t="s">
        <v>31</v>
      </c>
      <c r="D12" s="932" t="s">
        <v>31</v>
      </c>
      <c r="E12" s="167">
        <v>125</v>
      </c>
      <c r="F12" s="167">
        <v>1197</v>
      </c>
      <c r="G12" s="968">
        <f t="shared" si="0"/>
        <v>9.5760000000000005</v>
      </c>
      <c r="H12" s="969">
        <f t="shared" si="1"/>
        <v>9.5760000000000012E-3</v>
      </c>
      <c r="I12" s="167">
        <v>132</v>
      </c>
    </row>
    <row r="13" spans="1:9" hidden="1">
      <c r="A13" s="930">
        <v>68921994</v>
      </c>
      <c r="B13" s="931" t="s">
        <v>267</v>
      </c>
      <c r="C13" s="932" t="s">
        <v>31</v>
      </c>
      <c r="D13" s="932" t="s">
        <v>31</v>
      </c>
      <c r="E13" s="167">
        <v>125</v>
      </c>
      <c r="F13" s="167">
        <v>1197</v>
      </c>
      <c r="G13" s="968">
        <f t="shared" si="0"/>
        <v>9.5760000000000005</v>
      </c>
      <c r="H13" s="969">
        <f t="shared" si="1"/>
        <v>9.5760000000000012E-3</v>
      </c>
      <c r="I13" s="167">
        <v>132</v>
      </c>
    </row>
    <row r="14" spans="1:9" hidden="1">
      <c r="A14" s="936">
        <v>62689431</v>
      </c>
      <c r="B14" s="937" t="s">
        <v>466</v>
      </c>
      <c r="C14" s="938" t="s">
        <v>21</v>
      </c>
      <c r="D14" s="932" t="s">
        <v>21</v>
      </c>
      <c r="E14" s="167">
        <v>200</v>
      </c>
      <c r="F14" s="167">
        <v>1817</v>
      </c>
      <c r="G14" s="968">
        <f t="shared" si="0"/>
        <v>9.0850000000000009</v>
      </c>
      <c r="H14" s="969">
        <f t="shared" si="1"/>
        <v>9.0850000000000011E-3</v>
      </c>
      <c r="I14" s="167">
        <v>125</v>
      </c>
    </row>
    <row r="15" spans="1:9" hidden="1">
      <c r="A15" s="167">
        <v>62735647</v>
      </c>
      <c r="B15" s="167" t="s">
        <v>437</v>
      </c>
      <c r="C15" s="932" t="s">
        <v>21</v>
      </c>
      <c r="D15" s="932" t="s">
        <v>21</v>
      </c>
      <c r="E15" s="167">
        <v>200</v>
      </c>
      <c r="F15" s="167">
        <v>1817</v>
      </c>
      <c r="G15" s="968">
        <f t="shared" si="0"/>
        <v>9.0850000000000009</v>
      </c>
      <c r="H15" s="969">
        <f t="shared" si="1"/>
        <v>9.0850000000000011E-3</v>
      </c>
      <c r="I15" s="167">
        <v>125</v>
      </c>
    </row>
    <row r="16" spans="1:9" ht="15" hidden="1">
      <c r="A16" s="167">
        <v>64799252</v>
      </c>
      <c r="B16" s="167" t="s">
        <v>439</v>
      </c>
      <c r="C16" s="932" t="s">
        <v>21</v>
      </c>
      <c r="D16" s="868" t="s">
        <v>21</v>
      </c>
      <c r="E16" s="167">
        <v>200</v>
      </c>
      <c r="F16" s="167">
        <v>1817</v>
      </c>
      <c r="G16" s="968">
        <f t="shared" si="0"/>
        <v>9.0850000000000009</v>
      </c>
      <c r="H16" s="969">
        <f t="shared" si="1"/>
        <v>9.0850000000000011E-3</v>
      </c>
      <c r="I16" s="167">
        <v>125</v>
      </c>
    </row>
    <row r="17" spans="1:9" ht="15" hidden="1">
      <c r="A17" s="167">
        <v>64799254</v>
      </c>
      <c r="B17" s="167" t="s">
        <v>1038</v>
      </c>
      <c r="C17" s="932" t="s">
        <v>21</v>
      </c>
      <c r="D17" s="868" t="s">
        <v>21</v>
      </c>
      <c r="E17" s="167">
        <v>200</v>
      </c>
      <c r="F17" s="167">
        <v>1817</v>
      </c>
      <c r="G17" s="968">
        <f t="shared" si="0"/>
        <v>9.0850000000000009</v>
      </c>
      <c r="H17" s="969">
        <f t="shared" si="1"/>
        <v>9.0850000000000011E-3</v>
      </c>
      <c r="I17" s="167">
        <v>125</v>
      </c>
    </row>
    <row r="18" spans="1:9" ht="15" hidden="1">
      <c r="A18" s="167">
        <v>64924302</v>
      </c>
      <c r="B18" s="167" t="s">
        <v>467</v>
      </c>
      <c r="C18" s="932" t="s">
        <v>21</v>
      </c>
      <c r="D18" s="868" t="s">
        <v>21</v>
      </c>
      <c r="E18" s="167">
        <v>200</v>
      </c>
      <c r="F18" s="167">
        <v>1817</v>
      </c>
      <c r="G18" s="968">
        <f t="shared" si="0"/>
        <v>9.0850000000000009</v>
      </c>
      <c r="H18" s="969">
        <f t="shared" si="1"/>
        <v>9.0850000000000011E-3</v>
      </c>
      <c r="I18" s="167">
        <v>125</v>
      </c>
    </row>
    <row r="19" spans="1:9" hidden="1">
      <c r="A19" s="930">
        <v>65451950</v>
      </c>
      <c r="B19" s="931" t="s">
        <v>562</v>
      </c>
      <c r="C19" s="938" t="s">
        <v>21</v>
      </c>
      <c r="D19" s="932" t="s">
        <v>21</v>
      </c>
      <c r="E19" s="167">
        <v>200</v>
      </c>
      <c r="F19" s="167">
        <v>1817</v>
      </c>
      <c r="G19" s="968">
        <f t="shared" si="0"/>
        <v>9.0850000000000009</v>
      </c>
      <c r="H19" s="969">
        <f t="shared" si="1"/>
        <v>9.0850000000000011E-3</v>
      </c>
      <c r="I19" s="167">
        <v>125</v>
      </c>
    </row>
    <row r="20" spans="1:9" hidden="1">
      <c r="A20" s="167">
        <v>68499787</v>
      </c>
      <c r="B20" s="167" t="s">
        <v>394</v>
      </c>
      <c r="C20" s="932" t="s">
        <v>21</v>
      </c>
      <c r="D20" s="932" t="s">
        <v>21</v>
      </c>
      <c r="E20" s="167">
        <v>200</v>
      </c>
      <c r="F20" s="167">
        <v>1817</v>
      </c>
      <c r="G20" s="968">
        <f t="shared" si="0"/>
        <v>9.0850000000000009</v>
      </c>
      <c r="H20" s="969">
        <f t="shared" si="1"/>
        <v>9.0850000000000011E-3</v>
      </c>
      <c r="I20" s="167">
        <v>125</v>
      </c>
    </row>
    <row r="21" spans="1:9" hidden="1">
      <c r="A21" s="930">
        <v>69600859</v>
      </c>
      <c r="B21" s="931" t="s">
        <v>365</v>
      </c>
      <c r="C21" s="938" t="s">
        <v>21</v>
      </c>
      <c r="D21" s="932" t="s">
        <v>21</v>
      </c>
      <c r="E21" s="167">
        <v>200</v>
      </c>
      <c r="F21" s="167">
        <v>1817</v>
      </c>
      <c r="G21" s="968">
        <f t="shared" si="0"/>
        <v>9.0850000000000009</v>
      </c>
      <c r="H21" s="969">
        <f t="shared" si="1"/>
        <v>9.0850000000000011E-3</v>
      </c>
      <c r="I21" s="167">
        <v>125</v>
      </c>
    </row>
    <row r="22" spans="1:9" hidden="1">
      <c r="A22" s="167">
        <v>69997338</v>
      </c>
      <c r="B22" s="167" t="s">
        <v>372</v>
      </c>
      <c r="C22" s="932" t="s">
        <v>21</v>
      </c>
      <c r="D22" s="932" t="s">
        <v>21</v>
      </c>
      <c r="E22" s="167">
        <v>200</v>
      </c>
      <c r="F22" s="167">
        <v>1817</v>
      </c>
      <c r="G22" s="968">
        <f t="shared" si="0"/>
        <v>9.0850000000000009</v>
      </c>
      <c r="H22" s="969">
        <f t="shared" si="1"/>
        <v>9.0850000000000011E-3</v>
      </c>
      <c r="I22" s="167">
        <v>125</v>
      </c>
    </row>
    <row r="23" spans="1:9" hidden="1">
      <c r="A23" s="167">
        <v>67278370</v>
      </c>
      <c r="B23" s="167" t="s">
        <v>495</v>
      </c>
      <c r="C23" s="938" t="s">
        <v>21</v>
      </c>
      <c r="D23" s="932" t="s">
        <v>21</v>
      </c>
      <c r="E23" s="167">
        <v>1061</v>
      </c>
      <c r="F23" s="167">
        <v>9639</v>
      </c>
      <c r="G23" s="968">
        <f t="shared" si="0"/>
        <v>9.0848256361922708</v>
      </c>
      <c r="H23" s="969">
        <f t="shared" si="1"/>
        <v>9.0848256361922702E-3</v>
      </c>
      <c r="I23" s="167">
        <v>125</v>
      </c>
    </row>
    <row r="24" spans="1:9" hidden="1">
      <c r="A24" s="167">
        <v>67825196</v>
      </c>
      <c r="B24" s="167" t="s">
        <v>529</v>
      </c>
      <c r="C24" s="932" t="s">
        <v>21</v>
      </c>
      <c r="D24" s="932" t="s">
        <v>21</v>
      </c>
      <c r="E24" s="167">
        <v>1061</v>
      </c>
      <c r="F24" s="167">
        <v>9639</v>
      </c>
      <c r="G24" s="968">
        <f t="shared" si="0"/>
        <v>9.0848256361922708</v>
      </c>
      <c r="H24" s="969">
        <f t="shared" si="1"/>
        <v>9.0848256361922702E-3</v>
      </c>
      <c r="I24" s="167">
        <v>125</v>
      </c>
    </row>
    <row r="25" spans="1:9" hidden="1">
      <c r="A25" s="167">
        <v>67825197</v>
      </c>
      <c r="B25" s="167" t="s">
        <v>496</v>
      </c>
      <c r="C25" s="932" t="s">
        <v>21</v>
      </c>
      <c r="D25" s="932" t="s">
        <v>21</v>
      </c>
      <c r="E25" s="167">
        <v>1061</v>
      </c>
      <c r="F25" s="167">
        <v>9639</v>
      </c>
      <c r="G25" s="968">
        <f t="shared" si="0"/>
        <v>9.0848256361922708</v>
      </c>
      <c r="H25" s="969">
        <f t="shared" si="1"/>
        <v>9.0848256361922702E-3</v>
      </c>
      <c r="I25" s="167">
        <v>125</v>
      </c>
    </row>
    <row r="26" spans="1:9" hidden="1">
      <c r="A26" s="944">
        <v>67825198</v>
      </c>
      <c r="B26" s="945" t="s">
        <v>470</v>
      </c>
      <c r="C26" s="932" t="s">
        <v>21</v>
      </c>
      <c r="D26" s="932" t="s">
        <v>21</v>
      </c>
      <c r="E26" s="167">
        <v>1061</v>
      </c>
      <c r="F26" s="167">
        <v>9639</v>
      </c>
      <c r="G26" s="968">
        <f t="shared" si="0"/>
        <v>9.0848256361922708</v>
      </c>
      <c r="H26" s="969">
        <f t="shared" si="1"/>
        <v>9.0848256361922702E-3</v>
      </c>
      <c r="I26" s="167">
        <v>125</v>
      </c>
    </row>
    <row r="27" spans="1:9" ht="15" hidden="1">
      <c r="A27" s="167">
        <v>68354578</v>
      </c>
      <c r="B27" t="s">
        <v>398</v>
      </c>
      <c r="C27" s="932" t="s">
        <v>21</v>
      </c>
      <c r="D27" s="932" t="s">
        <v>21</v>
      </c>
      <c r="E27" s="167">
        <v>1061</v>
      </c>
      <c r="F27" s="167">
        <v>9639</v>
      </c>
      <c r="G27" s="968">
        <f t="shared" si="0"/>
        <v>9.0848256361922708</v>
      </c>
      <c r="H27" s="969">
        <f t="shared" si="1"/>
        <v>9.0848256361922702E-3</v>
      </c>
      <c r="I27" s="167">
        <v>125</v>
      </c>
    </row>
    <row r="28" spans="1:9" hidden="1">
      <c r="A28" s="167">
        <v>84135794</v>
      </c>
      <c r="B28" s="167" t="s">
        <v>532</v>
      </c>
      <c r="C28" s="932" t="s">
        <v>21</v>
      </c>
      <c r="D28" s="932" t="s">
        <v>21</v>
      </c>
      <c r="E28" s="167">
        <v>1061</v>
      </c>
      <c r="F28" s="167">
        <v>9639</v>
      </c>
      <c r="G28" s="968">
        <f t="shared" si="0"/>
        <v>9.0848256361922708</v>
      </c>
      <c r="H28" s="969">
        <f t="shared" si="1"/>
        <v>9.0848256361922702E-3</v>
      </c>
      <c r="I28" s="167">
        <v>125</v>
      </c>
    </row>
    <row r="29" spans="1:9" hidden="1">
      <c r="A29" s="167">
        <v>84135795</v>
      </c>
      <c r="B29" s="167" t="s">
        <v>497</v>
      </c>
      <c r="C29" s="932" t="s">
        <v>21</v>
      </c>
      <c r="D29" s="932" t="s">
        <v>21</v>
      </c>
      <c r="E29" s="167">
        <v>1061</v>
      </c>
      <c r="F29" s="167">
        <v>9639</v>
      </c>
      <c r="G29" s="968">
        <f t="shared" si="0"/>
        <v>9.0848256361922708</v>
      </c>
      <c r="H29" s="969">
        <f t="shared" si="1"/>
        <v>9.0848256361922702E-3</v>
      </c>
      <c r="I29" s="167">
        <v>125</v>
      </c>
    </row>
    <row r="30" spans="1:9" hidden="1">
      <c r="A30" s="167">
        <v>84135799</v>
      </c>
      <c r="B30" s="167" t="s">
        <v>498</v>
      </c>
      <c r="C30" s="932" t="s">
        <v>21</v>
      </c>
      <c r="D30" s="932" t="s">
        <v>21</v>
      </c>
      <c r="E30" s="167">
        <v>1061</v>
      </c>
      <c r="F30" s="167">
        <v>9639</v>
      </c>
      <c r="G30" s="968">
        <f t="shared" si="0"/>
        <v>9.0848256361922708</v>
      </c>
      <c r="H30" s="969">
        <f t="shared" si="1"/>
        <v>9.0848256361922702E-3</v>
      </c>
      <c r="I30" s="167">
        <v>125</v>
      </c>
    </row>
    <row r="31" spans="1:9" hidden="1">
      <c r="A31" s="930">
        <v>84137721</v>
      </c>
      <c r="B31" s="931" t="s">
        <v>475</v>
      </c>
      <c r="C31" s="932" t="s">
        <v>21</v>
      </c>
      <c r="D31" s="932" t="s">
        <v>21</v>
      </c>
      <c r="E31" s="167">
        <v>1061</v>
      </c>
      <c r="F31" s="167">
        <v>9639</v>
      </c>
      <c r="G31" s="968">
        <f t="shared" si="0"/>
        <v>9.0848256361922708</v>
      </c>
      <c r="H31" s="969">
        <f t="shared" si="1"/>
        <v>9.0848256361922702E-3</v>
      </c>
      <c r="I31" s="167">
        <v>125</v>
      </c>
    </row>
    <row r="32" spans="1:9" hidden="1">
      <c r="A32" s="167">
        <v>84138346</v>
      </c>
      <c r="B32" s="167" t="s">
        <v>499</v>
      </c>
      <c r="C32" s="932" t="s">
        <v>21</v>
      </c>
      <c r="D32" s="932" t="s">
        <v>21</v>
      </c>
      <c r="E32" s="167">
        <v>1061</v>
      </c>
      <c r="F32" s="167">
        <v>9639</v>
      </c>
      <c r="G32" s="968">
        <f t="shared" si="0"/>
        <v>9.0848256361922708</v>
      </c>
      <c r="H32" s="969">
        <f t="shared" si="1"/>
        <v>9.0848256361922702E-3</v>
      </c>
      <c r="I32" s="167">
        <v>125</v>
      </c>
    </row>
    <row r="33" spans="1:9" hidden="1">
      <c r="A33" s="167">
        <v>84138347</v>
      </c>
      <c r="B33" s="167" t="s">
        <v>476</v>
      </c>
      <c r="C33" s="932" t="s">
        <v>21</v>
      </c>
      <c r="D33" s="932" t="s">
        <v>21</v>
      </c>
      <c r="E33" s="167">
        <v>1061</v>
      </c>
      <c r="F33" s="167">
        <v>9639</v>
      </c>
      <c r="G33" s="968">
        <f t="shared" si="0"/>
        <v>9.0848256361922708</v>
      </c>
      <c r="H33" s="969">
        <f t="shared" si="1"/>
        <v>9.0848256361922702E-3</v>
      </c>
      <c r="I33" s="167">
        <v>125</v>
      </c>
    </row>
    <row r="34" spans="1:9" hidden="1">
      <c r="A34" s="167">
        <v>84139000</v>
      </c>
      <c r="B34" s="167" t="s">
        <v>373</v>
      </c>
      <c r="C34" s="932" t="s">
        <v>21</v>
      </c>
      <c r="D34" s="932" t="s">
        <v>21</v>
      </c>
      <c r="E34" s="167">
        <v>1061</v>
      </c>
      <c r="F34" s="167">
        <v>9639</v>
      </c>
      <c r="G34" s="968">
        <f t="shared" si="0"/>
        <v>9.0848256361922708</v>
      </c>
      <c r="H34" s="969">
        <f t="shared" si="1"/>
        <v>9.0848256361922702E-3</v>
      </c>
      <c r="I34" s="167">
        <v>125</v>
      </c>
    </row>
    <row r="35" spans="1:9" hidden="1">
      <c r="A35" s="167">
        <v>84139971</v>
      </c>
      <c r="B35" s="167" t="s">
        <v>391</v>
      </c>
      <c r="C35" s="932" t="s">
        <v>21</v>
      </c>
      <c r="D35" s="932" t="s">
        <v>21</v>
      </c>
      <c r="E35" s="167">
        <v>1061</v>
      </c>
      <c r="F35" s="167">
        <v>9639</v>
      </c>
      <c r="G35" s="968">
        <f t="shared" si="0"/>
        <v>9.0848256361922708</v>
      </c>
      <c r="H35" s="969">
        <f t="shared" si="1"/>
        <v>9.0848256361922702E-3</v>
      </c>
      <c r="I35" s="167">
        <v>125</v>
      </c>
    </row>
    <row r="36" spans="1:9" hidden="1">
      <c r="A36" s="167">
        <v>84139972</v>
      </c>
      <c r="B36" s="167" t="s">
        <v>540</v>
      </c>
      <c r="C36" s="932" t="s">
        <v>21</v>
      </c>
      <c r="D36" s="932" t="s">
        <v>21</v>
      </c>
      <c r="E36" s="167">
        <v>1061</v>
      </c>
      <c r="F36" s="167">
        <v>9639</v>
      </c>
      <c r="G36" s="968">
        <f t="shared" si="0"/>
        <v>9.0848256361922708</v>
      </c>
      <c r="H36" s="969">
        <f t="shared" si="1"/>
        <v>9.0848256361922702E-3</v>
      </c>
      <c r="I36" s="167">
        <v>125</v>
      </c>
    </row>
    <row r="37" spans="1:9" hidden="1">
      <c r="A37" s="167">
        <v>84141035</v>
      </c>
      <c r="B37" s="167" t="s">
        <v>392</v>
      </c>
      <c r="C37" s="932" t="s">
        <v>21</v>
      </c>
      <c r="D37" s="932" t="s">
        <v>21</v>
      </c>
      <c r="E37" s="167">
        <v>1061</v>
      </c>
      <c r="F37" s="167">
        <v>9639</v>
      </c>
      <c r="G37" s="968">
        <f t="shared" si="0"/>
        <v>9.0848256361922708</v>
      </c>
      <c r="H37" s="969">
        <f t="shared" si="1"/>
        <v>9.0848256361922702E-3</v>
      </c>
      <c r="I37" s="167">
        <v>125</v>
      </c>
    </row>
    <row r="38" spans="1:9" hidden="1">
      <c r="A38" s="167">
        <v>84141037</v>
      </c>
      <c r="B38" s="167" t="s">
        <v>377</v>
      </c>
      <c r="C38" s="932" t="s">
        <v>21</v>
      </c>
      <c r="D38" s="932" t="s">
        <v>21</v>
      </c>
      <c r="E38" s="167">
        <v>1061</v>
      </c>
      <c r="F38" s="167">
        <v>9639</v>
      </c>
      <c r="G38" s="968">
        <f t="shared" si="0"/>
        <v>9.0848256361922708</v>
      </c>
      <c r="H38" s="969">
        <f t="shared" si="1"/>
        <v>9.0848256361922702E-3</v>
      </c>
      <c r="I38" s="167">
        <v>125</v>
      </c>
    </row>
    <row r="39" spans="1:9" hidden="1">
      <c r="A39" s="167">
        <v>84141418</v>
      </c>
      <c r="B39" s="167" t="s">
        <v>369</v>
      </c>
      <c r="C39" s="932" t="s">
        <v>21</v>
      </c>
      <c r="D39" s="932" t="s">
        <v>21</v>
      </c>
      <c r="E39" s="167">
        <v>1061</v>
      </c>
      <c r="F39" s="167">
        <v>9639</v>
      </c>
      <c r="G39" s="968">
        <f t="shared" si="0"/>
        <v>9.0848256361922708</v>
      </c>
      <c r="H39" s="969">
        <f t="shared" si="1"/>
        <v>9.0848256361922702E-3</v>
      </c>
      <c r="I39" s="167">
        <v>125</v>
      </c>
    </row>
    <row r="40" spans="1:9" hidden="1">
      <c r="A40" s="167">
        <v>84164939</v>
      </c>
      <c r="B40" s="167" t="s">
        <v>399</v>
      </c>
      <c r="C40" s="932" t="s">
        <v>21</v>
      </c>
      <c r="D40" s="932" t="s">
        <v>21</v>
      </c>
      <c r="E40" s="167">
        <v>1061</v>
      </c>
      <c r="F40" s="167">
        <v>9639</v>
      </c>
      <c r="G40" s="968">
        <f t="shared" si="0"/>
        <v>9.0848256361922708</v>
      </c>
      <c r="H40" s="969">
        <f t="shared" si="1"/>
        <v>9.0848256361922702E-3</v>
      </c>
      <c r="I40" s="167">
        <v>125</v>
      </c>
    </row>
    <row r="41" spans="1:9" ht="15" hidden="1">
      <c r="A41" s="167">
        <v>64799253</v>
      </c>
      <c r="B41" s="167" t="s">
        <v>447</v>
      </c>
      <c r="C41" s="932" t="s">
        <v>21</v>
      </c>
      <c r="D41" s="868" t="s">
        <v>21</v>
      </c>
      <c r="E41" s="167">
        <v>250</v>
      </c>
      <c r="F41" s="167">
        <v>2271</v>
      </c>
      <c r="G41" s="968">
        <f t="shared" si="0"/>
        <v>9.0839999999999996</v>
      </c>
      <c r="H41" s="969">
        <f t="shared" si="1"/>
        <v>9.0840000000000001E-3</v>
      </c>
      <c r="I41" s="167">
        <v>125</v>
      </c>
    </row>
    <row r="42" spans="1:9" hidden="1">
      <c r="A42" s="930">
        <v>64315721</v>
      </c>
      <c r="B42" s="931" t="s">
        <v>380</v>
      </c>
      <c r="C42" s="932" t="s">
        <v>23</v>
      </c>
      <c r="D42" s="932" t="s">
        <v>23</v>
      </c>
      <c r="E42" s="167">
        <v>25</v>
      </c>
      <c r="F42" s="167">
        <v>213</v>
      </c>
      <c r="G42" s="968">
        <f t="shared" si="0"/>
        <v>8.52</v>
      </c>
      <c r="H42" s="969">
        <f t="shared" si="1"/>
        <v>8.5199999999999998E-3</v>
      </c>
      <c r="I42" s="167">
        <v>176</v>
      </c>
    </row>
    <row r="43" spans="1:9" hidden="1">
      <c r="A43" s="167">
        <v>64315722</v>
      </c>
      <c r="B43" s="167" t="s">
        <v>478</v>
      </c>
      <c r="C43" s="932" t="s">
        <v>23</v>
      </c>
      <c r="D43" s="932" t="s">
        <v>23</v>
      </c>
      <c r="E43" s="167">
        <v>25</v>
      </c>
      <c r="F43" s="167">
        <v>213</v>
      </c>
      <c r="G43" s="968">
        <f t="shared" si="0"/>
        <v>8.52</v>
      </c>
      <c r="H43" s="969">
        <f t="shared" si="1"/>
        <v>8.5199999999999998E-3</v>
      </c>
      <c r="I43" s="167">
        <v>176</v>
      </c>
    </row>
    <row r="44" spans="1:9" hidden="1">
      <c r="A44" s="167">
        <v>64341968</v>
      </c>
      <c r="B44" s="167" t="s">
        <v>322</v>
      </c>
      <c r="C44" s="932" t="s">
        <v>23</v>
      </c>
      <c r="D44" s="932" t="s">
        <v>23</v>
      </c>
      <c r="E44" s="167">
        <v>25</v>
      </c>
      <c r="F44" s="167">
        <v>213</v>
      </c>
      <c r="G44" s="968">
        <f t="shared" si="0"/>
        <v>8.52</v>
      </c>
      <c r="H44" s="969">
        <f t="shared" si="1"/>
        <v>8.5199999999999998E-3</v>
      </c>
      <c r="I44" s="167">
        <v>176</v>
      </c>
    </row>
    <row r="45" spans="1:9" ht="15" hidden="1">
      <c r="A45" s="167">
        <v>64373718</v>
      </c>
      <c r="B45" s="167" t="s">
        <v>316</v>
      </c>
      <c r="C45" s="932" t="s">
        <v>23</v>
      </c>
      <c r="D45" s="868" t="s">
        <v>23</v>
      </c>
      <c r="E45" s="167">
        <v>25</v>
      </c>
      <c r="F45" s="167">
        <v>213</v>
      </c>
      <c r="G45" s="968">
        <f t="shared" si="0"/>
        <v>8.52</v>
      </c>
      <c r="H45" s="969">
        <f t="shared" si="1"/>
        <v>8.5199999999999998E-3</v>
      </c>
      <c r="I45" s="167">
        <v>176</v>
      </c>
    </row>
    <row r="46" spans="1:9" hidden="1">
      <c r="A46" s="167">
        <v>64389650</v>
      </c>
      <c r="B46" s="167" t="s">
        <v>330</v>
      </c>
      <c r="C46" s="932" t="s">
        <v>23</v>
      </c>
      <c r="D46" s="932" t="s">
        <v>23</v>
      </c>
      <c r="E46" s="167">
        <v>25</v>
      </c>
      <c r="F46" s="167">
        <v>213</v>
      </c>
      <c r="G46" s="968">
        <f t="shared" si="0"/>
        <v>8.52</v>
      </c>
      <c r="H46" s="969">
        <f t="shared" si="1"/>
        <v>8.5199999999999998E-3</v>
      </c>
      <c r="I46" s="167">
        <v>176</v>
      </c>
    </row>
    <row r="47" spans="1:9" hidden="1">
      <c r="A47" s="167">
        <v>64389651</v>
      </c>
      <c r="B47" s="167" t="s">
        <v>355</v>
      </c>
      <c r="C47" s="932" t="s">
        <v>23</v>
      </c>
      <c r="D47" s="932" t="s">
        <v>23</v>
      </c>
      <c r="E47" s="167">
        <v>25</v>
      </c>
      <c r="F47" s="167">
        <v>213</v>
      </c>
      <c r="G47" s="968">
        <f t="shared" si="0"/>
        <v>8.52</v>
      </c>
      <c r="H47" s="969">
        <f t="shared" si="1"/>
        <v>8.5199999999999998E-3</v>
      </c>
      <c r="I47" s="167">
        <v>176</v>
      </c>
    </row>
    <row r="48" spans="1:9" ht="15" hidden="1">
      <c r="A48" s="942">
        <v>64775327</v>
      </c>
      <c r="B48" s="941" t="s">
        <v>429</v>
      </c>
      <c r="C48" s="868" t="s">
        <v>23</v>
      </c>
      <c r="D48" s="868" t="s">
        <v>23</v>
      </c>
      <c r="E48" s="167">
        <v>25</v>
      </c>
      <c r="F48" s="167">
        <v>213</v>
      </c>
      <c r="G48" s="968">
        <f t="shared" si="0"/>
        <v>8.52</v>
      </c>
      <c r="H48" s="969">
        <f t="shared" si="1"/>
        <v>8.5199999999999998E-3</v>
      </c>
      <c r="I48" s="167">
        <v>176</v>
      </c>
    </row>
    <row r="49" spans="1:11" hidden="1">
      <c r="A49" s="167">
        <v>68710277</v>
      </c>
      <c r="B49" s="167" t="s">
        <v>533</v>
      </c>
      <c r="C49" s="932" t="s">
        <v>31</v>
      </c>
      <c r="D49" s="932" t="s">
        <v>31</v>
      </c>
      <c r="E49" s="167">
        <v>25</v>
      </c>
      <c r="F49" s="167">
        <v>213</v>
      </c>
      <c r="G49" s="968">
        <f t="shared" si="0"/>
        <v>8.52</v>
      </c>
      <c r="H49" s="969">
        <f t="shared" si="1"/>
        <v>8.5199999999999998E-3</v>
      </c>
      <c r="I49" s="167">
        <v>132</v>
      </c>
      <c r="K49" s="954"/>
    </row>
    <row r="50" spans="1:11" hidden="1">
      <c r="A50" s="167">
        <v>68737750</v>
      </c>
      <c r="B50" s="167" t="s">
        <v>407</v>
      </c>
      <c r="C50" s="932" t="s">
        <v>23</v>
      </c>
      <c r="D50" s="932" t="s">
        <v>23</v>
      </c>
      <c r="E50" s="167">
        <v>25</v>
      </c>
      <c r="F50" s="167">
        <v>213</v>
      </c>
      <c r="G50" s="968">
        <f t="shared" si="0"/>
        <v>8.52</v>
      </c>
      <c r="H50" s="969">
        <f t="shared" si="1"/>
        <v>8.5199999999999998E-3</v>
      </c>
      <c r="I50" s="167">
        <v>176</v>
      </c>
    </row>
    <row r="51" spans="1:11" hidden="1">
      <c r="A51" s="167">
        <v>68746232</v>
      </c>
      <c r="B51" s="167" t="s">
        <v>508</v>
      </c>
      <c r="C51" s="932" t="s">
        <v>31</v>
      </c>
      <c r="D51" s="932" t="s">
        <v>31</v>
      </c>
      <c r="E51" s="167">
        <v>25</v>
      </c>
      <c r="F51" s="167">
        <v>213</v>
      </c>
      <c r="G51" s="968">
        <f t="shared" si="0"/>
        <v>8.52</v>
      </c>
      <c r="H51" s="969">
        <f t="shared" si="1"/>
        <v>8.5199999999999998E-3</v>
      </c>
      <c r="I51" s="167">
        <v>132</v>
      </c>
    </row>
    <row r="52" spans="1:11" hidden="1">
      <c r="A52" s="930">
        <v>68817792</v>
      </c>
      <c r="B52" s="167" t="s">
        <v>384</v>
      </c>
      <c r="C52" s="932" t="s">
        <v>23</v>
      </c>
      <c r="D52" s="932" t="s">
        <v>23</v>
      </c>
      <c r="E52" s="167">
        <v>25</v>
      </c>
      <c r="F52" s="167">
        <v>213</v>
      </c>
      <c r="G52" s="968">
        <f t="shared" si="0"/>
        <v>8.52</v>
      </c>
      <c r="H52" s="969">
        <f t="shared" si="1"/>
        <v>8.5199999999999998E-3</v>
      </c>
      <c r="I52" s="167">
        <v>154</v>
      </c>
    </row>
    <row r="53" spans="1:11" hidden="1">
      <c r="A53" s="167">
        <v>68817793</v>
      </c>
      <c r="B53" s="167" t="s">
        <v>353</v>
      </c>
      <c r="C53" s="932" t="s">
        <v>23</v>
      </c>
      <c r="D53" s="932" t="s">
        <v>23</v>
      </c>
      <c r="E53" s="167">
        <v>25</v>
      </c>
      <c r="F53" s="167">
        <v>213</v>
      </c>
      <c r="G53" s="968">
        <f t="shared" si="0"/>
        <v>8.52</v>
      </c>
      <c r="H53" s="969">
        <f t="shared" si="1"/>
        <v>8.5199999999999998E-3</v>
      </c>
      <c r="I53" s="167">
        <v>176</v>
      </c>
    </row>
    <row r="54" spans="1:11" hidden="1">
      <c r="A54" s="167">
        <v>68817795</v>
      </c>
      <c r="B54" s="167" t="s">
        <v>348</v>
      </c>
      <c r="C54" s="932" t="s">
        <v>23</v>
      </c>
      <c r="D54" s="932" t="s">
        <v>23</v>
      </c>
      <c r="E54" s="167">
        <v>25</v>
      </c>
      <c r="F54" s="167">
        <v>213</v>
      </c>
      <c r="G54" s="968">
        <f t="shared" si="0"/>
        <v>8.52</v>
      </c>
      <c r="H54" s="969">
        <f t="shared" si="1"/>
        <v>8.5199999999999998E-3</v>
      </c>
      <c r="I54" s="167">
        <v>154</v>
      </c>
    </row>
    <row r="55" spans="1:11" hidden="1">
      <c r="A55" s="167">
        <v>68817797</v>
      </c>
      <c r="B55" s="167" t="s">
        <v>485</v>
      </c>
      <c r="C55" s="932" t="s">
        <v>23</v>
      </c>
      <c r="D55" s="932" t="s">
        <v>23</v>
      </c>
      <c r="E55" s="167">
        <v>25</v>
      </c>
      <c r="F55" s="167">
        <v>213</v>
      </c>
      <c r="G55" s="968">
        <f t="shared" si="0"/>
        <v>8.52</v>
      </c>
      <c r="H55" s="969">
        <f t="shared" si="1"/>
        <v>8.5199999999999998E-3</v>
      </c>
      <c r="I55" s="167">
        <v>154</v>
      </c>
    </row>
    <row r="56" spans="1:11" hidden="1">
      <c r="A56" s="167">
        <v>68817799</v>
      </c>
      <c r="B56" s="167" t="s">
        <v>410</v>
      </c>
      <c r="C56" s="932" t="s">
        <v>23</v>
      </c>
      <c r="D56" s="932" t="s">
        <v>23</v>
      </c>
      <c r="E56" s="167">
        <v>25</v>
      </c>
      <c r="F56" s="167">
        <v>213</v>
      </c>
      <c r="G56" s="968">
        <f t="shared" si="0"/>
        <v>8.52</v>
      </c>
      <c r="H56" s="969">
        <f t="shared" si="1"/>
        <v>8.5199999999999998E-3</v>
      </c>
      <c r="I56" s="167">
        <v>176</v>
      </c>
    </row>
    <row r="57" spans="1:11" hidden="1">
      <c r="A57" s="167">
        <v>68817801</v>
      </c>
      <c r="B57" s="167" t="s">
        <v>333</v>
      </c>
      <c r="C57" s="932" t="s">
        <v>23</v>
      </c>
      <c r="D57" s="932" t="s">
        <v>23</v>
      </c>
      <c r="E57" s="167">
        <v>25</v>
      </c>
      <c r="F57" s="167">
        <v>213</v>
      </c>
      <c r="G57" s="968">
        <f t="shared" si="0"/>
        <v>8.52</v>
      </c>
      <c r="H57" s="969">
        <f t="shared" si="1"/>
        <v>8.5199999999999998E-3</v>
      </c>
      <c r="I57" s="167">
        <v>176</v>
      </c>
    </row>
    <row r="58" spans="1:11" hidden="1">
      <c r="A58" s="167">
        <v>68821728</v>
      </c>
      <c r="B58" s="167" t="s">
        <v>386</v>
      </c>
      <c r="C58" s="932" t="s">
        <v>23</v>
      </c>
      <c r="D58" s="932" t="s">
        <v>23</v>
      </c>
      <c r="E58" s="167">
        <v>25</v>
      </c>
      <c r="F58" s="167">
        <v>213</v>
      </c>
      <c r="G58" s="968">
        <f t="shared" si="0"/>
        <v>8.52</v>
      </c>
      <c r="H58" s="969">
        <f t="shared" si="1"/>
        <v>8.5199999999999998E-3</v>
      </c>
      <c r="I58" s="167">
        <v>176</v>
      </c>
    </row>
    <row r="59" spans="1:11" hidden="1">
      <c r="A59" s="930">
        <v>68821734</v>
      </c>
      <c r="B59" s="167" t="s">
        <v>370</v>
      </c>
      <c r="C59" s="932" t="s">
        <v>23</v>
      </c>
      <c r="D59" s="932" t="s">
        <v>23</v>
      </c>
      <c r="E59" s="167">
        <v>25</v>
      </c>
      <c r="F59" s="167">
        <v>213</v>
      </c>
      <c r="G59" s="968">
        <f t="shared" si="0"/>
        <v>8.52</v>
      </c>
      <c r="H59" s="969">
        <f t="shared" si="1"/>
        <v>8.5199999999999998E-3</v>
      </c>
      <c r="I59" s="167">
        <v>176</v>
      </c>
    </row>
    <row r="60" spans="1:11" hidden="1">
      <c r="A60" s="167">
        <v>68821735</v>
      </c>
      <c r="B60" s="167" t="s">
        <v>318</v>
      </c>
      <c r="C60" s="932" t="s">
        <v>23</v>
      </c>
      <c r="D60" s="932" t="s">
        <v>23</v>
      </c>
      <c r="E60" s="167">
        <v>25</v>
      </c>
      <c r="F60" s="167">
        <v>213</v>
      </c>
      <c r="G60" s="968">
        <f t="shared" si="0"/>
        <v>8.52</v>
      </c>
      <c r="H60" s="969">
        <f t="shared" si="1"/>
        <v>8.5199999999999998E-3</v>
      </c>
      <c r="I60" s="167">
        <v>176</v>
      </c>
    </row>
    <row r="61" spans="1:11" hidden="1">
      <c r="A61" s="167">
        <v>68850683</v>
      </c>
      <c r="B61" s="167" t="s">
        <v>311</v>
      </c>
      <c r="C61" s="932" t="s">
        <v>23</v>
      </c>
      <c r="D61" s="932" t="s">
        <v>23</v>
      </c>
      <c r="E61" s="167">
        <v>25</v>
      </c>
      <c r="F61" s="167">
        <v>213</v>
      </c>
      <c r="G61" s="968">
        <f t="shared" si="0"/>
        <v>8.52</v>
      </c>
      <c r="H61" s="969">
        <f t="shared" si="1"/>
        <v>8.5199999999999998E-3</v>
      </c>
      <c r="I61" s="167">
        <v>176</v>
      </c>
    </row>
    <row r="62" spans="1:11" hidden="1">
      <c r="A62" s="167">
        <v>68850684</v>
      </c>
      <c r="B62" s="167" t="s">
        <v>381</v>
      </c>
      <c r="C62" s="932" t="s">
        <v>23</v>
      </c>
      <c r="D62" s="932" t="s">
        <v>23</v>
      </c>
      <c r="E62" s="167">
        <v>25</v>
      </c>
      <c r="F62" s="167">
        <v>213</v>
      </c>
      <c r="G62" s="968">
        <f t="shared" si="0"/>
        <v>8.52</v>
      </c>
      <c r="H62" s="969">
        <f t="shared" si="1"/>
        <v>8.5199999999999998E-3</v>
      </c>
      <c r="I62" s="167">
        <v>176</v>
      </c>
    </row>
    <row r="63" spans="1:11" hidden="1">
      <c r="A63" s="167">
        <v>68851104</v>
      </c>
      <c r="B63" s="167" t="s">
        <v>270</v>
      </c>
      <c r="C63" s="932" t="s">
        <v>23</v>
      </c>
      <c r="D63" s="932" t="s">
        <v>23</v>
      </c>
      <c r="E63" s="167">
        <v>25</v>
      </c>
      <c r="F63" s="167">
        <v>213</v>
      </c>
      <c r="G63" s="968">
        <f t="shared" si="0"/>
        <v>8.52</v>
      </c>
      <c r="H63" s="969">
        <f t="shared" si="1"/>
        <v>8.5199999999999998E-3</v>
      </c>
      <c r="I63" s="167">
        <v>176</v>
      </c>
    </row>
    <row r="64" spans="1:11" hidden="1">
      <c r="A64" s="167">
        <v>68851105</v>
      </c>
      <c r="B64" s="167" t="s">
        <v>400</v>
      </c>
      <c r="C64" s="932" t="s">
        <v>23</v>
      </c>
      <c r="D64" s="932" t="s">
        <v>23</v>
      </c>
      <c r="E64" s="167">
        <v>25</v>
      </c>
      <c r="F64" s="167">
        <v>213</v>
      </c>
      <c r="G64" s="968">
        <f t="shared" si="0"/>
        <v>8.52</v>
      </c>
      <c r="H64" s="969">
        <f t="shared" si="1"/>
        <v>8.5199999999999998E-3</v>
      </c>
      <c r="I64" s="167">
        <v>154</v>
      </c>
    </row>
    <row r="65" spans="1:9" hidden="1">
      <c r="A65" s="167">
        <v>68851106</v>
      </c>
      <c r="B65" s="167" t="s">
        <v>359</v>
      </c>
      <c r="C65" s="932" t="s">
        <v>23</v>
      </c>
      <c r="D65" s="932" t="s">
        <v>23</v>
      </c>
      <c r="E65" s="167">
        <v>25</v>
      </c>
      <c r="F65" s="167">
        <v>213</v>
      </c>
      <c r="G65" s="968">
        <f t="shared" si="0"/>
        <v>8.52</v>
      </c>
      <c r="H65" s="969">
        <f t="shared" si="1"/>
        <v>8.5199999999999998E-3</v>
      </c>
      <c r="I65" s="167">
        <v>154</v>
      </c>
    </row>
    <row r="66" spans="1:9" hidden="1">
      <c r="A66" s="930">
        <v>68851107</v>
      </c>
      <c r="B66" s="931" t="s">
        <v>272</v>
      </c>
      <c r="C66" s="932" t="s">
        <v>23</v>
      </c>
      <c r="D66" s="932" t="s">
        <v>23</v>
      </c>
      <c r="E66" s="167">
        <v>25</v>
      </c>
      <c r="F66" s="167">
        <v>213</v>
      </c>
      <c r="G66" s="968">
        <f t="shared" ref="G66:G129" si="2">F66/E66</f>
        <v>8.52</v>
      </c>
      <c r="H66" s="969">
        <f t="shared" ref="H66:H129" si="3">G66/1000</f>
        <v>8.5199999999999998E-3</v>
      </c>
      <c r="I66" s="167">
        <v>176</v>
      </c>
    </row>
    <row r="67" spans="1:9" hidden="1">
      <c r="A67" s="930">
        <v>68851108</v>
      </c>
      <c r="B67" s="931" t="s">
        <v>296</v>
      </c>
      <c r="C67" s="932" t="s">
        <v>23</v>
      </c>
      <c r="D67" s="932" t="s">
        <v>23</v>
      </c>
      <c r="E67" s="167">
        <v>25</v>
      </c>
      <c r="F67" s="167">
        <v>213</v>
      </c>
      <c r="G67" s="968">
        <f t="shared" si="2"/>
        <v>8.52</v>
      </c>
      <c r="H67" s="969">
        <f t="shared" si="3"/>
        <v>8.5199999999999998E-3</v>
      </c>
      <c r="I67" s="167">
        <v>176</v>
      </c>
    </row>
    <row r="68" spans="1:9" hidden="1">
      <c r="A68" s="167">
        <v>68851109</v>
      </c>
      <c r="B68" s="167" t="s">
        <v>297</v>
      </c>
      <c r="C68" s="932" t="s">
        <v>23</v>
      </c>
      <c r="D68" s="932" t="s">
        <v>23</v>
      </c>
      <c r="E68" s="167">
        <v>25</v>
      </c>
      <c r="F68" s="167">
        <v>213</v>
      </c>
      <c r="G68" s="968">
        <f t="shared" si="2"/>
        <v>8.52</v>
      </c>
      <c r="H68" s="969">
        <f t="shared" si="3"/>
        <v>8.5199999999999998E-3</v>
      </c>
      <c r="I68" s="167">
        <v>154</v>
      </c>
    </row>
    <row r="69" spans="1:9" hidden="1">
      <c r="A69" s="167">
        <v>68852583</v>
      </c>
      <c r="B69" s="167" t="s">
        <v>428</v>
      </c>
      <c r="C69" s="932" t="s">
        <v>31</v>
      </c>
      <c r="D69" s="932" t="s">
        <v>31</v>
      </c>
      <c r="E69" s="167">
        <v>25</v>
      </c>
      <c r="F69" s="167">
        <v>213</v>
      </c>
      <c r="G69" s="968">
        <f t="shared" si="2"/>
        <v>8.52</v>
      </c>
      <c r="H69" s="969">
        <f t="shared" si="3"/>
        <v>8.5199999999999998E-3</v>
      </c>
      <c r="I69" s="167">
        <v>132</v>
      </c>
    </row>
    <row r="70" spans="1:9" hidden="1">
      <c r="A70" s="167">
        <v>68852591</v>
      </c>
      <c r="B70" s="167" t="s">
        <v>326</v>
      </c>
      <c r="C70" s="932" t="s">
        <v>31</v>
      </c>
      <c r="D70" s="932" t="s">
        <v>31</v>
      </c>
      <c r="E70" s="167">
        <v>25</v>
      </c>
      <c r="F70" s="167">
        <v>213</v>
      </c>
      <c r="G70" s="968">
        <f t="shared" si="2"/>
        <v>8.52</v>
      </c>
      <c r="H70" s="969">
        <f t="shared" si="3"/>
        <v>8.5199999999999998E-3</v>
      </c>
      <c r="I70" s="167">
        <v>132</v>
      </c>
    </row>
    <row r="71" spans="1:9" hidden="1">
      <c r="A71" s="930">
        <v>68881265</v>
      </c>
      <c r="B71" s="931" t="s">
        <v>486</v>
      </c>
      <c r="C71" s="932" t="s">
        <v>23</v>
      </c>
      <c r="D71" s="932" t="s">
        <v>23</v>
      </c>
      <c r="E71" s="167">
        <v>25</v>
      </c>
      <c r="F71" s="167">
        <v>213</v>
      </c>
      <c r="G71" s="968">
        <f t="shared" si="2"/>
        <v>8.52</v>
      </c>
      <c r="H71" s="969">
        <f t="shared" si="3"/>
        <v>8.5199999999999998E-3</v>
      </c>
      <c r="I71" s="167">
        <v>176</v>
      </c>
    </row>
    <row r="72" spans="1:9" hidden="1">
      <c r="A72" s="930">
        <v>68881268</v>
      </c>
      <c r="B72" s="931" t="s">
        <v>327</v>
      </c>
      <c r="C72" s="932" t="s">
        <v>23</v>
      </c>
      <c r="D72" s="932" t="s">
        <v>23</v>
      </c>
      <c r="E72" s="167">
        <v>25</v>
      </c>
      <c r="F72" s="167">
        <v>213</v>
      </c>
      <c r="G72" s="968">
        <f t="shared" si="2"/>
        <v>8.52</v>
      </c>
      <c r="H72" s="969">
        <f t="shared" si="3"/>
        <v>8.5199999999999998E-3</v>
      </c>
      <c r="I72" s="167">
        <v>154</v>
      </c>
    </row>
    <row r="73" spans="1:9" hidden="1">
      <c r="A73" s="930">
        <v>68881269</v>
      </c>
      <c r="B73" s="931" t="s">
        <v>429</v>
      </c>
      <c r="C73" s="932" t="s">
        <v>23</v>
      </c>
      <c r="D73" s="932" t="s">
        <v>23</v>
      </c>
      <c r="E73" s="167">
        <v>25</v>
      </c>
      <c r="F73" s="167">
        <v>213</v>
      </c>
      <c r="G73" s="968">
        <f t="shared" si="2"/>
        <v>8.52</v>
      </c>
      <c r="H73" s="969">
        <f t="shared" si="3"/>
        <v>8.5199999999999998E-3</v>
      </c>
      <c r="I73" s="167">
        <v>176</v>
      </c>
    </row>
    <row r="74" spans="1:9" hidden="1">
      <c r="A74" s="167">
        <v>68881270</v>
      </c>
      <c r="B74" s="167" t="s">
        <v>383</v>
      </c>
      <c r="C74" s="948" t="s">
        <v>23</v>
      </c>
      <c r="D74" s="932" t="s">
        <v>23</v>
      </c>
      <c r="E74" s="167">
        <v>25</v>
      </c>
      <c r="F74" s="167">
        <v>213</v>
      </c>
      <c r="G74" s="968">
        <f t="shared" si="2"/>
        <v>8.52</v>
      </c>
      <c r="H74" s="969">
        <f t="shared" si="3"/>
        <v>8.5199999999999998E-3</v>
      </c>
      <c r="I74" s="167">
        <v>176</v>
      </c>
    </row>
    <row r="75" spans="1:9" hidden="1">
      <c r="A75" s="167">
        <v>68896052</v>
      </c>
      <c r="B75" s="167" t="s">
        <v>360</v>
      </c>
      <c r="C75" s="932" t="s">
        <v>23</v>
      </c>
      <c r="D75" s="932" t="s">
        <v>23</v>
      </c>
      <c r="E75" s="167">
        <v>25</v>
      </c>
      <c r="F75" s="167">
        <v>213</v>
      </c>
      <c r="G75" s="968">
        <f t="shared" si="2"/>
        <v>8.52</v>
      </c>
      <c r="H75" s="969">
        <f t="shared" si="3"/>
        <v>8.5199999999999998E-3</v>
      </c>
      <c r="I75" s="167">
        <v>176</v>
      </c>
    </row>
    <row r="76" spans="1:9" hidden="1">
      <c r="A76" s="167">
        <v>68896054</v>
      </c>
      <c r="B76" s="167" t="s">
        <v>265</v>
      </c>
      <c r="C76" s="932" t="s">
        <v>23</v>
      </c>
      <c r="D76" s="932" t="s">
        <v>23</v>
      </c>
      <c r="E76" s="167">
        <v>25</v>
      </c>
      <c r="F76" s="167">
        <v>213</v>
      </c>
      <c r="G76" s="968">
        <f t="shared" si="2"/>
        <v>8.52</v>
      </c>
      <c r="H76" s="969">
        <f t="shared" si="3"/>
        <v>8.5199999999999998E-3</v>
      </c>
      <c r="I76" s="167">
        <v>176</v>
      </c>
    </row>
    <row r="77" spans="1:9" hidden="1">
      <c r="A77" s="167">
        <v>68896055</v>
      </c>
      <c r="B77" s="167" t="s">
        <v>307</v>
      </c>
      <c r="C77" s="948" t="s">
        <v>23</v>
      </c>
      <c r="D77" s="932" t="s">
        <v>23</v>
      </c>
      <c r="E77" s="167">
        <v>25</v>
      </c>
      <c r="F77" s="167">
        <v>213</v>
      </c>
      <c r="G77" s="968">
        <f t="shared" si="2"/>
        <v>8.52</v>
      </c>
      <c r="H77" s="969">
        <f t="shared" si="3"/>
        <v>8.5199999999999998E-3</v>
      </c>
      <c r="I77" s="167">
        <v>154</v>
      </c>
    </row>
    <row r="78" spans="1:9" hidden="1">
      <c r="A78" s="167">
        <v>68899821</v>
      </c>
      <c r="B78" s="167" t="s">
        <v>430</v>
      </c>
      <c r="C78" s="932" t="s">
        <v>23</v>
      </c>
      <c r="D78" s="932" t="s">
        <v>23</v>
      </c>
      <c r="E78" s="167">
        <v>25</v>
      </c>
      <c r="F78" s="167">
        <v>213</v>
      </c>
      <c r="G78" s="968">
        <f t="shared" si="2"/>
        <v>8.52</v>
      </c>
      <c r="H78" s="969">
        <f t="shared" si="3"/>
        <v>8.5199999999999998E-3</v>
      </c>
      <c r="I78" s="167">
        <v>176</v>
      </c>
    </row>
    <row r="79" spans="1:9" hidden="1">
      <c r="A79" s="167">
        <v>68899826</v>
      </c>
      <c r="B79" s="167" t="s">
        <v>460</v>
      </c>
      <c r="C79" s="932" t="s">
        <v>23</v>
      </c>
      <c r="D79" s="932" t="s">
        <v>23</v>
      </c>
      <c r="E79" s="167">
        <v>25</v>
      </c>
      <c r="F79" s="167">
        <v>213</v>
      </c>
      <c r="G79" s="968">
        <f t="shared" si="2"/>
        <v>8.52</v>
      </c>
      <c r="H79" s="969">
        <f t="shared" si="3"/>
        <v>8.5199999999999998E-3</v>
      </c>
      <c r="I79" s="167">
        <v>176</v>
      </c>
    </row>
    <row r="80" spans="1:9" hidden="1">
      <c r="A80" s="167">
        <v>68930545</v>
      </c>
      <c r="B80" s="167" t="s">
        <v>349</v>
      </c>
      <c r="C80" s="932" t="s">
        <v>23</v>
      </c>
      <c r="D80" s="932" t="s">
        <v>23</v>
      </c>
      <c r="E80" s="167">
        <v>25</v>
      </c>
      <c r="F80" s="167">
        <v>213</v>
      </c>
      <c r="G80" s="968">
        <f t="shared" si="2"/>
        <v>8.52</v>
      </c>
      <c r="H80" s="969">
        <f t="shared" si="3"/>
        <v>8.5199999999999998E-3</v>
      </c>
      <c r="I80" s="167">
        <v>176</v>
      </c>
    </row>
    <row r="81" spans="1:9" hidden="1">
      <c r="A81" s="167">
        <v>69564623</v>
      </c>
      <c r="B81" s="167" t="s">
        <v>378</v>
      </c>
      <c r="C81" s="932" t="s">
        <v>23</v>
      </c>
      <c r="D81" s="932" t="s">
        <v>23</v>
      </c>
      <c r="E81" s="167">
        <v>25</v>
      </c>
      <c r="F81" s="167">
        <v>213</v>
      </c>
      <c r="G81" s="968">
        <f t="shared" si="2"/>
        <v>8.52</v>
      </c>
      <c r="H81" s="969">
        <f t="shared" si="3"/>
        <v>8.5199999999999998E-3</v>
      </c>
      <c r="I81" s="167">
        <v>176</v>
      </c>
    </row>
    <row r="82" spans="1:9" hidden="1">
      <c r="A82" s="167">
        <v>69568828</v>
      </c>
      <c r="B82" s="167" t="s">
        <v>320</v>
      </c>
      <c r="C82" s="932" t="s">
        <v>23</v>
      </c>
      <c r="D82" s="932" t="s">
        <v>23</v>
      </c>
      <c r="E82" s="167">
        <v>25</v>
      </c>
      <c r="F82" s="167">
        <v>213</v>
      </c>
      <c r="G82" s="968">
        <f t="shared" si="2"/>
        <v>8.52</v>
      </c>
      <c r="H82" s="969">
        <f t="shared" si="3"/>
        <v>8.5199999999999998E-3</v>
      </c>
      <c r="I82" s="167">
        <v>176</v>
      </c>
    </row>
    <row r="83" spans="1:9" hidden="1">
      <c r="A83" s="167">
        <v>69568829</v>
      </c>
      <c r="B83" s="167" t="s">
        <v>487</v>
      </c>
      <c r="C83" s="932" t="s">
        <v>23</v>
      </c>
      <c r="D83" s="932" t="s">
        <v>23</v>
      </c>
      <c r="E83" s="167">
        <v>25</v>
      </c>
      <c r="F83" s="167">
        <v>213</v>
      </c>
      <c r="G83" s="968">
        <f t="shared" si="2"/>
        <v>8.52</v>
      </c>
      <c r="H83" s="969">
        <f t="shared" si="3"/>
        <v>8.5199999999999998E-3</v>
      </c>
      <c r="I83" s="167">
        <v>176</v>
      </c>
    </row>
    <row r="84" spans="1:9" hidden="1">
      <c r="A84" s="167">
        <v>69568962</v>
      </c>
      <c r="B84" s="167" t="s">
        <v>528</v>
      </c>
      <c r="C84" s="932" t="s">
        <v>23</v>
      </c>
      <c r="D84" s="932" t="s">
        <v>23</v>
      </c>
      <c r="E84" s="167">
        <v>25</v>
      </c>
      <c r="F84" s="167">
        <v>213</v>
      </c>
      <c r="G84" s="968">
        <f t="shared" si="2"/>
        <v>8.52</v>
      </c>
      <c r="H84" s="969">
        <f t="shared" si="3"/>
        <v>8.5199999999999998E-3</v>
      </c>
      <c r="I84" s="167">
        <v>176</v>
      </c>
    </row>
    <row r="85" spans="1:9" hidden="1">
      <c r="A85" s="167">
        <v>69568963</v>
      </c>
      <c r="B85" s="167" t="s">
        <v>268</v>
      </c>
      <c r="C85" s="932" t="s">
        <v>23</v>
      </c>
      <c r="D85" s="932" t="s">
        <v>23</v>
      </c>
      <c r="E85" s="167">
        <v>25</v>
      </c>
      <c r="F85" s="167">
        <v>213</v>
      </c>
      <c r="G85" s="968">
        <f t="shared" si="2"/>
        <v>8.52</v>
      </c>
      <c r="H85" s="969">
        <f t="shared" si="3"/>
        <v>8.5199999999999998E-3</v>
      </c>
      <c r="I85" s="167">
        <v>176</v>
      </c>
    </row>
    <row r="86" spans="1:9" hidden="1">
      <c r="A86" s="167">
        <v>69568964</v>
      </c>
      <c r="B86" s="167" t="s">
        <v>444</v>
      </c>
      <c r="C86" s="932" t="s">
        <v>23</v>
      </c>
      <c r="D86" s="932" t="s">
        <v>23</v>
      </c>
      <c r="E86" s="167">
        <v>25</v>
      </c>
      <c r="F86" s="167">
        <v>213</v>
      </c>
      <c r="G86" s="968">
        <f t="shared" si="2"/>
        <v>8.52</v>
      </c>
      <c r="H86" s="969">
        <f t="shared" si="3"/>
        <v>8.5199999999999998E-3</v>
      </c>
      <c r="I86" s="167">
        <v>176</v>
      </c>
    </row>
    <row r="87" spans="1:9" hidden="1">
      <c r="A87" s="167">
        <v>69600846</v>
      </c>
      <c r="B87" s="167" t="s">
        <v>432</v>
      </c>
      <c r="C87" s="932" t="s">
        <v>23</v>
      </c>
      <c r="D87" s="932" t="s">
        <v>23</v>
      </c>
      <c r="E87" s="167">
        <v>25</v>
      </c>
      <c r="F87" s="167">
        <v>213</v>
      </c>
      <c r="G87" s="968">
        <f t="shared" si="2"/>
        <v>8.52</v>
      </c>
      <c r="H87" s="969">
        <f t="shared" si="3"/>
        <v>8.5199999999999998E-3</v>
      </c>
      <c r="I87" s="167">
        <v>154</v>
      </c>
    </row>
    <row r="88" spans="1:9" hidden="1">
      <c r="A88" s="167">
        <v>68890247</v>
      </c>
      <c r="B88" s="167" t="s">
        <v>885</v>
      </c>
      <c r="C88" s="932" t="s">
        <v>23</v>
      </c>
      <c r="D88" s="932" t="s">
        <v>23</v>
      </c>
      <c r="E88" s="167">
        <v>793</v>
      </c>
      <c r="F88" s="167">
        <v>6754</v>
      </c>
      <c r="G88" s="968">
        <f t="shared" si="2"/>
        <v>8.5170239596469113</v>
      </c>
      <c r="H88" s="969">
        <f t="shared" si="3"/>
        <v>8.5170239596469108E-3</v>
      </c>
      <c r="I88" s="167">
        <v>176</v>
      </c>
    </row>
    <row r="89" spans="1:9" hidden="1">
      <c r="A89" s="167">
        <v>64341962</v>
      </c>
      <c r="B89" s="167" t="s">
        <v>443</v>
      </c>
      <c r="C89" s="932" t="s">
        <v>23</v>
      </c>
      <c r="D89" s="932" t="s">
        <v>23</v>
      </c>
      <c r="E89" s="167">
        <v>500</v>
      </c>
      <c r="F89" s="167">
        <v>4257</v>
      </c>
      <c r="G89" s="968">
        <f t="shared" si="2"/>
        <v>8.5139999999999993</v>
      </c>
      <c r="H89" s="969">
        <f t="shared" si="3"/>
        <v>8.513999999999999E-3</v>
      </c>
      <c r="I89" s="167">
        <v>176</v>
      </c>
    </row>
    <row r="90" spans="1:9" hidden="1">
      <c r="A90" s="167">
        <v>64341967</v>
      </c>
      <c r="B90" s="167" t="s">
        <v>260</v>
      </c>
      <c r="C90" s="932" t="s">
        <v>23</v>
      </c>
      <c r="D90" s="932" t="s">
        <v>23</v>
      </c>
      <c r="E90" s="167">
        <v>500</v>
      </c>
      <c r="F90" s="167">
        <v>4257</v>
      </c>
      <c r="G90" s="968">
        <f t="shared" si="2"/>
        <v>8.5139999999999993</v>
      </c>
      <c r="H90" s="969">
        <f t="shared" si="3"/>
        <v>8.513999999999999E-3</v>
      </c>
      <c r="I90" s="167">
        <v>176</v>
      </c>
    </row>
    <row r="91" spans="1:9" ht="15" hidden="1">
      <c r="A91" s="167">
        <v>64403187</v>
      </c>
      <c r="B91" s="167" t="s">
        <v>515</v>
      </c>
      <c r="C91" s="932" t="s">
        <v>23</v>
      </c>
      <c r="D91" s="868" t="s">
        <v>23</v>
      </c>
      <c r="E91" s="167">
        <v>500</v>
      </c>
      <c r="F91" s="167">
        <v>4257</v>
      </c>
      <c r="G91" s="968">
        <f t="shared" si="2"/>
        <v>8.5139999999999993</v>
      </c>
      <c r="H91" s="969">
        <f t="shared" si="3"/>
        <v>8.513999999999999E-3</v>
      </c>
      <c r="I91" s="167">
        <v>176</v>
      </c>
    </row>
    <row r="92" spans="1:9" ht="15" hidden="1">
      <c r="A92" s="167">
        <v>64407917</v>
      </c>
      <c r="B92" s="167" t="s">
        <v>1192</v>
      </c>
      <c r="C92" s="932" t="s">
        <v>144</v>
      </c>
      <c r="D92" s="868" t="s">
        <v>38</v>
      </c>
      <c r="E92" s="167">
        <v>500</v>
      </c>
      <c r="F92" s="167">
        <v>4257</v>
      </c>
      <c r="G92" s="970">
        <f t="shared" si="2"/>
        <v>8.5139999999999993</v>
      </c>
      <c r="H92" s="971">
        <f t="shared" si="3"/>
        <v>8.513999999999999E-3</v>
      </c>
      <c r="I92" s="167">
        <v>60</v>
      </c>
    </row>
    <row r="93" spans="1:9" ht="15" hidden="1">
      <c r="A93" s="939">
        <v>64977526</v>
      </c>
      <c r="B93" s="941" t="s">
        <v>323</v>
      </c>
      <c r="C93" s="932" t="s">
        <v>23</v>
      </c>
      <c r="D93" s="868" t="s">
        <v>23</v>
      </c>
      <c r="E93" s="167">
        <v>500</v>
      </c>
      <c r="F93" s="167">
        <v>4257</v>
      </c>
      <c r="G93" s="968">
        <f t="shared" si="2"/>
        <v>8.5139999999999993</v>
      </c>
      <c r="H93" s="969">
        <f t="shared" si="3"/>
        <v>8.513999999999999E-3</v>
      </c>
      <c r="I93" s="167">
        <v>176</v>
      </c>
    </row>
    <row r="94" spans="1:9" ht="15" hidden="1">
      <c r="A94" s="167">
        <v>64977528</v>
      </c>
      <c r="B94" s="167" t="s">
        <v>425</v>
      </c>
      <c r="C94" s="932" t="s">
        <v>23</v>
      </c>
      <c r="D94" s="868" t="s">
        <v>23</v>
      </c>
      <c r="E94" s="167">
        <v>500</v>
      </c>
      <c r="F94" s="167">
        <v>4257</v>
      </c>
      <c r="G94" s="968">
        <f t="shared" si="2"/>
        <v>8.5139999999999993</v>
      </c>
      <c r="H94" s="969">
        <f t="shared" si="3"/>
        <v>8.513999999999999E-3</v>
      </c>
      <c r="I94" s="167">
        <v>176</v>
      </c>
    </row>
    <row r="95" spans="1:9" ht="15" hidden="1">
      <c r="A95" s="167">
        <v>64977529</v>
      </c>
      <c r="B95" s="167" t="s">
        <v>406</v>
      </c>
      <c r="C95" s="932" t="s">
        <v>23</v>
      </c>
      <c r="D95" s="868" t="s">
        <v>23</v>
      </c>
      <c r="E95" s="167">
        <v>500</v>
      </c>
      <c r="F95" s="167">
        <v>4257</v>
      </c>
      <c r="G95" s="968">
        <f t="shared" si="2"/>
        <v>8.5139999999999993</v>
      </c>
      <c r="H95" s="969">
        <f t="shared" si="3"/>
        <v>8.513999999999999E-3</v>
      </c>
      <c r="I95" s="167">
        <v>176</v>
      </c>
    </row>
    <row r="96" spans="1:9" ht="15" hidden="1">
      <c r="A96" s="167">
        <v>64977530</v>
      </c>
      <c r="B96" s="167" t="s">
        <v>310</v>
      </c>
      <c r="C96" s="932" t="s">
        <v>23</v>
      </c>
      <c r="D96" s="868" t="s">
        <v>23</v>
      </c>
      <c r="E96" s="167">
        <v>500</v>
      </c>
      <c r="F96" s="167">
        <v>4257</v>
      </c>
      <c r="G96" s="968">
        <f t="shared" si="2"/>
        <v>8.5139999999999993</v>
      </c>
      <c r="H96" s="969">
        <f t="shared" si="3"/>
        <v>8.513999999999999E-3</v>
      </c>
      <c r="I96" s="167">
        <v>176</v>
      </c>
    </row>
    <row r="97" spans="1:9" hidden="1">
      <c r="A97" s="167">
        <v>64988055</v>
      </c>
      <c r="B97" s="167" t="s">
        <v>360</v>
      </c>
      <c r="C97" s="932" t="s">
        <v>23</v>
      </c>
      <c r="D97" s="932" t="s">
        <v>23</v>
      </c>
      <c r="E97" s="167">
        <v>500</v>
      </c>
      <c r="F97" s="167">
        <v>4257</v>
      </c>
      <c r="G97" s="968">
        <f t="shared" si="2"/>
        <v>8.5139999999999993</v>
      </c>
      <c r="H97" s="969">
        <f t="shared" si="3"/>
        <v>8.513999999999999E-3</v>
      </c>
      <c r="I97" s="167">
        <v>176</v>
      </c>
    </row>
    <row r="98" spans="1:9" hidden="1">
      <c r="A98" s="167">
        <v>64988056</v>
      </c>
      <c r="B98" s="167" t="s">
        <v>268</v>
      </c>
      <c r="C98" s="932" t="s">
        <v>23</v>
      </c>
      <c r="D98" s="932" t="s">
        <v>23</v>
      </c>
      <c r="E98" s="167">
        <v>500</v>
      </c>
      <c r="F98" s="167">
        <v>4257</v>
      </c>
      <c r="G98" s="968">
        <f t="shared" si="2"/>
        <v>8.5139999999999993</v>
      </c>
      <c r="H98" s="969">
        <f t="shared" si="3"/>
        <v>8.513999999999999E-3</v>
      </c>
      <c r="I98" s="167">
        <v>176</v>
      </c>
    </row>
    <row r="99" spans="1:9" hidden="1">
      <c r="A99" s="167">
        <v>64988057</v>
      </c>
      <c r="B99" s="167" t="s">
        <v>307</v>
      </c>
      <c r="C99" s="932" t="s">
        <v>23</v>
      </c>
      <c r="D99" s="932" t="s">
        <v>23</v>
      </c>
      <c r="E99" s="167">
        <v>500</v>
      </c>
      <c r="F99" s="167">
        <v>4257</v>
      </c>
      <c r="G99" s="968">
        <f t="shared" si="2"/>
        <v>8.5139999999999993</v>
      </c>
      <c r="H99" s="969">
        <f t="shared" si="3"/>
        <v>8.513999999999999E-3</v>
      </c>
      <c r="I99" s="167">
        <v>154</v>
      </c>
    </row>
    <row r="100" spans="1:9" hidden="1">
      <c r="A100" s="930">
        <v>68769685</v>
      </c>
      <c r="B100" s="931" t="s">
        <v>395</v>
      </c>
      <c r="C100" s="932" t="s">
        <v>23</v>
      </c>
      <c r="D100" s="932" t="s">
        <v>23</v>
      </c>
      <c r="E100" s="167">
        <v>500</v>
      </c>
      <c r="F100" s="167">
        <v>4257</v>
      </c>
      <c r="G100" s="968">
        <f t="shared" si="2"/>
        <v>8.5139999999999993</v>
      </c>
      <c r="H100" s="969">
        <f t="shared" si="3"/>
        <v>8.513999999999999E-3</v>
      </c>
      <c r="I100" s="167">
        <v>176</v>
      </c>
    </row>
    <row r="101" spans="1:9" hidden="1">
      <c r="A101" s="167">
        <v>68817796</v>
      </c>
      <c r="B101" s="167" t="s">
        <v>263</v>
      </c>
      <c r="C101" s="932" t="s">
        <v>23</v>
      </c>
      <c r="D101" s="932" t="s">
        <v>23</v>
      </c>
      <c r="E101" s="167">
        <v>500</v>
      </c>
      <c r="F101" s="167">
        <v>4257</v>
      </c>
      <c r="G101" s="968">
        <f t="shared" si="2"/>
        <v>8.5139999999999993</v>
      </c>
      <c r="H101" s="969">
        <f t="shared" si="3"/>
        <v>8.513999999999999E-3</v>
      </c>
      <c r="I101" s="167">
        <v>176</v>
      </c>
    </row>
    <row r="102" spans="1:9" hidden="1">
      <c r="A102" s="167">
        <v>68817800</v>
      </c>
      <c r="B102" s="167" t="s">
        <v>421</v>
      </c>
      <c r="C102" s="932" t="s">
        <v>23</v>
      </c>
      <c r="D102" s="932" t="s">
        <v>23</v>
      </c>
      <c r="E102" s="167">
        <v>500</v>
      </c>
      <c r="F102" s="167">
        <v>4257</v>
      </c>
      <c r="G102" s="968">
        <f t="shared" si="2"/>
        <v>8.5139999999999993</v>
      </c>
      <c r="H102" s="969">
        <f t="shared" si="3"/>
        <v>8.513999999999999E-3</v>
      </c>
      <c r="I102" s="167">
        <v>176</v>
      </c>
    </row>
    <row r="103" spans="1:9" hidden="1">
      <c r="A103" s="167">
        <v>68899825</v>
      </c>
      <c r="B103" s="167" t="s">
        <v>382</v>
      </c>
      <c r="C103" s="932" t="s">
        <v>23</v>
      </c>
      <c r="D103" s="932" t="s">
        <v>23</v>
      </c>
      <c r="E103" s="167">
        <v>500</v>
      </c>
      <c r="F103" s="167">
        <v>4257</v>
      </c>
      <c r="G103" s="968">
        <f t="shared" si="2"/>
        <v>8.5139999999999993</v>
      </c>
      <c r="H103" s="969">
        <f t="shared" si="3"/>
        <v>8.513999999999999E-3</v>
      </c>
      <c r="I103" s="167">
        <v>176</v>
      </c>
    </row>
    <row r="104" spans="1:9" hidden="1">
      <c r="A104" s="167">
        <v>69587863</v>
      </c>
      <c r="B104" s="167" t="s">
        <v>552</v>
      </c>
      <c r="C104" s="932" t="s">
        <v>23</v>
      </c>
      <c r="D104" s="932" t="s">
        <v>23</v>
      </c>
      <c r="E104" s="167">
        <v>500</v>
      </c>
      <c r="F104" s="167">
        <v>4257</v>
      </c>
      <c r="G104" s="968">
        <f t="shared" si="2"/>
        <v>8.5139999999999993</v>
      </c>
      <c r="H104" s="969">
        <f t="shared" si="3"/>
        <v>8.513999999999999E-3</v>
      </c>
      <c r="I104" s="167">
        <v>176</v>
      </c>
    </row>
    <row r="105" spans="1:9" ht="15" hidden="1">
      <c r="A105" s="167">
        <v>68300738</v>
      </c>
      <c r="B105" t="s">
        <v>325</v>
      </c>
      <c r="C105" s="932" t="s">
        <v>31</v>
      </c>
      <c r="D105" s="932" t="s">
        <v>31</v>
      </c>
      <c r="E105" s="167">
        <v>125</v>
      </c>
      <c r="F105" s="167">
        <v>1062</v>
      </c>
      <c r="G105" s="968">
        <f t="shared" si="2"/>
        <v>8.4960000000000004</v>
      </c>
      <c r="H105" s="969">
        <f t="shared" si="3"/>
        <v>8.4960000000000001E-3</v>
      </c>
      <c r="I105" s="167">
        <v>132</v>
      </c>
    </row>
    <row r="106" spans="1:9" hidden="1">
      <c r="A106" s="167">
        <v>68709233</v>
      </c>
      <c r="B106" s="167" t="s">
        <v>426</v>
      </c>
      <c r="C106" s="932" t="s">
        <v>31</v>
      </c>
      <c r="D106" s="932" t="s">
        <v>31</v>
      </c>
      <c r="E106" s="167">
        <v>125</v>
      </c>
      <c r="F106" s="167">
        <v>1062</v>
      </c>
      <c r="G106" s="968">
        <f t="shared" si="2"/>
        <v>8.4960000000000004</v>
      </c>
      <c r="H106" s="969">
        <f t="shared" si="3"/>
        <v>8.4960000000000001E-3</v>
      </c>
      <c r="I106" s="167">
        <v>132</v>
      </c>
    </row>
    <row r="107" spans="1:9" ht="15" hidden="1">
      <c r="A107" s="167">
        <v>64854330</v>
      </c>
      <c r="B107" s="167" t="s">
        <v>605</v>
      </c>
      <c r="C107" s="932" t="s">
        <v>150</v>
      </c>
      <c r="D107" s="868" t="s">
        <v>38</v>
      </c>
      <c r="E107" s="167">
        <v>25</v>
      </c>
      <c r="F107" s="167">
        <v>162</v>
      </c>
      <c r="G107" s="970">
        <f t="shared" si="2"/>
        <v>6.48</v>
      </c>
      <c r="H107" s="971">
        <f t="shared" si="3"/>
        <v>6.4800000000000005E-3</v>
      </c>
      <c r="I107" s="167">
        <v>30</v>
      </c>
    </row>
    <row r="108" spans="1:9" ht="15" hidden="1">
      <c r="A108" s="167">
        <v>64875812</v>
      </c>
      <c r="B108" s="167" t="s">
        <v>347</v>
      </c>
      <c r="C108" s="932" t="s">
        <v>33</v>
      </c>
      <c r="D108" s="868" t="s">
        <v>33</v>
      </c>
      <c r="E108" s="167">
        <v>1</v>
      </c>
      <c r="F108" s="167">
        <v>6</v>
      </c>
      <c r="G108" s="968">
        <f t="shared" si="2"/>
        <v>6</v>
      </c>
      <c r="H108" s="969">
        <f t="shared" si="3"/>
        <v>6.0000000000000001E-3</v>
      </c>
      <c r="I108" s="167">
        <v>108</v>
      </c>
    </row>
    <row r="109" spans="1:9" hidden="1">
      <c r="A109" s="930">
        <v>64997059</v>
      </c>
      <c r="B109" s="931" t="s">
        <v>1050</v>
      </c>
      <c r="C109" s="938" t="s">
        <v>38</v>
      </c>
      <c r="D109" s="932" t="s">
        <v>38</v>
      </c>
      <c r="E109" s="167">
        <v>250</v>
      </c>
      <c r="F109" s="167">
        <v>1419</v>
      </c>
      <c r="G109" s="970">
        <f t="shared" si="2"/>
        <v>5.6760000000000002</v>
      </c>
      <c r="H109" s="971">
        <f t="shared" si="3"/>
        <v>5.6760000000000005E-3</v>
      </c>
      <c r="I109" s="167">
        <v>96</v>
      </c>
    </row>
    <row r="110" spans="1:9" hidden="1">
      <c r="A110" s="167">
        <v>69964648</v>
      </c>
      <c r="B110" s="167" t="s">
        <v>1109</v>
      </c>
      <c r="C110" s="932" t="s">
        <v>35</v>
      </c>
      <c r="D110" s="932" t="s">
        <v>35</v>
      </c>
      <c r="E110" s="167">
        <v>50</v>
      </c>
      <c r="F110" s="167">
        <v>267</v>
      </c>
      <c r="G110" s="968">
        <f t="shared" si="2"/>
        <v>5.34</v>
      </c>
      <c r="H110" s="969">
        <f t="shared" si="3"/>
        <v>5.3400000000000001E-3</v>
      </c>
      <c r="I110" s="167">
        <v>120</v>
      </c>
    </row>
    <row r="111" spans="1:9" hidden="1">
      <c r="A111" s="930">
        <v>69629477</v>
      </c>
      <c r="B111" s="931" t="s">
        <v>984</v>
      </c>
      <c r="C111" s="932" t="s">
        <v>35</v>
      </c>
      <c r="D111" s="932" t="s">
        <v>35</v>
      </c>
      <c r="E111" s="167">
        <v>1000</v>
      </c>
      <c r="F111" s="167">
        <v>5328</v>
      </c>
      <c r="G111" s="968">
        <f t="shared" si="2"/>
        <v>5.3280000000000003</v>
      </c>
      <c r="H111" s="969">
        <f t="shared" si="3"/>
        <v>5.3280000000000003E-3</v>
      </c>
      <c r="I111" s="167">
        <v>108</v>
      </c>
    </row>
    <row r="112" spans="1:9" ht="15" hidden="1">
      <c r="A112" s="167">
        <v>64369052</v>
      </c>
      <c r="B112" s="167" t="s">
        <v>626</v>
      </c>
      <c r="C112" s="932" t="s">
        <v>35</v>
      </c>
      <c r="D112" s="868" t="s">
        <v>35</v>
      </c>
      <c r="E112" s="167">
        <v>500</v>
      </c>
      <c r="F112" s="167">
        <v>2661</v>
      </c>
      <c r="G112" s="968">
        <f t="shared" si="2"/>
        <v>5.3220000000000001</v>
      </c>
      <c r="H112" s="969">
        <f t="shared" si="3"/>
        <v>5.3220000000000003E-3</v>
      </c>
      <c r="I112" s="167">
        <v>120</v>
      </c>
    </row>
    <row r="113" spans="1:10" hidden="1">
      <c r="A113" s="167">
        <v>64989107</v>
      </c>
      <c r="B113" s="167" t="s">
        <v>612</v>
      </c>
      <c r="C113" s="932" t="s">
        <v>113</v>
      </c>
      <c r="D113" s="932" t="s">
        <v>38</v>
      </c>
      <c r="E113" s="167">
        <v>500</v>
      </c>
      <c r="F113" s="167">
        <v>2661</v>
      </c>
      <c r="G113" s="968">
        <f t="shared" si="2"/>
        <v>5.3220000000000001</v>
      </c>
      <c r="H113" s="969">
        <f t="shared" si="3"/>
        <v>5.3220000000000003E-3</v>
      </c>
      <c r="I113" s="167">
        <v>120</v>
      </c>
    </row>
    <row r="114" spans="1:10" hidden="1">
      <c r="A114" s="167">
        <v>64989108</v>
      </c>
      <c r="B114" s="167" t="s">
        <v>613</v>
      </c>
      <c r="C114" s="932" t="s">
        <v>113</v>
      </c>
      <c r="D114" s="932" t="s">
        <v>38</v>
      </c>
      <c r="E114" s="167">
        <v>500</v>
      </c>
      <c r="F114" s="167">
        <v>2661</v>
      </c>
      <c r="G114" s="968">
        <f t="shared" si="2"/>
        <v>5.3220000000000001</v>
      </c>
      <c r="H114" s="969">
        <f t="shared" si="3"/>
        <v>5.3220000000000003E-3</v>
      </c>
      <c r="I114" s="167">
        <v>120</v>
      </c>
      <c r="J114" s="954"/>
    </row>
    <row r="115" spans="1:10" hidden="1">
      <c r="A115" s="167">
        <v>64989109</v>
      </c>
      <c r="B115" s="167" t="s">
        <v>608</v>
      </c>
      <c r="C115" s="932" t="s">
        <v>113</v>
      </c>
      <c r="D115" s="932" t="s">
        <v>38</v>
      </c>
      <c r="E115" s="167">
        <v>500</v>
      </c>
      <c r="F115" s="167">
        <v>2661</v>
      </c>
      <c r="G115" s="968">
        <f t="shared" si="2"/>
        <v>5.3220000000000001</v>
      </c>
      <c r="H115" s="969">
        <f t="shared" si="3"/>
        <v>5.3220000000000003E-3</v>
      </c>
      <c r="I115" s="167">
        <v>120</v>
      </c>
    </row>
    <row r="116" spans="1:10" hidden="1">
      <c r="A116" s="167">
        <v>69556602</v>
      </c>
      <c r="B116" s="167" t="s">
        <v>982</v>
      </c>
      <c r="C116" s="932" t="s">
        <v>35</v>
      </c>
      <c r="D116" s="932" t="s">
        <v>35</v>
      </c>
      <c r="E116" s="167">
        <v>500</v>
      </c>
      <c r="F116" s="167">
        <v>2661</v>
      </c>
      <c r="G116" s="968">
        <f t="shared" si="2"/>
        <v>5.3220000000000001</v>
      </c>
      <c r="H116" s="969">
        <f t="shared" si="3"/>
        <v>5.3220000000000003E-3</v>
      </c>
      <c r="I116" s="167">
        <v>120</v>
      </c>
    </row>
    <row r="117" spans="1:10" hidden="1">
      <c r="A117" s="167">
        <v>69557443</v>
      </c>
      <c r="B117" s="167" t="s">
        <v>629</v>
      </c>
      <c r="C117" s="932" t="s">
        <v>35</v>
      </c>
      <c r="D117" s="932" t="s">
        <v>35</v>
      </c>
      <c r="E117" s="167">
        <v>500</v>
      </c>
      <c r="F117" s="167">
        <v>2661</v>
      </c>
      <c r="G117" s="968">
        <f t="shared" si="2"/>
        <v>5.3220000000000001</v>
      </c>
      <c r="H117" s="969">
        <f t="shared" si="3"/>
        <v>5.3220000000000003E-3</v>
      </c>
      <c r="I117" s="167">
        <v>120</v>
      </c>
    </row>
    <row r="118" spans="1:10" hidden="1">
      <c r="A118" s="930">
        <v>69629469</v>
      </c>
      <c r="B118" s="931" t="s">
        <v>631</v>
      </c>
      <c r="C118" s="932" t="s">
        <v>35</v>
      </c>
      <c r="D118" s="932" t="s">
        <v>35</v>
      </c>
      <c r="E118" s="167">
        <v>500</v>
      </c>
      <c r="F118" s="167">
        <v>2661</v>
      </c>
      <c r="G118" s="968">
        <f t="shared" si="2"/>
        <v>5.3220000000000001</v>
      </c>
      <c r="H118" s="969">
        <f t="shared" si="3"/>
        <v>5.3220000000000003E-3</v>
      </c>
      <c r="I118" s="167">
        <v>120</v>
      </c>
    </row>
    <row r="119" spans="1:10" hidden="1">
      <c r="A119" s="930">
        <v>69652931</v>
      </c>
      <c r="B119" s="931" t="s">
        <v>613</v>
      </c>
      <c r="C119" s="938" t="s">
        <v>113</v>
      </c>
      <c r="D119" s="932" t="s">
        <v>38</v>
      </c>
      <c r="E119" s="167">
        <v>500</v>
      </c>
      <c r="F119" s="167">
        <v>2661</v>
      </c>
      <c r="G119" s="968">
        <f t="shared" si="2"/>
        <v>5.3220000000000001</v>
      </c>
      <c r="H119" s="969">
        <f t="shared" si="3"/>
        <v>5.3220000000000003E-3</v>
      </c>
      <c r="I119" s="167">
        <v>120</v>
      </c>
    </row>
    <row r="120" spans="1:10" hidden="1">
      <c r="A120" s="167">
        <v>69653125</v>
      </c>
      <c r="B120" s="167" t="s">
        <v>612</v>
      </c>
      <c r="C120" s="932" t="s">
        <v>113</v>
      </c>
      <c r="D120" s="932" t="s">
        <v>38</v>
      </c>
      <c r="E120" s="167">
        <v>500</v>
      </c>
      <c r="F120" s="167">
        <v>2661</v>
      </c>
      <c r="G120" s="968">
        <f t="shared" si="2"/>
        <v>5.3220000000000001</v>
      </c>
      <c r="H120" s="969">
        <f t="shared" si="3"/>
        <v>5.3220000000000003E-3</v>
      </c>
      <c r="I120" s="167">
        <v>120</v>
      </c>
    </row>
    <row r="121" spans="1:10" hidden="1">
      <c r="A121" s="167">
        <v>69653140</v>
      </c>
      <c r="B121" s="167" t="s">
        <v>608</v>
      </c>
      <c r="C121" s="932" t="s">
        <v>113</v>
      </c>
      <c r="D121" s="932" t="s">
        <v>38</v>
      </c>
      <c r="E121" s="167">
        <v>500</v>
      </c>
      <c r="F121" s="167">
        <v>2661</v>
      </c>
      <c r="G121" s="968">
        <f t="shared" si="2"/>
        <v>5.3220000000000001</v>
      </c>
      <c r="H121" s="969">
        <f t="shared" si="3"/>
        <v>5.3220000000000003E-3</v>
      </c>
      <c r="I121" s="167">
        <v>120</v>
      </c>
    </row>
    <row r="122" spans="1:10" ht="15" hidden="1">
      <c r="A122" s="167">
        <v>64833353</v>
      </c>
      <c r="B122" s="167" t="s">
        <v>358</v>
      </c>
      <c r="C122" s="932" t="s">
        <v>39</v>
      </c>
      <c r="D122" s="868" t="s">
        <v>39</v>
      </c>
      <c r="E122" s="167">
        <v>25</v>
      </c>
      <c r="F122" s="167">
        <v>132</v>
      </c>
      <c r="G122" s="968">
        <f t="shared" si="2"/>
        <v>5.28</v>
      </c>
      <c r="H122" s="969">
        <f t="shared" si="3"/>
        <v>5.28E-3</v>
      </c>
      <c r="I122" s="167">
        <v>130</v>
      </c>
    </row>
    <row r="123" spans="1:10" hidden="1">
      <c r="A123" s="167">
        <v>62714126</v>
      </c>
      <c r="B123" s="167" t="s">
        <v>402</v>
      </c>
      <c r="C123" s="932" t="s">
        <v>39</v>
      </c>
      <c r="D123" s="932" t="s">
        <v>39</v>
      </c>
      <c r="E123" s="167">
        <v>250</v>
      </c>
      <c r="F123" s="167">
        <v>1317</v>
      </c>
      <c r="G123" s="968">
        <f t="shared" si="2"/>
        <v>5.2679999999999998</v>
      </c>
      <c r="H123" s="969">
        <f t="shared" si="3"/>
        <v>5.2680000000000001E-3</v>
      </c>
      <c r="I123" s="167">
        <v>130</v>
      </c>
    </row>
    <row r="124" spans="1:10" hidden="1">
      <c r="A124" s="930">
        <v>62714129</v>
      </c>
      <c r="B124" s="931" t="s">
        <v>292</v>
      </c>
      <c r="C124" s="938" t="s">
        <v>39</v>
      </c>
      <c r="D124" s="932" t="s">
        <v>39</v>
      </c>
      <c r="E124" s="167">
        <v>250</v>
      </c>
      <c r="F124" s="167">
        <v>1317</v>
      </c>
      <c r="G124" s="968">
        <f t="shared" si="2"/>
        <v>5.2679999999999998</v>
      </c>
      <c r="H124" s="969">
        <f t="shared" si="3"/>
        <v>5.2680000000000001E-3</v>
      </c>
      <c r="I124" s="167">
        <v>130</v>
      </c>
    </row>
    <row r="125" spans="1:10" hidden="1">
      <c r="A125" s="942">
        <v>64341106</v>
      </c>
      <c r="B125" s="941" t="s">
        <v>293</v>
      </c>
      <c r="C125" s="932" t="s">
        <v>39</v>
      </c>
      <c r="D125" s="932" t="s">
        <v>39</v>
      </c>
      <c r="E125" s="167">
        <v>250</v>
      </c>
      <c r="F125" s="167">
        <v>1317</v>
      </c>
      <c r="G125" s="968">
        <f t="shared" si="2"/>
        <v>5.2679999999999998</v>
      </c>
      <c r="H125" s="969">
        <f t="shared" si="3"/>
        <v>5.2680000000000001E-3</v>
      </c>
      <c r="I125" s="167">
        <v>130</v>
      </c>
    </row>
    <row r="126" spans="1:10" hidden="1">
      <c r="A126" s="936">
        <v>64341107</v>
      </c>
      <c r="B126" s="937" t="s">
        <v>507</v>
      </c>
      <c r="C126" s="938" t="s">
        <v>39</v>
      </c>
      <c r="D126" s="932" t="s">
        <v>39</v>
      </c>
      <c r="E126" s="167">
        <v>250</v>
      </c>
      <c r="F126" s="167">
        <v>1317</v>
      </c>
      <c r="G126" s="968">
        <f t="shared" si="2"/>
        <v>5.2679999999999998</v>
      </c>
      <c r="H126" s="969">
        <f t="shared" si="3"/>
        <v>5.2680000000000001E-3</v>
      </c>
      <c r="I126" s="167">
        <v>130</v>
      </c>
    </row>
    <row r="127" spans="1:10" ht="15" hidden="1">
      <c r="A127" s="167">
        <v>64776958</v>
      </c>
      <c r="B127" s="167" t="s">
        <v>292</v>
      </c>
      <c r="C127" s="868" t="s">
        <v>39</v>
      </c>
      <c r="D127" s="868" t="s">
        <v>39</v>
      </c>
      <c r="E127" s="167">
        <v>250</v>
      </c>
      <c r="F127" s="167">
        <v>1317</v>
      </c>
      <c r="G127" s="968">
        <f t="shared" si="2"/>
        <v>5.2679999999999998</v>
      </c>
      <c r="H127" s="969">
        <f t="shared" si="3"/>
        <v>5.2680000000000001E-3</v>
      </c>
      <c r="I127" s="167">
        <v>130</v>
      </c>
    </row>
    <row r="128" spans="1:10" hidden="1">
      <c r="A128" s="167">
        <v>69629468</v>
      </c>
      <c r="B128" s="167" t="s">
        <v>291</v>
      </c>
      <c r="C128" s="932" t="s">
        <v>39</v>
      </c>
      <c r="D128" s="932" t="s">
        <v>39</v>
      </c>
      <c r="E128" s="167">
        <v>250</v>
      </c>
      <c r="F128" s="167">
        <v>1317</v>
      </c>
      <c r="G128" s="968">
        <f t="shared" si="2"/>
        <v>5.2679999999999998</v>
      </c>
      <c r="H128" s="969">
        <f t="shared" si="3"/>
        <v>5.2680000000000001E-3</v>
      </c>
      <c r="I128" s="167">
        <v>130</v>
      </c>
    </row>
    <row r="129" spans="1:9" hidden="1">
      <c r="A129" s="942">
        <v>69725082</v>
      </c>
      <c r="B129" s="941" t="s">
        <v>292</v>
      </c>
      <c r="C129" s="932" t="s">
        <v>39</v>
      </c>
      <c r="D129" s="932" t="s">
        <v>39</v>
      </c>
      <c r="E129" s="167">
        <v>250</v>
      </c>
      <c r="F129" s="167">
        <v>1317</v>
      </c>
      <c r="G129" s="968">
        <f t="shared" si="2"/>
        <v>5.2679999999999998</v>
      </c>
      <c r="H129" s="969">
        <f t="shared" si="3"/>
        <v>5.2680000000000001E-3</v>
      </c>
      <c r="I129" s="167">
        <v>130</v>
      </c>
    </row>
    <row r="130" spans="1:9" hidden="1">
      <c r="A130" s="930">
        <v>69725083</v>
      </c>
      <c r="B130" s="931" t="s">
        <v>358</v>
      </c>
      <c r="C130" s="932" t="s">
        <v>39</v>
      </c>
      <c r="D130" s="932" t="s">
        <v>39</v>
      </c>
      <c r="E130" s="167">
        <v>250</v>
      </c>
      <c r="F130" s="167">
        <v>1317</v>
      </c>
      <c r="G130" s="968">
        <f t="shared" ref="G130:G193" si="4">F130/E130</f>
        <v>5.2679999999999998</v>
      </c>
      <c r="H130" s="969">
        <f t="shared" ref="H130:H193" si="5">G130/1000</f>
        <v>5.2680000000000001E-3</v>
      </c>
      <c r="I130" s="167">
        <v>130</v>
      </c>
    </row>
    <row r="131" spans="1:9" hidden="1">
      <c r="A131" s="930">
        <v>69727314</v>
      </c>
      <c r="B131" s="931" t="s">
        <v>402</v>
      </c>
      <c r="C131" s="932" t="s">
        <v>39</v>
      </c>
      <c r="D131" s="932" t="s">
        <v>39</v>
      </c>
      <c r="E131" s="167">
        <v>250</v>
      </c>
      <c r="F131" s="167">
        <v>1317</v>
      </c>
      <c r="G131" s="968">
        <f t="shared" si="4"/>
        <v>5.2679999999999998</v>
      </c>
      <c r="H131" s="969">
        <f t="shared" si="5"/>
        <v>5.2680000000000001E-3</v>
      </c>
      <c r="I131" s="167">
        <v>130</v>
      </c>
    </row>
    <row r="132" spans="1:9" hidden="1">
      <c r="A132" s="167">
        <v>69727308</v>
      </c>
      <c r="B132" s="167" t="s">
        <v>404</v>
      </c>
      <c r="C132" s="932" t="s">
        <v>39</v>
      </c>
      <c r="D132" s="932" t="s">
        <v>39</v>
      </c>
      <c r="E132" s="167">
        <v>500</v>
      </c>
      <c r="F132" s="167">
        <v>2553</v>
      </c>
      <c r="G132" s="968">
        <f t="shared" si="4"/>
        <v>5.1059999999999999</v>
      </c>
      <c r="H132" s="969">
        <f t="shared" si="5"/>
        <v>5.1060000000000003E-3</v>
      </c>
      <c r="I132" s="167">
        <v>130</v>
      </c>
    </row>
    <row r="133" spans="1:9" ht="15" hidden="1">
      <c r="A133" s="942">
        <v>64776952</v>
      </c>
      <c r="B133" s="941" t="s">
        <v>404</v>
      </c>
      <c r="C133" s="868" t="s">
        <v>39</v>
      </c>
      <c r="D133" s="868" t="s">
        <v>39</v>
      </c>
      <c r="E133" s="167">
        <v>500</v>
      </c>
      <c r="F133" s="167">
        <v>2547</v>
      </c>
      <c r="G133" s="968">
        <f t="shared" si="4"/>
        <v>5.0940000000000003</v>
      </c>
      <c r="H133" s="969">
        <f t="shared" si="5"/>
        <v>5.0940000000000004E-3</v>
      </c>
      <c r="I133" s="167">
        <v>130</v>
      </c>
    </row>
    <row r="134" spans="1:9" hidden="1">
      <c r="A134" s="930">
        <v>69796888</v>
      </c>
      <c r="B134" s="931" t="s">
        <v>541</v>
      </c>
      <c r="C134" s="932" t="s">
        <v>86</v>
      </c>
      <c r="D134" s="932" t="s">
        <v>38</v>
      </c>
      <c r="E134" s="167">
        <v>125</v>
      </c>
      <c r="F134" s="167">
        <v>621</v>
      </c>
      <c r="G134" s="970">
        <f t="shared" si="4"/>
        <v>4.968</v>
      </c>
      <c r="H134" s="971">
        <f t="shared" si="5"/>
        <v>4.9680000000000002E-3</v>
      </c>
      <c r="I134" s="167">
        <v>182</v>
      </c>
    </row>
    <row r="135" spans="1:9" hidden="1">
      <c r="A135" s="167">
        <v>69798155</v>
      </c>
      <c r="B135" s="167" t="s">
        <v>511</v>
      </c>
      <c r="C135" s="932" t="s">
        <v>86</v>
      </c>
      <c r="D135" s="932" t="s">
        <v>38</v>
      </c>
      <c r="E135" s="167">
        <v>125</v>
      </c>
      <c r="F135" s="167">
        <v>621</v>
      </c>
      <c r="G135" s="970">
        <f t="shared" si="4"/>
        <v>4.968</v>
      </c>
      <c r="H135" s="971">
        <f t="shared" si="5"/>
        <v>4.9680000000000002E-3</v>
      </c>
      <c r="I135" s="167">
        <v>182</v>
      </c>
    </row>
    <row r="136" spans="1:9" hidden="1">
      <c r="A136" s="167">
        <v>69798156</v>
      </c>
      <c r="B136" s="167" t="s">
        <v>555</v>
      </c>
      <c r="C136" s="932" t="s">
        <v>86</v>
      </c>
      <c r="D136" s="932" t="s">
        <v>38</v>
      </c>
      <c r="E136" s="167">
        <v>125</v>
      </c>
      <c r="F136" s="167">
        <v>621</v>
      </c>
      <c r="G136" s="970">
        <f t="shared" si="4"/>
        <v>4.968</v>
      </c>
      <c r="H136" s="971">
        <f t="shared" si="5"/>
        <v>4.9680000000000002E-3</v>
      </c>
      <c r="I136" s="167">
        <v>182</v>
      </c>
    </row>
    <row r="137" spans="1:9" hidden="1">
      <c r="A137" s="167">
        <v>69798161</v>
      </c>
      <c r="B137" s="167" t="s">
        <v>521</v>
      </c>
      <c r="C137" s="932" t="s">
        <v>86</v>
      </c>
      <c r="D137" s="932" t="s">
        <v>38</v>
      </c>
      <c r="E137" s="167">
        <v>125</v>
      </c>
      <c r="F137" s="167">
        <v>621</v>
      </c>
      <c r="G137" s="970">
        <f t="shared" si="4"/>
        <v>4.968</v>
      </c>
      <c r="H137" s="971">
        <f t="shared" si="5"/>
        <v>4.9680000000000002E-3</v>
      </c>
      <c r="I137" s="167">
        <v>182</v>
      </c>
    </row>
    <row r="138" spans="1:9" hidden="1">
      <c r="A138" s="167">
        <v>64393719</v>
      </c>
      <c r="B138" s="167" t="s">
        <v>331</v>
      </c>
      <c r="C138" s="932" t="s">
        <v>37</v>
      </c>
      <c r="D138" s="932" t="s">
        <v>37</v>
      </c>
      <c r="E138" s="167">
        <v>125</v>
      </c>
      <c r="F138" s="167">
        <v>532</v>
      </c>
      <c r="G138" s="970">
        <f t="shared" si="4"/>
        <v>4.2560000000000002</v>
      </c>
      <c r="H138" s="971">
        <f t="shared" si="5"/>
        <v>4.2560000000000002E-3</v>
      </c>
      <c r="I138" s="167">
        <v>143</v>
      </c>
    </row>
    <row r="139" spans="1:9" ht="15" hidden="1">
      <c r="A139" s="167">
        <v>64399865</v>
      </c>
      <c r="B139" s="167" t="s">
        <v>456</v>
      </c>
      <c r="C139" s="932" t="s">
        <v>36</v>
      </c>
      <c r="D139" s="868" t="s">
        <v>36</v>
      </c>
      <c r="E139" s="167">
        <v>125</v>
      </c>
      <c r="F139" s="167">
        <v>532</v>
      </c>
      <c r="G139" s="968">
        <f t="shared" si="4"/>
        <v>4.2560000000000002</v>
      </c>
      <c r="H139" s="969">
        <f t="shared" si="5"/>
        <v>4.2560000000000002E-3</v>
      </c>
      <c r="I139" s="167">
        <v>154</v>
      </c>
    </row>
    <row r="140" spans="1:9" hidden="1">
      <c r="A140" s="167">
        <v>64786666</v>
      </c>
      <c r="B140" s="167" t="s">
        <v>405</v>
      </c>
      <c r="C140" s="932" t="s">
        <v>36</v>
      </c>
      <c r="D140" s="932" t="s">
        <v>36</v>
      </c>
      <c r="E140" s="167">
        <v>125</v>
      </c>
      <c r="F140" s="167">
        <v>532</v>
      </c>
      <c r="G140" s="968">
        <f t="shared" si="4"/>
        <v>4.2560000000000002</v>
      </c>
      <c r="H140" s="969">
        <f t="shared" si="5"/>
        <v>4.2560000000000002E-3</v>
      </c>
      <c r="I140" s="167">
        <v>154</v>
      </c>
    </row>
    <row r="141" spans="1:9" ht="15" hidden="1">
      <c r="A141" s="939">
        <v>64979407</v>
      </c>
      <c r="B141" s="941" t="s">
        <v>284</v>
      </c>
      <c r="C141" s="932" t="s">
        <v>37</v>
      </c>
      <c r="D141" s="868" t="s">
        <v>37</v>
      </c>
      <c r="E141" s="167">
        <v>125</v>
      </c>
      <c r="F141" s="167">
        <v>532</v>
      </c>
      <c r="G141" s="970">
        <f t="shared" si="4"/>
        <v>4.2560000000000002</v>
      </c>
      <c r="H141" s="971">
        <f t="shared" si="5"/>
        <v>4.2560000000000002E-3</v>
      </c>
      <c r="I141" s="167">
        <v>143</v>
      </c>
    </row>
    <row r="142" spans="1:9" hidden="1">
      <c r="A142" s="167">
        <v>68709181</v>
      </c>
      <c r="B142" s="167" t="s">
        <v>405</v>
      </c>
      <c r="C142" s="932" t="s">
        <v>36</v>
      </c>
      <c r="D142" s="932" t="s">
        <v>36</v>
      </c>
      <c r="E142" s="167">
        <v>125</v>
      </c>
      <c r="F142" s="167">
        <v>532</v>
      </c>
      <c r="G142" s="968">
        <f t="shared" si="4"/>
        <v>4.2560000000000002</v>
      </c>
      <c r="H142" s="969">
        <f t="shared" si="5"/>
        <v>4.2560000000000002E-3</v>
      </c>
      <c r="I142" s="167">
        <v>154</v>
      </c>
    </row>
    <row r="143" spans="1:9" hidden="1">
      <c r="A143" s="167">
        <v>68741742</v>
      </c>
      <c r="B143" s="167" t="s">
        <v>288</v>
      </c>
      <c r="C143" s="932" t="s">
        <v>36</v>
      </c>
      <c r="D143" s="932" t="s">
        <v>36</v>
      </c>
      <c r="E143" s="167">
        <v>125</v>
      </c>
      <c r="F143" s="167">
        <v>532</v>
      </c>
      <c r="G143" s="968">
        <f t="shared" si="4"/>
        <v>4.2560000000000002</v>
      </c>
      <c r="H143" s="969">
        <f t="shared" si="5"/>
        <v>4.2560000000000002E-3</v>
      </c>
      <c r="I143" s="167">
        <v>154</v>
      </c>
    </row>
    <row r="144" spans="1:9" hidden="1">
      <c r="A144" s="167">
        <v>69591655</v>
      </c>
      <c r="B144" s="167" t="s">
        <v>362</v>
      </c>
      <c r="C144" s="932" t="s">
        <v>37</v>
      </c>
      <c r="D144" s="932" t="s">
        <v>37</v>
      </c>
      <c r="E144" s="167">
        <v>125</v>
      </c>
      <c r="F144" s="167">
        <v>532</v>
      </c>
      <c r="G144" s="970">
        <f t="shared" si="4"/>
        <v>4.2560000000000002</v>
      </c>
      <c r="H144" s="971">
        <f t="shared" si="5"/>
        <v>4.2560000000000002E-3</v>
      </c>
      <c r="I144" s="167">
        <v>143</v>
      </c>
    </row>
    <row r="145" spans="1:9" hidden="1">
      <c r="A145" s="167">
        <v>69591665</v>
      </c>
      <c r="B145" s="167" t="s">
        <v>388</v>
      </c>
      <c r="C145" s="932" t="s">
        <v>37</v>
      </c>
      <c r="D145" s="932" t="s">
        <v>37</v>
      </c>
      <c r="E145" s="167">
        <v>125</v>
      </c>
      <c r="F145" s="167">
        <v>532</v>
      </c>
      <c r="G145" s="970">
        <f t="shared" si="4"/>
        <v>4.2560000000000002</v>
      </c>
      <c r="H145" s="971">
        <f t="shared" si="5"/>
        <v>4.2560000000000002E-3</v>
      </c>
      <c r="I145" s="167">
        <v>143</v>
      </c>
    </row>
    <row r="146" spans="1:9" hidden="1">
      <c r="A146" s="167">
        <v>69591667</v>
      </c>
      <c r="B146" s="167" t="s">
        <v>509</v>
      </c>
      <c r="C146" s="932" t="s">
        <v>37</v>
      </c>
      <c r="D146" s="932" t="s">
        <v>37</v>
      </c>
      <c r="E146" s="167">
        <v>125</v>
      </c>
      <c r="F146" s="167">
        <v>532</v>
      </c>
      <c r="G146" s="970">
        <f t="shared" si="4"/>
        <v>4.2560000000000002</v>
      </c>
      <c r="H146" s="971">
        <f t="shared" si="5"/>
        <v>4.2560000000000002E-3</v>
      </c>
      <c r="I146" s="167">
        <v>143</v>
      </c>
    </row>
    <row r="147" spans="1:9" hidden="1">
      <c r="A147" s="942">
        <v>69717801</v>
      </c>
      <c r="B147" s="941" t="s">
        <v>509</v>
      </c>
      <c r="C147" s="932" t="s">
        <v>37</v>
      </c>
      <c r="D147" s="932" t="s">
        <v>37</v>
      </c>
      <c r="E147" s="167">
        <v>125</v>
      </c>
      <c r="F147" s="167">
        <v>532</v>
      </c>
      <c r="G147" s="970">
        <f t="shared" si="4"/>
        <v>4.2560000000000002</v>
      </c>
      <c r="H147" s="971">
        <f t="shared" si="5"/>
        <v>4.2560000000000002E-3</v>
      </c>
      <c r="I147" s="167">
        <v>143</v>
      </c>
    </row>
    <row r="148" spans="1:9" hidden="1">
      <c r="A148" s="942">
        <v>69717802</v>
      </c>
      <c r="B148" s="941" t="s">
        <v>388</v>
      </c>
      <c r="C148" s="932" t="s">
        <v>37</v>
      </c>
      <c r="D148" s="932" t="s">
        <v>37</v>
      </c>
      <c r="E148" s="167">
        <v>125</v>
      </c>
      <c r="F148" s="167">
        <v>532</v>
      </c>
      <c r="G148" s="970">
        <f t="shared" si="4"/>
        <v>4.2560000000000002</v>
      </c>
      <c r="H148" s="971">
        <f t="shared" si="5"/>
        <v>4.2560000000000002E-3</v>
      </c>
      <c r="I148" s="167">
        <v>143</v>
      </c>
    </row>
    <row r="149" spans="1:9" hidden="1">
      <c r="A149" s="942">
        <v>69717803</v>
      </c>
      <c r="B149" s="941" t="s">
        <v>362</v>
      </c>
      <c r="C149" s="932" t="s">
        <v>37</v>
      </c>
      <c r="D149" s="932" t="s">
        <v>37</v>
      </c>
      <c r="E149" s="167">
        <v>125</v>
      </c>
      <c r="F149" s="167">
        <v>532</v>
      </c>
      <c r="G149" s="970">
        <f t="shared" si="4"/>
        <v>4.2560000000000002</v>
      </c>
      <c r="H149" s="971">
        <f t="shared" si="5"/>
        <v>4.2560000000000002E-3</v>
      </c>
      <c r="I149" s="167">
        <v>143</v>
      </c>
    </row>
    <row r="150" spans="1:9" hidden="1">
      <c r="A150" s="930">
        <v>69797468</v>
      </c>
      <c r="B150" s="167" t="s">
        <v>545</v>
      </c>
      <c r="C150" s="932" t="s">
        <v>37</v>
      </c>
      <c r="D150" s="932" t="s">
        <v>37</v>
      </c>
      <c r="E150" s="167">
        <v>125</v>
      </c>
      <c r="F150" s="167">
        <v>532</v>
      </c>
      <c r="G150" s="970">
        <f t="shared" si="4"/>
        <v>4.2560000000000002</v>
      </c>
      <c r="H150" s="971">
        <f t="shared" si="5"/>
        <v>4.2560000000000002E-3</v>
      </c>
      <c r="I150" s="167">
        <v>143</v>
      </c>
    </row>
    <row r="151" spans="1:9" ht="15" hidden="1">
      <c r="A151" s="167">
        <v>64825255</v>
      </c>
      <c r="B151" s="167" t="s">
        <v>611</v>
      </c>
      <c r="C151" s="868" t="s">
        <v>38</v>
      </c>
      <c r="D151" s="868" t="s">
        <v>38</v>
      </c>
      <c r="E151" s="167">
        <v>125</v>
      </c>
      <c r="F151" s="167">
        <v>531</v>
      </c>
      <c r="G151" s="970">
        <f t="shared" si="4"/>
        <v>4.2480000000000002</v>
      </c>
      <c r="H151" s="971">
        <f t="shared" si="5"/>
        <v>4.248E-3</v>
      </c>
      <c r="I151" s="167">
        <v>324</v>
      </c>
    </row>
    <row r="152" spans="1:9" ht="15" hidden="1">
      <c r="A152" s="939">
        <v>64979410</v>
      </c>
      <c r="B152" s="941" t="s">
        <v>611</v>
      </c>
      <c r="C152" s="868" t="s">
        <v>38</v>
      </c>
      <c r="D152" s="868" t="s">
        <v>38</v>
      </c>
      <c r="E152" s="167">
        <v>125</v>
      </c>
      <c r="F152" s="167">
        <v>531</v>
      </c>
      <c r="G152" s="970">
        <f t="shared" si="4"/>
        <v>4.2480000000000002</v>
      </c>
      <c r="H152" s="971">
        <f t="shared" si="5"/>
        <v>4.248E-3</v>
      </c>
      <c r="I152" s="167">
        <v>324</v>
      </c>
    </row>
    <row r="153" spans="1:9" ht="15" hidden="1">
      <c r="A153" s="167">
        <v>68521425</v>
      </c>
      <c r="B153" s="167" t="s">
        <v>611</v>
      </c>
      <c r="C153" s="868" t="s">
        <v>38</v>
      </c>
      <c r="D153" s="868" t="s">
        <v>38</v>
      </c>
      <c r="E153" s="167">
        <v>125</v>
      </c>
      <c r="F153" s="167">
        <v>531</v>
      </c>
      <c r="G153" s="970">
        <f t="shared" si="4"/>
        <v>4.2480000000000002</v>
      </c>
      <c r="H153" s="971">
        <f t="shared" si="5"/>
        <v>4.248E-3</v>
      </c>
      <c r="I153" s="167">
        <v>216</v>
      </c>
    </row>
    <row r="154" spans="1:9" hidden="1">
      <c r="A154" s="167">
        <v>68917388</v>
      </c>
      <c r="B154" s="167" t="s">
        <v>561</v>
      </c>
      <c r="C154" s="932" t="s">
        <v>32</v>
      </c>
      <c r="D154" s="932" t="s">
        <v>32</v>
      </c>
      <c r="E154" s="167">
        <v>125</v>
      </c>
      <c r="F154" s="167">
        <v>489</v>
      </c>
      <c r="G154" s="968">
        <f t="shared" si="4"/>
        <v>3.9119999999999999</v>
      </c>
      <c r="H154" s="969">
        <f t="shared" si="5"/>
        <v>3.9119999999999997E-3</v>
      </c>
      <c r="I154" s="167">
        <v>322</v>
      </c>
    </row>
    <row r="155" spans="1:9" hidden="1">
      <c r="A155" s="167">
        <v>69983234</v>
      </c>
      <c r="B155" s="167" t="s">
        <v>412</v>
      </c>
      <c r="C155" s="932" t="s">
        <v>36</v>
      </c>
      <c r="D155" s="932" t="s">
        <v>36</v>
      </c>
      <c r="E155" s="167">
        <v>125</v>
      </c>
      <c r="F155" s="167">
        <v>488</v>
      </c>
      <c r="G155" s="968">
        <f t="shared" si="4"/>
        <v>3.9039999999999999</v>
      </c>
      <c r="H155" s="969">
        <f t="shared" si="5"/>
        <v>3.9039999999999999E-3</v>
      </c>
      <c r="I155" s="167">
        <v>154</v>
      </c>
    </row>
    <row r="156" spans="1:9" hidden="1">
      <c r="A156" s="167">
        <v>64786654</v>
      </c>
      <c r="B156" s="167" t="s">
        <v>484</v>
      </c>
      <c r="C156" s="932" t="s">
        <v>36</v>
      </c>
      <c r="D156" s="932" t="s">
        <v>36</v>
      </c>
      <c r="E156" s="167">
        <v>125</v>
      </c>
      <c r="F156" s="167">
        <v>487</v>
      </c>
      <c r="G156" s="968">
        <f t="shared" si="4"/>
        <v>3.8959999999999999</v>
      </c>
      <c r="H156" s="969">
        <f t="shared" si="5"/>
        <v>3.8959999999999997E-3</v>
      </c>
      <c r="I156" s="167">
        <v>154</v>
      </c>
    </row>
    <row r="157" spans="1:9" hidden="1">
      <c r="A157" s="167">
        <v>69551489</v>
      </c>
      <c r="B157" s="167" t="s">
        <v>431</v>
      </c>
      <c r="C157" s="932" t="s">
        <v>36</v>
      </c>
      <c r="D157" s="932" t="s">
        <v>36</v>
      </c>
      <c r="E157" s="167">
        <v>125</v>
      </c>
      <c r="F157" s="167">
        <v>487</v>
      </c>
      <c r="G157" s="968">
        <f t="shared" si="4"/>
        <v>3.8959999999999999</v>
      </c>
      <c r="H157" s="969">
        <f t="shared" si="5"/>
        <v>3.8959999999999997E-3</v>
      </c>
      <c r="I157" s="167">
        <v>154</v>
      </c>
    </row>
    <row r="158" spans="1:9" hidden="1">
      <c r="A158" s="167">
        <v>64378129</v>
      </c>
      <c r="B158" s="167" t="s">
        <v>627</v>
      </c>
      <c r="C158" s="932" t="s">
        <v>38</v>
      </c>
      <c r="D158" s="932" t="s">
        <v>38</v>
      </c>
      <c r="E158" s="167">
        <v>25</v>
      </c>
      <c r="F158" s="167">
        <v>96</v>
      </c>
      <c r="G158" s="970">
        <f t="shared" si="4"/>
        <v>3.84</v>
      </c>
      <c r="H158" s="971">
        <f t="shared" si="5"/>
        <v>3.8399999999999997E-3</v>
      </c>
      <c r="I158" s="167">
        <v>110</v>
      </c>
    </row>
    <row r="159" spans="1:9" ht="15" hidden="1">
      <c r="A159" s="942">
        <v>64776954</v>
      </c>
      <c r="B159" s="941" t="s">
        <v>285</v>
      </c>
      <c r="C159" s="868" t="s">
        <v>1040</v>
      </c>
      <c r="D159" s="868" t="s">
        <v>1040</v>
      </c>
      <c r="E159" s="167">
        <v>500</v>
      </c>
      <c r="F159" s="167">
        <v>1917</v>
      </c>
      <c r="G159" s="968">
        <f t="shared" si="4"/>
        <v>3.8340000000000001</v>
      </c>
      <c r="H159" s="969">
        <f t="shared" si="5"/>
        <v>3.8340000000000002E-3</v>
      </c>
      <c r="I159" s="167">
        <v>130</v>
      </c>
    </row>
    <row r="160" spans="1:9" hidden="1">
      <c r="A160" s="930">
        <v>69727312</v>
      </c>
      <c r="B160" s="931" t="s">
        <v>977</v>
      </c>
      <c r="C160" s="932" t="s">
        <v>39</v>
      </c>
      <c r="D160" s="932" t="s">
        <v>39</v>
      </c>
      <c r="E160" s="167">
        <v>500</v>
      </c>
      <c r="F160" s="167">
        <v>1917</v>
      </c>
      <c r="G160" s="968">
        <f t="shared" si="4"/>
        <v>3.8340000000000001</v>
      </c>
      <c r="H160" s="969">
        <f t="shared" si="5"/>
        <v>3.8340000000000002E-3</v>
      </c>
      <c r="I160" s="167">
        <v>130</v>
      </c>
    </row>
    <row r="161" spans="1:9" hidden="1">
      <c r="A161" s="930">
        <v>67473913</v>
      </c>
      <c r="B161" s="931" t="s">
        <v>468</v>
      </c>
      <c r="C161" s="938" t="s">
        <v>87</v>
      </c>
      <c r="D161" s="932" t="s">
        <v>29</v>
      </c>
      <c r="E161" s="167">
        <v>15625</v>
      </c>
      <c r="F161" s="167">
        <v>59146</v>
      </c>
      <c r="G161" s="970">
        <f t="shared" si="4"/>
        <v>3.7853439999999998</v>
      </c>
      <c r="H161" s="971">
        <f t="shared" si="5"/>
        <v>3.7853439999999999E-3</v>
      </c>
      <c r="I161" s="167">
        <v>240</v>
      </c>
    </row>
    <row r="162" spans="1:9" hidden="1">
      <c r="A162" s="167">
        <v>67546042</v>
      </c>
      <c r="B162" s="167" t="s">
        <v>397</v>
      </c>
      <c r="C162" s="932" t="s">
        <v>29</v>
      </c>
      <c r="D162" s="932" t="s">
        <v>29</v>
      </c>
      <c r="E162" s="167">
        <v>15625</v>
      </c>
      <c r="F162" s="167">
        <v>59146</v>
      </c>
      <c r="G162" s="968">
        <f t="shared" si="4"/>
        <v>3.7853439999999998</v>
      </c>
      <c r="H162" s="969">
        <f t="shared" si="5"/>
        <v>3.7853439999999999E-3</v>
      </c>
      <c r="I162" s="167">
        <v>240</v>
      </c>
    </row>
    <row r="163" spans="1:9" hidden="1">
      <c r="A163" s="167">
        <v>67789314</v>
      </c>
      <c r="B163" s="167" t="s">
        <v>344</v>
      </c>
      <c r="C163" s="938" t="s">
        <v>29</v>
      </c>
      <c r="D163" s="932" t="s">
        <v>29</v>
      </c>
      <c r="E163" s="167">
        <v>15625</v>
      </c>
      <c r="F163" s="167">
        <v>59146</v>
      </c>
      <c r="G163" s="968">
        <f t="shared" si="4"/>
        <v>3.7853439999999998</v>
      </c>
      <c r="H163" s="969">
        <f t="shared" si="5"/>
        <v>3.7853439999999999E-3</v>
      </c>
      <c r="I163" s="167">
        <v>240</v>
      </c>
    </row>
    <row r="164" spans="1:9" hidden="1">
      <c r="A164" s="930">
        <v>67794167</v>
      </c>
      <c r="B164" s="931" t="s">
        <v>343</v>
      </c>
      <c r="C164" s="938" t="s">
        <v>29</v>
      </c>
      <c r="D164" s="932" t="s">
        <v>29</v>
      </c>
      <c r="E164" s="167">
        <v>15625</v>
      </c>
      <c r="F164" s="167">
        <v>59146</v>
      </c>
      <c r="G164" s="968">
        <f t="shared" si="4"/>
        <v>3.7853439999999998</v>
      </c>
      <c r="H164" s="969">
        <f t="shared" si="5"/>
        <v>3.7853439999999999E-3</v>
      </c>
      <c r="I164" s="167">
        <v>240</v>
      </c>
    </row>
    <row r="165" spans="1:9" hidden="1">
      <c r="A165" s="930">
        <v>67794168</v>
      </c>
      <c r="B165" s="931" t="s">
        <v>413</v>
      </c>
      <c r="C165" s="932" t="s">
        <v>29</v>
      </c>
      <c r="D165" s="932" t="s">
        <v>29</v>
      </c>
      <c r="E165" s="167">
        <v>15625</v>
      </c>
      <c r="F165" s="167">
        <v>59146</v>
      </c>
      <c r="G165" s="968">
        <f t="shared" si="4"/>
        <v>3.7853439999999998</v>
      </c>
      <c r="H165" s="969">
        <f t="shared" si="5"/>
        <v>3.7853439999999999E-3</v>
      </c>
      <c r="I165" s="167">
        <v>240</v>
      </c>
    </row>
    <row r="166" spans="1:9" hidden="1">
      <c r="A166" s="939">
        <v>67794169</v>
      </c>
      <c r="B166" s="941" t="s">
        <v>352</v>
      </c>
      <c r="C166" s="932" t="s">
        <v>29</v>
      </c>
      <c r="D166" s="932" t="s">
        <v>29</v>
      </c>
      <c r="E166" s="167">
        <v>15625</v>
      </c>
      <c r="F166" s="167">
        <v>59146</v>
      </c>
      <c r="G166" s="968">
        <f t="shared" si="4"/>
        <v>3.7853439999999998</v>
      </c>
      <c r="H166" s="969">
        <f t="shared" si="5"/>
        <v>3.7853439999999999E-3</v>
      </c>
      <c r="I166" s="167">
        <v>240</v>
      </c>
    </row>
    <row r="167" spans="1:9" hidden="1">
      <c r="A167" s="167">
        <v>67794170</v>
      </c>
      <c r="B167" s="167" t="s">
        <v>414</v>
      </c>
      <c r="C167" s="932" t="s">
        <v>29</v>
      </c>
      <c r="D167" s="932" t="s">
        <v>29</v>
      </c>
      <c r="E167" s="167">
        <v>15625</v>
      </c>
      <c r="F167" s="167">
        <v>59146</v>
      </c>
      <c r="G167" s="968">
        <f t="shared" si="4"/>
        <v>3.7853439999999998</v>
      </c>
      <c r="H167" s="969">
        <f t="shared" si="5"/>
        <v>3.7853439999999999E-3</v>
      </c>
      <c r="I167" s="167">
        <v>240</v>
      </c>
    </row>
    <row r="168" spans="1:9" hidden="1">
      <c r="A168" s="167">
        <v>67826412</v>
      </c>
      <c r="B168" s="167" t="s">
        <v>312</v>
      </c>
      <c r="C168" s="932" t="s">
        <v>29</v>
      </c>
      <c r="D168" s="932" t="s">
        <v>29</v>
      </c>
      <c r="E168" s="167">
        <v>15625</v>
      </c>
      <c r="F168" s="167">
        <v>59146</v>
      </c>
      <c r="G168" s="968">
        <f t="shared" si="4"/>
        <v>3.7853439999999998</v>
      </c>
      <c r="H168" s="969">
        <f t="shared" si="5"/>
        <v>3.7853439999999999E-3</v>
      </c>
      <c r="I168" s="167">
        <v>240</v>
      </c>
    </row>
    <row r="169" spans="1:9" hidden="1">
      <c r="A169" s="930">
        <v>67867261</v>
      </c>
      <c r="B169" s="931" t="s">
        <v>954</v>
      </c>
      <c r="C169" s="938" t="s">
        <v>29</v>
      </c>
      <c r="D169" s="932" t="s">
        <v>29</v>
      </c>
      <c r="E169" s="167">
        <v>15625</v>
      </c>
      <c r="F169" s="167">
        <v>59146</v>
      </c>
      <c r="G169" s="968">
        <f t="shared" si="4"/>
        <v>3.7853439999999998</v>
      </c>
      <c r="H169" s="969">
        <f t="shared" si="5"/>
        <v>3.7853439999999999E-3</v>
      </c>
      <c r="I169" s="167">
        <v>240</v>
      </c>
    </row>
    <row r="170" spans="1:9" hidden="1">
      <c r="A170" s="167">
        <v>67881628</v>
      </c>
      <c r="B170" s="167" t="s">
        <v>345</v>
      </c>
      <c r="C170" s="932" t="s">
        <v>29</v>
      </c>
      <c r="D170" s="932" t="s">
        <v>29</v>
      </c>
      <c r="E170" s="167">
        <v>15625</v>
      </c>
      <c r="F170" s="167">
        <v>59146</v>
      </c>
      <c r="G170" s="968">
        <f t="shared" si="4"/>
        <v>3.7853439999999998</v>
      </c>
      <c r="H170" s="969">
        <f t="shared" si="5"/>
        <v>3.7853439999999999E-3</v>
      </c>
      <c r="I170" s="167">
        <v>240</v>
      </c>
    </row>
    <row r="171" spans="1:9" hidden="1">
      <c r="A171" s="930">
        <v>67881629</v>
      </c>
      <c r="B171" s="931" t="s">
        <v>337</v>
      </c>
      <c r="C171" s="932" t="s">
        <v>29</v>
      </c>
      <c r="D171" s="932" t="s">
        <v>29</v>
      </c>
      <c r="E171" s="167">
        <v>15625</v>
      </c>
      <c r="F171" s="167">
        <v>59146</v>
      </c>
      <c r="G171" s="968">
        <f t="shared" si="4"/>
        <v>3.7853439999999998</v>
      </c>
      <c r="H171" s="969">
        <f t="shared" si="5"/>
        <v>3.7853439999999999E-3</v>
      </c>
      <c r="I171" s="167">
        <v>240</v>
      </c>
    </row>
    <row r="172" spans="1:9" hidden="1">
      <c r="A172" s="930">
        <v>67995090</v>
      </c>
      <c r="B172" s="931" t="s">
        <v>557</v>
      </c>
      <c r="C172" s="932" t="s">
        <v>29</v>
      </c>
      <c r="D172" s="932" t="s">
        <v>29</v>
      </c>
      <c r="E172" s="167">
        <v>15625</v>
      </c>
      <c r="F172" s="167">
        <v>59146</v>
      </c>
      <c r="G172" s="968">
        <f t="shared" si="4"/>
        <v>3.7853439999999998</v>
      </c>
      <c r="H172" s="969">
        <f t="shared" si="5"/>
        <v>3.7853439999999999E-3</v>
      </c>
      <c r="I172" s="167">
        <v>240</v>
      </c>
    </row>
    <row r="173" spans="1:9" hidden="1">
      <c r="A173" s="167">
        <v>68638140</v>
      </c>
      <c r="B173" s="167" t="s">
        <v>546</v>
      </c>
      <c r="C173" s="932" t="s">
        <v>29</v>
      </c>
      <c r="D173" s="932" t="s">
        <v>29</v>
      </c>
      <c r="E173" s="167">
        <v>15625</v>
      </c>
      <c r="F173" s="167">
        <v>59146</v>
      </c>
      <c r="G173" s="968">
        <f t="shared" si="4"/>
        <v>3.7853439999999998</v>
      </c>
      <c r="H173" s="969">
        <f t="shared" si="5"/>
        <v>3.7853439999999999E-3</v>
      </c>
      <c r="I173" s="167">
        <v>240</v>
      </c>
    </row>
    <row r="174" spans="1:9" hidden="1">
      <c r="A174" s="167">
        <v>68638142</v>
      </c>
      <c r="B174" s="167" t="s">
        <v>547</v>
      </c>
      <c r="C174" s="932" t="s">
        <v>29</v>
      </c>
      <c r="D174" s="932" t="s">
        <v>29</v>
      </c>
      <c r="E174" s="167">
        <v>15625</v>
      </c>
      <c r="F174" s="167">
        <v>59146</v>
      </c>
      <c r="G174" s="968">
        <f t="shared" si="4"/>
        <v>3.7853439999999998</v>
      </c>
      <c r="H174" s="969">
        <f t="shared" si="5"/>
        <v>3.7853439999999999E-3</v>
      </c>
      <c r="I174" s="167">
        <v>240</v>
      </c>
    </row>
    <row r="175" spans="1:9" hidden="1">
      <c r="A175" s="167">
        <v>68726916</v>
      </c>
      <c r="B175" s="167" t="s">
        <v>527</v>
      </c>
      <c r="C175" s="932" t="s">
        <v>41</v>
      </c>
      <c r="D175" s="932" t="s">
        <v>41</v>
      </c>
      <c r="E175" s="167">
        <v>15625</v>
      </c>
      <c r="F175" s="167">
        <v>59146</v>
      </c>
      <c r="G175" s="968">
        <f t="shared" si="4"/>
        <v>3.7853439999999998</v>
      </c>
      <c r="H175" s="969">
        <f t="shared" si="5"/>
        <v>3.7853439999999999E-3</v>
      </c>
      <c r="I175" s="167">
        <v>255</v>
      </c>
    </row>
    <row r="176" spans="1:9" hidden="1">
      <c r="A176" s="167">
        <v>68730234</v>
      </c>
      <c r="B176" s="167" t="s">
        <v>411</v>
      </c>
      <c r="C176" s="932" t="s">
        <v>41</v>
      </c>
      <c r="D176" s="932" t="s">
        <v>41</v>
      </c>
      <c r="E176" s="167">
        <v>15625</v>
      </c>
      <c r="F176" s="167">
        <v>59146</v>
      </c>
      <c r="G176" s="968">
        <f t="shared" si="4"/>
        <v>3.7853439999999998</v>
      </c>
      <c r="H176" s="969">
        <f t="shared" si="5"/>
        <v>3.7853439999999999E-3</v>
      </c>
      <c r="I176" s="167">
        <v>255</v>
      </c>
    </row>
    <row r="177" spans="1:9" hidden="1">
      <c r="A177" s="930">
        <v>68730252</v>
      </c>
      <c r="B177" s="167" t="s">
        <v>458</v>
      </c>
      <c r="C177" s="932" t="s">
        <v>41</v>
      </c>
      <c r="D177" s="932" t="s">
        <v>41</v>
      </c>
      <c r="E177" s="167">
        <v>15625</v>
      </c>
      <c r="F177" s="167">
        <v>59146</v>
      </c>
      <c r="G177" s="968">
        <f t="shared" si="4"/>
        <v>3.7853439999999998</v>
      </c>
      <c r="H177" s="969">
        <f t="shared" si="5"/>
        <v>3.7853439999999999E-3</v>
      </c>
      <c r="I177" s="167">
        <v>255</v>
      </c>
    </row>
    <row r="178" spans="1:9" hidden="1">
      <c r="A178" s="930">
        <v>68730257</v>
      </c>
      <c r="B178" s="931" t="s">
        <v>525</v>
      </c>
      <c r="C178" s="932" t="s">
        <v>41</v>
      </c>
      <c r="D178" s="932" t="s">
        <v>41</v>
      </c>
      <c r="E178" s="167">
        <v>15625</v>
      </c>
      <c r="F178" s="167">
        <v>59146</v>
      </c>
      <c r="G178" s="968">
        <f t="shared" si="4"/>
        <v>3.7853439999999998</v>
      </c>
      <c r="H178" s="969">
        <f t="shared" si="5"/>
        <v>3.7853439999999999E-3</v>
      </c>
      <c r="I178" s="167">
        <v>255</v>
      </c>
    </row>
    <row r="179" spans="1:9" hidden="1">
      <c r="A179" s="167">
        <v>84135718</v>
      </c>
      <c r="B179" s="167" t="s">
        <v>338</v>
      </c>
      <c r="C179" s="932" t="s">
        <v>29</v>
      </c>
      <c r="D179" s="932" t="s">
        <v>29</v>
      </c>
      <c r="E179" s="167">
        <v>15625</v>
      </c>
      <c r="F179" s="167">
        <v>59146</v>
      </c>
      <c r="G179" s="968">
        <f t="shared" si="4"/>
        <v>3.7853439999999998</v>
      </c>
      <c r="H179" s="969">
        <f t="shared" si="5"/>
        <v>3.7853439999999999E-3</v>
      </c>
      <c r="I179" s="167">
        <v>240</v>
      </c>
    </row>
    <row r="180" spans="1:9" hidden="1">
      <c r="A180" s="167">
        <v>84135770</v>
      </c>
      <c r="B180" s="167" t="s">
        <v>415</v>
      </c>
      <c r="C180" s="932" t="s">
        <v>29</v>
      </c>
      <c r="D180" s="932" t="s">
        <v>29</v>
      </c>
      <c r="E180" s="167">
        <v>15625</v>
      </c>
      <c r="F180" s="167">
        <v>59146</v>
      </c>
      <c r="G180" s="968">
        <f t="shared" si="4"/>
        <v>3.7853439999999998</v>
      </c>
      <c r="H180" s="969">
        <f t="shared" si="5"/>
        <v>3.7853439999999999E-3</v>
      </c>
      <c r="I180" s="167">
        <v>240</v>
      </c>
    </row>
    <row r="181" spans="1:9" hidden="1">
      <c r="A181" s="167">
        <v>84135781</v>
      </c>
      <c r="B181" s="167" t="s">
        <v>302</v>
      </c>
      <c r="C181" s="932" t="s">
        <v>29</v>
      </c>
      <c r="D181" s="932" t="s">
        <v>29</v>
      </c>
      <c r="E181" s="167">
        <v>15625</v>
      </c>
      <c r="F181" s="167">
        <v>59146</v>
      </c>
      <c r="G181" s="968">
        <f t="shared" si="4"/>
        <v>3.7853439999999998</v>
      </c>
      <c r="H181" s="969">
        <f t="shared" si="5"/>
        <v>3.7853439999999999E-3</v>
      </c>
      <c r="I181" s="167">
        <v>240</v>
      </c>
    </row>
    <row r="182" spans="1:9" hidden="1">
      <c r="A182" s="167">
        <v>84136043</v>
      </c>
      <c r="B182" s="167" t="s">
        <v>390</v>
      </c>
      <c r="C182" s="932" t="s">
        <v>29</v>
      </c>
      <c r="D182" s="932" t="s">
        <v>29</v>
      </c>
      <c r="E182" s="167">
        <v>15625</v>
      </c>
      <c r="F182" s="167">
        <v>59146</v>
      </c>
      <c r="G182" s="968">
        <f t="shared" si="4"/>
        <v>3.7853439999999998</v>
      </c>
      <c r="H182" s="969">
        <f t="shared" si="5"/>
        <v>3.7853439999999999E-3</v>
      </c>
      <c r="I182" s="167">
        <v>240</v>
      </c>
    </row>
    <row r="183" spans="1:9" hidden="1">
      <c r="A183" s="167">
        <v>84136704</v>
      </c>
      <c r="B183" s="167" t="s">
        <v>416</v>
      </c>
      <c r="C183" s="932" t="s">
        <v>29</v>
      </c>
      <c r="D183" s="932" t="s">
        <v>29</v>
      </c>
      <c r="E183" s="167">
        <v>15625</v>
      </c>
      <c r="F183" s="167">
        <v>59146</v>
      </c>
      <c r="G183" s="968">
        <f t="shared" si="4"/>
        <v>3.7853439999999998</v>
      </c>
      <c r="H183" s="969">
        <f t="shared" si="5"/>
        <v>3.7853439999999999E-3</v>
      </c>
      <c r="I183" s="167">
        <v>240</v>
      </c>
    </row>
    <row r="184" spans="1:9" hidden="1">
      <c r="A184" s="167">
        <v>84137694</v>
      </c>
      <c r="B184" s="167" t="s">
        <v>417</v>
      </c>
      <c r="C184" s="932" t="s">
        <v>29</v>
      </c>
      <c r="D184" s="932" t="s">
        <v>29</v>
      </c>
      <c r="E184" s="167">
        <v>15625</v>
      </c>
      <c r="F184" s="167">
        <v>59146</v>
      </c>
      <c r="G184" s="968">
        <f t="shared" si="4"/>
        <v>3.7853439999999998</v>
      </c>
      <c r="H184" s="969">
        <f t="shared" si="5"/>
        <v>3.7853439999999999E-3</v>
      </c>
      <c r="I184" s="167">
        <v>240</v>
      </c>
    </row>
    <row r="185" spans="1:9" hidden="1">
      <c r="A185" s="167">
        <v>84137725</v>
      </c>
      <c r="B185" s="167" t="s">
        <v>278</v>
      </c>
      <c r="C185" s="932" t="s">
        <v>29</v>
      </c>
      <c r="D185" s="932" t="s">
        <v>29</v>
      </c>
      <c r="E185" s="167">
        <v>15625</v>
      </c>
      <c r="F185" s="167">
        <v>59146</v>
      </c>
      <c r="G185" s="968">
        <f t="shared" si="4"/>
        <v>3.7853439999999998</v>
      </c>
      <c r="H185" s="969">
        <f t="shared" si="5"/>
        <v>3.7853439999999999E-3</v>
      </c>
      <c r="I185" s="167">
        <v>240</v>
      </c>
    </row>
    <row r="186" spans="1:9" hidden="1">
      <c r="A186" s="167">
        <v>84138391</v>
      </c>
      <c r="B186" s="167" t="s">
        <v>339</v>
      </c>
      <c r="C186" s="932" t="s">
        <v>29</v>
      </c>
      <c r="D186" s="932" t="s">
        <v>29</v>
      </c>
      <c r="E186" s="167">
        <v>15625</v>
      </c>
      <c r="F186" s="167">
        <v>59146</v>
      </c>
      <c r="G186" s="968">
        <f t="shared" si="4"/>
        <v>3.7853439999999998</v>
      </c>
      <c r="H186" s="969">
        <f t="shared" si="5"/>
        <v>3.7853439999999999E-3</v>
      </c>
      <c r="I186" s="167">
        <v>240</v>
      </c>
    </row>
    <row r="187" spans="1:9" hidden="1">
      <c r="A187" s="167">
        <v>84139090</v>
      </c>
      <c r="B187" s="167" t="s">
        <v>477</v>
      </c>
      <c r="C187" s="932" t="s">
        <v>29</v>
      </c>
      <c r="D187" s="932" t="s">
        <v>29</v>
      </c>
      <c r="E187" s="167">
        <v>15625</v>
      </c>
      <c r="F187" s="167">
        <v>59146</v>
      </c>
      <c r="G187" s="968">
        <f t="shared" si="4"/>
        <v>3.7853439999999998</v>
      </c>
      <c r="H187" s="969">
        <f t="shared" si="5"/>
        <v>3.7853439999999999E-3</v>
      </c>
      <c r="I187" s="167">
        <v>240</v>
      </c>
    </row>
    <row r="188" spans="1:9" hidden="1">
      <c r="A188" s="167">
        <v>84141102</v>
      </c>
      <c r="B188" s="167" t="s">
        <v>374</v>
      </c>
      <c r="C188" s="932" t="s">
        <v>29</v>
      </c>
      <c r="D188" s="932" t="s">
        <v>29</v>
      </c>
      <c r="E188" s="167">
        <v>15625</v>
      </c>
      <c r="F188" s="167">
        <v>59146</v>
      </c>
      <c r="G188" s="968">
        <f t="shared" si="4"/>
        <v>3.7853439999999998</v>
      </c>
      <c r="H188" s="969">
        <f t="shared" si="5"/>
        <v>3.7853439999999999E-3</v>
      </c>
      <c r="I188" s="167">
        <v>240</v>
      </c>
    </row>
    <row r="189" spans="1:9" hidden="1">
      <c r="A189" s="167">
        <v>84141103</v>
      </c>
      <c r="B189" s="167" t="s">
        <v>314</v>
      </c>
      <c r="C189" s="932" t="s">
        <v>29</v>
      </c>
      <c r="D189" s="932" t="s">
        <v>29</v>
      </c>
      <c r="E189" s="167">
        <v>15625</v>
      </c>
      <c r="F189" s="167">
        <v>59146</v>
      </c>
      <c r="G189" s="968">
        <f t="shared" si="4"/>
        <v>3.7853439999999998</v>
      </c>
      <c r="H189" s="969">
        <f t="shared" si="5"/>
        <v>3.7853439999999999E-3</v>
      </c>
      <c r="I189" s="167">
        <v>240</v>
      </c>
    </row>
    <row r="190" spans="1:9" hidden="1">
      <c r="A190" s="167">
        <v>84144598</v>
      </c>
      <c r="B190" s="167" t="s">
        <v>364</v>
      </c>
      <c r="C190" s="932" t="s">
        <v>29</v>
      </c>
      <c r="D190" s="932" t="s">
        <v>29</v>
      </c>
      <c r="E190" s="167">
        <v>15625</v>
      </c>
      <c r="F190" s="167">
        <v>59146</v>
      </c>
      <c r="G190" s="968">
        <f t="shared" si="4"/>
        <v>3.7853439999999998</v>
      </c>
      <c r="H190" s="969">
        <f t="shared" si="5"/>
        <v>3.7853439999999999E-3</v>
      </c>
      <c r="I190" s="167">
        <v>240</v>
      </c>
    </row>
    <row r="191" spans="1:9" hidden="1">
      <c r="A191" s="167">
        <v>84146285</v>
      </c>
      <c r="B191" s="167" t="s">
        <v>951</v>
      </c>
      <c r="C191" s="932" t="s">
        <v>29</v>
      </c>
      <c r="D191" s="932" t="s">
        <v>29</v>
      </c>
      <c r="E191" s="167">
        <v>15625</v>
      </c>
      <c r="F191" s="167">
        <v>59146</v>
      </c>
      <c r="G191" s="968">
        <f t="shared" si="4"/>
        <v>3.7853439999999998</v>
      </c>
      <c r="H191" s="969">
        <f t="shared" si="5"/>
        <v>3.7853439999999999E-3</v>
      </c>
      <c r="I191" s="167">
        <v>240</v>
      </c>
    </row>
    <row r="192" spans="1:9" hidden="1">
      <c r="A192" s="167">
        <v>84161610</v>
      </c>
      <c r="B192" s="167" t="s">
        <v>309</v>
      </c>
      <c r="C192" s="932" t="s">
        <v>29</v>
      </c>
      <c r="D192" s="932" t="s">
        <v>29</v>
      </c>
      <c r="E192" s="167">
        <v>15625</v>
      </c>
      <c r="F192" s="167">
        <v>59146</v>
      </c>
      <c r="G192" s="968">
        <f t="shared" si="4"/>
        <v>3.7853439999999998</v>
      </c>
      <c r="H192" s="969">
        <f t="shared" si="5"/>
        <v>3.7853439999999999E-3</v>
      </c>
      <c r="I192" s="167">
        <v>240</v>
      </c>
    </row>
    <row r="193" spans="1:9" hidden="1">
      <c r="A193" s="167">
        <v>84163503</v>
      </c>
      <c r="B193" s="931" t="s">
        <v>517</v>
      </c>
      <c r="C193" s="932" t="s">
        <v>29</v>
      </c>
      <c r="D193" s="932" t="s">
        <v>29</v>
      </c>
      <c r="E193" s="167">
        <v>15625</v>
      </c>
      <c r="F193" s="167">
        <v>59146</v>
      </c>
      <c r="G193" s="968">
        <f t="shared" si="4"/>
        <v>3.7853439999999998</v>
      </c>
      <c r="H193" s="969">
        <f t="shared" si="5"/>
        <v>3.7853439999999999E-3</v>
      </c>
      <c r="I193" s="167">
        <v>240</v>
      </c>
    </row>
    <row r="194" spans="1:9" hidden="1">
      <c r="A194" s="167">
        <v>84163605</v>
      </c>
      <c r="B194" s="931" t="s">
        <v>419</v>
      </c>
      <c r="C194" s="932" t="s">
        <v>29</v>
      </c>
      <c r="D194" s="932" t="s">
        <v>29</v>
      </c>
      <c r="E194" s="167">
        <v>15625</v>
      </c>
      <c r="F194" s="167">
        <v>59146</v>
      </c>
      <c r="G194" s="968">
        <f t="shared" ref="G194:G257" si="6">F194/E194</f>
        <v>3.7853439999999998</v>
      </c>
      <c r="H194" s="969">
        <f t="shared" ref="H194:H257" si="7">G194/1000</f>
        <v>3.7853439999999999E-3</v>
      </c>
      <c r="I194" s="167">
        <v>240</v>
      </c>
    </row>
    <row r="195" spans="1:9" hidden="1">
      <c r="A195" s="167">
        <v>84164936</v>
      </c>
      <c r="B195" s="931" t="s">
        <v>420</v>
      </c>
      <c r="C195" s="932" t="s">
        <v>29</v>
      </c>
      <c r="D195" s="932" t="s">
        <v>29</v>
      </c>
      <c r="E195" s="167">
        <v>15625</v>
      </c>
      <c r="F195" s="167">
        <v>59146</v>
      </c>
      <c r="G195" s="968">
        <f t="shared" si="6"/>
        <v>3.7853439999999998</v>
      </c>
      <c r="H195" s="969">
        <f t="shared" si="7"/>
        <v>3.7853439999999999E-3</v>
      </c>
      <c r="I195" s="167">
        <v>240</v>
      </c>
    </row>
    <row r="196" spans="1:9" hidden="1">
      <c r="A196" s="167">
        <v>84164937</v>
      </c>
      <c r="B196" s="167" t="s">
        <v>371</v>
      </c>
      <c r="C196" s="932" t="s">
        <v>29</v>
      </c>
      <c r="D196" s="932" t="s">
        <v>29</v>
      </c>
      <c r="E196" s="167">
        <v>15625</v>
      </c>
      <c r="F196" s="167">
        <v>59146</v>
      </c>
      <c r="G196" s="968">
        <f t="shared" si="6"/>
        <v>3.7853439999999998</v>
      </c>
      <c r="H196" s="969">
        <f t="shared" si="7"/>
        <v>3.7853439999999999E-3</v>
      </c>
      <c r="I196" s="167">
        <v>240</v>
      </c>
    </row>
    <row r="197" spans="1:9" hidden="1">
      <c r="A197" s="930">
        <v>62678148</v>
      </c>
      <c r="B197" s="931" t="s">
        <v>445</v>
      </c>
      <c r="C197" s="932" t="s">
        <v>29</v>
      </c>
      <c r="D197" s="932" t="s">
        <v>29</v>
      </c>
      <c r="E197" s="167">
        <v>125</v>
      </c>
      <c r="F197" s="167">
        <v>473</v>
      </c>
      <c r="G197" s="968">
        <f t="shared" si="6"/>
        <v>3.7839999999999998</v>
      </c>
      <c r="H197" s="969">
        <f t="shared" si="7"/>
        <v>3.7839999999999996E-3</v>
      </c>
      <c r="I197" s="167">
        <v>240</v>
      </c>
    </row>
    <row r="198" spans="1:9" hidden="1">
      <c r="A198" s="930">
        <v>62678150</v>
      </c>
      <c r="B198" s="931" t="s">
        <v>491</v>
      </c>
      <c r="C198" s="932" t="s">
        <v>29</v>
      </c>
      <c r="D198" s="932" t="s">
        <v>29</v>
      </c>
      <c r="E198" s="167">
        <v>125</v>
      </c>
      <c r="F198" s="167">
        <v>473</v>
      </c>
      <c r="G198" s="968">
        <f t="shared" si="6"/>
        <v>3.7839999999999998</v>
      </c>
      <c r="H198" s="969">
        <f t="shared" si="7"/>
        <v>3.7839999999999996E-3</v>
      </c>
      <c r="I198" s="167">
        <v>240</v>
      </c>
    </row>
    <row r="199" spans="1:9" hidden="1">
      <c r="A199" s="930">
        <v>62678151</v>
      </c>
      <c r="B199" s="931" t="s">
        <v>539</v>
      </c>
      <c r="C199" s="932" t="s">
        <v>29</v>
      </c>
      <c r="D199" s="935" t="s">
        <v>29</v>
      </c>
      <c r="E199" s="167">
        <v>125</v>
      </c>
      <c r="F199" s="167">
        <v>473</v>
      </c>
      <c r="G199" s="968">
        <f t="shared" si="6"/>
        <v>3.7839999999999998</v>
      </c>
      <c r="H199" s="969">
        <f t="shared" si="7"/>
        <v>3.7839999999999996E-3</v>
      </c>
      <c r="I199" s="167">
        <v>240</v>
      </c>
    </row>
    <row r="200" spans="1:9" hidden="1">
      <c r="A200" s="930">
        <v>62678152</v>
      </c>
      <c r="B200" s="931" t="s">
        <v>465</v>
      </c>
      <c r="C200" s="932" t="s">
        <v>29</v>
      </c>
      <c r="D200" s="932" t="s">
        <v>29</v>
      </c>
      <c r="E200" s="167">
        <v>125</v>
      </c>
      <c r="F200" s="167">
        <v>473</v>
      </c>
      <c r="G200" s="968">
        <f t="shared" si="6"/>
        <v>3.7839999999999998</v>
      </c>
      <c r="H200" s="969">
        <f t="shared" si="7"/>
        <v>3.7839999999999996E-3</v>
      </c>
      <c r="I200" s="167">
        <v>240</v>
      </c>
    </row>
    <row r="201" spans="1:9" hidden="1">
      <c r="A201" s="930">
        <v>62678153</v>
      </c>
      <c r="B201" s="931" t="s">
        <v>446</v>
      </c>
      <c r="C201" s="932" t="s">
        <v>29</v>
      </c>
      <c r="D201" s="932" t="s">
        <v>29</v>
      </c>
      <c r="E201" s="167">
        <v>125</v>
      </c>
      <c r="F201" s="167">
        <v>473</v>
      </c>
      <c r="G201" s="968">
        <f t="shared" si="6"/>
        <v>3.7839999999999998</v>
      </c>
      <c r="H201" s="969">
        <f t="shared" si="7"/>
        <v>3.7839999999999996E-3</v>
      </c>
      <c r="I201" s="167">
        <v>240</v>
      </c>
    </row>
    <row r="202" spans="1:9" hidden="1">
      <c r="A202" s="167">
        <v>62697527</v>
      </c>
      <c r="B202" s="167" t="s">
        <v>492</v>
      </c>
      <c r="C202" s="932" t="s">
        <v>29</v>
      </c>
      <c r="D202" s="932" t="s">
        <v>29</v>
      </c>
      <c r="E202" s="167">
        <v>125</v>
      </c>
      <c r="F202" s="167">
        <v>473</v>
      </c>
      <c r="G202" s="968">
        <f t="shared" si="6"/>
        <v>3.7839999999999998</v>
      </c>
      <c r="H202" s="969">
        <f t="shared" si="7"/>
        <v>3.7839999999999996E-3</v>
      </c>
      <c r="I202" s="167">
        <v>240</v>
      </c>
    </row>
    <row r="203" spans="1:9" hidden="1">
      <c r="A203" s="167">
        <v>62697528</v>
      </c>
      <c r="B203" s="167" t="s">
        <v>435</v>
      </c>
      <c r="C203" s="932" t="s">
        <v>29</v>
      </c>
      <c r="D203" s="932" t="s">
        <v>29</v>
      </c>
      <c r="E203" s="167">
        <v>125</v>
      </c>
      <c r="F203" s="167">
        <v>473</v>
      </c>
      <c r="G203" s="968">
        <f t="shared" si="6"/>
        <v>3.7839999999999998</v>
      </c>
      <c r="H203" s="969">
        <f t="shared" si="7"/>
        <v>3.7839999999999996E-3</v>
      </c>
      <c r="I203" s="167">
        <v>240</v>
      </c>
    </row>
    <row r="204" spans="1:9" hidden="1">
      <c r="A204" s="167">
        <v>62697529</v>
      </c>
      <c r="B204" s="167" t="s">
        <v>448</v>
      </c>
      <c r="C204" s="932" t="s">
        <v>29</v>
      </c>
      <c r="D204" s="932" t="s">
        <v>29</v>
      </c>
      <c r="E204" s="167">
        <v>125</v>
      </c>
      <c r="F204" s="167">
        <v>473</v>
      </c>
      <c r="G204" s="968">
        <f t="shared" si="6"/>
        <v>3.7839999999999998</v>
      </c>
      <c r="H204" s="969">
        <f t="shared" si="7"/>
        <v>3.7839999999999996E-3</v>
      </c>
      <c r="I204" s="167">
        <v>240</v>
      </c>
    </row>
    <row r="205" spans="1:9" hidden="1">
      <c r="A205" s="939">
        <v>62697531</v>
      </c>
      <c r="B205" s="940" t="s">
        <v>449</v>
      </c>
      <c r="C205" s="932" t="s">
        <v>29</v>
      </c>
      <c r="D205" s="932" t="s">
        <v>29</v>
      </c>
      <c r="E205" s="167">
        <v>125</v>
      </c>
      <c r="F205" s="167">
        <v>473</v>
      </c>
      <c r="G205" s="968">
        <f t="shared" si="6"/>
        <v>3.7839999999999998</v>
      </c>
      <c r="H205" s="969">
        <f t="shared" si="7"/>
        <v>3.7839999999999996E-3</v>
      </c>
      <c r="I205" s="167">
        <v>240</v>
      </c>
    </row>
    <row r="206" spans="1:9" hidden="1">
      <c r="A206" s="930">
        <v>62715600</v>
      </c>
      <c r="B206" s="931" t="s">
        <v>436</v>
      </c>
      <c r="C206" s="938" t="s">
        <v>29</v>
      </c>
      <c r="D206" s="932" t="s">
        <v>29</v>
      </c>
      <c r="E206" s="167">
        <v>125</v>
      </c>
      <c r="F206" s="167">
        <v>473</v>
      </c>
      <c r="G206" s="968">
        <f t="shared" si="6"/>
        <v>3.7839999999999998</v>
      </c>
      <c r="H206" s="969">
        <f t="shared" si="7"/>
        <v>3.7839999999999996E-3</v>
      </c>
      <c r="I206" s="167">
        <v>240</v>
      </c>
    </row>
    <row r="207" spans="1:9" ht="15" hidden="1">
      <c r="A207" s="167">
        <v>64361161</v>
      </c>
      <c r="B207" s="167" t="s">
        <v>549</v>
      </c>
      <c r="C207" s="932" t="s">
        <v>29</v>
      </c>
      <c r="D207" s="868" t="s">
        <v>29</v>
      </c>
      <c r="E207" s="167">
        <v>125</v>
      </c>
      <c r="F207" s="167">
        <v>473</v>
      </c>
      <c r="G207" s="968">
        <f t="shared" si="6"/>
        <v>3.7839999999999998</v>
      </c>
      <c r="H207" s="969">
        <f t="shared" si="7"/>
        <v>3.7839999999999996E-3</v>
      </c>
      <c r="I207" s="167">
        <v>240</v>
      </c>
    </row>
    <row r="208" spans="1:9" ht="15" hidden="1">
      <c r="A208" s="167">
        <v>64361163</v>
      </c>
      <c r="B208" s="167" t="s">
        <v>438</v>
      </c>
      <c r="C208" s="932" t="s">
        <v>29</v>
      </c>
      <c r="D208" s="868" t="s">
        <v>29</v>
      </c>
      <c r="E208" s="167">
        <v>125</v>
      </c>
      <c r="F208" s="167">
        <v>473</v>
      </c>
      <c r="G208" s="968">
        <f t="shared" si="6"/>
        <v>3.7839999999999998</v>
      </c>
      <c r="H208" s="969">
        <f t="shared" si="7"/>
        <v>3.7839999999999996E-3</v>
      </c>
      <c r="I208" s="167">
        <v>240</v>
      </c>
    </row>
    <row r="209" spans="1:9" ht="15" hidden="1">
      <c r="A209" s="167">
        <v>64361164</v>
      </c>
      <c r="B209" s="167" t="s">
        <v>510</v>
      </c>
      <c r="C209" s="932" t="s">
        <v>29</v>
      </c>
      <c r="D209" s="868" t="s">
        <v>29</v>
      </c>
      <c r="E209" s="167">
        <v>125</v>
      </c>
      <c r="F209" s="167">
        <v>473</v>
      </c>
      <c r="G209" s="968">
        <f t="shared" si="6"/>
        <v>3.7839999999999998</v>
      </c>
      <c r="H209" s="969">
        <f t="shared" si="7"/>
        <v>3.7839999999999996E-3</v>
      </c>
      <c r="I209" s="167">
        <v>240</v>
      </c>
    </row>
    <row r="210" spans="1:9" ht="15" hidden="1">
      <c r="A210" s="167">
        <v>64369025</v>
      </c>
      <c r="B210" s="167" t="s">
        <v>542</v>
      </c>
      <c r="C210" s="932" t="s">
        <v>107</v>
      </c>
      <c r="D210" s="868" t="s">
        <v>107</v>
      </c>
      <c r="E210" s="167">
        <v>125</v>
      </c>
      <c r="F210" s="167">
        <v>473</v>
      </c>
      <c r="G210" s="968">
        <f t="shared" si="6"/>
        <v>3.7839999999999998</v>
      </c>
      <c r="H210" s="969">
        <f t="shared" si="7"/>
        <v>3.7839999999999996E-3</v>
      </c>
      <c r="I210" s="167">
        <v>255</v>
      </c>
    </row>
    <row r="211" spans="1:9" ht="15" hidden="1">
      <c r="A211" s="167">
        <v>64369026</v>
      </c>
      <c r="B211" s="167" t="s">
        <v>513</v>
      </c>
      <c r="C211" s="932" t="s">
        <v>107</v>
      </c>
      <c r="D211" s="868" t="s">
        <v>107</v>
      </c>
      <c r="E211" s="167">
        <v>125</v>
      </c>
      <c r="F211" s="167">
        <v>473</v>
      </c>
      <c r="G211" s="968">
        <f t="shared" si="6"/>
        <v>3.7839999999999998</v>
      </c>
      <c r="H211" s="969">
        <f t="shared" si="7"/>
        <v>3.7839999999999996E-3</v>
      </c>
      <c r="I211" s="167">
        <v>255</v>
      </c>
    </row>
    <row r="212" spans="1:9" ht="15" hidden="1">
      <c r="A212" s="167">
        <v>64369031</v>
      </c>
      <c r="B212" s="167" t="s">
        <v>522</v>
      </c>
      <c r="C212" s="932" t="s">
        <v>107</v>
      </c>
      <c r="D212" s="868" t="s">
        <v>107</v>
      </c>
      <c r="E212" s="167">
        <v>125</v>
      </c>
      <c r="F212" s="167">
        <v>473</v>
      </c>
      <c r="G212" s="968">
        <f t="shared" si="6"/>
        <v>3.7839999999999998</v>
      </c>
      <c r="H212" s="969">
        <f t="shared" si="7"/>
        <v>3.7839999999999996E-3</v>
      </c>
      <c r="I212" s="167">
        <v>255</v>
      </c>
    </row>
    <row r="213" spans="1:9" ht="15" hidden="1">
      <c r="A213" s="167">
        <v>64369035</v>
      </c>
      <c r="B213" s="167" t="s">
        <v>457</v>
      </c>
      <c r="C213" s="932" t="s">
        <v>107</v>
      </c>
      <c r="D213" s="868" t="s">
        <v>107</v>
      </c>
      <c r="E213" s="167">
        <v>125</v>
      </c>
      <c r="F213" s="167">
        <v>473</v>
      </c>
      <c r="G213" s="968">
        <f t="shared" si="6"/>
        <v>3.7839999999999998</v>
      </c>
      <c r="H213" s="969">
        <f t="shared" si="7"/>
        <v>3.7839999999999996E-3</v>
      </c>
      <c r="I213" s="167">
        <v>255</v>
      </c>
    </row>
    <row r="214" spans="1:9" hidden="1">
      <c r="A214" s="167">
        <v>64387483</v>
      </c>
      <c r="B214" s="167" t="s">
        <v>493</v>
      </c>
      <c r="C214" s="932" t="s">
        <v>29</v>
      </c>
      <c r="D214" s="932" t="s">
        <v>29</v>
      </c>
      <c r="E214" s="167">
        <v>125</v>
      </c>
      <c r="F214" s="167">
        <v>473</v>
      </c>
      <c r="G214" s="968">
        <f t="shared" si="6"/>
        <v>3.7839999999999998</v>
      </c>
      <c r="H214" s="969">
        <f t="shared" si="7"/>
        <v>3.7839999999999996E-3</v>
      </c>
      <c r="I214" s="167">
        <v>240</v>
      </c>
    </row>
    <row r="215" spans="1:9" hidden="1">
      <c r="A215" s="167">
        <v>64389652</v>
      </c>
      <c r="B215" s="167" t="s">
        <v>933</v>
      </c>
      <c r="C215" s="932" t="s">
        <v>87</v>
      </c>
      <c r="D215" s="932" t="s">
        <v>29</v>
      </c>
      <c r="E215" s="167">
        <v>125</v>
      </c>
      <c r="F215" s="167">
        <v>473</v>
      </c>
      <c r="G215" s="970">
        <f t="shared" si="6"/>
        <v>3.7839999999999998</v>
      </c>
      <c r="H215" s="971">
        <f t="shared" si="7"/>
        <v>3.7839999999999996E-3</v>
      </c>
      <c r="I215" s="167">
        <v>240</v>
      </c>
    </row>
    <row r="216" spans="1:9" ht="15" hidden="1">
      <c r="A216" s="167">
        <v>64394600</v>
      </c>
      <c r="B216" s="167" t="s">
        <v>494</v>
      </c>
      <c r="C216" s="932" t="s">
        <v>29</v>
      </c>
      <c r="D216" s="868" t="s">
        <v>29</v>
      </c>
      <c r="E216" s="167">
        <v>125</v>
      </c>
      <c r="F216" s="167">
        <v>473</v>
      </c>
      <c r="G216" s="968">
        <f t="shared" si="6"/>
        <v>3.7839999999999998</v>
      </c>
      <c r="H216" s="969">
        <f t="shared" si="7"/>
        <v>3.7839999999999996E-3</v>
      </c>
      <c r="I216" s="167">
        <v>240</v>
      </c>
    </row>
    <row r="217" spans="1:9" ht="15" hidden="1">
      <c r="A217" s="167">
        <v>64780901</v>
      </c>
      <c r="B217" s="167" t="s">
        <v>249</v>
      </c>
      <c r="C217" s="932" t="s">
        <v>100</v>
      </c>
      <c r="D217" s="868" t="s">
        <v>40</v>
      </c>
      <c r="E217" s="167">
        <v>125</v>
      </c>
      <c r="F217" s="167">
        <v>473</v>
      </c>
      <c r="G217" s="968">
        <f t="shared" si="6"/>
        <v>3.7839999999999998</v>
      </c>
      <c r="H217" s="969">
        <f t="shared" si="7"/>
        <v>3.7839999999999996E-3</v>
      </c>
      <c r="I217" s="167">
        <v>240</v>
      </c>
    </row>
    <row r="218" spans="1:9" ht="15" hidden="1">
      <c r="A218" s="167">
        <v>64801569</v>
      </c>
      <c r="B218" s="167" t="s">
        <v>520</v>
      </c>
      <c r="C218" s="932" t="s">
        <v>29</v>
      </c>
      <c r="D218" s="868" t="s">
        <v>29</v>
      </c>
      <c r="E218" s="167">
        <v>125</v>
      </c>
      <c r="F218" s="167">
        <v>473</v>
      </c>
      <c r="G218" s="968">
        <f t="shared" si="6"/>
        <v>3.7839999999999998</v>
      </c>
      <c r="H218" s="969">
        <f t="shared" si="7"/>
        <v>3.7839999999999996E-3</v>
      </c>
      <c r="I218" s="167">
        <v>240</v>
      </c>
    </row>
    <row r="219" spans="1:9" ht="15" hidden="1">
      <c r="A219" s="167">
        <v>64810474</v>
      </c>
      <c r="B219" s="167" t="s">
        <v>1039</v>
      </c>
      <c r="C219" s="932" t="s">
        <v>29</v>
      </c>
      <c r="D219" s="868" t="s">
        <v>29</v>
      </c>
      <c r="E219" s="167">
        <v>125</v>
      </c>
      <c r="F219" s="167">
        <v>473</v>
      </c>
      <c r="G219" s="968">
        <f t="shared" si="6"/>
        <v>3.7839999999999998</v>
      </c>
      <c r="H219" s="969">
        <f t="shared" si="7"/>
        <v>3.7839999999999996E-3</v>
      </c>
      <c r="I219" s="167">
        <v>240</v>
      </c>
    </row>
    <row r="220" spans="1:9" ht="15" hidden="1">
      <c r="A220" s="167">
        <v>64880415</v>
      </c>
      <c r="B220" s="167" t="s">
        <v>1045</v>
      </c>
      <c r="C220" s="932" t="s">
        <v>29</v>
      </c>
      <c r="D220" s="868" t="s">
        <v>29</v>
      </c>
      <c r="E220" s="167">
        <v>125</v>
      </c>
      <c r="F220" s="167">
        <v>473</v>
      </c>
      <c r="G220" s="968">
        <f t="shared" si="6"/>
        <v>3.7839999999999998</v>
      </c>
      <c r="H220" s="969">
        <f t="shared" si="7"/>
        <v>3.7839999999999996E-3</v>
      </c>
      <c r="I220" s="167">
        <v>240</v>
      </c>
    </row>
    <row r="221" spans="1:9" ht="15" hidden="1">
      <c r="A221" s="167">
        <v>64898310</v>
      </c>
      <c r="B221" s="167" t="s">
        <v>245</v>
      </c>
      <c r="C221" s="932" t="s">
        <v>100</v>
      </c>
      <c r="D221" s="868" t="s">
        <v>40</v>
      </c>
      <c r="E221" s="167">
        <v>125</v>
      </c>
      <c r="F221" s="167">
        <v>473</v>
      </c>
      <c r="G221" s="968">
        <f t="shared" si="6"/>
        <v>3.7839999999999998</v>
      </c>
      <c r="H221" s="969">
        <f t="shared" si="7"/>
        <v>3.7839999999999996E-3</v>
      </c>
      <c r="I221" s="167">
        <v>240</v>
      </c>
    </row>
    <row r="222" spans="1:9" ht="15" hidden="1">
      <c r="A222" s="167">
        <v>64968812</v>
      </c>
      <c r="B222" s="167" t="s">
        <v>480</v>
      </c>
      <c r="C222" s="932" t="s">
        <v>107</v>
      </c>
      <c r="D222" s="868" t="s">
        <v>107</v>
      </c>
      <c r="E222" s="167">
        <v>125</v>
      </c>
      <c r="F222" s="167">
        <v>473</v>
      </c>
      <c r="G222" s="968">
        <f t="shared" si="6"/>
        <v>3.7839999999999998</v>
      </c>
      <c r="H222" s="969">
        <f t="shared" si="7"/>
        <v>3.7839999999999996E-3</v>
      </c>
      <c r="I222" s="167">
        <v>240</v>
      </c>
    </row>
    <row r="223" spans="1:9" ht="15" hidden="1">
      <c r="A223" s="167">
        <v>64968813</v>
      </c>
      <c r="B223" s="167" t="s">
        <v>500</v>
      </c>
      <c r="C223" s="932" t="s">
        <v>107</v>
      </c>
      <c r="D223" s="868" t="s">
        <v>107</v>
      </c>
      <c r="E223" s="167">
        <v>125</v>
      </c>
      <c r="F223" s="167">
        <v>473</v>
      </c>
      <c r="G223" s="968">
        <f t="shared" si="6"/>
        <v>3.7839999999999998</v>
      </c>
      <c r="H223" s="969">
        <f t="shared" si="7"/>
        <v>3.7839999999999996E-3</v>
      </c>
      <c r="I223" s="167">
        <v>240</v>
      </c>
    </row>
    <row r="224" spans="1:9" ht="15" hidden="1">
      <c r="A224" s="167">
        <v>64968834</v>
      </c>
      <c r="B224" s="167" t="s">
        <v>501</v>
      </c>
      <c r="C224" s="932" t="s">
        <v>107</v>
      </c>
      <c r="D224" s="868" t="s">
        <v>107</v>
      </c>
      <c r="E224" s="167">
        <v>125</v>
      </c>
      <c r="F224" s="167">
        <v>473</v>
      </c>
      <c r="G224" s="968">
        <f t="shared" si="6"/>
        <v>3.7839999999999998</v>
      </c>
      <c r="H224" s="969">
        <f t="shared" si="7"/>
        <v>3.7839999999999996E-3</v>
      </c>
      <c r="I224" s="167">
        <v>240</v>
      </c>
    </row>
    <row r="225" spans="1:9" hidden="1">
      <c r="A225" s="167">
        <v>64997056</v>
      </c>
      <c r="B225" s="167" t="s">
        <v>245</v>
      </c>
      <c r="C225" s="932" t="s">
        <v>100</v>
      </c>
      <c r="D225" s="932" t="s">
        <v>40</v>
      </c>
      <c r="E225" s="167">
        <v>125</v>
      </c>
      <c r="F225" s="167">
        <v>473</v>
      </c>
      <c r="G225" s="968">
        <f t="shared" si="6"/>
        <v>3.7839999999999998</v>
      </c>
      <c r="H225" s="969">
        <f t="shared" si="7"/>
        <v>3.7839999999999996E-3</v>
      </c>
      <c r="I225" s="167">
        <v>240</v>
      </c>
    </row>
    <row r="226" spans="1:9" hidden="1">
      <c r="A226" s="167">
        <v>64997057</v>
      </c>
      <c r="B226" s="167" t="s">
        <v>244</v>
      </c>
      <c r="C226" s="932" t="s">
        <v>100</v>
      </c>
      <c r="D226" s="932" t="s">
        <v>40</v>
      </c>
      <c r="E226" s="167">
        <v>125</v>
      </c>
      <c r="F226" s="167">
        <v>473</v>
      </c>
      <c r="G226" s="968">
        <f t="shared" si="6"/>
        <v>3.7839999999999998</v>
      </c>
      <c r="H226" s="969">
        <f t="shared" si="7"/>
        <v>3.7839999999999996E-3</v>
      </c>
      <c r="I226" s="167">
        <v>240</v>
      </c>
    </row>
    <row r="227" spans="1:9" hidden="1">
      <c r="A227" s="930">
        <v>64997058</v>
      </c>
      <c r="B227" s="931" t="s">
        <v>246</v>
      </c>
      <c r="C227" s="932" t="s">
        <v>100</v>
      </c>
      <c r="D227" s="932" t="s">
        <v>40</v>
      </c>
      <c r="E227" s="167">
        <v>125</v>
      </c>
      <c r="F227" s="167">
        <v>473</v>
      </c>
      <c r="G227" s="968">
        <f t="shared" si="6"/>
        <v>3.7839999999999998</v>
      </c>
      <c r="H227" s="969">
        <f t="shared" si="7"/>
        <v>3.7839999999999996E-3</v>
      </c>
      <c r="I227" s="167">
        <v>240</v>
      </c>
    </row>
    <row r="228" spans="1:9" hidden="1">
      <c r="A228" s="167">
        <v>65242605</v>
      </c>
      <c r="B228" s="167" t="s">
        <v>1193</v>
      </c>
      <c r="C228" s="938" t="s">
        <v>107</v>
      </c>
      <c r="D228" s="932" t="s">
        <v>107</v>
      </c>
      <c r="E228" s="167">
        <v>125</v>
      </c>
      <c r="F228" s="167">
        <v>473</v>
      </c>
      <c r="G228" s="968">
        <f t="shared" si="6"/>
        <v>3.7839999999999998</v>
      </c>
      <c r="H228" s="969">
        <f t="shared" si="7"/>
        <v>3.7839999999999996E-3</v>
      </c>
      <c r="I228" s="167">
        <v>240</v>
      </c>
    </row>
    <row r="229" spans="1:9" hidden="1">
      <c r="A229" s="930">
        <v>65242606</v>
      </c>
      <c r="B229" s="931" t="s">
        <v>1194</v>
      </c>
      <c r="C229" s="938" t="s">
        <v>107</v>
      </c>
      <c r="D229" s="932" t="s">
        <v>107</v>
      </c>
      <c r="E229" s="167">
        <v>125</v>
      </c>
      <c r="F229" s="167">
        <v>473</v>
      </c>
      <c r="G229" s="968">
        <f t="shared" si="6"/>
        <v>3.7839999999999998</v>
      </c>
      <c r="H229" s="969">
        <f t="shared" si="7"/>
        <v>3.7839999999999996E-3</v>
      </c>
      <c r="I229" s="167">
        <v>240</v>
      </c>
    </row>
    <row r="230" spans="1:9" hidden="1">
      <c r="A230" s="930">
        <v>65431089</v>
      </c>
      <c r="B230" s="931" t="s">
        <v>368</v>
      </c>
      <c r="C230" s="938" t="s">
        <v>107</v>
      </c>
      <c r="D230" s="932" t="s">
        <v>107</v>
      </c>
      <c r="E230" s="167">
        <v>125</v>
      </c>
      <c r="F230" s="167">
        <v>473</v>
      </c>
      <c r="G230" s="968">
        <f t="shared" si="6"/>
        <v>3.7839999999999998</v>
      </c>
      <c r="H230" s="969">
        <f t="shared" si="7"/>
        <v>3.7839999999999996E-3</v>
      </c>
      <c r="I230" s="167">
        <v>255</v>
      </c>
    </row>
    <row r="231" spans="1:9" hidden="1">
      <c r="A231" s="167">
        <v>65431090</v>
      </c>
      <c r="B231" s="167" t="s">
        <v>375</v>
      </c>
      <c r="C231" s="938" t="s">
        <v>107</v>
      </c>
      <c r="D231" s="932" t="s">
        <v>107</v>
      </c>
      <c r="E231" s="167">
        <v>125</v>
      </c>
      <c r="F231" s="167">
        <v>473</v>
      </c>
      <c r="G231" s="968">
        <f t="shared" si="6"/>
        <v>3.7839999999999998</v>
      </c>
      <c r="H231" s="969">
        <f t="shared" si="7"/>
        <v>3.7839999999999996E-3</v>
      </c>
      <c r="I231" s="167">
        <v>255</v>
      </c>
    </row>
    <row r="232" spans="1:9" hidden="1">
      <c r="A232" s="167">
        <v>67430513</v>
      </c>
      <c r="B232" s="167" t="s">
        <v>308</v>
      </c>
      <c r="C232" s="938" t="s">
        <v>29</v>
      </c>
      <c r="D232" s="932" t="s">
        <v>29</v>
      </c>
      <c r="E232" s="167">
        <v>125</v>
      </c>
      <c r="F232" s="167">
        <v>473</v>
      </c>
      <c r="G232" s="968">
        <f t="shared" si="6"/>
        <v>3.7839999999999998</v>
      </c>
      <c r="H232" s="969">
        <f t="shared" si="7"/>
        <v>3.7839999999999996E-3</v>
      </c>
      <c r="I232" s="167">
        <v>240</v>
      </c>
    </row>
    <row r="233" spans="1:9" hidden="1">
      <c r="A233" s="167">
        <v>67803006</v>
      </c>
      <c r="B233" s="167" t="s">
        <v>346</v>
      </c>
      <c r="C233" s="932" t="s">
        <v>87</v>
      </c>
      <c r="D233" s="932" t="s">
        <v>29</v>
      </c>
      <c r="E233" s="167">
        <v>125</v>
      </c>
      <c r="F233" s="167">
        <v>473</v>
      </c>
      <c r="G233" s="970">
        <f t="shared" si="6"/>
        <v>3.7839999999999998</v>
      </c>
      <c r="H233" s="971">
        <f t="shared" si="7"/>
        <v>3.7839999999999996E-3</v>
      </c>
      <c r="I233" s="167">
        <v>240</v>
      </c>
    </row>
    <row r="234" spans="1:9" hidden="1">
      <c r="A234" s="167">
        <v>67904289</v>
      </c>
      <c r="B234" s="167" t="s">
        <v>934</v>
      </c>
      <c r="C234" s="932" t="s">
        <v>29</v>
      </c>
      <c r="D234" s="932" t="s">
        <v>29</v>
      </c>
      <c r="E234" s="167">
        <v>125</v>
      </c>
      <c r="F234" s="167">
        <v>473</v>
      </c>
      <c r="G234" s="968">
        <f t="shared" si="6"/>
        <v>3.7839999999999998</v>
      </c>
      <c r="H234" s="969">
        <f t="shared" si="7"/>
        <v>3.7839999999999996E-3</v>
      </c>
      <c r="I234" s="167">
        <v>240</v>
      </c>
    </row>
    <row r="235" spans="1:9" hidden="1">
      <c r="A235" s="167">
        <v>68527303</v>
      </c>
      <c r="B235" s="167" t="s">
        <v>245</v>
      </c>
      <c r="C235" s="932" t="s">
        <v>100</v>
      </c>
      <c r="D235" s="932" t="s">
        <v>40</v>
      </c>
      <c r="E235" s="167">
        <v>125</v>
      </c>
      <c r="F235" s="167">
        <v>473</v>
      </c>
      <c r="G235" s="968">
        <f t="shared" si="6"/>
        <v>3.7839999999999998</v>
      </c>
      <c r="H235" s="969">
        <f t="shared" si="7"/>
        <v>3.7839999999999996E-3</v>
      </c>
      <c r="I235" s="167">
        <v>240</v>
      </c>
    </row>
    <row r="236" spans="1:9" hidden="1">
      <c r="A236" s="167">
        <v>68626039</v>
      </c>
      <c r="B236" s="167" t="s">
        <v>246</v>
      </c>
      <c r="C236" s="932" t="s">
        <v>100</v>
      </c>
      <c r="D236" s="932" t="s">
        <v>40</v>
      </c>
      <c r="E236" s="167">
        <v>125</v>
      </c>
      <c r="F236" s="167">
        <v>473</v>
      </c>
      <c r="G236" s="968">
        <f t="shared" si="6"/>
        <v>3.7839999999999998</v>
      </c>
      <c r="H236" s="969">
        <f t="shared" si="7"/>
        <v>3.7839999999999996E-3</v>
      </c>
      <c r="I236" s="167">
        <v>240</v>
      </c>
    </row>
    <row r="237" spans="1:9" hidden="1">
      <c r="A237" s="167">
        <v>68638136</v>
      </c>
      <c r="B237" s="167" t="s">
        <v>537</v>
      </c>
      <c r="C237" s="932" t="s">
        <v>29</v>
      </c>
      <c r="D237" s="932" t="s">
        <v>29</v>
      </c>
      <c r="E237" s="167">
        <v>125</v>
      </c>
      <c r="F237" s="167">
        <v>473</v>
      </c>
      <c r="G237" s="968">
        <f t="shared" si="6"/>
        <v>3.7839999999999998</v>
      </c>
      <c r="H237" s="969">
        <f t="shared" si="7"/>
        <v>3.7839999999999996E-3</v>
      </c>
      <c r="I237" s="167">
        <v>240</v>
      </c>
    </row>
    <row r="238" spans="1:9" hidden="1">
      <c r="A238" s="167">
        <v>68654238</v>
      </c>
      <c r="B238" s="167" t="s">
        <v>551</v>
      </c>
      <c r="C238" s="932" t="s">
        <v>29</v>
      </c>
      <c r="D238" s="932" t="s">
        <v>29</v>
      </c>
      <c r="E238" s="167">
        <v>125</v>
      </c>
      <c r="F238" s="167">
        <v>473</v>
      </c>
      <c r="G238" s="968">
        <f t="shared" si="6"/>
        <v>3.7839999999999998</v>
      </c>
      <c r="H238" s="969">
        <f t="shared" si="7"/>
        <v>3.7839999999999996E-3</v>
      </c>
      <c r="I238" s="167">
        <v>240</v>
      </c>
    </row>
    <row r="239" spans="1:9" hidden="1">
      <c r="A239" s="167">
        <v>68852625</v>
      </c>
      <c r="B239" s="167" t="s">
        <v>525</v>
      </c>
      <c r="C239" s="932" t="s">
        <v>107</v>
      </c>
      <c r="D239" s="932" t="s">
        <v>107</v>
      </c>
      <c r="E239" s="167">
        <v>125</v>
      </c>
      <c r="F239" s="167">
        <v>473</v>
      </c>
      <c r="G239" s="968">
        <f t="shared" si="6"/>
        <v>3.7839999999999998</v>
      </c>
      <c r="H239" s="969">
        <f t="shared" si="7"/>
        <v>3.7839999999999996E-3</v>
      </c>
      <c r="I239" s="167">
        <v>255</v>
      </c>
    </row>
    <row r="240" spans="1:9" hidden="1">
      <c r="A240" s="167">
        <v>68860045</v>
      </c>
      <c r="B240" s="167" t="s">
        <v>946</v>
      </c>
      <c r="C240" s="932" t="s">
        <v>41</v>
      </c>
      <c r="D240" s="932" t="s">
        <v>41</v>
      </c>
      <c r="E240" s="167">
        <v>125</v>
      </c>
      <c r="F240" s="167">
        <v>473</v>
      </c>
      <c r="G240" s="968">
        <f t="shared" si="6"/>
        <v>3.7839999999999998</v>
      </c>
      <c r="H240" s="969">
        <f t="shared" si="7"/>
        <v>3.7839999999999996E-3</v>
      </c>
      <c r="I240" s="167">
        <v>255</v>
      </c>
    </row>
    <row r="241" spans="1:9" hidden="1">
      <c r="A241" s="167">
        <v>68860059</v>
      </c>
      <c r="B241" s="167" t="s">
        <v>319</v>
      </c>
      <c r="C241" s="932" t="s">
        <v>107</v>
      </c>
      <c r="D241" s="932" t="s">
        <v>107</v>
      </c>
      <c r="E241" s="167">
        <v>125</v>
      </c>
      <c r="F241" s="167">
        <v>473</v>
      </c>
      <c r="G241" s="968">
        <f t="shared" si="6"/>
        <v>3.7839999999999998</v>
      </c>
      <c r="H241" s="969">
        <f t="shared" si="7"/>
        <v>3.7839999999999996E-3</v>
      </c>
      <c r="I241" s="167">
        <v>255</v>
      </c>
    </row>
    <row r="242" spans="1:9" hidden="1">
      <c r="A242" s="167">
        <v>68860129</v>
      </c>
      <c r="B242" s="167" t="s">
        <v>502</v>
      </c>
      <c r="C242" s="932" t="s">
        <v>107</v>
      </c>
      <c r="D242" s="932" t="s">
        <v>107</v>
      </c>
      <c r="E242" s="167">
        <v>125</v>
      </c>
      <c r="F242" s="167">
        <v>473</v>
      </c>
      <c r="G242" s="968">
        <f t="shared" si="6"/>
        <v>3.7839999999999998</v>
      </c>
      <c r="H242" s="969">
        <f t="shared" si="7"/>
        <v>3.7839999999999996E-3</v>
      </c>
      <c r="I242" s="167">
        <v>255</v>
      </c>
    </row>
    <row r="243" spans="1:9" hidden="1">
      <c r="A243" s="167">
        <v>68860135</v>
      </c>
      <c r="B243" s="167" t="s">
        <v>543</v>
      </c>
      <c r="C243" s="932" t="s">
        <v>41</v>
      </c>
      <c r="D243" s="932" t="s">
        <v>41</v>
      </c>
      <c r="E243" s="167">
        <v>125</v>
      </c>
      <c r="F243" s="167">
        <v>473</v>
      </c>
      <c r="G243" s="968">
        <f t="shared" si="6"/>
        <v>3.7839999999999998</v>
      </c>
      <c r="H243" s="969">
        <f t="shared" si="7"/>
        <v>3.7839999999999996E-3</v>
      </c>
      <c r="I243" s="167">
        <v>255</v>
      </c>
    </row>
    <row r="244" spans="1:9" hidden="1">
      <c r="A244" s="930">
        <v>68860136</v>
      </c>
      <c r="B244" s="167" t="s">
        <v>503</v>
      </c>
      <c r="C244" s="932" t="s">
        <v>41</v>
      </c>
      <c r="D244" s="932" t="s">
        <v>41</v>
      </c>
      <c r="E244" s="167">
        <v>125</v>
      </c>
      <c r="F244" s="167">
        <v>473</v>
      </c>
      <c r="G244" s="968">
        <f t="shared" si="6"/>
        <v>3.7839999999999998</v>
      </c>
      <c r="H244" s="969">
        <f t="shared" si="7"/>
        <v>3.7839999999999996E-3</v>
      </c>
      <c r="I244" s="167">
        <v>255</v>
      </c>
    </row>
    <row r="245" spans="1:9" hidden="1">
      <c r="A245" s="167">
        <v>68860397</v>
      </c>
      <c r="B245" s="167" t="s">
        <v>559</v>
      </c>
      <c r="C245" s="932" t="s">
        <v>41</v>
      </c>
      <c r="D245" s="932" t="s">
        <v>41</v>
      </c>
      <c r="E245" s="167">
        <v>125</v>
      </c>
      <c r="F245" s="167">
        <v>473</v>
      </c>
      <c r="G245" s="968">
        <f t="shared" si="6"/>
        <v>3.7839999999999998</v>
      </c>
      <c r="H245" s="969">
        <f t="shared" si="7"/>
        <v>3.7839999999999996E-3</v>
      </c>
      <c r="I245" s="167">
        <v>255</v>
      </c>
    </row>
    <row r="246" spans="1:9" hidden="1">
      <c r="A246" s="942">
        <v>68860585</v>
      </c>
      <c r="B246" s="941" t="s">
        <v>458</v>
      </c>
      <c r="C246" s="932" t="s">
        <v>41</v>
      </c>
      <c r="D246" s="932" t="s">
        <v>41</v>
      </c>
      <c r="E246" s="167">
        <v>125</v>
      </c>
      <c r="F246" s="167">
        <v>473</v>
      </c>
      <c r="G246" s="968">
        <f t="shared" si="6"/>
        <v>3.7839999999999998</v>
      </c>
      <c r="H246" s="969">
        <f t="shared" si="7"/>
        <v>3.7839999999999996E-3</v>
      </c>
      <c r="I246" s="167">
        <v>255</v>
      </c>
    </row>
    <row r="247" spans="1:9" hidden="1">
      <c r="A247" s="930">
        <v>68860657</v>
      </c>
      <c r="B247" s="931" t="s">
        <v>423</v>
      </c>
      <c r="C247" s="932" t="s">
        <v>41</v>
      </c>
      <c r="D247" s="932" t="s">
        <v>41</v>
      </c>
      <c r="E247" s="167">
        <v>125</v>
      </c>
      <c r="F247" s="167">
        <v>473</v>
      </c>
      <c r="G247" s="968">
        <f t="shared" si="6"/>
        <v>3.7839999999999998</v>
      </c>
      <c r="H247" s="969">
        <f t="shared" si="7"/>
        <v>3.7839999999999996E-3</v>
      </c>
      <c r="I247" s="167">
        <v>255</v>
      </c>
    </row>
    <row r="248" spans="1:9" hidden="1">
      <c r="A248" s="167">
        <v>68860659</v>
      </c>
      <c r="B248" s="167" t="s">
        <v>453</v>
      </c>
      <c r="C248" s="932" t="s">
        <v>107</v>
      </c>
      <c r="D248" s="932" t="s">
        <v>107</v>
      </c>
      <c r="E248" s="167">
        <v>125</v>
      </c>
      <c r="F248" s="167">
        <v>473</v>
      </c>
      <c r="G248" s="968">
        <f t="shared" si="6"/>
        <v>3.7839999999999998</v>
      </c>
      <c r="H248" s="969">
        <f t="shared" si="7"/>
        <v>3.7839999999999996E-3</v>
      </c>
      <c r="I248" s="167">
        <v>255</v>
      </c>
    </row>
    <row r="249" spans="1:9" hidden="1">
      <c r="A249" s="930">
        <v>68860662</v>
      </c>
      <c r="B249" s="931" t="s">
        <v>411</v>
      </c>
      <c r="C249" s="932" t="s">
        <v>107</v>
      </c>
      <c r="D249" s="932" t="s">
        <v>107</v>
      </c>
      <c r="E249" s="167">
        <v>125</v>
      </c>
      <c r="F249" s="167">
        <v>473</v>
      </c>
      <c r="G249" s="968">
        <f t="shared" si="6"/>
        <v>3.7839999999999998</v>
      </c>
      <c r="H249" s="969">
        <f t="shared" si="7"/>
        <v>3.7839999999999996E-3</v>
      </c>
      <c r="I249" s="167">
        <v>255</v>
      </c>
    </row>
    <row r="250" spans="1:9" hidden="1">
      <c r="A250" s="167">
        <v>68860663</v>
      </c>
      <c r="B250" s="167" t="s">
        <v>433</v>
      </c>
      <c r="C250" s="932" t="s">
        <v>107</v>
      </c>
      <c r="D250" s="932" t="s">
        <v>107</v>
      </c>
      <c r="E250" s="167">
        <v>125</v>
      </c>
      <c r="F250" s="167">
        <v>473</v>
      </c>
      <c r="G250" s="968">
        <f t="shared" si="6"/>
        <v>3.7839999999999998</v>
      </c>
      <c r="H250" s="969">
        <f t="shared" si="7"/>
        <v>3.7839999999999996E-3</v>
      </c>
      <c r="I250" s="167">
        <v>255</v>
      </c>
    </row>
    <row r="251" spans="1:9" hidden="1">
      <c r="A251" s="930">
        <v>68860671</v>
      </c>
      <c r="B251" s="931" t="s">
        <v>422</v>
      </c>
      <c r="C251" s="932" t="s">
        <v>107</v>
      </c>
      <c r="D251" s="932" t="s">
        <v>107</v>
      </c>
      <c r="E251" s="167">
        <v>125</v>
      </c>
      <c r="F251" s="167">
        <v>473</v>
      </c>
      <c r="G251" s="968">
        <f t="shared" si="6"/>
        <v>3.7839999999999998</v>
      </c>
      <c r="H251" s="969">
        <f t="shared" si="7"/>
        <v>3.7839999999999996E-3</v>
      </c>
      <c r="I251" s="167">
        <v>255</v>
      </c>
    </row>
    <row r="252" spans="1:9" hidden="1">
      <c r="A252" s="167">
        <v>68860673</v>
      </c>
      <c r="B252" s="167" t="s">
        <v>526</v>
      </c>
      <c r="C252" s="932" t="s">
        <v>107</v>
      </c>
      <c r="D252" s="932" t="s">
        <v>107</v>
      </c>
      <c r="E252" s="167">
        <v>125</v>
      </c>
      <c r="F252" s="167">
        <v>473</v>
      </c>
      <c r="G252" s="968">
        <f t="shared" si="6"/>
        <v>3.7839999999999998</v>
      </c>
      <c r="H252" s="969">
        <f t="shared" si="7"/>
        <v>3.7839999999999996E-3</v>
      </c>
      <c r="I252" s="167">
        <v>255</v>
      </c>
    </row>
    <row r="253" spans="1:9" hidden="1">
      <c r="A253" s="167">
        <v>68862392</v>
      </c>
      <c r="B253" s="167" t="s">
        <v>305</v>
      </c>
      <c r="C253" s="932" t="s">
        <v>41</v>
      </c>
      <c r="D253" s="932" t="s">
        <v>41</v>
      </c>
      <c r="E253" s="167">
        <v>125</v>
      </c>
      <c r="F253" s="167">
        <v>473</v>
      </c>
      <c r="G253" s="968">
        <f t="shared" si="6"/>
        <v>3.7839999999999998</v>
      </c>
      <c r="H253" s="969">
        <f t="shared" si="7"/>
        <v>3.7839999999999996E-3</v>
      </c>
      <c r="I253" s="167">
        <v>255</v>
      </c>
    </row>
    <row r="254" spans="1:9" hidden="1">
      <c r="A254" s="930">
        <v>68862399</v>
      </c>
      <c r="B254" s="167" t="s">
        <v>387</v>
      </c>
      <c r="C254" s="932" t="s">
        <v>107</v>
      </c>
      <c r="D254" s="932" t="s">
        <v>107</v>
      </c>
      <c r="E254" s="167">
        <v>125</v>
      </c>
      <c r="F254" s="167">
        <v>473</v>
      </c>
      <c r="G254" s="968">
        <f t="shared" si="6"/>
        <v>3.7839999999999998</v>
      </c>
      <c r="H254" s="969">
        <f t="shared" si="7"/>
        <v>3.7839999999999996E-3</v>
      </c>
      <c r="I254" s="167">
        <v>255</v>
      </c>
    </row>
    <row r="255" spans="1:9" hidden="1">
      <c r="A255" s="942">
        <v>68862402</v>
      </c>
      <c r="B255" s="941" t="s">
        <v>401</v>
      </c>
      <c r="C255" s="932" t="s">
        <v>107</v>
      </c>
      <c r="D255" s="932" t="s">
        <v>107</v>
      </c>
      <c r="E255" s="167">
        <v>125</v>
      </c>
      <c r="F255" s="167">
        <v>473</v>
      </c>
      <c r="G255" s="968">
        <f t="shared" si="6"/>
        <v>3.7839999999999998</v>
      </c>
      <c r="H255" s="969">
        <f t="shared" si="7"/>
        <v>3.7839999999999996E-3</v>
      </c>
      <c r="I255" s="167">
        <v>255</v>
      </c>
    </row>
    <row r="256" spans="1:9" hidden="1">
      <c r="A256" s="942">
        <v>68862496</v>
      </c>
      <c r="B256" s="941" t="s">
        <v>356</v>
      </c>
      <c r="C256" s="932" t="s">
        <v>41</v>
      </c>
      <c r="D256" s="932" t="s">
        <v>41</v>
      </c>
      <c r="E256" s="167">
        <v>125</v>
      </c>
      <c r="F256" s="167">
        <v>473</v>
      </c>
      <c r="G256" s="968">
        <f t="shared" si="6"/>
        <v>3.7839999999999998</v>
      </c>
      <c r="H256" s="969">
        <f t="shared" si="7"/>
        <v>3.7839999999999996E-3</v>
      </c>
      <c r="I256" s="167">
        <v>255</v>
      </c>
    </row>
    <row r="257" spans="1:9" hidden="1">
      <c r="A257" s="942">
        <v>68862511</v>
      </c>
      <c r="B257" s="941" t="s">
        <v>434</v>
      </c>
      <c r="C257" s="932" t="s">
        <v>107</v>
      </c>
      <c r="D257" s="932" t="s">
        <v>107</v>
      </c>
      <c r="E257" s="167">
        <v>125</v>
      </c>
      <c r="F257" s="167">
        <v>473</v>
      </c>
      <c r="G257" s="968">
        <f t="shared" si="6"/>
        <v>3.7839999999999998</v>
      </c>
      <c r="H257" s="969">
        <f t="shared" si="7"/>
        <v>3.7839999999999996E-3</v>
      </c>
      <c r="I257" s="167">
        <v>255</v>
      </c>
    </row>
    <row r="258" spans="1:9" hidden="1">
      <c r="A258" s="168">
        <v>68867756</v>
      </c>
      <c r="B258" s="168" t="s">
        <v>527</v>
      </c>
      <c r="C258" s="948" t="s">
        <v>107</v>
      </c>
      <c r="D258" s="932" t="s">
        <v>107</v>
      </c>
      <c r="E258" s="167">
        <v>125</v>
      </c>
      <c r="F258" s="167">
        <v>473</v>
      </c>
      <c r="G258" s="968">
        <f t="shared" ref="G258:G321" si="8">F258/E258</f>
        <v>3.7839999999999998</v>
      </c>
      <c r="H258" s="969">
        <f t="shared" ref="H258:H321" si="9">G258/1000</f>
        <v>3.7839999999999996E-3</v>
      </c>
      <c r="I258" s="167">
        <v>255</v>
      </c>
    </row>
    <row r="259" spans="1:9" hidden="1">
      <c r="A259" s="930">
        <v>68871219</v>
      </c>
      <c r="B259" s="931" t="s">
        <v>943</v>
      </c>
      <c r="C259" s="932" t="s">
        <v>100</v>
      </c>
      <c r="D259" s="932" t="s">
        <v>40</v>
      </c>
      <c r="E259" s="167">
        <v>125</v>
      </c>
      <c r="F259" s="167">
        <v>473</v>
      </c>
      <c r="G259" s="968">
        <f t="shared" si="8"/>
        <v>3.7839999999999998</v>
      </c>
      <c r="H259" s="969">
        <f t="shared" si="9"/>
        <v>3.7839999999999996E-3</v>
      </c>
      <c r="I259" s="167">
        <v>240</v>
      </c>
    </row>
    <row r="260" spans="1:9" hidden="1">
      <c r="A260" s="167">
        <v>68919014</v>
      </c>
      <c r="B260" s="167" t="s">
        <v>247</v>
      </c>
      <c r="C260" s="932" t="s">
        <v>100</v>
      </c>
      <c r="D260" s="932" t="s">
        <v>40</v>
      </c>
      <c r="E260" s="167">
        <v>125</v>
      </c>
      <c r="F260" s="167">
        <v>473</v>
      </c>
      <c r="G260" s="968">
        <f t="shared" si="8"/>
        <v>3.7839999999999998</v>
      </c>
      <c r="H260" s="969">
        <f t="shared" si="9"/>
        <v>3.7839999999999996E-3</v>
      </c>
      <c r="I260" s="167">
        <v>240</v>
      </c>
    </row>
    <row r="261" spans="1:9" hidden="1">
      <c r="A261" s="167">
        <v>68922108</v>
      </c>
      <c r="B261" s="167" t="s">
        <v>276</v>
      </c>
      <c r="C261" s="932" t="s">
        <v>41</v>
      </c>
      <c r="D261" s="932" t="s">
        <v>41</v>
      </c>
      <c r="E261" s="167">
        <v>125</v>
      </c>
      <c r="F261" s="167">
        <v>473</v>
      </c>
      <c r="G261" s="968">
        <f t="shared" si="8"/>
        <v>3.7839999999999998</v>
      </c>
      <c r="H261" s="969">
        <f t="shared" si="9"/>
        <v>3.7839999999999996E-3</v>
      </c>
      <c r="I261" s="167">
        <v>255</v>
      </c>
    </row>
    <row r="262" spans="1:9" hidden="1">
      <c r="A262" s="930">
        <v>68940226</v>
      </c>
      <c r="B262" s="931" t="s">
        <v>472</v>
      </c>
      <c r="C262" s="932" t="s">
        <v>29</v>
      </c>
      <c r="D262" s="932" t="s">
        <v>29</v>
      </c>
      <c r="E262" s="167">
        <v>125</v>
      </c>
      <c r="F262" s="167">
        <v>473</v>
      </c>
      <c r="G262" s="968">
        <f t="shared" si="8"/>
        <v>3.7839999999999998</v>
      </c>
      <c r="H262" s="969">
        <f t="shared" si="9"/>
        <v>3.7839999999999996E-3</v>
      </c>
      <c r="I262" s="167">
        <v>240</v>
      </c>
    </row>
    <row r="263" spans="1:9" hidden="1">
      <c r="A263" s="167">
        <v>69549035</v>
      </c>
      <c r="B263" s="167" t="s">
        <v>522</v>
      </c>
      <c r="C263" s="932" t="s">
        <v>41</v>
      </c>
      <c r="D263" s="932" t="s">
        <v>41</v>
      </c>
      <c r="E263" s="167">
        <v>125</v>
      </c>
      <c r="F263" s="167">
        <v>473</v>
      </c>
      <c r="G263" s="968">
        <f t="shared" si="8"/>
        <v>3.7839999999999998</v>
      </c>
      <c r="H263" s="969">
        <f t="shared" si="9"/>
        <v>3.7839999999999996E-3</v>
      </c>
      <c r="I263" s="167">
        <v>255</v>
      </c>
    </row>
    <row r="264" spans="1:9" hidden="1">
      <c r="A264" s="930">
        <v>69554197</v>
      </c>
      <c r="B264" s="945" t="s">
        <v>244</v>
      </c>
      <c r="C264" s="932" t="s">
        <v>100</v>
      </c>
      <c r="D264" s="932" t="s">
        <v>40</v>
      </c>
      <c r="E264" s="167">
        <v>125</v>
      </c>
      <c r="F264" s="167">
        <v>473</v>
      </c>
      <c r="G264" s="968">
        <f t="shared" si="8"/>
        <v>3.7839999999999998</v>
      </c>
      <c r="H264" s="969">
        <f t="shared" si="9"/>
        <v>3.7839999999999996E-3</v>
      </c>
      <c r="I264" s="167">
        <v>240</v>
      </c>
    </row>
    <row r="265" spans="1:9" hidden="1">
      <c r="A265" s="930">
        <v>69691809</v>
      </c>
      <c r="B265" s="941" t="s">
        <v>422</v>
      </c>
      <c r="C265" s="932" t="s">
        <v>41</v>
      </c>
      <c r="D265" s="932" t="s">
        <v>41</v>
      </c>
      <c r="E265" s="167">
        <v>125</v>
      </c>
      <c r="F265" s="167">
        <v>473</v>
      </c>
      <c r="G265" s="968">
        <f t="shared" si="8"/>
        <v>3.7839999999999998</v>
      </c>
      <c r="H265" s="969">
        <f t="shared" si="9"/>
        <v>3.7839999999999996E-3</v>
      </c>
      <c r="I265" s="167">
        <v>255</v>
      </c>
    </row>
    <row r="266" spans="1:9" hidden="1">
      <c r="A266" s="942">
        <v>69716745</v>
      </c>
      <c r="B266" s="941" t="s">
        <v>344</v>
      </c>
      <c r="C266" s="932" t="s">
        <v>29</v>
      </c>
      <c r="D266" s="932" t="s">
        <v>29</v>
      </c>
      <c r="E266" s="167">
        <v>125</v>
      </c>
      <c r="F266" s="167">
        <v>473</v>
      </c>
      <c r="G266" s="968">
        <f t="shared" si="8"/>
        <v>3.7839999999999998</v>
      </c>
      <c r="H266" s="969">
        <f t="shared" si="9"/>
        <v>3.7839999999999996E-3</v>
      </c>
      <c r="I266" s="167">
        <v>240</v>
      </c>
    </row>
    <row r="267" spans="1:9" hidden="1">
      <c r="A267" s="930">
        <v>69716748</v>
      </c>
      <c r="B267" s="931" t="s">
        <v>374</v>
      </c>
      <c r="C267" s="932" t="s">
        <v>29</v>
      </c>
      <c r="D267" s="932" t="s">
        <v>29</v>
      </c>
      <c r="E267" s="167">
        <v>125</v>
      </c>
      <c r="F267" s="167">
        <v>473</v>
      </c>
      <c r="G267" s="968">
        <f t="shared" si="8"/>
        <v>3.7839999999999998</v>
      </c>
      <c r="H267" s="969">
        <f t="shared" si="9"/>
        <v>3.7839999999999996E-3</v>
      </c>
      <c r="I267" s="167">
        <v>240</v>
      </c>
    </row>
    <row r="268" spans="1:9" hidden="1">
      <c r="A268" s="942">
        <v>69716749</v>
      </c>
      <c r="B268" s="941" t="s">
        <v>419</v>
      </c>
      <c r="C268" s="932" t="s">
        <v>29</v>
      </c>
      <c r="D268" s="932" t="s">
        <v>29</v>
      </c>
      <c r="E268" s="167">
        <v>125</v>
      </c>
      <c r="F268" s="167">
        <v>473</v>
      </c>
      <c r="G268" s="968">
        <f t="shared" si="8"/>
        <v>3.7839999999999998</v>
      </c>
      <c r="H268" s="969">
        <f t="shared" si="9"/>
        <v>3.7839999999999996E-3</v>
      </c>
      <c r="I268" s="167">
        <v>240</v>
      </c>
    </row>
    <row r="269" spans="1:9" hidden="1">
      <c r="A269" s="930">
        <v>69792953</v>
      </c>
      <c r="B269" s="931" t="s">
        <v>948</v>
      </c>
      <c r="C269" s="932" t="s">
        <v>41</v>
      </c>
      <c r="D269" s="932" t="s">
        <v>41</v>
      </c>
      <c r="E269" s="167">
        <v>125</v>
      </c>
      <c r="F269" s="167">
        <v>473</v>
      </c>
      <c r="G269" s="968">
        <f t="shared" si="8"/>
        <v>3.7839999999999998</v>
      </c>
      <c r="H269" s="969">
        <f t="shared" si="9"/>
        <v>3.7839999999999996E-3</v>
      </c>
      <c r="I269" s="167">
        <v>255</v>
      </c>
    </row>
    <row r="270" spans="1:9" hidden="1">
      <c r="A270" s="942">
        <v>69797288</v>
      </c>
      <c r="B270" s="941" t="s">
        <v>454</v>
      </c>
      <c r="C270" s="938" t="s">
        <v>29</v>
      </c>
      <c r="D270" s="932" t="s">
        <v>29</v>
      </c>
      <c r="E270" s="167">
        <v>125</v>
      </c>
      <c r="F270" s="167">
        <v>473</v>
      </c>
      <c r="G270" s="968">
        <f t="shared" si="8"/>
        <v>3.7839999999999998</v>
      </c>
      <c r="H270" s="969">
        <f t="shared" si="9"/>
        <v>3.7839999999999996E-3</v>
      </c>
      <c r="I270" s="167">
        <v>240</v>
      </c>
    </row>
    <row r="271" spans="1:9" hidden="1">
      <c r="A271" s="167">
        <v>69797289</v>
      </c>
      <c r="B271" s="167" t="s">
        <v>473</v>
      </c>
      <c r="C271" s="932" t="s">
        <v>29</v>
      </c>
      <c r="D271" s="932" t="s">
        <v>29</v>
      </c>
      <c r="E271" s="167">
        <v>125</v>
      </c>
      <c r="F271" s="167">
        <v>473</v>
      </c>
      <c r="G271" s="968">
        <f t="shared" si="8"/>
        <v>3.7839999999999998</v>
      </c>
      <c r="H271" s="969">
        <f t="shared" si="9"/>
        <v>3.7839999999999996E-3</v>
      </c>
      <c r="I271" s="167">
        <v>240</v>
      </c>
    </row>
    <row r="272" spans="1:9" hidden="1">
      <c r="A272" s="167">
        <v>69797296</v>
      </c>
      <c r="B272" s="167" t="s">
        <v>474</v>
      </c>
      <c r="C272" s="932" t="s">
        <v>29</v>
      </c>
      <c r="D272" s="932" t="s">
        <v>29</v>
      </c>
      <c r="E272" s="167">
        <v>125</v>
      </c>
      <c r="F272" s="167">
        <v>473</v>
      </c>
      <c r="G272" s="968">
        <f t="shared" si="8"/>
        <v>3.7839999999999998</v>
      </c>
      <c r="H272" s="969">
        <f t="shared" si="9"/>
        <v>3.7839999999999996E-3</v>
      </c>
      <c r="I272" s="167">
        <v>240</v>
      </c>
    </row>
    <row r="273" spans="1:9" hidden="1">
      <c r="A273" s="167">
        <v>69986506</v>
      </c>
      <c r="B273" s="167" t="s">
        <v>455</v>
      </c>
      <c r="C273" s="932" t="s">
        <v>29</v>
      </c>
      <c r="D273" s="932" t="s">
        <v>29</v>
      </c>
      <c r="E273" s="167">
        <v>125</v>
      </c>
      <c r="F273" s="167">
        <v>473</v>
      </c>
      <c r="G273" s="968">
        <f t="shared" si="8"/>
        <v>3.7839999999999998</v>
      </c>
      <c r="H273" s="969">
        <f t="shared" si="9"/>
        <v>3.7839999999999996E-3</v>
      </c>
      <c r="I273" s="167">
        <v>240</v>
      </c>
    </row>
    <row r="274" spans="1:9" hidden="1">
      <c r="A274" s="930">
        <v>69986507</v>
      </c>
      <c r="B274" s="931" t="s">
        <v>441</v>
      </c>
      <c r="C274" s="932" t="s">
        <v>29</v>
      </c>
      <c r="D274" s="932" t="s">
        <v>29</v>
      </c>
      <c r="E274" s="167">
        <v>125</v>
      </c>
      <c r="F274" s="167">
        <v>473</v>
      </c>
      <c r="G274" s="968">
        <f t="shared" si="8"/>
        <v>3.7839999999999998</v>
      </c>
      <c r="H274" s="969">
        <f t="shared" si="9"/>
        <v>3.7839999999999996E-3</v>
      </c>
      <c r="I274" s="167">
        <v>240</v>
      </c>
    </row>
    <row r="275" spans="1:9" hidden="1">
      <c r="A275" s="167">
        <v>69986508</v>
      </c>
      <c r="B275" s="167" t="s">
        <v>450</v>
      </c>
      <c r="C275" s="932" t="s">
        <v>29</v>
      </c>
      <c r="D275" s="932" t="s">
        <v>29</v>
      </c>
      <c r="E275" s="167">
        <v>125</v>
      </c>
      <c r="F275" s="167">
        <v>473</v>
      </c>
      <c r="G275" s="968">
        <f t="shared" si="8"/>
        <v>3.7839999999999998</v>
      </c>
      <c r="H275" s="969">
        <f t="shared" si="9"/>
        <v>3.7839999999999996E-3</v>
      </c>
      <c r="I275" s="167">
        <v>240</v>
      </c>
    </row>
    <row r="276" spans="1:9" hidden="1">
      <c r="A276" s="167">
        <v>69986509</v>
      </c>
      <c r="B276" s="167" t="s">
        <v>530</v>
      </c>
      <c r="C276" s="932" t="s">
        <v>29</v>
      </c>
      <c r="D276" s="932" t="s">
        <v>29</v>
      </c>
      <c r="E276" s="167">
        <v>125</v>
      </c>
      <c r="F276" s="167">
        <v>473</v>
      </c>
      <c r="G276" s="968">
        <f t="shared" si="8"/>
        <v>3.7839999999999998</v>
      </c>
      <c r="H276" s="969">
        <f t="shared" si="9"/>
        <v>3.7839999999999996E-3</v>
      </c>
      <c r="I276" s="167">
        <v>240</v>
      </c>
    </row>
    <row r="277" spans="1:9" hidden="1">
      <c r="A277" s="167">
        <v>69986511</v>
      </c>
      <c r="B277" s="167" t="s">
        <v>442</v>
      </c>
      <c r="C277" s="932" t="s">
        <v>29</v>
      </c>
      <c r="D277" s="932" t="s">
        <v>29</v>
      </c>
      <c r="E277" s="167">
        <v>125</v>
      </c>
      <c r="F277" s="167">
        <v>473</v>
      </c>
      <c r="G277" s="968">
        <f t="shared" si="8"/>
        <v>3.7839999999999998</v>
      </c>
      <c r="H277" s="969">
        <f t="shared" si="9"/>
        <v>3.7839999999999996E-3</v>
      </c>
      <c r="I277" s="167">
        <v>240</v>
      </c>
    </row>
    <row r="278" spans="1:9" hidden="1">
      <c r="A278" s="167">
        <v>69999266</v>
      </c>
      <c r="B278" s="167" t="s">
        <v>298</v>
      </c>
      <c r="C278" s="932" t="s">
        <v>29</v>
      </c>
      <c r="D278" s="932" t="s">
        <v>29</v>
      </c>
      <c r="E278" s="167">
        <v>125</v>
      </c>
      <c r="F278" s="167">
        <v>473</v>
      </c>
      <c r="G278" s="968">
        <f t="shared" si="8"/>
        <v>3.7839999999999998</v>
      </c>
      <c r="H278" s="969">
        <f t="shared" si="9"/>
        <v>3.7839999999999996E-3</v>
      </c>
      <c r="I278" s="167">
        <v>240</v>
      </c>
    </row>
    <row r="279" spans="1:9" hidden="1">
      <c r="A279" s="167">
        <v>69999267</v>
      </c>
      <c r="B279" s="167" t="s">
        <v>335</v>
      </c>
      <c r="C279" s="932" t="s">
        <v>29</v>
      </c>
      <c r="D279" s="932" t="s">
        <v>29</v>
      </c>
      <c r="E279" s="167">
        <v>125</v>
      </c>
      <c r="F279" s="167">
        <v>473</v>
      </c>
      <c r="G279" s="968">
        <f t="shared" si="8"/>
        <v>3.7839999999999998</v>
      </c>
      <c r="H279" s="969">
        <f t="shared" si="9"/>
        <v>3.7839999999999996E-3</v>
      </c>
      <c r="I279" s="167">
        <v>240</v>
      </c>
    </row>
    <row r="280" spans="1:9" hidden="1">
      <c r="A280" s="167">
        <v>69999268</v>
      </c>
      <c r="B280" s="167" t="s">
        <v>351</v>
      </c>
      <c r="C280" s="932" t="s">
        <v>29</v>
      </c>
      <c r="D280" s="932" t="s">
        <v>29</v>
      </c>
      <c r="E280" s="167">
        <v>125</v>
      </c>
      <c r="F280" s="167">
        <v>473</v>
      </c>
      <c r="G280" s="968">
        <f t="shared" si="8"/>
        <v>3.7839999999999998</v>
      </c>
      <c r="H280" s="969">
        <f t="shared" si="9"/>
        <v>3.7839999999999996E-3</v>
      </c>
      <c r="I280" s="167">
        <v>240</v>
      </c>
    </row>
    <row r="281" spans="1:9" hidden="1">
      <c r="A281" s="167">
        <v>69999269</v>
      </c>
      <c r="B281" s="167" t="s">
        <v>300</v>
      </c>
      <c r="C281" s="932" t="s">
        <v>29</v>
      </c>
      <c r="D281" s="932" t="s">
        <v>29</v>
      </c>
      <c r="E281" s="167">
        <v>125</v>
      </c>
      <c r="F281" s="167">
        <v>473</v>
      </c>
      <c r="G281" s="968">
        <f t="shared" si="8"/>
        <v>3.7839999999999998</v>
      </c>
      <c r="H281" s="969">
        <f t="shared" si="9"/>
        <v>3.7839999999999996E-3</v>
      </c>
      <c r="I281" s="167">
        <v>240</v>
      </c>
    </row>
    <row r="282" spans="1:9" hidden="1">
      <c r="A282" s="167">
        <v>69999270</v>
      </c>
      <c r="B282" s="167" t="s">
        <v>953</v>
      </c>
      <c r="C282" s="932" t="s">
        <v>29</v>
      </c>
      <c r="D282" s="932" t="s">
        <v>29</v>
      </c>
      <c r="E282" s="167">
        <v>125</v>
      </c>
      <c r="F282" s="167">
        <v>473</v>
      </c>
      <c r="G282" s="968">
        <f t="shared" si="8"/>
        <v>3.7839999999999998</v>
      </c>
      <c r="H282" s="969">
        <f t="shared" si="9"/>
        <v>3.7839999999999996E-3</v>
      </c>
      <c r="I282" s="167">
        <v>240</v>
      </c>
    </row>
    <row r="283" spans="1:9" hidden="1">
      <c r="A283" s="167">
        <v>69999271</v>
      </c>
      <c r="B283" s="167" t="s">
        <v>531</v>
      </c>
      <c r="C283" s="932" t="s">
        <v>29</v>
      </c>
      <c r="D283" s="932" t="s">
        <v>29</v>
      </c>
      <c r="E283" s="167">
        <v>125</v>
      </c>
      <c r="F283" s="167">
        <v>473</v>
      </c>
      <c r="G283" s="968">
        <f t="shared" si="8"/>
        <v>3.7839999999999998</v>
      </c>
      <c r="H283" s="969">
        <f t="shared" si="9"/>
        <v>3.7839999999999996E-3</v>
      </c>
      <c r="I283" s="167">
        <v>240</v>
      </c>
    </row>
    <row r="284" spans="1:9" hidden="1">
      <c r="A284" s="167">
        <v>84138392</v>
      </c>
      <c r="B284" s="167" t="s">
        <v>418</v>
      </c>
      <c r="C284" s="932" t="s">
        <v>29</v>
      </c>
      <c r="D284" s="932" t="s">
        <v>29</v>
      </c>
      <c r="E284" s="167">
        <v>125</v>
      </c>
      <c r="F284" s="167">
        <v>473</v>
      </c>
      <c r="G284" s="968">
        <f t="shared" si="8"/>
        <v>3.7839999999999998</v>
      </c>
      <c r="H284" s="969">
        <f t="shared" si="9"/>
        <v>3.7839999999999996E-3</v>
      </c>
      <c r="I284" s="167">
        <v>240</v>
      </c>
    </row>
    <row r="285" spans="1:9" hidden="1">
      <c r="A285" s="167">
        <v>84141094</v>
      </c>
      <c r="B285" s="167" t="s">
        <v>393</v>
      </c>
      <c r="C285" s="932" t="s">
        <v>29</v>
      </c>
      <c r="D285" s="932" t="s">
        <v>29</v>
      </c>
      <c r="E285" s="167">
        <v>125</v>
      </c>
      <c r="F285" s="167">
        <v>473</v>
      </c>
      <c r="G285" s="968">
        <f t="shared" si="8"/>
        <v>3.7839999999999998</v>
      </c>
      <c r="H285" s="969">
        <f t="shared" si="9"/>
        <v>3.7839999999999996E-3</v>
      </c>
      <c r="I285" s="167">
        <v>240</v>
      </c>
    </row>
    <row r="286" spans="1:9" hidden="1">
      <c r="A286" s="930">
        <v>84150062</v>
      </c>
      <c r="B286" s="931" t="s">
        <v>463</v>
      </c>
      <c r="C286" s="932" t="s">
        <v>87</v>
      </c>
      <c r="D286" s="932" t="s">
        <v>29</v>
      </c>
      <c r="E286" s="167">
        <v>125</v>
      </c>
      <c r="F286" s="167">
        <v>473</v>
      </c>
      <c r="G286" s="970">
        <f t="shared" si="8"/>
        <v>3.7839999999999998</v>
      </c>
      <c r="H286" s="971">
        <f t="shared" si="9"/>
        <v>3.7839999999999996E-3</v>
      </c>
      <c r="I286" s="167">
        <v>240</v>
      </c>
    </row>
    <row r="287" spans="1:9" hidden="1">
      <c r="A287" s="167">
        <v>84154487</v>
      </c>
      <c r="B287" s="167" t="s">
        <v>389</v>
      </c>
      <c r="C287" s="932" t="s">
        <v>29</v>
      </c>
      <c r="D287" s="932" t="s">
        <v>29</v>
      </c>
      <c r="E287" s="167">
        <v>125</v>
      </c>
      <c r="F287" s="167">
        <v>473</v>
      </c>
      <c r="G287" s="968">
        <f t="shared" si="8"/>
        <v>3.7839999999999998</v>
      </c>
      <c r="H287" s="969">
        <f t="shared" si="9"/>
        <v>3.7839999999999996E-3</v>
      </c>
      <c r="I287" s="167">
        <v>240</v>
      </c>
    </row>
    <row r="288" spans="1:9" hidden="1">
      <c r="A288" s="930">
        <v>67473912</v>
      </c>
      <c r="B288" s="931" t="s">
        <v>932</v>
      </c>
      <c r="C288" s="938" t="s">
        <v>87</v>
      </c>
      <c r="D288" s="932" t="s">
        <v>29</v>
      </c>
      <c r="E288" s="167">
        <v>125</v>
      </c>
      <c r="F288" s="167">
        <v>458</v>
      </c>
      <c r="G288" s="970">
        <f t="shared" si="8"/>
        <v>3.6640000000000001</v>
      </c>
      <c r="H288" s="971">
        <f t="shared" si="9"/>
        <v>3.6640000000000002E-3</v>
      </c>
      <c r="I288" s="167">
        <v>240</v>
      </c>
    </row>
    <row r="289" spans="1:9" hidden="1">
      <c r="A289" s="167">
        <v>67546032</v>
      </c>
      <c r="B289" s="167" t="s">
        <v>469</v>
      </c>
      <c r="C289" s="938" t="s">
        <v>87</v>
      </c>
      <c r="D289" s="932" t="s">
        <v>29</v>
      </c>
      <c r="E289" s="167">
        <v>125</v>
      </c>
      <c r="F289" s="167">
        <v>458</v>
      </c>
      <c r="G289" s="970">
        <f t="shared" si="8"/>
        <v>3.6640000000000001</v>
      </c>
      <c r="H289" s="971">
        <f t="shared" si="9"/>
        <v>3.6640000000000002E-3</v>
      </c>
      <c r="I289" s="167">
        <v>240</v>
      </c>
    </row>
    <row r="290" spans="1:9" hidden="1">
      <c r="A290" s="167">
        <v>67596354</v>
      </c>
      <c r="B290" s="167" t="s">
        <v>336</v>
      </c>
      <c r="C290" s="938" t="s">
        <v>87</v>
      </c>
      <c r="D290" s="932" t="s">
        <v>29</v>
      </c>
      <c r="E290" s="167">
        <v>125</v>
      </c>
      <c r="F290" s="167">
        <v>458</v>
      </c>
      <c r="G290" s="970">
        <f t="shared" si="8"/>
        <v>3.6640000000000001</v>
      </c>
      <c r="H290" s="971">
        <f t="shared" si="9"/>
        <v>3.6640000000000002E-3</v>
      </c>
      <c r="I290" s="167">
        <v>240</v>
      </c>
    </row>
    <row r="291" spans="1:9" hidden="1">
      <c r="A291" s="167">
        <v>67916890</v>
      </c>
      <c r="B291" s="167" t="s">
        <v>471</v>
      </c>
      <c r="C291" s="932" t="s">
        <v>87</v>
      </c>
      <c r="D291" s="932" t="s">
        <v>29</v>
      </c>
      <c r="E291" s="167">
        <v>125</v>
      </c>
      <c r="F291" s="167">
        <v>458</v>
      </c>
      <c r="G291" s="970">
        <f t="shared" si="8"/>
        <v>3.6640000000000001</v>
      </c>
      <c r="H291" s="971">
        <f t="shared" si="9"/>
        <v>3.6640000000000002E-3</v>
      </c>
      <c r="I291" s="167">
        <v>240</v>
      </c>
    </row>
    <row r="292" spans="1:9" hidden="1">
      <c r="A292" s="167">
        <v>68732322</v>
      </c>
      <c r="B292" s="167" t="s">
        <v>538</v>
      </c>
      <c r="C292" s="932" t="s">
        <v>87</v>
      </c>
      <c r="D292" s="932" t="s">
        <v>29</v>
      </c>
      <c r="E292" s="167">
        <v>125</v>
      </c>
      <c r="F292" s="167">
        <v>458</v>
      </c>
      <c r="G292" s="970">
        <f t="shared" si="8"/>
        <v>3.6640000000000001</v>
      </c>
      <c r="H292" s="971">
        <f t="shared" si="9"/>
        <v>3.6640000000000002E-3</v>
      </c>
      <c r="I292" s="167">
        <v>240</v>
      </c>
    </row>
    <row r="293" spans="1:9" hidden="1">
      <c r="A293" s="942">
        <v>84149990</v>
      </c>
      <c r="B293" s="941" t="s">
        <v>340</v>
      </c>
      <c r="C293" s="938" t="s">
        <v>87</v>
      </c>
      <c r="D293" s="932" t="s">
        <v>29</v>
      </c>
      <c r="E293" s="167">
        <v>125</v>
      </c>
      <c r="F293" s="167">
        <v>458</v>
      </c>
      <c r="G293" s="970">
        <f t="shared" si="8"/>
        <v>3.6640000000000001</v>
      </c>
      <c r="H293" s="971">
        <f t="shared" si="9"/>
        <v>3.6640000000000002E-3</v>
      </c>
      <c r="I293" s="167">
        <v>240</v>
      </c>
    </row>
    <row r="294" spans="1:9" hidden="1">
      <c r="A294" s="167">
        <v>68354586</v>
      </c>
      <c r="B294" s="167" t="s">
        <v>361</v>
      </c>
      <c r="C294" s="932" t="s">
        <v>102</v>
      </c>
      <c r="D294" s="932" t="s">
        <v>40</v>
      </c>
      <c r="E294" s="167">
        <v>5</v>
      </c>
      <c r="F294" s="167">
        <v>18</v>
      </c>
      <c r="G294" s="968">
        <f t="shared" si="8"/>
        <v>3.6</v>
      </c>
      <c r="H294" s="969">
        <f t="shared" si="9"/>
        <v>3.5999999999999999E-3</v>
      </c>
      <c r="I294" s="167">
        <v>240</v>
      </c>
    </row>
    <row r="295" spans="1:9" hidden="1">
      <c r="A295" s="930">
        <v>68354587</v>
      </c>
      <c r="B295" s="945" t="s">
        <v>490</v>
      </c>
      <c r="C295" s="932" t="s">
        <v>102</v>
      </c>
      <c r="D295" s="932" t="s">
        <v>40</v>
      </c>
      <c r="E295" s="167">
        <v>5</v>
      </c>
      <c r="F295" s="167">
        <v>18</v>
      </c>
      <c r="G295" s="968">
        <f t="shared" si="8"/>
        <v>3.6</v>
      </c>
      <c r="H295" s="969">
        <f t="shared" si="9"/>
        <v>3.5999999999999999E-3</v>
      </c>
      <c r="I295" s="167">
        <v>240</v>
      </c>
    </row>
    <row r="296" spans="1:9" hidden="1">
      <c r="A296" s="167">
        <v>68354588</v>
      </c>
      <c r="B296" s="167" t="s">
        <v>332</v>
      </c>
      <c r="C296" s="932" t="s">
        <v>102</v>
      </c>
      <c r="D296" s="932" t="s">
        <v>40</v>
      </c>
      <c r="E296" s="167">
        <v>5</v>
      </c>
      <c r="F296" s="167">
        <v>18</v>
      </c>
      <c r="G296" s="968">
        <f t="shared" si="8"/>
        <v>3.6</v>
      </c>
      <c r="H296" s="969">
        <f t="shared" si="9"/>
        <v>3.5999999999999999E-3</v>
      </c>
      <c r="I296" s="167">
        <v>240</v>
      </c>
    </row>
    <row r="297" spans="1:9" hidden="1">
      <c r="A297" s="167">
        <v>68354589</v>
      </c>
      <c r="B297" s="167" t="s">
        <v>524</v>
      </c>
      <c r="C297" s="932" t="s">
        <v>102</v>
      </c>
      <c r="D297" s="932" t="s">
        <v>40</v>
      </c>
      <c r="E297" s="167">
        <v>5</v>
      </c>
      <c r="F297" s="167">
        <v>18</v>
      </c>
      <c r="G297" s="968">
        <f t="shared" si="8"/>
        <v>3.6</v>
      </c>
      <c r="H297" s="969">
        <f t="shared" si="9"/>
        <v>3.5999999999999999E-3</v>
      </c>
      <c r="I297" s="167">
        <v>240</v>
      </c>
    </row>
    <row r="298" spans="1:9" hidden="1">
      <c r="A298" s="167">
        <v>68354590</v>
      </c>
      <c r="B298" s="167" t="s">
        <v>376</v>
      </c>
      <c r="C298" s="932" t="s">
        <v>102</v>
      </c>
      <c r="D298" s="932" t="s">
        <v>40</v>
      </c>
      <c r="E298" s="167">
        <v>5</v>
      </c>
      <c r="F298" s="167">
        <v>18</v>
      </c>
      <c r="G298" s="968">
        <f t="shared" si="8"/>
        <v>3.6</v>
      </c>
      <c r="H298" s="969">
        <f t="shared" si="9"/>
        <v>3.5999999999999999E-3</v>
      </c>
      <c r="I298" s="167">
        <v>240</v>
      </c>
    </row>
    <row r="299" spans="1:9" hidden="1">
      <c r="A299" s="167">
        <v>68649095</v>
      </c>
      <c r="B299" s="167" t="s">
        <v>294</v>
      </c>
      <c r="C299" s="932" t="s">
        <v>102</v>
      </c>
      <c r="D299" s="932" t="s">
        <v>40</v>
      </c>
      <c r="E299" s="167">
        <v>5</v>
      </c>
      <c r="F299" s="167">
        <v>18</v>
      </c>
      <c r="G299" s="968">
        <f t="shared" si="8"/>
        <v>3.6</v>
      </c>
      <c r="H299" s="969">
        <f t="shared" si="9"/>
        <v>3.5999999999999999E-3</v>
      </c>
      <c r="I299" s="167">
        <v>240</v>
      </c>
    </row>
    <row r="300" spans="1:9" hidden="1">
      <c r="A300" s="167">
        <v>68649096</v>
      </c>
      <c r="B300" s="167" t="s">
        <v>504</v>
      </c>
      <c r="C300" s="932" t="s">
        <v>102</v>
      </c>
      <c r="D300" s="932" t="s">
        <v>40</v>
      </c>
      <c r="E300" s="167">
        <v>5</v>
      </c>
      <c r="F300" s="167">
        <v>18</v>
      </c>
      <c r="G300" s="968">
        <f t="shared" si="8"/>
        <v>3.6</v>
      </c>
      <c r="H300" s="969">
        <f t="shared" si="9"/>
        <v>3.5999999999999999E-3</v>
      </c>
      <c r="I300" s="167">
        <v>240</v>
      </c>
    </row>
    <row r="301" spans="1:9" hidden="1">
      <c r="A301" s="167">
        <v>68649097</v>
      </c>
      <c r="B301" s="167" t="s">
        <v>534</v>
      </c>
      <c r="C301" s="932" t="s">
        <v>102</v>
      </c>
      <c r="D301" s="932" t="s">
        <v>40</v>
      </c>
      <c r="E301" s="167">
        <v>5</v>
      </c>
      <c r="F301" s="167">
        <v>18</v>
      </c>
      <c r="G301" s="968">
        <f t="shared" si="8"/>
        <v>3.6</v>
      </c>
      <c r="H301" s="969">
        <f t="shared" si="9"/>
        <v>3.5999999999999999E-3</v>
      </c>
      <c r="I301" s="167">
        <v>240</v>
      </c>
    </row>
    <row r="302" spans="1:9" hidden="1">
      <c r="A302" s="930">
        <v>68938272</v>
      </c>
      <c r="B302" s="931" t="s">
        <v>483</v>
      </c>
      <c r="C302" s="932" t="s">
        <v>102</v>
      </c>
      <c r="D302" s="932" t="s">
        <v>40</v>
      </c>
      <c r="E302" s="167">
        <v>5</v>
      </c>
      <c r="F302" s="167">
        <v>18</v>
      </c>
      <c r="G302" s="968">
        <f t="shared" si="8"/>
        <v>3.6</v>
      </c>
      <c r="H302" s="969">
        <f t="shared" si="9"/>
        <v>3.5999999999999999E-3</v>
      </c>
      <c r="I302" s="167">
        <v>240</v>
      </c>
    </row>
    <row r="303" spans="1:9" ht="15" hidden="1">
      <c r="A303" s="167">
        <v>64367657</v>
      </c>
      <c r="B303" s="167" t="s">
        <v>403</v>
      </c>
      <c r="C303" s="932" t="s">
        <v>107</v>
      </c>
      <c r="D303" s="868" t="s">
        <v>107</v>
      </c>
      <c r="E303" s="167">
        <v>125</v>
      </c>
      <c r="F303" s="167">
        <v>444</v>
      </c>
      <c r="G303" s="968">
        <f t="shared" si="8"/>
        <v>3.552</v>
      </c>
      <c r="H303" s="969">
        <f t="shared" si="9"/>
        <v>3.552E-3</v>
      </c>
      <c r="I303" s="167">
        <v>255</v>
      </c>
    </row>
    <row r="304" spans="1:9" ht="15" hidden="1">
      <c r="A304" s="167">
        <v>64369043</v>
      </c>
      <c r="B304" s="167" t="s">
        <v>329</v>
      </c>
      <c r="C304" s="932" t="s">
        <v>107</v>
      </c>
      <c r="D304" s="868" t="s">
        <v>107</v>
      </c>
      <c r="E304" s="167">
        <v>125</v>
      </c>
      <c r="F304" s="167">
        <v>444</v>
      </c>
      <c r="G304" s="968">
        <f t="shared" si="8"/>
        <v>3.552</v>
      </c>
      <c r="H304" s="969">
        <f t="shared" si="9"/>
        <v>3.552E-3</v>
      </c>
      <c r="I304" s="167">
        <v>255</v>
      </c>
    </row>
    <row r="305" spans="1:9" ht="15" hidden="1">
      <c r="A305" s="167">
        <v>64369045</v>
      </c>
      <c r="B305" s="167" t="s">
        <v>479</v>
      </c>
      <c r="C305" s="932" t="s">
        <v>107</v>
      </c>
      <c r="D305" s="868" t="s">
        <v>107</v>
      </c>
      <c r="E305" s="167">
        <v>125</v>
      </c>
      <c r="F305" s="167">
        <v>444</v>
      </c>
      <c r="G305" s="968">
        <f t="shared" si="8"/>
        <v>3.552</v>
      </c>
      <c r="H305" s="969">
        <f t="shared" si="9"/>
        <v>3.552E-3</v>
      </c>
      <c r="I305" s="167">
        <v>255</v>
      </c>
    </row>
    <row r="306" spans="1:9" ht="15" hidden="1">
      <c r="A306" s="167">
        <v>64369046</v>
      </c>
      <c r="B306" s="167" t="s">
        <v>315</v>
      </c>
      <c r="C306" s="932" t="s">
        <v>107</v>
      </c>
      <c r="D306" s="868" t="s">
        <v>107</v>
      </c>
      <c r="E306" s="167">
        <v>125</v>
      </c>
      <c r="F306" s="167">
        <v>444</v>
      </c>
      <c r="G306" s="968">
        <f t="shared" si="8"/>
        <v>3.552</v>
      </c>
      <c r="H306" s="969">
        <f t="shared" si="9"/>
        <v>3.552E-3</v>
      </c>
      <c r="I306" s="167">
        <v>255</v>
      </c>
    </row>
    <row r="307" spans="1:9" ht="15" hidden="1">
      <c r="A307" s="167">
        <v>64371463</v>
      </c>
      <c r="B307" s="167" t="s">
        <v>514</v>
      </c>
      <c r="C307" s="932" t="s">
        <v>107</v>
      </c>
      <c r="D307" s="868" t="s">
        <v>107</v>
      </c>
      <c r="E307" s="167">
        <v>125</v>
      </c>
      <c r="F307" s="167">
        <v>444</v>
      </c>
      <c r="G307" s="968">
        <f t="shared" si="8"/>
        <v>3.552</v>
      </c>
      <c r="H307" s="969">
        <f t="shared" si="9"/>
        <v>3.552E-3</v>
      </c>
      <c r="I307" s="167">
        <v>255</v>
      </c>
    </row>
    <row r="308" spans="1:9" hidden="1">
      <c r="A308" s="944">
        <v>68729634</v>
      </c>
      <c r="B308" s="945" t="s">
        <v>516</v>
      </c>
      <c r="C308" s="932" t="s">
        <v>41</v>
      </c>
      <c r="D308" s="932" t="s">
        <v>41</v>
      </c>
      <c r="E308" s="167">
        <v>125</v>
      </c>
      <c r="F308" s="167">
        <v>444</v>
      </c>
      <c r="G308" s="968">
        <f t="shared" si="8"/>
        <v>3.552</v>
      </c>
      <c r="H308" s="969">
        <f t="shared" si="9"/>
        <v>3.552E-3</v>
      </c>
      <c r="I308" s="167">
        <v>255</v>
      </c>
    </row>
    <row r="309" spans="1:9" hidden="1">
      <c r="A309" s="167">
        <v>68852628</v>
      </c>
      <c r="B309" s="167" t="s">
        <v>516</v>
      </c>
      <c r="C309" s="932" t="s">
        <v>107</v>
      </c>
      <c r="D309" s="932" t="s">
        <v>107</v>
      </c>
      <c r="E309" s="167">
        <v>125</v>
      </c>
      <c r="F309" s="167">
        <v>444</v>
      </c>
      <c r="G309" s="968">
        <f t="shared" si="8"/>
        <v>3.552</v>
      </c>
      <c r="H309" s="969">
        <f t="shared" si="9"/>
        <v>3.552E-3</v>
      </c>
      <c r="I309" s="167">
        <v>255</v>
      </c>
    </row>
    <row r="310" spans="1:9" hidden="1">
      <c r="A310" s="167">
        <v>68860061</v>
      </c>
      <c r="B310" s="167" t="s">
        <v>452</v>
      </c>
      <c r="C310" s="932" t="s">
        <v>107</v>
      </c>
      <c r="D310" s="932" t="s">
        <v>107</v>
      </c>
      <c r="E310" s="167">
        <v>125</v>
      </c>
      <c r="F310" s="167">
        <v>444</v>
      </c>
      <c r="G310" s="968">
        <f t="shared" si="8"/>
        <v>3.552</v>
      </c>
      <c r="H310" s="969">
        <f t="shared" si="9"/>
        <v>3.552E-3</v>
      </c>
      <c r="I310" s="167">
        <v>255</v>
      </c>
    </row>
    <row r="311" spans="1:9" hidden="1">
      <c r="A311" s="930">
        <v>68860067</v>
      </c>
      <c r="B311" s="931" t="s">
        <v>481</v>
      </c>
      <c r="C311" s="932" t="s">
        <v>107</v>
      </c>
      <c r="D311" s="935" t="s">
        <v>107</v>
      </c>
      <c r="E311" s="167">
        <v>125</v>
      </c>
      <c r="F311" s="167">
        <v>444</v>
      </c>
      <c r="G311" s="968">
        <f t="shared" si="8"/>
        <v>3.552</v>
      </c>
      <c r="H311" s="969">
        <f t="shared" si="9"/>
        <v>3.552E-3</v>
      </c>
      <c r="I311" s="167">
        <v>255</v>
      </c>
    </row>
    <row r="312" spans="1:9" hidden="1">
      <c r="A312" s="942">
        <v>68862421</v>
      </c>
      <c r="B312" s="941" t="s">
        <v>945</v>
      </c>
      <c r="C312" s="932" t="s">
        <v>107</v>
      </c>
      <c r="D312" s="932" t="s">
        <v>107</v>
      </c>
      <c r="E312" s="167">
        <v>125</v>
      </c>
      <c r="F312" s="167">
        <v>444</v>
      </c>
      <c r="G312" s="968">
        <f t="shared" si="8"/>
        <v>3.552</v>
      </c>
      <c r="H312" s="969">
        <f t="shared" si="9"/>
        <v>3.552E-3</v>
      </c>
      <c r="I312" s="167">
        <v>255</v>
      </c>
    </row>
    <row r="313" spans="1:9" hidden="1">
      <c r="A313" s="167">
        <v>68862483</v>
      </c>
      <c r="B313" s="167" t="s">
        <v>482</v>
      </c>
      <c r="C313" s="932" t="s">
        <v>107</v>
      </c>
      <c r="D313" s="932" t="s">
        <v>107</v>
      </c>
      <c r="E313" s="167">
        <v>125</v>
      </c>
      <c r="F313" s="167">
        <v>444</v>
      </c>
      <c r="G313" s="968">
        <f t="shared" si="8"/>
        <v>3.552</v>
      </c>
      <c r="H313" s="969">
        <f t="shared" si="9"/>
        <v>3.552E-3</v>
      </c>
      <c r="I313" s="167">
        <v>255</v>
      </c>
    </row>
    <row r="314" spans="1:9" hidden="1">
      <c r="A314" s="942">
        <v>68867744</v>
      </c>
      <c r="B314" s="941" t="s">
        <v>306</v>
      </c>
      <c r="C314" s="932" t="s">
        <v>107</v>
      </c>
      <c r="D314" s="932" t="s">
        <v>107</v>
      </c>
      <c r="E314" s="167">
        <v>125</v>
      </c>
      <c r="F314" s="167">
        <v>444</v>
      </c>
      <c r="G314" s="968">
        <f t="shared" si="8"/>
        <v>3.552</v>
      </c>
      <c r="H314" s="969">
        <f t="shared" si="9"/>
        <v>3.552E-3</v>
      </c>
      <c r="I314" s="167">
        <v>255</v>
      </c>
    </row>
    <row r="315" spans="1:9" hidden="1">
      <c r="A315" s="942">
        <v>68867755</v>
      </c>
      <c r="B315" s="941" t="s">
        <v>274</v>
      </c>
      <c r="C315" s="932" t="s">
        <v>107</v>
      </c>
      <c r="D315" s="932" t="s">
        <v>107</v>
      </c>
      <c r="E315" s="167">
        <v>125</v>
      </c>
      <c r="F315" s="167">
        <v>444</v>
      </c>
      <c r="G315" s="968">
        <f t="shared" si="8"/>
        <v>3.552</v>
      </c>
      <c r="H315" s="969">
        <f t="shared" si="9"/>
        <v>3.552E-3</v>
      </c>
      <c r="I315" s="167">
        <v>255</v>
      </c>
    </row>
    <row r="316" spans="1:9" hidden="1">
      <c r="A316" s="930">
        <v>69549033</v>
      </c>
      <c r="B316" s="931" t="s">
        <v>479</v>
      </c>
      <c r="C316" s="932" t="s">
        <v>41</v>
      </c>
      <c r="D316" s="932" t="s">
        <v>41</v>
      </c>
      <c r="E316" s="167">
        <v>125</v>
      </c>
      <c r="F316" s="167">
        <v>444</v>
      </c>
      <c r="G316" s="968">
        <f t="shared" si="8"/>
        <v>3.552</v>
      </c>
      <c r="H316" s="969">
        <f t="shared" si="9"/>
        <v>3.552E-3</v>
      </c>
      <c r="I316" s="167">
        <v>255</v>
      </c>
    </row>
    <row r="317" spans="1:9" ht="15" hidden="1">
      <c r="A317" s="167">
        <v>64394583</v>
      </c>
      <c r="B317" s="167" t="s">
        <v>462</v>
      </c>
      <c r="C317" s="932" t="s">
        <v>101</v>
      </c>
      <c r="D317" s="868" t="s">
        <v>40</v>
      </c>
      <c r="E317" s="167">
        <v>125</v>
      </c>
      <c r="F317" s="167">
        <v>427</v>
      </c>
      <c r="G317" s="968">
        <f t="shared" si="8"/>
        <v>3.4159999999999999</v>
      </c>
      <c r="H317" s="969">
        <f t="shared" si="9"/>
        <v>3.4159999999999998E-3</v>
      </c>
      <c r="I317" s="167">
        <v>240</v>
      </c>
    </row>
    <row r="318" spans="1:9" ht="15" hidden="1">
      <c r="A318" s="167">
        <v>64394585</v>
      </c>
      <c r="B318" s="167" t="s">
        <v>523</v>
      </c>
      <c r="C318" s="932" t="s">
        <v>101</v>
      </c>
      <c r="D318" s="868" t="s">
        <v>40</v>
      </c>
      <c r="E318" s="167">
        <v>125</v>
      </c>
      <c r="F318" s="167">
        <v>427</v>
      </c>
      <c r="G318" s="968">
        <f t="shared" si="8"/>
        <v>3.4159999999999999</v>
      </c>
      <c r="H318" s="969">
        <f t="shared" si="9"/>
        <v>3.4159999999999998E-3</v>
      </c>
      <c r="I318" s="167">
        <v>240</v>
      </c>
    </row>
    <row r="319" spans="1:9" ht="15" hidden="1">
      <c r="A319" s="167">
        <v>64394596</v>
      </c>
      <c r="B319" s="167" t="s">
        <v>550</v>
      </c>
      <c r="C319" s="932" t="s">
        <v>101</v>
      </c>
      <c r="D319" s="868" t="s">
        <v>40</v>
      </c>
      <c r="E319" s="167">
        <v>125</v>
      </c>
      <c r="F319" s="167">
        <v>427</v>
      </c>
      <c r="G319" s="968">
        <f t="shared" si="8"/>
        <v>3.4159999999999999</v>
      </c>
      <c r="H319" s="969">
        <f t="shared" si="9"/>
        <v>3.4159999999999998E-3</v>
      </c>
      <c r="I319" s="167">
        <v>240</v>
      </c>
    </row>
    <row r="320" spans="1:9" ht="15" hidden="1">
      <c r="A320" s="167">
        <v>64394598</v>
      </c>
      <c r="B320" s="167" t="s">
        <v>451</v>
      </c>
      <c r="C320" s="932" t="s">
        <v>101</v>
      </c>
      <c r="D320" s="868" t="s">
        <v>40</v>
      </c>
      <c r="E320" s="167">
        <v>125</v>
      </c>
      <c r="F320" s="167">
        <v>427</v>
      </c>
      <c r="G320" s="968">
        <f t="shared" si="8"/>
        <v>3.4159999999999999</v>
      </c>
      <c r="H320" s="969">
        <f t="shared" si="9"/>
        <v>3.4159999999999998E-3</v>
      </c>
      <c r="I320" s="167">
        <v>240</v>
      </c>
    </row>
    <row r="321" spans="1:9" ht="15" hidden="1">
      <c r="A321" s="930">
        <v>64984152</v>
      </c>
      <c r="B321" s="931" t="s">
        <v>396</v>
      </c>
      <c r="C321" s="932" t="s">
        <v>101</v>
      </c>
      <c r="D321" s="868" t="s">
        <v>40</v>
      </c>
      <c r="E321" s="167">
        <v>125</v>
      </c>
      <c r="F321" s="167">
        <v>427</v>
      </c>
      <c r="G321" s="968">
        <f t="shared" si="8"/>
        <v>3.4159999999999999</v>
      </c>
      <c r="H321" s="969">
        <f t="shared" si="9"/>
        <v>3.4159999999999998E-3</v>
      </c>
      <c r="I321" s="167">
        <v>240</v>
      </c>
    </row>
    <row r="322" spans="1:9" ht="15" hidden="1">
      <c r="A322" s="167">
        <v>64984153</v>
      </c>
      <c r="B322" s="167" t="s">
        <v>350</v>
      </c>
      <c r="C322" s="932" t="s">
        <v>101</v>
      </c>
      <c r="D322" s="868" t="s">
        <v>40</v>
      </c>
      <c r="E322" s="167">
        <v>125</v>
      </c>
      <c r="F322" s="167">
        <v>427</v>
      </c>
      <c r="G322" s="968">
        <f t="shared" ref="G322:G385" si="10">F322/E322</f>
        <v>3.4159999999999999</v>
      </c>
      <c r="H322" s="969">
        <f t="shared" ref="H322:H385" si="11">G322/1000</f>
        <v>3.4159999999999998E-3</v>
      </c>
      <c r="I322" s="167">
        <v>240</v>
      </c>
    </row>
    <row r="323" spans="1:9" ht="15" hidden="1">
      <c r="A323" s="930">
        <v>64986251</v>
      </c>
      <c r="B323" s="931" t="s">
        <v>313</v>
      </c>
      <c r="C323" s="932" t="s">
        <v>101</v>
      </c>
      <c r="D323" s="868" t="s">
        <v>40</v>
      </c>
      <c r="E323" s="167">
        <v>125</v>
      </c>
      <c r="F323" s="167">
        <v>427</v>
      </c>
      <c r="G323" s="968">
        <f t="shared" si="10"/>
        <v>3.4159999999999999</v>
      </c>
      <c r="H323" s="969">
        <f t="shared" si="11"/>
        <v>3.4159999999999998E-3</v>
      </c>
      <c r="I323" s="167">
        <v>240</v>
      </c>
    </row>
    <row r="324" spans="1:9" hidden="1">
      <c r="A324" s="930">
        <v>64987238</v>
      </c>
      <c r="B324" s="931" t="s">
        <v>1057</v>
      </c>
      <c r="C324" s="938" t="s">
        <v>101</v>
      </c>
      <c r="D324" s="932" t="s">
        <v>40</v>
      </c>
      <c r="E324" s="167">
        <v>125</v>
      </c>
      <c r="F324" s="167">
        <v>427</v>
      </c>
      <c r="G324" s="968">
        <f t="shared" si="10"/>
        <v>3.4159999999999999</v>
      </c>
      <c r="H324" s="969">
        <f t="shared" si="11"/>
        <v>3.4159999999999998E-3</v>
      </c>
      <c r="I324" s="167">
        <v>240</v>
      </c>
    </row>
    <row r="325" spans="1:9" hidden="1">
      <c r="A325" s="167">
        <v>64988927</v>
      </c>
      <c r="B325" s="167" t="s">
        <v>1058</v>
      </c>
      <c r="C325" s="932" t="s">
        <v>101</v>
      </c>
      <c r="D325" s="932" t="s">
        <v>40</v>
      </c>
      <c r="E325" s="167">
        <v>125</v>
      </c>
      <c r="F325" s="167">
        <v>427</v>
      </c>
      <c r="G325" s="968">
        <f t="shared" si="10"/>
        <v>3.4159999999999999</v>
      </c>
      <c r="H325" s="969">
        <f t="shared" si="11"/>
        <v>3.4159999999999998E-3</v>
      </c>
      <c r="I325" s="167">
        <v>240</v>
      </c>
    </row>
    <row r="326" spans="1:9" hidden="1">
      <c r="A326" s="167">
        <v>84162829</v>
      </c>
      <c r="B326" s="931" t="s">
        <v>464</v>
      </c>
      <c r="C326" s="932" t="s">
        <v>87</v>
      </c>
      <c r="D326" s="932" t="s">
        <v>29</v>
      </c>
      <c r="E326" s="167">
        <v>125</v>
      </c>
      <c r="F326" s="167">
        <v>423</v>
      </c>
      <c r="G326" s="970">
        <f t="shared" si="10"/>
        <v>3.3839999999999999</v>
      </c>
      <c r="H326" s="971">
        <f t="shared" si="11"/>
        <v>3.3839999999999999E-3</v>
      </c>
      <c r="I326" s="167">
        <v>240</v>
      </c>
    </row>
    <row r="327" spans="1:9" hidden="1">
      <c r="A327" s="167">
        <v>64324874</v>
      </c>
      <c r="B327" s="167" t="s">
        <v>235</v>
      </c>
      <c r="C327" s="932" t="s">
        <v>44</v>
      </c>
      <c r="D327" s="932" t="s">
        <v>44</v>
      </c>
      <c r="E327" s="167">
        <v>125</v>
      </c>
      <c r="F327" s="167">
        <v>414</v>
      </c>
      <c r="G327" s="968">
        <f t="shared" si="10"/>
        <v>3.3119999999999998</v>
      </c>
      <c r="H327" s="969">
        <f t="shared" si="11"/>
        <v>3.3119999999999998E-3</v>
      </c>
      <c r="I327" s="167">
        <v>187</v>
      </c>
    </row>
    <row r="328" spans="1:9" hidden="1">
      <c r="A328" s="167">
        <v>64324876</v>
      </c>
      <c r="B328" s="167" t="s">
        <v>238</v>
      </c>
      <c r="C328" s="932" t="s">
        <v>44</v>
      </c>
      <c r="D328" s="932" t="s">
        <v>44</v>
      </c>
      <c r="E328" s="167">
        <v>125</v>
      </c>
      <c r="F328" s="167">
        <v>414</v>
      </c>
      <c r="G328" s="968">
        <f t="shared" si="10"/>
        <v>3.3119999999999998</v>
      </c>
      <c r="H328" s="969">
        <f t="shared" si="11"/>
        <v>3.3119999999999998E-3</v>
      </c>
      <c r="I328" s="167">
        <v>187</v>
      </c>
    </row>
    <row r="329" spans="1:9" hidden="1">
      <c r="A329" s="167">
        <v>64325372</v>
      </c>
      <c r="B329" s="167" t="s">
        <v>236</v>
      </c>
      <c r="C329" s="932" t="s">
        <v>44</v>
      </c>
      <c r="D329" s="932" t="s">
        <v>44</v>
      </c>
      <c r="E329" s="167">
        <v>125</v>
      </c>
      <c r="F329" s="167">
        <v>414</v>
      </c>
      <c r="G329" s="968">
        <f t="shared" si="10"/>
        <v>3.3119999999999998</v>
      </c>
      <c r="H329" s="969">
        <f t="shared" si="11"/>
        <v>3.3119999999999998E-3</v>
      </c>
      <c r="I329" s="167">
        <v>187</v>
      </c>
    </row>
    <row r="330" spans="1:9" hidden="1">
      <c r="A330" s="167">
        <v>64325510</v>
      </c>
      <c r="B330" s="167" t="s">
        <v>1195</v>
      </c>
      <c r="C330" s="932" t="s">
        <v>44</v>
      </c>
      <c r="D330" s="932" t="s">
        <v>44</v>
      </c>
      <c r="E330" s="167">
        <v>125</v>
      </c>
      <c r="F330" s="167">
        <v>414</v>
      </c>
      <c r="G330" s="968">
        <f t="shared" si="10"/>
        <v>3.3119999999999998</v>
      </c>
      <c r="H330" s="969">
        <f t="shared" si="11"/>
        <v>3.3119999999999998E-3</v>
      </c>
      <c r="I330" s="167">
        <v>187</v>
      </c>
    </row>
    <row r="331" spans="1:9" hidden="1">
      <c r="A331" s="930">
        <v>64325512</v>
      </c>
      <c r="B331" s="931" t="s">
        <v>237</v>
      </c>
      <c r="C331" s="932" t="s">
        <v>44</v>
      </c>
      <c r="D331" s="932" t="s">
        <v>44</v>
      </c>
      <c r="E331" s="167">
        <v>125</v>
      </c>
      <c r="F331" s="167">
        <v>414</v>
      </c>
      <c r="G331" s="968">
        <f t="shared" si="10"/>
        <v>3.3119999999999998</v>
      </c>
      <c r="H331" s="969">
        <f t="shared" si="11"/>
        <v>3.3119999999999998E-3</v>
      </c>
      <c r="I331" s="167">
        <v>187</v>
      </c>
    </row>
    <row r="332" spans="1:9" hidden="1">
      <c r="A332" s="930">
        <v>64325513</v>
      </c>
      <c r="B332" s="931" t="s">
        <v>587</v>
      </c>
      <c r="C332" s="932" t="s">
        <v>44</v>
      </c>
      <c r="D332" s="932" t="s">
        <v>44</v>
      </c>
      <c r="E332" s="167">
        <v>125</v>
      </c>
      <c r="F332" s="167">
        <v>414</v>
      </c>
      <c r="G332" s="968">
        <f t="shared" si="10"/>
        <v>3.3119999999999998</v>
      </c>
      <c r="H332" s="969">
        <f t="shared" si="11"/>
        <v>3.3119999999999998E-3</v>
      </c>
      <c r="I332" s="167">
        <v>187</v>
      </c>
    </row>
    <row r="333" spans="1:9" ht="15" hidden="1">
      <c r="A333" s="58">
        <v>64325518</v>
      </c>
      <c r="B333" t="s">
        <v>588</v>
      </c>
      <c r="C333" s="932" t="s">
        <v>44</v>
      </c>
      <c r="D333" s="932" t="s">
        <v>44</v>
      </c>
      <c r="E333" s="167">
        <v>125</v>
      </c>
      <c r="F333" s="167">
        <v>414</v>
      </c>
      <c r="G333" s="968">
        <f t="shared" si="10"/>
        <v>3.3119999999999998</v>
      </c>
      <c r="H333" s="969">
        <f t="shared" si="11"/>
        <v>3.3119999999999998E-3</v>
      </c>
      <c r="I333" s="167">
        <v>187</v>
      </c>
    </row>
    <row r="334" spans="1:9" hidden="1">
      <c r="A334" s="167">
        <v>64325523</v>
      </c>
      <c r="B334" s="167" t="s">
        <v>1196</v>
      </c>
      <c r="C334" s="932" t="s">
        <v>44</v>
      </c>
      <c r="D334" s="932" t="s">
        <v>44</v>
      </c>
      <c r="E334" s="167">
        <v>125</v>
      </c>
      <c r="F334" s="167">
        <v>414</v>
      </c>
      <c r="G334" s="968">
        <f t="shared" si="10"/>
        <v>3.3119999999999998</v>
      </c>
      <c r="H334" s="969">
        <f t="shared" si="11"/>
        <v>3.3119999999999998E-3</v>
      </c>
      <c r="I334" s="167">
        <v>187</v>
      </c>
    </row>
    <row r="335" spans="1:9" hidden="1">
      <c r="A335" s="167">
        <v>64325563</v>
      </c>
      <c r="B335" s="167" t="s">
        <v>1197</v>
      </c>
      <c r="C335" s="932" t="s">
        <v>44</v>
      </c>
      <c r="D335" s="932" t="s">
        <v>44</v>
      </c>
      <c r="E335" s="167">
        <v>125</v>
      </c>
      <c r="F335" s="167">
        <v>414</v>
      </c>
      <c r="G335" s="968">
        <f t="shared" si="10"/>
        <v>3.3119999999999998</v>
      </c>
      <c r="H335" s="969">
        <f t="shared" si="11"/>
        <v>3.3119999999999998E-3</v>
      </c>
      <c r="I335" s="167">
        <v>187</v>
      </c>
    </row>
    <row r="336" spans="1:9" hidden="1">
      <c r="A336" s="167">
        <v>64325568</v>
      </c>
      <c r="B336" s="167" t="s">
        <v>581</v>
      </c>
      <c r="C336" s="932" t="s">
        <v>44</v>
      </c>
      <c r="D336" s="932" t="s">
        <v>44</v>
      </c>
      <c r="E336" s="167">
        <v>125</v>
      </c>
      <c r="F336" s="167">
        <v>414</v>
      </c>
      <c r="G336" s="968">
        <f t="shared" si="10"/>
        <v>3.3119999999999998</v>
      </c>
      <c r="H336" s="969">
        <f t="shared" si="11"/>
        <v>3.3119999999999998E-3</v>
      </c>
      <c r="I336" s="167">
        <v>187</v>
      </c>
    </row>
    <row r="337" spans="1:9" hidden="1">
      <c r="A337" s="936">
        <v>64326313</v>
      </c>
      <c r="B337" s="937" t="s">
        <v>1198</v>
      </c>
      <c r="C337" s="938" t="s">
        <v>44</v>
      </c>
      <c r="D337" s="932" t="s">
        <v>44</v>
      </c>
      <c r="E337" s="167">
        <v>125</v>
      </c>
      <c r="F337" s="167">
        <v>414</v>
      </c>
      <c r="G337" s="968">
        <f t="shared" si="10"/>
        <v>3.3119999999999998</v>
      </c>
      <c r="H337" s="969">
        <f t="shared" si="11"/>
        <v>3.3119999999999998E-3</v>
      </c>
      <c r="I337" s="167">
        <v>187</v>
      </c>
    </row>
    <row r="338" spans="1:9" hidden="1">
      <c r="A338" s="939">
        <v>64326314</v>
      </c>
      <c r="B338" s="941" t="s">
        <v>585</v>
      </c>
      <c r="C338" s="932" t="s">
        <v>44</v>
      </c>
      <c r="D338" s="932" t="s">
        <v>44</v>
      </c>
      <c r="E338" s="167">
        <v>125</v>
      </c>
      <c r="F338" s="167">
        <v>414</v>
      </c>
      <c r="G338" s="968">
        <f t="shared" si="10"/>
        <v>3.3119999999999998</v>
      </c>
      <c r="H338" s="969">
        <f t="shared" si="11"/>
        <v>3.3119999999999998E-3</v>
      </c>
      <c r="I338" s="167">
        <v>187</v>
      </c>
    </row>
    <row r="339" spans="1:9" hidden="1">
      <c r="A339" s="167">
        <v>64388734</v>
      </c>
      <c r="B339" s="167" t="s">
        <v>583</v>
      </c>
      <c r="C339" s="932" t="s">
        <v>44</v>
      </c>
      <c r="D339" s="932" t="s">
        <v>44</v>
      </c>
      <c r="E339" s="167">
        <v>125</v>
      </c>
      <c r="F339" s="167">
        <v>414</v>
      </c>
      <c r="G339" s="968">
        <f t="shared" si="10"/>
        <v>3.3119999999999998</v>
      </c>
      <c r="H339" s="969">
        <f t="shared" si="11"/>
        <v>3.3119999999999998E-3</v>
      </c>
      <c r="I339" s="167">
        <v>187</v>
      </c>
    </row>
    <row r="340" spans="1:9" ht="15" hidden="1">
      <c r="A340" s="167">
        <v>64955558</v>
      </c>
      <c r="B340" s="167" t="s">
        <v>581</v>
      </c>
      <c r="C340" s="932" t="s">
        <v>44</v>
      </c>
      <c r="D340" s="868" t="s">
        <v>44</v>
      </c>
      <c r="E340" s="167">
        <v>125</v>
      </c>
      <c r="F340" s="167">
        <v>414</v>
      </c>
      <c r="G340" s="968">
        <f t="shared" si="10"/>
        <v>3.3119999999999998</v>
      </c>
      <c r="H340" s="969">
        <f t="shared" si="11"/>
        <v>3.3119999999999998E-3</v>
      </c>
      <c r="I340" s="167">
        <v>165</v>
      </c>
    </row>
    <row r="341" spans="1:9" ht="15" hidden="1">
      <c r="A341" s="167">
        <v>64955559</v>
      </c>
      <c r="B341" s="167" t="s">
        <v>582</v>
      </c>
      <c r="C341" s="932" t="s">
        <v>44</v>
      </c>
      <c r="D341" s="868" t="s">
        <v>44</v>
      </c>
      <c r="E341" s="167">
        <v>125</v>
      </c>
      <c r="F341" s="167">
        <v>414</v>
      </c>
      <c r="G341" s="968">
        <f t="shared" si="10"/>
        <v>3.3119999999999998</v>
      </c>
      <c r="H341" s="969">
        <f t="shared" si="11"/>
        <v>3.3119999999999998E-3</v>
      </c>
      <c r="I341" s="167">
        <v>165</v>
      </c>
    </row>
    <row r="342" spans="1:9" ht="15" hidden="1">
      <c r="A342" s="167">
        <v>64955561</v>
      </c>
      <c r="B342" s="167" t="s">
        <v>583</v>
      </c>
      <c r="C342" s="932" t="s">
        <v>44</v>
      </c>
      <c r="D342" s="868" t="s">
        <v>44</v>
      </c>
      <c r="E342" s="167">
        <v>125</v>
      </c>
      <c r="F342" s="167">
        <v>414</v>
      </c>
      <c r="G342" s="968">
        <f t="shared" si="10"/>
        <v>3.3119999999999998</v>
      </c>
      <c r="H342" s="969">
        <f t="shared" si="11"/>
        <v>3.3119999999999998E-3</v>
      </c>
      <c r="I342" s="167">
        <v>165</v>
      </c>
    </row>
    <row r="343" spans="1:9" ht="15" hidden="1">
      <c r="A343" s="167">
        <v>64955741</v>
      </c>
      <c r="B343" s="167" t="s">
        <v>584</v>
      </c>
      <c r="C343" s="932" t="s">
        <v>44</v>
      </c>
      <c r="D343" s="868" t="s">
        <v>44</v>
      </c>
      <c r="E343" s="167">
        <v>125</v>
      </c>
      <c r="F343" s="167">
        <v>414</v>
      </c>
      <c r="G343" s="968">
        <f t="shared" si="10"/>
        <v>3.3119999999999998</v>
      </c>
      <c r="H343" s="969">
        <f t="shared" si="11"/>
        <v>3.3119999999999998E-3</v>
      </c>
      <c r="I343" s="167">
        <v>165</v>
      </c>
    </row>
    <row r="344" spans="1:9" ht="15" hidden="1">
      <c r="A344" s="167">
        <v>64955743</v>
      </c>
      <c r="B344" s="167" t="s">
        <v>585</v>
      </c>
      <c r="C344" s="932" t="s">
        <v>44</v>
      </c>
      <c r="D344" s="868" t="s">
        <v>44</v>
      </c>
      <c r="E344" s="167">
        <v>125</v>
      </c>
      <c r="F344" s="167">
        <v>414</v>
      </c>
      <c r="G344" s="968">
        <f t="shared" si="10"/>
        <v>3.3119999999999998</v>
      </c>
      <c r="H344" s="969">
        <f t="shared" si="11"/>
        <v>3.3119999999999998E-3</v>
      </c>
      <c r="I344" s="167">
        <v>165</v>
      </c>
    </row>
    <row r="345" spans="1:9" ht="15" hidden="1">
      <c r="A345" s="167">
        <v>64958122</v>
      </c>
      <c r="B345" s="167" t="s">
        <v>236</v>
      </c>
      <c r="C345" s="932" t="s">
        <v>44</v>
      </c>
      <c r="D345" s="868" t="s">
        <v>44</v>
      </c>
      <c r="E345" s="167">
        <v>125</v>
      </c>
      <c r="F345" s="167">
        <v>414</v>
      </c>
      <c r="G345" s="968">
        <f t="shared" si="10"/>
        <v>3.3119999999999998</v>
      </c>
      <c r="H345" s="969">
        <f t="shared" si="11"/>
        <v>3.3119999999999998E-3</v>
      </c>
      <c r="I345" s="167">
        <v>165</v>
      </c>
    </row>
    <row r="346" spans="1:9" ht="15" hidden="1">
      <c r="A346" s="167">
        <v>64958123</v>
      </c>
      <c r="B346" s="167" t="s">
        <v>586</v>
      </c>
      <c r="C346" s="932" t="s">
        <v>44</v>
      </c>
      <c r="D346" s="868" t="s">
        <v>44</v>
      </c>
      <c r="E346" s="167">
        <v>125</v>
      </c>
      <c r="F346" s="167">
        <v>414</v>
      </c>
      <c r="G346" s="968">
        <f t="shared" si="10"/>
        <v>3.3119999999999998</v>
      </c>
      <c r="H346" s="969">
        <f t="shared" si="11"/>
        <v>3.3119999999999998E-3</v>
      </c>
      <c r="I346" s="167">
        <v>165</v>
      </c>
    </row>
    <row r="347" spans="1:9" ht="15" hidden="1">
      <c r="A347" s="167">
        <v>64958124</v>
      </c>
      <c r="B347" s="167" t="s">
        <v>587</v>
      </c>
      <c r="C347" s="932" t="s">
        <v>44</v>
      </c>
      <c r="D347" s="868" t="s">
        <v>44</v>
      </c>
      <c r="E347" s="167">
        <v>125</v>
      </c>
      <c r="F347" s="167">
        <v>414</v>
      </c>
      <c r="G347" s="968">
        <f t="shared" si="10"/>
        <v>3.3119999999999998</v>
      </c>
      <c r="H347" s="969">
        <f t="shared" si="11"/>
        <v>3.3119999999999998E-3</v>
      </c>
      <c r="I347" s="167">
        <v>165</v>
      </c>
    </row>
    <row r="348" spans="1:9" ht="15" hidden="1">
      <c r="A348" s="167">
        <v>64958125</v>
      </c>
      <c r="B348" s="167" t="s">
        <v>238</v>
      </c>
      <c r="C348" s="932" t="s">
        <v>44</v>
      </c>
      <c r="D348" s="868" t="s">
        <v>44</v>
      </c>
      <c r="E348" s="167">
        <v>125</v>
      </c>
      <c r="F348" s="167">
        <v>414</v>
      </c>
      <c r="G348" s="968">
        <f t="shared" si="10"/>
        <v>3.3119999999999998</v>
      </c>
      <c r="H348" s="969">
        <f t="shared" si="11"/>
        <v>3.3119999999999998E-3</v>
      </c>
      <c r="I348" s="167">
        <v>165</v>
      </c>
    </row>
    <row r="349" spans="1:9" ht="15" hidden="1">
      <c r="A349" s="167">
        <v>64958126</v>
      </c>
      <c r="B349" s="167" t="s">
        <v>588</v>
      </c>
      <c r="C349" s="932" t="s">
        <v>44</v>
      </c>
      <c r="D349" s="868" t="s">
        <v>44</v>
      </c>
      <c r="E349" s="167">
        <v>125</v>
      </c>
      <c r="F349" s="167">
        <v>414</v>
      </c>
      <c r="G349" s="968">
        <f t="shared" si="10"/>
        <v>3.3119999999999998</v>
      </c>
      <c r="H349" s="969">
        <f t="shared" si="11"/>
        <v>3.3119999999999998E-3</v>
      </c>
      <c r="I349" s="167">
        <v>165</v>
      </c>
    </row>
    <row r="350" spans="1:9" ht="15" hidden="1">
      <c r="A350" s="167">
        <v>64958127</v>
      </c>
      <c r="B350" s="167" t="s">
        <v>237</v>
      </c>
      <c r="C350" s="932" t="s">
        <v>44</v>
      </c>
      <c r="D350" s="868" t="s">
        <v>44</v>
      </c>
      <c r="E350" s="167">
        <v>125</v>
      </c>
      <c r="F350" s="167">
        <v>414</v>
      </c>
      <c r="G350" s="968">
        <f t="shared" si="10"/>
        <v>3.3119999999999998</v>
      </c>
      <c r="H350" s="969">
        <f t="shared" si="11"/>
        <v>3.3119999999999998E-3</v>
      </c>
      <c r="I350" s="167">
        <v>165</v>
      </c>
    </row>
    <row r="351" spans="1:9" ht="15" hidden="1">
      <c r="A351" s="167">
        <v>64958128</v>
      </c>
      <c r="B351" s="167" t="s">
        <v>235</v>
      </c>
      <c r="C351" s="932" t="s">
        <v>44</v>
      </c>
      <c r="D351" s="868" t="s">
        <v>44</v>
      </c>
      <c r="E351" s="167">
        <v>125</v>
      </c>
      <c r="F351" s="167">
        <v>414</v>
      </c>
      <c r="G351" s="968">
        <f t="shared" si="10"/>
        <v>3.3119999999999998</v>
      </c>
      <c r="H351" s="969">
        <f t="shared" si="11"/>
        <v>3.3119999999999998E-3</v>
      </c>
      <c r="I351" s="167">
        <v>165</v>
      </c>
    </row>
    <row r="352" spans="1:9" ht="15" hidden="1">
      <c r="A352" s="167">
        <v>64958129</v>
      </c>
      <c r="B352" s="167" t="s">
        <v>589</v>
      </c>
      <c r="C352" s="932" t="s">
        <v>44</v>
      </c>
      <c r="D352" s="868" t="s">
        <v>44</v>
      </c>
      <c r="E352" s="167">
        <v>125</v>
      </c>
      <c r="F352" s="167">
        <v>414</v>
      </c>
      <c r="G352" s="968">
        <f t="shared" si="10"/>
        <v>3.3119999999999998</v>
      </c>
      <c r="H352" s="969">
        <f t="shared" si="11"/>
        <v>3.3119999999999998E-3</v>
      </c>
      <c r="I352" s="167">
        <v>165</v>
      </c>
    </row>
    <row r="353" spans="1:9" ht="15" hidden="1">
      <c r="A353" s="167">
        <v>64975613</v>
      </c>
      <c r="B353" s="167" t="s">
        <v>593</v>
      </c>
      <c r="C353" s="932" t="s">
        <v>45</v>
      </c>
      <c r="D353" s="868" t="s">
        <v>45</v>
      </c>
      <c r="E353" s="167">
        <v>125</v>
      </c>
      <c r="F353" s="167">
        <v>414</v>
      </c>
      <c r="G353" s="968">
        <f t="shared" si="10"/>
        <v>3.3119999999999998</v>
      </c>
      <c r="H353" s="969">
        <f t="shared" si="11"/>
        <v>3.3119999999999998E-3</v>
      </c>
      <c r="I353" s="167">
        <v>240</v>
      </c>
    </row>
    <row r="354" spans="1:9" ht="15" hidden="1">
      <c r="A354" s="167">
        <v>64975614</v>
      </c>
      <c r="B354" s="167" t="s">
        <v>594</v>
      </c>
      <c r="C354" s="932" t="s">
        <v>45</v>
      </c>
      <c r="D354" s="868" t="s">
        <v>45</v>
      </c>
      <c r="E354" s="167">
        <v>125</v>
      </c>
      <c r="F354" s="167">
        <v>414</v>
      </c>
      <c r="G354" s="968">
        <f t="shared" si="10"/>
        <v>3.3119999999999998</v>
      </c>
      <c r="H354" s="969">
        <f t="shared" si="11"/>
        <v>3.3119999999999998E-3</v>
      </c>
      <c r="I354" s="167">
        <v>240</v>
      </c>
    </row>
    <row r="355" spans="1:9" ht="15" hidden="1">
      <c r="A355" s="167">
        <v>64975616</v>
      </c>
      <c r="B355" s="167" t="s">
        <v>385</v>
      </c>
      <c r="C355" s="932" t="s">
        <v>45</v>
      </c>
      <c r="D355" s="868" t="s">
        <v>45</v>
      </c>
      <c r="E355" s="167">
        <v>125</v>
      </c>
      <c r="F355" s="167">
        <v>414</v>
      </c>
      <c r="G355" s="968">
        <f t="shared" si="10"/>
        <v>3.3119999999999998</v>
      </c>
      <c r="H355" s="969">
        <f t="shared" si="11"/>
        <v>3.3119999999999998E-3</v>
      </c>
      <c r="I355" s="167">
        <v>240</v>
      </c>
    </row>
    <row r="356" spans="1:9" hidden="1">
      <c r="A356" s="167">
        <v>64999042</v>
      </c>
      <c r="B356" s="167" t="s">
        <v>489</v>
      </c>
      <c r="C356" s="938" t="s">
        <v>45</v>
      </c>
      <c r="D356" s="932" t="s">
        <v>45</v>
      </c>
      <c r="E356" s="167">
        <v>125</v>
      </c>
      <c r="F356" s="167">
        <v>414</v>
      </c>
      <c r="G356" s="968">
        <f t="shared" si="10"/>
        <v>3.3119999999999998</v>
      </c>
      <c r="H356" s="969">
        <f t="shared" si="11"/>
        <v>3.3119999999999998E-3</v>
      </c>
      <c r="I356" s="167">
        <v>240</v>
      </c>
    </row>
    <row r="357" spans="1:9" hidden="1">
      <c r="A357" s="167">
        <v>64999073</v>
      </c>
      <c r="B357" s="167" t="s">
        <v>595</v>
      </c>
      <c r="C357" s="938" t="s">
        <v>45</v>
      </c>
      <c r="D357" s="932" t="s">
        <v>45</v>
      </c>
      <c r="E357" s="167">
        <v>125</v>
      </c>
      <c r="F357" s="167">
        <v>414</v>
      </c>
      <c r="G357" s="968">
        <f t="shared" si="10"/>
        <v>3.3119999999999998</v>
      </c>
      <c r="H357" s="969">
        <f t="shared" si="11"/>
        <v>3.3119999999999998E-3</v>
      </c>
      <c r="I357" s="167">
        <v>240</v>
      </c>
    </row>
    <row r="358" spans="1:9" hidden="1">
      <c r="A358" s="167">
        <v>65218505</v>
      </c>
      <c r="B358" s="167" t="s">
        <v>586</v>
      </c>
      <c r="C358" s="938" t="s">
        <v>44</v>
      </c>
      <c r="D358" s="932" t="s">
        <v>44</v>
      </c>
      <c r="E358" s="167">
        <v>125</v>
      </c>
      <c r="F358" s="167">
        <v>414</v>
      </c>
      <c r="G358" s="968">
        <f t="shared" si="10"/>
        <v>3.3119999999999998</v>
      </c>
      <c r="H358" s="969">
        <f t="shared" si="11"/>
        <v>3.3119999999999998E-3</v>
      </c>
      <c r="I358" s="167">
        <v>165</v>
      </c>
    </row>
    <row r="359" spans="1:9" hidden="1">
      <c r="A359" s="930">
        <v>64330612</v>
      </c>
      <c r="B359" s="931" t="s">
        <v>506</v>
      </c>
      <c r="C359" s="932" t="s">
        <v>37</v>
      </c>
      <c r="D359" s="932" t="s">
        <v>37</v>
      </c>
      <c r="E359" s="167">
        <v>25</v>
      </c>
      <c r="F359" s="167">
        <v>81</v>
      </c>
      <c r="G359" s="970">
        <f t="shared" si="10"/>
        <v>3.24</v>
      </c>
      <c r="H359" s="971">
        <f t="shared" si="11"/>
        <v>3.2400000000000003E-3</v>
      </c>
      <c r="I359" s="167">
        <v>143</v>
      </c>
    </row>
    <row r="360" spans="1:9" hidden="1">
      <c r="A360" s="942">
        <v>69673010</v>
      </c>
      <c r="B360" s="941" t="s">
        <v>907</v>
      </c>
      <c r="C360" s="932" t="s">
        <v>37</v>
      </c>
      <c r="D360" s="932" t="s">
        <v>37</v>
      </c>
      <c r="E360" s="167">
        <v>25</v>
      </c>
      <c r="F360" s="167">
        <v>81</v>
      </c>
      <c r="G360" s="970">
        <f t="shared" si="10"/>
        <v>3.24</v>
      </c>
      <c r="H360" s="971">
        <f t="shared" si="11"/>
        <v>3.2400000000000003E-3</v>
      </c>
      <c r="I360" s="167">
        <v>143</v>
      </c>
    </row>
    <row r="361" spans="1:9" ht="15" hidden="1">
      <c r="A361" s="167">
        <v>64874633</v>
      </c>
      <c r="B361" s="167" t="s">
        <v>341</v>
      </c>
      <c r="C361" s="932" t="s">
        <v>33</v>
      </c>
      <c r="D361" s="868" t="s">
        <v>33</v>
      </c>
      <c r="E361" s="167">
        <v>125</v>
      </c>
      <c r="F361" s="167">
        <v>399</v>
      </c>
      <c r="G361" s="968">
        <f t="shared" si="10"/>
        <v>3.1920000000000002</v>
      </c>
      <c r="H361" s="969">
        <f t="shared" si="11"/>
        <v>3.192E-3</v>
      </c>
      <c r="I361" s="167">
        <v>280</v>
      </c>
    </row>
    <row r="362" spans="1:9" hidden="1">
      <c r="A362" s="930">
        <v>69548143</v>
      </c>
      <c r="B362" s="945" t="s">
        <v>633</v>
      </c>
      <c r="C362" s="932" t="s">
        <v>32</v>
      </c>
      <c r="D362" s="932" t="s">
        <v>32</v>
      </c>
      <c r="E362" s="167">
        <v>125</v>
      </c>
      <c r="F362" s="167">
        <v>399</v>
      </c>
      <c r="G362" s="968">
        <f t="shared" si="10"/>
        <v>3.1920000000000002</v>
      </c>
      <c r="H362" s="969">
        <f t="shared" si="11"/>
        <v>3.192E-3</v>
      </c>
      <c r="I362" s="167">
        <v>345</v>
      </c>
    </row>
    <row r="363" spans="1:9" hidden="1">
      <c r="A363" s="167">
        <v>64346613</v>
      </c>
      <c r="B363" s="167" t="s">
        <v>571</v>
      </c>
      <c r="C363" s="932" t="s">
        <v>25</v>
      </c>
      <c r="D363" s="932" t="s">
        <v>25</v>
      </c>
      <c r="E363" s="167">
        <v>25</v>
      </c>
      <c r="F363" s="167">
        <v>72</v>
      </c>
      <c r="G363" s="968">
        <f t="shared" si="10"/>
        <v>2.88</v>
      </c>
      <c r="H363" s="969">
        <f t="shared" si="11"/>
        <v>2.8799999999999997E-3</v>
      </c>
      <c r="I363" s="167">
        <v>180</v>
      </c>
    </row>
    <row r="364" spans="1:9" ht="15" hidden="1">
      <c r="A364" s="167">
        <v>64804365</v>
      </c>
      <c r="B364" s="167" t="s">
        <v>571</v>
      </c>
      <c r="C364" s="932" t="s">
        <v>25</v>
      </c>
      <c r="D364" s="868" t="s">
        <v>25</v>
      </c>
      <c r="E364" s="167">
        <v>25</v>
      </c>
      <c r="F364" s="167">
        <v>72</v>
      </c>
      <c r="G364" s="968">
        <f t="shared" si="10"/>
        <v>2.88</v>
      </c>
      <c r="H364" s="969">
        <f t="shared" si="11"/>
        <v>2.8799999999999997E-3</v>
      </c>
      <c r="I364" s="167">
        <v>180</v>
      </c>
    </row>
    <row r="365" spans="1:9" ht="15" hidden="1">
      <c r="A365" s="167">
        <v>64806251</v>
      </c>
      <c r="B365" s="167" t="s">
        <v>572</v>
      </c>
      <c r="C365" s="932" t="s">
        <v>25</v>
      </c>
      <c r="D365" s="868" t="s">
        <v>25</v>
      </c>
      <c r="E365" s="167">
        <v>25</v>
      </c>
      <c r="F365" s="167">
        <v>72</v>
      </c>
      <c r="G365" s="968">
        <f t="shared" si="10"/>
        <v>2.88</v>
      </c>
      <c r="H365" s="969">
        <f t="shared" si="11"/>
        <v>2.8799999999999997E-3</v>
      </c>
      <c r="I365" s="167">
        <v>180</v>
      </c>
    </row>
    <row r="366" spans="1:9" hidden="1">
      <c r="A366" s="167">
        <v>69964646</v>
      </c>
      <c r="B366" s="167" t="s">
        <v>632</v>
      </c>
      <c r="C366" s="932" t="s">
        <v>35</v>
      </c>
      <c r="D366" s="932" t="s">
        <v>35</v>
      </c>
      <c r="E366" s="167">
        <v>25</v>
      </c>
      <c r="F366" s="167">
        <v>72</v>
      </c>
      <c r="G366" s="968">
        <f t="shared" si="10"/>
        <v>2.88</v>
      </c>
      <c r="H366" s="969">
        <f t="shared" si="11"/>
        <v>2.8799999999999997E-3</v>
      </c>
      <c r="I366" s="167">
        <v>180</v>
      </c>
    </row>
    <row r="367" spans="1:9" ht="15" hidden="1">
      <c r="A367" s="167">
        <v>64967299</v>
      </c>
      <c r="B367" s="167" t="s">
        <v>601</v>
      </c>
      <c r="C367" s="932" t="s">
        <v>38</v>
      </c>
      <c r="D367" s="868" t="s">
        <v>38</v>
      </c>
      <c r="E367" s="167">
        <v>250</v>
      </c>
      <c r="F367" s="167">
        <v>711</v>
      </c>
      <c r="G367" s="970">
        <f t="shared" si="10"/>
        <v>2.8439999999999999</v>
      </c>
      <c r="H367" s="971">
        <f t="shared" si="11"/>
        <v>2.8439999999999997E-3</v>
      </c>
      <c r="I367" s="167">
        <v>240</v>
      </c>
    </row>
    <row r="368" spans="1:9" ht="15" hidden="1">
      <c r="A368" s="167">
        <v>64977494</v>
      </c>
      <c r="B368" s="167" t="s">
        <v>574</v>
      </c>
      <c r="C368" s="932" t="s">
        <v>38</v>
      </c>
      <c r="D368" s="868" t="s">
        <v>38</v>
      </c>
      <c r="E368" s="167">
        <v>25</v>
      </c>
      <c r="F368" s="167">
        <v>71</v>
      </c>
      <c r="G368" s="970">
        <f t="shared" si="10"/>
        <v>2.84</v>
      </c>
      <c r="H368" s="971">
        <f t="shared" si="11"/>
        <v>2.8399999999999996E-3</v>
      </c>
      <c r="I368" s="167">
        <v>130</v>
      </c>
    </row>
    <row r="369" spans="1:9" ht="15" hidden="1">
      <c r="A369" s="930">
        <v>64978550</v>
      </c>
      <c r="B369" s="931" t="s">
        <v>575</v>
      </c>
      <c r="C369" s="932" t="s">
        <v>38</v>
      </c>
      <c r="D369" s="868" t="s">
        <v>38</v>
      </c>
      <c r="E369" s="167">
        <v>25</v>
      </c>
      <c r="F369" s="167">
        <v>71</v>
      </c>
      <c r="G369" s="970">
        <f t="shared" si="10"/>
        <v>2.84</v>
      </c>
      <c r="H369" s="971">
        <f t="shared" si="11"/>
        <v>2.8399999999999996E-3</v>
      </c>
      <c r="I369" s="167">
        <v>130</v>
      </c>
    </row>
    <row r="370" spans="1:9" hidden="1">
      <c r="A370" s="930">
        <v>64328806</v>
      </c>
      <c r="B370" s="931" t="s">
        <v>324</v>
      </c>
      <c r="C370" s="932" t="s">
        <v>33</v>
      </c>
      <c r="D370" s="932" t="s">
        <v>33</v>
      </c>
      <c r="E370" s="167">
        <v>500</v>
      </c>
      <c r="F370" s="167">
        <v>1419</v>
      </c>
      <c r="G370" s="968">
        <f t="shared" si="10"/>
        <v>2.8380000000000001</v>
      </c>
      <c r="H370" s="969">
        <f t="shared" si="11"/>
        <v>2.8380000000000002E-3</v>
      </c>
      <c r="I370" s="167">
        <v>189</v>
      </c>
    </row>
    <row r="371" spans="1:9" ht="15" hidden="1">
      <c r="A371" s="167">
        <v>64874631</v>
      </c>
      <c r="B371" s="167" t="s">
        <v>554</v>
      </c>
      <c r="C371" s="932" t="s">
        <v>33</v>
      </c>
      <c r="D371" s="868" t="s">
        <v>33</v>
      </c>
      <c r="E371" s="167">
        <v>500</v>
      </c>
      <c r="F371" s="167">
        <v>1419</v>
      </c>
      <c r="G371" s="968">
        <f t="shared" si="10"/>
        <v>2.8380000000000001</v>
      </c>
      <c r="H371" s="969">
        <f t="shared" si="11"/>
        <v>2.8380000000000002E-3</v>
      </c>
      <c r="I371" s="167">
        <v>189</v>
      </c>
    </row>
    <row r="372" spans="1:9" ht="15" hidden="1">
      <c r="A372" s="167">
        <v>64874636</v>
      </c>
      <c r="B372" s="167" t="s">
        <v>560</v>
      </c>
      <c r="C372" s="932" t="s">
        <v>33</v>
      </c>
      <c r="D372" s="868" t="s">
        <v>33</v>
      </c>
      <c r="E372" s="167">
        <v>500</v>
      </c>
      <c r="F372" s="167">
        <v>1419</v>
      </c>
      <c r="G372" s="968">
        <f t="shared" si="10"/>
        <v>2.8380000000000001</v>
      </c>
      <c r="H372" s="969">
        <f t="shared" si="11"/>
        <v>2.8380000000000002E-3</v>
      </c>
      <c r="I372" s="167">
        <v>189</v>
      </c>
    </row>
    <row r="373" spans="1:9" hidden="1">
      <c r="A373" s="943">
        <v>64360314</v>
      </c>
      <c r="B373" s="931" t="s">
        <v>536</v>
      </c>
      <c r="C373" s="932" t="s">
        <v>37</v>
      </c>
      <c r="D373" s="932" t="s">
        <v>37</v>
      </c>
      <c r="E373" s="167">
        <v>125</v>
      </c>
      <c r="F373" s="167">
        <v>354</v>
      </c>
      <c r="G373" s="970">
        <f t="shared" si="10"/>
        <v>2.8319999999999999</v>
      </c>
      <c r="H373" s="971">
        <f t="shared" si="11"/>
        <v>2.8319999999999999E-3</v>
      </c>
      <c r="I373" s="167">
        <v>195</v>
      </c>
    </row>
    <row r="374" spans="1:9" hidden="1">
      <c r="A374" s="167">
        <v>64392287</v>
      </c>
      <c r="B374" s="167" t="s">
        <v>1199</v>
      </c>
      <c r="C374" s="932" t="s">
        <v>33</v>
      </c>
      <c r="D374" s="932" t="s">
        <v>33</v>
      </c>
      <c r="E374" s="167">
        <v>125</v>
      </c>
      <c r="F374" s="167">
        <v>354</v>
      </c>
      <c r="G374" s="968">
        <f t="shared" si="10"/>
        <v>2.8319999999999999</v>
      </c>
      <c r="H374" s="969">
        <f t="shared" si="11"/>
        <v>2.8319999999999999E-3</v>
      </c>
      <c r="I374" s="167">
        <v>132</v>
      </c>
    </row>
    <row r="375" spans="1:9" ht="15" hidden="1">
      <c r="A375" s="167">
        <v>64789261</v>
      </c>
      <c r="B375" s="167" t="s">
        <v>366</v>
      </c>
      <c r="C375" s="932" t="s">
        <v>36</v>
      </c>
      <c r="D375" s="868" t="s">
        <v>36</v>
      </c>
      <c r="E375" s="167">
        <v>125</v>
      </c>
      <c r="F375" s="167">
        <v>354</v>
      </c>
      <c r="G375" s="968">
        <f t="shared" si="10"/>
        <v>2.8319999999999999</v>
      </c>
      <c r="H375" s="969">
        <f t="shared" si="11"/>
        <v>2.8319999999999999E-3</v>
      </c>
      <c r="I375" s="167">
        <v>225</v>
      </c>
    </row>
    <row r="376" spans="1:9" ht="15" hidden="1">
      <c r="A376" s="167">
        <v>64789262</v>
      </c>
      <c r="B376" s="167" t="s">
        <v>424</v>
      </c>
      <c r="C376" s="932" t="s">
        <v>36</v>
      </c>
      <c r="D376" s="868" t="s">
        <v>36</v>
      </c>
      <c r="E376" s="167">
        <v>125</v>
      </c>
      <c r="F376" s="167">
        <v>354</v>
      </c>
      <c r="G376" s="968">
        <f t="shared" si="10"/>
        <v>2.8319999999999999</v>
      </c>
      <c r="H376" s="969">
        <f t="shared" si="11"/>
        <v>2.8319999999999999E-3</v>
      </c>
      <c r="I376" s="167">
        <v>225</v>
      </c>
    </row>
    <row r="377" spans="1:9" ht="15" hidden="1">
      <c r="A377" s="167">
        <v>64795394</v>
      </c>
      <c r="B377" s="167" t="s">
        <v>553</v>
      </c>
      <c r="C377" s="932" t="s">
        <v>36</v>
      </c>
      <c r="D377" s="868" t="s">
        <v>36</v>
      </c>
      <c r="E377" s="167">
        <v>125</v>
      </c>
      <c r="F377" s="167">
        <v>354</v>
      </c>
      <c r="G377" s="968">
        <f t="shared" si="10"/>
        <v>2.8319999999999999</v>
      </c>
      <c r="H377" s="969">
        <f t="shared" si="11"/>
        <v>2.8319999999999999E-3</v>
      </c>
      <c r="I377" s="167">
        <v>225</v>
      </c>
    </row>
    <row r="378" spans="1:9" ht="15" hidden="1">
      <c r="A378" s="167">
        <v>64849454</v>
      </c>
      <c r="B378" s="167" t="s">
        <v>1051</v>
      </c>
      <c r="C378" s="932" t="s">
        <v>36</v>
      </c>
      <c r="D378" s="868" t="s">
        <v>36</v>
      </c>
      <c r="E378" s="167">
        <v>125</v>
      </c>
      <c r="F378" s="167">
        <v>354</v>
      </c>
      <c r="G378" s="968">
        <f t="shared" si="10"/>
        <v>2.8319999999999999</v>
      </c>
      <c r="H378" s="969">
        <f t="shared" si="11"/>
        <v>2.8319999999999999E-3</v>
      </c>
      <c r="I378" s="167">
        <v>195</v>
      </c>
    </row>
    <row r="379" spans="1:9" ht="15" hidden="1">
      <c r="A379" s="167">
        <v>64967300</v>
      </c>
      <c r="B379" s="167" t="s">
        <v>602</v>
      </c>
      <c r="C379" s="932" t="s">
        <v>38</v>
      </c>
      <c r="D379" s="868" t="s">
        <v>38</v>
      </c>
      <c r="E379" s="167">
        <v>125</v>
      </c>
      <c r="F379" s="167">
        <v>354</v>
      </c>
      <c r="G379" s="970">
        <f t="shared" si="10"/>
        <v>2.8319999999999999</v>
      </c>
      <c r="H379" s="971">
        <f t="shared" si="11"/>
        <v>2.8319999999999999E-3</v>
      </c>
      <c r="I379" s="167">
        <v>240</v>
      </c>
    </row>
    <row r="380" spans="1:9" hidden="1">
      <c r="A380" s="167">
        <v>68726871</v>
      </c>
      <c r="B380" s="167" t="s">
        <v>544</v>
      </c>
      <c r="C380" s="932" t="s">
        <v>36</v>
      </c>
      <c r="D380" s="932" t="s">
        <v>36</v>
      </c>
      <c r="E380" s="167">
        <v>125</v>
      </c>
      <c r="F380" s="167">
        <v>354</v>
      </c>
      <c r="G380" s="968">
        <f t="shared" si="10"/>
        <v>2.8319999999999999</v>
      </c>
      <c r="H380" s="969">
        <f t="shared" si="11"/>
        <v>2.8319999999999999E-3</v>
      </c>
      <c r="I380" s="167">
        <v>225</v>
      </c>
    </row>
    <row r="381" spans="1:9" hidden="1">
      <c r="A381" s="167">
        <v>68741714</v>
      </c>
      <c r="B381" s="167" t="s">
        <v>286</v>
      </c>
      <c r="C381" s="932" t="s">
        <v>36</v>
      </c>
      <c r="D381" s="932" t="s">
        <v>36</v>
      </c>
      <c r="E381" s="167">
        <v>125</v>
      </c>
      <c r="F381" s="167">
        <v>354</v>
      </c>
      <c r="G381" s="968">
        <f t="shared" si="10"/>
        <v>2.8319999999999999</v>
      </c>
      <c r="H381" s="969">
        <f t="shared" si="11"/>
        <v>2.8319999999999999E-3</v>
      </c>
      <c r="I381" s="167">
        <v>225</v>
      </c>
    </row>
    <row r="382" spans="1:9" hidden="1">
      <c r="A382" s="167">
        <v>68741745</v>
      </c>
      <c r="B382" s="167" t="s">
        <v>922</v>
      </c>
      <c r="C382" s="932" t="s">
        <v>36</v>
      </c>
      <c r="D382" s="932" t="s">
        <v>36</v>
      </c>
      <c r="E382" s="167">
        <v>125</v>
      </c>
      <c r="F382" s="167">
        <v>354</v>
      </c>
      <c r="G382" s="968">
        <f t="shared" si="10"/>
        <v>2.8319999999999999</v>
      </c>
      <c r="H382" s="969">
        <f t="shared" si="11"/>
        <v>2.8319999999999999E-3</v>
      </c>
      <c r="I382" s="167">
        <v>225</v>
      </c>
    </row>
    <row r="383" spans="1:9" hidden="1">
      <c r="A383" s="930">
        <v>69645145</v>
      </c>
      <c r="B383" s="931" t="s">
        <v>602</v>
      </c>
      <c r="C383" s="932" t="s">
        <v>38</v>
      </c>
      <c r="D383" s="932" t="s">
        <v>38</v>
      </c>
      <c r="E383" s="167">
        <v>125</v>
      </c>
      <c r="F383" s="167">
        <v>354</v>
      </c>
      <c r="G383" s="970">
        <f t="shared" si="10"/>
        <v>2.8319999999999999</v>
      </c>
      <c r="H383" s="971">
        <f t="shared" si="11"/>
        <v>2.8319999999999999E-3</v>
      </c>
      <c r="I383" s="167">
        <v>240</v>
      </c>
    </row>
    <row r="384" spans="1:9" hidden="1">
      <c r="A384" s="930">
        <v>69671652</v>
      </c>
      <c r="B384" s="931" t="s">
        <v>924</v>
      </c>
      <c r="C384" s="938" t="s">
        <v>36</v>
      </c>
      <c r="D384" s="932" t="s">
        <v>36</v>
      </c>
      <c r="E384" s="167">
        <v>125</v>
      </c>
      <c r="F384" s="167">
        <v>354</v>
      </c>
      <c r="G384" s="968">
        <f t="shared" si="10"/>
        <v>2.8319999999999999</v>
      </c>
      <c r="H384" s="969">
        <f t="shared" si="11"/>
        <v>2.8319999999999999E-3</v>
      </c>
      <c r="I384" s="167">
        <v>225</v>
      </c>
    </row>
    <row r="385" spans="1:9" hidden="1">
      <c r="A385" s="167">
        <v>69687232</v>
      </c>
      <c r="B385" s="167" t="s">
        <v>601</v>
      </c>
      <c r="C385" s="932" t="s">
        <v>38</v>
      </c>
      <c r="D385" s="932" t="s">
        <v>38</v>
      </c>
      <c r="E385" s="167">
        <v>125</v>
      </c>
      <c r="F385" s="167">
        <v>354</v>
      </c>
      <c r="G385" s="970">
        <f t="shared" si="10"/>
        <v>2.8319999999999999</v>
      </c>
      <c r="H385" s="971">
        <f t="shared" si="11"/>
        <v>2.8319999999999999E-3</v>
      </c>
      <c r="I385" s="167">
        <v>240</v>
      </c>
    </row>
    <row r="386" spans="1:9" hidden="1">
      <c r="A386" s="167">
        <v>69983248</v>
      </c>
      <c r="B386" s="167" t="s">
        <v>408</v>
      </c>
      <c r="C386" s="932" t="s">
        <v>36</v>
      </c>
      <c r="D386" s="932" t="s">
        <v>36</v>
      </c>
      <c r="E386" s="167">
        <v>125</v>
      </c>
      <c r="F386" s="167">
        <v>354</v>
      </c>
      <c r="G386" s="968">
        <f t="shared" ref="G386:G449" si="12">F386/E386</f>
        <v>2.8319999999999999</v>
      </c>
      <c r="H386" s="969">
        <f t="shared" ref="H386:H449" si="13">G386/1000</f>
        <v>2.8319999999999999E-3</v>
      </c>
      <c r="I386" s="167">
        <v>225</v>
      </c>
    </row>
    <row r="387" spans="1:9" hidden="1">
      <c r="A387" s="942">
        <v>69700048</v>
      </c>
      <c r="B387" s="941" t="s">
        <v>328</v>
      </c>
      <c r="C387" s="932" t="s">
        <v>36</v>
      </c>
      <c r="D387" s="932" t="s">
        <v>36</v>
      </c>
      <c r="E387" s="167">
        <v>125</v>
      </c>
      <c r="F387" s="167">
        <v>342</v>
      </c>
      <c r="G387" s="968">
        <f t="shared" si="12"/>
        <v>2.7360000000000002</v>
      </c>
      <c r="H387" s="969">
        <f t="shared" si="13"/>
        <v>2.7360000000000002E-3</v>
      </c>
      <c r="I387" s="167">
        <v>225</v>
      </c>
    </row>
    <row r="388" spans="1:9" hidden="1">
      <c r="A388" s="167">
        <v>65279190</v>
      </c>
      <c r="B388" s="167" t="s">
        <v>1187</v>
      </c>
      <c r="C388" s="938" t="s">
        <v>36</v>
      </c>
      <c r="D388" s="932" t="s">
        <v>36</v>
      </c>
      <c r="E388" s="167">
        <v>125</v>
      </c>
      <c r="F388" s="167">
        <v>339</v>
      </c>
      <c r="G388" s="968">
        <f t="shared" si="12"/>
        <v>2.7120000000000002</v>
      </c>
      <c r="H388" s="969">
        <f t="shared" si="13"/>
        <v>2.712E-3</v>
      </c>
      <c r="I388" s="167">
        <v>210</v>
      </c>
    </row>
    <row r="389" spans="1:9" hidden="1">
      <c r="A389" s="167">
        <v>68842352</v>
      </c>
      <c r="B389" s="167" t="s">
        <v>628</v>
      </c>
      <c r="C389" s="932" t="s">
        <v>35</v>
      </c>
      <c r="D389" s="932" t="s">
        <v>35</v>
      </c>
      <c r="E389" s="167">
        <v>125</v>
      </c>
      <c r="F389" s="167">
        <v>333</v>
      </c>
      <c r="G389" s="968">
        <f t="shared" si="12"/>
        <v>2.6640000000000001</v>
      </c>
      <c r="H389" s="969">
        <f t="shared" si="13"/>
        <v>2.6640000000000001E-3</v>
      </c>
      <c r="I389" s="167">
        <v>220</v>
      </c>
    </row>
    <row r="390" spans="1:9" hidden="1">
      <c r="A390" s="167">
        <v>69586720</v>
      </c>
      <c r="B390" s="167" t="s">
        <v>630</v>
      </c>
      <c r="C390" s="932" t="s">
        <v>35</v>
      </c>
      <c r="D390" s="932" t="s">
        <v>35</v>
      </c>
      <c r="E390" s="167">
        <v>125</v>
      </c>
      <c r="F390" s="167">
        <v>333</v>
      </c>
      <c r="G390" s="968">
        <f t="shared" si="12"/>
        <v>2.6640000000000001</v>
      </c>
      <c r="H390" s="969">
        <f t="shared" si="13"/>
        <v>2.6640000000000001E-3</v>
      </c>
      <c r="I390" s="167">
        <v>220</v>
      </c>
    </row>
    <row r="391" spans="1:9" hidden="1">
      <c r="A391" s="167">
        <v>64325486</v>
      </c>
      <c r="B391" s="167" t="s">
        <v>592</v>
      </c>
      <c r="C391" s="932" t="s">
        <v>44</v>
      </c>
      <c r="D391" s="932" t="s">
        <v>44</v>
      </c>
      <c r="E391" s="167">
        <v>125</v>
      </c>
      <c r="F391" s="167">
        <v>314</v>
      </c>
      <c r="G391" s="968">
        <f t="shared" si="12"/>
        <v>2.512</v>
      </c>
      <c r="H391" s="969">
        <f t="shared" si="13"/>
        <v>2.5119999999999999E-3</v>
      </c>
      <c r="I391" s="167">
        <v>187</v>
      </c>
    </row>
    <row r="392" spans="1:9" hidden="1">
      <c r="A392" s="167">
        <v>64325487</v>
      </c>
      <c r="B392" s="167" t="s">
        <v>233</v>
      </c>
      <c r="C392" s="932" t="s">
        <v>44</v>
      </c>
      <c r="D392" s="932" t="s">
        <v>44</v>
      </c>
      <c r="E392" s="167">
        <v>125</v>
      </c>
      <c r="F392" s="167">
        <v>314</v>
      </c>
      <c r="G392" s="968">
        <f t="shared" si="12"/>
        <v>2.512</v>
      </c>
      <c r="H392" s="969">
        <f t="shared" si="13"/>
        <v>2.5119999999999999E-3</v>
      </c>
      <c r="I392" s="167">
        <v>187</v>
      </c>
    </row>
    <row r="393" spans="1:9" hidden="1">
      <c r="A393" s="167">
        <v>64325488</v>
      </c>
      <c r="B393" s="167" t="s">
        <v>591</v>
      </c>
      <c r="C393" s="932" t="s">
        <v>44</v>
      </c>
      <c r="D393" s="932" t="s">
        <v>44</v>
      </c>
      <c r="E393" s="167">
        <v>125</v>
      </c>
      <c r="F393" s="167">
        <v>314</v>
      </c>
      <c r="G393" s="968">
        <f t="shared" si="12"/>
        <v>2.512</v>
      </c>
      <c r="H393" s="969">
        <f t="shared" si="13"/>
        <v>2.5119999999999999E-3</v>
      </c>
      <c r="I393" s="167">
        <v>187</v>
      </c>
    </row>
    <row r="394" spans="1:9" hidden="1">
      <c r="A394" s="167">
        <v>64325492</v>
      </c>
      <c r="B394" s="167" t="s">
        <v>603</v>
      </c>
      <c r="C394" s="932" t="s">
        <v>44</v>
      </c>
      <c r="D394" s="932" t="s">
        <v>44</v>
      </c>
      <c r="E394" s="167">
        <v>125</v>
      </c>
      <c r="F394" s="167">
        <v>314</v>
      </c>
      <c r="G394" s="968">
        <f t="shared" si="12"/>
        <v>2.512</v>
      </c>
      <c r="H394" s="969">
        <f t="shared" si="13"/>
        <v>2.5119999999999999E-3</v>
      </c>
      <c r="I394" s="167">
        <v>187</v>
      </c>
    </row>
    <row r="395" spans="1:9" hidden="1">
      <c r="A395" s="167">
        <v>64325509</v>
      </c>
      <c r="B395" s="167" t="s">
        <v>232</v>
      </c>
      <c r="C395" s="932" t="s">
        <v>44</v>
      </c>
      <c r="D395" s="932" t="s">
        <v>44</v>
      </c>
      <c r="E395" s="167">
        <v>125</v>
      </c>
      <c r="F395" s="167">
        <v>314</v>
      </c>
      <c r="G395" s="968">
        <f t="shared" si="12"/>
        <v>2.512</v>
      </c>
      <c r="H395" s="969">
        <f t="shared" si="13"/>
        <v>2.5119999999999999E-3</v>
      </c>
      <c r="I395" s="167">
        <v>187</v>
      </c>
    </row>
    <row r="396" spans="1:9" hidden="1">
      <c r="A396" s="167">
        <v>64325572</v>
      </c>
      <c r="B396" s="167" t="s">
        <v>590</v>
      </c>
      <c r="C396" s="932" t="s">
        <v>44</v>
      </c>
      <c r="D396" s="932" t="s">
        <v>44</v>
      </c>
      <c r="E396" s="167">
        <v>125</v>
      </c>
      <c r="F396" s="167">
        <v>314</v>
      </c>
      <c r="G396" s="968">
        <f t="shared" si="12"/>
        <v>2.512</v>
      </c>
      <c r="H396" s="969">
        <f t="shared" si="13"/>
        <v>2.5119999999999999E-3</v>
      </c>
      <c r="I396" s="167">
        <v>187</v>
      </c>
    </row>
    <row r="397" spans="1:9" hidden="1">
      <c r="A397" s="167">
        <v>64388735</v>
      </c>
      <c r="B397" s="167" t="s">
        <v>239</v>
      </c>
      <c r="C397" s="932" t="s">
        <v>44</v>
      </c>
      <c r="D397" s="932" t="s">
        <v>44</v>
      </c>
      <c r="E397" s="167">
        <v>125</v>
      </c>
      <c r="F397" s="167">
        <v>313</v>
      </c>
      <c r="G397" s="968">
        <f t="shared" si="12"/>
        <v>2.504</v>
      </c>
      <c r="H397" s="969">
        <f t="shared" si="13"/>
        <v>2.5040000000000001E-3</v>
      </c>
      <c r="I397" s="167">
        <v>187</v>
      </c>
    </row>
    <row r="398" spans="1:9" ht="15" hidden="1">
      <c r="A398" s="167">
        <v>64976837</v>
      </c>
      <c r="B398" s="167" t="s">
        <v>239</v>
      </c>
      <c r="C398" s="932" t="s">
        <v>44</v>
      </c>
      <c r="D398" s="868" t="s">
        <v>44</v>
      </c>
      <c r="E398" s="167">
        <v>125</v>
      </c>
      <c r="F398" s="167">
        <v>313</v>
      </c>
      <c r="G398" s="968">
        <f t="shared" si="12"/>
        <v>2.504</v>
      </c>
      <c r="H398" s="969">
        <f t="shared" si="13"/>
        <v>2.5040000000000001E-3</v>
      </c>
      <c r="I398" s="167">
        <v>165</v>
      </c>
    </row>
    <row r="399" spans="1:9" ht="15" hidden="1">
      <c r="A399" s="167">
        <v>64976846</v>
      </c>
      <c r="B399" s="167" t="s">
        <v>603</v>
      </c>
      <c r="C399" s="932" t="s">
        <v>44</v>
      </c>
      <c r="D399" s="868" t="s">
        <v>44</v>
      </c>
      <c r="E399" s="167">
        <v>125</v>
      </c>
      <c r="F399" s="167">
        <v>313</v>
      </c>
      <c r="G399" s="968">
        <f t="shared" si="12"/>
        <v>2.504</v>
      </c>
      <c r="H399" s="969">
        <f t="shared" si="13"/>
        <v>2.5040000000000001E-3</v>
      </c>
      <c r="I399" s="167">
        <v>165</v>
      </c>
    </row>
    <row r="400" spans="1:9" ht="15" hidden="1">
      <c r="A400" s="167">
        <v>64976847</v>
      </c>
      <c r="B400" s="167" t="s">
        <v>590</v>
      </c>
      <c r="C400" s="932" t="s">
        <v>44</v>
      </c>
      <c r="D400" s="868" t="s">
        <v>44</v>
      </c>
      <c r="E400" s="167">
        <v>125</v>
      </c>
      <c r="F400" s="167">
        <v>313</v>
      </c>
      <c r="G400" s="968">
        <f t="shared" si="12"/>
        <v>2.504</v>
      </c>
      <c r="H400" s="969">
        <f t="shared" si="13"/>
        <v>2.5040000000000001E-3</v>
      </c>
      <c r="I400" s="167">
        <v>165</v>
      </c>
    </row>
    <row r="401" spans="1:9" ht="15" hidden="1">
      <c r="A401" s="167">
        <v>64976848</v>
      </c>
      <c r="B401" s="167" t="s">
        <v>232</v>
      </c>
      <c r="C401" s="932" t="s">
        <v>44</v>
      </c>
      <c r="D401" s="868" t="s">
        <v>44</v>
      </c>
      <c r="E401" s="167">
        <v>125</v>
      </c>
      <c r="F401" s="167">
        <v>313</v>
      </c>
      <c r="G401" s="968">
        <f t="shared" si="12"/>
        <v>2.504</v>
      </c>
      <c r="H401" s="969">
        <f t="shared" si="13"/>
        <v>2.5040000000000001E-3</v>
      </c>
      <c r="I401" s="167">
        <v>165</v>
      </c>
    </row>
    <row r="402" spans="1:9" ht="15" hidden="1">
      <c r="A402" s="167">
        <v>64976849</v>
      </c>
      <c r="B402" s="167" t="s">
        <v>233</v>
      </c>
      <c r="C402" s="932" t="s">
        <v>44</v>
      </c>
      <c r="D402" s="868" t="s">
        <v>44</v>
      </c>
      <c r="E402" s="167">
        <v>125</v>
      </c>
      <c r="F402" s="167">
        <v>313</v>
      </c>
      <c r="G402" s="968">
        <f t="shared" si="12"/>
        <v>2.504</v>
      </c>
      <c r="H402" s="969">
        <f t="shared" si="13"/>
        <v>2.5040000000000001E-3</v>
      </c>
      <c r="I402" s="167">
        <v>165</v>
      </c>
    </row>
    <row r="403" spans="1:9" ht="15" hidden="1">
      <c r="A403" s="167">
        <v>64976850</v>
      </c>
      <c r="B403" s="167" t="s">
        <v>591</v>
      </c>
      <c r="C403" s="932" t="s">
        <v>44</v>
      </c>
      <c r="D403" s="868" t="s">
        <v>44</v>
      </c>
      <c r="E403" s="167">
        <v>125</v>
      </c>
      <c r="F403" s="167">
        <v>313</v>
      </c>
      <c r="G403" s="968">
        <f t="shared" si="12"/>
        <v>2.504</v>
      </c>
      <c r="H403" s="969">
        <f t="shared" si="13"/>
        <v>2.5040000000000001E-3</v>
      </c>
      <c r="I403" s="167">
        <v>165</v>
      </c>
    </row>
    <row r="404" spans="1:9" ht="15" hidden="1">
      <c r="A404" s="167">
        <v>64976851</v>
      </c>
      <c r="B404" s="167" t="s">
        <v>592</v>
      </c>
      <c r="C404" s="932" t="s">
        <v>44</v>
      </c>
      <c r="D404" s="868" t="s">
        <v>44</v>
      </c>
      <c r="E404" s="167">
        <v>125</v>
      </c>
      <c r="F404" s="167">
        <v>313</v>
      </c>
      <c r="G404" s="968">
        <f t="shared" si="12"/>
        <v>2.504</v>
      </c>
      <c r="H404" s="969">
        <f t="shared" si="13"/>
        <v>2.5040000000000001E-3</v>
      </c>
      <c r="I404" s="167">
        <v>165</v>
      </c>
    </row>
    <row r="405" spans="1:9" ht="15" hidden="1">
      <c r="A405" s="167">
        <v>64957257</v>
      </c>
      <c r="B405" s="167" t="s">
        <v>609</v>
      </c>
      <c r="C405" s="932" t="s">
        <v>43</v>
      </c>
      <c r="D405" s="868" t="s">
        <v>43</v>
      </c>
      <c r="E405" s="167">
        <v>125</v>
      </c>
      <c r="F405" s="167">
        <v>311</v>
      </c>
      <c r="G405" s="968">
        <f t="shared" si="12"/>
        <v>2.488</v>
      </c>
      <c r="H405" s="969">
        <f t="shared" si="13"/>
        <v>2.4880000000000002E-3</v>
      </c>
      <c r="I405" s="167">
        <v>180</v>
      </c>
    </row>
    <row r="406" spans="1:9" ht="15" hidden="1">
      <c r="A406" s="167">
        <v>64960651</v>
      </c>
      <c r="B406" s="167" t="s">
        <v>1200</v>
      </c>
      <c r="C406" s="932" t="s">
        <v>33</v>
      </c>
      <c r="D406" s="868" t="s">
        <v>33</v>
      </c>
      <c r="E406" s="167">
        <v>125</v>
      </c>
      <c r="F406" s="167">
        <v>311</v>
      </c>
      <c r="G406" s="968">
        <f t="shared" si="12"/>
        <v>2.488</v>
      </c>
      <c r="H406" s="969">
        <f t="shared" si="13"/>
        <v>2.4880000000000002E-3</v>
      </c>
      <c r="I406" s="167">
        <v>180</v>
      </c>
    </row>
    <row r="407" spans="1:9" ht="15" hidden="1">
      <c r="A407" s="167">
        <v>64960652</v>
      </c>
      <c r="B407" s="167" t="s">
        <v>610</v>
      </c>
      <c r="C407" s="932" t="s">
        <v>43</v>
      </c>
      <c r="D407" s="868" t="s">
        <v>43</v>
      </c>
      <c r="E407" s="167">
        <v>125</v>
      </c>
      <c r="F407" s="167">
        <v>311</v>
      </c>
      <c r="G407" s="968">
        <f t="shared" si="12"/>
        <v>2.488</v>
      </c>
      <c r="H407" s="969">
        <f t="shared" si="13"/>
        <v>2.4880000000000002E-3</v>
      </c>
      <c r="I407" s="167">
        <v>180</v>
      </c>
    </row>
    <row r="408" spans="1:9" hidden="1">
      <c r="A408" s="944">
        <v>64987232</v>
      </c>
      <c r="B408" s="945" t="s">
        <v>596</v>
      </c>
      <c r="C408" s="932" t="s">
        <v>27</v>
      </c>
      <c r="D408" s="932" t="s">
        <v>27</v>
      </c>
      <c r="E408" s="167">
        <v>5</v>
      </c>
      <c r="F408" s="167">
        <v>12</v>
      </c>
      <c r="G408" s="970">
        <f t="shared" si="12"/>
        <v>2.4</v>
      </c>
      <c r="H408" s="971">
        <f t="shared" si="13"/>
        <v>2.3999999999999998E-3</v>
      </c>
      <c r="I408" s="167">
        <v>165</v>
      </c>
    </row>
    <row r="409" spans="1:9" hidden="1">
      <c r="A409" s="943">
        <v>64987233</v>
      </c>
      <c r="B409" s="946" t="s">
        <v>597</v>
      </c>
      <c r="C409" s="938" t="s">
        <v>27</v>
      </c>
      <c r="D409" s="947" t="s">
        <v>27</v>
      </c>
      <c r="E409" s="167">
        <v>5</v>
      </c>
      <c r="F409" s="167">
        <v>12</v>
      </c>
      <c r="G409" s="970">
        <f t="shared" si="12"/>
        <v>2.4</v>
      </c>
      <c r="H409" s="971">
        <f t="shared" si="13"/>
        <v>2.3999999999999998E-3</v>
      </c>
      <c r="I409" s="167">
        <v>165</v>
      </c>
    </row>
    <row r="410" spans="1:9" hidden="1">
      <c r="A410" s="930">
        <v>64987234</v>
      </c>
      <c r="B410" s="931" t="s">
        <v>598</v>
      </c>
      <c r="C410" s="938" t="s">
        <v>27</v>
      </c>
      <c r="D410" s="932" t="s">
        <v>27</v>
      </c>
      <c r="E410" s="167">
        <v>5</v>
      </c>
      <c r="F410" s="167">
        <v>12</v>
      </c>
      <c r="G410" s="970">
        <f t="shared" si="12"/>
        <v>2.4</v>
      </c>
      <c r="H410" s="971">
        <f t="shared" si="13"/>
        <v>2.3999999999999998E-3</v>
      </c>
      <c r="I410" s="167">
        <v>165</v>
      </c>
    </row>
    <row r="411" spans="1:9" hidden="1">
      <c r="A411" s="942">
        <v>64988053</v>
      </c>
      <c r="B411" s="941" t="s">
        <v>599</v>
      </c>
      <c r="C411" s="938" t="s">
        <v>27</v>
      </c>
      <c r="D411" s="932" t="s">
        <v>27</v>
      </c>
      <c r="E411" s="167">
        <v>5</v>
      </c>
      <c r="F411" s="167">
        <v>12</v>
      </c>
      <c r="G411" s="970">
        <f t="shared" si="12"/>
        <v>2.4</v>
      </c>
      <c r="H411" s="971">
        <f t="shared" si="13"/>
        <v>2.3999999999999998E-3</v>
      </c>
      <c r="I411" s="167">
        <v>165</v>
      </c>
    </row>
    <row r="412" spans="1:9" hidden="1">
      <c r="A412" s="167">
        <v>64988054</v>
      </c>
      <c r="B412" s="167" t="s">
        <v>600</v>
      </c>
      <c r="C412" s="932" t="s">
        <v>27</v>
      </c>
      <c r="D412" s="932" t="s">
        <v>27</v>
      </c>
      <c r="E412" s="167">
        <v>5</v>
      </c>
      <c r="F412" s="167">
        <v>12</v>
      </c>
      <c r="G412" s="970">
        <f t="shared" si="12"/>
        <v>2.4</v>
      </c>
      <c r="H412" s="971">
        <f t="shared" si="13"/>
        <v>2.3999999999999998E-3</v>
      </c>
      <c r="I412" s="167">
        <v>165</v>
      </c>
    </row>
    <row r="413" spans="1:9" hidden="1">
      <c r="A413" s="167">
        <v>64341108</v>
      </c>
      <c r="B413" s="167" t="s">
        <v>615</v>
      </c>
      <c r="C413" s="938" t="s">
        <v>34</v>
      </c>
      <c r="D413" s="932" t="s">
        <v>34</v>
      </c>
      <c r="E413" s="167">
        <v>25</v>
      </c>
      <c r="F413" s="167">
        <v>59</v>
      </c>
      <c r="G413" s="968">
        <f t="shared" si="12"/>
        <v>2.36</v>
      </c>
      <c r="H413" s="969">
        <f t="shared" si="13"/>
        <v>2.3599999999999997E-3</v>
      </c>
      <c r="I413" s="167">
        <v>210</v>
      </c>
    </row>
    <row r="414" spans="1:9" hidden="1">
      <c r="A414" s="930">
        <v>69704150</v>
      </c>
      <c r="B414" s="167" t="s">
        <v>615</v>
      </c>
      <c r="C414" s="932" t="s">
        <v>34</v>
      </c>
      <c r="D414" s="932" t="s">
        <v>34</v>
      </c>
      <c r="E414" s="167">
        <v>25</v>
      </c>
      <c r="F414" s="167">
        <v>59</v>
      </c>
      <c r="G414" s="968">
        <f t="shared" si="12"/>
        <v>2.36</v>
      </c>
      <c r="H414" s="969">
        <f t="shared" si="13"/>
        <v>2.3599999999999997E-3</v>
      </c>
      <c r="I414" s="167">
        <v>210</v>
      </c>
    </row>
    <row r="415" spans="1:9" hidden="1">
      <c r="A415" s="930">
        <v>69549032</v>
      </c>
      <c r="B415" s="931" t="s">
        <v>1201</v>
      </c>
      <c r="C415" s="932" t="s">
        <v>32</v>
      </c>
      <c r="D415" s="932" t="s">
        <v>32</v>
      </c>
      <c r="E415" s="167">
        <v>125</v>
      </c>
      <c r="F415" s="167">
        <v>291</v>
      </c>
      <c r="G415" s="968">
        <f t="shared" si="12"/>
        <v>2.3279999999999998</v>
      </c>
      <c r="H415" s="969">
        <f t="shared" si="13"/>
        <v>2.3279999999999998E-3</v>
      </c>
      <c r="I415" s="167">
        <v>322</v>
      </c>
    </row>
    <row r="416" spans="1:9" hidden="1">
      <c r="A416" s="167">
        <v>64325600</v>
      </c>
      <c r="B416" s="167" t="s">
        <v>1034</v>
      </c>
      <c r="C416" s="932" t="s">
        <v>43</v>
      </c>
      <c r="D416" s="932" t="s">
        <v>43</v>
      </c>
      <c r="E416" s="167">
        <v>100</v>
      </c>
      <c r="F416" s="167">
        <v>217</v>
      </c>
      <c r="G416" s="968">
        <f t="shared" si="12"/>
        <v>2.17</v>
      </c>
      <c r="H416" s="969">
        <f t="shared" si="13"/>
        <v>2.1700000000000001E-3</v>
      </c>
      <c r="I416" s="167">
        <v>189</v>
      </c>
    </row>
    <row r="417" spans="1:9" hidden="1">
      <c r="A417" s="167">
        <v>64325608</v>
      </c>
      <c r="B417" s="167" t="s">
        <v>1202</v>
      </c>
      <c r="C417" s="932" t="s">
        <v>43</v>
      </c>
      <c r="D417" s="932" t="s">
        <v>43</v>
      </c>
      <c r="E417" s="167">
        <v>100</v>
      </c>
      <c r="F417" s="167">
        <v>217</v>
      </c>
      <c r="G417" s="968">
        <f t="shared" si="12"/>
        <v>2.17</v>
      </c>
      <c r="H417" s="969">
        <f t="shared" si="13"/>
        <v>2.1700000000000001E-3</v>
      </c>
      <c r="I417" s="167">
        <v>189</v>
      </c>
    </row>
    <row r="418" spans="1:9" hidden="1">
      <c r="A418" s="167">
        <v>64325622</v>
      </c>
      <c r="B418" s="167" t="s">
        <v>1035</v>
      </c>
      <c r="C418" s="932" t="s">
        <v>43</v>
      </c>
      <c r="D418" s="932" t="s">
        <v>43</v>
      </c>
      <c r="E418" s="167">
        <v>100</v>
      </c>
      <c r="F418" s="167">
        <v>217</v>
      </c>
      <c r="G418" s="968">
        <f t="shared" si="12"/>
        <v>2.17</v>
      </c>
      <c r="H418" s="969">
        <f t="shared" si="13"/>
        <v>2.1700000000000001E-3</v>
      </c>
      <c r="I418" s="167">
        <v>189</v>
      </c>
    </row>
    <row r="419" spans="1:9" hidden="1">
      <c r="A419" s="167">
        <v>62712055</v>
      </c>
      <c r="B419" s="167" t="s">
        <v>505</v>
      </c>
      <c r="C419" s="932" t="s">
        <v>37</v>
      </c>
      <c r="D419" s="932" t="s">
        <v>37</v>
      </c>
      <c r="E419" s="167">
        <v>25</v>
      </c>
      <c r="F419" s="167">
        <v>54</v>
      </c>
      <c r="G419" s="970">
        <f t="shared" si="12"/>
        <v>2.16</v>
      </c>
      <c r="H419" s="971">
        <f t="shared" si="13"/>
        <v>2.16E-3</v>
      </c>
      <c r="I419" s="167">
        <v>210</v>
      </c>
    </row>
    <row r="420" spans="1:9" hidden="1">
      <c r="A420" s="930">
        <v>64330611</v>
      </c>
      <c r="B420" s="931" t="s">
        <v>354</v>
      </c>
      <c r="C420" s="932" t="s">
        <v>37</v>
      </c>
      <c r="D420" s="932" t="s">
        <v>37</v>
      </c>
      <c r="E420" s="167">
        <v>25</v>
      </c>
      <c r="F420" s="167">
        <v>54</v>
      </c>
      <c r="G420" s="970">
        <f t="shared" si="12"/>
        <v>2.16</v>
      </c>
      <c r="H420" s="971">
        <f t="shared" si="13"/>
        <v>2.16E-3</v>
      </c>
      <c r="I420" s="167">
        <v>210</v>
      </c>
    </row>
    <row r="421" spans="1:9" hidden="1">
      <c r="A421" s="167">
        <v>64393722</v>
      </c>
      <c r="B421" s="167" t="s">
        <v>282</v>
      </c>
      <c r="C421" s="932" t="s">
        <v>37</v>
      </c>
      <c r="D421" s="932" t="s">
        <v>37</v>
      </c>
      <c r="E421" s="167">
        <v>25</v>
      </c>
      <c r="F421" s="167">
        <v>54</v>
      </c>
      <c r="G421" s="970">
        <f t="shared" si="12"/>
        <v>2.16</v>
      </c>
      <c r="H421" s="971">
        <f t="shared" si="13"/>
        <v>2.16E-3</v>
      </c>
      <c r="I421" s="167">
        <v>210</v>
      </c>
    </row>
    <row r="422" spans="1:9" hidden="1">
      <c r="A422" s="167">
        <v>64393723</v>
      </c>
      <c r="B422" s="167" t="s">
        <v>317</v>
      </c>
      <c r="C422" s="932" t="s">
        <v>37</v>
      </c>
      <c r="D422" s="932" t="s">
        <v>37</v>
      </c>
      <c r="E422" s="167">
        <v>25</v>
      </c>
      <c r="F422" s="167">
        <v>54</v>
      </c>
      <c r="G422" s="970">
        <f t="shared" si="12"/>
        <v>2.16</v>
      </c>
      <c r="H422" s="971">
        <f t="shared" si="13"/>
        <v>2.16E-3</v>
      </c>
      <c r="I422" s="167">
        <v>210</v>
      </c>
    </row>
    <row r="423" spans="1:9" ht="15" hidden="1">
      <c r="A423" s="167">
        <v>64401837</v>
      </c>
      <c r="B423" s="167" t="s">
        <v>618</v>
      </c>
      <c r="C423" s="932" t="s">
        <v>34</v>
      </c>
      <c r="D423" s="868" t="s">
        <v>34</v>
      </c>
      <c r="E423" s="167">
        <v>25</v>
      </c>
      <c r="F423" s="167">
        <v>54</v>
      </c>
      <c r="G423" s="968">
        <f t="shared" si="12"/>
        <v>2.16</v>
      </c>
      <c r="H423" s="969">
        <f t="shared" si="13"/>
        <v>2.16E-3</v>
      </c>
      <c r="I423" s="167">
        <v>150</v>
      </c>
    </row>
    <row r="424" spans="1:9" ht="15" hidden="1">
      <c r="A424" s="167">
        <v>64403162</v>
      </c>
      <c r="B424" s="167" t="s">
        <v>1203</v>
      </c>
      <c r="C424" s="932" t="s">
        <v>34</v>
      </c>
      <c r="D424" s="868" t="s">
        <v>34</v>
      </c>
      <c r="E424" s="167">
        <v>25</v>
      </c>
      <c r="F424" s="167">
        <v>54</v>
      </c>
      <c r="G424" s="968">
        <f t="shared" si="12"/>
        <v>2.16</v>
      </c>
      <c r="H424" s="969">
        <f t="shared" si="13"/>
        <v>2.16E-3</v>
      </c>
      <c r="I424" s="167">
        <v>195</v>
      </c>
    </row>
    <row r="425" spans="1:9" ht="15" hidden="1">
      <c r="A425" s="167">
        <v>64403170</v>
      </c>
      <c r="B425" s="167" t="s">
        <v>1031</v>
      </c>
      <c r="C425" s="932" t="s">
        <v>34</v>
      </c>
      <c r="D425" s="868" t="s">
        <v>34</v>
      </c>
      <c r="E425" s="167">
        <v>25</v>
      </c>
      <c r="F425" s="167">
        <v>54</v>
      </c>
      <c r="G425" s="968">
        <f t="shared" si="12"/>
        <v>2.16</v>
      </c>
      <c r="H425" s="969">
        <f t="shared" si="13"/>
        <v>2.16E-3</v>
      </c>
      <c r="I425" s="167">
        <v>195</v>
      </c>
    </row>
    <row r="426" spans="1:9" ht="15" hidden="1">
      <c r="A426" s="167">
        <v>64771676</v>
      </c>
      <c r="B426" s="167" t="s">
        <v>619</v>
      </c>
      <c r="C426" s="932" t="s">
        <v>34</v>
      </c>
      <c r="D426" s="868" t="s">
        <v>34</v>
      </c>
      <c r="E426" s="167">
        <v>25</v>
      </c>
      <c r="F426" s="167">
        <v>54</v>
      </c>
      <c r="G426" s="968">
        <f t="shared" si="12"/>
        <v>2.16</v>
      </c>
      <c r="H426" s="969">
        <f t="shared" si="13"/>
        <v>2.16E-3</v>
      </c>
      <c r="I426" s="167">
        <v>195</v>
      </c>
    </row>
    <row r="427" spans="1:9" ht="15" hidden="1">
      <c r="A427" s="942">
        <v>64771677</v>
      </c>
      <c r="B427" s="941" t="s">
        <v>620</v>
      </c>
      <c r="C427" s="868" t="s">
        <v>34</v>
      </c>
      <c r="D427" s="868" t="s">
        <v>34</v>
      </c>
      <c r="E427" s="167">
        <v>25</v>
      </c>
      <c r="F427" s="167">
        <v>54</v>
      </c>
      <c r="G427" s="968">
        <f t="shared" si="12"/>
        <v>2.16</v>
      </c>
      <c r="H427" s="969">
        <f t="shared" si="13"/>
        <v>2.16E-3</v>
      </c>
      <c r="I427" s="167">
        <v>195</v>
      </c>
    </row>
    <row r="428" spans="1:9" ht="15" hidden="1">
      <c r="A428" s="167">
        <v>64956417</v>
      </c>
      <c r="B428" s="167" t="s">
        <v>621</v>
      </c>
      <c r="C428" s="932" t="s">
        <v>34</v>
      </c>
      <c r="D428" s="868" t="s">
        <v>34</v>
      </c>
      <c r="E428" s="167">
        <v>25</v>
      </c>
      <c r="F428" s="167">
        <v>54</v>
      </c>
      <c r="G428" s="968">
        <f t="shared" si="12"/>
        <v>2.16</v>
      </c>
      <c r="H428" s="969">
        <f t="shared" si="13"/>
        <v>2.16E-3</v>
      </c>
      <c r="I428" s="167">
        <v>143</v>
      </c>
    </row>
    <row r="429" spans="1:9" ht="15" hidden="1">
      <c r="A429" s="167">
        <v>64979444</v>
      </c>
      <c r="B429" s="167" t="s">
        <v>622</v>
      </c>
      <c r="C429" s="932" t="s">
        <v>34</v>
      </c>
      <c r="D429" s="868" t="s">
        <v>34</v>
      </c>
      <c r="E429" s="167">
        <v>25</v>
      </c>
      <c r="F429" s="167">
        <v>54</v>
      </c>
      <c r="G429" s="968">
        <f t="shared" si="12"/>
        <v>2.16</v>
      </c>
      <c r="H429" s="969">
        <f t="shared" si="13"/>
        <v>2.16E-3</v>
      </c>
      <c r="I429" s="167">
        <v>195</v>
      </c>
    </row>
    <row r="430" spans="1:9" hidden="1">
      <c r="A430" s="167">
        <v>69572658</v>
      </c>
      <c r="B430" s="167" t="s">
        <v>913</v>
      </c>
      <c r="C430" s="932" t="s">
        <v>37</v>
      </c>
      <c r="D430" s="932" t="s">
        <v>37</v>
      </c>
      <c r="E430" s="167">
        <v>25</v>
      </c>
      <c r="F430" s="167">
        <v>54</v>
      </c>
      <c r="G430" s="970">
        <f t="shared" si="12"/>
        <v>2.16</v>
      </c>
      <c r="H430" s="971">
        <f t="shared" si="13"/>
        <v>2.16E-3</v>
      </c>
      <c r="I430" s="167">
        <v>210</v>
      </c>
    </row>
    <row r="431" spans="1:9" ht="15" hidden="1">
      <c r="A431" s="167">
        <v>64365613</v>
      </c>
      <c r="B431" s="167" t="s">
        <v>617</v>
      </c>
      <c r="C431" s="932" t="s">
        <v>34</v>
      </c>
      <c r="D431" s="868" t="s">
        <v>34</v>
      </c>
      <c r="E431" s="167">
        <v>500</v>
      </c>
      <c r="F431" s="167">
        <v>1077</v>
      </c>
      <c r="G431" s="968">
        <f t="shared" si="12"/>
        <v>2.1539999999999999</v>
      </c>
      <c r="H431" s="969">
        <f t="shared" si="13"/>
        <v>2.1540000000000001E-3</v>
      </c>
      <c r="I431" s="167">
        <v>195</v>
      </c>
    </row>
    <row r="432" spans="1:9" ht="15" hidden="1">
      <c r="A432" s="167">
        <v>64409241</v>
      </c>
      <c r="B432" s="167" t="s">
        <v>1043</v>
      </c>
      <c r="C432" s="932" t="s">
        <v>38</v>
      </c>
      <c r="D432" s="868" t="s">
        <v>38</v>
      </c>
      <c r="E432" s="167">
        <v>1000</v>
      </c>
      <c r="F432" s="167">
        <v>2080</v>
      </c>
      <c r="G432" s="970">
        <f t="shared" si="12"/>
        <v>2.08</v>
      </c>
      <c r="H432" s="971">
        <f t="shared" si="13"/>
        <v>2.0800000000000003E-3</v>
      </c>
      <c r="I432" s="167">
        <v>135</v>
      </c>
    </row>
    <row r="433" spans="1:9" ht="15" hidden="1">
      <c r="A433" s="942">
        <v>64409244</v>
      </c>
      <c r="B433" s="941" t="s">
        <v>1044</v>
      </c>
      <c r="C433" s="932" t="s">
        <v>38</v>
      </c>
      <c r="D433" s="868" t="s">
        <v>38</v>
      </c>
      <c r="E433" s="167">
        <v>1000</v>
      </c>
      <c r="F433" s="167">
        <v>2080</v>
      </c>
      <c r="G433" s="970">
        <f t="shared" si="12"/>
        <v>2.08</v>
      </c>
      <c r="H433" s="971">
        <f t="shared" si="13"/>
        <v>2.0800000000000003E-3</v>
      </c>
      <c r="I433" s="167">
        <v>135</v>
      </c>
    </row>
    <row r="434" spans="1:9" ht="15" hidden="1">
      <c r="A434" s="167">
        <v>64409245</v>
      </c>
      <c r="B434" s="167" t="s">
        <v>1042</v>
      </c>
      <c r="C434" s="932" t="s">
        <v>38</v>
      </c>
      <c r="D434" s="868" t="s">
        <v>38</v>
      </c>
      <c r="E434" s="167">
        <v>1000</v>
      </c>
      <c r="F434" s="167">
        <v>2080</v>
      </c>
      <c r="G434" s="970">
        <f t="shared" si="12"/>
        <v>2.08</v>
      </c>
      <c r="H434" s="971">
        <f t="shared" si="13"/>
        <v>2.0800000000000003E-3</v>
      </c>
      <c r="I434" s="167">
        <v>135</v>
      </c>
    </row>
    <row r="435" spans="1:9" hidden="1">
      <c r="A435" s="167">
        <v>69577493</v>
      </c>
      <c r="B435" s="167" t="s">
        <v>334</v>
      </c>
      <c r="C435" s="932" t="s">
        <v>37</v>
      </c>
      <c r="D435" s="932" t="s">
        <v>37</v>
      </c>
      <c r="E435" s="167">
        <v>25</v>
      </c>
      <c r="F435" s="167">
        <v>51</v>
      </c>
      <c r="G435" s="970">
        <f t="shared" si="12"/>
        <v>2.04</v>
      </c>
      <c r="H435" s="971">
        <f t="shared" si="13"/>
        <v>2.0400000000000001E-3</v>
      </c>
      <c r="I435" s="167">
        <v>210</v>
      </c>
    </row>
    <row r="436" spans="1:9" hidden="1">
      <c r="A436" s="167">
        <v>69586716</v>
      </c>
      <c r="B436" s="167" t="s">
        <v>379</v>
      </c>
      <c r="C436" s="932" t="s">
        <v>37</v>
      </c>
      <c r="D436" s="932" t="s">
        <v>37</v>
      </c>
      <c r="E436" s="167">
        <v>25</v>
      </c>
      <c r="F436" s="167">
        <v>51</v>
      </c>
      <c r="G436" s="970">
        <f t="shared" si="12"/>
        <v>2.04</v>
      </c>
      <c r="H436" s="971">
        <f t="shared" si="13"/>
        <v>2.0400000000000001E-3</v>
      </c>
      <c r="I436" s="167">
        <v>210</v>
      </c>
    </row>
    <row r="437" spans="1:9" hidden="1">
      <c r="A437" s="167">
        <v>69991925</v>
      </c>
      <c r="B437" s="167" t="s">
        <v>379</v>
      </c>
      <c r="C437" s="932" t="s">
        <v>37</v>
      </c>
      <c r="D437" s="932" t="s">
        <v>37</v>
      </c>
      <c r="E437" s="167">
        <v>25</v>
      </c>
      <c r="F437" s="167">
        <v>51</v>
      </c>
      <c r="G437" s="970">
        <f t="shared" si="12"/>
        <v>2.04</v>
      </c>
      <c r="H437" s="971">
        <f t="shared" si="13"/>
        <v>2.0400000000000001E-3</v>
      </c>
      <c r="I437" s="167">
        <v>210</v>
      </c>
    </row>
    <row r="438" spans="1:9" hidden="1">
      <c r="A438" s="167">
        <v>69991979</v>
      </c>
      <c r="B438" s="167" t="s">
        <v>334</v>
      </c>
      <c r="C438" s="932" t="s">
        <v>37</v>
      </c>
      <c r="D438" s="932" t="s">
        <v>37</v>
      </c>
      <c r="E438" s="167">
        <v>25</v>
      </c>
      <c r="F438" s="167">
        <v>51</v>
      </c>
      <c r="G438" s="970">
        <f t="shared" si="12"/>
        <v>2.04</v>
      </c>
      <c r="H438" s="971">
        <f t="shared" si="13"/>
        <v>2.0400000000000001E-3</v>
      </c>
      <c r="I438" s="167">
        <v>210</v>
      </c>
    </row>
    <row r="439" spans="1:9" hidden="1">
      <c r="A439" s="930">
        <v>64325624</v>
      </c>
      <c r="B439" s="931" t="s">
        <v>577</v>
      </c>
      <c r="C439" s="932" t="s">
        <v>42</v>
      </c>
      <c r="D439" s="932" t="s">
        <v>42</v>
      </c>
      <c r="E439" s="167">
        <v>50</v>
      </c>
      <c r="F439" s="167">
        <v>101</v>
      </c>
      <c r="G439" s="968">
        <f t="shared" si="12"/>
        <v>2.02</v>
      </c>
      <c r="H439" s="969">
        <f t="shared" si="13"/>
        <v>2.0200000000000001E-3</v>
      </c>
      <c r="I439" s="167">
        <v>200</v>
      </c>
    </row>
    <row r="440" spans="1:9" hidden="1">
      <c r="A440" s="167">
        <v>64325625</v>
      </c>
      <c r="B440" s="167" t="s">
        <v>578</v>
      </c>
      <c r="C440" s="932" t="s">
        <v>42</v>
      </c>
      <c r="D440" s="932" t="s">
        <v>42</v>
      </c>
      <c r="E440" s="167">
        <v>50</v>
      </c>
      <c r="F440" s="167">
        <v>101</v>
      </c>
      <c r="G440" s="968">
        <f t="shared" si="12"/>
        <v>2.02</v>
      </c>
      <c r="H440" s="969">
        <f t="shared" si="13"/>
        <v>2.0200000000000001E-3</v>
      </c>
      <c r="I440" s="167">
        <v>200</v>
      </c>
    </row>
    <row r="441" spans="1:9" hidden="1">
      <c r="A441" s="930">
        <v>64326407</v>
      </c>
      <c r="B441" s="931" t="s">
        <v>579</v>
      </c>
      <c r="C441" s="932" t="s">
        <v>42</v>
      </c>
      <c r="D441" s="932" t="s">
        <v>42</v>
      </c>
      <c r="E441" s="167">
        <v>50</v>
      </c>
      <c r="F441" s="167">
        <v>101</v>
      </c>
      <c r="G441" s="968">
        <f t="shared" si="12"/>
        <v>2.02</v>
      </c>
      <c r="H441" s="969">
        <f t="shared" si="13"/>
        <v>2.0200000000000001E-3</v>
      </c>
      <c r="I441" s="167">
        <v>200</v>
      </c>
    </row>
    <row r="442" spans="1:9" hidden="1">
      <c r="A442" s="167">
        <v>64388736</v>
      </c>
      <c r="B442" s="167" t="s">
        <v>1204</v>
      </c>
      <c r="C442" s="932" t="s">
        <v>42</v>
      </c>
      <c r="D442" s="932" t="s">
        <v>42</v>
      </c>
      <c r="E442" s="167">
        <v>50</v>
      </c>
      <c r="F442" s="167">
        <v>101</v>
      </c>
      <c r="G442" s="968">
        <f t="shared" si="12"/>
        <v>2.02</v>
      </c>
      <c r="H442" s="969">
        <f t="shared" si="13"/>
        <v>2.0200000000000001E-3</v>
      </c>
      <c r="I442" s="167">
        <v>200</v>
      </c>
    </row>
    <row r="443" spans="1:9" hidden="1">
      <c r="A443" s="930">
        <v>64341109</v>
      </c>
      <c r="B443" s="931" t="s">
        <v>616</v>
      </c>
      <c r="C443" s="932" t="s">
        <v>34</v>
      </c>
      <c r="D443" s="932" t="s">
        <v>34</v>
      </c>
      <c r="E443" s="167">
        <v>1</v>
      </c>
      <c r="F443" s="167">
        <v>2</v>
      </c>
      <c r="G443" s="968">
        <f t="shared" si="12"/>
        <v>2</v>
      </c>
      <c r="H443" s="969">
        <f t="shared" si="13"/>
        <v>2E-3</v>
      </c>
      <c r="I443" s="167">
        <v>210</v>
      </c>
    </row>
    <row r="444" spans="1:9" ht="15" hidden="1">
      <c r="A444" s="167">
        <v>64779835</v>
      </c>
      <c r="B444" s="167" t="s">
        <v>1041</v>
      </c>
      <c r="C444" s="932" t="s">
        <v>34</v>
      </c>
      <c r="D444" s="868" t="s">
        <v>34</v>
      </c>
      <c r="E444" s="167">
        <v>1</v>
      </c>
      <c r="F444" s="167">
        <v>2</v>
      </c>
      <c r="G444" s="968">
        <f t="shared" si="12"/>
        <v>2</v>
      </c>
      <c r="H444" s="969">
        <f t="shared" si="13"/>
        <v>2E-3</v>
      </c>
      <c r="I444" s="167">
        <v>210</v>
      </c>
    </row>
    <row r="445" spans="1:9" hidden="1">
      <c r="A445" s="942">
        <v>64330596</v>
      </c>
      <c r="B445" s="941" t="s">
        <v>280</v>
      </c>
      <c r="C445" s="932" t="s">
        <v>37</v>
      </c>
      <c r="D445" s="932" t="s">
        <v>37</v>
      </c>
      <c r="E445" s="167">
        <v>50</v>
      </c>
      <c r="F445" s="167">
        <v>99</v>
      </c>
      <c r="G445" s="970">
        <f t="shared" si="12"/>
        <v>1.98</v>
      </c>
      <c r="H445" s="971">
        <f t="shared" si="13"/>
        <v>1.98E-3</v>
      </c>
      <c r="I445" s="167">
        <v>176</v>
      </c>
    </row>
    <row r="446" spans="1:9" hidden="1">
      <c r="A446" s="167">
        <v>64393721</v>
      </c>
      <c r="B446" s="167" t="s">
        <v>518</v>
      </c>
      <c r="C446" s="932" t="s">
        <v>37</v>
      </c>
      <c r="D446" s="932" t="s">
        <v>37</v>
      </c>
      <c r="E446" s="167">
        <v>50</v>
      </c>
      <c r="F446" s="167">
        <v>99</v>
      </c>
      <c r="G446" s="970">
        <f t="shared" si="12"/>
        <v>1.98</v>
      </c>
      <c r="H446" s="971">
        <f t="shared" si="13"/>
        <v>1.98E-3</v>
      </c>
      <c r="I446" s="167">
        <v>176</v>
      </c>
    </row>
    <row r="447" spans="1:9" ht="15" hidden="1">
      <c r="A447" s="167">
        <v>64903296</v>
      </c>
      <c r="B447" s="167" t="s">
        <v>363</v>
      </c>
      <c r="C447" s="932" t="s">
        <v>37</v>
      </c>
      <c r="D447" s="868" t="s">
        <v>37</v>
      </c>
      <c r="E447" s="167">
        <v>50</v>
      </c>
      <c r="F447" s="167">
        <v>99</v>
      </c>
      <c r="G447" s="970">
        <f t="shared" si="12"/>
        <v>1.98</v>
      </c>
      <c r="H447" s="971">
        <f t="shared" si="13"/>
        <v>1.98E-3</v>
      </c>
      <c r="I447" s="167">
        <v>162</v>
      </c>
    </row>
    <row r="448" spans="1:9" hidden="1">
      <c r="A448" s="167">
        <v>68410353</v>
      </c>
      <c r="B448" s="167" t="s">
        <v>902</v>
      </c>
      <c r="C448" s="932" t="s">
        <v>37</v>
      </c>
      <c r="D448" s="932" t="s">
        <v>37</v>
      </c>
      <c r="E448" s="167">
        <v>50</v>
      </c>
      <c r="F448" s="167">
        <v>99</v>
      </c>
      <c r="G448" s="970">
        <f t="shared" si="12"/>
        <v>1.98</v>
      </c>
      <c r="H448" s="971">
        <f t="shared" si="13"/>
        <v>1.98E-3</v>
      </c>
      <c r="I448" s="167">
        <v>176</v>
      </c>
    </row>
    <row r="449" spans="1:9" hidden="1">
      <c r="A449" s="930">
        <v>68927903</v>
      </c>
      <c r="B449" s="931" t="s">
        <v>1205</v>
      </c>
      <c r="C449" s="932" t="s">
        <v>37</v>
      </c>
      <c r="D449" s="932" t="s">
        <v>37</v>
      </c>
      <c r="E449" s="167">
        <v>1000</v>
      </c>
      <c r="F449" s="167">
        <v>1980</v>
      </c>
      <c r="G449" s="970">
        <f t="shared" si="12"/>
        <v>1.98</v>
      </c>
      <c r="H449" s="971">
        <f t="shared" si="13"/>
        <v>1.98E-3</v>
      </c>
      <c r="I449" s="167">
        <v>160</v>
      </c>
    </row>
    <row r="450" spans="1:9" hidden="1">
      <c r="A450" s="942">
        <v>69690941</v>
      </c>
      <c r="B450" s="941" t="s">
        <v>321</v>
      </c>
      <c r="C450" s="932" t="s">
        <v>37</v>
      </c>
      <c r="D450" s="932" t="s">
        <v>37</v>
      </c>
      <c r="E450" s="167">
        <v>50</v>
      </c>
      <c r="F450" s="167">
        <v>99</v>
      </c>
      <c r="G450" s="970">
        <f t="shared" ref="G450:G479" si="14">F450/E450</f>
        <v>1.98</v>
      </c>
      <c r="H450" s="971">
        <f t="shared" ref="H450:H479" si="15">G450/1000</f>
        <v>1.98E-3</v>
      </c>
      <c r="I450" s="167">
        <v>176</v>
      </c>
    </row>
    <row r="451" spans="1:9" hidden="1">
      <c r="A451" s="167">
        <v>69706138</v>
      </c>
      <c r="B451" s="167" t="s">
        <v>905</v>
      </c>
      <c r="C451" s="932" t="s">
        <v>99</v>
      </c>
      <c r="D451" s="932" t="s">
        <v>37</v>
      </c>
      <c r="E451" s="167">
        <v>50</v>
      </c>
      <c r="F451" s="167">
        <v>99</v>
      </c>
      <c r="G451" s="970">
        <f t="shared" si="14"/>
        <v>1.98</v>
      </c>
      <c r="H451" s="971">
        <f t="shared" si="15"/>
        <v>1.98E-3</v>
      </c>
      <c r="I451" s="167">
        <v>176</v>
      </c>
    </row>
    <row r="452" spans="1:9" hidden="1">
      <c r="A452" s="942">
        <v>69706147</v>
      </c>
      <c r="B452" s="941" t="s">
        <v>906</v>
      </c>
      <c r="C452" s="932" t="s">
        <v>99</v>
      </c>
      <c r="D452" s="932" t="s">
        <v>37</v>
      </c>
      <c r="E452" s="167">
        <v>50</v>
      </c>
      <c r="F452" s="167">
        <v>99</v>
      </c>
      <c r="G452" s="970">
        <f t="shared" si="14"/>
        <v>1.98</v>
      </c>
      <c r="H452" s="971">
        <f t="shared" si="15"/>
        <v>1.98E-3</v>
      </c>
      <c r="I452" s="167">
        <v>176</v>
      </c>
    </row>
    <row r="453" spans="1:9" hidden="1">
      <c r="A453" s="167">
        <v>69970070</v>
      </c>
      <c r="B453" s="167" t="s">
        <v>518</v>
      </c>
      <c r="C453" s="932" t="s">
        <v>37</v>
      </c>
      <c r="D453" s="932" t="s">
        <v>37</v>
      </c>
      <c r="E453" s="167">
        <v>50</v>
      </c>
      <c r="F453" s="167">
        <v>99</v>
      </c>
      <c r="G453" s="970">
        <f t="shared" si="14"/>
        <v>1.98</v>
      </c>
      <c r="H453" s="971">
        <f t="shared" si="15"/>
        <v>1.98E-3</v>
      </c>
      <c r="I453" s="167">
        <v>176</v>
      </c>
    </row>
    <row r="454" spans="1:9" hidden="1">
      <c r="A454" s="167">
        <v>69981590</v>
      </c>
      <c r="B454" s="167" t="s">
        <v>908</v>
      </c>
      <c r="C454" s="932" t="s">
        <v>99</v>
      </c>
      <c r="D454" s="932" t="s">
        <v>37</v>
      </c>
      <c r="E454" s="167">
        <v>50</v>
      </c>
      <c r="F454" s="167">
        <v>99</v>
      </c>
      <c r="G454" s="970">
        <f t="shared" si="14"/>
        <v>1.98</v>
      </c>
      <c r="H454" s="971">
        <f t="shared" si="15"/>
        <v>1.98E-3</v>
      </c>
      <c r="I454" s="167">
        <v>176</v>
      </c>
    </row>
    <row r="455" spans="1:9" hidden="1">
      <c r="A455" s="167">
        <v>69988931</v>
      </c>
      <c r="B455" s="167" t="s">
        <v>363</v>
      </c>
      <c r="C455" s="932" t="s">
        <v>37</v>
      </c>
      <c r="D455" s="932" t="s">
        <v>37</v>
      </c>
      <c r="E455" s="167">
        <v>50</v>
      </c>
      <c r="F455" s="167">
        <v>99</v>
      </c>
      <c r="G455" s="970">
        <f t="shared" si="14"/>
        <v>1.98</v>
      </c>
      <c r="H455" s="971">
        <f t="shared" si="15"/>
        <v>1.98E-3</v>
      </c>
      <c r="I455" s="167">
        <v>176</v>
      </c>
    </row>
    <row r="456" spans="1:9" hidden="1">
      <c r="A456" s="167">
        <v>69989759</v>
      </c>
      <c r="B456" s="167" t="s">
        <v>357</v>
      </c>
      <c r="C456" s="932" t="s">
        <v>37</v>
      </c>
      <c r="D456" s="932" t="s">
        <v>37</v>
      </c>
      <c r="E456" s="167">
        <v>50</v>
      </c>
      <c r="F456" s="167">
        <v>99</v>
      </c>
      <c r="G456" s="970">
        <f t="shared" si="14"/>
        <v>1.98</v>
      </c>
      <c r="H456" s="971">
        <f t="shared" si="15"/>
        <v>1.98E-3</v>
      </c>
      <c r="I456" s="167">
        <v>176</v>
      </c>
    </row>
    <row r="457" spans="1:9" ht="15" hidden="1">
      <c r="A457" s="167">
        <v>64366224</v>
      </c>
      <c r="B457" s="167" t="s">
        <v>1026</v>
      </c>
      <c r="C457" s="932" t="s">
        <v>34</v>
      </c>
      <c r="D457" s="868" t="s">
        <v>34</v>
      </c>
      <c r="E457" s="167">
        <v>125</v>
      </c>
      <c r="F457" s="167">
        <v>243</v>
      </c>
      <c r="G457" s="968">
        <f t="shared" si="14"/>
        <v>1.944</v>
      </c>
      <c r="H457" s="969">
        <f t="shared" si="15"/>
        <v>1.944E-3</v>
      </c>
      <c r="I457" s="167">
        <v>187</v>
      </c>
    </row>
    <row r="458" spans="1:9" ht="15" hidden="1">
      <c r="A458" s="167">
        <v>64782365</v>
      </c>
      <c r="B458" s="167" t="s">
        <v>519</v>
      </c>
      <c r="C458" s="932" t="s">
        <v>37</v>
      </c>
      <c r="D458" s="868" t="s">
        <v>37</v>
      </c>
      <c r="E458" s="167">
        <v>25</v>
      </c>
      <c r="F458" s="167">
        <v>48</v>
      </c>
      <c r="G458" s="970">
        <f t="shared" si="14"/>
        <v>1.92</v>
      </c>
      <c r="H458" s="971">
        <f t="shared" si="15"/>
        <v>1.9199999999999998E-3</v>
      </c>
      <c r="I458" s="167">
        <v>210</v>
      </c>
    </row>
    <row r="459" spans="1:9" hidden="1">
      <c r="A459" s="167">
        <v>68654232</v>
      </c>
      <c r="B459" s="167" t="s">
        <v>899</v>
      </c>
      <c r="C459" s="932" t="s">
        <v>30</v>
      </c>
      <c r="D459" s="932" t="s">
        <v>30</v>
      </c>
      <c r="E459" s="167">
        <v>125</v>
      </c>
      <c r="F459" s="167">
        <v>237</v>
      </c>
      <c r="G459" s="968">
        <f t="shared" si="14"/>
        <v>1.8959999999999999</v>
      </c>
      <c r="H459" s="969">
        <f t="shared" si="15"/>
        <v>1.8959999999999999E-3</v>
      </c>
      <c r="I459" s="167">
        <v>256</v>
      </c>
    </row>
    <row r="460" spans="1:9" hidden="1">
      <c r="A460" s="167">
        <v>68654218</v>
      </c>
      <c r="B460" s="167" t="s">
        <v>897</v>
      </c>
      <c r="C460" s="932" t="s">
        <v>30</v>
      </c>
      <c r="D460" s="932" t="s">
        <v>30</v>
      </c>
      <c r="E460" s="167">
        <v>15625</v>
      </c>
      <c r="F460" s="167">
        <v>29573</v>
      </c>
      <c r="G460" s="968">
        <f t="shared" si="14"/>
        <v>1.8926719999999999</v>
      </c>
      <c r="H460" s="969">
        <f t="shared" si="15"/>
        <v>1.892672E-3</v>
      </c>
      <c r="I460" s="167">
        <v>256</v>
      </c>
    </row>
    <row r="461" spans="1:9" hidden="1">
      <c r="A461" s="930">
        <v>69665113</v>
      </c>
      <c r="B461" s="945" t="s">
        <v>896</v>
      </c>
      <c r="C461" s="932" t="s">
        <v>30</v>
      </c>
      <c r="D461" s="932" t="s">
        <v>30</v>
      </c>
      <c r="E461" s="167">
        <v>125</v>
      </c>
      <c r="F461" s="167">
        <v>227</v>
      </c>
      <c r="G461" s="968">
        <f t="shared" si="14"/>
        <v>1.8160000000000001</v>
      </c>
      <c r="H461" s="969">
        <f t="shared" si="15"/>
        <v>1.8160000000000001E-3</v>
      </c>
      <c r="I461" s="167">
        <v>256</v>
      </c>
    </row>
    <row r="462" spans="1:9" hidden="1">
      <c r="A462" s="930">
        <v>69665114</v>
      </c>
      <c r="B462" s="931" t="s">
        <v>898</v>
      </c>
      <c r="C462" s="938" t="s">
        <v>30</v>
      </c>
      <c r="D462" s="932" t="s">
        <v>30</v>
      </c>
      <c r="E462" s="167">
        <v>125</v>
      </c>
      <c r="F462" s="167">
        <v>227</v>
      </c>
      <c r="G462" s="968">
        <f t="shared" si="14"/>
        <v>1.8160000000000001</v>
      </c>
      <c r="H462" s="969">
        <f t="shared" si="15"/>
        <v>1.8160000000000001E-3</v>
      </c>
      <c r="I462" s="167">
        <v>256</v>
      </c>
    </row>
    <row r="463" spans="1:9">
      <c r="A463" s="167">
        <v>64327161</v>
      </c>
      <c r="B463" s="167" t="s">
        <v>563</v>
      </c>
      <c r="C463" s="932" t="s">
        <v>46</v>
      </c>
      <c r="D463" s="932" t="s">
        <v>46</v>
      </c>
      <c r="E463" s="167">
        <v>25</v>
      </c>
      <c r="F463" s="167">
        <v>39</v>
      </c>
      <c r="G463" s="968">
        <f t="shared" si="14"/>
        <v>1.56</v>
      </c>
      <c r="H463" s="969">
        <f t="shared" si="15"/>
        <v>1.56E-3</v>
      </c>
      <c r="I463" s="167">
        <v>240</v>
      </c>
    </row>
    <row r="464" spans="1:9" ht="15">
      <c r="A464" s="167">
        <v>64376316</v>
      </c>
      <c r="B464" s="167" t="s">
        <v>565</v>
      </c>
      <c r="C464" s="932" t="s">
        <v>46</v>
      </c>
      <c r="D464" s="868" t="s">
        <v>46</v>
      </c>
      <c r="E464" s="167">
        <v>200</v>
      </c>
      <c r="F464" s="167">
        <v>309</v>
      </c>
      <c r="G464" s="968">
        <f t="shared" si="14"/>
        <v>1.5449999999999999</v>
      </c>
      <c r="H464" s="969">
        <f t="shared" si="15"/>
        <v>1.5449999999999999E-3</v>
      </c>
      <c r="I464" s="167">
        <v>240</v>
      </c>
    </row>
    <row r="465" spans="1:9" ht="15" hidden="1">
      <c r="A465" s="167">
        <v>64413476</v>
      </c>
      <c r="B465" s="167" t="s">
        <v>567</v>
      </c>
      <c r="C465" s="932" t="s">
        <v>25</v>
      </c>
      <c r="D465" s="868" t="s">
        <v>25</v>
      </c>
      <c r="E465" s="167">
        <v>25</v>
      </c>
      <c r="F465" s="167">
        <v>36</v>
      </c>
      <c r="G465" s="968">
        <f t="shared" si="14"/>
        <v>1.44</v>
      </c>
      <c r="H465" s="969">
        <f t="shared" si="15"/>
        <v>1.4399999999999999E-3</v>
      </c>
      <c r="I465" s="167">
        <v>468</v>
      </c>
    </row>
    <row r="466" spans="1:9" ht="15" hidden="1">
      <c r="A466" s="167">
        <v>68264519</v>
      </c>
      <c r="B466" t="s">
        <v>894</v>
      </c>
      <c r="C466" s="932" t="s">
        <v>30</v>
      </c>
      <c r="D466" s="932" t="s">
        <v>30</v>
      </c>
      <c r="E466" s="167">
        <v>62500</v>
      </c>
      <c r="F466" s="167">
        <v>88719</v>
      </c>
      <c r="G466" s="968">
        <f t="shared" si="14"/>
        <v>1.4195040000000001</v>
      </c>
      <c r="H466" s="969">
        <f t="shared" si="15"/>
        <v>1.419504E-3</v>
      </c>
      <c r="I466" s="167">
        <v>256</v>
      </c>
    </row>
    <row r="467" spans="1:9" ht="15" hidden="1">
      <c r="A467" s="167">
        <v>64413475</v>
      </c>
      <c r="B467" s="167" t="s">
        <v>566</v>
      </c>
      <c r="C467" s="932" t="s">
        <v>25</v>
      </c>
      <c r="D467" s="868" t="s">
        <v>25</v>
      </c>
      <c r="E467" s="167">
        <v>125</v>
      </c>
      <c r="F467" s="167">
        <v>177</v>
      </c>
      <c r="G467" s="968">
        <f t="shared" si="14"/>
        <v>1.4159999999999999</v>
      </c>
      <c r="H467" s="969">
        <f t="shared" si="15"/>
        <v>1.4159999999999999E-3</v>
      </c>
      <c r="I467" s="167">
        <v>468</v>
      </c>
    </row>
    <row r="468" spans="1:9" ht="15" hidden="1">
      <c r="A468" s="167">
        <v>64413477</v>
      </c>
      <c r="B468" s="167" t="s">
        <v>568</v>
      </c>
      <c r="C468" s="932" t="s">
        <v>25</v>
      </c>
      <c r="D468" s="868" t="s">
        <v>25</v>
      </c>
      <c r="E468" s="167">
        <v>125</v>
      </c>
      <c r="F468" s="167">
        <v>177</v>
      </c>
      <c r="G468" s="968">
        <f t="shared" si="14"/>
        <v>1.4159999999999999</v>
      </c>
      <c r="H468" s="969">
        <f t="shared" si="15"/>
        <v>1.4159999999999999E-3</v>
      </c>
      <c r="I468" s="167">
        <v>468</v>
      </c>
    </row>
    <row r="469" spans="1:9" ht="15" hidden="1">
      <c r="A469" s="939">
        <v>64413478</v>
      </c>
      <c r="B469" s="941" t="s">
        <v>569</v>
      </c>
      <c r="C469" s="932" t="s">
        <v>25</v>
      </c>
      <c r="D469" s="868" t="s">
        <v>25</v>
      </c>
      <c r="E469" s="167">
        <v>125</v>
      </c>
      <c r="F469" s="167">
        <v>177</v>
      </c>
      <c r="G469" s="968">
        <f t="shared" si="14"/>
        <v>1.4159999999999999</v>
      </c>
      <c r="H469" s="969">
        <f t="shared" si="15"/>
        <v>1.4159999999999999E-3</v>
      </c>
      <c r="I469" s="167">
        <v>468</v>
      </c>
    </row>
    <row r="470" spans="1:9" hidden="1">
      <c r="A470" s="930">
        <v>64327184</v>
      </c>
      <c r="B470" s="931" t="s">
        <v>1036</v>
      </c>
      <c r="C470" s="932" t="s">
        <v>46</v>
      </c>
      <c r="D470" s="932" t="s">
        <v>46</v>
      </c>
      <c r="E470" s="167">
        <v>125</v>
      </c>
      <c r="F470" s="167">
        <v>156</v>
      </c>
      <c r="G470" s="968">
        <f t="shared" si="14"/>
        <v>1.248</v>
      </c>
      <c r="H470" s="969">
        <f t="shared" si="15"/>
        <v>1.248E-3</v>
      </c>
      <c r="I470" s="167">
        <v>240</v>
      </c>
    </row>
    <row r="471" spans="1:9" hidden="1">
      <c r="A471" s="930">
        <v>62694914</v>
      </c>
      <c r="B471" s="931" t="s">
        <v>488</v>
      </c>
      <c r="C471" s="932" t="s">
        <v>37</v>
      </c>
      <c r="D471" s="932" t="s">
        <v>37</v>
      </c>
      <c r="E471" s="167">
        <v>25</v>
      </c>
      <c r="F471" s="167">
        <v>27</v>
      </c>
      <c r="G471" s="970">
        <f t="shared" si="14"/>
        <v>1.08</v>
      </c>
      <c r="H471" s="971">
        <f t="shared" si="15"/>
        <v>1.08E-3</v>
      </c>
      <c r="I471" s="167">
        <v>493</v>
      </c>
    </row>
    <row r="472" spans="1:9" hidden="1">
      <c r="A472" s="930">
        <v>64331550</v>
      </c>
      <c r="B472" s="931" t="s">
        <v>461</v>
      </c>
      <c r="C472" s="932" t="s">
        <v>37</v>
      </c>
      <c r="D472" s="932" t="s">
        <v>37</v>
      </c>
      <c r="E472" s="167">
        <v>25</v>
      </c>
      <c r="F472" s="167">
        <v>27</v>
      </c>
      <c r="G472" s="970">
        <f t="shared" si="14"/>
        <v>1.08</v>
      </c>
      <c r="H472" s="971">
        <f t="shared" si="15"/>
        <v>1.08E-3</v>
      </c>
      <c r="I472" s="167">
        <v>493</v>
      </c>
    </row>
    <row r="473" spans="1:9" ht="15" hidden="1">
      <c r="A473" s="167">
        <v>64396550</v>
      </c>
      <c r="B473" s="167" t="s">
        <v>548</v>
      </c>
      <c r="C473" s="932" t="s">
        <v>37</v>
      </c>
      <c r="D473" s="868" t="s">
        <v>37</v>
      </c>
      <c r="E473" s="167">
        <v>25</v>
      </c>
      <c r="F473" s="167">
        <v>27</v>
      </c>
      <c r="G473" s="970">
        <f t="shared" si="14"/>
        <v>1.08</v>
      </c>
      <c r="H473" s="971">
        <f t="shared" si="15"/>
        <v>1.08E-3</v>
      </c>
      <c r="I473" s="167">
        <v>493</v>
      </c>
    </row>
    <row r="474" spans="1:9" hidden="1">
      <c r="A474" s="167">
        <v>68426523</v>
      </c>
      <c r="B474" s="167" t="s">
        <v>892</v>
      </c>
      <c r="C474" s="932" t="s">
        <v>37</v>
      </c>
      <c r="D474" s="932" t="s">
        <v>37</v>
      </c>
      <c r="E474" s="167">
        <v>25</v>
      </c>
      <c r="F474" s="167">
        <v>27</v>
      </c>
      <c r="G474" s="970">
        <f t="shared" si="14"/>
        <v>1.08</v>
      </c>
      <c r="H474" s="971">
        <f t="shared" si="15"/>
        <v>1.08E-3</v>
      </c>
      <c r="I474" s="167">
        <v>493</v>
      </c>
    </row>
    <row r="475" spans="1:9" hidden="1">
      <c r="A475" s="167">
        <v>68829292</v>
      </c>
      <c r="B475" s="167" t="s">
        <v>1206</v>
      </c>
      <c r="C475" s="932" t="s">
        <v>37</v>
      </c>
      <c r="D475" s="932" t="s">
        <v>37</v>
      </c>
      <c r="E475" s="167">
        <v>1000</v>
      </c>
      <c r="F475" s="167">
        <v>1080</v>
      </c>
      <c r="G475" s="970">
        <f t="shared" si="14"/>
        <v>1.08</v>
      </c>
      <c r="H475" s="971">
        <f t="shared" si="15"/>
        <v>1.08E-3</v>
      </c>
      <c r="I475" s="167">
        <v>493</v>
      </c>
    </row>
    <row r="476" spans="1:9" hidden="1">
      <c r="A476" s="167">
        <v>69571484</v>
      </c>
      <c r="B476" s="167" t="s">
        <v>1023</v>
      </c>
      <c r="C476" s="932" t="s">
        <v>37</v>
      </c>
      <c r="D476" s="932" t="s">
        <v>37</v>
      </c>
      <c r="E476" s="167">
        <v>25</v>
      </c>
      <c r="F476" s="167">
        <v>27</v>
      </c>
      <c r="G476" s="970">
        <f t="shared" si="14"/>
        <v>1.08</v>
      </c>
      <c r="H476" s="971">
        <f t="shared" si="15"/>
        <v>1.08E-3</v>
      </c>
      <c r="I476" s="167">
        <v>493</v>
      </c>
    </row>
    <row r="477" spans="1:9" hidden="1">
      <c r="A477" s="930">
        <v>64356482</v>
      </c>
      <c r="B477" s="931" t="s">
        <v>604</v>
      </c>
      <c r="C477" s="932" t="s">
        <v>150</v>
      </c>
      <c r="D477" s="932" t="s">
        <v>38</v>
      </c>
      <c r="E477" s="167">
        <v>100</v>
      </c>
      <c r="F477" s="167">
        <v>99</v>
      </c>
      <c r="G477" s="970">
        <f t="shared" si="14"/>
        <v>0.99</v>
      </c>
      <c r="H477" s="971">
        <f t="shared" si="15"/>
        <v>9.8999999999999999E-4</v>
      </c>
      <c r="I477" s="167">
        <v>296</v>
      </c>
    </row>
    <row r="478" spans="1:9" ht="15" hidden="1">
      <c r="A478" s="167">
        <v>64830947</v>
      </c>
      <c r="B478" s="167" t="s">
        <v>604</v>
      </c>
      <c r="C478" s="932" t="s">
        <v>150</v>
      </c>
      <c r="D478" s="868" t="s">
        <v>38</v>
      </c>
      <c r="E478" s="167">
        <v>100</v>
      </c>
      <c r="F478" s="167">
        <v>99</v>
      </c>
      <c r="G478" s="970">
        <f t="shared" si="14"/>
        <v>0.99</v>
      </c>
      <c r="H478" s="971">
        <f t="shared" si="15"/>
        <v>9.8999999999999999E-4</v>
      </c>
      <c r="I478" s="167">
        <v>296</v>
      </c>
    </row>
    <row r="479" spans="1:9" hidden="1">
      <c r="A479" s="930">
        <v>65089667</v>
      </c>
      <c r="B479" s="931" t="s">
        <v>606</v>
      </c>
      <c r="C479" s="938" t="s">
        <v>38</v>
      </c>
      <c r="D479" s="932" t="s">
        <v>38</v>
      </c>
      <c r="E479" s="167">
        <v>1000</v>
      </c>
      <c r="F479" s="167">
        <v>89</v>
      </c>
      <c r="G479" s="970">
        <f t="shared" si="14"/>
        <v>8.8999999999999996E-2</v>
      </c>
      <c r="H479" s="971">
        <f t="shared" si="15"/>
        <v>8.8999999999999995E-5</v>
      </c>
      <c r="I479" s="167">
        <v>150</v>
      </c>
    </row>
    <row r="480" spans="1:9" hidden="1">
      <c r="A480" s="167">
        <v>64409312</v>
      </c>
      <c r="B480" s="167" t="s">
        <v>623</v>
      </c>
      <c r="C480" s="932" t="s">
        <v>38</v>
      </c>
      <c r="D480" s="932" t="s">
        <v>38</v>
      </c>
      <c r="E480" s="167" t="e">
        <v>#REF!</v>
      </c>
      <c r="F480" s="167" t="e">
        <v>#REF!</v>
      </c>
      <c r="G480" s="933">
        <v>0.52</v>
      </c>
      <c r="H480" s="934">
        <v>5.2000000000000006E-4</v>
      </c>
      <c r="I480" s="167">
        <v>135</v>
      </c>
    </row>
    <row r="481" spans="1:9" hidden="1">
      <c r="A481" s="930">
        <v>64409314</v>
      </c>
      <c r="B481" s="931" t="s">
        <v>624</v>
      </c>
      <c r="C481" s="932" t="s">
        <v>38</v>
      </c>
      <c r="D481" s="932" t="s">
        <v>38</v>
      </c>
      <c r="E481" s="167" t="e">
        <v>#REF!</v>
      </c>
      <c r="F481" s="167" t="e">
        <v>#REF!</v>
      </c>
      <c r="G481" s="933">
        <v>0.52800000000000002</v>
      </c>
      <c r="H481" s="934">
        <v>5.2800000000000004E-4</v>
      </c>
      <c r="I481" s="167">
        <v>135</v>
      </c>
    </row>
    <row r="482" spans="1:9" hidden="1">
      <c r="A482" s="167">
        <v>69552657</v>
      </c>
      <c r="B482" s="167" t="s">
        <v>625</v>
      </c>
      <c r="C482" s="932" t="s">
        <v>35</v>
      </c>
      <c r="D482" s="932" t="s">
        <v>35</v>
      </c>
      <c r="E482" s="167">
        <v>500</v>
      </c>
      <c r="F482" s="167">
        <v>2661</v>
      </c>
      <c r="G482" s="933">
        <v>5.3220000000000001</v>
      </c>
      <c r="H482" s="934">
        <v>5.3220000000000003E-3</v>
      </c>
      <c r="I482" s="167">
        <v>108</v>
      </c>
    </row>
    <row r="483" spans="1:9" hidden="1">
      <c r="A483" s="167">
        <v>64410857</v>
      </c>
      <c r="B483" s="167" t="s">
        <v>1029</v>
      </c>
      <c r="C483" s="932" t="s">
        <v>38</v>
      </c>
      <c r="D483" s="932" t="s">
        <v>38</v>
      </c>
      <c r="E483" s="167" t="e">
        <v>#REF!</v>
      </c>
      <c r="F483" s="167" t="e">
        <v>#REF!</v>
      </c>
      <c r="G483" s="933">
        <v>0.52</v>
      </c>
      <c r="H483" s="934">
        <v>5.2000000000000006E-4</v>
      </c>
      <c r="I483" s="167">
        <v>135</v>
      </c>
    </row>
    <row r="484" spans="1:9" hidden="1">
      <c r="A484" s="167">
        <v>68729649</v>
      </c>
      <c r="B484" s="167" t="s">
        <v>974</v>
      </c>
      <c r="C484" s="932" t="s">
        <v>41</v>
      </c>
      <c r="D484" s="932" t="s">
        <v>41</v>
      </c>
      <c r="E484" s="167">
        <v>15625</v>
      </c>
      <c r="F484" s="167">
        <v>59146</v>
      </c>
      <c r="G484" s="933">
        <v>3.7853439999999998</v>
      </c>
      <c r="H484" s="934">
        <v>3.7853439999999999E-3</v>
      </c>
      <c r="I484" s="167">
        <v>255</v>
      </c>
    </row>
    <row r="485" spans="1:9" hidden="1">
      <c r="A485" s="167">
        <v>69740694</v>
      </c>
      <c r="B485" s="167" t="s">
        <v>931</v>
      </c>
      <c r="C485" s="932" t="s">
        <v>41</v>
      </c>
      <c r="D485" s="932" t="s">
        <v>41</v>
      </c>
      <c r="E485" s="167">
        <v>125</v>
      </c>
      <c r="F485" s="167">
        <v>444</v>
      </c>
      <c r="G485" s="933">
        <v>3.552</v>
      </c>
      <c r="H485" s="934">
        <v>3.552E-3</v>
      </c>
      <c r="I485" s="167">
        <v>255</v>
      </c>
    </row>
    <row r="486" spans="1:9" hidden="1">
      <c r="A486" s="930">
        <v>17093</v>
      </c>
      <c r="B486" s="931" t="s">
        <v>1025</v>
      </c>
      <c r="C486" s="932" t="s">
        <v>21</v>
      </c>
      <c r="D486" s="932" t="s">
        <v>21</v>
      </c>
      <c r="E486" s="167">
        <v>2</v>
      </c>
      <c r="F486" s="167">
        <v>27</v>
      </c>
      <c r="G486" s="933">
        <v>13.5</v>
      </c>
      <c r="H486" s="934">
        <v>1.35E-2</v>
      </c>
      <c r="I486" s="167">
        <v>50</v>
      </c>
    </row>
    <row r="487" spans="1:9" hidden="1">
      <c r="A487" s="167">
        <v>17090</v>
      </c>
      <c r="B487" s="167" t="s">
        <v>1024</v>
      </c>
      <c r="C487" s="932" t="s">
        <v>21</v>
      </c>
      <c r="D487" s="932" t="s">
        <v>21</v>
      </c>
      <c r="E487" s="167">
        <v>2</v>
      </c>
      <c r="F487" s="167">
        <v>27</v>
      </c>
      <c r="G487" s="933">
        <v>13.5</v>
      </c>
      <c r="H487" s="934">
        <v>1.35E-2</v>
      </c>
      <c r="I487" s="167">
        <v>50</v>
      </c>
    </row>
    <row r="488" spans="1:9" hidden="1">
      <c r="A488" s="930">
        <v>65640070</v>
      </c>
      <c r="B488" s="931" t="s">
        <v>440</v>
      </c>
      <c r="C488" s="932" t="s">
        <v>21</v>
      </c>
      <c r="D488" s="932" t="s">
        <v>21</v>
      </c>
      <c r="E488" s="167">
        <v>2</v>
      </c>
      <c r="F488" s="167">
        <v>27</v>
      </c>
      <c r="G488" s="933">
        <v>13.5</v>
      </c>
      <c r="H488" s="934">
        <v>1.35E-2</v>
      </c>
      <c r="I488" s="167">
        <v>50</v>
      </c>
    </row>
    <row r="489" spans="1:9" hidden="1">
      <c r="A489" s="167">
        <v>65459033</v>
      </c>
      <c r="B489" s="167" t="s">
        <v>1060</v>
      </c>
      <c r="C489" s="932" t="s">
        <v>38</v>
      </c>
      <c r="D489" s="932" t="s">
        <v>38</v>
      </c>
      <c r="E489" s="167">
        <v>125</v>
      </c>
      <c r="F489" s="167">
        <v>473</v>
      </c>
      <c r="G489" s="933">
        <v>3.7839999999999998</v>
      </c>
      <c r="H489" s="934">
        <v>3.7839999999999996E-3</v>
      </c>
      <c r="I489" s="167">
        <v>240</v>
      </c>
    </row>
    <row r="490" spans="1:9" hidden="1">
      <c r="A490" s="167">
        <v>65459388</v>
      </c>
      <c r="B490" s="167" t="s">
        <v>1061</v>
      </c>
      <c r="C490" s="932" t="s">
        <v>38</v>
      </c>
      <c r="D490" s="932" t="s">
        <v>38</v>
      </c>
      <c r="E490" s="167">
        <v>125</v>
      </c>
      <c r="F490" s="167">
        <v>473</v>
      </c>
      <c r="G490" s="933">
        <v>3.7839999999999998</v>
      </c>
      <c r="H490" s="934">
        <v>3.7839999999999996E-3</v>
      </c>
      <c r="I490" s="167">
        <v>240</v>
      </c>
    </row>
    <row r="491" spans="1:9" hidden="1">
      <c r="A491" s="930">
        <v>65471855</v>
      </c>
      <c r="B491" s="931" t="s">
        <v>248</v>
      </c>
      <c r="C491" s="932" t="s">
        <v>38</v>
      </c>
      <c r="D491" s="932" t="s">
        <v>38</v>
      </c>
      <c r="E491" s="167">
        <v>125</v>
      </c>
      <c r="F491" s="167">
        <v>473</v>
      </c>
      <c r="G491" s="933">
        <v>3.7839999999999998</v>
      </c>
      <c r="H491" s="934">
        <v>3.7839999999999996E-3</v>
      </c>
      <c r="I491" s="167">
        <v>240</v>
      </c>
    </row>
    <row r="492" spans="1:9" hidden="1">
      <c r="A492" s="167">
        <v>64979101</v>
      </c>
      <c r="B492" s="167" t="s">
        <v>1059</v>
      </c>
      <c r="C492" s="932" t="s">
        <v>38</v>
      </c>
      <c r="D492" s="932" t="s">
        <v>38</v>
      </c>
      <c r="E492" s="167">
        <v>25</v>
      </c>
      <c r="F492" s="167">
        <v>48</v>
      </c>
      <c r="G492" s="933">
        <v>1.92</v>
      </c>
      <c r="H492" s="934">
        <v>1.9199999999999998E-3</v>
      </c>
      <c r="I492" s="167">
        <v>360</v>
      </c>
    </row>
    <row r="493" spans="1:9" hidden="1">
      <c r="A493" s="994">
        <v>65254774</v>
      </c>
      <c r="B493" s="994" t="s">
        <v>614</v>
      </c>
      <c r="C493" s="995" t="s">
        <v>38</v>
      </c>
      <c r="D493" s="995" t="s">
        <v>38</v>
      </c>
      <c r="E493" s="994">
        <v>10</v>
      </c>
      <c r="F493" s="994">
        <v>887</v>
      </c>
      <c r="G493" s="996">
        <f>E493/F493</f>
        <v>1.1273957158962795E-2</v>
      </c>
      <c r="H493" s="997">
        <f>(0.005/60)*12</f>
        <v>1E-3</v>
      </c>
      <c r="I493" s="994">
        <v>420</v>
      </c>
    </row>
    <row r="494" spans="1:9" ht="15" hidden="1">
      <c r="A494" s="194">
        <v>64973976</v>
      </c>
      <c r="B494" s="194" t="s">
        <v>1190</v>
      </c>
      <c r="C494" s="932" t="s">
        <v>113</v>
      </c>
      <c r="D494" s="194" t="s">
        <v>38</v>
      </c>
      <c r="E494" s="194"/>
      <c r="F494" s="194"/>
      <c r="G494" s="922">
        <v>1.0644</v>
      </c>
      <c r="H494" s="194">
        <f>G494/1000</f>
        <v>1.0644000000000001E-3</v>
      </c>
      <c r="I494" s="922">
        <v>190</v>
      </c>
    </row>
    <row r="495" spans="1:9" ht="15">
      <c r="A495" s="194">
        <v>65472837</v>
      </c>
      <c r="B495" s="194" t="s">
        <v>1191</v>
      </c>
      <c r="C495" s="194" t="s">
        <v>38</v>
      </c>
      <c r="D495" s="194" t="s">
        <v>38</v>
      </c>
      <c r="E495" s="194">
        <v>100</v>
      </c>
      <c r="F495" s="194">
        <v>7</v>
      </c>
      <c r="G495" s="922">
        <v>1.04</v>
      </c>
      <c r="H495" s="194">
        <f>G495/1000</f>
        <v>1.0400000000000001E-3</v>
      </c>
      <c r="I495" s="194">
        <v>275</v>
      </c>
    </row>
    <row r="496" spans="1:9" ht="15" hidden="1">
      <c r="A496" s="194">
        <v>65549173</v>
      </c>
      <c r="B496" s="194" t="s">
        <v>1189</v>
      </c>
      <c r="C496" s="194" t="s">
        <v>34</v>
      </c>
      <c r="D496" s="194" t="s">
        <v>34</v>
      </c>
      <c r="E496" s="194">
        <v>5</v>
      </c>
      <c r="F496" s="194">
        <v>6</v>
      </c>
      <c r="G496" s="194">
        <f>F496/E496</f>
        <v>1.2</v>
      </c>
      <c r="H496" s="194">
        <f>G496/1000</f>
        <v>1.1999999999999999E-3</v>
      </c>
      <c r="I496" s="194">
        <v>210</v>
      </c>
    </row>
    <row r="497" spans="1:9" ht="15" hidden="1">
      <c r="A497" s="194">
        <v>65490430</v>
      </c>
      <c r="B497" s="194" t="s">
        <v>895</v>
      </c>
      <c r="C497" s="194" t="s">
        <v>39</v>
      </c>
      <c r="D497" s="194" t="s">
        <v>39</v>
      </c>
      <c r="E497" s="194">
        <v>125</v>
      </c>
      <c r="F497" s="194">
        <v>6</v>
      </c>
      <c r="G497" s="922">
        <v>1.5608888888888888</v>
      </c>
      <c r="H497" s="194">
        <f>G497/1000</f>
        <v>1.5608888888888888E-3</v>
      </c>
      <c r="I497" s="194">
        <v>200</v>
      </c>
    </row>
    <row r="498" spans="1:9" ht="15" hidden="1">
      <c r="A498" s="167">
        <v>64313605</v>
      </c>
      <c r="B498" s="167" t="s">
        <v>246</v>
      </c>
      <c r="C498" s="932" t="s">
        <v>100</v>
      </c>
      <c r="D498" s="932" t="s">
        <v>40</v>
      </c>
      <c r="E498" s="167">
        <v>125</v>
      </c>
      <c r="F498" s="167">
        <v>473</v>
      </c>
      <c r="G498" s="194">
        <f>F498/E498</f>
        <v>3.7839999999999998</v>
      </c>
      <c r="H498" s="194">
        <f>G498/1000</f>
        <v>3.7839999999999996E-3</v>
      </c>
      <c r="I498" s="167">
        <v>240</v>
      </c>
    </row>
    <row r="499" spans="1:9" ht="15" hidden="1">
      <c r="A499" s="167">
        <v>65434831</v>
      </c>
      <c r="B499" s="167" t="s">
        <v>1248</v>
      </c>
      <c r="C499" s="932" t="s">
        <v>29</v>
      </c>
      <c r="D499" s="932" t="s">
        <v>29</v>
      </c>
      <c r="E499" s="167">
        <v>125</v>
      </c>
      <c r="F499" s="167">
        <v>473</v>
      </c>
      <c r="G499" s="194">
        <f t="shared" ref="G499:G509" si="16">F499/E499</f>
        <v>3.7839999999999998</v>
      </c>
      <c r="H499" s="194">
        <f t="shared" ref="H499:H509" si="17">G499/1000</f>
        <v>3.7839999999999996E-3</v>
      </c>
      <c r="I499" s="167">
        <v>240</v>
      </c>
    </row>
    <row r="500" spans="1:9" ht="15" hidden="1">
      <c r="A500" s="167">
        <v>65451821</v>
      </c>
      <c r="B500" s="167" t="s">
        <v>440</v>
      </c>
      <c r="C500" s="932" t="s">
        <v>21</v>
      </c>
      <c r="D500" s="932" t="s">
        <v>21</v>
      </c>
      <c r="E500" s="167">
        <v>200</v>
      </c>
      <c r="F500" s="957">
        <v>1817</v>
      </c>
      <c r="G500" s="194">
        <f t="shared" si="16"/>
        <v>9.0850000000000009</v>
      </c>
      <c r="H500" s="194">
        <f t="shared" si="17"/>
        <v>9.0850000000000011E-3</v>
      </c>
      <c r="I500" s="167">
        <v>125</v>
      </c>
    </row>
    <row r="501" spans="1:9" ht="15" hidden="1">
      <c r="A501" s="167">
        <v>65458353</v>
      </c>
      <c r="B501" s="167" t="s">
        <v>1230</v>
      </c>
      <c r="C501" s="932" t="s">
        <v>101</v>
      </c>
      <c r="D501" s="932" t="s">
        <v>40</v>
      </c>
      <c r="E501" s="167">
        <v>125</v>
      </c>
      <c r="F501" s="167">
        <v>427</v>
      </c>
      <c r="G501" s="194">
        <f t="shared" si="16"/>
        <v>3.4159999999999999</v>
      </c>
      <c r="H501" s="194">
        <f t="shared" si="17"/>
        <v>3.4159999999999998E-3</v>
      </c>
      <c r="I501" s="167">
        <v>240</v>
      </c>
    </row>
    <row r="502" spans="1:9" ht="15" hidden="1">
      <c r="A502" s="167">
        <v>65489676</v>
      </c>
      <c r="B502" s="167" t="s">
        <v>1224</v>
      </c>
      <c r="C502" s="932" t="s">
        <v>38</v>
      </c>
      <c r="D502" s="932" t="s">
        <v>38</v>
      </c>
      <c r="E502" s="167">
        <v>125</v>
      </c>
      <c r="F502" s="167">
        <v>354</v>
      </c>
      <c r="G502" s="194">
        <f t="shared" si="16"/>
        <v>2.8319999999999999</v>
      </c>
      <c r="H502" s="194">
        <f t="shared" si="17"/>
        <v>2.8319999999999999E-3</v>
      </c>
      <c r="I502" s="167">
        <v>221</v>
      </c>
    </row>
    <row r="503" spans="1:9" ht="15" hidden="1">
      <c r="A503" s="167">
        <v>65489677</v>
      </c>
      <c r="B503" s="167" t="s">
        <v>1188</v>
      </c>
      <c r="C503" s="932" t="s">
        <v>38</v>
      </c>
      <c r="D503" s="932" t="s">
        <v>38</v>
      </c>
      <c r="E503" s="167">
        <v>125</v>
      </c>
      <c r="F503" s="167">
        <v>354</v>
      </c>
      <c r="G503" s="194">
        <f t="shared" si="16"/>
        <v>2.8319999999999999</v>
      </c>
      <c r="H503" s="194">
        <f t="shared" si="17"/>
        <v>2.8319999999999999E-3</v>
      </c>
      <c r="I503" s="167">
        <v>221</v>
      </c>
    </row>
    <row r="504" spans="1:9" ht="15" hidden="1">
      <c r="A504" s="167">
        <v>65498063</v>
      </c>
      <c r="B504" s="167" t="s">
        <v>1245</v>
      </c>
      <c r="C504" s="932" t="s">
        <v>21</v>
      </c>
      <c r="D504" s="932" t="s">
        <v>21</v>
      </c>
      <c r="E504" s="167">
        <v>200</v>
      </c>
      <c r="F504" s="957">
        <v>1817</v>
      </c>
      <c r="G504" s="194">
        <f t="shared" si="16"/>
        <v>9.0850000000000009</v>
      </c>
      <c r="H504" s="194">
        <f t="shared" si="17"/>
        <v>9.0850000000000011E-3</v>
      </c>
      <c r="I504" s="167">
        <v>125</v>
      </c>
    </row>
    <row r="505" spans="1:9" ht="15" hidden="1">
      <c r="A505" s="167">
        <v>65540451</v>
      </c>
      <c r="B505" s="167" t="s">
        <v>1222</v>
      </c>
      <c r="C505" s="932" t="s">
        <v>27</v>
      </c>
      <c r="D505" s="932" t="s">
        <v>27</v>
      </c>
      <c r="E505" s="167">
        <v>5</v>
      </c>
      <c r="F505" s="167">
        <v>96</v>
      </c>
      <c r="G505" s="194">
        <f t="shared" si="16"/>
        <v>19.2</v>
      </c>
      <c r="H505" s="194">
        <f t="shared" si="17"/>
        <v>1.9199999999999998E-2</v>
      </c>
      <c r="I505" s="167">
        <v>165</v>
      </c>
    </row>
    <row r="506" spans="1:9" ht="15" hidden="1">
      <c r="A506" s="930">
        <v>65594416</v>
      </c>
      <c r="B506" s="945" t="s">
        <v>1241</v>
      </c>
      <c r="C506" s="932" t="s">
        <v>37</v>
      </c>
      <c r="D506" s="932" t="s">
        <v>37</v>
      </c>
      <c r="E506" s="167">
        <v>25</v>
      </c>
      <c r="F506" s="167">
        <v>24</v>
      </c>
      <c r="G506" s="194">
        <f t="shared" si="16"/>
        <v>0.96</v>
      </c>
      <c r="H506" s="194">
        <f t="shared" si="17"/>
        <v>9.5999999999999992E-4</v>
      </c>
      <c r="I506" s="167">
        <v>432</v>
      </c>
    </row>
    <row r="507" spans="1:9" ht="15" hidden="1">
      <c r="A507" s="930">
        <v>68599804</v>
      </c>
      <c r="B507" s="931" t="s">
        <v>607</v>
      </c>
      <c r="C507" s="938" t="s">
        <v>23</v>
      </c>
      <c r="D507" s="932" t="s">
        <v>23</v>
      </c>
      <c r="E507" s="167">
        <v>25</v>
      </c>
      <c r="F507" s="167">
        <v>213</v>
      </c>
      <c r="G507" s="194">
        <f t="shared" si="16"/>
        <v>8.52</v>
      </c>
      <c r="H507" s="194">
        <f t="shared" si="17"/>
        <v>8.5199999999999998E-3</v>
      </c>
      <c r="I507" s="167">
        <v>156</v>
      </c>
    </row>
    <row r="508" spans="1:9" ht="15" hidden="1">
      <c r="A508" s="167">
        <v>68769686</v>
      </c>
      <c r="B508" s="167" t="s">
        <v>409</v>
      </c>
      <c r="C508" s="938" t="s">
        <v>23</v>
      </c>
      <c r="D508" s="932" t="s">
        <v>23</v>
      </c>
      <c r="E508" s="167">
        <v>500</v>
      </c>
      <c r="F508" s="957">
        <v>4257</v>
      </c>
      <c r="G508" s="194">
        <f t="shared" si="16"/>
        <v>8.5139999999999993</v>
      </c>
      <c r="H508" s="194">
        <f t="shared" si="17"/>
        <v>8.513999999999999E-3</v>
      </c>
      <c r="I508" s="167">
        <v>154</v>
      </c>
    </row>
    <row r="509" spans="1:9" ht="15" hidden="1">
      <c r="A509" s="167">
        <v>68881272</v>
      </c>
      <c r="B509" s="167" t="s">
        <v>1013</v>
      </c>
      <c r="C509" s="938" t="s">
        <v>23</v>
      </c>
      <c r="D509" s="932" t="s">
        <v>23</v>
      </c>
      <c r="E509" s="167">
        <v>25</v>
      </c>
      <c r="F509" s="167">
        <v>213</v>
      </c>
      <c r="G509" s="194">
        <f t="shared" si="16"/>
        <v>8.52</v>
      </c>
      <c r="H509" s="194">
        <f t="shared" si="17"/>
        <v>8.5199999999999998E-3</v>
      </c>
      <c r="I509" s="167">
        <v>154</v>
      </c>
    </row>
    <row r="510" spans="1:9" ht="15" hidden="1">
      <c r="A510">
        <v>64958862</v>
      </c>
      <c r="B510" t="s">
        <v>1290</v>
      </c>
      <c r="C510" s="932" t="s">
        <v>38</v>
      </c>
      <c r="D510" s="932" t="s">
        <v>38</v>
      </c>
      <c r="E510" s="167">
        <v>250</v>
      </c>
      <c r="F510" s="167">
        <v>879</v>
      </c>
      <c r="G510" s="194">
        <f t="shared" ref="G510:G512" si="18">F510/E510</f>
        <v>3.516</v>
      </c>
      <c r="H510" s="194">
        <f t="shared" ref="H510:H512" si="19">G510/1000</f>
        <v>3.516E-3</v>
      </c>
      <c r="I510" s="167">
        <v>170</v>
      </c>
    </row>
    <row r="511" spans="1:9" ht="15" hidden="1">
      <c r="A511">
        <v>64960643</v>
      </c>
      <c r="B511" t="s">
        <v>1289</v>
      </c>
      <c r="C511" s="932" t="s">
        <v>38</v>
      </c>
      <c r="D511" s="932" t="s">
        <v>38</v>
      </c>
      <c r="E511" s="167">
        <v>250</v>
      </c>
      <c r="F511" s="167">
        <v>879</v>
      </c>
      <c r="G511" s="194">
        <f t="shared" si="18"/>
        <v>3.516</v>
      </c>
      <c r="H511" s="194">
        <f t="shared" si="19"/>
        <v>3.516E-3</v>
      </c>
      <c r="I511" s="167">
        <v>170</v>
      </c>
    </row>
    <row r="512" spans="1:9" ht="15" hidden="1">
      <c r="A512">
        <v>65468644</v>
      </c>
      <c r="B512" t="s">
        <v>1291</v>
      </c>
      <c r="C512" s="932" t="s">
        <v>38</v>
      </c>
      <c r="D512" s="932" t="s">
        <v>38</v>
      </c>
      <c r="E512" s="167">
        <v>25</v>
      </c>
      <c r="F512" s="167">
        <v>18</v>
      </c>
      <c r="G512" s="194">
        <f t="shared" si="18"/>
        <v>0.72</v>
      </c>
      <c r="H512" s="194">
        <f t="shared" si="19"/>
        <v>7.1999999999999994E-4</v>
      </c>
      <c r="I512" s="167">
        <v>437</v>
      </c>
    </row>
    <row r="513" spans="1:10" ht="15" hidden="1">
      <c r="A513">
        <v>64958862</v>
      </c>
      <c r="B513" t="s">
        <v>1290</v>
      </c>
      <c r="C513" s="194" t="s">
        <v>38</v>
      </c>
      <c r="D513" s="194" t="s">
        <v>38</v>
      </c>
      <c r="E513">
        <v>250</v>
      </c>
      <c r="F513">
        <v>879</v>
      </c>
      <c r="G513" s="194">
        <f t="shared" ref="G513:G521" si="20">F513/E513</f>
        <v>3.516</v>
      </c>
      <c r="H513" s="194">
        <f t="shared" ref="H513:H521" si="21">G513/1000</f>
        <v>3.516E-3</v>
      </c>
      <c r="I513">
        <v>170</v>
      </c>
      <c r="J513"/>
    </row>
    <row r="514" spans="1:10" ht="15" hidden="1">
      <c r="A514">
        <v>64960643</v>
      </c>
      <c r="B514" t="s">
        <v>1289</v>
      </c>
      <c r="C514" s="194" t="s">
        <v>38</v>
      </c>
      <c r="D514" s="194" t="s">
        <v>38</v>
      </c>
      <c r="E514">
        <v>250</v>
      </c>
      <c r="F514">
        <v>879</v>
      </c>
      <c r="G514" s="194">
        <f t="shared" si="20"/>
        <v>3.516</v>
      </c>
      <c r="H514" s="194">
        <f t="shared" si="21"/>
        <v>3.516E-3</v>
      </c>
      <c r="I514">
        <v>170</v>
      </c>
      <c r="J514"/>
    </row>
    <row r="515" spans="1:10" ht="15" hidden="1">
      <c r="A515">
        <v>64984156</v>
      </c>
      <c r="B515" t="s">
        <v>1289</v>
      </c>
      <c r="C515" s="194" t="s">
        <v>38</v>
      </c>
      <c r="D515" s="194" t="s">
        <v>38</v>
      </c>
      <c r="E515">
        <v>250</v>
      </c>
      <c r="F515">
        <v>879</v>
      </c>
      <c r="G515" s="194">
        <f t="shared" si="20"/>
        <v>3.516</v>
      </c>
      <c r="H515" s="194">
        <f t="shared" si="21"/>
        <v>3.516E-3</v>
      </c>
      <c r="I515">
        <v>170</v>
      </c>
      <c r="J515"/>
    </row>
    <row r="516" spans="1:10" ht="15" hidden="1">
      <c r="A516">
        <v>65230957</v>
      </c>
      <c r="B516" t="s">
        <v>1293</v>
      </c>
      <c r="C516" s="194" t="s">
        <v>38</v>
      </c>
      <c r="D516" s="194" t="s">
        <v>38</v>
      </c>
      <c r="E516" s="967">
        <v>1000</v>
      </c>
      <c r="F516" s="967">
        <v>3513</v>
      </c>
      <c r="G516" s="194">
        <f t="shared" si="20"/>
        <v>3.5129999999999999</v>
      </c>
      <c r="H516" s="194">
        <f t="shared" si="21"/>
        <v>3.5130000000000001E-3</v>
      </c>
      <c r="I516">
        <v>170</v>
      </c>
      <c r="J516"/>
    </row>
    <row r="517" spans="1:10" ht="15" hidden="1">
      <c r="A517">
        <v>65468644</v>
      </c>
      <c r="B517" t="s">
        <v>1291</v>
      </c>
      <c r="C517" s="194" t="s">
        <v>38</v>
      </c>
      <c r="D517" s="194" t="s">
        <v>38</v>
      </c>
      <c r="E517">
        <v>25</v>
      </c>
      <c r="F517">
        <v>18</v>
      </c>
      <c r="G517" s="194">
        <f t="shared" si="20"/>
        <v>0.72</v>
      </c>
      <c r="H517" s="194">
        <f t="shared" si="21"/>
        <v>7.1999999999999994E-4</v>
      </c>
      <c r="I517">
        <v>437</v>
      </c>
      <c r="J517"/>
    </row>
    <row r="518" spans="1:10" ht="15" hidden="1">
      <c r="A518">
        <v>65498063</v>
      </c>
      <c r="B518" t="s">
        <v>1245</v>
      </c>
      <c r="C518" s="194" t="s">
        <v>21</v>
      </c>
      <c r="D518" s="194" t="s">
        <v>21</v>
      </c>
      <c r="E518">
        <v>200</v>
      </c>
      <c r="F518" s="967">
        <v>1817</v>
      </c>
      <c r="G518" s="194">
        <f t="shared" si="20"/>
        <v>9.0850000000000009</v>
      </c>
      <c r="H518" s="194">
        <f t="shared" si="21"/>
        <v>9.0850000000000011E-3</v>
      </c>
      <c r="I518">
        <v>125</v>
      </c>
      <c r="J518"/>
    </row>
    <row r="519" spans="1:10" ht="15" hidden="1">
      <c r="A519">
        <v>65539504</v>
      </c>
      <c r="B519" t="s">
        <v>1292</v>
      </c>
      <c r="C519" s="194" t="s">
        <v>37</v>
      </c>
      <c r="D519" s="194" t="s">
        <v>37</v>
      </c>
      <c r="E519">
        <v>25</v>
      </c>
      <c r="F519">
        <v>48</v>
      </c>
      <c r="G519" s="194">
        <f t="shared" si="20"/>
        <v>1.92</v>
      </c>
      <c r="H519" s="194">
        <f t="shared" si="21"/>
        <v>1.9199999999999998E-3</v>
      </c>
      <c r="I519">
        <v>210</v>
      </c>
      <c r="J519"/>
    </row>
    <row r="520" spans="1:10" ht="15" hidden="1">
      <c r="A520">
        <v>65540451</v>
      </c>
      <c r="B520" t="s">
        <v>1222</v>
      </c>
      <c r="C520" s="194" t="s">
        <v>27</v>
      </c>
      <c r="D520" s="194" t="s">
        <v>27</v>
      </c>
      <c r="E520">
        <v>5</v>
      </c>
      <c r="F520">
        <v>12</v>
      </c>
      <c r="G520" s="194">
        <f t="shared" si="20"/>
        <v>2.4</v>
      </c>
      <c r="H520" s="194">
        <f t="shared" si="21"/>
        <v>2.3999999999999998E-3</v>
      </c>
      <c r="I520">
        <v>165</v>
      </c>
      <c r="J520"/>
    </row>
    <row r="521" spans="1:10" ht="15" hidden="1">
      <c r="A521">
        <v>65594416</v>
      </c>
      <c r="B521" t="s">
        <v>1241</v>
      </c>
      <c r="C521" s="194" t="s">
        <v>37</v>
      </c>
      <c r="D521" s="194" t="s">
        <v>37</v>
      </c>
      <c r="E521">
        <v>25</v>
      </c>
      <c r="F521">
        <v>24</v>
      </c>
      <c r="G521" s="194">
        <f t="shared" si="20"/>
        <v>0.96</v>
      </c>
      <c r="H521" s="194">
        <f t="shared" si="21"/>
        <v>9.5999999999999992E-4</v>
      </c>
      <c r="I521">
        <v>432</v>
      </c>
      <c r="J521"/>
    </row>
    <row r="522" spans="1:10" ht="15" hidden="1">
      <c r="A522" s="284">
        <v>64775322</v>
      </c>
      <c r="B522" s="284" t="s">
        <v>1037</v>
      </c>
      <c r="C522" s="932" t="s">
        <v>21</v>
      </c>
      <c r="D522" s="932" t="s">
        <v>21</v>
      </c>
      <c r="E522" s="167">
        <v>200</v>
      </c>
      <c r="F522" s="957">
        <v>1817</v>
      </c>
      <c r="G522" s="194">
        <f t="shared" ref="G522:G527" si="22">F522/E522</f>
        <v>9.0850000000000009</v>
      </c>
      <c r="H522" s="194">
        <f t="shared" ref="H522:H527" si="23">G522/1000</f>
        <v>9.0850000000000011E-3</v>
      </c>
      <c r="I522" s="935">
        <v>125</v>
      </c>
    </row>
    <row r="523" spans="1:10" ht="15" hidden="1">
      <c r="A523" s="284">
        <v>68728326</v>
      </c>
      <c r="B523" s="284" t="s">
        <v>1295</v>
      </c>
      <c r="C523" s="932" t="s">
        <v>41</v>
      </c>
      <c r="D523" s="932" t="s">
        <v>41</v>
      </c>
      <c r="E523" s="167">
        <v>125</v>
      </c>
      <c r="F523" s="167">
        <v>444</v>
      </c>
      <c r="G523" s="194">
        <f t="shared" si="22"/>
        <v>3.552</v>
      </c>
      <c r="H523" s="194">
        <f t="shared" si="23"/>
        <v>3.552E-3</v>
      </c>
      <c r="I523" s="935">
        <v>255</v>
      </c>
    </row>
    <row r="524" spans="1:10" ht="15" hidden="1">
      <c r="A524" s="284">
        <v>68896056</v>
      </c>
      <c r="B524" s="284" t="s">
        <v>1297</v>
      </c>
      <c r="C524" s="932" t="s">
        <v>23</v>
      </c>
      <c r="D524" s="932" t="s">
        <v>23</v>
      </c>
      <c r="E524" s="167">
        <v>25</v>
      </c>
      <c r="F524" s="167">
        <v>213</v>
      </c>
      <c r="G524" s="194">
        <f t="shared" si="22"/>
        <v>8.52</v>
      </c>
      <c r="H524" s="194">
        <f t="shared" si="23"/>
        <v>8.5199999999999998E-3</v>
      </c>
      <c r="I524" s="935">
        <v>176</v>
      </c>
    </row>
    <row r="525" spans="1:10" ht="15" hidden="1">
      <c r="A525" s="1003">
        <v>69555093</v>
      </c>
      <c r="B525" s="1003" t="s">
        <v>1294</v>
      </c>
      <c r="C525" t="s">
        <v>37</v>
      </c>
      <c r="D525" t="s">
        <v>37</v>
      </c>
      <c r="E525" s="167">
        <v>50</v>
      </c>
      <c r="F525" s="167">
        <v>99</v>
      </c>
      <c r="G525" s="194">
        <f t="shared" si="22"/>
        <v>1.98</v>
      </c>
      <c r="H525" s="194">
        <f t="shared" si="23"/>
        <v>1.98E-3</v>
      </c>
      <c r="I525" s="935">
        <v>176</v>
      </c>
    </row>
    <row r="526" spans="1:10" ht="15" hidden="1">
      <c r="A526" s="284">
        <v>69779478</v>
      </c>
      <c r="B526" s="284" t="s">
        <v>1296</v>
      </c>
      <c r="C526" s="932" t="s">
        <v>32</v>
      </c>
      <c r="D526" s="932" t="s">
        <v>32</v>
      </c>
      <c r="E526" s="167">
        <v>500</v>
      </c>
      <c r="F526" s="957">
        <v>1171</v>
      </c>
      <c r="G526" s="194">
        <f t="shared" si="22"/>
        <v>2.3420000000000001</v>
      </c>
      <c r="H526" s="194">
        <f t="shared" si="23"/>
        <v>2.3419999999999999E-3</v>
      </c>
      <c r="I526" s="935">
        <v>184</v>
      </c>
    </row>
    <row r="527" spans="1:10" ht="15" hidden="1">
      <c r="A527" s="284">
        <v>69792956</v>
      </c>
      <c r="B527" s="284" t="s">
        <v>1298</v>
      </c>
      <c r="C527" s="932" t="s">
        <v>23</v>
      </c>
      <c r="D527" s="932" t="s">
        <v>23</v>
      </c>
      <c r="E527" s="167">
        <v>25</v>
      </c>
      <c r="F527" s="167">
        <v>213</v>
      </c>
      <c r="G527" s="194">
        <f t="shared" si="22"/>
        <v>8.52</v>
      </c>
      <c r="H527" s="194">
        <f t="shared" si="23"/>
        <v>8.5199999999999998E-3</v>
      </c>
      <c r="I527" s="935">
        <v>176</v>
      </c>
    </row>
    <row r="528" spans="1:10" ht="15" hidden="1">
      <c r="A528" s="489">
        <v>64360552</v>
      </c>
      <c r="B528" s="489" t="s">
        <v>1336</v>
      </c>
      <c r="C528" s="932" t="s">
        <v>23</v>
      </c>
      <c r="D528" s="932" t="s">
        <v>23</v>
      </c>
      <c r="E528" s="167">
        <v>50</v>
      </c>
      <c r="F528" s="167">
        <v>423</v>
      </c>
      <c r="G528" s="194">
        <f t="shared" ref="G528:G532" si="24">F528/E528</f>
        <v>8.4600000000000009</v>
      </c>
      <c r="H528" s="194">
        <f t="shared" ref="H528:H532" si="25">G528/1000</f>
        <v>8.4600000000000005E-3</v>
      </c>
      <c r="I528" s="167">
        <v>168</v>
      </c>
    </row>
    <row r="529" spans="1:9" ht="15" hidden="1">
      <c r="A529" s="489">
        <v>64360553</v>
      </c>
      <c r="B529" s="489" t="s">
        <v>1338</v>
      </c>
      <c r="C529" s="932" t="s">
        <v>23</v>
      </c>
      <c r="D529" s="932" t="s">
        <v>23</v>
      </c>
      <c r="E529" s="167">
        <v>50</v>
      </c>
      <c r="F529" s="167">
        <v>423</v>
      </c>
      <c r="G529" s="194">
        <f t="shared" si="24"/>
        <v>8.4600000000000009</v>
      </c>
      <c r="H529" s="194">
        <f t="shared" si="25"/>
        <v>8.4600000000000005E-3</v>
      </c>
      <c r="I529" s="167">
        <v>168</v>
      </c>
    </row>
    <row r="530" spans="1:9" ht="15" hidden="1">
      <c r="A530" s="489">
        <v>64379123</v>
      </c>
      <c r="B530" s="489" t="s">
        <v>633</v>
      </c>
      <c r="C530" s="932" t="s">
        <v>32</v>
      </c>
      <c r="D530" s="932" t="s">
        <v>32</v>
      </c>
      <c r="E530" s="167">
        <v>500</v>
      </c>
      <c r="F530" s="957">
        <v>1597</v>
      </c>
      <c r="G530" s="194">
        <f t="shared" si="24"/>
        <v>3.194</v>
      </c>
      <c r="H530" s="194">
        <f t="shared" si="25"/>
        <v>3.1939999999999998E-3</v>
      </c>
      <c r="I530" s="167">
        <v>322</v>
      </c>
    </row>
    <row r="531" spans="1:9" ht="15" hidden="1">
      <c r="A531" s="489">
        <v>64380012</v>
      </c>
      <c r="B531" s="489" t="s">
        <v>561</v>
      </c>
      <c r="C531" s="932" t="s">
        <v>32</v>
      </c>
      <c r="D531" s="932" t="s">
        <v>32</v>
      </c>
      <c r="E531" s="167">
        <v>125</v>
      </c>
      <c r="F531" s="167">
        <v>489</v>
      </c>
      <c r="G531" s="194">
        <f t="shared" si="24"/>
        <v>3.9119999999999999</v>
      </c>
      <c r="H531" s="194">
        <f t="shared" si="25"/>
        <v>3.9119999999999997E-3</v>
      </c>
      <c r="I531" s="167">
        <v>276</v>
      </c>
    </row>
    <row r="532" spans="1:9" ht="15" hidden="1">
      <c r="A532" s="489">
        <v>64380013</v>
      </c>
      <c r="B532" s="489" t="s">
        <v>556</v>
      </c>
      <c r="C532" s="932" t="s">
        <v>32</v>
      </c>
      <c r="D532" s="932" t="s">
        <v>32</v>
      </c>
      <c r="E532" s="167">
        <v>125</v>
      </c>
      <c r="F532" s="167">
        <v>294</v>
      </c>
      <c r="G532" s="194">
        <f t="shared" si="24"/>
        <v>2.3519999999999999</v>
      </c>
      <c r="H532" s="194">
        <f t="shared" si="25"/>
        <v>2.3519999999999999E-3</v>
      </c>
      <c r="I532" s="167">
        <v>276</v>
      </c>
    </row>
    <row r="533" spans="1:9" ht="15" hidden="1">
      <c r="A533" s="489">
        <v>62712051</v>
      </c>
      <c r="B533" s="489" t="s">
        <v>353</v>
      </c>
      <c r="C533" s="932" t="s">
        <v>23</v>
      </c>
      <c r="D533" s="932" t="s">
        <v>23</v>
      </c>
      <c r="E533" s="167">
        <v>25</v>
      </c>
      <c r="F533" s="167">
        <v>213</v>
      </c>
      <c r="G533" s="194">
        <f t="shared" ref="G533" si="26">F533/E533</f>
        <v>8.52</v>
      </c>
      <c r="H533" s="194">
        <f t="shared" ref="H533" si="27">G533/1000</f>
        <v>8.5199999999999998E-3</v>
      </c>
      <c r="I533" s="167">
        <v>156</v>
      </c>
    </row>
    <row r="534" spans="1:9" hidden="1">
      <c r="A534" s="930"/>
      <c r="B534" s="931"/>
      <c r="G534" s="933"/>
      <c r="H534" s="934"/>
    </row>
    <row r="535" spans="1:9" hidden="1">
      <c r="A535" s="930"/>
      <c r="B535" s="931"/>
      <c r="C535" s="938"/>
      <c r="G535" s="933"/>
      <c r="H535" s="934"/>
    </row>
    <row r="536" spans="1:9" hidden="1">
      <c r="A536" s="930"/>
      <c r="B536" s="931"/>
      <c r="G536" s="933"/>
      <c r="H536" s="934"/>
    </row>
    <row r="537" spans="1:9" hidden="1">
      <c r="A537" s="930"/>
      <c r="B537" s="931"/>
      <c r="G537" s="933"/>
      <c r="H537" s="934"/>
    </row>
    <row r="538" spans="1:9" hidden="1">
      <c r="A538" s="930"/>
      <c r="B538" s="931"/>
      <c r="G538" s="933"/>
      <c r="H538" s="934"/>
    </row>
    <row r="539" spans="1:9" hidden="1">
      <c r="A539" s="930"/>
      <c r="B539" s="931"/>
      <c r="G539" s="933"/>
      <c r="H539" s="934"/>
    </row>
    <row r="540" spans="1:9" hidden="1">
      <c r="A540" s="930"/>
      <c r="B540" s="931"/>
      <c r="C540" s="938"/>
      <c r="G540" s="933"/>
      <c r="H540" s="934"/>
    </row>
    <row r="541" spans="1:9" hidden="1">
      <c r="A541" s="930"/>
      <c r="B541" s="931"/>
      <c r="G541" s="933"/>
      <c r="H541" s="934"/>
    </row>
    <row r="542" spans="1:9" hidden="1">
      <c r="A542" s="930"/>
      <c r="B542" s="931"/>
      <c r="G542" s="933"/>
      <c r="H542" s="934"/>
    </row>
    <row r="543" spans="1:9" hidden="1">
      <c r="A543" s="930"/>
      <c r="B543" s="931"/>
      <c r="G543" s="933"/>
      <c r="H543" s="934"/>
    </row>
    <row r="544" spans="1:9" hidden="1">
      <c r="A544" s="930"/>
      <c r="B544" s="931"/>
      <c r="G544" s="933"/>
      <c r="H544" s="934"/>
    </row>
    <row r="545" spans="1:8" hidden="1">
      <c r="A545" s="930"/>
      <c r="B545" s="931"/>
      <c r="C545" s="938"/>
      <c r="G545" s="933"/>
      <c r="H545" s="934"/>
    </row>
    <row r="546" spans="1:8" hidden="1">
      <c r="G546" s="933"/>
      <c r="H546" s="934"/>
    </row>
    <row r="547" spans="1:8" hidden="1">
      <c r="A547" s="930"/>
      <c r="B547" s="931"/>
      <c r="G547" s="933"/>
      <c r="H547" s="934"/>
    </row>
    <row r="548" spans="1:8" hidden="1">
      <c r="A548" s="930"/>
      <c r="B548" s="931"/>
      <c r="G548" s="933"/>
      <c r="H548" s="934"/>
    </row>
    <row r="549" spans="1:8" hidden="1">
      <c r="A549" s="930"/>
      <c r="B549" s="931"/>
      <c r="C549" s="938"/>
      <c r="D549" s="932"/>
      <c r="G549" s="933"/>
      <c r="H549" s="934"/>
    </row>
    <row r="550" spans="1:8" hidden="1">
      <c r="A550" s="942"/>
      <c r="B550" s="941"/>
      <c r="C550" s="938"/>
      <c r="D550" s="932"/>
      <c r="G550" s="933"/>
      <c r="H550" s="934"/>
    </row>
    <row r="551" spans="1:8" hidden="1">
      <c r="D551" s="932"/>
      <c r="G551" s="933"/>
      <c r="H551" s="934"/>
    </row>
    <row r="552" spans="1:8" hidden="1">
      <c r="D552" s="932"/>
      <c r="G552" s="933"/>
      <c r="H552" s="934"/>
    </row>
    <row r="553" spans="1:8" hidden="1">
      <c r="D553" s="932"/>
      <c r="G553" s="933"/>
      <c r="H553" s="934"/>
    </row>
    <row r="554" spans="1:8" hidden="1">
      <c r="D554" s="932"/>
      <c r="G554" s="933"/>
      <c r="H554" s="934"/>
    </row>
    <row r="555" spans="1:8" hidden="1">
      <c r="D555" s="932"/>
      <c r="G555" s="933"/>
      <c r="H555" s="934"/>
    </row>
    <row r="556" spans="1:8" hidden="1">
      <c r="A556" s="930"/>
      <c r="B556" s="931"/>
      <c r="C556" s="938"/>
      <c r="D556" s="947"/>
      <c r="G556" s="933"/>
      <c r="H556" s="934"/>
    </row>
    <row r="557" spans="1:8" hidden="1">
      <c r="D557" s="947"/>
      <c r="G557" s="933"/>
      <c r="H557" s="934"/>
    </row>
    <row r="558" spans="1:8" hidden="1">
      <c r="A558" s="930"/>
      <c r="B558" s="931"/>
      <c r="C558" s="938"/>
      <c r="D558" s="947"/>
      <c r="G558" s="933"/>
      <c r="H558" s="934"/>
    </row>
    <row r="559" spans="1:8" hidden="1">
      <c r="A559" s="930"/>
      <c r="B559" s="931"/>
      <c r="C559" s="938"/>
      <c r="D559" s="947"/>
      <c r="G559" s="933"/>
      <c r="H559" s="934"/>
    </row>
    <row r="560" spans="1:8" hidden="1">
      <c r="D560" s="947"/>
      <c r="G560" s="933"/>
      <c r="H560" s="934"/>
    </row>
    <row r="561" spans="1:8" hidden="1">
      <c r="A561" s="942"/>
      <c r="B561" s="931"/>
      <c r="D561" s="932"/>
      <c r="G561" s="933"/>
      <c r="H561" s="934"/>
    </row>
    <row r="562" spans="1:8" hidden="1">
      <c r="D562" s="932"/>
      <c r="G562" s="933"/>
      <c r="H562" s="934"/>
    </row>
    <row r="563" spans="1:8" hidden="1">
      <c r="A563" s="930"/>
      <c r="B563" s="931"/>
      <c r="G563" s="933"/>
      <c r="H563" s="934"/>
    </row>
    <row r="564" spans="1:8" hidden="1">
      <c r="A564" s="942"/>
      <c r="B564" s="941"/>
      <c r="G564" s="933"/>
      <c r="H564" s="934"/>
    </row>
    <row r="565" spans="1:8" hidden="1">
      <c r="A565" s="930"/>
      <c r="B565" s="931"/>
      <c r="G565" s="933"/>
      <c r="H565" s="934"/>
    </row>
    <row r="566" spans="1:8" hidden="1">
      <c r="A566" s="930"/>
      <c r="B566" s="931"/>
      <c r="G566" s="933"/>
      <c r="H566" s="934"/>
    </row>
    <row r="567" spans="1:8" hidden="1">
      <c r="A567" s="942"/>
      <c r="B567" s="941"/>
      <c r="G567" s="933"/>
      <c r="H567" s="934"/>
    </row>
    <row r="568" spans="1:8" hidden="1">
      <c r="A568" s="930"/>
      <c r="B568" s="931"/>
      <c r="G568" s="933"/>
      <c r="H568" s="934"/>
    </row>
    <row r="569" spans="1:8" hidden="1">
      <c r="A569" s="939"/>
      <c r="B569" s="940"/>
      <c r="G569" s="933"/>
      <c r="H569" s="934"/>
    </row>
    <row r="570" spans="1:8" hidden="1">
      <c r="A570" s="930"/>
      <c r="B570" s="931"/>
      <c r="G570" s="933"/>
      <c r="H570" s="934"/>
    </row>
    <row r="571" spans="1:8" hidden="1">
      <c r="D571" s="932"/>
      <c r="G571" s="933"/>
      <c r="H571" s="934"/>
    </row>
    <row r="572" spans="1:8" hidden="1">
      <c r="A572" s="930"/>
      <c r="B572" s="931"/>
      <c r="C572" s="938"/>
      <c r="D572" s="932"/>
      <c r="G572" s="933"/>
      <c r="H572" s="934"/>
    </row>
    <row r="573" spans="1:8" hidden="1">
      <c r="A573" s="939"/>
      <c r="B573" s="940"/>
      <c r="C573" s="938"/>
      <c r="D573" s="932"/>
      <c r="G573" s="933"/>
      <c r="H573" s="934"/>
    </row>
    <row r="574" spans="1:8" hidden="1">
      <c r="A574" s="930"/>
      <c r="B574" s="945"/>
      <c r="D574" s="932"/>
      <c r="G574" s="933"/>
      <c r="H574" s="934"/>
    </row>
    <row r="575" spans="1:8" hidden="1">
      <c r="A575" s="930"/>
      <c r="B575" s="945"/>
      <c r="D575" s="932"/>
      <c r="G575" s="933"/>
      <c r="H575" s="934"/>
    </row>
    <row r="576" spans="1:8" hidden="1">
      <c r="A576" s="942"/>
      <c r="B576" s="941"/>
      <c r="D576" s="932"/>
      <c r="G576" s="933"/>
      <c r="H576" s="934"/>
    </row>
    <row r="577" spans="1:8" hidden="1">
      <c r="D577" s="932"/>
      <c r="G577" s="933"/>
      <c r="H577" s="934"/>
    </row>
    <row r="578" spans="1:8" hidden="1">
      <c r="D578" s="932"/>
      <c r="G578" s="933"/>
      <c r="H578" s="934"/>
    </row>
    <row r="579" spans="1:8" hidden="1">
      <c r="A579" s="930"/>
      <c r="B579" s="945"/>
      <c r="D579" s="932"/>
      <c r="G579" s="933"/>
      <c r="H579" s="934"/>
    </row>
    <row r="580" spans="1:8" hidden="1">
      <c r="A580" s="930"/>
      <c r="B580" s="945"/>
      <c r="D580" s="932"/>
      <c r="G580" s="933"/>
      <c r="H580" s="934"/>
    </row>
    <row r="581" spans="1:8" hidden="1">
      <c r="A581" s="930"/>
      <c r="B581" s="931"/>
      <c r="D581" s="932"/>
      <c r="G581" s="933"/>
      <c r="H581" s="934"/>
    </row>
    <row r="582" spans="1:8" hidden="1">
      <c r="A582" s="930"/>
      <c r="B582" s="931"/>
      <c r="C582" s="938"/>
      <c r="D582" s="932"/>
      <c r="G582" s="933"/>
      <c r="H582" s="934"/>
    </row>
    <row r="583" spans="1:8" hidden="1">
      <c r="A583" s="942"/>
      <c r="B583" s="941"/>
      <c r="D583" s="932"/>
      <c r="G583" s="933"/>
      <c r="H583" s="934"/>
    </row>
    <row r="584" spans="1:8" hidden="1">
      <c r="A584" s="930"/>
      <c r="B584" s="931"/>
      <c r="D584" s="932"/>
      <c r="G584" s="933"/>
      <c r="H584" s="934"/>
    </row>
    <row r="585" spans="1:8" hidden="1">
      <c r="A585" s="930"/>
      <c r="B585" s="931"/>
      <c r="D585" s="932"/>
      <c r="G585" s="933"/>
      <c r="H585" s="934"/>
    </row>
    <row r="586" spans="1:8" hidden="1">
      <c r="A586" s="930"/>
      <c r="B586" s="945"/>
      <c r="D586" s="932"/>
      <c r="G586" s="933"/>
      <c r="H586" s="934"/>
    </row>
    <row r="587" spans="1:8" hidden="1">
      <c r="A587" s="930"/>
      <c r="B587" s="931"/>
      <c r="D587" s="932"/>
      <c r="G587" s="933"/>
      <c r="H587" s="934"/>
    </row>
    <row r="588" spans="1:8" hidden="1">
      <c r="A588" s="930"/>
      <c r="B588" s="931"/>
      <c r="D588" s="932"/>
      <c r="G588" s="933"/>
      <c r="H588" s="934"/>
    </row>
    <row r="589" spans="1:8" hidden="1">
      <c r="A589" s="930"/>
      <c r="B589" s="931"/>
      <c r="D589" s="932"/>
      <c r="G589" s="933"/>
      <c r="H589" s="934"/>
    </row>
    <row r="590" spans="1:8" hidden="1">
      <c r="A590" s="930"/>
      <c r="B590" s="945"/>
      <c r="D590" s="932"/>
      <c r="G590" s="933"/>
      <c r="H590" s="934"/>
    </row>
    <row r="591" spans="1:8" hidden="1">
      <c r="A591" s="930"/>
      <c r="B591" s="931"/>
      <c r="D591" s="932"/>
      <c r="G591" s="933"/>
      <c r="H591" s="934"/>
    </row>
    <row r="592" spans="1:8" hidden="1">
      <c r="A592" s="930"/>
      <c r="B592" s="931"/>
      <c r="D592" s="932"/>
      <c r="G592" s="933"/>
      <c r="H592" s="934"/>
    </row>
    <row r="593" spans="1:8" hidden="1">
      <c r="D593" s="932"/>
      <c r="G593" s="933"/>
      <c r="H593" s="934"/>
    </row>
    <row r="594" spans="1:8" hidden="1">
      <c r="A594" s="930"/>
      <c r="B594" s="931"/>
      <c r="D594" s="932"/>
      <c r="G594" s="933"/>
      <c r="H594" s="934"/>
    </row>
    <row r="595" spans="1:8" hidden="1">
      <c r="A595" s="930"/>
      <c r="B595" s="945"/>
      <c r="D595" s="932"/>
      <c r="G595" s="933"/>
      <c r="H595" s="934"/>
    </row>
    <row r="596" spans="1:8" hidden="1">
      <c r="D596" s="932"/>
      <c r="G596" s="933"/>
      <c r="H596" s="934"/>
    </row>
    <row r="597" spans="1:8" hidden="1">
      <c r="A597" s="930"/>
      <c r="B597" s="941"/>
      <c r="C597" s="938"/>
      <c r="G597" s="933"/>
      <c r="H597" s="934"/>
    </row>
    <row r="598" spans="1:8" hidden="1">
      <c r="D598" s="932"/>
      <c r="G598" s="933"/>
      <c r="H598" s="934"/>
    </row>
    <row r="599" spans="1:8" hidden="1">
      <c r="A599" s="930"/>
      <c r="B599" s="945"/>
      <c r="D599" s="932"/>
      <c r="G599" s="933"/>
      <c r="H599" s="934"/>
    </row>
    <row r="600" spans="1:8" hidden="1">
      <c r="A600" s="930"/>
      <c r="B600" s="931"/>
      <c r="D600" s="932"/>
      <c r="G600" s="933"/>
      <c r="H600" s="934"/>
    </row>
    <row r="601" spans="1:8" hidden="1">
      <c r="A601" s="930"/>
      <c r="B601" s="931"/>
      <c r="C601" s="938"/>
      <c r="D601" s="932"/>
      <c r="G601" s="933"/>
      <c r="H601" s="934"/>
    </row>
    <row r="602" spans="1:8" hidden="1">
      <c r="A602" s="930"/>
      <c r="B602" s="931"/>
      <c r="C602" s="938"/>
      <c r="D602" s="932"/>
      <c r="G602" s="933"/>
      <c r="H602" s="934"/>
    </row>
    <row r="603" spans="1:8" hidden="1">
      <c r="A603" s="930"/>
      <c r="B603" s="931"/>
      <c r="D603" s="932"/>
      <c r="G603" s="933"/>
      <c r="H603" s="934"/>
    </row>
    <row r="604" spans="1:8" hidden="1">
      <c r="A604" s="930"/>
      <c r="B604" s="931"/>
      <c r="D604" s="932"/>
      <c r="G604" s="933"/>
      <c r="H604" s="934"/>
    </row>
    <row r="605" spans="1:8" hidden="1">
      <c r="A605" s="930"/>
      <c r="B605" s="931"/>
      <c r="D605" s="932"/>
      <c r="G605" s="933"/>
      <c r="H605" s="934"/>
    </row>
    <row r="606" spans="1:8" hidden="1">
      <c r="D606" s="932"/>
      <c r="G606" s="933"/>
      <c r="H606" s="934"/>
    </row>
    <row r="607" spans="1:8" hidden="1">
      <c r="D607" s="932"/>
      <c r="G607" s="933"/>
      <c r="H607" s="934"/>
    </row>
    <row r="608" spans="1:8" hidden="1">
      <c r="A608" s="939"/>
      <c r="B608" s="941"/>
      <c r="D608" s="932"/>
      <c r="G608" s="933"/>
      <c r="H608" s="934"/>
    </row>
    <row r="609" spans="1:8" hidden="1">
      <c r="A609" s="930"/>
      <c r="B609" s="945"/>
      <c r="D609" s="932"/>
      <c r="G609" s="933"/>
      <c r="H609" s="934"/>
    </row>
    <row r="610" spans="1:8" hidden="1">
      <c r="D610" s="932"/>
      <c r="G610" s="933"/>
      <c r="H610" s="934"/>
    </row>
    <row r="611" spans="1:8" hidden="1">
      <c r="A611" s="930"/>
      <c r="B611" s="931"/>
      <c r="C611" s="938"/>
      <c r="D611" s="932"/>
      <c r="G611" s="933"/>
      <c r="H611" s="934"/>
    </row>
    <row r="612" spans="1:8" hidden="1">
      <c r="A612" s="930"/>
      <c r="B612" s="931"/>
      <c r="C612" s="938"/>
      <c r="D612" s="932"/>
      <c r="G612" s="933"/>
      <c r="H612" s="934"/>
    </row>
    <row r="613" spans="1:8" hidden="1">
      <c r="A613" s="930"/>
      <c r="B613" s="931"/>
      <c r="C613" s="938"/>
      <c r="D613" s="932"/>
      <c r="G613" s="933"/>
      <c r="H613" s="934"/>
    </row>
    <row r="614" spans="1:8" hidden="1">
      <c r="A614" s="930"/>
      <c r="B614" s="931"/>
      <c r="C614" s="938"/>
      <c r="D614" s="932"/>
      <c r="G614" s="933"/>
      <c r="H614" s="934"/>
    </row>
    <row r="615" spans="1:8" hidden="1">
      <c r="A615" s="930"/>
      <c r="B615" s="931"/>
      <c r="C615" s="938"/>
      <c r="D615" s="932"/>
      <c r="G615" s="933"/>
      <c r="H615" s="934"/>
    </row>
    <row r="616" spans="1:8" hidden="1">
      <c r="D616" s="932"/>
      <c r="G616" s="933"/>
      <c r="H616" s="934"/>
    </row>
    <row r="617" spans="1:8" hidden="1">
      <c r="D617" s="932"/>
      <c r="G617" s="933"/>
      <c r="H617" s="934"/>
    </row>
    <row r="618" spans="1:8" hidden="1">
      <c r="D618" s="932"/>
      <c r="G618" s="933"/>
      <c r="H618" s="934"/>
    </row>
    <row r="619" spans="1:8" hidden="1">
      <c r="A619" s="930"/>
      <c r="B619" s="931"/>
      <c r="D619" s="932"/>
      <c r="G619" s="933"/>
      <c r="H619" s="934"/>
    </row>
    <row r="620" spans="1:8" hidden="1">
      <c r="D620" s="932"/>
      <c r="G620" s="933"/>
      <c r="H620" s="934"/>
    </row>
    <row r="621" spans="1:8" hidden="1">
      <c r="D621" s="932"/>
      <c r="G621" s="933"/>
      <c r="H621" s="934"/>
    </row>
    <row r="622" spans="1:8" hidden="1">
      <c r="D622" s="932"/>
      <c r="G622" s="933"/>
      <c r="H622" s="934"/>
    </row>
    <row r="623" spans="1:8" hidden="1">
      <c r="D623" s="932"/>
      <c r="G623" s="933"/>
      <c r="H623" s="934"/>
    </row>
    <row r="624" spans="1:8" hidden="1">
      <c r="D624" s="932"/>
      <c r="G624" s="933"/>
      <c r="H624" s="934"/>
    </row>
    <row r="625" spans="1:8" hidden="1">
      <c r="A625" s="943"/>
      <c r="B625" s="946"/>
      <c r="D625" s="932"/>
      <c r="G625" s="933"/>
      <c r="H625" s="934"/>
    </row>
    <row r="626" spans="1:8" hidden="1">
      <c r="D626" s="932"/>
      <c r="G626" s="933"/>
      <c r="H626" s="934"/>
    </row>
    <row r="627" spans="1:8" hidden="1">
      <c r="D627" s="932"/>
      <c r="G627" s="933"/>
      <c r="H627" s="934"/>
    </row>
    <row r="628" spans="1:8" hidden="1">
      <c r="D628" s="932"/>
      <c r="G628" s="933"/>
      <c r="H628" s="934"/>
    </row>
    <row r="629" spans="1:8" hidden="1">
      <c r="D629" s="932"/>
      <c r="G629" s="933"/>
      <c r="H629" s="934"/>
    </row>
    <row r="630" spans="1:8" hidden="1">
      <c r="D630" s="932"/>
      <c r="G630" s="933"/>
      <c r="H630" s="934"/>
    </row>
    <row r="631" spans="1:8" hidden="1">
      <c r="D631" s="932"/>
      <c r="G631" s="933"/>
      <c r="H631" s="934"/>
    </row>
    <row r="632" spans="1:8" hidden="1">
      <c r="D632" s="932"/>
      <c r="G632" s="933"/>
      <c r="H632" s="934"/>
    </row>
    <row r="633" spans="1:8" hidden="1">
      <c r="D633" s="932"/>
      <c r="G633" s="933"/>
      <c r="H633" s="934"/>
    </row>
    <row r="634" spans="1:8" hidden="1">
      <c r="D634" s="932"/>
      <c r="G634" s="933"/>
      <c r="H634" s="934"/>
    </row>
    <row r="635" spans="1:8" hidden="1">
      <c r="D635" s="932"/>
      <c r="G635" s="933"/>
      <c r="H635" s="934"/>
    </row>
    <row r="636" spans="1:8" hidden="1">
      <c r="D636" s="932"/>
      <c r="G636" s="933"/>
      <c r="H636" s="934"/>
    </row>
    <row r="637" spans="1:8" hidden="1">
      <c r="D637" s="932"/>
      <c r="G637" s="933"/>
      <c r="H637" s="934"/>
    </row>
    <row r="638" spans="1:8" hidden="1">
      <c r="D638" s="932"/>
      <c r="G638" s="933"/>
      <c r="H638" s="934"/>
    </row>
    <row r="639" spans="1:8" hidden="1">
      <c r="D639" s="932"/>
      <c r="G639" s="933"/>
      <c r="H639" s="934"/>
    </row>
    <row r="640" spans="1:8" hidden="1">
      <c r="D640" s="932"/>
      <c r="G640" s="933"/>
      <c r="H640" s="934"/>
    </row>
    <row r="641" spans="4:8" hidden="1">
      <c r="D641" s="932"/>
      <c r="G641" s="933"/>
      <c r="H641" s="934"/>
    </row>
    <row r="642" spans="4:8" hidden="1">
      <c r="D642" s="932"/>
      <c r="G642" s="933"/>
      <c r="H642" s="934"/>
    </row>
    <row r="643" spans="4:8" hidden="1">
      <c r="D643" s="932"/>
      <c r="G643" s="933"/>
      <c r="H643" s="934"/>
    </row>
    <row r="644" spans="4:8" hidden="1">
      <c r="D644" s="932"/>
      <c r="G644" s="933"/>
      <c r="H644" s="934"/>
    </row>
    <row r="645" spans="4:8" hidden="1">
      <c r="D645" s="932"/>
      <c r="G645" s="933"/>
      <c r="H645" s="934"/>
    </row>
    <row r="646" spans="4:8" hidden="1">
      <c r="D646" s="932"/>
      <c r="G646" s="933"/>
      <c r="H646" s="934"/>
    </row>
    <row r="647" spans="4:8" hidden="1">
      <c r="D647" s="932"/>
      <c r="G647" s="933"/>
      <c r="H647" s="934"/>
    </row>
    <row r="648" spans="4:8" hidden="1">
      <c r="D648" s="932"/>
      <c r="G648" s="933"/>
      <c r="H648" s="934"/>
    </row>
    <row r="649" spans="4:8" hidden="1">
      <c r="D649" s="932"/>
      <c r="G649" s="933"/>
      <c r="H649" s="934"/>
    </row>
    <row r="650" spans="4:8" hidden="1">
      <c r="D650" s="932"/>
      <c r="G650" s="933"/>
      <c r="H650" s="934"/>
    </row>
    <row r="651" spans="4:8" hidden="1">
      <c r="D651" s="932"/>
      <c r="G651" s="933"/>
      <c r="H651" s="934"/>
    </row>
    <row r="652" spans="4:8" hidden="1">
      <c r="D652" s="932"/>
      <c r="G652" s="933"/>
      <c r="H652" s="934"/>
    </row>
    <row r="653" spans="4:8" hidden="1">
      <c r="D653" s="932"/>
      <c r="G653" s="933"/>
      <c r="H653" s="934"/>
    </row>
    <row r="654" spans="4:8" hidden="1">
      <c r="D654" s="932"/>
      <c r="G654" s="933"/>
      <c r="H654" s="934"/>
    </row>
    <row r="655" spans="4:8" hidden="1">
      <c r="D655" s="932"/>
      <c r="G655" s="933"/>
      <c r="H655" s="934"/>
    </row>
    <row r="656" spans="4:8" hidden="1">
      <c r="D656" s="932"/>
      <c r="G656" s="933"/>
      <c r="H656" s="934"/>
    </row>
    <row r="657" spans="1:8" hidden="1">
      <c r="D657" s="932"/>
      <c r="G657" s="933"/>
      <c r="H657" s="934"/>
    </row>
    <row r="658" spans="1:8" hidden="1">
      <c r="D658" s="932"/>
      <c r="G658" s="933"/>
      <c r="H658" s="934"/>
    </row>
    <row r="659" spans="1:8" hidden="1">
      <c r="D659" s="932"/>
      <c r="G659" s="933"/>
      <c r="H659" s="934"/>
    </row>
    <row r="660" spans="1:8" hidden="1">
      <c r="D660" s="932"/>
      <c r="G660" s="933"/>
      <c r="H660" s="934"/>
    </row>
    <row r="661" spans="1:8" hidden="1">
      <c r="D661" s="932"/>
      <c r="G661" s="933"/>
      <c r="H661" s="934"/>
    </row>
    <row r="662" spans="1:8" hidden="1">
      <c r="D662" s="932"/>
      <c r="G662" s="933"/>
      <c r="H662" s="934"/>
    </row>
    <row r="663" spans="1:8" hidden="1">
      <c r="D663" s="932"/>
      <c r="G663" s="933"/>
      <c r="H663" s="934"/>
    </row>
    <row r="664" spans="1:8" hidden="1">
      <c r="D664" s="932"/>
      <c r="G664" s="933"/>
      <c r="H664" s="934"/>
    </row>
    <row r="665" spans="1:8" hidden="1">
      <c r="D665" s="932"/>
      <c r="G665" s="933"/>
      <c r="H665" s="934"/>
    </row>
    <row r="666" spans="1:8" hidden="1">
      <c r="D666" s="932"/>
      <c r="G666" s="933"/>
      <c r="H666" s="934"/>
    </row>
    <row r="667" spans="1:8" hidden="1">
      <c r="D667" s="932"/>
      <c r="G667" s="933"/>
      <c r="H667" s="934"/>
    </row>
    <row r="668" spans="1:8" hidden="1">
      <c r="D668" s="932"/>
      <c r="G668" s="933"/>
      <c r="H668" s="934"/>
    </row>
    <row r="669" spans="1:8" hidden="1">
      <c r="A669" s="930"/>
      <c r="B669" s="931"/>
      <c r="D669" s="932"/>
      <c r="G669" s="933"/>
      <c r="H669" s="934"/>
    </row>
    <row r="670" spans="1:8" hidden="1">
      <c r="D670" s="932"/>
      <c r="G670" s="933"/>
      <c r="H670" s="934"/>
    </row>
    <row r="671" spans="1:8" hidden="1">
      <c r="D671" s="932"/>
      <c r="G671" s="933"/>
      <c r="H671" s="934"/>
    </row>
    <row r="672" spans="1:8" hidden="1">
      <c r="D672" s="932"/>
      <c r="G672" s="933"/>
      <c r="H672" s="934"/>
    </row>
    <row r="673" spans="1:8" hidden="1">
      <c r="D673" s="932"/>
      <c r="G673" s="933"/>
      <c r="H673" s="934"/>
    </row>
    <row r="674" spans="1:8" hidden="1">
      <c r="D674" s="932"/>
      <c r="G674" s="933"/>
      <c r="H674" s="934"/>
    </row>
    <row r="675" spans="1:8" hidden="1">
      <c r="D675" s="932"/>
      <c r="G675" s="933"/>
      <c r="H675" s="934"/>
    </row>
    <row r="676" spans="1:8" hidden="1">
      <c r="D676" s="932"/>
      <c r="G676" s="933"/>
      <c r="H676" s="934"/>
    </row>
    <row r="677" spans="1:8" hidden="1">
      <c r="D677" s="932"/>
      <c r="G677" s="933"/>
      <c r="H677" s="934"/>
    </row>
    <row r="678" spans="1:8" hidden="1">
      <c r="D678" s="932"/>
      <c r="G678" s="933"/>
      <c r="H678" s="934"/>
    </row>
    <row r="679" spans="1:8" hidden="1">
      <c r="A679" s="930"/>
      <c r="B679" s="931"/>
      <c r="C679" s="938"/>
      <c r="D679" s="932"/>
      <c r="G679" s="933"/>
      <c r="H679" s="934"/>
    </row>
    <row r="680" spans="1:8" hidden="1">
      <c r="A680" s="930"/>
      <c r="B680" s="931"/>
      <c r="C680" s="938"/>
      <c r="D680" s="932"/>
      <c r="G680" s="933"/>
      <c r="H680" s="934"/>
    </row>
    <row r="681" spans="1:8" hidden="1">
      <c r="A681" s="930"/>
      <c r="B681" s="931"/>
      <c r="C681" s="938"/>
      <c r="D681" s="932"/>
      <c r="G681" s="933"/>
      <c r="H681" s="934"/>
    </row>
    <row r="682" spans="1:8" hidden="1">
      <c r="A682" s="930"/>
      <c r="B682" s="931"/>
      <c r="C682" s="938"/>
      <c r="D682" s="932"/>
      <c r="G682" s="933"/>
      <c r="H682" s="934"/>
    </row>
    <row r="683" spans="1:8" hidden="1">
      <c r="A683" s="930"/>
      <c r="B683" s="931"/>
      <c r="C683" s="938"/>
      <c r="D683" s="932"/>
      <c r="G683" s="933"/>
      <c r="H683" s="934"/>
    </row>
    <row r="684" spans="1:8" hidden="1">
      <c r="A684" s="930"/>
      <c r="B684" s="931"/>
      <c r="D684" s="932"/>
      <c r="G684" s="933"/>
      <c r="H684" s="934"/>
    </row>
    <row r="685" spans="1:8" hidden="1">
      <c r="A685" s="930"/>
      <c r="B685" s="931"/>
      <c r="D685" s="932"/>
      <c r="G685" s="933"/>
      <c r="H685" s="934"/>
    </row>
    <row r="686" spans="1:8" hidden="1">
      <c r="A686" s="930"/>
      <c r="B686" s="931"/>
      <c r="D686" s="932"/>
      <c r="G686" s="933"/>
      <c r="H686" s="934"/>
    </row>
    <row r="687" spans="1:8" hidden="1">
      <c r="D687" s="932"/>
      <c r="G687" s="933"/>
      <c r="H687" s="934"/>
    </row>
    <row r="688" spans="1:8" hidden="1">
      <c r="D688" s="932"/>
      <c r="G688" s="933"/>
      <c r="H688" s="934"/>
    </row>
    <row r="689" spans="1:8" hidden="1">
      <c r="D689" s="932"/>
      <c r="G689" s="933"/>
      <c r="H689" s="934"/>
    </row>
    <row r="690" spans="1:8" hidden="1">
      <c r="A690" s="930"/>
      <c r="B690" s="931"/>
      <c r="C690" s="938"/>
      <c r="D690" s="932"/>
      <c r="G690" s="933"/>
      <c r="H690" s="934"/>
    </row>
    <row r="691" spans="1:8" hidden="1">
      <c r="D691" s="932"/>
      <c r="G691" s="933"/>
      <c r="H691" s="934"/>
    </row>
    <row r="692" spans="1:8" hidden="1">
      <c r="D692" s="932"/>
      <c r="G692" s="933"/>
      <c r="H692" s="934"/>
    </row>
    <row r="693" spans="1:8" hidden="1">
      <c r="A693" s="930"/>
      <c r="B693" s="931"/>
      <c r="C693" s="938"/>
      <c r="D693" s="932"/>
      <c r="G693" s="933"/>
      <c r="H693" s="934"/>
    </row>
    <row r="694" spans="1:8" hidden="1">
      <c r="D694" s="932"/>
      <c r="G694" s="933"/>
      <c r="H694" s="934"/>
    </row>
    <row r="695" spans="1:8" hidden="1">
      <c r="D695" s="932"/>
      <c r="G695" s="933"/>
      <c r="H695" s="934"/>
    </row>
    <row r="696" spans="1:8" hidden="1">
      <c r="D696" s="932"/>
      <c r="G696" s="933"/>
      <c r="H696" s="934"/>
    </row>
    <row r="697" spans="1:8" hidden="1">
      <c r="A697" s="944"/>
      <c r="B697" s="945"/>
      <c r="D697" s="932"/>
      <c r="G697" s="933"/>
      <c r="H697" s="934"/>
    </row>
    <row r="698" spans="1:8" hidden="1">
      <c r="D698" s="932"/>
      <c r="G698" s="933"/>
      <c r="H698" s="934"/>
    </row>
    <row r="699" spans="1:8" hidden="1">
      <c r="A699" s="930"/>
      <c r="B699" s="931"/>
      <c r="D699" s="932"/>
      <c r="G699" s="933"/>
      <c r="H699" s="934"/>
    </row>
    <row r="700" spans="1:8" hidden="1">
      <c r="A700" s="930"/>
      <c r="B700" s="945"/>
      <c r="D700" s="932"/>
      <c r="G700" s="933"/>
      <c r="H700" s="934"/>
    </row>
    <row r="701" spans="1:8" hidden="1">
      <c r="A701" s="930"/>
      <c r="B701" s="931"/>
      <c r="D701" s="932"/>
      <c r="G701" s="933"/>
      <c r="H701" s="934"/>
    </row>
    <row r="702" spans="1:8" hidden="1">
      <c r="A702" s="930"/>
      <c r="B702" s="931"/>
      <c r="D702" s="932"/>
      <c r="G702" s="933"/>
      <c r="H702" s="934"/>
    </row>
    <row r="703" spans="1:8" hidden="1">
      <c r="A703" s="930"/>
      <c r="B703" s="931"/>
      <c r="D703" s="932"/>
      <c r="G703" s="933"/>
      <c r="H703" s="934"/>
    </row>
    <row r="704" spans="1:8" hidden="1">
      <c r="A704" s="930"/>
      <c r="B704" s="945"/>
      <c r="D704" s="932"/>
      <c r="G704" s="933"/>
      <c r="H704" s="934"/>
    </row>
    <row r="705" spans="1:8" hidden="1">
      <c r="A705" s="930"/>
      <c r="B705" s="945"/>
      <c r="D705" s="932"/>
      <c r="G705" s="933"/>
      <c r="H705" s="934"/>
    </row>
    <row r="706" spans="1:8" hidden="1">
      <c r="D706" s="932"/>
      <c r="G706" s="933"/>
      <c r="H706" s="934"/>
    </row>
    <row r="707" spans="1:8" hidden="1">
      <c r="A707" s="944"/>
      <c r="B707" s="945"/>
      <c r="D707" s="932"/>
      <c r="G707" s="933"/>
      <c r="H707" s="934"/>
    </row>
    <row r="708" spans="1:8" hidden="1">
      <c r="A708" s="930"/>
      <c r="B708" s="945"/>
      <c r="D708" s="932"/>
      <c r="G708" s="933"/>
      <c r="H708" s="934"/>
    </row>
    <row r="709" spans="1:8" hidden="1">
      <c r="D709" s="932"/>
      <c r="G709" s="933"/>
      <c r="H709" s="934"/>
    </row>
    <row r="710" spans="1:8" hidden="1">
      <c r="D710" s="932"/>
      <c r="G710" s="933"/>
      <c r="H710" s="934"/>
    </row>
    <row r="711" spans="1:8" hidden="1">
      <c r="D711" s="932"/>
      <c r="G711" s="933"/>
      <c r="H711" s="934"/>
    </row>
    <row r="712" spans="1:8" hidden="1">
      <c r="A712" s="944"/>
      <c r="B712" s="945"/>
      <c r="D712" s="932"/>
      <c r="G712" s="933"/>
      <c r="H712" s="934"/>
    </row>
    <row r="713" spans="1:8" hidden="1">
      <c r="A713" s="930"/>
      <c r="B713" s="931"/>
      <c r="C713" s="938"/>
      <c r="D713" s="932"/>
      <c r="G713" s="933"/>
      <c r="H713" s="934"/>
    </row>
    <row r="714" spans="1:8" hidden="1">
      <c r="A714" s="930"/>
      <c r="B714" s="931"/>
      <c r="C714" s="938"/>
      <c r="D714" s="932"/>
      <c r="G714" s="933"/>
      <c r="H714" s="934"/>
    </row>
    <row r="715" spans="1:8" hidden="1">
      <c r="D715" s="932"/>
      <c r="G715" s="933"/>
      <c r="H715" s="934"/>
    </row>
    <row r="716" spans="1:8" hidden="1">
      <c r="D716" s="932"/>
      <c r="G716" s="933"/>
      <c r="H716" s="934"/>
    </row>
    <row r="717" spans="1:8" hidden="1">
      <c r="D717" s="932"/>
      <c r="G717" s="933"/>
      <c r="H717" s="934"/>
    </row>
    <row r="718" spans="1:8" hidden="1">
      <c r="D718" s="932"/>
      <c r="G718" s="933"/>
      <c r="H718" s="934"/>
    </row>
    <row r="719" spans="1:8" hidden="1">
      <c r="D719" s="932"/>
      <c r="G719" s="933"/>
      <c r="H719" s="934"/>
    </row>
    <row r="720" spans="1:8" hidden="1">
      <c r="D720" s="932"/>
      <c r="G720" s="933"/>
      <c r="H720" s="934"/>
    </row>
    <row r="721" spans="1:8" hidden="1">
      <c r="D721" s="932"/>
      <c r="G721" s="933"/>
      <c r="H721" s="934"/>
    </row>
    <row r="722" spans="1:8" hidden="1">
      <c r="D722" s="932"/>
      <c r="G722" s="933"/>
      <c r="H722" s="934"/>
    </row>
    <row r="723" spans="1:8" hidden="1">
      <c r="A723" s="930"/>
      <c r="B723" s="931"/>
      <c r="D723" s="932"/>
      <c r="G723" s="933"/>
      <c r="H723" s="934"/>
    </row>
    <row r="724" spans="1:8" hidden="1">
      <c r="D724" s="932"/>
      <c r="G724" s="933"/>
      <c r="H724" s="934"/>
    </row>
    <row r="725" spans="1:8" hidden="1">
      <c r="D725" s="932"/>
      <c r="G725" s="933"/>
      <c r="H725" s="934"/>
    </row>
    <row r="726" spans="1:8" hidden="1">
      <c r="D726" s="932"/>
      <c r="G726" s="933"/>
      <c r="H726" s="934"/>
    </row>
    <row r="727" spans="1:8" hidden="1">
      <c r="A727" s="944"/>
      <c r="B727" s="945"/>
      <c r="D727" s="932"/>
      <c r="G727" s="933"/>
      <c r="H727" s="934"/>
    </row>
    <row r="728" spans="1:8" hidden="1">
      <c r="G728" s="933"/>
      <c r="H728" s="934"/>
    </row>
    <row r="729" spans="1:8" hidden="1">
      <c r="G729" s="933"/>
      <c r="H729" s="934"/>
    </row>
    <row r="730" spans="1:8" hidden="1">
      <c r="G730" s="933"/>
      <c r="H730" s="934"/>
    </row>
    <row r="731" spans="1:8" hidden="1">
      <c r="G731" s="933"/>
      <c r="H731" s="934"/>
    </row>
    <row r="732" spans="1:8" hidden="1">
      <c r="A732" s="930"/>
      <c r="B732" s="931"/>
      <c r="C732" s="938"/>
      <c r="D732" s="932"/>
      <c r="G732" s="933"/>
      <c r="H732" s="934"/>
    </row>
    <row r="733" spans="1:8" hidden="1">
      <c r="D733" s="932"/>
      <c r="G733" s="933"/>
      <c r="H733" s="934"/>
    </row>
    <row r="734" spans="1:8" hidden="1">
      <c r="D734" s="932"/>
      <c r="G734" s="933"/>
      <c r="H734" s="934"/>
    </row>
    <row r="735" spans="1:8" hidden="1">
      <c r="D735" s="932"/>
      <c r="G735" s="933"/>
      <c r="H735" s="934"/>
    </row>
    <row r="736" spans="1:8" hidden="1">
      <c r="D736" s="932"/>
      <c r="G736" s="933"/>
      <c r="H736" s="934"/>
    </row>
    <row r="737" spans="1:8" hidden="1">
      <c r="D737" s="932"/>
      <c r="G737" s="933"/>
      <c r="H737" s="934"/>
    </row>
    <row r="738" spans="1:8" hidden="1">
      <c r="D738" s="932"/>
      <c r="G738" s="933"/>
      <c r="H738" s="934"/>
    </row>
    <row r="739" spans="1:8" hidden="1">
      <c r="D739" s="932"/>
      <c r="G739" s="933"/>
      <c r="H739" s="934"/>
    </row>
    <row r="740" spans="1:8" hidden="1">
      <c r="D740" s="932"/>
      <c r="G740" s="933"/>
      <c r="H740" s="934"/>
    </row>
    <row r="741" spans="1:8" hidden="1">
      <c r="D741" s="932"/>
      <c r="G741" s="933"/>
      <c r="H741" s="934"/>
    </row>
    <row r="742" spans="1:8" hidden="1">
      <c r="D742" s="932"/>
      <c r="G742" s="933"/>
      <c r="H742" s="934"/>
    </row>
    <row r="743" spans="1:8" hidden="1">
      <c r="D743" s="932"/>
      <c r="G743" s="933"/>
      <c r="H743" s="934"/>
    </row>
    <row r="744" spans="1:8" hidden="1">
      <c r="A744" s="944"/>
      <c r="B744" s="945"/>
      <c r="D744" s="932"/>
      <c r="G744" s="933"/>
      <c r="H744" s="934"/>
    </row>
    <row r="745" spans="1:8" hidden="1">
      <c r="G745" s="933"/>
      <c r="H745" s="934"/>
    </row>
    <row r="746" spans="1:8" hidden="1">
      <c r="G746" s="933"/>
      <c r="H746" s="934"/>
    </row>
    <row r="747" spans="1:8" hidden="1">
      <c r="G747" s="933"/>
      <c r="H747" s="934"/>
    </row>
    <row r="748" spans="1:8" hidden="1">
      <c r="G748" s="933"/>
      <c r="H748" s="934"/>
    </row>
    <row r="749" spans="1:8" hidden="1">
      <c r="G749" s="933"/>
      <c r="H749" s="934"/>
    </row>
    <row r="750" spans="1:8" hidden="1">
      <c r="G750" s="933"/>
      <c r="H750" s="934"/>
    </row>
    <row r="751" spans="1:8" hidden="1">
      <c r="A751" s="936"/>
      <c r="B751" s="937"/>
      <c r="G751" s="933"/>
      <c r="H751" s="934"/>
    </row>
    <row r="752" spans="1:8" hidden="1">
      <c r="A752" s="930"/>
      <c r="B752" s="931"/>
      <c r="G752" s="933"/>
      <c r="H752" s="934"/>
    </row>
    <row r="753" spans="1:8" hidden="1">
      <c r="G753" s="933"/>
      <c r="H753" s="934"/>
    </row>
    <row r="754" spans="1:8" hidden="1">
      <c r="G754" s="933"/>
      <c r="H754" s="934"/>
    </row>
    <row r="755" spans="1:8" hidden="1">
      <c r="G755" s="933"/>
      <c r="H755" s="934"/>
    </row>
    <row r="756" spans="1:8" hidden="1">
      <c r="D756" s="932"/>
      <c r="G756" s="933"/>
      <c r="H756" s="934"/>
    </row>
    <row r="757" spans="1:8" hidden="1">
      <c r="A757" s="930"/>
      <c r="B757" s="941"/>
      <c r="C757" s="938"/>
      <c r="D757" s="932"/>
      <c r="G757" s="933"/>
      <c r="H757" s="934"/>
    </row>
    <row r="758" spans="1:8" hidden="1">
      <c r="A758" s="930"/>
      <c r="B758" s="931"/>
      <c r="C758" s="938"/>
      <c r="D758" s="932"/>
      <c r="G758" s="933"/>
      <c r="H758" s="934"/>
    </row>
    <row r="759" spans="1:8" hidden="1">
      <c r="D759" s="932"/>
      <c r="G759" s="933"/>
      <c r="H759" s="934"/>
    </row>
    <row r="760" spans="1:8" hidden="1">
      <c r="A760" s="930"/>
      <c r="B760" s="931"/>
      <c r="D760" s="932"/>
      <c r="G760" s="933"/>
      <c r="H760" s="934"/>
    </row>
    <row r="761" spans="1:8" hidden="1">
      <c r="A761" s="930"/>
      <c r="B761" s="931"/>
      <c r="D761" s="932"/>
      <c r="G761" s="933"/>
      <c r="H761" s="934"/>
    </row>
    <row r="762" spans="1:8" hidden="1">
      <c r="A762" s="930"/>
      <c r="B762" s="931"/>
      <c r="D762" s="932"/>
      <c r="G762" s="933"/>
      <c r="H762" s="934"/>
    </row>
    <row r="763" spans="1:8" hidden="1">
      <c r="A763" s="930"/>
      <c r="B763" s="931"/>
      <c r="D763" s="932"/>
      <c r="G763" s="933"/>
      <c r="H763" s="934"/>
    </row>
    <row r="764" spans="1:8" hidden="1">
      <c r="A764" s="930"/>
      <c r="D764" s="932"/>
      <c r="G764" s="933"/>
      <c r="H764" s="934"/>
    </row>
    <row r="765" spans="1:8" hidden="1">
      <c r="A765" s="930"/>
      <c r="C765" s="938"/>
      <c r="D765" s="932"/>
      <c r="G765" s="933"/>
      <c r="H765" s="934"/>
    </row>
    <row r="766" spans="1:8" hidden="1">
      <c r="D766" s="932"/>
      <c r="G766" s="933"/>
      <c r="H766" s="934"/>
    </row>
    <row r="767" spans="1:8" hidden="1">
      <c r="A767" s="930"/>
      <c r="C767" s="938"/>
      <c r="D767" s="932"/>
      <c r="G767" s="933"/>
      <c r="H767" s="934"/>
    </row>
    <row r="768" spans="1:8" hidden="1">
      <c r="A768" s="930"/>
      <c r="C768" s="938"/>
      <c r="D768" s="932"/>
      <c r="G768" s="933"/>
      <c r="H768" s="934"/>
    </row>
    <row r="769" spans="1:12" hidden="1">
      <c r="A769" s="930"/>
      <c r="C769" s="938"/>
      <c r="D769" s="932"/>
      <c r="G769" s="933"/>
      <c r="H769" s="934"/>
    </row>
    <row r="770" spans="1:12" hidden="1">
      <c r="A770" s="942"/>
      <c r="C770" s="938"/>
      <c r="D770" s="932"/>
      <c r="G770" s="933"/>
      <c r="H770" s="934"/>
    </row>
    <row r="771" spans="1:12" hidden="1">
      <c r="A771" s="930"/>
      <c r="C771" s="938"/>
      <c r="D771" s="932"/>
      <c r="G771" s="933"/>
      <c r="H771" s="934"/>
    </row>
    <row r="772" spans="1:12" hidden="1">
      <c r="A772" s="942"/>
      <c r="C772" s="938"/>
      <c r="D772" s="932"/>
      <c r="G772" s="933"/>
      <c r="H772" s="934"/>
      <c r="L772" s="950"/>
    </row>
    <row r="773" spans="1:12" hidden="1">
      <c r="A773" s="930"/>
      <c r="C773" s="938"/>
      <c r="D773" s="932"/>
      <c r="G773" s="933"/>
      <c r="H773" s="934"/>
    </row>
    <row r="774" spans="1:12" hidden="1">
      <c r="A774" s="930"/>
      <c r="C774" s="938"/>
      <c r="D774" s="932"/>
      <c r="G774" s="933"/>
      <c r="H774" s="934"/>
    </row>
    <row r="775" spans="1:12" hidden="1">
      <c r="A775" s="942"/>
      <c r="C775" s="938"/>
      <c r="D775" s="932"/>
      <c r="G775" s="933"/>
      <c r="H775" s="934"/>
    </row>
    <row r="776" spans="1:12" hidden="1">
      <c r="A776" s="168"/>
      <c r="C776" s="948"/>
      <c r="D776" s="932"/>
      <c r="G776" s="933"/>
      <c r="H776" s="934"/>
    </row>
    <row r="777" spans="1:12" hidden="1">
      <c r="A777" s="168"/>
      <c r="C777" s="948"/>
      <c r="D777" s="932"/>
      <c r="G777" s="933"/>
      <c r="H777" s="934"/>
    </row>
    <row r="778" spans="1:12" hidden="1">
      <c r="D778" s="932"/>
      <c r="G778" s="933"/>
      <c r="H778" s="934"/>
    </row>
    <row r="779" spans="1:12" hidden="1">
      <c r="A779" s="930"/>
      <c r="B779" s="945"/>
      <c r="D779" s="932"/>
      <c r="G779" s="933"/>
      <c r="H779" s="934"/>
    </row>
    <row r="780" spans="1:12" hidden="1">
      <c r="D780" s="932"/>
      <c r="G780" s="933"/>
      <c r="H780" s="934"/>
    </row>
    <row r="781" spans="1:12" hidden="1">
      <c r="D781" s="932"/>
      <c r="G781" s="933"/>
      <c r="H781" s="934"/>
    </row>
    <row r="782" spans="1:12" hidden="1">
      <c r="D782" s="932"/>
      <c r="G782" s="933"/>
      <c r="H782" s="934"/>
    </row>
    <row r="783" spans="1:12" hidden="1">
      <c r="D783" s="932"/>
      <c r="G783" s="933"/>
      <c r="H783" s="934"/>
    </row>
    <row r="784" spans="1:12" hidden="1">
      <c r="A784" s="930"/>
      <c r="B784" s="945"/>
      <c r="D784" s="932"/>
      <c r="G784" s="933"/>
      <c r="H784" s="934"/>
    </row>
    <row r="785" spans="1:8" hidden="1">
      <c r="A785" s="951"/>
      <c r="B785" s="952"/>
      <c r="D785" s="932"/>
      <c r="G785" s="933"/>
      <c r="H785" s="934"/>
    </row>
    <row r="786" spans="1:8" hidden="1">
      <c r="A786" s="930"/>
      <c r="B786" s="931"/>
      <c r="C786" s="938"/>
      <c r="D786" s="932"/>
      <c r="G786" s="933"/>
      <c r="H786" s="934"/>
    </row>
    <row r="787" spans="1:8" hidden="1">
      <c r="A787" s="930"/>
      <c r="B787" s="931"/>
      <c r="D787" s="932"/>
      <c r="G787" s="933"/>
      <c r="H787" s="934"/>
    </row>
    <row r="788" spans="1:8" hidden="1">
      <c r="A788" s="930"/>
      <c r="B788" s="931"/>
      <c r="D788" s="932"/>
      <c r="G788" s="933"/>
      <c r="H788" s="934"/>
    </row>
    <row r="789" spans="1:8" hidden="1">
      <c r="A789" s="942"/>
      <c r="B789" s="941"/>
      <c r="D789" s="932"/>
      <c r="G789" s="933"/>
      <c r="H789" s="934"/>
    </row>
    <row r="790" spans="1:8" hidden="1">
      <c r="A790" s="930"/>
      <c r="B790" s="931"/>
      <c r="C790" s="938"/>
      <c r="D790" s="932"/>
      <c r="G790" s="933"/>
      <c r="H790" s="934"/>
    </row>
    <row r="791" spans="1:8" hidden="1">
      <c r="A791" s="930"/>
      <c r="B791" s="945"/>
      <c r="D791" s="932"/>
      <c r="G791" s="933"/>
      <c r="H791" s="934"/>
    </row>
    <row r="792" spans="1:8" hidden="1">
      <c r="D792" s="932"/>
      <c r="G792" s="933"/>
      <c r="H792" s="934"/>
    </row>
    <row r="793" spans="1:8" hidden="1">
      <c r="D793" s="932"/>
      <c r="G793" s="933"/>
      <c r="H793" s="934"/>
    </row>
    <row r="794" spans="1:8" hidden="1">
      <c r="D794" s="932"/>
      <c r="G794" s="933"/>
      <c r="H794" s="934"/>
    </row>
    <row r="795" spans="1:8" hidden="1">
      <c r="A795" s="930"/>
      <c r="B795" s="931"/>
      <c r="D795" s="932"/>
      <c r="G795" s="933"/>
      <c r="H795" s="934"/>
    </row>
    <row r="796" spans="1:8" hidden="1">
      <c r="D796" s="932"/>
      <c r="G796" s="933"/>
      <c r="H796" s="934"/>
    </row>
    <row r="797" spans="1:8" hidden="1">
      <c r="A797" s="930"/>
      <c r="B797" s="931"/>
      <c r="D797" s="932"/>
      <c r="G797" s="933"/>
      <c r="H797" s="934"/>
    </row>
    <row r="798" spans="1:8" hidden="1">
      <c r="A798" s="939"/>
      <c r="B798" s="941"/>
      <c r="D798" s="932"/>
      <c r="G798" s="933"/>
      <c r="H798" s="934"/>
    </row>
    <row r="799" spans="1:8" hidden="1">
      <c r="D799" s="932"/>
      <c r="G799" s="933"/>
      <c r="H799" s="934"/>
    </row>
    <row r="800" spans="1:8" hidden="1">
      <c r="D800" s="932"/>
      <c r="G800" s="933"/>
      <c r="H800" s="934"/>
    </row>
    <row r="801" spans="1:8" hidden="1">
      <c r="A801" s="930"/>
      <c r="B801" s="931"/>
      <c r="D801" s="932"/>
      <c r="G801" s="933"/>
      <c r="H801" s="934"/>
    </row>
    <row r="802" spans="1:8" hidden="1">
      <c r="A802" s="930"/>
      <c r="B802" s="931"/>
      <c r="D802" s="932"/>
      <c r="G802" s="933"/>
      <c r="H802" s="934"/>
    </row>
    <row r="803" spans="1:8" hidden="1">
      <c r="A803" s="939"/>
      <c r="B803" s="941"/>
      <c r="D803" s="932"/>
      <c r="G803" s="933"/>
      <c r="H803" s="934"/>
    </row>
    <row r="804" spans="1:8" hidden="1">
      <c r="A804" s="930"/>
      <c r="B804" s="931"/>
      <c r="C804" s="938"/>
      <c r="D804" s="932"/>
      <c r="G804" s="933"/>
      <c r="H804" s="934"/>
    </row>
    <row r="805" spans="1:8" hidden="1">
      <c r="A805" s="930"/>
      <c r="B805" s="945"/>
      <c r="D805" s="932"/>
      <c r="G805" s="933"/>
      <c r="H805" s="934"/>
    </row>
    <row r="806" spans="1:8" hidden="1">
      <c r="A806" s="944"/>
      <c r="B806" s="945"/>
      <c r="D806" s="932"/>
      <c r="G806" s="933"/>
      <c r="H806" s="934"/>
    </row>
    <row r="807" spans="1:8" hidden="1">
      <c r="D807" s="932"/>
      <c r="G807" s="933"/>
      <c r="H807" s="934"/>
    </row>
    <row r="808" spans="1:8" hidden="1">
      <c r="A808" s="936"/>
      <c r="B808" s="937"/>
      <c r="D808" s="932"/>
      <c r="G808" s="933"/>
      <c r="H808" s="934"/>
    </row>
    <row r="809" spans="1:8" hidden="1">
      <c r="A809" s="930"/>
      <c r="B809" s="931"/>
      <c r="D809" s="932"/>
      <c r="G809" s="933"/>
      <c r="H809" s="934"/>
    </row>
    <row r="810" spans="1:8" hidden="1">
      <c r="D810" s="932"/>
      <c r="G810" s="933"/>
      <c r="H810" s="934"/>
    </row>
    <row r="811" spans="1:8" hidden="1">
      <c r="A811" s="942"/>
      <c r="B811" s="941"/>
      <c r="D811" s="932"/>
      <c r="G811" s="933"/>
      <c r="H811" s="934"/>
    </row>
    <row r="812" spans="1:8" hidden="1">
      <c r="A812" s="944"/>
      <c r="B812" s="945"/>
      <c r="D812" s="932"/>
      <c r="G812" s="933"/>
      <c r="H812" s="934"/>
    </row>
    <row r="813" spans="1:8" hidden="1">
      <c r="A813" s="942"/>
      <c r="B813" s="941"/>
      <c r="D813" s="932"/>
      <c r="G813" s="933"/>
      <c r="H813" s="934"/>
    </row>
    <row r="814" spans="1:8" hidden="1">
      <c r="A814" s="939"/>
      <c r="B814" s="941"/>
      <c r="D814" s="932"/>
      <c r="G814" s="933"/>
      <c r="H814" s="934"/>
    </row>
    <row r="815" spans="1:8" hidden="1">
      <c r="A815" s="930"/>
      <c r="B815" s="931"/>
      <c r="D815" s="932"/>
      <c r="G815" s="933"/>
      <c r="H815" s="934"/>
    </row>
    <row r="816" spans="1:8" hidden="1">
      <c r="A816" s="930"/>
      <c r="B816" s="931"/>
      <c r="D816" s="932"/>
      <c r="G816" s="933"/>
      <c r="H816" s="934"/>
    </row>
    <row r="817" spans="1:8" hidden="1">
      <c r="A817" s="939"/>
      <c r="B817" s="941"/>
      <c r="D817" s="932"/>
      <c r="G817" s="933"/>
      <c r="H817" s="934"/>
    </row>
    <row r="818" spans="1:8" hidden="1">
      <c r="A818" s="930"/>
      <c r="B818" s="931"/>
      <c r="D818" s="932"/>
      <c r="G818" s="933"/>
      <c r="H818" s="934"/>
    </row>
    <row r="819" spans="1:8" hidden="1">
      <c r="A819" s="930"/>
      <c r="B819" s="931"/>
      <c r="D819" s="932"/>
      <c r="G819" s="933"/>
      <c r="H819" s="934"/>
    </row>
    <row r="820" spans="1:8" hidden="1">
      <c r="A820" s="936"/>
      <c r="B820" s="937"/>
      <c r="D820" s="932"/>
      <c r="G820" s="933"/>
      <c r="H820" s="934"/>
    </row>
    <row r="821" spans="1:8" hidden="1">
      <c r="D821" s="932"/>
      <c r="G821" s="933"/>
      <c r="H821" s="934"/>
    </row>
    <row r="822" spans="1:8" hidden="1">
      <c r="D822" s="932"/>
      <c r="G822" s="933"/>
      <c r="H822" s="934"/>
    </row>
    <row r="823" spans="1:8" hidden="1">
      <c r="C823" s="948"/>
      <c r="G823" s="933"/>
      <c r="H823" s="934"/>
    </row>
    <row r="824" spans="1:8" hidden="1">
      <c r="D824" s="932"/>
      <c r="G824" s="933"/>
      <c r="H824" s="934"/>
    </row>
    <row r="825" spans="1:8" hidden="1">
      <c r="D825" s="932"/>
      <c r="G825" s="933"/>
      <c r="H825" s="934"/>
    </row>
    <row r="826" spans="1:8" hidden="1">
      <c r="D826" s="932"/>
      <c r="G826" s="933"/>
      <c r="H826" s="934"/>
    </row>
    <row r="827" spans="1:8" hidden="1">
      <c r="D827" s="932"/>
      <c r="G827" s="933"/>
      <c r="H827" s="934"/>
    </row>
    <row r="828" spans="1:8" hidden="1">
      <c r="A828" s="930"/>
      <c r="B828" s="931"/>
      <c r="C828" s="938"/>
      <c r="D828" s="932"/>
      <c r="G828" s="933"/>
      <c r="H828" s="934"/>
    </row>
    <row r="829" spans="1:8" hidden="1">
      <c r="G829" s="933"/>
      <c r="H829" s="934"/>
    </row>
    <row r="830" spans="1:8" hidden="1">
      <c r="A830" s="930"/>
      <c r="B830" s="945"/>
      <c r="D830" s="932"/>
      <c r="G830" s="933"/>
      <c r="H830" s="934"/>
    </row>
    <row r="831" spans="1:8" hidden="1">
      <c r="G831" s="933"/>
      <c r="H831" s="934"/>
    </row>
    <row r="832" spans="1:8" hidden="1">
      <c r="G832" s="933"/>
      <c r="H832" s="934"/>
    </row>
    <row r="833" spans="1:8" hidden="1">
      <c r="G833" s="933"/>
      <c r="H833" s="934"/>
    </row>
    <row r="834" spans="1:8" hidden="1">
      <c r="A834" s="939"/>
      <c r="B834" s="941"/>
      <c r="G834" s="933"/>
      <c r="H834" s="934"/>
    </row>
    <row r="835" spans="1:8" hidden="1">
      <c r="G835" s="933"/>
      <c r="H835" s="934"/>
    </row>
    <row r="836" spans="1:8" hidden="1">
      <c r="G836" s="933"/>
      <c r="H836" s="934"/>
    </row>
    <row r="837" spans="1:8" hidden="1">
      <c r="G837" s="933"/>
      <c r="H837" s="934"/>
    </row>
    <row r="838" spans="1:8" hidden="1">
      <c r="G838" s="933"/>
      <c r="H838" s="934"/>
    </row>
    <row r="839" spans="1:8" hidden="1">
      <c r="A839" s="936"/>
      <c r="B839" s="937"/>
      <c r="G839" s="933"/>
      <c r="H839" s="934"/>
    </row>
    <row r="840" spans="1:8" hidden="1">
      <c r="G840" s="933"/>
      <c r="H840" s="934"/>
    </row>
    <row r="841" spans="1:8" hidden="1">
      <c r="A841" s="930"/>
      <c r="B841" s="931"/>
      <c r="G841" s="933"/>
      <c r="H841" s="934"/>
    </row>
    <row r="842" spans="1:8" hidden="1">
      <c r="A842" s="944"/>
      <c r="B842" s="945"/>
      <c r="G842" s="933"/>
      <c r="H842" s="934"/>
    </row>
    <row r="843" spans="1:8" hidden="1">
      <c r="A843" s="930"/>
      <c r="B843" s="931"/>
      <c r="G843" s="933"/>
      <c r="H843" s="934"/>
    </row>
    <row r="844" spans="1:8" hidden="1">
      <c r="G844" s="933"/>
      <c r="H844" s="934"/>
    </row>
    <row r="845" spans="1:8" hidden="1">
      <c r="G845" s="933"/>
      <c r="H845" s="934"/>
    </row>
    <row r="846" spans="1:8" hidden="1">
      <c r="G846" s="933"/>
      <c r="H846" s="934"/>
    </row>
    <row r="847" spans="1:8" hidden="1">
      <c r="A847" s="936"/>
      <c r="B847" s="937"/>
      <c r="G847" s="933"/>
      <c r="H847" s="934"/>
    </row>
    <row r="848" spans="1:8" hidden="1">
      <c r="A848" s="930"/>
      <c r="B848" s="931"/>
      <c r="G848" s="933"/>
      <c r="H848" s="934"/>
    </row>
    <row r="849" spans="1:8" hidden="1">
      <c r="G849" s="933"/>
      <c r="H849" s="934"/>
    </row>
    <row r="850" spans="1:8" hidden="1">
      <c r="A850" s="930"/>
      <c r="B850" s="931"/>
      <c r="G850" s="933"/>
      <c r="H850" s="934"/>
    </row>
    <row r="851" spans="1:8" hidden="1">
      <c r="G851" s="933"/>
      <c r="H851" s="934"/>
    </row>
    <row r="852" spans="1:8" hidden="1">
      <c r="G852" s="933"/>
      <c r="H852" s="934"/>
    </row>
    <row r="853" spans="1:8" hidden="1">
      <c r="A853" s="930"/>
      <c r="B853" s="945"/>
      <c r="G853" s="933"/>
      <c r="H853" s="934"/>
    </row>
    <row r="854" spans="1:8" hidden="1">
      <c r="A854" s="168"/>
      <c r="B854" s="168"/>
      <c r="C854" s="948"/>
      <c r="G854" s="933"/>
      <c r="H854" s="934"/>
    </row>
    <row r="855" spans="1:8" hidden="1">
      <c r="D855" s="932"/>
      <c r="G855" s="933"/>
      <c r="H855" s="934"/>
    </row>
    <row r="856" spans="1:8" hidden="1">
      <c r="A856" s="939"/>
      <c r="B856" s="941"/>
      <c r="D856" s="932"/>
      <c r="G856" s="933"/>
      <c r="H856" s="934"/>
    </row>
    <row r="857" spans="1:8" hidden="1">
      <c r="A857" s="936"/>
      <c r="B857" s="937"/>
      <c r="D857" s="932"/>
      <c r="G857" s="933"/>
      <c r="H857" s="934"/>
    </row>
    <row r="858" spans="1:8" hidden="1">
      <c r="D858" s="932"/>
      <c r="G858" s="933"/>
      <c r="H858" s="934"/>
    </row>
    <row r="859" spans="1:8" hidden="1">
      <c r="D859" s="932"/>
      <c r="G859" s="933"/>
      <c r="H859" s="934"/>
    </row>
    <row r="860" spans="1:8" hidden="1">
      <c r="A860" s="953"/>
      <c r="B860" s="931"/>
      <c r="D860" s="932"/>
      <c r="G860" s="933"/>
      <c r="H860" s="934"/>
    </row>
    <row r="861" spans="1:8" hidden="1">
      <c r="A861" s="939"/>
      <c r="B861" s="941"/>
      <c r="D861" s="932"/>
      <c r="G861" s="933"/>
      <c r="H861" s="934"/>
    </row>
    <row r="862" spans="1:8" hidden="1">
      <c r="A862" s="936"/>
      <c r="B862" s="937"/>
      <c r="D862" s="932"/>
      <c r="G862" s="933"/>
      <c r="H862" s="934"/>
    </row>
    <row r="863" spans="1:8" hidden="1">
      <c r="A863" s="930"/>
      <c r="B863" s="931"/>
      <c r="D863" s="932"/>
      <c r="G863" s="933"/>
      <c r="H863" s="934"/>
    </row>
    <row r="864" spans="1:8" hidden="1">
      <c r="A864" s="944"/>
      <c r="B864" s="945"/>
      <c r="D864" s="932"/>
      <c r="G864" s="933"/>
      <c r="H864" s="934"/>
    </row>
    <row r="865" spans="1:8" hidden="1">
      <c r="D865" s="932"/>
      <c r="G865" s="933"/>
      <c r="H865" s="934"/>
    </row>
    <row r="866" spans="1:8" hidden="1">
      <c r="A866" s="944"/>
      <c r="B866" s="945"/>
      <c r="D866" s="932"/>
      <c r="G866" s="933"/>
      <c r="H866" s="934"/>
    </row>
    <row r="867" spans="1:8" hidden="1">
      <c r="D867" s="932"/>
      <c r="G867" s="933"/>
      <c r="H867" s="934"/>
    </row>
    <row r="868" spans="1:8" hidden="1">
      <c r="D868" s="932"/>
      <c r="G868" s="933"/>
      <c r="H868" s="934"/>
    </row>
    <row r="869" spans="1:8" hidden="1">
      <c r="A869" s="930"/>
      <c r="B869" s="931"/>
      <c r="D869" s="932"/>
      <c r="G869" s="933"/>
      <c r="H869" s="934"/>
    </row>
    <row r="870" spans="1:8" hidden="1">
      <c r="A870" s="930"/>
      <c r="B870" s="931"/>
      <c r="D870" s="932"/>
      <c r="G870" s="933"/>
      <c r="H870" s="934"/>
    </row>
    <row r="871" spans="1:8" hidden="1">
      <c r="D871" s="932"/>
      <c r="G871" s="933"/>
      <c r="H871" s="934"/>
    </row>
    <row r="872" spans="1:8" hidden="1">
      <c r="D872" s="932"/>
      <c r="G872" s="933"/>
      <c r="H872" s="934"/>
    </row>
    <row r="873" spans="1:8" hidden="1">
      <c r="A873" s="930"/>
      <c r="B873" s="931"/>
      <c r="D873" s="932"/>
      <c r="G873" s="933"/>
      <c r="H873" s="934"/>
    </row>
    <row r="874" spans="1:8" hidden="1">
      <c r="A874" s="930"/>
      <c r="B874" s="931"/>
      <c r="D874" s="932"/>
      <c r="G874" s="933"/>
      <c r="H874" s="934"/>
    </row>
    <row r="875" spans="1:8" hidden="1">
      <c r="A875" s="944"/>
      <c r="B875" s="945"/>
      <c r="D875" s="932"/>
      <c r="G875" s="933"/>
      <c r="H875" s="934"/>
    </row>
    <row r="876" spans="1:8" hidden="1">
      <c r="A876" s="930"/>
      <c r="B876" s="931"/>
      <c r="D876" s="932"/>
      <c r="G876" s="933"/>
      <c r="H876" s="934"/>
    </row>
    <row r="877" spans="1:8" hidden="1">
      <c r="D877" s="932"/>
      <c r="G877" s="933"/>
      <c r="H877" s="934"/>
    </row>
    <row r="878" spans="1:8" hidden="1">
      <c r="A878" s="939"/>
      <c r="B878" s="941"/>
      <c r="D878" s="932"/>
      <c r="G878" s="933"/>
      <c r="H878" s="934"/>
    </row>
    <row r="879" spans="1:8" hidden="1">
      <c r="A879" s="930"/>
      <c r="B879" s="931"/>
      <c r="D879" s="932"/>
      <c r="G879" s="933"/>
      <c r="H879" s="934"/>
    </row>
    <row r="880" spans="1:8" hidden="1">
      <c r="D880" s="932"/>
      <c r="G880" s="933"/>
      <c r="H880" s="934"/>
    </row>
    <row r="881" spans="1:8" hidden="1">
      <c r="A881" s="939"/>
      <c r="B881" s="941"/>
      <c r="D881" s="932"/>
      <c r="G881" s="933"/>
      <c r="H881" s="934"/>
    </row>
    <row r="882" spans="1:8" hidden="1">
      <c r="A882" s="936"/>
      <c r="B882" s="937"/>
      <c r="D882" s="932"/>
      <c r="G882" s="933"/>
      <c r="H882" s="934"/>
    </row>
    <row r="883" spans="1:8" hidden="1">
      <c r="A883" s="939"/>
      <c r="B883" s="941"/>
      <c r="D883" s="932"/>
      <c r="G883" s="933"/>
      <c r="H883" s="934"/>
    </row>
    <row r="884" spans="1:8" hidden="1">
      <c r="A884" s="944"/>
      <c r="B884" s="945"/>
      <c r="D884" s="932"/>
      <c r="G884" s="933"/>
      <c r="H884" s="934"/>
    </row>
    <row r="885" spans="1:8" hidden="1">
      <c r="A885" s="939"/>
      <c r="B885" s="941"/>
      <c r="D885" s="932"/>
      <c r="G885" s="933"/>
      <c r="H885" s="934"/>
    </row>
    <row r="886" spans="1:8" hidden="1">
      <c r="A886" s="939"/>
      <c r="B886" s="941"/>
      <c r="D886" s="932"/>
      <c r="G886" s="933"/>
      <c r="H886" s="934"/>
    </row>
    <row r="887" spans="1:8" hidden="1">
      <c r="D887" s="932"/>
      <c r="G887" s="933"/>
      <c r="H887" s="934"/>
    </row>
    <row r="888" spans="1:8" hidden="1">
      <c r="A888" s="944"/>
      <c r="B888" s="945"/>
      <c r="D888" s="932"/>
      <c r="G888" s="933"/>
      <c r="H888" s="934"/>
    </row>
    <row r="889" spans="1:8" hidden="1">
      <c r="A889" s="939"/>
      <c r="B889" s="941"/>
      <c r="D889" s="932"/>
      <c r="G889" s="933"/>
      <c r="H889" s="934"/>
    </row>
    <row r="890" spans="1:8" hidden="1">
      <c r="A890" s="939"/>
      <c r="B890" s="941"/>
      <c r="D890" s="932"/>
      <c r="G890" s="933"/>
      <c r="H890" s="934"/>
    </row>
    <row r="891" spans="1:8" hidden="1">
      <c r="A891" s="930"/>
      <c r="B891" s="931"/>
      <c r="D891" s="932"/>
      <c r="G891" s="933"/>
      <c r="H891" s="934"/>
    </row>
    <row r="892" spans="1:8" hidden="1">
      <c r="A892" s="939"/>
      <c r="B892" s="941"/>
      <c r="D892" s="932"/>
      <c r="G892" s="933"/>
      <c r="H892" s="934"/>
    </row>
    <row r="893" spans="1:8" hidden="1">
      <c r="A893" s="936"/>
      <c r="B893" s="937"/>
      <c r="D893" s="932"/>
      <c r="G893" s="933"/>
      <c r="H893" s="934"/>
    </row>
    <row r="894" spans="1:8" hidden="1">
      <c r="D894" s="932"/>
      <c r="G894" s="933"/>
      <c r="H894" s="934"/>
    </row>
    <row r="895" spans="1:8" hidden="1">
      <c r="A895" s="939"/>
      <c r="B895" s="941"/>
      <c r="D895" s="932"/>
      <c r="G895" s="933"/>
      <c r="H895" s="934"/>
    </row>
    <row r="896" spans="1:8" hidden="1">
      <c r="A896" s="939"/>
      <c r="B896" s="941"/>
      <c r="D896" s="932"/>
      <c r="G896" s="933"/>
      <c r="H896" s="934"/>
    </row>
    <row r="897" spans="1:8" hidden="1">
      <c r="A897" s="936"/>
      <c r="B897" s="937"/>
      <c r="D897" s="932"/>
      <c r="G897" s="933"/>
      <c r="H897" s="934"/>
    </row>
    <row r="898" spans="1:8" hidden="1">
      <c r="C898" s="938"/>
      <c r="D898" s="932"/>
      <c r="G898" s="933"/>
      <c r="H898" s="934"/>
    </row>
    <row r="899" spans="1:8" hidden="1">
      <c r="C899" s="938"/>
      <c r="D899" s="932"/>
      <c r="G899" s="933"/>
      <c r="H899" s="934"/>
    </row>
    <row r="900" spans="1:8" hidden="1">
      <c r="A900" s="944"/>
      <c r="B900" s="945"/>
      <c r="C900" s="938"/>
      <c r="D900" s="932"/>
      <c r="G900" s="933"/>
      <c r="H900" s="934"/>
    </row>
    <row r="901" spans="1:8" hidden="1">
      <c r="A901" s="944"/>
      <c r="B901" s="945"/>
      <c r="C901" s="938"/>
      <c r="D901" s="932"/>
      <c r="G901" s="933"/>
      <c r="H901" s="934"/>
    </row>
    <row r="902" spans="1:8" hidden="1">
      <c r="A902" s="944"/>
      <c r="B902" s="945"/>
      <c r="C902" s="938"/>
      <c r="D902" s="932"/>
      <c r="G902" s="933"/>
      <c r="H902" s="934"/>
    </row>
    <row r="903" spans="1:8" hidden="1">
      <c r="C903" s="938"/>
      <c r="D903" s="932"/>
      <c r="G903" s="933"/>
      <c r="H903" s="934"/>
    </row>
    <row r="904" spans="1:8" hidden="1">
      <c r="C904" s="938"/>
      <c r="D904" s="932"/>
      <c r="G904" s="933"/>
      <c r="H904" s="934"/>
    </row>
    <row r="905" spans="1:8" hidden="1">
      <c r="C905" s="938"/>
      <c r="D905" s="932"/>
      <c r="G905" s="933"/>
      <c r="H905" s="934"/>
    </row>
    <row r="906" spans="1:8" hidden="1">
      <c r="C906" s="938"/>
      <c r="D906" s="932"/>
      <c r="G906" s="933"/>
      <c r="H906" s="934"/>
    </row>
    <row r="907" spans="1:8" hidden="1">
      <c r="C907" s="938"/>
      <c r="D907" s="932"/>
      <c r="G907" s="933"/>
      <c r="H907" s="934"/>
    </row>
    <row r="908" spans="1:8" hidden="1">
      <c r="C908" s="938"/>
      <c r="D908" s="932"/>
      <c r="G908" s="933"/>
      <c r="H908" s="934"/>
    </row>
    <row r="909" spans="1:8" hidden="1">
      <c r="C909" s="938"/>
      <c r="D909" s="932"/>
      <c r="G909" s="933"/>
      <c r="H909" s="934"/>
    </row>
    <row r="910" spans="1:8" hidden="1">
      <c r="D910" s="932"/>
      <c r="G910" s="933"/>
      <c r="H910" s="934"/>
    </row>
    <row r="911" spans="1:8" hidden="1">
      <c r="D911" s="932"/>
      <c r="G911" s="933"/>
      <c r="H911" s="934"/>
    </row>
    <row r="912" spans="1:8" hidden="1">
      <c r="D912" s="932"/>
      <c r="G912" s="933"/>
      <c r="H912" s="934"/>
    </row>
    <row r="913" spans="1:8" hidden="1">
      <c r="A913" s="930"/>
      <c r="B913" s="931"/>
      <c r="D913" s="932"/>
      <c r="G913" s="933"/>
      <c r="H913" s="934"/>
    </row>
    <row r="914" spans="1:8" hidden="1">
      <c r="A914" s="930"/>
      <c r="B914" s="931"/>
      <c r="D914" s="932"/>
      <c r="G914" s="933"/>
      <c r="H914" s="934"/>
    </row>
    <row r="915" spans="1:8" hidden="1">
      <c r="A915" s="930"/>
      <c r="B915" s="931"/>
      <c r="D915" s="932"/>
      <c r="G915" s="933"/>
      <c r="H915" s="934"/>
    </row>
    <row r="916" spans="1:8" hidden="1">
      <c r="A916" s="930"/>
      <c r="B916" s="931"/>
      <c r="D916" s="932"/>
      <c r="G916" s="933"/>
      <c r="H916" s="934"/>
    </row>
    <row r="917" spans="1:8" hidden="1">
      <c r="A917" s="930"/>
      <c r="B917" s="931"/>
      <c r="D917" s="932"/>
      <c r="G917" s="933"/>
      <c r="H917" s="934"/>
    </row>
    <row r="918" spans="1:8" hidden="1">
      <c r="A918" s="930"/>
      <c r="B918" s="931"/>
      <c r="D918" s="932"/>
      <c r="G918" s="933"/>
      <c r="H918" s="934"/>
    </row>
    <row r="919" spans="1:8" hidden="1">
      <c r="A919" s="930"/>
      <c r="B919" s="931"/>
      <c r="D919" s="932"/>
      <c r="G919" s="933"/>
      <c r="H919" s="934"/>
    </row>
    <row r="920" spans="1:8" hidden="1">
      <c r="D920" s="932"/>
      <c r="G920" s="933"/>
      <c r="H920" s="934"/>
    </row>
    <row r="921" spans="1:8" hidden="1">
      <c r="D921" s="932"/>
      <c r="G921" s="933"/>
      <c r="H921" s="934"/>
    </row>
    <row r="922" spans="1:8" hidden="1">
      <c r="A922" s="930"/>
      <c r="B922" s="931"/>
      <c r="D922" s="932"/>
      <c r="G922" s="933"/>
      <c r="H922" s="934"/>
    </row>
    <row r="923" spans="1:8" hidden="1">
      <c r="A923" s="936"/>
      <c r="B923" s="937"/>
      <c r="D923" s="932"/>
      <c r="G923" s="933"/>
      <c r="H923" s="934"/>
    </row>
    <row r="924" spans="1:8" hidden="1">
      <c r="G924" s="933"/>
      <c r="H924" s="934"/>
    </row>
    <row r="925" spans="1:8" hidden="1">
      <c r="G925" s="933"/>
      <c r="H925" s="934"/>
    </row>
    <row r="926" spans="1:8" hidden="1">
      <c r="G926" s="933"/>
      <c r="H926" s="934"/>
    </row>
    <row r="927" spans="1:8" hidden="1">
      <c r="G927" s="933"/>
      <c r="H927" s="934"/>
    </row>
    <row r="928" spans="1:8" hidden="1">
      <c r="A928" s="930"/>
      <c r="B928" s="931"/>
      <c r="G928" s="933"/>
      <c r="H928" s="934"/>
    </row>
    <row r="929" spans="1:8" hidden="1">
      <c r="G929" s="933"/>
      <c r="H929" s="934"/>
    </row>
    <row r="930" spans="1:8" hidden="1">
      <c r="G930" s="933"/>
      <c r="H930" s="934"/>
    </row>
    <row r="931" spans="1:8" hidden="1">
      <c r="G931" s="933"/>
      <c r="H931" s="934"/>
    </row>
    <row r="932" spans="1:8" hidden="1">
      <c r="A932" s="936"/>
      <c r="B932" s="937"/>
      <c r="G932" s="933"/>
      <c r="H932" s="934"/>
    </row>
    <row r="933" spans="1:8" hidden="1">
      <c r="G933" s="933"/>
      <c r="H933" s="934"/>
    </row>
    <row r="934" spans="1:8" ht="15" hidden="1">
      <c r="A934" s="58"/>
      <c r="B934"/>
      <c r="G934" s="933"/>
      <c r="H934" s="934"/>
    </row>
    <row r="935" spans="1:8" ht="15" hidden="1">
      <c r="A935" s="58"/>
      <c r="B935"/>
      <c r="G935" s="933"/>
      <c r="H935" s="934"/>
    </row>
    <row r="936" spans="1:8" hidden="1">
      <c r="G936" s="933"/>
      <c r="H936" s="934"/>
    </row>
    <row r="937" spans="1:8" hidden="1">
      <c r="A937" s="936"/>
      <c r="B937" s="937"/>
      <c r="G937" s="933"/>
      <c r="H937" s="934"/>
    </row>
    <row r="938" spans="1:8" hidden="1">
      <c r="A938" s="936"/>
      <c r="B938" s="937"/>
      <c r="G938" s="933"/>
      <c r="H938" s="934"/>
    </row>
    <row r="939" spans="1:8" hidden="1">
      <c r="G939" s="933"/>
      <c r="H939" s="934"/>
    </row>
    <row r="940" spans="1:8" hidden="1">
      <c r="G940" s="933"/>
      <c r="H940" s="934"/>
    </row>
    <row r="941" spans="1:8" hidden="1">
      <c r="G941" s="933"/>
      <c r="H941" s="934"/>
    </row>
    <row r="942" spans="1:8" hidden="1">
      <c r="G942" s="933"/>
      <c r="H942" s="934"/>
    </row>
    <row r="943" spans="1:8" hidden="1">
      <c r="G943" s="933"/>
      <c r="H943" s="934"/>
    </row>
    <row r="944" spans="1:8" hidden="1">
      <c r="G944" s="933"/>
      <c r="H944" s="934"/>
    </row>
    <row r="945" spans="4:8" hidden="1">
      <c r="G945" s="933"/>
      <c r="H945" s="934"/>
    </row>
    <row r="946" spans="4:8" hidden="1">
      <c r="G946" s="933"/>
      <c r="H946" s="934"/>
    </row>
    <row r="947" spans="4:8" hidden="1">
      <c r="G947" s="933"/>
      <c r="H947" s="934"/>
    </row>
    <row r="948" spans="4:8" hidden="1">
      <c r="G948" s="933"/>
      <c r="H948" s="934"/>
    </row>
    <row r="949" spans="4:8" hidden="1">
      <c r="G949" s="933"/>
      <c r="H949" s="934"/>
    </row>
    <row r="950" spans="4:8" hidden="1">
      <c r="G950" s="933"/>
      <c r="H950" s="934"/>
    </row>
    <row r="951" spans="4:8" hidden="1">
      <c r="G951" s="933"/>
      <c r="H951" s="934"/>
    </row>
    <row r="952" spans="4:8" hidden="1">
      <c r="G952" s="933"/>
      <c r="H952" s="934"/>
    </row>
    <row r="953" spans="4:8" hidden="1">
      <c r="G953" s="933"/>
      <c r="H953" s="934"/>
    </row>
    <row r="954" spans="4:8" hidden="1">
      <c r="D954" s="932"/>
      <c r="G954" s="933"/>
      <c r="H954" s="934"/>
    </row>
    <row r="955" spans="4:8" hidden="1">
      <c r="D955" s="932"/>
      <c r="G955" s="933"/>
      <c r="H955" s="934"/>
    </row>
    <row r="956" spans="4:8" hidden="1">
      <c r="D956" s="932"/>
      <c r="G956" s="933"/>
      <c r="H956" s="934"/>
    </row>
    <row r="957" spans="4:8" hidden="1">
      <c r="D957" s="932"/>
      <c r="G957" s="933"/>
      <c r="H957" s="934"/>
    </row>
    <row r="958" spans="4:8" hidden="1">
      <c r="D958" s="932"/>
      <c r="G958" s="933"/>
      <c r="H958" s="934"/>
    </row>
    <row r="959" spans="4:8" hidden="1">
      <c r="D959" s="932"/>
      <c r="G959" s="933"/>
      <c r="H959" s="934"/>
    </row>
    <row r="960" spans="4:8" hidden="1">
      <c r="D960" s="932"/>
      <c r="G960" s="933"/>
      <c r="H960" s="934"/>
    </row>
    <row r="961" spans="4:8" hidden="1">
      <c r="D961" s="932"/>
      <c r="G961" s="933"/>
      <c r="H961" s="934"/>
    </row>
    <row r="962" spans="4:8" hidden="1">
      <c r="D962" s="932"/>
      <c r="G962" s="933"/>
      <c r="H962" s="934"/>
    </row>
    <row r="963" spans="4:8" hidden="1">
      <c r="D963" s="932"/>
      <c r="G963" s="933"/>
      <c r="H963" s="934"/>
    </row>
    <row r="964" spans="4:8" hidden="1">
      <c r="D964" s="932"/>
      <c r="G964" s="933"/>
      <c r="H964" s="934"/>
    </row>
    <row r="965" spans="4:8" hidden="1">
      <c r="D965" s="932"/>
      <c r="G965" s="933"/>
      <c r="H965" s="934"/>
    </row>
    <row r="966" spans="4:8" hidden="1">
      <c r="D966" s="932"/>
      <c r="G966" s="933"/>
      <c r="H966" s="934"/>
    </row>
    <row r="967" spans="4:8" hidden="1">
      <c r="D967" s="932"/>
      <c r="G967" s="933"/>
      <c r="H967" s="934"/>
    </row>
    <row r="968" spans="4:8" hidden="1">
      <c r="G968" s="933"/>
      <c r="H968" s="934"/>
    </row>
    <row r="969" spans="4:8" hidden="1">
      <c r="G969" s="933"/>
      <c r="H969" s="934"/>
    </row>
    <row r="970" spans="4:8" hidden="1">
      <c r="G970" s="933"/>
      <c r="H970" s="934"/>
    </row>
    <row r="971" spans="4:8" hidden="1">
      <c r="G971" s="933"/>
      <c r="H971" s="934"/>
    </row>
    <row r="972" spans="4:8" hidden="1">
      <c r="G972" s="933"/>
      <c r="H972" s="934"/>
    </row>
    <row r="973" spans="4:8" hidden="1">
      <c r="G973" s="933"/>
      <c r="H973" s="934"/>
    </row>
    <row r="974" spans="4:8" hidden="1">
      <c r="G974" s="933"/>
      <c r="H974" s="934"/>
    </row>
    <row r="975" spans="4:8" hidden="1">
      <c r="G975" s="933"/>
      <c r="H975" s="934"/>
    </row>
    <row r="976" spans="4:8" hidden="1">
      <c r="G976" s="933"/>
      <c r="H976" s="934"/>
    </row>
    <row r="977" spans="7:8" hidden="1">
      <c r="G977" s="933"/>
      <c r="H977" s="934"/>
    </row>
    <row r="978" spans="7:8" hidden="1">
      <c r="G978" s="933"/>
      <c r="H978" s="934"/>
    </row>
    <row r="979" spans="7:8" hidden="1">
      <c r="G979" s="933"/>
      <c r="H979" s="934"/>
    </row>
    <row r="980" spans="7:8" hidden="1">
      <c r="G980" s="933"/>
      <c r="H980" s="934"/>
    </row>
    <row r="981" spans="7:8" hidden="1">
      <c r="G981" s="933"/>
      <c r="H981" s="934"/>
    </row>
    <row r="982" spans="7:8" hidden="1">
      <c r="G982" s="933"/>
      <c r="H982" s="934"/>
    </row>
    <row r="983" spans="7:8" hidden="1">
      <c r="G983" s="933"/>
      <c r="H983" s="934"/>
    </row>
    <row r="984" spans="7:8" hidden="1">
      <c r="G984" s="933"/>
      <c r="H984" s="934"/>
    </row>
    <row r="985" spans="7:8" hidden="1">
      <c r="G985" s="933"/>
      <c r="H985" s="934"/>
    </row>
    <row r="986" spans="7:8" hidden="1">
      <c r="G986" s="933"/>
      <c r="H986" s="934"/>
    </row>
    <row r="987" spans="7:8" hidden="1">
      <c r="G987" s="933"/>
      <c r="H987" s="934"/>
    </row>
    <row r="988" spans="7:8" hidden="1">
      <c r="G988" s="933"/>
      <c r="H988" s="934"/>
    </row>
    <row r="989" spans="7:8" hidden="1">
      <c r="G989" s="933"/>
      <c r="H989" s="934"/>
    </row>
    <row r="990" spans="7:8" hidden="1">
      <c r="G990" s="933"/>
      <c r="H990" s="934"/>
    </row>
    <row r="991" spans="7:8" hidden="1">
      <c r="G991" s="933"/>
      <c r="H991" s="934"/>
    </row>
    <row r="992" spans="7:8" hidden="1">
      <c r="G992" s="933"/>
      <c r="H992" s="934"/>
    </row>
    <row r="993" spans="7:8" hidden="1">
      <c r="G993" s="933"/>
      <c r="H993" s="934"/>
    </row>
    <row r="994" spans="7:8" hidden="1">
      <c r="G994" s="933"/>
      <c r="H994" s="934"/>
    </row>
    <row r="995" spans="7:8" hidden="1">
      <c r="G995" s="933"/>
      <c r="H995" s="934"/>
    </row>
    <row r="996" spans="7:8" hidden="1">
      <c r="G996" s="933"/>
      <c r="H996" s="934"/>
    </row>
    <row r="997" spans="7:8" hidden="1">
      <c r="G997" s="933"/>
      <c r="H997" s="934"/>
    </row>
    <row r="998" spans="7:8" hidden="1">
      <c r="G998" s="933"/>
      <c r="H998" s="934"/>
    </row>
    <row r="999" spans="7:8" hidden="1">
      <c r="G999" s="933"/>
      <c r="H999" s="934"/>
    </row>
    <row r="1000" spans="7:8" hidden="1">
      <c r="G1000" s="933"/>
      <c r="H1000" s="934"/>
    </row>
    <row r="1001" spans="7:8" hidden="1">
      <c r="G1001" s="933"/>
      <c r="H1001" s="934"/>
    </row>
    <row r="1002" spans="7:8" hidden="1">
      <c r="G1002" s="933"/>
      <c r="H1002" s="934"/>
    </row>
    <row r="1003" spans="7:8" hidden="1">
      <c r="G1003" s="933"/>
      <c r="H1003" s="934"/>
    </row>
    <row r="1004" spans="7:8" hidden="1">
      <c r="G1004" s="933"/>
      <c r="H1004" s="934"/>
    </row>
    <row r="1005" spans="7:8" hidden="1">
      <c r="G1005" s="933"/>
      <c r="H1005" s="934"/>
    </row>
    <row r="1006" spans="7:8" hidden="1">
      <c r="G1006" s="933"/>
      <c r="H1006" s="934"/>
    </row>
    <row r="1007" spans="7:8" hidden="1">
      <c r="G1007" s="933"/>
      <c r="H1007" s="934"/>
    </row>
    <row r="1008" spans="7:8" hidden="1">
      <c r="G1008" s="933"/>
      <c r="H1008" s="934"/>
    </row>
    <row r="1009" spans="7:8" hidden="1">
      <c r="G1009" s="933"/>
      <c r="H1009" s="934"/>
    </row>
    <row r="1010" spans="7:8" hidden="1">
      <c r="G1010" s="933"/>
      <c r="H1010" s="934"/>
    </row>
    <row r="1011" spans="7:8" hidden="1">
      <c r="G1011" s="933"/>
      <c r="H1011" s="934"/>
    </row>
    <row r="1012" spans="7:8" hidden="1">
      <c r="G1012" s="933"/>
      <c r="H1012" s="934"/>
    </row>
    <row r="1013" spans="7:8" hidden="1">
      <c r="G1013" s="933"/>
      <c r="H1013" s="934"/>
    </row>
    <row r="1014" spans="7:8" hidden="1">
      <c r="G1014" s="933"/>
      <c r="H1014" s="934"/>
    </row>
    <row r="1015" spans="7:8" hidden="1">
      <c r="G1015" s="933"/>
      <c r="H1015" s="934"/>
    </row>
    <row r="1016" spans="7:8" hidden="1">
      <c r="G1016" s="933"/>
      <c r="H1016" s="934"/>
    </row>
    <row r="1017" spans="7:8" hidden="1">
      <c r="G1017" s="933"/>
      <c r="H1017" s="934"/>
    </row>
    <row r="1018" spans="7:8" hidden="1">
      <c r="G1018" s="933"/>
      <c r="H1018" s="934"/>
    </row>
    <row r="1019" spans="7:8" hidden="1">
      <c r="G1019" s="933"/>
      <c r="H1019" s="934"/>
    </row>
    <row r="1020" spans="7:8" hidden="1">
      <c r="G1020" s="933"/>
      <c r="H1020" s="934"/>
    </row>
    <row r="1021" spans="7:8" hidden="1">
      <c r="G1021" s="933"/>
      <c r="H1021" s="934"/>
    </row>
    <row r="1022" spans="7:8" hidden="1">
      <c r="G1022" s="933"/>
      <c r="H1022" s="934"/>
    </row>
    <row r="1023" spans="7:8" hidden="1">
      <c r="G1023" s="933"/>
      <c r="H1023" s="934"/>
    </row>
    <row r="1024" spans="7:8" hidden="1">
      <c r="G1024" s="933"/>
      <c r="H1024" s="934"/>
    </row>
    <row r="1025" spans="1:8" hidden="1">
      <c r="G1025" s="933"/>
      <c r="H1025" s="934"/>
    </row>
    <row r="1026" spans="1:8" hidden="1">
      <c r="G1026" s="933"/>
      <c r="H1026" s="934"/>
    </row>
    <row r="1027" spans="1:8" hidden="1">
      <c r="G1027" s="933"/>
      <c r="H1027" s="934"/>
    </row>
    <row r="1028" spans="1:8" hidden="1">
      <c r="G1028" s="933"/>
      <c r="H1028" s="934"/>
    </row>
    <row r="1029" spans="1:8" hidden="1">
      <c r="G1029" s="933"/>
      <c r="H1029" s="934"/>
    </row>
    <row r="1030" spans="1:8" hidden="1">
      <c r="G1030" s="933"/>
      <c r="H1030" s="934"/>
    </row>
    <row r="1031" spans="1:8" hidden="1">
      <c r="G1031" s="933"/>
      <c r="H1031" s="934"/>
    </row>
    <row r="1032" spans="1:8" hidden="1">
      <c r="G1032" s="933"/>
      <c r="H1032" s="934"/>
    </row>
    <row r="1033" spans="1:8" hidden="1">
      <c r="G1033" s="933"/>
      <c r="H1033" s="934"/>
    </row>
    <row r="1034" spans="1:8" hidden="1">
      <c r="A1034" s="930"/>
      <c r="B1034" s="931"/>
      <c r="G1034" s="933"/>
      <c r="H1034" s="934"/>
    </row>
    <row r="1035" spans="1:8" hidden="1">
      <c r="A1035" s="930"/>
      <c r="B1035" s="931"/>
      <c r="G1035" s="933"/>
      <c r="H1035" s="934"/>
    </row>
    <row r="1036" spans="1:8" hidden="1">
      <c r="G1036" s="933"/>
      <c r="H1036" s="934"/>
    </row>
    <row r="1037" spans="1:8" hidden="1">
      <c r="G1037" s="933"/>
      <c r="H1037" s="934"/>
    </row>
    <row r="1038" spans="1:8" hidden="1">
      <c r="G1038" s="933"/>
      <c r="H1038" s="934"/>
    </row>
    <row r="1039" spans="1:8" hidden="1">
      <c r="G1039" s="933"/>
      <c r="H1039" s="934"/>
    </row>
    <row r="1040" spans="1:8" hidden="1">
      <c r="G1040" s="933"/>
      <c r="H1040" s="934"/>
    </row>
    <row r="1041" spans="1:8" hidden="1">
      <c r="G1041" s="933"/>
      <c r="H1041" s="934"/>
    </row>
    <row r="1042" spans="1:8" hidden="1">
      <c r="G1042" s="933"/>
      <c r="H1042" s="934"/>
    </row>
    <row r="1043" spans="1:8" hidden="1">
      <c r="G1043" s="933"/>
      <c r="H1043" s="934"/>
    </row>
    <row r="1044" spans="1:8" hidden="1">
      <c r="G1044" s="933"/>
      <c r="H1044" s="934"/>
    </row>
    <row r="1045" spans="1:8" hidden="1">
      <c r="G1045" s="933"/>
      <c r="H1045" s="934"/>
    </row>
    <row r="1046" spans="1:8" hidden="1">
      <c r="G1046" s="933"/>
      <c r="H1046" s="934"/>
    </row>
    <row r="1047" spans="1:8" hidden="1">
      <c r="G1047" s="933"/>
      <c r="H1047" s="934"/>
    </row>
    <row r="1048" spans="1:8" hidden="1">
      <c r="G1048" s="933"/>
      <c r="H1048" s="934"/>
    </row>
    <row r="1049" spans="1:8" hidden="1">
      <c r="A1049" s="930"/>
      <c r="B1049" s="931"/>
      <c r="G1049" s="933"/>
      <c r="H1049" s="934"/>
    </row>
    <row r="1050" spans="1:8" hidden="1">
      <c r="A1050" s="930"/>
      <c r="B1050" s="931"/>
      <c r="G1050" s="933"/>
      <c r="H1050" s="934"/>
    </row>
    <row r="1051" spans="1:8" hidden="1">
      <c r="A1051" s="930"/>
      <c r="B1051" s="931"/>
      <c r="G1051" s="933"/>
      <c r="H1051" s="934"/>
    </row>
    <row r="1052" spans="1:8" hidden="1">
      <c r="G1052" s="933"/>
      <c r="H1052" s="934"/>
    </row>
    <row r="1053" spans="1:8" hidden="1">
      <c r="G1053" s="933"/>
      <c r="H1053" s="934"/>
    </row>
    <row r="1054" spans="1:8" hidden="1">
      <c r="G1054" s="933"/>
      <c r="H1054" s="934"/>
    </row>
    <row r="1055" spans="1:8" hidden="1">
      <c r="A1055" s="930"/>
      <c r="B1055" s="931"/>
      <c r="G1055" s="933"/>
      <c r="H1055" s="934"/>
    </row>
    <row r="1056" spans="1:8" hidden="1">
      <c r="G1056" s="933"/>
      <c r="H1056" s="934"/>
    </row>
    <row r="1057" spans="7:8" hidden="1">
      <c r="G1057" s="933"/>
      <c r="H1057" s="934"/>
    </row>
    <row r="1058" spans="7:8" hidden="1">
      <c r="G1058" s="933"/>
      <c r="H1058" s="934"/>
    </row>
    <row r="1059" spans="7:8" hidden="1">
      <c r="G1059" s="933"/>
      <c r="H1059" s="934"/>
    </row>
    <row r="1060" spans="7:8" hidden="1">
      <c r="G1060" s="933"/>
      <c r="H1060" s="934"/>
    </row>
    <row r="1061" spans="7:8" hidden="1">
      <c r="G1061" s="933"/>
      <c r="H1061" s="934"/>
    </row>
    <row r="1062" spans="7:8" hidden="1">
      <c r="G1062" s="933"/>
      <c r="H1062" s="934"/>
    </row>
    <row r="1063" spans="7:8" hidden="1">
      <c r="G1063" s="933"/>
      <c r="H1063" s="934"/>
    </row>
    <row r="1064" spans="7:8" hidden="1">
      <c r="G1064" s="933"/>
      <c r="H1064" s="934"/>
    </row>
    <row r="1065" spans="7:8" hidden="1">
      <c r="G1065" s="933"/>
      <c r="H1065" s="934"/>
    </row>
    <row r="1066" spans="7:8" hidden="1">
      <c r="G1066" s="933"/>
      <c r="H1066" s="934"/>
    </row>
    <row r="1067" spans="7:8" hidden="1">
      <c r="G1067" s="933"/>
      <c r="H1067" s="934"/>
    </row>
    <row r="1068" spans="7:8" hidden="1">
      <c r="G1068" s="933"/>
      <c r="H1068" s="934"/>
    </row>
    <row r="1069" spans="7:8" hidden="1">
      <c r="G1069" s="933"/>
      <c r="H1069" s="934"/>
    </row>
    <row r="1070" spans="7:8" hidden="1">
      <c r="G1070" s="933"/>
      <c r="H1070" s="934"/>
    </row>
    <row r="1071" spans="7:8" hidden="1">
      <c r="G1071" s="933"/>
      <c r="H1071" s="934"/>
    </row>
    <row r="1072" spans="7:8" hidden="1">
      <c r="G1072" s="933"/>
      <c r="H1072" s="934"/>
    </row>
    <row r="1073" spans="1:8" hidden="1">
      <c r="G1073" s="933"/>
      <c r="H1073" s="934"/>
    </row>
    <row r="1074" spans="1:8" hidden="1">
      <c r="G1074" s="933"/>
      <c r="H1074" s="934"/>
    </row>
    <row r="1075" spans="1:8" hidden="1">
      <c r="G1075" s="933"/>
      <c r="H1075" s="934"/>
    </row>
    <row r="1076" spans="1:8" hidden="1">
      <c r="G1076" s="933"/>
      <c r="H1076" s="934"/>
    </row>
    <row r="1077" spans="1:8" hidden="1">
      <c r="G1077" s="933"/>
      <c r="H1077" s="934"/>
    </row>
    <row r="1078" spans="1:8" hidden="1">
      <c r="G1078" s="933"/>
      <c r="H1078" s="934"/>
    </row>
    <row r="1079" spans="1:8" hidden="1">
      <c r="G1079" s="933"/>
      <c r="H1079" s="934"/>
    </row>
    <row r="1080" spans="1:8" hidden="1">
      <c r="G1080" s="933"/>
      <c r="H1080" s="934"/>
    </row>
    <row r="1081" spans="1:8" hidden="1">
      <c r="G1081" s="933"/>
      <c r="H1081" s="934"/>
    </row>
    <row r="1082" spans="1:8" hidden="1">
      <c r="G1082" s="933"/>
      <c r="H1082" s="934"/>
    </row>
    <row r="1083" spans="1:8" hidden="1">
      <c r="G1083" s="933"/>
      <c r="H1083" s="934"/>
    </row>
    <row r="1084" spans="1:8" hidden="1">
      <c r="G1084" s="933"/>
      <c r="H1084" s="934"/>
    </row>
    <row r="1085" spans="1:8" hidden="1">
      <c r="G1085" s="933"/>
      <c r="H1085" s="934"/>
    </row>
    <row r="1086" spans="1:8" hidden="1">
      <c r="G1086" s="933"/>
      <c r="H1086" s="934"/>
    </row>
    <row r="1087" spans="1:8" hidden="1">
      <c r="G1087" s="933"/>
      <c r="H1087" s="934"/>
    </row>
    <row r="1088" spans="1:8" hidden="1">
      <c r="A1088" s="939"/>
      <c r="B1088" s="941"/>
      <c r="G1088" s="933"/>
      <c r="H1088" s="934"/>
    </row>
    <row r="1089" spans="1:8" hidden="1">
      <c r="G1089" s="933"/>
      <c r="H1089" s="934"/>
    </row>
    <row r="1090" spans="1:8" hidden="1">
      <c r="A1090" s="930"/>
      <c r="B1090" s="931"/>
      <c r="G1090" s="933"/>
      <c r="H1090" s="934"/>
    </row>
    <row r="1091" spans="1:8" hidden="1">
      <c r="G1091" s="933"/>
      <c r="H1091" s="934"/>
    </row>
    <row r="1092" spans="1:8" hidden="1">
      <c r="G1092" s="933"/>
      <c r="H1092" s="934"/>
    </row>
    <row r="1093" spans="1:8" hidden="1">
      <c r="G1093" s="933"/>
      <c r="H1093" s="934"/>
    </row>
    <row r="1094" spans="1:8" hidden="1">
      <c r="G1094" s="933"/>
      <c r="H1094" s="934"/>
    </row>
    <row r="1095" spans="1:8" hidden="1">
      <c r="G1095" s="933"/>
      <c r="H1095" s="934"/>
    </row>
    <row r="1096" spans="1:8" hidden="1">
      <c r="G1096" s="933"/>
      <c r="H1096" s="934"/>
    </row>
    <row r="1097" spans="1:8" hidden="1">
      <c r="G1097" s="933"/>
      <c r="H1097" s="934"/>
    </row>
    <row r="1098" spans="1:8" hidden="1">
      <c r="A1098" s="930"/>
      <c r="B1098" s="931"/>
      <c r="G1098" s="933"/>
      <c r="H1098" s="934"/>
    </row>
    <row r="1099" spans="1:8" hidden="1">
      <c r="G1099" s="933"/>
      <c r="H1099" s="934"/>
    </row>
    <row r="1100" spans="1:8" hidden="1">
      <c r="G1100" s="933"/>
      <c r="H1100" s="934"/>
    </row>
    <row r="1101" spans="1:8" hidden="1">
      <c r="A1101" s="939"/>
      <c r="B1101" s="941"/>
      <c r="G1101" s="933"/>
      <c r="H1101" s="934"/>
    </row>
    <row r="1102" spans="1:8" hidden="1">
      <c r="G1102" s="933"/>
      <c r="H1102" s="934"/>
    </row>
    <row r="1103" spans="1:8" hidden="1">
      <c r="G1103" s="933"/>
      <c r="H1103" s="934"/>
    </row>
    <row r="1104" spans="1:8" hidden="1">
      <c r="A1104" s="939"/>
      <c r="B1104" s="941"/>
      <c r="G1104" s="933"/>
      <c r="H1104" s="934"/>
    </row>
    <row r="1105" spans="1:8" hidden="1">
      <c r="G1105" s="933"/>
      <c r="H1105" s="934"/>
    </row>
    <row r="1106" spans="1:8" hidden="1">
      <c r="G1106" s="933"/>
      <c r="H1106" s="934"/>
    </row>
    <row r="1107" spans="1:8" hidden="1">
      <c r="G1107" s="933"/>
      <c r="H1107" s="934"/>
    </row>
    <row r="1108" spans="1:8" hidden="1">
      <c r="A1108" s="930"/>
      <c r="B1108" s="931"/>
      <c r="G1108" s="933"/>
      <c r="H1108" s="934"/>
    </row>
    <row r="1109" spans="1:8" hidden="1">
      <c r="A1109" s="936"/>
      <c r="B1109" s="937"/>
      <c r="G1109" s="933"/>
      <c r="H1109" s="934"/>
    </row>
    <row r="1110" spans="1:8" hidden="1">
      <c r="G1110" s="933"/>
      <c r="H1110" s="934"/>
    </row>
    <row r="1111" spans="1:8" hidden="1">
      <c r="G1111" s="933"/>
      <c r="H1111" s="934"/>
    </row>
    <row r="1112" spans="1:8" hidden="1">
      <c r="A1112" s="944"/>
      <c r="B1112" s="945"/>
      <c r="G1112" s="933"/>
      <c r="H1112" s="934"/>
    </row>
    <row r="1113" spans="1:8" hidden="1">
      <c r="G1113" s="933"/>
      <c r="H1113" s="934"/>
    </row>
    <row r="1114" spans="1:8" hidden="1">
      <c r="G1114" s="933"/>
      <c r="H1114" s="934"/>
    </row>
    <row r="1115" spans="1:8" hidden="1">
      <c r="A1115" s="936"/>
      <c r="B1115" s="937"/>
      <c r="G1115" s="933"/>
      <c r="H1115" s="934"/>
    </row>
    <row r="1116" spans="1:8" hidden="1">
      <c r="A1116" s="930"/>
      <c r="B1116" s="931"/>
      <c r="G1116" s="933"/>
      <c r="H1116" s="934"/>
    </row>
    <row r="1117" spans="1:8" hidden="1">
      <c r="G1117" s="933"/>
      <c r="H1117" s="934"/>
    </row>
    <row r="1118" spans="1:8" hidden="1">
      <c r="A1118" s="944"/>
      <c r="B1118" s="945"/>
      <c r="G1118" s="933"/>
      <c r="H1118" s="934"/>
    </row>
    <row r="1119" spans="1:8" hidden="1">
      <c r="G1119" s="933"/>
      <c r="H1119" s="934"/>
    </row>
    <row r="1120" spans="1:8" hidden="1">
      <c r="G1120" s="933"/>
      <c r="H1120" s="934"/>
    </row>
    <row r="1121" spans="1:8" hidden="1">
      <c r="A1121" s="943"/>
      <c r="B1121" s="946"/>
      <c r="G1121" s="933"/>
      <c r="H1121" s="934"/>
    </row>
    <row r="1122" spans="1:8" hidden="1">
      <c r="G1122" s="933"/>
      <c r="H1122" s="934"/>
    </row>
    <row r="1123" spans="1:8" hidden="1">
      <c r="G1123" s="933"/>
      <c r="H1123" s="934"/>
    </row>
    <row r="1124" spans="1:8" hidden="1">
      <c r="A1124" s="930"/>
      <c r="B1124" s="931"/>
      <c r="G1124" s="933"/>
      <c r="H1124" s="934"/>
    </row>
    <row r="1125" spans="1:8" hidden="1">
      <c r="G1125" s="933"/>
      <c r="H1125" s="934"/>
    </row>
    <row r="1126" spans="1:8" hidden="1">
      <c r="G1126" s="933"/>
      <c r="H1126" s="934"/>
    </row>
    <row r="1127" spans="1:8" hidden="1">
      <c r="G1127" s="933"/>
      <c r="H1127" s="934"/>
    </row>
    <row r="1128" spans="1:8" hidden="1">
      <c r="G1128" s="933"/>
      <c r="H1128" s="934"/>
    </row>
    <row r="1129" spans="1:8" hidden="1">
      <c r="G1129" s="933"/>
      <c r="H1129" s="934"/>
    </row>
    <row r="1130" spans="1:8" hidden="1">
      <c r="G1130" s="933"/>
      <c r="H1130" s="934"/>
    </row>
    <row r="1131" spans="1:8" hidden="1">
      <c r="A1131" s="939"/>
      <c r="B1131" s="941"/>
      <c r="G1131" s="933"/>
      <c r="H1131" s="934"/>
    </row>
    <row r="1132" spans="1:8" hidden="1">
      <c r="G1132" s="933"/>
      <c r="H1132" s="934"/>
    </row>
    <row r="1133" spans="1:8" hidden="1">
      <c r="G1133" s="933"/>
      <c r="H1133" s="934"/>
    </row>
    <row r="1134" spans="1:8" hidden="1">
      <c r="G1134" s="933"/>
      <c r="H1134" s="934"/>
    </row>
    <row r="1135" spans="1:8" hidden="1">
      <c r="A1135" s="930"/>
      <c r="B1135" s="945"/>
      <c r="G1135" s="933"/>
      <c r="H1135" s="934"/>
    </row>
    <row r="1136" spans="1:8" hidden="1">
      <c r="G1136" s="933"/>
      <c r="H1136" s="934"/>
    </row>
    <row r="1137" spans="1:8" hidden="1">
      <c r="G1137" s="933"/>
      <c r="H1137" s="934"/>
    </row>
    <row r="1138" spans="1:8" hidden="1">
      <c r="G1138" s="933"/>
      <c r="H1138" s="934"/>
    </row>
    <row r="1139" spans="1:8" hidden="1">
      <c r="G1139" s="933"/>
      <c r="H1139" s="934"/>
    </row>
    <row r="1140" spans="1:8" hidden="1">
      <c r="G1140" s="933"/>
      <c r="H1140" s="934"/>
    </row>
    <row r="1141" spans="1:8" hidden="1">
      <c r="A1141" s="930"/>
      <c r="B1141" s="945"/>
      <c r="G1141" s="933"/>
      <c r="H1141" s="934"/>
    </row>
    <row r="1142" spans="1:8" hidden="1">
      <c r="G1142" s="933"/>
      <c r="H1142" s="934"/>
    </row>
    <row r="1143" spans="1:8" hidden="1">
      <c r="G1143" s="933"/>
      <c r="H1143" s="934"/>
    </row>
    <row r="1144" spans="1:8" hidden="1">
      <c r="A1144" s="943"/>
      <c r="B1144" s="946"/>
      <c r="G1144" s="933"/>
      <c r="H1144" s="934"/>
    </row>
    <row r="1145" spans="1:8" hidden="1">
      <c r="A1145" s="944"/>
      <c r="B1145" s="945"/>
      <c r="G1145" s="933"/>
      <c r="H1145" s="934"/>
    </row>
    <row r="1146" spans="1:8" hidden="1">
      <c r="G1146" s="933"/>
      <c r="H1146" s="934"/>
    </row>
    <row r="1147" spans="1:8" hidden="1">
      <c r="G1147" s="933"/>
      <c r="H1147" s="934"/>
    </row>
    <row r="1148" spans="1:8" hidden="1">
      <c r="A1148" s="944"/>
      <c r="B1148" s="945"/>
      <c r="G1148" s="933"/>
      <c r="H1148" s="934"/>
    </row>
    <row r="1149" spans="1:8" hidden="1">
      <c r="A1149" s="930"/>
      <c r="B1149" s="931"/>
      <c r="G1149" s="933"/>
      <c r="H1149" s="934"/>
    </row>
    <row r="1150" spans="1:8" hidden="1">
      <c r="A1150" s="930"/>
      <c r="B1150" s="945"/>
      <c r="G1150" s="933"/>
      <c r="H1150" s="934"/>
    </row>
    <row r="1151" spans="1:8" hidden="1">
      <c r="A1151" s="930"/>
      <c r="B1151" s="931"/>
      <c r="G1151" s="933"/>
      <c r="H1151" s="934"/>
    </row>
    <row r="1152" spans="1:8" hidden="1">
      <c r="G1152" s="933"/>
      <c r="H1152" s="934"/>
    </row>
    <row r="1153" spans="1:8" hidden="1">
      <c r="G1153" s="933"/>
      <c r="H1153" s="934"/>
    </row>
    <row r="1154" spans="1:8" hidden="1">
      <c r="G1154" s="933"/>
      <c r="H1154" s="934"/>
    </row>
    <row r="1155" spans="1:8" hidden="1">
      <c r="A1155" s="936"/>
      <c r="B1155" s="937"/>
      <c r="G1155" s="933"/>
      <c r="H1155" s="934"/>
    </row>
    <row r="1156" spans="1:8" hidden="1">
      <c r="G1156" s="933"/>
      <c r="H1156" s="934"/>
    </row>
    <row r="1157" spans="1:8" hidden="1">
      <c r="G1157" s="933"/>
      <c r="H1157" s="934"/>
    </row>
    <row r="1158" spans="1:8" hidden="1">
      <c r="A1158" s="930"/>
      <c r="B1158" s="945"/>
      <c r="G1158" s="933"/>
      <c r="H1158" s="934"/>
    </row>
    <row r="1159" spans="1:8" hidden="1">
      <c r="A1159" s="930"/>
      <c r="B1159" s="931"/>
      <c r="G1159" s="933"/>
      <c r="H1159" s="934"/>
    </row>
    <row r="1160" spans="1:8" hidden="1">
      <c r="G1160" s="933"/>
      <c r="H1160" s="934"/>
    </row>
    <row r="1161" spans="1:8" hidden="1">
      <c r="G1161" s="933"/>
      <c r="H1161" s="934"/>
    </row>
    <row r="1162" spans="1:8" hidden="1">
      <c r="G1162" s="933"/>
      <c r="H1162" s="934"/>
    </row>
    <row r="1163" spans="1:8" hidden="1">
      <c r="G1163" s="933"/>
      <c r="H1163" s="934"/>
    </row>
    <row r="1164" spans="1:8" hidden="1">
      <c r="G1164" s="933"/>
      <c r="H1164" s="934"/>
    </row>
    <row r="1165" spans="1:8" hidden="1">
      <c r="G1165" s="933"/>
      <c r="H1165" s="934"/>
    </row>
    <row r="1166" spans="1:8" hidden="1">
      <c r="A1166" s="930"/>
      <c r="B1166" s="945"/>
      <c r="G1166" s="933"/>
      <c r="H1166" s="934"/>
    </row>
    <row r="1167" spans="1:8" hidden="1">
      <c r="A1167" s="930"/>
      <c r="B1167" s="931"/>
      <c r="G1167" s="933"/>
      <c r="H1167" s="934"/>
    </row>
    <row r="1168" spans="1:8" hidden="1">
      <c r="G1168" s="933"/>
      <c r="H1168" s="934"/>
    </row>
    <row r="1169" spans="1:8" hidden="1">
      <c r="G1169" s="933"/>
      <c r="H1169" s="934"/>
    </row>
    <row r="1170" spans="1:8" hidden="1">
      <c r="G1170" s="933"/>
      <c r="H1170" s="934"/>
    </row>
    <row r="1171" spans="1:8" hidden="1">
      <c r="A1171" s="930"/>
      <c r="B1171" s="931"/>
      <c r="G1171" s="933"/>
      <c r="H1171" s="934"/>
    </row>
    <row r="1172" spans="1:8" hidden="1">
      <c r="G1172" s="933"/>
      <c r="H1172" s="934"/>
    </row>
    <row r="1173" spans="1:8" hidden="1">
      <c r="G1173" s="933"/>
      <c r="H1173" s="934"/>
    </row>
    <row r="1174" spans="1:8" hidden="1">
      <c r="G1174" s="933"/>
      <c r="H1174" s="934"/>
    </row>
    <row r="1175" spans="1:8" hidden="1">
      <c r="G1175" s="933"/>
      <c r="H1175" s="934"/>
    </row>
    <row r="1176" spans="1:8" hidden="1">
      <c r="G1176" s="933"/>
      <c r="H1176" s="934"/>
    </row>
    <row r="1177" spans="1:8" hidden="1">
      <c r="G1177" s="933"/>
      <c r="H1177" s="934"/>
    </row>
    <row r="1178" spans="1:8" hidden="1">
      <c r="G1178" s="933"/>
      <c r="H1178" s="934"/>
    </row>
    <row r="1179" spans="1:8" hidden="1">
      <c r="G1179" s="933"/>
      <c r="H1179" s="934"/>
    </row>
    <row r="1180" spans="1:8" hidden="1">
      <c r="A1180" s="942"/>
      <c r="B1180" s="941"/>
      <c r="G1180" s="933"/>
      <c r="H1180" s="934"/>
    </row>
    <row r="1181" spans="1:8" hidden="1">
      <c r="A1181" s="944"/>
      <c r="B1181" s="945"/>
      <c r="G1181" s="933"/>
      <c r="H1181" s="934"/>
    </row>
    <row r="1182" spans="1:8" hidden="1">
      <c r="G1182" s="933"/>
      <c r="H1182" s="934"/>
    </row>
    <row r="1183" spans="1:8" hidden="1">
      <c r="G1183" s="933"/>
      <c r="H1183" s="934"/>
    </row>
    <row r="1184" spans="1:8" hidden="1">
      <c r="G1184" s="933"/>
      <c r="H1184" s="934"/>
    </row>
    <row r="1185" spans="1:8" hidden="1">
      <c r="G1185" s="933"/>
      <c r="H1185" s="934"/>
    </row>
    <row r="1186" spans="1:8" hidden="1">
      <c r="G1186" s="933"/>
      <c r="H1186" s="934"/>
    </row>
    <row r="1187" spans="1:8" hidden="1">
      <c r="G1187" s="933"/>
      <c r="H1187" s="934"/>
    </row>
    <row r="1188" spans="1:8" hidden="1">
      <c r="G1188" s="933"/>
      <c r="H1188" s="934"/>
    </row>
    <row r="1189" spans="1:8" hidden="1">
      <c r="G1189" s="933"/>
      <c r="H1189" s="934"/>
    </row>
    <row r="1190" spans="1:8" hidden="1">
      <c r="A1190" s="930"/>
      <c r="B1190" s="931"/>
      <c r="G1190" s="933"/>
      <c r="H1190" s="934"/>
    </row>
    <row r="1191" spans="1:8" hidden="1">
      <c r="G1191" s="933"/>
      <c r="H1191" s="934"/>
    </row>
    <row r="1192" spans="1:8" hidden="1">
      <c r="G1192" s="933"/>
      <c r="H1192" s="934"/>
    </row>
    <row r="1193" spans="1:8" hidden="1">
      <c r="A1193" s="930"/>
      <c r="B1193" s="931"/>
      <c r="G1193" s="933"/>
      <c r="H1193" s="934"/>
    </row>
    <row r="1194" spans="1:8" hidden="1">
      <c r="G1194" s="933"/>
      <c r="H1194" s="934"/>
    </row>
    <row r="1195" spans="1:8" hidden="1">
      <c r="G1195" s="933"/>
      <c r="H1195" s="934"/>
    </row>
    <row r="1196" spans="1:8" hidden="1">
      <c r="G1196" s="933"/>
      <c r="H1196" s="934"/>
    </row>
    <row r="1197" spans="1:8" hidden="1">
      <c r="G1197" s="933"/>
      <c r="H1197" s="934"/>
    </row>
    <row r="1198" spans="1:8" hidden="1">
      <c r="G1198" s="933"/>
      <c r="H1198" s="934"/>
    </row>
    <row r="1199" spans="1:8" hidden="1">
      <c r="G1199" s="933"/>
      <c r="H1199" s="934"/>
    </row>
    <row r="1200" spans="1:8" hidden="1">
      <c r="G1200" s="933"/>
      <c r="H1200" s="934"/>
    </row>
    <row r="1201" spans="1:8" hidden="1">
      <c r="G1201" s="933"/>
      <c r="H1201" s="934"/>
    </row>
    <row r="1202" spans="1:8" hidden="1">
      <c r="G1202" s="933"/>
      <c r="H1202" s="934"/>
    </row>
    <row r="1203" spans="1:8" hidden="1">
      <c r="G1203" s="933"/>
      <c r="H1203" s="934"/>
    </row>
    <row r="1204" spans="1:8" hidden="1">
      <c r="G1204" s="933"/>
      <c r="H1204" s="934"/>
    </row>
    <row r="1205" spans="1:8" hidden="1">
      <c r="G1205" s="933"/>
      <c r="H1205" s="934"/>
    </row>
    <row r="1206" spans="1:8" hidden="1">
      <c r="G1206" s="933"/>
      <c r="H1206" s="934"/>
    </row>
    <row r="1207" spans="1:8" hidden="1">
      <c r="A1207" s="930"/>
      <c r="B1207" s="931"/>
      <c r="G1207" s="933"/>
      <c r="H1207" s="934"/>
    </row>
    <row r="1208" spans="1:8" hidden="1">
      <c r="G1208" s="933"/>
      <c r="H1208" s="934"/>
    </row>
    <row r="1209" spans="1:8" hidden="1">
      <c r="G1209" s="933"/>
      <c r="H1209" s="934"/>
    </row>
    <row r="1210" spans="1:8" hidden="1">
      <c r="G1210" s="933"/>
      <c r="H1210" s="934"/>
    </row>
    <row r="1211" spans="1:8" hidden="1">
      <c r="G1211" s="933"/>
      <c r="H1211" s="934"/>
    </row>
    <row r="1212" spans="1:8" hidden="1">
      <c r="A1212" s="930"/>
      <c r="B1212" s="931"/>
      <c r="G1212" s="933"/>
      <c r="H1212" s="934"/>
    </row>
    <row r="1213" spans="1:8" hidden="1">
      <c r="G1213" s="933"/>
      <c r="H1213" s="934"/>
    </row>
    <row r="1214" spans="1:8" hidden="1">
      <c r="G1214" s="933"/>
      <c r="H1214" s="934"/>
    </row>
    <row r="1215" spans="1:8" hidden="1">
      <c r="G1215" s="933"/>
      <c r="H1215" s="934"/>
    </row>
    <row r="1216" spans="1:8" hidden="1">
      <c r="G1216" s="933"/>
      <c r="H1216" s="934"/>
    </row>
    <row r="1217" spans="1:8" hidden="1">
      <c r="G1217" s="933"/>
      <c r="H1217" s="934"/>
    </row>
    <row r="1218" spans="1:8" hidden="1">
      <c r="G1218" s="933"/>
      <c r="H1218" s="934"/>
    </row>
    <row r="1219" spans="1:8" hidden="1">
      <c r="G1219" s="933"/>
      <c r="H1219" s="934"/>
    </row>
    <row r="1220" spans="1:8" hidden="1">
      <c r="G1220" s="933"/>
      <c r="H1220" s="934"/>
    </row>
    <row r="1221" spans="1:8" hidden="1">
      <c r="G1221" s="933"/>
      <c r="H1221" s="934"/>
    </row>
    <row r="1222" spans="1:8" hidden="1">
      <c r="G1222" s="933"/>
      <c r="H1222" s="934"/>
    </row>
    <row r="1223" spans="1:8" hidden="1">
      <c r="G1223" s="933"/>
      <c r="H1223" s="934"/>
    </row>
    <row r="1224" spans="1:8" hidden="1">
      <c r="A1224" s="930"/>
      <c r="B1224" s="945"/>
      <c r="G1224" s="933"/>
      <c r="H1224" s="934"/>
    </row>
    <row r="1225" spans="1:8" hidden="1">
      <c r="G1225" s="933"/>
      <c r="H1225" s="934"/>
    </row>
    <row r="1226" spans="1:8" hidden="1">
      <c r="G1226" s="933"/>
      <c r="H1226" s="934"/>
    </row>
    <row r="1227" spans="1:8" hidden="1">
      <c r="G1227" s="933"/>
      <c r="H1227" s="934"/>
    </row>
    <row r="1228" spans="1:8" hidden="1">
      <c r="G1228" s="933"/>
      <c r="H1228" s="934"/>
    </row>
    <row r="1229" spans="1:8" hidden="1">
      <c r="A1229" s="930"/>
      <c r="B1229" s="931"/>
      <c r="G1229" s="933"/>
      <c r="H1229" s="934"/>
    </row>
    <row r="1230" spans="1:8" hidden="1">
      <c r="G1230" s="933"/>
      <c r="H1230" s="934"/>
    </row>
    <row r="1231" spans="1:8" hidden="1">
      <c r="G1231" s="933"/>
      <c r="H1231" s="934"/>
    </row>
    <row r="1232" spans="1:8" hidden="1">
      <c r="G1232" s="933"/>
      <c r="H1232" s="934"/>
    </row>
    <row r="1233" spans="1:8" hidden="1">
      <c r="G1233" s="933"/>
      <c r="H1233" s="934"/>
    </row>
    <row r="1234" spans="1:8" hidden="1">
      <c r="A1234" s="930"/>
      <c r="B1234" s="931"/>
      <c r="G1234" s="933"/>
      <c r="H1234" s="934"/>
    </row>
    <row r="1235" spans="1:8" hidden="1">
      <c r="A1235" s="930"/>
      <c r="B1235" s="931"/>
      <c r="G1235" s="933"/>
      <c r="H1235" s="934"/>
    </row>
    <row r="1236" spans="1:8" hidden="1">
      <c r="A1236" s="936"/>
      <c r="B1236" s="937"/>
      <c r="G1236" s="933"/>
      <c r="H1236" s="934"/>
    </row>
    <row r="1237" spans="1:8" hidden="1">
      <c r="A1237" s="930"/>
      <c r="B1237" s="945"/>
      <c r="G1237" s="933"/>
      <c r="H1237" s="934"/>
    </row>
    <row r="1238" spans="1:8" hidden="1">
      <c r="A1238" s="930"/>
      <c r="B1238" s="945"/>
      <c r="G1238" s="933"/>
      <c r="H1238" s="934"/>
    </row>
    <row r="1239" spans="1:8" hidden="1">
      <c r="A1239" s="936"/>
      <c r="B1239" s="937"/>
      <c r="G1239" s="933"/>
      <c r="H1239" s="934"/>
    </row>
    <row r="1240" spans="1:8" hidden="1">
      <c r="A1240" s="930"/>
      <c r="B1240" s="931"/>
      <c r="G1240" s="933"/>
      <c r="H1240" s="934"/>
    </row>
    <row r="1241" spans="1:8" hidden="1">
      <c r="A1241" s="930"/>
      <c r="B1241" s="945"/>
      <c r="G1241" s="933"/>
      <c r="H1241" s="934"/>
    </row>
    <row r="1242" spans="1:8" hidden="1">
      <c r="G1242" s="933"/>
      <c r="H1242" s="934"/>
    </row>
    <row r="1243" spans="1:8" hidden="1">
      <c r="G1243" s="933"/>
      <c r="H1243" s="934"/>
    </row>
    <row r="1244" spans="1:8" hidden="1">
      <c r="G1244" s="933"/>
      <c r="H1244" s="934"/>
    </row>
    <row r="1245" spans="1:8" hidden="1">
      <c r="D1245" s="932"/>
      <c r="G1245" s="933"/>
      <c r="H1245" s="934"/>
    </row>
    <row r="1246" spans="1:8" hidden="1">
      <c r="D1246" s="932"/>
      <c r="G1246" s="933"/>
      <c r="H1246" s="934"/>
    </row>
    <row r="1247" spans="1:8" hidden="1">
      <c r="D1247" s="932"/>
      <c r="G1247" s="933"/>
      <c r="H1247" s="934"/>
    </row>
    <row r="1248" spans="1:8" hidden="1">
      <c r="D1248" s="932"/>
      <c r="G1248" s="933"/>
      <c r="H1248" s="934"/>
    </row>
    <row r="1249" spans="1:8" hidden="1">
      <c r="D1249" s="932"/>
      <c r="G1249" s="933"/>
      <c r="H1249" s="934"/>
    </row>
    <row r="1250" spans="1:8" hidden="1">
      <c r="D1250" s="932"/>
      <c r="G1250" s="933"/>
      <c r="H1250" s="934"/>
    </row>
    <row r="1251" spans="1:8" hidden="1">
      <c r="D1251" s="932"/>
      <c r="G1251" s="933"/>
      <c r="H1251" s="934"/>
    </row>
    <row r="1252" spans="1:8" hidden="1">
      <c r="D1252" s="932"/>
      <c r="G1252" s="933"/>
      <c r="H1252" s="934"/>
    </row>
    <row r="1253" spans="1:8" hidden="1">
      <c r="D1253" s="932"/>
      <c r="G1253" s="933"/>
      <c r="H1253" s="934"/>
    </row>
    <row r="1254" spans="1:8" hidden="1">
      <c r="D1254" s="932"/>
      <c r="G1254" s="933"/>
      <c r="H1254" s="934"/>
    </row>
    <row r="1255" spans="1:8" hidden="1">
      <c r="D1255" s="932"/>
      <c r="G1255" s="933"/>
      <c r="H1255" s="934"/>
    </row>
    <row r="1256" spans="1:8" hidden="1">
      <c r="D1256" s="932"/>
      <c r="G1256" s="933"/>
      <c r="H1256" s="934"/>
    </row>
    <row r="1257" spans="1:8" hidden="1">
      <c r="D1257" s="932"/>
      <c r="G1257" s="933"/>
      <c r="H1257" s="934"/>
    </row>
    <row r="1258" spans="1:8" hidden="1">
      <c r="D1258" s="932"/>
      <c r="G1258" s="933"/>
      <c r="H1258" s="934"/>
    </row>
    <row r="1259" spans="1:8" hidden="1">
      <c r="D1259" s="932"/>
      <c r="G1259" s="933"/>
      <c r="H1259" s="934"/>
    </row>
    <row r="1260" spans="1:8" hidden="1">
      <c r="D1260" s="932"/>
      <c r="G1260" s="933"/>
      <c r="H1260" s="934"/>
    </row>
    <row r="1261" spans="1:8" hidden="1">
      <c r="D1261" s="932"/>
      <c r="G1261" s="933"/>
      <c r="H1261" s="934"/>
    </row>
    <row r="1262" spans="1:8" hidden="1">
      <c r="A1262" s="944"/>
      <c r="B1262" s="945"/>
      <c r="D1262" s="932"/>
      <c r="G1262" s="933"/>
      <c r="H1262" s="934"/>
    </row>
    <row r="1263" spans="1:8" hidden="1">
      <c r="D1263" s="932"/>
      <c r="G1263" s="933"/>
      <c r="H1263" s="934"/>
    </row>
    <row r="1264" spans="1:8" hidden="1">
      <c r="D1264" s="932"/>
      <c r="G1264" s="933"/>
      <c r="H1264" s="934"/>
    </row>
    <row r="1265" spans="4:8" hidden="1">
      <c r="D1265" s="932"/>
      <c r="G1265" s="933"/>
      <c r="H1265" s="934"/>
    </row>
    <row r="1266" spans="4:8" hidden="1">
      <c r="D1266" s="932"/>
      <c r="G1266" s="933"/>
      <c r="H1266" s="934"/>
    </row>
    <row r="1267" spans="4:8" hidden="1">
      <c r="D1267" s="932"/>
      <c r="G1267" s="933"/>
      <c r="H1267" s="934"/>
    </row>
    <row r="1268" spans="4:8" hidden="1">
      <c r="D1268" s="932"/>
      <c r="G1268" s="933"/>
      <c r="H1268" s="934"/>
    </row>
    <row r="1269" spans="4:8" hidden="1">
      <c r="D1269" s="932"/>
      <c r="G1269" s="933"/>
      <c r="H1269" s="934"/>
    </row>
    <row r="1270" spans="4:8" hidden="1">
      <c r="D1270" s="932"/>
      <c r="G1270" s="933"/>
      <c r="H1270" s="934"/>
    </row>
    <row r="1271" spans="4:8" hidden="1">
      <c r="D1271" s="932"/>
      <c r="G1271" s="933"/>
      <c r="H1271" s="934"/>
    </row>
    <row r="1272" spans="4:8" hidden="1">
      <c r="D1272" s="932"/>
      <c r="G1272" s="933"/>
      <c r="H1272" s="934"/>
    </row>
    <row r="1273" spans="4:8" hidden="1">
      <c r="D1273" s="932"/>
      <c r="G1273" s="933"/>
      <c r="H1273" s="934"/>
    </row>
    <row r="1274" spans="4:8" hidden="1">
      <c r="D1274" s="932"/>
      <c r="G1274" s="933"/>
      <c r="H1274" s="934"/>
    </row>
    <row r="1275" spans="4:8" hidden="1">
      <c r="D1275" s="932"/>
      <c r="G1275" s="933"/>
      <c r="H1275" s="934"/>
    </row>
    <row r="1276" spans="4:8" hidden="1">
      <c r="D1276" s="932"/>
      <c r="G1276" s="933"/>
      <c r="H1276" s="934"/>
    </row>
    <row r="1277" spans="4:8" hidden="1">
      <c r="D1277" s="932"/>
      <c r="G1277" s="933"/>
      <c r="H1277" s="934"/>
    </row>
    <row r="1278" spans="4:8" hidden="1">
      <c r="D1278" s="932"/>
      <c r="G1278" s="933"/>
      <c r="H1278" s="934"/>
    </row>
    <row r="1279" spans="4:8" hidden="1">
      <c r="D1279" s="932"/>
      <c r="G1279" s="933"/>
      <c r="H1279" s="934"/>
    </row>
    <row r="1280" spans="4:8" hidden="1">
      <c r="D1280" s="932"/>
      <c r="G1280" s="933"/>
      <c r="H1280" s="934"/>
    </row>
    <row r="1281" spans="4:8" hidden="1">
      <c r="D1281" s="932"/>
      <c r="G1281" s="933"/>
      <c r="H1281" s="934"/>
    </row>
    <row r="1282" spans="4:8" hidden="1">
      <c r="D1282" s="932"/>
      <c r="G1282" s="933"/>
      <c r="H1282" s="934"/>
    </row>
    <row r="1283" spans="4:8" hidden="1">
      <c r="D1283" s="932"/>
      <c r="G1283" s="933"/>
      <c r="H1283" s="934"/>
    </row>
    <row r="1284" spans="4:8" hidden="1">
      <c r="D1284" s="932"/>
      <c r="G1284" s="933"/>
      <c r="H1284" s="934"/>
    </row>
    <row r="1285" spans="4:8" hidden="1">
      <c r="D1285" s="932"/>
      <c r="G1285" s="933"/>
      <c r="H1285" s="934"/>
    </row>
    <row r="1286" spans="4:8" hidden="1">
      <c r="D1286" s="932"/>
      <c r="G1286" s="933"/>
      <c r="H1286" s="934"/>
    </row>
    <row r="1287" spans="4:8" hidden="1">
      <c r="D1287" s="932"/>
      <c r="G1287" s="933"/>
      <c r="H1287" s="934"/>
    </row>
    <row r="1288" spans="4:8" hidden="1">
      <c r="D1288" s="932"/>
      <c r="G1288" s="933"/>
      <c r="H1288" s="934"/>
    </row>
    <row r="1289" spans="4:8" hidden="1">
      <c r="D1289" s="932"/>
      <c r="G1289" s="933"/>
      <c r="H1289" s="934"/>
    </row>
    <row r="1290" spans="4:8" hidden="1">
      <c r="D1290" s="932"/>
      <c r="G1290" s="933"/>
      <c r="H1290" s="934"/>
    </row>
    <row r="1291" spans="4:8" hidden="1">
      <c r="D1291" s="932"/>
      <c r="G1291" s="933"/>
      <c r="H1291" s="934"/>
    </row>
    <row r="1292" spans="4:8" hidden="1">
      <c r="D1292" s="932"/>
      <c r="G1292" s="933"/>
      <c r="H1292" s="934"/>
    </row>
    <row r="1293" spans="4:8" hidden="1">
      <c r="D1293" s="932"/>
      <c r="G1293" s="933"/>
      <c r="H1293" s="934"/>
    </row>
    <row r="1294" spans="4:8" hidden="1">
      <c r="D1294" s="932"/>
      <c r="G1294" s="933"/>
      <c r="H1294" s="934"/>
    </row>
    <row r="1295" spans="4:8" hidden="1">
      <c r="D1295" s="932"/>
      <c r="G1295" s="933"/>
      <c r="H1295" s="934"/>
    </row>
    <row r="1296" spans="4:8" hidden="1">
      <c r="D1296" s="932"/>
      <c r="G1296" s="933"/>
      <c r="H1296" s="934"/>
    </row>
    <row r="1297" spans="1:8" hidden="1">
      <c r="D1297" s="932"/>
      <c r="G1297" s="933"/>
      <c r="H1297" s="934"/>
    </row>
    <row r="1298" spans="1:8" hidden="1">
      <c r="D1298" s="932"/>
      <c r="G1298" s="933"/>
      <c r="H1298" s="934"/>
    </row>
    <row r="1299" spans="1:8" hidden="1">
      <c r="D1299" s="932"/>
      <c r="G1299" s="933"/>
      <c r="H1299" s="934"/>
    </row>
    <row r="1300" spans="1:8" hidden="1">
      <c r="D1300" s="932"/>
      <c r="G1300" s="933"/>
      <c r="H1300" s="934"/>
    </row>
    <row r="1301" spans="1:8" hidden="1">
      <c r="D1301" s="932"/>
      <c r="G1301" s="933"/>
      <c r="H1301" s="934"/>
    </row>
    <row r="1302" spans="1:8" hidden="1">
      <c r="D1302" s="932"/>
      <c r="G1302" s="933"/>
      <c r="H1302" s="934"/>
    </row>
    <row r="1303" spans="1:8" hidden="1">
      <c r="D1303" s="932"/>
      <c r="G1303" s="933"/>
      <c r="H1303" s="934"/>
    </row>
    <row r="1304" spans="1:8" hidden="1">
      <c r="D1304" s="932"/>
      <c r="G1304" s="933"/>
      <c r="H1304" s="934"/>
    </row>
    <row r="1305" spans="1:8" hidden="1">
      <c r="D1305" s="932"/>
      <c r="G1305" s="933"/>
      <c r="H1305" s="934"/>
    </row>
    <row r="1306" spans="1:8" hidden="1">
      <c r="D1306" s="932"/>
      <c r="G1306" s="933"/>
      <c r="H1306" s="934"/>
    </row>
    <row r="1307" spans="1:8" hidden="1">
      <c r="D1307" s="932"/>
      <c r="G1307" s="933"/>
      <c r="H1307" s="934"/>
    </row>
    <row r="1308" spans="1:8" hidden="1">
      <c r="A1308" s="953"/>
      <c r="D1308" s="932"/>
      <c r="G1308" s="933"/>
      <c r="H1308" s="934"/>
    </row>
    <row r="1309" spans="1:8" hidden="1">
      <c r="D1309" s="932"/>
      <c r="G1309" s="933"/>
      <c r="H1309" s="934"/>
    </row>
    <row r="1310" spans="1:8" hidden="1">
      <c r="D1310" s="932"/>
      <c r="G1310" s="933"/>
      <c r="H1310" s="934"/>
    </row>
    <row r="1311" spans="1:8" hidden="1">
      <c r="D1311" s="932"/>
      <c r="G1311" s="933"/>
      <c r="H1311" s="934"/>
    </row>
    <row r="1312" spans="1:8" hidden="1">
      <c r="D1312" s="932"/>
      <c r="G1312" s="933"/>
      <c r="H1312" s="934"/>
    </row>
    <row r="1313" spans="4:8" hidden="1">
      <c r="D1313" s="932"/>
      <c r="G1313" s="933"/>
      <c r="H1313" s="934"/>
    </row>
    <row r="1314" spans="4:8" hidden="1">
      <c r="D1314" s="932"/>
      <c r="G1314" s="933"/>
      <c r="H1314" s="934"/>
    </row>
    <row r="1315" spans="4:8" hidden="1">
      <c r="D1315" s="932"/>
      <c r="G1315" s="933"/>
      <c r="H1315" s="934"/>
    </row>
    <row r="1316" spans="4:8" hidden="1">
      <c r="D1316" s="932"/>
      <c r="G1316" s="933"/>
      <c r="H1316" s="934"/>
    </row>
    <row r="1317" spans="4:8" hidden="1">
      <c r="D1317" s="932"/>
      <c r="G1317" s="933"/>
      <c r="H1317" s="934"/>
    </row>
    <row r="1318" spans="4:8" hidden="1">
      <c r="D1318" s="932"/>
      <c r="G1318" s="933"/>
      <c r="H1318" s="934"/>
    </row>
    <row r="1319" spans="4:8" hidden="1">
      <c r="D1319" s="932"/>
      <c r="G1319" s="933"/>
      <c r="H1319" s="934"/>
    </row>
    <row r="1320" spans="4:8" hidden="1">
      <c r="D1320" s="932"/>
      <c r="G1320" s="933"/>
      <c r="H1320" s="934"/>
    </row>
    <row r="1321" spans="4:8" hidden="1">
      <c r="D1321" s="932"/>
      <c r="G1321" s="933"/>
      <c r="H1321" s="934"/>
    </row>
    <row r="1322" spans="4:8" hidden="1">
      <c r="D1322" s="932"/>
      <c r="G1322" s="933"/>
      <c r="H1322" s="934"/>
    </row>
    <row r="1323" spans="4:8" hidden="1">
      <c r="D1323" s="932"/>
      <c r="G1323" s="933"/>
      <c r="H1323" s="934"/>
    </row>
    <row r="1324" spans="4:8" hidden="1">
      <c r="D1324" s="932"/>
      <c r="G1324" s="933"/>
      <c r="H1324" s="934"/>
    </row>
    <row r="1325" spans="4:8" hidden="1">
      <c r="D1325" s="932"/>
      <c r="G1325" s="933"/>
      <c r="H1325" s="934"/>
    </row>
    <row r="1326" spans="4:8" hidden="1">
      <c r="D1326" s="932"/>
      <c r="G1326" s="933"/>
      <c r="H1326" s="934"/>
    </row>
    <row r="1327" spans="4:8" hidden="1">
      <c r="D1327" s="932"/>
      <c r="G1327" s="933"/>
      <c r="H1327" s="934"/>
    </row>
    <row r="1328" spans="4:8" hidden="1">
      <c r="D1328" s="932"/>
      <c r="G1328" s="933"/>
      <c r="H1328" s="934"/>
    </row>
    <row r="1329" spans="4:8" hidden="1">
      <c r="D1329" s="932"/>
      <c r="G1329" s="933"/>
      <c r="H1329" s="934"/>
    </row>
    <row r="1330" spans="4:8" hidden="1">
      <c r="D1330" s="932"/>
      <c r="G1330" s="933"/>
      <c r="H1330" s="934"/>
    </row>
    <row r="1331" spans="4:8" hidden="1">
      <c r="D1331" s="932"/>
      <c r="G1331" s="933"/>
      <c r="H1331" s="934"/>
    </row>
    <row r="1332" spans="4:8" hidden="1">
      <c r="D1332" s="932"/>
      <c r="G1332" s="933"/>
      <c r="H1332" s="934"/>
    </row>
    <row r="1333" spans="4:8" hidden="1">
      <c r="D1333" s="932"/>
      <c r="G1333" s="933"/>
      <c r="H1333" s="934"/>
    </row>
    <row r="1334" spans="4:8" hidden="1">
      <c r="D1334" s="932"/>
      <c r="G1334" s="933"/>
      <c r="H1334" s="934"/>
    </row>
    <row r="1335" spans="4:8" hidden="1">
      <c r="D1335" s="932"/>
      <c r="G1335" s="933"/>
      <c r="H1335" s="934"/>
    </row>
    <row r="1336" spans="4:8" hidden="1">
      <c r="D1336" s="932"/>
      <c r="G1336" s="933"/>
      <c r="H1336" s="934"/>
    </row>
    <row r="1337" spans="4:8" hidden="1">
      <c r="D1337" s="932"/>
      <c r="G1337" s="933"/>
      <c r="H1337" s="934"/>
    </row>
    <row r="1338" spans="4:8" hidden="1">
      <c r="D1338" s="932"/>
      <c r="G1338" s="933"/>
      <c r="H1338" s="934"/>
    </row>
    <row r="1339" spans="4:8" hidden="1">
      <c r="D1339" s="932"/>
      <c r="G1339" s="933"/>
      <c r="H1339" s="934"/>
    </row>
    <row r="1340" spans="4:8" hidden="1">
      <c r="D1340" s="932"/>
      <c r="G1340" s="933"/>
      <c r="H1340" s="934"/>
    </row>
    <row r="1341" spans="4:8" hidden="1">
      <c r="D1341" s="932"/>
      <c r="G1341" s="933"/>
      <c r="H1341" s="934"/>
    </row>
    <row r="1342" spans="4:8" hidden="1">
      <c r="D1342" s="932"/>
      <c r="G1342" s="933"/>
      <c r="H1342" s="934"/>
    </row>
    <row r="1343" spans="4:8" hidden="1">
      <c r="D1343" s="932"/>
      <c r="G1343" s="933"/>
      <c r="H1343" s="934"/>
    </row>
    <row r="1344" spans="4:8" hidden="1">
      <c r="D1344" s="932"/>
      <c r="G1344" s="933"/>
      <c r="H1344" s="934"/>
    </row>
    <row r="1345" spans="4:8" hidden="1">
      <c r="D1345" s="932"/>
      <c r="G1345" s="933"/>
      <c r="H1345" s="934"/>
    </row>
    <row r="1346" spans="4:8" hidden="1">
      <c r="D1346" s="932"/>
      <c r="G1346" s="933"/>
      <c r="H1346" s="934"/>
    </row>
    <row r="1347" spans="4:8" hidden="1">
      <c r="D1347" s="932"/>
      <c r="G1347" s="933"/>
      <c r="H1347" s="934"/>
    </row>
    <row r="1348" spans="4:8" hidden="1">
      <c r="D1348" s="932"/>
      <c r="G1348" s="933"/>
      <c r="H1348" s="934"/>
    </row>
    <row r="1349" spans="4:8" hidden="1">
      <c r="D1349" s="932"/>
      <c r="G1349" s="933"/>
      <c r="H1349" s="934"/>
    </row>
    <row r="1350" spans="4:8" hidden="1">
      <c r="D1350" s="932"/>
      <c r="G1350" s="933"/>
      <c r="H1350" s="934"/>
    </row>
    <row r="1351" spans="4:8" hidden="1">
      <c r="D1351" s="932"/>
      <c r="G1351" s="933"/>
      <c r="H1351" s="934"/>
    </row>
    <row r="1352" spans="4:8" hidden="1">
      <c r="D1352" s="932"/>
      <c r="G1352" s="933"/>
      <c r="H1352" s="934"/>
    </row>
    <row r="1353" spans="4:8" hidden="1">
      <c r="D1353" s="932"/>
      <c r="G1353" s="933"/>
      <c r="H1353" s="934"/>
    </row>
    <row r="1354" spans="4:8" hidden="1">
      <c r="D1354" s="932"/>
      <c r="G1354" s="933"/>
      <c r="H1354" s="934"/>
    </row>
    <row r="1355" spans="4:8" hidden="1">
      <c r="D1355" s="932"/>
      <c r="G1355" s="933"/>
      <c r="H1355" s="934"/>
    </row>
    <row r="1356" spans="4:8" hidden="1">
      <c r="D1356" s="932"/>
      <c r="G1356" s="933"/>
      <c r="H1356" s="934"/>
    </row>
    <row r="1357" spans="4:8" hidden="1">
      <c r="D1357" s="932"/>
      <c r="G1357" s="933"/>
      <c r="H1357" s="934"/>
    </row>
    <row r="1358" spans="4:8" hidden="1">
      <c r="D1358" s="932"/>
      <c r="G1358" s="933"/>
      <c r="H1358" s="934"/>
    </row>
    <row r="1359" spans="4:8" hidden="1">
      <c r="D1359" s="932"/>
      <c r="G1359" s="933"/>
      <c r="H1359" s="934"/>
    </row>
    <row r="1360" spans="4:8" hidden="1">
      <c r="D1360" s="932"/>
      <c r="G1360" s="933"/>
      <c r="H1360" s="934"/>
    </row>
    <row r="1361" spans="4:8" hidden="1">
      <c r="D1361" s="932"/>
      <c r="G1361" s="933"/>
      <c r="H1361" s="934"/>
    </row>
    <row r="1362" spans="4:8" hidden="1">
      <c r="D1362" s="932"/>
      <c r="G1362" s="933"/>
      <c r="H1362" s="934"/>
    </row>
    <row r="1363" spans="4:8" hidden="1">
      <c r="D1363" s="932"/>
      <c r="G1363" s="933"/>
      <c r="H1363" s="934"/>
    </row>
    <row r="1364" spans="4:8" hidden="1">
      <c r="D1364" s="932"/>
      <c r="G1364" s="933"/>
      <c r="H1364" s="934"/>
    </row>
    <row r="1365" spans="4:8" hidden="1">
      <c r="D1365" s="932"/>
      <c r="G1365" s="933"/>
      <c r="H1365" s="934"/>
    </row>
    <row r="1366" spans="4:8" hidden="1">
      <c r="D1366" s="932"/>
      <c r="G1366" s="933"/>
      <c r="H1366" s="934"/>
    </row>
    <row r="1367" spans="4:8" hidden="1">
      <c r="D1367" s="932"/>
      <c r="G1367" s="933"/>
      <c r="H1367" s="934"/>
    </row>
    <row r="1368" spans="4:8" hidden="1">
      <c r="D1368" s="932"/>
      <c r="G1368" s="933"/>
      <c r="H1368" s="934"/>
    </row>
    <row r="1369" spans="4:8" hidden="1">
      <c r="D1369" s="932"/>
      <c r="G1369" s="933"/>
      <c r="H1369" s="934"/>
    </row>
    <row r="1370" spans="4:8" hidden="1">
      <c r="D1370" s="932"/>
      <c r="G1370" s="933"/>
      <c r="H1370" s="934"/>
    </row>
    <row r="1371" spans="4:8" hidden="1">
      <c r="D1371" s="932"/>
      <c r="G1371" s="933"/>
      <c r="H1371" s="934"/>
    </row>
    <row r="1372" spans="4:8" hidden="1">
      <c r="D1372" s="932"/>
      <c r="G1372" s="933"/>
      <c r="H1372" s="934"/>
    </row>
    <row r="1373" spans="4:8" hidden="1">
      <c r="D1373" s="932"/>
      <c r="G1373" s="933"/>
      <c r="H1373" s="934"/>
    </row>
    <row r="1374" spans="4:8" hidden="1">
      <c r="D1374" s="932"/>
      <c r="G1374" s="933"/>
      <c r="H1374" s="934"/>
    </row>
    <row r="1375" spans="4:8" hidden="1">
      <c r="D1375" s="932"/>
      <c r="G1375" s="933"/>
      <c r="H1375" s="934"/>
    </row>
    <row r="1376" spans="4:8" hidden="1">
      <c r="D1376" s="932"/>
      <c r="G1376" s="933"/>
      <c r="H1376" s="934"/>
    </row>
    <row r="1377" spans="1:8" hidden="1">
      <c r="A1377" s="930"/>
      <c r="B1377" s="945"/>
      <c r="D1377" s="932"/>
      <c r="G1377" s="933"/>
      <c r="H1377" s="934"/>
    </row>
    <row r="1378" spans="1:8" hidden="1">
      <c r="G1378" s="933"/>
      <c r="H1378" s="934"/>
    </row>
    <row r="1379" spans="1:8" hidden="1">
      <c r="G1379" s="933"/>
      <c r="H1379" s="934"/>
    </row>
    <row r="1380" spans="1:8" hidden="1">
      <c r="G1380" s="933"/>
      <c r="H1380" s="934"/>
    </row>
    <row r="1381" spans="1:8" hidden="1">
      <c r="G1381" s="933"/>
      <c r="H1381" s="934"/>
    </row>
    <row r="1382" spans="1:8" hidden="1">
      <c r="G1382" s="933"/>
      <c r="H1382" s="934"/>
    </row>
    <row r="1383" spans="1:8" hidden="1">
      <c r="G1383" s="933"/>
      <c r="H1383" s="934"/>
    </row>
    <row r="1384" spans="1:8" hidden="1">
      <c r="A1384" s="942"/>
      <c r="B1384" s="941"/>
      <c r="G1384" s="933"/>
      <c r="H1384" s="934"/>
    </row>
    <row r="1385" spans="1:8" hidden="1">
      <c r="A1385" s="942"/>
      <c r="B1385" s="941"/>
      <c r="G1385" s="933"/>
      <c r="H1385" s="934"/>
    </row>
    <row r="1386" spans="1:8" hidden="1">
      <c r="G1386" s="933"/>
      <c r="H1386" s="934"/>
    </row>
    <row r="1387" spans="1:8" hidden="1">
      <c r="A1387" s="930"/>
      <c r="B1387" s="931"/>
      <c r="G1387" s="933"/>
      <c r="H1387" s="934"/>
    </row>
    <row r="1388" spans="1:8" hidden="1">
      <c r="A1388" s="930"/>
      <c r="B1388" s="931"/>
      <c r="G1388" s="933"/>
      <c r="H1388" s="934"/>
    </row>
    <row r="1389" spans="1:8" hidden="1">
      <c r="A1389" s="930"/>
      <c r="B1389" s="931"/>
      <c r="G1389" s="933"/>
      <c r="H1389" s="934"/>
    </row>
    <row r="1390" spans="1:8" hidden="1">
      <c r="A1390" s="930"/>
      <c r="B1390" s="931"/>
      <c r="G1390" s="933"/>
      <c r="H1390" s="934"/>
    </row>
    <row r="1391" spans="1:8" hidden="1">
      <c r="A1391" s="930"/>
      <c r="B1391" s="931"/>
      <c r="G1391" s="933"/>
      <c r="H1391" s="934"/>
    </row>
    <row r="1392" spans="1:8" hidden="1">
      <c r="A1392" s="930"/>
      <c r="B1392" s="931"/>
      <c r="G1392" s="933"/>
      <c r="H1392" s="934"/>
    </row>
    <row r="1393" spans="1:8" hidden="1">
      <c r="G1393" s="933"/>
      <c r="H1393" s="934"/>
    </row>
    <row r="1394" spans="1:8" hidden="1">
      <c r="G1394" s="933"/>
      <c r="H1394" s="934"/>
    </row>
    <row r="1395" spans="1:8" hidden="1">
      <c r="A1395" s="942"/>
      <c r="B1395" s="941"/>
      <c r="G1395" s="933"/>
      <c r="H1395" s="934"/>
    </row>
    <row r="1396" spans="1:8" hidden="1">
      <c r="A1396" s="942"/>
      <c r="B1396" s="941"/>
      <c r="G1396" s="933"/>
      <c r="H1396" s="934"/>
    </row>
    <row r="1397" spans="1:8" hidden="1">
      <c r="G1397" s="933"/>
      <c r="H1397" s="934"/>
    </row>
    <row r="1398" spans="1:8" hidden="1">
      <c r="G1398" s="933"/>
      <c r="H1398" s="934"/>
    </row>
    <row r="1399" spans="1:8" hidden="1">
      <c r="G1399" s="933"/>
      <c r="H1399" s="934"/>
    </row>
    <row r="1400" spans="1:8" hidden="1">
      <c r="G1400" s="933"/>
      <c r="H1400" s="934"/>
    </row>
    <row r="1401" spans="1:8" hidden="1">
      <c r="G1401" s="933"/>
      <c r="H1401" s="934"/>
    </row>
    <row r="1402" spans="1:8" hidden="1">
      <c r="G1402" s="933"/>
      <c r="H1402" s="934"/>
    </row>
    <row r="1403" spans="1:8" hidden="1">
      <c r="G1403" s="933"/>
      <c r="H1403" s="934"/>
    </row>
    <row r="1404" spans="1:8" hidden="1">
      <c r="A1404" s="930"/>
      <c r="B1404" s="945"/>
      <c r="G1404" s="933"/>
      <c r="H1404" s="934"/>
    </row>
    <row r="1405" spans="1:8" hidden="1">
      <c r="G1405" s="933"/>
      <c r="H1405" s="934"/>
    </row>
    <row r="1406" spans="1:8" hidden="1">
      <c r="A1406" s="930"/>
      <c r="B1406" s="945"/>
      <c r="G1406" s="933"/>
      <c r="H1406" s="934"/>
    </row>
    <row r="1407" spans="1:8" hidden="1">
      <c r="G1407" s="933"/>
      <c r="H1407" s="934"/>
    </row>
    <row r="1408" spans="1:8" hidden="1">
      <c r="G1408" s="933"/>
      <c r="H1408" s="934"/>
    </row>
    <row r="1409" spans="1:8" hidden="1">
      <c r="G1409" s="933"/>
      <c r="H1409" s="934"/>
    </row>
    <row r="1410" spans="1:8" hidden="1">
      <c r="G1410" s="933"/>
      <c r="H1410" s="934"/>
    </row>
    <row r="1411" spans="1:8" hidden="1">
      <c r="G1411" s="933"/>
      <c r="H1411" s="934"/>
    </row>
    <row r="1412" spans="1:8" hidden="1">
      <c r="A1412" s="930"/>
      <c r="B1412" s="931"/>
      <c r="G1412" s="933"/>
      <c r="H1412" s="934"/>
    </row>
    <row r="1413" spans="1:8" hidden="1">
      <c r="G1413" s="933"/>
      <c r="H1413" s="934"/>
    </row>
    <row r="1414" spans="1:8" hidden="1">
      <c r="G1414" s="933"/>
      <c r="H1414" s="934"/>
    </row>
    <row r="1415" spans="1:8" hidden="1">
      <c r="G1415" s="933"/>
      <c r="H1415" s="934"/>
    </row>
    <row r="1416" spans="1:8" hidden="1">
      <c r="A1416" s="944"/>
      <c r="B1416" s="945"/>
      <c r="G1416" s="933"/>
      <c r="H1416" s="934"/>
    </row>
    <row r="1417" spans="1:8" hidden="1">
      <c r="G1417" s="933"/>
      <c r="H1417" s="934"/>
    </row>
    <row r="1418" spans="1:8" hidden="1">
      <c r="G1418" s="933"/>
      <c r="H1418" s="934"/>
    </row>
    <row r="1419" spans="1:8" hidden="1">
      <c r="G1419" s="933"/>
      <c r="H1419" s="934"/>
    </row>
    <row r="1420" spans="1:8" hidden="1">
      <c r="G1420" s="933"/>
      <c r="H1420" s="934"/>
    </row>
    <row r="1421" spans="1:8" hidden="1">
      <c r="G1421" s="933"/>
      <c r="H1421" s="934"/>
    </row>
    <row r="1422" spans="1:8" hidden="1">
      <c r="G1422" s="933"/>
      <c r="H1422" s="934"/>
    </row>
    <row r="1423" spans="1:8" hidden="1">
      <c r="G1423" s="933"/>
      <c r="H1423" s="934"/>
    </row>
    <row r="1424" spans="1:8" hidden="1">
      <c r="A1424" s="930"/>
      <c r="B1424" s="945"/>
      <c r="G1424" s="933"/>
      <c r="H1424" s="934"/>
    </row>
    <row r="1425" spans="1:8" hidden="1">
      <c r="A1425" s="930"/>
      <c r="B1425" s="945"/>
      <c r="G1425" s="933"/>
      <c r="H1425" s="934"/>
    </row>
    <row r="1426" spans="1:8" hidden="1">
      <c r="G1426" s="933"/>
      <c r="H1426" s="934"/>
    </row>
    <row r="1427" spans="1:8" hidden="1">
      <c r="G1427" s="933"/>
      <c r="H1427" s="934"/>
    </row>
    <row r="1428" spans="1:8" hidden="1">
      <c r="G1428" s="933"/>
      <c r="H1428" s="934"/>
    </row>
    <row r="1429" spans="1:8" hidden="1">
      <c r="G1429" s="933"/>
      <c r="H1429" s="934"/>
    </row>
    <row r="1430" spans="1:8" hidden="1">
      <c r="G1430" s="933"/>
      <c r="H1430" s="934"/>
    </row>
    <row r="1431" spans="1:8" hidden="1">
      <c r="G1431" s="933"/>
      <c r="H1431" s="934"/>
    </row>
    <row r="1432" spans="1:8" hidden="1">
      <c r="G1432" s="933"/>
      <c r="H1432" s="934"/>
    </row>
    <row r="1433" spans="1:8" hidden="1">
      <c r="G1433" s="933"/>
      <c r="H1433" s="934"/>
    </row>
    <row r="1434" spans="1:8" hidden="1">
      <c r="G1434" s="933"/>
      <c r="H1434" s="934"/>
    </row>
    <row r="1435" spans="1:8" hidden="1">
      <c r="G1435" s="933"/>
      <c r="H1435" s="934"/>
    </row>
    <row r="1436" spans="1:8" hidden="1">
      <c r="G1436" s="933"/>
      <c r="H1436" s="934"/>
    </row>
    <row r="1437" spans="1:8" hidden="1">
      <c r="G1437" s="933"/>
      <c r="H1437" s="934"/>
    </row>
    <row r="1438" spans="1:8" hidden="1">
      <c r="A1438" s="930"/>
      <c r="B1438" s="931"/>
      <c r="G1438" s="933"/>
      <c r="H1438" s="934"/>
    </row>
    <row r="1439" spans="1:8" hidden="1">
      <c r="G1439" s="933"/>
      <c r="H1439" s="934"/>
    </row>
    <row r="1440" spans="1:8" hidden="1">
      <c r="G1440" s="933"/>
      <c r="H1440" s="934"/>
    </row>
    <row r="1441" spans="1:8" hidden="1">
      <c r="G1441" s="933"/>
      <c r="H1441" s="934"/>
    </row>
    <row r="1442" spans="1:8" hidden="1">
      <c r="A1442" s="930"/>
      <c r="B1442" s="931"/>
      <c r="G1442" s="933"/>
      <c r="H1442" s="934"/>
    </row>
    <row r="1443" spans="1:8" hidden="1">
      <c r="G1443" s="933"/>
      <c r="H1443" s="934"/>
    </row>
    <row r="1444" spans="1:8" hidden="1">
      <c r="G1444" s="933"/>
      <c r="H1444" s="934"/>
    </row>
    <row r="1445" spans="1:8" hidden="1">
      <c r="G1445" s="933"/>
      <c r="H1445" s="934"/>
    </row>
    <row r="1446" spans="1:8" hidden="1">
      <c r="A1446" s="930"/>
      <c r="B1446" s="945"/>
      <c r="G1446" s="933"/>
      <c r="H1446" s="934"/>
    </row>
    <row r="1447" spans="1:8" hidden="1">
      <c r="G1447" s="933"/>
      <c r="H1447" s="934"/>
    </row>
    <row r="1448" spans="1:8" hidden="1">
      <c r="G1448" s="933"/>
      <c r="H1448" s="934"/>
    </row>
    <row r="1449" spans="1:8" hidden="1">
      <c r="A1449" s="930"/>
      <c r="B1449" s="945"/>
      <c r="G1449" s="933"/>
      <c r="H1449" s="934"/>
    </row>
    <row r="1450" spans="1:8" hidden="1">
      <c r="G1450" s="933"/>
      <c r="H1450" s="934"/>
    </row>
    <row r="1451" spans="1:8" hidden="1">
      <c r="G1451" s="933"/>
      <c r="H1451" s="934"/>
    </row>
    <row r="1452" spans="1:8" hidden="1">
      <c r="A1452" s="930"/>
      <c r="B1452" s="945"/>
      <c r="G1452" s="933"/>
      <c r="H1452" s="934"/>
    </row>
    <row r="1453" spans="1:8" hidden="1">
      <c r="G1453" s="933"/>
      <c r="H1453" s="934"/>
    </row>
    <row r="1454" spans="1:8" hidden="1">
      <c r="G1454" s="933"/>
      <c r="H1454" s="934"/>
    </row>
    <row r="1455" spans="1:8" hidden="1">
      <c r="G1455" s="933"/>
      <c r="H1455" s="934"/>
    </row>
    <row r="1456" spans="1:8" hidden="1">
      <c r="A1456" s="930"/>
      <c r="B1456" s="945"/>
      <c r="G1456" s="933"/>
      <c r="H1456" s="934"/>
    </row>
    <row r="1457" spans="1:8" hidden="1">
      <c r="G1457" s="933"/>
      <c r="H1457" s="934"/>
    </row>
    <row r="1458" spans="1:8" hidden="1">
      <c r="G1458" s="933"/>
      <c r="H1458" s="934"/>
    </row>
    <row r="1459" spans="1:8" hidden="1">
      <c r="G1459" s="933"/>
      <c r="H1459" s="934"/>
    </row>
    <row r="1460" spans="1:8" hidden="1">
      <c r="G1460" s="933"/>
      <c r="H1460" s="934"/>
    </row>
    <row r="1461" spans="1:8" hidden="1">
      <c r="G1461" s="933"/>
      <c r="H1461" s="934"/>
    </row>
    <row r="1462" spans="1:8" hidden="1">
      <c r="G1462" s="933"/>
      <c r="H1462" s="934"/>
    </row>
    <row r="1463" spans="1:8" hidden="1">
      <c r="G1463" s="933"/>
      <c r="H1463" s="934"/>
    </row>
    <row r="1464" spans="1:8" hidden="1">
      <c r="A1464" s="930"/>
      <c r="B1464" s="931"/>
      <c r="G1464" s="933"/>
      <c r="H1464" s="934"/>
    </row>
    <row r="1465" spans="1:8" hidden="1">
      <c r="G1465" s="933"/>
      <c r="H1465" s="934"/>
    </row>
    <row r="1466" spans="1:8" hidden="1">
      <c r="A1466" s="930"/>
      <c r="B1466" s="931"/>
      <c r="G1466" s="933"/>
      <c r="H1466" s="934"/>
    </row>
    <row r="1467" spans="1:8" hidden="1">
      <c r="G1467" s="933"/>
      <c r="H1467" s="934"/>
    </row>
    <row r="1468" spans="1:8" hidden="1">
      <c r="G1468" s="933"/>
      <c r="H1468" s="934"/>
    </row>
    <row r="1469" spans="1:8" hidden="1">
      <c r="A1469" s="930"/>
      <c r="B1469" s="931"/>
      <c r="G1469" s="933"/>
      <c r="H1469" s="934"/>
    </row>
    <row r="1470" spans="1:8" hidden="1">
      <c r="G1470" s="933"/>
      <c r="H1470" s="934"/>
    </row>
    <row r="1471" spans="1:8" hidden="1">
      <c r="A1471" s="930"/>
      <c r="B1471" s="931"/>
      <c r="G1471" s="933"/>
      <c r="H1471" s="934"/>
    </row>
    <row r="1472" spans="1:8" hidden="1">
      <c r="A1472" s="930"/>
      <c r="B1472" s="931"/>
      <c r="G1472" s="933"/>
      <c r="H1472" s="934"/>
    </row>
    <row r="1473" spans="1:8" hidden="1">
      <c r="G1473" s="933"/>
      <c r="H1473" s="934"/>
    </row>
    <row r="1474" spans="1:8" hidden="1">
      <c r="G1474" s="933"/>
      <c r="H1474" s="934"/>
    </row>
    <row r="1475" spans="1:8" hidden="1">
      <c r="A1475" s="930"/>
      <c r="B1475" s="931"/>
      <c r="G1475" s="933"/>
      <c r="H1475" s="934"/>
    </row>
    <row r="1476" spans="1:8" hidden="1">
      <c r="A1476" s="930"/>
      <c r="B1476" s="945"/>
      <c r="G1476" s="933"/>
      <c r="H1476" s="934"/>
    </row>
    <row r="1477" spans="1:8" hidden="1">
      <c r="A1477" s="930"/>
      <c r="B1477" s="931"/>
      <c r="G1477" s="933"/>
      <c r="H1477" s="934"/>
    </row>
    <row r="1478" spans="1:8" hidden="1">
      <c r="A1478" s="930"/>
      <c r="B1478" s="945"/>
      <c r="G1478" s="933"/>
      <c r="H1478" s="934"/>
    </row>
    <row r="1479" spans="1:8" hidden="1">
      <c r="A1479" s="930"/>
      <c r="B1479" s="931"/>
      <c r="G1479" s="933"/>
      <c r="H1479" s="934"/>
    </row>
    <row r="1480" spans="1:8" hidden="1">
      <c r="A1480" s="930"/>
      <c r="B1480" s="931"/>
      <c r="G1480" s="933"/>
      <c r="H1480" s="934"/>
    </row>
    <row r="1481" spans="1:8" hidden="1">
      <c r="A1481" s="930"/>
      <c r="B1481" s="931"/>
      <c r="G1481" s="933"/>
      <c r="H1481" s="934"/>
    </row>
    <row r="1482" spans="1:8" hidden="1">
      <c r="A1482" s="930"/>
      <c r="B1482" s="931"/>
      <c r="G1482" s="933"/>
      <c r="H1482" s="934"/>
    </row>
    <row r="1483" spans="1:8" hidden="1">
      <c r="A1483" s="930"/>
      <c r="B1483" s="931"/>
      <c r="G1483" s="933"/>
      <c r="H1483" s="934"/>
    </row>
    <row r="1484" spans="1:8" hidden="1">
      <c r="A1484" s="930"/>
      <c r="B1484" s="931"/>
      <c r="G1484" s="933"/>
      <c r="H1484" s="934"/>
    </row>
    <row r="1485" spans="1:8" hidden="1">
      <c r="A1485" s="930"/>
      <c r="B1485" s="945"/>
      <c r="G1485" s="933"/>
      <c r="H1485" s="934"/>
    </row>
    <row r="1486" spans="1:8" hidden="1">
      <c r="A1486" s="930"/>
      <c r="B1486" s="931"/>
      <c r="G1486" s="933"/>
      <c r="H1486" s="934"/>
    </row>
    <row r="1487" spans="1:8" hidden="1">
      <c r="A1487" s="930"/>
      <c r="B1487" s="945"/>
      <c r="G1487" s="933"/>
      <c r="H1487" s="934"/>
    </row>
    <row r="1488" spans="1:8" hidden="1">
      <c r="A1488" s="930"/>
      <c r="B1488" s="931"/>
      <c r="G1488" s="933"/>
      <c r="H1488" s="934"/>
    </row>
    <row r="1489" spans="1:8" hidden="1">
      <c r="A1489" s="942"/>
      <c r="B1489" s="941"/>
      <c r="G1489" s="933"/>
      <c r="H1489" s="934"/>
    </row>
    <row r="1490" spans="1:8" hidden="1">
      <c r="A1490" s="930"/>
      <c r="B1490" s="931"/>
      <c r="G1490" s="933"/>
      <c r="H1490" s="934"/>
    </row>
    <row r="1491" spans="1:8" hidden="1">
      <c r="A1491" s="930"/>
      <c r="B1491" s="931"/>
      <c r="G1491" s="933"/>
      <c r="H1491" s="934"/>
    </row>
    <row r="1492" spans="1:8" hidden="1">
      <c r="G1492" s="933"/>
      <c r="H1492" s="934"/>
    </row>
    <row r="1493" spans="1:8" hidden="1">
      <c r="A1493" s="930"/>
      <c r="B1493" s="945"/>
      <c r="G1493" s="933"/>
      <c r="H1493" s="934"/>
    </row>
    <row r="1494" spans="1:8" hidden="1">
      <c r="G1494" s="933"/>
      <c r="H1494" s="934"/>
    </row>
    <row r="1495" spans="1:8" hidden="1">
      <c r="G1495" s="933"/>
      <c r="H1495" s="934"/>
    </row>
    <row r="1496" spans="1:8" hidden="1">
      <c r="A1496" s="944"/>
      <c r="B1496" s="945"/>
      <c r="G1496" s="933"/>
      <c r="H1496" s="934"/>
    </row>
    <row r="1497" spans="1:8" hidden="1">
      <c r="G1497" s="933"/>
      <c r="H1497" s="934"/>
    </row>
    <row r="1498" spans="1:8" hidden="1">
      <c r="G1498" s="933"/>
      <c r="H1498" s="934"/>
    </row>
    <row r="1499" spans="1:8" hidden="1">
      <c r="G1499" s="933"/>
      <c r="H1499" s="934"/>
    </row>
    <row r="1500" spans="1:8" hidden="1">
      <c r="G1500" s="933"/>
      <c r="H1500" s="934"/>
    </row>
    <row r="1501" spans="1:8" hidden="1">
      <c r="G1501" s="933"/>
      <c r="H1501" s="934"/>
    </row>
    <row r="1502" spans="1:8" hidden="1">
      <c r="A1502" s="939"/>
      <c r="B1502" s="931"/>
      <c r="G1502" s="933"/>
      <c r="H1502" s="934"/>
    </row>
    <row r="1503" spans="1:8" hidden="1">
      <c r="G1503" s="933"/>
      <c r="H1503" s="934"/>
    </row>
    <row r="1504" spans="1:8" hidden="1">
      <c r="G1504" s="933"/>
      <c r="H1504" s="934"/>
    </row>
    <row r="1505" spans="1:8" hidden="1">
      <c r="G1505" s="933"/>
      <c r="H1505" s="934"/>
    </row>
    <row r="1506" spans="1:8" hidden="1">
      <c r="G1506" s="933"/>
      <c r="H1506" s="934"/>
    </row>
    <row r="1507" spans="1:8" hidden="1">
      <c r="A1507" s="930"/>
      <c r="B1507" s="945"/>
      <c r="G1507" s="933"/>
      <c r="H1507" s="934"/>
    </row>
    <row r="1508" spans="1:8" hidden="1">
      <c r="G1508" s="933"/>
      <c r="H1508" s="934"/>
    </row>
    <row r="1509" spans="1:8" hidden="1">
      <c r="G1509" s="933"/>
      <c r="H1509" s="934"/>
    </row>
    <row r="1510" spans="1:8" hidden="1">
      <c r="G1510" s="933"/>
      <c r="H1510" s="934"/>
    </row>
    <row r="1511" spans="1:8" hidden="1">
      <c r="G1511" s="933"/>
      <c r="H1511" s="934"/>
    </row>
    <row r="1512" spans="1:8" hidden="1">
      <c r="G1512" s="933"/>
      <c r="H1512" s="934"/>
    </row>
    <row r="1513" spans="1:8" hidden="1">
      <c r="G1513" s="933"/>
      <c r="H1513" s="934"/>
    </row>
    <row r="1514" spans="1:8" hidden="1">
      <c r="G1514" s="933"/>
      <c r="H1514" s="934"/>
    </row>
    <row r="1515" spans="1:8" hidden="1">
      <c r="G1515" s="933"/>
      <c r="H1515" s="934"/>
    </row>
    <row r="1516" spans="1:8" hidden="1">
      <c r="A1516" s="944"/>
      <c r="B1516" s="945"/>
      <c r="G1516" s="933"/>
      <c r="H1516" s="934"/>
    </row>
    <row r="1517" spans="1:8" hidden="1">
      <c r="G1517" s="933"/>
      <c r="H1517" s="934"/>
    </row>
    <row r="1518" spans="1:8" hidden="1">
      <c r="G1518" s="933"/>
      <c r="H1518" s="934"/>
    </row>
    <row r="1519" spans="1:8" hidden="1">
      <c r="G1519" s="933"/>
      <c r="H1519" s="934"/>
    </row>
    <row r="1520" spans="1:8" hidden="1">
      <c r="G1520" s="933"/>
      <c r="H1520" s="934"/>
    </row>
    <row r="1521" spans="1:8" hidden="1">
      <c r="G1521" s="933"/>
      <c r="H1521" s="934"/>
    </row>
    <row r="1522" spans="1:8" hidden="1">
      <c r="G1522" s="933"/>
      <c r="H1522" s="934"/>
    </row>
    <row r="1523" spans="1:8" hidden="1">
      <c r="G1523" s="933"/>
      <c r="H1523" s="934"/>
    </row>
    <row r="1524" spans="1:8" hidden="1">
      <c r="G1524" s="933"/>
      <c r="H1524" s="934"/>
    </row>
    <row r="1525" spans="1:8" hidden="1">
      <c r="A1525" s="930"/>
      <c r="B1525" s="945"/>
      <c r="G1525" s="933"/>
      <c r="H1525" s="934"/>
    </row>
    <row r="1526" spans="1:8" hidden="1">
      <c r="G1526" s="933"/>
      <c r="H1526" s="934"/>
    </row>
    <row r="1527" spans="1:8" hidden="1">
      <c r="G1527" s="933"/>
      <c r="H1527" s="934"/>
    </row>
    <row r="1528" spans="1:8" hidden="1">
      <c r="G1528" s="933"/>
      <c r="H1528" s="934"/>
    </row>
    <row r="1529" spans="1:8" hidden="1">
      <c r="A1529" s="930"/>
      <c r="B1529" s="945"/>
      <c r="G1529" s="933"/>
      <c r="H1529" s="934"/>
    </row>
    <row r="1530" spans="1:8" hidden="1">
      <c r="G1530" s="933"/>
      <c r="H1530" s="934"/>
    </row>
    <row r="1531" spans="1:8" hidden="1">
      <c r="G1531" s="933"/>
      <c r="H1531" s="934"/>
    </row>
    <row r="1532" spans="1:8" hidden="1">
      <c r="G1532" s="933"/>
      <c r="H1532" s="934"/>
    </row>
    <row r="1533" spans="1:8" hidden="1">
      <c r="A1533" s="930"/>
      <c r="B1533" s="945"/>
      <c r="G1533" s="933"/>
      <c r="H1533" s="934"/>
    </row>
    <row r="1534" spans="1:8" hidden="1">
      <c r="G1534" s="933"/>
      <c r="H1534" s="934"/>
    </row>
    <row r="1535" spans="1:8" hidden="1">
      <c r="A1535" s="930"/>
      <c r="B1535" s="945"/>
      <c r="G1535" s="933"/>
      <c r="H1535" s="934"/>
    </row>
    <row r="1536" spans="1:8" hidden="1">
      <c r="A1536" s="930"/>
      <c r="B1536" s="931"/>
      <c r="G1536" s="933"/>
      <c r="H1536" s="934"/>
    </row>
    <row r="1537" spans="1:8" hidden="1">
      <c r="G1537" s="933"/>
      <c r="H1537" s="934"/>
    </row>
    <row r="1538" spans="1:8" hidden="1">
      <c r="G1538" s="933"/>
      <c r="H1538" s="934"/>
    </row>
    <row r="1539" spans="1:8" hidden="1">
      <c r="G1539" s="933"/>
      <c r="H1539" s="934"/>
    </row>
    <row r="1540" spans="1:8" hidden="1">
      <c r="G1540" s="933"/>
      <c r="H1540" s="934"/>
    </row>
    <row r="1541" spans="1:8" hidden="1">
      <c r="A1541" s="930"/>
      <c r="B1541" s="945"/>
      <c r="G1541" s="933"/>
      <c r="H1541" s="934"/>
    </row>
    <row r="1542" spans="1:8" hidden="1">
      <c r="G1542" s="933"/>
      <c r="H1542" s="934"/>
    </row>
    <row r="1543" spans="1:8" hidden="1">
      <c r="G1543" s="933"/>
      <c r="H1543" s="934"/>
    </row>
    <row r="1544" spans="1:8" hidden="1">
      <c r="G1544" s="933"/>
      <c r="H1544" s="934"/>
    </row>
    <row r="1545" spans="1:8" hidden="1">
      <c r="G1545" s="933"/>
      <c r="H1545" s="934"/>
    </row>
    <row r="1546" spans="1:8" hidden="1">
      <c r="G1546" s="933"/>
      <c r="H1546" s="934"/>
    </row>
    <row r="1547" spans="1:8" hidden="1">
      <c r="G1547" s="933"/>
      <c r="H1547" s="934"/>
    </row>
    <row r="1548" spans="1:8" hidden="1">
      <c r="A1548" s="930"/>
      <c r="B1548" s="945"/>
      <c r="G1548" s="933"/>
      <c r="H1548" s="934"/>
    </row>
    <row r="1549" spans="1:8" hidden="1">
      <c r="G1549" s="933"/>
      <c r="H1549" s="934"/>
    </row>
    <row r="1550" spans="1:8" hidden="1">
      <c r="G1550" s="933"/>
      <c r="H1550" s="934"/>
    </row>
    <row r="1551" spans="1:8" hidden="1">
      <c r="A1551" s="930"/>
      <c r="B1551" s="931"/>
      <c r="G1551" s="933"/>
      <c r="H1551" s="934"/>
    </row>
    <row r="1552" spans="1:8" hidden="1">
      <c r="A1552" s="930"/>
      <c r="B1552" s="931"/>
      <c r="G1552" s="933"/>
      <c r="H1552" s="934"/>
    </row>
    <row r="1553" spans="1:8" hidden="1">
      <c r="A1553" s="930"/>
      <c r="B1553" s="931"/>
      <c r="G1553" s="933"/>
      <c r="H1553" s="934"/>
    </row>
    <row r="1554" spans="1:8" hidden="1">
      <c r="A1554" s="930"/>
      <c r="B1554" s="931"/>
      <c r="G1554" s="933"/>
      <c r="H1554" s="934"/>
    </row>
    <row r="1555" spans="1:8" hidden="1">
      <c r="A1555" s="930"/>
      <c r="B1555" s="931"/>
      <c r="G1555" s="933"/>
      <c r="H1555" s="934"/>
    </row>
    <row r="1556" spans="1:8" hidden="1">
      <c r="A1556" s="930"/>
      <c r="B1556" s="931"/>
      <c r="G1556" s="933"/>
      <c r="H1556" s="934"/>
    </row>
    <row r="1557" spans="1:8" hidden="1">
      <c r="A1557" s="930"/>
      <c r="B1557" s="931"/>
      <c r="G1557" s="933"/>
      <c r="H1557" s="934"/>
    </row>
    <row r="1558" spans="1:8" hidden="1">
      <c r="A1558" s="930"/>
      <c r="B1558" s="931"/>
      <c r="G1558" s="933"/>
      <c r="H1558" s="934"/>
    </row>
    <row r="1559" spans="1:8" hidden="1">
      <c r="A1559" s="930"/>
      <c r="B1559" s="931"/>
      <c r="G1559" s="933"/>
      <c r="H1559" s="934"/>
    </row>
    <row r="1560" spans="1:8" hidden="1">
      <c r="A1560" s="930"/>
      <c r="B1560" s="931"/>
      <c r="G1560" s="933"/>
      <c r="H1560" s="934"/>
    </row>
    <row r="1561" spans="1:8" hidden="1">
      <c r="A1561" s="930"/>
      <c r="B1561" s="931"/>
      <c r="G1561" s="933"/>
      <c r="H1561" s="934"/>
    </row>
    <row r="1562" spans="1:8" hidden="1">
      <c r="A1562" s="930"/>
      <c r="B1562" s="931"/>
      <c r="G1562" s="933"/>
      <c r="H1562" s="934"/>
    </row>
    <row r="1563" spans="1:8" hidden="1">
      <c r="A1563" s="930"/>
      <c r="B1563" s="931"/>
      <c r="G1563" s="933"/>
      <c r="H1563" s="934"/>
    </row>
    <row r="1564" spans="1:8" hidden="1">
      <c r="A1564" s="930"/>
      <c r="B1564" s="931"/>
      <c r="G1564" s="933"/>
      <c r="H1564" s="934"/>
    </row>
    <row r="1565" spans="1:8" hidden="1">
      <c r="A1565" s="930"/>
      <c r="B1565" s="931"/>
      <c r="G1565" s="933"/>
      <c r="H1565" s="934"/>
    </row>
    <row r="1566" spans="1:8" hidden="1">
      <c r="A1566" s="930"/>
      <c r="B1566" s="931"/>
      <c r="G1566" s="933"/>
      <c r="H1566" s="934"/>
    </row>
    <row r="1567" spans="1:8" hidden="1">
      <c r="A1567" s="930"/>
      <c r="B1567" s="931"/>
      <c r="G1567" s="933"/>
      <c r="H1567" s="934"/>
    </row>
    <row r="1568" spans="1:8" hidden="1">
      <c r="A1568" s="930"/>
      <c r="B1568" s="931"/>
      <c r="G1568" s="933"/>
      <c r="H1568" s="934"/>
    </row>
    <row r="1569" spans="1:8" hidden="1">
      <c r="A1569" s="930"/>
      <c r="B1569" s="931"/>
      <c r="G1569" s="933"/>
      <c r="H1569" s="934"/>
    </row>
    <row r="1570" spans="1:8" hidden="1">
      <c r="A1570" s="930"/>
      <c r="B1570" s="931"/>
      <c r="G1570" s="933"/>
      <c r="H1570" s="934"/>
    </row>
    <row r="1571" spans="1:8" hidden="1">
      <c r="A1571" s="930"/>
      <c r="B1571" s="931"/>
      <c r="G1571" s="933"/>
      <c r="H1571" s="934"/>
    </row>
    <row r="1572" spans="1:8" hidden="1">
      <c r="A1572" s="930"/>
      <c r="B1572" s="931"/>
      <c r="G1572" s="933"/>
      <c r="H1572" s="934"/>
    </row>
    <row r="1573" spans="1:8" hidden="1">
      <c r="A1573" s="930"/>
      <c r="B1573" s="931"/>
      <c r="G1573" s="933"/>
      <c r="H1573" s="934"/>
    </row>
    <row r="1574" spans="1:8" hidden="1">
      <c r="G1574" s="933"/>
      <c r="H1574" s="934"/>
    </row>
    <row r="1575" spans="1:8" hidden="1">
      <c r="A1575" s="930"/>
      <c r="B1575" s="931"/>
      <c r="G1575" s="933"/>
      <c r="H1575" s="934"/>
    </row>
    <row r="1576" spans="1:8" hidden="1">
      <c r="A1576" s="930"/>
      <c r="B1576" s="931"/>
      <c r="G1576" s="933"/>
      <c r="H1576" s="934"/>
    </row>
    <row r="1577" spans="1:8" hidden="1">
      <c r="A1577" s="930"/>
      <c r="B1577" s="931"/>
      <c r="G1577" s="933"/>
      <c r="H1577" s="934"/>
    </row>
    <row r="1578" spans="1:8" hidden="1">
      <c r="A1578" s="930"/>
      <c r="B1578" s="931"/>
      <c r="G1578" s="933"/>
      <c r="H1578" s="934"/>
    </row>
    <row r="1579" spans="1:8" hidden="1">
      <c r="A1579" s="930"/>
      <c r="B1579" s="931"/>
      <c r="G1579" s="933"/>
      <c r="H1579" s="934"/>
    </row>
    <row r="1580" spans="1:8" hidden="1">
      <c r="A1580" s="930"/>
      <c r="B1580" s="931"/>
      <c r="G1580" s="933"/>
      <c r="H1580" s="934"/>
    </row>
    <row r="1581" spans="1:8" hidden="1">
      <c r="A1581" s="930"/>
      <c r="B1581" s="931"/>
      <c r="G1581" s="933"/>
      <c r="H1581" s="934"/>
    </row>
    <row r="1582" spans="1:8" hidden="1">
      <c r="A1582" s="930"/>
      <c r="B1582" s="931"/>
      <c r="G1582" s="933"/>
      <c r="H1582" s="934"/>
    </row>
    <row r="1583" spans="1:8" hidden="1">
      <c r="A1583" s="930"/>
      <c r="B1583" s="931"/>
      <c r="G1583" s="933"/>
      <c r="H1583" s="934"/>
    </row>
    <row r="1584" spans="1:8" hidden="1">
      <c r="A1584" s="930"/>
      <c r="B1584" s="931"/>
      <c r="G1584" s="933"/>
      <c r="H1584" s="934"/>
    </row>
    <row r="1585" spans="1:8" hidden="1">
      <c r="A1585" s="930"/>
      <c r="B1585" s="931"/>
      <c r="G1585" s="933"/>
      <c r="H1585" s="934"/>
    </row>
    <row r="1586" spans="1:8" hidden="1">
      <c r="A1586" s="930"/>
      <c r="B1586" s="931"/>
      <c r="G1586" s="933"/>
      <c r="H1586" s="934"/>
    </row>
    <row r="1587" spans="1:8" hidden="1">
      <c r="A1587" s="930"/>
      <c r="B1587" s="931"/>
      <c r="G1587" s="933"/>
      <c r="H1587" s="934"/>
    </row>
    <row r="1588" spans="1:8" hidden="1">
      <c r="A1588" s="930"/>
      <c r="B1588" s="931"/>
      <c r="G1588" s="933"/>
      <c r="H1588" s="934"/>
    </row>
    <row r="1589" spans="1:8" hidden="1">
      <c r="A1589" s="930"/>
      <c r="B1589" s="931"/>
      <c r="G1589" s="933"/>
      <c r="H1589" s="934"/>
    </row>
    <row r="1590" spans="1:8" hidden="1">
      <c r="A1590" s="930"/>
      <c r="B1590" s="931"/>
      <c r="G1590" s="933"/>
      <c r="H1590" s="934"/>
    </row>
    <row r="1591" spans="1:8" hidden="1">
      <c r="A1591" s="930"/>
      <c r="B1591" s="931"/>
      <c r="G1591" s="933"/>
      <c r="H1591" s="934"/>
    </row>
    <row r="1592" spans="1:8" hidden="1">
      <c r="A1592" s="930"/>
      <c r="B1592" s="931"/>
      <c r="G1592" s="933"/>
      <c r="H1592" s="934"/>
    </row>
    <row r="1593" spans="1:8" hidden="1">
      <c r="D1593" s="932"/>
      <c r="G1593" s="933"/>
      <c r="H1593" s="934"/>
    </row>
    <row r="1594" spans="1:8" hidden="1">
      <c r="C1594" s="938"/>
      <c r="D1594" s="932"/>
      <c r="G1594" s="933"/>
      <c r="H1594" s="934"/>
    </row>
    <row r="1595" spans="1:8" hidden="1">
      <c r="A1595" s="930"/>
      <c r="B1595" s="931"/>
      <c r="D1595" s="932"/>
      <c r="G1595" s="933"/>
      <c r="H1595" s="934"/>
    </row>
    <row r="1596" spans="1:8" hidden="1">
      <c r="D1596" s="932"/>
      <c r="G1596" s="933"/>
      <c r="H1596" s="934"/>
    </row>
    <row r="1597" spans="1:8" hidden="1">
      <c r="A1597" s="942"/>
      <c r="B1597" s="931"/>
      <c r="D1597" s="932"/>
      <c r="G1597" s="933"/>
      <c r="H1597" s="934"/>
    </row>
    <row r="1598" spans="1:8" hidden="1">
      <c r="D1598" s="932"/>
      <c r="G1598" s="933"/>
      <c r="H1598" s="934"/>
    </row>
    <row r="1599" spans="1:8" hidden="1">
      <c r="D1599" s="932"/>
      <c r="G1599" s="933"/>
      <c r="H1599" s="934"/>
    </row>
    <row r="1600" spans="1:8" hidden="1">
      <c r="D1600" s="932"/>
      <c r="G1600" s="933"/>
      <c r="H1600" s="934"/>
    </row>
    <row r="1601" spans="1:8" hidden="1">
      <c r="D1601" s="932"/>
      <c r="G1601" s="933"/>
      <c r="H1601" s="934"/>
    </row>
    <row r="1602" spans="1:8" hidden="1">
      <c r="A1602" s="930"/>
      <c r="B1602" s="931"/>
      <c r="D1602" s="932"/>
      <c r="G1602" s="933"/>
      <c r="H1602" s="934"/>
    </row>
    <row r="1603" spans="1:8" hidden="1">
      <c r="A1603" s="930"/>
      <c r="B1603" s="931"/>
      <c r="D1603" s="932"/>
      <c r="G1603" s="933"/>
      <c r="H1603" s="934"/>
    </row>
    <row r="1604" spans="1:8" hidden="1">
      <c r="A1604" s="930"/>
      <c r="B1604" s="931"/>
      <c r="D1604" s="932"/>
      <c r="G1604" s="933"/>
      <c r="H1604" s="934"/>
    </row>
    <row r="1605" spans="1:8" hidden="1">
      <c r="A1605" s="930"/>
      <c r="B1605" s="931"/>
      <c r="D1605" s="932"/>
      <c r="G1605" s="933"/>
      <c r="H1605" s="934"/>
    </row>
    <row r="1606" spans="1:8" ht="15" hidden="1">
      <c r="A1606" s="930"/>
      <c r="B1606" s="931"/>
      <c r="C1606" s="868"/>
      <c r="D1606" s="868"/>
      <c r="G1606" s="933"/>
      <c r="H1606" s="934"/>
    </row>
    <row r="1607" spans="1:8" ht="15" hidden="1">
      <c r="A1607" s="930"/>
      <c r="B1607" s="931"/>
      <c r="C1607" s="868"/>
      <c r="D1607" s="868"/>
      <c r="G1607" s="933"/>
      <c r="H1607" s="934"/>
    </row>
    <row r="1608" spans="1:8" ht="15" hidden="1">
      <c r="A1608" s="930"/>
      <c r="B1608" s="931"/>
      <c r="C1608" s="938"/>
      <c r="D1608" s="868"/>
      <c r="G1608" s="933"/>
      <c r="H1608" s="934"/>
    </row>
    <row r="1609" spans="1:8" hidden="1">
      <c r="A1609" s="930"/>
      <c r="B1609" s="931"/>
      <c r="C1609" s="938"/>
      <c r="D1609" s="932"/>
      <c r="G1609" s="933"/>
      <c r="H1609" s="934"/>
    </row>
    <row r="1610" spans="1:8" hidden="1">
      <c r="A1610" s="930"/>
      <c r="B1610" s="931"/>
      <c r="C1610" s="938"/>
      <c r="D1610" s="932"/>
      <c r="G1610" s="933"/>
      <c r="H1610" s="934"/>
    </row>
    <row r="1611" spans="1:8" hidden="1">
      <c r="A1611" s="930"/>
      <c r="B1611" s="931"/>
      <c r="C1611" s="938"/>
      <c r="D1611" s="932"/>
      <c r="G1611" s="933"/>
      <c r="H1611" s="934"/>
    </row>
    <row r="1612" spans="1:8" hidden="1">
      <c r="A1612" s="930"/>
      <c r="B1612" s="931"/>
      <c r="C1612" s="938"/>
      <c r="D1612" s="932"/>
      <c r="G1612" s="933"/>
      <c r="H1612" s="934"/>
    </row>
    <row r="1613" spans="1:8" hidden="1">
      <c r="A1613" s="930"/>
      <c r="B1613" s="931"/>
      <c r="C1613" s="938"/>
      <c r="G1613" s="933"/>
      <c r="H1613" s="934"/>
    </row>
    <row r="1614" spans="1:8" hidden="1">
      <c r="A1614" s="930"/>
      <c r="B1614" s="931"/>
      <c r="D1614" s="932"/>
      <c r="G1614" s="933"/>
      <c r="H1614" s="934"/>
    </row>
    <row r="1615" spans="1:8" hidden="1">
      <c r="A1615" s="930"/>
      <c r="B1615" s="931"/>
      <c r="D1615" s="932"/>
      <c r="G1615" s="933"/>
      <c r="H1615" s="934"/>
    </row>
    <row r="1616" spans="1:8" hidden="1">
      <c r="A1616" s="930"/>
      <c r="B1616" s="931"/>
      <c r="D1616" s="932"/>
      <c r="G1616" s="933"/>
      <c r="H1616" s="934"/>
    </row>
    <row r="1617" spans="1:8" hidden="1">
      <c r="A1617" s="930"/>
      <c r="B1617" s="931"/>
      <c r="D1617" s="932"/>
      <c r="G1617" s="933"/>
      <c r="H1617" s="934"/>
    </row>
    <row r="1618" spans="1:8" hidden="1">
      <c r="A1618" s="930"/>
      <c r="B1618" s="931"/>
      <c r="D1618" s="932"/>
      <c r="G1618" s="933"/>
      <c r="H1618" s="934"/>
    </row>
    <row r="1619" spans="1:8" hidden="1">
      <c r="A1619" s="930"/>
      <c r="B1619" s="931"/>
      <c r="D1619" s="932"/>
      <c r="G1619" s="933"/>
      <c r="H1619" s="934"/>
    </row>
    <row r="1620" spans="1:8" hidden="1">
      <c r="A1620" s="930"/>
      <c r="B1620" s="931"/>
      <c r="D1620" s="932"/>
      <c r="G1620" s="933"/>
      <c r="H1620" s="934"/>
    </row>
    <row r="1621" spans="1:8" hidden="1">
      <c r="A1621" s="930"/>
      <c r="B1621" s="931"/>
      <c r="D1621" s="932"/>
      <c r="G1621" s="933"/>
      <c r="H1621" s="934"/>
    </row>
    <row r="1622" spans="1:8" hidden="1">
      <c r="A1622" s="930"/>
      <c r="B1622" s="931"/>
      <c r="G1622" s="933"/>
      <c r="H1622" s="934"/>
    </row>
    <row r="1623" spans="1:8" hidden="1">
      <c r="C1623" s="938"/>
      <c r="D1623" s="932"/>
      <c r="G1623" s="933"/>
      <c r="H1623" s="934"/>
    </row>
    <row r="1624" spans="1:8" hidden="1">
      <c r="C1624" s="938"/>
      <c r="D1624" s="932"/>
      <c r="G1624" s="933"/>
      <c r="H1624" s="934"/>
    </row>
    <row r="1625" spans="1:8" hidden="1">
      <c r="C1625" s="938"/>
      <c r="D1625" s="932"/>
      <c r="G1625" s="933"/>
      <c r="H1625" s="934"/>
    </row>
    <row r="1626" spans="1:8" hidden="1">
      <c r="A1626" s="930"/>
      <c r="C1626" s="938"/>
      <c r="D1626" s="932"/>
      <c r="G1626" s="933"/>
      <c r="H1626" s="934"/>
    </row>
    <row r="1627" spans="1:8" hidden="1">
      <c r="A1627" s="930"/>
      <c r="C1627" s="938"/>
      <c r="D1627" s="932"/>
      <c r="G1627" s="933"/>
      <c r="H1627" s="934"/>
    </row>
    <row r="1628" spans="1:8" hidden="1">
      <c r="D1628" s="932"/>
      <c r="G1628" s="933"/>
      <c r="H1628" s="934"/>
    </row>
    <row r="1629" spans="1:8" hidden="1">
      <c r="D1629" s="932"/>
      <c r="G1629" s="933"/>
      <c r="H1629" s="934"/>
    </row>
    <row r="1630" spans="1:8" hidden="1">
      <c r="A1630" s="930"/>
      <c r="B1630" s="931"/>
      <c r="C1630" s="938"/>
      <c r="D1630" s="932"/>
      <c r="G1630" s="933"/>
      <c r="H1630" s="934"/>
    </row>
    <row r="1631" spans="1:8" hidden="1">
      <c r="A1631" s="943"/>
      <c r="B1631" s="946"/>
      <c r="C1631" s="938"/>
      <c r="D1631" s="932"/>
      <c r="G1631" s="933"/>
      <c r="H1631" s="934"/>
    </row>
    <row r="1632" spans="1:8" hidden="1">
      <c r="A1632" s="930"/>
      <c r="B1632" s="931"/>
      <c r="D1632" s="932"/>
      <c r="G1632" s="933"/>
      <c r="H1632" s="934"/>
    </row>
    <row r="1633" spans="1:8" hidden="1">
      <c r="A1633" s="930"/>
      <c r="B1633" s="931"/>
      <c r="D1633" s="932"/>
      <c r="G1633" s="933"/>
      <c r="H1633" s="934"/>
    </row>
    <row r="1634" spans="1:8" hidden="1">
      <c r="D1634" s="932"/>
      <c r="G1634" s="933"/>
      <c r="H1634" s="934"/>
    </row>
    <row r="1635" spans="1:8" hidden="1">
      <c r="A1635" s="930"/>
      <c r="B1635" s="931"/>
      <c r="D1635" s="932"/>
      <c r="G1635" s="933"/>
      <c r="H1635" s="934"/>
    </row>
    <row r="1636" spans="1:8" hidden="1">
      <c r="A1636" s="930"/>
      <c r="B1636" s="931"/>
      <c r="D1636" s="932"/>
      <c r="G1636" s="933"/>
      <c r="H1636" s="934"/>
    </row>
    <row r="1637" spans="1:8" hidden="1">
      <c r="D1637" s="932"/>
      <c r="G1637" s="933"/>
      <c r="H1637" s="934"/>
    </row>
    <row r="1638" spans="1:8" hidden="1">
      <c r="D1638" s="932"/>
      <c r="G1638" s="933"/>
      <c r="H1638" s="934"/>
    </row>
    <row r="1639" spans="1:8" hidden="1">
      <c r="D1639" s="932"/>
      <c r="G1639" s="933"/>
      <c r="H1639" s="934"/>
    </row>
    <row r="1640" spans="1:8" hidden="1">
      <c r="D1640" s="932"/>
      <c r="G1640" s="933"/>
      <c r="H1640" s="934"/>
    </row>
    <row r="1641" spans="1:8" hidden="1">
      <c r="D1641" s="932"/>
      <c r="G1641" s="933"/>
      <c r="H1641" s="934"/>
    </row>
    <row r="1642" spans="1:8" hidden="1">
      <c r="D1642" s="932"/>
      <c r="G1642" s="933"/>
      <c r="H1642" s="934"/>
    </row>
    <row r="1643" spans="1:8" hidden="1">
      <c r="D1643" s="932"/>
      <c r="G1643" s="933"/>
      <c r="H1643" s="934"/>
    </row>
    <row r="1644" spans="1:8" hidden="1">
      <c r="D1644" s="932"/>
      <c r="G1644" s="933"/>
      <c r="H1644" s="934"/>
    </row>
    <row r="1645" spans="1:8" hidden="1">
      <c r="D1645" s="932"/>
      <c r="G1645" s="933"/>
      <c r="H1645" s="934"/>
    </row>
    <row r="1646" spans="1:8" hidden="1">
      <c r="D1646" s="932"/>
      <c r="G1646" s="933"/>
      <c r="H1646" s="934"/>
    </row>
    <row r="1647" spans="1:8" hidden="1">
      <c r="D1647" s="932"/>
      <c r="G1647" s="933"/>
      <c r="H1647" s="934"/>
    </row>
    <row r="1648" spans="1:8" hidden="1">
      <c r="A1648" s="930"/>
      <c r="B1648" s="931"/>
      <c r="C1648" s="938"/>
      <c r="D1648" s="932"/>
      <c r="G1648" s="933"/>
      <c r="H1648" s="934"/>
    </row>
    <row r="1649" spans="1:8" hidden="1">
      <c r="A1649" s="942"/>
      <c r="D1649" s="932"/>
      <c r="G1649" s="933"/>
      <c r="H1649" s="934"/>
    </row>
    <row r="1650" spans="1:8" hidden="1">
      <c r="A1650" s="930"/>
      <c r="B1650" s="945"/>
      <c r="D1650" s="932"/>
      <c r="G1650" s="933"/>
      <c r="H1650" s="934"/>
    </row>
    <row r="1651" spans="1:8" hidden="1">
      <c r="A1651" s="930"/>
      <c r="B1651" s="931"/>
      <c r="D1651" s="932"/>
      <c r="G1651" s="933"/>
      <c r="H1651" s="934"/>
    </row>
    <row r="1652" spans="1:8" hidden="1">
      <c r="D1652" s="932"/>
      <c r="G1652" s="933"/>
      <c r="H1652" s="934"/>
    </row>
    <row r="1653" spans="1:8" hidden="1">
      <c r="D1653" s="932"/>
      <c r="G1653" s="933"/>
      <c r="H1653" s="934"/>
    </row>
    <row r="1654" spans="1:8" hidden="1">
      <c r="D1654" s="932"/>
      <c r="G1654" s="933"/>
      <c r="H1654" s="934"/>
    </row>
    <row r="1655" spans="1:8" hidden="1">
      <c r="D1655" s="932"/>
      <c r="G1655" s="933"/>
      <c r="H1655" s="934"/>
    </row>
    <row r="1656" spans="1:8" hidden="1">
      <c r="A1656" s="930"/>
      <c r="B1656" s="931"/>
      <c r="D1656" s="932"/>
      <c r="G1656" s="933"/>
      <c r="H1656" s="934"/>
    </row>
    <row r="1657" spans="1:8" hidden="1">
      <c r="A1657" s="936"/>
      <c r="B1657" s="937"/>
      <c r="D1657" s="932"/>
      <c r="G1657" s="933"/>
      <c r="H1657" s="934"/>
    </row>
    <row r="1658" spans="1:8" hidden="1">
      <c r="D1658" s="932"/>
      <c r="G1658" s="933"/>
      <c r="H1658" s="934"/>
    </row>
    <row r="1659" spans="1:8" hidden="1">
      <c r="A1659" s="930"/>
      <c r="B1659" s="931"/>
      <c r="D1659" s="932"/>
      <c r="G1659" s="933"/>
      <c r="H1659" s="934"/>
    </row>
    <row r="1660" spans="1:8" hidden="1">
      <c r="A1660" s="930"/>
      <c r="B1660" s="931"/>
      <c r="D1660" s="932"/>
      <c r="G1660" s="933"/>
      <c r="H1660" s="934"/>
    </row>
    <row r="1661" spans="1:8" hidden="1">
      <c r="A1661" s="930"/>
      <c r="B1661" s="945"/>
      <c r="D1661" s="932"/>
      <c r="G1661" s="933"/>
      <c r="H1661" s="934"/>
    </row>
    <row r="1662" spans="1:8" hidden="1">
      <c r="A1662" s="930"/>
      <c r="B1662" s="931"/>
      <c r="D1662" s="932"/>
      <c r="G1662" s="933"/>
      <c r="H1662" s="934"/>
    </row>
    <row r="1663" spans="1:8" hidden="1">
      <c r="A1663" s="930"/>
      <c r="B1663" s="931"/>
      <c r="D1663" s="932"/>
      <c r="G1663" s="933"/>
      <c r="H1663" s="934"/>
    </row>
    <row r="1664" spans="1:8" hidden="1">
      <c r="A1664" s="930"/>
      <c r="B1664" s="941"/>
      <c r="D1664" s="932"/>
      <c r="G1664" s="933"/>
      <c r="H1664" s="934"/>
    </row>
    <row r="1665" spans="1:8" hidden="1">
      <c r="A1665" s="930"/>
      <c r="B1665" s="931"/>
      <c r="D1665" s="932"/>
      <c r="G1665" s="933"/>
      <c r="H1665" s="934"/>
    </row>
    <row r="1666" spans="1:8" hidden="1">
      <c r="D1666" s="932"/>
      <c r="G1666" s="933"/>
      <c r="H1666" s="934"/>
    </row>
    <row r="1667" spans="1:8" hidden="1">
      <c r="A1667" s="930"/>
      <c r="B1667" s="945"/>
      <c r="D1667" s="932"/>
      <c r="G1667" s="933"/>
      <c r="H1667" s="934"/>
    </row>
    <row r="1668" spans="1:8" hidden="1">
      <c r="A1668" s="168"/>
      <c r="B1668" s="168"/>
      <c r="C1668" s="948"/>
      <c r="D1668" s="932"/>
      <c r="G1668" s="933"/>
      <c r="H1668" s="934"/>
    </row>
    <row r="1669" spans="1:8" hidden="1">
      <c r="A1669" s="168"/>
      <c r="B1669" s="168"/>
      <c r="C1669" s="948"/>
      <c r="D1669" s="932"/>
      <c r="G1669" s="933"/>
      <c r="H1669" s="934"/>
    </row>
    <row r="1670" spans="1:8" hidden="1">
      <c r="A1670" s="168"/>
      <c r="C1670" s="948"/>
      <c r="D1670" s="932"/>
      <c r="G1670" s="933"/>
      <c r="H1670" s="934"/>
    </row>
    <row r="1671" spans="1:8" hidden="1">
      <c r="A1671" s="168"/>
      <c r="C1671" s="948"/>
      <c r="D1671" s="932"/>
      <c r="G1671" s="933"/>
      <c r="H1671" s="934"/>
    </row>
    <row r="1672" spans="1:8" hidden="1">
      <c r="C1672" s="948"/>
      <c r="D1672" s="932"/>
      <c r="G1672" s="933"/>
      <c r="H1672" s="934"/>
    </row>
    <row r="1673" spans="1:8" hidden="1">
      <c r="A1673" s="168"/>
      <c r="C1673" s="948"/>
      <c r="D1673" s="932"/>
      <c r="G1673" s="933"/>
      <c r="H1673" s="934"/>
    </row>
    <row r="1674" spans="1:8" hidden="1">
      <c r="C1674" s="948"/>
      <c r="D1674" s="932"/>
      <c r="G1674" s="933"/>
      <c r="H1674" s="934"/>
    </row>
    <row r="1675" spans="1:8" hidden="1">
      <c r="D1675" s="932"/>
      <c r="G1675" s="933"/>
      <c r="H1675" s="934"/>
    </row>
    <row r="1676" spans="1:8" hidden="1">
      <c r="A1676" s="930"/>
      <c r="B1676" s="931"/>
      <c r="C1676" s="938"/>
      <c r="D1676" s="932"/>
      <c r="G1676" s="933"/>
      <c r="H1676" s="934"/>
    </row>
    <row r="1677" spans="1:8" hidden="1">
      <c r="D1677" s="932"/>
      <c r="G1677" s="933"/>
      <c r="H1677" s="934"/>
    </row>
    <row r="1678" spans="1:8" hidden="1">
      <c r="D1678" s="932"/>
      <c r="G1678" s="933"/>
      <c r="H1678" s="934"/>
    </row>
    <row r="1679" spans="1:8" hidden="1">
      <c r="D1679" s="932"/>
      <c r="G1679" s="933"/>
      <c r="H1679" s="934"/>
    </row>
    <row r="1680" spans="1:8" hidden="1">
      <c r="D1680" s="932"/>
      <c r="G1680" s="933"/>
      <c r="H1680" s="934"/>
    </row>
    <row r="1681" spans="1:8" hidden="1">
      <c r="D1681" s="932"/>
      <c r="G1681" s="933"/>
      <c r="H1681" s="934"/>
    </row>
    <row r="1682" spans="1:8" hidden="1">
      <c r="D1682" s="932"/>
      <c r="G1682" s="933"/>
      <c r="H1682" s="934"/>
    </row>
    <row r="1683" spans="1:8" hidden="1">
      <c r="D1683" s="932"/>
      <c r="G1683" s="933"/>
      <c r="H1683" s="934"/>
    </row>
    <row r="1684" spans="1:8" hidden="1">
      <c r="D1684" s="932"/>
      <c r="G1684" s="933"/>
      <c r="H1684" s="934"/>
    </row>
    <row r="1685" spans="1:8" hidden="1">
      <c r="D1685" s="932"/>
      <c r="G1685" s="933"/>
      <c r="H1685" s="934"/>
    </row>
    <row r="1686" spans="1:8" hidden="1">
      <c r="D1686" s="932"/>
      <c r="G1686" s="933"/>
      <c r="H1686" s="934"/>
    </row>
    <row r="1687" spans="1:8" hidden="1">
      <c r="D1687" s="932"/>
      <c r="G1687" s="933"/>
      <c r="H1687" s="934"/>
    </row>
    <row r="1688" spans="1:8" hidden="1">
      <c r="D1688" s="932"/>
      <c r="G1688" s="933"/>
      <c r="H1688" s="934"/>
    </row>
    <row r="1689" spans="1:8" hidden="1">
      <c r="D1689" s="932"/>
      <c r="G1689" s="933"/>
      <c r="H1689" s="934"/>
    </row>
    <row r="1690" spans="1:8" hidden="1">
      <c r="D1690" s="932"/>
      <c r="G1690" s="933"/>
      <c r="H1690" s="934"/>
    </row>
    <row r="1691" spans="1:8" hidden="1">
      <c r="A1691" s="168"/>
      <c r="C1691" s="948"/>
      <c r="D1691" s="932"/>
      <c r="G1691" s="933"/>
      <c r="H1691" s="934"/>
    </row>
    <row r="1692" spans="1:8" hidden="1">
      <c r="D1692" s="932"/>
      <c r="G1692" s="933"/>
      <c r="H1692" s="934"/>
    </row>
    <row r="1693" spans="1:8" hidden="1">
      <c r="D1693" s="932"/>
      <c r="G1693" s="933"/>
      <c r="H1693" s="934"/>
    </row>
    <row r="1694" spans="1:8" hidden="1">
      <c r="D1694" s="932"/>
      <c r="G1694" s="933"/>
      <c r="H1694" s="934"/>
    </row>
    <row r="1695" spans="1:8" hidden="1">
      <c r="A1695" s="939"/>
      <c r="B1695" s="940"/>
      <c r="D1695" s="932"/>
      <c r="G1695" s="933"/>
      <c r="H1695" s="934"/>
    </row>
    <row r="1696" spans="1:8" hidden="1">
      <c r="D1696" s="932"/>
      <c r="G1696" s="933"/>
      <c r="H1696" s="934"/>
    </row>
    <row r="1697" spans="1:8" hidden="1">
      <c r="D1697" s="932"/>
      <c r="G1697" s="933"/>
      <c r="H1697" s="934"/>
    </row>
    <row r="1698" spans="1:8" hidden="1">
      <c r="A1698" s="930"/>
      <c r="B1698" s="931"/>
      <c r="D1698" s="932"/>
      <c r="G1698" s="933"/>
      <c r="H1698" s="934"/>
    </row>
    <row r="1699" spans="1:8" hidden="1">
      <c r="G1699" s="933"/>
      <c r="H1699" s="934"/>
    </row>
    <row r="1700" spans="1:8" hidden="1">
      <c r="A1700" s="939"/>
      <c r="B1700" s="941"/>
      <c r="G1700" s="933"/>
      <c r="H1700" s="934"/>
    </row>
    <row r="1701" spans="1:8" hidden="1">
      <c r="G1701" s="933"/>
      <c r="H1701" s="934"/>
    </row>
    <row r="1702" spans="1:8" hidden="1">
      <c r="A1702" s="930"/>
      <c r="B1702" s="931"/>
      <c r="G1702" s="933"/>
      <c r="H1702" s="934"/>
    </row>
    <row r="1703" spans="1:8" hidden="1">
      <c r="G1703" s="933"/>
      <c r="H1703" s="934"/>
    </row>
    <row r="1704" spans="1:8" hidden="1">
      <c r="G1704" s="933"/>
      <c r="H1704" s="934"/>
    </row>
    <row r="1705" spans="1:8" hidden="1">
      <c r="G1705" s="933"/>
      <c r="H1705" s="934"/>
    </row>
    <row r="1706" spans="1:8" hidden="1">
      <c r="G1706" s="933"/>
      <c r="H1706" s="934"/>
    </row>
    <row r="1707" spans="1:8" hidden="1">
      <c r="A1707" s="942"/>
      <c r="B1707" s="941"/>
      <c r="G1707" s="933"/>
      <c r="H1707" s="934"/>
    </row>
    <row r="1708" spans="1:8" hidden="1">
      <c r="G1708" s="933"/>
      <c r="H1708" s="934"/>
    </row>
    <row r="1709" spans="1:8" hidden="1">
      <c r="G1709" s="933"/>
      <c r="H1709" s="934"/>
    </row>
    <row r="1710" spans="1:8" hidden="1">
      <c r="G1710" s="933"/>
      <c r="H1710" s="934"/>
    </row>
    <row r="1711" spans="1:8" hidden="1">
      <c r="G1711" s="933"/>
      <c r="H1711" s="934"/>
    </row>
    <row r="1712" spans="1:8" hidden="1">
      <c r="A1712" s="939"/>
      <c r="B1712" s="931"/>
      <c r="G1712" s="933"/>
      <c r="H1712" s="934"/>
    </row>
    <row r="1713" spans="1:8" hidden="1">
      <c r="G1713" s="933"/>
      <c r="H1713" s="934"/>
    </row>
    <row r="1714" spans="1:8" hidden="1">
      <c r="G1714" s="933"/>
      <c r="H1714" s="934"/>
    </row>
    <row r="1715" spans="1:8" hidden="1">
      <c r="G1715" s="933"/>
      <c r="H1715" s="934"/>
    </row>
    <row r="1716" spans="1:8" hidden="1">
      <c r="G1716" s="933"/>
      <c r="H1716" s="934"/>
    </row>
    <row r="1717" spans="1:8" hidden="1">
      <c r="G1717" s="933"/>
      <c r="H1717" s="934"/>
    </row>
    <row r="1718" spans="1:8" hidden="1">
      <c r="G1718" s="933"/>
      <c r="H1718" s="934"/>
    </row>
    <row r="1719" spans="1:8" hidden="1">
      <c r="G1719" s="933"/>
      <c r="H1719" s="934"/>
    </row>
    <row r="1720" spans="1:8" hidden="1">
      <c r="G1720" s="933"/>
      <c r="H1720" s="934"/>
    </row>
    <row r="1721" spans="1:8" hidden="1">
      <c r="G1721" s="933"/>
      <c r="H1721" s="934"/>
    </row>
    <row r="1722" spans="1:8" hidden="1">
      <c r="A1722" s="930"/>
      <c r="B1722" s="945"/>
      <c r="G1722" s="933"/>
      <c r="H1722" s="934"/>
    </row>
    <row r="1723" spans="1:8" hidden="1">
      <c r="D1723" s="932"/>
      <c r="G1723" s="933"/>
      <c r="H1723" s="934"/>
    </row>
    <row r="1724" spans="1:8" hidden="1">
      <c r="D1724" s="932"/>
      <c r="G1724" s="933"/>
      <c r="H1724" s="934"/>
    </row>
    <row r="1725" spans="1:8" hidden="1">
      <c r="D1725" s="932"/>
      <c r="G1725" s="933"/>
      <c r="H1725" s="934"/>
    </row>
    <row r="1726" spans="1:8" hidden="1">
      <c r="D1726" s="932"/>
      <c r="G1726" s="933"/>
      <c r="H1726" s="934"/>
    </row>
    <row r="1727" spans="1:8" hidden="1">
      <c r="A1727" s="930"/>
      <c r="B1727" s="931"/>
      <c r="C1727" s="938"/>
      <c r="D1727" s="932"/>
      <c r="G1727" s="933"/>
      <c r="H1727" s="934"/>
    </row>
    <row r="1728" spans="1:8" hidden="1">
      <c r="D1728" s="932"/>
      <c r="G1728" s="933"/>
      <c r="H1728" s="934"/>
    </row>
    <row r="1729" spans="2:8" hidden="1">
      <c r="D1729" s="932"/>
      <c r="G1729" s="933"/>
      <c r="H1729" s="934"/>
    </row>
    <row r="1730" spans="2:8" ht="15" hidden="1">
      <c r="B1730"/>
      <c r="C1730" s="938"/>
      <c r="D1730" s="932"/>
      <c r="G1730" s="933"/>
      <c r="H1730" s="934"/>
    </row>
    <row r="1731" spans="2:8" hidden="1">
      <c r="D1731" s="932"/>
      <c r="G1731" s="933"/>
      <c r="H1731" s="934"/>
    </row>
    <row r="1732" spans="2:8" hidden="1">
      <c r="D1732" s="932"/>
      <c r="G1732" s="933"/>
      <c r="H1732" s="934"/>
    </row>
    <row r="1733" spans="2:8" hidden="1">
      <c r="D1733" s="932"/>
      <c r="G1733" s="933"/>
      <c r="H1733" s="934"/>
    </row>
    <row r="1734" spans="2:8" hidden="1">
      <c r="D1734" s="932"/>
      <c r="G1734" s="933"/>
      <c r="H1734" s="934"/>
    </row>
    <row r="1735" spans="2:8" hidden="1">
      <c r="D1735" s="932"/>
      <c r="G1735" s="933"/>
      <c r="H1735" s="934"/>
    </row>
    <row r="1736" spans="2:8" hidden="1">
      <c r="D1736" s="932"/>
      <c r="G1736" s="933"/>
      <c r="H1736" s="934"/>
    </row>
    <row r="1737" spans="2:8" hidden="1">
      <c r="D1737" s="932"/>
      <c r="G1737" s="933"/>
      <c r="H1737" s="934"/>
    </row>
    <row r="1738" spans="2:8" hidden="1">
      <c r="D1738" s="932"/>
      <c r="G1738" s="933"/>
      <c r="H1738" s="934"/>
    </row>
    <row r="1739" spans="2:8" hidden="1">
      <c r="D1739" s="932"/>
      <c r="G1739" s="933"/>
      <c r="H1739" s="934"/>
    </row>
    <row r="1740" spans="2:8" hidden="1">
      <c r="D1740" s="932"/>
      <c r="G1740" s="933"/>
      <c r="H1740" s="934"/>
    </row>
    <row r="1741" spans="2:8" hidden="1">
      <c r="D1741" s="932"/>
      <c r="G1741" s="933"/>
      <c r="H1741" s="934"/>
    </row>
    <row r="1742" spans="2:8" hidden="1">
      <c r="D1742" s="932"/>
      <c r="G1742" s="933"/>
      <c r="H1742" s="934"/>
    </row>
    <row r="1743" spans="2:8" hidden="1">
      <c r="D1743" s="932"/>
      <c r="G1743" s="933"/>
      <c r="H1743" s="934"/>
    </row>
    <row r="1744" spans="2:8" hidden="1">
      <c r="D1744" s="932"/>
      <c r="G1744" s="933"/>
      <c r="H1744" s="934"/>
    </row>
    <row r="1745" spans="1:8" hidden="1">
      <c r="D1745" s="932"/>
      <c r="G1745" s="933"/>
      <c r="H1745" s="934"/>
    </row>
    <row r="1746" spans="1:8" hidden="1">
      <c r="D1746" s="932"/>
      <c r="G1746" s="933"/>
      <c r="H1746" s="934"/>
    </row>
    <row r="1747" spans="1:8" hidden="1">
      <c r="D1747" s="932"/>
      <c r="G1747" s="933"/>
      <c r="H1747" s="934"/>
    </row>
    <row r="1748" spans="1:8" hidden="1">
      <c r="D1748" s="932"/>
      <c r="G1748" s="933"/>
      <c r="H1748" s="934"/>
    </row>
    <row r="1749" spans="1:8" hidden="1">
      <c r="D1749" s="932"/>
      <c r="G1749" s="933"/>
      <c r="H1749" s="934"/>
    </row>
    <row r="1750" spans="1:8" hidden="1">
      <c r="D1750" s="932"/>
      <c r="G1750" s="933"/>
      <c r="H1750" s="934"/>
    </row>
    <row r="1751" spans="1:8" hidden="1">
      <c r="D1751" s="932"/>
      <c r="G1751" s="933"/>
      <c r="H1751" s="934"/>
    </row>
    <row r="1752" spans="1:8" hidden="1">
      <c r="D1752" s="932"/>
      <c r="G1752" s="933"/>
      <c r="H1752" s="934"/>
    </row>
    <row r="1753" spans="1:8" hidden="1">
      <c r="A1753" s="930"/>
      <c r="B1753" s="945"/>
      <c r="D1753" s="932"/>
      <c r="G1753" s="933"/>
      <c r="H1753" s="934"/>
    </row>
    <row r="1754" spans="1:8" hidden="1">
      <c r="D1754" s="932"/>
      <c r="G1754" s="933"/>
      <c r="H1754" s="934"/>
    </row>
    <row r="1755" spans="1:8" hidden="1">
      <c r="D1755" s="932"/>
      <c r="G1755" s="933"/>
      <c r="H1755" s="934"/>
    </row>
    <row r="1756" spans="1:8" hidden="1">
      <c r="D1756" s="932"/>
      <c r="G1756" s="933"/>
      <c r="H1756" s="934"/>
    </row>
    <row r="1757" spans="1:8" hidden="1">
      <c r="D1757" s="932"/>
      <c r="G1757" s="933"/>
      <c r="H1757" s="934"/>
    </row>
    <row r="1758" spans="1:8" hidden="1">
      <c r="D1758" s="932"/>
      <c r="G1758" s="933"/>
      <c r="H1758" s="934"/>
    </row>
    <row r="1759" spans="1:8" hidden="1">
      <c r="D1759" s="932"/>
      <c r="G1759" s="933"/>
      <c r="H1759" s="934"/>
    </row>
    <row r="1760" spans="1:8" hidden="1">
      <c r="D1760" s="932"/>
      <c r="G1760" s="933"/>
      <c r="H1760" s="934"/>
    </row>
    <row r="1761" spans="1:8" hidden="1">
      <c r="D1761" s="932"/>
      <c r="G1761" s="933"/>
      <c r="H1761" s="934"/>
    </row>
    <row r="1762" spans="1:8" hidden="1">
      <c r="D1762" s="932"/>
      <c r="G1762" s="933"/>
      <c r="H1762" s="934"/>
    </row>
    <row r="1763" spans="1:8" hidden="1">
      <c r="D1763" s="932"/>
      <c r="G1763" s="933"/>
      <c r="H1763" s="934"/>
    </row>
    <row r="1764" spans="1:8" hidden="1">
      <c r="D1764" s="932"/>
      <c r="G1764" s="933"/>
      <c r="H1764" s="934"/>
    </row>
    <row r="1765" spans="1:8" hidden="1">
      <c r="D1765" s="932"/>
      <c r="G1765" s="933"/>
      <c r="H1765" s="934"/>
    </row>
    <row r="1766" spans="1:8" hidden="1">
      <c r="D1766" s="932"/>
      <c r="G1766" s="933"/>
      <c r="H1766" s="934"/>
    </row>
    <row r="1767" spans="1:8" hidden="1">
      <c r="D1767" s="932"/>
      <c r="G1767" s="933"/>
      <c r="H1767" s="934"/>
    </row>
    <row r="1768" spans="1:8" hidden="1">
      <c r="D1768" s="932"/>
      <c r="G1768" s="933"/>
      <c r="H1768" s="934"/>
    </row>
    <row r="1769" spans="1:8" hidden="1">
      <c r="D1769" s="932"/>
      <c r="G1769" s="933"/>
      <c r="H1769" s="934"/>
    </row>
    <row r="1770" spans="1:8" hidden="1">
      <c r="D1770" s="932"/>
      <c r="G1770" s="933"/>
      <c r="H1770" s="934"/>
    </row>
    <row r="1771" spans="1:8" hidden="1">
      <c r="D1771" s="932"/>
      <c r="G1771" s="933"/>
      <c r="H1771" s="934"/>
    </row>
    <row r="1772" spans="1:8" hidden="1">
      <c r="D1772" s="932"/>
      <c r="G1772" s="933"/>
      <c r="H1772" s="934"/>
    </row>
    <row r="1773" spans="1:8" hidden="1">
      <c r="D1773" s="932"/>
      <c r="G1773" s="933"/>
      <c r="H1773" s="934"/>
    </row>
    <row r="1774" spans="1:8" hidden="1">
      <c r="D1774" s="932"/>
      <c r="G1774" s="933"/>
      <c r="H1774" s="934"/>
    </row>
    <row r="1775" spans="1:8" hidden="1">
      <c r="A1775" s="944"/>
      <c r="B1775" s="945"/>
      <c r="D1775" s="932"/>
      <c r="G1775" s="933"/>
      <c r="H1775" s="934"/>
    </row>
    <row r="1776" spans="1:8" hidden="1">
      <c r="A1776" s="944"/>
      <c r="B1776" s="945"/>
      <c r="D1776" s="932"/>
      <c r="G1776" s="933"/>
      <c r="H1776" s="934"/>
    </row>
    <row r="1777" spans="1:8" hidden="1">
      <c r="A1777" s="944"/>
      <c r="B1777" s="945"/>
      <c r="D1777" s="932"/>
      <c r="G1777" s="933"/>
      <c r="H1777" s="934"/>
    </row>
    <row r="1778" spans="1:8" hidden="1">
      <c r="D1778" s="932"/>
      <c r="G1778" s="933"/>
      <c r="H1778" s="934"/>
    </row>
    <row r="1779" spans="1:8" hidden="1">
      <c r="D1779" s="932"/>
      <c r="G1779" s="933"/>
      <c r="H1779" s="934"/>
    </row>
    <row r="1780" spans="1:8" hidden="1">
      <c r="D1780" s="932"/>
      <c r="G1780" s="933"/>
      <c r="H1780" s="934"/>
    </row>
    <row r="1781" spans="1:8" hidden="1">
      <c r="D1781" s="932"/>
      <c r="G1781" s="933"/>
      <c r="H1781" s="934"/>
    </row>
    <row r="1782" spans="1:8" hidden="1">
      <c r="D1782" s="932"/>
      <c r="G1782" s="933"/>
      <c r="H1782" s="934"/>
    </row>
    <row r="1783" spans="1:8" hidden="1">
      <c r="D1783" s="932"/>
      <c r="G1783" s="933"/>
      <c r="H1783" s="934"/>
    </row>
    <row r="1784" spans="1:8" hidden="1">
      <c r="D1784" s="932"/>
      <c r="G1784" s="933"/>
      <c r="H1784" s="934"/>
    </row>
    <row r="1785" spans="1:8" hidden="1">
      <c r="D1785" s="932"/>
      <c r="G1785" s="933"/>
      <c r="H1785" s="934"/>
    </row>
    <row r="1786" spans="1:8" hidden="1">
      <c r="D1786" s="932"/>
      <c r="G1786" s="933"/>
      <c r="H1786" s="934"/>
    </row>
    <row r="1787" spans="1:8" hidden="1">
      <c r="D1787" s="932"/>
      <c r="G1787" s="933"/>
      <c r="H1787" s="934"/>
    </row>
    <row r="1788" spans="1:8" hidden="1">
      <c r="D1788" s="932"/>
      <c r="G1788" s="933"/>
      <c r="H1788" s="934"/>
    </row>
    <row r="1789" spans="1:8" hidden="1">
      <c r="D1789" s="932"/>
      <c r="G1789" s="933"/>
      <c r="H1789" s="934"/>
    </row>
    <row r="1790" spans="1:8" hidden="1">
      <c r="D1790" s="932"/>
      <c r="G1790" s="933"/>
      <c r="H1790" s="934"/>
    </row>
    <row r="1791" spans="1:8" hidden="1">
      <c r="D1791" s="932"/>
      <c r="G1791" s="933"/>
      <c r="H1791" s="934"/>
    </row>
    <row r="1792" spans="1:8" hidden="1">
      <c r="D1792" s="932"/>
      <c r="G1792" s="933"/>
      <c r="H1792" s="934"/>
    </row>
    <row r="1793" spans="1:8" hidden="1">
      <c r="D1793" s="932"/>
      <c r="G1793" s="933"/>
      <c r="H1793" s="934"/>
    </row>
    <row r="1794" spans="1:8" hidden="1">
      <c r="D1794" s="932"/>
      <c r="G1794" s="933"/>
      <c r="H1794" s="934"/>
    </row>
    <row r="1795" spans="1:8" hidden="1">
      <c r="D1795" s="932"/>
      <c r="G1795" s="933"/>
      <c r="H1795" s="934"/>
    </row>
    <row r="1796" spans="1:8" hidden="1">
      <c r="D1796" s="932"/>
      <c r="G1796" s="933"/>
      <c r="H1796" s="934"/>
    </row>
    <row r="1797" spans="1:8" hidden="1">
      <c r="D1797" s="932"/>
      <c r="G1797" s="933"/>
      <c r="H1797" s="934"/>
    </row>
    <row r="1798" spans="1:8" hidden="1">
      <c r="D1798" s="932"/>
      <c r="G1798" s="933"/>
      <c r="H1798" s="934"/>
    </row>
    <row r="1799" spans="1:8" hidden="1">
      <c r="D1799" s="932"/>
      <c r="G1799" s="933"/>
      <c r="H1799" s="934"/>
    </row>
    <row r="1800" spans="1:8" hidden="1">
      <c r="A1800" s="930"/>
      <c r="B1800" s="931"/>
      <c r="D1800" s="932"/>
      <c r="G1800" s="933"/>
      <c r="H1800" s="934"/>
    </row>
    <row r="1801" spans="1:8" hidden="1">
      <c r="D1801" s="932"/>
      <c r="G1801" s="933"/>
      <c r="H1801" s="934"/>
    </row>
    <row r="1802" spans="1:8" hidden="1">
      <c r="A1802" s="944"/>
      <c r="B1802" s="945"/>
      <c r="D1802" s="932"/>
      <c r="G1802" s="933"/>
      <c r="H1802" s="934"/>
    </row>
    <row r="1803" spans="1:8" hidden="1">
      <c r="A1803" s="930"/>
      <c r="B1803" s="931"/>
      <c r="D1803" s="932"/>
      <c r="G1803" s="933"/>
      <c r="H1803" s="934"/>
    </row>
    <row r="1804" spans="1:8" hidden="1">
      <c r="D1804" s="932"/>
      <c r="G1804" s="933"/>
      <c r="H1804" s="934"/>
    </row>
    <row r="1805" spans="1:8" hidden="1">
      <c r="A1805" s="930"/>
      <c r="B1805" s="945"/>
      <c r="D1805" s="932"/>
      <c r="G1805" s="933"/>
      <c r="H1805" s="934"/>
    </row>
    <row r="1806" spans="1:8" hidden="1">
      <c r="A1806" s="942"/>
      <c r="B1806" s="941"/>
      <c r="C1806" s="938"/>
      <c r="D1806" s="932"/>
      <c r="G1806" s="933"/>
      <c r="H1806" s="934"/>
    </row>
    <row r="1807" spans="1:8" hidden="1">
      <c r="A1807" s="930"/>
      <c r="B1807" s="931"/>
      <c r="C1807" s="938"/>
      <c r="D1807" s="932"/>
      <c r="G1807" s="933"/>
      <c r="H1807" s="934"/>
    </row>
    <row r="1808" spans="1:8" hidden="1">
      <c r="D1808" s="932"/>
      <c r="G1808" s="933"/>
      <c r="H1808" s="934"/>
    </row>
    <row r="1809" spans="1:8" hidden="1">
      <c r="D1809" s="932"/>
      <c r="G1809" s="933"/>
      <c r="H1809" s="934"/>
    </row>
    <row r="1810" spans="1:8" hidden="1">
      <c r="D1810" s="932"/>
      <c r="G1810" s="933"/>
      <c r="H1810" s="934"/>
    </row>
    <row r="1811" spans="1:8" hidden="1">
      <c r="D1811" s="932"/>
      <c r="G1811" s="933"/>
      <c r="H1811" s="934"/>
    </row>
    <row r="1812" spans="1:8" hidden="1">
      <c r="D1812" s="932"/>
      <c r="G1812" s="933"/>
      <c r="H1812" s="934"/>
    </row>
    <row r="1813" spans="1:8" hidden="1">
      <c r="D1813" s="932"/>
      <c r="G1813" s="933"/>
      <c r="H1813" s="934"/>
    </row>
    <row r="1814" spans="1:8" hidden="1">
      <c r="D1814" s="932"/>
      <c r="G1814" s="933"/>
      <c r="H1814" s="934"/>
    </row>
    <row r="1815" spans="1:8" hidden="1">
      <c r="D1815" s="932"/>
      <c r="G1815" s="933"/>
      <c r="H1815" s="934"/>
    </row>
    <row r="1816" spans="1:8" hidden="1">
      <c r="D1816" s="932"/>
      <c r="G1816" s="933"/>
      <c r="H1816" s="934"/>
    </row>
    <row r="1817" spans="1:8" hidden="1">
      <c r="D1817" s="932"/>
      <c r="G1817" s="933"/>
      <c r="H1817" s="934"/>
    </row>
    <row r="1818" spans="1:8" hidden="1">
      <c r="D1818" s="932"/>
      <c r="G1818" s="933"/>
      <c r="H1818" s="934"/>
    </row>
    <row r="1819" spans="1:8" hidden="1">
      <c r="D1819" s="932"/>
      <c r="G1819" s="933"/>
      <c r="H1819" s="934"/>
    </row>
    <row r="1820" spans="1:8" hidden="1">
      <c r="D1820" s="932"/>
      <c r="G1820" s="933"/>
      <c r="H1820" s="934"/>
    </row>
    <row r="1821" spans="1:8" hidden="1">
      <c r="A1821" s="944"/>
      <c r="B1821" s="945"/>
      <c r="D1821" s="932"/>
      <c r="G1821" s="933"/>
      <c r="H1821" s="934"/>
    </row>
    <row r="1822" spans="1:8" hidden="1">
      <c r="B1822" s="931"/>
      <c r="D1822" s="932"/>
      <c r="G1822" s="933"/>
      <c r="H1822" s="934"/>
    </row>
    <row r="1823" spans="1:8" hidden="1">
      <c r="D1823" s="932"/>
      <c r="G1823" s="933"/>
      <c r="H1823" s="934"/>
    </row>
    <row r="1824" spans="1:8" hidden="1">
      <c r="D1824" s="932"/>
      <c r="G1824" s="933"/>
      <c r="H1824" s="934"/>
    </row>
    <row r="1825" spans="1:8" hidden="1">
      <c r="D1825" s="932"/>
      <c r="G1825" s="933"/>
      <c r="H1825" s="934"/>
    </row>
    <row r="1826" spans="1:8" hidden="1">
      <c r="D1826" s="932"/>
      <c r="G1826" s="933"/>
      <c r="H1826" s="934"/>
    </row>
    <row r="1827" spans="1:8" hidden="1">
      <c r="D1827" s="932"/>
      <c r="G1827" s="933"/>
      <c r="H1827" s="934"/>
    </row>
    <row r="1828" spans="1:8" hidden="1">
      <c r="D1828" s="932"/>
      <c r="G1828" s="933"/>
      <c r="H1828" s="934"/>
    </row>
    <row r="1829" spans="1:8" hidden="1">
      <c r="D1829" s="932"/>
      <c r="G1829" s="933"/>
      <c r="H1829" s="934"/>
    </row>
    <row r="1830" spans="1:8" hidden="1">
      <c r="D1830" s="932"/>
      <c r="G1830" s="933"/>
      <c r="H1830" s="934"/>
    </row>
    <row r="1831" spans="1:8" hidden="1">
      <c r="D1831" s="932"/>
      <c r="G1831" s="933"/>
      <c r="H1831" s="934"/>
    </row>
    <row r="1832" spans="1:8" hidden="1">
      <c r="D1832" s="932"/>
      <c r="G1832" s="933"/>
      <c r="H1832" s="934"/>
    </row>
    <row r="1833" spans="1:8" hidden="1">
      <c r="A1833" s="930"/>
      <c r="B1833" s="931"/>
      <c r="D1833" s="932"/>
      <c r="G1833" s="933"/>
      <c r="H1833" s="934"/>
    </row>
    <row r="1834" spans="1:8" hidden="1">
      <c r="A1834" s="930"/>
      <c r="B1834" s="931"/>
      <c r="C1834" s="938"/>
      <c r="D1834" s="932"/>
      <c r="G1834" s="933"/>
      <c r="H1834" s="934"/>
    </row>
    <row r="1835" spans="1:8" hidden="1">
      <c r="A1835" s="942"/>
      <c r="B1835" s="931"/>
      <c r="C1835" s="938"/>
      <c r="D1835" s="932"/>
      <c r="G1835" s="933"/>
      <c r="H1835" s="934"/>
    </row>
    <row r="1836" spans="1:8" hidden="1">
      <c r="D1836" s="932"/>
      <c r="G1836" s="933"/>
      <c r="H1836" s="934"/>
    </row>
    <row r="1837" spans="1:8" hidden="1">
      <c r="A1837" s="930"/>
      <c r="B1837" s="931"/>
      <c r="D1837" s="932"/>
      <c r="G1837" s="933"/>
      <c r="H1837" s="934"/>
    </row>
    <row r="1838" spans="1:8" hidden="1">
      <c r="A1838" s="930"/>
      <c r="B1838" s="931"/>
      <c r="D1838" s="932"/>
      <c r="G1838" s="933"/>
      <c r="H1838" s="934"/>
    </row>
    <row r="1839" spans="1:8" hidden="1">
      <c r="D1839" s="932"/>
      <c r="G1839" s="933"/>
      <c r="H1839" s="934"/>
    </row>
    <row r="1840" spans="1:8" hidden="1">
      <c r="D1840" s="932"/>
      <c r="G1840" s="933"/>
      <c r="H1840" s="934"/>
    </row>
    <row r="1841" spans="1:8" hidden="1">
      <c r="D1841" s="932"/>
      <c r="G1841" s="933"/>
      <c r="H1841" s="934"/>
    </row>
    <row r="1842" spans="1:8" hidden="1">
      <c r="A1842" s="930"/>
      <c r="B1842" s="931"/>
      <c r="C1842" s="938"/>
      <c r="D1842" s="932"/>
      <c r="G1842" s="933"/>
      <c r="H1842" s="934"/>
    </row>
    <row r="1843" spans="1:8" hidden="1">
      <c r="A1843" s="930"/>
      <c r="B1843" s="931"/>
      <c r="C1843" s="938"/>
      <c r="D1843" s="947"/>
      <c r="G1843" s="933"/>
      <c r="H1843" s="934"/>
    </row>
    <row r="1844" spans="1:8" hidden="1">
      <c r="A1844" s="930"/>
      <c r="B1844" s="931"/>
      <c r="C1844" s="938"/>
      <c r="D1844" s="947"/>
      <c r="G1844" s="933"/>
      <c r="H1844" s="934"/>
    </row>
    <row r="1845" spans="1:8" hidden="1">
      <c r="A1845" s="930"/>
      <c r="B1845" s="931"/>
      <c r="C1845" s="938"/>
      <c r="D1845" s="947"/>
      <c r="G1845" s="933"/>
      <c r="H1845" s="934"/>
    </row>
    <row r="1846" spans="1:8" hidden="1">
      <c r="A1846" s="930"/>
      <c r="B1846" s="931"/>
      <c r="C1846" s="938"/>
      <c r="D1846" s="947"/>
      <c r="G1846" s="933"/>
      <c r="H1846" s="934"/>
    </row>
    <row r="1847" spans="1:8" hidden="1">
      <c r="A1847" s="930"/>
      <c r="B1847" s="931"/>
      <c r="C1847" s="938"/>
      <c r="D1847" s="947"/>
      <c r="G1847" s="933"/>
      <c r="H1847" s="934"/>
    </row>
    <row r="1848" spans="1:8" hidden="1">
      <c r="A1848" s="930"/>
      <c r="B1848" s="931"/>
      <c r="C1848" s="938"/>
      <c r="D1848" s="947"/>
      <c r="G1848" s="933"/>
      <c r="H1848" s="934"/>
    </row>
    <row r="1849" spans="1:8" hidden="1">
      <c r="A1849" s="930"/>
      <c r="B1849" s="931"/>
      <c r="C1849" s="938"/>
      <c r="D1849" s="947"/>
      <c r="G1849" s="933"/>
      <c r="H1849" s="934"/>
    </row>
    <row r="1850" spans="1:8" hidden="1">
      <c r="A1850" s="930"/>
      <c r="B1850" s="941"/>
      <c r="C1850" s="938"/>
      <c r="D1850" s="947"/>
      <c r="G1850" s="933"/>
      <c r="H1850" s="934"/>
    </row>
    <row r="1851" spans="1:8" hidden="1">
      <c r="A1851" s="930"/>
      <c r="B1851" s="931"/>
      <c r="C1851" s="938"/>
      <c r="D1851" s="947"/>
      <c r="G1851" s="933"/>
      <c r="H1851" s="934"/>
    </row>
    <row r="1852" spans="1:8" hidden="1">
      <c r="A1852" s="930"/>
      <c r="B1852" s="941"/>
      <c r="C1852" s="938"/>
      <c r="D1852" s="947"/>
      <c r="G1852" s="933"/>
      <c r="H1852" s="934"/>
    </row>
    <row r="1853" spans="1:8" hidden="1">
      <c r="A1853" s="930"/>
      <c r="B1853" s="931"/>
      <c r="C1853" s="938"/>
      <c r="D1853" s="947"/>
      <c r="G1853" s="933"/>
      <c r="H1853" s="934"/>
    </row>
    <row r="1854" spans="1:8" hidden="1">
      <c r="D1854" s="947"/>
      <c r="G1854" s="933"/>
      <c r="H1854" s="934"/>
    </row>
    <row r="1855" spans="1:8" hidden="1">
      <c r="A1855" s="930"/>
      <c r="B1855" s="931"/>
      <c r="C1855" s="938"/>
      <c r="D1855" s="947"/>
      <c r="G1855" s="933"/>
      <c r="H1855" s="934"/>
    </row>
    <row r="1856" spans="1:8" hidden="1">
      <c r="A1856" s="930"/>
      <c r="B1856" s="931"/>
      <c r="C1856" s="938"/>
      <c r="D1856" s="947"/>
      <c r="G1856" s="933"/>
      <c r="H1856" s="934"/>
    </row>
    <row r="1857" spans="1:8" hidden="1">
      <c r="A1857" s="930"/>
      <c r="B1857" s="931"/>
      <c r="C1857" s="938"/>
      <c r="D1857" s="947"/>
      <c r="G1857" s="933"/>
      <c r="H1857" s="934"/>
    </row>
    <row r="1858" spans="1:8" hidden="1">
      <c r="A1858" s="930"/>
      <c r="B1858" s="931"/>
      <c r="C1858" s="938"/>
      <c r="D1858" s="947"/>
      <c r="G1858" s="933"/>
      <c r="H1858" s="934"/>
    </row>
    <row r="1859" spans="1:8" hidden="1">
      <c r="A1859" s="930"/>
      <c r="B1859" s="931"/>
      <c r="C1859" s="938"/>
      <c r="D1859" s="947"/>
      <c r="G1859" s="933"/>
      <c r="H1859" s="934"/>
    </row>
    <row r="1860" spans="1:8" hidden="1">
      <c r="A1860" s="930"/>
      <c r="B1860" s="931"/>
      <c r="C1860" s="938"/>
      <c r="D1860" s="947"/>
      <c r="G1860" s="933"/>
      <c r="H1860" s="934"/>
    </row>
    <row r="1861" spans="1:8" hidden="1">
      <c r="A1861" s="943"/>
      <c r="B1861" s="946"/>
      <c r="C1861" s="938"/>
      <c r="D1861" s="947"/>
      <c r="G1861" s="933"/>
      <c r="H1861" s="934"/>
    </row>
    <row r="1862" spans="1:8" hidden="1">
      <c r="A1862" s="930"/>
      <c r="B1862" s="941"/>
      <c r="C1862" s="938"/>
      <c r="D1862" s="947"/>
      <c r="G1862" s="933"/>
      <c r="H1862" s="934"/>
    </row>
    <row r="1863" spans="1:8" hidden="1">
      <c r="A1863" s="930"/>
      <c r="B1863" s="941"/>
      <c r="C1863" s="938"/>
      <c r="D1863" s="947"/>
      <c r="G1863" s="933"/>
      <c r="H1863" s="934"/>
    </row>
    <row r="1864" spans="1:8" hidden="1">
      <c r="A1864" s="930"/>
      <c r="B1864" s="931"/>
      <c r="C1864" s="938"/>
      <c r="D1864" s="947"/>
      <c r="G1864" s="933"/>
      <c r="H1864" s="934"/>
    </row>
    <row r="1865" spans="1:8" ht="15" hidden="1">
      <c r="A1865" s="949"/>
      <c r="B1865" s="168"/>
      <c r="C1865" s="948"/>
      <c r="D1865" s="947"/>
      <c r="G1865" s="933"/>
      <c r="H1865" s="934"/>
    </row>
    <row r="1866" spans="1:8" ht="15" hidden="1">
      <c r="A1866" s="949"/>
      <c r="B1866" s="168"/>
      <c r="C1866" s="948"/>
      <c r="D1866" s="947"/>
      <c r="G1866" s="933"/>
      <c r="H1866" s="934"/>
    </row>
    <row r="1867" spans="1:8" ht="15" hidden="1">
      <c r="A1867" s="949"/>
      <c r="B1867" s="168"/>
      <c r="C1867" s="948"/>
      <c r="D1867" s="947"/>
      <c r="G1867" s="933"/>
      <c r="H1867" s="934"/>
    </row>
    <row r="1868" spans="1:8" ht="15" hidden="1">
      <c r="A1868" s="949"/>
      <c r="B1868" s="168"/>
      <c r="C1868" s="948"/>
      <c r="D1868" s="947"/>
      <c r="G1868" s="933"/>
      <c r="H1868" s="934"/>
    </row>
    <row r="1869" spans="1:8" hidden="1">
      <c r="D1869" s="932"/>
      <c r="G1869" s="933"/>
      <c r="H1869" s="934"/>
    </row>
    <row r="1870" spans="1:8" hidden="1">
      <c r="D1870" s="932"/>
      <c r="G1870" s="933"/>
      <c r="H1870" s="934"/>
    </row>
    <row r="1871" spans="1:8" hidden="1">
      <c r="D1871" s="932"/>
      <c r="G1871" s="933"/>
      <c r="H1871" s="934"/>
    </row>
    <row r="1872" spans="1:8" hidden="1">
      <c r="D1872" s="932"/>
      <c r="G1872" s="933"/>
      <c r="H1872" s="934"/>
    </row>
    <row r="1873" spans="1:8" hidden="1">
      <c r="C1873" s="938"/>
      <c r="D1873" s="947"/>
      <c r="G1873" s="933"/>
      <c r="H1873" s="934"/>
    </row>
    <row r="1874" spans="1:8" hidden="1">
      <c r="D1874" s="932"/>
      <c r="G1874" s="933"/>
      <c r="H1874" s="934"/>
    </row>
    <row r="1875" spans="1:8" hidden="1">
      <c r="A1875" s="930"/>
      <c r="B1875" s="931"/>
      <c r="C1875" s="938"/>
      <c r="D1875" s="932"/>
      <c r="G1875" s="933"/>
      <c r="H1875" s="934"/>
    </row>
    <row r="1876" spans="1:8" hidden="1">
      <c r="A1876" s="930"/>
      <c r="B1876" s="931"/>
      <c r="C1876" s="938"/>
      <c r="D1876" s="932"/>
      <c r="G1876" s="933"/>
      <c r="H1876" s="934"/>
    </row>
    <row r="1877" spans="1:8" hidden="1">
      <c r="A1877" s="930"/>
      <c r="B1877" s="931"/>
      <c r="C1877" s="938"/>
      <c r="D1877" s="932"/>
      <c r="G1877" s="933"/>
      <c r="H1877" s="934"/>
    </row>
    <row r="1878" spans="1:8" hidden="1">
      <c r="A1878" s="930"/>
      <c r="B1878" s="931"/>
      <c r="C1878" s="938"/>
      <c r="D1878" s="932"/>
      <c r="G1878" s="933"/>
      <c r="H1878" s="934"/>
    </row>
    <row r="1879" spans="1:8" hidden="1">
      <c r="A1879" s="930"/>
      <c r="B1879" s="931"/>
      <c r="C1879" s="938"/>
      <c r="D1879" s="932"/>
      <c r="G1879" s="933"/>
      <c r="H1879" s="934"/>
    </row>
    <row r="1880" spans="1:8" hidden="1">
      <c r="A1880" s="930"/>
      <c r="B1880" s="931"/>
      <c r="C1880" s="938"/>
      <c r="D1880" s="932"/>
      <c r="G1880" s="933"/>
      <c r="H1880" s="934"/>
    </row>
    <row r="1881" spans="1:8" hidden="1">
      <c r="D1881" s="932"/>
      <c r="G1881" s="933"/>
      <c r="H1881" s="934"/>
    </row>
    <row r="1882" spans="1:8" hidden="1">
      <c r="A1882" s="944"/>
      <c r="B1882" s="945"/>
      <c r="G1882" s="933"/>
      <c r="H1882" s="934"/>
    </row>
    <row r="1883" spans="1:8" hidden="1">
      <c r="A1883" s="944"/>
      <c r="B1883" s="945"/>
      <c r="G1883" s="933"/>
      <c r="H1883" s="934"/>
    </row>
    <row r="1884" spans="1:8" hidden="1">
      <c r="D1884" s="932"/>
      <c r="G1884" s="933"/>
      <c r="H1884" s="934"/>
    </row>
    <row r="1885" spans="1:8" hidden="1">
      <c r="D1885" s="932"/>
      <c r="G1885" s="933"/>
      <c r="H1885" s="934"/>
    </row>
    <row r="1886" spans="1:8" hidden="1">
      <c r="A1886" s="930"/>
      <c r="B1886" s="931"/>
      <c r="C1886" s="938"/>
      <c r="D1886" s="932"/>
      <c r="G1886" s="933"/>
      <c r="H1886" s="934"/>
    </row>
    <row r="1887" spans="1:8" hidden="1">
      <c r="D1887" s="932"/>
      <c r="G1887" s="933"/>
      <c r="H1887" s="934"/>
    </row>
    <row r="1888" spans="1:8" hidden="1">
      <c r="A1888" s="930"/>
      <c r="B1888" s="931"/>
      <c r="D1888" s="932"/>
      <c r="G1888" s="933"/>
      <c r="H1888" s="934"/>
    </row>
    <row r="1889" spans="1:8" hidden="1">
      <c r="D1889" s="932"/>
      <c r="G1889" s="933"/>
      <c r="H1889" s="934"/>
    </row>
    <row r="1890" spans="1:8" hidden="1">
      <c r="D1890" s="932"/>
      <c r="G1890" s="933"/>
      <c r="H1890" s="934"/>
    </row>
    <row r="1891" spans="1:8" hidden="1">
      <c r="D1891" s="932"/>
      <c r="G1891" s="933"/>
      <c r="H1891" s="934"/>
    </row>
    <row r="1892" spans="1:8" hidden="1">
      <c r="D1892" s="932"/>
      <c r="G1892" s="933"/>
      <c r="H1892" s="934"/>
    </row>
    <row r="1893" spans="1:8" hidden="1">
      <c r="D1893" s="932"/>
      <c r="G1893" s="933"/>
      <c r="H1893" s="934"/>
    </row>
    <row r="1894" spans="1:8" hidden="1">
      <c r="D1894" s="932"/>
      <c r="G1894" s="933"/>
      <c r="H1894" s="934"/>
    </row>
    <row r="1895" spans="1:8" hidden="1">
      <c r="D1895" s="932"/>
      <c r="G1895" s="933"/>
      <c r="H1895" s="934"/>
    </row>
    <row r="1896" spans="1:8" hidden="1">
      <c r="D1896" s="932"/>
      <c r="G1896" s="933"/>
      <c r="H1896" s="934"/>
    </row>
    <row r="1897" spans="1:8" hidden="1">
      <c r="D1897" s="932"/>
      <c r="G1897" s="933"/>
      <c r="H1897" s="934"/>
    </row>
    <row r="1898" spans="1:8" hidden="1">
      <c r="D1898" s="932"/>
      <c r="G1898" s="933"/>
      <c r="H1898" s="934"/>
    </row>
    <row r="1899" spans="1:8" hidden="1">
      <c r="D1899" s="932"/>
      <c r="G1899" s="933"/>
      <c r="H1899" s="934"/>
    </row>
    <row r="1900" spans="1:8" hidden="1">
      <c r="D1900" s="932"/>
      <c r="G1900" s="933"/>
      <c r="H1900" s="934"/>
    </row>
    <row r="1901" spans="1:8" hidden="1">
      <c r="D1901" s="932"/>
      <c r="G1901" s="933"/>
      <c r="H1901" s="934"/>
    </row>
    <row r="1902" spans="1:8" hidden="1">
      <c r="D1902" s="932"/>
      <c r="G1902" s="933"/>
      <c r="H1902" s="934"/>
    </row>
    <row r="1903" spans="1:8" hidden="1">
      <c r="D1903" s="932"/>
      <c r="G1903" s="933"/>
      <c r="H1903" s="934"/>
    </row>
    <row r="1904" spans="1:8" hidden="1">
      <c r="A1904" s="930"/>
      <c r="B1904" s="931"/>
      <c r="D1904" s="932"/>
      <c r="G1904" s="933"/>
      <c r="H1904" s="934"/>
    </row>
    <row r="1905" spans="1:8" hidden="1">
      <c r="D1905" s="932"/>
      <c r="G1905" s="933"/>
      <c r="H1905" s="934"/>
    </row>
    <row r="1906" spans="1:8" hidden="1">
      <c r="A1906" s="930"/>
      <c r="B1906" s="931"/>
      <c r="C1906" s="938"/>
      <c r="D1906" s="932"/>
      <c r="G1906" s="933"/>
      <c r="H1906" s="934"/>
    </row>
    <row r="1907" spans="1:8" hidden="1">
      <c r="C1907" s="948"/>
      <c r="D1907" s="932"/>
      <c r="G1907" s="933"/>
      <c r="H1907" s="934"/>
    </row>
    <row r="1908" spans="1:8" hidden="1">
      <c r="D1908" s="932"/>
      <c r="G1908" s="933"/>
      <c r="H1908" s="934"/>
    </row>
    <row r="1909" spans="1:8" hidden="1">
      <c r="D1909" s="932"/>
      <c r="G1909" s="933"/>
      <c r="H1909" s="934"/>
    </row>
    <row r="1910" spans="1:8" hidden="1">
      <c r="D1910" s="932"/>
      <c r="G1910" s="933"/>
      <c r="H1910" s="934"/>
    </row>
    <row r="1911" spans="1:8" hidden="1">
      <c r="D1911" s="932"/>
      <c r="G1911" s="933"/>
      <c r="H1911" s="934"/>
    </row>
    <row r="1912" spans="1:8" hidden="1">
      <c r="D1912" s="932"/>
      <c r="G1912" s="933"/>
      <c r="H1912" s="934"/>
    </row>
    <row r="1913" spans="1:8" hidden="1">
      <c r="D1913" s="932"/>
      <c r="G1913" s="933"/>
      <c r="H1913" s="934"/>
    </row>
    <row r="1914" spans="1:8" hidden="1">
      <c r="D1914" s="932"/>
      <c r="G1914" s="933"/>
      <c r="H1914" s="934"/>
    </row>
    <row r="1915" spans="1:8" hidden="1">
      <c r="D1915" s="932"/>
      <c r="G1915" s="933"/>
      <c r="H1915" s="934"/>
    </row>
    <row r="1916" spans="1:8" hidden="1">
      <c r="D1916" s="932"/>
      <c r="G1916" s="933"/>
      <c r="H1916" s="934"/>
    </row>
    <row r="1917" spans="1:8" hidden="1">
      <c r="D1917" s="932"/>
      <c r="G1917" s="933"/>
      <c r="H1917" s="934"/>
    </row>
    <row r="1918" spans="1:8" hidden="1">
      <c r="D1918" s="932"/>
      <c r="G1918" s="933"/>
      <c r="H1918" s="934"/>
    </row>
    <row r="1919" spans="1:8" hidden="1">
      <c r="D1919" s="932"/>
      <c r="G1919" s="933"/>
      <c r="H1919" s="934"/>
    </row>
    <row r="1920" spans="1:8" hidden="1">
      <c r="D1920" s="932"/>
      <c r="G1920" s="933"/>
      <c r="H1920" s="934"/>
    </row>
    <row r="1921" spans="1:8" hidden="1">
      <c r="D1921" s="932"/>
      <c r="G1921" s="933"/>
      <c r="H1921" s="934"/>
    </row>
    <row r="1922" spans="1:8" hidden="1">
      <c r="D1922" s="932"/>
      <c r="G1922" s="933"/>
      <c r="H1922" s="934"/>
    </row>
    <row r="1923" spans="1:8" hidden="1">
      <c r="D1923" s="932"/>
      <c r="G1923" s="933"/>
      <c r="H1923" s="934"/>
    </row>
    <row r="1924" spans="1:8" hidden="1">
      <c r="D1924" s="932"/>
      <c r="G1924" s="933"/>
      <c r="H1924" s="934"/>
    </row>
    <row r="1925" spans="1:8" hidden="1">
      <c r="D1925" s="932"/>
      <c r="G1925" s="933"/>
      <c r="H1925" s="934"/>
    </row>
    <row r="1926" spans="1:8" hidden="1">
      <c r="D1926" s="932"/>
      <c r="G1926" s="933"/>
      <c r="H1926" s="934"/>
    </row>
    <row r="1927" spans="1:8" hidden="1">
      <c r="D1927" s="932"/>
      <c r="G1927" s="933"/>
      <c r="H1927" s="934"/>
    </row>
    <row r="1928" spans="1:8" hidden="1">
      <c r="A1928" s="930"/>
      <c r="B1928" s="931"/>
      <c r="C1928" s="938"/>
      <c r="D1928" s="932"/>
      <c r="G1928" s="933"/>
      <c r="H1928" s="934"/>
    </row>
    <row r="1929" spans="1:8" hidden="1">
      <c r="D1929" s="932"/>
      <c r="G1929" s="933"/>
      <c r="H1929" s="934"/>
    </row>
    <row r="1930" spans="1:8" hidden="1">
      <c r="A1930" s="930"/>
      <c r="B1930" s="931"/>
      <c r="D1930" s="932"/>
      <c r="G1930" s="933"/>
      <c r="H1930" s="934"/>
    </row>
    <row r="1931" spans="1:8" hidden="1">
      <c r="D1931" s="932"/>
      <c r="G1931" s="933"/>
      <c r="H1931" s="934"/>
    </row>
    <row r="1932" spans="1:8" hidden="1">
      <c r="D1932" s="932"/>
      <c r="G1932" s="933"/>
      <c r="H1932" s="934"/>
    </row>
    <row r="1933" spans="1:8" hidden="1">
      <c r="D1933" s="932"/>
      <c r="G1933" s="933"/>
      <c r="H1933" s="934"/>
    </row>
    <row r="1934" spans="1:8" hidden="1">
      <c r="D1934" s="932"/>
      <c r="G1934" s="933"/>
      <c r="H1934" s="934"/>
    </row>
    <row r="1935" spans="1:8" hidden="1">
      <c r="D1935" s="932"/>
      <c r="G1935" s="933"/>
      <c r="H1935" s="934"/>
    </row>
    <row r="1936" spans="1:8" hidden="1">
      <c r="D1936" s="932"/>
      <c r="G1936" s="933"/>
      <c r="H1936" s="934"/>
    </row>
    <row r="1937" spans="1:8" hidden="1">
      <c r="D1937" s="932"/>
      <c r="G1937" s="933"/>
      <c r="H1937" s="934"/>
    </row>
    <row r="1938" spans="1:8" hidden="1">
      <c r="D1938" s="932"/>
      <c r="G1938" s="933"/>
      <c r="H1938" s="934"/>
    </row>
    <row r="1939" spans="1:8" hidden="1">
      <c r="D1939" s="932"/>
      <c r="G1939" s="933"/>
      <c r="H1939" s="934"/>
    </row>
    <row r="1940" spans="1:8" hidden="1">
      <c r="D1940" s="932"/>
      <c r="G1940" s="933"/>
      <c r="H1940" s="934"/>
    </row>
    <row r="1941" spans="1:8" hidden="1">
      <c r="D1941" s="932"/>
      <c r="G1941" s="933"/>
      <c r="H1941" s="934"/>
    </row>
    <row r="1942" spans="1:8" hidden="1">
      <c r="D1942" s="932"/>
      <c r="G1942" s="933"/>
      <c r="H1942" s="934"/>
    </row>
    <row r="1943" spans="1:8" hidden="1">
      <c r="D1943" s="932"/>
      <c r="G1943" s="933"/>
      <c r="H1943" s="934"/>
    </row>
    <row r="1944" spans="1:8" hidden="1">
      <c r="D1944" s="932"/>
      <c r="G1944" s="933"/>
      <c r="H1944" s="934"/>
    </row>
    <row r="1945" spans="1:8" hidden="1">
      <c r="D1945" s="932"/>
      <c r="G1945" s="933"/>
      <c r="H1945" s="934"/>
    </row>
    <row r="1946" spans="1:8" hidden="1">
      <c r="D1946" s="932"/>
      <c r="G1946" s="933"/>
      <c r="H1946" s="934"/>
    </row>
    <row r="1947" spans="1:8" hidden="1">
      <c r="D1947" s="932"/>
      <c r="G1947" s="933"/>
      <c r="H1947" s="934"/>
    </row>
    <row r="1948" spans="1:8" hidden="1">
      <c r="D1948" s="932"/>
      <c r="G1948" s="933"/>
      <c r="H1948" s="934"/>
    </row>
    <row r="1949" spans="1:8" hidden="1">
      <c r="D1949" s="932"/>
      <c r="G1949" s="933"/>
      <c r="H1949" s="934"/>
    </row>
    <row r="1950" spans="1:8" hidden="1">
      <c r="A1950" s="930"/>
      <c r="B1950" s="931"/>
      <c r="D1950" s="932"/>
      <c r="G1950" s="933"/>
      <c r="H1950" s="934"/>
    </row>
    <row r="1951" spans="1:8" hidden="1">
      <c r="A1951" s="930"/>
      <c r="B1951" s="931"/>
      <c r="C1951" s="938"/>
      <c r="D1951" s="932"/>
      <c r="G1951" s="933"/>
      <c r="H1951" s="934"/>
    </row>
    <row r="1952" spans="1:8" hidden="1">
      <c r="A1952" s="930"/>
      <c r="B1952" s="931"/>
      <c r="C1952" s="938"/>
      <c r="D1952" s="932"/>
      <c r="G1952" s="933"/>
      <c r="H1952" s="934"/>
    </row>
    <row r="1953" spans="1:12" hidden="1">
      <c r="A1953" s="930"/>
      <c r="B1953" s="931"/>
      <c r="C1953" s="938"/>
      <c r="D1953" s="932"/>
      <c r="G1953" s="933"/>
      <c r="H1953" s="934"/>
    </row>
    <row r="1954" spans="1:12" hidden="1">
      <c r="A1954" s="942"/>
      <c r="B1954" s="941"/>
      <c r="C1954" s="938"/>
      <c r="D1954" s="932"/>
      <c r="G1954" s="933"/>
      <c r="H1954" s="934"/>
    </row>
    <row r="1955" spans="1:12" hidden="1">
      <c r="D1955" s="932"/>
      <c r="G1955" s="933"/>
      <c r="H1955" s="934"/>
    </row>
    <row r="1956" spans="1:12" hidden="1">
      <c r="D1956" s="932"/>
      <c r="G1956" s="933"/>
      <c r="H1956" s="934"/>
    </row>
    <row r="1957" spans="1:12" hidden="1">
      <c r="D1957" s="932"/>
      <c r="G1957" s="933"/>
      <c r="H1957" s="934"/>
    </row>
    <row r="1958" spans="1:12" hidden="1">
      <c r="D1958" s="932"/>
      <c r="G1958" s="933"/>
      <c r="H1958" s="934"/>
    </row>
    <row r="1959" spans="1:12" hidden="1">
      <c r="D1959" s="932"/>
      <c r="G1959" s="933"/>
      <c r="H1959" s="934"/>
    </row>
    <row r="1960" spans="1:12" hidden="1">
      <c r="A1960" s="944"/>
      <c r="B1960" s="945"/>
      <c r="D1960" s="932"/>
      <c r="G1960" s="933"/>
      <c r="H1960" s="934"/>
    </row>
    <row r="1961" spans="1:12" hidden="1">
      <c r="D1961" s="932"/>
      <c r="G1961" s="933"/>
      <c r="H1961" s="934"/>
    </row>
    <row r="1962" spans="1:12" hidden="1">
      <c r="D1962" s="932"/>
      <c r="G1962" s="933"/>
      <c r="H1962" s="934"/>
    </row>
    <row r="1963" spans="1:12" hidden="1">
      <c r="G1963" s="933"/>
      <c r="H1963" s="934"/>
    </row>
    <row r="1964" spans="1:12" hidden="1">
      <c r="A1964" s="930"/>
      <c r="B1964" s="931"/>
      <c r="G1964" s="933"/>
      <c r="H1964" s="934"/>
    </row>
    <row r="1965" spans="1:12" hidden="1">
      <c r="A1965" s="168"/>
      <c r="B1965" s="168"/>
      <c r="C1965" s="948"/>
      <c r="G1965" s="933"/>
      <c r="H1965" s="934"/>
    </row>
    <row r="1966" spans="1:12" hidden="1">
      <c r="G1966" s="933"/>
      <c r="H1966" s="934"/>
    </row>
    <row r="1967" spans="1:12" hidden="1">
      <c r="A1967" s="168"/>
      <c r="G1967" s="933"/>
      <c r="H1967" s="934"/>
      <c r="L1967" s="954"/>
    </row>
    <row r="1968" spans="1:12" hidden="1">
      <c r="D1968" s="932"/>
      <c r="G1968" s="933"/>
      <c r="H1968" s="934"/>
    </row>
    <row r="1969" spans="1:8" hidden="1">
      <c r="A1969" s="930"/>
      <c r="B1969" s="931"/>
      <c r="D1969" s="932"/>
      <c r="G1969" s="933"/>
      <c r="H1969" s="934"/>
    </row>
    <row r="1970" spans="1:8" hidden="1">
      <c r="D1970" s="932"/>
      <c r="G1970" s="933"/>
      <c r="H1970" s="934"/>
    </row>
    <row r="1971" spans="1:8" hidden="1">
      <c r="A1971" s="930"/>
      <c r="B1971" s="931"/>
      <c r="D1971" s="932"/>
      <c r="G1971" s="933"/>
      <c r="H1971" s="934"/>
    </row>
    <row r="1972" spans="1:8" hidden="1">
      <c r="D1972" s="932"/>
      <c r="G1972" s="933"/>
      <c r="H1972" s="934"/>
    </row>
    <row r="1973" spans="1:8" hidden="1">
      <c r="D1973" s="932"/>
      <c r="G1973" s="933"/>
      <c r="H1973" s="934"/>
    </row>
    <row r="1974" spans="1:8" hidden="1">
      <c r="D1974" s="932"/>
      <c r="G1974" s="933"/>
      <c r="H1974" s="934"/>
    </row>
    <row r="1975" spans="1:8" hidden="1">
      <c r="A1975" s="930"/>
      <c r="B1975" s="945"/>
      <c r="D1975" s="932"/>
      <c r="G1975" s="933"/>
      <c r="H1975" s="934"/>
    </row>
    <row r="1976" spans="1:8" hidden="1">
      <c r="A1976" s="930"/>
      <c r="B1976" s="931"/>
      <c r="G1976" s="933"/>
      <c r="H1976" s="934"/>
    </row>
    <row r="1977" spans="1:8" hidden="1">
      <c r="A1977" s="942"/>
      <c r="B1977" s="941"/>
      <c r="C1977" s="938"/>
      <c r="G1977" s="933"/>
      <c r="H1977" s="934"/>
    </row>
    <row r="1978" spans="1:8" hidden="1">
      <c r="A1978" s="930"/>
      <c r="B1978" s="931"/>
      <c r="G1978" s="933"/>
      <c r="H1978" s="934"/>
    </row>
    <row r="1979" spans="1:8" hidden="1">
      <c r="A1979" s="942"/>
      <c r="B1979" s="941"/>
      <c r="C1979" s="938"/>
      <c r="G1979" s="933"/>
      <c r="H1979" s="934"/>
    </row>
    <row r="1980" spans="1:8" hidden="1">
      <c r="A1980" s="930"/>
      <c r="B1980" s="931"/>
      <c r="C1980" s="938"/>
      <c r="G1980" s="933"/>
      <c r="H1980" s="934"/>
    </row>
    <row r="1981" spans="1:8" hidden="1">
      <c r="A1981" s="168"/>
      <c r="G1981" s="933"/>
      <c r="H1981" s="934"/>
    </row>
    <row r="1982" spans="1:8" hidden="1">
      <c r="G1982" s="933"/>
      <c r="H1982" s="934"/>
    </row>
    <row r="1983" spans="1:8" hidden="1">
      <c r="G1983" s="933"/>
      <c r="H1983" s="934"/>
    </row>
    <row r="1984" spans="1:8" hidden="1">
      <c r="G1984" s="933"/>
      <c r="H1984" s="934"/>
    </row>
    <row r="1985" spans="1:8" hidden="1">
      <c r="A1985" s="930"/>
      <c r="B1985" s="931"/>
      <c r="G1985" s="933"/>
      <c r="H1985" s="934"/>
    </row>
    <row r="1986" spans="1:8" hidden="1">
      <c r="G1986" s="933"/>
      <c r="H1986" s="934"/>
    </row>
    <row r="1987" spans="1:8" hidden="1">
      <c r="G1987" s="933"/>
      <c r="H1987" s="934"/>
    </row>
    <row r="1988" spans="1:8" hidden="1">
      <c r="G1988" s="933"/>
      <c r="H1988" s="934"/>
    </row>
    <row r="1989" spans="1:8" hidden="1">
      <c r="G1989" s="933"/>
      <c r="H1989" s="934"/>
    </row>
    <row r="1990" spans="1:8" hidden="1">
      <c r="G1990" s="933"/>
      <c r="H1990" s="934"/>
    </row>
    <row r="1991" spans="1:8" hidden="1">
      <c r="G1991" s="933"/>
      <c r="H1991" s="934"/>
    </row>
    <row r="1992" spans="1:8" hidden="1">
      <c r="G1992" s="933"/>
      <c r="H1992" s="934"/>
    </row>
    <row r="1993" spans="1:8" hidden="1">
      <c r="G1993" s="933"/>
      <c r="H1993" s="934"/>
    </row>
    <row r="1994" spans="1:8" hidden="1">
      <c r="G1994" s="933"/>
      <c r="H1994" s="934"/>
    </row>
    <row r="1995" spans="1:8" hidden="1">
      <c r="G1995" s="933"/>
      <c r="H1995" s="934"/>
    </row>
    <row r="1996" spans="1:8" hidden="1">
      <c r="G1996" s="933"/>
      <c r="H1996" s="934"/>
    </row>
    <row r="1997" spans="1:8" hidden="1">
      <c r="G1997" s="933"/>
      <c r="H1997" s="934"/>
    </row>
    <row r="1998" spans="1:8" hidden="1">
      <c r="G1998" s="933"/>
      <c r="H1998" s="934"/>
    </row>
    <row r="1999" spans="1:8" hidden="1">
      <c r="G1999" s="933"/>
      <c r="H1999" s="934"/>
    </row>
    <row r="2000" spans="1:8" hidden="1">
      <c r="G2000" s="933"/>
      <c r="H2000" s="934"/>
    </row>
    <row r="2001" spans="7:8" hidden="1">
      <c r="G2001" s="933"/>
      <c r="H2001" s="934"/>
    </row>
    <row r="2002" spans="7:8" hidden="1">
      <c r="G2002" s="933"/>
      <c r="H2002" s="934"/>
    </row>
    <row r="2003" spans="7:8" hidden="1">
      <c r="G2003" s="933"/>
      <c r="H2003" s="934"/>
    </row>
    <row r="2004" spans="7:8" hidden="1">
      <c r="G2004" s="933"/>
      <c r="H2004" s="934"/>
    </row>
    <row r="2005" spans="7:8" hidden="1">
      <c r="G2005" s="933"/>
      <c r="H2005" s="934"/>
    </row>
    <row r="2006" spans="7:8" hidden="1">
      <c r="G2006" s="933"/>
      <c r="H2006" s="934"/>
    </row>
    <row r="2007" spans="7:8" hidden="1">
      <c r="G2007" s="933"/>
      <c r="H2007" s="934"/>
    </row>
    <row r="2008" spans="7:8" hidden="1">
      <c r="G2008" s="933"/>
      <c r="H2008" s="934"/>
    </row>
    <row r="2009" spans="7:8" hidden="1">
      <c r="G2009" s="933"/>
      <c r="H2009" s="934"/>
    </row>
    <row r="2010" spans="7:8" hidden="1">
      <c r="G2010" s="933"/>
      <c r="H2010" s="934"/>
    </row>
    <row r="2011" spans="7:8" hidden="1">
      <c r="G2011" s="933"/>
      <c r="H2011" s="934"/>
    </row>
    <row r="2012" spans="7:8" hidden="1">
      <c r="G2012" s="933"/>
      <c r="H2012" s="934"/>
    </row>
    <row r="2013" spans="7:8" hidden="1">
      <c r="G2013" s="933"/>
      <c r="H2013" s="934"/>
    </row>
    <row r="2014" spans="7:8" hidden="1">
      <c r="G2014" s="933"/>
      <c r="H2014" s="934"/>
    </row>
    <row r="2015" spans="7:8" hidden="1">
      <c r="G2015" s="933"/>
      <c r="H2015" s="934"/>
    </row>
    <row r="2016" spans="7:8" hidden="1">
      <c r="G2016" s="933"/>
      <c r="H2016" s="934"/>
    </row>
    <row r="2017" spans="1:8" hidden="1">
      <c r="G2017" s="933"/>
      <c r="H2017" s="934"/>
    </row>
    <row r="2018" spans="1:8" hidden="1">
      <c r="G2018" s="933"/>
      <c r="H2018" s="934"/>
    </row>
    <row r="2019" spans="1:8" hidden="1">
      <c r="A2019" s="942"/>
      <c r="B2019" s="931"/>
      <c r="C2019" s="938"/>
      <c r="G2019" s="933"/>
      <c r="H2019" s="934"/>
    </row>
    <row r="2020" spans="1:8" hidden="1">
      <c r="A2020" s="942"/>
      <c r="B2020" s="931"/>
      <c r="C2020" s="938"/>
      <c r="G2020" s="933"/>
      <c r="H2020" s="934"/>
    </row>
    <row r="2021" spans="1:8" hidden="1">
      <c r="G2021" s="933"/>
      <c r="H2021" s="934"/>
    </row>
    <row r="2022" spans="1:8" hidden="1">
      <c r="G2022" s="933"/>
      <c r="H2022" s="934"/>
    </row>
    <row r="2023" spans="1:8" hidden="1">
      <c r="G2023" s="933"/>
      <c r="H2023" s="934"/>
    </row>
    <row r="2024" spans="1:8" hidden="1">
      <c r="G2024" s="933"/>
      <c r="H2024" s="934"/>
    </row>
    <row r="2025" spans="1:8" hidden="1">
      <c r="G2025" s="933"/>
      <c r="H2025" s="934"/>
    </row>
    <row r="2026" spans="1:8" hidden="1">
      <c r="G2026" s="933"/>
      <c r="H2026" s="934"/>
    </row>
    <row r="2027" spans="1:8" hidden="1">
      <c r="G2027" s="933"/>
      <c r="H2027" s="934"/>
    </row>
    <row r="2028" spans="1:8" hidden="1">
      <c r="G2028" s="933"/>
      <c r="H2028" s="934"/>
    </row>
    <row r="2029" spans="1:8" hidden="1">
      <c r="G2029" s="933"/>
      <c r="H2029" s="934"/>
    </row>
    <row r="2030" spans="1:8" hidden="1">
      <c r="G2030" s="933"/>
      <c r="H2030" s="934"/>
    </row>
    <row r="2031" spans="1:8" hidden="1">
      <c r="G2031" s="933"/>
      <c r="H2031" s="934"/>
    </row>
    <row r="2032" spans="1:8" hidden="1">
      <c r="G2032" s="933"/>
      <c r="H2032" s="934"/>
    </row>
    <row r="2033" spans="7:8" hidden="1">
      <c r="G2033" s="933"/>
      <c r="H2033" s="934"/>
    </row>
    <row r="2034" spans="7:8" hidden="1">
      <c r="G2034" s="933"/>
      <c r="H2034" s="934"/>
    </row>
    <row r="2035" spans="7:8" hidden="1">
      <c r="G2035" s="933"/>
      <c r="H2035" s="934"/>
    </row>
    <row r="2036" spans="7:8" hidden="1">
      <c r="G2036" s="933"/>
      <c r="H2036" s="934"/>
    </row>
    <row r="2037" spans="7:8" hidden="1">
      <c r="G2037" s="933"/>
      <c r="H2037" s="934"/>
    </row>
    <row r="2038" spans="7:8" hidden="1">
      <c r="G2038" s="933"/>
      <c r="H2038" s="934"/>
    </row>
    <row r="2039" spans="7:8" hidden="1">
      <c r="G2039" s="933"/>
      <c r="H2039" s="934"/>
    </row>
    <row r="2040" spans="7:8" hidden="1">
      <c r="G2040" s="933"/>
      <c r="H2040" s="934"/>
    </row>
    <row r="2041" spans="7:8" hidden="1">
      <c r="G2041" s="933"/>
      <c r="H2041" s="934"/>
    </row>
    <row r="2042" spans="7:8" hidden="1">
      <c r="G2042" s="933"/>
      <c r="H2042" s="934"/>
    </row>
    <row r="2043" spans="7:8" hidden="1">
      <c r="G2043" s="933"/>
      <c r="H2043" s="934"/>
    </row>
    <row r="2044" spans="7:8" hidden="1">
      <c r="G2044" s="933"/>
      <c r="H2044" s="934"/>
    </row>
    <row r="2045" spans="7:8" hidden="1">
      <c r="G2045" s="933"/>
      <c r="H2045" s="934"/>
    </row>
    <row r="2046" spans="7:8" hidden="1">
      <c r="G2046" s="933"/>
      <c r="H2046" s="934"/>
    </row>
    <row r="2047" spans="7:8" hidden="1">
      <c r="G2047" s="933"/>
      <c r="H2047" s="934"/>
    </row>
    <row r="2048" spans="7:8" hidden="1">
      <c r="G2048" s="933"/>
      <c r="H2048" s="934"/>
    </row>
    <row r="2049" spans="7:8" hidden="1">
      <c r="G2049" s="933"/>
      <c r="H2049" s="934"/>
    </row>
    <row r="2050" spans="7:8" hidden="1">
      <c r="G2050" s="933"/>
      <c r="H2050" s="934"/>
    </row>
    <row r="2051" spans="7:8" hidden="1">
      <c r="G2051" s="933"/>
      <c r="H2051" s="934"/>
    </row>
    <row r="2052" spans="7:8" hidden="1">
      <c r="G2052" s="933"/>
      <c r="H2052" s="934"/>
    </row>
    <row r="2053" spans="7:8" hidden="1">
      <c r="G2053" s="933"/>
      <c r="H2053" s="934"/>
    </row>
    <row r="2054" spans="7:8" hidden="1">
      <c r="G2054" s="933"/>
      <c r="H2054" s="934"/>
    </row>
    <row r="2055" spans="7:8" hidden="1">
      <c r="G2055" s="933"/>
      <c r="H2055" s="934"/>
    </row>
    <row r="2056" spans="7:8" hidden="1">
      <c r="G2056" s="933"/>
      <c r="H2056" s="934"/>
    </row>
    <row r="2057" spans="7:8" hidden="1">
      <c r="G2057" s="933"/>
      <c r="H2057" s="934"/>
    </row>
    <row r="2058" spans="7:8" hidden="1">
      <c r="G2058" s="933"/>
      <c r="H2058" s="934"/>
    </row>
    <row r="2059" spans="7:8" hidden="1">
      <c r="G2059" s="933"/>
      <c r="H2059" s="934"/>
    </row>
    <row r="2060" spans="7:8" hidden="1">
      <c r="G2060" s="933"/>
      <c r="H2060" s="934"/>
    </row>
    <row r="2061" spans="7:8" hidden="1">
      <c r="G2061" s="933"/>
      <c r="H2061" s="934"/>
    </row>
    <row r="2062" spans="7:8" hidden="1">
      <c r="G2062" s="933"/>
      <c r="H2062" s="934"/>
    </row>
    <row r="2063" spans="7:8" hidden="1">
      <c r="G2063" s="933"/>
      <c r="H2063" s="934"/>
    </row>
    <row r="2064" spans="7:8" hidden="1">
      <c r="G2064" s="933"/>
      <c r="H2064" s="934"/>
    </row>
    <row r="2065" spans="7:8" hidden="1">
      <c r="G2065" s="933"/>
      <c r="H2065" s="934"/>
    </row>
    <row r="2066" spans="7:8" hidden="1">
      <c r="G2066" s="933"/>
      <c r="H2066" s="934"/>
    </row>
    <row r="2067" spans="7:8" hidden="1">
      <c r="G2067" s="933"/>
      <c r="H2067" s="934"/>
    </row>
    <row r="2068" spans="7:8" hidden="1">
      <c r="G2068" s="933"/>
      <c r="H2068" s="934"/>
    </row>
    <row r="2069" spans="7:8" hidden="1">
      <c r="G2069" s="933"/>
      <c r="H2069" s="934"/>
    </row>
    <row r="2070" spans="7:8" hidden="1">
      <c r="G2070" s="933"/>
      <c r="H2070" s="934"/>
    </row>
    <row r="2071" spans="7:8" hidden="1">
      <c r="G2071" s="933"/>
      <c r="H2071" s="934"/>
    </row>
    <row r="2072" spans="7:8" hidden="1">
      <c r="G2072" s="933"/>
      <c r="H2072" s="934"/>
    </row>
    <row r="2073" spans="7:8" hidden="1">
      <c r="G2073" s="933"/>
      <c r="H2073" s="934"/>
    </row>
    <row r="2074" spans="7:8" hidden="1">
      <c r="G2074" s="933"/>
      <c r="H2074" s="934"/>
    </row>
    <row r="2075" spans="7:8" hidden="1">
      <c r="G2075" s="933"/>
      <c r="H2075" s="934"/>
    </row>
    <row r="2076" spans="7:8" hidden="1">
      <c r="G2076" s="933"/>
      <c r="H2076" s="934"/>
    </row>
    <row r="2077" spans="7:8" hidden="1">
      <c r="G2077" s="933"/>
      <c r="H2077" s="934"/>
    </row>
    <row r="2078" spans="7:8" hidden="1">
      <c r="G2078" s="933"/>
      <c r="H2078" s="934"/>
    </row>
    <row r="2079" spans="7:8" hidden="1">
      <c r="G2079" s="933"/>
      <c r="H2079" s="934"/>
    </row>
    <row r="2080" spans="7:8" hidden="1">
      <c r="G2080" s="933"/>
      <c r="H2080" s="934"/>
    </row>
    <row r="2081" spans="7:8" hidden="1">
      <c r="G2081" s="933"/>
      <c r="H2081" s="934"/>
    </row>
    <row r="2082" spans="7:8" hidden="1">
      <c r="G2082" s="933"/>
      <c r="H2082" s="934"/>
    </row>
    <row r="2083" spans="7:8" hidden="1">
      <c r="G2083" s="933"/>
      <c r="H2083" s="934"/>
    </row>
    <row r="2084" spans="7:8" hidden="1">
      <c r="G2084" s="933"/>
      <c r="H2084" s="934"/>
    </row>
    <row r="2085" spans="7:8" hidden="1">
      <c r="G2085" s="933"/>
      <c r="H2085" s="934"/>
    </row>
    <row r="2086" spans="7:8" hidden="1">
      <c r="G2086" s="933"/>
      <c r="H2086" s="934"/>
    </row>
    <row r="2087" spans="7:8" hidden="1">
      <c r="G2087" s="933"/>
      <c r="H2087" s="934"/>
    </row>
    <row r="2088" spans="7:8" hidden="1">
      <c r="G2088" s="933"/>
      <c r="H2088" s="934"/>
    </row>
    <row r="2089" spans="7:8" hidden="1">
      <c r="G2089" s="933"/>
      <c r="H2089" s="934"/>
    </row>
    <row r="2090" spans="7:8" hidden="1">
      <c r="G2090" s="933"/>
      <c r="H2090" s="934"/>
    </row>
    <row r="2091" spans="7:8" hidden="1">
      <c r="G2091" s="933"/>
      <c r="H2091" s="934"/>
    </row>
    <row r="2092" spans="7:8" hidden="1">
      <c r="G2092" s="933"/>
      <c r="H2092" s="934"/>
    </row>
    <row r="2093" spans="7:8" hidden="1">
      <c r="G2093" s="933"/>
      <c r="H2093" s="934"/>
    </row>
    <row r="2094" spans="7:8" hidden="1">
      <c r="G2094" s="933"/>
      <c r="H2094" s="934"/>
    </row>
    <row r="2095" spans="7:8" hidden="1">
      <c r="G2095" s="933"/>
      <c r="H2095" s="934"/>
    </row>
    <row r="2096" spans="7:8" hidden="1">
      <c r="G2096" s="933"/>
      <c r="H2096" s="934"/>
    </row>
    <row r="2097" spans="7:8" hidden="1">
      <c r="G2097" s="933"/>
      <c r="H2097" s="934"/>
    </row>
    <row r="2098" spans="7:8" hidden="1">
      <c r="G2098" s="933"/>
      <c r="H2098" s="934"/>
    </row>
    <row r="2099" spans="7:8" hidden="1">
      <c r="G2099" s="933"/>
      <c r="H2099" s="934"/>
    </row>
    <row r="2100" spans="7:8" hidden="1">
      <c r="G2100" s="933"/>
      <c r="H2100" s="934"/>
    </row>
    <row r="2101" spans="7:8" hidden="1">
      <c r="G2101" s="933"/>
      <c r="H2101" s="934"/>
    </row>
    <row r="2102" spans="7:8" hidden="1">
      <c r="G2102" s="933"/>
      <c r="H2102" s="934"/>
    </row>
    <row r="2103" spans="7:8" hidden="1">
      <c r="G2103" s="933"/>
      <c r="H2103" s="934"/>
    </row>
    <row r="2104" spans="7:8" hidden="1">
      <c r="G2104" s="933"/>
      <c r="H2104" s="934"/>
    </row>
    <row r="2105" spans="7:8" hidden="1">
      <c r="G2105" s="933"/>
      <c r="H2105" s="934"/>
    </row>
    <row r="2106" spans="7:8" hidden="1">
      <c r="G2106" s="933"/>
      <c r="H2106" s="934"/>
    </row>
    <row r="2107" spans="7:8" hidden="1">
      <c r="G2107" s="933"/>
      <c r="H2107" s="934"/>
    </row>
    <row r="2108" spans="7:8" hidden="1">
      <c r="G2108" s="933"/>
      <c r="H2108" s="934"/>
    </row>
    <row r="2109" spans="7:8" hidden="1">
      <c r="G2109" s="933"/>
      <c r="H2109" s="934"/>
    </row>
    <row r="2110" spans="7:8" hidden="1">
      <c r="G2110" s="933"/>
      <c r="H2110" s="934"/>
    </row>
    <row r="2111" spans="7:8" hidden="1">
      <c r="G2111" s="933"/>
      <c r="H2111" s="934"/>
    </row>
    <row r="2112" spans="7:8" hidden="1">
      <c r="G2112" s="933"/>
      <c r="H2112" s="934"/>
    </row>
    <row r="2113" spans="1:8" hidden="1">
      <c r="G2113" s="933"/>
      <c r="H2113" s="934"/>
    </row>
    <row r="2114" spans="1:8" hidden="1">
      <c r="G2114" s="933"/>
      <c r="H2114" s="934"/>
    </row>
    <row r="2115" spans="1:8" hidden="1">
      <c r="G2115" s="933"/>
      <c r="H2115" s="934"/>
    </row>
    <row r="2116" spans="1:8" hidden="1">
      <c r="G2116" s="933"/>
      <c r="H2116" s="934"/>
    </row>
    <row r="2117" spans="1:8" hidden="1">
      <c r="G2117" s="933"/>
      <c r="H2117" s="934"/>
    </row>
    <row r="2118" spans="1:8" hidden="1">
      <c r="G2118" s="933"/>
      <c r="H2118" s="934"/>
    </row>
    <row r="2119" spans="1:8" hidden="1">
      <c r="G2119" s="933"/>
      <c r="H2119" s="934"/>
    </row>
    <row r="2120" spans="1:8" hidden="1">
      <c r="A2120" s="930"/>
      <c r="B2120" s="931"/>
      <c r="G2120" s="933"/>
      <c r="H2120" s="934"/>
    </row>
    <row r="2121" spans="1:8" hidden="1">
      <c r="G2121" s="933"/>
      <c r="H2121" s="934"/>
    </row>
    <row r="2122" spans="1:8" hidden="1">
      <c r="G2122" s="933"/>
      <c r="H2122" s="934"/>
    </row>
    <row r="2123" spans="1:8" hidden="1">
      <c r="G2123" s="933"/>
      <c r="H2123" s="934"/>
    </row>
    <row r="2124" spans="1:8" hidden="1">
      <c r="G2124" s="933"/>
      <c r="H2124" s="934"/>
    </row>
    <row r="2125" spans="1:8" hidden="1">
      <c r="G2125" s="933"/>
      <c r="H2125" s="934"/>
    </row>
    <row r="2126" spans="1:8" hidden="1">
      <c r="G2126" s="933"/>
      <c r="H2126" s="934"/>
    </row>
    <row r="2127" spans="1:8" hidden="1">
      <c r="G2127" s="933"/>
      <c r="H2127" s="934"/>
    </row>
    <row r="2128" spans="1:8" hidden="1">
      <c r="G2128" s="933"/>
      <c r="H2128" s="934"/>
    </row>
    <row r="2129" spans="7:8" hidden="1">
      <c r="G2129" s="933"/>
      <c r="H2129" s="934"/>
    </row>
    <row r="2130" spans="7:8" hidden="1">
      <c r="G2130" s="933"/>
      <c r="H2130" s="934"/>
    </row>
    <row r="2131" spans="7:8" hidden="1">
      <c r="G2131" s="933"/>
      <c r="H2131" s="934"/>
    </row>
    <row r="2132" spans="7:8" hidden="1">
      <c r="G2132" s="933"/>
      <c r="H2132" s="934"/>
    </row>
    <row r="2133" spans="7:8" hidden="1">
      <c r="G2133" s="933"/>
      <c r="H2133" s="934"/>
    </row>
    <row r="2134" spans="7:8" hidden="1">
      <c r="G2134" s="933"/>
      <c r="H2134" s="934"/>
    </row>
    <row r="2135" spans="7:8" hidden="1">
      <c r="G2135" s="933"/>
      <c r="H2135" s="934"/>
    </row>
    <row r="2136" spans="7:8" hidden="1">
      <c r="G2136" s="933"/>
      <c r="H2136" s="934"/>
    </row>
    <row r="2137" spans="7:8" hidden="1">
      <c r="G2137" s="933"/>
      <c r="H2137" s="934"/>
    </row>
    <row r="2138" spans="7:8" hidden="1">
      <c r="G2138" s="933"/>
      <c r="H2138" s="934"/>
    </row>
    <row r="2139" spans="7:8" hidden="1">
      <c r="G2139" s="933"/>
      <c r="H2139" s="934"/>
    </row>
    <row r="2140" spans="7:8" hidden="1">
      <c r="G2140" s="933"/>
      <c r="H2140" s="934"/>
    </row>
    <row r="2141" spans="7:8" hidden="1">
      <c r="G2141" s="933"/>
      <c r="H2141" s="934"/>
    </row>
    <row r="2142" spans="7:8" hidden="1">
      <c r="G2142" s="933"/>
      <c r="H2142" s="934"/>
    </row>
    <row r="2143" spans="7:8" hidden="1">
      <c r="G2143" s="933"/>
      <c r="H2143" s="934"/>
    </row>
    <row r="2144" spans="7:8" hidden="1">
      <c r="G2144" s="933"/>
      <c r="H2144" s="934"/>
    </row>
    <row r="2145" spans="7:8" hidden="1">
      <c r="G2145" s="933"/>
      <c r="H2145" s="934"/>
    </row>
    <row r="2146" spans="7:8" hidden="1">
      <c r="G2146" s="933"/>
      <c r="H2146" s="934"/>
    </row>
    <row r="2147" spans="7:8" hidden="1">
      <c r="G2147" s="933"/>
      <c r="H2147" s="934"/>
    </row>
    <row r="2148" spans="7:8" hidden="1">
      <c r="G2148" s="933"/>
      <c r="H2148" s="934"/>
    </row>
    <row r="2149" spans="7:8" hidden="1">
      <c r="G2149" s="933"/>
      <c r="H2149" s="934"/>
    </row>
    <row r="2150" spans="7:8" hidden="1">
      <c r="G2150" s="933"/>
      <c r="H2150" s="934"/>
    </row>
    <row r="2151" spans="7:8" hidden="1">
      <c r="G2151" s="933"/>
      <c r="H2151" s="934"/>
    </row>
    <row r="2152" spans="7:8" hidden="1">
      <c r="G2152" s="933"/>
      <c r="H2152" s="934"/>
    </row>
    <row r="2153" spans="7:8" hidden="1">
      <c r="G2153" s="933"/>
      <c r="H2153" s="934"/>
    </row>
    <row r="2154" spans="7:8" hidden="1">
      <c r="G2154" s="933"/>
      <c r="H2154" s="934"/>
    </row>
    <row r="2155" spans="7:8" hidden="1">
      <c r="G2155" s="933"/>
      <c r="H2155" s="934"/>
    </row>
    <row r="2156" spans="7:8" hidden="1">
      <c r="G2156" s="933"/>
      <c r="H2156" s="934"/>
    </row>
    <row r="2157" spans="7:8" hidden="1">
      <c r="G2157" s="933"/>
      <c r="H2157" s="934"/>
    </row>
    <row r="2158" spans="7:8" hidden="1">
      <c r="G2158" s="933"/>
      <c r="H2158" s="934"/>
    </row>
    <row r="2159" spans="7:8" hidden="1">
      <c r="G2159" s="933"/>
      <c r="H2159" s="934"/>
    </row>
    <row r="2160" spans="7:8" hidden="1">
      <c r="G2160" s="933"/>
      <c r="H2160" s="934"/>
    </row>
    <row r="2161" spans="7:8" hidden="1">
      <c r="G2161" s="933"/>
      <c r="H2161" s="934"/>
    </row>
    <row r="2162" spans="7:8" hidden="1">
      <c r="G2162" s="933"/>
      <c r="H2162" s="934"/>
    </row>
    <row r="2163" spans="7:8" hidden="1">
      <c r="G2163" s="933"/>
      <c r="H2163" s="934"/>
    </row>
    <row r="2164" spans="7:8" hidden="1">
      <c r="G2164" s="933"/>
      <c r="H2164" s="934"/>
    </row>
    <row r="2165" spans="7:8" hidden="1">
      <c r="G2165" s="933"/>
      <c r="H2165" s="934"/>
    </row>
    <row r="2166" spans="7:8" hidden="1">
      <c r="G2166" s="933"/>
      <c r="H2166" s="934"/>
    </row>
    <row r="2167" spans="7:8" hidden="1">
      <c r="G2167" s="933"/>
      <c r="H2167" s="934"/>
    </row>
    <row r="2168" spans="7:8" hidden="1">
      <c r="G2168" s="933"/>
      <c r="H2168" s="934"/>
    </row>
    <row r="2169" spans="7:8" hidden="1">
      <c r="G2169" s="933"/>
      <c r="H2169" s="934"/>
    </row>
    <row r="2170" spans="7:8" hidden="1">
      <c r="G2170" s="933"/>
      <c r="H2170" s="934"/>
    </row>
    <row r="2171" spans="7:8" hidden="1">
      <c r="G2171" s="933"/>
      <c r="H2171" s="934"/>
    </row>
    <row r="2172" spans="7:8" hidden="1">
      <c r="G2172" s="933"/>
      <c r="H2172" s="934"/>
    </row>
    <row r="2173" spans="7:8" hidden="1">
      <c r="G2173" s="933"/>
      <c r="H2173" s="934"/>
    </row>
    <row r="2174" spans="7:8" hidden="1">
      <c r="G2174" s="933"/>
      <c r="H2174" s="934"/>
    </row>
    <row r="2175" spans="7:8" hidden="1">
      <c r="G2175" s="933"/>
      <c r="H2175" s="934"/>
    </row>
    <row r="2176" spans="7:8" hidden="1">
      <c r="G2176" s="933"/>
      <c r="H2176" s="934"/>
    </row>
    <row r="2177" spans="7:8" hidden="1">
      <c r="G2177" s="933"/>
      <c r="H2177" s="934"/>
    </row>
    <row r="2178" spans="7:8" hidden="1">
      <c r="G2178" s="933"/>
      <c r="H2178" s="934"/>
    </row>
    <row r="2179" spans="7:8" hidden="1">
      <c r="G2179" s="933"/>
      <c r="H2179" s="934"/>
    </row>
    <row r="2180" spans="7:8" hidden="1">
      <c r="G2180" s="933"/>
      <c r="H2180" s="934"/>
    </row>
    <row r="2181" spans="7:8" hidden="1">
      <c r="G2181" s="933"/>
      <c r="H2181" s="934"/>
    </row>
    <row r="2182" spans="7:8" hidden="1">
      <c r="G2182" s="933"/>
      <c r="H2182" s="934"/>
    </row>
    <row r="2183" spans="7:8" hidden="1">
      <c r="G2183" s="933"/>
      <c r="H2183" s="934"/>
    </row>
    <row r="2184" spans="7:8" hidden="1">
      <c r="G2184" s="933"/>
      <c r="H2184" s="934"/>
    </row>
    <row r="2185" spans="7:8" hidden="1">
      <c r="G2185" s="933"/>
      <c r="H2185" s="934"/>
    </row>
    <row r="2186" spans="7:8" hidden="1">
      <c r="G2186" s="933"/>
      <c r="H2186" s="934"/>
    </row>
    <row r="2187" spans="7:8" hidden="1">
      <c r="G2187" s="933"/>
      <c r="H2187" s="934"/>
    </row>
    <row r="2188" spans="7:8" hidden="1">
      <c r="G2188" s="933"/>
      <c r="H2188" s="934"/>
    </row>
    <row r="2189" spans="7:8" hidden="1">
      <c r="G2189" s="933"/>
      <c r="H2189" s="934"/>
    </row>
    <row r="2190" spans="7:8" hidden="1">
      <c r="G2190" s="933"/>
      <c r="H2190" s="934"/>
    </row>
    <row r="2191" spans="7:8" hidden="1">
      <c r="G2191" s="933"/>
      <c r="H2191" s="934"/>
    </row>
    <row r="2192" spans="7:8" hidden="1">
      <c r="G2192" s="933"/>
      <c r="H2192" s="934"/>
    </row>
    <row r="2193" spans="7:8" hidden="1">
      <c r="G2193" s="933"/>
      <c r="H2193" s="934"/>
    </row>
    <row r="2194" spans="7:8" hidden="1">
      <c r="G2194" s="933"/>
      <c r="H2194" s="934"/>
    </row>
    <row r="2195" spans="7:8" hidden="1">
      <c r="G2195" s="933"/>
      <c r="H2195" s="934"/>
    </row>
    <row r="2196" spans="7:8" hidden="1">
      <c r="G2196" s="933"/>
      <c r="H2196" s="934"/>
    </row>
    <row r="2197" spans="7:8" hidden="1">
      <c r="G2197" s="933"/>
      <c r="H2197" s="934"/>
    </row>
    <row r="2198" spans="7:8" hidden="1">
      <c r="G2198" s="933"/>
      <c r="H2198" s="934"/>
    </row>
    <row r="2199" spans="7:8" hidden="1">
      <c r="G2199" s="933"/>
      <c r="H2199" s="934"/>
    </row>
    <row r="2200" spans="7:8" hidden="1">
      <c r="G2200" s="933"/>
      <c r="H2200" s="934"/>
    </row>
    <row r="2201" spans="7:8" hidden="1">
      <c r="G2201" s="933"/>
      <c r="H2201" s="934"/>
    </row>
    <row r="2202" spans="7:8" hidden="1">
      <c r="G2202" s="933"/>
      <c r="H2202" s="934"/>
    </row>
    <row r="2203" spans="7:8" hidden="1">
      <c r="G2203" s="933"/>
      <c r="H2203" s="934"/>
    </row>
    <row r="2204" spans="7:8" hidden="1">
      <c r="G2204" s="933"/>
      <c r="H2204" s="934"/>
    </row>
    <row r="2205" spans="7:8" hidden="1">
      <c r="G2205" s="933"/>
      <c r="H2205" s="934"/>
    </row>
    <row r="2206" spans="7:8" hidden="1">
      <c r="G2206" s="933"/>
      <c r="H2206" s="934"/>
    </row>
    <row r="2207" spans="7:8" hidden="1">
      <c r="G2207" s="933"/>
      <c r="H2207" s="934"/>
    </row>
    <row r="2208" spans="7:8" hidden="1">
      <c r="G2208" s="933"/>
      <c r="H2208" s="934"/>
    </row>
    <row r="2209" spans="7:8" hidden="1">
      <c r="G2209" s="933"/>
      <c r="H2209" s="934"/>
    </row>
    <row r="2210" spans="7:8" hidden="1">
      <c r="G2210" s="933"/>
      <c r="H2210" s="934"/>
    </row>
    <row r="2211" spans="7:8" hidden="1">
      <c r="G2211" s="933"/>
      <c r="H2211" s="934"/>
    </row>
    <row r="2212" spans="7:8" hidden="1">
      <c r="G2212" s="933"/>
      <c r="H2212" s="934"/>
    </row>
    <row r="2213" spans="7:8" hidden="1">
      <c r="G2213" s="933"/>
      <c r="H2213" s="934"/>
    </row>
    <row r="2214" spans="7:8" hidden="1">
      <c r="G2214" s="933"/>
      <c r="H2214" s="934"/>
    </row>
    <row r="2215" spans="7:8" hidden="1">
      <c r="G2215" s="933"/>
      <c r="H2215" s="934"/>
    </row>
    <row r="2216" spans="7:8" hidden="1">
      <c r="G2216" s="933"/>
      <c r="H2216" s="934"/>
    </row>
    <row r="2217" spans="7:8" hidden="1">
      <c r="G2217" s="933"/>
      <c r="H2217" s="934"/>
    </row>
    <row r="2218" spans="7:8" hidden="1">
      <c r="G2218" s="933"/>
      <c r="H2218" s="934"/>
    </row>
    <row r="2219" spans="7:8" hidden="1">
      <c r="G2219" s="933"/>
      <c r="H2219" s="934"/>
    </row>
    <row r="2220" spans="7:8" hidden="1">
      <c r="G2220" s="933"/>
      <c r="H2220" s="934"/>
    </row>
    <row r="2221" spans="7:8" hidden="1">
      <c r="G2221" s="933"/>
      <c r="H2221" s="934"/>
    </row>
    <row r="2222" spans="7:8" hidden="1">
      <c r="G2222" s="933"/>
      <c r="H2222" s="934"/>
    </row>
    <row r="2223" spans="7:8" hidden="1">
      <c r="G2223" s="933"/>
      <c r="H2223" s="934"/>
    </row>
    <row r="2224" spans="7:8" hidden="1">
      <c r="G2224" s="933"/>
      <c r="H2224" s="934"/>
    </row>
    <row r="2225" spans="3:8" hidden="1">
      <c r="G2225" s="933"/>
      <c r="H2225" s="934"/>
    </row>
    <row r="2226" spans="3:8" hidden="1">
      <c r="G2226" s="933"/>
      <c r="H2226" s="934"/>
    </row>
    <row r="2227" spans="3:8" hidden="1">
      <c r="G2227" s="933"/>
      <c r="H2227" s="934"/>
    </row>
    <row r="2228" spans="3:8" hidden="1">
      <c r="G2228" s="933"/>
      <c r="H2228" s="934"/>
    </row>
    <row r="2229" spans="3:8" hidden="1">
      <c r="G2229" s="933"/>
      <c r="H2229" s="934"/>
    </row>
    <row r="2230" spans="3:8" hidden="1">
      <c r="G2230" s="933"/>
      <c r="H2230" s="934"/>
    </row>
    <row r="2231" spans="3:8" hidden="1">
      <c r="G2231" s="933"/>
      <c r="H2231" s="934"/>
    </row>
    <row r="2232" spans="3:8" hidden="1">
      <c r="G2232" s="933"/>
      <c r="H2232" s="934"/>
    </row>
    <row r="2233" spans="3:8" hidden="1">
      <c r="G2233" s="933"/>
      <c r="H2233" s="934"/>
    </row>
    <row r="2234" spans="3:8" hidden="1">
      <c r="C2234" s="938"/>
      <c r="G2234" s="933"/>
      <c r="H2234" s="934"/>
    </row>
    <row r="2235" spans="3:8" hidden="1">
      <c r="G2235" s="933"/>
      <c r="H2235" s="934"/>
    </row>
    <row r="2236" spans="3:8" hidden="1">
      <c r="G2236" s="933"/>
      <c r="H2236" s="934"/>
    </row>
    <row r="2237" spans="3:8" hidden="1">
      <c r="G2237" s="933"/>
      <c r="H2237" s="934"/>
    </row>
    <row r="2238" spans="3:8" hidden="1">
      <c r="G2238" s="933"/>
      <c r="H2238" s="934"/>
    </row>
    <row r="2239" spans="3:8" hidden="1">
      <c r="G2239" s="933"/>
      <c r="H2239" s="934"/>
    </row>
    <row r="2240" spans="3:8" hidden="1">
      <c r="G2240" s="933"/>
      <c r="H2240" s="934"/>
    </row>
    <row r="2241" spans="7:8" hidden="1">
      <c r="G2241" s="933"/>
      <c r="H2241" s="934"/>
    </row>
    <row r="2242" spans="7:8" hidden="1">
      <c r="G2242" s="933"/>
      <c r="H2242" s="934"/>
    </row>
    <row r="2243" spans="7:8" hidden="1">
      <c r="G2243" s="933"/>
      <c r="H2243" s="934"/>
    </row>
    <row r="2244" spans="7:8" hidden="1">
      <c r="G2244" s="933"/>
      <c r="H2244" s="934"/>
    </row>
    <row r="2245" spans="7:8" hidden="1">
      <c r="G2245" s="933"/>
      <c r="H2245" s="934"/>
    </row>
    <row r="2246" spans="7:8" hidden="1">
      <c r="G2246" s="933"/>
      <c r="H2246" s="934"/>
    </row>
    <row r="2247" spans="7:8" hidden="1">
      <c r="G2247" s="933"/>
      <c r="H2247" s="934"/>
    </row>
    <row r="2248" spans="7:8" hidden="1">
      <c r="G2248" s="933"/>
      <c r="H2248" s="934"/>
    </row>
    <row r="2249" spans="7:8" hidden="1">
      <c r="G2249" s="933"/>
      <c r="H2249" s="934"/>
    </row>
    <row r="2250" spans="7:8" hidden="1">
      <c r="G2250" s="933"/>
      <c r="H2250" s="934"/>
    </row>
    <row r="2251" spans="7:8" hidden="1">
      <c r="G2251" s="933"/>
      <c r="H2251" s="934"/>
    </row>
    <row r="2252" spans="7:8" hidden="1">
      <c r="G2252" s="933"/>
      <c r="H2252" s="934"/>
    </row>
    <row r="2253" spans="7:8" hidden="1">
      <c r="G2253" s="933"/>
      <c r="H2253" s="934"/>
    </row>
    <row r="2254" spans="7:8" hidden="1">
      <c r="G2254" s="933"/>
      <c r="H2254" s="934"/>
    </row>
    <row r="2255" spans="7:8" hidden="1">
      <c r="G2255" s="933"/>
      <c r="H2255" s="934"/>
    </row>
    <row r="2256" spans="7:8" hidden="1">
      <c r="G2256" s="933"/>
      <c r="H2256" s="934"/>
    </row>
    <row r="2257" spans="7:8" hidden="1">
      <c r="G2257" s="933"/>
      <c r="H2257" s="934"/>
    </row>
    <row r="2258" spans="7:8" hidden="1">
      <c r="G2258" s="933"/>
      <c r="H2258" s="934"/>
    </row>
    <row r="2259" spans="7:8" hidden="1">
      <c r="G2259" s="933"/>
      <c r="H2259" s="934"/>
    </row>
    <row r="2260" spans="7:8" hidden="1">
      <c r="G2260" s="933"/>
      <c r="H2260" s="934"/>
    </row>
    <row r="2261" spans="7:8" hidden="1">
      <c r="G2261" s="933"/>
      <c r="H2261" s="934"/>
    </row>
    <row r="2262" spans="7:8" hidden="1">
      <c r="G2262" s="933"/>
      <c r="H2262" s="934"/>
    </row>
    <row r="2263" spans="7:8" hidden="1">
      <c r="G2263" s="933"/>
      <c r="H2263" s="934"/>
    </row>
    <row r="2264" spans="7:8" hidden="1">
      <c r="G2264" s="933"/>
      <c r="H2264" s="934"/>
    </row>
    <row r="2265" spans="7:8" hidden="1">
      <c r="G2265" s="933"/>
      <c r="H2265" s="934"/>
    </row>
    <row r="2266" spans="7:8" hidden="1">
      <c r="G2266" s="933"/>
      <c r="H2266" s="934"/>
    </row>
    <row r="2267" spans="7:8" hidden="1">
      <c r="G2267" s="933"/>
      <c r="H2267" s="934"/>
    </row>
    <row r="2268" spans="7:8" hidden="1">
      <c r="G2268" s="933"/>
      <c r="H2268" s="934"/>
    </row>
    <row r="2269" spans="7:8" hidden="1">
      <c r="G2269" s="933"/>
      <c r="H2269" s="934"/>
    </row>
    <row r="2270" spans="7:8" hidden="1">
      <c r="G2270" s="933"/>
      <c r="H2270" s="934"/>
    </row>
    <row r="2271" spans="7:8" hidden="1">
      <c r="G2271" s="933"/>
      <c r="H2271" s="934"/>
    </row>
    <row r="2272" spans="7:8" hidden="1">
      <c r="G2272" s="933"/>
      <c r="H2272" s="934"/>
    </row>
    <row r="2273" spans="7:8" hidden="1">
      <c r="G2273" s="933"/>
      <c r="H2273" s="934"/>
    </row>
    <row r="2274" spans="7:8" hidden="1">
      <c r="G2274" s="933"/>
      <c r="H2274" s="934"/>
    </row>
    <row r="2275" spans="7:8" hidden="1">
      <c r="G2275" s="933"/>
      <c r="H2275" s="934"/>
    </row>
    <row r="2276" spans="7:8" hidden="1">
      <c r="G2276" s="933"/>
      <c r="H2276" s="934"/>
    </row>
    <row r="2277" spans="7:8" hidden="1">
      <c r="G2277" s="933"/>
      <c r="H2277" s="934"/>
    </row>
    <row r="2278" spans="7:8" hidden="1">
      <c r="G2278" s="933"/>
      <c r="H2278" s="934"/>
    </row>
    <row r="2279" spans="7:8" hidden="1">
      <c r="G2279" s="933"/>
      <c r="H2279" s="934"/>
    </row>
    <row r="2280" spans="7:8" hidden="1">
      <c r="G2280" s="933"/>
      <c r="H2280" s="934"/>
    </row>
    <row r="2281" spans="7:8" hidden="1">
      <c r="G2281" s="933"/>
      <c r="H2281" s="934"/>
    </row>
    <row r="2282" spans="7:8" hidden="1">
      <c r="G2282" s="933"/>
      <c r="H2282" s="934"/>
    </row>
    <row r="2283" spans="7:8" hidden="1">
      <c r="G2283" s="933"/>
      <c r="H2283" s="934"/>
    </row>
    <row r="2284" spans="7:8" hidden="1">
      <c r="G2284" s="933"/>
      <c r="H2284" s="934"/>
    </row>
    <row r="2285" spans="7:8" hidden="1">
      <c r="G2285" s="933"/>
      <c r="H2285" s="934"/>
    </row>
    <row r="2286" spans="7:8" hidden="1">
      <c r="G2286" s="933"/>
      <c r="H2286" s="934"/>
    </row>
    <row r="2287" spans="7:8" hidden="1">
      <c r="G2287" s="933"/>
      <c r="H2287" s="934"/>
    </row>
    <row r="2288" spans="7:8" hidden="1">
      <c r="G2288" s="933"/>
      <c r="H2288" s="934"/>
    </row>
    <row r="2289" spans="4:8" hidden="1">
      <c r="G2289" s="933"/>
      <c r="H2289" s="934"/>
    </row>
    <row r="2290" spans="4:8" hidden="1">
      <c r="G2290" s="933"/>
      <c r="H2290" s="934"/>
    </row>
    <row r="2291" spans="4:8" hidden="1">
      <c r="G2291" s="933"/>
      <c r="H2291" s="934"/>
    </row>
    <row r="2292" spans="4:8" hidden="1">
      <c r="G2292" s="933"/>
      <c r="H2292" s="934"/>
    </row>
    <row r="2293" spans="4:8" hidden="1">
      <c r="G2293" s="933"/>
      <c r="H2293" s="934"/>
    </row>
    <row r="2294" spans="4:8" hidden="1">
      <c r="D2294" s="932"/>
      <c r="G2294" s="933"/>
      <c r="H2294" s="934"/>
    </row>
    <row r="2295" spans="4:8" hidden="1">
      <c r="D2295" s="932"/>
      <c r="G2295" s="933"/>
      <c r="H2295" s="934"/>
    </row>
    <row r="2296" spans="4:8" hidden="1">
      <c r="D2296" s="932"/>
      <c r="G2296" s="933"/>
      <c r="H2296" s="934"/>
    </row>
    <row r="2297" spans="4:8" hidden="1">
      <c r="D2297" s="932"/>
      <c r="G2297" s="933"/>
      <c r="H2297" s="934"/>
    </row>
    <row r="2298" spans="4:8" hidden="1">
      <c r="D2298" s="932"/>
      <c r="G2298" s="933"/>
      <c r="H2298" s="934"/>
    </row>
    <row r="2299" spans="4:8" hidden="1">
      <c r="D2299" s="932"/>
      <c r="G2299" s="933"/>
      <c r="H2299" s="934"/>
    </row>
    <row r="2300" spans="4:8" hidden="1">
      <c r="D2300" s="932"/>
      <c r="G2300" s="933"/>
      <c r="H2300" s="934"/>
    </row>
    <row r="2301" spans="4:8" hidden="1">
      <c r="D2301" s="932"/>
      <c r="G2301" s="933"/>
      <c r="H2301" s="934"/>
    </row>
    <row r="2302" spans="4:8" hidden="1">
      <c r="D2302" s="932"/>
      <c r="G2302" s="933"/>
      <c r="H2302" s="934"/>
    </row>
    <row r="2303" spans="4:8" hidden="1">
      <c r="D2303" s="932"/>
      <c r="G2303" s="933"/>
      <c r="H2303" s="934"/>
    </row>
    <row r="2304" spans="4:8" hidden="1">
      <c r="D2304" s="932"/>
      <c r="G2304" s="933"/>
      <c r="H2304" s="934"/>
    </row>
    <row r="2305" spans="1:8" hidden="1">
      <c r="D2305" s="932"/>
      <c r="G2305" s="933"/>
      <c r="H2305" s="934"/>
    </row>
    <row r="2306" spans="1:8" hidden="1">
      <c r="D2306" s="932"/>
      <c r="G2306" s="933"/>
      <c r="H2306" s="934"/>
    </row>
    <row r="2307" spans="1:8" hidden="1">
      <c r="D2307" s="932"/>
      <c r="G2307" s="933"/>
      <c r="H2307" s="934"/>
    </row>
    <row r="2308" spans="1:8" hidden="1">
      <c r="D2308" s="932"/>
      <c r="G2308" s="933"/>
      <c r="H2308" s="934"/>
    </row>
    <row r="2309" spans="1:8" hidden="1">
      <c r="D2309" s="932"/>
      <c r="G2309" s="933"/>
      <c r="H2309" s="934"/>
    </row>
    <row r="2310" spans="1:8" hidden="1">
      <c r="D2310" s="932"/>
      <c r="G2310" s="933"/>
      <c r="H2310" s="934"/>
    </row>
    <row r="2311" spans="1:8" hidden="1">
      <c r="D2311" s="932"/>
      <c r="G2311" s="933"/>
      <c r="H2311" s="934"/>
    </row>
    <row r="2312" spans="1:8" hidden="1">
      <c r="D2312" s="932"/>
      <c r="G2312" s="933"/>
      <c r="H2312" s="934"/>
    </row>
    <row r="2313" spans="1:8" hidden="1">
      <c r="D2313" s="932"/>
      <c r="G2313" s="933"/>
      <c r="H2313" s="934"/>
    </row>
    <row r="2314" spans="1:8" hidden="1">
      <c r="D2314" s="932"/>
      <c r="G2314" s="933"/>
      <c r="H2314" s="934"/>
    </row>
    <row r="2315" spans="1:8" hidden="1">
      <c r="D2315" s="932"/>
      <c r="G2315" s="933"/>
      <c r="H2315" s="934"/>
    </row>
    <row r="2316" spans="1:8" hidden="1">
      <c r="D2316" s="932"/>
      <c r="G2316" s="933"/>
      <c r="H2316" s="934"/>
    </row>
    <row r="2317" spans="1:8" hidden="1">
      <c r="D2317" s="932"/>
      <c r="G2317" s="933"/>
      <c r="H2317" s="934"/>
    </row>
    <row r="2318" spans="1:8" hidden="1">
      <c r="A2318" s="930"/>
      <c r="B2318" s="931"/>
      <c r="G2318" s="933"/>
      <c r="H2318" s="934"/>
    </row>
    <row r="2319" spans="1:8" hidden="1">
      <c r="A2319" s="930"/>
      <c r="B2319" s="945"/>
      <c r="G2319" s="933"/>
      <c r="H2319" s="934"/>
    </row>
    <row r="2320" spans="1:8" hidden="1">
      <c r="A2320" s="930"/>
      <c r="B2320" s="945"/>
      <c r="G2320" s="933"/>
      <c r="H2320" s="934"/>
    </row>
    <row r="2321" spans="1:8" hidden="1">
      <c r="A2321" s="930"/>
      <c r="B2321" s="931"/>
      <c r="G2321" s="933"/>
      <c r="H2321" s="934"/>
    </row>
    <row r="2322" spans="1:8" hidden="1">
      <c r="A2322" s="930"/>
      <c r="B2322" s="931"/>
      <c r="G2322" s="933"/>
      <c r="H2322" s="934"/>
    </row>
    <row r="2323" spans="1:8" hidden="1">
      <c r="G2323" s="933"/>
      <c r="H2323" s="934"/>
    </row>
    <row r="2324" spans="1:8" ht="15" hidden="1">
      <c r="A2324" s="58"/>
      <c r="B2324"/>
      <c r="G2324" s="933"/>
      <c r="H2324" s="934"/>
    </row>
    <row r="2325" spans="1:8" hidden="1">
      <c r="A2325" s="930"/>
      <c r="B2325" s="945"/>
      <c r="G2325" s="933"/>
      <c r="H2325" s="934"/>
    </row>
    <row r="2326" spans="1:8" hidden="1">
      <c r="A2326" s="930"/>
      <c r="B2326" s="931"/>
      <c r="C2326" s="938"/>
      <c r="G2326" s="933"/>
      <c r="H2326" s="934"/>
    </row>
    <row r="2327" spans="1:8" hidden="1">
      <c r="A2327" s="930"/>
      <c r="B2327" s="931"/>
      <c r="C2327" s="938"/>
      <c r="G2327" s="933"/>
      <c r="H2327" s="934"/>
    </row>
    <row r="2328" spans="1:8" hidden="1">
      <c r="A2328" s="930"/>
      <c r="B2328" s="931"/>
      <c r="G2328" s="933"/>
      <c r="H2328" s="934"/>
    </row>
    <row r="2329" spans="1:8" hidden="1">
      <c r="A2329" s="930"/>
      <c r="B2329" s="945"/>
      <c r="G2329" s="933"/>
      <c r="H2329" s="934"/>
    </row>
    <row r="2330" spans="1:8" hidden="1">
      <c r="A2330" s="930"/>
      <c r="B2330" s="931"/>
      <c r="G2330" s="933"/>
      <c r="H2330" s="934"/>
    </row>
    <row r="2331" spans="1:8" hidden="1">
      <c r="A2331" s="930"/>
      <c r="B2331" s="945"/>
      <c r="G2331" s="933"/>
      <c r="H2331" s="934"/>
    </row>
    <row r="2332" spans="1:8" hidden="1">
      <c r="G2332" s="933"/>
      <c r="H2332" s="934"/>
    </row>
    <row r="2333" spans="1:8" hidden="1">
      <c r="A2333" s="930"/>
      <c r="B2333" s="931"/>
      <c r="C2333" s="938"/>
      <c r="G2333" s="933"/>
      <c r="H2333" s="934"/>
    </row>
    <row r="2334" spans="1:8" hidden="1">
      <c r="A2334" s="930"/>
      <c r="B2334" s="945"/>
      <c r="G2334" s="933"/>
      <c r="H2334" s="934"/>
    </row>
    <row r="2335" spans="1:8" hidden="1">
      <c r="G2335" s="933"/>
      <c r="H2335" s="934"/>
    </row>
    <row r="2336" spans="1:8" hidden="1">
      <c r="A2336" s="930"/>
      <c r="B2336" s="931"/>
      <c r="G2336" s="933"/>
      <c r="H2336" s="934"/>
    </row>
    <row r="2337" spans="1:8" hidden="1">
      <c r="A2337" s="942"/>
      <c r="B2337" s="941"/>
      <c r="C2337" s="938"/>
      <c r="G2337" s="933"/>
      <c r="H2337" s="934"/>
    </row>
    <row r="2338" spans="1:8" hidden="1">
      <c r="A2338" s="930"/>
      <c r="B2338" s="945"/>
      <c r="G2338" s="933"/>
      <c r="H2338" s="934"/>
    </row>
    <row r="2339" spans="1:8" hidden="1">
      <c r="A2339" s="930"/>
      <c r="B2339" s="931"/>
      <c r="C2339" s="938"/>
      <c r="G2339" s="933"/>
      <c r="H2339" s="934"/>
    </row>
    <row r="2340" spans="1:8" hidden="1">
      <c r="G2340" s="933"/>
      <c r="H2340" s="934"/>
    </row>
    <row r="2341" spans="1:8" hidden="1">
      <c r="A2341" s="939"/>
      <c r="B2341" s="941"/>
      <c r="G2341" s="933"/>
      <c r="H2341" s="934"/>
    </row>
    <row r="2342" spans="1:8" hidden="1">
      <c r="G2342" s="933"/>
      <c r="H2342" s="934"/>
    </row>
    <row r="2343" spans="1:8" hidden="1">
      <c r="A2343" s="930"/>
      <c r="B2343" s="945"/>
      <c r="G2343" s="933"/>
      <c r="H2343" s="934"/>
    </row>
    <row r="2344" spans="1:8" hidden="1">
      <c r="A2344" s="930"/>
      <c r="B2344" s="931"/>
      <c r="G2344" s="933"/>
      <c r="H2344" s="934"/>
    </row>
    <row r="2345" spans="1:8" hidden="1">
      <c r="G2345" s="933"/>
      <c r="H2345" s="934"/>
    </row>
    <row r="2346" spans="1:8" hidden="1">
      <c r="A2346" s="930"/>
      <c r="B2346" s="945"/>
      <c r="G2346" s="933"/>
      <c r="H2346" s="934"/>
    </row>
    <row r="2347" spans="1:8" hidden="1">
      <c r="A2347" s="939"/>
      <c r="B2347" s="941"/>
      <c r="G2347" s="933"/>
      <c r="H2347" s="934"/>
    </row>
    <row r="2348" spans="1:8" hidden="1">
      <c r="A2348" s="930"/>
      <c r="B2348" s="945"/>
      <c r="G2348" s="933"/>
      <c r="H2348" s="934"/>
    </row>
    <row r="2349" spans="1:8" hidden="1">
      <c r="G2349" s="933"/>
      <c r="H2349" s="934"/>
    </row>
    <row r="2350" spans="1:8" hidden="1">
      <c r="A2350" s="939"/>
      <c r="B2350" s="941"/>
      <c r="G2350" s="933"/>
      <c r="H2350" s="934"/>
    </row>
    <row r="2351" spans="1:8" hidden="1">
      <c r="G2351" s="933"/>
      <c r="H2351" s="934"/>
    </row>
    <row r="2352" spans="1:8" hidden="1">
      <c r="A2352" s="930"/>
      <c r="B2352" s="931"/>
      <c r="G2352" s="933"/>
      <c r="H2352" s="934"/>
    </row>
    <row r="2353" spans="1:8" ht="15" hidden="1">
      <c r="A2353" s="58"/>
      <c r="B2353"/>
      <c r="G2353" s="933"/>
      <c r="H2353" s="934"/>
    </row>
    <row r="2354" spans="1:8" hidden="1">
      <c r="G2354" s="933"/>
      <c r="H2354" s="934"/>
    </row>
    <row r="2355" spans="1:8" hidden="1">
      <c r="A2355" s="930"/>
      <c r="B2355" s="931"/>
      <c r="G2355" s="933"/>
      <c r="H2355" s="934"/>
    </row>
    <row r="2356" spans="1:8" hidden="1">
      <c r="G2356" s="933"/>
      <c r="H2356" s="934"/>
    </row>
    <row r="2357" spans="1:8" hidden="1">
      <c r="A2357" s="939"/>
      <c r="B2357" s="941"/>
      <c r="G2357" s="933"/>
      <c r="H2357" s="934"/>
    </row>
    <row r="2358" spans="1:8" hidden="1">
      <c r="G2358" s="933"/>
      <c r="H2358" s="934"/>
    </row>
    <row r="2359" spans="1:8" hidden="1">
      <c r="A2359" s="930"/>
      <c r="B2359" s="931"/>
      <c r="G2359" s="933"/>
      <c r="H2359" s="934"/>
    </row>
    <row r="2360" spans="1:8" hidden="1">
      <c r="G2360" s="933"/>
      <c r="H2360" s="934"/>
    </row>
    <row r="2361" spans="1:8" hidden="1">
      <c r="G2361" s="933"/>
      <c r="H2361" s="934"/>
    </row>
    <row r="2362" spans="1:8" hidden="1">
      <c r="A2362" s="930"/>
      <c r="B2362" s="945"/>
      <c r="G2362" s="933"/>
      <c r="H2362" s="934"/>
    </row>
    <row r="2363" spans="1:8" hidden="1">
      <c r="G2363" s="933"/>
      <c r="H2363" s="934"/>
    </row>
    <row r="2364" spans="1:8" hidden="1">
      <c r="A2364" s="930"/>
      <c r="B2364" s="945"/>
      <c r="G2364" s="933"/>
      <c r="H2364" s="934"/>
    </row>
    <row r="2365" spans="1:8" hidden="1">
      <c r="G2365" s="933"/>
      <c r="H2365" s="934"/>
    </row>
    <row r="2366" spans="1:8" hidden="1">
      <c r="A2366" s="930"/>
      <c r="B2366" s="945"/>
      <c r="G2366" s="933"/>
      <c r="H2366" s="934"/>
    </row>
    <row r="2367" spans="1:8" hidden="1">
      <c r="A2367" s="930"/>
      <c r="B2367" s="931"/>
      <c r="C2367" s="938"/>
      <c r="G2367" s="933"/>
      <c r="H2367" s="934"/>
    </row>
    <row r="2368" spans="1:8" hidden="1">
      <c r="G2368" s="933"/>
      <c r="H2368" s="934"/>
    </row>
    <row r="2369" spans="1:8" hidden="1">
      <c r="G2369" s="933"/>
      <c r="H2369" s="934"/>
    </row>
    <row r="2370" spans="1:8" hidden="1">
      <c r="A2370" s="930"/>
      <c r="B2370" s="931"/>
      <c r="G2370" s="933"/>
      <c r="H2370" s="934"/>
    </row>
    <row r="2371" spans="1:8" ht="15" hidden="1">
      <c r="A2371" s="58"/>
      <c r="B2371"/>
      <c r="G2371" s="933"/>
      <c r="H2371" s="934"/>
    </row>
    <row r="2372" spans="1:8" hidden="1">
      <c r="G2372" s="933"/>
      <c r="H2372" s="934"/>
    </row>
    <row r="2373" spans="1:8" hidden="1">
      <c r="A2373" s="930"/>
      <c r="B2373" s="931"/>
      <c r="G2373" s="933"/>
      <c r="H2373" s="934"/>
    </row>
    <row r="2374" spans="1:8" hidden="1">
      <c r="A2374" s="930"/>
      <c r="B2374" s="931"/>
      <c r="C2374" s="938"/>
      <c r="G2374" s="933"/>
      <c r="H2374" s="934"/>
    </row>
    <row r="2375" spans="1:8" hidden="1">
      <c r="A2375" s="930"/>
      <c r="B2375" s="931"/>
      <c r="G2375" s="933"/>
      <c r="H2375" s="934"/>
    </row>
    <row r="2376" spans="1:8" hidden="1">
      <c r="G2376" s="933"/>
      <c r="H2376" s="934"/>
    </row>
    <row r="2377" spans="1:8" hidden="1">
      <c r="A2377" s="930"/>
      <c r="B2377" s="931"/>
      <c r="G2377" s="933"/>
      <c r="H2377" s="934"/>
    </row>
    <row r="2378" spans="1:8" hidden="1">
      <c r="A2378" s="930"/>
      <c r="B2378" s="931"/>
      <c r="G2378" s="933"/>
      <c r="H2378" s="934"/>
    </row>
    <row r="2379" spans="1:8" hidden="1">
      <c r="A2379" s="930"/>
      <c r="B2379" s="945"/>
      <c r="G2379" s="933"/>
      <c r="H2379" s="934"/>
    </row>
    <row r="2380" spans="1:8" hidden="1">
      <c r="A2380" s="930"/>
      <c r="B2380" s="931"/>
      <c r="C2380" s="938"/>
      <c r="G2380" s="933"/>
      <c r="H2380" s="934"/>
    </row>
    <row r="2381" spans="1:8" hidden="1">
      <c r="G2381" s="933"/>
      <c r="H2381" s="934"/>
    </row>
    <row r="2382" spans="1:8" hidden="1">
      <c r="A2382" s="930"/>
      <c r="B2382" s="945"/>
      <c r="G2382" s="933"/>
      <c r="H2382" s="934"/>
    </row>
    <row r="2383" spans="1:8" hidden="1">
      <c r="A2383" s="930"/>
      <c r="B2383" s="931"/>
      <c r="G2383" s="933"/>
      <c r="H2383" s="934"/>
    </row>
    <row r="2384" spans="1:8" hidden="1">
      <c r="G2384" s="933"/>
      <c r="H2384" s="934"/>
    </row>
    <row r="2385" spans="1:8" hidden="1">
      <c r="A2385" s="930"/>
      <c r="B2385" s="931"/>
      <c r="G2385" s="933"/>
      <c r="H2385" s="934"/>
    </row>
    <row r="2386" spans="1:8" hidden="1">
      <c r="A2386" s="930"/>
      <c r="B2386" s="931"/>
      <c r="G2386" s="933"/>
      <c r="H2386" s="934"/>
    </row>
    <row r="2387" spans="1:8" hidden="1">
      <c r="G2387" s="933"/>
      <c r="H2387" s="934"/>
    </row>
    <row r="2388" spans="1:8" hidden="1">
      <c r="A2388" s="939"/>
      <c r="B2388" s="941"/>
      <c r="G2388" s="933"/>
      <c r="H2388" s="934"/>
    </row>
    <row r="2389" spans="1:8" hidden="1">
      <c r="G2389" s="933"/>
      <c r="H2389" s="934"/>
    </row>
    <row r="2390" spans="1:8" hidden="1">
      <c r="A2390" s="930"/>
      <c r="B2390" s="931"/>
      <c r="G2390" s="933"/>
      <c r="H2390" s="934"/>
    </row>
    <row r="2391" spans="1:8" hidden="1">
      <c r="G2391" s="933"/>
      <c r="H2391" s="934"/>
    </row>
    <row r="2392" spans="1:8" hidden="1">
      <c r="A2392" s="930"/>
      <c r="B2392" s="931"/>
      <c r="G2392" s="933"/>
      <c r="H2392" s="934"/>
    </row>
    <row r="2393" spans="1:8" hidden="1">
      <c r="G2393" s="933"/>
      <c r="H2393" s="934"/>
    </row>
    <row r="2394" spans="1:8" hidden="1">
      <c r="A2394" s="930"/>
      <c r="B2394" s="931"/>
      <c r="G2394" s="933"/>
      <c r="H2394" s="934"/>
    </row>
    <row r="2395" spans="1:8" hidden="1">
      <c r="A2395" s="930"/>
      <c r="B2395" s="945"/>
      <c r="G2395" s="933"/>
      <c r="H2395" s="934"/>
    </row>
    <row r="2396" spans="1:8" hidden="1">
      <c r="G2396" s="933"/>
      <c r="H2396" s="934"/>
    </row>
    <row r="2397" spans="1:8" hidden="1">
      <c r="A2397" s="930"/>
      <c r="B2397" s="931"/>
      <c r="C2397" s="938"/>
      <c r="G2397" s="933"/>
      <c r="H2397" s="934"/>
    </row>
    <row r="2398" spans="1:8" hidden="1">
      <c r="A2398" s="930"/>
      <c r="B2398" s="931"/>
      <c r="G2398" s="933"/>
      <c r="H2398" s="934"/>
    </row>
    <row r="2399" spans="1:8" hidden="1">
      <c r="A2399" s="939"/>
      <c r="B2399" s="941"/>
      <c r="G2399" s="933"/>
      <c r="H2399" s="934"/>
    </row>
    <row r="2400" spans="1:8" hidden="1">
      <c r="A2400" s="930"/>
      <c r="B2400" s="931"/>
      <c r="C2400" s="938"/>
      <c r="G2400" s="933"/>
      <c r="H2400" s="934"/>
    </row>
    <row r="2401" spans="1:8" hidden="1">
      <c r="G2401" s="933"/>
      <c r="H2401" s="934"/>
    </row>
    <row r="2402" spans="1:8" hidden="1">
      <c r="A2402" s="930"/>
      <c r="B2402" s="931"/>
      <c r="G2402" s="933"/>
      <c r="H2402" s="934"/>
    </row>
    <row r="2403" spans="1:8" hidden="1">
      <c r="G2403" s="933"/>
      <c r="H2403" s="934"/>
    </row>
    <row r="2404" spans="1:8" hidden="1">
      <c r="A2404" s="930"/>
      <c r="B2404" s="931"/>
      <c r="G2404" s="933"/>
      <c r="H2404" s="934"/>
    </row>
    <row r="2405" spans="1:8" hidden="1">
      <c r="A2405" s="930"/>
      <c r="B2405" s="931"/>
      <c r="G2405" s="933"/>
      <c r="H2405" s="934"/>
    </row>
    <row r="2406" spans="1:8" hidden="1">
      <c r="G2406" s="933"/>
      <c r="H2406" s="934"/>
    </row>
    <row r="2407" spans="1:8" hidden="1">
      <c r="A2407" s="930"/>
      <c r="B2407" s="931"/>
      <c r="G2407" s="933"/>
      <c r="H2407" s="934"/>
    </row>
    <row r="2408" spans="1:8" hidden="1">
      <c r="G2408" s="933"/>
      <c r="H2408" s="934"/>
    </row>
    <row r="2409" spans="1:8" hidden="1">
      <c r="A2409" s="930"/>
      <c r="B2409" s="931"/>
      <c r="G2409" s="933"/>
      <c r="H2409" s="934"/>
    </row>
    <row r="2410" spans="1:8" hidden="1">
      <c r="A2410" s="930"/>
      <c r="B2410" s="931"/>
      <c r="C2410" s="938"/>
      <c r="G2410" s="933"/>
      <c r="H2410" s="934"/>
    </row>
    <row r="2411" spans="1:8" hidden="1">
      <c r="A2411" s="930"/>
      <c r="B2411" s="931"/>
      <c r="G2411" s="933"/>
      <c r="H2411" s="934"/>
    </row>
    <row r="2412" spans="1:8" hidden="1">
      <c r="A2412" s="930"/>
      <c r="B2412" s="931"/>
      <c r="C2412" s="938"/>
      <c r="G2412" s="933"/>
      <c r="H2412" s="934"/>
    </row>
    <row r="2413" spans="1:8" hidden="1">
      <c r="A2413" s="930"/>
      <c r="B2413" s="931"/>
      <c r="C2413" s="938"/>
      <c r="G2413" s="933"/>
      <c r="H2413" s="934"/>
    </row>
    <row r="2414" spans="1:8" hidden="1">
      <c r="G2414" s="933"/>
      <c r="H2414" s="934"/>
    </row>
    <row r="2415" spans="1:8" hidden="1">
      <c r="A2415" s="939"/>
      <c r="B2415" s="941"/>
      <c r="G2415" s="933"/>
      <c r="H2415" s="934"/>
    </row>
    <row r="2416" spans="1:8" hidden="1">
      <c r="A2416" s="930"/>
      <c r="B2416" s="931"/>
      <c r="G2416" s="933"/>
      <c r="H2416" s="934"/>
    </row>
    <row r="2417" spans="1:8" hidden="1">
      <c r="G2417" s="933"/>
      <c r="H2417" s="934"/>
    </row>
    <row r="2418" spans="1:8" hidden="1">
      <c r="G2418" s="933"/>
      <c r="H2418" s="934"/>
    </row>
    <row r="2419" spans="1:8" hidden="1">
      <c r="A2419" s="930"/>
      <c r="B2419" s="931"/>
      <c r="G2419" s="933"/>
      <c r="H2419" s="934"/>
    </row>
    <row r="2420" spans="1:8" hidden="1">
      <c r="G2420" s="933"/>
      <c r="H2420" s="934"/>
    </row>
    <row r="2421" spans="1:8" hidden="1">
      <c r="A2421" s="930"/>
      <c r="B2421" s="931"/>
      <c r="G2421" s="933"/>
      <c r="H2421" s="934"/>
    </row>
    <row r="2422" spans="1:8" hidden="1">
      <c r="G2422" s="933"/>
      <c r="H2422" s="934"/>
    </row>
    <row r="2423" spans="1:8" hidden="1">
      <c r="A2423" s="930"/>
      <c r="B2423" s="931"/>
      <c r="G2423" s="933"/>
      <c r="H2423" s="934"/>
    </row>
    <row r="2424" spans="1:8" hidden="1">
      <c r="A2424" s="930"/>
      <c r="B2424" s="945"/>
      <c r="G2424" s="933"/>
      <c r="H2424" s="934"/>
    </row>
    <row r="2425" spans="1:8" hidden="1">
      <c r="A2425" s="930"/>
      <c r="B2425" s="931"/>
      <c r="G2425" s="933"/>
      <c r="H2425" s="934"/>
    </row>
    <row r="2426" spans="1:8" hidden="1">
      <c r="A2426" s="944"/>
      <c r="B2426" s="945"/>
      <c r="G2426" s="933"/>
      <c r="H2426" s="934"/>
    </row>
    <row r="2427" spans="1:8" hidden="1">
      <c r="A2427" s="930"/>
      <c r="B2427" s="945"/>
      <c r="G2427" s="933"/>
      <c r="H2427" s="934"/>
    </row>
    <row r="2428" spans="1:8" hidden="1">
      <c r="A2428" s="930"/>
      <c r="B2428" s="931"/>
      <c r="G2428" s="933"/>
      <c r="H2428" s="934"/>
    </row>
    <row r="2429" spans="1:8" hidden="1">
      <c r="G2429" s="933"/>
      <c r="H2429" s="934"/>
    </row>
    <row r="2430" spans="1:8" hidden="1">
      <c r="A2430" s="930"/>
      <c r="B2430" s="931"/>
      <c r="G2430" s="933"/>
      <c r="H2430" s="934"/>
    </row>
    <row r="2431" spans="1:8" hidden="1">
      <c r="A2431" s="930"/>
      <c r="B2431" s="945"/>
      <c r="G2431" s="933"/>
      <c r="H2431" s="934"/>
    </row>
    <row r="2432" spans="1:8" hidden="1">
      <c r="A2432" s="930"/>
      <c r="B2432" s="931"/>
      <c r="G2432" s="933"/>
      <c r="H2432" s="934"/>
    </row>
    <row r="2433" spans="1:8" hidden="1">
      <c r="A2433" s="942"/>
      <c r="B2433" s="941"/>
      <c r="C2433" s="938"/>
      <c r="G2433" s="933"/>
      <c r="H2433" s="934"/>
    </row>
    <row r="2434" spans="1:8" hidden="1">
      <c r="A2434" s="942"/>
      <c r="B2434" s="941"/>
      <c r="C2434" s="938"/>
      <c r="G2434" s="933"/>
      <c r="H2434" s="934"/>
    </row>
    <row r="2435" spans="1:8" hidden="1">
      <c r="A2435" s="930"/>
      <c r="B2435" s="931"/>
      <c r="C2435" s="938"/>
      <c r="G2435" s="933"/>
      <c r="H2435" s="934"/>
    </row>
    <row r="2436" spans="1:8" hidden="1">
      <c r="G2436" s="933"/>
      <c r="H2436" s="934"/>
    </row>
    <row r="2437" spans="1:8" hidden="1">
      <c r="A2437" s="930"/>
      <c r="B2437" s="931"/>
      <c r="G2437" s="933"/>
      <c r="H2437" s="934"/>
    </row>
    <row r="2438" spans="1:8" hidden="1">
      <c r="A2438" s="942"/>
      <c r="B2438" s="941"/>
      <c r="C2438" s="938"/>
      <c r="G2438" s="933"/>
      <c r="H2438" s="934"/>
    </row>
    <row r="2439" spans="1:8" hidden="1">
      <c r="A2439" s="930"/>
      <c r="B2439" s="931"/>
      <c r="C2439" s="938"/>
      <c r="G2439" s="933"/>
      <c r="H2439" s="934"/>
    </row>
    <row r="2440" spans="1:8" hidden="1">
      <c r="G2440" s="933"/>
      <c r="H2440" s="934"/>
    </row>
    <row r="2441" spans="1:8" hidden="1">
      <c r="A2441" s="930"/>
      <c r="B2441" s="931"/>
      <c r="G2441" s="933"/>
      <c r="H2441" s="934"/>
    </row>
    <row r="2442" spans="1:8" hidden="1">
      <c r="A2442" s="930"/>
      <c r="B2442" s="931"/>
      <c r="C2442" s="938"/>
      <c r="G2442" s="933"/>
      <c r="H2442" s="934"/>
    </row>
    <row r="2443" spans="1:8" hidden="1">
      <c r="A2443" s="944"/>
      <c r="B2443" s="945"/>
      <c r="G2443" s="933"/>
      <c r="H2443" s="934"/>
    </row>
    <row r="2444" spans="1:8" hidden="1">
      <c r="A2444" s="930"/>
      <c r="B2444" s="931"/>
      <c r="G2444" s="933"/>
      <c r="H2444" s="934"/>
    </row>
    <row r="2445" spans="1:8" hidden="1">
      <c r="A2445" s="930"/>
      <c r="B2445" s="931"/>
      <c r="C2445" s="938"/>
      <c r="G2445" s="933"/>
      <c r="H2445" s="934"/>
    </row>
    <row r="2446" spans="1:8" hidden="1">
      <c r="G2446" s="933"/>
      <c r="H2446" s="934"/>
    </row>
    <row r="2447" spans="1:8" hidden="1">
      <c r="G2447" s="933"/>
      <c r="H2447" s="934"/>
    </row>
    <row r="2448" spans="1:8" hidden="1">
      <c r="A2448" s="930"/>
      <c r="B2448" s="931"/>
      <c r="C2448" s="938"/>
      <c r="G2448" s="933"/>
      <c r="H2448" s="934"/>
    </row>
    <row r="2449" spans="1:8" hidden="1">
      <c r="A2449" s="930"/>
      <c r="B2449" s="945"/>
      <c r="G2449" s="933"/>
      <c r="H2449" s="934"/>
    </row>
    <row r="2450" spans="1:8" hidden="1">
      <c r="A2450" s="930"/>
      <c r="B2450" s="931"/>
      <c r="C2450" s="938"/>
      <c r="G2450" s="933"/>
      <c r="H2450" s="934"/>
    </row>
    <row r="2451" spans="1:8" hidden="1">
      <c r="A2451" s="944"/>
      <c r="B2451" s="945"/>
      <c r="G2451" s="933"/>
      <c r="H2451" s="934"/>
    </row>
    <row r="2452" spans="1:8" hidden="1">
      <c r="A2452" s="930"/>
      <c r="B2452" s="931"/>
      <c r="C2452" s="938"/>
      <c r="G2452" s="933"/>
      <c r="H2452" s="934"/>
    </row>
    <row r="2453" spans="1:8" hidden="1">
      <c r="A2453" s="930"/>
      <c r="B2453" s="931"/>
      <c r="C2453" s="938"/>
      <c r="G2453" s="933"/>
      <c r="H2453" s="934"/>
    </row>
    <row r="2454" spans="1:8" hidden="1">
      <c r="A2454" s="944"/>
      <c r="B2454" s="945"/>
      <c r="G2454" s="933"/>
      <c r="H2454" s="934"/>
    </row>
    <row r="2455" spans="1:8" hidden="1">
      <c r="A2455" s="930"/>
      <c r="B2455" s="945"/>
      <c r="G2455" s="933"/>
      <c r="H2455" s="934"/>
    </row>
    <row r="2456" spans="1:8" hidden="1">
      <c r="A2456" s="930"/>
      <c r="B2456" s="931"/>
      <c r="C2456" s="938"/>
      <c r="G2456" s="933"/>
      <c r="H2456" s="934"/>
    </row>
    <row r="2457" spans="1:8" hidden="1">
      <c r="A2457" s="930"/>
      <c r="B2457" s="931"/>
      <c r="G2457" s="933"/>
      <c r="H2457" s="934"/>
    </row>
    <row r="2458" spans="1:8" hidden="1">
      <c r="G2458" s="933"/>
      <c r="H2458" s="934"/>
    </row>
    <row r="2459" spans="1:8" ht="15" hidden="1">
      <c r="A2459" s="58"/>
      <c r="B2459"/>
      <c r="G2459" s="933"/>
      <c r="H2459" s="934"/>
    </row>
    <row r="2460" spans="1:8" hidden="1">
      <c r="A2460" s="930"/>
      <c r="B2460" s="931"/>
      <c r="G2460" s="933"/>
      <c r="H2460" s="934"/>
    </row>
    <row r="2461" spans="1:8" hidden="1">
      <c r="A2461" s="930"/>
      <c r="B2461" s="931"/>
      <c r="C2461" s="938"/>
      <c r="G2461" s="933"/>
      <c r="H2461" s="934"/>
    </row>
    <row r="2462" spans="1:8" hidden="1">
      <c r="G2462" s="933"/>
      <c r="H2462" s="934"/>
    </row>
    <row r="2463" spans="1:8" hidden="1">
      <c r="A2463" s="944"/>
      <c r="B2463" s="945"/>
      <c r="G2463" s="933"/>
      <c r="H2463" s="934"/>
    </row>
    <row r="2464" spans="1:8" hidden="1">
      <c r="A2464" s="930"/>
      <c r="B2464" s="931"/>
      <c r="C2464" s="938"/>
      <c r="G2464" s="933"/>
      <c r="H2464" s="934"/>
    </row>
    <row r="2465" spans="1:8" hidden="1">
      <c r="A2465" s="930"/>
      <c r="B2465" s="945"/>
      <c r="G2465" s="933"/>
      <c r="H2465" s="934"/>
    </row>
    <row r="2466" spans="1:8" hidden="1">
      <c r="A2466" s="930"/>
      <c r="B2466" s="931"/>
      <c r="G2466" s="933"/>
      <c r="H2466" s="934"/>
    </row>
    <row r="2467" spans="1:8" hidden="1">
      <c r="G2467" s="933"/>
      <c r="H2467" s="934"/>
    </row>
    <row r="2468" spans="1:8" hidden="1">
      <c r="A2468" s="930"/>
      <c r="B2468" s="931"/>
      <c r="G2468" s="933"/>
      <c r="H2468" s="934"/>
    </row>
    <row r="2469" spans="1:8" hidden="1">
      <c r="A2469" s="930"/>
      <c r="B2469" s="945"/>
      <c r="G2469" s="933"/>
      <c r="H2469" s="934"/>
    </row>
    <row r="2470" spans="1:8" hidden="1">
      <c r="A2470" s="930"/>
      <c r="B2470" s="931"/>
      <c r="C2470" s="938"/>
      <c r="G2470" s="933"/>
      <c r="H2470" s="934"/>
    </row>
    <row r="2471" spans="1:8" hidden="1">
      <c r="G2471" s="933"/>
      <c r="H2471" s="934"/>
    </row>
    <row r="2472" spans="1:8" hidden="1">
      <c r="A2472" s="930"/>
      <c r="B2472" s="931"/>
      <c r="G2472" s="933"/>
      <c r="H2472" s="934"/>
    </row>
    <row r="2473" spans="1:8" hidden="1">
      <c r="G2473" s="933"/>
      <c r="H2473" s="934"/>
    </row>
    <row r="2474" spans="1:8" hidden="1">
      <c r="A2474" s="930"/>
      <c r="B2474" s="931"/>
      <c r="G2474" s="933"/>
      <c r="H2474" s="934"/>
    </row>
    <row r="2475" spans="1:8" hidden="1">
      <c r="G2475" s="933"/>
      <c r="H2475" s="934"/>
    </row>
    <row r="2476" spans="1:8" hidden="1">
      <c r="G2476" s="933"/>
      <c r="H2476" s="934"/>
    </row>
    <row r="2477" spans="1:8" hidden="1">
      <c r="A2477" s="930"/>
      <c r="B2477" s="931"/>
      <c r="G2477" s="933"/>
      <c r="H2477" s="934"/>
    </row>
    <row r="2478" spans="1:8" hidden="1">
      <c r="A2478" s="930"/>
      <c r="B2478" s="931"/>
      <c r="G2478" s="933"/>
      <c r="H2478" s="934"/>
    </row>
    <row r="2479" spans="1:8" hidden="1">
      <c r="G2479" s="933"/>
      <c r="H2479" s="934"/>
    </row>
    <row r="2480" spans="1:8" hidden="1">
      <c r="A2480" s="944"/>
      <c r="B2480" s="945"/>
      <c r="G2480" s="933"/>
      <c r="H2480" s="934"/>
    </row>
    <row r="2481" spans="1:8" hidden="1">
      <c r="A2481" s="168"/>
      <c r="B2481" s="168"/>
      <c r="C2481" s="948"/>
      <c r="G2481" s="933"/>
      <c r="H2481" s="934"/>
    </row>
    <row r="2482" spans="1:8" hidden="1">
      <c r="A2482" s="168"/>
      <c r="B2482" s="168"/>
      <c r="C2482" s="948"/>
      <c r="G2482" s="933"/>
      <c r="H2482" s="934"/>
    </row>
    <row r="2483" spans="1:8" hidden="1">
      <c r="D2483" s="932"/>
      <c r="G2483" s="933"/>
      <c r="H2483" s="934"/>
    </row>
    <row r="2484" spans="1:8" hidden="1">
      <c r="A2484" s="930"/>
      <c r="B2484" s="931"/>
      <c r="D2484" s="932"/>
      <c r="G2484" s="933"/>
      <c r="H2484" s="934"/>
    </row>
    <row r="2485" spans="1:8" hidden="1">
      <c r="A2485" s="930"/>
      <c r="B2485" s="931"/>
      <c r="D2485" s="932"/>
      <c r="G2485" s="933"/>
      <c r="H2485" s="934"/>
    </row>
    <row r="2486" spans="1:8" hidden="1">
      <c r="A2486" s="930"/>
      <c r="B2486" s="931"/>
      <c r="C2486" s="938"/>
      <c r="D2486" s="932"/>
      <c r="G2486" s="933"/>
      <c r="H2486" s="934"/>
    </row>
    <row r="2487" spans="1:8" hidden="1">
      <c r="A2487" s="930"/>
      <c r="B2487" s="931"/>
      <c r="D2487" s="932"/>
      <c r="G2487" s="933"/>
      <c r="H2487" s="934"/>
    </row>
    <row r="2488" spans="1:8" hidden="1">
      <c r="A2488" s="944"/>
      <c r="B2488" s="945"/>
      <c r="D2488" s="932"/>
      <c r="G2488" s="933"/>
      <c r="H2488" s="934"/>
    </row>
    <row r="2489" spans="1:8" hidden="1">
      <c r="A2489" s="930"/>
      <c r="B2489" s="931"/>
      <c r="D2489" s="932"/>
      <c r="G2489" s="933"/>
      <c r="H2489" s="934"/>
    </row>
    <row r="2490" spans="1:8" hidden="1">
      <c r="A2490" s="930"/>
      <c r="B2490" s="931"/>
      <c r="D2490" s="932"/>
      <c r="G2490" s="933"/>
      <c r="H2490" s="934"/>
    </row>
    <row r="2491" spans="1:8" hidden="1">
      <c r="A2491" s="930"/>
      <c r="B2491" s="945"/>
      <c r="D2491" s="932"/>
      <c r="G2491" s="933"/>
      <c r="H2491" s="934"/>
    </row>
    <row r="2492" spans="1:8" hidden="1">
      <c r="A2492" s="930"/>
      <c r="B2492" s="931"/>
      <c r="D2492" s="932"/>
      <c r="G2492" s="933"/>
      <c r="H2492" s="934"/>
    </row>
    <row r="2493" spans="1:8" hidden="1">
      <c r="A2493" s="930"/>
      <c r="B2493" s="931"/>
      <c r="D2493" s="932"/>
      <c r="G2493" s="933"/>
      <c r="H2493" s="934"/>
    </row>
    <row r="2494" spans="1:8" hidden="1">
      <c r="A2494" s="930"/>
      <c r="B2494" s="931"/>
      <c r="D2494" s="932"/>
      <c r="G2494" s="933"/>
      <c r="H2494" s="934"/>
    </row>
    <row r="2495" spans="1:8" hidden="1">
      <c r="A2495" s="930"/>
      <c r="B2495" s="945"/>
      <c r="D2495" s="932"/>
      <c r="G2495" s="933"/>
      <c r="H2495" s="934"/>
    </row>
    <row r="2496" spans="1:8" hidden="1">
      <c r="A2496" s="930"/>
      <c r="B2496" s="931"/>
      <c r="D2496" s="932"/>
      <c r="G2496" s="933"/>
      <c r="H2496" s="934"/>
    </row>
    <row r="2497" spans="1:8" hidden="1">
      <c r="A2497" s="168"/>
      <c r="B2497" s="168"/>
      <c r="G2497" s="933"/>
      <c r="H2497" s="934"/>
    </row>
    <row r="2498" spans="1:8" hidden="1">
      <c r="A2498" s="168"/>
      <c r="G2498" s="933"/>
      <c r="H2498" s="934"/>
    </row>
    <row r="2499" spans="1:8" hidden="1">
      <c r="A2499" s="168"/>
      <c r="G2499" s="933"/>
      <c r="H2499" s="934"/>
    </row>
    <row r="2500" spans="1:8" hidden="1">
      <c r="A2500" s="168"/>
      <c r="G2500" s="933"/>
      <c r="H2500" s="934"/>
    </row>
    <row r="2501" spans="1:8" hidden="1">
      <c r="A2501" s="168"/>
      <c r="G2501" s="933"/>
      <c r="H2501" s="934"/>
    </row>
    <row r="2502" spans="1:8" hidden="1">
      <c r="A2502" s="168"/>
      <c r="G2502" s="933"/>
      <c r="H2502" s="934"/>
    </row>
    <row r="2503" spans="1:8" hidden="1">
      <c r="A2503" s="168"/>
      <c r="G2503" s="933"/>
      <c r="H2503" s="934"/>
    </row>
    <row r="2504" spans="1:8" hidden="1">
      <c r="A2504" s="168"/>
      <c r="G2504" s="933"/>
      <c r="H2504" s="934"/>
    </row>
    <row r="2505" spans="1:8" hidden="1">
      <c r="A2505" s="168"/>
      <c r="G2505" s="933"/>
      <c r="H2505" s="934"/>
    </row>
    <row r="2506" spans="1:8" ht="12.75" hidden="1">
      <c r="A2506" s="168"/>
      <c r="B2506" s="955"/>
      <c r="G2506" s="933"/>
      <c r="H2506" s="934"/>
    </row>
    <row r="2507" spans="1:8" hidden="1">
      <c r="A2507" s="168"/>
      <c r="G2507" s="933"/>
      <c r="H2507" s="934"/>
    </row>
    <row r="2508" spans="1:8" hidden="1">
      <c r="G2508" s="933"/>
      <c r="H2508" s="934"/>
    </row>
    <row r="2509" spans="1:8" hidden="1">
      <c r="G2509" s="933"/>
      <c r="H2509" s="934"/>
    </row>
    <row r="2510" spans="1:8" hidden="1">
      <c r="G2510" s="933"/>
      <c r="H2510" s="934"/>
    </row>
    <row r="2511" spans="1:8" hidden="1">
      <c r="B2511" s="931"/>
      <c r="G2511" s="933"/>
      <c r="H2511" s="934"/>
    </row>
    <row r="2512" spans="1:8" hidden="1">
      <c r="B2512" s="931"/>
      <c r="G2512" s="933"/>
      <c r="H2512" s="934"/>
    </row>
    <row r="2513" spans="2:8" hidden="1">
      <c r="B2513" s="931"/>
      <c r="G2513" s="933"/>
      <c r="H2513" s="934"/>
    </row>
    <row r="2514" spans="2:8" hidden="1">
      <c r="G2514" s="933"/>
      <c r="H2514" s="934"/>
    </row>
    <row r="2515" spans="2:8" hidden="1">
      <c r="G2515" s="933"/>
      <c r="H2515" s="934"/>
    </row>
    <row r="2516" spans="2:8" hidden="1">
      <c r="G2516" s="933"/>
      <c r="H2516" s="934"/>
    </row>
    <row r="2517" spans="2:8" hidden="1">
      <c r="G2517" s="933"/>
      <c r="H2517" s="934"/>
    </row>
    <row r="2518" spans="2:8" hidden="1">
      <c r="G2518" s="933"/>
      <c r="H2518" s="934"/>
    </row>
    <row r="2519" spans="2:8" hidden="1">
      <c r="G2519" s="933"/>
      <c r="H2519" s="934"/>
    </row>
    <row r="2520" spans="2:8" hidden="1">
      <c r="G2520" s="933"/>
      <c r="H2520" s="934"/>
    </row>
    <row r="2521" spans="2:8" hidden="1">
      <c r="G2521" s="933"/>
      <c r="H2521" s="934"/>
    </row>
    <row r="2522" spans="2:8" hidden="1">
      <c r="G2522" s="933"/>
      <c r="H2522" s="934"/>
    </row>
    <row r="2523" spans="2:8" hidden="1">
      <c r="G2523" s="933"/>
      <c r="H2523" s="934"/>
    </row>
    <row r="2524" spans="2:8" hidden="1">
      <c r="G2524" s="933"/>
      <c r="H2524" s="934"/>
    </row>
    <row r="2525" spans="2:8" hidden="1">
      <c r="G2525" s="933"/>
      <c r="H2525" s="934"/>
    </row>
    <row r="2526" spans="2:8" hidden="1">
      <c r="G2526" s="933"/>
      <c r="H2526" s="934"/>
    </row>
    <row r="2527" spans="2:8" hidden="1">
      <c r="G2527" s="933"/>
      <c r="H2527" s="934"/>
    </row>
    <row r="2528" spans="2:8" hidden="1">
      <c r="G2528" s="933"/>
      <c r="H2528" s="934"/>
    </row>
    <row r="2529" spans="4:8" hidden="1">
      <c r="G2529" s="933"/>
      <c r="H2529" s="934"/>
    </row>
    <row r="2530" spans="4:8" hidden="1">
      <c r="D2530" s="932"/>
      <c r="G2530" s="933"/>
      <c r="H2530" s="934"/>
    </row>
    <row r="2531" spans="4:8" hidden="1">
      <c r="D2531" s="932"/>
      <c r="G2531" s="933"/>
      <c r="H2531" s="934"/>
    </row>
    <row r="2532" spans="4:8" hidden="1">
      <c r="D2532" s="932"/>
      <c r="G2532" s="933"/>
      <c r="H2532" s="934"/>
    </row>
    <row r="2533" spans="4:8" hidden="1">
      <c r="D2533" s="932"/>
      <c r="G2533" s="933"/>
      <c r="H2533" s="934"/>
    </row>
    <row r="2534" spans="4:8" hidden="1">
      <c r="D2534" s="932"/>
      <c r="G2534" s="933"/>
      <c r="H2534" s="934"/>
    </row>
    <row r="2535" spans="4:8" hidden="1">
      <c r="D2535" s="932"/>
      <c r="G2535" s="933"/>
      <c r="H2535" s="934"/>
    </row>
    <row r="2536" spans="4:8" hidden="1">
      <c r="D2536" s="932"/>
      <c r="G2536" s="933"/>
      <c r="H2536" s="934"/>
    </row>
    <row r="2537" spans="4:8" hidden="1">
      <c r="D2537" s="932"/>
      <c r="G2537" s="933"/>
      <c r="H2537" s="934"/>
    </row>
    <row r="2538" spans="4:8" hidden="1">
      <c r="D2538" s="932"/>
      <c r="G2538" s="933"/>
      <c r="H2538" s="934"/>
    </row>
    <row r="2539" spans="4:8" hidden="1">
      <c r="D2539" s="932"/>
      <c r="G2539" s="933"/>
      <c r="H2539" s="934"/>
    </row>
    <row r="2540" spans="4:8" hidden="1">
      <c r="D2540" s="932"/>
      <c r="G2540" s="933"/>
      <c r="H2540" s="934"/>
    </row>
    <row r="2541" spans="4:8" hidden="1">
      <c r="D2541" s="932"/>
      <c r="G2541" s="933"/>
      <c r="H2541" s="934"/>
    </row>
    <row r="2542" spans="4:8" hidden="1">
      <c r="D2542" s="932"/>
      <c r="G2542" s="933"/>
      <c r="H2542" s="934"/>
    </row>
    <row r="2543" spans="4:8" hidden="1">
      <c r="D2543" s="932"/>
      <c r="G2543" s="933"/>
      <c r="H2543" s="934"/>
    </row>
    <row r="2544" spans="4:8" hidden="1">
      <c r="D2544" s="932"/>
      <c r="G2544" s="933"/>
      <c r="H2544" s="934"/>
    </row>
    <row r="2545" spans="4:8" hidden="1">
      <c r="D2545" s="932"/>
      <c r="G2545" s="933"/>
      <c r="H2545" s="934"/>
    </row>
    <row r="2546" spans="4:8" hidden="1">
      <c r="D2546" s="932"/>
      <c r="G2546" s="933"/>
      <c r="H2546" s="934"/>
    </row>
    <row r="2547" spans="4:8" hidden="1">
      <c r="D2547" s="932"/>
      <c r="G2547" s="933"/>
      <c r="H2547" s="934"/>
    </row>
    <row r="2548" spans="4:8" hidden="1">
      <c r="D2548" s="932"/>
      <c r="G2548" s="933"/>
      <c r="H2548" s="934"/>
    </row>
    <row r="2549" spans="4:8" hidden="1">
      <c r="D2549" s="932"/>
      <c r="G2549" s="933"/>
      <c r="H2549" s="934"/>
    </row>
    <row r="2550" spans="4:8" hidden="1">
      <c r="D2550" s="932"/>
      <c r="G2550" s="933"/>
      <c r="H2550" s="934"/>
    </row>
    <row r="2551" spans="4:8" hidden="1">
      <c r="D2551" s="932"/>
      <c r="G2551" s="933"/>
      <c r="H2551" s="934"/>
    </row>
    <row r="2552" spans="4:8" hidden="1">
      <c r="D2552" s="932"/>
      <c r="G2552" s="933"/>
      <c r="H2552" s="934"/>
    </row>
    <row r="2553" spans="4:8" hidden="1">
      <c r="D2553" s="932"/>
      <c r="G2553" s="933"/>
      <c r="H2553" s="934"/>
    </row>
    <row r="2554" spans="4:8" hidden="1">
      <c r="D2554" s="932"/>
      <c r="G2554" s="933"/>
      <c r="H2554" s="934"/>
    </row>
    <row r="2555" spans="4:8" hidden="1">
      <c r="D2555" s="932"/>
      <c r="G2555" s="933"/>
      <c r="H2555" s="934"/>
    </row>
    <row r="2556" spans="4:8" hidden="1">
      <c r="D2556" s="932"/>
      <c r="G2556" s="933"/>
      <c r="H2556" s="934"/>
    </row>
    <row r="2557" spans="4:8" hidden="1">
      <c r="D2557" s="932"/>
      <c r="G2557" s="933"/>
      <c r="H2557" s="934"/>
    </row>
    <row r="2558" spans="4:8" hidden="1">
      <c r="D2558" s="932"/>
      <c r="G2558" s="933"/>
      <c r="H2558" s="934"/>
    </row>
    <row r="2559" spans="4:8" hidden="1">
      <c r="D2559" s="932"/>
      <c r="G2559" s="933"/>
      <c r="H2559" s="934"/>
    </row>
    <row r="2560" spans="4:8" hidden="1">
      <c r="D2560" s="932"/>
      <c r="G2560" s="933"/>
      <c r="H2560" s="934"/>
    </row>
    <row r="2561" spans="4:8" hidden="1">
      <c r="D2561" s="932"/>
      <c r="G2561" s="933"/>
      <c r="H2561" s="934"/>
    </row>
    <row r="2562" spans="4:8" hidden="1">
      <c r="D2562" s="932"/>
      <c r="G2562" s="933"/>
      <c r="H2562" s="934"/>
    </row>
    <row r="2563" spans="4:8" hidden="1">
      <c r="D2563" s="932"/>
      <c r="G2563" s="933"/>
      <c r="H2563" s="934"/>
    </row>
    <row r="2564" spans="4:8" hidden="1">
      <c r="D2564" s="932"/>
      <c r="G2564" s="933"/>
      <c r="H2564" s="934"/>
    </row>
    <row r="2565" spans="4:8" hidden="1">
      <c r="D2565" s="932"/>
      <c r="G2565" s="933"/>
      <c r="H2565" s="934"/>
    </row>
    <row r="2566" spans="4:8" hidden="1">
      <c r="D2566" s="932"/>
      <c r="G2566" s="933"/>
      <c r="H2566" s="934"/>
    </row>
    <row r="2567" spans="4:8" hidden="1">
      <c r="D2567" s="932"/>
      <c r="G2567" s="933"/>
      <c r="H2567" s="934"/>
    </row>
    <row r="2568" spans="4:8" hidden="1">
      <c r="D2568" s="932"/>
      <c r="G2568" s="933"/>
      <c r="H2568" s="934"/>
    </row>
    <row r="2569" spans="4:8" hidden="1">
      <c r="D2569" s="932"/>
      <c r="G2569" s="933"/>
      <c r="H2569" s="934"/>
    </row>
    <row r="2570" spans="4:8" hidden="1">
      <c r="D2570" s="932"/>
      <c r="G2570" s="933"/>
      <c r="H2570" s="934"/>
    </row>
    <row r="2571" spans="4:8" hidden="1">
      <c r="D2571" s="932"/>
      <c r="G2571" s="933"/>
      <c r="H2571" s="934"/>
    </row>
    <row r="2572" spans="4:8" hidden="1">
      <c r="D2572" s="932"/>
      <c r="G2572" s="933"/>
      <c r="H2572" s="934"/>
    </row>
    <row r="2573" spans="4:8" hidden="1">
      <c r="D2573" s="932"/>
      <c r="G2573" s="933"/>
      <c r="H2573" s="934"/>
    </row>
    <row r="2574" spans="4:8" hidden="1">
      <c r="D2574" s="932"/>
      <c r="G2574" s="933"/>
      <c r="H2574" s="934"/>
    </row>
    <row r="2575" spans="4:8" hidden="1">
      <c r="D2575" s="932"/>
      <c r="G2575" s="933"/>
      <c r="H2575" s="934"/>
    </row>
    <row r="2576" spans="4:8" hidden="1">
      <c r="D2576" s="932"/>
      <c r="G2576" s="933"/>
      <c r="H2576" s="934"/>
    </row>
    <row r="2577" spans="4:8" hidden="1">
      <c r="D2577" s="932"/>
      <c r="G2577" s="933"/>
      <c r="H2577" s="934"/>
    </row>
    <row r="2578" spans="4:8" hidden="1">
      <c r="D2578" s="932"/>
      <c r="G2578" s="933"/>
      <c r="H2578" s="934"/>
    </row>
    <row r="2579" spans="4:8" hidden="1">
      <c r="D2579" s="932"/>
      <c r="G2579" s="933"/>
      <c r="H2579" s="934"/>
    </row>
    <row r="2580" spans="4:8" hidden="1">
      <c r="D2580" s="932"/>
      <c r="G2580" s="933"/>
      <c r="H2580" s="934"/>
    </row>
    <row r="2581" spans="4:8" hidden="1">
      <c r="D2581" s="932"/>
      <c r="G2581" s="933"/>
      <c r="H2581" s="934"/>
    </row>
    <row r="2582" spans="4:8" hidden="1">
      <c r="D2582" s="932"/>
      <c r="G2582" s="933"/>
      <c r="H2582" s="934"/>
    </row>
    <row r="2583" spans="4:8" hidden="1">
      <c r="D2583" s="932"/>
      <c r="G2583" s="933"/>
      <c r="H2583" s="934"/>
    </row>
    <row r="2584" spans="4:8" hidden="1">
      <c r="D2584" s="932"/>
      <c r="G2584" s="933"/>
      <c r="H2584" s="934"/>
    </row>
    <row r="2585" spans="4:8" hidden="1">
      <c r="D2585" s="932"/>
      <c r="G2585" s="933"/>
      <c r="H2585" s="934"/>
    </row>
    <row r="2586" spans="4:8" hidden="1">
      <c r="D2586" s="932"/>
      <c r="G2586" s="933"/>
      <c r="H2586" s="934"/>
    </row>
    <row r="2587" spans="4:8" hidden="1">
      <c r="D2587" s="932"/>
      <c r="G2587" s="933"/>
      <c r="H2587" s="934"/>
    </row>
    <row r="2588" spans="4:8" hidden="1">
      <c r="D2588" s="932"/>
      <c r="G2588" s="933"/>
      <c r="H2588" s="934"/>
    </row>
    <row r="2589" spans="4:8" hidden="1">
      <c r="D2589" s="932"/>
      <c r="G2589" s="933"/>
      <c r="H2589" s="934"/>
    </row>
    <row r="2590" spans="4:8" hidden="1">
      <c r="D2590" s="932"/>
      <c r="G2590" s="933"/>
      <c r="H2590" s="934"/>
    </row>
    <row r="2591" spans="4:8" hidden="1">
      <c r="D2591" s="932"/>
      <c r="G2591" s="933"/>
      <c r="H2591" s="934"/>
    </row>
    <row r="2592" spans="4:8" hidden="1">
      <c r="D2592" s="932"/>
      <c r="G2592" s="933"/>
      <c r="H2592" s="934"/>
    </row>
    <row r="2593" spans="4:8" hidden="1">
      <c r="D2593" s="932"/>
      <c r="G2593" s="933"/>
      <c r="H2593" s="934"/>
    </row>
    <row r="2594" spans="4:8" hidden="1">
      <c r="D2594" s="932"/>
      <c r="G2594" s="933"/>
      <c r="H2594" s="934"/>
    </row>
    <row r="2595" spans="4:8" hidden="1">
      <c r="D2595" s="932"/>
      <c r="G2595" s="933"/>
      <c r="H2595" s="934"/>
    </row>
    <row r="2596" spans="4:8" hidden="1">
      <c r="D2596" s="932"/>
      <c r="G2596" s="933"/>
      <c r="H2596" s="934"/>
    </row>
    <row r="2597" spans="4:8" hidden="1">
      <c r="D2597" s="932"/>
      <c r="G2597" s="933"/>
      <c r="H2597" s="934"/>
    </row>
    <row r="2598" spans="4:8" hidden="1">
      <c r="D2598" s="932"/>
      <c r="G2598" s="933"/>
      <c r="H2598" s="934"/>
    </row>
    <row r="2599" spans="4:8" hidden="1">
      <c r="D2599" s="932"/>
      <c r="G2599" s="933"/>
      <c r="H2599" s="934"/>
    </row>
    <row r="2600" spans="4:8" hidden="1">
      <c r="D2600" s="932"/>
      <c r="G2600" s="933"/>
      <c r="H2600" s="934"/>
    </row>
    <row r="2601" spans="4:8" hidden="1">
      <c r="D2601" s="932"/>
      <c r="G2601" s="933"/>
      <c r="H2601" s="934"/>
    </row>
    <row r="2602" spans="4:8" hidden="1">
      <c r="D2602" s="932"/>
      <c r="G2602" s="933"/>
      <c r="H2602" s="934"/>
    </row>
    <row r="2603" spans="4:8" hidden="1">
      <c r="D2603" s="932"/>
      <c r="G2603" s="933"/>
      <c r="H2603" s="934"/>
    </row>
    <row r="2604" spans="4:8" hidden="1">
      <c r="D2604" s="932"/>
      <c r="G2604" s="933"/>
      <c r="H2604" s="934"/>
    </row>
    <row r="2605" spans="4:8" hidden="1">
      <c r="D2605" s="932"/>
      <c r="G2605" s="933"/>
      <c r="H2605" s="934"/>
    </row>
    <row r="2606" spans="4:8" hidden="1">
      <c r="D2606" s="932"/>
      <c r="G2606" s="933"/>
      <c r="H2606" s="934"/>
    </row>
    <row r="2607" spans="4:8" hidden="1">
      <c r="D2607" s="932"/>
      <c r="G2607" s="933"/>
      <c r="H2607" s="934"/>
    </row>
    <row r="2608" spans="4:8" hidden="1">
      <c r="D2608" s="932"/>
      <c r="G2608" s="933"/>
      <c r="H2608" s="934"/>
    </row>
    <row r="2609" spans="4:8" hidden="1">
      <c r="D2609" s="932"/>
      <c r="G2609" s="933"/>
      <c r="H2609" s="934"/>
    </row>
    <row r="2610" spans="4:8" hidden="1">
      <c r="D2610" s="932"/>
      <c r="G2610" s="933"/>
      <c r="H2610" s="934"/>
    </row>
    <row r="2611" spans="4:8" hidden="1">
      <c r="D2611" s="932"/>
      <c r="G2611" s="933"/>
      <c r="H2611" s="934"/>
    </row>
    <row r="2612" spans="4:8" hidden="1">
      <c r="D2612" s="932"/>
      <c r="G2612" s="933"/>
      <c r="H2612" s="934"/>
    </row>
    <row r="2613" spans="4:8" hidden="1">
      <c r="D2613" s="932"/>
      <c r="G2613" s="933"/>
      <c r="H2613" s="934"/>
    </row>
    <row r="2614" spans="4:8" hidden="1">
      <c r="D2614" s="932"/>
      <c r="G2614" s="933"/>
      <c r="H2614" s="934"/>
    </row>
    <row r="2615" spans="4:8" hidden="1">
      <c r="D2615" s="932"/>
      <c r="G2615" s="933"/>
      <c r="H2615" s="934"/>
    </row>
    <row r="2616" spans="4:8" hidden="1">
      <c r="D2616" s="932"/>
      <c r="G2616" s="933"/>
      <c r="H2616" s="934"/>
    </row>
    <row r="2617" spans="4:8" hidden="1">
      <c r="D2617" s="932"/>
      <c r="G2617" s="933"/>
      <c r="H2617" s="934"/>
    </row>
    <row r="2618" spans="4:8" hidden="1">
      <c r="D2618" s="932"/>
      <c r="G2618" s="933"/>
      <c r="H2618" s="934"/>
    </row>
    <row r="2619" spans="4:8" hidden="1">
      <c r="D2619" s="932"/>
      <c r="G2619" s="933"/>
      <c r="H2619" s="934"/>
    </row>
    <row r="2620" spans="4:8" hidden="1">
      <c r="D2620" s="932"/>
      <c r="G2620" s="933"/>
      <c r="H2620" s="934"/>
    </row>
    <row r="2621" spans="4:8" hidden="1">
      <c r="D2621" s="932"/>
      <c r="G2621" s="933"/>
      <c r="H2621" s="934"/>
    </row>
    <row r="2622" spans="4:8" hidden="1">
      <c r="D2622" s="932"/>
      <c r="G2622" s="933"/>
      <c r="H2622" s="934"/>
    </row>
    <row r="2623" spans="4:8" hidden="1">
      <c r="D2623" s="932"/>
      <c r="G2623" s="933"/>
      <c r="H2623" s="934"/>
    </row>
    <row r="2624" spans="4:8" hidden="1">
      <c r="D2624" s="932"/>
      <c r="G2624" s="933"/>
      <c r="H2624" s="934"/>
    </row>
    <row r="2625" spans="1:8" hidden="1">
      <c r="D2625" s="932"/>
      <c r="G2625" s="933"/>
      <c r="H2625" s="934"/>
    </row>
    <row r="2626" spans="1:8" hidden="1">
      <c r="D2626" s="932"/>
      <c r="G2626" s="933"/>
      <c r="H2626" s="934"/>
    </row>
    <row r="2627" spans="1:8" hidden="1">
      <c r="D2627" s="932"/>
      <c r="G2627" s="933"/>
      <c r="H2627" s="934"/>
    </row>
    <row r="2628" spans="1:8" hidden="1">
      <c r="D2628" s="932"/>
      <c r="G2628" s="933"/>
      <c r="H2628" s="934"/>
    </row>
    <row r="2629" spans="1:8" hidden="1">
      <c r="D2629" s="932"/>
      <c r="G2629" s="933"/>
      <c r="H2629" s="934"/>
    </row>
    <row r="2630" spans="1:8" hidden="1">
      <c r="D2630" s="932"/>
      <c r="G2630" s="933"/>
      <c r="H2630" s="934"/>
    </row>
    <row r="2631" spans="1:8" hidden="1">
      <c r="D2631" s="932"/>
      <c r="G2631" s="933"/>
      <c r="H2631" s="934"/>
    </row>
    <row r="2632" spans="1:8" hidden="1">
      <c r="D2632" s="932"/>
      <c r="G2632" s="933"/>
      <c r="H2632" s="934"/>
    </row>
    <row r="2633" spans="1:8" hidden="1">
      <c r="D2633" s="932"/>
      <c r="G2633" s="933"/>
      <c r="H2633" s="934"/>
    </row>
    <row r="2634" spans="1:8" hidden="1">
      <c r="D2634" s="932"/>
      <c r="G2634" s="933"/>
      <c r="H2634" s="934"/>
    </row>
    <row r="2635" spans="1:8" hidden="1">
      <c r="A2635" s="930"/>
      <c r="B2635" s="931"/>
      <c r="D2635" s="932"/>
      <c r="G2635" s="933"/>
      <c r="H2635" s="934"/>
    </row>
    <row r="2636" spans="1:8" hidden="1">
      <c r="D2636" s="932"/>
      <c r="G2636" s="933"/>
      <c r="H2636" s="934"/>
    </row>
    <row r="2637" spans="1:8" hidden="1">
      <c r="D2637" s="932"/>
      <c r="G2637" s="933"/>
      <c r="H2637" s="934"/>
    </row>
    <row r="2638" spans="1:8" hidden="1">
      <c r="D2638" s="932"/>
      <c r="G2638" s="933"/>
      <c r="H2638" s="934"/>
    </row>
    <row r="2639" spans="1:8" hidden="1">
      <c r="A2639" s="930"/>
      <c r="B2639" s="931"/>
      <c r="D2639" s="932"/>
      <c r="G2639" s="933"/>
      <c r="H2639" s="934"/>
    </row>
    <row r="2640" spans="1:8" hidden="1">
      <c r="A2640" s="930"/>
      <c r="B2640" s="931"/>
      <c r="D2640" s="932"/>
      <c r="G2640" s="933"/>
      <c r="H2640" s="934"/>
    </row>
    <row r="2641" spans="1:8" hidden="1">
      <c r="D2641" s="932"/>
      <c r="G2641" s="933"/>
      <c r="H2641" s="934"/>
    </row>
    <row r="2642" spans="1:8" hidden="1">
      <c r="A2642" s="936"/>
      <c r="B2642" s="937"/>
      <c r="D2642" s="932"/>
      <c r="G2642" s="933"/>
      <c r="H2642" s="934"/>
    </row>
    <row r="2643" spans="1:8" hidden="1">
      <c r="A2643" s="930"/>
      <c r="B2643" s="931"/>
      <c r="D2643" s="932"/>
      <c r="G2643" s="933"/>
      <c r="H2643" s="934"/>
    </row>
    <row r="2644" spans="1:8" hidden="1">
      <c r="D2644" s="932"/>
      <c r="G2644" s="933"/>
      <c r="H2644" s="934"/>
    </row>
    <row r="2645" spans="1:8" hidden="1">
      <c r="D2645" s="932"/>
      <c r="G2645" s="933"/>
      <c r="H2645" s="934"/>
    </row>
    <row r="2646" spans="1:8" hidden="1">
      <c r="D2646" s="932"/>
      <c r="G2646" s="933"/>
      <c r="H2646" s="934"/>
    </row>
    <row r="2647" spans="1:8" hidden="1">
      <c r="D2647" s="932"/>
      <c r="G2647" s="933"/>
      <c r="H2647" s="934"/>
    </row>
    <row r="2648" spans="1:8" hidden="1">
      <c r="D2648" s="932"/>
      <c r="G2648" s="933"/>
      <c r="H2648" s="934"/>
    </row>
    <row r="2649" spans="1:8" hidden="1">
      <c r="D2649" s="932"/>
      <c r="G2649" s="933"/>
      <c r="H2649" s="934"/>
    </row>
    <row r="2650" spans="1:8" hidden="1">
      <c r="D2650" s="932"/>
      <c r="G2650" s="933"/>
      <c r="H2650" s="934"/>
    </row>
    <row r="2651" spans="1:8" hidden="1">
      <c r="D2651" s="932"/>
      <c r="G2651" s="933"/>
      <c r="H2651" s="934"/>
    </row>
    <row r="2652" spans="1:8" hidden="1">
      <c r="D2652" s="932"/>
      <c r="G2652" s="933"/>
      <c r="H2652" s="934"/>
    </row>
    <row r="2653" spans="1:8" hidden="1">
      <c r="A2653" s="930"/>
      <c r="B2653" s="931"/>
      <c r="D2653" s="932"/>
      <c r="G2653" s="933"/>
      <c r="H2653" s="934"/>
    </row>
    <row r="2654" spans="1:8" hidden="1">
      <c r="D2654" s="932"/>
      <c r="G2654" s="933"/>
      <c r="H2654" s="934"/>
    </row>
    <row r="2655" spans="1:8" hidden="1">
      <c r="D2655" s="932"/>
      <c r="G2655" s="933"/>
      <c r="H2655" s="934"/>
    </row>
    <row r="2656" spans="1:8" hidden="1">
      <c r="D2656" s="932"/>
      <c r="G2656" s="933"/>
      <c r="H2656" s="934"/>
    </row>
    <row r="2657" spans="1:8" hidden="1">
      <c r="D2657" s="932"/>
      <c r="G2657" s="933"/>
      <c r="H2657" s="934"/>
    </row>
    <row r="2658" spans="1:8" hidden="1">
      <c r="D2658" s="932"/>
      <c r="G2658" s="933"/>
      <c r="H2658" s="934"/>
    </row>
    <row r="2659" spans="1:8" hidden="1">
      <c r="D2659" s="932"/>
      <c r="G2659" s="933"/>
      <c r="H2659" s="934"/>
    </row>
    <row r="2660" spans="1:8" hidden="1">
      <c r="D2660" s="932"/>
      <c r="G2660" s="933"/>
      <c r="H2660" s="934"/>
    </row>
    <row r="2661" spans="1:8" hidden="1">
      <c r="D2661" s="932"/>
      <c r="G2661" s="933"/>
      <c r="H2661" s="934"/>
    </row>
    <row r="2662" spans="1:8" hidden="1">
      <c r="D2662" s="932"/>
      <c r="G2662" s="933"/>
      <c r="H2662" s="934"/>
    </row>
    <row r="2663" spans="1:8" hidden="1">
      <c r="D2663" s="932"/>
      <c r="G2663" s="933"/>
      <c r="H2663" s="934"/>
    </row>
    <row r="2664" spans="1:8" hidden="1">
      <c r="D2664" s="932"/>
      <c r="G2664" s="933"/>
      <c r="H2664" s="934"/>
    </row>
    <row r="2665" spans="1:8" hidden="1">
      <c r="D2665" s="932"/>
      <c r="G2665" s="933"/>
      <c r="H2665" s="934"/>
    </row>
    <row r="2666" spans="1:8" hidden="1">
      <c r="A2666" s="936"/>
      <c r="B2666" s="937"/>
      <c r="C2666" s="938"/>
      <c r="D2666" s="932"/>
      <c r="G2666" s="933"/>
      <c r="H2666" s="934"/>
    </row>
    <row r="2667" spans="1:8" hidden="1">
      <c r="A2667" s="942"/>
      <c r="B2667" s="941"/>
      <c r="D2667" s="932"/>
      <c r="G2667" s="933"/>
      <c r="H2667" s="934"/>
    </row>
    <row r="2668" spans="1:8" hidden="1">
      <c r="D2668" s="932"/>
      <c r="G2668" s="933"/>
      <c r="H2668" s="934"/>
    </row>
    <row r="2669" spans="1:8" hidden="1">
      <c r="A2669" s="930"/>
      <c r="B2669" s="945"/>
      <c r="D2669" s="932"/>
      <c r="G2669" s="933"/>
      <c r="H2669" s="934"/>
    </row>
    <row r="2670" spans="1:8" hidden="1">
      <c r="A2670" s="930"/>
      <c r="B2670" s="931"/>
      <c r="D2670" s="932"/>
      <c r="G2670" s="933"/>
      <c r="H2670" s="934"/>
    </row>
    <row r="2671" spans="1:8" hidden="1">
      <c r="D2671" s="932"/>
      <c r="G2671" s="933"/>
      <c r="H2671" s="934"/>
    </row>
    <row r="2672" spans="1:8" hidden="1">
      <c r="D2672" s="932"/>
      <c r="G2672" s="933"/>
      <c r="H2672" s="934"/>
    </row>
    <row r="2673" spans="1:8" hidden="1">
      <c r="A2673" s="930"/>
      <c r="B2673" s="931"/>
      <c r="D2673" s="932"/>
      <c r="G2673" s="933"/>
      <c r="H2673" s="934"/>
    </row>
    <row r="2674" spans="1:8" hidden="1">
      <c r="A2674" s="930"/>
      <c r="B2674" s="931"/>
      <c r="D2674" s="932"/>
      <c r="G2674" s="933"/>
      <c r="H2674" s="934"/>
    </row>
    <row r="2675" spans="1:8" hidden="1">
      <c r="D2675" s="932"/>
      <c r="G2675" s="933"/>
      <c r="H2675" s="934"/>
    </row>
    <row r="2676" spans="1:8" hidden="1">
      <c r="A2676" s="930"/>
      <c r="B2676" s="931"/>
      <c r="D2676" s="932"/>
      <c r="G2676" s="933"/>
      <c r="H2676" s="934"/>
    </row>
    <row r="2677" spans="1:8" hidden="1">
      <c r="D2677" s="932"/>
      <c r="G2677" s="933"/>
      <c r="H2677" s="934"/>
    </row>
    <row r="2678" spans="1:8" hidden="1">
      <c r="D2678" s="932"/>
      <c r="G2678" s="933"/>
      <c r="H2678" s="934"/>
    </row>
    <row r="2679" spans="1:8" hidden="1">
      <c r="A2679" s="930"/>
      <c r="B2679" s="931"/>
      <c r="D2679" s="932"/>
      <c r="G2679" s="933"/>
      <c r="H2679" s="934"/>
    </row>
    <row r="2680" spans="1:8" hidden="1">
      <c r="A2680" s="930"/>
      <c r="B2680" s="931"/>
      <c r="D2680" s="932"/>
      <c r="G2680" s="933"/>
      <c r="H2680" s="934"/>
    </row>
    <row r="2681" spans="1:8" hidden="1">
      <c r="D2681" s="932"/>
      <c r="G2681" s="933"/>
      <c r="H2681" s="934"/>
    </row>
    <row r="2682" spans="1:8" hidden="1">
      <c r="D2682" s="932"/>
      <c r="G2682" s="933"/>
      <c r="H2682" s="934"/>
    </row>
    <row r="2683" spans="1:8" hidden="1">
      <c r="D2683" s="932"/>
      <c r="G2683" s="933"/>
      <c r="H2683" s="934"/>
    </row>
    <row r="2684" spans="1:8" hidden="1">
      <c r="D2684" s="932"/>
      <c r="G2684" s="933"/>
      <c r="H2684" s="934"/>
    </row>
    <row r="2685" spans="1:8" hidden="1">
      <c r="D2685" s="932"/>
      <c r="G2685" s="933"/>
      <c r="H2685" s="934"/>
    </row>
    <row r="2686" spans="1:8" hidden="1">
      <c r="D2686" s="932"/>
      <c r="G2686" s="933"/>
      <c r="H2686" s="934"/>
    </row>
    <row r="2687" spans="1:8" hidden="1">
      <c r="D2687" s="932"/>
      <c r="G2687" s="933"/>
      <c r="H2687" s="934"/>
    </row>
    <row r="2688" spans="1:8" hidden="1">
      <c r="D2688" s="932"/>
      <c r="G2688" s="933"/>
      <c r="H2688" s="934"/>
    </row>
    <row r="2689" spans="1:8" hidden="1">
      <c r="D2689" s="932"/>
      <c r="G2689" s="933"/>
      <c r="H2689" s="934"/>
    </row>
    <row r="2690" spans="1:8" hidden="1">
      <c r="D2690" s="932"/>
      <c r="G2690" s="933"/>
      <c r="H2690" s="934"/>
    </row>
    <row r="2691" spans="1:8" hidden="1">
      <c r="D2691" s="932"/>
      <c r="G2691" s="933"/>
      <c r="H2691" s="934"/>
    </row>
    <row r="2692" spans="1:8" hidden="1">
      <c r="D2692" s="932"/>
      <c r="G2692" s="933"/>
      <c r="H2692" s="934"/>
    </row>
    <row r="2693" spans="1:8" hidden="1">
      <c r="D2693" s="932"/>
      <c r="G2693" s="933"/>
      <c r="H2693" s="934"/>
    </row>
    <row r="2694" spans="1:8" hidden="1">
      <c r="D2694" s="932"/>
      <c r="G2694" s="933"/>
      <c r="H2694" s="934"/>
    </row>
    <row r="2695" spans="1:8" hidden="1">
      <c r="D2695" s="932"/>
      <c r="G2695" s="933"/>
      <c r="H2695" s="934"/>
    </row>
    <row r="2696" spans="1:8" hidden="1">
      <c r="D2696" s="932"/>
      <c r="G2696" s="933"/>
      <c r="H2696" s="934"/>
    </row>
    <row r="2697" spans="1:8" hidden="1">
      <c r="A2697" s="939"/>
      <c r="B2697" s="941"/>
      <c r="D2697" s="932"/>
      <c r="G2697" s="933"/>
      <c r="H2697" s="934"/>
    </row>
    <row r="2698" spans="1:8" hidden="1">
      <c r="D2698" s="932"/>
      <c r="G2698" s="933"/>
      <c r="H2698" s="934"/>
    </row>
    <row r="2699" spans="1:8" hidden="1">
      <c r="D2699" s="932"/>
      <c r="G2699" s="933"/>
      <c r="H2699" s="934"/>
    </row>
    <row r="2700" spans="1:8" hidden="1">
      <c r="D2700" s="932"/>
      <c r="G2700" s="933"/>
      <c r="H2700" s="934"/>
    </row>
    <row r="2701" spans="1:8" hidden="1">
      <c r="D2701" s="932"/>
      <c r="G2701" s="933"/>
      <c r="H2701" s="934"/>
    </row>
    <row r="2702" spans="1:8" hidden="1">
      <c r="D2702" s="932"/>
      <c r="G2702" s="933"/>
      <c r="H2702" s="934"/>
    </row>
    <row r="2703" spans="1:8" hidden="1">
      <c r="D2703" s="932"/>
      <c r="G2703" s="933"/>
      <c r="H2703" s="934"/>
    </row>
    <row r="2704" spans="1:8" hidden="1">
      <c r="D2704" s="932"/>
      <c r="G2704" s="933"/>
      <c r="H2704" s="934"/>
    </row>
    <row r="2705" spans="1:8" hidden="1">
      <c r="D2705" s="932"/>
      <c r="G2705" s="933"/>
      <c r="H2705" s="934"/>
    </row>
    <row r="2706" spans="1:8" hidden="1">
      <c r="D2706" s="932"/>
      <c r="G2706" s="933"/>
      <c r="H2706" s="934"/>
    </row>
    <row r="2707" spans="1:8" hidden="1">
      <c r="D2707" s="932"/>
      <c r="G2707" s="933"/>
      <c r="H2707" s="934"/>
    </row>
    <row r="2708" spans="1:8" hidden="1">
      <c r="D2708" s="932"/>
      <c r="G2708" s="933"/>
      <c r="H2708" s="934"/>
    </row>
    <row r="2709" spans="1:8" hidden="1">
      <c r="D2709" s="932"/>
      <c r="G2709" s="933"/>
      <c r="H2709" s="934"/>
    </row>
    <row r="2710" spans="1:8" hidden="1">
      <c r="D2710" s="932"/>
      <c r="G2710" s="933"/>
      <c r="H2710" s="934"/>
    </row>
    <row r="2711" spans="1:8" hidden="1">
      <c r="D2711" s="932"/>
      <c r="G2711" s="933"/>
      <c r="H2711" s="934"/>
    </row>
    <row r="2712" spans="1:8" hidden="1">
      <c r="D2712" s="932"/>
      <c r="G2712" s="933"/>
      <c r="H2712" s="934"/>
    </row>
    <row r="2713" spans="1:8" hidden="1">
      <c r="D2713" s="932"/>
      <c r="G2713" s="933"/>
      <c r="H2713" s="934"/>
    </row>
    <row r="2714" spans="1:8" hidden="1">
      <c r="D2714" s="932"/>
      <c r="G2714" s="933"/>
      <c r="H2714" s="934"/>
    </row>
    <row r="2715" spans="1:8" hidden="1">
      <c r="A2715" s="939"/>
      <c r="B2715" s="941"/>
      <c r="D2715" s="932"/>
      <c r="G2715" s="933"/>
      <c r="H2715" s="934"/>
    </row>
    <row r="2716" spans="1:8" hidden="1">
      <c r="D2716" s="932"/>
      <c r="G2716" s="933"/>
      <c r="H2716" s="934"/>
    </row>
    <row r="2717" spans="1:8" hidden="1">
      <c r="A2717" s="930"/>
      <c r="B2717" s="931"/>
      <c r="D2717" s="932"/>
      <c r="G2717" s="933"/>
      <c r="H2717" s="934"/>
    </row>
    <row r="2718" spans="1:8" hidden="1">
      <c r="D2718" s="932"/>
      <c r="G2718" s="933"/>
      <c r="H2718" s="934"/>
    </row>
    <row r="2719" spans="1:8" hidden="1">
      <c r="D2719" s="932"/>
      <c r="G2719" s="933"/>
      <c r="H2719" s="934"/>
    </row>
    <row r="2720" spans="1:8" hidden="1">
      <c r="A2720" s="930"/>
      <c r="B2720" s="931"/>
      <c r="D2720" s="932"/>
      <c r="G2720" s="933"/>
      <c r="H2720" s="934"/>
    </row>
    <row r="2721" spans="1:8" hidden="1">
      <c r="D2721" s="932"/>
      <c r="G2721" s="933"/>
      <c r="H2721" s="934"/>
    </row>
    <row r="2722" spans="1:8" hidden="1">
      <c r="D2722" s="932"/>
      <c r="G2722" s="933"/>
      <c r="H2722" s="934"/>
    </row>
    <row r="2723" spans="1:8" hidden="1">
      <c r="D2723" s="932"/>
      <c r="G2723" s="933"/>
      <c r="H2723" s="934"/>
    </row>
    <row r="2724" spans="1:8" hidden="1">
      <c r="A2724" s="936"/>
      <c r="B2724" s="937"/>
      <c r="D2724" s="932"/>
      <c r="G2724" s="933"/>
      <c r="H2724" s="934"/>
    </row>
    <row r="2725" spans="1:8" hidden="1">
      <c r="D2725" s="932"/>
      <c r="G2725" s="933"/>
      <c r="H2725" s="934"/>
    </row>
    <row r="2726" spans="1:8" hidden="1">
      <c r="D2726" s="932"/>
      <c r="G2726" s="933"/>
      <c r="H2726" s="934"/>
    </row>
    <row r="2727" spans="1:8" hidden="1">
      <c r="D2727" s="932"/>
      <c r="G2727" s="933"/>
      <c r="H2727" s="934"/>
    </row>
    <row r="2728" spans="1:8" hidden="1">
      <c r="D2728" s="932"/>
      <c r="G2728" s="933"/>
      <c r="H2728" s="934"/>
    </row>
    <row r="2729" spans="1:8" hidden="1">
      <c r="D2729" s="932"/>
      <c r="G2729" s="933"/>
      <c r="H2729" s="934"/>
    </row>
    <row r="2730" spans="1:8" hidden="1">
      <c r="D2730" s="932"/>
      <c r="G2730" s="933"/>
      <c r="H2730" s="934"/>
    </row>
    <row r="2731" spans="1:8" hidden="1">
      <c r="D2731" s="932"/>
      <c r="G2731" s="933"/>
      <c r="H2731" s="934"/>
    </row>
    <row r="2732" spans="1:8" hidden="1">
      <c r="D2732" s="932"/>
      <c r="G2732" s="933"/>
      <c r="H2732" s="934"/>
    </row>
    <row r="2733" spans="1:8" hidden="1">
      <c r="A2733" s="944"/>
      <c r="B2733" s="945"/>
      <c r="D2733" s="932"/>
      <c r="G2733" s="933"/>
      <c r="H2733" s="934"/>
    </row>
    <row r="2734" spans="1:8" hidden="1">
      <c r="D2734" s="932"/>
      <c r="G2734" s="933"/>
      <c r="H2734" s="934"/>
    </row>
    <row r="2735" spans="1:8" hidden="1">
      <c r="D2735" s="932"/>
      <c r="G2735" s="933"/>
      <c r="H2735" s="934"/>
    </row>
    <row r="2736" spans="1:8" hidden="1">
      <c r="A2736" s="944"/>
      <c r="B2736" s="945"/>
      <c r="D2736" s="932"/>
      <c r="G2736" s="933"/>
      <c r="H2736" s="934"/>
    </row>
    <row r="2737" spans="1:8" hidden="1">
      <c r="D2737" s="932"/>
      <c r="G2737" s="933"/>
      <c r="H2737" s="934"/>
    </row>
    <row r="2738" spans="1:8" hidden="1">
      <c r="D2738" s="932"/>
      <c r="G2738" s="933"/>
      <c r="H2738" s="934"/>
    </row>
    <row r="2739" spans="1:8" hidden="1">
      <c r="D2739" s="932"/>
      <c r="G2739" s="933"/>
      <c r="H2739" s="934"/>
    </row>
    <row r="2740" spans="1:8" hidden="1">
      <c r="D2740" s="932"/>
      <c r="G2740" s="933"/>
      <c r="H2740" s="934"/>
    </row>
    <row r="2741" spans="1:8" hidden="1">
      <c r="D2741" s="932"/>
      <c r="G2741" s="933"/>
      <c r="H2741" s="934"/>
    </row>
    <row r="2742" spans="1:8" ht="15" hidden="1">
      <c r="A2742" s="58"/>
      <c r="B2742"/>
      <c r="D2742" s="932"/>
      <c r="G2742" s="933"/>
      <c r="H2742" s="934"/>
    </row>
    <row r="2743" spans="1:8" ht="15" hidden="1">
      <c r="A2743" s="58"/>
      <c r="B2743"/>
      <c r="D2743" s="932"/>
      <c r="G2743" s="933"/>
      <c r="H2743" s="934"/>
    </row>
    <row r="2744" spans="1:8" hidden="1">
      <c r="D2744" s="932"/>
      <c r="G2744" s="933"/>
      <c r="H2744" s="934"/>
    </row>
    <row r="2745" spans="1:8" hidden="1">
      <c r="D2745" s="932"/>
      <c r="G2745" s="933"/>
      <c r="H2745" s="934"/>
    </row>
    <row r="2746" spans="1:8" hidden="1">
      <c r="D2746" s="932"/>
      <c r="G2746" s="933"/>
      <c r="H2746" s="934"/>
    </row>
    <row r="2747" spans="1:8" hidden="1">
      <c r="G2747" s="933"/>
      <c r="H2747" s="934"/>
    </row>
    <row r="2748" spans="1:8" hidden="1">
      <c r="D2748" s="932"/>
      <c r="G2748" s="933"/>
      <c r="H2748" s="934"/>
    </row>
    <row r="2749" spans="1:8" hidden="1">
      <c r="D2749" s="932"/>
      <c r="G2749" s="933"/>
      <c r="H2749" s="934"/>
    </row>
    <row r="2750" spans="1:8" hidden="1">
      <c r="D2750" s="932"/>
      <c r="G2750" s="933"/>
      <c r="H2750" s="934"/>
    </row>
    <row r="2751" spans="1:8" hidden="1">
      <c r="D2751" s="932"/>
      <c r="G2751" s="933"/>
      <c r="H2751" s="934"/>
    </row>
    <row r="2752" spans="1:8" hidden="1">
      <c r="D2752" s="932"/>
      <c r="G2752" s="933"/>
      <c r="H2752" s="934"/>
    </row>
    <row r="2753" spans="1:8" hidden="1">
      <c r="D2753" s="932"/>
      <c r="G2753" s="933"/>
      <c r="H2753" s="934"/>
    </row>
    <row r="2754" spans="1:8" hidden="1">
      <c r="A2754" s="930"/>
      <c r="B2754" s="931"/>
      <c r="D2754" s="932"/>
      <c r="G2754" s="933"/>
      <c r="H2754" s="934"/>
    </row>
    <row r="2755" spans="1:8" hidden="1">
      <c r="A2755" s="936"/>
      <c r="B2755" s="937"/>
      <c r="D2755" s="932"/>
      <c r="G2755" s="933"/>
      <c r="H2755" s="934"/>
    </row>
    <row r="2756" spans="1:8" hidden="1">
      <c r="D2756" s="932"/>
      <c r="G2756" s="933"/>
      <c r="H2756" s="934"/>
    </row>
    <row r="2757" spans="1:8" hidden="1">
      <c r="A2757" s="930"/>
      <c r="B2757" s="931"/>
      <c r="C2757" s="938"/>
      <c r="D2757" s="932"/>
      <c r="G2757" s="933"/>
      <c r="H2757" s="934"/>
    </row>
    <row r="2758" spans="1:8" hidden="1">
      <c r="A2758" s="930"/>
      <c r="B2758" s="931"/>
      <c r="C2758" s="938"/>
      <c r="D2758" s="932"/>
      <c r="G2758" s="933"/>
      <c r="H2758" s="934"/>
    </row>
    <row r="2759" spans="1:8" hidden="1">
      <c r="D2759" s="932"/>
      <c r="G2759" s="933"/>
      <c r="H2759" s="934"/>
    </row>
    <row r="2760" spans="1:8" hidden="1">
      <c r="D2760" s="932"/>
      <c r="G2760" s="933"/>
      <c r="H2760" s="934"/>
    </row>
    <row r="2761" spans="1:8" hidden="1">
      <c r="D2761" s="932"/>
      <c r="G2761" s="933"/>
      <c r="H2761" s="934"/>
    </row>
    <row r="2762" spans="1:8" hidden="1">
      <c r="D2762" s="932"/>
      <c r="G2762" s="933"/>
      <c r="H2762" s="934"/>
    </row>
    <row r="2763" spans="1:8" hidden="1">
      <c r="D2763" s="932"/>
      <c r="G2763" s="933"/>
      <c r="H2763" s="934"/>
    </row>
    <row r="2764" spans="1:8" hidden="1">
      <c r="D2764" s="932"/>
      <c r="G2764" s="933"/>
      <c r="H2764" s="934"/>
    </row>
    <row r="2765" spans="1:8" hidden="1">
      <c r="D2765" s="932"/>
      <c r="G2765" s="933"/>
      <c r="H2765" s="934"/>
    </row>
    <row r="2766" spans="1:8" hidden="1">
      <c r="D2766" s="932"/>
      <c r="G2766" s="933"/>
      <c r="H2766" s="934"/>
    </row>
    <row r="2767" spans="1:8" hidden="1">
      <c r="D2767" s="932"/>
      <c r="G2767" s="933"/>
      <c r="H2767" s="934"/>
    </row>
    <row r="2768" spans="1:8" hidden="1">
      <c r="D2768" s="932"/>
      <c r="G2768" s="933"/>
      <c r="H2768" s="934"/>
    </row>
    <row r="2769" spans="1:8" hidden="1">
      <c r="D2769" s="932"/>
      <c r="G2769" s="933"/>
      <c r="H2769" s="934"/>
    </row>
    <row r="2770" spans="1:8" hidden="1">
      <c r="D2770" s="932"/>
      <c r="G2770" s="933"/>
      <c r="H2770" s="934"/>
    </row>
    <row r="2771" spans="1:8" hidden="1">
      <c r="A2771" s="944"/>
      <c r="B2771" s="945"/>
      <c r="D2771" s="932"/>
      <c r="G2771" s="933"/>
      <c r="H2771" s="934"/>
    </row>
    <row r="2772" spans="1:8" hidden="1">
      <c r="A2772" s="944"/>
      <c r="B2772" s="945"/>
      <c r="D2772" s="932"/>
      <c r="G2772" s="933"/>
      <c r="H2772" s="934"/>
    </row>
    <row r="2773" spans="1:8" hidden="1">
      <c r="D2773" s="932"/>
      <c r="G2773" s="933"/>
      <c r="H2773" s="934"/>
    </row>
    <row r="2774" spans="1:8" hidden="1">
      <c r="A2774" s="944"/>
      <c r="B2774" s="945"/>
      <c r="D2774" s="932"/>
      <c r="G2774" s="933"/>
      <c r="H2774" s="934"/>
    </row>
    <row r="2775" spans="1:8" hidden="1">
      <c r="D2775" s="932"/>
      <c r="G2775" s="933"/>
      <c r="H2775" s="934"/>
    </row>
    <row r="2776" spans="1:8" hidden="1">
      <c r="A2776" s="930"/>
      <c r="B2776" s="931"/>
      <c r="C2776" s="938"/>
      <c r="D2776" s="932"/>
      <c r="G2776" s="933"/>
      <c r="H2776" s="934"/>
    </row>
    <row r="2777" spans="1:8" hidden="1">
      <c r="A2777" s="944"/>
      <c r="B2777" s="945"/>
      <c r="D2777" s="932"/>
      <c r="G2777" s="933"/>
      <c r="H2777" s="934"/>
    </row>
    <row r="2778" spans="1:8" hidden="1">
      <c r="A2778" s="930"/>
      <c r="B2778" s="931"/>
      <c r="C2778" s="938"/>
      <c r="D2778" s="932"/>
      <c r="G2778" s="933"/>
      <c r="H2778" s="934"/>
    </row>
    <row r="2779" spans="1:8" hidden="1">
      <c r="A2779" s="930"/>
      <c r="B2779" s="931"/>
      <c r="C2779" s="938"/>
      <c r="D2779" s="932"/>
      <c r="G2779" s="933"/>
      <c r="H2779" s="934"/>
    </row>
    <row r="2780" spans="1:8" hidden="1">
      <c r="A2780" s="930"/>
      <c r="B2780" s="931"/>
      <c r="C2780" s="938"/>
      <c r="D2780" s="932"/>
      <c r="G2780" s="933"/>
      <c r="H2780" s="934"/>
    </row>
    <row r="2781" spans="1:8" hidden="1">
      <c r="A2781" s="930"/>
      <c r="B2781" s="931"/>
      <c r="D2781" s="932"/>
      <c r="G2781" s="933"/>
      <c r="H2781" s="934"/>
    </row>
    <row r="2782" spans="1:8" hidden="1">
      <c r="D2782" s="932"/>
      <c r="G2782" s="933"/>
      <c r="H2782" s="934"/>
    </row>
    <row r="2783" spans="1:8" hidden="1">
      <c r="D2783" s="932"/>
      <c r="G2783" s="933"/>
      <c r="H2783" s="934"/>
    </row>
    <row r="2784" spans="1:8" hidden="1">
      <c r="D2784" s="932"/>
      <c r="G2784" s="933"/>
      <c r="H2784" s="934"/>
    </row>
    <row r="2785" spans="1:9" hidden="1">
      <c r="D2785" s="932"/>
      <c r="G2785" s="933"/>
      <c r="H2785" s="934"/>
    </row>
    <row r="2786" spans="1:9" hidden="1">
      <c r="D2786" s="932"/>
      <c r="G2786" s="933"/>
      <c r="H2786" s="934"/>
    </row>
    <row r="2787" spans="1:9" hidden="1">
      <c r="D2787" s="932"/>
      <c r="G2787" s="933"/>
      <c r="H2787" s="934"/>
    </row>
    <row r="2788" spans="1:9" hidden="1">
      <c r="D2788" s="932"/>
      <c r="G2788" s="933"/>
      <c r="H2788" s="934"/>
    </row>
    <row r="2789" spans="1:9" hidden="1">
      <c r="D2789" s="932"/>
      <c r="G2789" s="933"/>
      <c r="H2789" s="934"/>
    </row>
    <row r="2790" spans="1:9" hidden="1">
      <c r="D2790" s="932"/>
      <c r="G2790" s="933"/>
      <c r="H2790" s="934"/>
    </row>
    <row r="2791" spans="1:9" hidden="1">
      <c r="D2791" s="932"/>
      <c r="G2791" s="933"/>
      <c r="H2791" s="934"/>
    </row>
    <row r="2792" spans="1:9" hidden="1">
      <c r="D2792" s="932"/>
      <c r="G2792" s="933"/>
      <c r="H2792" s="934"/>
    </row>
    <row r="2793" spans="1:9" hidden="1">
      <c r="D2793" s="932"/>
      <c r="G2793" s="933"/>
      <c r="H2793" s="934"/>
    </row>
    <row r="2794" spans="1:9" s="168" customFormat="1" hidden="1">
      <c r="A2794" s="167"/>
      <c r="B2794" s="167"/>
      <c r="C2794" s="932"/>
      <c r="D2794" s="932"/>
      <c r="E2794" s="167"/>
      <c r="F2794" s="167"/>
      <c r="G2794" s="933"/>
      <c r="H2794" s="934"/>
      <c r="I2794" s="167"/>
    </row>
    <row r="2795" spans="1:9" s="168" customFormat="1" hidden="1">
      <c r="A2795" s="167"/>
      <c r="B2795" s="167"/>
      <c r="C2795" s="932"/>
      <c r="D2795" s="932"/>
      <c r="E2795" s="167"/>
      <c r="F2795" s="167"/>
      <c r="G2795" s="933"/>
      <c r="H2795" s="934"/>
      <c r="I2795" s="167"/>
    </row>
    <row r="2796" spans="1:9" s="168" customFormat="1" hidden="1">
      <c r="A2796" s="167"/>
      <c r="B2796" s="167"/>
      <c r="C2796" s="932"/>
      <c r="D2796" s="932"/>
      <c r="E2796" s="167"/>
      <c r="F2796" s="167"/>
      <c r="G2796" s="933"/>
      <c r="H2796" s="934"/>
      <c r="I2796" s="167"/>
    </row>
    <row r="2797" spans="1:9" s="168" customFormat="1" hidden="1">
      <c r="A2797" s="167"/>
      <c r="B2797" s="167"/>
      <c r="C2797" s="932"/>
      <c r="D2797" s="932"/>
      <c r="E2797" s="167"/>
      <c r="F2797" s="167"/>
      <c r="G2797" s="933"/>
      <c r="H2797" s="934"/>
      <c r="I2797" s="167"/>
    </row>
    <row r="2798" spans="1:9" s="168" customFormat="1" hidden="1">
      <c r="A2798" s="167"/>
      <c r="B2798" s="167"/>
      <c r="C2798" s="932"/>
      <c r="D2798" s="932"/>
      <c r="E2798" s="167"/>
      <c r="F2798" s="167"/>
      <c r="G2798" s="933"/>
      <c r="H2798" s="934"/>
      <c r="I2798" s="167"/>
    </row>
    <row r="2799" spans="1:9" s="168" customFormat="1" hidden="1">
      <c r="A2799" s="167"/>
      <c r="B2799" s="167"/>
      <c r="C2799" s="932"/>
      <c r="D2799" s="932"/>
      <c r="E2799" s="167"/>
      <c r="F2799" s="167"/>
      <c r="G2799" s="933"/>
      <c r="H2799" s="934"/>
      <c r="I2799" s="167"/>
    </row>
    <row r="2800" spans="1:9" s="168" customFormat="1" hidden="1">
      <c r="A2800" s="167"/>
      <c r="B2800" s="167"/>
      <c r="C2800" s="932"/>
      <c r="D2800" s="932"/>
      <c r="E2800" s="167"/>
      <c r="F2800" s="167"/>
      <c r="G2800" s="933"/>
      <c r="H2800" s="934"/>
      <c r="I2800" s="167"/>
    </row>
    <row r="2801" spans="1:9" s="168" customFormat="1" hidden="1">
      <c r="A2801" s="167"/>
      <c r="B2801" s="167"/>
      <c r="C2801" s="932"/>
      <c r="D2801" s="932"/>
      <c r="E2801" s="167"/>
      <c r="F2801" s="167"/>
      <c r="G2801" s="933"/>
      <c r="H2801" s="934"/>
      <c r="I2801" s="167"/>
    </row>
    <row r="2802" spans="1:9" s="168" customFormat="1" hidden="1">
      <c r="A2802" s="930"/>
      <c r="B2802" s="945"/>
      <c r="C2802" s="932"/>
      <c r="D2802" s="932"/>
      <c r="E2802" s="167"/>
      <c r="F2802" s="167"/>
      <c r="G2802" s="933"/>
      <c r="H2802" s="934"/>
      <c r="I2802" s="167"/>
    </row>
    <row r="2803" spans="1:9" s="168" customFormat="1" hidden="1">
      <c r="A2803" s="930"/>
      <c r="B2803" s="931"/>
      <c r="C2803" s="932"/>
      <c r="D2803" s="932"/>
      <c r="E2803" s="167"/>
      <c r="F2803" s="167"/>
      <c r="G2803" s="933"/>
      <c r="H2803" s="934"/>
      <c r="I2803" s="167"/>
    </row>
    <row r="2804" spans="1:9" s="168" customFormat="1" hidden="1">
      <c r="A2804" s="930"/>
      <c r="B2804" s="931"/>
      <c r="C2804" s="932"/>
      <c r="D2804" s="932"/>
      <c r="E2804" s="167"/>
      <c r="F2804" s="167"/>
      <c r="G2804" s="933"/>
      <c r="H2804" s="934"/>
      <c r="I2804" s="167"/>
    </row>
    <row r="2805" spans="1:9" s="168" customFormat="1" hidden="1">
      <c r="A2805" s="930"/>
      <c r="B2805" s="931"/>
      <c r="C2805" s="938"/>
      <c r="D2805" s="932"/>
      <c r="E2805" s="167"/>
      <c r="F2805" s="167"/>
      <c r="G2805" s="933"/>
      <c r="H2805" s="934"/>
      <c r="I2805" s="167"/>
    </row>
    <row r="2806" spans="1:9" s="168" customFormat="1" hidden="1">
      <c r="A2806" s="167"/>
      <c r="B2806" s="167"/>
      <c r="C2806" s="932"/>
      <c r="D2806" s="932"/>
      <c r="E2806" s="167"/>
      <c r="F2806" s="167"/>
      <c r="G2806" s="933"/>
      <c r="H2806" s="934"/>
      <c r="I2806" s="167"/>
    </row>
    <row r="2807" spans="1:9" s="168" customFormat="1" hidden="1">
      <c r="A2807" s="167"/>
      <c r="B2807" s="167"/>
      <c r="C2807" s="932"/>
      <c r="D2807" s="932"/>
      <c r="E2807" s="167"/>
      <c r="F2807" s="167"/>
      <c r="G2807" s="933"/>
      <c r="H2807" s="934"/>
      <c r="I2807" s="167"/>
    </row>
    <row r="2808" spans="1:9" s="168" customFormat="1" hidden="1">
      <c r="A2808" s="167"/>
      <c r="B2808" s="167"/>
      <c r="C2808" s="932"/>
      <c r="D2808" s="932"/>
      <c r="E2808" s="167"/>
      <c r="F2808" s="167"/>
      <c r="G2808" s="933"/>
      <c r="H2808" s="934"/>
      <c r="I2808" s="167"/>
    </row>
    <row r="2809" spans="1:9" s="168" customFormat="1" hidden="1">
      <c r="A2809" s="167"/>
      <c r="B2809" s="167"/>
      <c r="C2809" s="932"/>
      <c r="D2809" s="932"/>
      <c r="E2809" s="167"/>
      <c r="F2809" s="167"/>
      <c r="G2809" s="933"/>
      <c r="H2809" s="934"/>
      <c r="I2809" s="167"/>
    </row>
    <row r="2810" spans="1:9" hidden="1">
      <c r="D2810" s="932"/>
      <c r="G2810" s="933"/>
      <c r="H2810" s="934"/>
    </row>
    <row r="2811" spans="1:9" hidden="1">
      <c r="A2811" s="930"/>
      <c r="B2811" s="931"/>
      <c r="C2811" s="938"/>
      <c r="D2811" s="932"/>
      <c r="G2811" s="933"/>
      <c r="H2811" s="934"/>
    </row>
    <row r="2812" spans="1:9" hidden="1">
      <c r="A2812" s="930"/>
      <c r="B2812" s="931"/>
      <c r="C2812" s="938"/>
      <c r="D2812" s="932"/>
      <c r="G2812" s="933"/>
      <c r="H2812" s="934"/>
    </row>
    <row r="2813" spans="1:9" hidden="1">
      <c r="A2813" s="930"/>
      <c r="B2813" s="931"/>
      <c r="C2813" s="938"/>
      <c r="D2813" s="932"/>
      <c r="G2813" s="933"/>
      <c r="H2813" s="934"/>
    </row>
    <row r="2814" spans="1:9" hidden="1">
      <c r="A2814" s="930"/>
      <c r="B2814" s="931"/>
      <c r="C2814" s="938"/>
      <c r="D2814" s="932"/>
      <c r="G2814" s="933"/>
      <c r="H2814" s="934"/>
    </row>
    <row r="2815" spans="1:9" hidden="1">
      <c r="A2815" s="930"/>
      <c r="B2815" s="931"/>
      <c r="C2815" s="938"/>
      <c r="D2815" s="932"/>
      <c r="G2815" s="933"/>
      <c r="H2815" s="934"/>
    </row>
    <row r="2816" spans="1:9" hidden="1">
      <c r="B2816" s="956"/>
      <c r="C2816" s="938"/>
      <c r="D2816" s="932"/>
      <c r="G2816" s="933"/>
      <c r="H2816" s="934"/>
    </row>
    <row r="2817" spans="2:8" hidden="1">
      <c r="B2817" s="956"/>
      <c r="C2817" s="938"/>
      <c r="D2817" s="932"/>
      <c r="G2817" s="933"/>
      <c r="H2817" s="934"/>
    </row>
    <row r="2818" spans="2:8" hidden="1">
      <c r="D2818" s="932"/>
      <c r="G2818" s="933"/>
      <c r="H2818" s="934"/>
    </row>
    <row r="2819" spans="2:8" hidden="1">
      <c r="D2819" s="932"/>
      <c r="G2819" s="933"/>
      <c r="H2819" s="934"/>
    </row>
    <row r="2820" spans="2:8" hidden="1">
      <c r="D2820" s="932"/>
      <c r="G2820" s="933"/>
      <c r="H2820" s="934"/>
    </row>
    <row r="2821" spans="2:8" hidden="1">
      <c r="D2821" s="932"/>
      <c r="G2821" s="933"/>
      <c r="H2821" s="934"/>
    </row>
    <row r="2822" spans="2:8" hidden="1">
      <c r="D2822" s="932"/>
      <c r="G2822" s="933"/>
      <c r="H2822" s="934"/>
    </row>
    <row r="2823" spans="2:8" hidden="1">
      <c r="D2823" s="932"/>
      <c r="G2823" s="933"/>
      <c r="H2823" s="934"/>
    </row>
    <row r="2824" spans="2:8" hidden="1">
      <c r="D2824" s="932"/>
      <c r="G2824" s="933"/>
      <c r="H2824" s="934"/>
    </row>
    <row r="2825" spans="2:8" hidden="1">
      <c r="D2825" s="932"/>
      <c r="G2825" s="933"/>
      <c r="H2825" s="934"/>
    </row>
    <row r="2826" spans="2:8" hidden="1">
      <c r="D2826" s="932"/>
      <c r="G2826" s="933"/>
      <c r="H2826" s="934"/>
    </row>
    <row r="2827" spans="2:8" hidden="1">
      <c r="D2827" s="932"/>
      <c r="G2827" s="933"/>
      <c r="H2827" s="934"/>
    </row>
    <row r="2828" spans="2:8" hidden="1">
      <c r="D2828" s="932"/>
      <c r="G2828" s="933"/>
      <c r="H2828" s="934"/>
    </row>
    <row r="2829" spans="2:8" hidden="1">
      <c r="D2829" s="932"/>
      <c r="G2829" s="933"/>
      <c r="H2829" s="934"/>
    </row>
    <row r="2830" spans="2:8" hidden="1">
      <c r="D2830" s="932"/>
      <c r="G2830" s="933"/>
      <c r="H2830" s="934"/>
    </row>
    <row r="2831" spans="2:8" hidden="1">
      <c r="D2831" s="932"/>
      <c r="G2831" s="933"/>
      <c r="H2831" s="934"/>
    </row>
    <row r="2832" spans="2:8" hidden="1">
      <c r="D2832" s="932"/>
      <c r="G2832" s="933"/>
      <c r="H2832" s="934"/>
    </row>
    <row r="2833" spans="4:8" hidden="1">
      <c r="D2833" s="932"/>
      <c r="G2833" s="933"/>
      <c r="H2833" s="934"/>
    </row>
    <row r="2834" spans="4:8" hidden="1">
      <c r="D2834" s="932"/>
      <c r="G2834" s="933"/>
      <c r="H2834" s="934"/>
    </row>
    <row r="2835" spans="4:8" hidden="1">
      <c r="D2835" s="932"/>
      <c r="G2835" s="933"/>
      <c r="H2835" s="934"/>
    </row>
    <row r="2836" spans="4:8" hidden="1">
      <c r="D2836" s="932"/>
      <c r="G2836" s="933"/>
      <c r="H2836" s="934"/>
    </row>
    <row r="2837" spans="4:8" hidden="1">
      <c r="D2837" s="932"/>
      <c r="G2837" s="933"/>
      <c r="H2837" s="934"/>
    </row>
    <row r="2838" spans="4:8" hidden="1">
      <c r="D2838" s="932"/>
      <c r="G2838" s="933"/>
      <c r="H2838" s="934"/>
    </row>
    <row r="2839" spans="4:8" hidden="1">
      <c r="D2839" s="932"/>
      <c r="G2839" s="933"/>
      <c r="H2839" s="934"/>
    </row>
    <row r="2840" spans="4:8" hidden="1">
      <c r="D2840" s="932"/>
      <c r="G2840" s="933"/>
      <c r="H2840" s="934"/>
    </row>
    <row r="2841" spans="4:8" hidden="1">
      <c r="D2841" s="932"/>
      <c r="G2841" s="933"/>
      <c r="H2841" s="934"/>
    </row>
    <row r="2842" spans="4:8" hidden="1">
      <c r="D2842" s="932"/>
      <c r="G2842" s="933"/>
      <c r="H2842" s="934"/>
    </row>
    <row r="2843" spans="4:8" hidden="1">
      <c r="D2843" s="932"/>
      <c r="G2843" s="933"/>
      <c r="H2843" s="934"/>
    </row>
    <row r="2844" spans="4:8" hidden="1">
      <c r="D2844" s="932"/>
      <c r="G2844" s="933"/>
      <c r="H2844" s="934"/>
    </row>
    <row r="2845" spans="4:8" hidden="1">
      <c r="D2845" s="932"/>
      <c r="G2845" s="933"/>
      <c r="H2845" s="934"/>
    </row>
    <row r="2846" spans="4:8" hidden="1">
      <c r="D2846" s="932"/>
      <c r="G2846" s="933"/>
      <c r="H2846" s="934"/>
    </row>
    <row r="2847" spans="4:8" hidden="1">
      <c r="D2847" s="932"/>
      <c r="G2847" s="933"/>
      <c r="H2847" s="934"/>
    </row>
    <row r="2848" spans="4:8" hidden="1">
      <c r="D2848" s="932"/>
      <c r="G2848" s="933"/>
      <c r="H2848" s="934"/>
    </row>
    <row r="2849" spans="1:8" hidden="1">
      <c r="D2849" s="932"/>
      <c r="G2849" s="933"/>
      <c r="H2849" s="934"/>
    </row>
    <row r="2850" spans="1:8" hidden="1">
      <c r="D2850" s="932"/>
      <c r="G2850" s="933"/>
      <c r="H2850" s="934"/>
    </row>
    <row r="2851" spans="1:8" hidden="1">
      <c r="D2851" s="932"/>
      <c r="G2851" s="933"/>
      <c r="H2851" s="934"/>
    </row>
    <row r="2852" spans="1:8" hidden="1">
      <c r="D2852" s="932"/>
      <c r="G2852" s="933"/>
      <c r="H2852" s="934"/>
    </row>
    <row r="2853" spans="1:8" hidden="1">
      <c r="D2853" s="932"/>
      <c r="G2853" s="933"/>
      <c r="H2853" s="934"/>
    </row>
    <row r="2854" spans="1:8" hidden="1">
      <c r="D2854" s="932"/>
      <c r="G2854" s="933"/>
      <c r="H2854" s="934"/>
    </row>
    <row r="2855" spans="1:8" hidden="1">
      <c r="D2855" s="932"/>
      <c r="G2855" s="933"/>
      <c r="H2855" s="934"/>
    </row>
    <row r="2856" spans="1:8" hidden="1">
      <c r="D2856" s="932"/>
      <c r="G2856" s="933"/>
      <c r="H2856" s="934"/>
    </row>
    <row r="2857" spans="1:8" hidden="1">
      <c r="D2857" s="932"/>
      <c r="G2857" s="933"/>
      <c r="H2857" s="934"/>
    </row>
    <row r="2858" spans="1:8" hidden="1">
      <c r="D2858" s="932"/>
      <c r="G2858" s="933"/>
      <c r="H2858" s="934"/>
    </row>
    <row r="2859" spans="1:8" hidden="1">
      <c r="D2859" s="932"/>
      <c r="G2859" s="933"/>
      <c r="H2859" s="934"/>
    </row>
    <row r="2860" spans="1:8" hidden="1">
      <c r="D2860" s="932"/>
      <c r="G2860" s="933"/>
      <c r="H2860" s="934"/>
    </row>
    <row r="2861" spans="1:8" hidden="1">
      <c r="D2861" s="932"/>
      <c r="G2861" s="933"/>
      <c r="H2861" s="934"/>
    </row>
    <row r="2862" spans="1:8" hidden="1">
      <c r="A2862" s="944"/>
      <c r="B2862" s="945"/>
      <c r="D2862" s="932"/>
      <c r="G2862" s="933"/>
      <c r="H2862" s="934"/>
    </row>
    <row r="2863" spans="1:8" hidden="1">
      <c r="D2863" s="932"/>
      <c r="G2863" s="933"/>
      <c r="H2863" s="934"/>
    </row>
    <row r="2864" spans="1:8" hidden="1">
      <c r="D2864" s="932"/>
      <c r="G2864" s="933"/>
      <c r="H2864" s="934"/>
    </row>
    <row r="2865" spans="4:8" hidden="1">
      <c r="D2865" s="932"/>
      <c r="G2865" s="933"/>
      <c r="H2865" s="934"/>
    </row>
    <row r="2866" spans="4:8" hidden="1">
      <c r="D2866" s="932"/>
      <c r="G2866" s="933"/>
      <c r="H2866" s="934"/>
    </row>
    <row r="2867" spans="4:8" hidden="1">
      <c r="D2867" s="932"/>
      <c r="G2867" s="933"/>
      <c r="H2867" s="934"/>
    </row>
    <row r="2868" spans="4:8" hidden="1">
      <c r="D2868" s="932"/>
      <c r="G2868" s="933"/>
      <c r="H2868" s="934"/>
    </row>
    <row r="2869" spans="4:8" hidden="1">
      <c r="D2869" s="932"/>
      <c r="G2869" s="933"/>
      <c r="H2869" s="934"/>
    </row>
    <row r="2870" spans="4:8" hidden="1">
      <c r="D2870" s="932"/>
      <c r="G2870" s="933"/>
      <c r="H2870" s="934"/>
    </row>
    <row r="2871" spans="4:8" hidden="1">
      <c r="D2871" s="932"/>
      <c r="G2871" s="933"/>
      <c r="H2871" s="934"/>
    </row>
    <row r="2872" spans="4:8" hidden="1">
      <c r="D2872" s="932"/>
      <c r="G2872" s="933"/>
      <c r="H2872" s="934"/>
    </row>
    <row r="2873" spans="4:8" hidden="1">
      <c r="D2873" s="932"/>
      <c r="G2873" s="933"/>
      <c r="H2873" s="934"/>
    </row>
    <row r="2874" spans="4:8" hidden="1">
      <c r="D2874" s="932"/>
      <c r="G2874" s="933"/>
      <c r="H2874" s="934"/>
    </row>
    <row r="2875" spans="4:8" hidden="1">
      <c r="D2875" s="932"/>
      <c r="G2875" s="933"/>
      <c r="H2875" s="934"/>
    </row>
    <row r="2876" spans="4:8" hidden="1">
      <c r="D2876" s="932"/>
      <c r="G2876" s="933"/>
      <c r="H2876" s="934"/>
    </row>
    <row r="2877" spans="4:8" hidden="1">
      <c r="D2877" s="932"/>
      <c r="G2877" s="933"/>
      <c r="H2877" s="934"/>
    </row>
    <row r="2878" spans="4:8" hidden="1">
      <c r="D2878" s="932"/>
      <c r="G2878" s="933"/>
      <c r="H2878" s="934"/>
    </row>
    <row r="2879" spans="4:8" hidden="1">
      <c r="D2879" s="932"/>
      <c r="G2879" s="933"/>
      <c r="H2879" s="934"/>
    </row>
    <row r="2880" spans="4:8" hidden="1">
      <c r="D2880" s="932"/>
      <c r="G2880" s="933"/>
      <c r="H2880" s="934"/>
    </row>
    <row r="2881" spans="1:8" hidden="1">
      <c r="D2881" s="932"/>
      <c r="G2881" s="933"/>
      <c r="H2881" s="934"/>
    </row>
    <row r="2882" spans="1:8" hidden="1">
      <c r="D2882" s="932"/>
      <c r="G2882" s="933"/>
      <c r="H2882" s="934"/>
    </row>
    <row r="2883" spans="1:8" hidden="1">
      <c r="D2883" s="932"/>
      <c r="G2883" s="933"/>
      <c r="H2883" s="934"/>
    </row>
    <row r="2884" spans="1:8" hidden="1">
      <c r="D2884" s="932"/>
      <c r="G2884" s="933"/>
      <c r="H2884" s="934"/>
    </row>
    <row r="2885" spans="1:8" hidden="1">
      <c r="D2885" s="932"/>
      <c r="G2885" s="933"/>
      <c r="H2885" s="934"/>
    </row>
    <row r="2886" spans="1:8" hidden="1">
      <c r="D2886" s="932"/>
      <c r="G2886" s="933"/>
      <c r="H2886" s="934"/>
    </row>
    <row r="2887" spans="1:8" hidden="1">
      <c r="D2887" s="932"/>
      <c r="G2887" s="933"/>
      <c r="H2887" s="934"/>
    </row>
    <row r="2888" spans="1:8" hidden="1">
      <c r="D2888" s="932"/>
      <c r="G2888" s="933"/>
      <c r="H2888" s="934"/>
    </row>
    <row r="2889" spans="1:8" hidden="1">
      <c r="A2889" s="930"/>
      <c r="B2889" s="931"/>
      <c r="C2889" s="938"/>
      <c r="D2889" s="932"/>
      <c r="G2889" s="933"/>
      <c r="H2889" s="934"/>
    </row>
    <row r="2890" spans="1:8" hidden="1">
      <c r="A2890" s="930"/>
      <c r="B2890" s="931"/>
      <c r="C2890" s="938"/>
      <c r="D2890" s="932"/>
      <c r="G2890" s="933"/>
      <c r="H2890" s="934"/>
    </row>
    <row r="2891" spans="1:8" hidden="1">
      <c r="A2891" s="930"/>
      <c r="B2891" s="931"/>
      <c r="C2891" s="938"/>
      <c r="D2891" s="932"/>
      <c r="G2891" s="933"/>
      <c r="H2891" s="934"/>
    </row>
    <row r="2892" spans="1:8" hidden="1">
      <c r="A2892" s="942"/>
      <c r="B2892" s="941"/>
      <c r="C2892" s="938"/>
      <c r="D2892" s="932"/>
      <c r="G2892" s="933"/>
      <c r="H2892" s="934"/>
    </row>
    <row r="2893" spans="1:8" hidden="1">
      <c r="A2893" s="942"/>
      <c r="D2893" s="932"/>
      <c r="G2893" s="933"/>
      <c r="H2893" s="934"/>
    </row>
    <row r="2894" spans="1:8" hidden="1">
      <c r="A2894" s="942"/>
      <c r="B2894" s="941"/>
      <c r="C2894" s="938"/>
      <c r="D2894" s="932"/>
      <c r="G2894" s="933"/>
      <c r="H2894" s="934"/>
    </row>
    <row r="2895" spans="1:8" hidden="1">
      <c r="A2895" s="930"/>
      <c r="B2895" s="931"/>
      <c r="D2895" s="932"/>
      <c r="G2895" s="933"/>
      <c r="H2895" s="934"/>
    </row>
    <row r="2896" spans="1:8" hidden="1">
      <c r="A2896" s="930"/>
      <c r="B2896" s="931"/>
      <c r="C2896" s="938"/>
      <c r="D2896" s="932"/>
      <c r="G2896" s="933"/>
      <c r="H2896" s="934"/>
    </row>
    <row r="2897" spans="1:8" hidden="1">
      <c r="A2897" s="942"/>
      <c r="C2897" s="938"/>
      <c r="D2897" s="932"/>
      <c r="G2897" s="933"/>
      <c r="H2897" s="934"/>
    </row>
    <row r="2898" spans="1:8" hidden="1">
      <c r="A2898" s="930"/>
      <c r="B2898" s="931"/>
      <c r="C2898" s="938"/>
      <c r="D2898" s="932"/>
      <c r="G2898" s="933"/>
      <c r="H2898" s="934"/>
    </row>
    <row r="2899" spans="1:8" hidden="1">
      <c r="A2899" s="930"/>
      <c r="B2899" s="931"/>
      <c r="D2899" s="932"/>
      <c r="G2899" s="933"/>
      <c r="H2899" s="934"/>
    </row>
    <row r="2900" spans="1:8" hidden="1">
      <c r="D2900" s="932"/>
      <c r="G2900" s="933"/>
      <c r="H2900" s="934"/>
    </row>
    <row r="2901" spans="1:8" hidden="1">
      <c r="D2901" s="932"/>
      <c r="G2901" s="933"/>
      <c r="H2901" s="934"/>
    </row>
    <row r="2902" spans="1:8" hidden="1">
      <c r="D2902" s="932"/>
      <c r="G2902" s="933"/>
      <c r="H2902" s="934"/>
    </row>
    <row r="2903" spans="1:8" hidden="1">
      <c r="D2903" s="932"/>
      <c r="G2903" s="933"/>
      <c r="H2903" s="934"/>
    </row>
    <row r="2904" spans="1:8" hidden="1">
      <c r="D2904" s="932"/>
      <c r="G2904" s="933"/>
      <c r="H2904" s="934"/>
    </row>
    <row r="2905" spans="1:8" hidden="1">
      <c r="D2905" s="932"/>
      <c r="G2905" s="933"/>
      <c r="H2905" s="934"/>
    </row>
    <row r="2906" spans="1:8" hidden="1">
      <c r="D2906" s="932"/>
      <c r="G2906" s="933"/>
      <c r="H2906" s="934"/>
    </row>
    <row r="2907" spans="1:8" hidden="1">
      <c r="D2907" s="932"/>
      <c r="G2907" s="933"/>
      <c r="H2907" s="934"/>
    </row>
    <row r="2908" spans="1:8" hidden="1">
      <c r="A2908" s="930"/>
      <c r="B2908" s="931"/>
      <c r="C2908" s="938"/>
      <c r="D2908" s="932"/>
      <c r="G2908" s="933"/>
      <c r="H2908" s="934"/>
    </row>
    <row r="2909" spans="1:8" hidden="1">
      <c r="A2909" s="936"/>
      <c r="B2909" s="937"/>
      <c r="C2909" s="938"/>
      <c r="D2909" s="932"/>
      <c r="G2909" s="933"/>
      <c r="H2909" s="934"/>
    </row>
    <row r="2910" spans="1:8" hidden="1">
      <c r="A2910" s="936"/>
      <c r="B2910" s="937"/>
      <c r="C2910" s="938"/>
      <c r="D2910" s="932"/>
      <c r="G2910" s="933"/>
      <c r="H2910" s="934"/>
    </row>
    <row r="2911" spans="1:8" hidden="1">
      <c r="A2911" s="936"/>
      <c r="B2911" s="937"/>
      <c r="D2911" s="932"/>
      <c r="G2911" s="933"/>
      <c r="H2911" s="934"/>
    </row>
    <row r="2912" spans="1:8" hidden="1">
      <c r="D2912" s="932"/>
      <c r="G2912" s="933"/>
      <c r="H2912" s="934"/>
    </row>
    <row r="2913" spans="1:8" hidden="1">
      <c r="D2913" s="932"/>
      <c r="G2913" s="933"/>
      <c r="H2913" s="934"/>
    </row>
    <row r="2914" spans="1:8" hidden="1">
      <c r="D2914" s="932"/>
      <c r="G2914" s="933"/>
      <c r="H2914" s="934"/>
    </row>
    <row r="2915" spans="1:8" hidden="1">
      <c r="D2915" s="932"/>
      <c r="G2915" s="933"/>
      <c r="H2915" s="934"/>
    </row>
    <row r="2916" spans="1:8" hidden="1">
      <c r="A2916" s="930"/>
      <c r="B2916" s="931"/>
      <c r="G2916" s="933"/>
      <c r="H2916" s="934"/>
    </row>
    <row r="2917" spans="1:8" ht="15" hidden="1">
      <c r="A2917" s="949"/>
      <c r="B2917" s="168"/>
      <c r="D2917" s="932"/>
      <c r="G2917" s="933"/>
      <c r="H2917" s="934"/>
    </row>
    <row r="2918" spans="1:8" hidden="1">
      <c r="D2918" s="932"/>
      <c r="G2918" s="933"/>
      <c r="H2918" s="934"/>
    </row>
    <row r="2919" spans="1:8" hidden="1">
      <c r="A2919" s="930"/>
      <c r="B2919" s="931"/>
      <c r="C2919" s="938"/>
      <c r="D2919" s="932"/>
      <c r="G2919" s="933"/>
      <c r="H2919" s="934"/>
    </row>
    <row r="2920" spans="1:8" hidden="1">
      <c r="D2920" s="932"/>
      <c r="G2920" s="933"/>
      <c r="H2920" s="934"/>
    </row>
    <row r="2921" spans="1:8" hidden="1">
      <c r="D2921" s="932"/>
      <c r="G2921" s="933"/>
      <c r="H2921" s="934"/>
    </row>
    <row r="2922" spans="1:8" hidden="1">
      <c r="D2922" s="932"/>
      <c r="G2922" s="933"/>
      <c r="H2922" s="934"/>
    </row>
    <row r="2923" spans="1:8" ht="15" hidden="1">
      <c r="A2923" s="58"/>
      <c r="B2923"/>
      <c r="C2923" s="868"/>
      <c r="D2923" s="932"/>
      <c r="E2923" s="58"/>
    </row>
    <row r="2924" spans="1:8" ht="15" hidden="1">
      <c r="A2924" s="58"/>
      <c r="B2924"/>
      <c r="C2924" s="868"/>
      <c r="D2924" s="932"/>
      <c r="E2924" s="58"/>
    </row>
    <row r="2925" spans="1:8" ht="15" hidden="1">
      <c r="A2925" s="58"/>
      <c r="B2925"/>
      <c r="C2925" s="868"/>
      <c r="D2925" s="932"/>
      <c r="E2925" s="58"/>
    </row>
    <row r="2926" spans="1:8" ht="15" hidden="1">
      <c r="A2926" s="58"/>
      <c r="B2926"/>
      <c r="C2926" s="868"/>
      <c r="D2926" s="932"/>
      <c r="E2926" s="58"/>
    </row>
    <row r="2927" spans="1:8" ht="15" hidden="1">
      <c r="A2927" s="58"/>
      <c r="B2927"/>
      <c r="C2927" s="868"/>
      <c r="G2927" s="933"/>
      <c r="H2927" s="934"/>
    </row>
    <row r="2928" spans="1:8" ht="15" hidden="1">
      <c r="A2928" s="58"/>
      <c r="B2928"/>
      <c r="C2928" s="868"/>
      <c r="D2928" s="868"/>
      <c r="E2928" s="58"/>
    </row>
    <row r="2929" spans="1:8" ht="15" hidden="1">
      <c r="A2929" s="58"/>
      <c r="B2929"/>
      <c r="C2929" s="868"/>
      <c r="D2929" s="868"/>
      <c r="E2929" s="58"/>
    </row>
    <row r="2930" spans="1:8" ht="15" hidden="1">
      <c r="A2930" s="58"/>
      <c r="B2930"/>
      <c r="C2930" s="868"/>
      <c r="D2930" s="932"/>
      <c r="E2930" s="58"/>
      <c r="F2930" s="957"/>
    </row>
    <row r="2931" spans="1:8" ht="15" hidden="1">
      <c r="A2931" s="58"/>
      <c r="B2931"/>
      <c r="C2931" s="868"/>
      <c r="D2931" s="932"/>
      <c r="E2931" s="58"/>
      <c r="F2931" s="957"/>
    </row>
    <row r="2932" spans="1:8" ht="15" hidden="1">
      <c r="A2932" s="58"/>
      <c r="B2932"/>
      <c r="C2932" s="868"/>
      <c r="D2932" s="868"/>
      <c r="E2932" s="58"/>
    </row>
    <row r="2933" spans="1:8" ht="15" hidden="1">
      <c r="A2933" s="58"/>
      <c r="B2933"/>
      <c r="C2933" s="868"/>
      <c r="D2933" s="868"/>
      <c r="E2933" s="58"/>
      <c r="F2933" s="58"/>
    </row>
    <row r="2934" spans="1:8" ht="15" hidden="1">
      <c r="A2934" s="58"/>
      <c r="B2934"/>
      <c r="C2934" s="868"/>
      <c r="D2934" s="868"/>
      <c r="E2934" s="58"/>
      <c r="F2934" s="58"/>
      <c r="H2934" s="167"/>
    </row>
    <row r="2935" spans="1:8" ht="15" hidden="1">
      <c r="A2935" s="58"/>
      <c r="B2935"/>
      <c r="C2935" s="868"/>
      <c r="D2935" s="868"/>
      <c r="E2935" s="58"/>
    </row>
    <row r="2936" spans="1:8" ht="15" hidden="1">
      <c r="A2936" s="58"/>
      <c r="B2936"/>
      <c r="C2936" s="868"/>
      <c r="D2936" s="868"/>
      <c r="E2936" s="58"/>
      <c r="F2936" s="58"/>
    </row>
    <row r="2937" spans="1:8" ht="15" hidden="1">
      <c r="A2937" s="58"/>
      <c r="B2937"/>
      <c r="C2937" s="868"/>
      <c r="D2937" s="868"/>
      <c r="E2937" s="58"/>
      <c r="F2937" s="58"/>
    </row>
    <row r="2938" spans="1:8" ht="15" hidden="1">
      <c r="A2938" s="58"/>
      <c r="B2938"/>
      <c r="C2938" s="868"/>
      <c r="D2938" s="868"/>
      <c r="E2938" s="58"/>
      <c r="F2938" s="58"/>
    </row>
    <row r="2939" spans="1:8" ht="15" hidden="1">
      <c r="A2939" s="58"/>
      <c r="B2939"/>
      <c r="C2939" s="868"/>
      <c r="D2939" s="868"/>
      <c r="E2939" s="58"/>
      <c r="F2939" s="58"/>
    </row>
    <row r="2940" spans="1:8" ht="15" hidden="1">
      <c r="A2940" s="58"/>
      <c r="B2940"/>
      <c r="C2940" s="868"/>
      <c r="D2940" s="868"/>
      <c r="E2940" s="58"/>
      <c r="F2940" s="58"/>
    </row>
    <row r="2941" spans="1:8" ht="15" hidden="1">
      <c r="A2941" s="58"/>
      <c r="B2941"/>
      <c r="D2941" s="932"/>
      <c r="E2941" s="58"/>
      <c r="F2941" s="58"/>
      <c r="H2941" s="167"/>
    </row>
    <row r="2942" spans="1:8" ht="15" hidden="1">
      <c r="A2942" s="58"/>
      <c r="B2942"/>
      <c r="D2942" s="932"/>
      <c r="E2942" s="58"/>
      <c r="F2942" s="58"/>
      <c r="H2942" s="167"/>
    </row>
    <row r="2943" spans="1:8" ht="15" hidden="1">
      <c r="A2943" s="58"/>
      <c r="B2943"/>
      <c r="C2943" s="868"/>
      <c r="D2943" s="932"/>
      <c r="G2943" s="933"/>
      <c r="H2943" s="934"/>
    </row>
    <row r="2944" spans="1:8" ht="15" hidden="1">
      <c r="A2944" s="58"/>
      <c r="B2944"/>
      <c r="C2944" s="868"/>
      <c r="D2944" s="868"/>
      <c r="E2944" s="58"/>
      <c r="F2944" s="58"/>
      <c r="H2944" s="167"/>
    </row>
    <row r="2945" spans="1:14" ht="15" hidden="1">
      <c r="A2945" s="58"/>
      <c r="B2945"/>
      <c r="C2945" s="868"/>
      <c r="D2945" s="868"/>
      <c r="E2945" s="58"/>
      <c r="F2945" s="58"/>
      <c r="H2945" s="167"/>
    </row>
    <row r="2946" spans="1:14" ht="15" hidden="1">
      <c r="A2946" s="58"/>
      <c r="B2946"/>
      <c r="C2946" s="868"/>
      <c r="D2946" s="868"/>
      <c r="E2946" s="58"/>
      <c r="F2946" s="58"/>
      <c r="H2946" s="167"/>
    </row>
    <row r="2947" spans="1:14" ht="15" hidden="1">
      <c r="A2947" s="58"/>
      <c r="B2947"/>
      <c r="C2947" s="868"/>
      <c r="D2947" s="868"/>
      <c r="E2947" s="58"/>
      <c r="F2947" s="58"/>
      <c r="H2947" s="167"/>
    </row>
    <row r="2948" spans="1:14" ht="15" hidden="1">
      <c r="A2948" s="58"/>
      <c r="B2948"/>
      <c r="C2948" s="868"/>
      <c r="D2948" s="868"/>
      <c r="E2948" s="58"/>
      <c r="F2948" s="58"/>
      <c r="H2948" s="167"/>
    </row>
    <row r="2949" spans="1:14" ht="15" hidden="1">
      <c r="A2949" s="58"/>
      <c r="B2949"/>
      <c r="C2949" s="868"/>
      <c r="D2949" s="868"/>
      <c r="E2949" s="58"/>
      <c r="F2949" s="58"/>
      <c r="H2949" s="167"/>
    </row>
    <row r="2950" spans="1:14" ht="15" hidden="1">
      <c r="A2950" s="58"/>
      <c r="B2950"/>
      <c r="C2950" s="868"/>
      <c r="D2950" s="868"/>
      <c r="E2950" s="58"/>
      <c r="F2950" s="58"/>
      <c r="H2950" s="167"/>
    </row>
    <row r="2951" spans="1:14" ht="15" hidden="1">
      <c r="A2951" s="58"/>
      <c r="B2951"/>
      <c r="C2951" s="868"/>
      <c r="D2951" s="868"/>
      <c r="E2951" s="58"/>
      <c r="F2951" s="58"/>
      <c r="H2951" s="167"/>
    </row>
    <row r="2952" spans="1:14" ht="15" hidden="1">
      <c r="A2952" s="58"/>
      <c r="B2952"/>
      <c r="C2952" s="868"/>
      <c r="D2952" s="868"/>
      <c r="E2952" s="58"/>
      <c r="F2952" s="58"/>
      <c r="H2952" s="167"/>
    </row>
    <row r="2953" spans="1:14" ht="15" hidden="1">
      <c r="A2953" s="58"/>
      <c r="B2953"/>
      <c r="C2953" s="868"/>
      <c r="D2953" s="868"/>
      <c r="E2953" s="58"/>
      <c r="F2953" s="58"/>
      <c r="H2953" s="167"/>
    </row>
    <row r="2954" spans="1:14" ht="15" hidden="1">
      <c r="A2954" s="58"/>
      <c r="B2954"/>
      <c r="C2954" s="868"/>
      <c r="D2954" s="868"/>
      <c r="E2954" s="58"/>
      <c r="F2954" s="58"/>
      <c r="H2954" s="167"/>
    </row>
    <row r="2955" spans="1:14" ht="15" hidden="1">
      <c r="A2955" s="58"/>
      <c r="B2955"/>
      <c r="C2955" s="868"/>
      <c r="D2955" s="868"/>
      <c r="E2955" s="58"/>
      <c r="F2955" s="58"/>
      <c r="H2955" s="167"/>
    </row>
    <row r="2956" spans="1:14" ht="15" hidden="1">
      <c r="A2956" s="58"/>
      <c r="B2956"/>
      <c r="C2956" s="868"/>
      <c r="D2956" s="868"/>
      <c r="E2956" s="58"/>
      <c r="F2956" s="957"/>
      <c r="H2956" s="167"/>
      <c r="N2956" s="958"/>
    </row>
    <row r="2957" spans="1:14" ht="15" hidden="1">
      <c r="A2957" s="58"/>
      <c r="B2957"/>
      <c r="G2957" s="933"/>
      <c r="H2957" s="934"/>
      <c r="N2957" s="958"/>
    </row>
    <row r="2958" spans="1:14" ht="15" hidden="1">
      <c r="A2958" s="58"/>
      <c r="B2958"/>
      <c r="C2958" s="868"/>
      <c r="D2958" s="868"/>
      <c r="E2958" s="58"/>
      <c r="F2958" s="957"/>
      <c r="N2958" s="958"/>
    </row>
    <row r="2959" spans="1:14" ht="15" hidden="1">
      <c r="A2959" s="58"/>
      <c r="B2959"/>
      <c r="C2959" s="868"/>
      <c r="D2959" s="868"/>
      <c r="E2959" s="58"/>
      <c r="F2959" s="957"/>
      <c r="H2959" s="167"/>
      <c r="N2959" s="958"/>
    </row>
    <row r="2960" spans="1:14" ht="15" hidden="1">
      <c r="A2960" s="58"/>
      <c r="B2960"/>
      <c r="C2960" s="868"/>
      <c r="D2960" s="868"/>
      <c r="E2960" s="58"/>
      <c r="H2960" s="167"/>
      <c r="N2960" s="958"/>
    </row>
    <row r="2961" spans="1:14" ht="15" hidden="1">
      <c r="A2961" s="58"/>
      <c r="B2961"/>
      <c r="C2961" s="868"/>
      <c r="D2961" s="868"/>
      <c r="E2961" s="58"/>
      <c r="H2961" s="167"/>
      <c r="N2961" s="958"/>
    </row>
    <row r="2962" spans="1:14" ht="15" hidden="1">
      <c r="A2962" s="58"/>
      <c r="B2962"/>
      <c r="C2962" s="868"/>
      <c r="D2962" s="932"/>
      <c r="E2962" s="58"/>
      <c r="H2962" s="167"/>
      <c r="N2962" s="958"/>
    </row>
    <row r="2963" spans="1:14" ht="15" hidden="1">
      <c r="A2963" s="58"/>
      <c r="B2963"/>
      <c r="C2963" s="868"/>
      <c r="D2963" s="868"/>
      <c r="E2963" s="58"/>
      <c r="F2963" s="957"/>
      <c r="G2963" s="933"/>
      <c r="H2963" s="934"/>
      <c r="N2963" s="958"/>
    </row>
    <row r="2964" spans="1:14" ht="15" hidden="1">
      <c r="A2964" s="58"/>
      <c r="B2964"/>
      <c r="C2964" s="868"/>
      <c r="D2964" s="868"/>
      <c r="F2964" s="957"/>
      <c r="G2964" s="933"/>
      <c r="H2964" s="934"/>
    </row>
    <row r="2965" spans="1:14" ht="15" hidden="1">
      <c r="A2965" s="58"/>
      <c r="B2965"/>
      <c r="D2965" s="932"/>
      <c r="F2965" s="957"/>
      <c r="G2965" s="933"/>
      <c r="H2965" s="934"/>
    </row>
    <row r="2966" spans="1:14" ht="15" hidden="1">
      <c r="A2966" s="58"/>
      <c r="B2966"/>
      <c r="D2966" s="932"/>
      <c r="G2966" s="933"/>
      <c r="H2966" s="934"/>
    </row>
    <row r="2967" spans="1:14" ht="15" hidden="1">
      <c r="A2967" s="58"/>
      <c r="B2967"/>
      <c r="D2967" s="932"/>
      <c r="G2967" s="933"/>
      <c r="H2967" s="934"/>
    </row>
    <row r="2968" spans="1:14" ht="15" hidden="1">
      <c r="A2968" s="58"/>
      <c r="B2968"/>
      <c r="D2968" s="932"/>
      <c r="F2968" s="957"/>
      <c r="G2968" s="933"/>
      <c r="H2968" s="934"/>
    </row>
    <row r="2969" spans="1:14" ht="15" hidden="1">
      <c r="A2969" s="58"/>
      <c r="B2969"/>
      <c r="D2969" s="932"/>
      <c r="G2969" s="933"/>
      <c r="H2969" s="934"/>
    </row>
    <row r="2970" spans="1:14" ht="15" hidden="1">
      <c r="A2970" s="58"/>
      <c r="B2970"/>
      <c r="D2970" s="932"/>
      <c r="G2970" s="933"/>
      <c r="H2970" s="934"/>
    </row>
    <row r="2971" spans="1:14" ht="15" hidden="1">
      <c r="A2971" s="58"/>
      <c r="B2971"/>
      <c r="D2971" s="932"/>
      <c r="G2971" s="933"/>
      <c r="H2971" s="934"/>
    </row>
    <row r="2972" spans="1:14" ht="15" hidden="1">
      <c r="A2972" s="58"/>
      <c r="B2972"/>
      <c r="D2972" s="932"/>
      <c r="G2972" s="933"/>
      <c r="H2972" s="934"/>
    </row>
    <row r="2973" spans="1:14" ht="15" hidden="1">
      <c r="A2973" s="58"/>
      <c r="B2973"/>
      <c r="D2973" s="932"/>
      <c r="G2973" s="933"/>
      <c r="H2973" s="934"/>
    </row>
    <row r="2974" spans="1:14" ht="15" hidden="1">
      <c r="A2974" s="58"/>
      <c r="B2974"/>
      <c r="D2974" s="932"/>
      <c r="G2974" s="933"/>
      <c r="H2974" s="934"/>
    </row>
    <row r="2975" spans="1:14" ht="15" hidden="1">
      <c r="A2975" s="58"/>
      <c r="B2975"/>
      <c r="D2975" s="932"/>
      <c r="G2975" s="933"/>
      <c r="H2975" s="934"/>
    </row>
    <row r="2976" spans="1:14" ht="15" hidden="1">
      <c r="A2976" s="58"/>
      <c r="B2976"/>
      <c r="D2976" s="932"/>
      <c r="G2976" s="933"/>
      <c r="H2976" s="934"/>
    </row>
    <row r="2977" spans="1:12" ht="15" hidden="1">
      <c r="A2977" s="58"/>
      <c r="B2977"/>
      <c r="D2977" s="932"/>
      <c r="G2977" s="933"/>
      <c r="H2977" s="934"/>
    </row>
    <row r="2978" spans="1:12" ht="15" hidden="1">
      <c r="A2978" s="58"/>
      <c r="B2978"/>
      <c r="D2978" s="932"/>
      <c r="G2978" s="933"/>
      <c r="H2978" s="934"/>
    </row>
    <row r="2979" spans="1:12" ht="15" hidden="1">
      <c r="A2979" s="58"/>
      <c r="B2979"/>
      <c r="D2979" s="932"/>
      <c r="F2979" s="957"/>
      <c r="G2979" s="933"/>
      <c r="H2979" s="934"/>
    </row>
    <row r="2980" spans="1:12" ht="15" hidden="1">
      <c r="A2980" s="58"/>
      <c r="B2980"/>
      <c r="D2980" s="932"/>
      <c r="G2980" s="933"/>
      <c r="H2980" s="934"/>
    </row>
    <row r="2981" spans="1:12" ht="15" hidden="1">
      <c r="A2981" s="58"/>
      <c r="B2981"/>
      <c r="D2981" s="932"/>
      <c r="G2981" s="933"/>
      <c r="H2981" s="934"/>
    </row>
    <row r="2982" spans="1:12" ht="15" hidden="1">
      <c r="A2982" s="58"/>
      <c r="B2982"/>
      <c r="D2982" s="932"/>
      <c r="G2982" s="933"/>
      <c r="H2982" s="934"/>
      <c r="L2982" s="283"/>
    </row>
    <row r="2983" spans="1:12" ht="15" hidden="1">
      <c r="A2983" s="58"/>
      <c r="B2983"/>
      <c r="D2983" s="932"/>
      <c r="G2983" s="933"/>
      <c r="H2983" s="934"/>
      <c r="L2983"/>
    </row>
    <row r="2984" spans="1:12" ht="15" hidden="1">
      <c r="A2984" s="58"/>
      <c r="B2984"/>
      <c r="D2984" s="932"/>
      <c r="G2984" s="933"/>
      <c r="H2984" s="934"/>
      <c r="L2984"/>
    </row>
    <row r="2985" spans="1:12" ht="15" hidden="1">
      <c r="A2985" s="58"/>
      <c r="B2985"/>
      <c r="D2985" s="932"/>
      <c r="G2985" s="933"/>
      <c r="H2985" s="934"/>
    </row>
    <row r="2986" spans="1:12" ht="15" hidden="1">
      <c r="A2986" s="58"/>
      <c r="B2986"/>
      <c r="D2986" s="932"/>
      <c r="G2986" s="933"/>
      <c r="H2986" s="934"/>
    </row>
    <row r="2987" spans="1:12" ht="15" hidden="1">
      <c r="A2987" s="58"/>
      <c r="B2987"/>
      <c r="D2987" s="932"/>
      <c r="F2987" s="957"/>
      <c r="G2987" s="933"/>
      <c r="H2987" s="934"/>
    </row>
    <row r="2988" spans="1:12" ht="15" hidden="1">
      <c r="A2988" s="58"/>
      <c r="B2988"/>
      <c r="D2988" s="932"/>
      <c r="G2988" s="933"/>
      <c r="H2988" s="934"/>
    </row>
    <row r="2989" spans="1:12" ht="15" hidden="1">
      <c r="A2989" s="58"/>
      <c r="B2989"/>
      <c r="D2989" s="932"/>
      <c r="G2989" s="933"/>
      <c r="H2989" s="934"/>
    </row>
    <row r="2990" spans="1:12" ht="15" hidden="1">
      <c r="A2990" s="58"/>
      <c r="B2990"/>
      <c r="D2990" s="932"/>
      <c r="G2990" s="933"/>
      <c r="H2990" s="934"/>
    </row>
    <row r="2991" spans="1:12" ht="15" hidden="1">
      <c r="A2991" s="58"/>
      <c r="B2991"/>
      <c r="G2991" s="933"/>
      <c r="H2991" s="934"/>
    </row>
    <row r="2992" spans="1:12" ht="15" hidden="1">
      <c r="A2992" s="58"/>
      <c r="B2992"/>
      <c r="D2992" s="932"/>
      <c r="G2992" s="933"/>
      <c r="H2992" s="934"/>
    </row>
    <row r="2993" spans="1:12" ht="15" hidden="1">
      <c r="A2993" s="58"/>
      <c r="B2993"/>
      <c r="G2993" s="933"/>
      <c r="H2993" s="934"/>
    </row>
    <row r="2994" spans="1:12" ht="15" hidden="1">
      <c r="A2994" s="58"/>
      <c r="B2994"/>
      <c r="G2994" s="933"/>
      <c r="H2994" s="934"/>
    </row>
    <row r="2995" spans="1:12" ht="15" hidden="1">
      <c r="A2995" s="58"/>
      <c r="B2995"/>
      <c r="D2995" s="932"/>
      <c r="G2995" s="933"/>
      <c r="H2995" s="934"/>
    </row>
    <row r="2996" spans="1:12" ht="15" hidden="1">
      <c r="A2996" s="58"/>
      <c r="B2996"/>
      <c r="D2996" s="932"/>
      <c r="G2996" s="933"/>
      <c r="H2996" s="934"/>
      <c r="L2996" s="950"/>
    </row>
    <row r="2997" spans="1:12" ht="15" hidden="1">
      <c r="A2997" s="58"/>
      <c r="B2997"/>
      <c r="D2997" s="932"/>
      <c r="G2997" s="933"/>
      <c r="H2997" s="934"/>
    </row>
    <row r="2998" spans="1:12" ht="15" hidden="1">
      <c r="A2998" s="58"/>
      <c r="B2998"/>
      <c r="D2998" s="932"/>
      <c r="G2998" s="933"/>
      <c r="H2998" s="934"/>
    </row>
    <row r="2999" spans="1:12" ht="15" hidden="1">
      <c r="A2999" s="58"/>
      <c r="B2999"/>
      <c r="D2999" s="932"/>
      <c r="G2999" s="933"/>
      <c r="H2999" s="934"/>
    </row>
    <row r="3000" spans="1:12" ht="15" hidden="1">
      <c r="A3000" s="58"/>
      <c r="B3000"/>
      <c r="D3000" s="932"/>
      <c r="G3000" s="933"/>
      <c r="H3000" s="934"/>
    </row>
    <row r="3001" spans="1:12" ht="15" hidden="1">
      <c r="A3001" s="58"/>
      <c r="B3001"/>
      <c r="D3001" s="932"/>
      <c r="G3001" s="933"/>
      <c r="H3001" s="934"/>
    </row>
    <row r="3002" spans="1:12" ht="15" hidden="1">
      <c r="A3002" s="58"/>
      <c r="B3002"/>
      <c r="D3002" s="932"/>
      <c r="G3002" s="933"/>
      <c r="H3002" s="934"/>
    </row>
    <row r="3003" spans="1:12" ht="15" hidden="1">
      <c r="A3003" s="58"/>
      <c r="B3003"/>
      <c r="D3003" s="932"/>
      <c r="G3003" s="933"/>
      <c r="H3003" s="934"/>
    </row>
    <row r="3004" spans="1:12" ht="15" hidden="1">
      <c r="A3004" s="58"/>
      <c r="B3004"/>
      <c r="D3004" s="932"/>
      <c r="G3004" s="933"/>
      <c r="H3004" s="934"/>
    </row>
    <row r="3005" spans="1:12" ht="15" hidden="1">
      <c r="A3005" s="58"/>
      <c r="B3005"/>
      <c r="D3005" s="932"/>
      <c r="G3005" s="933"/>
      <c r="H3005" s="934"/>
    </row>
    <row r="3006" spans="1:12" ht="15" hidden="1">
      <c r="A3006" s="58"/>
      <c r="B3006"/>
      <c r="D3006" s="932"/>
      <c r="G3006" s="933"/>
      <c r="H3006" s="934"/>
    </row>
    <row r="3007" spans="1:12" ht="15" hidden="1">
      <c r="A3007" s="58"/>
      <c r="B3007"/>
      <c r="D3007" s="932"/>
      <c r="G3007" s="933"/>
      <c r="H3007" s="934"/>
    </row>
    <row r="3008" spans="1:12" ht="15" hidden="1">
      <c r="A3008" s="58"/>
      <c r="B3008"/>
      <c r="D3008" s="932"/>
      <c r="G3008" s="933"/>
      <c r="H3008" s="934"/>
    </row>
    <row r="3009" spans="1:8" ht="15" hidden="1">
      <c r="A3009" s="58"/>
      <c r="B3009"/>
      <c r="D3009" s="932"/>
      <c r="G3009" s="933"/>
      <c r="H3009" s="934"/>
    </row>
    <row r="3010" spans="1:8" ht="15" hidden="1">
      <c r="A3010" s="58"/>
      <c r="B3010"/>
      <c r="D3010" s="932"/>
      <c r="G3010" s="933"/>
      <c r="H3010" s="934"/>
    </row>
    <row r="3011" spans="1:8" ht="15" hidden="1">
      <c r="A3011" s="58"/>
      <c r="B3011"/>
      <c r="D3011" s="932"/>
      <c r="G3011" s="933"/>
      <c r="H3011" s="934"/>
    </row>
    <row r="3012" spans="1:8" ht="15" hidden="1">
      <c r="A3012" s="58"/>
      <c r="B3012"/>
      <c r="D3012" s="932"/>
      <c r="G3012" s="933"/>
      <c r="H3012" s="934"/>
    </row>
    <row r="3013" spans="1:8" ht="15" hidden="1">
      <c r="A3013" s="58"/>
      <c r="B3013"/>
      <c r="G3013" s="933"/>
      <c r="H3013" s="934"/>
    </row>
    <row r="3014" spans="1:8" ht="15" hidden="1">
      <c r="A3014" s="58"/>
      <c r="B3014"/>
      <c r="D3014" s="932"/>
      <c r="G3014" s="933"/>
      <c r="H3014" s="934"/>
    </row>
    <row r="3015" spans="1:8" ht="15" hidden="1">
      <c r="A3015" s="58"/>
      <c r="B3015"/>
      <c r="D3015" s="932"/>
      <c r="G3015" s="933"/>
      <c r="H3015" s="934"/>
    </row>
    <row r="3016" spans="1:8" ht="15" hidden="1">
      <c r="A3016" s="58"/>
      <c r="B3016"/>
      <c r="D3016" s="932"/>
      <c r="G3016" s="933"/>
      <c r="H3016" s="934"/>
    </row>
    <row r="3017" spans="1:8" ht="15" hidden="1">
      <c r="A3017" s="58"/>
      <c r="B3017"/>
      <c r="D3017" s="932"/>
      <c r="G3017" s="933"/>
      <c r="H3017" s="934"/>
    </row>
    <row r="3018" spans="1:8" ht="15" hidden="1">
      <c r="A3018" s="58"/>
      <c r="B3018"/>
      <c r="D3018" s="932"/>
      <c r="G3018" s="933"/>
      <c r="H3018" s="934"/>
    </row>
    <row r="3019" spans="1:8" ht="15" hidden="1">
      <c r="A3019" s="58"/>
      <c r="B3019"/>
      <c r="D3019" s="932"/>
      <c r="G3019" s="933"/>
      <c r="H3019" s="934"/>
    </row>
    <row r="3020" spans="1:8" hidden="1"/>
    <row r="3021" spans="1:8" hidden="1">
      <c r="F3021" s="957"/>
    </row>
    <row r="3022" spans="1:8" hidden="1">
      <c r="D3022" s="932"/>
    </row>
    <row r="3023" spans="1:8" hidden="1">
      <c r="D3023" s="932"/>
    </row>
    <row r="3024" spans="1:8" hidden="1">
      <c r="D3024" s="932"/>
    </row>
    <row r="3025" spans="1:8" hidden="1">
      <c r="D3025" s="932"/>
    </row>
    <row r="3026" spans="1:8" hidden="1">
      <c r="D3026" s="932"/>
    </row>
    <row r="3027" spans="1:8" hidden="1">
      <c r="D3027" s="932"/>
    </row>
    <row r="3028" spans="1:8" hidden="1">
      <c r="D3028" s="932"/>
    </row>
    <row r="3029" spans="1:8" hidden="1">
      <c r="D3029" s="932"/>
    </row>
    <row r="3030" spans="1:8" hidden="1">
      <c r="D3030" s="932"/>
    </row>
    <row r="3031" spans="1:8" hidden="1">
      <c r="D3031" s="932"/>
      <c r="H3031" s="167"/>
    </row>
    <row r="3032" spans="1:8" ht="15" hidden="1">
      <c r="A3032" s="959"/>
      <c r="B3032" s="960"/>
      <c r="D3032" s="932"/>
      <c r="H3032" s="167"/>
    </row>
    <row r="3033" spans="1:8" ht="15" hidden="1">
      <c r="A3033" s="959"/>
      <c r="B3033" s="960"/>
      <c r="D3033" s="932"/>
      <c r="G3033" s="933"/>
      <c r="H3033" s="934"/>
    </row>
    <row r="3034" spans="1:8" hidden="1">
      <c r="D3034" s="932"/>
      <c r="G3034" s="933"/>
      <c r="H3034" s="934"/>
    </row>
    <row r="3035" spans="1:8" hidden="1">
      <c r="D3035" s="932"/>
      <c r="G3035" s="933"/>
      <c r="H3035" s="934"/>
    </row>
    <row r="3036" spans="1:8" hidden="1">
      <c r="D3036" s="932"/>
      <c r="G3036" s="933"/>
      <c r="H3036" s="934"/>
    </row>
    <row r="3037" spans="1:8" hidden="1">
      <c r="D3037" s="932"/>
      <c r="G3037" s="933"/>
      <c r="H3037" s="934"/>
    </row>
    <row r="3038" spans="1:8" hidden="1">
      <c r="D3038" s="932"/>
      <c r="G3038" s="933"/>
      <c r="H3038" s="934"/>
    </row>
    <row r="3039" spans="1:8" hidden="1">
      <c r="D3039" s="932"/>
      <c r="G3039" s="933"/>
      <c r="H3039" s="934"/>
    </row>
    <row r="3040" spans="1:8" hidden="1">
      <c r="D3040" s="932"/>
      <c r="G3040" s="933"/>
      <c r="H3040" s="934"/>
    </row>
    <row r="3041" spans="4:8" hidden="1">
      <c r="D3041" s="932"/>
      <c r="G3041" s="933"/>
      <c r="H3041" s="934"/>
    </row>
    <row r="3042" spans="4:8" hidden="1">
      <c r="D3042" s="932"/>
      <c r="G3042" s="933"/>
      <c r="H3042" s="934"/>
    </row>
    <row r="3043" spans="4:8" hidden="1">
      <c r="D3043" s="932"/>
      <c r="G3043" s="933"/>
      <c r="H3043" s="934"/>
    </row>
    <row r="3044" spans="4:8" hidden="1">
      <c r="D3044" s="932"/>
      <c r="G3044" s="933"/>
      <c r="H3044" s="934"/>
    </row>
    <row r="3045" spans="4:8" hidden="1">
      <c r="D3045" s="932"/>
      <c r="G3045" s="933"/>
      <c r="H3045" s="934"/>
    </row>
    <row r="3046" spans="4:8" hidden="1">
      <c r="D3046" s="932"/>
      <c r="G3046" s="933"/>
      <c r="H3046" s="934"/>
    </row>
    <row r="3047" spans="4:8" hidden="1">
      <c r="D3047" s="932"/>
      <c r="G3047" s="933"/>
      <c r="H3047" s="934"/>
    </row>
    <row r="3048" spans="4:8" hidden="1">
      <c r="D3048" s="932"/>
      <c r="G3048" s="933"/>
      <c r="H3048" s="934"/>
    </row>
    <row r="3049" spans="4:8" hidden="1">
      <c r="D3049" s="932"/>
      <c r="G3049" s="933"/>
      <c r="H3049" s="934"/>
    </row>
    <row r="3050" spans="4:8" hidden="1">
      <c r="D3050" s="932"/>
      <c r="G3050" s="933"/>
      <c r="H3050" s="934"/>
    </row>
    <row r="3051" spans="4:8" hidden="1">
      <c r="D3051" s="932"/>
      <c r="G3051" s="933"/>
      <c r="H3051" s="934"/>
    </row>
    <row r="3052" spans="4:8" hidden="1">
      <c r="D3052" s="932"/>
      <c r="G3052" s="933"/>
      <c r="H3052" s="934"/>
    </row>
    <row r="3053" spans="4:8" hidden="1">
      <c r="D3053" s="932"/>
      <c r="G3053" s="933"/>
      <c r="H3053" s="934"/>
    </row>
    <row r="3054" spans="4:8" hidden="1">
      <c r="D3054" s="932"/>
      <c r="G3054" s="933"/>
      <c r="H3054" s="934"/>
    </row>
    <row r="3055" spans="4:8" hidden="1">
      <c r="D3055" s="932"/>
      <c r="G3055" s="933"/>
      <c r="H3055" s="934"/>
    </row>
    <row r="3056" spans="4:8" hidden="1">
      <c r="D3056" s="932"/>
      <c r="G3056" s="933"/>
      <c r="H3056" s="934"/>
    </row>
    <row r="3057" spans="4:8" hidden="1">
      <c r="D3057" s="932"/>
      <c r="G3057" s="933"/>
      <c r="H3057" s="934"/>
    </row>
    <row r="3058" spans="4:8" hidden="1">
      <c r="D3058" s="932"/>
      <c r="G3058" s="933"/>
      <c r="H3058" s="934"/>
    </row>
    <row r="3059" spans="4:8" hidden="1">
      <c r="D3059" s="932"/>
      <c r="G3059" s="933"/>
      <c r="H3059" s="934"/>
    </row>
    <row r="3060" spans="4:8" hidden="1">
      <c r="D3060" s="932"/>
      <c r="G3060" s="933"/>
      <c r="H3060" s="934"/>
    </row>
    <row r="3061" spans="4:8" hidden="1">
      <c r="D3061" s="932"/>
      <c r="G3061" s="933"/>
      <c r="H3061" s="934"/>
    </row>
    <row r="3062" spans="4:8" hidden="1">
      <c r="D3062" s="932"/>
      <c r="G3062" s="933"/>
      <c r="H3062" s="934"/>
    </row>
    <row r="3063" spans="4:8" hidden="1">
      <c r="D3063" s="932"/>
      <c r="G3063" s="933"/>
      <c r="H3063" s="934"/>
    </row>
    <row r="3064" spans="4:8" hidden="1">
      <c r="D3064" s="932"/>
      <c r="G3064" s="933"/>
      <c r="H3064" s="934"/>
    </row>
    <row r="3065" spans="4:8" hidden="1">
      <c r="D3065" s="932"/>
      <c r="G3065" s="933"/>
      <c r="H3065" s="934"/>
    </row>
    <row r="3066" spans="4:8" hidden="1">
      <c r="D3066" s="932"/>
      <c r="G3066" s="933"/>
      <c r="H3066" s="934"/>
    </row>
    <row r="3067" spans="4:8" hidden="1">
      <c r="D3067" s="932"/>
      <c r="G3067" s="933"/>
      <c r="H3067" s="934"/>
    </row>
    <row r="3068" spans="4:8" hidden="1">
      <c r="D3068" s="932"/>
      <c r="G3068" s="933"/>
      <c r="H3068" s="934"/>
    </row>
    <row r="3069" spans="4:8" hidden="1">
      <c r="D3069" s="932"/>
      <c r="G3069" s="933"/>
      <c r="H3069" s="934"/>
    </row>
    <row r="3070" spans="4:8" hidden="1">
      <c r="D3070" s="932"/>
      <c r="G3070" s="933"/>
      <c r="H3070" s="934"/>
    </row>
    <row r="3071" spans="4:8" hidden="1">
      <c r="D3071" s="932"/>
      <c r="G3071" s="933"/>
      <c r="H3071" s="934"/>
    </row>
    <row r="3072" spans="4:8" hidden="1">
      <c r="D3072" s="932"/>
      <c r="G3072" s="933"/>
      <c r="H3072" s="934"/>
    </row>
    <row r="3073" spans="4:8" hidden="1">
      <c r="D3073" s="932"/>
      <c r="G3073" s="933"/>
      <c r="H3073" s="934"/>
    </row>
    <row r="3074" spans="4:8" hidden="1">
      <c r="D3074" s="932"/>
      <c r="G3074" s="933"/>
      <c r="H3074" s="934"/>
    </row>
    <row r="3075" spans="4:8" hidden="1">
      <c r="D3075" s="932"/>
      <c r="G3075" s="933"/>
      <c r="H3075" s="934"/>
    </row>
    <row r="3076" spans="4:8" hidden="1">
      <c r="D3076" s="932"/>
      <c r="G3076" s="933"/>
      <c r="H3076" s="934"/>
    </row>
    <row r="3077" spans="4:8" hidden="1">
      <c r="D3077" s="932"/>
      <c r="G3077" s="933"/>
      <c r="H3077" s="934"/>
    </row>
    <row r="3078" spans="4:8" hidden="1">
      <c r="D3078" s="932"/>
      <c r="G3078" s="933"/>
      <c r="H3078" s="934"/>
    </row>
    <row r="3079" spans="4:8" hidden="1">
      <c r="D3079" s="932"/>
      <c r="G3079" s="933"/>
      <c r="H3079" s="934"/>
    </row>
    <row r="3080" spans="4:8" hidden="1">
      <c r="D3080" s="932"/>
      <c r="G3080" s="933"/>
      <c r="H3080" s="934"/>
    </row>
    <row r="3081" spans="4:8" hidden="1">
      <c r="D3081" s="932"/>
      <c r="G3081" s="933"/>
      <c r="H3081" s="934"/>
    </row>
    <row r="3082" spans="4:8" hidden="1">
      <c r="D3082" s="932"/>
      <c r="G3082" s="933"/>
      <c r="H3082" s="934"/>
    </row>
    <row r="3083" spans="4:8" hidden="1">
      <c r="D3083" s="932"/>
      <c r="G3083" s="933"/>
      <c r="H3083" s="934"/>
    </row>
    <row r="3084" spans="4:8" hidden="1">
      <c r="D3084" s="932"/>
      <c r="G3084" s="933"/>
      <c r="H3084" s="934"/>
    </row>
    <row r="3085" spans="4:8" hidden="1">
      <c r="D3085" s="932"/>
      <c r="G3085" s="933"/>
      <c r="H3085" s="934"/>
    </row>
    <row r="3086" spans="4:8" hidden="1">
      <c r="D3086" s="932"/>
      <c r="G3086" s="933"/>
      <c r="H3086" s="934"/>
    </row>
    <row r="3087" spans="4:8" hidden="1">
      <c r="D3087" s="932"/>
      <c r="G3087" s="933"/>
      <c r="H3087" s="934"/>
    </row>
    <row r="3088" spans="4:8" hidden="1">
      <c r="D3088" s="932"/>
      <c r="G3088" s="933"/>
      <c r="H3088" s="934"/>
    </row>
    <row r="3089" spans="4:8" hidden="1">
      <c r="D3089" s="932"/>
      <c r="G3089" s="933"/>
      <c r="H3089" s="934"/>
    </row>
    <row r="3090" spans="4:8" hidden="1">
      <c r="D3090" s="932"/>
      <c r="G3090" s="933"/>
      <c r="H3090" s="934"/>
    </row>
    <row r="3091" spans="4:8" hidden="1">
      <c r="D3091" s="932"/>
      <c r="G3091" s="933"/>
      <c r="H3091" s="934"/>
    </row>
    <row r="3092" spans="4:8" hidden="1">
      <c r="D3092" s="932"/>
      <c r="G3092" s="933"/>
      <c r="H3092" s="934"/>
    </row>
    <row r="3093" spans="4:8" hidden="1">
      <c r="D3093" s="932"/>
      <c r="G3093" s="933"/>
      <c r="H3093" s="934"/>
    </row>
    <row r="3094" spans="4:8" hidden="1">
      <c r="D3094" s="932"/>
      <c r="G3094" s="933"/>
      <c r="H3094" s="934"/>
    </row>
    <row r="3095" spans="4:8" hidden="1">
      <c r="D3095" s="932"/>
      <c r="G3095" s="933"/>
      <c r="H3095" s="934"/>
    </row>
    <row r="3096" spans="4:8" hidden="1">
      <c r="D3096" s="932"/>
      <c r="G3096" s="933"/>
      <c r="H3096" s="934"/>
    </row>
    <row r="3097" spans="4:8" hidden="1">
      <c r="D3097" s="932"/>
      <c r="G3097" s="933"/>
      <c r="H3097" s="934"/>
    </row>
    <row r="3098" spans="4:8" hidden="1">
      <c r="D3098" s="932"/>
      <c r="G3098" s="933"/>
      <c r="H3098" s="934"/>
    </row>
    <row r="3099" spans="4:8" hidden="1">
      <c r="D3099" s="932"/>
      <c r="G3099" s="933"/>
      <c r="H3099" s="934"/>
    </row>
    <row r="3100" spans="4:8" hidden="1">
      <c r="D3100" s="932"/>
      <c r="G3100" s="933"/>
      <c r="H3100" s="934"/>
    </row>
    <row r="3101" spans="4:8" hidden="1">
      <c r="D3101" s="932"/>
      <c r="G3101" s="933"/>
      <c r="H3101" s="934"/>
    </row>
    <row r="3102" spans="4:8" hidden="1">
      <c r="D3102" s="932"/>
      <c r="G3102" s="933"/>
      <c r="H3102" s="934"/>
    </row>
    <row r="3103" spans="4:8" hidden="1">
      <c r="D3103" s="932"/>
      <c r="G3103" s="933"/>
      <c r="H3103" s="934"/>
    </row>
    <row r="3104" spans="4:8" hidden="1">
      <c r="D3104" s="932"/>
      <c r="G3104" s="933"/>
      <c r="H3104" s="934"/>
    </row>
    <row r="3105" spans="2:8" hidden="1">
      <c r="D3105" s="932"/>
      <c r="G3105" s="933"/>
      <c r="H3105" s="934"/>
    </row>
    <row r="3106" spans="2:8" hidden="1">
      <c r="D3106" s="932"/>
      <c r="G3106" s="933"/>
      <c r="H3106" s="934"/>
    </row>
    <row r="3107" spans="2:8" hidden="1">
      <c r="D3107" s="932"/>
      <c r="G3107" s="933"/>
      <c r="H3107" s="934"/>
    </row>
    <row r="3108" spans="2:8" hidden="1">
      <c r="D3108" s="932"/>
      <c r="G3108" s="933"/>
      <c r="H3108" s="934"/>
    </row>
    <row r="3109" spans="2:8" hidden="1">
      <c r="D3109" s="932"/>
      <c r="G3109" s="933"/>
      <c r="H3109" s="934"/>
    </row>
    <row r="3110" spans="2:8" hidden="1">
      <c r="D3110" s="932"/>
      <c r="G3110" s="933"/>
      <c r="H3110" s="934"/>
    </row>
    <row r="3111" spans="2:8" ht="15" hidden="1">
      <c r="B3111" s="961"/>
      <c r="D3111" s="932"/>
      <c r="G3111" s="933"/>
      <c r="H3111" s="934"/>
    </row>
    <row r="3112" spans="2:8" hidden="1">
      <c r="D3112" s="932"/>
      <c r="G3112" s="933"/>
      <c r="H3112" s="934"/>
    </row>
    <row r="3113" spans="2:8" hidden="1">
      <c r="G3113" s="933"/>
      <c r="H3113" s="934"/>
    </row>
    <row r="3114" spans="2:8" hidden="1">
      <c r="D3114" s="932"/>
      <c r="G3114" s="933"/>
      <c r="H3114" s="934"/>
    </row>
    <row r="3115" spans="2:8" hidden="1">
      <c r="D3115" s="932"/>
      <c r="G3115" s="933"/>
      <c r="H3115" s="934"/>
    </row>
    <row r="3116" spans="2:8" hidden="1">
      <c r="G3116" s="933"/>
      <c r="H3116" s="934"/>
    </row>
    <row r="3117" spans="2:8" hidden="1">
      <c r="D3117" s="932"/>
      <c r="G3117" s="933"/>
      <c r="H3117" s="934"/>
    </row>
    <row r="3118" spans="2:8" hidden="1">
      <c r="D3118" s="932"/>
      <c r="G3118" s="933"/>
      <c r="H3118" s="934"/>
    </row>
    <row r="3119" spans="2:8" hidden="1">
      <c r="D3119" s="932"/>
      <c r="G3119" s="933"/>
      <c r="H3119" s="934"/>
    </row>
    <row r="3120" spans="2:8" hidden="1">
      <c r="D3120" s="932"/>
      <c r="G3120" s="933"/>
      <c r="H3120" s="934"/>
    </row>
    <row r="3121" spans="3:13" hidden="1">
      <c r="D3121" s="932"/>
      <c r="G3121" s="933"/>
      <c r="H3121" s="934"/>
    </row>
    <row r="3122" spans="3:13" hidden="1">
      <c r="G3122" s="933"/>
      <c r="H3122" s="934"/>
    </row>
    <row r="3123" spans="3:13" hidden="1">
      <c r="D3123" s="932"/>
      <c r="G3123" s="933"/>
      <c r="H3123" s="934"/>
      <c r="M3123" s="957"/>
    </row>
    <row r="3124" spans="3:13" hidden="1">
      <c r="D3124" s="932"/>
      <c r="G3124" s="933"/>
      <c r="H3124" s="934"/>
      <c r="M3124" s="957"/>
    </row>
    <row r="3125" spans="3:13" hidden="1">
      <c r="D3125" s="932"/>
      <c r="G3125" s="933"/>
      <c r="H3125" s="934"/>
    </row>
    <row r="3126" spans="3:13" hidden="1">
      <c r="D3126" s="932"/>
      <c r="G3126" s="933"/>
      <c r="H3126" s="934"/>
    </row>
    <row r="3127" spans="3:13" hidden="1">
      <c r="D3127" s="932"/>
      <c r="G3127" s="933"/>
      <c r="H3127" s="934"/>
    </row>
    <row r="3128" spans="3:13" hidden="1">
      <c r="D3128" s="932"/>
      <c r="G3128" s="933"/>
      <c r="H3128" s="934"/>
    </row>
    <row r="3129" spans="3:13" hidden="1">
      <c r="D3129" s="932"/>
      <c r="G3129" s="933"/>
      <c r="H3129" s="934"/>
    </row>
    <row r="3130" spans="3:13" hidden="1">
      <c r="D3130" s="932"/>
      <c r="G3130" s="933"/>
      <c r="H3130" s="934"/>
    </row>
    <row r="3131" spans="3:13" hidden="1">
      <c r="D3131" s="932"/>
      <c r="G3131" s="933"/>
      <c r="H3131" s="934"/>
    </row>
    <row r="3132" spans="3:13" hidden="1">
      <c r="D3132" s="932"/>
      <c r="G3132" s="933"/>
      <c r="H3132" s="934"/>
    </row>
    <row r="3133" spans="3:13" hidden="1">
      <c r="D3133" s="932"/>
      <c r="G3133" s="933"/>
      <c r="H3133" s="934"/>
    </row>
    <row r="3134" spans="3:13" hidden="1">
      <c r="D3134" s="932"/>
      <c r="G3134" s="933"/>
      <c r="H3134" s="934"/>
    </row>
    <row r="3135" spans="3:13" hidden="1">
      <c r="D3135" s="932"/>
      <c r="G3135" s="933"/>
      <c r="H3135" s="934"/>
    </row>
    <row r="3136" spans="3:13" hidden="1">
      <c r="C3136" s="948"/>
      <c r="D3136" s="932"/>
      <c r="G3136" s="933"/>
      <c r="H3136" s="934"/>
    </row>
    <row r="3137" spans="2:8" hidden="1">
      <c r="D3137" s="932"/>
      <c r="G3137" s="933"/>
      <c r="H3137" s="934"/>
    </row>
    <row r="3138" spans="2:8" hidden="1">
      <c r="D3138" s="932"/>
      <c r="G3138" s="933"/>
      <c r="H3138" s="934"/>
    </row>
    <row r="3139" spans="2:8" hidden="1">
      <c r="D3139" s="932"/>
      <c r="G3139" s="933"/>
      <c r="H3139" s="934"/>
    </row>
    <row r="3140" spans="2:8" hidden="1">
      <c r="D3140" s="932"/>
      <c r="E3140" s="957"/>
      <c r="F3140" s="957"/>
      <c r="G3140" s="933"/>
      <c r="H3140" s="934"/>
    </row>
    <row r="3141" spans="2:8" hidden="1">
      <c r="D3141" s="932"/>
      <c r="E3141" s="957"/>
      <c r="F3141" s="957"/>
      <c r="G3141" s="933"/>
      <c r="H3141" s="934"/>
    </row>
    <row r="3142" spans="2:8" hidden="1">
      <c r="D3142" s="932"/>
      <c r="G3142" s="933"/>
      <c r="H3142" s="934"/>
    </row>
    <row r="3143" spans="2:8" hidden="1">
      <c r="D3143" s="932"/>
      <c r="G3143" s="933"/>
      <c r="H3143" s="934"/>
    </row>
    <row r="3144" spans="2:8" hidden="1">
      <c r="D3144" s="932"/>
      <c r="G3144" s="933"/>
      <c r="H3144" s="934"/>
    </row>
    <row r="3145" spans="2:8" hidden="1">
      <c r="D3145" s="932"/>
      <c r="G3145" s="933"/>
      <c r="H3145" s="934"/>
    </row>
    <row r="3146" spans="2:8" hidden="1">
      <c r="D3146" s="932"/>
      <c r="G3146" s="933"/>
      <c r="H3146" s="934"/>
    </row>
    <row r="3147" spans="2:8" hidden="1">
      <c r="D3147" s="932"/>
      <c r="G3147" s="933"/>
      <c r="H3147" s="934"/>
    </row>
    <row r="3148" spans="2:8" hidden="1">
      <c r="D3148" s="932"/>
      <c r="G3148" s="933"/>
      <c r="H3148" s="934"/>
    </row>
    <row r="3149" spans="2:8" ht="15" hidden="1">
      <c r="B3149"/>
      <c r="D3149" s="932"/>
      <c r="G3149" s="933"/>
      <c r="H3149" s="934"/>
    </row>
    <row r="3150" spans="2:8" ht="15" hidden="1">
      <c r="B3150"/>
      <c r="D3150" s="932"/>
      <c r="G3150" s="933"/>
      <c r="H3150" s="934"/>
    </row>
    <row r="3151" spans="2:8" ht="15" hidden="1">
      <c r="B3151"/>
      <c r="D3151" s="932"/>
      <c r="G3151" s="933"/>
      <c r="H3151" s="934"/>
    </row>
    <row r="3152" spans="2:8" ht="15" hidden="1">
      <c r="B3152"/>
      <c r="D3152" s="932"/>
      <c r="G3152" s="933"/>
      <c r="H3152" s="934"/>
    </row>
    <row r="3153" spans="1:14" ht="15" hidden="1">
      <c r="B3153"/>
      <c r="D3153" s="932"/>
      <c r="G3153" s="933"/>
      <c r="H3153" s="934"/>
    </row>
    <row r="3154" spans="1:14" hidden="1">
      <c r="D3154" s="932"/>
      <c r="G3154" s="933"/>
      <c r="H3154" s="934"/>
    </row>
    <row r="3155" spans="1:14" hidden="1">
      <c r="D3155" s="932"/>
      <c r="G3155" s="933"/>
      <c r="H3155" s="934"/>
    </row>
    <row r="3156" spans="1:14" hidden="1">
      <c r="D3156" s="932"/>
      <c r="G3156" s="933"/>
      <c r="H3156" s="934"/>
    </row>
    <row r="3157" spans="1:14" hidden="1">
      <c r="D3157" s="932"/>
      <c r="G3157" s="933"/>
      <c r="H3157" s="934"/>
    </row>
    <row r="3158" spans="1:14" hidden="1">
      <c r="D3158" s="932"/>
      <c r="G3158" s="933"/>
      <c r="H3158" s="934"/>
    </row>
    <row r="3159" spans="1:14" ht="15" hidden="1">
      <c r="B3159" s="962"/>
      <c r="D3159" s="932"/>
      <c r="G3159" s="933"/>
      <c r="H3159" s="934"/>
    </row>
    <row r="3160" spans="1:14" ht="15" hidden="1">
      <c r="B3160" s="962"/>
      <c r="D3160" s="932"/>
      <c r="G3160" s="933"/>
      <c r="H3160" s="934"/>
      <c r="L3160" s="954"/>
    </row>
    <row r="3161" spans="1:14" ht="15" hidden="1">
      <c r="A3161"/>
      <c r="D3161" s="932"/>
      <c r="E3161" s="957"/>
      <c r="F3161" s="957"/>
      <c r="G3161" s="933"/>
      <c r="H3161" s="934"/>
    </row>
    <row r="3162" spans="1:14" ht="15" hidden="1">
      <c r="B3162"/>
      <c r="D3162" s="932"/>
      <c r="G3162" s="933"/>
      <c r="H3162" s="934"/>
    </row>
    <row r="3163" spans="1:14" ht="15" hidden="1">
      <c r="B3163"/>
      <c r="D3163" s="932"/>
      <c r="G3163" s="933"/>
      <c r="H3163" s="934"/>
      <c r="N3163" s="963"/>
    </row>
    <row r="3164" spans="1:14" ht="15" hidden="1">
      <c r="B3164"/>
      <c r="D3164" s="932"/>
      <c r="G3164" s="933"/>
      <c r="H3164" s="934"/>
      <c r="N3164" s="963"/>
    </row>
    <row r="3165" spans="1:14" ht="15" hidden="1">
      <c r="B3165"/>
      <c r="D3165" s="932"/>
      <c r="G3165" s="933"/>
      <c r="H3165" s="934"/>
    </row>
    <row r="3166" spans="1:14" ht="15" hidden="1">
      <c r="B3166"/>
      <c r="D3166" s="932"/>
      <c r="F3166" s="957"/>
      <c r="G3166" s="933"/>
      <c r="H3166" s="934"/>
    </row>
    <row r="3167" spans="1:14" ht="15" hidden="1">
      <c r="B3167"/>
      <c r="D3167" s="932"/>
      <c r="F3167" s="957"/>
      <c r="G3167" s="933"/>
      <c r="H3167" s="934"/>
    </row>
    <row r="3168" spans="1:14" ht="15" hidden="1">
      <c r="B3168"/>
      <c r="D3168" s="932"/>
      <c r="G3168" s="933"/>
      <c r="H3168" s="934"/>
    </row>
    <row r="3169" spans="1:12" ht="15" hidden="1">
      <c r="B3169"/>
      <c r="D3169" s="932"/>
      <c r="G3169" s="933"/>
      <c r="H3169" s="934"/>
    </row>
    <row r="3170" spans="1:12" ht="15" hidden="1">
      <c r="B3170"/>
      <c r="D3170" s="932"/>
      <c r="G3170" s="933"/>
      <c r="H3170" s="934"/>
    </row>
    <row r="3171" spans="1:12" ht="15" hidden="1">
      <c r="B3171"/>
      <c r="D3171" s="932"/>
      <c r="E3171" s="957"/>
      <c r="G3171" s="933"/>
      <c r="H3171" s="934"/>
    </row>
    <row r="3172" spans="1:12" hidden="1">
      <c r="D3172" s="932"/>
      <c r="G3172" s="933"/>
      <c r="H3172" s="934"/>
    </row>
    <row r="3173" spans="1:12" hidden="1">
      <c r="D3173" s="932"/>
      <c r="G3173" s="933"/>
      <c r="H3173" s="934"/>
    </row>
    <row r="3174" spans="1:12" hidden="1">
      <c r="D3174" s="932"/>
      <c r="G3174" s="933"/>
      <c r="H3174" s="934"/>
    </row>
    <row r="3175" spans="1:12" ht="15" hidden="1">
      <c r="A3175" s="58"/>
      <c r="D3175" s="932"/>
      <c r="F3175" s="957"/>
      <c r="G3175" s="933"/>
      <c r="H3175" s="934"/>
    </row>
    <row r="3176" spans="1:12" ht="15" hidden="1">
      <c r="A3176" s="58"/>
      <c r="C3176" s="964"/>
      <c r="D3176" s="964"/>
      <c r="G3176" s="933"/>
      <c r="H3176" s="934"/>
      <c r="K3176" s="954"/>
      <c r="L3176" s="954"/>
    </row>
    <row r="3177" spans="1:12" ht="15" hidden="1">
      <c r="A3177" s="58"/>
      <c r="D3177" s="932"/>
      <c r="G3177" s="933"/>
      <c r="H3177" s="934"/>
    </row>
    <row r="3178" spans="1:12" ht="15" hidden="1">
      <c r="A3178" s="58"/>
      <c r="D3178" s="932"/>
      <c r="G3178" s="933"/>
      <c r="H3178" s="934"/>
    </row>
    <row r="3179" spans="1:12" ht="15" hidden="1">
      <c r="A3179" s="58"/>
      <c r="D3179" s="932"/>
      <c r="G3179" s="933"/>
      <c r="H3179" s="934"/>
      <c r="K3179" s="954"/>
      <c r="L3179" s="954"/>
    </row>
    <row r="3180" spans="1:12" hidden="1">
      <c r="D3180" s="932"/>
      <c r="G3180" s="933"/>
      <c r="H3180" s="934"/>
    </row>
    <row r="3181" spans="1:12" hidden="1">
      <c r="D3181" s="932"/>
      <c r="G3181" s="933"/>
      <c r="H3181" s="934"/>
    </row>
    <row r="3182" spans="1:12" hidden="1">
      <c r="D3182" s="932"/>
      <c r="G3182" s="933"/>
      <c r="H3182" s="934"/>
    </row>
    <row r="3183" spans="1:12" hidden="1">
      <c r="F3183" s="957"/>
      <c r="G3183" s="933"/>
      <c r="H3183" s="934"/>
    </row>
    <row r="3184" spans="1:12" hidden="1">
      <c r="F3184" s="957"/>
      <c r="G3184" s="933"/>
      <c r="H3184" s="934"/>
    </row>
    <row r="3185" spans="1:8" hidden="1">
      <c r="D3185" s="932"/>
      <c r="G3185" s="933"/>
      <c r="H3185" s="934"/>
    </row>
    <row r="3186" spans="1:8" hidden="1">
      <c r="D3186" s="932"/>
      <c r="G3186" s="933"/>
      <c r="H3186" s="934"/>
    </row>
    <row r="3187" spans="1:8" hidden="1">
      <c r="D3187" s="932"/>
      <c r="G3187" s="933"/>
      <c r="H3187" s="934"/>
    </row>
    <row r="3188" spans="1:8" hidden="1">
      <c r="D3188" s="932"/>
      <c r="G3188" s="933"/>
      <c r="H3188" s="934"/>
    </row>
    <row r="3189" spans="1:8" ht="15" hidden="1">
      <c r="A3189"/>
      <c r="B3189"/>
      <c r="D3189" s="932"/>
      <c r="G3189" s="933"/>
      <c r="H3189" s="934"/>
    </row>
    <row r="3190" spans="1:8" ht="15" hidden="1">
      <c r="A3190"/>
      <c r="B3190"/>
      <c r="D3190" s="932"/>
      <c r="G3190" s="933"/>
      <c r="H3190" s="934"/>
    </row>
    <row r="3191" spans="1:8" ht="15" hidden="1">
      <c r="A3191"/>
      <c r="B3191"/>
      <c r="D3191" s="932"/>
      <c r="G3191" s="933"/>
      <c r="H3191" s="934"/>
    </row>
    <row r="3192" spans="1:8" ht="15" hidden="1">
      <c r="A3192"/>
      <c r="B3192"/>
      <c r="D3192" s="932"/>
      <c r="G3192" s="933"/>
      <c r="H3192" s="934"/>
    </row>
    <row r="3193" spans="1:8" ht="15" hidden="1">
      <c r="A3193"/>
      <c r="B3193"/>
      <c r="D3193" s="932"/>
      <c r="G3193" s="933"/>
      <c r="H3193" s="934"/>
    </row>
    <row r="3194" spans="1:8" ht="15" hidden="1">
      <c r="A3194"/>
      <c r="B3194"/>
      <c r="D3194" s="932"/>
      <c r="G3194" s="933"/>
      <c r="H3194" s="934"/>
    </row>
    <row r="3195" spans="1:8" ht="15" hidden="1">
      <c r="A3195"/>
      <c r="B3195"/>
      <c r="D3195" s="932"/>
      <c r="G3195" s="933"/>
      <c r="H3195" s="934"/>
    </row>
    <row r="3196" spans="1:8" ht="15" hidden="1">
      <c r="A3196"/>
      <c r="B3196"/>
      <c r="D3196" s="932"/>
      <c r="G3196" s="933"/>
      <c r="H3196" s="934"/>
    </row>
    <row r="3197" spans="1:8" ht="15" hidden="1">
      <c r="A3197"/>
      <c r="B3197"/>
      <c r="D3197" s="932"/>
      <c r="G3197" s="933"/>
      <c r="H3197" s="934"/>
    </row>
    <row r="3198" spans="1:8" ht="15" hidden="1">
      <c r="A3198"/>
      <c r="B3198"/>
      <c r="D3198" s="932"/>
      <c r="G3198" s="933"/>
      <c r="H3198" s="934"/>
    </row>
    <row r="3199" spans="1:8" ht="15" hidden="1">
      <c r="A3199"/>
      <c r="B3199"/>
      <c r="D3199" s="932"/>
      <c r="G3199" s="933"/>
      <c r="H3199" s="934"/>
    </row>
    <row r="3200" spans="1:8" ht="15" hidden="1">
      <c r="A3200"/>
      <c r="B3200"/>
      <c r="D3200" s="932"/>
      <c r="G3200" s="933"/>
      <c r="H3200" s="934"/>
    </row>
    <row r="3201" spans="1:8" ht="15" hidden="1">
      <c r="A3201"/>
      <c r="B3201"/>
      <c r="D3201" s="932"/>
      <c r="G3201" s="933"/>
      <c r="H3201" s="934"/>
    </row>
    <row r="3202" spans="1:8" ht="15" hidden="1">
      <c r="A3202"/>
      <c r="B3202"/>
      <c r="D3202" s="932"/>
      <c r="G3202" s="933"/>
      <c r="H3202" s="934"/>
    </row>
    <row r="3203" spans="1:8" ht="15" hidden="1">
      <c r="A3203"/>
      <c r="B3203"/>
      <c r="D3203" s="932"/>
      <c r="G3203" s="933"/>
      <c r="H3203" s="934"/>
    </row>
    <row r="3204" spans="1:8" ht="15" hidden="1">
      <c r="A3204"/>
      <c r="B3204"/>
      <c r="D3204" s="932"/>
      <c r="G3204" s="933"/>
      <c r="H3204" s="934"/>
    </row>
    <row r="3205" spans="1:8" ht="15" hidden="1">
      <c r="A3205"/>
      <c r="B3205"/>
      <c r="D3205" s="932"/>
      <c r="G3205" s="933"/>
      <c r="H3205" s="934"/>
    </row>
    <row r="3206" spans="1:8" ht="15" hidden="1">
      <c r="A3206"/>
      <c r="B3206"/>
      <c r="D3206" s="932"/>
      <c r="G3206" s="933"/>
      <c r="H3206" s="934"/>
    </row>
    <row r="3207" spans="1:8" ht="15" hidden="1">
      <c r="A3207"/>
      <c r="B3207"/>
      <c r="D3207" s="932"/>
      <c r="G3207" s="933"/>
      <c r="H3207" s="934"/>
    </row>
    <row r="3208" spans="1:8" ht="15" hidden="1">
      <c r="A3208"/>
      <c r="B3208"/>
      <c r="D3208" s="932"/>
      <c r="G3208" s="933"/>
      <c r="H3208" s="934"/>
    </row>
    <row r="3209" spans="1:8" ht="15" hidden="1">
      <c r="A3209"/>
      <c r="B3209"/>
      <c r="D3209" s="932"/>
      <c r="G3209" s="933"/>
      <c r="H3209" s="934"/>
    </row>
    <row r="3210" spans="1:8" ht="15" hidden="1">
      <c r="A3210"/>
      <c r="B3210"/>
      <c r="D3210" s="932"/>
      <c r="G3210" s="933"/>
      <c r="H3210" s="934"/>
    </row>
    <row r="3211" spans="1:8" ht="15" hidden="1">
      <c r="A3211"/>
      <c r="B3211"/>
      <c r="D3211" s="932"/>
      <c r="F3211" s="957"/>
      <c r="G3211" s="933"/>
      <c r="H3211" s="934"/>
    </row>
    <row r="3212" spans="1:8" ht="15" hidden="1">
      <c r="A3212"/>
      <c r="B3212"/>
      <c r="D3212" s="932"/>
      <c r="F3212" s="957"/>
      <c r="G3212" s="933"/>
      <c r="H3212" s="934"/>
    </row>
    <row r="3213" spans="1:8" ht="15" hidden="1">
      <c r="A3213"/>
      <c r="B3213"/>
      <c r="D3213" s="932"/>
      <c r="G3213" s="933"/>
      <c r="H3213" s="934"/>
    </row>
    <row r="3214" spans="1:8" ht="15" hidden="1">
      <c r="A3214"/>
      <c r="B3214"/>
      <c r="D3214" s="932"/>
      <c r="G3214" s="933"/>
      <c r="H3214" s="934"/>
    </row>
    <row r="3215" spans="1:8" ht="15" hidden="1">
      <c r="A3215"/>
      <c r="B3215"/>
      <c r="D3215" s="932"/>
      <c r="G3215" s="933"/>
      <c r="H3215" s="934"/>
    </row>
    <row r="3216" spans="1:8" ht="15" hidden="1">
      <c r="A3216"/>
      <c r="B3216"/>
      <c r="D3216" s="932"/>
      <c r="G3216" s="933"/>
      <c r="H3216" s="934"/>
    </row>
    <row r="3217" spans="1:8" ht="15" hidden="1">
      <c r="A3217"/>
      <c r="B3217"/>
      <c r="D3217" s="932"/>
      <c r="G3217" s="933"/>
      <c r="H3217" s="934"/>
    </row>
    <row r="3218" spans="1:8" ht="15" hidden="1">
      <c r="A3218"/>
      <c r="B3218"/>
      <c r="D3218" s="932"/>
      <c r="G3218" s="933"/>
      <c r="H3218" s="934"/>
    </row>
    <row r="3219" spans="1:8" ht="15" hidden="1">
      <c r="A3219"/>
      <c r="B3219"/>
      <c r="D3219" s="932"/>
      <c r="G3219" s="933"/>
      <c r="H3219" s="934"/>
    </row>
    <row r="3220" spans="1:8" ht="15" hidden="1">
      <c r="A3220"/>
      <c r="B3220"/>
      <c r="D3220" s="932"/>
      <c r="G3220" s="933"/>
      <c r="H3220" s="934"/>
    </row>
    <row r="3221" spans="1:8" ht="15" hidden="1">
      <c r="A3221"/>
      <c r="B3221"/>
      <c r="D3221" s="932"/>
      <c r="G3221" s="933"/>
      <c r="H3221" s="934"/>
    </row>
    <row r="3222" spans="1:8" ht="15" hidden="1">
      <c r="A3222"/>
      <c r="B3222"/>
      <c r="D3222" s="932"/>
      <c r="G3222" s="933"/>
      <c r="H3222" s="934"/>
    </row>
    <row r="3223" spans="1:8" ht="15" hidden="1">
      <c r="A3223"/>
      <c r="B3223"/>
      <c r="D3223" s="932"/>
      <c r="G3223" s="933"/>
      <c r="H3223" s="934"/>
    </row>
    <row r="3224" spans="1:8" ht="15" hidden="1">
      <c r="A3224"/>
      <c r="B3224"/>
      <c r="D3224" s="932"/>
      <c r="G3224" s="933"/>
      <c r="H3224" s="934"/>
    </row>
    <row r="3225" spans="1:8" ht="15" hidden="1">
      <c r="A3225"/>
      <c r="G3225" s="933"/>
      <c r="H3225" s="934"/>
    </row>
    <row r="3226" spans="1:8" hidden="1">
      <c r="D3226" s="932"/>
      <c r="H3226" s="167"/>
    </row>
    <row r="3227" spans="1:8" hidden="1">
      <c r="D3227" s="932"/>
      <c r="H3227" s="167"/>
    </row>
    <row r="3228" spans="1:8" hidden="1">
      <c r="D3228" s="932"/>
    </row>
    <row r="3229" spans="1:8" hidden="1">
      <c r="D3229" s="932"/>
      <c r="H3229" s="167"/>
    </row>
    <row r="3230" spans="1:8" hidden="1">
      <c r="H3230" s="167"/>
    </row>
    <row r="3231" spans="1:8" hidden="1">
      <c r="D3231" s="932"/>
      <c r="H3231" s="167"/>
    </row>
    <row r="3232" spans="1:8" hidden="1">
      <c r="D3232" s="932"/>
      <c r="H3232" s="167"/>
    </row>
    <row r="3233" spans="1:8" hidden="1">
      <c r="D3233" s="932"/>
      <c r="H3233" s="167"/>
    </row>
    <row r="3234" spans="1:8" hidden="1">
      <c r="D3234" s="932"/>
      <c r="H3234" s="167"/>
    </row>
    <row r="3235" spans="1:8" hidden="1">
      <c r="D3235" s="932"/>
      <c r="H3235" s="167"/>
    </row>
    <row r="3236" spans="1:8" hidden="1">
      <c r="D3236" s="932"/>
      <c r="H3236" s="167"/>
    </row>
    <row r="3237" spans="1:8" hidden="1">
      <c r="H3237" s="167"/>
    </row>
    <row r="3238" spans="1:8" hidden="1">
      <c r="H3238" s="167"/>
    </row>
    <row r="3239" spans="1:8" hidden="1">
      <c r="H3239" s="167"/>
    </row>
    <row r="3240" spans="1:8" hidden="1">
      <c r="D3240" s="932"/>
      <c r="H3240" s="167"/>
    </row>
    <row r="3241" spans="1:8" hidden="1">
      <c r="D3241" s="932"/>
      <c r="H3241" s="167"/>
    </row>
    <row r="3242" spans="1:8" hidden="1">
      <c r="D3242" s="932"/>
      <c r="H3242" s="167"/>
    </row>
    <row r="3243" spans="1:8" hidden="1">
      <c r="D3243" s="932"/>
      <c r="H3243" s="167"/>
    </row>
    <row r="3244" spans="1:8" hidden="1">
      <c r="D3244" s="932"/>
      <c r="H3244" s="167"/>
    </row>
    <row r="3245" spans="1:8" hidden="1">
      <c r="D3245" s="932"/>
      <c r="H3245" s="167"/>
    </row>
    <row r="3246" spans="1:8" hidden="1">
      <c r="D3246" s="932"/>
      <c r="H3246" s="167"/>
    </row>
    <row r="3247" spans="1:8" hidden="1">
      <c r="D3247" s="932"/>
      <c r="H3247" s="167"/>
    </row>
    <row r="3248" spans="1:8" ht="15" hidden="1">
      <c r="A3248" s="965"/>
      <c r="B3248" s="965"/>
    </row>
    <row r="3249" spans="1:8" ht="15" hidden="1">
      <c r="A3249" s="965"/>
      <c r="B3249" s="965"/>
      <c r="D3249" s="932"/>
      <c r="F3249" s="957"/>
    </row>
    <row r="3250" spans="1:8" ht="15" hidden="1">
      <c r="A3250" s="965"/>
      <c r="B3250" s="965"/>
      <c r="D3250" s="932"/>
      <c r="F3250" s="957"/>
    </row>
    <row r="3251" spans="1:8" ht="15" hidden="1">
      <c r="A3251" s="965"/>
      <c r="B3251" s="965"/>
      <c r="D3251" s="932"/>
      <c r="F3251" s="957"/>
    </row>
    <row r="3252" spans="1:8" ht="15" hidden="1">
      <c r="A3252" s="965"/>
      <c r="B3252" s="965"/>
      <c r="F3252" s="957"/>
    </row>
    <row r="3253" spans="1:8" hidden="1">
      <c r="G3253" s="933"/>
      <c r="H3253" s="934"/>
    </row>
    <row r="3254" spans="1:8" hidden="1">
      <c r="G3254" s="933"/>
      <c r="H3254" s="934"/>
    </row>
    <row r="3255" spans="1:8" hidden="1">
      <c r="G3255" s="933"/>
      <c r="H3255" s="934"/>
    </row>
    <row r="3256" spans="1:8" hidden="1">
      <c r="G3256" s="933"/>
      <c r="H3256" s="934"/>
    </row>
    <row r="3257" spans="1:8" ht="15" hidden="1">
      <c r="A3257" s="905"/>
      <c r="B3257" s="905"/>
      <c r="F3257" s="957"/>
    </row>
    <row r="3258" spans="1:8" hidden="1">
      <c r="G3258" s="933"/>
      <c r="H3258" s="934"/>
    </row>
    <row r="3259" spans="1:8" hidden="1">
      <c r="G3259" s="933"/>
      <c r="H3259" s="934"/>
    </row>
    <row r="3260" spans="1:8" hidden="1">
      <c r="D3260" s="932"/>
      <c r="G3260" s="933"/>
      <c r="H3260" s="934"/>
    </row>
    <row r="3261" spans="1:8" hidden="1">
      <c r="D3261" s="932"/>
      <c r="G3261" s="933"/>
      <c r="H3261" s="934"/>
    </row>
    <row r="3262" spans="1:8" ht="15" hidden="1">
      <c r="A3262"/>
      <c r="B3262"/>
      <c r="D3262" s="932"/>
      <c r="G3262" s="933"/>
      <c r="H3262" s="934"/>
    </row>
    <row r="3263" spans="1:8" ht="15" hidden="1">
      <c r="A3263"/>
      <c r="B3263"/>
      <c r="D3263" s="932"/>
      <c r="F3263" s="957"/>
      <c r="G3263" s="933"/>
      <c r="H3263" s="934"/>
    </row>
    <row r="3264" spans="1:8" ht="15" hidden="1">
      <c r="A3264"/>
      <c r="B3264"/>
      <c r="D3264" s="932"/>
      <c r="F3264" s="957"/>
      <c r="G3264" s="933"/>
      <c r="H3264" s="934"/>
    </row>
    <row r="3265" spans="1:9" ht="15" hidden="1">
      <c r="A3265"/>
      <c r="B3265"/>
      <c r="D3265" s="932"/>
      <c r="F3265" s="957"/>
      <c r="G3265" s="933"/>
      <c r="H3265" s="934"/>
    </row>
    <row r="3266" spans="1:9" ht="15" hidden="1">
      <c r="A3266"/>
      <c r="B3266"/>
      <c r="F3266" s="957"/>
      <c r="G3266" s="933"/>
      <c r="H3266" s="934"/>
    </row>
    <row r="3267" spans="1:9" ht="15" hidden="1">
      <c r="A3267"/>
      <c r="G3267" s="933"/>
      <c r="H3267" s="934"/>
    </row>
    <row r="3268" spans="1:9" ht="15" hidden="1">
      <c r="A3268"/>
      <c r="B3268"/>
      <c r="D3268" s="932"/>
      <c r="F3268" s="957"/>
      <c r="G3268" s="933"/>
      <c r="H3268" s="934"/>
    </row>
    <row r="3269" spans="1:9" ht="15" hidden="1">
      <c r="A3269"/>
      <c r="B3269"/>
      <c r="D3269" s="932"/>
      <c r="F3269" s="957"/>
      <c r="G3269" s="933"/>
      <c r="H3269" s="934"/>
    </row>
    <row r="3270" spans="1:9" ht="15" hidden="1">
      <c r="A3270"/>
      <c r="B3270"/>
      <c r="D3270" s="932"/>
      <c r="F3270" s="957"/>
      <c r="G3270" s="933"/>
      <c r="H3270" s="934"/>
    </row>
    <row r="3271" spans="1:9" ht="15" hidden="1">
      <c r="A3271"/>
      <c r="B3271"/>
      <c r="F3271" s="957"/>
      <c r="G3271" s="933"/>
      <c r="H3271" s="934"/>
    </row>
    <row r="3272" spans="1:9" ht="15" hidden="1">
      <c r="A3272" s="905"/>
      <c r="B3272" s="905"/>
      <c r="D3272" s="932"/>
      <c r="G3272" s="933"/>
      <c r="H3272" s="934"/>
    </row>
    <row r="3273" spans="1:9" hidden="1">
      <c r="D3273" s="932"/>
      <c r="G3273" s="933"/>
      <c r="H3273" s="934"/>
    </row>
    <row r="3274" spans="1:9" ht="15" hidden="1">
      <c r="E3274"/>
      <c r="F3274"/>
      <c r="G3274" s="933"/>
      <c r="H3274" s="934"/>
    </row>
    <row r="3275" spans="1:9" ht="15" hidden="1">
      <c r="E3275"/>
      <c r="F3275"/>
      <c r="G3275" s="933"/>
      <c r="H3275" s="934"/>
      <c r="I3275"/>
    </row>
    <row r="3276" spans="1:9" ht="15" hidden="1">
      <c r="D3276" s="966"/>
      <c r="E3276"/>
      <c r="F3276"/>
      <c r="G3276" s="933"/>
      <c r="H3276" s="934"/>
      <c r="I3276"/>
    </row>
    <row r="3277" spans="1:9" ht="15" hidden="1">
      <c r="D3277" s="966"/>
      <c r="E3277"/>
      <c r="F3277"/>
      <c r="G3277" s="933"/>
      <c r="H3277" s="934"/>
      <c r="I3277"/>
    </row>
    <row r="3278" spans="1:9" ht="15" hidden="1">
      <c r="D3278" s="966"/>
      <c r="E3278"/>
      <c r="F3278"/>
      <c r="G3278" s="933"/>
      <c r="H3278" s="934"/>
      <c r="I3278"/>
    </row>
    <row r="3279" spans="1:9" ht="15" hidden="1">
      <c r="D3279" s="932"/>
      <c r="E3279"/>
      <c r="F3279" s="967"/>
      <c r="G3279"/>
      <c r="H3279"/>
      <c r="I3279"/>
    </row>
    <row r="3280" spans="1:9" ht="15" hidden="1">
      <c r="G3280"/>
      <c r="H3280"/>
    </row>
    <row r="3281" spans="1:9" ht="15" hidden="1">
      <c r="G3281"/>
      <c r="H3281"/>
    </row>
    <row r="3282" spans="1:9" ht="15" hidden="1">
      <c r="G3282"/>
      <c r="H3282"/>
    </row>
    <row r="3283" spans="1:9" ht="15" hidden="1">
      <c r="G3283"/>
      <c r="H3283"/>
    </row>
    <row r="3284" spans="1:9" ht="15" hidden="1">
      <c r="D3284" s="932"/>
      <c r="G3284"/>
      <c r="H3284"/>
    </row>
    <row r="3285" spans="1:9" ht="15">
      <c r="A3285"/>
      <c r="B3285"/>
      <c r="C3285"/>
      <c r="D3285"/>
      <c r="E3285"/>
      <c r="F3285"/>
      <c r="G3285" s="127"/>
      <c r="H3285"/>
      <c r="I3285" s="127"/>
    </row>
    <row r="3286" spans="1:9" ht="15">
      <c r="A3286"/>
      <c r="B3286"/>
      <c r="C3286"/>
      <c r="D3286"/>
      <c r="E3286"/>
      <c r="F3286"/>
      <c r="G3286" s="127"/>
      <c r="H3286"/>
      <c r="I3286"/>
    </row>
    <row r="3287" spans="1:9" ht="15">
      <c r="A3287"/>
      <c r="B3287"/>
      <c r="C3287"/>
      <c r="D3287"/>
      <c r="E3287"/>
      <c r="F3287"/>
      <c r="G3287"/>
      <c r="H3287"/>
      <c r="I3287"/>
    </row>
    <row r="3288" spans="1:9" ht="15">
      <c r="A3288"/>
      <c r="B3288"/>
      <c r="C3288"/>
      <c r="D3288"/>
      <c r="E3288"/>
      <c r="F3288"/>
      <c r="G3288" s="127"/>
      <c r="H3288"/>
      <c r="I3288"/>
    </row>
  </sheetData>
  <autoFilter ref="A1:N3284" xr:uid="{D86FB54E-9D5A-4D80-A1CE-80CF14861538}">
    <filterColumn colId="1">
      <filters>
        <filter val="PS Twister Club 1-15pk"/>
        <filter val="Yasso Cookies n Cream Club 1-15pk"/>
        <filter val="YSO Mint Chocolate Chip Club 1-15pk"/>
      </filters>
    </filterColumn>
  </autoFilter>
  <sortState xmlns:xlrd2="http://schemas.microsoft.com/office/spreadsheetml/2017/richdata2" ref="A3190:D3224">
    <sortCondition ref="A3189:A3224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353E-68DA-4959-9958-100BABCFE897}">
  <sheetPr codeName="Sheet11">
    <tabColor rgb="FFFF0000"/>
  </sheetPr>
  <dimension ref="A1:X74"/>
  <sheetViews>
    <sheetView workbookViewId="0">
      <selection activeCell="B20" sqref="B20"/>
    </sheetView>
  </sheetViews>
  <sheetFormatPr defaultRowHeight="15"/>
  <cols>
    <col min="1" max="1" width="20.42578125" bestFit="1" customWidth="1"/>
    <col min="3" max="3" width="64.5703125" bestFit="1" customWidth="1"/>
    <col min="6" max="6" width="10.42578125" bestFit="1" customWidth="1"/>
    <col min="11" max="11" width="9.5703125" bestFit="1" customWidth="1"/>
  </cols>
  <sheetData>
    <row r="1" spans="1:6">
      <c r="A1" s="100" t="s">
        <v>639</v>
      </c>
      <c r="B1" s="101" t="s">
        <v>805</v>
      </c>
      <c r="C1" t="s">
        <v>836</v>
      </c>
      <c r="E1" s="95"/>
    </row>
    <row r="2" spans="1:6">
      <c r="A2" t="s">
        <v>95</v>
      </c>
      <c r="B2" s="93">
        <v>0.96</v>
      </c>
      <c r="C2" s="93"/>
      <c r="E2" s="95"/>
      <c r="F2" s="93"/>
    </row>
    <row r="3" spans="1:6">
      <c r="A3" t="s">
        <v>21</v>
      </c>
      <c r="B3" s="93">
        <v>0.85</v>
      </c>
      <c r="C3" s="93"/>
      <c r="E3" s="95"/>
      <c r="F3" s="93"/>
    </row>
    <row r="4" spans="1:6">
      <c r="A4" t="s">
        <v>806</v>
      </c>
      <c r="B4" s="93">
        <v>0.96</v>
      </c>
      <c r="C4" s="93"/>
      <c r="E4" s="95"/>
      <c r="F4" s="93"/>
    </row>
    <row r="5" spans="1:6">
      <c r="A5" t="s">
        <v>23</v>
      </c>
      <c r="B5" s="93">
        <v>0.94</v>
      </c>
      <c r="C5" s="93"/>
      <c r="E5" s="95"/>
      <c r="F5" s="93"/>
    </row>
    <row r="6" spans="1:6">
      <c r="A6" t="s">
        <v>105</v>
      </c>
      <c r="B6" s="93">
        <v>0.96</v>
      </c>
      <c r="C6" s="93"/>
      <c r="E6" s="95"/>
      <c r="F6" s="93"/>
    </row>
    <row r="7" spans="1:6">
      <c r="A7" t="s">
        <v>106</v>
      </c>
      <c r="B7" s="93">
        <v>0.96</v>
      </c>
      <c r="C7" s="93"/>
      <c r="E7" s="95"/>
      <c r="F7" s="93"/>
    </row>
    <row r="8" spans="1:6">
      <c r="A8" t="s">
        <v>25</v>
      </c>
      <c r="B8" s="93">
        <v>0.96</v>
      </c>
      <c r="C8" s="93"/>
      <c r="E8" s="95"/>
      <c r="F8" s="93"/>
    </row>
    <row r="9" spans="1:6">
      <c r="A9" t="s">
        <v>90</v>
      </c>
      <c r="B9" s="93">
        <v>0.96</v>
      </c>
      <c r="C9" s="93"/>
      <c r="E9" s="95"/>
      <c r="F9" s="93"/>
    </row>
    <row r="10" spans="1:6">
      <c r="A10" t="s">
        <v>153</v>
      </c>
      <c r="B10" s="93">
        <v>0.96</v>
      </c>
      <c r="C10" s="93"/>
      <c r="E10" s="95"/>
      <c r="F10" s="93"/>
    </row>
    <row r="11" spans="1:6">
      <c r="A11" s="102" t="s">
        <v>27</v>
      </c>
      <c r="B11" s="93">
        <v>0.96</v>
      </c>
      <c r="C11" s="93"/>
      <c r="E11" s="95"/>
      <c r="F11" s="93"/>
    </row>
    <row r="12" spans="1:6">
      <c r="A12" t="s">
        <v>29</v>
      </c>
      <c r="B12" s="93">
        <v>0.95</v>
      </c>
      <c r="C12" s="93"/>
      <c r="E12" s="95"/>
      <c r="F12" s="93"/>
    </row>
    <row r="13" spans="1:6">
      <c r="A13" t="s">
        <v>807</v>
      </c>
      <c r="B13" s="93">
        <v>0.96</v>
      </c>
      <c r="C13" s="93"/>
      <c r="E13" s="95"/>
      <c r="F13" s="93"/>
    </row>
    <row r="14" spans="1:6">
      <c r="A14" t="s">
        <v>113</v>
      </c>
      <c r="B14" s="93">
        <v>0.96</v>
      </c>
      <c r="C14" s="93"/>
      <c r="E14" s="95"/>
      <c r="F14" s="93"/>
    </row>
    <row r="15" spans="1:6">
      <c r="A15" t="s">
        <v>89</v>
      </c>
      <c r="B15" s="93">
        <v>0.96</v>
      </c>
      <c r="C15" s="93"/>
      <c r="E15" s="95"/>
      <c r="F15" s="93"/>
    </row>
    <row r="16" spans="1:6">
      <c r="A16" t="s">
        <v>808</v>
      </c>
      <c r="B16" s="93">
        <v>0.96</v>
      </c>
      <c r="C16" s="93"/>
      <c r="E16" s="95"/>
      <c r="F16" s="93"/>
    </row>
    <row r="17" spans="1:10">
      <c r="A17" t="s">
        <v>88</v>
      </c>
      <c r="B17" s="93">
        <v>0.96</v>
      </c>
      <c r="C17" s="93"/>
      <c r="E17" s="95"/>
      <c r="F17" s="93"/>
    </row>
    <row r="18" spans="1:10">
      <c r="A18" t="s">
        <v>181</v>
      </c>
      <c r="B18" s="93">
        <v>0.96</v>
      </c>
      <c r="C18" s="93"/>
      <c r="E18" s="95"/>
      <c r="F18" s="93"/>
      <c r="J18" s="93"/>
    </row>
    <row r="19" spans="1:10">
      <c r="A19" t="s">
        <v>30</v>
      </c>
      <c r="B19" s="93">
        <v>0.96</v>
      </c>
      <c r="C19" s="93"/>
      <c r="E19" s="95"/>
      <c r="F19" s="93"/>
      <c r="J19" s="93"/>
    </row>
    <row r="20" spans="1:10">
      <c r="A20" s="194" t="s">
        <v>31</v>
      </c>
      <c r="B20" s="93">
        <v>0.96</v>
      </c>
      <c r="C20" s="198"/>
      <c r="E20" s="95"/>
      <c r="F20" s="93"/>
      <c r="G20" s="95"/>
      <c r="H20" s="50"/>
      <c r="J20" s="93"/>
    </row>
    <row r="21" spans="1:10">
      <c r="A21" s="194" t="s">
        <v>32</v>
      </c>
      <c r="B21" s="93">
        <v>0.96</v>
      </c>
      <c r="C21" s="324"/>
      <c r="E21" s="95"/>
      <c r="F21" s="93"/>
      <c r="G21" s="95"/>
      <c r="H21" s="50"/>
      <c r="J21" s="93"/>
    </row>
    <row r="22" spans="1:10">
      <c r="A22" t="s">
        <v>809</v>
      </c>
      <c r="B22" s="93">
        <v>0.96</v>
      </c>
      <c r="C22" s="93"/>
      <c r="E22" s="95"/>
      <c r="F22" s="93"/>
    </row>
    <row r="23" spans="1:10">
      <c r="A23" t="s">
        <v>810</v>
      </c>
      <c r="B23" s="93">
        <v>0.96</v>
      </c>
      <c r="C23" s="93"/>
      <c r="E23" s="95"/>
      <c r="F23" s="93"/>
    </row>
    <row r="24" spans="1:10">
      <c r="A24" t="s">
        <v>33</v>
      </c>
      <c r="B24" s="93">
        <v>0.96</v>
      </c>
      <c r="C24" s="93"/>
      <c r="E24" s="95"/>
      <c r="F24" s="93"/>
    </row>
    <row r="25" spans="1:10">
      <c r="A25" t="s">
        <v>811</v>
      </c>
      <c r="B25" s="93">
        <v>0.96</v>
      </c>
      <c r="C25" s="93"/>
      <c r="E25" s="95"/>
      <c r="F25" s="93"/>
    </row>
    <row r="26" spans="1:10">
      <c r="A26" t="s">
        <v>34</v>
      </c>
      <c r="B26" s="93">
        <v>0.96</v>
      </c>
      <c r="C26" s="93"/>
      <c r="E26" s="95"/>
      <c r="F26" s="93"/>
    </row>
    <row r="27" spans="1:10">
      <c r="A27" t="s">
        <v>115</v>
      </c>
      <c r="B27" s="93">
        <v>0.96</v>
      </c>
      <c r="C27" s="93"/>
      <c r="E27" s="95"/>
      <c r="F27" s="93"/>
    </row>
    <row r="28" spans="1:10">
      <c r="A28" t="s">
        <v>812</v>
      </c>
      <c r="B28" s="93">
        <v>0.96</v>
      </c>
      <c r="C28" s="93"/>
      <c r="E28" s="95"/>
      <c r="F28" s="93"/>
    </row>
    <row r="29" spans="1:10">
      <c r="A29" t="s">
        <v>813</v>
      </c>
      <c r="B29" s="93">
        <v>0.96</v>
      </c>
      <c r="C29" s="93"/>
      <c r="E29" s="95"/>
      <c r="F29" s="93"/>
    </row>
    <row r="30" spans="1:10">
      <c r="A30" t="s">
        <v>114</v>
      </c>
      <c r="B30" s="93">
        <v>0.96</v>
      </c>
      <c r="C30" s="93"/>
      <c r="E30" s="95"/>
      <c r="F30" s="93"/>
    </row>
    <row r="31" spans="1:10">
      <c r="A31" t="s">
        <v>127</v>
      </c>
      <c r="B31" s="93">
        <v>0.96</v>
      </c>
      <c r="C31" s="93"/>
      <c r="E31" s="95"/>
      <c r="F31" s="93"/>
    </row>
    <row r="32" spans="1:10">
      <c r="A32" t="s">
        <v>35</v>
      </c>
      <c r="B32" s="93">
        <v>0.96</v>
      </c>
      <c r="C32" s="93"/>
      <c r="E32" s="95"/>
      <c r="F32" s="93"/>
    </row>
    <row r="33" spans="1:8">
      <c r="A33" t="s">
        <v>129</v>
      </c>
      <c r="B33" s="93">
        <v>0.96</v>
      </c>
      <c r="C33" s="93"/>
      <c r="E33" s="95"/>
      <c r="F33" s="93"/>
    </row>
    <row r="34" spans="1:8">
      <c r="A34" t="s">
        <v>36</v>
      </c>
      <c r="B34" s="93">
        <v>0.96</v>
      </c>
      <c r="C34" s="93"/>
      <c r="E34" s="95"/>
      <c r="F34" s="93"/>
    </row>
    <row r="35" spans="1:8">
      <c r="A35" t="s">
        <v>814</v>
      </c>
      <c r="B35" s="93">
        <v>0.96</v>
      </c>
      <c r="C35" s="93"/>
      <c r="E35" s="95"/>
      <c r="F35" s="93"/>
    </row>
    <row r="36" spans="1:8">
      <c r="A36" t="s">
        <v>157</v>
      </c>
      <c r="B36" s="93">
        <v>0.96</v>
      </c>
      <c r="C36" s="93"/>
      <c r="E36" s="95"/>
      <c r="F36" s="93"/>
    </row>
    <row r="37" spans="1:8">
      <c r="A37" t="s">
        <v>37</v>
      </c>
      <c r="B37" s="93">
        <v>0.96</v>
      </c>
      <c r="C37" s="93"/>
      <c r="E37" s="95"/>
      <c r="F37" s="93"/>
    </row>
    <row r="38" spans="1:8">
      <c r="A38" t="s">
        <v>135</v>
      </c>
      <c r="B38" s="93">
        <v>0.96</v>
      </c>
      <c r="C38" s="93"/>
      <c r="E38" s="95"/>
      <c r="F38" s="93"/>
    </row>
    <row r="39" spans="1:8">
      <c r="A39" t="s">
        <v>815</v>
      </c>
      <c r="B39" s="93">
        <v>0.96</v>
      </c>
      <c r="C39" s="93"/>
      <c r="E39" s="95"/>
      <c r="F39" s="93"/>
    </row>
    <row r="40" spans="1:8">
      <c r="A40" t="s">
        <v>38</v>
      </c>
      <c r="B40" s="93">
        <v>0.96</v>
      </c>
      <c r="F40" s="93"/>
      <c r="H40" s="93"/>
    </row>
    <row r="41" spans="1:8">
      <c r="A41" t="s">
        <v>39</v>
      </c>
      <c r="B41" s="93">
        <v>0.96</v>
      </c>
      <c r="C41" s="93"/>
      <c r="E41" s="95"/>
      <c r="F41" s="93"/>
    </row>
    <row r="42" spans="1:8">
      <c r="A42" t="s">
        <v>816</v>
      </c>
      <c r="B42" s="93">
        <v>0.96</v>
      </c>
      <c r="C42" s="93"/>
      <c r="E42" s="95"/>
      <c r="F42" s="93"/>
    </row>
    <row r="43" spans="1:8">
      <c r="A43" t="s">
        <v>100</v>
      </c>
      <c r="B43" s="93">
        <v>0.96</v>
      </c>
      <c r="C43" s="93"/>
      <c r="E43" s="95"/>
      <c r="F43" s="93"/>
    </row>
    <row r="44" spans="1:8">
      <c r="A44" t="s">
        <v>87</v>
      </c>
      <c r="B44" s="93">
        <v>0.96</v>
      </c>
      <c r="C44" s="93"/>
      <c r="E44" s="95"/>
      <c r="F44" s="93"/>
    </row>
    <row r="45" spans="1:8">
      <c r="A45" t="s">
        <v>817</v>
      </c>
      <c r="B45" s="93">
        <v>0.96</v>
      </c>
      <c r="C45" s="93"/>
      <c r="E45" s="95"/>
      <c r="F45" s="93"/>
    </row>
    <row r="46" spans="1:8">
      <c r="A46" t="s">
        <v>96</v>
      </c>
      <c r="B46" s="93">
        <v>0.96</v>
      </c>
      <c r="C46" s="93"/>
      <c r="E46" s="95"/>
      <c r="F46" s="93"/>
    </row>
    <row r="47" spans="1:8">
      <c r="A47" t="s">
        <v>86</v>
      </c>
      <c r="B47" s="93">
        <v>0.96</v>
      </c>
      <c r="C47" s="93"/>
      <c r="E47" s="95"/>
      <c r="F47" s="93"/>
    </row>
    <row r="48" spans="1:8">
      <c r="A48" t="s">
        <v>144</v>
      </c>
      <c r="B48" s="93">
        <v>0.96</v>
      </c>
      <c r="C48" s="93"/>
      <c r="E48" s="95"/>
      <c r="F48" s="93"/>
    </row>
    <row r="49" spans="1:24">
      <c r="A49" t="s">
        <v>145</v>
      </c>
      <c r="B49" s="93">
        <v>0.96</v>
      </c>
      <c r="C49" s="93"/>
      <c r="E49" s="95"/>
      <c r="F49" s="93"/>
    </row>
    <row r="50" spans="1:24">
      <c r="A50" t="s">
        <v>818</v>
      </c>
      <c r="B50" s="93">
        <v>0.96</v>
      </c>
      <c r="C50" s="93"/>
      <c r="E50" s="95"/>
      <c r="F50" s="93"/>
      <c r="K50" t="s">
        <v>819</v>
      </c>
      <c r="L50" s="194">
        <v>1000</v>
      </c>
      <c r="M50" s="194">
        <v>1000</v>
      </c>
      <c r="N50" s="194"/>
      <c r="P50" t="s">
        <v>819</v>
      </c>
      <c r="Q50" s="194">
        <v>1000</v>
      </c>
      <c r="R50" s="194">
        <v>1000</v>
      </c>
      <c r="S50" s="194"/>
      <c r="U50" t="s">
        <v>819</v>
      </c>
      <c r="V50" s="194">
        <v>1000</v>
      </c>
      <c r="W50" s="194">
        <v>1000</v>
      </c>
      <c r="X50" s="194"/>
    </row>
    <row r="51" spans="1:24">
      <c r="A51" t="s">
        <v>146</v>
      </c>
      <c r="B51" s="93">
        <v>0.96</v>
      </c>
      <c r="C51" s="93"/>
      <c r="E51" s="95"/>
      <c r="F51" s="93"/>
      <c r="K51" t="s">
        <v>820</v>
      </c>
      <c r="L51" s="194"/>
      <c r="M51" s="194">
        <v>500</v>
      </c>
      <c r="N51" s="194">
        <v>500</v>
      </c>
      <c r="P51" t="s">
        <v>820</v>
      </c>
      <c r="Q51" s="194"/>
      <c r="R51" s="194">
        <v>500</v>
      </c>
      <c r="S51" s="194">
        <v>500</v>
      </c>
      <c r="U51" t="s">
        <v>820</v>
      </c>
      <c r="V51" s="194"/>
      <c r="W51" s="194">
        <v>500</v>
      </c>
      <c r="X51" s="194">
        <v>500</v>
      </c>
    </row>
    <row r="52" spans="1:24">
      <c r="A52" t="s">
        <v>147</v>
      </c>
      <c r="B52" s="93">
        <v>0.96</v>
      </c>
      <c r="C52" s="93"/>
      <c r="E52" s="95"/>
      <c r="F52" s="93"/>
      <c r="K52" t="s">
        <v>196</v>
      </c>
      <c r="L52">
        <f>SUM(L50:L51)</f>
        <v>1000</v>
      </c>
      <c r="M52">
        <f>SUM(M50:M51)</f>
        <v>1500</v>
      </c>
      <c r="N52">
        <f>SUM(N50:N51)</f>
        <v>500</v>
      </c>
      <c r="P52" t="s">
        <v>196</v>
      </c>
      <c r="Q52">
        <f>SUM(Q50:Q51)</f>
        <v>1000</v>
      </c>
      <c r="R52">
        <f>SUM(R50:R51)</f>
        <v>1500</v>
      </c>
      <c r="S52">
        <f>SUM(S50:S51)</f>
        <v>500</v>
      </c>
      <c r="U52" t="s">
        <v>196</v>
      </c>
      <c r="V52">
        <f>SUM(V50:V51)</f>
        <v>1000</v>
      </c>
      <c r="W52">
        <f>SUM(W50:W51)</f>
        <v>1500</v>
      </c>
      <c r="X52">
        <f>SUM(X50:X51)</f>
        <v>500</v>
      </c>
    </row>
    <row r="53" spans="1:24">
      <c r="A53" t="s">
        <v>821</v>
      </c>
      <c r="B53" s="93">
        <v>0.96</v>
      </c>
      <c r="C53" s="93"/>
      <c r="E53" s="95"/>
      <c r="F53" s="93"/>
    </row>
    <row r="54" spans="1:24">
      <c r="A54" t="s">
        <v>148</v>
      </c>
      <c r="B54" s="93">
        <v>0.96</v>
      </c>
      <c r="C54" s="93"/>
      <c r="E54" s="95"/>
      <c r="F54" s="93"/>
      <c r="K54" t="s">
        <v>12</v>
      </c>
      <c r="M54">
        <v>500</v>
      </c>
      <c r="N54">
        <v>500</v>
      </c>
      <c r="P54" t="s">
        <v>12</v>
      </c>
      <c r="R54">
        <v>1000</v>
      </c>
      <c r="S54">
        <v>1000</v>
      </c>
      <c r="U54" t="s">
        <v>12</v>
      </c>
      <c r="W54">
        <v>1500</v>
      </c>
      <c r="X54">
        <v>1500</v>
      </c>
    </row>
    <row r="55" spans="1:24">
      <c r="A55" t="s">
        <v>154</v>
      </c>
      <c r="B55" s="93">
        <v>0.96</v>
      </c>
      <c r="C55" s="93"/>
      <c r="E55" s="95"/>
      <c r="F55" s="93"/>
    </row>
    <row r="56" spans="1:24">
      <c r="A56" t="s">
        <v>149</v>
      </c>
      <c r="B56" s="93">
        <v>0.96</v>
      </c>
      <c r="C56" s="93"/>
      <c r="E56" s="95"/>
      <c r="F56" s="93"/>
    </row>
    <row r="57" spans="1:24">
      <c r="A57" t="s">
        <v>150</v>
      </c>
      <c r="B57" s="93">
        <v>0.96</v>
      </c>
      <c r="C57" s="93"/>
      <c r="E57" s="95"/>
      <c r="F57" s="93"/>
      <c r="K57">
        <v>0</v>
      </c>
      <c r="L57">
        <f>K57+L52-L54</f>
        <v>1000</v>
      </c>
      <c r="M57">
        <f>L57+M52-M54</f>
        <v>2000</v>
      </c>
      <c r="N57">
        <f>M57+N52-N54</f>
        <v>2000</v>
      </c>
      <c r="P57">
        <v>0</v>
      </c>
      <c r="Q57">
        <f>P57+Q52-Q54</f>
        <v>1000</v>
      </c>
      <c r="R57">
        <f>Q57+R52-R54</f>
        <v>1500</v>
      </c>
      <c r="S57">
        <f>R57+S52-S54</f>
        <v>1000</v>
      </c>
      <c r="U57">
        <v>0</v>
      </c>
      <c r="V57">
        <f>U57+V52-V54</f>
        <v>1000</v>
      </c>
      <c r="W57">
        <f>V57+W52-W54</f>
        <v>1000</v>
      </c>
      <c r="X57">
        <f>W57+X52-X54</f>
        <v>0</v>
      </c>
    </row>
    <row r="58" spans="1:24">
      <c r="A58" t="s">
        <v>152</v>
      </c>
      <c r="B58" s="93">
        <v>0.96</v>
      </c>
      <c r="C58" s="93"/>
      <c r="E58" s="95"/>
      <c r="F58" s="93"/>
    </row>
    <row r="59" spans="1:24">
      <c r="A59" t="s">
        <v>822</v>
      </c>
      <c r="B59" s="93">
        <v>0.96</v>
      </c>
      <c r="C59" s="93"/>
      <c r="E59" s="95"/>
      <c r="F59" s="93"/>
    </row>
    <row r="60" spans="1:24">
      <c r="A60" t="s">
        <v>823</v>
      </c>
      <c r="B60" s="93">
        <v>0.96</v>
      </c>
      <c r="C60" s="93"/>
      <c r="E60" s="95"/>
      <c r="F60" s="93"/>
    </row>
    <row r="61" spans="1:24">
      <c r="A61" t="s">
        <v>824</v>
      </c>
      <c r="B61" s="93">
        <v>0.96</v>
      </c>
      <c r="C61" s="93"/>
      <c r="E61" s="95"/>
      <c r="F61" s="93"/>
    </row>
    <row r="62" spans="1:24">
      <c r="A62" t="s">
        <v>40</v>
      </c>
      <c r="B62" s="93">
        <v>0.96</v>
      </c>
    </row>
    <row r="63" spans="1:24">
      <c r="A63" t="s">
        <v>101</v>
      </c>
      <c r="B63" s="93">
        <v>0.96</v>
      </c>
      <c r="F63" s="93"/>
    </row>
    <row r="64" spans="1:24">
      <c r="A64" t="s">
        <v>825</v>
      </c>
      <c r="B64" s="93">
        <v>0.96</v>
      </c>
      <c r="C64" s="93"/>
      <c r="E64" s="95"/>
      <c r="F64" s="93"/>
    </row>
    <row r="65" spans="1:8">
      <c r="A65" t="s">
        <v>99</v>
      </c>
      <c r="B65" s="93">
        <v>0.96</v>
      </c>
      <c r="C65" s="93"/>
      <c r="E65" s="95"/>
      <c r="F65" s="93"/>
    </row>
    <row r="66" spans="1:8">
      <c r="A66" t="s">
        <v>41</v>
      </c>
      <c r="B66" s="93">
        <v>0.96</v>
      </c>
      <c r="C66" s="93"/>
      <c r="F66" s="93"/>
    </row>
    <row r="67" spans="1:8">
      <c r="A67" t="s">
        <v>102</v>
      </c>
      <c r="B67" s="93">
        <v>0.96</v>
      </c>
      <c r="F67" s="93"/>
    </row>
    <row r="68" spans="1:8">
      <c r="A68" s="51" t="s">
        <v>826</v>
      </c>
      <c r="B68" s="93">
        <v>0.96</v>
      </c>
      <c r="F68" s="93"/>
      <c r="H68" s="93"/>
    </row>
    <row r="69" spans="1:8">
      <c r="A69" s="988" t="s">
        <v>774</v>
      </c>
      <c r="B69" s="93">
        <v>0.96</v>
      </c>
      <c r="F69" s="93"/>
      <c r="H69" s="93"/>
    </row>
    <row r="70" spans="1:8">
      <c r="A70" t="s">
        <v>46</v>
      </c>
      <c r="B70" s="93">
        <v>0.96</v>
      </c>
      <c r="F70" s="93"/>
    </row>
    <row r="71" spans="1:8">
      <c r="A71" t="s">
        <v>42</v>
      </c>
      <c r="B71" s="93">
        <v>0.96</v>
      </c>
      <c r="F71" s="93"/>
    </row>
    <row r="72" spans="1:8">
      <c r="A72" t="s">
        <v>43</v>
      </c>
      <c r="B72" s="93">
        <v>0.96</v>
      </c>
      <c r="F72" s="93"/>
    </row>
    <row r="73" spans="1:8">
      <c r="A73" t="s">
        <v>44</v>
      </c>
      <c r="B73" s="93">
        <v>0.96</v>
      </c>
      <c r="F73" s="93"/>
    </row>
    <row r="74" spans="1:8">
      <c r="A74" s="102" t="s">
        <v>45</v>
      </c>
      <c r="B74" s="93">
        <v>0.96</v>
      </c>
      <c r="C74" s="93"/>
      <c r="E74" s="95"/>
      <c r="F74" s="93"/>
    </row>
  </sheetData>
  <autoFilter ref="A1:X74" xr:uid="{6ABC353E-68DA-4959-9958-100BABCFE897}">
    <sortState xmlns:xlrd2="http://schemas.microsoft.com/office/spreadsheetml/2017/richdata2" ref="A2:X74">
      <sortCondition ref="A1:A74"/>
    </sortState>
  </autoFilter>
  <conditionalFormatting sqref="B1:B1048576">
    <cfRule type="cellIs" dxfId="269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4139-D7F1-4F01-9E73-4221508B2B82}">
  <sheetPr codeName="Sheet14">
    <tabColor rgb="FFFFC000"/>
  </sheetPr>
  <dimension ref="A1:AF395"/>
  <sheetViews>
    <sheetView zoomScale="70" zoomScaleNormal="70" workbookViewId="0">
      <selection activeCell="E22" sqref="E22"/>
    </sheetView>
  </sheetViews>
  <sheetFormatPr defaultRowHeight="15"/>
  <cols>
    <col min="1" max="1" width="14" style="122" bestFit="1" customWidth="1"/>
    <col min="2" max="2" width="11.42578125" style="122" customWidth="1"/>
    <col min="3" max="3" width="30.42578125" style="122" customWidth="1"/>
    <col min="4" max="4" width="34" style="122" customWidth="1"/>
    <col min="5" max="5" width="60.5703125" style="189" customWidth="1"/>
    <col min="6" max="6" width="13.140625" style="189" bestFit="1" customWidth="1"/>
    <col min="7" max="7" width="14.5703125" style="243" bestFit="1" customWidth="1"/>
    <col min="8" max="9" width="15.5703125" style="243" bestFit="1" customWidth="1"/>
    <col min="10" max="10" width="15.42578125" style="243" bestFit="1" customWidth="1"/>
    <col min="11" max="12" width="15.5703125" style="243" bestFit="1" customWidth="1"/>
    <col min="13" max="15" width="15.42578125" style="243" bestFit="1" customWidth="1"/>
    <col min="16" max="16" width="15.5703125" style="243" bestFit="1" customWidth="1"/>
    <col min="17" max="18" width="15.42578125" style="243" bestFit="1" customWidth="1"/>
    <col min="19" max="19" width="16.140625" style="122" customWidth="1"/>
    <col min="20" max="20" width="8.5703125" style="122"/>
    <col min="21" max="22" width="14.42578125" style="122" bestFit="1" customWidth="1"/>
    <col min="23" max="23" width="15" style="122" bestFit="1" customWidth="1"/>
    <col min="24" max="24" width="14.7109375" style="122" bestFit="1" customWidth="1"/>
    <col min="25" max="25" width="15" style="122" bestFit="1" customWidth="1"/>
    <col min="26" max="26" width="14.42578125" style="122" bestFit="1" customWidth="1"/>
    <col min="27" max="27" width="14.28515625" style="122" bestFit="1" customWidth="1"/>
    <col min="28" max="28" width="15" style="122" bestFit="1" customWidth="1"/>
    <col min="29" max="29" width="14.5703125" style="122" bestFit="1" customWidth="1"/>
    <col min="30" max="30" width="14.7109375" style="122" bestFit="1" customWidth="1"/>
    <col min="31" max="31" width="15" style="122" bestFit="1" customWidth="1"/>
    <col min="32" max="32" width="14.5703125" style="122" bestFit="1" customWidth="1"/>
  </cols>
  <sheetData>
    <row r="1" spans="2:32" s="122" customFormat="1">
      <c r="E1" s="189"/>
      <c r="F1" s="189"/>
      <c r="G1" s="1128"/>
      <c r="H1" s="1128"/>
      <c r="I1" s="1128"/>
      <c r="J1" s="1128"/>
      <c r="K1" s="1128"/>
      <c r="L1" s="1128"/>
      <c r="M1" s="1128"/>
      <c r="N1" s="1128"/>
      <c r="O1" s="1128"/>
      <c r="P1" s="1128"/>
      <c r="Q1" s="1128"/>
      <c r="R1" s="1128"/>
      <c r="S1" s="178"/>
    </row>
    <row r="2" spans="2:32" s="169" customFormat="1">
      <c r="E2" s="243"/>
      <c r="F2" s="243"/>
      <c r="G2" s="243">
        <f t="shared" ref="G2:R2" si="0">SUBTOTAL(9,G4:G24265)</f>
        <v>6753511</v>
      </c>
      <c r="H2" s="243">
        <f t="shared" si="0"/>
        <v>7728093</v>
      </c>
      <c r="I2" s="243">
        <f t="shared" si="0"/>
        <v>10472937.021031836</v>
      </c>
      <c r="J2" s="243">
        <f t="shared" si="0"/>
        <v>10088075.933445353</v>
      </c>
      <c r="K2" s="243">
        <f t="shared" si="0"/>
        <v>11744239.165123787</v>
      </c>
      <c r="L2" s="243">
        <f t="shared" si="0"/>
        <v>12722969.399635181</v>
      </c>
      <c r="M2" s="243">
        <f t="shared" si="0"/>
        <v>11340921.927552467</v>
      </c>
      <c r="N2" s="243">
        <f t="shared" si="0"/>
        <v>10700971.960833533</v>
      </c>
      <c r="O2" s="243">
        <f t="shared" si="0"/>
        <v>9758290.1709064655</v>
      </c>
      <c r="P2" s="243">
        <f t="shared" si="0"/>
        <v>7797133.4701864067</v>
      </c>
      <c r="Q2" s="243">
        <f t="shared" si="0"/>
        <v>7559286.492385135</v>
      </c>
      <c r="R2" s="243">
        <f t="shared" si="0"/>
        <v>6683896.1142111365</v>
      </c>
      <c r="U2" s="169">
        <f t="shared" ref="U2:AF2" si="1">SUBTOTAL(9,U4:U3051)</f>
        <v>35756.319723925117</v>
      </c>
      <c r="V2" s="169">
        <f t="shared" si="1"/>
        <v>40293.559544258496</v>
      </c>
      <c r="W2" s="169">
        <f t="shared" si="1"/>
        <v>54510.34681454263</v>
      </c>
      <c r="X2" s="169">
        <f t="shared" si="1"/>
        <v>52461.317351443555</v>
      </c>
      <c r="Y2" s="169">
        <f t="shared" si="1"/>
        <v>61334.193928843342</v>
      </c>
      <c r="Z2" s="169">
        <f t="shared" si="1"/>
        <v>66692.864425034961</v>
      </c>
      <c r="AA2" s="169">
        <f t="shared" si="1"/>
        <v>59876.797215024446</v>
      </c>
      <c r="AB2" s="169">
        <f t="shared" si="1"/>
        <v>55641.537771864525</v>
      </c>
      <c r="AC2" s="169">
        <f t="shared" si="1"/>
        <v>49346.036622230618</v>
      </c>
      <c r="AD2" s="169">
        <f t="shared" si="1"/>
        <v>40461.821712786317</v>
      </c>
      <c r="AE2" s="169">
        <f t="shared" si="1"/>
        <v>39370.00305713182</v>
      </c>
      <c r="AF2" s="169">
        <f t="shared" si="1"/>
        <v>35113.363367379417</v>
      </c>
    </row>
    <row r="3" spans="2:32">
      <c r="B3" s="122" t="s">
        <v>880</v>
      </c>
      <c r="C3" s="122" t="s">
        <v>219</v>
      </c>
      <c r="D3" s="122" t="s">
        <v>218</v>
      </c>
      <c r="E3" s="189" t="s">
        <v>1062</v>
      </c>
      <c r="F3" s="189" t="s">
        <v>880</v>
      </c>
      <c r="G3" s="244">
        <v>46023</v>
      </c>
      <c r="H3" s="244">
        <v>46054</v>
      </c>
      <c r="I3" s="244">
        <v>46082</v>
      </c>
      <c r="J3" s="244">
        <v>45383</v>
      </c>
      <c r="K3" s="244">
        <v>45413</v>
      </c>
      <c r="L3" s="244">
        <v>45444</v>
      </c>
      <c r="M3" s="244">
        <v>45474</v>
      </c>
      <c r="N3" s="244">
        <v>45505</v>
      </c>
      <c r="O3" s="244">
        <v>45536</v>
      </c>
      <c r="P3" s="244">
        <v>45566</v>
      </c>
      <c r="Q3" s="244">
        <v>45597</v>
      </c>
      <c r="R3" s="244">
        <v>45627</v>
      </c>
      <c r="S3" s="122" t="s">
        <v>47</v>
      </c>
      <c r="T3" s="122" t="s">
        <v>253</v>
      </c>
      <c r="U3" s="122" t="s">
        <v>1063</v>
      </c>
      <c r="V3" s="122" t="s">
        <v>1064</v>
      </c>
      <c r="W3" s="122" t="s">
        <v>1065</v>
      </c>
      <c r="X3" s="122" t="s">
        <v>1066</v>
      </c>
      <c r="Y3" s="122" t="s">
        <v>1067</v>
      </c>
      <c r="Z3" s="122" t="s">
        <v>1068</v>
      </c>
      <c r="AA3" s="122" t="s">
        <v>1069</v>
      </c>
      <c r="AB3" s="122" t="s">
        <v>1070</v>
      </c>
      <c r="AC3" s="122" t="s">
        <v>1071</v>
      </c>
      <c r="AD3" s="122" t="s">
        <v>1072</v>
      </c>
      <c r="AE3" s="122" t="s">
        <v>1073</v>
      </c>
      <c r="AF3" s="122" t="s">
        <v>1074</v>
      </c>
    </row>
    <row r="4" spans="2:32">
      <c r="B4" s="122">
        <f t="shared" ref="B4:B5" si="2">F4</f>
        <v>84141102</v>
      </c>
      <c r="C4" s="122" t="str">
        <f>VLOOKUP($B4,'Tech Litons'!$A:$I,3,0)</f>
        <v>BJ PTS</v>
      </c>
      <c r="D4" s="122" t="str">
        <f>VLOOKUP($B4,'Tech Litons'!$A:$I,4,0)</f>
        <v>BJ PTS</v>
      </c>
      <c r="E4" s="266" t="s">
        <v>1075</v>
      </c>
      <c r="F4" s="102">
        <v>84141102</v>
      </c>
      <c r="G4" s="267">
        <v>90000</v>
      </c>
      <c r="H4" s="267">
        <v>90000</v>
      </c>
      <c r="I4" s="267">
        <v>90000</v>
      </c>
      <c r="J4" s="267">
        <v>90000</v>
      </c>
      <c r="K4" s="267">
        <v>90000</v>
      </c>
      <c r="L4" s="267">
        <v>90000</v>
      </c>
      <c r="M4" s="267">
        <v>90000</v>
      </c>
      <c r="N4" s="267">
        <v>90000</v>
      </c>
      <c r="O4" s="267">
        <v>90000</v>
      </c>
      <c r="P4" s="267">
        <v>90000</v>
      </c>
      <c r="Q4" s="267">
        <v>90000</v>
      </c>
      <c r="R4" s="267">
        <v>90000</v>
      </c>
      <c r="S4" s="169">
        <f t="shared" ref="S4" si="3">SUM(G4:R4)</f>
        <v>1080000</v>
      </c>
      <c r="T4" s="122">
        <f>VLOOKUP($B4,'Tech Litons'!$A:$I,9,0)</f>
        <v>240</v>
      </c>
      <c r="U4" s="179">
        <f t="shared" ref="U4" si="4">G4/$T4</f>
        <v>375</v>
      </c>
      <c r="V4" s="179">
        <f t="shared" ref="V4" si="5">H4/$T4</f>
        <v>375</v>
      </c>
      <c r="W4" s="179">
        <f t="shared" ref="W4" si="6">I4/$T4</f>
        <v>375</v>
      </c>
      <c r="X4" s="179">
        <f t="shared" ref="X4" si="7">J4/$T4</f>
        <v>375</v>
      </c>
      <c r="Y4" s="179">
        <f t="shared" ref="Y4" si="8">K4/$T4</f>
        <v>375</v>
      </c>
      <c r="Z4" s="179">
        <f t="shared" ref="Z4" si="9">L4/$T4</f>
        <v>375</v>
      </c>
      <c r="AA4" s="179">
        <f t="shared" ref="AA4" si="10">M4/$T4</f>
        <v>375</v>
      </c>
      <c r="AB4" s="179">
        <f t="shared" ref="AB4" si="11">N4/$T4</f>
        <v>375</v>
      </c>
      <c r="AC4" s="179">
        <f t="shared" ref="AC4" si="12">O4/$T4</f>
        <v>375</v>
      </c>
      <c r="AD4" s="179">
        <f t="shared" ref="AD4" si="13">P4/$T4</f>
        <v>375</v>
      </c>
      <c r="AE4" s="179">
        <f t="shared" ref="AE4" si="14">Q4/$T4</f>
        <v>375</v>
      </c>
      <c r="AF4" s="179">
        <f t="shared" ref="AF4" si="15">R4/$T4</f>
        <v>375</v>
      </c>
    </row>
    <row r="5" spans="2:32">
      <c r="B5" s="122">
        <f t="shared" si="2"/>
        <v>62735647</v>
      </c>
      <c r="C5" s="122" t="str">
        <f>VLOOKUP($B5,'Tech Litons'!$A:$I,3,0)</f>
        <v>2.4 Gal</v>
      </c>
      <c r="D5" s="122" t="str">
        <f>VLOOKUP($B5,'Tech Litons'!$A:$I,4,0)</f>
        <v>2.4 Gal</v>
      </c>
      <c r="E5" s="266" t="s">
        <v>1076</v>
      </c>
      <c r="F5" s="102">
        <v>62735647</v>
      </c>
      <c r="G5" s="267">
        <v>7000</v>
      </c>
      <c r="H5" s="267">
        <v>7000</v>
      </c>
      <c r="I5" s="267">
        <v>7000</v>
      </c>
      <c r="J5" s="267">
        <v>7000</v>
      </c>
      <c r="K5" s="267">
        <v>7000</v>
      </c>
      <c r="L5" s="267">
        <v>7000</v>
      </c>
      <c r="M5" s="267">
        <v>7000</v>
      </c>
      <c r="N5" s="267">
        <v>7000</v>
      </c>
      <c r="O5" s="267">
        <v>7000</v>
      </c>
      <c r="P5" s="267">
        <v>7000</v>
      </c>
      <c r="Q5" s="267">
        <v>7000</v>
      </c>
      <c r="R5" s="267">
        <v>7000</v>
      </c>
      <c r="S5" s="169">
        <f t="shared" ref="S5:S15" si="16">SUM(G5:R5)</f>
        <v>84000</v>
      </c>
      <c r="T5" s="122">
        <f>VLOOKUP($B5,'Tech Litons'!$A:$I,9,0)</f>
        <v>125</v>
      </c>
      <c r="U5" s="179">
        <f t="shared" ref="U5:U15" si="17">G5/$T5</f>
        <v>56</v>
      </c>
      <c r="V5" s="179">
        <f t="shared" ref="V5:V15" si="18">H5/$T5</f>
        <v>56</v>
      </c>
      <c r="W5" s="179">
        <f t="shared" ref="W5:W15" si="19">I5/$T5</f>
        <v>56</v>
      </c>
      <c r="X5" s="179">
        <f t="shared" ref="X5:X15" si="20">J5/$T5</f>
        <v>56</v>
      </c>
      <c r="Y5" s="179">
        <f t="shared" ref="Y5:Y15" si="21">K5/$T5</f>
        <v>56</v>
      </c>
      <c r="Z5" s="179">
        <f t="shared" ref="Z5:Z15" si="22">L5/$T5</f>
        <v>56</v>
      </c>
      <c r="AA5" s="179">
        <f t="shared" ref="AA5:AA15" si="23">M5/$T5</f>
        <v>56</v>
      </c>
      <c r="AB5" s="179">
        <f t="shared" ref="AB5:AB15" si="24">N5/$T5</f>
        <v>56</v>
      </c>
      <c r="AC5" s="179">
        <f t="shared" ref="AC5:AC15" si="25">O5/$T5</f>
        <v>56</v>
      </c>
      <c r="AD5" s="179">
        <f t="shared" ref="AD5:AD15" si="26">P5/$T5</f>
        <v>56</v>
      </c>
      <c r="AE5" s="179">
        <f t="shared" ref="AE5:AE15" si="27">Q5/$T5</f>
        <v>56</v>
      </c>
      <c r="AF5" s="179">
        <f t="shared" ref="AF5:AF15" si="28">R5/$T5</f>
        <v>56</v>
      </c>
    </row>
    <row r="6" spans="2:32">
      <c r="B6" s="122">
        <f t="shared" ref="B6:B9" si="29">F6</f>
        <v>84141103</v>
      </c>
      <c r="C6" s="122" t="str">
        <f>VLOOKUP($B6,'Tech Litons'!$A:$I,3,0)</f>
        <v>BJ PTS</v>
      </c>
      <c r="D6" s="122" t="str">
        <f>VLOOKUP($B6,'Tech Litons'!$A:$I,4,0)</f>
        <v>BJ PTS</v>
      </c>
      <c r="E6" s="1079" t="s">
        <v>1330</v>
      </c>
      <c r="F6" s="1079">
        <v>84141103</v>
      </c>
      <c r="G6" s="1080">
        <v>6336</v>
      </c>
      <c r="H6" s="1080">
        <v>31824</v>
      </c>
      <c r="I6" s="1080">
        <v>35311.500000000007</v>
      </c>
      <c r="J6" s="1080">
        <v>31888.5</v>
      </c>
      <c r="K6" s="1080">
        <v>39823.5</v>
      </c>
      <c r="L6" s="1080">
        <v>49278</v>
      </c>
      <c r="M6" s="1080">
        <v>44319</v>
      </c>
      <c r="N6" s="1080">
        <v>39337.5</v>
      </c>
      <c r="O6" s="1080">
        <v>40167</v>
      </c>
      <c r="P6" s="1080">
        <v>32263.5</v>
      </c>
      <c r="Q6" s="1080">
        <v>32647.5</v>
      </c>
      <c r="R6" s="1080">
        <v>32329.500000000007</v>
      </c>
      <c r="S6" s="169">
        <f t="shared" si="16"/>
        <v>415525.5</v>
      </c>
      <c r="T6" s="122">
        <f>VLOOKUP($B6,'Tech Litons'!$A:$I,9,0)</f>
        <v>240</v>
      </c>
      <c r="U6" s="179">
        <f t="shared" si="17"/>
        <v>26.4</v>
      </c>
      <c r="V6" s="179">
        <f t="shared" si="18"/>
        <v>132.6</v>
      </c>
      <c r="W6" s="179">
        <f t="shared" si="19"/>
        <v>147.13125000000002</v>
      </c>
      <c r="X6" s="179">
        <f t="shared" si="20"/>
        <v>132.86875000000001</v>
      </c>
      <c r="Y6" s="179">
        <f t="shared" si="21"/>
        <v>165.93125000000001</v>
      </c>
      <c r="Z6" s="179">
        <f t="shared" si="22"/>
        <v>205.32499999999999</v>
      </c>
      <c r="AA6" s="179">
        <f t="shared" si="23"/>
        <v>184.66249999999999</v>
      </c>
      <c r="AB6" s="179">
        <f t="shared" si="24"/>
        <v>163.90625</v>
      </c>
      <c r="AC6" s="179">
        <f t="shared" si="25"/>
        <v>167.36250000000001</v>
      </c>
      <c r="AD6" s="179">
        <f t="shared" si="26"/>
        <v>134.43125000000001</v>
      </c>
      <c r="AE6" s="179">
        <f t="shared" si="27"/>
        <v>136.03125</v>
      </c>
      <c r="AF6" s="179">
        <f t="shared" si="28"/>
        <v>134.70625000000004</v>
      </c>
    </row>
    <row r="7" spans="2:32">
      <c r="B7" s="122">
        <f t="shared" ref="B7" si="30">F7</f>
        <v>69798156</v>
      </c>
      <c r="C7" s="122" t="str">
        <f>VLOOKUP($B7,'Tech Litons'!$A:$I,3,0)</f>
        <v>Quarts</v>
      </c>
      <c r="D7" s="122" t="str">
        <f>VLOOKUP($B7,'Tech Litons'!$A:$I,4,0)</f>
        <v>Other</v>
      </c>
      <c r="E7" s="1079" t="s">
        <v>1368</v>
      </c>
      <c r="F7" s="1079">
        <v>69798156</v>
      </c>
      <c r="G7" s="1080"/>
      <c r="H7" s="1080"/>
      <c r="I7" s="1080"/>
      <c r="J7" s="1080"/>
      <c r="K7" s="1080">
        <v>3000</v>
      </c>
      <c r="L7" s="1080"/>
      <c r="M7" s="1080"/>
      <c r="N7" s="1080"/>
      <c r="O7" s="1080">
        <v>14000</v>
      </c>
      <c r="P7" s="1080"/>
      <c r="Q7" s="1080"/>
      <c r="R7" s="1080"/>
      <c r="S7" s="169">
        <f t="shared" ref="S7" si="31">SUM(G7:R7)</f>
        <v>17000</v>
      </c>
      <c r="T7" s="122">
        <f>VLOOKUP($B7,'Tech Litons'!$A:$I,9,0)</f>
        <v>182</v>
      </c>
      <c r="U7" s="179">
        <f t="shared" ref="U7" si="32">G7/$T7</f>
        <v>0</v>
      </c>
      <c r="V7" s="179">
        <f t="shared" ref="V7" si="33">H7/$T7</f>
        <v>0</v>
      </c>
      <c r="W7" s="179">
        <f t="shared" ref="W7" si="34">I7/$T7</f>
        <v>0</v>
      </c>
      <c r="X7" s="179">
        <f t="shared" ref="X7" si="35">J7/$T7</f>
        <v>0</v>
      </c>
      <c r="Y7" s="179">
        <f t="shared" ref="Y7" si="36">K7/$T7</f>
        <v>16.483516483516482</v>
      </c>
      <c r="Z7" s="179">
        <f t="shared" ref="Z7" si="37">L7/$T7</f>
        <v>0</v>
      </c>
      <c r="AA7" s="179">
        <f t="shared" ref="AA7" si="38">M7/$T7</f>
        <v>0</v>
      </c>
      <c r="AB7" s="179">
        <f t="shared" ref="AB7" si="39">N7/$T7</f>
        <v>0</v>
      </c>
      <c r="AC7" s="179">
        <f t="shared" ref="AC7" si="40">O7/$T7</f>
        <v>76.92307692307692</v>
      </c>
      <c r="AD7" s="179">
        <f t="shared" ref="AD7" si="41">P7/$T7</f>
        <v>0</v>
      </c>
      <c r="AE7" s="179">
        <f t="shared" ref="AE7" si="42">Q7/$T7</f>
        <v>0</v>
      </c>
      <c r="AF7" s="179">
        <f t="shared" ref="AF7" si="43">R7/$T7</f>
        <v>0</v>
      </c>
    </row>
    <row r="8" spans="2:32">
      <c r="B8" s="122">
        <f t="shared" ref="B8" si="44">F8</f>
        <v>64360314</v>
      </c>
      <c r="C8" s="122" t="str">
        <f>VLOOKUP($B8,'Tech Litons'!$A:$I,3,0)</f>
        <v>MG Sticks</v>
      </c>
      <c r="D8" s="122" t="str">
        <f>VLOOKUP($B8,'Tech Litons'!$A:$I,4,0)</f>
        <v>MG Sticks</v>
      </c>
      <c r="E8" s="1079" t="s">
        <v>1369</v>
      </c>
      <c r="F8" s="1079">
        <v>64360314</v>
      </c>
      <c r="G8" s="1080"/>
      <c r="H8" s="1080"/>
      <c r="I8" s="1080"/>
      <c r="J8" s="1080"/>
      <c r="K8" s="1080"/>
      <c r="L8" s="1080">
        <v>30000</v>
      </c>
      <c r="M8" s="1080"/>
      <c r="N8" s="1080"/>
      <c r="O8" s="1080"/>
      <c r="P8" s="1080"/>
      <c r="Q8" s="1080"/>
      <c r="R8" s="1080"/>
      <c r="S8" s="169">
        <f t="shared" ref="S8" si="45">SUM(G8:R8)</f>
        <v>30000</v>
      </c>
      <c r="T8" s="122">
        <f>VLOOKUP($B8,'Tech Litons'!$A:$I,9,0)</f>
        <v>195</v>
      </c>
      <c r="U8" s="179">
        <f t="shared" ref="U8" si="46">G8/$T8</f>
        <v>0</v>
      </c>
      <c r="V8" s="179">
        <f t="shared" ref="V8" si="47">H8/$T8</f>
        <v>0</v>
      </c>
      <c r="W8" s="179">
        <f t="shared" ref="W8" si="48">I8/$T8</f>
        <v>0</v>
      </c>
      <c r="X8" s="179">
        <f t="shared" ref="X8" si="49">J8/$T8</f>
        <v>0</v>
      </c>
      <c r="Y8" s="179">
        <f t="shared" ref="Y8" si="50">K8/$T8</f>
        <v>0</v>
      </c>
      <c r="Z8" s="179">
        <f t="shared" ref="Z8" si="51">L8/$T8</f>
        <v>153.84615384615384</v>
      </c>
      <c r="AA8" s="179">
        <f t="shared" ref="AA8" si="52">M8/$T8</f>
        <v>0</v>
      </c>
      <c r="AB8" s="179">
        <f t="shared" ref="AB8" si="53">N8/$T8</f>
        <v>0</v>
      </c>
      <c r="AC8" s="179">
        <f t="shared" ref="AC8" si="54">O8/$T8</f>
        <v>0</v>
      </c>
      <c r="AD8" s="179">
        <f t="shared" ref="AD8" si="55">P8/$T8</f>
        <v>0</v>
      </c>
      <c r="AE8" s="179">
        <f t="shared" ref="AE8" si="56">Q8/$T8</f>
        <v>0</v>
      </c>
      <c r="AF8" s="179">
        <f t="shared" ref="AF8" si="57">R8/$T8</f>
        <v>0</v>
      </c>
    </row>
    <row r="9" spans="2:32">
      <c r="B9" s="122">
        <f t="shared" si="29"/>
        <v>64865906</v>
      </c>
      <c r="C9" s="122" t="str">
        <f>VLOOKUP($B9,'Tech Litons'!$A:$I,3,0)</f>
        <v>Other</v>
      </c>
      <c r="D9" s="122" t="str">
        <f>VLOOKUP($B9,'Tech Litons'!$A:$I,4,0)</f>
        <v>Other</v>
      </c>
      <c r="E9" s="1079" t="s">
        <v>1046</v>
      </c>
      <c r="F9" s="1079">
        <v>64865906</v>
      </c>
      <c r="G9" s="1080"/>
      <c r="H9" s="1080"/>
      <c r="I9" s="1080"/>
      <c r="J9" s="1080">
        <v>71000</v>
      </c>
      <c r="K9" s="1080"/>
      <c r="L9" s="1080"/>
      <c r="M9" s="1080"/>
      <c r="N9" s="1080"/>
      <c r="O9" s="1080"/>
      <c r="P9" s="1080"/>
      <c r="Q9" s="1080"/>
      <c r="R9" s="1080"/>
      <c r="S9" s="169">
        <f t="shared" si="16"/>
        <v>71000</v>
      </c>
      <c r="T9" s="122">
        <f>VLOOKUP($B9,'Tech Litons'!$A:$I,9,0)</f>
        <v>120</v>
      </c>
      <c r="U9" s="179">
        <f t="shared" si="17"/>
        <v>0</v>
      </c>
      <c r="V9" s="179">
        <f t="shared" si="18"/>
        <v>0</v>
      </c>
      <c r="W9" s="179">
        <f t="shared" si="19"/>
        <v>0</v>
      </c>
      <c r="X9" s="179">
        <f t="shared" si="20"/>
        <v>591.66666666666663</v>
      </c>
      <c r="Y9" s="179">
        <f t="shared" si="21"/>
        <v>0</v>
      </c>
      <c r="Z9" s="179">
        <f t="shared" si="22"/>
        <v>0</v>
      </c>
      <c r="AA9" s="179">
        <f t="shared" si="23"/>
        <v>0</v>
      </c>
      <c r="AB9" s="179">
        <f t="shared" si="24"/>
        <v>0</v>
      </c>
      <c r="AC9" s="179">
        <f t="shared" si="25"/>
        <v>0</v>
      </c>
      <c r="AD9" s="179">
        <f t="shared" si="26"/>
        <v>0</v>
      </c>
      <c r="AE9" s="179">
        <f t="shared" si="27"/>
        <v>0</v>
      </c>
      <c r="AF9" s="179">
        <f t="shared" si="28"/>
        <v>0</v>
      </c>
    </row>
    <row r="10" spans="2:32">
      <c r="B10" s="122">
        <f t="shared" ref="B10" si="58">F10</f>
        <v>64771676</v>
      </c>
      <c r="C10" s="122" t="str">
        <f>VLOOKUP($B10,'Tech Litons'!$A:$I,3,0)</f>
        <v>Facepieces</v>
      </c>
      <c r="D10" s="122" t="str">
        <f>VLOOKUP($B10,'Tech Litons'!$A:$I,4,0)</f>
        <v>Facepieces</v>
      </c>
      <c r="E10" s="1079" t="s">
        <v>1259</v>
      </c>
      <c r="F10" s="1079">
        <v>64771676</v>
      </c>
      <c r="G10" s="1080"/>
      <c r="H10" s="1080"/>
      <c r="I10" s="1080"/>
      <c r="J10" s="1080"/>
      <c r="K10" s="1080">
        <v>130000</v>
      </c>
      <c r="L10" s="1080">
        <v>100000</v>
      </c>
      <c r="M10" s="1080">
        <v>40000</v>
      </c>
      <c r="N10" s="1080"/>
      <c r="O10" s="1080"/>
      <c r="P10" s="1080"/>
      <c r="Q10" s="1080"/>
      <c r="R10" s="1080"/>
      <c r="S10" s="169">
        <f t="shared" ref="S10" si="59">SUM(G10:R10)</f>
        <v>270000</v>
      </c>
      <c r="T10" s="122">
        <f>VLOOKUP($B10,'Tech Litons'!$A:$I,9,0)</f>
        <v>195</v>
      </c>
      <c r="U10" s="179">
        <f t="shared" ref="U10" si="60">G10/$T10</f>
        <v>0</v>
      </c>
      <c r="V10" s="179">
        <f t="shared" ref="V10" si="61">H10/$T10</f>
        <v>0</v>
      </c>
      <c r="W10" s="179">
        <f t="shared" ref="W10" si="62">I10/$T10</f>
        <v>0</v>
      </c>
      <c r="X10" s="179">
        <f t="shared" ref="X10" si="63">J10/$T10</f>
        <v>0</v>
      </c>
      <c r="Y10" s="179">
        <f t="shared" ref="Y10" si="64">K10/$T10</f>
        <v>666.66666666666663</v>
      </c>
      <c r="Z10" s="179">
        <f t="shared" ref="Z10" si="65">L10/$T10</f>
        <v>512.82051282051282</v>
      </c>
      <c r="AA10" s="179">
        <f t="shared" ref="AA10" si="66">M10/$T10</f>
        <v>205.12820512820514</v>
      </c>
      <c r="AB10" s="179">
        <f t="shared" ref="AB10" si="67">N10/$T10</f>
        <v>0</v>
      </c>
      <c r="AC10" s="179">
        <f t="shared" ref="AC10" si="68">O10/$T10</f>
        <v>0</v>
      </c>
      <c r="AD10" s="179">
        <f t="shared" ref="AD10" si="69">P10/$T10</f>
        <v>0</v>
      </c>
      <c r="AE10" s="179">
        <f t="shared" ref="AE10" si="70">Q10/$T10</f>
        <v>0</v>
      </c>
      <c r="AF10" s="179">
        <f t="shared" ref="AF10" si="71">R10/$T10</f>
        <v>0</v>
      </c>
    </row>
    <row r="11" spans="2:32" ht="21.75" customHeight="1">
      <c r="B11" s="122">
        <v>64325487</v>
      </c>
      <c r="C11" s="122" t="str">
        <f>VLOOKUP($B11,'Tech Litons'!$A:$I,3,0)</f>
        <v>Yasso Sticks</v>
      </c>
      <c r="D11" s="122" t="str">
        <f>VLOOKUP($B11,'Tech Litons'!$A:$I,4,0)</f>
        <v>Yasso Sticks</v>
      </c>
      <c r="E11" s="1079" t="s">
        <v>1260</v>
      </c>
      <c r="F11" s="1079">
        <v>69552657</v>
      </c>
      <c r="G11" s="1080"/>
      <c r="H11" s="1080"/>
      <c r="I11" s="1080"/>
      <c r="J11" s="1080"/>
      <c r="K11" s="1080">
        <v>20000</v>
      </c>
      <c r="L11" s="1080"/>
      <c r="M11" s="1080"/>
      <c r="N11" s="1080"/>
      <c r="O11" s="1080"/>
      <c r="P11" s="1080"/>
      <c r="Q11" s="1080"/>
      <c r="R11" s="1080"/>
      <c r="S11" s="169">
        <f t="shared" si="16"/>
        <v>20000</v>
      </c>
      <c r="T11" s="122">
        <f>VLOOKUP($B11,'Tech Litons'!$A:$I,9,0)</f>
        <v>187</v>
      </c>
      <c r="U11" s="179">
        <f t="shared" si="17"/>
        <v>0</v>
      </c>
      <c r="V11" s="179">
        <f t="shared" si="18"/>
        <v>0</v>
      </c>
      <c r="W11" s="179">
        <f t="shared" si="19"/>
        <v>0</v>
      </c>
      <c r="X11" s="179">
        <f t="shared" si="20"/>
        <v>0</v>
      </c>
      <c r="Y11" s="179">
        <f t="shared" si="21"/>
        <v>106.95187165775401</v>
      </c>
      <c r="Z11" s="179">
        <f t="shared" si="22"/>
        <v>0</v>
      </c>
      <c r="AA11" s="179">
        <f t="shared" si="23"/>
        <v>0</v>
      </c>
      <c r="AB11" s="179">
        <f t="shared" si="24"/>
        <v>0</v>
      </c>
      <c r="AC11" s="179">
        <f t="shared" si="25"/>
        <v>0</v>
      </c>
      <c r="AD11" s="179">
        <f t="shared" si="26"/>
        <v>0</v>
      </c>
      <c r="AE11" s="179">
        <f t="shared" si="27"/>
        <v>0</v>
      </c>
      <c r="AF11" s="179">
        <f t="shared" si="28"/>
        <v>0</v>
      </c>
    </row>
    <row r="12" spans="2:32">
      <c r="B12" s="122">
        <f t="shared" ref="B12:B13" si="72">F12</f>
        <v>68851106</v>
      </c>
      <c r="C12" s="122" t="str">
        <f>VLOOKUP($B12,'Tech Litons'!$A:$I,3,0)</f>
        <v>48oz</v>
      </c>
      <c r="D12" s="122" t="str">
        <f>VLOOKUP($B12,'Tech Litons'!$A:$I,4,0)</f>
        <v>48oz</v>
      </c>
      <c r="E12" s="245" t="s">
        <v>1339</v>
      </c>
      <c r="F12" s="1021">
        <v>68851106</v>
      </c>
      <c r="G12" s="278">
        <v>16512</v>
      </c>
      <c r="H12" s="278">
        <v>18239</v>
      </c>
      <c r="I12" s="278">
        <v>17838.539563977625</v>
      </c>
      <c r="J12" s="278">
        <v>28115.106623497093</v>
      </c>
      <c r="K12" s="425">
        <v>29461.1773650744</v>
      </c>
      <c r="L12" s="278">
        <v>29138.859228638001</v>
      </c>
      <c r="M12" s="278">
        <v>29989.629439186305</v>
      </c>
      <c r="N12" s="278">
        <v>29985.297743141651</v>
      </c>
      <c r="O12" s="278">
        <v>28951.515109964414</v>
      </c>
      <c r="P12" s="278">
        <v>29930.963870893</v>
      </c>
      <c r="Q12" s="278">
        <v>28675.758864668896</v>
      </c>
      <c r="R12" s="278">
        <v>29372.878322056495</v>
      </c>
      <c r="S12" s="169">
        <f t="shared" si="16"/>
        <v>316210.72613109788</v>
      </c>
      <c r="T12" s="122">
        <f>VLOOKUP($B12,'Tech Litons'!$A:$I,9,0)</f>
        <v>154</v>
      </c>
      <c r="U12" s="179">
        <f t="shared" si="17"/>
        <v>107.22077922077922</v>
      </c>
      <c r="V12" s="179">
        <f t="shared" si="18"/>
        <v>118.43506493506493</v>
      </c>
      <c r="W12" s="179">
        <f t="shared" si="19"/>
        <v>115.8346724933612</v>
      </c>
      <c r="X12" s="179">
        <f t="shared" si="20"/>
        <v>182.56562742530579</v>
      </c>
      <c r="Y12" s="179">
        <f t="shared" si="21"/>
        <v>191.30634652645713</v>
      </c>
      <c r="Z12" s="179">
        <f t="shared" si="22"/>
        <v>189.21337161453246</v>
      </c>
      <c r="AA12" s="179">
        <f t="shared" si="23"/>
        <v>194.73785350120977</v>
      </c>
      <c r="AB12" s="179">
        <f t="shared" si="24"/>
        <v>194.70972560481593</v>
      </c>
      <c r="AC12" s="179">
        <f t="shared" si="25"/>
        <v>187.99685136340528</v>
      </c>
      <c r="AD12" s="179">
        <f t="shared" si="26"/>
        <v>194.35690825255193</v>
      </c>
      <c r="AE12" s="179">
        <f t="shared" si="27"/>
        <v>186.20622639395387</v>
      </c>
      <c r="AF12" s="179">
        <f t="shared" si="28"/>
        <v>190.73297611724996</v>
      </c>
    </row>
    <row r="13" spans="2:32">
      <c r="B13" s="122">
        <f t="shared" si="72"/>
        <v>65089667</v>
      </c>
      <c r="C13" s="122" t="str">
        <f>VLOOKUP($B13,'Tech Litons'!$A:$I,3,0)</f>
        <v>Other</v>
      </c>
      <c r="D13" s="122" t="str">
        <f>VLOOKUP($B13,'Tech Litons'!$A:$I,4,0)</f>
        <v>Other</v>
      </c>
      <c r="E13" s="245" t="s">
        <v>1332</v>
      </c>
      <c r="F13" s="245">
        <v>65089667</v>
      </c>
      <c r="G13" s="278">
        <v>1575</v>
      </c>
      <c r="H13" s="278">
        <v>2700</v>
      </c>
      <c r="I13" s="278">
        <v>3883.875</v>
      </c>
      <c r="J13" s="278">
        <v>2937.75</v>
      </c>
      <c r="K13" s="278">
        <v>2443.5</v>
      </c>
      <c r="L13" s="278">
        <v>3487.125</v>
      </c>
      <c r="M13" s="278">
        <v>9287.625</v>
      </c>
      <c r="N13" s="278">
        <v>5732.25</v>
      </c>
      <c r="O13" s="278">
        <v>3217.5</v>
      </c>
      <c r="P13" s="278">
        <v>2598.75</v>
      </c>
      <c r="Q13" s="278">
        <v>2407.5</v>
      </c>
      <c r="R13" s="278">
        <v>2171.25</v>
      </c>
      <c r="S13" s="169">
        <f t="shared" si="16"/>
        <v>42442.125</v>
      </c>
      <c r="T13" s="122">
        <f>VLOOKUP($B13,'Tech Litons'!$A:$I,9,0)</f>
        <v>150</v>
      </c>
      <c r="U13" s="179">
        <f t="shared" si="17"/>
        <v>10.5</v>
      </c>
      <c r="V13" s="179">
        <f t="shared" si="18"/>
        <v>18</v>
      </c>
      <c r="W13" s="179">
        <f t="shared" si="19"/>
        <v>25.892499999999998</v>
      </c>
      <c r="X13" s="179">
        <f t="shared" si="20"/>
        <v>19.585000000000001</v>
      </c>
      <c r="Y13" s="179">
        <f t="shared" si="21"/>
        <v>16.29</v>
      </c>
      <c r="Z13" s="179">
        <f t="shared" si="22"/>
        <v>23.247499999999999</v>
      </c>
      <c r="AA13" s="179">
        <f t="shared" si="23"/>
        <v>61.917499999999997</v>
      </c>
      <c r="AB13" s="179">
        <f t="shared" si="24"/>
        <v>38.215000000000003</v>
      </c>
      <c r="AC13" s="179">
        <f t="shared" si="25"/>
        <v>21.45</v>
      </c>
      <c r="AD13" s="179">
        <f t="shared" si="26"/>
        <v>17.324999999999999</v>
      </c>
      <c r="AE13" s="179">
        <f t="shared" si="27"/>
        <v>16.05</v>
      </c>
      <c r="AF13" s="179">
        <f t="shared" si="28"/>
        <v>14.475</v>
      </c>
    </row>
    <row r="14" spans="2:32">
      <c r="B14" s="122">
        <f t="shared" ref="B14" si="73">F14</f>
        <v>64356482</v>
      </c>
      <c r="C14" s="122" t="str">
        <f>VLOOKUP($B14,'Tech Litons'!$A:$I,3,0)</f>
        <v>Repack MG Sticks</v>
      </c>
      <c r="D14" s="122" t="str">
        <f>VLOOKUP($B14,'Tech Litons'!$A:$I,4,0)</f>
        <v>Other</v>
      </c>
      <c r="E14" s="245" t="s">
        <v>1331</v>
      </c>
      <c r="F14" s="245">
        <v>64356482</v>
      </c>
      <c r="G14" s="278">
        <v>0</v>
      </c>
      <c r="H14" s="278">
        <v>0</v>
      </c>
      <c r="I14" s="278">
        <v>0</v>
      </c>
      <c r="J14" s="278">
        <v>19462</v>
      </c>
      <c r="K14" s="278">
        <v>86278</v>
      </c>
      <c r="L14" s="278">
        <v>75586</v>
      </c>
      <c r="M14" s="278">
        <v>40369</v>
      </c>
      <c r="N14" s="278">
        <v>0</v>
      </c>
      <c r="O14" s="278">
        <v>0</v>
      </c>
      <c r="P14" s="278">
        <v>0</v>
      </c>
      <c r="Q14" s="278">
        <v>0</v>
      </c>
      <c r="R14" s="278">
        <v>0</v>
      </c>
      <c r="S14" s="169">
        <f t="shared" ref="S14" si="74">SUM(G14:R14)</f>
        <v>221695</v>
      </c>
      <c r="T14" s="122">
        <f>VLOOKUP($B14,'Tech Litons'!$A:$I,9,0)</f>
        <v>296</v>
      </c>
      <c r="U14" s="179">
        <f t="shared" ref="U14" si="75">G14/$T14</f>
        <v>0</v>
      </c>
      <c r="V14" s="179">
        <f t="shared" ref="V14" si="76">H14/$T14</f>
        <v>0</v>
      </c>
      <c r="W14" s="179">
        <f t="shared" ref="W14" si="77">I14/$T14</f>
        <v>0</v>
      </c>
      <c r="X14" s="179">
        <f t="shared" ref="X14" si="78">J14/$T14</f>
        <v>65.75</v>
      </c>
      <c r="Y14" s="179">
        <f t="shared" ref="Y14" si="79">K14/$T14</f>
        <v>291.47972972972974</v>
      </c>
      <c r="Z14" s="179">
        <f t="shared" ref="Z14" si="80">L14/$T14</f>
        <v>255.3581081081081</v>
      </c>
      <c r="AA14" s="179">
        <f t="shared" ref="AA14" si="81">M14/$T14</f>
        <v>136.38175675675674</v>
      </c>
      <c r="AB14" s="179">
        <f t="shared" ref="AB14" si="82">N14/$T14</f>
        <v>0</v>
      </c>
      <c r="AC14" s="179">
        <f t="shared" ref="AC14" si="83">O14/$T14</f>
        <v>0</v>
      </c>
      <c r="AD14" s="179">
        <f t="shared" ref="AD14" si="84">P14/$T14</f>
        <v>0</v>
      </c>
      <c r="AE14" s="179">
        <f t="shared" ref="AE14" si="85">Q14/$T14</f>
        <v>0</v>
      </c>
      <c r="AF14" s="179">
        <f t="shared" ref="AF14" si="86">R14/$T14</f>
        <v>0</v>
      </c>
    </row>
    <row r="15" spans="2:32">
      <c r="B15" s="122">
        <f t="shared" ref="B15:B73" si="87">F15</f>
        <v>68851106</v>
      </c>
      <c r="C15" s="122" t="str">
        <f>VLOOKUP($B15,'Tech Litons'!$A:$I,3,0)</f>
        <v>48oz</v>
      </c>
      <c r="D15" s="122" t="str">
        <f>VLOOKUP($B15,'Tech Litons'!$A:$I,4,0)</f>
        <v>48oz</v>
      </c>
      <c r="E15" s="1021" t="s">
        <v>1012</v>
      </c>
      <c r="F15" s="1021">
        <v>68851106</v>
      </c>
      <c r="G15" s="1023">
        <v>222026</v>
      </c>
      <c r="H15" s="1023">
        <v>222222</v>
      </c>
      <c r="I15" s="1023">
        <v>318769.57809414668</v>
      </c>
      <c r="J15" s="1023">
        <v>226834.89703129735</v>
      </c>
      <c r="K15" s="1023">
        <v>277827.23446327867</v>
      </c>
      <c r="L15" s="1023">
        <v>276904.46874905727</v>
      </c>
      <c r="M15" s="1023">
        <v>273077.08147413534</v>
      </c>
      <c r="N15" s="1023">
        <v>267793.5482125096</v>
      </c>
      <c r="O15" s="1023">
        <v>210224.06231847018</v>
      </c>
      <c r="P15" s="1023">
        <v>247074.43391651285</v>
      </c>
      <c r="Q15" s="1023">
        <v>266200.43442691583</v>
      </c>
      <c r="R15" s="1023">
        <v>202598.54873193256</v>
      </c>
      <c r="S15" s="169">
        <f t="shared" si="16"/>
        <v>3011552.2874182565</v>
      </c>
      <c r="T15" s="122">
        <f>VLOOKUP($B15,'Tech Litons'!$A:$I,9,0)</f>
        <v>154</v>
      </c>
      <c r="U15" s="179">
        <f t="shared" si="17"/>
        <v>1441.7272727272727</v>
      </c>
      <c r="V15" s="179">
        <f t="shared" si="18"/>
        <v>1443</v>
      </c>
      <c r="W15" s="179">
        <f t="shared" si="19"/>
        <v>2069.9323252866666</v>
      </c>
      <c r="X15" s="179">
        <f t="shared" si="20"/>
        <v>1472.9538768266061</v>
      </c>
      <c r="Y15" s="179">
        <f t="shared" si="21"/>
        <v>1804.0729510602512</v>
      </c>
      <c r="Z15" s="179">
        <f t="shared" si="22"/>
        <v>1798.0809659029692</v>
      </c>
      <c r="AA15" s="179">
        <f t="shared" si="23"/>
        <v>1773.2278017800995</v>
      </c>
      <c r="AB15" s="179">
        <f t="shared" si="24"/>
        <v>1738.9191442370754</v>
      </c>
      <c r="AC15" s="179">
        <f t="shared" si="25"/>
        <v>1365.0913137563</v>
      </c>
      <c r="AD15" s="179">
        <f t="shared" si="26"/>
        <v>1604.3794410163173</v>
      </c>
      <c r="AE15" s="179">
        <f t="shared" si="27"/>
        <v>1728.5742495254274</v>
      </c>
      <c r="AF15" s="179">
        <f t="shared" si="28"/>
        <v>1315.5749917657959</v>
      </c>
    </row>
    <row r="16" spans="2:32">
      <c r="B16" s="122">
        <f t="shared" si="87"/>
        <v>84141103</v>
      </c>
      <c r="C16" s="122" t="str">
        <f>VLOOKUP($B16,'Tech Litons'!$A:$I,3,0)</f>
        <v>BJ PTS</v>
      </c>
      <c r="D16" s="122" t="str">
        <f>VLOOKUP($B16,'Tech Litons'!$A:$I,4,0)</f>
        <v>BJ PTS</v>
      </c>
      <c r="E16" s="1021" t="s">
        <v>959</v>
      </c>
      <c r="F16" s="1021">
        <v>84141103</v>
      </c>
      <c r="G16" s="1023">
        <v>143320</v>
      </c>
      <c r="H16" s="1023">
        <v>203206</v>
      </c>
      <c r="I16" s="1023">
        <v>222715.63406909024</v>
      </c>
      <c r="J16" s="1023">
        <v>186046.16414637273</v>
      </c>
      <c r="K16" s="1023">
        <v>196838.60699607281</v>
      </c>
      <c r="L16" s="1023">
        <v>227713.75853310866</v>
      </c>
      <c r="M16" s="1023">
        <v>180243.48869662912</v>
      </c>
      <c r="N16" s="1023">
        <v>187878.29859082159</v>
      </c>
      <c r="O16" s="1023">
        <v>171646.80230078343</v>
      </c>
      <c r="P16" s="1023">
        <v>167526.71563127698</v>
      </c>
      <c r="Q16" s="1023">
        <v>162519.69462949462</v>
      </c>
      <c r="R16" s="1023">
        <v>151895.12950425869</v>
      </c>
      <c r="S16" s="169">
        <f t="shared" ref="S16:S79" si="88">SUM(G16:R16)</f>
        <v>2201550.2930979091</v>
      </c>
      <c r="T16" s="122">
        <f>VLOOKUP($B16,'Tech Litons'!$A:$I,9,0)</f>
        <v>240</v>
      </c>
      <c r="U16" s="179">
        <f t="shared" ref="U16:U79" si="89">G16/$T16</f>
        <v>597.16666666666663</v>
      </c>
      <c r="V16" s="179">
        <f t="shared" ref="V16:V79" si="90">H16/$T16</f>
        <v>846.69166666666672</v>
      </c>
      <c r="W16" s="179">
        <f t="shared" ref="W16:W79" si="91">I16/$T16</f>
        <v>927.98180862120932</v>
      </c>
      <c r="X16" s="179">
        <f t="shared" ref="X16:X79" si="92">J16/$T16</f>
        <v>775.19235060988638</v>
      </c>
      <c r="Y16" s="179">
        <f t="shared" ref="Y16:Y79" si="93">K16/$T16</f>
        <v>820.16086248363672</v>
      </c>
      <c r="Z16" s="179">
        <f t="shared" ref="Z16:Z79" si="94">L16/$T16</f>
        <v>948.80732722128607</v>
      </c>
      <c r="AA16" s="179">
        <f t="shared" ref="AA16:AA79" si="95">M16/$T16</f>
        <v>751.01453623595467</v>
      </c>
      <c r="AB16" s="179">
        <f t="shared" ref="AB16:AB79" si="96">N16/$T16</f>
        <v>782.82624412842335</v>
      </c>
      <c r="AC16" s="179">
        <f t="shared" ref="AC16:AC79" si="97">O16/$T16</f>
        <v>715.19500958659762</v>
      </c>
      <c r="AD16" s="179">
        <f t="shared" ref="AD16:AD79" si="98">P16/$T16</f>
        <v>698.02798179698743</v>
      </c>
      <c r="AE16" s="179">
        <f t="shared" ref="AE16:AE79" si="99">Q16/$T16</f>
        <v>677.16539428956094</v>
      </c>
      <c r="AF16" s="179">
        <f t="shared" ref="AF16:AF79" si="100">R16/$T16</f>
        <v>632.89637293441115</v>
      </c>
    </row>
    <row r="17" spans="2:32">
      <c r="B17" s="122">
        <f t="shared" si="87"/>
        <v>84137725</v>
      </c>
      <c r="C17" s="122" t="str">
        <f>VLOOKUP($B17,'Tech Litons'!$A:$I,3,0)</f>
        <v>BJ PTS</v>
      </c>
      <c r="D17" s="122" t="str">
        <f>VLOOKUP($B17,'Tech Litons'!$A:$I,4,0)</f>
        <v>BJ PTS</v>
      </c>
      <c r="E17" s="1021" t="s">
        <v>955</v>
      </c>
      <c r="F17" s="1021">
        <v>84137725</v>
      </c>
      <c r="G17" s="1023">
        <v>116028</v>
      </c>
      <c r="H17" s="1023">
        <v>152955</v>
      </c>
      <c r="I17" s="1023">
        <v>178111.80871097301</v>
      </c>
      <c r="J17" s="1023">
        <v>152373.48508138894</v>
      </c>
      <c r="K17" s="1023">
        <v>180528.2244521582</v>
      </c>
      <c r="L17" s="1023">
        <v>187947.65177280683</v>
      </c>
      <c r="M17" s="1023">
        <v>146117.35804572192</v>
      </c>
      <c r="N17" s="1023">
        <v>158986.03149814031</v>
      </c>
      <c r="O17" s="1023">
        <v>131572.04575694416</v>
      </c>
      <c r="P17" s="1023">
        <v>133322.59706519285</v>
      </c>
      <c r="Q17" s="1023">
        <v>129054.31080241904</v>
      </c>
      <c r="R17" s="1023">
        <v>108997.87347714748</v>
      </c>
      <c r="S17" s="169">
        <f t="shared" si="88"/>
        <v>1775994.3866628928</v>
      </c>
      <c r="T17" s="122">
        <f>VLOOKUP($B17,'Tech Litons'!$A:$I,9,0)</f>
        <v>240</v>
      </c>
      <c r="U17" s="179">
        <f t="shared" si="89"/>
        <v>483.45</v>
      </c>
      <c r="V17" s="179">
        <f t="shared" si="90"/>
        <v>637.3125</v>
      </c>
      <c r="W17" s="179">
        <f t="shared" si="91"/>
        <v>742.13253629572091</v>
      </c>
      <c r="X17" s="179">
        <f t="shared" si="92"/>
        <v>634.8895211724539</v>
      </c>
      <c r="Y17" s="179">
        <f t="shared" si="93"/>
        <v>752.20093521732588</v>
      </c>
      <c r="Z17" s="179">
        <f t="shared" si="94"/>
        <v>783.11521572002846</v>
      </c>
      <c r="AA17" s="179">
        <f t="shared" si="95"/>
        <v>608.82232519050797</v>
      </c>
      <c r="AB17" s="179">
        <f t="shared" si="96"/>
        <v>662.44179790891792</v>
      </c>
      <c r="AC17" s="179">
        <f t="shared" si="97"/>
        <v>548.21685732060064</v>
      </c>
      <c r="AD17" s="179">
        <f t="shared" si="98"/>
        <v>555.5108211049702</v>
      </c>
      <c r="AE17" s="179">
        <f t="shared" si="99"/>
        <v>537.7262950100793</v>
      </c>
      <c r="AF17" s="179">
        <f t="shared" si="100"/>
        <v>454.15780615478121</v>
      </c>
    </row>
    <row r="18" spans="2:32">
      <c r="B18" s="122">
        <f t="shared" si="87"/>
        <v>62714126</v>
      </c>
      <c r="C18" s="122" t="str">
        <f>VLOOKUP($B18,'Tech Litons'!$A:$I,3,0)</f>
        <v>PG</v>
      </c>
      <c r="D18" s="122" t="str">
        <f>VLOOKUP($B18,'Tech Litons'!$A:$I,4,0)</f>
        <v>PG</v>
      </c>
      <c r="E18" s="1021" t="s">
        <v>402</v>
      </c>
      <c r="F18" s="1021">
        <v>62714126</v>
      </c>
      <c r="G18" s="1023">
        <v>110123</v>
      </c>
      <c r="H18" s="1023">
        <v>111761</v>
      </c>
      <c r="I18" s="1023">
        <v>125906.95051471585</v>
      </c>
      <c r="J18" s="1023">
        <v>145580.47862353129</v>
      </c>
      <c r="K18" s="1023">
        <v>192078.47434843663</v>
      </c>
      <c r="L18" s="1023">
        <v>194183.55200608174</v>
      </c>
      <c r="M18" s="1023">
        <v>170426.78781647913</v>
      </c>
      <c r="N18" s="1023">
        <v>135446.02643943569</v>
      </c>
      <c r="O18" s="1023">
        <v>111197.00660404284</v>
      </c>
      <c r="P18" s="1023">
        <v>91873.204773148638</v>
      </c>
      <c r="Q18" s="1023">
        <v>98762.333604933563</v>
      </c>
      <c r="R18" s="1023">
        <v>93881.702509680559</v>
      </c>
      <c r="S18" s="169">
        <f t="shared" si="88"/>
        <v>1581220.5172404856</v>
      </c>
      <c r="T18" s="122">
        <f>VLOOKUP($B18,'Tech Litons'!$A:$I,9,0)</f>
        <v>130</v>
      </c>
      <c r="U18" s="179">
        <f t="shared" si="89"/>
        <v>847.1</v>
      </c>
      <c r="V18" s="179">
        <f t="shared" si="90"/>
        <v>859.7</v>
      </c>
      <c r="W18" s="179">
        <f t="shared" si="91"/>
        <v>968.51500395935273</v>
      </c>
      <c r="X18" s="179">
        <f t="shared" si="92"/>
        <v>1119.8498355656254</v>
      </c>
      <c r="Y18" s="179">
        <f t="shared" si="93"/>
        <v>1477.526725757205</v>
      </c>
      <c r="Z18" s="179">
        <f t="shared" si="94"/>
        <v>1493.7196308160133</v>
      </c>
      <c r="AA18" s="179">
        <f t="shared" si="95"/>
        <v>1310.9752908959933</v>
      </c>
      <c r="AB18" s="179">
        <f t="shared" si="96"/>
        <v>1041.8925110725822</v>
      </c>
      <c r="AC18" s="179">
        <f t="shared" si="97"/>
        <v>855.36158926186795</v>
      </c>
      <c r="AD18" s="179">
        <f t="shared" si="98"/>
        <v>706.71695979345111</v>
      </c>
      <c r="AE18" s="179">
        <f t="shared" si="99"/>
        <v>759.71025849948899</v>
      </c>
      <c r="AF18" s="179">
        <f t="shared" si="100"/>
        <v>722.16694238215814</v>
      </c>
    </row>
    <row r="19" spans="2:32">
      <c r="B19" s="122">
        <f t="shared" si="87"/>
        <v>69629468</v>
      </c>
      <c r="C19" s="122" t="str">
        <f>VLOOKUP($B19,'Tech Litons'!$A:$I,3,0)</f>
        <v>PG</v>
      </c>
      <c r="D19" s="122" t="str">
        <f>VLOOKUP($B19,'Tech Litons'!$A:$I,4,0)</f>
        <v>PG</v>
      </c>
      <c r="E19" s="1021" t="s">
        <v>291</v>
      </c>
      <c r="F19" s="1021">
        <v>69629468</v>
      </c>
      <c r="G19" s="1023">
        <v>87568</v>
      </c>
      <c r="H19" s="1023">
        <v>89817</v>
      </c>
      <c r="I19" s="1023">
        <v>102246.02932823182</v>
      </c>
      <c r="J19" s="1023">
        <v>136402.3018208126</v>
      </c>
      <c r="K19" s="1023">
        <v>184942.89204902994</v>
      </c>
      <c r="L19" s="1023">
        <v>181115.91611193476</v>
      </c>
      <c r="M19" s="1023">
        <v>161374.07262790331</v>
      </c>
      <c r="N19" s="1023">
        <v>130445.73961031224</v>
      </c>
      <c r="O19" s="1023">
        <v>102179.78885133471</v>
      </c>
      <c r="P19" s="1023">
        <v>79610.531950341596</v>
      </c>
      <c r="Q19" s="1023">
        <v>83053.528049522443</v>
      </c>
      <c r="R19" s="1023">
        <v>85530.879214803805</v>
      </c>
      <c r="S19" s="169">
        <f t="shared" si="88"/>
        <v>1424286.6796142273</v>
      </c>
      <c r="T19" s="122">
        <f>VLOOKUP($B19,'Tech Litons'!$A:$I,9,0)</f>
        <v>130</v>
      </c>
      <c r="U19" s="179">
        <f t="shared" si="89"/>
        <v>673.6</v>
      </c>
      <c r="V19" s="179">
        <f t="shared" si="90"/>
        <v>690.9</v>
      </c>
      <c r="W19" s="179">
        <f t="shared" si="91"/>
        <v>786.50791790947551</v>
      </c>
      <c r="X19" s="179">
        <f t="shared" si="92"/>
        <v>1049.2484755447124</v>
      </c>
      <c r="Y19" s="179">
        <f t="shared" si="93"/>
        <v>1422.6376311463841</v>
      </c>
      <c r="Z19" s="179">
        <f t="shared" si="94"/>
        <v>1393.1993547071904</v>
      </c>
      <c r="AA19" s="179">
        <f t="shared" si="95"/>
        <v>1241.3390202146409</v>
      </c>
      <c r="AB19" s="179">
        <f t="shared" si="96"/>
        <v>1003.4287662331711</v>
      </c>
      <c r="AC19" s="179">
        <f t="shared" si="97"/>
        <v>785.99837577949779</v>
      </c>
      <c r="AD19" s="179">
        <f t="shared" si="98"/>
        <v>612.38870731032</v>
      </c>
      <c r="AE19" s="179">
        <f t="shared" si="99"/>
        <v>638.87329268863414</v>
      </c>
      <c r="AF19" s="179">
        <f t="shared" si="100"/>
        <v>657.92984011387546</v>
      </c>
    </row>
    <row r="20" spans="2:32">
      <c r="B20" s="122">
        <f t="shared" si="87"/>
        <v>68689251</v>
      </c>
      <c r="C20" s="122" t="str">
        <f>VLOOKUP($B20,'Tech Litons'!$A:$I,3,0)</f>
        <v>EDF</v>
      </c>
      <c r="D20" s="122" t="str">
        <f>VLOOKUP($B20,'Tech Litons'!$A:$I,4,0)</f>
        <v>EDF</v>
      </c>
      <c r="E20" s="1021" t="s">
        <v>1019</v>
      </c>
      <c r="F20" s="1021">
        <v>68689251</v>
      </c>
      <c r="G20" s="1023">
        <v>93960</v>
      </c>
      <c r="H20" s="1023">
        <v>109948</v>
      </c>
      <c r="I20" s="1023">
        <v>165150.51492429859</v>
      </c>
      <c r="J20" s="1023">
        <v>147577.74953597513</v>
      </c>
      <c r="K20" s="1023">
        <v>175493.57141616329</v>
      </c>
      <c r="L20" s="1023">
        <v>196831.24644857823</v>
      </c>
      <c r="M20" s="1023">
        <v>164828.23630187401</v>
      </c>
      <c r="N20" s="1023">
        <v>146860.82358081688</v>
      </c>
      <c r="O20" s="1023">
        <v>108582.72596999968</v>
      </c>
      <c r="P20" s="1023">
        <v>107708.64785078408</v>
      </c>
      <c r="Q20" s="1023">
        <v>80564.411919197388</v>
      </c>
      <c r="R20" s="1023">
        <v>83134.907352179274</v>
      </c>
      <c r="S20" s="169">
        <f t="shared" si="88"/>
        <v>1580640.8352998665</v>
      </c>
      <c r="T20" s="122">
        <f>VLOOKUP($B20,'Tech Litons'!$A:$I,9,0)</f>
        <v>132</v>
      </c>
      <c r="U20" s="179">
        <f t="shared" si="89"/>
        <v>711.81818181818187</v>
      </c>
      <c r="V20" s="179">
        <f t="shared" si="90"/>
        <v>832.93939393939399</v>
      </c>
      <c r="W20" s="179">
        <f t="shared" si="91"/>
        <v>1251.1402645780197</v>
      </c>
      <c r="X20" s="179">
        <f t="shared" si="92"/>
        <v>1118.0132540604177</v>
      </c>
      <c r="Y20" s="179">
        <f t="shared" si="93"/>
        <v>1329.4967531527523</v>
      </c>
      <c r="Z20" s="179">
        <f t="shared" si="94"/>
        <v>1491.145806428623</v>
      </c>
      <c r="AA20" s="179">
        <f t="shared" si="95"/>
        <v>1248.698759862682</v>
      </c>
      <c r="AB20" s="179">
        <f t="shared" si="96"/>
        <v>1112.5819968243704</v>
      </c>
      <c r="AC20" s="179">
        <f t="shared" si="97"/>
        <v>822.59640886363388</v>
      </c>
      <c r="AD20" s="179">
        <f t="shared" si="98"/>
        <v>815.97460493018241</v>
      </c>
      <c r="AE20" s="179">
        <f t="shared" si="99"/>
        <v>610.33645393331358</v>
      </c>
      <c r="AF20" s="179">
        <f t="shared" si="100"/>
        <v>629.80990418317629</v>
      </c>
    </row>
    <row r="21" spans="2:32">
      <c r="B21" s="122">
        <f t="shared" si="87"/>
        <v>69999269</v>
      </c>
      <c r="C21" s="122" t="str">
        <f>VLOOKUP($B21,'Tech Litons'!$A:$I,3,0)</f>
        <v>BJ PTS</v>
      </c>
      <c r="D21" s="122" t="str">
        <f>VLOOKUP($B21,'Tech Litons'!$A:$I,4,0)</f>
        <v>BJ PTS</v>
      </c>
      <c r="E21" s="1021" t="s">
        <v>950</v>
      </c>
      <c r="F21" s="1021">
        <v>69999269</v>
      </c>
      <c r="G21" s="1023">
        <v>104547</v>
      </c>
      <c r="H21" s="1023">
        <v>131610</v>
      </c>
      <c r="I21" s="1023">
        <v>152341.05041242664</v>
      </c>
      <c r="J21" s="1023">
        <v>129138.56155679205</v>
      </c>
      <c r="K21" s="1023">
        <v>141264.03785747828</v>
      </c>
      <c r="L21" s="1023">
        <v>158600.7136740564</v>
      </c>
      <c r="M21" s="1023">
        <v>128746.44596342258</v>
      </c>
      <c r="N21" s="1023">
        <v>131515.38345884645</v>
      </c>
      <c r="O21" s="1023">
        <v>117368.6820373771</v>
      </c>
      <c r="P21" s="1023">
        <v>111891.713960358</v>
      </c>
      <c r="Q21" s="1023">
        <v>113177.09239747732</v>
      </c>
      <c r="R21" s="1023">
        <v>96598.282105086473</v>
      </c>
      <c r="S21" s="169">
        <f t="shared" si="88"/>
        <v>1516798.963423321</v>
      </c>
      <c r="T21" s="122">
        <f>VLOOKUP($B21,'Tech Litons'!$A:$I,9,0)</f>
        <v>240</v>
      </c>
      <c r="U21" s="179">
        <f t="shared" si="89"/>
        <v>435.61250000000001</v>
      </c>
      <c r="V21" s="179">
        <f t="shared" si="90"/>
        <v>548.375</v>
      </c>
      <c r="W21" s="179">
        <f t="shared" si="91"/>
        <v>634.75437671844441</v>
      </c>
      <c r="X21" s="179">
        <f t="shared" si="92"/>
        <v>538.07733981996682</v>
      </c>
      <c r="Y21" s="179">
        <f t="shared" si="93"/>
        <v>588.60015773949283</v>
      </c>
      <c r="Z21" s="179">
        <f t="shared" si="94"/>
        <v>660.83630697523506</v>
      </c>
      <c r="AA21" s="179">
        <f t="shared" si="95"/>
        <v>536.44352484759406</v>
      </c>
      <c r="AB21" s="179">
        <f t="shared" si="96"/>
        <v>547.98076441186026</v>
      </c>
      <c r="AC21" s="179">
        <f t="shared" si="97"/>
        <v>489.03617515573791</v>
      </c>
      <c r="AD21" s="179">
        <f t="shared" si="98"/>
        <v>466.21547483482499</v>
      </c>
      <c r="AE21" s="179">
        <f t="shared" si="99"/>
        <v>471.57121832282218</v>
      </c>
      <c r="AF21" s="179">
        <f t="shared" si="100"/>
        <v>402.49284210452697</v>
      </c>
    </row>
    <row r="22" spans="2:32">
      <c r="B22" s="122">
        <f t="shared" si="87"/>
        <v>69716748</v>
      </c>
      <c r="C22" s="122" t="str">
        <f>VLOOKUP($B22,'Tech Litons'!$A:$I,3,0)</f>
        <v>BJ PTS</v>
      </c>
      <c r="D22" s="122" t="str">
        <f>VLOOKUP($B22,'Tech Litons'!$A:$I,4,0)</f>
        <v>BJ PTS</v>
      </c>
      <c r="E22" s="1021" t="s">
        <v>957</v>
      </c>
      <c r="F22" s="1021">
        <v>69716748</v>
      </c>
      <c r="G22" s="1023">
        <v>107325</v>
      </c>
      <c r="H22" s="1023">
        <v>135921</v>
      </c>
      <c r="I22" s="1023">
        <v>155123.07201391796</v>
      </c>
      <c r="J22" s="1023">
        <v>136925.57432874586</v>
      </c>
      <c r="K22" s="1023">
        <v>144445.88417584662</v>
      </c>
      <c r="L22" s="1023">
        <v>162707.99703063344</v>
      </c>
      <c r="M22" s="1023">
        <v>135795.61422257885</v>
      </c>
      <c r="N22" s="1023">
        <v>137427.71084199334</v>
      </c>
      <c r="O22" s="1023">
        <v>121513.75843543337</v>
      </c>
      <c r="P22" s="1023">
        <v>118263.35763752321</v>
      </c>
      <c r="Q22" s="1023">
        <v>117326.20382646676</v>
      </c>
      <c r="R22" s="1023">
        <v>102839.67406026904</v>
      </c>
      <c r="S22" s="169">
        <f t="shared" si="88"/>
        <v>1575614.8465734082</v>
      </c>
      <c r="T22" s="122">
        <f>VLOOKUP($B22,'Tech Litons'!$A:$I,9,0)</f>
        <v>240</v>
      </c>
      <c r="U22" s="179">
        <f t="shared" si="89"/>
        <v>447.1875</v>
      </c>
      <c r="V22" s="179">
        <f t="shared" si="90"/>
        <v>566.33749999999998</v>
      </c>
      <c r="W22" s="179">
        <f t="shared" si="91"/>
        <v>646.34613339132488</v>
      </c>
      <c r="X22" s="179">
        <f t="shared" si="92"/>
        <v>570.52322636977442</v>
      </c>
      <c r="Y22" s="179">
        <f t="shared" si="93"/>
        <v>601.85785073269426</v>
      </c>
      <c r="Z22" s="179">
        <f t="shared" si="94"/>
        <v>677.9499876276393</v>
      </c>
      <c r="AA22" s="179">
        <f t="shared" si="95"/>
        <v>565.81505926074522</v>
      </c>
      <c r="AB22" s="179">
        <f t="shared" si="96"/>
        <v>572.61546184163888</v>
      </c>
      <c r="AC22" s="179">
        <f t="shared" si="97"/>
        <v>506.30732681430567</v>
      </c>
      <c r="AD22" s="179">
        <f t="shared" si="98"/>
        <v>492.76399015634672</v>
      </c>
      <c r="AE22" s="179">
        <f t="shared" si="99"/>
        <v>488.8591826102782</v>
      </c>
      <c r="AF22" s="179">
        <f t="shared" si="100"/>
        <v>428.49864191778767</v>
      </c>
    </row>
    <row r="23" spans="2:32">
      <c r="B23" s="122">
        <f t="shared" si="87"/>
        <v>84135718</v>
      </c>
      <c r="C23" s="122" t="str">
        <f>VLOOKUP($B23,'Tech Litons'!$A:$I,3,0)</f>
        <v>BJ PTS</v>
      </c>
      <c r="D23" s="122" t="str">
        <f>VLOOKUP($B23,'Tech Litons'!$A:$I,4,0)</f>
        <v>BJ PTS</v>
      </c>
      <c r="E23" s="1021" t="s">
        <v>956</v>
      </c>
      <c r="F23" s="1021">
        <v>84135718</v>
      </c>
      <c r="G23" s="1023">
        <v>97471</v>
      </c>
      <c r="H23" s="1023">
        <v>121234</v>
      </c>
      <c r="I23" s="1023">
        <v>151172.33853315501</v>
      </c>
      <c r="J23" s="1023">
        <v>133361.88576048691</v>
      </c>
      <c r="K23" s="1023">
        <v>135808.11044509927</v>
      </c>
      <c r="L23" s="1023">
        <v>161375.76957668594</v>
      </c>
      <c r="M23" s="1023">
        <v>126445.9769210441</v>
      </c>
      <c r="N23" s="1023">
        <v>129523.97714643029</v>
      </c>
      <c r="O23" s="1023">
        <v>118821.68888940275</v>
      </c>
      <c r="P23" s="1023">
        <v>116144.40856263439</v>
      </c>
      <c r="Q23" s="1023">
        <v>106983.6709712562</v>
      </c>
      <c r="R23" s="1023">
        <v>99328.392181551826</v>
      </c>
      <c r="S23" s="169">
        <f t="shared" si="88"/>
        <v>1497671.2189877466</v>
      </c>
      <c r="T23" s="122">
        <f>VLOOKUP($B23,'Tech Litons'!$A:$I,9,0)</f>
        <v>240</v>
      </c>
      <c r="U23" s="179">
        <f t="shared" si="89"/>
        <v>406.12916666666666</v>
      </c>
      <c r="V23" s="179">
        <f t="shared" si="90"/>
        <v>505.14166666666665</v>
      </c>
      <c r="W23" s="179">
        <f t="shared" si="91"/>
        <v>629.88474388814586</v>
      </c>
      <c r="X23" s="179">
        <f t="shared" si="92"/>
        <v>555.67452400202876</v>
      </c>
      <c r="Y23" s="179">
        <f t="shared" si="93"/>
        <v>565.86712685458031</v>
      </c>
      <c r="Z23" s="179">
        <f t="shared" si="94"/>
        <v>672.39903990285814</v>
      </c>
      <c r="AA23" s="179">
        <f t="shared" si="95"/>
        <v>526.85823717101709</v>
      </c>
      <c r="AB23" s="179">
        <f t="shared" si="96"/>
        <v>539.68323811012624</v>
      </c>
      <c r="AC23" s="179">
        <f t="shared" si="97"/>
        <v>495.09037037251147</v>
      </c>
      <c r="AD23" s="179">
        <f t="shared" si="98"/>
        <v>483.93503567764327</v>
      </c>
      <c r="AE23" s="179">
        <f t="shared" si="99"/>
        <v>445.76529571356753</v>
      </c>
      <c r="AF23" s="179">
        <f t="shared" si="100"/>
        <v>413.86830075646594</v>
      </c>
    </row>
    <row r="24" spans="2:32">
      <c r="B24" s="122">
        <f t="shared" si="87"/>
        <v>68851105</v>
      </c>
      <c r="C24" s="122" t="str">
        <f>VLOOKUP($B24,'Tech Litons'!$A:$I,3,0)</f>
        <v>48oz</v>
      </c>
      <c r="D24" s="122" t="str">
        <f>VLOOKUP($B24,'Tech Litons'!$A:$I,4,0)</f>
        <v>48oz</v>
      </c>
      <c r="E24" s="1021" t="s">
        <v>1000</v>
      </c>
      <c r="F24" s="1021">
        <v>68851105</v>
      </c>
      <c r="G24" s="1023">
        <v>95552</v>
      </c>
      <c r="H24" s="1023">
        <v>118349</v>
      </c>
      <c r="I24" s="1023">
        <v>170811.45104880622</v>
      </c>
      <c r="J24" s="1023">
        <v>117418.81209586909</v>
      </c>
      <c r="K24" s="1023">
        <v>150208.86648599873</v>
      </c>
      <c r="L24" s="1023">
        <v>158963.79831254453</v>
      </c>
      <c r="M24" s="1023">
        <v>138419.56725557495</v>
      </c>
      <c r="N24" s="1023">
        <v>133249.97344389249</v>
      </c>
      <c r="O24" s="1023">
        <v>119574.63613868874</v>
      </c>
      <c r="P24" s="1023">
        <v>113069.08075823906</v>
      </c>
      <c r="Q24" s="1023">
        <v>115077.28790086943</v>
      </c>
      <c r="R24" s="1023">
        <v>103949.02170214627</v>
      </c>
      <c r="S24" s="169">
        <f t="shared" si="88"/>
        <v>1534643.4951426298</v>
      </c>
      <c r="T24" s="122">
        <f>VLOOKUP($B24,'Tech Litons'!$A:$I,9,0)</f>
        <v>154</v>
      </c>
      <c r="U24" s="179">
        <f t="shared" si="89"/>
        <v>620.46753246753246</v>
      </c>
      <c r="V24" s="179">
        <f t="shared" si="90"/>
        <v>768.5</v>
      </c>
      <c r="W24" s="179">
        <f t="shared" si="91"/>
        <v>1109.1652665506897</v>
      </c>
      <c r="X24" s="179">
        <f t="shared" si="92"/>
        <v>762.45981880434476</v>
      </c>
      <c r="Y24" s="179">
        <f t="shared" si="93"/>
        <v>975.3822499090827</v>
      </c>
      <c r="Z24" s="179">
        <f t="shared" si="94"/>
        <v>1032.2324565749645</v>
      </c>
      <c r="AA24" s="179">
        <f t="shared" si="95"/>
        <v>898.82835880243476</v>
      </c>
      <c r="AB24" s="179">
        <f t="shared" si="96"/>
        <v>865.25956781748368</v>
      </c>
      <c r="AC24" s="179">
        <f t="shared" si="97"/>
        <v>776.45867622525157</v>
      </c>
      <c r="AD24" s="179">
        <f t="shared" si="98"/>
        <v>734.21481011843548</v>
      </c>
      <c r="AE24" s="179">
        <f t="shared" si="99"/>
        <v>747.2551162394119</v>
      </c>
      <c r="AF24" s="179">
        <f t="shared" si="100"/>
        <v>674.99364741653426</v>
      </c>
    </row>
    <row r="25" spans="2:32">
      <c r="B25" s="122">
        <f t="shared" si="87"/>
        <v>64771676</v>
      </c>
      <c r="C25" s="122" t="str">
        <f>VLOOKUP($B25,'Tech Litons'!$A:$I,3,0)</f>
        <v>Facepieces</v>
      </c>
      <c r="D25" s="122" t="str">
        <f>VLOOKUP($B25,'Tech Litons'!$A:$I,4,0)</f>
        <v>Facepieces</v>
      </c>
      <c r="E25" s="1021" t="s">
        <v>619</v>
      </c>
      <c r="F25" s="1021">
        <v>64771676</v>
      </c>
      <c r="G25" s="1023">
        <v>77620</v>
      </c>
      <c r="H25" s="1023">
        <v>74900</v>
      </c>
      <c r="I25" s="1023">
        <v>73315.997694087608</v>
      </c>
      <c r="J25" s="1023">
        <v>111044.58952058144</v>
      </c>
      <c r="K25" s="1023">
        <v>115870.04007203967</v>
      </c>
      <c r="L25" s="1023">
        <v>99781.086262656318</v>
      </c>
      <c r="M25" s="1023">
        <v>88132.180000000022</v>
      </c>
      <c r="N25" s="1023">
        <v>72763.39</v>
      </c>
      <c r="O25" s="1023">
        <v>57092.44999999999</v>
      </c>
      <c r="P25" s="1023">
        <v>38887.740000000005</v>
      </c>
      <c r="Q25" s="1023">
        <v>40367.802140591877</v>
      </c>
      <c r="R25" s="1023">
        <v>37337.922135098277</v>
      </c>
      <c r="S25" s="169">
        <f t="shared" si="88"/>
        <v>887113.19782505522</v>
      </c>
      <c r="T25" s="122">
        <f>VLOOKUP($B25,'Tech Litons'!$A:$I,9,0)</f>
        <v>195</v>
      </c>
      <c r="U25" s="179">
        <f t="shared" si="89"/>
        <v>398.05128205128204</v>
      </c>
      <c r="V25" s="179">
        <f t="shared" si="90"/>
        <v>384.10256410256409</v>
      </c>
      <c r="W25" s="179">
        <f t="shared" si="91"/>
        <v>375.9794753542954</v>
      </c>
      <c r="X25" s="179">
        <f t="shared" si="92"/>
        <v>569.45943343887916</v>
      </c>
      <c r="Y25" s="179">
        <f t="shared" si="93"/>
        <v>594.20533370276758</v>
      </c>
      <c r="Z25" s="179">
        <f t="shared" si="94"/>
        <v>511.69787827003239</v>
      </c>
      <c r="AA25" s="179">
        <f t="shared" si="95"/>
        <v>451.95989743589757</v>
      </c>
      <c r="AB25" s="179">
        <f t="shared" si="96"/>
        <v>373.14558974358977</v>
      </c>
      <c r="AC25" s="179">
        <f t="shared" si="97"/>
        <v>292.78179487179483</v>
      </c>
      <c r="AD25" s="179">
        <f t="shared" si="98"/>
        <v>199.42430769230771</v>
      </c>
      <c r="AE25" s="179">
        <f t="shared" si="99"/>
        <v>207.01436995175322</v>
      </c>
      <c r="AF25" s="179">
        <f t="shared" si="100"/>
        <v>191.47652376973474</v>
      </c>
    </row>
    <row r="26" spans="2:32">
      <c r="B26" s="122">
        <f t="shared" si="87"/>
        <v>68851104</v>
      </c>
      <c r="C26" s="122" t="str">
        <f>VLOOKUP($B26,'Tech Litons'!$A:$I,3,0)</f>
        <v>48oz</v>
      </c>
      <c r="D26" s="122" t="str">
        <f>VLOOKUP($B26,'Tech Litons'!$A:$I,4,0)</f>
        <v>48oz</v>
      </c>
      <c r="E26" s="1021" t="s">
        <v>993</v>
      </c>
      <c r="F26" s="1021">
        <v>68851104</v>
      </c>
      <c r="G26" s="1023">
        <v>103730</v>
      </c>
      <c r="H26" s="1023">
        <v>102806</v>
      </c>
      <c r="I26" s="1023">
        <v>150887.82676329435</v>
      </c>
      <c r="J26" s="1023">
        <v>96625.617062033911</v>
      </c>
      <c r="K26" s="1023">
        <v>124232.41474602539</v>
      </c>
      <c r="L26" s="1023">
        <v>131799.7662318158</v>
      </c>
      <c r="M26" s="1023">
        <v>121561.05650096256</v>
      </c>
      <c r="N26" s="1023">
        <v>112182.04401344388</v>
      </c>
      <c r="O26" s="1023">
        <v>93246.998832363926</v>
      </c>
      <c r="P26" s="1023">
        <v>98404.672454412619</v>
      </c>
      <c r="Q26" s="1023">
        <v>109232.55783928896</v>
      </c>
      <c r="R26" s="1023">
        <v>91645.355481104983</v>
      </c>
      <c r="S26" s="169">
        <f t="shared" si="88"/>
        <v>1336354.3099247464</v>
      </c>
      <c r="T26" s="122">
        <f>VLOOKUP($B26,'Tech Litons'!$A:$I,9,0)</f>
        <v>176</v>
      </c>
      <c r="U26" s="179">
        <f t="shared" si="89"/>
        <v>589.375</v>
      </c>
      <c r="V26" s="179">
        <f t="shared" si="90"/>
        <v>584.125</v>
      </c>
      <c r="W26" s="179">
        <f t="shared" si="91"/>
        <v>857.31719751871788</v>
      </c>
      <c r="X26" s="179">
        <f t="shared" si="92"/>
        <v>549.0091878524654</v>
      </c>
      <c r="Y26" s="179">
        <f t="shared" si="93"/>
        <v>705.86599287514423</v>
      </c>
      <c r="Z26" s="179">
        <f t="shared" si="94"/>
        <v>748.86230813531699</v>
      </c>
      <c r="AA26" s="179">
        <f t="shared" si="95"/>
        <v>690.68782102819637</v>
      </c>
      <c r="AB26" s="179">
        <f t="shared" si="96"/>
        <v>637.39797734911292</v>
      </c>
      <c r="AC26" s="179">
        <f t="shared" si="97"/>
        <v>529.81249336570409</v>
      </c>
      <c r="AD26" s="179">
        <f t="shared" si="98"/>
        <v>559.11745712734444</v>
      </c>
      <c r="AE26" s="179">
        <f t="shared" si="99"/>
        <v>620.63953317777816</v>
      </c>
      <c r="AF26" s="179">
        <f t="shared" si="100"/>
        <v>520.7122470517329</v>
      </c>
    </row>
    <row r="27" spans="2:32">
      <c r="B27" s="122">
        <f t="shared" si="87"/>
        <v>68850683</v>
      </c>
      <c r="C27" s="122" t="str">
        <f>VLOOKUP($B27,'Tech Litons'!$A:$I,3,0)</f>
        <v>48oz</v>
      </c>
      <c r="D27" s="122" t="str">
        <f>VLOOKUP($B27,'Tech Litons'!$A:$I,4,0)</f>
        <v>48oz</v>
      </c>
      <c r="E27" s="1021" t="s">
        <v>1001</v>
      </c>
      <c r="F27" s="1021">
        <v>68850683</v>
      </c>
      <c r="G27" s="1023">
        <v>98637</v>
      </c>
      <c r="H27" s="1023">
        <v>82841</v>
      </c>
      <c r="I27" s="1023">
        <v>156252.2692241403</v>
      </c>
      <c r="J27" s="1023">
        <v>86908.466428603162</v>
      </c>
      <c r="K27" s="1023">
        <v>117570.83664759443</v>
      </c>
      <c r="L27" s="1023">
        <v>127706.79975894016</v>
      </c>
      <c r="M27" s="1023">
        <v>118151.99081986946</v>
      </c>
      <c r="N27" s="1023">
        <v>106983.41268926482</v>
      </c>
      <c r="O27" s="1023">
        <v>87425.429478121368</v>
      </c>
      <c r="P27" s="1023">
        <v>107595.56600146439</v>
      </c>
      <c r="Q27" s="1023">
        <v>122898.20672424327</v>
      </c>
      <c r="R27" s="1023">
        <v>94036.856749982137</v>
      </c>
      <c r="S27" s="169">
        <f t="shared" si="88"/>
        <v>1307007.8345222236</v>
      </c>
      <c r="T27" s="122">
        <f>VLOOKUP($B27,'Tech Litons'!$A:$I,9,0)</f>
        <v>176</v>
      </c>
      <c r="U27" s="179">
        <f t="shared" si="89"/>
        <v>560.4375</v>
      </c>
      <c r="V27" s="179">
        <f t="shared" si="90"/>
        <v>470.6875</v>
      </c>
      <c r="W27" s="179">
        <f t="shared" si="91"/>
        <v>887.79698422806985</v>
      </c>
      <c r="X27" s="179">
        <f t="shared" si="92"/>
        <v>493.79810470797253</v>
      </c>
      <c r="Y27" s="179">
        <f t="shared" si="93"/>
        <v>668.01611731587752</v>
      </c>
      <c r="Z27" s="179">
        <f t="shared" si="94"/>
        <v>725.60681681215999</v>
      </c>
      <c r="AA27" s="179">
        <f t="shared" si="95"/>
        <v>671.31812965834922</v>
      </c>
      <c r="AB27" s="179">
        <f t="shared" si="96"/>
        <v>607.86029937082287</v>
      </c>
      <c r="AC27" s="179">
        <f t="shared" si="97"/>
        <v>496.7353947620532</v>
      </c>
      <c r="AD27" s="179">
        <f t="shared" si="98"/>
        <v>611.33844319013861</v>
      </c>
      <c r="AE27" s="179">
        <f t="shared" si="99"/>
        <v>698.28526547865488</v>
      </c>
      <c r="AF27" s="179">
        <f t="shared" si="100"/>
        <v>534.30032244308029</v>
      </c>
    </row>
    <row r="28" spans="2:32">
      <c r="B28" s="122">
        <f t="shared" si="87"/>
        <v>67794169</v>
      </c>
      <c r="C28" s="122" t="str">
        <f>VLOOKUP($B28,'Tech Litons'!$A:$I,3,0)</f>
        <v>BJ PTS</v>
      </c>
      <c r="D28" s="122" t="str">
        <f>VLOOKUP($B28,'Tech Litons'!$A:$I,4,0)</f>
        <v>BJ PTS</v>
      </c>
      <c r="E28" s="1021" t="s">
        <v>961</v>
      </c>
      <c r="F28" s="1021">
        <v>67794169</v>
      </c>
      <c r="G28" s="1023">
        <v>81917</v>
      </c>
      <c r="H28" s="1023">
        <v>119343</v>
      </c>
      <c r="I28" s="1023">
        <v>137814.58044949319</v>
      </c>
      <c r="J28" s="1023">
        <v>119310.8560215724</v>
      </c>
      <c r="K28" s="1023">
        <v>122060.65746509815</v>
      </c>
      <c r="L28" s="1023">
        <v>136495.13890381646</v>
      </c>
      <c r="M28" s="1023">
        <v>109953.87768187458</v>
      </c>
      <c r="N28" s="1023">
        <v>121461.24599226002</v>
      </c>
      <c r="O28" s="1023">
        <v>110202.00461542256</v>
      </c>
      <c r="P28" s="1023">
        <v>103384.77405007953</v>
      </c>
      <c r="Q28" s="1023">
        <v>97838.78954994808</v>
      </c>
      <c r="R28" s="1023">
        <v>86650.750500877155</v>
      </c>
      <c r="S28" s="169">
        <f t="shared" si="88"/>
        <v>1346432.6752304423</v>
      </c>
      <c r="T28" s="122">
        <f>VLOOKUP($B28,'Tech Litons'!$A:$I,9,0)</f>
        <v>240</v>
      </c>
      <c r="U28" s="179">
        <f t="shared" si="89"/>
        <v>341.32083333333333</v>
      </c>
      <c r="V28" s="179">
        <f t="shared" si="90"/>
        <v>497.26249999999999</v>
      </c>
      <c r="W28" s="179">
        <f t="shared" si="91"/>
        <v>574.22741853955495</v>
      </c>
      <c r="X28" s="179">
        <f t="shared" si="92"/>
        <v>497.12856675655166</v>
      </c>
      <c r="Y28" s="179">
        <f t="shared" si="93"/>
        <v>508.5860727712423</v>
      </c>
      <c r="Z28" s="179">
        <f t="shared" si="94"/>
        <v>568.72974543256862</v>
      </c>
      <c r="AA28" s="179">
        <f t="shared" si="95"/>
        <v>458.14115700781076</v>
      </c>
      <c r="AB28" s="179">
        <f t="shared" si="96"/>
        <v>506.08852496775012</v>
      </c>
      <c r="AC28" s="179">
        <f t="shared" si="97"/>
        <v>459.17501923092732</v>
      </c>
      <c r="AD28" s="179">
        <f t="shared" si="98"/>
        <v>430.76989187533138</v>
      </c>
      <c r="AE28" s="179">
        <f t="shared" si="99"/>
        <v>407.66162312478366</v>
      </c>
      <c r="AF28" s="179">
        <f t="shared" si="100"/>
        <v>361.0447937536548</v>
      </c>
    </row>
    <row r="29" spans="2:32">
      <c r="B29" s="122">
        <f t="shared" si="87"/>
        <v>64376316</v>
      </c>
      <c r="C29" s="122" t="str">
        <f>VLOOKUP($B29,'Tech Litons'!$A:$I,3,0)</f>
        <v>Yasso Club</v>
      </c>
      <c r="D29" s="122" t="str">
        <f>VLOOKUP($B29,'Tech Litons'!$A:$I,4,0)</f>
        <v>Yasso Club</v>
      </c>
      <c r="E29" s="1021" t="s">
        <v>565</v>
      </c>
      <c r="F29" s="1021">
        <v>64376316</v>
      </c>
      <c r="G29" s="1023">
        <v>96480</v>
      </c>
      <c r="H29" s="1023">
        <v>12960</v>
      </c>
      <c r="I29" s="1023">
        <v>172841</v>
      </c>
      <c r="J29" s="1023">
        <v>128894</v>
      </c>
      <c r="K29" s="1023">
        <v>144025</v>
      </c>
      <c r="L29" s="1023">
        <v>197410</v>
      </c>
      <c r="M29" s="1023">
        <v>79239</v>
      </c>
      <c r="N29" s="1023">
        <v>340729</v>
      </c>
      <c r="O29" s="1023">
        <v>1212361</v>
      </c>
      <c r="P29" s="1023">
        <v>0</v>
      </c>
      <c r="Q29" s="1023">
        <v>0</v>
      </c>
      <c r="R29" s="1023">
        <v>0</v>
      </c>
      <c r="S29" s="169">
        <f t="shared" si="88"/>
        <v>2384939</v>
      </c>
      <c r="T29" s="122">
        <f>VLOOKUP($B29,'Tech Litons'!$A:$I,9,0)</f>
        <v>240</v>
      </c>
      <c r="U29" s="179">
        <f t="shared" si="89"/>
        <v>402</v>
      </c>
      <c r="V29" s="179">
        <f t="shared" si="90"/>
        <v>54</v>
      </c>
      <c r="W29" s="179">
        <f t="shared" si="91"/>
        <v>720.17083333333335</v>
      </c>
      <c r="X29" s="179">
        <f t="shared" si="92"/>
        <v>537.05833333333328</v>
      </c>
      <c r="Y29" s="179">
        <f t="shared" si="93"/>
        <v>600.10416666666663</v>
      </c>
      <c r="Z29" s="179">
        <f t="shared" si="94"/>
        <v>822.54166666666663</v>
      </c>
      <c r="AA29" s="179">
        <f t="shared" si="95"/>
        <v>330.16250000000002</v>
      </c>
      <c r="AB29" s="179">
        <f t="shared" si="96"/>
        <v>1419.7041666666667</v>
      </c>
      <c r="AC29" s="179">
        <f t="shared" si="97"/>
        <v>5051.5041666666666</v>
      </c>
      <c r="AD29" s="179">
        <f t="shared" si="98"/>
        <v>0</v>
      </c>
      <c r="AE29" s="179">
        <f t="shared" si="99"/>
        <v>0</v>
      </c>
      <c r="AF29" s="179">
        <f t="shared" si="100"/>
        <v>0</v>
      </c>
    </row>
    <row r="30" spans="2:32">
      <c r="B30" s="122">
        <f t="shared" si="87"/>
        <v>67473912</v>
      </c>
      <c r="C30" s="122" t="str">
        <f>VLOOKUP($B30,'Tech Litons'!$A:$I,3,0)</f>
        <v>PTS Exports</v>
      </c>
      <c r="D30" s="122" t="str">
        <f>VLOOKUP($B30,'Tech Litons'!$A:$I,4,0)</f>
        <v>BJ PTS</v>
      </c>
      <c r="E30" s="1021" t="s">
        <v>949</v>
      </c>
      <c r="F30" s="1021">
        <v>67473912</v>
      </c>
      <c r="G30" s="1023">
        <v>74003</v>
      </c>
      <c r="H30" s="1023">
        <v>91893</v>
      </c>
      <c r="I30" s="1023">
        <v>114993.77111608276</v>
      </c>
      <c r="J30" s="1023">
        <v>102241.77080101908</v>
      </c>
      <c r="K30" s="1023">
        <v>107067.21821297391</v>
      </c>
      <c r="L30" s="1023">
        <v>117218.01475979964</v>
      </c>
      <c r="M30" s="1023">
        <v>87673.618677554754</v>
      </c>
      <c r="N30" s="1023">
        <v>100458.9252519718</v>
      </c>
      <c r="O30" s="1023">
        <v>89257.491359677617</v>
      </c>
      <c r="P30" s="1023">
        <v>89256.437035352559</v>
      </c>
      <c r="Q30" s="1023">
        <v>81391.77495517637</v>
      </c>
      <c r="R30" s="1023">
        <v>69578.532589165217</v>
      </c>
      <c r="S30" s="169">
        <f t="shared" si="88"/>
        <v>1125033.5547587739</v>
      </c>
      <c r="T30" s="122">
        <f>VLOOKUP($B30,'Tech Litons'!$A:$I,9,0)</f>
        <v>240</v>
      </c>
      <c r="U30" s="179">
        <f t="shared" si="89"/>
        <v>308.34583333333336</v>
      </c>
      <c r="V30" s="179">
        <f t="shared" si="90"/>
        <v>382.88749999999999</v>
      </c>
      <c r="W30" s="179">
        <f t="shared" si="91"/>
        <v>479.14071298367816</v>
      </c>
      <c r="X30" s="179">
        <f t="shared" si="92"/>
        <v>426.0073783375795</v>
      </c>
      <c r="Y30" s="179">
        <f t="shared" si="93"/>
        <v>446.11340922072463</v>
      </c>
      <c r="Z30" s="179">
        <f t="shared" si="94"/>
        <v>488.40839483249852</v>
      </c>
      <c r="AA30" s="179">
        <f t="shared" si="95"/>
        <v>365.30674448981148</v>
      </c>
      <c r="AB30" s="179">
        <f t="shared" si="96"/>
        <v>418.57885521654919</v>
      </c>
      <c r="AC30" s="179">
        <f t="shared" si="97"/>
        <v>371.90621399865671</v>
      </c>
      <c r="AD30" s="179">
        <f t="shared" si="98"/>
        <v>371.90182098063565</v>
      </c>
      <c r="AE30" s="179">
        <f t="shared" si="99"/>
        <v>339.13239564656823</v>
      </c>
      <c r="AF30" s="179">
        <f t="shared" si="100"/>
        <v>289.91055245485506</v>
      </c>
    </row>
    <row r="31" spans="2:32">
      <c r="B31" s="122">
        <f t="shared" si="87"/>
        <v>68881268</v>
      </c>
      <c r="C31" s="122" t="str">
        <f>VLOOKUP($B31,'Tech Litons'!$A:$I,3,0)</f>
        <v>48oz</v>
      </c>
      <c r="D31" s="122" t="str">
        <f>VLOOKUP($B31,'Tech Litons'!$A:$I,4,0)</f>
        <v>48oz</v>
      </c>
      <c r="E31" s="1021" t="s">
        <v>994</v>
      </c>
      <c r="F31" s="1021">
        <v>68881268</v>
      </c>
      <c r="G31" s="1023">
        <v>69645</v>
      </c>
      <c r="H31" s="1023">
        <v>75064</v>
      </c>
      <c r="I31" s="1023">
        <v>109563.19442080645</v>
      </c>
      <c r="J31" s="1023">
        <v>109973.70447901181</v>
      </c>
      <c r="K31" s="1023">
        <v>111745.53218930068</v>
      </c>
      <c r="L31" s="1023">
        <v>113102.56194170793</v>
      </c>
      <c r="M31" s="1023">
        <v>105261.8383073296</v>
      </c>
      <c r="N31" s="1023">
        <v>101723.75458099705</v>
      </c>
      <c r="O31" s="1023">
        <v>77057.605734715762</v>
      </c>
      <c r="P31" s="1023">
        <v>77231.269097572818</v>
      </c>
      <c r="Q31" s="1023">
        <v>84535.45710053631</v>
      </c>
      <c r="R31" s="1023">
        <v>72447.687891066147</v>
      </c>
      <c r="S31" s="169">
        <f t="shared" si="88"/>
        <v>1107351.6057430445</v>
      </c>
      <c r="T31" s="122">
        <f>VLOOKUP($B31,'Tech Litons'!$A:$I,9,0)</f>
        <v>154</v>
      </c>
      <c r="U31" s="179">
        <f t="shared" si="89"/>
        <v>452.24025974025972</v>
      </c>
      <c r="V31" s="179">
        <f t="shared" si="90"/>
        <v>487.42857142857144</v>
      </c>
      <c r="W31" s="179">
        <f t="shared" si="91"/>
        <v>711.44931442082111</v>
      </c>
      <c r="X31" s="179">
        <f t="shared" si="92"/>
        <v>714.11496414942735</v>
      </c>
      <c r="Y31" s="179">
        <f t="shared" si="93"/>
        <v>725.62033889156282</v>
      </c>
      <c r="Z31" s="179">
        <f t="shared" si="94"/>
        <v>734.43222040070088</v>
      </c>
      <c r="AA31" s="179">
        <f t="shared" si="95"/>
        <v>683.51843056707537</v>
      </c>
      <c r="AB31" s="179">
        <f t="shared" si="96"/>
        <v>660.54386091556523</v>
      </c>
      <c r="AC31" s="179">
        <f t="shared" si="97"/>
        <v>500.37406321244003</v>
      </c>
      <c r="AD31" s="179">
        <f t="shared" si="98"/>
        <v>501.50174738683648</v>
      </c>
      <c r="AE31" s="179">
        <f t="shared" si="99"/>
        <v>548.93153961387213</v>
      </c>
      <c r="AF31" s="179">
        <f t="shared" si="100"/>
        <v>470.43953176016981</v>
      </c>
    </row>
    <row r="32" spans="2:32">
      <c r="B32" s="122">
        <f t="shared" si="87"/>
        <v>62714129</v>
      </c>
      <c r="C32" s="122" t="str">
        <f>VLOOKUP($B32,'Tech Litons'!$A:$I,3,0)</f>
        <v>PG</v>
      </c>
      <c r="D32" s="122" t="str">
        <f>VLOOKUP($B32,'Tech Litons'!$A:$I,4,0)</f>
        <v>PG</v>
      </c>
      <c r="E32" s="1021" t="s">
        <v>292</v>
      </c>
      <c r="F32" s="1021">
        <v>62714129</v>
      </c>
      <c r="G32" s="1023">
        <v>56448</v>
      </c>
      <c r="H32" s="1023">
        <v>64049</v>
      </c>
      <c r="I32" s="1023">
        <v>87522.674495514497</v>
      </c>
      <c r="J32" s="1023">
        <v>96642.808480886757</v>
      </c>
      <c r="K32" s="1023">
        <v>128288.42702424384</v>
      </c>
      <c r="L32" s="1023">
        <v>147825.0925010175</v>
      </c>
      <c r="M32" s="1023">
        <v>121442.47181543021</v>
      </c>
      <c r="N32" s="1023">
        <v>92400.59202430486</v>
      </c>
      <c r="O32" s="1023">
        <v>66148.805381622049</v>
      </c>
      <c r="P32" s="1023">
        <v>48687.765026332774</v>
      </c>
      <c r="Q32" s="1023">
        <v>53295.479578367769</v>
      </c>
      <c r="R32" s="1023">
        <v>59355.233583650261</v>
      </c>
      <c r="S32" s="169">
        <f t="shared" si="88"/>
        <v>1022106.3499113705</v>
      </c>
      <c r="T32" s="122">
        <f>VLOOKUP($B32,'Tech Litons'!$A:$I,9,0)</f>
        <v>130</v>
      </c>
      <c r="U32" s="179">
        <f t="shared" si="89"/>
        <v>434.21538461538461</v>
      </c>
      <c r="V32" s="179">
        <f t="shared" si="90"/>
        <v>492.68461538461537</v>
      </c>
      <c r="W32" s="179">
        <f t="shared" si="91"/>
        <v>673.25134227318847</v>
      </c>
      <c r="X32" s="179">
        <f t="shared" si="92"/>
        <v>743.4062190837443</v>
      </c>
      <c r="Y32" s="179">
        <f t="shared" si="93"/>
        <v>986.83405403264487</v>
      </c>
      <c r="Z32" s="179">
        <f t="shared" si="94"/>
        <v>1137.1160961616731</v>
      </c>
      <c r="AA32" s="179">
        <f t="shared" si="95"/>
        <v>934.17286011869396</v>
      </c>
      <c r="AB32" s="179">
        <f t="shared" si="96"/>
        <v>710.77378480234506</v>
      </c>
      <c r="AC32" s="179">
        <f t="shared" si="97"/>
        <v>508.83696447401576</v>
      </c>
      <c r="AD32" s="179">
        <f t="shared" si="98"/>
        <v>374.52126943332905</v>
      </c>
      <c r="AE32" s="179">
        <f t="shared" si="99"/>
        <v>409.9652275259059</v>
      </c>
      <c r="AF32" s="179">
        <f t="shared" si="100"/>
        <v>456.57871987423277</v>
      </c>
    </row>
    <row r="33" spans="2:32">
      <c r="B33" s="122">
        <f t="shared" si="87"/>
        <v>68922108</v>
      </c>
      <c r="C33" s="122" t="str">
        <f>VLOOKUP($B33,'Tech Litons'!$A:$I,3,0)</f>
        <v>TALENTI</v>
      </c>
      <c r="D33" s="122" t="str">
        <f>VLOOKUP($B33,'Tech Litons'!$A:$I,4,0)</f>
        <v>TALENTI</v>
      </c>
      <c r="E33" s="1021" t="s">
        <v>970</v>
      </c>
      <c r="F33" s="1021">
        <v>68922108</v>
      </c>
      <c r="G33" s="1023">
        <v>76434</v>
      </c>
      <c r="H33" s="1023">
        <v>113264</v>
      </c>
      <c r="I33" s="1023">
        <v>103024.20063268593</v>
      </c>
      <c r="J33" s="1023">
        <v>103023.59970636478</v>
      </c>
      <c r="K33" s="1023">
        <v>115226.42265162477</v>
      </c>
      <c r="L33" s="1023">
        <v>118526.6677192816</v>
      </c>
      <c r="M33" s="1023">
        <v>104594.17615090769</v>
      </c>
      <c r="N33" s="1023">
        <v>93603.946070809267</v>
      </c>
      <c r="O33" s="1023">
        <v>89479.114066727154</v>
      </c>
      <c r="P33" s="1023">
        <v>88645.233831594</v>
      </c>
      <c r="Q33" s="1023">
        <v>74280.888878137368</v>
      </c>
      <c r="R33" s="1023">
        <v>72983.524683174197</v>
      </c>
      <c r="S33" s="169">
        <f t="shared" si="88"/>
        <v>1153085.7743913068</v>
      </c>
      <c r="T33" s="122">
        <f>VLOOKUP($B33,'Tech Litons'!$A:$I,9,0)</f>
        <v>255</v>
      </c>
      <c r="U33" s="179">
        <f t="shared" si="89"/>
        <v>299.74117647058824</v>
      </c>
      <c r="V33" s="179">
        <f t="shared" si="90"/>
        <v>444.17254901960786</v>
      </c>
      <c r="W33" s="179">
        <f t="shared" si="91"/>
        <v>404.01647306935655</v>
      </c>
      <c r="X33" s="179">
        <f t="shared" si="92"/>
        <v>404.01411649554814</v>
      </c>
      <c r="Y33" s="179">
        <f t="shared" si="93"/>
        <v>451.86832412401873</v>
      </c>
      <c r="Z33" s="179">
        <f t="shared" si="94"/>
        <v>464.81046164424157</v>
      </c>
      <c r="AA33" s="179">
        <f t="shared" si="95"/>
        <v>410.17323980748114</v>
      </c>
      <c r="AB33" s="179">
        <f t="shared" si="96"/>
        <v>367.0742983168991</v>
      </c>
      <c r="AC33" s="179">
        <f t="shared" si="97"/>
        <v>350.89848653618492</v>
      </c>
      <c r="AD33" s="179">
        <f t="shared" si="98"/>
        <v>347.62836796703527</v>
      </c>
      <c r="AE33" s="179">
        <f t="shared" si="99"/>
        <v>291.29760344367594</v>
      </c>
      <c r="AF33" s="179">
        <f t="shared" si="100"/>
        <v>286.20990071833018</v>
      </c>
    </row>
    <row r="34" spans="2:32">
      <c r="B34" s="122">
        <f t="shared" si="87"/>
        <v>64341108</v>
      </c>
      <c r="C34" s="122" t="str">
        <f>VLOOKUP($B34,'Tech Litons'!$A:$I,3,0)</f>
        <v>Facepieces</v>
      </c>
      <c r="D34" s="122" t="str">
        <f>VLOOKUP($B34,'Tech Litons'!$A:$I,4,0)</f>
        <v>Facepieces</v>
      </c>
      <c r="E34" s="1021" t="s">
        <v>615</v>
      </c>
      <c r="F34" s="1021">
        <v>64341108</v>
      </c>
      <c r="G34" s="1023">
        <v>24437</v>
      </c>
      <c r="H34" s="1023">
        <v>42045</v>
      </c>
      <c r="I34" s="1023">
        <v>96204.799152139225</v>
      </c>
      <c r="J34" s="1023">
        <v>116719.31606216215</v>
      </c>
      <c r="K34" s="1023">
        <v>112269.1373987574</v>
      </c>
      <c r="L34" s="1023">
        <v>140423.93306389535</v>
      </c>
      <c r="M34" s="1023">
        <v>112832.6937305515</v>
      </c>
      <c r="N34" s="1023">
        <v>76428.119440545954</v>
      </c>
      <c r="O34" s="1023">
        <v>60058.416626456863</v>
      </c>
      <c r="P34" s="1023">
        <v>53243.608389819659</v>
      </c>
      <c r="Q34" s="1023">
        <v>42828.465903597047</v>
      </c>
      <c r="R34" s="1023">
        <v>41236.619931640686</v>
      </c>
      <c r="S34" s="169">
        <f t="shared" si="88"/>
        <v>918727.1096995658</v>
      </c>
      <c r="T34" s="122">
        <f>VLOOKUP($B34,'Tech Litons'!$A:$I,9,0)</f>
        <v>210</v>
      </c>
      <c r="U34" s="179">
        <f t="shared" si="89"/>
        <v>116.36666666666666</v>
      </c>
      <c r="V34" s="179">
        <f t="shared" si="90"/>
        <v>200.21428571428572</v>
      </c>
      <c r="W34" s="179">
        <f t="shared" si="91"/>
        <v>458.118091200663</v>
      </c>
      <c r="X34" s="179">
        <f t="shared" si="92"/>
        <v>555.80626696267689</v>
      </c>
      <c r="Y34" s="179">
        <f t="shared" si="93"/>
        <v>534.61493999408287</v>
      </c>
      <c r="Z34" s="179">
        <f t="shared" si="94"/>
        <v>668.68539554235883</v>
      </c>
      <c r="AA34" s="179">
        <f t="shared" si="95"/>
        <v>537.29854157405475</v>
      </c>
      <c r="AB34" s="179">
        <f t="shared" si="96"/>
        <v>363.9434259073617</v>
      </c>
      <c r="AC34" s="179">
        <f t="shared" si="97"/>
        <v>285.99246012598508</v>
      </c>
      <c r="AD34" s="179">
        <f t="shared" si="98"/>
        <v>253.54099233247456</v>
      </c>
      <c r="AE34" s="179">
        <f t="shared" si="99"/>
        <v>203.94507573141451</v>
      </c>
      <c r="AF34" s="179">
        <f t="shared" si="100"/>
        <v>196.3648568173366</v>
      </c>
    </row>
    <row r="35" spans="2:32">
      <c r="B35" s="122">
        <f t="shared" si="87"/>
        <v>64833353</v>
      </c>
      <c r="C35" s="122" t="str">
        <f>VLOOKUP($B35,'Tech Litons'!$A:$I,3,0)</f>
        <v>PG</v>
      </c>
      <c r="D35" s="122" t="str">
        <f>VLOOKUP($B35,'Tech Litons'!$A:$I,4,0)</f>
        <v>PG</v>
      </c>
      <c r="E35" s="1021" t="s">
        <v>981</v>
      </c>
      <c r="F35" s="1021">
        <v>64833353</v>
      </c>
      <c r="G35" s="1024">
        <v>74992</v>
      </c>
      <c r="H35" s="1023">
        <v>75450</v>
      </c>
      <c r="I35" s="1023">
        <v>87482.897258157944</v>
      </c>
      <c r="J35" s="1023">
        <v>96587.350597608645</v>
      </c>
      <c r="K35" s="1023">
        <v>134615.64775025105</v>
      </c>
      <c r="L35" s="1023">
        <v>143922.04475172411</v>
      </c>
      <c r="M35" s="1023">
        <v>117232.30706503449</v>
      </c>
      <c r="N35" s="1023">
        <v>91428.723126360273</v>
      </c>
      <c r="O35" s="1023">
        <v>76343.840126216295</v>
      </c>
      <c r="P35" s="1023">
        <v>60560.93536286008</v>
      </c>
      <c r="Q35" s="1023">
        <v>67399.115167054551</v>
      </c>
      <c r="R35" s="1023">
        <v>70826.5074521754</v>
      </c>
      <c r="S35" s="169">
        <f t="shared" si="88"/>
        <v>1096841.368657443</v>
      </c>
      <c r="T35" s="122">
        <f>VLOOKUP($B35,'Tech Litons'!$A:$I,9,0)</f>
        <v>130</v>
      </c>
      <c r="U35" s="179">
        <f t="shared" si="89"/>
        <v>576.86153846153843</v>
      </c>
      <c r="V35" s="179">
        <f t="shared" si="90"/>
        <v>580.38461538461536</v>
      </c>
      <c r="W35" s="179">
        <f t="shared" si="91"/>
        <v>672.94536352429191</v>
      </c>
      <c r="X35" s="179">
        <f t="shared" si="92"/>
        <v>742.97961998160497</v>
      </c>
      <c r="Y35" s="179">
        <f t="shared" si="93"/>
        <v>1035.5049826942388</v>
      </c>
      <c r="Z35" s="179">
        <f t="shared" si="94"/>
        <v>1107.0926519363393</v>
      </c>
      <c r="AA35" s="179">
        <f t="shared" si="95"/>
        <v>901.78697742334225</v>
      </c>
      <c r="AB35" s="179">
        <f t="shared" si="96"/>
        <v>703.29787020277138</v>
      </c>
      <c r="AC35" s="179">
        <f t="shared" si="97"/>
        <v>587.2603086632023</v>
      </c>
      <c r="AD35" s="179">
        <f t="shared" si="98"/>
        <v>465.85334894507753</v>
      </c>
      <c r="AE35" s="179">
        <f t="shared" si="99"/>
        <v>518.45473205426583</v>
      </c>
      <c r="AF35" s="179">
        <f t="shared" si="100"/>
        <v>544.81928809365695</v>
      </c>
    </row>
    <row r="36" spans="2:32">
      <c r="B36" s="122">
        <f t="shared" si="87"/>
        <v>64330611</v>
      </c>
      <c r="C36" s="122" t="str">
        <f>VLOOKUP($B36,'Tech Litons'!$A:$I,3,0)</f>
        <v>MG Sticks</v>
      </c>
      <c r="D36" s="122" t="str">
        <f>VLOOKUP($B36,'Tech Litons'!$A:$I,4,0)</f>
        <v>MG Sticks</v>
      </c>
      <c r="E36" s="1021" t="s">
        <v>916</v>
      </c>
      <c r="F36" s="1021">
        <v>64330611</v>
      </c>
      <c r="G36" s="1023">
        <v>62349</v>
      </c>
      <c r="H36" s="1023">
        <v>83601</v>
      </c>
      <c r="I36" s="1023">
        <v>83364.758347258918</v>
      </c>
      <c r="J36" s="1023">
        <v>89543.98370881888</v>
      </c>
      <c r="K36" s="1023">
        <v>125070.23349734748</v>
      </c>
      <c r="L36" s="1023">
        <v>111169.94887299513</v>
      </c>
      <c r="M36" s="1023">
        <v>99552.219713396567</v>
      </c>
      <c r="N36" s="1023">
        <v>98924.626603376382</v>
      </c>
      <c r="O36" s="1023">
        <v>67393.781293120977</v>
      </c>
      <c r="P36" s="1023">
        <v>66369.571117436892</v>
      </c>
      <c r="Q36" s="1023">
        <v>61953.401672989668</v>
      </c>
      <c r="R36" s="1023">
        <v>57627.330294152503</v>
      </c>
      <c r="S36" s="169">
        <f t="shared" si="88"/>
        <v>1006919.8551208933</v>
      </c>
      <c r="T36" s="122">
        <f>VLOOKUP($B36,'Tech Litons'!$A:$I,9,0)</f>
        <v>210</v>
      </c>
      <c r="U36" s="179">
        <f t="shared" si="89"/>
        <v>296.89999999999998</v>
      </c>
      <c r="V36" s="179">
        <f t="shared" si="90"/>
        <v>398.1</v>
      </c>
      <c r="W36" s="179">
        <f t="shared" si="91"/>
        <v>396.975039748852</v>
      </c>
      <c r="X36" s="179">
        <f t="shared" si="92"/>
        <v>426.39992242294704</v>
      </c>
      <c r="Y36" s="179">
        <f t="shared" si="93"/>
        <v>595.57254046355945</v>
      </c>
      <c r="Z36" s="179">
        <f t="shared" si="94"/>
        <v>529.38070891902441</v>
      </c>
      <c r="AA36" s="179">
        <f t="shared" si="95"/>
        <v>474.05818911141222</v>
      </c>
      <c r="AB36" s="179">
        <f t="shared" si="96"/>
        <v>471.06965049226847</v>
      </c>
      <c r="AC36" s="179">
        <f t="shared" si="97"/>
        <v>320.92276806248083</v>
      </c>
      <c r="AD36" s="179">
        <f t="shared" si="98"/>
        <v>316.04557674969948</v>
      </c>
      <c r="AE36" s="179">
        <f t="shared" si="99"/>
        <v>295.01619844280793</v>
      </c>
      <c r="AF36" s="179">
        <f t="shared" si="100"/>
        <v>274.41585854358334</v>
      </c>
    </row>
    <row r="37" spans="2:32">
      <c r="B37" s="122">
        <f t="shared" si="87"/>
        <v>68817797</v>
      </c>
      <c r="C37" s="122" t="str">
        <f>VLOOKUP($B37,'Tech Litons'!$A:$I,3,0)</f>
        <v>48oz</v>
      </c>
      <c r="D37" s="122" t="str">
        <f>VLOOKUP($B37,'Tech Litons'!$A:$I,4,0)</f>
        <v>48oz</v>
      </c>
      <c r="E37" s="1021" t="s">
        <v>1011</v>
      </c>
      <c r="F37" s="1021">
        <v>68817797</v>
      </c>
      <c r="G37" s="1023">
        <v>59807</v>
      </c>
      <c r="H37" s="1023">
        <v>48950</v>
      </c>
      <c r="I37" s="1023">
        <v>85493.390193091473</v>
      </c>
      <c r="J37" s="1023">
        <v>76678.10870570851</v>
      </c>
      <c r="K37" s="1023">
        <v>84251.440502679499</v>
      </c>
      <c r="L37" s="1023">
        <v>104877.41559336473</v>
      </c>
      <c r="M37" s="1023">
        <v>82556.961502302045</v>
      </c>
      <c r="N37" s="1023">
        <v>74883.950523001869</v>
      </c>
      <c r="O37" s="1023">
        <v>55564.166427980796</v>
      </c>
      <c r="P37" s="1023">
        <v>69083.974984826491</v>
      </c>
      <c r="Q37" s="1023">
        <v>98159.821487823749</v>
      </c>
      <c r="R37" s="1023">
        <v>67402.820353424206</v>
      </c>
      <c r="S37" s="169">
        <f t="shared" si="88"/>
        <v>907709.0502742033</v>
      </c>
      <c r="T37" s="122">
        <f>VLOOKUP($B37,'Tech Litons'!$A:$I,9,0)</f>
        <v>154</v>
      </c>
      <c r="U37" s="179">
        <f t="shared" si="89"/>
        <v>388.35714285714283</v>
      </c>
      <c r="V37" s="179">
        <f t="shared" si="90"/>
        <v>317.85714285714283</v>
      </c>
      <c r="W37" s="179">
        <f t="shared" si="91"/>
        <v>555.15188437072379</v>
      </c>
      <c r="X37" s="179">
        <f t="shared" si="92"/>
        <v>497.909796790315</v>
      </c>
      <c r="Y37" s="179">
        <f t="shared" si="93"/>
        <v>547.08727599142537</v>
      </c>
      <c r="Z37" s="179">
        <f t="shared" si="94"/>
        <v>681.02217917769303</v>
      </c>
      <c r="AA37" s="179">
        <f t="shared" si="95"/>
        <v>536.08416559936393</v>
      </c>
      <c r="AB37" s="179">
        <f t="shared" si="96"/>
        <v>486.25941898053162</v>
      </c>
      <c r="AC37" s="179">
        <f t="shared" si="97"/>
        <v>360.80627550636882</v>
      </c>
      <c r="AD37" s="179">
        <f t="shared" si="98"/>
        <v>448.597240161211</v>
      </c>
      <c r="AE37" s="179">
        <f t="shared" si="99"/>
        <v>637.40143823262179</v>
      </c>
      <c r="AF37" s="179">
        <f t="shared" si="100"/>
        <v>437.6806516456117</v>
      </c>
    </row>
    <row r="38" spans="2:32">
      <c r="B38" s="122">
        <f t="shared" si="87"/>
        <v>64324874</v>
      </c>
      <c r="C38" s="122" t="str">
        <f>VLOOKUP($B38,'Tech Litons'!$A:$I,3,0)</f>
        <v>Yasso Sticks</v>
      </c>
      <c r="D38" s="122" t="str">
        <f>VLOOKUP($B38,'Tech Litons'!$A:$I,4,0)</f>
        <v>Yasso Sticks</v>
      </c>
      <c r="E38" s="1021" t="s">
        <v>235</v>
      </c>
      <c r="F38" s="1021">
        <v>64324874</v>
      </c>
      <c r="G38" s="1023">
        <v>78816</v>
      </c>
      <c r="H38" s="1023">
        <v>75623</v>
      </c>
      <c r="I38" s="1023">
        <v>101611.08757033692</v>
      </c>
      <c r="J38" s="1023">
        <v>66791.085532182493</v>
      </c>
      <c r="K38" s="1023">
        <v>101228.6774475358</v>
      </c>
      <c r="L38" s="1023">
        <v>112675.82744316573</v>
      </c>
      <c r="M38" s="1023">
        <v>119467.93291198171</v>
      </c>
      <c r="N38" s="1023">
        <v>116245.33849558889</v>
      </c>
      <c r="O38" s="1023">
        <v>88702.193811573292</v>
      </c>
      <c r="P38" s="1023">
        <v>73442.662718057065</v>
      </c>
      <c r="Q38" s="1023">
        <v>73469.378359708848</v>
      </c>
      <c r="R38" s="1023">
        <v>63591.619339083889</v>
      </c>
      <c r="S38" s="169">
        <f t="shared" si="88"/>
        <v>1071664.8036292146</v>
      </c>
      <c r="T38" s="122">
        <f>VLOOKUP($B38,'Tech Litons'!$A:$I,9,0)</f>
        <v>187</v>
      </c>
      <c r="U38" s="179">
        <f t="shared" si="89"/>
        <v>421.47593582887703</v>
      </c>
      <c r="V38" s="179">
        <f t="shared" si="90"/>
        <v>404.40106951871655</v>
      </c>
      <c r="W38" s="179">
        <f t="shared" si="91"/>
        <v>543.37479984137394</v>
      </c>
      <c r="X38" s="179">
        <f t="shared" si="92"/>
        <v>357.17158038600263</v>
      </c>
      <c r="Y38" s="179">
        <f t="shared" si="93"/>
        <v>541.32982592265137</v>
      </c>
      <c r="Z38" s="179">
        <f t="shared" si="94"/>
        <v>602.54453178163499</v>
      </c>
      <c r="AA38" s="179">
        <f t="shared" si="95"/>
        <v>638.86595140097177</v>
      </c>
      <c r="AB38" s="179">
        <f t="shared" si="96"/>
        <v>621.63282617961977</v>
      </c>
      <c r="AC38" s="179">
        <f t="shared" si="97"/>
        <v>474.34328241483041</v>
      </c>
      <c r="AD38" s="179">
        <f t="shared" si="98"/>
        <v>392.74151186126772</v>
      </c>
      <c r="AE38" s="179">
        <f t="shared" si="99"/>
        <v>392.88437625512751</v>
      </c>
      <c r="AF38" s="179">
        <f t="shared" si="100"/>
        <v>340.06213550312242</v>
      </c>
    </row>
    <row r="39" spans="2:32">
      <c r="B39" s="122">
        <f t="shared" si="87"/>
        <v>68741742</v>
      </c>
      <c r="C39" s="122" t="str">
        <f>VLOOKUP($B39,'Tech Litons'!$A:$I,3,0)</f>
        <v>MBG</v>
      </c>
      <c r="D39" s="122" t="str">
        <f>VLOOKUP($B39,'Tech Litons'!$A:$I,4,0)</f>
        <v>MBG</v>
      </c>
      <c r="E39" s="1021" t="s">
        <v>978</v>
      </c>
      <c r="F39" s="1021">
        <v>68741742</v>
      </c>
      <c r="G39" s="1023">
        <v>65322</v>
      </c>
      <c r="H39" s="1023">
        <v>79324</v>
      </c>
      <c r="I39" s="1023">
        <v>85395.640003097316</v>
      </c>
      <c r="J39" s="1023">
        <v>124982.64171390534</v>
      </c>
      <c r="K39" s="1023">
        <v>134510.34411904064</v>
      </c>
      <c r="L39" s="1023">
        <v>129013.98856847188</v>
      </c>
      <c r="M39" s="1023">
        <v>119482.69558911938</v>
      </c>
      <c r="N39" s="1023">
        <v>106118.33682695839</v>
      </c>
      <c r="O39" s="1023">
        <v>81939.018780857587</v>
      </c>
      <c r="P39" s="1023">
        <v>69852.191012598792</v>
      </c>
      <c r="Q39" s="1023">
        <v>62246.852949192515</v>
      </c>
      <c r="R39" s="1023">
        <v>60317.86473978898</v>
      </c>
      <c r="S39" s="169">
        <f t="shared" si="88"/>
        <v>1118505.5743030307</v>
      </c>
      <c r="T39" s="122">
        <f>VLOOKUP($B39,'Tech Litons'!$A:$I,9,0)</f>
        <v>154</v>
      </c>
      <c r="U39" s="179">
        <f t="shared" si="89"/>
        <v>424.16883116883116</v>
      </c>
      <c r="V39" s="179">
        <f t="shared" si="90"/>
        <v>515.09090909090912</v>
      </c>
      <c r="W39" s="179">
        <f t="shared" si="91"/>
        <v>554.51714287725531</v>
      </c>
      <c r="X39" s="179">
        <f t="shared" si="92"/>
        <v>811.57559554483987</v>
      </c>
      <c r="Y39" s="179">
        <f t="shared" si="93"/>
        <v>873.44379298078343</v>
      </c>
      <c r="Z39" s="179">
        <f t="shared" si="94"/>
        <v>837.75317252254467</v>
      </c>
      <c r="AA39" s="179">
        <f t="shared" si="95"/>
        <v>775.86165966960641</v>
      </c>
      <c r="AB39" s="179">
        <f t="shared" si="96"/>
        <v>689.08010926596353</v>
      </c>
      <c r="AC39" s="179">
        <f t="shared" si="97"/>
        <v>532.07155052504925</v>
      </c>
      <c r="AD39" s="179">
        <f t="shared" si="98"/>
        <v>453.58565592596619</v>
      </c>
      <c r="AE39" s="179">
        <f t="shared" si="99"/>
        <v>404.20034382592542</v>
      </c>
      <c r="AF39" s="179">
        <f t="shared" si="100"/>
        <v>391.67444636226611</v>
      </c>
    </row>
    <row r="40" spans="2:32">
      <c r="B40" s="122">
        <f t="shared" si="87"/>
        <v>68726916</v>
      </c>
      <c r="C40" s="122" t="str">
        <f>VLOOKUP($B40,'Tech Litons'!$A:$I,3,0)</f>
        <v>TALENTI</v>
      </c>
      <c r="D40" s="122" t="str">
        <f>VLOOKUP($B40,'Tech Litons'!$A:$I,4,0)</f>
        <v>TALENTI</v>
      </c>
      <c r="E40" s="1021" t="s">
        <v>969</v>
      </c>
      <c r="F40" s="1021">
        <v>68726916</v>
      </c>
      <c r="G40" s="1023">
        <v>65801</v>
      </c>
      <c r="H40" s="1023">
        <v>78983</v>
      </c>
      <c r="I40" s="1023">
        <v>85254.984391228048</v>
      </c>
      <c r="J40" s="1023">
        <v>83974.448612118562</v>
      </c>
      <c r="K40" s="1023">
        <v>96412.500086088752</v>
      </c>
      <c r="L40" s="1023">
        <v>101695.24050512695</v>
      </c>
      <c r="M40" s="1023">
        <v>87651.84262277167</v>
      </c>
      <c r="N40" s="1023">
        <v>76664.028103008473</v>
      </c>
      <c r="O40" s="1023">
        <v>72755.961975864673</v>
      </c>
      <c r="P40" s="1023">
        <v>69364.059229830746</v>
      </c>
      <c r="Q40" s="1023">
        <v>58388.152575905217</v>
      </c>
      <c r="R40" s="1023">
        <v>52322.932606805873</v>
      </c>
      <c r="S40" s="169">
        <f t="shared" si="88"/>
        <v>929268.15070874896</v>
      </c>
      <c r="T40" s="122">
        <f>VLOOKUP($B40,'Tech Litons'!$A:$I,9,0)</f>
        <v>255</v>
      </c>
      <c r="U40" s="179">
        <f t="shared" si="89"/>
        <v>258.04313725490198</v>
      </c>
      <c r="V40" s="179">
        <f t="shared" si="90"/>
        <v>309.7372549019608</v>
      </c>
      <c r="W40" s="179">
        <f t="shared" si="91"/>
        <v>334.33327212246292</v>
      </c>
      <c r="X40" s="179">
        <f t="shared" si="92"/>
        <v>329.31156318477866</v>
      </c>
      <c r="Y40" s="179">
        <f t="shared" si="93"/>
        <v>378.08823563172058</v>
      </c>
      <c r="Z40" s="179">
        <f t="shared" si="94"/>
        <v>398.80486472598801</v>
      </c>
      <c r="AA40" s="179">
        <f t="shared" si="95"/>
        <v>343.73271616773206</v>
      </c>
      <c r="AB40" s="179">
        <f t="shared" si="96"/>
        <v>300.64324746277833</v>
      </c>
      <c r="AC40" s="179">
        <f t="shared" si="97"/>
        <v>285.31749794456732</v>
      </c>
      <c r="AD40" s="179">
        <f t="shared" si="98"/>
        <v>272.01591854835584</v>
      </c>
      <c r="AE40" s="179">
        <f t="shared" si="99"/>
        <v>228.97314735649104</v>
      </c>
      <c r="AF40" s="179">
        <f t="shared" si="100"/>
        <v>205.18797100708184</v>
      </c>
    </row>
    <row r="41" spans="2:32">
      <c r="B41" s="122">
        <f t="shared" si="87"/>
        <v>68817793</v>
      </c>
      <c r="C41" s="122" t="str">
        <f>VLOOKUP($B41,'Tech Litons'!$A:$I,3,0)</f>
        <v>48oz</v>
      </c>
      <c r="D41" s="122" t="str">
        <f>VLOOKUP($B41,'Tech Litons'!$A:$I,4,0)</f>
        <v>48oz</v>
      </c>
      <c r="E41" s="1021" t="s">
        <v>986</v>
      </c>
      <c r="F41" s="1021">
        <v>68817793</v>
      </c>
      <c r="G41" s="1023">
        <v>63700</v>
      </c>
      <c r="H41" s="1023">
        <v>64852</v>
      </c>
      <c r="I41" s="1023">
        <v>92077.201845053118</v>
      </c>
      <c r="J41" s="1023">
        <v>82223.930290382428</v>
      </c>
      <c r="K41" s="1023">
        <v>89904.569601365307</v>
      </c>
      <c r="L41" s="1023">
        <v>103363.00864720371</v>
      </c>
      <c r="M41" s="1023">
        <v>86246.604881760446</v>
      </c>
      <c r="N41" s="1023">
        <v>79875.159392609392</v>
      </c>
      <c r="O41" s="1023">
        <v>61983.068022974534</v>
      </c>
      <c r="P41" s="1023">
        <v>67298.714131426648</v>
      </c>
      <c r="Q41" s="1023">
        <v>77378.402810059473</v>
      </c>
      <c r="R41" s="1023">
        <v>62214.136775539271</v>
      </c>
      <c r="S41" s="169">
        <f t="shared" si="88"/>
        <v>931116.79639837425</v>
      </c>
      <c r="T41" s="122">
        <f>VLOOKUP($B41,'Tech Litons'!$A:$I,9,0)</f>
        <v>176</v>
      </c>
      <c r="U41" s="179">
        <f t="shared" si="89"/>
        <v>361.93181818181819</v>
      </c>
      <c r="V41" s="179">
        <f t="shared" si="90"/>
        <v>368.47727272727275</v>
      </c>
      <c r="W41" s="179">
        <f t="shared" si="91"/>
        <v>523.1659195741654</v>
      </c>
      <c r="X41" s="179">
        <f t="shared" si="92"/>
        <v>467.18142210444563</v>
      </c>
      <c r="Y41" s="179">
        <f t="shared" si="93"/>
        <v>510.82141818957558</v>
      </c>
      <c r="Z41" s="179">
        <f t="shared" si="94"/>
        <v>587.28982185911195</v>
      </c>
      <c r="AA41" s="179">
        <f t="shared" si="95"/>
        <v>490.03752773727524</v>
      </c>
      <c r="AB41" s="179">
        <f t="shared" si="96"/>
        <v>453.83613291255335</v>
      </c>
      <c r="AC41" s="179">
        <f t="shared" si="97"/>
        <v>352.17652285780986</v>
      </c>
      <c r="AD41" s="179">
        <f t="shared" si="98"/>
        <v>382.37905756492415</v>
      </c>
      <c r="AE41" s="179">
        <f t="shared" si="99"/>
        <v>439.650015966247</v>
      </c>
      <c r="AF41" s="179">
        <f t="shared" si="100"/>
        <v>353.4894134973822</v>
      </c>
    </row>
    <row r="42" spans="2:32">
      <c r="B42" s="122">
        <f t="shared" si="87"/>
        <v>84141094</v>
      </c>
      <c r="C42" s="122" t="str">
        <f>VLOOKUP($B42,'Tech Litons'!$A:$I,3,0)</f>
        <v>BJ PTS</v>
      </c>
      <c r="D42" s="122" t="str">
        <f>VLOOKUP($B42,'Tech Litons'!$A:$I,4,0)</f>
        <v>BJ PTS</v>
      </c>
      <c r="E42" s="1021" t="s">
        <v>952</v>
      </c>
      <c r="F42" s="1021">
        <v>84141094</v>
      </c>
      <c r="G42" s="1023">
        <v>55862</v>
      </c>
      <c r="H42" s="1023">
        <v>80552</v>
      </c>
      <c r="I42" s="1023">
        <v>90422.325940935596</v>
      </c>
      <c r="J42" s="1023">
        <v>77717.967513778814</v>
      </c>
      <c r="K42" s="1023">
        <v>84385.265496937252</v>
      </c>
      <c r="L42" s="1023">
        <v>95670.799642112441</v>
      </c>
      <c r="M42" s="1023">
        <v>79965.828248822188</v>
      </c>
      <c r="N42" s="1023">
        <v>82389.115556962468</v>
      </c>
      <c r="O42" s="1023">
        <v>69788.629295851337</v>
      </c>
      <c r="P42" s="1023">
        <v>71028.979596679812</v>
      </c>
      <c r="Q42" s="1023">
        <v>63934.524547749206</v>
      </c>
      <c r="R42" s="1023">
        <v>56720.89555300268</v>
      </c>
      <c r="S42" s="169">
        <f t="shared" si="88"/>
        <v>908438.33139283187</v>
      </c>
      <c r="T42" s="122">
        <f>VLOOKUP($B42,'Tech Litons'!$A:$I,9,0)</f>
        <v>240</v>
      </c>
      <c r="U42" s="179">
        <f t="shared" si="89"/>
        <v>232.75833333333333</v>
      </c>
      <c r="V42" s="179">
        <f t="shared" si="90"/>
        <v>335.63333333333333</v>
      </c>
      <c r="W42" s="179">
        <f t="shared" si="91"/>
        <v>376.75969142056499</v>
      </c>
      <c r="X42" s="179">
        <f t="shared" si="92"/>
        <v>323.82486464074503</v>
      </c>
      <c r="Y42" s="179">
        <f t="shared" si="93"/>
        <v>351.60527290390525</v>
      </c>
      <c r="Z42" s="179">
        <f t="shared" si="94"/>
        <v>398.6283318421352</v>
      </c>
      <c r="AA42" s="179">
        <f t="shared" si="95"/>
        <v>333.19095103675915</v>
      </c>
      <c r="AB42" s="179">
        <f t="shared" si="96"/>
        <v>343.28798148734364</v>
      </c>
      <c r="AC42" s="179">
        <f t="shared" si="97"/>
        <v>290.78595539938055</v>
      </c>
      <c r="AD42" s="179">
        <f t="shared" si="98"/>
        <v>295.95408165283254</v>
      </c>
      <c r="AE42" s="179">
        <f t="shared" si="99"/>
        <v>266.39385228228838</v>
      </c>
      <c r="AF42" s="179">
        <f t="shared" si="100"/>
        <v>236.33706480417783</v>
      </c>
    </row>
    <row r="43" spans="2:32">
      <c r="B43" s="122">
        <f t="shared" si="87"/>
        <v>67826412</v>
      </c>
      <c r="C43" s="122" t="str">
        <f>VLOOKUP($B43,'Tech Litons'!$A:$I,3,0)</f>
        <v>BJ PTS</v>
      </c>
      <c r="D43" s="122" t="str">
        <f>VLOOKUP($B43,'Tech Litons'!$A:$I,4,0)</f>
        <v>BJ PTS</v>
      </c>
      <c r="E43" s="1021" t="s">
        <v>958</v>
      </c>
      <c r="F43" s="1021">
        <v>67826412</v>
      </c>
      <c r="G43" s="1023">
        <v>57549</v>
      </c>
      <c r="H43" s="1023">
        <v>71177</v>
      </c>
      <c r="I43" s="1023">
        <v>86595.786933257492</v>
      </c>
      <c r="J43" s="1023">
        <v>79084.660043140626</v>
      </c>
      <c r="K43" s="1023">
        <v>75717.154510900553</v>
      </c>
      <c r="L43" s="1023">
        <v>85329.055887572904</v>
      </c>
      <c r="M43" s="1023">
        <v>74425.716091948663</v>
      </c>
      <c r="N43" s="1023">
        <v>74114.449989766988</v>
      </c>
      <c r="O43" s="1023">
        <v>63784.593749984124</v>
      </c>
      <c r="P43" s="1023">
        <v>60316.26513827392</v>
      </c>
      <c r="Q43" s="1023">
        <v>63022.465058916685</v>
      </c>
      <c r="R43" s="1023">
        <v>50782.922706361474</v>
      </c>
      <c r="S43" s="169">
        <f t="shared" si="88"/>
        <v>841899.0701101236</v>
      </c>
      <c r="T43" s="122">
        <f>VLOOKUP($B43,'Tech Litons'!$A:$I,9,0)</f>
        <v>240</v>
      </c>
      <c r="U43" s="179">
        <f t="shared" si="89"/>
        <v>239.78749999999999</v>
      </c>
      <c r="V43" s="179">
        <f t="shared" si="90"/>
        <v>296.57083333333333</v>
      </c>
      <c r="W43" s="179">
        <f t="shared" si="91"/>
        <v>360.81577888857288</v>
      </c>
      <c r="X43" s="179">
        <f t="shared" si="92"/>
        <v>329.51941684641929</v>
      </c>
      <c r="Y43" s="179">
        <f t="shared" si="93"/>
        <v>315.48814379541898</v>
      </c>
      <c r="Z43" s="179">
        <f t="shared" si="94"/>
        <v>355.53773286488712</v>
      </c>
      <c r="AA43" s="179">
        <f t="shared" si="95"/>
        <v>310.1071503831194</v>
      </c>
      <c r="AB43" s="179">
        <f t="shared" si="96"/>
        <v>308.81020829069581</v>
      </c>
      <c r="AC43" s="179">
        <f t="shared" si="97"/>
        <v>265.76914062493387</v>
      </c>
      <c r="AD43" s="179">
        <f t="shared" si="98"/>
        <v>251.31777140947466</v>
      </c>
      <c r="AE43" s="179">
        <f t="shared" si="99"/>
        <v>262.59360441215284</v>
      </c>
      <c r="AF43" s="179">
        <f t="shared" si="100"/>
        <v>211.59551127650613</v>
      </c>
    </row>
    <row r="44" spans="2:32">
      <c r="B44" s="122">
        <f t="shared" si="87"/>
        <v>67794167</v>
      </c>
      <c r="C44" s="122" t="str">
        <f>VLOOKUP($B44,'Tech Litons'!$A:$I,3,0)</f>
        <v>BJ PTS</v>
      </c>
      <c r="D44" s="122" t="str">
        <f>VLOOKUP($B44,'Tech Litons'!$A:$I,4,0)</f>
        <v>BJ PTS</v>
      </c>
      <c r="E44" s="1021" t="s">
        <v>343</v>
      </c>
      <c r="F44" s="1021">
        <v>67794167</v>
      </c>
      <c r="G44" s="1023">
        <v>64369</v>
      </c>
      <c r="H44" s="1023">
        <v>84153</v>
      </c>
      <c r="I44" s="1023">
        <v>103072.35852752844</v>
      </c>
      <c r="J44" s="1023">
        <v>94036.297535923193</v>
      </c>
      <c r="K44" s="1023">
        <v>94435.735995352254</v>
      </c>
      <c r="L44" s="1023">
        <v>106210.77265804831</v>
      </c>
      <c r="M44" s="1023">
        <v>84088.347248467151</v>
      </c>
      <c r="N44" s="1023">
        <v>91961.261397277704</v>
      </c>
      <c r="O44" s="1023">
        <v>74722.788591214063</v>
      </c>
      <c r="P44" s="1023">
        <v>76921.859702352318</v>
      </c>
      <c r="Q44" s="1023">
        <v>75150.875470622515</v>
      </c>
      <c r="R44" s="1023">
        <v>66476.491178348617</v>
      </c>
      <c r="S44" s="169">
        <f t="shared" si="88"/>
        <v>1015598.7883051347</v>
      </c>
      <c r="T44" s="122">
        <f>VLOOKUP($B44,'Tech Litons'!$A:$I,9,0)</f>
        <v>240</v>
      </c>
      <c r="U44" s="179">
        <f t="shared" si="89"/>
        <v>268.20416666666665</v>
      </c>
      <c r="V44" s="179">
        <f t="shared" si="90"/>
        <v>350.63749999999999</v>
      </c>
      <c r="W44" s="179">
        <f t="shared" si="91"/>
        <v>429.46816053136848</v>
      </c>
      <c r="X44" s="179">
        <f t="shared" si="92"/>
        <v>391.81790639968</v>
      </c>
      <c r="Y44" s="179">
        <f t="shared" si="93"/>
        <v>393.4822333139677</v>
      </c>
      <c r="Z44" s="179">
        <f t="shared" si="94"/>
        <v>442.5448860752013</v>
      </c>
      <c r="AA44" s="179">
        <f t="shared" si="95"/>
        <v>350.3681135352798</v>
      </c>
      <c r="AB44" s="179">
        <f t="shared" si="96"/>
        <v>383.17192248865712</v>
      </c>
      <c r="AC44" s="179">
        <f t="shared" si="97"/>
        <v>311.34495246339191</v>
      </c>
      <c r="AD44" s="179">
        <f t="shared" si="98"/>
        <v>320.5077487598013</v>
      </c>
      <c r="AE44" s="179">
        <f t="shared" si="99"/>
        <v>313.12864779426047</v>
      </c>
      <c r="AF44" s="179">
        <f t="shared" si="100"/>
        <v>276.98537990978588</v>
      </c>
    </row>
    <row r="45" spans="2:32">
      <c r="B45" s="122">
        <f t="shared" si="87"/>
        <v>64325510</v>
      </c>
      <c r="C45" s="122" t="str">
        <f>VLOOKUP($B45,'Tech Litons'!$A:$I,3,0)</f>
        <v>Yasso Sticks</v>
      </c>
      <c r="D45" s="122" t="str">
        <f>VLOOKUP($B45,'Tech Litons'!$A:$I,4,0)</f>
        <v>Yasso Sticks</v>
      </c>
      <c r="E45" s="1021" t="s">
        <v>589</v>
      </c>
      <c r="F45" s="1021">
        <v>64325510</v>
      </c>
      <c r="G45" s="1023">
        <v>77125</v>
      </c>
      <c r="H45" s="1023">
        <v>72798</v>
      </c>
      <c r="I45" s="1023">
        <v>93365.823492477895</v>
      </c>
      <c r="J45" s="1023">
        <v>86186.307982008671</v>
      </c>
      <c r="K45" s="1023">
        <v>97679.967749763469</v>
      </c>
      <c r="L45" s="1023">
        <v>113311.37121303576</v>
      </c>
      <c r="M45" s="1023">
        <v>107703.31964720399</v>
      </c>
      <c r="N45" s="1023">
        <v>110400.24192425083</v>
      </c>
      <c r="O45" s="1023">
        <v>87754.217157409454</v>
      </c>
      <c r="P45" s="1023">
        <v>79281.123305755202</v>
      </c>
      <c r="Q45" s="1023">
        <v>75592.081445957592</v>
      </c>
      <c r="R45" s="1023">
        <v>63356.35956838564</v>
      </c>
      <c r="S45" s="169">
        <f t="shared" si="88"/>
        <v>1064553.8134862485</v>
      </c>
      <c r="T45" s="122">
        <f>VLOOKUP($B45,'Tech Litons'!$A:$I,9,0)</f>
        <v>187</v>
      </c>
      <c r="U45" s="179">
        <f t="shared" si="89"/>
        <v>412.43315508021391</v>
      </c>
      <c r="V45" s="179">
        <f t="shared" si="90"/>
        <v>389.29411764705884</v>
      </c>
      <c r="W45" s="179">
        <f t="shared" si="91"/>
        <v>499.2824785694005</v>
      </c>
      <c r="X45" s="179">
        <f t="shared" si="92"/>
        <v>460.88934749737257</v>
      </c>
      <c r="Y45" s="179">
        <f t="shared" si="93"/>
        <v>522.35276871531266</v>
      </c>
      <c r="Z45" s="179">
        <f t="shared" si="94"/>
        <v>605.9431615670361</v>
      </c>
      <c r="AA45" s="179">
        <f t="shared" si="95"/>
        <v>575.95358100109081</v>
      </c>
      <c r="AB45" s="179">
        <f t="shared" si="96"/>
        <v>590.37562526337342</v>
      </c>
      <c r="AC45" s="179">
        <f t="shared" si="97"/>
        <v>469.27388854229656</v>
      </c>
      <c r="AD45" s="179">
        <f t="shared" si="98"/>
        <v>423.96322623398504</v>
      </c>
      <c r="AE45" s="179">
        <f t="shared" si="99"/>
        <v>404.23572965752726</v>
      </c>
      <c r="AF45" s="179">
        <f t="shared" si="100"/>
        <v>338.8040618630248</v>
      </c>
    </row>
    <row r="46" spans="2:32">
      <c r="B46" s="122">
        <f t="shared" si="87"/>
        <v>64341968</v>
      </c>
      <c r="C46" s="122" t="str">
        <f>VLOOKUP($B46,'Tech Litons'!$A:$I,3,0)</f>
        <v>48oz</v>
      </c>
      <c r="D46" s="122" t="str">
        <f>VLOOKUP($B46,'Tech Litons'!$A:$I,4,0)</f>
        <v>48oz</v>
      </c>
      <c r="E46" s="1021" t="s">
        <v>995</v>
      </c>
      <c r="F46" s="1021">
        <v>64341968</v>
      </c>
      <c r="G46" s="1023">
        <v>41525</v>
      </c>
      <c r="H46" s="1023">
        <v>45023</v>
      </c>
      <c r="I46" s="1023">
        <v>63434.031232302848</v>
      </c>
      <c r="J46" s="1023">
        <v>64502.112634725847</v>
      </c>
      <c r="K46" s="1023">
        <v>69331.491619929569</v>
      </c>
      <c r="L46" s="1023">
        <v>78852.152852012616</v>
      </c>
      <c r="M46" s="1023">
        <v>65700.814418275608</v>
      </c>
      <c r="N46" s="1023">
        <v>59034.098063914018</v>
      </c>
      <c r="O46" s="1023">
        <v>42811.483741575248</v>
      </c>
      <c r="P46" s="1023">
        <v>44692.388093631213</v>
      </c>
      <c r="Q46" s="1023">
        <v>48952.1874693551</v>
      </c>
      <c r="R46" s="1023">
        <v>42441.156608366276</v>
      </c>
      <c r="S46" s="169">
        <f t="shared" si="88"/>
        <v>666299.91673408833</v>
      </c>
      <c r="T46" s="122">
        <f>VLOOKUP($B46,'Tech Litons'!$A:$I,9,0)</f>
        <v>176</v>
      </c>
      <c r="U46" s="179">
        <f t="shared" si="89"/>
        <v>235.9375</v>
      </c>
      <c r="V46" s="179">
        <f t="shared" si="90"/>
        <v>255.8125</v>
      </c>
      <c r="W46" s="179">
        <f t="shared" si="91"/>
        <v>360.42063200172072</v>
      </c>
      <c r="X46" s="179">
        <f t="shared" si="92"/>
        <v>366.48927633366958</v>
      </c>
      <c r="Y46" s="179">
        <f t="shared" si="93"/>
        <v>393.92892965869072</v>
      </c>
      <c r="Z46" s="179">
        <f t="shared" si="94"/>
        <v>448.02359575007171</v>
      </c>
      <c r="AA46" s="179">
        <f t="shared" si="95"/>
        <v>373.30008192202052</v>
      </c>
      <c r="AB46" s="179">
        <f t="shared" si="96"/>
        <v>335.42101172678417</v>
      </c>
      <c r="AC46" s="179">
        <f t="shared" si="97"/>
        <v>243.24706671349574</v>
      </c>
      <c r="AD46" s="179">
        <f t="shared" si="98"/>
        <v>253.93402325926826</v>
      </c>
      <c r="AE46" s="179">
        <f t="shared" si="99"/>
        <v>278.13742880315397</v>
      </c>
      <c r="AF46" s="179">
        <f t="shared" si="100"/>
        <v>241.14293527480839</v>
      </c>
    </row>
    <row r="47" spans="2:32">
      <c r="B47" s="122">
        <f t="shared" si="87"/>
        <v>68817792</v>
      </c>
      <c r="C47" s="122" t="str">
        <f>VLOOKUP($B47,'Tech Litons'!$A:$I,3,0)</f>
        <v>48oz</v>
      </c>
      <c r="D47" s="122" t="str">
        <f>VLOOKUP($B47,'Tech Litons'!$A:$I,4,0)</f>
        <v>48oz</v>
      </c>
      <c r="E47" s="1021" t="s">
        <v>999</v>
      </c>
      <c r="F47" s="1021">
        <v>68817792</v>
      </c>
      <c r="G47" s="1023">
        <v>48884</v>
      </c>
      <c r="H47" s="1023">
        <v>52229</v>
      </c>
      <c r="I47" s="1023">
        <v>74775.470325448172</v>
      </c>
      <c r="J47" s="1023">
        <v>71936.183871411704</v>
      </c>
      <c r="K47" s="1023">
        <v>76131.995702646149</v>
      </c>
      <c r="L47" s="1023">
        <v>95273.345800637922</v>
      </c>
      <c r="M47" s="1023">
        <v>70437.410286967497</v>
      </c>
      <c r="N47" s="1023">
        <v>65497.998910255803</v>
      </c>
      <c r="O47" s="1023">
        <v>48998.393122179812</v>
      </c>
      <c r="P47" s="1023">
        <v>50953.908863286204</v>
      </c>
      <c r="Q47" s="1023">
        <v>54161.76561399499</v>
      </c>
      <c r="R47" s="1023">
        <v>48613.303544267124</v>
      </c>
      <c r="S47" s="169">
        <f t="shared" si="88"/>
        <v>757892.77604109538</v>
      </c>
      <c r="T47" s="122">
        <f>VLOOKUP($B47,'Tech Litons'!$A:$I,9,0)</f>
        <v>154</v>
      </c>
      <c r="U47" s="179">
        <f t="shared" si="89"/>
        <v>317.42857142857144</v>
      </c>
      <c r="V47" s="179">
        <f t="shared" si="90"/>
        <v>339.14935064935065</v>
      </c>
      <c r="W47" s="179">
        <f t="shared" si="91"/>
        <v>485.55500211329979</v>
      </c>
      <c r="X47" s="179">
        <f t="shared" si="92"/>
        <v>467.11807708708898</v>
      </c>
      <c r="Y47" s="179">
        <f t="shared" si="93"/>
        <v>494.36360845874123</v>
      </c>
      <c r="Z47" s="179">
        <f t="shared" si="94"/>
        <v>618.65808961453195</v>
      </c>
      <c r="AA47" s="179">
        <f t="shared" si="95"/>
        <v>457.38578108420455</v>
      </c>
      <c r="AB47" s="179">
        <f t="shared" si="96"/>
        <v>425.31168123542727</v>
      </c>
      <c r="AC47" s="179">
        <f t="shared" si="97"/>
        <v>318.1713839102585</v>
      </c>
      <c r="AD47" s="179">
        <f t="shared" si="98"/>
        <v>330.86953807328706</v>
      </c>
      <c r="AE47" s="179">
        <f t="shared" si="99"/>
        <v>351.69977671425318</v>
      </c>
      <c r="AF47" s="179">
        <f t="shared" si="100"/>
        <v>315.67080223550079</v>
      </c>
    </row>
    <row r="48" spans="2:32">
      <c r="B48" s="122">
        <f t="shared" si="87"/>
        <v>64988056</v>
      </c>
      <c r="C48" s="122" t="str">
        <f>VLOOKUP($B48,'Tech Litons'!$A:$I,3,0)</f>
        <v>48oz</v>
      </c>
      <c r="D48" s="122" t="str">
        <f>VLOOKUP($B48,'Tech Litons'!$A:$I,4,0)</f>
        <v>48oz</v>
      </c>
      <c r="E48" s="1021" t="s">
        <v>268</v>
      </c>
      <c r="F48" s="1021">
        <v>64988056</v>
      </c>
      <c r="G48" s="1023">
        <v>55549</v>
      </c>
      <c r="H48" s="1023">
        <v>55364</v>
      </c>
      <c r="I48" s="1023">
        <v>79868.995591205705</v>
      </c>
      <c r="J48" s="1023">
        <v>73607.027128685761</v>
      </c>
      <c r="K48" s="1023">
        <v>76737.414038431481</v>
      </c>
      <c r="L48" s="1023">
        <v>91510.939751329672</v>
      </c>
      <c r="M48" s="1023">
        <v>74891.062029724068</v>
      </c>
      <c r="N48" s="1023">
        <v>70388.660527186861</v>
      </c>
      <c r="O48" s="1023">
        <v>50717.845752276437</v>
      </c>
      <c r="P48" s="1023">
        <v>56703.640914712982</v>
      </c>
      <c r="Q48" s="1023">
        <v>70635.124486112691</v>
      </c>
      <c r="R48" s="1023">
        <v>53512.190709711773</v>
      </c>
      <c r="S48" s="169">
        <f t="shared" si="88"/>
        <v>809485.90092937753</v>
      </c>
      <c r="T48" s="122">
        <f>VLOOKUP($B48,'Tech Litons'!$A:$I,9,0)</f>
        <v>176</v>
      </c>
      <c r="U48" s="179">
        <f t="shared" si="89"/>
        <v>315.61931818181819</v>
      </c>
      <c r="V48" s="179">
        <f t="shared" si="90"/>
        <v>314.56818181818181</v>
      </c>
      <c r="W48" s="179">
        <f t="shared" si="91"/>
        <v>453.8011113136688</v>
      </c>
      <c r="X48" s="179">
        <f t="shared" si="92"/>
        <v>418.22174504935089</v>
      </c>
      <c r="Y48" s="179">
        <f t="shared" si="93"/>
        <v>436.00803430926976</v>
      </c>
      <c r="Z48" s="179">
        <f t="shared" si="94"/>
        <v>519.94852131437312</v>
      </c>
      <c r="AA48" s="179">
        <f t="shared" si="95"/>
        <v>425.51739789615948</v>
      </c>
      <c r="AB48" s="179">
        <f t="shared" si="96"/>
        <v>399.93557117719809</v>
      </c>
      <c r="AC48" s="179">
        <f t="shared" si="97"/>
        <v>288.16957813793431</v>
      </c>
      <c r="AD48" s="179">
        <f t="shared" si="98"/>
        <v>322.17977792450557</v>
      </c>
      <c r="AE48" s="179">
        <f t="shared" si="99"/>
        <v>401.33593458018572</v>
      </c>
      <c r="AF48" s="179">
        <f t="shared" si="100"/>
        <v>304.04653812336232</v>
      </c>
    </row>
    <row r="49" spans="2:32">
      <c r="B49" s="122">
        <f t="shared" si="87"/>
        <v>69568828</v>
      </c>
      <c r="C49" s="122" t="str">
        <f>VLOOKUP($B49,'Tech Litons'!$A:$I,3,0)</f>
        <v>48oz</v>
      </c>
      <c r="D49" s="122" t="str">
        <f>VLOOKUP($B49,'Tech Litons'!$A:$I,4,0)</f>
        <v>48oz</v>
      </c>
      <c r="E49" s="1021" t="s">
        <v>998</v>
      </c>
      <c r="F49" s="1021">
        <v>69568828</v>
      </c>
      <c r="G49" s="1023">
        <v>64028</v>
      </c>
      <c r="H49" s="1023">
        <v>56478</v>
      </c>
      <c r="I49" s="1023">
        <v>117558.30054729877</v>
      </c>
      <c r="J49" s="1023">
        <v>62020.415415179385</v>
      </c>
      <c r="K49" s="1023">
        <v>72225.803235809857</v>
      </c>
      <c r="L49" s="1023">
        <v>86583.855254623268</v>
      </c>
      <c r="M49" s="1023">
        <v>83393.877277066611</v>
      </c>
      <c r="N49" s="1023">
        <v>75860.512638259737</v>
      </c>
      <c r="O49" s="1023">
        <v>68576.025773328889</v>
      </c>
      <c r="P49" s="1023">
        <v>64853.679317818001</v>
      </c>
      <c r="Q49" s="1023">
        <v>62765.363218833336</v>
      </c>
      <c r="R49" s="1023">
        <v>52663.019754900146</v>
      </c>
      <c r="S49" s="169">
        <f t="shared" si="88"/>
        <v>867006.85243311804</v>
      </c>
      <c r="T49" s="122">
        <f>VLOOKUP($B49,'Tech Litons'!$A:$I,9,0)</f>
        <v>176</v>
      </c>
      <c r="U49" s="179">
        <f t="shared" si="89"/>
        <v>363.79545454545456</v>
      </c>
      <c r="V49" s="179">
        <f t="shared" si="90"/>
        <v>320.89772727272725</v>
      </c>
      <c r="W49" s="179">
        <f t="shared" si="91"/>
        <v>667.94488947328853</v>
      </c>
      <c r="X49" s="179">
        <f t="shared" si="92"/>
        <v>352.38872394988289</v>
      </c>
      <c r="Y49" s="179">
        <f t="shared" si="93"/>
        <v>410.37388202164692</v>
      </c>
      <c r="Z49" s="179">
        <f t="shared" si="94"/>
        <v>491.95372303763219</v>
      </c>
      <c r="AA49" s="179">
        <f t="shared" si="95"/>
        <v>473.82884816515121</v>
      </c>
      <c r="AB49" s="179">
        <f t="shared" si="96"/>
        <v>431.02563999011215</v>
      </c>
      <c r="AC49" s="179">
        <f t="shared" si="97"/>
        <v>389.6365100757323</v>
      </c>
      <c r="AD49" s="179">
        <f t="shared" si="98"/>
        <v>368.48681430578409</v>
      </c>
      <c r="AE49" s="179">
        <f t="shared" si="99"/>
        <v>356.62138192518938</v>
      </c>
      <c r="AF49" s="179">
        <f t="shared" si="100"/>
        <v>299.22170315284171</v>
      </c>
    </row>
    <row r="50" spans="2:32">
      <c r="B50" s="122">
        <f t="shared" si="87"/>
        <v>64875812</v>
      </c>
      <c r="C50" s="122" t="str">
        <f>VLOOKUP($B50,'Tech Litons'!$A:$I,3,0)</f>
        <v>ESS</v>
      </c>
      <c r="D50" s="122" t="str">
        <f>VLOOKUP($B50,'Tech Litons'!$A:$I,4,0)</f>
        <v>ESS</v>
      </c>
      <c r="E50" s="1021" t="s">
        <v>985</v>
      </c>
      <c r="F50" s="1021">
        <v>64875812</v>
      </c>
      <c r="G50" s="1023">
        <v>62604</v>
      </c>
      <c r="H50" s="1023">
        <v>79608</v>
      </c>
      <c r="I50" s="1023">
        <v>91197.830000000016</v>
      </c>
      <c r="J50" s="1023">
        <v>80108.959999999992</v>
      </c>
      <c r="K50" s="1023">
        <v>105870.28</v>
      </c>
      <c r="L50" s="1023">
        <v>123060.01999999997</v>
      </c>
      <c r="M50" s="1023">
        <v>103807.82</v>
      </c>
      <c r="N50" s="1023">
        <v>88925.500000000015</v>
      </c>
      <c r="O50" s="1023">
        <v>77343.180000000008</v>
      </c>
      <c r="P50" s="1023">
        <v>73211.53</v>
      </c>
      <c r="Q50" s="1023">
        <v>61747.62</v>
      </c>
      <c r="R50" s="1023">
        <v>58788.79</v>
      </c>
      <c r="S50" s="169">
        <f t="shared" si="88"/>
        <v>1006273.5300000003</v>
      </c>
      <c r="T50" s="122">
        <f>VLOOKUP($B50,'Tech Litons'!$A:$I,9,0)</f>
        <v>108</v>
      </c>
      <c r="U50" s="179">
        <f t="shared" si="89"/>
        <v>579.66666666666663</v>
      </c>
      <c r="V50" s="179">
        <f t="shared" si="90"/>
        <v>737.11111111111109</v>
      </c>
      <c r="W50" s="179">
        <f t="shared" si="91"/>
        <v>844.42435185185195</v>
      </c>
      <c r="X50" s="179">
        <f t="shared" si="92"/>
        <v>741.74962962962957</v>
      </c>
      <c r="Y50" s="179">
        <f t="shared" si="93"/>
        <v>980.28037037037041</v>
      </c>
      <c r="Z50" s="179">
        <f t="shared" si="94"/>
        <v>1139.4446296296294</v>
      </c>
      <c r="AA50" s="179">
        <f t="shared" si="95"/>
        <v>961.18351851851855</v>
      </c>
      <c r="AB50" s="179">
        <f t="shared" si="96"/>
        <v>823.38425925925935</v>
      </c>
      <c r="AC50" s="179">
        <f t="shared" si="97"/>
        <v>716.14055555555558</v>
      </c>
      <c r="AD50" s="179">
        <f t="shared" si="98"/>
        <v>677.88453703703703</v>
      </c>
      <c r="AE50" s="179">
        <f t="shared" si="99"/>
        <v>571.73722222222227</v>
      </c>
      <c r="AF50" s="179">
        <f t="shared" si="100"/>
        <v>544.34064814814815</v>
      </c>
    </row>
    <row r="51" spans="2:32">
      <c r="B51" s="122">
        <f t="shared" si="87"/>
        <v>64825255</v>
      </c>
      <c r="C51" s="122" t="str">
        <f>VLOOKUP($B51,'Tech Litons'!$A:$I,3,0)</f>
        <v>Other</v>
      </c>
      <c r="D51" s="122" t="str">
        <f>VLOOKUP($B51,'Tech Litons'!$A:$I,4,0)</f>
        <v>Other</v>
      </c>
      <c r="E51" s="1022" t="s">
        <v>611</v>
      </c>
      <c r="F51" s="1022">
        <v>64825255</v>
      </c>
      <c r="G51" s="1025">
        <v>7798</v>
      </c>
      <c r="H51" s="1025">
        <v>21708</v>
      </c>
      <c r="I51" s="1025">
        <v>35634.880000000005</v>
      </c>
      <c r="J51" s="1025">
        <v>41218.870000000003</v>
      </c>
      <c r="K51" s="1025">
        <v>53400.160000000003</v>
      </c>
      <c r="L51" s="1025">
        <v>77553.11</v>
      </c>
      <c r="M51" s="1025">
        <v>66012.13</v>
      </c>
      <c r="N51" s="1025">
        <v>63296.25</v>
      </c>
      <c r="O51" s="1025">
        <v>48915.920000000006</v>
      </c>
      <c r="P51" s="1025">
        <v>29031.800000000003</v>
      </c>
      <c r="Q51" s="1025">
        <v>26442.79</v>
      </c>
      <c r="R51" s="1025">
        <v>25090.260000000002</v>
      </c>
      <c r="S51" s="169">
        <f t="shared" si="88"/>
        <v>496102.17</v>
      </c>
      <c r="T51" s="122">
        <f>VLOOKUP($B51,'Tech Litons'!$A:$I,9,0)</f>
        <v>324</v>
      </c>
      <c r="U51" s="179">
        <f t="shared" si="89"/>
        <v>24.067901234567902</v>
      </c>
      <c r="V51" s="179">
        <f t="shared" si="90"/>
        <v>67</v>
      </c>
      <c r="W51" s="179">
        <f t="shared" si="91"/>
        <v>109.98419753086421</v>
      </c>
      <c r="X51" s="179">
        <f t="shared" si="92"/>
        <v>127.21873456790124</v>
      </c>
      <c r="Y51" s="179">
        <f t="shared" si="93"/>
        <v>164.81530864197532</v>
      </c>
      <c r="Z51" s="179">
        <f t="shared" si="94"/>
        <v>239.36145061728396</v>
      </c>
      <c r="AA51" s="179">
        <f t="shared" si="95"/>
        <v>203.74114197530866</v>
      </c>
      <c r="AB51" s="179">
        <f t="shared" si="96"/>
        <v>195.3587962962963</v>
      </c>
      <c r="AC51" s="179">
        <f t="shared" si="97"/>
        <v>150.97506172839508</v>
      </c>
      <c r="AD51" s="179">
        <f t="shared" si="98"/>
        <v>89.604320987654333</v>
      </c>
      <c r="AE51" s="179">
        <f t="shared" si="99"/>
        <v>81.613549382716059</v>
      </c>
      <c r="AF51" s="179">
        <f t="shared" si="100"/>
        <v>77.439074074074085</v>
      </c>
    </row>
    <row r="52" spans="2:32">
      <c r="B52" s="122">
        <f t="shared" si="87"/>
        <v>68852591</v>
      </c>
      <c r="C52" s="122" t="str">
        <f>VLOOKUP($B52,'Tech Litons'!$A:$I,3,0)</f>
        <v>EDF</v>
      </c>
      <c r="D52" s="122" t="str">
        <f>VLOOKUP($B52,'Tech Litons'!$A:$I,4,0)</f>
        <v>EDF</v>
      </c>
      <c r="E52" s="1021" t="s">
        <v>1007</v>
      </c>
      <c r="F52" s="1021">
        <v>68852591</v>
      </c>
      <c r="G52" s="1023">
        <v>50760</v>
      </c>
      <c r="H52" s="1023">
        <v>56652</v>
      </c>
      <c r="I52" s="1023">
        <v>83471.916748352232</v>
      </c>
      <c r="J52" s="1023">
        <v>80053.277262460542</v>
      </c>
      <c r="K52" s="1023">
        <v>93478.162002304918</v>
      </c>
      <c r="L52" s="1023">
        <v>92561.56635969186</v>
      </c>
      <c r="M52" s="1023">
        <v>89654.516549494423</v>
      </c>
      <c r="N52" s="1023">
        <v>78064.428772673622</v>
      </c>
      <c r="O52" s="1023">
        <v>59933.30897371086</v>
      </c>
      <c r="P52" s="1023">
        <v>54724.875187961668</v>
      </c>
      <c r="Q52" s="1023">
        <v>42541.898193808418</v>
      </c>
      <c r="R52" s="1023">
        <v>40280.482421588618</v>
      </c>
      <c r="S52" s="169">
        <f t="shared" si="88"/>
        <v>822176.43247204705</v>
      </c>
      <c r="T52" s="122">
        <f>VLOOKUP($B52,'Tech Litons'!$A:$I,9,0)</f>
        <v>132</v>
      </c>
      <c r="U52" s="179">
        <f t="shared" si="89"/>
        <v>384.54545454545456</v>
      </c>
      <c r="V52" s="179">
        <f t="shared" si="90"/>
        <v>429.18181818181819</v>
      </c>
      <c r="W52" s="179">
        <f t="shared" si="91"/>
        <v>632.36300566933505</v>
      </c>
      <c r="X52" s="179">
        <f t="shared" si="92"/>
        <v>606.46422168530717</v>
      </c>
      <c r="Y52" s="179">
        <f t="shared" si="93"/>
        <v>708.16789395685544</v>
      </c>
      <c r="Z52" s="179">
        <f t="shared" si="94"/>
        <v>701.22398757342319</v>
      </c>
      <c r="AA52" s="179">
        <f t="shared" si="95"/>
        <v>679.20088295071537</v>
      </c>
      <c r="AB52" s="179">
        <f t="shared" si="96"/>
        <v>591.39718767176987</v>
      </c>
      <c r="AC52" s="179">
        <f t="shared" si="97"/>
        <v>454.04021949780957</v>
      </c>
      <c r="AD52" s="179">
        <f t="shared" si="98"/>
        <v>414.5823877875884</v>
      </c>
      <c r="AE52" s="179">
        <f t="shared" si="99"/>
        <v>322.28710752885166</v>
      </c>
      <c r="AF52" s="179">
        <f t="shared" si="100"/>
        <v>305.15516986051983</v>
      </c>
    </row>
    <row r="53" spans="2:32">
      <c r="B53" s="122">
        <f t="shared" si="87"/>
        <v>68817796</v>
      </c>
      <c r="C53" s="122" t="str">
        <f>VLOOKUP($B53,'Tech Litons'!$A:$I,3,0)</f>
        <v>48oz</v>
      </c>
      <c r="D53" s="122" t="str">
        <f>VLOOKUP($B53,'Tech Litons'!$A:$I,4,0)</f>
        <v>48oz</v>
      </c>
      <c r="E53" s="1021" t="s">
        <v>1006</v>
      </c>
      <c r="F53" s="1021">
        <v>68817796</v>
      </c>
      <c r="G53" s="1023">
        <v>48444</v>
      </c>
      <c r="H53" s="1023">
        <v>35266</v>
      </c>
      <c r="I53" s="1023">
        <v>68662.483616835714</v>
      </c>
      <c r="J53" s="1023">
        <v>53411.137276483991</v>
      </c>
      <c r="K53" s="1023">
        <v>66173.390806523428</v>
      </c>
      <c r="L53" s="1023">
        <v>72742.954373809145</v>
      </c>
      <c r="M53" s="1023">
        <v>61305.700459609507</v>
      </c>
      <c r="N53" s="1023">
        <v>56788.418291353344</v>
      </c>
      <c r="O53" s="1023">
        <v>44400.878373721942</v>
      </c>
      <c r="P53" s="1023">
        <v>53166.306351986779</v>
      </c>
      <c r="Q53" s="1023">
        <v>73771.834680544911</v>
      </c>
      <c r="R53" s="1023">
        <v>52059.553586599905</v>
      </c>
      <c r="S53" s="169">
        <f t="shared" si="88"/>
        <v>686192.65781746875</v>
      </c>
      <c r="T53" s="122">
        <f>VLOOKUP($B53,'Tech Litons'!$A:$I,9,0)</f>
        <v>176</v>
      </c>
      <c r="U53" s="179">
        <f t="shared" si="89"/>
        <v>275.25</v>
      </c>
      <c r="V53" s="179">
        <f t="shared" si="90"/>
        <v>200.375</v>
      </c>
      <c r="W53" s="179">
        <f t="shared" si="91"/>
        <v>390.12774782293019</v>
      </c>
      <c r="X53" s="179">
        <f t="shared" si="92"/>
        <v>303.47237088911356</v>
      </c>
      <c r="Y53" s="179">
        <f t="shared" si="93"/>
        <v>375.98517503706495</v>
      </c>
      <c r="Z53" s="179">
        <f t="shared" si="94"/>
        <v>413.31224076027922</v>
      </c>
      <c r="AA53" s="179">
        <f t="shared" si="95"/>
        <v>348.32784352050857</v>
      </c>
      <c r="AB53" s="179">
        <f t="shared" si="96"/>
        <v>322.66146756450763</v>
      </c>
      <c r="AC53" s="179">
        <f t="shared" si="97"/>
        <v>252.27771803251105</v>
      </c>
      <c r="AD53" s="179">
        <f t="shared" si="98"/>
        <v>302.081286090834</v>
      </c>
      <c r="AE53" s="179">
        <f t="shared" si="99"/>
        <v>419.15815159400518</v>
      </c>
      <c r="AF53" s="179">
        <f t="shared" si="100"/>
        <v>295.79291810568128</v>
      </c>
    </row>
    <row r="54" spans="2:32">
      <c r="B54" s="122">
        <f t="shared" si="87"/>
        <v>68737750</v>
      </c>
      <c r="C54" s="122" t="str">
        <f>VLOOKUP($B54,'Tech Litons'!$A:$I,3,0)</f>
        <v>48oz</v>
      </c>
      <c r="D54" s="122" t="str">
        <f>VLOOKUP($B54,'Tech Litons'!$A:$I,4,0)</f>
        <v>48oz</v>
      </c>
      <c r="E54" s="1021" t="s">
        <v>407</v>
      </c>
      <c r="F54" s="1021">
        <v>68737750</v>
      </c>
      <c r="G54" s="1023">
        <v>34820</v>
      </c>
      <c r="H54" s="1023">
        <v>36553</v>
      </c>
      <c r="I54" s="1023">
        <v>51875.039121031827</v>
      </c>
      <c r="J54" s="1023">
        <v>49190.109798562422</v>
      </c>
      <c r="K54" s="1023">
        <v>53913.933743781934</v>
      </c>
      <c r="L54" s="1023">
        <v>57141.242267636786</v>
      </c>
      <c r="M54" s="1023">
        <v>50009.180215433691</v>
      </c>
      <c r="N54" s="1023">
        <v>43942.795853511961</v>
      </c>
      <c r="O54" s="1023">
        <v>38655.106766947851</v>
      </c>
      <c r="P54" s="1023">
        <v>38574.475652011221</v>
      </c>
      <c r="Q54" s="1023">
        <v>37792.526411658218</v>
      </c>
      <c r="R54" s="1023">
        <v>33034.09239675272</v>
      </c>
      <c r="S54" s="169">
        <f t="shared" si="88"/>
        <v>525501.5022273286</v>
      </c>
      <c r="T54" s="122">
        <f>VLOOKUP($B54,'Tech Litons'!$A:$I,9,0)</f>
        <v>176</v>
      </c>
      <c r="U54" s="179">
        <f t="shared" si="89"/>
        <v>197.84090909090909</v>
      </c>
      <c r="V54" s="179">
        <f t="shared" si="90"/>
        <v>207.6875</v>
      </c>
      <c r="W54" s="179">
        <f t="shared" si="91"/>
        <v>294.74454046040813</v>
      </c>
      <c r="X54" s="179">
        <f t="shared" si="92"/>
        <v>279.48926021910466</v>
      </c>
      <c r="Y54" s="179">
        <f t="shared" si="93"/>
        <v>306.32916899876096</v>
      </c>
      <c r="Z54" s="179">
        <f t="shared" si="94"/>
        <v>324.66614924793629</v>
      </c>
      <c r="AA54" s="179">
        <f t="shared" si="95"/>
        <v>284.14306940587323</v>
      </c>
      <c r="AB54" s="179">
        <f t="shared" si="96"/>
        <v>249.67497644040887</v>
      </c>
      <c r="AC54" s="179">
        <f t="shared" si="97"/>
        <v>219.63128844856735</v>
      </c>
      <c r="AD54" s="179">
        <f t="shared" si="98"/>
        <v>219.17315711370011</v>
      </c>
      <c r="AE54" s="179">
        <f t="shared" si="99"/>
        <v>214.73026370260351</v>
      </c>
      <c r="AF54" s="179">
        <f t="shared" si="100"/>
        <v>187.69370679973136</v>
      </c>
    </row>
    <row r="55" spans="2:32">
      <c r="B55" s="122">
        <f t="shared" si="87"/>
        <v>64325572</v>
      </c>
      <c r="C55" s="122" t="str">
        <f>VLOOKUP($B55,'Tech Litons'!$A:$I,3,0)</f>
        <v>Yasso Sticks</v>
      </c>
      <c r="D55" s="122" t="str">
        <f>VLOOKUP($B55,'Tech Litons'!$A:$I,4,0)</f>
        <v>Yasso Sticks</v>
      </c>
      <c r="E55" s="1021" t="s">
        <v>590</v>
      </c>
      <c r="F55" s="1021">
        <v>64325572</v>
      </c>
      <c r="G55" s="1023">
        <v>65210</v>
      </c>
      <c r="H55" s="1023">
        <v>70248</v>
      </c>
      <c r="I55" s="1023">
        <v>91008.281239922886</v>
      </c>
      <c r="J55" s="1023">
        <v>87604.82107242418</v>
      </c>
      <c r="K55" s="1023">
        <v>98876.915159707394</v>
      </c>
      <c r="L55" s="1023">
        <v>106131.73637331327</v>
      </c>
      <c r="M55" s="1023">
        <v>114293.02990248283</v>
      </c>
      <c r="N55" s="1023">
        <v>105616.76488143859</v>
      </c>
      <c r="O55" s="1023">
        <v>88761.737626061658</v>
      </c>
      <c r="P55" s="1023">
        <v>76681.699983436745</v>
      </c>
      <c r="Q55" s="1023">
        <v>70976.303946866203</v>
      </c>
      <c r="R55" s="1023">
        <v>57608.949501975221</v>
      </c>
      <c r="S55" s="169">
        <f t="shared" si="88"/>
        <v>1033018.2396876289</v>
      </c>
      <c r="T55" s="122">
        <f>VLOOKUP($B55,'Tech Litons'!$A:$I,9,0)</f>
        <v>187</v>
      </c>
      <c r="U55" s="179">
        <f t="shared" si="89"/>
        <v>348.71657754010693</v>
      </c>
      <c r="V55" s="179">
        <f t="shared" si="90"/>
        <v>375.65775401069521</v>
      </c>
      <c r="W55" s="179">
        <f t="shared" si="91"/>
        <v>486.67530074825072</v>
      </c>
      <c r="X55" s="179">
        <f t="shared" si="92"/>
        <v>468.47497899692075</v>
      </c>
      <c r="Y55" s="179">
        <f t="shared" si="93"/>
        <v>528.75355700378282</v>
      </c>
      <c r="Z55" s="179">
        <f t="shared" si="94"/>
        <v>567.54939237065912</v>
      </c>
      <c r="AA55" s="179">
        <f t="shared" si="95"/>
        <v>611.19267327530929</v>
      </c>
      <c r="AB55" s="179">
        <f t="shared" si="96"/>
        <v>564.79553412534005</v>
      </c>
      <c r="AC55" s="179">
        <f t="shared" si="97"/>
        <v>474.6616985350891</v>
      </c>
      <c r="AD55" s="179">
        <f t="shared" si="98"/>
        <v>410.06256675634626</v>
      </c>
      <c r="AE55" s="179">
        <f t="shared" si="99"/>
        <v>379.55242752334868</v>
      </c>
      <c r="AF55" s="179">
        <f t="shared" si="100"/>
        <v>308.06924867366428</v>
      </c>
    </row>
    <row r="56" spans="2:32">
      <c r="B56" s="122">
        <f t="shared" si="87"/>
        <v>64365613</v>
      </c>
      <c r="C56" s="122" t="str">
        <f>VLOOKUP($B56,'Tech Litons'!$A:$I,3,0)</f>
        <v>Facepieces</v>
      </c>
      <c r="D56" s="122" t="str">
        <f>VLOOKUP($B56,'Tech Litons'!$A:$I,4,0)</f>
        <v>Facepieces</v>
      </c>
      <c r="E56" s="1021" t="s">
        <v>1084</v>
      </c>
      <c r="F56" s="1021">
        <v>64365613</v>
      </c>
      <c r="G56" s="1023">
        <v>45330</v>
      </c>
      <c r="H56" s="1023">
        <v>41460</v>
      </c>
      <c r="I56" s="1023">
        <v>35762.815954309117</v>
      </c>
      <c r="J56" s="1023">
        <v>50429.212349509471</v>
      </c>
      <c r="K56" s="1023">
        <v>59027.636304886997</v>
      </c>
      <c r="L56" s="1023">
        <v>62557.150892104553</v>
      </c>
      <c r="M56" s="1023">
        <v>58229.84</v>
      </c>
      <c r="N56" s="1023">
        <v>35169.120000000003</v>
      </c>
      <c r="O56" s="1023">
        <v>26363.84</v>
      </c>
      <c r="P56" s="1023">
        <v>18220.27</v>
      </c>
      <c r="Q56" s="1023">
        <v>24743.39621677703</v>
      </c>
      <c r="R56" s="1023">
        <v>19305.687179920365</v>
      </c>
      <c r="S56" s="169">
        <f t="shared" si="88"/>
        <v>476598.96889750758</v>
      </c>
      <c r="T56" s="122">
        <f>VLOOKUP($B56,'Tech Litons'!$A:$I,9,0)</f>
        <v>195</v>
      </c>
      <c r="U56" s="179">
        <f t="shared" si="89"/>
        <v>232.46153846153845</v>
      </c>
      <c r="V56" s="179">
        <f t="shared" si="90"/>
        <v>212.61538461538461</v>
      </c>
      <c r="W56" s="179">
        <f t="shared" si="91"/>
        <v>183.3990561759442</v>
      </c>
      <c r="X56" s="179">
        <f t="shared" si="92"/>
        <v>258.61134538209984</v>
      </c>
      <c r="Y56" s="179">
        <f t="shared" si="93"/>
        <v>302.70582720454871</v>
      </c>
      <c r="Z56" s="179">
        <f t="shared" si="94"/>
        <v>320.80590201079258</v>
      </c>
      <c r="AA56" s="179">
        <f t="shared" si="95"/>
        <v>298.61456410256409</v>
      </c>
      <c r="AB56" s="179">
        <f t="shared" si="96"/>
        <v>180.35446153846155</v>
      </c>
      <c r="AC56" s="179">
        <f t="shared" si="97"/>
        <v>135.19917948717949</v>
      </c>
      <c r="AD56" s="179">
        <f t="shared" si="98"/>
        <v>93.437282051282054</v>
      </c>
      <c r="AE56" s="179">
        <f t="shared" si="99"/>
        <v>126.88921136808733</v>
      </c>
      <c r="AF56" s="179">
        <f t="shared" si="100"/>
        <v>99.003523999591621</v>
      </c>
    </row>
    <row r="57" spans="2:32">
      <c r="B57" s="122">
        <f t="shared" si="87"/>
        <v>68821735</v>
      </c>
      <c r="C57" s="122" t="str">
        <f>VLOOKUP($B57,'Tech Litons'!$A:$I,3,0)</f>
        <v>48oz</v>
      </c>
      <c r="D57" s="122" t="str">
        <f>VLOOKUP($B57,'Tech Litons'!$A:$I,4,0)</f>
        <v>48oz</v>
      </c>
      <c r="E57" s="1021" t="s">
        <v>1002</v>
      </c>
      <c r="F57" s="1021">
        <v>68821735</v>
      </c>
      <c r="G57" s="1023">
        <v>52558</v>
      </c>
      <c r="H57" s="1023">
        <v>42086</v>
      </c>
      <c r="I57" s="1023">
        <v>61354.070888377231</v>
      </c>
      <c r="J57" s="1023">
        <v>54219.190519791329</v>
      </c>
      <c r="K57" s="1023">
        <v>59864.310048594947</v>
      </c>
      <c r="L57" s="1023">
        <v>66501.193100384146</v>
      </c>
      <c r="M57" s="1023">
        <v>59218.905734861561</v>
      </c>
      <c r="N57" s="1023">
        <v>56453.919665278823</v>
      </c>
      <c r="O57" s="1023">
        <v>46100.901715373475</v>
      </c>
      <c r="P57" s="1023">
        <v>48809.813372476216</v>
      </c>
      <c r="Q57" s="1023">
        <v>58643.570787631812</v>
      </c>
      <c r="R57" s="1023">
        <v>45942.523170695342</v>
      </c>
      <c r="S57" s="169">
        <f t="shared" si="88"/>
        <v>651752.39900346485</v>
      </c>
      <c r="T57" s="122">
        <f>VLOOKUP($B57,'Tech Litons'!$A:$I,9,0)</f>
        <v>176</v>
      </c>
      <c r="U57" s="179">
        <f t="shared" si="89"/>
        <v>298.625</v>
      </c>
      <c r="V57" s="179">
        <f t="shared" si="90"/>
        <v>239.125</v>
      </c>
      <c r="W57" s="179">
        <f t="shared" si="91"/>
        <v>348.60267550214337</v>
      </c>
      <c r="X57" s="179">
        <f t="shared" si="92"/>
        <v>308.06358249881436</v>
      </c>
      <c r="Y57" s="179">
        <f t="shared" si="93"/>
        <v>340.13812527610764</v>
      </c>
      <c r="Z57" s="179">
        <f t="shared" si="94"/>
        <v>377.84768807036448</v>
      </c>
      <c r="AA57" s="179">
        <f t="shared" si="95"/>
        <v>336.47105531171343</v>
      </c>
      <c r="AB57" s="179">
        <f t="shared" si="96"/>
        <v>320.76090718908421</v>
      </c>
      <c r="AC57" s="179">
        <f t="shared" si="97"/>
        <v>261.93694156462203</v>
      </c>
      <c r="AD57" s="179">
        <f t="shared" si="98"/>
        <v>277.32848507088761</v>
      </c>
      <c r="AE57" s="179">
        <f t="shared" si="99"/>
        <v>333.20210674790803</v>
      </c>
      <c r="AF57" s="179">
        <f t="shared" si="100"/>
        <v>261.0370634698599</v>
      </c>
    </row>
    <row r="58" spans="2:32">
      <c r="B58" s="122">
        <f t="shared" si="87"/>
        <v>67881629</v>
      </c>
      <c r="C58" s="122" t="str">
        <f>VLOOKUP($B58,'Tech Litons'!$A:$I,3,0)</f>
        <v>BJ PTS</v>
      </c>
      <c r="D58" s="122" t="str">
        <f>VLOOKUP($B58,'Tech Litons'!$A:$I,4,0)</f>
        <v>BJ PTS</v>
      </c>
      <c r="E58" s="1021" t="s">
        <v>337</v>
      </c>
      <c r="F58" s="1021">
        <v>67881629</v>
      </c>
      <c r="G58" s="1023">
        <v>41200</v>
      </c>
      <c r="H58" s="1023">
        <v>56616</v>
      </c>
      <c r="I58" s="1023">
        <v>67973.980196088363</v>
      </c>
      <c r="J58" s="1023">
        <v>60034.386375242051</v>
      </c>
      <c r="K58" s="1023">
        <v>56932.233697449352</v>
      </c>
      <c r="L58" s="1023">
        <v>66922.896906493464</v>
      </c>
      <c r="M58" s="1023">
        <v>55887.415199905452</v>
      </c>
      <c r="N58" s="1023">
        <v>56829.498665695886</v>
      </c>
      <c r="O58" s="1023">
        <v>50494.764900557348</v>
      </c>
      <c r="P58" s="1023">
        <v>47019.387910048703</v>
      </c>
      <c r="Q58" s="1023">
        <v>48773.269411880516</v>
      </c>
      <c r="R58" s="1023">
        <v>43538.573154225189</v>
      </c>
      <c r="S58" s="169">
        <f t="shared" si="88"/>
        <v>652222.40641758638</v>
      </c>
      <c r="T58" s="122">
        <f>VLOOKUP($B58,'Tech Litons'!$A:$I,9,0)</f>
        <v>240</v>
      </c>
      <c r="U58" s="179">
        <f t="shared" si="89"/>
        <v>171.66666666666666</v>
      </c>
      <c r="V58" s="179">
        <f t="shared" si="90"/>
        <v>235.9</v>
      </c>
      <c r="W58" s="179">
        <f t="shared" si="91"/>
        <v>283.22491748370152</v>
      </c>
      <c r="X58" s="179">
        <f t="shared" si="92"/>
        <v>250.14327656350855</v>
      </c>
      <c r="Y58" s="179">
        <f t="shared" si="93"/>
        <v>237.21764040603895</v>
      </c>
      <c r="Z58" s="179">
        <f t="shared" si="94"/>
        <v>278.84540377705611</v>
      </c>
      <c r="AA58" s="179">
        <f t="shared" si="95"/>
        <v>232.86422999960604</v>
      </c>
      <c r="AB58" s="179">
        <f t="shared" si="96"/>
        <v>236.78957777373287</v>
      </c>
      <c r="AC58" s="179">
        <f t="shared" si="97"/>
        <v>210.39485375232229</v>
      </c>
      <c r="AD58" s="179">
        <f t="shared" si="98"/>
        <v>195.91411629186959</v>
      </c>
      <c r="AE58" s="179">
        <f t="shared" si="99"/>
        <v>203.22195588283549</v>
      </c>
      <c r="AF58" s="179">
        <f t="shared" si="100"/>
        <v>181.41072147593829</v>
      </c>
    </row>
    <row r="59" spans="2:32">
      <c r="B59" s="122">
        <f t="shared" si="87"/>
        <v>68741714</v>
      </c>
      <c r="C59" s="122" t="str">
        <f>VLOOKUP($B59,'Tech Litons'!$A:$I,3,0)</f>
        <v>MBG</v>
      </c>
      <c r="D59" s="122" t="str">
        <f>VLOOKUP($B59,'Tech Litons'!$A:$I,4,0)</f>
        <v>MBG</v>
      </c>
      <c r="E59" s="1021" t="s">
        <v>923</v>
      </c>
      <c r="F59" s="1021">
        <v>68741714</v>
      </c>
      <c r="G59" s="1023">
        <v>21963</v>
      </c>
      <c r="H59" s="1023">
        <v>24030</v>
      </c>
      <c r="I59" s="1023">
        <v>39489.20032935479</v>
      </c>
      <c r="J59" s="1023">
        <v>56304.247368494456</v>
      </c>
      <c r="K59" s="1023">
        <v>78007.61074643959</v>
      </c>
      <c r="L59" s="1023">
        <v>75153.830176105039</v>
      </c>
      <c r="M59" s="1023">
        <v>74978.908594760214</v>
      </c>
      <c r="N59" s="1023">
        <v>57691.689360450386</v>
      </c>
      <c r="O59" s="1023">
        <v>50178.355292787266</v>
      </c>
      <c r="P59" s="1023">
        <v>38162.324946382956</v>
      </c>
      <c r="Q59" s="1023">
        <v>35738.060608411237</v>
      </c>
      <c r="R59" s="1023">
        <v>28767.029353624657</v>
      </c>
      <c r="S59" s="169">
        <f t="shared" si="88"/>
        <v>580464.25677681062</v>
      </c>
      <c r="T59" s="122">
        <f>VLOOKUP($B59,'Tech Litons'!$A:$I,9,0)</f>
        <v>225</v>
      </c>
      <c r="U59" s="179">
        <f t="shared" si="89"/>
        <v>97.61333333333333</v>
      </c>
      <c r="V59" s="179">
        <f t="shared" si="90"/>
        <v>106.8</v>
      </c>
      <c r="W59" s="179">
        <f t="shared" si="91"/>
        <v>175.50755701935461</v>
      </c>
      <c r="X59" s="179">
        <f t="shared" si="92"/>
        <v>250.24109941553093</v>
      </c>
      <c r="Y59" s="179">
        <f t="shared" si="93"/>
        <v>346.70049220639817</v>
      </c>
      <c r="Z59" s="179">
        <f t="shared" si="94"/>
        <v>334.01702300491127</v>
      </c>
      <c r="AA59" s="179">
        <f t="shared" si="95"/>
        <v>333.23959375448982</v>
      </c>
      <c r="AB59" s="179">
        <f t="shared" si="96"/>
        <v>256.40750826866838</v>
      </c>
      <c r="AC59" s="179">
        <f t="shared" si="97"/>
        <v>223.01491241238784</v>
      </c>
      <c r="AD59" s="179">
        <f t="shared" si="98"/>
        <v>169.61033309503537</v>
      </c>
      <c r="AE59" s="179">
        <f t="shared" si="99"/>
        <v>158.83582492627215</v>
      </c>
      <c r="AF59" s="179">
        <f t="shared" si="100"/>
        <v>127.85346379388737</v>
      </c>
    </row>
    <row r="60" spans="2:32">
      <c r="B60" s="122">
        <f t="shared" si="87"/>
        <v>64327161</v>
      </c>
      <c r="C60" s="122" t="str">
        <f>VLOOKUP($B60,'Tech Litons'!$A:$I,3,0)</f>
        <v>Yasso Club</v>
      </c>
      <c r="D60" s="122" t="str">
        <f>VLOOKUP($B60,'Tech Litons'!$A:$I,4,0)</f>
        <v>Yasso Club</v>
      </c>
      <c r="E60" s="1021" t="s">
        <v>563</v>
      </c>
      <c r="F60" s="1021">
        <v>64327161</v>
      </c>
      <c r="G60" s="1023">
        <v>4800</v>
      </c>
      <c r="H60" s="1023">
        <v>11040</v>
      </c>
      <c r="I60" s="1023">
        <v>129185</v>
      </c>
      <c r="J60" s="1023">
        <v>67345</v>
      </c>
      <c r="K60" s="1023">
        <v>114395</v>
      </c>
      <c r="L60" s="1023">
        <v>97742</v>
      </c>
      <c r="M60" s="1023">
        <v>115290</v>
      </c>
      <c r="N60" s="1023">
        <v>48108</v>
      </c>
      <c r="O60" s="1023">
        <v>26804</v>
      </c>
      <c r="P60" s="1023">
        <v>22711</v>
      </c>
      <c r="Q60" s="1023">
        <v>21430</v>
      </c>
      <c r="R60" s="1023">
        <v>19285</v>
      </c>
      <c r="S60" s="169">
        <f t="shared" si="88"/>
        <v>678135</v>
      </c>
      <c r="T60" s="122">
        <f>VLOOKUP($B60,'Tech Litons'!$A:$I,9,0)</f>
        <v>240</v>
      </c>
      <c r="U60" s="179">
        <f t="shared" si="89"/>
        <v>20</v>
      </c>
      <c r="V60" s="179">
        <f t="shared" si="90"/>
        <v>46</v>
      </c>
      <c r="W60" s="179">
        <f t="shared" si="91"/>
        <v>538.27083333333337</v>
      </c>
      <c r="X60" s="179">
        <f t="shared" si="92"/>
        <v>280.60416666666669</v>
      </c>
      <c r="Y60" s="179">
        <f t="shared" si="93"/>
        <v>476.64583333333331</v>
      </c>
      <c r="Z60" s="179">
        <f t="shared" si="94"/>
        <v>407.25833333333333</v>
      </c>
      <c r="AA60" s="179">
        <f t="shared" si="95"/>
        <v>480.375</v>
      </c>
      <c r="AB60" s="179">
        <f t="shared" si="96"/>
        <v>200.45</v>
      </c>
      <c r="AC60" s="179">
        <f t="shared" si="97"/>
        <v>111.68333333333334</v>
      </c>
      <c r="AD60" s="179">
        <f t="shared" si="98"/>
        <v>94.629166666666663</v>
      </c>
      <c r="AE60" s="179">
        <f t="shared" si="99"/>
        <v>89.291666666666671</v>
      </c>
      <c r="AF60" s="179">
        <f t="shared" si="100"/>
        <v>80.354166666666671</v>
      </c>
    </row>
    <row r="61" spans="2:32">
      <c r="B61" s="122">
        <f t="shared" si="87"/>
        <v>64325523</v>
      </c>
      <c r="C61" s="122" t="str">
        <f>VLOOKUP($B61,'Tech Litons'!$A:$I,3,0)</f>
        <v>Yasso Sticks</v>
      </c>
      <c r="D61" s="122" t="str">
        <f>VLOOKUP($B61,'Tech Litons'!$A:$I,4,0)</f>
        <v>Yasso Sticks</v>
      </c>
      <c r="E61" s="1021" t="s">
        <v>586</v>
      </c>
      <c r="F61" s="1021">
        <v>64325523</v>
      </c>
      <c r="G61" s="1023">
        <v>56324</v>
      </c>
      <c r="H61" s="1023">
        <v>52276</v>
      </c>
      <c r="I61" s="1023">
        <v>69149.712536115054</v>
      </c>
      <c r="J61" s="1023">
        <v>64294.300545775674</v>
      </c>
      <c r="K61" s="1023">
        <v>67057.932729276843</v>
      </c>
      <c r="L61" s="1023">
        <v>80746.965995538572</v>
      </c>
      <c r="M61" s="1023">
        <v>83327.784749223792</v>
      </c>
      <c r="N61" s="1023">
        <v>74294.915719680823</v>
      </c>
      <c r="O61" s="1023">
        <v>60141.142509594451</v>
      </c>
      <c r="P61" s="1023">
        <v>52652.645210710914</v>
      </c>
      <c r="Q61" s="1023">
        <v>49203.990197773674</v>
      </c>
      <c r="R61" s="1023">
        <v>43331.596641100565</v>
      </c>
      <c r="S61" s="169">
        <f t="shared" si="88"/>
        <v>752800.98683479044</v>
      </c>
      <c r="T61" s="122">
        <f>VLOOKUP($B61,'Tech Litons'!$A:$I,9,0)</f>
        <v>187</v>
      </c>
      <c r="U61" s="179">
        <f t="shared" si="89"/>
        <v>301.19786096256684</v>
      </c>
      <c r="V61" s="179">
        <f t="shared" si="90"/>
        <v>279.55080213903744</v>
      </c>
      <c r="W61" s="179">
        <f t="shared" si="91"/>
        <v>369.78455901665802</v>
      </c>
      <c r="X61" s="179">
        <f t="shared" si="92"/>
        <v>343.8197890148432</v>
      </c>
      <c r="Y61" s="179">
        <f t="shared" si="93"/>
        <v>358.59857074479595</v>
      </c>
      <c r="Z61" s="179">
        <f t="shared" si="94"/>
        <v>431.80195719539341</v>
      </c>
      <c r="AA61" s="179">
        <f t="shared" si="95"/>
        <v>445.60312700119675</v>
      </c>
      <c r="AB61" s="179">
        <f t="shared" si="96"/>
        <v>397.29901454374772</v>
      </c>
      <c r="AC61" s="179">
        <f t="shared" si="97"/>
        <v>321.61038775184198</v>
      </c>
      <c r="AD61" s="179">
        <f t="shared" si="98"/>
        <v>281.56494765086052</v>
      </c>
      <c r="AE61" s="179">
        <f t="shared" si="99"/>
        <v>263.12294223408384</v>
      </c>
      <c r="AF61" s="179">
        <f t="shared" si="100"/>
        <v>231.71976813422762</v>
      </c>
    </row>
    <row r="62" spans="2:32">
      <c r="B62" s="122">
        <f t="shared" si="87"/>
        <v>68860059</v>
      </c>
      <c r="C62" s="122" t="str">
        <f>VLOOKUP($B62,'Tech Litons'!$A:$I,3,0)</f>
        <v>Talenti</v>
      </c>
      <c r="D62" s="122" t="str">
        <f>VLOOKUP($B62,'Tech Litons'!$A:$I,4,0)</f>
        <v>Talenti</v>
      </c>
      <c r="E62" s="1021" t="s">
        <v>976</v>
      </c>
      <c r="F62" s="1021">
        <v>68860059</v>
      </c>
      <c r="G62" s="1023">
        <v>40080</v>
      </c>
      <c r="H62" s="1023">
        <v>46800</v>
      </c>
      <c r="I62" s="1023">
        <v>55215.254310602904</v>
      </c>
      <c r="J62" s="1023">
        <v>56505.022631364402</v>
      </c>
      <c r="K62" s="1023">
        <v>58513.696044262288</v>
      </c>
      <c r="L62" s="1023">
        <v>68243.876307436774</v>
      </c>
      <c r="M62" s="1023">
        <v>53879.350989145969</v>
      </c>
      <c r="N62" s="1023">
        <v>49349.491973055432</v>
      </c>
      <c r="O62" s="1023">
        <v>48429.693559677689</v>
      </c>
      <c r="P62" s="1023">
        <v>42579.916281200902</v>
      </c>
      <c r="Q62" s="1023">
        <v>34191.369741209521</v>
      </c>
      <c r="R62" s="1023">
        <v>27192.475141628882</v>
      </c>
      <c r="S62" s="169">
        <f t="shared" si="88"/>
        <v>580980.14697958471</v>
      </c>
      <c r="T62" s="122">
        <f>VLOOKUP($B62,'Tech Litons'!$A:$I,9,0)</f>
        <v>255</v>
      </c>
      <c r="U62" s="179">
        <f t="shared" si="89"/>
        <v>157.1764705882353</v>
      </c>
      <c r="V62" s="179">
        <f t="shared" si="90"/>
        <v>183.52941176470588</v>
      </c>
      <c r="W62" s="179">
        <f t="shared" si="91"/>
        <v>216.53040906118787</v>
      </c>
      <c r="X62" s="179">
        <f t="shared" si="92"/>
        <v>221.58832404456629</v>
      </c>
      <c r="Y62" s="179">
        <f t="shared" si="93"/>
        <v>229.46547468338153</v>
      </c>
      <c r="Z62" s="179">
        <f t="shared" si="94"/>
        <v>267.62304434288933</v>
      </c>
      <c r="AA62" s="179">
        <f t="shared" si="95"/>
        <v>211.29157250645477</v>
      </c>
      <c r="AB62" s="179">
        <f t="shared" si="96"/>
        <v>193.52741950217816</v>
      </c>
      <c r="AC62" s="179">
        <f t="shared" si="97"/>
        <v>189.92036690069682</v>
      </c>
      <c r="AD62" s="179">
        <f t="shared" si="98"/>
        <v>166.98006384784668</v>
      </c>
      <c r="AE62" s="179">
        <f t="shared" si="99"/>
        <v>134.08380290670399</v>
      </c>
      <c r="AF62" s="179">
        <f t="shared" si="100"/>
        <v>106.63715741815248</v>
      </c>
    </row>
    <row r="63" spans="2:32">
      <c r="B63" s="122">
        <f t="shared" si="87"/>
        <v>68867755</v>
      </c>
      <c r="C63" s="122" t="str">
        <f>VLOOKUP($B63,'Tech Litons'!$A:$I,3,0)</f>
        <v>Talenti</v>
      </c>
      <c r="D63" s="122" t="str">
        <f>VLOOKUP($B63,'Tech Litons'!$A:$I,4,0)</f>
        <v>Talenti</v>
      </c>
      <c r="E63" s="1021" t="s">
        <v>274</v>
      </c>
      <c r="F63" s="1021">
        <v>68867755</v>
      </c>
      <c r="G63" s="1023">
        <v>46755</v>
      </c>
      <c r="H63" s="1023">
        <v>59355</v>
      </c>
      <c r="I63" s="1023">
        <v>73860.500958664546</v>
      </c>
      <c r="J63" s="1023">
        <v>71361.039290407352</v>
      </c>
      <c r="K63" s="1023">
        <v>79112.926475018408</v>
      </c>
      <c r="L63" s="1023">
        <v>84027.694551619192</v>
      </c>
      <c r="M63" s="1023">
        <v>71951.522223776221</v>
      </c>
      <c r="N63" s="1023">
        <v>69111.925043527881</v>
      </c>
      <c r="O63" s="1023">
        <v>67632.107268331412</v>
      </c>
      <c r="P63" s="1023">
        <v>65304.988019528908</v>
      </c>
      <c r="Q63" s="1023">
        <v>61571.327292059737</v>
      </c>
      <c r="R63" s="1023">
        <v>49714.218354958692</v>
      </c>
      <c r="S63" s="169">
        <f t="shared" si="88"/>
        <v>799758.24947789242</v>
      </c>
      <c r="T63" s="122">
        <f>VLOOKUP($B63,'Tech Litons'!$A:$I,9,0)</f>
        <v>255</v>
      </c>
      <c r="U63" s="179">
        <f t="shared" si="89"/>
        <v>183.35294117647058</v>
      </c>
      <c r="V63" s="179">
        <f t="shared" si="90"/>
        <v>232.76470588235293</v>
      </c>
      <c r="W63" s="179">
        <f t="shared" si="91"/>
        <v>289.64902336731194</v>
      </c>
      <c r="X63" s="179">
        <f t="shared" si="92"/>
        <v>279.84721290355827</v>
      </c>
      <c r="Y63" s="179">
        <f t="shared" si="93"/>
        <v>310.24677049026826</v>
      </c>
      <c r="Z63" s="179">
        <f t="shared" si="94"/>
        <v>329.52037079066349</v>
      </c>
      <c r="AA63" s="179">
        <f t="shared" si="95"/>
        <v>282.16283225010284</v>
      </c>
      <c r="AB63" s="179">
        <f t="shared" si="96"/>
        <v>271.02715703344268</v>
      </c>
      <c r="AC63" s="179">
        <f t="shared" si="97"/>
        <v>265.22395007188788</v>
      </c>
      <c r="AD63" s="179">
        <f t="shared" si="98"/>
        <v>256.09799223344669</v>
      </c>
      <c r="AE63" s="179">
        <f t="shared" si="99"/>
        <v>241.45618545905779</v>
      </c>
      <c r="AF63" s="179">
        <f t="shared" si="100"/>
        <v>194.9577190390537</v>
      </c>
    </row>
    <row r="64" spans="2:32">
      <c r="B64" s="122">
        <f t="shared" si="87"/>
        <v>68862496</v>
      </c>
      <c r="C64" s="122" t="str">
        <f>VLOOKUP($B64,'Tech Litons'!$A:$I,3,0)</f>
        <v>TALENTI</v>
      </c>
      <c r="D64" s="122" t="str">
        <f>VLOOKUP($B64,'Tech Litons'!$A:$I,4,0)</f>
        <v>TALENTI</v>
      </c>
      <c r="E64" s="1021" t="s">
        <v>968</v>
      </c>
      <c r="F64" s="1021">
        <v>68862496</v>
      </c>
      <c r="G64" s="1023">
        <v>38595</v>
      </c>
      <c r="H64" s="1023">
        <v>46804</v>
      </c>
      <c r="I64" s="1023">
        <v>54782.643311457759</v>
      </c>
      <c r="J64" s="1023">
        <v>56716.678566267234</v>
      </c>
      <c r="K64" s="1023">
        <v>60859.763854740195</v>
      </c>
      <c r="L64" s="1023">
        <v>66990.620552673645</v>
      </c>
      <c r="M64" s="1023">
        <v>57016.039423250833</v>
      </c>
      <c r="N64" s="1023">
        <v>48853.408237430813</v>
      </c>
      <c r="O64" s="1023">
        <v>47154.201430763736</v>
      </c>
      <c r="P64" s="1023">
        <v>44775.546294637876</v>
      </c>
      <c r="Q64" s="1023">
        <v>39828.119175049353</v>
      </c>
      <c r="R64" s="1023">
        <v>34374.433890712084</v>
      </c>
      <c r="S64" s="169">
        <f t="shared" si="88"/>
        <v>596750.45473698352</v>
      </c>
      <c r="T64" s="122">
        <f>VLOOKUP($B64,'Tech Litons'!$A:$I,9,0)</f>
        <v>255</v>
      </c>
      <c r="U64" s="179">
        <f t="shared" si="89"/>
        <v>151.35294117647058</v>
      </c>
      <c r="V64" s="179">
        <f t="shared" si="90"/>
        <v>183.54509803921567</v>
      </c>
      <c r="W64" s="179">
        <f t="shared" si="91"/>
        <v>214.83389533905003</v>
      </c>
      <c r="X64" s="179">
        <f t="shared" si="92"/>
        <v>222.41834731869503</v>
      </c>
      <c r="Y64" s="179">
        <f t="shared" si="93"/>
        <v>238.6657406068243</v>
      </c>
      <c r="Z64" s="179">
        <f t="shared" si="94"/>
        <v>262.70831589283785</v>
      </c>
      <c r="AA64" s="179">
        <f t="shared" si="95"/>
        <v>223.59231146372875</v>
      </c>
      <c r="AB64" s="179">
        <f t="shared" si="96"/>
        <v>191.58199308796398</v>
      </c>
      <c r="AC64" s="179">
        <f t="shared" si="97"/>
        <v>184.91843698338721</v>
      </c>
      <c r="AD64" s="179">
        <f t="shared" si="98"/>
        <v>175.59037762603089</v>
      </c>
      <c r="AE64" s="179">
        <f t="shared" si="99"/>
        <v>156.18870264725237</v>
      </c>
      <c r="AF64" s="179">
        <f t="shared" si="100"/>
        <v>134.80170153220425</v>
      </c>
    </row>
    <row r="65" spans="2:32">
      <c r="B65" s="122">
        <f t="shared" si="87"/>
        <v>68300738</v>
      </c>
      <c r="C65" s="122" t="str">
        <f>VLOOKUP($B65,'Tech Litons'!$A:$I,3,0)</f>
        <v>EDF</v>
      </c>
      <c r="D65" s="122" t="str">
        <f>VLOOKUP($B65,'Tech Litons'!$A:$I,4,0)</f>
        <v>EDF</v>
      </c>
      <c r="E65" s="1021" t="s">
        <v>325</v>
      </c>
      <c r="F65" s="1021">
        <v>68300738</v>
      </c>
      <c r="G65" s="1023">
        <v>34632</v>
      </c>
      <c r="H65" s="1023">
        <v>46692</v>
      </c>
      <c r="I65" s="1023">
        <v>60215.38911969238</v>
      </c>
      <c r="J65" s="1023">
        <v>58205.697888346236</v>
      </c>
      <c r="K65" s="1023">
        <v>68127.960993798464</v>
      </c>
      <c r="L65" s="1023">
        <v>78900.231467300982</v>
      </c>
      <c r="M65" s="1023">
        <v>67714.939878272286</v>
      </c>
      <c r="N65" s="1023">
        <v>57276.684462689664</v>
      </c>
      <c r="O65" s="1023">
        <v>49667.643877435126</v>
      </c>
      <c r="P65" s="1023">
        <v>44281.531558241928</v>
      </c>
      <c r="Q65" s="1023">
        <v>30890.368831573451</v>
      </c>
      <c r="R65" s="1023">
        <v>30408.450598473806</v>
      </c>
      <c r="S65" s="169">
        <f t="shared" si="88"/>
        <v>627012.89867582428</v>
      </c>
      <c r="T65" s="122">
        <f>VLOOKUP($B65,'Tech Litons'!$A:$I,9,0)</f>
        <v>132</v>
      </c>
      <c r="U65" s="179">
        <f t="shared" si="89"/>
        <v>262.36363636363637</v>
      </c>
      <c r="V65" s="179">
        <f t="shared" si="90"/>
        <v>353.72727272727275</v>
      </c>
      <c r="W65" s="179">
        <f t="shared" si="91"/>
        <v>456.17719030069986</v>
      </c>
      <c r="X65" s="179">
        <f t="shared" si="92"/>
        <v>440.95225672989574</v>
      </c>
      <c r="Y65" s="179">
        <f t="shared" si="93"/>
        <v>516.12091661968532</v>
      </c>
      <c r="Z65" s="179">
        <f t="shared" si="94"/>
        <v>597.72902626743166</v>
      </c>
      <c r="AA65" s="179">
        <f t="shared" si="95"/>
        <v>512.99196877479005</v>
      </c>
      <c r="AB65" s="179">
        <f t="shared" si="96"/>
        <v>433.91427623249746</v>
      </c>
      <c r="AC65" s="179">
        <f t="shared" si="97"/>
        <v>376.27002937450851</v>
      </c>
      <c r="AD65" s="179">
        <f t="shared" si="98"/>
        <v>335.46614816849944</v>
      </c>
      <c r="AE65" s="179">
        <f t="shared" si="99"/>
        <v>234.01794569373826</v>
      </c>
      <c r="AF65" s="179">
        <f t="shared" si="100"/>
        <v>230.36704998843791</v>
      </c>
    </row>
    <row r="66" spans="2:32">
      <c r="B66" s="122">
        <f t="shared" si="87"/>
        <v>69568964</v>
      </c>
      <c r="C66" s="122" t="str">
        <f>VLOOKUP($B66,'Tech Litons'!$A:$I,3,0)</f>
        <v>48oz</v>
      </c>
      <c r="D66" s="122" t="str">
        <f>VLOOKUP($B66,'Tech Litons'!$A:$I,4,0)</f>
        <v>48oz</v>
      </c>
      <c r="E66" s="1021" t="s">
        <v>1003</v>
      </c>
      <c r="F66" s="1021">
        <v>69568964</v>
      </c>
      <c r="G66" s="1023">
        <v>37069</v>
      </c>
      <c r="H66" s="1023">
        <v>29624</v>
      </c>
      <c r="I66" s="1023">
        <v>48695.438856727582</v>
      </c>
      <c r="J66" s="1023">
        <v>50461.537478177735</v>
      </c>
      <c r="K66" s="1023">
        <v>49163.001362828923</v>
      </c>
      <c r="L66" s="1023">
        <v>60250.881506649777</v>
      </c>
      <c r="M66" s="1023">
        <v>49135.144991140529</v>
      </c>
      <c r="N66" s="1023">
        <v>52258.063761081023</v>
      </c>
      <c r="O66" s="1023">
        <v>38944.808952259627</v>
      </c>
      <c r="P66" s="1023">
        <v>38420.518777165496</v>
      </c>
      <c r="Q66" s="1023">
        <v>41909.501154390928</v>
      </c>
      <c r="R66" s="1023">
        <v>33766.6968091655</v>
      </c>
      <c r="S66" s="169">
        <f t="shared" si="88"/>
        <v>529698.59364958713</v>
      </c>
      <c r="T66" s="122">
        <f>VLOOKUP($B66,'Tech Litons'!$A:$I,9,0)</f>
        <v>176</v>
      </c>
      <c r="U66" s="179">
        <f t="shared" si="89"/>
        <v>210.61931818181819</v>
      </c>
      <c r="V66" s="179">
        <f t="shared" si="90"/>
        <v>168.31818181818181</v>
      </c>
      <c r="W66" s="179">
        <f t="shared" si="91"/>
        <v>276.67862986777033</v>
      </c>
      <c r="X66" s="179">
        <f t="shared" si="92"/>
        <v>286.71328112600986</v>
      </c>
      <c r="Y66" s="179">
        <f t="shared" si="93"/>
        <v>279.33523501607345</v>
      </c>
      <c r="Z66" s="179">
        <f t="shared" si="94"/>
        <v>342.33455401505557</v>
      </c>
      <c r="AA66" s="179">
        <f t="shared" si="95"/>
        <v>279.17696017693481</v>
      </c>
      <c r="AB66" s="179">
        <f t="shared" si="96"/>
        <v>296.92081682432399</v>
      </c>
      <c r="AC66" s="179">
        <f t="shared" si="97"/>
        <v>221.27732359238425</v>
      </c>
      <c r="AD66" s="179">
        <f t="shared" si="98"/>
        <v>218.29840214298576</v>
      </c>
      <c r="AE66" s="179">
        <f t="shared" si="99"/>
        <v>238.12216564994844</v>
      </c>
      <c r="AF66" s="179">
        <f t="shared" si="100"/>
        <v>191.85623187025851</v>
      </c>
    </row>
    <row r="67" spans="2:32">
      <c r="B67" s="122">
        <f t="shared" si="87"/>
        <v>64325512</v>
      </c>
      <c r="C67" s="122" t="str">
        <f>VLOOKUP($B67,'Tech Litons'!$A:$I,3,0)</f>
        <v>Yasso Sticks</v>
      </c>
      <c r="D67" s="122" t="str">
        <f>VLOOKUP($B67,'Tech Litons'!$A:$I,4,0)</f>
        <v>Yasso Sticks</v>
      </c>
      <c r="E67" s="1021" t="s">
        <v>237</v>
      </c>
      <c r="F67" s="1021">
        <v>64325512</v>
      </c>
      <c r="G67" s="1023">
        <v>37618</v>
      </c>
      <c r="H67" s="1023">
        <v>42136</v>
      </c>
      <c r="I67" s="1023">
        <v>51195.898759259508</v>
      </c>
      <c r="J67" s="1023">
        <v>42113.873929884496</v>
      </c>
      <c r="K67" s="1023">
        <v>51283.102097603536</v>
      </c>
      <c r="L67" s="1023">
        <v>54540.589730160762</v>
      </c>
      <c r="M67" s="1023">
        <v>56268.461602293239</v>
      </c>
      <c r="N67" s="1023">
        <v>58675.698332809428</v>
      </c>
      <c r="O67" s="1023">
        <v>47060.285450983836</v>
      </c>
      <c r="P67" s="1023">
        <v>34715.512176492048</v>
      </c>
      <c r="Q67" s="1023">
        <v>36646.133346112249</v>
      </c>
      <c r="R67" s="1023">
        <v>30316.342791937455</v>
      </c>
      <c r="S67" s="169">
        <f t="shared" si="88"/>
        <v>542569.89821753663</v>
      </c>
      <c r="T67" s="122">
        <f>VLOOKUP($B67,'Tech Litons'!$A:$I,9,0)</f>
        <v>187</v>
      </c>
      <c r="U67" s="179">
        <f t="shared" si="89"/>
        <v>201.16577540106951</v>
      </c>
      <c r="V67" s="179">
        <f t="shared" si="90"/>
        <v>225.32620320855614</v>
      </c>
      <c r="W67" s="179">
        <f t="shared" si="91"/>
        <v>273.77485967518453</v>
      </c>
      <c r="X67" s="179">
        <f t="shared" si="92"/>
        <v>225.20788197799195</v>
      </c>
      <c r="Y67" s="179">
        <f t="shared" si="93"/>
        <v>274.24118768771945</v>
      </c>
      <c r="Z67" s="179">
        <f t="shared" si="94"/>
        <v>291.66090764791852</v>
      </c>
      <c r="AA67" s="179">
        <f t="shared" si="95"/>
        <v>300.90086418338632</v>
      </c>
      <c r="AB67" s="179">
        <f t="shared" si="96"/>
        <v>313.77378787598627</v>
      </c>
      <c r="AC67" s="179">
        <f t="shared" si="97"/>
        <v>251.65928048654459</v>
      </c>
      <c r="AD67" s="179">
        <f t="shared" si="98"/>
        <v>185.6444501416687</v>
      </c>
      <c r="AE67" s="179">
        <f t="shared" si="99"/>
        <v>195.96862751931684</v>
      </c>
      <c r="AF67" s="179">
        <f t="shared" si="100"/>
        <v>162.11948017078853</v>
      </c>
    </row>
    <row r="68" spans="2:32">
      <c r="B68" s="122">
        <f t="shared" si="87"/>
        <v>64776954</v>
      </c>
      <c r="C68" s="122" t="str">
        <f>VLOOKUP($B68,'Tech Litons'!$A:$I,3,0)</f>
        <v>pG</v>
      </c>
      <c r="D68" s="122" t="str">
        <f>VLOOKUP($B68,'Tech Litons'!$A:$I,4,0)</f>
        <v>pG</v>
      </c>
      <c r="E68" s="1021" t="s">
        <v>285</v>
      </c>
      <c r="F68" s="1021">
        <v>64776954</v>
      </c>
      <c r="G68" s="1023">
        <v>25831</v>
      </c>
      <c r="H68" s="1023">
        <v>27378</v>
      </c>
      <c r="I68" s="1023">
        <v>37698.462713689973</v>
      </c>
      <c r="J68" s="1023">
        <v>45320.005092953557</v>
      </c>
      <c r="K68" s="1023">
        <v>56567.027597722896</v>
      </c>
      <c r="L68" s="1023">
        <v>66096.820736397916</v>
      </c>
      <c r="M68" s="1023">
        <v>54307.451532609433</v>
      </c>
      <c r="N68" s="1023">
        <v>43721.264152828779</v>
      </c>
      <c r="O68" s="1023">
        <v>29924.020449238662</v>
      </c>
      <c r="P68" s="1023">
        <v>22566.666023178539</v>
      </c>
      <c r="Q68" s="1023">
        <v>17015.043632061497</v>
      </c>
      <c r="R68" s="1023">
        <v>22940.705863668569</v>
      </c>
      <c r="S68" s="169">
        <f t="shared" si="88"/>
        <v>449366.46779434982</v>
      </c>
      <c r="T68" s="122">
        <f>VLOOKUP($B68,'Tech Litons'!$A:$I,9,0)</f>
        <v>130</v>
      </c>
      <c r="U68" s="179">
        <f t="shared" si="89"/>
        <v>198.7</v>
      </c>
      <c r="V68" s="179">
        <f t="shared" si="90"/>
        <v>210.6</v>
      </c>
      <c r="W68" s="179">
        <f t="shared" si="91"/>
        <v>289.98817472069209</v>
      </c>
      <c r="X68" s="179">
        <f t="shared" si="92"/>
        <v>348.61542379195043</v>
      </c>
      <c r="Y68" s="179">
        <f t="shared" si="93"/>
        <v>435.13098152094534</v>
      </c>
      <c r="Z68" s="179">
        <f t="shared" si="94"/>
        <v>508.43708258767629</v>
      </c>
      <c r="AA68" s="179">
        <f t="shared" si="95"/>
        <v>417.74962717391873</v>
      </c>
      <c r="AB68" s="179">
        <f t="shared" si="96"/>
        <v>336.31741656022137</v>
      </c>
      <c r="AC68" s="179">
        <f t="shared" si="97"/>
        <v>230.18477268645125</v>
      </c>
      <c r="AD68" s="179">
        <f t="shared" si="98"/>
        <v>173.58973863983491</v>
      </c>
      <c r="AE68" s="179">
        <f t="shared" si="99"/>
        <v>130.88495101585767</v>
      </c>
      <c r="AF68" s="179">
        <f t="shared" si="100"/>
        <v>176.46696818206593</v>
      </c>
    </row>
    <row r="69" spans="2:32">
      <c r="B69" s="122">
        <f t="shared" si="87"/>
        <v>68821734</v>
      </c>
      <c r="C69" s="122" t="str">
        <f>VLOOKUP($B69,'Tech Litons'!$A:$I,3,0)</f>
        <v>48oz</v>
      </c>
      <c r="D69" s="122" t="str">
        <f>VLOOKUP($B69,'Tech Litons'!$A:$I,4,0)</f>
        <v>48oz</v>
      </c>
      <c r="E69" s="1021" t="s">
        <v>370</v>
      </c>
      <c r="F69" s="1021">
        <v>68821734</v>
      </c>
      <c r="G69" s="1023">
        <v>47462</v>
      </c>
      <c r="H69" s="1023">
        <v>39611</v>
      </c>
      <c r="I69" s="1023">
        <v>57611.398039406296</v>
      </c>
      <c r="J69" s="1023">
        <v>49589.462073260751</v>
      </c>
      <c r="K69" s="1023">
        <v>57084.81236076435</v>
      </c>
      <c r="L69" s="1023">
        <v>65884.281049815341</v>
      </c>
      <c r="M69" s="1023">
        <v>52322.76738356486</v>
      </c>
      <c r="N69" s="1023">
        <v>50898.652530172178</v>
      </c>
      <c r="O69" s="1023">
        <v>41931.752121785459</v>
      </c>
      <c r="P69" s="1023">
        <v>43839.057711696012</v>
      </c>
      <c r="Q69" s="1023">
        <v>51472.453724019935</v>
      </c>
      <c r="R69" s="1023">
        <v>42190.571290641885</v>
      </c>
      <c r="S69" s="169">
        <f t="shared" si="88"/>
        <v>599898.20828512718</v>
      </c>
      <c r="T69" s="122">
        <f>VLOOKUP($B69,'Tech Litons'!$A:$I,9,0)</f>
        <v>176</v>
      </c>
      <c r="U69" s="179">
        <f t="shared" si="89"/>
        <v>269.67045454545456</v>
      </c>
      <c r="V69" s="179">
        <f t="shared" si="90"/>
        <v>225.0625</v>
      </c>
      <c r="W69" s="179">
        <f t="shared" si="91"/>
        <v>327.33748886026302</v>
      </c>
      <c r="X69" s="179">
        <f t="shared" si="92"/>
        <v>281.75830723443607</v>
      </c>
      <c r="Y69" s="179">
        <f t="shared" si="93"/>
        <v>324.34552477707018</v>
      </c>
      <c r="Z69" s="179">
        <f t="shared" si="94"/>
        <v>374.34250596485987</v>
      </c>
      <c r="AA69" s="179">
        <f t="shared" si="95"/>
        <v>297.28845104298216</v>
      </c>
      <c r="AB69" s="179">
        <f t="shared" si="96"/>
        <v>289.19688937597829</v>
      </c>
      <c r="AC69" s="179">
        <f t="shared" si="97"/>
        <v>238.24859160105373</v>
      </c>
      <c r="AD69" s="179">
        <f t="shared" si="98"/>
        <v>249.08555518009098</v>
      </c>
      <c r="AE69" s="179">
        <f t="shared" si="99"/>
        <v>292.45712343193145</v>
      </c>
      <c r="AF69" s="179">
        <f t="shared" si="100"/>
        <v>239.71915506046525</v>
      </c>
    </row>
    <row r="70" spans="2:32">
      <c r="B70" s="122">
        <f t="shared" si="87"/>
        <v>68649095</v>
      </c>
      <c r="C70" s="122" t="str">
        <f>VLOOKUP($B70,'Tech Litons'!$A:$I,3,0)</f>
        <v>Topped</v>
      </c>
      <c r="D70" s="122" t="str">
        <f>VLOOKUP($B70,'Tech Litons'!$A:$I,4,0)</f>
        <v>SP1</v>
      </c>
      <c r="E70" s="1021" t="s">
        <v>294</v>
      </c>
      <c r="F70" s="1021">
        <v>68649095</v>
      </c>
      <c r="G70" s="1023">
        <v>44278</v>
      </c>
      <c r="H70" s="1023">
        <v>72271</v>
      </c>
      <c r="I70" s="1023">
        <v>79282.066007654983</v>
      </c>
      <c r="J70" s="1023">
        <v>67283.513345753861</v>
      </c>
      <c r="K70" s="1023">
        <v>66886.133198651063</v>
      </c>
      <c r="L70" s="1023">
        <v>74627.970739339522</v>
      </c>
      <c r="M70" s="1023">
        <v>65003.281846062833</v>
      </c>
      <c r="N70" s="1023">
        <v>66983.261418738985</v>
      </c>
      <c r="O70" s="1023">
        <v>58546.222869024525</v>
      </c>
      <c r="P70" s="1023">
        <v>66662.51398634394</v>
      </c>
      <c r="Q70" s="1023">
        <v>57664.860846100368</v>
      </c>
      <c r="R70" s="1023">
        <v>48829.632339931217</v>
      </c>
      <c r="S70" s="169">
        <f t="shared" si="88"/>
        <v>768318.45659760141</v>
      </c>
      <c r="T70" s="122">
        <f>VLOOKUP($B70,'Tech Litons'!$A:$I,9,0)</f>
        <v>240</v>
      </c>
      <c r="U70" s="179">
        <f t="shared" si="89"/>
        <v>184.49166666666667</v>
      </c>
      <c r="V70" s="179">
        <f t="shared" si="90"/>
        <v>301.12916666666666</v>
      </c>
      <c r="W70" s="179">
        <f t="shared" si="91"/>
        <v>330.34194169856244</v>
      </c>
      <c r="X70" s="179">
        <f t="shared" si="92"/>
        <v>280.34797227397445</v>
      </c>
      <c r="Y70" s="179">
        <f t="shared" si="93"/>
        <v>278.69222166104612</v>
      </c>
      <c r="Z70" s="179">
        <f t="shared" si="94"/>
        <v>310.94987808058136</v>
      </c>
      <c r="AA70" s="179">
        <f t="shared" si="95"/>
        <v>270.84700769192847</v>
      </c>
      <c r="AB70" s="179">
        <f t="shared" si="96"/>
        <v>279.0969225780791</v>
      </c>
      <c r="AC70" s="179">
        <f t="shared" si="97"/>
        <v>243.94259528760219</v>
      </c>
      <c r="AD70" s="179">
        <f t="shared" si="98"/>
        <v>277.76047494309972</v>
      </c>
      <c r="AE70" s="179">
        <f t="shared" si="99"/>
        <v>240.27025352541821</v>
      </c>
      <c r="AF70" s="179">
        <f t="shared" si="100"/>
        <v>203.45680141638007</v>
      </c>
    </row>
    <row r="71" spans="2:32">
      <c r="B71" s="122">
        <f t="shared" si="87"/>
        <v>69568829</v>
      </c>
      <c r="C71" s="122" t="str">
        <f>VLOOKUP($B71,'Tech Litons'!$A:$I,3,0)</f>
        <v>48oz</v>
      </c>
      <c r="D71" s="122" t="str">
        <f>VLOOKUP($B71,'Tech Litons'!$A:$I,4,0)</f>
        <v>48oz</v>
      </c>
      <c r="E71" s="1021" t="s">
        <v>487</v>
      </c>
      <c r="F71" s="1021">
        <v>69568829</v>
      </c>
      <c r="G71" s="1024">
        <v>34576</v>
      </c>
      <c r="H71" s="1023">
        <v>29419</v>
      </c>
      <c r="I71" s="1023">
        <v>43657.832979259721</v>
      </c>
      <c r="J71" s="1023">
        <v>43962.730674359853</v>
      </c>
      <c r="K71" s="1023">
        <v>41893.058080874347</v>
      </c>
      <c r="L71" s="1023">
        <v>47899.826475748072</v>
      </c>
      <c r="M71" s="1023">
        <v>44756.214475982539</v>
      </c>
      <c r="N71" s="1023">
        <v>43837.858090024805</v>
      </c>
      <c r="O71" s="1023">
        <v>36409.419099623105</v>
      </c>
      <c r="P71" s="1023">
        <v>34582.987950729512</v>
      </c>
      <c r="Q71" s="1023">
        <v>38240.790020893422</v>
      </c>
      <c r="R71" s="1023">
        <v>28806.401983166747</v>
      </c>
      <c r="S71" s="169">
        <f t="shared" si="88"/>
        <v>468042.11983066215</v>
      </c>
      <c r="T71" s="122">
        <f>VLOOKUP($B71,'Tech Litons'!$A:$I,9,0)</f>
        <v>176</v>
      </c>
      <c r="U71" s="179">
        <f t="shared" si="89"/>
        <v>196.45454545454547</v>
      </c>
      <c r="V71" s="179">
        <f t="shared" si="90"/>
        <v>167.15340909090909</v>
      </c>
      <c r="W71" s="179">
        <f t="shared" si="91"/>
        <v>248.05586920033932</v>
      </c>
      <c r="X71" s="179">
        <f t="shared" si="92"/>
        <v>249.78824246795372</v>
      </c>
      <c r="Y71" s="179">
        <f t="shared" si="93"/>
        <v>238.02873909587697</v>
      </c>
      <c r="Z71" s="179">
        <f t="shared" si="94"/>
        <v>272.1581049758413</v>
      </c>
      <c r="AA71" s="179">
        <f t="shared" si="95"/>
        <v>254.29667315899169</v>
      </c>
      <c r="AB71" s="179">
        <f t="shared" si="96"/>
        <v>249.07873914786822</v>
      </c>
      <c r="AC71" s="179">
        <f t="shared" si="97"/>
        <v>206.87169942967674</v>
      </c>
      <c r="AD71" s="179">
        <f t="shared" si="98"/>
        <v>196.49424972005406</v>
      </c>
      <c r="AE71" s="179">
        <f t="shared" si="99"/>
        <v>217.27721602780355</v>
      </c>
      <c r="AF71" s="179">
        <f t="shared" si="100"/>
        <v>163.67273854072016</v>
      </c>
    </row>
    <row r="72" spans="2:32">
      <c r="B72" s="122">
        <f t="shared" si="87"/>
        <v>64325372</v>
      </c>
      <c r="C72" s="122" t="str">
        <f>VLOOKUP($B72,'Tech Litons'!$A:$I,3,0)</f>
        <v>Yasso Sticks</v>
      </c>
      <c r="D72" s="122" t="str">
        <f>VLOOKUP($B72,'Tech Litons'!$A:$I,4,0)</f>
        <v>Yasso Sticks</v>
      </c>
      <c r="E72" s="1021" t="s">
        <v>236</v>
      </c>
      <c r="F72" s="1021">
        <v>64325372</v>
      </c>
      <c r="G72" s="1023">
        <v>36967</v>
      </c>
      <c r="H72" s="1023">
        <v>41631</v>
      </c>
      <c r="I72" s="1023">
        <v>51460.933947345147</v>
      </c>
      <c r="J72" s="1023">
        <v>42544.543181988171</v>
      </c>
      <c r="K72" s="1023">
        <v>50230.727643327256</v>
      </c>
      <c r="L72" s="1023">
        <v>60484.153446789656</v>
      </c>
      <c r="M72" s="1023">
        <v>57262.609975830084</v>
      </c>
      <c r="N72" s="1023">
        <v>56170.727257088831</v>
      </c>
      <c r="O72" s="1023">
        <v>44927.851640354791</v>
      </c>
      <c r="P72" s="1023">
        <v>38922.991429512222</v>
      </c>
      <c r="Q72" s="1023">
        <v>36686.236995163308</v>
      </c>
      <c r="R72" s="1023">
        <v>31809.372950418205</v>
      </c>
      <c r="S72" s="169">
        <f t="shared" si="88"/>
        <v>549098.14846781758</v>
      </c>
      <c r="T72" s="122">
        <f>VLOOKUP($B72,'Tech Litons'!$A:$I,9,0)</f>
        <v>187</v>
      </c>
      <c r="U72" s="179">
        <f t="shared" si="89"/>
        <v>197.68449197860963</v>
      </c>
      <c r="V72" s="179">
        <f t="shared" si="90"/>
        <v>222.62566844919786</v>
      </c>
      <c r="W72" s="179">
        <f t="shared" si="91"/>
        <v>275.19216014623072</v>
      </c>
      <c r="X72" s="179">
        <f t="shared" si="92"/>
        <v>227.5109261068886</v>
      </c>
      <c r="Y72" s="179">
        <f t="shared" si="93"/>
        <v>268.61351680923667</v>
      </c>
      <c r="Z72" s="179">
        <f t="shared" si="94"/>
        <v>323.44467083844734</v>
      </c>
      <c r="AA72" s="179">
        <f t="shared" si="95"/>
        <v>306.21716564615019</v>
      </c>
      <c r="AB72" s="179">
        <f t="shared" si="96"/>
        <v>300.3782206261435</v>
      </c>
      <c r="AC72" s="179">
        <f t="shared" si="97"/>
        <v>240.25589112489192</v>
      </c>
      <c r="AD72" s="179">
        <f t="shared" si="98"/>
        <v>208.14433919525251</v>
      </c>
      <c r="AE72" s="179">
        <f t="shared" si="99"/>
        <v>196.18308553563267</v>
      </c>
      <c r="AF72" s="179">
        <f t="shared" si="100"/>
        <v>170.10359866533798</v>
      </c>
    </row>
    <row r="73" spans="2:32">
      <c r="B73" s="122">
        <f t="shared" si="87"/>
        <v>64341106</v>
      </c>
      <c r="C73" s="122" t="str">
        <f>VLOOKUP($B73,'Tech Litons'!$A:$I,3,0)</f>
        <v>PG</v>
      </c>
      <c r="D73" s="122" t="str">
        <f>VLOOKUP($B73,'Tech Litons'!$A:$I,4,0)</f>
        <v>PG</v>
      </c>
      <c r="E73" s="1021" t="s">
        <v>293</v>
      </c>
      <c r="F73" s="1021">
        <v>64341106</v>
      </c>
      <c r="G73" s="1024">
        <v>36139</v>
      </c>
      <c r="H73" s="1023">
        <v>36075</v>
      </c>
      <c r="I73" s="1023">
        <v>50166.583668545616</v>
      </c>
      <c r="J73" s="1023">
        <v>52911.268611762396</v>
      </c>
      <c r="K73" s="1023">
        <v>78405.379452949885</v>
      </c>
      <c r="L73" s="1023">
        <v>85816.907527293195</v>
      </c>
      <c r="M73" s="1023">
        <v>67084.743991109528</v>
      </c>
      <c r="N73" s="1023">
        <v>45433.574983862913</v>
      </c>
      <c r="O73" s="1023">
        <v>35229.936493964196</v>
      </c>
      <c r="P73" s="1023">
        <v>28749.123323892483</v>
      </c>
      <c r="Q73" s="1023">
        <v>29326.911558858956</v>
      </c>
      <c r="R73" s="1023">
        <v>29177.054348067122</v>
      </c>
      <c r="S73" s="169">
        <f t="shared" si="88"/>
        <v>574515.48396030627</v>
      </c>
      <c r="T73" s="122">
        <f>VLOOKUP($B73,'Tech Litons'!$A:$I,9,0)</f>
        <v>130</v>
      </c>
      <c r="U73" s="179">
        <f t="shared" si="89"/>
        <v>277.99230769230769</v>
      </c>
      <c r="V73" s="179">
        <f t="shared" si="90"/>
        <v>277.5</v>
      </c>
      <c r="W73" s="179">
        <f t="shared" si="91"/>
        <v>385.8967974503509</v>
      </c>
      <c r="X73" s="179">
        <f t="shared" si="92"/>
        <v>407.00975855201841</v>
      </c>
      <c r="Y73" s="179">
        <f t="shared" si="93"/>
        <v>603.11830348422984</v>
      </c>
      <c r="Z73" s="179">
        <f t="shared" si="94"/>
        <v>660.13005790225532</v>
      </c>
      <c r="AA73" s="179">
        <f t="shared" si="95"/>
        <v>516.03649223930404</v>
      </c>
      <c r="AB73" s="179">
        <f t="shared" si="96"/>
        <v>349.48903833740701</v>
      </c>
      <c r="AC73" s="179">
        <f t="shared" si="97"/>
        <v>270.9995114920323</v>
      </c>
      <c r="AD73" s="179">
        <f t="shared" si="98"/>
        <v>221.14710249148064</v>
      </c>
      <c r="AE73" s="179">
        <f t="shared" si="99"/>
        <v>225.59162737583813</v>
      </c>
      <c r="AF73" s="179">
        <f t="shared" si="100"/>
        <v>224.43887960051632</v>
      </c>
    </row>
    <row r="74" spans="2:32">
      <c r="B74" s="122">
        <f t="shared" ref="B74:B80" si="101">F74</f>
        <v>84164936</v>
      </c>
      <c r="C74" s="122" t="str">
        <f>VLOOKUP($B74,'Tech Litons'!$A:$I,3,0)</f>
        <v>BJ PTS</v>
      </c>
      <c r="D74" s="122" t="str">
        <f>VLOOKUP($B74,'Tech Litons'!$A:$I,4,0)</f>
        <v>BJ PTS</v>
      </c>
      <c r="E74" s="1021" t="s">
        <v>420</v>
      </c>
      <c r="F74" s="1021">
        <v>84164936</v>
      </c>
      <c r="G74" s="1023">
        <v>32956</v>
      </c>
      <c r="H74" s="1023">
        <v>40214</v>
      </c>
      <c r="I74" s="1023">
        <v>50802.842657329282</v>
      </c>
      <c r="J74" s="1023">
        <v>43137.573668231307</v>
      </c>
      <c r="K74" s="1023">
        <v>45102.008315940628</v>
      </c>
      <c r="L74" s="1023">
        <v>48954.724210633198</v>
      </c>
      <c r="M74" s="1023">
        <v>41232.431252282244</v>
      </c>
      <c r="N74" s="1023">
        <v>42114.635630636352</v>
      </c>
      <c r="O74" s="1023">
        <v>34860.366156014417</v>
      </c>
      <c r="P74" s="1023">
        <v>33963.475984613026</v>
      </c>
      <c r="Q74" s="1023">
        <v>31528.457457307082</v>
      </c>
      <c r="R74" s="1023">
        <v>28922.921168838358</v>
      </c>
      <c r="S74" s="169">
        <f t="shared" si="88"/>
        <v>473789.43650182587</v>
      </c>
      <c r="T74" s="122">
        <f>VLOOKUP($B74,'Tech Litons'!$A:$I,9,0)</f>
        <v>240</v>
      </c>
      <c r="U74" s="179">
        <f t="shared" si="89"/>
        <v>137.31666666666666</v>
      </c>
      <c r="V74" s="179">
        <f t="shared" si="90"/>
        <v>167.55833333333334</v>
      </c>
      <c r="W74" s="179">
        <f t="shared" si="91"/>
        <v>211.67851107220534</v>
      </c>
      <c r="X74" s="179">
        <f t="shared" si="92"/>
        <v>179.7398902842971</v>
      </c>
      <c r="Y74" s="179">
        <f t="shared" si="93"/>
        <v>187.9250346497526</v>
      </c>
      <c r="Z74" s="179">
        <f t="shared" si="94"/>
        <v>203.978017544305</v>
      </c>
      <c r="AA74" s="179">
        <f t="shared" si="95"/>
        <v>171.80179688450934</v>
      </c>
      <c r="AB74" s="179">
        <f t="shared" si="96"/>
        <v>175.4776484609848</v>
      </c>
      <c r="AC74" s="179">
        <f t="shared" si="97"/>
        <v>145.25152565006007</v>
      </c>
      <c r="AD74" s="179">
        <f t="shared" si="98"/>
        <v>141.51448326922093</v>
      </c>
      <c r="AE74" s="179">
        <f t="shared" si="99"/>
        <v>131.36857273877951</v>
      </c>
      <c r="AF74" s="179">
        <f t="shared" si="100"/>
        <v>120.5121715368265</v>
      </c>
    </row>
    <row r="75" spans="2:32">
      <c r="B75" s="122">
        <f t="shared" si="101"/>
        <v>68730257</v>
      </c>
      <c r="C75" s="122" t="str">
        <f>VLOOKUP($B75,'Tech Litons'!$A:$I,3,0)</f>
        <v>TALENTI</v>
      </c>
      <c r="D75" s="122" t="str">
        <f>VLOOKUP($B75,'Tech Litons'!$A:$I,4,0)</f>
        <v>TALENTI</v>
      </c>
      <c r="E75" s="1021" t="s">
        <v>525</v>
      </c>
      <c r="F75" s="1021">
        <v>68730257</v>
      </c>
      <c r="G75" s="1023">
        <v>30105</v>
      </c>
      <c r="H75" s="1023">
        <v>33690</v>
      </c>
      <c r="I75" s="1023">
        <v>42628.006307259719</v>
      </c>
      <c r="J75" s="1023">
        <v>39147.350348198306</v>
      </c>
      <c r="K75" s="1023">
        <v>45476.48324698014</v>
      </c>
      <c r="L75" s="1023">
        <v>51153.121154628527</v>
      </c>
      <c r="M75" s="1023">
        <v>39992.199470664498</v>
      </c>
      <c r="N75" s="1023">
        <v>34526.547939430689</v>
      </c>
      <c r="O75" s="1023">
        <v>35100.234552828886</v>
      </c>
      <c r="P75" s="1023">
        <v>33246.187219577288</v>
      </c>
      <c r="Q75" s="1023">
        <v>23517.658623085503</v>
      </c>
      <c r="R75" s="1023">
        <v>25555.181129294684</v>
      </c>
      <c r="S75" s="169">
        <f t="shared" si="88"/>
        <v>434137.96999194822</v>
      </c>
      <c r="T75" s="122">
        <f>VLOOKUP($B75,'Tech Litons'!$A:$I,9,0)</f>
        <v>255</v>
      </c>
      <c r="U75" s="179">
        <f t="shared" si="89"/>
        <v>118.05882352941177</v>
      </c>
      <c r="V75" s="179">
        <f t="shared" si="90"/>
        <v>132.11764705882354</v>
      </c>
      <c r="W75" s="179">
        <f t="shared" si="91"/>
        <v>167.16865218533223</v>
      </c>
      <c r="X75" s="179">
        <f t="shared" si="92"/>
        <v>153.51902097332669</v>
      </c>
      <c r="Y75" s="179">
        <f t="shared" si="93"/>
        <v>178.3391499881574</v>
      </c>
      <c r="Z75" s="179">
        <f t="shared" si="94"/>
        <v>200.6004751161903</v>
      </c>
      <c r="AA75" s="179">
        <f t="shared" si="95"/>
        <v>156.8321547869196</v>
      </c>
      <c r="AB75" s="179">
        <f t="shared" si="96"/>
        <v>135.39822721345368</v>
      </c>
      <c r="AC75" s="179">
        <f t="shared" si="97"/>
        <v>137.64797863854466</v>
      </c>
      <c r="AD75" s="179">
        <f t="shared" si="98"/>
        <v>130.37720478265604</v>
      </c>
      <c r="AE75" s="179">
        <f t="shared" si="99"/>
        <v>92.226112247394127</v>
      </c>
      <c r="AF75" s="179">
        <f t="shared" si="100"/>
        <v>100.21639658546935</v>
      </c>
    </row>
    <row r="76" spans="2:32">
      <c r="B76" s="122">
        <f t="shared" si="101"/>
        <v>68862392</v>
      </c>
      <c r="C76" s="122" t="str">
        <f>VLOOKUP($B76,'Tech Litons'!$A:$I,3,0)</f>
        <v>TALENTI</v>
      </c>
      <c r="D76" s="122" t="str">
        <f>VLOOKUP($B76,'Tech Litons'!$A:$I,4,0)</f>
        <v>TALENTI</v>
      </c>
      <c r="E76" s="1021" t="s">
        <v>973</v>
      </c>
      <c r="F76" s="1021">
        <v>68862392</v>
      </c>
      <c r="G76" s="1023">
        <v>33090</v>
      </c>
      <c r="H76" s="1023">
        <v>39030</v>
      </c>
      <c r="I76" s="1023">
        <v>44166.44935333926</v>
      </c>
      <c r="J76" s="1023">
        <v>43142.07898309968</v>
      </c>
      <c r="K76" s="1023">
        <v>46610.617898284181</v>
      </c>
      <c r="L76" s="1023">
        <v>53499.363785429552</v>
      </c>
      <c r="M76" s="1023">
        <v>42527.849513441543</v>
      </c>
      <c r="N76" s="1023">
        <v>38884.832858890535</v>
      </c>
      <c r="O76" s="1023">
        <v>38375.81113157294</v>
      </c>
      <c r="P76" s="1023">
        <v>35352.090696116597</v>
      </c>
      <c r="Q76" s="1023">
        <v>28719.024343393594</v>
      </c>
      <c r="R76" s="1023">
        <v>23412.486377468747</v>
      </c>
      <c r="S76" s="169">
        <f t="shared" si="88"/>
        <v>466810.60494103661</v>
      </c>
      <c r="T76" s="122">
        <f>VLOOKUP($B76,'Tech Litons'!$A:$I,9,0)</f>
        <v>255</v>
      </c>
      <c r="U76" s="179">
        <f t="shared" si="89"/>
        <v>129.76470588235293</v>
      </c>
      <c r="V76" s="179">
        <f t="shared" si="90"/>
        <v>153.05882352941177</v>
      </c>
      <c r="W76" s="179">
        <f t="shared" si="91"/>
        <v>173.20176216995787</v>
      </c>
      <c r="X76" s="179">
        <f t="shared" si="92"/>
        <v>169.18462346313601</v>
      </c>
      <c r="Y76" s="179">
        <f t="shared" si="93"/>
        <v>182.7867368560164</v>
      </c>
      <c r="Z76" s="179">
        <f t="shared" si="94"/>
        <v>209.80142660952765</v>
      </c>
      <c r="AA76" s="179">
        <f t="shared" si="95"/>
        <v>166.77588044486879</v>
      </c>
      <c r="AB76" s="179">
        <f t="shared" si="96"/>
        <v>152.48954062310014</v>
      </c>
      <c r="AC76" s="179">
        <f t="shared" si="97"/>
        <v>150.49337698656055</v>
      </c>
      <c r="AD76" s="179">
        <f t="shared" si="98"/>
        <v>138.63564978869255</v>
      </c>
      <c r="AE76" s="179">
        <f t="shared" si="99"/>
        <v>112.62362487605331</v>
      </c>
      <c r="AF76" s="179">
        <f t="shared" si="100"/>
        <v>91.813672068504886</v>
      </c>
    </row>
    <row r="77" spans="2:32">
      <c r="B77" s="122">
        <f t="shared" si="101"/>
        <v>69591667</v>
      </c>
      <c r="C77" s="122" t="str">
        <f>VLOOKUP($B77,'Tech Litons'!$A:$I,3,0)</f>
        <v>MG Sticks</v>
      </c>
      <c r="D77" s="122" t="str">
        <f>VLOOKUP($B77,'Tech Litons'!$A:$I,4,0)</f>
        <v>MG Sticks</v>
      </c>
      <c r="E77" s="1021" t="s">
        <v>509</v>
      </c>
      <c r="F77" s="1021">
        <v>69591667</v>
      </c>
      <c r="G77" s="1023">
        <v>40326</v>
      </c>
      <c r="H77" s="1023">
        <v>34866</v>
      </c>
      <c r="I77" s="1023">
        <v>39162.98066721276</v>
      </c>
      <c r="J77" s="1023">
        <v>42880.406380006098</v>
      </c>
      <c r="K77" s="1023">
        <v>47228.608458455914</v>
      </c>
      <c r="L77" s="1023">
        <v>46354.697394132862</v>
      </c>
      <c r="M77" s="1023">
        <v>51665.951273554783</v>
      </c>
      <c r="N77" s="1023">
        <v>44035.427007746643</v>
      </c>
      <c r="O77" s="1023">
        <v>47425.564859260543</v>
      </c>
      <c r="P77" s="1023">
        <v>35516.04223515917</v>
      </c>
      <c r="Q77" s="1023">
        <v>26939.488436502088</v>
      </c>
      <c r="R77" s="1023">
        <v>26376.773094007527</v>
      </c>
      <c r="S77" s="169">
        <f t="shared" si="88"/>
        <v>482777.93980603846</v>
      </c>
      <c r="T77" s="122">
        <f>VLOOKUP($B77,'Tech Litons'!$A:$I,9,0)</f>
        <v>143</v>
      </c>
      <c r="U77" s="179">
        <f t="shared" si="89"/>
        <v>282</v>
      </c>
      <c r="V77" s="179">
        <f t="shared" si="90"/>
        <v>243.81818181818181</v>
      </c>
      <c r="W77" s="179">
        <f t="shared" si="91"/>
        <v>273.86699767281652</v>
      </c>
      <c r="X77" s="179">
        <f t="shared" si="92"/>
        <v>299.86298167836429</v>
      </c>
      <c r="Y77" s="179">
        <f t="shared" si="93"/>
        <v>330.26998921997142</v>
      </c>
      <c r="Z77" s="179">
        <f t="shared" si="94"/>
        <v>324.15872303589413</v>
      </c>
      <c r="AA77" s="179">
        <f t="shared" si="95"/>
        <v>361.30035855632718</v>
      </c>
      <c r="AB77" s="179">
        <f t="shared" si="96"/>
        <v>307.94004900522128</v>
      </c>
      <c r="AC77" s="179">
        <f t="shared" si="97"/>
        <v>331.64730670811571</v>
      </c>
      <c r="AD77" s="179">
        <f t="shared" si="98"/>
        <v>248.3639317143998</v>
      </c>
      <c r="AE77" s="179">
        <f t="shared" si="99"/>
        <v>188.38803102449012</v>
      </c>
      <c r="AF77" s="179">
        <f t="shared" si="100"/>
        <v>184.45295869935333</v>
      </c>
    </row>
    <row r="78" spans="2:32">
      <c r="B78" s="122">
        <f t="shared" si="101"/>
        <v>64330596</v>
      </c>
      <c r="C78" s="122" t="str">
        <f>VLOOKUP($B78,'Tech Litons'!$A:$I,3,0)</f>
        <v>MG Sticks</v>
      </c>
      <c r="D78" s="122" t="str">
        <f>VLOOKUP($B78,'Tech Litons'!$A:$I,4,0)</f>
        <v>MG Sticks</v>
      </c>
      <c r="E78" s="1021" t="s">
        <v>558</v>
      </c>
      <c r="F78" s="1021">
        <v>64330596</v>
      </c>
      <c r="G78" s="1023">
        <v>28165</v>
      </c>
      <c r="H78" s="1023">
        <v>41319</v>
      </c>
      <c r="I78" s="1023">
        <v>38936.963643172166</v>
      </c>
      <c r="J78" s="1023">
        <v>35746.724791563596</v>
      </c>
      <c r="K78" s="1023">
        <v>42567.212711403787</v>
      </c>
      <c r="L78" s="1023">
        <v>46976.026184155933</v>
      </c>
      <c r="M78" s="1023">
        <v>34878.622898933572</v>
      </c>
      <c r="N78" s="1023">
        <v>43418.284489298923</v>
      </c>
      <c r="O78" s="1023">
        <v>33205.508060894143</v>
      </c>
      <c r="P78" s="1023">
        <v>29901.301392704583</v>
      </c>
      <c r="Q78" s="1023">
        <v>29141.60503650083</v>
      </c>
      <c r="R78" s="1023">
        <v>25135.042760879485</v>
      </c>
      <c r="S78" s="169">
        <f t="shared" si="88"/>
        <v>429391.29196950706</v>
      </c>
      <c r="T78" s="122">
        <f>VLOOKUP($B78,'Tech Litons'!$A:$I,9,0)</f>
        <v>176</v>
      </c>
      <c r="U78" s="179">
        <f t="shared" si="89"/>
        <v>160.02840909090909</v>
      </c>
      <c r="V78" s="179">
        <f t="shared" si="90"/>
        <v>234.76704545454547</v>
      </c>
      <c r="W78" s="179">
        <f t="shared" si="91"/>
        <v>221.23274797256911</v>
      </c>
      <c r="X78" s="179">
        <f t="shared" si="92"/>
        <v>203.1063908611568</v>
      </c>
      <c r="Y78" s="179">
        <f t="shared" si="93"/>
        <v>241.85916313297605</v>
      </c>
      <c r="Z78" s="179">
        <f t="shared" si="94"/>
        <v>266.90923968270414</v>
      </c>
      <c r="AA78" s="179">
        <f t="shared" si="95"/>
        <v>198.17399374394074</v>
      </c>
      <c r="AB78" s="179">
        <f t="shared" si="96"/>
        <v>246.69479823465298</v>
      </c>
      <c r="AC78" s="179">
        <f t="shared" si="97"/>
        <v>188.66765943689853</v>
      </c>
      <c r="AD78" s="179">
        <f t="shared" si="98"/>
        <v>169.89375791309422</v>
      </c>
      <c r="AE78" s="179">
        <f t="shared" si="99"/>
        <v>165.57730134375473</v>
      </c>
      <c r="AF78" s="179">
        <f t="shared" si="100"/>
        <v>142.81274295954253</v>
      </c>
    </row>
    <row r="79" spans="2:32">
      <c r="B79" s="122">
        <f t="shared" si="101"/>
        <v>68730234</v>
      </c>
      <c r="C79" s="122" t="str">
        <f>VLOOKUP($B79,'Tech Litons'!$A:$I,3,0)</f>
        <v>TALENTI</v>
      </c>
      <c r="D79" s="122" t="str">
        <f>VLOOKUP($B79,'Tech Litons'!$A:$I,4,0)</f>
        <v>TALENTI</v>
      </c>
      <c r="E79" s="1021" t="s">
        <v>411</v>
      </c>
      <c r="F79" s="1021">
        <v>68730234</v>
      </c>
      <c r="G79" s="1023">
        <v>30253</v>
      </c>
      <c r="H79" s="1023">
        <v>39516</v>
      </c>
      <c r="I79" s="1023">
        <v>42893.471364394863</v>
      </c>
      <c r="J79" s="1023">
        <v>41607.877518751142</v>
      </c>
      <c r="K79" s="1023">
        <v>45783.628468851712</v>
      </c>
      <c r="L79" s="1023">
        <v>51376.441431901672</v>
      </c>
      <c r="M79" s="1023">
        <v>42121.037817598772</v>
      </c>
      <c r="N79" s="1023">
        <v>37081.283416748134</v>
      </c>
      <c r="O79" s="1023">
        <v>36987.990787513918</v>
      </c>
      <c r="P79" s="1023">
        <v>35612.567029577418</v>
      </c>
      <c r="Q79" s="1023">
        <v>30148.30852281925</v>
      </c>
      <c r="R79" s="1023">
        <v>25997.362646997721</v>
      </c>
      <c r="S79" s="169">
        <f t="shared" si="88"/>
        <v>459378.96900515468</v>
      </c>
      <c r="T79" s="122">
        <f>VLOOKUP($B79,'Tech Litons'!$A:$I,9,0)</f>
        <v>255</v>
      </c>
      <c r="U79" s="179">
        <f t="shared" si="89"/>
        <v>118.63921568627451</v>
      </c>
      <c r="V79" s="179">
        <f t="shared" si="90"/>
        <v>154.96470588235294</v>
      </c>
      <c r="W79" s="179">
        <f t="shared" si="91"/>
        <v>168.20969162507791</v>
      </c>
      <c r="X79" s="179">
        <f t="shared" si="92"/>
        <v>163.16814713235743</v>
      </c>
      <c r="Y79" s="179">
        <f t="shared" si="93"/>
        <v>179.54364105432043</v>
      </c>
      <c r="Z79" s="179">
        <f t="shared" si="94"/>
        <v>201.47624090941832</v>
      </c>
      <c r="AA79" s="179">
        <f t="shared" si="95"/>
        <v>165.18054046117166</v>
      </c>
      <c r="AB79" s="179">
        <f t="shared" si="96"/>
        <v>145.41679771273778</v>
      </c>
      <c r="AC79" s="179">
        <f t="shared" si="97"/>
        <v>145.05094426476046</v>
      </c>
      <c r="AD79" s="179">
        <f t="shared" si="98"/>
        <v>139.65712560618596</v>
      </c>
      <c r="AE79" s="179">
        <f t="shared" si="99"/>
        <v>118.22866087380098</v>
      </c>
      <c r="AF79" s="179">
        <f t="shared" si="100"/>
        <v>101.95044175293224</v>
      </c>
    </row>
    <row r="80" spans="2:32">
      <c r="B80" s="122">
        <f t="shared" si="101"/>
        <v>69999267</v>
      </c>
      <c r="C80" s="122" t="str">
        <f>VLOOKUP($B80,'Tech Litons'!$A:$I,3,0)</f>
        <v>BJ PTS</v>
      </c>
      <c r="D80" s="122" t="str">
        <f>VLOOKUP($B80,'Tech Litons'!$A:$I,4,0)</f>
        <v>BJ PTS</v>
      </c>
      <c r="E80" s="1021" t="s">
        <v>335</v>
      </c>
      <c r="F80" s="1021">
        <v>69999267</v>
      </c>
      <c r="G80" s="1024">
        <v>36867</v>
      </c>
      <c r="H80" s="1023">
        <v>49342</v>
      </c>
      <c r="I80" s="1023">
        <v>58549.063454779876</v>
      </c>
      <c r="J80" s="1023">
        <v>50449.285132565783</v>
      </c>
      <c r="K80" s="1023">
        <v>56133.371202248149</v>
      </c>
      <c r="L80" s="1023">
        <v>55673.366447846594</v>
      </c>
      <c r="M80" s="1023">
        <v>48146.839756676127</v>
      </c>
      <c r="N80" s="1023">
        <v>48684.839192762149</v>
      </c>
      <c r="O80" s="1023">
        <v>40782.249110086384</v>
      </c>
      <c r="P80" s="1023">
        <v>39645.399003323611</v>
      </c>
      <c r="Q80" s="1023">
        <v>39319.930172811932</v>
      </c>
      <c r="R80" s="1023">
        <v>34670.750252355516</v>
      </c>
      <c r="S80" s="169">
        <f t="shared" ref="S80:S143" si="102">SUM(G80:R80)</f>
        <v>558264.09372545616</v>
      </c>
      <c r="T80" s="122">
        <f>VLOOKUP($B80,'Tech Litons'!$A:$I,9,0)</f>
        <v>240</v>
      </c>
      <c r="U80" s="179">
        <f t="shared" ref="U80:U143" si="103">G80/$T80</f>
        <v>153.61250000000001</v>
      </c>
      <c r="V80" s="179">
        <f t="shared" ref="V80:V143" si="104">H80/$T80</f>
        <v>205.59166666666667</v>
      </c>
      <c r="W80" s="179">
        <f t="shared" ref="W80:W143" si="105">I80/$T80</f>
        <v>243.95443106158282</v>
      </c>
      <c r="X80" s="179">
        <f t="shared" ref="X80:X143" si="106">J80/$T80</f>
        <v>210.20535471902409</v>
      </c>
      <c r="Y80" s="179">
        <f t="shared" ref="Y80:Y143" si="107">K80/$T80</f>
        <v>233.88904667603396</v>
      </c>
      <c r="Z80" s="179">
        <f t="shared" ref="Z80:Z143" si="108">L80/$T80</f>
        <v>231.97236019936082</v>
      </c>
      <c r="AA80" s="179">
        <f t="shared" ref="AA80:AA143" si="109">M80/$T80</f>
        <v>200.61183231948385</v>
      </c>
      <c r="AB80" s="179">
        <f t="shared" ref="AB80:AB143" si="110">N80/$T80</f>
        <v>202.85349663650896</v>
      </c>
      <c r="AC80" s="179">
        <f t="shared" ref="AC80:AC143" si="111">O80/$T80</f>
        <v>169.92603795869326</v>
      </c>
      <c r="AD80" s="179">
        <f t="shared" ref="AD80:AD143" si="112">P80/$T80</f>
        <v>165.18916251384837</v>
      </c>
      <c r="AE80" s="179">
        <f t="shared" ref="AE80:AE143" si="113">Q80/$T80</f>
        <v>163.83304238671639</v>
      </c>
      <c r="AF80" s="179">
        <f t="shared" ref="AF80:AF143" si="114">R80/$T80</f>
        <v>144.46145938481465</v>
      </c>
    </row>
    <row r="81" spans="2:32">
      <c r="B81" s="122">
        <f t="shared" ref="B81:B143" si="115">F81</f>
        <v>64967300</v>
      </c>
      <c r="C81" s="122" t="str">
        <f>VLOOKUP($B81,'Tech Litons'!$A:$I,3,0)</f>
        <v>Other</v>
      </c>
      <c r="D81" s="122" t="str">
        <f>VLOOKUP($B81,'Tech Litons'!$A:$I,4,0)</f>
        <v>Other</v>
      </c>
      <c r="E81" s="1022" t="s">
        <v>919</v>
      </c>
      <c r="F81" s="1022">
        <v>64967300</v>
      </c>
      <c r="G81" s="1025">
        <v>11700</v>
      </c>
      <c r="H81" s="1025">
        <v>18980</v>
      </c>
      <c r="I81" s="1025">
        <v>39200.282435904934</v>
      </c>
      <c r="J81" s="1025">
        <v>43543.758543384603</v>
      </c>
      <c r="K81" s="1025">
        <v>55923.878221008577</v>
      </c>
      <c r="L81" s="1025">
        <v>62449.461319540358</v>
      </c>
      <c r="M81" s="1025">
        <v>61556.61008968886</v>
      </c>
      <c r="N81" s="1025">
        <v>41528.038967243549</v>
      </c>
      <c r="O81" s="1025">
        <v>37168.398901510212</v>
      </c>
      <c r="P81" s="1025">
        <v>33565.488764225229</v>
      </c>
      <c r="Q81" s="1025">
        <v>30497.91</v>
      </c>
      <c r="R81" s="1025">
        <v>30205.35</v>
      </c>
      <c r="S81" s="169">
        <f t="shared" si="102"/>
        <v>466319.1772425063</v>
      </c>
      <c r="T81" s="122">
        <f>VLOOKUP($B81,'Tech Litons'!$A:$I,9,0)</f>
        <v>240</v>
      </c>
      <c r="U81" s="179">
        <f t="shared" si="103"/>
        <v>48.75</v>
      </c>
      <c r="V81" s="179">
        <f t="shared" si="104"/>
        <v>79.083333333333329</v>
      </c>
      <c r="W81" s="179">
        <f t="shared" si="105"/>
        <v>163.33451014960389</v>
      </c>
      <c r="X81" s="179">
        <f t="shared" si="106"/>
        <v>181.43232726410253</v>
      </c>
      <c r="Y81" s="179">
        <f t="shared" si="107"/>
        <v>233.01615925420239</v>
      </c>
      <c r="Z81" s="179">
        <f t="shared" si="108"/>
        <v>260.20608883141819</v>
      </c>
      <c r="AA81" s="179">
        <f t="shared" si="109"/>
        <v>256.48587537370361</v>
      </c>
      <c r="AB81" s="179">
        <f t="shared" si="110"/>
        <v>173.03349569684812</v>
      </c>
      <c r="AC81" s="179">
        <f t="shared" si="111"/>
        <v>154.86832875629256</v>
      </c>
      <c r="AD81" s="179">
        <f t="shared" si="112"/>
        <v>139.85620318427178</v>
      </c>
      <c r="AE81" s="179">
        <f t="shared" si="113"/>
        <v>127.074625</v>
      </c>
      <c r="AF81" s="179">
        <f t="shared" si="114"/>
        <v>125.85562499999999</v>
      </c>
    </row>
    <row r="82" spans="2:32">
      <c r="B82" s="122">
        <f t="shared" si="115"/>
        <v>64325486</v>
      </c>
      <c r="C82" s="122" t="str">
        <f>VLOOKUP($B82,'Tech Litons'!$A:$I,3,0)</f>
        <v>Yasso Sticks</v>
      </c>
      <c r="D82" s="122" t="str">
        <f>VLOOKUP($B82,'Tech Litons'!$A:$I,4,0)</f>
        <v>Yasso Sticks</v>
      </c>
      <c r="E82" s="1021" t="s">
        <v>592</v>
      </c>
      <c r="F82" s="1021">
        <v>64325486</v>
      </c>
      <c r="G82" s="1023">
        <v>45313</v>
      </c>
      <c r="H82" s="1023">
        <v>47068</v>
      </c>
      <c r="I82" s="1023">
        <v>68670.405980688331</v>
      </c>
      <c r="J82" s="1023">
        <v>64929.215133123616</v>
      </c>
      <c r="K82" s="1023">
        <v>71913.820096950163</v>
      </c>
      <c r="L82" s="1023">
        <v>79602.964388590612</v>
      </c>
      <c r="M82" s="1023">
        <v>78472.721163041773</v>
      </c>
      <c r="N82" s="1023">
        <v>72698.938043942981</v>
      </c>
      <c r="O82" s="1023">
        <v>61191.24017216004</v>
      </c>
      <c r="P82" s="1023">
        <v>55083.755977035464</v>
      </c>
      <c r="Q82" s="1023">
        <v>47041.986738543819</v>
      </c>
      <c r="R82" s="1023">
        <v>36114.208601955295</v>
      </c>
      <c r="S82" s="169">
        <f t="shared" si="102"/>
        <v>728100.25629603222</v>
      </c>
      <c r="T82" s="122">
        <f>VLOOKUP($B82,'Tech Litons'!$A:$I,9,0)</f>
        <v>187</v>
      </c>
      <c r="U82" s="179">
        <f t="shared" si="103"/>
        <v>242.31550802139037</v>
      </c>
      <c r="V82" s="179">
        <f t="shared" si="104"/>
        <v>251.70053475935828</v>
      </c>
      <c r="W82" s="179">
        <f t="shared" si="105"/>
        <v>367.2214223566221</v>
      </c>
      <c r="X82" s="179">
        <f t="shared" si="106"/>
        <v>347.21505418782681</v>
      </c>
      <c r="Y82" s="179">
        <f t="shared" si="107"/>
        <v>384.56588287139124</v>
      </c>
      <c r="Z82" s="179">
        <f t="shared" si="108"/>
        <v>425.68430154326529</v>
      </c>
      <c r="AA82" s="179">
        <f t="shared" si="109"/>
        <v>419.64022012321806</v>
      </c>
      <c r="AB82" s="179">
        <f t="shared" si="110"/>
        <v>388.76437456654003</v>
      </c>
      <c r="AC82" s="179">
        <f t="shared" si="111"/>
        <v>327.22588327358312</v>
      </c>
      <c r="AD82" s="179">
        <f t="shared" si="112"/>
        <v>294.56553998414688</v>
      </c>
      <c r="AE82" s="179">
        <f t="shared" si="113"/>
        <v>251.56142640932524</v>
      </c>
      <c r="AF82" s="179">
        <f t="shared" si="114"/>
        <v>193.12411017088394</v>
      </c>
    </row>
    <row r="83" spans="2:32">
      <c r="B83" s="122">
        <f t="shared" si="115"/>
        <v>64356482</v>
      </c>
      <c r="C83" s="122" t="str">
        <f>VLOOKUP($B83,'Tech Litons'!$A:$I,3,0)</f>
        <v>Repack MG Sticks</v>
      </c>
      <c r="D83" s="122" t="str">
        <f>VLOOKUP($B83,'Tech Litons'!$A:$I,4,0)</f>
        <v>Other</v>
      </c>
      <c r="E83" s="1021" t="s">
        <v>604</v>
      </c>
      <c r="F83" s="1022">
        <v>64356482</v>
      </c>
      <c r="G83" s="1025"/>
      <c r="H83" s="1025"/>
      <c r="I83" s="1025"/>
      <c r="J83" s="1025"/>
      <c r="K83" s="1025"/>
      <c r="L83" s="1025"/>
      <c r="M83" s="1025"/>
      <c r="N83" s="1025"/>
      <c r="O83" s="1025"/>
      <c r="P83" s="1025"/>
      <c r="Q83" s="1025"/>
      <c r="R83" s="1025"/>
      <c r="S83" s="169">
        <f t="shared" si="102"/>
        <v>0</v>
      </c>
      <c r="T83" s="122">
        <f>VLOOKUP($B83,'Tech Litons'!$A:$I,9,0)</f>
        <v>296</v>
      </c>
      <c r="U83" s="179">
        <f t="shared" si="103"/>
        <v>0</v>
      </c>
      <c r="V83" s="179">
        <f t="shared" si="104"/>
        <v>0</v>
      </c>
      <c r="W83" s="179">
        <f t="shared" si="105"/>
        <v>0</v>
      </c>
      <c r="X83" s="179">
        <f t="shared" si="106"/>
        <v>0</v>
      </c>
      <c r="Y83" s="179">
        <f t="shared" si="107"/>
        <v>0</v>
      </c>
      <c r="Z83" s="179">
        <f t="shared" si="108"/>
        <v>0</v>
      </c>
      <c r="AA83" s="179">
        <f t="shared" si="109"/>
        <v>0</v>
      </c>
      <c r="AB83" s="179">
        <f t="shared" si="110"/>
        <v>0</v>
      </c>
      <c r="AC83" s="179">
        <f t="shared" si="111"/>
        <v>0</v>
      </c>
      <c r="AD83" s="179">
        <f t="shared" si="112"/>
        <v>0</v>
      </c>
      <c r="AE83" s="179">
        <f t="shared" si="113"/>
        <v>0</v>
      </c>
      <c r="AF83" s="179">
        <f t="shared" si="114"/>
        <v>0</v>
      </c>
    </row>
    <row r="84" spans="2:32">
      <c r="B84" s="122">
        <f t="shared" si="115"/>
        <v>64341109</v>
      </c>
      <c r="C84" s="122" t="str">
        <f>VLOOKUP($B84,'Tech Litons'!$A:$I,3,0)</f>
        <v>Facepieces</v>
      </c>
      <c r="D84" s="122" t="str">
        <f>VLOOKUP($B84,'Tech Litons'!$A:$I,4,0)</f>
        <v>Facepieces</v>
      </c>
      <c r="E84" s="1021" t="s">
        <v>616</v>
      </c>
      <c r="F84" s="1021">
        <v>64341109</v>
      </c>
      <c r="G84" s="1024">
        <v>13170</v>
      </c>
      <c r="H84" s="1023">
        <v>21450</v>
      </c>
      <c r="I84" s="1023">
        <v>47393.274689940597</v>
      </c>
      <c r="J84" s="1023">
        <v>57431.768539713958</v>
      </c>
      <c r="K84" s="1023">
        <v>71436.830203903824</v>
      </c>
      <c r="L84" s="1023">
        <v>73009.797012861192</v>
      </c>
      <c r="M84" s="1023">
        <v>55269.036616763959</v>
      </c>
      <c r="N84" s="1023">
        <v>36822.325782414504</v>
      </c>
      <c r="O84" s="1023">
        <v>33691.399516117701</v>
      </c>
      <c r="P84" s="1023">
        <v>27523.492511718043</v>
      </c>
      <c r="Q84" s="1023">
        <v>19724.393167291499</v>
      </c>
      <c r="R84" s="1023">
        <v>20054.03307395101</v>
      </c>
      <c r="S84" s="169">
        <f t="shared" si="102"/>
        <v>476976.35111467633</v>
      </c>
      <c r="T84" s="122">
        <f>VLOOKUP($B84,'Tech Litons'!$A:$I,9,0)</f>
        <v>210</v>
      </c>
      <c r="U84" s="179">
        <f t="shared" si="103"/>
        <v>62.714285714285715</v>
      </c>
      <c r="V84" s="179">
        <f t="shared" si="104"/>
        <v>102.14285714285714</v>
      </c>
      <c r="W84" s="179">
        <f t="shared" si="105"/>
        <v>225.68226042828857</v>
      </c>
      <c r="X84" s="179">
        <f t="shared" si="106"/>
        <v>273.48461209387597</v>
      </c>
      <c r="Y84" s="179">
        <f t="shared" si="107"/>
        <v>340.17538192335155</v>
      </c>
      <c r="Z84" s="179">
        <f t="shared" si="108"/>
        <v>347.6657000612438</v>
      </c>
      <c r="AA84" s="179">
        <f t="shared" si="109"/>
        <v>263.18588865125696</v>
      </c>
      <c r="AB84" s="179">
        <f t="shared" si="110"/>
        <v>175.34440848768813</v>
      </c>
      <c r="AC84" s="179">
        <f t="shared" si="111"/>
        <v>160.43523579103666</v>
      </c>
      <c r="AD84" s="179">
        <f t="shared" si="112"/>
        <v>131.06425005580022</v>
      </c>
      <c r="AE84" s="179">
        <f t="shared" si="113"/>
        <v>93.92568174900714</v>
      </c>
      <c r="AF84" s="179">
        <f t="shared" si="114"/>
        <v>95.495395590242907</v>
      </c>
    </row>
    <row r="85" spans="2:32">
      <c r="B85" s="122">
        <f t="shared" si="115"/>
        <v>68867744</v>
      </c>
      <c r="C85" s="122" t="str">
        <f>VLOOKUP($B85,'Tech Litons'!$A:$I,3,0)</f>
        <v>Talenti</v>
      </c>
      <c r="D85" s="122" t="str">
        <f>VLOOKUP($B85,'Tech Litons'!$A:$I,4,0)</f>
        <v>Talenti</v>
      </c>
      <c r="E85" s="1021" t="s">
        <v>306</v>
      </c>
      <c r="F85" s="1021">
        <v>68867744</v>
      </c>
      <c r="G85" s="1023">
        <v>22845</v>
      </c>
      <c r="H85" s="1023">
        <v>33480</v>
      </c>
      <c r="I85" s="1023">
        <v>46901.933742902263</v>
      </c>
      <c r="J85" s="1023">
        <v>42298.451212615255</v>
      </c>
      <c r="K85" s="1023">
        <v>51549.705112925054</v>
      </c>
      <c r="L85" s="1023">
        <v>50437.734121533613</v>
      </c>
      <c r="M85" s="1023">
        <v>41971.253031966407</v>
      </c>
      <c r="N85" s="1023">
        <v>40021.526880495614</v>
      </c>
      <c r="O85" s="1023">
        <v>38741.997381499779</v>
      </c>
      <c r="P85" s="1023">
        <v>39474.414096088876</v>
      </c>
      <c r="Q85" s="1023">
        <v>37844.923351171092</v>
      </c>
      <c r="R85" s="1023">
        <v>30183.855558222509</v>
      </c>
      <c r="S85" s="169">
        <f t="shared" si="102"/>
        <v>475750.79448942048</v>
      </c>
      <c r="T85" s="122">
        <f>VLOOKUP($B85,'Tech Litons'!$A:$I,9,0)</f>
        <v>255</v>
      </c>
      <c r="U85" s="179">
        <f t="shared" si="103"/>
        <v>89.588235294117652</v>
      </c>
      <c r="V85" s="179">
        <f t="shared" si="104"/>
        <v>131.29411764705881</v>
      </c>
      <c r="W85" s="179">
        <f t="shared" si="105"/>
        <v>183.92915193295005</v>
      </c>
      <c r="X85" s="179">
        <f t="shared" si="106"/>
        <v>165.87627926515788</v>
      </c>
      <c r="Y85" s="179">
        <f t="shared" si="107"/>
        <v>202.15570632519629</v>
      </c>
      <c r="Z85" s="179">
        <f t="shared" si="108"/>
        <v>197.79503577072006</v>
      </c>
      <c r="AA85" s="179">
        <f t="shared" si="109"/>
        <v>164.5931491449663</v>
      </c>
      <c r="AB85" s="179">
        <f t="shared" si="110"/>
        <v>156.9471642372377</v>
      </c>
      <c r="AC85" s="179">
        <f t="shared" si="111"/>
        <v>151.92940149607756</v>
      </c>
      <c r="AD85" s="179">
        <f t="shared" si="112"/>
        <v>154.8016239062309</v>
      </c>
      <c r="AE85" s="179">
        <f t="shared" si="113"/>
        <v>148.41146412223958</v>
      </c>
      <c r="AF85" s="179">
        <f t="shared" si="114"/>
        <v>118.36806101263728</v>
      </c>
    </row>
    <row r="86" spans="2:32">
      <c r="B86" s="122">
        <f t="shared" si="115"/>
        <v>67430513</v>
      </c>
      <c r="C86" s="122" t="str">
        <f>VLOOKUP($B86,'Tech Litons'!$A:$I,3,0)</f>
        <v>BJ PTS</v>
      </c>
      <c r="D86" s="122" t="str">
        <f>VLOOKUP($B86,'Tech Litons'!$A:$I,4,0)</f>
        <v>BJ PTS</v>
      </c>
      <c r="E86" s="1021" t="s">
        <v>308</v>
      </c>
      <c r="F86" s="1021">
        <v>67430513</v>
      </c>
      <c r="G86" s="1023">
        <v>28853</v>
      </c>
      <c r="H86" s="1023">
        <v>32955</v>
      </c>
      <c r="I86" s="1023">
        <v>43146.108703431397</v>
      </c>
      <c r="J86" s="1023">
        <v>36415.293445584713</v>
      </c>
      <c r="K86" s="1023">
        <v>40227.710784744493</v>
      </c>
      <c r="L86" s="1023">
        <v>42120.844851469868</v>
      </c>
      <c r="M86" s="1023">
        <v>33995.508880389454</v>
      </c>
      <c r="N86" s="1023">
        <v>36109.499336854984</v>
      </c>
      <c r="O86" s="1023">
        <v>30441.149477012063</v>
      </c>
      <c r="P86" s="1023">
        <v>29824.958198559631</v>
      </c>
      <c r="Q86" s="1023">
        <v>27947.740334665483</v>
      </c>
      <c r="R86" s="1023">
        <v>26145.734289302556</v>
      </c>
      <c r="S86" s="169">
        <f t="shared" si="102"/>
        <v>408182.54830201459</v>
      </c>
      <c r="T86" s="122">
        <f>VLOOKUP($B86,'Tech Litons'!$A:$I,9,0)</f>
        <v>240</v>
      </c>
      <c r="U86" s="179">
        <f t="shared" si="103"/>
        <v>120.22083333333333</v>
      </c>
      <c r="V86" s="179">
        <f t="shared" si="104"/>
        <v>137.3125</v>
      </c>
      <c r="W86" s="179">
        <f t="shared" si="105"/>
        <v>179.77545293096415</v>
      </c>
      <c r="X86" s="179">
        <f t="shared" si="106"/>
        <v>151.73038935660298</v>
      </c>
      <c r="Y86" s="179">
        <f t="shared" si="107"/>
        <v>167.61546160310206</v>
      </c>
      <c r="Z86" s="179">
        <f t="shared" si="108"/>
        <v>175.50352021445778</v>
      </c>
      <c r="AA86" s="179">
        <f t="shared" si="109"/>
        <v>141.6479536682894</v>
      </c>
      <c r="AB86" s="179">
        <f t="shared" si="110"/>
        <v>150.45624723689576</v>
      </c>
      <c r="AC86" s="179">
        <f t="shared" si="111"/>
        <v>126.8381228208836</v>
      </c>
      <c r="AD86" s="179">
        <f t="shared" si="112"/>
        <v>124.27065916066513</v>
      </c>
      <c r="AE86" s="179">
        <f t="shared" si="113"/>
        <v>116.44891806110618</v>
      </c>
      <c r="AF86" s="179">
        <f t="shared" si="114"/>
        <v>108.94055953876065</v>
      </c>
    </row>
    <row r="87" spans="2:32">
      <c r="B87" s="122">
        <f t="shared" si="115"/>
        <v>68860659</v>
      </c>
      <c r="C87" s="122" t="str">
        <f>VLOOKUP($B87,'Tech Litons'!$A:$I,3,0)</f>
        <v>Talenti</v>
      </c>
      <c r="D87" s="122" t="str">
        <f>VLOOKUP($B87,'Tech Litons'!$A:$I,4,0)</f>
        <v>Talenti</v>
      </c>
      <c r="E87" s="1021" t="s">
        <v>453</v>
      </c>
      <c r="F87" s="1021">
        <v>68860659</v>
      </c>
      <c r="G87" s="1023">
        <v>31865</v>
      </c>
      <c r="H87" s="1023">
        <v>38326</v>
      </c>
      <c r="I87" s="1023">
        <v>41437.449726139545</v>
      </c>
      <c r="J87" s="1023">
        <v>41700.460857874452</v>
      </c>
      <c r="K87" s="1023">
        <v>42604.195417524723</v>
      </c>
      <c r="L87" s="1023">
        <v>48695.227239841435</v>
      </c>
      <c r="M87" s="1023">
        <v>38983.344348037135</v>
      </c>
      <c r="N87" s="1023">
        <v>33082.168249314491</v>
      </c>
      <c r="O87" s="1023">
        <v>35379.918983984797</v>
      </c>
      <c r="P87" s="1023">
        <v>33057.028785275725</v>
      </c>
      <c r="Q87" s="1023">
        <v>27970.88973156568</v>
      </c>
      <c r="R87" s="1023">
        <v>22908.925044337557</v>
      </c>
      <c r="S87" s="169">
        <f t="shared" si="102"/>
        <v>436010.60838389554</v>
      </c>
      <c r="T87" s="122">
        <f>VLOOKUP($B87,'Tech Litons'!$A:$I,9,0)</f>
        <v>255</v>
      </c>
      <c r="U87" s="179">
        <f t="shared" si="103"/>
        <v>124.96078431372548</v>
      </c>
      <c r="V87" s="179">
        <f t="shared" si="104"/>
        <v>150.29803921568629</v>
      </c>
      <c r="W87" s="179">
        <f t="shared" si="105"/>
        <v>162.49980284760605</v>
      </c>
      <c r="X87" s="179">
        <f t="shared" si="106"/>
        <v>163.53121905048803</v>
      </c>
      <c r="Y87" s="179">
        <f t="shared" si="107"/>
        <v>167.07527614715576</v>
      </c>
      <c r="Z87" s="179">
        <f t="shared" si="108"/>
        <v>190.96167545035857</v>
      </c>
      <c r="AA87" s="179">
        <f t="shared" si="109"/>
        <v>152.87586018838093</v>
      </c>
      <c r="AB87" s="179">
        <f t="shared" si="110"/>
        <v>129.73399313456662</v>
      </c>
      <c r="AC87" s="179">
        <f t="shared" si="111"/>
        <v>138.74478032935215</v>
      </c>
      <c r="AD87" s="179">
        <f t="shared" si="112"/>
        <v>129.63540700108126</v>
      </c>
      <c r="AE87" s="179">
        <f t="shared" si="113"/>
        <v>109.68976365319874</v>
      </c>
      <c r="AF87" s="179">
        <f t="shared" si="114"/>
        <v>89.838921742500219</v>
      </c>
    </row>
    <row r="88" spans="2:32">
      <c r="B88" s="122">
        <f t="shared" si="115"/>
        <v>68709233</v>
      </c>
      <c r="C88" s="122" t="str">
        <f>VLOOKUP($B88,'Tech Litons'!$A:$I,3,0)</f>
        <v>EDF</v>
      </c>
      <c r="D88" s="122" t="str">
        <f>VLOOKUP($B88,'Tech Litons'!$A:$I,4,0)</f>
        <v>EDF</v>
      </c>
      <c r="E88" s="1021" t="s">
        <v>988</v>
      </c>
      <c r="F88" s="1021">
        <v>68709233</v>
      </c>
      <c r="G88" s="1023">
        <v>26016</v>
      </c>
      <c r="H88" s="1023">
        <v>30288</v>
      </c>
      <c r="I88" s="1023">
        <v>44929.471919147756</v>
      </c>
      <c r="J88" s="1023">
        <v>36119.006624150119</v>
      </c>
      <c r="K88" s="1023">
        <v>41135.221658701135</v>
      </c>
      <c r="L88" s="1023">
        <v>51422.268718684536</v>
      </c>
      <c r="M88" s="1023">
        <v>46943.914814680502</v>
      </c>
      <c r="N88" s="1023">
        <v>40393.079515914222</v>
      </c>
      <c r="O88" s="1023">
        <v>33414.05365890656</v>
      </c>
      <c r="P88" s="1023">
        <v>30132.914201511208</v>
      </c>
      <c r="Q88" s="1023">
        <v>22817.995573060209</v>
      </c>
      <c r="R88" s="1023">
        <v>23615.48966354497</v>
      </c>
      <c r="S88" s="169">
        <f t="shared" si="102"/>
        <v>427227.41634830117</v>
      </c>
      <c r="T88" s="122">
        <f>VLOOKUP($B88,'Tech Litons'!$A:$I,9,0)</f>
        <v>132</v>
      </c>
      <c r="U88" s="179">
        <f t="shared" si="103"/>
        <v>197.09090909090909</v>
      </c>
      <c r="V88" s="179">
        <f t="shared" si="104"/>
        <v>229.45454545454547</v>
      </c>
      <c r="W88" s="179">
        <f t="shared" si="105"/>
        <v>340.37478726627086</v>
      </c>
      <c r="X88" s="179">
        <f t="shared" si="106"/>
        <v>273.62883806174335</v>
      </c>
      <c r="Y88" s="179">
        <f t="shared" si="107"/>
        <v>311.63046711137224</v>
      </c>
      <c r="Z88" s="179">
        <f t="shared" si="108"/>
        <v>389.5626418082162</v>
      </c>
      <c r="AA88" s="179">
        <f t="shared" si="109"/>
        <v>355.63571829303413</v>
      </c>
      <c r="AB88" s="179">
        <f t="shared" si="110"/>
        <v>306.00817815086532</v>
      </c>
      <c r="AC88" s="179">
        <f t="shared" si="111"/>
        <v>253.1367701432315</v>
      </c>
      <c r="AD88" s="179">
        <f t="shared" si="112"/>
        <v>228.27965304175157</v>
      </c>
      <c r="AE88" s="179">
        <f t="shared" si="113"/>
        <v>172.86360282621371</v>
      </c>
      <c r="AF88" s="179">
        <f t="shared" si="114"/>
        <v>178.90522472382554</v>
      </c>
    </row>
    <row r="89" spans="2:32">
      <c r="B89" s="122">
        <f t="shared" si="115"/>
        <v>69591665</v>
      </c>
      <c r="C89" s="122" t="str">
        <f>VLOOKUP($B89,'Tech Litons'!$A:$I,3,0)</f>
        <v>MG Sticks</v>
      </c>
      <c r="D89" s="122" t="str">
        <f>VLOOKUP($B89,'Tech Litons'!$A:$I,4,0)</f>
        <v>MG Sticks</v>
      </c>
      <c r="E89" s="1021" t="s">
        <v>388</v>
      </c>
      <c r="F89" s="1021">
        <v>69591665</v>
      </c>
      <c r="G89" s="1024">
        <v>28678</v>
      </c>
      <c r="H89" s="1023">
        <v>28707</v>
      </c>
      <c r="I89" s="1023">
        <v>32543.56461722745</v>
      </c>
      <c r="J89" s="1023">
        <v>39272.293557194753</v>
      </c>
      <c r="K89" s="1023">
        <v>44411.513099923272</v>
      </c>
      <c r="L89" s="1023">
        <v>44285.277265383826</v>
      </c>
      <c r="M89" s="1023">
        <v>41601.435632331297</v>
      </c>
      <c r="N89" s="1023">
        <v>42025.290249510741</v>
      </c>
      <c r="O89" s="1023">
        <v>38977.405507908647</v>
      </c>
      <c r="P89" s="1023">
        <v>28813.3367396051</v>
      </c>
      <c r="Q89" s="1023">
        <v>20289.286344691493</v>
      </c>
      <c r="R89" s="1023">
        <v>20831.197872379755</v>
      </c>
      <c r="S89" s="169">
        <f t="shared" si="102"/>
        <v>410435.60088615632</v>
      </c>
      <c r="T89" s="122">
        <f>VLOOKUP($B89,'Tech Litons'!$A:$I,9,0)</f>
        <v>143</v>
      </c>
      <c r="U89" s="179">
        <f t="shared" si="103"/>
        <v>200.54545454545453</v>
      </c>
      <c r="V89" s="179">
        <f t="shared" si="104"/>
        <v>200.74825174825176</v>
      </c>
      <c r="W89" s="179">
        <f t="shared" si="105"/>
        <v>227.57737494564651</v>
      </c>
      <c r="X89" s="179">
        <f t="shared" si="106"/>
        <v>274.63142347688637</v>
      </c>
      <c r="Y89" s="179">
        <f t="shared" si="107"/>
        <v>310.57002167778512</v>
      </c>
      <c r="Z89" s="179">
        <f t="shared" si="108"/>
        <v>309.68725360408268</v>
      </c>
      <c r="AA89" s="179">
        <f t="shared" si="109"/>
        <v>290.91913029602307</v>
      </c>
      <c r="AB89" s="179">
        <f t="shared" si="110"/>
        <v>293.8831485979772</v>
      </c>
      <c r="AC89" s="179">
        <f t="shared" si="111"/>
        <v>272.56926928607447</v>
      </c>
      <c r="AD89" s="179">
        <f t="shared" si="112"/>
        <v>201.49186531192379</v>
      </c>
      <c r="AE89" s="179">
        <f t="shared" si="113"/>
        <v>141.88312129154889</v>
      </c>
      <c r="AF89" s="179">
        <f t="shared" si="114"/>
        <v>145.67271239426401</v>
      </c>
    </row>
    <row r="90" spans="2:32">
      <c r="B90" s="122">
        <f t="shared" si="115"/>
        <v>69983234</v>
      </c>
      <c r="C90" s="122" t="str">
        <f>VLOOKUP($B90,'Tech Litons'!$A:$I,3,0)</f>
        <v>MBG</v>
      </c>
      <c r="D90" s="122" t="str">
        <f>VLOOKUP($B90,'Tech Litons'!$A:$I,4,0)</f>
        <v>MBG</v>
      </c>
      <c r="E90" s="1021" t="s">
        <v>412</v>
      </c>
      <c r="F90" s="1021">
        <v>69983234</v>
      </c>
      <c r="G90" s="1023">
        <v>22470</v>
      </c>
      <c r="H90" s="1023">
        <v>30888</v>
      </c>
      <c r="I90" s="1023">
        <v>32264.748849318901</v>
      </c>
      <c r="J90" s="1023">
        <v>53164.018606198646</v>
      </c>
      <c r="K90" s="1023">
        <v>56267.818519292108</v>
      </c>
      <c r="L90" s="1023">
        <v>55227.041395914166</v>
      </c>
      <c r="M90" s="1023">
        <v>59403.382213760517</v>
      </c>
      <c r="N90" s="1023">
        <v>49525.578999150792</v>
      </c>
      <c r="O90" s="1023">
        <v>34040.832638918182</v>
      </c>
      <c r="P90" s="1023">
        <v>19535.606132152177</v>
      </c>
      <c r="Q90" s="1023">
        <v>25003.10494580886</v>
      </c>
      <c r="R90" s="1023">
        <v>21764.792262688632</v>
      </c>
      <c r="S90" s="169">
        <f t="shared" si="102"/>
        <v>459554.92456320301</v>
      </c>
      <c r="T90" s="122">
        <f>VLOOKUP($B90,'Tech Litons'!$A:$I,9,0)</f>
        <v>154</v>
      </c>
      <c r="U90" s="179">
        <f t="shared" si="103"/>
        <v>145.90909090909091</v>
      </c>
      <c r="V90" s="179">
        <f t="shared" si="104"/>
        <v>200.57142857142858</v>
      </c>
      <c r="W90" s="179">
        <f t="shared" si="105"/>
        <v>209.51135616440845</v>
      </c>
      <c r="X90" s="179">
        <f t="shared" si="106"/>
        <v>345.22090004025097</v>
      </c>
      <c r="Y90" s="179">
        <f t="shared" si="107"/>
        <v>365.37544493046823</v>
      </c>
      <c r="Z90" s="179">
        <f t="shared" si="108"/>
        <v>358.61715192152053</v>
      </c>
      <c r="AA90" s="179">
        <f t="shared" si="109"/>
        <v>385.73624814130204</v>
      </c>
      <c r="AB90" s="179">
        <f t="shared" si="110"/>
        <v>321.59466882565448</v>
      </c>
      <c r="AC90" s="179">
        <f t="shared" si="111"/>
        <v>221.044367785183</v>
      </c>
      <c r="AD90" s="179">
        <f t="shared" si="112"/>
        <v>126.85458527371544</v>
      </c>
      <c r="AE90" s="179">
        <f t="shared" si="113"/>
        <v>162.35782432343416</v>
      </c>
      <c r="AF90" s="179">
        <f t="shared" si="114"/>
        <v>141.32981988758851</v>
      </c>
    </row>
    <row r="91" spans="2:32">
      <c r="B91" s="122">
        <f t="shared" si="115"/>
        <v>64331550</v>
      </c>
      <c r="C91" s="122" t="str">
        <f>VLOOKUP($B91,'Tech Litons'!$A:$I,3,0)</f>
        <v>MG Sticks</v>
      </c>
      <c r="D91" s="122" t="str">
        <f>VLOOKUP($B91,'Tech Litons'!$A:$I,4,0)</f>
        <v>MG Sticks</v>
      </c>
      <c r="E91" s="1021" t="s">
        <v>890</v>
      </c>
      <c r="F91" s="1021">
        <v>64331550</v>
      </c>
      <c r="G91" s="1023">
        <v>14906</v>
      </c>
      <c r="H91" s="1023">
        <v>28478</v>
      </c>
      <c r="I91" s="1023">
        <v>55067.87</v>
      </c>
      <c r="J91" s="1023">
        <v>67952.688145386317</v>
      </c>
      <c r="K91" s="1023">
        <v>75731.322691104127</v>
      </c>
      <c r="L91" s="1023">
        <v>96568.82565385256</v>
      </c>
      <c r="M91" s="1023">
        <v>65226.737035079619</v>
      </c>
      <c r="N91" s="1023">
        <v>61619.181513791315</v>
      </c>
      <c r="O91" s="1023">
        <v>60803.026327533567</v>
      </c>
      <c r="P91" s="1023">
        <v>53869.830234159395</v>
      </c>
      <c r="Q91" s="1023">
        <v>45292.23905612262</v>
      </c>
      <c r="R91" s="1023">
        <v>38820.267844220791</v>
      </c>
      <c r="S91" s="169">
        <f t="shared" si="102"/>
        <v>664335.98850125016</v>
      </c>
      <c r="T91" s="122">
        <f>VLOOKUP($B91,'Tech Litons'!$A:$I,9,0)</f>
        <v>493</v>
      </c>
      <c r="U91" s="179">
        <f t="shared" si="103"/>
        <v>30.235294117647058</v>
      </c>
      <c r="V91" s="179">
        <f t="shared" si="104"/>
        <v>57.764705882352942</v>
      </c>
      <c r="W91" s="179">
        <f t="shared" si="105"/>
        <v>111.69953346855985</v>
      </c>
      <c r="X91" s="179">
        <f t="shared" si="106"/>
        <v>137.83506723202092</v>
      </c>
      <c r="Y91" s="179">
        <f t="shared" si="107"/>
        <v>153.61323061075888</v>
      </c>
      <c r="Z91" s="179">
        <f t="shared" si="108"/>
        <v>195.87997090030944</v>
      </c>
      <c r="AA91" s="179">
        <f t="shared" si="109"/>
        <v>132.30575463504994</v>
      </c>
      <c r="AB91" s="179">
        <f t="shared" si="110"/>
        <v>124.98819779673694</v>
      </c>
      <c r="AC91" s="179">
        <f t="shared" si="111"/>
        <v>123.33271060351636</v>
      </c>
      <c r="AD91" s="179">
        <f t="shared" si="112"/>
        <v>109.26943252364988</v>
      </c>
      <c r="AE91" s="179">
        <f t="shared" si="113"/>
        <v>91.870667456638174</v>
      </c>
      <c r="AF91" s="179">
        <f t="shared" si="114"/>
        <v>78.742936803693283</v>
      </c>
    </row>
    <row r="92" spans="2:32">
      <c r="B92" s="122">
        <f t="shared" si="115"/>
        <v>68896054</v>
      </c>
      <c r="C92" s="122" t="str">
        <f>VLOOKUP($B92,'Tech Litons'!$A:$I,3,0)</f>
        <v>48oz</v>
      </c>
      <c r="D92" s="122" t="str">
        <f>VLOOKUP($B92,'Tech Litons'!$A:$I,4,0)</f>
        <v>48oz</v>
      </c>
      <c r="E92" s="1021" t="s">
        <v>989</v>
      </c>
      <c r="F92" s="1021">
        <v>68896054</v>
      </c>
      <c r="G92" s="1023">
        <v>30646</v>
      </c>
      <c r="H92" s="1023">
        <v>25476</v>
      </c>
      <c r="I92" s="1023">
        <v>39969.224413194323</v>
      </c>
      <c r="J92" s="1023">
        <v>35785.820234784682</v>
      </c>
      <c r="K92" s="1023">
        <v>37895.063093506884</v>
      </c>
      <c r="L92" s="1023">
        <v>43925.042576580978</v>
      </c>
      <c r="M92" s="1023">
        <v>35360.305338491882</v>
      </c>
      <c r="N92" s="1023">
        <v>35308.886908822911</v>
      </c>
      <c r="O92" s="1023">
        <v>23153.277281738261</v>
      </c>
      <c r="P92" s="1023">
        <v>23088.215534164043</v>
      </c>
      <c r="Q92" s="1023">
        <v>32431.160795900469</v>
      </c>
      <c r="R92" s="1023">
        <v>24438.48306010076</v>
      </c>
      <c r="S92" s="169">
        <f t="shared" si="102"/>
        <v>387477.47923728515</v>
      </c>
      <c r="T92" s="122">
        <f>VLOOKUP($B92,'Tech Litons'!$A:$I,9,0)</f>
        <v>176</v>
      </c>
      <c r="U92" s="179">
        <f t="shared" si="103"/>
        <v>174.125</v>
      </c>
      <c r="V92" s="179">
        <f t="shared" si="104"/>
        <v>144.75</v>
      </c>
      <c r="W92" s="179">
        <f t="shared" si="105"/>
        <v>227.09786598405864</v>
      </c>
      <c r="X92" s="179">
        <f t="shared" si="106"/>
        <v>203.3285240612766</v>
      </c>
      <c r="Y92" s="179">
        <f t="shared" si="107"/>
        <v>215.31285848583457</v>
      </c>
      <c r="Z92" s="179">
        <f t="shared" si="108"/>
        <v>249.57410554875557</v>
      </c>
      <c r="AA92" s="179">
        <f t="shared" si="109"/>
        <v>200.91082578688568</v>
      </c>
      <c r="AB92" s="179">
        <f t="shared" si="110"/>
        <v>200.61867561831198</v>
      </c>
      <c r="AC92" s="179">
        <f t="shared" si="111"/>
        <v>131.55271182805831</v>
      </c>
      <c r="AD92" s="179">
        <f t="shared" si="112"/>
        <v>131.18304280775024</v>
      </c>
      <c r="AE92" s="179">
        <f t="shared" si="113"/>
        <v>184.26795906761629</v>
      </c>
      <c r="AF92" s="179">
        <f t="shared" si="114"/>
        <v>138.85501738693614</v>
      </c>
    </row>
    <row r="93" spans="2:32">
      <c r="B93" s="122">
        <f t="shared" si="115"/>
        <v>64393722</v>
      </c>
      <c r="C93" s="122" t="str">
        <f>VLOOKUP($B93,'Tech Litons'!$A:$I,3,0)</f>
        <v>MG Sticks</v>
      </c>
      <c r="D93" s="122" t="str">
        <f>VLOOKUP($B93,'Tech Litons'!$A:$I,4,0)</f>
        <v>MG Sticks</v>
      </c>
      <c r="E93" s="1021" t="s">
        <v>914</v>
      </c>
      <c r="F93" s="1021">
        <v>64393722</v>
      </c>
      <c r="G93" s="1024">
        <v>29232</v>
      </c>
      <c r="H93" s="1023">
        <v>41349</v>
      </c>
      <c r="I93" s="1023">
        <v>45507.42436704936</v>
      </c>
      <c r="J93" s="1023">
        <v>38277.179715927356</v>
      </c>
      <c r="K93" s="1023">
        <v>45764.205703790773</v>
      </c>
      <c r="L93" s="1023">
        <v>52893.905936767776</v>
      </c>
      <c r="M93" s="1023">
        <v>41863.657856412538</v>
      </c>
      <c r="N93" s="1023">
        <v>46843.592211387171</v>
      </c>
      <c r="O93" s="1023">
        <v>29731.498186607048</v>
      </c>
      <c r="P93" s="1023">
        <v>28633.377866213181</v>
      </c>
      <c r="Q93" s="1023">
        <v>28774.635023368781</v>
      </c>
      <c r="R93" s="1023">
        <v>24712.440369627897</v>
      </c>
      <c r="S93" s="169">
        <f t="shared" si="102"/>
        <v>453582.91723715188</v>
      </c>
      <c r="T93" s="122">
        <f>VLOOKUP($B93,'Tech Litons'!$A:$I,9,0)</f>
        <v>210</v>
      </c>
      <c r="U93" s="179">
        <f t="shared" si="103"/>
        <v>139.19999999999999</v>
      </c>
      <c r="V93" s="179">
        <f t="shared" si="104"/>
        <v>196.9</v>
      </c>
      <c r="W93" s="179">
        <f t="shared" si="105"/>
        <v>216.70202079547315</v>
      </c>
      <c r="X93" s="179">
        <f t="shared" si="106"/>
        <v>182.27228436155883</v>
      </c>
      <c r="Y93" s="179">
        <f t="shared" si="107"/>
        <v>217.92478906567035</v>
      </c>
      <c r="Z93" s="179">
        <f t="shared" si="108"/>
        <v>251.87574255603704</v>
      </c>
      <c r="AA93" s="179">
        <f t="shared" si="109"/>
        <v>199.35075169720255</v>
      </c>
      <c r="AB93" s="179">
        <f t="shared" si="110"/>
        <v>223.0647248161294</v>
      </c>
      <c r="AC93" s="179">
        <f t="shared" si="111"/>
        <v>141.5785627933669</v>
      </c>
      <c r="AD93" s="179">
        <f t="shared" si="112"/>
        <v>136.34941841053896</v>
      </c>
      <c r="AE93" s="179">
        <f t="shared" si="113"/>
        <v>137.02207153985134</v>
      </c>
      <c r="AF93" s="179">
        <f t="shared" si="114"/>
        <v>117.67828747441855</v>
      </c>
    </row>
    <row r="94" spans="2:32">
      <c r="B94" s="122">
        <f t="shared" si="115"/>
        <v>64324876</v>
      </c>
      <c r="C94" s="122" t="str">
        <f>VLOOKUP($B94,'Tech Litons'!$A:$I,3,0)</f>
        <v>Yasso Sticks</v>
      </c>
      <c r="D94" s="122" t="str">
        <f>VLOOKUP($B94,'Tech Litons'!$A:$I,4,0)</f>
        <v>Yasso Sticks</v>
      </c>
      <c r="E94" s="1021" t="s">
        <v>238</v>
      </c>
      <c r="F94" s="1021">
        <v>64324876</v>
      </c>
      <c r="G94" s="1023">
        <v>32037</v>
      </c>
      <c r="H94" s="1023">
        <v>31667</v>
      </c>
      <c r="I94" s="1023">
        <v>43906.443600610655</v>
      </c>
      <c r="J94" s="1023">
        <v>34353.489571455997</v>
      </c>
      <c r="K94" s="1023">
        <v>42258.263692118067</v>
      </c>
      <c r="L94" s="1023">
        <v>48604.052060656388</v>
      </c>
      <c r="M94" s="1023">
        <v>48453.336677296211</v>
      </c>
      <c r="N94" s="1023">
        <v>54100.635593530445</v>
      </c>
      <c r="O94" s="1023">
        <v>41034.903025430714</v>
      </c>
      <c r="P94" s="1023">
        <v>30254.487873894075</v>
      </c>
      <c r="Q94" s="1023">
        <v>29724.362345509486</v>
      </c>
      <c r="R94" s="1023">
        <v>24262.681049747422</v>
      </c>
      <c r="S94" s="169">
        <f t="shared" si="102"/>
        <v>460656.6554902494</v>
      </c>
      <c r="T94" s="122">
        <f>VLOOKUP($B94,'Tech Litons'!$A:$I,9,0)</f>
        <v>187</v>
      </c>
      <c r="U94" s="179">
        <f t="shared" si="103"/>
        <v>171.32085561497325</v>
      </c>
      <c r="V94" s="179">
        <f t="shared" si="104"/>
        <v>169.34224598930481</v>
      </c>
      <c r="W94" s="179">
        <f t="shared" si="105"/>
        <v>234.79381604604629</v>
      </c>
      <c r="X94" s="179">
        <f t="shared" si="106"/>
        <v>183.70850038211762</v>
      </c>
      <c r="Y94" s="179">
        <f t="shared" si="107"/>
        <v>225.98001974394688</v>
      </c>
      <c r="Z94" s="179">
        <f t="shared" si="108"/>
        <v>259.91471690190582</v>
      </c>
      <c r="AA94" s="179">
        <f t="shared" si="109"/>
        <v>259.10875228500646</v>
      </c>
      <c r="AB94" s="179">
        <f t="shared" si="110"/>
        <v>289.30821173010935</v>
      </c>
      <c r="AC94" s="179">
        <f t="shared" si="111"/>
        <v>219.43798409321238</v>
      </c>
      <c r="AD94" s="179">
        <f t="shared" si="112"/>
        <v>161.78870520798969</v>
      </c>
      <c r="AE94" s="179">
        <f t="shared" si="113"/>
        <v>158.95380933427532</v>
      </c>
      <c r="AF94" s="179">
        <f t="shared" si="114"/>
        <v>129.74695748528032</v>
      </c>
    </row>
    <row r="95" spans="2:32">
      <c r="B95" s="122">
        <f t="shared" si="115"/>
        <v>64413478</v>
      </c>
      <c r="C95" s="122" t="str">
        <f>VLOOKUP($B95,'Tech Litons'!$A:$I,3,0)</f>
        <v>B&amp;J Cups</v>
      </c>
      <c r="D95" s="122" t="str">
        <f>VLOOKUP($B95,'Tech Litons'!$A:$I,4,0)</f>
        <v>B&amp;J Cups</v>
      </c>
      <c r="E95" s="1021" t="s">
        <v>569</v>
      </c>
      <c r="F95" s="1021">
        <v>64413478</v>
      </c>
      <c r="G95" s="1023">
        <v>14917</v>
      </c>
      <c r="H95" s="1023">
        <v>18652</v>
      </c>
      <c r="I95" s="1023">
        <v>20615.184328509313</v>
      </c>
      <c r="J95" s="1023">
        <v>21922.671624505918</v>
      </c>
      <c r="K95" s="1023">
        <v>27051.871457199966</v>
      </c>
      <c r="L95" s="1023">
        <v>26014.980305098961</v>
      </c>
      <c r="M95" s="1023">
        <v>30239.671532810891</v>
      </c>
      <c r="N95" s="1023">
        <v>25987.271489644056</v>
      </c>
      <c r="O95" s="1023">
        <v>23366.403184149072</v>
      </c>
      <c r="P95" s="1023">
        <v>17504.32945757058</v>
      </c>
      <c r="Q95" s="1023">
        <v>16365.756329966349</v>
      </c>
      <c r="R95" s="1023">
        <v>19065.146329966348</v>
      </c>
      <c r="S95" s="169">
        <f t="shared" si="102"/>
        <v>261702.28603942142</v>
      </c>
      <c r="T95" s="122">
        <f>VLOOKUP($B95,'Tech Litons'!$A:$I,9,0)</f>
        <v>468</v>
      </c>
      <c r="U95" s="179">
        <f t="shared" si="103"/>
        <v>31.873931623931625</v>
      </c>
      <c r="V95" s="179">
        <f t="shared" si="104"/>
        <v>39.854700854700852</v>
      </c>
      <c r="W95" s="179">
        <f t="shared" si="105"/>
        <v>44.049539163481441</v>
      </c>
      <c r="X95" s="179">
        <f t="shared" si="106"/>
        <v>46.843315436978457</v>
      </c>
      <c r="Y95" s="179">
        <f t="shared" si="107"/>
        <v>57.803144139316167</v>
      </c>
      <c r="Z95" s="179">
        <f t="shared" si="108"/>
        <v>55.587564754484958</v>
      </c>
      <c r="AA95" s="179">
        <f t="shared" si="109"/>
        <v>64.614682762416436</v>
      </c>
      <c r="AB95" s="179">
        <f t="shared" si="110"/>
        <v>55.528357883854817</v>
      </c>
      <c r="AC95" s="179">
        <f t="shared" si="111"/>
        <v>49.928211931942464</v>
      </c>
      <c r="AD95" s="179">
        <f t="shared" si="112"/>
        <v>37.402413370877312</v>
      </c>
      <c r="AE95" s="179">
        <f t="shared" si="113"/>
        <v>34.969564807620401</v>
      </c>
      <c r="AF95" s="179">
        <f t="shared" si="114"/>
        <v>40.73749215804775</v>
      </c>
    </row>
    <row r="96" spans="2:32">
      <c r="B96" s="122">
        <f t="shared" si="115"/>
        <v>64369026</v>
      </c>
      <c r="C96" s="122" t="str">
        <f>VLOOKUP($B96,'Tech Litons'!$A:$I,3,0)</f>
        <v>Talenti</v>
      </c>
      <c r="D96" s="122" t="str">
        <f>VLOOKUP($B96,'Tech Litons'!$A:$I,4,0)</f>
        <v>Talenti</v>
      </c>
      <c r="E96" s="1021" t="s">
        <v>948</v>
      </c>
      <c r="F96" s="1021">
        <v>64369026</v>
      </c>
      <c r="G96" s="1023">
        <v>22154</v>
      </c>
      <c r="H96" s="1023">
        <v>24825</v>
      </c>
      <c r="I96" s="1023">
        <v>28275.94787581309</v>
      </c>
      <c r="J96" s="1023">
        <v>27927.261756971173</v>
      </c>
      <c r="K96" s="1023">
        <v>32869.659677912459</v>
      </c>
      <c r="L96" s="1023">
        <v>37278.118587521691</v>
      </c>
      <c r="M96" s="1023">
        <v>29020.474637756855</v>
      </c>
      <c r="N96" s="1023">
        <v>26744.676069202083</v>
      </c>
      <c r="O96" s="1023">
        <v>24529.747900161245</v>
      </c>
      <c r="P96" s="1023">
        <v>21060.382160060435</v>
      </c>
      <c r="Q96" s="1023">
        <v>15459.424399599298</v>
      </c>
      <c r="R96" s="1023">
        <v>15015.096520850082</v>
      </c>
      <c r="S96" s="169">
        <f t="shared" si="102"/>
        <v>305159.78958584846</v>
      </c>
      <c r="T96" s="122">
        <f>VLOOKUP($B96,'Tech Litons'!$A:$I,9,0)</f>
        <v>255</v>
      </c>
      <c r="U96" s="179">
        <f t="shared" si="103"/>
        <v>86.878431372549016</v>
      </c>
      <c r="V96" s="179">
        <f t="shared" si="104"/>
        <v>97.352941176470594</v>
      </c>
      <c r="W96" s="179">
        <f t="shared" si="105"/>
        <v>110.8860701012278</v>
      </c>
      <c r="X96" s="179">
        <f t="shared" si="106"/>
        <v>109.5186735567497</v>
      </c>
      <c r="Y96" s="179">
        <f t="shared" si="107"/>
        <v>128.90062618789199</v>
      </c>
      <c r="Z96" s="179">
        <f t="shared" si="108"/>
        <v>146.18870034322231</v>
      </c>
      <c r="AA96" s="179">
        <f t="shared" si="109"/>
        <v>113.80578289316414</v>
      </c>
      <c r="AB96" s="179">
        <f t="shared" si="110"/>
        <v>104.88108262432189</v>
      </c>
      <c r="AC96" s="179">
        <f t="shared" si="111"/>
        <v>96.195089804553902</v>
      </c>
      <c r="AD96" s="179">
        <f t="shared" si="112"/>
        <v>82.589733961021309</v>
      </c>
      <c r="AE96" s="179">
        <f t="shared" si="113"/>
        <v>60.625193723918819</v>
      </c>
      <c r="AF96" s="179">
        <f t="shared" si="114"/>
        <v>58.882731454314047</v>
      </c>
    </row>
    <row r="97" spans="2:32">
      <c r="B97" s="122">
        <f t="shared" si="115"/>
        <v>64771677</v>
      </c>
      <c r="C97" s="122" t="str">
        <f>VLOOKUP($B97,'Tech Litons'!$A:$I,3,0)</f>
        <v>Facepieces</v>
      </c>
      <c r="D97" s="122" t="str">
        <f>VLOOKUP($B97,'Tech Litons'!$A:$I,4,0)</f>
        <v>Facepieces</v>
      </c>
      <c r="E97" s="1021" t="s">
        <v>620</v>
      </c>
      <c r="F97" s="1021">
        <v>64771677</v>
      </c>
      <c r="G97" s="1023">
        <v>11265</v>
      </c>
      <c r="H97" s="1023">
        <v>9330</v>
      </c>
      <c r="I97" s="1023">
        <v>8941.5696191224652</v>
      </c>
      <c r="J97" s="1023">
        <v>15317.897696001999</v>
      </c>
      <c r="K97" s="1023">
        <v>15528.768843158501</v>
      </c>
      <c r="L97" s="1023">
        <v>15230.174001292566</v>
      </c>
      <c r="M97" s="1023">
        <v>12979.75</v>
      </c>
      <c r="N97" s="1023">
        <v>9536.9399999999987</v>
      </c>
      <c r="O97" s="1023">
        <v>8451.44</v>
      </c>
      <c r="P97" s="1023">
        <v>4802.7600000000011</v>
      </c>
      <c r="Q97" s="1023">
        <v>4538.0146803057542</v>
      </c>
      <c r="R97" s="1023">
        <v>2886.1174691124374</v>
      </c>
      <c r="S97" s="169">
        <f t="shared" si="102"/>
        <v>118808.43230899371</v>
      </c>
      <c r="T97" s="122">
        <f>VLOOKUP($B97,'Tech Litons'!$A:$I,9,0)</f>
        <v>195</v>
      </c>
      <c r="U97" s="179">
        <f t="shared" si="103"/>
        <v>57.769230769230766</v>
      </c>
      <c r="V97" s="179">
        <f t="shared" si="104"/>
        <v>47.846153846153847</v>
      </c>
      <c r="W97" s="179">
        <f t="shared" si="105"/>
        <v>45.854203174986999</v>
      </c>
      <c r="X97" s="179">
        <f t="shared" si="106"/>
        <v>78.553321517958963</v>
      </c>
      <c r="Y97" s="179">
        <f t="shared" si="107"/>
        <v>79.63471201619744</v>
      </c>
      <c r="Z97" s="179">
        <f t="shared" si="108"/>
        <v>78.103456416884953</v>
      </c>
      <c r="AA97" s="179">
        <f t="shared" si="109"/>
        <v>66.562820512820508</v>
      </c>
      <c r="AB97" s="179">
        <f t="shared" si="110"/>
        <v>48.907384615384608</v>
      </c>
      <c r="AC97" s="179">
        <f t="shared" si="111"/>
        <v>43.340717948717952</v>
      </c>
      <c r="AD97" s="179">
        <f t="shared" si="112"/>
        <v>24.629538461538466</v>
      </c>
      <c r="AE97" s="179">
        <f t="shared" si="113"/>
        <v>23.271870155414124</v>
      </c>
      <c r="AF97" s="179">
        <f t="shared" si="114"/>
        <v>14.800602405704808</v>
      </c>
    </row>
    <row r="98" spans="2:32">
      <c r="B98" s="122">
        <f t="shared" si="115"/>
        <v>69591655</v>
      </c>
      <c r="C98" s="122" t="str">
        <f>VLOOKUP($B98,'Tech Litons'!$A:$I,3,0)</f>
        <v>MG Sticks</v>
      </c>
      <c r="D98" s="122" t="str">
        <f>VLOOKUP($B98,'Tech Litons'!$A:$I,4,0)</f>
        <v>MG Sticks</v>
      </c>
      <c r="E98" s="1021" t="s">
        <v>362</v>
      </c>
      <c r="F98" s="1021">
        <v>69591655</v>
      </c>
      <c r="G98" s="1023">
        <v>32571</v>
      </c>
      <c r="H98" s="1023">
        <v>28535</v>
      </c>
      <c r="I98" s="1023">
        <v>34581.726369304786</v>
      </c>
      <c r="J98" s="1023">
        <v>38731.708509629701</v>
      </c>
      <c r="K98" s="1023">
        <v>44959.372591582141</v>
      </c>
      <c r="L98" s="1023">
        <v>46324.334658633634</v>
      </c>
      <c r="M98" s="1023">
        <v>49567.501800591053</v>
      </c>
      <c r="N98" s="1023">
        <v>40132.87246354745</v>
      </c>
      <c r="O98" s="1023">
        <v>42530.155297503879</v>
      </c>
      <c r="P98" s="1023">
        <v>32231.828273863764</v>
      </c>
      <c r="Q98" s="1023">
        <v>27147.05345374794</v>
      </c>
      <c r="R98" s="1023">
        <v>24346.962852770219</v>
      </c>
      <c r="S98" s="169">
        <f t="shared" si="102"/>
        <v>441659.51627117459</v>
      </c>
      <c r="T98" s="122">
        <f>VLOOKUP($B98,'Tech Litons'!$A:$I,9,0)</f>
        <v>143</v>
      </c>
      <c r="U98" s="179">
        <f t="shared" si="103"/>
        <v>227.76923076923077</v>
      </c>
      <c r="V98" s="179">
        <f t="shared" si="104"/>
        <v>199.54545454545453</v>
      </c>
      <c r="W98" s="179">
        <f t="shared" si="105"/>
        <v>241.83025433080269</v>
      </c>
      <c r="X98" s="179">
        <f t="shared" si="106"/>
        <v>270.85110845894894</v>
      </c>
      <c r="Y98" s="179">
        <f t="shared" si="107"/>
        <v>314.40120693414087</v>
      </c>
      <c r="Z98" s="179">
        <f t="shared" si="108"/>
        <v>323.94639621422124</v>
      </c>
      <c r="AA98" s="179">
        <f t="shared" si="109"/>
        <v>346.62588671741997</v>
      </c>
      <c r="AB98" s="179">
        <f t="shared" si="110"/>
        <v>280.64945778704509</v>
      </c>
      <c r="AC98" s="179">
        <f t="shared" si="111"/>
        <v>297.41367340911802</v>
      </c>
      <c r="AD98" s="179">
        <f t="shared" si="112"/>
        <v>225.39740051652981</v>
      </c>
      <c r="AE98" s="179">
        <f t="shared" si="113"/>
        <v>189.83953464159399</v>
      </c>
      <c r="AF98" s="179">
        <f t="shared" si="114"/>
        <v>170.25848148790362</v>
      </c>
    </row>
    <row r="99" spans="2:32">
      <c r="B99" s="122">
        <f t="shared" si="115"/>
        <v>68930545</v>
      </c>
      <c r="C99" s="122" t="str">
        <f>VLOOKUP($B99,'Tech Litons'!$A:$I,3,0)</f>
        <v>48oz</v>
      </c>
      <c r="D99" s="122" t="str">
        <f>VLOOKUP($B99,'Tech Litons'!$A:$I,4,0)</f>
        <v>48oz</v>
      </c>
      <c r="E99" s="1021" t="s">
        <v>349</v>
      </c>
      <c r="F99" s="1021">
        <v>68930545</v>
      </c>
      <c r="G99" s="1023">
        <v>22000</v>
      </c>
      <c r="H99" s="1023">
        <v>24266</v>
      </c>
      <c r="I99" s="1023">
        <v>34260.887604566553</v>
      </c>
      <c r="J99" s="1023">
        <v>30303.589716606715</v>
      </c>
      <c r="K99" s="1023">
        <v>35074.864178112839</v>
      </c>
      <c r="L99" s="1023">
        <v>40769.776806843256</v>
      </c>
      <c r="M99" s="1023">
        <v>37733.932295378661</v>
      </c>
      <c r="N99" s="1023">
        <v>31316.238426770189</v>
      </c>
      <c r="O99" s="1023">
        <v>26704.478596684588</v>
      </c>
      <c r="P99" s="1023">
        <v>27336.119428699778</v>
      </c>
      <c r="Q99" s="1023">
        <v>27628.358077800047</v>
      </c>
      <c r="R99" s="1023">
        <v>22029.17657186115</v>
      </c>
      <c r="S99" s="169">
        <f t="shared" si="102"/>
        <v>359423.42170332384</v>
      </c>
      <c r="T99" s="122">
        <f>VLOOKUP($B99,'Tech Litons'!$A:$I,9,0)</f>
        <v>176</v>
      </c>
      <c r="U99" s="179">
        <f t="shared" si="103"/>
        <v>125</v>
      </c>
      <c r="V99" s="179">
        <f t="shared" si="104"/>
        <v>137.875</v>
      </c>
      <c r="W99" s="179">
        <f t="shared" si="105"/>
        <v>194.66413411685542</v>
      </c>
      <c r="X99" s="179">
        <f t="shared" si="106"/>
        <v>172.17948702617451</v>
      </c>
      <c r="Y99" s="179">
        <f t="shared" si="107"/>
        <v>199.28900101200477</v>
      </c>
      <c r="Z99" s="179">
        <f t="shared" si="108"/>
        <v>231.64645912979122</v>
      </c>
      <c r="AA99" s="179">
        <f t="shared" si="109"/>
        <v>214.39734258737874</v>
      </c>
      <c r="AB99" s="179">
        <f t="shared" si="110"/>
        <v>177.93317287937609</v>
      </c>
      <c r="AC99" s="179">
        <f t="shared" si="111"/>
        <v>151.72999202661697</v>
      </c>
      <c r="AD99" s="179">
        <f t="shared" si="112"/>
        <v>155.31886039033964</v>
      </c>
      <c r="AE99" s="179">
        <f t="shared" si="113"/>
        <v>156.97930726022753</v>
      </c>
      <c r="AF99" s="179">
        <f t="shared" si="114"/>
        <v>125.1657759764838</v>
      </c>
    </row>
    <row r="100" spans="2:32">
      <c r="B100" s="122">
        <f t="shared" si="115"/>
        <v>64366224</v>
      </c>
      <c r="C100" s="122" t="str">
        <f>VLOOKUP($B100,'Tech Litons'!$A:$I,3,0)</f>
        <v>Facepieces</v>
      </c>
      <c r="D100" s="122" t="str">
        <f>VLOOKUP($B100,'Tech Litons'!$A:$I,4,0)</f>
        <v>Facepieces</v>
      </c>
      <c r="E100" s="1021" t="s">
        <v>1110</v>
      </c>
      <c r="F100" s="1021">
        <v>64366224</v>
      </c>
      <c r="G100" s="1023">
        <v>3522</v>
      </c>
      <c r="H100" s="1023">
        <v>1700</v>
      </c>
      <c r="I100" s="1023">
        <v>2765.0345670404095</v>
      </c>
      <c r="J100" s="1023">
        <v>4529.2642437554632</v>
      </c>
      <c r="K100" s="1023">
        <v>4802.3941308563508</v>
      </c>
      <c r="L100" s="1023">
        <v>13259.164130856352</v>
      </c>
      <c r="M100" s="1023">
        <v>9439.61</v>
      </c>
      <c r="N100" s="1023">
        <v>13853.47</v>
      </c>
      <c r="O100" s="1023">
        <v>18566.670000000002</v>
      </c>
      <c r="P100" s="1023">
        <v>14702.59</v>
      </c>
      <c r="Q100" s="1023">
        <v>12102.827009288683</v>
      </c>
      <c r="R100" s="1023">
        <v>12849.315587984685</v>
      </c>
      <c r="S100" s="169">
        <f t="shared" si="102"/>
        <v>112092.33966978194</v>
      </c>
      <c r="T100" s="122">
        <f>VLOOKUP($B100,'Tech Litons'!$A:$I,9,0)</f>
        <v>187</v>
      </c>
      <c r="U100" s="179">
        <f t="shared" si="103"/>
        <v>18.834224598930483</v>
      </c>
      <c r="V100" s="179">
        <f t="shared" si="104"/>
        <v>9.0909090909090917</v>
      </c>
      <c r="W100" s="179">
        <f t="shared" si="105"/>
        <v>14.786281107167966</v>
      </c>
      <c r="X100" s="179">
        <f t="shared" si="106"/>
        <v>24.220664405109428</v>
      </c>
      <c r="Y100" s="179">
        <f t="shared" si="107"/>
        <v>25.681252036664976</v>
      </c>
      <c r="Z100" s="179">
        <f t="shared" si="108"/>
        <v>70.904621020622201</v>
      </c>
      <c r="AA100" s="179">
        <f t="shared" si="109"/>
        <v>50.479197860962572</v>
      </c>
      <c r="AB100" s="179">
        <f t="shared" si="110"/>
        <v>74.082727272727269</v>
      </c>
      <c r="AC100" s="179">
        <f t="shared" si="111"/>
        <v>99.287005347593592</v>
      </c>
      <c r="AD100" s="179">
        <f t="shared" si="112"/>
        <v>78.623475935828878</v>
      </c>
      <c r="AE100" s="179">
        <f t="shared" si="113"/>
        <v>64.721000049672099</v>
      </c>
      <c r="AF100" s="179">
        <f t="shared" si="114"/>
        <v>68.712917582805801</v>
      </c>
    </row>
    <row r="101" spans="2:32">
      <c r="B101" s="122">
        <f t="shared" si="115"/>
        <v>84161610</v>
      </c>
      <c r="C101" s="122" t="str">
        <f>VLOOKUP($B101,'Tech Litons'!$A:$I,3,0)</f>
        <v>BJ PTS</v>
      </c>
      <c r="D101" s="122" t="str">
        <f>VLOOKUP($B101,'Tech Litons'!$A:$I,4,0)</f>
        <v>BJ PTS</v>
      </c>
      <c r="E101" s="1021" t="s">
        <v>309</v>
      </c>
      <c r="F101" s="1021">
        <v>84161610</v>
      </c>
      <c r="G101" s="1023">
        <v>27396</v>
      </c>
      <c r="H101" s="1023">
        <v>33258</v>
      </c>
      <c r="I101" s="1023">
        <v>38448.545355310744</v>
      </c>
      <c r="J101" s="1023">
        <v>31391.345055814465</v>
      </c>
      <c r="K101" s="1023">
        <v>31703.760968559105</v>
      </c>
      <c r="L101" s="1023">
        <v>36606.854393286012</v>
      </c>
      <c r="M101" s="1023">
        <v>27798.198166726121</v>
      </c>
      <c r="N101" s="1023">
        <v>32354.32980762158</v>
      </c>
      <c r="O101" s="1023">
        <v>26351.124118094052</v>
      </c>
      <c r="P101" s="1023">
        <v>24371.063853701435</v>
      </c>
      <c r="Q101" s="1023">
        <v>23262.116477792359</v>
      </c>
      <c r="R101" s="1023">
        <v>20531.202169335196</v>
      </c>
      <c r="S101" s="169">
        <f t="shared" si="102"/>
        <v>353472.54036624118</v>
      </c>
      <c r="T101" s="122">
        <f>VLOOKUP($B101,'Tech Litons'!$A:$I,9,0)</f>
        <v>240</v>
      </c>
      <c r="U101" s="179">
        <f t="shared" si="103"/>
        <v>114.15</v>
      </c>
      <c r="V101" s="179">
        <f t="shared" si="104"/>
        <v>138.57499999999999</v>
      </c>
      <c r="W101" s="179">
        <f t="shared" si="105"/>
        <v>160.20227231379477</v>
      </c>
      <c r="X101" s="179">
        <f t="shared" si="106"/>
        <v>130.7972710658936</v>
      </c>
      <c r="Y101" s="179">
        <f t="shared" si="107"/>
        <v>132.09900403566294</v>
      </c>
      <c r="Z101" s="179">
        <f t="shared" si="108"/>
        <v>152.52855997202505</v>
      </c>
      <c r="AA101" s="179">
        <f t="shared" si="109"/>
        <v>115.82582569469217</v>
      </c>
      <c r="AB101" s="179">
        <f t="shared" si="110"/>
        <v>134.80970753175657</v>
      </c>
      <c r="AC101" s="179">
        <f t="shared" si="111"/>
        <v>109.79635049205855</v>
      </c>
      <c r="AD101" s="179">
        <f t="shared" si="112"/>
        <v>101.54609939042264</v>
      </c>
      <c r="AE101" s="179">
        <f t="shared" si="113"/>
        <v>96.925485324134826</v>
      </c>
      <c r="AF101" s="179">
        <f t="shared" si="114"/>
        <v>85.546675705563317</v>
      </c>
    </row>
    <row r="102" spans="2:32">
      <c r="B102" s="122">
        <f t="shared" si="115"/>
        <v>67904289</v>
      </c>
      <c r="C102" s="122" t="str">
        <f>VLOOKUP($B102,'Tech Litons'!$A:$I,3,0)</f>
        <v>BJ PTS</v>
      </c>
      <c r="D102" s="122" t="str">
        <f>VLOOKUP($B102,'Tech Litons'!$A:$I,4,0)</f>
        <v>BJ PTS</v>
      </c>
      <c r="E102" s="1021" t="s">
        <v>934</v>
      </c>
      <c r="F102" s="1021">
        <v>67904289</v>
      </c>
      <c r="G102" s="1023">
        <v>5004</v>
      </c>
      <c r="H102" s="1023">
        <v>1832</v>
      </c>
      <c r="I102" s="1023">
        <v>753.27556242485753</v>
      </c>
      <c r="J102" s="1023">
        <v>0</v>
      </c>
      <c r="K102" s="1023">
        <v>0</v>
      </c>
      <c r="L102" s="1023">
        <v>0</v>
      </c>
      <c r="M102" s="1023">
        <v>0</v>
      </c>
      <c r="N102" s="1023">
        <v>0</v>
      </c>
      <c r="O102" s="1023">
        <v>0</v>
      </c>
      <c r="P102" s="1023">
        <v>0</v>
      </c>
      <c r="Q102" s="1023">
        <v>0</v>
      </c>
      <c r="R102" s="1023">
        <v>0</v>
      </c>
      <c r="S102" s="169">
        <f t="shared" si="102"/>
        <v>7589.2755624248575</v>
      </c>
      <c r="T102" s="122">
        <f>VLOOKUP($B102,'Tech Litons'!$A:$I,9,0)</f>
        <v>240</v>
      </c>
      <c r="U102" s="179">
        <f t="shared" si="103"/>
        <v>20.85</v>
      </c>
      <c r="V102" s="179">
        <f t="shared" si="104"/>
        <v>7.6333333333333337</v>
      </c>
      <c r="W102" s="179">
        <f t="shared" si="105"/>
        <v>3.1386481767702397</v>
      </c>
      <c r="X102" s="179">
        <f t="shared" si="106"/>
        <v>0</v>
      </c>
      <c r="Y102" s="179">
        <f t="shared" si="107"/>
        <v>0</v>
      </c>
      <c r="Z102" s="179">
        <f t="shared" si="108"/>
        <v>0</v>
      </c>
      <c r="AA102" s="179">
        <f t="shared" si="109"/>
        <v>0</v>
      </c>
      <c r="AB102" s="179">
        <f t="shared" si="110"/>
        <v>0</v>
      </c>
      <c r="AC102" s="179">
        <f t="shared" si="111"/>
        <v>0</v>
      </c>
      <c r="AD102" s="179">
        <f t="shared" si="112"/>
        <v>0</v>
      </c>
      <c r="AE102" s="179">
        <f t="shared" si="113"/>
        <v>0</v>
      </c>
      <c r="AF102" s="179">
        <f t="shared" si="114"/>
        <v>0</v>
      </c>
    </row>
    <row r="103" spans="2:32">
      <c r="B103" s="122">
        <f t="shared" si="115"/>
        <v>68354588</v>
      </c>
      <c r="C103" s="122" t="str">
        <f>VLOOKUP($B103,'Tech Litons'!$A:$I,3,0)</f>
        <v>Topped</v>
      </c>
      <c r="D103" s="122" t="str">
        <f>VLOOKUP($B103,'Tech Litons'!$A:$I,4,0)</f>
        <v>SP1</v>
      </c>
      <c r="E103" s="1021" t="s">
        <v>332</v>
      </c>
      <c r="F103" s="1021">
        <v>68354588</v>
      </c>
      <c r="G103" s="1023">
        <v>23910</v>
      </c>
      <c r="H103" s="1023">
        <v>30636</v>
      </c>
      <c r="I103" s="1023">
        <v>35286.942409535572</v>
      </c>
      <c r="J103" s="1023">
        <v>29944.911554215221</v>
      </c>
      <c r="K103" s="1023">
        <v>30100.723113412132</v>
      </c>
      <c r="L103" s="1023">
        <v>33065.182119608617</v>
      </c>
      <c r="M103" s="1023">
        <v>27819.774737251541</v>
      </c>
      <c r="N103" s="1023">
        <v>28678.6578762233</v>
      </c>
      <c r="O103" s="1023">
        <v>23112.180746638227</v>
      </c>
      <c r="P103" s="1023">
        <v>22539.610455978294</v>
      </c>
      <c r="Q103" s="1023">
        <v>22222.099151280345</v>
      </c>
      <c r="R103" s="1023">
        <v>18207.667740065499</v>
      </c>
      <c r="S103" s="169">
        <f t="shared" si="102"/>
        <v>325523.74990420876</v>
      </c>
      <c r="T103" s="122">
        <f>VLOOKUP($B103,'Tech Litons'!$A:$I,9,0)</f>
        <v>240</v>
      </c>
      <c r="U103" s="179">
        <f t="shared" si="103"/>
        <v>99.625</v>
      </c>
      <c r="V103" s="179">
        <f t="shared" si="104"/>
        <v>127.65</v>
      </c>
      <c r="W103" s="179">
        <f t="shared" si="105"/>
        <v>147.02892670639821</v>
      </c>
      <c r="X103" s="179">
        <f t="shared" si="106"/>
        <v>124.77046480923009</v>
      </c>
      <c r="Y103" s="179">
        <f t="shared" si="107"/>
        <v>125.41967963921722</v>
      </c>
      <c r="Z103" s="179">
        <f t="shared" si="108"/>
        <v>137.77159216503591</v>
      </c>
      <c r="AA103" s="179">
        <f t="shared" si="109"/>
        <v>115.91572807188142</v>
      </c>
      <c r="AB103" s="179">
        <f t="shared" si="110"/>
        <v>119.49440781759708</v>
      </c>
      <c r="AC103" s="179">
        <f t="shared" si="111"/>
        <v>96.300753110992616</v>
      </c>
      <c r="AD103" s="179">
        <f t="shared" si="112"/>
        <v>93.91504356657623</v>
      </c>
      <c r="AE103" s="179">
        <f t="shared" si="113"/>
        <v>92.592079797001432</v>
      </c>
      <c r="AF103" s="179">
        <f t="shared" si="114"/>
        <v>75.865282250272912</v>
      </c>
    </row>
    <row r="104" spans="2:32">
      <c r="B104" s="122">
        <f t="shared" si="115"/>
        <v>64389651</v>
      </c>
      <c r="C104" s="122" t="str">
        <f>VLOOKUP($B104,'Tech Litons'!$A:$I,3,0)</f>
        <v>48oz</v>
      </c>
      <c r="D104" s="122" t="str">
        <f>VLOOKUP($B104,'Tech Litons'!$A:$I,4,0)</f>
        <v>48oz</v>
      </c>
      <c r="E104" s="1021" t="s">
        <v>355</v>
      </c>
      <c r="F104" s="1021">
        <v>64389651</v>
      </c>
      <c r="G104" s="1023">
        <v>40645</v>
      </c>
      <c r="H104" s="1023">
        <v>44594</v>
      </c>
      <c r="I104" s="1023">
        <v>47148.984012210858</v>
      </c>
      <c r="J104" s="1023">
        <v>42539.218811085848</v>
      </c>
      <c r="K104" s="1023">
        <v>54063.521333535042</v>
      </c>
      <c r="L104" s="1023">
        <v>53874.419943110479</v>
      </c>
      <c r="M104" s="1023">
        <v>52594.5356656269</v>
      </c>
      <c r="N104" s="1023">
        <v>51503.009882620296</v>
      </c>
      <c r="O104" s="1023">
        <v>35512.639729019407</v>
      </c>
      <c r="P104" s="1023">
        <v>35883.957574556211</v>
      </c>
      <c r="Q104" s="1023">
        <v>42550.1939556859</v>
      </c>
      <c r="R104" s="1023">
        <v>31761.111102998446</v>
      </c>
      <c r="S104" s="169">
        <f t="shared" si="102"/>
        <v>532670.5920104495</v>
      </c>
      <c r="T104" s="122">
        <f>VLOOKUP($B104,'Tech Litons'!$A:$I,9,0)</f>
        <v>176</v>
      </c>
      <c r="U104" s="179">
        <f t="shared" si="103"/>
        <v>230.9375</v>
      </c>
      <c r="V104" s="179">
        <f t="shared" si="104"/>
        <v>253.375</v>
      </c>
      <c r="W104" s="179">
        <f t="shared" si="105"/>
        <v>267.89195461483445</v>
      </c>
      <c r="X104" s="179">
        <f t="shared" si="106"/>
        <v>241.7001068811696</v>
      </c>
      <c r="Y104" s="179">
        <f t="shared" si="107"/>
        <v>307.17909848599453</v>
      </c>
      <c r="Z104" s="179">
        <f t="shared" si="108"/>
        <v>306.10465876767319</v>
      </c>
      <c r="AA104" s="179">
        <f t="shared" si="109"/>
        <v>298.83258900924375</v>
      </c>
      <c r="AB104" s="179">
        <f t="shared" si="110"/>
        <v>292.63073796943348</v>
      </c>
      <c r="AC104" s="179">
        <f t="shared" si="111"/>
        <v>201.77636209670118</v>
      </c>
      <c r="AD104" s="179">
        <f t="shared" si="112"/>
        <v>203.88612258270575</v>
      </c>
      <c r="AE104" s="179">
        <f t="shared" si="113"/>
        <v>241.76246565730625</v>
      </c>
      <c r="AF104" s="179">
        <f t="shared" si="114"/>
        <v>180.4608585397639</v>
      </c>
    </row>
    <row r="105" spans="2:32">
      <c r="B105" s="122">
        <f t="shared" si="115"/>
        <v>67789314</v>
      </c>
      <c r="C105" s="122" t="str">
        <f>VLOOKUP($B105,'Tech Litons'!$A:$I,3,0)</f>
        <v>BJ PTS</v>
      </c>
      <c r="D105" s="122" t="str">
        <f>VLOOKUP($B105,'Tech Litons'!$A:$I,4,0)</f>
        <v>BJ PTS</v>
      </c>
      <c r="E105" s="1021" t="s">
        <v>344</v>
      </c>
      <c r="F105" s="1021">
        <v>67789314</v>
      </c>
      <c r="G105" s="1023">
        <v>23204</v>
      </c>
      <c r="H105" s="1023">
        <v>30687</v>
      </c>
      <c r="I105" s="1023">
        <v>33281.747367483636</v>
      </c>
      <c r="J105" s="1023">
        <v>26226.37468621377</v>
      </c>
      <c r="K105" s="1023">
        <v>24821.118057786171</v>
      </c>
      <c r="L105" s="1023">
        <v>29350.455956224414</v>
      </c>
      <c r="M105" s="1023">
        <v>25387.298890753656</v>
      </c>
      <c r="N105" s="1023">
        <v>25771.328416089622</v>
      </c>
      <c r="O105" s="1023">
        <v>22326.41968366292</v>
      </c>
      <c r="P105" s="1023">
        <v>18004.070310077954</v>
      </c>
      <c r="Q105" s="1023">
        <v>18001.243609288624</v>
      </c>
      <c r="R105" s="1023">
        <v>15193.052744607741</v>
      </c>
      <c r="S105" s="169">
        <f t="shared" si="102"/>
        <v>292254.1097221885</v>
      </c>
      <c r="T105" s="122">
        <f>VLOOKUP($B105,'Tech Litons'!$A:$I,9,0)</f>
        <v>240</v>
      </c>
      <c r="U105" s="179">
        <f t="shared" si="103"/>
        <v>96.683333333333337</v>
      </c>
      <c r="V105" s="179">
        <f t="shared" si="104"/>
        <v>127.8625</v>
      </c>
      <c r="W105" s="179">
        <f t="shared" si="105"/>
        <v>138.67394736451516</v>
      </c>
      <c r="X105" s="179">
        <f t="shared" si="106"/>
        <v>109.27656119255738</v>
      </c>
      <c r="Y105" s="179">
        <f t="shared" si="107"/>
        <v>103.42132524077572</v>
      </c>
      <c r="Z105" s="179">
        <f t="shared" si="108"/>
        <v>122.2935664842684</v>
      </c>
      <c r="AA105" s="179">
        <f t="shared" si="109"/>
        <v>105.78041204480691</v>
      </c>
      <c r="AB105" s="179">
        <f t="shared" si="110"/>
        <v>107.38053506704009</v>
      </c>
      <c r="AC105" s="179">
        <f t="shared" si="111"/>
        <v>93.026748681928837</v>
      </c>
      <c r="AD105" s="179">
        <f t="shared" si="112"/>
        <v>75.016959625324802</v>
      </c>
      <c r="AE105" s="179">
        <f t="shared" si="113"/>
        <v>75.005181705369267</v>
      </c>
      <c r="AF105" s="179">
        <f t="shared" si="114"/>
        <v>63.304386435865588</v>
      </c>
    </row>
    <row r="106" spans="2:32">
      <c r="B106" s="122">
        <f t="shared" si="115"/>
        <v>68817801</v>
      </c>
      <c r="C106" s="122" t="str">
        <f>VLOOKUP($B106,'Tech Litons'!$A:$I,3,0)</f>
        <v>48oz</v>
      </c>
      <c r="D106" s="122" t="str">
        <f>VLOOKUP($B106,'Tech Litons'!$A:$I,4,0)</f>
        <v>48oz</v>
      </c>
      <c r="E106" s="1021" t="s">
        <v>1005</v>
      </c>
      <c r="F106" s="1021">
        <v>68817801</v>
      </c>
      <c r="G106" s="1023">
        <v>29700</v>
      </c>
      <c r="H106" s="1023">
        <v>21384</v>
      </c>
      <c r="I106" s="1023">
        <v>34756.156390954442</v>
      </c>
      <c r="J106" s="1023">
        <v>29934.121812826175</v>
      </c>
      <c r="K106" s="1023">
        <v>33764.189469364122</v>
      </c>
      <c r="L106" s="1023">
        <v>35422.929440102227</v>
      </c>
      <c r="M106" s="1023">
        <v>31236.599816783237</v>
      </c>
      <c r="N106" s="1023">
        <v>31174.803302256591</v>
      </c>
      <c r="O106" s="1023">
        <v>21876.382411107563</v>
      </c>
      <c r="P106" s="1023">
        <v>21780.14747264453</v>
      </c>
      <c r="Q106" s="1023">
        <v>28010.957991262036</v>
      </c>
      <c r="R106" s="1023">
        <v>23345.572084010968</v>
      </c>
      <c r="S106" s="169">
        <f t="shared" si="102"/>
        <v>342385.86019131186</v>
      </c>
      <c r="T106" s="122">
        <f>VLOOKUP($B106,'Tech Litons'!$A:$I,9,0)</f>
        <v>176</v>
      </c>
      <c r="U106" s="179">
        <f t="shared" si="103"/>
        <v>168.75</v>
      </c>
      <c r="V106" s="179">
        <f t="shared" si="104"/>
        <v>121.5</v>
      </c>
      <c r="W106" s="179">
        <f t="shared" si="105"/>
        <v>197.47816131224116</v>
      </c>
      <c r="X106" s="179">
        <f t="shared" si="106"/>
        <v>170.080237572876</v>
      </c>
      <c r="Y106" s="179">
        <f t="shared" si="107"/>
        <v>191.84198562138707</v>
      </c>
      <c r="Z106" s="179">
        <f t="shared" si="108"/>
        <v>201.26664454603539</v>
      </c>
      <c r="AA106" s="179">
        <f t="shared" si="109"/>
        <v>177.48068077717747</v>
      </c>
      <c r="AB106" s="179">
        <f t="shared" si="110"/>
        <v>177.129564217367</v>
      </c>
      <c r="AC106" s="179">
        <f t="shared" si="111"/>
        <v>124.29762733583843</v>
      </c>
      <c r="AD106" s="179">
        <f t="shared" si="112"/>
        <v>123.75083791275301</v>
      </c>
      <c r="AE106" s="179">
        <f t="shared" si="113"/>
        <v>159.15317040489793</v>
      </c>
      <c r="AF106" s="179">
        <f t="shared" si="114"/>
        <v>132.6452959318805</v>
      </c>
    </row>
    <row r="107" spans="2:32">
      <c r="B107" s="122">
        <f t="shared" si="115"/>
        <v>64396550</v>
      </c>
      <c r="C107" s="122" t="str">
        <f>VLOOKUP($B107,'Tech Litons'!$A:$I,3,0)</f>
        <v>MG Sticks</v>
      </c>
      <c r="D107" s="122" t="str">
        <f>VLOOKUP($B107,'Tech Litons'!$A:$I,4,0)</f>
        <v>MG Sticks</v>
      </c>
      <c r="E107" s="1021" t="s">
        <v>548</v>
      </c>
      <c r="F107" s="1021">
        <v>64396550</v>
      </c>
      <c r="G107" s="1023">
        <v>4669</v>
      </c>
      <c r="H107" s="1023">
        <v>7163</v>
      </c>
      <c r="I107" s="1023">
        <v>12159.15</v>
      </c>
      <c r="J107" s="1023">
        <v>17003.013438842245</v>
      </c>
      <c r="K107" s="1023">
        <v>18890.072440258875</v>
      </c>
      <c r="L107" s="1023">
        <v>19645.502513178657</v>
      </c>
      <c r="M107" s="1023">
        <v>18552.338165393045</v>
      </c>
      <c r="N107" s="1023">
        <v>14914.841826014099</v>
      </c>
      <c r="O107" s="1023">
        <v>13738.942190613026</v>
      </c>
      <c r="P107" s="1023">
        <v>12341.255065836654</v>
      </c>
      <c r="Q107" s="1023">
        <v>11881.837197696157</v>
      </c>
      <c r="R107" s="1023">
        <v>9949.6030322100141</v>
      </c>
      <c r="S107" s="169">
        <f t="shared" si="102"/>
        <v>160908.55587004279</v>
      </c>
      <c r="T107" s="122">
        <f>VLOOKUP($B107,'Tech Litons'!$A:$I,9,0)</f>
        <v>493</v>
      </c>
      <c r="U107" s="179">
        <f t="shared" si="103"/>
        <v>9.4705882352941178</v>
      </c>
      <c r="V107" s="179">
        <f t="shared" si="104"/>
        <v>14.529411764705882</v>
      </c>
      <c r="W107" s="179">
        <f t="shared" si="105"/>
        <v>24.663590263691681</v>
      </c>
      <c r="X107" s="179">
        <f t="shared" si="106"/>
        <v>34.488871072702324</v>
      </c>
      <c r="Y107" s="179">
        <f t="shared" si="107"/>
        <v>38.316576957928753</v>
      </c>
      <c r="Z107" s="179">
        <f t="shared" si="108"/>
        <v>39.848889479064212</v>
      </c>
      <c r="AA107" s="179">
        <f t="shared" si="109"/>
        <v>37.631517576862159</v>
      </c>
      <c r="AB107" s="179">
        <f t="shared" si="110"/>
        <v>30.25322885601237</v>
      </c>
      <c r="AC107" s="179">
        <f t="shared" si="111"/>
        <v>27.868036897795186</v>
      </c>
      <c r="AD107" s="179">
        <f t="shared" si="112"/>
        <v>25.032971735976986</v>
      </c>
      <c r="AE107" s="179">
        <f t="shared" si="113"/>
        <v>24.101089650499304</v>
      </c>
      <c r="AF107" s="179">
        <f t="shared" si="114"/>
        <v>20.181750572434105</v>
      </c>
    </row>
    <row r="108" spans="2:32">
      <c r="B108" s="122">
        <f t="shared" si="115"/>
        <v>68862402</v>
      </c>
      <c r="C108" s="122" t="str">
        <f>VLOOKUP($B108,'Tech Litons'!$A:$I,3,0)</f>
        <v>Talenti</v>
      </c>
      <c r="D108" s="122" t="str">
        <f>VLOOKUP($B108,'Tech Litons'!$A:$I,4,0)</f>
        <v>Talenti</v>
      </c>
      <c r="E108" s="1021" t="s">
        <v>401</v>
      </c>
      <c r="F108" s="1021">
        <v>68862402</v>
      </c>
      <c r="G108" s="1024">
        <v>24570</v>
      </c>
      <c r="H108" s="1023">
        <v>28815</v>
      </c>
      <c r="I108" s="1023">
        <v>33817.339005905342</v>
      </c>
      <c r="J108" s="1023">
        <v>31898.584415976955</v>
      </c>
      <c r="K108" s="1023">
        <v>35783.639875942419</v>
      </c>
      <c r="L108" s="1023">
        <v>40500.001688926917</v>
      </c>
      <c r="M108" s="1023">
        <v>31711.093872875492</v>
      </c>
      <c r="N108" s="1023">
        <v>28081.6103725391</v>
      </c>
      <c r="O108" s="1023">
        <v>28637.334492843984</v>
      </c>
      <c r="P108" s="1023">
        <v>27315.824972135873</v>
      </c>
      <c r="Q108" s="1023">
        <v>22692.509712370091</v>
      </c>
      <c r="R108" s="1023">
        <v>18361.114527192149</v>
      </c>
      <c r="S108" s="169">
        <f t="shared" si="102"/>
        <v>352184.05293670838</v>
      </c>
      <c r="T108" s="122">
        <f>VLOOKUP($B108,'Tech Litons'!$A:$I,9,0)</f>
        <v>255</v>
      </c>
      <c r="U108" s="179">
        <f t="shared" si="103"/>
        <v>96.352941176470594</v>
      </c>
      <c r="V108" s="179">
        <f t="shared" si="104"/>
        <v>113</v>
      </c>
      <c r="W108" s="179">
        <f t="shared" si="105"/>
        <v>132.61701570943271</v>
      </c>
      <c r="X108" s="179">
        <f t="shared" si="106"/>
        <v>125.09248790579198</v>
      </c>
      <c r="Y108" s="179">
        <f t="shared" si="107"/>
        <v>140.32799951349969</v>
      </c>
      <c r="Z108" s="179">
        <f t="shared" si="108"/>
        <v>158.82353603500752</v>
      </c>
      <c r="AA108" s="179">
        <f t="shared" si="109"/>
        <v>124.35723087402154</v>
      </c>
      <c r="AB108" s="179">
        <f t="shared" si="110"/>
        <v>110.12396224525138</v>
      </c>
      <c r="AC108" s="179">
        <f t="shared" si="111"/>
        <v>112.3032725209568</v>
      </c>
      <c r="AD108" s="179">
        <f t="shared" si="112"/>
        <v>107.1208822436701</v>
      </c>
      <c r="AE108" s="179">
        <f t="shared" si="113"/>
        <v>88.990234166157222</v>
      </c>
      <c r="AF108" s="179">
        <f t="shared" si="114"/>
        <v>72.00437069487117</v>
      </c>
    </row>
    <row r="109" spans="2:32">
      <c r="B109" s="122">
        <f t="shared" si="115"/>
        <v>64373718</v>
      </c>
      <c r="C109" s="122" t="str">
        <f>VLOOKUP($B109,'Tech Litons'!$A:$I,3,0)</f>
        <v>48oz</v>
      </c>
      <c r="D109" s="122" t="str">
        <f>VLOOKUP($B109,'Tech Litons'!$A:$I,4,0)</f>
        <v>48oz</v>
      </c>
      <c r="E109" s="1021" t="s">
        <v>1083</v>
      </c>
      <c r="F109" s="1021">
        <v>64373718</v>
      </c>
      <c r="G109" s="1023">
        <v>24805</v>
      </c>
      <c r="H109" s="1023">
        <v>26235</v>
      </c>
      <c r="I109" s="1023">
        <v>34077.735666598201</v>
      </c>
      <c r="J109" s="1023">
        <v>30322.035833589071</v>
      </c>
      <c r="K109" s="1023">
        <v>31258.904791161596</v>
      </c>
      <c r="L109" s="1023">
        <v>35484.986627452025</v>
      </c>
      <c r="M109" s="1023">
        <v>39603.732685333911</v>
      </c>
      <c r="N109" s="1023">
        <v>40749.559168554042</v>
      </c>
      <c r="O109" s="1023">
        <v>24184.092865006885</v>
      </c>
      <c r="P109" s="1023">
        <v>25750.180379503854</v>
      </c>
      <c r="Q109" s="1023">
        <v>31111.248778564372</v>
      </c>
      <c r="R109" s="1023">
        <v>23047.42500218104</v>
      </c>
      <c r="S109" s="169">
        <f t="shared" si="102"/>
        <v>366629.90179794497</v>
      </c>
      <c r="T109" s="122">
        <f>VLOOKUP($B109,'Tech Litons'!$A:$I,9,0)</f>
        <v>176</v>
      </c>
      <c r="U109" s="179">
        <f t="shared" si="103"/>
        <v>140.9375</v>
      </c>
      <c r="V109" s="179">
        <f t="shared" si="104"/>
        <v>149.0625</v>
      </c>
      <c r="W109" s="179">
        <f t="shared" si="105"/>
        <v>193.62349810567159</v>
      </c>
      <c r="X109" s="179">
        <f t="shared" si="106"/>
        <v>172.2842945090288</v>
      </c>
      <c r="Y109" s="179">
        <f t="shared" si="107"/>
        <v>177.60741358614544</v>
      </c>
      <c r="Z109" s="179">
        <f t="shared" si="108"/>
        <v>201.61924220143194</v>
      </c>
      <c r="AA109" s="179">
        <f t="shared" si="109"/>
        <v>225.02120843939721</v>
      </c>
      <c r="AB109" s="179">
        <f t="shared" si="110"/>
        <v>231.53158618496616</v>
      </c>
      <c r="AC109" s="179">
        <f t="shared" si="111"/>
        <v>137.4096185511755</v>
      </c>
      <c r="AD109" s="179">
        <f t="shared" si="112"/>
        <v>146.30784306536282</v>
      </c>
      <c r="AE109" s="179">
        <f t="shared" si="113"/>
        <v>176.76845896911576</v>
      </c>
      <c r="AF109" s="179">
        <f t="shared" si="114"/>
        <v>130.95127842148318</v>
      </c>
    </row>
    <row r="110" spans="2:32">
      <c r="B110" s="122">
        <f t="shared" si="115"/>
        <v>68899821</v>
      </c>
      <c r="C110" s="122" t="str">
        <f>VLOOKUP($B110,'Tech Litons'!$A:$I,3,0)</f>
        <v>48oz</v>
      </c>
      <c r="D110" s="122" t="str">
        <f>VLOOKUP($B110,'Tech Litons'!$A:$I,4,0)</f>
        <v>48oz</v>
      </c>
      <c r="E110" s="1021" t="s">
        <v>997</v>
      </c>
      <c r="F110" s="1021">
        <v>68899821</v>
      </c>
      <c r="G110" s="1023">
        <v>32384</v>
      </c>
      <c r="H110" s="1023">
        <v>23006</v>
      </c>
      <c r="I110" s="1023">
        <v>41228.011161285001</v>
      </c>
      <c r="J110" s="1023">
        <v>32839.777480124816</v>
      </c>
      <c r="K110" s="1023">
        <v>33578.743289811522</v>
      </c>
      <c r="L110" s="1023">
        <v>39909.203904701528</v>
      </c>
      <c r="M110" s="1023">
        <v>30828.557955469991</v>
      </c>
      <c r="N110" s="1023">
        <v>32550.418837006004</v>
      </c>
      <c r="O110" s="1023">
        <v>20238.315745020704</v>
      </c>
      <c r="P110" s="1023">
        <v>21624.156323484556</v>
      </c>
      <c r="Q110" s="1023">
        <v>29617.083600147911</v>
      </c>
      <c r="R110" s="1023">
        <v>22141.218899303982</v>
      </c>
      <c r="S110" s="169">
        <f t="shared" si="102"/>
        <v>359945.48719635606</v>
      </c>
      <c r="T110" s="122">
        <f>VLOOKUP($B110,'Tech Litons'!$A:$I,9,0)</f>
        <v>176</v>
      </c>
      <c r="U110" s="179">
        <f t="shared" si="103"/>
        <v>184</v>
      </c>
      <c r="V110" s="179">
        <f t="shared" si="104"/>
        <v>130.71590909090909</v>
      </c>
      <c r="W110" s="179">
        <f t="shared" si="105"/>
        <v>234.25006341639207</v>
      </c>
      <c r="X110" s="179">
        <f t="shared" si="106"/>
        <v>186.58964477343645</v>
      </c>
      <c r="Y110" s="179">
        <f t="shared" si="107"/>
        <v>190.78831414665638</v>
      </c>
      <c r="Z110" s="179">
        <f t="shared" si="108"/>
        <v>226.75684036762232</v>
      </c>
      <c r="AA110" s="179">
        <f t="shared" si="109"/>
        <v>175.16226111062494</v>
      </c>
      <c r="AB110" s="179">
        <f t="shared" si="110"/>
        <v>184.94556157389775</v>
      </c>
      <c r="AC110" s="179">
        <f t="shared" si="111"/>
        <v>114.99043036943581</v>
      </c>
      <c r="AD110" s="179">
        <f t="shared" si="112"/>
        <v>122.86452456525316</v>
      </c>
      <c r="AE110" s="179">
        <f t="shared" si="113"/>
        <v>168.27888409174949</v>
      </c>
      <c r="AF110" s="179">
        <f t="shared" si="114"/>
        <v>125.80238010968172</v>
      </c>
    </row>
    <row r="111" spans="2:32">
      <c r="B111" s="122">
        <f t="shared" si="115"/>
        <v>69568962</v>
      </c>
      <c r="C111" s="122" t="str">
        <f>VLOOKUP($B111,'Tech Litons'!$A:$I,3,0)</f>
        <v>48oz</v>
      </c>
      <c r="D111" s="122" t="str">
        <f>VLOOKUP($B111,'Tech Litons'!$A:$I,4,0)</f>
        <v>48oz</v>
      </c>
      <c r="E111" s="1021" t="s">
        <v>528</v>
      </c>
      <c r="F111" s="1021">
        <v>69568962</v>
      </c>
      <c r="G111" s="1023">
        <v>26631</v>
      </c>
      <c r="H111" s="1023">
        <v>18496</v>
      </c>
      <c r="I111" s="1023">
        <v>29012.660198306989</v>
      </c>
      <c r="J111" s="1023">
        <v>31858.427549228916</v>
      </c>
      <c r="K111" s="1023">
        <v>35133.769828211327</v>
      </c>
      <c r="L111" s="1023">
        <v>34056.451554812898</v>
      </c>
      <c r="M111" s="1023">
        <v>28535.726361537709</v>
      </c>
      <c r="N111" s="1023">
        <v>31198.972746301784</v>
      </c>
      <c r="O111" s="1023">
        <v>23896.235712335329</v>
      </c>
      <c r="P111" s="1023">
        <v>23740.147578587115</v>
      </c>
      <c r="Q111" s="1023">
        <v>22593.025301913138</v>
      </c>
      <c r="R111" s="1023">
        <v>19986.355674290484</v>
      </c>
      <c r="S111" s="169">
        <f t="shared" si="102"/>
        <v>325138.77250552573</v>
      </c>
      <c r="T111" s="122">
        <f>VLOOKUP($B111,'Tech Litons'!$A:$I,9,0)</f>
        <v>176</v>
      </c>
      <c r="U111" s="179">
        <f t="shared" si="103"/>
        <v>151.3125</v>
      </c>
      <c r="V111" s="179">
        <f t="shared" si="104"/>
        <v>105.09090909090909</v>
      </c>
      <c r="W111" s="179">
        <f t="shared" si="105"/>
        <v>164.84466021765334</v>
      </c>
      <c r="X111" s="179">
        <f t="shared" si="106"/>
        <v>181.01379289334611</v>
      </c>
      <c r="Y111" s="179">
        <f t="shared" si="107"/>
        <v>199.62369220574618</v>
      </c>
      <c r="Z111" s="179">
        <f t="shared" si="108"/>
        <v>193.50256565234602</v>
      </c>
      <c r="AA111" s="179">
        <f t="shared" si="109"/>
        <v>162.13480887237336</v>
      </c>
      <c r="AB111" s="179">
        <f t="shared" si="110"/>
        <v>177.26689060398741</v>
      </c>
      <c r="AC111" s="179">
        <f t="shared" si="111"/>
        <v>135.77406654735981</v>
      </c>
      <c r="AD111" s="179">
        <f t="shared" si="112"/>
        <v>134.88720215106315</v>
      </c>
      <c r="AE111" s="179">
        <f t="shared" si="113"/>
        <v>128.36946194268828</v>
      </c>
      <c r="AF111" s="179">
        <f t="shared" si="114"/>
        <v>113.55883905846866</v>
      </c>
    </row>
    <row r="112" spans="2:32">
      <c r="B112" s="122">
        <f t="shared" si="115"/>
        <v>84135770</v>
      </c>
      <c r="C112" s="122" t="str">
        <f>VLOOKUP($B112,'Tech Litons'!$A:$I,3,0)</f>
        <v>BJ PTS</v>
      </c>
      <c r="D112" s="122" t="str">
        <f>VLOOKUP($B112,'Tech Litons'!$A:$I,4,0)</f>
        <v>BJ PTS</v>
      </c>
      <c r="E112" s="1021" t="s">
        <v>415</v>
      </c>
      <c r="F112" s="1021">
        <v>84135770</v>
      </c>
      <c r="G112" s="1023">
        <v>26523</v>
      </c>
      <c r="H112" s="1023">
        <v>33966</v>
      </c>
      <c r="I112" s="1023">
        <v>40663.814016819277</v>
      </c>
      <c r="J112" s="1023">
        <v>32292.639615203898</v>
      </c>
      <c r="K112" s="1023">
        <v>34834.943008854272</v>
      </c>
      <c r="L112" s="1023">
        <v>40820.017073120493</v>
      </c>
      <c r="M112" s="1023">
        <v>30884.908347788045</v>
      </c>
      <c r="N112" s="1023">
        <v>35933.574793354339</v>
      </c>
      <c r="O112" s="1023">
        <v>25413.02038291689</v>
      </c>
      <c r="P112" s="1023">
        <v>23265.304807177323</v>
      </c>
      <c r="Q112" s="1023">
        <v>23919.228407467639</v>
      </c>
      <c r="R112" s="1023">
        <v>23897.078528773065</v>
      </c>
      <c r="S112" s="169">
        <f t="shared" si="102"/>
        <v>372413.52898147528</v>
      </c>
      <c r="T112" s="122">
        <f>VLOOKUP($B112,'Tech Litons'!$A:$I,9,0)</f>
        <v>240</v>
      </c>
      <c r="U112" s="179">
        <f t="shared" si="103"/>
        <v>110.5125</v>
      </c>
      <c r="V112" s="179">
        <f t="shared" si="104"/>
        <v>141.52500000000001</v>
      </c>
      <c r="W112" s="179">
        <f t="shared" si="105"/>
        <v>169.43255840341365</v>
      </c>
      <c r="X112" s="179">
        <f t="shared" si="106"/>
        <v>134.55266506334956</v>
      </c>
      <c r="Y112" s="179">
        <f t="shared" si="107"/>
        <v>145.14559587022615</v>
      </c>
      <c r="Z112" s="179">
        <f t="shared" si="108"/>
        <v>170.0834044713354</v>
      </c>
      <c r="AA112" s="179">
        <f t="shared" si="109"/>
        <v>128.68711811578353</v>
      </c>
      <c r="AB112" s="179">
        <f t="shared" si="110"/>
        <v>149.72322830564309</v>
      </c>
      <c r="AC112" s="179">
        <f t="shared" si="111"/>
        <v>105.88758492882037</v>
      </c>
      <c r="AD112" s="179">
        <f t="shared" si="112"/>
        <v>96.938770029905513</v>
      </c>
      <c r="AE112" s="179">
        <f t="shared" si="113"/>
        <v>99.663451697781824</v>
      </c>
      <c r="AF112" s="179">
        <f t="shared" si="114"/>
        <v>99.571160536554444</v>
      </c>
    </row>
    <row r="113" spans="2:32">
      <c r="B113" s="122">
        <f t="shared" si="115"/>
        <v>64341107</v>
      </c>
      <c r="C113" s="122" t="str">
        <f>VLOOKUP($B113,'Tech Litons'!$A:$I,3,0)</f>
        <v>PG</v>
      </c>
      <c r="D113" s="122" t="str">
        <f>VLOOKUP($B113,'Tech Litons'!$A:$I,4,0)</f>
        <v>PG</v>
      </c>
      <c r="E113" s="1021" t="s">
        <v>1090</v>
      </c>
      <c r="F113" s="1021">
        <v>64341107</v>
      </c>
      <c r="G113" s="1023">
        <v>11219</v>
      </c>
      <c r="H113" s="1023">
        <v>11804</v>
      </c>
      <c r="I113" s="1023">
        <v>12390.294248480597</v>
      </c>
      <c r="J113" s="1023">
        <v>17427.07485547453</v>
      </c>
      <c r="K113" s="1023">
        <v>20882.854588824634</v>
      </c>
      <c r="L113" s="1023">
        <v>24199.15510062781</v>
      </c>
      <c r="M113" s="1023">
        <v>23696.404508694737</v>
      </c>
      <c r="N113" s="1023">
        <v>20730.161612643627</v>
      </c>
      <c r="O113" s="1023">
        <v>11603.842902812872</v>
      </c>
      <c r="P113" s="1023">
        <v>8699.5801085175844</v>
      </c>
      <c r="Q113" s="1023">
        <v>9668.8070691299145</v>
      </c>
      <c r="R113" s="1023">
        <v>9503.7403293352691</v>
      </c>
      <c r="S113" s="169">
        <f t="shared" si="102"/>
        <v>181824.91532454159</v>
      </c>
      <c r="T113" s="122">
        <f>VLOOKUP($B113,'Tech Litons'!$A:$I,9,0)</f>
        <v>130</v>
      </c>
      <c r="U113" s="179">
        <f t="shared" si="103"/>
        <v>86.3</v>
      </c>
      <c r="V113" s="179">
        <f t="shared" si="104"/>
        <v>90.8</v>
      </c>
      <c r="W113" s="179">
        <f t="shared" si="105"/>
        <v>95.309955757543051</v>
      </c>
      <c r="X113" s="179">
        <f t="shared" si="106"/>
        <v>134.05442196518868</v>
      </c>
      <c r="Y113" s="179">
        <f t="shared" si="107"/>
        <v>160.63734299095873</v>
      </c>
      <c r="Z113" s="179">
        <f t="shared" si="108"/>
        <v>186.14734692790623</v>
      </c>
      <c r="AA113" s="179">
        <f t="shared" si="109"/>
        <v>182.2800346822672</v>
      </c>
      <c r="AB113" s="179">
        <f t="shared" si="110"/>
        <v>159.46278163572021</v>
      </c>
      <c r="AC113" s="179">
        <f t="shared" si="111"/>
        <v>89.260330021637472</v>
      </c>
      <c r="AD113" s="179">
        <f t="shared" si="112"/>
        <v>66.919846988596802</v>
      </c>
      <c r="AE113" s="179">
        <f t="shared" si="113"/>
        <v>74.375438993307029</v>
      </c>
      <c r="AF113" s="179">
        <f t="shared" si="114"/>
        <v>73.105694841040531</v>
      </c>
    </row>
    <row r="114" spans="2:32">
      <c r="B114" s="122">
        <f t="shared" si="115"/>
        <v>68821728</v>
      </c>
      <c r="C114" s="122" t="str">
        <f>VLOOKUP($B114,'Tech Litons'!$A:$I,3,0)</f>
        <v>48oz</v>
      </c>
      <c r="D114" s="122" t="str">
        <f>VLOOKUP($B114,'Tech Litons'!$A:$I,4,0)</f>
        <v>48oz</v>
      </c>
      <c r="E114" s="1021" t="s">
        <v>1004</v>
      </c>
      <c r="F114" s="1021">
        <v>68821728</v>
      </c>
      <c r="G114" s="1024">
        <v>25762</v>
      </c>
      <c r="H114" s="1023">
        <v>21989</v>
      </c>
      <c r="I114" s="1023">
        <v>36793.191520187836</v>
      </c>
      <c r="J114" s="1023">
        <v>31718.270027032253</v>
      </c>
      <c r="K114" s="1023">
        <v>32421.606365736388</v>
      </c>
      <c r="L114" s="1023">
        <v>36872.683825722052</v>
      </c>
      <c r="M114" s="1023">
        <v>31248.252076036701</v>
      </c>
      <c r="N114" s="1023">
        <v>29921.866410861392</v>
      </c>
      <c r="O114" s="1023">
        <v>20888.436366725371</v>
      </c>
      <c r="P114" s="1023">
        <v>20010.552119915857</v>
      </c>
      <c r="Q114" s="1023">
        <v>28492.157255848379</v>
      </c>
      <c r="R114" s="1023">
        <v>22578.785487560501</v>
      </c>
      <c r="S114" s="169">
        <f t="shared" si="102"/>
        <v>338696.80145562673</v>
      </c>
      <c r="T114" s="122">
        <f>VLOOKUP($B114,'Tech Litons'!$A:$I,9,0)</f>
        <v>176</v>
      </c>
      <c r="U114" s="179">
        <f t="shared" si="103"/>
        <v>146.375</v>
      </c>
      <c r="V114" s="179">
        <f t="shared" si="104"/>
        <v>124.9375</v>
      </c>
      <c r="W114" s="179">
        <f t="shared" si="105"/>
        <v>209.05222454652178</v>
      </c>
      <c r="X114" s="179">
        <f t="shared" si="106"/>
        <v>180.21744333541054</v>
      </c>
      <c r="Y114" s="179">
        <f t="shared" si="107"/>
        <v>184.21367253259311</v>
      </c>
      <c r="Z114" s="179">
        <f t="shared" si="108"/>
        <v>209.50388537342076</v>
      </c>
      <c r="AA114" s="179">
        <f t="shared" si="109"/>
        <v>177.54688679566308</v>
      </c>
      <c r="AB114" s="179">
        <f t="shared" si="110"/>
        <v>170.01060460716701</v>
      </c>
      <c r="AC114" s="179">
        <f t="shared" si="111"/>
        <v>118.68429753821233</v>
      </c>
      <c r="AD114" s="179">
        <f t="shared" si="112"/>
        <v>113.69631886315828</v>
      </c>
      <c r="AE114" s="179">
        <f t="shared" si="113"/>
        <v>161.88725713550215</v>
      </c>
      <c r="AF114" s="179">
        <f t="shared" si="114"/>
        <v>128.28855390659376</v>
      </c>
    </row>
    <row r="115" spans="2:32">
      <c r="B115" s="122">
        <f t="shared" si="115"/>
        <v>64341967</v>
      </c>
      <c r="C115" s="122" t="str">
        <f>VLOOKUP($B115,'Tech Litons'!$A:$I,3,0)</f>
        <v>48oz</v>
      </c>
      <c r="D115" s="122" t="str">
        <f>VLOOKUP($B115,'Tech Litons'!$A:$I,4,0)</f>
        <v>48oz</v>
      </c>
      <c r="E115" s="1021" t="s">
        <v>992</v>
      </c>
      <c r="F115" s="1021">
        <v>64341967</v>
      </c>
      <c r="G115" s="1023">
        <v>20405</v>
      </c>
      <c r="H115" s="1023">
        <v>13530</v>
      </c>
      <c r="I115" s="1023">
        <v>22568.378359333994</v>
      </c>
      <c r="J115" s="1023">
        <v>20070.246585920351</v>
      </c>
      <c r="K115" s="1023">
        <v>22190.72485694319</v>
      </c>
      <c r="L115" s="1023">
        <v>28182.040020895114</v>
      </c>
      <c r="M115" s="1023">
        <v>19336.636129074697</v>
      </c>
      <c r="N115" s="1023">
        <v>20507.462473004896</v>
      </c>
      <c r="O115" s="1023">
        <v>14010.869806361214</v>
      </c>
      <c r="P115" s="1023">
        <v>13553.680898913992</v>
      </c>
      <c r="Q115" s="1023">
        <v>19307.058919404542</v>
      </c>
      <c r="R115" s="1023">
        <v>13916.491975028659</v>
      </c>
      <c r="S115" s="169">
        <f t="shared" si="102"/>
        <v>227578.59002488063</v>
      </c>
      <c r="T115" s="122">
        <f>VLOOKUP($B115,'Tech Litons'!$A:$I,9,0)</f>
        <v>176</v>
      </c>
      <c r="U115" s="179">
        <f t="shared" si="103"/>
        <v>115.9375</v>
      </c>
      <c r="V115" s="179">
        <f t="shared" si="104"/>
        <v>76.875</v>
      </c>
      <c r="W115" s="179">
        <f t="shared" si="105"/>
        <v>128.22942249621588</v>
      </c>
      <c r="X115" s="179">
        <f t="shared" si="106"/>
        <v>114.03549196545654</v>
      </c>
      <c r="Y115" s="179">
        <f t="shared" si="107"/>
        <v>126.08366395990448</v>
      </c>
      <c r="Z115" s="179">
        <f t="shared" si="108"/>
        <v>160.1252273914495</v>
      </c>
      <c r="AA115" s="179">
        <f t="shared" si="109"/>
        <v>109.86725073337897</v>
      </c>
      <c r="AB115" s="179">
        <f t="shared" si="110"/>
        <v>116.51967314207327</v>
      </c>
      <c r="AC115" s="179">
        <f t="shared" si="111"/>
        <v>79.607214808870538</v>
      </c>
      <c r="AD115" s="179">
        <f t="shared" si="112"/>
        <v>77.009550562011313</v>
      </c>
      <c r="AE115" s="179">
        <f t="shared" si="113"/>
        <v>109.69919840570763</v>
      </c>
      <c r="AF115" s="179">
        <f t="shared" si="114"/>
        <v>79.070977130844653</v>
      </c>
    </row>
    <row r="116" spans="2:32">
      <c r="B116" s="122">
        <f t="shared" si="115"/>
        <v>64903296</v>
      </c>
      <c r="C116" s="122" t="str">
        <f>VLOOKUP($B116,'Tech Litons'!$A:$I,3,0)</f>
        <v>MG Sticks</v>
      </c>
      <c r="D116" s="122" t="str">
        <f>VLOOKUP($B116,'Tech Litons'!$A:$I,4,0)</f>
        <v>MG Sticks</v>
      </c>
      <c r="E116" s="1021" t="s">
        <v>903</v>
      </c>
      <c r="F116" s="1021">
        <v>64903296</v>
      </c>
      <c r="G116" s="1023">
        <v>12502</v>
      </c>
      <c r="H116" s="1023">
        <v>22746</v>
      </c>
      <c r="I116" s="1023">
        <v>20309.729986509104</v>
      </c>
      <c r="J116" s="1023">
        <v>18854.579722472972</v>
      </c>
      <c r="K116" s="1023">
        <v>16940.284849914726</v>
      </c>
      <c r="L116" s="1023">
        <v>22672.322913840308</v>
      </c>
      <c r="M116" s="1023">
        <v>18007.107498877369</v>
      </c>
      <c r="N116" s="1023">
        <v>12436.005486215081</v>
      </c>
      <c r="O116" s="1023">
        <v>13076.468231729201</v>
      </c>
      <c r="P116" s="1023">
        <v>11757.071995128745</v>
      </c>
      <c r="Q116" s="1023">
        <v>12874.495945614457</v>
      </c>
      <c r="R116" s="1023">
        <v>7656.0945251793364</v>
      </c>
      <c r="S116" s="169">
        <f t="shared" si="102"/>
        <v>189832.16115548127</v>
      </c>
      <c r="T116" s="122">
        <f>VLOOKUP($B116,'Tech Litons'!$A:$I,9,0)</f>
        <v>162</v>
      </c>
      <c r="U116" s="179">
        <f t="shared" si="103"/>
        <v>77.172839506172835</v>
      </c>
      <c r="V116" s="179">
        <f t="shared" si="104"/>
        <v>140.40740740740742</v>
      </c>
      <c r="W116" s="179">
        <f t="shared" si="105"/>
        <v>125.36870362042657</v>
      </c>
      <c r="X116" s="179">
        <f t="shared" si="106"/>
        <v>116.38629458316649</v>
      </c>
      <c r="Y116" s="179">
        <f t="shared" si="107"/>
        <v>104.56965956737486</v>
      </c>
      <c r="Z116" s="179">
        <f t="shared" si="108"/>
        <v>139.95261057926115</v>
      </c>
      <c r="AA116" s="179">
        <f t="shared" si="109"/>
        <v>111.15498456097141</v>
      </c>
      <c r="AB116" s="179">
        <f t="shared" si="110"/>
        <v>76.765465964290627</v>
      </c>
      <c r="AC116" s="179">
        <f t="shared" si="111"/>
        <v>80.718939702032102</v>
      </c>
      <c r="AD116" s="179">
        <f t="shared" si="112"/>
        <v>72.574518488449044</v>
      </c>
      <c r="AE116" s="179">
        <f t="shared" si="113"/>
        <v>79.472197195150969</v>
      </c>
      <c r="AF116" s="179">
        <f t="shared" si="114"/>
        <v>47.259842748020596</v>
      </c>
    </row>
    <row r="117" spans="2:32">
      <c r="B117" s="122">
        <f t="shared" si="115"/>
        <v>69797468</v>
      </c>
      <c r="C117" s="122" t="str">
        <f>VLOOKUP($B117,'Tech Litons'!$A:$I,3,0)</f>
        <v>MG Sticks</v>
      </c>
      <c r="D117" s="122" t="str">
        <f>VLOOKUP($B117,'Tech Litons'!$A:$I,4,0)</f>
        <v>MG Sticks</v>
      </c>
      <c r="E117" s="1022" t="s">
        <v>545</v>
      </c>
      <c r="F117" s="1022">
        <v>69797468</v>
      </c>
      <c r="G117" s="1025">
        <v>14573</v>
      </c>
      <c r="H117" s="1025">
        <v>15106</v>
      </c>
      <c r="I117" s="1025">
        <v>19230.669980345607</v>
      </c>
      <c r="J117" s="1025">
        <v>21272.763502117821</v>
      </c>
      <c r="K117" s="1025">
        <v>22244.824674050087</v>
      </c>
      <c r="L117" s="1025">
        <v>22732.053315098365</v>
      </c>
      <c r="M117" s="1025">
        <v>22458.259244011584</v>
      </c>
      <c r="N117" s="1025">
        <v>24940.052321805466</v>
      </c>
      <c r="O117" s="1025">
        <v>20226.796365866496</v>
      </c>
      <c r="P117" s="1025">
        <v>15752.179009660584</v>
      </c>
      <c r="Q117" s="1025">
        <v>12569.199673315214</v>
      </c>
      <c r="R117" s="1025">
        <v>12760.489369015866</v>
      </c>
      <c r="S117" s="169">
        <f t="shared" si="102"/>
        <v>223866.28745528712</v>
      </c>
      <c r="T117" s="122">
        <f>VLOOKUP($B117,'Tech Litons'!$A:$I,9,0)</f>
        <v>143</v>
      </c>
      <c r="U117" s="179">
        <f t="shared" si="103"/>
        <v>101.90909090909091</v>
      </c>
      <c r="V117" s="179">
        <f t="shared" si="104"/>
        <v>105.63636363636364</v>
      </c>
      <c r="W117" s="179">
        <f t="shared" si="105"/>
        <v>134.48020965276649</v>
      </c>
      <c r="X117" s="179">
        <f t="shared" si="106"/>
        <v>148.76058393089386</v>
      </c>
      <c r="Y117" s="179">
        <f t="shared" si="107"/>
        <v>155.55821450384676</v>
      </c>
      <c r="Z117" s="179">
        <f t="shared" si="108"/>
        <v>158.96540779789066</v>
      </c>
      <c r="AA117" s="179">
        <f t="shared" si="109"/>
        <v>157.05076394413695</v>
      </c>
      <c r="AB117" s="179">
        <f t="shared" si="110"/>
        <v>174.40596029234592</v>
      </c>
      <c r="AC117" s="179">
        <f t="shared" si="111"/>
        <v>141.44612843263283</v>
      </c>
      <c r="AD117" s="179">
        <f t="shared" si="112"/>
        <v>110.15509796965443</v>
      </c>
      <c r="AE117" s="179">
        <f t="shared" si="113"/>
        <v>87.896501211994504</v>
      </c>
      <c r="AF117" s="179">
        <f t="shared" si="114"/>
        <v>89.234191391719349</v>
      </c>
    </row>
    <row r="118" spans="2:32">
      <c r="B118" s="122">
        <f t="shared" si="115"/>
        <v>69798156</v>
      </c>
      <c r="C118" s="122" t="str">
        <f>VLOOKUP($B118,'Tech Litons'!$A:$I,3,0)</f>
        <v>Quarts</v>
      </c>
      <c r="D118" s="122" t="str">
        <f>VLOOKUP($B118,'Tech Litons'!$A:$I,4,0)</f>
        <v>Other</v>
      </c>
      <c r="E118" s="1021" t="s">
        <v>1097</v>
      </c>
      <c r="F118" s="1021">
        <v>69798156</v>
      </c>
      <c r="G118" s="1031">
        <v>1347</v>
      </c>
      <c r="H118" s="1031">
        <v>1837</v>
      </c>
      <c r="I118" s="1031">
        <v>3301.0762127746402</v>
      </c>
      <c r="J118" s="1031">
        <v>4100.9991088014804</v>
      </c>
      <c r="K118" s="1031">
        <v>2607.6446535455811</v>
      </c>
      <c r="L118" s="1031">
        <v>5647.6277720036987</v>
      </c>
      <c r="M118" s="1031">
        <v>3469.43</v>
      </c>
      <c r="N118" s="1031">
        <v>2832.47</v>
      </c>
      <c r="O118" s="1031">
        <v>2529.6099999999992</v>
      </c>
      <c r="P118" s="1031">
        <v>2357.7008911985204</v>
      </c>
      <c r="Q118" s="1031">
        <v>2545.9100000000003</v>
      </c>
      <c r="R118" s="1031">
        <v>2503.0500000000002</v>
      </c>
      <c r="S118" s="169">
        <f t="shared" si="102"/>
        <v>35079.518638323927</v>
      </c>
      <c r="T118" s="122">
        <f>VLOOKUP($B118,'Tech Litons'!$A:$I,9,0)</f>
        <v>182</v>
      </c>
      <c r="U118" s="179">
        <f t="shared" si="103"/>
        <v>7.4010989010989015</v>
      </c>
      <c r="V118" s="179">
        <f t="shared" si="104"/>
        <v>10.093406593406593</v>
      </c>
      <c r="W118" s="179">
        <f t="shared" si="105"/>
        <v>18.137781388871648</v>
      </c>
      <c r="X118" s="179">
        <f t="shared" si="106"/>
        <v>22.53296213627187</v>
      </c>
      <c r="Y118" s="179">
        <f t="shared" si="107"/>
        <v>14.327717876624073</v>
      </c>
      <c r="Z118" s="179">
        <f t="shared" si="108"/>
        <v>31.030921824196145</v>
      </c>
      <c r="AA118" s="179">
        <f t="shared" si="109"/>
        <v>19.062802197802196</v>
      </c>
      <c r="AB118" s="179">
        <f t="shared" si="110"/>
        <v>15.563021978021977</v>
      </c>
      <c r="AC118" s="179">
        <f t="shared" si="111"/>
        <v>13.898956043956039</v>
      </c>
      <c r="AD118" s="179">
        <f t="shared" si="112"/>
        <v>12.954400501090772</v>
      </c>
      <c r="AE118" s="179">
        <f t="shared" si="113"/>
        <v>13.988516483516484</v>
      </c>
      <c r="AF118" s="179">
        <f t="shared" si="114"/>
        <v>13.753021978021978</v>
      </c>
    </row>
    <row r="119" spans="2:32">
      <c r="B119" s="122">
        <f t="shared" si="115"/>
        <v>68860136</v>
      </c>
      <c r="C119" s="122" t="str">
        <f>VLOOKUP($B119,'Tech Litons'!$A:$I,3,0)</f>
        <v>TALENTI</v>
      </c>
      <c r="D119" s="122" t="str">
        <f>VLOOKUP($B119,'Tech Litons'!$A:$I,4,0)</f>
        <v>TALENTI</v>
      </c>
      <c r="E119" s="1021" t="s">
        <v>503</v>
      </c>
      <c r="F119" s="1021">
        <v>68860136</v>
      </c>
      <c r="G119" s="1023">
        <v>18480</v>
      </c>
      <c r="H119" s="1023">
        <v>21872</v>
      </c>
      <c r="I119" s="1023">
        <v>26148.569705973161</v>
      </c>
      <c r="J119" s="1023">
        <v>23626.990591198068</v>
      </c>
      <c r="K119" s="1023">
        <v>27293.720072404412</v>
      </c>
      <c r="L119" s="1023">
        <v>31890.66248365584</v>
      </c>
      <c r="M119" s="1023">
        <v>25557.038768136259</v>
      </c>
      <c r="N119" s="1023">
        <v>22482.665411945567</v>
      </c>
      <c r="O119" s="1023">
        <v>21667.923214866532</v>
      </c>
      <c r="P119" s="1023">
        <v>21525.809581354384</v>
      </c>
      <c r="Q119" s="1023">
        <v>15789.452478050065</v>
      </c>
      <c r="R119" s="1023">
        <v>15496.815944336024</v>
      </c>
      <c r="S119" s="169">
        <f t="shared" si="102"/>
        <v>271831.6482519203</v>
      </c>
      <c r="T119" s="122">
        <f>VLOOKUP($B119,'Tech Litons'!$A:$I,9,0)</f>
        <v>255</v>
      </c>
      <c r="U119" s="179">
        <f t="shared" si="103"/>
        <v>72.470588235294116</v>
      </c>
      <c r="V119" s="179">
        <f t="shared" si="104"/>
        <v>85.772549019607837</v>
      </c>
      <c r="W119" s="179">
        <f t="shared" si="105"/>
        <v>102.54341061165945</v>
      </c>
      <c r="X119" s="179">
        <f t="shared" si="106"/>
        <v>92.654865063521839</v>
      </c>
      <c r="Y119" s="179">
        <f t="shared" si="107"/>
        <v>107.03419636237024</v>
      </c>
      <c r="Z119" s="179">
        <f t="shared" si="108"/>
        <v>125.0614215045327</v>
      </c>
      <c r="AA119" s="179">
        <f t="shared" si="109"/>
        <v>100.22368144367161</v>
      </c>
      <c r="AB119" s="179">
        <f t="shared" si="110"/>
        <v>88.167315340963015</v>
      </c>
      <c r="AC119" s="179">
        <f t="shared" si="111"/>
        <v>84.972247901437385</v>
      </c>
      <c r="AD119" s="179">
        <f t="shared" si="112"/>
        <v>84.414939534723075</v>
      </c>
      <c r="AE119" s="179">
        <f t="shared" si="113"/>
        <v>61.919421482549275</v>
      </c>
      <c r="AF119" s="179">
        <f t="shared" si="114"/>
        <v>60.771827232690292</v>
      </c>
    </row>
    <row r="120" spans="2:32">
      <c r="B120" s="122">
        <f t="shared" si="115"/>
        <v>68746232</v>
      </c>
      <c r="C120" s="122" t="str">
        <f>VLOOKUP($B120,'Tech Litons'!$A:$I,3,0)</f>
        <v>EDF</v>
      </c>
      <c r="D120" s="122" t="str">
        <f>VLOOKUP($B120,'Tech Litons'!$A:$I,4,0)</f>
        <v>EDF</v>
      </c>
      <c r="E120" s="1021" t="s">
        <v>1008</v>
      </c>
      <c r="F120" s="1021">
        <v>68746232</v>
      </c>
      <c r="G120" s="1023">
        <v>19479</v>
      </c>
      <c r="H120" s="1023">
        <v>19721</v>
      </c>
      <c r="I120" s="1023">
        <v>32227.521856195199</v>
      </c>
      <c r="J120" s="1023">
        <v>29704.290164906804</v>
      </c>
      <c r="K120" s="1023">
        <v>37048.467008464773</v>
      </c>
      <c r="L120" s="1023">
        <v>44189.127831866841</v>
      </c>
      <c r="M120" s="1023">
        <v>36664.324482017779</v>
      </c>
      <c r="N120" s="1023">
        <v>30175.985101595947</v>
      </c>
      <c r="O120" s="1023">
        <v>22378.51450959975</v>
      </c>
      <c r="P120" s="1023">
        <v>23737.986253274394</v>
      </c>
      <c r="Q120" s="1023">
        <v>18185.364619536424</v>
      </c>
      <c r="R120" s="1023">
        <v>18023.496561495318</v>
      </c>
      <c r="S120" s="169">
        <f t="shared" si="102"/>
        <v>331535.07838895323</v>
      </c>
      <c r="T120" s="122">
        <f>VLOOKUP($B120,'Tech Litons'!$A:$I,9,0)</f>
        <v>132</v>
      </c>
      <c r="U120" s="179">
        <f t="shared" si="103"/>
        <v>147.56818181818181</v>
      </c>
      <c r="V120" s="179">
        <f t="shared" si="104"/>
        <v>149.40151515151516</v>
      </c>
      <c r="W120" s="179">
        <f t="shared" si="105"/>
        <v>244.14789284996363</v>
      </c>
      <c r="X120" s="179">
        <f t="shared" si="106"/>
        <v>225.03250124929397</v>
      </c>
      <c r="Y120" s="179">
        <f t="shared" si="107"/>
        <v>280.67020460958162</v>
      </c>
      <c r="Z120" s="179">
        <f t="shared" si="108"/>
        <v>334.76611993838515</v>
      </c>
      <c r="AA120" s="179">
        <f t="shared" si="109"/>
        <v>277.76003395468013</v>
      </c>
      <c r="AB120" s="179">
        <f t="shared" si="110"/>
        <v>228.60594773936324</v>
      </c>
      <c r="AC120" s="179">
        <f t="shared" si="111"/>
        <v>169.53420083030113</v>
      </c>
      <c r="AD120" s="179">
        <f t="shared" si="112"/>
        <v>179.83322919147267</v>
      </c>
      <c r="AE120" s="179">
        <f t="shared" si="113"/>
        <v>137.76791378436684</v>
      </c>
      <c r="AF120" s="179">
        <f t="shared" si="114"/>
        <v>136.54164061738877</v>
      </c>
    </row>
    <row r="121" spans="2:32">
      <c r="B121" s="122">
        <f t="shared" si="115"/>
        <v>64775327</v>
      </c>
      <c r="C121" s="122" t="str">
        <f>VLOOKUP($B121,'Tech Litons'!$A:$I,3,0)</f>
        <v>48oz</v>
      </c>
      <c r="D121" s="122" t="str">
        <f>VLOOKUP($B121,'Tech Litons'!$A:$I,4,0)</f>
        <v>48oz</v>
      </c>
      <c r="E121" s="1021" t="s">
        <v>429</v>
      </c>
      <c r="F121" s="1021">
        <v>64775327</v>
      </c>
      <c r="G121" s="1023">
        <v>25685</v>
      </c>
      <c r="H121" s="1023">
        <v>16615</v>
      </c>
      <c r="I121" s="1023">
        <v>28035.284164363868</v>
      </c>
      <c r="J121" s="1023">
        <v>24933.951758379135</v>
      </c>
      <c r="K121" s="1023">
        <v>27557.320527510026</v>
      </c>
      <c r="L121" s="1023">
        <v>32082.321223358256</v>
      </c>
      <c r="M121" s="1023">
        <v>27155.741009572528</v>
      </c>
      <c r="N121" s="1023">
        <v>29865.748122577967</v>
      </c>
      <c r="O121" s="1023">
        <v>22820.935232342355</v>
      </c>
      <c r="P121" s="1023">
        <v>21340.883078503542</v>
      </c>
      <c r="Q121" s="1023">
        <v>23274.163214223474</v>
      </c>
      <c r="R121" s="1023">
        <v>17617.044676410005</v>
      </c>
      <c r="S121" s="169">
        <f t="shared" si="102"/>
        <v>296983.39300724119</v>
      </c>
      <c r="T121" s="122">
        <f>VLOOKUP($B121,'Tech Litons'!$A:$I,9,0)</f>
        <v>176</v>
      </c>
      <c r="U121" s="179">
        <f t="shared" si="103"/>
        <v>145.9375</v>
      </c>
      <c r="V121" s="179">
        <f t="shared" si="104"/>
        <v>94.403409090909093</v>
      </c>
      <c r="W121" s="179">
        <f t="shared" si="105"/>
        <v>159.29138729752196</v>
      </c>
      <c r="X121" s="179">
        <f t="shared" si="106"/>
        <v>141.670180445336</v>
      </c>
      <c r="Y121" s="179">
        <f t="shared" si="107"/>
        <v>156.57568481539786</v>
      </c>
      <c r="Z121" s="179">
        <f t="shared" si="108"/>
        <v>182.28591604180826</v>
      </c>
      <c r="AA121" s="179">
        <f t="shared" si="109"/>
        <v>154.29398300893482</v>
      </c>
      <c r="AB121" s="179">
        <f t="shared" si="110"/>
        <v>169.69175069646573</v>
      </c>
      <c r="AC121" s="179">
        <f t="shared" si="111"/>
        <v>129.66440472921792</v>
      </c>
      <c r="AD121" s="179">
        <f t="shared" si="112"/>
        <v>121.2550174914974</v>
      </c>
      <c r="AE121" s="179">
        <f t="shared" si="113"/>
        <v>132.23956371717884</v>
      </c>
      <c r="AF121" s="179">
        <f t="shared" si="114"/>
        <v>100.09684475232957</v>
      </c>
    </row>
    <row r="122" spans="2:32">
      <c r="B122" s="122">
        <f t="shared" si="115"/>
        <v>68860061</v>
      </c>
      <c r="C122" s="122" t="str">
        <f>VLOOKUP($B122,'Tech Litons'!$A:$I,3,0)</f>
        <v>Talenti</v>
      </c>
      <c r="D122" s="122" t="str">
        <f>VLOOKUP($B122,'Tech Litons'!$A:$I,4,0)</f>
        <v>Talenti</v>
      </c>
      <c r="E122" s="1021" t="s">
        <v>452</v>
      </c>
      <c r="F122" s="1021">
        <v>68860061</v>
      </c>
      <c r="G122" s="1023">
        <v>27045</v>
      </c>
      <c r="H122" s="1023">
        <v>35648</v>
      </c>
      <c r="I122" s="1023">
        <v>37507.304232807357</v>
      </c>
      <c r="J122" s="1023">
        <v>37653.124275721144</v>
      </c>
      <c r="K122" s="1023">
        <v>43885.564777614447</v>
      </c>
      <c r="L122" s="1023">
        <v>45683.910418373918</v>
      </c>
      <c r="M122" s="1023">
        <v>37739.572924317916</v>
      </c>
      <c r="N122" s="1023">
        <v>35383.886113485511</v>
      </c>
      <c r="O122" s="1023">
        <v>36442.032302292173</v>
      </c>
      <c r="P122" s="1023">
        <v>33517.036750139632</v>
      </c>
      <c r="Q122" s="1023">
        <v>32174.505719263685</v>
      </c>
      <c r="R122" s="1023">
        <v>26047.772986364325</v>
      </c>
      <c r="S122" s="169">
        <f t="shared" si="102"/>
        <v>428727.71050038008</v>
      </c>
      <c r="T122" s="122">
        <f>VLOOKUP($B122,'Tech Litons'!$A:$I,9,0)</f>
        <v>255</v>
      </c>
      <c r="U122" s="179">
        <f t="shared" si="103"/>
        <v>106.05882352941177</v>
      </c>
      <c r="V122" s="179">
        <f t="shared" si="104"/>
        <v>139.79607843137254</v>
      </c>
      <c r="W122" s="179">
        <f t="shared" si="105"/>
        <v>147.08746757963669</v>
      </c>
      <c r="X122" s="179">
        <f t="shared" si="106"/>
        <v>147.65931088518096</v>
      </c>
      <c r="Y122" s="179">
        <f t="shared" si="107"/>
        <v>172.10025402986057</v>
      </c>
      <c r="Z122" s="179">
        <f t="shared" si="108"/>
        <v>179.15258987597616</v>
      </c>
      <c r="AA122" s="179">
        <f t="shared" si="109"/>
        <v>147.99832519340359</v>
      </c>
      <c r="AB122" s="179">
        <f t="shared" si="110"/>
        <v>138.76033769994316</v>
      </c>
      <c r="AC122" s="179">
        <f t="shared" si="111"/>
        <v>142.90993059722422</v>
      </c>
      <c r="AD122" s="179">
        <f t="shared" si="112"/>
        <v>131.43935980446915</v>
      </c>
      <c r="AE122" s="179">
        <f t="shared" si="113"/>
        <v>126.17453223240661</v>
      </c>
      <c r="AF122" s="179">
        <f t="shared" si="114"/>
        <v>102.14812935829147</v>
      </c>
    </row>
    <row r="123" spans="2:32">
      <c r="B123" s="122">
        <f t="shared" si="115"/>
        <v>84144598</v>
      </c>
      <c r="C123" s="122" t="str">
        <f>VLOOKUP($B123,'Tech Litons'!$A:$I,3,0)</f>
        <v>BJ PTS</v>
      </c>
      <c r="D123" s="122" t="str">
        <f>VLOOKUP($B123,'Tech Litons'!$A:$I,4,0)</f>
        <v>BJ PTS</v>
      </c>
      <c r="E123" s="1021" t="s">
        <v>364</v>
      </c>
      <c r="F123" s="1021">
        <v>84144598</v>
      </c>
      <c r="G123" s="1023">
        <v>21443</v>
      </c>
      <c r="H123" s="1023">
        <v>30423</v>
      </c>
      <c r="I123" s="1023">
        <v>37790.092720846005</v>
      </c>
      <c r="J123" s="1023">
        <v>30968.06358956773</v>
      </c>
      <c r="K123" s="1023">
        <v>31328.951477033137</v>
      </c>
      <c r="L123" s="1023">
        <v>35700.612121381069</v>
      </c>
      <c r="M123" s="1023">
        <v>27945.6932278686</v>
      </c>
      <c r="N123" s="1023">
        <v>33625.036397140371</v>
      </c>
      <c r="O123" s="1023">
        <v>22839.165477346422</v>
      </c>
      <c r="P123" s="1023">
        <v>24233.289430930276</v>
      </c>
      <c r="Q123" s="1023">
        <v>23751.4368529731</v>
      </c>
      <c r="R123" s="1023">
        <v>23429.156218553297</v>
      </c>
      <c r="S123" s="169">
        <f t="shared" si="102"/>
        <v>343477.49751363997</v>
      </c>
      <c r="T123" s="122">
        <f>VLOOKUP($B123,'Tech Litons'!$A:$I,9,0)</f>
        <v>240</v>
      </c>
      <c r="U123" s="179">
        <f t="shared" si="103"/>
        <v>89.345833333333331</v>
      </c>
      <c r="V123" s="179">
        <f t="shared" si="104"/>
        <v>126.7625</v>
      </c>
      <c r="W123" s="179">
        <f t="shared" si="105"/>
        <v>157.4587196701917</v>
      </c>
      <c r="X123" s="179">
        <f t="shared" si="106"/>
        <v>129.03359828986555</v>
      </c>
      <c r="Y123" s="179">
        <f t="shared" si="107"/>
        <v>130.53729782097142</v>
      </c>
      <c r="Z123" s="179">
        <f t="shared" si="108"/>
        <v>148.75255050575444</v>
      </c>
      <c r="AA123" s="179">
        <f t="shared" si="109"/>
        <v>116.4403884494525</v>
      </c>
      <c r="AB123" s="179">
        <f t="shared" si="110"/>
        <v>140.10431832141822</v>
      </c>
      <c r="AC123" s="179">
        <f t="shared" si="111"/>
        <v>95.163189488943416</v>
      </c>
      <c r="AD123" s="179">
        <f t="shared" si="112"/>
        <v>100.97203929554281</v>
      </c>
      <c r="AE123" s="179">
        <f t="shared" si="113"/>
        <v>98.964320220721248</v>
      </c>
      <c r="AF123" s="179">
        <f t="shared" si="114"/>
        <v>97.621484243972063</v>
      </c>
    </row>
    <row r="124" spans="2:32">
      <c r="B124" s="122">
        <f t="shared" si="115"/>
        <v>64394583</v>
      </c>
      <c r="C124" s="122" t="str">
        <f>VLOOKUP($B124,'Tech Litons'!$A:$I,3,0)</f>
        <v>Sundaes</v>
      </c>
      <c r="D124" s="122" t="str">
        <f>VLOOKUP($B124,'Tech Litons'!$A:$I,4,0)</f>
        <v>SP1</v>
      </c>
      <c r="E124" s="1021" t="s">
        <v>462</v>
      </c>
      <c r="F124" s="1021">
        <v>64394583</v>
      </c>
      <c r="G124" s="1023">
        <v>19785</v>
      </c>
      <c r="H124" s="1023">
        <v>26900</v>
      </c>
      <c r="I124" s="1023">
        <v>38431.742567774498</v>
      </c>
      <c r="J124" s="1023">
        <v>29540.092702713264</v>
      </c>
      <c r="K124" s="1023">
        <v>34683.939273619915</v>
      </c>
      <c r="L124" s="1023">
        <v>34520.783556323855</v>
      </c>
      <c r="M124" s="1023">
        <v>27683.460395141563</v>
      </c>
      <c r="N124" s="1023">
        <v>29254.713500892587</v>
      </c>
      <c r="O124" s="1023">
        <v>27442.618645297767</v>
      </c>
      <c r="P124" s="1023">
        <v>22011.993185504536</v>
      </c>
      <c r="Q124" s="1023">
        <v>19878.773733728842</v>
      </c>
      <c r="R124" s="1023">
        <v>18977.366031311616</v>
      </c>
      <c r="S124" s="169">
        <f t="shared" si="102"/>
        <v>329110.48359230842</v>
      </c>
      <c r="T124" s="122">
        <f>VLOOKUP($B124,'Tech Litons'!$A:$I,9,0)</f>
        <v>240</v>
      </c>
      <c r="U124" s="179">
        <f t="shared" si="103"/>
        <v>82.4375</v>
      </c>
      <c r="V124" s="179">
        <f t="shared" si="104"/>
        <v>112.08333333333333</v>
      </c>
      <c r="W124" s="179">
        <f t="shared" si="105"/>
        <v>160.1322606990604</v>
      </c>
      <c r="X124" s="179">
        <f t="shared" si="106"/>
        <v>123.08371959463859</v>
      </c>
      <c r="Y124" s="179">
        <f t="shared" si="107"/>
        <v>144.51641364008299</v>
      </c>
      <c r="Z124" s="179">
        <f t="shared" si="108"/>
        <v>143.83659815134939</v>
      </c>
      <c r="AA124" s="179">
        <f t="shared" si="109"/>
        <v>115.34775164642318</v>
      </c>
      <c r="AB124" s="179">
        <f t="shared" si="110"/>
        <v>121.89463958705245</v>
      </c>
      <c r="AC124" s="179">
        <f t="shared" si="111"/>
        <v>114.34424435540737</v>
      </c>
      <c r="AD124" s="179">
        <f t="shared" si="112"/>
        <v>91.716638272935569</v>
      </c>
      <c r="AE124" s="179">
        <f t="shared" si="113"/>
        <v>82.828223890536847</v>
      </c>
      <c r="AF124" s="179">
        <f t="shared" si="114"/>
        <v>79.072358463798395</v>
      </c>
    </row>
    <row r="125" spans="2:32">
      <c r="B125" s="122">
        <f t="shared" si="115"/>
        <v>64325509</v>
      </c>
      <c r="C125" s="122" t="str">
        <f>VLOOKUP($B125,'Tech Litons'!$A:$I,3,0)</f>
        <v>Yasso Sticks</v>
      </c>
      <c r="D125" s="122" t="str">
        <f>VLOOKUP($B125,'Tech Litons'!$A:$I,4,0)</f>
        <v>Yasso Sticks</v>
      </c>
      <c r="E125" s="1021" t="s">
        <v>232</v>
      </c>
      <c r="F125" s="1021">
        <v>64325509</v>
      </c>
      <c r="G125" s="1023">
        <v>18863</v>
      </c>
      <c r="H125" s="1023">
        <v>37069</v>
      </c>
      <c r="I125" s="1023">
        <v>43215.250020516891</v>
      </c>
      <c r="J125" s="1023">
        <v>41617.883396043515</v>
      </c>
      <c r="K125" s="1023">
        <v>45314.198646016026</v>
      </c>
      <c r="L125" s="1023">
        <v>50557.861092903171</v>
      </c>
      <c r="M125" s="1023">
        <v>51722.523630114854</v>
      </c>
      <c r="N125" s="1023">
        <v>48750.382276068223</v>
      </c>
      <c r="O125" s="1023">
        <v>42593.348477664185</v>
      </c>
      <c r="P125" s="1023">
        <v>35317.305964171726</v>
      </c>
      <c r="Q125" s="1023">
        <v>31110.069037880112</v>
      </c>
      <c r="R125" s="1023">
        <v>21837.614920667489</v>
      </c>
      <c r="S125" s="169">
        <f t="shared" si="102"/>
        <v>467968.43746204616</v>
      </c>
      <c r="T125" s="122">
        <f>VLOOKUP($B125,'Tech Litons'!$A:$I,9,0)</f>
        <v>187</v>
      </c>
      <c r="U125" s="179">
        <f t="shared" si="103"/>
        <v>100.8716577540107</v>
      </c>
      <c r="V125" s="179">
        <f t="shared" si="104"/>
        <v>198.22994652406416</v>
      </c>
      <c r="W125" s="179">
        <f t="shared" si="105"/>
        <v>231.09759369260368</v>
      </c>
      <c r="X125" s="179">
        <f t="shared" si="106"/>
        <v>222.55552618205087</v>
      </c>
      <c r="Y125" s="179">
        <f t="shared" si="107"/>
        <v>242.32191789313381</v>
      </c>
      <c r="Z125" s="179">
        <f t="shared" si="108"/>
        <v>270.36289354493675</v>
      </c>
      <c r="AA125" s="179">
        <f t="shared" si="109"/>
        <v>276.59103545515967</v>
      </c>
      <c r="AB125" s="179">
        <f t="shared" si="110"/>
        <v>260.6972314228247</v>
      </c>
      <c r="AC125" s="179">
        <f t="shared" si="111"/>
        <v>227.7719169928566</v>
      </c>
      <c r="AD125" s="179">
        <f t="shared" si="112"/>
        <v>188.86259873888625</v>
      </c>
      <c r="AE125" s="179">
        <f t="shared" si="113"/>
        <v>166.36400555016104</v>
      </c>
      <c r="AF125" s="179">
        <f t="shared" si="114"/>
        <v>116.77868941533417</v>
      </c>
    </row>
    <row r="126" spans="2:32">
      <c r="B126" s="122">
        <f t="shared" si="115"/>
        <v>84136704</v>
      </c>
      <c r="C126" s="122" t="str">
        <f>VLOOKUP($B126,'Tech Litons'!$A:$I,3,0)</f>
        <v>BJ PTS</v>
      </c>
      <c r="D126" s="122" t="str">
        <f>VLOOKUP($B126,'Tech Litons'!$A:$I,4,0)</f>
        <v>BJ PTS</v>
      </c>
      <c r="E126" s="1021" t="s">
        <v>416</v>
      </c>
      <c r="F126" s="1021">
        <v>84136704</v>
      </c>
      <c r="G126" s="1023">
        <v>17935</v>
      </c>
      <c r="H126" s="1023">
        <v>26034</v>
      </c>
      <c r="I126" s="1023">
        <v>33030.721950208965</v>
      </c>
      <c r="J126" s="1023">
        <v>26101.321442344266</v>
      </c>
      <c r="K126" s="1023">
        <v>25864.957318587083</v>
      </c>
      <c r="L126" s="1023">
        <v>31216.505504865992</v>
      </c>
      <c r="M126" s="1023">
        <v>23254.591689330955</v>
      </c>
      <c r="N126" s="1023">
        <v>26179.426228514301</v>
      </c>
      <c r="O126" s="1023">
        <v>21558.498020256011</v>
      </c>
      <c r="P126" s="1023">
        <v>18906.984546359654</v>
      </c>
      <c r="Q126" s="1023">
        <v>20029.44753795159</v>
      </c>
      <c r="R126" s="1023">
        <v>17980.75692060015</v>
      </c>
      <c r="S126" s="169">
        <f t="shared" si="102"/>
        <v>288092.21115901897</v>
      </c>
      <c r="T126" s="122">
        <f>VLOOKUP($B126,'Tech Litons'!$A:$I,9,0)</f>
        <v>240</v>
      </c>
      <c r="U126" s="179">
        <f t="shared" si="103"/>
        <v>74.729166666666671</v>
      </c>
      <c r="V126" s="179">
        <f t="shared" si="104"/>
        <v>108.47499999999999</v>
      </c>
      <c r="W126" s="179">
        <f t="shared" si="105"/>
        <v>137.62800812587068</v>
      </c>
      <c r="X126" s="179">
        <f t="shared" si="106"/>
        <v>108.75550600976777</v>
      </c>
      <c r="Y126" s="179">
        <f t="shared" si="107"/>
        <v>107.77065549411284</v>
      </c>
      <c r="Z126" s="179">
        <f t="shared" si="108"/>
        <v>130.06877293694163</v>
      </c>
      <c r="AA126" s="179">
        <f t="shared" si="109"/>
        <v>96.894132038878979</v>
      </c>
      <c r="AB126" s="179">
        <f t="shared" si="110"/>
        <v>109.08094261880959</v>
      </c>
      <c r="AC126" s="179">
        <f t="shared" si="111"/>
        <v>89.82707508440005</v>
      </c>
      <c r="AD126" s="179">
        <f t="shared" si="112"/>
        <v>78.779102276498563</v>
      </c>
      <c r="AE126" s="179">
        <f t="shared" si="113"/>
        <v>83.456031408131622</v>
      </c>
      <c r="AF126" s="179">
        <f t="shared" si="114"/>
        <v>74.919820502500627</v>
      </c>
    </row>
    <row r="127" spans="2:32">
      <c r="B127" s="122">
        <f t="shared" si="115"/>
        <v>64325518</v>
      </c>
      <c r="C127" s="122" t="str">
        <f>VLOOKUP($B127,'Tech Litons'!$A:$I,3,0)</f>
        <v>Yasso Sticks</v>
      </c>
      <c r="D127" s="122" t="str">
        <f>VLOOKUP($B127,'Tech Litons'!$A:$I,4,0)</f>
        <v>Yasso Sticks</v>
      </c>
      <c r="E127" s="1021" t="s">
        <v>588</v>
      </c>
      <c r="F127" s="1021">
        <v>64325518</v>
      </c>
      <c r="G127" s="1023">
        <v>16627</v>
      </c>
      <c r="H127" s="1023">
        <v>21718</v>
      </c>
      <c r="I127" s="1023">
        <v>31024.726409944102</v>
      </c>
      <c r="J127" s="1023">
        <v>26616.7226135815</v>
      </c>
      <c r="K127" s="1023">
        <v>30045.434816918052</v>
      </c>
      <c r="L127" s="1023">
        <v>35880.382808540955</v>
      </c>
      <c r="M127" s="1023">
        <v>29530.942130295865</v>
      </c>
      <c r="N127" s="1023">
        <v>32727.97523824235</v>
      </c>
      <c r="O127" s="1023">
        <v>24484.351569355716</v>
      </c>
      <c r="P127" s="1023">
        <v>21752.257827579473</v>
      </c>
      <c r="Q127" s="1023">
        <v>22175.659471423431</v>
      </c>
      <c r="R127" s="1023">
        <v>21043.277816910537</v>
      </c>
      <c r="S127" s="169">
        <f t="shared" si="102"/>
        <v>313626.730702792</v>
      </c>
      <c r="T127" s="122">
        <f>VLOOKUP($B127,'Tech Litons'!$A:$I,9,0)</f>
        <v>187</v>
      </c>
      <c r="U127" s="179">
        <f t="shared" si="103"/>
        <v>88.914438502673804</v>
      </c>
      <c r="V127" s="179">
        <f t="shared" si="104"/>
        <v>116.13903743315508</v>
      </c>
      <c r="W127" s="179">
        <f t="shared" si="105"/>
        <v>165.90762786066364</v>
      </c>
      <c r="X127" s="179">
        <f t="shared" si="106"/>
        <v>142.33541504589039</v>
      </c>
      <c r="Y127" s="179">
        <f t="shared" si="107"/>
        <v>160.67077442202168</v>
      </c>
      <c r="Z127" s="179">
        <f t="shared" si="108"/>
        <v>191.87370485850778</v>
      </c>
      <c r="AA127" s="179">
        <f t="shared" si="109"/>
        <v>157.91947663259822</v>
      </c>
      <c r="AB127" s="179">
        <f t="shared" si="110"/>
        <v>175.01591036493235</v>
      </c>
      <c r="AC127" s="179">
        <f t="shared" si="111"/>
        <v>130.93236133345303</v>
      </c>
      <c r="AD127" s="179">
        <f t="shared" si="112"/>
        <v>116.32223437208275</v>
      </c>
      <c r="AE127" s="179">
        <f t="shared" si="113"/>
        <v>118.5864142856868</v>
      </c>
      <c r="AF127" s="179">
        <f t="shared" si="114"/>
        <v>112.53089741663389</v>
      </c>
    </row>
    <row r="128" spans="2:32">
      <c r="B128" s="122">
        <f t="shared" si="115"/>
        <v>68860657</v>
      </c>
      <c r="C128" s="122" t="str">
        <f>VLOOKUP($B128,'Tech Litons'!$A:$I,3,0)</f>
        <v>TALENTI</v>
      </c>
      <c r="D128" s="122" t="str">
        <f>VLOOKUP($B128,'Tech Litons'!$A:$I,4,0)</f>
        <v>TALENTI</v>
      </c>
      <c r="E128" s="1021" t="s">
        <v>423</v>
      </c>
      <c r="F128" s="1021">
        <v>68860657</v>
      </c>
      <c r="G128" s="1023">
        <v>14730</v>
      </c>
      <c r="H128" s="1023">
        <v>17970</v>
      </c>
      <c r="I128" s="1023">
        <v>20181.18334579009</v>
      </c>
      <c r="J128" s="1023">
        <v>17636.43993554221</v>
      </c>
      <c r="K128" s="1023">
        <v>19866.479635497504</v>
      </c>
      <c r="L128" s="1023">
        <v>21375.506892544101</v>
      </c>
      <c r="M128" s="1023">
        <v>18242.809782575354</v>
      </c>
      <c r="N128" s="1023">
        <v>15941.332118601669</v>
      </c>
      <c r="O128" s="1023">
        <v>16188.35249446801</v>
      </c>
      <c r="P128" s="1023">
        <v>17162.930166317747</v>
      </c>
      <c r="Q128" s="1023">
        <v>14810.016256524505</v>
      </c>
      <c r="R128" s="1023">
        <v>11549.956976443518</v>
      </c>
      <c r="S128" s="169">
        <f t="shared" si="102"/>
        <v>205655.00760430473</v>
      </c>
      <c r="T128" s="122">
        <f>VLOOKUP($B128,'Tech Litons'!$A:$I,9,0)</f>
        <v>255</v>
      </c>
      <c r="U128" s="179">
        <f t="shared" si="103"/>
        <v>57.764705882352942</v>
      </c>
      <c r="V128" s="179">
        <f t="shared" si="104"/>
        <v>70.470588235294116</v>
      </c>
      <c r="W128" s="179">
        <f t="shared" si="105"/>
        <v>79.141895473686631</v>
      </c>
      <c r="X128" s="179">
        <f t="shared" si="106"/>
        <v>69.162509551145916</v>
      </c>
      <c r="Y128" s="179">
        <f t="shared" si="107"/>
        <v>77.907763276460798</v>
      </c>
      <c r="Z128" s="179">
        <f t="shared" si="108"/>
        <v>83.825517225663148</v>
      </c>
      <c r="AA128" s="179">
        <f t="shared" si="109"/>
        <v>71.540430519903353</v>
      </c>
      <c r="AB128" s="179">
        <f t="shared" si="110"/>
        <v>62.515027916084975</v>
      </c>
      <c r="AC128" s="179">
        <f t="shared" si="111"/>
        <v>63.483735272423573</v>
      </c>
      <c r="AD128" s="179">
        <f t="shared" si="112"/>
        <v>67.305608495363714</v>
      </c>
      <c r="AE128" s="179">
        <f t="shared" si="113"/>
        <v>58.078495123625508</v>
      </c>
      <c r="AF128" s="179">
        <f t="shared" si="114"/>
        <v>45.293948927229486</v>
      </c>
    </row>
    <row r="129" spans="2:32">
      <c r="B129" s="122">
        <f t="shared" si="115"/>
        <v>69986506</v>
      </c>
      <c r="C129" s="122" t="str">
        <f>VLOOKUP($B129,'Tech Litons'!$A:$I,3,0)</f>
        <v>BJ PTS</v>
      </c>
      <c r="D129" s="122" t="str">
        <f>VLOOKUP($B129,'Tech Litons'!$A:$I,4,0)</f>
        <v>BJ PTS</v>
      </c>
      <c r="E129" s="1021" t="s">
        <v>936</v>
      </c>
      <c r="F129" s="1021">
        <v>69986506</v>
      </c>
      <c r="G129" s="1023">
        <v>24451</v>
      </c>
      <c r="H129" s="1023">
        <v>24327</v>
      </c>
      <c r="I129" s="1023">
        <v>27318.378419518987</v>
      </c>
      <c r="J129" s="1023">
        <v>23633.062090432912</v>
      </c>
      <c r="K129" s="1023">
        <v>27530.910477187797</v>
      </c>
      <c r="L129" s="1023">
        <v>24995.120320629401</v>
      </c>
      <c r="M129" s="1023">
        <v>24127.48970916625</v>
      </c>
      <c r="N129" s="1023">
        <v>32369.209435025921</v>
      </c>
      <c r="O129" s="1023">
        <v>20765.938177708995</v>
      </c>
      <c r="P129" s="1023">
        <v>16760.095400789967</v>
      </c>
      <c r="Q129" s="1023">
        <v>19848.188768594184</v>
      </c>
      <c r="R129" s="1023">
        <v>17274.621126878297</v>
      </c>
      <c r="S129" s="169">
        <f t="shared" si="102"/>
        <v>283401.01392593276</v>
      </c>
      <c r="T129" s="122">
        <f>VLOOKUP($B129,'Tech Litons'!$A:$I,9,0)</f>
        <v>240</v>
      </c>
      <c r="U129" s="179">
        <f t="shared" si="103"/>
        <v>101.87916666666666</v>
      </c>
      <c r="V129" s="179">
        <f t="shared" si="104"/>
        <v>101.3625</v>
      </c>
      <c r="W129" s="179">
        <f t="shared" si="105"/>
        <v>113.82657674799579</v>
      </c>
      <c r="X129" s="179">
        <f t="shared" si="106"/>
        <v>98.471092043470463</v>
      </c>
      <c r="Y129" s="179">
        <f t="shared" si="107"/>
        <v>114.71212698828249</v>
      </c>
      <c r="Z129" s="179">
        <f t="shared" si="108"/>
        <v>104.14633466928917</v>
      </c>
      <c r="AA129" s="179">
        <f t="shared" si="109"/>
        <v>100.53120712152604</v>
      </c>
      <c r="AB129" s="179">
        <f t="shared" si="110"/>
        <v>134.87170597927468</v>
      </c>
      <c r="AC129" s="179">
        <f t="shared" si="111"/>
        <v>86.524742407120812</v>
      </c>
      <c r="AD129" s="179">
        <f t="shared" si="112"/>
        <v>69.833730836624866</v>
      </c>
      <c r="AE129" s="179">
        <f t="shared" si="113"/>
        <v>82.700786535809101</v>
      </c>
      <c r="AF129" s="179">
        <f t="shared" si="114"/>
        <v>71.977588028659568</v>
      </c>
    </row>
    <row r="130" spans="2:32">
      <c r="B130" s="122">
        <f t="shared" si="115"/>
        <v>64325563</v>
      </c>
      <c r="C130" s="122" t="str">
        <f>VLOOKUP($B130,'Tech Litons'!$A:$I,3,0)</f>
        <v>Yasso Sticks</v>
      </c>
      <c r="D130" s="122" t="str">
        <f>VLOOKUP($B130,'Tech Litons'!$A:$I,4,0)</f>
        <v>Yasso Sticks</v>
      </c>
      <c r="E130" s="1021" t="s">
        <v>1032</v>
      </c>
      <c r="F130" s="1021">
        <v>64325563</v>
      </c>
      <c r="G130" s="1023">
        <v>20154</v>
      </c>
      <c r="H130" s="1023">
        <v>20637</v>
      </c>
      <c r="I130" s="1023">
        <v>29520.437219929165</v>
      </c>
      <c r="J130" s="1023">
        <v>23578.677011652955</v>
      </c>
      <c r="K130" s="1023">
        <v>28909.833250368793</v>
      </c>
      <c r="L130" s="1023">
        <v>33235.125801452006</v>
      </c>
      <c r="M130" s="1023">
        <v>30048.964871116717</v>
      </c>
      <c r="N130" s="1023">
        <v>25085.930663741521</v>
      </c>
      <c r="O130" s="1023">
        <v>24621.674575438636</v>
      </c>
      <c r="P130" s="1023">
        <v>18169.513099224743</v>
      </c>
      <c r="Q130" s="1023">
        <v>16184.466608546423</v>
      </c>
      <c r="R130" s="1023">
        <v>10769.153308346597</v>
      </c>
      <c r="S130" s="169">
        <f t="shared" si="102"/>
        <v>280914.77640981751</v>
      </c>
      <c r="T130" s="122">
        <f>VLOOKUP($B130,'Tech Litons'!$A:$I,9,0)</f>
        <v>187</v>
      </c>
      <c r="U130" s="179">
        <f t="shared" si="103"/>
        <v>107.77540106951872</v>
      </c>
      <c r="V130" s="179">
        <f t="shared" si="104"/>
        <v>110.35828877005348</v>
      </c>
      <c r="W130" s="179">
        <f t="shared" si="105"/>
        <v>157.86330064133244</v>
      </c>
      <c r="X130" s="179">
        <f t="shared" si="106"/>
        <v>126.08918188049708</v>
      </c>
      <c r="Y130" s="179">
        <f t="shared" si="107"/>
        <v>154.59803877202563</v>
      </c>
      <c r="Z130" s="179">
        <f t="shared" si="108"/>
        <v>177.7279454623102</v>
      </c>
      <c r="AA130" s="179">
        <f t="shared" si="109"/>
        <v>160.68965171720168</v>
      </c>
      <c r="AB130" s="179">
        <f t="shared" si="110"/>
        <v>134.14936183818995</v>
      </c>
      <c r="AC130" s="179">
        <f t="shared" si="111"/>
        <v>131.66670895956489</v>
      </c>
      <c r="AD130" s="179">
        <f t="shared" si="112"/>
        <v>97.163171653608259</v>
      </c>
      <c r="AE130" s="179">
        <f t="shared" si="113"/>
        <v>86.547949778323115</v>
      </c>
      <c r="AF130" s="179">
        <f t="shared" si="114"/>
        <v>57.589055124848109</v>
      </c>
    </row>
    <row r="131" spans="2:32">
      <c r="B131" s="122">
        <f t="shared" si="115"/>
        <v>64369025</v>
      </c>
      <c r="C131" s="122" t="str">
        <f>VLOOKUP($B131,'Tech Litons'!$A:$I,3,0)</f>
        <v>Talenti</v>
      </c>
      <c r="D131" s="122" t="str">
        <f>VLOOKUP($B131,'Tech Litons'!$A:$I,4,0)</f>
        <v>Talenti</v>
      </c>
      <c r="E131" s="1021" t="s">
        <v>947</v>
      </c>
      <c r="F131" s="1021">
        <v>64369025</v>
      </c>
      <c r="G131" s="1023">
        <v>16545</v>
      </c>
      <c r="H131" s="1023">
        <v>17122</v>
      </c>
      <c r="I131" s="1023">
        <v>19734.625986514136</v>
      </c>
      <c r="J131" s="1023">
        <v>18899.187317242049</v>
      </c>
      <c r="K131" s="1023">
        <v>21895.295094836296</v>
      </c>
      <c r="L131" s="1023">
        <v>25325.233385494255</v>
      </c>
      <c r="M131" s="1023">
        <v>21298.386599482663</v>
      </c>
      <c r="N131" s="1023">
        <v>19286.193347811099</v>
      </c>
      <c r="O131" s="1023">
        <v>17015.090549087625</v>
      </c>
      <c r="P131" s="1023">
        <v>16481.267398052438</v>
      </c>
      <c r="Q131" s="1023">
        <v>12679.805761844158</v>
      </c>
      <c r="R131" s="1023">
        <v>11097.179306058724</v>
      </c>
      <c r="S131" s="169">
        <f t="shared" si="102"/>
        <v>217379.26474642343</v>
      </c>
      <c r="T131" s="122">
        <f>VLOOKUP($B131,'Tech Litons'!$A:$I,9,0)</f>
        <v>255</v>
      </c>
      <c r="U131" s="179">
        <f t="shared" si="103"/>
        <v>64.882352941176464</v>
      </c>
      <c r="V131" s="179">
        <f t="shared" si="104"/>
        <v>67.145098039215682</v>
      </c>
      <c r="W131" s="179">
        <f t="shared" si="105"/>
        <v>77.390690143192685</v>
      </c>
      <c r="X131" s="179">
        <f t="shared" si="106"/>
        <v>74.11446006761588</v>
      </c>
      <c r="Y131" s="179">
        <f t="shared" si="107"/>
        <v>85.863902332691353</v>
      </c>
      <c r="Z131" s="179">
        <f t="shared" si="108"/>
        <v>99.314640727428454</v>
      </c>
      <c r="AA131" s="179">
        <f t="shared" si="109"/>
        <v>83.523084703853584</v>
      </c>
      <c r="AB131" s="179">
        <f t="shared" si="110"/>
        <v>75.632130775729792</v>
      </c>
      <c r="AC131" s="179">
        <f t="shared" si="111"/>
        <v>66.725845290539709</v>
      </c>
      <c r="AD131" s="179">
        <f t="shared" si="112"/>
        <v>64.632421168833091</v>
      </c>
      <c r="AE131" s="179">
        <f t="shared" si="113"/>
        <v>49.724728477820229</v>
      </c>
      <c r="AF131" s="179">
        <f t="shared" si="114"/>
        <v>43.518350219838133</v>
      </c>
    </row>
    <row r="132" spans="2:32">
      <c r="B132" s="122">
        <f t="shared" si="115"/>
        <v>68921994</v>
      </c>
      <c r="C132" s="122" t="str">
        <f>VLOOKUP($B132,'Tech Litons'!$A:$I,3,0)</f>
        <v>EDF</v>
      </c>
      <c r="D132" s="122" t="str">
        <f>VLOOKUP($B132,'Tech Litons'!$A:$I,4,0)</f>
        <v>EDF</v>
      </c>
      <c r="E132" s="1021" t="s">
        <v>1021</v>
      </c>
      <c r="F132" s="1021">
        <v>68921994</v>
      </c>
      <c r="G132" s="1023">
        <v>17196</v>
      </c>
      <c r="H132" s="1023">
        <v>18852</v>
      </c>
      <c r="I132" s="1023">
        <v>29399.250883342967</v>
      </c>
      <c r="J132" s="1023">
        <v>25518.812561337814</v>
      </c>
      <c r="K132" s="1023">
        <v>32877.243250752734</v>
      </c>
      <c r="L132" s="1023">
        <v>41245.922662592093</v>
      </c>
      <c r="M132" s="1023">
        <v>34583.844605654063</v>
      </c>
      <c r="N132" s="1023">
        <v>27536.073204092791</v>
      </c>
      <c r="O132" s="1023">
        <v>21733.560538982565</v>
      </c>
      <c r="P132" s="1023">
        <v>25418.815657371808</v>
      </c>
      <c r="Q132" s="1023">
        <v>15854.022896629092</v>
      </c>
      <c r="R132" s="1023">
        <v>16965.067352659771</v>
      </c>
      <c r="S132" s="169">
        <f t="shared" si="102"/>
        <v>307180.61361341574</v>
      </c>
      <c r="T132" s="122">
        <f>VLOOKUP($B132,'Tech Litons'!$A:$I,9,0)</f>
        <v>132</v>
      </c>
      <c r="U132" s="179">
        <f t="shared" si="103"/>
        <v>130.27272727272728</v>
      </c>
      <c r="V132" s="179">
        <f t="shared" si="104"/>
        <v>142.81818181818181</v>
      </c>
      <c r="W132" s="179">
        <f t="shared" si="105"/>
        <v>222.72159760108309</v>
      </c>
      <c r="X132" s="179">
        <f t="shared" si="106"/>
        <v>193.32433758589252</v>
      </c>
      <c r="Y132" s="179">
        <f t="shared" si="107"/>
        <v>249.07002462691466</v>
      </c>
      <c r="Z132" s="179">
        <f t="shared" si="108"/>
        <v>312.46911108024312</v>
      </c>
      <c r="AA132" s="179">
        <f t="shared" si="109"/>
        <v>261.99882277010653</v>
      </c>
      <c r="AB132" s="179">
        <f t="shared" si="110"/>
        <v>208.60661518252115</v>
      </c>
      <c r="AC132" s="179">
        <f t="shared" si="111"/>
        <v>164.64818590138307</v>
      </c>
      <c r="AD132" s="179">
        <f t="shared" si="112"/>
        <v>192.56678528311977</v>
      </c>
      <c r="AE132" s="179">
        <f t="shared" si="113"/>
        <v>120.10623406537191</v>
      </c>
      <c r="AF132" s="179">
        <f t="shared" si="114"/>
        <v>128.52323752014979</v>
      </c>
    </row>
    <row r="133" spans="2:32">
      <c r="B133" s="122">
        <f t="shared" si="115"/>
        <v>64776952</v>
      </c>
      <c r="C133" s="122" t="str">
        <f>VLOOKUP($B133,'Tech Litons'!$A:$I,3,0)</f>
        <v>PG</v>
      </c>
      <c r="D133" s="122" t="str">
        <f>VLOOKUP($B133,'Tech Litons'!$A:$I,4,0)</f>
        <v>PG</v>
      </c>
      <c r="E133" s="1021" t="s">
        <v>980</v>
      </c>
      <c r="F133" s="1021">
        <v>64776952</v>
      </c>
      <c r="G133" s="1023">
        <v>8606</v>
      </c>
      <c r="H133" s="1023">
        <v>10798</v>
      </c>
      <c r="I133" s="1023">
        <v>17525.507772663739</v>
      </c>
      <c r="J133" s="1023">
        <v>20994.971916970218</v>
      </c>
      <c r="K133" s="1023">
        <v>34453.967188541079</v>
      </c>
      <c r="L133" s="1023">
        <v>51397.871264922942</v>
      </c>
      <c r="M133" s="1023">
        <v>38458.170642739162</v>
      </c>
      <c r="N133" s="1023">
        <v>19805.378050251591</v>
      </c>
      <c r="O133" s="1023">
        <v>13081.459190768339</v>
      </c>
      <c r="P133" s="1023">
        <v>7621.4834317282848</v>
      </c>
      <c r="Q133" s="1023">
        <v>5900.3613400713093</v>
      </c>
      <c r="R133" s="1023">
        <v>6149.7466986190229</v>
      </c>
      <c r="S133" s="169">
        <f t="shared" si="102"/>
        <v>234792.91749727569</v>
      </c>
      <c r="T133" s="122">
        <f>VLOOKUP($B133,'Tech Litons'!$A:$I,9,0)</f>
        <v>130</v>
      </c>
      <c r="U133" s="179">
        <f t="shared" si="103"/>
        <v>66.2</v>
      </c>
      <c r="V133" s="179">
        <f t="shared" si="104"/>
        <v>83.061538461538461</v>
      </c>
      <c r="W133" s="179">
        <f t="shared" si="105"/>
        <v>134.81159825125954</v>
      </c>
      <c r="X133" s="179">
        <f t="shared" si="106"/>
        <v>161.49978397669398</v>
      </c>
      <c r="Y133" s="179">
        <f t="shared" si="107"/>
        <v>265.0305168349314</v>
      </c>
      <c r="Z133" s="179">
        <f t="shared" si="108"/>
        <v>395.36824049940725</v>
      </c>
      <c r="AA133" s="179">
        <f t="shared" si="109"/>
        <v>295.8320818672243</v>
      </c>
      <c r="AB133" s="179">
        <f t="shared" si="110"/>
        <v>152.34906192501225</v>
      </c>
      <c r="AC133" s="179">
        <f t="shared" si="111"/>
        <v>100.62660915975646</v>
      </c>
      <c r="AD133" s="179">
        <f t="shared" si="112"/>
        <v>58.626795628679112</v>
      </c>
      <c r="AE133" s="179">
        <f t="shared" si="113"/>
        <v>45.387394923625457</v>
      </c>
      <c r="AF133" s="179">
        <f t="shared" si="114"/>
        <v>47.305743835530947</v>
      </c>
    </row>
    <row r="134" spans="2:32">
      <c r="B134" s="122">
        <f t="shared" si="115"/>
        <v>69665113</v>
      </c>
      <c r="C134" s="122" t="str">
        <f>VLOOKUP($B134,'Tech Litons'!$A:$I,3,0)</f>
        <v>Dough Bites</v>
      </c>
      <c r="D134" s="122" t="str">
        <f>VLOOKUP($B134,'Tech Litons'!$A:$I,4,0)</f>
        <v>Dough Bites</v>
      </c>
      <c r="E134" s="1021" t="s">
        <v>896</v>
      </c>
      <c r="F134" s="1021">
        <v>69665113</v>
      </c>
      <c r="G134" s="1023">
        <v>17560</v>
      </c>
      <c r="H134" s="1023">
        <v>19071</v>
      </c>
      <c r="I134" s="1023">
        <v>25689.215048603583</v>
      </c>
      <c r="J134" s="1023">
        <v>26067.3183191057</v>
      </c>
      <c r="K134" s="1023">
        <v>49191.093160011485</v>
      </c>
      <c r="L134" s="1023">
        <v>24951.66285360033</v>
      </c>
      <c r="M134" s="1023">
        <v>22543.948360710638</v>
      </c>
      <c r="N134" s="1023">
        <v>17844.565573058368</v>
      </c>
      <c r="O134" s="1023">
        <v>20754.91857859509</v>
      </c>
      <c r="P134" s="1023">
        <v>17387.915397535704</v>
      </c>
      <c r="Q134" s="1023">
        <v>14706.720175218699</v>
      </c>
      <c r="R134" s="1023">
        <v>15262.850682524824</v>
      </c>
      <c r="S134" s="169">
        <f t="shared" si="102"/>
        <v>271031.20814896451</v>
      </c>
      <c r="T134" s="122">
        <f>VLOOKUP($B134,'Tech Litons'!$A:$I,9,0)</f>
        <v>256</v>
      </c>
      <c r="U134" s="179">
        <f t="shared" si="103"/>
        <v>68.59375</v>
      </c>
      <c r="V134" s="179">
        <f t="shared" si="104"/>
        <v>74.49609375</v>
      </c>
      <c r="W134" s="179">
        <f t="shared" si="105"/>
        <v>100.34849628360774</v>
      </c>
      <c r="X134" s="179">
        <f t="shared" si="106"/>
        <v>101.82546218400664</v>
      </c>
      <c r="Y134" s="179">
        <f t="shared" si="107"/>
        <v>192.15270765629487</v>
      </c>
      <c r="Z134" s="179">
        <f t="shared" si="108"/>
        <v>97.467433021876289</v>
      </c>
      <c r="AA134" s="179">
        <f t="shared" si="109"/>
        <v>88.062298284025928</v>
      </c>
      <c r="AB134" s="179">
        <f t="shared" si="110"/>
        <v>69.705334269759248</v>
      </c>
      <c r="AC134" s="179">
        <f t="shared" si="111"/>
        <v>81.073900697637072</v>
      </c>
      <c r="AD134" s="179">
        <f t="shared" si="112"/>
        <v>67.921544521623844</v>
      </c>
      <c r="AE134" s="179">
        <f t="shared" si="113"/>
        <v>57.448125684448044</v>
      </c>
      <c r="AF134" s="179">
        <f t="shared" si="114"/>
        <v>59.620510478612594</v>
      </c>
    </row>
    <row r="135" spans="2:32">
      <c r="B135" s="122">
        <f t="shared" si="115"/>
        <v>64874636</v>
      </c>
      <c r="C135" s="122" t="str">
        <f>VLOOKUP($B135,'Tech Litons'!$A:$I,3,0)</f>
        <v>ESS</v>
      </c>
      <c r="D135" s="122" t="str">
        <f>VLOOKUP($B135,'Tech Litons'!$A:$I,4,0)</f>
        <v>ESS</v>
      </c>
      <c r="E135" s="1021" t="s">
        <v>1108</v>
      </c>
      <c r="F135" s="1021">
        <v>64874636</v>
      </c>
      <c r="G135" s="1023">
        <v>9822</v>
      </c>
      <c r="H135" s="1023">
        <v>8304</v>
      </c>
      <c r="I135" s="1023">
        <v>11007.480000000001</v>
      </c>
      <c r="J135" s="1023">
        <v>12136.74</v>
      </c>
      <c r="K135" s="1023">
        <v>11350.59</v>
      </c>
      <c r="L135" s="1023">
        <v>9816.1800000000021</v>
      </c>
      <c r="M135" s="1023">
        <v>8423.119999999999</v>
      </c>
      <c r="N135" s="1023">
        <v>11530.960000000003</v>
      </c>
      <c r="O135" s="1023">
        <v>8218.7800000000007</v>
      </c>
      <c r="P135" s="1023">
        <v>7291.9099999999989</v>
      </c>
      <c r="Q135" s="1023">
        <v>6334.79</v>
      </c>
      <c r="R135" s="1023">
        <v>4572.8100000000004</v>
      </c>
      <c r="S135" s="169">
        <f t="shared" si="102"/>
        <v>108809.36</v>
      </c>
      <c r="T135" s="122">
        <f>VLOOKUP($B135,'Tech Litons'!$A:$I,9,0)</f>
        <v>189</v>
      </c>
      <c r="U135" s="179">
        <f t="shared" si="103"/>
        <v>51.968253968253968</v>
      </c>
      <c r="V135" s="179">
        <f t="shared" si="104"/>
        <v>43.936507936507937</v>
      </c>
      <c r="W135" s="179">
        <f t="shared" si="105"/>
        <v>58.240634920634925</v>
      </c>
      <c r="X135" s="179">
        <f t="shared" si="106"/>
        <v>64.215555555555554</v>
      </c>
      <c r="Y135" s="179">
        <f t="shared" si="107"/>
        <v>60.056031746031749</v>
      </c>
      <c r="Z135" s="179">
        <f t="shared" si="108"/>
        <v>51.937460317460328</v>
      </c>
      <c r="AA135" s="179">
        <f t="shared" si="109"/>
        <v>44.566772486772479</v>
      </c>
      <c r="AB135" s="179">
        <f t="shared" si="110"/>
        <v>61.010370370370381</v>
      </c>
      <c r="AC135" s="179">
        <f t="shared" si="111"/>
        <v>43.485608465608472</v>
      </c>
      <c r="AD135" s="179">
        <f t="shared" si="112"/>
        <v>38.581534391534383</v>
      </c>
      <c r="AE135" s="179">
        <f t="shared" si="113"/>
        <v>33.517407407407404</v>
      </c>
      <c r="AF135" s="179">
        <f t="shared" si="114"/>
        <v>24.194761904761908</v>
      </c>
    </row>
    <row r="136" spans="2:32">
      <c r="B136" s="122">
        <f t="shared" si="115"/>
        <v>64341962</v>
      </c>
      <c r="C136" s="122" t="str">
        <f>VLOOKUP($B136,'Tech Litons'!$A:$I,3,0)</f>
        <v>48oz</v>
      </c>
      <c r="D136" s="122" t="str">
        <f>VLOOKUP($B136,'Tech Litons'!$A:$I,4,0)</f>
        <v>48oz</v>
      </c>
      <c r="E136" s="1021" t="s">
        <v>443</v>
      </c>
      <c r="F136" s="1021">
        <v>64341962</v>
      </c>
      <c r="G136" s="1023">
        <v>22440</v>
      </c>
      <c r="H136" s="1023">
        <v>18953</v>
      </c>
      <c r="I136" s="1023">
        <v>30464.765503146697</v>
      </c>
      <c r="J136" s="1023">
        <v>23222.774908495234</v>
      </c>
      <c r="K136" s="1023">
        <v>28906.67601979633</v>
      </c>
      <c r="L136" s="1023">
        <v>29228.343766366863</v>
      </c>
      <c r="M136" s="1023">
        <v>26599.906739521248</v>
      </c>
      <c r="N136" s="1023">
        <v>25955.078546327015</v>
      </c>
      <c r="O136" s="1023">
        <v>15320.898878046948</v>
      </c>
      <c r="P136" s="1023">
        <v>16481.89924179592</v>
      </c>
      <c r="Q136" s="1023">
        <v>24491.31569035802</v>
      </c>
      <c r="R136" s="1023">
        <v>17619.328083898199</v>
      </c>
      <c r="S136" s="169">
        <f t="shared" si="102"/>
        <v>279683.98737775249</v>
      </c>
      <c r="T136" s="122">
        <f>VLOOKUP($B136,'Tech Litons'!$A:$I,9,0)</f>
        <v>176</v>
      </c>
      <c r="U136" s="179">
        <f t="shared" si="103"/>
        <v>127.5</v>
      </c>
      <c r="V136" s="179">
        <f t="shared" si="104"/>
        <v>107.6875</v>
      </c>
      <c r="W136" s="179">
        <f t="shared" si="105"/>
        <v>173.09525854060624</v>
      </c>
      <c r="X136" s="179">
        <f t="shared" si="106"/>
        <v>131.94758470735928</v>
      </c>
      <c r="Y136" s="179">
        <f t="shared" si="107"/>
        <v>164.24247738520643</v>
      </c>
      <c r="Z136" s="179">
        <f t="shared" si="108"/>
        <v>166.07013503617534</v>
      </c>
      <c r="AA136" s="179">
        <f t="shared" si="109"/>
        <v>151.1358337472798</v>
      </c>
      <c r="AB136" s="179">
        <f t="shared" si="110"/>
        <v>147.47203719503986</v>
      </c>
      <c r="AC136" s="179">
        <f t="shared" si="111"/>
        <v>87.050561807084932</v>
      </c>
      <c r="AD136" s="179">
        <f t="shared" si="112"/>
        <v>93.647154782931366</v>
      </c>
      <c r="AE136" s="179">
        <f t="shared" si="113"/>
        <v>139.1552027861251</v>
      </c>
      <c r="AF136" s="179">
        <f t="shared" si="114"/>
        <v>100.10981865851249</v>
      </c>
    </row>
    <row r="137" spans="2:32">
      <c r="B137" s="122">
        <f t="shared" si="115"/>
        <v>69986507</v>
      </c>
      <c r="C137" s="122" t="str">
        <f>VLOOKUP($B137,'Tech Litons'!$A:$I,3,0)</f>
        <v>BJ PTS</v>
      </c>
      <c r="D137" s="122" t="str">
        <f>VLOOKUP($B137,'Tech Litons'!$A:$I,4,0)</f>
        <v>BJ PTS</v>
      </c>
      <c r="E137" s="1021" t="s">
        <v>937</v>
      </c>
      <c r="F137" s="1021">
        <v>69986507</v>
      </c>
      <c r="G137" s="1023">
        <v>18858</v>
      </c>
      <c r="H137" s="1023">
        <v>20665</v>
      </c>
      <c r="I137" s="1023">
        <v>25199.374889952338</v>
      </c>
      <c r="J137" s="1023">
        <v>21501.789271535821</v>
      </c>
      <c r="K137" s="1023">
        <v>23218.354408365904</v>
      </c>
      <c r="L137" s="1023">
        <v>22314.494187803932</v>
      </c>
      <c r="M137" s="1023">
        <v>24771.569092827183</v>
      </c>
      <c r="N137" s="1023">
        <v>20850.433548050751</v>
      </c>
      <c r="O137" s="1023">
        <v>18615.731631182778</v>
      </c>
      <c r="P137" s="1023">
        <v>15145.747111461502</v>
      </c>
      <c r="Q137" s="1023">
        <v>17640.260334769762</v>
      </c>
      <c r="R137" s="1023">
        <v>15856.286533348426</v>
      </c>
      <c r="S137" s="169">
        <f t="shared" si="102"/>
        <v>244637.04100929841</v>
      </c>
      <c r="T137" s="122">
        <f>VLOOKUP($B137,'Tech Litons'!$A:$I,9,0)</f>
        <v>240</v>
      </c>
      <c r="U137" s="179">
        <f t="shared" si="103"/>
        <v>78.575000000000003</v>
      </c>
      <c r="V137" s="179">
        <f t="shared" si="104"/>
        <v>86.104166666666671</v>
      </c>
      <c r="W137" s="179">
        <f t="shared" si="105"/>
        <v>104.99739537480141</v>
      </c>
      <c r="X137" s="179">
        <f t="shared" si="106"/>
        <v>89.590788631399249</v>
      </c>
      <c r="Y137" s="179">
        <f t="shared" si="107"/>
        <v>96.743143368191269</v>
      </c>
      <c r="Z137" s="179">
        <f t="shared" si="108"/>
        <v>92.977059115849713</v>
      </c>
      <c r="AA137" s="179">
        <f t="shared" si="109"/>
        <v>103.21487122011327</v>
      </c>
      <c r="AB137" s="179">
        <f t="shared" si="110"/>
        <v>86.876806450211461</v>
      </c>
      <c r="AC137" s="179">
        <f t="shared" si="111"/>
        <v>77.565548463261578</v>
      </c>
      <c r="AD137" s="179">
        <f t="shared" si="112"/>
        <v>63.10727963108959</v>
      </c>
      <c r="AE137" s="179">
        <f t="shared" si="113"/>
        <v>73.501084728207346</v>
      </c>
      <c r="AF137" s="179">
        <f t="shared" si="114"/>
        <v>66.067860555618438</v>
      </c>
    </row>
    <row r="138" spans="2:32">
      <c r="B138" s="122">
        <f t="shared" si="115"/>
        <v>64413476</v>
      </c>
      <c r="C138" s="122" t="str">
        <f>VLOOKUP($B138,'Tech Litons'!$A:$I,3,0)</f>
        <v>B&amp;J Cups</v>
      </c>
      <c r="D138" s="122" t="str">
        <f>VLOOKUP($B138,'Tech Litons'!$A:$I,4,0)</f>
        <v>B&amp;J Cups</v>
      </c>
      <c r="E138" s="1021" t="s">
        <v>567</v>
      </c>
      <c r="F138" s="1021">
        <v>64413476</v>
      </c>
      <c r="G138" s="1023">
        <v>15231</v>
      </c>
      <c r="H138" s="1023">
        <v>21503</v>
      </c>
      <c r="I138" s="1023">
        <v>20193.974240386473</v>
      </c>
      <c r="J138" s="1023">
        <v>20816.75278558705</v>
      </c>
      <c r="K138" s="1023">
        <v>23706.217483985412</v>
      </c>
      <c r="L138" s="1023">
        <v>23631.071621839739</v>
      </c>
      <c r="M138" s="1023">
        <v>26296.161284315192</v>
      </c>
      <c r="N138" s="1023">
        <v>22647.128483836274</v>
      </c>
      <c r="O138" s="1023">
        <v>22445.915101108767</v>
      </c>
      <c r="P138" s="1023">
        <v>17824.0977152368</v>
      </c>
      <c r="Q138" s="1023">
        <v>16083.643635755641</v>
      </c>
      <c r="R138" s="1023">
        <v>16520.933635755642</v>
      </c>
      <c r="S138" s="169">
        <f t="shared" si="102"/>
        <v>246899.89598780702</v>
      </c>
      <c r="T138" s="122">
        <f>VLOOKUP($B138,'Tech Litons'!$A:$I,9,0)</f>
        <v>468</v>
      </c>
      <c r="U138" s="179">
        <f t="shared" si="103"/>
        <v>32.544871794871796</v>
      </c>
      <c r="V138" s="179">
        <f t="shared" si="104"/>
        <v>45.946581196581199</v>
      </c>
      <c r="W138" s="179">
        <f t="shared" si="105"/>
        <v>43.149517607663405</v>
      </c>
      <c r="X138" s="179">
        <f t="shared" si="106"/>
        <v>44.480240994844124</v>
      </c>
      <c r="Y138" s="179">
        <f t="shared" si="107"/>
        <v>50.654310863216693</v>
      </c>
      <c r="Z138" s="179">
        <f t="shared" si="108"/>
        <v>50.493742781708846</v>
      </c>
      <c r="AA138" s="179">
        <f t="shared" si="109"/>
        <v>56.1883788126393</v>
      </c>
      <c r="AB138" s="179">
        <f t="shared" si="110"/>
        <v>48.391300179137339</v>
      </c>
      <c r="AC138" s="179">
        <f t="shared" si="111"/>
        <v>47.961357053651213</v>
      </c>
      <c r="AD138" s="179">
        <f t="shared" si="112"/>
        <v>38.085678878711107</v>
      </c>
      <c r="AE138" s="179">
        <f t="shared" si="113"/>
        <v>34.366759905460775</v>
      </c>
      <c r="AF138" s="179">
        <f t="shared" si="114"/>
        <v>35.301140247341117</v>
      </c>
    </row>
    <row r="139" spans="2:32">
      <c r="B139" s="122">
        <f t="shared" si="115"/>
        <v>68354586</v>
      </c>
      <c r="C139" s="122" t="str">
        <f>VLOOKUP($B139,'Tech Litons'!$A:$I,3,0)</f>
        <v>Topped</v>
      </c>
      <c r="D139" s="122" t="str">
        <f>VLOOKUP($B139,'Tech Litons'!$A:$I,4,0)</f>
        <v>SP1</v>
      </c>
      <c r="E139" s="1021" t="s">
        <v>361</v>
      </c>
      <c r="F139" s="1021">
        <v>68354586</v>
      </c>
      <c r="G139" s="1023">
        <v>13333</v>
      </c>
      <c r="H139" s="1023">
        <v>18183</v>
      </c>
      <c r="I139" s="1023">
        <v>19715.995138435901</v>
      </c>
      <c r="J139" s="1023">
        <v>17967.402647618939</v>
      </c>
      <c r="K139" s="1023">
        <v>16858.283989131054</v>
      </c>
      <c r="L139" s="1023">
        <v>19373.763996070033</v>
      </c>
      <c r="M139" s="1023">
        <v>15948.102810913084</v>
      </c>
      <c r="N139" s="1023">
        <v>17367.40675888316</v>
      </c>
      <c r="O139" s="1023">
        <v>15552.404173439487</v>
      </c>
      <c r="P139" s="1023">
        <v>14269.889831405906</v>
      </c>
      <c r="Q139" s="1023">
        <v>13251.961757336283</v>
      </c>
      <c r="R139" s="1023">
        <v>12259.184961964957</v>
      </c>
      <c r="S139" s="169">
        <f t="shared" si="102"/>
        <v>194080.39606519882</v>
      </c>
      <c r="T139" s="122">
        <f>VLOOKUP($B139,'Tech Litons'!$A:$I,9,0)</f>
        <v>240</v>
      </c>
      <c r="U139" s="179">
        <f t="shared" si="103"/>
        <v>55.554166666666667</v>
      </c>
      <c r="V139" s="179">
        <f t="shared" si="104"/>
        <v>75.762500000000003</v>
      </c>
      <c r="W139" s="179">
        <f t="shared" si="105"/>
        <v>82.149979743482916</v>
      </c>
      <c r="X139" s="179">
        <f t="shared" si="106"/>
        <v>74.864177698412249</v>
      </c>
      <c r="Y139" s="179">
        <f t="shared" si="107"/>
        <v>70.242849954712725</v>
      </c>
      <c r="Z139" s="179">
        <f t="shared" si="108"/>
        <v>80.724016650291802</v>
      </c>
      <c r="AA139" s="179">
        <f t="shared" si="109"/>
        <v>66.450428378804517</v>
      </c>
      <c r="AB139" s="179">
        <f t="shared" si="110"/>
        <v>72.364194828679828</v>
      </c>
      <c r="AC139" s="179">
        <f t="shared" si="111"/>
        <v>64.801684055997868</v>
      </c>
      <c r="AD139" s="179">
        <f t="shared" si="112"/>
        <v>59.457874297524612</v>
      </c>
      <c r="AE139" s="179">
        <f t="shared" si="113"/>
        <v>55.216507322234513</v>
      </c>
      <c r="AF139" s="179">
        <f t="shared" si="114"/>
        <v>51.079937341520655</v>
      </c>
    </row>
    <row r="140" spans="2:32">
      <c r="B140" s="122">
        <f t="shared" si="115"/>
        <v>69548143</v>
      </c>
      <c r="C140" s="122" t="str">
        <f>VLOOKUP($B140,'Tech Litons'!$A:$I,3,0)</f>
        <v>EFW</v>
      </c>
      <c r="D140" s="122" t="str">
        <f>VLOOKUP($B140,'Tech Litons'!$A:$I,4,0)</f>
        <v>EFW</v>
      </c>
      <c r="E140" s="1021" t="s">
        <v>929</v>
      </c>
      <c r="F140" s="1021">
        <v>69548143</v>
      </c>
      <c r="G140" s="1023">
        <v>9714</v>
      </c>
      <c r="H140" s="1023">
        <v>15983</v>
      </c>
      <c r="I140" s="1023">
        <v>18908.2</v>
      </c>
      <c r="J140" s="1023">
        <v>12351.86</v>
      </c>
      <c r="K140" s="1023">
        <v>16505.169999999998</v>
      </c>
      <c r="L140" s="1023">
        <v>26565.21</v>
      </c>
      <c r="M140" s="1023">
        <v>22038.59</v>
      </c>
      <c r="N140" s="1023">
        <v>26068.799999999999</v>
      </c>
      <c r="O140" s="1023">
        <v>20335.11</v>
      </c>
      <c r="P140" s="1023">
        <v>12466.47</v>
      </c>
      <c r="Q140" s="1023">
        <v>16700.91</v>
      </c>
      <c r="R140" s="1023">
        <v>12818.67</v>
      </c>
      <c r="S140" s="169">
        <f t="shared" si="102"/>
        <v>210455.99000000002</v>
      </c>
      <c r="T140" s="122">
        <f>VLOOKUP($B140,'Tech Litons'!$A:$I,9,0)</f>
        <v>345</v>
      </c>
      <c r="U140" s="179">
        <f t="shared" si="103"/>
        <v>28.156521739130437</v>
      </c>
      <c r="V140" s="179">
        <f t="shared" si="104"/>
        <v>46.327536231884061</v>
      </c>
      <c r="W140" s="179">
        <f t="shared" si="105"/>
        <v>54.806376811594205</v>
      </c>
      <c r="X140" s="179">
        <f t="shared" si="106"/>
        <v>35.802492753623191</v>
      </c>
      <c r="Y140" s="179">
        <f t="shared" si="107"/>
        <v>47.841072463768114</v>
      </c>
      <c r="Z140" s="179">
        <f t="shared" si="108"/>
        <v>77.000608695652176</v>
      </c>
      <c r="AA140" s="179">
        <f t="shared" si="109"/>
        <v>63.879971014492753</v>
      </c>
      <c r="AB140" s="179">
        <f t="shared" si="110"/>
        <v>75.561739130434773</v>
      </c>
      <c r="AC140" s="179">
        <f t="shared" si="111"/>
        <v>58.942347826086959</v>
      </c>
      <c r="AD140" s="179">
        <f t="shared" si="112"/>
        <v>36.13469565217391</v>
      </c>
      <c r="AE140" s="179">
        <f t="shared" si="113"/>
        <v>48.408434782608694</v>
      </c>
      <c r="AF140" s="179">
        <f t="shared" si="114"/>
        <v>37.155565217391306</v>
      </c>
    </row>
    <row r="141" spans="2:32">
      <c r="B141" s="122">
        <f t="shared" si="115"/>
        <v>64988055</v>
      </c>
      <c r="C141" s="122" t="str">
        <f>VLOOKUP($B141,'Tech Litons'!$A:$I,3,0)</f>
        <v>48oz</v>
      </c>
      <c r="D141" s="122" t="str">
        <f>VLOOKUP($B141,'Tech Litons'!$A:$I,4,0)</f>
        <v>48oz</v>
      </c>
      <c r="E141" s="1021" t="s">
        <v>1010</v>
      </c>
      <c r="F141" s="1021">
        <v>64988055</v>
      </c>
      <c r="G141" s="1023">
        <v>21300</v>
      </c>
      <c r="H141" s="1023">
        <v>16665</v>
      </c>
      <c r="I141" s="1023">
        <v>22939.030911663969</v>
      </c>
      <c r="J141" s="1023">
        <v>25444.50694290406</v>
      </c>
      <c r="K141" s="1023">
        <v>24622.797772755555</v>
      </c>
      <c r="L141" s="1023">
        <v>26157.697633431319</v>
      </c>
      <c r="M141" s="1023">
        <v>23729.198271467081</v>
      </c>
      <c r="N141" s="1023">
        <v>22542.4832405095</v>
      </c>
      <c r="O141" s="1023">
        <v>16471.768019771062</v>
      </c>
      <c r="P141" s="1023">
        <v>14851.498784079371</v>
      </c>
      <c r="Q141" s="1023">
        <v>19191.98132477692</v>
      </c>
      <c r="R141" s="1023">
        <v>14856.260222287254</v>
      </c>
      <c r="S141" s="169">
        <f t="shared" si="102"/>
        <v>248772.22312364608</v>
      </c>
      <c r="T141" s="122">
        <f>VLOOKUP($B141,'Tech Litons'!$A:$I,9,0)</f>
        <v>176</v>
      </c>
      <c r="U141" s="179">
        <f t="shared" si="103"/>
        <v>121.02272727272727</v>
      </c>
      <c r="V141" s="179">
        <f t="shared" si="104"/>
        <v>94.6875</v>
      </c>
      <c r="W141" s="179">
        <f t="shared" si="105"/>
        <v>130.33540290718165</v>
      </c>
      <c r="X141" s="179">
        <f t="shared" si="106"/>
        <v>144.57106217559124</v>
      </c>
      <c r="Y141" s="179">
        <f t="shared" si="107"/>
        <v>139.90226007247475</v>
      </c>
      <c r="Z141" s="179">
        <f t="shared" si="108"/>
        <v>148.62328200813249</v>
      </c>
      <c r="AA141" s="179">
        <f t="shared" si="109"/>
        <v>134.82499017879024</v>
      </c>
      <c r="AB141" s="179">
        <f t="shared" si="110"/>
        <v>128.08229113925853</v>
      </c>
      <c r="AC141" s="179">
        <f t="shared" si="111"/>
        <v>93.589591021426486</v>
      </c>
      <c r="AD141" s="179">
        <f t="shared" si="112"/>
        <v>84.383515818632787</v>
      </c>
      <c r="AE141" s="179">
        <f t="shared" si="113"/>
        <v>109.0453484362325</v>
      </c>
      <c r="AF141" s="179">
        <f t="shared" si="114"/>
        <v>84.410569444813945</v>
      </c>
    </row>
    <row r="142" spans="2:32">
      <c r="B142" s="122">
        <f t="shared" si="115"/>
        <v>64325513</v>
      </c>
      <c r="C142" s="122" t="str">
        <f>VLOOKUP($B142,'Tech Litons'!$A:$I,3,0)</f>
        <v>Yasso Sticks</v>
      </c>
      <c r="D142" s="122" t="str">
        <f>VLOOKUP($B142,'Tech Litons'!$A:$I,4,0)</f>
        <v>Yasso Sticks</v>
      </c>
      <c r="E142" s="1021" t="s">
        <v>587</v>
      </c>
      <c r="F142" s="1021">
        <v>64325513</v>
      </c>
      <c r="G142" s="1023">
        <v>30749</v>
      </c>
      <c r="H142" s="1023">
        <v>27364</v>
      </c>
      <c r="I142" s="1023">
        <v>35860.627204541772</v>
      </c>
      <c r="J142" s="1023">
        <v>33712.447247718839</v>
      </c>
      <c r="K142" s="1023">
        <v>40120.638386252482</v>
      </c>
      <c r="L142" s="1023">
        <v>46719.985780979747</v>
      </c>
      <c r="M142" s="1023">
        <v>44062.835285271547</v>
      </c>
      <c r="N142" s="1023">
        <v>45840.889554450652</v>
      </c>
      <c r="O142" s="1023">
        <v>36409.717327772021</v>
      </c>
      <c r="P142" s="1023">
        <v>27497.018952304192</v>
      </c>
      <c r="Q142" s="1023">
        <v>33202.915317002204</v>
      </c>
      <c r="R142" s="1023">
        <v>30625.575543987863</v>
      </c>
      <c r="S142" s="169">
        <f t="shared" si="102"/>
        <v>432165.65060028131</v>
      </c>
      <c r="T142" s="122">
        <f>VLOOKUP($B142,'Tech Litons'!$A:$I,9,0)</f>
        <v>187</v>
      </c>
      <c r="U142" s="179">
        <f t="shared" si="103"/>
        <v>164.43315508021391</v>
      </c>
      <c r="V142" s="179">
        <f t="shared" si="104"/>
        <v>146.33155080213905</v>
      </c>
      <c r="W142" s="179">
        <f t="shared" si="105"/>
        <v>191.76805991733568</v>
      </c>
      <c r="X142" s="179">
        <f t="shared" si="106"/>
        <v>180.28046656534138</v>
      </c>
      <c r="Y142" s="179">
        <f t="shared" si="107"/>
        <v>214.54886837568171</v>
      </c>
      <c r="Z142" s="179">
        <f t="shared" si="108"/>
        <v>249.8394961549719</v>
      </c>
      <c r="AA142" s="179">
        <f t="shared" si="109"/>
        <v>235.63013521535586</v>
      </c>
      <c r="AB142" s="179">
        <f t="shared" si="110"/>
        <v>245.13844681524412</v>
      </c>
      <c r="AC142" s="179">
        <f t="shared" si="111"/>
        <v>194.70437073674879</v>
      </c>
      <c r="AD142" s="179">
        <f t="shared" si="112"/>
        <v>147.04288209788339</v>
      </c>
      <c r="AE142" s="179">
        <f t="shared" si="113"/>
        <v>177.55569688236471</v>
      </c>
      <c r="AF142" s="179">
        <f t="shared" si="114"/>
        <v>163.77313125127199</v>
      </c>
    </row>
    <row r="143" spans="2:32">
      <c r="B143" s="122">
        <f t="shared" si="115"/>
        <v>64795394</v>
      </c>
      <c r="C143" s="122" t="str">
        <f>VLOOKUP($B143,'Tech Litons'!$A:$I,3,0)</f>
        <v>MBG</v>
      </c>
      <c r="D143" s="122" t="str">
        <f>VLOOKUP($B143,'Tech Litons'!$A:$I,4,0)</f>
        <v>MBG</v>
      </c>
      <c r="E143" s="1021" t="s">
        <v>553</v>
      </c>
      <c r="F143" s="1021">
        <v>64795394</v>
      </c>
      <c r="G143" s="1023">
        <v>1185</v>
      </c>
      <c r="H143" s="1023">
        <v>3270</v>
      </c>
      <c r="I143" s="1023">
        <v>2712.6699999999996</v>
      </c>
      <c r="J143" s="1023">
        <v>2998.880000000001</v>
      </c>
      <c r="K143" s="1023">
        <v>5959.7400000000016</v>
      </c>
      <c r="L143" s="1023">
        <v>7579.5299999999988</v>
      </c>
      <c r="M143" s="1023">
        <v>7593.3399999999992</v>
      </c>
      <c r="N143" s="1023">
        <v>5861.7400000000007</v>
      </c>
      <c r="O143" s="1023">
        <v>4885.75</v>
      </c>
      <c r="P143" s="1023">
        <v>2908.6299999999992</v>
      </c>
      <c r="Q143" s="1023">
        <v>2309.3599999999997</v>
      </c>
      <c r="R143" s="1023">
        <v>1192.9299999999996</v>
      </c>
      <c r="S143" s="169">
        <f t="shared" si="102"/>
        <v>48457.57</v>
      </c>
      <c r="T143" s="122">
        <f>VLOOKUP($B143,'Tech Litons'!$A:$I,9,0)</f>
        <v>225</v>
      </c>
      <c r="U143" s="179">
        <f t="shared" si="103"/>
        <v>5.2666666666666666</v>
      </c>
      <c r="V143" s="179">
        <f t="shared" si="104"/>
        <v>14.533333333333333</v>
      </c>
      <c r="W143" s="179">
        <f t="shared" si="105"/>
        <v>12.056311111111109</v>
      </c>
      <c r="X143" s="179">
        <f t="shared" si="106"/>
        <v>13.328355555555561</v>
      </c>
      <c r="Y143" s="179">
        <f t="shared" si="107"/>
        <v>26.487733333333342</v>
      </c>
      <c r="Z143" s="179">
        <f t="shared" si="108"/>
        <v>33.686799999999998</v>
      </c>
      <c r="AA143" s="179">
        <f t="shared" si="109"/>
        <v>33.748177777777776</v>
      </c>
      <c r="AB143" s="179">
        <f t="shared" si="110"/>
        <v>26.052177777777782</v>
      </c>
      <c r="AC143" s="179">
        <f t="shared" si="111"/>
        <v>21.714444444444446</v>
      </c>
      <c r="AD143" s="179">
        <f t="shared" si="112"/>
        <v>12.92724444444444</v>
      </c>
      <c r="AE143" s="179">
        <f t="shared" si="113"/>
        <v>10.26382222222222</v>
      </c>
      <c r="AF143" s="179">
        <f t="shared" si="114"/>
        <v>5.3019111111111092</v>
      </c>
    </row>
    <row r="144" spans="2:32">
      <c r="B144" s="122">
        <f t="shared" ref="B144:B207" si="116">F144</f>
        <v>68817800</v>
      </c>
      <c r="C144" s="122" t="str">
        <f>VLOOKUP($B144,'Tech Litons'!$A:$I,3,0)</f>
        <v>48oz</v>
      </c>
      <c r="D144" s="122" t="str">
        <f>VLOOKUP($B144,'Tech Litons'!$A:$I,4,0)</f>
        <v>48oz</v>
      </c>
      <c r="E144" s="1021" t="s">
        <v>996</v>
      </c>
      <c r="F144" s="1021">
        <v>68817800</v>
      </c>
      <c r="G144" s="1023">
        <v>14399</v>
      </c>
      <c r="H144" s="1023">
        <v>12113</v>
      </c>
      <c r="I144" s="1023">
        <v>23073.989366238406</v>
      </c>
      <c r="J144" s="1023">
        <v>17300.895365190889</v>
      </c>
      <c r="K144" s="1023">
        <v>21533.923591343118</v>
      </c>
      <c r="L144" s="1023">
        <v>23792.213571717984</v>
      </c>
      <c r="M144" s="1023">
        <v>19438.689859079273</v>
      </c>
      <c r="N144" s="1023">
        <v>19618.107817432847</v>
      </c>
      <c r="O144" s="1023">
        <v>13114.00201928539</v>
      </c>
      <c r="P144" s="1023">
        <v>13840.041713661603</v>
      </c>
      <c r="Q144" s="1023">
        <v>18235.142312346132</v>
      </c>
      <c r="R144" s="1023">
        <v>13365.112502233116</v>
      </c>
      <c r="S144" s="169">
        <f t="shared" ref="S144:S207" si="117">SUM(G144:R144)</f>
        <v>209824.1181185288</v>
      </c>
      <c r="T144" s="122">
        <f>VLOOKUP($B144,'Tech Litons'!$A:$I,9,0)</f>
        <v>176</v>
      </c>
      <c r="U144" s="179">
        <f t="shared" ref="U144:U207" si="118">G144/$T144</f>
        <v>81.8125</v>
      </c>
      <c r="V144" s="179">
        <f t="shared" ref="V144:V207" si="119">H144/$T144</f>
        <v>68.82386363636364</v>
      </c>
      <c r="W144" s="179">
        <f t="shared" ref="W144:W207" si="120">I144/$T144</f>
        <v>131.10221230817277</v>
      </c>
      <c r="X144" s="179">
        <f t="shared" ref="X144:X207" si="121">J144/$T144</f>
        <v>98.300541847675504</v>
      </c>
      <c r="Y144" s="179">
        <f t="shared" ref="Y144:Y207" si="122">K144/$T144</f>
        <v>122.35183858717681</v>
      </c>
      <c r="Z144" s="179">
        <f t="shared" ref="Z144:Z207" si="123">L144/$T144</f>
        <v>135.18303165748856</v>
      </c>
      <c r="AA144" s="179">
        <f t="shared" ref="AA144:AA207" si="124">M144/$T144</f>
        <v>110.44710147204133</v>
      </c>
      <c r="AB144" s="179">
        <f t="shared" ref="AB144:AB207" si="125">N144/$T144</f>
        <v>111.46652168995935</v>
      </c>
      <c r="AC144" s="179">
        <f t="shared" ref="AC144:AC207" si="126">O144/$T144</f>
        <v>74.511375109576079</v>
      </c>
      <c r="AD144" s="179">
        <f t="shared" ref="AD144:AD207" si="127">P144/$T144</f>
        <v>78.636600645804563</v>
      </c>
      <c r="AE144" s="179">
        <f t="shared" ref="AE144:AE207" si="128">Q144/$T144</f>
        <v>103.60876313833029</v>
      </c>
      <c r="AF144" s="179">
        <f t="shared" ref="AF144:AF207" si="129">R144/$T144</f>
        <v>75.938139217233612</v>
      </c>
    </row>
    <row r="145" spans="2:32">
      <c r="B145" s="122">
        <f t="shared" si="116"/>
        <v>84135781</v>
      </c>
      <c r="C145" s="122" t="str">
        <f>VLOOKUP($B145,'Tech Litons'!$A:$I,3,0)</f>
        <v>BJ PTS</v>
      </c>
      <c r="D145" s="122" t="str">
        <f>VLOOKUP($B145,'Tech Litons'!$A:$I,4,0)</f>
        <v>BJ PTS</v>
      </c>
      <c r="E145" s="1021" t="s">
        <v>302</v>
      </c>
      <c r="F145" s="1021">
        <v>84135781</v>
      </c>
      <c r="G145" s="1023">
        <v>18837</v>
      </c>
      <c r="H145" s="1023">
        <v>22782</v>
      </c>
      <c r="I145" s="1023">
        <v>32031.694100785786</v>
      </c>
      <c r="J145" s="1023">
        <v>24315.397012723897</v>
      </c>
      <c r="K145" s="1023">
        <v>23473.712452125801</v>
      </c>
      <c r="L145" s="1023">
        <v>33252.170448749559</v>
      </c>
      <c r="M145" s="1023">
        <v>21807.341999071916</v>
      </c>
      <c r="N145" s="1023">
        <v>26586.73422115812</v>
      </c>
      <c r="O145" s="1023">
        <v>19433.259722505569</v>
      </c>
      <c r="P145" s="1023">
        <v>17213.75771333513</v>
      </c>
      <c r="Q145" s="1023">
        <v>19860.319462268184</v>
      </c>
      <c r="R145" s="1023">
        <v>20974.139174365926</v>
      </c>
      <c r="S145" s="169">
        <f t="shared" si="117"/>
        <v>280567.52630708989</v>
      </c>
      <c r="T145" s="122">
        <f>VLOOKUP($B145,'Tech Litons'!$A:$I,9,0)</f>
        <v>240</v>
      </c>
      <c r="U145" s="179">
        <f t="shared" si="118"/>
        <v>78.487499999999997</v>
      </c>
      <c r="V145" s="179">
        <f t="shared" si="119"/>
        <v>94.924999999999997</v>
      </c>
      <c r="W145" s="179">
        <f t="shared" si="120"/>
        <v>133.46539208660744</v>
      </c>
      <c r="X145" s="179">
        <f t="shared" si="121"/>
        <v>101.31415421968291</v>
      </c>
      <c r="Y145" s="179">
        <f t="shared" si="122"/>
        <v>97.807135217190833</v>
      </c>
      <c r="Z145" s="179">
        <f t="shared" si="123"/>
        <v>138.55071020312317</v>
      </c>
      <c r="AA145" s="179">
        <f t="shared" si="124"/>
        <v>90.86392499613298</v>
      </c>
      <c r="AB145" s="179">
        <f t="shared" si="125"/>
        <v>110.77805925482549</v>
      </c>
      <c r="AC145" s="179">
        <f t="shared" si="126"/>
        <v>80.971915510439871</v>
      </c>
      <c r="AD145" s="179">
        <f t="shared" si="127"/>
        <v>71.723990472229701</v>
      </c>
      <c r="AE145" s="179">
        <f t="shared" si="128"/>
        <v>82.751331092784099</v>
      </c>
      <c r="AF145" s="179">
        <f t="shared" si="129"/>
        <v>87.392246559858023</v>
      </c>
    </row>
    <row r="146" spans="2:32">
      <c r="B146" s="122">
        <f t="shared" si="116"/>
        <v>64315721</v>
      </c>
      <c r="C146" s="122" t="str">
        <f>VLOOKUP($B146,'Tech Litons'!$A:$I,3,0)</f>
        <v>48oz</v>
      </c>
      <c r="D146" s="122" t="str">
        <f>VLOOKUP($B146,'Tech Litons'!$A:$I,4,0)</f>
        <v>48oz</v>
      </c>
      <c r="E146" s="1021" t="s">
        <v>380</v>
      </c>
      <c r="F146" s="1021">
        <v>64315721</v>
      </c>
      <c r="G146" s="1023">
        <v>17182</v>
      </c>
      <c r="H146" s="1023">
        <v>19965</v>
      </c>
      <c r="I146" s="1023">
        <v>25834.321767044643</v>
      </c>
      <c r="J146" s="1023">
        <v>23590.464809353911</v>
      </c>
      <c r="K146" s="1023">
        <v>27438.449824725911</v>
      </c>
      <c r="L146" s="1023">
        <v>32490.022523670712</v>
      </c>
      <c r="M146" s="1023">
        <v>28945.673782944403</v>
      </c>
      <c r="N146" s="1023">
        <v>27874.93804896218</v>
      </c>
      <c r="O146" s="1023">
        <v>21505.884588295008</v>
      </c>
      <c r="P146" s="1023">
        <v>23782.611910708292</v>
      </c>
      <c r="Q146" s="1023">
        <v>22344.158185124055</v>
      </c>
      <c r="R146" s="1023">
        <v>16796.225290612947</v>
      </c>
      <c r="S146" s="169">
        <f t="shared" si="117"/>
        <v>287749.75073144207</v>
      </c>
      <c r="T146" s="122">
        <f>VLOOKUP($B146,'Tech Litons'!$A:$I,9,0)</f>
        <v>176</v>
      </c>
      <c r="U146" s="179">
        <f t="shared" si="118"/>
        <v>97.625</v>
      </c>
      <c r="V146" s="179">
        <f t="shared" si="119"/>
        <v>113.4375</v>
      </c>
      <c r="W146" s="179">
        <f t="shared" si="120"/>
        <v>146.78591913093547</v>
      </c>
      <c r="X146" s="179">
        <f t="shared" si="121"/>
        <v>134.03673187132904</v>
      </c>
      <c r="Y146" s="179">
        <f t="shared" si="122"/>
        <v>155.90028309503359</v>
      </c>
      <c r="Z146" s="179">
        <f t="shared" si="123"/>
        <v>184.60240070267449</v>
      </c>
      <c r="AA146" s="179">
        <f t="shared" si="124"/>
        <v>164.46405558491139</v>
      </c>
      <c r="AB146" s="179">
        <f t="shared" si="125"/>
        <v>158.38032982364874</v>
      </c>
      <c r="AC146" s="179">
        <f t="shared" si="126"/>
        <v>122.192526069858</v>
      </c>
      <c r="AD146" s="179">
        <f t="shared" si="127"/>
        <v>135.12847676538803</v>
      </c>
      <c r="AE146" s="179">
        <f t="shared" si="128"/>
        <v>126.95544423365941</v>
      </c>
      <c r="AF146" s="179">
        <f t="shared" si="129"/>
        <v>95.433098242119016</v>
      </c>
    </row>
    <row r="147" spans="2:32">
      <c r="B147" s="122">
        <f t="shared" si="116"/>
        <v>64328806</v>
      </c>
      <c r="C147" s="122" t="str">
        <f>VLOOKUP($B147,'Tech Litons'!$A:$I,3,0)</f>
        <v>ESS</v>
      </c>
      <c r="D147" s="122" t="str">
        <f>VLOOKUP($B147,'Tech Litons'!$A:$I,4,0)</f>
        <v>ESS</v>
      </c>
      <c r="E147" s="1022" t="s">
        <v>324</v>
      </c>
      <c r="F147" s="1022">
        <v>64328806</v>
      </c>
      <c r="G147" s="1025">
        <v>26550</v>
      </c>
      <c r="H147" s="1025">
        <v>32169</v>
      </c>
      <c r="I147" s="1025">
        <v>30745.18</v>
      </c>
      <c r="J147" s="1025">
        <v>30558.77</v>
      </c>
      <c r="K147" s="1025">
        <v>37609.753224589433</v>
      </c>
      <c r="L147" s="1025">
        <v>39123.048869405357</v>
      </c>
      <c r="M147" s="1025">
        <v>35776.997370419987</v>
      </c>
      <c r="N147" s="1025">
        <v>35716.579627234794</v>
      </c>
      <c r="O147" s="1025">
        <v>31482.379999999997</v>
      </c>
      <c r="P147" s="1025">
        <v>24526.010000000002</v>
      </c>
      <c r="Q147" s="1025">
        <v>22507.25</v>
      </c>
      <c r="R147" s="1025">
        <v>22085.16</v>
      </c>
      <c r="S147" s="169">
        <f t="shared" si="117"/>
        <v>368850.12909164955</v>
      </c>
      <c r="T147" s="122">
        <f>VLOOKUP($B147,'Tech Litons'!$A:$I,9,0)</f>
        <v>189</v>
      </c>
      <c r="U147" s="179">
        <f t="shared" si="118"/>
        <v>140.47619047619048</v>
      </c>
      <c r="V147" s="179">
        <f t="shared" si="119"/>
        <v>170.20634920634922</v>
      </c>
      <c r="W147" s="179">
        <f t="shared" si="120"/>
        <v>162.67291005291005</v>
      </c>
      <c r="X147" s="179">
        <f t="shared" si="121"/>
        <v>161.68661375661375</v>
      </c>
      <c r="Y147" s="179">
        <f t="shared" si="122"/>
        <v>198.99340330470599</v>
      </c>
      <c r="Z147" s="179">
        <f t="shared" si="123"/>
        <v>207.00025856828231</v>
      </c>
      <c r="AA147" s="179">
        <f t="shared" si="124"/>
        <v>189.29628238317454</v>
      </c>
      <c r="AB147" s="179">
        <f t="shared" si="125"/>
        <v>188.97661178431107</v>
      </c>
      <c r="AC147" s="179">
        <f t="shared" si="126"/>
        <v>166.57343915343915</v>
      </c>
      <c r="AD147" s="179">
        <f t="shared" si="127"/>
        <v>129.76724867724869</v>
      </c>
      <c r="AE147" s="179">
        <f t="shared" si="128"/>
        <v>119.08597883597884</v>
      </c>
      <c r="AF147" s="179">
        <f t="shared" si="129"/>
        <v>116.85269841269842</v>
      </c>
    </row>
    <row r="148" spans="2:32">
      <c r="B148" s="122">
        <f t="shared" si="116"/>
        <v>69796888</v>
      </c>
      <c r="C148" s="122" t="str">
        <f>VLOOKUP($B148,'Tech Litons'!$A:$I,3,0)</f>
        <v>Quarts</v>
      </c>
      <c r="D148" s="122" t="str">
        <f>VLOOKUP($B148,'Tech Litons'!$A:$I,4,0)</f>
        <v>Other</v>
      </c>
      <c r="E148" s="1021" t="s">
        <v>1094</v>
      </c>
      <c r="F148" s="1021">
        <v>69796888</v>
      </c>
      <c r="G148" s="1031">
        <v>1875</v>
      </c>
      <c r="H148" s="1031">
        <v>1301</v>
      </c>
      <c r="I148" s="1031">
        <v>3056.9824880784045</v>
      </c>
      <c r="J148" s="1031">
        <v>2703.5884770698917</v>
      </c>
      <c r="K148" s="1031">
        <v>1660.5437834820789</v>
      </c>
      <c r="L148" s="1031">
        <v>5413.0711926747308</v>
      </c>
      <c r="M148" s="1031">
        <v>3306.2499999999995</v>
      </c>
      <c r="N148" s="1031">
        <v>3218.5099999999998</v>
      </c>
      <c r="O148" s="1031">
        <v>2797.75</v>
      </c>
      <c r="P148" s="1031">
        <v>2964.2815229301077</v>
      </c>
      <c r="Q148" s="1031">
        <v>2027.56</v>
      </c>
      <c r="R148" s="1031">
        <v>1906.6299999999999</v>
      </c>
      <c r="S148" s="169">
        <f t="shared" si="117"/>
        <v>32231.167464235215</v>
      </c>
      <c r="T148" s="122">
        <f>VLOOKUP($B148,'Tech Litons'!$A:$I,9,0)</f>
        <v>182</v>
      </c>
      <c r="U148" s="179">
        <f t="shared" si="118"/>
        <v>10.302197802197803</v>
      </c>
      <c r="V148" s="179">
        <f t="shared" si="119"/>
        <v>7.1483516483516487</v>
      </c>
      <c r="W148" s="179">
        <f t="shared" si="120"/>
        <v>16.796607077353869</v>
      </c>
      <c r="X148" s="179">
        <f t="shared" si="121"/>
        <v>14.854881742142263</v>
      </c>
      <c r="Y148" s="179">
        <f t="shared" si="122"/>
        <v>9.123866942209224</v>
      </c>
      <c r="Z148" s="179">
        <f t="shared" si="123"/>
        <v>29.742149410300719</v>
      </c>
      <c r="AA148" s="179">
        <f t="shared" si="124"/>
        <v>18.166208791208788</v>
      </c>
      <c r="AB148" s="179">
        <f t="shared" si="125"/>
        <v>17.684120879120879</v>
      </c>
      <c r="AC148" s="179">
        <f t="shared" si="126"/>
        <v>15.372252747252746</v>
      </c>
      <c r="AD148" s="179">
        <f t="shared" si="127"/>
        <v>16.287261115000593</v>
      </c>
      <c r="AE148" s="179">
        <f t="shared" si="128"/>
        <v>11.14043956043956</v>
      </c>
      <c r="AF148" s="179">
        <f t="shared" si="129"/>
        <v>10.475989010989011</v>
      </c>
    </row>
    <row r="149" spans="2:32">
      <c r="B149" s="122">
        <f t="shared" si="116"/>
        <v>69986508</v>
      </c>
      <c r="C149" s="122" t="str">
        <f>VLOOKUP($B149,'Tech Litons'!$A:$I,3,0)</f>
        <v>BJ PTS</v>
      </c>
      <c r="D149" s="122" t="str">
        <f>VLOOKUP($B149,'Tech Litons'!$A:$I,4,0)</f>
        <v>BJ PTS</v>
      </c>
      <c r="E149" s="1021" t="s">
        <v>935</v>
      </c>
      <c r="F149" s="1021">
        <v>69986508</v>
      </c>
      <c r="G149" s="1024">
        <v>15555</v>
      </c>
      <c r="H149" s="1023">
        <v>16399</v>
      </c>
      <c r="I149" s="1023">
        <v>18710.931572689788</v>
      </c>
      <c r="J149" s="1023">
        <v>14022.386847073616</v>
      </c>
      <c r="K149" s="1023">
        <v>16615.151680669449</v>
      </c>
      <c r="L149" s="1023">
        <v>16690.906498500277</v>
      </c>
      <c r="M149" s="1023">
        <v>15444.695101217792</v>
      </c>
      <c r="N149" s="1023">
        <v>15899.325094077383</v>
      </c>
      <c r="O149" s="1023">
        <v>13503.27209837653</v>
      </c>
      <c r="P149" s="1023">
        <v>8773.3949434667593</v>
      </c>
      <c r="Q149" s="1023">
        <v>10289.514213108527</v>
      </c>
      <c r="R149" s="1023">
        <v>9228.348971518164</v>
      </c>
      <c r="S149" s="169">
        <f t="shared" si="117"/>
        <v>171131.92702069829</v>
      </c>
      <c r="T149" s="122">
        <f>VLOOKUP($B149,'Tech Litons'!$A:$I,9,0)</f>
        <v>240</v>
      </c>
      <c r="U149" s="179">
        <f t="shared" si="118"/>
        <v>64.8125</v>
      </c>
      <c r="V149" s="179">
        <f t="shared" si="119"/>
        <v>68.329166666666666</v>
      </c>
      <c r="W149" s="179">
        <f t="shared" si="120"/>
        <v>77.962214886207448</v>
      </c>
      <c r="X149" s="179">
        <f t="shared" si="121"/>
        <v>58.42661186280673</v>
      </c>
      <c r="Y149" s="179">
        <f t="shared" si="122"/>
        <v>69.229798669456031</v>
      </c>
      <c r="Z149" s="179">
        <f t="shared" si="123"/>
        <v>69.54544374375115</v>
      </c>
      <c r="AA149" s="179">
        <f t="shared" si="124"/>
        <v>64.352896255074128</v>
      </c>
      <c r="AB149" s="179">
        <f t="shared" si="125"/>
        <v>66.2471878919891</v>
      </c>
      <c r="AC149" s="179">
        <f t="shared" si="126"/>
        <v>56.263633743235545</v>
      </c>
      <c r="AD149" s="179">
        <f t="shared" si="127"/>
        <v>36.555812264444832</v>
      </c>
      <c r="AE149" s="179">
        <f t="shared" si="128"/>
        <v>42.872975887952194</v>
      </c>
      <c r="AF149" s="179">
        <f t="shared" si="129"/>
        <v>38.45145404799235</v>
      </c>
    </row>
    <row r="150" spans="2:32">
      <c r="B150" s="122">
        <f t="shared" si="116"/>
        <v>84137694</v>
      </c>
      <c r="C150" s="122" t="str">
        <f>VLOOKUP($B150,'Tech Litons'!$A:$I,3,0)</f>
        <v>BJ PTS</v>
      </c>
      <c r="D150" s="122" t="str">
        <f>VLOOKUP($B150,'Tech Litons'!$A:$I,4,0)</f>
        <v>BJ PTS</v>
      </c>
      <c r="E150" s="1021" t="s">
        <v>417</v>
      </c>
      <c r="F150" s="1021">
        <v>84137694</v>
      </c>
      <c r="G150" s="1023">
        <v>19592</v>
      </c>
      <c r="H150" s="1023">
        <v>22392</v>
      </c>
      <c r="I150" s="1023">
        <v>27405.815063844122</v>
      </c>
      <c r="J150" s="1023">
        <v>23602.719437914886</v>
      </c>
      <c r="K150" s="1023">
        <v>23530.931438995147</v>
      </c>
      <c r="L150" s="1023">
        <v>27269.267045030338</v>
      </c>
      <c r="M150" s="1023">
        <v>21561.323484992579</v>
      </c>
      <c r="N150" s="1023">
        <v>26222.332391119853</v>
      </c>
      <c r="O150" s="1023">
        <v>19285.240587502834</v>
      </c>
      <c r="P150" s="1023">
        <v>18087.646192302611</v>
      </c>
      <c r="Q150" s="1023">
        <v>17398.844969210157</v>
      </c>
      <c r="R150" s="1023">
        <v>14348.937252991804</v>
      </c>
      <c r="S150" s="169">
        <f t="shared" si="117"/>
        <v>260697.05786390431</v>
      </c>
      <c r="T150" s="122">
        <f>VLOOKUP($B150,'Tech Litons'!$A:$I,9,0)</f>
        <v>240</v>
      </c>
      <c r="U150" s="179">
        <f t="shared" si="118"/>
        <v>81.63333333333334</v>
      </c>
      <c r="V150" s="179">
        <f t="shared" si="119"/>
        <v>93.3</v>
      </c>
      <c r="W150" s="179">
        <f t="shared" si="120"/>
        <v>114.19089609935051</v>
      </c>
      <c r="X150" s="179">
        <f t="shared" si="121"/>
        <v>98.344664324645365</v>
      </c>
      <c r="Y150" s="179">
        <f t="shared" si="122"/>
        <v>98.045547662479777</v>
      </c>
      <c r="Z150" s="179">
        <f t="shared" si="123"/>
        <v>113.62194602095974</v>
      </c>
      <c r="AA150" s="179">
        <f t="shared" si="124"/>
        <v>89.83884785413575</v>
      </c>
      <c r="AB150" s="179">
        <f t="shared" si="125"/>
        <v>109.25971829633272</v>
      </c>
      <c r="AC150" s="179">
        <f t="shared" si="126"/>
        <v>80.355169114595142</v>
      </c>
      <c r="AD150" s="179">
        <f t="shared" si="127"/>
        <v>75.365192467927542</v>
      </c>
      <c r="AE150" s="179">
        <f t="shared" si="128"/>
        <v>72.49518737170898</v>
      </c>
      <c r="AF150" s="179">
        <f t="shared" si="129"/>
        <v>59.787238554132514</v>
      </c>
    </row>
    <row r="151" spans="2:32">
      <c r="B151" s="122">
        <f t="shared" si="116"/>
        <v>64367657</v>
      </c>
      <c r="C151" s="122" t="str">
        <f>VLOOKUP($B151,'Tech Litons'!$A:$I,3,0)</f>
        <v>Talenti</v>
      </c>
      <c r="D151" s="122" t="str">
        <f>VLOOKUP($B151,'Tech Litons'!$A:$I,4,0)</f>
        <v>Talenti</v>
      </c>
      <c r="E151" s="1021" t="s">
        <v>1087</v>
      </c>
      <c r="F151" s="1021">
        <v>64367657</v>
      </c>
      <c r="G151" s="1023">
        <v>15795</v>
      </c>
      <c r="H151" s="1023">
        <v>20325</v>
      </c>
      <c r="I151" s="1023">
        <v>20696.038187157901</v>
      </c>
      <c r="J151" s="1023">
        <v>21273.56737676993</v>
      </c>
      <c r="K151" s="1023">
        <v>22554.128130740541</v>
      </c>
      <c r="L151" s="1023">
        <v>24244.629465360082</v>
      </c>
      <c r="M151" s="1023">
        <v>21085.715751093638</v>
      </c>
      <c r="N151" s="1023">
        <v>17615.495456574587</v>
      </c>
      <c r="O151" s="1023">
        <v>19643.685122542476</v>
      </c>
      <c r="P151" s="1023">
        <v>17920.032061464928</v>
      </c>
      <c r="Q151" s="1023">
        <v>16331.107709322572</v>
      </c>
      <c r="R151" s="1023">
        <v>12865.552844105563</v>
      </c>
      <c r="S151" s="169">
        <f t="shared" si="117"/>
        <v>230349.95210513225</v>
      </c>
      <c r="T151" s="122">
        <f>VLOOKUP($B151,'Tech Litons'!$A:$I,9,0)</f>
        <v>255</v>
      </c>
      <c r="U151" s="179">
        <f t="shared" si="118"/>
        <v>61.941176470588232</v>
      </c>
      <c r="V151" s="179">
        <f t="shared" si="119"/>
        <v>79.705882352941174</v>
      </c>
      <c r="W151" s="179">
        <f t="shared" si="120"/>
        <v>81.160934067285893</v>
      </c>
      <c r="X151" s="179">
        <f t="shared" si="121"/>
        <v>83.425754418705608</v>
      </c>
      <c r="Y151" s="179">
        <f t="shared" si="122"/>
        <v>88.447561297021721</v>
      </c>
      <c r="Z151" s="179">
        <f t="shared" si="123"/>
        <v>95.076978295529727</v>
      </c>
      <c r="AA151" s="179">
        <f t="shared" si="124"/>
        <v>82.689081376837791</v>
      </c>
      <c r="AB151" s="179">
        <f t="shared" si="125"/>
        <v>69.080374339508182</v>
      </c>
      <c r="AC151" s="179">
        <f t="shared" si="126"/>
        <v>77.034059304088146</v>
      </c>
      <c r="AD151" s="179">
        <f t="shared" si="127"/>
        <v>70.274635535156577</v>
      </c>
      <c r="AE151" s="179">
        <f t="shared" si="128"/>
        <v>64.043559644402251</v>
      </c>
      <c r="AF151" s="179">
        <f t="shared" si="129"/>
        <v>50.453148408257107</v>
      </c>
    </row>
    <row r="152" spans="2:32">
      <c r="B152" s="122">
        <f t="shared" si="116"/>
        <v>64315722</v>
      </c>
      <c r="C152" s="122" t="str">
        <f>VLOOKUP($B152,'Tech Litons'!$A:$I,3,0)</f>
        <v>48oz</v>
      </c>
      <c r="D152" s="122" t="str">
        <f>VLOOKUP($B152,'Tech Litons'!$A:$I,4,0)</f>
        <v>48oz</v>
      </c>
      <c r="E152" s="1021" t="s">
        <v>478</v>
      </c>
      <c r="F152" s="1021">
        <v>64315722</v>
      </c>
      <c r="G152" s="1023">
        <v>11979</v>
      </c>
      <c r="H152" s="1023">
        <v>11077</v>
      </c>
      <c r="I152" s="1023">
        <v>17319.720366422815</v>
      </c>
      <c r="J152" s="1023">
        <v>19154.350724979748</v>
      </c>
      <c r="K152" s="1023">
        <v>20616.606607756636</v>
      </c>
      <c r="L152" s="1023">
        <v>20536.348685200861</v>
      </c>
      <c r="M152" s="1023">
        <v>21628.877982891645</v>
      </c>
      <c r="N152" s="1023">
        <v>22698.943686624698</v>
      </c>
      <c r="O152" s="1023">
        <v>15217.359664949163</v>
      </c>
      <c r="P152" s="1023">
        <v>13965.096470029455</v>
      </c>
      <c r="Q152" s="1023">
        <v>12592.833148840484</v>
      </c>
      <c r="R152" s="1023">
        <v>10857.330715902459</v>
      </c>
      <c r="S152" s="169">
        <f t="shared" si="117"/>
        <v>197643.46805359796</v>
      </c>
      <c r="T152" s="122">
        <f>VLOOKUP($B152,'Tech Litons'!$A:$I,9,0)</f>
        <v>176</v>
      </c>
      <c r="U152" s="179">
        <f t="shared" si="118"/>
        <v>68.0625</v>
      </c>
      <c r="V152" s="179">
        <f t="shared" si="119"/>
        <v>62.9375</v>
      </c>
      <c r="W152" s="179">
        <f t="shared" si="120"/>
        <v>98.407502081947811</v>
      </c>
      <c r="X152" s="179">
        <f t="shared" si="121"/>
        <v>108.8315382101122</v>
      </c>
      <c r="Y152" s="179">
        <f t="shared" si="122"/>
        <v>117.13981027134452</v>
      </c>
      <c r="Z152" s="179">
        <f t="shared" si="123"/>
        <v>116.68379934773216</v>
      </c>
      <c r="AA152" s="179">
        <f t="shared" si="124"/>
        <v>122.89135217552071</v>
      </c>
      <c r="AB152" s="179">
        <f t="shared" si="125"/>
        <v>128.97127094673124</v>
      </c>
      <c r="AC152" s="179">
        <f t="shared" si="126"/>
        <v>86.462270823574784</v>
      </c>
      <c r="AD152" s="179">
        <f t="shared" si="127"/>
        <v>79.347139034258262</v>
      </c>
      <c r="AE152" s="179">
        <f t="shared" si="128"/>
        <v>71.55018834568456</v>
      </c>
      <c r="AF152" s="179">
        <f t="shared" si="129"/>
        <v>61.689379067627605</v>
      </c>
    </row>
    <row r="153" spans="2:32">
      <c r="B153" s="122">
        <f t="shared" si="116"/>
        <v>64389650</v>
      </c>
      <c r="C153" s="122" t="str">
        <f>VLOOKUP($B153,'Tech Litons'!$A:$I,3,0)</f>
        <v>48oz</v>
      </c>
      <c r="D153" s="122" t="str">
        <f>VLOOKUP($B153,'Tech Litons'!$A:$I,4,0)</f>
        <v>48oz</v>
      </c>
      <c r="E153" s="1021" t="s">
        <v>330</v>
      </c>
      <c r="F153" s="1021">
        <v>64389650</v>
      </c>
      <c r="G153" s="1023">
        <v>12973</v>
      </c>
      <c r="H153" s="1023">
        <v>13748</v>
      </c>
      <c r="I153" s="1023">
        <v>17590.356457244314</v>
      </c>
      <c r="J153" s="1023">
        <v>13914.41986860748</v>
      </c>
      <c r="K153" s="1023">
        <v>17336.04148137182</v>
      </c>
      <c r="L153" s="1023">
        <v>20451.633439871799</v>
      </c>
      <c r="M153" s="1023">
        <v>18352.170031832997</v>
      </c>
      <c r="N153" s="1023">
        <v>17198.887782507765</v>
      </c>
      <c r="O153" s="1023">
        <v>14861.398374431446</v>
      </c>
      <c r="P153" s="1023">
        <v>12944.712972888947</v>
      </c>
      <c r="Q153" s="1023">
        <v>14490.181851464229</v>
      </c>
      <c r="R153" s="1023">
        <v>10712.425481752382</v>
      </c>
      <c r="S153" s="169">
        <f t="shared" si="117"/>
        <v>184573.22774197318</v>
      </c>
      <c r="T153" s="122">
        <f>VLOOKUP($B153,'Tech Litons'!$A:$I,9,0)</f>
        <v>176</v>
      </c>
      <c r="U153" s="179">
        <f t="shared" si="118"/>
        <v>73.710227272727266</v>
      </c>
      <c r="V153" s="179">
        <f t="shared" si="119"/>
        <v>78.11363636363636</v>
      </c>
      <c r="W153" s="179">
        <f t="shared" si="120"/>
        <v>99.945207143433606</v>
      </c>
      <c r="X153" s="179">
        <f t="shared" si="121"/>
        <v>79.05920379890614</v>
      </c>
      <c r="Y153" s="179">
        <f t="shared" si="122"/>
        <v>98.500235689612609</v>
      </c>
      <c r="Z153" s="179">
        <f t="shared" si="123"/>
        <v>116.20246272654431</v>
      </c>
      <c r="AA153" s="179">
        <f t="shared" si="124"/>
        <v>104.27369336268748</v>
      </c>
      <c r="AB153" s="179">
        <f t="shared" si="125"/>
        <v>97.720953309703205</v>
      </c>
      <c r="AC153" s="179">
        <f t="shared" si="126"/>
        <v>84.43976349108776</v>
      </c>
      <c r="AD153" s="179">
        <f t="shared" si="127"/>
        <v>73.549505527778109</v>
      </c>
      <c r="AE153" s="179">
        <f t="shared" si="128"/>
        <v>82.330578701501295</v>
      </c>
      <c r="AF153" s="179">
        <f t="shared" si="129"/>
        <v>60.866053873593074</v>
      </c>
    </row>
    <row r="154" spans="2:32">
      <c r="B154" s="122">
        <f t="shared" si="116"/>
        <v>64399865</v>
      </c>
      <c r="C154" s="122" t="str">
        <f>VLOOKUP($B154,'Tech Litons'!$A:$I,3,0)</f>
        <v>MBG</v>
      </c>
      <c r="D154" s="122" t="str">
        <f>VLOOKUP($B154,'Tech Litons'!$A:$I,4,0)</f>
        <v>MBG</v>
      </c>
      <c r="E154" s="1021" t="s">
        <v>1100</v>
      </c>
      <c r="F154" s="1021">
        <v>64399865</v>
      </c>
      <c r="G154" s="1023">
        <v>2604</v>
      </c>
      <c r="H154" s="1023">
        <v>3038</v>
      </c>
      <c r="I154" s="1023">
        <v>3771.9599999999987</v>
      </c>
      <c r="J154" s="1023">
        <v>4202.7299999999987</v>
      </c>
      <c r="K154" s="1023">
        <v>3397.6899999999991</v>
      </c>
      <c r="L154" s="1023">
        <v>3350.5199999999991</v>
      </c>
      <c r="M154" s="1023">
        <v>2979.8799999999983</v>
      </c>
      <c r="N154" s="1023">
        <v>2986.2099999999996</v>
      </c>
      <c r="O154" s="1023">
        <v>2677.3099999999986</v>
      </c>
      <c r="P154" s="1023">
        <v>1847.5299999999988</v>
      </c>
      <c r="Q154" s="1023">
        <v>1131.8799999999987</v>
      </c>
      <c r="R154" s="1023">
        <v>905.09999999999957</v>
      </c>
      <c r="S154" s="169">
        <f t="shared" si="117"/>
        <v>32892.80999999999</v>
      </c>
      <c r="T154" s="122">
        <f>VLOOKUP($B154,'Tech Litons'!$A:$I,9,0)</f>
        <v>154</v>
      </c>
      <c r="U154" s="179">
        <f t="shared" si="118"/>
        <v>16.90909090909091</v>
      </c>
      <c r="V154" s="179">
        <f t="shared" si="119"/>
        <v>19.727272727272727</v>
      </c>
      <c r="W154" s="179">
        <f t="shared" si="120"/>
        <v>24.493246753246744</v>
      </c>
      <c r="X154" s="179">
        <f t="shared" si="121"/>
        <v>27.290454545454537</v>
      </c>
      <c r="Y154" s="179">
        <f t="shared" si="122"/>
        <v>22.062922077922071</v>
      </c>
      <c r="Z154" s="179">
        <f t="shared" si="123"/>
        <v>21.75662337662337</v>
      </c>
      <c r="AA154" s="179">
        <f t="shared" si="124"/>
        <v>19.349870129870119</v>
      </c>
      <c r="AB154" s="179">
        <f t="shared" si="125"/>
        <v>19.390974025974025</v>
      </c>
      <c r="AC154" s="179">
        <f t="shared" si="126"/>
        <v>17.385129870129862</v>
      </c>
      <c r="AD154" s="179">
        <f t="shared" si="127"/>
        <v>11.996948051948044</v>
      </c>
      <c r="AE154" s="179">
        <f t="shared" si="128"/>
        <v>7.3498701298701219</v>
      </c>
      <c r="AF154" s="179">
        <f t="shared" si="129"/>
        <v>5.8772727272727243</v>
      </c>
    </row>
    <row r="155" spans="2:32">
      <c r="B155" s="122">
        <f t="shared" si="116"/>
        <v>64413475</v>
      </c>
      <c r="C155" s="122" t="str">
        <f>VLOOKUP($B155,'Tech Litons'!$A:$I,3,0)</f>
        <v>B&amp;J Cups</v>
      </c>
      <c r="D155" s="122" t="str">
        <f>VLOOKUP($B155,'Tech Litons'!$A:$I,4,0)</f>
        <v>B&amp;J Cups</v>
      </c>
      <c r="E155" s="1021" t="s">
        <v>566</v>
      </c>
      <c r="F155" s="1021">
        <v>64413475</v>
      </c>
      <c r="G155" s="1023">
        <v>5182</v>
      </c>
      <c r="H155" s="1023">
        <v>7292</v>
      </c>
      <c r="I155" s="1023">
        <v>6258.721769196698</v>
      </c>
      <c r="J155" s="1023">
        <v>7776.3236974016581</v>
      </c>
      <c r="K155" s="1023">
        <v>5054.6507652569326</v>
      </c>
      <c r="L155" s="1023">
        <v>4967.6181025534906</v>
      </c>
      <c r="M155" s="1023">
        <v>10138.161806366983</v>
      </c>
      <c r="N155" s="1023">
        <v>10092.112669170419</v>
      </c>
      <c r="O155" s="1023">
        <v>9573.376457183831</v>
      </c>
      <c r="P155" s="1023">
        <v>6563.5660044825381</v>
      </c>
      <c r="Q155" s="1023">
        <v>7509.7698558916345</v>
      </c>
      <c r="R155" s="1023">
        <v>7146.0098558916343</v>
      </c>
      <c r="S155" s="169">
        <f t="shared" si="117"/>
        <v>87554.310983395815</v>
      </c>
      <c r="T155" s="122">
        <f>VLOOKUP($B155,'Tech Litons'!$A:$I,9,0)</f>
        <v>468</v>
      </c>
      <c r="U155" s="179">
        <f t="shared" si="118"/>
        <v>11.072649572649572</v>
      </c>
      <c r="V155" s="179">
        <f t="shared" si="119"/>
        <v>15.581196581196581</v>
      </c>
      <c r="W155" s="179">
        <f t="shared" si="120"/>
        <v>13.373337113668159</v>
      </c>
      <c r="X155" s="179">
        <f t="shared" si="121"/>
        <v>16.616076276499271</v>
      </c>
      <c r="Y155" s="179">
        <f t="shared" si="122"/>
        <v>10.800535823198574</v>
      </c>
      <c r="Z155" s="179">
        <f t="shared" si="123"/>
        <v>10.614568595199767</v>
      </c>
      <c r="AA155" s="179">
        <f t="shared" si="124"/>
        <v>21.662738902493555</v>
      </c>
      <c r="AB155" s="179">
        <f t="shared" si="125"/>
        <v>21.564343310193205</v>
      </c>
      <c r="AC155" s="179">
        <f t="shared" si="126"/>
        <v>20.455932600820152</v>
      </c>
      <c r="AD155" s="179">
        <f t="shared" si="127"/>
        <v>14.024713684791749</v>
      </c>
      <c r="AE155" s="179">
        <f t="shared" si="128"/>
        <v>16.046516786093235</v>
      </c>
      <c r="AF155" s="179">
        <f t="shared" si="129"/>
        <v>15.269251828828278</v>
      </c>
    </row>
    <row r="156" spans="2:32">
      <c r="B156" s="122">
        <f t="shared" si="116"/>
        <v>64327184</v>
      </c>
      <c r="C156" s="122" t="str">
        <f>VLOOKUP($B156,'Tech Litons'!$A:$I,3,0)</f>
        <v>Yasso Club</v>
      </c>
      <c r="D156" s="122" t="str">
        <f>VLOOKUP($B156,'Tech Litons'!$A:$I,4,0)</f>
        <v>Yasso Club</v>
      </c>
      <c r="E156" s="1021" t="s">
        <v>1036</v>
      </c>
      <c r="F156" s="1021">
        <v>64327184</v>
      </c>
      <c r="G156" s="1023">
        <v>0</v>
      </c>
      <c r="H156" s="1023">
        <v>0</v>
      </c>
      <c r="I156" s="1023">
        <v>0</v>
      </c>
      <c r="J156" s="1023">
        <v>0</v>
      </c>
      <c r="K156" s="1023">
        <v>0</v>
      </c>
      <c r="L156" s="1023">
        <v>0</v>
      </c>
      <c r="M156" s="1023">
        <v>0</v>
      </c>
      <c r="N156" s="1023">
        <v>0</v>
      </c>
      <c r="O156" s="1023">
        <v>0</v>
      </c>
      <c r="P156" s="1023">
        <v>0</v>
      </c>
      <c r="Q156" s="1023">
        <v>0</v>
      </c>
      <c r="R156" s="1023">
        <v>0</v>
      </c>
      <c r="S156" s="169">
        <f t="shared" si="117"/>
        <v>0</v>
      </c>
      <c r="T156" s="122">
        <f>VLOOKUP($B156,'Tech Litons'!$A:$I,9,0)</f>
        <v>240</v>
      </c>
      <c r="U156" s="179">
        <f t="shared" si="118"/>
        <v>0</v>
      </c>
      <c r="V156" s="179">
        <f t="shared" si="119"/>
        <v>0</v>
      </c>
      <c r="W156" s="179">
        <f t="shared" si="120"/>
        <v>0</v>
      </c>
      <c r="X156" s="179">
        <f t="shared" si="121"/>
        <v>0</v>
      </c>
      <c r="Y156" s="179">
        <f t="shared" si="122"/>
        <v>0</v>
      </c>
      <c r="Z156" s="179">
        <f t="shared" si="123"/>
        <v>0</v>
      </c>
      <c r="AA156" s="179">
        <f t="shared" si="124"/>
        <v>0</v>
      </c>
      <c r="AB156" s="179">
        <f t="shared" si="125"/>
        <v>0</v>
      </c>
      <c r="AC156" s="179">
        <f t="shared" si="126"/>
        <v>0</v>
      </c>
      <c r="AD156" s="179">
        <f t="shared" si="127"/>
        <v>0</v>
      </c>
      <c r="AE156" s="179">
        <f t="shared" si="128"/>
        <v>0</v>
      </c>
      <c r="AF156" s="179">
        <f t="shared" si="129"/>
        <v>0</v>
      </c>
    </row>
    <row r="157" spans="2:32">
      <c r="B157" s="122">
        <f t="shared" si="116"/>
        <v>69564623</v>
      </c>
      <c r="C157" s="122" t="str">
        <f>VLOOKUP($B157,'Tech Litons'!$A:$I,3,0)</f>
        <v>48oz</v>
      </c>
      <c r="D157" s="122" t="str">
        <f>VLOOKUP($B157,'Tech Litons'!$A:$I,4,0)</f>
        <v>48oz</v>
      </c>
      <c r="E157" s="1021" t="s">
        <v>1089</v>
      </c>
      <c r="F157" s="1021">
        <v>69564623</v>
      </c>
      <c r="G157" s="1023">
        <v>15959</v>
      </c>
      <c r="H157" s="1023">
        <v>19399</v>
      </c>
      <c r="I157" s="1023">
        <v>23092.26269698676</v>
      </c>
      <c r="J157" s="1023">
        <v>18823.324991341382</v>
      </c>
      <c r="K157" s="1023">
        <v>23630.39364666559</v>
      </c>
      <c r="L157" s="1023">
        <v>23776.290221345691</v>
      </c>
      <c r="M157" s="1023">
        <v>25589.985574485087</v>
      </c>
      <c r="N157" s="1023">
        <v>26743.121101858207</v>
      </c>
      <c r="O157" s="1023">
        <v>19160.028500000004</v>
      </c>
      <c r="P157" s="1023">
        <v>22282.998499999998</v>
      </c>
      <c r="Q157" s="1023">
        <v>22915.610999999994</v>
      </c>
      <c r="R157" s="1023">
        <v>19611.058000000001</v>
      </c>
      <c r="S157" s="169">
        <f t="shared" si="117"/>
        <v>260983.07423268273</v>
      </c>
      <c r="T157" s="122">
        <f>VLOOKUP($B157,'Tech Litons'!$A:$I,9,0)</f>
        <v>176</v>
      </c>
      <c r="U157" s="179">
        <f t="shared" si="118"/>
        <v>90.67613636363636</v>
      </c>
      <c r="V157" s="179">
        <f t="shared" si="119"/>
        <v>110.22159090909091</v>
      </c>
      <c r="W157" s="179">
        <f t="shared" si="120"/>
        <v>131.20603805106114</v>
      </c>
      <c r="X157" s="179">
        <f t="shared" si="121"/>
        <v>106.95071017807604</v>
      </c>
      <c r="Y157" s="179">
        <f t="shared" si="122"/>
        <v>134.26360026514541</v>
      </c>
      <c r="Z157" s="179">
        <f t="shared" si="123"/>
        <v>135.09255807582778</v>
      </c>
      <c r="AA157" s="179">
        <f t="shared" si="124"/>
        <v>145.39764530957436</v>
      </c>
      <c r="AB157" s="179">
        <f t="shared" si="125"/>
        <v>151.94955171510344</v>
      </c>
      <c r="AC157" s="179">
        <f t="shared" si="126"/>
        <v>108.86379829545457</v>
      </c>
      <c r="AD157" s="179">
        <f t="shared" si="127"/>
        <v>126.60794602272726</v>
      </c>
      <c r="AE157" s="179">
        <f t="shared" si="128"/>
        <v>130.2023352272727</v>
      </c>
      <c r="AF157" s="179">
        <f t="shared" si="129"/>
        <v>111.42646590909091</v>
      </c>
    </row>
    <row r="158" spans="2:32">
      <c r="B158" s="122">
        <f t="shared" si="116"/>
        <v>68899826</v>
      </c>
      <c r="C158" s="122" t="str">
        <f>VLOOKUP($B158,'Tech Litons'!$A:$I,3,0)</f>
        <v>48oz</v>
      </c>
      <c r="D158" s="122" t="str">
        <f>VLOOKUP($B158,'Tech Litons'!$A:$I,4,0)</f>
        <v>48oz</v>
      </c>
      <c r="E158" s="1021" t="s">
        <v>990</v>
      </c>
      <c r="F158" s="1021">
        <v>68899826</v>
      </c>
      <c r="G158" s="1023">
        <v>18678</v>
      </c>
      <c r="H158" s="1023">
        <v>13937</v>
      </c>
      <c r="I158" s="1023">
        <v>25483.694518385644</v>
      </c>
      <c r="J158" s="1023">
        <v>18731.63870194877</v>
      </c>
      <c r="K158" s="1023">
        <v>23335.388832587803</v>
      </c>
      <c r="L158" s="1023">
        <v>24551.418162995305</v>
      </c>
      <c r="M158" s="1023">
        <v>20813.720610938813</v>
      </c>
      <c r="N158" s="1023">
        <v>21646.892531664173</v>
      </c>
      <c r="O158" s="1023">
        <v>13598.825512872503</v>
      </c>
      <c r="P158" s="1023">
        <v>13521.917425187719</v>
      </c>
      <c r="Q158" s="1023">
        <v>20937.970575436833</v>
      </c>
      <c r="R158" s="1023">
        <v>14469.889125844871</v>
      </c>
      <c r="S158" s="169">
        <f t="shared" si="117"/>
        <v>229706.35599786244</v>
      </c>
      <c r="T158" s="122">
        <f>VLOOKUP($B158,'Tech Litons'!$A:$I,9,0)</f>
        <v>176</v>
      </c>
      <c r="U158" s="179">
        <f t="shared" si="118"/>
        <v>106.125</v>
      </c>
      <c r="V158" s="179">
        <f t="shared" si="119"/>
        <v>79.1875</v>
      </c>
      <c r="W158" s="179">
        <f t="shared" si="120"/>
        <v>144.79371885446389</v>
      </c>
      <c r="X158" s="179">
        <f t="shared" si="121"/>
        <v>106.42976535198164</v>
      </c>
      <c r="Y158" s="179">
        <f t="shared" si="122"/>
        <v>132.58743654879433</v>
      </c>
      <c r="Z158" s="179">
        <f t="shared" si="123"/>
        <v>139.49669410792788</v>
      </c>
      <c r="AA158" s="179">
        <f t="shared" si="124"/>
        <v>118.25977619851598</v>
      </c>
      <c r="AB158" s="179">
        <f t="shared" si="125"/>
        <v>122.99370756627371</v>
      </c>
      <c r="AC158" s="179">
        <f t="shared" si="126"/>
        <v>77.266054050411952</v>
      </c>
      <c r="AD158" s="179">
        <f t="shared" si="127"/>
        <v>76.829076279475672</v>
      </c>
      <c r="AE158" s="179">
        <f t="shared" si="128"/>
        <v>118.96574190589109</v>
      </c>
      <c r="AF158" s="179">
        <f t="shared" si="129"/>
        <v>82.215279124118581</v>
      </c>
    </row>
    <row r="159" spans="2:32">
      <c r="B159" s="122">
        <f t="shared" si="116"/>
        <v>64392287</v>
      </c>
      <c r="C159" s="122" t="str">
        <f>VLOOKUP($B159,'Tech Litons'!$A:$I,3,0)</f>
        <v>ESS</v>
      </c>
      <c r="D159" s="122" t="str">
        <f>VLOOKUP($B159,'Tech Litons'!$A:$I,4,0)</f>
        <v>ESS</v>
      </c>
      <c r="E159" s="1021" t="s">
        <v>1102</v>
      </c>
      <c r="F159" s="1021">
        <v>64392287</v>
      </c>
      <c r="G159" s="1023">
        <v>209</v>
      </c>
      <c r="H159" s="1023">
        <v>363</v>
      </c>
      <c r="I159" s="1023">
        <v>1055.9492354182603</v>
      </c>
      <c r="J159" s="1023">
        <v>2520.8776928697962</v>
      </c>
      <c r="K159" s="1023">
        <v>0</v>
      </c>
      <c r="L159" s="1023">
        <v>190.59999999999997</v>
      </c>
      <c r="M159" s="1023">
        <v>0</v>
      </c>
      <c r="N159" s="1023">
        <v>0</v>
      </c>
      <c r="O159" s="1023">
        <v>0</v>
      </c>
      <c r="P159" s="1023">
        <v>0</v>
      </c>
      <c r="Q159" s="1023">
        <v>0</v>
      </c>
      <c r="R159" s="1023">
        <v>0</v>
      </c>
      <c r="S159" s="169">
        <f t="shared" si="117"/>
        <v>4339.4269282880568</v>
      </c>
      <c r="T159" s="122">
        <f>VLOOKUP($B159,'Tech Litons'!$A:$I,9,0)</f>
        <v>132</v>
      </c>
      <c r="U159" s="179">
        <f t="shared" si="118"/>
        <v>1.5833333333333333</v>
      </c>
      <c r="V159" s="179">
        <f t="shared" si="119"/>
        <v>2.75</v>
      </c>
      <c r="W159" s="179">
        <f t="shared" si="120"/>
        <v>7.9996154198353056</v>
      </c>
      <c r="X159" s="179">
        <f t="shared" si="121"/>
        <v>19.097558279316637</v>
      </c>
      <c r="Y159" s="179">
        <f t="shared" si="122"/>
        <v>0</v>
      </c>
      <c r="Z159" s="179">
        <f t="shared" si="123"/>
        <v>1.4439393939393936</v>
      </c>
      <c r="AA159" s="179">
        <f t="shared" si="124"/>
        <v>0</v>
      </c>
      <c r="AB159" s="179">
        <f t="shared" si="125"/>
        <v>0</v>
      </c>
      <c r="AC159" s="179">
        <f t="shared" si="126"/>
        <v>0</v>
      </c>
      <c r="AD159" s="179">
        <f t="shared" si="127"/>
        <v>0</v>
      </c>
      <c r="AE159" s="179">
        <f t="shared" si="128"/>
        <v>0</v>
      </c>
      <c r="AF159" s="179">
        <f t="shared" si="129"/>
        <v>0</v>
      </c>
    </row>
    <row r="160" spans="2:32">
      <c r="B160" s="122">
        <f t="shared" si="116"/>
        <v>68860673</v>
      </c>
      <c r="C160" s="122" t="str">
        <f>VLOOKUP($B160,'Tech Litons'!$A:$I,3,0)</f>
        <v>Talenti</v>
      </c>
      <c r="D160" s="122" t="str">
        <f>VLOOKUP($B160,'Tech Litons'!$A:$I,4,0)</f>
        <v>Talenti</v>
      </c>
      <c r="E160" s="1021" t="s">
        <v>972</v>
      </c>
      <c r="F160" s="1021">
        <v>68860673</v>
      </c>
      <c r="G160" s="1023">
        <v>11895</v>
      </c>
      <c r="H160" s="1023">
        <v>14745</v>
      </c>
      <c r="I160" s="1023">
        <v>18819.888558130788</v>
      </c>
      <c r="J160" s="1023">
        <v>18626.568338392899</v>
      </c>
      <c r="K160" s="1023">
        <v>19887.060311959438</v>
      </c>
      <c r="L160" s="1023">
        <v>22562.490019712066</v>
      </c>
      <c r="M160" s="1023">
        <v>17785.667184286103</v>
      </c>
      <c r="N160" s="1023">
        <v>14828.129375659337</v>
      </c>
      <c r="O160" s="1023">
        <v>16128.199465384829</v>
      </c>
      <c r="P160" s="1023">
        <v>14898.77740640469</v>
      </c>
      <c r="Q160" s="1023">
        <v>12663.606443357163</v>
      </c>
      <c r="R160" s="1023">
        <v>9698.4876186599304</v>
      </c>
      <c r="S160" s="169">
        <f t="shared" si="117"/>
        <v>192538.87472194727</v>
      </c>
      <c r="T160" s="122">
        <f>VLOOKUP($B160,'Tech Litons'!$A:$I,9,0)</f>
        <v>255</v>
      </c>
      <c r="U160" s="179">
        <f t="shared" si="118"/>
        <v>46.647058823529413</v>
      </c>
      <c r="V160" s="179">
        <f t="shared" si="119"/>
        <v>57.823529411764703</v>
      </c>
      <c r="W160" s="179">
        <f t="shared" si="120"/>
        <v>73.803484541689357</v>
      </c>
      <c r="X160" s="179">
        <f t="shared" si="121"/>
        <v>73.045366032913336</v>
      </c>
      <c r="Y160" s="179">
        <f t="shared" si="122"/>
        <v>77.988471811605635</v>
      </c>
      <c r="Z160" s="179">
        <f t="shared" si="123"/>
        <v>88.480353018478695</v>
      </c>
      <c r="AA160" s="179">
        <f t="shared" si="124"/>
        <v>69.747714448180801</v>
      </c>
      <c r="AB160" s="179">
        <f t="shared" si="125"/>
        <v>58.149526963369951</v>
      </c>
      <c r="AC160" s="179">
        <f t="shared" si="126"/>
        <v>63.247841040724822</v>
      </c>
      <c r="AD160" s="179">
        <f t="shared" si="127"/>
        <v>58.426578064332119</v>
      </c>
      <c r="AE160" s="179">
        <f t="shared" si="128"/>
        <v>49.661201738655542</v>
      </c>
      <c r="AF160" s="179">
        <f t="shared" si="129"/>
        <v>38.033284779058548</v>
      </c>
    </row>
    <row r="161" spans="2:32">
      <c r="B161" s="122">
        <f t="shared" si="116"/>
        <v>67546042</v>
      </c>
      <c r="C161" s="122" t="str">
        <f>VLOOKUP($B161,'Tech Litons'!$A:$I,3,0)</f>
        <v>BJ PTS</v>
      </c>
      <c r="D161" s="122" t="str">
        <f>VLOOKUP($B161,'Tech Litons'!$A:$I,4,0)</f>
        <v>BJ PTS</v>
      </c>
      <c r="E161" s="1021" t="s">
        <v>397</v>
      </c>
      <c r="F161" s="1021">
        <v>67546042</v>
      </c>
      <c r="G161" s="1023">
        <v>13272</v>
      </c>
      <c r="H161" s="1023">
        <v>13438</v>
      </c>
      <c r="I161" s="1023">
        <v>21405.154398416937</v>
      </c>
      <c r="J161" s="1023">
        <v>16631.643976822059</v>
      </c>
      <c r="K161" s="1023">
        <v>16632.537552807546</v>
      </c>
      <c r="L161" s="1023">
        <v>18353.461807289234</v>
      </c>
      <c r="M161" s="1023">
        <v>17221.874920580198</v>
      </c>
      <c r="N161" s="1023">
        <v>14694.002401382648</v>
      </c>
      <c r="O161" s="1023">
        <v>14728.59095623245</v>
      </c>
      <c r="P161" s="1023">
        <v>11889.28092593367</v>
      </c>
      <c r="Q161" s="1023">
        <v>10998.551202741593</v>
      </c>
      <c r="R161" s="1023">
        <v>10942.955181076464</v>
      </c>
      <c r="S161" s="169">
        <f t="shared" si="117"/>
        <v>180208.0533232828</v>
      </c>
      <c r="T161" s="122">
        <f>VLOOKUP($B161,'Tech Litons'!$A:$I,9,0)</f>
        <v>240</v>
      </c>
      <c r="U161" s="179">
        <f t="shared" si="118"/>
        <v>55.3</v>
      </c>
      <c r="V161" s="179">
        <f t="shared" si="119"/>
        <v>55.991666666666667</v>
      </c>
      <c r="W161" s="179">
        <f t="shared" si="120"/>
        <v>89.188143326737233</v>
      </c>
      <c r="X161" s="179">
        <f t="shared" si="121"/>
        <v>69.298516570091905</v>
      </c>
      <c r="Y161" s="179">
        <f t="shared" si="122"/>
        <v>69.30223980336477</v>
      </c>
      <c r="Z161" s="179">
        <f t="shared" si="123"/>
        <v>76.472757530371808</v>
      </c>
      <c r="AA161" s="179">
        <f t="shared" si="124"/>
        <v>71.757812169084161</v>
      </c>
      <c r="AB161" s="179">
        <f t="shared" si="125"/>
        <v>61.225010005761035</v>
      </c>
      <c r="AC161" s="179">
        <f t="shared" si="126"/>
        <v>61.369128984301874</v>
      </c>
      <c r="AD161" s="179">
        <f t="shared" si="127"/>
        <v>49.538670524723628</v>
      </c>
      <c r="AE161" s="179">
        <f t="shared" si="128"/>
        <v>45.827296678089972</v>
      </c>
      <c r="AF161" s="179">
        <f t="shared" si="129"/>
        <v>45.595646587818599</v>
      </c>
    </row>
    <row r="162" spans="2:32">
      <c r="B162" s="122">
        <f t="shared" si="116"/>
        <v>69779478</v>
      </c>
      <c r="C162" s="122" t="str">
        <f>VLOOKUP($B162,'Tech Litons'!$A:$I,3,0)</f>
        <v>EFW</v>
      </c>
      <c r="D162" s="122" t="str">
        <f>VLOOKUP($B162,'Tech Litons'!$A:$I,4,0)</f>
        <v>EFW</v>
      </c>
      <c r="E162" s="1021" t="s">
        <v>1296</v>
      </c>
      <c r="F162" s="1021">
        <v>69779478</v>
      </c>
      <c r="G162" s="1023">
        <v>4</v>
      </c>
      <c r="H162" s="1023">
        <v>0</v>
      </c>
      <c r="I162" s="1023">
        <v>0</v>
      </c>
      <c r="J162" s="1023">
        <v>0</v>
      </c>
      <c r="K162" s="1023">
        <v>0</v>
      </c>
      <c r="L162" s="1023">
        <v>0</v>
      </c>
      <c r="M162" s="1023">
        <v>0</v>
      </c>
      <c r="N162" s="1023">
        <v>0</v>
      </c>
      <c r="O162" s="1023">
        <v>0</v>
      </c>
      <c r="P162" s="1023">
        <v>0</v>
      </c>
      <c r="Q162" s="1023">
        <v>0</v>
      </c>
      <c r="R162" s="1023">
        <v>0</v>
      </c>
      <c r="S162" s="169">
        <f t="shared" si="117"/>
        <v>4</v>
      </c>
      <c r="T162" s="122">
        <f>VLOOKUP($B162,'Tech Litons'!$A:$I,9,0)</f>
        <v>184</v>
      </c>
      <c r="U162" s="179">
        <f t="shared" si="118"/>
        <v>2.1739130434782608E-2</v>
      </c>
      <c r="V162" s="179">
        <f t="shared" si="119"/>
        <v>0</v>
      </c>
      <c r="W162" s="179">
        <f t="shared" si="120"/>
        <v>0</v>
      </c>
      <c r="X162" s="179">
        <f t="shared" si="121"/>
        <v>0</v>
      </c>
      <c r="Y162" s="179">
        <f t="shared" si="122"/>
        <v>0</v>
      </c>
      <c r="Z162" s="179">
        <f t="shared" si="123"/>
        <v>0</v>
      </c>
      <c r="AA162" s="179">
        <f t="shared" si="124"/>
        <v>0</v>
      </c>
      <c r="AB162" s="179">
        <f t="shared" si="125"/>
        <v>0</v>
      </c>
      <c r="AC162" s="179">
        <f t="shared" si="126"/>
        <v>0</v>
      </c>
      <c r="AD162" s="179">
        <f t="shared" si="127"/>
        <v>0</v>
      </c>
      <c r="AE162" s="179">
        <f t="shared" si="128"/>
        <v>0</v>
      </c>
      <c r="AF162" s="179">
        <f t="shared" si="129"/>
        <v>0</v>
      </c>
    </row>
    <row r="163" spans="2:32">
      <c r="B163" s="122">
        <f t="shared" si="116"/>
        <v>64394585</v>
      </c>
      <c r="C163" s="122" t="str">
        <f>VLOOKUP($B163,'Tech Litons'!$A:$I,3,0)</f>
        <v>Sundaes</v>
      </c>
      <c r="D163" s="122" t="str">
        <f>VLOOKUP($B163,'Tech Litons'!$A:$I,4,0)</f>
        <v>SP1</v>
      </c>
      <c r="E163" s="1022" t="s">
        <v>523</v>
      </c>
      <c r="F163" s="1022">
        <v>64394585</v>
      </c>
      <c r="G163" s="1025">
        <v>7578</v>
      </c>
      <c r="H163" s="1025">
        <v>13125</v>
      </c>
      <c r="I163" s="1025">
        <v>17958.827216320631</v>
      </c>
      <c r="J163" s="1025">
        <v>15146.642512422717</v>
      </c>
      <c r="K163" s="1025">
        <v>18361.631294153056</v>
      </c>
      <c r="L163" s="1025">
        <v>17858.484372788193</v>
      </c>
      <c r="M163" s="1025">
        <v>19899.701446288327</v>
      </c>
      <c r="N163" s="1025">
        <v>13538.418907116018</v>
      </c>
      <c r="O163" s="1025">
        <v>9927.4504751913573</v>
      </c>
      <c r="P163" s="1025">
        <v>8728.1084795965216</v>
      </c>
      <c r="Q163" s="1025">
        <v>5660.8704494285803</v>
      </c>
      <c r="R163" s="1025">
        <v>6227.784055332344</v>
      </c>
      <c r="S163" s="169">
        <f t="shared" si="117"/>
        <v>154010.91920863776</v>
      </c>
      <c r="T163" s="122">
        <f>VLOOKUP($B163,'Tech Litons'!$A:$I,9,0)</f>
        <v>240</v>
      </c>
      <c r="U163" s="179">
        <f t="shared" si="118"/>
        <v>31.574999999999999</v>
      </c>
      <c r="V163" s="179">
        <f t="shared" si="119"/>
        <v>54.6875</v>
      </c>
      <c r="W163" s="179">
        <f t="shared" si="120"/>
        <v>74.828446734669299</v>
      </c>
      <c r="X163" s="179">
        <f t="shared" si="121"/>
        <v>63.111010468427985</v>
      </c>
      <c r="Y163" s="179">
        <f t="shared" si="122"/>
        <v>76.50679705897106</v>
      </c>
      <c r="Z163" s="179">
        <f t="shared" si="123"/>
        <v>74.41035155328413</v>
      </c>
      <c r="AA163" s="179">
        <f t="shared" si="124"/>
        <v>82.915422692868034</v>
      </c>
      <c r="AB163" s="179">
        <f t="shared" si="125"/>
        <v>56.410078779650078</v>
      </c>
      <c r="AC163" s="179">
        <f t="shared" si="126"/>
        <v>41.364376979963986</v>
      </c>
      <c r="AD163" s="179">
        <f t="shared" si="127"/>
        <v>36.367118664985504</v>
      </c>
      <c r="AE163" s="179">
        <f t="shared" si="128"/>
        <v>23.586960205952419</v>
      </c>
      <c r="AF163" s="179">
        <f t="shared" si="129"/>
        <v>25.949100230551434</v>
      </c>
    </row>
    <row r="164" spans="2:32">
      <c r="B164" s="122">
        <f t="shared" si="116"/>
        <v>67881628</v>
      </c>
      <c r="C164" s="122" t="str">
        <f>VLOOKUP($B164,'Tech Litons'!$A:$I,3,0)</f>
        <v>BJ PTS</v>
      </c>
      <c r="D164" s="122" t="str">
        <f>VLOOKUP($B164,'Tech Litons'!$A:$I,4,0)</f>
        <v>BJ PTS</v>
      </c>
      <c r="E164" s="1021" t="s">
        <v>345</v>
      </c>
      <c r="F164" s="1021">
        <v>67881628</v>
      </c>
      <c r="G164" s="1023">
        <v>15410</v>
      </c>
      <c r="H164" s="1023">
        <v>20554</v>
      </c>
      <c r="I164" s="1023">
        <v>23857.971234480719</v>
      </c>
      <c r="J164" s="1023">
        <v>21746.803088720502</v>
      </c>
      <c r="K164" s="1023">
        <v>20505.903959141866</v>
      </c>
      <c r="L164" s="1023">
        <v>22613.392981441837</v>
      </c>
      <c r="M164" s="1023">
        <v>21116.354456125351</v>
      </c>
      <c r="N164" s="1023">
        <v>19116.141025697292</v>
      </c>
      <c r="O164" s="1023">
        <v>18779.376180408835</v>
      </c>
      <c r="P164" s="1023">
        <v>18310.633364704438</v>
      </c>
      <c r="Q164" s="1023">
        <v>17286.132416174201</v>
      </c>
      <c r="R164" s="1023">
        <v>13916.228836282835</v>
      </c>
      <c r="S164" s="169">
        <f t="shared" si="117"/>
        <v>233212.93754317786</v>
      </c>
      <c r="T164" s="122">
        <f>VLOOKUP($B164,'Tech Litons'!$A:$I,9,0)</f>
        <v>240</v>
      </c>
      <c r="U164" s="179">
        <f t="shared" si="118"/>
        <v>64.208333333333329</v>
      </c>
      <c r="V164" s="179">
        <f t="shared" si="119"/>
        <v>85.641666666666666</v>
      </c>
      <c r="W164" s="179">
        <f t="shared" si="120"/>
        <v>99.408213477003002</v>
      </c>
      <c r="X164" s="179">
        <f t="shared" si="121"/>
        <v>90.61167953633543</v>
      </c>
      <c r="Y164" s="179">
        <f t="shared" si="122"/>
        <v>85.441266496424447</v>
      </c>
      <c r="Z164" s="179">
        <f t="shared" si="123"/>
        <v>94.222470756007652</v>
      </c>
      <c r="AA164" s="179">
        <f t="shared" si="124"/>
        <v>87.984810233855626</v>
      </c>
      <c r="AB164" s="179">
        <f t="shared" si="125"/>
        <v>79.650587607072055</v>
      </c>
      <c r="AC164" s="179">
        <f t="shared" si="126"/>
        <v>78.247400751703481</v>
      </c>
      <c r="AD164" s="179">
        <f t="shared" si="127"/>
        <v>76.294305686268487</v>
      </c>
      <c r="AE164" s="179">
        <f t="shared" si="128"/>
        <v>72.025551734059178</v>
      </c>
      <c r="AF164" s="179">
        <f t="shared" si="129"/>
        <v>57.984286817845145</v>
      </c>
    </row>
    <row r="165" spans="2:32">
      <c r="B165" s="122">
        <f t="shared" si="116"/>
        <v>64967299</v>
      </c>
      <c r="C165" s="122" t="str">
        <f>VLOOKUP($B165,'Tech Litons'!$A:$I,3,0)</f>
        <v>Other</v>
      </c>
      <c r="D165" s="122" t="str">
        <f>VLOOKUP($B165,'Tech Litons'!$A:$I,4,0)</f>
        <v>Other</v>
      </c>
      <c r="E165" s="1022" t="s">
        <v>926</v>
      </c>
      <c r="F165" s="1022">
        <v>64967299</v>
      </c>
      <c r="G165" s="1025">
        <v>6000</v>
      </c>
      <c r="H165" s="1025">
        <v>6940</v>
      </c>
      <c r="I165" s="1025">
        <v>16397.737564095063</v>
      </c>
      <c r="J165" s="1025">
        <v>19903.961456615394</v>
      </c>
      <c r="K165" s="1025">
        <v>25710.311778991425</v>
      </c>
      <c r="L165" s="1025">
        <v>25571.378680459642</v>
      </c>
      <c r="M165" s="1025">
        <v>25999.379910311138</v>
      </c>
      <c r="N165" s="1025">
        <v>18221.56103275645</v>
      </c>
      <c r="O165" s="1025">
        <v>17941.761098489791</v>
      </c>
      <c r="P165" s="1025">
        <v>17067.591235774769</v>
      </c>
      <c r="Q165" s="1025">
        <v>15012.74</v>
      </c>
      <c r="R165" s="1025">
        <v>13460.38</v>
      </c>
      <c r="S165" s="169">
        <f t="shared" si="117"/>
        <v>208226.80275749366</v>
      </c>
      <c r="T165" s="122">
        <f>VLOOKUP($B165,'Tech Litons'!$A:$I,9,0)</f>
        <v>240</v>
      </c>
      <c r="U165" s="179">
        <f t="shared" si="118"/>
        <v>25</v>
      </c>
      <c r="V165" s="179">
        <f t="shared" si="119"/>
        <v>28.916666666666668</v>
      </c>
      <c r="W165" s="179">
        <f t="shared" si="120"/>
        <v>68.323906517062767</v>
      </c>
      <c r="X165" s="179">
        <f t="shared" si="121"/>
        <v>82.933172735897472</v>
      </c>
      <c r="Y165" s="179">
        <f t="shared" si="122"/>
        <v>107.12629907913093</v>
      </c>
      <c r="Z165" s="179">
        <f t="shared" si="123"/>
        <v>106.54741116858185</v>
      </c>
      <c r="AA165" s="179">
        <f t="shared" si="124"/>
        <v>108.33074962629641</v>
      </c>
      <c r="AB165" s="179">
        <f t="shared" si="125"/>
        <v>75.923170969818543</v>
      </c>
      <c r="AC165" s="179">
        <f t="shared" si="126"/>
        <v>74.757337910374133</v>
      </c>
      <c r="AD165" s="179">
        <f t="shared" si="127"/>
        <v>71.11496348239487</v>
      </c>
      <c r="AE165" s="179">
        <f t="shared" si="128"/>
        <v>62.553083333333333</v>
      </c>
      <c r="AF165" s="179">
        <f t="shared" si="129"/>
        <v>56.084916666666665</v>
      </c>
    </row>
    <row r="166" spans="2:32">
      <c r="B166" s="122">
        <f t="shared" si="116"/>
        <v>62694914</v>
      </c>
      <c r="C166" s="122" t="str">
        <f>VLOOKUP($B166,'Tech Litons'!$A:$I,3,0)</f>
        <v>MG Sticks</v>
      </c>
      <c r="D166" s="122" t="str">
        <f>VLOOKUP($B166,'Tech Litons'!$A:$I,4,0)</f>
        <v>MG Sticks</v>
      </c>
      <c r="E166" s="1021" t="s">
        <v>891</v>
      </c>
      <c r="F166" s="1021">
        <v>62694914</v>
      </c>
      <c r="G166" s="1023">
        <v>8352</v>
      </c>
      <c r="H166" s="1023">
        <v>9367</v>
      </c>
      <c r="I166" s="1023">
        <v>19853.88</v>
      </c>
      <c r="J166" s="1023">
        <v>21730.048708348757</v>
      </c>
      <c r="K166" s="1023">
        <v>26764.325133325223</v>
      </c>
      <c r="L166" s="1023">
        <v>27676.852120381434</v>
      </c>
      <c r="M166" s="1023">
        <v>25922.095006887954</v>
      </c>
      <c r="N166" s="1023">
        <v>24222.926804288269</v>
      </c>
      <c r="O166" s="1023">
        <v>19158.561739569337</v>
      </c>
      <c r="P166" s="1023">
        <v>19423.694862173888</v>
      </c>
      <c r="Q166" s="1023">
        <v>15439.393864451658</v>
      </c>
      <c r="R166" s="1023">
        <v>16702.189218598713</v>
      </c>
      <c r="S166" s="169">
        <f t="shared" si="117"/>
        <v>234612.9674580252</v>
      </c>
      <c r="T166" s="122">
        <f>VLOOKUP($B166,'Tech Litons'!$A:$I,9,0)</f>
        <v>493</v>
      </c>
      <c r="U166" s="179">
        <f t="shared" si="118"/>
        <v>16.941176470588236</v>
      </c>
      <c r="V166" s="179">
        <f t="shared" si="119"/>
        <v>19</v>
      </c>
      <c r="W166" s="179">
        <f t="shared" si="120"/>
        <v>40.271561866125765</v>
      </c>
      <c r="X166" s="179">
        <f t="shared" si="121"/>
        <v>44.077177907401129</v>
      </c>
      <c r="Y166" s="179">
        <f t="shared" si="122"/>
        <v>54.288691954006538</v>
      </c>
      <c r="Z166" s="179">
        <f t="shared" si="123"/>
        <v>56.139659473390331</v>
      </c>
      <c r="AA166" s="179">
        <f t="shared" si="124"/>
        <v>52.580314415594223</v>
      </c>
      <c r="AB166" s="179">
        <f t="shared" si="125"/>
        <v>49.1337257693474</v>
      </c>
      <c r="AC166" s="179">
        <f t="shared" si="126"/>
        <v>38.861179999126442</v>
      </c>
      <c r="AD166" s="179">
        <f t="shared" si="127"/>
        <v>39.398975379663057</v>
      </c>
      <c r="AE166" s="179">
        <f t="shared" si="128"/>
        <v>31.317228933979024</v>
      </c>
      <c r="AF166" s="179">
        <f t="shared" si="129"/>
        <v>33.878679956589679</v>
      </c>
    </row>
    <row r="167" spans="2:32">
      <c r="B167" s="122">
        <f t="shared" si="116"/>
        <v>64394598</v>
      </c>
      <c r="C167" s="122" t="str">
        <f>VLOOKUP($B167,'Tech Litons'!$A:$I,3,0)</f>
        <v>Sundaes</v>
      </c>
      <c r="D167" s="122" t="str">
        <f>VLOOKUP($B167,'Tech Litons'!$A:$I,4,0)</f>
        <v>SP1</v>
      </c>
      <c r="E167" s="1021" t="s">
        <v>451</v>
      </c>
      <c r="F167" s="1021">
        <v>64394598</v>
      </c>
      <c r="G167" s="1023">
        <v>6016</v>
      </c>
      <c r="H167" s="1023">
        <v>9050</v>
      </c>
      <c r="I167" s="1023">
        <v>16992.077429324159</v>
      </c>
      <c r="J167" s="1023">
        <v>13673.584165881115</v>
      </c>
      <c r="K167" s="1023">
        <v>18545.26655374976</v>
      </c>
      <c r="L167" s="1023">
        <v>16722.97857407124</v>
      </c>
      <c r="M167" s="1023">
        <v>16327.730588277796</v>
      </c>
      <c r="N167" s="1023">
        <v>11700.710629577983</v>
      </c>
      <c r="O167" s="1023">
        <v>10050.925174840246</v>
      </c>
      <c r="P167" s="1023">
        <v>8425.7467492770847</v>
      </c>
      <c r="Q167" s="1023">
        <v>7889.0231369624407</v>
      </c>
      <c r="R167" s="1023">
        <v>7673.2078429969024</v>
      </c>
      <c r="S167" s="169">
        <f t="shared" si="117"/>
        <v>143067.25084495873</v>
      </c>
      <c r="T167" s="122">
        <f>VLOOKUP($B167,'Tech Litons'!$A:$I,9,0)</f>
        <v>240</v>
      </c>
      <c r="U167" s="179">
        <f t="shared" si="118"/>
        <v>25.066666666666666</v>
      </c>
      <c r="V167" s="179">
        <f t="shared" si="119"/>
        <v>37.708333333333336</v>
      </c>
      <c r="W167" s="179">
        <f t="shared" si="120"/>
        <v>70.800322622183998</v>
      </c>
      <c r="X167" s="179">
        <f t="shared" si="121"/>
        <v>56.973267357837976</v>
      </c>
      <c r="Y167" s="179">
        <f t="shared" si="122"/>
        <v>77.271943973957335</v>
      </c>
      <c r="Z167" s="179">
        <f t="shared" si="123"/>
        <v>69.679077391963503</v>
      </c>
      <c r="AA167" s="179">
        <f t="shared" si="124"/>
        <v>68.032210784490815</v>
      </c>
      <c r="AB167" s="179">
        <f t="shared" si="125"/>
        <v>48.752960956574931</v>
      </c>
      <c r="AC167" s="179">
        <f t="shared" si="126"/>
        <v>41.878854895167692</v>
      </c>
      <c r="AD167" s="179">
        <f t="shared" si="127"/>
        <v>35.107278121987854</v>
      </c>
      <c r="AE167" s="179">
        <f t="shared" si="128"/>
        <v>32.870929737343502</v>
      </c>
      <c r="AF167" s="179">
        <f t="shared" si="129"/>
        <v>31.971699345820426</v>
      </c>
    </row>
    <row r="168" spans="2:32">
      <c r="B168" s="122">
        <f t="shared" si="116"/>
        <v>68710285</v>
      </c>
      <c r="C168" s="122" t="str">
        <f>VLOOKUP($B168,'Tech Litons'!$A:$I,3,0)</f>
        <v>EDF</v>
      </c>
      <c r="D168" s="122" t="str">
        <f>VLOOKUP($B168,'Tech Litons'!$A:$I,4,0)</f>
        <v>EDF</v>
      </c>
      <c r="E168" s="1021" t="s">
        <v>1022</v>
      </c>
      <c r="F168" s="1021">
        <v>68710285</v>
      </c>
      <c r="G168" s="1023">
        <v>13620</v>
      </c>
      <c r="H168" s="1023">
        <v>16284</v>
      </c>
      <c r="I168" s="1023">
        <v>24956.972752750011</v>
      </c>
      <c r="J168" s="1023">
        <v>21634.754413099687</v>
      </c>
      <c r="K168" s="1023">
        <v>27114.69635967931</v>
      </c>
      <c r="L168" s="1023">
        <v>30821.389802351965</v>
      </c>
      <c r="M168" s="1023">
        <v>27904.588096642106</v>
      </c>
      <c r="N168" s="1023">
        <v>23217.738819678521</v>
      </c>
      <c r="O168" s="1023">
        <v>16668.945116100251</v>
      </c>
      <c r="P168" s="1023">
        <v>16538.627959380785</v>
      </c>
      <c r="Q168" s="1023">
        <v>8637.6356543131042</v>
      </c>
      <c r="R168" s="1023">
        <v>9889.2943561724114</v>
      </c>
      <c r="S168" s="169">
        <f t="shared" si="117"/>
        <v>237288.64333016815</v>
      </c>
      <c r="T168" s="122">
        <f>VLOOKUP($B168,'Tech Litons'!$A:$I,9,0)</f>
        <v>132</v>
      </c>
      <c r="U168" s="179">
        <f t="shared" si="118"/>
        <v>103.18181818181819</v>
      </c>
      <c r="V168" s="179">
        <f t="shared" si="119"/>
        <v>123.36363636363636</v>
      </c>
      <c r="W168" s="179">
        <f t="shared" si="120"/>
        <v>189.0679753996213</v>
      </c>
      <c r="X168" s="179">
        <f t="shared" si="121"/>
        <v>163.89965464469461</v>
      </c>
      <c r="Y168" s="179">
        <f t="shared" si="122"/>
        <v>205.4143663612069</v>
      </c>
      <c r="Z168" s="179">
        <f t="shared" si="123"/>
        <v>233.49537729054518</v>
      </c>
      <c r="AA168" s="179">
        <f t="shared" si="124"/>
        <v>211.39839467153112</v>
      </c>
      <c r="AB168" s="179">
        <f t="shared" si="125"/>
        <v>175.8919607551403</v>
      </c>
      <c r="AC168" s="179">
        <f t="shared" si="126"/>
        <v>126.27988724318372</v>
      </c>
      <c r="AD168" s="179">
        <f t="shared" si="127"/>
        <v>125.29263605591504</v>
      </c>
      <c r="AE168" s="179">
        <f t="shared" si="128"/>
        <v>65.436633744796239</v>
      </c>
      <c r="AF168" s="179">
        <f t="shared" si="129"/>
        <v>74.918896637669789</v>
      </c>
    </row>
    <row r="169" spans="2:32">
      <c r="B169" s="122">
        <f t="shared" si="116"/>
        <v>69549032</v>
      </c>
      <c r="C169" s="122" t="str">
        <f>VLOOKUP($B169,'Tech Litons'!$A:$I,3,0)</f>
        <v>EFW</v>
      </c>
      <c r="D169" s="122" t="str">
        <f>VLOOKUP($B169,'Tech Litons'!$A:$I,4,0)</f>
        <v>EFW</v>
      </c>
      <c r="E169" s="1021" t="s">
        <v>556</v>
      </c>
      <c r="F169" s="1021">
        <v>69549032</v>
      </c>
      <c r="G169" s="1023">
        <v>6409</v>
      </c>
      <c r="H169" s="1023">
        <v>7770</v>
      </c>
      <c r="I169" s="1023">
        <v>9642.6</v>
      </c>
      <c r="J169" s="1023">
        <v>13226.449999999997</v>
      </c>
      <c r="K169" s="1023">
        <v>17225.45</v>
      </c>
      <c r="L169" s="1023">
        <v>17217.409999999996</v>
      </c>
      <c r="M169" s="1023">
        <v>10442.01</v>
      </c>
      <c r="N169" s="1023">
        <v>10535.07</v>
      </c>
      <c r="O169" s="1023">
        <v>9470.4000000000015</v>
      </c>
      <c r="P169" s="1023">
        <v>7772.54</v>
      </c>
      <c r="Q169" s="1023">
        <v>6897.57</v>
      </c>
      <c r="R169" s="1023">
        <v>6368.3099999999995</v>
      </c>
      <c r="S169" s="169">
        <f t="shared" si="117"/>
        <v>122976.80999999997</v>
      </c>
      <c r="T169" s="122">
        <f>VLOOKUP($B169,'Tech Litons'!$A:$I,9,0)</f>
        <v>322</v>
      </c>
      <c r="U169" s="179">
        <f t="shared" si="118"/>
        <v>19.903726708074533</v>
      </c>
      <c r="V169" s="179">
        <f t="shared" si="119"/>
        <v>24.130434782608695</v>
      </c>
      <c r="W169" s="179">
        <f t="shared" si="120"/>
        <v>29.945962732919256</v>
      </c>
      <c r="X169" s="179">
        <f t="shared" si="121"/>
        <v>41.075931677018623</v>
      </c>
      <c r="Y169" s="179">
        <f t="shared" si="122"/>
        <v>53.49518633540373</v>
      </c>
      <c r="Z169" s="179">
        <f t="shared" si="123"/>
        <v>53.470217391304338</v>
      </c>
      <c r="AA169" s="179">
        <f t="shared" si="124"/>
        <v>32.428602484472052</v>
      </c>
      <c r="AB169" s="179">
        <f t="shared" si="125"/>
        <v>32.717608695652174</v>
      </c>
      <c r="AC169" s="179">
        <f t="shared" si="126"/>
        <v>29.411180124223606</v>
      </c>
      <c r="AD169" s="179">
        <f t="shared" si="127"/>
        <v>24.138322981366461</v>
      </c>
      <c r="AE169" s="179">
        <f t="shared" si="128"/>
        <v>21.421024844720495</v>
      </c>
      <c r="AF169" s="179">
        <f t="shared" si="129"/>
        <v>19.777360248447202</v>
      </c>
    </row>
    <row r="170" spans="2:32">
      <c r="B170" s="122">
        <f t="shared" si="116"/>
        <v>64360314</v>
      </c>
      <c r="C170" s="122" t="str">
        <f>VLOOKUP($B170,'Tech Litons'!$A:$I,3,0)</f>
        <v>MG Sticks</v>
      </c>
      <c r="D170" s="122" t="str">
        <f>VLOOKUP($B170,'Tech Litons'!$A:$I,4,0)</f>
        <v>MG Sticks</v>
      </c>
      <c r="E170" s="1021" t="s">
        <v>536</v>
      </c>
      <c r="F170" s="1021">
        <v>64360314</v>
      </c>
      <c r="G170" s="1024">
        <v>345</v>
      </c>
      <c r="H170" s="1023">
        <v>1500</v>
      </c>
      <c r="I170" s="1023">
        <v>2262.0100000000002</v>
      </c>
      <c r="J170" s="1023">
        <v>2070.4499999999998</v>
      </c>
      <c r="K170" s="1023">
        <v>3285.71</v>
      </c>
      <c r="L170" s="1023">
        <v>4734.9799999999996</v>
      </c>
      <c r="M170" s="1023">
        <v>2212.9899999999998</v>
      </c>
      <c r="N170" s="1023">
        <v>2553.44</v>
      </c>
      <c r="O170" s="1023">
        <v>1799.29</v>
      </c>
      <c r="P170" s="1023">
        <v>1991.01</v>
      </c>
      <c r="Q170" s="1023">
        <v>2073.3000000000002</v>
      </c>
      <c r="R170" s="1023">
        <v>2169.3000000000002</v>
      </c>
      <c r="S170" s="169">
        <f t="shared" si="117"/>
        <v>26997.479999999996</v>
      </c>
      <c r="T170" s="122">
        <f>VLOOKUP($B170,'Tech Litons'!$A:$I,9,0)</f>
        <v>195</v>
      </c>
      <c r="U170" s="179">
        <f t="shared" si="118"/>
        <v>1.7692307692307692</v>
      </c>
      <c r="V170" s="179">
        <f t="shared" si="119"/>
        <v>7.6923076923076925</v>
      </c>
      <c r="W170" s="179">
        <f t="shared" si="120"/>
        <v>11.600051282051282</v>
      </c>
      <c r="X170" s="179">
        <f t="shared" si="121"/>
        <v>10.617692307692307</v>
      </c>
      <c r="Y170" s="179">
        <f t="shared" si="122"/>
        <v>16.84979487179487</v>
      </c>
      <c r="Z170" s="179">
        <f t="shared" si="123"/>
        <v>24.281948717948715</v>
      </c>
      <c r="AA170" s="179">
        <f t="shared" si="124"/>
        <v>11.348666666666665</v>
      </c>
      <c r="AB170" s="179">
        <f t="shared" si="125"/>
        <v>13.094564102564103</v>
      </c>
      <c r="AC170" s="179">
        <f t="shared" si="126"/>
        <v>9.2271282051282046</v>
      </c>
      <c r="AD170" s="179">
        <f t="shared" si="127"/>
        <v>10.210307692307692</v>
      </c>
      <c r="AE170" s="179">
        <f t="shared" si="128"/>
        <v>10.632307692307693</v>
      </c>
      <c r="AF170" s="179">
        <f t="shared" si="129"/>
        <v>11.124615384615385</v>
      </c>
    </row>
    <row r="171" spans="2:32">
      <c r="B171" s="122">
        <f t="shared" si="116"/>
        <v>69999268</v>
      </c>
      <c r="C171" s="122" t="str">
        <f>VLOOKUP($B171,'Tech Litons'!$A:$I,3,0)</f>
        <v>BJ PTS</v>
      </c>
      <c r="D171" s="122" t="str">
        <f>VLOOKUP($B171,'Tech Litons'!$A:$I,4,0)</f>
        <v>BJ PTS</v>
      </c>
      <c r="E171" s="1021" t="s">
        <v>1092</v>
      </c>
      <c r="F171" s="1021">
        <v>69999268</v>
      </c>
      <c r="G171" s="1023">
        <v>9270</v>
      </c>
      <c r="H171" s="1023">
        <v>7647</v>
      </c>
      <c r="I171" s="1023">
        <v>17281.268167516708</v>
      </c>
      <c r="J171" s="1023">
        <v>14773.201712781749</v>
      </c>
      <c r="K171" s="1023">
        <v>15674.229910507311</v>
      </c>
      <c r="L171" s="1023">
        <v>19064.015922087689</v>
      </c>
      <c r="M171" s="1023">
        <v>17719.016143637655</v>
      </c>
      <c r="N171" s="1023">
        <v>16630.751901501259</v>
      </c>
      <c r="O171" s="1023">
        <v>13352.328398082633</v>
      </c>
      <c r="P171" s="1023">
        <v>11335.540580655232</v>
      </c>
      <c r="Q171" s="1023">
        <v>10819.846545884042</v>
      </c>
      <c r="R171" s="1023">
        <v>9859.5953001414455</v>
      </c>
      <c r="S171" s="169">
        <f t="shared" si="117"/>
        <v>163426.79458279576</v>
      </c>
      <c r="T171" s="122">
        <f>VLOOKUP($B171,'Tech Litons'!$A:$I,9,0)</f>
        <v>240</v>
      </c>
      <c r="U171" s="179">
        <f t="shared" si="118"/>
        <v>38.625</v>
      </c>
      <c r="V171" s="179">
        <f t="shared" si="119"/>
        <v>31.862500000000001</v>
      </c>
      <c r="W171" s="179">
        <f t="shared" si="120"/>
        <v>72.005284031319619</v>
      </c>
      <c r="X171" s="179">
        <f t="shared" si="121"/>
        <v>61.555007136590618</v>
      </c>
      <c r="Y171" s="179">
        <f t="shared" si="122"/>
        <v>65.309291293780461</v>
      </c>
      <c r="Z171" s="179">
        <f t="shared" si="123"/>
        <v>79.433399675365365</v>
      </c>
      <c r="AA171" s="179">
        <f t="shared" si="124"/>
        <v>73.829233931823566</v>
      </c>
      <c r="AB171" s="179">
        <f t="shared" si="125"/>
        <v>69.294799589588578</v>
      </c>
      <c r="AC171" s="179">
        <f t="shared" si="126"/>
        <v>55.634701658677635</v>
      </c>
      <c r="AD171" s="179">
        <f t="shared" si="127"/>
        <v>47.231419086063468</v>
      </c>
      <c r="AE171" s="179">
        <f t="shared" si="128"/>
        <v>45.082693941183507</v>
      </c>
      <c r="AF171" s="179">
        <f t="shared" si="129"/>
        <v>41.081647083922689</v>
      </c>
    </row>
    <row r="172" spans="2:32">
      <c r="B172" s="122">
        <f t="shared" si="116"/>
        <v>69716749</v>
      </c>
      <c r="C172" s="122" t="str">
        <f>VLOOKUP($B172,'Tech Litons'!$A:$I,3,0)</f>
        <v>BJ PTS</v>
      </c>
      <c r="D172" s="122" t="str">
        <f>VLOOKUP($B172,'Tech Litons'!$A:$I,4,0)</f>
        <v>BJ PTS</v>
      </c>
      <c r="E172" s="1021" t="s">
        <v>419</v>
      </c>
      <c r="F172" s="1021">
        <v>69716749</v>
      </c>
      <c r="G172" s="1023">
        <v>15587</v>
      </c>
      <c r="H172" s="1023">
        <v>24568</v>
      </c>
      <c r="I172" s="1023">
        <v>29172.044755102674</v>
      </c>
      <c r="J172" s="1023">
        <v>20924.448813999024</v>
      </c>
      <c r="K172" s="1023">
        <v>22138.647740398646</v>
      </c>
      <c r="L172" s="1023">
        <v>25865.708546189602</v>
      </c>
      <c r="M172" s="1023">
        <v>23630.416368222821</v>
      </c>
      <c r="N172" s="1023">
        <v>25730.682783371496</v>
      </c>
      <c r="O172" s="1023">
        <v>19463.328633585115</v>
      </c>
      <c r="P172" s="1023">
        <v>18550.226954332007</v>
      </c>
      <c r="Q172" s="1023">
        <v>15597.942923143928</v>
      </c>
      <c r="R172" s="1023">
        <v>14990.592087228863</v>
      </c>
      <c r="S172" s="169">
        <f t="shared" si="117"/>
        <v>256219.03960557419</v>
      </c>
      <c r="T172" s="122">
        <f>VLOOKUP($B172,'Tech Litons'!$A:$I,9,0)</f>
        <v>240</v>
      </c>
      <c r="U172" s="179">
        <f t="shared" si="118"/>
        <v>64.94583333333334</v>
      </c>
      <c r="V172" s="179">
        <f t="shared" si="119"/>
        <v>102.36666666666666</v>
      </c>
      <c r="W172" s="179">
        <f t="shared" si="120"/>
        <v>121.55018647959447</v>
      </c>
      <c r="X172" s="179">
        <f t="shared" si="121"/>
        <v>87.185203391662597</v>
      </c>
      <c r="Y172" s="179">
        <f t="shared" si="122"/>
        <v>92.244365584994355</v>
      </c>
      <c r="Z172" s="179">
        <f t="shared" si="123"/>
        <v>107.77378560912334</v>
      </c>
      <c r="AA172" s="179">
        <f t="shared" si="124"/>
        <v>98.460068200928418</v>
      </c>
      <c r="AB172" s="179">
        <f t="shared" si="125"/>
        <v>107.2111782640479</v>
      </c>
      <c r="AC172" s="179">
        <f t="shared" si="126"/>
        <v>81.097202639937976</v>
      </c>
      <c r="AD172" s="179">
        <f t="shared" si="127"/>
        <v>77.292612309716702</v>
      </c>
      <c r="AE172" s="179">
        <f t="shared" si="128"/>
        <v>64.991428846433038</v>
      </c>
      <c r="AF172" s="179">
        <f t="shared" si="129"/>
        <v>62.460800363453593</v>
      </c>
    </row>
    <row r="173" spans="2:32">
      <c r="B173" s="122">
        <f t="shared" si="116"/>
        <v>64810474</v>
      </c>
      <c r="C173" s="122" t="str">
        <f>VLOOKUP($B173,'Tech Litons'!$A:$I,3,0)</f>
        <v>BJ PTS</v>
      </c>
      <c r="D173" s="122" t="str">
        <f>VLOOKUP($B173,'Tech Litons'!$A:$I,4,0)</f>
        <v>BJ PTS</v>
      </c>
      <c r="E173" s="1022" t="s">
        <v>960</v>
      </c>
      <c r="F173" s="1022">
        <v>64810474</v>
      </c>
      <c r="G173" s="1025">
        <v>10417</v>
      </c>
      <c r="H173" s="1025">
        <v>10126</v>
      </c>
      <c r="I173" s="1025">
        <v>14321.707666466953</v>
      </c>
      <c r="J173" s="1025">
        <v>14016.093106625798</v>
      </c>
      <c r="K173" s="1025">
        <v>16090.763566473554</v>
      </c>
      <c r="L173" s="1025">
        <v>16976.058496512065</v>
      </c>
      <c r="M173" s="1025">
        <v>15907.281078191041</v>
      </c>
      <c r="N173" s="1025">
        <v>13959.939052201393</v>
      </c>
      <c r="O173" s="1025">
        <v>12228.448407023148</v>
      </c>
      <c r="P173" s="1025">
        <v>9205.9548611570117</v>
      </c>
      <c r="Q173" s="1025">
        <v>7430.4987154949013</v>
      </c>
      <c r="R173" s="1025">
        <v>7294.834352855225</v>
      </c>
      <c r="S173" s="169">
        <f t="shared" si="117"/>
        <v>147974.57930300111</v>
      </c>
      <c r="T173" s="122">
        <f>VLOOKUP($B173,'Tech Litons'!$A:$I,9,0)</f>
        <v>240</v>
      </c>
      <c r="U173" s="179">
        <f t="shared" si="118"/>
        <v>43.404166666666669</v>
      </c>
      <c r="V173" s="179">
        <f t="shared" si="119"/>
        <v>42.19166666666667</v>
      </c>
      <c r="W173" s="179">
        <f t="shared" si="120"/>
        <v>59.673781943612305</v>
      </c>
      <c r="X173" s="179">
        <f t="shared" si="121"/>
        <v>58.400387944274158</v>
      </c>
      <c r="Y173" s="179">
        <f t="shared" si="122"/>
        <v>67.044848193639808</v>
      </c>
      <c r="Z173" s="179">
        <f t="shared" si="123"/>
        <v>70.733577068800273</v>
      </c>
      <c r="AA173" s="179">
        <f t="shared" si="124"/>
        <v>66.280337825796011</v>
      </c>
      <c r="AB173" s="179">
        <f t="shared" si="125"/>
        <v>58.1664127175058</v>
      </c>
      <c r="AC173" s="179">
        <f t="shared" si="126"/>
        <v>50.95186836259645</v>
      </c>
      <c r="AD173" s="179">
        <f t="shared" si="127"/>
        <v>38.358145254820883</v>
      </c>
      <c r="AE173" s="179">
        <f t="shared" si="128"/>
        <v>30.960411314562087</v>
      </c>
      <c r="AF173" s="179">
        <f t="shared" si="129"/>
        <v>30.39514313689677</v>
      </c>
    </row>
    <row r="174" spans="2:32">
      <c r="B174" s="122">
        <f t="shared" si="116"/>
        <v>64325492</v>
      </c>
      <c r="C174" s="122" t="str">
        <f>VLOOKUP($B174,'Tech Litons'!$A:$I,3,0)</f>
        <v>Yasso Sticks</v>
      </c>
      <c r="D174" s="122" t="str">
        <f>VLOOKUP($B174,'Tech Litons'!$A:$I,4,0)</f>
        <v>Yasso Sticks</v>
      </c>
      <c r="E174" s="1021" t="s">
        <v>603</v>
      </c>
      <c r="F174" s="1021">
        <v>64325492</v>
      </c>
      <c r="G174" s="1023">
        <v>13674</v>
      </c>
      <c r="H174" s="1023">
        <v>19511</v>
      </c>
      <c r="I174" s="1023">
        <v>20744.389226788815</v>
      </c>
      <c r="J174" s="1023">
        <v>23440.501243621875</v>
      </c>
      <c r="K174" s="1023">
        <v>23545.986008845073</v>
      </c>
      <c r="L174" s="1023">
        <v>24762.301021458683</v>
      </c>
      <c r="M174" s="1023">
        <v>26996.92010267797</v>
      </c>
      <c r="N174" s="1023">
        <v>25326.510947331095</v>
      </c>
      <c r="O174" s="1023">
        <v>20855.527339654065</v>
      </c>
      <c r="P174" s="1023">
        <v>18994.500120324323</v>
      </c>
      <c r="Q174" s="1023">
        <v>13336.668407863559</v>
      </c>
      <c r="R174" s="1023">
        <v>10527.197340614181</v>
      </c>
      <c r="S174" s="169">
        <f t="shared" si="117"/>
        <v>241715.50175917963</v>
      </c>
      <c r="T174" s="122">
        <f>VLOOKUP($B174,'Tech Litons'!$A:$I,9,0)</f>
        <v>187</v>
      </c>
      <c r="U174" s="179">
        <f t="shared" si="118"/>
        <v>73.122994652406419</v>
      </c>
      <c r="V174" s="179">
        <f t="shared" si="119"/>
        <v>104.33689839572193</v>
      </c>
      <c r="W174" s="179">
        <f t="shared" si="120"/>
        <v>110.93256271010061</v>
      </c>
      <c r="X174" s="179">
        <f t="shared" si="121"/>
        <v>125.3502740300635</v>
      </c>
      <c r="Y174" s="179">
        <f t="shared" si="122"/>
        <v>125.9143636836635</v>
      </c>
      <c r="Z174" s="179">
        <f t="shared" si="123"/>
        <v>132.41872203988601</v>
      </c>
      <c r="AA174" s="179">
        <f t="shared" si="124"/>
        <v>144.36855669881268</v>
      </c>
      <c r="AB174" s="179">
        <f t="shared" si="125"/>
        <v>135.43588741888286</v>
      </c>
      <c r="AC174" s="179">
        <f t="shared" si="126"/>
        <v>111.52688416927307</v>
      </c>
      <c r="AD174" s="179">
        <f t="shared" si="127"/>
        <v>101.574866953606</v>
      </c>
      <c r="AE174" s="179">
        <f t="shared" si="128"/>
        <v>71.319082394992293</v>
      </c>
      <c r="AF174" s="179">
        <f t="shared" si="129"/>
        <v>56.295172944460859</v>
      </c>
    </row>
    <row r="175" spans="2:32">
      <c r="B175" s="122">
        <f t="shared" si="116"/>
        <v>64989108</v>
      </c>
      <c r="C175" s="122" t="str">
        <f>VLOOKUP($B175,'Tech Litons'!$A:$I,3,0)</f>
        <v>BR Minicups</v>
      </c>
      <c r="D175" s="122" t="str">
        <f>VLOOKUP($B175,'Tech Litons'!$A:$I,4,0)</f>
        <v>Other</v>
      </c>
      <c r="E175" s="1022" t="s">
        <v>889</v>
      </c>
      <c r="F175" s="1022">
        <v>64989108</v>
      </c>
      <c r="G175" s="1025">
        <v>10284</v>
      </c>
      <c r="H175" s="1025">
        <v>7070</v>
      </c>
      <c r="I175" s="1025">
        <v>14992.471874223931</v>
      </c>
      <c r="J175" s="1025">
        <v>10508.044392600732</v>
      </c>
      <c r="K175" s="1025">
        <v>12725.623048211371</v>
      </c>
      <c r="L175" s="1025">
        <v>12477.774231762334</v>
      </c>
      <c r="M175" s="1025">
        <v>11880.720032092971</v>
      </c>
      <c r="N175" s="1025">
        <v>11243.197095326708</v>
      </c>
      <c r="O175" s="1025">
        <v>5761.3030525415707</v>
      </c>
      <c r="P175" s="1025">
        <v>6526.6348089462044</v>
      </c>
      <c r="Q175" s="1025">
        <v>12181.708766710291</v>
      </c>
      <c r="R175" s="1025">
        <v>10794.752807335959</v>
      </c>
      <c r="S175" s="169">
        <f t="shared" si="117"/>
        <v>126446.23010975205</v>
      </c>
      <c r="T175" s="122">
        <f>VLOOKUP($B175,'Tech Litons'!$A:$I,9,0)</f>
        <v>120</v>
      </c>
      <c r="U175" s="179">
        <f t="shared" si="118"/>
        <v>85.7</v>
      </c>
      <c r="V175" s="179">
        <f t="shared" si="119"/>
        <v>58.916666666666664</v>
      </c>
      <c r="W175" s="179">
        <f t="shared" si="120"/>
        <v>124.93726561853276</v>
      </c>
      <c r="X175" s="179">
        <f t="shared" si="121"/>
        <v>87.567036605006095</v>
      </c>
      <c r="Y175" s="179">
        <f t="shared" si="122"/>
        <v>106.04685873509476</v>
      </c>
      <c r="Z175" s="179">
        <f t="shared" si="123"/>
        <v>103.98145193135278</v>
      </c>
      <c r="AA175" s="179">
        <f t="shared" si="124"/>
        <v>99.006000267441422</v>
      </c>
      <c r="AB175" s="179">
        <f t="shared" si="125"/>
        <v>93.693309127722571</v>
      </c>
      <c r="AC175" s="179">
        <f t="shared" si="126"/>
        <v>48.010858771179755</v>
      </c>
      <c r="AD175" s="179">
        <f t="shared" si="127"/>
        <v>54.388623407885035</v>
      </c>
      <c r="AE175" s="179">
        <f t="shared" si="128"/>
        <v>101.51423972258576</v>
      </c>
      <c r="AF175" s="179">
        <f t="shared" si="129"/>
        <v>89.956273394466322</v>
      </c>
    </row>
    <row r="176" spans="2:32">
      <c r="B176" s="122">
        <f t="shared" si="116"/>
        <v>64325568</v>
      </c>
      <c r="C176" s="122" t="str">
        <f>VLOOKUP($B176,'Tech Litons'!$A:$I,3,0)</f>
        <v>Yasso Sticks</v>
      </c>
      <c r="D176" s="122" t="str">
        <f>VLOOKUP($B176,'Tech Litons'!$A:$I,4,0)</f>
        <v>Yasso Sticks</v>
      </c>
      <c r="E176" s="1021" t="s">
        <v>1033</v>
      </c>
      <c r="F176" s="1021">
        <v>64325568</v>
      </c>
      <c r="G176" s="1023">
        <v>12163</v>
      </c>
      <c r="H176" s="1023">
        <v>15522</v>
      </c>
      <c r="I176" s="1023">
        <v>18582.6291432861</v>
      </c>
      <c r="J176" s="1023">
        <v>15738.216435475269</v>
      </c>
      <c r="K176" s="1023">
        <v>20667.594126774053</v>
      </c>
      <c r="L176" s="1023">
        <v>22771.836366138552</v>
      </c>
      <c r="M176" s="1023">
        <v>20061.255159582135</v>
      </c>
      <c r="N176" s="1023">
        <v>19229.052231581009</v>
      </c>
      <c r="O176" s="1023">
        <v>13397.674909100997</v>
      </c>
      <c r="P176" s="1023">
        <v>10304.132850482823</v>
      </c>
      <c r="Q176" s="1023">
        <v>10812.967762474631</v>
      </c>
      <c r="R176" s="1023">
        <v>8752.3980535503215</v>
      </c>
      <c r="S176" s="169">
        <f t="shared" si="117"/>
        <v>188002.75703844591</v>
      </c>
      <c r="T176" s="122">
        <f>VLOOKUP($B176,'Tech Litons'!$A:$I,9,0)</f>
        <v>187</v>
      </c>
      <c r="U176" s="179">
        <f t="shared" si="118"/>
        <v>65.042780748663105</v>
      </c>
      <c r="V176" s="179">
        <f t="shared" si="119"/>
        <v>83.005347593582883</v>
      </c>
      <c r="W176" s="179">
        <f t="shared" si="120"/>
        <v>99.372348359818716</v>
      </c>
      <c r="X176" s="179">
        <f t="shared" si="121"/>
        <v>84.161585216445289</v>
      </c>
      <c r="Y176" s="179">
        <f t="shared" si="122"/>
        <v>110.52189372606445</v>
      </c>
      <c r="Z176" s="179">
        <f t="shared" si="123"/>
        <v>121.7745260221313</v>
      </c>
      <c r="AA176" s="179">
        <f t="shared" si="124"/>
        <v>107.2794393560542</v>
      </c>
      <c r="AB176" s="179">
        <f t="shared" si="125"/>
        <v>102.82915631861502</v>
      </c>
      <c r="AC176" s="179">
        <f t="shared" si="126"/>
        <v>71.645320369524043</v>
      </c>
      <c r="AD176" s="179">
        <f t="shared" si="127"/>
        <v>55.102314708464299</v>
      </c>
      <c r="AE176" s="179">
        <f t="shared" si="128"/>
        <v>57.823357018580914</v>
      </c>
      <c r="AF176" s="179">
        <f t="shared" si="129"/>
        <v>46.804267666044503</v>
      </c>
    </row>
    <row r="177" spans="2:32">
      <c r="B177" s="122">
        <f t="shared" si="116"/>
        <v>69797296</v>
      </c>
      <c r="C177" s="122" t="str">
        <f>VLOOKUP($B177,'Tech Litons'!$A:$I,3,0)</f>
        <v>BJ PTS</v>
      </c>
      <c r="D177" s="122" t="str">
        <f>VLOOKUP($B177,'Tech Litons'!$A:$I,4,0)</f>
        <v>BJ PTS</v>
      </c>
      <c r="E177" s="1021" t="s">
        <v>1091</v>
      </c>
      <c r="F177" s="1021">
        <v>69797296</v>
      </c>
      <c r="G177" s="1023">
        <v>8982</v>
      </c>
      <c r="H177" s="1023">
        <v>10221</v>
      </c>
      <c r="I177" s="1023">
        <v>19677.692805461247</v>
      </c>
      <c r="J177" s="1023">
        <v>16724.81989388687</v>
      </c>
      <c r="K177" s="1023">
        <v>17100.005817923771</v>
      </c>
      <c r="L177" s="1023">
        <v>18503.853403459616</v>
      </c>
      <c r="M177" s="1023">
        <v>19388.72682616358</v>
      </c>
      <c r="N177" s="1023">
        <v>18675.183097595665</v>
      </c>
      <c r="O177" s="1023">
        <v>10505.474431837301</v>
      </c>
      <c r="P177" s="1023">
        <v>8678.700839580395</v>
      </c>
      <c r="Q177" s="1023">
        <v>9080.2912776721259</v>
      </c>
      <c r="R177" s="1023">
        <v>6807.9141952537275</v>
      </c>
      <c r="S177" s="169">
        <f t="shared" si="117"/>
        <v>164345.6625888343</v>
      </c>
      <c r="T177" s="122">
        <f>VLOOKUP($B177,'Tech Litons'!$A:$I,9,0)</f>
        <v>240</v>
      </c>
      <c r="U177" s="179">
        <f t="shared" si="118"/>
        <v>37.424999999999997</v>
      </c>
      <c r="V177" s="179">
        <f t="shared" si="119"/>
        <v>42.587499999999999</v>
      </c>
      <c r="W177" s="179">
        <f t="shared" si="120"/>
        <v>81.990386689421868</v>
      </c>
      <c r="X177" s="179">
        <f t="shared" si="121"/>
        <v>69.686749557861958</v>
      </c>
      <c r="Y177" s="179">
        <f t="shared" si="122"/>
        <v>71.250024241349053</v>
      </c>
      <c r="Z177" s="179">
        <f t="shared" si="123"/>
        <v>77.099389181081733</v>
      </c>
      <c r="AA177" s="179">
        <f t="shared" si="124"/>
        <v>80.786361775681584</v>
      </c>
      <c r="AB177" s="179">
        <f t="shared" si="125"/>
        <v>77.813262906648603</v>
      </c>
      <c r="AC177" s="179">
        <f t="shared" si="126"/>
        <v>43.772810132655422</v>
      </c>
      <c r="AD177" s="179">
        <f t="shared" si="127"/>
        <v>36.161253498251646</v>
      </c>
      <c r="AE177" s="179">
        <f t="shared" si="128"/>
        <v>37.834546990300524</v>
      </c>
      <c r="AF177" s="179">
        <f t="shared" si="129"/>
        <v>28.366309146890533</v>
      </c>
    </row>
    <row r="178" spans="2:32">
      <c r="B178" s="122">
        <f t="shared" si="116"/>
        <v>64388735</v>
      </c>
      <c r="C178" s="122" t="str">
        <f>VLOOKUP($B178,'Tech Litons'!$A:$I,3,0)</f>
        <v>Yasso Sticks</v>
      </c>
      <c r="D178" s="122" t="str">
        <f>VLOOKUP($B178,'Tech Litons'!$A:$I,4,0)</f>
        <v>Yasso Sticks</v>
      </c>
      <c r="E178" s="1021" t="s">
        <v>239</v>
      </c>
      <c r="F178" s="1021">
        <v>64388735</v>
      </c>
      <c r="G178" s="1023">
        <v>11745</v>
      </c>
      <c r="H178" s="1023">
        <v>14695</v>
      </c>
      <c r="I178" s="1023">
        <v>14087.081067518606</v>
      </c>
      <c r="J178" s="1023">
        <v>16005.305421579156</v>
      </c>
      <c r="K178" s="1023">
        <v>16229.941978997469</v>
      </c>
      <c r="L178" s="1023">
        <v>17828.028871228224</v>
      </c>
      <c r="M178" s="1023">
        <v>20129.722419389189</v>
      </c>
      <c r="N178" s="1023">
        <v>19647.166657328806</v>
      </c>
      <c r="O178" s="1023">
        <v>15832.74591815926</v>
      </c>
      <c r="P178" s="1023">
        <v>13833.243352618201</v>
      </c>
      <c r="Q178" s="1023">
        <v>11172.587930201189</v>
      </c>
      <c r="R178" s="1023">
        <v>8950.0762315998891</v>
      </c>
      <c r="S178" s="169">
        <f t="shared" si="117"/>
        <v>180155.89984862</v>
      </c>
      <c r="T178" s="122">
        <f>VLOOKUP($B178,'Tech Litons'!$A:$I,9,0)</f>
        <v>187</v>
      </c>
      <c r="U178" s="179">
        <f t="shared" si="118"/>
        <v>62.80748663101604</v>
      </c>
      <c r="V178" s="179">
        <f t="shared" si="119"/>
        <v>78.582887700534755</v>
      </c>
      <c r="W178" s="179">
        <f t="shared" si="120"/>
        <v>75.331984318281314</v>
      </c>
      <c r="X178" s="179">
        <f t="shared" si="121"/>
        <v>85.589868564594425</v>
      </c>
      <c r="Y178" s="179">
        <f t="shared" si="122"/>
        <v>86.791133577526566</v>
      </c>
      <c r="Z178" s="179">
        <f t="shared" si="123"/>
        <v>95.337052787316708</v>
      </c>
      <c r="AA178" s="179">
        <f t="shared" si="124"/>
        <v>107.6455744352363</v>
      </c>
      <c r="AB178" s="179">
        <f t="shared" si="125"/>
        <v>105.06506233865672</v>
      </c>
      <c r="AC178" s="179">
        <f t="shared" si="126"/>
        <v>84.667090471439892</v>
      </c>
      <c r="AD178" s="179">
        <f t="shared" si="127"/>
        <v>73.974563382985039</v>
      </c>
      <c r="AE178" s="179">
        <f t="shared" si="128"/>
        <v>59.746459519792452</v>
      </c>
      <c r="AF178" s="179">
        <f t="shared" si="129"/>
        <v>47.8613702224593</v>
      </c>
    </row>
    <row r="179" spans="2:32">
      <c r="B179" s="122">
        <f t="shared" si="116"/>
        <v>84139090</v>
      </c>
      <c r="C179" s="122" t="str">
        <f>VLOOKUP($B179,'Tech Litons'!$A:$I,3,0)</f>
        <v>BJ PTS</v>
      </c>
      <c r="D179" s="122" t="str">
        <f>VLOOKUP($B179,'Tech Litons'!$A:$I,4,0)</f>
        <v>BJ PTS</v>
      </c>
      <c r="E179" s="1021" t="s">
        <v>477</v>
      </c>
      <c r="F179" s="1021">
        <v>84139090</v>
      </c>
      <c r="G179" s="1023">
        <v>14178</v>
      </c>
      <c r="H179" s="1023">
        <v>19424</v>
      </c>
      <c r="I179" s="1023">
        <v>25768.294465005038</v>
      </c>
      <c r="J179" s="1023">
        <v>21075.015839917392</v>
      </c>
      <c r="K179" s="1023">
        <v>22786.376062491054</v>
      </c>
      <c r="L179" s="1023">
        <v>25416.899954464116</v>
      </c>
      <c r="M179" s="1023">
        <v>22417.084750764829</v>
      </c>
      <c r="N179" s="1023">
        <v>22420.131146621159</v>
      </c>
      <c r="O179" s="1023">
        <v>20327.460650496861</v>
      </c>
      <c r="P179" s="1023">
        <v>17082.35304658829</v>
      </c>
      <c r="Q179" s="1023">
        <v>15791.002462803111</v>
      </c>
      <c r="R179" s="1023">
        <v>15174.867534672594</v>
      </c>
      <c r="S179" s="169">
        <f t="shared" si="117"/>
        <v>241861.48591382446</v>
      </c>
      <c r="T179" s="122">
        <f>VLOOKUP($B179,'Tech Litons'!$A:$I,9,0)</f>
        <v>240</v>
      </c>
      <c r="U179" s="179">
        <f t="shared" si="118"/>
        <v>59.075000000000003</v>
      </c>
      <c r="V179" s="179">
        <f t="shared" si="119"/>
        <v>80.933333333333337</v>
      </c>
      <c r="W179" s="179">
        <f t="shared" si="120"/>
        <v>107.36789360418766</v>
      </c>
      <c r="X179" s="179">
        <f t="shared" si="121"/>
        <v>87.812565999655803</v>
      </c>
      <c r="Y179" s="179">
        <f t="shared" si="122"/>
        <v>94.943233593712719</v>
      </c>
      <c r="Z179" s="179">
        <f t="shared" si="123"/>
        <v>105.90374981026714</v>
      </c>
      <c r="AA179" s="179">
        <f t="shared" si="124"/>
        <v>93.404519794853456</v>
      </c>
      <c r="AB179" s="179">
        <f t="shared" si="125"/>
        <v>93.417213110921494</v>
      </c>
      <c r="AC179" s="179">
        <f t="shared" si="126"/>
        <v>84.697752710403591</v>
      </c>
      <c r="AD179" s="179">
        <f t="shared" si="127"/>
        <v>71.176471027451214</v>
      </c>
      <c r="AE179" s="179">
        <f t="shared" si="128"/>
        <v>65.795843595012968</v>
      </c>
      <c r="AF179" s="179">
        <f t="shared" si="129"/>
        <v>63.228614727802473</v>
      </c>
    </row>
    <row r="180" spans="2:32">
      <c r="B180" s="122">
        <f t="shared" si="116"/>
        <v>64997057</v>
      </c>
      <c r="C180" s="122" t="str">
        <f>VLOOKUP($B180,'Tech Litons'!$A:$I,3,0)</f>
        <v>PTS</v>
      </c>
      <c r="D180" s="122" t="str">
        <f>VLOOKUP($B180,'Tech Litons'!$A:$I,4,0)</f>
        <v>SP1</v>
      </c>
      <c r="E180" s="1021" t="s">
        <v>244</v>
      </c>
      <c r="F180" s="1021">
        <v>64997057</v>
      </c>
      <c r="G180" s="1023">
        <v>8550</v>
      </c>
      <c r="H180" s="1023">
        <v>14835</v>
      </c>
      <c r="I180" s="1023">
        <v>17841.665535766642</v>
      </c>
      <c r="J180" s="1023">
        <v>18062.742940443881</v>
      </c>
      <c r="K180" s="1023">
        <v>17416.002191256386</v>
      </c>
      <c r="L180" s="1023">
        <v>18538.790335250735</v>
      </c>
      <c r="M180" s="1023">
        <v>16263.665020572613</v>
      </c>
      <c r="N180" s="1023">
        <v>17338.198172420758</v>
      </c>
      <c r="O180" s="1023">
        <v>15154.812017563127</v>
      </c>
      <c r="P180" s="1023">
        <v>15155.436902014088</v>
      </c>
      <c r="Q180" s="1023">
        <v>14014.336935936457</v>
      </c>
      <c r="R180" s="1023">
        <v>14437.181820387421</v>
      </c>
      <c r="S180" s="169">
        <f t="shared" si="117"/>
        <v>187607.83187161214</v>
      </c>
      <c r="T180" s="122">
        <f>VLOOKUP($B180,'Tech Litons'!$A:$I,9,0)</f>
        <v>240</v>
      </c>
      <c r="U180" s="179">
        <f t="shared" si="118"/>
        <v>35.625</v>
      </c>
      <c r="V180" s="179">
        <f t="shared" si="119"/>
        <v>61.8125</v>
      </c>
      <c r="W180" s="179">
        <f t="shared" si="120"/>
        <v>74.340273065694348</v>
      </c>
      <c r="X180" s="179">
        <f t="shared" si="121"/>
        <v>75.261428918516174</v>
      </c>
      <c r="Y180" s="179">
        <f t="shared" si="122"/>
        <v>72.566675796901606</v>
      </c>
      <c r="Z180" s="179">
        <f t="shared" si="123"/>
        <v>77.244959730211392</v>
      </c>
      <c r="AA180" s="179">
        <f t="shared" si="124"/>
        <v>67.765270919052554</v>
      </c>
      <c r="AB180" s="179">
        <f t="shared" si="125"/>
        <v>72.242492385086493</v>
      </c>
      <c r="AC180" s="179">
        <f t="shared" si="126"/>
        <v>63.145050073179696</v>
      </c>
      <c r="AD180" s="179">
        <f t="shared" si="127"/>
        <v>63.147653758392032</v>
      </c>
      <c r="AE180" s="179">
        <f t="shared" si="128"/>
        <v>58.393070566401903</v>
      </c>
      <c r="AF180" s="179">
        <f t="shared" si="129"/>
        <v>60.154924251614254</v>
      </c>
    </row>
    <row r="181" spans="2:32">
      <c r="B181" s="122">
        <f t="shared" si="116"/>
        <v>64393723</v>
      </c>
      <c r="C181" s="122" t="str">
        <f>VLOOKUP($B181,'Tech Litons'!$A:$I,3,0)</f>
        <v>MG Sticks</v>
      </c>
      <c r="D181" s="122" t="str">
        <f>VLOOKUP($B181,'Tech Litons'!$A:$I,4,0)</f>
        <v>MG Sticks</v>
      </c>
      <c r="E181" s="1021" t="s">
        <v>917</v>
      </c>
      <c r="F181" s="1021">
        <v>64393723</v>
      </c>
      <c r="G181" s="1023">
        <v>13482</v>
      </c>
      <c r="H181" s="1023">
        <v>20139</v>
      </c>
      <c r="I181" s="1023">
        <v>17642.274175465576</v>
      </c>
      <c r="J181" s="1023">
        <v>18304.993199509303</v>
      </c>
      <c r="K181" s="1023">
        <v>18490.409354738498</v>
      </c>
      <c r="L181" s="1023">
        <v>27388.004919954525</v>
      </c>
      <c r="M181" s="1023">
        <v>18079.137807800813</v>
      </c>
      <c r="N181" s="1023">
        <v>19414.65792128782</v>
      </c>
      <c r="O181" s="1023">
        <v>13518.254485199806</v>
      </c>
      <c r="P181" s="1023">
        <v>11557.927944775143</v>
      </c>
      <c r="Q181" s="1023">
        <v>9445.3541965765617</v>
      </c>
      <c r="R181" s="1023">
        <v>9959.627572833162</v>
      </c>
      <c r="S181" s="169">
        <f t="shared" si="117"/>
        <v>197421.64157814119</v>
      </c>
      <c r="T181" s="122">
        <f>VLOOKUP($B181,'Tech Litons'!$A:$I,9,0)</f>
        <v>210</v>
      </c>
      <c r="U181" s="179">
        <f t="shared" si="118"/>
        <v>64.2</v>
      </c>
      <c r="V181" s="179">
        <f t="shared" si="119"/>
        <v>95.9</v>
      </c>
      <c r="W181" s="179">
        <f t="shared" si="120"/>
        <v>84.010829406978928</v>
      </c>
      <c r="X181" s="179">
        <f t="shared" si="121"/>
        <v>87.166634283377633</v>
      </c>
      <c r="Y181" s="179">
        <f t="shared" si="122"/>
        <v>88.049568355897605</v>
      </c>
      <c r="Z181" s="179">
        <f t="shared" si="123"/>
        <v>130.4190710474025</v>
      </c>
      <c r="AA181" s="179">
        <f t="shared" si="124"/>
        <v>86.091132418099107</v>
      </c>
      <c r="AB181" s="179">
        <f t="shared" si="125"/>
        <v>92.450752006132475</v>
      </c>
      <c r="AC181" s="179">
        <f t="shared" si="126"/>
        <v>64.372640405713369</v>
      </c>
      <c r="AD181" s="179">
        <f t="shared" si="127"/>
        <v>55.037752117976872</v>
      </c>
      <c r="AE181" s="179">
        <f t="shared" si="128"/>
        <v>44.977877126555057</v>
      </c>
      <c r="AF181" s="179">
        <f t="shared" si="129"/>
        <v>47.426797965872197</v>
      </c>
    </row>
    <row r="182" spans="2:32">
      <c r="B182" s="122">
        <f t="shared" si="116"/>
        <v>64997056</v>
      </c>
      <c r="C182" s="122" t="str">
        <f>VLOOKUP($B182,'Tech Litons'!$A:$I,3,0)</f>
        <v>PTS</v>
      </c>
      <c r="D182" s="122" t="str">
        <f>VLOOKUP($B182,'Tech Litons'!$A:$I,4,0)</f>
        <v>SP1</v>
      </c>
      <c r="E182" s="1021" t="s">
        <v>967</v>
      </c>
      <c r="F182" s="1021">
        <v>64997056</v>
      </c>
      <c r="G182" s="1023">
        <v>12660</v>
      </c>
      <c r="H182" s="1023">
        <v>10155</v>
      </c>
      <c r="I182" s="1023">
        <v>5200.3670696891368</v>
      </c>
      <c r="J182" s="1023">
        <v>0</v>
      </c>
      <c r="K182" s="1023">
        <v>0</v>
      </c>
      <c r="L182" s="1023">
        <v>0</v>
      </c>
      <c r="M182" s="1023">
        <v>0</v>
      </c>
      <c r="N182" s="1023">
        <v>0</v>
      </c>
      <c r="O182" s="1023">
        <v>0</v>
      </c>
      <c r="P182" s="1023">
        <v>0</v>
      </c>
      <c r="Q182" s="1023">
        <v>0</v>
      </c>
      <c r="R182" s="1023">
        <v>0</v>
      </c>
      <c r="S182" s="169">
        <f t="shared" si="117"/>
        <v>28015.367069689135</v>
      </c>
      <c r="T182" s="122">
        <f>VLOOKUP($B182,'Tech Litons'!$A:$I,9,0)</f>
        <v>240</v>
      </c>
      <c r="U182" s="179">
        <f t="shared" si="118"/>
        <v>52.75</v>
      </c>
      <c r="V182" s="179">
        <f t="shared" si="119"/>
        <v>42.3125</v>
      </c>
      <c r="W182" s="179">
        <f t="shared" si="120"/>
        <v>21.668196123704735</v>
      </c>
      <c r="X182" s="179">
        <f t="shared" si="121"/>
        <v>0</v>
      </c>
      <c r="Y182" s="179">
        <f t="shared" si="122"/>
        <v>0</v>
      </c>
      <c r="Z182" s="179">
        <f t="shared" si="123"/>
        <v>0</v>
      </c>
      <c r="AA182" s="179">
        <f t="shared" si="124"/>
        <v>0</v>
      </c>
      <c r="AB182" s="179">
        <f t="shared" si="125"/>
        <v>0</v>
      </c>
      <c r="AC182" s="179">
        <f t="shared" si="126"/>
        <v>0</v>
      </c>
      <c r="AD182" s="179">
        <f t="shared" si="127"/>
        <v>0</v>
      </c>
      <c r="AE182" s="179">
        <f t="shared" si="128"/>
        <v>0</v>
      </c>
      <c r="AF182" s="179">
        <f t="shared" si="129"/>
        <v>0</v>
      </c>
    </row>
    <row r="183" spans="2:32">
      <c r="B183" s="122">
        <f t="shared" si="116"/>
        <v>64325625</v>
      </c>
      <c r="C183" s="122" t="str">
        <f>VLOOKUP($B183,'Tech Litons'!$A:$I,3,0)</f>
        <v>Yasso Poppables</v>
      </c>
      <c r="D183" s="122" t="str">
        <f>VLOOKUP($B183,'Tech Litons'!$A:$I,4,0)</f>
        <v>Yasso Poppables</v>
      </c>
      <c r="E183" s="1021" t="s">
        <v>578</v>
      </c>
      <c r="F183" s="1021">
        <v>64325625</v>
      </c>
      <c r="G183" s="1023">
        <v>5350</v>
      </c>
      <c r="H183" s="1023">
        <v>6210</v>
      </c>
      <c r="I183" s="1023">
        <v>7000.6095423594807</v>
      </c>
      <c r="J183" s="1023">
        <v>7388.762952453264</v>
      </c>
      <c r="K183" s="1023">
        <v>6159.8847548776948</v>
      </c>
      <c r="L183" s="1023">
        <v>10137.314539190169</v>
      </c>
      <c r="M183" s="1023">
        <v>8567.7431228609057</v>
      </c>
      <c r="N183" s="1023">
        <v>6733.4120205671879</v>
      </c>
      <c r="O183" s="1023">
        <v>6336.7093023245252</v>
      </c>
      <c r="P183" s="1023">
        <v>3628.2118423712941</v>
      </c>
      <c r="Q183" s="1023">
        <v>3313.599427943619</v>
      </c>
      <c r="R183" s="1023">
        <v>6156.84942794362</v>
      </c>
      <c r="S183" s="169">
        <f t="shared" si="117"/>
        <v>76983.096932891756</v>
      </c>
      <c r="T183" s="122">
        <f>VLOOKUP($B183,'Tech Litons'!$A:$I,9,0)</f>
        <v>200</v>
      </c>
      <c r="U183" s="179">
        <f t="shared" si="118"/>
        <v>26.75</v>
      </c>
      <c r="V183" s="179">
        <f t="shared" si="119"/>
        <v>31.05</v>
      </c>
      <c r="W183" s="179">
        <f t="shared" si="120"/>
        <v>35.0030477117974</v>
      </c>
      <c r="X183" s="179">
        <f t="shared" si="121"/>
        <v>36.943814762266321</v>
      </c>
      <c r="Y183" s="179">
        <f t="shared" si="122"/>
        <v>30.799423774388472</v>
      </c>
      <c r="Z183" s="179">
        <f t="shared" si="123"/>
        <v>50.686572695950844</v>
      </c>
      <c r="AA183" s="179">
        <f t="shared" si="124"/>
        <v>42.838715614304526</v>
      </c>
      <c r="AB183" s="179">
        <f t="shared" si="125"/>
        <v>33.66706010283594</v>
      </c>
      <c r="AC183" s="179">
        <f t="shared" si="126"/>
        <v>31.683546511622627</v>
      </c>
      <c r="AD183" s="179">
        <f t="shared" si="127"/>
        <v>18.141059211856472</v>
      </c>
      <c r="AE183" s="179">
        <f t="shared" si="128"/>
        <v>16.567997139718095</v>
      </c>
      <c r="AF183" s="179">
        <f t="shared" si="129"/>
        <v>30.784247139718101</v>
      </c>
    </row>
    <row r="184" spans="2:32">
      <c r="B184" s="122">
        <f t="shared" si="116"/>
        <v>68899825</v>
      </c>
      <c r="C184" s="122" t="str">
        <f>VLOOKUP($B184,'Tech Litons'!$A:$I,3,0)</f>
        <v>48oz</v>
      </c>
      <c r="D184" s="122" t="str">
        <f>VLOOKUP($B184,'Tech Litons'!$A:$I,4,0)</f>
        <v>48oz</v>
      </c>
      <c r="E184" s="1021" t="s">
        <v>991</v>
      </c>
      <c r="F184" s="1021">
        <v>68899825</v>
      </c>
      <c r="G184" s="1023">
        <v>9179</v>
      </c>
      <c r="H184" s="1023">
        <v>17996</v>
      </c>
      <c r="I184" s="1023">
        <v>23426.935826877761</v>
      </c>
      <c r="J184" s="1023">
        <v>17879.111851842797</v>
      </c>
      <c r="K184" s="1023">
        <v>21218.402642116602</v>
      </c>
      <c r="L184" s="1023">
        <v>27982.391397407166</v>
      </c>
      <c r="M184" s="1023">
        <v>19351.08022987378</v>
      </c>
      <c r="N184" s="1023">
        <v>19111.236142427755</v>
      </c>
      <c r="O184" s="1023">
        <v>13250.234920265311</v>
      </c>
      <c r="P184" s="1023">
        <v>14193.110204970191</v>
      </c>
      <c r="Q184" s="1023">
        <v>18961.710035206757</v>
      </c>
      <c r="R184" s="1023">
        <v>13342.331559935426</v>
      </c>
      <c r="S184" s="169">
        <f t="shared" si="117"/>
        <v>215891.54481092354</v>
      </c>
      <c r="T184" s="122">
        <f>VLOOKUP($B184,'Tech Litons'!$A:$I,9,0)</f>
        <v>176</v>
      </c>
      <c r="U184" s="179">
        <f t="shared" si="118"/>
        <v>52.153409090909093</v>
      </c>
      <c r="V184" s="179">
        <f t="shared" si="119"/>
        <v>102.25</v>
      </c>
      <c r="W184" s="179">
        <f t="shared" si="120"/>
        <v>133.10758992544183</v>
      </c>
      <c r="X184" s="179">
        <f t="shared" si="121"/>
        <v>101.58586279456135</v>
      </c>
      <c r="Y184" s="179">
        <f t="shared" si="122"/>
        <v>120.55910592111705</v>
      </c>
      <c r="Z184" s="179">
        <f t="shared" si="123"/>
        <v>158.99086021254072</v>
      </c>
      <c r="AA184" s="179">
        <f t="shared" si="124"/>
        <v>109.9493194879192</v>
      </c>
      <c r="AB184" s="179">
        <f t="shared" si="125"/>
        <v>108.58656899106678</v>
      </c>
      <c r="AC184" s="179">
        <f t="shared" si="126"/>
        <v>75.285425683325627</v>
      </c>
      <c r="AD184" s="179">
        <f t="shared" si="127"/>
        <v>80.642671619148814</v>
      </c>
      <c r="AE184" s="179">
        <f t="shared" si="128"/>
        <v>107.73698883640203</v>
      </c>
      <c r="AF184" s="179">
        <f t="shared" si="129"/>
        <v>75.808702045087657</v>
      </c>
    </row>
    <row r="185" spans="2:32">
      <c r="B185" s="122">
        <f t="shared" si="116"/>
        <v>64388734</v>
      </c>
      <c r="C185" s="122" t="str">
        <f>VLOOKUP($B185,'Tech Litons'!$A:$I,3,0)</f>
        <v>Yasso Sticks</v>
      </c>
      <c r="D185" s="122" t="str">
        <f>VLOOKUP($B185,'Tech Litons'!$A:$I,4,0)</f>
        <v>Yasso Sticks</v>
      </c>
      <c r="E185" s="1021" t="s">
        <v>583</v>
      </c>
      <c r="F185" s="1021">
        <v>64388734</v>
      </c>
      <c r="G185" s="1023">
        <v>6346</v>
      </c>
      <c r="H185" s="1023">
        <v>7925</v>
      </c>
      <c r="I185" s="1023">
        <v>9038.1899283383664</v>
      </c>
      <c r="J185" s="1023">
        <v>7697.0190565691109</v>
      </c>
      <c r="K185" s="1023">
        <v>8946.8635629405289</v>
      </c>
      <c r="L185" s="1023">
        <v>13048.884291038641</v>
      </c>
      <c r="M185" s="1023">
        <v>11036.466654333539</v>
      </c>
      <c r="N185" s="1023">
        <v>12553.520613553241</v>
      </c>
      <c r="O185" s="1023">
        <v>9432.5588224057883</v>
      </c>
      <c r="P185" s="1023">
        <v>6412.1189641955261</v>
      </c>
      <c r="Q185" s="1023">
        <v>5159.4103098919286</v>
      </c>
      <c r="R185" s="1023">
        <v>5887.4173283364453</v>
      </c>
      <c r="S185" s="169">
        <f t="shared" si="117"/>
        <v>103483.44953160312</v>
      </c>
      <c r="T185" s="122">
        <f>VLOOKUP($B185,'Tech Litons'!$A:$I,9,0)</f>
        <v>187</v>
      </c>
      <c r="U185" s="179">
        <f t="shared" si="118"/>
        <v>33.935828877005349</v>
      </c>
      <c r="V185" s="179">
        <f t="shared" si="119"/>
        <v>42.37967914438503</v>
      </c>
      <c r="W185" s="179">
        <f t="shared" si="120"/>
        <v>48.332566461702491</v>
      </c>
      <c r="X185" s="179">
        <f t="shared" si="121"/>
        <v>41.160529714273324</v>
      </c>
      <c r="Y185" s="179">
        <f t="shared" si="122"/>
        <v>47.844190176152559</v>
      </c>
      <c r="Z185" s="179">
        <f t="shared" si="123"/>
        <v>69.780129898602354</v>
      </c>
      <c r="AA185" s="179">
        <f t="shared" si="124"/>
        <v>59.018538258468119</v>
      </c>
      <c r="AB185" s="179">
        <f t="shared" si="125"/>
        <v>67.131126275685773</v>
      </c>
      <c r="AC185" s="179">
        <f t="shared" si="126"/>
        <v>50.441491028907961</v>
      </c>
      <c r="AD185" s="179">
        <f t="shared" si="127"/>
        <v>34.289406225644527</v>
      </c>
      <c r="AE185" s="179">
        <f t="shared" si="128"/>
        <v>27.590429464662719</v>
      </c>
      <c r="AF185" s="179">
        <f t="shared" si="129"/>
        <v>31.483515124793826</v>
      </c>
    </row>
    <row r="186" spans="2:32">
      <c r="B186" s="122">
        <f t="shared" si="116"/>
        <v>69986511</v>
      </c>
      <c r="C186" s="122" t="str">
        <f>VLOOKUP($B186,'Tech Litons'!$A:$I,3,0)</f>
        <v>BJ PTS</v>
      </c>
      <c r="D186" s="122" t="str">
        <f>VLOOKUP($B186,'Tech Litons'!$A:$I,4,0)</f>
        <v>BJ PTS</v>
      </c>
      <c r="E186" s="1021" t="s">
        <v>964</v>
      </c>
      <c r="F186" s="1021">
        <v>69986511</v>
      </c>
      <c r="G186" s="1023">
        <v>13775</v>
      </c>
      <c r="H186" s="1023">
        <v>15486</v>
      </c>
      <c r="I186" s="1023">
        <v>19888.078591074351</v>
      </c>
      <c r="J186" s="1023">
        <v>15993.575004703029</v>
      </c>
      <c r="K186" s="1023">
        <v>17831.29279062866</v>
      </c>
      <c r="L186" s="1023">
        <v>20749.647083769323</v>
      </c>
      <c r="M186" s="1023">
        <v>18385.78142601969</v>
      </c>
      <c r="N186" s="1023">
        <v>19005.55463802315</v>
      </c>
      <c r="O186" s="1023">
        <v>15340.582624843169</v>
      </c>
      <c r="P186" s="1023">
        <v>10616.264432218242</v>
      </c>
      <c r="Q186" s="1023">
        <v>14688.152043015187</v>
      </c>
      <c r="R186" s="1023">
        <v>12958.223178902907</v>
      </c>
      <c r="S186" s="169">
        <f t="shared" si="117"/>
        <v>194718.15181319768</v>
      </c>
      <c r="T186" s="122">
        <f>VLOOKUP($B186,'Tech Litons'!$A:$I,9,0)</f>
        <v>240</v>
      </c>
      <c r="U186" s="179">
        <f t="shared" si="118"/>
        <v>57.395833333333336</v>
      </c>
      <c r="V186" s="179">
        <f t="shared" si="119"/>
        <v>64.525000000000006</v>
      </c>
      <c r="W186" s="179">
        <f t="shared" si="120"/>
        <v>82.866994129476467</v>
      </c>
      <c r="X186" s="179">
        <f t="shared" si="121"/>
        <v>66.639895852929286</v>
      </c>
      <c r="Y186" s="179">
        <f t="shared" si="122"/>
        <v>74.297053294286087</v>
      </c>
      <c r="Z186" s="179">
        <f t="shared" si="123"/>
        <v>86.456862849038842</v>
      </c>
      <c r="AA186" s="179">
        <f t="shared" si="124"/>
        <v>76.607422608415376</v>
      </c>
      <c r="AB186" s="179">
        <f t="shared" si="125"/>
        <v>79.189810991763125</v>
      </c>
      <c r="AC186" s="179">
        <f t="shared" si="126"/>
        <v>63.919094270179876</v>
      </c>
      <c r="AD186" s="179">
        <f t="shared" si="127"/>
        <v>44.234435134242673</v>
      </c>
      <c r="AE186" s="179">
        <f t="shared" si="128"/>
        <v>61.200633512563279</v>
      </c>
      <c r="AF186" s="179">
        <f t="shared" si="129"/>
        <v>53.992596578762111</v>
      </c>
    </row>
    <row r="187" spans="2:32">
      <c r="B187" s="122">
        <f t="shared" si="116"/>
        <v>68862399</v>
      </c>
      <c r="C187" s="122" t="str">
        <f>VLOOKUP($B187,'Tech Litons'!$A:$I,3,0)</f>
        <v>Talenti</v>
      </c>
      <c r="D187" s="122" t="str">
        <f>VLOOKUP($B187,'Tech Litons'!$A:$I,4,0)</f>
        <v>Talenti</v>
      </c>
      <c r="E187" s="1021" t="s">
        <v>387</v>
      </c>
      <c r="F187" s="1021">
        <v>68862399</v>
      </c>
      <c r="G187" s="1024">
        <v>15524</v>
      </c>
      <c r="H187" s="1023">
        <v>18986</v>
      </c>
      <c r="I187" s="1023">
        <v>22580.624533029157</v>
      </c>
      <c r="J187" s="1023">
        <v>22920.12021728218</v>
      </c>
      <c r="K187" s="1023">
        <v>24835.160540798512</v>
      </c>
      <c r="L187" s="1023">
        <v>27174.627782439638</v>
      </c>
      <c r="M187" s="1023">
        <v>23688.441397751445</v>
      </c>
      <c r="N187" s="1023">
        <v>20135.073161149638</v>
      </c>
      <c r="O187" s="1023">
        <v>20787.923295377954</v>
      </c>
      <c r="P187" s="1023">
        <v>19921.570522627153</v>
      </c>
      <c r="Q187" s="1023">
        <v>18389.887873382133</v>
      </c>
      <c r="R187" s="1023">
        <v>12246.133697574429</v>
      </c>
      <c r="S187" s="169">
        <f t="shared" si="117"/>
        <v>247189.56302141224</v>
      </c>
      <c r="T187" s="122">
        <f>VLOOKUP($B187,'Tech Litons'!$A:$I,9,0)</f>
        <v>255</v>
      </c>
      <c r="U187" s="179">
        <f t="shared" si="118"/>
        <v>60.878431372549016</v>
      </c>
      <c r="V187" s="179">
        <f t="shared" si="119"/>
        <v>74.454901960784312</v>
      </c>
      <c r="W187" s="179">
        <f t="shared" si="120"/>
        <v>88.551468756977087</v>
      </c>
      <c r="X187" s="179">
        <f t="shared" si="121"/>
        <v>89.88282438149875</v>
      </c>
      <c r="Y187" s="179">
        <f t="shared" si="122"/>
        <v>97.392786434503961</v>
      </c>
      <c r="Z187" s="179">
        <f t="shared" si="123"/>
        <v>106.56716777427309</v>
      </c>
      <c r="AA187" s="179">
        <f t="shared" si="124"/>
        <v>92.895848618633124</v>
      </c>
      <c r="AB187" s="179">
        <f t="shared" si="125"/>
        <v>78.961071220194654</v>
      </c>
      <c r="AC187" s="179">
        <f t="shared" si="126"/>
        <v>81.521267825011577</v>
      </c>
      <c r="AD187" s="179">
        <f t="shared" si="127"/>
        <v>78.123805971086881</v>
      </c>
      <c r="AE187" s="179">
        <f t="shared" si="128"/>
        <v>72.117207346596601</v>
      </c>
      <c r="AF187" s="179">
        <f t="shared" si="129"/>
        <v>48.024053715978155</v>
      </c>
    </row>
    <row r="188" spans="2:32">
      <c r="B188" s="122">
        <f t="shared" si="116"/>
        <v>64394596</v>
      </c>
      <c r="C188" s="122" t="str">
        <f>VLOOKUP($B188,'Tech Litons'!$A:$I,3,0)</f>
        <v>Sundaes</v>
      </c>
      <c r="D188" s="122" t="str">
        <f>VLOOKUP($B188,'Tech Litons'!$A:$I,4,0)</f>
        <v>SP1</v>
      </c>
      <c r="E188" s="1021" t="s">
        <v>550</v>
      </c>
      <c r="F188" s="1021">
        <v>64394596</v>
      </c>
      <c r="G188" s="1023">
        <v>2932</v>
      </c>
      <c r="H188" s="1023">
        <v>4689</v>
      </c>
      <c r="I188" s="1023">
        <v>7508.1847151878692</v>
      </c>
      <c r="J188" s="1023">
        <v>8721.1318784674768</v>
      </c>
      <c r="K188" s="1023">
        <v>10043.698357670328</v>
      </c>
      <c r="L188" s="1023">
        <v>8401.3069466892557</v>
      </c>
      <c r="M188" s="1023">
        <v>11284.300946159145</v>
      </c>
      <c r="N188" s="1023">
        <v>6743.3777498238178</v>
      </c>
      <c r="O188" s="1023">
        <v>4518.9173372651303</v>
      </c>
      <c r="P188" s="1023">
        <v>3958.8070936692438</v>
      </c>
      <c r="Q188" s="1023">
        <v>3831.9984258665645</v>
      </c>
      <c r="R188" s="1023">
        <v>2525.6017082546487</v>
      </c>
      <c r="S188" s="169">
        <f t="shared" si="117"/>
        <v>75158.325159053478</v>
      </c>
      <c r="T188" s="122">
        <f>VLOOKUP($B188,'Tech Litons'!$A:$I,9,0)</f>
        <v>240</v>
      </c>
      <c r="U188" s="179">
        <f t="shared" si="118"/>
        <v>12.216666666666667</v>
      </c>
      <c r="V188" s="179">
        <f t="shared" si="119"/>
        <v>19.537500000000001</v>
      </c>
      <c r="W188" s="179">
        <f t="shared" si="120"/>
        <v>31.284102979949456</v>
      </c>
      <c r="X188" s="179">
        <f t="shared" si="121"/>
        <v>36.338049493614484</v>
      </c>
      <c r="Y188" s="179">
        <f t="shared" si="122"/>
        <v>41.848743156959699</v>
      </c>
      <c r="Z188" s="179">
        <f t="shared" si="123"/>
        <v>35.005445611205232</v>
      </c>
      <c r="AA188" s="179">
        <f t="shared" si="124"/>
        <v>47.017920608996434</v>
      </c>
      <c r="AB188" s="179">
        <f t="shared" si="125"/>
        <v>28.097407290932573</v>
      </c>
      <c r="AC188" s="179">
        <f t="shared" si="126"/>
        <v>18.828822238604708</v>
      </c>
      <c r="AD188" s="179">
        <f t="shared" si="127"/>
        <v>16.495029556955181</v>
      </c>
      <c r="AE188" s="179">
        <f t="shared" si="128"/>
        <v>15.966660107777352</v>
      </c>
      <c r="AF188" s="179">
        <f t="shared" si="129"/>
        <v>10.523340451061037</v>
      </c>
    </row>
    <row r="189" spans="2:32">
      <c r="B189" s="122">
        <f t="shared" si="116"/>
        <v>68729634</v>
      </c>
      <c r="C189" s="122" t="str">
        <f>VLOOKUP($B189,'Tech Litons'!$A:$I,3,0)</f>
        <v>TALENTI</v>
      </c>
      <c r="D189" s="122" t="str">
        <f>VLOOKUP($B189,'Tech Litons'!$A:$I,4,0)</f>
        <v>TALENTI</v>
      </c>
      <c r="E189" s="1021" t="s">
        <v>516</v>
      </c>
      <c r="F189" s="1021">
        <v>68729634</v>
      </c>
      <c r="G189" s="1023">
        <v>4980</v>
      </c>
      <c r="H189" s="1023">
        <v>9690</v>
      </c>
      <c r="I189" s="1023">
        <v>11900.974576091805</v>
      </c>
      <c r="J189" s="1023">
        <v>13761.608161269987</v>
      </c>
      <c r="K189" s="1023">
        <v>12803.491080093876</v>
      </c>
      <c r="L189" s="1023">
        <v>14755.068826910448</v>
      </c>
      <c r="M189" s="1023">
        <v>12094.839881679556</v>
      </c>
      <c r="N189" s="1023">
        <v>10014.16338560419</v>
      </c>
      <c r="O189" s="1023">
        <v>10986.677598358441</v>
      </c>
      <c r="P189" s="1023">
        <v>10270.275018586506</v>
      </c>
      <c r="Q189" s="1023">
        <v>9480.9302809592937</v>
      </c>
      <c r="R189" s="1023">
        <v>6478.3218799764736</v>
      </c>
      <c r="S189" s="169">
        <f t="shared" si="117"/>
        <v>127216.35068953056</v>
      </c>
      <c r="T189" s="122">
        <f>VLOOKUP($B189,'Tech Litons'!$A:$I,9,0)</f>
        <v>255</v>
      </c>
      <c r="U189" s="179">
        <f t="shared" si="118"/>
        <v>19.529411764705884</v>
      </c>
      <c r="V189" s="179">
        <f t="shared" si="119"/>
        <v>38</v>
      </c>
      <c r="W189" s="179">
        <f t="shared" si="120"/>
        <v>46.670488533693351</v>
      </c>
      <c r="X189" s="179">
        <f t="shared" si="121"/>
        <v>53.967090828509754</v>
      </c>
      <c r="Y189" s="179">
        <f t="shared" si="122"/>
        <v>50.20976894154461</v>
      </c>
      <c r="Z189" s="179">
        <f t="shared" si="123"/>
        <v>57.863015007491953</v>
      </c>
      <c r="AA189" s="179">
        <f t="shared" si="124"/>
        <v>47.430744634037474</v>
      </c>
      <c r="AB189" s="179">
        <f t="shared" si="125"/>
        <v>39.271228963153689</v>
      </c>
      <c r="AC189" s="179">
        <f t="shared" si="126"/>
        <v>43.085010189640947</v>
      </c>
      <c r="AD189" s="179">
        <f t="shared" si="127"/>
        <v>40.275588308182378</v>
      </c>
      <c r="AE189" s="179">
        <f t="shared" si="128"/>
        <v>37.180118748859975</v>
      </c>
      <c r="AF189" s="179">
        <f t="shared" si="129"/>
        <v>25.405183843044995</v>
      </c>
    </row>
    <row r="190" spans="2:32">
      <c r="B190" s="122">
        <f t="shared" si="116"/>
        <v>68649097</v>
      </c>
      <c r="C190" s="122" t="str">
        <f>VLOOKUP($B190,'Tech Litons'!$A:$I,3,0)</f>
        <v>Topped</v>
      </c>
      <c r="D190" s="122" t="str">
        <f>VLOOKUP($B190,'Tech Litons'!$A:$I,4,0)</f>
        <v>SP1</v>
      </c>
      <c r="E190" s="1021" t="s">
        <v>534</v>
      </c>
      <c r="F190" s="1021">
        <v>68649097</v>
      </c>
      <c r="G190" s="1023">
        <v>9781</v>
      </c>
      <c r="H190" s="1023">
        <v>13263</v>
      </c>
      <c r="I190" s="1023">
        <v>18132.061966482041</v>
      </c>
      <c r="J190" s="1023">
        <v>14274.447297083017</v>
      </c>
      <c r="K190" s="1023">
        <v>14854.736954121434</v>
      </c>
      <c r="L190" s="1023">
        <v>15821.15613215204</v>
      </c>
      <c r="M190" s="1023">
        <v>14704.043264838376</v>
      </c>
      <c r="N190" s="1023">
        <v>15278.652918022079</v>
      </c>
      <c r="O190" s="1023">
        <v>11864.655797350355</v>
      </c>
      <c r="P190" s="1023">
        <v>11480.741143990912</v>
      </c>
      <c r="Q190" s="1023">
        <v>10367.15227478483</v>
      </c>
      <c r="R190" s="1023">
        <v>10550.499111023724</v>
      </c>
      <c r="S190" s="169">
        <f t="shared" si="117"/>
        <v>160372.14685984881</v>
      </c>
      <c r="T190" s="122">
        <f>VLOOKUP($B190,'Tech Litons'!$A:$I,9,0)</f>
        <v>240</v>
      </c>
      <c r="U190" s="179">
        <f t="shared" si="118"/>
        <v>40.75416666666667</v>
      </c>
      <c r="V190" s="179">
        <f t="shared" si="119"/>
        <v>55.262500000000003</v>
      </c>
      <c r="W190" s="179">
        <f t="shared" si="120"/>
        <v>75.550258193675162</v>
      </c>
      <c r="X190" s="179">
        <f t="shared" si="121"/>
        <v>59.476863737845903</v>
      </c>
      <c r="Y190" s="179">
        <f t="shared" si="122"/>
        <v>61.894737308839311</v>
      </c>
      <c r="Z190" s="179">
        <f t="shared" si="123"/>
        <v>65.921483883966829</v>
      </c>
      <c r="AA190" s="179">
        <f t="shared" si="124"/>
        <v>61.266846936826568</v>
      </c>
      <c r="AB190" s="179">
        <f t="shared" si="125"/>
        <v>63.661053825091997</v>
      </c>
      <c r="AC190" s="179">
        <f t="shared" si="126"/>
        <v>49.436065822293145</v>
      </c>
      <c r="AD190" s="179">
        <f t="shared" si="127"/>
        <v>47.836421433295463</v>
      </c>
      <c r="AE190" s="179">
        <f t="shared" si="128"/>
        <v>43.196467811603462</v>
      </c>
      <c r="AF190" s="179">
        <f t="shared" si="129"/>
        <v>43.960412962598852</v>
      </c>
    </row>
    <row r="191" spans="2:32">
      <c r="B191" s="122">
        <f t="shared" si="116"/>
        <v>69700048</v>
      </c>
      <c r="C191" s="122" t="str">
        <f>VLOOKUP($B191,'Tech Litons'!$A:$I,3,0)</f>
        <v>MBG</v>
      </c>
      <c r="D191" s="122" t="str">
        <f>VLOOKUP($B191,'Tech Litons'!$A:$I,4,0)</f>
        <v>MBG</v>
      </c>
      <c r="E191" s="1021" t="s">
        <v>918</v>
      </c>
      <c r="F191" s="1021">
        <v>69700048</v>
      </c>
      <c r="G191" s="1023">
        <v>5040</v>
      </c>
      <c r="H191" s="1023">
        <v>7500</v>
      </c>
      <c r="I191" s="1023">
        <v>9488.1522051394077</v>
      </c>
      <c r="J191" s="1023">
        <v>15988.262434231074</v>
      </c>
      <c r="K191" s="1023">
        <v>23705.464948392619</v>
      </c>
      <c r="L191" s="1023">
        <v>18969.091283801088</v>
      </c>
      <c r="M191" s="1023">
        <v>22414.767143030367</v>
      </c>
      <c r="N191" s="1023">
        <v>18959.457067603966</v>
      </c>
      <c r="O191" s="1023">
        <v>14920.566199945251</v>
      </c>
      <c r="P191" s="1023">
        <v>10829.646874499453</v>
      </c>
      <c r="Q191" s="1023">
        <v>8425.6844769009658</v>
      </c>
      <c r="R191" s="1023">
        <v>8528.4106694326929</v>
      </c>
      <c r="S191" s="169">
        <f t="shared" si="117"/>
        <v>164769.5033029769</v>
      </c>
      <c r="T191" s="122">
        <f>VLOOKUP($B191,'Tech Litons'!$A:$I,9,0)</f>
        <v>225</v>
      </c>
      <c r="U191" s="179">
        <f t="shared" si="118"/>
        <v>22.4</v>
      </c>
      <c r="V191" s="179">
        <f t="shared" si="119"/>
        <v>33.333333333333336</v>
      </c>
      <c r="W191" s="179">
        <f t="shared" si="120"/>
        <v>42.169565356175148</v>
      </c>
      <c r="X191" s="179">
        <f t="shared" si="121"/>
        <v>71.05894415213811</v>
      </c>
      <c r="Y191" s="179">
        <f t="shared" si="122"/>
        <v>105.35762199285608</v>
      </c>
      <c r="Z191" s="179">
        <f t="shared" si="123"/>
        <v>84.307072372449284</v>
      </c>
      <c r="AA191" s="179">
        <f t="shared" si="124"/>
        <v>99.621187302357185</v>
      </c>
      <c r="AB191" s="179">
        <f t="shared" si="125"/>
        <v>84.264253633795406</v>
      </c>
      <c r="AC191" s="179">
        <f t="shared" si="126"/>
        <v>66.313627555312223</v>
      </c>
      <c r="AD191" s="179">
        <f t="shared" si="127"/>
        <v>48.131763886664231</v>
      </c>
      <c r="AE191" s="179">
        <f t="shared" si="128"/>
        <v>37.447486564004294</v>
      </c>
      <c r="AF191" s="179">
        <f t="shared" si="129"/>
        <v>37.904047419700859</v>
      </c>
    </row>
    <row r="192" spans="2:32">
      <c r="B192" s="122">
        <f t="shared" si="116"/>
        <v>69551489</v>
      </c>
      <c r="C192" s="122" t="str">
        <f>VLOOKUP($B192,'Tech Litons'!$A:$I,3,0)</f>
        <v>MBG</v>
      </c>
      <c r="D192" s="122" t="str">
        <f>VLOOKUP($B192,'Tech Litons'!$A:$I,4,0)</f>
        <v>MBG</v>
      </c>
      <c r="E192" s="1021" t="s">
        <v>887</v>
      </c>
      <c r="F192" s="1021">
        <v>69551489</v>
      </c>
      <c r="G192" s="1023">
        <v>8330</v>
      </c>
      <c r="H192" s="1023">
        <v>12802</v>
      </c>
      <c r="I192" s="1023">
        <v>11404.810080970667</v>
      </c>
      <c r="J192" s="1023">
        <v>15718.532841136897</v>
      </c>
      <c r="K192" s="1023">
        <v>15250.365185129989</v>
      </c>
      <c r="L192" s="1023">
        <v>17118.564532246579</v>
      </c>
      <c r="M192" s="1023">
        <v>13992.462181893834</v>
      </c>
      <c r="N192" s="1023">
        <v>12398.131322281495</v>
      </c>
      <c r="O192" s="1023">
        <v>10689.712843555122</v>
      </c>
      <c r="P192" s="1023">
        <v>7504.2566087004752</v>
      </c>
      <c r="Q192" s="1023">
        <v>6920.0098082024761</v>
      </c>
      <c r="R192" s="1023">
        <v>5569.8720556425587</v>
      </c>
      <c r="S192" s="169">
        <f t="shared" si="117"/>
        <v>137698.71745976011</v>
      </c>
      <c r="T192" s="122">
        <f>VLOOKUP($B192,'Tech Litons'!$A:$I,9,0)</f>
        <v>154</v>
      </c>
      <c r="U192" s="179">
        <f t="shared" si="118"/>
        <v>54.090909090909093</v>
      </c>
      <c r="V192" s="179">
        <f t="shared" si="119"/>
        <v>83.129870129870127</v>
      </c>
      <c r="W192" s="179">
        <f t="shared" si="120"/>
        <v>74.057208317991339</v>
      </c>
      <c r="X192" s="179">
        <f t="shared" si="121"/>
        <v>102.06839507231751</v>
      </c>
      <c r="Y192" s="179">
        <f t="shared" si="122"/>
        <v>99.028345357986936</v>
      </c>
      <c r="Z192" s="179">
        <f t="shared" si="123"/>
        <v>111.15950994965311</v>
      </c>
      <c r="AA192" s="179">
        <f t="shared" si="124"/>
        <v>90.860144038271656</v>
      </c>
      <c r="AB192" s="179">
        <f t="shared" si="125"/>
        <v>80.507346248581143</v>
      </c>
      <c r="AC192" s="179">
        <f t="shared" si="126"/>
        <v>69.413719763344943</v>
      </c>
      <c r="AD192" s="179">
        <f t="shared" si="127"/>
        <v>48.728939017535552</v>
      </c>
      <c r="AE192" s="179">
        <f t="shared" si="128"/>
        <v>44.935128624691401</v>
      </c>
      <c r="AF192" s="179">
        <f t="shared" si="129"/>
        <v>36.168000361315315</v>
      </c>
    </row>
    <row r="193" spans="2:32">
      <c r="B193" s="122">
        <f t="shared" si="116"/>
        <v>68881265</v>
      </c>
      <c r="C193" s="122" t="str">
        <f>VLOOKUP($B193,'Tech Litons'!$A:$I,3,0)</f>
        <v>48oz</v>
      </c>
      <c r="D193" s="122" t="str">
        <f>VLOOKUP($B193,'Tech Litons'!$A:$I,4,0)</f>
        <v>48oz</v>
      </c>
      <c r="E193" s="1021" t="s">
        <v>486</v>
      </c>
      <c r="F193" s="1021">
        <v>68881265</v>
      </c>
      <c r="G193" s="1023">
        <v>7348</v>
      </c>
      <c r="H193" s="1023">
        <v>10893</v>
      </c>
      <c r="I193" s="1023">
        <v>13702.229965852839</v>
      </c>
      <c r="J193" s="1023">
        <v>13073.135685586898</v>
      </c>
      <c r="K193" s="1023">
        <v>14996.73259654249</v>
      </c>
      <c r="L193" s="1023">
        <v>16429.074909131741</v>
      </c>
      <c r="M193" s="1023">
        <v>15738.946680741015</v>
      </c>
      <c r="N193" s="1023">
        <v>13470.33123174098</v>
      </c>
      <c r="O193" s="1023">
        <v>11481.183875598075</v>
      </c>
      <c r="P193" s="1023">
        <v>12670.668666618301</v>
      </c>
      <c r="Q193" s="1023">
        <v>12382.092195380592</v>
      </c>
      <c r="R193" s="1023">
        <v>9011.6099133050993</v>
      </c>
      <c r="S193" s="169">
        <f t="shared" si="117"/>
        <v>151197.00572049801</v>
      </c>
      <c r="T193" s="122">
        <f>VLOOKUP($B193,'Tech Litons'!$A:$I,9,0)</f>
        <v>176</v>
      </c>
      <c r="U193" s="179">
        <f t="shared" si="118"/>
        <v>41.75</v>
      </c>
      <c r="V193" s="179">
        <f t="shared" si="119"/>
        <v>61.892045454545453</v>
      </c>
      <c r="W193" s="179">
        <f t="shared" si="120"/>
        <v>77.853579351436579</v>
      </c>
      <c r="X193" s="179">
        <f t="shared" si="121"/>
        <v>74.279180031743735</v>
      </c>
      <c r="Y193" s="179">
        <f t="shared" si="122"/>
        <v>85.208707934900517</v>
      </c>
      <c r="Z193" s="179">
        <f t="shared" si="123"/>
        <v>93.347016529157614</v>
      </c>
      <c r="AA193" s="179">
        <f t="shared" si="124"/>
        <v>89.42583341330122</v>
      </c>
      <c r="AB193" s="179">
        <f t="shared" si="125"/>
        <v>76.535972907619211</v>
      </c>
      <c r="AC193" s="179">
        <f t="shared" si="126"/>
        <v>65.233999293170882</v>
      </c>
      <c r="AD193" s="179">
        <f t="shared" si="127"/>
        <v>71.992435605785801</v>
      </c>
      <c r="AE193" s="179">
        <f t="shared" si="128"/>
        <v>70.352796564662455</v>
      </c>
      <c r="AF193" s="179">
        <f t="shared" si="129"/>
        <v>51.202329052869885</v>
      </c>
    </row>
    <row r="194" spans="2:32">
      <c r="B194" s="122">
        <f t="shared" si="116"/>
        <v>64413477</v>
      </c>
      <c r="C194" s="122" t="str">
        <f>VLOOKUP($B194,'Tech Litons'!$A:$I,3,0)</f>
        <v>B&amp;J Cups</v>
      </c>
      <c r="D194" s="122" t="str">
        <f>VLOOKUP($B194,'Tech Litons'!$A:$I,4,0)</f>
        <v>B&amp;J Cups</v>
      </c>
      <c r="E194" s="1021" t="s">
        <v>568</v>
      </c>
      <c r="F194" s="1021">
        <v>64413477</v>
      </c>
      <c r="G194" s="1023">
        <v>6363</v>
      </c>
      <c r="H194" s="1023">
        <v>6434</v>
      </c>
      <c r="I194" s="1023">
        <v>7054.1496619075197</v>
      </c>
      <c r="J194" s="1023">
        <v>8403.3518925053722</v>
      </c>
      <c r="K194" s="1023">
        <v>6838.15029355769</v>
      </c>
      <c r="L194" s="1023">
        <v>7420.9799705078121</v>
      </c>
      <c r="M194" s="1023">
        <v>9381.6653765069368</v>
      </c>
      <c r="N194" s="1023">
        <v>9058.9973573492498</v>
      </c>
      <c r="O194" s="1023">
        <v>8889.9452575583346</v>
      </c>
      <c r="P194" s="1023">
        <v>6364.7268227100813</v>
      </c>
      <c r="Q194" s="1023">
        <v>7797.8701783863771</v>
      </c>
      <c r="R194" s="1023">
        <v>6379.5901783863774</v>
      </c>
      <c r="S194" s="169">
        <f t="shared" si="117"/>
        <v>90386.426989375774</v>
      </c>
      <c r="T194" s="122">
        <f>VLOOKUP($B194,'Tech Litons'!$A:$I,9,0)</f>
        <v>468</v>
      </c>
      <c r="U194" s="179">
        <f t="shared" si="118"/>
        <v>13.596153846153847</v>
      </c>
      <c r="V194" s="179">
        <f t="shared" si="119"/>
        <v>13.747863247863247</v>
      </c>
      <c r="W194" s="179">
        <f t="shared" si="120"/>
        <v>15.072969363050255</v>
      </c>
      <c r="X194" s="179">
        <f t="shared" si="121"/>
        <v>17.955880112190965</v>
      </c>
      <c r="Y194" s="179">
        <f t="shared" si="122"/>
        <v>14.611432251191646</v>
      </c>
      <c r="Z194" s="179">
        <f t="shared" si="123"/>
        <v>15.856794808777376</v>
      </c>
      <c r="AA194" s="179">
        <f t="shared" si="124"/>
        <v>20.046293539544738</v>
      </c>
      <c r="AB194" s="179">
        <f t="shared" si="125"/>
        <v>19.356831960147968</v>
      </c>
      <c r="AC194" s="179">
        <f t="shared" si="126"/>
        <v>18.995609524697297</v>
      </c>
      <c r="AD194" s="179">
        <f t="shared" si="127"/>
        <v>13.599843638269405</v>
      </c>
      <c r="AE194" s="179">
        <f t="shared" si="128"/>
        <v>16.662115765782858</v>
      </c>
      <c r="AF194" s="179">
        <f t="shared" si="129"/>
        <v>13.631602945270037</v>
      </c>
    </row>
    <row r="195" spans="2:32">
      <c r="B195" s="122">
        <f t="shared" si="116"/>
        <v>68354590</v>
      </c>
      <c r="C195" s="122" t="str">
        <f>VLOOKUP($B195,'Tech Litons'!$A:$I,3,0)</f>
        <v>Topped</v>
      </c>
      <c r="D195" s="122" t="str">
        <f>VLOOKUP($B195,'Tech Litons'!$A:$I,4,0)</f>
        <v>SP1</v>
      </c>
      <c r="E195" s="1021" t="s">
        <v>376</v>
      </c>
      <c r="F195" s="1021">
        <v>68354590</v>
      </c>
      <c r="G195" s="1024">
        <v>7715</v>
      </c>
      <c r="H195" s="1023">
        <v>8630</v>
      </c>
      <c r="I195" s="1023">
        <v>12027.58768703179</v>
      </c>
      <c r="J195" s="1023">
        <v>7403.1025189705051</v>
      </c>
      <c r="K195" s="1023">
        <v>8561.0705739993173</v>
      </c>
      <c r="L195" s="1023">
        <v>10264.278800225286</v>
      </c>
      <c r="M195" s="1023">
        <v>9966.199089814143</v>
      </c>
      <c r="N195" s="1023">
        <v>10090.805143033434</v>
      </c>
      <c r="O195" s="1023">
        <v>7547.8557531233992</v>
      </c>
      <c r="P195" s="1023">
        <v>6575.8305639789642</v>
      </c>
      <c r="Q195" s="1023">
        <v>5850.1652277691428</v>
      </c>
      <c r="R195" s="1023">
        <v>4209.2682931661757</v>
      </c>
      <c r="S195" s="169">
        <f t="shared" si="117"/>
        <v>98841.163651112147</v>
      </c>
      <c r="T195" s="122">
        <f>VLOOKUP($B195,'Tech Litons'!$A:$I,9,0)</f>
        <v>240</v>
      </c>
      <c r="U195" s="179">
        <f t="shared" si="118"/>
        <v>32.145833333333336</v>
      </c>
      <c r="V195" s="179">
        <f t="shared" si="119"/>
        <v>35.958333333333336</v>
      </c>
      <c r="W195" s="179">
        <f t="shared" si="120"/>
        <v>50.114948695965793</v>
      </c>
      <c r="X195" s="179">
        <f t="shared" si="121"/>
        <v>30.846260495710439</v>
      </c>
      <c r="Y195" s="179">
        <f t="shared" si="122"/>
        <v>35.671127391663823</v>
      </c>
      <c r="Z195" s="179">
        <f t="shared" si="123"/>
        <v>42.767828334272025</v>
      </c>
      <c r="AA195" s="179">
        <f t="shared" si="124"/>
        <v>41.525829540892261</v>
      </c>
      <c r="AB195" s="179">
        <f t="shared" si="125"/>
        <v>42.045021429305976</v>
      </c>
      <c r="AC195" s="179">
        <f t="shared" si="126"/>
        <v>31.449398971347495</v>
      </c>
      <c r="AD195" s="179">
        <f t="shared" si="127"/>
        <v>27.399294016579017</v>
      </c>
      <c r="AE195" s="179">
        <f t="shared" si="128"/>
        <v>24.375688449038094</v>
      </c>
      <c r="AF195" s="179">
        <f t="shared" si="129"/>
        <v>17.538617888192398</v>
      </c>
    </row>
    <row r="196" spans="2:32">
      <c r="B196" s="122">
        <f t="shared" si="116"/>
        <v>64325624</v>
      </c>
      <c r="C196" s="122" t="str">
        <f>VLOOKUP($B196,'Tech Litons'!$A:$I,3,0)</f>
        <v>Yasso Poppables</v>
      </c>
      <c r="D196" s="122" t="str">
        <f>VLOOKUP($B196,'Tech Litons'!$A:$I,4,0)</f>
        <v>Yasso Poppables</v>
      </c>
      <c r="E196" s="1021" t="s">
        <v>577</v>
      </c>
      <c r="F196" s="1021">
        <v>64325624</v>
      </c>
      <c r="G196" s="1023">
        <v>3790</v>
      </c>
      <c r="H196" s="1023">
        <v>3378</v>
      </c>
      <c r="I196" s="1023">
        <v>4648.6589140943479</v>
      </c>
      <c r="J196" s="1023">
        <v>5235.5854121103457</v>
      </c>
      <c r="K196" s="1023">
        <v>5308.672405158688</v>
      </c>
      <c r="L196" s="1023">
        <v>6559.3406840541711</v>
      </c>
      <c r="M196" s="1023">
        <v>5897.5003478327144</v>
      </c>
      <c r="N196" s="1023">
        <v>5972.2993685404308</v>
      </c>
      <c r="O196" s="1023">
        <v>4314.3446406315124</v>
      </c>
      <c r="P196" s="1023">
        <v>0</v>
      </c>
      <c r="Q196" s="1023">
        <v>484.99296956035369</v>
      </c>
      <c r="R196" s="1023">
        <v>535.06296956035385</v>
      </c>
      <c r="S196" s="169">
        <f t="shared" si="117"/>
        <v>46124.45771154292</v>
      </c>
      <c r="T196" s="122">
        <f>VLOOKUP($B196,'Tech Litons'!$A:$I,9,0)</f>
        <v>200</v>
      </c>
      <c r="U196" s="179">
        <f t="shared" si="118"/>
        <v>18.95</v>
      </c>
      <c r="V196" s="179">
        <f t="shared" si="119"/>
        <v>16.89</v>
      </c>
      <c r="W196" s="179">
        <f t="shared" si="120"/>
        <v>23.24329457047174</v>
      </c>
      <c r="X196" s="179">
        <f t="shared" si="121"/>
        <v>26.177927060551728</v>
      </c>
      <c r="Y196" s="179">
        <f t="shared" si="122"/>
        <v>26.543362025793439</v>
      </c>
      <c r="Z196" s="179">
        <f t="shared" si="123"/>
        <v>32.796703420270859</v>
      </c>
      <c r="AA196" s="179">
        <f t="shared" si="124"/>
        <v>29.487501739163573</v>
      </c>
      <c r="AB196" s="179">
        <f t="shared" si="125"/>
        <v>29.861496842702152</v>
      </c>
      <c r="AC196" s="179">
        <f t="shared" si="126"/>
        <v>21.571723203157561</v>
      </c>
      <c r="AD196" s="179">
        <f t="shared" si="127"/>
        <v>0</v>
      </c>
      <c r="AE196" s="179">
        <f t="shared" si="128"/>
        <v>2.4249648478017685</v>
      </c>
      <c r="AF196" s="179">
        <f t="shared" si="129"/>
        <v>2.6753148478017694</v>
      </c>
    </row>
    <row r="197" spans="2:32">
      <c r="B197" s="122">
        <f t="shared" si="116"/>
        <v>84136043</v>
      </c>
      <c r="C197" s="122" t="str">
        <f>VLOOKUP($B197,'Tech Litons'!$A:$I,3,0)</f>
        <v>BJ PTS</v>
      </c>
      <c r="D197" s="122" t="str">
        <f>VLOOKUP($B197,'Tech Litons'!$A:$I,4,0)</f>
        <v>BJ PTS</v>
      </c>
      <c r="E197" s="1021" t="s">
        <v>390</v>
      </c>
      <c r="F197" s="1021">
        <v>84136043</v>
      </c>
      <c r="G197" s="1024">
        <v>10551</v>
      </c>
      <c r="H197" s="1023">
        <v>13057</v>
      </c>
      <c r="I197" s="1023">
        <v>17840.083627265376</v>
      </c>
      <c r="J197" s="1023">
        <v>12545.820714551945</v>
      </c>
      <c r="K197" s="1023">
        <v>15549.459718480439</v>
      </c>
      <c r="L197" s="1023">
        <v>17033.411618399459</v>
      </c>
      <c r="M197" s="1023">
        <v>17168.686870899062</v>
      </c>
      <c r="N197" s="1023">
        <v>15010.591543621164</v>
      </c>
      <c r="O197" s="1023">
        <v>12474.961214722067</v>
      </c>
      <c r="P197" s="1023">
        <v>12267.412984332084</v>
      </c>
      <c r="Q197" s="1023">
        <v>9239.6970242575244</v>
      </c>
      <c r="R197" s="1023">
        <v>8678.852824159354</v>
      </c>
      <c r="S197" s="169">
        <f t="shared" si="117"/>
        <v>161416.9781406885</v>
      </c>
      <c r="T197" s="122">
        <f>VLOOKUP($B197,'Tech Litons'!$A:$I,9,0)</f>
        <v>240</v>
      </c>
      <c r="U197" s="179">
        <f t="shared" si="118"/>
        <v>43.962499999999999</v>
      </c>
      <c r="V197" s="179">
        <f t="shared" si="119"/>
        <v>54.404166666666669</v>
      </c>
      <c r="W197" s="179">
        <f t="shared" si="120"/>
        <v>74.3336817802724</v>
      </c>
      <c r="X197" s="179">
        <f t="shared" si="121"/>
        <v>52.274252977299767</v>
      </c>
      <c r="Y197" s="179">
        <f t="shared" si="122"/>
        <v>64.7894154936685</v>
      </c>
      <c r="Z197" s="179">
        <f t="shared" si="123"/>
        <v>70.972548409997742</v>
      </c>
      <c r="AA197" s="179">
        <f t="shared" si="124"/>
        <v>71.536195295412753</v>
      </c>
      <c r="AB197" s="179">
        <f t="shared" si="125"/>
        <v>62.544131431754849</v>
      </c>
      <c r="AC197" s="179">
        <f t="shared" si="126"/>
        <v>51.979005061341944</v>
      </c>
      <c r="AD197" s="179">
        <f t="shared" si="127"/>
        <v>51.114220768050352</v>
      </c>
      <c r="AE197" s="179">
        <f t="shared" si="128"/>
        <v>38.498737601073017</v>
      </c>
      <c r="AF197" s="179">
        <f t="shared" si="129"/>
        <v>36.161886767330643</v>
      </c>
    </row>
    <row r="198" spans="2:32">
      <c r="B198" s="122">
        <f t="shared" si="116"/>
        <v>68917388</v>
      </c>
      <c r="C198" s="122" t="str">
        <f>VLOOKUP($B198,'Tech Litons'!$A:$I,3,0)</f>
        <v>EFW</v>
      </c>
      <c r="D198" s="122" t="str">
        <f>VLOOKUP($B198,'Tech Litons'!$A:$I,4,0)</f>
        <v>EFW</v>
      </c>
      <c r="E198" s="1022" t="s">
        <v>561</v>
      </c>
      <c r="F198" s="1022">
        <v>68917388</v>
      </c>
      <c r="G198" s="1025">
        <v>6668</v>
      </c>
      <c r="H198" s="1025">
        <v>5710</v>
      </c>
      <c r="I198" s="1025">
        <v>16084.87</v>
      </c>
      <c r="J198" s="1025">
        <v>17011.59</v>
      </c>
      <c r="K198" s="1025">
        <v>23250.41</v>
      </c>
      <c r="L198" s="1025">
        <v>23920.059999999998</v>
      </c>
      <c r="M198" s="1025">
        <v>18640.43</v>
      </c>
      <c r="N198" s="1025">
        <v>22108.81</v>
      </c>
      <c r="O198" s="1025">
        <v>15816.77</v>
      </c>
      <c r="P198" s="1025">
        <v>14629.32</v>
      </c>
      <c r="Q198" s="1025">
        <v>12550.05</v>
      </c>
      <c r="R198" s="1025">
        <v>11398.2</v>
      </c>
      <c r="S198" s="169">
        <f t="shared" si="117"/>
        <v>187788.51</v>
      </c>
      <c r="T198" s="122">
        <f>VLOOKUP($B198,'Tech Litons'!$A:$I,9,0)</f>
        <v>322</v>
      </c>
      <c r="U198" s="179">
        <f t="shared" si="118"/>
        <v>20.70807453416149</v>
      </c>
      <c r="V198" s="179">
        <f t="shared" si="119"/>
        <v>17.732919254658384</v>
      </c>
      <c r="W198" s="179">
        <f t="shared" si="120"/>
        <v>49.953012422360253</v>
      </c>
      <c r="X198" s="179">
        <f t="shared" si="121"/>
        <v>52.831024844720496</v>
      </c>
      <c r="Y198" s="179">
        <f t="shared" si="122"/>
        <v>72.206242236024849</v>
      </c>
      <c r="Z198" s="179">
        <f t="shared" si="123"/>
        <v>74.285900621118003</v>
      </c>
      <c r="AA198" s="179">
        <f t="shared" si="124"/>
        <v>57.889534161490687</v>
      </c>
      <c r="AB198" s="179">
        <f t="shared" si="125"/>
        <v>68.660900621118017</v>
      </c>
      <c r="AC198" s="179">
        <f t="shared" si="126"/>
        <v>49.120403726708076</v>
      </c>
      <c r="AD198" s="179">
        <f t="shared" si="127"/>
        <v>45.432670807453412</v>
      </c>
      <c r="AE198" s="179">
        <f t="shared" si="128"/>
        <v>38.975310559006211</v>
      </c>
      <c r="AF198" s="179">
        <f t="shared" si="129"/>
        <v>35.398136645962737</v>
      </c>
    </row>
    <row r="199" spans="2:32">
      <c r="B199" s="122">
        <f t="shared" si="116"/>
        <v>68860663</v>
      </c>
      <c r="C199" s="122" t="str">
        <f>VLOOKUP($B199,'Tech Litons'!$A:$I,3,0)</f>
        <v>Talenti</v>
      </c>
      <c r="D199" s="122" t="str">
        <f>VLOOKUP($B199,'Tech Litons'!$A:$I,4,0)</f>
        <v>Talenti</v>
      </c>
      <c r="E199" s="1021" t="s">
        <v>433</v>
      </c>
      <c r="F199" s="1021">
        <v>68860663</v>
      </c>
      <c r="G199" s="1023">
        <v>9925</v>
      </c>
      <c r="H199" s="1023">
        <v>12049</v>
      </c>
      <c r="I199" s="1023">
        <v>16518.021295056995</v>
      </c>
      <c r="J199" s="1023">
        <v>15668.809781818898</v>
      </c>
      <c r="K199" s="1023">
        <v>16862.935190757325</v>
      </c>
      <c r="L199" s="1023">
        <v>18267.697725844857</v>
      </c>
      <c r="M199" s="1023">
        <v>16084.112410150483</v>
      </c>
      <c r="N199" s="1023">
        <v>12799.757952017973</v>
      </c>
      <c r="O199" s="1023">
        <v>14687.201252331097</v>
      </c>
      <c r="P199" s="1023">
        <v>12848.315702917995</v>
      </c>
      <c r="Q199" s="1023">
        <v>12020.03115938295</v>
      </c>
      <c r="R199" s="1023">
        <v>7957.0826016088204</v>
      </c>
      <c r="S199" s="169">
        <f t="shared" si="117"/>
        <v>165687.96507188739</v>
      </c>
      <c r="T199" s="122">
        <f>VLOOKUP($B199,'Tech Litons'!$A:$I,9,0)</f>
        <v>255</v>
      </c>
      <c r="U199" s="179">
        <f t="shared" si="118"/>
        <v>38.921568627450981</v>
      </c>
      <c r="V199" s="179">
        <f t="shared" si="119"/>
        <v>47.250980392156862</v>
      </c>
      <c r="W199" s="179">
        <f t="shared" si="120"/>
        <v>64.776554098262721</v>
      </c>
      <c r="X199" s="179">
        <f t="shared" si="121"/>
        <v>61.446312869878028</v>
      </c>
      <c r="Y199" s="179">
        <f t="shared" si="122"/>
        <v>66.129157610813039</v>
      </c>
      <c r="Z199" s="179">
        <f t="shared" si="123"/>
        <v>71.638030297430817</v>
      </c>
      <c r="AA199" s="179">
        <f t="shared" si="124"/>
        <v>63.074950628041108</v>
      </c>
      <c r="AB199" s="179">
        <f t="shared" si="125"/>
        <v>50.195129223599892</v>
      </c>
      <c r="AC199" s="179">
        <f t="shared" si="126"/>
        <v>57.596867656200381</v>
      </c>
      <c r="AD199" s="179">
        <f t="shared" si="127"/>
        <v>50.385551776149001</v>
      </c>
      <c r="AE199" s="179">
        <f t="shared" si="128"/>
        <v>47.137377095619414</v>
      </c>
      <c r="AF199" s="179">
        <f t="shared" si="129"/>
        <v>31.204245496505177</v>
      </c>
    </row>
    <row r="200" spans="2:32">
      <c r="B200" s="122">
        <f t="shared" si="116"/>
        <v>69798155</v>
      </c>
      <c r="C200" s="122" t="str">
        <f>VLOOKUP($B200,'Tech Litons'!$A:$I,3,0)</f>
        <v>Quarts</v>
      </c>
      <c r="D200" s="122" t="str">
        <f>VLOOKUP($B200,'Tech Litons'!$A:$I,4,0)</f>
        <v>Other</v>
      </c>
      <c r="E200" s="1021" t="s">
        <v>1099</v>
      </c>
      <c r="F200" s="1021">
        <v>69798155</v>
      </c>
      <c r="G200" s="1023">
        <v>2041</v>
      </c>
      <c r="H200" s="1023">
        <v>2296</v>
      </c>
      <c r="I200" s="1023">
        <v>5699.9667878201726</v>
      </c>
      <c r="J200" s="1023">
        <v>4855.3167409284943</v>
      </c>
      <c r="K200" s="1023">
        <v>2365.921723319103</v>
      </c>
      <c r="L200" s="1023">
        <v>6232.6618523212373</v>
      </c>
      <c r="M200" s="1023">
        <v>4432.25</v>
      </c>
      <c r="N200" s="1023">
        <v>3303.35</v>
      </c>
      <c r="O200" s="1023">
        <v>3608.7000000000007</v>
      </c>
      <c r="P200" s="1023">
        <v>3467.2332590715041</v>
      </c>
      <c r="Q200" s="1023">
        <v>2735.0499999999997</v>
      </c>
      <c r="R200" s="1023">
        <v>2561.3399999999997</v>
      </c>
      <c r="S200" s="169">
        <f t="shared" si="117"/>
        <v>43598.79036346051</v>
      </c>
      <c r="T200" s="122">
        <f>VLOOKUP($B200,'Tech Litons'!$A:$I,9,0)</f>
        <v>182</v>
      </c>
      <c r="U200" s="179">
        <f t="shared" si="118"/>
        <v>11.214285714285714</v>
      </c>
      <c r="V200" s="179">
        <f t="shared" si="119"/>
        <v>12.615384615384615</v>
      </c>
      <c r="W200" s="179">
        <f t="shared" si="120"/>
        <v>31.318498834176772</v>
      </c>
      <c r="X200" s="179">
        <f t="shared" si="121"/>
        <v>26.677564510596124</v>
      </c>
      <c r="Y200" s="179">
        <f t="shared" si="122"/>
        <v>12.99956990834672</v>
      </c>
      <c r="Z200" s="179">
        <f t="shared" si="123"/>
        <v>34.245394792973833</v>
      </c>
      <c r="AA200" s="179">
        <f t="shared" si="124"/>
        <v>24.353021978021978</v>
      </c>
      <c r="AB200" s="179">
        <f t="shared" si="125"/>
        <v>18.150274725274723</v>
      </c>
      <c r="AC200" s="179">
        <f t="shared" si="126"/>
        <v>19.828021978021983</v>
      </c>
      <c r="AD200" s="179">
        <f t="shared" si="127"/>
        <v>19.050732192700572</v>
      </c>
      <c r="AE200" s="179">
        <f t="shared" si="128"/>
        <v>15.02774725274725</v>
      </c>
      <c r="AF200" s="179">
        <f t="shared" si="129"/>
        <v>14.073296703296702</v>
      </c>
    </row>
    <row r="201" spans="2:32">
      <c r="B201" s="122">
        <f t="shared" si="116"/>
        <v>68769685</v>
      </c>
      <c r="C201" s="122" t="str">
        <f>VLOOKUP($B201,'Tech Litons'!$A:$I,3,0)</f>
        <v>48oz</v>
      </c>
      <c r="D201" s="122" t="str">
        <f>VLOOKUP($B201,'Tech Litons'!$A:$I,4,0)</f>
        <v>48oz</v>
      </c>
      <c r="E201" s="1021" t="s">
        <v>409</v>
      </c>
      <c r="F201" s="1021">
        <v>68769685</v>
      </c>
      <c r="G201" s="1023">
        <v>5346</v>
      </c>
      <c r="H201" s="1023">
        <v>7634</v>
      </c>
      <c r="I201" s="1023">
        <v>9547.774175458946</v>
      </c>
      <c r="J201" s="1023">
        <v>7444.437171206393</v>
      </c>
      <c r="K201" s="1023">
        <v>10799.812489808155</v>
      </c>
      <c r="L201" s="1023">
        <v>12246.32621375411</v>
      </c>
      <c r="M201" s="1023">
        <v>9090.4953970789975</v>
      </c>
      <c r="N201" s="1023">
        <v>7853.2545871230868</v>
      </c>
      <c r="O201" s="1023">
        <v>6218.7584805379856</v>
      </c>
      <c r="P201" s="1023">
        <v>7075.5936644015455</v>
      </c>
      <c r="Q201" s="1023">
        <v>8838.131839977088</v>
      </c>
      <c r="R201" s="1023">
        <v>6013.0689806679948</v>
      </c>
      <c r="S201" s="169">
        <f t="shared" si="117"/>
        <v>98107.65300001431</v>
      </c>
      <c r="T201" s="122">
        <f>VLOOKUP($B201,'Tech Litons'!$A:$I,9,0)</f>
        <v>176</v>
      </c>
      <c r="U201" s="179">
        <f t="shared" si="118"/>
        <v>30.375</v>
      </c>
      <c r="V201" s="179">
        <f t="shared" si="119"/>
        <v>43.375</v>
      </c>
      <c r="W201" s="179">
        <f t="shared" si="120"/>
        <v>54.248716906016739</v>
      </c>
      <c r="X201" s="179">
        <f t="shared" si="121"/>
        <v>42.297938472763597</v>
      </c>
      <c r="Y201" s="179">
        <f t="shared" si="122"/>
        <v>61.362570964819064</v>
      </c>
      <c r="Z201" s="179">
        <f t="shared" si="123"/>
        <v>69.581398941784713</v>
      </c>
      <c r="AA201" s="179">
        <f t="shared" si="124"/>
        <v>51.650542028857942</v>
      </c>
      <c r="AB201" s="179">
        <f t="shared" si="125"/>
        <v>44.62076469956299</v>
      </c>
      <c r="AC201" s="179">
        <f t="shared" si="126"/>
        <v>35.333855003056733</v>
      </c>
      <c r="AD201" s="179">
        <f t="shared" si="127"/>
        <v>40.202236729554237</v>
      </c>
      <c r="AE201" s="179">
        <f t="shared" si="128"/>
        <v>50.216658181687997</v>
      </c>
      <c r="AF201" s="179">
        <f t="shared" si="129"/>
        <v>34.165164662886333</v>
      </c>
    </row>
    <row r="202" spans="2:32">
      <c r="B202" s="122">
        <f t="shared" si="116"/>
        <v>69999266</v>
      </c>
      <c r="C202" s="122" t="str">
        <f>VLOOKUP($B202,'Tech Litons'!$A:$I,3,0)</f>
        <v>BJ PTS</v>
      </c>
      <c r="D202" s="122" t="str">
        <f>VLOOKUP($B202,'Tech Litons'!$A:$I,4,0)</f>
        <v>BJ PTS</v>
      </c>
      <c r="E202" s="1021" t="s">
        <v>298</v>
      </c>
      <c r="F202" s="1021">
        <v>69999266</v>
      </c>
      <c r="G202" s="1023">
        <v>8911</v>
      </c>
      <c r="H202" s="1023">
        <v>11328</v>
      </c>
      <c r="I202" s="1023">
        <v>15479.481571300059</v>
      </c>
      <c r="J202" s="1023">
        <v>13425.722330994055</v>
      </c>
      <c r="K202" s="1023">
        <v>14034.785875674563</v>
      </c>
      <c r="L202" s="1023">
        <v>14977.413757433169</v>
      </c>
      <c r="M202" s="1023">
        <v>12811.351875894443</v>
      </c>
      <c r="N202" s="1023">
        <v>11482.932149604409</v>
      </c>
      <c r="O202" s="1023">
        <v>9091.6509584618725</v>
      </c>
      <c r="P202" s="1023">
        <v>10126.87109981627</v>
      </c>
      <c r="Q202" s="1023">
        <v>9745.0827725758481</v>
      </c>
      <c r="R202" s="1023">
        <v>7137.2836615306578</v>
      </c>
      <c r="S202" s="169">
        <f t="shared" si="117"/>
        <v>138551.57605328533</v>
      </c>
      <c r="T202" s="122">
        <f>VLOOKUP($B202,'Tech Litons'!$A:$I,9,0)</f>
        <v>240</v>
      </c>
      <c r="U202" s="179">
        <f t="shared" si="118"/>
        <v>37.12916666666667</v>
      </c>
      <c r="V202" s="179">
        <f t="shared" si="119"/>
        <v>47.2</v>
      </c>
      <c r="W202" s="179">
        <f t="shared" si="120"/>
        <v>64.497839880416919</v>
      </c>
      <c r="X202" s="179">
        <f t="shared" si="121"/>
        <v>55.940509712475226</v>
      </c>
      <c r="Y202" s="179">
        <f t="shared" si="122"/>
        <v>58.478274481977344</v>
      </c>
      <c r="Z202" s="179">
        <f t="shared" si="123"/>
        <v>62.40589065597154</v>
      </c>
      <c r="AA202" s="179">
        <f t="shared" si="124"/>
        <v>53.380632816226843</v>
      </c>
      <c r="AB202" s="179">
        <f t="shared" si="125"/>
        <v>47.845550623351706</v>
      </c>
      <c r="AC202" s="179">
        <f t="shared" si="126"/>
        <v>37.881878993591137</v>
      </c>
      <c r="AD202" s="179">
        <f t="shared" si="127"/>
        <v>42.19529624923446</v>
      </c>
      <c r="AE202" s="179">
        <f t="shared" si="128"/>
        <v>40.604511552399366</v>
      </c>
      <c r="AF202" s="179">
        <f t="shared" si="129"/>
        <v>29.738681923044407</v>
      </c>
    </row>
    <row r="203" spans="2:32">
      <c r="B203" s="122">
        <f t="shared" si="116"/>
        <v>64782365</v>
      </c>
      <c r="C203" s="122" t="str">
        <f>VLOOKUP($B203,'Tech Litons'!$A:$I,3,0)</f>
        <v>MG Sticks</v>
      </c>
      <c r="D203" s="122" t="str">
        <f>VLOOKUP($B203,'Tech Litons'!$A:$I,4,0)</f>
        <v>MG Sticks</v>
      </c>
      <c r="E203" s="1021" t="s">
        <v>1028</v>
      </c>
      <c r="F203" s="1021">
        <v>64782365</v>
      </c>
      <c r="G203" s="1023">
        <v>3276</v>
      </c>
      <c r="H203" s="1023">
        <v>2781</v>
      </c>
      <c r="I203" s="1023">
        <v>2063.5754693697863</v>
      </c>
      <c r="J203" s="1023">
        <v>3352.5230574442521</v>
      </c>
      <c r="K203" s="1023">
        <v>3515.3728745592362</v>
      </c>
      <c r="L203" s="1023">
        <v>3736.1230356151714</v>
      </c>
      <c r="M203" s="1023">
        <v>4813.9562798634443</v>
      </c>
      <c r="N203" s="1023">
        <v>3898.4892512818433</v>
      </c>
      <c r="O203" s="1023">
        <v>1949.9183484713635</v>
      </c>
      <c r="P203" s="1023">
        <v>3326.6748012349931</v>
      </c>
      <c r="Q203" s="1023">
        <v>1843.9937568068203</v>
      </c>
      <c r="R203" s="1023">
        <v>1968.3459677427295</v>
      </c>
      <c r="S203" s="169">
        <f t="shared" si="117"/>
        <v>36525.972842389645</v>
      </c>
      <c r="T203" s="122">
        <f>VLOOKUP($B203,'Tech Litons'!$A:$I,9,0)</f>
        <v>210</v>
      </c>
      <c r="U203" s="179">
        <f t="shared" si="118"/>
        <v>15.6</v>
      </c>
      <c r="V203" s="179">
        <f t="shared" si="119"/>
        <v>13.242857142857142</v>
      </c>
      <c r="W203" s="179">
        <f t="shared" si="120"/>
        <v>9.8265498541418399</v>
      </c>
      <c r="X203" s="179">
        <f t="shared" si="121"/>
        <v>15.964395511639296</v>
      </c>
      <c r="Y203" s="179">
        <f t="shared" si="122"/>
        <v>16.739870831234459</v>
      </c>
      <c r="Z203" s="179">
        <f t="shared" si="123"/>
        <v>17.79106207435796</v>
      </c>
      <c r="AA203" s="179">
        <f t="shared" si="124"/>
        <v>22.923601332683067</v>
      </c>
      <c r="AB203" s="179">
        <f t="shared" si="125"/>
        <v>18.564234529913538</v>
      </c>
      <c r="AC203" s="179">
        <f t="shared" si="126"/>
        <v>9.285325468911255</v>
      </c>
      <c r="AD203" s="179">
        <f t="shared" si="127"/>
        <v>15.841308577309491</v>
      </c>
      <c r="AE203" s="179">
        <f t="shared" si="128"/>
        <v>8.780922651461049</v>
      </c>
      <c r="AF203" s="179">
        <f t="shared" si="129"/>
        <v>9.37307603687014</v>
      </c>
    </row>
    <row r="204" spans="2:32">
      <c r="B204" s="122">
        <f t="shared" si="116"/>
        <v>84164937</v>
      </c>
      <c r="C204" s="122" t="str">
        <f>VLOOKUP($B204,'Tech Litons'!$A:$I,3,0)</f>
        <v>BJ PTS</v>
      </c>
      <c r="D204" s="122" t="str">
        <f>VLOOKUP($B204,'Tech Litons'!$A:$I,4,0)</f>
        <v>BJ PTS</v>
      </c>
      <c r="E204" s="1021" t="s">
        <v>371</v>
      </c>
      <c r="F204" s="1021">
        <v>84164937</v>
      </c>
      <c r="G204" s="1023">
        <v>8890</v>
      </c>
      <c r="H204" s="1023">
        <v>17299</v>
      </c>
      <c r="I204" s="1023">
        <v>18238.10852389858</v>
      </c>
      <c r="J204" s="1023">
        <v>13310.335219636565</v>
      </c>
      <c r="K204" s="1023">
        <v>13989.504339299172</v>
      </c>
      <c r="L204" s="1023">
        <v>17588.258079487681</v>
      </c>
      <c r="M204" s="1023">
        <v>14761.896804340369</v>
      </c>
      <c r="N204" s="1023">
        <v>14101.824769996656</v>
      </c>
      <c r="O204" s="1023">
        <v>12767.547862957666</v>
      </c>
      <c r="P204" s="1023">
        <v>10882.055379857484</v>
      </c>
      <c r="Q204" s="1023">
        <v>10659.419100531417</v>
      </c>
      <c r="R204" s="1023">
        <v>9784.7685684426688</v>
      </c>
      <c r="S204" s="169">
        <f t="shared" si="117"/>
        <v>162272.71864844827</v>
      </c>
      <c r="T204" s="122">
        <f>VLOOKUP($B204,'Tech Litons'!$A:$I,9,0)</f>
        <v>240</v>
      </c>
      <c r="U204" s="179">
        <f t="shared" si="118"/>
        <v>37.041666666666664</v>
      </c>
      <c r="V204" s="179">
        <f t="shared" si="119"/>
        <v>72.079166666666666</v>
      </c>
      <c r="W204" s="179">
        <f t="shared" si="120"/>
        <v>75.992118849577409</v>
      </c>
      <c r="X204" s="179">
        <f t="shared" si="121"/>
        <v>55.459730081819018</v>
      </c>
      <c r="Y204" s="179">
        <f t="shared" si="122"/>
        <v>58.289601413746553</v>
      </c>
      <c r="Z204" s="179">
        <f t="shared" si="123"/>
        <v>73.284408664532009</v>
      </c>
      <c r="AA204" s="179">
        <f t="shared" si="124"/>
        <v>61.507903351418207</v>
      </c>
      <c r="AB204" s="179">
        <f t="shared" si="125"/>
        <v>58.757603208319402</v>
      </c>
      <c r="AC204" s="179">
        <f t="shared" si="126"/>
        <v>53.198116095656943</v>
      </c>
      <c r="AD204" s="179">
        <f t="shared" si="127"/>
        <v>45.341897416072847</v>
      </c>
      <c r="AE204" s="179">
        <f t="shared" si="128"/>
        <v>44.414246252214234</v>
      </c>
      <c r="AF204" s="179">
        <f t="shared" si="129"/>
        <v>40.769869035177784</v>
      </c>
    </row>
    <row r="205" spans="2:32">
      <c r="B205" s="122">
        <f t="shared" si="116"/>
        <v>68730252</v>
      </c>
      <c r="C205" s="122" t="str">
        <f>VLOOKUP($B205,'Tech Litons'!$A:$I,3,0)</f>
        <v>TALENTI</v>
      </c>
      <c r="D205" s="122" t="str">
        <f>VLOOKUP($B205,'Tech Litons'!$A:$I,4,0)</f>
        <v>TALENTI</v>
      </c>
      <c r="E205" s="1021" t="s">
        <v>458</v>
      </c>
      <c r="F205" s="1021">
        <v>68730252</v>
      </c>
      <c r="G205" s="1023">
        <v>7917</v>
      </c>
      <c r="H205" s="1023">
        <v>12479</v>
      </c>
      <c r="I205" s="1023">
        <v>14640.821405056538</v>
      </c>
      <c r="J205" s="1023">
        <v>15278.889997885311</v>
      </c>
      <c r="K205" s="1023">
        <v>15016.216920948535</v>
      </c>
      <c r="L205" s="1023">
        <v>17457.11550077076</v>
      </c>
      <c r="M205" s="1023">
        <v>13679.327466828625</v>
      </c>
      <c r="N205" s="1023">
        <v>11583.657300805575</v>
      </c>
      <c r="O205" s="1023">
        <v>12570.711232294288</v>
      </c>
      <c r="P205" s="1023">
        <v>12621.890676458044</v>
      </c>
      <c r="Q205" s="1023">
        <v>11423.613347511198</v>
      </c>
      <c r="R205" s="1023">
        <v>7399.9423619458366</v>
      </c>
      <c r="S205" s="169">
        <f t="shared" si="117"/>
        <v>152068.1862105047</v>
      </c>
      <c r="T205" s="122">
        <f>VLOOKUP($B205,'Tech Litons'!$A:$I,9,0)</f>
        <v>255</v>
      </c>
      <c r="U205" s="179">
        <f t="shared" si="118"/>
        <v>31.047058823529412</v>
      </c>
      <c r="V205" s="179">
        <f t="shared" si="119"/>
        <v>48.937254901960785</v>
      </c>
      <c r="W205" s="179">
        <f t="shared" si="120"/>
        <v>57.414985902182501</v>
      </c>
      <c r="X205" s="179">
        <f t="shared" si="121"/>
        <v>59.917215677981616</v>
      </c>
      <c r="Y205" s="179">
        <f t="shared" si="122"/>
        <v>58.887125180190331</v>
      </c>
      <c r="Z205" s="179">
        <f t="shared" si="123"/>
        <v>68.459276473610828</v>
      </c>
      <c r="AA205" s="179">
        <f t="shared" si="124"/>
        <v>53.644421438543624</v>
      </c>
      <c r="AB205" s="179">
        <f t="shared" si="125"/>
        <v>45.426107061982648</v>
      </c>
      <c r="AC205" s="179">
        <f t="shared" si="126"/>
        <v>49.296906793310939</v>
      </c>
      <c r="AD205" s="179">
        <f t="shared" si="127"/>
        <v>49.497610495913897</v>
      </c>
      <c r="AE205" s="179">
        <f t="shared" si="128"/>
        <v>44.798483715730193</v>
      </c>
      <c r="AF205" s="179">
        <f t="shared" si="129"/>
        <v>29.0193818115523</v>
      </c>
    </row>
    <row r="206" spans="2:32">
      <c r="B206" s="122">
        <f t="shared" si="116"/>
        <v>68709237</v>
      </c>
      <c r="C206" s="122" t="str">
        <f>VLOOKUP($B206,'Tech Litons'!$A:$I,3,0)</f>
        <v>EDF</v>
      </c>
      <c r="D206" s="122" t="str">
        <f>VLOOKUP($B206,'Tech Litons'!$A:$I,4,0)</f>
        <v>EDF</v>
      </c>
      <c r="E206" s="1021" t="s">
        <v>1020</v>
      </c>
      <c r="F206" s="1021">
        <v>68709237</v>
      </c>
      <c r="G206" s="1023">
        <v>10812</v>
      </c>
      <c r="H206" s="1023">
        <v>10104</v>
      </c>
      <c r="I206" s="1023">
        <v>17850.428714277881</v>
      </c>
      <c r="J206" s="1023">
        <v>14129.51692933841</v>
      </c>
      <c r="K206" s="1023">
        <v>16099.847221736825</v>
      </c>
      <c r="L206" s="1023">
        <v>19974.569209230343</v>
      </c>
      <c r="M206" s="1023">
        <v>20962.419742500457</v>
      </c>
      <c r="N206" s="1023">
        <v>16092.743920492918</v>
      </c>
      <c r="O206" s="1023">
        <v>11584.285749411256</v>
      </c>
      <c r="P206" s="1023">
        <v>16335.125919449181</v>
      </c>
      <c r="Q206" s="1023">
        <v>8838.1110611456861</v>
      </c>
      <c r="R206" s="1023">
        <v>7891.1212218197707</v>
      </c>
      <c r="S206" s="169">
        <f t="shared" si="117"/>
        <v>170674.16968940274</v>
      </c>
      <c r="T206" s="122">
        <f>VLOOKUP($B206,'Tech Litons'!$A:$I,9,0)</f>
        <v>132</v>
      </c>
      <c r="U206" s="179">
        <f t="shared" si="118"/>
        <v>81.909090909090907</v>
      </c>
      <c r="V206" s="179">
        <f t="shared" si="119"/>
        <v>76.545454545454547</v>
      </c>
      <c r="W206" s="179">
        <f t="shared" si="120"/>
        <v>135.23052056271123</v>
      </c>
      <c r="X206" s="179">
        <f t="shared" si="121"/>
        <v>107.04179491923037</v>
      </c>
      <c r="Y206" s="179">
        <f t="shared" si="122"/>
        <v>121.96853955861231</v>
      </c>
      <c r="Z206" s="179">
        <f t="shared" si="123"/>
        <v>151.32249400932079</v>
      </c>
      <c r="AA206" s="179">
        <f t="shared" si="124"/>
        <v>158.806210170458</v>
      </c>
      <c r="AB206" s="179">
        <f t="shared" si="125"/>
        <v>121.9147266704009</v>
      </c>
      <c r="AC206" s="179">
        <f t="shared" si="126"/>
        <v>87.759740525842844</v>
      </c>
      <c r="AD206" s="179">
        <f t="shared" si="127"/>
        <v>123.75095393522108</v>
      </c>
      <c r="AE206" s="179">
        <f t="shared" si="128"/>
        <v>66.955386826861258</v>
      </c>
      <c r="AF206" s="179">
        <f t="shared" si="129"/>
        <v>59.781221377422504</v>
      </c>
    </row>
    <row r="207" spans="2:32">
      <c r="B207" s="122">
        <f t="shared" si="116"/>
        <v>68860129</v>
      </c>
      <c r="C207" s="122" t="str">
        <f>VLOOKUP($B207,'Tech Litons'!$A:$I,3,0)</f>
        <v>Talenti</v>
      </c>
      <c r="D207" s="122" t="str">
        <f>VLOOKUP($B207,'Tech Litons'!$A:$I,4,0)</f>
        <v>Talenti</v>
      </c>
      <c r="E207" s="1021" t="s">
        <v>502</v>
      </c>
      <c r="F207" s="1021">
        <v>68860129</v>
      </c>
      <c r="G207" s="1023">
        <v>8970</v>
      </c>
      <c r="H207" s="1023">
        <v>11355</v>
      </c>
      <c r="I207" s="1023">
        <v>14750.892418529571</v>
      </c>
      <c r="J207" s="1023">
        <v>15232.817812547679</v>
      </c>
      <c r="K207" s="1023">
        <v>15268.317457535653</v>
      </c>
      <c r="L207" s="1023">
        <v>16458.636930494071</v>
      </c>
      <c r="M207" s="1023">
        <v>14894.177571307504</v>
      </c>
      <c r="N207" s="1023">
        <v>12286.979999660123</v>
      </c>
      <c r="O207" s="1023">
        <v>12540.64273597795</v>
      </c>
      <c r="P207" s="1023">
        <v>12043.452686216675</v>
      </c>
      <c r="Q207" s="1023">
        <v>11200.411163345956</v>
      </c>
      <c r="R207" s="1023">
        <v>5916.0727913792934</v>
      </c>
      <c r="S207" s="169">
        <f t="shared" si="117"/>
        <v>150917.40156699449</v>
      </c>
      <c r="T207" s="122">
        <f>VLOOKUP($B207,'Tech Litons'!$A:$I,9,0)</f>
        <v>255</v>
      </c>
      <c r="U207" s="179">
        <f t="shared" si="118"/>
        <v>35.176470588235297</v>
      </c>
      <c r="V207" s="179">
        <f t="shared" si="119"/>
        <v>44.529411764705884</v>
      </c>
      <c r="W207" s="179">
        <f t="shared" si="120"/>
        <v>57.846636935410082</v>
      </c>
      <c r="X207" s="179">
        <f t="shared" si="121"/>
        <v>59.736540441363445</v>
      </c>
      <c r="Y207" s="179">
        <f t="shared" si="122"/>
        <v>59.875754735433937</v>
      </c>
      <c r="Z207" s="179">
        <f t="shared" si="123"/>
        <v>64.543674237231656</v>
      </c>
      <c r="AA207" s="179">
        <f t="shared" si="124"/>
        <v>58.408539495323545</v>
      </c>
      <c r="AB207" s="179">
        <f t="shared" si="125"/>
        <v>48.184235292784798</v>
      </c>
      <c r="AC207" s="179">
        <f t="shared" si="126"/>
        <v>49.178991121482156</v>
      </c>
      <c r="AD207" s="179">
        <f t="shared" si="127"/>
        <v>47.229226220457548</v>
      </c>
      <c r="AE207" s="179">
        <f t="shared" si="128"/>
        <v>43.923181032729239</v>
      </c>
      <c r="AF207" s="179">
        <f t="shared" si="129"/>
        <v>23.200285456389388</v>
      </c>
    </row>
    <row r="208" spans="2:32">
      <c r="B208" s="122">
        <f t="shared" ref="B208:B269" si="130">F208</f>
        <v>62678153</v>
      </c>
      <c r="C208" s="122" t="str">
        <f>VLOOKUP($B208,'Tech Litons'!$A:$I,3,0)</f>
        <v>BJ PTS</v>
      </c>
      <c r="D208" s="122" t="str">
        <f>VLOOKUP($B208,'Tech Litons'!$A:$I,4,0)</f>
        <v>BJ PTS</v>
      </c>
      <c r="E208" s="1021" t="s">
        <v>966</v>
      </c>
      <c r="F208" s="1021">
        <v>62678153</v>
      </c>
      <c r="G208" s="1023">
        <v>13517</v>
      </c>
      <c r="H208" s="1023">
        <v>11977</v>
      </c>
      <c r="I208" s="1023">
        <v>14051.576802124502</v>
      </c>
      <c r="J208" s="1023">
        <v>14080.430385134636</v>
      </c>
      <c r="K208" s="1023">
        <v>14671.291296888372</v>
      </c>
      <c r="L208" s="1023">
        <v>17334.824452915414</v>
      </c>
      <c r="M208" s="1023">
        <v>13450.626178401481</v>
      </c>
      <c r="N208" s="1023">
        <v>14963.10851778798</v>
      </c>
      <c r="O208" s="1023">
        <v>11814.493807500885</v>
      </c>
      <c r="P208" s="1023">
        <v>10250.036492301087</v>
      </c>
      <c r="Q208" s="1023">
        <v>10833.416563202833</v>
      </c>
      <c r="R208" s="1023">
        <v>10807.863832764137</v>
      </c>
      <c r="S208" s="169">
        <f t="shared" ref="S208:S271" si="131">SUM(G208:R208)</f>
        <v>157751.66832902131</v>
      </c>
      <c r="T208" s="122">
        <f>VLOOKUP($B208,'Tech Litons'!$A:$I,9,0)</f>
        <v>240</v>
      </c>
      <c r="U208" s="179">
        <f t="shared" ref="U208:U271" si="132">G208/$T208</f>
        <v>56.320833333333333</v>
      </c>
      <c r="V208" s="179">
        <f t="shared" ref="V208:V271" si="133">H208/$T208</f>
        <v>49.904166666666669</v>
      </c>
      <c r="W208" s="179">
        <f t="shared" ref="W208:W271" si="134">I208/$T208</f>
        <v>58.548236675518758</v>
      </c>
      <c r="X208" s="179">
        <f t="shared" ref="X208:X271" si="135">J208/$T208</f>
        <v>58.668459938060984</v>
      </c>
      <c r="Y208" s="179">
        <f t="shared" ref="Y208:Y271" si="136">K208/$T208</f>
        <v>61.130380403701551</v>
      </c>
      <c r="Z208" s="179">
        <f t="shared" ref="Z208:Z271" si="137">L208/$T208</f>
        <v>72.22843522048089</v>
      </c>
      <c r="AA208" s="179">
        <f t="shared" ref="AA208:AA271" si="138">M208/$T208</f>
        <v>56.044275743339504</v>
      </c>
      <c r="AB208" s="179">
        <f t="shared" ref="AB208:AB271" si="139">N208/$T208</f>
        <v>62.346285490783245</v>
      </c>
      <c r="AC208" s="179">
        <f t="shared" ref="AC208:AC271" si="140">O208/$T208</f>
        <v>49.227057531253685</v>
      </c>
      <c r="AD208" s="179">
        <f t="shared" ref="AD208:AD271" si="141">P208/$T208</f>
        <v>42.708485384587867</v>
      </c>
      <c r="AE208" s="179">
        <f t="shared" ref="AE208:AE271" si="142">Q208/$T208</f>
        <v>45.139235680011801</v>
      </c>
      <c r="AF208" s="179">
        <f t="shared" ref="AF208:AF271" si="143">R208/$T208</f>
        <v>45.032765969850566</v>
      </c>
    </row>
    <row r="209" spans="2:32">
      <c r="B209" s="122">
        <f t="shared" si="130"/>
        <v>64387483</v>
      </c>
      <c r="C209" s="122" t="str">
        <f>VLOOKUP($B209,'Tech Litons'!$A:$I,3,0)</f>
        <v>BJ PTS</v>
      </c>
      <c r="D209" s="122" t="str">
        <f>VLOOKUP($B209,'Tech Litons'!$A:$I,4,0)</f>
        <v>BJ PTS</v>
      </c>
      <c r="E209" s="1021" t="s">
        <v>493</v>
      </c>
      <c r="F209" s="1021">
        <v>64387483</v>
      </c>
      <c r="G209" s="1023">
        <v>5431</v>
      </c>
      <c r="H209" s="1023">
        <v>5770</v>
      </c>
      <c r="I209" s="1023">
        <v>2706.1077340538814</v>
      </c>
      <c r="J209" s="1023">
        <v>1468.7912413168274</v>
      </c>
      <c r="K209" s="1023">
        <v>1505.5977181684016</v>
      </c>
      <c r="L209" s="1023">
        <v>2563.2464221035443</v>
      </c>
      <c r="M209" s="1023">
        <v>2734.5542693081984</v>
      </c>
      <c r="N209" s="1023">
        <v>1827.778141046831</v>
      </c>
      <c r="O209" s="1023">
        <v>2563.7582436406997</v>
      </c>
      <c r="P209" s="1023">
        <v>1339.1210811425706</v>
      </c>
      <c r="Q209" s="1023">
        <v>1265.3008191495537</v>
      </c>
      <c r="R209" s="1023">
        <v>734.70906009230998</v>
      </c>
      <c r="S209" s="169">
        <f t="shared" si="131"/>
        <v>29909.964730022817</v>
      </c>
      <c r="T209" s="122">
        <f>VLOOKUP($B209,'Tech Litons'!$A:$I,9,0)</f>
        <v>240</v>
      </c>
      <c r="U209" s="179">
        <f t="shared" si="132"/>
        <v>22.629166666666666</v>
      </c>
      <c r="V209" s="179">
        <f t="shared" si="133"/>
        <v>24.041666666666668</v>
      </c>
      <c r="W209" s="179">
        <f t="shared" si="134"/>
        <v>11.275448891891171</v>
      </c>
      <c r="X209" s="179">
        <f t="shared" si="135"/>
        <v>6.1199635054867807</v>
      </c>
      <c r="Y209" s="179">
        <f t="shared" si="136"/>
        <v>6.2733238257016728</v>
      </c>
      <c r="Z209" s="179">
        <f t="shared" si="137"/>
        <v>10.680193425431435</v>
      </c>
      <c r="AA209" s="179">
        <f t="shared" si="138"/>
        <v>11.393976122117493</v>
      </c>
      <c r="AB209" s="179">
        <f t="shared" si="139"/>
        <v>7.6157422543617956</v>
      </c>
      <c r="AC209" s="179">
        <f t="shared" si="140"/>
        <v>10.682326015169583</v>
      </c>
      <c r="AD209" s="179">
        <f t="shared" si="141"/>
        <v>5.5796711714273775</v>
      </c>
      <c r="AE209" s="179">
        <f t="shared" si="142"/>
        <v>5.2720867464564742</v>
      </c>
      <c r="AF209" s="179">
        <f t="shared" si="143"/>
        <v>3.0612877503846248</v>
      </c>
    </row>
    <row r="210" spans="2:32">
      <c r="B210" s="122">
        <f t="shared" si="130"/>
        <v>68862511</v>
      </c>
      <c r="C210" s="122" t="str">
        <f>VLOOKUP($B210,'Tech Litons'!$A:$I,3,0)</f>
        <v>Talenti</v>
      </c>
      <c r="D210" s="122" t="str">
        <f>VLOOKUP($B210,'Tech Litons'!$A:$I,4,0)</f>
        <v>Talenti</v>
      </c>
      <c r="E210" s="1021" t="s">
        <v>434</v>
      </c>
      <c r="F210" s="1021">
        <v>68862511</v>
      </c>
      <c r="G210" s="1024">
        <v>9390</v>
      </c>
      <c r="H210" s="1023">
        <v>10548</v>
      </c>
      <c r="I210" s="1023">
        <v>14671.680046119222</v>
      </c>
      <c r="J210" s="1023">
        <v>14752.330412106665</v>
      </c>
      <c r="K210" s="1023">
        <v>15133.054791814009</v>
      </c>
      <c r="L210" s="1023">
        <v>15994.940476649846</v>
      </c>
      <c r="M210" s="1023">
        <v>13698.22880010078</v>
      </c>
      <c r="N210" s="1023">
        <v>10877.195694155602</v>
      </c>
      <c r="O210" s="1023">
        <v>12678.774536224028</v>
      </c>
      <c r="P210" s="1023">
        <v>11900.67404352258</v>
      </c>
      <c r="Q210" s="1023">
        <v>10850.605505896741</v>
      </c>
      <c r="R210" s="1023">
        <v>6632.4043760827035</v>
      </c>
      <c r="S210" s="169">
        <f t="shared" si="131"/>
        <v>147127.88868267217</v>
      </c>
      <c r="T210" s="122">
        <f>VLOOKUP($B210,'Tech Litons'!$A:$I,9,0)</f>
        <v>255</v>
      </c>
      <c r="U210" s="179">
        <f t="shared" si="132"/>
        <v>36.823529411764703</v>
      </c>
      <c r="V210" s="179">
        <f t="shared" si="133"/>
        <v>41.364705882352943</v>
      </c>
      <c r="W210" s="179">
        <f t="shared" si="134"/>
        <v>57.536000180859695</v>
      </c>
      <c r="X210" s="179">
        <f t="shared" si="135"/>
        <v>57.852276125908489</v>
      </c>
      <c r="Y210" s="179">
        <f t="shared" si="136"/>
        <v>59.345312909074543</v>
      </c>
      <c r="Z210" s="179">
        <f t="shared" si="137"/>
        <v>62.725256771175872</v>
      </c>
      <c r="AA210" s="179">
        <f t="shared" si="138"/>
        <v>53.718544314120706</v>
      </c>
      <c r="AB210" s="179">
        <f t="shared" si="139"/>
        <v>42.655669388845496</v>
      </c>
      <c r="AC210" s="179">
        <f t="shared" si="140"/>
        <v>49.7206844557805</v>
      </c>
      <c r="AD210" s="179">
        <f t="shared" si="141"/>
        <v>46.669309974598356</v>
      </c>
      <c r="AE210" s="179">
        <f t="shared" si="142"/>
        <v>42.551394140771535</v>
      </c>
      <c r="AF210" s="179">
        <f t="shared" si="143"/>
        <v>26.009428925814525</v>
      </c>
    </row>
    <row r="211" spans="2:32">
      <c r="B211" s="122">
        <f t="shared" si="130"/>
        <v>69989759</v>
      </c>
      <c r="C211" s="122" t="str">
        <f>VLOOKUP($B211,'Tech Litons'!$A:$I,3,0)</f>
        <v>MG Sticks</v>
      </c>
      <c r="D211" s="122" t="str">
        <f>VLOOKUP($B211,'Tech Litons'!$A:$I,4,0)</f>
        <v>MG Sticks</v>
      </c>
      <c r="E211" s="1021" t="s">
        <v>901</v>
      </c>
      <c r="F211" s="1021">
        <v>69989759</v>
      </c>
      <c r="G211" s="1023">
        <v>8488</v>
      </c>
      <c r="H211" s="1023">
        <v>14868</v>
      </c>
      <c r="I211" s="1023">
        <v>9906.5040292602425</v>
      </c>
      <c r="J211" s="1023">
        <v>9865.3399842969648</v>
      </c>
      <c r="K211" s="1023">
        <v>7889.4813149946076</v>
      </c>
      <c r="L211" s="1023">
        <v>9922.6884821611675</v>
      </c>
      <c r="M211" s="1023">
        <v>8571.5550957291707</v>
      </c>
      <c r="N211" s="1023">
        <v>10342.62932075515</v>
      </c>
      <c r="O211" s="1023">
        <v>4392.1147833724335</v>
      </c>
      <c r="P211" s="1023">
        <v>4644.4886432840212</v>
      </c>
      <c r="Q211" s="1023">
        <v>3331.1225395362899</v>
      </c>
      <c r="R211" s="1023">
        <v>3591.9260287076049</v>
      </c>
      <c r="S211" s="169">
        <f t="shared" si="131"/>
        <v>95813.850222097652</v>
      </c>
      <c r="T211" s="122">
        <f>VLOOKUP($B211,'Tech Litons'!$A:$I,9,0)</f>
        <v>176</v>
      </c>
      <c r="U211" s="179">
        <f t="shared" si="132"/>
        <v>48.227272727272727</v>
      </c>
      <c r="V211" s="179">
        <f t="shared" si="133"/>
        <v>84.477272727272734</v>
      </c>
      <c r="W211" s="179">
        <f t="shared" si="134"/>
        <v>56.286954711705924</v>
      </c>
      <c r="X211" s="179">
        <f t="shared" si="135"/>
        <v>56.053068092596391</v>
      </c>
      <c r="Y211" s="179">
        <f t="shared" si="136"/>
        <v>44.826598380651177</v>
      </c>
      <c r="Z211" s="179">
        <f t="shared" si="137"/>
        <v>56.378911830461178</v>
      </c>
      <c r="AA211" s="179">
        <f t="shared" si="138"/>
        <v>48.702017589370286</v>
      </c>
      <c r="AB211" s="179">
        <f t="shared" si="139"/>
        <v>58.764939322472443</v>
      </c>
      <c r="AC211" s="179">
        <f t="shared" si="140"/>
        <v>24.955197632797919</v>
      </c>
      <c r="AD211" s="179">
        <f t="shared" si="141"/>
        <v>26.389140018659212</v>
      </c>
      <c r="AE211" s="179">
        <f t="shared" si="142"/>
        <v>18.926832611001647</v>
      </c>
      <c r="AF211" s="179">
        <f t="shared" si="143"/>
        <v>20.408670617656846</v>
      </c>
    </row>
    <row r="212" spans="2:32">
      <c r="B212" s="122">
        <f t="shared" si="130"/>
        <v>68938272</v>
      </c>
      <c r="C212" s="122" t="str">
        <f>VLOOKUP($B212,'Tech Litons'!$A:$I,3,0)</f>
        <v>Topped</v>
      </c>
      <c r="D212" s="122" t="str">
        <f>VLOOKUP($B212,'Tech Litons'!$A:$I,4,0)</f>
        <v>SP1</v>
      </c>
      <c r="E212" s="1021" t="s">
        <v>483</v>
      </c>
      <c r="F212" s="1021">
        <v>68938272</v>
      </c>
      <c r="G212" s="1023">
        <v>4625</v>
      </c>
      <c r="H212" s="1023">
        <v>5886</v>
      </c>
      <c r="I212" s="1023">
        <v>6960.5474379912239</v>
      </c>
      <c r="J212" s="1023">
        <v>4824.6504517374105</v>
      </c>
      <c r="K212" s="1023">
        <v>4964.6273046438855</v>
      </c>
      <c r="L212" s="1023">
        <v>5283.9408394160328</v>
      </c>
      <c r="M212" s="1023">
        <v>6746.0708876980989</v>
      </c>
      <c r="N212" s="1023">
        <v>4887.5383772650011</v>
      </c>
      <c r="O212" s="1023">
        <v>4444.1681974047078</v>
      </c>
      <c r="P212" s="1023">
        <v>2877.4898393689982</v>
      </c>
      <c r="Q212" s="1023">
        <v>4203.433731094513</v>
      </c>
      <c r="R212" s="1023">
        <v>4093.9759122449236</v>
      </c>
      <c r="S212" s="169">
        <f t="shared" si="131"/>
        <v>59797.442978864805</v>
      </c>
      <c r="T212" s="122">
        <f>VLOOKUP($B212,'Tech Litons'!$A:$I,9,0)</f>
        <v>240</v>
      </c>
      <c r="U212" s="179">
        <f t="shared" si="132"/>
        <v>19.270833333333332</v>
      </c>
      <c r="V212" s="179">
        <f t="shared" si="133"/>
        <v>24.524999999999999</v>
      </c>
      <c r="W212" s="179">
        <f t="shared" si="134"/>
        <v>29.002280991630098</v>
      </c>
      <c r="X212" s="179">
        <f t="shared" si="135"/>
        <v>20.102710215572543</v>
      </c>
      <c r="Y212" s="179">
        <f t="shared" si="136"/>
        <v>20.685947102682857</v>
      </c>
      <c r="Z212" s="179">
        <f t="shared" si="137"/>
        <v>22.01642016423347</v>
      </c>
      <c r="AA212" s="179">
        <f t="shared" si="138"/>
        <v>28.108628698742077</v>
      </c>
      <c r="AB212" s="179">
        <f t="shared" si="139"/>
        <v>20.36474323860417</v>
      </c>
      <c r="AC212" s="179">
        <f t="shared" si="140"/>
        <v>18.517367489186281</v>
      </c>
      <c r="AD212" s="179">
        <f t="shared" si="141"/>
        <v>11.989540997370826</v>
      </c>
      <c r="AE212" s="179">
        <f t="shared" si="142"/>
        <v>17.514307212893804</v>
      </c>
      <c r="AF212" s="179">
        <f t="shared" si="143"/>
        <v>17.058232967687182</v>
      </c>
    </row>
    <row r="213" spans="2:32">
      <c r="B213" s="122">
        <f t="shared" si="130"/>
        <v>64997058</v>
      </c>
      <c r="C213" s="122" t="str">
        <f>VLOOKUP($B213,'Tech Litons'!$A:$I,3,0)</f>
        <v>PTS</v>
      </c>
      <c r="D213" s="122" t="str">
        <f>VLOOKUP($B213,'Tech Litons'!$A:$I,4,0)</f>
        <v>SP1</v>
      </c>
      <c r="E213" s="1021" t="s">
        <v>944</v>
      </c>
      <c r="F213" s="1021">
        <v>64997058</v>
      </c>
      <c r="G213" s="1023">
        <v>8415</v>
      </c>
      <c r="H213" s="1023">
        <v>11790</v>
      </c>
      <c r="I213" s="1023">
        <v>16511.801772957315</v>
      </c>
      <c r="J213" s="1023">
        <v>16061.719274006611</v>
      </c>
      <c r="K213" s="1023">
        <v>17154.588690666791</v>
      </c>
      <c r="L213" s="1023">
        <v>16780.550026573721</v>
      </c>
      <c r="M213" s="1023">
        <v>14888.95460252954</v>
      </c>
      <c r="N213" s="1023">
        <v>14607.935975008832</v>
      </c>
      <c r="O213" s="1023">
        <v>13728.96856130008</v>
      </c>
      <c r="P213" s="1023">
        <v>14192.440025664755</v>
      </c>
      <c r="Q213" s="1023">
        <v>13920.954763923773</v>
      </c>
      <c r="R213" s="1023">
        <v>15610.786228288449</v>
      </c>
      <c r="S213" s="169">
        <f t="shared" si="131"/>
        <v>173663.69992091987</v>
      </c>
      <c r="T213" s="122">
        <f>VLOOKUP($B213,'Tech Litons'!$A:$I,9,0)</f>
        <v>240</v>
      </c>
      <c r="U213" s="179">
        <f t="shared" si="132"/>
        <v>35.0625</v>
      </c>
      <c r="V213" s="179">
        <f t="shared" si="133"/>
        <v>49.125</v>
      </c>
      <c r="W213" s="179">
        <f t="shared" si="134"/>
        <v>68.799174053988807</v>
      </c>
      <c r="X213" s="179">
        <f t="shared" si="135"/>
        <v>66.923830308360877</v>
      </c>
      <c r="Y213" s="179">
        <f t="shared" si="136"/>
        <v>71.47745287777829</v>
      </c>
      <c r="Z213" s="179">
        <f t="shared" si="137"/>
        <v>69.918958444057168</v>
      </c>
      <c r="AA213" s="179">
        <f t="shared" si="138"/>
        <v>62.037310843873087</v>
      </c>
      <c r="AB213" s="179">
        <f t="shared" si="139"/>
        <v>60.866399895870131</v>
      </c>
      <c r="AC213" s="179">
        <f t="shared" si="140"/>
        <v>57.20403567208367</v>
      </c>
      <c r="AD213" s="179">
        <f t="shared" si="141"/>
        <v>59.135166773603146</v>
      </c>
      <c r="AE213" s="179">
        <f t="shared" si="142"/>
        <v>58.003978183015725</v>
      </c>
      <c r="AF213" s="179">
        <f t="shared" si="143"/>
        <v>65.044942617868543</v>
      </c>
    </row>
    <row r="214" spans="2:32">
      <c r="B214" s="122">
        <f t="shared" si="130"/>
        <v>64786654</v>
      </c>
      <c r="C214" s="122" t="str">
        <f>VLOOKUP($B214,'Tech Litons'!$A:$I,3,0)</f>
        <v>MBG</v>
      </c>
      <c r="D214" s="122" t="str">
        <f>VLOOKUP($B214,'Tech Litons'!$A:$I,4,0)</f>
        <v>MBG</v>
      </c>
      <c r="E214" s="1021" t="s">
        <v>1093</v>
      </c>
      <c r="F214" s="1021">
        <v>64786654</v>
      </c>
      <c r="G214" s="1023">
        <v>9614</v>
      </c>
      <c r="H214" s="1023">
        <v>12693</v>
      </c>
      <c r="I214" s="1023">
        <v>12980.434949256502</v>
      </c>
      <c r="J214" s="1023">
        <v>18825.082604239538</v>
      </c>
      <c r="K214" s="1023">
        <v>21318.067357828677</v>
      </c>
      <c r="L214" s="1023">
        <v>19072.116015812226</v>
      </c>
      <c r="M214" s="1023">
        <v>19057.79466881866</v>
      </c>
      <c r="N214" s="1023">
        <v>19057.137232035078</v>
      </c>
      <c r="O214" s="1023">
        <v>15136.523835165533</v>
      </c>
      <c r="P214" s="1023">
        <v>12216.002138808068</v>
      </c>
      <c r="Q214" s="1023">
        <v>11438.155627998718</v>
      </c>
      <c r="R214" s="1023">
        <v>9533.9490296562326</v>
      </c>
      <c r="S214" s="169">
        <f t="shared" si="131"/>
        <v>180942.26345961928</v>
      </c>
      <c r="T214" s="122">
        <f>VLOOKUP($B214,'Tech Litons'!$A:$I,9,0)</f>
        <v>154</v>
      </c>
      <c r="U214" s="179">
        <f t="shared" si="132"/>
        <v>62.428571428571431</v>
      </c>
      <c r="V214" s="179">
        <f t="shared" si="133"/>
        <v>82.422077922077918</v>
      </c>
      <c r="W214" s="179">
        <f t="shared" si="134"/>
        <v>84.288538631535729</v>
      </c>
      <c r="X214" s="179">
        <f t="shared" si="135"/>
        <v>122.24079613142557</v>
      </c>
      <c r="Y214" s="179">
        <f t="shared" si="136"/>
        <v>138.42900881706933</v>
      </c>
      <c r="Z214" s="179">
        <f t="shared" si="137"/>
        <v>123.84490919358588</v>
      </c>
      <c r="AA214" s="179">
        <f t="shared" si="138"/>
        <v>123.75191343388741</v>
      </c>
      <c r="AB214" s="179">
        <f t="shared" si="139"/>
        <v>123.74764436386414</v>
      </c>
      <c r="AC214" s="179">
        <f t="shared" si="140"/>
        <v>98.2891158127632</v>
      </c>
      <c r="AD214" s="179">
        <f t="shared" si="141"/>
        <v>79.324689213039406</v>
      </c>
      <c r="AE214" s="179">
        <f t="shared" si="142"/>
        <v>74.273737844147519</v>
      </c>
      <c r="AF214" s="179">
        <f t="shared" si="143"/>
        <v>61.90875993283268</v>
      </c>
    </row>
    <row r="215" spans="2:32">
      <c r="B215" s="122">
        <f t="shared" si="130"/>
        <v>68354589</v>
      </c>
      <c r="C215" s="122" t="str">
        <f>VLOOKUP($B215,'Tech Litons'!$A:$I,3,0)</f>
        <v>Topped</v>
      </c>
      <c r="D215" s="122" t="str">
        <f>VLOOKUP($B215,'Tech Litons'!$A:$I,4,0)</f>
        <v>SP1</v>
      </c>
      <c r="E215" s="1021" t="s">
        <v>524</v>
      </c>
      <c r="F215" s="1021">
        <v>68354589</v>
      </c>
      <c r="G215" s="1024">
        <v>7931</v>
      </c>
      <c r="H215" s="1023">
        <v>9339</v>
      </c>
      <c r="I215" s="1023">
        <v>9813.835898742489</v>
      </c>
      <c r="J215" s="1023">
        <v>7580.0834978655148</v>
      </c>
      <c r="K215" s="1023">
        <v>6943.3336628474153</v>
      </c>
      <c r="L215" s="1023">
        <v>8180.6469418184352</v>
      </c>
      <c r="M215" s="1023">
        <v>7002.442118654918</v>
      </c>
      <c r="N215" s="1023">
        <v>7265.282848151277</v>
      </c>
      <c r="O215" s="1023">
        <v>7298.478729143947</v>
      </c>
      <c r="P215" s="1023">
        <v>5845.773818058994</v>
      </c>
      <c r="Q215" s="1023">
        <v>4869.5346583034343</v>
      </c>
      <c r="R215" s="1023">
        <v>4616.0747469359221</v>
      </c>
      <c r="S215" s="169">
        <f t="shared" si="131"/>
        <v>86685.486920522351</v>
      </c>
      <c r="T215" s="122">
        <f>VLOOKUP($B215,'Tech Litons'!$A:$I,9,0)</f>
        <v>240</v>
      </c>
      <c r="U215" s="179">
        <f t="shared" si="132"/>
        <v>33.045833333333334</v>
      </c>
      <c r="V215" s="179">
        <f t="shared" si="133"/>
        <v>38.912500000000001</v>
      </c>
      <c r="W215" s="179">
        <f t="shared" si="134"/>
        <v>40.890982911427038</v>
      </c>
      <c r="X215" s="179">
        <f t="shared" si="135"/>
        <v>31.583681241106312</v>
      </c>
      <c r="Y215" s="179">
        <f t="shared" si="136"/>
        <v>28.930556928530898</v>
      </c>
      <c r="Z215" s="179">
        <f t="shared" si="137"/>
        <v>34.086028924243479</v>
      </c>
      <c r="AA215" s="179">
        <f t="shared" si="138"/>
        <v>29.176842161062158</v>
      </c>
      <c r="AB215" s="179">
        <f t="shared" si="139"/>
        <v>30.272011867296989</v>
      </c>
      <c r="AC215" s="179">
        <f t="shared" si="140"/>
        <v>30.410328038099781</v>
      </c>
      <c r="AD215" s="179">
        <f t="shared" si="141"/>
        <v>24.357390908579141</v>
      </c>
      <c r="AE215" s="179">
        <f t="shared" si="142"/>
        <v>20.289727742930975</v>
      </c>
      <c r="AF215" s="179">
        <f t="shared" si="143"/>
        <v>19.233644778899677</v>
      </c>
    </row>
    <row r="216" spans="2:32">
      <c r="B216" s="122">
        <f t="shared" si="130"/>
        <v>68354587</v>
      </c>
      <c r="C216" s="122" t="str">
        <f>VLOOKUP($B216,'Tech Litons'!$A:$I,3,0)</f>
        <v>Topped</v>
      </c>
      <c r="D216" s="122" t="str">
        <f>VLOOKUP($B216,'Tech Litons'!$A:$I,4,0)</f>
        <v>SP1</v>
      </c>
      <c r="E216" s="1021" t="s">
        <v>490</v>
      </c>
      <c r="F216" s="1021">
        <v>68354587</v>
      </c>
      <c r="G216" s="1023">
        <v>7415</v>
      </c>
      <c r="H216" s="1023">
        <v>9221</v>
      </c>
      <c r="I216" s="1023">
        <v>14288.306034924353</v>
      </c>
      <c r="J216" s="1023">
        <v>10524.026049336166</v>
      </c>
      <c r="K216" s="1023">
        <v>11131.597450283993</v>
      </c>
      <c r="L216" s="1023">
        <v>11882.922028089602</v>
      </c>
      <c r="M216" s="1023">
        <v>11445.969481123591</v>
      </c>
      <c r="N216" s="1023">
        <v>11695.709265316083</v>
      </c>
      <c r="O216" s="1023">
        <v>9446.8085918780998</v>
      </c>
      <c r="P216" s="1023">
        <v>8205.0991104654877</v>
      </c>
      <c r="Q216" s="1023">
        <v>8932.8771302809528</v>
      </c>
      <c r="R216" s="1023">
        <v>7705.1169244194552</v>
      </c>
      <c r="S216" s="169">
        <f t="shared" si="131"/>
        <v>121894.43206611778</v>
      </c>
      <c r="T216" s="122">
        <f>VLOOKUP($B216,'Tech Litons'!$A:$I,9,0)</f>
        <v>240</v>
      </c>
      <c r="U216" s="179">
        <f t="shared" si="132"/>
        <v>30.895833333333332</v>
      </c>
      <c r="V216" s="179">
        <f t="shared" si="133"/>
        <v>38.420833333333334</v>
      </c>
      <c r="W216" s="179">
        <f t="shared" si="134"/>
        <v>59.534608478851474</v>
      </c>
      <c r="X216" s="179">
        <f t="shared" si="135"/>
        <v>43.850108538900692</v>
      </c>
      <c r="Y216" s="179">
        <f t="shared" si="136"/>
        <v>46.381656042849968</v>
      </c>
      <c r="Z216" s="179">
        <f t="shared" si="137"/>
        <v>49.512175117040009</v>
      </c>
      <c r="AA216" s="179">
        <f t="shared" si="138"/>
        <v>47.691539504681629</v>
      </c>
      <c r="AB216" s="179">
        <f t="shared" si="139"/>
        <v>48.732121938817016</v>
      </c>
      <c r="AC216" s="179">
        <f t="shared" si="140"/>
        <v>39.361702466158746</v>
      </c>
      <c r="AD216" s="179">
        <f t="shared" si="141"/>
        <v>34.187912960272868</v>
      </c>
      <c r="AE216" s="179">
        <f t="shared" si="142"/>
        <v>37.220321376170638</v>
      </c>
      <c r="AF216" s="179">
        <f t="shared" si="143"/>
        <v>32.104653851747727</v>
      </c>
    </row>
    <row r="217" spans="2:32">
      <c r="B217" s="122">
        <f t="shared" si="130"/>
        <v>64325488</v>
      </c>
      <c r="C217" s="122" t="str">
        <f>VLOOKUP($B217,'Tech Litons'!$A:$I,3,0)</f>
        <v>Yasso Sticks</v>
      </c>
      <c r="D217" s="122" t="str">
        <f>VLOOKUP($B217,'Tech Litons'!$A:$I,4,0)</f>
        <v>Yasso Sticks</v>
      </c>
      <c r="E217" s="1021" t="s">
        <v>591</v>
      </c>
      <c r="F217" s="1021">
        <v>64325488</v>
      </c>
      <c r="G217" s="1023">
        <v>8742</v>
      </c>
      <c r="H217" s="1023">
        <v>12335</v>
      </c>
      <c r="I217" s="1023">
        <v>16978.623055815166</v>
      </c>
      <c r="J217" s="1023">
        <v>13920.933294032757</v>
      </c>
      <c r="K217" s="1023">
        <v>16646.276846888646</v>
      </c>
      <c r="L217" s="1023">
        <v>17845.536610780873</v>
      </c>
      <c r="M217" s="1023">
        <v>18351.758585669293</v>
      </c>
      <c r="N217" s="1023">
        <v>15672.099948369167</v>
      </c>
      <c r="O217" s="1023">
        <v>14760.316831067732</v>
      </c>
      <c r="P217" s="1023">
        <v>13067.180271158222</v>
      </c>
      <c r="Q217" s="1023">
        <v>12145.619669420659</v>
      </c>
      <c r="R217" s="1023">
        <v>8266.8738331859622</v>
      </c>
      <c r="S217" s="169">
        <f t="shared" si="131"/>
        <v>168732.21894638849</v>
      </c>
      <c r="T217" s="122">
        <f>VLOOKUP($B217,'Tech Litons'!$A:$I,9,0)</f>
        <v>187</v>
      </c>
      <c r="U217" s="179">
        <f t="shared" si="132"/>
        <v>46.748663101604279</v>
      </c>
      <c r="V217" s="179">
        <f t="shared" si="133"/>
        <v>65.962566844919792</v>
      </c>
      <c r="W217" s="179">
        <f t="shared" si="134"/>
        <v>90.794775699546335</v>
      </c>
      <c r="X217" s="179">
        <f t="shared" si="135"/>
        <v>74.443493550977308</v>
      </c>
      <c r="Y217" s="179">
        <f t="shared" si="136"/>
        <v>89.017523245393832</v>
      </c>
      <c r="Z217" s="179">
        <f t="shared" si="137"/>
        <v>95.430677062999322</v>
      </c>
      <c r="AA217" s="179">
        <f t="shared" si="138"/>
        <v>98.137746447429379</v>
      </c>
      <c r="AB217" s="179">
        <f t="shared" si="139"/>
        <v>83.808021114273615</v>
      </c>
      <c r="AC217" s="179">
        <f t="shared" si="140"/>
        <v>78.932175567207125</v>
      </c>
      <c r="AD217" s="179">
        <f t="shared" si="141"/>
        <v>69.877969364482468</v>
      </c>
      <c r="AE217" s="179">
        <f t="shared" si="142"/>
        <v>64.949837804388551</v>
      </c>
      <c r="AF217" s="179">
        <f t="shared" si="143"/>
        <v>44.207881460887499</v>
      </c>
    </row>
    <row r="218" spans="2:32">
      <c r="B218" s="122">
        <f t="shared" si="130"/>
        <v>64369046</v>
      </c>
      <c r="C218" s="122" t="str">
        <f>VLOOKUP($B218,'Tech Litons'!$A:$I,3,0)</f>
        <v>Talenti</v>
      </c>
      <c r="D218" s="122" t="str">
        <f>VLOOKUP($B218,'Tech Litons'!$A:$I,4,0)</f>
        <v>Talenti</v>
      </c>
      <c r="E218" s="1021" t="s">
        <v>1095</v>
      </c>
      <c r="F218" s="1021">
        <v>64369046</v>
      </c>
      <c r="G218" s="1023">
        <v>3176</v>
      </c>
      <c r="H218" s="1023">
        <v>3782</v>
      </c>
      <c r="I218" s="1023">
        <v>3327.8887930544042</v>
      </c>
      <c r="J218" s="1023">
        <v>4592.3908346504077</v>
      </c>
      <c r="K218" s="1023">
        <v>3835.2900480560802</v>
      </c>
      <c r="L218" s="1023">
        <v>5544.3083391239597</v>
      </c>
      <c r="M218" s="1023">
        <v>4670.0360790687482</v>
      </c>
      <c r="N218" s="1023">
        <v>3115.2109149543367</v>
      </c>
      <c r="O218" s="1023">
        <v>4795.2904955943632</v>
      </c>
      <c r="P218" s="1023">
        <v>3229.0692934205795</v>
      </c>
      <c r="Q218" s="1023">
        <v>2434.8150903969645</v>
      </c>
      <c r="R218" s="1023">
        <v>551.99342719928848</v>
      </c>
      <c r="S218" s="169">
        <f t="shared" si="131"/>
        <v>43054.293315519128</v>
      </c>
      <c r="T218" s="122">
        <f>VLOOKUP($B218,'Tech Litons'!$A:$I,9,0)</f>
        <v>255</v>
      </c>
      <c r="U218" s="179">
        <f t="shared" si="132"/>
        <v>12.454901960784314</v>
      </c>
      <c r="V218" s="179">
        <f t="shared" si="133"/>
        <v>14.831372549019608</v>
      </c>
      <c r="W218" s="179">
        <f t="shared" si="134"/>
        <v>13.05054428648786</v>
      </c>
      <c r="X218" s="179">
        <f t="shared" si="135"/>
        <v>18.009375822158461</v>
      </c>
      <c r="Y218" s="179">
        <f t="shared" si="136"/>
        <v>15.040353129631686</v>
      </c>
      <c r="Z218" s="179">
        <f t="shared" si="137"/>
        <v>21.742385643623372</v>
      </c>
      <c r="AA218" s="179">
        <f t="shared" si="138"/>
        <v>18.31386697674019</v>
      </c>
      <c r="AB218" s="179">
        <f t="shared" si="139"/>
        <v>12.216513391977792</v>
      </c>
      <c r="AC218" s="179">
        <f t="shared" si="140"/>
        <v>18.805060767036718</v>
      </c>
      <c r="AD218" s="179">
        <f t="shared" si="141"/>
        <v>12.663016836943449</v>
      </c>
      <c r="AE218" s="179">
        <f t="shared" si="142"/>
        <v>9.5482944721449581</v>
      </c>
      <c r="AF218" s="179">
        <f t="shared" si="143"/>
        <v>2.1646801066638766</v>
      </c>
    </row>
    <row r="219" spans="2:32">
      <c r="B219" s="122">
        <f t="shared" si="130"/>
        <v>69797289</v>
      </c>
      <c r="C219" s="122" t="str">
        <f>VLOOKUP($B219,'Tech Litons'!$A:$I,3,0)</f>
        <v>BJ PTS</v>
      </c>
      <c r="D219" s="122" t="str">
        <f>VLOOKUP($B219,'Tech Litons'!$A:$I,4,0)</f>
        <v>BJ PTS</v>
      </c>
      <c r="E219" s="1022" t="s">
        <v>473</v>
      </c>
      <c r="F219" s="1022">
        <v>69797289</v>
      </c>
      <c r="G219" s="1025">
        <v>4932</v>
      </c>
      <c r="H219" s="1025">
        <v>5747</v>
      </c>
      <c r="I219" s="1025">
        <v>7410.0394475762723</v>
      </c>
      <c r="J219" s="1025">
        <v>5985.0004401940587</v>
      </c>
      <c r="K219" s="1025">
        <v>4876.0819782971303</v>
      </c>
      <c r="L219" s="1025">
        <v>6819.9590016916336</v>
      </c>
      <c r="M219" s="1025">
        <v>4615.8369542853688</v>
      </c>
      <c r="N219" s="1025">
        <v>6648.2248407496854</v>
      </c>
      <c r="O219" s="1025">
        <v>4328.3297291733406</v>
      </c>
      <c r="P219" s="1025">
        <v>4153.0679296912595</v>
      </c>
      <c r="Q219" s="1025">
        <v>4518.0187422224863</v>
      </c>
      <c r="R219" s="1025">
        <v>4068.5075605060147</v>
      </c>
      <c r="S219" s="169">
        <f t="shared" si="131"/>
        <v>64102.066624387247</v>
      </c>
      <c r="T219" s="122">
        <f>VLOOKUP($B219,'Tech Litons'!$A:$I,9,0)</f>
        <v>240</v>
      </c>
      <c r="U219" s="179">
        <f t="shared" si="132"/>
        <v>20.55</v>
      </c>
      <c r="V219" s="179">
        <f t="shared" si="133"/>
        <v>23.945833333333333</v>
      </c>
      <c r="W219" s="179">
        <f t="shared" si="134"/>
        <v>30.875164364901135</v>
      </c>
      <c r="X219" s="179">
        <f t="shared" si="135"/>
        <v>24.937501834141912</v>
      </c>
      <c r="Y219" s="179">
        <f t="shared" si="136"/>
        <v>20.317008242904709</v>
      </c>
      <c r="Z219" s="179">
        <f t="shared" si="137"/>
        <v>28.416495840381806</v>
      </c>
      <c r="AA219" s="179">
        <f t="shared" si="138"/>
        <v>19.232653976189038</v>
      </c>
      <c r="AB219" s="179">
        <f t="shared" si="139"/>
        <v>27.700936836457021</v>
      </c>
      <c r="AC219" s="179">
        <f t="shared" si="140"/>
        <v>18.034707204888921</v>
      </c>
      <c r="AD219" s="179">
        <f t="shared" si="141"/>
        <v>17.304449707046913</v>
      </c>
      <c r="AE219" s="179">
        <f t="shared" si="142"/>
        <v>18.825078092593692</v>
      </c>
      <c r="AF219" s="179">
        <f t="shared" si="143"/>
        <v>16.952114835441726</v>
      </c>
    </row>
    <row r="220" spans="2:32">
      <c r="B220" s="122">
        <f t="shared" si="130"/>
        <v>64393719</v>
      </c>
      <c r="C220" s="122" t="str">
        <f>VLOOKUP($B220,'Tech Litons'!$A:$I,3,0)</f>
        <v>MG Sticks</v>
      </c>
      <c r="D220" s="122" t="str">
        <f>VLOOKUP($B220,'Tech Litons'!$A:$I,4,0)</f>
        <v>MG Sticks</v>
      </c>
      <c r="E220" s="1021" t="s">
        <v>331</v>
      </c>
      <c r="F220" s="1021">
        <v>64393719</v>
      </c>
      <c r="G220" s="1023">
        <v>5343</v>
      </c>
      <c r="H220" s="1023">
        <v>2665</v>
      </c>
      <c r="I220" s="1023">
        <v>5193.8086247728897</v>
      </c>
      <c r="J220" s="1023">
        <v>5450.3015213025983</v>
      </c>
      <c r="K220" s="1023">
        <v>6120.0424340893042</v>
      </c>
      <c r="L220" s="1023">
        <v>7456.9340325546891</v>
      </c>
      <c r="M220" s="1023">
        <v>6449.3566038657009</v>
      </c>
      <c r="N220" s="1023">
        <v>4798.6746265005077</v>
      </c>
      <c r="O220" s="1023">
        <v>5551.4747464559696</v>
      </c>
      <c r="P220" s="1023">
        <v>4020.816326215675</v>
      </c>
      <c r="Q220" s="1023">
        <v>3897.8306518302052</v>
      </c>
      <c r="R220" s="1023">
        <v>3474.0805104761776</v>
      </c>
      <c r="S220" s="169">
        <f t="shared" si="131"/>
        <v>60421.320078063713</v>
      </c>
      <c r="T220" s="122">
        <f>VLOOKUP($B220,'Tech Litons'!$A:$I,9,0)</f>
        <v>143</v>
      </c>
      <c r="U220" s="179">
        <f t="shared" si="132"/>
        <v>37.363636363636367</v>
      </c>
      <c r="V220" s="179">
        <f t="shared" si="133"/>
        <v>18.636363636363637</v>
      </c>
      <c r="W220" s="179">
        <f t="shared" si="134"/>
        <v>36.320340033376851</v>
      </c>
      <c r="X220" s="179">
        <f t="shared" si="135"/>
        <v>38.113996652465723</v>
      </c>
      <c r="Y220" s="179">
        <f t="shared" si="136"/>
        <v>42.79749953908604</v>
      </c>
      <c r="Z220" s="179">
        <f t="shared" si="137"/>
        <v>52.146391836046774</v>
      </c>
      <c r="AA220" s="179">
        <f t="shared" si="138"/>
        <v>45.100395831228674</v>
      </c>
      <c r="AB220" s="179">
        <f t="shared" si="139"/>
        <v>33.557165220283274</v>
      </c>
      <c r="AC220" s="179">
        <f t="shared" si="140"/>
        <v>38.821501723468316</v>
      </c>
      <c r="AD220" s="179">
        <f t="shared" si="141"/>
        <v>28.117596686822903</v>
      </c>
      <c r="AE220" s="179">
        <f t="shared" si="142"/>
        <v>27.25755700580563</v>
      </c>
      <c r="AF220" s="179">
        <f t="shared" si="143"/>
        <v>24.294269304029214</v>
      </c>
    </row>
    <row r="221" spans="2:32">
      <c r="B221" s="122">
        <f t="shared" si="130"/>
        <v>64409312</v>
      </c>
      <c r="C221" s="122" t="str">
        <f>VLOOKUP($B221,'Tech Litons'!$A:$I,3,0)</f>
        <v>Other</v>
      </c>
      <c r="D221" s="122" t="str">
        <f>VLOOKUP($B221,'Tech Litons'!$A:$I,4,0)</f>
        <v>Other</v>
      </c>
      <c r="E221" s="1022" t="s">
        <v>623</v>
      </c>
      <c r="F221" s="1022">
        <v>64409312</v>
      </c>
      <c r="G221" s="1026">
        <v>6255</v>
      </c>
      <c r="H221" s="1025">
        <v>5400</v>
      </c>
      <c r="I221" s="1025">
        <v>8695.7403387303348</v>
      </c>
      <c r="J221" s="1025">
        <v>10470.434088268652</v>
      </c>
      <c r="K221" s="1025">
        <v>9919.2146839396628</v>
      </c>
      <c r="L221" s="1025">
        <v>11005.41320295989</v>
      </c>
      <c r="M221" s="1025">
        <v>12121.038591117351</v>
      </c>
      <c r="N221" s="1025">
        <v>10965.093550306481</v>
      </c>
      <c r="O221" s="1025">
        <v>10177.159311149921</v>
      </c>
      <c r="P221" s="1025">
        <v>8229.5029654292757</v>
      </c>
      <c r="Q221" s="1025">
        <v>4794.7284844115811</v>
      </c>
      <c r="R221" s="1025">
        <v>5197.9772284006767</v>
      </c>
      <c r="S221" s="169">
        <f t="shared" si="131"/>
        <v>103231.30244471382</v>
      </c>
      <c r="T221" s="122">
        <f>VLOOKUP($B221,'Tech Litons'!$A:$I,9,0)</f>
        <v>135</v>
      </c>
      <c r="U221" s="179">
        <f t="shared" si="132"/>
        <v>46.333333333333336</v>
      </c>
      <c r="V221" s="179">
        <f t="shared" si="133"/>
        <v>40</v>
      </c>
      <c r="W221" s="179">
        <f t="shared" si="134"/>
        <v>64.412891398002486</v>
      </c>
      <c r="X221" s="179">
        <f t="shared" si="135"/>
        <v>77.558771024212234</v>
      </c>
      <c r="Y221" s="179">
        <f t="shared" si="136"/>
        <v>73.475664325478988</v>
      </c>
      <c r="Z221" s="179">
        <f t="shared" si="137"/>
        <v>81.521579281184373</v>
      </c>
      <c r="AA221" s="179">
        <f t="shared" si="138"/>
        <v>89.785471045313713</v>
      </c>
      <c r="AB221" s="179">
        <f t="shared" si="139"/>
        <v>81.222915187455413</v>
      </c>
      <c r="AC221" s="179">
        <f t="shared" si="140"/>
        <v>75.386365267777194</v>
      </c>
      <c r="AD221" s="179">
        <f t="shared" si="141"/>
        <v>60.959281225402044</v>
      </c>
      <c r="AE221" s="179">
        <f t="shared" si="142"/>
        <v>35.516507291937636</v>
      </c>
      <c r="AF221" s="179">
        <f t="shared" si="143"/>
        <v>38.503535025190196</v>
      </c>
    </row>
    <row r="222" spans="2:32">
      <c r="B222" s="122">
        <f t="shared" si="130"/>
        <v>64371463</v>
      </c>
      <c r="C222" s="122" t="str">
        <f>VLOOKUP($B222,'Tech Litons'!$A:$I,3,0)</f>
        <v>Talenti</v>
      </c>
      <c r="D222" s="122" t="str">
        <f>VLOOKUP($B222,'Tech Litons'!$A:$I,4,0)</f>
        <v>Talenti</v>
      </c>
      <c r="E222" s="1021" t="s">
        <v>1027</v>
      </c>
      <c r="F222" s="1021">
        <v>64371463</v>
      </c>
      <c r="G222" s="1023">
        <v>6330</v>
      </c>
      <c r="H222" s="1023">
        <v>8805</v>
      </c>
      <c r="I222" s="1023">
        <v>8634.7509150837395</v>
      </c>
      <c r="J222" s="1023">
        <v>7924.6641788309134</v>
      </c>
      <c r="K222" s="1023">
        <v>9394.5218219064809</v>
      </c>
      <c r="L222" s="1023">
        <v>10192.948796674096</v>
      </c>
      <c r="M222" s="1023">
        <v>10133.751719669681</v>
      </c>
      <c r="N222" s="1023">
        <v>8833.8591764757621</v>
      </c>
      <c r="O222" s="1023">
        <v>8168.9858245359992</v>
      </c>
      <c r="P222" s="1023">
        <v>7745.4215755345313</v>
      </c>
      <c r="Q222" s="1023">
        <v>7163.4320605295916</v>
      </c>
      <c r="R222" s="1023">
        <v>5967.523624983055</v>
      </c>
      <c r="S222" s="169">
        <f t="shared" si="131"/>
        <v>99294.859694223851</v>
      </c>
      <c r="T222" s="122">
        <f>VLOOKUP($B222,'Tech Litons'!$A:$I,9,0)</f>
        <v>255</v>
      </c>
      <c r="U222" s="179">
        <f t="shared" si="132"/>
        <v>24.823529411764707</v>
      </c>
      <c r="V222" s="179">
        <f t="shared" si="133"/>
        <v>34.529411764705884</v>
      </c>
      <c r="W222" s="179">
        <f t="shared" si="134"/>
        <v>33.861768294446037</v>
      </c>
      <c r="X222" s="179">
        <f t="shared" si="135"/>
        <v>31.077114426787897</v>
      </c>
      <c r="Y222" s="179">
        <f t="shared" si="136"/>
        <v>36.84126204669208</v>
      </c>
      <c r="Z222" s="179">
        <f t="shared" si="137"/>
        <v>39.972348222251355</v>
      </c>
      <c r="AA222" s="179">
        <f t="shared" si="138"/>
        <v>39.740202822234039</v>
      </c>
      <c r="AB222" s="179">
        <f t="shared" si="139"/>
        <v>34.642585005787303</v>
      </c>
      <c r="AC222" s="179">
        <f t="shared" si="140"/>
        <v>32.035238527592156</v>
      </c>
      <c r="AD222" s="179">
        <f t="shared" si="141"/>
        <v>30.374202256998164</v>
      </c>
      <c r="AE222" s="179">
        <f t="shared" si="142"/>
        <v>28.091890433449379</v>
      </c>
      <c r="AF222" s="179">
        <f t="shared" si="143"/>
        <v>23.402053431306097</v>
      </c>
    </row>
    <row r="223" spans="2:32">
      <c r="B223" s="122">
        <f t="shared" si="130"/>
        <v>64346613</v>
      </c>
      <c r="C223" s="122" t="str">
        <f>VLOOKUP($B223,'Tech Litons'!$A:$I,3,0)</f>
        <v>B&amp;J Cups</v>
      </c>
      <c r="D223" s="122" t="str">
        <f>VLOOKUP($B223,'Tech Litons'!$A:$I,4,0)</f>
        <v>B&amp;J Cups</v>
      </c>
      <c r="E223" s="1021" t="s">
        <v>571</v>
      </c>
      <c r="F223" s="1021">
        <v>64346613</v>
      </c>
      <c r="G223" s="1024">
        <v>6908</v>
      </c>
      <c r="H223" s="1023">
        <v>9028</v>
      </c>
      <c r="I223" s="1023">
        <v>15064.587664371827</v>
      </c>
      <c r="J223" s="1023">
        <v>13654.884096559497</v>
      </c>
      <c r="K223" s="1023">
        <v>13670.58561841142</v>
      </c>
      <c r="L223" s="1023">
        <v>17916.736835543212</v>
      </c>
      <c r="M223" s="1023">
        <v>14433.500040450326</v>
      </c>
      <c r="N223" s="1023">
        <v>16662.513691046752</v>
      </c>
      <c r="O223" s="1023">
        <v>17020.414235338616</v>
      </c>
      <c r="P223" s="1023">
        <v>6179.8989910591908</v>
      </c>
      <c r="Q223" s="1023">
        <v>9652.8130083300712</v>
      </c>
      <c r="R223" s="1023">
        <v>10118.214828892511</v>
      </c>
      <c r="S223" s="169">
        <f t="shared" si="131"/>
        <v>150310.14901000343</v>
      </c>
      <c r="T223" s="122">
        <f>VLOOKUP($B223,'Tech Litons'!$A:$I,9,0)</f>
        <v>180</v>
      </c>
      <c r="U223" s="179">
        <f t="shared" si="132"/>
        <v>38.37777777777778</v>
      </c>
      <c r="V223" s="179">
        <f t="shared" si="133"/>
        <v>50.155555555555559</v>
      </c>
      <c r="W223" s="179">
        <f t="shared" si="134"/>
        <v>83.692153690954598</v>
      </c>
      <c r="X223" s="179">
        <f t="shared" si="135"/>
        <v>75.860467203108314</v>
      </c>
      <c r="Y223" s="179">
        <f t="shared" si="136"/>
        <v>75.947697880063444</v>
      </c>
      <c r="Z223" s="179">
        <f t="shared" si="137"/>
        <v>99.53742686412896</v>
      </c>
      <c r="AA223" s="179">
        <f t="shared" si="138"/>
        <v>80.18611133583515</v>
      </c>
      <c r="AB223" s="179">
        <f t="shared" si="139"/>
        <v>92.569520505815291</v>
      </c>
      <c r="AC223" s="179">
        <f t="shared" si="140"/>
        <v>94.55785686299231</v>
      </c>
      <c r="AD223" s="179">
        <f t="shared" si="141"/>
        <v>34.33277217255106</v>
      </c>
      <c r="AE223" s="179">
        <f t="shared" si="142"/>
        <v>53.626738935167062</v>
      </c>
      <c r="AF223" s="179">
        <f t="shared" si="143"/>
        <v>56.212304604958391</v>
      </c>
    </row>
    <row r="224" spans="2:32">
      <c r="B224" s="122">
        <f t="shared" si="130"/>
        <v>64326314</v>
      </c>
      <c r="C224" s="122" t="str">
        <f>VLOOKUP($B224,'Tech Litons'!$A:$I,3,0)</f>
        <v>Yasso Sticks</v>
      </c>
      <c r="D224" s="122" t="str">
        <f>VLOOKUP($B224,'Tech Litons'!$A:$I,4,0)</f>
        <v>Yasso Sticks</v>
      </c>
      <c r="E224" s="1021" t="s">
        <v>585</v>
      </c>
      <c r="F224" s="1021">
        <v>64326314</v>
      </c>
      <c r="G224" s="1023">
        <v>13130</v>
      </c>
      <c r="H224" s="1023">
        <v>14878</v>
      </c>
      <c r="I224" s="1023">
        <v>23100.684297064523</v>
      </c>
      <c r="J224" s="1023">
        <v>19423.027372494347</v>
      </c>
      <c r="K224" s="1023">
        <v>24673.911835795283</v>
      </c>
      <c r="L224" s="1023">
        <v>29458.913745100475</v>
      </c>
      <c r="M224" s="1023">
        <v>28933.554383737723</v>
      </c>
      <c r="N224" s="1023">
        <v>27791.663430429267</v>
      </c>
      <c r="O224" s="1023">
        <v>23626.295310505229</v>
      </c>
      <c r="P224" s="1023">
        <v>17983.005946333004</v>
      </c>
      <c r="Q224" s="1023">
        <v>18014.173689540636</v>
      </c>
      <c r="R224" s="1023">
        <v>14156.127800961658</v>
      </c>
      <c r="S224" s="169">
        <f t="shared" si="131"/>
        <v>255169.35781196214</v>
      </c>
      <c r="T224" s="122">
        <f>VLOOKUP($B224,'Tech Litons'!$A:$I,9,0)</f>
        <v>187</v>
      </c>
      <c r="U224" s="179">
        <f t="shared" si="132"/>
        <v>70.213903743315512</v>
      </c>
      <c r="V224" s="179">
        <f t="shared" si="133"/>
        <v>79.561497326203209</v>
      </c>
      <c r="W224" s="179">
        <f t="shared" si="134"/>
        <v>123.53307110729692</v>
      </c>
      <c r="X224" s="179">
        <f t="shared" si="135"/>
        <v>103.86645653740293</v>
      </c>
      <c r="Y224" s="179">
        <f t="shared" si="136"/>
        <v>131.94605259783575</v>
      </c>
      <c r="Z224" s="179">
        <f t="shared" si="137"/>
        <v>157.53429810214158</v>
      </c>
      <c r="AA224" s="179">
        <f t="shared" si="138"/>
        <v>154.72488975260814</v>
      </c>
      <c r="AB224" s="179">
        <f t="shared" si="139"/>
        <v>148.61852101833833</v>
      </c>
      <c r="AC224" s="179">
        <f t="shared" si="140"/>
        <v>126.34382518986753</v>
      </c>
      <c r="AD224" s="179">
        <f t="shared" si="141"/>
        <v>96.165807199641733</v>
      </c>
      <c r="AE224" s="179">
        <f t="shared" si="142"/>
        <v>96.332479623211952</v>
      </c>
      <c r="AF224" s="179">
        <f t="shared" si="143"/>
        <v>75.701218186960745</v>
      </c>
    </row>
    <row r="225" spans="2:32">
      <c r="B225" s="122">
        <f t="shared" si="130"/>
        <v>64874633</v>
      </c>
      <c r="C225" s="122" t="str">
        <f>VLOOKUP($B225,'Tech Litons'!$A:$I,3,0)</f>
        <v>ESS</v>
      </c>
      <c r="D225" s="122" t="str">
        <f>VLOOKUP($B225,'Tech Litons'!$A:$I,4,0)</f>
        <v>ESS</v>
      </c>
      <c r="E225" s="1022" t="s">
        <v>928</v>
      </c>
      <c r="F225" s="1022">
        <v>64874633</v>
      </c>
      <c r="G225" s="1025">
        <v>2760</v>
      </c>
      <c r="H225" s="1025">
        <v>4154</v>
      </c>
      <c r="I225" s="1025">
        <v>11663.39076458174</v>
      </c>
      <c r="J225" s="1025">
        <v>10272.732307130203</v>
      </c>
      <c r="K225" s="1025">
        <v>14675.99782188742</v>
      </c>
      <c r="L225" s="1025">
        <v>16263.880000000001</v>
      </c>
      <c r="M225" s="1025">
        <v>15030.72</v>
      </c>
      <c r="N225" s="1025">
        <v>15320.57</v>
      </c>
      <c r="O225" s="1025">
        <v>10584.270509118218</v>
      </c>
      <c r="P225" s="1025">
        <v>9079.0592084211421</v>
      </c>
      <c r="Q225" s="1025">
        <v>8098.9300222625325</v>
      </c>
      <c r="R225" s="1025">
        <v>7659.8474549342209</v>
      </c>
      <c r="S225" s="169">
        <f t="shared" si="131"/>
        <v>125563.39808833547</v>
      </c>
      <c r="T225" s="122">
        <f>VLOOKUP($B225,'Tech Litons'!$A:$I,9,0)</f>
        <v>280</v>
      </c>
      <c r="U225" s="179">
        <f t="shared" si="132"/>
        <v>9.8571428571428577</v>
      </c>
      <c r="V225" s="179">
        <f t="shared" si="133"/>
        <v>14.835714285714285</v>
      </c>
      <c r="W225" s="179">
        <f t="shared" si="134"/>
        <v>41.654967016363358</v>
      </c>
      <c r="X225" s="179">
        <f t="shared" si="135"/>
        <v>36.688329668322154</v>
      </c>
      <c r="Y225" s="179">
        <f t="shared" si="136"/>
        <v>52.414277935312214</v>
      </c>
      <c r="Z225" s="179">
        <f t="shared" si="137"/>
        <v>58.085285714285718</v>
      </c>
      <c r="AA225" s="179">
        <f t="shared" si="138"/>
        <v>53.681142857142852</v>
      </c>
      <c r="AB225" s="179">
        <f t="shared" si="139"/>
        <v>54.716321428571426</v>
      </c>
      <c r="AC225" s="179">
        <f t="shared" si="140"/>
        <v>37.800966103993638</v>
      </c>
      <c r="AD225" s="179">
        <f t="shared" si="141"/>
        <v>32.425211458646935</v>
      </c>
      <c r="AE225" s="179">
        <f t="shared" si="142"/>
        <v>28.924750079509046</v>
      </c>
      <c r="AF225" s="179">
        <f t="shared" si="143"/>
        <v>27.356598053336501</v>
      </c>
    </row>
    <row r="226" spans="2:32">
      <c r="B226" s="122">
        <f t="shared" si="130"/>
        <v>64401837</v>
      </c>
      <c r="C226" s="122" t="str">
        <f>VLOOKUP($B226,'Tech Litons'!$A:$I,3,0)</f>
        <v>Facepieces</v>
      </c>
      <c r="D226" s="122" t="str">
        <f>VLOOKUP($B226,'Tech Litons'!$A:$I,4,0)</f>
        <v>Facepieces</v>
      </c>
      <c r="E226" s="1021" t="s">
        <v>1085</v>
      </c>
      <c r="F226" s="1021">
        <v>64401837</v>
      </c>
      <c r="G226" s="1023">
        <v>4950</v>
      </c>
      <c r="H226" s="1023">
        <v>11571</v>
      </c>
      <c r="I226" s="1023">
        <v>7265.2029925900661</v>
      </c>
      <c r="J226" s="1023">
        <v>12875.947649996015</v>
      </c>
      <c r="K226" s="1023">
        <v>13484.792609779717</v>
      </c>
      <c r="L226" s="1023">
        <v>14671.02321240612</v>
      </c>
      <c r="M226" s="1023">
        <v>20090.009999999995</v>
      </c>
      <c r="N226" s="1023">
        <v>16000.58</v>
      </c>
      <c r="O226" s="1023">
        <v>14158.080000000002</v>
      </c>
      <c r="P226" s="1023">
        <v>10653.789999999999</v>
      </c>
      <c r="Q226" s="1023">
        <v>9516.8459513185189</v>
      </c>
      <c r="R226" s="1023">
        <v>8070.6769852843863</v>
      </c>
      <c r="S226" s="169">
        <f t="shared" si="131"/>
        <v>143307.94940137479</v>
      </c>
      <c r="T226" s="122">
        <f>VLOOKUP($B226,'Tech Litons'!$A:$I,9,0)</f>
        <v>150</v>
      </c>
      <c r="U226" s="179">
        <f t="shared" si="132"/>
        <v>33</v>
      </c>
      <c r="V226" s="179">
        <f t="shared" si="133"/>
        <v>77.14</v>
      </c>
      <c r="W226" s="179">
        <f t="shared" si="134"/>
        <v>48.434686617267104</v>
      </c>
      <c r="X226" s="179">
        <f t="shared" si="135"/>
        <v>85.839650999973429</v>
      </c>
      <c r="Y226" s="179">
        <f t="shared" si="136"/>
        <v>89.898617398531442</v>
      </c>
      <c r="Z226" s="179">
        <f t="shared" si="137"/>
        <v>97.806821416040805</v>
      </c>
      <c r="AA226" s="179">
        <f t="shared" si="138"/>
        <v>133.93339999999998</v>
      </c>
      <c r="AB226" s="179">
        <f t="shared" si="139"/>
        <v>106.67053333333334</v>
      </c>
      <c r="AC226" s="179">
        <f t="shared" si="140"/>
        <v>94.387200000000007</v>
      </c>
      <c r="AD226" s="179">
        <f t="shared" si="141"/>
        <v>71.025266666666667</v>
      </c>
      <c r="AE226" s="179">
        <f t="shared" si="142"/>
        <v>63.445639675456796</v>
      </c>
      <c r="AF226" s="179">
        <f t="shared" si="143"/>
        <v>53.804513235229244</v>
      </c>
    </row>
    <row r="227" spans="2:32">
      <c r="B227" s="122">
        <f t="shared" si="130"/>
        <v>69798161</v>
      </c>
      <c r="C227" s="122" t="str">
        <f>VLOOKUP($B227,'Tech Litons'!$A:$I,3,0)</f>
        <v>Quarts</v>
      </c>
      <c r="D227" s="122" t="str">
        <f>VLOOKUP($B227,'Tech Litons'!$A:$I,4,0)</f>
        <v>Other</v>
      </c>
      <c r="E227" s="1021" t="s">
        <v>1096</v>
      </c>
      <c r="F227" s="1021">
        <v>69798161</v>
      </c>
      <c r="G227" s="1023">
        <v>2938</v>
      </c>
      <c r="H227" s="1023">
        <v>3188</v>
      </c>
      <c r="I227" s="1023">
        <v>4508.1945113267848</v>
      </c>
      <c r="J227" s="1023">
        <v>4623.1156732001327</v>
      </c>
      <c r="K227" s="1023">
        <v>3261.979839653236</v>
      </c>
      <c r="L227" s="1023">
        <v>6988.7391830003307</v>
      </c>
      <c r="M227" s="1023">
        <v>3987.7900000000004</v>
      </c>
      <c r="N227" s="1023">
        <v>3065.4600000000005</v>
      </c>
      <c r="O227" s="1023">
        <v>3264.3400000000006</v>
      </c>
      <c r="P227" s="1023">
        <v>3197.5343267998683</v>
      </c>
      <c r="Q227" s="1023">
        <v>2887.5099999999998</v>
      </c>
      <c r="R227" s="1023">
        <v>2887.58</v>
      </c>
      <c r="S227" s="169">
        <f t="shared" si="131"/>
        <v>44798.243533980363</v>
      </c>
      <c r="T227" s="122">
        <f>VLOOKUP($B227,'Tech Litons'!$A:$I,9,0)</f>
        <v>182</v>
      </c>
      <c r="U227" s="179">
        <f t="shared" si="132"/>
        <v>16.142857142857142</v>
      </c>
      <c r="V227" s="179">
        <f t="shared" si="133"/>
        <v>17.516483516483518</v>
      </c>
      <c r="W227" s="179">
        <f t="shared" si="134"/>
        <v>24.770299512784533</v>
      </c>
      <c r="X227" s="179">
        <f t="shared" si="135"/>
        <v>25.401734468132599</v>
      </c>
      <c r="Y227" s="179">
        <f t="shared" si="136"/>
        <v>17.922966151940859</v>
      </c>
      <c r="Z227" s="179">
        <f t="shared" si="137"/>
        <v>38.399665840661157</v>
      </c>
      <c r="AA227" s="179">
        <f t="shared" si="138"/>
        <v>21.910934065934068</v>
      </c>
      <c r="AB227" s="179">
        <f t="shared" si="139"/>
        <v>16.843186813186815</v>
      </c>
      <c r="AC227" s="179">
        <f t="shared" si="140"/>
        <v>17.93593406593407</v>
      </c>
      <c r="AD227" s="179">
        <f t="shared" si="141"/>
        <v>17.568869927471805</v>
      </c>
      <c r="AE227" s="179">
        <f t="shared" si="142"/>
        <v>15.86543956043956</v>
      </c>
      <c r="AF227" s="179">
        <f t="shared" si="143"/>
        <v>15.865824175824175</v>
      </c>
    </row>
    <row r="228" spans="2:32">
      <c r="B228" s="122">
        <f t="shared" si="130"/>
        <v>69706147</v>
      </c>
      <c r="C228" s="122" t="str">
        <f>VLOOKUP($B228,'Tech Litons'!$A:$I,3,0)</f>
        <v>TAL NV</v>
      </c>
      <c r="D228" s="122" t="str">
        <f>VLOOKUP($B228,'Tech Litons'!$A:$I,4,0)</f>
        <v>MG Sticks</v>
      </c>
      <c r="E228" s="1021" t="s">
        <v>906</v>
      </c>
      <c r="F228" s="1021">
        <v>69706147</v>
      </c>
      <c r="G228" s="1023">
        <v>1728</v>
      </c>
      <c r="H228" s="1023">
        <v>2314</v>
      </c>
      <c r="I228" s="1023">
        <v>2000</v>
      </c>
      <c r="J228" s="1023">
        <v>0</v>
      </c>
      <c r="K228" s="1023">
        <v>0</v>
      </c>
      <c r="L228" s="1023">
        <v>0</v>
      </c>
      <c r="M228" s="1023">
        <v>0</v>
      </c>
      <c r="N228" s="1023">
        <v>0</v>
      </c>
      <c r="O228" s="1023">
        <v>0</v>
      </c>
      <c r="P228" s="1023">
        <v>0</v>
      </c>
      <c r="Q228" s="1023">
        <v>0</v>
      </c>
      <c r="R228" s="1023">
        <v>0</v>
      </c>
      <c r="S228" s="169">
        <f t="shared" si="131"/>
        <v>6042</v>
      </c>
      <c r="T228" s="122">
        <f>VLOOKUP($B228,'Tech Litons'!$A:$I,9,0)</f>
        <v>176</v>
      </c>
      <c r="U228" s="179">
        <f t="shared" si="132"/>
        <v>9.8181818181818183</v>
      </c>
      <c r="V228" s="179">
        <f t="shared" si="133"/>
        <v>13.147727272727273</v>
      </c>
      <c r="W228" s="179">
        <f t="shared" si="134"/>
        <v>11.363636363636363</v>
      </c>
      <c r="X228" s="179">
        <f t="shared" si="135"/>
        <v>0</v>
      </c>
      <c r="Y228" s="179">
        <f t="shared" si="136"/>
        <v>0</v>
      </c>
      <c r="Z228" s="179">
        <f t="shared" si="137"/>
        <v>0</v>
      </c>
      <c r="AA228" s="179">
        <f t="shared" si="138"/>
        <v>0</v>
      </c>
      <c r="AB228" s="179">
        <f t="shared" si="139"/>
        <v>0</v>
      </c>
      <c r="AC228" s="179">
        <f t="shared" si="140"/>
        <v>0</v>
      </c>
      <c r="AD228" s="179">
        <f t="shared" si="141"/>
        <v>0</v>
      </c>
      <c r="AE228" s="179">
        <f t="shared" si="142"/>
        <v>0</v>
      </c>
      <c r="AF228" s="179">
        <f t="shared" si="143"/>
        <v>0</v>
      </c>
    </row>
    <row r="229" spans="2:32">
      <c r="B229" s="122">
        <f t="shared" si="130"/>
        <v>69797288</v>
      </c>
      <c r="C229" s="122" t="str">
        <f>VLOOKUP($B229,'Tech Litons'!$A:$I,3,0)</f>
        <v>BJ PTS</v>
      </c>
      <c r="D229" s="122" t="str">
        <f>VLOOKUP($B229,'Tech Litons'!$A:$I,4,0)</f>
        <v>BJ PTS</v>
      </c>
      <c r="E229" s="1022" t="s">
        <v>454</v>
      </c>
      <c r="F229" s="1022">
        <v>69797288</v>
      </c>
      <c r="G229" s="1025">
        <v>14507</v>
      </c>
      <c r="H229" s="1025">
        <v>13864</v>
      </c>
      <c r="I229" s="1025">
        <v>14058.4241010151</v>
      </c>
      <c r="J229" s="1025">
        <v>14217.113693707466</v>
      </c>
      <c r="K229" s="1025">
        <v>16430.222961937627</v>
      </c>
      <c r="L229" s="1025">
        <v>16687.086108568896</v>
      </c>
      <c r="M229" s="1025">
        <v>17757.829160487971</v>
      </c>
      <c r="N229" s="1025">
        <v>17172.144456868613</v>
      </c>
      <c r="O229" s="1025">
        <v>11721.437437249007</v>
      </c>
      <c r="P229" s="1025">
        <v>11783.716616222591</v>
      </c>
      <c r="Q229" s="1025">
        <v>12198.126350584171</v>
      </c>
      <c r="R229" s="1025">
        <v>10502.406338255578</v>
      </c>
      <c r="S229" s="169">
        <f t="shared" si="131"/>
        <v>170899.50722489704</v>
      </c>
      <c r="T229" s="122">
        <f>VLOOKUP($B229,'Tech Litons'!$A:$I,9,0)</f>
        <v>240</v>
      </c>
      <c r="U229" s="179">
        <f t="shared" si="132"/>
        <v>60.445833333333333</v>
      </c>
      <c r="V229" s="179">
        <f t="shared" si="133"/>
        <v>57.766666666666666</v>
      </c>
      <c r="W229" s="179">
        <f t="shared" si="134"/>
        <v>58.576767087562914</v>
      </c>
      <c r="X229" s="179">
        <f t="shared" si="135"/>
        <v>59.23797372378111</v>
      </c>
      <c r="Y229" s="179">
        <f t="shared" si="136"/>
        <v>68.459262341406784</v>
      </c>
      <c r="Z229" s="179">
        <f t="shared" si="137"/>
        <v>69.529525452370393</v>
      </c>
      <c r="AA229" s="179">
        <f t="shared" si="138"/>
        <v>73.990954835366537</v>
      </c>
      <c r="AB229" s="179">
        <f t="shared" si="139"/>
        <v>71.550601903619224</v>
      </c>
      <c r="AC229" s="179">
        <f t="shared" si="140"/>
        <v>48.839322655204199</v>
      </c>
      <c r="AD229" s="179">
        <f t="shared" si="141"/>
        <v>49.098819234260795</v>
      </c>
      <c r="AE229" s="179">
        <f t="shared" si="142"/>
        <v>50.825526460767378</v>
      </c>
      <c r="AF229" s="179">
        <f t="shared" si="143"/>
        <v>43.760026409398243</v>
      </c>
    </row>
    <row r="230" spans="2:32">
      <c r="B230" s="122">
        <f t="shared" si="130"/>
        <v>64874631</v>
      </c>
      <c r="C230" s="122" t="str">
        <f>VLOOKUP($B230,'Tech Litons'!$A:$I,3,0)</f>
        <v>ESS</v>
      </c>
      <c r="D230" s="122" t="str">
        <f>VLOOKUP($B230,'Tech Litons'!$A:$I,4,0)</f>
        <v>ESS</v>
      </c>
      <c r="E230" s="1021" t="s">
        <v>925</v>
      </c>
      <c r="F230" s="1021">
        <v>64874631</v>
      </c>
      <c r="G230" s="1023">
        <v>4551</v>
      </c>
      <c r="H230" s="1023">
        <v>6105</v>
      </c>
      <c r="I230" s="1023">
        <v>8408.48</v>
      </c>
      <c r="J230" s="1023">
        <v>9018.43</v>
      </c>
      <c r="K230" s="1023">
        <v>10879.276775410564</v>
      </c>
      <c r="L230" s="1023">
        <v>13105.241130594643</v>
      </c>
      <c r="M230" s="1023">
        <v>8669.5526295800119</v>
      </c>
      <c r="N230" s="1023">
        <v>9322.2603727652113</v>
      </c>
      <c r="O230" s="1023">
        <v>9063.1999999999989</v>
      </c>
      <c r="P230" s="1023">
        <v>5938.74</v>
      </c>
      <c r="Q230" s="1023">
        <v>4970.7199999999993</v>
      </c>
      <c r="R230" s="1023">
        <v>5522.35</v>
      </c>
      <c r="S230" s="169">
        <f t="shared" si="131"/>
        <v>95554.250908350441</v>
      </c>
      <c r="T230" s="122">
        <f>VLOOKUP($B230,'Tech Litons'!$A:$I,9,0)</f>
        <v>189</v>
      </c>
      <c r="U230" s="179">
        <f t="shared" si="132"/>
        <v>24.079365079365079</v>
      </c>
      <c r="V230" s="179">
        <f t="shared" si="133"/>
        <v>32.301587301587304</v>
      </c>
      <c r="W230" s="179">
        <f t="shared" si="134"/>
        <v>44.489312169312164</v>
      </c>
      <c r="X230" s="179">
        <f t="shared" si="135"/>
        <v>47.716560846560846</v>
      </c>
      <c r="Y230" s="179">
        <f t="shared" si="136"/>
        <v>57.562310981008274</v>
      </c>
      <c r="Z230" s="179">
        <f t="shared" si="137"/>
        <v>69.339900161876415</v>
      </c>
      <c r="AA230" s="179">
        <f t="shared" si="138"/>
        <v>45.870648833756675</v>
      </c>
      <c r="AB230" s="179">
        <f t="shared" si="139"/>
        <v>49.324128956429689</v>
      </c>
      <c r="AC230" s="179">
        <f t="shared" si="140"/>
        <v>47.953439153439149</v>
      </c>
      <c r="AD230" s="179">
        <f t="shared" si="141"/>
        <v>31.421904761904759</v>
      </c>
      <c r="AE230" s="179">
        <f t="shared" si="142"/>
        <v>26.300105820105816</v>
      </c>
      <c r="AF230" s="179">
        <f t="shared" si="143"/>
        <v>29.218783068783072</v>
      </c>
    </row>
    <row r="231" spans="2:32">
      <c r="B231" s="122">
        <f t="shared" si="130"/>
        <v>64409314</v>
      </c>
      <c r="C231" s="122" t="str">
        <f>VLOOKUP($B231,'Tech Litons'!$A:$I,3,0)</f>
        <v>Other</v>
      </c>
      <c r="D231" s="122" t="str">
        <f>VLOOKUP($B231,'Tech Litons'!$A:$I,4,0)</f>
        <v>Other</v>
      </c>
      <c r="E231" s="1022" t="s">
        <v>624</v>
      </c>
      <c r="F231" s="1022">
        <v>64409314</v>
      </c>
      <c r="G231" s="1025">
        <v>6285</v>
      </c>
      <c r="H231" s="1025">
        <v>3945</v>
      </c>
      <c r="I231" s="1025">
        <v>7476.3242224927108</v>
      </c>
      <c r="J231" s="1025">
        <v>9021.7174995931673</v>
      </c>
      <c r="K231" s="1025">
        <v>8648.2044385064273</v>
      </c>
      <c r="L231" s="1025">
        <v>9535.7489515953785</v>
      </c>
      <c r="M231" s="1025">
        <v>10477.411216448209</v>
      </c>
      <c r="N231" s="1025">
        <v>9607.5164786024361</v>
      </c>
      <c r="O231" s="1025">
        <v>9507.6084520669901</v>
      </c>
      <c r="P231" s="1025">
        <v>8181.1689071744458</v>
      </c>
      <c r="Q231" s="1025">
        <v>4611.8915444973345</v>
      </c>
      <c r="R231" s="1025">
        <v>5004.4005348162345</v>
      </c>
      <c r="S231" s="169">
        <f t="shared" si="131"/>
        <v>92301.992245793328</v>
      </c>
      <c r="T231" s="122">
        <f>VLOOKUP($B231,'Tech Litons'!$A:$I,9,0)</f>
        <v>135</v>
      </c>
      <c r="U231" s="179">
        <f t="shared" si="132"/>
        <v>46.555555555555557</v>
      </c>
      <c r="V231" s="179">
        <f t="shared" si="133"/>
        <v>29.222222222222221</v>
      </c>
      <c r="W231" s="179">
        <f t="shared" si="134"/>
        <v>55.38017942587193</v>
      </c>
      <c r="X231" s="179">
        <f t="shared" si="135"/>
        <v>66.827537034023464</v>
      </c>
      <c r="Y231" s="179">
        <f t="shared" si="136"/>
        <v>64.060773618566131</v>
      </c>
      <c r="Z231" s="179">
        <f t="shared" si="137"/>
        <v>70.63517741922503</v>
      </c>
      <c r="AA231" s="179">
        <f t="shared" si="138"/>
        <v>77.610453455171921</v>
      </c>
      <c r="AB231" s="179">
        <f t="shared" si="139"/>
        <v>71.166788730388419</v>
      </c>
      <c r="AC231" s="179">
        <f t="shared" si="140"/>
        <v>70.426729274570292</v>
      </c>
      <c r="AD231" s="179">
        <f t="shared" si="141"/>
        <v>60.601251164255153</v>
      </c>
      <c r="AE231" s="179">
        <f t="shared" si="142"/>
        <v>34.162159588869144</v>
      </c>
      <c r="AF231" s="179">
        <f t="shared" si="143"/>
        <v>37.069633591231366</v>
      </c>
    </row>
    <row r="232" spans="2:32">
      <c r="B232" s="122">
        <f t="shared" si="130"/>
        <v>64369052</v>
      </c>
      <c r="C232" s="122" t="str">
        <f>VLOOKUP($B232,'Tech Litons'!$A:$I,3,0)</f>
        <v>KL Mini Cones</v>
      </c>
      <c r="D232" s="122" t="str">
        <f>VLOOKUP($B232,'Tech Litons'!$A:$I,4,0)</f>
        <v>KL Mini Cones</v>
      </c>
      <c r="E232" s="1021" t="s">
        <v>1103</v>
      </c>
      <c r="F232" s="1021">
        <v>64369052</v>
      </c>
      <c r="G232" s="1024">
        <v>1944</v>
      </c>
      <c r="H232" s="1023">
        <v>1032</v>
      </c>
      <c r="I232" s="1023">
        <v>926.88942940136508</v>
      </c>
      <c r="J232" s="1023">
        <v>2893.191897266448</v>
      </c>
      <c r="K232" s="1023">
        <v>3115.0072945628303</v>
      </c>
      <c r="L232" s="1023">
        <v>3389.3705941626413</v>
      </c>
      <c r="M232" s="1023">
        <v>1882.0550841774486</v>
      </c>
      <c r="N232" s="1023">
        <v>1421.334972947875</v>
      </c>
      <c r="O232" s="1023">
        <v>715.96421892784531</v>
      </c>
      <c r="P232" s="1023">
        <v>904.35684356283787</v>
      </c>
      <c r="Q232" s="1023">
        <v>1012.9084131852294</v>
      </c>
      <c r="R232" s="1023">
        <v>784.92255445748458</v>
      </c>
      <c r="S232" s="169">
        <f t="shared" si="131"/>
        <v>20022.001302652003</v>
      </c>
      <c r="T232" s="122">
        <f>VLOOKUP($B232,'Tech Litons'!$A:$I,9,0)</f>
        <v>120</v>
      </c>
      <c r="U232" s="179">
        <f t="shared" si="132"/>
        <v>16.2</v>
      </c>
      <c r="V232" s="179">
        <f t="shared" si="133"/>
        <v>8.6</v>
      </c>
      <c r="W232" s="179">
        <f t="shared" si="134"/>
        <v>7.7240785783447086</v>
      </c>
      <c r="X232" s="179">
        <f t="shared" si="135"/>
        <v>24.109932477220401</v>
      </c>
      <c r="Y232" s="179">
        <f t="shared" si="136"/>
        <v>25.958394121356921</v>
      </c>
      <c r="Z232" s="179">
        <f t="shared" si="137"/>
        <v>28.244754951355343</v>
      </c>
      <c r="AA232" s="179">
        <f t="shared" si="138"/>
        <v>15.683792368145406</v>
      </c>
      <c r="AB232" s="179">
        <f t="shared" si="139"/>
        <v>11.844458107898959</v>
      </c>
      <c r="AC232" s="179">
        <f t="shared" si="140"/>
        <v>5.9663684910653778</v>
      </c>
      <c r="AD232" s="179">
        <f t="shared" si="141"/>
        <v>7.5363070296903159</v>
      </c>
      <c r="AE232" s="179">
        <f t="shared" si="142"/>
        <v>8.4409034432102441</v>
      </c>
      <c r="AF232" s="179">
        <f t="shared" si="143"/>
        <v>6.5410212871457052</v>
      </c>
    </row>
    <row r="233" spans="2:32">
      <c r="B233" s="122">
        <f t="shared" si="130"/>
        <v>69552657</v>
      </c>
      <c r="C233" s="122" t="str">
        <f>VLOOKUP($B233,'Tech Litons'!$A:$I,3,0)</f>
        <v>KL Mini Cones</v>
      </c>
      <c r="D233" s="122" t="str">
        <f>VLOOKUP($B233,'Tech Litons'!$A:$I,4,0)</f>
        <v>KL Mini Cones</v>
      </c>
      <c r="E233" s="1021" t="s">
        <v>625</v>
      </c>
      <c r="F233" s="1021">
        <v>69552657</v>
      </c>
      <c r="G233" s="1023">
        <v>4500</v>
      </c>
      <c r="H233" s="1023">
        <v>2312</v>
      </c>
      <c r="I233" s="1023">
        <v>2013.7533927699694</v>
      </c>
      <c r="J233" s="1023">
        <v>1455.8267945556922</v>
      </c>
      <c r="K233" s="1023">
        <v>434.94185217885024</v>
      </c>
      <c r="L233" s="1023">
        <v>1063.856587558025</v>
      </c>
      <c r="M233" s="1023">
        <v>2314.5674665582264</v>
      </c>
      <c r="N233" s="1023">
        <v>1280.6110766823074</v>
      </c>
      <c r="O233" s="1023">
        <v>1688.4329207881819</v>
      </c>
      <c r="P233" s="1023">
        <v>2218.6015741120755</v>
      </c>
      <c r="Q233" s="1023">
        <v>1501.9572406925486</v>
      </c>
      <c r="R233" s="1023">
        <v>1711.8035304117591</v>
      </c>
      <c r="S233" s="169">
        <f t="shared" si="131"/>
        <v>22496.352436307636</v>
      </c>
      <c r="T233" s="122">
        <f>VLOOKUP($B233,'Tech Litons'!$A:$I,9,0)</f>
        <v>108</v>
      </c>
      <c r="U233" s="179">
        <f t="shared" si="132"/>
        <v>41.666666666666664</v>
      </c>
      <c r="V233" s="179">
        <f t="shared" si="133"/>
        <v>21.407407407407408</v>
      </c>
      <c r="W233" s="179">
        <f t="shared" si="134"/>
        <v>18.645864747870089</v>
      </c>
      <c r="X233" s="179">
        <f t="shared" si="135"/>
        <v>13.479877727367521</v>
      </c>
      <c r="Y233" s="179">
        <f t="shared" si="136"/>
        <v>4.0272393720263908</v>
      </c>
      <c r="Z233" s="179">
        <f t="shared" si="137"/>
        <v>9.8505239588706015</v>
      </c>
      <c r="AA233" s="179">
        <f t="shared" si="138"/>
        <v>21.431180245909506</v>
      </c>
      <c r="AB233" s="179">
        <f t="shared" si="139"/>
        <v>11.857509969280624</v>
      </c>
      <c r="AC233" s="179">
        <f t="shared" si="140"/>
        <v>15.633638155446128</v>
      </c>
      <c r="AD233" s="179">
        <f t="shared" si="141"/>
        <v>20.542607167704404</v>
      </c>
      <c r="AE233" s="179">
        <f t="shared" si="142"/>
        <v>13.907011487893968</v>
      </c>
      <c r="AF233" s="179">
        <f t="shared" si="143"/>
        <v>15.85003268899777</v>
      </c>
    </row>
    <row r="234" spans="2:32">
      <c r="B234" s="122">
        <f t="shared" si="130"/>
        <v>68410353</v>
      </c>
      <c r="C234" s="122" t="str">
        <f>VLOOKUP($B234,'Tech Litons'!$A:$I,3,0)</f>
        <v>MG Sticks</v>
      </c>
      <c r="D234" s="122" t="str">
        <f>VLOOKUP($B234,'Tech Litons'!$A:$I,4,0)</f>
        <v>MG Sticks</v>
      </c>
      <c r="E234" s="1021" t="s">
        <v>902</v>
      </c>
      <c r="F234" s="1021">
        <v>68410353</v>
      </c>
      <c r="G234" s="1023">
        <v>6392</v>
      </c>
      <c r="H234" s="1023">
        <v>8048</v>
      </c>
      <c r="I234" s="1023">
        <v>6621.8390134417077</v>
      </c>
      <c r="J234" s="1023">
        <v>7165.5921556085759</v>
      </c>
      <c r="K234" s="1023">
        <v>8471.2073827207423</v>
      </c>
      <c r="L234" s="1023">
        <v>8212.1699243151415</v>
      </c>
      <c r="M234" s="1023">
        <v>7243.3300788670995</v>
      </c>
      <c r="N234" s="1023">
        <v>8383.7748759650985</v>
      </c>
      <c r="O234" s="1023">
        <v>5173.6240327416344</v>
      </c>
      <c r="P234" s="1023">
        <v>4474.3798300162571</v>
      </c>
      <c r="Q234" s="1023">
        <v>3338.7389349318446</v>
      </c>
      <c r="R234" s="1023">
        <v>3848.9788494540503</v>
      </c>
      <c r="S234" s="169">
        <f t="shared" si="131"/>
        <v>77373.635078062158</v>
      </c>
      <c r="T234" s="122">
        <f>VLOOKUP($B234,'Tech Litons'!$A:$I,9,0)</f>
        <v>176</v>
      </c>
      <c r="U234" s="179">
        <f t="shared" si="132"/>
        <v>36.31818181818182</v>
      </c>
      <c r="V234" s="179">
        <f t="shared" si="133"/>
        <v>45.727272727272727</v>
      </c>
      <c r="W234" s="179">
        <f t="shared" si="134"/>
        <v>37.624085303646069</v>
      </c>
      <c r="X234" s="179">
        <f t="shared" si="135"/>
        <v>40.713591793230542</v>
      </c>
      <c r="Y234" s="179">
        <f t="shared" si="136"/>
        <v>48.131860129095124</v>
      </c>
      <c r="Z234" s="179">
        <f t="shared" si="137"/>
        <v>46.66005638815421</v>
      </c>
      <c r="AA234" s="179">
        <f t="shared" si="138"/>
        <v>41.155284539017607</v>
      </c>
      <c r="AB234" s="179">
        <f t="shared" si="139"/>
        <v>47.63508452252897</v>
      </c>
      <c r="AC234" s="179">
        <f t="shared" si="140"/>
        <v>29.395591095122924</v>
      </c>
      <c r="AD234" s="179">
        <f t="shared" si="141"/>
        <v>25.422612670546915</v>
      </c>
      <c r="AE234" s="179">
        <f t="shared" si="142"/>
        <v>18.970107584840026</v>
      </c>
      <c r="AF234" s="179">
        <f t="shared" si="143"/>
        <v>21.869198008261648</v>
      </c>
    </row>
    <row r="235" spans="2:32">
      <c r="B235" s="122">
        <f t="shared" si="130"/>
        <v>64789262</v>
      </c>
      <c r="C235" s="122" t="str">
        <f>VLOOKUP($B235,'Tech Litons'!$A:$I,3,0)</f>
        <v>MBG</v>
      </c>
      <c r="D235" s="122" t="str">
        <f>VLOOKUP($B235,'Tech Litons'!$A:$I,4,0)</f>
        <v>MBG</v>
      </c>
      <c r="E235" s="1021" t="s">
        <v>921</v>
      </c>
      <c r="F235" s="1021">
        <v>64789262</v>
      </c>
      <c r="G235" s="1023">
        <v>8865</v>
      </c>
      <c r="H235" s="1023">
        <v>9615</v>
      </c>
      <c r="I235" s="1023">
        <v>13196.195490858872</v>
      </c>
      <c r="J235" s="1023">
        <v>24556.753304825084</v>
      </c>
      <c r="K235" s="1023">
        <v>34154.025327606694</v>
      </c>
      <c r="L235" s="1023">
        <v>31563.859850480061</v>
      </c>
      <c r="M235" s="1023">
        <v>31545.318833843052</v>
      </c>
      <c r="N235" s="1023">
        <v>23402.418354330275</v>
      </c>
      <c r="O235" s="1023">
        <v>20660.650970376992</v>
      </c>
      <c r="P235" s="1023">
        <v>16698.529694099372</v>
      </c>
      <c r="Q235" s="1023">
        <v>14372.700924012865</v>
      </c>
      <c r="R235" s="1023">
        <v>11608.13403351699</v>
      </c>
      <c r="S235" s="169">
        <f t="shared" si="131"/>
        <v>240238.58678395028</v>
      </c>
      <c r="T235" s="122">
        <f>VLOOKUP($B235,'Tech Litons'!$A:$I,9,0)</f>
        <v>225</v>
      </c>
      <c r="U235" s="179">
        <f t="shared" si="132"/>
        <v>39.4</v>
      </c>
      <c r="V235" s="179">
        <f t="shared" si="133"/>
        <v>42.733333333333334</v>
      </c>
      <c r="W235" s="179">
        <f t="shared" si="134"/>
        <v>58.649757737150544</v>
      </c>
      <c r="X235" s="179">
        <f t="shared" si="135"/>
        <v>109.14112579922259</v>
      </c>
      <c r="Y235" s="179">
        <f t="shared" si="136"/>
        <v>151.79566812269641</v>
      </c>
      <c r="Z235" s="179">
        <f t="shared" si="137"/>
        <v>140.28382155768915</v>
      </c>
      <c r="AA235" s="179">
        <f t="shared" si="138"/>
        <v>140.20141703930244</v>
      </c>
      <c r="AB235" s="179">
        <f t="shared" si="139"/>
        <v>104.01074824146789</v>
      </c>
      <c r="AC235" s="179">
        <f t="shared" si="140"/>
        <v>91.825115423897742</v>
      </c>
      <c r="AD235" s="179">
        <f t="shared" si="141"/>
        <v>74.215687529330538</v>
      </c>
      <c r="AE235" s="179">
        <f t="shared" si="142"/>
        <v>63.87867077339051</v>
      </c>
      <c r="AF235" s="179">
        <f t="shared" si="143"/>
        <v>51.591706815631063</v>
      </c>
    </row>
    <row r="236" spans="2:32">
      <c r="B236" s="122">
        <f t="shared" si="130"/>
        <v>69629469</v>
      </c>
      <c r="C236" s="122" t="str">
        <f>VLOOKUP($B236,'Tech Litons'!$A:$I,3,0)</f>
        <v>KL Mini Cones</v>
      </c>
      <c r="D236" s="122" t="str">
        <f>VLOOKUP($B236,'Tech Litons'!$A:$I,4,0)</f>
        <v>KL Mini Cones</v>
      </c>
      <c r="E236" s="1021" t="s">
        <v>983</v>
      </c>
      <c r="F236" s="1021">
        <v>69629469</v>
      </c>
      <c r="G236" s="1023">
        <v>1344</v>
      </c>
      <c r="H236" s="1023">
        <v>1488</v>
      </c>
      <c r="I236" s="1023">
        <v>1779.6353241573245</v>
      </c>
      <c r="J236" s="1023">
        <v>2100.8451195291764</v>
      </c>
      <c r="K236" s="1023">
        <v>1210.4206359317225</v>
      </c>
      <c r="L236" s="1023">
        <v>3839.3028770539258</v>
      </c>
      <c r="M236" s="1023">
        <v>5084.9018334527955</v>
      </c>
      <c r="N236" s="1023">
        <v>1860.8257044443621</v>
      </c>
      <c r="O236" s="1023">
        <v>2978.5944631729176</v>
      </c>
      <c r="P236" s="1023">
        <v>948.92598703963404</v>
      </c>
      <c r="Q236" s="1023">
        <v>1963.5695672853703</v>
      </c>
      <c r="R236" s="1023">
        <v>2104.2164710601551</v>
      </c>
      <c r="S236" s="169">
        <f t="shared" si="131"/>
        <v>26703.237983127383</v>
      </c>
      <c r="T236" s="122">
        <f>VLOOKUP($B236,'Tech Litons'!$A:$I,9,0)</f>
        <v>120</v>
      </c>
      <c r="U236" s="179">
        <f t="shared" si="132"/>
        <v>11.2</v>
      </c>
      <c r="V236" s="179">
        <f t="shared" si="133"/>
        <v>12.4</v>
      </c>
      <c r="W236" s="179">
        <f t="shared" si="134"/>
        <v>14.830294367977704</v>
      </c>
      <c r="X236" s="179">
        <f t="shared" si="135"/>
        <v>17.507042662743135</v>
      </c>
      <c r="Y236" s="179">
        <f t="shared" si="136"/>
        <v>10.086838632764353</v>
      </c>
      <c r="Z236" s="179">
        <f t="shared" si="137"/>
        <v>31.994190642116049</v>
      </c>
      <c r="AA236" s="179">
        <f t="shared" si="138"/>
        <v>42.374181945439965</v>
      </c>
      <c r="AB236" s="179">
        <f t="shared" si="139"/>
        <v>15.506880870369685</v>
      </c>
      <c r="AC236" s="179">
        <f t="shared" si="140"/>
        <v>24.821620526440981</v>
      </c>
      <c r="AD236" s="179">
        <f t="shared" si="141"/>
        <v>7.9077165586636173</v>
      </c>
      <c r="AE236" s="179">
        <f t="shared" si="142"/>
        <v>16.363079727378086</v>
      </c>
      <c r="AF236" s="179">
        <f t="shared" si="143"/>
        <v>17.535137258834627</v>
      </c>
    </row>
    <row r="237" spans="2:32">
      <c r="B237" s="122">
        <f t="shared" si="130"/>
        <v>62697528</v>
      </c>
      <c r="C237" s="122" t="str">
        <f>VLOOKUP($B237,'Tech Litons'!$A:$I,3,0)</f>
        <v>BJ PTS</v>
      </c>
      <c r="D237" s="122" t="str">
        <f>VLOOKUP($B237,'Tech Litons'!$A:$I,4,0)</f>
        <v>BJ PTS</v>
      </c>
      <c r="E237" s="1021" t="s">
        <v>942</v>
      </c>
      <c r="F237" s="1021">
        <v>62697528</v>
      </c>
      <c r="G237" s="1023">
        <v>8282</v>
      </c>
      <c r="H237" s="1023">
        <v>6857</v>
      </c>
      <c r="I237" s="1023">
        <v>11294.962414688671</v>
      </c>
      <c r="J237" s="1023">
        <v>8606.0790093077831</v>
      </c>
      <c r="K237" s="1023">
        <v>9750.5351115237881</v>
      </c>
      <c r="L237" s="1023">
        <v>10101.56871532872</v>
      </c>
      <c r="M237" s="1023">
        <v>9573.8599883984498</v>
      </c>
      <c r="N237" s="1023">
        <v>10107.185337053725</v>
      </c>
      <c r="O237" s="1023">
        <v>8294.0484708733838</v>
      </c>
      <c r="P237" s="1023">
        <v>6545.9241710516144</v>
      </c>
      <c r="Q237" s="1023">
        <v>7673.2658911667613</v>
      </c>
      <c r="R237" s="1023">
        <v>6760.9538474616211</v>
      </c>
      <c r="S237" s="169">
        <f t="shared" si="131"/>
        <v>103847.38295685453</v>
      </c>
      <c r="T237" s="122">
        <f>VLOOKUP($B237,'Tech Litons'!$A:$I,9,0)</f>
        <v>240</v>
      </c>
      <c r="U237" s="179">
        <f t="shared" si="132"/>
        <v>34.508333333333333</v>
      </c>
      <c r="V237" s="179">
        <f t="shared" si="133"/>
        <v>28.570833333333333</v>
      </c>
      <c r="W237" s="179">
        <f t="shared" si="134"/>
        <v>47.062343394536128</v>
      </c>
      <c r="X237" s="179">
        <f t="shared" si="135"/>
        <v>35.858662538782433</v>
      </c>
      <c r="Y237" s="179">
        <f t="shared" si="136"/>
        <v>40.627229631349117</v>
      </c>
      <c r="Z237" s="179">
        <f t="shared" si="137"/>
        <v>42.089869647203003</v>
      </c>
      <c r="AA237" s="179">
        <f t="shared" si="138"/>
        <v>39.891083284993542</v>
      </c>
      <c r="AB237" s="179">
        <f t="shared" si="139"/>
        <v>42.113272237723855</v>
      </c>
      <c r="AC237" s="179">
        <f t="shared" si="140"/>
        <v>34.558535295305767</v>
      </c>
      <c r="AD237" s="179">
        <f t="shared" si="141"/>
        <v>27.274684046048392</v>
      </c>
      <c r="AE237" s="179">
        <f t="shared" si="142"/>
        <v>31.971941213194839</v>
      </c>
      <c r="AF237" s="179">
        <f t="shared" si="143"/>
        <v>28.170641031090089</v>
      </c>
    </row>
    <row r="238" spans="2:32">
      <c r="B238" s="122">
        <f t="shared" si="130"/>
        <v>69964646</v>
      </c>
      <c r="C238" s="122" t="str">
        <f>VLOOKUP($B238,'Tech Litons'!$A:$I,3,0)</f>
        <v>KL Mini Cones</v>
      </c>
      <c r="D238" s="122" t="str">
        <f>VLOOKUP($B238,'Tech Litons'!$A:$I,4,0)</f>
        <v>KL Mini Cones</v>
      </c>
      <c r="E238" s="1021" t="s">
        <v>632</v>
      </c>
      <c r="F238" s="1021">
        <v>69964646</v>
      </c>
      <c r="G238" s="1023">
        <v>2214</v>
      </c>
      <c r="H238" s="1023">
        <v>4935</v>
      </c>
      <c r="I238" s="1023">
        <v>4000.4700000000007</v>
      </c>
      <c r="J238" s="1023">
        <v>4790.170000000001</v>
      </c>
      <c r="K238" s="1023">
        <v>4974.3200000000006</v>
      </c>
      <c r="L238" s="1023">
        <v>4448.6099999999997</v>
      </c>
      <c r="M238" s="1023">
        <v>5240.0200000000004</v>
      </c>
      <c r="N238" s="1023">
        <v>3513.6000000000004</v>
      </c>
      <c r="O238" s="1023">
        <v>4648.8999999999996</v>
      </c>
      <c r="P238" s="1023">
        <v>4196.3100000000004</v>
      </c>
      <c r="Q238" s="1023">
        <v>3684.91</v>
      </c>
      <c r="R238" s="1023">
        <v>2734.6900000000005</v>
      </c>
      <c r="S238" s="169">
        <f t="shared" si="131"/>
        <v>49381</v>
      </c>
      <c r="T238" s="122">
        <f>VLOOKUP($B238,'Tech Litons'!$A:$I,9,0)</f>
        <v>180</v>
      </c>
      <c r="U238" s="179">
        <f t="shared" si="132"/>
        <v>12.3</v>
      </c>
      <c r="V238" s="179">
        <f t="shared" si="133"/>
        <v>27.416666666666668</v>
      </c>
      <c r="W238" s="179">
        <f t="shared" si="134"/>
        <v>22.224833333333336</v>
      </c>
      <c r="X238" s="179">
        <f t="shared" si="135"/>
        <v>26.61205555555556</v>
      </c>
      <c r="Y238" s="179">
        <f t="shared" si="136"/>
        <v>27.635111111111115</v>
      </c>
      <c r="Z238" s="179">
        <f t="shared" si="137"/>
        <v>24.714499999999997</v>
      </c>
      <c r="AA238" s="179">
        <f t="shared" si="138"/>
        <v>29.111222222222224</v>
      </c>
      <c r="AB238" s="179">
        <f t="shared" si="139"/>
        <v>19.520000000000003</v>
      </c>
      <c r="AC238" s="179">
        <f t="shared" si="140"/>
        <v>25.827222222222222</v>
      </c>
      <c r="AD238" s="179">
        <f t="shared" si="141"/>
        <v>23.312833333333337</v>
      </c>
      <c r="AE238" s="179">
        <f t="shared" si="142"/>
        <v>20.471722222222223</v>
      </c>
      <c r="AF238" s="179">
        <f t="shared" si="143"/>
        <v>15.192722222222224</v>
      </c>
    </row>
    <row r="239" spans="2:32">
      <c r="B239" s="122">
        <f t="shared" si="130"/>
        <v>68710277</v>
      </c>
      <c r="C239" s="122" t="str">
        <f>VLOOKUP($B239,'Tech Litons'!$A:$I,3,0)</f>
        <v>EDF</v>
      </c>
      <c r="D239" s="122" t="str">
        <f>VLOOKUP($B239,'Tech Litons'!$A:$I,4,0)</f>
        <v>EDF</v>
      </c>
      <c r="E239" s="1021" t="s">
        <v>987</v>
      </c>
      <c r="F239" s="1021">
        <v>68710277</v>
      </c>
      <c r="G239" s="1023">
        <v>8664</v>
      </c>
      <c r="H239" s="1023">
        <v>10027</v>
      </c>
      <c r="I239" s="1023">
        <v>15407.599983009921</v>
      </c>
      <c r="J239" s="1023">
        <v>14028.206484554823</v>
      </c>
      <c r="K239" s="1023">
        <v>15714.912970799245</v>
      </c>
      <c r="L239" s="1023">
        <v>18999.444666406845</v>
      </c>
      <c r="M239" s="1023">
        <v>18504.458896393851</v>
      </c>
      <c r="N239" s="1023">
        <v>15691.667978131369</v>
      </c>
      <c r="O239" s="1023">
        <v>11477.600370663091</v>
      </c>
      <c r="P239" s="1023">
        <v>12151.803126557252</v>
      </c>
      <c r="Q239" s="1023">
        <v>8319.9933721503003</v>
      </c>
      <c r="R239" s="1023">
        <v>9062.8273554542448</v>
      </c>
      <c r="S239" s="169">
        <f t="shared" si="131"/>
        <v>158049.51520412095</v>
      </c>
      <c r="T239" s="122">
        <f>VLOOKUP($B239,'Tech Litons'!$A:$I,9,0)</f>
        <v>132</v>
      </c>
      <c r="U239" s="179">
        <f t="shared" si="132"/>
        <v>65.63636363636364</v>
      </c>
      <c r="V239" s="179">
        <f t="shared" si="133"/>
        <v>75.962121212121218</v>
      </c>
      <c r="W239" s="179">
        <f t="shared" si="134"/>
        <v>116.72424229552971</v>
      </c>
      <c r="X239" s="179">
        <f t="shared" si="135"/>
        <v>106.27429154965775</v>
      </c>
      <c r="Y239" s="179">
        <f t="shared" si="136"/>
        <v>119.05237099090337</v>
      </c>
      <c r="Z239" s="179">
        <f t="shared" si="137"/>
        <v>143.93518686671854</v>
      </c>
      <c r="AA239" s="179">
        <f t="shared" si="138"/>
        <v>140.18529466965037</v>
      </c>
      <c r="AB239" s="179">
        <f t="shared" si="139"/>
        <v>118.87627256160128</v>
      </c>
      <c r="AC239" s="179">
        <f t="shared" si="140"/>
        <v>86.951517959568875</v>
      </c>
      <c r="AD239" s="179">
        <f t="shared" si="141"/>
        <v>92.059114595130694</v>
      </c>
      <c r="AE239" s="179">
        <f t="shared" si="142"/>
        <v>63.030252819320459</v>
      </c>
      <c r="AF239" s="179">
        <f t="shared" si="143"/>
        <v>68.657782995865489</v>
      </c>
    </row>
    <row r="240" spans="2:32">
      <c r="B240" s="122">
        <f t="shared" si="130"/>
        <v>69981590</v>
      </c>
      <c r="C240" s="122" t="str">
        <f>VLOOKUP($B240,'Tech Litons'!$A:$I,3,0)</f>
        <v>TAL NV</v>
      </c>
      <c r="D240" s="122" t="str">
        <f>VLOOKUP($B240,'Tech Litons'!$A:$I,4,0)</f>
        <v>MG Sticks</v>
      </c>
      <c r="E240" s="1021" t="s">
        <v>908</v>
      </c>
      <c r="F240" s="1021">
        <v>69981590</v>
      </c>
      <c r="G240" s="1023">
        <v>1550</v>
      </c>
      <c r="H240" s="1023">
        <v>2717</v>
      </c>
      <c r="I240" s="1023">
        <v>2000.0000000000007</v>
      </c>
      <c r="J240" s="1023">
        <v>0</v>
      </c>
      <c r="K240" s="1023">
        <v>0</v>
      </c>
      <c r="L240" s="1023">
        <v>0</v>
      </c>
      <c r="M240" s="1023">
        <v>0</v>
      </c>
      <c r="N240" s="1023">
        <v>0</v>
      </c>
      <c r="O240" s="1023">
        <v>0</v>
      </c>
      <c r="P240" s="1023">
        <v>0</v>
      </c>
      <c r="Q240" s="1023">
        <v>0</v>
      </c>
      <c r="R240" s="1023">
        <v>0</v>
      </c>
      <c r="S240" s="169">
        <f t="shared" si="131"/>
        <v>6267.0000000000009</v>
      </c>
      <c r="T240" s="122">
        <f>VLOOKUP($B240,'Tech Litons'!$A:$I,9,0)</f>
        <v>176</v>
      </c>
      <c r="U240" s="179">
        <f t="shared" si="132"/>
        <v>8.8068181818181817</v>
      </c>
      <c r="V240" s="179">
        <f t="shared" si="133"/>
        <v>15.4375</v>
      </c>
      <c r="W240" s="179">
        <f t="shared" si="134"/>
        <v>11.363636363636367</v>
      </c>
      <c r="X240" s="179">
        <f t="shared" si="135"/>
        <v>0</v>
      </c>
      <c r="Y240" s="179">
        <f t="shared" si="136"/>
        <v>0</v>
      </c>
      <c r="Z240" s="179">
        <f t="shared" si="137"/>
        <v>0</v>
      </c>
      <c r="AA240" s="179">
        <f t="shared" si="138"/>
        <v>0</v>
      </c>
      <c r="AB240" s="179">
        <f t="shared" si="139"/>
        <v>0</v>
      </c>
      <c r="AC240" s="179">
        <f t="shared" si="140"/>
        <v>0</v>
      </c>
      <c r="AD240" s="179">
        <f t="shared" si="141"/>
        <v>0</v>
      </c>
      <c r="AE240" s="179">
        <f t="shared" si="142"/>
        <v>0</v>
      </c>
      <c r="AF240" s="179">
        <f t="shared" si="143"/>
        <v>0</v>
      </c>
    </row>
    <row r="241" spans="2:32">
      <c r="B241" s="122">
        <f t="shared" si="130"/>
        <v>68890247</v>
      </c>
      <c r="C241" s="122" t="str">
        <f>VLOOKUP($B241,'Tech Litons'!$A:$I,3,0)</f>
        <v>48oz</v>
      </c>
      <c r="D241" s="122" t="str">
        <f>VLOOKUP($B241,'Tech Litons'!$A:$I,4,0)</f>
        <v>48oz</v>
      </c>
      <c r="E241" s="1021" t="s">
        <v>885</v>
      </c>
      <c r="F241" s="1021">
        <v>68890247</v>
      </c>
      <c r="G241" s="1023">
        <v>363</v>
      </c>
      <c r="H241" s="1023">
        <v>341</v>
      </c>
      <c r="I241" s="1023">
        <v>437.32555661482633</v>
      </c>
      <c r="J241" s="1023">
        <v>0</v>
      </c>
      <c r="K241" s="1023">
        <v>0</v>
      </c>
      <c r="L241" s="1023">
        <v>15.401458234835129</v>
      </c>
      <c r="M241" s="1023">
        <v>0</v>
      </c>
      <c r="N241" s="1023">
        <v>0</v>
      </c>
      <c r="O241" s="1023">
        <v>0</v>
      </c>
      <c r="P241" s="1023">
        <v>0</v>
      </c>
      <c r="Q241" s="1023">
        <v>0</v>
      </c>
      <c r="R241" s="1023">
        <v>0</v>
      </c>
      <c r="S241" s="169">
        <f t="shared" si="131"/>
        <v>1156.7270148496616</v>
      </c>
      <c r="T241" s="122">
        <f>VLOOKUP($B241,'Tech Litons'!$A:$I,9,0)</f>
        <v>176</v>
      </c>
      <c r="U241" s="179">
        <f t="shared" si="132"/>
        <v>2.0625</v>
      </c>
      <c r="V241" s="179">
        <f t="shared" si="133"/>
        <v>1.9375</v>
      </c>
      <c r="W241" s="179">
        <f t="shared" si="134"/>
        <v>2.4848042989478767</v>
      </c>
      <c r="X241" s="179">
        <f t="shared" si="135"/>
        <v>0</v>
      </c>
      <c r="Y241" s="179">
        <f t="shared" si="136"/>
        <v>0</v>
      </c>
      <c r="Z241" s="179">
        <f t="shared" si="137"/>
        <v>8.7508285425199603E-2</v>
      </c>
      <c r="AA241" s="179">
        <f t="shared" si="138"/>
        <v>0</v>
      </c>
      <c r="AB241" s="179">
        <f t="shared" si="139"/>
        <v>0</v>
      </c>
      <c r="AC241" s="179">
        <f t="shared" si="140"/>
        <v>0</v>
      </c>
      <c r="AD241" s="179">
        <f t="shared" si="141"/>
        <v>0</v>
      </c>
      <c r="AE241" s="179">
        <f t="shared" si="142"/>
        <v>0</v>
      </c>
      <c r="AF241" s="179">
        <f t="shared" si="143"/>
        <v>0</v>
      </c>
    </row>
    <row r="242" spans="2:32">
      <c r="B242" s="122">
        <f t="shared" si="130"/>
        <v>64779835</v>
      </c>
      <c r="C242" s="122" t="str">
        <f>VLOOKUP($B242,'Tech Litons'!$A:$I,3,0)</f>
        <v>Facepieces</v>
      </c>
      <c r="D242" s="122" t="str">
        <f>VLOOKUP($B242,'Tech Litons'!$A:$I,4,0)</f>
        <v>Facepieces</v>
      </c>
      <c r="E242" s="1021" t="s">
        <v>1041</v>
      </c>
      <c r="F242" s="1021">
        <v>64779835</v>
      </c>
      <c r="G242" s="1024">
        <v>1116</v>
      </c>
      <c r="H242" s="1023">
        <v>966</v>
      </c>
      <c r="I242" s="1023">
        <v>579.84615792019679</v>
      </c>
      <c r="J242" s="1023">
        <v>716.34539812388368</v>
      </c>
      <c r="K242" s="1023">
        <v>45.402397338755378</v>
      </c>
      <c r="L242" s="1023">
        <v>304.53992324347524</v>
      </c>
      <c r="M242" s="1023">
        <v>0.85965268453468013</v>
      </c>
      <c r="N242" s="1023">
        <v>0</v>
      </c>
      <c r="O242" s="1023">
        <v>0</v>
      </c>
      <c r="P242" s="1023">
        <v>0</v>
      </c>
      <c r="Q242" s="1023">
        <v>0</v>
      </c>
      <c r="R242" s="1023">
        <v>0</v>
      </c>
      <c r="S242" s="169">
        <f t="shared" si="131"/>
        <v>3728.9935293108451</v>
      </c>
      <c r="T242" s="122">
        <f>VLOOKUP($B242,'Tech Litons'!$A:$I,9,0)</f>
        <v>210</v>
      </c>
      <c r="U242" s="179">
        <f t="shared" si="132"/>
        <v>5.3142857142857141</v>
      </c>
      <c r="V242" s="179">
        <f t="shared" si="133"/>
        <v>4.5999999999999996</v>
      </c>
      <c r="W242" s="179">
        <f t="shared" si="134"/>
        <v>2.7611721805723657</v>
      </c>
      <c r="X242" s="179">
        <f t="shared" si="135"/>
        <v>3.4111685624946841</v>
      </c>
      <c r="Y242" s="179">
        <f t="shared" si="136"/>
        <v>0.21620189208931131</v>
      </c>
      <c r="Z242" s="179">
        <f t="shared" si="137"/>
        <v>1.4501901106832153</v>
      </c>
      <c r="AA242" s="179">
        <f t="shared" si="138"/>
        <v>4.093584212069905E-3</v>
      </c>
      <c r="AB242" s="179">
        <f t="shared" si="139"/>
        <v>0</v>
      </c>
      <c r="AC242" s="179">
        <f t="shared" si="140"/>
        <v>0</v>
      </c>
      <c r="AD242" s="179">
        <f t="shared" si="141"/>
        <v>0</v>
      </c>
      <c r="AE242" s="179">
        <f t="shared" si="142"/>
        <v>0</v>
      </c>
      <c r="AF242" s="179">
        <f t="shared" si="143"/>
        <v>0</v>
      </c>
    </row>
    <row r="243" spans="2:32">
      <c r="B243" s="122">
        <f t="shared" si="130"/>
        <v>64403162</v>
      </c>
      <c r="C243" s="122" t="str">
        <f>VLOOKUP($B243,'Tech Litons'!$A:$I,3,0)</f>
        <v>Facepieces</v>
      </c>
      <c r="D243" s="122" t="str">
        <f>VLOOKUP($B243,'Tech Litons'!$A:$I,4,0)</f>
        <v>Facepieces</v>
      </c>
      <c r="E243" s="1022" t="s">
        <v>1086</v>
      </c>
      <c r="F243" s="1022">
        <v>64403162</v>
      </c>
      <c r="G243" s="1025">
        <v>240</v>
      </c>
      <c r="H243" s="1025">
        <v>30</v>
      </c>
      <c r="I243" s="1025">
        <v>75.77311574589001</v>
      </c>
      <c r="J243" s="1025">
        <v>1342.676765524388</v>
      </c>
      <c r="K243" s="1025">
        <v>203.19777307026723</v>
      </c>
      <c r="L243" s="1025">
        <v>0</v>
      </c>
      <c r="M243" s="1025">
        <v>780.89</v>
      </c>
      <c r="N243" s="1025">
        <v>300.31999999999994</v>
      </c>
      <c r="O243" s="1025">
        <v>304.44</v>
      </c>
      <c r="P243" s="1025">
        <v>44.680000000000021</v>
      </c>
      <c r="Q243" s="1025">
        <v>184.96000000000004</v>
      </c>
      <c r="R243" s="1025">
        <v>238.7</v>
      </c>
      <c r="S243" s="169">
        <f t="shared" si="131"/>
        <v>3745.6376543405449</v>
      </c>
      <c r="T243" s="122">
        <f>VLOOKUP($B243,'Tech Litons'!$A:$I,9,0)</f>
        <v>195</v>
      </c>
      <c r="U243" s="179">
        <f t="shared" si="132"/>
        <v>1.2307692307692308</v>
      </c>
      <c r="V243" s="179">
        <f t="shared" si="133"/>
        <v>0.15384615384615385</v>
      </c>
      <c r="W243" s="179">
        <f t="shared" si="134"/>
        <v>0.38858008074815392</v>
      </c>
      <c r="X243" s="179">
        <f t="shared" si="135"/>
        <v>6.8855218744840405</v>
      </c>
      <c r="Y243" s="179">
        <f t="shared" si="136"/>
        <v>1.0420398618988063</v>
      </c>
      <c r="Z243" s="179">
        <f t="shared" si="137"/>
        <v>0</v>
      </c>
      <c r="AA243" s="179">
        <f t="shared" si="138"/>
        <v>4.0045641025641023</v>
      </c>
      <c r="AB243" s="179">
        <f t="shared" si="139"/>
        <v>1.5401025641025639</v>
      </c>
      <c r="AC243" s="179">
        <f t="shared" si="140"/>
        <v>1.5612307692307692</v>
      </c>
      <c r="AD243" s="179">
        <f t="shared" si="141"/>
        <v>0.22912820512820523</v>
      </c>
      <c r="AE243" s="179">
        <f t="shared" si="142"/>
        <v>0.94851282051282071</v>
      </c>
      <c r="AF243" s="179">
        <f t="shared" si="143"/>
        <v>1.224102564102564</v>
      </c>
    </row>
    <row r="244" spans="2:32">
      <c r="B244" s="122">
        <f t="shared" si="130"/>
        <v>68940226</v>
      </c>
      <c r="C244" s="122" t="str">
        <f>VLOOKUP($B244,'Tech Litons'!$A:$I,3,0)</f>
        <v>BJ PTS</v>
      </c>
      <c r="D244" s="122" t="str">
        <f>VLOOKUP($B244,'Tech Litons'!$A:$I,4,0)</f>
        <v>BJ PTS</v>
      </c>
      <c r="E244" s="1021" t="s">
        <v>472</v>
      </c>
      <c r="F244" s="1021">
        <v>68940226</v>
      </c>
      <c r="G244" s="1023">
        <v>4504</v>
      </c>
      <c r="H244" s="1023">
        <v>2541</v>
      </c>
      <c r="I244" s="1023">
        <v>6802.8771913864366</v>
      </c>
      <c r="J244" s="1023">
        <v>3944.7149628973034</v>
      </c>
      <c r="K244" s="1023">
        <v>5371.6299847861847</v>
      </c>
      <c r="L244" s="1023">
        <v>6900.4338338570169</v>
      </c>
      <c r="M244" s="1023">
        <v>6720.2722188455919</v>
      </c>
      <c r="N244" s="1023">
        <v>6426.1623963605425</v>
      </c>
      <c r="O244" s="1023">
        <v>4924.4597446602693</v>
      </c>
      <c r="P244" s="1023">
        <v>4431.997433400913</v>
      </c>
      <c r="Q244" s="1023">
        <v>4159.9111631053884</v>
      </c>
      <c r="R244" s="1023">
        <v>3257.6792015821347</v>
      </c>
      <c r="S244" s="169">
        <f t="shared" si="131"/>
        <v>59985.13813088178</v>
      </c>
      <c r="T244" s="122">
        <f>VLOOKUP($B244,'Tech Litons'!$A:$I,9,0)</f>
        <v>240</v>
      </c>
      <c r="U244" s="179">
        <f t="shared" si="132"/>
        <v>18.766666666666666</v>
      </c>
      <c r="V244" s="179">
        <f t="shared" si="133"/>
        <v>10.5875</v>
      </c>
      <c r="W244" s="179">
        <f t="shared" si="134"/>
        <v>28.345321630776819</v>
      </c>
      <c r="X244" s="179">
        <f t="shared" si="135"/>
        <v>16.43631234540543</v>
      </c>
      <c r="Y244" s="179">
        <f t="shared" si="136"/>
        <v>22.381791603275769</v>
      </c>
      <c r="Z244" s="179">
        <f t="shared" si="137"/>
        <v>28.751807641070904</v>
      </c>
      <c r="AA244" s="179">
        <f t="shared" si="138"/>
        <v>28.001134245189967</v>
      </c>
      <c r="AB244" s="179">
        <f t="shared" si="139"/>
        <v>26.775676651502259</v>
      </c>
      <c r="AC244" s="179">
        <f t="shared" si="140"/>
        <v>20.518582269417788</v>
      </c>
      <c r="AD244" s="179">
        <f t="shared" si="141"/>
        <v>18.466655972503805</v>
      </c>
      <c r="AE244" s="179">
        <f t="shared" si="142"/>
        <v>17.332963179605784</v>
      </c>
      <c r="AF244" s="179">
        <f t="shared" si="143"/>
        <v>13.573663339925561</v>
      </c>
    </row>
    <row r="245" spans="2:32">
      <c r="B245" s="122">
        <f t="shared" si="130"/>
        <v>64410857</v>
      </c>
      <c r="C245" s="122" t="str">
        <f>VLOOKUP($B245,'Tech Litons'!$A:$I,3,0)</f>
        <v>Other</v>
      </c>
      <c r="D245" s="122" t="str">
        <f>VLOOKUP($B245,'Tech Litons'!$A:$I,4,0)</f>
        <v>Other</v>
      </c>
      <c r="E245" s="1022" t="s">
        <v>1029</v>
      </c>
      <c r="F245" s="1022">
        <v>64410857</v>
      </c>
      <c r="G245" s="1025">
        <v>3240</v>
      </c>
      <c r="H245" s="1025">
        <v>1110</v>
      </c>
      <c r="I245" s="1025">
        <v>1635.6354387769543</v>
      </c>
      <c r="J245" s="1025">
        <v>2709.6684121381809</v>
      </c>
      <c r="K245" s="1025">
        <v>2393.9508775539098</v>
      </c>
      <c r="L245" s="1025">
        <v>2745.3278454447318</v>
      </c>
      <c r="M245" s="1025">
        <v>3429.9601924344397</v>
      </c>
      <c r="N245" s="1025">
        <v>2831.2299710910838</v>
      </c>
      <c r="O245" s="1025">
        <v>2152.7022367830891</v>
      </c>
      <c r="P245" s="1025">
        <v>1721.3281273962775</v>
      </c>
      <c r="Q245" s="1025">
        <v>834.38997109108413</v>
      </c>
      <c r="R245" s="1025">
        <v>1017.0322367830888</v>
      </c>
      <c r="S245" s="169">
        <f t="shared" si="131"/>
        <v>25821.225309492842</v>
      </c>
      <c r="T245" s="122">
        <f>VLOOKUP($B245,'Tech Litons'!$A:$I,9,0)</f>
        <v>135</v>
      </c>
      <c r="U245" s="179">
        <f t="shared" si="132"/>
        <v>24</v>
      </c>
      <c r="V245" s="179">
        <f t="shared" si="133"/>
        <v>8.2222222222222214</v>
      </c>
      <c r="W245" s="179">
        <f t="shared" si="134"/>
        <v>12.115818065014476</v>
      </c>
      <c r="X245" s="179">
        <f t="shared" si="135"/>
        <v>20.071617867690229</v>
      </c>
      <c r="Y245" s="179">
        <f t="shared" si="136"/>
        <v>17.732969463362295</v>
      </c>
      <c r="Z245" s="179">
        <f t="shared" si="137"/>
        <v>20.335761818109123</v>
      </c>
      <c r="AA245" s="179">
        <f t="shared" si="138"/>
        <v>25.407112536551406</v>
      </c>
      <c r="AB245" s="179">
        <f t="shared" si="139"/>
        <v>20.972073859933953</v>
      </c>
      <c r="AC245" s="179">
        <f t="shared" si="140"/>
        <v>15.945942494689548</v>
      </c>
      <c r="AD245" s="179">
        <f t="shared" si="141"/>
        <v>12.750578721453907</v>
      </c>
      <c r="AE245" s="179">
        <f t="shared" si="142"/>
        <v>6.1806664525265491</v>
      </c>
      <c r="AF245" s="179">
        <f t="shared" si="143"/>
        <v>7.5335721243191767</v>
      </c>
    </row>
    <row r="246" spans="2:32">
      <c r="B246" s="122">
        <f t="shared" si="130"/>
        <v>69577493</v>
      </c>
      <c r="C246" s="122" t="str">
        <f>VLOOKUP($B246,'Tech Litons'!$A:$I,3,0)</f>
        <v>MG Sticks</v>
      </c>
      <c r="D246" s="122" t="str">
        <f>VLOOKUP($B246,'Tech Litons'!$A:$I,4,0)</f>
        <v>MG Sticks</v>
      </c>
      <c r="E246" s="1021" t="s">
        <v>334</v>
      </c>
      <c r="F246" s="1021">
        <v>69577493</v>
      </c>
      <c r="G246" s="1023">
        <v>9261</v>
      </c>
      <c r="H246" s="1023">
        <v>13356</v>
      </c>
      <c r="I246" s="1023">
        <v>11319.049190846203</v>
      </c>
      <c r="J246" s="1023">
        <v>10711.557821715611</v>
      </c>
      <c r="K246" s="1023">
        <v>11380.406098744372</v>
      </c>
      <c r="L246" s="1023">
        <v>14802.244604205775</v>
      </c>
      <c r="M246" s="1023">
        <v>14003.549330687876</v>
      </c>
      <c r="N246" s="1023">
        <v>12158.672027855881</v>
      </c>
      <c r="O246" s="1023">
        <v>9227.8672354690589</v>
      </c>
      <c r="P246" s="1023">
        <v>8160.2446831898269</v>
      </c>
      <c r="Q246" s="1023">
        <v>10994.323700357676</v>
      </c>
      <c r="R246" s="1023">
        <v>7224.4038140415778</v>
      </c>
      <c r="S246" s="169">
        <f t="shared" si="131"/>
        <v>132599.31850711387</v>
      </c>
      <c r="T246" s="122">
        <f>VLOOKUP($B246,'Tech Litons'!$A:$I,9,0)</f>
        <v>210</v>
      </c>
      <c r="U246" s="179">
        <f t="shared" si="132"/>
        <v>44.1</v>
      </c>
      <c r="V246" s="179">
        <f t="shared" si="133"/>
        <v>63.6</v>
      </c>
      <c r="W246" s="179">
        <f t="shared" si="134"/>
        <v>53.900234242124775</v>
      </c>
      <c r="X246" s="179">
        <f t="shared" si="135"/>
        <v>51.007418198645766</v>
      </c>
      <c r="Y246" s="179">
        <f t="shared" si="136"/>
        <v>54.192409994020821</v>
      </c>
      <c r="Z246" s="179">
        <f t="shared" si="137"/>
        <v>70.486879067646541</v>
      </c>
      <c r="AA246" s="179">
        <f t="shared" si="138"/>
        <v>66.683568241370835</v>
      </c>
      <c r="AB246" s="179">
        <f t="shared" si="139"/>
        <v>57.898438227885144</v>
      </c>
      <c r="AC246" s="179">
        <f t="shared" si="140"/>
        <v>43.94222493080504</v>
      </c>
      <c r="AD246" s="179">
        <f t="shared" si="141"/>
        <v>38.85830801518965</v>
      </c>
      <c r="AE246" s="179">
        <f t="shared" si="142"/>
        <v>52.353922382655597</v>
      </c>
      <c r="AF246" s="179">
        <f t="shared" si="143"/>
        <v>34.401922924007515</v>
      </c>
    </row>
    <row r="247" spans="2:32">
      <c r="B247" s="122">
        <f t="shared" si="130"/>
        <v>69706138</v>
      </c>
      <c r="C247" s="122" t="str">
        <f>VLOOKUP($B247,'Tech Litons'!$A:$I,3,0)</f>
        <v>TAL NV</v>
      </c>
      <c r="D247" s="122" t="str">
        <f>VLOOKUP($B247,'Tech Litons'!$A:$I,4,0)</f>
        <v>MG Sticks</v>
      </c>
      <c r="E247" s="1021" t="s">
        <v>905</v>
      </c>
      <c r="F247" s="1021">
        <v>69706138</v>
      </c>
      <c r="G247" s="1023">
        <v>0</v>
      </c>
      <c r="H247" s="1023">
        <v>0</v>
      </c>
      <c r="I247" s="1023">
        <v>0</v>
      </c>
      <c r="J247" s="1023">
        <v>0</v>
      </c>
      <c r="K247" s="1023">
        <v>0</v>
      </c>
      <c r="L247" s="1023">
        <v>0</v>
      </c>
      <c r="M247" s="1023">
        <v>0</v>
      </c>
      <c r="N247" s="1023">
        <v>0</v>
      </c>
      <c r="O247" s="1023">
        <v>0</v>
      </c>
      <c r="P247" s="1023">
        <v>0</v>
      </c>
      <c r="Q247" s="1023">
        <v>0</v>
      </c>
      <c r="R247" s="1023">
        <v>0</v>
      </c>
      <c r="S247" s="169">
        <f t="shared" si="131"/>
        <v>0</v>
      </c>
      <c r="T247" s="122">
        <f>VLOOKUP($B247,'Tech Litons'!$A:$I,9,0)</f>
        <v>176</v>
      </c>
      <c r="U247" s="179">
        <f t="shared" si="132"/>
        <v>0</v>
      </c>
      <c r="V247" s="179">
        <f t="shared" si="133"/>
        <v>0</v>
      </c>
      <c r="W247" s="179">
        <f t="shared" si="134"/>
        <v>0</v>
      </c>
      <c r="X247" s="179">
        <f t="shared" si="135"/>
        <v>0</v>
      </c>
      <c r="Y247" s="179">
        <f t="shared" si="136"/>
        <v>0</v>
      </c>
      <c r="Z247" s="179">
        <f t="shared" si="137"/>
        <v>0</v>
      </c>
      <c r="AA247" s="179">
        <f t="shared" si="138"/>
        <v>0</v>
      </c>
      <c r="AB247" s="179">
        <f t="shared" si="139"/>
        <v>0</v>
      </c>
      <c r="AC247" s="179">
        <f t="shared" si="140"/>
        <v>0</v>
      </c>
      <c r="AD247" s="179">
        <f t="shared" si="141"/>
        <v>0</v>
      </c>
      <c r="AE247" s="179">
        <f t="shared" si="142"/>
        <v>0</v>
      </c>
      <c r="AF247" s="179">
        <f t="shared" si="143"/>
        <v>0</v>
      </c>
    </row>
    <row r="248" spans="2:32">
      <c r="B248" s="122">
        <f t="shared" si="130"/>
        <v>69587863</v>
      </c>
      <c r="C248" s="122" t="str">
        <f>VLOOKUP($B248,'Tech Litons'!$A:$I,3,0)</f>
        <v>48oz</v>
      </c>
      <c r="D248" s="122" t="str">
        <f>VLOOKUP($B248,'Tech Litons'!$A:$I,4,0)</f>
        <v>48oz</v>
      </c>
      <c r="E248" s="1021" t="s">
        <v>1014</v>
      </c>
      <c r="F248" s="1021">
        <v>69587863</v>
      </c>
      <c r="G248" s="1023">
        <v>7139</v>
      </c>
      <c r="H248" s="1023">
        <v>5214</v>
      </c>
      <c r="I248" s="1023">
        <v>5751.1028235384292</v>
      </c>
      <c r="J248" s="1023">
        <v>3441.1351296901016</v>
      </c>
      <c r="K248" s="1023">
        <v>5138.0938333053036</v>
      </c>
      <c r="L248" s="1023">
        <v>6348.4381522576477</v>
      </c>
      <c r="M248" s="1023">
        <v>6276.7117354353504</v>
      </c>
      <c r="N248" s="1023">
        <v>7608.1122184000869</v>
      </c>
      <c r="O248" s="1023">
        <v>5788.0676000000003</v>
      </c>
      <c r="P248" s="1023">
        <v>5505.3152</v>
      </c>
      <c r="Q248" s="1023">
        <v>4893.9423999999999</v>
      </c>
      <c r="R248" s="1023">
        <v>4442.9119999999994</v>
      </c>
      <c r="S248" s="169">
        <f t="shared" si="131"/>
        <v>67546.831092626919</v>
      </c>
      <c r="T248" s="122">
        <f>VLOOKUP($B248,'Tech Litons'!$A:$I,9,0)</f>
        <v>176</v>
      </c>
      <c r="U248" s="179">
        <f t="shared" si="132"/>
        <v>40.5625</v>
      </c>
      <c r="V248" s="179">
        <f t="shared" si="133"/>
        <v>29.625</v>
      </c>
      <c r="W248" s="179">
        <f t="shared" si="134"/>
        <v>32.676720588286528</v>
      </c>
      <c r="X248" s="179">
        <f t="shared" si="135"/>
        <v>19.551904145966486</v>
      </c>
      <c r="Y248" s="179">
        <f t="shared" si="136"/>
        <v>29.193714961961952</v>
      </c>
      <c r="Z248" s="179">
        <f t="shared" si="137"/>
        <v>36.070671319645726</v>
      </c>
      <c r="AA248" s="179">
        <f t="shared" si="138"/>
        <v>35.66313486042813</v>
      </c>
      <c r="AB248" s="179">
        <f t="shared" si="139"/>
        <v>43.227910331818677</v>
      </c>
      <c r="AC248" s="179">
        <f t="shared" si="140"/>
        <v>32.886747727272727</v>
      </c>
      <c r="AD248" s="179">
        <f t="shared" si="141"/>
        <v>31.280200000000001</v>
      </c>
      <c r="AE248" s="179">
        <f t="shared" si="142"/>
        <v>27.806490909090908</v>
      </c>
      <c r="AF248" s="179">
        <f t="shared" si="143"/>
        <v>25.243818181818177</v>
      </c>
    </row>
    <row r="249" spans="2:32">
      <c r="B249" s="122">
        <f t="shared" si="130"/>
        <v>69792956</v>
      </c>
      <c r="C249" s="122" t="str">
        <f>VLOOKUP($B249,'Tech Litons'!$A:$I,3,0)</f>
        <v>48oz</v>
      </c>
      <c r="D249" s="122" t="str">
        <f>VLOOKUP($B249,'Tech Litons'!$A:$I,4,0)</f>
        <v>48oz</v>
      </c>
      <c r="E249" s="1021" t="s">
        <v>1298</v>
      </c>
      <c r="F249" s="1021">
        <v>69792956</v>
      </c>
      <c r="G249" s="1023">
        <v>0</v>
      </c>
      <c r="H249" s="1023">
        <v>0</v>
      </c>
      <c r="I249" s="1023">
        <v>10.035608362277323</v>
      </c>
      <c r="J249" s="1023">
        <v>0</v>
      </c>
      <c r="K249" s="1023">
        <v>0</v>
      </c>
      <c r="L249" s="1023">
        <v>0</v>
      </c>
      <c r="M249" s="1023">
        <v>0</v>
      </c>
      <c r="N249" s="1023">
        <v>0</v>
      </c>
      <c r="O249" s="1023">
        <v>0</v>
      </c>
      <c r="P249" s="1023">
        <v>0</v>
      </c>
      <c r="Q249" s="1023">
        <v>0</v>
      </c>
      <c r="R249" s="1023">
        <v>0</v>
      </c>
      <c r="S249" s="169">
        <f t="shared" si="131"/>
        <v>10.035608362277323</v>
      </c>
      <c r="T249" s="122">
        <f>VLOOKUP($B249,'Tech Litons'!$A:$I,9,0)</f>
        <v>176</v>
      </c>
      <c r="U249" s="179">
        <f t="shared" si="132"/>
        <v>0</v>
      </c>
      <c r="V249" s="179">
        <f t="shared" si="133"/>
        <v>0</v>
      </c>
      <c r="W249" s="179">
        <f t="shared" si="134"/>
        <v>5.7020502058393881E-2</v>
      </c>
      <c r="X249" s="179">
        <f t="shared" si="135"/>
        <v>0</v>
      </c>
      <c r="Y249" s="179">
        <f t="shared" si="136"/>
        <v>0</v>
      </c>
      <c r="Z249" s="179">
        <f t="shared" si="137"/>
        <v>0</v>
      </c>
      <c r="AA249" s="179">
        <f t="shared" si="138"/>
        <v>0</v>
      </c>
      <c r="AB249" s="179">
        <f t="shared" si="139"/>
        <v>0</v>
      </c>
      <c r="AC249" s="179">
        <f t="shared" si="140"/>
        <v>0</v>
      </c>
      <c r="AD249" s="179">
        <f t="shared" si="141"/>
        <v>0</v>
      </c>
      <c r="AE249" s="179">
        <f t="shared" si="142"/>
        <v>0</v>
      </c>
      <c r="AF249" s="179">
        <f t="shared" si="143"/>
        <v>0</v>
      </c>
    </row>
    <row r="250" spans="2:32">
      <c r="B250" s="122">
        <f t="shared" si="130"/>
        <v>64393721</v>
      </c>
      <c r="C250" s="122" t="str">
        <f>VLOOKUP($B250,'Tech Litons'!$A:$I,3,0)</f>
        <v>MG Sticks</v>
      </c>
      <c r="D250" s="122" t="str">
        <f>VLOOKUP($B250,'Tech Litons'!$A:$I,4,0)</f>
        <v>MG Sticks</v>
      </c>
      <c r="E250" s="1021" t="s">
        <v>518</v>
      </c>
      <c r="F250" s="1021">
        <v>64393721</v>
      </c>
      <c r="G250" s="1023">
        <v>3040</v>
      </c>
      <c r="H250" s="1023">
        <v>6256</v>
      </c>
      <c r="I250" s="1023">
        <v>747.98846561677919</v>
      </c>
      <c r="J250" s="1023">
        <v>1489.3333460578967</v>
      </c>
      <c r="K250" s="1023">
        <v>737.1137409661394</v>
      </c>
      <c r="L250" s="1023">
        <v>4102.5524955274504</v>
      </c>
      <c r="M250" s="1023">
        <v>389.11442759279271</v>
      </c>
      <c r="N250" s="1023">
        <v>4852.155827765745</v>
      </c>
      <c r="O250" s="1023">
        <v>0</v>
      </c>
      <c r="P250" s="1023">
        <v>0</v>
      </c>
      <c r="Q250" s="1023">
        <v>0</v>
      </c>
      <c r="R250" s="1023">
        <v>0</v>
      </c>
      <c r="S250" s="169">
        <f t="shared" si="131"/>
        <v>21614.258303526804</v>
      </c>
      <c r="T250" s="122">
        <f>VLOOKUP($B250,'Tech Litons'!$A:$I,9,0)</f>
        <v>176</v>
      </c>
      <c r="U250" s="179">
        <f t="shared" si="132"/>
        <v>17.272727272727273</v>
      </c>
      <c r="V250" s="179">
        <f t="shared" si="133"/>
        <v>35.545454545454547</v>
      </c>
      <c r="W250" s="179">
        <f t="shared" si="134"/>
        <v>4.2499344637316998</v>
      </c>
      <c r="X250" s="179">
        <f t="shared" si="135"/>
        <v>8.462121284419867</v>
      </c>
      <c r="Y250" s="179">
        <f t="shared" si="136"/>
        <v>4.1881462554894284</v>
      </c>
      <c r="Z250" s="179">
        <f t="shared" si="137"/>
        <v>23.309957360951422</v>
      </c>
      <c r="AA250" s="179">
        <f t="shared" si="138"/>
        <v>2.2108774295045039</v>
      </c>
      <c r="AB250" s="179">
        <f t="shared" si="139"/>
        <v>27.569067203214459</v>
      </c>
      <c r="AC250" s="179">
        <f t="shared" si="140"/>
        <v>0</v>
      </c>
      <c r="AD250" s="179">
        <f t="shared" si="141"/>
        <v>0</v>
      </c>
      <c r="AE250" s="179">
        <f t="shared" si="142"/>
        <v>0</v>
      </c>
      <c r="AF250" s="179">
        <f t="shared" si="143"/>
        <v>0</v>
      </c>
    </row>
    <row r="251" spans="2:32">
      <c r="B251" s="122">
        <f t="shared" si="130"/>
        <v>64806251</v>
      </c>
      <c r="C251" s="122" t="str">
        <f>VLOOKUP($B251,'Tech Litons'!$A:$I,3,0)</f>
        <v>B&amp;J Cups</v>
      </c>
      <c r="D251" s="122" t="str">
        <f>VLOOKUP($B251,'Tech Litons'!$A:$I,4,0)</f>
        <v>B&amp;J Cups</v>
      </c>
      <c r="E251" s="1021" t="s">
        <v>572</v>
      </c>
      <c r="F251" s="1021">
        <v>64806251</v>
      </c>
      <c r="G251" s="1023">
        <v>3993</v>
      </c>
      <c r="H251" s="1023">
        <v>4185</v>
      </c>
      <c r="I251" s="1023">
        <v>10078.802335628172</v>
      </c>
      <c r="J251" s="1023">
        <v>8153.7059034405029</v>
      </c>
      <c r="K251" s="1023">
        <v>9730.3443815885803</v>
      </c>
      <c r="L251" s="1023">
        <v>12746.153164456784</v>
      </c>
      <c r="M251" s="1023">
        <v>9469.7999595496749</v>
      </c>
      <c r="N251" s="1023">
        <v>13040.816308953248</v>
      </c>
      <c r="O251" s="1023">
        <v>13835.865764661381</v>
      </c>
      <c r="P251" s="1023">
        <v>3681.1610089408073</v>
      </c>
      <c r="Q251" s="1023">
        <v>6656.9669916699268</v>
      </c>
      <c r="R251" s="1023">
        <v>6837.8051711074886</v>
      </c>
      <c r="S251" s="169">
        <f t="shared" si="131"/>
        <v>102409.42098999658</v>
      </c>
      <c r="T251" s="122">
        <f>VLOOKUP($B251,'Tech Litons'!$A:$I,9,0)</f>
        <v>180</v>
      </c>
      <c r="U251" s="179">
        <f t="shared" si="132"/>
        <v>22.183333333333334</v>
      </c>
      <c r="V251" s="179">
        <f t="shared" si="133"/>
        <v>23.25</v>
      </c>
      <c r="W251" s="179">
        <f t="shared" si="134"/>
        <v>55.9933463090454</v>
      </c>
      <c r="X251" s="179">
        <f t="shared" si="135"/>
        <v>45.298366130225013</v>
      </c>
      <c r="Y251" s="179">
        <f t="shared" si="136"/>
        <v>54.057468786603224</v>
      </c>
      <c r="Z251" s="179">
        <f t="shared" si="137"/>
        <v>70.811962024759907</v>
      </c>
      <c r="AA251" s="179">
        <f t="shared" si="138"/>
        <v>52.609999775275973</v>
      </c>
      <c r="AB251" s="179">
        <f t="shared" si="139"/>
        <v>72.448979494184712</v>
      </c>
      <c r="AC251" s="179">
        <f t="shared" si="140"/>
        <v>76.865920914785448</v>
      </c>
      <c r="AD251" s="179">
        <f t="shared" si="141"/>
        <v>20.450894494115595</v>
      </c>
      <c r="AE251" s="179">
        <f t="shared" si="142"/>
        <v>36.983149953721814</v>
      </c>
      <c r="AF251" s="179">
        <f t="shared" si="143"/>
        <v>37.987806506152715</v>
      </c>
    </row>
    <row r="252" spans="2:32">
      <c r="B252" s="122">
        <f t="shared" si="130"/>
        <v>69986509</v>
      </c>
      <c r="C252" s="122" t="str">
        <f>VLOOKUP($B252,'Tech Litons'!$A:$I,3,0)</f>
        <v>BJ PTS</v>
      </c>
      <c r="D252" s="122" t="str">
        <f>VLOOKUP($B252,'Tech Litons'!$A:$I,4,0)</f>
        <v>BJ PTS</v>
      </c>
      <c r="E252" s="1021" t="s">
        <v>941</v>
      </c>
      <c r="F252" s="1021">
        <v>69986509</v>
      </c>
      <c r="G252" s="1023">
        <v>5160</v>
      </c>
      <c r="H252" s="1023">
        <v>7017</v>
      </c>
      <c r="I252" s="1023">
        <v>9766.6842887395815</v>
      </c>
      <c r="J252" s="1023">
        <v>7810.7831276573515</v>
      </c>
      <c r="K252" s="1023">
        <v>9204.8513188984361</v>
      </c>
      <c r="L252" s="1023">
        <v>7887.6937356847375</v>
      </c>
      <c r="M252" s="1023">
        <v>8016.2250091227779</v>
      </c>
      <c r="N252" s="1023">
        <v>9648.0276129003596</v>
      </c>
      <c r="O252" s="1023">
        <v>8012.7168888544329</v>
      </c>
      <c r="P252" s="1023">
        <v>5472.5358971029154</v>
      </c>
      <c r="Q252" s="1023">
        <v>7200.879556954128</v>
      </c>
      <c r="R252" s="1023">
        <v>5907.2154248892193</v>
      </c>
      <c r="S252" s="169">
        <f t="shared" si="131"/>
        <v>91104.612860803943</v>
      </c>
      <c r="T252" s="122">
        <f>VLOOKUP($B252,'Tech Litons'!$A:$I,9,0)</f>
        <v>240</v>
      </c>
      <c r="U252" s="179">
        <f t="shared" si="132"/>
        <v>21.5</v>
      </c>
      <c r="V252" s="179">
        <f t="shared" si="133"/>
        <v>29.237500000000001</v>
      </c>
      <c r="W252" s="179">
        <f t="shared" si="134"/>
        <v>40.694517869748253</v>
      </c>
      <c r="X252" s="179">
        <f t="shared" si="135"/>
        <v>32.544929698572297</v>
      </c>
      <c r="Y252" s="179">
        <f t="shared" si="136"/>
        <v>38.353547162076815</v>
      </c>
      <c r="Z252" s="179">
        <f t="shared" si="137"/>
        <v>32.865390565353074</v>
      </c>
      <c r="AA252" s="179">
        <f t="shared" si="138"/>
        <v>33.400937538011576</v>
      </c>
      <c r="AB252" s="179">
        <f t="shared" si="139"/>
        <v>40.200115053751496</v>
      </c>
      <c r="AC252" s="179">
        <f t="shared" si="140"/>
        <v>33.386320370226805</v>
      </c>
      <c r="AD252" s="179">
        <f t="shared" si="141"/>
        <v>22.802232904595481</v>
      </c>
      <c r="AE252" s="179">
        <f t="shared" si="142"/>
        <v>30.0036648206422</v>
      </c>
      <c r="AF252" s="179">
        <f t="shared" si="143"/>
        <v>24.613397603705081</v>
      </c>
    </row>
    <row r="253" spans="2:32">
      <c r="B253" s="122">
        <f t="shared" si="130"/>
        <v>68842352</v>
      </c>
      <c r="C253" s="122" t="str">
        <f>VLOOKUP($B253,'Tech Litons'!$A:$I,3,0)</f>
        <v>KL Mini Cones</v>
      </c>
      <c r="D253" s="122" t="str">
        <f>VLOOKUP($B253,'Tech Litons'!$A:$I,4,0)</f>
        <v>KL Mini Cones</v>
      </c>
      <c r="E253" s="1021" t="s">
        <v>628</v>
      </c>
      <c r="F253" s="1021">
        <v>68842352</v>
      </c>
      <c r="G253" s="1023">
        <v>3631</v>
      </c>
      <c r="H253" s="1023">
        <v>2481</v>
      </c>
      <c r="I253" s="1023">
        <v>11234.75</v>
      </c>
      <c r="J253" s="1023">
        <v>13482.31</v>
      </c>
      <c r="K253" s="1023">
        <v>13195.88</v>
      </c>
      <c r="L253" s="1023">
        <v>14357.33</v>
      </c>
      <c r="M253" s="1023">
        <v>14144.53</v>
      </c>
      <c r="N253" s="1023">
        <v>11144.630000000001</v>
      </c>
      <c r="O253" s="1023">
        <v>11782.45</v>
      </c>
      <c r="P253" s="1023">
        <v>9325.44</v>
      </c>
      <c r="Q253" s="1023">
        <v>7978.58</v>
      </c>
      <c r="R253" s="1023">
        <v>8727.74</v>
      </c>
      <c r="S253" s="169">
        <f t="shared" si="131"/>
        <v>121485.64000000001</v>
      </c>
      <c r="T253" s="122">
        <f>VLOOKUP($B253,'Tech Litons'!$A:$I,9,0)</f>
        <v>220</v>
      </c>
      <c r="U253" s="179">
        <f t="shared" si="132"/>
        <v>16.504545454545454</v>
      </c>
      <c r="V253" s="179">
        <f t="shared" si="133"/>
        <v>11.277272727272727</v>
      </c>
      <c r="W253" s="179">
        <f t="shared" si="134"/>
        <v>51.067045454545458</v>
      </c>
      <c r="X253" s="179">
        <f t="shared" si="135"/>
        <v>61.283227272727274</v>
      </c>
      <c r="Y253" s="179">
        <f t="shared" si="136"/>
        <v>59.981272727272724</v>
      </c>
      <c r="Z253" s="179">
        <f t="shared" si="137"/>
        <v>65.260590909090908</v>
      </c>
      <c r="AA253" s="179">
        <f t="shared" si="138"/>
        <v>64.293318181818179</v>
      </c>
      <c r="AB253" s="179">
        <f t="shared" si="139"/>
        <v>50.657409090909098</v>
      </c>
      <c r="AC253" s="179">
        <f t="shared" si="140"/>
        <v>53.556590909090914</v>
      </c>
      <c r="AD253" s="179">
        <f t="shared" si="141"/>
        <v>42.388363636363636</v>
      </c>
      <c r="AE253" s="179">
        <f t="shared" si="142"/>
        <v>36.266272727272728</v>
      </c>
      <c r="AF253" s="179">
        <f t="shared" si="143"/>
        <v>39.671545454545452</v>
      </c>
    </row>
    <row r="254" spans="2:32">
      <c r="B254" s="122">
        <f t="shared" si="130"/>
        <v>64325608</v>
      </c>
      <c r="C254" s="122" t="str">
        <f>VLOOKUP($B254,'Tech Litons'!$A:$I,3,0)</f>
        <v>Yasso Sandwich</v>
      </c>
      <c r="D254" s="122" t="str">
        <f>VLOOKUP($B254,'Tech Litons'!$A:$I,4,0)</f>
        <v>Yasso Sandwich</v>
      </c>
      <c r="E254" s="1021" t="s">
        <v>1328</v>
      </c>
      <c r="F254" s="1021">
        <v>64325608</v>
      </c>
      <c r="G254" s="1023">
        <v>0</v>
      </c>
      <c r="H254" s="1023">
        <v>0</v>
      </c>
      <c r="I254" s="1023">
        <v>0</v>
      </c>
      <c r="J254" s="1023">
        <v>0</v>
      </c>
      <c r="K254" s="1023">
        <v>0</v>
      </c>
      <c r="L254" s="1023">
        <v>0</v>
      </c>
      <c r="M254" s="1023">
        <v>0</v>
      </c>
      <c r="N254" s="1023">
        <v>0</v>
      </c>
      <c r="O254" s="1023">
        <v>0</v>
      </c>
      <c r="P254" s="1023">
        <v>0</v>
      </c>
      <c r="Q254" s="1023">
        <v>0</v>
      </c>
      <c r="R254" s="1023">
        <v>0</v>
      </c>
      <c r="S254" s="169">
        <f t="shared" si="131"/>
        <v>0</v>
      </c>
      <c r="T254" s="122">
        <f>VLOOKUP($B254,'Tech Litons'!$A:$I,9,0)</f>
        <v>189</v>
      </c>
      <c r="U254" s="179">
        <f t="shared" si="132"/>
        <v>0</v>
      </c>
      <c r="V254" s="179">
        <f t="shared" si="133"/>
        <v>0</v>
      </c>
      <c r="W254" s="179">
        <f t="shared" si="134"/>
        <v>0</v>
      </c>
      <c r="X254" s="179">
        <f t="shared" si="135"/>
        <v>0</v>
      </c>
      <c r="Y254" s="179">
        <f t="shared" si="136"/>
        <v>0</v>
      </c>
      <c r="Z254" s="179">
        <f t="shared" si="137"/>
        <v>0</v>
      </c>
      <c r="AA254" s="179">
        <f t="shared" si="138"/>
        <v>0</v>
      </c>
      <c r="AB254" s="179">
        <f t="shared" si="139"/>
        <v>0</v>
      </c>
      <c r="AC254" s="179">
        <f t="shared" si="140"/>
        <v>0</v>
      </c>
      <c r="AD254" s="179">
        <f t="shared" si="141"/>
        <v>0</v>
      </c>
      <c r="AE254" s="179">
        <f t="shared" si="142"/>
        <v>0</v>
      </c>
      <c r="AF254" s="179">
        <f t="shared" si="143"/>
        <v>0</v>
      </c>
    </row>
    <row r="255" spans="2:32">
      <c r="B255" s="122">
        <f t="shared" si="130"/>
        <v>64369031</v>
      </c>
      <c r="C255" s="122" t="str">
        <f>VLOOKUP($B255,'Tech Litons'!$A:$I,3,0)</f>
        <v>Talenti</v>
      </c>
      <c r="D255" s="122" t="str">
        <f>VLOOKUP($B255,'Tech Litons'!$A:$I,4,0)</f>
        <v>Talenti</v>
      </c>
      <c r="E255" s="1021" t="s">
        <v>522</v>
      </c>
      <c r="F255" s="1021">
        <v>64369031</v>
      </c>
      <c r="G255" s="1023">
        <v>5880</v>
      </c>
      <c r="H255" s="1023">
        <v>6905</v>
      </c>
      <c r="I255" s="1023">
        <v>6994.249046338412</v>
      </c>
      <c r="J255" s="1023">
        <v>6020.4326489645555</v>
      </c>
      <c r="K255" s="1023">
        <v>6554.7328752177355</v>
      </c>
      <c r="L255" s="1023">
        <v>6911.2840259949235</v>
      </c>
      <c r="M255" s="1023">
        <v>4921.4282124907604</v>
      </c>
      <c r="N255" s="1023">
        <v>5065.1522342075532</v>
      </c>
      <c r="O255" s="1023">
        <v>4642.5078148547418</v>
      </c>
      <c r="P255" s="1023">
        <v>5180.6813420858161</v>
      </c>
      <c r="Q255" s="1023">
        <v>4317.8590420646269</v>
      </c>
      <c r="R255" s="1023">
        <v>2113.6120289432702</v>
      </c>
      <c r="S255" s="169">
        <f t="shared" si="131"/>
        <v>65506.939271162402</v>
      </c>
      <c r="T255" s="122">
        <f>VLOOKUP($B255,'Tech Litons'!$A:$I,9,0)</f>
        <v>255</v>
      </c>
      <c r="U255" s="179">
        <f t="shared" si="132"/>
        <v>23.058823529411764</v>
      </c>
      <c r="V255" s="179">
        <f t="shared" si="133"/>
        <v>27.078431372549019</v>
      </c>
      <c r="W255" s="179">
        <f t="shared" si="134"/>
        <v>27.428427632699655</v>
      </c>
      <c r="X255" s="179">
        <f t="shared" si="135"/>
        <v>23.609539799861</v>
      </c>
      <c r="Y255" s="179">
        <f t="shared" si="136"/>
        <v>25.704834804775434</v>
      </c>
      <c r="Z255" s="179">
        <f t="shared" si="137"/>
        <v>27.103074611744798</v>
      </c>
      <c r="AA255" s="179">
        <f t="shared" si="138"/>
        <v>19.299718480355924</v>
      </c>
      <c r="AB255" s="179">
        <f t="shared" si="139"/>
        <v>19.863342094931582</v>
      </c>
      <c r="AC255" s="179">
        <f t="shared" si="140"/>
        <v>18.20591299943036</v>
      </c>
      <c r="AD255" s="179">
        <f t="shared" si="141"/>
        <v>20.316397419944376</v>
      </c>
      <c r="AE255" s="179">
        <f t="shared" si="142"/>
        <v>16.932780557116185</v>
      </c>
      <c r="AF255" s="179">
        <f t="shared" si="143"/>
        <v>8.2886746233069424</v>
      </c>
    </row>
    <row r="256" spans="2:32">
      <c r="B256" s="122">
        <f t="shared" si="130"/>
        <v>64388736</v>
      </c>
      <c r="C256" s="122" t="str">
        <f>VLOOKUP($B256,'Tech Litons'!$A:$I,3,0)</f>
        <v>Yasso Poppables</v>
      </c>
      <c r="D256" s="122" t="str">
        <f>VLOOKUP($B256,'Tech Litons'!$A:$I,4,0)</f>
        <v>Yasso Poppables</v>
      </c>
      <c r="E256" s="1021" t="s">
        <v>580</v>
      </c>
      <c r="F256" s="1021">
        <v>64388736</v>
      </c>
      <c r="G256" s="1024">
        <v>1241</v>
      </c>
      <c r="H256" s="1023">
        <v>2219</v>
      </c>
      <c r="I256" s="1023">
        <v>1979.935183725064</v>
      </c>
      <c r="J256" s="1023">
        <v>2271.8356206087233</v>
      </c>
      <c r="K256" s="1023">
        <v>3253.3111791079309</v>
      </c>
      <c r="L256" s="1023">
        <v>4049.6593155807204</v>
      </c>
      <c r="M256" s="1023">
        <v>2100.1689290698873</v>
      </c>
      <c r="N256" s="1023">
        <v>1938.2728799738297</v>
      </c>
      <c r="O256" s="1023">
        <v>1621.8559485442611</v>
      </c>
      <c r="P256" s="1023">
        <v>1658.7242077571939</v>
      </c>
      <c r="Q256" s="1023">
        <v>1639.5213421329677</v>
      </c>
      <c r="R256" s="1023">
        <v>2809.8413421329674</v>
      </c>
      <c r="S256" s="169">
        <f t="shared" si="131"/>
        <v>26783.125948633548</v>
      </c>
      <c r="T256" s="122">
        <f>VLOOKUP($B256,'Tech Litons'!$A:$I,9,0)</f>
        <v>200</v>
      </c>
      <c r="U256" s="179">
        <f t="shared" si="132"/>
        <v>6.2050000000000001</v>
      </c>
      <c r="V256" s="179">
        <f t="shared" si="133"/>
        <v>11.095000000000001</v>
      </c>
      <c r="W256" s="179">
        <f t="shared" si="134"/>
        <v>9.89967591862532</v>
      </c>
      <c r="X256" s="179">
        <f t="shared" si="135"/>
        <v>11.359178103043616</v>
      </c>
      <c r="Y256" s="179">
        <f t="shared" si="136"/>
        <v>16.266555895539653</v>
      </c>
      <c r="Z256" s="179">
        <f t="shared" si="137"/>
        <v>20.248296577903602</v>
      </c>
      <c r="AA256" s="179">
        <f t="shared" si="138"/>
        <v>10.500844645349437</v>
      </c>
      <c r="AB256" s="179">
        <f t="shared" si="139"/>
        <v>9.6913643998691494</v>
      </c>
      <c r="AC256" s="179">
        <f t="shared" si="140"/>
        <v>8.1092797427213057</v>
      </c>
      <c r="AD256" s="179">
        <f t="shared" si="141"/>
        <v>8.2936210387859699</v>
      </c>
      <c r="AE256" s="179">
        <f t="shared" si="142"/>
        <v>8.1976067106648376</v>
      </c>
      <c r="AF256" s="179">
        <f t="shared" si="143"/>
        <v>14.049206710664837</v>
      </c>
    </row>
    <row r="257" spans="2:32">
      <c r="B257" s="122">
        <f t="shared" si="130"/>
        <v>84146285</v>
      </c>
      <c r="C257" s="122" t="str">
        <f>VLOOKUP($B257,'Tech Litons'!$A:$I,3,0)</f>
        <v>BJ PTS</v>
      </c>
      <c r="D257" s="122" t="str">
        <f>VLOOKUP($B257,'Tech Litons'!$A:$I,4,0)</f>
        <v>BJ PTS</v>
      </c>
      <c r="E257" s="1021" t="s">
        <v>951</v>
      </c>
      <c r="F257" s="1021">
        <v>84146285</v>
      </c>
      <c r="G257" s="1023">
        <v>91</v>
      </c>
      <c r="H257" s="1023">
        <v>162</v>
      </c>
      <c r="I257" s="1023">
        <v>18.930062218849024</v>
      </c>
      <c r="J257" s="1023">
        <v>9.845325457695246</v>
      </c>
      <c r="K257" s="1023">
        <v>0</v>
      </c>
      <c r="L257" s="1023">
        <v>0</v>
      </c>
      <c r="M257" s="1023">
        <v>0</v>
      </c>
      <c r="N257" s="1023">
        <v>0</v>
      </c>
      <c r="O257" s="1023">
        <v>0</v>
      </c>
      <c r="P257" s="1023">
        <v>0</v>
      </c>
      <c r="Q257" s="1023">
        <v>0</v>
      </c>
      <c r="R257" s="1023">
        <v>0</v>
      </c>
      <c r="S257" s="169">
        <f t="shared" si="131"/>
        <v>281.77538767654426</v>
      </c>
      <c r="T257" s="122">
        <f>VLOOKUP($B257,'Tech Litons'!$A:$I,9,0)</f>
        <v>240</v>
      </c>
      <c r="U257" s="179">
        <f t="shared" si="132"/>
        <v>0.37916666666666665</v>
      </c>
      <c r="V257" s="179">
        <f t="shared" si="133"/>
        <v>0.67500000000000004</v>
      </c>
      <c r="W257" s="179">
        <f t="shared" si="134"/>
        <v>7.8875259245204263E-2</v>
      </c>
      <c r="X257" s="179">
        <f t="shared" si="135"/>
        <v>4.1022189407063522E-2</v>
      </c>
      <c r="Y257" s="179">
        <f t="shared" si="136"/>
        <v>0</v>
      </c>
      <c r="Z257" s="179">
        <f t="shared" si="137"/>
        <v>0</v>
      </c>
      <c r="AA257" s="179">
        <f t="shared" si="138"/>
        <v>0</v>
      </c>
      <c r="AB257" s="179">
        <f t="shared" si="139"/>
        <v>0</v>
      </c>
      <c r="AC257" s="179">
        <f t="shared" si="140"/>
        <v>0</v>
      </c>
      <c r="AD257" s="179">
        <f t="shared" si="141"/>
        <v>0</v>
      </c>
      <c r="AE257" s="179">
        <f t="shared" si="142"/>
        <v>0</v>
      </c>
      <c r="AF257" s="179">
        <f t="shared" si="143"/>
        <v>0</v>
      </c>
    </row>
    <row r="258" spans="2:32">
      <c r="B258" s="122">
        <f t="shared" si="130"/>
        <v>64403187</v>
      </c>
      <c r="C258" s="122" t="str">
        <f>VLOOKUP($B258,'Tech Litons'!$A:$I,3,0)</f>
        <v>48oz</v>
      </c>
      <c r="D258" s="122" t="str">
        <f>VLOOKUP($B258,'Tech Litons'!$A:$I,4,0)</f>
        <v>48oz</v>
      </c>
      <c r="E258" s="1021" t="s">
        <v>1030</v>
      </c>
      <c r="F258" s="1021">
        <v>64403187</v>
      </c>
      <c r="G258" s="1023">
        <v>3498</v>
      </c>
      <c r="H258" s="1023">
        <v>4037</v>
      </c>
      <c r="I258" s="1023">
        <v>4224.7244794748131</v>
      </c>
      <c r="J258" s="1023">
        <v>3548.1317548685133</v>
      </c>
      <c r="K258" s="1023">
        <v>4339.6517083291055</v>
      </c>
      <c r="L258" s="1023">
        <v>4793.9354723966626</v>
      </c>
      <c r="M258" s="1023">
        <v>5161.8070530795703</v>
      </c>
      <c r="N258" s="1023">
        <v>5392.2728888417087</v>
      </c>
      <c r="O258" s="1023">
        <v>3754.57</v>
      </c>
      <c r="P258" s="1023">
        <v>4193.4100000000008</v>
      </c>
      <c r="Q258" s="1023">
        <v>3870.88</v>
      </c>
      <c r="R258" s="1023">
        <v>3400.9399999999991</v>
      </c>
      <c r="S258" s="169">
        <f t="shared" si="131"/>
        <v>50215.323356990375</v>
      </c>
      <c r="T258" s="122">
        <f>VLOOKUP($B258,'Tech Litons'!$A:$I,9,0)</f>
        <v>176</v>
      </c>
      <c r="U258" s="179">
        <f t="shared" si="132"/>
        <v>19.875</v>
      </c>
      <c r="V258" s="179">
        <f t="shared" si="133"/>
        <v>22.9375</v>
      </c>
      <c r="W258" s="179">
        <f t="shared" si="134"/>
        <v>24.004116360652347</v>
      </c>
      <c r="X258" s="179">
        <f t="shared" si="135"/>
        <v>20.159839516298373</v>
      </c>
      <c r="Y258" s="179">
        <f t="shared" si="136"/>
        <v>24.657111979142645</v>
      </c>
      <c r="Z258" s="179">
        <f t="shared" si="137"/>
        <v>27.238269729526493</v>
      </c>
      <c r="AA258" s="179">
        <f t="shared" si="138"/>
        <v>29.328449165224832</v>
      </c>
      <c r="AB258" s="179">
        <f t="shared" si="139"/>
        <v>30.637914141146073</v>
      </c>
      <c r="AC258" s="179">
        <f t="shared" si="140"/>
        <v>21.33278409090909</v>
      </c>
      <c r="AD258" s="179">
        <f t="shared" si="141"/>
        <v>23.826193181818187</v>
      </c>
      <c r="AE258" s="179">
        <f t="shared" si="142"/>
        <v>21.993636363636366</v>
      </c>
      <c r="AF258" s="179">
        <f t="shared" si="143"/>
        <v>19.323522727272721</v>
      </c>
    </row>
    <row r="259" spans="2:32">
      <c r="B259" s="122">
        <f t="shared" si="130"/>
        <v>64369035</v>
      </c>
      <c r="C259" s="122" t="str">
        <f>VLOOKUP($B259,'Tech Litons'!$A:$I,3,0)</f>
        <v>Talenti</v>
      </c>
      <c r="D259" s="122" t="str">
        <f>VLOOKUP($B259,'Tech Litons'!$A:$I,4,0)</f>
        <v>Talenti</v>
      </c>
      <c r="E259" s="1021" t="s">
        <v>457</v>
      </c>
      <c r="F259" s="1021">
        <v>64369035</v>
      </c>
      <c r="G259" s="1023">
        <v>6885</v>
      </c>
      <c r="H259" s="1023">
        <v>7709</v>
      </c>
      <c r="I259" s="1023">
        <v>8934.4621904085652</v>
      </c>
      <c r="J259" s="1023">
        <v>7542.2122839770864</v>
      </c>
      <c r="K259" s="1023">
        <v>7971.6376667710683</v>
      </c>
      <c r="L259" s="1023">
        <v>8272.9615764708542</v>
      </c>
      <c r="M259" s="1023">
        <v>7599.7285286251281</v>
      </c>
      <c r="N259" s="1023">
        <v>6736.4229474671429</v>
      </c>
      <c r="O259" s="1023">
        <v>5965.576369410046</v>
      </c>
      <c r="P259" s="1023">
        <v>5337.6641862191982</v>
      </c>
      <c r="Q259" s="1023">
        <v>5764.3011419028335</v>
      </c>
      <c r="R259" s="1023">
        <v>3480.8770430202499</v>
      </c>
      <c r="S259" s="169">
        <f t="shared" si="131"/>
        <v>82199.843934272183</v>
      </c>
      <c r="T259" s="122">
        <f>VLOOKUP($B259,'Tech Litons'!$A:$I,9,0)</f>
        <v>255</v>
      </c>
      <c r="U259" s="179">
        <f t="shared" si="132"/>
        <v>27</v>
      </c>
      <c r="V259" s="179">
        <f t="shared" si="133"/>
        <v>30.231372549019607</v>
      </c>
      <c r="W259" s="179">
        <f t="shared" si="134"/>
        <v>35.037106629053199</v>
      </c>
      <c r="X259" s="179">
        <f t="shared" si="135"/>
        <v>29.577303074419948</v>
      </c>
      <c r="Y259" s="179">
        <f t="shared" si="136"/>
        <v>31.261324183415955</v>
      </c>
      <c r="Z259" s="179">
        <f t="shared" si="137"/>
        <v>32.442986574395505</v>
      </c>
      <c r="AA259" s="179">
        <f t="shared" si="138"/>
        <v>29.802856975000502</v>
      </c>
      <c r="AB259" s="179">
        <f t="shared" si="139"/>
        <v>26.417344892028012</v>
      </c>
      <c r="AC259" s="179">
        <f t="shared" si="140"/>
        <v>23.394417134941357</v>
      </c>
      <c r="AD259" s="179">
        <f t="shared" si="141"/>
        <v>20.932016416545874</v>
      </c>
      <c r="AE259" s="179">
        <f t="shared" si="142"/>
        <v>22.605102517266015</v>
      </c>
      <c r="AF259" s="179">
        <f t="shared" si="143"/>
        <v>13.650498207922549</v>
      </c>
    </row>
    <row r="260" spans="2:32">
      <c r="B260" s="122">
        <f t="shared" si="130"/>
        <v>64326313</v>
      </c>
      <c r="C260" s="122" t="str">
        <f>VLOOKUP($B260,'Tech Litons'!$A:$I,3,0)</f>
        <v>Yasso Sticks</v>
      </c>
      <c r="D260" s="122" t="str">
        <f>VLOOKUP($B260,'Tech Litons'!$A:$I,4,0)</f>
        <v>Yasso Sticks</v>
      </c>
      <c r="E260" s="1021" t="s">
        <v>584</v>
      </c>
      <c r="F260" s="1021">
        <v>64326313</v>
      </c>
      <c r="G260" s="1023">
        <v>12292</v>
      </c>
      <c r="H260" s="1023">
        <v>13329</v>
      </c>
      <c r="I260" s="1023">
        <v>16078.463390750756</v>
      </c>
      <c r="J260" s="1023">
        <v>11033.237019212491</v>
      </c>
      <c r="K260" s="1023">
        <v>15890.130161325857</v>
      </c>
      <c r="L260" s="1023">
        <v>19228.158817402786</v>
      </c>
      <c r="M260" s="1023">
        <v>17939.79345183343</v>
      </c>
      <c r="N260" s="1023">
        <v>13041.198445052682</v>
      </c>
      <c r="O260" s="1023">
        <v>15766.201390075057</v>
      </c>
      <c r="P260" s="1023">
        <v>9084.6271454586822</v>
      </c>
      <c r="Q260" s="1023">
        <v>10304.961650895604</v>
      </c>
      <c r="R260" s="1023">
        <v>8898.075307233381</v>
      </c>
      <c r="S260" s="169">
        <f t="shared" si="131"/>
        <v>162885.8467792407</v>
      </c>
      <c r="T260" s="122">
        <f>VLOOKUP($B260,'Tech Litons'!$A:$I,9,0)</f>
        <v>187</v>
      </c>
      <c r="U260" s="179">
        <f t="shared" si="132"/>
        <v>65.732620320855617</v>
      </c>
      <c r="V260" s="179">
        <f t="shared" si="133"/>
        <v>71.278074866310163</v>
      </c>
      <c r="W260" s="179">
        <f t="shared" si="134"/>
        <v>85.981087651073565</v>
      </c>
      <c r="X260" s="179">
        <f t="shared" si="135"/>
        <v>59.001267482419735</v>
      </c>
      <c r="Y260" s="179">
        <f t="shared" si="136"/>
        <v>84.973958081956454</v>
      </c>
      <c r="Z260" s="179">
        <f t="shared" si="137"/>
        <v>102.82437870268869</v>
      </c>
      <c r="AA260" s="179">
        <f t="shared" si="138"/>
        <v>95.934724341355235</v>
      </c>
      <c r="AB260" s="179">
        <f t="shared" si="139"/>
        <v>69.73902911792878</v>
      </c>
      <c r="AC260" s="179">
        <f t="shared" si="140"/>
        <v>84.311237380080513</v>
      </c>
      <c r="AD260" s="179">
        <f t="shared" si="141"/>
        <v>48.580893825982258</v>
      </c>
      <c r="AE260" s="179">
        <f t="shared" si="142"/>
        <v>55.106746796233175</v>
      </c>
      <c r="AF260" s="179">
        <f t="shared" si="143"/>
        <v>47.583290413012733</v>
      </c>
    </row>
    <row r="261" spans="2:32">
      <c r="B261" s="122">
        <f t="shared" si="130"/>
        <v>68860671</v>
      </c>
      <c r="C261" s="122" t="str">
        <f>VLOOKUP($B261,'Tech Litons'!$A:$I,3,0)</f>
        <v>Talenti</v>
      </c>
      <c r="D261" s="122" t="str">
        <f>VLOOKUP($B261,'Tech Litons'!$A:$I,4,0)</f>
        <v>Talenti</v>
      </c>
      <c r="E261" s="1021" t="s">
        <v>971</v>
      </c>
      <c r="F261" s="1021">
        <v>68860671</v>
      </c>
      <c r="G261" s="1023">
        <v>5130</v>
      </c>
      <c r="H261" s="1023">
        <v>6570</v>
      </c>
      <c r="I261" s="1023">
        <v>9379.5989084933717</v>
      </c>
      <c r="J261" s="1023">
        <v>9407.5827212237964</v>
      </c>
      <c r="K261" s="1023">
        <v>8971.1822811611873</v>
      </c>
      <c r="L261" s="1023">
        <v>9425.712649730418</v>
      </c>
      <c r="M261" s="1023">
        <v>7850.6835723176091</v>
      </c>
      <c r="N261" s="1023">
        <v>6339.8066429520841</v>
      </c>
      <c r="O261" s="1023">
        <v>7767.838157676546</v>
      </c>
      <c r="P261" s="1023">
        <v>7297.0272781211515</v>
      </c>
      <c r="Q261" s="1023">
        <v>6760.2087640919826</v>
      </c>
      <c r="R261" s="1023">
        <v>4624.5907955510284</v>
      </c>
      <c r="S261" s="169">
        <f t="shared" si="131"/>
        <v>89524.231771319188</v>
      </c>
      <c r="T261" s="122">
        <f>VLOOKUP($B261,'Tech Litons'!$A:$I,9,0)</f>
        <v>255</v>
      </c>
      <c r="U261" s="179">
        <f t="shared" si="132"/>
        <v>20.117647058823529</v>
      </c>
      <c r="V261" s="179">
        <f t="shared" si="133"/>
        <v>25.764705882352942</v>
      </c>
      <c r="W261" s="179">
        <f t="shared" si="134"/>
        <v>36.782740817621068</v>
      </c>
      <c r="X261" s="179">
        <f t="shared" si="135"/>
        <v>36.892481259701164</v>
      </c>
      <c r="Y261" s="179">
        <f t="shared" si="136"/>
        <v>35.181106984945835</v>
      </c>
      <c r="Z261" s="179">
        <f t="shared" si="137"/>
        <v>36.963579018550661</v>
      </c>
      <c r="AA261" s="179">
        <f t="shared" si="138"/>
        <v>30.786994401245526</v>
      </c>
      <c r="AB261" s="179">
        <f t="shared" si="139"/>
        <v>24.861986835106212</v>
      </c>
      <c r="AC261" s="179">
        <f t="shared" si="140"/>
        <v>30.462110422260963</v>
      </c>
      <c r="AD261" s="179">
        <f t="shared" si="141"/>
        <v>28.615793247533926</v>
      </c>
      <c r="AE261" s="179">
        <f t="shared" si="142"/>
        <v>26.510622604282286</v>
      </c>
      <c r="AF261" s="179">
        <f t="shared" si="143"/>
        <v>18.135650178631483</v>
      </c>
    </row>
    <row r="262" spans="2:32">
      <c r="B262" s="122">
        <f t="shared" si="130"/>
        <v>69999271</v>
      </c>
      <c r="C262" s="122" t="str">
        <f>VLOOKUP($B262,'Tech Litons'!$A:$I,3,0)</f>
        <v>BJ PTS</v>
      </c>
      <c r="D262" s="122" t="str">
        <f>VLOOKUP($B262,'Tech Litons'!$A:$I,4,0)</f>
        <v>BJ PTS</v>
      </c>
      <c r="E262" s="1021" t="s">
        <v>531</v>
      </c>
      <c r="F262" s="1021">
        <v>69999271</v>
      </c>
      <c r="G262" s="1024">
        <v>137</v>
      </c>
      <c r="H262" s="1023">
        <v>351</v>
      </c>
      <c r="I262" s="1023">
        <v>1651.74150650296</v>
      </c>
      <c r="J262" s="1023">
        <v>1514.3136220098309</v>
      </c>
      <c r="K262" s="1023">
        <v>1755.5198863279561</v>
      </c>
      <c r="L262" s="1023">
        <v>600.92880143242417</v>
      </c>
      <c r="M262" s="1023">
        <v>9670.982982329826</v>
      </c>
      <c r="N262" s="1023">
        <v>16393.878354823093</v>
      </c>
      <c r="O262" s="1023">
        <v>15197.904331543392</v>
      </c>
      <c r="P262" s="1023">
        <v>12253.160879608695</v>
      </c>
      <c r="Q262" s="1023">
        <v>3906.9654218403975</v>
      </c>
      <c r="R262" s="1023">
        <v>1594.9180444877729</v>
      </c>
      <c r="S262" s="169">
        <f t="shared" si="131"/>
        <v>65028.313830906343</v>
      </c>
      <c r="T262" s="122">
        <f>VLOOKUP($B262,'Tech Litons'!$A:$I,9,0)</f>
        <v>240</v>
      </c>
      <c r="U262" s="179">
        <f t="shared" si="132"/>
        <v>0.5708333333333333</v>
      </c>
      <c r="V262" s="179">
        <f t="shared" si="133"/>
        <v>1.4624999999999999</v>
      </c>
      <c r="W262" s="179">
        <f t="shared" si="134"/>
        <v>6.8822562770956663</v>
      </c>
      <c r="X262" s="179">
        <f t="shared" si="135"/>
        <v>6.309640091707629</v>
      </c>
      <c r="Y262" s="179">
        <f t="shared" si="136"/>
        <v>7.3146661930331502</v>
      </c>
      <c r="Z262" s="179">
        <f t="shared" si="137"/>
        <v>2.5038700059684342</v>
      </c>
      <c r="AA262" s="179">
        <f t="shared" si="138"/>
        <v>40.295762426374274</v>
      </c>
      <c r="AB262" s="179">
        <f t="shared" si="139"/>
        <v>68.307826478429561</v>
      </c>
      <c r="AC262" s="179">
        <f t="shared" si="140"/>
        <v>63.324601381430803</v>
      </c>
      <c r="AD262" s="179">
        <f t="shared" si="141"/>
        <v>51.054836998369559</v>
      </c>
      <c r="AE262" s="179">
        <f t="shared" si="142"/>
        <v>16.279022591001656</v>
      </c>
      <c r="AF262" s="179">
        <f t="shared" si="143"/>
        <v>6.6454918520323876</v>
      </c>
    </row>
    <row r="263" spans="2:32">
      <c r="B263" s="122">
        <f t="shared" si="130"/>
        <v>68862483</v>
      </c>
      <c r="C263" s="122" t="str">
        <f>VLOOKUP($B263,'Tech Litons'!$A:$I,3,0)</f>
        <v>Talenti</v>
      </c>
      <c r="D263" s="122" t="str">
        <f>VLOOKUP($B263,'Tech Litons'!$A:$I,4,0)</f>
        <v>Talenti</v>
      </c>
      <c r="E263" s="1021" t="s">
        <v>975</v>
      </c>
      <c r="F263" s="1021">
        <v>68862483</v>
      </c>
      <c r="G263" s="1023">
        <v>1553</v>
      </c>
      <c r="H263" s="1023">
        <v>2905</v>
      </c>
      <c r="I263" s="1023">
        <v>4852.0016451803331</v>
      </c>
      <c r="J263" s="1023">
        <v>5176.6791461417242</v>
      </c>
      <c r="K263" s="1023">
        <v>4683.7895906724152</v>
      </c>
      <c r="L263" s="1023">
        <v>4713.2512448191055</v>
      </c>
      <c r="M263" s="1023">
        <v>3879.9589446360606</v>
      </c>
      <c r="N263" s="1023">
        <v>3521.496614899218</v>
      </c>
      <c r="O263" s="1023">
        <v>4118.4205457303651</v>
      </c>
      <c r="P263" s="1023">
        <v>3761.9136700518588</v>
      </c>
      <c r="Q263" s="1023">
        <v>3508.4886648818324</v>
      </c>
      <c r="R263" s="1023">
        <v>2284.9464463511604</v>
      </c>
      <c r="S263" s="169">
        <f t="shared" si="131"/>
        <v>44958.94651336407</v>
      </c>
      <c r="T263" s="122">
        <f>VLOOKUP($B263,'Tech Litons'!$A:$I,9,0)</f>
        <v>255</v>
      </c>
      <c r="U263" s="179">
        <f t="shared" si="132"/>
        <v>6.0901960784313722</v>
      </c>
      <c r="V263" s="179">
        <f t="shared" si="133"/>
        <v>11.392156862745098</v>
      </c>
      <c r="W263" s="179">
        <f t="shared" si="134"/>
        <v>19.027457432079739</v>
      </c>
      <c r="X263" s="179">
        <f t="shared" si="135"/>
        <v>20.300702533889115</v>
      </c>
      <c r="Y263" s="179">
        <f t="shared" si="136"/>
        <v>18.367802316362411</v>
      </c>
      <c r="Z263" s="179">
        <f t="shared" si="137"/>
        <v>18.483338214976886</v>
      </c>
      <c r="AA263" s="179">
        <f t="shared" si="138"/>
        <v>15.215525273082591</v>
      </c>
      <c r="AB263" s="179">
        <f t="shared" si="139"/>
        <v>13.8097906466636</v>
      </c>
      <c r="AC263" s="179">
        <f t="shared" si="140"/>
        <v>16.150668806785745</v>
      </c>
      <c r="AD263" s="179">
        <f t="shared" si="141"/>
        <v>14.752602627654348</v>
      </c>
      <c r="AE263" s="179">
        <f t="shared" si="142"/>
        <v>13.75877907796797</v>
      </c>
      <c r="AF263" s="179">
        <f t="shared" si="143"/>
        <v>8.9605742994163151</v>
      </c>
    </row>
    <row r="264" spans="2:32">
      <c r="B264" s="122">
        <f t="shared" si="130"/>
        <v>69557443</v>
      </c>
      <c r="C264" s="122" t="str">
        <f>VLOOKUP($B264,'Tech Litons'!$A:$I,3,0)</f>
        <v>KL Mini Cones</v>
      </c>
      <c r="D264" s="122" t="str">
        <f>VLOOKUP($B264,'Tech Litons'!$A:$I,4,0)</f>
        <v>KL Mini Cones</v>
      </c>
      <c r="E264" s="1021" t="s">
        <v>629</v>
      </c>
      <c r="F264" s="1021">
        <v>69557443</v>
      </c>
      <c r="G264" s="1023">
        <v>1752</v>
      </c>
      <c r="H264" s="1023">
        <v>1272</v>
      </c>
      <c r="I264" s="1023">
        <v>1282.8392447666502</v>
      </c>
      <c r="J264" s="1023">
        <v>283.92962025840848</v>
      </c>
      <c r="K264" s="1023">
        <v>1400.8460644910219</v>
      </c>
      <c r="L264" s="1023">
        <v>405.16352302696714</v>
      </c>
      <c r="M264" s="1023">
        <v>859.84335667242931</v>
      </c>
      <c r="N264" s="1023">
        <v>998.90581872762675</v>
      </c>
      <c r="O264" s="1023">
        <v>1034.8475090194875</v>
      </c>
      <c r="P264" s="1023">
        <v>126.39745972086097</v>
      </c>
      <c r="Q264" s="1023">
        <v>735.88890154768262</v>
      </c>
      <c r="R264" s="1023">
        <v>260.13770429090948</v>
      </c>
      <c r="S264" s="169">
        <f t="shared" si="131"/>
        <v>10412.799202522045</v>
      </c>
      <c r="T264" s="122">
        <f>VLOOKUP($B264,'Tech Litons'!$A:$I,9,0)</f>
        <v>120</v>
      </c>
      <c r="U264" s="179">
        <f t="shared" si="132"/>
        <v>14.6</v>
      </c>
      <c r="V264" s="179">
        <f t="shared" si="133"/>
        <v>10.6</v>
      </c>
      <c r="W264" s="179">
        <f t="shared" si="134"/>
        <v>10.690327039722085</v>
      </c>
      <c r="X264" s="179">
        <f t="shared" si="135"/>
        <v>2.3660801688200706</v>
      </c>
      <c r="Y264" s="179">
        <f t="shared" si="136"/>
        <v>11.673717204091849</v>
      </c>
      <c r="Z264" s="179">
        <f t="shared" si="137"/>
        <v>3.3763626918913929</v>
      </c>
      <c r="AA264" s="179">
        <f t="shared" si="138"/>
        <v>7.1653613056035779</v>
      </c>
      <c r="AB264" s="179">
        <f t="shared" si="139"/>
        <v>8.3242151560635556</v>
      </c>
      <c r="AC264" s="179">
        <f t="shared" si="140"/>
        <v>8.6237292418290625</v>
      </c>
      <c r="AD264" s="179">
        <f t="shared" si="141"/>
        <v>1.0533121643405081</v>
      </c>
      <c r="AE264" s="179">
        <f t="shared" si="142"/>
        <v>6.1324075128973554</v>
      </c>
      <c r="AF264" s="179">
        <f t="shared" si="143"/>
        <v>2.1678142024242457</v>
      </c>
    </row>
    <row r="265" spans="2:32">
      <c r="B265" s="122">
        <f t="shared" si="130"/>
        <v>68264519</v>
      </c>
      <c r="C265" s="122" t="str">
        <f>VLOOKUP($B265,'Tech Litons'!$A:$I,3,0)</f>
        <v>Dough Bites</v>
      </c>
      <c r="D265" s="122" t="str">
        <f>VLOOKUP($B265,'Tech Litons'!$A:$I,4,0)</f>
        <v>Dough Bites</v>
      </c>
      <c r="E265" s="1021" t="s">
        <v>894</v>
      </c>
      <c r="F265" s="1021">
        <v>68264519</v>
      </c>
      <c r="G265" s="1024">
        <v>6242</v>
      </c>
      <c r="H265" s="1023">
        <v>6222</v>
      </c>
      <c r="I265" s="1023">
        <v>7705.2717602384018</v>
      </c>
      <c r="J265" s="1023">
        <v>9240.8827762777873</v>
      </c>
      <c r="K265" s="1023">
        <v>8993.0679770811803</v>
      </c>
      <c r="L265" s="1023">
        <v>3583.0504765169626</v>
      </c>
      <c r="M265" s="1023">
        <v>4911.2419656673701</v>
      </c>
      <c r="N265" s="1023">
        <v>5049.914723053851</v>
      </c>
      <c r="O265" s="1023">
        <v>4994.8213447179587</v>
      </c>
      <c r="P265" s="1023">
        <v>5925.3148018388529</v>
      </c>
      <c r="Q265" s="1023">
        <v>4869.501412350759</v>
      </c>
      <c r="R265" s="1023">
        <v>4998.1103501863963</v>
      </c>
      <c r="S265" s="169">
        <f t="shared" si="131"/>
        <v>72735.177587929531</v>
      </c>
      <c r="T265" s="122">
        <f>VLOOKUP($B265,'Tech Litons'!$A:$I,9,0)</f>
        <v>256</v>
      </c>
      <c r="U265" s="179">
        <f t="shared" si="132"/>
        <v>24.3828125</v>
      </c>
      <c r="V265" s="179">
        <f t="shared" si="133"/>
        <v>24.3046875</v>
      </c>
      <c r="W265" s="179">
        <f t="shared" si="134"/>
        <v>30.098717813431257</v>
      </c>
      <c r="X265" s="179">
        <f t="shared" si="135"/>
        <v>36.097198344835107</v>
      </c>
      <c r="Y265" s="179">
        <f t="shared" si="136"/>
        <v>35.129171785473361</v>
      </c>
      <c r="Z265" s="179">
        <f t="shared" si="137"/>
        <v>13.996290923894385</v>
      </c>
      <c r="AA265" s="179">
        <f t="shared" si="138"/>
        <v>19.184538928388164</v>
      </c>
      <c r="AB265" s="179">
        <f t="shared" si="139"/>
        <v>19.726229386929106</v>
      </c>
      <c r="AC265" s="179">
        <f t="shared" si="140"/>
        <v>19.511020877804526</v>
      </c>
      <c r="AD265" s="179">
        <f t="shared" si="141"/>
        <v>23.145760944683019</v>
      </c>
      <c r="AE265" s="179">
        <f t="shared" si="142"/>
        <v>19.021489891995152</v>
      </c>
      <c r="AF265" s="179">
        <f t="shared" si="143"/>
        <v>19.523868555415611</v>
      </c>
    </row>
    <row r="266" spans="2:32">
      <c r="B266" s="122">
        <f t="shared" si="130"/>
        <v>68649096</v>
      </c>
      <c r="C266" s="122" t="str">
        <f>VLOOKUP($B266,'Tech Litons'!$A:$I,3,0)</f>
        <v>Topped</v>
      </c>
      <c r="D266" s="122" t="str">
        <f>VLOOKUP($B266,'Tech Litons'!$A:$I,4,0)</f>
        <v>SP1</v>
      </c>
      <c r="E266" s="1021" t="s">
        <v>1101</v>
      </c>
      <c r="F266" s="1021">
        <v>68649096</v>
      </c>
      <c r="G266" s="1023">
        <v>2483</v>
      </c>
      <c r="H266" s="1023">
        <v>2942</v>
      </c>
      <c r="I266" s="1023">
        <v>4980.2090413899095</v>
      </c>
      <c r="J266" s="1023">
        <v>2981.224586267012</v>
      </c>
      <c r="K266" s="1023">
        <v>3974.7931048772198</v>
      </c>
      <c r="L266" s="1023">
        <v>3988.454130345192</v>
      </c>
      <c r="M266" s="1023">
        <v>3976.7237177474417</v>
      </c>
      <c r="N266" s="1023">
        <v>4253.1860945705603</v>
      </c>
      <c r="O266" s="1023">
        <v>3281.4243871166727</v>
      </c>
      <c r="P266" s="1023">
        <v>2892.3638455941241</v>
      </c>
      <c r="Q266" s="1023">
        <v>2758.4035341776616</v>
      </c>
      <c r="R266" s="1023">
        <v>2855.2167713005279</v>
      </c>
      <c r="S266" s="169">
        <f t="shared" si="131"/>
        <v>41366.99921338632</v>
      </c>
      <c r="T266" s="122">
        <f>VLOOKUP($B266,'Tech Litons'!$A:$I,9,0)</f>
        <v>240</v>
      </c>
      <c r="U266" s="179">
        <f t="shared" si="132"/>
        <v>10.345833333333333</v>
      </c>
      <c r="V266" s="179">
        <f t="shared" si="133"/>
        <v>12.258333333333333</v>
      </c>
      <c r="W266" s="179">
        <f t="shared" si="134"/>
        <v>20.750871005791289</v>
      </c>
      <c r="X266" s="179">
        <f t="shared" si="135"/>
        <v>12.421769109445883</v>
      </c>
      <c r="Y266" s="179">
        <f t="shared" si="136"/>
        <v>16.561637936988415</v>
      </c>
      <c r="Z266" s="179">
        <f t="shared" si="137"/>
        <v>16.6185588764383</v>
      </c>
      <c r="AA266" s="179">
        <f t="shared" si="138"/>
        <v>16.569682157281008</v>
      </c>
      <c r="AB266" s="179">
        <f t="shared" si="139"/>
        <v>17.721608727377333</v>
      </c>
      <c r="AC266" s="179">
        <f t="shared" si="140"/>
        <v>13.672601612986137</v>
      </c>
      <c r="AD266" s="179">
        <f t="shared" si="141"/>
        <v>12.051516023308851</v>
      </c>
      <c r="AE266" s="179">
        <f t="shared" si="142"/>
        <v>11.49334805907359</v>
      </c>
      <c r="AF266" s="179">
        <f t="shared" si="143"/>
        <v>11.896736547085533</v>
      </c>
    </row>
    <row r="267" spans="2:32">
      <c r="B267" s="122">
        <f t="shared" si="130"/>
        <v>69586720</v>
      </c>
      <c r="C267" s="122" t="str">
        <f>VLOOKUP($B267,'Tech Litons'!$A:$I,3,0)</f>
        <v>KL Mini Cones</v>
      </c>
      <c r="D267" s="122" t="str">
        <f>VLOOKUP($B267,'Tech Litons'!$A:$I,4,0)</f>
        <v>KL Mini Cones</v>
      </c>
      <c r="E267" s="1021" t="s">
        <v>630</v>
      </c>
      <c r="F267" s="1021">
        <v>69586720</v>
      </c>
      <c r="G267" s="1023">
        <v>3152</v>
      </c>
      <c r="H267" s="1023">
        <v>5562</v>
      </c>
      <c r="I267" s="1023">
        <v>9881.4499999999989</v>
      </c>
      <c r="J267" s="1023">
        <v>11373.890000000001</v>
      </c>
      <c r="K267" s="1023">
        <v>12273.61</v>
      </c>
      <c r="L267" s="1023">
        <v>12619.24</v>
      </c>
      <c r="M267" s="1023">
        <v>12257.949999999999</v>
      </c>
      <c r="N267" s="1023">
        <v>10687</v>
      </c>
      <c r="O267" s="1023">
        <v>10102.450000000001</v>
      </c>
      <c r="P267" s="1023">
        <v>8789.5999999999985</v>
      </c>
      <c r="Q267" s="1023">
        <v>8292.17</v>
      </c>
      <c r="R267" s="1023">
        <v>6753.32</v>
      </c>
      <c r="S267" s="169">
        <f t="shared" si="131"/>
        <v>111744.68</v>
      </c>
      <c r="T267" s="122">
        <f>VLOOKUP($B267,'Tech Litons'!$A:$I,9,0)</f>
        <v>220</v>
      </c>
      <c r="U267" s="179">
        <f t="shared" si="132"/>
        <v>14.327272727272728</v>
      </c>
      <c r="V267" s="179">
        <f t="shared" si="133"/>
        <v>25.281818181818181</v>
      </c>
      <c r="W267" s="179">
        <f t="shared" si="134"/>
        <v>44.915681818181817</v>
      </c>
      <c r="X267" s="179">
        <f t="shared" si="135"/>
        <v>51.699500000000008</v>
      </c>
      <c r="Y267" s="179">
        <f t="shared" si="136"/>
        <v>55.789136363636366</v>
      </c>
      <c r="Z267" s="179">
        <f t="shared" si="137"/>
        <v>57.360181818181815</v>
      </c>
      <c r="AA267" s="179">
        <f t="shared" si="138"/>
        <v>55.717954545454539</v>
      </c>
      <c r="AB267" s="179">
        <f t="shared" si="139"/>
        <v>48.577272727272728</v>
      </c>
      <c r="AC267" s="179">
        <f t="shared" si="140"/>
        <v>45.920227272727274</v>
      </c>
      <c r="AD267" s="179">
        <f t="shared" si="141"/>
        <v>39.952727272727266</v>
      </c>
      <c r="AE267" s="179">
        <f t="shared" si="142"/>
        <v>37.69168181818182</v>
      </c>
      <c r="AF267" s="179">
        <f t="shared" si="143"/>
        <v>30.696909090909088</v>
      </c>
    </row>
    <row r="268" spans="2:32">
      <c r="B268" s="122">
        <f t="shared" si="130"/>
        <v>62678151</v>
      </c>
      <c r="C268" s="122" t="str">
        <f>VLOOKUP($B268,'Tech Litons'!$A:$I,3,0)</f>
        <v>BJ PTS</v>
      </c>
      <c r="D268" s="122" t="str">
        <f>VLOOKUP($B268,'Tech Litons'!$A:$I,4,0)</f>
        <v>BJ PTS</v>
      </c>
      <c r="E268" s="1021" t="s">
        <v>963</v>
      </c>
      <c r="F268" s="1021">
        <v>62678151</v>
      </c>
      <c r="G268" s="1023">
        <v>3555</v>
      </c>
      <c r="H268" s="1023">
        <v>4682</v>
      </c>
      <c r="I268" s="1023">
        <v>5173.6440173270003</v>
      </c>
      <c r="J268" s="1023">
        <v>4010.2393822445124</v>
      </c>
      <c r="K268" s="1023">
        <v>4283.1462856829603</v>
      </c>
      <c r="L268" s="1023">
        <v>5343.0024663884369</v>
      </c>
      <c r="M268" s="1023">
        <v>5004.4973460581177</v>
      </c>
      <c r="N268" s="1023">
        <v>4537.3688661301876</v>
      </c>
      <c r="O268" s="1023">
        <v>4554.7913289017051</v>
      </c>
      <c r="P268" s="1023">
        <v>3049.100215190052</v>
      </c>
      <c r="Q268" s="1023">
        <v>3498.4381303381565</v>
      </c>
      <c r="R268" s="1023">
        <v>3456.7920346213295</v>
      </c>
      <c r="S268" s="169">
        <f t="shared" si="131"/>
        <v>51148.020072882464</v>
      </c>
      <c r="T268" s="122">
        <f>VLOOKUP($B268,'Tech Litons'!$A:$I,9,0)</f>
        <v>240</v>
      </c>
      <c r="U268" s="179">
        <f t="shared" si="132"/>
        <v>14.8125</v>
      </c>
      <c r="V268" s="179">
        <f t="shared" si="133"/>
        <v>19.508333333333333</v>
      </c>
      <c r="W268" s="179">
        <f t="shared" si="134"/>
        <v>21.556850072195836</v>
      </c>
      <c r="X268" s="179">
        <f t="shared" si="135"/>
        <v>16.709330759352135</v>
      </c>
      <c r="Y268" s="179">
        <f t="shared" si="136"/>
        <v>17.846442857012335</v>
      </c>
      <c r="Z268" s="179">
        <f t="shared" si="137"/>
        <v>22.262510276618489</v>
      </c>
      <c r="AA268" s="179">
        <f t="shared" si="138"/>
        <v>20.852072275242158</v>
      </c>
      <c r="AB268" s="179">
        <f t="shared" si="139"/>
        <v>18.905703608875783</v>
      </c>
      <c r="AC268" s="179">
        <f t="shared" si="140"/>
        <v>18.978297203757105</v>
      </c>
      <c r="AD268" s="179">
        <f t="shared" si="141"/>
        <v>12.704584229958551</v>
      </c>
      <c r="AE268" s="179">
        <f t="shared" si="142"/>
        <v>14.576825543075651</v>
      </c>
      <c r="AF268" s="179">
        <f t="shared" si="143"/>
        <v>14.403300144255541</v>
      </c>
    </row>
    <row r="269" spans="2:32">
      <c r="B269" s="122">
        <f t="shared" si="130"/>
        <v>62678152</v>
      </c>
      <c r="C269" s="122" t="str">
        <f>VLOOKUP($B269,'Tech Litons'!$A:$I,3,0)</f>
        <v>BJ PTS</v>
      </c>
      <c r="D269" s="122" t="str">
        <f>VLOOKUP($B269,'Tech Litons'!$A:$I,4,0)</f>
        <v>BJ PTS</v>
      </c>
      <c r="E269" s="1021" t="s">
        <v>940</v>
      </c>
      <c r="F269" s="1021">
        <v>62678152</v>
      </c>
      <c r="G269" s="1023">
        <v>2437</v>
      </c>
      <c r="H269" s="1023">
        <v>2985</v>
      </c>
      <c r="I269" s="1023">
        <v>2458.3484342581132</v>
      </c>
      <c r="J269" s="1023">
        <v>2241.7773166302654</v>
      </c>
      <c r="K269" s="1023">
        <v>2251.8128145022256</v>
      </c>
      <c r="L269" s="1023">
        <v>3036.5940833188233</v>
      </c>
      <c r="M269" s="1023">
        <v>2909.4289460014188</v>
      </c>
      <c r="N269" s="1023">
        <v>2363.9246469069622</v>
      </c>
      <c r="O269" s="1023">
        <v>3052.491068389596</v>
      </c>
      <c r="P269" s="1023">
        <v>1941.7928251189915</v>
      </c>
      <c r="Q269" s="1023">
        <v>2134.4856202913406</v>
      </c>
      <c r="R269" s="1023">
        <v>2471.5467704070011</v>
      </c>
      <c r="S269" s="169">
        <f t="shared" si="131"/>
        <v>30284.202525824734</v>
      </c>
      <c r="T269" s="122">
        <f>VLOOKUP($B269,'Tech Litons'!$A:$I,9,0)</f>
        <v>240</v>
      </c>
      <c r="U269" s="179">
        <f t="shared" si="132"/>
        <v>10.154166666666667</v>
      </c>
      <c r="V269" s="179">
        <f t="shared" si="133"/>
        <v>12.4375</v>
      </c>
      <c r="W269" s="179">
        <f t="shared" si="134"/>
        <v>10.243118476075471</v>
      </c>
      <c r="X269" s="179">
        <f t="shared" si="135"/>
        <v>9.3407388192927723</v>
      </c>
      <c r="Y269" s="179">
        <f t="shared" si="136"/>
        <v>9.3825533937592738</v>
      </c>
      <c r="Z269" s="179">
        <f t="shared" si="137"/>
        <v>12.652475347161763</v>
      </c>
      <c r="AA269" s="179">
        <f t="shared" si="138"/>
        <v>12.122620608339245</v>
      </c>
      <c r="AB269" s="179">
        <f t="shared" si="139"/>
        <v>9.8496860287790096</v>
      </c>
      <c r="AC269" s="179">
        <f t="shared" si="140"/>
        <v>12.718712784956649</v>
      </c>
      <c r="AD269" s="179">
        <f t="shared" si="141"/>
        <v>8.0908034379957972</v>
      </c>
      <c r="AE269" s="179">
        <f t="shared" si="142"/>
        <v>8.8936900845472522</v>
      </c>
      <c r="AF269" s="179">
        <f t="shared" si="143"/>
        <v>10.298111543362504</v>
      </c>
    </row>
    <row r="270" spans="2:32">
      <c r="B270" s="122">
        <f t="shared" ref="B270:B328" si="144">F270</f>
        <v>68852583</v>
      </c>
      <c r="C270" s="122" t="str">
        <f>VLOOKUP($B270,'Tech Litons'!$A:$I,3,0)</f>
        <v>EDF</v>
      </c>
      <c r="D270" s="122" t="str">
        <f>VLOOKUP($B270,'Tech Litons'!$A:$I,4,0)</f>
        <v>EDF</v>
      </c>
      <c r="E270" s="1021" t="s">
        <v>1009</v>
      </c>
      <c r="F270" s="1021">
        <v>68852583</v>
      </c>
      <c r="G270" s="1023">
        <v>4392</v>
      </c>
      <c r="H270" s="1023">
        <v>6096</v>
      </c>
      <c r="I270" s="1023">
        <v>8746.3830989330472</v>
      </c>
      <c r="J270" s="1023">
        <v>8073.1481358304445</v>
      </c>
      <c r="K270" s="1023">
        <v>10625.567117599308</v>
      </c>
      <c r="L270" s="1023">
        <v>9397.1828332963178</v>
      </c>
      <c r="M270" s="1023">
        <v>10580.466632470512</v>
      </c>
      <c r="N270" s="1023">
        <v>8543.604643914081</v>
      </c>
      <c r="O270" s="1023">
        <v>5507.7912351908508</v>
      </c>
      <c r="P270" s="1023">
        <v>6824.2822854676915</v>
      </c>
      <c r="Q270" s="1023">
        <v>3215.497878585938</v>
      </c>
      <c r="R270" s="1023">
        <v>3491.1031166118228</v>
      </c>
      <c r="S270" s="169">
        <f t="shared" si="131"/>
        <v>85493.026977900008</v>
      </c>
      <c r="T270" s="122">
        <f>VLOOKUP($B270,'Tech Litons'!$A:$I,9,0)</f>
        <v>132</v>
      </c>
      <c r="U270" s="179">
        <f t="shared" si="132"/>
        <v>33.272727272727273</v>
      </c>
      <c r="V270" s="179">
        <f t="shared" si="133"/>
        <v>46.18181818181818</v>
      </c>
      <c r="W270" s="179">
        <f t="shared" si="134"/>
        <v>66.260478022220056</v>
      </c>
      <c r="X270" s="179">
        <f t="shared" si="135"/>
        <v>61.160213150230639</v>
      </c>
      <c r="Y270" s="179">
        <f t="shared" si="136"/>
        <v>80.496720587873554</v>
      </c>
      <c r="Z270" s="179">
        <f t="shared" si="137"/>
        <v>71.190779040123616</v>
      </c>
      <c r="AA270" s="179">
        <f t="shared" si="138"/>
        <v>80.155050245988733</v>
      </c>
      <c r="AB270" s="179">
        <f t="shared" si="139"/>
        <v>64.724277605409711</v>
      </c>
      <c r="AC270" s="179">
        <f t="shared" si="140"/>
        <v>41.725691175688262</v>
      </c>
      <c r="AD270" s="179">
        <f t="shared" si="141"/>
        <v>51.699108223240088</v>
      </c>
      <c r="AE270" s="179">
        <f t="shared" si="142"/>
        <v>24.359832413529833</v>
      </c>
      <c r="AF270" s="179">
        <f t="shared" si="143"/>
        <v>26.447750883422898</v>
      </c>
    </row>
    <row r="271" spans="2:32">
      <c r="B271" s="122">
        <f t="shared" si="144"/>
        <v>64378129</v>
      </c>
      <c r="C271" s="122" t="str">
        <f>VLOOKUP($B271,'Tech Litons'!$A:$I,3,0)</f>
        <v>Other</v>
      </c>
      <c r="D271" s="122" t="str">
        <f>VLOOKUP($B271,'Tech Litons'!$A:$I,4,0)</f>
        <v>Other</v>
      </c>
      <c r="E271" s="1021" t="s">
        <v>627</v>
      </c>
      <c r="F271" s="1021">
        <v>64378129</v>
      </c>
      <c r="G271" s="1023">
        <v>1287</v>
      </c>
      <c r="H271" s="1023">
        <v>792</v>
      </c>
      <c r="I271" s="1023">
        <v>48.366817371774005</v>
      </c>
      <c r="J271" s="1023">
        <v>0</v>
      </c>
      <c r="K271" s="1023">
        <v>0</v>
      </c>
      <c r="L271" s="1023">
        <v>0</v>
      </c>
      <c r="M271" s="1023">
        <v>0</v>
      </c>
      <c r="N271" s="1023">
        <v>0</v>
      </c>
      <c r="O271" s="1023">
        <v>0</v>
      </c>
      <c r="P271" s="1023">
        <v>0</v>
      </c>
      <c r="Q271" s="1023">
        <v>0</v>
      </c>
      <c r="R271" s="1023">
        <v>0</v>
      </c>
      <c r="S271" s="169">
        <f t="shared" si="131"/>
        <v>2127.3668173717742</v>
      </c>
      <c r="T271" s="122">
        <f>VLOOKUP($B271,'Tech Litons'!$A:$I,9,0)</f>
        <v>110</v>
      </c>
      <c r="U271" s="179">
        <f t="shared" si="132"/>
        <v>11.7</v>
      </c>
      <c r="V271" s="179">
        <f t="shared" si="133"/>
        <v>7.2</v>
      </c>
      <c r="W271" s="179">
        <f t="shared" si="134"/>
        <v>0.43969833974340006</v>
      </c>
      <c r="X271" s="179">
        <f t="shared" si="135"/>
        <v>0</v>
      </c>
      <c r="Y271" s="179">
        <f t="shared" si="136"/>
        <v>0</v>
      </c>
      <c r="Z271" s="179">
        <f t="shared" si="137"/>
        <v>0</v>
      </c>
      <c r="AA271" s="179">
        <f t="shared" si="138"/>
        <v>0</v>
      </c>
      <c r="AB271" s="179">
        <f t="shared" si="139"/>
        <v>0</v>
      </c>
      <c r="AC271" s="179">
        <f t="shared" si="140"/>
        <v>0</v>
      </c>
      <c r="AD271" s="179">
        <f t="shared" si="141"/>
        <v>0</v>
      </c>
      <c r="AE271" s="179">
        <f t="shared" si="142"/>
        <v>0</v>
      </c>
      <c r="AF271" s="179">
        <f t="shared" si="143"/>
        <v>0</v>
      </c>
    </row>
    <row r="272" spans="2:32">
      <c r="B272" s="122">
        <f t="shared" si="144"/>
        <v>64325487</v>
      </c>
      <c r="C272" s="122" t="str">
        <f>VLOOKUP($B272,'Tech Litons'!$A:$I,3,0)</f>
        <v>Yasso Sticks</v>
      </c>
      <c r="D272" s="122" t="str">
        <f>VLOOKUP($B272,'Tech Litons'!$A:$I,4,0)</f>
        <v>Yasso Sticks</v>
      </c>
      <c r="E272" s="1021" t="s">
        <v>233</v>
      </c>
      <c r="F272" s="1021">
        <v>64325487</v>
      </c>
      <c r="G272" s="1023">
        <v>6518</v>
      </c>
      <c r="H272" s="1023">
        <v>6990</v>
      </c>
      <c r="I272" s="1023">
        <v>10578.709408749288</v>
      </c>
      <c r="J272" s="1023">
        <v>8606.5204391748994</v>
      </c>
      <c r="K272" s="1023">
        <v>14916.821262595238</v>
      </c>
      <c r="L272" s="1023">
        <v>13776.141641725177</v>
      </c>
      <c r="M272" s="1023">
        <v>17418.9141966241</v>
      </c>
      <c r="N272" s="1023">
        <v>12976.357245521169</v>
      </c>
      <c r="O272" s="1023">
        <v>9858.1836352330447</v>
      </c>
      <c r="P272" s="1023">
        <v>10432.58433125533</v>
      </c>
      <c r="Q272" s="1023">
        <v>8652.5342692244631</v>
      </c>
      <c r="R272" s="1023">
        <v>5498.9195700019627</v>
      </c>
      <c r="S272" s="169">
        <f t="shared" ref="S272:S335" si="145">SUM(G272:R272)</f>
        <v>126223.68600010466</v>
      </c>
      <c r="T272" s="122">
        <f>VLOOKUP($B272,'Tech Litons'!$A:$I,9,0)</f>
        <v>187</v>
      </c>
      <c r="U272" s="179">
        <f t="shared" ref="U272:U335" si="146">G272/$T272</f>
        <v>34.855614973262036</v>
      </c>
      <c r="V272" s="179">
        <f t="shared" ref="V272:V335" si="147">H272/$T272</f>
        <v>37.37967914438503</v>
      </c>
      <c r="W272" s="179">
        <f t="shared" ref="W272:W335" si="148">I272/$T272</f>
        <v>56.570638549461435</v>
      </c>
      <c r="X272" s="179">
        <f t="shared" ref="X272:X335" si="149">J272/$T272</f>
        <v>46.024173471523525</v>
      </c>
      <c r="Y272" s="179">
        <f t="shared" ref="Y272:Y335" si="150">K272/$T272</f>
        <v>79.769097660937106</v>
      </c>
      <c r="Z272" s="179">
        <f t="shared" ref="Z272:Z335" si="151">L272/$T272</f>
        <v>73.669206640241583</v>
      </c>
      <c r="AA272" s="179">
        <f t="shared" ref="AA272:AA335" si="152">M272/$T272</f>
        <v>93.149273778738504</v>
      </c>
      <c r="AB272" s="179">
        <f t="shared" ref="AB272:AB335" si="153">N272/$T272</f>
        <v>69.392284735407316</v>
      </c>
      <c r="AC272" s="179">
        <f t="shared" ref="AC272:AC335" si="154">O272/$T272</f>
        <v>52.717559546700777</v>
      </c>
      <c r="AD272" s="179">
        <f t="shared" ref="AD272:AD335" si="155">P272/$T272</f>
        <v>55.789221022755775</v>
      </c>
      <c r="AE272" s="179">
        <f t="shared" ref="AE272:AE335" si="156">Q272/$T272</f>
        <v>46.27023673382066</v>
      </c>
      <c r="AF272" s="179">
        <f t="shared" ref="AF272:AF335" si="157">R272/$T272</f>
        <v>29.405987005358089</v>
      </c>
    </row>
    <row r="273" spans="2:32">
      <c r="B273" s="122">
        <f t="shared" si="144"/>
        <v>62678148</v>
      </c>
      <c r="C273" s="122" t="str">
        <f>VLOOKUP($B273,'Tech Litons'!$A:$I,3,0)</f>
        <v>BJ PTS</v>
      </c>
      <c r="D273" s="122" t="str">
        <f>VLOOKUP($B273,'Tech Litons'!$A:$I,4,0)</f>
        <v>BJ PTS</v>
      </c>
      <c r="E273" s="1021" t="s">
        <v>939</v>
      </c>
      <c r="F273" s="1021">
        <v>62678148</v>
      </c>
      <c r="G273" s="1023">
        <v>3121</v>
      </c>
      <c r="H273" s="1023">
        <v>3370</v>
      </c>
      <c r="I273" s="1023">
        <v>3136.9058192111124</v>
      </c>
      <c r="J273" s="1023">
        <v>2270.9049262053163</v>
      </c>
      <c r="K273" s="1023">
        <v>2812.0720753280939</v>
      </c>
      <c r="L273" s="1023">
        <v>3472.6680509112757</v>
      </c>
      <c r="M273" s="1023">
        <v>2729.9318021487579</v>
      </c>
      <c r="N273" s="1023">
        <v>2652.0423864402492</v>
      </c>
      <c r="O273" s="1023">
        <v>2818.9200248659613</v>
      </c>
      <c r="P273" s="1023">
        <v>2173.2075419971443</v>
      </c>
      <c r="Q273" s="1023">
        <v>2338.2309658567892</v>
      </c>
      <c r="R273" s="1023">
        <v>2448.1548779805821</v>
      </c>
      <c r="S273" s="169">
        <f t="shared" si="145"/>
        <v>33344.038470945277</v>
      </c>
      <c r="T273" s="122">
        <f>VLOOKUP($B273,'Tech Litons'!$A:$I,9,0)</f>
        <v>240</v>
      </c>
      <c r="U273" s="179">
        <f t="shared" si="146"/>
        <v>13.004166666666666</v>
      </c>
      <c r="V273" s="179">
        <f t="shared" si="147"/>
        <v>14.041666666666666</v>
      </c>
      <c r="W273" s="179">
        <f t="shared" si="148"/>
        <v>13.070440913379635</v>
      </c>
      <c r="X273" s="179">
        <f t="shared" si="149"/>
        <v>9.4621038591888187</v>
      </c>
      <c r="Y273" s="179">
        <f t="shared" si="150"/>
        <v>11.716966980533725</v>
      </c>
      <c r="Z273" s="179">
        <f t="shared" si="151"/>
        <v>14.469450212130315</v>
      </c>
      <c r="AA273" s="179">
        <f t="shared" si="152"/>
        <v>11.374715842286491</v>
      </c>
      <c r="AB273" s="179">
        <f t="shared" si="153"/>
        <v>11.050176610167705</v>
      </c>
      <c r="AC273" s="179">
        <f t="shared" si="154"/>
        <v>11.745500103608173</v>
      </c>
      <c r="AD273" s="179">
        <f t="shared" si="155"/>
        <v>9.0550314249881012</v>
      </c>
      <c r="AE273" s="179">
        <f t="shared" si="156"/>
        <v>9.7426290244032892</v>
      </c>
      <c r="AF273" s="179">
        <f t="shared" si="157"/>
        <v>10.200645324919092</v>
      </c>
    </row>
    <row r="274" spans="2:32">
      <c r="B274" s="122">
        <f t="shared" si="144"/>
        <v>64786666</v>
      </c>
      <c r="C274" s="122" t="str">
        <f>VLOOKUP($B274,'Tech Litons'!$A:$I,3,0)</f>
        <v>MBG</v>
      </c>
      <c r="D274" s="122" t="str">
        <f>VLOOKUP($B274,'Tech Litons'!$A:$I,4,0)</f>
        <v>MBG</v>
      </c>
      <c r="E274" s="1021" t="s">
        <v>979</v>
      </c>
      <c r="F274" s="1021">
        <v>64786666</v>
      </c>
      <c r="G274" s="1023">
        <v>3374</v>
      </c>
      <c r="H274" s="1023">
        <v>3559</v>
      </c>
      <c r="I274" s="1023">
        <v>3886.6192999848477</v>
      </c>
      <c r="J274" s="1023">
        <v>7514.4458731685581</v>
      </c>
      <c r="K274" s="1023">
        <v>6396.9105938876446</v>
      </c>
      <c r="L274" s="1023">
        <v>8826.8565324805149</v>
      </c>
      <c r="M274" s="1023">
        <v>6861.3920656342434</v>
      </c>
      <c r="N274" s="1023">
        <v>6497.2139279521389</v>
      </c>
      <c r="O274" s="1023">
        <v>4887.6467572802167</v>
      </c>
      <c r="P274" s="1023">
        <v>3661.2649299872487</v>
      </c>
      <c r="Q274" s="1023">
        <v>3134.8960526164278</v>
      </c>
      <c r="R274" s="1023">
        <v>3125.9909600638498</v>
      </c>
      <c r="S274" s="169">
        <f t="shared" si="145"/>
        <v>61726.236993055689</v>
      </c>
      <c r="T274" s="122">
        <f>VLOOKUP($B274,'Tech Litons'!$A:$I,9,0)</f>
        <v>154</v>
      </c>
      <c r="U274" s="179">
        <f t="shared" si="146"/>
        <v>21.90909090909091</v>
      </c>
      <c r="V274" s="179">
        <f t="shared" si="147"/>
        <v>23.11038961038961</v>
      </c>
      <c r="W274" s="179">
        <f t="shared" si="148"/>
        <v>25.237787662239271</v>
      </c>
      <c r="X274" s="179">
        <f t="shared" si="149"/>
        <v>48.795103072523105</v>
      </c>
      <c r="Y274" s="179">
        <f t="shared" si="150"/>
        <v>41.5383804797899</v>
      </c>
      <c r="Z274" s="179">
        <f t="shared" si="151"/>
        <v>57.317250210912434</v>
      </c>
      <c r="AA274" s="179">
        <f t="shared" si="152"/>
        <v>44.554493932689894</v>
      </c>
      <c r="AB274" s="179">
        <f t="shared" si="153"/>
        <v>42.189700830858044</v>
      </c>
      <c r="AC274" s="179">
        <f t="shared" si="154"/>
        <v>31.737965956365045</v>
      </c>
      <c r="AD274" s="179">
        <f t="shared" si="155"/>
        <v>23.774447597319796</v>
      </c>
      <c r="AE274" s="179">
        <f t="shared" si="156"/>
        <v>20.356467874132647</v>
      </c>
      <c r="AF274" s="179">
        <f t="shared" si="157"/>
        <v>20.298642597817206</v>
      </c>
    </row>
    <row r="275" spans="2:32">
      <c r="B275" s="122">
        <f t="shared" si="144"/>
        <v>62678150</v>
      </c>
      <c r="C275" s="122" t="str">
        <f>VLOOKUP($B275,'Tech Litons'!$A:$I,3,0)</f>
        <v>BJ PTS</v>
      </c>
      <c r="D275" s="122" t="str">
        <f>VLOOKUP($B275,'Tech Litons'!$A:$I,4,0)</f>
        <v>BJ PTS</v>
      </c>
      <c r="E275" s="1021" t="s">
        <v>962</v>
      </c>
      <c r="F275" s="1021">
        <v>62678150</v>
      </c>
      <c r="G275" s="1023">
        <v>5687</v>
      </c>
      <c r="H275" s="1023">
        <v>6665</v>
      </c>
      <c r="I275" s="1023">
        <v>6825.9787636308565</v>
      </c>
      <c r="J275" s="1023">
        <v>6451.0679143548841</v>
      </c>
      <c r="K275" s="1023">
        <v>5822.0711407757271</v>
      </c>
      <c r="L275" s="1023">
        <v>8596.143274495631</v>
      </c>
      <c r="M275" s="1023">
        <v>8812.6468916621507</v>
      </c>
      <c r="N275" s="1023">
        <v>7668.1693318574644</v>
      </c>
      <c r="O275" s="1023">
        <v>6375.2805334551467</v>
      </c>
      <c r="P275" s="1023">
        <v>5481.8015491001388</v>
      </c>
      <c r="Q275" s="1023">
        <v>5900.3280777071159</v>
      </c>
      <c r="R275" s="1023">
        <v>5237.8016978931637</v>
      </c>
      <c r="S275" s="169">
        <f t="shared" si="145"/>
        <v>79523.289174932288</v>
      </c>
      <c r="T275" s="122">
        <f>VLOOKUP($B275,'Tech Litons'!$A:$I,9,0)</f>
        <v>240</v>
      </c>
      <c r="U275" s="179">
        <f t="shared" si="146"/>
        <v>23.695833333333333</v>
      </c>
      <c r="V275" s="179">
        <f t="shared" si="147"/>
        <v>27.770833333333332</v>
      </c>
      <c r="W275" s="179">
        <f t="shared" si="148"/>
        <v>28.441578181795236</v>
      </c>
      <c r="X275" s="179">
        <f t="shared" si="149"/>
        <v>26.87944964314535</v>
      </c>
      <c r="Y275" s="179">
        <f t="shared" si="150"/>
        <v>24.258629753232196</v>
      </c>
      <c r="Z275" s="179">
        <f t="shared" si="151"/>
        <v>35.817263643731799</v>
      </c>
      <c r="AA275" s="179">
        <f t="shared" si="152"/>
        <v>36.719362048592295</v>
      </c>
      <c r="AB275" s="179">
        <f t="shared" si="153"/>
        <v>31.950705549406102</v>
      </c>
      <c r="AC275" s="179">
        <f t="shared" si="154"/>
        <v>26.563668889396446</v>
      </c>
      <c r="AD275" s="179">
        <f t="shared" si="155"/>
        <v>22.840839787917243</v>
      </c>
      <c r="AE275" s="179">
        <f t="shared" si="156"/>
        <v>24.58470032377965</v>
      </c>
      <c r="AF275" s="179">
        <f t="shared" si="157"/>
        <v>21.824173741221514</v>
      </c>
    </row>
    <row r="276" spans="2:32">
      <c r="B276" s="122">
        <f t="shared" si="144"/>
        <v>62712055</v>
      </c>
      <c r="C276" s="122" t="str">
        <f>VLOOKUP($B276,'Tech Litons'!$A:$I,3,0)</f>
        <v>MG Sticks</v>
      </c>
      <c r="D276" s="122" t="str">
        <f>VLOOKUP($B276,'Tech Litons'!$A:$I,4,0)</f>
        <v>MG Sticks</v>
      </c>
      <c r="E276" s="1021" t="s">
        <v>915</v>
      </c>
      <c r="F276" s="1021">
        <v>62712055</v>
      </c>
      <c r="G276" s="1023">
        <v>1806</v>
      </c>
      <c r="H276" s="1023">
        <v>1653</v>
      </c>
      <c r="I276" s="1023">
        <v>1759.3955361887126</v>
      </c>
      <c r="J276" s="1023">
        <v>2168.8522859378118</v>
      </c>
      <c r="K276" s="1023">
        <v>3847.7485838464718</v>
      </c>
      <c r="L276" s="1023">
        <v>2483.1374806309418</v>
      </c>
      <c r="M276" s="1023">
        <v>3347.7392118114581</v>
      </c>
      <c r="N276" s="1023">
        <v>3547.6947661235536</v>
      </c>
      <c r="O276" s="1023">
        <v>1961.616491909977</v>
      </c>
      <c r="P276" s="1023">
        <v>2143.3130253087966</v>
      </c>
      <c r="Q276" s="1023">
        <v>795.94779359731604</v>
      </c>
      <c r="R276" s="1023">
        <v>1912.6910748826795</v>
      </c>
      <c r="S276" s="169">
        <f t="shared" si="145"/>
        <v>27427.136250237716</v>
      </c>
      <c r="T276" s="122">
        <f>VLOOKUP($B276,'Tech Litons'!$A:$I,9,0)</f>
        <v>210</v>
      </c>
      <c r="U276" s="179">
        <f t="shared" si="146"/>
        <v>8.6</v>
      </c>
      <c r="V276" s="179">
        <f t="shared" si="147"/>
        <v>7.871428571428571</v>
      </c>
      <c r="W276" s="179">
        <f t="shared" si="148"/>
        <v>8.3780739818510117</v>
      </c>
      <c r="X276" s="179">
        <f t="shared" si="149"/>
        <v>10.327868028275294</v>
      </c>
      <c r="Y276" s="179">
        <f t="shared" si="150"/>
        <v>18.32261230403082</v>
      </c>
      <c r="Z276" s="179">
        <f t="shared" si="151"/>
        <v>11.824464193480676</v>
      </c>
      <c r="AA276" s="179">
        <f t="shared" si="152"/>
        <v>15.941615294340277</v>
      </c>
      <c r="AB276" s="179">
        <f t="shared" si="153"/>
        <v>16.893784600588351</v>
      </c>
      <c r="AC276" s="179">
        <f t="shared" si="154"/>
        <v>9.3410309138570327</v>
      </c>
      <c r="AD276" s="179">
        <f t="shared" si="155"/>
        <v>10.206252501470459</v>
      </c>
      <c r="AE276" s="179">
        <f t="shared" si="156"/>
        <v>3.7902275885586478</v>
      </c>
      <c r="AF276" s="179">
        <f t="shared" si="157"/>
        <v>9.1080527375365694</v>
      </c>
    </row>
    <row r="277" spans="2:32">
      <c r="B277" s="122">
        <f t="shared" si="144"/>
        <v>67867261</v>
      </c>
      <c r="C277" s="122" t="str">
        <f>VLOOKUP($B277,'Tech Litons'!$A:$I,3,0)</f>
        <v>BJ PTS</v>
      </c>
      <c r="D277" s="122" t="str">
        <f>VLOOKUP($B277,'Tech Litons'!$A:$I,4,0)</f>
        <v>BJ PTS</v>
      </c>
      <c r="E277" s="1021" t="s">
        <v>954</v>
      </c>
      <c r="F277" s="1021">
        <v>67867261</v>
      </c>
      <c r="G277" s="1023">
        <v>225</v>
      </c>
      <c r="H277" s="1023">
        <v>1016</v>
      </c>
      <c r="I277" s="1023">
        <v>0</v>
      </c>
      <c r="J277" s="1023">
        <v>0</v>
      </c>
      <c r="K277" s="1023">
        <v>0</v>
      </c>
      <c r="L277" s="1023">
        <v>0</v>
      </c>
      <c r="M277" s="1023">
        <v>0</v>
      </c>
      <c r="N277" s="1023">
        <v>0</v>
      </c>
      <c r="O277" s="1023">
        <v>0</v>
      </c>
      <c r="P277" s="1023">
        <v>0</v>
      </c>
      <c r="Q277" s="1023">
        <v>0</v>
      </c>
      <c r="R277" s="1023">
        <v>0</v>
      </c>
      <c r="S277" s="169">
        <f t="shared" si="145"/>
        <v>1241</v>
      </c>
      <c r="T277" s="122">
        <f>VLOOKUP($B277,'Tech Litons'!$A:$I,9,0)</f>
        <v>240</v>
      </c>
      <c r="U277" s="179">
        <f t="shared" si="146"/>
        <v>0.9375</v>
      </c>
      <c r="V277" s="179">
        <f t="shared" si="147"/>
        <v>4.2333333333333334</v>
      </c>
      <c r="W277" s="179">
        <f t="shared" si="148"/>
        <v>0</v>
      </c>
      <c r="X277" s="179">
        <f t="shared" si="149"/>
        <v>0</v>
      </c>
      <c r="Y277" s="179">
        <f t="shared" si="150"/>
        <v>0</v>
      </c>
      <c r="Z277" s="179">
        <f t="shared" si="151"/>
        <v>0</v>
      </c>
      <c r="AA277" s="179">
        <f t="shared" si="152"/>
        <v>0</v>
      </c>
      <c r="AB277" s="179">
        <f t="shared" si="153"/>
        <v>0</v>
      </c>
      <c r="AC277" s="179">
        <f t="shared" si="154"/>
        <v>0</v>
      </c>
      <c r="AD277" s="179">
        <f t="shared" si="155"/>
        <v>0</v>
      </c>
      <c r="AE277" s="179">
        <f t="shared" si="156"/>
        <v>0</v>
      </c>
      <c r="AF277" s="179">
        <f t="shared" si="157"/>
        <v>0</v>
      </c>
    </row>
    <row r="278" spans="2:32">
      <c r="B278" s="122">
        <f t="shared" si="144"/>
        <v>68862421</v>
      </c>
      <c r="C278" s="122" t="str">
        <f>VLOOKUP($B278,'Tech Litons'!$A:$I,3,0)</f>
        <v>Talenti</v>
      </c>
      <c r="D278" s="122" t="str">
        <f>VLOOKUP($B278,'Tech Litons'!$A:$I,4,0)</f>
        <v>Talenti</v>
      </c>
      <c r="E278" s="1021" t="s">
        <v>945</v>
      </c>
      <c r="F278" s="1021">
        <v>68862421</v>
      </c>
      <c r="G278" s="1023">
        <v>418</v>
      </c>
      <c r="H278" s="1023">
        <v>600</v>
      </c>
      <c r="I278" s="1023">
        <v>130.37380776876407</v>
      </c>
      <c r="J278" s="1023">
        <v>505.05138036059054</v>
      </c>
      <c r="K278" s="1023">
        <v>460.76134518822403</v>
      </c>
      <c r="L278" s="1023">
        <v>253.74340521069587</v>
      </c>
      <c r="M278" s="1023">
        <v>0</v>
      </c>
      <c r="N278" s="1023">
        <v>0</v>
      </c>
      <c r="O278" s="1023">
        <v>126.67544095922247</v>
      </c>
      <c r="P278" s="1023">
        <v>0</v>
      </c>
      <c r="Q278" s="1023">
        <v>0</v>
      </c>
      <c r="R278" s="1023">
        <v>0</v>
      </c>
      <c r="S278" s="169">
        <f t="shared" si="145"/>
        <v>2494.605379487497</v>
      </c>
      <c r="T278" s="122">
        <f>VLOOKUP($B278,'Tech Litons'!$A:$I,9,0)</f>
        <v>255</v>
      </c>
      <c r="U278" s="179">
        <f t="shared" si="146"/>
        <v>1.6392156862745098</v>
      </c>
      <c r="V278" s="179">
        <f t="shared" si="147"/>
        <v>2.3529411764705883</v>
      </c>
      <c r="W278" s="179">
        <f t="shared" si="148"/>
        <v>0.51126983438731011</v>
      </c>
      <c r="X278" s="179">
        <f t="shared" si="149"/>
        <v>1.9805936484729041</v>
      </c>
      <c r="Y278" s="179">
        <f t="shared" si="150"/>
        <v>1.8069072360322511</v>
      </c>
      <c r="Z278" s="179">
        <f t="shared" si="151"/>
        <v>0.99507217729684649</v>
      </c>
      <c r="AA278" s="179">
        <f t="shared" si="152"/>
        <v>0</v>
      </c>
      <c r="AB278" s="179">
        <f t="shared" si="153"/>
        <v>0</v>
      </c>
      <c r="AC278" s="179">
        <f t="shared" si="154"/>
        <v>0.49676643513420576</v>
      </c>
      <c r="AD278" s="179">
        <f t="shared" si="155"/>
        <v>0</v>
      </c>
      <c r="AE278" s="179">
        <f t="shared" si="156"/>
        <v>0</v>
      </c>
      <c r="AF278" s="179">
        <f t="shared" si="157"/>
        <v>0</v>
      </c>
    </row>
    <row r="279" spans="2:32">
      <c r="B279" s="122">
        <f t="shared" si="144"/>
        <v>68654238</v>
      </c>
      <c r="C279" s="122" t="str">
        <f>VLOOKUP($B279,'Tech Litons'!$A:$I,3,0)</f>
        <v>BJ PTS</v>
      </c>
      <c r="D279" s="122" t="str">
        <f>VLOOKUP($B279,'Tech Litons'!$A:$I,4,0)</f>
        <v>BJ PTS</v>
      </c>
      <c r="E279" s="1021" t="s">
        <v>551</v>
      </c>
      <c r="F279" s="1021">
        <v>68654238</v>
      </c>
      <c r="G279" s="1023">
        <v>5912</v>
      </c>
      <c r="H279" s="1023">
        <v>2823</v>
      </c>
      <c r="I279" s="1023">
        <v>5432.697483095405</v>
      </c>
      <c r="J279" s="1023">
        <v>4366.462903925777</v>
      </c>
      <c r="K279" s="1023">
        <v>4363.0861906056771</v>
      </c>
      <c r="L279" s="1023">
        <v>5032.1013062593775</v>
      </c>
      <c r="M279" s="1023">
        <v>4079.0270521490756</v>
      </c>
      <c r="N279" s="1023">
        <v>4202.6305232641789</v>
      </c>
      <c r="O279" s="1023">
        <v>4195.8494538054265</v>
      </c>
      <c r="P279" s="1023">
        <v>3572.1482633791447</v>
      </c>
      <c r="Q279" s="1023">
        <v>3442.5581362963744</v>
      </c>
      <c r="R279" s="1023">
        <v>3311.9224425438833</v>
      </c>
      <c r="S279" s="169">
        <f t="shared" si="145"/>
        <v>50733.48375532432</v>
      </c>
      <c r="T279" s="122">
        <f>VLOOKUP($B279,'Tech Litons'!$A:$I,9,0)</f>
        <v>240</v>
      </c>
      <c r="U279" s="179">
        <f t="shared" si="146"/>
        <v>24.633333333333333</v>
      </c>
      <c r="V279" s="179">
        <f t="shared" si="147"/>
        <v>11.762499999999999</v>
      </c>
      <c r="W279" s="179">
        <f t="shared" si="148"/>
        <v>22.636239512897522</v>
      </c>
      <c r="X279" s="179">
        <f t="shared" si="149"/>
        <v>18.193595433024072</v>
      </c>
      <c r="Y279" s="179">
        <f t="shared" si="150"/>
        <v>18.179525794190322</v>
      </c>
      <c r="Z279" s="179">
        <f t="shared" si="151"/>
        <v>20.96708877608074</v>
      </c>
      <c r="AA279" s="179">
        <f t="shared" si="152"/>
        <v>16.99594605062115</v>
      </c>
      <c r="AB279" s="179">
        <f t="shared" si="153"/>
        <v>17.510960513600747</v>
      </c>
      <c r="AC279" s="179">
        <f t="shared" si="154"/>
        <v>17.482706057522609</v>
      </c>
      <c r="AD279" s="179">
        <f t="shared" si="155"/>
        <v>14.883951097413103</v>
      </c>
      <c r="AE279" s="179">
        <f t="shared" si="156"/>
        <v>14.343992234568226</v>
      </c>
      <c r="AF279" s="179">
        <f t="shared" si="157"/>
        <v>13.799676843932847</v>
      </c>
    </row>
    <row r="280" spans="2:32">
      <c r="B280" s="122">
        <f t="shared" si="144"/>
        <v>64325600</v>
      </c>
      <c r="C280" s="122" t="str">
        <f>VLOOKUP($B280,'Tech Litons'!$A:$I,3,0)</f>
        <v>Yasso Sandwich</v>
      </c>
      <c r="D280" s="122" t="str">
        <f>VLOOKUP($B280,'Tech Litons'!$A:$I,4,0)</f>
        <v>Yasso Sandwich</v>
      </c>
      <c r="E280" s="1021" t="s">
        <v>1034</v>
      </c>
      <c r="F280" s="1021">
        <v>64325600</v>
      </c>
      <c r="G280" s="1023">
        <v>84</v>
      </c>
      <c r="H280" s="1023">
        <v>42</v>
      </c>
      <c r="I280" s="1023">
        <v>0</v>
      </c>
      <c r="J280" s="1023">
        <v>0</v>
      </c>
      <c r="K280" s="1023">
        <v>0</v>
      </c>
      <c r="L280" s="1023">
        <v>0</v>
      </c>
      <c r="M280" s="1023">
        <v>0</v>
      </c>
      <c r="N280" s="1023">
        <v>0</v>
      </c>
      <c r="O280" s="1023">
        <v>0</v>
      </c>
      <c r="P280" s="1023">
        <v>0</v>
      </c>
      <c r="Q280" s="1023">
        <v>0</v>
      </c>
      <c r="R280" s="1023">
        <v>0</v>
      </c>
      <c r="S280" s="169">
        <f t="shared" si="145"/>
        <v>126</v>
      </c>
      <c r="T280" s="122">
        <f>VLOOKUP($B280,'Tech Litons'!$A:$I,9,0)</f>
        <v>189</v>
      </c>
      <c r="U280" s="179">
        <f t="shared" si="146"/>
        <v>0.44444444444444442</v>
      </c>
      <c r="V280" s="179">
        <f t="shared" si="147"/>
        <v>0.22222222222222221</v>
      </c>
      <c r="W280" s="179">
        <f t="shared" si="148"/>
        <v>0</v>
      </c>
      <c r="X280" s="179">
        <f t="shared" si="149"/>
        <v>0</v>
      </c>
      <c r="Y280" s="179">
        <f t="shared" si="150"/>
        <v>0</v>
      </c>
      <c r="Z280" s="179">
        <f t="shared" si="151"/>
        <v>0</v>
      </c>
      <c r="AA280" s="179">
        <f t="shared" si="152"/>
        <v>0</v>
      </c>
      <c r="AB280" s="179">
        <f t="shared" si="153"/>
        <v>0</v>
      </c>
      <c r="AC280" s="179">
        <f t="shared" si="154"/>
        <v>0</v>
      </c>
      <c r="AD280" s="179">
        <f t="shared" si="155"/>
        <v>0</v>
      </c>
      <c r="AE280" s="179">
        <f t="shared" si="156"/>
        <v>0</v>
      </c>
      <c r="AF280" s="179">
        <f t="shared" si="157"/>
        <v>0</v>
      </c>
    </row>
    <row r="281" spans="2:32">
      <c r="B281" s="122">
        <f t="shared" si="144"/>
        <v>67794170</v>
      </c>
      <c r="C281" s="122" t="str">
        <f>VLOOKUP($B281,'Tech Litons'!$A:$I,3,0)</f>
        <v>BJ PTS</v>
      </c>
      <c r="D281" s="122" t="str">
        <f>VLOOKUP($B281,'Tech Litons'!$A:$I,4,0)</f>
        <v>BJ PTS</v>
      </c>
      <c r="E281" s="1022" t="s">
        <v>414</v>
      </c>
      <c r="F281" s="1022">
        <v>67794170</v>
      </c>
      <c r="G281" s="1025">
        <v>4201</v>
      </c>
      <c r="H281" s="1025">
        <v>1956</v>
      </c>
      <c r="I281" s="1025">
        <v>6566.573758692899</v>
      </c>
      <c r="J281" s="1025">
        <v>5497.5385642442106</v>
      </c>
      <c r="K281" s="1025">
        <v>6982.7822604664298</v>
      </c>
      <c r="L281" s="1025">
        <v>4204.52280950148</v>
      </c>
      <c r="M281" s="1025">
        <v>5005.2148292190941</v>
      </c>
      <c r="N281" s="1025">
        <v>4452.6765550666569</v>
      </c>
      <c r="O281" s="1025">
        <v>2788.5993970476443</v>
      </c>
      <c r="P281" s="1025">
        <v>3996.5230722371275</v>
      </c>
      <c r="Q281" s="1025">
        <v>3827.6185635819934</v>
      </c>
      <c r="R281" s="1025">
        <v>3934.163864672274</v>
      </c>
      <c r="S281" s="169">
        <f t="shared" si="145"/>
        <v>53413.213674729806</v>
      </c>
      <c r="T281" s="122">
        <f>VLOOKUP($B281,'Tech Litons'!$A:$I,9,0)</f>
        <v>240</v>
      </c>
      <c r="U281" s="179">
        <f t="shared" si="146"/>
        <v>17.504166666666666</v>
      </c>
      <c r="V281" s="179">
        <f t="shared" si="147"/>
        <v>8.15</v>
      </c>
      <c r="W281" s="179">
        <f t="shared" si="148"/>
        <v>27.360723994553744</v>
      </c>
      <c r="X281" s="179">
        <f t="shared" si="149"/>
        <v>22.906410684350877</v>
      </c>
      <c r="Y281" s="179">
        <f t="shared" si="150"/>
        <v>29.094926085276789</v>
      </c>
      <c r="Z281" s="179">
        <f t="shared" si="151"/>
        <v>17.5188450395895</v>
      </c>
      <c r="AA281" s="179">
        <f t="shared" si="152"/>
        <v>20.855061788412893</v>
      </c>
      <c r="AB281" s="179">
        <f t="shared" si="153"/>
        <v>18.552818979444403</v>
      </c>
      <c r="AC281" s="179">
        <f t="shared" si="154"/>
        <v>11.619164154365185</v>
      </c>
      <c r="AD281" s="179">
        <f t="shared" si="155"/>
        <v>16.652179467654697</v>
      </c>
      <c r="AE281" s="179">
        <f t="shared" si="156"/>
        <v>15.948410681591639</v>
      </c>
      <c r="AF281" s="179">
        <f t="shared" si="157"/>
        <v>16.392349436134474</v>
      </c>
    </row>
    <row r="282" spans="2:32">
      <c r="B282" s="122">
        <f t="shared" si="144"/>
        <v>64330612</v>
      </c>
      <c r="C282" s="122" t="str">
        <f>VLOOKUP($B282,'Tech Litons'!$A:$I,3,0)</f>
        <v>MG Sticks</v>
      </c>
      <c r="D282" s="122" t="str">
        <f>VLOOKUP($B282,'Tech Litons'!$A:$I,4,0)</f>
        <v>MG Sticks</v>
      </c>
      <c r="E282" s="1021" t="s">
        <v>907</v>
      </c>
      <c r="F282" s="1021">
        <v>64330612</v>
      </c>
      <c r="G282" s="1023">
        <v>4229</v>
      </c>
      <c r="H282" s="1023">
        <v>5096</v>
      </c>
      <c r="I282" s="1023">
        <v>7127.2699999999995</v>
      </c>
      <c r="J282" s="1023">
        <v>7236.14</v>
      </c>
      <c r="K282" s="1023">
        <v>6836.81</v>
      </c>
      <c r="L282" s="1023">
        <v>7162.630000000001</v>
      </c>
      <c r="M282" s="1023">
        <v>7630.6399999999994</v>
      </c>
      <c r="N282" s="1023">
        <v>6934.2300000000005</v>
      </c>
      <c r="O282" s="1023">
        <v>5323.63</v>
      </c>
      <c r="P282" s="1023">
        <v>5282.62</v>
      </c>
      <c r="Q282" s="1023">
        <v>4955.1099999999997</v>
      </c>
      <c r="R282" s="1023">
        <v>5082.71</v>
      </c>
      <c r="S282" s="169">
        <f t="shared" si="145"/>
        <v>72896.790000000008</v>
      </c>
      <c r="T282" s="122">
        <f>VLOOKUP($B282,'Tech Litons'!$A:$I,9,0)</f>
        <v>143</v>
      </c>
      <c r="U282" s="179">
        <f t="shared" si="146"/>
        <v>29.573426573426573</v>
      </c>
      <c r="V282" s="179">
        <f t="shared" si="147"/>
        <v>35.636363636363633</v>
      </c>
      <c r="W282" s="179">
        <f t="shared" si="148"/>
        <v>49.841048951048947</v>
      </c>
      <c r="X282" s="179">
        <f t="shared" si="149"/>
        <v>50.602377622377624</v>
      </c>
      <c r="Y282" s="179">
        <f t="shared" si="150"/>
        <v>47.809860139860142</v>
      </c>
      <c r="Z282" s="179">
        <f t="shared" si="151"/>
        <v>50.088321678321684</v>
      </c>
      <c r="AA282" s="179">
        <f t="shared" si="152"/>
        <v>53.361118881118877</v>
      </c>
      <c r="AB282" s="179">
        <f t="shared" si="153"/>
        <v>48.491118881118886</v>
      </c>
      <c r="AC282" s="179">
        <f t="shared" si="154"/>
        <v>37.228181818181817</v>
      </c>
      <c r="AD282" s="179">
        <f t="shared" si="155"/>
        <v>36.941398601398603</v>
      </c>
      <c r="AE282" s="179">
        <f t="shared" si="156"/>
        <v>34.651118881118876</v>
      </c>
      <c r="AF282" s="179">
        <f t="shared" si="157"/>
        <v>35.543426573426572</v>
      </c>
    </row>
    <row r="283" spans="2:32">
      <c r="B283" s="122">
        <f t="shared" si="144"/>
        <v>69964648</v>
      </c>
      <c r="C283" s="122" t="str">
        <f>VLOOKUP($B283,'Tech Litons'!$A:$I,3,0)</f>
        <v>KL Mini Cones</v>
      </c>
      <c r="D283" s="122" t="str">
        <f>VLOOKUP($B283,'Tech Litons'!$A:$I,4,0)</f>
        <v>KL Mini Cones</v>
      </c>
      <c r="E283" s="1021" t="s">
        <v>1109</v>
      </c>
      <c r="F283" s="1021">
        <v>69964648</v>
      </c>
      <c r="G283" s="1023">
        <v>936</v>
      </c>
      <c r="H283" s="1023">
        <v>216</v>
      </c>
      <c r="I283" s="1023">
        <v>0</v>
      </c>
      <c r="J283" s="1023">
        <v>0</v>
      </c>
      <c r="K283" s="1023">
        <v>0</v>
      </c>
      <c r="L283" s="1023">
        <v>0</v>
      </c>
      <c r="M283" s="1023">
        <v>0</v>
      </c>
      <c r="N283" s="1023">
        <v>0</v>
      </c>
      <c r="O283" s="1023">
        <v>0</v>
      </c>
      <c r="P283" s="1023">
        <v>0</v>
      </c>
      <c r="Q283" s="1023">
        <v>0</v>
      </c>
      <c r="R283" s="1023">
        <v>0</v>
      </c>
      <c r="S283" s="169">
        <f t="shared" si="145"/>
        <v>1152</v>
      </c>
      <c r="T283" s="122">
        <f>VLOOKUP($B283,'Tech Litons'!$A:$I,9,0)</f>
        <v>120</v>
      </c>
      <c r="U283" s="179">
        <f t="shared" si="146"/>
        <v>7.8</v>
      </c>
      <c r="V283" s="179">
        <f t="shared" si="147"/>
        <v>1.8</v>
      </c>
      <c r="W283" s="179">
        <f t="shared" si="148"/>
        <v>0</v>
      </c>
      <c r="X283" s="179">
        <f t="shared" si="149"/>
        <v>0</v>
      </c>
      <c r="Y283" s="179">
        <f t="shared" si="150"/>
        <v>0</v>
      </c>
      <c r="Z283" s="179">
        <f t="shared" si="151"/>
        <v>0</v>
      </c>
      <c r="AA283" s="179">
        <f t="shared" si="152"/>
        <v>0</v>
      </c>
      <c r="AB283" s="179">
        <f t="shared" si="153"/>
        <v>0</v>
      </c>
      <c r="AC283" s="179">
        <f t="shared" si="154"/>
        <v>0</v>
      </c>
      <c r="AD283" s="179">
        <f t="shared" si="155"/>
        <v>0</v>
      </c>
      <c r="AE283" s="179">
        <f t="shared" si="156"/>
        <v>0</v>
      </c>
      <c r="AF283" s="179">
        <f t="shared" si="157"/>
        <v>0</v>
      </c>
    </row>
    <row r="284" spans="2:32">
      <c r="B284" s="122">
        <f t="shared" si="144"/>
        <v>69586716</v>
      </c>
      <c r="C284" s="122" t="str">
        <f>VLOOKUP($B284,'Tech Litons'!$A:$I,3,0)</f>
        <v>MG Sticks</v>
      </c>
      <c r="D284" s="122" t="str">
        <f>VLOOKUP($B284,'Tech Litons'!$A:$I,4,0)</f>
        <v>MG Sticks</v>
      </c>
      <c r="E284" s="1021" t="s">
        <v>379</v>
      </c>
      <c r="F284" s="1021">
        <v>69586716</v>
      </c>
      <c r="G284" s="1023">
        <v>3696</v>
      </c>
      <c r="H284" s="1023">
        <v>4095</v>
      </c>
      <c r="I284" s="1023">
        <v>3163.102913821444</v>
      </c>
      <c r="J284" s="1023">
        <v>4392.3002106467902</v>
      </c>
      <c r="K284" s="1023">
        <v>5397.1938869731794</v>
      </c>
      <c r="L284" s="1023">
        <v>4827.2651498307005</v>
      </c>
      <c r="M284" s="1023">
        <v>5468.9198000273009</v>
      </c>
      <c r="N284" s="1023">
        <v>5044.7472186873301</v>
      </c>
      <c r="O284" s="1023">
        <v>2578.7539592217631</v>
      </c>
      <c r="P284" s="1023">
        <v>3187.7105618411556</v>
      </c>
      <c r="Q284" s="1023">
        <v>2182.0238563031721</v>
      </c>
      <c r="R284" s="1023">
        <v>1689.4909067194553</v>
      </c>
      <c r="S284" s="169">
        <f t="shared" si="145"/>
        <v>45722.508464072293</v>
      </c>
      <c r="T284" s="122">
        <f>VLOOKUP($B284,'Tech Litons'!$A:$I,9,0)</f>
        <v>210</v>
      </c>
      <c r="U284" s="179">
        <f t="shared" si="146"/>
        <v>17.600000000000001</v>
      </c>
      <c r="V284" s="179">
        <f t="shared" si="147"/>
        <v>19.5</v>
      </c>
      <c r="W284" s="179">
        <f t="shared" si="148"/>
        <v>15.062394827721162</v>
      </c>
      <c r="X284" s="179">
        <f t="shared" si="149"/>
        <v>20.915715288794239</v>
      </c>
      <c r="Y284" s="179">
        <f t="shared" si="150"/>
        <v>25.700923271300855</v>
      </c>
      <c r="Z284" s="179">
        <f t="shared" si="151"/>
        <v>22.986976903955718</v>
      </c>
      <c r="AA284" s="179">
        <f t="shared" si="152"/>
        <v>26.042475238225244</v>
      </c>
      <c r="AB284" s="179">
        <f t="shared" si="153"/>
        <v>24.022605803273002</v>
      </c>
      <c r="AC284" s="179">
        <f t="shared" si="154"/>
        <v>12.279780758198871</v>
      </c>
      <c r="AD284" s="179">
        <f t="shared" si="155"/>
        <v>15.179574104005503</v>
      </c>
      <c r="AE284" s="179">
        <f t="shared" si="156"/>
        <v>10.390589791919867</v>
      </c>
      <c r="AF284" s="179">
        <f t="shared" si="157"/>
        <v>8.0451947939021675</v>
      </c>
    </row>
    <row r="285" spans="2:32">
      <c r="B285" s="122">
        <f t="shared" si="144"/>
        <v>68654232</v>
      </c>
      <c r="C285" s="122" t="str">
        <f>VLOOKUP($B285,'Tech Litons'!$A:$I,3,0)</f>
        <v>Dough Bites</v>
      </c>
      <c r="D285" s="122" t="str">
        <f>VLOOKUP($B285,'Tech Litons'!$A:$I,4,0)</f>
        <v>Dough Bites</v>
      </c>
      <c r="E285" s="1021" t="s">
        <v>899</v>
      </c>
      <c r="F285" s="1021">
        <v>68654232</v>
      </c>
      <c r="G285" s="1023">
        <v>1390</v>
      </c>
      <c r="H285" s="1023">
        <v>2177</v>
      </c>
      <c r="I285" s="1023">
        <v>2775.9258126460722</v>
      </c>
      <c r="J285" s="1023">
        <v>3374.7641725614658</v>
      </c>
      <c r="K285" s="1023">
        <v>2722.5249730152273</v>
      </c>
      <c r="L285" s="1023">
        <v>1517.7407369954524</v>
      </c>
      <c r="M285" s="1023">
        <v>1965.6004513479188</v>
      </c>
      <c r="N285" s="1023">
        <v>1762.9258489323365</v>
      </c>
      <c r="O285" s="1023">
        <v>985.9470983821559</v>
      </c>
      <c r="P285" s="1023">
        <v>1674.8998418745632</v>
      </c>
      <c r="Q285" s="1023">
        <v>1424.0246047609978</v>
      </c>
      <c r="R285" s="1023">
        <v>983.39451701390476</v>
      </c>
      <c r="S285" s="169">
        <f t="shared" si="145"/>
        <v>22754.748057530094</v>
      </c>
      <c r="T285" s="122">
        <f>VLOOKUP($B285,'Tech Litons'!$A:$I,9,0)</f>
        <v>256</v>
      </c>
      <c r="U285" s="179">
        <f t="shared" si="146"/>
        <v>5.4296875</v>
      </c>
      <c r="V285" s="179">
        <f t="shared" si="147"/>
        <v>8.50390625</v>
      </c>
      <c r="W285" s="179">
        <f t="shared" si="148"/>
        <v>10.84346020564872</v>
      </c>
      <c r="X285" s="179">
        <f t="shared" si="149"/>
        <v>13.182672549068226</v>
      </c>
      <c r="Y285" s="179">
        <f t="shared" si="150"/>
        <v>10.634863175840731</v>
      </c>
      <c r="Z285" s="179">
        <f t="shared" si="151"/>
        <v>5.9286747538884859</v>
      </c>
      <c r="AA285" s="179">
        <f t="shared" si="152"/>
        <v>7.6781267630778078</v>
      </c>
      <c r="AB285" s="179">
        <f t="shared" si="153"/>
        <v>6.8864290973919395</v>
      </c>
      <c r="AC285" s="179">
        <f t="shared" si="154"/>
        <v>3.8513558530552965</v>
      </c>
      <c r="AD285" s="179">
        <f t="shared" si="155"/>
        <v>6.5425775073225125</v>
      </c>
      <c r="AE285" s="179">
        <f t="shared" si="156"/>
        <v>5.5625961123476477</v>
      </c>
      <c r="AF285" s="179">
        <f t="shared" si="157"/>
        <v>3.8413848320855655</v>
      </c>
    </row>
    <row r="286" spans="2:32">
      <c r="B286" s="122">
        <f t="shared" si="144"/>
        <v>64989107</v>
      </c>
      <c r="C286" s="122" t="str">
        <f>VLOOKUP($B286,'Tech Litons'!$A:$I,3,0)</f>
        <v>BR Minicups</v>
      </c>
      <c r="D286" s="122" t="str">
        <f>VLOOKUP($B286,'Tech Litons'!$A:$I,4,0)</f>
        <v>Other</v>
      </c>
      <c r="E286" s="1021" t="s">
        <v>888</v>
      </c>
      <c r="F286" s="1021">
        <v>64989107</v>
      </c>
      <c r="G286" s="1023">
        <v>1750</v>
      </c>
      <c r="H286" s="1023">
        <v>1430</v>
      </c>
      <c r="I286" s="1023">
        <v>3076.5581257760659</v>
      </c>
      <c r="J286" s="1023">
        <v>2452.8436072992672</v>
      </c>
      <c r="K286" s="1023">
        <v>2641.6649517986261</v>
      </c>
      <c r="L286" s="1023">
        <v>2380.9747682376665</v>
      </c>
      <c r="M286" s="1023">
        <v>2247.8909679070262</v>
      </c>
      <c r="N286" s="1023">
        <v>2354.3189046732914</v>
      </c>
      <c r="O286" s="1023">
        <v>2020.9209474284291</v>
      </c>
      <c r="P286" s="1023">
        <v>2124.4041910537949</v>
      </c>
      <c r="Q286" s="1023">
        <v>2102.9142333077098</v>
      </c>
      <c r="R286" s="1023">
        <v>1452.0031922640392</v>
      </c>
      <c r="S286" s="169">
        <f t="shared" si="145"/>
        <v>26034.493889745914</v>
      </c>
      <c r="T286" s="122">
        <f>VLOOKUP($B286,'Tech Litons'!$A:$I,9,0)</f>
        <v>120</v>
      </c>
      <c r="U286" s="179">
        <f t="shared" si="146"/>
        <v>14.583333333333334</v>
      </c>
      <c r="V286" s="179">
        <f t="shared" si="147"/>
        <v>11.916666666666666</v>
      </c>
      <c r="W286" s="179">
        <f t="shared" si="148"/>
        <v>25.637984381467216</v>
      </c>
      <c r="X286" s="179">
        <f t="shared" si="149"/>
        <v>20.44036339416056</v>
      </c>
      <c r="Y286" s="179">
        <f t="shared" si="150"/>
        <v>22.013874598321884</v>
      </c>
      <c r="Z286" s="179">
        <f t="shared" si="151"/>
        <v>19.841456401980555</v>
      </c>
      <c r="AA286" s="179">
        <f t="shared" si="152"/>
        <v>18.732424732558552</v>
      </c>
      <c r="AB286" s="179">
        <f t="shared" si="153"/>
        <v>19.619324205610763</v>
      </c>
      <c r="AC286" s="179">
        <f t="shared" si="154"/>
        <v>16.84100789523691</v>
      </c>
      <c r="AD286" s="179">
        <f t="shared" si="155"/>
        <v>17.703368258781623</v>
      </c>
      <c r="AE286" s="179">
        <f t="shared" si="156"/>
        <v>17.52428527756425</v>
      </c>
      <c r="AF286" s="179">
        <f t="shared" si="157"/>
        <v>12.100026602200327</v>
      </c>
    </row>
    <row r="287" spans="2:32">
      <c r="B287" s="122">
        <f t="shared" si="144"/>
        <v>64789261</v>
      </c>
      <c r="C287" s="122" t="str">
        <f>VLOOKUP($B287,'Tech Litons'!$A:$I,3,0)</f>
        <v>MBG</v>
      </c>
      <c r="D287" s="122" t="str">
        <f>VLOOKUP($B287,'Tech Litons'!$A:$I,4,0)</f>
        <v>MBG</v>
      </c>
      <c r="E287" s="1021" t="s">
        <v>920</v>
      </c>
      <c r="F287" s="1021">
        <v>64789261</v>
      </c>
      <c r="G287" s="1023">
        <v>690</v>
      </c>
      <c r="H287" s="1023">
        <v>1635</v>
      </c>
      <c r="I287" s="1023">
        <v>1102.9551495349688</v>
      </c>
      <c r="J287" s="1023">
        <v>3198.8270781868746</v>
      </c>
      <c r="K287" s="1023">
        <v>6376.2413576109475</v>
      </c>
      <c r="L287" s="1023">
        <v>4455.9211412541908</v>
      </c>
      <c r="M287" s="1023">
        <v>5929.2461768499461</v>
      </c>
      <c r="N287" s="1023">
        <v>4138.3386428762396</v>
      </c>
      <c r="O287" s="1023">
        <v>3424.1064917086414</v>
      </c>
      <c r="P287" s="1023">
        <v>2338.5511876554629</v>
      </c>
      <c r="Q287" s="1023">
        <v>2340.2464191917011</v>
      </c>
      <c r="R287" s="1023">
        <v>1716.9644376193787</v>
      </c>
      <c r="S287" s="169">
        <f t="shared" si="145"/>
        <v>37346.398082488347</v>
      </c>
      <c r="T287" s="122">
        <f>VLOOKUP($B287,'Tech Litons'!$A:$I,9,0)</f>
        <v>225</v>
      </c>
      <c r="U287" s="179">
        <f t="shared" si="146"/>
        <v>3.0666666666666669</v>
      </c>
      <c r="V287" s="179">
        <f t="shared" si="147"/>
        <v>7.2666666666666666</v>
      </c>
      <c r="W287" s="179">
        <f t="shared" si="148"/>
        <v>4.902022886822083</v>
      </c>
      <c r="X287" s="179">
        <f t="shared" si="149"/>
        <v>14.21700923638611</v>
      </c>
      <c r="Y287" s="179">
        <f t="shared" si="150"/>
        <v>28.338850478270878</v>
      </c>
      <c r="Z287" s="179">
        <f t="shared" si="151"/>
        <v>19.804093961129738</v>
      </c>
      <c r="AA287" s="179">
        <f t="shared" si="152"/>
        <v>26.352205230444206</v>
      </c>
      <c r="AB287" s="179">
        <f t="shared" si="153"/>
        <v>18.392616190561064</v>
      </c>
      <c r="AC287" s="179">
        <f t="shared" si="154"/>
        <v>15.218251074260628</v>
      </c>
      <c r="AD287" s="179">
        <f t="shared" si="155"/>
        <v>10.39356083402428</v>
      </c>
      <c r="AE287" s="179">
        <f t="shared" si="156"/>
        <v>10.40109519640756</v>
      </c>
      <c r="AF287" s="179">
        <f t="shared" si="157"/>
        <v>7.6309530560861276</v>
      </c>
    </row>
    <row r="288" spans="2:32">
      <c r="B288" s="122">
        <f t="shared" si="144"/>
        <v>68860045</v>
      </c>
      <c r="C288" s="122" t="str">
        <f>VLOOKUP($B288,'Tech Litons'!$A:$I,3,0)</f>
        <v>TALENTI</v>
      </c>
      <c r="D288" s="122" t="str">
        <f>VLOOKUP($B288,'Tech Litons'!$A:$I,4,0)</f>
        <v>TALENTI</v>
      </c>
      <c r="E288" s="1021" t="s">
        <v>543</v>
      </c>
      <c r="F288" s="1021">
        <v>68860045</v>
      </c>
      <c r="G288" s="1024">
        <v>1230</v>
      </c>
      <c r="H288" s="1023">
        <v>3017</v>
      </c>
      <c r="I288" s="1023">
        <v>4674.4458049441455</v>
      </c>
      <c r="J288" s="1023">
        <v>5330.0343298408097</v>
      </c>
      <c r="K288" s="1023">
        <v>4547.8787858413662</v>
      </c>
      <c r="L288" s="1023">
        <v>2991.2765246203849</v>
      </c>
      <c r="M288" s="1023">
        <v>4967.8023748404321</v>
      </c>
      <c r="N288" s="1023">
        <v>7221.0068374183811</v>
      </c>
      <c r="O288" s="1023">
        <v>7510.9784491106093</v>
      </c>
      <c r="P288" s="1023">
        <v>10621.868421356334</v>
      </c>
      <c r="Q288" s="1023">
        <v>8175.6004490880732</v>
      </c>
      <c r="R288" s="1023">
        <v>4690.1547848737328</v>
      </c>
      <c r="S288" s="169">
        <f t="shared" si="145"/>
        <v>64978.046761934267</v>
      </c>
      <c r="T288" s="122">
        <f>VLOOKUP($B288,'Tech Litons'!$A:$I,9,0)</f>
        <v>255</v>
      </c>
      <c r="U288" s="179">
        <f t="shared" si="146"/>
        <v>4.8235294117647056</v>
      </c>
      <c r="V288" s="179">
        <f t="shared" si="147"/>
        <v>11.831372549019608</v>
      </c>
      <c r="W288" s="179">
        <f t="shared" si="148"/>
        <v>18.331160019388808</v>
      </c>
      <c r="X288" s="179">
        <f t="shared" si="149"/>
        <v>20.902095411140429</v>
      </c>
      <c r="Y288" s="179">
        <f t="shared" si="150"/>
        <v>17.834818768005359</v>
      </c>
      <c r="Z288" s="179">
        <f t="shared" si="151"/>
        <v>11.730496174981901</v>
      </c>
      <c r="AA288" s="179">
        <f t="shared" si="152"/>
        <v>19.481577940550714</v>
      </c>
      <c r="AB288" s="179">
        <f t="shared" si="153"/>
        <v>28.317673872228944</v>
      </c>
      <c r="AC288" s="179">
        <f t="shared" si="154"/>
        <v>29.454817447492584</v>
      </c>
      <c r="AD288" s="179">
        <f t="shared" si="155"/>
        <v>41.65438596610327</v>
      </c>
      <c r="AE288" s="179">
        <f t="shared" si="156"/>
        <v>32.061178231717932</v>
      </c>
      <c r="AF288" s="179">
        <f t="shared" si="157"/>
        <v>18.392763862249932</v>
      </c>
    </row>
    <row r="289" spans="2:32">
      <c r="B289" s="122">
        <f t="shared" si="144"/>
        <v>68729649</v>
      </c>
      <c r="C289" s="122" t="str">
        <f>VLOOKUP($B289,'Tech Litons'!$A:$I,3,0)</f>
        <v>TALENTI</v>
      </c>
      <c r="D289" s="122" t="str">
        <f>VLOOKUP($B289,'Tech Litons'!$A:$I,4,0)</f>
        <v>TALENTI</v>
      </c>
      <c r="E289" s="1021" t="s">
        <v>974</v>
      </c>
      <c r="F289" s="1021">
        <v>68729649</v>
      </c>
      <c r="G289" s="1023">
        <v>259</v>
      </c>
      <c r="H289" s="1023">
        <v>4129</v>
      </c>
      <c r="I289" s="1023">
        <v>194.08552866637365</v>
      </c>
      <c r="J289" s="1023">
        <v>138.0984136862933</v>
      </c>
      <c r="K289" s="1023">
        <v>113.70621758934423</v>
      </c>
      <c r="L289" s="1023">
        <v>264.13943662568971</v>
      </c>
      <c r="M289" s="1023">
        <v>77.880380360229353</v>
      </c>
      <c r="N289" s="1023">
        <v>0</v>
      </c>
      <c r="O289" s="1023">
        <v>160.22546301898385</v>
      </c>
      <c r="P289" s="1023">
        <v>23.98657549130423</v>
      </c>
      <c r="Q289" s="1023">
        <v>39.147316211747722</v>
      </c>
      <c r="R289" s="1023">
        <v>0</v>
      </c>
      <c r="S289" s="169">
        <f t="shared" si="145"/>
        <v>5399.2693316499672</v>
      </c>
      <c r="T289" s="122">
        <f>VLOOKUP($B289,'Tech Litons'!$A:$I,9,0)</f>
        <v>255</v>
      </c>
      <c r="U289" s="179">
        <f t="shared" si="146"/>
        <v>1.0156862745098039</v>
      </c>
      <c r="V289" s="179">
        <f t="shared" si="147"/>
        <v>16.192156862745097</v>
      </c>
      <c r="W289" s="179">
        <f t="shared" si="148"/>
        <v>0.76111972026028885</v>
      </c>
      <c r="X289" s="179">
        <f t="shared" si="149"/>
        <v>0.54156240661291488</v>
      </c>
      <c r="Y289" s="179">
        <f t="shared" si="150"/>
        <v>0.44590673564448718</v>
      </c>
      <c r="Z289" s="179">
        <f t="shared" si="151"/>
        <v>1.0358409279438812</v>
      </c>
      <c r="AA289" s="179">
        <f t="shared" si="152"/>
        <v>0.3054132563146249</v>
      </c>
      <c r="AB289" s="179">
        <f t="shared" si="153"/>
        <v>0</v>
      </c>
      <c r="AC289" s="179">
        <f t="shared" si="154"/>
        <v>0.6283351490940543</v>
      </c>
      <c r="AD289" s="179">
        <f t="shared" si="155"/>
        <v>9.4065001926683253E-2</v>
      </c>
      <c r="AE289" s="179">
        <f t="shared" si="156"/>
        <v>0.15351888710489303</v>
      </c>
      <c r="AF289" s="179">
        <f t="shared" si="157"/>
        <v>0</v>
      </c>
    </row>
    <row r="290" spans="2:32">
      <c r="B290" s="122">
        <f t="shared" si="144"/>
        <v>69999270</v>
      </c>
      <c r="C290" s="122" t="str">
        <f>VLOOKUP($B290,'Tech Litons'!$A:$I,3,0)</f>
        <v>BJ PTS</v>
      </c>
      <c r="D290" s="122" t="str">
        <f>VLOOKUP($B290,'Tech Litons'!$A:$I,4,0)</f>
        <v>BJ PTS</v>
      </c>
      <c r="E290" s="1021" t="s">
        <v>953</v>
      </c>
      <c r="F290" s="1021">
        <v>69999270</v>
      </c>
      <c r="G290" s="1023">
        <v>1877</v>
      </c>
      <c r="H290" s="1023">
        <v>1095</v>
      </c>
      <c r="I290" s="1023">
        <v>908.16570293337622</v>
      </c>
      <c r="J290" s="1023">
        <v>0</v>
      </c>
      <c r="K290" s="1023">
        <v>92.623777776135228</v>
      </c>
      <c r="L290" s="1023">
        <v>0</v>
      </c>
      <c r="M290" s="1023">
        <v>0</v>
      </c>
      <c r="N290" s="1023">
        <v>0</v>
      </c>
      <c r="O290" s="1023">
        <v>0</v>
      </c>
      <c r="P290" s="1023">
        <v>0</v>
      </c>
      <c r="Q290" s="1023">
        <v>0</v>
      </c>
      <c r="R290" s="1023">
        <v>0</v>
      </c>
      <c r="S290" s="169">
        <f t="shared" si="145"/>
        <v>3972.7894807095117</v>
      </c>
      <c r="T290" s="122">
        <f>VLOOKUP($B290,'Tech Litons'!$A:$I,9,0)</f>
        <v>240</v>
      </c>
      <c r="U290" s="179">
        <f t="shared" si="146"/>
        <v>7.8208333333333337</v>
      </c>
      <c r="V290" s="179">
        <f t="shared" si="147"/>
        <v>4.5625</v>
      </c>
      <c r="W290" s="179">
        <f t="shared" si="148"/>
        <v>3.7840237622224011</v>
      </c>
      <c r="X290" s="179">
        <f t="shared" si="149"/>
        <v>0</v>
      </c>
      <c r="Y290" s="179">
        <f t="shared" si="150"/>
        <v>0.38593240740056345</v>
      </c>
      <c r="Z290" s="179">
        <f t="shared" si="151"/>
        <v>0</v>
      </c>
      <c r="AA290" s="179">
        <f t="shared" si="152"/>
        <v>0</v>
      </c>
      <c r="AB290" s="179">
        <f t="shared" si="153"/>
        <v>0</v>
      </c>
      <c r="AC290" s="179">
        <f t="shared" si="154"/>
        <v>0</v>
      </c>
      <c r="AD290" s="179">
        <f t="shared" si="155"/>
        <v>0</v>
      </c>
      <c r="AE290" s="179">
        <f t="shared" si="156"/>
        <v>0</v>
      </c>
      <c r="AF290" s="179">
        <f t="shared" si="157"/>
        <v>0</v>
      </c>
    </row>
    <row r="291" spans="2:32">
      <c r="B291" s="122">
        <f t="shared" si="144"/>
        <v>64369043</v>
      </c>
      <c r="C291" s="122" t="str">
        <f>VLOOKUP($B291,'Tech Litons'!$A:$I,3,0)</f>
        <v>Talenti</v>
      </c>
      <c r="D291" s="122" t="str">
        <f>VLOOKUP($B291,'Tech Litons'!$A:$I,4,0)</f>
        <v>Talenti</v>
      </c>
      <c r="E291" s="1021" t="s">
        <v>329</v>
      </c>
      <c r="F291" s="1021">
        <v>64369043</v>
      </c>
      <c r="G291" s="1023">
        <v>4455</v>
      </c>
      <c r="H291" s="1023">
        <v>6255</v>
      </c>
      <c r="I291" s="1023">
        <v>9132.0047825346646</v>
      </c>
      <c r="J291" s="1023">
        <v>8163.9682935518658</v>
      </c>
      <c r="K291" s="1023">
        <v>7856.2381434290246</v>
      </c>
      <c r="L291" s="1023">
        <v>9560.9647547315435</v>
      </c>
      <c r="M291" s="1023">
        <v>6815.2337316402291</v>
      </c>
      <c r="N291" s="1023">
        <v>6081.6601072929943</v>
      </c>
      <c r="O291" s="1023">
        <v>6886.2341249956517</v>
      </c>
      <c r="P291" s="1023">
        <v>6420.6770059543142</v>
      </c>
      <c r="Q291" s="1023">
        <v>5931.2405873248572</v>
      </c>
      <c r="R291" s="1023">
        <v>3209.4413796430586</v>
      </c>
      <c r="S291" s="169">
        <f t="shared" si="145"/>
        <v>80767.662911098203</v>
      </c>
      <c r="T291" s="122">
        <f>VLOOKUP($B291,'Tech Litons'!$A:$I,9,0)</f>
        <v>255</v>
      </c>
      <c r="U291" s="179">
        <f t="shared" si="146"/>
        <v>17.470588235294116</v>
      </c>
      <c r="V291" s="179">
        <f t="shared" si="147"/>
        <v>24.529411764705884</v>
      </c>
      <c r="W291" s="179">
        <f t="shared" si="148"/>
        <v>35.811783460920253</v>
      </c>
      <c r="X291" s="179">
        <f t="shared" si="149"/>
        <v>32.015561935497516</v>
      </c>
      <c r="Y291" s="179">
        <f t="shared" si="150"/>
        <v>30.808777033054998</v>
      </c>
      <c r="Z291" s="179">
        <f t="shared" si="151"/>
        <v>37.493979430319776</v>
      </c>
      <c r="AA291" s="179">
        <f t="shared" si="152"/>
        <v>26.726406790745997</v>
      </c>
      <c r="AB291" s="179">
        <f t="shared" si="153"/>
        <v>23.849647479580369</v>
      </c>
      <c r="AC291" s="179">
        <f t="shared" si="154"/>
        <v>27.004839705865301</v>
      </c>
      <c r="AD291" s="179">
        <f t="shared" si="155"/>
        <v>25.179125513546332</v>
      </c>
      <c r="AE291" s="179">
        <f t="shared" si="156"/>
        <v>23.259767009117088</v>
      </c>
      <c r="AF291" s="179">
        <f t="shared" si="157"/>
        <v>12.58604462605121</v>
      </c>
    </row>
    <row r="292" spans="2:32">
      <c r="B292" s="122">
        <f t="shared" si="144"/>
        <v>84138392</v>
      </c>
      <c r="C292" s="122" t="str">
        <f>VLOOKUP($B292,'Tech Litons'!$A:$I,3,0)</f>
        <v>BJ PTS</v>
      </c>
      <c r="D292" s="122" t="str">
        <f>VLOOKUP($B292,'Tech Litons'!$A:$I,4,0)</f>
        <v>BJ PTS</v>
      </c>
      <c r="E292" s="1021" t="s">
        <v>418</v>
      </c>
      <c r="F292" s="1021">
        <v>84138392</v>
      </c>
      <c r="G292" s="1023">
        <v>3895</v>
      </c>
      <c r="H292" s="1023">
        <v>5270</v>
      </c>
      <c r="I292" s="1023">
        <v>10756.47748220124</v>
      </c>
      <c r="J292" s="1023">
        <v>6363.2280645947912</v>
      </c>
      <c r="K292" s="1023">
        <v>7072.8691895038237</v>
      </c>
      <c r="L292" s="1023">
        <v>9119.7867632043035</v>
      </c>
      <c r="M292" s="1023">
        <v>7216.9660136242601</v>
      </c>
      <c r="N292" s="1023">
        <v>8951.8744944226146</v>
      </c>
      <c r="O292" s="1023">
        <v>7635.7177461466572</v>
      </c>
      <c r="P292" s="1023">
        <v>5775.9663730212487</v>
      </c>
      <c r="Q292" s="1023">
        <v>6088.5527409304686</v>
      </c>
      <c r="R292" s="1023">
        <v>5595.304179763416</v>
      </c>
      <c r="S292" s="169">
        <f t="shared" si="145"/>
        <v>83741.74304741282</v>
      </c>
      <c r="T292" s="122">
        <f>VLOOKUP($B292,'Tech Litons'!$A:$I,9,0)</f>
        <v>240</v>
      </c>
      <c r="U292" s="179">
        <f t="shared" si="146"/>
        <v>16.229166666666668</v>
      </c>
      <c r="V292" s="179">
        <f t="shared" si="147"/>
        <v>21.958333333333332</v>
      </c>
      <c r="W292" s="179">
        <f t="shared" si="148"/>
        <v>44.818656175838505</v>
      </c>
      <c r="X292" s="179">
        <f t="shared" si="149"/>
        <v>26.513450269144965</v>
      </c>
      <c r="Y292" s="179">
        <f t="shared" si="150"/>
        <v>29.470288289599264</v>
      </c>
      <c r="Z292" s="179">
        <f t="shared" si="151"/>
        <v>37.999111513351266</v>
      </c>
      <c r="AA292" s="179">
        <f t="shared" si="152"/>
        <v>30.070691723434418</v>
      </c>
      <c r="AB292" s="179">
        <f t="shared" si="153"/>
        <v>37.299477060094226</v>
      </c>
      <c r="AC292" s="179">
        <f t="shared" si="154"/>
        <v>31.815490608944405</v>
      </c>
      <c r="AD292" s="179">
        <f t="shared" si="155"/>
        <v>24.066526554255201</v>
      </c>
      <c r="AE292" s="179">
        <f t="shared" si="156"/>
        <v>25.368969753876954</v>
      </c>
      <c r="AF292" s="179">
        <f t="shared" si="157"/>
        <v>23.3137674156809</v>
      </c>
    </row>
    <row r="293" spans="2:32">
      <c r="B293" s="122">
        <f t="shared" si="144"/>
        <v>64326407</v>
      </c>
      <c r="C293" s="122" t="str">
        <f>VLOOKUP($B293,'Tech Litons'!$A:$I,3,0)</f>
        <v>Yasso Poppables</v>
      </c>
      <c r="D293" s="122" t="str">
        <f>VLOOKUP($B293,'Tech Litons'!$A:$I,4,0)</f>
        <v>Yasso Poppables</v>
      </c>
      <c r="E293" s="1021" t="s">
        <v>579</v>
      </c>
      <c r="F293" s="1021">
        <v>64326407</v>
      </c>
      <c r="G293" s="1023">
        <v>420</v>
      </c>
      <c r="H293" s="1023">
        <v>940</v>
      </c>
      <c r="I293" s="1023">
        <v>1284.4263598211057</v>
      </c>
      <c r="J293" s="1023">
        <v>1336.7260148276655</v>
      </c>
      <c r="K293" s="1023">
        <v>1166.4216608556867</v>
      </c>
      <c r="L293" s="1023">
        <v>928.81546117493951</v>
      </c>
      <c r="M293" s="1023">
        <v>1029.1876002364918</v>
      </c>
      <c r="N293" s="1023">
        <v>1206.1057309185508</v>
      </c>
      <c r="O293" s="1023">
        <v>1163.8301084997022</v>
      </c>
      <c r="P293" s="1023">
        <v>1930.9735821138072</v>
      </c>
      <c r="Q293" s="1023">
        <v>1101.326260363059</v>
      </c>
      <c r="R293" s="1023">
        <v>978.17626036305899</v>
      </c>
      <c r="S293" s="169">
        <f t="shared" si="145"/>
        <v>13485.989039174068</v>
      </c>
      <c r="T293" s="122">
        <f>VLOOKUP($B293,'Tech Litons'!$A:$I,9,0)</f>
        <v>200</v>
      </c>
      <c r="U293" s="179">
        <f t="shared" si="146"/>
        <v>2.1</v>
      </c>
      <c r="V293" s="179">
        <f t="shared" si="147"/>
        <v>4.7</v>
      </c>
      <c r="W293" s="179">
        <f t="shared" si="148"/>
        <v>6.4221317991055287</v>
      </c>
      <c r="X293" s="179">
        <f t="shared" si="149"/>
        <v>6.6836300741383274</v>
      </c>
      <c r="Y293" s="179">
        <f t="shared" si="150"/>
        <v>5.8321083042784334</v>
      </c>
      <c r="Z293" s="179">
        <f t="shared" si="151"/>
        <v>4.6440773058746974</v>
      </c>
      <c r="AA293" s="179">
        <f t="shared" si="152"/>
        <v>5.1459380011824587</v>
      </c>
      <c r="AB293" s="179">
        <f t="shared" si="153"/>
        <v>6.0305286545927537</v>
      </c>
      <c r="AC293" s="179">
        <f t="shared" si="154"/>
        <v>5.8191505424985106</v>
      </c>
      <c r="AD293" s="179">
        <f t="shared" si="155"/>
        <v>9.6548679105690365</v>
      </c>
      <c r="AE293" s="179">
        <f t="shared" si="156"/>
        <v>5.506631301815295</v>
      </c>
      <c r="AF293" s="179">
        <f t="shared" si="157"/>
        <v>4.8908813018152948</v>
      </c>
    </row>
    <row r="294" spans="2:32">
      <c r="B294" s="122">
        <f t="shared" si="144"/>
        <v>69983248</v>
      </c>
      <c r="C294" s="122" t="str">
        <f>VLOOKUP($B294,'Tech Litons'!$A:$I,3,0)</f>
        <v>MBG</v>
      </c>
      <c r="D294" s="122" t="str">
        <f>VLOOKUP($B294,'Tech Litons'!$A:$I,4,0)</f>
        <v>MBG</v>
      </c>
      <c r="E294" s="1021" t="s">
        <v>535</v>
      </c>
      <c r="F294" s="1021">
        <v>69983248</v>
      </c>
      <c r="G294" s="1023">
        <v>1395</v>
      </c>
      <c r="H294" s="1023">
        <v>2295</v>
      </c>
      <c r="I294" s="1023">
        <v>1979.4613431431687</v>
      </c>
      <c r="J294" s="1023">
        <v>4344.0165997226295</v>
      </c>
      <c r="K294" s="1023">
        <v>6034.6686892165499</v>
      </c>
      <c r="L294" s="1023">
        <v>5541.9541975622506</v>
      </c>
      <c r="M294" s="1023">
        <v>6244.8099406221372</v>
      </c>
      <c r="N294" s="1023">
        <v>4029.0551039104075</v>
      </c>
      <c r="O294" s="1023">
        <v>4961.2837270015098</v>
      </c>
      <c r="P294" s="1023">
        <v>3407.9539422435414</v>
      </c>
      <c r="Q294" s="1023">
        <v>3170.7078411887228</v>
      </c>
      <c r="R294" s="1023">
        <v>2000.7423895104657</v>
      </c>
      <c r="S294" s="169">
        <f t="shared" si="145"/>
        <v>45404.653774121383</v>
      </c>
      <c r="T294" s="122">
        <f>VLOOKUP($B294,'Tech Litons'!$A:$I,9,0)</f>
        <v>225</v>
      </c>
      <c r="U294" s="179">
        <f t="shared" si="146"/>
        <v>6.2</v>
      </c>
      <c r="V294" s="179">
        <f t="shared" si="147"/>
        <v>10.199999999999999</v>
      </c>
      <c r="W294" s="179">
        <f t="shared" si="148"/>
        <v>8.7976059695251951</v>
      </c>
      <c r="X294" s="179">
        <f t="shared" si="149"/>
        <v>19.306740443211687</v>
      </c>
      <c r="Y294" s="179">
        <f t="shared" si="150"/>
        <v>26.820749729851332</v>
      </c>
      <c r="Z294" s="179">
        <f t="shared" si="151"/>
        <v>24.630907544721115</v>
      </c>
      <c r="AA294" s="179">
        <f t="shared" si="152"/>
        <v>27.754710847209498</v>
      </c>
      <c r="AB294" s="179">
        <f t="shared" si="153"/>
        <v>17.906911572935144</v>
      </c>
      <c r="AC294" s="179">
        <f t="shared" si="154"/>
        <v>22.050149897784486</v>
      </c>
      <c r="AD294" s="179">
        <f t="shared" si="155"/>
        <v>15.14646196552685</v>
      </c>
      <c r="AE294" s="179">
        <f t="shared" si="156"/>
        <v>14.092034849727657</v>
      </c>
      <c r="AF294" s="179">
        <f t="shared" si="157"/>
        <v>8.8921883978242917</v>
      </c>
    </row>
    <row r="295" spans="2:32">
      <c r="B295" s="122">
        <f t="shared" si="144"/>
        <v>68741745</v>
      </c>
      <c r="C295" s="122" t="str">
        <f>VLOOKUP($B295,'Tech Litons'!$A:$I,3,0)</f>
        <v>MBG</v>
      </c>
      <c r="D295" s="122" t="str">
        <f>VLOOKUP($B295,'Tech Litons'!$A:$I,4,0)</f>
        <v>MBG</v>
      </c>
      <c r="E295" s="1021" t="s">
        <v>927</v>
      </c>
      <c r="F295" s="1021">
        <v>68741745</v>
      </c>
      <c r="G295" s="1023">
        <v>45</v>
      </c>
      <c r="H295" s="1023">
        <v>120</v>
      </c>
      <c r="I295" s="1023">
        <v>0</v>
      </c>
      <c r="J295" s="1023">
        <v>0</v>
      </c>
      <c r="K295" s="1023">
        <v>0</v>
      </c>
      <c r="L295" s="1023">
        <v>0</v>
      </c>
      <c r="M295" s="1023">
        <v>0</v>
      </c>
      <c r="N295" s="1023">
        <v>0</v>
      </c>
      <c r="O295" s="1023">
        <v>0</v>
      </c>
      <c r="P295" s="1023">
        <v>0</v>
      </c>
      <c r="Q295" s="1023">
        <v>0</v>
      </c>
      <c r="R295" s="1023">
        <v>0</v>
      </c>
      <c r="S295" s="169">
        <f t="shared" si="145"/>
        <v>165</v>
      </c>
      <c r="T295" s="122">
        <f>VLOOKUP($B295,'Tech Litons'!$A:$I,9,0)</f>
        <v>225</v>
      </c>
      <c r="U295" s="179">
        <f t="shared" si="146"/>
        <v>0.2</v>
      </c>
      <c r="V295" s="179">
        <f t="shared" si="147"/>
        <v>0.53333333333333333</v>
      </c>
      <c r="W295" s="179">
        <f t="shared" si="148"/>
        <v>0</v>
      </c>
      <c r="X295" s="179">
        <f t="shared" si="149"/>
        <v>0</v>
      </c>
      <c r="Y295" s="179">
        <f t="shared" si="150"/>
        <v>0</v>
      </c>
      <c r="Z295" s="179">
        <f t="shared" si="151"/>
        <v>0</v>
      </c>
      <c r="AA295" s="179">
        <f t="shared" si="152"/>
        <v>0</v>
      </c>
      <c r="AB295" s="179">
        <f t="shared" si="153"/>
        <v>0</v>
      </c>
      <c r="AC295" s="179">
        <f t="shared" si="154"/>
        <v>0</v>
      </c>
      <c r="AD295" s="179">
        <f t="shared" si="155"/>
        <v>0</v>
      </c>
      <c r="AE295" s="179">
        <f t="shared" si="156"/>
        <v>0</v>
      </c>
      <c r="AF295" s="179">
        <f t="shared" si="157"/>
        <v>0</v>
      </c>
    </row>
    <row r="296" spans="2:32">
      <c r="B296" s="122">
        <f t="shared" si="144"/>
        <v>62697531</v>
      </c>
      <c r="C296" s="122" t="str">
        <f>VLOOKUP($B296,'Tech Litons'!$A:$I,3,0)</f>
        <v>BJ PTS</v>
      </c>
      <c r="D296" s="122" t="str">
        <f>VLOOKUP($B296,'Tech Litons'!$A:$I,4,0)</f>
        <v>BJ PTS</v>
      </c>
      <c r="E296" s="1021" t="s">
        <v>965</v>
      </c>
      <c r="F296" s="1021">
        <v>62697531</v>
      </c>
      <c r="G296" s="1024">
        <v>1471</v>
      </c>
      <c r="H296" s="1023">
        <v>814</v>
      </c>
      <c r="I296" s="1023">
        <v>1909.0126794574362</v>
      </c>
      <c r="J296" s="1023">
        <v>1722.8316816614076</v>
      </c>
      <c r="K296" s="1023">
        <v>1676.9219801438242</v>
      </c>
      <c r="L296" s="1023">
        <v>2240.4920647295667</v>
      </c>
      <c r="M296" s="1023">
        <v>2260.110095086266</v>
      </c>
      <c r="N296" s="1023">
        <v>2002.1740378589761</v>
      </c>
      <c r="O296" s="1023">
        <v>2327.9491076990366</v>
      </c>
      <c r="P296" s="1023">
        <v>1733.1623951043478</v>
      </c>
      <c r="Q296" s="1023">
        <v>1548.3195142612512</v>
      </c>
      <c r="R296" s="1023">
        <v>1518.6538244354529</v>
      </c>
      <c r="S296" s="169">
        <f t="shared" si="145"/>
        <v>21224.627380437567</v>
      </c>
      <c r="T296" s="122">
        <f>VLOOKUP($B296,'Tech Litons'!$A:$I,9,0)</f>
        <v>240</v>
      </c>
      <c r="U296" s="179">
        <f t="shared" si="146"/>
        <v>6.1291666666666664</v>
      </c>
      <c r="V296" s="179">
        <f t="shared" si="147"/>
        <v>3.3916666666666666</v>
      </c>
      <c r="W296" s="179">
        <f t="shared" si="148"/>
        <v>7.9542194977393175</v>
      </c>
      <c r="X296" s="179">
        <f t="shared" si="149"/>
        <v>7.1784653402558654</v>
      </c>
      <c r="Y296" s="179">
        <f t="shared" si="150"/>
        <v>6.9871749172659339</v>
      </c>
      <c r="Z296" s="179">
        <f t="shared" si="151"/>
        <v>9.3353836030398618</v>
      </c>
      <c r="AA296" s="179">
        <f t="shared" si="152"/>
        <v>9.417125396192775</v>
      </c>
      <c r="AB296" s="179">
        <f t="shared" si="153"/>
        <v>8.3423918244124007</v>
      </c>
      <c r="AC296" s="179">
        <f t="shared" si="154"/>
        <v>9.6997879487459855</v>
      </c>
      <c r="AD296" s="179">
        <f t="shared" si="155"/>
        <v>7.221509979601449</v>
      </c>
      <c r="AE296" s="179">
        <f t="shared" si="156"/>
        <v>6.4513313094218798</v>
      </c>
      <c r="AF296" s="179">
        <f t="shared" si="157"/>
        <v>6.3277242684810533</v>
      </c>
    </row>
    <row r="297" spans="2:32">
      <c r="B297" s="122">
        <f t="shared" si="144"/>
        <v>62697527</v>
      </c>
      <c r="C297" s="122" t="str">
        <f>VLOOKUP($B297,'Tech Litons'!$A:$I,3,0)</f>
        <v>BJ PTS</v>
      </c>
      <c r="D297" s="122" t="str">
        <f>VLOOKUP($B297,'Tech Litons'!$A:$I,4,0)</f>
        <v>BJ PTS</v>
      </c>
      <c r="E297" s="1021" t="s">
        <v>1105</v>
      </c>
      <c r="F297" s="1021">
        <v>62697527</v>
      </c>
      <c r="G297" s="1023">
        <v>1260</v>
      </c>
      <c r="H297" s="1023">
        <v>1305</v>
      </c>
      <c r="I297" s="1023">
        <v>1190.1805541742826</v>
      </c>
      <c r="J297" s="1023">
        <v>667.70447229234799</v>
      </c>
      <c r="K297" s="1023">
        <v>822.55240487141725</v>
      </c>
      <c r="L297" s="1023">
        <v>1109.2682420605092</v>
      </c>
      <c r="M297" s="1023">
        <v>869.57269034461717</v>
      </c>
      <c r="N297" s="1023">
        <v>883.53478051059653</v>
      </c>
      <c r="O297" s="1023">
        <v>790.28652066421921</v>
      </c>
      <c r="P297" s="1023">
        <v>682.81570017129832</v>
      </c>
      <c r="Q297" s="1023">
        <v>931.36221148430752</v>
      </c>
      <c r="R297" s="1023">
        <v>850.364485920162</v>
      </c>
      <c r="S297" s="169">
        <f t="shared" si="145"/>
        <v>11362.642062493758</v>
      </c>
      <c r="T297" s="122">
        <f>VLOOKUP($B297,'Tech Litons'!$A:$I,9,0)</f>
        <v>240</v>
      </c>
      <c r="U297" s="179">
        <f t="shared" si="146"/>
        <v>5.25</v>
      </c>
      <c r="V297" s="179">
        <f t="shared" si="147"/>
        <v>5.4375</v>
      </c>
      <c r="W297" s="179">
        <f t="shared" si="148"/>
        <v>4.9590856423928447</v>
      </c>
      <c r="X297" s="179">
        <f t="shared" si="149"/>
        <v>2.7821019678847834</v>
      </c>
      <c r="Y297" s="179">
        <f t="shared" si="150"/>
        <v>3.4273016869642388</v>
      </c>
      <c r="Z297" s="179">
        <f t="shared" si="151"/>
        <v>4.6219510085854552</v>
      </c>
      <c r="AA297" s="179">
        <f t="shared" si="152"/>
        <v>3.6232195431025715</v>
      </c>
      <c r="AB297" s="179">
        <f t="shared" si="153"/>
        <v>3.6813949187941524</v>
      </c>
      <c r="AC297" s="179">
        <f t="shared" si="154"/>
        <v>3.2928605027675801</v>
      </c>
      <c r="AD297" s="179">
        <f t="shared" si="155"/>
        <v>2.8450654173804097</v>
      </c>
      <c r="AE297" s="179">
        <f t="shared" si="156"/>
        <v>3.8806758811846147</v>
      </c>
      <c r="AF297" s="179">
        <f t="shared" si="157"/>
        <v>3.5431853580006751</v>
      </c>
    </row>
    <row r="298" spans="2:32">
      <c r="B298" s="122">
        <f t="shared" si="144"/>
        <v>69740694</v>
      </c>
      <c r="C298" s="122" t="str">
        <f>VLOOKUP($B298,'Tech Litons'!$A:$I,3,0)</f>
        <v>TALENTI</v>
      </c>
      <c r="D298" s="122" t="str">
        <f>VLOOKUP($B298,'Tech Litons'!$A:$I,4,0)</f>
        <v>TALENTI</v>
      </c>
      <c r="E298" s="1021" t="s">
        <v>931</v>
      </c>
      <c r="F298" s="1021">
        <v>69740694</v>
      </c>
      <c r="G298" s="1023">
        <v>0</v>
      </c>
      <c r="H298" s="1023">
        <v>0</v>
      </c>
      <c r="I298" s="1023">
        <v>19.832333944318464</v>
      </c>
      <c r="J298" s="1023">
        <v>20.03203514350735</v>
      </c>
      <c r="K298" s="1023">
        <v>19.485965598774424</v>
      </c>
      <c r="L298" s="1023">
        <v>24.424207295761214</v>
      </c>
      <c r="M298" s="1023">
        <v>12.577857611121516</v>
      </c>
      <c r="N298" s="1023">
        <v>17.244969138089136</v>
      </c>
      <c r="O298" s="1023">
        <v>21.706309942061136</v>
      </c>
      <c r="P298" s="1023">
        <v>17.290351206505083</v>
      </c>
      <c r="Q298" s="1023">
        <v>15.788374483417197</v>
      </c>
      <c r="R298" s="1023">
        <v>9.0647866126234309</v>
      </c>
      <c r="S298" s="169">
        <f t="shared" si="145"/>
        <v>177.44719097617894</v>
      </c>
      <c r="T298" s="122">
        <f>VLOOKUP($B298,'Tech Litons'!$A:$I,9,0)</f>
        <v>255</v>
      </c>
      <c r="U298" s="179">
        <f t="shared" si="146"/>
        <v>0</v>
      </c>
      <c r="V298" s="179">
        <f t="shared" si="147"/>
        <v>0</v>
      </c>
      <c r="W298" s="179">
        <f t="shared" si="148"/>
        <v>7.7773858605170443E-2</v>
      </c>
      <c r="X298" s="179">
        <f t="shared" si="149"/>
        <v>7.8557000562773927E-2</v>
      </c>
      <c r="Y298" s="179">
        <f t="shared" si="150"/>
        <v>7.6415551367742834E-2</v>
      </c>
      <c r="Z298" s="179">
        <f t="shared" si="151"/>
        <v>9.5781205081416521E-2</v>
      </c>
      <c r="AA298" s="179">
        <f t="shared" si="152"/>
        <v>4.9324931808319671E-2</v>
      </c>
      <c r="AB298" s="179">
        <f t="shared" si="153"/>
        <v>6.7627329953290724E-2</v>
      </c>
      <c r="AC298" s="179">
        <f t="shared" si="154"/>
        <v>8.5122784086514261E-2</v>
      </c>
      <c r="AD298" s="179">
        <f t="shared" si="155"/>
        <v>6.7805298849039533E-2</v>
      </c>
      <c r="AE298" s="179">
        <f t="shared" si="156"/>
        <v>6.191519405261646E-2</v>
      </c>
      <c r="AF298" s="179">
        <f t="shared" si="157"/>
        <v>3.5548182794601688E-2</v>
      </c>
    </row>
    <row r="299" spans="2:32">
      <c r="B299" s="122">
        <f t="shared" si="144"/>
        <v>67995090</v>
      </c>
      <c r="C299" s="122" t="str">
        <f>VLOOKUP($B299,'Tech Litons'!$A:$I,3,0)</f>
        <v>BJ PTS</v>
      </c>
      <c r="D299" s="122" t="str">
        <f>VLOOKUP($B299,'Tech Litons'!$A:$I,4,0)</f>
        <v>BJ PTS</v>
      </c>
      <c r="E299" s="1021" t="s">
        <v>557</v>
      </c>
      <c r="F299" s="1021">
        <v>67995090</v>
      </c>
      <c r="G299" s="1023">
        <v>2820</v>
      </c>
      <c r="H299" s="1023">
        <v>3570</v>
      </c>
      <c r="I299" s="1023">
        <v>4220.8550385414283</v>
      </c>
      <c r="J299" s="1023">
        <v>3618.5385534007123</v>
      </c>
      <c r="K299" s="1023">
        <v>3701.2145245836718</v>
      </c>
      <c r="L299" s="1023">
        <v>4287.2752145286277</v>
      </c>
      <c r="M299" s="1023">
        <v>3618.8968192456346</v>
      </c>
      <c r="N299" s="1023">
        <v>3062.5121379389311</v>
      </c>
      <c r="O299" s="1023">
        <v>3061.8280205369701</v>
      </c>
      <c r="P299" s="1023">
        <v>2325.9150337372284</v>
      </c>
      <c r="Q299" s="1023">
        <v>2670.0766843932324</v>
      </c>
      <c r="R299" s="1023">
        <v>2361.3079029837263</v>
      </c>
      <c r="S299" s="169">
        <f t="shared" si="145"/>
        <v>39318.419929890166</v>
      </c>
      <c r="T299" s="122">
        <f>VLOOKUP($B299,'Tech Litons'!$A:$I,9,0)</f>
        <v>240</v>
      </c>
      <c r="U299" s="179">
        <f t="shared" si="146"/>
        <v>11.75</v>
      </c>
      <c r="V299" s="179">
        <f t="shared" si="147"/>
        <v>14.875</v>
      </c>
      <c r="W299" s="179">
        <f t="shared" si="148"/>
        <v>17.586895993922617</v>
      </c>
      <c r="X299" s="179">
        <f t="shared" si="149"/>
        <v>15.077243972502968</v>
      </c>
      <c r="Y299" s="179">
        <f t="shared" si="150"/>
        <v>15.421727185765299</v>
      </c>
      <c r="Z299" s="179">
        <f t="shared" si="151"/>
        <v>17.863646727202614</v>
      </c>
      <c r="AA299" s="179">
        <f t="shared" si="152"/>
        <v>15.07873674685681</v>
      </c>
      <c r="AB299" s="179">
        <f t="shared" si="153"/>
        <v>12.760467241412213</v>
      </c>
      <c r="AC299" s="179">
        <f t="shared" si="154"/>
        <v>12.757616752237375</v>
      </c>
      <c r="AD299" s="179">
        <f t="shared" si="155"/>
        <v>9.6913126405717858</v>
      </c>
      <c r="AE299" s="179">
        <f t="shared" si="156"/>
        <v>11.125319518305135</v>
      </c>
      <c r="AF299" s="179">
        <f t="shared" si="157"/>
        <v>9.8387829290988602</v>
      </c>
    </row>
    <row r="300" spans="2:32">
      <c r="B300" s="122">
        <f t="shared" si="144"/>
        <v>67794168</v>
      </c>
      <c r="C300" s="122" t="str">
        <f>VLOOKUP($B300,'Tech Litons'!$A:$I,3,0)</f>
        <v>BJ PTS</v>
      </c>
      <c r="D300" s="122" t="str">
        <f>VLOOKUP($B300,'Tech Litons'!$A:$I,4,0)</f>
        <v>BJ PTS</v>
      </c>
      <c r="E300" s="1021" t="s">
        <v>413</v>
      </c>
      <c r="F300" s="1021">
        <v>67794168</v>
      </c>
      <c r="G300" s="1023">
        <v>1696</v>
      </c>
      <c r="H300" s="1023">
        <v>1399</v>
      </c>
      <c r="I300" s="1023">
        <v>1965.0092441449885</v>
      </c>
      <c r="J300" s="1023">
        <v>1496.240774855961</v>
      </c>
      <c r="K300" s="1023">
        <v>2088.8721026369085</v>
      </c>
      <c r="L300" s="1023">
        <v>836.06258535072845</v>
      </c>
      <c r="M300" s="1023">
        <v>1909.821395932802</v>
      </c>
      <c r="N300" s="1023">
        <v>4672.8269833502236</v>
      </c>
      <c r="O300" s="1023">
        <v>5889.0605153288016</v>
      </c>
      <c r="P300" s="1023">
        <v>6694.4614988303365</v>
      </c>
      <c r="Q300" s="1023">
        <v>5308.9715052269403</v>
      </c>
      <c r="R300" s="1023">
        <v>2865.2677820883146</v>
      </c>
      <c r="S300" s="169">
        <f t="shared" si="145"/>
        <v>36821.594387746009</v>
      </c>
      <c r="T300" s="122">
        <f>VLOOKUP($B300,'Tech Litons'!$A:$I,9,0)</f>
        <v>240</v>
      </c>
      <c r="U300" s="179">
        <f t="shared" si="146"/>
        <v>7.0666666666666664</v>
      </c>
      <c r="V300" s="179">
        <f t="shared" si="147"/>
        <v>5.8291666666666666</v>
      </c>
      <c r="W300" s="179">
        <f t="shared" si="148"/>
        <v>8.1875385172707862</v>
      </c>
      <c r="X300" s="179">
        <f t="shared" si="149"/>
        <v>6.2343365618998376</v>
      </c>
      <c r="Y300" s="179">
        <f t="shared" si="150"/>
        <v>8.7036337609871186</v>
      </c>
      <c r="Z300" s="179">
        <f t="shared" si="151"/>
        <v>3.4835941056280353</v>
      </c>
      <c r="AA300" s="179">
        <f t="shared" si="152"/>
        <v>7.9575891497200084</v>
      </c>
      <c r="AB300" s="179">
        <f t="shared" si="153"/>
        <v>19.470112430625932</v>
      </c>
      <c r="AC300" s="179">
        <f t="shared" si="154"/>
        <v>24.537752147203339</v>
      </c>
      <c r="AD300" s="179">
        <f t="shared" si="155"/>
        <v>27.893589578459736</v>
      </c>
      <c r="AE300" s="179">
        <f t="shared" si="156"/>
        <v>22.120714605112251</v>
      </c>
      <c r="AF300" s="179">
        <f t="shared" si="157"/>
        <v>11.93861575870131</v>
      </c>
    </row>
    <row r="301" spans="2:32">
      <c r="B301" s="122">
        <f t="shared" si="144"/>
        <v>84135799</v>
      </c>
      <c r="C301" s="122" t="str">
        <f>VLOOKUP($B301,'Tech Litons'!$A:$I,3,0)</f>
        <v>2.4 Gal</v>
      </c>
      <c r="D301" s="122" t="str">
        <f>VLOOKUP($B301,'Tech Litons'!$A:$I,4,0)</f>
        <v>2.4 Gal</v>
      </c>
      <c r="E301" s="1021" t="s">
        <v>498</v>
      </c>
      <c r="F301" s="1021">
        <v>84135799</v>
      </c>
      <c r="G301" s="1023">
        <v>1426</v>
      </c>
      <c r="H301" s="1023">
        <v>1517</v>
      </c>
      <c r="I301" s="1023">
        <v>3827.6303372917027</v>
      </c>
      <c r="J301" s="1023">
        <v>3994.8663145696542</v>
      </c>
      <c r="K301" s="1023">
        <v>3829.1754269930998</v>
      </c>
      <c r="L301" s="1023">
        <v>4784.3508140804961</v>
      </c>
      <c r="M301" s="1023">
        <v>5622.7944843123068</v>
      </c>
      <c r="N301" s="1023">
        <v>3830.8947190278222</v>
      </c>
      <c r="O301" s="1023">
        <v>2102.8718407371748</v>
      </c>
      <c r="P301" s="1023">
        <v>1233.3024311362126</v>
      </c>
      <c r="Q301" s="1023">
        <v>1060.440820187363</v>
      </c>
      <c r="R301" s="1023">
        <v>1180.1743455779285</v>
      </c>
      <c r="S301" s="169">
        <f t="shared" si="145"/>
        <v>34409.501533913761</v>
      </c>
      <c r="T301" s="122">
        <f>VLOOKUP($B301,'Tech Litons'!$A:$I,9,0)</f>
        <v>125</v>
      </c>
      <c r="U301" s="179">
        <f t="shared" si="146"/>
        <v>11.407999999999999</v>
      </c>
      <c r="V301" s="179">
        <f t="shared" si="147"/>
        <v>12.135999999999999</v>
      </c>
      <c r="W301" s="179">
        <f t="shared" si="148"/>
        <v>30.621042698333621</v>
      </c>
      <c r="X301" s="179">
        <f t="shared" si="149"/>
        <v>31.958930516557235</v>
      </c>
      <c r="Y301" s="179">
        <f t="shared" si="150"/>
        <v>30.633403415944798</v>
      </c>
      <c r="Z301" s="179">
        <f t="shared" si="151"/>
        <v>38.27480651264397</v>
      </c>
      <c r="AA301" s="179">
        <f t="shared" si="152"/>
        <v>44.982355874498452</v>
      </c>
      <c r="AB301" s="179">
        <f t="shared" si="153"/>
        <v>30.647157752222579</v>
      </c>
      <c r="AC301" s="179">
        <f t="shared" si="154"/>
        <v>16.822974725897399</v>
      </c>
      <c r="AD301" s="179">
        <f t="shared" si="155"/>
        <v>9.866419449089701</v>
      </c>
      <c r="AE301" s="179">
        <f t="shared" si="156"/>
        <v>8.4835265614989037</v>
      </c>
      <c r="AF301" s="179">
        <f t="shared" si="157"/>
        <v>9.4413947646234284</v>
      </c>
    </row>
    <row r="302" spans="2:32">
      <c r="B302" s="122">
        <f t="shared" si="144"/>
        <v>64403170</v>
      </c>
      <c r="C302" s="122" t="str">
        <f>VLOOKUP($B302,'Tech Litons'!$A:$I,3,0)</f>
        <v>Facepieces</v>
      </c>
      <c r="D302" s="122" t="str">
        <f>VLOOKUP($B302,'Tech Litons'!$A:$I,4,0)</f>
        <v>Facepieces</v>
      </c>
      <c r="E302" s="1021" t="s">
        <v>1104</v>
      </c>
      <c r="F302" s="1021">
        <v>64403170</v>
      </c>
      <c r="G302" s="1023">
        <v>930</v>
      </c>
      <c r="H302" s="1023">
        <v>720</v>
      </c>
      <c r="I302" s="1023">
        <v>993.64474652267359</v>
      </c>
      <c r="J302" s="1023">
        <v>1385.0752023806976</v>
      </c>
      <c r="K302" s="1023">
        <v>2516.1600000000003</v>
      </c>
      <c r="L302" s="1023">
        <v>13616.580000000002</v>
      </c>
      <c r="M302" s="1023">
        <v>9638.4300000000021</v>
      </c>
      <c r="N302" s="1023">
        <v>12733.480000000001</v>
      </c>
      <c r="O302" s="1023">
        <v>13082.040000000003</v>
      </c>
      <c r="P302" s="1023">
        <v>10768.080000000004</v>
      </c>
      <c r="Q302" s="1023">
        <v>12679.170000000002</v>
      </c>
      <c r="R302" s="1023">
        <v>10416.240759330483</v>
      </c>
      <c r="S302" s="169">
        <f t="shared" si="145"/>
        <v>89478.900708233865</v>
      </c>
      <c r="T302" s="122">
        <f>VLOOKUP($B302,'Tech Litons'!$A:$I,9,0)</f>
        <v>195</v>
      </c>
      <c r="U302" s="179">
        <f t="shared" si="146"/>
        <v>4.7692307692307692</v>
      </c>
      <c r="V302" s="179">
        <f t="shared" si="147"/>
        <v>3.6923076923076925</v>
      </c>
      <c r="W302" s="179">
        <f t="shared" si="148"/>
        <v>5.0956140847316593</v>
      </c>
      <c r="X302" s="179">
        <f t="shared" si="149"/>
        <v>7.1029497557984493</v>
      </c>
      <c r="Y302" s="179">
        <f t="shared" si="150"/>
        <v>12.903384615384617</v>
      </c>
      <c r="Z302" s="179">
        <f t="shared" si="151"/>
        <v>69.828615384615389</v>
      </c>
      <c r="AA302" s="179">
        <f t="shared" si="152"/>
        <v>49.427846153846161</v>
      </c>
      <c r="AB302" s="179">
        <f t="shared" si="153"/>
        <v>65.299897435897449</v>
      </c>
      <c r="AC302" s="179">
        <f t="shared" si="154"/>
        <v>67.087384615384636</v>
      </c>
      <c r="AD302" s="179">
        <f t="shared" si="155"/>
        <v>55.220923076923093</v>
      </c>
      <c r="AE302" s="179">
        <f t="shared" si="156"/>
        <v>65.021384615384619</v>
      </c>
      <c r="AF302" s="179">
        <f t="shared" si="157"/>
        <v>53.416619278617866</v>
      </c>
    </row>
    <row r="303" spans="2:32">
      <c r="B303" s="122">
        <f t="shared" si="144"/>
        <v>68654218</v>
      </c>
      <c r="C303" s="122" t="str">
        <f>VLOOKUP($B303,'Tech Litons'!$A:$I,3,0)</f>
        <v>Dough Bites</v>
      </c>
      <c r="D303" s="122" t="str">
        <f>VLOOKUP($B303,'Tech Litons'!$A:$I,4,0)</f>
        <v>Dough Bites</v>
      </c>
      <c r="E303" s="1021" t="s">
        <v>897</v>
      </c>
      <c r="F303" s="1021">
        <v>68654218</v>
      </c>
      <c r="G303" s="1023">
        <v>3897</v>
      </c>
      <c r="H303" s="1023">
        <v>1592</v>
      </c>
      <c r="I303" s="1023">
        <v>2959.4250223801937</v>
      </c>
      <c r="J303" s="1023">
        <v>634.74679177451458</v>
      </c>
      <c r="K303" s="1023">
        <v>5830.0028196025942</v>
      </c>
      <c r="L303" s="1023">
        <v>3850.1898530667213</v>
      </c>
      <c r="M303" s="1023">
        <v>2965.5190553988759</v>
      </c>
      <c r="N303" s="1023">
        <v>3597.9696896163814</v>
      </c>
      <c r="O303" s="1023">
        <v>1646.9387336059604</v>
      </c>
      <c r="P303" s="1023">
        <v>1940.6861094390133</v>
      </c>
      <c r="Q303" s="1023">
        <v>3066.2307612278018</v>
      </c>
      <c r="R303" s="1023">
        <v>273.85592740710058</v>
      </c>
      <c r="S303" s="169">
        <f t="shared" si="145"/>
        <v>32254.564763519156</v>
      </c>
      <c r="T303" s="122">
        <f>VLOOKUP($B303,'Tech Litons'!$A:$I,9,0)</f>
        <v>256</v>
      </c>
      <c r="U303" s="179">
        <f t="shared" si="146"/>
        <v>15.22265625</v>
      </c>
      <c r="V303" s="179">
        <f t="shared" si="147"/>
        <v>6.21875</v>
      </c>
      <c r="W303" s="179">
        <f t="shared" si="148"/>
        <v>11.560253993672632</v>
      </c>
      <c r="X303" s="179">
        <f t="shared" si="149"/>
        <v>2.4794796553691976</v>
      </c>
      <c r="Y303" s="179">
        <f t="shared" si="150"/>
        <v>22.773448514072633</v>
      </c>
      <c r="Z303" s="179">
        <f t="shared" si="151"/>
        <v>15.03980411354188</v>
      </c>
      <c r="AA303" s="179">
        <f t="shared" si="152"/>
        <v>11.584058810151859</v>
      </c>
      <c r="AB303" s="179">
        <f t="shared" si="153"/>
        <v>14.05456910006399</v>
      </c>
      <c r="AC303" s="179">
        <f t="shared" si="154"/>
        <v>6.4333544281482826</v>
      </c>
      <c r="AD303" s="179">
        <f t="shared" si="155"/>
        <v>7.5808051149961457</v>
      </c>
      <c r="AE303" s="179">
        <f t="shared" si="156"/>
        <v>11.977463911046101</v>
      </c>
      <c r="AF303" s="179">
        <f t="shared" si="157"/>
        <v>1.0697497164339866</v>
      </c>
    </row>
    <row r="304" spans="2:32">
      <c r="B304" s="122">
        <f t="shared" si="144"/>
        <v>69556602</v>
      </c>
      <c r="C304" s="122" t="str">
        <f>VLOOKUP($B304,'Tech Litons'!$A:$I,3,0)</f>
        <v>KL Mini Cones</v>
      </c>
      <c r="D304" s="122" t="str">
        <f>VLOOKUP($B304,'Tech Litons'!$A:$I,4,0)</f>
        <v>KL Mini Cones</v>
      </c>
      <c r="E304" s="1021" t="s">
        <v>982</v>
      </c>
      <c r="F304" s="1021">
        <v>69556602</v>
      </c>
      <c r="G304" s="1023">
        <v>192</v>
      </c>
      <c r="H304" s="1023">
        <v>60</v>
      </c>
      <c r="I304" s="1023">
        <v>0</v>
      </c>
      <c r="J304" s="1023">
        <v>0</v>
      </c>
      <c r="K304" s="1023">
        <v>0</v>
      </c>
      <c r="L304" s="1023">
        <v>0</v>
      </c>
      <c r="M304" s="1023">
        <v>0</v>
      </c>
      <c r="N304" s="1023">
        <v>0</v>
      </c>
      <c r="O304" s="1023">
        <v>0</v>
      </c>
      <c r="P304" s="1023">
        <v>0</v>
      </c>
      <c r="Q304" s="1023">
        <v>0</v>
      </c>
      <c r="R304" s="1023">
        <v>0</v>
      </c>
      <c r="S304" s="169">
        <f t="shared" si="145"/>
        <v>252</v>
      </c>
      <c r="T304" s="122">
        <f>VLOOKUP($B304,'Tech Litons'!$A:$I,9,0)</f>
        <v>120</v>
      </c>
      <c r="U304" s="179">
        <f t="shared" si="146"/>
        <v>1.6</v>
      </c>
      <c r="V304" s="179">
        <f t="shared" si="147"/>
        <v>0.5</v>
      </c>
      <c r="W304" s="179">
        <f t="shared" si="148"/>
        <v>0</v>
      </c>
      <c r="X304" s="179">
        <f t="shared" si="149"/>
        <v>0</v>
      </c>
      <c r="Y304" s="179">
        <f t="shared" si="150"/>
        <v>0</v>
      </c>
      <c r="Z304" s="179">
        <f t="shared" si="151"/>
        <v>0</v>
      </c>
      <c r="AA304" s="179">
        <f t="shared" si="152"/>
        <v>0</v>
      </c>
      <c r="AB304" s="179">
        <f t="shared" si="153"/>
        <v>0</v>
      </c>
      <c r="AC304" s="179">
        <f t="shared" si="154"/>
        <v>0</v>
      </c>
      <c r="AD304" s="179">
        <f t="shared" si="155"/>
        <v>0</v>
      </c>
      <c r="AE304" s="179">
        <f t="shared" si="156"/>
        <v>0</v>
      </c>
      <c r="AF304" s="179">
        <f t="shared" si="157"/>
        <v>0</v>
      </c>
    </row>
    <row r="305" spans="2:32">
      <c r="B305" s="122">
        <f t="shared" si="144"/>
        <v>84135795</v>
      </c>
      <c r="C305" s="122" t="str">
        <f>VLOOKUP($B305,'Tech Litons'!$A:$I,3,0)</f>
        <v>2.4 Gal</v>
      </c>
      <c r="D305" s="122" t="str">
        <f>VLOOKUP($B305,'Tech Litons'!$A:$I,4,0)</f>
        <v>2.4 Gal</v>
      </c>
      <c r="E305" s="1021" t="s">
        <v>497</v>
      </c>
      <c r="F305" s="1021">
        <v>84135795</v>
      </c>
      <c r="G305" s="1023">
        <v>1213</v>
      </c>
      <c r="H305" s="1023">
        <v>1639</v>
      </c>
      <c r="I305" s="1023">
        <v>3588.6981142448944</v>
      </c>
      <c r="J305" s="1023">
        <v>3829.9004998599453</v>
      </c>
      <c r="K305" s="1023">
        <v>3678.9276890654992</v>
      </c>
      <c r="L305" s="1023">
        <v>4600.9542687173389</v>
      </c>
      <c r="M305" s="1023">
        <v>5639.697260570083</v>
      </c>
      <c r="N305" s="1023">
        <v>3804.9124483462451</v>
      </c>
      <c r="O305" s="1023">
        <v>1927.4782788713708</v>
      </c>
      <c r="P305" s="1023">
        <v>1454.6025052685632</v>
      </c>
      <c r="Q305" s="1023">
        <v>1008.4495250335715</v>
      </c>
      <c r="R305" s="1023">
        <v>1232.447746651022</v>
      </c>
      <c r="S305" s="169">
        <f t="shared" si="145"/>
        <v>33618.06833662853</v>
      </c>
      <c r="T305" s="122">
        <f>VLOOKUP($B305,'Tech Litons'!$A:$I,9,0)</f>
        <v>125</v>
      </c>
      <c r="U305" s="179">
        <f t="shared" si="146"/>
        <v>9.7040000000000006</v>
      </c>
      <c r="V305" s="179">
        <f t="shared" si="147"/>
        <v>13.112</v>
      </c>
      <c r="W305" s="179">
        <f t="shared" si="148"/>
        <v>28.709584913959155</v>
      </c>
      <c r="X305" s="179">
        <f t="shared" si="149"/>
        <v>30.639203998879562</v>
      </c>
      <c r="Y305" s="179">
        <f t="shared" si="150"/>
        <v>29.431421512523993</v>
      </c>
      <c r="Z305" s="179">
        <f t="shared" si="151"/>
        <v>36.807634149738711</v>
      </c>
      <c r="AA305" s="179">
        <f t="shared" si="152"/>
        <v>45.117578084560662</v>
      </c>
      <c r="AB305" s="179">
        <f t="shared" si="153"/>
        <v>30.439299586769963</v>
      </c>
      <c r="AC305" s="179">
        <f t="shared" si="154"/>
        <v>15.419826230970965</v>
      </c>
      <c r="AD305" s="179">
        <f t="shared" si="155"/>
        <v>11.636820042148505</v>
      </c>
      <c r="AE305" s="179">
        <f t="shared" si="156"/>
        <v>8.0675962002685715</v>
      </c>
      <c r="AF305" s="179">
        <f t="shared" si="157"/>
        <v>9.8595819732081758</v>
      </c>
    </row>
    <row r="306" spans="2:32">
      <c r="B306" s="122">
        <f t="shared" si="144"/>
        <v>84163503</v>
      </c>
      <c r="C306" s="122" t="str">
        <f>VLOOKUP($B306,'Tech Litons'!$A:$I,3,0)</f>
        <v>BJ PTS</v>
      </c>
      <c r="D306" s="122" t="str">
        <f>VLOOKUP($B306,'Tech Litons'!$A:$I,4,0)</f>
        <v>BJ PTS</v>
      </c>
      <c r="E306" s="1021" t="s">
        <v>517</v>
      </c>
      <c r="F306" s="1021">
        <v>84163503</v>
      </c>
      <c r="G306" s="1023">
        <v>1964</v>
      </c>
      <c r="H306" s="1023">
        <v>2715</v>
      </c>
      <c r="I306" s="1023">
        <v>2483.616365021383</v>
      </c>
      <c r="J306" s="1023">
        <v>1832.6858022300576</v>
      </c>
      <c r="K306" s="1023">
        <v>2063.07937850286</v>
      </c>
      <c r="L306" s="1023">
        <v>2539.2676951249323</v>
      </c>
      <c r="M306" s="1023">
        <v>1423.9016724806115</v>
      </c>
      <c r="N306" s="1023">
        <v>1033.1667732964695</v>
      </c>
      <c r="O306" s="1023">
        <v>1812.574175026426</v>
      </c>
      <c r="P306" s="1023">
        <v>1021.9005001530243</v>
      </c>
      <c r="Q306" s="1023">
        <v>1982.4080906741906</v>
      </c>
      <c r="R306" s="1023">
        <v>1745.4489882807384</v>
      </c>
      <c r="S306" s="169">
        <f t="shared" si="145"/>
        <v>22617.049440790692</v>
      </c>
      <c r="T306" s="122">
        <f>VLOOKUP($B306,'Tech Litons'!$A:$I,9,0)</f>
        <v>240</v>
      </c>
      <c r="U306" s="179">
        <f t="shared" si="146"/>
        <v>8.1833333333333336</v>
      </c>
      <c r="V306" s="179">
        <f t="shared" si="147"/>
        <v>11.3125</v>
      </c>
      <c r="W306" s="179">
        <f t="shared" si="148"/>
        <v>10.34840152092243</v>
      </c>
      <c r="X306" s="179">
        <f t="shared" si="149"/>
        <v>7.6361908426252398</v>
      </c>
      <c r="Y306" s="179">
        <f t="shared" si="150"/>
        <v>8.5961640770952492</v>
      </c>
      <c r="Z306" s="179">
        <f t="shared" si="151"/>
        <v>10.580282063020551</v>
      </c>
      <c r="AA306" s="179">
        <f t="shared" si="152"/>
        <v>5.9329236353358814</v>
      </c>
      <c r="AB306" s="179">
        <f t="shared" si="153"/>
        <v>4.3048615554019563</v>
      </c>
      <c r="AC306" s="179">
        <f t="shared" si="154"/>
        <v>7.5523923959434418</v>
      </c>
      <c r="AD306" s="179">
        <f t="shared" si="155"/>
        <v>4.2579187506376011</v>
      </c>
      <c r="AE306" s="179">
        <f t="shared" si="156"/>
        <v>8.2600337111424604</v>
      </c>
      <c r="AF306" s="179">
        <f t="shared" si="157"/>
        <v>7.27270411783641</v>
      </c>
    </row>
    <row r="307" spans="2:32">
      <c r="B307" s="122">
        <f t="shared" si="144"/>
        <v>69665114</v>
      </c>
      <c r="C307" s="122" t="str">
        <f>VLOOKUP($B307,'Tech Litons'!$A:$I,3,0)</f>
        <v>Dough Bites</v>
      </c>
      <c r="D307" s="122" t="str">
        <f>VLOOKUP($B307,'Tech Litons'!$A:$I,4,0)</f>
        <v>Dough Bites</v>
      </c>
      <c r="E307" s="1021" t="s">
        <v>898</v>
      </c>
      <c r="F307" s="1021">
        <v>69665114</v>
      </c>
      <c r="G307" s="1023">
        <v>1716</v>
      </c>
      <c r="H307" s="1023">
        <v>1152</v>
      </c>
      <c r="I307" s="1023">
        <v>1144.6223561317479</v>
      </c>
      <c r="J307" s="1023">
        <v>0</v>
      </c>
      <c r="K307" s="1023">
        <v>0</v>
      </c>
      <c r="L307" s="1023">
        <v>0</v>
      </c>
      <c r="M307" s="1023">
        <v>0</v>
      </c>
      <c r="N307" s="1023">
        <v>0</v>
      </c>
      <c r="O307" s="1023">
        <v>0</v>
      </c>
      <c r="P307" s="1023">
        <v>0</v>
      </c>
      <c r="Q307" s="1023">
        <v>0</v>
      </c>
      <c r="R307" s="1023">
        <v>0</v>
      </c>
      <c r="S307" s="169">
        <f t="shared" si="145"/>
        <v>4012.6223561317479</v>
      </c>
      <c r="T307" s="122">
        <f>VLOOKUP($B307,'Tech Litons'!$A:$I,9,0)</f>
        <v>256</v>
      </c>
      <c r="U307" s="179">
        <f t="shared" si="146"/>
        <v>6.703125</v>
      </c>
      <c r="V307" s="179">
        <f t="shared" si="147"/>
        <v>4.5</v>
      </c>
      <c r="W307" s="179">
        <f t="shared" si="148"/>
        <v>4.4711810786396402</v>
      </c>
      <c r="X307" s="179">
        <f t="shared" si="149"/>
        <v>0</v>
      </c>
      <c r="Y307" s="179">
        <f t="shared" si="150"/>
        <v>0</v>
      </c>
      <c r="Z307" s="179">
        <f t="shared" si="151"/>
        <v>0</v>
      </c>
      <c r="AA307" s="179">
        <f t="shared" si="152"/>
        <v>0</v>
      </c>
      <c r="AB307" s="179">
        <f t="shared" si="153"/>
        <v>0</v>
      </c>
      <c r="AC307" s="179">
        <f t="shared" si="154"/>
        <v>0</v>
      </c>
      <c r="AD307" s="179">
        <f t="shared" si="155"/>
        <v>0</v>
      </c>
      <c r="AE307" s="179">
        <f t="shared" si="156"/>
        <v>0</v>
      </c>
      <c r="AF307" s="179">
        <f t="shared" si="157"/>
        <v>0</v>
      </c>
    </row>
    <row r="308" spans="2:32">
      <c r="B308" s="122">
        <f t="shared" si="144"/>
        <v>69555093</v>
      </c>
      <c r="C308" s="122" t="str">
        <f>VLOOKUP($B308,'Tech Litons'!$A:$I,3,0)</f>
        <v>MG Sticks</v>
      </c>
      <c r="D308" s="122" t="str">
        <f>VLOOKUP($B308,'Tech Litons'!$A:$I,4,0)</f>
        <v>MG Sticks</v>
      </c>
      <c r="E308" s="1022" t="s">
        <v>1294</v>
      </c>
      <c r="F308" s="1022">
        <v>69555093</v>
      </c>
      <c r="G308" s="1025">
        <v>0</v>
      </c>
      <c r="H308" s="1025">
        <v>16</v>
      </c>
      <c r="I308" s="1025">
        <v>2000</v>
      </c>
      <c r="J308" s="1025">
        <v>0</v>
      </c>
      <c r="K308" s="1025">
        <v>0</v>
      </c>
      <c r="L308" s="1025">
        <v>0</v>
      </c>
      <c r="M308" s="1025">
        <v>0</v>
      </c>
      <c r="N308" s="1025">
        <v>0</v>
      </c>
      <c r="O308" s="1025">
        <v>0</v>
      </c>
      <c r="P308" s="1025">
        <v>0</v>
      </c>
      <c r="Q308" s="1025">
        <v>0</v>
      </c>
      <c r="R308" s="1025">
        <v>0</v>
      </c>
      <c r="S308" s="169">
        <f t="shared" si="145"/>
        <v>2016</v>
      </c>
      <c r="T308" s="122">
        <f>VLOOKUP($B308,'Tech Litons'!$A:$I,9,0)</f>
        <v>176</v>
      </c>
      <c r="U308" s="179">
        <f t="shared" si="146"/>
        <v>0</v>
      </c>
      <c r="V308" s="179">
        <f t="shared" si="147"/>
        <v>9.0909090909090912E-2</v>
      </c>
      <c r="W308" s="179">
        <f t="shared" si="148"/>
        <v>11.363636363636363</v>
      </c>
      <c r="X308" s="179">
        <f t="shared" si="149"/>
        <v>0</v>
      </c>
      <c r="Y308" s="179">
        <f t="shared" si="150"/>
        <v>0</v>
      </c>
      <c r="Z308" s="179">
        <f t="shared" si="151"/>
        <v>0</v>
      </c>
      <c r="AA308" s="179">
        <f t="shared" si="152"/>
        <v>0</v>
      </c>
      <c r="AB308" s="179">
        <f t="shared" si="153"/>
        <v>0</v>
      </c>
      <c r="AC308" s="179">
        <f t="shared" si="154"/>
        <v>0</v>
      </c>
      <c r="AD308" s="179">
        <f t="shared" si="155"/>
        <v>0</v>
      </c>
      <c r="AE308" s="179">
        <f t="shared" si="156"/>
        <v>0</v>
      </c>
      <c r="AF308" s="179">
        <f t="shared" si="157"/>
        <v>0</v>
      </c>
    </row>
    <row r="309" spans="2:32">
      <c r="B309" s="122">
        <f t="shared" si="144"/>
        <v>62697529</v>
      </c>
      <c r="C309" s="122" t="str">
        <f>VLOOKUP($B309,'Tech Litons'!$A:$I,3,0)</f>
        <v>BJ PTS</v>
      </c>
      <c r="D309" s="122" t="str">
        <f>VLOOKUP($B309,'Tech Litons'!$A:$I,4,0)</f>
        <v>BJ PTS</v>
      </c>
      <c r="E309" s="1021" t="s">
        <v>938</v>
      </c>
      <c r="F309" s="1021">
        <v>62697529</v>
      </c>
      <c r="G309" s="1023">
        <v>2956</v>
      </c>
      <c r="H309" s="1023">
        <v>3199</v>
      </c>
      <c r="I309" s="1023">
        <v>3419.2109180839966</v>
      </c>
      <c r="J309" s="1023">
        <v>2807.6736357418295</v>
      </c>
      <c r="K309" s="1023">
        <v>2971.3955344273272</v>
      </c>
      <c r="L309" s="1023">
        <v>4119.5942927915057</v>
      </c>
      <c r="M309" s="1023">
        <v>3378.9822937488693</v>
      </c>
      <c r="N309" s="1023">
        <v>3597.6691694608467</v>
      </c>
      <c r="O309" s="1023">
        <v>2534.2520357944395</v>
      </c>
      <c r="P309" s="1023">
        <v>2522.7536275607667</v>
      </c>
      <c r="Q309" s="1023">
        <v>3126.9809395159336</v>
      </c>
      <c r="R309" s="1023">
        <v>3002.8879946316611</v>
      </c>
      <c r="S309" s="169">
        <f t="shared" si="145"/>
        <v>37636.40044175717</v>
      </c>
      <c r="T309" s="122">
        <f>VLOOKUP($B309,'Tech Litons'!$A:$I,9,0)</f>
        <v>240</v>
      </c>
      <c r="U309" s="179">
        <f t="shared" si="146"/>
        <v>12.316666666666666</v>
      </c>
      <c r="V309" s="179">
        <f t="shared" si="147"/>
        <v>13.329166666666667</v>
      </c>
      <c r="W309" s="179">
        <f t="shared" si="148"/>
        <v>14.246712158683319</v>
      </c>
      <c r="X309" s="179">
        <f t="shared" si="149"/>
        <v>11.698640148924289</v>
      </c>
      <c r="Y309" s="179">
        <f t="shared" si="150"/>
        <v>12.38081472678053</v>
      </c>
      <c r="Z309" s="179">
        <f t="shared" si="151"/>
        <v>17.164976219964608</v>
      </c>
      <c r="AA309" s="179">
        <f t="shared" si="152"/>
        <v>14.07909289062029</v>
      </c>
      <c r="AB309" s="179">
        <f t="shared" si="153"/>
        <v>14.990288206086861</v>
      </c>
      <c r="AC309" s="179">
        <f t="shared" si="154"/>
        <v>10.55938348247683</v>
      </c>
      <c r="AD309" s="179">
        <f t="shared" si="155"/>
        <v>10.511473448169861</v>
      </c>
      <c r="AE309" s="179">
        <f t="shared" si="156"/>
        <v>13.029087247983057</v>
      </c>
      <c r="AF309" s="179">
        <f t="shared" si="157"/>
        <v>12.512033310965254</v>
      </c>
    </row>
    <row r="310" spans="2:32">
      <c r="B310" s="122">
        <f t="shared" si="144"/>
        <v>64780901</v>
      </c>
      <c r="C310" s="122" t="str">
        <f>VLOOKUP($B310,'Tech Litons'!$A:$I,3,0)</f>
        <v>PTS</v>
      </c>
      <c r="D310" s="122" t="str">
        <f>VLOOKUP($B310,'Tech Litons'!$A:$I,4,0)</f>
        <v>SP1</v>
      </c>
      <c r="E310" s="1021" t="s">
        <v>1098</v>
      </c>
      <c r="F310" s="1021">
        <v>64780901</v>
      </c>
      <c r="G310" s="1023">
        <v>2280</v>
      </c>
      <c r="H310" s="1023">
        <v>6030</v>
      </c>
      <c r="I310" s="1023">
        <v>5546.355404798087</v>
      </c>
      <c r="J310" s="1023">
        <v>5761.5976600357171</v>
      </c>
      <c r="K310" s="1023">
        <v>5353.562308902332</v>
      </c>
      <c r="L310" s="1023">
        <v>3954.3471787721605</v>
      </c>
      <c r="M310" s="1023">
        <v>5038.7746364418354</v>
      </c>
      <c r="N310" s="1023">
        <v>5046.3982103629442</v>
      </c>
      <c r="O310" s="1023">
        <v>4592.1539094575146</v>
      </c>
      <c r="P310" s="1023">
        <v>3544.2452219286042</v>
      </c>
      <c r="Q310" s="1023">
        <v>5216.1319557201532</v>
      </c>
      <c r="R310" s="1023">
        <v>2977.643268191242</v>
      </c>
      <c r="S310" s="169">
        <f t="shared" si="145"/>
        <v>55341.209754610594</v>
      </c>
      <c r="T310" s="122">
        <f>VLOOKUP($B310,'Tech Litons'!$A:$I,9,0)</f>
        <v>240</v>
      </c>
      <c r="U310" s="179">
        <f t="shared" si="146"/>
        <v>9.5</v>
      </c>
      <c r="V310" s="179">
        <f t="shared" si="147"/>
        <v>25.125</v>
      </c>
      <c r="W310" s="179">
        <f t="shared" si="148"/>
        <v>23.109814186658696</v>
      </c>
      <c r="X310" s="179">
        <f t="shared" si="149"/>
        <v>24.006656916815487</v>
      </c>
      <c r="Y310" s="179">
        <f t="shared" si="150"/>
        <v>22.306509620426382</v>
      </c>
      <c r="Z310" s="179">
        <f t="shared" si="151"/>
        <v>16.476446578217335</v>
      </c>
      <c r="AA310" s="179">
        <f t="shared" si="152"/>
        <v>20.994894318507647</v>
      </c>
      <c r="AB310" s="179">
        <f t="shared" si="153"/>
        <v>21.026659209845601</v>
      </c>
      <c r="AC310" s="179">
        <f t="shared" si="154"/>
        <v>19.133974622739643</v>
      </c>
      <c r="AD310" s="179">
        <f t="shared" si="155"/>
        <v>14.767688424702518</v>
      </c>
      <c r="AE310" s="179">
        <f t="shared" si="156"/>
        <v>21.733883148833971</v>
      </c>
      <c r="AF310" s="179">
        <f t="shared" si="157"/>
        <v>12.406846950796842</v>
      </c>
    </row>
    <row r="311" spans="2:32">
      <c r="B311" s="122">
        <f t="shared" si="144"/>
        <v>64325622</v>
      </c>
      <c r="C311" s="122" t="str">
        <f>VLOOKUP($B311,'Tech Litons'!$A:$I,3,0)</f>
        <v>Yasso Sandwich</v>
      </c>
      <c r="D311" s="122" t="str">
        <f>VLOOKUP($B311,'Tech Litons'!$A:$I,4,0)</f>
        <v>Yasso Sandwich</v>
      </c>
      <c r="E311" s="1021" t="s">
        <v>1035</v>
      </c>
      <c r="F311" s="1021">
        <v>64325622</v>
      </c>
      <c r="G311" s="1023">
        <v>711</v>
      </c>
      <c r="H311" s="1023">
        <v>563</v>
      </c>
      <c r="I311" s="1023">
        <v>828.02</v>
      </c>
      <c r="J311" s="1023">
        <v>820.58</v>
      </c>
      <c r="K311" s="1023">
        <v>680.75</v>
      </c>
      <c r="L311" s="1023">
        <v>930.14</v>
      </c>
      <c r="M311" s="1023">
        <v>860.03</v>
      </c>
      <c r="N311" s="1023">
        <v>924.8900000000001</v>
      </c>
      <c r="O311" s="1023">
        <v>1075.8599999999999</v>
      </c>
      <c r="P311" s="1023">
        <v>773.58</v>
      </c>
      <c r="Q311" s="1023">
        <v>567.15</v>
      </c>
      <c r="R311" s="1023">
        <v>1032.71</v>
      </c>
      <c r="S311" s="169">
        <f t="shared" si="145"/>
        <v>9767.7099999999991</v>
      </c>
      <c r="T311" s="122">
        <f>VLOOKUP($B311,'Tech Litons'!$A:$I,9,0)</f>
        <v>189</v>
      </c>
      <c r="U311" s="179">
        <f t="shared" si="146"/>
        <v>3.7619047619047619</v>
      </c>
      <c r="V311" s="179">
        <f t="shared" si="147"/>
        <v>2.9788359788359786</v>
      </c>
      <c r="W311" s="179">
        <f t="shared" si="148"/>
        <v>4.3810582010582007</v>
      </c>
      <c r="X311" s="179">
        <f t="shared" si="149"/>
        <v>4.3416931216931216</v>
      </c>
      <c r="Y311" s="179">
        <f t="shared" si="150"/>
        <v>3.6018518518518516</v>
      </c>
      <c r="Z311" s="179">
        <f t="shared" si="151"/>
        <v>4.9213756613756612</v>
      </c>
      <c r="AA311" s="179">
        <f t="shared" si="152"/>
        <v>4.5504232804232805</v>
      </c>
      <c r="AB311" s="179">
        <f t="shared" si="153"/>
        <v>4.8935978835978844</v>
      </c>
      <c r="AC311" s="179">
        <f t="shared" si="154"/>
        <v>5.6923809523809519</v>
      </c>
      <c r="AD311" s="179">
        <f t="shared" si="155"/>
        <v>4.0930158730158732</v>
      </c>
      <c r="AE311" s="179">
        <f t="shared" si="156"/>
        <v>3.0007936507936508</v>
      </c>
      <c r="AF311" s="179">
        <f t="shared" si="157"/>
        <v>5.4640740740740741</v>
      </c>
    </row>
    <row r="312" spans="2:32">
      <c r="B312" s="122">
        <f t="shared" si="144"/>
        <v>84164939</v>
      </c>
      <c r="C312" s="122" t="str">
        <f>VLOOKUP($B312,'Tech Litons'!$A:$I,3,0)</f>
        <v>2.4 Gal</v>
      </c>
      <c r="D312" s="122" t="str">
        <f>VLOOKUP($B312,'Tech Litons'!$A:$I,4,0)</f>
        <v>2.4 Gal</v>
      </c>
      <c r="E312" s="1021" t="s">
        <v>399</v>
      </c>
      <c r="F312" s="1021">
        <v>84164939</v>
      </c>
      <c r="G312" s="1023">
        <v>1452</v>
      </c>
      <c r="H312" s="1023">
        <v>1308</v>
      </c>
      <c r="I312" s="1023">
        <v>3112.1646034217129</v>
      </c>
      <c r="J312" s="1023">
        <v>3243.5305406427333</v>
      </c>
      <c r="K312" s="1023">
        <v>3065.3181948691954</v>
      </c>
      <c r="L312" s="1023">
        <v>3744.2240092998004</v>
      </c>
      <c r="M312" s="1023">
        <v>4494.6401306922935</v>
      </c>
      <c r="N312" s="1023">
        <v>3102.612628973191</v>
      </c>
      <c r="O312" s="1023">
        <v>1593.5519635645728</v>
      </c>
      <c r="P312" s="1023">
        <v>1219.3316833375579</v>
      </c>
      <c r="Q312" s="1023">
        <v>1201.1308367206716</v>
      </c>
      <c r="R312" s="1023">
        <v>1018.051580358439</v>
      </c>
      <c r="S312" s="169">
        <f t="shared" si="145"/>
        <v>28554.556171880165</v>
      </c>
      <c r="T312" s="122">
        <f>VLOOKUP($B312,'Tech Litons'!$A:$I,9,0)</f>
        <v>125</v>
      </c>
      <c r="U312" s="179">
        <f t="shared" si="146"/>
        <v>11.616</v>
      </c>
      <c r="V312" s="179">
        <f t="shared" si="147"/>
        <v>10.464</v>
      </c>
      <c r="W312" s="179">
        <f t="shared" si="148"/>
        <v>24.897316827373704</v>
      </c>
      <c r="X312" s="179">
        <f t="shared" si="149"/>
        <v>25.948244325141868</v>
      </c>
      <c r="Y312" s="179">
        <f t="shared" si="150"/>
        <v>24.522545558953563</v>
      </c>
      <c r="Z312" s="179">
        <f t="shared" si="151"/>
        <v>29.953792074398404</v>
      </c>
      <c r="AA312" s="179">
        <f t="shared" si="152"/>
        <v>35.957121045538351</v>
      </c>
      <c r="AB312" s="179">
        <f t="shared" si="153"/>
        <v>24.820901031785528</v>
      </c>
      <c r="AC312" s="179">
        <f t="shared" si="154"/>
        <v>12.748415708516582</v>
      </c>
      <c r="AD312" s="179">
        <f t="shared" si="155"/>
        <v>9.7546534667004643</v>
      </c>
      <c r="AE312" s="179">
        <f t="shared" si="156"/>
        <v>9.6090466937653733</v>
      </c>
      <c r="AF312" s="179">
        <f t="shared" si="157"/>
        <v>8.1444126428675112</v>
      </c>
    </row>
    <row r="313" spans="2:32">
      <c r="B313" s="122">
        <f t="shared" si="144"/>
        <v>64369045</v>
      </c>
      <c r="C313" s="122" t="str">
        <f>VLOOKUP($B313,'Tech Litons'!$A:$I,3,0)</f>
        <v>Talenti</v>
      </c>
      <c r="D313" s="122" t="str">
        <f>VLOOKUP($B313,'Tech Litons'!$A:$I,4,0)</f>
        <v>Talenti</v>
      </c>
      <c r="E313" s="1021" t="s">
        <v>479</v>
      </c>
      <c r="F313" s="1021">
        <v>64369045</v>
      </c>
      <c r="G313" s="1023">
        <v>885</v>
      </c>
      <c r="H313" s="1023">
        <v>330</v>
      </c>
      <c r="I313" s="1023">
        <v>540.41661915230668</v>
      </c>
      <c r="J313" s="1023">
        <v>910.65013010297764</v>
      </c>
      <c r="K313" s="1023">
        <v>709.352622970011</v>
      </c>
      <c r="L313" s="1023">
        <v>1634.054957564656</v>
      </c>
      <c r="M313" s="1023">
        <v>1362.3552215154571</v>
      </c>
      <c r="N313" s="1023">
        <v>740.55120898543089</v>
      </c>
      <c r="O313" s="1023">
        <v>1132.0480641103759</v>
      </c>
      <c r="P313" s="1023">
        <v>1210.6766759619679</v>
      </c>
      <c r="Q313" s="1023">
        <v>485.09957667937266</v>
      </c>
      <c r="R313" s="1023">
        <v>94.029673377590541</v>
      </c>
      <c r="S313" s="169">
        <f t="shared" si="145"/>
        <v>10034.234750420146</v>
      </c>
      <c r="T313" s="122">
        <f>VLOOKUP($B313,'Tech Litons'!$A:$I,9,0)</f>
        <v>255</v>
      </c>
      <c r="U313" s="179">
        <f t="shared" si="146"/>
        <v>3.4705882352941178</v>
      </c>
      <c r="V313" s="179">
        <f t="shared" si="147"/>
        <v>1.2941176470588236</v>
      </c>
      <c r="W313" s="179">
        <f t="shared" si="148"/>
        <v>2.1192808594208103</v>
      </c>
      <c r="X313" s="179">
        <f t="shared" si="149"/>
        <v>3.5711769807959906</v>
      </c>
      <c r="Y313" s="179">
        <f t="shared" si="150"/>
        <v>2.7817749920392587</v>
      </c>
      <c r="Z313" s="179">
        <f t="shared" si="151"/>
        <v>6.4080586571162979</v>
      </c>
      <c r="AA313" s="179">
        <f t="shared" si="152"/>
        <v>5.3425694961390473</v>
      </c>
      <c r="AB313" s="179">
        <f t="shared" si="153"/>
        <v>2.9041223881781604</v>
      </c>
      <c r="AC313" s="179">
        <f t="shared" si="154"/>
        <v>4.4394041729818658</v>
      </c>
      <c r="AD313" s="179">
        <f t="shared" si="155"/>
        <v>4.7477516704390901</v>
      </c>
      <c r="AE313" s="179">
        <f t="shared" si="156"/>
        <v>1.9023512810955792</v>
      </c>
      <c r="AF313" s="179">
        <f t="shared" si="157"/>
        <v>0.3687438171670217</v>
      </c>
    </row>
    <row r="314" spans="2:32">
      <c r="B314" s="122">
        <f t="shared" si="144"/>
        <v>64854330</v>
      </c>
      <c r="C314" s="122" t="str">
        <f>VLOOKUP($B314,'Tech Litons'!$A:$I,3,0)</f>
        <v>Repack MG Sticks</v>
      </c>
      <c r="D314" s="122" t="str">
        <f>VLOOKUP($B314,'Tech Litons'!$A:$I,4,0)</f>
        <v>Other</v>
      </c>
      <c r="E314" s="1021" t="s">
        <v>605</v>
      </c>
      <c r="F314" s="1021">
        <v>64854330</v>
      </c>
      <c r="G314" s="1023">
        <v>1067</v>
      </c>
      <c r="H314" s="1023">
        <v>2196</v>
      </c>
      <c r="I314" s="1023">
        <v>1731.57</v>
      </c>
      <c r="J314" s="1023">
        <v>1740.1399999999999</v>
      </c>
      <c r="K314" s="1023">
        <v>1904.43</v>
      </c>
      <c r="L314" s="1023">
        <v>2637.85</v>
      </c>
      <c r="M314" s="1023">
        <v>2752.02</v>
      </c>
      <c r="N314" s="1023">
        <v>2876.28</v>
      </c>
      <c r="O314" s="1023">
        <v>2290.5700000000002</v>
      </c>
      <c r="P314" s="1023">
        <v>1507.73</v>
      </c>
      <c r="Q314" s="1023">
        <v>1999.88</v>
      </c>
      <c r="R314" s="1023">
        <v>1661.29</v>
      </c>
      <c r="S314" s="169">
        <f t="shared" si="145"/>
        <v>24364.760000000002</v>
      </c>
      <c r="T314" s="122">
        <f>VLOOKUP($B314,'Tech Litons'!$A:$I,9,0)</f>
        <v>30</v>
      </c>
      <c r="U314" s="179">
        <f t="shared" si="146"/>
        <v>35.56666666666667</v>
      </c>
      <c r="V314" s="179">
        <f t="shared" si="147"/>
        <v>73.2</v>
      </c>
      <c r="W314" s="179">
        <f t="shared" si="148"/>
        <v>57.719000000000001</v>
      </c>
      <c r="X314" s="179">
        <f t="shared" si="149"/>
        <v>58.004666666666665</v>
      </c>
      <c r="Y314" s="179">
        <f t="shared" si="150"/>
        <v>63.481000000000002</v>
      </c>
      <c r="Z314" s="179">
        <f t="shared" si="151"/>
        <v>87.928333333333327</v>
      </c>
      <c r="AA314" s="179">
        <f t="shared" si="152"/>
        <v>91.733999999999995</v>
      </c>
      <c r="AB314" s="179">
        <f t="shared" si="153"/>
        <v>95.876000000000005</v>
      </c>
      <c r="AC314" s="179">
        <f t="shared" si="154"/>
        <v>76.352333333333334</v>
      </c>
      <c r="AD314" s="179">
        <f t="shared" si="155"/>
        <v>50.257666666666665</v>
      </c>
      <c r="AE314" s="179">
        <f t="shared" si="156"/>
        <v>66.662666666666667</v>
      </c>
      <c r="AF314" s="179">
        <f t="shared" si="157"/>
        <v>55.376333333333335</v>
      </c>
    </row>
    <row r="315" spans="2:32">
      <c r="B315" s="122">
        <f t="shared" si="144"/>
        <v>84135794</v>
      </c>
      <c r="C315" s="122" t="str">
        <f>VLOOKUP($B315,'Tech Litons'!$A:$I,3,0)</f>
        <v>2.4 Gal</v>
      </c>
      <c r="D315" s="122" t="str">
        <f>VLOOKUP($B315,'Tech Litons'!$A:$I,4,0)</f>
        <v>2.4 Gal</v>
      </c>
      <c r="E315" s="1021" t="s">
        <v>532</v>
      </c>
      <c r="F315" s="1021">
        <v>84135794</v>
      </c>
      <c r="G315" s="1023">
        <v>1223</v>
      </c>
      <c r="H315" s="1023">
        <v>1048</v>
      </c>
      <c r="I315" s="1023">
        <v>3033.9883511069602</v>
      </c>
      <c r="J315" s="1023">
        <v>2783.2832882304856</v>
      </c>
      <c r="K315" s="1023">
        <v>2568.3763980067147</v>
      </c>
      <c r="L315" s="1023">
        <v>3507.2762917558266</v>
      </c>
      <c r="M315" s="1023">
        <v>4411.8715770805466</v>
      </c>
      <c r="N315" s="1023">
        <v>2649.1438132392796</v>
      </c>
      <c r="O315" s="1023">
        <v>1234.4363482078479</v>
      </c>
      <c r="P315" s="1023">
        <v>1001.6396032390885</v>
      </c>
      <c r="Q315" s="1023">
        <v>611.18049014626104</v>
      </c>
      <c r="R315" s="1023">
        <v>846.074761571708</v>
      </c>
      <c r="S315" s="169">
        <f t="shared" si="145"/>
        <v>24918.270922584717</v>
      </c>
      <c r="T315" s="122">
        <f>VLOOKUP($B315,'Tech Litons'!$A:$I,9,0)</f>
        <v>125</v>
      </c>
      <c r="U315" s="179">
        <f t="shared" si="146"/>
        <v>9.7840000000000007</v>
      </c>
      <c r="V315" s="179">
        <f t="shared" si="147"/>
        <v>8.3840000000000003</v>
      </c>
      <c r="W315" s="179">
        <f t="shared" si="148"/>
        <v>24.271906808855682</v>
      </c>
      <c r="X315" s="179">
        <f t="shared" si="149"/>
        <v>22.266266305843885</v>
      </c>
      <c r="Y315" s="179">
        <f t="shared" si="150"/>
        <v>20.547011184053716</v>
      </c>
      <c r="Z315" s="179">
        <f t="shared" si="151"/>
        <v>28.058210334046613</v>
      </c>
      <c r="AA315" s="179">
        <f t="shared" si="152"/>
        <v>35.294972616644372</v>
      </c>
      <c r="AB315" s="179">
        <f t="shared" si="153"/>
        <v>21.193150505914236</v>
      </c>
      <c r="AC315" s="179">
        <f t="shared" si="154"/>
        <v>9.8754907856627838</v>
      </c>
      <c r="AD315" s="179">
        <f t="shared" si="155"/>
        <v>8.0131168259127072</v>
      </c>
      <c r="AE315" s="179">
        <f t="shared" si="156"/>
        <v>4.8894439211700886</v>
      </c>
      <c r="AF315" s="179">
        <f t="shared" si="157"/>
        <v>6.7685980925736642</v>
      </c>
    </row>
    <row r="316" spans="2:32">
      <c r="B316" s="122">
        <f t="shared" si="144"/>
        <v>84141037</v>
      </c>
      <c r="C316" s="122" t="str">
        <f>VLOOKUP($B316,'Tech Litons'!$A:$I,3,0)</f>
        <v>2.4 Gal</v>
      </c>
      <c r="D316" s="122" t="str">
        <f>VLOOKUP($B316,'Tech Litons'!$A:$I,4,0)</f>
        <v>2.4 Gal</v>
      </c>
      <c r="E316" s="1021" t="s">
        <v>377</v>
      </c>
      <c r="F316" s="1021">
        <v>84141037</v>
      </c>
      <c r="G316" s="1023">
        <v>959</v>
      </c>
      <c r="H316" s="1023">
        <v>763</v>
      </c>
      <c r="I316" s="1023">
        <v>2886.877472527689</v>
      </c>
      <c r="J316" s="1023">
        <v>2991.3783968781117</v>
      </c>
      <c r="K316" s="1023">
        <v>2772.3229898240243</v>
      </c>
      <c r="L316" s="1023">
        <v>3900.8714930914439</v>
      </c>
      <c r="M316" s="1023">
        <v>4855.4935587062473</v>
      </c>
      <c r="N316" s="1023">
        <v>2934.8455950912453</v>
      </c>
      <c r="O316" s="1023">
        <v>1545.279492724319</v>
      </c>
      <c r="P316" s="1023">
        <v>1161.9488915359607</v>
      </c>
      <c r="Q316" s="1023">
        <v>769.81957451337053</v>
      </c>
      <c r="R316" s="1023">
        <v>898.61927595156226</v>
      </c>
      <c r="S316" s="169">
        <f t="shared" si="145"/>
        <v>26439.456740843976</v>
      </c>
      <c r="T316" s="122">
        <f>VLOOKUP($B316,'Tech Litons'!$A:$I,9,0)</f>
        <v>125</v>
      </c>
      <c r="U316" s="179">
        <f t="shared" si="146"/>
        <v>7.6719999999999997</v>
      </c>
      <c r="V316" s="179">
        <f t="shared" si="147"/>
        <v>6.1040000000000001</v>
      </c>
      <c r="W316" s="179">
        <f t="shared" si="148"/>
        <v>23.095019780221513</v>
      </c>
      <c r="X316" s="179">
        <f t="shared" si="149"/>
        <v>23.931027175024894</v>
      </c>
      <c r="Y316" s="179">
        <f t="shared" si="150"/>
        <v>22.178583918592196</v>
      </c>
      <c r="Z316" s="179">
        <f t="shared" si="151"/>
        <v>31.206971944731553</v>
      </c>
      <c r="AA316" s="179">
        <f t="shared" si="152"/>
        <v>38.84394846964998</v>
      </c>
      <c r="AB316" s="179">
        <f t="shared" si="153"/>
        <v>23.478764760729963</v>
      </c>
      <c r="AC316" s="179">
        <f t="shared" si="154"/>
        <v>12.362235941794552</v>
      </c>
      <c r="AD316" s="179">
        <f t="shared" si="155"/>
        <v>9.2955911322876847</v>
      </c>
      <c r="AE316" s="179">
        <f t="shared" si="156"/>
        <v>6.1585565961069646</v>
      </c>
      <c r="AF316" s="179">
        <f t="shared" si="157"/>
        <v>7.1889542076124977</v>
      </c>
    </row>
    <row r="317" spans="2:32">
      <c r="B317" s="122">
        <f t="shared" si="144"/>
        <v>68860067</v>
      </c>
      <c r="C317" s="122" t="str">
        <f>VLOOKUP($B317,'Tech Litons'!$A:$I,3,0)</f>
        <v>Talenti</v>
      </c>
      <c r="D317" s="122" t="str">
        <f>VLOOKUP($B317,'Tech Litons'!$A:$I,4,0)</f>
        <v>Talenti</v>
      </c>
      <c r="E317" s="1022" t="s">
        <v>930</v>
      </c>
      <c r="F317" s="1022">
        <v>68860067</v>
      </c>
      <c r="G317" s="1025">
        <v>135</v>
      </c>
      <c r="H317" s="1025">
        <v>90</v>
      </c>
      <c r="I317" s="1025">
        <v>531.53524720592952</v>
      </c>
      <c r="J317" s="1025">
        <v>942.17600186987863</v>
      </c>
      <c r="K317" s="1025">
        <v>1518.620909415753</v>
      </c>
      <c r="L317" s="1025">
        <v>1269.0033545235251</v>
      </c>
      <c r="M317" s="1025">
        <v>1277.0427961701575</v>
      </c>
      <c r="N317" s="1025">
        <v>7934.6955710875236</v>
      </c>
      <c r="O317" s="1025">
        <v>4806.2481368947783</v>
      </c>
      <c r="P317" s="1025">
        <v>3358.050135600964</v>
      </c>
      <c r="Q317" s="1025">
        <v>3282.8740981650762</v>
      </c>
      <c r="R317" s="1025">
        <v>641.63744162775652</v>
      </c>
      <c r="S317" s="169">
        <f t="shared" si="145"/>
        <v>25786.883692561343</v>
      </c>
      <c r="T317" s="122">
        <f>VLOOKUP($B317,'Tech Litons'!$A:$I,9,0)</f>
        <v>255</v>
      </c>
      <c r="U317" s="179">
        <f t="shared" si="146"/>
        <v>0.52941176470588236</v>
      </c>
      <c r="V317" s="179">
        <f t="shared" si="147"/>
        <v>0.35294117647058826</v>
      </c>
      <c r="W317" s="179">
        <f t="shared" si="148"/>
        <v>2.0844519498271747</v>
      </c>
      <c r="X317" s="179">
        <f t="shared" si="149"/>
        <v>3.6948078504701121</v>
      </c>
      <c r="Y317" s="179">
        <f t="shared" si="150"/>
        <v>5.955376115355894</v>
      </c>
      <c r="Z317" s="179">
        <f t="shared" si="151"/>
        <v>4.9764837432295099</v>
      </c>
      <c r="AA317" s="179">
        <f t="shared" si="152"/>
        <v>5.0080109653731668</v>
      </c>
      <c r="AB317" s="179">
        <f t="shared" si="153"/>
        <v>31.116453219951072</v>
      </c>
      <c r="AC317" s="179">
        <f t="shared" si="154"/>
        <v>18.848031909391288</v>
      </c>
      <c r="AD317" s="179">
        <f t="shared" si="155"/>
        <v>13.168824061180251</v>
      </c>
      <c r="AE317" s="179">
        <f t="shared" si="156"/>
        <v>12.874016071235593</v>
      </c>
      <c r="AF317" s="179">
        <f t="shared" si="157"/>
        <v>2.5162252612853195</v>
      </c>
    </row>
    <row r="318" spans="2:32">
      <c r="B318" s="122">
        <f t="shared" si="144"/>
        <v>84139971</v>
      </c>
      <c r="C318" s="122" t="str">
        <f>VLOOKUP($B318,'Tech Litons'!$A:$I,3,0)</f>
        <v>2.4 Gal</v>
      </c>
      <c r="D318" s="122" t="str">
        <f>VLOOKUP($B318,'Tech Litons'!$A:$I,4,0)</f>
        <v>2.4 Gal</v>
      </c>
      <c r="E318" s="1021" t="s">
        <v>391</v>
      </c>
      <c r="F318" s="1021">
        <v>84139971</v>
      </c>
      <c r="G318" s="1023">
        <v>740</v>
      </c>
      <c r="H318" s="1023">
        <v>932</v>
      </c>
      <c r="I318" s="1023">
        <v>2147.7129345782519</v>
      </c>
      <c r="J318" s="1023">
        <v>2067.1478114042661</v>
      </c>
      <c r="K318" s="1023">
        <v>1885.6019022973519</v>
      </c>
      <c r="L318" s="1023">
        <v>2601.0440081386637</v>
      </c>
      <c r="M318" s="1023">
        <v>3438.2009523800789</v>
      </c>
      <c r="N318" s="1023">
        <v>2277.6078470742755</v>
      </c>
      <c r="O318" s="1023">
        <v>1249.7202193364631</v>
      </c>
      <c r="P318" s="1023">
        <v>858.016908766803</v>
      </c>
      <c r="Q318" s="1023">
        <v>766.75778163685595</v>
      </c>
      <c r="R318" s="1023">
        <v>599.09294751715402</v>
      </c>
      <c r="S318" s="169">
        <f t="shared" si="145"/>
        <v>19562.903313130169</v>
      </c>
      <c r="T318" s="122">
        <f>VLOOKUP($B318,'Tech Litons'!$A:$I,9,0)</f>
        <v>125</v>
      </c>
      <c r="U318" s="179">
        <f t="shared" si="146"/>
        <v>5.92</v>
      </c>
      <c r="V318" s="179">
        <f t="shared" si="147"/>
        <v>7.4560000000000004</v>
      </c>
      <c r="W318" s="179">
        <f t="shared" si="148"/>
        <v>17.181703476626016</v>
      </c>
      <c r="X318" s="179">
        <f t="shared" si="149"/>
        <v>16.53718249123413</v>
      </c>
      <c r="Y318" s="179">
        <f t="shared" si="150"/>
        <v>15.084815218378814</v>
      </c>
      <c r="Z318" s="179">
        <f t="shared" si="151"/>
        <v>20.808352065109311</v>
      </c>
      <c r="AA318" s="179">
        <f t="shared" si="152"/>
        <v>27.505607619040632</v>
      </c>
      <c r="AB318" s="179">
        <f t="shared" si="153"/>
        <v>18.220862776594203</v>
      </c>
      <c r="AC318" s="179">
        <f t="shared" si="154"/>
        <v>9.9977617546917052</v>
      </c>
      <c r="AD318" s="179">
        <f t="shared" si="155"/>
        <v>6.8641352701344243</v>
      </c>
      <c r="AE318" s="179">
        <f t="shared" si="156"/>
        <v>6.1340622530948474</v>
      </c>
      <c r="AF318" s="179">
        <f t="shared" si="157"/>
        <v>4.7927435801372322</v>
      </c>
    </row>
    <row r="319" spans="2:32">
      <c r="B319" s="122">
        <f t="shared" si="144"/>
        <v>68860397</v>
      </c>
      <c r="C319" s="122" t="str">
        <f>VLOOKUP($B319,'Tech Litons'!$A:$I,3,0)</f>
        <v>TALENTI</v>
      </c>
      <c r="D319" s="122" t="str">
        <f>VLOOKUP($B319,'Tech Litons'!$A:$I,4,0)</f>
        <v>TALENTI</v>
      </c>
      <c r="E319" s="1021" t="s">
        <v>559</v>
      </c>
      <c r="F319" s="1021">
        <v>68860397</v>
      </c>
      <c r="G319" s="1023">
        <v>765</v>
      </c>
      <c r="H319" s="1023">
        <v>75</v>
      </c>
      <c r="I319" s="1023">
        <v>343.60300747883809</v>
      </c>
      <c r="J319" s="1023">
        <v>725.83137360448939</v>
      </c>
      <c r="K319" s="1023">
        <v>127.99242955458583</v>
      </c>
      <c r="L319" s="1023">
        <v>0</v>
      </c>
      <c r="M319" s="1023">
        <v>735.64070638139947</v>
      </c>
      <c r="N319" s="1023">
        <v>2987.0117697066844</v>
      </c>
      <c r="O319" s="1023">
        <v>5133.3168805318983</v>
      </c>
      <c r="P319" s="1023">
        <v>5288.1657355305888</v>
      </c>
      <c r="Q319" s="1023">
        <v>6673.6022667810903</v>
      </c>
      <c r="R319" s="1023">
        <v>1328.5402756458252</v>
      </c>
      <c r="S319" s="169">
        <f t="shared" si="145"/>
        <v>24183.704445215397</v>
      </c>
      <c r="T319" s="122">
        <f>VLOOKUP($B319,'Tech Litons'!$A:$I,9,0)</f>
        <v>255</v>
      </c>
      <c r="U319" s="179">
        <f t="shared" si="146"/>
        <v>3</v>
      </c>
      <c r="V319" s="179">
        <f t="shared" si="147"/>
        <v>0.29411764705882354</v>
      </c>
      <c r="W319" s="179">
        <f t="shared" si="148"/>
        <v>1.3474627744268159</v>
      </c>
      <c r="X319" s="179">
        <f t="shared" si="149"/>
        <v>2.8463975435470172</v>
      </c>
      <c r="Y319" s="179">
        <f t="shared" si="150"/>
        <v>0.50193109629249344</v>
      </c>
      <c r="Z319" s="179">
        <f t="shared" si="151"/>
        <v>0</v>
      </c>
      <c r="AA319" s="179">
        <f t="shared" si="152"/>
        <v>2.8848655152211742</v>
      </c>
      <c r="AB319" s="179">
        <f t="shared" si="153"/>
        <v>11.713771645908567</v>
      </c>
      <c r="AC319" s="179">
        <f t="shared" si="154"/>
        <v>20.130654433458425</v>
      </c>
      <c r="AD319" s="179">
        <f t="shared" si="155"/>
        <v>20.737904845217994</v>
      </c>
      <c r="AE319" s="179">
        <f t="shared" si="156"/>
        <v>26.170989281494471</v>
      </c>
      <c r="AF319" s="179">
        <f t="shared" si="157"/>
        <v>5.2099618652777462</v>
      </c>
    </row>
    <row r="320" spans="2:32">
      <c r="B320" s="122">
        <f t="shared" si="144"/>
        <v>84138347</v>
      </c>
      <c r="C320" s="122" t="str">
        <f>VLOOKUP($B320,'Tech Litons'!$A:$I,3,0)</f>
        <v>2.4 Gal</v>
      </c>
      <c r="D320" s="122" t="str">
        <f>VLOOKUP($B320,'Tech Litons'!$A:$I,4,0)</f>
        <v>2.4 Gal</v>
      </c>
      <c r="E320" s="1021" t="s">
        <v>476</v>
      </c>
      <c r="F320" s="1021">
        <v>84138347</v>
      </c>
      <c r="G320" s="1023">
        <v>478</v>
      </c>
      <c r="H320" s="1023">
        <v>813</v>
      </c>
      <c r="I320" s="1023">
        <v>1906.9039984278454</v>
      </c>
      <c r="J320" s="1023">
        <v>1883.2316664160662</v>
      </c>
      <c r="K320" s="1023">
        <v>1719.5585698810403</v>
      </c>
      <c r="L320" s="1023">
        <v>2346.0013398434953</v>
      </c>
      <c r="M320" s="1023">
        <v>3019.9652291881357</v>
      </c>
      <c r="N320" s="1023">
        <v>2033.7687197011862</v>
      </c>
      <c r="O320" s="1023">
        <v>1274.2395724687622</v>
      </c>
      <c r="P320" s="1023">
        <v>900.75857394330933</v>
      </c>
      <c r="Q320" s="1023">
        <v>669.3970795403543</v>
      </c>
      <c r="R320" s="1023">
        <v>695.30400655238338</v>
      </c>
      <c r="S320" s="169">
        <f t="shared" si="145"/>
        <v>17740.128755962574</v>
      </c>
      <c r="T320" s="122">
        <f>VLOOKUP($B320,'Tech Litons'!$A:$I,9,0)</f>
        <v>125</v>
      </c>
      <c r="U320" s="179">
        <f t="shared" si="146"/>
        <v>3.8239999999999998</v>
      </c>
      <c r="V320" s="179">
        <f t="shared" si="147"/>
        <v>6.5039999999999996</v>
      </c>
      <c r="W320" s="179">
        <f t="shared" si="148"/>
        <v>15.255231987422762</v>
      </c>
      <c r="X320" s="179">
        <f t="shared" si="149"/>
        <v>15.06585333132853</v>
      </c>
      <c r="Y320" s="179">
        <f t="shared" si="150"/>
        <v>13.756468559048322</v>
      </c>
      <c r="Z320" s="179">
        <f t="shared" si="151"/>
        <v>18.768010718747963</v>
      </c>
      <c r="AA320" s="179">
        <f t="shared" si="152"/>
        <v>24.159721833505085</v>
      </c>
      <c r="AB320" s="179">
        <f t="shared" si="153"/>
        <v>16.270149757609492</v>
      </c>
      <c r="AC320" s="179">
        <f t="shared" si="154"/>
        <v>10.193916579750097</v>
      </c>
      <c r="AD320" s="179">
        <f t="shared" si="155"/>
        <v>7.2060685915464751</v>
      </c>
      <c r="AE320" s="179">
        <f t="shared" si="156"/>
        <v>5.3551766363228346</v>
      </c>
      <c r="AF320" s="179">
        <f t="shared" si="157"/>
        <v>5.5624320524190667</v>
      </c>
    </row>
    <row r="321" spans="2:32">
      <c r="B321" s="122">
        <f t="shared" si="144"/>
        <v>84137721</v>
      </c>
      <c r="C321" s="122" t="str">
        <f>VLOOKUP($B321,'Tech Litons'!$A:$I,3,0)</f>
        <v>2.4 Gal</v>
      </c>
      <c r="D321" s="122" t="str">
        <f>VLOOKUP($B321,'Tech Litons'!$A:$I,4,0)</f>
        <v>2.4 Gal</v>
      </c>
      <c r="E321" s="1021" t="s">
        <v>475</v>
      </c>
      <c r="F321" s="1021">
        <v>84137721</v>
      </c>
      <c r="G321" s="1023">
        <v>539</v>
      </c>
      <c r="H321" s="1023">
        <v>606</v>
      </c>
      <c r="I321" s="1023">
        <v>1825.9880160060532</v>
      </c>
      <c r="J321" s="1023">
        <v>1868.629605986629</v>
      </c>
      <c r="K321" s="1023">
        <v>1641.3161931037559</v>
      </c>
      <c r="L321" s="1023">
        <v>2155.6377267419666</v>
      </c>
      <c r="M321" s="1023">
        <v>2719.0170611607632</v>
      </c>
      <c r="N321" s="1023">
        <v>1782.1508389069568</v>
      </c>
      <c r="O321" s="1023">
        <v>1126.1994253733631</v>
      </c>
      <c r="P321" s="1023">
        <v>755.85118620639685</v>
      </c>
      <c r="Q321" s="1023">
        <v>637.46965504148159</v>
      </c>
      <c r="R321" s="1023">
        <v>634.20800221133504</v>
      </c>
      <c r="S321" s="169">
        <f t="shared" si="145"/>
        <v>16291.4677107387</v>
      </c>
      <c r="T321" s="122">
        <f>VLOOKUP($B321,'Tech Litons'!$A:$I,9,0)</f>
        <v>125</v>
      </c>
      <c r="U321" s="179">
        <f t="shared" si="146"/>
        <v>4.3120000000000003</v>
      </c>
      <c r="V321" s="179">
        <f t="shared" si="147"/>
        <v>4.8479999999999999</v>
      </c>
      <c r="W321" s="179">
        <f t="shared" si="148"/>
        <v>14.607904128048425</v>
      </c>
      <c r="X321" s="179">
        <f t="shared" si="149"/>
        <v>14.949036847893032</v>
      </c>
      <c r="Y321" s="179">
        <f t="shared" si="150"/>
        <v>13.130529544830047</v>
      </c>
      <c r="Z321" s="179">
        <f t="shared" si="151"/>
        <v>17.245101813935733</v>
      </c>
      <c r="AA321" s="179">
        <f t="shared" si="152"/>
        <v>21.752136489286105</v>
      </c>
      <c r="AB321" s="179">
        <f t="shared" si="153"/>
        <v>14.257206711255654</v>
      </c>
      <c r="AC321" s="179">
        <f t="shared" si="154"/>
        <v>9.0095954029869052</v>
      </c>
      <c r="AD321" s="179">
        <f t="shared" si="155"/>
        <v>6.0468094896511744</v>
      </c>
      <c r="AE321" s="179">
        <f t="shared" si="156"/>
        <v>5.0997572403318525</v>
      </c>
      <c r="AF321" s="179">
        <f t="shared" si="157"/>
        <v>5.07366401769068</v>
      </c>
    </row>
    <row r="322" spans="2:32">
      <c r="B322" s="122">
        <f t="shared" si="144"/>
        <v>67825198</v>
      </c>
      <c r="C322" s="122" t="str">
        <f>VLOOKUP($B322,'Tech Litons'!$A:$I,3,0)</f>
        <v>2.4 Gal</v>
      </c>
      <c r="D322" s="122" t="str">
        <f>VLOOKUP($B322,'Tech Litons'!$A:$I,4,0)</f>
        <v>2.4 Gal</v>
      </c>
      <c r="E322" s="1021" t="s">
        <v>470</v>
      </c>
      <c r="F322" s="1021">
        <v>67825198</v>
      </c>
      <c r="G322" s="1023">
        <v>733</v>
      </c>
      <c r="H322" s="1023">
        <v>1203</v>
      </c>
      <c r="I322" s="1023">
        <v>1875.7932330836122</v>
      </c>
      <c r="J322" s="1023">
        <v>1739.4659879342778</v>
      </c>
      <c r="K322" s="1023">
        <v>1575.980560895832</v>
      </c>
      <c r="L322" s="1023">
        <v>2187.3110111568822</v>
      </c>
      <c r="M322" s="1023">
        <v>2946.1947504453383</v>
      </c>
      <c r="N322" s="1023">
        <v>1729.5214887121535</v>
      </c>
      <c r="O322" s="1023">
        <v>921.37758472433006</v>
      </c>
      <c r="P322" s="1023">
        <v>876.06158854427304</v>
      </c>
      <c r="Q322" s="1023">
        <v>595.77511731455479</v>
      </c>
      <c r="R322" s="1023">
        <v>745.54528838049407</v>
      </c>
      <c r="S322" s="169">
        <f t="shared" si="145"/>
        <v>17129.026611191748</v>
      </c>
      <c r="T322" s="122">
        <f>VLOOKUP($B322,'Tech Litons'!$A:$I,9,0)</f>
        <v>125</v>
      </c>
      <c r="U322" s="179">
        <f t="shared" si="146"/>
        <v>5.8639999999999999</v>
      </c>
      <c r="V322" s="179">
        <f t="shared" si="147"/>
        <v>9.6240000000000006</v>
      </c>
      <c r="W322" s="179">
        <f t="shared" si="148"/>
        <v>15.006345864668898</v>
      </c>
      <c r="X322" s="179">
        <f t="shared" si="149"/>
        <v>13.915727903474222</v>
      </c>
      <c r="Y322" s="179">
        <f t="shared" si="150"/>
        <v>12.607844487166656</v>
      </c>
      <c r="Z322" s="179">
        <f t="shared" si="151"/>
        <v>17.498488089255058</v>
      </c>
      <c r="AA322" s="179">
        <f t="shared" si="152"/>
        <v>23.569558003562705</v>
      </c>
      <c r="AB322" s="179">
        <f t="shared" si="153"/>
        <v>13.836171909697228</v>
      </c>
      <c r="AC322" s="179">
        <f t="shared" si="154"/>
        <v>7.3710206777946405</v>
      </c>
      <c r="AD322" s="179">
        <f t="shared" si="155"/>
        <v>7.0084927083541846</v>
      </c>
      <c r="AE322" s="179">
        <f t="shared" si="156"/>
        <v>4.7662009385164383</v>
      </c>
      <c r="AF322" s="179">
        <f t="shared" si="157"/>
        <v>5.9643623070439524</v>
      </c>
    </row>
    <row r="323" spans="2:32">
      <c r="B323" s="122">
        <f t="shared" si="144"/>
        <v>68354578</v>
      </c>
      <c r="C323" s="122" t="str">
        <f>VLOOKUP($B323,'Tech Litons'!$A:$I,3,0)</f>
        <v>2.4 Gal</v>
      </c>
      <c r="D323" s="122" t="str">
        <f>VLOOKUP($B323,'Tech Litons'!$A:$I,4,0)</f>
        <v>2.4 Gal</v>
      </c>
      <c r="E323" s="1021" t="s">
        <v>398</v>
      </c>
      <c r="F323" s="1021">
        <v>68354578</v>
      </c>
      <c r="G323" s="1023">
        <v>948</v>
      </c>
      <c r="H323" s="1023">
        <v>1141</v>
      </c>
      <c r="I323" s="1023">
        <v>2250.1367459212424</v>
      </c>
      <c r="J323" s="1023">
        <v>2164.8002277739188</v>
      </c>
      <c r="K323" s="1023">
        <v>1989.4421597353917</v>
      </c>
      <c r="L323" s="1023">
        <v>2694.7710241268146</v>
      </c>
      <c r="M323" s="1023">
        <v>3422.2554337937672</v>
      </c>
      <c r="N323" s="1023">
        <v>2220.3271708060993</v>
      </c>
      <c r="O323" s="1023">
        <v>1197.1721214877982</v>
      </c>
      <c r="P323" s="1023">
        <v>982.70899042998826</v>
      </c>
      <c r="Q323" s="1023">
        <v>667.50831942210368</v>
      </c>
      <c r="R323" s="1023">
        <v>797.66040731043563</v>
      </c>
      <c r="S323" s="169">
        <f t="shared" si="145"/>
        <v>20475.782600807557</v>
      </c>
      <c r="T323" s="122">
        <f>VLOOKUP($B323,'Tech Litons'!$A:$I,9,0)</f>
        <v>125</v>
      </c>
      <c r="U323" s="179">
        <f t="shared" si="146"/>
        <v>7.5839999999999996</v>
      </c>
      <c r="V323" s="179">
        <f t="shared" si="147"/>
        <v>9.1280000000000001</v>
      </c>
      <c r="W323" s="179">
        <f t="shared" si="148"/>
        <v>18.00109396736994</v>
      </c>
      <c r="X323" s="179">
        <f t="shared" si="149"/>
        <v>17.318401822191351</v>
      </c>
      <c r="Y323" s="179">
        <f t="shared" si="150"/>
        <v>15.915537277883134</v>
      </c>
      <c r="Z323" s="179">
        <f t="shared" si="151"/>
        <v>21.558168193014517</v>
      </c>
      <c r="AA323" s="179">
        <f t="shared" si="152"/>
        <v>27.378043470350139</v>
      </c>
      <c r="AB323" s="179">
        <f t="shared" si="153"/>
        <v>17.762617366448794</v>
      </c>
      <c r="AC323" s="179">
        <f t="shared" si="154"/>
        <v>9.5773769719023853</v>
      </c>
      <c r="AD323" s="179">
        <f t="shared" si="155"/>
        <v>7.8616719234399062</v>
      </c>
      <c r="AE323" s="179">
        <f t="shared" si="156"/>
        <v>5.3400665553768292</v>
      </c>
      <c r="AF323" s="179">
        <f t="shared" si="157"/>
        <v>6.3812832584834851</v>
      </c>
    </row>
    <row r="324" spans="2:32">
      <c r="B324" s="122">
        <f t="shared" si="144"/>
        <v>84139000</v>
      </c>
      <c r="C324" s="122" t="str">
        <f>VLOOKUP($B324,'Tech Litons'!$A:$I,3,0)</f>
        <v>2.4 Gal</v>
      </c>
      <c r="D324" s="122" t="str">
        <f>VLOOKUP($B324,'Tech Litons'!$A:$I,4,0)</f>
        <v>2.4 Gal</v>
      </c>
      <c r="E324" s="1021" t="s">
        <v>373</v>
      </c>
      <c r="F324" s="1021">
        <v>84139000</v>
      </c>
      <c r="G324" s="1023">
        <v>824</v>
      </c>
      <c r="H324" s="1023">
        <v>921</v>
      </c>
      <c r="I324" s="1023">
        <v>1984.0332192024021</v>
      </c>
      <c r="J324" s="1023">
        <v>1953.6301119123555</v>
      </c>
      <c r="K324" s="1023">
        <v>1758.9092131210764</v>
      </c>
      <c r="L324" s="1023">
        <v>2477.665576122452</v>
      </c>
      <c r="M324" s="1023">
        <v>3132.6050853083761</v>
      </c>
      <c r="N324" s="1023">
        <v>1908.9276658288506</v>
      </c>
      <c r="O324" s="1023">
        <v>1208.320885307968</v>
      </c>
      <c r="P324" s="1023">
        <v>1003.8787786782509</v>
      </c>
      <c r="Q324" s="1023">
        <v>743.6385900313212</v>
      </c>
      <c r="R324" s="1023">
        <v>773.29235031675137</v>
      </c>
      <c r="S324" s="169">
        <f t="shared" si="145"/>
        <v>18689.901475829807</v>
      </c>
      <c r="T324" s="122">
        <f>VLOOKUP($B324,'Tech Litons'!$A:$I,9,0)</f>
        <v>125</v>
      </c>
      <c r="U324" s="179">
        <f t="shared" si="146"/>
        <v>6.5919999999999996</v>
      </c>
      <c r="V324" s="179">
        <f t="shared" si="147"/>
        <v>7.3680000000000003</v>
      </c>
      <c r="W324" s="179">
        <f t="shared" si="148"/>
        <v>15.872265753619216</v>
      </c>
      <c r="X324" s="179">
        <f t="shared" si="149"/>
        <v>15.629040895298843</v>
      </c>
      <c r="Y324" s="179">
        <f t="shared" si="150"/>
        <v>14.071273704968611</v>
      </c>
      <c r="Z324" s="179">
        <f t="shared" si="151"/>
        <v>19.821324608979616</v>
      </c>
      <c r="AA324" s="179">
        <f t="shared" si="152"/>
        <v>25.06084068246701</v>
      </c>
      <c r="AB324" s="179">
        <f t="shared" si="153"/>
        <v>15.271421326630804</v>
      </c>
      <c r="AC324" s="179">
        <f t="shared" si="154"/>
        <v>9.6665670824637431</v>
      </c>
      <c r="AD324" s="179">
        <f t="shared" si="155"/>
        <v>8.0310302294260065</v>
      </c>
      <c r="AE324" s="179">
        <f t="shared" si="156"/>
        <v>5.9491087202505692</v>
      </c>
      <c r="AF324" s="179">
        <f t="shared" si="157"/>
        <v>6.1863388025340109</v>
      </c>
    </row>
    <row r="325" spans="2:32">
      <c r="B325" s="122">
        <f t="shared" si="144"/>
        <v>69997338</v>
      </c>
      <c r="C325" s="122" t="str">
        <f>VLOOKUP($B325,'Tech Litons'!$A:$I,3,0)</f>
        <v>2.4 Gal</v>
      </c>
      <c r="D325" s="122" t="str">
        <f>VLOOKUP($B325,'Tech Litons'!$A:$I,4,0)</f>
        <v>2.4 Gal</v>
      </c>
      <c r="E325" s="1021" t="s">
        <v>372</v>
      </c>
      <c r="F325" s="1021">
        <v>69997338</v>
      </c>
      <c r="G325" s="1024">
        <v>532</v>
      </c>
      <c r="H325" s="1023">
        <v>708</v>
      </c>
      <c r="I325" s="1023">
        <v>1711.3714603693813</v>
      </c>
      <c r="J325" s="1023">
        <v>1624.5630384862188</v>
      </c>
      <c r="K325" s="1023">
        <v>1721.8076324110477</v>
      </c>
      <c r="L325" s="1023">
        <v>2011.9801600136984</v>
      </c>
      <c r="M325" s="1023">
        <v>2430.9288572855176</v>
      </c>
      <c r="N325" s="1023">
        <v>1852.1563289651542</v>
      </c>
      <c r="O325" s="1023">
        <v>792.74928827191627</v>
      </c>
      <c r="P325" s="1023">
        <v>728.1000973320472</v>
      </c>
      <c r="Q325" s="1023">
        <v>601.65336502307639</v>
      </c>
      <c r="R325" s="1023">
        <v>453.36639021138012</v>
      </c>
      <c r="S325" s="169">
        <f t="shared" si="145"/>
        <v>15168.676618369438</v>
      </c>
      <c r="T325" s="122">
        <f>VLOOKUP($B325,'Tech Litons'!$A:$I,9,0)</f>
        <v>125</v>
      </c>
      <c r="U325" s="179">
        <f t="shared" si="146"/>
        <v>4.2560000000000002</v>
      </c>
      <c r="V325" s="179">
        <f t="shared" si="147"/>
        <v>5.6639999999999997</v>
      </c>
      <c r="W325" s="179">
        <f t="shared" si="148"/>
        <v>13.69097168295505</v>
      </c>
      <c r="X325" s="179">
        <f t="shared" si="149"/>
        <v>12.996504307889751</v>
      </c>
      <c r="Y325" s="179">
        <f t="shared" si="150"/>
        <v>13.774461059288383</v>
      </c>
      <c r="Z325" s="179">
        <f t="shared" si="151"/>
        <v>16.095841280109589</v>
      </c>
      <c r="AA325" s="179">
        <f t="shared" si="152"/>
        <v>19.44743085828414</v>
      </c>
      <c r="AB325" s="179">
        <f t="shared" si="153"/>
        <v>14.817250631721233</v>
      </c>
      <c r="AC325" s="179">
        <f t="shared" si="154"/>
        <v>6.3419943061753301</v>
      </c>
      <c r="AD325" s="179">
        <f t="shared" si="155"/>
        <v>5.8248007786563774</v>
      </c>
      <c r="AE325" s="179">
        <f t="shared" si="156"/>
        <v>4.8132269201846114</v>
      </c>
      <c r="AF325" s="179">
        <f t="shared" si="157"/>
        <v>3.6269311216910411</v>
      </c>
    </row>
    <row r="326" spans="2:32">
      <c r="B326" s="122">
        <f t="shared" si="144"/>
        <v>64407917</v>
      </c>
      <c r="C326" s="122" t="str">
        <f>VLOOKUP($B326,'Tech Litons'!$A:$I,3,0)</f>
        <v>Repack BJ Pints</v>
      </c>
      <c r="D326" s="122" t="str">
        <f>VLOOKUP($B326,'Tech Litons'!$A:$I,4,0)</f>
        <v>Other</v>
      </c>
      <c r="E326" s="1022" t="s">
        <v>1329</v>
      </c>
      <c r="F326" s="1022">
        <v>64407917</v>
      </c>
      <c r="G326" s="1025">
        <v>0</v>
      </c>
      <c r="H326" s="1025">
        <v>0</v>
      </c>
      <c r="I326" s="1025">
        <v>0</v>
      </c>
      <c r="J326" s="1025">
        <v>0</v>
      </c>
      <c r="K326" s="1025">
        <v>0</v>
      </c>
      <c r="L326" s="1025">
        <v>0</v>
      </c>
      <c r="M326" s="1025">
        <v>0</v>
      </c>
      <c r="N326" s="1025">
        <v>0</v>
      </c>
      <c r="O326" s="1025">
        <v>0</v>
      </c>
      <c r="P326" s="1025">
        <v>0</v>
      </c>
      <c r="Q326" s="1025">
        <v>0</v>
      </c>
      <c r="R326" s="1025">
        <v>0</v>
      </c>
      <c r="S326" s="169">
        <f t="shared" si="145"/>
        <v>0</v>
      </c>
      <c r="T326" s="122">
        <f>VLOOKUP($B326,'Tech Litons'!$A:$I,9,0)</f>
        <v>60</v>
      </c>
      <c r="U326" s="179">
        <f t="shared" si="146"/>
        <v>0</v>
      </c>
      <c r="V326" s="179">
        <f t="shared" si="147"/>
        <v>0</v>
      </c>
      <c r="W326" s="179">
        <f t="shared" si="148"/>
        <v>0</v>
      </c>
      <c r="X326" s="179">
        <f t="shared" si="149"/>
        <v>0</v>
      </c>
      <c r="Y326" s="179">
        <f t="shared" si="150"/>
        <v>0</v>
      </c>
      <c r="Z326" s="179">
        <f t="shared" si="151"/>
        <v>0</v>
      </c>
      <c r="AA326" s="179">
        <f t="shared" si="152"/>
        <v>0</v>
      </c>
      <c r="AB326" s="179">
        <f t="shared" si="153"/>
        <v>0</v>
      </c>
      <c r="AC326" s="179">
        <f t="shared" si="154"/>
        <v>0</v>
      </c>
      <c r="AD326" s="179">
        <f t="shared" si="155"/>
        <v>0</v>
      </c>
      <c r="AE326" s="179">
        <f t="shared" si="156"/>
        <v>0</v>
      </c>
      <c r="AF326" s="179">
        <f t="shared" si="157"/>
        <v>0</v>
      </c>
    </row>
    <row r="327" spans="2:32">
      <c r="B327" s="122">
        <f t="shared" si="144"/>
        <v>84141418</v>
      </c>
      <c r="C327" s="122" t="str">
        <f>VLOOKUP($B327,'Tech Litons'!$A:$I,3,0)</f>
        <v>2.4 Gal</v>
      </c>
      <c r="D327" s="122" t="str">
        <f>VLOOKUP($B327,'Tech Litons'!$A:$I,4,0)</f>
        <v>2.4 Gal</v>
      </c>
      <c r="E327" s="1021" t="s">
        <v>369</v>
      </c>
      <c r="F327" s="1021">
        <v>84141418</v>
      </c>
      <c r="G327" s="1023">
        <v>496</v>
      </c>
      <c r="H327" s="1023">
        <v>518</v>
      </c>
      <c r="I327" s="1023">
        <v>1808.0351748583325</v>
      </c>
      <c r="J327" s="1023">
        <v>1660.2768332079565</v>
      </c>
      <c r="K327" s="1023">
        <v>1533.524707410676</v>
      </c>
      <c r="L327" s="1023">
        <v>1911.1206237500164</v>
      </c>
      <c r="M327" s="1023">
        <v>2509.5569152864255</v>
      </c>
      <c r="N327" s="1023">
        <v>1564.573061851363</v>
      </c>
      <c r="O327" s="1023">
        <v>891.04019331408745</v>
      </c>
      <c r="P327" s="1023">
        <v>615.49735045765146</v>
      </c>
      <c r="Q327" s="1023">
        <v>523.0352887121436</v>
      </c>
      <c r="R327" s="1023">
        <v>548.99046095228323</v>
      </c>
      <c r="S327" s="169">
        <f t="shared" si="145"/>
        <v>14579.650609800938</v>
      </c>
      <c r="T327" s="122">
        <f>VLOOKUP($B327,'Tech Litons'!$A:$I,9,0)</f>
        <v>125</v>
      </c>
      <c r="U327" s="179">
        <f t="shared" si="146"/>
        <v>3.968</v>
      </c>
      <c r="V327" s="179">
        <f t="shared" si="147"/>
        <v>4.1440000000000001</v>
      </c>
      <c r="W327" s="179">
        <f t="shared" si="148"/>
        <v>14.46428139886666</v>
      </c>
      <c r="X327" s="179">
        <f t="shared" si="149"/>
        <v>13.282214665663652</v>
      </c>
      <c r="Y327" s="179">
        <f t="shared" si="150"/>
        <v>12.268197659285407</v>
      </c>
      <c r="Z327" s="179">
        <f t="shared" si="151"/>
        <v>15.288964990000132</v>
      </c>
      <c r="AA327" s="179">
        <f t="shared" si="152"/>
        <v>20.076455322291405</v>
      </c>
      <c r="AB327" s="179">
        <f t="shared" si="153"/>
        <v>12.516584494810905</v>
      </c>
      <c r="AC327" s="179">
        <f t="shared" si="154"/>
        <v>7.1283215465126997</v>
      </c>
      <c r="AD327" s="179">
        <f t="shared" si="155"/>
        <v>4.9239788036612113</v>
      </c>
      <c r="AE327" s="179">
        <f t="shared" si="156"/>
        <v>4.1842823096971484</v>
      </c>
      <c r="AF327" s="179">
        <f t="shared" si="157"/>
        <v>4.3919236876182657</v>
      </c>
    </row>
    <row r="328" spans="2:32">
      <c r="B328" s="122">
        <f t="shared" si="144"/>
        <v>68499787</v>
      </c>
      <c r="C328" s="122" t="str">
        <f>VLOOKUP($B328,'Tech Litons'!$A:$I,3,0)</f>
        <v>2.4 Gal</v>
      </c>
      <c r="D328" s="122" t="str">
        <f>VLOOKUP($B328,'Tech Litons'!$A:$I,4,0)</f>
        <v>2.4 Gal</v>
      </c>
      <c r="E328" s="1021" t="s">
        <v>394</v>
      </c>
      <c r="F328" s="1021">
        <v>68499787</v>
      </c>
      <c r="G328" s="1023">
        <v>886</v>
      </c>
      <c r="H328" s="1023">
        <v>1266</v>
      </c>
      <c r="I328" s="1023">
        <v>2067.3679112498812</v>
      </c>
      <c r="J328" s="1023">
        <v>1904.1937422871247</v>
      </c>
      <c r="K328" s="1023">
        <v>1768.8056227239251</v>
      </c>
      <c r="L328" s="1023">
        <v>2371.3214079482523</v>
      </c>
      <c r="M328" s="1023">
        <v>3167.857694399082</v>
      </c>
      <c r="N328" s="1023">
        <v>1752.4372218080507</v>
      </c>
      <c r="O328" s="1023">
        <v>973.556521561468</v>
      </c>
      <c r="P328" s="1023">
        <v>829.80086307362137</v>
      </c>
      <c r="Q328" s="1023">
        <v>629.36007563326484</v>
      </c>
      <c r="R328" s="1023">
        <v>678.48839194927348</v>
      </c>
      <c r="S328" s="169">
        <f t="shared" si="145"/>
        <v>18295.189452633942</v>
      </c>
      <c r="T328" s="122">
        <f>VLOOKUP($B328,'Tech Litons'!$A:$I,9,0)</f>
        <v>125</v>
      </c>
      <c r="U328" s="179">
        <f t="shared" si="146"/>
        <v>7.0880000000000001</v>
      </c>
      <c r="V328" s="179">
        <f t="shared" si="147"/>
        <v>10.128</v>
      </c>
      <c r="W328" s="179">
        <f t="shared" si="148"/>
        <v>16.53894328999905</v>
      </c>
      <c r="X328" s="179">
        <f t="shared" si="149"/>
        <v>15.233549938296997</v>
      </c>
      <c r="Y328" s="179">
        <f t="shared" si="150"/>
        <v>14.1504449817914</v>
      </c>
      <c r="Z328" s="179">
        <f t="shared" si="151"/>
        <v>18.970571263586017</v>
      </c>
      <c r="AA328" s="179">
        <f t="shared" si="152"/>
        <v>25.342861555192655</v>
      </c>
      <c r="AB328" s="179">
        <f t="shared" si="153"/>
        <v>14.019497774464405</v>
      </c>
      <c r="AC328" s="179">
        <f t="shared" si="154"/>
        <v>7.7884521724917439</v>
      </c>
      <c r="AD328" s="179">
        <f t="shared" si="155"/>
        <v>6.6384069045889706</v>
      </c>
      <c r="AE328" s="179">
        <f t="shared" si="156"/>
        <v>5.0348806050661183</v>
      </c>
      <c r="AF328" s="179">
        <f t="shared" si="157"/>
        <v>5.4279071355941877</v>
      </c>
    </row>
    <row r="329" spans="2:32">
      <c r="B329" s="122">
        <f t="shared" ref="B329:B362" si="158">F329</f>
        <v>68881272</v>
      </c>
      <c r="C329" s="122" t="str">
        <f>VLOOKUP($B329,'Tech Litons'!$A:$I,3,0)</f>
        <v>48oz</v>
      </c>
      <c r="D329" s="122" t="str">
        <f>VLOOKUP($B329,'Tech Litons'!$A:$I,4,0)</f>
        <v>48oz</v>
      </c>
      <c r="E329" s="1021" t="s">
        <v>1013</v>
      </c>
      <c r="F329" s="1021">
        <v>68881272</v>
      </c>
      <c r="G329" s="1023">
        <v>0</v>
      </c>
      <c r="H329" s="1023">
        <v>0</v>
      </c>
      <c r="I329" s="1023">
        <v>0</v>
      </c>
      <c r="J329" s="1023">
        <v>0</v>
      </c>
      <c r="K329" s="1023">
        <v>0</v>
      </c>
      <c r="L329" s="1023">
        <v>0</v>
      </c>
      <c r="M329" s="1023">
        <v>0</v>
      </c>
      <c r="N329" s="1023">
        <v>0</v>
      </c>
      <c r="O329" s="1023">
        <v>0</v>
      </c>
      <c r="P329" s="1023">
        <v>0</v>
      </c>
      <c r="Q329" s="1023">
        <v>0</v>
      </c>
      <c r="R329" s="1023">
        <v>0</v>
      </c>
      <c r="S329" s="169">
        <f t="shared" si="145"/>
        <v>0</v>
      </c>
      <c r="T329" s="122">
        <f>VLOOKUP($B329,'Tech Litons'!$A:$I,9,0)</f>
        <v>154</v>
      </c>
      <c r="U329" s="179">
        <f t="shared" si="146"/>
        <v>0</v>
      </c>
      <c r="V329" s="179">
        <f t="shared" si="147"/>
        <v>0</v>
      </c>
      <c r="W329" s="179">
        <f t="shared" si="148"/>
        <v>0</v>
      </c>
      <c r="X329" s="179">
        <f t="shared" si="149"/>
        <v>0</v>
      </c>
      <c r="Y329" s="179">
        <f t="shared" si="150"/>
        <v>0</v>
      </c>
      <c r="Z329" s="179">
        <f t="shared" si="151"/>
        <v>0</v>
      </c>
      <c r="AA329" s="179">
        <f t="shared" si="152"/>
        <v>0</v>
      </c>
      <c r="AB329" s="179">
        <f t="shared" si="153"/>
        <v>0</v>
      </c>
      <c r="AC329" s="179">
        <f t="shared" si="154"/>
        <v>0</v>
      </c>
      <c r="AD329" s="179">
        <f t="shared" si="155"/>
        <v>0</v>
      </c>
      <c r="AE329" s="179">
        <f t="shared" si="156"/>
        <v>0</v>
      </c>
      <c r="AF329" s="179">
        <f t="shared" si="157"/>
        <v>0</v>
      </c>
    </row>
    <row r="330" spans="2:32">
      <c r="B330" s="122">
        <f t="shared" si="158"/>
        <v>67825196</v>
      </c>
      <c r="C330" s="122" t="str">
        <f>VLOOKUP($B330,'Tech Litons'!$A:$I,3,0)</f>
        <v>2.4 Gal</v>
      </c>
      <c r="D330" s="122" t="str">
        <f>VLOOKUP($B330,'Tech Litons'!$A:$I,4,0)</f>
        <v>2.4 Gal</v>
      </c>
      <c r="E330" s="1021" t="s">
        <v>529</v>
      </c>
      <c r="F330" s="1021">
        <v>67825196</v>
      </c>
      <c r="G330" s="1023">
        <v>670</v>
      </c>
      <c r="H330" s="1023">
        <v>654</v>
      </c>
      <c r="I330" s="1023">
        <v>1479.5645397913534</v>
      </c>
      <c r="J330" s="1023">
        <v>1401.1839358211364</v>
      </c>
      <c r="K330" s="1023">
        <v>1230.7201260393704</v>
      </c>
      <c r="L330" s="1023">
        <v>1707.6842490916115</v>
      </c>
      <c r="M330" s="1023">
        <v>2203.3549533538644</v>
      </c>
      <c r="N330" s="1023">
        <v>1340.8449449274392</v>
      </c>
      <c r="O330" s="1023">
        <v>638.93831603468027</v>
      </c>
      <c r="P330" s="1023">
        <v>618.16104518602322</v>
      </c>
      <c r="Q330" s="1023">
        <v>477.8092382019147</v>
      </c>
      <c r="R330" s="1023">
        <v>480.55637808465877</v>
      </c>
      <c r="S330" s="169">
        <f t="shared" si="145"/>
        <v>12902.817726532052</v>
      </c>
      <c r="T330" s="122">
        <f>VLOOKUP($B330,'Tech Litons'!$A:$I,9,0)</f>
        <v>125</v>
      </c>
      <c r="U330" s="179">
        <f t="shared" si="146"/>
        <v>5.36</v>
      </c>
      <c r="V330" s="179">
        <f t="shared" si="147"/>
        <v>5.2320000000000002</v>
      </c>
      <c r="W330" s="179">
        <f t="shared" si="148"/>
        <v>11.836516318330826</v>
      </c>
      <c r="X330" s="179">
        <f t="shared" si="149"/>
        <v>11.209471486569091</v>
      </c>
      <c r="Y330" s="179">
        <f t="shared" si="150"/>
        <v>9.8457610083149625</v>
      </c>
      <c r="Z330" s="179">
        <f t="shared" si="151"/>
        <v>13.661473992732892</v>
      </c>
      <c r="AA330" s="179">
        <f t="shared" si="152"/>
        <v>17.626839626830915</v>
      </c>
      <c r="AB330" s="179">
        <f t="shared" si="153"/>
        <v>10.726759559419513</v>
      </c>
      <c r="AC330" s="179">
        <f t="shared" si="154"/>
        <v>5.1115065282774426</v>
      </c>
      <c r="AD330" s="179">
        <f t="shared" si="155"/>
        <v>4.9452883614881857</v>
      </c>
      <c r="AE330" s="179">
        <f t="shared" si="156"/>
        <v>3.8224739056153174</v>
      </c>
      <c r="AF330" s="179">
        <f t="shared" si="157"/>
        <v>3.8444510246772703</v>
      </c>
    </row>
    <row r="331" spans="2:32">
      <c r="B331" s="122">
        <f t="shared" si="158"/>
        <v>84138346</v>
      </c>
      <c r="C331" s="122" t="str">
        <f>VLOOKUP($B331,'Tech Litons'!$A:$I,3,0)</f>
        <v>2.4 Gal</v>
      </c>
      <c r="D331" s="122" t="str">
        <f>VLOOKUP($B331,'Tech Litons'!$A:$I,4,0)</f>
        <v>2.4 Gal</v>
      </c>
      <c r="E331" s="1021" t="s">
        <v>499</v>
      </c>
      <c r="F331" s="1021">
        <v>84138346</v>
      </c>
      <c r="G331" s="1023">
        <v>555</v>
      </c>
      <c r="H331" s="1023">
        <v>672</v>
      </c>
      <c r="I331" s="1023">
        <v>1306.3093343764144</v>
      </c>
      <c r="J331" s="1023">
        <v>1270.3712294395129</v>
      </c>
      <c r="K331" s="1023">
        <v>1157.3545950614493</v>
      </c>
      <c r="L331" s="1023">
        <v>1532.3897225410931</v>
      </c>
      <c r="M331" s="1023">
        <v>1968.8288080644954</v>
      </c>
      <c r="N331" s="1023">
        <v>1317.2126273191868</v>
      </c>
      <c r="O331" s="1023">
        <v>813.26912017595873</v>
      </c>
      <c r="P331" s="1023">
        <v>495.35003302514468</v>
      </c>
      <c r="Q331" s="1023">
        <v>372.237600602003</v>
      </c>
      <c r="R331" s="1023">
        <v>458.22021030380512</v>
      </c>
      <c r="S331" s="169">
        <f t="shared" si="145"/>
        <v>11918.543280909063</v>
      </c>
      <c r="T331" s="122">
        <f>VLOOKUP($B331,'Tech Litons'!$A:$I,9,0)</f>
        <v>125</v>
      </c>
      <c r="U331" s="179">
        <f t="shared" si="146"/>
        <v>4.4400000000000004</v>
      </c>
      <c r="V331" s="179">
        <f t="shared" si="147"/>
        <v>5.3760000000000003</v>
      </c>
      <c r="W331" s="179">
        <f t="shared" si="148"/>
        <v>10.450474675011316</v>
      </c>
      <c r="X331" s="179">
        <f t="shared" si="149"/>
        <v>10.162969835516103</v>
      </c>
      <c r="Y331" s="179">
        <f t="shared" si="150"/>
        <v>9.2588367604915955</v>
      </c>
      <c r="Z331" s="179">
        <f t="shared" si="151"/>
        <v>12.259117780328745</v>
      </c>
      <c r="AA331" s="179">
        <f t="shared" si="152"/>
        <v>15.750630464515963</v>
      </c>
      <c r="AB331" s="179">
        <f t="shared" si="153"/>
        <v>10.537701018553495</v>
      </c>
      <c r="AC331" s="179">
        <f t="shared" si="154"/>
        <v>6.5061529614076701</v>
      </c>
      <c r="AD331" s="179">
        <f t="shared" si="155"/>
        <v>3.9628002642011575</v>
      </c>
      <c r="AE331" s="179">
        <f t="shared" si="156"/>
        <v>2.977900804816024</v>
      </c>
      <c r="AF331" s="179">
        <f t="shared" si="157"/>
        <v>3.6657616824304409</v>
      </c>
    </row>
    <row r="332" spans="2:32">
      <c r="B332" s="122">
        <f t="shared" si="158"/>
        <v>84139972</v>
      </c>
      <c r="C332" s="122" t="str">
        <f>VLOOKUP($B332,'Tech Litons'!$A:$I,3,0)</f>
        <v>2.4 Gal</v>
      </c>
      <c r="D332" s="122" t="str">
        <f>VLOOKUP($B332,'Tech Litons'!$A:$I,4,0)</f>
        <v>2.4 Gal</v>
      </c>
      <c r="E332" s="1021" t="s">
        <v>540</v>
      </c>
      <c r="F332" s="1021">
        <v>84139972</v>
      </c>
      <c r="G332" s="1023">
        <v>591</v>
      </c>
      <c r="H332" s="1023">
        <v>338</v>
      </c>
      <c r="I332" s="1023">
        <v>908.87</v>
      </c>
      <c r="J332" s="1023">
        <v>1061.02</v>
      </c>
      <c r="K332" s="1023">
        <v>1246.5899999999999</v>
      </c>
      <c r="L332" s="1023">
        <v>1534.86</v>
      </c>
      <c r="M332" s="1023">
        <v>1482.01</v>
      </c>
      <c r="N332" s="1023">
        <v>1123.28</v>
      </c>
      <c r="O332" s="1023">
        <v>753.86</v>
      </c>
      <c r="P332" s="1023">
        <v>634.73</v>
      </c>
      <c r="Q332" s="1023">
        <v>303.01</v>
      </c>
      <c r="R332" s="1023">
        <v>226.45</v>
      </c>
      <c r="S332" s="169">
        <f t="shared" si="145"/>
        <v>10203.68</v>
      </c>
      <c r="T332" s="122">
        <f>VLOOKUP($B332,'Tech Litons'!$A:$I,9,0)</f>
        <v>125</v>
      </c>
      <c r="U332" s="179">
        <f t="shared" si="146"/>
        <v>4.7279999999999998</v>
      </c>
      <c r="V332" s="179">
        <f t="shared" si="147"/>
        <v>2.7040000000000002</v>
      </c>
      <c r="W332" s="179">
        <f t="shared" si="148"/>
        <v>7.2709599999999996</v>
      </c>
      <c r="X332" s="179">
        <f t="shared" si="149"/>
        <v>8.4881600000000006</v>
      </c>
      <c r="Y332" s="179">
        <f t="shared" si="150"/>
        <v>9.9727199999999989</v>
      </c>
      <c r="Z332" s="179">
        <f t="shared" si="151"/>
        <v>12.278879999999999</v>
      </c>
      <c r="AA332" s="179">
        <f t="shared" si="152"/>
        <v>11.85608</v>
      </c>
      <c r="AB332" s="179">
        <f t="shared" si="153"/>
        <v>8.9862400000000004</v>
      </c>
      <c r="AC332" s="179">
        <f t="shared" si="154"/>
        <v>6.0308799999999998</v>
      </c>
      <c r="AD332" s="179">
        <f t="shared" si="155"/>
        <v>5.0778400000000001</v>
      </c>
      <c r="AE332" s="179">
        <f t="shared" si="156"/>
        <v>2.42408</v>
      </c>
      <c r="AF332" s="179">
        <f t="shared" si="157"/>
        <v>1.8115999999999999</v>
      </c>
    </row>
    <row r="333" spans="2:32">
      <c r="B333" s="122">
        <f t="shared" si="158"/>
        <v>64924302</v>
      </c>
      <c r="C333" s="122" t="str">
        <f>VLOOKUP($B333,'Tech Litons'!$A:$I,3,0)</f>
        <v>2.4 Gal</v>
      </c>
      <c r="D333" s="122" t="str">
        <f>VLOOKUP($B333,'Tech Litons'!$A:$I,4,0)</f>
        <v>2.4 Gal</v>
      </c>
      <c r="E333" s="1021" t="s">
        <v>467</v>
      </c>
      <c r="F333" s="1021">
        <v>64924302</v>
      </c>
      <c r="G333" s="1023">
        <v>315</v>
      </c>
      <c r="H333" s="1023">
        <v>364</v>
      </c>
      <c r="I333" s="1023">
        <v>1250.3878845611471</v>
      </c>
      <c r="J333" s="1023">
        <v>1170.7784378765964</v>
      </c>
      <c r="K333" s="1023">
        <v>1044.7727992763962</v>
      </c>
      <c r="L333" s="1023">
        <v>1572.8567746241365</v>
      </c>
      <c r="M333" s="1023">
        <v>1773.985346328938</v>
      </c>
      <c r="N333" s="1023">
        <v>1282.3765356247272</v>
      </c>
      <c r="O333" s="1023">
        <v>519.69432769011428</v>
      </c>
      <c r="P333" s="1023">
        <v>410.20045117585607</v>
      </c>
      <c r="Q333" s="1023">
        <v>284.33601298735209</v>
      </c>
      <c r="R333" s="1023">
        <v>291.68318836006665</v>
      </c>
      <c r="S333" s="169">
        <f t="shared" si="145"/>
        <v>10280.071758505333</v>
      </c>
      <c r="T333" s="122">
        <f>VLOOKUP($B333,'Tech Litons'!$A:$I,9,0)</f>
        <v>125</v>
      </c>
      <c r="U333" s="179">
        <f t="shared" si="146"/>
        <v>2.52</v>
      </c>
      <c r="V333" s="179">
        <f t="shared" si="147"/>
        <v>2.9119999999999999</v>
      </c>
      <c r="W333" s="179">
        <f t="shared" si="148"/>
        <v>10.003103076489177</v>
      </c>
      <c r="X333" s="179">
        <f t="shared" si="149"/>
        <v>9.3662275030127713</v>
      </c>
      <c r="Y333" s="179">
        <f t="shared" si="150"/>
        <v>8.3581823942111697</v>
      </c>
      <c r="Z333" s="179">
        <f t="shared" si="151"/>
        <v>12.582854196993091</v>
      </c>
      <c r="AA333" s="179">
        <f t="shared" si="152"/>
        <v>14.191882770631505</v>
      </c>
      <c r="AB333" s="179">
        <f t="shared" si="153"/>
        <v>10.259012284997818</v>
      </c>
      <c r="AC333" s="179">
        <f t="shared" si="154"/>
        <v>4.157554621520914</v>
      </c>
      <c r="AD333" s="179">
        <f t="shared" si="155"/>
        <v>3.2816036094068486</v>
      </c>
      <c r="AE333" s="179">
        <f t="shared" si="156"/>
        <v>2.2746881038988169</v>
      </c>
      <c r="AF333" s="179">
        <f t="shared" si="157"/>
        <v>2.333465506880533</v>
      </c>
    </row>
    <row r="334" spans="2:32">
      <c r="B334" s="122">
        <f t="shared" si="158"/>
        <v>67825197</v>
      </c>
      <c r="C334" s="122" t="str">
        <f>VLOOKUP($B334,'Tech Litons'!$A:$I,3,0)</f>
        <v>2.4 Gal</v>
      </c>
      <c r="D334" s="122" t="str">
        <f>VLOOKUP($B334,'Tech Litons'!$A:$I,4,0)</f>
        <v>2.4 Gal</v>
      </c>
      <c r="E334" s="1022" t="s">
        <v>496</v>
      </c>
      <c r="F334" s="1022">
        <v>67825197</v>
      </c>
      <c r="G334" s="1025">
        <v>488</v>
      </c>
      <c r="H334" s="1025">
        <v>432</v>
      </c>
      <c r="I334" s="1025">
        <v>1116.0823352998509</v>
      </c>
      <c r="J334" s="1025">
        <v>1070.5021464375934</v>
      </c>
      <c r="K334" s="1025">
        <v>990.13971149637518</v>
      </c>
      <c r="L334" s="1025">
        <v>1443.3414817799262</v>
      </c>
      <c r="M334" s="1025">
        <v>1701.6270951204426</v>
      </c>
      <c r="N334" s="1025">
        <v>1005.3540788853761</v>
      </c>
      <c r="O334" s="1025">
        <v>673.17662802702807</v>
      </c>
      <c r="P334" s="1025">
        <v>495.00671881839025</v>
      </c>
      <c r="Q334" s="1025">
        <v>428.17436110711242</v>
      </c>
      <c r="R334" s="1025">
        <v>357.78634994388079</v>
      </c>
      <c r="S334" s="169">
        <f t="shared" si="145"/>
        <v>10201.190906915974</v>
      </c>
      <c r="T334" s="122">
        <f>VLOOKUP($B334,'Tech Litons'!$A:$I,9,0)</f>
        <v>125</v>
      </c>
      <c r="U334" s="179">
        <f t="shared" si="146"/>
        <v>3.9039999999999999</v>
      </c>
      <c r="V334" s="179">
        <f t="shared" si="147"/>
        <v>3.456</v>
      </c>
      <c r="W334" s="179">
        <f t="shared" si="148"/>
        <v>8.9286586823988081</v>
      </c>
      <c r="X334" s="179">
        <f t="shared" si="149"/>
        <v>8.5640171715007476</v>
      </c>
      <c r="Y334" s="179">
        <f t="shared" si="150"/>
        <v>7.9211176919710011</v>
      </c>
      <c r="Z334" s="179">
        <f t="shared" si="151"/>
        <v>11.546731854239409</v>
      </c>
      <c r="AA334" s="179">
        <f t="shared" si="152"/>
        <v>13.613016760963541</v>
      </c>
      <c r="AB334" s="179">
        <f t="shared" si="153"/>
        <v>8.0428326310830087</v>
      </c>
      <c r="AC334" s="179">
        <f t="shared" si="154"/>
        <v>5.3854130242162244</v>
      </c>
      <c r="AD334" s="179">
        <f t="shared" si="155"/>
        <v>3.9600537505471221</v>
      </c>
      <c r="AE334" s="179">
        <f t="shared" si="156"/>
        <v>3.4253948888568995</v>
      </c>
      <c r="AF334" s="179">
        <f t="shared" si="157"/>
        <v>2.8622907995510465</v>
      </c>
    </row>
    <row r="335" spans="2:32">
      <c r="B335" s="122">
        <f t="shared" si="158"/>
        <v>64799254</v>
      </c>
      <c r="C335" s="122" t="str">
        <f>VLOOKUP($B335,'Tech Litons'!$A:$I,3,0)</f>
        <v>2.4 Gal</v>
      </c>
      <c r="D335" s="122" t="str">
        <f>VLOOKUP($B335,'Tech Litons'!$A:$I,4,0)</f>
        <v>2.4 Gal</v>
      </c>
      <c r="E335" s="1022" t="s">
        <v>1038</v>
      </c>
      <c r="F335" s="1022">
        <v>64799254</v>
      </c>
      <c r="G335" s="1026">
        <v>325</v>
      </c>
      <c r="H335" s="1025">
        <v>331</v>
      </c>
      <c r="I335" s="1025">
        <v>38.122516447424758</v>
      </c>
      <c r="J335" s="1025">
        <v>42.369219690766279</v>
      </c>
      <c r="K335" s="1025">
        <v>13.82420096105033</v>
      </c>
      <c r="L335" s="1025">
        <v>70.262153469489292</v>
      </c>
      <c r="M335" s="1025">
        <v>119.69834381664157</v>
      </c>
      <c r="N335" s="1025">
        <v>0</v>
      </c>
      <c r="O335" s="1025">
        <v>0</v>
      </c>
      <c r="P335" s="1025">
        <v>0</v>
      </c>
      <c r="Q335" s="1025">
        <v>0</v>
      </c>
      <c r="R335" s="1025">
        <v>0</v>
      </c>
      <c r="S335" s="169">
        <f t="shared" si="145"/>
        <v>940.27643438537223</v>
      </c>
      <c r="T335" s="122">
        <f>VLOOKUP($B335,'Tech Litons'!$A:$I,9,0)</f>
        <v>125</v>
      </c>
      <c r="U335" s="179">
        <f t="shared" si="146"/>
        <v>2.6</v>
      </c>
      <c r="V335" s="179">
        <f t="shared" si="147"/>
        <v>2.6480000000000001</v>
      </c>
      <c r="W335" s="179">
        <f t="shared" si="148"/>
        <v>0.30498013157939807</v>
      </c>
      <c r="X335" s="179">
        <f t="shared" si="149"/>
        <v>0.33895375752613022</v>
      </c>
      <c r="Y335" s="179">
        <f t="shared" si="150"/>
        <v>0.11059360768840264</v>
      </c>
      <c r="Z335" s="179">
        <f t="shared" si="151"/>
        <v>0.56209722775591431</v>
      </c>
      <c r="AA335" s="179">
        <f t="shared" si="152"/>
        <v>0.95758675053313258</v>
      </c>
      <c r="AB335" s="179">
        <f t="shared" si="153"/>
        <v>0</v>
      </c>
      <c r="AC335" s="179">
        <f t="shared" si="154"/>
        <v>0</v>
      </c>
      <c r="AD335" s="179">
        <f t="shared" si="155"/>
        <v>0</v>
      </c>
      <c r="AE335" s="179">
        <f t="shared" si="156"/>
        <v>0</v>
      </c>
      <c r="AF335" s="179">
        <f t="shared" si="157"/>
        <v>0</v>
      </c>
    </row>
    <row r="336" spans="2:32">
      <c r="B336" s="122">
        <f t="shared" si="158"/>
        <v>84141035</v>
      </c>
      <c r="C336" s="122" t="str">
        <f>VLOOKUP($B336,'Tech Litons'!$A:$I,3,0)</f>
        <v>2.4 Gal</v>
      </c>
      <c r="D336" s="122" t="str">
        <f>VLOOKUP($B336,'Tech Litons'!$A:$I,4,0)</f>
        <v>2.4 Gal</v>
      </c>
      <c r="E336" s="1021" t="s">
        <v>392</v>
      </c>
      <c r="F336" s="1021">
        <v>84141035</v>
      </c>
      <c r="G336" s="1023">
        <v>490</v>
      </c>
      <c r="H336" s="1023">
        <v>344</v>
      </c>
      <c r="I336" s="1023">
        <v>1068.0866995450301</v>
      </c>
      <c r="J336" s="1023">
        <v>884.77622711889398</v>
      </c>
      <c r="K336" s="1023">
        <v>728.16220492374828</v>
      </c>
      <c r="L336" s="1023">
        <v>1162.5232585157494</v>
      </c>
      <c r="M336" s="1023">
        <v>1414.4532484111114</v>
      </c>
      <c r="N336" s="1023">
        <v>881.51964060557702</v>
      </c>
      <c r="O336" s="1023">
        <v>477.68624589750829</v>
      </c>
      <c r="P336" s="1023">
        <v>417.49516699890887</v>
      </c>
      <c r="Q336" s="1023">
        <v>318.1743503803101</v>
      </c>
      <c r="R336" s="1023">
        <v>322.75262369535113</v>
      </c>
      <c r="S336" s="169">
        <f t="shared" ref="S336:S395" si="159">SUM(G336:R336)</f>
        <v>8509.6296660921889</v>
      </c>
      <c r="T336" s="122">
        <f>VLOOKUP($B336,'Tech Litons'!$A:$I,9,0)</f>
        <v>125</v>
      </c>
      <c r="U336" s="179">
        <f t="shared" ref="U336:U395" si="160">G336/$T336</f>
        <v>3.92</v>
      </c>
      <c r="V336" s="179">
        <f t="shared" ref="V336:V395" si="161">H336/$T336</f>
        <v>2.7519999999999998</v>
      </c>
      <c r="W336" s="179">
        <f t="shared" ref="W336:W395" si="162">I336/$T336</f>
        <v>8.5446935963602417</v>
      </c>
      <c r="X336" s="179">
        <f t="shared" ref="X336:X395" si="163">J336/$T336</f>
        <v>7.0782098169511523</v>
      </c>
      <c r="Y336" s="179">
        <f t="shared" ref="Y336:Y395" si="164">K336/$T336</f>
        <v>5.8252976393899862</v>
      </c>
      <c r="Z336" s="179">
        <f t="shared" ref="Z336:Z395" si="165">L336/$T336</f>
        <v>9.3001860681259956</v>
      </c>
      <c r="AA336" s="179">
        <f t="shared" ref="AA336:AA395" si="166">M336/$T336</f>
        <v>11.315625987288891</v>
      </c>
      <c r="AB336" s="179">
        <f t="shared" ref="AB336:AB395" si="167">N336/$T336</f>
        <v>7.0521571248446158</v>
      </c>
      <c r="AC336" s="179">
        <f t="shared" ref="AC336:AC395" si="168">O336/$T336</f>
        <v>3.8214899671800664</v>
      </c>
      <c r="AD336" s="179">
        <f t="shared" ref="AD336:AD395" si="169">P336/$T336</f>
        <v>3.339961335991271</v>
      </c>
      <c r="AE336" s="179">
        <f t="shared" ref="AE336:AE395" si="170">Q336/$T336</f>
        <v>2.5453948030424809</v>
      </c>
      <c r="AF336" s="179">
        <f t="shared" ref="AF336:AF395" si="171">R336/$T336</f>
        <v>2.582020989562809</v>
      </c>
    </row>
    <row r="337" spans="2:32">
      <c r="B337" s="122">
        <f t="shared" si="158"/>
        <v>62735647</v>
      </c>
      <c r="C337" s="122" t="str">
        <f>VLOOKUP($B337,'Tech Litons'!$A:$I,3,0)</f>
        <v>2.4 Gal</v>
      </c>
      <c r="D337" s="122" t="str">
        <f>VLOOKUP($B337,'Tech Litons'!$A:$I,4,0)</f>
        <v>2.4 Gal</v>
      </c>
      <c r="E337" s="1021" t="s">
        <v>1017</v>
      </c>
      <c r="F337" s="1021">
        <v>62735647</v>
      </c>
      <c r="G337" s="1023">
        <v>259</v>
      </c>
      <c r="H337" s="1023">
        <v>201</v>
      </c>
      <c r="I337" s="1023">
        <v>755.85152642621847</v>
      </c>
      <c r="J337" s="1023">
        <v>729.56623783696455</v>
      </c>
      <c r="K337" s="1023">
        <v>770.0271795635806</v>
      </c>
      <c r="L337" s="1023">
        <v>1028.5527876403685</v>
      </c>
      <c r="M337" s="1023">
        <v>879.4423360207436</v>
      </c>
      <c r="N337" s="1023">
        <v>900.92802839138164</v>
      </c>
      <c r="O337" s="1023">
        <v>391.2743790487624</v>
      </c>
      <c r="P337" s="1023">
        <v>281.81208320918154</v>
      </c>
      <c r="Q337" s="1023">
        <v>169.66105915447764</v>
      </c>
      <c r="R337" s="1023">
        <v>218.89133371742028</v>
      </c>
      <c r="S337" s="169">
        <f t="shared" si="159"/>
        <v>6586.0069510090989</v>
      </c>
      <c r="T337" s="122">
        <f>VLOOKUP($B337,'Tech Litons'!$A:$I,9,0)</f>
        <v>125</v>
      </c>
      <c r="U337" s="179">
        <f t="shared" si="160"/>
        <v>2.0720000000000001</v>
      </c>
      <c r="V337" s="179">
        <f t="shared" si="161"/>
        <v>1.6080000000000001</v>
      </c>
      <c r="W337" s="179">
        <f t="shared" si="162"/>
        <v>6.0468122114097476</v>
      </c>
      <c r="X337" s="179">
        <f t="shared" si="163"/>
        <v>5.836529902695716</v>
      </c>
      <c r="Y337" s="179">
        <f t="shared" si="164"/>
        <v>6.1602174365086446</v>
      </c>
      <c r="Z337" s="179">
        <f t="shared" si="165"/>
        <v>8.2284223011229471</v>
      </c>
      <c r="AA337" s="179">
        <f t="shared" si="166"/>
        <v>7.035538688165949</v>
      </c>
      <c r="AB337" s="179">
        <f t="shared" si="167"/>
        <v>7.2074242271310531</v>
      </c>
      <c r="AC337" s="179">
        <f t="shared" si="168"/>
        <v>3.1301950323900991</v>
      </c>
      <c r="AD337" s="179">
        <f t="shared" si="169"/>
        <v>2.2544966656734524</v>
      </c>
      <c r="AE337" s="179">
        <f t="shared" si="170"/>
        <v>1.357288473235821</v>
      </c>
      <c r="AF337" s="179">
        <f t="shared" si="171"/>
        <v>1.7511306697393623</v>
      </c>
    </row>
    <row r="338" spans="2:32">
      <c r="B338" s="122">
        <f t="shared" si="158"/>
        <v>69600859</v>
      </c>
      <c r="C338" s="122" t="str">
        <f>VLOOKUP($B338,'Tech Litons'!$A:$I,3,0)</f>
        <v>2.4 Gal</v>
      </c>
      <c r="D338" s="122" t="str">
        <f>VLOOKUP($B338,'Tech Litons'!$A:$I,4,0)</f>
        <v>2.4 Gal</v>
      </c>
      <c r="E338" s="1021" t="s">
        <v>365</v>
      </c>
      <c r="F338" s="1021">
        <v>69600859</v>
      </c>
      <c r="G338" s="1023">
        <v>247</v>
      </c>
      <c r="H338" s="1023">
        <v>281</v>
      </c>
      <c r="I338" s="1023">
        <v>694.16047532378946</v>
      </c>
      <c r="J338" s="1023">
        <v>748.1803508088642</v>
      </c>
      <c r="K338" s="1023">
        <v>595.34777125275752</v>
      </c>
      <c r="L338" s="1023">
        <v>874.6469034190859</v>
      </c>
      <c r="M338" s="1023">
        <v>1158.4194462539765</v>
      </c>
      <c r="N338" s="1023">
        <v>810.16609090576389</v>
      </c>
      <c r="O338" s="1023">
        <v>484.59282104434595</v>
      </c>
      <c r="P338" s="1023">
        <v>361.75987171426902</v>
      </c>
      <c r="Q338" s="1023">
        <v>217.97219810374662</v>
      </c>
      <c r="R338" s="1023">
        <v>254.91467624681246</v>
      </c>
      <c r="S338" s="169">
        <f t="shared" si="159"/>
        <v>6728.1606050734117</v>
      </c>
      <c r="T338" s="122">
        <f>VLOOKUP($B338,'Tech Litons'!$A:$I,9,0)</f>
        <v>125</v>
      </c>
      <c r="U338" s="179">
        <f t="shared" si="160"/>
        <v>1.976</v>
      </c>
      <c r="V338" s="179">
        <f t="shared" si="161"/>
        <v>2.2480000000000002</v>
      </c>
      <c r="W338" s="179">
        <f t="shared" si="162"/>
        <v>5.5532838025903155</v>
      </c>
      <c r="X338" s="179">
        <f t="shared" si="163"/>
        <v>5.985442806470914</v>
      </c>
      <c r="Y338" s="179">
        <f t="shared" si="164"/>
        <v>4.7627821700220601</v>
      </c>
      <c r="Z338" s="179">
        <f t="shared" si="165"/>
        <v>6.9971752273526873</v>
      </c>
      <c r="AA338" s="179">
        <f t="shared" si="166"/>
        <v>9.2673555700318122</v>
      </c>
      <c r="AB338" s="179">
        <f t="shared" si="167"/>
        <v>6.4813287272461109</v>
      </c>
      <c r="AC338" s="179">
        <f t="shared" si="168"/>
        <v>3.8767425683547678</v>
      </c>
      <c r="AD338" s="179">
        <f t="shared" si="169"/>
        <v>2.8940789737141523</v>
      </c>
      <c r="AE338" s="179">
        <f t="shared" si="170"/>
        <v>1.743777584829973</v>
      </c>
      <c r="AF338" s="179">
        <f t="shared" si="171"/>
        <v>2.0393174099744997</v>
      </c>
    </row>
    <row r="339" spans="2:32">
      <c r="B339" s="122">
        <f t="shared" si="158"/>
        <v>67278370</v>
      </c>
      <c r="C339" s="122" t="str">
        <f>VLOOKUP($B339,'Tech Litons'!$A:$I,3,0)</f>
        <v>2.4 Gal</v>
      </c>
      <c r="D339" s="122" t="str">
        <f>VLOOKUP($B339,'Tech Litons'!$A:$I,4,0)</f>
        <v>2.4 Gal</v>
      </c>
      <c r="E339" s="1021" t="s">
        <v>1106</v>
      </c>
      <c r="F339" s="1021">
        <v>67278370</v>
      </c>
      <c r="G339" s="1023">
        <v>208</v>
      </c>
      <c r="H339" s="1023">
        <v>336</v>
      </c>
      <c r="I339" s="1023">
        <v>648.39489165122302</v>
      </c>
      <c r="J339" s="1023">
        <v>791.80587701583443</v>
      </c>
      <c r="K339" s="1023">
        <v>705.5086970794257</v>
      </c>
      <c r="L339" s="1023">
        <v>1125.1332127503833</v>
      </c>
      <c r="M339" s="1023">
        <v>1254.3514013038721</v>
      </c>
      <c r="N339" s="1023">
        <v>847.67605258187234</v>
      </c>
      <c r="O339" s="1023">
        <v>435.57997296982961</v>
      </c>
      <c r="P339" s="1023">
        <v>274.63336724593319</v>
      </c>
      <c r="Q339" s="1023">
        <v>199.08068379884472</v>
      </c>
      <c r="R339" s="1023">
        <v>232.73423198423782</v>
      </c>
      <c r="S339" s="169">
        <f t="shared" si="159"/>
        <v>7058.8983883814562</v>
      </c>
      <c r="T339" s="122">
        <f>VLOOKUP($B339,'Tech Litons'!$A:$I,9,0)</f>
        <v>125</v>
      </c>
      <c r="U339" s="179">
        <f t="shared" si="160"/>
        <v>1.6639999999999999</v>
      </c>
      <c r="V339" s="179">
        <f t="shared" si="161"/>
        <v>2.6880000000000002</v>
      </c>
      <c r="W339" s="179">
        <f t="shared" si="162"/>
        <v>5.1871591332097839</v>
      </c>
      <c r="X339" s="179">
        <f t="shared" si="163"/>
        <v>6.334447016126675</v>
      </c>
      <c r="Y339" s="179">
        <f t="shared" si="164"/>
        <v>5.6440695766354052</v>
      </c>
      <c r="Z339" s="179">
        <f t="shared" si="165"/>
        <v>9.001065702003066</v>
      </c>
      <c r="AA339" s="179">
        <f t="shared" si="166"/>
        <v>10.034811210430977</v>
      </c>
      <c r="AB339" s="179">
        <f t="shared" si="167"/>
        <v>6.7814084206549783</v>
      </c>
      <c r="AC339" s="179">
        <f t="shared" si="168"/>
        <v>3.4846397837586367</v>
      </c>
      <c r="AD339" s="179">
        <f t="shared" si="169"/>
        <v>2.1970669379674654</v>
      </c>
      <c r="AE339" s="179">
        <f t="shared" si="170"/>
        <v>1.5926454703907578</v>
      </c>
      <c r="AF339" s="179">
        <f t="shared" si="171"/>
        <v>1.8618738558739025</v>
      </c>
    </row>
    <row r="340" spans="2:32">
      <c r="B340" s="122">
        <f t="shared" si="158"/>
        <v>62689431</v>
      </c>
      <c r="C340" s="122" t="str">
        <f>VLOOKUP($B340,'Tech Litons'!$A:$I,3,0)</f>
        <v>2.4 Gal</v>
      </c>
      <c r="D340" s="122" t="str">
        <f>VLOOKUP($B340,'Tech Litons'!$A:$I,4,0)</f>
        <v>2.4 Gal</v>
      </c>
      <c r="E340" s="1021" t="s">
        <v>466</v>
      </c>
      <c r="F340" s="1021">
        <v>62689431</v>
      </c>
      <c r="G340" s="1023">
        <v>535</v>
      </c>
      <c r="H340" s="1023">
        <v>307</v>
      </c>
      <c r="I340" s="1023">
        <v>1151.1785771502207</v>
      </c>
      <c r="J340" s="1023">
        <v>1148.2055236319961</v>
      </c>
      <c r="K340" s="1023">
        <v>966.64368758750788</v>
      </c>
      <c r="L340" s="1023">
        <v>1399.4877517714137</v>
      </c>
      <c r="M340" s="1023">
        <v>2016.7255260746185</v>
      </c>
      <c r="N340" s="1023">
        <v>1252.0536323320384</v>
      </c>
      <c r="O340" s="1023">
        <v>495.46706545798514</v>
      </c>
      <c r="P340" s="1023">
        <v>450.27150767029974</v>
      </c>
      <c r="Q340" s="1023">
        <v>242.23135439109819</v>
      </c>
      <c r="R340" s="1023">
        <v>356.46421731580443</v>
      </c>
      <c r="S340" s="169">
        <f t="shared" si="159"/>
        <v>10320.728843382984</v>
      </c>
      <c r="T340" s="122">
        <f>VLOOKUP($B340,'Tech Litons'!$A:$I,9,0)</f>
        <v>125</v>
      </c>
      <c r="U340" s="179">
        <f t="shared" si="160"/>
        <v>4.28</v>
      </c>
      <c r="V340" s="179">
        <f t="shared" si="161"/>
        <v>2.456</v>
      </c>
      <c r="W340" s="179">
        <f t="shared" si="162"/>
        <v>9.2094286172017661</v>
      </c>
      <c r="X340" s="179">
        <f t="shared" si="163"/>
        <v>9.185644189055969</v>
      </c>
      <c r="Y340" s="179">
        <f t="shared" si="164"/>
        <v>7.7331495007000628</v>
      </c>
      <c r="Z340" s="179">
        <f t="shared" si="165"/>
        <v>11.19590201417131</v>
      </c>
      <c r="AA340" s="179">
        <f t="shared" si="166"/>
        <v>16.133804208596949</v>
      </c>
      <c r="AB340" s="179">
        <f t="shared" si="167"/>
        <v>10.016429058656307</v>
      </c>
      <c r="AC340" s="179">
        <f t="shared" si="168"/>
        <v>3.9637365236638811</v>
      </c>
      <c r="AD340" s="179">
        <f t="shared" si="169"/>
        <v>3.6021720613623978</v>
      </c>
      <c r="AE340" s="179">
        <f t="shared" si="170"/>
        <v>1.9378508351287855</v>
      </c>
      <c r="AF340" s="179">
        <f t="shared" si="171"/>
        <v>2.8517137385264353</v>
      </c>
    </row>
    <row r="341" spans="2:32">
      <c r="B341" s="122">
        <f t="shared" si="158"/>
        <v>64799252</v>
      </c>
      <c r="C341" s="122" t="str">
        <f>VLOOKUP($B341,'Tech Litons'!$A:$I,3,0)</f>
        <v>2.4 Gal</v>
      </c>
      <c r="D341" s="122" t="str">
        <f>VLOOKUP($B341,'Tech Litons'!$A:$I,4,0)</f>
        <v>2.4 Gal</v>
      </c>
      <c r="E341" s="1021" t="s">
        <v>439</v>
      </c>
      <c r="F341" s="1021">
        <v>64799252</v>
      </c>
      <c r="G341" s="1023">
        <v>109</v>
      </c>
      <c r="H341" s="1023">
        <v>159</v>
      </c>
      <c r="I341" s="1023">
        <v>365.24463484187135</v>
      </c>
      <c r="J341" s="1023">
        <v>316.42474704042064</v>
      </c>
      <c r="K341" s="1023">
        <v>250.35765890353088</v>
      </c>
      <c r="L341" s="1023">
        <v>500.9060022101628</v>
      </c>
      <c r="M341" s="1023">
        <v>514.44133903204647</v>
      </c>
      <c r="N341" s="1023">
        <v>353.95565637358766</v>
      </c>
      <c r="O341" s="1023">
        <v>140.55174790621737</v>
      </c>
      <c r="P341" s="1023">
        <v>147.72255428176234</v>
      </c>
      <c r="Q341" s="1023">
        <v>66.484509993606054</v>
      </c>
      <c r="R341" s="1023">
        <v>83.844425598334325</v>
      </c>
      <c r="S341" s="169">
        <f t="shared" si="159"/>
        <v>3007.9332761815404</v>
      </c>
      <c r="T341" s="122">
        <f>VLOOKUP($B341,'Tech Litons'!$A:$I,9,0)</f>
        <v>125</v>
      </c>
      <c r="U341" s="179">
        <f t="shared" si="160"/>
        <v>0.872</v>
      </c>
      <c r="V341" s="179">
        <f t="shared" si="161"/>
        <v>1.272</v>
      </c>
      <c r="W341" s="179">
        <f t="shared" si="162"/>
        <v>2.9219570787349709</v>
      </c>
      <c r="X341" s="179">
        <f t="shared" si="163"/>
        <v>2.5313979763233649</v>
      </c>
      <c r="Y341" s="179">
        <f t="shared" si="164"/>
        <v>2.0028612712282472</v>
      </c>
      <c r="Z341" s="179">
        <f t="shared" si="165"/>
        <v>4.0072480176813023</v>
      </c>
      <c r="AA341" s="179">
        <f t="shared" si="166"/>
        <v>4.1155307122563718</v>
      </c>
      <c r="AB341" s="179">
        <f t="shared" si="167"/>
        <v>2.8316452509887013</v>
      </c>
      <c r="AC341" s="179">
        <f t="shared" si="168"/>
        <v>1.1244139832497391</v>
      </c>
      <c r="AD341" s="179">
        <f t="shared" si="169"/>
        <v>1.1817804342540987</v>
      </c>
      <c r="AE341" s="179">
        <f t="shared" si="170"/>
        <v>0.53187607994884845</v>
      </c>
      <c r="AF341" s="179">
        <f t="shared" si="171"/>
        <v>0.67075540478667461</v>
      </c>
    </row>
    <row r="342" spans="2:32">
      <c r="B342" s="122">
        <f t="shared" si="158"/>
        <v>64343704</v>
      </c>
      <c r="C342" s="122" t="str">
        <f>VLOOKUP($B342,'Tech Litons'!$A:$I,3,0)</f>
        <v>B&amp;J Cups</v>
      </c>
      <c r="D342" s="122" t="str">
        <f>VLOOKUP($B342,'Tech Litons'!$A:$I,4,0)</f>
        <v>B&amp;J Cups</v>
      </c>
      <c r="E342" s="1021" t="s">
        <v>573</v>
      </c>
      <c r="F342" s="1021">
        <v>64343704</v>
      </c>
      <c r="G342" s="1023">
        <v>490</v>
      </c>
      <c r="H342" s="1023">
        <v>192</v>
      </c>
      <c r="I342" s="1023">
        <v>294.72000000000003</v>
      </c>
      <c r="J342" s="1023">
        <v>387.73</v>
      </c>
      <c r="K342" s="1023">
        <v>343</v>
      </c>
      <c r="L342" s="1023">
        <v>289.42</v>
      </c>
      <c r="M342" s="1023">
        <v>239.86</v>
      </c>
      <c r="N342" s="1023">
        <v>468.84</v>
      </c>
      <c r="O342" s="1023">
        <v>315.3</v>
      </c>
      <c r="P342" s="1023">
        <v>225.02</v>
      </c>
      <c r="Q342" s="1023">
        <v>158.72999999999999</v>
      </c>
      <c r="R342" s="1023">
        <v>148.84</v>
      </c>
      <c r="S342" s="169">
        <f t="shared" si="159"/>
        <v>3553.4600000000005</v>
      </c>
      <c r="T342" s="122">
        <f>VLOOKUP($B342,'Tech Litons'!$A:$I,9,0)</f>
        <v>50</v>
      </c>
      <c r="U342" s="179">
        <f t="shared" si="160"/>
        <v>9.8000000000000007</v>
      </c>
      <c r="V342" s="179">
        <f t="shared" si="161"/>
        <v>3.84</v>
      </c>
      <c r="W342" s="179">
        <f t="shared" si="162"/>
        <v>5.894400000000001</v>
      </c>
      <c r="X342" s="179">
        <f t="shared" si="163"/>
        <v>7.7545999999999999</v>
      </c>
      <c r="Y342" s="179">
        <f t="shared" si="164"/>
        <v>6.86</v>
      </c>
      <c r="Z342" s="179">
        <f t="shared" si="165"/>
        <v>5.7884000000000002</v>
      </c>
      <c r="AA342" s="179">
        <f t="shared" si="166"/>
        <v>4.7972000000000001</v>
      </c>
      <c r="AB342" s="179">
        <f t="shared" si="167"/>
        <v>9.3767999999999994</v>
      </c>
      <c r="AC342" s="179">
        <f t="shared" si="168"/>
        <v>6.306</v>
      </c>
      <c r="AD342" s="179">
        <f t="shared" si="169"/>
        <v>4.5004</v>
      </c>
      <c r="AE342" s="179">
        <f t="shared" si="170"/>
        <v>3.1745999999999999</v>
      </c>
      <c r="AF342" s="179">
        <f t="shared" si="171"/>
        <v>2.9767999999999999</v>
      </c>
    </row>
    <row r="343" spans="2:32">
      <c r="B343" s="122">
        <f t="shared" si="158"/>
        <v>64799253</v>
      </c>
      <c r="C343" s="122" t="str">
        <f>VLOOKUP($B343,'Tech Litons'!$A:$I,3,0)</f>
        <v>2.4 Gal</v>
      </c>
      <c r="D343" s="122" t="str">
        <f>VLOOKUP($B343,'Tech Litons'!$A:$I,4,0)</f>
        <v>2.4 Gal</v>
      </c>
      <c r="E343" s="1021" t="s">
        <v>447</v>
      </c>
      <c r="F343" s="1021">
        <v>64799253</v>
      </c>
      <c r="G343" s="1023">
        <v>229</v>
      </c>
      <c r="H343" s="1023">
        <v>146</v>
      </c>
      <c r="I343" s="1023">
        <v>831.94208881329814</v>
      </c>
      <c r="J343" s="1023">
        <v>806.864215875887</v>
      </c>
      <c r="K343" s="1023">
        <v>798.4237380002894</v>
      </c>
      <c r="L343" s="1023">
        <v>1160.0743287514711</v>
      </c>
      <c r="M343" s="1023">
        <v>1236.265750315006</v>
      </c>
      <c r="N343" s="1023">
        <v>969.87662681249537</v>
      </c>
      <c r="O343" s="1023">
        <v>465.36482112430139</v>
      </c>
      <c r="P343" s="1023">
        <v>394.81642574952969</v>
      </c>
      <c r="Q343" s="1023">
        <v>197.07440581173907</v>
      </c>
      <c r="R343" s="1023">
        <v>198.91746431177867</v>
      </c>
      <c r="S343" s="169">
        <f t="shared" si="159"/>
        <v>7434.6198655657963</v>
      </c>
      <c r="T343" s="122">
        <f>VLOOKUP($B343,'Tech Litons'!$A:$I,9,0)</f>
        <v>125</v>
      </c>
      <c r="U343" s="179">
        <f t="shared" si="160"/>
        <v>1.8320000000000001</v>
      </c>
      <c r="V343" s="179">
        <f t="shared" si="161"/>
        <v>1.1679999999999999</v>
      </c>
      <c r="W343" s="179">
        <f t="shared" si="162"/>
        <v>6.655536710506385</v>
      </c>
      <c r="X343" s="179">
        <f t="shared" si="163"/>
        <v>6.4549137270070958</v>
      </c>
      <c r="Y343" s="179">
        <f t="shared" si="164"/>
        <v>6.3873899040023154</v>
      </c>
      <c r="Z343" s="179">
        <f t="shared" si="165"/>
        <v>9.2805946300117679</v>
      </c>
      <c r="AA343" s="179">
        <f t="shared" si="166"/>
        <v>9.8901260025200486</v>
      </c>
      <c r="AB343" s="179">
        <f t="shared" si="167"/>
        <v>7.7590130144999634</v>
      </c>
      <c r="AC343" s="179">
        <f t="shared" si="168"/>
        <v>3.7229185689944111</v>
      </c>
      <c r="AD343" s="179">
        <f t="shared" si="169"/>
        <v>3.1585314059962375</v>
      </c>
      <c r="AE343" s="179">
        <f t="shared" si="170"/>
        <v>1.5765952464939126</v>
      </c>
      <c r="AF343" s="179">
        <f t="shared" si="171"/>
        <v>1.5913397144942294</v>
      </c>
    </row>
    <row r="344" spans="2:32">
      <c r="B344" s="122">
        <f t="shared" si="158"/>
        <v>64775322</v>
      </c>
      <c r="C344" s="122" t="str">
        <f>VLOOKUP($B344,'Tech Litons'!$A:$I,3,0)</f>
        <v>2.4 Gal</v>
      </c>
      <c r="D344" s="122" t="str">
        <f>VLOOKUP($B344,'Tech Litons'!$A:$I,4,0)</f>
        <v>2.4 Gal</v>
      </c>
      <c r="E344" s="1022" t="s">
        <v>1037</v>
      </c>
      <c r="F344" s="1022">
        <v>64775322</v>
      </c>
      <c r="G344" s="1025">
        <v>57</v>
      </c>
      <c r="H344" s="1025">
        <v>25</v>
      </c>
      <c r="I344" s="1025">
        <v>0</v>
      </c>
      <c r="J344" s="1025">
        <v>0</v>
      </c>
      <c r="K344" s="1025">
        <v>0</v>
      </c>
      <c r="L344" s="1025">
        <v>0</v>
      </c>
      <c r="M344" s="1025">
        <v>0</v>
      </c>
      <c r="N344" s="1025">
        <v>0</v>
      </c>
      <c r="O344" s="1025">
        <v>0</v>
      </c>
      <c r="P344" s="1025">
        <v>0</v>
      </c>
      <c r="Q344" s="1025">
        <v>0</v>
      </c>
      <c r="R344" s="1025">
        <v>0</v>
      </c>
      <c r="S344" s="169">
        <f t="shared" si="159"/>
        <v>82</v>
      </c>
      <c r="T344" s="122">
        <f>VLOOKUP($B344,'Tech Litons'!$A:$I,9,0)</f>
        <v>125</v>
      </c>
      <c r="U344" s="179">
        <f t="shared" si="160"/>
        <v>0.45600000000000002</v>
      </c>
      <c r="V344" s="179">
        <f t="shared" si="161"/>
        <v>0.2</v>
      </c>
      <c r="W344" s="179">
        <f t="shared" si="162"/>
        <v>0</v>
      </c>
      <c r="X344" s="179">
        <f t="shared" si="163"/>
        <v>0</v>
      </c>
      <c r="Y344" s="179">
        <f t="shared" si="164"/>
        <v>0</v>
      </c>
      <c r="Z344" s="179">
        <f t="shared" si="165"/>
        <v>0</v>
      </c>
      <c r="AA344" s="179">
        <f t="shared" si="166"/>
        <v>0</v>
      </c>
      <c r="AB344" s="179">
        <f t="shared" si="167"/>
        <v>0</v>
      </c>
      <c r="AC344" s="179">
        <f t="shared" si="168"/>
        <v>0</v>
      </c>
      <c r="AD344" s="179">
        <f t="shared" si="169"/>
        <v>0</v>
      </c>
      <c r="AE344" s="179">
        <f t="shared" si="170"/>
        <v>0</v>
      </c>
      <c r="AF344" s="179">
        <f t="shared" si="171"/>
        <v>0</v>
      </c>
    </row>
    <row r="345" spans="2:32">
      <c r="B345" s="122">
        <f t="shared" si="158"/>
        <v>64343267</v>
      </c>
      <c r="C345" s="122" t="str">
        <f>VLOOKUP($B345,'Tech Litons'!$A:$I,3,0)</f>
        <v>B&amp;J Cups</v>
      </c>
      <c r="D345" s="122" t="str">
        <f>VLOOKUP($B345,'Tech Litons'!$A:$I,4,0)</f>
        <v>B&amp;J Cups</v>
      </c>
      <c r="E345" s="1022" t="s">
        <v>1107</v>
      </c>
      <c r="F345" s="1022">
        <v>64343267</v>
      </c>
      <c r="G345" s="1025">
        <v>300</v>
      </c>
      <c r="H345" s="1025">
        <v>191</v>
      </c>
      <c r="I345" s="1025">
        <v>644.06999999999994</v>
      </c>
      <c r="J345" s="1025">
        <v>334.46</v>
      </c>
      <c r="K345" s="1025">
        <v>320.45</v>
      </c>
      <c r="L345" s="1025">
        <v>210.07</v>
      </c>
      <c r="M345" s="1025">
        <v>149.68</v>
      </c>
      <c r="N345" s="1025">
        <v>483.12</v>
      </c>
      <c r="O345" s="1025">
        <v>390.72</v>
      </c>
      <c r="P345" s="1025">
        <v>218.45</v>
      </c>
      <c r="Q345" s="1025">
        <v>114.01</v>
      </c>
      <c r="R345" s="1025">
        <v>98.87</v>
      </c>
      <c r="S345" s="169">
        <f t="shared" si="159"/>
        <v>3454.8999999999996</v>
      </c>
      <c r="T345" s="122">
        <f>VLOOKUP($B345,'Tech Litons'!$A:$I,9,0)</f>
        <v>50</v>
      </c>
      <c r="U345" s="179">
        <f t="shared" si="160"/>
        <v>6</v>
      </c>
      <c r="V345" s="179">
        <f t="shared" si="161"/>
        <v>3.82</v>
      </c>
      <c r="W345" s="179">
        <f t="shared" si="162"/>
        <v>12.881399999999999</v>
      </c>
      <c r="X345" s="179">
        <f t="shared" si="163"/>
        <v>6.6891999999999996</v>
      </c>
      <c r="Y345" s="179">
        <f t="shared" si="164"/>
        <v>6.4089999999999998</v>
      </c>
      <c r="Z345" s="179">
        <f t="shared" si="165"/>
        <v>4.2013999999999996</v>
      </c>
      <c r="AA345" s="179">
        <f t="shared" si="166"/>
        <v>2.9936000000000003</v>
      </c>
      <c r="AB345" s="179">
        <f t="shared" si="167"/>
        <v>9.6623999999999999</v>
      </c>
      <c r="AC345" s="179">
        <f t="shared" si="168"/>
        <v>7.8144000000000009</v>
      </c>
      <c r="AD345" s="179">
        <f t="shared" si="169"/>
        <v>4.3689999999999998</v>
      </c>
      <c r="AE345" s="179">
        <f t="shared" si="170"/>
        <v>2.2802000000000002</v>
      </c>
      <c r="AF345" s="179">
        <f t="shared" si="171"/>
        <v>1.9774</v>
      </c>
    </row>
    <row r="346" spans="2:32">
      <c r="B346" s="122">
        <f t="shared" si="158"/>
        <v>68896056</v>
      </c>
      <c r="C346" s="122" t="str">
        <f>VLOOKUP($B346,'Tech Litons'!$A:$I,3,0)</f>
        <v>48oz</v>
      </c>
      <c r="D346" s="122" t="str">
        <f>VLOOKUP($B346,'Tech Litons'!$A:$I,4,0)</f>
        <v>48oz</v>
      </c>
      <c r="E346" s="1022" t="s">
        <v>1297</v>
      </c>
      <c r="F346" s="1022">
        <v>68896056</v>
      </c>
      <c r="G346" s="1025">
        <v>0</v>
      </c>
      <c r="H346" s="1025">
        <v>0</v>
      </c>
      <c r="I346" s="1025">
        <v>0</v>
      </c>
      <c r="J346" s="1025">
        <v>0</v>
      </c>
      <c r="K346" s="1025">
        <v>0</v>
      </c>
      <c r="L346" s="1025">
        <v>0</v>
      </c>
      <c r="M346" s="1025">
        <v>0</v>
      </c>
      <c r="N346" s="1025">
        <v>0</v>
      </c>
      <c r="O346" s="1025">
        <v>0</v>
      </c>
      <c r="P346" s="1025">
        <v>0</v>
      </c>
      <c r="Q346" s="1025">
        <v>0</v>
      </c>
      <c r="R346" s="1025">
        <v>0</v>
      </c>
      <c r="S346" s="169">
        <f t="shared" si="159"/>
        <v>0</v>
      </c>
      <c r="T346" s="122">
        <f>VLOOKUP($B346,'Tech Litons'!$A:$I,9,0)</f>
        <v>176</v>
      </c>
      <c r="U346" s="179">
        <f t="shared" si="160"/>
        <v>0</v>
      </c>
      <c r="V346" s="179">
        <f t="shared" si="161"/>
        <v>0</v>
      </c>
      <c r="W346" s="179">
        <f t="shared" si="162"/>
        <v>0</v>
      </c>
      <c r="X346" s="179">
        <f t="shared" si="163"/>
        <v>0</v>
      </c>
      <c r="Y346" s="179">
        <f t="shared" si="164"/>
        <v>0</v>
      </c>
      <c r="Z346" s="179">
        <f t="shared" si="165"/>
        <v>0</v>
      </c>
      <c r="AA346" s="179">
        <f t="shared" si="166"/>
        <v>0</v>
      </c>
      <c r="AB346" s="179">
        <f t="shared" si="167"/>
        <v>0</v>
      </c>
      <c r="AC346" s="179">
        <f t="shared" si="168"/>
        <v>0</v>
      </c>
      <c r="AD346" s="179">
        <f t="shared" si="169"/>
        <v>0</v>
      </c>
      <c r="AE346" s="179">
        <f t="shared" si="170"/>
        <v>0</v>
      </c>
      <c r="AF346" s="179">
        <f t="shared" si="171"/>
        <v>0</v>
      </c>
    </row>
    <row r="347" spans="2:32">
      <c r="B347" s="122">
        <f t="shared" si="158"/>
        <v>17093</v>
      </c>
      <c r="C347" s="122" t="str">
        <f>VLOOKUP($B347,'Tech Litons'!$A:$I,3,0)</f>
        <v>2.4 Gal</v>
      </c>
      <c r="D347" s="122" t="str">
        <f>VLOOKUP($B347,'Tech Litons'!$A:$I,4,0)</f>
        <v>2.4 Gal</v>
      </c>
      <c r="E347" s="1021" t="s">
        <v>1025</v>
      </c>
      <c r="F347" s="1021">
        <v>17093</v>
      </c>
      <c r="G347" s="1023">
        <v>70</v>
      </c>
      <c r="H347" s="1023">
        <v>62</v>
      </c>
      <c r="I347" s="1023">
        <v>170.31</v>
      </c>
      <c r="J347" s="1023">
        <v>163.29</v>
      </c>
      <c r="K347" s="1023">
        <v>188.88</v>
      </c>
      <c r="L347" s="1023">
        <v>196.88</v>
      </c>
      <c r="M347" s="1023">
        <v>163.15</v>
      </c>
      <c r="N347" s="1023">
        <v>163.44999999999999</v>
      </c>
      <c r="O347" s="1023">
        <v>122.85</v>
      </c>
      <c r="P347" s="1023">
        <v>131.88</v>
      </c>
      <c r="Q347" s="1023">
        <v>108.56</v>
      </c>
      <c r="R347" s="1023">
        <v>107.86</v>
      </c>
      <c r="S347" s="169">
        <f t="shared" si="159"/>
        <v>1649.11</v>
      </c>
      <c r="T347" s="122">
        <f>VLOOKUP($B347,'Tech Litons'!$A:$I,9,0)</f>
        <v>50</v>
      </c>
      <c r="U347" s="179">
        <f t="shared" si="160"/>
        <v>1.4</v>
      </c>
      <c r="V347" s="179">
        <f t="shared" si="161"/>
        <v>1.24</v>
      </c>
      <c r="W347" s="179">
        <f t="shared" si="162"/>
        <v>3.4062000000000001</v>
      </c>
      <c r="X347" s="179">
        <f t="shared" si="163"/>
        <v>3.2658</v>
      </c>
      <c r="Y347" s="179">
        <f t="shared" si="164"/>
        <v>3.7776000000000001</v>
      </c>
      <c r="Z347" s="179">
        <f t="shared" si="165"/>
        <v>3.9375999999999998</v>
      </c>
      <c r="AA347" s="179">
        <f t="shared" si="166"/>
        <v>3.2629999999999999</v>
      </c>
      <c r="AB347" s="179">
        <f t="shared" si="167"/>
        <v>3.2689999999999997</v>
      </c>
      <c r="AC347" s="179">
        <f t="shared" si="168"/>
        <v>2.4569999999999999</v>
      </c>
      <c r="AD347" s="179">
        <f t="shared" si="169"/>
        <v>2.6375999999999999</v>
      </c>
      <c r="AE347" s="179">
        <f t="shared" si="170"/>
        <v>2.1712000000000002</v>
      </c>
      <c r="AF347" s="179">
        <f t="shared" si="171"/>
        <v>2.1572</v>
      </c>
    </row>
    <row r="348" spans="2:32">
      <c r="B348" s="122">
        <f t="shared" si="158"/>
        <v>17090</v>
      </c>
      <c r="C348" s="122" t="str">
        <f>VLOOKUP($B348,'Tech Litons'!$A:$I,3,0)</f>
        <v>2.4 Gal</v>
      </c>
      <c r="D348" s="122" t="str">
        <f>VLOOKUP($B348,'Tech Litons'!$A:$I,4,0)</f>
        <v>2.4 Gal</v>
      </c>
      <c r="E348" s="1021" t="s">
        <v>1024</v>
      </c>
      <c r="F348" s="1021">
        <v>17090</v>
      </c>
      <c r="G348" s="1023">
        <v>90</v>
      </c>
      <c r="H348" s="1023">
        <v>83</v>
      </c>
      <c r="I348" s="1023">
        <v>97.14</v>
      </c>
      <c r="J348" s="1023">
        <v>91.85</v>
      </c>
      <c r="K348" s="1023">
        <v>139.16</v>
      </c>
      <c r="L348" s="1023">
        <v>102.59</v>
      </c>
      <c r="M348" s="1023">
        <v>87.02</v>
      </c>
      <c r="N348" s="1023">
        <v>96.72</v>
      </c>
      <c r="O348" s="1023">
        <v>71.319999999999993</v>
      </c>
      <c r="P348" s="1023">
        <v>64.41</v>
      </c>
      <c r="Q348" s="1023">
        <v>65.03</v>
      </c>
      <c r="R348" s="1023">
        <v>56.41</v>
      </c>
      <c r="S348" s="169">
        <f t="shared" si="159"/>
        <v>1044.6499999999999</v>
      </c>
      <c r="T348" s="122">
        <f>VLOOKUP($B348,'Tech Litons'!$A:$I,9,0)</f>
        <v>50</v>
      </c>
      <c r="U348" s="179">
        <f t="shared" si="160"/>
        <v>1.8</v>
      </c>
      <c r="V348" s="179">
        <f t="shared" si="161"/>
        <v>1.66</v>
      </c>
      <c r="W348" s="179">
        <f t="shared" si="162"/>
        <v>1.9428000000000001</v>
      </c>
      <c r="X348" s="179">
        <f t="shared" si="163"/>
        <v>1.837</v>
      </c>
      <c r="Y348" s="179">
        <f t="shared" si="164"/>
        <v>2.7831999999999999</v>
      </c>
      <c r="Z348" s="179">
        <f t="shared" si="165"/>
        <v>2.0518000000000001</v>
      </c>
      <c r="AA348" s="179">
        <f t="shared" si="166"/>
        <v>1.7403999999999999</v>
      </c>
      <c r="AB348" s="179">
        <f t="shared" si="167"/>
        <v>1.9343999999999999</v>
      </c>
      <c r="AC348" s="179">
        <f t="shared" si="168"/>
        <v>1.4263999999999999</v>
      </c>
      <c r="AD348" s="179">
        <f t="shared" si="169"/>
        <v>1.2882</v>
      </c>
      <c r="AE348" s="179">
        <f t="shared" si="170"/>
        <v>1.3006</v>
      </c>
      <c r="AF348" s="179">
        <f t="shared" si="171"/>
        <v>1.1281999999999999</v>
      </c>
    </row>
    <row r="349" spans="2:32">
      <c r="B349" s="122">
        <f t="shared" si="158"/>
        <v>64997059</v>
      </c>
      <c r="C349" s="122" t="str">
        <f>VLOOKUP($B349,'Tech Litons'!$A:$I,3,0)</f>
        <v>Other</v>
      </c>
      <c r="D349" s="122" t="str">
        <f>VLOOKUP($B349,'Tech Litons'!$A:$I,4,0)</f>
        <v>Other</v>
      </c>
      <c r="E349" s="1022" t="s">
        <v>1050</v>
      </c>
      <c r="F349" s="1022">
        <v>64997059</v>
      </c>
      <c r="G349" s="1025"/>
      <c r="H349" s="1025"/>
      <c r="I349" s="1025"/>
      <c r="J349" s="1025"/>
      <c r="K349" s="1025"/>
      <c r="L349" s="1025"/>
      <c r="M349" s="1025"/>
      <c r="N349" s="1025"/>
      <c r="O349" s="1025"/>
      <c r="P349" s="1025"/>
      <c r="Q349" s="1025"/>
      <c r="R349" s="1025"/>
      <c r="S349" s="169">
        <f t="shared" si="159"/>
        <v>0</v>
      </c>
      <c r="T349" s="122">
        <f>VLOOKUP($B349,'Tech Litons'!$A:$I,9,0)</f>
        <v>96</v>
      </c>
      <c r="U349" s="179">
        <f t="shared" si="160"/>
        <v>0</v>
      </c>
      <c r="V349" s="179">
        <f t="shared" si="161"/>
        <v>0</v>
      </c>
      <c r="W349" s="179">
        <f t="shared" si="162"/>
        <v>0</v>
      </c>
      <c r="X349" s="179">
        <f t="shared" si="163"/>
        <v>0</v>
      </c>
      <c r="Y349" s="179">
        <f t="shared" si="164"/>
        <v>0</v>
      </c>
      <c r="Z349" s="179">
        <f t="shared" si="165"/>
        <v>0</v>
      </c>
      <c r="AA349" s="179">
        <f t="shared" si="166"/>
        <v>0</v>
      </c>
      <c r="AB349" s="179">
        <f t="shared" si="167"/>
        <v>0</v>
      </c>
      <c r="AC349" s="179">
        <f t="shared" si="168"/>
        <v>0</v>
      </c>
      <c r="AD349" s="179">
        <f t="shared" si="169"/>
        <v>0</v>
      </c>
      <c r="AE349" s="179">
        <f t="shared" si="170"/>
        <v>0</v>
      </c>
      <c r="AF349" s="179">
        <f t="shared" si="171"/>
        <v>0</v>
      </c>
    </row>
    <row r="350" spans="2:32">
      <c r="B350" s="122">
        <f t="shared" si="158"/>
        <v>64979444</v>
      </c>
      <c r="C350" s="122" t="str">
        <f>VLOOKUP($B350,'Tech Litons'!$A:$I,3,0)</f>
        <v>Facepieces</v>
      </c>
      <c r="D350" s="122" t="str">
        <f>VLOOKUP($B350,'Tech Litons'!$A:$I,4,0)</f>
        <v>Facepieces</v>
      </c>
      <c r="E350" s="1021" t="s">
        <v>622</v>
      </c>
      <c r="F350" s="1021">
        <v>64979444</v>
      </c>
      <c r="G350" s="1023">
        <v>23592</v>
      </c>
      <c r="H350" s="1023">
        <v>46126</v>
      </c>
      <c r="I350" s="1023">
        <v>73361.443132200147</v>
      </c>
      <c r="J350" s="1023">
        <v>109183.21971183692</v>
      </c>
      <c r="K350" s="1023">
        <v>129819.68799634697</v>
      </c>
      <c r="L350" s="1023">
        <v>149403.68799634697</v>
      </c>
      <c r="M350" s="1023">
        <v>110306</v>
      </c>
      <c r="N350" s="1023">
        <v>83208</v>
      </c>
      <c r="O350" s="1023">
        <v>69044</v>
      </c>
      <c r="P350" s="1023">
        <v>48934</v>
      </c>
      <c r="Q350" s="1023">
        <v>39682.920013698873</v>
      </c>
      <c r="R350" s="1023">
        <v>68829.801877415186</v>
      </c>
      <c r="S350" s="169">
        <f t="shared" si="159"/>
        <v>951490.76072784502</v>
      </c>
      <c r="T350" s="122">
        <f>VLOOKUP($B350,'Tech Litons'!$A:$I,9,0)</f>
        <v>195</v>
      </c>
      <c r="U350" s="179">
        <f t="shared" si="160"/>
        <v>120.98461538461538</v>
      </c>
      <c r="V350" s="179">
        <f t="shared" si="161"/>
        <v>236.54358974358973</v>
      </c>
      <c r="W350" s="179">
        <f t="shared" si="162"/>
        <v>376.21252888307765</v>
      </c>
      <c r="X350" s="179">
        <f t="shared" si="163"/>
        <v>559.91394724018937</v>
      </c>
      <c r="Y350" s="179">
        <f t="shared" si="164"/>
        <v>665.74198972485624</v>
      </c>
      <c r="Z350" s="179">
        <f t="shared" si="165"/>
        <v>766.17275895562545</v>
      </c>
      <c r="AA350" s="179">
        <f t="shared" si="166"/>
        <v>565.67179487179487</v>
      </c>
      <c r="AB350" s="179">
        <f t="shared" si="167"/>
        <v>426.7076923076923</v>
      </c>
      <c r="AC350" s="179">
        <f t="shared" si="168"/>
        <v>354.07179487179485</v>
      </c>
      <c r="AD350" s="179">
        <f t="shared" si="169"/>
        <v>250.94358974358974</v>
      </c>
      <c r="AE350" s="179">
        <f t="shared" si="170"/>
        <v>203.50215391640447</v>
      </c>
      <c r="AF350" s="179">
        <f t="shared" si="171"/>
        <v>352.97334296110353</v>
      </c>
    </row>
    <row r="351" spans="2:32">
      <c r="B351" s="122">
        <f t="shared" si="158"/>
        <v>65254774</v>
      </c>
      <c r="C351" s="122" t="str">
        <f>VLOOKUP($B351,'Tech Litons'!$A:$I,3,0)</f>
        <v>Other</v>
      </c>
      <c r="D351" s="122" t="str">
        <f>VLOOKUP($B351,'Tech Litons'!$A:$I,4,0)</f>
        <v>Other</v>
      </c>
      <c r="E351" s="1022" t="s">
        <v>614</v>
      </c>
      <c r="F351" s="1022">
        <v>65254774</v>
      </c>
      <c r="G351" s="1025">
        <v>0</v>
      </c>
      <c r="H351" s="1025">
        <v>0</v>
      </c>
      <c r="I351" s="1025">
        <v>9772</v>
      </c>
      <c r="J351" s="1025">
        <v>11324</v>
      </c>
      <c r="K351" s="1025">
        <v>11724</v>
      </c>
      <c r="L351" s="1025">
        <v>58806</v>
      </c>
      <c r="M351" s="1025">
        <v>83077</v>
      </c>
      <c r="N351" s="1025">
        <v>132090</v>
      </c>
      <c r="O351" s="1025">
        <v>122026</v>
      </c>
      <c r="P351" s="1025">
        <v>84012</v>
      </c>
      <c r="Q351" s="1025">
        <v>68541</v>
      </c>
      <c r="R351" s="1025">
        <v>7714</v>
      </c>
      <c r="S351" s="169">
        <f t="shared" si="159"/>
        <v>589086</v>
      </c>
      <c r="T351" s="122">
        <f>VLOOKUP($B351,'Tech Litons'!$A:$I,9,0)</f>
        <v>420</v>
      </c>
      <c r="U351" s="179">
        <f t="shared" si="160"/>
        <v>0</v>
      </c>
      <c r="V351" s="179">
        <f t="shared" si="161"/>
        <v>0</v>
      </c>
      <c r="W351" s="179">
        <f t="shared" si="162"/>
        <v>23.266666666666666</v>
      </c>
      <c r="X351" s="179">
        <f t="shared" si="163"/>
        <v>26.961904761904762</v>
      </c>
      <c r="Y351" s="179">
        <f t="shared" si="164"/>
        <v>27.914285714285715</v>
      </c>
      <c r="Z351" s="179">
        <f t="shared" si="165"/>
        <v>140.01428571428571</v>
      </c>
      <c r="AA351" s="179">
        <f t="shared" si="166"/>
        <v>197.80238095238096</v>
      </c>
      <c r="AB351" s="179">
        <f t="shared" si="167"/>
        <v>314.5</v>
      </c>
      <c r="AC351" s="179">
        <f t="shared" si="168"/>
        <v>290.53809523809525</v>
      </c>
      <c r="AD351" s="179">
        <f t="shared" si="169"/>
        <v>200.02857142857144</v>
      </c>
      <c r="AE351" s="179">
        <f t="shared" si="170"/>
        <v>163.19285714285715</v>
      </c>
      <c r="AF351" s="179">
        <f t="shared" si="171"/>
        <v>18.366666666666667</v>
      </c>
    </row>
    <row r="352" spans="2:32">
      <c r="B352" s="122">
        <f t="shared" si="158"/>
        <v>65594416</v>
      </c>
      <c r="C352" s="122" t="str">
        <f>VLOOKUP($B352,'Tech Litons'!$A:$I,3,0)</f>
        <v>MG Sticks</v>
      </c>
      <c r="D352" s="122" t="str">
        <f>VLOOKUP($B352,'Tech Litons'!$A:$I,4,0)</f>
        <v>MG Sticks</v>
      </c>
      <c r="E352" s="1021" t="s">
        <v>1241</v>
      </c>
      <c r="F352" s="1021">
        <v>65594416</v>
      </c>
      <c r="G352" s="1023">
        <v>0</v>
      </c>
      <c r="H352" s="1023">
        <v>0</v>
      </c>
      <c r="I352" s="1023">
        <v>59835</v>
      </c>
      <c r="J352" s="1023">
        <v>237797.14285714284</v>
      </c>
      <c r="K352" s="1023">
        <v>171255.85714285713</v>
      </c>
      <c r="L352" s="1023">
        <v>98590</v>
      </c>
      <c r="M352" s="1023">
        <v>0</v>
      </c>
      <c r="N352" s="1023">
        <v>0</v>
      </c>
      <c r="O352" s="1023">
        <v>0</v>
      </c>
      <c r="P352" s="1023">
        <v>0</v>
      </c>
      <c r="Q352" s="1023">
        <v>0</v>
      </c>
      <c r="R352" s="1023">
        <v>0</v>
      </c>
      <c r="S352" s="169">
        <f t="shared" si="159"/>
        <v>567478</v>
      </c>
      <c r="T352" s="122">
        <f>VLOOKUP($B352,'Tech Litons'!$A:$I,9,0)</f>
        <v>432</v>
      </c>
      <c r="U352" s="179">
        <f t="shared" si="160"/>
        <v>0</v>
      </c>
      <c r="V352" s="179">
        <f t="shared" si="161"/>
        <v>0</v>
      </c>
      <c r="W352" s="179">
        <f t="shared" si="162"/>
        <v>138.50694444444446</v>
      </c>
      <c r="X352" s="179">
        <f t="shared" si="163"/>
        <v>550.45634920634916</v>
      </c>
      <c r="Y352" s="179">
        <f t="shared" si="164"/>
        <v>396.42559523809518</v>
      </c>
      <c r="Z352" s="179">
        <f t="shared" si="165"/>
        <v>228.21759259259258</v>
      </c>
      <c r="AA352" s="179">
        <f t="shared" si="166"/>
        <v>0</v>
      </c>
      <c r="AB352" s="179">
        <f t="shared" si="167"/>
        <v>0</v>
      </c>
      <c r="AC352" s="179">
        <f t="shared" si="168"/>
        <v>0</v>
      </c>
      <c r="AD352" s="179">
        <f t="shared" si="169"/>
        <v>0</v>
      </c>
      <c r="AE352" s="179">
        <f t="shared" si="170"/>
        <v>0</v>
      </c>
      <c r="AF352" s="179">
        <f t="shared" si="171"/>
        <v>0</v>
      </c>
    </row>
    <row r="353" spans="2:32">
      <c r="B353" s="122">
        <f t="shared" si="158"/>
        <v>64956417</v>
      </c>
      <c r="C353" s="122" t="str">
        <f>VLOOKUP($B353,'Tech Litons'!$A:$I,3,0)</f>
        <v>Facepieces</v>
      </c>
      <c r="D353" s="122" t="str">
        <f>VLOOKUP($B353,'Tech Litons'!$A:$I,4,0)</f>
        <v>Facepieces</v>
      </c>
      <c r="E353" s="1022" t="s">
        <v>621</v>
      </c>
      <c r="F353" s="1022">
        <v>64956417</v>
      </c>
      <c r="G353" s="1025">
        <v>11453</v>
      </c>
      <c r="H353" s="1025">
        <v>24541</v>
      </c>
      <c r="I353" s="1025">
        <v>41320.938178381628</v>
      </c>
      <c r="J353" s="1025">
        <v>74088.436860413611</v>
      </c>
      <c r="K353" s="1025">
        <v>76134.980269861553</v>
      </c>
      <c r="L353" s="1025">
        <v>86304.980269861524</v>
      </c>
      <c r="M353" s="1025">
        <v>62813.000000000007</v>
      </c>
      <c r="N353" s="1025">
        <v>47389.000000000007</v>
      </c>
      <c r="O353" s="1025">
        <v>40248.000000000007</v>
      </c>
      <c r="P353" s="1025">
        <v>29712</v>
      </c>
      <c r="Q353" s="1025">
        <v>23690.823988019274</v>
      </c>
      <c r="R353" s="1025">
        <v>39732.948005854181</v>
      </c>
      <c r="S353" s="169">
        <f t="shared" si="159"/>
        <v>557429.10757239175</v>
      </c>
      <c r="T353" s="122">
        <f>VLOOKUP($B353,'Tech Litons'!$A:$I,9,0)</f>
        <v>143</v>
      </c>
      <c r="U353" s="179">
        <f t="shared" si="160"/>
        <v>80.090909090909093</v>
      </c>
      <c r="V353" s="179">
        <f t="shared" si="161"/>
        <v>171.61538461538461</v>
      </c>
      <c r="W353" s="179">
        <f t="shared" si="162"/>
        <v>288.95760963903234</v>
      </c>
      <c r="X353" s="179">
        <f t="shared" si="163"/>
        <v>518.10095706582945</v>
      </c>
      <c r="Y353" s="179">
        <f t="shared" si="164"/>
        <v>532.41244943959123</v>
      </c>
      <c r="Z353" s="179">
        <f t="shared" si="165"/>
        <v>603.53133055847218</v>
      </c>
      <c r="AA353" s="179">
        <f t="shared" si="166"/>
        <v>439.25174825174832</v>
      </c>
      <c r="AB353" s="179">
        <f t="shared" si="167"/>
        <v>331.39160839160843</v>
      </c>
      <c r="AC353" s="179">
        <f t="shared" si="168"/>
        <v>281.4545454545455</v>
      </c>
      <c r="AD353" s="179">
        <f t="shared" si="169"/>
        <v>207.77622377622379</v>
      </c>
      <c r="AE353" s="179">
        <f t="shared" si="170"/>
        <v>165.67009781831661</v>
      </c>
      <c r="AF353" s="179">
        <f t="shared" si="171"/>
        <v>277.85278325772157</v>
      </c>
    </row>
    <row r="354" spans="2:32">
      <c r="B354" s="122">
        <f t="shared" si="158"/>
        <v>64987234</v>
      </c>
      <c r="C354" s="122" t="str">
        <f>VLOOKUP($B354,'Tech Litons'!$A:$I,3,0)</f>
        <v>BJ Bars</v>
      </c>
      <c r="D354" s="122" t="str">
        <f>VLOOKUP($B354,'Tech Litons'!$A:$I,4,0)</f>
        <v>BJ Bars</v>
      </c>
      <c r="E354" s="1021" t="s">
        <v>598</v>
      </c>
      <c r="F354" s="1021">
        <v>64987234</v>
      </c>
      <c r="G354" s="1023">
        <v>11175</v>
      </c>
      <c r="H354" s="1023">
        <v>23039</v>
      </c>
      <c r="I354" s="1023">
        <v>38666</v>
      </c>
      <c r="J354" s="1023">
        <v>38516.199999999997</v>
      </c>
      <c r="K354" s="1023">
        <v>54252.2</v>
      </c>
      <c r="L354" s="1023">
        <v>53017</v>
      </c>
      <c r="M354" s="1023">
        <v>50472.2</v>
      </c>
      <c r="N354" s="1023">
        <v>53024.4</v>
      </c>
      <c r="O354" s="1023">
        <v>48713.4</v>
      </c>
      <c r="P354" s="1023">
        <v>49757.8</v>
      </c>
      <c r="Q354" s="1023">
        <v>43270.6</v>
      </c>
      <c r="R354" s="1023">
        <v>45248.2</v>
      </c>
      <c r="S354" s="169">
        <f t="shared" si="159"/>
        <v>509152</v>
      </c>
      <c r="T354" s="122">
        <f>VLOOKUP($B354,'Tech Litons'!$A:$I,9,0)</f>
        <v>165</v>
      </c>
      <c r="U354" s="179">
        <f t="shared" si="160"/>
        <v>67.727272727272734</v>
      </c>
      <c r="V354" s="179">
        <f t="shared" si="161"/>
        <v>139.63030303030303</v>
      </c>
      <c r="W354" s="179">
        <f t="shared" si="162"/>
        <v>234.33939393939394</v>
      </c>
      <c r="X354" s="179">
        <f t="shared" si="163"/>
        <v>233.43151515151513</v>
      </c>
      <c r="Y354" s="179">
        <f t="shared" si="164"/>
        <v>328.80121212121213</v>
      </c>
      <c r="Z354" s="179">
        <f t="shared" si="165"/>
        <v>321.31515151515151</v>
      </c>
      <c r="AA354" s="179">
        <f t="shared" si="166"/>
        <v>305.8921212121212</v>
      </c>
      <c r="AB354" s="179">
        <f t="shared" si="167"/>
        <v>321.36</v>
      </c>
      <c r="AC354" s="179">
        <f t="shared" si="168"/>
        <v>295.23272727272729</v>
      </c>
      <c r="AD354" s="179">
        <f t="shared" si="169"/>
        <v>301.56242424242424</v>
      </c>
      <c r="AE354" s="179">
        <f t="shared" si="170"/>
        <v>262.24606060606061</v>
      </c>
      <c r="AF354" s="179">
        <f t="shared" si="171"/>
        <v>274.23151515151511</v>
      </c>
    </row>
    <row r="355" spans="2:32">
      <c r="B355" s="122">
        <f t="shared" si="158"/>
        <v>64977530</v>
      </c>
      <c r="C355" s="122" t="str">
        <f>VLOOKUP($B355,'Tech Litons'!$A:$I,3,0)</f>
        <v>48oz</v>
      </c>
      <c r="D355" s="122" t="str">
        <f>VLOOKUP($B355,'Tech Litons'!$A:$I,4,0)</f>
        <v>48oz</v>
      </c>
      <c r="E355" s="1021" t="s">
        <v>310</v>
      </c>
      <c r="F355" s="1021">
        <v>64977530</v>
      </c>
      <c r="G355" s="1023">
        <v>13981</v>
      </c>
      <c r="H355" s="1023">
        <v>35018</v>
      </c>
      <c r="I355" s="1023">
        <v>25618.514029124002</v>
      </c>
      <c r="J355" s="1023">
        <v>34573.527673104902</v>
      </c>
      <c r="K355" s="1023">
        <v>40704.133537509922</v>
      </c>
      <c r="L355" s="1023">
        <v>42234.561237275942</v>
      </c>
      <c r="M355" s="1023">
        <v>44696.316474453713</v>
      </c>
      <c r="N355" s="1023">
        <v>44696.706104241115</v>
      </c>
      <c r="O355" s="1023">
        <v>43241.313048843331</v>
      </c>
      <c r="P355" s="1023">
        <v>44688.260226646868</v>
      </c>
      <c r="Q355" s="1023">
        <v>43251.276960780931</v>
      </c>
      <c r="R355" s="1023">
        <v>44663.740663580335</v>
      </c>
      <c r="S355" s="169">
        <f t="shared" si="159"/>
        <v>457367.34995556111</v>
      </c>
      <c r="T355" s="122">
        <f>VLOOKUP($B355,'Tech Litons'!$A:$I,9,0)</f>
        <v>176</v>
      </c>
      <c r="U355" s="179">
        <f t="shared" si="160"/>
        <v>79.4375</v>
      </c>
      <c r="V355" s="179">
        <f t="shared" si="161"/>
        <v>198.96590909090909</v>
      </c>
      <c r="W355" s="179">
        <f t="shared" si="162"/>
        <v>145.55973880184092</v>
      </c>
      <c r="X355" s="179">
        <f t="shared" si="163"/>
        <v>196.44049814264147</v>
      </c>
      <c r="Y355" s="179">
        <f t="shared" si="164"/>
        <v>231.27348600857911</v>
      </c>
      <c r="Z355" s="179">
        <f t="shared" si="165"/>
        <v>239.96909793906786</v>
      </c>
      <c r="AA355" s="179">
        <f t="shared" si="166"/>
        <v>253.95634360485064</v>
      </c>
      <c r="AB355" s="179">
        <f t="shared" si="167"/>
        <v>253.95855741046088</v>
      </c>
      <c r="AC355" s="179">
        <f t="shared" si="168"/>
        <v>245.68927868660984</v>
      </c>
      <c r="AD355" s="179">
        <f t="shared" si="169"/>
        <v>253.91056946958449</v>
      </c>
      <c r="AE355" s="179">
        <f t="shared" si="170"/>
        <v>245.74589182261892</v>
      </c>
      <c r="AF355" s="179">
        <f t="shared" si="171"/>
        <v>253.77125377034281</v>
      </c>
    </row>
    <row r="356" spans="2:32">
      <c r="B356" s="122">
        <f t="shared" si="158"/>
        <v>64973976</v>
      </c>
      <c r="C356" s="122" t="str">
        <f>VLOOKUP($B356,'Tech Litons'!$A:$I,3,0)</f>
        <v>BR Minicups</v>
      </c>
      <c r="D356" s="122" t="str">
        <f>VLOOKUP($B356,'Tech Litons'!$A:$I,4,0)</f>
        <v>Other</v>
      </c>
      <c r="E356" s="1022" t="s">
        <v>1190</v>
      </c>
      <c r="F356" s="1022">
        <v>64973976</v>
      </c>
      <c r="G356" s="1025">
        <v>0</v>
      </c>
      <c r="H356" s="1025">
        <v>0</v>
      </c>
      <c r="I356" s="1025">
        <v>0</v>
      </c>
      <c r="J356" s="1025">
        <v>0</v>
      </c>
      <c r="K356" s="1025">
        <v>0</v>
      </c>
      <c r="L356" s="1025">
        <v>17673.669999999998</v>
      </c>
      <c r="M356" s="1025">
        <v>250616</v>
      </c>
      <c r="N356" s="1025">
        <v>128790.98999999999</v>
      </c>
      <c r="O356" s="1025">
        <v>56974.009999999995</v>
      </c>
      <c r="P356" s="1025">
        <v>0</v>
      </c>
      <c r="Q356" s="1025">
        <v>0</v>
      </c>
      <c r="R356" s="1025">
        <v>0</v>
      </c>
      <c r="S356" s="169">
        <f t="shared" si="159"/>
        <v>454054.67</v>
      </c>
      <c r="T356" s="122">
        <f>VLOOKUP($B356,'Tech Litons'!$A:$I,9,0)</f>
        <v>190</v>
      </c>
      <c r="U356" s="179">
        <f t="shared" si="160"/>
        <v>0</v>
      </c>
      <c r="V356" s="179">
        <f t="shared" si="161"/>
        <v>0</v>
      </c>
      <c r="W356" s="179">
        <f t="shared" si="162"/>
        <v>0</v>
      </c>
      <c r="X356" s="179">
        <f t="shared" si="163"/>
        <v>0</v>
      </c>
      <c r="Y356" s="179">
        <f t="shared" si="164"/>
        <v>0</v>
      </c>
      <c r="Z356" s="179">
        <f t="shared" si="165"/>
        <v>93.01931578947368</v>
      </c>
      <c r="AA356" s="179">
        <f t="shared" si="166"/>
        <v>1319.0315789473684</v>
      </c>
      <c r="AB356" s="179">
        <f t="shared" si="167"/>
        <v>677.84731578947367</v>
      </c>
      <c r="AC356" s="179">
        <f t="shared" si="168"/>
        <v>299.86321052631575</v>
      </c>
      <c r="AD356" s="179">
        <f t="shared" si="169"/>
        <v>0</v>
      </c>
      <c r="AE356" s="179">
        <f t="shared" si="170"/>
        <v>0</v>
      </c>
      <c r="AF356" s="179">
        <f t="shared" si="171"/>
        <v>0</v>
      </c>
    </row>
    <row r="357" spans="2:32">
      <c r="B357" s="122">
        <f t="shared" si="158"/>
        <v>64975613</v>
      </c>
      <c r="C357" s="122" t="str">
        <f>VLOOKUP($B357,'Tech Litons'!$A:$I,3,0)</f>
        <v>YS PTS</v>
      </c>
      <c r="D357" s="122" t="str">
        <f>VLOOKUP($B357,'Tech Litons'!$A:$I,4,0)</f>
        <v>YS PTS</v>
      </c>
      <c r="E357" s="1021" t="s">
        <v>1052</v>
      </c>
      <c r="F357" s="1021">
        <v>64975613</v>
      </c>
      <c r="G357" s="1023">
        <v>18172</v>
      </c>
      <c r="H357" s="1023">
        <v>17265</v>
      </c>
      <c r="I357" s="1023">
        <v>40381.785597370763</v>
      </c>
      <c r="J357" s="1023">
        <v>44653.918566750181</v>
      </c>
      <c r="K357" s="1023">
        <v>51181.039420253735</v>
      </c>
      <c r="L357" s="1023">
        <v>55902.778267241833</v>
      </c>
      <c r="M357" s="1023">
        <v>42403.866348220952</v>
      </c>
      <c r="N357" s="1023">
        <v>41898.026320099329</v>
      </c>
      <c r="O357" s="1023">
        <v>39866.666666666672</v>
      </c>
      <c r="P357" s="1023">
        <v>31075</v>
      </c>
      <c r="Q357" s="1023">
        <v>30668</v>
      </c>
      <c r="R357" s="1023">
        <v>34275.333333333328</v>
      </c>
      <c r="S357" s="169">
        <f t="shared" si="159"/>
        <v>447743.41451993678</v>
      </c>
      <c r="T357" s="122">
        <f>VLOOKUP($B357,'Tech Litons'!$A:$I,9,0)</f>
        <v>240</v>
      </c>
      <c r="U357" s="179">
        <f t="shared" si="160"/>
        <v>75.716666666666669</v>
      </c>
      <c r="V357" s="179">
        <f t="shared" si="161"/>
        <v>71.9375</v>
      </c>
      <c r="W357" s="179">
        <f t="shared" si="162"/>
        <v>168.25743998904485</v>
      </c>
      <c r="X357" s="179">
        <f t="shared" si="163"/>
        <v>186.05799402812576</v>
      </c>
      <c r="Y357" s="179">
        <f t="shared" si="164"/>
        <v>213.25433091772391</v>
      </c>
      <c r="Z357" s="179">
        <f t="shared" si="165"/>
        <v>232.92824278017432</v>
      </c>
      <c r="AA357" s="179">
        <f t="shared" si="166"/>
        <v>176.68277645092064</v>
      </c>
      <c r="AB357" s="179">
        <f t="shared" si="167"/>
        <v>174.57510966708054</v>
      </c>
      <c r="AC357" s="179">
        <f t="shared" si="168"/>
        <v>166.11111111111114</v>
      </c>
      <c r="AD357" s="179">
        <f t="shared" si="169"/>
        <v>129.47916666666666</v>
      </c>
      <c r="AE357" s="179">
        <f t="shared" si="170"/>
        <v>127.78333333333333</v>
      </c>
      <c r="AF357" s="179">
        <f t="shared" si="171"/>
        <v>142.81388888888887</v>
      </c>
    </row>
    <row r="358" spans="2:32">
      <c r="B358" s="122">
        <f t="shared" si="158"/>
        <v>64975614</v>
      </c>
      <c r="C358" s="122" t="str">
        <f>VLOOKUP($B358,'Tech Litons'!$A:$I,3,0)</f>
        <v>YS PTS</v>
      </c>
      <c r="D358" s="122" t="str">
        <f>VLOOKUP($B358,'Tech Litons'!$A:$I,4,0)</f>
        <v>YS PTS</v>
      </c>
      <c r="E358" s="1021" t="s">
        <v>1053</v>
      </c>
      <c r="F358" s="1021">
        <v>64975614</v>
      </c>
      <c r="G358" s="1023">
        <v>18330</v>
      </c>
      <c r="H358" s="1023">
        <v>14151</v>
      </c>
      <c r="I358" s="1023">
        <v>40502.667011700614</v>
      </c>
      <c r="J358" s="1023">
        <v>45042.914436347382</v>
      </c>
      <c r="K358" s="1023">
        <v>51651.225346935869</v>
      </c>
      <c r="L358" s="1023">
        <v>56435.511959483185</v>
      </c>
      <c r="M358" s="1023">
        <v>42530.420049232387</v>
      </c>
      <c r="N358" s="1023">
        <v>42074.869661192657</v>
      </c>
      <c r="O358" s="1023">
        <v>40119.666666666672</v>
      </c>
      <c r="P358" s="1023">
        <v>31281</v>
      </c>
      <c r="Q358" s="1023">
        <v>30867</v>
      </c>
      <c r="R358" s="1023">
        <v>34478.333333333328</v>
      </c>
      <c r="S358" s="169">
        <f t="shared" si="159"/>
        <v>447464.60846489208</v>
      </c>
      <c r="T358" s="122">
        <f>VLOOKUP($B358,'Tech Litons'!$A:$I,9,0)</f>
        <v>240</v>
      </c>
      <c r="U358" s="179">
        <f t="shared" si="160"/>
        <v>76.375</v>
      </c>
      <c r="V358" s="179">
        <f t="shared" si="161"/>
        <v>58.962499999999999</v>
      </c>
      <c r="W358" s="179">
        <f t="shared" si="162"/>
        <v>168.76111254875255</v>
      </c>
      <c r="X358" s="179">
        <f t="shared" si="163"/>
        <v>187.67881015144744</v>
      </c>
      <c r="Y358" s="179">
        <f t="shared" si="164"/>
        <v>215.21343894556611</v>
      </c>
      <c r="Z358" s="179">
        <f t="shared" si="165"/>
        <v>235.1479664978466</v>
      </c>
      <c r="AA358" s="179">
        <f t="shared" si="166"/>
        <v>177.21008353846827</v>
      </c>
      <c r="AB358" s="179">
        <f t="shared" si="167"/>
        <v>175.31195692163607</v>
      </c>
      <c r="AC358" s="179">
        <f t="shared" si="168"/>
        <v>167.16527777777779</v>
      </c>
      <c r="AD358" s="179">
        <f t="shared" si="169"/>
        <v>130.33750000000001</v>
      </c>
      <c r="AE358" s="179">
        <f t="shared" si="170"/>
        <v>128.61250000000001</v>
      </c>
      <c r="AF358" s="179">
        <f t="shared" si="171"/>
        <v>143.6597222222222</v>
      </c>
    </row>
    <row r="359" spans="2:32">
      <c r="B359" s="122">
        <f t="shared" si="158"/>
        <v>64987232</v>
      </c>
      <c r="C359" s="122" t="str">
        <f>VLOOKUP($B359,'Tech Litons'!$A:$I,3,0)</f>
        <v>BJ Bars</v>
      </c>
      <c r="D359" s="122" t="str">
        <f>VLOOKUP($B359,'Tech Litons'!$A:$I,4,0)</f>
        <v>BJ Bars</v>
      </c>
      <c r="E359" s="1021" t="s">
        <v>596</v>
      </c>
      <c r="F359" s="1021">
        <v>64987232</v>
      </c>
      <c r="G359" s="1023">
        <v>10233</v>
      </c>
      <c r="H359" s="1023">
        <v>19908</v>
      </c>
      <c r="I359" s="1023">
        <v>34372</v>
      </c>
      <c r="J359" s="1023">
        <v>34081.200000000004</v>
      </c>
      <c r="K359" s="1023">
        <v>49373.2</v>
      </c>
      <c r="L359" s="1023">
        <v>46916</v>
      </c>
      <c r="M359" s="1023">
        <v>43875.199999999997</v>
      </c>
      <c r="N359" s="1023">
        <v>45985.4</v>
      </c>
      <c r="O359" s="1023">
        <v>42222.400000000001</v>
      </c>
      <c r="P359" s="1023">
        <v>43196.800000000003</v>
      </c>
      <c r="Q359" s="1023">
        <v>37559.599999999999</v>
      </c>
      <c r="R359" s="1023">
        <v>39283.199999999997</v>
      </c>
      <c r="S359" s="169">
        <f t="shared" si="159"/>
        <v>447006.00000000006</v>
      </c>
      <c r="T359" s="122">
        <f>VLOOKUP($B359,'Tech Litons'!$A:$I,9,0)</f>
        <v>165</v>
      </c>
      <c r="U359" s="179">
        <f t="shared" si="160"/>
        <v>62.018181818181816</v>
      </c>
      <c r="V359" s="179">
        <f t="shared" si="161"/>
        <v>120.65454545454546</v>
      </c>
      <c r="W359" s="179">
        <f t="shared" si="162"/>
        <v>208.31515151515151</v>
      </c>
      <c r="X359" s="179">
        <f t="shared" si="163"/>
        <v>206.55272727272731</v>
      </c>
      <c r="Y359" s="179">
        <f t="shared" si="164"/>
        <v>299.23151515151511</v>
      </c>
      <c r="Z359" s="179">
        <f t="shared" si="165"/>
        <v>284.33939393939391</v>
      </c>
      <c r="AA359" s="179">
        <f t="shared" si="166"/>
        <v>265.910303030303</v>
      </c>
      <c r="AB359" s="179">
        <f t="shared" si="167"/>
        <v>278.69939393939393</v>
      </c>
      <c r="AC359" s="179">
        <f t="shared" si="168"/>
        <v>255.89333333333335</v>
      </c>
      <c r="AD359" s="179">
        <f t="shared" si="169"/>
        <v>261.79878787878789</v>
      </c>
      <c r="AE359" s="179">
        <f t="shared" si="170"/>
        <v>227.63393939393939</v>
      </c>
      <c r="AF359" s="179">
        <f t="shared" si="171"/>
        <v>238.07999999999998</v>
      </c>
    </row>
    <row r="360" spans="2:32">
      <c r="B360" s="122">
        <f t="shared" si="158"/>
        <v>64999073</v>
      </c>
      <c r="C360" s="122" t="str">
        <f>VLOOKUP($B360,'Tech Litons'!$A:$I,3,0)</f>
        <v>YS PTS</v>
      </c>
      <c r="D360" s="122" t="str">
        <f>VLOOKUP($B360,'Tech Litons'!$A:$I,4,0)</f>
        <v>YS PTS</v>
      </c>
      <c r="E360" s="1021" t="s">
        <v>595</v>
      </c>
      <c r="F360" s="1021">
        <v>64999073</v>
      </c>
      <c r="G360" s="1023">
        <v>17104</v>
      </c>
      <c r="H360" s="1023">
        <v>17791</v>
      </c>
      <c r="I360" s="1023">
        <v>39234.967962039547</v>
      </c>
      <c r="J360" s="1023">
        <v>43100.134618304088</v>
      </c>
      <c r="K360" s="1023">
        <v>49551.577766008726</v>
      </c>
      <c r="L360" s="1023">
        <v>54090.446350120488</v>
      </c>
      <c r="M360" s="1023">
        <v>40972.646765681886</v>
      </c>
      <c r="N360" s="1023">
        <v>40432.950504356515</v>
      </c>
      <c r="O360" s="1023">
        <v>38560.666666666672</v>
      </c>
      <c r="P360" s="1023">
        <v>30007</v>
      </c>
      <c r="Q360" s="1023">
        <v>29648.000000000004</v>
      </c>
      <c r="R360" s="1023">
        <v>33219.333333333328</v>
      </c>
      <c r="S360" s="169">
        <f t="shared" si="159"/>
        <v>433712.72396651126</v>
      </c>
      <c r="T360" s="122">
        <f>VLOOKUP($B360,'Tech Litons'!$A:$I,9,0)</f>
        <v>240</v>
      </c>
      <c r="U360" s="179">
        <f t="shared" si="160"/>
        <v>71.266666666666666</v>
      </c>
      <c r="V360" s="179">
        <f t="shared" si="161"/>
        <v>74.129166666666663</v>
      </c>
      <c r="W360" s="179">
        <f t="shared" si="162"/>
        <v>163.47903317516477</v>
      </c>
      <c r="X360" s="179">
        <f t="shared" si="163"/>
        <v>179.5838942429337</v>
      </c>
      <c r="Y360" s="179">
        <f t="shared" si="164"/>
        <v>206.46490735836969</v>
      </c>
      <c r="Z360" s="179">
        <f t="shared" si="165"/>
        <v>225.37685979216869</v>
      </c>
      <c r="AA360" s="179">
        <f t="shared" si="166"/>
        <v>170.71936152367454</v>
      </c>
      <c r="AB360" s="179">
        <f t="shared" si="167"/>
        <v>168.47062710148549</v>
      </c>
      <c r="AC360" s="179">
        <f t="shared" si="168"/>
        <v>160.66944444444445</v>
      </c>
      <c r="AD360" s="179">
        <f t="shared" si="169"/>
        <v>125.02916666666667</v>
      </c>
      <c r="AE360" s="179">
        <f t="shared" si="170"/>
        <v>123.53333333333335</v>
      </c>
      <c r="AF360" s="179">
        <f t="shared" si="171"/>
        <v>138.41388888888886</v>
      </c>
    </row>
    <row r="361" spans="2:32">
      <c r="B361" s="122">
        <f t="shared" si="158"/>
        <v>64975616</v>
      </c>
      <c r="C361" s="122" t="str">
        <f>VLOOKUP($B361,'Tech Litons'!$A:$I,3,0)</f>
        <v>YS PTS</v>
      </c>
      <c r="D361" s="122" t="str">
        <f>VLOOKUP($B361,'Tech Litons'!$A:$I,4,0)</f>
        <v>YS PTS</v>
      </c>
      <c r="E361" s="1022" t="s">
        <v>1054</v>
      </c>
      <c r="F361" s="1022">
        <v>64975616</v>
      </c>
      <c r="G361" s="1025">
        <v>15405</v>
      </c>
      <c r="H361" s="1025">
        <v>14820</v>
      </c>
      <c r="I361" s="1025">
        <v>36915.278233770136</v>
      </c>
      <c r="J361" s="1025">
        <v>39670.187757349639</v>
      </c>
      <c r="K361" s="1025">
        <v>45497.406460998027</v>
      </c>
      <c r="L361" s="1025">
        <v>49441.208209671604</v>
      </c>
      <c r="M361" s="1025">
        <v>37462.866359196196</v>
      </c>
      <c r="N361" s="1025">
        <v>36761.026327833824</v>
      </c>
      <c r="O361" s="1025">
        <v>35131.666666666672</v>
      </c>
      <c r="P361" s="1025">
        <v>27199</v>
      </c>
      <c r="Q361" s="1025">
        <v>26964</v>
      </c>
      <c r="R361" s="1025">
        <v>30447.333333333332</v>
      </c>
      <c r="S361" s="169">
        <f t="shared" si="159"/>
        <v>395714.97334881942</v>
      </c>
      <c r="T361" s="122">
        <f>VLOOKUP($B361,'Tech Litons'!$A:$I,9,0)</f>
        <v>240</v>
      </c>
      <c r="U361" s="179">
        <f t="shared" si="160"/>
        <v>64.1875</v>
      </c>
      <c r="V361" s="179">
        <f t="shared" si="161"/>
        <v>61.75</v>
      </c>
      <c r="W361" s="179">
        <f t="shared" si="162"/>
        <v>153.81365930737556</v>
      </c>
      <c r="X361" s="179">
        <f t="shared" si="163"/>
        <v>165.29244898895683</v>
      </c>
      <c r="Y361" s="179">
        <f t="shared" si="164"/>
        <v>189.57252692082511</v>
      </c>
      <c r="Z361" s="179">
        <f t="shared" si="165"/>
        <v>206.00503420696501</v>
      </c>
      <c r="AA361" s="179">
        <f t="shared" si="166"/>
        <v>156.09527649665083</v>
      </c>
      <c r="AB361" s="179">
        <f t="shared" si="167"/>
        <v>153.17094303264093</v>
      </c>
      <c r="AC361" s="179">
        <f t="shared" si="168"/>
        <v>146.38194444444446</v>
      </c>
      <c r="AD361" s="179">
        <f t="shared" si="169"/>
        <v>113.32916666666667</v>
      </c>
      <c r="AE361" s="179">
        <f t="shared" si="170"/>
        <v>112.35</v>
      </c>
      <c r="AF361" s="179">
        <f t="shared" si="171"/>
        <v>126.86388888888888</v>
      </c>
    </row>
    <row r="362" spans="2:32">
      <c r="B362" s="122">
        <f t="shared" si="158"/>
        <v>65472837</v>
      </c>
      <c r="C362" s="122" t="str">
        <f>VLOOKUP($B362,'Tech Litons'!$A:$I,3,0)</f>
        <v>Other</v>
      </c>
      <c r="D362" s="122" t="str">
        <f>VLOOKUP($B362,'Tech Litons'!$A:$I,4,0)</f>
        <v>Other</v>
      </c>
      <c r="E362" s="1022" t="s">
        <v>1191</v>
      </c>
      <c r="F362" s="1022">
        <v>65472837</v>
      </c>
      <c r="G362" s="1025">
        <v>0</v>
      </c>
      <c r="H362" s="1025">
        <v>0</v>
      </c>
      <c r="I362" s="1025">
        <v>0</v>
      </c>
      <c r="J362" s="1025">
        <v>0</v>
      </c>
      <c r="K362" s="1025">
        <v>26000</v>
      </c>
      <c r="L362" s="1025">
        <v>26000</v>
      </c>
      <c r="M362" s="1025">
        <v>170775</v>
      </c>
      <c r="N362" s="1025">
        <v>137076.03</v>
      </c>
      <c r="O362" s="1025">
        <v>0</v>
      </c>
      <c r="P362" s="1025">
        <v>0</v>
      </c>
      <c r="Q362" s="1025">
        <v>0</v>
      </c>
      <c r="R362" s="1025">
        <v>0</v>
      </c>
      <c r="S362" s="169">
        <f t="shared" si="159"/>
        <v>359851.03</v>
      </c>
      <c r="T362" s="122">
        <f>VLOOKUP($B362,'Tech Litons'!$A:$I,9,0)</f>
        <v>275</v>
      </c>
      <c r="U362" s="179">
        <f t="shared" si="160"/>
        <v>0</v>
      </c>
      <c r="V362" s="179">
        <f t="shared" si="161"/>
        <v>0</v>
      </c>
      <c r="W362" s="179">
        <f t="shared" si="162"/>
        <v>0</v>
      </c>
      <c r="X362" s="179">
        <f t="shared" si="163"/>
        <v>0</v>
      </c>
      <c r="Y362" s="179">
        <f t="shared" si="164"/>
        <v>94.545454545454547</v>
      </c>
      <c r="Z362" s="179">
        <f t="shared" si="165"/>
        <v>94.545454545454547</v>
      </c>
      <c r="AA362" s="179">
        <f t="shared" si="166"/>
        <v>621</v>
      </c>
      <c r="AB362" s="179">
        <f t="shared" si="167"/>
        <v>498.45829090909092</v>
      </c>
      <c r="AC362" s="179">
        <f t="shared" si="168"/>
        <v>0</v>
      </c>
      <c r="AD362" s="179">
        <f t="shared" si="169"/>
        <v>0</v>
      </c>
      <c r="AE362" s="179">
        <f t="shared" si="170"/>
        <v>0</v>
      </c>
      <c r="AF362" s="179">
        <f t="shared" si="171"/>
        <v>0</v>
      </c>
    </row>
    <row r="363" spans="2:32">
      <c r="B363" s="122">
        <f t="shared" ref="B363:B365" si="172">F363</f>
        <v>64987233</v>
      </c>
      <c r="C363" s="122" t="str">
        <f>VLOOKUP($B363,'Tech Litons'!$A:$I,3,0)</f>
        <v>BJ Bars</v>
      </c>
      <c r="D363" s="122" t="str">
        <f>VLOOKUP($B363,'Tech Litons'!$A:$I,4,0)</f>
        <v>BJ Bars</v>
      </c>
      <c r="E363" s="1021" t="s">
        <v>597</v>
      </c>
      <c r="F363" s="1021">
        <v>64987233</v>
      </c>
      <c r="G363" s="1023">
        <v>9270</v>
      </c>
      <c r="H363" s="1023">
        <v>17750</v>
      </c>
      <c r="I363" s="1023">
        <v>27855.999999999996</v>
      </c>
      <c r="J363" s="1023">
        <v>26800.200000000004</v>
      </c>
      <c r="K363" s="1023">
        <v>38591.199999999997</v>
      </c>
      <c r="L363" s="1023">
        <v>35595</v>
      </c>
      <c r="M363" s="1023">
        <v>33549.199999999997</v>
      </c>
      <c r="N363" s="1023">
        <v>34967.4</v>
      </c>
      <c r="O363" s="1023">
        <v>32059.4</v>
      </c>
      <c r="P363" s="1023">
        <v>32927.800000000003</v>
      </c>
      <c r="Q363" s="1023">
        <v>28618.6</v>
      </c>
      <c r="R363" s="1023">
        <v>29944.199999999997</v>
      </c>
      <c r="S363" s="169">
        <f t="shared" si="159"/>
        <v>347929</v>
      </c>
      <c r="T363" s="122">
        <f>VLOOKUP($B363,'Tech Litons'!$A:$I,9,0)</f>
        <v>165</v>
      </c>
      <c r="U363" s="179">
        <f t="shared" si="160"/>
        <v>56.18181818181818</v>
      </c>
      <c r="V363" s="179">
        <f t="shared" si="161"/>
        <v>107.57575757575758</v>
      </c>
      <c r="W363" s="179">
        <f t="shared" si="162"/>
        <v>168.82424242424241</v>
      </c>
      <c r="X363" s="179">
        <f t="shared" si="163"/>
        <v>162.42545454545458</v>
      </c>
      <c r="Y363" s="179">
        <f t="shared" si="164"/>
        <v>233.8860606060606</v>
      </c>
      <c r="Z363" s="179">
        <f t="shared" si="165"/>
        <v>215.72727272727272</v>
      </c>
      <c r="AA363" s="179">
        <f t="shared" si="166"/>
        <v>203.32848484848483</v>
      </c>
      <c r="AB363" s="179">
        <f t="shared" si="167"/>
        <v>211.92363636363638</v>
      </c>
      <c r="AC363" s="179">
        <f t="shared" si="168"/>
        <v>194.29939393939395</v>
      </c>
      <c r="AD363" s="179">
        <f t="shared" si="169"/>
        <v>199.56242424242427</v>
      </c>
      <c r="AE363" s="179">
        <f t="shared" si="170"/>
        <v>173.4460606060606</v>
      </c>
      <c r="AF363" s="179">
        <f t="shared" si="171"/>
        <v>181.48</v>
      </c>
    </row>
    <row r="364" spans="2:32">
      <c r="B364" s="122">
        <f t="shared" si="172"/>
        <v>64999042</v>
      </c>
      <c r="C364" s="122" t="str">
        <f>VLOOKUP($B364,'Tech Litons'!$A:$I,3,0)</f>
        <v>YS PTS</v>
      </c>
      <c r="D364" s="122" t="str">
        <f>VLOOKUP($B364,'Tech Litons'!$A:$I,4,0)</f>
        <v>YS PTS</v>
      </c>
      <c r="E364" s="1021" t="s">
        <v>489</v>
      </c>
      <c r="F364" s="1021">
        <v>64999042</v>
      </c>
      <c r="G364" s="1023">
        <v>12810</v>
      </c>
      <c r="H364" s="1023">
        <v>12480</v>
      </c>
      <c r="I364" s="1023">
        <v>32365.634528452279</v>
      </c>
      <c r="J364" s="1023">
        <v>33005.511287915375</v>
      </c>
      <c r="K364" s="1023">
        <v>38338.751005803628</v>
      </c>
      <c r="L364" s="1023">
        <v>41599.221880149562</v>
      </c>
      <c r="M364" s="1023">
        <v>31770.200477668575</v>
      </c>
      <c r="N364" s="1023">
        <v>30915.793853184336</v>
      </c>
      <c r="O364" s="1023">
        <v>29873.666666666668</v>
      </c>
      <c r="P364" s="1023">
        <v>22897</v>
      </c>
      <c r="Q364" s="1023">
        <v>22850</v>
      </c>
      <c r="R364" s="1023">
        <v>26195.333333333332</v>
      </c>
      <c r="S364" s="169">
        <f t="shared" si="159"/>
        <v>335101.11303317372</v>
      </c>
      <c r="T364" s="122">
        <f>VLOOKUP($B364,'Tech Litons'!$A:$I,9,0)</f>
        <v>240</v>
      </c>
      <c r="U364" s="179">
        <f t="shared" si="160"/>
        <v>53.375</v>
      </c>
      <c r="V364" s="179">
        <f t="shared" si="161"/>
        <v>52</v>
      </c>
      <c r="W364" s="179">
        <f t="shared" si="162"/>
        <v>134.85681053521782</v>
      </c>
      <c r="X364" s="179">
        <f t="shared" si="163"/>
        <v>137.52296369964739</v>
      </c>
      <c r="Y364" s="179">
        <f t="shared" si="164"/>
        <v>159.74479585751513</v>
      </c>
      <c r="Z364" s="179">
        <f t="shared" si="165"/>
        <v>173.33009116728985</v>
      </c>
      <c r="AA364" s="179">
        <f t="shared" si="166"/>
        <v>132.37583532361907</v>
      </c>
      <c r="AB364" s="179">
        <f t="shared" si="167"/>
        <v>128.8158077216014</v>
      </c>
      <c r="AC364" s="179">
        <f t="shared" si="168"/>
        <v>124.47361111111111</v>
      </c>
      <c r="AD364" s="179">
        <f t="shared" si="169"/>
        <v>95.404166666666669</v>
      </c>
      <c r="AE364" s="179">
        <f t="shared" si="170"/>
        <v>95.208333333333329</v>
      </c>
      <c r="AF364" s="179">
        <f t="shared" si="171"/>
        <v>109.14722222222221</v>
      </c>
    </row>
    <row r="365" spans="2:32">
      <c r="B365" s="122">
        <f t="shared" si="172"/>
        <v>64957257</v>
      </c>
      <c r="C365" s="122" t="str">
        <f>VLOOKUP($B365,'Tech Litons'!$A:$I,3,0)</f>
        <v>Yasso Sandwich</v>
      </c>
      <c r="D365" s="122" t="str">
        <f>VLOOKUP($B365,'Tech Litons'!$A:$I,4,0)</f>
        <v>Yasso Sandwich</v>
      </c>
      <c r="E365" s="1021" t="s">
        <v>609</v>
      </c>
      <c r="F365" s="1021">
        <v>64957257</v>
      </c>
      <c r="G365" s="1023">
        <v>7692</v>
      </c>
      <c r="H365" s="1023">
        <v>7320</v>
      </c>
      <c r="I365" s="1023">
        <v>9159.3991627893211</v>
      </c>
      <c r="J365" s="1023">
        <v>8492.5290268869394</v>
      </c>
      <c r="K365" s="1023">
        <v>9491.7485891259093</v>
      </c>
      <c r="L365" s="1023">
        <v>9341.5139396623326</v>
      </c>
      <c r="M365" s="1023">
        <v>8891.635558989572</v>
      </c>
      <c r="N365" s="1023">
        <v>9364.1568192651666</v>
      </c>
      <c r="O365" s="1023">
        <v>7956.4471260279261</v>
      </c>
      <c r="P365" s="1023">
        <v>9028.016977138619</v>
      </c>
      <c r="Q365" s="1023">
        <v>8030.0291560055648</v>
      </c>
      <c r="R365" s="1023">
        <v>7546.9702656461468</v>
      </c>
      <c r="S365" s="169">
        <f t="shared" si="159"/>
        <v>102314.44662153749</v>
      </c>
      <c r="T365" s="122">
        <f>VLOOKUP($B365,'Tech Litons'!$A:$I,9,0)</f>
        <v>180</v>
      </c>
      <c r="U365" s="179">
        <f t="shared" si="160"/>
        <v>42.733333333333334</v>
      </c>
      <c r="V365" s="179">
        <f t="shared" si="161"/>
        <v>40.666666666666664</v>
      </c>
      <c r="W365" s="179">
        <f t="shared" si="162"/>
        <v>50.88555090438512</v>
      </c>
      <c r="X365" s="179">
        <f t="shared" si="163"/>
        <v>47.180716816038554</v>
      </c>
      <c r="Y365" s="179">
        <f t="shared" si="164"/>
        <v>52.731936606255054</v>
      </c>
      <c r="Z365" s="179">
        <f t="shared" si="165"/>
        <v>51.897299664790737</v>
      </c>
      <c r="AA365" s="179">
        <f t="shared" si="166"/>
        <v>49.397975327719841</v>
      </c>
      <c r="AB365" s="179">
        <f t="shared" si="167"/>
        <v>52.02309344036204</v>
      </c>
      <c r="AC365" s="179">
        <f t="shared" si="168"/>
        <v>44.202484033488481</v>
      </c>
      <c r="AD365" s="179">
        <f t="shared" si="169"/>
        <v>50.155649872992328</v>
      </c>
      <c r="AE365" s="179">
        <f t="shared" si="170"/>
        <v>44.611273088919802</v>
      </c>
      <c r="AF365" s="179">
        <f t="shared" si="171"/>
        <v>41.92761258692304</v>
      </c>
    </row>
    <row r="366" spans="2:32">
      <c r="B366" s="122">
        <f t="shared" ref="B366:B369" si="173">F366</f>
        <v>64977526</v>
      </c>
      <c r="C366" s="122" t="str">
        <f>VLOOKUP($B366,'Tech Litons'!$A:$I,3,0)</f>
        <v>48oz</v>
      </c>
      <c r="D366" s="122" t="str">
        <f>VLOOKUP($B366,'Tech Litons'!$A:$I,4,0)</f>
        <v>48oz</v>
      </c>
      <c r="E366" s="1021" t="s">
        <v>323</v>
      </c>
      <c r="F366" s="1021">
        <v>64977526</v>
      </c>
      <c r="G366" s="1023">
        <v>14410</v>
      </c>
      <c r="H366" s="1023">
        <v>20640</v>
      </c>
      <c r="I366" s="1023">
        <v>17141.078904551705</v>
      </c>
      <c r="J366" s="1023">
        <v>27191.545450158854</v>
      </c>
      <c r="K366" s="1023">
        <v>29336.966241090948</v>
      </c>
      <c r="L366" s="1023">
        <v>30672.216823242394</v>
      </c>
      <c r="M366" s="1023">
        <v>32850.04407442396</v>
      </c>
      <c r="N366" s="1023">
        <v>32850.297059863871</v>
      </c>
      <c r="O366" s="1023">
        <v>31789.565163609892</v>
      </c>
      <c r="P366" s="1023">
        <v>32848.639065476549</v>
      </c>
      <c r="Q366" s="1023">
        <v>31795.371224116097</v>
      </c>
      <c r="R366" s="1023">
        <v>32844.773335613885</v>
      </c>
      <c r="S366" s="169">
        <f t="shared" si="159"/>
        <v>334370.49734214821</v>
      </c>
      <c r="T366" s="122">
        <f>VLOOKUP($B366,'Tech Litons'!$A:$I,9,0)</f>
        <v>176</v>
      </c>
      <c r="U366" s="179">
        <f t="shared" si="160"/>
        <v>81.875</v>
      </c>
      <c r="V366" s="179">
        <f t="shared" si="161"/>
        <v>117.27272727272727</v>
      </c>
      <c r="W366" s="179">
        <f t="shared" si="162"/>
        <v>97.392493775861965</v>
      </c>
      <c r="X366" s="179">
        <f t="shared" si="163"/>
        <v>154.49741733044803</v>
      </c>
      <c r="Y366" s="179">
        <f t="shared" si="164"/>
        <v>166.68730818801674</v>
      </c>
      <c r="Z366" s="179">
        <f t="shared" si="165"/>
        <v>174.27395922296816</v>
      </c>
      <c r="AA366" s="179">
        <f t="shared" si="166"/>
        <v>186.6479776955907</v>
      </c>
      <c r="AB366" s="179">
        <f t="shared" si="167"/>
        <v>186.6494151128629</v>
      </c>
      <c r="AC366" s="179">
        <f t="shared" si="168"/>
        <v>180.62252933869257</v>
      </c>
      <c r="AD366" s="179">
        <f t="shared" si="169"/>
        <v>186.63999469020766</v>
      </c>
      <c r="AE366" s="179">
        <f t="shared" si="170"/>
        <v>180.65551831884147</v>
      </c>
      <c r="AF366" s="179">
        <f t="shared" si="171"/>
        <v>186.61803031598799</v>
      </c>
    </row>
    <row r="367" spans="2:32">
      <c r="B367" s="122">
        <f t="shared" si="173"/>
        <v>64988054</v>
      </c>
      <c r="C367" s="122" t="str">
        <f>VLOOKUP($B367,'Tech Litons'!$A:$I,3,0)</f>
        <v>BJ Bars</v>
      </c>
      <c r="D367" s="122" t="str">
        <f>VLOOKUP($B367,'Tech Litons'!$A:$I,4,0)</f>
        <v>BJ Bars</v>
      </c>
      <c r="E367" s="1021" t="s">
        <v>600</v>
      </c>
      <c r="F367" s="1021">
        <v>64988054</v>
      </c>
      <c r="G367" s="1023">
        <v>8973</v>
      </c>
      <c r="H367" s="1023">
        <v>11262</v>
      </c>
      <c r="I367" s="1023">
        <v>26039.999999999996</v>
      </c>
      <c r="J367" s="1023">
        <v>24746.2</v>
      </c>
      <c r="K367" s="1023">
        <v>36094.200000000004</v>
      </c>
      <c r="L367" s="1023">
        <v>33363</v>
      </c>
      <c r="M367" s="1023">
        <v>31515.200000000004</v>
      </c>
      <c r="N367" s="1023">
        <v>32796.400000000001</v>
      </c>
      <c r="O367" s="1023">
        <v>30054.400000000001</v>
      </c>
      <c r="P367" s="1023">
        <v>30902.799999999999</v>
      </c>
      <c r="Q367" s="1023">
        <v>26854.6</v>
      </c>
      <c r="R367" s="1023">
        <v>28104.2</v>
      </c>
      <c r="S367" s="169">
        <f t="shared" si="159"/>
        <v>320706</v>
      </c>
      <c r="T367" s="122">
        <f>VLOOKUP($B367,'Tech Litons'!$A:$I,9,0)</f>
        <v>165</v>
      </c>
      <c r="U367" s="179">
        <f t="shared" si="160"/>
        <v>54.381818181818183</v>
      </c>
      <c r="V367" s="179">
        <f t="shared" si="161"/>
        <v>68.25454545454545</v>
      </c>
      <c r="W367" s="179">
        <f t="shared" si="162"/>
        <v>157.81818181818178</v>
      </c>
      <c r="X367" s="179">
        <f t="shared" si="163"/>
        <v>149.97696969696969</v>
      </c>
      <c r="Y367" s="179">
        <f t="shared" si="164"/>
        <v>218.7527272727273</v>
      </c>
      <c r="Z367" s="179">
        <f t="shared" si="165"/>
        <v>202.2</v>
      </c>
      <c r="AA367" s="179">
        <f t="shared" si="166"/>
        <v>191.00121212121215</v>
      </c>
      <c r="AB367" s="179">
        <f t="shared" si="167"/>
        <v>198.76606060606062</v>
      </c>
      <c r="AC367" s="179">
        <f t="shared" si="168"/>
        <v>182.1478787878788</v>
      </c>
      <c r="AD367" s="179">
        <f t="shared" si="169"/>
        <v>187.28969696969696</v>
      </c>
      <c r="AE367" s="179">
        <f t="shared" si="170"/>
        <v>162.75515151515151</v>
      </c>
      <c r="AF367" s="179">
        <f t="shared" si="171"/>
        <v>170.32848484848486</v>
      </c>
    </row>
    <row r="368" spans="2:32">
      <c r="B368" s="122">
        <f t="shared" si="173"/>
        <v>64988053</v>
      </c>
      <c r="C368" s="122" t="str">
        <f>VLOOKUP($B368,'Tech Litons'!$A:$I,3,0)</f>
        <v>BJ Bars</v>
      </c>
      <c r="D368" s="122" t="str">
        <f>VLOOKUP($B368,'Tech Litons'!$A:$I,4,0)</f>
        <v>BJ Bars</v>
      </c>
      <c r="E368" s="1021" t="s">
        <v>599</v>
      </c>
      <c r="F368" s="1021">
        <v>64988053</v>
      </c>
      <c r="G368" s="1023">
        <v>8355</v>
      </c>
      <c r="H368" s="1023">
        <v>12349</v>
      </c>
      <c r="I368" s="1023">
        <v>23658</v>
      </c>
      <c r="J368" s="1023">
        <v>20191.2</v>
      </c>
      <c r="K368" s="1023">
        <v>30025.200000000001</v>
      </c>
      <c r="L368" s="1023">
        <v>26819.999999999996</v>
      </c>
      <c r="M368" s="1023">
        <v>25548.2</v>
      </c>
      <c r="N368" s="1023">
        <v>26429.4</v>
      </c>
      <c r="O368" s="1023">
        <v>24181.4</v>
      </c>
      <c r="P368" s="1023">
        <v>24968.799999999999</v>
      </c>
      <c r="Q368" s="1023">
        <v>21687.599999999999</v>
      </c>
      <c r="R368" s="1023">
        <v>22708.200000000004</v>
      </c>
      <c r="S368" s="169">
        <f t="shared" si="159"/>
        <v>266922</v>
      </c>
      <c r="T368" s="122">
        <f>VLOOKUP($B368,'Tech Litons'!$A:$I,9,0)</f>
        <v>165</v>
      </c>
      <c r="U368" s="179">
        <f t="shared" si="160"/>
        <v>50.636363636363633</v>
      </c>
      <c r="V368" s="179">
        <f t="shared" si="161"/>
        <v>74.842424242424244</v>
      </c>
      <c r="W368" s="179">
        <f t="shared" si="162"/>
        <v>143.38181818181818</v>
      </c>
      <c r="X368" s="179">
        <f t="shared" si="163"/>
        <v>122.37090909090909</v>
      </c>
      <c r="Y368" s="179">
        <f t="shared" si="164"/>
        <v>181.97090909090909</v>
      </c>
      <c r="Z368" s="179">
        <f t="shared" si="165"/>
        <v>162.54545454545453</v>
      </c>
      <c r="AA368" s="179">
        <f t="shared" si="166"/>
        <v>154.83757575757576</v>
      </c>
      <c r="AB368" s="179">
        <f t="shared" si="167"/>
        <v>160.17818181818183</v>
      </c>
      <c r="AC368" s="179">
        <f t="shared" si="168"/>
        <v>146.5539393939394</v>
      </c>
      <c r="AD368" s="179">
        <f t="shared" si="169"/>
        <v>151.32606060606059</v>
      </c>
      <c r="AE368" s="179">
        <f t="shared" si="170"/>
        <v>131.44</v>
      </c>
      <c r="AF368" s="179">
        <f t="shared" si="171"/>
        <v>137.62545454545457</v>
      </c>
    </row>
    <row r="369" spans="2:32">
      <c r="B369" s="122">
        <f t="shared" si="173"/>
        <v>64986251</v>
      </c>
      <c r="C369" s="122" t="str">
        <f>VLOOKUP($B369,'Tech Litons'!$A:$I,3,0)</f>
        <v>Sundaes</v>
      </c>
      <c r="D369" s="122" t="str">
        <f>VLOOKUP($B369,'Tech Litons'!$A:$I,4,0)</f>
        <v>SP1</v>
      </c>
      <c r="E369" s="1021" t="s">
        <v>313</v>
      </c>
      <c r="F369" s="1021">
        <v>64986251</v>
      </c>
      <c r="G369" s="1023">
        <v>8701</v>
      </c>
      <c r="H369" s="1023">
        <v>17030</v>
      </c>
      <c r="I369" s="1023">
        <v>13908.334070823745</v>
      </c>
      <c r="J369" s="1023">
        <v>19224.275180305394</v>
      </c>
      <c r="K369" s="1023">
        <v>26651.83031384779</v>
      </c>
      <c r="L369" s="1023">
        <v>28051.106626462923</v>
      </c>
      <c r="M369" s="1023">
        <v>25573.848678840906</v>
      </c>
      <c r="N369" s="1023">
        <v>27289.223822470805</v>
      </c>
      <c r="O369" s="1023">
        <v>25157.640488045479</v>
      </c>
      <c r="P369" s="1023">
        <v>25426.460325687498</v>
      </c>
      <c r="Q369" s="1023">
        <v>22134.770414991741</v>
      </c>
      <c r="R369" s="1023">
        <v>23128.243537397739</v>
      </c>
      <c r="S369" s="169">
        <f t="shared" si="159"/>
        <v>262276.73345887399</v>
      </c>
      <c r="T369" s="122">
        <f>VLOOKUP($B369,'Tech Litons'!$A:$I,9,0)</f>
        <v>240</v>
      </c>
      <c r="U369" s="179">
        <f t="shared" si="160"/>
        <v>36.25416666666667</v>
      </c>
      <c r="V369" s="179">
        <f t="shared" si="161"/>
        <v>70.958333333333329</v>
      </c>
      <c r="W369" s="179">
        <f t="shared" si="162"/>
        <v>57.951391961765601</v>
      </c>
      <c r="X369" s="179">
        <f t="shared" si="163"/>
        <v>80.101146584605814</v>
      </c>
      <c r="Y369" s="179">
        <f t="shared" si="164"/>
        <v>111.04929297436578</v>
      </c>
      <c r="Z369" s="179">
        <f t="shared" si="165"/>
        <v>116.87961094359551</v>
      </c>
      <c r="AA369" s="179">
        <f t="shared" si="166"/>
        <v>106.55770282850378</v>
      </c>
      <c r="AB369" s="179">
        <f t="shared" si="167"/>
        <v>113.70509926029503</v>
      </c>
      <c r="AC369" s="179">
        <f t="shared" si="168"/>
        <v>104.82350203352283</v>
      </c>
      <c r="AD369" s="179">
        <f t="shared" si="169"/>
        <v>105.94358469036457</v>
      </c>
      <c r="AE369" s="179">
        <f t="shared" si="170"/>
        <v>92.228210062465593</v>
      </c>
      <c r="AF369" s="179">
        <f t="shared" si="171"/>
        <v>96.367681405823916</v>
      </c>
    </row>
    <row r="370" spans="2:32">
      <c r="B370" s="122">
        <f t="shared" ref="B370:B395" si="174">F370</f>
        <v>64977494</v>
      </c>
      <c r="C370" s="122" t="str">
        <f>VLOOKUP($B370,'Tech Litons'!$A:$I,3,0)</f>
        <v>Other</v>
      </c>
      <c r="D370" s="122" t="str">
        <f>VLOOKUP($B370,'Tech Litons'!$A:$I,4,0)</f>
        <v>Other</v>
      </c>
      <c r="E370" s="1021" t="s">
        <v>574</v>
      </c>
      <c r="F370" s="1021">
        <v>64977494</v>
      </c>
      <c r="G370" s="1023">
        <v>5217</v>
      </c>
      <c r="H370" s="1023">
        <v>11686</v>
      </c>
      <c r="I370" s="1023">
        <v>15530</v>
      </c>
      <c r="J370" s="1023">
        <v>17104</v>
      </c>
      <c r="K370" s="1023">
        <v>26011</v>
      </c>
      <c r="L370" s="1023">
        <v>25454</v>
      </c>
      <c r="M370" s="1023">
        <v>25295.000000000004</v>
      </c>
      <c r="N370" s="1023">
        <v>49465</v>
      </c>
      <c r="O370" s="1023">
        <v>19084</v>
      </c>
      <c r="P370" s="1023">
        <v>13596.000000000002</v>
      </c>
      <c r="Q370" s="1023">
        <v>10331</v>
      </c>
      <c r="R370" s="1023">
        <v>12155</v>
      </c>
      <c r="S370" s="169">
        <f t="shared" si="159"/>
        <v>230928</v>
      </c>
      <c r="T370" s="122">
        <f>VLOOKUP($B370,'Tech Litons'!$A:$I,9,0)</f>
        <v>130</v>
      </c>
      <c r="U370" s="179">
        <f t="shared" si="160"/>
        <v>40.130769230769232</v>
      </c>
      <c r="V370" s="179">
        <f t="shared" si="161"/>
        <v>89.892307692307696</v>
      </c>
      <c r="W370" s="179">
        <f t="shared" si="162"/>
        <v>119.46153846153847</v>
      </c>
      <c r="X370" s="179">
        <f t="shared" si="163"/>
        <v>131.56923076923076</v>
      </c>
      <c r="Y370" s="179">
        <f t="shared" si="164"/>
        <v>200.08461538461538</v>
      </c>
      <c r="Z370" s="179">
        <f t="shared" si="165"/>
        <v>195.8</v>
      </c>
      <c r="AA370" s="179">
        <f t="shared" si="166"/>
        <v>194.57692307692309</v>
      </c>
      <c r="AB370" s="179">
        <f t="shared" si="167"/>
        <v>380.5</v>
      </c>
      <c r="AC370" s="179">
        <f t="shared" si="168"/>
        <v>146.80000000000001</v>
      </c>
      <c r="AD370" s="179">
        <f t="shared" si="169"/>
        <v>104.5846153846154</v>
      </c>
      <c r="AE370" s="179">
        <f t="shared" si="170"/>
        <v>79.469230769230762</v>
      </c>
      <c r="AF370" s="179">
        <f t="shared" si="171"/>
        <v>93.5</v>
      </c>
    </row>
    <row r="371" spans="2:32">
      <c r="B371" s="122">
        <f t="shared" si="174"/>
        <v>65431090</v>
      </c>
      <c r="C371" s="122" t="str">
        <f>VLOOKUP($B371,'Tech Litons'!$A:$I,3,0)</f>
        <v>Talenti</v>
      </c>
      <c r="D371" s="122" t="str">
        <f>VLOOKUP($B371,'Tech Litons'!$A:$I,4,0)</f>
        <v>Talenti</v>
      </c>
      <c r="E371" s="1021" t="s">
        <v>375</v>
      </c>
      <c r="F371" s="1021">
        <v>65431090</v>
      </c>
      <c r="G371" s="1023">
        <v>7639</v>
      </c>
      <c r="H371" s="1023">
        <v>15256</v>
      </c>
      <c r="I371" s="1023">
        <v>14579.118734655274</v>
      </c>
      <c r="J371" s="1023">
        <v>14672.464420693295</v>
      </c>
      <c r="K371" s="1023">
        <v>23404.074361345367</v>
      </c>
      <c r="L371" s="1023">
        <v>27185.571216538854</v>
      </c>
      <c r="M371" s="1023">
        <v>22977.16388913749</v>
      </c>
      <c r="N371" s="1023">
        <v>20647.200958006273</v>
      </c>
      <c r="O371" s="1023">
        <v>20921.382335232411</v>
      </c>
      <c r="P371" s="1023">
        <v>19662.834176404172</v>
      </c>
      <c r="Q371" s="1023">
        <v>17303.006321820823</v>
      </c>
      <c r="R371" s="1023">
        <v>17386.928414707334</v>
      </c>
      <c r="S371" s="169">
        <f t="shared" si="159"/>
        <v>221634.74482854127</v>
      </c>
      <c r="T371" s="122">
        <f>VLOOKUP($B371,'Tech Litons'!$A:$I,9,0)</f>
        <v>255</v>
      </c>
      <c r="U371" s="179">
        <f t="shared" si="160"/>
        <v>29.956862745098039</v>
      </c>
      <c r="V371" s="179">
        <f t="shared" si="161"/>
        <v>59.827450980392157</v>
      </c>
      <c r="W371" s="179">
        <f t="shared" si="162"/>
        <v>57.173014645706957</v>
      </c>
      <c r="X371" s="179">
        <f t="shared" si="163"/>
        <v>57.539076159581548</v>
      </c>
      <c r="Y371" s="179">
        <f t="shared" si="164"/>
        <v>91.780683769981835</v>
      </c>
      <c r="Z371" s="179">
        <f t="shared" si="165"/>
        <v>106.61008320211316</v>
      </c>
      <c r="AA371" s="179">
        <f t="shared" si="166"/>
        <v>90.106525055441139</v>
      </c>
      <c r="AB371" s="179">
        <f t="shared" si="167"/>
        <v>80.969415521593234</v>
      </c>
      <c r="AC371" s="179">
        <f t="shared" si="168"/>
        <v>82.044636608754558</v>
      </c>
      <c r="AD371" s="179">
        <f t="shared" si="169"/>
        <v>77.109153632957543</v>
      </c>
      <c r="AE371" s="179">
        <f t="shared" si="170"/>
        <v>67.854926752238526</v>
      </c>
      <c r="AF371" s="179">
        <f t="shared" si="171"/>
        <v>68.184032998852288</v>
      </c>
    </row>
    <row r="372" spans="2:32">
      <c r="B372" s="122">
        <f t="shared" si="174"/>
        <v>64984152</v>
      </c>
      <c r="C372" s="122" t="str">
        <f>VLOOKUP($B372,'Tech Litons'!$A:$I,3,0)</f>
        <v>Sundaes</v>
      </c>
      <c r="D372" s="122" t="str">
        <f>VLOOKUP($B372,'Tech Litons'!$A:$I,4,0)</f>
        <v>SP1</v>
      </c>
      <c r="E372" s="1021" t="s">
        <v>396</v>
      </c>
      <c r="F372" s="1021">
        <v>64984152</v>
      </c>
      <c r="G372" s="1023">
        <v>7771</v>
      </c>
      <c r="H372" s="1023">
        <v>10565</v>
      </c>
      <c r="I372" s="1023">
        <v>9482.3831604629577</v>
      </c>
      <c r="J372" s="1023">
        <v>13799.13249864948</v>
      </c>
      <c r="K372" s="1023">
        <v>19034.057532546038</v>
      </c>
      <c r="L372" s="1023">
        <v>19049.144524617608</v>
      </c>
      <c r="M372" s="1023">
        <v>17369.454464323011</v>
      </c>
      <c r="N372" s="1023">
        <v>18525.668275894572</v>
      </c>
      <c r="O372" s="1023">
        <v>17090.271649872218</v>
      </c>
      <c r="P372" s="1023">
        <v>17276.341033555924</v>
      </c>
      <c r="Q372" s="1023">
        <v>15037.443598145688</v>
      </c>
      <c r="R372" s="1023">
        <v>15710.434349305557</v>
      </c>
      <c r="S372" s="169">
        <f t="shared" si="159"/>
        <v>180710.33108737302</v>
      </c>
      <c r="T372" s="122">
        <f>VLOOKUP($B372,'Tech Litons'!$A:$I,9,0)</f>
        <v>240</v>
      </c>
      <c r="U372" s="179">
        <f t="shared" si="160"/>
        <v>32.37916666666667</v>
      </c>
      <c r="V372" s="179">
        <f t="shared" si="161"/>
        <v>44.020833333333336</v>
      </c>
      <c r="W372" s="179">
        <f t="shared" si="162"/>
        <v>39.509929835262326</v>
      </c>
      <c r="X372" s="179">
        <f t="shared" si="163"/>
        <v>57.496385411039498</v>
      </c>
      <c r="Y372" s="179">
        <f t="shared" si="164"/>
        <v>79.30857305227515</v>
      </c>
      <c r="Z372" s="179">
        <f t="shared" si="165"/>
        <v>79.371435519240038</v>
      </c>
      <c r="AA372" s="179">
        <f t="shared" si="166"/>
        <v>72.372726934679207</v>
      </c>
      <c r="AB372" s="179">
        <f t="shared" si="167"/>
        <v>77.190284482894043</v>
      </c>
      <c r="AC372" s="179">
        <f t="shared" si="168"/>
        <v>71.209465207800903</v>
      </c>
      <c r="AD372" s="179">
        <f t="shared" si="169"/>
        <v>71.984754306483012</v>
      </c>
      <c r="AE372" s="179">
        <f t="shared" si="170"/>
        <v>62.656014992273704</v>
      </c>
      <c r="AF372" s="179">
        <f t="shared" si="171"/>
        <v>65.460143122106487</v>
      </c>
    </row>
    <row r="373" spans="2:32">
      <c r="B373" s="122">
        <f t="shared" si="174"/>
        <v>64977529</v>
      </c>
      <c r="C373" s="122" t="str">
        <f>VLOOKUP($B373,'Tech Litons'!$A:$I,3,0)</f>
        <v>48oz</v>
      </c>
      <c r="D373" s="122" t="str">
        <f>VLOOKUP($B373,'Tech Litons'!$A:$I,4,0)</f>
        <v>48oz</v>
      </c>
      <c r="E373" s="1021" t="s">
        <v>406</v>
      </c>
      <c r="F373" s="1021">
        <v>64977529</v>
      </c>
      <c r="G373" s="1023">
        <v>10572</v>
      </c>
      <c r="H373" s="1023">
        <v>9833</v>
      </c>
      <c r="I373" s="1023">
        <v>9221.0789045517031</v>
      </c>
      <c r="J373" s="1023">
        <v>14835.545450158854</v>
      </c>
      <c r="K373" s="1023">
        <v>15463.96624109095</v>
      </c>
      <c r="L373" s="1023">
        <v>15144.216823242396</v>
      </c>
      <c r="M373" s="1023">
        <v>15644.044074423957</v>
      </c>
      <c r="N373" s="1023">
        <v>15644.297059863871</v>
      </c>
      <c r="O373" s="1023">
        <v>15136.565163609892</v>
      </c>
      <c r="P373" s="1023">
        <v>15642.639065476551</v>
      </c>
      <c r="Q373" s="1023">
        <v>15142.371224116096</v>
      </c>
      <c r="R373" s="1023">
        <v>15638.773335613883</v>
      </c>
      <c r="S373" s="169">
        <f t="shared" si="159"/>
        <v>167918.49734214816</v>
      </c>
      <c r="T373" s="122">
        <f>VLOOKUP($B373,'Tech Litons'!$A:$I,9,0)</f>
        <v>176</v>
      </c>
      <c r="U373" s="179">
        <f t="shared" si="160"/>
        <v>60.06818181818182</v>
      </c>
      <c r="V373" s="179">
        <f t="shared" si="161"/>
        <v>55.86931818181818</v>
      </c>
      <c r="W373" s="179">
        <f t="shared" si="162"/>
        <v>52.392493775861951</v>
      </c>
      <c r="X373" s="179">
        <f t="shared" si="163"/>
        <v>84.292871875902577</v>
      </c>
      <c r="Y373" s="179">
        <f t="shared" si="164"/>
        <v>87.863444551653117</v>
      </c>
      <c r="Z373" s="179">
        <f t="shared" si="165"/>
        <v>86.046686495695425</v>
      </c>
      <c r="AA373" s="179">
        <f t="shared" si="166"/>
        <v>88.886614059227028</v>
      </c>
      <c r="AB373" s="179">
        <f t="shared" si="167"/>
        <v>88.888051476499271</v>
      </c>
      <c r="AC373" s="179">
        <f t="shared" si="168"/>
        <v>86.003211156874386</v>
      </c>
      <c r="AD373" s="179">
        <f t="shared" si="169"/>
        <v>88.878631053844046</v>
      </c>
      <c r="AE373" s="179">
        <f t="shared" si="170"/>
        <v>86.036200137023272</v>
      </c>
      <c r="AF373" s="179">
        <f t="shared" si="171"/>
        <v>88.85666667962434</v>
      </c>
    </row>
    <row r="374" spans="2:32">
      <c r="B374" s="122">
        <f t="shared" si="174"/>
        <v>65431089</v>
      </c>
      <c r="C374" s="122" t="str">
        <f>VLOOKUP($B374,'Tech Litons'!$A:$I,3,0)</f>
        <v>Talenti</v>
      </c>
      <c r="D374" s="122" t="str">
        <f>VLOOKUP($B374,'Tech Litons'!$A:$I,4,0)</f>
        <v>Talenti</v>
      </c>
      <c r="E374" s="1021" t="s">
        <v>368</v>
      </c>
      <c r="F374" s="1021">
        <v>65431089</v>
      </c>
      <c r="G374" s="1023">
        <v>7740</v>
      </c>
      <c r="H374" s="1023">
        <v>9405</v>
      </c>
      <c r="I374" s="1023">
        <v>10234.118734655274</v>
      </c>
      <c r="J374" s="1023">
        <v>10904.464420693295</v>
      </c>
      <c r="K374" s="1023">
        <v>17131.074361345367</v>
      </c>
      <c r="L374" s="1023">
        <v>20198.571216538854</v>
      </c>
      <c r="M374" s="1023">
        <v>17070.16388913749</v>
      </c>
      <c r="N374" s="1023">
        <v>15337.200958006273</v>
      </c>
      <c r="O374" s="1023">
        <v>15543.382335232409</v>
      </c>
      <c r="P374" s="1023">
        <v>14607.834176404172</v>
      </c>
      <c r="Q374" s="1023">
        <v>12855.006321820825</v>
      </c>
      <c r="R374" s="1023">
        <v>12916.928414707334</v>
      </c>
      <c r="S374" s="169">
        <f t="shared" si="159"/>
        <v>163943.74482854133</v>
      </c>
      <c r="T374" s="122">
        <f>VLOOKUP($B374,'Tech Litons'!$A:$I,9,0)</f>
        <v>255</v>
      </c>
      <c r="U374" s="179">
        <f t="shared" si="160"/>
        <v>30.352941176470587</v>
      </c>
      <c r="V374" s="179">
        <f t="shared" si="161"/>
        <v>36.882352941176471</v>
      </c>
      <c r="W374" s="179">
        <f t="shared" si="162"/>
        <v>40.133798959432447</v>
      </c>
      <c r="X374" s="179">
        <f t="shared" si="163"/>
        <v>42.762605571346256</v>
      </c>
      <c r="Y374" s="179">
        <f t="shared" si="164"/>
        <v>67.180683769981826</v>
      </c>
      <c r="Z374" s="179">
        <f t="shared" si="165"/>
        <v>79.210083202113154</v>
      </c>
      <c r="AA374" s="179">
        <f t="shared" si="166"/>
        <v>66.941819173088192</v>
      </c>
      <c r="AB374" s="179">
        <f t="shared" si="167"/>
        <v>60.145886109828524</v>
      </c>
      <c r="AC374" s="179">
        <f t="shared" si="168"/>
        <v>60.954440530323176</v>
      </c>
      <c r="AD374" s="179">
        <f t="shared" si="169"/>
        <v>57.285624221192833</v>
      </c>
      <c r="AE374" s="179">
        <f t="shared" si="170"/>
        <v>50.411789497336571</v>
      </c>
      <c r="AF374" s="179">
        <f t="shared" si="171"/>
        <v>50.654621234146411</v>
      </c>
    </row>
    <row r="375" spans="2:32">
      <c r="B375" s="122">
        <f t="shared" si="174"/>
        <v>64960652</v>
      </c>
      <c r="C375" s="122" t="str">
        <f>VLOOKUP($B375,'Tech Litons'!$A:$I,3,0)</f>
        <v>Yasso Sandwich</v>
      </c>
      <c r="D375" s="122" t="str">
        <f>VLOOKUP($B375,'Tech Litons'!$A:$I,4,0)</f>
        <v>Yasso Sandwich</v>
      </c>
      <c r="E375" s="1021" t="s">
        <v>610</v>
      </c>
      <c r="F375" s="1021">
        <v>64960652</v>
      </c>
      <c r="G375" s="1023">
        <v>1619</v>
      </c>
      <c r="H375" s="1023">
        <v>2620</v>
      </c>
      <c r="I375" s="1023">
        <v>2417.1708372106787</v>
      </c>
      <c r="J375" s="1023">
        <v>1995.37097311306</v>
      </c>
      <c r="K375" s="1023">
        <v>2104.1714108740912</v>
      </c>
      <c r="L375" s="1023">
        <v>2395.346060337668</v>
      </c>
      <c r="M375" s="1023">
        <v>2307.4144410104277</v>
      </c>
      <c r="N375" s="1023">
        <v>2681.0631807348345</v>
      </c>
      <c r="O375" s="1023">
        <v>2577.8428739720748</v>
      </c>
      <c r="P375" s="1023">
        <v>2212.8330228613809</v>
      </c>
      <c r="Q375" s="1023">
        <v>1856.990843994435</v>
      </c>
      <c r="R375" s="1023">
        <v>2311.3497343538543</v>
      </c>
      <c r="S375" s="169">
        <f t="shared" si="159"/>
        <v>27098.553378462504</v>
      </c>
      <c r="T375" s="122">
        <f>VLOOKUP($B375,'Tech Litons'!$A:$I,9,0)</f>
        <v>180</v>
      </c>
      <c r="U375" s="179">
        <f t="shared" si="160"/>
        <v>8.9944444444444436</v>
      </c>
      <c r="V375" s="179">
        <f t="shared" si="161"/>
        <v>14.555555555555555</v>
      </c>
      <c r="W375" s="179">
        <f t="shared" si="162"/>
        <v>13.428726873392659</v>
      </c>
      <c r="X375" s="179">
        <f t="shared" si="163"/>
        <v>11.085394295072556</v>
      </c>
      <c r="Y375" s="179">
        <f t="shared" si="164"/>
        <v>11.689841171522728</v>
      </c>
      <c r="Z375" s="179">
        <f t="shared" si="165"/>
        <v>13.307478112987043</v>
      </c>
      <c r="AA375" s="179">
        <f t="shared" si="166"/>
        <v>12.818969116724599</v>
      </c>
      <c r="AB375" s="179">
        <f t="shared" si="167"/>
        <v>14.894795448526859</v>
      </c>
      <c r="AC375" s="179">
        <f t="shared" si="168"/>
        <v>14.32134929984486</v>
      </c>
      <c r="AD375" s="179">
        <f t="shared" si="169"/>
        <v>12.293516793674339</v>
      </c>
      <c r="AE375" s="179">
        <f t="shared" si="170"/>
        <v>10.316615799969084</v>
      </c>
      <c r="AF375" s="179">
        <f t="shared" si="171"/>
        <v>12.840831857521412</v>
      </c>
    </row>
    <row r="376" spans="2:32">
      <c r="B376" s="122">
        <f t="shared" si="174"/>
        <v>64977528</v>
      </c>
      <c r="C376" s="122" t="str">
        <f>VLOOKUP($B376,'Tech Litons'!$A:$I,3,0)</f>
        <v>48oz</v>
      </c>
      <c r="D376" s="122" t="str">
        <f>VLOOKUP($B376,'Tech Litons'!$A:$I,4,0)</f>
        <v>48oz</v>
      </c>
      <c r="E376" s="1021" t="s">
        <v>425</v>
      </c>
      <c r="F376" s="1021">
        <v>64977528</v>
      </c>
      <c r="G376" s="1023">
        <v>5940</v>
      </c>
      <c r="H376" s="1023">
        <v>8406</v>
      </c>
      <c r="I376" s="1023">
        <v>8621.0789045517031</v>
      </c>
      <c r="J376" s="1023">
        <v>13796.545450158854</v>
      </c>
      <c r="K376" s="1023">
        <v>14069.96624109095</v>
      </c>
      <c r="L376" s="1023">
        <v>13992.216823242396</v>
      </c>
      <c r="M376" s="1023">
        <v>14453.044074423957</v>
      </c>
      <c r="N376" s="1023">
        <v>14453.297059863871</v>
      </c>
      <c r="O376" s="1023">
        <v>13984.565163609892</v>
      </c>
      <c r="P376" s="1023">
        <v>14451.639065476551</v>
      </c>
      <c r="Q376" s="1023">
        <v>13990.371224116096</v>
      </c>
      <c r="R376" s="1023">
        <v>14447.773335613883</v>
      </c>
      <c r="S376" s="169">
        <f t="shared" si="159"/>
        <v>150606.49734214816</v>
      </c>
      <c r="T376" s="122">
        <f>VLOOKUP($B376,'Tech Litons'!$A:$I,9,0)</f>
        <v>176</v>
      </c>
      <c r="U376" s="179">
        <f t="shared" si="160"/>
        <v>33.75</v>
      </c>
      <c r="V376" s="179">
        <f t="shared" si="161"/>
        <v>47.761363636363633</v>
      </c>
      <c r="W376" s="179">
        <f t="shared" si="162"/>
        <v>48.983402866771037</v>
      </c>
      <c r="X376" s="179">
        <f t="shared" si="163"/>
        <v>78.389462784993484</v>
      </c>
      <c r="Y376" s="179">
        <f t="shared" si="164"/>
        <v>79.942990006198571</v>
      </c>
      <c r="Z376" s="179">
        <f t="shared" si="165"/>
        <v>79.501231950240879</v>
      </c>
      <c r="AA376" s="179">
        <f t="shared" si="166"/>
        <v>82.119568604681575</v>
      </c>
      <c r="AB376" s="179">
        <f t="shared" si="167"/>
        <v>82.121006021953818</v>
      </c>
      <c r="AC376" s="179">
        <f t="shared" si="168"/>
        <v>79.457756611419839</v>
      </c>
      <c r="AD376" s="179">
        <f t="shared" si="169"/>
        <v>82.111585599298579</v>
      </c>
      <c r="AE376" s="179">
        <f t="shared" si="170"/>
        <v>79.490745591568725</v>
      </c>
      <c r="AF376" s="179">
        <f t="shared" si="171"/>
        <v>82.089621225078886</v>
      </c>
    </row>
    <row r="377" spans="2:32">
      <c r="B377" s="122">
        <f t="shared" si="174"/>
        <v>64978550</v>
      </c>
      <c r="C377" s="122" t="str">
        <f>VLOOKUP($B377,'Tech Litons'!$A:$I,3,0)</f>
        <v>Other</v>
      </c>
      <c r="D377" s="122" t="str">
        <f>VLOOKUP($B377,'Tech Litons'!$A:$I,4,0)</f>
        <v>Other</v>
      </c>
      <c r="E377" s="1021" t="s">
        <v>575</v>
      </c>
      <c r="F377" s="1021">
        <v>64978550</v>
      </c>
      <c r="G377" s="1023">
        <v>4726</v>
      </c>
      <c r="H377" s="1023">
        <v>8350</v>
      </c>
      <c r="I377" s="1023">
        <v>8429</v>
      </c>
      <c r="J377" s="1023">
        <v>11674</v>
      </c>
      <c r="K377" s="1023">
        <v>19054</v>
      </c>
      <c r="L377" s="1023">
        <v>17817</v>
      </c>
      <c r="M377" s="1023">
        <v>17704</v>
      </c>
      <c r="N377" s="1023">
        <v>16248</v>
      </c>
      <c r="O377" s="1023">
        <v>13358</v>
      </c>
      <c r="P377" s="1023">
        <v>9516</v>
      </c>
      <c r="Q377" s="1023">
        <v>7230.9999999999991</v>
      </c>
      <c r="R377" s="1023">
        <v>8508</v>
      </c>
      <c r="S377" s="169">
        <f t="shared" si="159"/>
        <v>142615</v>
      </c>
      <c r="T377" s="122">
        <f>VLOOKUP($B377,'Tech Litons'!$A:$I,9,0)</f>
        <v>130</v>
      </c>
      <c r="U377" s="179">
        <f t="shared" si="160"/>
        <v>36.353846153846156</v>
      </c>
      <c r="V377" s="179">
        <f t="shared" si="161"/>
        <v>64.230769230769226</v>
      </c>
      <c r="W377" s="179">
        <f t="shared" si="162"/>
        <v>64.838461538461544</v>
      </c>
      <c r="X377" s="179">
        <f t="shared" si="163"/>
        <v>89.8</v>
      </c>
      <c r="Y377" s="179">
        <f t="shared" si="164"/>
        <v>146.56923076923076</v>
      </c>
      <c r="Z377" s="179">
        <f t="shared" si="165"/>
        <v>137.05384615384617</v>
      </c>
      <c r="AA377" s="179">
        <f t="shared" si="166"/>
        <v>136.1846153846154</v>
      </c>
      <c r="AB377" s="179">
        <f t="shared" si="167"/>
        <v>124.98461538461538</v>
      </c>
      <c r="AC377" s="179">
        <f t="shared" si="168"/>
        <v>102.75384615384615</v>
      </c>
      <c r="AD377" s="179">
        <f t="shared" si="169"/>
        <v>73.2</v>
      </c>
      <c r="AE377" s="179">
        <f t="shared" si="170"/>
        <v>55.623076923076916</v>
      </c>
      <c r="AF377" s="179">
        <f t="shared" si="171"/>
        <v>65.446153846153848</v>
      </c>
    </row>
    <row r="378" spans="2:32">
      <c r="B378" s="122">
        <f t="shared" si="174"/>
        <v>64979101</v>
      </c>
      <c r="C378" s="122" t="str">
        <f>VLOOKUP($B378,'Tech Litons'!$A:$I,3,0)</f>
        <v>Other</v>
      </c>
      <c r="D378" s="122" t="str">
        <f>VLOOKUP($B378,'Tech Litons'!$A:$I,4,0)</f>
        <v>Other</v>
      </c>
      <c r="E378" s="1021" t="s">
        <v>1059</v>
      </c>
      <c r="F378" s="1021">
        <v>64979101</v>
      </c>
      <c r="G378" s="1023">
        <v>0</v>
      </c>
      <c r="H378" s="1023">
        <v>0</v>
      </c>
      <c r="I378" s="1023">
        <v>13829</v>
      </c>
      <c r="J378" s="1023">
        <v>24686.000000000004</v>
      </c>
      <c r="K378" s="1023">
        <v>36073.999999999993</v>
      </c>
      <c r="L378" s="1023">
        <v>7886</v>
      </c>
      <c r="M378" s="1023">
        <v>8149.0000000000009</v>
      </c>
      <c r="N378" s="1023">
        <v>8149.0000000000009</v>
      </c>
      <c r="O378" s="1023">
        <v>7886</v>
      </c>
      <c r="P378" s="1023">
        <v>8149.0000000000009</v>
      </c>
      <c r="Q378" s="1023">
        <v>7886</v>
      </c>
      <c r="R378" s="1023">
        <v>8149.0000000000009</v>
      </c>
      <c r="S378" s="169">
        <f t="shared" si="159"/>
        <v>130843</v>
      </c>
      <c r="T378" s="122">
        <f>VLOOKUP($B378,'Tech Litons'!$A:$I,9,0)</f>
        <v>360</v>
      </c>
      <c r="U378" s="179">
        <f t="shared" si="160"/>
        <v>0</v>
      </c>
      <c r="V378" s="179">
        <f t="shared" si="161"/>
        <v>0</v>
      </c>
      <c r="W378" s="179">
        <f t="shared" si="162"/>
        <v>38.413888888888891</v>
      </c>
      <c r="X378" s="179">
        <f t="shared" si="163"/>
        <v>68.572222222222237</v>
      </c>
      <c r="Y378" s="179">
        <f t="shared" si="164"/>
        <v>100.20555555555553</v>
      </c>
      <c r="Z378" s="179">
        <f t="shared" si="165"/>
        <v>21.905555555555555</v>
      </c>
      <c r="AA378" s="179">
        <f t="shared" si="166"/>
        <v>22.636111111111113</v>
      </c>
      <c r="AB378" s="179">
        <f t="shared" si="167"/>
        <v>22.636111111111113</v>
      </c>
      <c r="AC378" s="179">
        <f t="shared" si="168"/>
        <v>21.905555555555555</v>
      </c>
      <c r="AD378" s="179">
        <f t="shared" si="169"/>
        <v>22.636111111111113</v>
      </c>
      <c r="AE378" s="179">
        <f t="shared" si="170"/>
        <v>21.905555555555555</v>
      </c>
      <c r="AF378" s="179">
        <f t="shared" si="171"/>
        <v>22.636111111111113</v>
      </c>
    </row>
    <row r="379" spans="2:32">
      <c r="B379" s="122">
        <f t="shared" si="174"/>
        <v>64984153</v>
      </c>
      <c r="C379" s="122" t="str">
        <f>VLOOKUP($B379,'Tech Litons'!$A:$I,3,0)</f>
        <v>Sundaes</v>
      </c>
      <c r="D379" s="122" t="str">
        <f>VLOOKUP($B379,'Tech Litons'!$A:$I,4,0)</f>
        <v>SP1</v>
      </c>
      <c r="E379" s="1021" t="s">
        <v>350</v>
      </c>
      <c r="F379" s="1021">
        <v>64984153</v>
      </c>
      <c r="G379" s="1023">
        <v>8350</v>
      </c>
      <c r="H379" s="1023">
        <v>8226</v>
      </c>
      <c r="I379" s="1023">
        <v>6257.3831604629577</v>
      </c>
      <c r="J379" s="1023">
        <v>8914.1324986494838</v>
      </c>
      <c r="K379" s="1023">
        <v>12064.057532546036</v>
      </c>
      <c r="L379" s="1023">
        <v>12101.144524617606</v>
      </c>
      <c r="M379" s="1023">
        <v>11033.454464323011</v>
      </c>
      <c r="N379" s="1023">
        <v>11765.668275894572</v>
      </c>
      <c r="O379" s="1023">
        <v>10852.271649872218</v>
      </c>
      <c r="P379" s="1023">
        <v>10973.341033555924</v>
      </c>
      <c r="Q379" s="1023">
        <v>9550.4435981456882</v>
      </c>
      <c r="R379" s="1023">
        <v>9980.4343493055567</v>
      </c>
      <c r="S379" s="169">
        <f t="shared" si="159"/>
        <v>120068.33108737305</v>
      </c>
      <c r="T379" s="122">
        <f>VLOOKUP($B379,'Tech Litons'!$A:$I,9,0)</f>
        <v>240</v>
      </c>
      <c r="U379" s="179">
        <f t="shared" si="160"/>
        <v>34.791666666666664</v>
      </c>
      <c r="V379" s="179">
        <f t="shared" si="161"/>
        <v>34.274999999999999</v>
      </c>
      <c r="W379" s="179">
        <f t="shared" si="162"/>
        <v>26.072429835262323</v>
      </c>
      <c r="X379" s="179">
        <f t="shared" si="163"/>
        <v>37.142218744372848</v>
      </c>
      <c r="Y379" s="179">
        <f t="shared" si="164"/>
        <v>50.266906385608486</v>
      </c>
      <c r="Z379" s="179">
        <f t="shared" si="165"/>
        <v>50.421435519240028</v>
      </c>
      <c r="AA379" s="179">
        <f t="shared" si="166"/>
        <v>45.972726934679216</v>
      </c>
      <c r="AB379" s="179">
        <f t="shared" si="167"/>
        <v>49.023617816227379</v>
      </c>
      <c r="AC379" s="179">
        <f t="shared" si="168"/>
        <v>45.217798541134243</v>
      </c>
      <c r="AD379" s="179">
        <f t="shared" si="169"/>
        <v>45.722254306483016</v>
      </c>
      <c r="AE379" s="179">
        <f t="shared" si="170"/>
        <v>39.7935149922737</v>
      </c>
      <c r="AF379" s="179">
        <f t="shared" si="171"/>
        <v>41.585143122106487</v>
      </c>
    </row>
    <row r="380" spans="2:32">
      <c r="B380" s="122">
        <f t="shared" si="174"/>
        <v>64979407</v>
      </c>
      <c r="C380" s="122" t="str">
        <f>VLOOKUP($B380,'Tech Litons'!$A:$I,3,0)</f>
        <v>MG Sticks</v>
      </c>
      <c r="D380" s="122" t="str">
        <f>VLOOKUP($B380,'Tech Litons'!$A:$I,4,0)</f>
        <v>MG Sticks</v>
      </c>
      <c r="E380" s="1021" t="s">
        <v>284</v>
      </c>
      <c r="F380" s="1021">
        <v>64979407</v>
      </c>
      <c r="G380" s="1023">
        <v>5356</v>
      </c>
      <c r="H380" s="1023">
        <v>4983</v>
      </c>
      <c r="I380" s="1023">
        <v>6452.5207582675048</v>
      </c>
      <c r="J380" s="1023">
        <v>9545.1892290710584</v>
      </c>
      <c r="K380" s="1023">
        <v>13421.198202079813</v>
      </c>
      <c r="L380" s="1023">
        <v>12298.288387696744</v>
      </c>
      <c r="M380" s="1023">
        <v>13265.008901304474</v>
      </c>
      <c r="N380" s="1023">
        <v>12592.425132195105</v>
      </c>
      <c r="O380" s="1023">
        <v>12363.611275722384</v>
      </c>
      <c r="P380" s="1023">
        <v>9976.6556490290786</v>
      </c>
      <c r="Q380" s="1023">
        <v>8104.6437149953563</v>
      </c>
      <c r="R380" s="1023">
        <v>8185.5290415290474</v>
      </c>
      <c r="S380" s="169">
        <f t="shared" si="159"/>
        <v>116544.07029189057</v>
      </c>
      <c r="T380" s="122">
        <f>VLOOKUP($B380,'Tech Litons'!$A:$I,9,0)</f>
        <v>143</v>
      </c>
      <c r="U380" s="179">
        <f t="shared" si="160"/>
        <v>37.454545454545453</v>
      </c>
      <c r="V380" s="179">
        <f t="shared" si="161"/>
        <v>34.846153846153847</v>
      </c>
      <c r="W380" s="179">
        <f t="shared" si="162"/>
        <v>45.122522785087448</v>
      </c>
      <c r="X380" s="179">
        <f t="shared" si="163"/>
        <v>66.749575028468939</v>
      </c>
      <c r="Y380" s="179">
        <f t="shared" si="164"/>
        <v>93.854532881677017</v>
      </c>
      <c r="Z380" s="179">
        <f t="shared" si="165"/>
        <v>86.002016697180025</v>
      </c>
      <c r="AA380" s="179">
        <f t="shared" si="166"/>
        <v>92.7623000091222</v>
      </c>
      <c r="AB380" s="179">
        <f t="shared" si="167"/>
        <v>88.058917008357383</v>
      </c>
      <c r="AC380" s="179">
        <f t="shared" si="168"/>
        <v>86.458820109946743</v>
      </c>
      <c r="AD380" s="179">
        <f t="shared" si="169"/>
        <v>69.766822720483063</v>
      </c>
      <c r="AE380" s="179">
        <f t="shared" si="170"/>
        <v>56.675830174792701</v>
      </c>
      <c r="AF380" s="179">
        <f t="shared" si="171"/>
        <v>57.241461828874456</v>
      </c>
    </row>
    <row r="381" spans="2:32">
      <c r="B381" s="122">
        <f t="shared" si="174"/>
        <v>65089667</v>
      </c>
      <c r="C381" s="122" t="str">
        <f>VLOOKUP($B381,'Tech Litons'!$A:$I,3,0)</f>
        <v>Other</v>
      </c>
      <c r="D381" s="122" t="str">
        <f>VLOOKUP($B381,'Tech Litons'!$A:$I,4,0)</f>
        <v>Other</v>
      </c>
      <c r="E381" s="1021" t="s">
        <v>606</v>
      </c>
      <c r="F381" s="1021">
        <v>65089667</v>
      </c>
      <c r="G381" s="1023"/>
      <c r="H381" s="1023"/>
      <c r="I381" s="1023"/>
      <c r="J381" s="1023"/>
      <c r="K381" s="1023"/>
      <c r="L381" s="1023"/>
      <c r="M381" s="1023"/>
      <c r="N381" s="1023"/>
      <c r="O381" s="1023"/>
      <c r="P381" s="1023"/>
      <c r="Q381" s="1023"/>
      <c r="R381" s="1023"/>
      <c r="S381" s="169">
        <f t="shared" si="159"/>
        <v>0</v>
      </c>
      <c r="T381" s="122">
        <f>VLOOKUP($B381,'Tech Litons'!$A:$I,9,0)</f>
        <v>150</v>
      </c>
      <c r="U381" s="179">
        <f t="shared" si="160"/>
        <v>0</v>
      </c>
      <c r="V381" s="179">
        <f t="shared" si="161"/>
        <v>0</v>
      </c>
      <c r="W381" s="179">
        <f t="shared" si="162"/>
        <v>0</v>
      </c>
      <c r="X381" s="179">
        <f t="shared" si="163"/>
        <v>0</v>
      </c>
      <c r="Y381" s="179">
        <f t="shared" si="164"/>
        <v>0</v>
      </c>
      <c r="Z381" s="179">
        <f t="shared" si="165"/>
        <v>0</v>
      </c>
      <c r="AA381" s="179">
        <f t="shared" si="166"/>
        <v>0</v>
      </c>
      <c r="AB381" s="179">
        <f t="shared" si="167"/>
        <v>0</v>
      </c>
      <c r="AC381" s="179">
        <f t="shared" si="168"/>
        <v>0</v>
      </c>
      <c r="AD381" s="179">
        <f t="shared" si="169"/>
        <v>0</v>
      </c>
      <c r="AE381" s="179">
        <f t="shared" si="170"/>
        <v>0</v>
      </c>
      <c r="AF381" s="179">
        <f t="shared" si="171"/>
        <v>0</v>
      </c>
    </row>
    <row r="382" spans="2:32">
      <c r="B382" s="122">
        <f t="shared" si="174"/>
        <v>64898310</v>
      </c>
      <c r="C382" s="122" t="str">
        <f>VLOOKUP($B382,'Tech Litons'!$A:$I,3,0)</f>
        <v>PTS</v>
      </c>
      <c r="D382" s="122" t="str">
        <f>VLOOKUP($B382,'Tech Litons'!$A:$I,4,0)</f>
        <v>SP1</v>
      </c>
      <c r="E382" s="1021" t="s">
        <v>245</v>
      </c>
      <c r="F382" s="1021">
        <v>64898310</v>
      </c>
      <c r="G382" s="1023">
        <v>630</v>
      </c>
      <c r="H382" s="1023">
        <v>1320</v>
      </c>
      <c r="I382" s="1023">
        <v>13518</v>
      </c>
      <c r="J382" s="1023">
        <v>17980.514019999999</v>
      </c>
      <c r="K382" s="1023">
        <v>18590.24785</v>
      </c>
      <c r="L382" s="1023">
        <v>18093.241450000001</v>
      </c>
      <c r="M382" s="1023">
        <v>17211.378349999999</v>
      </c>
      <c r="N382" s="1023">
        <v>16753.105309999999</v>
      </c>
      <c r="O382" s="1023">
        <v>14818.06322</v>
      </c>
      <c r="P382" s="1023">
        <v>14971.158750000001</v>
      </c>
      <c r="Q382" s="1023">
        <v>15953.878989999999</v>
      </c>
      <c r="R382" s="1023">
        <v>16583.99152</v>
      </c>
      <c r="S382" s="169">
        <f t="shared" si="159"/>
        <v>166423.57946000001</v>
      </c>
      <c r="T382" s="122">
        <f>VLOOKUP($B382,'Tech Litons'!$A:$I,9,0)</f>
        <v>240</v>
      </c>
      <c r="U382" s="179">
        <f t="shared" si="160"/>
        <v>2.625</v>
      </c>
      <c r="V382" s="179">
        <f t="shared" si="161"/>
        <v>5.5</v>
      </c>
      <c r="W382" s="179">
        <f t="shared" si="162"/>
        <v>56.325000000000003</v>
      </c>
      <c r="X382" s="179">
        <f t="shared" si="163"/>
        <v>74.918808416666664</v>
      </c>
      <c r="Y382" s="179">
        <f t="shared" si="164"/>
        <v>77.459366041666669</v>
      </c>
      <c r="Z382" s="179">
        <f t="shared" si="165"/>
        <v>75.388506041666673</v>
      </c>
      <c r="AA382" s="179">
        <f t="shared" si="166"/>
        <v>71.714076458333324</v>
      </c>
      <c r="AB382" s="179">
        <f t="shared" si="167"/>
        <v>69.804605458333327</v>
      </c>
      <c r="AC382" s="179">
        <f t="shared" si="168"/>
        <v>61.741930083333337</v>
      </c>
      <c r="AD382" s="179">
        <f t="shared" si="169"/>
        <v>62.379828125000003</v>
      </c>
      <c r="AE382" s="179">
        <f t="shared" si="170"/>
        <v>66.474495791666669</v>
      </c>
      <c r="AF382" s="179">
        <f t="shared" si="171"/>
        <v>69.099964666666665</v>
      </c>
    </row>
    <row r="383" spans="2:32">
      <c r="B383" s="122">
        <f t="shared" si="174"/>
        <v>65490430</v>
      </c>
      <c r="C383" s="122" t="str">
        <f>VLOOKUP($B383,'Tech Litons'!$A:$I,3,0)</f>
        <v>PG</v>
      </c>
      <c r="D383" s="122" t="str">
        <f>VLOOKUP($B383,'Tech Litons'!$A:$I,4,0)</f>
        <v>PG</v>
      </c>
      <c r="E383" s="1021" t="s">
        <v>895</v>
      </c>
      <c r="F383" s="1021">
        <v>65490430</v>
      </c>
      <c r="G383" s="1023">
        <v>0</v>
      </c>
      <c r="H383" s="1023">
        <v>0</v>
      </c>
      <c r="I383" s="1023">
        <v>9000</v>
      </c>
      <c r="J383" s="1023">
        <v>5463</v>
      </c>
      <c r="K383" s="1023">
        <v>10603</v>
      </c>
      <c r="L383" s="1023">
        <v>15567</v>
      </c>
      <c r="M383" s="1023">
        <v>15747</v>
      </c>
      <c r="N383" s="1023">
        <v>13985</v>
      </c>
      <c r="O383" s="1023">
        <v>9588</v>
      </c>
      <c r="P383" s="1023">
        <v>6928</v>
      </c>
      <c r="Q383" s="1023">
        <v>5786</v>
      </c>
      <c r="R383" s="1023">
        <v>4028</v>
      </c>
      <c r="S383" s="169">
        <f t="shared" si="159"/>
        <v>96695</v>
      </c>
      <c r="T383" s="122">
        <f>VLOOKUP($B383,'Tech Litons'!$A:$I,9,0)</f>
        <v>200</v>
      </c>
      <c r="U383" s="179">
        <f t="shared" si="160"/>
        <v>0</v>
      </c>
      <c r="V383" s="179">
        <f t="shared" si="161"/>
        <v>0</v>
      </c>
      <c r="W383" s="179">
        <f t="shared" si="162"/>
        <v>45</v>
      </c>
      <c r="X383" s="179">
        <f t="shared" si="163"/>
        <v>27.315000000000001</v>
      </c>
      <c r="Y383" s="179">
        <f t="shared" si="164"/>
        <v>53.015000000000001</v>
      </c>
      <c r="Z383" s="179">
        <f t="shared" si="165"/>
        <v>77.834999999999994</v>
      </c>
      <c r="AA383" s="179">
        <f t="shared" si="166"/>
        <v>78.734999999999999</v>
      </c>
      <c r="AB383" s="179">
        <f t="shared" si="167"/>
        <v>69.924999999999997</v>
      </c>
      <c r="AC383" s="179">
        <f t="shared" si="168"/>
        <v>47.94</v>
      </c>
      <c r="AD383" s="179">
        <f t="shared" si="169"/>
        <v>34.64</v>
      </c>
      <c r="AE383" s="179">
        <f t="shared" si="170"/>
        <v>28.93</v>
      </c>
      <c r="AF383" s="179">
        <f t="shared" si="171"/>
        <v>20.14</v>
      </c>
    </row>
    <row r="384" spans="2:32">
      <c r="B384" s="122">
        <f t="shared" si="174"/>
        <v>65459033</v>
      </c>
      <c r="C384" s="122" t="str">
        <f>VLOOKUP($B384,'Tech Litons'!$A:$I,3,0)</f>
        <v>Other</v>
      </c>
      <c r="D384" s="122" t="str">
        <f>VLOOKUP($B384,'Tech Litons'!$A:$I,4,0)</f>
        <v>Other</v>
      </c>
      <c r="E384" s="1021" t="s">
        <v>1060</v>
      </c>
      <c r="F384" s="1021">
        <v>65459033</v>
      </c>
      <c r="G384" s="1023">
        <v>0</v>
      </c>
      <c r="H384" s="1023">
        <v>1980</v>
      </c>
      <c r="I384" s="1023">
        <v>11379</v>
      </c>
      <c r="J384" s="1023">
        <v>7432.9999999999991</v>
      </c>
      <c r="K384" s="1023">
        <v>9444</v>
      </c>
      <c r="L384" s="1023">
        <v>8983</v>
      </c>
      <c r="M384" s="1023">
        <v>8317</v>
      </c>
      <c r="N384" s="1023">
        <v>9770.9999999999982</v>
      </c>
      <c r="O384" s="1023">
        <v>9454.9999999999982</v>
      </c>
      <c r="P384" s="1023">
        <v>9770.9999999999982</v>
      </c>
      <c r="Q384" s="1023">
        <v>9454.9999999999982</v>
      </c>
      <c r="R384" s="1023">
        <v>9770.9999999999982</v>
      </c>
      <c r="S384" s="169">
        <f t="shared" si="159"/>
        <v>95759</v>
      </c>
      <c r="T384" s="122">
        <f>VLOOKUP($B384,'Tech Litons'!$A:$I,9,0)</f>
        <v>240</v>
      </c>
      <c r="U384" s="179">
        <f t="shared" si="160"/>
        <v>0</v>
      </c>
      <c r="V384" s="179">
        <f t="shared" si="161"/>
        <v>8.25</v>
      </c>
      <c r="W384" s="179">
        <f t="shared" si="162"/>
        <v>47.412500000000001</v>
      </c>
      <c r="X384" s="179">
        <f t="shared" si="163"/>
        <v>30.970833333333328</v>
      </c>
      <c r="Y384" s="179">
        <f t="shared" si="164"/>
        <v>39.35</v>
      </c>
      <c r="Z384" s="179">
        <f t="shared" si="165"/>
        <v>37.429166666666667</v>
      </c>
      <c r="AA384" s="179">
        <f t="shared" si="166"/>
        <v>34.654166666666669</v>
      </c>
      <c r="AB384" s="179">
        <f t="shared" si="167"/>
        <v>40.712499999999991</v>
      </c>
      <c r="AC384" s="179">
        <f t="shared" si="168"/>
        <v>39.395833333333329</v>
      </c>
      <c r="AD384" s="179">
        <f t="shared" si="169"/>
        <v>40.712499999999991</v>
      </c>
      <c r="AE384" s="179">
        <f t="shared" si="170"/>
        <v>39.395833333333329</v>
      </c>
      <c r="AF384" s="179">
        <f t="shared" si="171"/>
        <v>40.712499999999991</v>
      </c>
    </row>
    <row r="385" spans="2:32">
      <c r="B385" s="122">
        <f t="shared" si="174"/>
        <v>65549173</v>
      </c>
      <c r="C385" s="122" t="str">
        <f>VLOOKUP($B385,'Tech Litons'!$A:$I,3,0)</f>
        <v>Facepieces</v>
      </c>
      <c r="D385" s="122" t="str">
        <f>VLOOKUP($B385,'Tech Litons'!$A:$I,4,0)</f>
        <v>Facepieces</v>
      </c>
      <c r="E385" s="1021" t="s">
        <v>1189</v>
      </c>
      <c r="F385" s="1021">
        <v>65549173</v>
      </c>
      <c r="G385" s="1023">
        <v>0</v>
      </c>
      <c r="H385" s="1023">
        <v>0</v>
      </c>
      <c r="I385" s="1023">
        <v>0</v>
      </c>
      <c r="J385" s="1023">
        <v>0</v>
      </c>
      <c r="K385" s="1023">
        <v>16520</v>
      </c>
      <c r="L385" s="1023">
        <v>21240</v>
      </c>
      <c r="M385" s="1023">
        <v>17700</v>
      </c>
      <c r="N385" s="1023">
        <v>10620</v>
      </c>
      <c r="O385" s="1023">
        <v>7119</v>
      </c>
      <c r="P385" s="1023">
        <v>7071</v>
      </c>
      <c r="Q385" s="1023">
        <v>5900</v>
      </c>
      <c r="R385" s="1023">
        <v>5310</v>
      </c>
      <c r="S385" s="169">
        <f t="shared" si="159"/>
        <v>91480</v>
      </c>
      <c r="T385" s="122">
        <f>VLOOKUP($B385,'Tech Litons'!$A:$I,9,0)</f>
        <v>210</v>
      </c>
      <c r="U385" s="179">
        <f t="shared" si="160"/>
        <v>0</v>
      </c>
      <c r="V385" s="179">
        <f t="shared" si="161"/>
        <v>0</v>
      </c>
      <c r="W385" s="179">
        <f t="shared" si="162"/>
        <v>0</v>
      </c>
      <c r="X385" s="179">
        <f t="shared" si="163"/>
        <v>0</v>
      </c>
      <c r="Y385" s="179">
        <f t="shared" si="164"/>
        <v>78.666666666666671</v>
      </c>
      <c r="Z385" s="179">
        <f t="shared" si="165"/>
        <v>101.14285714285714</v>
      </c>
      <c r="AA385" s="179">
        <f t="shared" si="166"/>
        <v>84.285714285714292</v>
      </c>
      <c r="AB385" s="179">
        <f t="shared" si="167"/>
        <v>50.571428571428569</v>
      </c>
      <c r="AC385" s="179">
        <f t="shared" si="168"/>
        <v>33.9</v>
      </c>
      <c r="AD385" s="179">
        <f t="shared" si="169"/>
        <v>33.671428571428571</v>
      </c>
      <c r="AE385" s="179">
        <f t="shared" si="170"/>
        <v>28.095238095238095</v>
      </c>
      <c r="AF385" s="179">
        <f t="shared" si="171"/>
        <v>25.285714285714285</v>
      </c>
    </row>
    <row r="386" spans="2:32">
      <c r="B386" s="122">
        <f t="shared" si="174"/>
        <v>65471855</v>
      </c>
      <c r="C386" s="122" t="str">
        <f>VLOOKUP($B386,'Tech Litons'!$A:$I,3,0)</f>
        <v>Other</v>
      </c>
      <c r="D386" s="122" t="str">
        <f>VLOOKUP($B386,'Tech Litons'!$A:$I,4,0)</f>
        <v>Other</v>
      </c>
      <c r="E386" s="1021" t="s">
        <v>248</v>
      </c>
      <c r="F386" s="1021">
        <v>65471855</v>
      </c>
      <c r="G386" s="1023">
        <v>0</v>
      </c>
      <c r="H386" s="1023">
        <v>120</v>
      </c>
      <c r="I386" s="1023">
        <v>11254</v>
      </c>
      <c r="J386" s="1023">
        <v>6428.9999999999991</v>
      </c>
      <c r="K386" s="1023">
        <v>7792.9999999999991</v>
      </c>
      <c r="L386" s="1023">
        <v>7125.0000000000009</v>
      </c>
      <c r="M386" s="1023">
        <v>6504.0000000000009</v>
      </c>
      <c r="N386" s="1023">
        <v>7750.0000000000009</v>
      </c>
      <c r="O386" s="1023">
        <v>7499.9999999999991</v>
      </c>
      <c r="P386" s="1023">
        <v>7750.0000000000009</v>
      </c>
      <c r="Q386" s="1023">
        <v>7499.9999999999991</v>
      </c>
      <c r="R386" s="1023">
        <v>7750.0000000000009</v>
      </c>
      <c r="S386" s="169">
        <f t="shared" si="159"/>
        <v>77475</v>
      </c>
      <c r="T386" s="122">
        <f>VLOOKUP($B386,'Tech Litons'!$A:$I,9,0)</f>
        <v>240</v>
      </c>
      <c r="U386" s="179">
        <f t="shared" si="160"/>
        <v>0</v>
      </c>
      <c r="V386" s="179">
        <f t="shared" si="161"/>
        <v>0.5</v>
      </c>
      <c r="W386" s="179">
        <f t="shared" si="162"/>
        <v>46.891666666666666</v>
      </c>
      <c r="X386" s="179">
        <f t="shared" si="163"/>
        <v>26.787499999999998</v>
      </c>
      <c r="Y386" s="179">
        <f t="shared" si="164"/>
        <v>32.470833333333331</v>
      </c>
      <c r="Z386" s="179">
        <f t="shared" si="165"/>
        <v>29.687500000000004</v>
      </c>
      <c r="AA386" s="179">
        <f t="shared" si="166"/>
        <v>27.100000000000005</v>
      </c>
      <c r="AB386" s="179">
        <f t="shared" si="167"/>
        <v>32.291666666666671</v>
      </c>
      <c r="AC386" s="179">
        <f t="shared" si="168"/>
        <v>31.249999999999996</v>
      </c>
      <c r="AD386" s="179">
        <f t="shared" si="169"/>
        <v>32.291666666666671</v>
      </c>
      <c r="AE386" s="179">
        <f t="shared" si="170"/>
        <v>31.249999999999996</v>
      </c>
      <c r="AF386" s="179">
        <f t="shared" si="171"/>
        <v>32.291666666666671</v>
      </c>
    </row>
    <row r="387" spans="2:32">
      <c r="B387" s="122">
        <f t="shared" si="174"/>
        <v>64958862</v>
      </c>
      <c r="C387" s="122" t="str">
        <f>VLOOKUP($B387,'Tech Litons'!$A:$I,3,0)</f>
        <v>Other</v>
      </c>
      <c r="D387" s="122" t="str">
        <f>VLOOKUP($B387,'Tech Litons'!$A:$I,4,0)</f>
        <v>Other</v>
      </c>
      <c r="E387" s="1021" t="s">
        <v>1290</v>
      </c>
      <c r="F387" s="1021">
        <v>64958862</v>
      </c>
      <c r="G387" s="1023">
        <v>0</v>
      </c>
      <c r="H387" s="1023">
        <v>0</v>
      </c>
      <c r="I387" s="1023">
        <v>0</v>
      </c>
      <c r="J387" s="1023">
        <v>0</v>
      </c>
      <c r="K387" s="1023">
        <v>8400</v>
      </c>
      <c r="L387" s="1023">
        <v>2750</v>
      </c>
      <c r="M387" s="1023">
        <v>8525</v>
      </c>
      <c r="N387" s="1023">
        <v>11366.666670000001</v>
      </c>
      <c r="O387" s="1023">
        <v>11000</v>
      </c>
      <c r="P387" s="1023">
        <v>11366.666670000001</v>
      </c>
      <c r="Q387" s="1023">
        <v>11000</v>
      </c>
      <c r="R387" s="1023">
        <v>11366.666670000001</v>
      </c>
      <c r="S387" s="169">
        <f t="shared" si="159"/>
        <v>75775.000010000003</v>
      </c>
      <c r="T387" s="122">
        <f>VLOOKUP($B387,'Tech Litons'!$A:$I,9,0)</f>
        <v>170</v>
      </c>
      <c r="U387" s="179">
        <f t="shared" si="160"/>
        <v>0</v>
      </c>
      <c r="V387" s="179">
        <f t="shared" si="161"/>
        <v>0</v>
      </c>
      <c r="W387" s="179">
        <f t="shared" si="162"/>
        <v>0</v>
      </c>
      <c r="X387" s="179">
        <f t="shared" si="163"/>
        <v>0</v>
      </c>
      <c r="Y387" s="179">
        <f t="shared" si="164"/>
        <v>49.411764705882355</v>
      </c>
      <c r="Z387" s="179">
        <f t="shared" si="165"/>
        <v>16.176470588235293</v>
      </c>
      <c r="AA387" s="179">
        <f t="shared" si="166"/>
        <v>50.147058823529413</v>
      </c>
      <c r="AB387" s="179">
        <f t="shared" si="167"/>
        <v>66.862745117647066</v>
      </c>
      <c r="AC387" s="179">
        <f t="shared" si="168"/>
        <v>64.705882352941174</v>
      </c>
      <c r="AD387" s="179">
        <f t="shared" si="169"/>
        <v>66.862745117647066</v>
      </c>
      <c r="AE387" s="179">
        <f t="shared" si="170"/>
        <v>64.705882352941174</v>
      </c>
      <c r="AF387" s="179">
        <f t="shared" si="171"/>
        <v>66.862745117647066</v>
      </c>
    </row>
    <row r="388" spans="2:32">
      <c r="B388" s="122">
        <f t="shared" si="174"/>
        <v>65540451</v>
      </c>
      <c r="C388" s="122" t="str">
        <f>VLOOKUP($B388,'Tech Litons'!$A:$I,3,0)</f>
        <v>BJ Bars</v>
      </c>
      <c r="D388" s="122" t="str">
        <f>VLOOKUP($B388,'Tech Litons'!$A:$I,4,0)</f>
        <v>BJ Bars</v>
      </c>
      <c r="E388" s="1021" t="s">
        <v>1222</v>
      </c>
      <c r="F388" s="1021">
        <v>65540451</v>
      </c>
      <c r="G388" s="1023">
        <v>0</v>
      </c>
      <c r="H388" s="1023">
        <v>0</v>
      </c>
      <c r="I388" s="1023">
        <v>6579</v>
      </c>
      <c r="J388" s="1023">
        <v>9811</v>
      </c>
      <c r="K388" s="1023">
        <v>8870</v>
      </c>
      <c r="L388" s="1023">
        <v>9633</v>
      </c>
      <c r="M388" s="1023">
        <v>6955</v>
      </c>
      <c r="N388" s="1023">
        <v>4830</v>
      </c>
      <c r="O388" s="1023">
        <v>8637</v>
      </c>
      <c r="P388" s="1023">
        <v>5441</v>
      </c>
      <c r="Q388" s="1023">
        <v>3963</v>
      </c>
      <c r="R388" s="1023">
        <v>3186</v>
      </c>
      <c r="S388" s="169">
        <f t="shared" si="159"/>
        <v>67905</v>
      </c>
      <c r="T388" s="122">
        <f>VLOOKUP($B388,'Tech Litons'!$A:$I,9,0)</f>
        <v>165</v>
      </c>
      <c r="U388" s="179">
        <f t="shared" si="160"/>
        <v>0</v>
      </c>
      <c r="V388" s="179">
        <f t="shared" si="161"/>
        <v>0</v>
      </c>
      <c r="W388" s="179">
        <f t="shared" si="162"/>
        <v>39.872727272727275</v>
      </c>
      <c r="X388" s="179">
        <f t="shared" si="163"/>
        <v>59.460606060606061</v>
      </c>
      <c r="Y388" s="179">
        <f t="shared" si="164"/>
        <v>53.757575757575758</v>
      </c>
      <c r="Z388" s="179">
        <f t="shared" si="165"/>
        <v>58.381818181818183</v>
      </c>
      <c r="AA388" s="179">
        <f t="shared" si="166"/>
        <v>42.151515151515149</v>
      </c>
      <c r="AB388" s="179">
        <f t="shared" si="167"/>
        <v>29.272727272727273</v>
      </c>
      <c r="AC388" s="179">
        <f t="shared" si="168"/>
        <v>52.345454545454544</v>
      </c>
      <c r="AD388" s="179">
        <f t="shared" si="169"/>
        <v>32.975757575757576</v>
      </c>
      <c r="AE388" s="179">
        <f t="shared" si="170"/>
        <v>24.018181818181819</v>
      </c>
      <c r="AF388" s="179">
        <f t="shared" si="171"/>
        <v>19.309090909090909</v>
      </c>
    </row>
    <row r="389" spans="2:32">
      <c r="B389" s="122">
        <f t="shared" si="174"/>
        <v>65468644</v>
      </c>
      <c r="C389" s="122" t="str">
        <f>VLOOKUP($B389,'Tech Litons'!$A:$I,3,0)</f>
        <v>Other</v>
      </c>
      <c r="D389" s="122" t="str">
        <f>VLOOKUP($B389,'Tech Litons'!$A:$I,4,0)</f>
        <v>Other</v>
      </c>
      <c r="E389" s="1021" t="s">
        <v>1291</v>
      </c>
      <c r="F389" s="1021">
        <v>65468644</v>
      </c>
      <c r="G389" s="1023">
        <v>0</v>
      </c>
      <c r="H389" s="1023">
        <v>0</v>
      </c>
      <c r="I389" s="1023">
        <v>0</v>
      </c>
      <c r="J389" s="1023">
        <v>0</v>
      </c>
      <c r="K389" s="1023">
        <v>39180</v>
      </c>
      <c r="L389" s="1023">
        <v>19590</v>
      </c>
      <c r="M389" s="1023">
        <v>3265</v>
      </c>
      <c r="N389" s="1023">
        <v>3265</v>
      </c>
      <c r="O389" s="1023">
        <v>0</v>
      </c>
      <c r="P389" s="1023">
        <v>0</v>
      </c>
      <c r="Q389" s="1023">
        <v>0</v>
      </c>
      <c r="R389" s="1023">
        <v>0</v>
      </c>
      <c r="S389" s="169">
        <f t="shared" si="159"/>
        <v>65300</v>
      </c>
      <c r="T389" s="122">
        <f>VLOOKUP($B389,'Tech Litons'!$A:$I,9,0)</f>
        <v>437</v>
      </c>
      <c r="U389" s="179">
        <f t="shared" si="160"/>
        <v>0</v>
      </c>
      <c r="V389" s="179">
        <f t="shared" si="161"/>
        <v>0</v>
      </c>
      <c r="W389" s="179">
        <f t="shared" si="162"/>
        <v>0</v>
      </c>
      <c r="X389" s="179">
        <f t="shared" si="163"/>
        <v>0</v>
      </c>
      <c r="Y389" s="179">
        <f t="shared" si="164"/>
        <v>89.656750572082373</v>
      </c>
      <c r="Z389" s="179">
        <f t="shared" si="165"/>
        <v>44.828375286041187</v>
      </c>
      <c r="AA389" s="179">
        <f t="shared" si="166"/>
        <v>7.471395881006865</v>
      </c>
      <c r="AB389" s="179">
        <f t="shared" si="167"/>
        <v>7.471395881006865</v>
      </c>
      <c r="AC389" s="179">
        <f t="shared" si="168"/>
        <v>0</v>
      </c>
      <c r="AD389" s="179">
        <f t="shared" si="169"/>
        <v>0</v>
      </c>
      <c r="AE389" s="179">
        <f t="shared" si="170"/>
        <v>0</v>
      </c>
      <c r="AF389" s="179">
        <f t="shared" si="171"/>
        <v>0</v>
      </c>
    </row>
    <row r="390" spans="2:32">
      <c r="B390" s="122">
        <f t="shared" si="174"/>
        <v>64960643</v>
      </c>
      <c r="C390" s="122" t="str">
        <f>VLOOKUP($B390,'Tech Litons'!$A:$I,3,0)</f>
        <v>Other</v>
      </c>
      <c r="D390" s="122" t="str">
        <f>VLOOKUP($B390,'Tech Litons'!$A:$I,4,0)</f>
        <v>Other</v>
      </c>
      <c r="E390" s="1021" t="s">
        <v>1289</v>
      </c>
      <c r="F390" s="1021">
        <v>64960643</v>
      </c>
      <c r="G390" s="1023">
        <v>0</v>
      </c>
      <c r="H390" s="1023">
        <v>0</v>
      </c>
      <c r="I390" s="1023">
        <v>0</v>
      </c>
      <c r="J390" s="1023">
        <v>0</v>
      </c>
      <c r="K390" s="1023">
        <v>7800</v>
      </c>
      <c r="L390" s="1023">
        <v>2321.4285709999999</v>
      </c>
      <c r="M390" s="1023">
        <v>7196.4285710000004</v>
      </c>
      <c r="N390" s="1023">
        <v>9595.2380950000006</v>
      </c>
      <c r="O390" s="1023">
        <v>9285.7142860000004</v>
      </c>
      <c r="P390" s="1023">
        <v>9595.2380950000006</v>
      </c>
      <c r="Q390" s="1023">
        <v>9285.7142860000004</v>
      </c>
      <c r="R390" s="1023">
        <v>9595.2380950000006</v>
      </c>
      <c r="S390" s="169">
        <f t="shared" si="159"/>
        <v>64674.999999000007</v>
      </c>
      <c r="T390" s="122">
        <f>VLOOKUP($B390,'Tech Litons'!$A:$I,9,0)</f>
        <v>170</v>
      </c>
      <c r="U390" s="179">
        <f t="shared" si="160"/>
        <v>0</v>
      </c>
      <c r="V390" s="179">
        <f t="shared" si="161"/>
        <v>0</v>
      </c>
      <c r="W390" s="179">
        <f t="shared" si="162"/>
        <v>0</v>
      </c>
      <c r="X390" s="179">
        <f t="shared" si="163"/>
        <v>0</v>
      </c>
      <c r="Y390" s="179">
        <f t="shared" si="164"/>
        <v>45.882352941176471</v>
      </c>
      <c r="Z390" s="179">
        <f t="shared" si="165"/>
        <v>13.65546218235294</v>
      </c>
      <c r="AA390" s="179">
        <f t="shared" si="166"/>
        <v>42.331932770588239</v>
      </c>
      <c r="AB390" s="179">
        <f t="shared" si="167"/>
        <v>56.442577029411765</v>
      </c>
      <c r="AC390" s="179">
        <f t="shared" si="168"/>
        <v>54.621848741176471</v>
      </c>
      <c r="AD390" s="179">
        <f t="shared" si="169"/>
        <v>56.442577029411765</v>
      </c>
      <c r="AE390" s="179">
        <f t="shared" si="170"/>
        <v>54.621848741176471</v>
      </c>
      <c r="AF390" s="179">
        <f t="shared" si="171"/>
        <v>56.442577029411765</v>
      </c>
    </row>
    <row r="391" spans="2:32">
      <c r="B391" s="122">
        <f t="shared" si="174"/>
        <v>65459388</v>
      </c>
      <c r="C391" s="122" t="str">
        <f>VLOOKUP($B391,'Tech Litons'!$A:$I,3,0)</f>
        <v>Other</v>
      </c>
      <c r="D391" s="122" t="str">
        <f>VLOOKUP($B391,'Tech Litons'!$A:$I,4,0)</f>
        <v>Other</v>
      </c>
      <c r="E391" s="1021" t="s">
        <v>1061</v>
      </c>
      <c r="F391" s="1021">
        <v>65459388</v>
      </c>
      <c r="G391" s="1023">
        <v>0</v>
      </c>
      <c r="H391" s="1023">
        <v>120</v>
      </c>
      <c r="I391" s="1023">
        <v>11002.999999999998</v>
      </c>
      <c r="J391" s="1023">
        <v>5062</v>
      </c>
      <c r="K391" s="1023">
        <v>6041</v>
      </c>
      <c r="L391" s="1023">
        <v>5446.0000000000009</v>
      </c>
      <c r="M391" s="1023">
        <v>4884.9999999999991</v>
      </c>
      <c r="N391" s="1023">
        <v>5923.0000000000009</v>
      </c>
      <c r="O391" s="1023">
        <v>5731.9999999999991</v>
      </c>
      <c r="P391" s="1023">
        <v>5923.0000000000009</v>
      </c>
      <c r="Q391" s="1023">
        <v>5731.9999999999991</v>
      </c>
      <c r="R391" s="1023">
        <v>5923.0000000000009</v>
      </c>
      <c r="S391" s="169">
        <f t="shared" si="159"/>
        <v>61790</v>
      </c>
      <c r="T391" s="122">
        <f>VLOOKUP($B391,'Tech Litons'!$A:$I,9,0)</f>
        <v>240</v>
      </c>
      <c r="U391" s="179">
        <f t="shared" si="160"/>
        <v>0</v>
      </c>
      <c r="V391" s="179">
        <f t="shared" si="161"/>
        <v>0.5</v>
      </c>
      <c r="W391" s="179">
        <f t="shared" si="162"/>
        <v>45.845833333333324</v>
      </c>
      <c r="X391" s="179">
        <f t="shared" si="163"/>
        <v>21.091666666666665</v>
      </c>
      <c r="Y391" s="179">
        <f t="shared" si="164"/>
        <v>25.170833333333334</v>
      </c>
      <c r="Z391" s="179">
        <f t="shared" si="165"/>
        <v>22.69166666666667</v>
      </c>
      <c r="AA391" s="179">
        <f t="shared" si="166"/>
        <v>20.354166666666664</v>
      </c>
      <c r="AB391" s="179">
        <f t="shared" si="167"/>
        <v>24.679166666666671</v>
      </c>
      <c r="AC391" s="179">
        <f t="shared" si="168"/>
        <v>23.883333333333329</v>
      </c>
      <c r="AD391" s="179">
        <f t="shared" si="169"/>
        <v>24.679166666666671</v>
      </c>
      <c r="AE391" s="179">
        <f t="shared" si="170"/>
        <v>23.883333333333329</v>
      </c>
      <c r="AF391" s="179">
        <f t="shared" si="171"/>
        <v>24.679166666666671</v>
      </c>
    </row>
    <row r="392" spans="2:32">
      <c r="B392" s="122">
        <f t="shared" si="174"/>
        <v>65539504</v>
      </c>
      <c r="C392" s="122" t="str">
        <f>VLOOKUP($B392,'Tech Litons'!$A:$I,3,0)</f>
        <v>MG Sticks</v>
      </c>
      <c r="D392" s="122" t="str">
        <f>VLOOKUP($B392,'Tech Litons'!$A:$I,4,0)</f>
        <v>MG Sticks</v>
      </c>
      <c r="E392" s="1021" t="s">
        <v>1292</v>
      </c>
      <c r="F392" s="1021">
        <v>65539504</v>
      </c>
      <c r="G392" s="1023">
        <v>0</v>
      </c>
      <c r="H392" s="1023">
        <v>0</v>
      </c>
      <c r="I392" s="1023">
        <v>0</v>
      </c>
      <c r="J392" s="1023">
        <v>1000</v>
      </c>
      <c r="K392" s="1023">
        <v>1500</v>
      </c>
      <c r="L392" s="1023">
        <v>15000</v>
      </c>
      <c r="M392" s="1023">
        <v>0</v>
      </c>
      <c r="N392" s="1023">
        <v>0</v>
      </c>
      <c r="O392" s="1023">
        <v>6000</v>
      </c>
      <c r="P392" s="1023">
        <v>6000</v>
      </c>
      <c r="Q392" s="1023">
        <v>3000</v>
      </c>
      <c r="R392" s="1023">
        <v>0</v>
      </c>
      <c r="S392" s="169">
        <f t="shared" si="159"/>
        <v>32500</v>
      </c>
      <c r="T392" s="122">
        <f>VLOOKUP($B392,'Tech Litons'!$A:$I,9,0)</f>
        <v>210</v>
      </c>
      <c r="U392" s="179">
        <f t="shared" si="160"/>
        <v>0</v>
      </c>
      <c r="V392" s="179">
        <f t="shared" si="161"/>
        <v>0</v>
      </c>
      <c r="W392" s="179">
        <f t="shared" si="162"/>
        <v>0</v>
      </c>
      <c r="X392" s="179">
        <f t="shared" si="163"/>
        <v>4.7619047619047619</v>
      </c>
      <c r="Y392" s="179">
        <f t="shared" si="164"/>
        <v>7.1428571428571432</v>
      </c>
      <c r="Z392" s="179">
        <f t="shared" si="165"/>
        <v>71.428571428571431</v>
      </c>
      <c r="AA392" s="179">
        <f t="shared" si="166"/>
        <v>0</v>
      </c>
      <c r="AB392" s="179">
        <f t="shared" si="167"/>
        <v>0</v>
      </c>
      <c r="AC392" s="179">
        <f t="shared" si="168"/>
        <v>28.571428571428573</v>
      </c>
      <c r="AD392" s="179">
        <f t="shared" si="169"/>
        <v>28.571428571428573</v>
      </c>
      <c r="AE392" s="179">
        <f t="shared" si="170"/>
        <v>14.285714285714286</v>
      </c>
      <c r="AF392" s="179">
        <f t="shared" si="171"/>
        <v>0</v>
      </c>
    </row>
    <row r="393" spans="2:32">
      <c r="B393" s="122">
        <f t="shared" si="174"/>
        <v>65451950</v>
      </c>
      <c r="C393" s="122" t="str">
        <f>VLOOKUP($B393,'Tech Litons'!$A:$I,3,0)</f>
        <v>2.4 Gal</v>
      </c>
      <c r="D393" s="122" t="str">
        <f>VLOOKUP($B393,'Tech Litons'!$A:$I,4,0)</f>
        <v>2.4 Gal</v>
      </c>
      <c r="E393" s="1021" t="s">
        <v>562</v>
      </c>
      <c r="F393" s="1021">
        <v>65451950</v>
      </c>
      <c r="G393" s="1023">
        <v>1056</v>
      </c>
      <c r="H393" s="1023">
        <v>666</v>
      </c>
      <c r="I393" s="1023">
        <v>914</v>
      </c>
      <c r="J393" s="1023">
        <v>700</v>
      </c>
      <c r="K393" s="1023">
        <v>665</v>
      </c>
      <c r="L393" s="1023">
        <v>865</v>
      </c>
      <c r="M393" s="1023">
        <v>1104</v>
      </c>
      <c r="N393" s="1023">
        <v>814</v>
      </c>
      <c r="O393" s="1023">
        <v>385</v>
      </c>
      <c r="P393" s="1023">
        <v>325</v>
      </c>
      <c r="Q393" s="1023">
        <v>237</v>
      </c>
      <c r="R393" s="1023">
        <v>220</v>
      </c>
      <c r="S393" s="169">
        <f t="shared" si="159"/>
        <v>7951</v>
      </c>
      <c r="T393" s="122">
        <f>VLOOKUP($B393,'Tech Litons'!$A:$I,9,0)</f>
        <v>125</v>
      </c>
      <c r="U393" s="179">
        <f t="shared" si="160"/>
        <v>8.4480000000000004</v>
      </c>
      <c r="V393" s="179">
        <f t="shared" si="161"/>
        <v>5.3280000000000003</v>
      </c>
      <c r="W393" s="179">
        <f t="shared" si="162"/>
        <v>7.3120000000000003</v>
      </c>
      <c r="X393" s="179">
        <f t="shared" si="163"/>
        <v>5.6</v>
      </c>
      <c r="Y393" s="179">
        <f t="shared" si="164"/>
        <v>5.32</v>
      </c>
      <c r="Z393" s="179">
        <f t="shared" si="165"/>
        <v>6.92</v>
      </c>
      <c r="AA393" s="179">
        <f t="shared" si="166"/>
        <v>8.8320000000000007</v>
      </c>
      <c r="AB393" s="179">
        <f t="shared" si="167"/>
        <v>6.5119999999999996</v>
      </c>
      <c r="AC393" s="179">
        <f t="shared" si="168"/>
        <v>3.08</v>
      </c>
      <c r="AD393" s="179">
        <f t="shared" si="169"/>
        <v>2.6</v>
      </c>
      <c r="AE393" s="179">
        <f t="shared" si="170"/>
        <v>1.8959999999999999</v>
      </c>
      <c r="AF393" s="179">
        <f t="shared" si="171"/>
        <v>1.76</v>
      </c>
    </row>
    <row r="394" spans="2:32">
      <c r="B394" s="122">
        <f t="shared" si="174"/>
        <v>65640070</v>
      </c>
      <c r="C394" s="122" t="str">
        <f>VLOOKUP($B394,'Tech Litons'!$A:$I,3,0)</f>
        <v>2.4 Gal</v>
      </c>
      <c r="D394" s="122" t="str">
        <f>VLOOKUP($B394,'Tech Litons'!$A:$I,4,0)</f>
        <v>2.4 Gal</v>
      </c>
      <c r="E394" s="1021" t="s">
        <v>440</v>
      </c>
      <c r="F394" s="1021">
        <v>65640070</v>
      </c>
      <c r="G394" s="1023">
        <v>0</v>
      </c>
      <c r="H394" s="1023">
        <v>200</v>
      </c>
      <c r="I394" s="1023">
        <v>700</v>
      </c>
      <c r="J394" s="1023">
        <v>698</v>
      </c>
      <c r="K394" s="1023">
        <v>663</v>
      </c>
      <c r="L394" s="1023">
        <v>862</v>
      </c>
      <c r="M394" s="1023">
        <v>1101</v>
      </c>
      <c r="N394" s="1023">
        <v>812</v>
      </c>
      <c r="O394" s="1023">
        <v>384</v>
      </c>
      <c r="P394" s="1023">
        <v>324</v>
      </c>
      <c r="Q394" s="1023">
        <v>236</v>
      </c>
      <c r="R394" s="1023">
        <v>219</v>
      </c>
      <c r="S394" s="169">
        <f t="shared" si="159"/>
        <v>6199</v>
      </c>
      <c r="T394" s="122">
        <f>VLOOKUP($B394,'Tech Litons'!$A:$I,9,0)</f>
        <v>50</v>
      </c>
      <c r="U394" s="179">
        <f t="shared" si="160"/>
        <v>0</v>
      </c>
      <c r="V394" s="179">
        <f t="shared" si="161"/>
        <v>4</v>
      </c>
      <c r="W394" s="179">
        <f t="shared" si="162"/>
        <v>14</v>
      </c>
      <c r="X394" s="179">
        <f t="shared" si="163"/>
        <v>13.96</v>
      </c>
      <c r="Y394" s="179">
        <f t="shared" si="164"/>
        <v>13.26</v>
      </c>
      <c r="Z394" s="179">
        <f t="shared" si="165"/>
        <v>17.239999999999998</v>
      </c>
      <c r="AA394" s="179">
        <f t="shared" si="166"/>
        <v>22.02</v>
      </c>
      <c r="AB394" s="179">
        <f t="shared" si="167"/>
        <v>16.239999999999998</v>
      </c>
      <c r="AC394" s="179">
        <f t="shared" si="168"/>
        <v>7.68</v>
      </c>
      <c r="AD394" s="179">
        <f t="shared" si="169"/>
        <v>6.48</v>
      </c>
      <c r="AE394" s="179">
        <f t="shared" si="170"/>
        <v>4.72</v>
      </c>
      <c r="AF394" s="179">
        <f t="shared" si="171"/>
        <v>4.38</v>
      </c>
    </row>
    <row r="395" spans="2:32">
      <c r="B395" s="122">
        <f t="shared" si="174"/>
        <v>65498063</v>
      </c>
      <c r="C395" s="122" t="str">
        <f>VLOOKUP($B395,'Tech Litons'!$A:$I,3,0)</f>
        <v>2.4 Gal</v>
      </c>
      <c r="D395" s="122" t="str">
        <f>VLOOKUP($B395,'Tech Litons'!$A:$I,4,0)</f>
        <v>2.4 Gal</v>
      </c>
      <c r="E395" s="1021" t="s">
        <v>1245</v>
      </c>
      <c r="F395" s="1021">
        <v>65498063</v>
      </c>
      <c r="G395" s="1023">
        <v>0</v>
      </c>
      <c r="H395" s="1023">
        <v>0</v>
      </c>
      <c r="I395" s="1023">
        <v>700</v>
      </c>
      <c r="J395" s="1023">
        <v>698</v>
      </c>
      <c r="K395" s="1023">
        <v>663</v>
      </c>
      <c r="L395" s="1023">
        <v>862</v>
      </c>
      <c r="M395" s="1023">
        <v>1101</v>
      </c>
      <c r="N395" s="1023">
        <v>812</v>
      </c>
      <c r="O395" s="1023">
        <v>384</v>
      </c>
      <c r="P395" s="1023">
        <v>324</v>
      </c>
      <c r="Q395" s="1023">
        <v>236</v>
      </c>
      <c r="R395" s="1023">
        <v>219</v>
      </c>
      <c r="S395" s="169">
        <f t="shared" si="159"/>
        <v>5999</v>
      </c>
      <c r="T395" s="122">
        <f>VLOOKUP($B395,'Tech Litons'!$A:$I,9,0)</f>
        <v>125</v>
      </c>
      <c r="U395" s="179">
        <f t="shared" si="160"/>
        <v>0</v>
      </c>
      <c r="V395" s="179">
        <f t="shared" si="161"/>
        <v>0</v>
      </c>
      <c r="W395" s="179">
        <f t="shared" si="162"/>
        <v>5.6</v>
      </c>
      <c r="X395" s="179">
        <f t="shared" si="163"/>
        <v>5.5839999999999996</v>
      </c>
      <c r="Y395" s="179">
        <f t="shared" si="164"/>
        <v>5.3040000000000003</v>
      </c>
      <c r="Z395" s="179">
        <f t="shared" si="165"/>
        <v>6.8959999999999999</v>
      </c>
      <c r="AA395" s="179">
        <f t="shared" si="166"/>
        <v>8.8079999999999998</v>
      </c>
      <c r="AB395" s="179">
        <f t="shared" si="167"/>
        <v>6.4960000000000004</v>
      </c>
      <c r="AC395" s="179">
        <f t="shared" si="168"/>
        <v>3.0720000000000001</v>
      </c>
      <c r="AD395" s="179">
        <f t="shared" si="169"/>
        <v>2.5920000000000001</v>
      </c>
      <c r="AE395" s="179">
        <f t="shared" si="170"/>
        <v>1.8879999999999999</v>
      </c>
      <c r="AF395" s="179">
        <f t="shared" si="171"/>
        <v>1.752</v>
      </c>
    </row>
  </sheetData>
  <autoFilter ref="A3:AF395" xr:uid="{5C604139-D7F1-4F01-9E73-4221508B2B82}"/>
  <mergeCells count="1">
    <mergeCell ref="G1:R1"/>
  </mergeCells>
  <phoneticPr fontId="35" type="noConversion"/>
  <conditionalFormatting sqref="G15:R363">
    <cfRule type="cellIs" dxfId="268" priority="12" operator="lessThan">
      <formula>0</formula>
    </cfRule>
  </conditionalFormatting>
  <conditionalFormatting sqref="J298">
    <cfRule type="cellIs" dxfId="267" priority="6" operator="lessThan">
      <formula>0</formula>
    </cfRule>
  </conditionalFormatting>
  <conditionalFormatting sqref="J302">
    <cfRule type="cellIs" dxfId="266" priority="7" operator="lessThan">
      <formula>0</formula>
    </cfRule>
  </conditionalFormatting>
  <conditionalFormatting sqref="K312">
    <cfRule type="cellIs" dxfId="265" priority="3" operator="lessThan">
      <formula>0</formula>
    </cfRule>
  </conditionalFormatting>
  <conditionalFormatting sqref="L302:N302">
    <cfRule type="cellIs" dxfId="264" priority="5" operator="lessThan">
      <formula>0</formula>
    </cfRule>
  </conditionalFormatting>
  <conditionalFormatting sqref="M312">
    <cfRule type="cellIs" dxfId="263" priority="4" operator="lessThan">
      <formula>0</formula>
    </cfRule>
  </conditionalFormatting>
  <conditionalFormatting sqref="M102:R102">
    <cfRule type="cellIs" dxfId="262" priority="1" operator="lessThan">
      <formula>0</formula>
    </cfRule>
  </conditionalFormatting>
  <conditionalFormatting sqref="N323:R323">
    <cfRule type="cellIs" dxfId="261" priority="2" operator="lessThan">
      <formula>0</formula>
    </cfRule>
  </conditionalFormatting>
  <conditionalFormatting sqref="P302:Q302">
    <cfRule type="cellIs" dxfId="260" priority="8" operator="lessThan">
      <formula>0</formula>
    </cfRule>
  </conditionalFormatting>
  <conditionalFormatting sqref="R216">
    <cfRule type="cellIs" dxfId="259" priority="10" operator="lessThan">
      <formula>0</formula>
    </cfRule>
  </conditionalFormatting>
  <conditionalFormatting sqref="R298">
    <cfRule type="cellIs" dxfId="258" priority="9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EE9C-7274-4E87-B459-5E8046B151A6}">
  <dimension ref="A1:T56"/>
  <sheetViews>
    <sheetView zoomScale="90" zoomScaleNormal="90" workbookViewId="0">
      <selection activeCell="N27" sqref="N27"/>
    </sheetView>
  </sheetViews>
  <sheetFormatPr defaultRowHeight="15"/>
  <cols>
    <col min="2" max="2" width="11.85546875" bestFit="1" customWidth="1"/>
    <col min="3" max="8" width="11.140625" bestFit="1" customWidth="1"/>
    <col min="9" max="9" width="12.140625" bestFit="1" customWidth="1"/>
    <col min="10" max="14" width="11.140625" bestFit="1" customWidth="1"/>
    <col min="15" max="15" width="12.7109375" bestFit="1" customWidth="1"/>
    <col min="17" max="17" width="14" bestFit="1" customWidth="1"/>
  </cols>
  <sheetData>
    <row r="1" spans="1:20">
      <c r="P1" t="s">
        <v>1324</v>
      </c>
      <c r="Q1">
        <v>1.1237999999999999</v>
      </c>
    </row>
    <row r="2" spans="1:20" ht="15.75" thickBot="1"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</row>
    <row r="3" spans="1:20">
      <c r="A3" s="1126" t="s">
        <v>1185</v>
      </c>
      <c r="B3" s="981" t="s">
        <v>1184</v>
      </c>
      <c r="C3" s="982">
        <f>'Inv By Tech Post Attain'!D164/1000</f>
        <v>20.13879</v>
      </c>
      <c r="D3" s="982">
        <f>'Inv By Tech Post Attain'!E164/1000</f>
        <v>22.481183000000001</v>
      </c>
      <c r="E3" s="982">
        <f>'Inv By Tech Post Attain'!F164/1000</f>
        <v>24.365328742301504</v>
      </c>
      <c r="F3" s="982">
        <f>'Inv By Tech Post Attain'!G164/1000</f>
        <v>25.928064352559836</v>
      </c>
      <c r="G3" s="982">
        <f>'Inv By Tech Post Attain'!H164/1000</f>
        <v>25.899520827436056</v>
      </c>
      <c r="H3" s="982">
        <f>'Inv By Tech Post Attain'!I164/1000</f>
        <v>24.44930915721887</v>
      </c>
      <c r="I3" s="982">
        <f>'Inv By Tech Post Attain'!J164/1000</f>
        <v>24.118898522275767</v>
      </c>
      <c r="J3" s="982">
        <f>'Inv By Tech Post Attain'!K164/1000</f>
        <v>23.657242540611161</v>
      </c>
      <c r="K3" s="982">
        <f>'Inv By Tech Post Attain'!L164/1000</f>
        <v>21.930206402504531</v>
      </c>
      <c r="L3" s="982">
        <f>'Inv By Tech Post Attain'!M164/1000</f>
        <v>21.954395780427561</v>
      </c>
      <c r="M3" s="982">
        <f>'Inv By Tech Post Attain'!N164/1000</f>
        <v>19.919011556412787</v>
      </c>
      <c r="N3" s="982">
        <f>'Inv By Tech Post Attain'!O164/1000</f>
        <v>18.354284335810121</v>
      </c>
    </row>
    <row r="4" spans="1:20">
      <c r="A4" s="1129"/>
      <c r="B4" t="s">
        <v>719</v>
      </c>
      <c r="C4" s="983"/>
      <c r="D4" s="983"/>
      <c r="E4" s="983"/>
      <c r="F4" s="984">
        <f>'Vs Target'!C24/1000000</f>
        <v>23.68</v>
      </c>
      <c r="G4" s="983"/>
      <c r="H4" s="983"/>
      <c r="I4" s="983"/>
      <c r="J4" s="984">
        <f>'Vs Target'!K24/1000000</f>
        <v>17.033999999999999</v>
      </c>
      <c r="K4" s="983"/>
      <c r="L4" s="983"/>
      <c r="M4" s="983"/>
      <c r="N4" s="985">
        <v>18.899999999999999</v>
      </c>
      <c r="O4" t="s">
        <v>1323</v>
      </c>
      <c r="S4" t="s">
        <v>1266</v>
      </c>
      <c r="T4">
        <v>11.1</v>
      </c>
    </row>
    <row r="5" spans="1:20" s="473" customFormat="1" ht="15.75" thickBot="1">
      <c r="A5" s="1130"/>
      <c r="C5" s="1056"/>
      <c r="D5" s="1056"/>
      <c r="E5" s="1056"/>
      <c r="F5" s="1056"/>
      <c r="G5" s="1056"/>
      <c r="H5" s="1056"/>
      <c r="I5" s="1056"/>
      <c r="J5" s="1056"/>
      <c r="K5" s="1056"/>
      <c r="L5" s="1056"/>
      <c r="M5" s="1056"/>
      <c r="N5" s="1057"/>
    </row>
    <row r="6" spans="1:20">
      <c r="A6" s="1130"/>
      <c r="B6" s="108" t="s">
        <v>1179</v>
      </c>
      <c r="C6" s="1052">
        <v>20.143999999999998</v>
      </c>
      <c r="D6" s="1052">
        <v>22.481000000000002</v>
      </c>
      <c r="E6" s="1053">
        <f t="shared" ref="E6:N6" si="0">E3</f>
        <v>24.365328742301504</v>
      </c>
      <c r="F6" s="1053">
        <f>F3</f>
        <v>25.928064352559836</v>
      </c>
      <c r="G6" s="1053">
        <f t="shared" si="0"/>
        <v>25.899520827436056</v>
      </c>
      <c r="H6" s="1053">
        <f t="shared" si="0"/>
        <v>24.44930915721887</v>
      </c>
      <c r="I6" s="1053">
        <f t="shared" si="0"/>
        <v>24.118898522275767</v>
      </c>
      <c r="J6" s="1053">
        <f t="shared" si="0"/>
        <v>23.657242540611161</v>
      </c>
      <c r="K6" s="1053">
        <f t="shared" si="0"/>
        <v>21.930206402504531</v>
      </c>
      <c r="L6" s="1053">
        <f t="shared" si="0"/>
        <v>21.954395780427561</v>
      </c>
      <c r="M6" s="1053">
        <f t="shared" si="0"/>
        <v>19.919011556412787</v>
      </c>
      <c r="N6" s="1054">
        <f t="shared" si="0"/>
        <v>18.354284335810121</v>
      </c>
      <c r="S6" t="s">
        <v>1267</v>
      </c>
      <c r="T6">
        <f>T4*1.08499</f>
        <v>12.043388999999998</v>
      </c>
    </row>
    <row r="7" spans="1:20">
      <c r="A7" s="1130"/>
      <c r="B7" s="1076" t="s">
        <v>1180</v>
      </c>
      <c r="C7" s="1077">
        <f>C8/C6</f>
        <v>10.27601270849881</v>
      </c>
      <c r="D7" s="1077">
        <f>D8/D6</f>
        <v>9.9639695743071925</v>
      </c>
      <c r="E7" s="1078">
        <v>10.4</v>
      </c>
      <c r="F7" s="1078">
        <v>10.6</v>
      </c>
      <c r="G7" s="1078">
        <v>10.6</v>
      </c>
      <c r="H7" s="1078">
        <v>10.6</v>
      </c>
      <c r="I7" s="1078">
        <v>10.6</v>
      </c>
      <c r="J7" s="1078">
        <v>10.6</v>
      </c>
      <c r="K7" s="1078">
        <v>10.6</v>
      </c>
      <c r="L7" s="1078">
        <v>10.6</v>
      </c>
      <c r="M7" s="1078">
        <v>10.6</v>
      </c>
      <c r="N7" s="1078">
        <v>10.8</v>
      </c>
      <c r="T7">
        <f>T6/1.1238</f>
        <v>10.716665776828616</v>
      </c>
    </row>
    <row r="8" spans="1:20">
      <c r="A8" s="1130"/>
      <c r="B8" s="111" t="s">
        <v>1183</v>
      </c>
      <c r="C8" s="1045">
        <v>207</v>
      </c>
      <c r="D8" s="1045">
        <v>224</v>
      </c>
      <c r="E8" s="190">
        <f t="shared" ref="E8:N8" si="1">E6*E7</f>
        <v>253.39941891993564</v>
      </c>
      <c r="F8" s="190">
        <f t="shared" si="1"/>
        <v>274.83748213713426</v>
      </c>
      <c r="G8" s="190">
        <f t="shared" si="1"/>
        <v>274.53492077082217</v>
      </c>
      <c r="H8" s="190">
        <f t="shared" si="1"/>
        <v>259.16267706652002</v>
      </c>
      <c r="I8" s="190">
        <f t="shared" si="1"/>
        <v>255.66032433612313</v>
      </c>
      <c r="J8" s="190">
        <f t="shared" si="1"/>
        <v>250.76677093047829</v>
      </c>
      <c r="K8" s="190">
        <f t="shared" si="1"/>
        <v>232.46018786654801</v>
      </c>
      <c r="L8" s="190">
        <f t="shared" si="1"/>
        <v>232.71659527253215</v>
      </c>
      <c r="M8" s="190">
        <f t="shared" si="1"/>
        <v>211.14152249797553</v>
      </c>
      <c r="N8" s="866">
        <f t="shared" si="1"/>
        <v>198.22627082674933</v>
      </c>
    </row>
    <row r="9" spans="1:20">
      <c r="A9" s="1130"/>
      <c r="B9" s="111" t="s">
        <v>1181</v>
      </c>
      <c r="C9" s="1045">
        <v>40</v>
      </c>
      <c r="D9" s="1045">
        <v>41</v>
      </c>
      <c r="E9" s="1072">
        <v>42</v>
      </c>
      <c r="F9" s="1072">
        <v>40</v>
      </c>
      <c r="G9" s="1072">
        <v>42</v>
      </c>
      <c r="H9" s="1072">
        <v>42</v>
      </c>
      <c r="I9" s="190">
        <v>41</v>
      </c>
      <c r="J9" s="190">
        <v>41</v>
      </c>
      <c r="K9" s="190">
        <v>40</v>
      </c>
      <c r="L9" s="190">
        <v>39</v>
      </c>
      <c r="M9" s="190">
        <v>37</v>
      </c>
      <c r="N9" s="866">
        <v>34</v>
      </c>
    </row>
    <row r="10" spans="1:20" ht="15.75" thickBot="1">
      <c r="A10" s="1131"/>
      <c r="B10" s="1055" t="s">
        <v>38</v>
      </c>
      <c r="C10" s="1046">
        <v>23</v>
      </c>
      <c r="D10" s="1046">
        <v>23</v>
      </c>
      <c r="E10" s="986">
        <v>23</v>
      </c>
      <c r="F10" s="986">
        <v>23</v>
      </c>
      <c r="G10" s="986">
        <v>23</v>
      </c>
      <c r="H10" s="986">
        <v>23</v>
      </c>
      <c r="I10" s="986">
        <v>23</v>
      </c>
      <c r="J10" s="986">
        <v>23</v>
      </c>
      <c r="K10" s="986">
        <v>23</v>
      </c>
      <c r="L10" s="986">
        <v>23</v>
      </c>
      <c r="M10" s="986">
        <v>23</v>
      </c>
      <c r="N10" s="987">
        <v>23</v>
      </c>
    </row>
    <row r="11" spans="1:20" s="473" customFormat="1">
      <c r="A11" s="1060"/>
      <c r="B11" s="1061"/>
      <c r="C11" s="1056"/>
      <c r="D11" s="1056"/>
      <c r="E11" s="1056"/>
      <c r="F11" s="1056"/>
      <c r="G11" s="1056"/>
      <c r="H11" s="1056"/>
      <c r="I11" s="1056"/>
      <c r="J11" s="1056"/>
      <c r="K11" s="1056"/>
      <c r="L11" s="1056"/>
      <c r="M11" s="1056"/>
      <c r="N11" s="1057"/>
    </row>
    <row r="12" spans="1:20">
      <c r="B12" t="s">
        <v>1357</v>
      </c>
      <c r="C12" s="1069">
        <v>1474</v>
      </c>
      <c r="D12" s="1069">
        <v>1935</v>
      </c>
      <c r="E12" s="112">
        <v>1977</v>
      </c>
      <c r="F12" s="112">
        <v>2101</v>
      </c>
      <c r="G12" s="112">
        <v>2135</v>
      </c>
      <c r="H12" s="112">
        <v>1962</v>
      </c>
      <c r="I12" s="112">
        <v>1883</v>
      </c>
      <c r="J12" s="112">
        <v>1897</v>
      </c>
      <c r="K12" s="112">
        <v>1951</v>
      </c>
      <c r="L12" s="112">
        <v>1584</v>
      </c>
      <c r="M12" s="112">
        <v>1673</v>
      </c>
      <c r="N12" s="112">
        <v>1561</v>
      </c>
    </row>
    <row r="13" spans="1:20">
      <c r="B13" t="s">
        <v>1353</v>
      </c>
      <c r="C13" s="1045">
        <v>16</v>
      </c>
      <c r="D13" s="1045">
        <v>19</v>
      </c>
      <c r="E13" s="190">
        <v>20.95</v>
      </c>
      <c r="F13" s="190">
        <v>22.34</v>
      </c>
      <c r="G13" s="190">
        <v>23.99</v>
      </c>
      <c r="H13" s="190">
        <v>21.92</v>
      </c>
      <c r="I13" s="190">
        <v>20.82</v>
      </c>
      <c r="J13" s="190">
        <v>20.66</v>
      </c>
      <c r="K13" s="190">
        <v>21.06</v>
      </c>
      <c r="L13" s="190">
        <v>17.38</v>
      </c>
      <c r="M13" s="190">
        <v>13</v>
      </c>
      <c r="N13" s="190">
        <v>11</v>
      </c>
    </row>
    <row r="14" spans="1:20">
      <c r="B14" t="s">
        <v>1354</v>
      </c>
      <c r="C14" s="1045">
        <v>4</v>
      </c>
      <c r="D14" s="1045">
        <v>3</v>
      </c>
      <c r="E14" s="190">
        <v>4</v>
      </c>
      <c r="F14" s="190">
        <v>4</v>
      </c>
      <c r="G14" s="190">
        <v>4</v>
      </c>
      <c r="H14" s="190">
        <v>4</v>
      </c>
      <c r="I14" s="190">
        <v>4.46</v>
      </c>
      <c r="J14" s="190">
        <v>4.42</v>
      </c>
      <c r="K14" s="190">
        <v>4.8899999999999997</v>
      </c>
      <c r="L14" s="190">
        <v>4.6100000000000003</v>
      </c>
      <c r="M14" s="190">
        <v>4.1500000000000004</v>
      </c>
      <c r="N14" s="190">
        <v>3.86</v>
      </c>
    </row>
    <row r="15" spans="1:20" ht="15.75" thickBot="1">
      <c r="B15" t="s">
        <v>1355</v>
      </c>
      <c r="C15" s="1045">
        <v>1</v>
      </c>
      <c r="D15" s="1045">
        <v>1</v>
      </c>
      <c r="E15" s="190">
        <v>1</v>
      </c>
      <c r="F15" s="190">
        <v>1</v>
      </c>
      <c r="G15" s="190">
        <v>1</v>
      </c>
      <c r="H15" s="190">
        <v>1</v>
      </c>
      <c r="I15" s="190">
        <v>1</v>
      </c>
      <c r="J15" s="190">
        <v>1</v>
      </c>
      <c r="K15" s="190">
        <v>1</v>
      </c>
      <c r="L15" s="190">
        <v>1</v>
      </c>
      <c r="M15" s="190">
        <v>1</v>
      </c>
      <c r="N15" s="190">
        <v>1</v>
      </c>
    </row>
    <row r="16" spans="1:20" ht="15.75" thickBot="1">
      <c r="B16" s="1074" t="s">
        <v>1356</v>
      </c>
      <c r="C16" s="1047">
        <v>20</v>
      </c>
      <c r="D16" s="1047">
        <v>23</v>
      </c>
      <c r="E16" s="867">
        <f>SUM(E13:E15)</f>
        <v>25.95</v>
      </c>
      <c r="F16" s="867">
        <f t="shared" ref="F16:N16" si="2">SUM(F13:F15)</f>
        <v>27.34</v>
      </c>
      <c r="G16" s="867">
        <f t="shared" si="2"/>
        <v>28.99</v>
      </c>
      <c r="H16" s="867">
        <f t="shared" si="2"/>
        <v>26.92</v>
      </c>
      <c r="I16" s="867">
        <f t="shared" si="2"/>
        <v>26.28</v>
      </c>
      <c r="J16" s="867">
        <f t="shared" si="2"/>
        <v>26.08</v>
      </c>
      <c r="K16" s="867">
        <f t="shared" si="2"/>
        <v>26.95</v>
      </c>
      <c r="L16" s="867">
        <f t="shared" si="2"/>
        <v>22.99</v>
      </c>
      <c r="M16" s="867">
        <f t="shared" si="2"/>
        <v>18.149999999999999</v>
      </c>
      <c r="N16" s="1075">
        <f t="shared" si="2"/>
        <v>15.86</v>
      </c>
    </row>
    <row r="17" spans="1:18">
      <c r="B17" s="1063" t="s">
        <v>1320</v>
      </c>
      <c r="C17" s="1064"/>
      <c r="D17" s="1064"/>
      <c r="E17" s="1064">
        <v>-8.5</v>
      </c>
      <c r="F17" s="1064">
        <v>-8.5</v>
      </c>
      <c r="G17" s="1064">
        <v>-8.5</v>
      </c>
      <c r="H17" s="1064">
        <v>-8.5</v>
      </c>
      <c r="I17" s="1064">
        <v>-8.5</v>
      </c>
      <c r="J17" s="1064">
        <v>-8.5</v>
      </c>
      <c r="K17" s="1064">
        <v>-8.5</v>
      </c>
      <c r="L17" s="1064">
        <v>-8.5</v>
      </c>
      <c r="M17" s="1064">
        <v>-8.5</v>
      </c>
      <c r="N17" s="1064">
        <v>-8.5</v>
      </c>
    </row>
    <row r="18" spans="1:18">
      <c r="B18" s="1065" t="s">
        <v>1321</v>
      </c>
      <c r="C18" s="1062"/>
      <c r="D18" s="1062"/>
      <c r="E18" s="1062">
        <v>-9</v>
      </c>
      <c r="F18" s="1062">
        <v>-9</v>
      </c>
      <c r="G18" s="1062">
        <v>-9</v>
      </c>
      <c r="H18" s="1062">
        <v>-9</v>
      </c>
      <c r="I18" s="1062">
        <v>-9</v>
      </c>
      <c r="J18" s="1062">
        <v>-9</v>
      </c>
      <c r="K18" s="1062">
        <v>-9</v>
      </c>
      <c r="L18" s="1062">
        <v>-9</v>
      </c>
      <c r="M18" s="1062">
        <v>-9</v>
      </c>
      <c r="N18" s="1066">
        <v>-9</v>
      </c>
    </row>
    <row r="19" spans="1:18">
      <c r="B19" s="1065" t="s">
        <v>1322</v>
      </c>
      <c r="C19" s="1062"/>
      <c r="D19" s="1062"/>
      <c r="E19" s="1062">
        <v>2.2000000000000002</v>
      </c>
      <c r="F19" s="1062">
        <v>2.2000000000000002</v>
      </c>
      <c r="G19" s="1062">
        <v>2.2000000000000002</v>
      </c>
      <c r="H19" s="1062">
        <v>2.2000000000000002</v>
      </c>
      <c r="I19" s="1062">
        <v>2.2000000000000002</v>
      </c>
      <c r="J19" s="1062">
        <v>2.2000000000000002</v>
      </c>
      <c r="K19" s="1062">
        <v>2.2000000000000002</v>
      </c>
      <c r="L19" s="1062">
        <v>2.2000000000000002</v>
      </c>
      <c r="M19" s="1062">
        <v>2.2000000000000002</v>
      </c>
      <c r="N19" s="1066">
        <v>2.2000000000000002</v>
      </c>
    </row>
    <row r="20" spans="1:18" ht="15.75" thickBot="1">
      <c r="B20" s="1067" t="s">
        <v>200</v>
      </c>
      <c r="C20" s="1044"/>
      <c r="D20" s="1044"/>
      <c r="E20" s="1044">
        <v>0.6</v>
      </c>
      <c r="F20" s="1044">
        <v>0.6</v>
      </c>
      <c r="G20" s="1044">
        <v>0.6</v>
      </c>
      <c r="H20" s="1044">
        <v>0.6</v>
      </c>
      <c r="I20" s="1044">
        <v>0.6</v>
      </c>
      <c r="J20" s="1044">
        <v>0.6</v>
      </c>
      <c r="K20" s="1044">
        <v>0.6</v>
      </c>
      <c r="L20" s="1044">
        <v>0.6</v>
      </c>
      <c r="M20" s="1044">
        <v>0.6</v>
      </c>
      <c r="N20" s="1068">
        <v>0.6</v>
      </c>
    </row>
    <row r="21" spans="1:18" ht="15.75" thickBot="1">
      <c r="B21" s="1058" t="s">
        <v>1366</v>
      </c>
      <c r="C21" s="1059"/>
      <c r="D21" s="1059"/>
      <c r="E21" s="1059"/>
      <c r="F21" s="1059"/>
      <c r="G21" s="1059"/>
      <c r="H21" s="1059"/>
      <c r="I21" s="1059"/>
      <c r="J21" s="1059"/>
      <c r="K21" s="1059"/>
      <c r="L21" s="1059"/>
      <c r="M21" s="1059"/>
      <c r="N21" s="1059"/>
    </row>
    <row r="22" spans="1:18" ht="15.75" thickBot="1">
      <c r="B22" s="999" t="s">
        <v>1182</v>
      </c>
      <c r="C22" s="1000">
        <f>SUM(C8:C10,C16,C17:C21)</f>
        <v>290</v>
      </c>
      <c r="D22" s="1000">
        <f t="shared" ref="D22:M22" si="3">SUM(D8:D10,D16,D17:D21)</f>
        <v>311</v>
      </c>
      <c r="E22" s="1000">
        <f>SUM(E8:E10,E16,E17:E21)</f>
        <v>329.64941891993567</v>
      </c>
      <c r="F22" s="1000">
        <f t="shared" si="3"/>
        <v>350.47748213713425</v>
      </c>
      <c r="G22" s="1000">
        <f t="shared" si="3"/>
        <v>353.82492077082219</v>
      </c>
      <c r="H22" s="1000">
        <f t="shared" si="3"/>
        <v>336.38267706652005</v>
      </c>
      <c r="I22" s="1000">
        <f t="shared" si="3"/>
        <v>331.24032433612314</v>
      </c>
      <c r="J22" s="1000">
        <f t="shared" si="3"/>
        <v>326.14677093047828</v>
      </c>
      <c r="K22" s="1000">
        <f t="shared" si="3"/>
        <v>307.71018786654804</v>
      </c>
      <c r="L22" s="1000">
        <f t="shared" si="3"/>
        <v>303.00659527253214</v>
      </c>
      <c r="M22" s="1000">
        <f t="shared" si="3"/>
        <v>274.59152249797552</v>
      </c>
      <c r="N22" s="1000">
        <f>SUM(N8:N10,N16,N17:N21)</f>
        <v>256.38627082674935</v>
      </c>
    </row>
    <row r="23" spans="1:18">
      <c r="B23" s="128">
        <v>266.46844634276562</v>
      </c>
    </row>
    <row r="24" spans="1:18">
      <c r="A24" t="s">
        <v>1265</v>
      </c>
      <c r="C24" s="998">
        <f>AVERAGE(B23,C22)</f>
        <v>278.23422317138284</v>
      </c>
      <c r="D24" s="998">
        <f>AVERAGE(C22:D22)</f>
        <v>300.5</v>
      </c>
      <c r="E24" s="998">
        <f>AVERAGE(D22:E22)</f>
        <v>320.32470945996783</v>
      </c>
      <c r="F24" s="998">
        <f t="shared" ref="F24:H24" si="4">AVERAGE(E22:F22)</f>
        <v>340.06345052853499</v>
      </c>
      <c r="G24" s="998">
        <f>AVERAGE(F22:G22)</f>
        <v>352.15120145397822</v>
      </c>
      <c r="H24" s="998">
        <f t="shared" si="4"/>
        <v>345.10379891867115</v>
      </c>
      <c r="I24" s="998">
        <f t="shared" ref="I24:N24" si="5">AVERAGE(H22:I22)</f>
        <v>333.81150070132162</v>
      </c>
      <c r="J24" s="998">
        <f t="shared" si="5"/>
        <v>328.69354763330068</v>
      </c>
      <c r="K24" s="998">
        <f t="shared" si="5"/>
        <v>316.92847939851316</v>
      </c>
      <c r="L24" s="998">
        <f t="shared" si="5"/>
        <v>305.35839156954012</v>
      </c>
      <c r="M24" s="998">
        <f t="shared" si="5"/>
        <v>288.79905888525383</v>
      </c>
      <c r="N24" s="998">
        <f t="shared" si="5"/>
        <v>265.48889666236244</v>
      </c>
    </row>
    <row r="25" spans="1:18">
      <c r="C25" s="998"/>
      <c r="D25" s="95"/>
      <c r="E25" s="95"/>
      <c r="F25" s="95"/>
      <c r="G25" s="95"/>
      <c r="H25" s="95"/>
      <c r="I25" s="95"/>
      <c r="J25" s="95"/>
      <c r="K25" s="95"/>
      <c r="L25" s="998"/>
      <c r="M25" s="998"/>
      <c r="N25" s="1019">
        <f>AVERAGE(C24:N24)</f>
        <v>314.62143819856891</v>
      </c>
    </row>
    <row r="26" spans="1:18">
      <c r="B26" s="998"/>
      <c r="C26" s="998"/>
      <c r="D26" s="998"/>
      <c r="E26" s="998"/>
      <c r="F26" s="998"/>
      <c r="G26" s="998"/>
      <c r="H26" s="998"/>
      <c r="I26" s="998"/>
      <c r="J26" s="998"/>
      <c r="K26" s="998"/>
      <c r="L26" s="998"/>
      <c r="M26" s="998"/>
      <c r="N26" s="998">
        <f>SUM(C30:N30)/1000</f>
        <v>1530.0889999999999</v>
      </c>
    </row>
    <row r="27" spans="1:18">
      <c r="M27" t="s">
        <v>1325</v>
      </c>
      <c r="N27" s="248">
        <f>(N25/(N26/365))</f>
        <v>75.052382536230013</v>
      </c>
    </row>
    <row r="28" spans="1:18">
      <c r="N28" s="248"/>
    </row>
    <row r="29" spans="1:18">
      <c r="Q29" t="s">
        <v>1379</v>
      </c>
      <c r="R29" t="s">
        <v>65</v>
      </c>
    </row>
    <row r="30" spans="1:18" ht="15.75" thickBot="1">
      <c r="B30" s="876" t="s">
        <v>1376</v>
      </c>
      <c r="C30" s="1088">
        <v>100231</v>
      </c>
      <c r="D30" s="1088">
        <v>109122</v>
      </c>
      <c r="E30" s="1088">
        <v>143380</v>
      </c>
      <c r="F30" s="1088">
        <v>130430</v>
      </c>
      <c r="G30" s="1088">
        <v>145244</v>
      </c>
      <c r="H30" s="1088">
        <v>161727</v>
      </c>
      <c r="I30" s="1088">
        <v>152407</v>
      </c>
      <c r="J30" s="1088">
        <v>143071</v>
      </c>
      <c r="K30" s="1088">
        <v>126405</v>
      </c>
      <c r="L30" s="1088">
        <v>110760</v>
      </c>
      <c r="M30" s="1088">
        <v>107136</v>
      </c>
      <c r="N30" s="1088">
        <v>100176</v>
      </c>
      <c r="O30" s="1088">
        <f>SUM(C30:N30)</f>
        <v>1530089</v>
      </c>
      <c r="Q30" s="248"/>
      <c r="R30" s="94"/>
    </row>
    <row r="31" spans="1:18">
      <c r="B31" s="108" t="s">
        <v>1380</v>
      </c>
      <c r="C31" s="1082">
        <v>100231</v>
      </c>
      <c r="D31" s="1082">
        <v>109122</v>
      </c>
      <c r="E31" s="1082">
        <v>143380</v>
      </c>
      <c r="F31" s="1082">
        <v>130430</v>
      </c>
      <c r="G31" s="1082">
        <v>145244</v>
      </c>
      <c r="H31" s="1082">
        <v>161727</v>
      </c>
      <c r="I31" s="1082">
        <v>152407</v>
      </c>
      <c r="J31" s="1082">
        <v>143071</v>
      </c>
      <c r="K31" s="1082">
        <v>126405</v>
      </c>
      <c r="L31" s="1082">
        <v>110760</v>
      </c>
      <c r="M31" s="1082">
        <v>107136</v>
      </c>
      <c r="N31" s="1082">
        <v>100176</v>
      </c>
      <c r="O31" s="1083">
        <f>SUM(C31:N31)</f>
        <v>1530089</v>
      </c>
      <c r="Q31" s="248">
        <v>75.099999999999994</v>
      </c>
      <c r="R31" s="94">
        <f>Q31-68.3</f>
        <v>6.7999999999999972</v>
      </c>
    </row>
    <row r="32" spans="1:18">
      <c r="B32" s="111" t="s">
        <v>1365</v>
      </c>
      <c r="C32" s="998">
        <v>94010</v>
      </c>
      <c r="D32" s="998">
        <v>112546</v>
      </c>
      <c r="E32" s="998">
        <v>144448</v>
      </c>
      <c r="F32" s="998">
        <v>137938</v>
      </c>
      <c r="G32" s="998">
        <v>149872</v>
      </c>
      <c r="H32" s="998">
        <v>159586</v>
      </c>
      <c r="I32" s="998">
        <v>145957</v>
      </c>
      <c r="J32" s="998">
        <v>143864</v>
      </c>
      <c r="K32" s="998">
        <v>111598</v>
      </c>
      <c r="L32" s="998">
        <v>112139</v>
      </c>
      <c r="M32" s="998">
        <v>113763</v>
      </c>
      <c r="N32" s="998">
        <v>106723</v>
      </c>
      <c r="O32" s="1084">
        <f>SUM(C32:N32)</f>
        <v>1532444</v>
      </c>
      <c r="Q32" s="248">
        <v>74.900000000000006</v>
      </c>
      <c r="R32" s="94">
        <f>Q32-68.3</f>
        <v>6.6000000000000085</v>
      </c>
    </row>
    <row r="33" spans="2:18">
      <c r="B33" s="111" t="s">
        <v>1377</v>
      </c>
      <c r="C33" s="998">
        <v>106000</v>
      </c>
      <c r="D33" s="998">
        <v>127000</v>
      </c>
      <c r="E33" s="998">
        <v>162000</v>
      </c>
      <c r="F33" s="998">
        <v>155000</v>
      </c>
      <c r="G33" s="998">
        <v>169000</v>
      </c>
      <c r="H33" s="998">
        <v>180000</v>
      </c>
      <c r="I33" s="998">
        <v>164000</v>
      </c>
      <c r="J33" s="998">
        <v>162000</v>
      </c>
      <c r="K33" s="998">
        <v>126000</v>
      </c>
      <c r="L33" s="998">
        <v>126000</v>
      </c>
      <c r="M33" s="998">
        <v>128000</v>
      </c>
      <c r="N33" s="998">
        <v>123000</v>
      </c>
      <c r="O33" s="1084">
        <f>SUM(C33:N33)</f>
        <v>1728000</v>
      </c>
      <c r="Q33" s="1087">
        <v>66.5</v>
      </c>
      <c r="R33" s="94">
        <f>Q33-68.3</f>
        <v>-1.7999999999999972</v>
      </c>
    </row>
    <row r="34" spans="2:18" ht="15.75" thickBot="1">
      <c r="B34" s="1055" t="s">
        <v>1378</v>
      </c>
      <c r="C34" s="1085">
        <v>102970</v>
      </c>
      <c r="D34" s="1085">
        <v>121570</v>
      </c>
      <c r="E34" s="1085">
        <v>154910</v>
      </c>
      <c r="F34" s="1085">
        <v>143560</v>
      </c>
      <c r="G34" s="1085">
        <v>152610</v>
      </c>
      <c r="H34" s="1085">
        <v>178840</v>
      </c>
      <c r="I34" s="1085">
        <v>152150</v>
      </c>
      <c r="J34" s="1085">
        <v>148390</v>
      </c>
      <c r="K34" s="1085">
        <v>124980</v>
      </c>
      <c r="L34" s="1085">
        <v>121930</v>
      </c>
      <c r="M34" s="1085">
        <v>122690</v>
      </c>
      <c r="N34" s="1085">
        <v>114900</v>
      </c>
      <c r="O34" s="1086">
        <f>SUM(C34:N34)</f>
        <v>1639500</v>
      </c>
      <c r="Q34" s="248">
        <v>70</v>
      </c>
    </row>
    <row r="35" spans="2:18">
      <c r="C35" s="998"/>
      <c r="D35" s="998"/>
      <c r="E35" s="998"/>
      <c r="F35" s="998"/>
      <c r="G35" s="998"/>
      <c r="H35" s="998"/>
      <c r="I35" s="998"/>
      <c r="J35" s="998"/>
      <c r="K35" s="998"/>
      <c r="L35" s="998"/>
      <c r="M35" s="998"/>
      <c r="N35" s="998"/>
      <c r="O35" s="998"/>
    </row>
    <row r="36" spans="2:18" ht="13.5" customHeight="1">
      <c r="B36" t="s">
        <v>1361</v>
      </c>
      <c r="C36" s="1020">
        <v>292.58047601784841</v>
      </c>
      <c r="D36" s="1020">
        <v>311.0828278873862</v>
      </c>
      <c r="E36" s="1020">
        <v>315.97166666970503</v>
      </c>
      <c r="F36" s="1020">
        <v>318.22841671511048</v>
      </c>
      <c r="G36" s="1020">
        <v>304.63845586278637</v>
      </c>
      <c r="H36" s="1020">
        <v>272.48986456446966</v>
      </c>
      <c r="I36" s="1020">
        <v>257.49987504653672</v>
      </c>
      <c r="J36" s="1020">
        <v>237.78911565869501</v>
      </c>
      <c r="K36" s="1020">
        <v>246.55648851564661</v>
      </c>
      <c r="L36" s="1020">
        <v>259.45916836860346</v>
      </c>
      <c r="M36" s="1020">
        <v>261.4087770793044</v>
      </c>
      <c r="N36" s="1020">
        <v>265.50201560575761</v>
      </c>
    </row>
    <row r="39" spans="2:18" ht="15.75" thickBot="1">
      <c r="B39" t="s">
        <v>1180</v>
      </c>
      <c r="C39" s="1070">
        <f t="shared" ref="C39:N39" si="6">(C8+SUM(C17:C20))/C6</f>
        <v>10.27601270849881</v>
      </c>
      <c r="D39" s="1070">
        <f t="shared" si="6"/>
        <v>9.9639695743071925</v>
      </c>
      <c r="E39" s="94">
        <f t="shared" si="6"/>
        <v>9.7966836993880246</v>
      </c>
      <c r="F39" s="94">
        <f t="shared" si="6"/>
        <v>10.033046763533326</v>
      </c>
      <c r="G39" s="94">
        <f t="shared" si="6"/>
        <v>10.032421931743698</v>
      </c>
      <c r="H39" s="94">
        <f t="shared" si="6"/>
        <v>9.9987560177887609</v>
      </c>
      <c r="I39" s="94">
        <f t="shared" si="6"/>
        <v>9.9905194307931033</v>
      </c>
      <c r="J39" s="94">
        <f t="shared" si="6"/>
        <v>9.978625806673568</v>
      </c>
      <c r="K39" s="94">
        <f t="shared" si="6"/>
        <v>9.9296916713779222</v>
      </c>
      <c r="L39" s="94">
        <f t="shared" si="6"/>
        <v>9.9304302178470749</v>
      </c>
      <c r="M39" s="94">
        <f t="shared" si="6"/>
        <v>9.8620115732967957</v>
      </c>
      <c r="N39" s="94">
        <f t="shared" si="6"/>
        <v>9.9990970755901643</v>
      </c>
    </row>
    <row r="40" spans="2:18" ht="15.75" thickBot="1">
      <c r="B40" s="1132">
        <v>2025</v>
      </c>
      <c r="C40" s="1133"/>
      <c r="D40" s="1133"/>
      <c r="E40" s="1133"/>
      <c r="F40" s="1133"/>
      <c r="G40" s="1133"/>
      <c r="H40" s="1133"/>
      <c r="I40" s="1133"/>
      <c r="J40" s="1133"/>
      <c r="K40" s="1133"/>
      <c r="L40" s="1133"/>
      <c r="M40" s="1133"/>
      <c r="N40" s="1134"/>
    </row>
    <row r="41" spans="2:18">
      <c r="B41" s="111" t="s">
        <v>1358</v>
      </c>
      <c r="C41" s="112">
        <v>20006</v>
      </c>
      <c r="D41" s="112">
        <v>21004</v>
      </c>
      <c r="E41" s="112">
        <v>21211</v>
      </c>
      <c r="F41" s="112">
        <v>21730</v>
      </c>
      <c r="G41" s="112">
        <v>20918</v>
      </c>
      <c r="H41" s="112">
        <v>18661</v>
      </c>
      <c r="I41" s="112">
        <v>18097</v>
      </c>
      <c r="J41" s="112">
        <v>17573</v>
      </c>
      <c r="K41" s="112">
        <v>18724</v>
      </c>
      <c r="L41" s="112">
        <v>21327</v>
      </c>
      <c r="M41" s="112">
        <v>20503</v>
      </c>
      <c r="N41" s="282">
        <v>18994</v>
      </c>
    </row>
    <row r="42" spans="2:18">
      <c r="B42" s="111" t="s">
        <v>1359</v>
      </c>
      <c r="C42">
        <v>204</v>
      </c>
      <c r="D42">
        <v>211</v>
      </c>
      <c r="E42">
        <v>212</v>
      </c>
      <c r="F42">
        <v>218</v>
      </c>
      <c r="G42">
        <v>213</v>
      </c>
      <c r="H42">
        <v>193</v>
      </c>
      <c r="I42">
        <v>185</v>
      </c>
      <c r="J42">
        <v>185</v>
      </c>
      <c r="K42">
        <v>190</v>
      </c>
      <c r="L42">
        <v>214</v>
      </c>
      <c r="M42">
        <v>210</v>
      </c>
      <c r="N42" s="255">
        <v>195</v>
      </c>
    </row>
    <row r="43" spans="2:18" ht="15.75" thickBot="1">
      <c r="B43" s="1055" t="s">
        <v>1360</v>
      </c>
      <c r="C43" s="1071">
        <f>C42/(C41/1000)</f>
        <v>10.196940917724682</v>
      </c>
      <c r="D43" s="1071">
        <f t="shared" ref="D43:N43" si="7">D42/(D41/1000)</f>
        <v>10.045705579889544</v>
      </c>
      <c r="E43" s="1071">
        <f>E42/(E41/1000)</f>
        <v>9.9948140115977573</v>
      </c>
      <c r="F43" s="1071">
        <f t="shared" si="7"/>
        <v>10.032213529682467</v>
      </c>
      <c r="G43" s="1071">
        <f t="shared" si="7"/>
        <v>10.182617841093796</v>
      </c>
      <c r="H43" s="1071">
        <f t="shared" si="7"/>
        <v>10.342425379132949</v>
      </c>
      <c r="I43" s="1071">
        <f t="shared" si="7"/>
        <v>10.222688843454716</v>
      </c>
      <c r="J43" s="1071">
        <f t="shared" si="7"/>
        <v>10.5275137995789</v>
      </c>
      <c r="K43" s="1071">
        <f t="shared" si="7"/>
        <v>10.147404400769066</v>
      </c>
      <c r="L43" s="1071">
        <f t="shared" si="7"/>
        <v>10.034228911708162</v>
      </c>
      <c r="M43" s="1071">
        <f t="shared" si="7"/>
        <v>10.242403550699898</v>
      </c>
      <c r="N43" s="1071">
        <f t="shared" si="7"/>
        <v>10.266399915762873</v>
      </c>
    </row>
    <row r="45" spans="2:18">
      <c r="C45" s="967"/>
    </row>
    <row r="46" spans="2:18">
      <c r="C46" s="967"/>
    </row>
    <row r="47" spans="2:18">
      <c r="B47" t="s">
        <v>1362</v>
      </c>
      <c r="C47" s="967"/>
    </row>
    <row r="48" spans="2:18">
      <c r="B48" t="s">
        <v>1363</v>
      </c>
      <c r="C48" s="967"/>
    </row>
    <row r="49" spans="2:3">
      <c r="B49" t="s">
        <v>1364</v>
      </c>
      <c r="C49" s="967"/>
    </row>
    <row r="50" spans="2:3">
      <c r="C50" s="967"/>
    </row>
    <row r="51" spans="2:3">
      <c r="C51" s="967"/>
    </row>
    <row r="52" spans="2:3">
      <c r="C52" s="967"/>
    </row>
    <row r="53" spans="2:3">
      <c r="C53" s="967"/>
    </row>
    <row r="54" spans="2:3">
      <c r="C54" s="967"/>
    </row>
    <row r="55" spans="2:3">
      <c r="C55" s="967"/>
    </row>
    <row r="56" spans="2:3">
      <c r="C56" s="967"/>
    </row>
  </sheetData>
  <mergeCells count="2">
    <mergeCell ref="A3:A10"/>
    <mergeCell ref="B40:N4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A491-F158-4D23-993C-3E66975AB744}">
  <sheetPr codeName="Sheet9"/>
  <dimension ref="B1:AC27"/>
  <sheetViews>
    <sheetView zoomScale="70" zoomScaleNormal="70" workbookViewId="0">
      <selection activeCell="E11" sqref="E11"/>
    </sheetView>
  </sheetViews>
  <sheetFormatPr defaultRowHeight="15"/>
  <cols>
    <col min="1" max="1" width="11.5703125" bestFit="1" customWidth="1"/>
    <col min="2" max="2" width="18" bestFit="1" customWidth="1"/>
    <col min="3" max="3" width="15.28515625" customWidth="1"/>
    <col min="4" max="4" width="13.140625" bestFit="1" customWidth="1"/>
    <col min="5" max="5" width="12.42578125" bestFit="1" customWidth="1"/>
    <col min="6" max="6" width="9.140625" customWidth="1"/>
    <col min="7" max="7" width="23.5703125" customWidth="1"/>
    <col min="8" max="8" width="16.5703125" style="204" customWidth="1"/>
    <col min="9" max="9" width="11.5703125" style="263" customWidth="1"/>
    <col min="10" max="10" width="11.5703125" hidden="1" customWidth="1"/>
    <col min="11" max="11" width="15.5703125" hidden="1" customWidth="1"/>
    <col min="12" max="12" width="13.5703125" hidden="1" customWidth="1"/>
    <col min="13" max="13" width="13" hidden="1" customWidth="1"/>
    <col min="14" max="14" width="7.5703125" hidden="1" customWidth="1"/>
    <col min="15" max="15" width="24.42578125" hidden="1" customWidth="1"/>
    <col min="16" max="16" width="6" style="95" hidden="1" customWidth="1"/>
    <col min="17" max="17" width="2.42578125" style="263" hidden="1" customWidth="1"/>
    <col min="18" max="18" width="13.42578125" hidden="1" customWidth="1"/>
    <col min="19" max="19" width="14.5703125" hidden="1" customWidth="1"/>
    <col min="20" max="20" width="13.5703125" hidden="1" customWidth="1"/>
    <col min="21" max="21" width="10.5703125" hidden="1" customWidth="1"/>
    <col min="22" max="22" width="7.5703125" hidden="1" customWidth="1"/>
    <col min="23" max="23" width="10.42578125" hidden="1" customWidth="1"/>
    <col min="24" max="24" width="13.5703125" style="56" hidden="1" customWidth="1"/>
    <col min="25" max="26" width="0" hidden="1" customWidth="1"/>
    <col min="27" max="27" width="10.5703125" hidden="1" customWidth="1"/>
    <col min="28" max="28" width="10.42578125" hidden="1" customWidth="1"/>
    <col min="29" max="29" width="6.42578125" hidden="1" customWidth="1"/>
    <col min="30" max="30" width="0" hidden="1" customWidth="1"/>
  </cols>
  <sheetData>
    <row r="1" spans="2:29">
      <c r="C1" s="1135" t="s">
        <v>71</v>
      </c>
      <c r="D1" s="1135"/>
      <c r="E1" s="1135"/>
      <c r="F1" s="1135"/>
      <c r="G1" s="157"/>
      <c r="H1" s="271"/>
      <c r="I1" s="262"/>
      <c r="J1" s="157"/>
      <c r="K1" s="1135" t="s">
        <v>75</v>
      </c>
      <c r="L1" s="1135"/>
      <c r="M1" s="1135"/>
      <c r="N1" s="1135"/>
      <c r="O1" s="157"/>
      <c r="P1" s="264"/>
      <c r="Q1" s="262"/>
      <c r="R1" s="157"/>
      <c r="S1" s="1135" t="s">
        <v>718</v>
      </c>
      <c r="T1" s="1135"/>
      <c r="U1" s="1135"/>
      <c r="V1" s="1135"/>
    </row>
    <row r="2" spans="2:29" ht="15.75" thickBot="1">
      <c r="C2" s="100" t="s">
        <v>719</v>
      </c>
      <c r="D2" s="100" t="s">
        <v>198</v>
      </c>
      <c r="E2" s="100" t="s">
        <v>720</v>
      </c>
      <c r="F2" s="100" t="s">
        <v>721</v>
      </c>
      <c r="H2" s="272" t="s">
        <v>722</v>
      </c>
      <c r="K2" s="100" t="s">
        <v>719</v>
      </c>
      <c r="L2" s="100" t="s">
        <v>198</v>
      </c>
      <c r="M2" s="100" t="s">
        <v>720</v>
      </c>
      <c r="N2" s="100" t="s">
        <v>721</v>
      </c>
      <c r="S2" s="100" t="s">
        <v>719</v>
      </c>
      <c r="T2" s="100" t="s">
        <v>198</v>
      </c>
      <c r="U2" s="100" t="s">
        <v>720</v>
      </c>
      <c r="V2" s="100" t="s">
        <v>721</v>
      </c>
      <c r="AA2" t="s">
        <v>723</v>
      </c>
      <c r="AB2" t="s">
        <v>724</v>
      </c>
    </row>
    <row r="3" spans="2:29">
      <c r="B3" s="855" t="s">
        <v>23</v>
      </c>
      <c r="C3" s="869">
        <v>3700000</v>
      </c>
      <c r="D3" s="869">
        <f>'Inv By Tech Post Attain'!G5</f>
        <v>4199159.912065478</v>
      </c>
      <c r="E3" s="869">
        <f>D3-C3</f>
        <v>499159.91206547804</v>
      </c>
      <c r="F3" s="870">
        <f>E3/C3</f>
        <v>0.13490808434202109</v>
      </c>
      <c r="G3" s="871" t="s">
        <v>725</v>
      </c>
      <c r="H3" s="872"/>
      <c r="I3" s="871"/>
      <c r="J3" s="871" t="s">
        <v>23</v>
      </c>
      <c r="K3" s="869">
        <f>'Inv By Tech Post Attain'!K7</f>
        <v>3000000</v>
      </c>
      <c r="L3" s="869">
        <f>'Inv By Tech Post Attain'!K5</f>
        <v>4030064.036422547</v>
      </c>
      <c r="M3" s="869">
        <f>L3-K3</f>
        <v>1030064.036422547</v>
      </c>
      <c r="N3" s="870">
        <f>M3/K3</f>
        <v>0.34335467880751563</v>
      </c>
      <c r="O3" s="871"/>
      <c r="P3" s="870">
        <f>'Inv By Tech Post Attain'!R6</f>
        <v>0.13597588932528587</v>
      </c>
      <c r="Q3" s="871"/>
      <c r="R3" s="871" t="s">
        <v>23</v>
      </c>
      <c r="S3" s="873">
        <f>'Inv By Tech Post Attain'!O7</f>
        <v>2900000</v>
      </c>
      <c r="T3" s="252">
        <f>'Inv By Tech Post Attain'!O5</f>
        <v>2707561.7432575445</v>
      </c>
      <c r="U3" s="206">
        <f>T3-S3</f>
        <v>-192438.25674245553</v>
      </c>
      <c r="V3" s="253">
        <f>U3/S3</f>
        <v>-6.6358019566363974E-2</v>
      </c>
      <c r="W3" s="254"/>
      <c r="AA3" s="287">
        <v>2675344</v>
      </c>
      <c r="AB3" s="50">
        <f>T3-AA3</f>
        <v>32217.743257544469</v>
      </c>
      <c r="AC3" s="95">
        <f>AB3/AA3</f>
        <v>1.2042467532229302E-2</v>
      </c>
    </row>
    <row r="4" spans="2:29">
      <c r="B4" s="856" t="s">
        <v>120</v>
      </c>
      <c r="C4" s="874">
        <v>3700000</v>
      </c>
      <c r="D4" s="874">
        <f>'Inv By Tech Post Attain'!G12</f>
        <v>3892859.3256841833</v>
      </c>
      <c r="E4" s="874">
        <f>D4-C4</f>
        <v>192859.32568418328</v>
      </c>
      <c r="F4" s="875">
        <f t="shared" ref="F4:F24" si="0">E4/C4</f>
        <v>5.2124142076806289E-2</v>
      </c>
      <c r="G4" s="876" t="s">
        <v>725</v>
      </c>
      <c r="H4" s="877"/>
      <c r="I4" s="876"/>
      <c r="J4" s="876" t="s">
        <v>120</v>
      </c>
      <c r="K4" s="874">
        <f>'Inv By Tech Post Attain'!K14</f>
        <v>3100000</v>
      </c>
      <c r="L4" s="874">
        <f>'Inv By Tech Post Attain'!K12</f>
        <v>3635028.4056701642</v>
      </c>
      <c r="M4" s="874">
        <f>L4-K4</f>
        <v>535028.40567016415</v>
      </c>
      <c r="N4" s="875">
        <f t="shared" ref="N4:N24" si="1">M4/K4</f>
        <v>0.17258980828069811</v>
      </c>
      <c r="O4" s="876"/>
      <c r="P4" s="875">
        <f>'Inv By Tech Post Attain'!R13</f>
        <v>8.7685458087174109E-2</v>
      </c>
      <c r="Q4" s="876"/>
      <c r="R4" s="876" t="s">
        <v>120</v>
      </c>
      <c r="S4" s="878">
        <f>'Inv By Tech Post Attain'!O14</f>
        <v>2900000</v>
      </c>
      <c r="T4" s="121">
        <f>'Inv By Tech Post Attain'!O12</f>
        <v>2918510.1142126098</v>
      </c>
      <c r="U4" s="112">
        <f>T4-S4</f>
        <v>18510.114212609828</v>
      </c>
      <c r="V4" s="154">
        <f t="shared" ref="V4:V24" si="2">U4/S4</f>
        <v>6.3827980043482165E-3</v>
      </c>
      <c r="W4" s="255"/>
      <c r="X4" s="282">
        <v>100000</v>
      </c>
      <c r="AA4" s="288">
        <v>2898711</v>
      </c>
      <c r="AB4" s="50">
        <f t="shared" ref="AB4:AB24" si="3">T4-AA4</f>
        <v>19799.114212609828</v>
      </c>
      <c r="AC4" s="95">
        <f t="shared" ref="AC4:AC24" si="4">AB4/AA4</f>
        <v>6.8303167209873032E-3</v>
      </c>
    </row>
    <row r="5" spans="2:29">
      <c r="B5" s="856" t="s">
        <v>41</v>
      </c>
      <c r="C5" s="874">
        <f>'Inv By Tech Post Attain'!G21</f>
        <v>2500000</v>
      </c>
      <c r="D5" s="874">
        <f>'Inv By Tech Post Attain'!G19</f>
        <v>2210058.9078986635</v>
      </c>
      <c r="E5" s="874">
        <f t="shared" ref="E5:E24" si="5">D5-C5</f>
        <v>-289941.09210133646</v>
      </c>
      <c r="F5" s="875">
        <f t="shared" si="0"/>
        <v>-0.11597643684053459</v>
      </c>
      <c r="G5" s="876"/>
      <c r="H5" s="877"/>
      <c r="I5" s="876"/>
      <c r="J5" s="876" t="s">
        <v>41</v>
      </c>
      <c r="K5" s="874">
        <f>'Inv By Tech Post Attain'!K21</f>
        <v>1900000</v>
      </c>
      <c r="L5" s="874">
        <f>'Inv By Tech Post Attain'!K19</f>
        <v>2161400.6278393562</v>
      </c>
      <c r="M5" s="874">
        <f t="shared" ref="M5:M24" si="6">L5-K5</f>
        <v>261400.6278393562</v>
      </c>
      <c r="N5" s="875">
        <f t="shared" si="1"/>
        <v>0.13757927781018747</v>
      </c>
      <c r="O5" s="876"/>
      <c r="P5" s="875">
        <f>'Inv By Tech Post Attain'!R20</f>
        <v>6.2958258743299716E-2</v>
      </c>
      <c r="Q5" s="876"/>
      <c r="R5" s="876" t="s">
        <v>41</v>
      </c>
      <c r="S5" s="878">
        <f>'Inv By Tech Post Attain'!O21</f>
        <v>2000000</v>
      </c>
      <c r="T5" s="121">
        <f>'Inv By Tech Post Attain'!O19</f>
        <v>2164713.0425780769</v>
      </c>
      <c r="U5" s="112">
        <f t="shared" ref="U5:U24" si="7">T5-S5</f>
        <v>164713.04257807694</v>
      </c>
      <c r="V5" s="154">
        <f t="shared" si="2"/>
        <v>8.2356521289038476E-2</v>
      </c>
      <c r="W5" s="255"/>
      <c r="X5" s="282"/>
      <c r="AA5" s="288">
        <v>1699294</v>
      </c>
      <c r="AB5" s="50">
        <f t="shared" si="3"/>
        <v>465419.04257807694</v>
      </c>
      <c r="AC5" s="95">
        <f t="shared" si="4"/>
        <v>0.27388965216029537</v>
      </c>
    </row>
    <row r="6" spans="2:29">
      <c r="B6" s="856" t="s">
        <v>156</v>
      </c>
      <c r="C6" s="874">
        <f>'Inv By Tech Post Attain'!G28</f>
        <v>2500000</v>
      </c>
      <c r="D6" s="874">
        <f>'Inv By Tech Post Attain'!G26</f>
        <v>2147244.8379958267</v>
      </c>
      <c r="E6" s="874">
        <f t="shared" si="5"/>
        <v>-352755.16200417327</v>
      </c>
      <c r="F6" s="875">
        <f t="shared" si="0"/>
        <v>-0.14110206480166931</v>
      </c>
      <c r="G6" s="876"/>
      <c r="H6" s="877"/>
      <c r="I6" s="876"/>
      <c r="J6" s="876" t="s">
        <v>156</v>
      </c>
      <c r="K6" s="874">
        <f>'Inv By Tech Post Attain'!K28</f>
        <v>1200000</v>
      </c>
      <c r="L6" s="874">
        <f>'Inv By Tech Post Attain'!K26</f>
        <v>2546880.6301787682</v>
      </c>
      <c r="M6" s="874">
        <f t="shared" si="6"/>
        <v>1346880.6301787682</v>
      </c>
      <c r="N6" s="875">
        <f t="shared" si="1"/>
        <v>1.1224005251489735</v>
      </c>
      <c r="O6" s="876"/>
      <c r="P6" s="875">
        <f>'Inv By Tech Post Attain'!R27</f>
        <v>0.49436430839375339</v>
      </c>
      <c r="Q6" s="876"/>
      <c r="R6" s="876" t="s">
        <v>156</v>
      </c>
      <c r="S6" s="878">
        <f>'Inv By Tech Post Attain'!O28</f>
        <v>1500000</v>
      </c>
      <c r="T6" s="292">
        <f>'Inv By Tech Post Attain'!O26</f>
        <v>1739681.9366533954</v>
      </c>
      <c r="U6" s="291">
        <f t="shared" si="7"/>
        <v>239681.93665339542</v>
      </c>
      <c r="V6" s="293">
        <f t="shared" si="2"/>
        <v>0.15978795776893029</v>
      </c>
      <c r="W6" s="294"/>
      <c r="X6" s="295">
        <v>200000</v>
      </c>
      <c r="Y6" s="157"/>
      <c r="Z6" s="157"/>
      <c r="AA6" s="296">
        <v>1268302</v>
      </c>
      <c r="AB6" s="297">
        <f t="shared" si="3"/>
        <v>471379.93665339542</v>
      </c>
      <c r="AC6" s="264">
        <f t="shared" si="4"/>
        <v>0.3716622197657935</v>
      </c>
    </row>
    <row r="7" spans="2:29">
      <c r="B7" s="857" t="s">
        <v>726</v>
      </c>
      <c r="C7" s="879">
        <f>'Inv By Tech Post Attain'!G37</f>
        <v>2300000</v>
      </c>
      <c r="D7" s="879">
        <f>'Inv By Tech Post Attain'!G35</f>
        <v>1582818.9950000001</v>
      </c>
      <c r="E7" s="874">
        <f t="shared" ref="E7" si="8">D7-C7</f>
        <v>-717181.00499999989</v>
      </c>
      <c r="F7" s="875">
        <f t="shared" ref="F7" si="9">E7/C7</f>
        <v>-0.31181782826086951</v>
      </c>
      <c r="G7" s="881"/>
      <c r="H7" s="882"/>
      <c r="I7" s="881"/>
      <c r="J7" s="881"/>
      <c r="K7" s="879">
        <f>'Inv By Tech Post Attain'!K37</f>
        <v>1800000</v>
      </c>
      <c r="L7" s="879"/>
      <c r="M7" s="879"/>
      <c r="N7" s="880"/>
      <c r="O7" s="881"/>
      <c r="P7" s="880"/>
      <c r="Q7" s="881"/>
      <c r="R7" s="881"/>
      <c r="S7" s="883">
        <f>'Inv By Tech Post Attain'!O37</f>
        <v>1500000</v>
      </c>
      <c r="T7" s="292"/>
      <c r="U7" s="291"/>
      <c r="V7" s="293"/>
      <c r="W7" s="294"/>
      <c r="X7" s="295"/>
      <c r="Y7" s="157"/>
      <c r="Z7" s="157"/>
      <c r="AA7" s="296"/>
      <c r="AB7" s="297"/>
      <c r="AC7" s="264"/>
    </row>
    <row r="8" spans="2:29">
      <c r="B8" s="855" t="s">
        <v>39</v>
      </c>
      <c r="C8" s="869">
        <f>'Inv By Tech Post Attain'!G47</f>
        <v>2000000</v>
      </c>
      <c r="D8" s="869">
        <f>'Inv By Tech Post Attain'!G45</f>
        <v>1638714.5399999998</v>
      </c>
      <c r="E8" s="869">
        <f t="shared" si="5"/>
        <v>-361285.4600000002</v>
      </c>
      <c r="F8" s="870">
        <f t="shared" si="0"/>
        <v>-0.18064273000000008</v>
      </c>
      <c r="G8" s="884"/>
      <c r="H8" s="872"/>
      <c r="I8" s="871"/>
      <c r="J8" s="871" t="s">
        <v>39</v>
      </c>
      <c r="K8" s="869">
        <f>'Inv By Tech Post Attain'!K47</f>
        <v>1000000</v>
      </c>
      <c r="L8" s="869">
        <f>'Inv By Tech Post Attain'!K45</f>
        <v>1290568.7324661245</v>
      </c>
      <c r="M8" s="869">
        <f t="shared" si="6"/>
        <v>290568.73246612446</v>
      </c>
      <c r="N8" s="870">
        <f t="shared" si="1"/>
        <v>0.29056873246612447</v>
      </c>
      <c r="O8" s="871"/>
      <c r="P8" s="870">
        <f>'Inv By Tech Post Attain'!R46</f>
        <v>0.1901785305858345</v>
      </c>
      <c r="Q8" s="871"/>
      <c r="R8" s="871" t="s">
        <v>39</v>
      </c>
      <c r="S8" s="873">
        <f>'Inv By Tech Post Attain'!O47</f>
        <v>1300000</v>
      </c>
      <c r="T8" s="299">
        <f>'Inv By Tech Post Attain'!O45</f>
        <v>1449733.303396567</v>
      </c>
      <c r="U8" s="298">
        <f t="shared" si="7"/>
        <v>149733.303396567</v>
      </c>
      <c r="V8" s="300">
        <f t="shared" si="2"/>
        <v>0.11517946415120539</v>
      </c>
      <c r="W8" s="301"/>
      <c r="X8" s="302">
        <v>200000</v>
      </c>
      <c r="Y8" s="157"/>
      <c r="Z8" s="157"/>
      <c r="AA8" s="303">
        <v>1420227</v>
      </c>
      <c r="AB8" s="297">
        <f t="shared" si="3"/>
        <v>29506.303396567004</v>
      </c>
      <c r="AC8" s="264">
        <f t="shared" si="4"/>
        <v>2.0775765702642609E-2</v>
      </c>
    </row>
    <row r="9" spans="2:29" ht="15.75" thickBot="1">
      <c r="B9" s="856" t="s">
        <v>36</v>
      </c>
      <c r="C9" s="874">
        <f>'Inv By Tech Post Attain'!G54</f>
        <v>900000</v>
      </c>
      <c r="D9" s="874">
        <f>'Inv By Tech Post Attain'!G52</f>
        <v>726195.79387523164</v>
      </c>
      <c r="E9" s="874">
        <f t="shared" si="5"/>
        <v>-173804.20612476836</v>
      </c>
      <c r="F9" s="875">
        <f t="shared" si="0"/>
        <v>-0.19311578458307596</v>
      </c>
      <c r="G9" s="876"/>
      <c r="H9" s="877"/>
      <c r="I9" s="876"/>
      <c r="J9" s="876" t="s">
        <v>36</v>
      </c>
      <c r="K9" s="874">
        <f>'Inv By Tech Post Attain'!K54</f>
        <v>400000</v>
      </c>
      <c r="L9" s="874">
        <f>'Inv By Tech Post Attain'!K52</f>
        <v>684934.76909077656</v>
      </c>
      <c r="M9" s="874">
        <f t="shared" si="6"/>
        <v>284934.76909077656</v>
      </c>
      <c r="N9" s="875">
        <f t="shared" si="1"/>
        <v>0.71233692272694138</v>
      </c>
      <c r="O9" s="876"/>
      <c r="P9" s="875">
        <f>'Inv By Tech Post Attain'!R53</f>
        <v>0.21686844716873585</v>
      </c>
      <c r="Q9" s="876"/>
      <c r="R9" s="876" t="s">
        <v>36</v>
      </c>
      <c r="S9" s="878">
        <f>'Inv By Tech Post Attain'!O54</f>
        <v>600000</v>
      </c>
      <c r="T9" s="121">
        <f>'Inv By Tech Post Attain'!O52</f>
        <v>401442.08450098371</v>
      </c>
      <c r="U9" s="112">
        <f t="shared" si="7"/>
        <v>-198557.91549901629</v>
      </c>
      <c r="V9" s="154">
        <f t="shared" si="2"/>
        <v>-0.33092985916502715</v>
      </c>
      <c r="W9" s="255"/>
      <c r="AA9" s="288">
        <v>615165</v>
      </c>
      <c r="AB9" s="50">
        <f t="shared" si="3"/>
        <v>-213722.91549901629</v>
      </c>
      <c r="AC9" s="95">
        <f t="shared" si="4"/>
        <v>-0.34742372452759224</v>
      </c>
    </row>
    <row r="10" spans="2:29">
      <c r="B10" s="856" t="s">
        <v>40</v>
      </c>
      <c r="C10" s="874">
        <f>'Inv By Tech Post Attain'!G61</f>
        <v>800000</v>
      </c>
      <c r="D10" s="874">
        <f>'Inv By Tech Post Attain'!G59</f>
        <v>697429.55899382115</v>
      </c>
      <c r="E10" s="874">
        <f t="shared" si="5"/>
        <v>-102570.44100617885</v>
      </c>
      <c r="F10" s="875">
        <f t="shared" si="0"/>
        <v>-0.12821305125772356</v>
      </c>
      <c r="G10" s="876"/>
      <c r="H10" s="877"/>
      <c r="I10" s="876"/>
      <c r="J10" s="876" t="s">
        <v>40</v>
      </c>
      <c r="K10" s="874">
        <f>'Inv By Tech Post Attain'!K61</f>
        <v>700000</v>
      </c>
      <c r="L10" s="874">
        <f>'Inv By Tech Post Attain'!K59</f>
        <v>556605.53282299428</v>
      </c>
      <c r="M10" s="874">
        <f t="shared" si="6"/>
        <v>-143394.46717700572</v>
      </c>
      <c r="N10" s="875">
        <f t="shared" si="1"/>
        <v>-0.20484923882429387</v>
      </c>
      <c r="O10" s="876" t="s">
        <v>727</v>
      </c>
      <c r="P10" s="875">
        <f>'Inv By Tech Post Attain'!R60</f>
        <v>-1.3600027968736437E-2</v>
      </c>
      <c r="Q10" s="876"/>
      <c r="R10" s="876" t="s">
        <v>40</v>
      </c>
      <c r="S10" s="878">
        <f>'Inv By Tech Post Attain'!O61</f>
        <v>1000000</v>
      </c>
      <c r="T10" s="252">
        <f>'Inv By Tech Post Attain'!O59</f>
        <v>768891.74322772829</v>
      </c>
      <c r="U10" s="206">
        <f t="shared" si="7"/>
        <v>-231108.25677227171</v>
      </c>
      <c r="V10" s="253">
        <f t="shared" si="2"/>
        <v>-0.2311082567722717</v>
      </c>
      <c r="W10" s="254"/>
      <c r="X10" s="206">
        <v>100000</v>
      </c>
      <c r="Y10" s="200"/>
      <c r="Z10" s="200"/>
      <c r="AA10" s="287">
        <v>816911</v>
      </c>
      <c r="AB10" s="304">
        <f t="shared" si="3"/>
        <v>-48019.256772271707</v>
      </c>
      <c r="AC10" s="305">
        <f t="shared" si="4"/>
        <v>-5.8781503459093713E-2</v>
      </c>
    </row>
    <row r="11" spans="2:29" ht="15.75" thickBot="1">
      <c r="B11" s="857" t="s">
        <v>31</v>
      </c>
      <c r="C11" s="879">
        <f>'Inv By Tech Post Attain'!G68</f>
        <v>1000000</v>
      </c>
      <c r="D11" s="879">
        <f>'Inv By Tech Post Attain'!G66</f>
        <v>1382950.21</v>
      </c>
      <c r="E11" s="879">
        <f t="shared" si="5"/>
        <v>382950.20999999996</v>
      </c>
      <c r="F11" s="880">
        <f t="shared" si="0"/>
        <v>0.38295020999999996</v>
      </c>
      <c r="G11" s="881"/>
      <c r="H11" s="882"/>
      <c r="I11" s="881"/>
      <c r="J11" s="881" t="s">
        <v>31</v>
      </c>
      <c r="K11" s="879">
        <f>'Inv By Tech Post Attain'!K68</f>
        <v>700000</v>
      </c>
      <c r="L11" s="879">
        <f>'Inv By Tech Post Attain'!K66</f>
        <v>990877.56999999983</v>
      </c>
      <c r="M11" s="879">
        <f t="shared" si="6"/>
        <v>290877.56999999983</v>
      </c>
      <c r="N11" s="880">
        <f t="shared" si="1"/>
        <v>0.41553938571428545</v>
      </c>
      <c r="O11" s="881"/>
      <c r="P11" s="880">
        <f>'Inv By Tech Post Attain'!R67</f>
        <v>0.19276427505071819</v>
      </c>
      <c r="Q11" s="881"/>
      <c r="R11" s="881" t="s">
        <v>31</v>
      </c>
      <c r="S11" s="883">
        <f>'Inv By Tech Post Attain'!O68</f>
        <v>650000</v>
      </c>
      <c r="T11" s="306">
        <f>'Inv By Tech Post Attain'!O66</f>
        <v>666244.48999999953</v>
      </c>
      <c r="U11" s="191">
        <f t="shared" si="7"/>
        <v>16244.489999999525</v>
      </c>
      <c r="V11" s="307">
        <f t="shared" si="2"/>
        <v>2.4991523076922345E-2</v>
      </c>
      <c r="W11" s="308"/>
      <c r="X11" s="191"/>
      <c r="Y11" s="309"/>
      <c r="Z11" s="309"/>
      <c r="AA11" s="310">
        <v>914698</v>
      </c>
      <c r="AB11" s="311">
        <f t="shared" si="3"/>
        <v>-248453.51000000047</v>
      </c>
      <c r="AC11" s="312">
        <f t="shared" si="4"/>
        <v>-0.27162354132183569</v>
      </c>
    </row>
    <row r="12" spans="2:29">
      <c r="B12" s="855" t="s">
        <v>32</v>
      </c>
      <c r="C12" s="869">
        <f>'Inv By Tech Post Attain'!G75</f>
        <v>100000</v>
      </c>
      <c r="D12" s="869">
        <f>'Inv By Tech Post Attain'!G73</f>
        <v>11595.830000000002</v>
      </c>
      <c r="E12" s="869">
        <f t="shared" si="5"/>
        <v>-88404.17</v>
      </c>
      <c r="F12" s="870">
        <f t="shared" si="0"/>
        <v>-0.88404169999999993</v>
      </c>
      <c r="G12" s="885"/>
      <c r="H12" s="872"/>
      <c r="I12" s="871"/>
      <c r="J12" s="871" t="s">
        <v>32</v>
      </c>
      <c r="K12" s="869">
        <f>'Inv By Tech Post Attain'!K75</f>
        <v>75000</v>
      </c>
      <c r="L12" s="869">
        <f>'Inv By Tech Post Attain'!K73</f>
        <v>204438.40999999997</v>
      </c>
      <c r="M12" s="869">
        <f t="shared" si="6"/>
        <v>129438.40999999997</v>
      </c>
      <c r="N12" s="870">
        <f t="shared" si="1"/>
        <v>1.7258454666666663</v>
      </c>
      <c r="O12" s="871"/>
      <c r="P12" s="870">
        <f>'Inv By Tech Post Attain'!R74</f>
        <v>0.20744870314745451</v>
      </c>
      <c r="Q12" s="871"/>
      <c r="R12" s="871" t="s">
        <v>32</v>
      </c>
      <c r="S12" s="873">
        <f>'Inv By Tech Post Attain'!O75</f>
        <v>75000</v>
      </c>
      <c r="T12" s="121">
        <f>'Inv By Tech Post Attain'!O73</f>
        <v>281630.09000000003</v>
      </c>
      <c r="U12" s="112">
        <f t="shared" si="7"/>
        <v>206630.09000000003</v>
      </c>
      <c r="V12" s="154">
        <f t="shared" si="2"/>
        <v>2.7550678666666668</v>
      </c>
      <c r="W12" s="255"/>
      <c r="X12" s="56">
        <v>150000</v>
      </c>
      <c r="AA12" s="288">
        <v>71574</v>
      </c>
      <c r="AB12" s="50">
        <f t="shared" si="3"/>
        <v>210056.09000000003</v>
      </c>
      <c r="AC12" s="95">
        <f t="shared" si="4"/>
        <v>2.9348099868667399</v>
      </c>
    </row>
    <row r="13" spans="2:29">
      <c r="B13" s="856" t="s">
        <v>33</v>
      </c>
      <c r="C13" s="874">
        <f>'Inv By Tech Post Attain'!G82</f>
        <v>700000</v>
      </c>
      <c r="D13" s="874">
        <f>'Inv By Tech Post Attain'!G80</f>
        <v>357185.69703703688</v>
      </c>
      <c r="E13" s="874">
        <f t="shared" si="5"/>
        <v>-342814.30296296312</v>
      </c>
      <c r="F13" s="875">
        <f t="shared" si="0"/>
        <v>-0.48973471851851874</v>
      </c>
      <c r="G13" s="876"/>
      <c r="H13" s="877"/>
      <c r="I13" s="876"/>
      <c r="J13" s="876" t="s">
        <v>33</v>
      </c>
      <c r="K13" s="874">
        <f>'Inv By Tech Post Attain'!K82</f>
        <v>450000</v>
      </c>
      <c r="L13" s="874">
        <f>'Inv By Tech Post Attain'!K80</f>
        <v>536331.02032626036</v>
      </c>
      <c r="M13" s="874">
        <f t="shared" si="6"/>
        <v>86331.020326260361</v>
      </c>
      <c r="N13" s="875">
        <f t="shared" si="1"/>
        <v>0.19184671183613414</v>
      </c>
      <c r="O13" s="876"/>
      <c r="P13" s="875">
        <f>'Inv By Tech Post Attain'!R81</f>
        <v>0.44997452267956861</v>
      </c>
      <c r="Q13" s="876"/>
      <c r="R13" s="876" t="s">
        <v>33</v>
      </c>
      <c r="S13" s="878">
        <f>'Inv By Tech Post Attain'!O82</f>
        <v>400000</v>
      </c>
      <c r="T13" s="121">
        <f>'Inv By Tech Post Attain'!O80</f>
        <v>621126.98794633895</v>
      </c>
      <c r="U13" s="112">
        <f t="shared" si="7"/>
        <v>221126.98794633895</v>
      </c>
      <c r="V13" s="154">
        <f t="shared" si="2"/>
        <v>0.55281746986584734</v>
      </c>
      <c r="W13" s="255"/>
      <c r="AA13" s="288">
        <v>542797</v>
      </c>
      <c r="AB13" s="50">
        <f t="shared" si="3"/>
        <v>78329.987946338952</v>
      </c>
      <c r="AC13" s="95">
        <f t="shared" si="4"/>
        <v>0.14430807087426598</v>
      </c>
    </row>
    <row r="14" spans="2:29" ht="65.099999999999994" customHeight="1">
      <c r="B14" s="856" t="s">
        <v>35</v>
      </c>
      <c r="C14" s="874">
        <f>'Inv By Tech Post Attain'!G90</f>
        <v>400000</v>
      </c>
      <c r="D14" s="874">
        <f>'Inv By Tech Post Attain'!G88</f>
        <v>390355.12917729496</v>
      </c>
      <c r="E14" s="874">
        <f t="shared" si="5"/>
        <v>-9644.8708227050374</v>
      </c>
      <c r="F14" s="875">
        <f t="shared" si="0"/>
        <v>-2.4112177056762593E-2</v>
      </c>
      <c r="G14" s="886"/>
      <c r="H14" s="887"/>
      <c r="I14" s="876"/>
      <c r="J14" s="876" t="s">
        <v>35</v>
      </c>
      <c r="K14" s="874">
        <f>'Inv By Tech Post Attain'!K90</f>
        <v>250000</v>
      </c>
      <c r="L14" s="874">
        <f>'Inv By Tech Post Attain'!K88</f>
        <v>398755.65443466592</v>
      </c>
      <c r="M14" s="874">
        <f t="shared" si="6"/>
        <v>148755.65443466592</v>
      </c>
      <c r="N14" s="875">
        <f t="shared" si="1"/>
        <v>0.59502261773866372</v>
      </c>
      <c r="O14" s="876" t="s">
        <v>728</v>
      </c>
      <c r="P14" s="875">
        <f>'Inv By Tech Post Attain'!R89</f>
        <v>1.5570300993326289</v>
      </c>
      <c r="Q14" s="876"/>
      <c r="R14" s="876" t="s">
        <v>35</v>
      </c>
      <c r="S14" s="878">
        <f>'Inv By Tech Post Attain'!O90</f>
        <v>150000</v>
      </c>
      <c r="T14" s="121">
        <f>'Inv By Tech Post Attain'!O88</f>
        <v>315552.52907539095</v>
      </c>
      <c r="U14" s="112">
        <f t="shared" si="7"/>
        <v>165552.52907539095</v>
      </c>
      <c r="V14" s="154">
        <f t="shared" si="2"/>
        <v>1.1036835271692731</v>
      </c>
      <c r="W14" s="255" t="s">
        <v>729</v>
      </c>
      <c r="AA14" s="288">
        <v>420282</v>
      </c>
      <c r="AB14" s="50">
        <f t="shared" si="3"/>
        <v>-104729.47092460905</v>
      </c>
      <c r="AC14" s="95">
        <f t="shared" si="4"/>
        <v>-0.2491885708277039</v>
      </c>
    </row>
    <row r="15" spans="2:29">
      <c r="B15" s="856" t="s">
        <v>730</v>
      </c>
      <c r="C15" s="874">
        <f>'Inv By Tech Post Attain'!G97</f>
        <v>40000</v>
      </c>
      <c r="D15" s="874">
        <f>'Inv By Tech Post Attain'!G95</f>
        <v>57602.46</v>
      </c>
      <c r="E15" s="874">
        <f t="shared" si="5"/>
        <v>17602.46</v>
      </c>
      <c r="F15" s="875">
        <f t="shared" si="0"/>
        <v>0.44006149999999999</v>
      </c>
      <c r="G15" s="888"/>
      <c r="H15" s="889"/>
      <c r="I15" s="876"/>
      <c r="J15" s="876" t="s">
        <v>157</v>
      </c>
      <c r="K15" s="874">
        <f>'Inv By Tech Post Attain'!K97</f>
        <v>40000</v>
      </c>
      <c r="L15" s="874">
        <f>'Inv By Tech Post Attain'!K95</f>
        <v>26722.350000000006</v>
      </c>
      <c r="M15" s="874">
        <f t="shared" si="6"/>
        <v>-13277.649999999994</v>
      </c>
      <c r="N15" s="875">
        <f t="shared" si="1"/>
        <v>-0.33194124999999985</v>
      </c>
      <c r="O15" s="876"/>
      <c r="P15" s="875"/>
      <c r="Q15" s="876"/>
      <c r="R15" s="876" t="s">
        <v>157</v>
      </c>
      <c r="S15" s="878">
        <f>'Inv By Tech Post Attain'!O97</f>
        <v>40000</v>
      </c>
      <c r="T15" s="121">
        <f>'Inv By Tech Post Attain'!O95</f>
        <v>10168.330367757713</v>
      </c>
      <c r="U15" s="112">
        <f t="shared" si="7"/>
        <v>-29831.669632242287</v>
      </c>
      <c r="V15" s="154">
        <f t="shared" si="2"/>
        <v>-0.74579174080605715</v>
      </c>
      <c r="W15" s="255"/>
      <c r="AA15" s="288">
        <v>53277</v>
      </c>
      <c r="AB15" s="50">
        <f t="shared" si="3"/>
        <v>-43108.669632242287</v>
      </c>
      <c r="AC15" s="95">
        <f t="shared" si="4"/>
        <v>-0.80914221206603765</v>
      </c>
    </row>
    <row r="16" spans="2:29">
      <c r="B16" s="856" t="s">
        <v>21</v>
      </c>
      <c r="C16" s="874">
        <f>'Inv By Tech Post Attain'!G104</f>
        <v>200000</v>
      </c>
      <c r="D16" s="874">
        <f>'Inv By Tech Post Attain'!G102</f>
        <v>204832.566709298</v>
      </c>
      <c r="E16" s="874">
        <f t="shared" si="5"/>
        <v>4832.5667092980002</v>
      </c>
      <c r="F16" s="875">
        <f t="shared" si="0"/>
        <v>2.4162833546490001E-2</v>
      </c>
      <c r="G16" s="890"/>
      <c r="H16" s="889"/>
      <c r="I16" s="876"/>
      <c r="J16" s="876" t="s">
        <v>21</v>
      </c>
      <c r="K16" s="874">
        <f>'Inv By Tech Post Attain'!K104</f>
        <v>120000</v>
      </c>
      <c r="L16" s="874">
        <f>'Inv By Tech Post Attain'!K102</f>
        <v>179165.72264966587</v>
      </c>
      <c r="M16" s="874">
        <f t="shared" si="6"/>
        <v>59165.72264966587</v>
      </c>
      <c r="N16" s="875">
        <f t="shared" si="1"/>
        <v>0.49304768874721561</v>
      </c>
      <c r="O16" s="876"/>
      <c r="P16" s="875">
        <f>'Inv By Tech Post Attain'!R103</f>
        <v>0.19604023068447579</v>
      </c>
      <c r="Q16" s="876"/>
      <c r="R16" s="876" t="s">
        <v>21</v>
      </c>
      <c r="S16" s="878">
        <f>'Inv By Tech Post Attain'!O104</f>
        <v>120000</v>
      </c>
      <c r="T16" s="121">
        <f>'Inv By Tech Post Attain'!O102</f>
        <v>162299.10144274976</v>
      </c>
      <c r="U16" s="112">
        <f t="shared" si="7"/>
        <v>42299.101442749758</v>
      </c>
      <c r="V16" s="154">
        <f t="shared" si="2"/>
        <v>0.35249251202291465</v>
      </c>
      <c r="W16" s="255"/>
      <c r="AA16" s="288">
        <v>203553</v>
      </c>
      <c r="AB16" s="50">
        <f t="shared" si="3"/>
        <v>-41253.898557250242</v>
      </c>
      <c r="AC16" s="95">
        <f t="shared" si="4"/>
        <v>-0.20266907663974612</v>
      </c>
    </row>
    <row r="17" spans="2:29">
      <c r="B17" s="856" t="s">
        <v>25</v>
      </c>
      <c r="C17" s="874">
        <f>'Inv By Tech Post Attain'!G111</f>
        <v>250000</v>
      </c>
      <c r="D17" s="874">
        <f>'Inv By Tech Post Attain'!G109</f>
        <v>506533.87000000011</v>
      </c>
      <c r="E17" s="874">
        <f t="shared" si="5"/>
        <v>256533.87000000011</v>
      </c>
      <c r="F17" s="875">
        <f t="shared" si="0"/>
        <v>1.0261354800000004</v>
      </c>
      <c r="G17" s="890"/>
      <c r="H17" s="889"/>
      <c r="I17" s="876"/>
      <c r="J17" s="876" t="s">
        <v>25</v>
      </c>
      <c r="K17" s="874">
        <f>'Inv By Tech Post Attain'!K111</f>
        <v>150000</v>
      </c>
      <c r="L17" s="874">
        <f>'Inv By Tech Post Attain'!K109</f>
        <v>300485.39000000007</v>
      </c>
      <c r="M17" s="874">
        <f t="shared" si="6"/>
        <v>150485.39000000007</v>
      </c>
      <c r="N17" s="875">
        <f t="shared" si="1"/>
        <v>1.0032359333333338</v>
      </c>
      <c r="O17" s="876"/>
      <c r="P17" s="875">
        <f>'Inv By Tech Post Attain'!R110</f>
        <v>0.45728244932154377</v>
      </c>
      <c r="Q17" s="876"/>
      <c r="R17" s="876" t="s">
        <v>25</v>
      </c>
      <c r="S17" s="878">
        <f>'Inv By Tech Post Attain'!O111</f>
        <v>150000</v>
      </c>
      <c r="T17" s="259">
        <f>'Inv By Tech Post Attain'!O109</f>
        <v>247613.9500000001</v>
      </c>
      <c r="U17" s="258">
        <f t="shared" si="7"/>
        <v>97613.950000000099</v>
      </c>
      <c r="V17" s="260">
        <f t="shared" si="2"/>
        <v>0.65075966666666729</v>
      </c>
      <c r="W17" s="261"/>
      <c r="AA17" s="289">
        <v>292082</v>
      </c>
      <c r="AB17" s="50">
        <f t="shared" si="3"/>
        <v>-44468.049999999901</v>
      </c>
      <c r="AC17" s="95">
        <f t="shared" si="4"/>
        <v>-0.15224508870796524</v>
      </c>
    </row>
    <row r="18" spans="2:29">
      <c r="B18" s="857" t="s">
        <v>731</v>
      </c>
      <c r="C18" s="879">
        <f>'Inv By Tech Post Attain'!G118</f>
        <v>50000</v>
      </c>
      <c r="D18" s="879">
        <f>'Inv By Tech Post Attain'!G116</f>
        <v>101908.93000000001</v>
      </c>
      <c r="E18" s="879">
        <f t="shared" si="5"/>
        <v>51908.930000000008</v>
      </c>
      <c r="F18" s="880">
        <f t="shared" si="0"/>
        <v>1.0381786000000002</v>
      </c>
      <c r="G18" s="891"/>
      <c r="H18" s="892"/>
      <c r="I18" s="881"/>
      <c r="J18" s="881" t="s">
        <v>135</v>
      </c>
      <c r="K18" s="879">
        <f>'Inv By Tech Post Attain'!K118</f>
        <v>40000</v>
      </c>
      <c r="L18" s="879">
        <f>'Inv By Tech Post Attain'!K116</f>
        <v>63744.070000000007</v>
      </c>
      <c r="M18" s="879">
        <f t="shared" si="6"/>
        <v>23744.070000000007</v>
      </c>
      <c r="N18" s="880">
        <f t="shared" si="1"/>
        <v>0.59360175000000015</v>
      </c>
      <c r="O18" s="881"/>
      <c r="P18" s="880">
        <f>'Inv By Tech Post Attain'!R117</f>
        <v>0.46192201410739386</v>
      </c>
      <c r="Q18" s="881"/>
      <c r="R18" s="881" t="s">
        <v>135</v>
      </c>
      <c r="S18" s="883">
        <f>'Inv By Tech Post Attain'!O118</f>
        <v>40000</v>
      </c>
      <c r="T18" s="121">
        <f>'Inv By Tech Post Attain'!O116</f>
        <v>25839.890000000003</v>
      </c>
      <c r="U18" s="112">
        <f t="shared" si="7"/>
        <v>-14160.109999999997</v>
      </c>
      <c r="V18" s="154">
        <f t="shared" si="2"/>
        <v>-0.35400274999999992</v>
      </c>
      <c r="W18" s="255" t="s">
        <v>729</v>
      </c>
      <c r="AA18" s="288">
        <v>52044</v>
      </c>
      <c r="AB18" s="50">
        <f t="shared" si="3"/>
        <v>-26204.109999999997</v>
      </c>
      <c r="AC18" s="95">
        <f t="shared" si="4"/>
        <v>-0.50349915456152483</v>
      </c>
    </row>
    <row r="19" spans="2:29">
      <c r="B19" s="858" t="s">
        <v>38</v>
      </c>
      <c r="C19" s="869">
        <f>'Inv By Tech Post Attain'!G125</f>
        <v>550000</v>
      </c>
      <c r="D19" s="869">
        <f>'Inv By Tech Post Attain'!G123</f>
        <v>1606931.5301827281</v>
      </c>
      <c r="E19" s="869">
        <f t="shared" si="5"/>
        <v>1056931.5301827281</v>
      </c>
      <c r="F19" s="870">
        <f t="shared" si="0"/>
        <v>1.9216936912413238</v>
      </c>
      <c r="G19" s="893"/>
      <c r="H19" s="894"/>
      <c r="I19" s="871"/>
      <c r="J19" s="871" t="s">
        <v>38</v>
      </c>
      <c r="K19" s="869">
        <f>'Inv By Tech Post Attain'!K125</f>
        <v>400000</v>
      </c>
      <c r="L19" s="869">
        <f>'Inv By Tech Post Attain'!K123</f>
        <v>657443.16427571815</v>
      </c>
      <c r="M19" s="869">
        <f t="shared" si="6"/>
        <v>257443.16427571815</v>
      </c>
      <c r="N19" s="870">
        <f t="shared" si="1"/>
        <v>0.64360791068929535</v>
      </c>
      <c r="O19" s="871"/>
      <c r="P19" s="870">
        <f>'Inv By Tech Post Attain'!R124</f>
        <v>8.469812545575843E-2</v>
      </c>
      <c r="Q19" s="871"/>
      <c r="R19" s="871" t="s">
        <v>38</v>
      </c>
      <c r="S19" s="873">
        <f>'Inv By Tech Post Attain'!O125</f>
        <v>300000</v>
      </c>
      <c r="T19" s="121">
        <f>'Inv By Tech Post Attain'!O123</f>
        <v>-42546.595825869939</v>
      </c>
      <c r="U19" s="112">
        <f t="shared" si="7"/>
        <v>-342546.59582586994</v>
      </c>
      <c r="V19" s="154">
        <f t="shared" si="2"/>
        <v>-1.1418219860862331</v>
      </c>
      <c r="W19" s="255"/>
      <c r="X19" s="56">
        <v>200000</v>
      </c>
      <c r="AA19" s="288">
        <v>24455</v>
      </c>
      <c r="AB19" s="50">
        <f t="shared" si="3"/>
        <v>-67001.595825869939</v>
      </c>
      <c r="AC19" s="95">
        <f t="shared" si="4"/>
        <v>-2.739791283004291</v>
      </c>
    </row>
    <row r="20" spans="2:29">
      <c r="B20" s="857" t="s">
        <v>30</v>
      </c>
      <c r="C20" s="879">
        <f>'Inv By Tech Post Attain'!G132</f>
        <v>50000</v>
      </c>
      <c r="D20" s="879">
        <f>'Inv By Tech Post Attain'!G130</f>
        <v>110628.82794028055</v>
      </c>
      <c r="E20" s="879">
        <f t="shared" si="5"/>
        <v>60628.827940280549</v>
      </c>
      <c r="F20" s="880">
        <f t="shared" si="0"/>
        <v>1.212576558805611</v>
      </c>
      <c r="G20" s="895"/>
      <c r="H20" s="892"/>
      <c r="I20" s="881"/>
      <c r="J20" s="881" t="s">
        <v>30</v>
      </c>
      <c r="K20" s="879">
        <f>'Inv By Tech Post Attain'!K132</f>
        <v>50000</v>
      </c>
      <c r="L20" s="879">
        <f>'Inv By Tech Post Attain'!K130</f>
        <v>96467.809422604842</v>
      </c>
      <c r="M20" s="879">
        <f t="shared" si="6"/>
        <v>46467.809422604842</v>
      </c>
      <c r="N20" s="880">
        <f t="shared" si="1"/>
        <v>0.92935618845209678</v>
      </c>
      <c r="O20" s="881"/>
      <c r="P20" s="880">
        <f>'Inv By Tech Post Attain'!R131</f>
        <v>0.34303351906337737</v>
      </c>
      <c r="Q20" s="881"/>
      <c r="R20" s="881" t="s">
        <v>30</v>
      </c>
      <c r="S20" s="883">
        <f>'Inv By Tech Post Attain'!O132</f>
        <v>50000</v>
      </c>
      <c r="T20" s="121">
        <f>'Inv By Tech Post Attain'!O130</f>
        <v>78131.679085925061</v>
      </c>
      <c r="U20" s="112">
        <f t="shared" si="7"/>
        <v>28131.679085925061</v>
      </c>
      <c r="V20" s="154">
        <f t="shared" si="2"/>
        <v>0.5626335817185012</v>
      </c>
      <c r="W20" s="255" t="s">
        <v>732</v>
      </c>
      <c r="AA20" s="288">
        <v>113192</v>
      </c>
      <c r="AB20" s="50">
        <f t="shared" si="3"/>
        <v>-35060.320914074939</v>
      </c>
      <c r="AC20" s="95">
        <f t="shared" si="4"/>
        <v>-0.30974203931439448</v>
      </c>
    </row>
    <row r="21" spans="2:29">
      <c r="B21" s="855" t="s">
        <v>34</v>
      </c>
      <c r="C21" s="869">
        <f>'Inv By Tech Post Attain'!G139</f>
        <v>1500000</v>
      </c>
      <c r="D21" s="869">
        <f>'Inv By Tech Post Attain'!G137</f>
        <v>2541631.83</v>
      </c>
      <c r="E21" s="869">
        <f t="shared" si="5"/>
        <v>1041631.8300000001</v>
      </c>
      <c r="F21" s="870">
        <f t="shared" si="0"/>
        <v>0.69442122000000006</v>
      </c>
      <c r="G21" s="896"/>
      <c r="H21" s="897"/>
      <c r="I21" s="871"/>
      <c r="J21" s="871" t="s">
        <v>34</v>
      </c>
      <c r="K21" s="869">
        <f>'Inv By Tech Post Attain'!K139</f>
        <v>1000000</v>
      </c>
      <c r="L21" s="869">
        <f>'Inv By Tech Post Attain'!K137</f>
        <v>1258930.7600115158</v>
      </c>
      <c r="M21" s="869">
        <f t="shared" si="6"/>
        <v>258930.76001151581</v>
      </c>
      <c r="N21" s="870">
        <f t="shared" si="1"/>
        <v>0.25893076001151583</v>
      </c>
      <c r="O21" s="871"/>
      <c r="P21" s="870">
        <f>'Inv By Tech Post Attain'!R138</f>
        <v>0.17587379788967558</v>
      </c>
      <c r="Q21" s="871"/>
      <c r="R21" s="871" t="s">
        <v>34</v>
      </c>
      <c r="S21" s="873">
        <f>'Inv By Tech Post Attain'!O139</f>
        <v>1500000</v>
      </c>
      <c r="T21" s="121">
        <f>'Inv By Tech Post Attain'!O137</f>
        <v>781372.41089092311</v>
      </c>
      <c r="U21" s="112">
        <f t="shared" si="7"/>
        <v>-718627.58910907689</v>
      </c>
      <c r="V21" s="154">
        <f t="shared" si="2"/>
        <v>-0.47908505940605128</v>
      </c>
      <c r="W21" s="255"/>
      <c r="X21" s="56">
        <v>100000</v>
      </c>
      <c r="AA21" s="288">
        <v>319971</v>
      </c>
      <c r="AB21" s="50">
        <f t="shared" si="3"/>
        <v>461401.41089092311</v>
      </c>
      <c r="AC21" s="95">
        <f t="shared" si="4"/>
        <v>1.4420100911986495</v>
      </c>
    </row>
    <row r="22" spans="2:29">
      <c r="B22" s="856" t="s">
        <v>27</v>
      </c>
      <c r="C22" s="874">
        <f>'Inv By Tech Post Attain'!G146</f>
        <v>40000</v>
      </c>
      <c r="D22" s="874">
        <f>'Inv By Tech Post Attain'!G144</f>
        <v>376157.35999999987</v>
      </c>
      <c r="E22" s="869">
        <f t="shared" ref="E22:E23" si="10">D22-C22</f>
        <v>336157.35999999987</v>
      </c>
      <c r="F22" s="870">
        <f t="shared" ref="F22:F23" si="11">E22/C22</f>
        <v>8.403933999999996</v>
      </c>
      <c r="G22" s="886"/>
      <c r="H22" s="887"/>
      <c r="I22" s="876"/>
      <c r="J22" s="876"/>
      <c r="K22" s="874">
        <f>'Inv By Tech Post Attain'!K146</f>
        <v>359000</v>
      </c>
      <c r="L22" s="874"/>
      <c r="M22" s="874"/>
      <c r="N22" s="875"/>
      <c r="O22" s="876"/>
      <c r="P22" s="875"/>
      <c r="Q22" s="876"/>
      <c r="R22" s="876"/>
      <c r="S22" s="878">
        <f>'Inv By Tech Post Attain'!O146</f>
        <v>260000</v>
      </c>
      <c r="T22" s="121"/>
      <c r="U22" s="112"/>
      <c r="V22" s="154"/>
      <c r="W22" s="255"/>
      <c r="AA22" s="288"/>
      <c r="AB22" s="50"/>
      <c r="AC22" s="95"/>
    </row>
    <row r="23" spans="2:29" ht="15.75" thickBot="1">
      <c r="B23" s="857" t="s">
        <v>45</v>
      </c>
      <c r="C23" s="879">
        <f>'Inv By Tech Post Attain'!G153</f>
        <v>400000</v>
      </c>
      <c r="D23" s="879">
        <f>'Inv By Tech Post Attain'!G151</f>
        <v>570316</v>
      </c>
      <c r="E23" s="869">
        <f t="shared" si="10"/>
        <v>170316</v>
      </c>
      <c r="F23" s="870">
        <f t="shared" si="11"/>
        <v>0.42579</v>
      </c>
      <c r="G23" s="898"/>
      <c r="H23" s="899"/>
      <c r="I23" s="881"/>
      <c r="J23" s="881"/>
      <c r="K23" s="879">
        <f>'Inv By Tech Post Attain'!K153</f>
        <v>300000</v>
      </c>
      <c r="L23" s="879"/>
      <c r="M23" s="879"/>
      <c r="N23" s="880"/>
      <c r="O23" s="881"/>
      <c r="P23" s="880"/>
      <c r="Q23" s="881"/>
      <c r="R23" s="881"/>
      <c r="S23" s="883">
        <f>'Inv By Tech Post Attain'!O153</f>
        <v>300000</v>
      </c>
      <c r="T23" s="121"/>
      <c r="U23" s="112"/>
      <c r="V23" s="154"/>
      <c r="W23" s="255"/>
      <c r="AA23" s="288"/>
      <c r="AB23" s="50"/>
      <c r="AC23" s="95"/>
    </row>
    <row r="24" spans="2:29" ht="15.75" thickBot="1">
      <c r="B24" s="859" t="s">
        <v>733</v>
      </c>
      <c r="C24" s="900">
        <f>SUM(C3:C23)</f>
        <v>23680000</v>
      </c>
      <c r="D24" s="900">
        <f>SUM(D3:D23)</f>
        <v>25313112.11255984</v>
      </c>
      <c r="E24" s="900">
        <f t="shared" si="5"/>
        <v>1633112.1125598401</v>
      </c>
      <c r="F24" s="901">
        <f t="shared" si="0"/>
        <v>6.8965883131750005E-2</v>
      </c>
      <c r="G24" s="902"/>
      <c r="H24" s="903">
        <f>SUM(H3:H21)</f>
        <v>0</v>
      </c>
      <c r="I24" s="902"/>
      <c r="J24" s="902" t="s">
        <v>733</v>
      </c>
      <c r="K24" s="900">
        <f>SUM(K3:K23)</f>
        <v>17034000</v>
      </c>
      <c r="L24" s="900">
        <f>SUM(L3:L21)</f>
        <v>19618844.655611165</v>
      </c>
      <c r="M24" s="900">
        <f t="shared" si="6"/>
        <v>2584844.6556111649</v>
      </c>
      <c r="N24" s="901">
        <f t="shared" si="1"/>
        <v>0.15174619323771074</v>
      </c>
      <c r="O24" s="902"/>
      <c r="P24" s="901">
        <f>'Inv By Tech Post Attain'!R159</f>
        <v>0.19281911987700462</v>
      </c>
      <c r="Q24" s="902"/>
      <c r="R24" s="902" t="s">
        <v>733</v>
      </c>
      <c r="S24" s="904">
        <f>SUM(S3:S23)</f>
        <v>17735000</v>
      </c>
      <c r="T24" s="250">
        <f>SUM(T3:T21)</f>
        <v>15297966.830810124</v>
      </c>
      <c r="U24" s="250">
        <f t="shared" si="7"/>
        <v>-2437033.1691898759</v>
      </c>
      <c r="V24" s="256">
        <f t="shared" si="2"/>
        <v>-0.13741376764532709</v>
      </c>
      <c r="W24" s="257"/>
      <c r="X24" s="56">
        <f>SUM(X3:X21)</f>
        <v>1050000</v>
      </c>
      <c r="AA24" s="290">
        <v>14401880</v>
      </c>
      <c r="AB24" s="50">
        <f t="shared" si="3"/>
        <v>896086.83081012405</v>
      </c>
      <c r="AC24" s="95">
        <f t="shared" si="4"/>
        <v>6.2220128956089346E-2</v>
      </c>
    </row>
    <row r="25" spans="2:29">
      <c r="C25" s="394"/>
      <c r="D25" s="270">
        <f>D24/180</f>
        <v>140628.40062533243</v>
      </c>
      <c r="G25" s="195" t="s">
        <v>734</v>
      </c>
      <c r="H25" s="273">
        <f>H24-C24</f>
        <v>-23680000</v>
      </c>
    </row>
    <row r="26" spans="2:29">
      <c r="B26" t="s">
        <v>735</v>
      </c>
      <c r="C26" s="851">
        <f>C24/183</f>
        <v>129398.90710382514</v>
      </c>
      <c r="D26" s="851">
        <f>D24/183</f>
        <v>138323.01700852372</v>
      </c>
      <c r="E26" s="851"/>
      <c r="F26" s="851"/>
      <c r="G26" s="852" t="s">
        <v>736</v>
      </c>
      <c r="H26" s="853">
        <f>H24/180</f>
        <v>0</v>
      </c>
      <c r="I26" s="854"/>
      <c r="J26" s="851"/>
      <c r="K26" s="851">
        <f>K24/183</f>
        <v>93081.967213114753</v>
      </c>
      <c r="L26" s="851"/>
      <c r="M26" s="851"/>
      <c r="N26" s="851"/>
      <c r="O26" s="851"/>
      <c r="P26" s="851"/>
      <c r="Q26" s="854"/>
      <c r="R26" s="851"/>
      <c r="S26" s="851">
        <f>S24/183</f>
        <v>96912.56830601093</v>
      </c>
    </row>
    <row r="27" spans="2:29">
      <c r="B27">
        <v>2025</v>
      </c>
      <c r="C27" s="56">
        <v>113000</v>
      </c>
      <c r="D27" s="56"/>
      <c r="E27" s="56"/>
      <c r="F27" s="56"/>
      <c r="G27" s="56" t="s">
        <v>736</v>
      </c>
      <c r="H27" s="273">
        <f>H24/183</f>
        <v>0</v>
      </c>
      <c r="I27" s="850"/>
      <c r="J27" s="56"/>
      <c r="K27" s="56">
        <v>93000</v>
      </c>
      <c r="L27" s="56"/>
      <c r="M27" s="56"/>
      <c r="N27" s="56"/>
      <c r="O27" s="56"/>
      <c r="P27" s="56"/>
      <c r="Q27" s="850"/>
      <c r="R27" s="56"/>
      <c r="S27" s="56">
        <v>98000</v>
      </c>
      <c r="X27" s="56">
        <f>X24+T24</f>
        <v>16347966.830810124</v>
      </c>
    </row>
  </sheetData>
  <mergeCells count="3">
    <mergeCell ref="C1:F1"/>
    <mergeCell ref="K1:N1"/>
    <mergeCell ref="S1:V1"/>
  </mergeCells>
  <conditionalFormatting sqref="E3:E24">
    <cfRule type="cellIs" dxfId="257" priority="21" operator="lessThan">
      <formula>0</formula>
    </cfRule>
  </conditionalFormatting>
  <conditionalFormatting sqref="E3:F24">
    <cfRule type="cellIs" dxfId="256" priority="20" operator="greaterThan">
      <formula>0</formula>
    </cfRule>
  </conditionalFormatting>
  <conditionalFormatting sqref="M3:M24">
    <cfRule type="cellIs" dxfId="255" priority="8" operator="lessThan">
      <formula>0</formula>
    </cfRule>
  </conditionalFormatting>
  <conditionalFormatting sqref="M3:N24">
    <cfRule type="cellIs" dxfId="254" priority="7" operator="greaterThan">
      <formula>0</formula>
    </cfRule>
  </conditionalFormatting>
  <conditionalFormatting sqref="U3:U24">
    <cfRule type="cellIs" dxfId="253" priority="5" operator="lessThan">
      <formula>0</formula>
    </cfRule>
  </conditionalFormatting>
  <conditionalFormatting sqref="U3:V24">
    <cfRule type="cellIs" dxfId="252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A700-826F-4B3D-A146-B5B138B8DE97}">
  <dimension ref="A1:N164"/>
  <sheetViews>
    <sheetView zoomScale="60" zoomScaleNormal="60" workbookViewId="0">
      <selection activeCell="N1" sqref="A1:N1048576"/>
    </sheetView>
  </sheetViews>
  <sheetFormatPr defaultRowHeight="15"/>
  <cols>
    <col min="1" max="1" width="15.5703125" bestFit="1" customWidth="1"/>
    <col min="2" max="2" width="19.5703125" customWidth="1"/>
    <col min="3" max="4" width="15.5703125" customWidth="1"/>
    <col min="5" max="6" width="16.5703125" customWidth="1"/>
    <col min="7" max="7" width="16.42578125" customWidth="1"/>
    <col min="8" max="8" width="15.5703125" customWidth="1"/>
    <col min="9" max="9" width="18.42578125" bestFit="1" customWidth="1"/>
    <col min="10" max="11" width="15.5703125" bestFit="1" customWidth="1"/>
    <col min="12" max="12" width="16.5703125" bestFit="1" customWidth="1"/>
    <col min="13" max="13" width="18.5703125" customWidth="1"/>
    <col min="14" max="14" width="17.42578125" bestFit="1" customWidth="1"/>
  </cols>
  <sheetData>
    <row r="1" spans="1:14">
      <c r="A1" s="108"/>
      <c r="B1" s="200"/>
      <c r="C1" s="109" t="s">
        <v>68</v>
      </c>
      <c r="D1" s="109" t="s">
        <v>69</v>
      </c>
      <c r="E1" s="109" t="s">
        <v>70</v>
      </c>
      <c r="F1" s="109" t="s">
        <v>71</v>
      </c>
      <c r="G1" s="109" t="s">
        <v>72</v>
      </c>
      <c r="H1" s="109" t="s">
        <v>73</v>
      </c>
      <c r="I1" s="109" t="s">
        <v>74</v>
      </c>
      <c r="J1" s="109" t="s">
        <v>75</v>
      </c>
      <c r="K1" s="109" t="s">
        <v>76</v>
      </c>
      <c r="L1" s="109" t="s">
        <v>77</v>
      </c>
      <c r="M1" s="109" t="s">
        <v>78</v>
      </c>
      <c r="N1" s="110" t="s">
        <v>79</v>
      </c>
    </row>
    <row r="2" spans="1:14">
      <c r="A2" s="405" t="s">
        <v>23</v>
      </c>
      <c r="B2" t="s">
        <v>196</v>
      </c>
      <c r="C2" s="112">
        <v>1856750</v>
      </c>
      <c r="D2" s="112">
        <v>2250264</v>
      </c>
      <c r="E2" s="112">
        <v>2712666</v>
      </c>
      <c r="F2" s="427">
        <v>2222052</v>
      </c>
      <c r="G2" s="112">
        <v>2527568</v>
      </c>
      <c r="H2" s="112">
        <v>2383191</v>
      </c>
      <c r="I2" s="112">
        <v>2327568</v>
      </c>
      <c r="J2" s="112">
        <v>2490407</v>
      </c>
      <c r="K2" s="112">
        <v>1566482</v>
      </c>
      <c r="L2" s="112">
        <v>1454248</v>
      </c>
      <c r="M2" s="112">
        <v>1215971</v>
      </c>
      <c r="N2" s="112">
        <v>1215971</v>
      </c>
    </row>
    <row r="3" spans="1:14">
      <c r="A3" s="111"/>
      <c r="B3" t="s">
        <v>12</v>
      </c>
      <c r="C3" s="112">
        <v>1669361</v>
      </c>
      <c r="D3" s="112">
        <v>1614569</v>
      </c>
      <c r="E3" s="112">
        <v>2482303</v>
      </c>
      <c r="F3" s="112">
        <v>1819833</v>
      </c>
      <c r="G3" s="112">
        <v>2230705</v>
      </c>
      <c r="H3" s="112">
        <v>2510472</v>
      </c>
      <c r="I3" s="112">
        <v>2246076</v>
      </c>
      <c r="J3" s="112">
        <v>2168784</v>
      </c>
      <c r="K3" s="112">
        <v>1699172</v>
      </c>
      <c r="L3" s="112">
        <v>1801385</v>
      </c>
      <c r="M3" s="112">
        <v>1982968</v>
      </c>
      <c r="N3" s="112">
        <v>1623619</v>
      </c>
    </row>
    <row r="4" spans="1:14" ht="19.5" thickBot="1">
      <c r="A4" s="148" t="s">
        <v>754</v>
      </c>
      <c r="B4" s="149">
        <v>2642489</v>
      </c>
      <c r="C4" s="1004">
        <v>2807066</v>
      </c>
      <c r="D4" s="150">
        <v>3442761</v>
      </c>
      <c r="E4" s="150">
        <v>3673124</v>
      </c>
      <c r="F4" s="150">
        <v>4075343</v>
      </c>
      <c r="G4" s="150">
        <v>4372206</v>
      </c>
      <c r="H4" s="150">
        <v>4244925</v>
      </c>
      <c r="I4" s="150">
        <v>4326418</v>
      </c>
      <c r="J4" s="150">
        <v>4648040</v>
      </c>
      <c r="K4" s="150">
        <v>4515350</v>
      </c>
      <c r="L4" s="150">
        <v>4168214</v>
      </c>
      <c r="M4" s="150">
        <v>3401216</v>
      </c>
      <c r="N4" s="151">
        <v>2993567</v>
      </c>
    </row>
    <row r="5" spans="1:14">
      <c r="B5" t="s">
        <v>756</v>
      </c>
      <c r="C5" s="190">
        <v>41.1</v>
      </c>
      <c r="D5" s="190">
        <v>48</v>
      </c>
      <c r="E5" s="190">
        <v>54.4</v>
      </c>
      <c r="F5" s="190">
        <v>51.6</v>
      </c>
      <c r="G5" s="190">
        <v>55.2</v>
      </c>
      <c r="H5" s="190">
        <v>57.7</v>
      </c>
      <c r="I5" s="190">
        <v>67.099999999999994</v>
      </c>
      <c r="J5" s="190">
        <v>82.1</v>
      </c>
      <c r="K5" s="190">
        <v>71.599999999999994</v>
      </c>
      <c r="L5" s="190">
        <v>69.3</v>
      </c>
      <c r="M5" s="190">
        <v>62</v>
      </c>
      <c r="N5" s="190">
        <v>54.7</v>
      </c>
    </row>
    <row r="6" spans="1:14">
      <c r="B6" t="s">
        <v>758</v>
      </c>
      <c r="C6" s="112"/>
      <c r="D6" s="112"/>
      <c r="E6" s="112"/>
      <c r="F6" s="121">
        <v>4000000</v>
      </c>
      <c r="G6" s="112"/>
      <c r="H6" s="112"/>
      <c r="I6" s="112"/>
      <c r="J6" s="112">
        <v>3000000</v>
      </c>
      <c r="K6" s="112"/>
      <c r="L6" s="112"/>
      <c r="M6" s="112"/>
      <c r="N6" s="112">
        <v>2900000</v>
      </c>
    </row>
    <row r="7" spans="1:14" ht="15.75" thickBot="1">
      <c r="C7" s="112"/>
      <c r="D7" s="112"/>
      <c r="E7" s="112"/>
      <c r="F7" s="112">
        <v>75343</v>
      </c>
      <c r="G7" s="112"/>
      <c r="H7" s="112"/>
      <c r="I7" s="112"/>
      <c r="J7" s="112">
        <v>1648040</v>
      </c>
      <c r="K7" s="112"/>
      <c r="L7" s="112"/>
      <c r="M7" s="112"/>
      <c r="N7" s="112">
        <v>93567</v>
      </c>
    </row>
    <row r="8" spans="1:14">
      <c r="A8" s="404"/>
      <c r="B8" s="200"/>
      <c r="C8" s="201" t="s">
        <v>68</v>
      </c>
      <c r="D8" s="201" t="s">
        <v>69</v>
      </c>
      <c r="E8" s="201" t="s">
        <v>70</v>
      </c>
      <c r="F8" s="201" t="s">
        <v>71</v>
      </c>
      <c r="G8" s="201" t="s">
        <v>72</v>
      </c>
      <c r="H8" s="201" t="s">
        <v>73</v>
      </c>
      <c r="I8" s="201" t="s">
        <v>74</v>
      </c>
      <c r="J8" s="201" t="s">
        <v>75</v>
      </c>
      <c r="K8" s="201" t="s">
        <v>76</v>
      </c>
      <c r="L8" s="201" t="s">
        <v>77</v>
      </c>
      <c r="M8" s="201" t="s">
        <v>78</v>
      </c>
      <c r="N8" s="113" t="s">
        <v>79</v>
      </c>
    </row>
    <row r="9" spans="1:14">
      <c r="A9" s="405" t="s">
        <v>120</v>
      </c>
      <c r="B9" t="s">
        <v>196</v>
      </c>
      <c r="C9" s="112">
        <v>1909590</v>
      </c>
      <c r="D9" s="112">
        <v>2311466</v>
      </c>
      <c r="E9" s="112">
        <v>2966958</v>
      </c>
      <c r="F9" s="112">
        <v>2425703</v>
      </c>
      <c r="G9" s="112">
        <v>2295003</v>
      </c>
      <c r="H9" s="112">
        <v>2151602</v>
      </c>
      <c r="I9" s="112">
        <v>2220003</v>
      </c>
      <c r="J9" s="112">
        <v>2161075</v>
      </c>
      <c r="K9" s="112">
        <v>1458432</v>
      </c>
      <c r="L9" s="112">
        <v>1544434</v>
      </c>
      <c r="M9" s="112">
        <v>1106266</v>
      </c>
      <c r="N9" s="112">
        <v>1482266</v>
      </c>
    </row>
    <row r="10" spans="1:14">
      <c r="A10" s="111"/>
      <c r="B10" t="s">
        <v>12</v>
      </c>
      <c r="C10" s="112">
        <v>1614019</v>
      </c>
      <c r="D10" s="112">
        <v>1967626</v>
      </c>
      <c r="E10" s="112">
        <v>2351264</v>
      </c>
      <c r="F10" s="112">
        <v>2093153</v>
      </c>
      <c r="G10" s="112">
        <v>2175076</v>
      </c>
      <c r="H10" s="112">
        <v>2433034</v>
      </c>
      <c r="I10" s="112">
        <v>2060168</v>
      </c>
      <c r="J10" s="112">
        <v>2180935</v>
      </c>
      <c r="K10" s="112">
        <v>1865945</v>
      </c>
      <c r="L10" s="112">
        <v>1777616</v>
      </c>
      <c r="M10" s="112">
        <v>1694944</v>
      </c>
      <c r="N10" s="112">
        <v>1554694</v>
      </c>
    </row>
    <row r="11" spans="1:14" ht="19.5" thickBot="1">
      <c r="A11" s="148" t="s">
        <v>754</v>
      </c>
      <c r="B11" s="149">
        <v>2668245</v>
      </c>
      <c r="C11" s="1004">
        <v>2858774</v>
      </c>
      <c r="D11" s="150">
        <v>3202614</v>
      </c>
      <c r="E11" s="150">
        <v>3818308</v>
      </c>
      <c r="F11" s="150">
        <v>4150858</v>
      </c>
      <c r="G11" s="150">
        <v>4270786</v>
      </c>
      <c r="H11" s="150">
        <v>3989355</v>
      </c>
      <c r="I11" s="150">
        <v>4149190</v>
      </c>
      <c r="J11" s="150">
        <v>4129330</v>
      </c>
      <c r="K11" s="150">
        <v>3721817</v>
      </c>
      <c r="L11" s="150">
        <v>3488635</v>
      </c>
      <c r="M11" s="150">
        <v>2899957</v>
      </c>
      <c r="N11" s="151">
        <v>2827529</v>
      </c>
    </row>
    <row r="12" spans="1:14">
      <c r="B12" t="s">
        <v>756</v>
      </c>
      <c r="C12" s="112">
        <v>40</v>
      </c>
      <c r="D12" s="112">
        <v>43</v>
      </c>
      <c r="E12" s="112">
        <v>54</v>
      </c>
      <c r="F12" s="112">
        <v>54</v>
      </c>
      <c r="G12" s="112">
        <v>57</v>
      </c>
      <c r="H12" s="112">
        <v>56</v>
      </c>
      <c r="I12" s="112">
        <v>62</v>
      </c>
      <c r="J12" s="112">
        <v>68</v>
      </c>
      <c r="K12" s="112">
        <v>64</v>
      </c>
      <c r="L12" s="112">
        <v>64</v>
      </c>
      <c r="M12" s="112">
        <v>55</v>
      </c>
      <c r="N12" s="112">
        <v>47</v>
      </c>
    </row>
    <row r="13" spans="1:14">
      <c r="C13" s="112"/>
      <c r="D13" s="112"/>
      <c r="E13" s="112"/>
      <c r="F13" s="121">
        <v>4000000</v>
      </c>
      <c r="G13" s="112"/>
      <c r="H13" s="112"/>
      <c r="I13" s="112"/>
      <c r="J13" s="121">
        <v>3100000</v>
      </c>
      <c r="K13" s="112"/>
      <c r="L13" s="112"/>
      <c r="M13" s="112"/>
      <c r="N13" s="121">
        <v>2900000</v>
      </c>
    </row>
    <row r="14" spans="1:14" ht="15.75" thickBot="1">
      <c r="C14" s="94"/>
      <c r="D14" s="94"/>
      <c r="F14" s="112">
        <v>150858</v>
      </c>
      <c r="G14" s="56"/>
      <c r="J14" s="112">
        <v>1029330</v>
      </c>
      <c r="N14" s="112">
        <v>-72471</v>
      </c>
    </row>
    <row r="15" spans="1:14">
      <c r="A15" s="108"/>
      <c r="B15" s="200"/>
      <c r="C15" s="109" t="s">
        <v>68</v>
      </c>
      <c r="D15" s="109" t="s">
        <v>69</v>
      </c>
      <c r="E15" s="109" t="s">
        <v>70</v>
      </c>
      <c r="F15" s="109" t="s">
        <v>71</v>
      </c>
      <c r="G15" s="109" t="s">
        <v>72</v>
      </c>
      <c r="H15" s="109" t="s">
        <v>73</v>
      </c>
      <c r="I15" s="109" t="s">
        <v>74</v>
      </c>
      <c r="J15" s="109" t="s">
        <v>75</v>
      </c>
      <c r="K15" s="109" t="s">
        <v>76</v>
      </c>
      <c r="L15" s="109" t="s">
        <v>77</v>
      </c>
      <c r="M15" s="109" t="s">
        <v>78</v>
      </c>
      <c r="N15" s="110" t="s">
        <v>79</v>
      </c>
    </row>
    <row r="16" spans="1:14">
      <c r="A16" s="405" t="s">
        <v>41</v>
      </c>
      <c r="B16" t="s">
        <v>196</v>
      </c>
      <c r="C16" s="112">
        <v>787404</v>
      </c>
      <c r="D16" s="112">
        <v>986440</v>
      </c>
      <c r="E16" s="112">
        <v>1153248</v>
      </c>
      <c r="F16" s="112">
        <v>1195647</v>
      </c>
      <c r="G16" s="112">
        <v>1000719</v>
      </c>
      <c r="H16" s="112">
        <v>1000719</v>
      </c>
      <c r="I16" s="112">
        <v>1000719</v>
      </c>
      <c r="J16" s="112">
        <v>1107939</v>
      </c>
      <c r="K16" s="112">
        <v>718298</v>
      </c>
      <c r="L16" s="112">
        <v>750431</v>
      </c>
      <c r="M16" s="112">
        <v>643211</v>
      </c>
      <c r="N16" s="112">
        <v>678951</v>
      </c>
    </row>
    <row r="17" spans="1:14">
      <c r="A17" s="111"/>
      <c r="B17" t="s">
        <v>12</v>
      </c>
      <c r="C17" s="112">
        <v>676223</v>
      </c>
      <c r="D17" s="112">
        <v>868568</v>
      </c>
      <c r="E17" s="112">
        <v>967273</v>
      </c>
      <c r="F17" s="112">
        <v>984072</v>
      </c>
      <c r="G17" s="112">
        <v>1061148</v>
      </c>
      <c r="H17" s="112">
        <v>1186773</v>
      </c>
      <c r="I17" s="112">
        <v>969456</v>
      </c>
      <c r="J17" s="112">
        <v>871361</v>
      </c>
      <c r="K17" s="112">
        <v>876212</v>
      </c>
      <c r="L17" s="112">
        <v>842242</v>
      </c>
      <c r="M17" s="112">
        <v>734471</v>
      </c>
      <c r="N17" s="112">
        <v>569419</v>
      </c>
    </row>
    <row r="18" spans="1:14" ht="19.5" thickBot="1">
      <c r="A18" s="148" t="s">
        <v>754</v>
      </c>
      <c r="B18" s="972">
        <v>1678609</v>
      </c>
      <c r="C18" s="1004">
        <v>1781417</v>
      </c>
      <c r="D18" s="150">
        <v>1899290</v>
      </c>
      <c r="E18" s="150">
        <v>2085264</v>
      </c>
      <c r="F18" s="150">
        <v>2296839</v>
      </c>
      <c r="G18" s="150">
        <v>2236411</v>
      </c>
      <c r="H18" s="150">
        <v>2050357</v>
      </c>
      <c r="I18" s="150">
        <v>2081620</v>
      </c>
      <c r="J18" s="150">
        <v>2318198</v>
      </c>
      <c r="K18" s="150">
        <v>2160284</v>
      </c>
      <c r="L18" s="150">
        <v>2068473</v>
      </c>
      <c r="M18" s="150">
        <v>1977212</v>
      </c>
      <c r="N18" s="151">
        <v>2086745</v>
      </c>
    </row>
    <row r="19" spans="1:14">
      <c r="B19" t="s">
        <v>756</v>
      </c>
      <c r="C19" s="190">
        <v>58.2</v>
      </c>
      <c r="D19" s="190">
        <v>58.4</v>
      </c>
      <c r="E19" s="190">
        <v>61.2</v>
      </c>
      <c r="F19" s="190">
        <v>61.3</v>
      </c>
      <c r="G19" s="190">
        <v>62.2</v>
      </c>
      <c r="H19" s="190">
        <v>66.8</v>
      </c>
      <c r="I19" s="190">
        <v>71.5</v>
      </c>
      <c r="J19" s="190">
        <v>80.900000000000006</v>
      </c>
      <c r="K19" s="190">
        <v>82.2</v>
      </c>
      <c r="L19" s="190">
        <v>95.2</v>
      </c>
      <c r="M19" s="190">
        <v>95.2</v>
      </c>
      <c r="N19" s="190">
        <v>81</v>
      </c>
    </row>
    <row r="20" spans="1:14" ht="15.75" thickBot="1">
      <c r="C20" s="112"/>
      <c r="D20" s="112"/>
      <c r="E20" s="112"/>
      <c r="F20" s="248">
        <v>2500000</v>
      </c>
      <c r="G20" s="112"/>
      <c r="H20" s="112"/>
      <c r="I20" s="112"/>
      <c r="J20" s="56">
        <v>1900000</v>
      </c>
      <c r="K20" s="191"/>
      <c r="L20" s="191"/>
      <c r="M20" s="191"/>
      <c r="N20" s="248">
        <v>2000000</v>
      </c>
    </row>
    <row r="21" spans="1:14" ht="15.75" thickBot="1">
      <c r="C21" s="112"/>
      <c r="D21" s="112"/>
      <c r="E21" s="112"/>
      <c r="F21" s="112">
        <v>-203161</v>
      </c>
      <c r="G21" s="112"/>
      <c r="H21" s="112"/>
      <c r="I21" s="112"/>
      <c r="J21" s="112">
        <v>418198</v>
      </c>
      <c r="K21" s="112"/>
      <c r="L21" s="112"/>
      <c r="M21" s="112"/>
      <c r="N21" s="112">
        <v>86745</v>
      </c>
    </row>
    <row r="22" spans="1:14">
      <c r="A22" s="108"/>
      <c r="B22" s="200"/>
      <c r="C22" s="109" t="s">
        <v>68</v>
      </c>
      <c r="D22" s="109" t="s">
        <v>69</v>
      </c>
      <c r="E22" s="109" t="s">
        <v>70</v>
      </c>
      <c r="F22" s="109" t="s">
        <v>71</v>
      </c>
      <c r="G22" s="109" t="s">
        <v>72</v>
      </c>
      <c r="H22" s="109" t="s">
        <v>73</v>
      </c>
      <c r="I22" s="109" t="s">
        <v>74</v>
      </c>
      <c r="J22" s="109" t="s">
        <v>75</v>
      </c>
      <c r="K22" s="109" t="s">
        <v>76</v>
      </c>
      <c r="L22" s="109" t="s">
        <v>77</v>
      </c>
      <c r="M22" s="109" t="s">
        <v>78</v>
      </c>
      <c r="N22" s="110" t="s">
        <v>79</v>
      </c>
    </row>
    <row r="23" spans="1:14">
      <c r="A23" s="405" t="s">
        <v>156</v>
      </c>
      <c r="B23" t="s">
        <v>196</v>
      </c>
      <c r="C23" s="112">
        <v>543661</v>
      </c>
      <c r="D23" s="112">
        <v>709219</v>
      </c>
      <c r="E23" s="112">
        <v>916848</v>
      </c>
      <c r="F23" s="112">
        <v>942528</v>
      </c>
      <c r="G23" s="112">
        <v>821750</v>
      </c>
      <c r="H23" s="112">
        <v>694925</v>
      </c>
      <c r="I23" s="112">
        <v>711075</v>
      </c>
      <c r="J23" s="112">
        <v>676875</v>
      </c>
      <c r="K23" s="112">
        <v>568575</v>
      </c>
      <c r="L23" s="112">
        <v>140000</v>
      </c>
      <c r="M23" s="112">
        <v>100000</v>
      </c>
      <c r="N23" s="112" t="s">
        <v>1348</v>
      </c>
    </row>
    <row r="24" spans="1:14">
      <c r="A24" s="111"/>
      <c r="B24" t="s">
        <v>12</v>
      </c>
      <c r="C24" s="112">
        <v>344315</v>
      </c>
      <c r="D24" s="112">
        <v>407943</v>
      </c>
      <c r="E24" s="112">
        <v>680865</v>
      </c>
      <c r="F24" s="112">
        <v>688698</v>
      </c>
      <c r="G24" s="112">
        <v>811388</v>
      </c>
      <c r="H24" s="112">
        <v>719338</v>
      </c>
      <c r="I24" s="112">
        <v>571690</v>
      </c>
      <c r="J24" s="112">
        <v>551259</v>
      </c>
      <c r="K24" s="112">
        <v>473279</v>
      </c>
      <c r="L24" s="112">
        <v>418463</v>
      </c>
      <c r="M24" s="112">
        <v>363914</v>
      </c>
      <c r="N24" s="112">
        <v>335799</v>
      </c>
    </row>
    <row r="25" spans="1:14" ht="19.5" thickBot="1">
      <c r="A25" s="148" t="s">
        <v>754</v>
      </c>
      <c r="B25" s="149">
        <v>1422614</v>
      </c>
      <c r="C25" s="1004">
        <v>1521572</v>
      </c>
      <c r="D25" s="150">
        <v>1822848</v>
      </c>
      <c r="E25" s="150">
        <v>2058831</v>
      </c>
      <c r="F25" s="150">
        <v>2312661</v>
      </c>
      <c r="G25" s="150">
        <v>2323023</v>
      </c>
      <c r="H25" s="150">
        <v>2298609</v>
      </c>
      <c r="I25" s="150">
        <v>2437995</v>
      </c>
      <c r="J25" s="150">
        <v>2563610</v>
      </c>
      <c r="K25" s="150">
        <v>2658907</v>
      </c>
      <c r="L25" s="150">
        <v>2380444</v>
      </c>
      <c r="M25" s="150">
        <v>2116530</v>
      </c>
      <c r="N25" s="151">
        <v>1780731</v>
      </c>
    </row>
    <row r="26" spans="1:14" ht="15.75" thickBot="1">
      <c r="B26" t="s">
        <v>756</v>
      </c>
      <c r="C26" s="190">
        <v>83.8</v>
      </c>
      <c r="D26" s="190">
        <v>79.900000000000006</v>
      </c>
      <c r="E26" s="190">
        <v>82.3</v>
      </c>
      <c r="F26" s="190">
        <v>90.6</v>
      </c>
      <c r="G26" s="190">
        <v>108</v>
      </c>
      <c r="H26" s="190">
        <v>122.8</v>
      </c>
      <c r="I26" s="190">
        <v>142.80000000000001</v>
      </c>
      <c r="J26" s="190">
        <v>172.5</v>
      </c>
      <c r="K26" s="190">
        <v>203.9</v>
      </c>
      <c r="L26" s="190">
        <v>204.1</v>
      </c>
      <c r="M26" s="190">
        <v>186.7</v>
      </c>
      <c r="N26" s="190">
        <v>142</v>
      </c>
    </row>
    <row r="27" spans="1:14" ht="15.75" thickBot="1">
      <c r="B27" t="s">
        <v>719</v>
      </c>
      <c r="D27" s="112"/>
      <c r="F27" s="248">
        <v>2500000</v>
      </c>
      <c r="H27" s="125"/>
      <c r="J27" s="56">
        <v>1200000</v>
      </c>
      <c r="K27" s="246"/>
      <c r="L27" s="246"/>
      <c r="M27" s="246"/>
      <c r="N27" s="247">
        <v>1500000</v>
      </c>
    </row>
    <row r="28" spans="1:14">
      <c r="C28" s="112"/>
      <c r="D28" s="112"/>
      <c r="E28" s="112"/>
      <c r="F28" s="112">
        <v>-187339</v>
      </c>
      <c r="G28" s="112"/>
      <c r="H28" s="112"/>
      <c r="I28" s="112"/>
      <c r="J28" s="112">
        <v>1363610</v>
      </c>
      <c r="K28" s="112"/>
      <c r="L28" s="112"/>
      <c r="M28" s="112"/>
      <c r="N28" s="112">
        <v>280731</v>
      </c>
    </row>
    <row r="29" spans="1:14"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</row>
    <row r="30" spans="1:14" ht="15.75" thickBot="1"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</row>
    <row r="31" spans="1:14">
      <c r="A31" s="108"/>
      <c r="B31" s="200"/>
      <c r="C31" s="109" t="s">
        <v>68</v>
      </c>
      <c r="D31" s="109" t="s">
        <v>69</v>
      </c>
      <c r="E31" s="109" t="s">
        <v>70</v>
      </c>
      <c r="F31" s="109" t="s">
        <v>71</v>
      </c>
      <c r="G31" s="109" t="s">
        <v>72</v>
      </c>
      <c r="H31" s="109" t="s">
        <v>73</v>
      </c>
      <c r="I31" s="109" t="s">
        <v>74</v>
      </c>
      <c r="J31" s="109" t="s">
        <v>75</v>
      </c>
      <c r="K31" s="109" t="s">
        <v>76</v>
      </c>
      <c r="L31" s="109" t="s">
        <v>77</v>
      </c>
      <c r="M31" s="109" t="s">
        <v>78</v>
      </c>
      <c r="N31" s="110" t="s">
        <v>79</v>
      </c>
    </row>
    <row r="32" spans="1:14">
      <c r="A32" s="405" t="s">
        <v>44</v>
      </c>
      <c r="B32" t="s">
        <v>196</v>
      </c>
      <c r="C32" s="112">
        <v>790485</v>
      </c>
      <c r="D32" s="112">
        <v>882444</v>
      </c>
      <c r="E32" s="112">
        <v>1138401</v>
      </c>
      <c r="F32" s="112">
        <v>839981</v>
      </c>
      <c r="G32" s="112">
        <v>786157</v>
      </c>
      <c r="H32" s="112">
        <v>657364</v>
      </c>
      <c r="I32" s="112">
        <v>723695</v>
      </c>
      <c r="J32" s="112">
        <v>930289</v>
      </c>
      <c r="K32" s="112">
        <v>991625</v>
      </c>
      <c r="L32" s="112">
        <v>868777</v>
      </c>
      <c r="M32" s="112">
        <v>786246</v>
      </c>
      <c r="N32" s="112" t="s">
        <v>1348</v>
      </c>
    </row>
    <row r="33" spans="1:14">
      <c r="A33" s="111"/>
      <c r="B33" t="s">
        <v>12</v>
      </c>
      <c r="C33" s="112">
        <v>600413</v>
      </c>
      <c r="D33" s="112">
        <v>611960</v>
      </c>
      <c r="E33" s="112">
        <v>825978</v>
      </c>
      <c r="F33" s="121">
        <v>738771</v>
      </c>
      <c r="G33" s="121">
        <v>854277</v>
      </c>
      <c r="H33" s="121">
        <v>993928</v>
      </c>
      <c r="I33" s="121">
        <v>976790</v>
      </c>
      <c r="J33" s="121">
        <v>950921</v>
      </c>
      <c r="K33" s="121">
        <v>743078</v>
      </c>
      <c r="L33" s="121">
        <v>649888</v>
      </c>
      <c r="M33" s="121">
        <v>628232</v>
      </c>
      <c r="N33" s="121">
        <v>518016</v>
      </c>
    </row>
    <row r="34" spans="1:14" ht="19.5" thickBot="1">
      <c r="A34" s="148" t="s">
        <v>754</v>
      </c>
      <c r="B34" s="972">
        <v>1939295</v>
      </c>
      <c r="C34" s="1004">
        <v>1960177</v>
      </c>
      <c r="D34" s="150">
        <v>2230661</v>
      </c>
      <c r="E34" s="150">
        <v>2543084</v>
      </c>
      <c r="F34" s="150">
        <v>2644294</v>
      </c>
      <c r="G34" s="150">
        <v>2576173</v>
      </c>
      <c r="H34" s="150">
        <v>2239609</v>
      </c>
      <c r="I34" s="150">
        <v>1986515</v>
      </c>
      <c r="J34" s="150">
        <v>1965883</v>
      </c>
      <c r="K34" s="150">
        <v>2214430</v>
      </c>
      <c r="L34" s="150">
        <v>2433319</v>
      </c>
      <c r="M34" s="150">
        <v>2591334</v>
      </c>
      <c r="N34" s="151">
        <v>2073318</v>
      </c>
    </row>
    <row r="35" spans="1:14" ht="15.75" thickBot="1">
      <c r="B35" t="s">
        <v>756</v>
      </c>
      <c r="C35" s="190">
        <v>81.8</v>
      </c>
      <c r="D35" s="190">
        <v>85.5</v>
      </c>
      <c r="E35" s="190">
        <v>95.8</v>
      </c>
      <c r="F35" s="190">
        <v>85.8</v>
      </c>
      <c r="G35" s="190">
        <v>78.400000000000006</v>
      </c>
      <c r="H35" s="190">
        <v>69.7</v>
      </c>
      <c r="I35" s="190">
        <v>70.400000000000006</v>
      </c>
      <c r="J35" s="190">
        <v>84.7</v>
      </c>
      <c r="K35" s="190">
        <v>104</v>
      </c>
      <c r="L35" s="190">
        <v>127.4</v>
      </c>
      <c r="M35" s="190">
        <v>139</v>
      </c>
      <c r="N35" s="190">
        <v>102.6</v>
      </c>
    </row>
    <row r="36" spans="1:14" ht="15.75" thickBot="1">
      <c r="B36" t="s">
        <v>719</v>
      </c>
      <c r="D36" s="112"/>
      <c r="F36" s="248">
        <v>2300000</v>
      </c>
      <c r="H36" s="125"/>
      <c r="J36" s="56">
        <v>1800000</v>
      </c>
      <c r="K36" s="246"/>
      <c r="L36" s="246"/>
      <c r="M36" s="246"/>
      <c r="N36" s="247">
        <v>1500000</v>
      </c>
    </row>
    <row r="37" spans="1:14">
      <c r="C37" s="112"/>
      <c r="D37" s="112"/>
      <c r="E37" s="112"/>
      <c r="F37" s="112">
        <v>344294</v>
      </c>
      <c r="G37" s="112"/>
      <c r="H37" s="112"/>
      <c r="I37" s="112"/>
      <c r="J37" s="112">
        <v>165883</v>
      </c>
      <c r="K37" s="112"/>
      <c r="L37" s="112"/>
      <c r="M37" s="112"/>
      <c r="N37" s="112">
        <v>573318</v>
      </c>
    </row>
    <row r="38" spans="1:14"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15.75" thickBot="1"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>
      <c r="A41" s="108"/>
      <c r="B41" s="200"/>
      <c r="C41" s="109" t="s">
        <v>68</v>
      </c>
      <c r="D41" s="109" t="s">
        <v>69</v>
      </c>
      <c r="E41" s="109" t="s">
        <v>70</v>
      </c>
      <c r="F41" s="109" t="s">
        <v>71</v>
      </c>
      <c r="G41" s="109" t="s">
        <v>72</v>
      </c>
      <c r="H41" s="109" t="s">
        <v>73</v>
      </c>
      <c r="I41" s="109" t="s">
        <v>74</v>
      </c>
      <c r="J41" s="109" t="s">
        <v>75</v>
      </c>
      <c r="K41" s="109" t="s">
        <v>76</v>
      </c>
      <c r="L41" s="109" t="s">
        <v>77</v>
      </c>
      <c r="M41" s="109" t="s">
        <v>78</v>
      </c>
      <c r="N41" s="110" t="s">
        <v>79</v>
      </c>
    </row>
    <row r="42" spans="1:14">
      <c r="A42" s="405" t="s">
        <v>39</v>
      </c>
      <c r="B42" t="s">
        <v>196</v>
      </c>
      <c r="C42" s="112">
        <v>498856</v>
      </c>
      <c r="D42" s="112">
        <v>555699</v>
      </c>
      <c r="E42" s="112">
        <v>962381</v>
      </c>
      <c r="F42" s="112">
        <v>267330</v>
      </c>
      <c r="G42" s="112">
        <v>684767</v>
      </c>
      <c r="H42" s="112">
        <v>620004</v>
      </c>
      <c r="I42" s="112">
        <v>753642</v>
      </c>
      <c r="J42" s="112">
        <v>750480</v>
      </c>
      <c r="K42" s="112">
        <v>712792</v>
      </c>
      <c r="L42" s="112">
        <v>769168</v>
      </c>
      <c r="M42" s="112">
        <v>239400</v>
      </c>
      <c r="N42" s="112" t="s">
        <v>1348</v>
      </c>
    </row>
    <row r="43" spans="1:14">
      <c r="A43" s="111"/>
      <c r="B43" t="s">
        <v>12</v>
      </c>
      <c r="C43" s="112">
        <v>410926</v>
      </c>
      <c r="D43" s="112">
        <v>400495</v>
      </c>
      <c r="E43" s="112">
        <v>545037</v>
      </c>
      <c r="F43" s="112">
        <v>657519</v>
      </c>
      <c r="G43" s="112">
        <v>793879</v>
      </c>
      <c r="H43" s="112">
        <v>890345</v>
      </c>
      <c r="I43" s="112">
        <v>767997</v>
      </c>
      <c r="J43" s="112">
        <v>582893</v>
      </c>
      <c r="K43" s="112">
        <v>455454</v>
      </c>
      <c r="L43" s="112">
        <v>367596</v>
      </c>
      <c r="M43" s="112">
        <v>389008</v>
      </c>
      <c r="N43" s="112">
        <v>399460</v>
      </c>
    </row>
    <row r="44" spans="1:14" ht="19.5" thickBot="1">
      <c r="A44" s="148" t="s">
        <v>754</v>
      </c>
      <c r="B44" s="972">
        <v>1441288</v>
      </c>
      <c r="C44" s="1004">
        <v>1519052</v>
      </c>
      <c r="D44" s="150">
        <v>1674256</v>
      </c>
      <c r="E44" s="150">
        <v>2091601</v>
      </c>
      <c r="F44" s="150">
        <v>1701411</v>
      </c>
      <c r="G44" s="150">
        <v>1592299</v>
      </c>
      <c r="H44" s="150">
        <v>1321957</v>
      </c>
      <c r="I44" s="150">
        <v>1307602</v>
      </c>
      <c r="J44" s="150">
        <v>1475189</v>
      </c>
      <c r="K44" s="150">
        <v>1732527</v>
      </c>
      <c r="L44" s="150">
        <v>2134099</v>
      </c>
      <c r="M44" s="150">
        <v>1984491</v>
      </c>
      <c r="N44" s="151">
        <v>1585031</v>
      </c>
    </row>
    <row r="45" spans="1:14">
      <c r="B45" t="s">
        <v>756</v>
      </c>
      <c r="C45" s="190">
        <v>96.4</v>
      </c>
      <c r="D45" s="190">
        <v>83.5</v>
      </c>
      <c r="E45" s="190">
        <v>86.5</v>
      </c>
      <c r="F45" s="190">
        <v>60.6</v>
      </c>
      <c r="G45" s="190">
        <v>57.6</v>
      </c>
      <c r="H45" s="190">
        <v>58.7</v>
      </c>
      <c r="I45" s="190">
        <v>75.599999999999994</v>
      </c>
      <c r="J45" s="190">
        <v>107.5</v>
      </c>
      <c r="K45" s="190">
        <v>137.4</v>
      </c>
      <c r="L45" s="190">
        <v>162.4</v>
      </c>
      <c r="M45" s="190">
        <v>146.9</v>
      </c>
      <c r="N45" s="190">
        <v>117.2</v>
      </c>
    </row>
    <row r="46" spans="1:14">
      <c r="B46" t="s">
        <v>719</v>
      </c>
      <c r="C46" s="112"/>
      <c r="D46" s="112"/>
      <c r="E46" s="112"/>
      <c r="F46" s="248">
        <v>2000000</v>
      </c>
      <c r="G46" s="112"/>
      <c r="H46" s="112"/>
      <c r="I46" s="112"/>
      <c r="J46" s="248">
        <v>1000000</v>
      </c>
      <c r="K46" s="112"/>
      <c r="L46" s="112"/>
      <c r="M46" s="112"/>
      <c r="N46" s="248">
        <v>1300000</v>
      </c>
    </row>
    <row r="47" spans="1:14" ht="15.75" thickBot="1">
      <c r="C47" s="112"/>
      <c r="D47" s="112"/>
      <c r="E47" s="112"/>
      <c r="F47" s="112">
        <v>-298589</v>
      </c>
      <c r="G47" s="112"/>
      <c r="H47" s="112"/>
      <c r="I47" s="112"/>
      <c r="J47" s="112">
        <v>475189</v>
      </c>
      <c r="K47" s="112"/>
      <c r="L47" s="112"/>
      <c r="M47" s="112"/>
      <c r="N47" s="112">
        <v>285031</v>
      </c>
    </row>
    <row r="48" spans="1:14">
      <c r="A48" s="108"/>
      <c r="B48" s="200"/>
      <c r="C48" s="109" t="s">
        <v>68</v>
      </c>
      <c r="D48" s="109" t="s">
        <v>69</v>
      </c>
      <c r="E48" s="109" t="s">
        <v>70</v>
      </c>
      <c r="F48" s="109" t="s">
        <v>71</v>
      </c>
      <c r="G48" s="109" t="s">
        <v>72</v>
      </c>
      <c r="H48" s="109" t="s">
        <v>73</v>
      </c>
      <c r="I48" s="109" t="s">
        <v>74</v>
      </c>
      <c r="J48" s="109" t="s">
        <v>75</v>
      </c>
      <c r="K48" s="109" t="s">
        <v>76</v>
      </c>
      <c r="L48" s="109" t="s">
        <v>77</v>
      </c>
      <c r="M48" s="109" t="s">
        <v>78</v>
      </c>
      <c r="N48" s="110" t="s">
        <v>79</v>
      </c>
    </row>
    <row r="49" spans="1:14">
      <c r="A49" s="405" t="s">
        <v>36</v>
      </c>
      <c r="B49" t="s">
        <v>196</v>
      </c>
      <c r="C49" s="112">
        <v>203368</v>
      </c>
      <c r="D49" s="112">
        <v>262805</v>
      </c>
      <c r="E49" s="112">
        <v>399629</v>
      </c>
      <c r="F49" s="112">
        <v>347213</v>
      </c>
      <c r="G49" s="112">
        <v>395485</v>
      </c>
      <c r="H49" s="112">
        <v>343900</v>
      </c>
      <c r="I49" s="112">
        <v>326658</v>
      </c>
      <c r="J49" s="112">
        <v>312455</v>
      </c>
      <c r="K49" s="112">
        <v>238578</v>
      </c>
      <c r="L49" s="112">
        <v>246558</v>
      </c>
      <c r="M49" s="112" t="s">
        <v>1348</v>
      </c>
      <c r="N49" s="112" t="s">
        <v>1348</v>
      </c>
    </row>
    <row r="50" spans="1:14">
      <c r="A50" s="111"/>
      <c r="B50" t="s">
        <v>12</v>
      </c>
      <c r="C50" s="112">
        <v>150897</v>
      </c>
      <c r="D50" s="112">
        <v>166650</v>
      </c>
      <c r="E50" s="112">
        <v>217741</v>
      </c>
      <c r="F50" s="112">
        <v>323787</v>
      </c>
      <c r="G50" s="112">
        <v>364504</v>
      </c>
      <c r="H50" s="112">
        <v>351943</v>
      </c>
      <c r="I50" s="112">
        <v>353262</v>
      </c>
      <c r="J50" s="112">
        <v>294955</v>
      </c>
      <c r="K50" s="112">
        <v>228194</v>
      </c>
      <c r="L50" s="112">
        <v>189820</v>
      </c>
      <c r="M50" s="112">
        <v>176696</v>
      </c>
      <c r="N50" s="112">
        <v>154946</v>
      </c>
    </row>
    <row r="51" spans="1:14" ht="19.5" thickBot="1">
      <c r="A51" s="148" t="s">
        <v>754</v>
      </c>
      <c r="B51" s="972">
        <v>394299</v>
      </c>
      <c r="C51" s="1004">
        <v>434030</v>
      </c>
      <c r="D51" s="150">
        <v>530184</v>
      </c>
      <c r="E51" s="150">
        <v>712072</v>
      </c>
      <c r="F51" s="150">
        <v>735498</v>
      </c>
      <c r="G51" s="150">
        <v>766478</v>
      </c>
      <c r="H51" s="150">
        <v>758436</v>
      </c>
      <c r="I51" s="150">
        <v>731831</v>
      </c>
      <c r="J51" s="150">
        <v>749331</v>
      </c>
      <c r="K51" s="150">
        <v>759714</v>
      </c>
      <c r="L51" s="150">
        <v>816452</v>
      </c>
      <c r="M51" s="150">
        <v>639756</v>
      </c>
      <c r="N51" s="151">
        <v>484810</v>
      </c>
    </row>
    <row r="52" spans="1:14">
      <c r="B52" t="s">
        <v>756</v>
      </c>
      <c r="C52" s="190">
        <v>67.7</v>
      </c>
      <c r="D52" s="190">
        <v>58.7</v>
      </c>
      <c r="E52" s="190">
        <v>62.1</v>
      </c>
      <c r="F52" s="190">
        <v>61.6</v>
      </c>
      <c r="G52" s="190">
        <v>65.2</v>
      </c>
      <c r="H52" s="190">
        <v>70.2</v>
      </c>
      <c r="I52" s="190">
        <v>83.9</v>
      </c>
      <c r="J52" s="190">
        <v>107.6</v>
      </c>
      <c r="K52" s="190">
        <v>124.4</v>
      </c>
      <c r="L52" s="190">
        <v>147.69999999999999</v>
      </c>
      <c r="M52" s="190">
        <v>125.5</v>
      </c>
      <c r="N52" s="190">
        <v>91.6</v>
      </c>
    </row>
    <row r="53" spans="1:14">
      <c r="B53" t="s">
        <v>719</v>
      </c>
      <c r="C53" s="112"/>
      <c r="D53" s="112"/>
      <c r="E53" s="112"/>
      <c r="F53" s="248">
        <v>900000</v>
      </c>
      <c r="G53" s="112"/>
      <c r="H53" s="112"/>
      <c r="I53" s="112"/>
      <c r="J53" s="248">
        <v>400000</v>
      </c>
      <c r="K53" s="112"/>
      <c r="L53" s="112"/>
      <c r="M53" s="112"/>
      <c r="N53" s="248">
        <v>600000</v>
      </c>
    </row>
    <row r="54" spans="1:14" ht="15.75" thickBot="1">
      <c r="C54" s="112"/>
      <c r="D54" s="112"/>
      <c r="E54" s="112"/>
      <c r="F54" s="112">
        <v>-164502</v>
      </c>
      <c r="G54" s="112"/>
      <c r="H54" s="112"/>
      <c r="I54" s="112"/>
      <c r="J54" s="112">
        <v>349331</v>
      </c>
      <c r="K54" s="112"/>
      <c r="L54" s="112"/>
      <c r="M54" s="112"/>
      <c r="N54" s="112">
        <v>-115190</v>
      </c>
    </row>
    <row r="55" spans="1:14">
      <c r="A55" s="108"/>
      <c r="B55" s="200"/>
      <c r="C55" s="109" t="s">
        <v>68</v>
      </c>
      <c r="D55" s="109" t="s">
        <v>69</v>
      </c>
      <c r="E55" s="109" t="s">
        <v>70</v>
      </c>
      <c r="F55" s="109" t="s">
        <v>71</v>
      </c>
      <c r="G55" s="109" t="s">
        <v>72</v>
      </c>
      <c r="H55" s="109" t="s">
        <v>73</v>
      </c>
      <c r="I55" s="109" t="s">
        <v>74</v>
      </c>
      <c r="J55" s="109" t="s">
        <v>75</v>
      </c>
      <c r="K55" s="109" t="s">
        <v>76</v>
      </c>
      <c r="L55" s="109" t="s">
        <v>77</v>
      </c>
      <c r="M55" s="109" t="s">
        <v>78</v>
      </c>
      <c r="N55" s="110" t="s">
        <v>79</v>
      </c>
    </row>
    <row r="56" spans="1:14">
      <c r="A56" s="405" t="s">
        <v>40</v>
      </c>
      <c r="B56" t="s">
        <v>196</v>
      </c>
      <c r="C56" s="112">
        <v>178252</v>
      </c>
      <c r="D56" s="112">
        <v>241925</v>
      </c>
      <c r="E56" s="112">
        <v>412368</v>
      </c>
      <c r="F56" s="112">
        <v>310080</v>
      </c>
      <c r="G56" s="112">
        <v>367718</v>
      </c>
      <c r="H56" s="112">
        <v>315187</v>
      </c>
      <c r="I56" s="112">
        <v>350208</v>
      </c>
      <c r="J56" s="112">
        <v>385229</v>
      </c>
      <c r="K56" s="112">
        <v>332698</v>
      </c>
      <c r="L56" s="112">
        <v>157594</v>
      </c>
      <c r="M56" s="112">
        <v>315187</v>
      </c>
      <c r="N56" s="112">
        <v>332698</v>
      </c>
    </row>
    <row r="57" spans="1:14">
      <c r="A57" s="111"/>
      <c r="B57" t="s">
        <v>12</v>
      </c>
      <c r="C57" s="112">
        <v>215139</v>
      </c>
      <c r="D57" s="112">
        <v>310641</v>
      </c>
      <c r="E57" s="112">
        <v>370367</v>
      </c>
      <c r="F57" s="112">
        <v>339343</v>
      </c>
      <c r="G57" s="112">
        <v>369032</v>
      </c>
      <c r="H57" s="112">
        <v>393685</v>
      </c>
      <c r="I57" s="112">
        <v>354933</v>
      </c>
      <c r="J57" s="112">
        <v>343050</v>
      </c>
      <c r="K57" s="112">
        <v>288553</v>
      </c>
      <c r="L57" s="112">
        <v>284878</v>
      </c>
      <c r="M57" s="112">
        <v>263414</v>
      </c>
      <c r="N57" s="112">
        <v>256132</v>
      </c>
    </row>
    <row r="58" spans="1:14" ht="19.5" thickBot="1">
      <c r="A58" s="148" t="s">
        <v>754</v>
      </c>
      <c r="B58" s="972">
        <v>877051</v>
      </c>
      <c r="C58" s="1005">
        <v>829091</v>
      </c>
      <c r="D58" s="150">
        <v>760374</v>
      </c>
      <c r="E58" s="150">
        <v>802375</v>
      </c>
      <c r="F58" s="150">
        <v>773113</v>
      </c>
      <c r="G58" s="150">
        <v>771799</v>
      </c>
      <c r="H58" s="150">
        <v>693301</v>
      </c>
      <c r="I58" s="150">
        <v>688576</v>
      </c>
      <c r="J58" s="150">
        <v>730755</v>
      </c>
      <c r="K58" s="150">
        <v>774899</v>
      </c>
      <c r="L58" s="150">
        <v>647614</v>
      </c>
      <c r="M58" s="150">
        <v>699387</v>
      </c>
      <c r="N58" s="151">
        <v>775953</v>
      </c>
    </row>
    <row r="59" spans="1:14">
      <c r="B59" t="s">
        <v>756</v>
      </c>
      <c r="C59" s="190">
        <v>73</v>
      </c>
      <c r="D59" s="190">
        <v>64.3</v>
      </c>
      <c r="E59" s="190">
        <v>68</v>
      </c>
      <c r="F59" s="190">
        <v>60.8</v>
      </c>
      <c r="G59" s="190">
        <v>61.9</v>
      </c>
      <c r="H59" s="190">
        <v>59.6</v>
      </c>
      <c r="I59" s="190">
        <v>65.400000000000006</v>
      </c>
      <c r="J59" s="190">
        <v>76.5</v>
      </c>
      <c r="K59" s="190">
        <v>84.8</v>
      </c>
      <c r="L59" s="190">
        <v>74.8</v>
      </c>
      <c r="M59" s="190">
        <v>89</v>
      </c>
      <c r="N59" s="190">
        <v>88.5</v>
      </c>
    </row>
    <row r="60" spans="1:14">
      <c r="B60" t="s">
        <v>719</v>
      </c>
      <c r="C60" s="94"/>
      <c r="D60" s="94"/>
      <c r="F60" s="248">
        <v>800000</v>
      </c>
      <c r="J60" s="248">
        <v>700000</v>
      </c>
      <c r="N60" s="248">
        <v>1000000</v>
      </c>
    </row>
    <row r="61" spans="1:14" ht="15.75" thickBot="1">
      <c r="C61" s="112"/>
      <c r="D61" s="112"/>
      <c r="E61" s="112"/>
      <c r="F61" s="112">
        <v>-26887</v>
      </c>
      <c r="G61" s="112"/>
      <c r="H61" s="112"/>
      <c r="I61" s="112"/>
      <c r="J61" s="112">
        <v>30755</v>
      </c>
      <c r="K61" s="112"/>
      <c r="L61" s="112"/>
      <c r="M61" s="112"/>
      <c r="N61" s="112">
        <v>-224047</v>
      </c>
    </row>
    <row r="62" spans="1:14">
      <c r="A62" s="108"/>
      <c r="B62" s="200"/>
      <c r="C62" s="109" t="s">
        <v>68</v>
      </c>
      <c r="D62" s="109" t="s">
        <v>69</v>
      </c>
      <c r="E62" s="109" t="s">
        <v>70</v>
      </c>
      <c r="F62" s="109" t="s">
        <v>71</v>
      </c>
      <c r="G62" s="109" t="s">
        <v>72</v>
      </c>
      <c r="H62" s="109" t="s">
        <v>73</v>
      </c>
      <c r="I62" s="109" t="s">
        <v>74</v>
      </c>
      <c r="J62" s="109" t="s">
        <v>75</v>
      </c>
      <c r="K62" s="109" t="s">
        <v>76</v>
      </c>
      <c r="L62" s="109" t="s">
        <v>77</v>
      </c>
      <c r="M62" s="109" t="s">
        <v>78</v>
      </c>
      <c r="N62" s="110" t="s">
        <v>79</v>
      </c>
    </row>
    <row r="63" spans="1:14">
      <c r="A63" s="405" t="s">
        <v>31</v>
      </c>
      <c r="B63" t="s">
        <v>196</v>
      </c>
      <c r="C63" s="329">
        <v>417960</v>
      </c>
      <c r="D63" s="329">
        <v>509441</v>
      </c>
      <c r="E63" s="329">
        <v>622003</v>
      </c>
      <c r="F63" s="329">
        <v>697496</v>
      </c>
      <c r="G63" s="329">
        <v>499235</v>
      </c>
      <c r="H63" s="329">
        <v>395580</v>
      </c>
      <c r="I63" s="329">
        <v>414105</v>
      </c>
      <c r="J63" s="329">
        <v>377312</v>
      </c>
      <c r="K63" s="329">
        <v>356022</v>
      </c>
      <c r="L63" s="329">
        <v>241893</v>
      </c>
      <c r="M63" s="329">
        <v>193883</v>
      </c>
      <c r="N63" s="329">
        <v>45000</v>
      </c>
    </row>
    <row r="64" spans="1:14">
      <c r="A64" s="111"/>
      <c r="B64" t="s">
        <v>12</v>
      </c>
      <c r="C64" s="112">
        <v>279531</v>
      </c>
      <c r="D64" s="112">
        <v>287535</v>
      </c>
      <c r="E64" s="112">
        <v>488894</v>
      </c>
      <c r="F64" s="112">
        <v>452602</v>
      </c>
      <c r="G64" s="112">
        <v>515749</v>
      </c>
      <c r="H64" s="112">
        <v>626523</v>
      </c>
      <c r="I64" s="112">
        <v>536044</v>
      </c>
      <c r="J64" s="112">
        <v>445021</v>
      </c>
      <c r="K64" s="112">
        <v>348501</v>
      </c>
      <c r="L64" s="112">
        <v>343724</v>
      </c>
      <c r="M64" s="112">
        <v>251722</v>
      </c>
      <c r="N64" s="112">
        <v>249172</v>
      </c>
    </row>
    <row r="65" spans="1:14" ht="19.5" thickBot="1">
      <c r="A65" s="148" t="s">
        <v>754</v>
      </c>
      <c r="B65" s="972">
        <v>768785</v>
      </c>
      <c r="C65" s="1005">
        <v>902238</v>
      </c>
      <c r="D65" s="150">
        <v>1124144</v>
      </c>
      <c r="E65" s="150">
        <v>1257254</v>
      </c>
      <c r="F65" s="150">
        <v>1502147</v>
      </c>
      <c r="G65" s="150">
        <v>1485633</v>
      </c>
      <c r="H65" s="150">
        <v>1254690</v>
      </c>
      <c r="I65" s="150">
        <v>1132751</v>
      </c>
      <c r="J65" s="150">
        <v>1065041</v>
      </c>
      <c r="K65" s="150">
        <v>1072562</v>
      </c>
      <c r="L65" s="150">
        <v>970731</v>
      </c>
      <c r="M65" s="150">
        <v>912892</v>
      </c>
      <c r="N65" s="151">
        <v>708720</v>
      </c>
    </row>
    <row r="66" spans="1:14">
      <c r="B66" t="s">
        <v>756</v>
      </c>
      <c r="C66" s="190">
        <v>69.7</v>
      </c>
      <c r="D66" s="190">
        <v>71.599999999999994</v>
      </c>
      <c r="E66" s="190">
        <v>77.900000000000006</v>
      </c>
      <c r="F66" s="190">
        <v>78.900000000000006</v>
      </c>
      <c r="G66" s="190">
        <v>76.7</v>
      </c>
      <c r="H66" s="190">
        <v>76.7</v>
      </c>
      <c r="I66" s="190">
        <v>85.6</v>
      </c>
      <c r="J66" s="190">
        <v>92.3</v>
      </c>
      <c r="K66" s="190">
        <v>108.1</v>
      </c>
      <c r="L66" s="190">
        <v>116.3</v>
      </c>
      <c r="M66" s="190">
        <v>103.6</v>
      </c>
      <c r="N66" s="190">
        <v>75</v>
      </c>
    </row>
    <row r="67" spans="1:14">
      <c r="B67" t="s">
        <v>719</v>
      </c>
      <c r="C67" s="112"/>
      <c r="D67" s="112"/>
      <c r="E67" s="112"/>
      <c r="F67" s="248">
        <v>1000000</v>
      </c>
      <c r="G67" s="112"/>
      <c r="H67" s="112"/>
      <c r="I67" s="112"/>
      <c r="J67" s="248">
        <v>700000</v>
      </c>
      <c r="K67" s="112"/>
      <c r="L67" s="112"/>
      <c r="M67" s="112"/>
      <c r="N67" s="248">
        <v>650000</v>
      </c>
    </row>
    <row r="68" spans="1:14" ht="15.75" thickBot="1">
      <c r="C68" s="112"/>
      <c r="D68" s="112"/>
      <c r="E68" s="112"/>
      <c r="F68" s="112">
        <v>502147</v>
      </c>
      <c r="G68" s="112"/>
      <c r="H68" s="112"/>
      <c r="I68" s="112"/>
      <c r="J68" s="112">
        <v>365041</v>
      </c>
      <c r="K68" s="112"/>
      <c r="L68" s="112"/>
      <c r="M68" s="112"/>
      <c r="N68" s="112">
        <v>58720</v>
      </c>
    </row>
    <row r="69" spans="1:14">
      <c r="A69" s="108"/>
      <c r="B69" s="200"/>
      <c r="C69" s="109" t="s">
        <v>68</v>
      </c>
      <c r="D69" s="109" t="s">
        <v>69</v>
      </c>
      <c r="E69" s="109" t="s">
        <v>70</v>
      </c>
      <c r="F69" s="109" t="s">
        <v>71</v>
      </c>
      <c r="G69" s="109" t="s">
        <v>72</v>
      </c>
      <c r="H69" s="109" t="s">
        <v>73</v>
      </c>
      <c r="I69" s="109" t="s">
        <v>74</v>
      </c>
      <c r="J69" s="109" t="s">
        <v>75</v>
      </c>
      <c r="K69" s="109" t="s">
        <v>76</v>
      </c>
      <c r="L69" s="109" t="s">
        <v>77</v>
      </c>
      <c r="M69" s="109" t="s">
        <v>78</v>
      </c>
      <c r="N69" s="110" t="s">
        <v>79</v>
      </c>
    </row>
    <row r="70" spans="1:14">
      <c r="A70" s="405" t="s">
        <v>32</v>
      </c>
      <c r="B70" t="s">
        <v>196</v>
      </c>
      <c r="C70" s="112" t="s">
        <v>1348</v>
      </c>
      <c r="D70" s="112" t="s">
        <v>1348</v>
      </c>
      <c r="E70" s="112" t="s">
        <v>1348</v>
      </c>
      <c r="F70" s="112">
        <v>80000</v>
      </c>
      <c r="G70" s="112">
        <v>80000</v>
      </c>
      <c r="H70" s="112">
        <v>80000</v>
      </c>
      <c r="I70" s="112">
        <v>80000</v>
      </c>
      <c r="J70" s="112">
        <v>60000</v>
      </c>
      <c r="K70" s="112">
        <v>20000</v>
      </c>
      <c r="L70" s="112">
        <v>20000</v>
      </c>
      <c r="M70" s="112">
        <v>40000</v>
      </c>
      <c r="N70" s="112">
        <v>20000</v>
      </c>
    </row>
    <row r="71" spans="1:14">
      <c r="A71" s="111"/>
      <c r="B71" t="s">
        <v>12</v>
      </c>
      <c r="C71" s="112">
        <v>22795</v>
      </c>
      <c r="D71" s="112">
        <v>35487</v>
      </c>
      <c r="E71" s="112">
        <v>47169</v>
      </c>
      <c r="F71" s="112">
        <v>47813</v>
      </c>
      <c r="G71" s="112">
        <v>63487</v>
      </c>
      <c r="H71" s="112">
        <v>74610</v>
      </c>
      <c r="I71" s="112">
        <v>57115</v>
      </c>
      <c r="J71" s="112">
        <v>65076</v>
      </c>
      <c r="K71" s="112">
        <v>49460</v>
      </c>
      <c r="L71" s="112">
        <v>37368</v>
      </c>
      <c r="M71" s="112">
        <v>37147</v>
      </c>
      <c r="N71" s="112">
        <v>31756</v>
      </c>
    </row>
    <row r="72" spans="1:14" ht="19.5" thickBot="1">
      <c r="A72" s="148" t="s">
        <v>754</v>
      </c>
      <c r="B72" s="972">
        <v>133088</v>
      </c>
      <c r="C72" s="1005">
        <v>110146</v>
      </c>
      <c r="D72" s="150">
        <v>74659</v>
      </c>
      <c r="E72" s="150">
        <v>27490</v>
      </c>
      <c r="F72" s="150">
        <v>59677</v>
      </c>
      <c r="G72" s="150">
        <v>76190</v>
      </c>
      <c r="H72" s="150">
        <v>81581</v>
      </c>
      <c r="I72" s="150">
        <v>104466</v>
      </c>
      <c r="J72" s="150">
        <v>99390</v>
      </c>
      <c r="K72" s="150">
        <v>69930</v>
      </c>
      <c r="L72" s="150">
        <v>52563</v>
      </c>
      <c r="M72" s="150">
        <v>55415</v>
      </c>
      <c r="N72" s="151">
        <v>43659</v>
      </c>
    </row>
    <row r="73" spans="1:14">
      <c r="B73" t="s">
        <v>756</v>
      </c>
      <c r="C73" s="190">
        <v>80</v>
      </c>
      <c r="D73" s="190">
        <v>47.2</v>
      </c>
      <c r="E73" s="190">
        <v>14.8</v>
      </c>
      <c r="F73" s="190">
        <v>25.9</v>
      </c>
      <c r="G73" s="190">
        <v>34.700000000000003</v>
      </c>
      <c r="H73" s="190">
        <v>40.1</v>
      </c>
      <c r="I73" s="190">
        <v>54.7</v>
      </c>
      <c r="J73" s="190">
        <v>68.7</v>
      </c>
      <c r="K73" s="190">
        <v>56.3</v>
      </c>
      <c r="L73" s="190">
        <v>45.8</v>
      </c>
      <c r="M73" s="190">
        <v>61</v>
      </c>
      <c r="N73" s="190">
        <v>44.9</v>
      </c>
    </row>
    <row r="74" spans="1:14">
      <c r="B74" t="s">
        <v>719</v>
      </c>
      <c r="F74" s="248">
        <v>100000</v>
      </c>
      <c r="G74" s="112"/>
      <c r="H74" s="112"/>
      <c r="I74" s="112"/>
      <c r="J74" s="248">
        <v>75000</v>
      </c>
      <c r="K74" s="112"/>
      <c r="L74" s="112"/>
      <c r="M74" s="112"/>
      <c r="N74" s="248">
        <v>75000</v>
      </c>
    </row>
    <row r="75" spans="1:14" ht="15.75" thickBot="1">
      <c r="C75" s="112"/>
      <c r="D75" s="112"/>
      <c r="E75" s="112"/>
      <c r="F75" s="112">
        <v>-40323</v>
      </c>
      <c r="G75" s="112"/>
      <c r="H75" s="112"/>
      <c r="I75" s="112"/>
      <c r="J75" s="112">
        <v>24390</v>
      </c>
      <c r="K75" s="112"/>
      <c r="L75" s="112"/>
      <c r="M75" s="112"/>
      <c r="N75" s="112">
        <v>-31341</v>
      </c>
    </row>
    <row r="76" spans="1:14">
      <c r="A76" s="108"/>
      <c r="B76" s="200"/>
      <c r="C76" s="109" t="s">
        <v>68</v>
      </c>
      <c r="D76" s="109" t="s">
        <v>69</v>
      </c>
      <c r="E76" s="109" t="s">
        <v>70</v>
      </c>
      <c r="F76" s="109" t="s">
        <v>71</v>
      </c>
      <c r="G76" s="109" t="s">
        <v>72</v>
      </c>
      <c r="H76" s="109" t="s">
        <v>73</v>
      </c>
      <c r="I76" s="109" t="s">
        <v>74</v>
      </c>
      <c r="J76" s="109" t="s">
        <v>75</v>
      </c>
      <c r="K76" s="109" t="s">
        <v>76</v>
      </c>
      <c r="L76" s="109" t="s">
        <v>77</v>
      </c>
      <c r="M76" s="109" t="s">
        <v>78</v>
      </c>
      <c r="N76" s="110" t="s">
        <v>79</v>
      </c>
    </row>
    <row r="77" spans="1:14">
      <c r="A77" s="405" t="s">
        <v>33</v>
      </c>
      <c r="B77" t="s">
        <v>196</v>
      </c>
      <c r="C77" s="112">
        <v>144534</v>
      </c>
      <c r="D77" s="112">
        <v>89817</v>
      </c>
      <c r="E77" s="112">
        <v>156708</v>
      </c>
      <c r="F77" s="112">
        <v>343425</v>
      </c>
      <c r="G77" s="112">
        <v>220475</v>
      </c>
      <c r="H77" s="121">
        <v>212708</v>
      </c>
      <c r="I77" s="112">
        <v>161878</v>
      </c>
      <c r="J77" s="112">
        <v>198574</v>
      </c>
      <c r="K77" s="112">
        <v>147750</v>
      </c>
      <c r="L77" s="112">
        <v>101056</v>
      </c>
      <c r="M77" s="112">
        <v>152030</v>
      </c>
      <c r="N77" s="112">
        <v>98700</v>
      </c>
    </row>
    <row r="78" spans="1:14">
      <c r="A78" s="111"/>
      <c r="B78" t="s">
        <v>12</v>
      </c>
      <c r="C78" s="112">
        <v>106496</v>
      </c>
      <c r="D78" s="112">
        <v>105519</v>
      </c>
      <c r="E78" s="112">
        <v>155324</v>
      </c>
      <c r="F78" s="112">
        <v>148898</v>
      </c>
      <c r="G78" s="112">
        <v>184176</v>
      </c>
      <c r="H78" s="112">
        <v>206309</v>
      </c>
      <c r="I78" s="112">
        <v>184462</v>
      </c>
      <c r="J78" s="112">
        <v>162471</v>
      </c>
      <c r="K78" s="112">
        <v>140027</v>
      </c>
      <c r="L78" s="112">
        <v>121362</v>
      </c>
      <c r="M78" s="112">
        <v>107395</v>
      </c>
      <c r="N78" s="112">
        <v>104521</v>
      </c>
    </row>
    <row r="79" spans="1:14" ht="19.5" thickBot="1">
      <c r="A79" s="148" t="s">
        <v>754</v>
      </c>
      <c r="B79" s="972">
        <v>292537</v>
      </c>
      <c r="C79" s="1005">
        <v>321159</v>
      </c>
      <c r="D79" s="150">
        <v>305458</v>
      </c>
      <c r="E79" s="150">
        <v>306841</v>
      </c>
      <c r="F79" s="150">
        <v>501368</v>
      </c>
      <c r="G79" s="150">
        <v>537667</v>
      </c>
      <c r="H79" s="150">
        <v>544067</v>
      </c>
      <c r="I79" s="150">
        <v>521483</v>
      </c>
      <c r="J79" s="150">
        <v>557586</v>
      </c>
      <c r="K79" s="150">
        <v>565309</v>
      </c>
      <c r="L79" s="150">
        <v>545003</v>
      </c>
      <c r="M79" s="150">
        <v>589638</v>
      </c>
      <c r="N79" s="150">
        <v>583818</v>
      </c>
    </row>
    <row r="80" spans="1:14">
      <c r="B80" t="s">
        <v>756</v>
      </c>
      <c r="C80" s="190">
        <v>73.900000000000006</v>
      </c>
      <c r="D80" s="190">
        <v>60.2</v>
      </c>
      <c r="E80" s="190">
        <v>55.3</v>
      </c>
      <c r="F80" s="190">
        <v>77</v>
      </c>
      <c r="G80" s="190">
        <v>82.6</v>
      </c>
      <c r="H80" s="190">
        <v>94.1</v>
      </c>
      <c r="I80" s="190">
        <v>103.4</v>
      </c>
      <c r="J80" s="190">
        <v>128</v>
      </c>
      <c r="K80" s="190">
        <v>148.30000000000001</v>
      </c>
      <c r="L80" s="190">
        <v>154.30000000000001</v>
      </c>
      <c r="M80" s="190">
        <v>167.7</v>
      </c>
      <c r="N80" s="190">
        <v>165.2</v>
      </c>
    </row>
    <row r="81" spans="1:14">
      <c r="B81" t="s">
        <v>719</v>
      </c>
      <c r="F81" s="248">
        <v>700000</v>
      </c>
      <c r="G81" s="112"/>
      <c r="H81" s="112"/>
      <c r="I81" s="112"/>
      <c r="J81" s="248">
        <v>450000</v>
      </c>
      <c r="K81" s="112"/>
      <c r="L81" s="112"/>
      <c r="M81" s="112"/>
      <c r="N81" s="248">
        <v>400000</v>
      </c>
    </row>
    <row r="82" spans="1:14">
      <c r="C82" s="112"/>
      <c r="D82" s="112"/>
      <c r="E82" s="112"/>
      <c r="F82" s="112">
        <v>-198632</v>
      </c>
      <c r="G82" s="112"/>
      <c r="H82" s="112"/>
      <c r="I82" s="112"/>
      <c r="J82" s="112">
        <v>107586</v>
      </c>
      <c r="K82" s="112"/>
      <c r="L82" s="112"/>
      <c r="M82" s="112"/>
      <c r="N82" s="112">
        <v>183818</v>
      </c>
    </row>
    <row r="83" spans="1:14" ht="15.75" thickBot="1">
      <c r="E83" s="56"/>
      <c r="F83" s="56"/>
      <c r="G83" s="56"/>
      <c r="H83" s="394"/>
      <c r="I83" s="56"/>
      <c r="J83" s="56"/>
      <c r="K83" s="56"/>
      <c r="L83" s="56"/>
      <c r="M83" s="56"/>
      <c r="N83" s="56"/>
    </row>
    <row r="84" spans="1:14">
      <c r="A84" s="108"/>
      <c r="B84" s="200"/>
      <c r="C84" s="109" t="s">
        <v>68</v>
      </c>
      <c r="D84" s="109" t="s">
        <v>69</v>
      </c>
      <c r="E84" s="109" t="s">
        <v>70</v>
      </c>
      <c r="F84" s="109" t="s">
        <v>71</v>
      </c>
      <c r="G84" s="109" t="s">
        <v>72</v>
      </c>
      <c r="H84" s="109" t="s">
        <v>73</v>
      </c>
      <c r="I84" s="109" t="s">
        <v>74</v>
      </c>
      <c r="J84" s="109" t="s">
        <v>75</v>
      </c>
      <c r="K84" s="109" t="s">
        <v>76</v>
      </c>
      <c r="L84" s="109" t="s">
        <v>77</v>
      </c>
      <c r="M84" s="109" t="s">
        <v>78</v>
      </c>
      <c r="N84" s="110" t="s">
        <v>79</v>
      </c>
    </row>
    <row r="85" spans="1:14">
      <c r="A85" s="405" t="s">
        <v>35</v>
      </c>
      <c r="B85" t="s">
        <v>196</v>
      </c>
      <c r="C85" s="112">
        <v>3888</v>
      </c>
      <c r="D85" s="112">
        <v>16225</v>
      </c>
      <c r="E85" s="112">
        <v>81001</v>
      </c>
      <c r="F85" s="112">
        <v>64128</v>
      </c>
      <c r="G85" s="112">
        <v>51744</v>
      </c>
      <c r="H85" s="112">
        <v>56640</v>
      </c>
      <c r="I85" s="112">
        <v>56448</v>
      </c>
      <c r="J85" s="112">
        <v>24505</v>
      </c>
      <c r="K85" s="112" t="s">
        <v>1348</v>
      </c>
      <c r="L85" s="112">
        <v>24505</v>
      </c>
      <c r="M85" s="112" t="s">
        <v>1348</v>
      </c>
      <c r="N85" s="112" t="s">
        <v>1348</v>
      </c>
    </row>
    <row r="86" spans="1:14">
      <c r="A86" s="111"/>
      <c r="B86" t="s">
        <v>12</v>
      </c>
      <c r="C86" s="112">
        <v>19665</v>
      </c>
      <c r="D86" s="112">
        <v>32382</v>
      </c>
      <c r="E86" s="112">
        <v>37795</v>
      </c>
      <c r="F86" s="112">
        <v>40392</v>
      </c>
      <c r="G86" s="112">
        <v>38798</v>
      </c>
      <c r="H86" s="112">
        <v>48100</v>
      </c>
      <c r="I86" s="112">
        <v>46153</v>
      </c>
      <c r="J86" s="112">
        <v>37384</v>
      </c>
      <c r="K86" s="112">
        <v>41041</v>
      </c>
      <c r="L86" s="112">
        <v>30275</v>
      </c>
      <c r="M86" s="112">
        <v>29574</v>
      </c>
      <c r="N86" s="112">
        <v>25161</v>
      </c>
    </row>
    <row r="87" spans="1:14" ht="19.5" thickBot="1">
      <c r="A87" s="148" t="s">
        <v>754</v>
      </c>
      <c r="B87" s="973">
        <v>318098</v>
      </c>
      <c r="C87" s="1005">
        <v>296187</v>
      </c>
      <c r="D87" s="150">
        <v>280030</v>
      </c>
      <c r="E87" s="150">
        <v>323236</v>
      </c>
      <c r="F87" s="150">
        <v>346972</v>
      </c>
      <c r="G87" s="150">
        <v>359917</v>
      </c>
      <c r="H87" s="150">
        <v>368457</v>
      </c>
      <c r="I87" s="150">
        <v>378753</v>
      </c>
      <c r="J87" s="150">
        <v>365874</v>
      </c>
      <c r="K87" s="150">
        <v>324833</v>
      </c>
      <c r="L87" s="150">
        <v>319063</v>
      </c>
      <c r="M87" s="150">
        <v>289489</v>
      </c>
      <c r="N87" s="150">
        <v>264328</v>
      </c>
    </row>
    <row r="88" spans="1:14">
      <c r="B88" t="s">
        <v>756</v>
      </c>
      <c r="C88" s="190">
        <v>253.2</v>
      </c>
      <c r="D88" s="190">
        <v>214.9</v>
      </c>
      <c r="E88" s="190">
        <v>244.9</v>
      </c>
      <c r="F88" s="190">
        <v>239.6</v>
      </c>
      <c r="G88" s="190">
        <v>229.1</v>
      </c>
      <c r="H88" s="190">
        <v>264.60000000000002</v>
      </c>
      <c r="I88" s="190">
        <v>289.8</v>
      </c>
      <c r="J88" s="190">
        <v>307.8</v>
      </c>
      <c r="K88" s="190">
        <v>325.7</v>
      </c>
      <c r="L88" s="190">
        <v>349.8</v>
      </c>
      <c r="M88" s="190">
        <v>387.5</v>
      </c>
      <c r="N88" s="190">
        <v>304.7</v>
      </c>
    </row>
    <row r="89" spans="1:14">
      <c r="B89" s="195" t="s">
        <v>719</v>
      </c>
      <c r="C89" s="112"/>
      <c r="D89" s="112"/>
      <c r="E89" s="112"/>
      <c r="F89" s="121">
        <v>400000</v>
      </c>
      <c r="G89" s="112"/>
      <c r="H89" s="112"/>
      <c r="I89" s="112"/>
      <c r="J89" s="121">
        <v>250000</v>
      </c>
      <c r="K89" s="112"/>
      <c r="L89" s="112"/>
      <c r="M89" s="112"/>
      <c r="N89" s="121">
        <v>150000</v>
      </c>
    </row>
    <row r="90" spans="1:14" ht="15.75" thickBot="1">
      <c r="C90" s="112"/>
      <c r="D90" s="112"/>
      <c r="E90" s="112"/>
      <c r="F90" s="112">
        <v>-53028</v>
      </c>
      <c r="G90" s="112"/>
      <c r="H90" s="112"/>
      <c r="I90" s="112"/>
      <c r="J90" s="112">
        <v>115874</v>
      </c>
      <c r="K90" s="112"/>
      <c r="L90" s="112"/>
      <c r="M90" s="112"/>
      <c r="N90" s="112">
        <v>114328</v>
      </c>
    </row>
    <row r="91" spans="1:14">
      <c r="A91" s="108"/>
      <c r="B91" s="200"/>
      <c r="C91" s="109" t="s">
        <v>68</v>
      </c>
      <c r="D91" s="109" t="s">
        <v>69</v>
      </c>
      <c r="E91" s="109" t="s">
        <v>70</v>
      </c>
      <c r="F91" s="109" t="s">
        <v>71</v>
      </c>
      <c r="G91" s="109" t="s">
        <v>72</v>
      </c>
      <c r="H91" s="109" t="s">
        <v>73</v>
      </c>
      <c r="I91" s="109" t="s">
        <v>74</v>
      </c>
      <c r="J91" s="109" t="s">
        <v>75</v>
      </c>
      <c r="K91" s="109" t="s">
        <v>76</v>
      </c>
      <c r="L91" s="109" t="s">
        <v>77</v>
      </c>
      <c r="M91" s="109" t="s">
        <v>78</v>
      </c>
      <c r="N91" s="110" t="s">
        <v>79</v>
      </c>
    </row>
    <row r="92" spans="1:14">
      <c r="A92" s="405" t="s">
        <v>42</v>
      </c>
      <c r="B92" t="s">
        <v>196</v>
      </c>
      <c r="C92" s="112">
        <v>99</v>
      </c>
      <c r="D92" s="112">
        <v>34528</v>
      </c>
      <c r="E92" s="112">
        <v>4224</v>
      </c>
      <c r="F92" s="112">
        <v>3456</v>
      </c>
      <c r="G92" s="112" t="s">
        <v>1348</v>
      </c>
      <c r="H92" s="112">
        <v>3456</v>
      </c>
      <c r="I92" s="112">
        <v>3456</v>
      </c>
      <c r="J92" s="112">
        <v>3456</v>
      </c>
      <c r="K92" s="112">
        <v>6912</v>
      </c>
      <c r="L92" s="112">
        <v>6912</v>
      </c>
      <c r="M92" s="112">
        <v>13824</v>
      </c>
      <c r="N92" s="112">
        <v>10368</v>
      </c>
    </row>
    <row r="93" spans="1:14">
      <c r="A93" s="111"/>
      <c r="B93" t="s">
        <v>12</v>
      </c>
      <c r="C93" s="112">
        <v>10801</v>
      </c>
      <c r="D93" s="112">
        <v>9056</v>
      </c>
      <c r="E93" s="112">
        <v>13379</v>
      </c>
      <c r="F93" s="112">
        <v>10937</v>
      </c>
      <c r="G93" s="112">
        <v>13779</v>
      </c>
      <c r="H93" s="112">
        <v>15599</v>
      </c>
      <c r="I93" s="112">
        <v>11758</v>
      </c>
      <c r="J93" s="112">
        <v>14480</v>
      </c>
      <c r="K93" s="112">
        <v>9817</v>
      </c>
      <c r="L93" s="112">
        <v>8239</v>
      </c>
      <c r="M93" s="112">
        <v>8501</v>
      </c>
      <c r="N93" s="112">
        <v>11897</v>
      </c>
    </row>
    <row r="94" spans="1:14" ht="19.5" thickBot="1">
      <c r="A94" s="148" t="s">
        <v>754</v>
      </c>
      <c r="B94" s="972">
        <v>76188</v>
      </c>
      <c r="C94" s="1005">
        <v>71314</v>
      </c>
      <c r="D94" s="150">
        <v>96786</v>
      </c>
      <c r="E94" s="150">
        <v>87631</v>
      </c>
      <c r="F94" s="150">
        <v>80150</v>
      </c>
      <c r="G94" s="150">
        <v>66371</v>
      </c>
      <c r="H94" s="150">
        <v>54228</v>
      </c>
      <c r="I94" s="150">
        <v>45926</v>
      </c>
      <c r="J94" s="150">
        <v>34902</v>
      </c>
      <c r="K94" s="150">
        <v>31997</v>
      </c>
      <c r="L94" s="150">
        <v>30671</v>
      </c>
      <c r="M94" s="150">
        <v>35993</v>
      </c>
      <c r="N94" s="151">
        <v>34464</v>
      </c>
    </row>
    <row r="95" spans="1:14">
      <c r="B95" t="s">
        <v>756</v>
      </c>
      <c r="C95" s="190">
        <v>190.7</v>
      </c>
      <c r="D95" s="190">
        <v>238.8</v>
      </c>
      <c r="E95" s="190">
        <v>212.7</v>
      </c>
      <c r="F95" s="190">
        <v>163.69999999999999</v>
      </c>
      <c r="G95" s="190">
        <v>145.6</v>
      </c>
      <c r="H95" s="190">
        <v>124</v>
      </c>
      <c r="I95" s="190">
        <v>113.4</v>
      </c>
      <c r="J95" s="190">
        <v>116</v>
      </c>
      <c r="K95" s="190">
        <v>114.7</v>
      </c>
      <c r="L95" s="190">
        <v>90.2</v>
      </c>
      <c r="M95" s="190">
        <v>95.1</v>
      </c>
      <c r="N95" s="190">
        <v>104.1</v>
      </c>
    </row>
    <row r="96" spans="1:14">
      <c r="B96" s="195" t="s">
        <v>719</v>
      </c>
      <c r="C96" s="112"/>
      <c r="D96" s="112"/>
      <c r="E96" s="112"/>
      <c r="F96" s="121">
        <v>40000</v>
      </c>
      <c r="G96" s="112"/>
      <c r="H96" s="112"/>
      <c r="I96" s="112"/>
      <c r="J96" s="121">
        <v>40000</v>
      </c>
      <c r="K96" s="112"/>
      <c r="L96" s="112"/>
      <c r="M96" s="112"/>
      <c r="N96" s="121">
        <v>40000</v>
      </c>
    </row>
    <row r="97" spans="1:14" ht="15.75" thickBot="1">
      <c r="C97" s="112"/>
      <c r="D97" s="112"/>
      <c r="E97" s="112"/>
      <c r="F97" s="112">
        <v>40150</v>
      </c>
      <c r="G97" s="112"/>
      <c r="H97" s="112"/>
      <c r="I97" s="112"/>
      <c r="J97" s="112">
        <v>-5098</v>
      </c>
      <c r="K97" s="112"/>
      <c r="L97" s="112"/>
      <c r="M97" s="112"/>
      <c r="N97" s="112">
        <v>-5536</v>
      </c>
    </row>
    <row r="98" spans="1:14">
      <c r="A98" s="108"/>
      <c r="B98" s="200"/>
      <c r="C98" s="109" t="s">
        <v>68</v>
      </c>
      <c r="D98" s="109" t="s">
        <v>69</v>
      </c>
      <c r="E98" s="109" t="s">
        <v>70</v>
      </c>
      <c r="F98" s="109" t="s">
        <v>71</v>
      </c>
      <c r="G98" s="109" t="s">
        <v>72</v>
      </c>
      <c r="H98" s="109" t="s">
        <v>73</v>
      </c>
      <c r="I98" s="109" t="s">
        <v>74</v>
      </c>
      <c r="J98" s="109" t="s">
        <v>75</v>
      </c>
      <c r="K98" s="109" t="s">
        <v>76</v>
      </c>
      <c r="L98" s="109" t="s">
        <v>77</v>
      </c>
      <c r="M98" s="109" t="s">
        <v>78</v>
      </c>
      <c r="N98" s="110" t="s">
        <v>79</v>
      </c>
    </row>
    <row r="99" spans="1:14">
      <c r="A99" s="155" t="s">
        <v>21</v>
      </c>
      <c r="B99" t="s">
        <v>196</v>
      </c>
      <c r="C99" s="112">
        <v>40870</v>
      </c>
      <c r="D99" s="112">
        <v>84554</v>
      </c>
      <c r="E99" s="112">
        <v>47923</v>
      </c>
      <c r="F99" s="112">
        <v>29952</v>
      </c>
      <c r="G99" s="112">
        <v>30451</v>
      </c>
      <c r="H99" s="112">
        <v>59904</v>
      </c>
      <c r="I99" s="112">
        <v>59405</v>
      </c>
      <c r="J99" s="112">
        <v>58906</v>
      </c>
      <c r="K99" s="112">
        <v>29453</v>
      </c>
      <c r="L99" s="112">
        <v>11981</v>
      </c>
      <c r="M99" s="112">
        <v>51418</v>
      </c>
      <c r="N99" s="112" t="s">
        <v>1348</v>
      </c>
    </row>
    <row r="100" spans="1:14">
      <c r="A100" s="111"/>
      <c r="B100" t="s">
        <v>12</v>
      </c>
      <c r="C100" s="112">
        <v>25743</v>
      </c>
      <c r="D100" s="112">
        <v>25782</v>
      </c>
      <c r="E100" s="112">
        <v>55134</v>
      </c>
      <c r="F100" s="112">
        <v>53101</v>
      </c>
      <c r="G100" s="112">
        <v>50377</v>
      </c>
      <c r="H100" s="112">
        <v>64639</v>
      </c>
      <c r="I100" s="112">
        <v>79128</v>
      </c>
      <c r="J100" s="112">
        <v>54921</v>
      </c>
      <c r="K100" s="112">
        <v>31938</v>
      </c>
      <c r="L100" s="112">
        <v>27436</v>
      </c>
      <c r="M100" s="112">
        <v>21624</v>
      </c>
      <c r="N100" s="112">
        <v>22047</v>
      </c>
    </row>
    <row r="101" spans="1:14" ht="19.5" thickBot="1">
      <c r="A101" s="148" t="s">
        <v>754</v>
      </c>
      <c r="B101" s="972">
        <v>125028</v>
      </c>
      <c r="C101" s="1005">
        <v>141515</v>
      </c>
      <c r="D101" s="150">
        <v>200288</v>
      </c>
      <c r="E101" s="150">
        <v>193078</v>
      </c>
      <c r="F101" s="150">
        <v>169928</v>
      </c>
      <c r="G101" s="150">
        <v>150002</v>
      </c>
      <c r="H101" s="150">
        <v>145266</v>
      </c>
      <c r="I101" s="150">
        <v>125544</v>
      </c>
      <c r="J101" s="150">
        <v>129529</v>
      </c>
      <c r="K101" s="150">
        <v>127043</v>
      </c>
      <c r="L101" s="150">
        <v>111589</v>
      </c>
      <c r="M101" s="150">
        <v>141382</v>
      </c>
      <c r="N101" s="151">
        <v>119335</v>
      </c>
    </row>
    <row r="102" spans="1:14">
      <c r="B102" t="s">
        <v>756</v>
      </c>
      <c r="C102" s="190">
        <v>104.9</v>
      </c>
      <c r="D102" s="190">
        <v>111</v>
      </c>
      <c r="E102" s="190">
        <v>112</v>
      </c>
      <c r="F102" s="190">
        <v>88.6</v>
      </c>
      <c r="G102" s="190">
        <v>62.6</v>
      </c>
      <c r="H102" s="190">
        <v>65</v>
      </c>
      <c r="I102" s="190">
        <v>86.7</v>
      </c>
      <c r="J102" s="190">
        <v>130.9</v>
      </c>
      <c r="K102" s="190">
        <v>155.4</v>
      </c>
      <c r="L102" s="190">
        <v>153.30000000000001</v>
      </c>
      <c r="M102" s="190">
        <v>177.5</v>
      </c>
      <c r="N102" s="190">
        <v>139</v>
      </c>
    </row>
    <row r="103" spans="1:14">
      <c r="B103" s="195" t="s">
        <v>719</v>
      </c>
      <c r="C103" s="112"/>
      <c r="D103" s="112"/>
      <c r="E103" s="112"/>
      <c r="F103" s="248">
        <v>200000</v>
      </c>
      <c r="G103" s="112"/>
      <c r="H103" s="112"/>
      <c r="I103" s="112"/>
      <c r="J103" s="248">
        <v>120000</v>
      </c>
      <c r="K103" s="112"/>
      <c r="L103" s="112"/>
      <c r="M103" s="112"/>
      <c r="N103" s="248">
        <v>120000</v>
      </c>
    </row>
    <row r="104" spans="1:14" ht="15.75" thickBot="1">
      <c r="C104" s="112"/>
      <c r="D104" s="112"/>
      <c r="E104" s="112"/>
      <c r="F104" s="112">
        <v>-30072</v>
      </c>
      <c r="G104" s="112"/>
      <c r="H104" s="112"/>
      <c r="I104" s="112"/>
      <c r="J104" s="112">
        <v>9529</v>
      </c>
      <c r="K104" s="112"/>
      <c r="L104" s="112"/>
      <c r="M104" s="112"/>
      <c r="N104" s="112">
        <v>-665</v>
      </c>
    </row>
    <row r="105" spans="1:14">
      <c r="A105" s="108"/>
      <c r="B105" s="200"/>
      <c r="C105" s="109" t="s">
        <v>68</v>
      </c>
      <c r="D105" s="109" t="s">
        <v>69</v>
      </c>
      <c r="E105" s="109" t="s">
        <v>70</v>
      </c>
      <c r="F105" s="109" t="s">
        <v>71</v>
      </c>
      <c r="G105" s="109" t="s">
        <v>72</v>
      </c>
      <c r="H105" s="109" t="s">
        <v>73</v>
      </c>
      <c r="I105" s="109" t="s">
        <v>74</v>
      </c>
      <c r="J105" s="109" t="s">
        <v>75</v>
      </c>
      <c r="K105" s="109" t="s">
        <v>76</v>
      </c>
      <c r="L105" s="109" t="s">
        <v>77</v>
      </c>
      <c r="M105" s="109" t="s">
        <v>78</v>
      </c>
      <c r="N105" s="110" t="s">
        <v>79</v>
      </c>
    </row>
    <row r="106" spans="1:14">
      <c r="A106" s="156" t="s">
        <v>25</v>
      </c>
      <c r="B106" t="s">
        <v>196</v>
      </c>
      <c r="C106" s="112">
        <v>99137</v>
      </c>
      <c r="D106" s="112">
        <v>69308</v>
      </c>
      <c r="E106" s="112">
        <v>23976</v>
      </c>
      <c r="F106" s="112">
        <v>20218</v>
      </c>
      <c r="G106" s="112">
        <v>15034</v>
      </c>
      <c r="H106" s="112">
        <v>50414</v>
      </c>
      <c r="I106" s="112">
        <v>95515</v>
      </c>
      <c r="J106" s="112">
        <v>88906</v>
      </c>
      <c r="K106" s="112">
        <v>59616</v>
      </c>
      <c r="L106" s="112">
        <v>59616</v>
      </c>
      <c r="M106" s="112">
        <v>75298</v>
      </c>
      <c r="N106" s="112">
        <v>49766</v>
      </c>
    </row>
    <row r="107" spans="1:14">
      <c r="A107" s="124"/>
      <c r="B107" s="118" t="s">
        <v>12</v>
      </c>
      <c r="C107" s="112">
        <v>53384</v>
      </c>
      <c r="D107" s="112">
        <v>88668</v>
      </c>
      <c r="E107" s="112">
        <v>81416</v>
      </c>
      <c r="F107" s="112">
        <v>81918</v>
      </c>
      <c r="G107" s="112">
        <v>87586</v>
      </c>
      <c r="H107" s="112">
        <v>91103</v>
      </c>
      <c r="I107" s="112">
        <v>101943</v>
      </c>
      <c r="J107" s="112">
        <v>100496</v>
      </c>
      <c r="K107" s="112">
        <v>94373</v>
      </c>
      <c r="L107" s="112">
        <v>59568</v>
      </c>
      <c r="M107" s="112">
        <v>66146</v>
      </c>
      <c r="N107" s="112">
        <v>67398</v>
      </c>
    </row>
    <row r="108" spans="1:14" ht="19.5" thickBot="1">
      <c r="A108" s="148" t="s">
        <v>754</v>
      </c>
      <c r="B108" s="972">
        <v>479019</v>
      </c>
      <c r="C108" s="1005">
        <v>491525</v>
      </c>
      <c r="D108" s="150">
        <v>472165</v>
      </c>
      <c r="E108" s="150">
        <v>414725</v>
      </c>
      <c r="F108" s="150">
        <v>353025</v>
      </c>
      <c r="G108" s="150">
        <v>280473</v>
      </c>
      <c r="H108" s="150">
        <v>239784</v>
      </c>
      <c r="I108" s="150">
        <v>233356</v>
      </c>
      <c r="J108" s="150">
        <v>221765</v>
      </c>
      <c r="K108" s="150">
        <v>187008</v>
      </c>
      <c r="L108" s="150">
        <v>187056</v>
      </c>
      <c r="M108" s="150">
        <v>196208</v>
      </c>
      <c r="N108" s="151">
        <v>178576</v>
      </c>
    </row>
    <row r="109" spans="1:14">
      <c r="B109" t="s">
        <v>756</v>
      </c>
      <c r="C109" s="190">
        <v>173.4</v>
      </c>
      <c r="D109" s="190">
        <v>173.4</v>
      </c>
      <c r="E109" s="190">
        <v>146.80000000000001</v>
      </c>
      <c r="F109" s="190">
        <v>118.5</v>
      </c>
      <c r="G109" s="190">
        <v>87.2</v>
      </c>
      <c r="H109" s="190">
        <v>71.099999999999994</v>
      </c>
      <c r="I109" s="190">
        <v>71.8</v>
      </c>
      <c r="J109" s="190">
        <v>86.4</v>
      </c>
      <c r="K109" s="190">
        <v>89.3</v>
      </c>
      <c r="L109" s="190">
        <v>84</v>
      </c>
      <c r="M109" s="190">
        <v>97.5</v>
      </c>
      <c r="N109" s="190">
        <v>75.400000000000006</v>
      </c>
    </row>
    <row r="110" spans="1:14">
      <c r="B110" s="195" t="s">
        <v>719</v>
      </c>
      <c r="C110" s="112"/>
      <c r="D110" s="112"/>
      <c r="E110" s="112"/>
      <c r="F110" s="248">
        <v>250000</v>
      </c>
      <c r="G110" s="112"/>
      <c r="H110" s="112"/>
      <c r="I110" s="112"/>
      <c r="J110" s="248">
        <v>150000</v>
      </c>
      <c r="K110" s="112"/>
      <c r="L110" s="112"/>
      <c r="M110" s="112"/>
      <c r="N110" s="248">
        <v>150000</v>
      </c>
    </row>
    <row r="111" spans="1:14" ht="15.75" thickBot="1">
      <c r="C111" s="121"/>
      <c r="D111" s="121"/>
      <c r="E111" s="121"/>
      <c r="F111" s="112">
        <v>103025</v>
      </c>
      <c r="G111" s="112"/>
      <c r="H111" s="112"/>
      <c r="I111" s="112"/>
      <c r="J111" s="112">
        <v>71765</v>
      </c>
      <c r="K111" s="112"/>
      <c r="L111" s="112"/>
      <c r="M111" s="112"/>
      <c r="N111" s="112">
        <v>28576</v>
      </c>
    </row>
    <row r="112" spans="1:14">
      <c r="A112" s="108"/>
      <c r="B112" s="200"/>
      <c r="C112" s="109" t="s">
        <v>68</v>
      </c>
      <c r="D112" s="109" t="s">
        <v>69</v>
      </c>
      <c r="E112" s="109" t="s">
        <v>70</v>
      </c>
      <c r="F112" s="109" t="s">
        <v>71</v>
      </c>
      <c r="G112" s="109" t="s">
        <v>72</v>
      </c>
      <c r="H112" s="109" t="s">
        <v>73</v>
      </c>
      <c r="I112" s="109" t="s">
        <v>74</v>
      </c>
      <c r="J112" s="109" t="s">
        <v>75</v>
      </c>
      <c r="K112" s="109" t="s">
        <v>76</v>
      </c>
      <c r="L112" s="109" t="s">
        <v>77</v>
      </c>
      <c r="M112" s="109" t="s">
        <v>78</v>
      </c>
      <c r="N112" s="110" t="s">
        <v>79</v>
      </c>
    </row>
    <row r="113" spans="1:14">
      <c r="A113" s="406" t="s">
        <v>43</v>
      </c>
      <c r="B113" t="s">
        <v>196</v>
      </c>
      <c r="C113" s="112" t="s">
        <v>1348</v>
      </c>
      <c r="D113" s="112">
        <v>36403</v>
      </c>
      <c r="E113" s="112" t="s">
        <v>1348</v>
      </c>
      <c r="F113" s="112" t="s">
        <v>1348</v>
      </c>
      <c r="G113" s="112">
        <v>7066</v>
      </c>
      <c r="H113" s="112" t="s">
        <v>1348</v>
      </c>
      <c r="I113" s="112" t="s">
        <v>1348</v>
      </c>
      <c r="J113" s="112">
        <v>14131</v>
      </c>
      <c r="K113" s="112">
        <v>7066</v>
      </c>
      <c r="L113" s="112">
        <v>7066</v>
      </c>
      <c r="M113" s="112">
        <v>7066</v>
      </c>
      <c r="N113" s="112" t="s">
        <v>1348</v>
      </c>
    </row>
    <row r="114" spans="1:14">
      <c r="A114" s="111"/>
      <c r="B114" t="s">
        <v>12</v>
      </c>
      <c r="C114" s="112">
        <v>10106</v>
      </c>
      <c r="D114" s="112">
        <v>10251</v>
      </c>
      <c r="E114" s="112">
        <v>11925</v>
      </c>
      <c r="F114" s="112">
        <v>11004</v>
      </c>
      <c r="G114" s="112">
        <v>12618</v>
      </c>
      <c r="H114" s="112">
        <v>11963</v>
      </c>
      <c r="I114" s="755">
        <v>11512</v>
      </c>
      <c r="J114" s="112">
        <v>13309</v>
      </c>
      <c r="K114" s="112">
        <v>10682</v>
      </c>
      <c r="L114" s="112">
        <v>11153</v>
      </c>
      <c r="M114" s="112">
        <v>10336</v>
      </c>
      <c r="N114" s="112">
        <v>10655</v>
      </c>
    </row>
    <row r="115" spans="1:14" ht="19.5" thickBot="1">
      <c r="A115" s="148" t="s">
        <v>754</v>
      </c>
      <c r="B115" s="972">
        <v>78593</v>
      </c>
      <c r="C115" s="1005">
        <v>68423</v>
      </c>
      <c r="D115" s="150">
        <v>94575</v>
      </c>
      <c r="E115" s="150">
        <v>82650</v>
      </c>
      <c r="F115" s="150">
        <v>71646</v>
      </c>
      <c r="G115" s="150">
        <v>66093</v>
      </c>
      <c r="H115" s="150">
        <v>54130</v>
      </c>
      <c r="I115" s="150">
        <v>42618</v>
      </c>
      <c r="J115" s="150">
        <v>43440</v>
      </c>
      <c r="K115" s="150">
        <v>39824</v>
      </c>
      <c r="L115" s="150">
        <v>35737</v>
      </c>
      <c r="M115" s="150">
        <v>32466</v>
      </c>
      <c r="N115" s="151">
        <v>21812</v>
      </c>
    </row>
    <row r="116" spans="1:14">
      <c r="B116" t="s">
        <v>756</v>
      </c>
      <c r="C116" s="190">
        <v>185.1</v>
      </c>
      <c r="D116" s="190">
        <v>247.5</v>
      </c>
      <c r="E116" s="190">
        <v>209.9</v>
      </c>
      <c r="F116" s="190">
        <v>174.9</v>
      </c>
      <c r="G116" s="190">
        <v>168.9</v>
      </c>
      <c r="H116" s="190">
        <v>130.80000000000001</v>
      </c>
      <c r="I116" s="190">
        <v>106.6</v>
      </c>
      <c r="J116" s="190">
        <v>119.4</v>
      </c>
      <c r="K116" s="190">
        <v>111.2</v>
      </c>
      <c r="L116" s="190">
        <v>102.2</v>
      </c>
      <c r="M116" s="190">
        <v>93.8</v>
      </c>
      <c r="N116" s="190">
        <v>64.3</v>
      </c>
    </row>
    <row r="117" spans="1:14">
      <c r="B117" s="195" t="s">
        <v>719</v>
      </c>
      <c r="C117" s="112"/>
      <c r="D117" s="112"/>
      <c r="E117" s="112"/>
      <c r="F117" s="121">
        <v>50000</v>
      </c>
      <c r="G117" s="112"/>
      <c r="H117" s="112"/>
      <c r="I117" s="112"/>
      <c r="J117" s="121">
        <v>40000</v>
      </c>
      <c r="K117" s="112"/>
      <c r="L117" s="112"/>
      <c r="M117" s="112"/>
      <c r="N117" s="121">
        <v>40000</v>
      </c>
    </row>
    <row r="118" spans="1:14" ht="15.75" thickBot="1">
      <c r="F118" s="112">
        <v>21646</v>
      </c>
      <c r="G118" s="112"/>
      <c r="H118" s="112"/>
      <c r="I118" s="112"/>
      <c r="J118" s="112">
        <v>3440</v>
      </c>
      <c r="K118" s="112"/>
      <c r="L118" s="112"/>
      <c r="M118" s="112"/>
      <c r="N118" s="112">
        <v>-18188</v>
      </c>
    </row>
    <row r="119" spans="1:14">
      <c r="A119" s="108"/>
      <c r="B119" s="200"/>
      <c r="C119" s="109" t="s">
        <v>68</v>
      </c>
      <c r="D119" s="109" t="s">
        <v>69</v>
      </c>
      <c r="E119" s="109" t="s">
        <v>70</v>
      </c>
      <c r="F119" s="109" t="s">
        <v>71</v>
      </c>
      <c r="G119" s="109" t="s">
        <v>72</v>
      </c>
      <c r="H119" s="109" t="s">
        <v>73</v>
      </c>
      <c r="I119" s="109" t="s">
        <v>74</v>
      </c>
      <c r="J119" s="109" t="s">
        <v>75</v>
      </c>
      <c r="K119" s="109" t="s">
        <v>76</v>
      </c>
      <c r="L119" s="109" t="s">
        <v>77</v>
      </c>
      <c r="M119" s="109" t="s">
        <v>78</v>
      </c>
      <c r="N119" s="110" t="s">
        <v>79</v>
      </c>
    </row>
    <row r="120" spans="1:14">
      <c r="A120" s="123" t="s">
        <v>38</v>
      </c>
      <c r="B120" t="s">
        <v>196</v>
      </c>
      <c r="C120" s="112">
        <v>272641</v>
      </c>
      <c r="D120" s="112">
        <v>493211</v>
      </c>
      <c r="E120" s="112">
        <v>685728</v>
      </c>
      <c r="F120" s="112">
        <v>493385</v>
      </c>
      <c r="G120" s="112">
        <v>657510</v>
      </c>
      <c r="H120" s="112">
        <v>703934</v>
      </c>
      <c r="I120" s="112">
        <v>519887</v>
      </c>
      <c r="J120" s="112">
        <v>292447</v>
      </c>
      <c r="K120" s="112">
        <v>167305</v>
      </c>
      <c r="L120" s="112">
        <v>214162</v>
      </c>
      <c r="M120" s="112">
        <v>151326</v>
      </c>
      <c r="N120" s="112">
        <v>98789</v>
      </c>
    </row>
    <row r="121" spans="1:14">
      <c r="A121" s="111"/>
      <c r="B121" t="s">
        <v>12</v>
      </c>
      <c r="C121" s="112">
        <v>82234</v>
      </c>
      <c r="D121" s="112">
        <v>129646</v>
      </c>
      <c r="E121" s="112">
        <v>270893</v>
      </c>
      <c r="F121" s="112">
        <v>392043</v>
      </c>
      <c r="G121" s="112">
        <v>746275</v>
      </c>
      <c r="H121" s="112">
        <v>694058</v>
      </c>
      <c r="I121" s="112">
        <v>949368</v>
      </c>
      <c r="J121" s="112">
        <v>707212</v>
      </c>
      <c r="K121" s="112">
        <v>376747</v>
      </c>
      <c r="L121" s="112">
        <v>252011</v>
      </c>
      <c r="M121" s="112">
        <v>222009</v>
      </c>
      <c r="N121" s="112">
        <v>222990</v>
      </c>
    </row>
    <row r="122" spans="1:14" ht="19.5" thickBot="1">
      <c r="A122" s="148" t="s">
        <v>754</v>
      </c>
      <c r="B122" s="972">
        <v>715502</v>
      </c>
      <c r="C122" s="1004">
        <v>860979</v>
      </c>
      <c r="D122" s="150">
        <v>1224543</v>
      </c>
      <c r="E122" s="150">
        <v>1639378</v>
      </c>
      <c r="F122" s="150">
        <v>1740720</v>
      </c>
      <c r="G122" s="150">
        <v>1651956</v>
      </c>
      <c r="H122" s="150">
        <v>1661832</v>
      </c>
      <c r="I122" s="150">
        <v>1232350</v>
      </c>
      <c r="J122" s="150">
        <v>817585</v>
      </c>
      <c r="K122" s="150">
        <v>608143</v>
      </c>
      <c r="L122" s="150">
        <v>570295</v>
      </c>
      <c r="M122" s="150">
        <v>499612</v>
      </c>
      <c r="N122" s="151">
        <v>375411</v>
      </c>
    </row>
    <row r="123" spans="1:14">
      <c r="B123" t="s">
        <v>756</v>
      </c>
      <c r="C123" s="190">
        <v>129</v>
      </c>
      <c r="D123" s="190">
        <v>110.8</v>
      </c>
      <c r="E123" s="190">
        <v>86.4</v>
      </c>
      <c r="F123" s="190">
        <v>72.5</v>
      </c>
      <c r="G123" s="190">
        <v>60.3</v>
      </c>
      <c r="H123" s="190">
        <v>60.2</v>
      </c>
      <c r="I123" s="190">
        <v>68.2</v>
      </c>
      <c r="J123" s="190">
        <v>78</v>
      </c>
      <c r="K123" s="190">
        <v>77</v>
      </c>
      <c r="L123" s="190">
        <v>76.900000000000006</v>
      </c>
      <c r="M123" s="190">
        <v>98.2</v>
      </c>
      <c r="N123" s="190">
        <v>106.3</v>
      </c>
    </row>
    <row r="124" spans="1:14">
      <c r="B124" s="195" t="s">
        <v>719</v>
      </c>
      <c r="C124" s="112"/>
      <c r="D124" s="112"/>
      <c r="E124" s="112"/>
      <c r="F124" s="121">
        <v>550000</v>
      </c>
      <c r="G124" s="112"/>
      <c r="H124" s="112"/>
      <c r="I124" s="112"/>
      <c r="J124" s="121">
        <v>400000</v>
      </c>
      <c r="K124" s="112"/>
      <c r="L124" s="112"/>
      <c r="M124" s="112"/>
      <c r="N124" s="121">
        <v>300000</v>
      </c>
    </row>
    <row r="125" spans="1:14" ht="15.75" thickBot="1">
      <c r="C125" s="112"/>
      <c r="D125" s="112"/>
      <c r="E125" s="112"/>
      <c r="F125" s="112">
        <v>1190720</v>
      </c>
      <c r="G125" s="112"/>
      <c r="H125" s="112"/>
      <c r="I125" s="112"/>
      <c r="J125" s="112">
        <v>417585</v>
      </c>
      <c r="K125" s="112"/>
      <c r="L125" s="112"/>
      <c r="M125" s="112"/>
      <c r="N125" s="112">
        <v>75411</v>
      </c>
    </row>
    <row r="126" spans="1:14">
      <c r="A126" s="108"/>
      <c r="B126" s="200"/>
      <c r="C126" s="109" t="s">
        <v>68</v>
      </c>
      <c r="D126" s="109" t="s">
        <v>69</v>
      </c>
      <c r="E126" s="109" t="s">
        <v>70</v>
      </c>
      <c r="F126" s="109" t="s">
        <v>71</v>
      </c>
      <c r="G126" s="109" t="s">
        <v>72</v>
      </c>
      <c r="H126" s="109" t="s">
        <v>73</v>
      </c>
      <c r="I126" s="109" t="s">
        <v>74</v>
      </c>
      <c r="J126" s="109" t="s">
        <v>75</v>
      </c>
      <c r="K126" s="109" t="s">
        <v>76</v>
      </c>
      <c r="L126" s="109" t="s">
        <v>77</v>
      </c>
      <c r="M126" s="109" t="s">
        <v>78</v>
      </c>
      <c r="N126" s="110" t="s">
        <v>79</v>
      </c>
    </row>
    <row r="127" spans="1:14">
      <c r="A127" s="123" t="s">
        <v>30</v>
      </c>
      <c r="B127" t="s">
        <v>196</v>
      </c>
      <c r="C127" s="112">
        <v>69103</v>
      </c>
      <c r="D127" s="112">
        <v>44032</v>
      </c>
      <c r="E127" s="112">
        <v>48960</v>
      </c>
      <c r="F127" s="112">
        <v>51840</v>
      </c>
      <c r="G127" s="112">
        <v>26880</v>
      </c>
      <c r="H127" s="112">
        <v>33840</v>
      </c>
      <c r="I127" s="112">
        <v>19680</v>
      </c>
      <c r="J127" s="112">
        <v>40560</v>
      </c>
      <c r="K127" s="112">
        <v>18720</v>
      </c>
      <c r="L127" s="112">
        <v>19680</v>
      </c>
      <c r="M127" s="112">
        <v>25440</v>
      </c>
      <c r="N127" s="112">
        <v>18720</v>
      </c>
    </row>
    <row r="128" spans="1:14">
      <c r="A128" s="111"/>
      <c r="B128" t="s">
        <v>12</v>
      </c>
      <c r="C128" s="112">
        <v>30805</v>
      </c>
      <c r="D128" s="112">
        <v>27817</v>
      </c>
      <c r="E128" s="112">
        <v>43456</v>
      </c>
      <c r="F128" s="112">
        <v>44886</v>
      </c>
      <c r="G128" s="112">
        <v>59953</v>
      </c>
      <c r="H128" s="112">
        <v>35138</v>
      </c>
      <c r="I128" s="112">
        <v>33308</v>
      </c>
      <c r="J128" s="112">
        <v>30769</v>
      </c>
      <c r="K128" s="112">
        <v>27856</v>
      </c>
      <c r="L128" s="112">
        <v>26616</v>
      </c>
      <c r="M128" s="112">
        <v>23947</v>
      </c>
      <c r="N128" s="112">
        <v>23657</v>
      </c>
    </row>
    <row r="129" spans="1:14" ht="19.5" thickBot="1">
      <c r="A129" s="148" t="s">
        <v>754</v>
      </c>
      <c r="B129" s="972">
        <v>42409</v>
      </c>
      <c r="C129" s="1005">
        <v>79403</v>
      </c>
      <c r="D129" s="150">
        <v>95618</v>
      </c>
      <c r="E129" s="150">
        <v>101122</v>
      </c>
      <c r="F129" s="150">
        <v>108076</v>
      </c>
      <c r="G129" s="150">
        <v>75003</v>
      </c>
      <c r="H129" s="150">
        <v>73705</v>
      </c>
      <c r="I129" s="150">
        <v>60076</v>
      </c>
      <c r="J129" s="150">
        <v>69867</v>
      </c>
      <c r="K129" s="150">
        <v>60731</v>
      </c>
      <c r="L129" s="150">
        <v>53795</v>
      </c>
      <c r="M129" s="150">
        <v>55288</v>
      </c>
      <c r="N129" s="151">
        <v>50351</v>
      </c>
    </row>
    <row r="130" spans="1:14">
      <c r="B130" t="s">
        <v>756</v>
      </c>
      <c r="C130" s="190">
        <v>66.8</v>
      </c>
      <c r="D130" s="190">
        <v>64.900000000000006</v>
      </c>
      <c r="E130" s="190">
        <v>57.9</v>
      </c>
      <c r="F130" s="190">
        <v>68.2</v>
      </c>
      <c r="G130" s="190">
        <v>65.7</v>
      </c>
      <c r="H130" s="190">
        <v>69</v>
      </c>
      <c r="I130" s="190">
        <v>61.5</v>
      </c>
      <c r="J130" s="190">
        <v>77</v>
      </c>
      <c r="K130" s="190">
        <v>72.099999999999994</v>
      </c>
      <c r="L130" s="190">
        <v>67.8</v>
      </c>
      <c r="M130" s="190">
        <v>60.9</v>
      </c>
      <c r="N130" s="190">
        <v>51.5</v>
      </c>
    </row>
    <row r="131" spans="1:14">
      <c r="B131" s="195" t="s">
        <v>719</v>
      </c>
      <c r="C131" s="112"/>
      <c r="D131" s="112"/>
      <c r="E131" s="112"/>
      <c r="F131" s="121">
        <v>50000</v>
      </c>
      <c r="G131" s="112"/>
      <c r="H131" s="112"/>
      <c r="I131" s="112"/>
      <c r="J131" s="121">
        <v>50000</v>
      </c>
      <c r="K131" s="112"/>
      <c r="L131" s="112"/>
      <c r="M131" s="112"/>
      <c r="N131" s="121">
        <v>50000</v>
      </c>
    </row>
    <row r="132" spans="1:14" ht="15.75" thickBot="1">
      <c r="C132" s="112"/>
      <c r="D132" s="112"/>
      <c r="E132" s="112"/>
      <c r="F132" s="112">
        <v>58076</v>
      </c>
      <c r="G132" s="112"/>
      <c r="H132" s="112"/>
      <c r="I132" s="112"/>
      <c r="J132" s="112">
        <v>19867</v>
      </c>
      <c r="K132" s="112"/>
      <c r="L132" s="112"/>
      <c r="M132" s="112"/>
      <c r="N132" s="112">
        <v>351</v>
      </c>
    </row>
    <row r="133" spans="1:14">
      <c r="A133" s="108"/>
      <c r="B133" s="200"/>
      <c r="C133" s="109" t="s">
        <v>68</v>
      </c>
      <c r="D133" s="109" t="s">
        <v>69</v>
      </c>
      <c r="E133" s="109" t="s">
        <v>70</v>
      </c>
      <c r="F133" s="109" t="s">
        <v>71</v>
      </c>
      <c r="G133" s="109" t="s">
        <v>72</v>
      </c>
      <c r="H133" s="109" t="s">
        <v>73</v>
      </c>
      <c r="I133" s="109" t="s">
        <v>74</v>
      </c>
      <c r="J133" s="109" t="s">
        <v>75</v>
      </c>
      <c r="K133" s="109" t="s">
        <v>76</v>
      </c>
      <c r="L133" s="109" t="s">
        <v>77</v>
      </c>
      <c r="M133" s="109" t="s">
        <v>78</v>
      </c>
      <c r="N133" s="110" t="s">
        <v>79</v>
      </c>
    </row>
    <row r="134" spans="1:14">
      <c r="A134" s="123" t="s">
        <v>34</v>
      </c>
      <c r="B134" t="s">
        <v>196</v>
      </c>
      <c r="C134" s="112">
        <v>195300</v>
      </c>
      <c r="D134" s="112">
        <v>568303</v>
      </c>
      <c r="E134" s="112">
        <v>714979</v>
      </c>
      <c r="F134" s="112">
        <v>64224</v>
      </c>
      <c r="G134" s="112">
        <v>289984</v>
      </c>
      <c r="H134" s="112">
        <v>274880</v>
      </c>
      <c r="I134" s="112">
        <v>249472</v>
      </c>
      <c r="J134" s="112">
        <v>73472</v>
      </c>
      <c r="K134" s="112">
        <v>62656</v>
      </c>
      <c r="L134" s="112">
        <v>300000</v>
      </c>
      <c r="M134" s="112">
        <v>300000</v>
      </c>
      <c r="N134" s="112">
        <v>300000</v>
      </c>
    </row>
    <row r="135" spans="1:14">
      <c r="A135" s="111"/>
      <c r="B135" t="s">
        <v>12</v>
      </c>
      <c r="C135" s="112">
        <v>217625</v>
      </c>
      <c r="D135" s="112">
        <v>324171</v>
      </c>
      <c r="E135" s="112">
        <v>472835</v>
      </c>
      <c r="F135" s="112">
        <v>535552</v>
      </c>
      <c r="G135" s="112">
        <v>557588</v>
      </c>
      <c r="H135" s="112">
        <v>684428</v>
      </c>
      <c r="I135" s="112">
        <v>533492</v>
      </c>
      <c r="J135" s="112">
        <v>389094</v>
      </c>
      <c r="K135" s="112">
        <v>317499</v>
      </c>
      <c r="L135" s="112">
        <v>246085</v>
      </c>
      <c r="M135" s="112">
        <v>229934</v>
      </c>
      <c r="N135" s="112">
        <v>261465</v>
      </c>
    </row>
    <row r="136" spans="1:14" ht="19.5" thickBot="1">
      <c r="A136" s="148" t="s">
        <v>754</v>
      </c>
      <c r="B136" s="972">
        <v>2232153</v>
      </c>
      <c r="C136" s="1005">
        <v>2201631</v>
      </c>
      <c r="D136" s="150">
        <v>2445764</v>
      </c>
      <c r="E136" s="150">
        <v>2687908</v>
      </c>
      <c r="F136" s="150">
        <v>2216580</v>
      </c>
      <c r="G136" s="150">
        <v>1948976</v>
      </c>
      <c r="H136" s="150">
        <v>1539428</v>
      </c>
      <c r="I136" s="150">
        <v>1255409</v>
      </c>
      <c r="J136" s="150">
        <v>939787</v>
      </c>
      <c r="K136" s="150">
        <v>684944</v>
      </c>
      <c r="L136" s="150">
        <v>738859</v>
      </c>
      <c r="M136" s="150">
        <v>808925</v>
      </c>
      <c r="N136" s="151">
        <v>847460</v>
      </c>
    </row>
    <row r="137" spans="1:14">
      <c r="B137" t="s">
        <v>756</v>
      </c>
      <c r="C137" s="190">
        <v>165.7</v>
      </c>
      <c r="D137" s="190">
        <v>145.5</v>
      </c>
      <c r="E137" s="190">
        <v>147.5</v>
      </c>
      <c r="F137" s="190">
        <v>107.1</v>
      </c>
      <c r="G137" s="190">
        <v>96</v>
      </c>
      <c r="H137" s="190">
        <v>100.1</v>
      </c>
      <c r="I137" s="190">
        <v>106.6</v>
      </c>
      <c r="J137" s="190">
        <v>100.1</v>
      </c>
      <c r="K137" s="190">
        <v>86.3</v>
      </c>
      <c r="L137" s="190">
        <v>90.2</v>
      </c>
      <c r="M137" s="190">
        <v>101.3</v>
      </c>
      <c r="N137" s="190">
        <v>93.9</v>
      </c>
    </row>
    <row r="138" spans="1:14">
      <c r="B138" s="195" t="s">
        <v>719</v>
      </c>
      <c r="C138" s="112"/>
      <c r="D138" s="112"/>
      <c r="E138" s="112"/>
      <c r="F138" s="121">
        <v>1500000</v>
      </c>
      <c r="G138" s="112"/>
      <c r="H138" s="112"/>
      <c r="I138" s="112"/>
      <c r="J138" s="121">
        <v>1000000</v>
      </c>
      <c r="K138" s="112"/>
      <c r="L138" s="112"/>
      <c r="M138" s="112"/>
      <c r="N138" s="121">
        <v>1500000</v>
      </c>
    </row>
    <row r="139" spans="1:14" ht="15.75" thickBot="1">
      <c r="F139" s="112">
        <v>716580</v>
      </c>
      <c r="G139" s="112"/>
      <c r="H139" s="112"/>
      <c r="I139" s="112"/>
      <c r="J139" s="112">
        <v>-60213</v>
      </c>
      <c r="K139" s="112"/>
      <c r="L139" s="112"/>
      <c r="M139" s="112"/>
      <c r="N139" s="112">
        <v>-652540</v>
      </c>
    </row>
    <row r="140" spans="1:14">
      <c r="A140" s="108"/>
      <c r="B140" s="200"/>
      <c r="C140" s="109" t="s">
        <v>68</v>
      </c>
      <c r="D140" s="109" t="s">
        <v>69</v>
      </c>
      <c r="E140" s="109" t="s">
        <v>70</v>
      </c>
      <c r="F140" s="109" t="s">
        <v>71</v>
      </c>
      <c r="G140" s="109" t="s">
        <v>72</v>
      </c>
      <c r="H140" s="109" t="s">
        <v>73</v>
      </c>
      <c r="I140" s="109" t="s">
        <v>74</v>
      </c>
      <c r="J140" s="109" t="s">
        <v>75</v>
      </c>
      <c r="K140" s="109" t="s">
        <v>76</v>
      </c>
      <c r="L140" s="109" t="s">
        <v>77</v>
      </c>
      <c r="M140" s="109" t="s">
        <v>78</v>
      </c>
      <c r="N140" s="110" t="s">
        <v>79</v>
      </c>
    </row>
    <row r="141" spans="1:14">
      <c r="A141" s="123" t="s">
        <v>27</v>
      </c>
      <c r="B141" t="s">
        <v>196</v>
      </c>
      <c r="C141" s="112">
        <v>90072</v>
      </c>
      <c r="D141" s="112">
        <v>150643</v>
      </c>
      <c r="E141" s="112">
        <v>286152</v>
      </c>
      <c r="F141" s="112">
        <v>279588</v>
      </c>
      <c r="G141" s="112" t="s">
        <v>1348</v>
      </c>
      <c r="H141" s="112">
        <v>84000</v>
      </c>
      <c r="I141" s="112">
        <v>132000</v>
      </c>
      <c r="J141" s="112">
        <v>204000</v>
      </c>
      <c r="K141" s="112">
        <v>132000</v>
      </c>
      <c r="L141" s="112">
        <v>144000</v>
      </c>
      <c r="M141" s="112">
        <v>168000</v>
      </c>
      <c r="N141" s="112">
        <v>146880</v>
      </c>
    </row>
    <row r="142" spans="1:14">
      <c r="A142" s="111"/>
      <c r="B142" t="s">
        <v>12</v>
      </c>
      <c r="C142" s="112">
        <v>48006</v>
      </c>
      <c r="D142" s="112">
        <v>64257</v>
      </c>
      <c r="E142" s="112">
        <v>129587</v>
      </c>
      <c r="F142" s="112">
        <v>155858</v>
      </c>
      <c r="G142" s="112">
        <v>191093</v>
      </c>
      <c r="H142" s="112">
        <v>194978</v>
      </c>
      <c r="I142" s="112">
        <v>185005</v>
      </c>
      <c r="J142" s="112">
        <v>190661</v>
      </c>
      <c r="K142" s="112">
        <v>179067</v>
      </c>
      <c r="L142" s="112">
        <v>180322</v>
      </c>
      <c r="M142" s="112">
        <v>155968</v>
      </c>
      <c r="N142" s="112">
        <v>162226</v>
      </c>
    </row>
    <row r="143" spans="1:14" ht="19.5" thickBot="1">
      <c r="A143" s="148" t="s">
        <v>754</v>
      </c>
      <c r="B143" s="972">
        <v>195671</v>
      </c>
      <c r="C143" s="1005">
        <v>241562</v>
      </c>
      <c r="D143" s="150">
        <v>327948</v>
      </c>
      <c r="E143" s="150">
        <v>484513</v>
      </c>
      <c r="F143" s="150">
        <v>608244</v>
      </c>
      <c r="G143" s="150">
        <v>417151</v>
      </c>
      <c r="H143" s="150">
        <v>306173</v>
      </c>
      <c r="I143" s="150">
        <v>253168</v>
      </c>
      <c r="J143" s="150">
        <v>266507</v>
      </c>
      <c r="K143" s="150">
        <v>219440</v>
      </c>
      <c r="L143" s="150">
        <v>183118</v>
      </c>
      <c r="M143" s="150">
        <v>195150</v>
      </c>
      <c r="N143" s="151">
        <v>179804</v>
      </c>
    </row>
    <row r="144" spans="1:14">
      <c r="B144" t="s">
        <v>756</v>
      </c>
      <c r="C144" s="190">
        <v>74.8</v>
      </c>
      <c r="D144" s="190">
        <v>68.900000000000006</v>
      </c>
      <c r="E144" s="190">
        <v>83.8</v>
      </c>
      <c r="F144" s="190">
        <v>94.5</v>
      </c>
      <c r="G144" s="190">
        <v>65.900000000000006</v>
      </c>
      <c r="H144" s="190">
        <v>48.9</v>
      </c>
      <c r="I144" s="190">
        <v>41.1</v>
      </c>
      <c r="J144" s="190">
        <v>44.5</v>
      </c>
      <c r="K144" s="190">
        <v>39.200000000000003</v>
      </c>
      <c r="L144" s="190">
        <v>34.5</v>
      </c>
      <c r="M144" s="190">
        <v>55.7</v>
      </c>
      <c r="N144" s="190">
        <v>96.1</v>
      </c>
    </row>
    <row r="145" spans="1:14">
      <c r="B145" s="195" t="s">
        <v>719</v>
      </c>
      <c r="C145" s="112"/>
      <c r="D145" s="112"/>
      <c r="E145" s="112"/>
      <c r="F145" s="121">
        <v>40000</v>
      </c>
      <c r="G145" s="112"/>
      <c r="H145" s="112"/>
      <c r="I145" s="112"/>
      <c r="J145" s="121">
        <v>359000</v>
      </c>
      <c r="K145" s="112"/>
      <c r="L145" s="112"/>
      <c r="M145" s="112"/>
      <c r="N145" s="121">
        <v>260000</v>
      </c>
    </row>
    <row r="146" spans="1:14" ht="15.75" thickBot="1">
      <c r="F146" s="112">
        <v>568244</v>
      </c>
      <c r="G146" s="112"/>
      <c r="H146" s="112"/>
      <c r="I146" s="112"/>
      <c r="J146" s="112">
        <v>-92493</v>
      </c>
      <c r="K146" s="112"/>
      <c r="L146" s="112"/>
      <c r="M146" s="112"/>
      <c r="N146" s="112">
        <v>-80196</v>
      </c>
    </row>
    <row r="147" spans="1:14">
      <c r="A147" s="108"/>
      <c r="B147" s="200"/>
      <c r="C147" s="109" t="s">
        <v>68</v>
      </c>
      <c r="D147" s="109" t="s">
        <v>69</v>
      </c>
      <c r="E147" s="109" t="s">
        <v>70</v>
      </c>
      <c r="F147" s="109" t="s">
        <v>71</v>
      </c>
      <c r="G147" s="109" t="s">
        <v>72</v>
      </c>
      <c r="H147" s="109" t="s">
        <v>73</v>
      </c>
      <c r="I147" s="109" t="s">
        <v>74</v>
      </c>
      <c r="J147" s="109" t="s">
        <v>75</v>
      </c>
      <c r="K147" s="109" t="s">
        <v>76</v>
      </c>
      <c r="L147" s="109" t="s">
        <v>77</v>
      </c>
      <c r="M147" s="109" t="s">
        <v>78</v>
      </c>
      <c r="N147" s="110" t="s">
        <v>79</v>
      </c>
    </row>
    <row r="148" spans="1:14">
      <c r="A148" s="123" t="s">
        <v>45</v>
      </c>
      <c r="B148" t="s">
        <v>196</v>
      </c>
      <c r="C148" s="112">
        <v>209337</v>
      </c>
      <c r="D148" s="112">
        <v>195053</v>
      </c>
      <c r="E148" s="112">
        <v>353760</v>
      </c>
      <c r="F148" s="112">
        <v>415680</v>
      </c>
      <c r="G148" s="112">
        <v>144000</v>
      </c>
      <c r="H148" s="112">
        <v>184500</v>
      </c>
      <c r="I148" s="112">
        <v>75000</v>
      </c>
      <c r="J148" s="112">
        <v>175000</v>
      </c>
      <c r="K148" s="112">
        <v>271000</v>
      </c>
      <c r="L148" s="112">
        <v>222000</v>
      </c>
      <c r="M148" s="112">
        <v>96000</v>
      </c>
      <c r="N148" s="112">
        <v>72000</v>
      </c>
    </row>
    <row r="149" spans="1:14">
      <c r="A149" s="111"/>
      <c r="B149" t="s">
        <v>12</v>
      </c>
      <c r="C149" s="112">
        <v>81821</v>
      </c>
      <c r="D149" s="112">
        <v>92466</v>
      </c>
      <c r="E149" s="112">
        <v>171250</v>
      </c>
      <c r="F149" s="112">
        <v>161298</v>
      </c>
      <c r="G149" s="112">
        <v>185312</v>
      </c>
      <c r="H149" s="112">
        <v>207231</v>
      </c>
      <c r="I149" s="112">
        <v>186090</v>
      </c>
      <c r="J149" s="112">
        <v>184856</v>
      </c>
      <c r="K149" s="112">
        <v>176890</v>
      </c>
      <c r="L149" s="112">
        <v>137005</v>
      </c>
      <c r="M149" s="112">
        <v>135786</v>
      </c>
      <c r="N149" s="112">
        <v>153225</v>
      </c>
    </row>
    <row r="150" spans="1:14" ht="19.5" thickBot="1">
      <c r="A150" s="148" t="s">
        <v>754</v>
      </c>
      <c r="B150" s="972">
        <v>126615</v>
      </c>
      <c r="C150" s="1005">
        <v>229541</v>
      </c>
      <c r="D150" s="150">
        <v>332129</v>
      </c>
      <c r="E150" s="150">
        <v>514638</v>
      </c>
      <c r="F150" s="150">
        <v>769021</v>
      </c>
      <c r="G150" s="150">
        <v>727709</v>
      </c>
      <c r="H150" s="150">
        <v>704977</v>
      </c>
      <c r="I150" s="150">
        <v>593887</v>
      </c>
      <c r="J150" s="150">
        <v>584032</v>
      </c>
      <c r="K150" s="150">
        <v>678141</v>
      </c>
      <c r="L150" s="150">
        <v>763136</v>
      </c>
      <c r="M150" s="150">
        <v>723350</v>
      </c>
      <c r="N150" s="151">
        <v>642126</v>
      </c>
    </row>
    <row r="151" spans="1:14">
      <c r="B151" t="s">
        <v>756</v>
      </c>
      <c r="C151" s="190">
        <v>52.2</v>
      </c>
      <c r="D151" s="190">
        <v>59.9</v>
      </c>
      <c r="E151" s="190">
        <v>89.1</v>
      </c>
      <c r="F151" s="190">
        <v>117.5</v>
      </c>
      <c r="G151" s="190">
        <v>111</v>
      </c>
      <c r="H151" s="190">
        <v>114</v>
      </c>
      <c r="I151" s="190">
        <v>98.5</v>
      </c>
      <c r="J151" s="190">
        <v>111.6</v>
      </c>
      <c r="K151" s="190">
        <v>149.19999999999999</v>
      </c>
      <c r="L151" s="190">
        <v>158.4</v>
      </c>
      <c r="M151" s="190">
        <v>184.6</v>
      </c>
      <c r="N151" s="190">
        <v>221.1</v>
      </c>
    </row>
    <row r="152" spans="1:14">
      <c r="B152" s="195" t="s">
        <v>719</v>
      </c>
      <c r="C152" s="112"/>
      <c r="D152" s="112"/>
      <c r="E152" s="112"/>
      <c r="F152" s="121">
        <v>400000</v>
      </c>
      <c r="G152" s="112"/>
      <c r="H152" s="112"/>
      <c r="I152" s="112"/>
      <c r="J152" s="121">
        <v>300000</v>
      </c>
      <c r="K152" s="112"/>
      <c r="L152" s="112"/>
      <c r="M152" s="112"/>
      <c r="N152" s="121">
        <v>300000</v>
      </c>
    </row>
    <row r="153" spans="1:14" ht="15.75" thickBot="1">
      <c r="F153" s="112">
        <v>369021</v>
      </c>
      <c r="G153" s="112"/>
      <c r="H153" s="112"/>
      <c r="I153" s="112"/>
      <c r="J153" s="112">
        <v>284032</v>
      </c>
      <c r="K153" s="112"/>
      <c r="L153" s="112"/>
      <c r="M153" s="112"/>
      <c r="N153" s="112">
        <v>342126</v>
      </c>
    </row>
    <row r="154" spans="1:14">
      <c r="A154" t="s">
        <v>52</v>
      </c>
      <c r="C154" s="109" t="s">
        <v>68</v>
      </c>
      <c r="D154" s="109" t="s">
        <v>69</v>
      </c>
      <c r="E154" s="109" t="s">
        <v>70</v>
      </c>
      <c r="F154" s="109" t="s">
        <v>71</v>
      </c>
      <c r="G154" s="109" t="s">
        <v>72</v>
      </c>
      <c r="H154" s="109" t="s">
        <v>73</v>
      </c>
      <c r="I154" s="109" t="s">
        <v>74</v>
      </c>
      <c r="J154" s="109" t="s">
        <v>75</v>
      </c>
      <c r="K154" s="109" t="s">
        <v>76</v>
      </c>
      <c r="L154" s="109" t="s">
        <v>77</v>
      </c>
      <c r="M154" s="109" t="s">
        <v>78</v>
      </c>
      <c r="N154" s="110" t="s">
        <v>79</v>
      </c>
    </row>
    <row r="155" spans="1:14" ht="21">
      <c r="A155" s="199" t="s">
        <v>766</v>
      </c>
      <c r="B155" t="s">
        <v>196</v>
      </c>
      <c r="C155" s="56">
        <v>8311307</v>
      </c>
      <c r="D155" s="56">
        <v>10146085</v>
      </c>
      <c r="E155" s="56">
        <v>13048001</v>
      </c>
      <c r="F155" s="56">
        <v>10398658</v>
      </c>
      <c r="G155" s="56">
        <v>10757547</v>
      </c>
      <c r="H155" s="56">
        <v>10038249</v>
      </c>
      <c r="I155" s="56">
        <v>10073415</v>
      </c>
      <c r="J155" s="56">
        <v>10047017</v>
      </c>
      <c r="K155" s="56">
        <v>7462978</v>
      </c>
      <c r="L155" s="56">
        <v>6938079</v>
      </c>
      <c r="M155" s="56">
        <v>5416565</v>
      </c>
      <c r="N155" s="56">
        <v>4351228</v>
      </c>
    </row>
    <row r="156" spans="1:14">
      <c r="B156" t="s">
        <v>12</v>
      </c>
      <c r="C156" s="56">
        <v>6670305</v>
      </c>
      <c r="D156" s="56">
        <v>7424766</v>
      </c>
      <c r="E156" s="56">
        <v>10119048</v>
      </c>
      <c r="F156" s="56">
        <v>9464324</v>
      </c>
      <c r="G156" s="56">
        <v>10990396</v>
      </c>
      <c r="H156" s="56">
        <v>12031989</v>
      </c>
      <c r="I156" s="56">
        <v>10844654</v>
      </c>
      <c r="J156" s="56">
        <v>9964393</v>
      </c>
      <c r="K156" s="56">
        <v>8077826</v>
      </c>
      <c r="L156" s="56">
        <v>7495721</v>
      </c>
      <c r="M156" s="56">
        <v>7241984</v>
      </c>
      <c r="N156" s="56">
        <v>6442804</v>
      </c>
    </row>
    <row r="157" spans="1:14" ht="19.5" thickBot="1">
      <c r="A157" s="148" t="s">
        <v>754</v>
      </c>
      <c r="B157" s="425">
        <v>18647576</v>
      </c>
      <c r="C157" s="1004">
        <v>20139662</v>
      </c>
      <c r="D157" s="150">
        <v>22860982</v>
      </c>
      <c r="E157" s="150">
        <v>25789935</v>
      </c>
      <c r="F157" s="150">
        <v>26724268</v>
      </c>
      <c r="G157" s="150">
        <v>26491420</v>
      </c>
      <c r="H157" s="150">
        <v>24497680</v>
      </c>
      <c r="I157" s="150">
        <v>23726441</v>
      </c>
      <c r="J157" s="150">
        <v>23809065</v>
      </c>
      <c r="K157" s="150">
        <v>23194216</v>
      </c>
      <c r="L157" s="150">
        <v>22636575</v>
      </c>
      <c r="M157" s="150">
        <v>20811156</v>
      </c>
      <c r="N157" s="151">
        <v>18719580</v>
      </c>
    </row>
    <row r="158" spans="1:14">
      <c r="B158" t="s">
        <v>756</v>
      </c>
      <c r="C158" s="190">
        <v>68.900000000000006</v>
      </c>
      <c r="D158" s="190">
        <v>70</v>
      </c>
      <c r="E158" s="190">
        <v>75.599999999999994</v>
      </c>
      <c r="F158" s="190">
        <v>69.599999999999994</v>
      </c>
      <c r="G158" s="190">
        <v>69.5</v>
      </c>
      <c r="H158" s="190">
        <v>70.599999999999994</v>
      </c>
      <c r="I158" s="190">
        <v>78.900000000000006</v>
      </c>
      <c r="J158" s="190">
        <v>91.7</v>
      </c>
      <c r="K158" s="190">
        <v>94.4</v>
      </c>
      <c r="L158" s="190">
        <v>99.2</v>
      </c>
      <c r="M158" s="190">
        <v>95.2</v>
      </c>
      <c r="N158" s="190">
        <v>79.7</v>
      </c>
    </row>
    <row r="159" spans="1:14">
      <c r="B159" s="195" t="s">
        <v>719</v>
      </c>
      <c r="C159" s="112"/>
      <c r="D159" s="112"/>
      <c r="E159" s="112"/>
      <c r="F159" s="121">
        <v>21298076</v>
      </c>
      <c r="G159" s="112"/>
      <c r="H159" s="112"/>
      <c r="I159" s="112"/>
      <c r="J159" s="121">
        <v>14394867</v>
      </c>
      <c r="K159" s="112"/>
      <c r="L159" s="112"/>
      <c r="M159" s="112"/>
      <c r="N159" s="121">
        <v>17125351</v>
      </c>
    </row>
    <row r="160" spans="1:14">
      <c r="B160" s="195"/>
      <c r="C160" s="154"/>
      <c r="D160" s="112"/>
      <c r="E160" s="112"/>
      <c r="F160" s="112">
        <v>5426193</v>
      </c>
      <c r="G160" s="112"/>
      <c r="H160" s="112"/>
      <c r="I160" s="112"/>
      <c r="J160" s="112">
        <v>9414198</v>
      </c>
      <c r="K160" s="112"/>
      <c r="L160" s="112"/>
      <c r="M160" s="112"/>
      <c r="N160" s="112">
        <v>1594229</v>
      </c>
    </row>
    <row r="161" spans="2:14">
      <c r="B161" s="94"/>
      <c r="C161" s="228">
        <v>20139.66</v>
      </c>
      <c r="D161" s="228">
        <v>22860.98</v>
      </c>
      <c r="E161" s="228">
        <v>25789.93</v>
      </c>
      <c r="F161" s="228">
        <v>26724.27</v>
      </c>
      <c r="G161" s="228">
        <v>26491.42</v>
      </c>
      <c r="H161" s="228">
        <v>24497.68</v>
      </c>
      <c r="I161" s="228">
        <v>23726.44</v>
      </c>
      <c r="J161" s="228">
        <v>23809.07</v>
      </c>
      <c r="K161" s="228">
        <v>23194.22</v>
      </c>
      <c r="L161" s="228">
        <v>22636.57</v>
      </c>
      <c r="M161" s="228">
        <v>20811.16</v>
      </c>
      <c r="N161" s="228">
        <v>18719.580000000002</v>
      </c>
    </row>
    <row r="162" spans="2:14">
      <c r="B162" s="94" t="s">
        <v>1349</v>
      </c>
      <c r="C162" s="494">
        <v>150</v>
      </c>
      <c r="D162" s="494">
        <v>150</v>
      </c>
      <c r="E162" s="494">
        <v>150</v>
      </c>
      <c r="F162" s="494">
        <v>150</v>
      </c>
      <c r="G162" s="494">
        <v>150</v>
      </c>
      <c r="H162" s="494">
        <v>150</v>
      </c>
      <c r="I162" s="494">
        <v>150</v>
      </c>
      <c r="J162" s="494">
        <v>150</v>
      </c>
      <c r="K162" s="494">
        <v>150</v>
      </c>
      <c r="L162" s="494">
        <v>150</v>
      </c>
      <c r="M162" s="494">
        <v>150</v>
      </c>
      <c r="N162" s="494">
        <v>150</v>
      </c>
    </row>
    <row r="163" spans="2:14">
      <c r="B163" s="94"/>
      <c r="C163" s="495">
        <v>20290</v>
      </c>
      <c r="D163" s="495">
        <v>23011</v>
      </c>
      <c r="E163" s="495">
        <v>25940</v>
      </c>
      <c r="F163" s="495">
        <v>26874</v>
      </c>
      <c r="G163" s="495">
        <v>26641</v>
      </c>
      <c r="H163" s="495">
        <v>24648</v>
      </c>
      <c r="I163" s="495">
        <v>23876</v>
      </c>
      <c r="J163" s="495">
        <v>23959</v>
      </c>
      <c r="K163" s="495">
        <v>23344</v>
      </c>
      <c r="L163" s="495">
        <v>22787</v>
      </c>
      <c r="M163" s="495">
        <v>20961</v>
      </c>
      <c r="N163" s="495">
        <v>18870</v>
      </c>
    </row>
    <row r="164" spans="2:14">
      <c r="C164" s="112"/>
      <c r="D164" s="112"/>
      <c r="E164" s="112"/>
      <c r="F164" s="121"/>
      <c r="G164" s="112"/>
      <c r="H164" s="112"/>
      <c r="I164" s="112"/>
      <c r="J164" s="281"/>
      <c r="K164" s="112"/>
      <c r="L164" s="112"/>
      <c r="M164" s="112"/>
      <c r="N164" s="154"/>
    </row>
  </sheetData>
  <conditionalFormatting sqref="C6:E7 G6:H7 K6:M7">
    <cfRule type="cellIs" dxfId="251" priority="243" operator="lessThan">
      <formula>0</formula>
    </cfRule>
    <cfRule type="cellIs" dxfId="250" priority="244" operator="greaterThan">
      <formula>0</formula>
    </cfRule>
  </conditionalFormatting>
  <conditionalFormatting sqref="C13:E13 G13:I13 K13:M13">
    <cfRule type="cellIs" dxfId="249" priority="245" operator="lessThan">
      <formula>0</formula>
    </cfRule>
    <cfRule type="cellIs" dxfId="248" priority="246" operator="greaterThan">
      <formula>0</formula>
    </cfRule>
  </conditionalFormatting>
  <conditionalFormatting sqref="C20:E21 K20:M21 G21:H21">
    <cfRule type="cellIs" dxfId="247" priority="165" operator="lessThan">
      <formula>0</formula>
    </cfRule>
    <cfRule type="cellIs" dxfId="246" priority="166" operator="greaterThan">
      <formula>0</formula>
    </cfRule>
  </conditionalFormatting>
  <conditionalFormatting sqref="C28:E30 G28:H30 K28:M30 C37:E40 G37:H40 K37:M40">
    <cfRule type="cellIs" dxfId="245" priority="157" operator="lessThan">
      <formula>0</formula>
    </cfRule>
    <cfRule type="cellIs" dxfId="244" priority="158" operator="greaterThan">
      <formula>0</formula>
    </cfRule>
  </conditionalFormatting>
  <conditionalFormatting sqref="C46:E47 K46:M47 G47:H47">
    <cfRule type="cellIs" dxfId="243" priority="151" operator="lessThan">
      <formula>0</formula>
    </cfRule>
    <cfRule type="cellIs" dxfId="242" priority="152" operator="greaterThan">
      <formula>0</formula>
    </cfRule>
  </conditionalFormatting>
  <conditionalFormatting sqref="C53:E54 K53:M54 G54:H54">
    <cfRule type="cellIs" dxfId="241" priority="145" operator="lessThan">
      <formula>0</formula>
    </cfRule>
    <cfRule type="cellIs" dxfId="240" priority="146" operator="greaterThan">
      <formula>0</formula>
    </cfRule>
  </conditionalFormatting>
  <conditionalFormatting sqref="C61:E61 G61:H61 K61:M61">
    <cfRule type="cellIs" dxfId="239" priority="139" operator="lessThan">
      <formula>0</formula>
    </cfRule>
    <cfRule type="cellIs" dxfId="238" priority="140" operator="greaterThan">
      <formula>0</formula>
    </cfRule>
  </conditionalFormatting>
  <conditionalFormatting sqref="C67:E68">
    <cfRule type="cellIs" dxfId="237" priority="131" operator="lessThan">
      <formula>0</formula>
    </cfRule>
    <cfRule type="cellIs" dxfId="236" priority="132" operator="greaterThan">
      <formula>0</formula>
    </cfRule>
  </conditionalFormatting>
  <conditionalFormatting sqref="C89:E90 K89:M90 G90:H90">
    <cfRule type="cellIs" dxfId="235" priority="113" operator="lessThan">
      <formula>0</formula>
    </cfRule>
    <cfRule type="cellIs" dxfId="234" priority="114" operator="greaterThan">
      <formula>0</formula>
    </cfRule>
  </conditionalFormatting>
  <conditionalFormatting sqref="C96:E97 K96:M97 G97:H97">
    <cfRule type="cellIs" dxfId="233" priority="101" operator="lessThan">
      <formula>0</formula>
    </cfRule>
    <cfRule type="cellIs" dxfId="232" priority="102" operator="greaterThan">
      <formula>0</formula>
    </cfRule>
  </conditionalFormatting>
  <conditionalFormatting sqref="C103:E104">
    <cfRule type="cellIs" dxfId="231" priority="109" operator="lessThan">
      <formula>0</formula>
    </cfRule>
    <cfRule type="cellIs" dxfId="230" priority="110" operator="greaterThan">
      <formula>0</formula>
    </cfRule>
  </conditionalFormatting>
  <conditionalFormatting sqref="C110:E110">
    <cfRule type="cellIs" dxfId="229" priority="183" operator="lessThan">
      <formula>0</formula>
    </cfRule>
    <cfRule type="cellIs" dxfId="228" priority="184" operator="greaterThan">
      <formula>0</formula>
    </cfRule>
  </conditionalFormatting>
  <conditionalFormatting sqref="C117:E117 G117:I117">
    <cfRule type="cellIs" dxfId="227" priority="227" operator="lessThan">
      <formula>0</formula>
    </cfRule>
    <cfRule type="cellIs" dxfId="226" priority="228" operator="greaterThan">
      <formula>0</formula>
    </cfRule>
  </conditionalFormatting>
  <conditionalFormatting sqref="C124:E125">
    <cfRule type="cellIs" dxfId="225" priority="225" operator="lessThan">
      <formula>0</formula>
    </cfRule>
    <cfRule type="cellIs" dxfId="224" priority="226" operator="greaterThan">
      <formula>0</formula>
    </cfRule>
  </conditionalFormatting>
  <conditionalFormatting sqref="C131:E131">
    <cfRule type="cellIs" dxfId="223" priority="181" operator="lessThan">
      <formula>0</formula>
    </cfRule>
    <cfRule type="cellIs" dxfId="222" priority="182" operator="greaterThan">
      <formula>0</formula>
    </cfRule>
  </conditionalFormatting>
  <conditionalFormatting sqref="C132:E132">
    <cfRule type="cellIs" dxfId="221" priority="223" operator="lessThan">
      <formula>0</formula>
    </cfRule>
    <cfRule type="cellIs" dxfId="220" priority="224" operator="greaterThan">
      <formula>0</formula>
    </cfRule>
  </conditionalFormatting>
  <conditionalFormatting sqref="C138:E138">
    <cfRule type="cellIs" dxfId="219" priority="221" operator="lessThan">
      <formula>0</formula>
    </cfRule>
    <cfRule type="cellIs" dxfId="218" priority="222" operator="greaterThan">
      <formula>0</formula>
    </cfRule>
  </conditionalFormatting>
  <conditionalFormatting sqref="C145:E145">
    <cfRule type="cellIs" dxfId="217" priority="11" operator="lessThan">
      <formula>0</formula>
    </cfRule>
    <cfRule type="cellIs" dxfId="216" priority="12" operator="greaterThan">
      <formula>0</formula>
    </cfRule>
  </conditionalFormatting>
  <conditionalFormatting sqref="C152:E152">
    <cfRule type="cellIs" dxfId="215" priority="5" operator="lessThan">
      <formula>0</formula>
    </cfRule>
    <cfRule type="cellIs" dxfId="214" priority="6" operator="greaterThan">
      <formula>0</formula>
    </cfRule>
  </conditionalFormatting>
  <conditionalFormatting sqref="C159:E160 G159:I160 K159:M160">
    <cfRule type="cellIs" dxfId="213" priority="179" operator="lessThan">
      <formula>0</formula>
    </cfRule>
    <cfRule type="cellIs" dxfId="212" priority="180" operator="greaterThan">
      <formula>0</formula>
    </cfRule>
  </conditionalFormatting>
  <conditionalFormatting sqref="C5:N5 C164:E164">
    <cfRule type="cellIs" dxfId="211" priority="241" operator="lessThan">
      <formula>0</formula>
    </cfRule>
    <cfRule type="cellIs" dxfId="210" priority="242" operator="greaterThan">
      <formula>0</formula>
    </cfRule>
  </conditionalFormatting>
  <conditionalFormatting sqref="C12:N12">
    <cfRule type="cellIs" dxfId="209" priority="219" operator="lessThan">
      <formula>0</formula>
    </cfRule>
    <cfRule type="cellIs" dxfId="208" priority="220" operator="greaterThan">
      <formula>0</formula>
    </cfRule>
  </conditionalFormatting>
  <conditionalFormatting sqref="C19:N19">
    <cfRule type="cellIs" dxfId="207" priority="217" operator="lessThan">
      <formula>0</formula>
    </cfRule>
    <cfRule type="cellIs" dxfId="206" priority="218" operator="greaterThan">
      <formula>0</formula>
    </cfRule>
  </conditionalFormatting>
  <conditionalFormatting sqref="C26:N26">
    <cfRule type="cellIs" dxfId="205" priority="193" operator="lessThan">
      <formula>0</formula>
    </cfRule>
    <cfRule type="cellIs" dxfId="204" priority="194" operator="greaterThan">
      <formula>0</formula>
    </cfRule>
  </conditionalFormatting>
  <conditionalFormatting sqref="C35:N35">
    <cfRule type="cellIs" dxfId="203" priority="21" operator="lessThan">
      <formula>0</formula>
    </cfRule>
    <cfRule type="cellIs" dxfId="202" priority="22" operator="greaterThan">
      <formula>0</formula>
    </cfRule>
  </conditionalFormatting>
  <conditionalFormatting sqref="C45:N45">
    <cfRule type="cellIs" dxfId="201" priority="185" operator="lessThan">
      <formula>0</formula>
    </cfRule>
    <cfRule type="cellIs" dxfId="200" priority="186" operator="greaterThan">
      <formula>0</formula>
    </cfRule>
  </conditionalFormatting>
  <conditionalFormatting sqref="C52:N52">
    <cfRule type="cellIs" dxfId="199" priority="215" operator="lessThan">
      <formula>0</formula>
    </cfRule>
    <cfRule type="cellIs" dxfId="198" priority="216" operator="greaterThan">
      <formula>0</formula>
    </cfRule>
  </conditionalFormatting>
  <conditionalFormatting sqref="C59:N59">
    <cfRule type="cellIs" dxfId="197" priority="213" operator="lessThan">
      <formula>0</formula>
    </cfRule>
    <cfRule type="cellIs" dxfId="196" priority="214" operator="greaterThan">
      <formula>0</formula>
    </cfRule>
  </conditionalFormatting>
  <conditionalFormatting sqref="C66:N66">
    <cfRule type="cellIs" dxfId="195" priority="211" operator="lessThan">
      <formula>0</formula>
    </cfRule>
    <cfRule type="cellIs" dxfId="194" priority="212" operator="greaterThan">
      <formula>0</formula>
    </cfRule>
  </conditionalFormatting>
  <conditionalFormatting sqref="C73:N73">
    <cfRule type="cellIs" dxfId="193" priority="209" operator="lessThan">
      <formula>0</formula>
    </cfRule>
    <cfRule type="cellIs" dxfId="192" priority="210" operator="greaterThan">
      <formula>0</formula>
    </cfRule>
  </conditionalFormatting>
  <conditionalFormatting sqref="C80:N80">
    <cfRule type="cellIs" dxfId="191" priority="207" operator="lessThan">
      <formula>0</formula>
    </cfRule>
    <cfRule type="cellIs" dxfId="190" priority="208" operator="greaterThan">
      <formula>0</formula>
    </cfRule>
  </conditionalFormatting>
  <conditionalFormatting sqref="C88:N88">
    <cfRule type="cellIs" dxfId="189" priority="205" operator="lessThan">
      <formula>0</formula>
    </cfRule>
    <cfRule type="cellIs" dxfId="188" priority="206" operator="greaterThan">
      <formula>0</formula>
    </cfRule>
  </conditionalFormatting>
  <conditionalFormatting sqref="C95:N95">
    <cfRule type="cellIs" dxfId="187" priority="203" operator="lessThan">
      <formula>0</formula>
    </cfRule>
    <cfRule type="cellIs" dxfId="186" priority="204" operator="greaterThan">
      <formula>0</formula>
    </cfRule>
  </conditionalFormatting>
  <conditionalFormatting sqref="C102:N102">
    <cfRule type="cellIs" dxfId="185" priority="201" operator="lessThan">
      <formula>0</formula>
    </cfRule>
    <cfRule type="cellIs" dxfId="184" priority="202" operator="greaterThan">
      <formula>0</formula>
    </cfRule>
  </conditionalFormatting>
  <conditionalFormatting sqref="C109:N109">
    <cfRule type="cellIs" dxfId="183" priority="199" operator="lessThan">
      <formula>0</formula>
    </cfRule>
    <cfRule type="cellIs" dxfId="182" priority="200" operator="greaterThan">
      <formula>0</formula>
    </cfRule>
  </conditionalFormatting>
  <conditionalFormatting sqref="C116:N116">
    <cfRule type="cellIs" dxfId="181" priority="187" operator="lessThan">
      <formula>0</formula>
    </cfRule>
    <cfRule type="cellIs" dxfId="180" priority="188" operator="greaterThan">
      <formula>0</formula>
    </cfRule>
  </conditionalFormatting>
  <conditionalFormatting sqref="C123:N123">
    <cfRule type="cellIs" dxfId="179" priority="197" operator="lessThan">
      <formula>0</formula>
    </cfRule>
    <cfRule type="cellIs" dxfId="178" priority="198" operator="greaterThan">
      <formula>0</formula>
    </cfRule>
  </conditionalFormatting>
  <conditionalFormatting sqref="C130:N130">
    <cfRule type="cellIs" dxfId="177" priority="191" operator="lessThan">
      <formula>0</formula>
    </cfRule>
    <cfRule type="cellIs" dxfId="176" priority="192" operator="greaterThan">
      <formula>0</formula>
    </cfRule>
  </conditionalFormatting>
  <conditionalFormatting sqref="C137:N137">
    <cfRule type="cellIs" dxfId="175" priority="189" operator="lessThan">
      <formula>0</formula>
    </cfRule>
    <cfRule type="cellIs" dxfId="174" priority="190" operator="greaterThan">
      <formula>0</formula>
    </cfRule>
  </conditionalFormatting>
  <conditionalFormatting sqref="C144:N144">
    <cfRule type="cellIs" dxfId="173" priority="9" operator="lessThan">
      <formula>0</formula>
    </cfRule>
    <cfRule type="cellIs" dxfId="172" priority="10" operator="greaterThan">
      <formula>0</formula>
    </cfRule>
  </conditionalFormatting>
  <conditionalFormatting sqref="C151:N151">
    <cfRule type="cellIs" dxfId="171" priority="3" operator="lessThan">
      <formula>0</formula>
    </cfRule>
    <cfRule type="cellIs" dxfId="170" priority="4" operator="greaterThan">
      <formula>0</formula>
    </cfRule>
  </conditionalFormatting>
  <conditionalFormatting sqref="C158:N158">
    <cfRule type="cellIs" dxfId="169" priority="195" operator="lessThan">
      <formula>0</formula>
    </cfRule>
    <cfRule type="cellIs" dxfId="168" priority="196" operator="greaterThan">
      <formula>0</formula>
    </cfRule>
  </conditionalFormatting>
  <conditionalFormatting sqref="F7">
    <cfRule type="cellIs" dxfId="167" priority="173" operator="lessThan">
      <formula>0</formula>
    </cfRule>
    <cfRule type="cellIs" dxfId="166" priority="174" operator="greaterThan">
      <formula>0</formula>
    </cfRule>
  </conditionalFormatting>
  <conditionalFormatting sqref="F14">
    <cfRule type="cellIs" dxfId="165" priority="171" operator="lessThan">
      <formula>0</formula>
    </cfRule>
    <cfRule type="cellIs" dxfId="164" priority="172" operator="greaterThan">
      <formula>0</formula>
    </cfRule>
  </conditionalFormatting>
  <conditionalFormatting sqref="F21">
    <cfRule type="cellIs" dxfId="163" priority="163" operator="lessThan">
      <formula>0</formula>
    </cfRule>
    <cfRule type="cellIs" dxfId="162" priority="164" operator="greaterThan">
      <formula>0</formula>
    </cfRule>
  </conditionalFormatting>
  <conditionalFormatting sqref="F28:F30 F37:F40">
    <cfRule type="cellIs" dxfId="161" priority="155" operator="lessThan">
      <formula>0</formula>
    </cfRule>
    <cfRule type="cellIs" dxfId="160" priority="156" operator="greaterThan">
      <formula>0</formula>
    </cfRule>
  </conditionalFormatting>
  <conditionalFormatting sqref="F47">
    <cfRule type="cellIs" dxfId="159" priority="149" operator="lessThan">
      <formula>0</formula>
    </cfRule>
    <cfRule type="cellIs" dxfId="158" priority="150" operator="greaterThan">
      <formula>0</formula>
    </cfRule>
  </conditionalFormatting>
  <conditionalFormatting sqref="F54">
    <cfRule type="cellIs" dxfId="157" priority="143" operator="lessThan">
      <formula>0</formula>
    </cfRule>
    <cfRule type="cellIs" dxfId="156" priority="144" operator="greaterThan">
      <formula>0</formula>
    </cfRule>
  </conditionalFormatting>
  <conditionalFormatting sqref="F61">
    <cfRule type="cellIs" dxfId="155" priority="137" operator="lessThan">
      <formula>0</formula>
    </cfRule>
    <cfRule type="cellIs" dxfId="154" priority="138" operator="greaterThan">
      <formula>0</formula>
    </cfRule>
  </conditionalFormatting>
  <conditionalFormatting sqref="F68">
    <cfRule type="cellIs" dxfId="153" priority="17" operator="lessThan">
      <formula>0</formula>
    </cfRule>
    <cfRule type="cellIs" dxfId="152" priority="18" operator="greaterThan">
      <formula>0</formula>
    </cfRule>
  </conditionalFormatting>
  <conditionalFormatting sqref="F75">
    <cfRule type="cellIs" dxfId="151" priority="127" operator="lessThan">
      <formula>0</formula>
    </cfRule>
    <cfRule type="cellIs" dxfId="150" priority="128" operator="greaterThan">
      <formula>0</formula>
    </cfRule>
  </conditionalFormatting>
  <conditionalFormatting sqref="F82">
    <cfRule type="cellIs" dxfId="149" priority="119" operator="lessThan">
      <formula>0</formula>
    </cfRule>
    <cfRule type="cellIs" dxfId="148" priority="120" operator="greaterThan">
      <formula>0</formula>
    </cfRule>
  </conditionalFormatting>
  <conditionalFormatting sqref="F90">
    <cfRule type="cellIs" dxfId="147" priority="111" operator="lessThan">
      <formula>0</formula>
    </cfRule>
    <cfRule type="cellIs" dxfId="146" priority="112" operator="greaterThan">
      <formula>0</formula>
    </cfRule>
  </conditionalFormatting>
  <conditionalFormatting sqref="F97">
    <cfRule type="cellIs" dxfId="145" priority="99" operator="lessThan">
      <formula>0</formula>
    </cfRule>
    <cfRule type="cellIs" dxfId="144" priority="100" operator="greaterThan">
      <formula>0</formula>
    </cfRule>
  </conditionalFormatting>
  <conditionalFormatting sqref="F104">
    <cfRule type="cellIs" dxfId="143" priority="103" operator="lessThan">
      <formula>0</formula>
    </cfRule>
    <cfRule type="cellIs" dxfId="142" priority="104" operator="greaterThan">
      <formula>0</formula>
    </cfRule>
  </conditionalFormatting>
  <conditionalFormatting sqref="F111">
    <cfRule type="cellIs" dxfId="141" priority="93" operator="lessThan">
      <formula>0</formula>
    </cfRule>
    <cfRule type="cellIs" dxfId="140" priority="94" operator="greaterThan">
      <formula>0</formula>
    </cfRule>
  </conditionalFormatting>
  <conditionalFormatting sqref="F118">
    <cfRule type="cellIs" dxfId="139" priority="85" operator="lessThan">
      <formula>0</formula>
    </cfRule>
    <cfRule type="cellIs" dxfId="138" priority="86" operator="greaterThan">
      <formula>0</formula>
    </cfRule>
  </conditionalFormatting>
  <conditionalFormatting sqref="F125">
    <cfRule type="cellIs" dxfId="137" priority="75" operator="lessThan">
      <formula>0</formula>
    </cfRule>
    <cfRule type="cellIs" dxfId="136" priority="76" operator="greaterThan">
      <formula>0</formula>
    </cfRule>
  </conditionalFormatting>
  <conditionalFormatting sqref="F132">
    <cfRule type="cellIs" dxfId="135" priority="65" operator="lessThan">
      <formula>0</formula>
    </cfRule>
    <cfRule type="cellIs" dxfId="134" priority="66" operator="greaterThan">
      <formula>0</formula>
    </cfRule>
  </conditionalFormatting>
  <conditionalFormatting sqref="F139 F146 F153">
    <cfRule type="cellIs" dxfId="133" priority="55" operator="lessThan">
      <formula>0</formula>
    </cfRule>
    <cfRule type="cellIs" dxfId="132" priority="56" operator="greaterThan">
      <formula>0</formula>
    </cfRule>
  </conditionalFormatting>
  <conditionalFormatting sqref="F160">
    <cfRule type="cellIs" dxfId="131" priority="51" operator="lessThan">
      <formula>0</formula>
    </cfRule>
    <cfRule type="cellIs" dxfId="130" priority="52" operator="greaterThan">
      <formula>0</formula>
    </cfRule>
  </conditionalFormatting>
  <conditionalFormatting sqref="G20:I20">
    <cfRule type="cellIs" dxfId="129" priority="239" operator="lessThan">
      <formula>0</formula>
    </cfRule>
    <cfRule type="cellIs" dxfId="128" priority="240" operator="greaterThan">
      <formula>0</formula>
    </cfRule>
  </conditionalFormatting>
  <conditionalFormatting sqref="G46:I46">
    <cfRule type="cellIs" dxfId="127" priority="237" operator="lessThan">
      <formula>0</formula>
    </cfRule>
    <cfRule type="cellIs" dxfId="126" priority="238" operator="greaterThan">
      <formula>0</formula>
    </cfRule>
  </conditionalFormatting>
  <conditionalFormatting sqref="G53:I53">
    <cfRule type="cellIs" dxfId="125" priority="235" operator="lessThan">
      <formula>0</formula>
    </cfRule>
    <cfRule type="cellIs" dxfId="124" priority="236" operator="greaterThan">
      <formula>0</formula>
    </cfRule>
  </conditionalFormatting>
  <conditionalFormatting sqref="G67:I67">
    <cfRule type="cellIs" dxfId="123" priority="233" operator="lessThan">
      <formula>0</formula>
    </cfRule>
    <cfRule type="cellIs" dxfId="122" priority="234" operator="greaterThan">
      <formula>0</formula>
    </cfRule>
  </conditionalFormatting>
  <conditionalFormatting sqref="G74:I74">
    <cfRule type="cellIs" dxfId="121" priority="177" operator="lessThan">
      <formula>0</formula>
    </cfRule>
    <cfRule type="cellIs" dxfId="120" priority="178" operator="greaterThan">
      <formula>0</formula>
    </cfRule>
  </conditionalFormatting>
  <conditionalFormatting sqref="G81:I81">
    <cfRule type="cellIs" dxfId="119" priority="175" operator="lessThan">
      <formula>0</formula>
    </cfRule>
    <cfRule type="cellIs" dxfId="118" priority="176" operator="greaterThan">
      <formula>0</formula>
    </cfRule>
  </conditionalFormatting>
  <conditionalFormatting sqref="G89:I89">
    <cfRule type="cellIs" dxfId="117" priority="231" operator="lessThan">
      <formula>0</formula>
    </cfRule>
    <cfRule type="cellIs" dxfId="116" priority="232" operator="greaterThan">
      <formula>0</formula>
    </cfRule>
  </conditionalFormatting>
  <conditionalFormatting sqref="G96:I96">
    <cfRule type="cellIs" dxfId="115" priority="229" operator="lessThan">
      <formula>0</formula>
    </cfRule>
    <cfRule type="cellIs" dxfId="114" priority="230" operator="greaterThan">
      <formula>0</formula>
    </cfRule>
  </conditionalFormatting>
  <conditionalFormatting sqref="G103:I103">
    <cfRule type="cellIs" dxfId="113" priority="107" operator="lessThan">
      <formula>0</formula>
    </cfRule>
    <cfRule type="cellIs" dxfId="112" priority="108" operator="greaterThan">
      <formula>0</formula>
    </cfRule>
  </conditionalFormatting>
  <conditionalFormatting sqref="G110:I110">
    <cfRule type="cellIs" dxfId="111" priority="97" operator="lessThan">
      <formula>0</formula>
    </cfRule>
    <cfRule type="cellIs" dxfId="110" priority="98" operator="greaterThan">
      <formula>0</formula>
    </cfRule>
  </conditionalFormatting>
  <conditionalFormatting sqref="G124:I124">
    <cfRule type="cellIs" dxfId="109" priority="79" operator="lessThan">
      <formula>0</formula>
    </cfRule>
    <cfRule type="cellIs" dxfId="108" priority="80" operator="greaterThan">
      <formula>0</formula>
    </cfRule>
  </conditionalFormatting>
  <conditionalFormatting sqref="G131:I131">
    <cfRule type="cellIs" dxfId="107" priority="69" operator="lessThan">
      <formula>0</formula>
    </cfRule>
    <cfRule type="cellIs" dxfId="106" priority="70" operator="greaterThan">
      <formula>0</formula>
    </cfRule>
  </conditionalFormatting>
  <conditionalFormatting sqref="G138:I138">
    <cfRule type="cellIs" dxfId="105" priority="59" operator="lessThan">
      <formula>0</formula>
    </cfRule>
    <cfRule type="cellIs" dxfId="104" priority="60" operator="greaterThan">
      <formula>0</formula>
    </cfRule>
  </conditionalFormatting>
  <conditionalFormatting sqref="G145:I145">
    <cfRule type="cellIs" dxfId="103" priority="7" operator="lessThan">
      <formula>0</formula>
    </cfRule>
    <cfRule type="cellIs" dxfId="102" priority="8" operator="greaterThan">
      <formula>0</formula>
    </cfRule>
  </conditionalFormatting>
  <conditionalFormatting sqref="G152:I152">
    <cfRule type="cellIs" dxfId="101" priority="1" operator="lessThan">
      <formula>0</formula>
    </cfRule>
    <cfRule type="cellIs" dxfId="100" priority="2" operator="greaterThan">
      <formula>0</formula>
    </cfRule>
  </conditionalFormatting>
  <conditionalFormatting sqref="J7">
    <cfRule type="cellIs" dxfId="99" priority="169" operator="lessThan">
      <formula>0</formula>
    </cfRule>
    <cfRule type="cellIs" dxfId="98" priority="170" operator="greaterThan">
      <formula>0</formula>
    </cfRule>
  </conditionalFormatting>
  <conditionalFormatting sqref="J14">
    <cfRule type="cellIs" dxfId="97" priority="43" operator="lessThan">
      <formula>0</formula>
    </cfRule>
    <cfRule type="cellIs" dxfId="96" priority="44" operator="greaterThan">
      <formula>0</formula>
    </cfRule>
  </conditionalFormatting>
  <conditionalFormatting sqref="J21">
    <cfRule type="cellIs" dxfId="95" priority="161" operator="lessThan">
      <formula>0</formula>
    </cfRule>
    <cfRule type="cellIs" dxfId="94" priority="162" operator="greaterThan">
      <formula>0</formula>
    </cfRule>
  </conditionalFormatting>
  <conditionalFormatting sqref="J28:J30 J37:J40">
    <cfRule type="cellIs" dxfId="93" priority="39" operator="lessThan">
      <formula>0</formula>
    </cfRule>
    <cfRule type="cellIs" dxfId="92" priority="40" operator="greaterThan">
      <formula>0</formula>
    </cfRule>
  </conditionalFormatting>
  <conditionalFormatting sqref="J47">
    <cfRule type="cellIs" dxfId="91" priority="37" operator="lessThan">
      <formula>0</formula>
    </cfRule>
    <cfRule type="cellIs" dxfId="90" priority="38" operator="greaterThan">
      <formula>0</formula>
    </cfRule>
  </conditionalFormatting>
  <conditionalFormatting sqref="J54">
    <cfRule type="cellIs" dxfId="89" priority="35" operator="lessThan">
      <formula>0</formula>
    </cfRule>
    <cfRule type="cellIs" dxfId="88" priority="36" operator="greaterThan">
      <formula>0</formula>
    </cfRule>
  </conditionalFormatting>
  <conditionalFormatting sqref="J61">
    <cfRule type="cellIs" dxfId="87" priority="135" operator="lessThan">
      <formula>0</formula>
    </cfRule>
    <cfRule type="cellIs" dxfId="86" priority="136" operator="greaterThan">
      <formula>0</formula>
    </cfRule>
  </conditionalFormatting>
  <conditionalFormatting sqref="J68">
    <cfRule type="cellIs" dxfId="85" priority="15" operator="lessThan">
      <formula>0</formula>
    </cfRule>
    <cfRule type="cellIs" dxfId="84" priority="16" operator="greaterThan">
      <formula>0</formula>
    </cfRule>
  </conditionalFormatting>
  <conditionalFormatting sqref="J75">
    <cfRule type="cellIs" dxfId="83" priority="125" operator="lessThan">
      <formula>0</formula>
    </cfRule>
    <cfRule type="cellIs" dxfId="82" priority="126" operator="greaterThan">
      <formula>0</formula>
    </cfRule>
  </conditionalFormatting>
  <conditionalFormatting sqref="J82">
    <cfRule type="cellIs" dxfId="81" priority="117" operator="lessThan">
      <formula>0</formula>
    </cfRule>
    <cfRule type="cellIs" dxfId="80" priority="118" operator="greaterThan">
      <formula>0</formula>
    </cfRule>
  </conditionalFormatting>
  <conditionalFormatting sqref="J90">
    <cfRule type="cellIs" dxfId="79" priority="33" operator="lessThan">
      <formula>0</formula>
    </cfRule>
    <cfRule type="cellIs" dxfId="78" priority="34" operator="greaterThan">
      <formula>0</formula>
    </cfRule>
  </conditionalFormatting>
  <conditionalFormatting sqref="J97">
    <cfRule type="cellIs" dxfId="77" priority="31" operator="lessThan">
      <formula>0</formula>
    </cfRule>
    <cfRule type="cellIs" dxfId="76" priority="32" operator="greaterThan">
      <formula>0</formula>
    </cfRule>
  </conditionalFormatting>
  <conditionalFormatting sqref="J104">
    <cfRule type="cellIs" dxfId="75" priority="27" operator="lessThan">
      <formula>0</formula>
    </cfRule>
    <cfRule type="cellIs" dxfId="74" priority="28" operator="greaterThan">
      <formula>0</formula>
    </cfRule>
  </conditionalFormatting>
  <conditionalFormatting sqref="J111">
    <cfRule type="cellIs" dxfId="73" priority="25" operator="lessThan">
      <formula>0</formula>
    </cfRule>
    <cfRule type="cellIs" dxfId="72" priority="26" operator="greaterThan">
      <formula>0</formula>
    </cfRule>
  </conditionalFormatting>
  <conditionalFormatting sqref="J118">
    <cfRule type="cellIs" dxfId="71" priority="83" operator="lessThan">
      <formula>0</formula>
    </cfRule>
    <cfRule type="cellIs" dxfId="70" priority="84" operator="greaterThan">
      <formula>0</formula>
    </cfRule>
  </conditionalFormatting>
  <conditionalFormatting sqref="J125">
    <cfRule type="cellIs" dxfId="69" priority="73" operator="lessThan">
      <formula>0</formula>
    </cfRule>
    <cfRule type="cellIs" dxfId="68" priority="74" operator="greaterThan">
      <formula>0</formula>
    </cfRule>
  </conditionalFormatting>
  <conditionalFormatting sqref="J132">
    <cfRule type="cellIs" dxfId="67" priority="63" operator="lessThan">
      <formula>0</formula>
    </cfRule>
    <cfRule type="cellIs" dxfId="66" priority="64" operator="greaterThan">
      <formula>0</formula>
    </cfRule>
  </conditionalFormatting>
  <conditionalFormatting sqref="J139 J146 J153">
    <cfRule type="cellIs" dxfId="65" priority="23" operator="lessThan">
      <formula>0</formula>
    </cfRule>
    <cfRule type="cellIs" dxfId="64" priority="24" operator="greaterThan">
      <formula>0</formula>
    </cfRule>
  </conditionalFormatting>
  <conditionalFormatting sqref="J160">
    <cfRule type="cellIs" dxfId="63" priority="47" operator="lessThan">
      <formula>0</formula>
    </cfRule>
    <cfRule type="cellIs" dxfId="62" priority="48" operator="greaterThan">
      <formula>0</formula>
    </cfRule>
  </conditionalFormatting>
  <conditionalFormatting sqref="K67:M68 G68:H68">
    <cfRule type="cellIs" dxfId="61" priority="19" operator="lessThan">
      <formula>0</formula>
    </cfRule>
    <cfRule type="cellIs" dxfId="60" priority="20" operator="greaterThan">
      <formula>0</formula>
    </cfRule>
  </conditionalFormatting>
  <conditionalFormatting sqref="K74:M75 C75:E75 G75:H75">
    <cfRule type="cellIs" dxfId="59" priority="129" operator="lessThan">
      <formula>0</formula>
    </cfRule>
    <cfRule type="cellIs" dxfId="58" priority="130" operator="greaterThan">
      <formula>0</formula>
    </cfRule>
  </conditionalFormatting>
  <conditionalFormatting sqref="K81:M82 C82:E82 G82:H82">
    <cfRule type="cellIs" dxfId="57" priority="121" operator="lessThan">
      <formula>0</formula>
    </cfRule>
    <cfRule type="cellIs" dxfId="56" priority="122" operator="greaterThan">
      <formula>0</formula>
    </cfRule>
  </conditionalFormatting>
  <conditionalFormatting sqref="K103:M104 G104:H104">
    <cfRule type="cellIs" dxfId="55" priority="105" operator="lessThan">
      <formula>0</formula>
    </cfRule>
    <cfRule type="cellIs" dxfId="54" priority="106" operator="greaterThan">
      <formula>0</formula>
    </cfRule>
  </conditionalFormatting>
  <conditionalFormatting sqref="K110:M111 G111:H111">
    <cfRule type="cellIs" dxfId="53" priority="95" operator="lessThan">
      <formula>0</formula>
    </cfRule>
    <cfRule type="cellIs" dxfId="52" priority="96" operator="greaterThan">
      <formula>0</formula>
    </cfRule>
  </conditionalFormatting>
  <conditionalFormatting sqref="K117:M118 G118:H118">
    <cfRule type="cellIs" dxfId="51" priority="87" operator="lessThan">
      <formula>0</formula>
    </cfRule>
    <cfRule type="cellIs" dxfId="50" priority="88" operator="greaterThan">
      <formula>0</formula>
    </cfRule>
  </conditionalFormatting>
  <conditionalFormatting sqref="K124:M125 G125:H125">
    <cfRule type="cellIs" dxfId="49" priority="77" operator="lessThan">
      <formula>0</formula>
    </cfRule>
    <cfRule type="cellIs" dxfId="48" priority="78" operator="greaterThan">
      <formula>0</formula>
    </cfRule>
  </conditionalFormatting>
  <conditionalFormatting sqref="K131:M132 G132:H132">
    <cfRule type="cellIs" dxfId="47" priority="67" operator="lessThan">
      <formula>0</formula>
    </cfRule>
    <cfRule type="cellIs" dxfId="46" priority="68" operator="greaterThan">
      <formula>0</formula>
    </cfRule>
  </conditionalFormatting>
  <conditionalFormatting sqref="K138:M139 G139:H139 K145:M146 G146:H146 K152:M153 G153:H153">
    <cfRule type="cellIs" dxfId="45" priority="57" operator="lessThan">
      <formula>0</formula>
    </cfRule>
    <cfRule type="cellIs" dxfId="44" priority="58" operator="greaterThan">
      <formula>0</formula>
    </cfRule>
  </conditionalFormatting>
  <conditionalFormatting sqref="N7">
    <cfRule type="cellIs" dxfId="43" priority="167" operator="lessThan">
      <formula>0</formula>
    </cfRule>
    <cfRule type="cellIs" dxfId="42" priority="168" operator="greaterThan">
      <formula>0</formula>
    </cfRule>
  </conditionalFormatting>
  <conditionalFormatting sqref="N14">
    <cfRule type="cellIs" dxfId="41" priority="41" operator="lessThan">
      <formula>0</formula>
    </cfRule>
    <cfRule type="cellIs" dxfId="40" priority="42" operator="greaterThan">
      <formula>0</formula>
    </cfRule>
  </conditionalFormatting>
  <conditionalFormatting sqref="N21">
    <cfRule type="cellIs" dxfId="39" priority="159" operator="lessThan">
      <formula>0</formula>
    </cfRule>
    <cfRule type="cellIs" dxfId="38" priority="160" operator="greaterThan">
      <formula>0</formula>
    </cfRule>
  </conditionalFormatting>
  <conditionalFormatting sqref="N28:N30 N37:N40">
    <cfRule type="cellIs" dxfId="37" priority="153" operator="lessThan">
      <formula>0</formula>
    </cfRule>
    <cfRule type="cellIs" dxfId="36" priority="154" operator="greaterThan">
      <formula>0</formula>
    </cfRule>
  </conditionalFormatting>
  <conditionalFormatting sqref="N47">
    <cfRule type="cellIs" dxfId="35" priority="147" operator="lessThan">
      <formula>0</formula>
    </cfRule>
    <cfRule type="cellIs" dxfId="34" priority="148" operator="greaterThan">
      <formula>0</formula>
    </cfRule>
  </conditionalFormatting>
  <conditionalFormatting sqref="N54">
    <cfRule type="cellIs" dxfId="33" priority="141" operator="lessThan">
      <formula>0</formula>
    </cfRule>
    <cfRule type="cellIs" dxfId="32" priority="142" operator="greaterThan">
      <formula>0</formula>
    </cfRule>
  </conditionalFormatting>
  <conditionalFormatting sqref="N61">
    <cfRule type="cellIs" dxfId="31" priority="133" operator="lessThan">
      <formula>0</formula>
    </cfRule>
    <cfRule type="cellIs" dxfId="30" priority="134" operator="greaterThan">
      <formula>0</formula>
    </cfRule>
  </conditionalFormatting>
  <conditionalFormatting sqref="N68">
    <cfRule type="cellIs" dxfId="29" priority="13" operator="lessThan">
      <formula>0</formula>
    </cfRule>
    <cfRule type="cellIs" dxfId="28" priority="14" operator="greaterThan">
      <formula>0</formula>
    </cfRule>
  </conditionalFormatting>
  <conditionalFormatting sqref="N75">
    <cfRule type="cellIs" dxfId="27" priority="123" operator="lessThan">
      <formula>0</formula>
    </cfRule>
    <cfRule type="cellIs" dxfId="26" priority="124" operator="greaterThan">
      <formula>0</formula>
    </cfRule>
  </conditionalFormatting>
  <conditionalFormatting sqref="N82">
    <cfRule type="cellIs" dxfId="25" priority="115" operator="lessThan">
      <formula>0</formula>
    </cfRule>
    <cfRule type="cellIs" dxfId="24" priority="116" operator="greaterThan">
      <formula>0</formula>
    </cfRule>
  </conditionalFormatting>
  <conditionalFormatting sqref="N90">
    <cfRule type="cellIs" dxfId="23" priority="49" operator="lessThan">
      <formula>0</formula>
    </cfRule>
    <cfRule type="cellIs" dxfId="22" priority="50" operator="greaterThan">
      <formula>0</formula>
    </cfRule>
  </conditionalFormatting>
  <conditionalFormatting sqref="N97">
    <cfRule type="cellIs" dxfId="21" priority="29" operator="lessThan">
      <formula>0</formula>
    </cfRule>
    <cfRule type="cellIs" dxfId="20" priority="30" operator="greaterThan">
      <formula>0</formula>
    </cfRule>
  </conditionalFormatting>
  <conditionalFormatting sqref="N104">
    <cfRule type="cellIs" dxfId="19" priority="89" operator="lessThan">
      <formula>0</formula>
    </cfRule>
    <cfRule type="cellIs" dxfId="18" priority="90" operator="greaterThan">
      <formula>0</formula>
    </cfRule>
  </conditionalFormatting>
  <conditionalFormatting sqref="N111">
    <cfRule type="cellIs" dxfId="17" priority="91" operator="lessThan">
      <formula>0</formula>
    </cfRule>
    <cfRule type="cellIs" dxfId="16" priority="92" operator="greaterThan">
      <formula>0</formula>
    </cfRule>
  </conditionalFormatting>
  <conditionalFormatting sqref="N118">
    <cfRule type="cellIs" dxfId="15" priority="81" operator="lessThan">
      <formula>0</formula>
    </cfRule>
    <cfRule type="cellIs" dxfId="14" priority="82" operator="greaterThan">
      <formula>0</formula>
    </cfRule>
  </conditionalFormatting>
  <conditionalFormatting sqref="N125">
    <cfRule type="cellIs" dxfId="13" priority="71" operator="lessThan">
      <formula>0</formula>
    </cfRule>
    <cfRule type="cellIs" dxfId="12" priority="72" operator="greaterThan">
      <formula>0</formula>
    </cfRule>
  </conditionalFormatting>
  <conditionalFormatting sqref="N132">
    <cfRule type="cellIs" dxfId="11" priority="61" operator="lessThan">
      <formula>0</formula>
    </cfRule>
    <cfRule type="cellIs" dxfId="10" priority="62" operator="greaterThan">
      <formula>0</formula>
    </cfRule>
  </conditionalFormatting>
  <conditionalFormatting sqref="N139 N146 N153">
    <cfRule type="cellIs" dxfId="9" priority="53" operator="lessThan">
      <formula>0</formula>
    </cfRule>
    <cfRule type="cellIs" dxfId="8" priority="54" operator="greaterThan">
      <formula>0</formula>
    </cfRule>
  </conditionalFormatting>
  <conditionalFormatting sqref="N160">
    <cfRule type="cellIs" dxfId="7" priority="45" operator="lessThan">
      <formula>0</formula>
    </cfRule>
    <cfRule type="cellIs" dxfId="6" priority="46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189A-D8F7-4EB5-8F90-20732A338748}">
  <dimension ref="B1:O17"/>
  <sheetViews>
    <sheetView workbookViewId="0">
      <selection activeCell="F13" sqref="F13:O13"/>
    </sheetView>
  </sheetViews>
  <sheetFormatPr defaultRowHeight="15"/>
  <cols>
    <col min="3" max="3" width="34.28515625" bestFit="1" customWidth="1"/>
    <col min="4" max="5" width="10.28515625" bestFit="1" customWidth="1"/>
    <col min="6" max="12" width="10.5703125" bestFit="1" customWidth="1"/>
    <col min="13" max="15" width="10.28515625" bestFit="1" customWidth="1"/>
  </cols>
  <sheetData>
    <row r="1" spans="2:15" ht="15.75" thickBot="1"/>
    <row r="2" spans="2:15">
      <c r="D2" s="109" t="s">
        <v>68</v>
      </c>
      <c r="E2" s="109" t="s">
        <v>69</v>
      </c>
      <c r="F2" s="109" t="s">
        <v>70</v>
      </c>
      <c r="G2" s="109" t="s">
        <v>71</v>
      </c>
      <c r="H2" s="109" t="s">
        <v>72</v>
      </c>
      <c r="I2" s="109" t="s">
        <v>73</v>
      </c>
      <c r="J2" s="109" t="s">
        <v>74</v>
      </c>
      <c r="K2" s="109" t="s">
        <v>75</v>
      </c>
      <c r="L2" s="109" t="s">
        <v>76</v>
      </c>
      <c r="M2" s="109" t="s">
        <v>77</v>
      </c>
      <c r="N2" s="109" t="s">
        <v>78</v>
      </c>
      <c r="O2" s="110" t="s">
        <v>79</v>
      </c>
    </row>
    <row r="3" spans="2:15">
      <c r="B3" t="s">
        <v>1261</v>
      </c>
      <c r="C3" s="284" t="s">
        <v>565</v>
      </c>
      <c r="D3" s="979">
        <v>96480</v>
      </c>
      <c r="E3" s="979">
        <v>12960</v>
      </c>
      <c r="F3" s="979">
        <v>172841</v>
      </c>
      <c r="G3" s="979">
        <v>128894</v>
      </c>
      <c r="H3" s="979">
        <v>144025</v>
      </c>
      <c r="I3" s="979">
        <v>197410</v>
      </c>
      <c r="J3" s="979">
        <v>79239</v>
      </c>
      <c r="K3" s="979">
        <v>340729</v>
      </c>
      <c r="L3" s="979">
        <v>1212361</v>
      </c>
      <c r="M3" s="979">
        <v>0</v>
      </c>
      <c r="N3" s="979">
        <v>0</v>
      </c>
      <c r="O3" s="979">
        <v>0</v>
      </c>
    </row>
    <row r="4" spans="2:15">
      <c r="C4" s="284" t="s">
        <v>563</v>
      </c>
      <c r="D4" s="979">
        <v>4800</v>
      </c>
      <c r="E4" s="979">
        <v>11040</v>
      </c>
      <c r="F4" s="979">
        <v>129185</v>
      </c>
      <c r="G4" s="979">
        <v>67345</v>
      </c>
      <c r="H4" s="979">
        <v>114395</v>
      </c>
      <c r="I4" s="979">
        <v>97742</v>
      </c>
      <c r="J4" s="979">
        <v>115290</v>
      </c>
      <c r="K4" s="979">
        <v>48108</v>
      </c>
      <c r="L4" s="979">
        <v>26804</v>
      </c>
      <c r="M4" s="979">
        <v>22711</v>
      </c>
      <c r="N4" s="979">
        <v>21430</v>
      </c>
      <c r="O4" s="979">
        <v>19285</v>
      </c>
    </row>
    <row r="5" spans="2:15">
      <c r="C5" s="284"/>
      <c r="D5" s="979"/>
      <c r="E5" s="979"/>
      <c r="F5" s="979"/>
      <c r="G5" s="979"/>
      <c r="H5" s="979"/>
      <c r="I5" s="979"/>
      <c r="J5" s="979"/>
      <c r="K5" s="979"/>
      <c r="L5" s="979"/>
      <c r="M5" s="979"/>
      <c r="N5" s="979"/>
      <c r="O5" s="979"/>
    </row>
    <row r="7" spans="2:15">
      <c r="B7" t="s">
        <v>1316</v>
      </c>
      <c r="C7" s="284"/>
      <c r="D7" s="1015">
        <v>164600</v>
      </c>
      <c r="E7" s="1015">
        <v>509980.6</v>
      </c>
      <c r="F7" s="1015">
        <v>477288</v>
      </c>
      <c r="G7" s="1015">
        <v>140745.59999999998</v>
      </c>
      <c r="H7" s="1015">
        <v>408614.39999999997</v>
      </c>
      <c r="I7" s="1015">
        <v>852249.59999999998</v>
      </c>
      <c r="J7" s="1015">
        <v>711504</v>
      </c>
    </row>
    <row r="10" spans="2:15">
      <c r="B10" t="s">
        <v>754</v>
      </c>
      <c r="D10" s="286">
        <v>410000</v>
      </c>
      <c r="E10" s="1043">
        <v>746096</v>
      </c>
      <c r="F10" s="50">
        <f t="shared" ref="F10:N10" si="0">E10+F7-F4-F3</f>
        <v>921358</v>
      </c>
      <c r="G10" s="50">
        <f t="shared" si="0"/>
        <v>865864.60000000009</v>
      </c>
      <c r="H10" s="50">
        <f t="shared" si="0"/>
        <v>1016059</v>
      </c>
      <c r="I10" s="50">
        <f t="shared" si="0"/>
        <v>1573156.6</v>
      </c>
      <c r="J10" s="50">
        <f t="shared" si="0"/>
        <v>2090131.6</v>
      </c>
      <c r="K10" s="50">
        <f t="shared" si="0"/>
        <v>1701294.6</v>
      </c>
      <c r="L10" s="50">
        <f t="shared" si="0"/>
        <v>462129.60000000009</v>
      </c>
      <c r="M10" s="50">
        <f t="shared" si="0"/>
        <v>439418.60000000009</v>
      </c>
      <c r="N10" s="50">
        <f t="shared" si="0"/>
        <v>417988.60000000009</v>
      </c>
      <c r="O10" s="50">
        <f t="shared" ref="O10" si="1">N10+O7-O4-O3</f>
        <v>398703.60000000009</v>
      </c>
    </row>
    <row r="11" spans="2:15">
      <c r="C11" t="s">
        <v>733</v>
      </c>
      <c r="D11" s="56">
        <f>D10/240</f>
        <v>1708.3333333333333</v>
      </c>
      <c r="E11" s="56">
        <f>E10/240</f>
        <v>3108.7333333333331</v>
      </c>
      <c r="F11" s="56">
        <f t="shared" ref="F11:O11" si="2">F10/240</f>
        <v>3838.9916666666668</v>
      </c>
      <c r="G11" s="56">
        <f t="shared" si="2"/>
        <v>3607.7691666666669</v>
      </c>
      <c r="H11" s="56">
        <f t="shared" si="2"/>
        <v>4233.5791666666664</v>
      </c>
      <c r="I11" s="56">
        <f t="shared" si="2"/>
        <v>6554.8191666666671</v>
      </c>
      <c r="J11" s="56">
        <f t="shared" si="2"/>
        <v>8708.8816666666662</v>
      </c>
      <c r="K11" s="56">
        <f t="shared" si="2"/>
        <v>7088.7275</v>
      </c>
      <c r="L11" s="56">
        <f t="shared" si="2"/>
        <v>1925.5400000000004</v>
      </c>
      <c r="M11" s="56">
        <f t="shared" si="2"/>
        <v>1830.9108333333338</v>
      </c>
      <c r="N11" s="56">
        <f t="shared" si="2"/>
        <v>1741.6191666666671</v>
      </c>
      <c r="O11" s="56">
        <f t="shared" si="2"/>
        <v>1661.2650000000003</v>
      </c>
    </row>
    <row r="12" spans="2:15">
      <c r="C12" t="s">
        <v>1375</v>
      </c>
      <c r="D12" s="56"/>
      <c r="E12" s="56">
        <v>400</v>
      </c>
      <c r="F12" s="56">
        <v>400</v>
      </c>
      <c r="G12" s="56">
        <v>400</v>
      </c>
      <c r="H12" s="56">
        <v>400</v>
      </c>
      <c r="I12" s="56">
        <v>400</v>
      </c>
      <c r="J12" s="56">
        <v>400</v>
      </c>
      <c r="K12" s="56">
        <v>400</v>
      </c>
      <c r="L12" s="56">
        <v>400</v>
      </c>
      <c r="M12" s="56">
        <v>400</v>
      </c>
      <c r="N12" s="56">
        <v>400</v>
      </c>
      <c r="O12" s="56">
        <v>400</v>
      </c>
    </row>
    <row r="13" spans="2:15">
      <c r="D13" s="94">
        <f>D11*-100%</f>
        <v>-1708.3333333333333</v>
      </c>
      <c r="E13" s="94">
        <f>(E11-E12)*-100%</f>
        <v>-2708.7333333333331</v>
      </c>
      <c r="F13" s="94">
        <f t="shared" ref="F13:O13" si="3">(F11-F12)*-100%</f>
        <v>-3438.9916666666668</v>
      </c>
      <c r="G13" s="94">
        <f t="shared" si="3"/>
        <v>-3207.7691666666669</v>
      </c>
      <c r="H13" s="94">
        <f t="shared" si="3"/>
        <v>-3833.5791666666664</v>
      </c>
      <c r="I13" s="94">
        <f t="shared" si="3"/>
        <v>-6154.8191666666671</v>
      </c>
      <c r="J13" s="94">
        <f t="shared" si="3"/>
        <v>-8308.8816666666662</v>
      </c>
      <c r="K13" s="94">
        <f t="shared" si="3"/>
        <v>-6688.7275</v>
      </c>
      <c r="L13" s="94">
        <f t="shared" si="3"/>
        <v>-1525.5400000000004</v>
      </c>
      <c r="M13" s="94">
        <f t="shared" si="3"/>
        <v>-1430.9108333333338</v>
      </c>
      <c r="N13" s="94">
        <f t="shared" si="3"/>
        <v>-1341.6191666666671</v>
      </c>
      <c r="O13" s="94">
        <f t="shared" si="3"/>
        <v>-1261.2650000000003</v>
      </c>
    </row>
    <row r="15" spans="2:15">
      <c r="D15" s="94">
        <f t="shared" ref="D15:E15" si="4">D10/1000</f>
        <v>410</v>
      </c>
      <c r="E15" s="94">
        <f t="shared" si="4"/>
        <v>746.096</v>
      </c>
      <c r="F15" s="94">
        <f>F10/1000</f>
        <v>921.35799999999995</v>
      </c>
      <c r="G15" s="94">
        <f t="shared" ref="G15:O15" si="5">G10/1000</f>
        <v>865.86460000000011</v>
      </c>
      <c r="H15" s="94">
        <f t="shared" si="5"/>
        <v>1016.059</v>
      </c>
      <c r="I15" s="94">
        <f t="shared" si="5"/>
        <v>1573.1566</v>
      </c>
      <c r="J15" s="94">
        <f t="shared" si="5"/>
        <v>2090.1316000000002</v>
      </c>
      <c r="K15" s="94">
        <f t="shared" si="5"/>
        <v>1701.2946000000002</v>
      </c>
      <c r="L15" s="94">
        <f t="shared" si="5"/>
        <v>462.1296000000001</v>
      </c>
      <c r="M15" s="94">
        <f t="shared" si="5"/>
        <v>439.41860000000008</v>
      </c>
      <c r="N15" s="94">
        <f t="shared" si="5"/>
        <v>417.98860000000008</v>
      </c>
      <c r="O15" s="94">
        <f t="shared" si="5"/>
        <v>398.70360000000011</v>
      </c>
    </row>
    <row r="16" spans="2:15">
      <c r="C16" t="s">
        <v>1373</v>
      </c>
      <c r="E16">
        <v>400</v>
      </c>
      <c r="F16">
        <v>400</v>
      </c>
      <c r="G16">
        <v>400</v>
      </c>
      <c r="H16">
        <v>400</v>
      </c>
      <c r="I16">
        <v>400</v>
      </c>
      <c r="J16">
        <v>400</v>
      </c>
      <c r="K16">
        <v>400</v>
      </c>
      <c r="L16">
        <v>400</v>
      </c>
      <c r="M16">
        <v>400</v>
      </c>
      <c r="N16">
        <v>400</v>
      </c>
      <c r="O16">
        <v>400</v>
      </c>
    </row>
    <row r="17" spans="3:6">
      <c r="C17" t="s">
        <v>1374</v>
      </c>
      <c r="F17" s="94">
        <f>F15-F16</f>
        <v>521.35799999999995</v>
      </c>
    </row>
  </sheetData>
  <conditionalFormatting sqref="D3:O5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AF3D-6807-451C-9A76-5A17E74BD2D8}">
  <dimension ref="A1:AP61"/>
  <sheetViews>
    <sheetView zoomScale="90" zoomScaleNormal="90" workbookViewId="0">
      <selection activeCell="AK20" sqref="AK20"/>
    </sheetView>
  </sheetViews>
  <sheetFormatPr defaultRowHeight="15"/>
  <cols>
    <col min="1" max="2" width="9.28515625" style="189"/>
    <col min="3" max="3" width="9.5703125" style="189" bestFit="1" customWidth="1"/>
    <col min="4" max="4" width="15.7109375" bestFit="1" customWidth="1"/>
    <col min="5" max="6" width="9.28515625" style="204" customWidth="1"/>
    <col min="7" max="7" width="9.28515625" customWidth="1"/>
    <col min="8" max="8" width="2.42578125" customWidth="1"/>
    <col min="9" max="9" width="10.28515625" style="204" hidden="1" customWidth="1"/>
    <col min="10" max="10" width="12.28515625" style="204" hidden="1" customWidth="1"/>
    <col min="11" max="11" width="7.28515625" style="204" hidden="1" customWidth="1"/>
    <col min="12" max="12" width="4.28515625" hidden="1" customWidth="1"/>
    <col min="13" max="13" width="18.28515625" hidden="1" customWidth="1"/>
    <col min="14" max="14" width="13.7109375" hidden="1" customWidth="1"/>
    <col min="15" max="15" width="4.28515625" hidden="1" customWidth="1"/>
    <col min="16" max="16" width="16.28515625" hidden="1" customWidth="1"/>
    <col min="17" max="17" width="34.28515625" hidden="1" customWidth="1"/>
    <col min="18" max="18" width="40.7109375" hidden="1" customWidth="1"/>
    <col min="19" max="19" width="20.28515625" style="189" hidden="1" customWidth="1"/>
    <col min="20" max="22" width="13.28515625" style="204" hidden="1" customWidth="1"/>
    <col min="23" max="23" width="13.42578125" style="204" hidden="1" customWidth="1"/>
    <col min="24" max="24" width="12.28515625" style="441" bestFit="1" customWidth="1"/>
    <col min="25" max="25" width="12.28515625" style="204" bestFit="1" customWidth="1"/>
    <col min="26" max="26" width="10.28515625" style="204" bestFit="1" customWidth="1"/>
    <col min="27" max="27" width="6.7109375" style="189" customWidth="1"/>
    <col min="28" max="28" width="12.28515625" style="330" bestFit="1" customWidth="1"/>
    <col min="29" max="29" width="11.28515625" style="189" bestFit="1" customWidth="1"/>
    <col min="30" max="30" width="9.28515625" style="189"/>
    <col min="31" max="31" width="13.7109375" style="189" bestFit="1" customWidth="1"/>
    <col min="32" max="38" width="9.28515625" style="189"/>
    <col min="39" max="39" width="22.42578125" style="189" customWidth="1"/>
    <col min="40" max="42" width="9.28515625" style="189"/>
  </cols>
  <sheetData>
    <row r="1" spans="1:33" s="189" customFormat="1" ht="15.75" thickBot="1">
      <c r="E1" s="1138" t="s">
        <v>827</v>
      </c>
      <c r="F1" s="1138"/>
      <c r="G1" s="1138"/>
      <c r="H1" s="473"/>
      <c r="I1" s="1091" t="s">
        <v>828</v>
      </c>
      <c r="J1" s="1093"/>
      <c r="K1" s="1092"/>
      <c r="L1" s="473"/>
      <c r="M1" s="1136" t="s">
        <v>829</v>
      </c>
      <c r="N1" s="1137"/>
      <c r="O1" s="473"/>
      <c r="P1"/>
      <c r="T1" s="330"/>
      <c r="U1" s="330"/>
      <c r="V1" s="330"/>
      <c r="W1" s="330"/>
      <c r="X1" s="1139" t="s">
        <v>830</v>
      </c>
      <c r="Y1" s="1139"/>
      <c r="Z1" s="1139"/>
      <c r="AB1" s="330"/>
    </row>
    <row r="2" spans="1:33" s="189" customFormat="1" ht="15.75" thickBot="1">
      <c r="C2" s="189" t="s">
        <v>831</v>
      </c>
      <c r="D2" s="453"/>
      <c r="E2" s="457" t="s">
        <v>719</v>
      </c>
      <c r="F2" s="457" t="s">
        <v>198</v>
      </c>
      <c r="G2" s="454" t="s">
        <v>832</v>
      </c>
      <c r="H2" s="466"/>
      <c r="I2" s="455" t="s">
        <v>198</v>
      </c>
      <c r="J2" s="457" t="s">
        <v>833</v>
      </c>
      <c r="K2" s="456" t="s">
        <v>832</v>
      </c>
      <c r="L2" s="466"/>
      <c r="M2" s="470" t="s">
        <v>834</v>
      </c>
      <c r="N2" s="444" t="s">
        <v>835</v>
      </c>
      <c r="O2" s="466"/>
      <c r="P2" s="157" t="s">
        <v>836</v>
      </c>
      <c r="Q2" s="458" t="s">
        <v>837</v>
      </c>
      <c r="R2" s="458" t="s">
        <v>838</v>
      </c>
      <c r="S2" s="444"/>
      <c r="T2" s="455">
        <v>2020</v>
      </c>
      <c r="U2" s="457">
        <v>2021</v>
      </c>
      <c r="V2" s="457">
        <v>2022</v>
      </c>
      <c r="W2" s="456">
        <v>2023</v>
      </c>
      <c r="X2" s="457">
        <v>2024</v>
      </c>
      <c r="Y2" s="457" t="s">
        <v>839</v>
      </c>
      <c r="Z2" s="456" t="s">
        <v>720</v>
      </c>
      <c r="AB2" s="564" t="s">
        <v>719</v>
      </c>
      <c r="AC2" s="568" t="s">
        <v>840</v>
      </c>
      <c r="AE2" s="564" t="s">
        <v>841</v>
      </c>
      <c r="AF2" s="568"/>
    </row>
    <row r="3" spans="1:33" ht="30">
      <c r="B3" s="243">
        <f>C3/7</f>
        <v>85.714285714285708</v>
      </c>
      <c r="C3" s="464">
        <v>600</v>
      </c>
      <c r="D3" s="508" t="s">
        <v>23</v>
      </c>
      <c r="E3" s="509">
        <v>0.1</v>
      </c>
      <c r="F3" s="510">
        <f>'Inv By Tech Post Attain'!R6</f>
        <v>0.13597588932528587</v>
      </c>
      <c r="G3" s="510">
        <f t="shared" ref="G3:G22" si="0">F3-E3</f>
        <v>3.5975889325285865E-2</v>
      </c>
      <c r="H3" s="511"/>
      <c r="I3" s="512">
        <v>8.0000000000000002E-3</v>
      </c>
      <c r="J3" s="512">
        <v>1.4999999999999999E-2</v>
      </c>
      <c r="K3" s="512">
        <f t="shared" ref="K3:K11" si="1">J3-I3</f>
        <v>6.9999999999999993E-3</v>
      </c>
      <c r="L3" s="511"/>
      <c r="M3" s="510">
        <f t="shared" ref="M3:M12" si="2">F3-5%-K3</f>
        <v>7.8975889325285875E-2</v>
      </c>
      <c r="N3" s="513">
        <f>SUM('Inv By Tech Post Attain'!G4:O4)*M3</f>
        <v>1453245.2472361412</v>
      </c>
      <c r="O3" s="511"/>
      <c r="P3" s="514" t="s">
        <v>842</v>
      </c>
      <c r="Q3" s="515" t="s">
        <v>843</v>
      </c>
      <c r="R3" s="516" t="s">
        <v>844</v>
      </c>
      <c r="S3" s="517" t="s">
        <v>23</v>
      </c>
      <c r="T3" s="518">
        <v>1864197</v>
      </c>
      <c r="U3" s="519">
        <v>2816841</v>
      </c>
      <c r="V3" s="519">
        <v>2167387.6</v>
      </c>
      <c r="W3" s="520">
        <v>2406863</v>
      </c>
      <c r="X3" s="519">
        <f>'Inv By Tech Post Attain'!C5</f>
        <v>2642489</v>
      </c>
      <c r="Y3" s="519">
        <f>'Inv By Tech Post Attain'!O5</f>
        <v>2707561.7432575445</v>
      </c>
      <c r="Z3" s="521">
        <f>Y3-X3</f>
        <v>65072.743257544469</v>
      </c>
      <c r="AA3" s="522"/>
      <c r="AB3" s="588">
        <f>'Inv By Tech Post Attain'!O7</f>
        <v>2900000</v>
      </c>
      <c r="AC3" s="569">
        <f>Y3-AB3</f>
        <v>-192438.25674245553</v>
      </c>
      <c r="AD3" s="189" t="s">
        <v>845</v>
      </c>
      <c r="AE3" s="588">
        <v>2500000</v>
      </c>
      <c r="AF3" s="579"/>
    </row>
    <row r="4" spans="1:33" ht="45.75" thickBot="1">
      <c r="B4" s="243">
        <f>C4/7</f>
        <v>85.714285714285708</v>
      </c>
      <c r="C4" s="464">
        <v>600</v>
      </c>
      <c r="D4" s="523" t="s">
        <v>120</v>
      </c>
      <c r="E4" s="524">
        <v>0.1</v>
      </c>
      <c r="F4" s="525">
        <f>'Inv By Tech Post Attain'!R13</f>
        <v>8.7685458087174109E-2</v>
      </c>
      <c r="G4" s="526">
        <f t="shared" si="0"/>
        <v>-1.2314541912825896E-2</v>
      </c>
      <c r="H4" s="527"/>
      <c r="I4" s="528">
        <v>-3.5000000000000003E-2</v>
      </c>
      <c r="J4" s="529">
        <v>0</v>
      </c>
      <c r="K4" s="528">
        <f t="shared" si="1"/>
        <v>3.5000000000000003E-2</v>
      </c>
      <c r="L4" s="527"/>
      <c r="M4" s="530">
        <f t="shared" si="2"/>
        <v>2.6854580871741029E-3</v>
      </c>
      <c r="N4" s="531">
        <f>SUM('Inv By Tech Post Attain'!G11:O11)*M4</f>
        <v>47349.97617002621</v>
      </c>
      <c r="O4" s="527"/>
      <c r="P4" s="532" t="s">
        <v>842</v>
      </c>
      <c r="Q4" s="533" t="s">
        <v>846</v>
      </c>
      <c r="R4" s="534" t="s">
        <v>847</v>
      </c>
      <c r="S4" s="535" t="s">
        <v>120</v>
      </c>
      <c r="T4" s="536">
        <v>2438601</v>
      </c>
      <c r="U4" s="452">
        <v>1874405</v>
      </c>
      <c r="V4" s="452">
        <v>3654064</v>
      </c>
      <c r="W4" s="537">
        <v>3454913</v>
      </c>
      <c r="X4" s="452">
        <f>'Inv By Tech Post Attain'!C12</f>
        <v>2668245</v>
      </c>
      <c r="Y4" s="538">
        <f>'Inv By Tech Post Attain'!O12</f>
        <v>2918510.1142126098</v>
      </c>
      <c r="Z4" s="443">
        <f>Y4-X4</f>
        <v>250265.11421260983</v>
      </c>
      <c r="AA4" s="539"/>
      <c r="AB4" s="589">
        <f>'Inv By Tech Post Attain'!O14</f>
        <v>2900000</v>
      </c>
      <c r="AC4" s="574">
        <f>Y4-AB4</f>
        <v>18510.114212609828</v>
      </c>
      <c r="AD4" s="189" t="s">
        <v>848</v>
      </c>
      <c r="AE4" s="589">
        <v>2900000</v>
      </c>
      <c r="AF4" s="580"/>
      <c r="AG4" s="189" t="s">
        <v>849</v>
      </c>
    </row>
    <row r="5" spans="1:33">
      <c r="A5" s="189" t="s">
        <v>850</v>
      </c>
      <c r="B5" s="243">
        <f>C5/7</f>
        <v>42.857142857142854</v>
      </c>
      <c r="C5" s="464">
        <v>300</v>
      </c>
      <c r="D5" s="498" t="s">
        <v>41</v>
      </c>
      <c r="E5" s="499">
        <v>0.15</v>
      </c>
      <c r="F5" s="500">
        <f>'Inv By Tech Post Attain'!R20</f>
        <v>6.2958258743299716E-2</v>
      </c>
      <c r="G5" s="501">
        <f t="shared" si="0"/>
        <v>-8.7041741256700278E-2</v>
      </c>
      <c r="H5" s="502"/>
      <c r="I5" s="472">
        <v>0.08</v>
      </c>
      <c r="J5" s="503">
        <v>0.1</v>
      </c>
      <c r="K5" s="472">
        <f t="shared" si="1"/>
        <v>2.0000000000000004E-2</v>
      </c>
      <c r="L5" s="502"/>
      <c r="M5" s="504">
        <f t="shared" si="2"/>
        <v>-7.0417412567002902E-3</v>
      </c>
      <c r="N5" s="505">
        <f>SUM('Inv By Tech Post Attain'!G18:O18)*M5</f>
        <v>-56610.392660495228</v>
      </c>
      <c r="O5" s="502"/>
      <c r="P5" s="506"/>
      <c r="Q5" s="507" t="s">
        <v>851</v>
      </c>
      <c r="R5" s="507" t="s">
        <v>852</v>
      </c>
      <c r="S5" s="498" t="s">
        <v>41</v>
      </c>
      <c r="T5" s="446">
        <v>619017.25</v>
      </c>
      <c r="U5" s="447">
        <v>2208223</v>
      </c>
      <c r="V5" s="447">
        <v>1995318</v>
      </c>
      <c r="W5" s="448">
        <v>1571985</v>
      </c>
      <c r="X5" s="447">
        <f>'Inv By Tech Post Attain'!C19</f>
        <v>1678609</v>
      </c>
      <c r="Y5" s="447">
        <f>'Inv By Tech Post Attain'!O19</f>
        <v>2164713.0425780769</v>
      </c>
      <c r="Z5" s="442">
        <f t="shared" ref="Z5:Z21" si="3">Y5-X5</f>
        <v>486104.04257807694</v>
      </c>
      <c r="AB5" s="590">
        <f>'Inv By Tech Post Attain'!O21</f>
        <v>2000000</v>
      </c>
      <c r="AC5" s="575">
        <f>Y5-AB5</f>
        <v>164713.04257807694</v>
      </c>
      <c r="AD5" s="189" t="s">
        <v>848</v>
      </c>
      <c r="AE5" s="587">
        <v>2300000</v>
      </c>
      <c r="AF5" s="581"/>
    </row>
    <row r="6" spans="1:33" ht="30">
      <c r="D6" s="51" t="s">
        <v>156</v>
      </c>
      <c r="E6" s="459">
        <v>0.2</v>
      </c>
      <c r="F6" s="460">
        <f>'Inv By Tech Post Attain'!R27</f>
        <v>0.49436430839375339</v>
      </c>
      <c r="G6" s="460">
        <f t="shared" si="0"/>
        <v>0.29436430839375338</v>
      </c>
      <c r="H6" s="467"/>
      <c r="I6" s="468">
        <v>-6.5000000000000002E-2</v>
      </c>
      <c r="J6" s="468">
        <v>0.05</v>
      </c>
      <c r="K6" s="468">
        <f t="shared" si="1"/>
        <v>0.115</v>
      </c>
      <c r="L6" s="467"/>
      <c r="M6" s="480">
        <f t="shared" si="2"/>
        <v>0.32936430839375341</v>
      </c>
      <c r="N6" s="469">
        <f>SUM('Inv By Tech Post Attain'!G25:O25)*M6</f>
        <v>1626115.0689972832</v>
      </c>
      <c r="O6" s="467"/>
      <c r="P6" s="480"/>
      <c r="Q6" s="463" t="s">
        <v>853</v>
      </c>
      <c r="R6" s="463" t="s">
        <v>854</v>
      </c>
      <c r="S6" s="51" t="s">
        <v>156</v>
      </c>
      <c r="T6" s="446">
        <v>859695.8</v>
      </c>
      <c r="U6" s="447">
        <v>1010208</v>
      </c>
      <c r="V6" s="447">
        <v>2376601.2999999998</v>
      </c>
      <c r="W6" s="448">
        <v>1167304</v>
      </c>
      <c r="X6" s="447">
        <f>'Inv By Tech Post Attain'!C26</f>
        <v>1422614.3759999999</v>
      </c>
      <c r="Y6" s="447">
        <f>'Inv By Tech Post Attain'!O26</f>
        <v>1739681.9366533954</v>
      </c>
      <c r="Z6" s="442">
        <f t="shared" si="3"/>
        <v>317067.56065339549</v>
      </c>
      <c r="AB6" s="587">
        <f>'Inv By Tech Post Attain'!O28</f>
        <v>1500000</v>
      </c>
      <c r="AC6" s="570">
        <f t="shared" ref="AC6:AC9" si="4">Y6-AB6</f>
        <v>239681.93665339542</v>
      </c>
      <c r="AE6" s="587">
        <f>35000000/24</f>
        <v>1458333.3333333333</v>
      </c>
      <c r="AF6" s="582"/>
      <c r="AG6" s="189" t="s">
        <v>855</v>
      </c>
    </row>
    <row r="7" spans="1:33">
      <c r="D7" s="51" t="s">
        <v>44</v>
      </c>
      <c r="E7" s="459">
        <v>0.15</v>
      </c>
      <c r="F7" s="461">
        <f>'Inv By Tech Post Attain'!R36</f>
        <v>0.12819215400634865</v>
      </c>
      <c r="G7" s="460">
        <f t="shared" si="0"/>
        <v>-2.1807845993651348E-2</v>
      </c>
      <c r="H7" s="467"/>
      <c r="I7" s="468">
        <v>0.19900000000000001</v>
      </c>
      <c r="J7" s="468">
        <v>0.25</v>
      </c>
      <c r="K7" s="460">
        <f t="shared" si="1"/>
        <v>5.099999999999999E-2</v>
      </c>
      <c r="L7" s="467"/>
      <c r="M7" s="460">
        <f t="shared" si="2"/>
        <v>2.7192154006348654E-2</v>
      </c>
      <c r="N7" s="469">
        <f>SUM('Inv By Tech Post Attain'!G34:O34)*M7</f>
        <v>191935.70260341241</v>
      </c>
      <c r="O7" s="467"/>
      <c r="P7" s="480"/>
      <c r="Q7" s="462" t="s">
        <v>856</v>
      </c>
      <c r="R7" s="462" t="s">
        <v>857</v>
      </c>
      <c r="S7" s="51" t="s">
        <v>44</v>
      </c>
      <c r="T7" s="446"/>
      <c r="U7" s="447"/>
      <c r="V7" s="447"/>
      <c r="W7" s="448"/>
      <c r="X7" s="447">
        <f>'Inv By Tech Post Attain'!C35</f>
        <v>1939295</v>
      </c>
      <c r="Y7" s="586">
        <f>'Inv By Tech Post Attain'!O35</f>
        <v>1962052.9049999998</v>
      </c>
      <c r="Z7" s="442">
        <f t="shared" si="3"/>
        <v>22757.904999999795</v>
      </c>
      <c r="AB7" s="566">
        <f>'Inv By Tech Post Attain'!O37</f>
        <v>1500000</v>
      </c>
      <c r="AC7" s="570">
        <f t="shared" si="4"/>
        <v>462052.9049999998</v>
      </c>
      <c r="AE7" s="587">
        <f>31000000/32</f>
        <v>968750</v>
      </c>
      <c r="AF7" s="582"/>
      <c r="AG7" s="189" t="s">
        <v>858</v>
      </c>
    </row>
    <row r="8" spans="1:33">
      <c r="A8" s="189" t="s">
        <v>859</v>
      </c>
      <c r="B8" s="189" t="s">
        <v>860</v>
      </c>
      <c r="D8" s="51" t="s">
        <v>39</v>
      </c>
      <c r="E8" s="459">
        <v>0.1</v>
      </c>
      <c r="F8" s="496">
        <f>'Inv By Tech Post Attain'!R46</f>
        <v>0.1901785305858345</v>
      </c>
      <c r="G8" s="460">
        <f t="shared" si="0"/>
        <v>9.0178530585834499E-2</v>
      </c>
      <c r="H8" s="467"/>
      <c r="I8" s="468">
        <v>4.0000000000000001E-3</v>
      </c>
      <c r="J8" s="468">
        <v>0.05</v>
      </c>
      <c r="K8" s="460">
        <f t="shared" si="1"/>
        <v>4.5999999999999999E-2</v>
      </c>
      <c r="L8" s="467"/>
      <c r="M8" s="460">
        <f t="shared" si="2"/>
        <v>9.4178530585834516E-2</v>
      </c>
      <c r="N8" s="469">
        <f>SUM('Inv By Tech Post Attain'!G44:O44)*M8</f>
        <v>498548.3950463233</v>
      </c>
      <c r="O8" s="467"/>
      <c r="P8" s="480"/>
      <c r="Q8" s="462"/>
      <c r="R8" s="462" t="s">
        <v>861</v>
      </c>
      <c r="S8" s="51" t="s">
        <v>39</v>
      </c>
      <c r="T8" s="446">
        <v>1114409</v>
      </c>
      <c r="U8" s="447">
        <v>914306</v>
      </c>
      <c r="V8" s="447">
        <v>1158988</v>
      </c>
      <c r="W8" s="448">
        <v>2504886</v>
      </c>
      <c r="X8" s="447">
        <f>'Inv By Tech Post Attain'!C45</f>
        <v>1441288</v>
      </c>
      <c r="Y8" s="593">
        <f>'Inv By Tech Post Attain'!O45</f>
        <v>1449733.303396567</v>
      </c>
      <c r="Z8" s="442">
        <f t="shared" si="3"/>
        <v>8445.3033965670038</v>
      </c>
      <c r="AB8" s="592">
        <f>'Inv By Tech Post Attain'!O47</f>
        <v>1300000</v>
      </c>
      <c r="AC8" s="575">
        <f t="shared" si="4"/>
        <v>149733.303396567</v>
      </c>
      <c r="AD8" s="189" t="s">
        <v>848</v>
      </c>
      <c r="AE8" s="591">
        <f>173000000/108</f>
        <v>1601851.8518518519</v>
      </c>
      <c r="AF8" s="581"/>
      <c r="AG8" s="189" t="s">
        <v>862</v>
      </c>
    </row>
    <row r="9" spans="1:33" ht="15.75" thickBot="1">
      <c r="A9" s="189">
        <v>1.38</v>
      </c>
      <c r="B9" s="189">
        <v>1</v>
      </c>
      <c r="D9" s="540" t="s">
        <v>36</v>
      </c>
      <c r="E9" s="541">
        <v>0.1</v>
      </c>
      <c r="F9" s="542">
        <f>'Inv By Tech Post Attain'!R53</f>
        <v>0.21686844716873585</v>
      </c>
      <c r="G9" s="543">
        <f t="shared" si="0"/>
        <v>0.11686844716873585</v>
      </c>
      <c r="H9" s="544"/>
      <c r="I9" s="545">
        <v>8.2000000000000003E-2</v>
      </c>
      <c r="J9" s="545">
        <v>0.15</v>
      </c>
      <c r="K9" s="543">
        <f t="shared" si="1"/>
        <v>6.7999999999999991E-2</v>
      </c>
      <c r="L9" s="544"/>
      <c r="M9" s="543">
        <f t="shared" si="2"/>
        <v>9.8868447168735843E-2</v>
      </c>
      <c r="N9" s="546">
        <f>SUM('Inv By Tech Post Attain'!G51:O51)*M9</f>
        <v>251998.63163856507</v>
      </c>
      <c r="O9" s="544"/>
      <c r="P9" s="547"/>
      <c r="Q9" s="548" t="s">
        <v>863</v>
      </c>
      <c r="R9" s="548" t="s">
        <v>864</v>
      </c>
      <c r="S9" s="540" t="s">
        <v>36</v>
      </c>
      <c r="T9" s="446">
        <v>458048.125</v>
      </c>
      <c r="U9" s="447">
        <v>380416</v>
      </c>
      <c r="V9" s="447">
        <v>752207</v>
      </c>
      <c r="W9" s="448">
        <v>694549</v>
      </c>
      <c r="X9" s="447">
        <f>'Inv By Tech Post Attain'!C52</f>
        <v>394299</v>
      </c>
      <c r="Y9" s="593">
        <f>'Inv By Tech Post Attain'!O52</f>
        <v>401442.08450098371</v>
      </c>
      <c r="Z9" s="442">
        <f t="shared" si="3"/>
        <v>7143.0845009837067</v>
      </c>
      <c r="AB9" s="576">
        <f>'Inv By Tech Post Attain'!O54</f>
        <v>600000</v>
      </c>
      <c r="AC9" s="577">
        <f t="shared" si="4"/>
        <v>-198557.91549901629</v>
      </c>
      <c r="AD9" s="189" t="s">
        <v>848</v>
      </c>
      <c r="AE9" s="591">
        <v>940000</v>
      </c>
      <c r="AF9" s="581"/>
      <c r="AG9" s="189" t="s">
        <v>865</v>
      </c>
    </row>
    <row r="10" spans="1:33" ht="15.75" thickBot="1">
      <c r="A10" s="189">
        <f>A9/12</f>
        <v>0.11499999999999999</v>
      </c>
      <c r="B10" s="189">
        <f>B9/12</f>
        <v>8.3333333333333329E-2</v>
      </c>
      <c r="D10" s="550" t="s">
        <v>40</v>
      </c>
      <c r="E10" s="551">
        <v>0.1</v>
      </c>
      <c r="F10" s="552">
        <f>'Inv By Tech Post Attain'!R60</f>
        <v>-1.3600027968736437E-2</v>
      </c>
      <c r="G10" s="553">
        <f t="shared" si="0"/>
        <v>-0.11360002796873644</v>
      </c>
      <c r="H10" s="554"/>
      <c r="I10" s="555">
        <v>0.25</v>
      </c>
      <c r="J10" s="555">
        <v>0.3</v>
      </c>
      <c r="K10" s="553">
        <f t="shared" si="1"/>
        <v>4.9999999999999989E-2</v>
      </c>
      <c r="L10" s="554"/>
      <c r="M10" s="553">
        <f t="shared" si="2"/>
        <v>-0.11360002796873643</v>
      </c>
      <c r="N10" s="556">
        <f>SUM('Inv By Tech Post Attain'!G58:O58)*M10</f>
        <v>-323017.66525019781</v>
      </c>
      <c r="O10" s="554"/>
      <c r="P10" s="557"/>
      <c r="Q10" s="558"/>
      <c r="R10" s="558"/>
      <c r="S10" s="559" t="s">
        <v>40</v>
      </c>
      <c r="T10" s="560">
        <v>252165</v>
      </c>
      <c r="U10" s="561">
        <v>355786</v>
      </c>
      <c r="V10" s="561">
        <v>991126</v>
      </c>
      <c r="W10" s="562">
        <v>569157</v>
      </c>
      <c r="X10" s="561">
        <f>'Inv By Tech Post Attain'!C59</f>
        <v>877051</v>
      </c>
      <c r="Y10" s="594">
        <f>'Inv By Tech Post Attain'!O59</f>
        <v>768891.74322772829</v>
      </c>
      <c r="Z10" s="563">
        <f t="shared" si="3"/>
        <v>-108159.25677227171</v>
      </c>
      <c r="AA10" s="246"/>
      <c r="AB10" s="567">
        <f>'Inv By Tech Post Attain'!O61</f>
        <v>1000000</v>
      </c>
      <c r="AC10" s="571">
        <f>Y10-AB10</f>
        <v>-231108.25677227171</v>
      </c>
      <c r="AE10" s="595">
        <v>600000</v>
      </c>
      <c r="AF10" s="583"/>
    </row>
    <row r="11" spans="1:33">
      <c r="B11" s="189">
        <f>A10-B10</f>
        <v>3.1666666666666662E-2</v>
      </c>
      <c r="D11" s="549" t="s">
        <v>31</v>
      </c>
      <c r="E11" s="499">
        <v>0.1</v>
      </c>
      <c r="F11" s="501">
        <v>0</v>
      </c>
      <c r="G11" s="501">
        <f t="shared" si="0"/>
        <v>-0.1</v>
      </c>
      <c r="H11" s="502"/>
      <c r="I11" s="472">
        <v>2.3E-2</v>
      </c>
      <c r="J11" s="472">
        <v>0.05</v>
      </c>
      <c r="K11" s="501">
        <f t="shared" si="1"/>
        <v>2.7000000000000003E-2</v>
      </c>
      <c r="L11" s="502"/>
      <c r="M11" s="501">
        <f t="shared" si="2"/>
        <v>-7.7000000000000013E-2</v>
      </c>
      <c r="N11" s="505">
        <f>SUM('Inv By Tech Post Attain'!G65:O65)*M11</f>
        <v>-281876.06986000005</v>
      </c>
      <c r="O11" s="502"/>
      <c r="P11" s="506"/>
      <c r="Q11" s="507" t="s">
        <v>866</v>
      </c>
      <c r="R11" s="507"/>
      <c r="S11" s="549" t="s">
        <v>31</v>
      </c>
      <c r="T11" s="446">
        <v>257928</v>
      </c>
      <c r="U11" s="447">
        <v>924840</v>
      </c>
      <c r="V11" s="447">
        <v>811866</v>
      </c>
      <c r="W11" s="448">
        <v>367945</v>
      </c>
      <c r="X11" s="447">
        <f>'Inv By Tech Post Attain'!C66</f>
        <v>768785</v>
      </c>
      <c r="Y11" s="586">
        <f>'Inv By Tech Post Attain'!O66</f>
        <v>666244.48999999953</v>
      </c>
      <c r="Z11" s="442">
        <f t="shared" si="3"/>
        <v>-102540.51000000047</v>
      </c>
      <c r="AB11" s="566">
        <f>'Inv By Tech Post Attain'!O68</f>
        <v>650000</v>
      </c>
      <c r="AC11" s="570">
        <f t="shared" ref="AC11:AC22" si="5">Y11-AB11</f>
        <v>16244.489999999525</v>
      </c>
      <c r="AD11" s="189" t="s">
        <v>845</v>
      </c>
      <c r="AE11" s="587">
        <v>875000</v>
      </c>
      <c r="AF11" s="582"/>
    </row>
    <row r="12" spans="1:33">
      <c r="D12" s="439" t="s">
        <v>32</v>
      </c>
      <c r="E12" s="459">
        <v>0.2</v>
      </c>
      <c r="F12" s="496">
        <f>'Inv By Tech Post Attain'!R74</f>
        <v>0.20744870314745451</v>
      </c>
      <c r="G12" s="460">
        <f t="shared" si="0"/>
        <v>7.448703147454494E-3</v>
      </c>
      <c r="H12" s="467"/>
      <c r="I12" s="468">
        <v>-0.51</v>
      </c>
      <c r="J12" s="468"/>
      <c r="K12" s="460">
        <f t="shared" ref="K12:K22" si="6">J12-I12</f>
        <v>0.51</v>
      </c>
      <c r="L12" s="467"/>
      <c r="M12" s="460">
        <f t="shared" si="2"/>
        <v>-0.35255129685254549</v>
      </c>
      <c r="N12" s="469">
        <f>SUM('Inv By Tech Post Attain'!G72:O72)*M12</f>
        <v>-149598.66997756745</v>
      </c>
      <c r="O12" s="467"/>
      <c r="P12" s="480"/>
      <c r="Q12" s="462" t="s">
        <v>867</v>
      </c>
      <c r="R12" s="462"/>
      <c r="S12" s="439" t="s">
        <v>32</v>
      </c>
      <c r="T12" s="446">
        <v>209992</v>
      </c>
      <c r="U12" s="447">
        <v>133970</v>
      </c>
      <c r="V12" s="447">
        <v>252335.75</v>
      </c>
      <c r="W12" s="448">
        <v>135037</v>
      </c>
      <c r="X12" s="447">
        <f>'Inv By Tech Post Attain'!C73</f>
        <v>133088</v>
      </c>
      <c r="Y12" s="447">
        <f>'Inv By Tech Post Attain'!O73</f>
        <v>281630.09000000003</v>
      </c>
      <c r="Z12" s="442">
        <f t="shared" si="3"/>
        <v>148542.09000000003</v>
      </c>
      <c r="AB12" s="587">
        <f>'Inv By Tech Post Attain'!O75</f>
        <v>75000</v>
      </c>
      <c r="AC12" s="570">
        <f t="shared" si="5"/>
        <v>206630.09000000003</v>
      </c>
      <c r="AE12" s="587">
        <f>5100000/24</f>
        <v>212500</v>
      </c>
      <c r="AF12" s="582"/>
    </row>
    <row r="13" spans="1:33">
      <c r="D13" s="439" t="s">
        <v>33</v>
      </c>
      <c r="E13" s="459">
        <v>0.1</v>
      </c>
      <c r="F13" s="460">
        <f>'Inv By Tech Post Attain'!R81</f>
        <v>0.44997452267956861</v>
      </c>
      <c r="G13" s="460">
        <f t="shared" si="0"/>
        <v>0.34997452267956863</v>
      </c>
      <c r="H13" s="467"/>
      <c r="I13" s="477">
        <v>5.7000000000000002E-2</v>
      </c>
      <c r="J13" s="477"/>
      <c r="K13" s="475"/>
      <c r="L13" s="467"/>
      <c r="M13" s="475"/>
      <c r="N13" s="476"/>
      <c r="O13" s="479"/>
      <c r="P13" s="481"/>
      <c r="Q13" s="462"/>
      <c r="R13" s="462"/>
      <c r="S13" s="439" t="s">
        <v>33</v>
      </c>
      <c r="T13" s="446">
        <v>259390.845</v>
      </c>
      <c r="U13" s="447">
        <v>250993</v>
      </c>
      <c r="V13" s="447">
        <v>708812.00699999998</v>
      </c>
      <c r="W13" s="448">
        <v>466437</v>
      </c>
      <c r="X13" s="447">
        <f>'Inv By Tech Post Attain'!C80</f>
        <v>292537</v>
      </c>
      <c r="Y13" s="447">
        <f>'Inv By Tech Post Attain'!O80</f>
        <v>621126.98794633895</v>
      </c>
      <c r="Z13" s="442">
        <f t="shared" si="3"/>
        <v>328589.98794633895</v>
      </c>
      <c r="AB13" s="566">
        <f>'Inv By Tech Post Attain'!O82</f>
        <v>400000</v>
      </c>
      <c r="AC13" s="570">
        <f t="shared" si="5"/>
        <v>221126.98794633895</v>
      </c>
      <c r="AE13" s="566"/>
      <c r="AF13" s="582"/>
      <c r="AG13" s="189" t="s">
        <v>868</v>
      </c>
    </row>
    <row r="14" spans="1:33">
      <c r="D14" s="51" t="s">
        <v>35</v>
      </c>
      <c r="E14" s="459">
        <v>0.15</v>
      </c>
      <c r="F14" s="496">
        <f>'Inv By Tech Post Attain'!R89</f>
        <v>1.5570300993326289</v>
      </c>
      <c r="G14" s="460">
        <f t="shared" si="0"/>
        <v>1.407030099332629</v>
      </c>
      <c r="H14" s="467"/>
      <c r="I14" s="468">
        <v>-0.21</v>
      </c>
      <c r="J14" s="468">
        <v>-0.21</v>
      </c>
      <c r="K14" s="460">
        <f t="shared" si="6"/>
        <v>0</v>
      </c>
      <c r="L14" s="467"/>
      <c r="M14" s="460">
        <f>F14-5%-K14</f>
        <v>1.5070300993326289</v>
      </c>
      <c r="N14" s="469">
        <f>SUM('Inv By Tech Post Attain'!G87:O87)*M14</f>
        <v>442323.76812752569</v>
      </c>
      <c r="O14" s="479"/>
      <c r="P14" s="481"/>
      <c r="Q14" s="462"/>
      <c r="R14" s="462" t="s">
        <v>869</v>
      </c>
      <c r="S14" s="51" t="s">
        <v>35</v>
      </c>
      <c r="T14" s="446">
        <v>53431</v>
      </c>
      <c r="U14" s="447">
        <v>747403</v>
      </c>
      <c r="V14" s="447">
        <v>736468</v>
      </c>
      <c r="W14" s="448">
        <v>760259</v>
      </c>
      <c r="X14" s="447">
        <f>'Inv By Tech Post Attain'!C88</f>
        <v>318098</v>
      </c>
      <c r="Y14" s="447">
        <f>'Inv By Tech Post Attain'!O88</f>
        <v>315552.52907539095</v>
      </c>
      <c r="Z14" s="442">
        <f t="shared" si="3"/>
        <v>-2545.4709246090497</v>
      </c>
      <c r="AB14" s="566">
        <f>'Inv By Tech Post Attain'!O90</f>
        <v>150000</v>
      </c>
      <c r="AC14" s="570">
        <f t="shared" si="5"/>
        <v>165552.52907539095</v>
      </c>
      <c r="AE14" s="566"/>
      <c r="AF14" s="582"/>
    </row>
    <row r="15" spans="1:33">
      <c r="D15" s="439" t="s">
        <v>42</v>
      </c>
      <c r="E15" s="459">
        <v>0.15</v>
      </c>
      <c r="F15" s="460">
        <f>'Inv By Tech Post Attain'!R96</f>
        <v>0.14846896079969199</v>
      </c>
      <c r="G15" s="460">
        <f t="shared" si="0"/>
        <v>-1.5310392003080042E-3</v>
      </c>
      <c r="H15" s="467"/>
      <c r="I15" s="477">
        <v>0.52</v>
      </c>
      <c r="J15" s="477"/>
      <c r="K15" s="475"/>
      <c r="L15" s="467"/>
      <c r="M15" s="475"/>
      <c r="N15" s="476"/>
      <c r="O15" s="479"/>
      <c r="P15" s="481"/>
      <c r="Q15" s="462"/>
      <c r="R15" s="462"/>
      <c r="S15" s="439" t="s">
        <v>42</v>
      </c>
      <c r="T15" s="446"/>
      <c r="U15" s="447"/>
      <c r="V15" s="447"/>
      <c r="W15" s="448"/>
      <c r="X15" s="447">
        <f>'Inv By Tech Post Attain'!C95</f>
        <v>76188</v>
      </c>
      <c r="Y15" s="447">
        <f>'Inv By Tech Post Attain'!O95</f>
        <v>10168.330367757713</v>
      </c>
      <c r="Z15" s="442">
        <f t="shared" si="3"/>
        <v>-66019.669632242294</v>
      </c>
      <c r="AB15" s="566">
        <f>'Inv By Tech Post Attain'!O97</f>
        <v>40000</v>
      </c>
      <c r="AC15" s="570">
        <f t="shared" si="5"/>
        <v>-29831.669632242287</v>
      </c>
      <c r="AE15" s="566"/>
      <c r="AF15" s="582"/>
    </row>
    <row r="16" spans="1:33">
      <c r="D16" s="439" t="s">
        <v>21</v>
      </c>
      <c r="E16" s="459">
        <v>0.1</v>
      </c>
      <c r="F16" s="496">
        <f>'Inv By Tech Post Attain'!R103</f>
        <v>0.19604023068447579</v>
      </c>
      <c r="G16" s="460">
        <f t="shared" si="0"/>
        <v>9.6040230684475786E-2</v>
      </c>
      <c r="H16" s="467"/>
      <c r="I16" s="468">
        <v>3.1899999999999998E-2</v>
      </c>
      <c r="J16" s="468">
        <v>0.05</v>
      </c>
      <c r="K16" s="460">
        <f t="shared" si="6"/>
        <v>1.8100000000000005E-2</v>
      </c>
      <c r="L16" s="467"/>
      <c r="M16" s="460">
        <f>F16-5%-K16</f>
        <v>0.1279402306844758</v>
      </c>
      <c r="N16" s="469">
        <f>SUM('Inv By Tech Post Attain'!G101:O101)*M16</f>
        <v>52575.828954050608</v>
      </c>
      <c r="O16" s="479"/>
      <c r="P16" s="481"/>
      <c r="Q16" s="462"/>
      <c r="R16" s="462" t="s">
        <v>870</v>
      </c>
      <c r="S16" s="439" t="s">
        <v>21</v>
      </c>
      <c r="T16" s="446">
        <v>226393</v>
      </c>
      <c r="U16" s="447">
        <v>107696</v>
      </c>
      <c r="V16" s="447">
        <v>328410</v>
      </c>
      <c r="W16" s="448">
        <v>299541</v>
      </c>
      <c r="X16" s="447">
        <f>'Inv By Tech Post Attain'!C102</f>
        <v>125028</v>
      </c>
      <c r="Y16" s="447">
        <f>'Inv By Tech Post Attain'!O102</f>
        <v>162299.10144274976</v>
      </c>
      <c r="Z16" s="442">
        <f t="shared" si="3"/>
        <v>37271.101442749758</v>
      </c>
      <c r="AB16" s="566">
        <f>'Inv By Tech Post Attain'!O104</f>
        <v>120000</v>
      </c>
      <c r="AC16" s="570">
        <f t="shared" si="5"/>
        <v>42299.101442749758</v>
      </c>
      <c r="AE16" s="566"/>
      <c r="AF16" s="582"/>
    </row>
    <row r="17" spans="4:41">
      <c r="D17" s="439" t="s">
        <v>25</v>
      </c>
      <c r="E17" s="459">
        <v>0.1</v>
      </c>
      <c r="F17" s="496">
        <f>'Inv By Tech Post Attain'!R110</f>
        <v>0.45728244932154377</v>
      </c>
      <c r="G17" s="460">
        <f t="shared" si="0"/>
        <v>0.35728244932154374</v>
      </c>
      <c r="H17" s="467"/>
      <c r="I17" s="468">
        <v>-1.7000000000000001E-2</v>
      </c>
      <c r="J17" s="468">
        <v>0</v>
      </c>
      <c r="K17" s="460">
        <f t="shared" si="6"/>
        <v>1.7000000000000001E-2</v>
      </c>
      <c r="L17" s="467"/>
      <c r="M17" s="460">
        <f>F17-5%-K17</f>
        <v>0.39028244932154377</v>
      </c>
      <c r="N17" s="469"/>
      <c r="O17" s="478"/>
      <c r="P17" s="482"/>
      <c r="Q17" s="462"/>
      <c r="R17" s="462"/>
      <c r="S17" s="439" t="s">
        <v>25</v>
      </c>
      <c r="T17" s="446">
        <v>232649</v>
      </c>
      <c r="U17" s="447">
        <v>147469</v>
      </c>
      <c r="V17" s="447">
        <v>424293.44199999998</v>
      </c>
      <c r="W17" s="448">
        <v>489532</v>
      </c>
      <c r="X17" s="447">
        <f>'Inv By Tech Post Attain'!C109</f>
        <v>479019</v>
      </c>
      <c r="Y17" s="447">
        <f>'Inv By Tech Post Attain'!O109</f>
        <v>247613.9500000001</v>
      </c>
      <c r="Z17" s="442">
        <f t="shared" si="3"/>
        <v>-231405.0499999999</v>
      </c>
      <c r="AB17" s="566">
        <f>'Inv By Tech Post Attain'!RO111</f>
        <v>0</v>
      </c>
      <c r="AC17" s="570">
        <f t="shared" si="5"/>
        <v>247613.9500000001</v>
      </c>
      <c r="AD17" s="189" t="s">
        <v>848</v>
      </c>
      <c r="AE17" s="566"/>
      <c r="AF17" s="582"/>
    </row>
    <row r="18" spans="4:41">
      <c r="D18" s="439" t="s">
        <v>43</v>
      </c>
      <c r="E18" s="459">
        <v>0.15</v>
      </c>
      <c r="F18" s="460">
        <f>'Inv By Tech Post Attain'!R117</f>
        <v>0.46192201410739386</v>
      </c>
      <c r="G18" s="460">
        <f t="shared" si="0"/>
        <v>0.31192201410739384</v>
      </c>
      <c r="H18" s="467"/>
      <c r="I18" s="468">
        <v>2.8000000000000001E-2</v>
      </c>
      <c r="J18" s="468">
        <v>0.05</v>
      </c>
      <c r="K18" s="460">
        <f t="shared" si="6"/>
        <v>2.2000000000000002E-2</v>
      </c>
      <c r="L18" s="467"/>
      <c r="M18" s="460">
        <f>F18-5%-K18</f>
        <v>0.38992201410739386</v>
      </c>
      <c r="N18" s="469"/>
      <c r="O18" s="478"/>
      <c r="P18" s="482"/>
      <c r="Q18" s="462"/>
      <c r="R18" s="462" t="s">
        <v>871</v>
      </c>
      <c r="S18" s="439" t="s">
        <v>43</v>
      </c>
      <c r="T18" s="446"/>
      <c r="U18" s="447"/>
      <c r="V18" s="447"/>
      <c r="W18" s="448"/>
      <c r="X18" s="447">
        <f>'Inv By Tech Post Attain'!C116</f>
        <v>78593</v>
      </c>
      <c r="Y18" s="447">
        <f>'Inv By Tech Post Attain'!O116</f>
        <v>25839.890000000003</v>
      </c>
      <c r="Z18" s="442">
        <f t="shared" si="3"/>
        <v>-52753.11</v>
      </c>
      <c r="AB18" s="566">
        <f>'Inv By Tech Post Attain'!O118</f>
        <v>40000</v>
      </c>
      <c r="AC18" s="570">
        <f t="shared" si="5"/>
        <v>-14160.109999999997</v>
      </c>
      <c r="AE18" s="566"/>
      <c r="AF18" s="582"/>
      <c r="AM18" s="189">
        <v>139</v>
      </c>
    </row>
    <row r="19" spans="4:41">
      <c r="D19" s="439" t="s">
        <v>38</v>
      </c>
      <c r="E19" s="459">
        <v>0.1</v>
      </c>
      <c r="F19" s="460">
        <f>'Inv By Tech Post Attain'!R124</f>
        <v>8.469812545575843E-2</v>
      </c>
      <c r="G19" s="460">
        <f t="shared" si="0"/>
        <v>-1.5301874544241575E-2</v>
      </c>
      <c r="H19" s="467"/>
      <c r="I19" s="468"/>
      <c r="J19" s="468"/>
      <c r="K19" s="460"/>
      <c r="L19" s="467"/>
      <c r="M19" s="460"/>
      <c r="N19" s="469"/>
      <c r="O19" s="478"/>
      <c r="P19" s="482"/>
      <c r="Q19" s="462"/>
      <c r="R19" s="462"/>
      <c r="S19" s="439" t="s">
        <v>38</v>
      </c>
      <c r="T19" s="446">
        <v>1378878.361</v>
      </c>
      <c r="U19" s="447">
        <v>1821320</v>
      </c>
      <c r="V19" s="447">
        <v>1662512</v>
      </c>
      <c r="W19" s="448">
        <v>668773</v>
      </c>
      <c r="X19" s="447">
        <f>'Inv By Tech Post Attain'!C123</f>
        <v>715502</v>
      </c>
      <c r="Y19" s="447">
        <f>'Inv By Tech Post Attain'!O123</f>
        <v>-42546.595825869939</v>
      </c>
      <c r="Z19" s="442">
        <f t="shared" si="3"/>
        <v>-758048.59582586994</v>
      </c>
      <c r="AB19" s="566">
        <f>'Inv By Tech Post Attain'!O125</f>
        <v>300000</v>
      </c>
      <c r="AC19" s="570">
        <f t="shared" si="5"/>
        <v>-342546.59582586994</v>
      </c>
      <c r="AE19" s="566"/>
      <c r="AF19" s="582"/>
      <c r="AM19" s="189">
        <v>34</v>
      </c>
    </row>
    <row r="20" spans="4:41">
      <c r="D20" s="439" t="s">
        <v>30</v>
      </c>
      <c r="E20" s="459">
        <v>0.1</v>
      </c>
      <c r="F20" s="460">
        <f>'Inv By Tech Post Attain'!R131</f>
        <v>0.34303351906337737</v>
      </c>
      <c r="G20" s="460">
        <f t="shared" si="0"/>
        <v>0.24303351906337736</v>
      </c>
      <c r="H20" s="467"/>
      <c r="I20" s="468">
        <v>2.5999999999999999E-2</v>
      </c>
      <c r="J20" s="468">
        <v>0.05</v>
      </c>
      <c r="K20" s="460">
        <f t="shared" si="6"/>
        <v>2.4000000000000004E-2</v>
      </c>
      <c r="L20" s="467"/>
      <c r="M20" s="460">
        <f>F20-5%-K20</f>
        <v>0.26903351906337736</v>
      </c>
      <c r="N20" s="469">
        <f>SUM('Inv By Tech Post Attain'!G129:O129)*M20</f>
        <v>81112.223411237079</v>
      </c>
      <c r="O20" s="478"/>
      <c r="P20" s="482"/>
      <c r="Q20" s="462"/>
      <c r="R20" s="462"/>
      <c r="S20" s="439" t="s">
        <v>30</v>
      </c>
      <c r="T20" s="446">
        <v>242193</v>
      </c>
      <c r="U20" s="447">
        <v>223970</v>
      </c>
      <c r="V20" s="447">
        <v>162864</v>
      </c>
      <c r="W20" s="448">
        <v>65000</v>
      </c>
      <c r="X20" s="447">
        <f>'Inv By Tech Post Attain'!C130</f>
        <v>42409</v>
      </c>
      <c r="Y20" s="447">
        <f>'Inv By Tech Post Attain'!O130</f>
        <v>78131.679085925061</v>
      </c>
      <c r="Z20" s="442">
        <f t="shared" si="3"/>
        <v>35722.679085925061</v>
      </c>
      <c r="AB20" s="566">
        <f>'Inv By Tech Post Attain'!O132</f>
        <v>50000</v>
      </c>
      <c r="AC20" s="570">
        <f t="shared" si="5"/>
        <v>28131.679085925061</v>
      </c>
      <c r="AD20" s="189" t="s">
        <v>871</v>
      </c>
      <c r="AE20" s="566"/>
      <c r="AF20" s="582"/>
      <c r="AM20" s="189">
        <v>45</v>
      </c>
    </row>
    <row r="21" spans="4:41">
      <c r="D21" s="51" t="s">
        <v>34</v>
      </c>
      <c r="E21" s="459">
        <v>0.15</v>
      </c>
      <c r="F21" s="496">
        <f>'Inv By Tech Post Attain'!R138</f>
        <v>0.17587379788967558</v>
      </c>
      <c r="G21" s="460">
        <f t="shared" si="0"/>
        <v>2.5873797889675587E-2</v>
      </c>
      <c r="H21" s="467"/>
      <c r="I21" s="468">
        <v>0.57999999999999996</v>
      </c>
      <c r="J21" s="468">
        <v>0.7</v>
      </c>
      <c r="K21" s="460">
        <f t="shared" si="6"/>
        <v>0.12</v>
      </c>
      <c r="L21" s="467"/>
      <c r="M21" s="474">
        <f>F21-5%-K21</f>
        <v>5.8737978896755694E-3</v>
      </c>
      <c r="N21" s="469">
        <f>SUM('Inv By Tech Post Attain'!G136:O136)*M21</f>
        <v>24790.560231730135</v>
      </c>
      <c r="O21" s="478"/>
      <c r="P21" s="482"/>
      <c r="Q21" s="462" t="s">
        <v>872</v>
      </c>
      <c r="R21" s="462" t="s">
        <v>873</v>
      </c>
      <c r="S21" s="51" t="s">
        <v>34</v>
      </c>
      <c r="T21" s="446">
        <v>538075</v>
      </c>
      <c r="U21" s="447">
        <v>559333</v>
      </c>
      <c r="V21" s="447">
        <v>216747</v>
      </c>
      <c r="W21" s="448">
        <v>1126952</v>
      </c>
      <c r="X21" s="447">
        <f>'Inv By Tech Post Attain'!C137</f>
        <v>2232153</v>
      </c>
      <c r="Y21" s="593">
        <f>'Inv By Tech Post Attain'!O137</f>
        <v>781372.41089092311</v>
      </c>
      <c r="Z21" s="442">
        <f t="shared" si="3"/>
        <v>-1450780.5891090769</v>
      </c>
      <c r="AB21" s="592">
        <f>'Inv By Tech Post Attain'!O139</f>
        <v>1500000</v>
      </c>
      <c r="AC21" s="575">
        <f t="shared" si="5"/>
        <v>-718627.58910907689</v>
      </c>
      <c r="AD21" s="189" t="s">
        <v>848</v>
      </c>
      <c r="AE21" s="591">
        <v>1960000</v>
      </c>
      <c r="AF21" s="581"/>
      <c r="AM21" s="189">
        <f>SUM(AM18:AM20)</f>
        <v>218</v>
      </c>
    </row>
    <row r="22" spans="4:41" ht="15.75" thickBot="1">
      <c r="D22" s="439" t="s">
        <v>766</v>
      </c>
      <c r="E22" s="459"/>
      <c r="F22" s="460">
        <f>'Inv By Tech Post Attain'!R159</f>
        <v>0.19281911987700462</v>
      </c>
      <c r="G22" s="460">
        <f t="shared" si="0"/>
        <v>0.19281911987700462</v>
      </c>
      <c r="H22" s="467"/>
      <c r="I22" s="468"/>
      <c r="J22" s="468"/>
      <c r="K22" s="460">
        <f t="shared" si="6"/>
        <v>0</v>
      </c>
      <c r="L22" s="467"/>
      <c r="M22" s="460">
        <f>F22-5%-K22</f>
        <v>0.14281911987700463</v>
      </c>
      <c r="N22" s="469"/>
      <c r="O22" s="478"/>
      <c r="P22" s="482"/>
      <c r="Q22" s="462"/>
      <c r="R22" s="462"/>
      <c r="S22" s="439" t="s">
        <v>766</v>
      </c>
      <c r="T22" s="449">
        <f>SUM(T3:T21)</f>
        <v>11005063.380999999</v>
      </c>
      <c r="U22" s="450">
        <f>SUM(U3:U21)</f>
        <v>14477179</v>
      </c>
      <c r="V22" s="450">
        <f>SUM(V3:V21)</f>
        <v>18400000.098999999</v>
      </c>
      <c r="W22" s="451">
        <f>SUM(W3:W21)</f>
        <v>16749133</v>
      </c>
      <c r="X22" s="452">
        <f>'Inv By Tech Post Attain'!C158</f>
        <v>18647576.376000002</v>
      </c>
      <c r="Y22" s="452">
        <f>'Inv By Tech Post Attain'!O158</f>
        <v>17955580.73581012</v>
      </c>
      <c r="Z22" s="443">
        <f>Y22-X22</f>
        <v>-691995.64018988237</v>
      </c>
      <c r="AB22" s="565">
        <f>'Inv By Tech Post Attain'!O160</f>
        <v>17153131.679085925</v>
      </c>
      <c r="AC22" s="572">
        <f t="shared" si="5"/>
        <v>802449.05672419444</v>
      </c>
      <c r="AE22" s="584"/>
      <c r="AF22" s="585"/>
      <c r="AM22" s="578">
        <f>AM21*1000000</f>
        <v>218000000</v>
      </c>
    </row>
    <row r="23" spans="4:41" s="189" customFormat="1">
      <c r="E23" s="330"/>
      <c r="F23" s="330"/>
      <c r="I23" s="330"/>
      <c r="J23" s="330"/>
      <c r="K23" s="330"/>
      <c r="N23" s="471">
        <f>SUM(N3:N22)</f>
        <v>3858892.6046680338</v>
      </c>
      <c r="P23"/>
      <c r="T23" s="330"/>
      <c r="U23" s="330"/>
      <c r="V23" s="330"/>
      <c r="W23" s="330"/>
      <c r="X23" s="445"/>
      <c r="Y23" s="330"/>
      <c r="Z23" s="330"/>
      <c r="AB23" s="330"/>
      <c r="AM23" s="573">
        <f>AM22/108</f>
        <v>2018518.5185185184</v>
      </c>
    </row>
    <row r="24" spans="4:41" s="189" customFormat="1">
      <c r="E24" s="330"/>
      <c r="F24" s="330"/>
      <c r="I24" s="330"/>
      <c r="J24" s="330"/>
      <c r="K24" s="330"/>
      <c r="P24"/>
      <c r="T24" s="330"/>
      <c r="U24" s="330"/>
      <c r="V24" s="330"/>
      <c r="W24" s="330"/>
      <c r="X24" s="445"/>
      <c r="Y24" s="330"/>
      <c r="Z24" s="330"/>
      <c r="AB24" s="330"/>
    </row>
    <row r="25" spans="4:41" s="189" customFormat="1">
      <c r="D25" s="189" t="s">
        <v>874</v>
      </c>
      <c r="E25" s="330"/>
      <c r="F25" s="330"/>
      <c r="I25" s="330"/>
      <c r="J25" s="330"/>
      <c r="K25" s="330"/>
      <c r="P25"/>
      <c r="T25" s="330"/>
      <c r="U25" s="330"/>
      <c r="V25" s="330"/>
      <c r="W25" s="330"/>
      <c r="X25" s="445"/>
      <c r="Y25" s="330"/>
      <c r="Z25" s="330"/>
      <c r="AB25" s="330"/>
    </row>
    <row r="26" spans="4:41" s="189" customFormat="1">
      <c r="D26" s="189" t="s">
        <v>875</v>
      </c>
      <c r="E26" s="330"/>
      <c r="F26" s="330"/>
      <c r="I26" s="330"/>
      <c r="J26" s="330"/>
      <c r="K26" s="330"/>
      <c r="P26"/>
      <c r="T26" s="330"/>
      <c r="U26" s="330"/>
      <c r="V26" s="330"/>
      <c r="W26" s="330"/>
      <c r="X26" s="445"/>
      <c r="Y26" s="330"/>
      <c r="Z26" s="330"/>
      <c r="AB26" s="330"/>
      <c r="AM26" s="189" t="s">
        <v>876</v>
      </c>
      <c r="AN26" s="189">
        <v>30.5</v>
      </c>
      <c r="AO26" s="189">
        <f>AN26/48</f>
        <v>0.63541666666666663</v>
      </c>
    </row>
    <row r="27" spans="4:41" s="189" customFormat="1">
      <c r="E27" s="330"/>
      <c r="F27" s="330"/>
      <c r="I27" s="330"/>
      <c r="J27" s="330"/>
      <c r="K27" s="330"/>
      <c r="P27"/>
      <c r="Q27" s="465"/>
      <c r="T27" s="330"/>
      <c r="U27" s="330"/>
      <c r="V27" s="330"/>
      <c r="W27" s="330"/>
      <c r="X27" s="445"/>
      <c r="Y27" s="330"/>
      <c r="Z27" s="330"/>
      <c r="AB27" s="330"/>
      <c r="AM27" s="189" t="s">
        <v>877</v>
      </c>
      <c r="AN27" s="189">
        <v>7.5</v>
      </c>
      <c r="AO27" s="189">
        <f>AN27/24</f>
        <v>0.3125</v>
      </c>
    </row>
    <row r="28" spans="4:41" s="189" customFormat="1">
      <c r="E28" s="330"/>
      <c r="F28" s="330"/>
      <c r="I28" s="330"/>
      <c r="J28" s="330"/>
      <c r="K28" s="330"/>
      <c r="P28"/>
      <c r="T28" s="330"/>
      <c r="U28" s="330"/>
      <c r="V28" s="330"/>
      <c r="W28" s="330"/>
      <c r="X28" s="445"/>
      <c r="Y28" s="330"/>
      <c r="Z28" s="330"/>
      <c r="AB28" s="330"/>
    </row>
    <row r="29" spans="4:41" s="189" customFormat="1">
      <c r="E29" s="330"/>
      <c r="F29" s="330"/>
      <c r="I29" s="330"/>
      <c r="J29" s="330"/>
      <c r="K29" s="330"/>
      <c r="P29"/>
      <c r="Q29" s="465"/>
      <c r="T29" s="330"/>
      <c r="U29" s="330"/>
      <c r="V29" s="330"/>
      <c r="W29" s="330"/>
      <c r="X29" s="445"/>
      <c r="Y29" s="330"/>
      <c r="Z29" s="330"/>
      <c r="AB29" s="330"/>
      <c r="AM29" s="189" t="s">
        <v>878</v>
      </c>
      <c r="AN29" s="189">
        <v>45</v>
      </c>
      <c r="AO29" s="189">
        <f>AN29/36</f>
        <v>1.25</v>
      </c>
    </row>
    <row r="30" spans="4:41" s="189" customFormat="1">
      <c r="E30" s="330"/>
      <c r="F30" s="330"/>
      <c r="I30" s="330"/>
      <c r="J30" s="330"/>
      <c r="K30" s="330"/>
      <c r="P30"/>
      <c r="T30" s="330"/>
      <c r="U30" s="330"/>
      <c r="V30" s="330"/>
      <c r="W30" s="330"/>
      <c r="X30" s="445"/>
      <c r="Y30" s="330"/>
      <c r="Z30" s="330"/>
      <c r="AB30" s="330"/>
      <c r="AM30" s="189" t="s">
        <v>879</v>
      </c>
      <c r="AN30" s="189">
        <v>12.8</v>
      </c>
      <c r="AO30" s="189">
        <f>AN30/18</f>
        <v>0.71111111111111114</v>
      </c>
    </row>
    <row r="31" spans="4:41" s="189" customFormat="1">
      <c r="E31" s="330"/>
      <c r="F31" s="330"/>
      <c r="I31" s="330"/>
      <c r="J31" s="330"/>
      <c r="K31" s="330"/>
      <c r="P31"/>
      <c r="Q31" s="330" t="s">
        <v>72</v>
      </c>
      <c r="R31" s="330" t="s">
        <v>5</v>
      </c>
      <c r="T31" s="330"/>
      <c r="U31" s="330"/>
      <c r="V31" s="330"/>
      <c r="W31" s="330"/>
      <c r="X31" s="445"/>
      <c r="Y31" s="330"/>
      <c r="Z31" s="330"/>
      <c r="AB31" s="330"/>
    </row>
    <row r="32" spans="4:41" s="189" customFormat="1">
      <c r="E32" s="330"/>
      <c r="F32" s="330"/>
      <c r="I32" s="330"/>
      <c r="J32" s="330"/>
      <c r="K32" s="330"/>
      <c r="P32"/>
      <c r="T32" s="330"/>
      <c r="U32" s="330"/>
      <c r="V32" s="330"/>
      <c r="W32" s="330"/>
      <c r="X32" s="445"/>
      <c r="Y32" s="330"/>
      <c r="Z32" s="330"/>
      <c r="AB32" s="330"/>
    </row>
    <row r="33" spans="5:28" s="189" customFormat="1">
      <c r="E33" s="330"/>
      <c r="F33" s="330"/>
      <c r="I33" s="330"/>
      <c r="J33" s="330"/>
      <c r="K33" s="330"/>
      <c r="P33"/>
      <c r="T33" s="330"/>
      <c r="U33" s="330"/>
      <c r="V33" s="330"/>
      <c r="W33" s="330"/>
      <c r="X33" s="445"/>
      <c r="Y33" s="330"/>
      <c r="Z33" s="330"/>
      <c r="AB33" s="330"/>
    </row>
    <row r="34" spans="5:28" s="189" customFormat="1">
      <c r="E34" s="330"/>
      <c r="F34" s="330"/>
      <c r="I34" s="330"/>
      <c r="J34" s="330"/>
      <c r="K34" s="330"/>
      <c r="P34"/>
      <c r="T34" s="330"/>
      <c r="U34" s="330"/>
      <c r="V34" s="330"/>
      <c r="W34" s="330"/>
      <c r="X34" s="445"/>
      <c r="Y34" s="330"/>
      <c r="Z34" s="330"/>
      <c r="AB34" s="330"/>
    </row>
    <row r="35" spans="5:28" s="189" customFormat="1">
      <c r="E35" s="330"/>
      <c r="F35" s="330"/>
      <c r="I35" s="330"/>
      <c r="J35" s="330"/>
      <c r="K35" s="330"/>
      <c r="P35"/>
      <c r="T35" s="330"/>
      <c r="U35" s="330"/>
      <c r="V35" s="330"/>
      <c r="W35" s="330"/>
      <c r="X35" s="445"/>
      <c r="Y35" s="330"/>
      <c r="Z35" s="330"/>
      <c r="AB35" s="330"/>
    </row>
    <row r="36" spans="5:28" s="189" customFormat="1">
      <c r="E36" s="330"/>
      <c r="F36" s="330"/>
      <c r="I36" s="330"/>
      <c r="J36" s="330"/>
      <c r="K36" s="330"/>
      <c r="P36"/>
      <c r="T36" s="330"/>
      <c r="U36" s="330"/>
      <c r="V36" s="330"/>
      <c r="W36" s="330"/>
      <c r="X36" s="445"/>
      <c r="Y36" s="330"/>
      <c r="Z36" s="330"/>
      <c r="AB36" s="330"/>
    </row>
    <row r="37" spans="5:28" s="189" customFormat="1">
      <c r="E37" s="330"/>
      <c r="F37" s="330"/>
      <c r="I37" s="330"/>
      <c r="J37" s="330"/>
      <c r="K37" s="330"/>
      <c r="P37"/>
      <c r="T37" s="330"/>
      <c r="U37" s="330"/>
      <c r="V37" s="330"/>
      <c r="W37" s="330"/>
      <c r="X37" s="445"/>
      <c r="Y37" s="330"/>
      <c r="Z37" s="330"/>
      <c r="AB37" s="330"/>
    </row>
    <row r="38" spans="5:28" s="189" customFormat="1">
      <c r="E38" s="330"/>
      <c r="F38" s="330"/>
      <c r="I38" s="330"/>
      <c r="J38" s="330"/>
      <c r="K38" s="330"/>
      <c r="P38"/>
      <c r="T38" s="330"/>
      <c r="U38" s="330"/>
      <c r="V38" s="330"/>
      <c r="W38" s="330"/>
      <c r="X38" s="445"/>
      <c r="Y38" s="330"/>
      <c r="Z38" s="330"/>
      <c r="AB38" s="330"/>
    </row>
    <row r="39" spans="5:28" s="189" customFormat="1">
      <c r="E39" s="330"/>
      <c r="F39" s="330"/>
      <c r="I39" s="330"/>
      <c r="J39" s="330"/>
      <c r="K39" s="330"/>
      <c r="P39"/>
      <c r="T39" s="330"/>
      <c r="U39" s="330"/>
      <c r="V39" s="330"/>
      <c r="W39" s="330"/>
      <c r="X39" s="445"/>
      <c r="Y39" s="330"/>
      <c r="Z39" s="330"/>
      <c r="AB39" s="330"/>
    </row>
    <row r="40" spans="5:28" s="189" customFormat="1">
      <c r="E40" s="330"/>
      <c r="F40" s="330"/>
      <c r="I40" s="330"/>
      <c r="J40" s="330"/>
      <c r="K40" s="330"/>
      <c r="P40"/>
      <c r="T40" s="330"/>
      <c r="U40" s="330"/>
      <c r="V40" s="330"/>
      <c r="W40" s="330"/>
      <c r="X40" s="445"/>
      <c r="Y40" s="330"/>
      <c r="Z40" s="330"/>
      <c r="AB40" s="330"/>
    </row>
    <row r="41" spans="5:28" s="189" customFormat="1">
      <c r="E41" s="330"/>
      <c r="F41" s="330"/>
      <c r="I41" s="330"/>
      <c r="J41" s="330"/>
      <c r="K41" s="330"/>
      <c r="P41"/>
      <c r="T41" s="330"/>
      <c r="U41" s="330"/>
      <c r="V41" s="330"/>
      <c r="W41" s="330"/>
      <c r="X41" s="445"/>
      <c r="Y41" s="330"/>
      <c r="Z41" s="330"/>
      <c r="AB41" s="330"/>
    </row>
    <row r="42" spans="5:28" s="189" customFormat="1">
      <c r="E42" s="330"/>
      <c r="F42" s="330"/>
      <c r="I42" s="330"/>
      <c r="J42" s="330"/>
      <c r="K42" s="330"/>
      <c r="P42"/>
      <c r="T42" s="330"/>
      <c r="U42" s="330"/>
      <c r="V42" s="330"/>
      <c r="W42" s="330"/>
      <c r="X42" s="445"/>
      <c r="Y42" s="330"/>
      <c r="Z42" s="330"/>
      <c r="AB42" s="330"/>
    </row>
    <row r="43" spans="5:28" s="189" customFormat="1">
      <c r="E43" s="330"/>
      <c r="F43" s="330"/>
      <c r="I43" s="330"/>
      <c r="J43" s="330"/>
      <c r="K43" s="330"/>
      <c r="P43"/>
      <c r="T43" s="330"/>
      <c r="U43" s="330"/>
      <c r="V43" s="330"/>
      <c r="W43" s="330"/>
      <c r="X43" s="445"/>
      <c r="Y43" s="330"/>
      <c r="Z43" s="330"/>
      <c r="AB43" s="330"/>
    </row>
    <row r="44" spans="5:28" s="189" customFormat="1">
      <c r="E44" s="330"/>
      <c r="F44" s="330"/>
      <c r="I44" s="330"/>
      <c r="J44" s="330"/>
      <c r="K44" s="330"/>
      <c r="P44"/>
      <c r="T44" s="330"/>
      <c r="U44" s="330"/>
      <c r="V44" s="330"/>
      <c r="W44" s="330"/>
      <c r="X44" s="445"/>
      <c r="Y44" s="330"/>
      <c r="Z44" s="330"/>
      <c r="AB44" s="330"/>
    </row>
    <row r="45" spans="5:28" s="189" customFormat="1">
      <c r="E45" s="330"/>
      <c r="F45" s="330"/>
      <c r="I45" s="330"/>
      <c r="J45" s="330"/>
      <c r="K45" s="330"/>
      <c r="P45"/>
      <c r="T45" s="330"/>
      <c r="U45" s="330"/>
      <c r="V45" s="330"/>
      <c r="W45" s="330"/>
      <c r="X45" s="445"/>
      <c r="Y45" s="330"/>
      <c r="Z45" s="330"/>
      <c r="AB45" s="330"/>
    </row>
    <row r="46" spans="5:28" s="189" customFormat="1">
      <c r="E46" s="330"/>
      <c r="F46" s="330"/>
      <c r="I46" s="330"/>
      <c r="J46" s="330"/>
      <c r="K46" s="330"/>
      <c r="P46"/>
      <c r="T46" s="330"/>
      <c r="U46" s="330"/>
      <c r="V46" s="330"/>
      <c r="W46" s="330"/>
      <c r="X46" s="445"/>
      <c r="Y46" s="330"/>
      <c r="Z46" s="330"/>
      <c r="AB46" s="330"/>
    </row>
    <row r="47" spans="5:28" s="189" customFormat="1">
      <c r="E47" s="330"/>
      <c r="F47" s="330"/>
      <c r="I47" s="330"/>
      <c r="J47" s="330"/>
      <c r="K47" s="330"/>
      <c r="P47"/>
      <c r="T47" s="330"/>
      <c r="U47" s="330"/>
      <c r="V47" s="330"/>
      <c r="W47" s="330"/>
      <c r="X47" s="445"/>
      <c r="Y47" s="330"/>
      <c r="Z47" s="330"/>
      <c r="AB47" s="330"/>
    </row>
    <row r="48" spans="5:28" s="189" customFormat="1">
      <c r="E48" s="330"/>
      <c r="F48" s="330"/>
      <c r="I48" s="330"/>
      <c r="J48" s="330"/>
      <c r="K48" s="330"/>
      <c r="P48"/>
      <c r="T48" s="330"/>
      <c r="U48" s="330"/>
      <c r="V48" s="330"/>
      <c r="W48" s="330"/>
      <c r="X48" s="445"/>
      <c r="Y48" s="330"/>
      <c r="Z48" s="330"/>
      <c r="AB48" s="330"/>
    </row>
    <row r="49" spans="5:28" s="189" customFormat="1">
      <c r="E49" s="330"/>
      <c r="F49" s="330"/>
      <c r="I49" s="330"/>
      <c r="J49" s="330"/>
      <c r="K49" s="330"/>
      <c r="P49"/>
      <c r="T49" s="330"/>
      <c r="U49" s="330"/>
      <c r="V49" s="330"/>
      <c r="W49" s="330"/>
      <c r="X49" s="445"/>
      <c r="Y49" s="330"/>
      <c r="Z49" s="330"/>
      <c r="AB49" s="330"/>
    </row>
    <row r="50" spans="5:28" s="189" customFormat="1">
      <c r="E50" s="330"/>
      <c r="F50" s="330"/>
      <c r="I50" s="330"/>
      <c r="J50" s="330"/>
      <c r="K50" s="330"/>
      <c r="P50"/>
      <c r="T50" s="330"/>
      <c r="U50" s="330"/>
      <c r="V50" s="330"/>
      <c r="W50" s="330"/>
      <c r="X50" s="445"/>
      <c r="Y50" s="330"/>
      <c r="Z50" s="330"/>
      <c r="AB50" s="330"/>
    </row>
    <row r="51" spans="5:28" s="189" customFormat="1">
      <c r="E51" s="330"/>
      <c r="F51" s="330"/>
      <c r="I51" s="330"/>
      <c r="J51" s="330"/>
      <c r="K51" s="330"/>
      <c r="P51"/>
      <c r="T51" s="330"/>
      <c r="U51" s="330"/>
      <c r="V51" s="330"/>
      <c r="W51" s="330"/>
      <c r="X51" s="445"/>
      <c r="Y51" s="330"/>
      <c r="Z51" s="330"/>
      <c r="AB51" s="330"/>
    </row>
    <row r="52" spans="5:28" s="189" customFormat="1">
      <c r="E52" s="330"/>
      <c r="F52" s="330"/>
      <c r="I52" s="330"/>
      <c r="J52" s="330"/>
      <c r="K52" s="330"/>
      <c r="P52"/>
      <c r="T52" s="330"/>
      <c r="U52" s="330"/>
      <c r="V52" s="330"/>
      <c r="W52" s="330"/>
      <c r="X52" s="445"/>
      <c r="Y52" s="330"/>
      <c r="Z52" s="330"/>
      <c r="AB52" s="330"/>
    </row>
    <row r="53" spans="5:28" s="189" customFormat="1">
      <c r="E53" s="330"/>
      <c r="F53" s="330"/>
      <c r="I53" s="330"/>
      <c r="J53" s="330"/>
      <c r="K53" s="330"/>
      <c r="P53"/>
      <c r="T53" s="330"/>
      <c r="U53" s="330"/>
      <c r="V53" s="330"/>
      <c r="W53" s="330"/>
      <c r="X53" s="445"/>
      <c r="Y53" s="330"/>
      <c r="Z53" s="330"/>
      <c r="AB53" s="330"/>
    </row>
    <row r="54" spans="5:28" s="189" customFormat="1">
      <c r="E54" s="330"/>
      <c r="F54" s="330"/>
      <c r="I54" s="330"/>
      <c r="J54" s="330"/>
      <c r="K54" s="330"/>
      <c r="P54"/>
      <c r="T54" s="330"/>
      <c r="U54" s="330"/>
      <c r="V54" s="330"/>
      <c r="W54" s="330"/>
      <c r="X54" s="445"/>
      <c r="Y54" s="330"/>
      <c r="Z54" s="330"/>
      <c r="AB54" s="330"/>
    </row>
    <row r="55" spans="5:28" s="189" customFormat="1">
      <c r="E55" s="330"/>
      <c r="F55" s="330"/>
      <c r="I55" s="330"/>
      <c r="J55" s="330"/>
      <c r="K55" s="330"/>
      <c r="P55"/>
      <c r="T55" s="330"/>
      <c r="U55" s="330"/>
      <c r="V55" s="330"/>
      <c r="W55" s="330"/>
      <c r="X55" s="445"/>
      <c r="Y55" s="330"/>
      <c r="Z55" s="330"/>
      <c r="AB55" s="330"/>
    </row>
    <row r="56" spans="5:28" s="189" customFormat="1">
      <c r="E56" s="330"/>
      <c r="F56" s="330"/>
      <c r="I56" s="330"/>
      <c r="J56" s="330"/>
      <c r="K56" s="330"/>
      <c r="P56"/>
      <c r="T56" s="330"/>
      <c r="U56" s="330"/>
      <c r="V56" s="330"/>
      <c r="W56" s="330"/>
      <c r="X56" s="445"/>
      <c r="Y56" s="330"/>
      <c r="Z56" s="330"/>
      <c r="AB56" s="330"/>
    </row>
    <row r="57" spans="5:28" s="189" customFormat="1">
      <c r="E57" s="330"/>
      <c r="F57" s="330"/>
      <c r="I57" s="330"/>
      <c r="J57" s="330"/>
      <c r="K57" s="330"/>
      <c r="P57"/>
      <c r="T57" s="330"/>
      <c r="U57" s="330"/>
      <c r="V57" s="330"/>
      <c r="W57" s="330"/>
      <c r="X57" s="445"/>
      <c r="Y57" s="330"/>
      <c r="Z57" s="330"/>
      <c r="AB57" s="330"/>
    </row>
    <row r="58" spans="5:28" s="189" customFormat="1">
      <c r="E58" s="330"/>
      <c r="F58" s="330"/>
      <c r="I58" s="330"/>
      <c r="J58" s="330"/>
      <c r="K58" s="330"/>
      <c r="P58"/>
      <c r="T58" s="330"/>
      <c r="U58" s="330"/>
      <c r="V58" s="330"/>
      <c r="W58" s="330"/>
      <c r="X58" s="445"/>
      <c r="Y58" s="330"/>
      <c r="Z58" s="330"/>
      <c r="AB58" s="330"/>
    </row>
    <row r="59" spans="5:28" s="189" customFormat="1">
      <c r="E59" s="330"/>
      <c r="F59" s="330"/>
      <c r="I59" s="330"/>
      <c r="J59" s="330"/>
      <c r="K59" s="330"/>
      <c r="P59"/>
      <c r="T59" s="330"/>
      <c r="U59" s="330"/>
      <c r="V59" s="330"/>
      <c r="W59" s="330"/>
      <c r="X59" s="445"/>
      <c r="Y59" s="330"/>
      <c r="Z59" s="330"/>
      <c r="AB59" s="330"/>
    </row>
    <row r="60" spans="5:28" s="189" customFormat="1">
      <c r="E60" s="330"/>
      <c r="F60" s="330"/>
      <c r="I60" s="330"/>
      <c r="J60" s="330"/>
      <c r="K60" s="330"/>
      <c r="P60"/>
      <c r="T60" s="330"/>
      <c r="U60" s="330"/>
      <c r="V60" s="330"/>
      <c r="W60" s="330"/>
      <c r="X60" s="445"/>
      <c r="Y60" s="330"/>
      <c r="Z60" s="330"/>
      <c r="AB60" s="330"/>
    </row>
    <row r="61" spans="5:28" s="189" customFormat="1">
      <c r="E61" s="330"/>
      <c r="F61" s="330"/>
      <c r="I61" s="330"/>
      <c r="J61" s="330"/>
      <c r="K61" s="330"/>
      <c r="P61"/>
      <c r="T61" s="330"/>
      <c r="U61" s="330"/>
      <c r="V61" s="330"/>
      <c r="W61" s="330"/>
      <c r="X61" s="445"/>
      <c r="Y61" s="330"/>
      <c r="Z61" s="330"/>
      <c r="AB61" s="330"/>
    </row>
  </sheetData>
  <mergeCells count="4">
    <mergeCell ref="M1:N1"/>
    <mergeCell ref="I1:K1"/>
    <mergeCell ref="E1:G1"/>
    <mergeCell ref="X1:Z1"/>
  </mergeCells>
  <conditionalFormatting sqref="N3:N22">
    <cfRule type="cellIs" dxfId="4" priority="3" operator="greaterThan">
      <formula>0</formula>
    </cfRule>
  </conditionalFormatting>
  <conditionalFormatting sqref="Z3:Z2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AC3:AC22">
    <cfRule type="cellIs" dxfId="1" priority="2" operator="greaterThan">
      <formula>0</formula>
    </cfRule>
  </conditionalFormatting>
  <conditionalFormatting sqref="AF3:AF22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E895-3DFC-4C95-8F6C-A24553B055AB}">
  <sheetPr>
    <tabColor rgb="FFFFC000"/>
  </sheetPr>
  <dimension ref="A1:AF372"/>
  <sheetViews>
    <sheetView topLeftCell="E322" zoomScale="70" zoomScaleNormal="70" workbookViewId="0">
      <selection activeCell="E34" sqref="E34:R372"/>
    </sheetView>
  </sheetViews>
  <sheetFormatPr defaultRowHeight="15"/>
  <cols>
    <col min="1" max="1" width="14" style="122" bestFit="1" customWidth="1"/>
    <col min="2" max="2" width="11.42578125" style="122" customWidth="1"/>
    <col min="3" max="3" width="30.42578125" style="122" customWidth="1"/>
    <col min="4" max="4" width="34" style="122" customWidth="1"/>
    <col min="5" max="5" width="60.5703125" style="189" customWidth="1"/>
    <col min="6" max="6" width="12" style="189" customWidth="1"/>
    <col min="7" max="7" width="14.5703125" style="243" bestFit="1" customWidth="1"/>
    <col min="8" max="9" width="15.5703125" style="243" bestFit="1" customWidth="1"/>
    <col min="10" max="10" width="15.42578125" style="243" bestFit="1" customWidth="1"/>
    <col min="11" max="12" width="15.5703125" style="243" bestFit="1" customWidth="1"/>
    <col min="13" max="15" width="15.42578125" style="243" bestFit="1" customWidth="1"/>
    <col min="16" max="16" width="15.5703125" style="243" bestFit="1" customWidth="1"/>
    <col min="17" max="18" width="15.42578125" style="243" bestFit="1" customWidth="1"/>
    <col min="19" max="19" width="12.5703125" style="122" customWidth="1"/>
    <col min="20" max="20" width="9.28515625" style="122"/>
    <col min="21" max="22" width="14.42578125" style="122" bestFit="1" customWidth="1"/>
    <col min="23" max="23" width="15" style="122" bestFit="1" customWidth="1"/>
    <col min="24" max="24" width="14.7109375" style="122" bestFit="1" customWidth="1"/>
    <col min="25" max="25" width="15" style="122" bestFit="1" customWidth="1"/>
    <col min="26" max="26" width="14.42578125" style="122" bestFit="1" customWidth="1"/>
    <col min="27" max="27" width="14.28515625" style="122" bestFit="1" customWidth="1"/>
    <col min="28" max="28" width="15" style="122" bestFit="1" customWidth="1"/>
    <col min="29" max="29" width="14.5703125" style="122" bestFit="1" customWidth="1"/>
    <col min="30" max="30" width="14.7109375" style="122" bestFit="1" customWidth="1"/>
    <col min="31" max="31" width="15" style="122" bestFit="1" customWidth="1"/>
    <col min="32" max="32" width="14.5703125" style="122" bestFit="1" customWidth="1"/>
  </cols>
  <sheetData>
    <row r="1" spans="2:32" s="122" customFormat="1">
      <c r="E1" s="189"/>
      <c r="F1" s="189"/>
      <c r="G1" s="1128"/>
      <c r="H1" s="1128"/>
      <c r="I1" s="1128"/>
      <c r="J1" s="1128"/>
      <c r="K1" s="1128"/>
      <c r="L1" s="1128"/>
      <c r="M1" s="1128"/>
      <c r="N1" s="1128"/>
      <c r="O1" s="1128"/>
      <c r="P1" s="1128"/>
      <c r="Q1" s="1128"/>
      <c r="R1" s="1128"/>
      <c r="S1" s="178"/>
    </row>
    <row r="2" spans="2:32" s="169" customFormat="1">
      <c r="E2" s="243"/>
      <c r="F2" s="243"/>
      <c r="G2" s="243">
        <f t="shared" ref="G2:R2" si="0">SUBTOTAL(9,G4:G24586)</f>
        <v>7568228.3192973286</v>
      </c>
      <c r="H2" s="243">
        <f t="shared" si="0"/>
        <v>8838309.6062121652</v>
      </c>
      <c r="I2" s="243">
        <f t="shared" si="0"/>
        <v>10492983.60817186</v>
      </c>
      <c r="J2" s="243">
        <f t="shared" si="0"/>
        <v>10267337.174029941</v>
      </c>
      <c r="K2" s="243">
        <f t="shared" si="0"/>
        <v>11186507.803623414</v>
      </c>
      <c r="L2" s="243">
        <f t="shared" si="0"/>
        <v>12586788.075038057</v>
      </c>
      <c r="M2" s="243">
        <f t="shared" si="0"/>
        <v>11076883.205694415</v>
      </c>
      <c r="N2" s="243">
        <f t="shared" si="0"/>
        <v>10430010.270811751</v>
      </c>
      <c r="O2" s="243">
        <f t="shared" si="0"/>
        <v>8755379.8943855297</v>
      </c>
      <c r="P2" s="243">
        <f t="shared" si="0"/>
        <v>8603370.845865611</v>
      </c>
      <c r="Q2" s="243">
        <f t="shared" si="0"/>
        <v>8071630.6174153611</v>
      </c>
      <c r="R2" s="243">
        <f t="shared" si="0"/>
        <v>7359356.9625484655</v>
      </c>
      <c r="U2" s="169" t="e">
        <f t="shared" ref="U2:AF2" si="1">SUBTOTAL(9,U4:U3372)</f>
        <v>#N/A</v>
      </c>
      <c r="V2" s="169" t="e">
        <f t="shared" si="1"/>
        <v>#N/A</v>
      </c>
      <c r="W2" s="169" t="e">
        <f t="shared" si="1"/>
        <v>#N/A</v>
      </c>
      <c r="X2" s="169" t="e">
        <f t="shared" si="1"/>
        <v>#N/A</v>
      </c>
      <c r="Y2" s="169" t="e">
        <f t="shared" si="1"/>
        <v>#N/A</v>
      </c>
      <c r="Z2" s="169" t="e">
        <f t="shared" si="1"/>
        <v>#N/A</v>
      </c>
      <c r="AA2" s="169" t="e">
        <f t="shared" si="1"/>
        <v>#N/A</v>
      </c>
      <c r="AB2" s="169" t="e">
        <f t="shared" si="1"/>
        <v>#N/A</v>
      </c>
      <c r="AC2" s="169" t="e">
        <f t="shared" si="1"/>
        <v>#N/A</v>
      </c>
      <c r="AD2" s="169" t="e">
        <f t="shared" si="1"/>
        <v>#N/A</v>
      </c>
      <c r="AE2" s="169" t="e">
        <f t="shared" si="1"/>
        <v>#N/A</v>
      </c>
      <c r="AF2" s="169" t="e">
        <f t="shared" si="1"/>
        <v>#N/A</v>
      </c>
    </row>
    <row r="3" spans="2:32">
      <c r="B3" s="122" t="s">
        <v>880</v>
      </c>
      <c r="C3" s="122" t="s">
        <v>219</v>
      </c>
      <c r="D3" s="122" t="s">
        <v>218</v>
      </c>
      <c r="E3" s="189" t="s">
        <v>1062</v>
      </c>
      <c r="F3" s="189" t="s">
        <v>880</v>
      </c>
      <c r="G3" s="244">
        <v>45292</v>
      </c>
      <c r="H3" s="244">
        <v>45323</v>
      </c>
      <c r="I3" s="244">
        <v>45352</v>
      </c>
      <c r="J3" s="244">
        <v>45383</v>
      </c>
      <c r="K3" s="244">
        <v>45413</v>
      </c>
      <c r="L3" s="244">
        <v>45444</v>
      </c>
      <c r="M3" s="244">
        <v>45474</v>
      </c>
      <c r="N3" s="244">
        <v>45505</v>
      </c>
      <c r="O3" s="244">
        <v>45536</v>
      </c>
      <c r="P3" s="244">
        <v>45566</v>
      </c>
      <c r="Q3" s="244">
        <v>45597</v>
      </c>
      <c r="R3" s="244">
        <v>45627</v>
      </c>
      <c r="S3" s="122" t="s">
        <v>47</v>
      </c>
      <c r="T3" s="122" t="s">
        <v>253</v>
      </c>
      <c r="U3" s="122" t="s">
        <v>1063</v>
      </c>
      <c r="V3" s="122" t="s">
        <v>1064</v>
      </c>
      <c r="W3" s="122" t="s">
        <v>1065</v>
      </c>
      <c r="X3" s="122" t="s">
        <v>1066</v>
      </c>
      <c r="Y3" s="122" t="s">
        <v>1067</v>
      </c>
      <c r="Z3" s="122" t="s">
        <v>1068</v>
      </c>
      <c r="AA3" s="122" t="s">
        <v>1069</v>
      </c>
      <c r="AB3" s="122" t="s">
        <v>1070</v>
      </c>
      <c r="AC3" s="122" t="s">
        <v>1071</v>
      </c>
      <c r="AD3" s="122" t="s">
        <v>1072</v>
      </c>
      <c r="AE3" s="122" t="s">
        <v>1073</v>
      </c>
      <c r="AF3" s="122" t="s">
        <v>1074</v>
      </c>
    </row>
    <row r="4" spans="2:32">
      <c r="B4" s="122">
        <f t="shared" ref="B4:B30" si="2">F4</f>
        <v>84141102</v>
      </c>
      <c r="C4" s="122" t="str">
        <f>VLOOKUP($B4,'Tech Litons'!$A:$I,3,0)</f>
        <v>BJ PTS</v>
      </c>
      <c r="D4" s="122" t="str">
        <f>VLOOKUP($B4,'Tech Litons'!$A:$I,4,0)</f>
        <v>BJ PTS</v>
      </c>
      <c r="E4" s="266" t="s">
        <v>1075</v>
      </c>
      <c r="F4" s="102">
        <v>84141102</v>
      </c>
      <c r="G4" s="267">
        <v>100000</v>
      </c>
      <c r="H4" s="267">
        <v>100000</v>
      </c>
      <c r="I4" s="267">
        <v>100000</v>
      </c>
      <c r="J4" s="267">
        <v>100000</v>
      </c>
      <c r="K4" s="267">
        <v>100000</v>
      </c>
      <c r="L4" s="267">
        <v>100000</v>
      </c>
      <c r="M4" s="267">
        <v>100000</v>
      </c>
      <c r="N4" s="267">
        <v>100000</v>
      </c>
      <c r="O4" s="267">
        <v>100000</v>
      </c>
      <c r="P4" s="267">
        <v>100000</v>
      </c>
      <c r="Q4" s="267">
        <v>100000</v>
      </c>
      <c r="R4" s="267">
        <v>100000</v>
      </c>
      <c r="S4" s="169">
        <f t="shared" ref="S4:S67" si="3">SUM(G4:R4)</f>
        <v>1200000</v>
      </c>
      <c r="T4" s="122">
        <f>VLOOKUP($B4,'Tech Litons'!$A:$I,9,0)</f>
        <v>240</v>
      </c>
      <c r="U4" s="179">
        <f t="shared" ref="U4:AF19" si="4">G4/$T4</f>
        <v>416.66666666666669</v>
      </c>
      <c r="V4" s="179">
        <f t="shared" si="4"/>
        <v>416.66666666666669</v>
      </c>
      <c r="W4" s="179">
        <f t="shared" si="4"/>
        <v>416.66666666666669</v>
      </c>
      <c r="X4" s="179">
        <f t="shared" si="4"/>
        <v>416.66666666666669</v>
      </c>
      <c r="Y4" s="179">
        <f t="shared" si="4"/>
        <v>416.66666666666669</v>
      </c>
      <c r="Z4" s="179">
        <f t="shared" si="4"/>
        <v>416.66666666666669</v>
      </c>
      <c r="AA4" s="179">
        <f t="shared" si="4"/>
        <v>416.66666666666669</v>
      </c>
      <c r="AB4" s="179">
        <f t="shared" si="4"/>
        <v>416.66666666666669</v>
      </c>
      <c r="AC4" s="179">
        <f t="shared" si="4"/>
        <v>416.66666666666669</v>
      </c>
      <c r="AD4" s="179">
        <f t="shared" si="4"/>
        <v>416.66666666666669</v>
      </c>
      <c r="AE4" s="179">
        <f t="shared" si="4"/>
        <v>416.66666666666669</v>
      </c>
      <c r="AF4" s="179">
        <f t="shared" si="4"/>
        <v>416.66666666666669</v>
      </c>
    </row>
    <row r="5" spans="2:32">
      <c r="B5" s="122">
        <f t="shared" si="2"/>
        <v>84143543</v>
      </c>
      <c r="C5" s="122" t="e">
        <f>VLOOKUP($B5,'Tech Litons'!$A:$I,3,0)</f>
        <v>#N/A</v>
      </c>
      <c r="D5" s="122" t="e">
        <f>VLOOKUP($B5,'Tech Litons'!$A:$I,4,0)</f>
        <v>#N/A</v>
      </c>
      <c r="E5" s="266" t="s">
        <v>1076</v>
      </c>
      <c r="F5" s="102">
        <v>84143543</v>
      </c>
      <c r="G5" s="267">
        <v>7000</v>
      </c>
      <c r="H5" s="267">
        <v>7000</v>
      </c>
      <c r="I5" s="267">
        <v>7000</v>
      </c>
      <c r="J5" s="267">
        <v>7000</v>
      </c>
      <c r="K5" s="267">
        <v>7000</v>
      </c>
      <c r="L5" s="267">
        <v>7000</v>
      </c>
      <c r="M5" s="267">
        <v>7000</v>
      </c>
      <c r="N5" s="267">
        <v>7000</v>
      </c>
      <c r="O5" s="267">
        <v>7000</v>
      </c>
      <c r="P5" s="267">
        <v>7000</v>
      </c>
      <c r="Q5" s="267">
        <v>7000</v>
      </c>
      <c r="R5" s="267">
        <v>7000</v>
      </c>
      <c r="S5" s="169">
        <f t="shared" si="3"/>
        <v>84000</v>
      </c>
      <c r="T5" s="122" t="e">
        <f>VLOOKUP($B5,'Tech Litons'!$A:$I,9,0)</f>
        <v>#N/A</v>
      </c>
      <c r="U5" s="179" t="e">
        <f t="shared" si="4"/>
        <v>#N/A</v>
      </c>
      <c r="V5" s="179" t="e">
        <f t="shared" si="4"/>
        <v>#N/A</v>
      </c>
      <c r="W5" s="179" t="e">
        <f t="shared" si="4"/>
        <v>#N/A</v>
      </c>
      <c r="X5" s="179" t="e">
        <f t="shared" si="4"/>
        <v>#N/A</v>
      </c>
      <c r="Y5" s="179" t="e">
        <f t="shared" si="4"/>
        <v>#N/A</v>
      </c>
      <c r="Z5" s="179" t="e">
        <f t="shared" si="4"/>
        <v>#N/A</v>
      </c>
      <c r="AA5" s="179" t="e">
        <f t="shared" si="4"/>
        <v>#N/A</v>
      </c>
      <c r="AB5" s="179" t="e">
        <f t="shared" si="4"/>
        <v>#N/A</v>
      </c>
      <c r="AC5" s="179" t="e">
        <f t="shared" si="4"/>
        <v>#N/A</v>
      </c>
      <c r="AD5" s="179" t="e">
        <f t="shared" si="4"/>
        <v>#N/A</v>
      </c>
      <c r="AE5" s="179" t="e">
        <f t="shared" si="4"/>
        <v>#N/A</v>
      </c>
      <c r="AF5" s="179" t="e">
        <f t="shared" si="4"/>
        <v>#N/A</v>
      </c>
    </row>
    <row r="6" spans="2:32">
      <c r="B6" s="122">
        <f t="shared" si="2"/>
        <v>84150840</v>
      </c>
      <c r="C6" s="122" t="e">
        <f>VLOOKUP($B6,'Tech Litons'!$A:$I,3,0)</f>
        <v>#N/A</v>
      </c>
      <c r="D6" s="122" t="e">
        <f>VLOOKUP($B6,'Tech Litons'!$A:$I,4,0)</f>
        <v>#N/A</v>
      </c>
      <c r="E6" s="266" t="s">
        <v>1077</v>
      </c>
      <c r="F6" s="102">
        <v>84150840</v>
      </c>
      <c r="G6" s="267">
        <v>0</v>
      </c>
      <c r="H6" s="267">
        <v>0</v>
      </c>
      <c r="I6" s="267">
        <v>0</v>
      </c>
      <c r="J6" s="267">
        <v>0</v>
      </c>
      <c r="K6" s="267">
        <v>0</v>
      </c>
      <c r="L6" s="267">
        <v>0</v>
      </c>
      <c r="M6" s="267">
        <v>0</v>
      </c>
      <c r="N6" s="267">
        <v>0</v>
      </c>
      <c r="O6" s="267">
        <v>0</v>
      </c>
      <c r="P6" s="267">
        <v>0</v>
      </c>
      <c r="Q6" s="267">
        <v>0</v>
      </c>
      <c r="R6" s="267">
        <v>0</v>
      </c>
      <c r="S6" s="169">
        <f t="shared" si="3"/>
        <v>0</v>
      </c>
      <c r="T6" s="122" t="e">
        <f>VLOOKUP($B6,'Tech Litons'!$A:$I,9,0)</f>
        <v>#N/A</v>
      </c>
      <c r="U6" s="179" t="e">
        <f t="shared" si="4"/>
        <v>#N/A</v>
      </c>
      <c r="V6" s="179" t="e">
        <f t="shared" si="4"/>
        <v>#N/A</v>
      </c>
      <c r="W6" s="179" t="e">
        <f t="shared" si="4"/>
        <v>#N/A</v>
      </c>
      <c r="X6" s="179" t="e">
        <f t="shared" si="4"/>
        <v>#N/A</v>
      </c>
      <c r="Y6" s="179" t="e">
        <f t="shared" si="4"/>
        <v>#N/A</v>
      </c>
      <c r="Z6" s="179" t="e">
        <f t="shared" si="4"/>
        <v>#N/A</v>
      </c>
      <c r="AA6" s="179" t="e">
        <f t="shared" si="4"/>
        <v>#N/A</v>
      </c>
      <c r="AB6" s="179" t="e">
        <f t="shared" si="4"/>
        <v>#N/A</v>
      </c>
      <c r="AC6" s="179" t="e">
        <f t="shared" si="4"/>
        <v>#N/A</v>
      </c>
      <c r="AD6" s="179" t="e">
        <f t="shared" si="4"/>
        <v>#N/A</v>
      </c>
      <c r="AE6" s="179" t="e">
        <f t="shared" si="4"/>
        <v>#N/A</v>
      </c>
      <c r="AF6" s="179" t="e">
        <f t="shared" si="4"/>
        <v>#N/A</v>
      </c>
    </row>
    <row r="7" spans="2:32">
      <c r="B7" s="122">
        <f t="shared" si="2"/>
        <v>68414647</v>
      </c>
      <c r="C7" s="122" t="e">
        <f>VLOOKUP($B7,'Tech Litons'!$A:$I,3,0)</f>
        <v>#N/A</v>
      </c>
      <c r="D7" s="122" t="e">
        <f>VLOOKUP($B7,'Tech Litons'!$A:$I,4,0)</f>
        <v>#N/A</v>
      </c>
      <c r="E7" s="266" t="s">
        <v>1078</v>
      </c>
      <c r="F7" s="102">
        <v>68414647</v>
      </c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169">
        <f t="shared" si="3"/>
        <v>0</v>
      </c>
      <c r="T7" s="122" t="e">
        <f>VLOOKUP($B7,'Tech Litons'!$A:$I,9,0)</f>
        <v>#N/A</v>
      </c>
      <c r="U7" s="179" t="e">
        <f t="shared" si="4"/>
        <v>#N/A</v>
      </c>
      <c r="V7" s="179" t="e">
        <f t="shared" si="4"/>
        <v>#N/A</v>
      </c>
      <c r="W7" s="179" t="e">
        <f t="shared" si="4"/>
        <v>#N/A</v>
      </c>
      <c r="X7" s="179" t="e">
        <f t="shared" si="4"/>
        <v>#N/A</v>
      </c>
      <c r="Y7" s="179" t="e">
        <f t="shared" si="4"/>
        <v>#N/A</v>
      </c>
      <c r="Z7" s="179" t="e">
        <f t="shared" si="4"/>
        <v>#N/A</v>
      </c>
      <c r="AA7" s="179" t="e">
        <f t="shared" si="4"/>
        <v>#N/A</v>
      </c>
      <c r="AB7" s="179" t="e">
        <f t="shared" si="4"/>
        <v>#N/A</v>
      </c>
      <c r="AC7" s="179" t="e">
        <f t="shared" si="4"/>
        <v>#N/A</v>
      </c>
      <c r="AD7" s="179" t="e">
        <f t="shared" si="4"/>
        <v>#N/A</v>
      </c>
      <c r="AE7" s="179" t="e">
        <f t="shared" si="4"/>
        <v>#N/A</v>
      </c>
      <c r="AF7" s="179" t="e">
        <f t="shared" si="4"/>
        <v>#N/A</v>
      </c>
    </row>
    <row r="8" spans="2:32">
      <c r="B8" s="122">
        <f t="shared" si="2"/>
        <v>68414643</v>
      </c>
      <c r="C8" s="122" t="e">
        <f>VLOOKUP($B8,'Tech Litons'!$A:$I,3,0)</f>
        <v>#N/A</v>
      </c>
      <c r="D8" s="122" t="e">
        <f>VLOOKUP($B8,'Tech Litons'!$A:$I,4,0)</f>
        <v>#N/A</v>
      </c>
      <c r="E8" s="266" t="s">
        <v>1079</v>
      </c>
      <c r="F8" s="102">
        <v>68414643</v>
      </c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169">
        <f t="shared" si="3"/>
        <v>0</v>
      </c>
      <c r="T8" s="122" t="e">
        <f>VLOOKUP($B8,'Tech Litons'!$A:$I,9,0)</f>
        <v>#N/A</v>
      </c>
      <c r="U8" s="179" t="e">
        <f t="shared" si="4"/>
        <v>#N/A</v>
      </c>
      <c r="V8" s="179" t="e">
        <f t="shared" si="4"/>
        <v>#N/A</v>
      </c>
      <c r="W8" s="179" t="e">
        <f t="shared" si="4"/>
        <v>#N/A</v>
      </c>
      <c r="X8" s="179" t="e">
        <f t="shared" si="4"/>
        <v>#N/A</v>
      </c>
      <c r="Y8" s="179" t="e">
        <f t="shared" si="4"/>
        <v>#N/A</v>
      </c>
      <c r="Z8" s="179" t="e">
        <f t="shared" si="4"/>
        <v>#N/A</v>
      </c>
      <c r="AA8" s="179" t="e">
        <f t="shared" si="4"/>
        <v>#N/A</v>
      </c>
      <c r="AB8" s="179" t="e">
        <f t="shared" si="4"/>
        <v>#N/A</v>
      </c>
      <c r="AC8" s="179" t="e">
        <f t="shared" si="4"/>
        <v>#N/A</v>
      </c>
      <c r="AD8" s="179" t="e">
        <f t="shared" si="4"/>
        <v>#N/A</v>
      </c>
      <c r="AE8" s="179" t="e">
        <f t="shared" si="4"/>
        <v>#N/A</v>
      </c>
      <c r="AF8" s="179" t="e">
        <f t="shared" si="4"/>
        <v>#N/A</v>
      </c>
    </row>
    <row r="9" spans="2:32">
      <c r="B9" s="122">
        <f t="shared" si="2"/>
        <v>69628686</v>
      </c>
      <c r="C9" s="122" t="e">
        <f>VLOOKUP($B9,'Tech Litons'!$A:$I,3,0)</f>
        <v>#N/A</v>
      </c>
      <c r="D9" s="122" t="e">
        <f>VLOOKUP($B9,'Tech Litons'!$A:$I,4,0)</f>
        <v>#N/A</v>
      </c>
      <c r="E9" s="275" t="s">
        <v>1080</v>
      </c>
      <c r="F9" s="276">
        <v>69628686</v>
      </c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169">
        <f t="shared" si="3"/>
        <v>0</v>
      </c>
      <c r="T9" s="122" t="e">
        <f>VLOOKUP($B9,'Tech Litons'!$A:$I,9,0)</f>
        <v>#N/A</v>
      </c>
      <c r="U9" s="179" t="e">
        <f t="shared" si="4"/>
        <v>#N/A</v>
      </c>
      <c r="V9" s="179" t="e">
        <f t="shared" si="4"/>
        <v>#N/A</v>
      </c>
      <c r="W9" s="179" t="e">
        <f t="shared" si="4"/>
        <v>#N/A</v>
      </c>
      <c r="X9" s="179" t="e">
        <f t="shared" si="4"/>
        <v>#N/A</v>
      </c>
      <c r="Y9" s="179" t="e">
        <f t="shared" si="4"/>
        <v>#N/A</v>
      </c>
      <c r="Z9" s="179" t="e">
        <f t="shared" si="4"/>
        <v>#N/A</v>
      </c>
      <c r="AA9" s="179" t="e">
        <f t="shared" si="4"/>
        <v>#N/A</v>
      </c>
      <c r="AB9" s="179" t="e">
        <f t="shared" si="4"/>
        <v>#N/A</v>
      </c>
      <c r="AC9" s="179" t="e">
        <f t="shared" si="4"/>
        <v>#N/A</v>
      </c>
      <c r="AD9" s="179" t="e">
        <f t="shared" si="4"/>
        <v>#N/A</v>
      </c>
      <c r="AE9" s="179" t="e">
        <f t="shared" si="4"/>
        <v>#N/A</v>
      </c>
      <c r="AF9" s="179" t="e">
        <f t="shared" si="4"/>
        <v>#N/A</v>
      </c>
    </row>
    <row r="10" spans="2:32">
      <c r="B10" s="122">
        <f t="shared" si="2"/>
        <v>67465064</v>
      </c>
      <c r="C10" s="122" t="e">
        <f>VLOOKUP($B10,'Tech Litons'!$A:$I,3,0)</f>
        <v>#N/A</v>
      </c>
      <c r="D10" s="122" t="e">
        <f>VLOOKUP($B10,'Tech Litons'!$A:$I,4,0)</f>
        <v>#N/A</v>
      </c>
      <c r="E10" s="275" t="s">
        <v>1080</v>
      </c>
      <c r="F10" s="276">
        <v>67465064</v>
      </c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169">
        <f t="shared" si="3"/>
        <v>0</v>
      </c>
      <c r="T10" s="122" t="e">
        <f>VLOOKUP($B10,'Tech Litons'!$A:$I,9,0)</f>
        <v>#N/A</v>
      </c>
      <c r="U10" s="179" t="e">
        <f t="shared" si="4"/>
        <v>#N/A</v>
      </c>
      <c r="V10" s="179" t="e">
        <f t="shared" si="4"/>
        <v>#N/A</v>
      </c>
      <c r="W10" s="179" t="e">
        <f t="shared" si="4"/>
        <v>#N/A</v>
      </c>
      <c r="X10" s="179" t="e">
        <f t="shared" si="4"/>
        <v>#N/A</v>
      </c>
      <c r="Y10" s="179" t="e">
        <f t="shared" si="4"/>
        <v>#N/A</v>
      </c>
      <c r="Z10" s="179" t="e">
        <f t="shared" si="4"/>
        <v>#N/A</v>
      </c>
      <c r="AA10" s="179" t="e">
        <f t="shared" si="4"/>
        <v>#N/A</v>
      </c>
      <c r="AB10" s="179" t="e">
        <f t="shared" si="4"/>
        <v>#N/A</v>
      </c>
      <c r="AC10" s="179" t="e">
        <f t="shared" si="4"/>
        <v>#N/A</v>
      </c>
      <c r="AD10" s="179" t="e">
        <f t="shared" si="4"/>
        <v>#N/A</v>
      </c>
      <c r="AE10" s="179" t="e">
        <f t="shared" si="4"/>
        <v>#N/A</v>
      </c>
      <c r="AF10" s="179" t="e">
        <f t="shared" si="4"/>
        <v>#N/A</v>
      </c>
    </row>
    <row r="11" spans="2:32">
      <c r="B11" s="122">
        <f t="shared" si="2"/>
        <v>69628686</v>
      </c>
      <c r="C11" s="122" t="e">
        <f>VLOOKUP($B11,'Tech Litons'!$A:$I,3,0)</f>
        <v>#N/A</v>
      </c>
      <c r="D11" s="122" t="e">
        <f>VLOOKUP($B11,'Tech Litons'!$A:$I,4,0)</f>
        <v>#N/A</v>
      </c>
      <c r="E11" s="275" t="s">
        <v>1081</v>
      </c>
      <c r="F11" s="276">
        <v>69628686</v>
      </c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169">
        <f t="shared" si="3"/>
        <v>0</v>
      </c>
      <c r="T11" s="122" t="e">
        <f>VLOOKUP($B11,'Tech Litons'!$A:$I,9,0)</f>
        <v>#N/A</v>
      </c>
      <c r="U11" s="179" t="e">
        <f t="shared" si="4"/>
        <v>#N/A</v>
      </c>
      <c r="V11" s="179" t="e">
        <f t="shared" si="4"/>
        <v>#N/A</v>
      </c>
      <c r="W11" s="179" t="e">
        <f t="shared" si="4"/>
        <v>#N/A</v>
      </c>
      <c r="X11" s="179" t="e">
        <f t="shared" si="4"/>
        <v>#N/A</v>
      </c>
      <c r="Y11" s="179" t="e">
        <f t="shared" si="4"/>
        <v>#N/A</v>
      </c>
      <c r="Z11" s="179" t="e">
        <f t="shared" si="4"/>
        <v>#N/A</v>
      </c>
      <c r="AA11" s="179" t="e">
        <f t="shared" si="4"/>
        <v>#N/A</v>
      </c>
      <c r="AB11" s="179" t="e">
        <f t="shared" si="4"/>
        <v>#N/A</v>
      </c>
      <c r="AC11" s="179" t="e">
        <f t="shared" si="4"/>
        <v>#N/A</v>
      </c>
      <c r="AD11" s="179" t="e">
        <f t="shared" si="4"/>
        <v>#N/A</v>
      </c>
      <c r="AE11" s="179" t="e">
        <f t="shared" si="4"/>
        <v>#N/A</v>
      </c>
      <c r="AF11" s="179" t="e">
        <f t="shared" si="4"/>
        <v>#N/A</v>
      </c>
    </row>
    <row r="12" spans="2:32">
      <c r="B12" s="122">
        <f t="shared" si="2"/>
        <v>69628686</v>
      </c>
      <c r="C12" s="122" t="e">
        <f>VLOOKUP($B12,'Tech Litons'!$A:$I,3,0)</f>
        <v>#N/A</v>
      </c>
      <c r="D12" s="122" t="e">
        <f>VLOOKUP($B12,'Tech Litons'!$A:$I,4,0)</f>
        <v>#N/A</v>
      </c>
      <c r="E12" s="275" t="s">
        <v>1082</v>
      </c>
      <c r="F12" s="276">
        <v>69628686</v>
      </c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169">
        <f t="shared" si="3"/>
        <v>0</v>
      </c>
      <c r="T12" s="122" t="e">
        <f>VLOOKUP($B12,'Tech Litons'!$A:$I,9,0)</f>
        <v>#N/A</v>
      </c>
      <c r="U12" s="179" t="e">
        <f t="shared" si="4"/>
        <v>#N/A</v>
      </c>
      <c r="V12" s="179" t="e">
        <f t="shared" si="4"/>
        <v>#N/A</v>
      </c>
      <c r="W12" s="179" t="e">
        <f t="shared" si="4"/>
        <v>#N/A</v>
      </c>
      <c r="X12" s="179" t="e">
        <f t="shared" si="4"/>
        <v>#N/A</v>
      </c>
      <c r="Y12" s="179" t="e">
        <f t="shared" si="4"/>
        <v>#N/A</v>
      </c>
      <c r="Z12" s="179" t="e">
        <f t="shared" si="4"/>
        <v>#N/A</v>
      </c>
      <c r="AA12" s="179" t="e">
        <f t="shared" si="4"/>
        <v>#N/A</v>
      </c>
      <c r="AB12" s="179" t="e">
        <f t="shared" si="4"/>
        <v>#N/A</v>
      </c>
      <c r="AC12" s="179" t="e">
        <f t="shared" si="4"/>
        <v>#N/A</v>
      </c>
      <c r="AD12" s="179" t="e">
        <f t="shared" si="4"/>
        <v>#N/A</v>
      </c>
      <c r="AE12" s="179" t="e">
        <f t="shared" si="4"/>
        <v>#N/A</v>
      </c>
      <c r="AF12" s="179" t="e">
        <f t="shared" si="4"/>
        <v>#N/A</v>
      </c>
    </row>
    <row r="13" spans="2:32">
      <c r="B13" s="122">
        <f t="shared" si="2"/>
        <v>69628686</v>
      </c>
      <c r="C13" s="122" t="e">
        <f>VLOOKUP($B13,'Tech Litons'!$A:$I,3,0)</f>
        <v>#N/A</v>
      </c>
      <c r="D13" s="122" t="e">
        <f>VLOOKUP($B13,'Tech Litons'!$A:$I,4,0)</f>
        <v>#N/A</v>
      </c>
      <c r="E13" s="275" t="s">
        <v>1080</v>
      </c>
      <c r="F13" s="276">
        <v>69628686</v>
      </c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169">
        <f t="shared" si="3"/>
        <v>0</v>
      </c>
      <c r="T13" s="122" t="e">
        <f>VLOOKUP($B13,'Tech Litons'!$A:$I,9,0)</f>
        <v>#N/A</v>
      </c>
      <c r="U13" s="179" t="e">
        <f t="shared" si="4"/>
        <v>#N/A</v>
      </c>
      <c r="V13" s="179" t="e">
        <f t="shared" si="4"/>
        <v>#N/A</v>
      </c>
      <c r="W13" s="179" t="e">
        <f t="shared" si="4"/>
        <v>#N/A</v>
      </c>
      <c r="X13" s="179" t="e">
        <f t="shared" si="4"/>
        <v>#N/A</v>
      </c>
      <c r="Y13" s="179" t="e">
        <f t="shared" si="4"/>
        <v>#N/A</v>
      </c>
      <c r="Z13" s="179" t="e">
        <f t="shared" si="4"/>
        <v>#N/A</v>
      </c>
      <c r="AA13" s="179" t="e">
        <f t="shared" si="4"/>
        <v>#N/A</v>
      </c>
      <c r="AB13" s="179" t="e">
        <f t="shared" si="4"/>
        <v>#N/A</v>
      </c>
      <c r="AC13" s="179" t="e">
        <f t="shared" si="4"/>
        <v>#N/A</v>
      </c>
      <c r="AD13" s="179" t="e">
        <f t="shared" si="4"/>
        <v>#N/A</v>
      </c>
      <c r="AE13" s="179" t="e">
        <f t="shared" si="4"/>
        <v>#N/A</v>
      </c>
      <c r="AF13" s="179" t="e">
        <f t="shared" si="4"/>
        <v>#N/A</v>
      </c>
    </row>
    <row r="14" spans="2:32">
      <c r="B14" s="122">
        <f t="shared" si="2"/>
        <v>69628686</v>
      </c>
      <c r="C14" s="122" t="e">
        <f>VLOOKUP($B14,'Tech Litons'!$A:$I,3,0)</f>
        <v>#N/A</v>
      </c>
      <c r="D14" s="122" t="e">
        <f>VLOOKUP($B14,'Tech Litons'!$A:$I,4,0)</f>
        <v>#N/A</v>
      </c>
      <c r="E14" s="275" t="s">
        <v>1080</v>
      </c>
      <c r="F14" s="276">
        <v>69628686</v>
      </c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169">
        <f t="shared" si="3"/>
        <v>0</v>
      </c>
      <c r="T14" s="122" t="e">
        <f>VLOOKUP($B14,'Tech Litons'!$A:$I,9,0)</f>
        <v>#N/A</v>
      </c>
      <c r="U14" s="179" t="e">
        <f t="shared" si="4"/>
        <v>#N/A</v>
      </c>
      <c r="V14" s="179" t="e">
        <f t="shared" si="4"/>
        <v>#N/A</v>
      </c>
      <c r="W14" s="179" t="e">
        <f t="shared" si="4"/>
        <v>#N/A</v>
      </c>
      <c r="X14" s="179" t="e">
        <f t="shared" si="4"/>
        <v>#N/A</v>
      </c>
      <c r="Y14" s="179" t="e">
        <f t="shared" si="4"/>
        <v>#N/A</v>
      </c>
      <c r="Z14" s="179" t="e">
        <f t="shared" si="4"/>
        <v>#N/A</v>
      </c>
      <c r="AA14" s="179" t="e">
        <f t="shared" si="4"/>
        <v>#N/A</v>
      </c>
      <c r="AB14" s="179" t="e">
        <f t="shared" si="4"/>
        <v>#N/A</v>
      </c>
      <c r="AC14" s="179" t="e">
        <f t="shared" si="4"/>
        <v>#N/A</v>
      </c>
      <c r="AD14" s="179" t="e">
        <f t="shared" si="4"/>
        <v>#N/A</v>
      </c>
      <c r="AE14" s="179" t="e">
        <f t="shared" si="4"/>
        <v>#N/A</v>
      </c>
      <c r="AF14" s="179" t="e">
        <f t="shared" si="4"/>
        <v>#N/A</v>
      </c>
    </row>
    <row r="15" spans="2:32">
      <c r="B15" s="122">
        <f t="shared" si="2"/>
        <v>67733229</v>
      </c>
      <c r="C15" s="122" t="e">
        <f>VLOOKUP($B15,'Tech Litons'!$A:$I,3,0)</f>
        <v>#N/A</v>
      </c>
      <c r="D15" s="122" t="e">
        <f>VLOOKUP($B15,'Tech Litons'!$A:$I,4,0)</f>
        <v>#N/A</v>
      </c>
      <c r="E15" s="245" t="s">
        <v>23</v>
      </c>
      <c r="F15" s="245">
        <v>67733229</v>
      </c>
      <c r="G15" s="278"/>
      <c r="H15" s="278"/>
      <c r="I15" s="278"/>
      <c r="J15" s="278"/>
      <c r="K15" s="425"/>
      <c r="L15" s="278"/>
      <c r="M15" s="278"/>
      <c r="N15" s="278"/>
      <c r="O15" s="278"/>
      <c r="P15" s="278"/>
      <c r="Q15" s="278"/>
      <c r="R15" s="278"/>
      <c r="S15" s="169">
        <f t="shared" si="3"/>
        <v>0</v>
      </c>
      <c r="T15" s="122" t="e">
        <f>VLOOKUP($B15,'Tech Litons'!$A:$I,9,0)</f>
        <v>#N/A</v>
      </c>
      <c r="U15" s="179" t="e">
        <f t="shared" si="4"/>
        <v>#N/A</v>
      </c>
      <c r="V15" s="179" t="e">
        <f t="shared" si="4"/>
        <v>#N/A</v>
      </c>
      <c r="W15" s="179" t="e">
        <f t="shared" si="4"/>
        <v>#N/A</v>
      </c>
      <c r="X15" s="179" t="e">
        <f t="shared" si="4"/>
        <v>#N/A</v>
      </c>
      <c r="Y15" s="179" t="e">
        <f t="shared" si="4"/>
        <v>#N/A</v>
      </c>
      <c r="Z15" s="179" t="e">
        <f t="shared" si="4"/>
        <v>#N/A</v>
      </c>
      <c r="AA15" s="179" t="e">
        <f t="shared" si="4"/>
        <v>#N/A</v>
      </c>
      <c r="AB15" s="179" t="e">
        <f t="shared" si="4"/>
        <v>#N/A</v>
      </c>
      <c r="AC15" s="179" t="e">
        <f t="shared" si="4"/>
        <v>#N/A</v>
      </c>
      <c r="AD15" s="179" t="e">
        <f t="shared" si="4"/>
        <v>#N/A</v>
      </c>
      <c r="AE15" s="179" t="e">
        <f t="shared" si="4"/>
        <v>#N/A</v>
      </c>
      <c r="AF15" s="179" t="e">
        <f t="shared" si="4"/>
        <v>#N/A</v>
      </c>
    </row>
    <row r="16" spans="2:32">
      <c r="B16" s="122">
        <f t="shared" si="2"/>
        <v>67278344</v>
      </c>
      <c r="C16" s="122" t="e">
        <f>VLOOKUP($B16,'Tech Litons'!$A:$I,3,0)</f>
        <v>#N/A</v>
      </c>
      <c r="D16" s="122" t="e">
        <f>VLOOKUP($B16,'Tech Litons'!$A:$I,4,0)</f>
        <v>#N/A</v>
      </c>
      <c r="E16" s="245" t="s">
        <v>120</v>
      </c>
      <c r="F16" s="245">
        <v>67278344</v>
      </c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  <c r="S16" s="169">
        <f t="shared" si="3"/>
        <v>0</v>
      </c>
      <c r="T16" s="122" t="e">
        <f>VLOOKUP($B16,'Tech Litons'!$A:$I,9,0)</f>
        <v>#N/A</v>
      </c>
      <c r="U16" s="179" t="e">
        <f t="shared" si="4"/>
        <v>#N/A</v>
      </c>
      <c r="V16" s="179" t="e">
        <f t="shared" si="4"/>
        <v>#N/A</v>
      </c>
      <c r="W16" s="179" t="e">
        <f t="shared" si="4"/>
        <v>#N/A</v>
      </c>
      <c r="X16" s="179" t="e">
        <f t="shared" si="4"/>
        <v>#N/A</v>
      </c>
      <c r="Y16" s="179" t="e">
        <f t="shared" si="4"/>
        <v>#N/A</v>
      </c>
      <c r="Z16" s="179" t="e">
        <f t="shared" si="4"/>
        <v>#N/A</v>
      </c>
      <c r="AA16" s="179" t="e">
        <f t="shared" si="4"/>
        <v>#N/A</v>
      </c>
      <c r="AB16" s="179" t="e">
        <f t="shared" si="4"/>
        <v>#N/A</v>
      </c>
      <c r="AC16" s="179" t="e">
        <f t="shared" si="4"/>
        <v>#N/A</v>
      </c>
      <c r="AD16" s="179" t="e">
        <f t="shared" si="4"/>
        <v>#N/A</v>
      </c>
      <c r="AE16" s="179" t="e">
        <f t="shared" si="4"/>
        <v>#N/A</v>
      </c>
      <c r="AF16" s="179" t="e">
        <f t="shared" si="4"/>
        <v>#N/A</v>
      </c>
    </row>
    <row r="17" spans="2:32">
      <c r="B17" s="122">
        <f t="shared" si="2"/>
        <v>68729627</v>
      </c>
      <c r="C17" s="122" t="e">
        <f>VLOOKUP($B17,'Tech Litons'!$A:$I,3,0)</f>
        <v>#N/A</v>
      </c>
      <c r="D17" s="122" t="e">
        <f>VLOOKUP($B17,'Tech Litons'!$A:$I,4,0)</f>
        <v>#N/A</v>
      </c>
      <c r="E17" s="245" t="s">
        <v>41</v>
      </c>
      <c r="F17" s="245">
        <v>68729627</v>
      </c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169">
        <f t="shared" si="3"/>
        <v>0</v>
      </c>
      <c r="T17" s="122" t="e">
        <f>VLOOKUP($B17,'Tech Litons'!$A:$I,9,0)</f>
        <v>#N/A</v>
      </c>
      <c r="U17" s="179" t="e">
        <f t="shared" si="4"/>
        <v>#N/A</v>
      </c>
      <c r="V17" s="179" t="e">
        <f t="shared" si="4"/>
        <v>#N/A</v>
      </c>
      <c r="W17" s="179" t="e">
        <f t="shared" si="4"/>
        <v>#N/A</v>
      </c>
      <c r="X17" s="179" t="e">
        <f t="shared" si="4"/>
        <v>#N/A</v>
      </c>
      <c r="Y17" s="179" t="e">
        <f t="shared" si="4"/>
        <v>#N/A</v>
      </c>
      <c r="Z17" s="179" t="e">
        <f t="shared" si="4"/>
        <v>#N/A</v>
      </c>
      <c r="AA17" s="179" t="e">
        <f t="shared" si="4"/>
        <v>#N/A</v>
      </c>
      <c r="AB17" s="179" t="e">
        <f t="shared" si="4"/>
        <v>#N/A</v>
      </c>
      <c r="AC17" s="179" t="e">
        <f t="shared" si="4"/>
        <v>#N/A</v>
      </c>
      <c r="AD17" s="179" t="e">
        <f t="shared" si="4"/>
        <v>#N/A</v>
      </c>
      <c r="AE17" s="179" t="e">
        <f t="shared" si="4"/>
        <v>#N/A</v>
      </c>
      <c r="AF17" s="179" t="e">
        <f t="shared" si="4"/>
        <v>#N/A</v>
      </c>
    </row>
    <row r="18" spans="2:32">
      <c r="B18" s="122">
        <f t="shared" si="2"/>
        <v>68649101</v>
      </c>
      <c r="C18" s="122" t="e">
        <f>VLOOKUP($B18,'Tech Litons'!$A:$I,3,0)</f>
        <v>#N/A</v>
      </c>
      <c r="D18" s="122" t="e">
        <f>VLOOKUP($B18,'Tech Litons'!$A:$I,4,0)</f>
        <v>#N/A</v>
      </c>
      <c r="E18" s="245" t="s">
        <v>156</v>
      </c>
      <c r="F18" s="245">
        <v>68649101</v>
      </c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169">
        <f t="shared" si="3"/>
        <v>0</v>
      </c>
      <c r="T18" s="122" t="e">
        <f>VLOOKUP($B18,'Tech Litons'!$A:$I,9,0)</f>
        <v>#N/A</v>
      </c>
      <c r="U18" s="179" t="e">
        <f t="shared" si="4"/>
        <v>#N/A</v>
      </c>
      <c r="V18" s="179" t="e">
        <f t="shared" si="4"/>
        <v>#N/A</v>
      </c>
      <c r="W18" s="179" t="e">
        <f t="shared" si="4"/>
        <v>#N/A</v>
      </c>
      <c r="X18" s="179" t="e">
        <f t="shared" si="4"/>
        <v>#N/A</v>
      </c>
      <c r="Y18" s="179" t="e">
        <f t="shared" si="4"/>
        <v>#N/A</v>
      </c>
      <c r="Z18" s="179" t="e">
        <f t="shared" si="4"/>
        <v>#N/A</v>
      </c>
      <c r="AA18" s="179" t="e">
        <f t="shared" si="4"/>
        <v>#N/A</v>
      </c>
      <c r="AB18" s="179" t="e">
        <f t="shared" si="4"/>
        <v>#N/A</v>
      </c>
      <c r="AC18" s="179" t="e">
        <f t="shared" si="4"/>
        <v>#N/A</v>
      </c>
      <c r="AD18" s="179" t="e">
        <f t="shared" si="4"/>
        <v>#N/A</v>
      </c>
      <c r="AE18" s="179" t="e">
        <f t="shared" si="4"/>
        <v>#N/A</v>
      </c>
      <c r="AF18" s="179" t="e">
        <f t="shared" si="4"/>
        <v>#N/A</v>
      </c>
    </row>
    <row r="19" spans="2:32">
      <c r="B19" s="122">
        <f t="shared" si="2"/>
        <v>67821477</v>
      </c>
      <c r="C19" s="122" t="e">
        <f>VLOOKUP($B19,'Tech Litons'!$A:$I,3,0)</f>
        <v>#N/A</v>
      </c>
      <c r="D19" s="122" t="e">
        <f>VLOOKUP($B19,'Tech Litons'!$A:$I,4,0)</f>
        <v>#N/A</v>
      </c>
      <c r="E19" s="245" t="s">
        <v>39</v>
      </c>
      <c r="F19" s="245">
        <v>67821477</v>
      </c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169">
        <f t="shared" si="3"/>
        <v>0</v>
      </c>
      <c r="T19" s="122" t="e">
        <f>VLOOKUP($B19,'Tech Litons'!$A:$I,9,0)</f>
        <v>#N/A</v>
      </c>
      <c r="U19" s="179" t="e">
        <f t="shared" si="4"/>
        <v>#N/A</v>
      </c>
      <c r="V19" s="179" t="e">
        <f t="shared" si="4"/>
        <v>#N/A</v>
      </c>
      <c r="W19" s="179" t="e">
        <f t="shared" si="4"/>
        <v>#N/A</v>
      </c>
      <c r="X19" s="179" t="e">
        <f t="shared" si="4"/>
        <v>#N/A</v>
      </c>
      <c r="Y19" s="179" t="e">
        <f t="shared" si="4"/>
        <v>#N/A</v>
      </c>
      <c r="Z19" s="179" t="e">
        <f t="shared" si="4"/>
        <v>#N/A</v>
      </c>
      <c r="AA19" s="179" t="e">
        <f t="shared" si="4"/>
        <v>#N/A</v>
      </c>
      <c r="AB19" s="179" t="e">
        <f t="shared" si="4"/>
        <v>#N/A</v>
      </c>
      <c r="AC19" s="179" t="e">
        <f t="shared" si="4"/>
        <v>#N/A</v>
      </c>
      <c r="AD19" s="179" t="e">
        <f t="shared" si="4"/>
        <v>#N/A</v>
      </c>
      <c r="AE19" s="179" t="e">
        <f t="shared" si="4"/>
        <v>#N/A</v>
      </c>
      <c r="AF19" s="179" t="e">
        <f t="shared" si="4"/>
        <v>#N/A</v>
      </c>
    </row>
    <row r="20" spans="2:32">
      <c r="B20" s="122">
        <f t="shared" si="2"/>
        <v>68741745</v>
      </c>
      <c r="C20" s="122" t="str">
        <f>VLOOKUP($B20,'Tech Litons'!$A:$I,3,0)</f>
        <v>MBG</v>
      </c>
      <c r="D20" s="122" t="str">
        <f>VLOOKUP($B20,'Tech Litons'!$A:$I,4,0)</f>
        <v>MBG</v>
      </c>
      <c r="E20" s="245" t="s">
        <v>36</v>
      </c>
      <c r="F20" s="245">
        <v>68741745</v>
      </c>
      <c r="G20" s="278"/>
      <c r="H20" s="278"/>
      <c r="I20" s="278"/>
      <c r="J20" s="278"/>
      <c r="K20" s="493"/>
      <c r="L20" s="278"/>
      <c r="M20" s="278"/>
      <c r="N20" s="278"/>
      <c r="O20" s="278"/>
      <c r="P20" s="278"/>
      <c r="Q20" s="278"/>
      <c r="R20" s="278"/>
      <c r="S20" s="169">
        <f t="shared" si="3"/>
        <v>0</v>
      </c>
      <c r="T20" s="122">
        <f>VLOOKUP($B20,'Tech Litons'!$A:$I,9,0)</f>
        <v>225</v>
      </c>
      <c r="U20" s="179">
        <f t="shared" ref="U20:AF41" si="5">G20/$T20</f>
        <v>0</v>
      </c>
      <c r="V20" s="179">
        <f t="shared" si="5"/>
        <v>0</v>
      </c>
      <c r="W20" s="179">
        <f t="shared" si="5"/>
        <v>0</v>
      </c>
      <c r="X20" s="179">
        <f t="shared" si="5"/>
        <v>0</v>
      </c>
      <c r="Y20" s="179">
        <f t="shared" si="5"/>
        <v>0</v>
      </c>
      <c r="Z20" s="179">
        <f t="shared" si="5"/>
        <v>0</v>
      </c>
      <c r="AA20" s="179">
        <f t="shared" si="5"/>
        <v>0</v>
      </c>
      <c r="AB20" s="179">
        <f t="shared" si="5"/>
        <v>0</v>
      </c>
      <c r="AC20" s="179">
        <f t="shared" si="5"/>
        <v>0</v>
      </c>
      <c r="AD20" s="179">
        <f t="shared" si="5"/>
        <v>0</v>
      </c>
      <c r="AE20" s="179">
        <f t="shared" si="5"/>
        <v>0</v>
      </c>
      <c r="AF20" s="179">
        <f t="shared" si="5"/>
        <v>0</v>
      </c>
    </row>
    <row r="21" spans="2:32">
      <c r="B21" s="122">
        <f t="shared" si="2"/>
        <v>68463620</v>
      </c>
      <c r="C21" s="122" t="e">
        <f>VLOOKUP($B21,'Tech Litons'!$A:$I,3,0)</f>
        <v>#N/A</v>
      </c>
      <c r="D21" s="122" t="e">
        <f>VLOOKUP($B21,'Tech Litons'!$A:$I,4,0)</f>
        <v>#N/A</v>
      </c>
      <c r="E21" s="245" t="s">
        <v>40</v>
      </c>
      <c r="F21" s="245">
        <v>68463620</v>
      </c>
      <c r="G21" s="278"/>
      <c r="H21" s="278"/>
      <c r="I21" s="278"/>
      <c r="J21" s="278"/>
      <c r="K21" s="425"/>
      <c r="L21" s="278"/>
      <c r="M21" s="278"/>
      <c r="N21" s="278"/>
      <c r="O21" s="278"/>
      <c r="P21" s="278"/>
      <c r="Q21" s="278"/>
      <c r="R21" s="278"/>
      <c r="S21" s="169">
        <f t="shared" si="3"/>
        <v>0</v>
      </c>
      <c r="T21" s="122" t="e">
        <f>VLOOKUP($B21,'Tech Litons'!$A:$I,9,0)</f>
        <v>#N/A</v>
      </c>
      <c r="U21" s="179" t="e">
        <f t="shared" si="5"/>
        <v>#N/A</v>
      </c>
      <c r="V21" s="179" t="e">
        <f t="shared" si="5"/>
        <v>#N/A</v>
      </c>
      <c r="W21" s="179" t="e">
        <f t="shared" si="5"/>
        <v>#N/A</v>
      </c>
      <c r="X21" s="179" t="e">
        <f t="shared" si="5"/>
        <v>#N/A</v>
      </c>
      <c r="Y21" s="179" t="e">
        <f t="shared" si="5"/>
        <v>#N/A</v>
      </c>
      <c r="Z21" s="179" t="e">
        <f t="shared" si="5"/>
        <v>#N/A</v>
      </c>
      <c r="AA21" s="179" t="e">
        <f t="shared" si="5"/>
        <v>#N/A</v>
      </c>
      <c r="AB21" s="179" t="e">
        <f t="shared" si="5"/>
        <v>#N/A</v>
      </c>
      <c r="AC21" s="179" t="e">
        <f t="shared" si="5"/>
        <v>#N/A</v>
      </c>
      <c r="AD21" s="179" t="e">
        <f t="shared" si="5"/>
        <v>#N/A</v>
      </c>
      <c r="AE21" s="179" t="e">
        <f t="shared" si="5"/>
        <v>#N/A</v>
      </c>
      <c r="AF21" s="179" t="e">
        <f t="shared" si="5"/>
        <v>#N/A</v>
      </c>
    </row>
    <row r="22" spans="2:32">
      <c r="B22" s="122">
        <f t="shared" si="2"/>
        <v>68852583</v>
      </c>
      <c r="C22" s="122" t="str">
        <f>VLOOKUP($B22,'Tech Litons'!$A:$I,3,0)</f>
        <v>EDF</v>
      </c>
      <c r="D22" s="122" t="str">
        <f>VLOOKUP($B22,'Tech Litons'!$A:$I,4,0)</f>
        <v>EDF</v>
      </c>
      <c r="E22" s="245" t="s">
        <v>31</v>
      </c>
      <c r="F22" s="245">
        <v>68852583</v>
      </c>
      <c r="G22" s="278"/>
      <c r="H22" s="278"/>
      <c r="I22" s="278"/>
      <c r="J22" s="278"/>
      <c r="K22" s="425"/>
      <c r="L22" s="278"/>
      <c r="M22" s="278"/>
      <c r="N22" s="278"/>
      <c r="O22" s="278"/>
      <c r="P22" s="278"/>
      <c r="Q22" s="278"/>
      <c r="R22" s="278"/>
      <c r="S22" s="169">
        <f t="shared" si="3"/>
        <v>0</v>
      </c>
      <c r="T22" s="122">
        <f>VLOOKUP($B22,'Tech Litons'!$A:$I,9,0)</f>
        <v>132</v>
      </c>
      <c r="U22" s="179">
        <f t="shared" si="5"/>
        <v>0</v>
      </c>
      <c r="V22" s="179">
        <f t="shared" si="5"/>
        <v>0</v>
      </c>
      <c r="W22" s="179">
        <f t="shared" si="5"/>
        <v>0</v>
      </c>
      <c r="X22" s="179">
        <f t="shared" si="5"/>
        <v>0</v>
      </c>
      <c r="Y22" s="179">
        <f t="shared" si="5"/>
        <v>0</v>
      </c>
      <c r="Z22" s="179">
        <f t="shared" si="5"/>
        <v>0</v>
      </c>
      <c r="AA22" s="179">
        <f t="shared" si="5"/>
        <v>0</v>
      </c>
      <c r="AB22" s="179">
        <f t="shared" si="5"/>
        <v>0</v>
      </c>
      <c r="AC22" s="179">
        <f t="shared" si="5"/>
        <v>0</v>
      </c>
      <c r="AD22" s="179">
        <f t="shared" si="5"/>
        <v>0</v>
      </c>
      <c r="AE22" s="179">
        <f t="shared" si="5"/>
        <v>0</v>
      </c>
      <c r="AF22" s="179">
        <f t="shared" si="5"/>
        <v>0</v>
      </c>
    </row>
    <row r="23" spans="2:32">
      <c r="B23" s="122">
        <f t="shared" si="2"/>
        <v>69779478</v>
      </c>
      <c r="C23" s="122" t="str">
        <f>VLOOKUP($B23,'Tech Litons'!$A:$I,3,0)</f>
        <v>EFW</v>
      </c>
      <c r="D23" s="122" t="str">
        <f>VLOOKUP($B23,'Tech Litons'!$A:$I,4,0)</f>
        <v>EFW</v>
      </c>
      <c r="E23" s="245" t="s">
        <v>32</v>
      </c>
      <c r="F23" s="245">
        <v>69779478</v>
      </c>
      <c r="G23" s="278"/>
      <c r="H23" s="278"/>
      <c r="I23" s="278"/>
      <c r="J23" s="278"/>
      <c r="K23" s="425"/>
      <c r="L23" s="278"/>
      <c r="M23" s="278"/>
      <c r="N23" s="278"/>
      <c r="O23" s="278"/>
      <c r="P23" s="278"/>
      <c r="Q23" s="278"/>
      <c r="R23" s="278"/>
      <c r="S23" s="169">
        <f t="shared" si="3"/>
        <v>0</v>
      </c>
      <c r="T23" s="122">
        <f>VLOOKUP($B23,'Tech Litons'!$A:$I,9,0)</f>
        <v>184</v>
      </c>
      <c r="U23" s="179">
        <f t="shared" si="5"/>
        <v>0</v>
      </c>
      <c r="V23" s="179">
        <f t="shared" si="5"/>
        <v>0</v>
      </c>
      <c r="W23" s="179">
        <f t="shared" si="5"/>
        <v>0</v>
      </c>
      <c r="X23" s="179">
        <f t="shared" si="5"/>
        <v>0</v>
      </c>
      <c r="Y23" s="179">
        <f t="shared" si="5"/>
        <v>0</v>
      </c>
      <c r="Z23" s="179">
        <f t="shared" si="5"/>
        <v>0</v>
      </c>
      <c r="AA23" s="179">
        <f t="shared" si="5"/>
        <v>0</v>
      </c>
      <c r="AB23" s="179">
        <f t="shared" si="5"/>
        <v>0</v>
      </c>
      <c r="AC23" s="179">
        <f t="shared" si="5"/>
        <v>0</v>
      </c>
      <c r="AD23" s="179">
        <f t="shared" si="5"/>
        <v>0</v>
      </c>
      <c r="AE23" s="179">
        <f t="shared" si="5"/>
        <v>0</v>
      </c>
      <c r="AF23" s="179">
        <f t="shared" si="5"/>
        <v>0</v>
      </c>
    </row>
    <row r="24" spans="2:32">
      <c r="B24" s="122">
        <f t="shared" si="2"/>
        <v>68889812</v>
      </c>
      <c r="C24" s="122" t="e">
        <f>VLOOKUP($B24,'Tech Litons'!$A:$I,3,0)</f>
        <v>#N/A</v>
      </c>
      <c r="D24" s="122" t="e">
        <f>VLOOKUP($B24,'Tech Litons'!$A:$I,4,0)</f>
        <v>#N/A</v>
      </c>
      <c r="E24" s="245" t="s">
        <v>33</v>
      </c>
      <c r="F24" s="245">
        <v>68889812</v>
      </c>
      <c r="G24" s="278"/>
      <c r="H24" s="278"/>
      <c r="I24" s="278"/>
      <c r="J24" s="278"/>
      <c r="K24" s="425"/>
      <c r="L24" s="278"/>
      <c r="M24" s="278"/>
      <c r="N24" s="278"/>
      <c r="O24" s="278"/>
      <c r="P24" s="278"/>
      <c r="Q24" s="278"/>
      <c r="R24" s="278"/>
      <c r="S24" s="169">
        <f t="shared" si="3"/>
        <v>0</v>
      </c>
      <c r="T24" s="122" t="e">
        <f>VLOOKUP($B24,'Tech Litons'!$A:$I,9,0)</f>
        <v>#N/A</v>
      </c>
      <c r="U24" s="179" t="e">
        <f t="shared" si="5"/>
        <v>#N/A</v>
      </c>
      <c r="V24" s="179" t="e">
        <f t="shared" si="5"/>
        <v>#N/A</v>
      </c>
      <c r="W24" s="179" t="e">
        <f t="shared" si="5"/>
        <v>#N/A</v>
      </c>
      <c r="X24" s="179" t="e">
        <f t="shared" si="5"/>
        <v>#N/A</v>
      </c>
      <c r="Y24" s="179" t="e">
        <f t="shared" si="5"/>
        <v>#N/A</v>
      </c>
      <c r="Z24" s="179" t="e">
        <f t="shared" si="5"/>
        <v>#N/A</v>
      </c>
      <c r="AA24" s="179" t="e">
        <f t="shared" si="5"/>
        <v>#N/A</v>
      </c>
      <c r="AB24" s="179" t="e">
        <f t="shared" si="5"/>
        <v>#N/A</v>
      </c>
      <c r="AC24" s="179" t="e">
        <f t="shared" si="5"/>
        <v>#N/A</v>
      </c>
      <c r="AD24" s="179" t="e">
        <f t="shared" si="5"/>
        <v>#N/A</v>
      </c>
      <c r="AE24" s="179" t="e">
        <f t="shared" si="5"/>
        <v>#N/A</v>
      </c>
      <c r="AF24" s="179" t="e">
        <f t="shared" si="5"/>
        <v>#N/A</v>
      </c>
    </row>
    <row r="25" spans="2:32">
      <c r="B25" s="122">
        <f t="shared" si="2"/>
        <v>69628686</v>
      </c>
      <c r="C25" s="122" t="e">
        <f>VLOOKUP($B25,'Tech Litons'!$A:$I,3,0)</f>
        <v>#N/A</v>
      </c>
      <c r="D25" s="122" t="e">
        <f>VLOOKUP($B25,'Tech Litons'!$A:$I,4,0)</f>
        <v>#N/A</v>
      </c>
      <c r="E25" s="245" t="s">
        <v>35</v>
      </c>
      <c r="F25" s="245">
        <v>69628686</v>
      </c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169">
        <f t="shared" si="3"/>
        <v>0</v>
      </c>
      <c r="T25" s="122" t="e">
        <f>VLOOKUP($B25,'Tech Litons'!$A:$I,9,0)</f>
        <v>#N/A</v>
      </c>
      <c r="U25" s="179" t="e">
        <f t="shared" si="5"/>
        <v>#N/A</v>
      </c>
      <c r="V25" s="179" t="e">
        <f t="shared" si="5"/>
        <v>#N/A</v>
      </c>
      <c r="W25" s="179" t="e">
        <f t="shared" si="5"/>
        <v>#N/A</v>
      </c>
      <c r="X25" s="179" t="e">
        <f t="shared" si="5"/>
        <v>#N/A</v>
      </c>
      <c r="Y25" s="179" t="e">
        <f t="shared" si="5"/>
        <v>#N/A</v>
      </c>
      <c r="Z25" s="179" t="e">
        <f t="shared" si="5"/>
        <v>#N/A</v>
      </c>
      <c r="AA25" s="179" t="e">
        <f t="shared" si="5"/>
        <v>#N/A</v>
      </c>
      <c r="AB25" s="179" t="e">
        <f t="shared" si="5"/>
        <v>#N/A</v>
      </c>
      <c r="AC25" s="179" t="e">
        <f t="shared" si="5"/>
        <v>#N/A</v>
      </c>
      <c r="AD25" s="179" t="e">
        <f t="shared" si="5"/>
        <v>#N/A</v>
      </c>
      <c r="AE25" s="179" t="e">
        <f t="shared" si="5"/>
        <v>#N/A</v>
      </c>
      <c r="AF25" s="179" t="e">
        <f t="shared" si="5"/>
        <v>#N/A</v>
      </c>
    </row>
    <row r="26" spans="2:32">
      <c r="B26" s="122">
        <f t="shared" si="2"/>
        <v>68738613</v>
      </c>
      <c r="C26" s="122" t="e">
        <f>VLOOKUP($B26,'Tech Litons'!$A:$I,3,0)</f>
        <v>#N/A</v>
      </c>
      <c r="D26" s="122" t="e">
        <f>VLOOKUP($B26,'Tech Litons'!$A:$I,4,0)</f>
        <v>#N/A</v>
      </c>
      <c r="E26" s="245" t="s">
        <v>157</v>
      </c>
      <c r="F26" s="245">
        <v>68738613</v>
      </c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169">
        <f t="shared" si="3"/>
        <v>0</v>
      </c>
      <c r="T26" s="122" t="e">
        <f>VLOOKUP($B26,'Tech Litons'!$A:$I,9,0)</f>
        <v>#N/A</v>
      </c>
      <c r="U26" s="179" t="e">
        <f t="shared" si="5"/>
        <v>#N/A</v>
      </c>
      <c r="V26" s="179" t="e">
        <f t="shared" si="5"/>
        <v>#N/A</v>
      </c>
      <c r="W26" s="179" t="e">
        <f t="shared" si="5"/>
        <v>#N/A</v>
      </c>
      <c r="X26" s="179" t="e">
        <f t="shared" si="5"/>
        <v>#N/A</v>
      </c>
      <c r="Y26" s="179" t="e">
        <f t="shared" si="5"/>
        <v>#N/A</v>
      </c>
      <c r="Z26" s="179" t="e">
        <f t="shared" si="5"/>
        <v>#N/A</v>
      </c>
      <c r="AA26" s="179" t="e">
        <f t="shared" si="5"/>
        <v>#N/A</v>
      </c>
      <c r="AB26" s="179" t="e">
        <f t="shared" si="5"/>
        <v>#N/A</v>
      </c>
      <c r="AC26" s="179" t="e">
        <f t="shared" si="5"/>
        <v>#N/A</v>
      </c>
      <c r="AD26" s="179" t="e">
        <f t="shared" si="5"/>
        <v>#N/A</v>
      </c>
      <c r="AE26" s="179" t="e">
        <f t="shared" si="5"/>
        <v>#N/A</v>
      </c>
      <c r="AF26" s="179" t="e">
        <f t="shared" si="5"/>
        <v>#N/A</v>
      </c>
    </row>
    <row r="27" spans="2:32">
      <c r="B27" s="122">
        <f t="shared" si="2"/>
        <v>68692903</v>
      </c>
      <c r="C27" s="122" t="e">
        <f>VLOOKUP($B27,'Tech Litons'!$A:$I,3,0)</f>
        <v>#N/A</v>
      </c>
      <c r="D27" s="122" t="e">
        <f>VLOOKUP($B27,'Tech Litons'!$A:$I,4,0)</f>
        <v>#N/A</v>
      </c>
      <c r="E27" s="245" t="s">
        <v>21</v>
      </c>
      <c r="F27" s="245">
        <v>68692903</v>
      </c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169">
        <f t="shared" si="3"/>
        <v>0</v>
      </c>
      <c r="T27" s="122" t="e">
        <f>VLOOKUP($B27,'Tech Litons'!$A:$I,9,0)</f>
        <v>#N/A</v>
      </c>
      <c r="U27" s="179" t="e">
        <f t="shared" si="5"/>
        <v>#N/A</v>
      </c>
      <c r="V27" s="179" t="e">
        <f t="shared" si="5"/>
        <v>#N/A</v>
      </c>
      <c r="W27" s="179" t="e">
        <f t="shared" si="5"/>
        <v>#N/A</v>
      </c>
      <c r="X27" s="179" t="e">
        <f t="shared" si="5"/>
        <v>#N/A</v>
      </c>
      <c r="Y27" s="179" t="e">
        <f t="shared" si="5"/>
        <v>#N/A</v>
      </c>
      <c r="Z27" s="179" t="e">
        <f t="shared" si="5"/>
        <v>#N/A</v>
      </c>
      <c r="AA27" s="179" t="e">
        <f t="shared" si="5"/>
        <v>#N/A</v>
      </c>
      <c r="AB27" s="179" t="e">
        <f t="shared" si="5"/>
        <v>#N/A</v>
      </c>
      <c r="AC27" s="179" t="e">
        <f t="shared" si="5"/>
        <v>#N/A</v>
      </c>
      <c r="AD27" s="179" t="e">
        <f t="shared" si="5"/>
        <v>#N/A</v>
      </c>
      <c r="AE27" s="179" t="e">
        <f t="shared" si="5"/>
        <v>#N/A</v>
      </c>
      <c r="AF27" s="179" t="e">
        <f t="shared" si="5"/>
        <v>#N/A</v>
      </c>
    </row>
    <row r="28" spans="2:32">
      <c r="B28" s="122">
        <f t="shared" si="2"/>
        <v>84150840</v>
      </c>
      <c r="C28" s="122" t="e">
        <f>VLOOKUP($B28,'Tech Litons'!$A:$I,3,0)</f>
        <v>#N/A</v>
      </c>
      <c r="D28" s="122" t="e">
        <f>VLOOKUP($B28,'Tech Litons'!$A:$I,4,0)</f>
        <v>#N/A</v>
      </c>
      <c r="E28" s="245" t="s">
        <v>25</v>
      </c>
      <c r="F28" s="245">
        <v>84150840</v>
      </c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  <c r="R28" s="278"/>
      <c r="S28" s="169">
        <f t="shared" si="3"/>
        <v>0</v>
      </c>
      <c r="T28" s="122" t="e">
        <f>VLOOKUP($B28,'Tech Litons'!$A:$I,9,0)</f>
        <v>#N/A</v>
      </c>
      <c r="U28" s="179" t="e">
        <f t="shared" si="5"/>
        <v>#N/A</v>
      </c>
      <c r="V28" s="179" t="e">
        <f t="shared" si="5"/>
        <v>#N/A</v>
      </c>
      <c r="W28" s="179" t="e">
        <f t="shared" si="5"/>
        <v>#N/A</v>
      </c>
      <c r="X28" s="179" t="e">
        <f t="shared" si="5"/>
        <v>#N/A</v>
      </c>
      <c r="Y28" s="179" t="e">
        <f t="shared" si="5"/>
        <v>#N/A</v>
      </c>
      <c r="Z28" s="179" t="e">
        <f t="shared" si="5"/>
        <v>#N/A</v>
      </c>
      <c r="AA28" s="179" t="e">
        <f t="shared" si="5"/>
        <v>#N/A</v>
      </c>
      <c r="AB28" s="179" t="e">
        <f t="shared" si="5"/>
        <v>#N/A</v>
      </c>
      <c r="AC28" s="179" t="e">
        <f t="shared" si="5"/>
        <v>#N/A</v>
      </c>
      <c r="AD28" s="179" t="e">
        <f t="shared" si="5"/>
        <v>#N/A</v>
      </c>
      <c r="AE28" s="179" t="e">
        <f t="shared" si="5"/>
        <v>#N/A</v>
      </c>
      <c r="AF28" s="179" t="e">
        <f t="shared" si="5"/>
        <v>#N/A</v>
      </c>
    </row>
    <row r="29" spans="2:32">
      <c r="B29" s="122">
        <f t="shared" si="2"/>
        <v>68729137</v>
      </c>
      <c r="C29" s="122" t="e">
        <f>VLOOKUP($B29,'Tech Litons'!$A:$I,3,0)</f>
        <v>#N/A</v>
      </c>
      <c r="D29" s="122" t="e">
        <f>VLOOKUP($B29,'Tech Litons'!$A:$I,4,0)</f>
        <v>#N/A</v>
      </c>
      <c r="E29" s="245" t="s">
        <v>135</v>
      </c>
      <c r="F29" s="245">
        <v>68729137</v>
      </c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169">
        <f t="shared" si="3"/>
        <v>0</v>
      </c>
      <c r="T29" s="122" t="e">
        <f>VLOOKUP($B29,'Tech Litons'!$A:$I,9,0)</f>
        <v>#N/A</v>
      </c>
      <c r="U29" s="179" t="e">
        <f t="shared" si="5"/>
        <v>#N/A</v>
      </c>
      <c r="V29" s="179" t="e">
        <f t="shared" si="5"/>
        <v>#N/A</v>
      </c>
      <c r="W29" s="179" t="e">
        <f t="shared" si="5"/>
        <v>#N/A</v>
      </c>
      <c r="X29" s="179" t="e">
        <f t="shared" si="5"/>
        <v>#N/A</v>
      </c>
      <c r="Y29" s="179" t="e">
        <f t="shared" si="5"/>
        <v>#N/A</v>
      </c>
      <c r="Z29" s="179" t="e">
        <f t="shared" si="5"/>
        <v>#N/A</v>
      </c>
      <c r="AA29" s="179" t="e">
        <f t="shared" si="5"/>
        <v>#N/A</v>
      </c>
      <c r="AB29" s="179" t="e">
        <f t="shared" si="5"/>
        <v>#N/A</v>
      </c>
      <c r="AC29" s="179" t="e">
        <f t="shared" si="5"/>
        <v>#N/A</v>
      </c>
      <c r="AD29" s="179" t="e">
        <f t="shared" si="5"/>
        <v>#N/A</v>
      </c>
      <c r="AE29" s="179" t="e">
        <f t="shared" si="5"/>
        <v>#N/A</v>
      </c>
      <c r="AF29" s="179" t="e">
        <f t="shared" si="5"/>
        <v>#N/A</v>
      </c>
    </row>
    <row r="30" spans="2:32">
      <c r="B30" s="122">
        <f t="shared" si="2"/>
        <v>68445811</v>
      </c>
      <c r="C30" s="122" t="e">
        <f>VLOOKUP($B30,'Tech Litons'!$A:$I,3,0)</f>
        <v>#N/A</v>
      </c>
      <c r="D30" s="122" t="e">
        <f>VLOOKUP($B30,'Tech Litons'!$A:$I,4,0)</f>
        <v>#N/A</v>
      </c>
      <c r="E30" s="245" t="s">
        <v>38</v>
      </c>
      <c r="F30" s="245">
        <v>68445811</v>
      </c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169">
        <f t="shared" si="3"/>
        <v>0</v>
      </c>
      <c r="T30" s="122" t="e">
        <f>VLOOKUP($B30,'Tech Litons'!$A:$I,9,0)</f>
        <v>#N/A</v>
      </c>
      <c r="U30" s="179" t="e">
        <f t="shared" si="5"/>
        <v>#N/A</v>
      </c>
      <c r="V30" s="179" t="e">
        <f t="shared" si="5"/>
        <v>#N/A</v>
      </c>
      <c r="W30" s="179" t="e">
        <f t="shared" si="5"/>
        <v>#N/A</v>
      </c>
      <c r="X30" s="179" t="e">
        <f t="shared" si="5"/>
        <v>#N/A</v>
      </c>
      <c r="Y30" s="179" t="e">
        <f t="shared" si="5"/>
        <v>#N/A</v>
      </c>
      <c r="Z30" s="179" t="e">
        <f t="shared" si="5"/>
        <v>#N/A</v>
      </c>
      <c r="AA30" s="179" t="e">
        <f t="shared" si="5"/>
        <v>#N/A</v>
      </c>
      <c r="AB30" s="179" t="e">
        <f t="shared" si="5"/>
        <v>#N/A</v>
      </c>
      <c r="AC30" s="179" t="e">
        <f t="shared" si="5"/>
        <v>#N/A</v>
      </c>
      <c r="AD30" s="179" t="e">
        <f t="shared" si="5"/>
        <v>#N/A</v>
      </c>
      <c r="AE30" s="179" t="e">
        <f t="shared" si="5"/>
        <v>#N/A</v>
      </c>
      <c r="AF30" s="179" t="e">
        <f t="shared" si="5"/>
        <v>#N/A</v>
      </c>
    </row>
    <row r="31" spans="2:32" ht="12.6" customHeight="1">
      <c r="B31" s="122">
        <v>64325487</v>
      </c>
      <c r="C31" s="122" t="str">
        <f>VLOOKUP($B31,'Tech Litons'!$A:$I,3,0)</f>
        <v>Yasso Sticks</v>
      </c>
      <c r="D31" s="122" t="str">
        <f>VLOOKUP($B31,'Tech Litons'!$A:$I,4,0)</f>
        <v>Yasso Sticks</v>
      </c>
      <c r="E31" s="245" t="s">
        <v>44</v>
      </c>
      <c r="F31" s="245">
        <v>64325487</v>
      </c>
      <c r="G31" s="278"/>
      <c r="H31" s="278"/>
      <c r="I31" s="278"/>
      <c r="J31" s="278"/>
      <c r="K31" s="425"/>
      <c r="L31" s="278"/>
      <c r="M31" s="278"/>
      <c r="N31" s="278"/>
      <c r="O31" s="278"/>
      <c r="P31" s="278"/>
      <c r="Q31" s="278"/>
      <c r="R31" s="278"/>
      <c r="S31" s="169">
        <f t="shared" si="3"/>
        <v>0</v>
      </c>
      <c r="T31" s="122">
        <f>VLOOKUP($B31,'Tech Litons'!$A:$I,9,0)</f>
        <v>187</v>
      </c>
      <c r="U31" s="179">
        <f t="shared" si="5"/>
        <v>0</v>
      </c>
      <c r="V31" s="179">
        <f t="shared" si="5"/>
        <v>0</v>
      </c>
      <c r="W31" s="179">
        <f t="shared" si="5"/>
        <v>0</v>
      </c>
      <c r="X31" s="179">
        <f t="shared" si="5"/>
        <v>0</v>
      </c>
      <c r="Y31" s="179">
        <f t="shared" si="5"/>
        <v>0</v>
      </c>
      <c r="Z31" s="179">
        <f t="shared" si="5"/>
        <v>0</v>
      </c>
      <c r="AA31" s="179">
        <f t="shared" si="5"/>
        <v>0</v>
      </c>
      <c r="AB31" s="179">
        <f t="shared" si="5"/>
        <v>0</v>
      </c>
      <c r="AC31" s="179">
        <f t="shared" si="5"/>
        <v>0</v>
      </c>
      <c r="AD31" s="179">
        <f t="shared" si="5"/>
        <v>0</v>
      </c>
      <c r="AE31" s="179">
        <f t="shared" si="5"/>
        <v>0</v>
      </c>
      <c r="AF31" s="179">
        <f t="shared" si="5"/>
        <v>0</v>
      </c>
    </row>
    <row r="32" spans="2:32">
      <c r="B32" s="122">
        <f t="shared" ref="B32:B95" si="6">F32</f>
        <v>69964637</v>
      </c>
      <c r="C32" s="122" t="e">
        <f>VLOOKUP($B32,'Tech Litons'!$A:$I,3,0)</f>
        <v>#N/A</v>
      </c>
      <c r="D32" s="122" t="e">
        <f>VLOOKUP($B32,'Tech Litons'!$A:$I,4,0)</f>
        <v>#N/A</v>
      </c>
      <c r="E32" s="245" t="s">
        <v>34</v>
      </c>
      <c r="F32" s="245">
        <v>69964637</v>
      </c>
      <c r="G32" s="278"/>
      <c r="H32" s="278"/>
      <c r="I32" s="278"/>
      <c r="J32" s="278"/>
      <c r="K32" s="425"/>
      <c r="L32" s="278"/>
      <c r="M32" s="278"/>
      <c r="N32" s="278"/>
      <c r="O32" s="278"/>
      <c r="P32" s="278"/>
      <c r="Q32" s="278"/>
      <c r="R32" s="278"/>
      <c r="S32" s="169">
        <f>SUM(G32:R32)</f>
        <v>0</v>
      </c>
      <c r="T32" s="122" t="e">
        <f>VLOOKUP($B32,'Tech Litons'!$A:$I,9,0)</f>
        <v>#N/A</v>
      </c>
      <c r="U32" s="179" t="e">
        <f t="shared" si="5"/>
        <v>#N/A</v>
      </c>
      <c r="V32" s="179" t="e">
        <f t="shared" si="5"/>
        <v>#N/A</v>
      </c>
      <c r="W32" s="179" t="e">
        <f t="shared" si="5"/>
        <v>#N/A</v>
      </c>
      <c r="X32" s="179" t="e">
        <f t="shared" si="5"/>
        <v>#N/A</v>
      </c>
      <c r="Y32" s="179" t="e">
        <f t="shared" si="5"/>
        <v>#N/A</v>
      </c>
      <c r="Z32" s="179" t="e">
        <f t="shared" si="5"/>
        <v>#N/A</v>
      </c>
      <c r="AA32" s="179" t="e">
        <f t="shared" si="5"/>
        <v>#N/A</v>
      </c>
      <c r="AB32" s="179" t="e">
        <f t="shared" si="5"/>
        <v>#N/A</v>
      </c>
      <c r="AC32" s="179" t="e">
        <f t="shared" si="5"/>
        <v>#N/A</v>
      </c>
      <c r="AD32" s="179" t="e">
        <f t="shared" si="5"/>
        <v>#N/A</v>
      </c>
      <c r="AE32" s="179" t="e">
        <f t="shared" si="5"/>
        <v>#N/A</v>
      </c>
      <c r="AF32" s="179" t="e">
        <f t="shared" si="5"/>
        <v>#N/A</v>
      </c>
    </row>
    <row r="33" spans="2:32">
      <c r="B33" s="122">
        <f t="shared" si="6"/>
        <v>68264519</v>
      </c>
      <c r="C33" s="122" t="str">
        <f>VLOOKUP($B33,'Tech Litons'!$A:$I,3,0)</f>
        <v>Dough Bites</v>
      </c>
      <c r="D33" s="122" t="str">
        <f>VLOOKUP($B33,'Tech Litons'!$A:$I,4,0)</f>
        <v>Dough Bites</v>
      </c>
      <c r="E33" s="245" t="s">
        <v>30</v>
      </c>
      <c r="F33" s="245">
        <v>68264519</v>
      </c>
      <c r="G33" s="278"/>
      <c r="H33" s="278"/>
      <c r="I33" s="278"/>
      <c r="J33" s="278"/>
      <c r="K33" s="425"/>
      <c r="L33" s="278"/>
      <c r="M33" s="278"/>
      <c r="N33" s="278"/>
      <c r="O33" s="278"/>
      <c r="P33" s="278"/>
      <c r="Q33" s="278"/>
      <c r="R33" s="278"/>
      <c r="S33" s="169">
        <f>SUM(G33:R33)</f>
        <v>0</v>
      </c>
      <c r="T33" s="122">
        <f>VLOOKUP($B33,'Tech Litons'!$A:$I,9,0)</f>
        <v>256</v>
      </c>
      <c r="U33" s="179">
        <f t="shared" si="5"/>
        <v>0</v>
      </c>
      <c r="V33" s="179">
        <f t="shared" si="5"/>
        <v>0</v>
      </c>
      <c r="W33" s="179">
        <f t="shared" si="5"/>
        <v>0</v>
      </c>
      <c r="X33" s="179">
        <f t="shared" si="5"/>
        <v>0</v>
      </c>
      <c r="Y33" s="179">
        <f t="shared" si="5"/>
        <v>0</v>
      </c>
      <c r="Z33" s="179">
        <f t="shared" si="5"/>
        <v>0</v>
      </c>
      <c r="AA33" s="179">
        <f t="shared" si="5"/>
        <v>0</v>
      </c>
      <c r="AB33" s="179">
        <f t="shared" si="5"/>
        <v>0</v>
      </c>
      <c r="AC33" s="179">
        <f t="shared" si="5"/>
        <v>0</v>
      </c>
      <c r="AD33" s="179">
        <f t="shared" si="5"/>
        <v>0</v>
      </c>
      <c r="AE33" s="179">
        <f t="shared" si="5"/>
        <v>0</v>
      </c>
      <c r="AF33" s="179">
        <f t="shared" si="5"/>
        <v>0</v>
      </c>
    </row>
    <row r="34" spans="2:32">
      <c r="B34" s="122">
        <f t="shared" si="6"/>
        <v>68851107</v>
      </c>
      <c r="C34" s="122" t="str">
        <f>VLOOKUP($B34,'Tech Litons'!$A:$I,3,0)</f>
        <v>48oz</v>
      </c>
      <c r="D34" s="122" t="str">
        <f>VLOOKUP($B34,'Tech Litons'!$A:$I,4,0)</f>
        <v>48oz</v>
      </c>
      <c r="E34" s="598" t="s">
        <v>1012</v>
      </c>
      <c r="F34" s="598">
        <v>68851107</v>
      </c>
      <c r="G34" s="599">
        <v>219245.404298195</v>
      </c>
      <c r="H34" s="599">
        <v>230320.49279777301</v>
      </c>
      <c r="I34" s="599">
        <v>260502.78863728</v>
      </c>
      <c r="J34" s="599">
        <v>292270.69883537799</v>
      </c>
      <c r="K34" s="599">
        <v>247360.25194861699</v>
      </c>
      <c r="L34" s="599">
        <v>291680.29515082401</v>
      </c>
      <c r="M34" s="599">
        <v>253119.018407077</v>
      </c>
      <c r="N34" s="599">
        <v>246887.944438265</v>
      </c>
      <c r="O34" s="599">
        <v>195034.974188889</v>
      </c>
      <c r="P34" s="599">
        <v>226379.717060853</v>
      </c>
      <c r="Q34" s="599">
        <v>249714.12971662701</v>
      </c>
      <c r="R34" s="599">
        <v>209013.79633150599</v>
      </c>
      <c r="S34" s="169">
        <f t="shared" si="3"/>
        <v>2921529.5118112834</v>
      </c>
      <c r="T34" s="122">
        <f>VLOOKUP($B34,'Tech Litons'!$A:$I,9,0)</f>
        <v>176</v>
      </c>
      <c r="U34" s="179">
        <f t="shared" si="5"/>
        <v>1245.7125244215624</v>
      </c>
      <c r="V34" s="179">
        <f t="shared" si="5"/>
        <v>1308.6391636237104</v>
      </c>
      <c r="W34" s="179">
        <f t="shared" si="5"/>
        <v>1480.1294808936364</v>
      </c>
      <c r="X34" s="179">
        <f t="shared" si="5"/>
        <v>1660.6289706555567</v>
      </c>
      <c r="Y34" s="179">
        <f t="shared" si="5"/>
        <v>1405.4559769807784</v>
      </c>
      <c r="Z34" s="179">
        <f t="shared" si="5"/>
        <v>1657.2744042660454</v>
      </c>
      <c r="AA34" s="179">
        <f t="shared" si="5"/>
        <v>1438.1762409493012</v>
      </c>
      <c r="AB34" s="179">
        <f t="shared" si="5"/>
        <v>1402.7724115810511</v>
      </c>
      <c r="AC34" s="179">
        <f t="shared" si="5"/>
        <v>1108.1532624368692</v>
      </c>
      <c r="AD34" s="179">
        <f t="shared" si="5"/>
        <v>1286.2483923912102</v>
      </c>
      <c r="AE34" s="179">
        <f t="shared" si="5"/>
        <v>1418.8302824808352</v>
      </c>
      <c r="AF34" s="179">
        <f t="shared" si="5"/>
        <v>1187.5783882471931</v>
      </c>
    </row>
    <row r="35" spans="2:32">
      <c r="B35" s="122">
        <f t="shared" si="6"/>
        <v>84154487</v>
      </c>
      <c r="C35" s="122" t="str">
        <f>VLOOKUP($B35,'Tech Litons'!$A:$I,3,0)</f>
        <v>BJ PTS</v>
      </c>
      <c r="D35" s="122" t="str">
        <f>VLOOKUP($B35,'Tech Litons'!$A:$I,4,0)</f>
        <v>BJ PTS</v>
      </c>
      <c r="E35" s="598" t="s">
        <v>959</v>
      </c>
      <c r="F35" s="598">
        <v>84154487</v>
      </c>
      <c r="G35" s="599">
        <v>149294.59942902401</v>
      </c>
      <c r="H35" s="599">
        <v>193253.05255737301</v>
      </c>
      <c r="I35" s="599">
        <v>211142.16532822</v>
      </c>
      <c r="J35" s="599">
        <v>181825.06957221701</v>
      </c>
      <c r="K35" s="599">
        <v>185494.92858384299</v>
      </c>
      <c r="L35" s="599">
        <v>227348.31471398001</v>
      </c>
      <c r="M35" s="599">
        <v>183869.405578876</v>
      </c>
      <c r="N35" s="599">
        <v>191354.45955036301</v>
      </c>
      <c r="O35" s="599">
        <v>175257.26264645101</v>
      </c>
      <c r="P35" s="599">
        <v>185704.155323702</v>
      </c>
      <c r="Q35" s="599">
        <v>169467.48668233099</v>
      </c>
      <c r="R35" s="599">
        <v>157425.97319040299</v>
      </c>
      <c r="S35" s="169">
        <f t="shared" si="3"/>
        <v>2211436.8731567827</v>
      </c>
      <c r="T35" s="122">
        <f>VLOOKUP($B35,'Tech Litons'!$A:$I,9,0)</f>
        <v>240</v>
      </c>
      <c r="U35" s="179">
        <f t="shared" si="5"/>
        <v>622.06083095426663</v>
      </c>
      <c r="V35" s="179">
        <f t="shared" si="5"/>
        <v>805.22105232238755</v>
      </c>
      <c r="W35" s="179">
        <f t="shared" si="5"/>
        <v>879.75902220091666</v>
      </c>
      <c r="X35" s="179">
        <f t="shared" si="5"/>
        <v>757.60445655090416</v>
      </c>
      <c r="Y35" s="179">
        <f t="shared" si="5"/>
        <v>772.89553576601247</v>
      </c>
      <c r="Z35" s="179">
        <f t="shared" si="5"/>
        <v>947.28464464158344</v>
      </c>
      <c r="AA35" s="179">
        <f t="shared" si="5"/>
        <v>766.12252324531664</v>
      </c>
      <c r="AB35" s="179">
        <f t="shared" si="5"/>
        <v>797.31024812651253</v>
      </c>
      <c r="AC35" s="179">
        <f t="shared" si="5"/>
        <v>730.23859436021257</v>
      </c>
      <c r="AD35" s="179">
        <f t="shared" si="5"/>
        <v>773.76731384875836</v>
      </c>
      <c r="AE35" s="179">
        <f t="shared" si="5"/>
        <v>706.11452784304572</v>
      </c>
      <c r="AF35" s="179">
        <f t="shared" si="5"/>
        <v>655.94155496001247</v>
      </c>
    </row>
    <row r="36" spans="2:32">
      <c r="B36" s="122">
        <f t="shared" si="6"/>
        <v>67466492</v>
      </c>
      <c r="C36" s="122" t="e">
        <f>VLOOKUP($B36,'Tech Litons'!$A:$I,3,0)</f>
        <v>#N/A</v>
      </c>
      <c r="D36" s="122" t="e">
        <f>VLOOKUP($B36,'Tech Litons'!$A:$I,4,0)</f>
        <v>#N/A</v>
      </c>
      <c r="E36" s="598" t="s">
        <v>402</v>
      </c>
      <c r="F36" s="598">
        <v>67466492</v>
      </c>
      <c r="G36" s="599">
        <v>126996.973358762</v>
      </c>
      <c r="H36" s="599">
        <v>134279.389716128</v>
      </c>
      <c r="I36" s="599">
        <v>132920.87830973099</v>
      </c>
      <c r="J36" s="599">
        <v>149148.475047605</v>
      </c>
      <c r="K36" s="599">
        <v>221760.18201561499</v>
      </c>
      <c r="L36" s="599">
        <v>200539.44270525701</v>
      </c>
      <c r="M36" s="599">
        <v>206787.558946659</v>
      </c>
      <c r="N36" s="599">
        <v>156173.305628345</v>
      </c>
      <c r="O36" s="599">
        <v>121013.310048495</v>
      </c>
      <c r="P36" s="599">
        <v>117567.68954917599</v>
      </c>
      <c r="Q36" s="599">
        <v>111827.886729659</v>
      </c>
      <c r="R36" s="599">
        <v>102218.480918218</v>
      </c>
      <c r="S36" s="169">
        <f t="shared" si="3"/>
        <v>1781233.5729736499</v>
      </c>
      <c r="T36" s="122" t="e">
        <f>VLOOKUP($B36,'Tech Litons'!$A:$I,9,0)</f>
        <v>#N/A</v>
      </c>
      <c r="U36" s="179" t="e">
        <f t="shared" si="5"/>
        <v>#N/A</v>
      </c>
      <c r="V36" s="179" t="e">
        <f t="shared" si="5"/>
        <v>#N/A</v>
      </c>
      <c r="W36" s="179" t="e">
        <f t="shared" si="5"/>
        <v>#N/A</v>
      </c>
      <c r="X36" s="179" t="e">
        <f t="shared" si="5"/>
        <v>#N/A</v>
      </c>
      <c r="Y36" s="179" t="e">
        <f t="shared" si="5"/>
        <v>#N/A</v>
      </c>
      <c r="Z36" s="179" t="e">
        <f t="shared" si="5"/>
        <v>#N/A</v>
      </c>
      <c r="AA36" s="179" t="e">
        <f t="shared" si="5"/>
        <v>#N/A</v>
      </c>
      <c r="AB36" s="179" t="e">
        <f t="shared" si="5"/>
        <v>#N/A</v>
      </c>
      <c r="AC36" s="179" t="e">
        <f t="shared" si="5"/>
        <v>#N/A</v>
      </c>
      <c r="AD36" s="179" t="e">
        <f t="shared" si="5"/>
        <v>#N/A</v>
      </c>
      <c r="AE36" s="179" t="e">
        <f t="shared" si="5"/>
        <v>#N/A</v>
      </c>
      <c r="AF36" s="179" t="e">
        <f t="shared" si="5"/>
        <v>#N/A</v>
      </c>
    </row>
    <row r="37" spans="2:32">
      <c r="B37" s="122">
        <f t="shared" si="6"/>
        <v>84137725</v>
      </c>
      <c r="C37" s="122" t="str">
        <f>VLOOKUP($B37,'Tech Litons'!$A:$I,3,0)</f>
        <v>BJ PTS</v>
      </c>
      <c r="D37" s="122" t="str">
        <f>VLOOKUP($B37,'Tech Litons'!$A:$I,4,0)</f>
        <v>BJ PTS</v>
      </c>
      <c r="E37" s="598" t="s">
        <v>955</v>
      </c>
      <c r="F37" s="598">
        <v>84137725</v>
      </c>
      <c r="G37" s="599">
        <v>116379.353236551</v>
      </c>
      <c r="H37" s="599">
        <v>158811.56327468401</v>
      </c>
      <c r="I37" s="599">
        <v>167978.03587039601</v>
      </c>
      <c r="J37" s="599">
        <v>148896.40109288899</v>
      </c>
      <c r="K37" s="599">
        <v>151699.74462722501</v>
      </c>
      <c r="L37" s="599">
        <v>188409.13587205199</v>
      </c>
      <c r="M37" s="599">
        <v>148647.92649260201</v>
      </c>
      <c r="N37" s="599">
        <v>153218.829479954</v>
      </c>
      <c r="O37" s="599">
        <v>134636.85779027201</v>
      </c>
      <c r="P37" s="599">
        <v>144747.81129403299</v>
      </c>
      <c r="Q37" s="599">
        <v>133411.71026816699</v>
      </c>
      <c r="R37" s="599">
        <v>111867.42499578799</v>
      </c>
      <c r="S37" s="169">
        <f t="shared" si="3"/>
        <v>1758704.7942946129</v>
      </c>
      <c r="T37" s="122">
        <f>VLOOKUP($B37,'Tech Litons'!$A:$I,9,0)</f>
        <v>240</v>
      </c>
      <c r="U37" s="179">
        <f t="shared" si="5"/>
        <v>484.91397181896252</v>
      </c>
      <c r="V37" s="179">
        <f t="shared" si="5"/>
        <v>661.71484697785002</v>
      </c>
      <c r="W37" s="179">
        <f t="shared" si="5"/>
        <v>699.90848279331669</v>
      </c>
      <c r="X37" s="179">
        <f t="shared" si="5"/>
        <v>620.40167122037076</v>
      </c>
      <c r="Y37" s="179">
        <f t="shared" si="5"/>
        <v>632.08226928010424</v>
      </c>
      <c r="Z37" s="179">
        <f t="shared" si="5"/>
        <v>785.03806613354993</v>
      </c>
      <c r="AA37" s="179">
        <f t="shared" si="5"/>
        <v>619.36636038584174</v>
      </c>
      <c r="AB37" s="179">
        <f t="shared" si="5"/>
        <v>638.41178949980838</v>
      </c>
      <c r="AC37" s="179">
        <f t="shared" si="5"/>
        <v>560.98690745946669</v>
      </c>
      <c r="AD37" s="179">
        <f t="shared" si="5"/>
        <v>603.11588039180413</v>
      </c>
      <c r="AE37" s="179">
        <f t="shared" si="5"/>
        <v>555.88212611736242</v>
      </c>
      <c r="AF37" s="179">
        <f t="shared" si="5"/>
        <v>466.1142708157833</v>
      </c>
    </row>
    <row r="38" spans="2:32">
      <c r="B38" s="122">
        <f t="shared" si="6"/>
        <v>68689251</v>
      </c>
      <c r="C38" s="122" t="str">
        <f>VLOOKUP($B38,'Tech Litons'!$A:$I,3,0)</f>
        <v>EDF</v>
      </c>
      <c r="D38" s="122" t="str">
        <f>VLOOKUP($B38,'Tech Litons'!$A:$I,4,0)</f>
        <v>EDF</v>
      </c>
      <c r="E38" s="598" t="s">
        <v>1019</v>
      </c>
      <c r="F38" s="598">
        <v>68689251</v>
      </c>
      <c r="G38" s="599">
        <v>95007.512631899794</v>
      </c>
      <c r="H38" s="599">
        <v>98484.632187613097</v>
      </c>
      <c r="I38" s="599">
        <v>178993.48417283699</v>
      </c>
      <c r="J38" s="599">
        <v>171915.72836292299</v>
      </c>
      <c r="K38" s="599">
        <v>172997.71398092899</v>
      </c>
      <c r="L38" s="599">
        <v>197630.314071056</v>
      </c>
      <c r="M38" s="599">
        <v>159281.17771071999</v>
      </c>
      <c r="N38" s="599">
        <v>156911.79830078001</v>
      </c>
      <c r="O38" s="599">
        <v>125082.33726635799</v>
      </c>
      <c r="P38" s="599">
        <v>99414.3666683958</v>
      </c>
      <c r="Q38" s="599">
        <v>95751.594533812502</v>
      </c>
      <c r="R38" s="599">
        <v>86991.260996109006</v>
      </c>
      <c r="S38" s="169">
        <f t="shared" si="3"/>
        <v>1638461.920883433</v>
      </c>
      <c r="T38" s="122">
        <f>VLOOKUP($B38,'Tech Litons'!$A:$I,9,0)</f>
        <v>132</v>
      </c>
      <c r="U38" s="179">
        <f t="shared" si="5"/>
        <v>719.75388357499844</v>
      </c>
      <c r="V38" s="179">
        <f t="shared" si="5"/>
        <v>746.09569839100834</v>
      </c>
      <c r="W38" s="179">
        <f t="shared" si="5"/>
        <v>1356.0112437336136</v>
      </c>
      <c r="X38" s="179">
        <f t="shared" si="5"/>
        <v>1302.3918815372954</v>
      </c>
      <c r="Y38" s="179">
        <f t="shared" si="5"/>
        <v>1310.588742279765</v>
      </c>
      <c r="Z38" s="179">
        <f t="shared" si="5"/>
        <v>1497.1993490231514</v>
      </c>
      <c r="AA38" s="179">
        <f t="shared" si="5"/>
        <v>1206.6755887175757</v>
      </c>
      <c r="AB38" s="179">
        <f t="shared" si="5"/>
        <v>1188.7257447028787</v>
      </c>
      <c r="AC38" s="179">
        <f t="shared" si="5"/>
        <v>947.59346413907576</v>
      </c>
      <c r="AD38" s="179">
        <f t="shared" si="5"/>
        <v>753.13914142724093</v>
      </c>
      <c r="AE38" s="179">
        <f t="shared" si="5"/>
        <v>725.39086768039772</v>
      </c>
      <c r="AF38" s="179">
        <f t="shared" si="5"/>
        <v>659.02470451597731</v>
      </c>
    </row>
    <row r="39" spans="2:32">
      <c r="B39" s="122">
        <f t="shared" si="6"/>
        <v>68851108</v>
      </c>
      <c r="C39" s="122" t="str">
        <f>VLOOKUP($B39,'Tech Litons'!$A:$I,3,0)</f>
        <v>48oz</v>
      </c>
      <c r="D39" s="122" t="str">
        <f>VLOOKUP($B39,'Tech Litons'!$A:$I,4,0)</f>
        <v>48oz</v>
      </c>
      <c r="E39" s="598" t="s">
        <v>1000</v>
      </c>
      <c r="F39" s="598">
        <v>68851108</v>
      </c>
      <c r="G39" s="599">
        <v>126469.349391328</v>
      </c>
      <c r="H39" s="599">
        <v>134616.233652625</v>
      </c>
      <c r="I39" s="599">
        <v>156379.99147070601</v>
      </c>
      <c r="J39" s="599">
        <v>157251.305548701</v>
      </c>
      <c r="K39" s="599">
        <v>144390.12962035599</v>
      </c>
      <c r="L39" s="599">
        <v>169459.76712374901</v>
      </c>
      <c r="M39" s="599">
        <v>140065.40698153299</v>
      </c>
      <c r="N39" s="599">
        <v>130048.786476255</v>
      </c>
      <c r="O39" s="599">
        <v>108831.220429116</v>
      </c>
      <c r="P39" s="599">
        <v>123353.26257998199</v>
      </c>
      <c r="Q39" s="599">
        <v>129703.81810443</v>
      </c>
      <c r="R39" s="599">
        <v>113528.222921275</v>
      </c>
      <c r="S39" s="169">
        <f t="shared" si="3"/>
        <v>1634097.494300056</v>
      </c>
      <c r="T39" s="122">
        <f>VLOOKUP($B39,'Tech Litons'!$A:$I,9,0)</f>
        <v>176</v>
      </c>
      <c r="U39" s="179">
        <f t="shared" si="5"/>
        <v>718.57584881436367</v>
      </c>
      <c r="V39" s="179">
        <f t="shared" si="5"/>
        <v>764.86496393536936</v>
      </c>
      <c r="W39" s="179">
        <f t="shared" si="5"/>
        <v>888.52267881082958</v>
      </c>
      <c r="X39" s="179">
        <f t="shared" si="5"/>
        <v>893.4733269812557</v>
      </c>
      <c r="Y39" s="179">
        <f t="shared" si="5"/>
        <v>820.39846375202262</v>
      </c>
      <c r="Z39" s="179">
        <f t="shared" si="5"/>
        <v>962.8395859303921</v>
      </c>
      <c r="AA39" s="179">
        <f t="shared" si="5"/>
        <v>795.8261760314374</v>
      </c>
      <c r="AB39" s="179">
        <f t="shared" si="5"/>
        <v>738.91355952417609</v>
      </c>
      <c r="AC39" s="179">
        <f t="shared" si="5"/>
        <v>618.3592069836136</v>
      </c>
      <c r="AD39" s="179">
        <f t="shared" si="5"/>
        <v>700.87081011353405</v>
      </c>
      <c r="AE39" s="179">
        <f t="shared" si="5"/>
        <v>736.95351195698868</v>
      </c>
      <c r="AF39" s="179">
        <f t="shared" si="5"/>
        <v>645.0467211436079</v>
      </c>
    </row>
    <row r="40" spans="2:32">
      <c r="B40" s="122">
        <f t="shared" si="6"/>
        <v>84141101</v>
      </c>
      <c r="C40" s="122" t="e">
        <f>VLOOKUP($B40,'Tech Litons'!$A:$I,3,0)</f>
        <v>#N/A</v>
      </c>
      <c r="D40" s="122" t="e">
        <f>VLOOKUP($B40,'Tech Litons'!$A:$I,4,0)</f>
        <v>#N/A</v>
      </c>
      <c r="E40" s="598" t="s">
        <v>950</v>
      </c>
      <c r="F40" s="598">
        <v>84141101</v>
      </c>
      <c r="G40" s="599">
        <v>114229.957409878</v>
      </c>
      <c r="H40" s="599">
        <v>142670.508301186</v>
      </c>
      <c r="I40" s="599">
        <v>148544.039534807</v>
      </c>
      <c r="J40" s="599">
        <v>129345.450795353</v>
      </c>
      <c r="K40" s="599">
        <v>134133.74601099</v>
      </c>
      <c r="L40" s="599">
        <v>162821.62882741401</v>
      </c>
      <c r="M40" s="599">
        <v>137744.81590490701</v>
      </c>
      <c r="N40" s="599">
        <v>139610.59916002699</v>
      </c>
      <c r="O40" s="599">
        <v>128872.780534907</v>
      </c>
      <c r="P40" s="599">
        <v>134137.947337194</v>
      </c>
      <c r="Q40" s="599">
        <v>123331.18051622801</v>
      </c>
      <c r="R40" s="599">
        <v>109558.105286076</v>
      </c>
      <c r="S40" s="169">
        <f t="shared" si="3"/>
        <v>1605000.7596189671</v>
      </c>
      <c r="T40" s="122" t="e">
        <f>VLOOKUP($B40,'Tech Litons'!$A:$I,9,0)</f>
        <v>#N/A</v>
      </c>
      <c r="U40" s="179" t="e">
        <f t="shared" si="5"/>
        <v>#N/A</v>
      </c>
      <c r="V40" s="179" t="e">
        <f t="shared" si="5"/>
        <v>#N/A</v>
      </c>
      <c r="W40" s="179" t="e">
        <f t="shared" si="5"/>
        <v>#N/A</v>
      </c>
      <c r="X40" s="179" t="e">
        <f t="shared" si="5"/>
        <v>#N/A</v>
      </c>
      <c r="Y40" s="179" t="e">
        <f t="shared" si="5"/>
        <v>#N/A</v>
      </c>
      <c r="Z40" s="179" t="e">
        <f t="shared" si="5"/>
        <v>#N/A</v>
      </c>
      <c r="AA40" s="179" t="e">
        <f t="shared" si="5"/>
        <v>#N/A</v>
      </c>
      <c r="AB40" s="179" t="e">
        <f t="shared" si="5"/>
        <v>#N/A</v>
      </c>
      <c r="AC40" s="179" t="e">
        <f t="shared" si="5"/>
        <v>#N/A</v>
      </c>
      <c r="AD40" s="179" t="e">
        <f t="shared" si="5"/>
        <v>#N/A</v>
      </c>
      <c r="AE40" s="179" t="e">
        <f t="shared" si="5"/>
        <v>#N/A</v>
      </c>
      <c r="AF40" s="179" t="e">
        <f t="shared" si="5"/>
        <v>#N/A</v>
      </c>
    </row>
    <row r="41" spans="2:32">
      <c r="B41" s="122">
        <f t="shared" si="6"/>
        <v>84141102</v>
      </c>
      <c r="C41" s="122" t="str">
        <f>VLOOKUP($B41,'Tech Litons'!$A:$I,3,0)</f>
        <v>BJ PTS</v>
      </c>
      <c r="D41" s="122" t="str">
        <f>VLOOKUP($B41,'Tech Litons'!$A:$I,4,0)</f>
        <v>BJ PTS</v>
      </c>
      <c r="E41" s="598" t="s">
        <v>957</v>
      </c>
      <c r="F41" s="598">
        <v>84141102</v>
      </c>
      <c r="G41" s="599">
        <v>110239.310644447</v>
      </c>
      <c r="H41" s="599">
        <v>140601.803227539</v>
      </c>
      <c r="I41" s="599">
        <v>152936.98573739399</v>
      </c>
      <c r="J41" s="599">
        <v>133219.17721401001</v>
      </c>
      <c r="K41" s="599">
        <v>134770.77774641101</v>
      </c>
      <c r="L41" s="599">
        <v>164576.984837853</v>
      </c>
      <c r="M41" s="599">
        <v>132510.801244117</v>
      </c>
      <c r="N41" s="599">
        <v>140635.48866576</v>
      </c>
      <c r="O41" s="599">
        <v>124066.46910126301</v>
      </c>
      <c r="P41" s="599">
        <v>129249.442054111</v>
      </c>
      <c r="Q41" s="599">
        <v>122267.809769207</v>
      </c>
      <c r="R41" s="599">
        <v>106427.778301164</v>
      </c>
      <c r="S41" s="169">
        <f t="shared" si="3"/>
        <v>1591502.8285432761</v>
      </c>
      <c r="T41" s="122">
        <f>VLOOKUP($B41,'Tech Litons'!$A:$I,9,0)</f>
        <v>240</v>
      </c>
      <c r="U41" s="179">
        <f t="shared" si="5"/>
        <v>459.33046101852921</v>
      </c>
      <c r="V41" s="179">
        <f t="shared" si="5"/>
        <v>585.84084678141255</v>
      </c>
      <c r="W41" s="179">
        <f t="shared" si="5"/>
        <v>637.23744057247495</v>
      </c>
      <c r="X41" s="179">
        <f t="shared" ref="X41:AF69" si="7">J41/$T41</f>
        <v>555.07990505837506</v>
      </c>
      <c r="Y41" s="179">
        <f t="shared" si="7"/>
        <v>561.54490727671259</v>
      </c>
      <c r="Z41" s="179">
        <f t="shared" si="7"/>
        <v>685.73743682438749</v>
      </c>
      <c r="AA41" s="179">
        <f t="shared" si="7"/>
        <v>552.12833851715413</v>
      </c>
      <c r="AB41" s="179">
        <f t="shared" si="7"/>
        <v>585.98120277400005</v>
      </c>
      <c r="AC41" s="179">
        <f t="shared" si="7"/>
        <v>516.94362125526254</v>
      </c>
      <c r="AD41" s="179">
        <f t="shared" si="7"/>
        <v>538.53934189212919</v>
      </c>
      <c r="AE41" s="179">
        <f t="shared" si="7"/>
        <v>509.44920737169582</v>
      </c>
      <c r="AF41" s="179">
        <f t="shared" si="7"/>
        <v>443.44907625485001</v>
      </c>
    </row>
    <row r="42" spans="2:32">
      <c r="B42" s="122">
        <f t="shared" si="6"/>
        <v>84135718</v>
      </c>
      <c r="C42" s="122" t="str">
        <f>VLOOKUP($B42,'Tech Litons'!$A:$I,3,0)</f>
        <v>BJ PTS</v>
      </c>
      <c r="D42" s="122" t="str">
        <f>VLOOKUP($B42,'Tech Litons'!$A:$I,4,0)</f>
        <v>BJ PTS</v>
      </c>
      <c r="E42" s="598" t="s">
        <v>956</v>
      </c>
      <c r="F42" s="598">
        <v>84135718</v>
      </c>
      <c r="G42" s="599">
        <v>109222.628693529</v>
      </c>
      <c r="H42" s="599">
        <v>136580.81203402899</v>
      </c>
      <c r="I42" s="599">
        <v>151403.86329800799</v>
      </c>
      <c r="J42" s="599">
        <v>128530.91163943701</v>
      </c>
      <c r="K42" s="599">
        <v>129790.639021882</v>
      </c>
      <c r="L42" s="599">
        <v>166286.00623936701</v>
      </c>
      <c r="M42" s="599">
        <v>129346.87802428901</v>
      </c>
      <c r="N42" s="599">
        <v>137265.02791809701</v>
      </c>
      <c r="O42" s="599">
        <v>125166.28753936999</v>
      </c>
      <c r="P42" s="599">
        <v>131778.50257565401</v>
      </c>
      <c r="Q42" s="599">
        <v>121472.35663233099</v>
      </c>
      <c r="R42" s="599">
        <v>111624.011783797</v>
      </c>
      <c r="S42" s="169">
        <f t="shared" si="3"/>
        <v>1578467.9253997898</v>
      </c>
      <c r="T42" s="122">
        <f>VLOOKUP($B42,'Tech Litons'!$A:$I,9,0)</f>
        <v>240</v>
      </c>
      <c r="U42" s="179">
        <f t="shared" ref="U42:Z98" si="8">G42/$T42</f>
        <v>455.0942862230375</v>
      </c>
      <c r="V42" s="179">
        <f t="shared" si="8"/>
        <v>569.08671680845407</v>
      </c>
      <c r="W42" s="179">
        <f t="shared" si="8"/>
        <v>630.84943040836663</v>
      </c>
      <c r="X42" s="179">
        <f t="shared" si="7"/>
        <v>535.54546516432083</v>
      </c>
      <c r="Y42" s="179">
        <f t="shared" si="7"/>
        <v>540.7943292578417</v>
      </c>
      <c r="Z42" s="179">
        <f t="shared" si="7"/>
        <v>692.85835933069586</v>
      </c>
      <c r="AA42" s="179">
        <f t="shared" si="7"/>
        <v>538.94532510120416</v>
      </c>
      <c r="AB42" s="179">
        <f t="shared" si="7"/>
        <v>571.93761632540418</v>
      </c>
      <c r="AC42" s="179">
        <f t="shared" si="7"/>
        <v>521.52619808070835</v>
      </c>
      <c r="AD42" s="179">
        <f t="shared" si="7"/>
        <v>549.07709406522508</v>
      </c>
      <c r="AE42" s="179">
        <f t="shared" si="7"/>
        <v>506.13481930137914</v>
      </c>
      <c r="AF42" s="179">
        <f t="shared" si="7"/>
        <v>465.10004909915421</v>
      </c>
    </row>
    <row r="43" spans="2:32">
      <c r="B43" s="122">
        <f t="shared" si="6"/>
        <v>69677917</v>
      </c>
      <c r="C43" s="122" t="e">
        <f>VLOOKUP($B43,'Tech Litons'!$A:$I,3,0)</f>
        <v>#N/A</v>
      </c>
      <c r="D43" s="122" t="e">
        <f>VLOOKUP($B43,'Tech Litons'!$A:$I,4,0)</f>
        <v>#N/A</v>
      </c>
      <c r="E43" s="598" t="s">
        <v>291</v>
      </c>
      <c r="F43" s="598">
        <v>69677917</v>
      </c>
      <c r="G43" s="599">
        <v>97699.285879097893</v>
      </c>
      <c r="H43" s="599">
        <v>113284.393282007</v>
      </c>
      <c r="I43" s="599">
        <v>100496.427893803</v>
      </c>
      <c r="J43" s="599">
        <v>137859.37180589599</v>
      </c>
      <c r="K43" s="599">
        <v>210543.70071876401</v>
      </c>
      <c r="L43" s="599">
        <v>175665.27623533801</v>
      </c>
      <c r="M43" s="599">
        <v>180732.053390466</v>
      </c>
      <c r="N43" s="599">
        <v>133547.32012069901</v>
      </c>
      <c r="O43" s="599">
        <v>104283.94800758301</v>
      </c>
      <c r="P43" s="599">
        <v>97328.599621264599</v>
      </c>
      <c r="Q43" s="599">
        <v>89467.492026180902</v>
      </c>
      <c r="R43" s="599">
        <v>85516.058798210404</v>
      </c>
      <c r="S43" s="169">
        <f t="shared" si="3"/>
        <v>1526423.9277793097</v>
      </c>
      <c r="T43" s="122" t="e">
        <f>VLOOKUP($B43,'Tech Litons'!$A:$I,9,0)</f>
        <v>#N/A</v>
      </c>
      <c r="U43" s="179" t="e">
        <f t="shared" si="8"/>
        <v>#N/A</v>
      </c>
      <c r="V43" s="179" t="e">
        <f t="shared" si="8"/>
        <v>#N/A</v>
      </c>
      <c r="W43" s="179" t="e">
        <f t="shared" si="8"/>
        <v>#N/A</v>
      </c>
      <c r="X43" s="179" t="e">
        <f t="shared" si="7"/>
        <v>#N/A</v>
      </c>
      <c r="Y43" s="179" t="e">
        <f t="shared" si="7"/>
        <v>#N/A</v>
      </c>
      <c r="Z43" s="179" t="e">
        <f t="shared" si="7"/>
        <v>#N/A</v>
      </c>
      <c r="AA43" s="179" t="e">
        <f t="shared" si="7"/>
        <v>#N/A</v>
      </c>
      <c r="AB43" s="179" t="e">
        <f t="shared" si="7"/>
        <v>#N/A</v>
      </c>
      <c r="AC43" s="179" t="e">
        <f t="shared" si="7"/>
        <v>#N/A</v>
      </c>
      <c r="AD43" s="179" t="e">
        <f t="shared" si="7"/>
        <v>#N/A</v>
      </c>
      <c r="AE43" s="179" t="e">
        <f t="shared" si="7"/>
        <v>#N/A</v>
      </c>
      <c r="AF43" s="179" t="e">
        <f t="shared" si="7"/>
        <v>#N/A</v>
      </c>
    </row>
    <row r="44" spans="2:32">
      <c r="B44" s="122">
        <f t="shared" si="6"/>
        <v>68850683</v>
      </c>
      <c r="C44" s="122" t="str">
        <f>VLOOKUP($B44,'Tech Litons'!$A:$I,3,0)</f>
        <v>48oz</v>
      </c>
      <c r="D44" s="122" t="str">
        <f>VLOOKUP($B44,'Tech Litons'!$A:$I,4,0)</f>
        <v>48oz</v>
      </c>
      <c r="E44" s="598" t="s">
        <v>1001</v>
      </c>
      <c r="F44" s="598">
        <v>68850683</v>
      </c>
      <c r="G44" s="599">
        <v>106160.887589369</v>
      </c>
      <c r="H44" s="599">
        <v>109759.211373887</v>
      </c>
      <c r="I44" s="599">
        <v>129548.394574659</v>
      </c>
      <c r="J44" s="599">
        <v>145007.038645261</v>
      </c>
      <c r="K44" s="599">
        <v>117484.463815137</v>
      </c>
      <c r="L44" s="599">
        <v>145714.924112743</v>
      </c>
      <c r="M44" s="599">
        <v>129586.624343926</v>
      </c>
      <c r="N44" s="599">
        <v>118096.98432560801</v>
      </c>
      <c r="O44" s="599">
        <v>96074.048011406005</v>
      </c>
      <c r="P44" s="599">
        <v>118277.530597071</v>
      </c>
      <c r="Q44" s="599">
        <v>128893.153643642</v>
      </c>
      <c r="R44" s="599">
        <v>110756.758680144</v>
      </c>
      <c r="S44" s="169">
        <f t="shared" si="3"/>
        <v>1455360.0197128532</v>
      </c>
      <c r="T44" s="122">
        <f>VLOOKUP($B44,'Tech Litons'!$A:$I,9,0)</f>
        <v>176</v>
      </c>
      <c r="U44" s="179">
        <f t="shared" si="8"/>
        <v>603.18686130323294</v>
      </c>
      <c r="V44" s="179">
        <f t="shared" si="8"/>
        <v>623.63188280617612</v>
      </c>
      <c r="W44" s="179">
        <f t="shared" si="8"/>
        <v>736.07042371965338</v>
      </c>
      <c r="X44" s="179">
        <f t="shared" si="7"/>
        <v>823.90362866625571</v>
      </c>
      <c r="Y44" s="179">
        <f t="shared" si="7"/>
        <v>667.52536258600571</v>
      </c>
      <c r="Z44" s="179">
        <f t="shared" si="7"/>
        <v>827.92570518603975</v>
      </c>
      <c r="AA44" s="179">
        <f t="shared" si="7"/>
        <v>736.28763831776132</v>
      </c>
      <c r="AB44" s="179">
        <f t="shared" si="7"/>
        <v>671.00559275913645</v>
      </c>
      <c r="AC44" s="179">
        <f t="shared" si="7"/>
        <v>545.87527279207961</v>
      </c>
      <c r="AD44" s="179">
        <f t="shared" si="7"/>
        <v>672.03142384699436</v>
      </c>
      <c r="AE44" s="179">
        <f t="shared" si="7"/>
        <v>732.3474638843295</v>
      </c>
      <c r="AF44" s="179">
        <f t="shared" si="7"/>
        <v>629.29976522809091</v>
      </c>
    </row>
    <row r="45" spans="2:32">
      <c r="B45" s="122">
        <f t="shared" si="6"/>
        <v>68851109</v>
      </c>
      <c r="C45" s="122" t="str">
        <f>VLOOKUP($B45,'Tech Litons'!$A:$I,3,0)</f>
        <v>48oz</v>
      </c>
      <c r="D45" s="122" t="str">
        <f>VLOOKUP($B45,'Tech Litons'!$A:$I,4,0)</f>
        <v>48oz</v>
      </c>
      <c r="E45" s="598" t="s">
        <v>993</v>
      </c>
      <c r="F45" s="598">
        <v>68851109</v>
      </c>
      <c r="G45" s="599">
        <v>99347.696940629001</v>
      </c>
      <c r="H45" s="599">
        <v>107750.531069609</v>
      </c>
      <c r="I45" s="599">
        <v>134889.325783787</v>
      </c>
      <c r="J45" s="599">
        <v>137002.02213682799</v>
      </c>
      <c r="K45" s="599">
        <v>121877.44331270301</v>
      </c>
      <c r="L45" s="599">
        <v>148273.30516030401</v>
      </c>
      <c r="M45" s="599">
        <v>120659.12305608499</v>
      </c>
      <c r="N45" s="599">
        <v>113070.83752603699</v>
      </c>
      <c r="O45" s="599">
        <v>95963.900537753201</v>
      </c>
      <c r="P45" s="599">
        <v>104634.920956687</v>
      </c>
      <c r="Q45" s="599">
        <v>111710.071359325</v>
      </c>
      <c r="R45" s="599">
        <v>98609.942024375006</v>
      </c>
      <c r="S45" s="169">
        <f t="shared" si="3"/>
        <v>1393789.1198641222</v>
      </c>
      <c r="T45" s="122">
        <f>VLOOKUP($B45,'Tech Litons'!$A:$I,9,0)</f>
        <v>154</v>
      </c>
      <c r="U45" s="179">
        <f t="shared" si="8"/>
        <v>645.11491519888966</v>
      </c>
      <c r="V45" s="179">
        <f t="shared" si="8"/>
        <v>699.67877317927923</v>
      </c>
      <c r="W45" s="179">
        <f t="shared" si="8"/>
        <v>875.90471288173376</v>
      </c>
      <c r="X45" s="179">
        <f t="shared" si="7"/>
        <v>889.62352036901291</v>
      </c>
      <c r="Y45" s="179">
        <f t="shared" si="7"/>
        <v>791.41196956300655</v>
      </c>
      <c r="Z45" s="179">
        <f t="shared" si="7"/>
        <v>962.8136698721039</v>
      </c>
      <c r="AA45" s="179">
        <f t="shared" si="7"/>
        <v>783.50079906548694</v>
      </c>
      <c r="AB45" s="179">
        <f t="shared" si="7"/>
        <v>734.22621770153887</v>
      </c>
      <c r="AC45" s="179">
        <f t="shared" si="7"/>
        <v>623.14221128411168</v>
      </c>
      <c r="AD45" s="179">
        <f t="shared" si="7"/>
        <v>679.44753867978568</v>
      </c>
      <c r="AE45" s="179">
        <f t="shared" si="7"/>
        <v>725.39007376185066</v>
      </c>
      <c r="AF45" s="179">
        <f t="shared" si="7"/>
        <v>640.32429885957799</v>
      </c>
    </row>
    <row r="46" spans="2:32">
      <c r="B46" s="122">
        <f t="shared" si="6"/>
        <v>64376316</v>
      </c>
      <c r="C46" s="122" t="str">
        <f>VLOOKUP($B46,'Tech Litons'!$A:$I,3,0)</f>
        <v>Yasso Club</v>
      </c>
      <c r="D46" s="122" t="str">
        <f>VLOOKUP($B46,'Tech Litons'!$A:$I,4,0)</f>
        <v>Yasso Club</v>
      </c>
      <c r="E46" s="598" t="s">
        <v>565</v>
      </c>
      <c r="F46" s="598">
        <v>64376316</v>
      </c>
      <c r="G46" s="599">
        <v>151920</v>
      </c>
      <c r="H46" s="599">
        <v>548640</v>
      </c>
      <c r="I46" s="599">
        <v>563989</v>
      </c>
      <c r="J46" s="599">
        <v>0</v>
      </c>
      <c r="K46" s="599">
        <v>0</v>
      </c>
      <c r="L46" s="599">
        <v>0</v>
      </c>
      <c r="M46" s="599">
        <v>0</v>
      </c>
      <c r="N46" s="599">
        <v>72000</v>
      </c>
      <c r="O46" s="599">
        <v>0</v>
      </c>
      <c r="P46" s="599">
        <v>0</v>
      </c>
      <c r="Q46" s="599">
        <v>0</v>
      </c>
      <c r="R46" s="599">
        <v>0</v>
      </c>
      <c r="S46" s="169">
        <f t="shared" si="3"/>
        <v>1336549</v>
      </c>
      <c r="T46" s="122">
        <f>VLOOKUP($B46,'Tech Litons'!$A:$I,9,0)</f>
        <v>240</v>
      </c>
      <c r="U46" s="179">
        <f t="shared" si="8"/>
        <v>633</v>
      </c>
      <c r="V46" s="179">
        <f t="shared" si="8"/>
        <v>2286</v>
      </c>
      <c r="W46" s="179">
        <f t="shared" si="8"/>
        <v>2349.9541666666669</v>
      </c>
      <c r="X46" s="179">
        <f t="shared" si="7"/>
        <v>0</v>
      </c>
      <c r="Y46" s="179">
        <f t="shared" si="7"/>
        <v>0</v>
      </c>
      <c r="Z46" s="179">
        <f t="shared" si="7"/>
        <v>0</v>
      </c>
      <c r="AA46" s="179">
        <f t="shared" si="7"/>
        <v>0</v>
      </c>
      <c r="AB46" s="179">
        <f t="shared" si="7"/>
        <v>300</v>
      </c>
      <c r="AC46" s="179">
        <f t="shared" si="7"/>
        <v>0</v>
      </c>
      <c r="AD46" s="179">
        <f t="shared" si="7"/>
        <v>0</v>
      </c>
      <c r="AE46" s="179">
        <f t="shared" si="7"/>
        <v>0</v>
      </c>
      <c r="AF46" s="179">
        <f t="shared" si="7"/>
        <v>0</v>
      </c>
    </row>
    <row r="47" spans="2:32">
      <c r="B47" s="122">
        <f t="shared" si="6"/>
        <v>67794169</v>
      </c>
      <c r="C47" s="122" t="str">
        <f>VLOOKUP($B47,'Tech Litons'!$A:$I,3,0)</f>
        <v>BJ PTS</v>
      </c>
      <c r="D47" s="122" t="str">
        <f>VLOOKUP($B47,'Tech Litons'!$A:$I,4,0)</f>
        <v>BJ PTS</v>
      </c>
      <c r="E47" s="598" t="s">
        <v>961</v>
      </c>
      <c r="F47" s="598">
        <v>67794169</v>
      </c>
      <c r="G47" s="599">
        <v>84112.795045795894</v>
      </c>
      <c r="H47" s="599">
        <v>111049.51770835801</v>
      </c>
      <c r="I47" s="599">
        <v>127575.406916255</v>
      </c>
      <c r="J47" s="599">
        <v>112628.969620313</v>
      </c>
      <c r="K47" s="599">
        <v>108643.874070398</v>
      </c>
      <c r="L47" s="599">
        <v>133407.11908472501</v>
      </c>
      <c r="M47" s="599">
        <v>109252.306822069</v>
      </c>
      <c r="N47" s="599">
        <v>115125.61071466601</v>
      </c>
      <c r="O47" s="599">
        <v>108954.708116322</v>
      </c>
      <c r="P47" s="599">
        <v>107606.060244742</v>
      </c>
      <c r="Q47" s="599">
        <v>101274.908813628</v>
      </c>
      <c r="R47" s="599">
        <v>89182.692149117996</v>
      </c>
      <c r="S47" s="169">
        <f t="shared" si="3"/>
        <v>1308813.96930639</v>
      </c>
      <c r="T47" s="122">
        <f>VLOOKUP($B47,'Tech Litons'!$A:$I,9,0)</f>
        <v>240</v>
      </c>
      <c r="U47" s="179">
        <f t="shared" si="8"/>
        <v>350.46997935748288</v>
      </c>
      <c r="V47" s="179">
        <f t="shared" si="8"/>
        <v>462.70632378482503</v>
      </c>
      <c r="W47" s="179">
        <f t="shared" si="8"/>
        <v>531.56419548439578</v>
      </c>
      <c r="X47" s="179">
        <f t="shared" si="7"/>
        <v>469.28737341797085</v>
      </c>
      <c r="Y47" s="179">
        <f t="shared" si="7"/>
        <v>452.68280862665836</v>
      </c>
      <c r="Z47" s="179">
        <f t="shared" si="7"/>
        <v>555.86299618635417</v>
      </c>
      <c r="AA47" s="179">
        <f t="shared" si="7"/>
        <v>455.21794509195416</v>
      </c>
      <c r="AB47" s="179">
        <f t="shared" si="7"/>
        <v>479.69004464444168</v>
      </c>
      <c r="AC47" s="179">
        <f t="shared" si="7"/>
        <v>453.97795048467498</v>
      </c>
      <c r="AD47" s="179">
        <f t="shared" si="7"/>
        <v>448.35858435309166</v>
      </c>
      <c r="AE47" s="179">
        <f t="shared" si="7"/>
        <v>421.97878672345001</v>
      </c>
      <c r="AF47" s="179">
        <f t="shared" si="7"/>
        <v>371.59455062132497</v>
      </c>
    </row>
    <row r="48" spans="2:32">
      <c r="B48" s="122">
        <f t="shared" si="6"/>
        <v>68922108</v>
      </c>
      <c r="C48" s="122" t="str">
        <f>VLOOKUP($B48,'Tech Litons'!$A:$I,3,0)</f>
        <v>TALENTI</v>
      </c>
      <c r="D48" s="122" t="str">
        <f>VLOOKUP($B48,'Tech Litons'!$A:$I,4,0)</f>
        <v>TALENTI</v>
      </c>
      <c r="E48" s="598" t="s">
        <v>970</v>
      </c>
      <c r="F48" s="598">
        <v>68922108</v>
      </c>
      <c r="G48" s="599">
        <v>94803.012276850204</v>
      </c>
      <c r="H48" s="599">
        <v>95299.439826243004</v>
      </c>
      <c r="I48" s="599">
        <v>101902.295850119</v>
      </c>
      <c r="J48" s="599">
        <v>105956.169013217</v>
      </c>
      <c r="K48" s="599">
        <v>117158.37012281601</v>
      </c>
      <c r="L48" s="599">
        <v>125565.29810043699</v>
      </c>
      <c r="M48" s="599">
        <v>106460.979882999</v>
      </c>
      <c r="N48" s="599">
        <v>104469.987236174</v>
      </c>
      <c r="O48" s="599">
        <v>95763.961102115602</v>
      </c>
      <c r="P48" s="599">
        <v>96958.416521794599</v>
      </c>
      <c r="Q48" s="599">
        <v>81459.665204922305</v>
      </c>
      <c r="R48" s="599">
        <v>77296.740538370694</v>
      </c>
      <c r="S48" s="169">
        <f t="shared" si="3"/>
        <v>1203094.3356760584</v>
      </c>
      <c r="T48" s="122">
        <f>VLOOKUP($B48,'Tech Litons'!$A:$I,9,0)</f>
        <v>255</v>
      </c>
      <c r="U48" s="179">
        <f t="shared" si="8"/>
        <v>371.7765187327459</v>
      </c>
      <c r="V48" s="179">
        <f t="shared" si="8"/>
        <v>373.72329343624705</v>
      </c>
      <c r="W48" s="179">
        <f t="shared" si="8"/>
        <v>399.61684647105488</v>
      </c>
      <c r="X48" s="179">
        <f t="shared" si="7"/>
        <v>415.51438828712548</v>
      </c>
      <c r="Y48" s="179">
        <f t="shared" si="7"/>
        <v>459.44458871692552</v>
      </c>
      <c r="Z48" s="179">
        <f t="shared" si="7"/>
        <v>492.41293372720389</v>
      </c>
      <c r="AA48" s="179">
        <f t="shared" si="7"/>
        <v>417.49403875685886</v>
      </c>
      <c r="AB48" s="179">
        <f t="shared" si="7"/>
        <v>409.68622445558429</v>
      </c>
      <c r="AC48" s="179">
        <f t="shared" si="7"/>
        <v>375.54494549849255</v>
      </c>
      <c r="AD48" s="179">
        <f t="shared" si="7"/>
        <v>380.22908439919451</v>
      </c>
      <c r="AE48" s="179">
        <f t="shared" si="7"/>
        <v>319.44966747028354</v>
      </c>
      <c r="AF48" s="179">
        <f t="shared" si="7"/>
        <v>303.12447269949291</v>
      </c>
    </row>
    <row r="49" spans="2:32">
      <c r="B49" s="122">
        <f t="shared" si="6"/>
        <v>68881270</v>
      </c>
      <c r="C49" s="122" t="str">
        <f>VLOOKUP($B49,'Tech Litons'!$A:$I,3,0)</f>
        <v>48oz</v>
      </c>
      <c r="D49" s="122" t="str">
        <f>VLOOKUP($B49,'Tech Litons'!$A:$I,4,0)</f>
        <v>48oz</v>
      </c>
      <c r="E49" s="598" t="s">
        <v>994</v>
      </c>
      <c r="F49" s="598">
        <v>68881270</v>
      </c>
      <c r="G49" s="599">
        <v>81035.851840333606</v>
      </c>
      <c r="H49" s="599">
        <v>85472.239737087395</v>
      </c>
      <c r="I49" s="599">
        <v>104229.26062545201</v>
      </c>
      <c r="J49" s="599">
        <v>131401.303440741</v>
      </c>
      <c r="K49" s="599">
        <v>109751.848451852</v>
      </c>
      <c r="L49" s="599">
        <v>124232.254927492</v>
      </c>
      <c r="M49" s="599">
        <v>103288.269668151</v>
      </c>
      <c r="N49" s="599">
        <v>99088.192624493604</v>
      </c>
      <c r="O49" s="599">
        <v>76710.229716715898</v>
      </c>
      <c r="P49" s="599">
        <v>83013.919724089094</v>
      </c>
      <c r="Q49" s="599">
        <v>88261.734223352396</v>
      </c>
      <c r="R49" s="599">
        <v>77030.080141231796</v>
      </c>
      <c r="S49" s="169">
        <f t="shared" si="3"/>
        <v>1163515.1851209919</v>
      </c>
      <c r="T49" s="122">
        <f>VLOOKUP($B49,'Tech Litons'!$A:$I,9,0)</f>
        <v>176</v>
      </c>
      <c r="U49" s="179">
        <f t="shared" si="8"/>
        <v>460.43097636553188</v>
      </c>
      <c r="V49" s="179">
        <f t="shared" si="8"/>
        <v>485.63772577890563</v>
      </c>
      <c r="W49" s="179">
        <f t="shared" si="8"/>
        <v>592.21170809915918</v>
      </c>
      <c r="X49" s="179">
        <f t="shared" si="7"/>
        <v>746.59831500421024</v>
      </c>
      <c r="Y49" s="179">
        <f t="shared" si="7"/>
        <v>623.59004802188633</v>
      </c>
      <c r="Z49" s="179">
        <f t="shared" si="7"/>
        <v>705.86508481529552</v>
      </c>
      <c r="AA49" s="179">
        <f t="shared" si="7"/>
        <v>586.86516856903972</v>
      </c>
      <c r="AB49" s="179">
        <f t="shared" si="7"/>
        <v>563.00109445735006</v>
      </c>
      <c r="AC49" s="179">
        <f t="shared" si="7"/>
        <v>435.85357793588577</v>
      </c>
      <c r="AD49" s="179">
        <f t="shared" si="7"/>
        <v>471.66999843232441</v>
      </c>
      <c r="AE49" s="179">
        <f t="shared" si="7"/>
        <v>501.48712626904768</v>
      </c>
      <c r="AF49" s="179">
        <f t="shared" si="7"/>
        <v>437.67090989336248</v>
      </c>
    </row>
    <row r="50" spans="2:32">
      <c r="B50" s="122">
        <f t="shared" si="6"/>
        <v>64325572</v>
      </c>
      <c r="C50" s="122" t="str">
        <f>VLOOKUP($B50,'Tech Litons'!$A:$I,3,0)</f>
        <v>Yasso Sticks</v>
      </c>
      <c r="D50" s="122" t="str">
        <f>VLOOKUP($B50,'Tech Litons'!$A:$I,4,0)</f>
        <v>Yasso Sticks</v>
      </c>
      <c r="E50" s="598" t="s">
        <v>590</v>
      </c>
      <c r="F50" s="598">
        <v>64325572</v>
      </c>
      <c r="G50" s="599">
        <v>62050.697905245899</v>
      </c>
      <c r="H50" s="599">
        <v>64543.913358481703</v>
      </c>
      <c r="I50" s="599">
        <v>103026.319509141</v>
      </c>
      <c r="J50" s="599">
        <v>93265.722510763095</v>
      </c>
      <c r="K50" s="599">
        <v>109034.50986253801</v>
      </c>
      <c r="L50" s="599">
        <v>107236.884683531</v>
      </c>
      <c r="M50" s="599">
        <v>126788.738515198</v>
      </c>
      <c r="N50" s="599">
        <v>113877.214258725</v>
      </c>
      <c r="O50" s="599">
        <v>110227.33447757601</v>
      </c>
      <c r="P50" s="599">
        <v>94352.1505830612</v>
      </c>
      <c r="Q50" s="599">
        <v>89390.662230893999</v>
      </c>
      <c r="R50" s="599">
        <v>78040.2418980082</v>
      </c>
      <c r="S50" s="169">
        <f t="shared" si="3"/>
        <v>1151834.3897931629</v>
      </c>
      <c r="T50" s="122">
        <f>VLOOKUP($B50,'Tech Litons'!$A:$I,9,0)</f>
        <v>187</v>
      </c>
      <c r="U50" s="179">
        <f t="shared" si="8"/>
        <v>331.82191393179625</v>
      </c>
      <c r="V50" s="179">
        <f t="shared" si="8"/>
        <v>345.15461689027649</v>
      </c>
      <c r="W50" s="179">
        <f t="shared" si="8"/>
        <v>550.94288507562032</v>
      </c>
      <c r="X50" s="179">
        <f t="shared" si="7"/>
        <v>498.74717920194166</v>
      </c>
      <c r="Y50" s="179">
        <f t="shared" si="7"/>
        <v>583.07224525421395</v>
      </c>
      <c r="Z50" s="179">
        <f t="shared" si="7"/>
        <v>573.45927638251874</v>
      </c>
      <c r="AA50" s="179">
        <f t="shared" si="7"/>
        <v>678.0146444662995</v>
      </c>
      <c r="AB50" s="179">
        <f t="shared" si="7"/>
        <v>608.96906020708559</v>
      </c>
      <c r="AC50" s="179">
        <f t="shared" si="7"/>
        <v>589.45098651110163</v>
      </c>
      <c r="AD50" s="179">
        <f t="shared" si="7"/>
        <v>504.55695498963206</v>
      </c>
      <c r="AE50" s="179">
        <f t="shared" si="7"/>
        <v>478.02493171601071</v>
      </c>
      <c r="AF50" s="179">
        <f t="shared" si="7"/>
        <v>417.3274967807925</v>
      </c>
    </row>
    <row r="51" spans="2:32">
      <c r="B51" s="122">
        <f t="shared" si="6"/>
        <v>69621212</v>
      </c>
      <c r="C51" s="122" t="e">
        <f>VLOOKUP($B51,'Tech Litons'!$A:$I,3,0)</f>
        <v>#N/A</v>
      </c>
      <c r="D51" s="122" t="e">
        <f>VLOOKUP($B51,'Tech Litons'!$A:$I,4,0)</f>
        <v>#N/A</v>
      </c>
      <c r="E51" s="598" t="s">
        <v>292</v>
      </c>
      <c r="F51" s="598">
        <v>69621212</v>
      </c>
      <c r="G51" s="599">
        <v>71299.736366872196</v>
      </c>
      <c r="H51" s="599">
        <v>70351.858511636703</v>
      </c>
      <c r="I51" s="599">
        <v>86424.472755505005</v>
      </c>
      <c r="J51" s="599">
        <v>95766.415524599506</v>
      </c>
      <c r="K51" s="599">
        <v>135263.028879839</v>
      </c>
      <c r="L51" s="599">
        <v>147783.57899706301</v>
      </c>
      <c r="M51" s="599">
        <v>144074.917147492</v>
      </c>
      <c r="N51" s="599">
        <v>108487.706728167</v>
      </c>
      <c r="O51" s="599">
        <v>73676.118562290605</v>
      </c>
      <c r="P51" s="599">
        <v>66714.555431469504</v>
      </c>
      <c r="Q51" s="599">
        <v>64667.5712498375</v>
      </c>
      <c r="R51" s="599">
        <v>68752.373472368607</v>
      </c>
      <c r="S51" s="169">
        <f t="shared" si="3"/>
        <v>1133262.3336271404</v>
      </c>
      <c r="T51" s="122" t="e">
        <f>VLOOKUP($B51,'Tech Litons'!$A:$I,9,0)</f>
        <v>#N/A</v>
      </c>
      <c r="U51" s="179" t="e">
        <f t="shared" si="8"/>
        <v>#N/A</v>
      </c>
      <c r="V51" s="179" t="e">
        <f t="shared" si="8"/>
        <v>#N/A</v>
      </c>
      <c r="W51" s="179" t="e">
        <f t="shared" si="8"/>
        <v>#N/A</v>
      </c>
      <c r="X51" s="179" t="e">
        <f t="shared" si="7"/>
        <v>#N/A</v>
      </c>
      <c r="Y51" s="179" t="e">
        <f t="shared" si="7"/>
        <v>#N/A</v>
      </c>
      <c r="Z51" s="179" t="e">
        <f t="shared" si="7"/>
        <v>#N/A</v>
      </c>
      <c r="AA51" s="179" t="e">
        <f t="shared" si="7"/>
        <v>#N/A</v>
      </c>
      <c r="AB51" s="179" t="e">
        <f t="shared" si="7"/>
        <v>#N/A</v>
      </c>
      <c r="AC51" s="179" t="e">
        <f t="shared" si="7"/>
        <v>#N/A</v>
      </c>
      <c r="AD51" s="179" t="e">
        <f t="shared" si="7"/>
        <v>#N/A</v>
      </c>
      <c r="AE51" s="179" t="e">
        <f t="shared" si="7"/>
        <v>#N/A</v>
      </c>
      <c r="AF51" s="179" t="e">
        <f t="shared" si="7"/>
        <v>#N/A</v>
      </c>
    </row>
    <row r="52" spans="2:32">
      <c r="B52" s="122">
        <f t="shared" si="6"/>
        <v>84138391</v>
      </c>
      <c r="C52" s="122" t="str">
        <f>VLOOKUP($B52,'Tech Litons'!$A:$I,3,0)</f>
        <v>BJ PTS</v>
      </c>
      <c r="D52" s="122" t="str">
        <f>VLOOKUP($B52,'Tech Litons'!$A:$I,4,0)</f>
        <v>BJ PTS</v>
      </c>
      <c r="E52" s="598" t="s">
        <v>949</v>
      </c>
      <c r="F52" s="598">
        <v>84138391</v>
      </c>
      <c r="G52" s="599">
        <v>69914.465932890103</v>
      </c>
      <c r="H52" s="599">
        <v>99523.514541704193</v>
      </c>
      <c r="I52" s="599">
        <v>107676.496060138</v>
      </c>
      <c r="J52" s="599">
        <v>95141.877025248599</v>
      </c>
      <c r="K52" s="599">
        <v>92368.653695572997</v>
      </c>
      <c r="L52" s="599">
        <v>119466.49251359999</v>
      </c>
      <c r="M52" s="599">
        <v>93744.699213803295</v>
      </c>
      <c r="N52" s="599">
        <v>100884.626622451</v>
      </c>
      <c r="O52" s="599">
        <v>92949.423368534699</v>
      </c>
      <c r="P52" s="599">
        <v>92559.555096694006</v>
      </c>
      <c r="Q52" s="599">
        <v>85887.751302441902</v>
      </c>
      <c r="R52" s="599">
        <v>74680.041395420398</v>
      </c>
      <c r="S52" s="169">
        <f t="shared" si="3"/>
        <v>1124797.5967684991</v>
      </c>
      <c r="T52" s="122">
        <f>VLOOKUP($B52,'Tech Litons'!$A:$I,9,0)</f>
        <v>240</v>
      </c>
      <c r="U52" s="179">
        <f t="shared" si="8"/>
        <v>291.31027472037545</v>
      </c>
      <c r="V52" s="179">
        <f t="shared" si="8"/>
        <v>414.68131059043412</v>
      </c>
      <c r="W52" s="179">
        <f t="shared" si="8"/>
        <v>448.65206691724165</v>
      </c>
      <c r="X52" s="179">
        <f t="shared" si="7"/>
        <v>396.4244876052025</v>
      </c>
      <c r="Y52" s="179">
        <f t="shared" si="7"/>
        <v>384.86939039822084</v>
      </c>
      <c r="Z52" s="179">
        <f t="shared" si="7"/>
        <v>497.77705213999997</v>
      </c>
      <c r="AA52" s="179">
        <f t="shared" si="7"/>
        <v>390.60291339084705</v>
      </c>
      <c r="AB52" s="179">
        <f t="shared" si="7"/>
        <v>420.35261092687921</v>
      </c>
      <c r="AC52" s="179">
        <f t="shared" si="7"/>
        <v>387.28926403556125</v>
      </c>
      <c r="AD52" s="179">
        <f t="shared" si="7"/>
        <v>385.6648129028917</v>
      </c>
      <c r="AE52" s="179">
        <f t="shared" si="7"/>
        <v>357.86563042684128</v>
      </c>
      <c r="AF52" s="179">
        <f t="shared" si="7"/>
        <v>311.16683914758499</v>
      </c>
    </row>
    <row r="53" spans="2:32">
      <c r="B53" s="122">
        <f t="shared" si="6"/>
        <v>64324874</v>
      </c>
      <c r="C53" s="122" t="str">
        <f>VLOOKUP($B53,'Tech Litons'!$A:$I,3,0)</f>
        <v>Yasso Sticks</v>
      </c>
      <c r="D53" s="122" t="str">
        <f>VLOOKUP($B53,'Tech Litons'!$A:$I,4,0)</f>
        <v>Yasso Sticks</v>
      </c>
      <c r="E53" s="598" t="s">
        <v>235</v>
      </c>
      <c r="F53" s="598">
        <v>64324874</v>
      </c>
      <c r="G53" s="599">
        <v>59701.991163004401</v>
      </c>
      <c r="H53" s="599">
        <v>79514.292526137899</v>
      </c>
      <c r="I53" s="599">
        <v>82492.330912151403</v>
      </c>
      <c r="J53" s="599">
        <v>89920.728097647196</v>
      </c>
      <c r="K53" s="599">
        <v>113199.187217454</v>
      </c>
      <c r="L53" s="599">
        <v>117909.509536232</v>
      </c>
      <c r="M53" s="599">
        <v>129134.72344670699</v>
      </c>
      <c r="N53" s="599">
        <v>115916.109684764</v>
      </c>
      <c r="O53" s="599">
        <v>95198.822924173495</v>
      </c>
      <c r="P53" s="599">
        <v>83031.665684355394</v>
      </c>
      <c r="Q53" s="599">
        <v>77991.549263965193</v>
      </c>
      <c r="R53" s="599">
        <v>76697.256815382294</v>
      </c>
      <c r="S53" s="169">
        <f t="shared" si="3"/>
        <v>1120708.1672719745</v>
      </c>
      <c r="T53" s="122">
        <f>VLOOKUP($B53,'Tech Litons'!$A:$I,9,0)</f>
        <v>187</v>
      </c>
      <c r="U53" s="179">
        <f t="shared" si="8"/>
        <v>319.26198482890055</v>
      </c>
      <c r="V53" s="179">
        <f t="shared" si="8"/>
        <v>425.21012046063049</v>
      </c>
      <c r="W53" s="179">
        <f t="shared" si="8"/>
        <v>441.13545942326954</v>
      </c>
      <c r="X53" s="179">
        <f t="shared" si="7"/>
        <v>480.85950854356787</v>
      </c>
      <c r="Y53" s="179">
        <f t="shared" si="7"/>
        <v>605.34324715216042</v>
      </c>
      <c r="Z53" s="179">
        <f t="shared" si="7"/>
        <v>630.53213655739034</v>
      </c>
      <c r="AA53" s="179">
        <f t="shared" si="7"/>
        <v>690.56001843158822</v>
      </c>
      <c r="AB53" s="179">
        <f t="shared" si="7"/>
        <v>619.87224430355081</v>
      </c>
      <c r="AC53" s="179">
        <f t="shared" si="7"/>
        <v>509.08461456777269</v>
      </c>
      <c r="AD53" s="179">
        <f t="shared" si="7"/>
        <v>444.01960259013578</v>
      </c>
      <c r="AE53" s="179">
        <f t="shared" si="7"/>
        <v>417.06710836345025</v>
      </c>
      <c r="AF53" s="179">
        <f t="shared" si="7"/>
        <v>410.14575837102831</v>
      </c>
    </row>
    <row r="54" spans="2:32">
      <c r="B54" s="122">
        <f t="shared" si="6"/>
        <v>67465063</v>
      </c>
      <c r="C54" s="122" t="e">
        <f>VLOOKUP($B54,'Tech Litons'!$A:$I,3,0)</f>
        <v>#N/A</v>
      </c>
      <c r="D54" s="122" t="e">
        <f>VLOOKUP($B54,'Tech Litons'!$A:$I,4,0)</f>
        <v>#N/A</v>
      </c>
      <c r="E54" s="598" t="s">
        <v>981</v>
      </c>
      <c r="F54" s="598">
        <v>67465063</v>
      </c>
      <c r="G54" s="600">
        <v>64975.878248704597</v>
      </c>
      <c r="H54" s="599">
        <v>81573.830599320005</v>
      </c>
      <c r="I54" s="599">
        <v>79672.200038422307</v>
      </c>
      <c r="J54" s="599">
        <v>86008.1487641438</v>
      </c>
      <c r="K54" s="599">
        <v>141247.36337919001</v>
      </c>
      <c r="L54" s="599">
        <v>121877.355662357</v>
      </c>
      <c r="M54" s="599">
        <v>127847.81478221199</v>
      </c>
      <c r="N54" s="599">
        <v>102855.950024657</v>
      </c>
      <c r="O54" s="599">
        <v>72455.383908361997</v>
      </c>
      <c r="P54" s="599">
        <v>72982.941679870797</v>
      </c>
      <c r="Q54" s="599">
        <v>69072.765036630197</v>
      </c>
      <c r="R54" s="599">
        <v>69909.416019929704</v>
      </c>
      <c r="S54" s="169">
        <f t="shared" si="3"/>
        <v>1090479.0481437996</v>
      </c>
      <c r="T54" s="122" t="e">
        <f>VLOOKUP($B54,'Tech Litons'!$A:$I,9,0)</f>
        <v>#N/A</v>
      </c>
      <c r="U54" s="179" t="e">
        <f t="shared" si="8"/>
        <v>#N/A</v>
      </c>
      <c r="V54" s="179" t="e">
        <f t="shared" si="8"/>
        <v>#N/A</v>
      </c>
      <c r="W54" s="179" t="e">
        <f t="shared" si="8"/>
        <v>#N/A</v>
      </c>
      <c r="X54" s="179" t="e">
        <f t="shared" si="7"/>
        <v>#N/A</v>
      </c>
      <c r="Y54" s="179" t="e">
        <f t="shared" si="7"/>
        <v>#N/A</v>
      </c>
      <c r="Z54" s="179" t="e">
        <f t="shared" si="7"/>
        <v>#N/A</v>
      </c>
      <c r="AA54" s="179" t="e">
        <f t="shared" si="7"/>
        <v>#N/A</v>
      </c>
      <c r="AB54" s="179" t="e">
        <f t="shared" si="7"/>
        <v>#N/A</v>
      </c>
      <c r="AC54" s="179" t="e">
        <f t="shared" si="7"/>
        <v>#N/A</v>
      </c>
      <c r="AD54" s="179" t="e">
        <f t="shared" si="7"/>
        <v>#N/A</v>
      </c>
      <c r="AE54" s="179" t="e">
        <f t="shared" si="7"/>
        <v>#N/A</v>
      </c>
      <c r="AF54" s="179" t="e">
        <f t="shared" si="7"/>
        <v>#N/A</v>
      </c>
    </row>
    <row r="55" spans="2:32">
      <c r="B55" s="122">
        <f t="shared" si="6"/>
        <v>69572657</v>
      </c>
      <c r="C55" s="122" t="e">
        <f>VLOOKUP($B55,'Tech Litons'!$A:$I,3,0)</f>
        <v>#N/A</v>
      </c>
      <c r="D55" s="122" t="e">
        <f>VLOOKUP($B55,'Tech Litons'!$A:$I,4,0)</f>
        <v>#N/A</v>
      </c>
      <c r="E55" s="598" t="s">
        <v>916</v>
      </c>
      <c r="F55" s="598">
        <v>69572657</v>
      </c>
      <c r="G55" s="599">
        <v>70873.809682921201</v>
      </c>
      <c r="H55" s="599">
        <v>78108.349763146398</v>
      </c>
      <c r="I55" s="599">
        <v>90716.024934862406</v>
      </c>
      <c r="J55" s="599">
        <v>97514.680855304599</v>
      </c>
      <c r="K55" s="599">
        <v>124641.539914215</v>
      </c>
      <c r="L55" s="599">
        <v>104447.543215932</v>
      </c>
      <c r="M55" s="599">
        <v>108921.20313866501</v>
      </c>
      <c r="N55" s="599">
        <v>94888.239495686197</v>
      </c>
      <c r="O55" s="599">
        <v>78545.9988130001</v>
      </c>
      <c r="P55" s="599">
        <v>88956.157543065303</v>
      </c>
      <c r="Q55" s="599">
        <v>60764.8847167602</v>
      </c>
      <c r="R55" s="599">
        <v>60421.1922476908</v>
      </c>
      <c r="S55" s="169">
        <f t="shared" si="3"/>
        <v>1058799.6243212491</v>
      </c>
      <c r="T55" s="122" t="e">
        <f>VLOOKUP($B55,'Tech Litons'!$A:$I,9,0)</f>
        <v>#N/A</v>
      </c>
      <c r="U55" s="179" t="e">
        <f t="shared" si="8"/>
        <v>#N/A</v>
      </c>
      <c r="V55" s="179" t="e">
        <f t="shared" si="8"/>
        <v>#N/A</v>
      </c>
      <c r="W55" s="179" t="e">
        <f t="shared" si="8"/>
        <v>#N/A</v>
      </c>
      <c r="X55" s="179" t="e">
        <f t="shared" si="7"/>
        <v>#N/A</v>
      </c>
      <c r="Y55" s="179" t="e">
        <f t="shared" si="7"/>
        <v>#N/A</v>
      </c>
      <c r="Z55" s="179" t="e">
        <f t="shared" si="7"/>
        <v>#N/A</v>
      </c>
      <c r="AA55" s="179" t="e">
        <f t="shared" si="7"/>
        <v>#N/A</v>
      </c>
      <c r="AB55" s="179" t="e">
        <f t="shared" si="7"/>
        <v>#N/A</v>
      </c>
      <c r="AC55" s="179" t="e">
        <f t="shared" si="7"/>
        <v>#N/A</v>
      </c>
      <c r="AD55" s="179" t="e">
        <f t="shared" si="7"/>
        <v>#N/A</v>
      </c>
      <c r="AE55" s="179" t="e">
        <f t="shared" si="7"/>
        <v>#N/A</v>
      </c>
      <c r="AF55" s="179" t="e">
        <f t="shared" si="7"/>
        <v>#N/A</v>
      </c>
    </row>
    <row r="56" spans="2:32">
      <c r="B56" s="122">
        <f t="shared" si="6"/>
        <v>69704150</v>
      </c>
      <c r="C56" s="122" t="str">
        <f>VLOOKUP($B56,'Tech Litons'!$A:$I,3,0)</f>
        <v>Facepieces</v>
      </c>
      <c r="D56" s="122" t="str">
        <f>VLOOKUP($B56,'Tech Litons'!$A:$I,4,0)</f>
        <v>Facepieces</v>
      </c>
      <c r="E56" s="598" t="s">
        <v>615</v>
      </c>
      <c r="F56" s="598">
        <v>69704150</v>
      </c>
      <c r="G56" s="599">
        <v>38241.410103566399</v>
      </c>
      <c r="H56" s="599">
        <v>52237.902318328801</v>
      </c>
      <c r="I56" s="599">
        <v>112517.67172887</v>
      </c>
      <c r="J56" s="599">
        <v>113063.230555143</v>
      </c>
      <c r="K56" s="599">
        <v>118215.228995449</v>
      </c>
      <c r="L56" s="599">
        <v>135756.72265931001</v>
      </c>
      <c r="M56" s="599">
        <v>130385.60271124401</v>
      </c>
      <c r="N56" s="599">
        <v>98646.223748819801</v>
      </c>
      <c r="O56" s="599">
        <v>76159.096441116097</v>
      </c>
      <c r="P56" s="599">
        <v>59015.112834166699</v>
      </c>
      <c r="Q56" s="599">
        <v>47766.2978861214</v>
      </c>
      <c r="R56" s="599">
        <v>37261.315997838297</v>
      </c>
      <c r="S56" s="169">
        <f t="shared" si="3"/>
        <v>1019265.8159799735</v>
      </c>
      <c r="T56" s="122">
        <f>VLOOKUP($B56,'Tech Litons'!$A:$I,9,0)</f>
        <v>210</v>
      </c>
      <c r="U56" s="179">
        <f t="shared" si="8"/>
        <v>182.10195287412571</v>
      </c>
      <c r="V56" s="179">
        <f t="shared" si="8"/>
        <v>248.75191580156573</v>
      </c>
      <c r="W56" s="179">
        <f t="shared" si="8"/>
        <v>535.79843680414285</v>
      </c>
      <c r="X56" s="179">
        <f t="shared" si="7"/>
        <v>538.39633597687146</v>
      </c>
      <c r="Y56" s="179">
        <f t="shared" si="7"/>
        <v>562.92966188309049</v>
      </c>
      <c r="Z56" s="179">
        <f t="shared" si="7"/>
        <v>646.46058409195246</v>
      </c>
      <c r="AA56" s="179">
        <f t="shared" si="7"/>
        <v>620.8838224344953</v>
      </c>
      <c r="AB56" s="179">
        <f t="shared" si="7"/>
        <v>469.74392261342763</v>
      </c>
      <c r="AC56" s="179">
        <f t="shared" si="7"/>
        <v>362.66236400531477</v>
      </c>
      <c r="AD56" s="179">
        <f t="shared" si="7"/>
        <v>281.02434682936524</v>
      </c>
      <c r="AE56" s="179">
        <f t="shared" si="7"/>
        <v>227.45856136248287</v>
      </c>
      <c r="AF56" s="179">
        <f t="shared" si="7"/>
        <v>177.43483808494426</v>
      </c>
    </row>
    <row r="57" spans="2:32">
      <c r="B57" s="122">
        <f t="shared" si="6"/>
        <v>68726916</v>
      </c>
      <c r="C57" s="122" t="str">
        <f>VLOOKUP($B57,'Tech Litons'!$A:$I,3,0)</f>
        <v>TALENTI</v>
      </c>
      <c r="D57" s="122" t="str">
        <f>VLOOKUP($B57,'Tech Litons'!$A:$I,4,0)</f>
        <v>TALENTI</v>
      </c>
      <c r="E57" s="598" t="s">
        <v>969</v>
      </c>
      <c r="F57" s="598">
        <v>68726916</v>
      </c>
      <c r="G57" s="599">
        <v>81842.718347551199</v>
      </c>
      <c r="H57" s="599">
        <v>85399.036062471001</v>
      </c>
      <c r="I57" s="599">
        <v>87880.286233384802</v>
      </c>
      <c r="J57" s="599">
        <v>88235.588077488894</v>
      </c>
      <c r="K57" s="599">
        <v>97931.455130280505</v>
      </c>
      <c r="L57" s="599">
        <v>108630.003887791</v>
      </c>
      <c r="M57" s="599">
        <v>89893.565142583393</v>
      </c>
      <c r="N57" s="599">
        <v>87185.600581511797</v>
      </c>
      <c r="O57" s="599">
        <v>80917.388554602701</v>
      </c>
      <c r="P57" s="599">
        <v>78750.542434688003</v>
      </c>
      <c r="Q57" s="599">
        <v>66478.931759273502</v>
      </c>
      <c r="R57" s="599">
        <v>65332.477549617099</v>
      </c>
      <c r="S57" s="169">
        <f t="shared" si="3"/>
        <v>1018477.593761244</v>
      </c>
      <c r="T57" s="122">
        <f>VLOOKUP($B57,'Tech Litons'!$A:$I,9,0)</f>
        <v>255</v>
      </c>
      <c r="U57" s="179">
        <f t="shared" si="8"/>
        <v>320.95183665706355</v>
      </c>
      <c r="V57" s="179">
        <f t="shared" si="8"/>
        <v>334.89818063714119</v>
      </c>
      <c r="W57" s="179">
        <f t="shared" si="8"/>
        <v>344.62857346425415</v>
      </c>
      <c r="X57" s="179">
        <f t="shared" si="7"/>
        <v>346.02191402936819</v>
      </c>
      <c r="Y57" s="179">
        <f t="shared" si="7"/>
        <v>384.04492207953137</v>
      </c>
      <c r="Z57" s="179">
        <f t="shared" si="7"/>
        <v>426.00001524623923</v>
      </c>
      <c r="AA57" s="179">
        <f t="shared" si="7"/>
        <v>352.52378487287604</v>
      </c>
      <c r="AB57" s="179">
        <f t="shared" si="7"/>
        <v>341.90431600592859</v>
      </c>
      <c r="AC57" s="179">
        <f t="shared" si="7"/>
        <v>317.32309237099099</v>
      </c>
      <c r="AD57" s="179">
        <f t="shared" si="7"/>
        <v>308.82565660661965</v>
      </c>
      <c r="AE57" s="179">
        <f t="shared" si="7"/>
        <v>260.70169317362155</v>
      </c>
      <c r="AF57" s="179">
        <f t="shared" si="7"/>
        <v>256.20579431222393</v>
      </c>
    </row>
    <row r="58" spans="2:32">
      <c r="B58" s="122">
        <f t="shared" si="6"/>
        <v>64325510</v>
      </c>
      <c r="C58" s="122" t="str">
        <f>VLOOKUP($B58,'Tech Litons'!$A:$I,3,0)</f>
        <v>Yasso Sticks</v>
      </c>
      <c r="D58" s="122" t="str">
        <f>VLOOKUP($B58,'Tech Litons'!$A:$I,4,0)</f>
        <v>Yasso Sticks</v>
      </c>
      <c r="E58" s="598" t="s">
        <v>589</v>
      </c>
      <c r="F58" s="598">
        <v>64325510</v>
      </c>
      <c r="G58" s="599">
        <v>54150.210284952103</v>
      </c>
      <c r="H58" s="599">
        <v>67843.218094504497</v>
      </c>
      <c r="I58" s="599">
        <v>73136.801882843502</v>
      </c>
      <c r="J58" s="599">
        <v>84593.645721957495</v>
      </c>
      <c r="K58" s="599">
        <v>97286.994814024802</v>
      </c>
      <c r="L58" s="599">
        <v>100428.083045188</v>
      </c>
      <c r="M58" s="599">
        <v>116311.54295452801</v>
      </c>
      <c r="N58" s="599">
        <v>106555.38494156599</v>
      </c>
      <c r="O58" s="599">
        <v>93924.338940797301</v>
      </c>
      <c r="P58" s="599">
        <v>76029.155826440605</v>
      </c>
      <c r="Q58" s="599">
        <v>68959.634270287395</v>
      </c>
      <c r="R58" s="599">
        <v>69304.512534219699</v>
      </c>
      <c r="S58" s="169">
        <f t="shared" si="3"/>
        <v>1008523.5233113094</v>
      </c>
      <c r="T58" s="122">
        <f>VLOOKUP($B58,'Tech Litons'!$A:$I,9,0)</f>
        <v>187</v>
      </c>
      <c r="U58" s="179">
        <f t="shared" si="8"/>
        <v>289.57331703182945</v>
      </c>
      <c r="V58" s="179">
        <f t="shared" si="8"/>
        <v>362.79795772462296</v>
      </c>
      <c r="W58" s="179">
        <f t="shared" si="8"/>
        <v>391.10589242162303</v>
      </c>
      <c r="X58" s="179">
        <f t="shared" si="7"/>
        <v>452.37243701581548</v>
      </c>
      <c r="Y58" s="179">
        <f t="shared" si="7"/>
        <v>520.25130916590808</v>
      </c>
      <c r="Z58" s="179">
        <f t="shared" si="7"/>
        <v>537.04857243416041</v>
      </c>
      <c r="AA58" s="179">
        <f t="shared" si="7"/>
        <v>621.98686071940108</v>
      </c>
      <c r="AB58" s="179">
        <f t="shared" si="7"/>
        <v>569.81489273564705</v>
      </c>
      <c r="AC58" s="179">
        <f t="shared" si="7"/>
        <v>502.269192196777</v>
      </c>
      <c r="AD58" s="179">
        <f t="shared" si="7"/>
        <v>406.57302580984282</v>
      </c>
      <c r="AE58" s="179">
        <f t="shared" si="7"/>
        <v>368.76809770207166</v>
      </c>
      <c r="AF58" s="179">
        <f t="shared" si="7"/>
        <v>370.61236649315344</v>
      </c>
    </row>
    <row r="59" spans="2:32">
      <c r="B59" s="122">
        <f t="shared" si="6"/>
        <v>68871168</v>
      </c>
      <c r="C59" s="122" t="e">
        <f>VLOOKUP($B59,'Tech Litons'!$A:$I,3,0)</f>
        <v>#N/A</v>
      </c>
      <c r="D59" s="122" t="e">
        <f>VLOOKUP($B59,'Tech Litons'!$A:$I,4,0)</f>
        <v>#N/A</v>
      </c>
      <c r="E59" s="598" t="s">
        <v>985</v>
      </c>
      <c r="F59" s="598">
        <v>68871168</v>
      </c>
      <c r="G59" s="599">
        <v>73149.779999999897</v>
      </c>
      <c r="H59" s="599">
        <v>64467.19</v>
      </c>
      <c r="I59" s="599">
        <v>88978.240000000005</v>
      </c>
      <c r="J59" s="599">
        <v>83860.91</v>
      </c>
      <c r="K59" s="599">
        <v>119551.15</v>
      </c>
      <c r="L59" s="599">
        <v>136879.91</v>
      </c>
      <c r="M59" s="599">
        <v>89888.219999999899</v>
      </c>
      <c r="N59" s="599">
        <v>81419.53</v>
      </c>
      <c r="O59" s="599">
        <v>74823.509999999995</v>
      </c>
      <c r="P59" s="599">
        <v>69836.259999999995</v>
      </c>
      <c r="Q59" s="599">
        <v>62950.79</v>
      </c>
      <c r="R59" s="599">
        <v>54387.3</v>
      </c>
      <c r="S59" s="169">
        <f t="shared" si="3"/>
        <v>1000192.7899999999</v>
      </c>
      <c r="T59" s="122" t="e">
        <f>VLOOKUP($B59,'Tech Litons'!$A:$I,9,0)</f>
        <v>#N/A</v>
      </c>
      <c r="U59" s="179" t="e">
        <f t="shared" si="8"/>
        <v>#N/A</v>
      </c>
      <c r="V59" s="179" t="e">
        <f t="shared" si="8"/>
        <v>#N/A</v>
      </c>
      <c r="W59" s="179" t="e">
        <f t="shared" si="8"/>
        <v>#N/A</v>
      </c>
      <c r="X59" s="179" t="e">
        <f t="shared" si="7"/>
        <v>#N/A</v>
      </c>
      <c r="Y59" s="179" t="e">
        <f t="shared" si="7"/>
        <v>#N/A</v>
      </c>
      <c r="Z59" s="179" t="e">
        <f t="shared" si="7"/>
        <v>#N/A</v>
      </c>
      <c r="AA59" s="179" t="e">
        <f t="shared" si="7"/>
        <v>#N/A</v>
      </c>
      <c r="AB59" s="179" t="e">
        <f t="shared" si="7"/>
        <v>#N/A</v>
      </c>
      <c r="AC59" s="179" t="e">
        <f t="shared" si="7"/>
        <v>#N/A</v>
      </c>
      <c r="AD59" s="179" t="e">
        <f t="shared" si="7"/>
        <v>#N/A</v>
      </c>
      <c r="AE59" s="179" t="e">
        <f t="shared" si="7"/>
        <v>#N/A</v>
      </c>
      <c r="AF59" s="179" t="e">
        <f t="shared" si="7"/>
        <v>#N/A</v>
      </c>
    </row>
    <row r="60" spans="2:32">
      <c r="B60" s="122">
        <f t="shared" si="6"/>
        <v>68741742</v>
      </c>
      <c r="C60" s="122" t="str">
        <f>VLOOKUP($B60,'Tech Litons'!$A:$I,3,0)</f>
        <v>MBG</v>
      </c>
      <c r="D60" s="122" t="str">
        <f>VLOOKUP($B60,'Tech Litons'!$A:$I,4,0)</f>
        <v>MBG</v>
      </c>
      <c r="E60" s="598" t="s">
        <v>978</v>
      </c>
      <c r="F60" s="598">
        <v>68741742</v>
      </c>
      <c r="G60" s="599">
        <v>67125.239153427901</v>
      </c>
      <c r="H60" s="599">
        <v>63908.066911394497</v>
      </c>
      <c r="I60" s="599">
        <v>86912.493337084801</v>
      </c>
      <c r="J60" s="599">
        <v>95150.358420932796</v>
      </c>
      <c r="K60" s="599">
        <v>121562.16495485599</v>
      </c>
      <c r="L60" s="599">
        <v>107581.958251485</v>
      </c>
      <c r="M60" s="599">
        <v>113872.342710411</v>
      </c>
      <c r="N60" s="599">
        <v>85371.060793976401</v>
      </c>
      <c r="O60" s="599">
        <v>64982.401114226799</v>
      </c>
      <c r="P60" s="599">
        <v>65693.591857920896</v>
      </c>
      <c r="Q60" s="599">
        <v>59680.752622427899</v>
      </c>
      <c r="R60" s="599">
        <v>63566.045565305802</v>
      </c>
      <c r="S60" s="169">
        <f t="shared" si="3"/>
        <v>995406.47569344984</v>
      </c>
      <c r="T60" s="122">
        <f>VLOOKUP($B60,'Tech Litons'!$A:$I,9,0)</f>
        <v>154</v>
      </c>
      <c r="U60" s="179">
        <f t="shared" si="8"/>
        <v>435.87817632096039</v>
      </c>
      <c r="V60" s="179">
        <f t="shared" si="8"/>
        <v>414.98744747658765</v>
      </c>
      <c r="W60" s="179">
        <f t="shared" si="8"/>
        <v>564.36683985119998</v>
      </c>
      <c r="X60" s="179">
        <f t="shared" si="7"/>
        <v>617.85947026579743</v>
      </c>
      <c r="Y60" s="179">
        <f t="shared" si="7"/>
        <v>789.36470749906493</v>
      </c>
      <c r="Z60" s="179">
        <f t="shared" si="7"/>
        <v>698.58414449016232</v>
      </c>
      <c r="AA60" s="179">
        <f t="shared" si="7"/>
        <v>739.43079682085067</v>
      </c>
      <c r="AB60" s="179">
        <f t="shared" si="7"/>
        <v>554.35753762322338</v>
      </c>
      <c r="AC60" s="179">
        <f t="shared" si="7"/>
        <v>421.96364359887531</v>
      </c>
      <c r="AD60" s="179">
        <f t="shared" si="7"/>
        <v>426.58176531117465</v>
      </c>
      <c r="AE60" s="179">
        <f t="shared" si="7"/>
        <v>387.53735469109023</v>
      </c>
      <c r="AF60" s="179">
        <f t="shared" si="7"/>
        <v>412.76652964484288</v>
      </c>
    </row>
    <row r="61" spans="2:32">
      <c r="B61" s="122">
        <f t="shared" si="6"/>
        <v>67794167</v>
      </c>
      <c r="C61" s="122" t="str">
        <f>VLOOKUP($B61,'Tech Litons'!$A:$I,3,0)</f>
        <v>BJ PTS</v>
      </c>
      <c r="D61" s="122" t="str">
        <f>VLOOKUP($B61,'Tech Litons'!$A:$I,4,0)</f>
        <v>BJ PTS</v>
      </c>
      <c r="E61" s="598" t="s">
        <v>343</v>
      </c>
      <c r="F61" s="598">
        <v>67794167</v>
      </c>
      <c r="G61" s="599">
        <v>61003.110557776599</v>
      </c>
      <c r="H61" s="599">
        <v>82389.699938850303</v>
      </c>
      <c r="I61" s="599">
        <v>93090.855049257996</v>
      </c>
      <c r="J61" s="599">
        <v>89047.726366600196</v>
      </c>
      <c r="K61" s="599">
        <v>88995.892496286906</v>
      </c>
      <c r="L61" s="599">
        <v>104853.229468832</v>
      </c>
      <c r="M61" s="599">
        <v>76699.517515229498</v>
      </c>
      <c r="N61" s="599">
        <v>88500.104308817507</v>
      </c>
      <c r="O61" s="599">
        <v>73744.837471805193</v>
      </c>
      <c r="P61" s="599">
        <v>79059.367319192606</v>
      </c>
      <c r="Q61" s="599">
        <v>74174.573070768703</v>
      </c>
      <c r="R61" s="599">
        <v>64467.719867206797</v>
      </c>
      <c r="S61" s="169">
        <f t="shared" si="3"/>
        <v>976026.63343062426</v>
      </c>
      <c r="T61" s="122">
        <f>VLOOKUP($B61,'Tech Litons'!$A:$I,9,0)</f>
        <v>240</v>
      </c>
      <c r="U61" s="179">
        <f t="shared" si="8"/>
        <v>254.17962732406917</v>
      </c>
      <c r="V61" s="179">
        <f t="shared" si="8"/>
        <v>343.29041641187627</v>
      </c>
      <c r="W61" s="179">
        <f t="shared" si="8"/>
        <v>387.87856270524168</v>
      </c>
      <c r="X61" s="179">
        <f t="shared" si="7"/>
        <v>371.03219319416746</v>
      </c>
      <c r="Y61" s="179">
        <f t="shared" si="7"/>
        <v>370.81621873452877</v>
      </c>
      <c r="Z61" s="179">
        <f t="shared" si="7"/>
        <v>436.8884561201333</v>
      </c>
      <c r="AA61" s="179">
        <f t="shared" si="7"/>
        <v>319.58132298012293</v>
      </c>
      <c r="AB61" s="179">
        <f t="shared" si="7"/>
        <v>368.75043462007295</v>
      </c>
      <c r="AC61" s="179">
        <f t="shared" si="7"/>
        <v>307.27015613252166</v>
      </c>
      <c r="AD61" s="179">
        <f t="shared" si="7"/>
        <v>329.41403049663586</v>
      </c>
      <c r="AE61" s="179">
        <f t="shared" si="7"/>
        <v>309.06072112820294</v>
      </c>
      <c r="AF61" s="179">
        <f t="shared" si="7"/>
        <v>268.61549944669497</v>
      </c>
    </row>
    <row r="62" spans="2:32">
      <c r="B62" s="122">
        <f t="shared" si="6"/>
        <v>68850684</v>
      </c>
      <c r="C62" s="122" t="str">
        <f>VLOOKUP($B62,'Tech Litons'!$A:$I,3,0)</f>
        <v>48oz</v>
      </c>
      <c r="D62" s="122" t="str">
        <f>VLOOKUP($B62,'Tech Litons'!$A:$I,4,0)</f>
        <v>48oz</v>
      </c>
      <c r="E62" s="598" t="s">
        <v>1011</v>
      </c>
      <c r="F62" s="598">
        <v>68850684</v>
      </c>
      <c r="G62" s="599">
        <v>69249.545999145805</v>
      </c>
      <c r="H62" s="599">
        <v>68742.964353563904</v>
      </c>
      <c r="I62" s="599">
        <v>75912.296284816999</v>
      </c>
      <c r="J62" s="599">
        <v>93116.626316134003</v>
      </c>
      <c r="K62" s="599">
        <v>81116.525989340502</v>
      </c>
      <c r="L62" s="599">
        <v>99833.169906138006</v>
      </c>
      <c r="M62" s="599">
        <v>86902.498026906702</v>
      </c>
      <c r="N62" s="599">
        <v>79738.005189942807</v>
      </c>
      <c r="O62" s="599">
        <v>63931.1764320414</v>
      </c>
      <c r="P62" s="599">
        <v>76285.750863232795</v>
      </c>
      <c r="Q62" s="599">
        <v>89265.001537733799</v>
      </c>
      <c r="R62" s="599">
        <v>74276.844709080498</v>
      </c>
      <c r="S62" s="169">
        <f t="shared" si="3"/>
        <v>958370.4056080773</v>
      </c>
      <c r="T62" s="122">
        <f>VLOOKUP($B62,'Tech Litons'!$A:$I,9,0)</f>
        <v>176</v>
      </c>
      <c r="U62" s="179">
        <f t="shared" si="8"/>
        <v>393.46332954060114</v>
      </c>
      <c r="V62" s="179">
        <f t="shared" si="8"/>
        <v>390.58502473615857</v>
      </c>
      <c r="W62" s="179">
        <f t="shared" si="8"/>
        <v>431.31986525464202</v>
      </c>
      <c r="X62" s="179">
        <f t="shared" si="7"/>
        <v>529.07174043257953</v>
      </c>
      <c r="Y62" s="179">
        <f t="shared" si="7"/>
        <v>460.88935221216195</v>
      </c>
      <c r="Z62" s="179">
        <f t="shared" si="7"/>
        <v>567.23391992123868</v>
      </c>
      <c r="AA62" s="179">
        <f t="shared" si="7"/>
        <v>493.76419333469715</v>
      </c>
      <c r="AB62" s="179">
        <f t="shared" si="7"/>
        <v>453.05684767012957</v>
      </c>
      <c r="AC62" s="179">
        <f t="shared" si="7"/>
        <v>363.24532063659888</v>
      </c>
      <c r="AD62" s="179">
        <f t="shared" si="7"/>
        <v>433.44176626836816</v>
      </c>
      <c r="AE62" s="179">
        <f t="shared" si="7"/>
        <v>507.18750873712384</v>
      </c>
      <c r="AF62" s="179">
        <f t="shared" si="7"/>
        <v>422.0275267561392</v>
      </c>
    </row>
    <row r="63" spans="2:32">
      <c r="B63" s="122">
        <f t="shared" si="6"/>
        <v>68817795</v>
      </c>
      <c r="C63" s="122" t="str">
        <f>VLOOKUP($B63,'Tech Litons'!$A:$I,3,0)</f>
        <v>48oz</v>
      </c>
      <c r="D63" s="122" t="str">
        <f>VLOOKUP($B63,'Tech Litons'!$A:$I,4,0)</f>
        <v>48oz</v>
      </c>
      <c r="E63" s="598" t="s">
        <v>986</v>
      </c>
      <c r="F63" s="598">
        <v>68817795</v>
      </c>
      <c r="G63" s="599">
        <v>70732.276028680601</v>
      </c>
      <c r="H63" s="599">
        <v>74273.190483617</v>
      </c>
      <c r="I63" s="599">
        <v>81450.110822260103</v>
      </c>
      <c r="J63" s="599">
        <v>99694.027403065498</v>
      </c>
      <c r="K63" s="599">
        <v>84521.559936431295</v>
      </c>
      <c r="L63" s="599">
        <v>101345.876323226</v>
      </c>
      <c r="M63" s="599">
        <v>85158.222329463504</v>
      </c>
      <c r="N63" s="599">
        <v>76746.221975838504</v>
      </c>
      <c r="O63" s="599">
        <v>60925.627906412403</v>
      </c>
      <c r="P63" s="599">
        <v>72442.907259772604</v>
      </c>
      <c r="Q63" s="599">
        <v>79761.836167888003</v>
      </c>
      <c r="R63" s="599">
        <v>67389.257433159393</v>
      </c>
      <c r="S63" s="169">
        <f t="shared" si="3"/>
        <v>954441.11406981491</v>
      </c>
      <c r="T63" s="122">
        <f>VLOOKUP($B63,'Tech Litons'!$A:$I,9,0)</f>
        <v>154</v>
      </c>
      <c r="U63" s="179">
        <f t="shared" si="8"/>
        <v>459.30049369273115</v>
      </c>
      <c r="V63" s="179">
        <f t="shared" si="8"/>
        <v>482.2934446988117</v>
      </c>
      <c r="W63" s="179">
        <f t="shared" si="8"/>
        <v>528.89682352116949</v>
      </c>
      <c r="X63" s="179">
        <f t="shared" si="7"/>
        <v>647.36381430562017</v>
      </c>
      <c r="Y63" s="179">
        <f t="shared" si="7"/>
        <v>548.84129828851485</v>
      </c>
      <c r="Z63" s="179">
        <f t="shared" si="7"/>
        <v>658.09010599497401</v>
      </c>
      <c r="AA63" s="179">
        <f t="shared" si="7"/>
        <v>552.97546967184098</v>
      </c>
      <c r="AB63" s="179">
        <f t="shared" si="7"/>
        <v>498.35209075219808</v>
      </c>
      <c r="AC63" s="179">
        <f t="shared" si="7"/>
        <v>395.62096043124939</v>
      </c>
      <c r="AD63" s="179">
        <f t="shared" si="7"/>
        <v>470.4084886998221</v>
      </c>
      <c r="AE63" s="179">
        <f t="shared" si="7"/>
        <v>517.93400109018182</v>
      </c>
      <c r="AF63" s="179">
        <f t="shared" si="7"/>
        <v>437.59258073480123</v>
      </c>
    </row>
    <row r="64" spans="2:32">
      <c r="B64" s="122">
        <f t="shared" si="6"/>
        <v>69964637</v>
      </c>
      <c r="C64" s="122" t="e">
        <f>VLOOKUP($B64,'Tech Litons'!$A:$I,3,0)</f>
        <v>#N/A</v>
      </c>
      <c r="D64" s="122" t="e">
        <f>VLOOKUP($B64,'Tech Litons'!$A:$I,4,0)</f>
        <v>#N/A</v>
      </c>
      <c r="E64" s="598" t="s">
        <v>619</v>
      </c>
      <c r="F64" s="598">
        <v>69964637</v>
      </c>
      <c r="G64" s="599">
        <v>73177.783633318497</v>
      </c>
      <c r="H64" s="599">
        <v>77572.104144688696</v>
      </c>
      <c r="I64" s="599">
        <v>82326.114430556394</v>
      </c>
      <c r="J64" s="599">
        <v>80521.837064008199</v>
      </c>
      <c r="K64" s="599">
        <v>84458.781192695998</v>
      </c>
      <c r="L64" s="599">
        <v>92620.171892124607</v>
      </c>
      <c r="M64" s="599">
        <v>96444.444420857297</v>
      </c>
      <c r="N64" s="599">
        <v>83619.2555603035</v>
      </c>
      <c r="O64" s="599">
        <v>65721.235861076202</v>
      </c>
      <c r="P64" s="599">
        <v>83842.159762118696</v>
      </c>
      <c r="Q64" s="599">
        <v>58707.102253210498</v>
      </c>
      <c r="R64" s="599">
        <v>64467.554802786399</v>
      </c>
      <c r="S64" s="169">
        <f t="shared" si="3"/>
        <v>943478.545017745</v>
      </c>
      <c r="T64" s="122" t="e">
        <f>VLOOKUP($B64,'Tech Litons'!$A:$I,9,0)</f>
        <v>#N/A</v>
      </c>
      <c r="U64" s="179" t="e">
        <f t="shared" si="8"/>
        <v>#N/A</v>
      </c>
      <c r="V64" s="179" t="e">
        <f t="shared" si="8"/>
        <v>#N/A</v>
      </c>
      <c r="W64" s="179" t="e">
        <f t="shared" si="8"/>
        <v>#N/A</v>
      </c>
      <c r="X64" s="179" t="e">
        <f t="shared" si="7"/>
        <v>#N/A</v>
      </c>
      <c r="Y64" s="179" t="e">
        <f t="shared" si="7"/>
        <v>#N/A</v>
      </c>
      <c r="Z64" s="179" t="e">
        <f t="shared" si="7"/>
        <v>#N/A</v>
      </c>
      <c r="AA64" s="179" t="e">
        <f t="shared" si="7"/>
        <v>#N/A</v>
      </c>
      <c r="AB64" s="179" t="e">
        <f t="shared" si="7"/>
        <v>#N/A</v>
      </c>
      <c r="AC64" s="179" t="e">
        <f t="shared" si="7"/>
        <v>#N/A</v>
      </c>
      <c r="AD64" s="179" t="e">
        <f t="shared" si="7"/>
        <v>#N/A</v>
      </c>
      <c r="AE64" s="179" t="e">
        <f t="shared" si="7"/>
        <v>#N/A</v>
      </c>
      <c r="AF64" s="179" t="e">
        <f t="shared" si="7"/>
        <v>#N/A</v>
      </c>
    </row>
    <row r="65" spans="2:32">
      <c r="B65" s="122">
        <f t="shared" si="6"/>
        <v>84141094</v>
      </c>
      <c r="C65" s="122" t="str">
        <f>VLOOKUP($B65,'Tech Litons'!$A:$I,3,0)</f>
        <v>BJ PTS</v>
      </c>
      <c r="D65" s="122" t="str">
        <f>VLOOKUP($B65,'Tech Litons'!$A:$I,4,0)</f>
        <v>BJ PTS</v>
      </c>
      <c r="E65" s="598" t="s">
        <v>952</v>
      </c>
      <c r="F65" s="598">
        <v>84141094</v>
      </c>
      <c r="G65" s="599">
        <v>59733.1582946368</v>
      </c>
      <c r="H65" s="599">
        <v>77142.449452404704</v>
      </c>
      <c r="I65" s="599">
        <v>86178.322066523804</v>
      </c>
      <c r="J65" s="599">
        <v>78953.5695634984</v>
      </c>
      <c r="K65" s="599">
        <v>75672.534428555795</v>
      </c>
      <c r="L65" s="599">
        <v>95237.937191400793</v>
      </c>
      <c r="M65" s="599">
        <v>80534.777152036506</v>
      </c>
      <c r="N65" s="599">
        <v>85137.914507025795</v>
      </c>
      <c r="O65" s="599">
        <v>75879.198659991205</v>
      </c>
      <c r="P65" s="599">
        <v>79033.616051394099</v>
      </c>
      <c r="Q65" s="599">
        <v>72903.461267628503</v>
      </c>
      <c r="R65" s="599">
        <v>61353.499109158103</v>
      </c>
      <c r="S65" s="169">
        <f t="shared" si="3"/>
        <v>927760.43774425436</v>
      </c>
      <c r="T65" s="122">
        <f>VLOOKUP($B65,'Tech Litons'!$A:$I,9,0)</f>
        <v>240</v>
      </c>
      <c r="U65" s="179">
        <f t="shared" si="8"/>
        <v>248.88815956098668</v>
      </c>
      <c r="V65" s="179">
        <f t="shared" si="8"/>
        <v>321.42687271835291</v>
      </c>
      <c r="W65" s="179">
        <f t="shared" si="8"/>
        <v>359.07634194384917</v>
      </c>
      <c r="X65" s="179">
        <f t="shared" si="7"/>
        <v>328.97320651457665</v>
      </c>
      <c r="Y65" s="179">
        <f t="shared" si="7"/>
        <v>315.30222678564917</v>
      </c>
      <c r="Z65" s="179">
        <f t="shared" si="7"/>
        <v>396.8247382975033</v>
      </c>
      <c r="AA65" s="179">
        <f t="shared" si="7"/>
        <v>335.56157146681875</v>
      </c>
      <c r="AB65" s="179">
        <f t="shared" si="7"/>
        <v>354.74131044594083</v>
      </c>
      <c r="AC65" s="179">
        <f t="shared" si="7"/>
        <v>316.16332774996334</v>
      </c>
      <c r="AD65" s="179">
        <f t="shared" si="7"/>
        <v>329.3067335474754</v>
      </c>
      <c r="AE65" s="179">
        <f t="shared" si="7"/>
        <v>303.76442194845208</v>
      </c>
      <c r="AF65" s="179">
        <f t="shared" si="7"/>
        <v>255.63957962149209</v>
      </c>
    </row>
    <row r="66" spans="2:32">
      <c r="B66" s="122">
        <f t="shared" si="6"/>
        <v>64325486</v>
      </c>
      <c r="C66" s="122" t="str">
        <f>VLOOKUP($B66,'Tech Litons'!$A:$I,3,0)</f>
        <v>Yasso Sticks</v>
      </c>
      <c r="D66" s="122" t="str">
        <f>VLOOKUP($B66,'Tech Litons'!$A:$I,4,0)</f>
        <v>Yasso Sticks</v>
      </c>
      <c r="E66" s="598" t="s">
        <v>592</v>
      </c>
      <c r="F66" s="598">
        <v>64325486</v>
      </c>
      <c r="G66" s="599">
        <v>49063.387704630397</v>
      </c>
      <c r="H66" s="599">
        <v>56700.575290920897</v>
      </c>
      <c r="I66" s="599">
        <v>88882.702759343694</v>
      </c>
      <c r="J66" s="599">
        <v>73119.744096730996</v>
      </c>
      <c r="K66" s="599">
        <v>87185.133868169505</v>
      </c>
      <c r="L66" s="599">
        <v>94649.072836627194</v>
      </c>
      <c r="M66" s="599">
        <v>101130.601680306</v>
      </c>
      <c r="N66" s="599">
        <v>86082.524276110795</v>
      </c>
      <c r="O66" s="599">
        <v>83394.144232178805</v>
      </c>
      <c r="P66" s="599">
        <v>70917.113805283894</v>
      </c>
      <c r="Q66" s="599">
        <v>64718.861772943201</v>
      </c>
      <c r="R66" s="599">
        <v>63079.266465529799</v>
      </c>
      <c r="S66" s="169">
        <f t="shared" si="3"/>
        <v>918923.12878877518</v>
      </c>
      <c r="T66" s="122">
        <f>VLOOKUP($B66,'Tech Litons'!$A:$I,9,0)</f>
        <v>187</v>
      </c>
      <c r="U66" s="179">
        <f t="shared" si="8"/>
        <v>262.37105724401283</v>
      </c>
      <c r="V66" s="179">
        <f t="shared" si="8"/>
        <v>303.21163257176948</v>
      </c>
      <c r="W66" s="179">
        <f t="shared" si="8"/>
        <v>475.30857090558123</v>
      </c>
      <c r="X66" s="179">
        <f t="shared" si="7"/>
        <v>391.01467431406951</v>
      </c>
      <c r="Y66" s="179">
        <f t="shared" si="7"/>
        <v>466.23066239662836</v>
      </c>
      <c r="Z66" s="179">
        <f t="shared" si="7"/>
        <v>506.14477452741818</v>
      </c>
      <c r="AA66" s="179">
        <f t="shared" si="7"/>
        <v>540.80535657917653</v>
      </c>
      <c r="AB66" s="179">
        <f t="shared" si="7"/>
        <v>460.33435441770479</v>
      </c>
      <c r="AC66" s="179">
        <f t="shared" si="7"/>
        <v>445.95799054641071</v>
      </c>
      <c r="AD66" s="179">
        <f t="shared" si="7"/>
        <v>379.2359027020529</v>
      </c>
      <c r="AE66" s="179">
        <f t="shared" si="7"/>
        <v>346.09016990878717</v>
      </c>
      <c r="AF66" s="179">
        <f t="shared" si="7"/>
        <v>337.32228056433047</v>
      </c>
    </row>
    <row r="67" spans="2:32">
      <c r="B67" s="122">
        <f t="shared" si="6"/>
        <v>69568828</v>
      </c>
      <c r="C67" s="122" t="str">
        <f>VLOOKUP($B67,'Tech Litons'!$A:$I,3,0)</f>
        <v>48oz</v>
      </c>
      <c r="D67" s="122" t="str">
        <f>VLOOKUP($B67,'Tech Litons'!$A:$I,4,0)</f>
        <v>48oz</v>
      </c>
      <c r="E67" s="598" t="s">
        <v>998</v>
      </c>
      <c r="F67" s="598">
        <v>69568828</v>
      </c>
      <c r="G67" s="599">
        <v>59847.625858476</v>
      </c>
      <c r="H67" s="599">
        <v>64000.855236897398</v>
      </c>
      <c r="I67" s="599">
        <v>82846.313820452298</v>
      </c>
      <c r="J67" s="599">
        <v>91760.920876081305</v>
      </c>
      <c r="K67" s="599">
        <v>74737.643564279293</v>
      </c>
      <c r="L67" s="599">
        <v>90770.577038621501</v>
      </c>
      <c r="M67" s="599">
        <v>81199.638401020304</v>
      </c>
      <c r="N67" s="599">
        <v>73730.459649629294</v>
      </c>
      <c r="O67" s="599">
        <v>61493.967840440899</v>
      </c>
      <c r="P67" s="599">
        <v>65851.480316990797</v>
      </c>
      <c r="Q67" s="599">
        <v>68220.142868074297</v>
      </c>
      <c r="R67" s="599">
        <v>56552.588490507798</v>
      </c>
      <c r="S67" s="169">
        <f t="shared" si="3"/>
        <v>871012.21396147134</v>
      </c>
      <c r="T67" s="122">
        <f>VLOOKUP($B67,'Tech Litons'!$A:$I,9,0)</f>
        <v>176</v>
      </c>
      <c r="U67" s="179">
        <f t="shared" si="8"/>
        <v>340.04332874134093</v>
      </c>
      <c r="V67" s="179">
        <f t="shared" si="8"/>
        <v>363.64122293691702</v>
      </c>
      <c r="W67" s="179">
        <f t="shared" si="8"/>
        <v>470.71769216166081</v>
      </c>
      <c r="X67" s="179">
        <f t="shared" si="7"/>
        <v>521.36886861409835</v>
      </c>
      <c r="Y67" s="179">
        <f t="shared" si="7"/>
        <v>424.64570206976873</v>
      </c>
      <c r="Z67" s="179">
        <f t="shared" si="7"/>
        <v>515.74191499216761</v>
      </c>
      <c r="AA67" s="179">
        <f t="shared" si="7"/>
        <v>461.36158182397901</v>
      </c>
      <c r="AB67" s="179">
        <f t="shared" si="7"/>
        <v>418.92306619107552</v>
      </c>
      <c r="AC67" s="179">
        <f t="shared" si="7"/>
        <v>349.39754454795963</v>
      </c>
      <c r="AD67" s="179">
        <f t="shared" si="7"/>
        <v>374.15613816472046</v>
      </c>
      <c r="AE67" s="179">
        <f t="shared" si="7"/>
        <v>387.61444811405852</v>
      </c>
      <c r="AF67" s="179">
        <f t="shared" si="7"/>
        <v>321.32152551424883</v>
      </c>
    </row>
    <row r="68" spans="2:32">
      <c r="B68" s="122">
        <f t="shared" si="6"/>
        <v>64979444</v>
      </c>
      <c r="C68" s="122" t="str">
        <f>VLOOKUP($B68,'Tech Litons'!$A:$I,3,0)</f>
        <v>Facepieces</v>
      </c>
      <c r="D68" s="122" t="str">
        <f>VLOOKUP($B68,'Tech Litons'!$A:$I,4,0)</f>
        <v>Facepieces</v>
      </c>
      <c r="E68" s="598" t="s">
        <v>622</v>
      </c>
      <c r="F68" s="598">
        <v>64979444</v>
      </c>
      <c r="G68" s="599">
        <v>35942</v>
      </c>
      <c r="H68" s="599">
        <v>31810.8888888888</v>
      </c>
      <c r="I68" s="599">
        <v>49574</v>
      </c>
      <c r="J68" s="599">
        <v>92115.333333333299</v>
      </c>
      <c r="K68" s="599">
        <v>111655.55555555499</v>
      </c>
      <c r="L68" s="599">
        <v>122029.444444444</v>
      </c>
      <c r="M68" s="599">
        <v>91375.111111111095</v>
      </c>
      <c r="N68" s="599">
        <v>83267.111111111095</v>
      </c>
      <c r="O68" s="599">
        <v>91252.777777777694</v>
      </c>
      <c r="P68" s="599">
        <v>35950.111111111102</v>
      </c>
      <c r="Q68" s="599">
        <v>57312.444444444402</v>
      </c>
      <c r="R68" s="599">
        <v>66005</v>
      </c>
      <c r="S68" s="169">
        <f t="shared" ref="S68:S131" si="9">SUM(G68:R68)</f>
        <v>868289.77777777659</v>
      </c>
      <c r="T68" s="122">
        <f>VLOOKUP($B68,'Tech Litons'!$A:$I,9,0)</f>
        <v>195</v>
      </c>
      <c r="U68" s="179">
        <f t="shared" si="8"/>
        <v>184.31794871794872</v>
      </c>
      <c r="V68" s="179">
        <f t="shared" si="8"/>
        <v>163.13276353276308</v>
      </c>
      <c r="W68" s="179">
        <f t="shared" si="8"/>
        <v>254.22564102564104</v>
      </c>
      <c r="X68" s="179">
        <f t="shared" si="7"/>
        <v>472.38632478632462</v>
      </c>
      <c r="Y68" s="179">
        <f t="shared" si="7"/>
        <v>572.59259259258977</v>
      </c>
      <c r="Z68" s="179">
        <f t="shared" si="7"/>
        <v>625.79202279202048</v>
      </c>
      <c r="AA68" s="179">
        <f t="shared" si="7"/>
        <v>468.59031339031333</v>
      </c>
      <c r="AB68" s="179">
        <f t="shared" si="7"/>
        <v>427.01082621082611</v>
      </c>
      <c r="AC68" s="179">
        <f t="shared" si="7"/>
        <v>467.96296296296254</v>
      </c>
      <c r="AD68" s="179">
        <f t="shared" si="7"/>
        <v>184.3595441595441</v>
      </c>
      <c r="AE68" s="179">
        <f t="shared" si="7"/>
        <v>293.90997150997129</v>
      </c>
      <c r="AF68" s="179">
        <f t="shared" si="7"/>
        <v>338.4871794871795</v>
      </c>
    </row>
    <row r="69" spans="2:32">
      <c r="B69" s="122">
        <f t="shared" si="6"/>
        <v>67826412</v>
      </c>
      <c r="C69" s="122" t="str">
        <f>VLOOKUP($B69,'Tech Litons'!$A:$I,3,0)</f>
        <v>BJ PTS</v>
      </c>
      <c r="D69" s="122" t="str">
        <f>VLOOKUP($B69,'Tech Litons'!$A:$I,4,0)</f>
        <v>BJ PTS</v>
      </c>
      <c r="E69" s="598" t="s">
        <v>958</v>
      </c>
      <c r="F69" s="598">
        <v>67826412</v>
      </c>
      <c r="G69" s="599">
        <v>52162.303916549499</v>
      </c>
      <c r="H69" s="599">
        <v>77534.172551018593</v>
      </c>
      <c r="I69" s="599">
        <v>82990.891211958995</v>
      </c>
      <c r="J69" s="599">
        <v>73429.329425313495</v>
      </c>
      <c r="K69" s="599">
        <v>71528.315726376895</v>
      </c>
      <c r="L69" s="599">
        <v>89755.636704343196</v>
      </c>
      <c r="M69" s="599">
        <v>72837.721811958807</v>
      </c>
      <c r="N69" s="599">
        <v>77397.253727371804</v>
      </c>
      <c r="O69" s="599">
        <v>69101.673441618594</v>
      </c>
      <c r="P69" s="599">
        <v>69920.924316369506</v>
      </c>
      <c r="Q69" s="599">
        <v>68486.095372719603</v>
      </c>
      <c r="R69" s="599">
        <v>55825.567894615102</v>
      </c>
      <c r="S69" s="169">
        <f t="shared" si="9"/>
        <v>860969.88610021409</v>
      </c>
      <c r="T69" s="122">
        <f>VLOOKUP($B69,'Tech Litons'!$A:$I,9,0)</f>
        <v>240</v>
      </c>
      <c r="U69" s="179">
        <f t="shared" si="8"/>
        <v>217.34293298562292</v>
      </c>
      <c r="V69" s="179">
        <f t="shared" si="8"/>
        <v>323.05905229591082</v>
      </c>
      <c r="W69" s="179">
        <f t="shared" si="8"/>
        <v>345.79538004982913</v>
      </c>
      <c r="X69" s="179">
        <f t="shared" si="7"/>
        <v>305.95553927213956</v>
      </c>
      <c r="Y69" s="179">
        <f t="shared" si="7"/>
        <v>298.03464885990371</v>
      </c>
      <c r="Z69" s="179">
        <f t="shared" si="7"/>
        <v>373.98181960143</v>
      </c>
      <c r="AA69" s="179">
        <f t="shared" ref="AA69:AF111" si="10">M69/$T69</f>
        <v>303.49050754982835</v>
      </c>
      <c r="AB69" s="179">
        <f t="shared" si="10"/>
        <v>322.48855719738253</v>
      </c>
      <c r="AC69" s="179">
        <f t="shared" si="10"/>
        <v>287.9236393400775</v>
      </c>
      <c r="AD69" s="179">
        <f t="shared" si="10"/>
        <v>291.33718465153959</v>
      </c>
      <c r="AE69" s="179">
        <f t="shared" si="10"/>
        <v>285.358730719665</v>
      </c>
      <c r="AF69" s="179">
        <f t="shared" si="10"/>
        <v>232.60653289422959</v>
      </c>
    </row>
    <row r="70" spans="2:32">
      <c r="B70" s="122">
        <f t="shared" si="6"/>
        <v>68817799</v>
      </c>
      <c r="C70" s="122" t="str">
        <f>VLOOKUP($B70,'Tech Litons'!$A:$I,3,0)</f>
        <v>48oz</v>
      </c>
      <c r="D70" s="122" t="str">
        <f>VLOOKUP($B70,'Tech Litons'!$A:$I,4,0)</f>
        <v>48oz</v>
      </c>
      <c r="E70" s="598" t="s">
        <v>999</v>
      </c>
      <c r="F70" s="598">
        <v>68817799</v>
      </c>
      <c r="G70" s="599">
        <v>58004.081432995597</v>
      </c>
      <c r="H70" s="599">
        <v>61993.0634399552</v>
      </c>
      <c r="I70" s="599">
        <v>72932.764438019498</v>
      </c>
      <c r="J70" s="599">
        <v>85444.502359213599</v>
      </c>
      <c r="K70" s="599">
        <v>75349.284830263205</v>
      </c>
      <c r="L70" s="599">
        <v>91310.5334024451</v>
      </c>
      <c r="M70" s="599">
        <v>74683.853041499402</v>
      </c>
      <c r="N70" s="599">
        <v>68896.641718001294</v>
      </c>
      <c r="O70" s="599">
        <v>54959.410781645398</v>
      </c>
      <c r="P70" s="599">
        <v>60992.746270285301</v>
      </c>
      <c r="Q70" s="599">
        <v>65062.531069812401</v>
      </c>
      <c r="R70" s="599">
        <v>56367.684451521302</v>
      </c>
      <c r="S70" s="169">
        <f t="shared" si="9"/>
        <v>825997.09723565727</v>
      </c>
      <c r="T70" s="122">
        <f>VLOOKUP($B70,'Tech Litons'!$A:$I,9,0)</f>
        <v>176</v>
      </c>
      <c r="U70" s="179">
        <f t="shared" si="8"/>
        <v>329.56864450565678</v>
      </c>
      <c r="V70" s="179">
        <f t="shared" si="8"/>
        <v>352.23331499974546</v>
      </c>
      <c r="W70" s="179">
        <f t="shared" si="8"/>
        <v>414.39070703420168</v>
      </c>
      <c r="X70" s="179">
        <f t="shared" si="8"/>
        <v>485.48012704098636</v>
      </c>
      <c r="Y70" s="179">
        <f t="shared" si="8"/>
        <v>428.1209365355864</v>
      </c>
      <c r="Z70" s="179">
        <f t="shared" si="8"/>
        <v>518.80984887752902</v>
      </c>
      <c r="AA70" s="179">
        <f t="shared" si="10"/>
        <v>424.34007409942842</v>
      </c>
      <c r="AB70" s="179">
        <f t="shared" si="10"/>
        <v>391.45819157955282</v>
      </c>
      <c r="AC70" s="179">
        <f t="shared" si="10"/>
        <v>312.26937944116702</v>
      </c>
      <c r="AD70" s="179">
        <f t="shared" si="10"/>
        <v>346.54969471753014</v>
      </c>
      <c r="AE70" s="179">
        <f t="shared" si="10"/>
        <v>369.67347198757045</v>
      </c>
      <c r="AF70" s="179">
        <f t="shared" si="10"/>
        <v>320.27093438364375</v>
      </c>
    </row>
    <row r="71" spans="2:32">
      <c r="B71" s="122">
        <f t="shared" si="6"/>
        <v>64325523</v>
      </c>
      <c r="C71" s="122" t="str">
        <f>VLOOKUP($B71,'Tech Litons'!$A:$I,3,0)</f>
        <v>Yasso Sticks</v>
      </c>
      <c r="D71" s="122" t="str">
        <f>VLOOKUP($B71,'Tech Litons'!$A:$I,4,0)</f>
        <v>Yasso Sticks</v>
      </c>
      <c r="E71" s="598" t="s">
        <v>586</v>
      </c>
      <c r="F71" s="598">
        <v>64325523</v>
      </c>
      <c r="G71" s="599">
        <v>49615.5495282177</v>
      </c>
      <c r="H71" s="599">
        <v>59757.494546876696</v>
      </c>
      <c r="I71" s="599">
        <v>64375.258016928703</v>
      </c>
      <c r="J71" s="599">
        <v>75237.754425698105</v>
      </c>
      <c r="K71" s="599">
        <v>72878.256205250495</v>
      </c>
      <c r="L71" s="599">
        <v>74909.641997666899</v>
      </c>
      <c r="M71" s="599">
        <v>81363.231981020697</v>
      </c>
      <c r="N71" s="599">
        <v>76778.529930759105</v>
      </c>
      <c r="O71" s="599">
        <v>77216.033961511406</v>
      </c>
      <c r="P71" s="599">
        <v>61870.152236669703</v>
      </c>
      <c r="Q71" s="599">
        <v>63604.566046279499</v>
      </c>
      <c r="R71" s="599">
        <v>66800.082163613799</v>
      </c>
      <c r="S71" s="169">
        <f t="shared" si="9"/>
        <v>824406.55104049284</v>
      </c>
      <c r="T71" s="122">
        <f>VLOOKUP($B71,'Tech Litons'!$A:$I,9,0)</f>
        <v>187</v>
      </c>
      <c r="U71" s="179">
        <f t="shared" si="8"/>
        <v>265.32379426854385</v>
      </c>
      <c r="V71" s="179">
        <f t="shared" si="8"/>
        <v>319.55879436832458</v>
      </c>
      <c r="W71" s="179">
        <f t="shared" si="8"/>
        <v>344.25271666806793</v>
      </c>
      <c r="X71" s="179">
        <f t="shared" si="8"/>
        <v>402.34093275774387</v>
      </c>
      <c r="Y71" s="179">
        <f t="shared" si="8"/>
        <v>389.7232952152433</v>
      </c>
      <c r="Z71" s="179">
        <f t="shared" si="8"/>
        <v>400.58632084313848</v>
      </c>
      <c r="AA71" s="179">
        <f t="shared" si="10"/>
        <v>435.09749722470963</v>
      </c>
      <c r="AB71" s="179">
        <f t="shared" si="10"/>
        <v>410.58037396127861</v>
      </c>
      <c r="AC71" s="179">
        <f t="shared" si="10"/>
        <v>412.91996770861715</v>
      </c>
      <c r="AD71" s="179">
        <f t="shared" si="10"/>
        <v>330.8564290731</v>
      </c>
      <c r="AE71" s="179">
        <f t="shared" si="10"/>
        <v>340.13136923144117</v>
      </c>
      <c r="AF71" s="179">
        <f t="shared" si="10"/>
        <v>357.2196907145123</v>
      </c>
    </row>
    <row r="72" spans="2:32">
      <c r="B72" s="122">
        <f t="shared" si="6"/>
        <v>67723726</v>
      </c>
      <c r="C72" s="122" t="e">
        <f>VLOOKUP($B72,'Tech Litons'!$A:$I,3,0)</f>
        <v>#N/A</v>
      </c>
      <c r="D72" s="122" t="e">
        <f>VLOOKUP($B72,'Tech Litons'!$A:$I,4,0)</f>
        <v>#N/A</v>
      </c>
      <c r="E72" s="598" t="s">
        <v>995</v>
      </c>
      <c r="F72" s="598">
        <v>67723726</v>
      </c>
      <c r="G72" s="599">
        <v>65015.246921329803</v>
      </c>
      <c r="H72" s="599">
        <v>70441.092280705096</v>
      </c>
      <c r="I72" s="599">
        <v>73374.0032116113</v>
      </c>
      <c r="J72" s="599">
        <v>79747.413040036699</v>
      </c>
      <c r="K72" s="599">
        <v>71628.761576515506</v>
      </c>
      <c r="L72" s="599">
        <v>84201.002219501694</v>
      </c>
      <c r="M72" s="599">
        <v>71663.316532634897</v>
      </c>
      <c r="N72" s="599">
        <v>65897.510159450903</v>
      </c>
      <c r="O72" s="599">
        <v>53530.139888044199</v>
      </c>
      <c r="P72" s="599">
        <v>59816.5697248949</v>
      </c>
      <c r="Q72" s="599">
        <v>63071.020197882703</v>
      </c>
      <c r="R72" s="599">
        <v>52879.405691190797</v>
      </c>
      <c r="S72" s="169">
        <f t="shared" si="9"/>
        <v>811265.48144379864</v>
      </c>
      <c r="T72" s="122" t="e">
        <f>VLOOKUP($B72,'Tech Litons'!$A:$I,9,0)</f>
        <v>#N/A</v>
      </c>
      <c r="U72" s="179" t="e">
        <f t="shared" si="8"/>
        <v>#N/A</v>
      </c>
      <c r="V72" s="179" t="e">
        <f t="shared" si="8"/>
        <v>#N/A</v>
      </c>
      <c r="W72" s="179" t="e">
        <f t="shared" si="8"/>
        <v>#N/A</v>
      </c>
      <c r="X72" s="179" t="e">
        <f t="shared" si="8"/>
        <v>#N/A</v>
      </c>
      <c r="Y72" s="179" t="e">
        <f t="shared" si="8"/>
        <v>#N/A</v>
      </c>
      <c r="Z72" s="179" t="e">
        <f t="shared" si="8"/>
        <v>#N/A</v>
      </c>
      <c r="AA72" s="179" t="e">
        <f t="shared" si="10"/>
        <v>#N/A</v>
      </c>
      <c r="AB72" s="179" t="e">
        <f t="shared" si="10"/>
        <v>#N/A</v>
      </c>
      <c r="AC72" s="179" t="e">
        <f t="shared" si="10"/>
        <v>#N/A</v>
      </c>
      <c r="AD72" s="179" t="e">
        <f t="shared" si="10"/>
        <v>#N/A</v>
      </c>
      <c r="AE72" s="179" t="e">
        <f t="shared" si="10"/>
        <v>#N/A</v>
      </c>
      <c r="AF72" s="179" t="e">
        <f t="shared" si="10"/>
        <v>#N/A</v>
      </c>
    </row>
    <row r="73" spans="2:32">
      <c r="B73" s="122">
        <f t="shared" si="6"/>
        <v>69568963</v>
      </c>
      <c r="C73" s="122" t="str">
        <f>VLOOKUP($B73,'Tech Litons'!$A:$I,3,0)</f>
        <v>48oz</v>
      </c>
      <c r="D73" s="122" t="str">
        <f>VLOOKUP($B73,'Tech Litons'!$A:$I,4,0)</f>
        <v>48oz</v>
      </c>
      <c r="E73" s="598" t="s">
        <v>268</v>
      </c>
      <c r="F73" s="598">
        <v>69568963</v>
      </c>
      <c r="G73" s="599">
        <v>58295.885518878997</v>
      </c>
      <c r="H73" s="599">
        <v>60758.070703733902</v>
      </c>
      <c r="I73" s="599">
        <v>68749.721250335497</v>
      </c>
      <c r="J73" s="599">
        <v>86456.196407292504</v>
      </c>
      <c r="K73" s="599">
        <v>73955.925499843099</v>
      </c>
      <c r="L73" s="599">
        <v>88986.261895410207</v>
      </c>
      <c r="M73" s="599">
        <v>72001.118549870997</v>
      </c>
      <c r="N73" s="599">
        <v>66270.989953899203</v>
      </c>
      <c r="O73" s="599">
        <v>52416.959825163904</v>
      </c>
      <c r="P73" s="599">
        <v>57932.8506903901</v>
      </c>
      <c r="Q73" s="599">
        <v>67583.938567499004</v>
      </c>
      <c r="R73" s="599">
        <v>54649.973826537796</v>
      </c>
      <c r="S73" s="169">
        <f t="shared" si="9"/>
        <v>808057.8926888553</v>
      </c>
      <c r="T73" s="122">
        <f>VLOOKUP($B73,'Tech Litons'!$A:$I,9,0)</f>
        <v>176</v>
      </c>
      <c r="U73" s="179">
        <f t="shared" si="8"/>
        <v>331.22662226635794</v>
      </c>
      <c r="V73" s="179">
        <f t="shared" si="8"/>
        <v>345.21631081666987</v>
      </c>
      <c r="W73" s="179">
        <f t="shared" si="8"/>
        <v>390.62341619508805</v>
      </c>
      <c r="X73" s="179">
        <f t="shared" si="8"/>
        <v>491.22838867779831</v>
      </c>
      <c r="Y73" s="179">
        <f t="shared" si="8"/>
        <v>420.20412215819943</v>
      </c>
      <c r="Z73" s="179">
        <f t="shared" si="8"/>
        <v>505.60376076937615</v>
      </c>
      <c r="AA73" s="179">
        <f t="shared" si="10"/>
        <v>409.09726448790337</v>
      </c>
      <c r="AB73" s="179">
        <f t="shared" si="10"/>
        <v>376.53971564715454</v>
      </c>
      <c r="AC73" s="179">
        <f t="shared" si="10"/>
        <v>297.82363537024946</v>
      </c>
      <c r="AD73" s="179">
        <f t="shared" si="10"/>
        <v>329.16392437721646</v>
      </c>
      <c r="AE73" s="179">
        <f t="shared" si="10"/>
        <v>383.99965095169887</v>
      </c>
      <c r="AF73" s="179">
        <f t="shared" si="10"/>
        <v>310.51121492351018</v>
      </c>
    </row>
    <row r="74" spans="2:32">
      <c r="B74" s="122">
        <f t="shared" si="6"/>
        <v>69778792</v>
      </c>
      <c r="C74" s="122" t="e">
        <f>VLOOKUP($B74,'Tech Litons'!$A:$I,3,0)</f>
        <v>#N/A</v>
      </c>
      <c r="D74" s="122" t="e">
        <f>VLOOKUP($B74,'Tech Litons'!$A:$I,4,0)</f>
        <v>#N/A</v>
      </c>
      <c r="E74" s="598" t="s">
        <v>293</v>
      </c>
      <c r="F74" s="598">
        <v>69778792</v>
      </c>
      <c r="G74" s="599">
        <v>35964.338146879098</v>
      </c>
      <c r="H74" s="599">
        <v>46903.972591168</v>
      </c>
      <c r="I74" s="599">
        <v>52149.791745281298</v>
      </c>
      <c r="J74" s="599">
        <v>65037.617066084204</v>
      </c>
      <c r="K74" s="599">
        <v>125532.48131864901</v>
      </c>
      <c r="L74" s="599">
        <v>85052.823216841294</v>
      </c>
      <c r="M74" s="599">
        <v>107239.49202998</v>
      </c>
      <c r="N74" s="599">
        <v>73871.4585823909</v>
      </c>
      <c r="O74" s="599">
        <v>50461.113931867498</v>
      </c>
      <c r="P74" s="599">
        <v>39781.9554994051</v>
      </c>
      <c r="Q74" s="599">
        <v>36691.004819038397</v>
      </c>
      <c r="R74" s="599">
        <v>37261.194794164097</v>
      </c>
      <c r="S74" s="169">
        <f t="shared" si="9"/>
        <v>755947.24374174885</v>
      </c>
      <c r="T74" s="122" t="e">
        <f>VLOOKUP($B74,'Tech Litons'!$A:$I,9,0)</f>
        <v>#N/A</v>
      </c>
      <c r="U74" s="179" t="e">
        <f t="shared" si="8"/>
        <v>#N/A</v>
      </c>
      <c r="V74" s="179" t="e">
        <f t="shared" si="8"/>
        <v>#N/A</v>
      </c>
      <c r="W74" s="179" t="e">
        <f t="shared" si="8"/>
        <v>#N/A</v>
      </c>
      <c r="X74" s="179" t="e">
        <f t="shared" si="8"/>
        <v>#N/A</v>
      </c>
      <c r="Y74" s="179" t="e">
        <f t="shared" si="8"/>
        <v>#N/A</v>
      </c>
      <c r="Z74" s="179" t="e">
        <f t="shared" si="8"/>
        <v>#N/A</v>
      </c>
      <c r="AA74" s="179" t="e">
        <f t="shared" si="10"/>
        <v>#N/A</v>
      </c>
      <c r="AB74" s="179" t="e">
        <f t="shared" si="10"/>
        <v>#N/A</v>
      </c>
      <c r="AC74" s="179" t="e">
        <f t="shared" si="10"/>
        <v>#N/A</v>
      </c>
      <c r="AD74" s="179" t="e">
        <f t="shared" si="10"/>
        <v>#N/A</v>
      </c>
      <c r="AE74" s="179" t="e">
        <f t="shared" si="10"/>
        <v>#N/A</v>
      </c>
      <c r="AF74" s="179" t="e">
        <f t="shared" si="10"/>
        <v>#N/A</v>
      </c>
    </row>
    <row r="75" spans="2:32">
      <c r="B75" s="122">
        <f t="shared" si="6"/>
        <v>64325372</v>
      </c>
      <c r="C75" s="122" t="str">
        <f>VLOOKUP($B75,'Tech Litons'!$A:$I,3,0)</f>
        <v>Yasso Sticks</v>
      </c>
      <c r="D75" s="122" t="str">
        <f>VLOOKUP($B75,'Tech Litons'!$A:$I,4,0)</f>
        <v>Yasso Sticks</v>
      </c>
      <c r="E75" s="598" t="s">
        <v>236</v>
      </c>
      <c r="F75" s="598">
        <v>64325372</v>
      </c>
      <c r="G75" s="599">
        <v>35440.7705781267</v>
      </c>
      <c r="H75" s="599">
        <v>45263.500858865598</v>
      </c>
      <c r="I75" s="599">
        <v>53750.451677823898</v>
      </c>
      <c r="J75" s="599">
        <v>53059.466376989301</v>
      </c>
      <c r="K75" s="599">
        <v>78275.952011166097</v>
      </c>
      <c r="L75" s="599">
        <v>92269.209892836705</v>
      </c>
      <c r="M75" s="599">
        <v>95238.172080621502</v>
      </c>
      <c r="N75" s="599">
        <v>82435.805846646996</v>
      </c>
      <c r="O75" s="599">
        <v>63606.831013053197</v>
      </c>
      <c r="P75" s="599">
        <v>58361.232564919002</v>
      </c>
      <c r="Q75" s="599">
        <v>47479.317869201201</v>
      </c>
      <c r="R75" s="599">
        <v>47854.6544013565</v>
      </c>
      <c r="S75" s="169">
        <f t="shared" si="9"/>
        <v>753035.36517160665</v>
      </c>
      <c r="T75" s="122">
        <f>VLOOKUP($B75,'Tech Litons'!$A:$I,9,0)</f>
        <v>187</v>
      </c>
      <c r="U75" s="179">
        <f t="shared" si="8"/>
        <v>189.52283731618556</v>
      </c>
      <c r="V75" s="179">
        <f t="shared" si="8"/>
        <v>242.05080673190159</v>
      </c>
      <c r="W75" s="179">
        <f t="shared" si="8"/>
        <v>287.43557046964651</v>
      </c>
      <c r="X75" s="179">
        <f t="shared" si="8"/>
        <v>283.74046190903368</v>
      </c>
      <c r="Y75" s="179">
        <f t="shared" si="8"/>
        <v>418.58797866933742</v>
      </c>
      <c r="Z75" s="179">
        <f t="shared" si="8"/>
        <v>493.41823472105187</v>
      </c>
      <c r="AA75" s="179">
        <f t="shared" si="10"/>
        <v>509.29503786428609</v>
      </c>
      <c r="AB75" s="179">
        <f t="shared" si="10"/>
        <v>440.83318634570588</v>
      </c>
      <c r="AC75" s="179">
        <f t="shared" si="10"/>
        <v>340.14348135322564</v>
      </c>
      <c r="AD75" s="179">
        <f t="shared" si="10"/>
        <v>312.09215275357758</v>
      </c>
      <c r="AE75" s="179">
        <f t="shared" si="10"/>
        <v>253.90009555722568</v>
      </c>
      <c r="AF75" s="179">
        <f t="shared" si="10"/>
        <v>255.90724278800266</v>
      </c>
    </row>
    <row r="76" spans="2:32">
      <c r="B76" s="122">
        <f t="shared" si="6"/>
        <v>68852591</v>
      </c>
      <c r="C76" s="122" t="str">
        <f>VLOOKUP($B76,'Tech Litons'!$A:$I,3,0)</f>
        <v>EDF</v>
      </c>
      <c r="D76" s="122" t="str">
        <f>VLOOKUP($B76,'Tech Litons'!$A:$I,4,0)</f>
        <v>EDF</v>
      </c>
      <c r="E76" s="598" t="s">
        <v>1007</v>
      </c>
      <c r="F76" s="598">
        <v>68852591</v>
      </c>
      <c r="G76" s="599">
        <v>48009.709099707703</v>
      </c>
      <c r="H76" s="599">
        <v>44439.350615218798</v>
      </c>
      <c r="I76" s="599">
        <v>71884.385514734298</v>
      </c>
      <c r="J76" s="599">
        <v>67151.593839890702</v>
      </c>
      <c r="K76" s="599">
        <v>72143.290357918595</v>
      </c>
      <c r="L76" s="599">
        <v>78872.881198428906</v>
      </c>
      <c r="M76" s="599">
        <v>82047.855604466793</v>
      </c>
      <c r="N76" s="599">
        <v>72926.614479502503</v>
      </c>
      <c r="O76" s="599">
        <v>54155.443078480697</v>
      </c>
      <c r="P76" s="599">
        <v>49142.9826355353</v>
      </c>
      <c r="Q76" s="599">
        <v>48046.97943503</v>
      </c>
      <c r="R76" s="599">
        <v>42174.624159951702</v>
      </c>
      <c r="S76" s="169">
        <f t="shared" si="9"/>
        <v>730995.710018866</v>
      </c>
      <c r="T76" s="122">
        <f>VLOOKUP($B76,'Tech Litons'!$A:$I,9,0)</f>
        <v>132</v>
      </c>
      <c r="U76" s="179">
        <f t="shared" si="8"/>
        <v>363.70991742202807</v>
      </c>
      <c r="V76" s="179">
        <f t="shared" si="8"/>
        <v>336.66174708499091</v>
      </c>
      <c r="W76" s="179">
        <f t="shared" si="8"/>
        <v>544.5786781419265</v>
      </c>
      <c r="X76" s="179">
        <f t="shared" si="8"/>
        <v>508.72419575674775</v>
      </c>
      <c r="Y76" s="179">
        <f t="shared" si="8"/>
        <v>546.5400784690803</v>
      </c>
      <c r="Z76" s="179">
        <f t="shared" si="8"/>
        <v>597.52182726082503</v>
      </c>
      <c r="AA76" s="179">
        <f t="shared" si="10"/>
        <v>621.57466367020299</v>
      </c>
      <c r="AB76" s="179">
        <f t="shared" si="10"/>
        <v>552.47435211744323</v>
      </c>
      <c r="AC76" s="179">
        <f t="shared" si="10"/>
        <v>410.26850817030834</v>
      </c>
      <c r="AD76" s="179">
        <f t="shared" si="10"/>
        <v>372.29532299647957</v>
      </c>
      <c r="AE76" s="179">
        <f t="shared" si="10"/>
        <v>363.99226844719698</v>
      </c>
      <c r="AF76" s="179">
        <f t="shared" si="10"/>
        <v>319.5047284844826</v>
      </c>
    </row>
    <row r="77" spans="2:32">
      <c r="B77" s="122">
        <f t="shared" si="6"/>
        <v>68817796</v>
      </c>
      <c r="C77" s="122" t="str">
        <f>VLOOKUP($B77,'Tech Litons'!$A:$I,3,0)</f>
        <v>48oz</v>
      </c>
      <c r="D77" s="122" t="str">
        <f>VLOOKUP($B77,'Tech Litons'!$A:$I,4,0)</f>
        <v>48oz</v>
      </c>
      <c r="E77" s="598" t="s">
        <v>1006</v>
      </c>
      <c r="F77" s="598">
        <v>68817796</v>
      </c>
      <c r="G77" s="599">
        <v>53141.096760962697</v>
      </c>
      <c r="H77" s="599">
        <v>51230.195558584201</v>
      </c>
      <c r="I77" s="599">
        <v>56195.104509997102</v>
      </c>
      <c r="J77" s="599">
        <v>70953.1276974262</v>
      </c>
      <c r="K77" s="599">
        <v>60829.746588041897</v>
      </c>
      <c r="L77" s="599">
        <v>77653.230121435699</v>
      </c>
      <c r="M77" s="599">
        <v>64229.032820612098</v>
      </c>
      <c r="N77" s="599">
        <v>60398.856030505303</v>
      </c>
      <c r="O77" s="599">
        <v>45153.547800881301</v>
      </c>
      <c r="P77" s="599">
        <v>54819.595900542998</v>
      </c>
      <c r="Q77" s="599">
        <v>69665.1323448927</v>
      </c>
      <c r="R77" s="599">
        <v>55369.935756799998</v>
      </c>
      <c r="S77" s="169">
        <f t="shared" si="9"/>
        <v>719638.60189068224</v>
      </c>
      <c r="T77" s="122">
        <f>VLOOKUP($B77,'Tech Litons'!$A:$I,9,0)</f>
        <v>176</v>
      </c>
      <c r="U77" s="179">
        <f t="shared" si="8"/>
        <v>301.93804977819713</v>
      </c>
      <c r="V77" s="179">
        <f t="shared" si="8"/>
        <v>291.08065658286478</v>
      </c>
      <c r="W77" s="179">
        <f t="shared" si="8"/>
        <v>319.29036653407445</v>
      </c>
      <c r="X77" s="179">
        <f t="shared" si="8"/>
        <v>403.14277100810341</v>
      </c>
      <c r="Y77" s="179">
        <f t="shared" si="8"/>
        <v>345.62356015932897</v>
      </c>
      <c r="Z77" s="179">
        <f t="shared" si="8"/>
        <v>441.21153478088468</v>
      </c>
      <c r="AA77" s="179">
        <f t="shared" si="10"/>
        <v>364.93768648075053</v>
      </c>
      <c r="AB77" s="179">
        <f t="shared" si="10"/>
        <v>343.17531835514376</v>
      </c>
      <c r="AC77" s="179">
        <f t="shared" si="10"/>
        <v>256.55424886864375</v>
      </c>
      <c r="AD77" s="179">
        <f t="shared" si="10"/>
        <v>311.47497670763067</v>
      </c>
      <c r="AE77" s="179">
        <f t="shared" si="10"/>
        <v>395.82461559598124</v>
      </c>
      <c r="AF77" s="179">
        <f t="shared" si="10"/>
        <v>314.60190770909088</v>
      </c>
    </row>
    <row r="78" spans="2:32">
      <c r="B78" s="122">
        <f t="shared" si="6"/>
        <v>69600846</v>
      </c>
      <c r="C78" s="122" t="str">
        <f>VLOOKUP($B78,'Tech Litons'!$A:$I,3,0)</f>
        <v>48oz</v>
      </c>
      <c r="D78" s="122" t="str">
        <f>VLOOKUP($B78,'Tech Litons'!$A:$I,4,0)</f>
        <v>48oz</v>
      </c>
      <c r="E78" s="598" t="s">
        <v>407</v>
      </c>
      <c r="F78" s="598">
        <v>69600846</v>
      </c>
      <c r="G78" s="599">
        <v>57532.978006682199</v>
      </c>
      <c r="H78" s="599">
        <v>64246.741286224897</v>
      </c>
      <c r="I78" s="599">
        <v>66933.366656379105</v>
      </c>
      <c r="J78" s="599">
        <v>65871.792359817104</v>
      </c>
      <c r="K78" s="599">
        <v>61161.619482703703</v>
      </c>
      <c r="L78" s="599">
        <v>72353.392092376802</v>
      </c>
      <c r="M78" s="599">
        <v>58822.433139578599</v>
      </c>
      <c r="N78" s="599">
        <v>54773.736755149999</v>
      </c>
      <c r="O78" s="599">
        <v>46818.627030682903</v>
      </c>
      <c r="P78" s="599">
        <v>50791.617494381302</v>
      </c>
      <c r="Q78" s="599">
        <v>49659.564036693402</v>
      </c>
      <c r="R78" s="599">
        <v>41857.283526867701</v>
      </c>
      <c r="S78" s="169">
        <f t="shared" si="9"/>
        <v>690823.15186753776</v>
      </c>
      <c r="T78" s="122">
        <f>VLOOKUP($B78,'Tech Litons'!$A:$I,9,0)</f>
        <v>154</v>
      </c>
      <c r="U78" s="179">
        <f t="shared" si="8"/>
        <v>373.59076627715712</v>
      </c>
      <c r="V78" s="179">
        <f t="shared" si="8"/>
        <v>417.18663172873312</v>
      </c>
      <c r="W78" s="179">
        <f t="shared" si="8"/>
        <v>434.63225101544873</v>
      </c>
      <c r="X78" s="179">
        <f t="shared" si="8"/>
        <v>427.73891142738381</v>
      </c>
      <c r="Y78" s="179">
        <f t="shared" si="8"/>
        <v>397.15337326430978</v>
      </c>
      <c r="Z78" s="179">
        <f t="shared" si="8"/>
        <v>469.82722137907012</v>
      </c>
      <c r="AA78" s="179">
        <f t="shared" si="10"/>
        <v>381.96385155570522</v>
      </c>
      <c r="AB78" s="179">
        <f t="shared" si="10"/>
        <v>355.6736152931818</v>
      </c>
      <c r="AC78" s="179">
        <f t="shared" si="10"/>
        <v>304.0170586407981</v>
      </c>
      <c r="AD78" s="179">
        <f t="shared" si="10"/>
        <v>329.815698015463</v>
      </c>
      <c r="AE78" s="179">
        <f t="shared" si="10"/>
        <v>322.46470153697015</v>
      </c>
      <c r="AF78" s="179">
        <f t="shared" si="10"/>
        <v>271.80054238225779</v>
      </c>
    </row>
    <row r="79" spans="2:32">
      <c r="B79" s="122">
        <f t="shared" si="6"/>
        <v>67881629</v>
      </c>
      <c r="C79" s="122" t="str">
        <f>VLOOKUP($B79,'Tech Litons'!$A:$I,3,0)</f>
        <v>BJ PTS</v>
      </c>
      <c r="D79" s="122" t="str">
        <f>VLOOKUP($B79,'Tech Litons'!$A:$I,4,0)</f>
        <v>BJ PTS</v>
      </c>
      <c r="E79" s="598" t="s">
        <v>337</v>
      </c>
      <c r="F79" s="598">
        <v>67881629</v>
      </c>
      <c r="G79" s="599">
        <v>44930.427508192202</v>
      </c>
      <c r="H79" s="599">
        <v>63785.9680317249</v>
      </c>
      <c r="I79" s="599">
        <v>67948.827142184295</v>
      </c>
      <c r="J79" s="599">
        <v>57808.932442926198</v>
      </c>
      <c r="K79" s="599">
        <v>57390.906446806097</v>
      </c>
      <c r="L79" s="599">
        <v>70514.456064331607</v>
      </c>
      <c r="M79" s="599">
        <v>56744.170435666099</v>
      </c>
      <c r="N79" s="599">
        <v>61317.606947903703</v>
      </c>
      <c r="O79" s="599">
        <v>53908.8864562694</v>
      </c>
      <c r="P79" s="599">
        <v>55723.665412804199</v>
      </c>
      <c r="Q79" s="599">
        <v>51553.0186945186</v>
      </c>
      <c r="R79" s="599">
        <v>44814.382857856501</v>
      </c>
      <c r="S79" s="169">
        <f t="shared" si="9"/>
        <v>686441.24844118371</v>
      </c>
      <c r="T79" s="122">
        <f>VLOOKUP($B79,'Tech Litons'!$A:$I,9,0)</f>
        <v>240</v>
      </c>
      <c r="U79" s="179">
        <f t="shared" si="8"/>
        <v>187.2101146174675</v>
      </c>
      <c r="V79" s="179">
        <f t="shared" si="8"/>
        <v>265.77486679885374</v>
      </c>
      <c r="W79" s="179">
        <f t="shared" si="8"/>
        <v>283.12011309243456</v>
      </c>
      <c r="X79" s="179">
        <f t="shared" si="8"/>
        <v>240.87055184552582</v>
      </c>
      <c r="Y79" s="179">
        <f t="shared" si="8"/>
        <v>239.12877686169207</v>
      </c>
      <c r="Z79" s="179">
        <f t="shared" si="8"/>
        <v>293.8102336013817</v>
      </c>
      <c r="AA79" s="179">
        <f t="shared" si="10"/>
        <v>236.43404348194207</v>
      </c>
      <c r="AB79" s="179">
        <f t="shared" si="10"/>
        <v>255.49002894959875</v>
      </c>
      <c r="AC79" s="179">
        <f t="shared" si="10"/>
        <v>224.62036023445583</v>
      </c>
      <c r="AD79" s="179">
        <f t="shared" si="10"/>
        <v>232.18193922001748</v>
      </c>
      <c r="AE79" s="179">
        <f t="shared" si="10"/>
        <v>214.80424456049417</v>
      </c>
      <c r="AF79" s="179">
        <f t="shared" si="10"/>
        <v>186.72659524106876</v>
      </c>
    </row>
    <row r="80" spans="2:32">
      <c r="B80" s="122">
        <f t="shared" si="6"/>
        <v>68922106</v>
      </c>
      <c r="C80" s="122" t="e">
        <f>VLOOKUP($B80,'Tech Litons'!$A:$I,3,0)</f>
        <v>#N/A</v>
      </c>
      <c r="D80" s="122" t="e">
        <f>VLOOKUP($B80,'Tech Litons'!$A:$I,4,0)</f>
        <v>#N/A</v>
      </c>
      <c r="E80" s="598" t="s">
        <v>274</v>
      </c>
      <c r="F80" s="598">
        <v>68922106</v>
      </c>
      <c r="G80" s="599">
        <v>62062.2457733173</v>
      </c>
      <c r="H80" s="599">
        <v>58388.051823349902</v>
      </c>
      <c r="I80" s="599">
        <v>66960.381461174402</v>
      </c>
      <c r="J80" s="599">
        <v>61141.004777139002</v>
      </c>
      <c r="K80" s="599">
        <v>70620.727797393803</v>
      </c>
      <c r="L80" s="599">
        <v>67215.525118777194</v>
      </c>
      <c r="M80" s="599">
        <v>50794.049046178101</v>
      </c>
      <c r="N80" s="599">
        <v>54489.500748646198</v>
      </c>
      <c r="O80" s="599">
        <v>54073.564581412698</v>
      </c>
      <c r="P80" s="599">
        <v>52498.338277939903</v>
      </c>
      <c r="Q80" s="599">
        <v>41218.200189812902</v>
      </c>
      <c r="R80" s="599">
        <v>38708.052499010199</v>
      </c>
      <c r="S80" s="169">
        <f t="shared" si="9"/>
        <v>678169.6420941517</v>
      </c>
      <c r="T80" s="122" t="e">
        <f>VLOOKUP($B80,'Tech Litons'!$A:$I,9,0)</f>
        <v>#N/A</v>
      </c>
      <c r="U80" s="179" t="e">
        <f t="shared" si="8"/>
        <v>#N/A</v>
      </c>
      <c r="V80" s="179" t="e">
        <f t="shared" si="8"/>
        <v>#N/A</v>
      </c>
      <c r="W80" s="179" t="e">
        <f t="shared" si="8"/>
        <v>#N/A</v>
      </c>
      <c r="X80" s="179" t="e">
        <f t="shared" si="8"/>
        <v>#N/A</v>
      </c>
      <c r="Y80" s="179" t="e">
        <f t="shared" si="8"/>
        <v>#N/A</v>
      </c>
      <c r="Z80" s="179" t="e">
        <f t="shared" si="8"/>
        <v>#N/A</v>
      </c>
      <c r="AA80" s="179" t="e">
        <f t="shared" si="10"/>
        <v>#N/A</v>
      </c>
      <c r="AB80" s="179" t="e">
        <f t="shared" si="10"/>
        <v>#N/A</v>
      </c>
      <c r="AC80" s="179" t="e">
        <f t="shared" si="10"/>
        <v>#N/A</v>
      </c>
      <c r="AD80" s="179" t="e">
        <f t="shared" si="10"/>
        <v>#N/A</v>
      </c>
      <c r="AE80" s="179" t="e">
        <f t="shared" si="10"/>
        <v>#N/A</v>
      </c>
      <c r="AF80" s="179" t="e">
        <f t="shared" si="10"/>
        <v>#N/A</v>
      </c>
    </row>
    <row r="81" spans="2:32">
      <c r="B81" s="122">
        <f t="shared" si="6"/>
        <v>68821735</v>
      </c>
      <c r="C81" s="122" t="str">
        <f>VLOOKUP($B81,'Tech Litons'!$A:$I,3,0)</f>
        <v>48oz</v>
      </c>
      <c r="D81" s="122" t="str">
        <f>VLOOKUP($B81,'Tech Litons'!$A:$I,4,0)</f>
        <v>48oz</v>
      </c>
      <c r="E81" s="598" t="s">
        <v>1002</v>
      </c>
      <c r="F81" s="598">
        <v>68821735</v>
      </c>
      <c r="G81" s="599">
        <v>43469.045033619201</v>
      </c>
      <c r="H81" s="599">
        <v>48427.467481656597</v>
      </c>
      <c r="I81" s="599">
        <v>59228.065395228899</v>
      </c>
      <c r="J81" s="599">
        <v>68407.765496787193</v>
      </c>
      <c r="K81" s="599">
        <v>55964.296118072903</v>
      </c>
      <c r="L81" s="599">
        <v>70449.891369116594</v>
      </c>
      <c r="M81" s="599">
        <v>61365.931166217997</v>
      </c>
      <c r="N81" s="599">
        <v>56079.411448100604</v>
      </c>
      <c r="O81" s="599">
        <v>47777.753841612401</v>
      </c>
      <c r="P81" s="599">
        <v>52463.440599241898</v>
      </c>
      <c r="Q81" s="599">
        <v>56208.447206817298</v>
      </c>
      <c r="R81" s="599">
        <v>48955.402651162003</v>
      </c>
      <c r="S81" s="169">
        <f t="shared" si="9"/>
        <v>668796.91780763364</v>
      </c>
      <c r="T81" s="122">
        <f>VLOOKUP($B81,'Tech Litons'!$A:$I,9,0)</f>
        <v>176</v>
      </c>
      <c r="U81" s="179">
        <f t="shared" si="8"/>
        <v>246.98321041829092</v>
      </c>
      <c r="V81" s="179">
        <f t="shared" si="8"/>
        <v>275.15606523668521</v>
      </c>
      <c r="W81" s="179">
        <f t="shared" si="8"/>
        <v>336.52309883652782</v>
      </c>
      <c r="X81" s="179">
        <f t="shared" si="8"/>
        <v>388.68048577719998</v>
      </c>
      <c r="Y81" s="179">
        <f t="shared" si="8"/>
        <v>317.9789552163233</v>
      </c>
      <c r="Z81" s="179">
        <f t="shared" si="8"/>
        <v>400.28347368816247</v>
      </c>
      <c r="AA81" s="179">
        <f t="shared" si="10"/>
        <v>348.67006344442046</v>
      </c>
      <c r="AB81" s="179">
        <f t="shared" si="10"/>
        <v>318.63301959148072</v>
      </c>
      <c r="AC81" s="179">
        <f t="shared" si="10"/>
        <v>271.4645104637068</v>
      </c>
      <c r="AD81" s="179">
        <f t="shared" si="10"/>
        <v>298.08773067751076</v>
      </c>
      <c r="AE81" s="179">
        <f t="shared" si="10"/>
        <v>319.36617731146191</v>
      </c>
      <c r="AF81" s="179">
        <f t="shared" si="10"/>
        <v>278.1556968816023</v>
      </c>
    </row>
    <row r="82" spans="2:32">
      <c r="B82" s="122">
        <f t="shared" si="6"/>
        <v>68649095</v>
      </c>
      <c r="C82" s="122" t="str">
        <f>VLOOKUP($B82,'Tech Litons'!$A:$I,3,0)</f>
        <v>Topped</v>
      </c>
      <c r="D82" s="122" t="str">
        <f>VLOOKUP($B82,'Tech Litons'!$A:$I,4,0)</f>
        <v>SP1</v>
      </c>
      <c r="E82" s="598" t="s">
        <v>294</v>
      </c>
      <c r="F82" s="598">
        <v>68649095</v>
      </c>
      <c r="G82" s="599">
        <v>39567.064150170503</v>
      </c>
      <c r="H82" s="599">
        <v>59139.251765281202</v>
      </c>
      <c r="I82" s="599">
        <v>68467.455518129194</v>
      </c>
      <c r="J82" s="599">
        <v>57331.362848366698</v>
      </c>
      <c r="K82" s="599">
        <v>54673.007079441297</v>
      </c>
      <c r="L82" s="599">
        <v>68809.442730398398</v>
      </c>
      <c r="M82" s="599">
        <v>52443.834202144899</v>
      </c>
      <c r="N82" s="599">
        <v>58002.559228633698</v>
      </c>
      <c r="O82" s="599">
        <v>52020.578144343999</v>
      </c>
      <c r="P82" s="599">
        <v>54414.869909435001</v>
      </c>
      <c r="Q82" s="599">
        <v>48563.813545712401</v>
      </c>
      <c r="R82" s="599">
        <v>41631.591126694999</v>
      </c>
      <c r="S82" s="169">
        <f t="shared" si="9"/>
        <v>655064.83024875226</v>
      </c>
      <c r="T82" s="122">
        <f>VLOOKUP($B82,'Tech Litons'!$A:$I,9,0)</f>
        <v>240</v>
      </c>
      <c r="U82" s="179">
        <f t="shared" si="8"/>
        <v>164.8627672923771</v>
      </c>
      <c r="V82" s="179">
        <f t="shared" si="8"/>
        <v>246.41354902200501</v>
      </c>
      <c r="W82" s="179">
        <f t="shared" si="8"/>
        <v>285.28106465887163</v>
      </c>
      <c r="X82" s="179">
        <f t="shared" si="8"/>
        <v>238.88067853486123</v>
      </c>
      <c r="Y82" s="179">
        <f t="shared" si="8"/>
        <v>227.80419616433875</v>
      </c>
      <c r="Z82" s="179">
        <f t="shared" si="8"/>
        <v>286.70601137666</v>
      </c>
      <c r="AA82" s="179">
        <f t="shared" si="10"/>
        <v>218.51597584227042</v>
      </c>
      <c r="AB82" s="179">
        <f t="shared" si="10"/>
        <v>241.67733011930707</v>
      </c>
      <c r="AC82" s="179">
        <f t="shared" si="10"/>
        <v>216.75240893476666</v>
      </c>
      <c r="AD82" s="179">
        <f t="shared" si="10"/>
        <v>226.72862462264584</v>
      </c>
      <c r="AE82" s="179">
        <f t="shared" si="10"/>
        <v>202.349223107135</v>
      </c>
      <c r="AF82" s="179">
        <f t="shared" si="10"/>
        <v>173.46496302789583</v>
      </c>
    </row>
    <row r="83" spans="2:32">
      <c r="B83" s="122">
        <f t="shared" si="6"/>
        <v>68730254</v>
      </c>
      <c r="C83" s="122" t="e">
        <f>VLOOKUP($B83,'Tech Litons'!$A:$I,3,0)</f>
        <v>#N/A</v>
      </c>
      <c r="D83" s="122" t="e">
        <f>VLOOKUP($B83,'Tech Litons'!$A:$I,4,0)</f>
        <v>#N/A</v>
      </c>
      <c r="E83" s="598" t="s">
        <v>976</v>
      </c>
      <c r="F83" s="598">
        <v>68730254</v>
      </c>
      <c r="G83" s="599">
        <v>50035.052728932496</v>
      </c>
      <c r="H83" s="599">
        <v>49020.544495024398</v>
      </c>
      <c r="I83" s="599">
        <v>57700.484178077597</v>
      </c>
      <c r="J83" s="599">
        <v>59174.254859174704</v>
      </c>
      <c r="K83" s="599">
        <v>67000.372949330005</v>
      </c>
      <c r="L83" s="599">
        <v>70828.331117041496</v>
      </c>
      <c r="M83" s="599">
        <v>57752.996941629499</v>
      </c>
      <c r="N83" s="599">
        <v>56082.450447229399</v>
      </c>
      <c r="O83" s="599">
        <v>50934.179711929501</v>
      </c>
      <c r="P83" s="599">
        <v>51561.259998466601</v>
      </c>
      <c r="Q83" s="599">
        <v>40003.732590916799</v>
      </c>
      <c r="R83" s="599">
        <v>37424.556461082597</v>
      </c>
      <c r="S83" s="169">
        <f t="shared" si="9"/>
        <v>647518.21647883509</v>
      </c>
      <c r="T83" s="122" t="e">
        <f>VLOOKUP($B83,'Tech Litons'!$A:$I,9,0)</f>
        <v>#N/A</v>
      </c>
      <c r="U83" s="179" t="e">
        <f t="shared" si="8"/>
        <v>#N/A</v>
      </c>
      <c r="V83" s="179" t="e">
        <f t="shared" si="8"/>
        <v>#N/A</v>
      </c>
      <c r="W83" s="179" t="e">
        <f t="shared" si="8"/>
        <v>#N/A</v>
      </c>
      <c r="X83" s="179" t="e">
        <f t="shared" si="8"/>
        <v>#N/A</v>
      </c>
      <c r="Y83" s="179" t="e">
        <f t="shared" si="8"/>
        <v>#N/A</v>
      </c>
      <c r="Z83" s="179" t="e">
        <f t="shared" si="8"/>
        <v>#N/A</v>
      </c>
      <c r="AA83" s="179" t="e">
        <f t="shared" si="10"/>
        <v>#N/A</v>
      </c>
      <c r="AB83" s="179" t="e">
        <f t="shared" si="10"/>
        <v>#N/A</v>
      </c>
      <c r="AC83" s="179" t="e">
        <f t="shared" si="10"/>
        <v>#N/A</v>
      </c>
      <c r="AD83" s="179" t="e">
        <f t="shared" si="10"/>
        <v>#N/A</v>
      </c>
      <c r="AE83" s="179" t="e">
        <f t="shared" si="10"/>
        <v>#N/A</v>
      </c>
      <c r="AF83" s="179" t="e">
        <f t="shared" si="10"/>
        <v>#N/A</v>
      </c>
    </row>
    <row r="84" spans="2:32">
      <c r="B84" s="122">
        <f t="shared" si="6"/>
        <v>64389651</v>
      </c>
      <c r="C84" s="122" t="str">
        <f>VLOOKUP($B84,'Tech Litons'!$A:$I,3,0)</f>
        <v>48oz</v>
      </c>
      <c r="D84" s="122" t="str">
        <f>VLOOKUP($B84,'Tech Litons'!$A:$I,4,0)</f>
        <v>48oz</v>
      </c>
      <c r="E84" s="598" t="s">
        <v>355</v>
      </c>
      <c r="F84" s="598">
        <v>64389651</v>
      </c>
      <c r="G84" s="599">
        <v>41823.086698029401</v>
      </c>
      <c r="H84" s="599">
        <v>44783.488823221101</v>
      </c>
      <c r="I84" s="599">
        <v>56012.355310697902</v>
      </c>
      <c r="J84" s="599">
        <v>63238.883175240997</v>
      </c>
      <c r="K84" s="599">
        <v>57806.389165837398</v>
      </c>
      <c r="L84" s="599">
        <v>70360.632126877506</v>
      </c>
      <c r="M84" s="599">
        <v>54234.739128999303</v>
      </c>
      <c r="N84" s="599">
        <v>51067.346550403498</v>
      </c>
      <c r="O84" s="599">
        <v>40648.2096659663</v>
      </c>
      <c r="P84" s="599">
        <v>44344.057300183304</v>
      </c>
      <c r="Q84" s="599">
        <v>49438.0699274297</v>
      </c>
      <c r="R84" s="599">
        <v>42291.647980373797</v>
      </c>
      <c r="S84" s="169">
        <f t="shared" si="9"/>
        <v>616048.90585326019</v>
      </c>
      <c r="T84" s="122">
        <f>VLOOKUP($B84,'Tech Litons'!$A:$I,9,0)</f>
        <v>176</v>
      </c>
      <c r="U84" s="179">
        <f t="shared" si="8"/>
        <v>237.63117442062159</v>
      </c>
      <c r="V84" s="179">
        <f t="shared" si="8"/>
        <v>254.45164104102898</v>
      </c>
      <c r="W84" s="179">
        <f t="shared" si="8"/>
        <v>318.25201881078351</v>
      </c>
      <c r="X84" s="179">
        <f t="shared" si="8"/>
        <v>359.31183622296021</v>
      </c>
      <c r="Y84" s="179">
        <f t="shared" si="8"/>
        <v>328.44539298771247</v>
      </c>
      <c r="Z84" s="179">
        <f t="shared" si="8"/>
        <v>399.77631890271311</v>
      </c>
      <c r="AA84" s="179">
        <f t="shared" si="10"/>
        <v>308.1519268693142</v>
      </c>
      <c r="AB84" s="179">
        <f t="shared" si="10"/>
        <v>290.15537812729258</v>
      </c>
      <c r="AC84" s="179">
        <f t="shared" si="10"/>
        <v>230.9557367384449</v>
      </c>
      <c r="AD84" s="179">
        <f t="shared" si="10"/>
        <v>251.95487102376876</v>
      </c>
      <c r="AE84" s="179">
        <f t="shared" si="10"/>
        <v>280.89812458766875</v>
      </c>
      <c r="AF84" s="179">
        <f t="shared" si="10"/>
        <v>240.29345443394203</v>
      </c>
    </row>
    <row r="85" spans="2:32">
      <c r="B85" s="122">
        <f t="shared" si="6"/>
        <v>64325512</v>
      </c>
      <c r="C85" s="122" t="str">
        <f>VLOOKUP($B85,'Tech Litons'!$A:$I,3,0)</f>
        <v>Yasso Sticks</v>
      </c>
      <c r="D85" s="122" t="str">
        <f>VLOOKUP($B85,'Tech Litons'!$A:$I,4,0)</f>
        <v>Yasso Sticks</v>
      </c>
      <c r="E85" s="598" t="s">
        <v>237</v>
      </c>
      <c r="F85" s="598">
        <v>64325512</v>
      </c>
      <c r="G85" s="599">
        <v>34836.4562911553</v>
      </c>
      <c r="H85" s="599">
        <v>41357.146350641502</v>
      </c>
      <c r="I85" s="599">
        <v>46380.245649465403</v>
      </c>
      <c r="J85" s="599">
        <v>53501.307658810299</v>
      </c>
      <c r="K85" s="599">
        <v>58470.752742508397</v>
      </c>
      <c r="L85" s="599">
        <v>55159.606414649403</v>
      </c>
      <c r="M85" s="599">
        <v>62982.832842982803</v>
      </c>
      <c r="N85" s="599">
        <v>60491.318830436903</v>
      </c>
      <c r="O85" s="599">
        <v>58600.927628190402</v>
      </c>
      <c r="P85" s="599">
        <v>52192.921215613198</v>
      </c>
      <c r="Q85" s="599">
        <v>42992.493004300297</v>
      </c>
      <c r="R85" s="599">
        <v>40047.046553480999</v>
      </c>
      <c r="S85" s="169">
        <f t="shared" si="9"/>
        <v>607013.05518223497</v>
      </c>
      <c r="T85" s="122">
        <f>VLOOKUP($B85,'Tech Litons'!$A:$I,9,0)</f>
        <v>187</v>
      </c>
      <c r="U85" s="179">
        <f t="shared" si="8"/>
        <v>186.29121011312995</v>
      </c>
      <c r="V85" s="179">
        <f t="shared" si="8"/>
        <v>221.16121043123798</v>
      </c>
      <c r="W85" s="179">
        <f t="shared" si="8"/>
        <v>248.02270400783638</v>
      </c>
      <c r="X85" s="179">
        <f t="shared" si="8"/>
        <v>286.10324951235452</v>
      </c>
      <c r="Y85" s="179">
        <f t="shared" si="8"/>
        <v>312.67782215245131</v>
      </c>
      <c r="Z85" s="179">
        <f t="shared" si="8"/>
        <v>294.97115729759037</v>
      </c>
      <c r="AA85" s="179">
        <f t="shared" si="10"/>
        <v>336.80659274322358</v>
      </c>
      <c r="AB85" s="179">
        <f t="shared" si="10"/>
        <v>323.4829883980583</v>
      </c>
      <c r="AC85" s="179">
        <f t="shared" si="10"/>
        <v>313.37394453577753</v>
      </c>
      <c r="AD85" s="179">
        <f t="shared" si="10"/>
        <v>279.10653056477645</v>
      </c>
      <c r="AE85" s="179">
        <f t="shared" si="10"/>
        <v>229.90637970214061</v>
      </c>
      <c r="AF85" s="179">
        <f t="shared" si="10"/>
        <v>214.155329163</v>
      </c>
    </row>
    <row r="86" spans="2:32">
      <c r="B86" s="122">
        <f t="shared" si="6"/>
        <v>68521425</v>
      </c>
      <c r="C86" s="122" t="str">
        <f>VLOOKUP($B86,'Tech Litons'!$A:$I,3,0)</f>
        <v>Other</v>
      </c>
      <c r="D86" s="122" t="str">
        <f>VLOOKUP($B86,'Tech Litons'!$A:$I,4,0)</f>
        <v>Other</v>
      </c>
      <c r="E86" s="598" t="s">
        <v>611</v>
      </c>
      <c r="F86" s="598">
        <v>68521425</v>
      </c>
      <c r="G86" s="599">
        <v>16507.71</v>
      </c>
      <c r="H86" s="599">
        <v>28763.15</v>
      </c>
      <c r="I86" s="599">
        <v>41088.870000000003</v>
      </c>
      <c r="J86" s="599">
        <v>16173.609999999901</v>
      </c>
      <c r="K86" s="599">
        <v>75368.429999999993</v>
      </c>
      <c r="L86" s="599">
        <v>72357.169999999896</v>
      </c>
      <c r="M86" s="599">
        <v>102627.98</v>
      </c>
      <c r="N86" s="599">
        <v>82842.28</v>
      </c>
      <c r="O86" s="599">
        <v>48267.17</v>
      </c>
      <c r="P86" s="599">
        <v>44970.729999999901</v>
      </c>
      <c r="Q86" s="599">
        <v>35986.999999999898</v>
      </c>
      <c r="R86" s="599">
        <v>37706.720000000001</v>
      </c>
      <c r="S86" s="169">
        <f t="shared" si="9"/>
        <v>602660.8199999996</v>
      </c>
      <c r="T86" s="122">
        <f>VLOOKUP($B86,'Tech Litons'!$A:$I,9,0)</f>
        <v>216</v>
      </c>
      <c r="U86" s="179">
        <f t="shared" si="8"/>
        <v>76.424583333333331</v>
      </c>
      <c r="V86" s="179">
        <f t="shared" si="8"/>
        <v>133.1627314814815</v>
      </c>
      <c r="W86" s="179">
        <f t="shared" si="8"/>
        <v>190.22625000000002</v>
      </c>
      <c r="X86" s="179">
        <f t="shared" si="8"/>
        <v>74.877824074073615</v>
      </c>
      <c r="Y86" s="179">
        <f t="shared" si="8"/>
        <v>348.92791666666665</v>
      </c>
      <c r="Z86" s="179">
        <f t="shared" si="8"/>
        <v>334.98689814814765</v>
      </c>
      <c r="AA86" s="179">
        <f t="shared" si="10"/>
        <v>475.12953703703704</v>
      </c>
      <c r="AB86" s="179">
        <f t="shared" si="10"/>
        <v>383.52907407407406</v>
      </c>
      <c r="AC86" s="179">
        <f t="shared" si="10"/>
        <v>223.45912037037036</v>
      </c>
      <c r="AD86" s="179">
        <f t="shared" si="10"/>
        <v>208.19782407407362</v>
      </c>
      <c r="AE86" s="179">
        <f t="shared" si="10"/>
        <v>166.60648148148101</v>
      </c>
      <c r="AF86" s="179">
        <f t="shared" si="10"/>
        <v>174.56814814814814</v>
      </c>
    </row>
    <row r="87" spans="2:32">
      <c r="B87" s="122">
        <f t="shared" si="6"/>
        <v>68726982</v>
      </c>
      <c r="C87" s="122" t="e">
        <f>VLOOKUP($B87,'Tech Litons'!$A:$I,3,0)</f>
        <v>#N/A</v>
      </c>
      <c r="D87" s="122" t="e">
        <f>VLOOKUP($B87,'Tech Litons'!$A:$I,4,0)</f>
        <v>#N/A</v>
      </c>
      <c r="E87" s="598" t="s">
        <v>968</v>
      </c>
      <c r="F87" s="598">
        <v>68726982</v>
      </c>
      <c r="G87" s="599">
        <v>42643.563233332803</v>
      </c>
      <c r="H87" s="599">
        <v>42854.769879896703</v>
      </c>
      <c r="I87" s="599">
        <v>51937.109978218701</v>
      </c>
      <c r="J87" s="599">
        <v>53364.5592014879</v>
      </c>
      <c r="K87" s="599">
        <v>58504.136699579904</v>
      </c>
      <c r="L87" s="599">
        <v>67467.654096614002</v>
      </c>
      <c r="M87" s="599">
        <v>52453.656967536503</v>
      </c>
      <c r="N87" s="599">
        <v>53142.287874608897</v>
      </c>
      <c r="O87" s="599">
        <v>44970.121292664597</v>
      </c>
      <c r="P87" s="599">
        <v>44930.566046101398</v>
      </c>
      <c r="Q87" s="599">
        <v>34496.561769631</v>
      </c>
      <c r="R87" s="599">
        <v>34631.657673076101</v>
      </c>
      <c r="S87" s="169">
        <f t="shared" si="9"/>
        <v>581396.64471274859</v>
      </c>
      <c r="T87" s="122" t="e">
        <f>VLOOKUP($B87,'Tech Litons'!$A:$I,9,0)</f>
        <v>#N/A</v>
      </c>
      <c r="U87" s="179" t="e">
        <f t="shared" si="8"/>
        <v>#N/A</v>
      </c>
      <c r="V87" s="179" t="e">
        <f t="shared" si="8"/>
        <v>#N/A</v>
      </c>
      <c r="W87" s="179" t="e">
        <f t="shared" si="8"/>
        <v>#N/A</v>
      </c>
      <c r="X87" s="179" t="e">
        <f t="shared" si="8"/>
        <v>#N/A</v>
      </c>
      <c r="Y87" s="179" t="e">
        <f t="shared" si="8"/>
        <v>#N/A</v>
      </c>
      <c r="Z87" s="179" t="e">
        <f t="shared" si="8"/>
        <v>#N/A</v>
      </c>
      <c r="AA87" s="179" t="e">
        <f t="shared" si="10"/>
        <v>#N/A</v>
      </c>
      <c r="AB87" s="179" t="e">
        <f t="shared" si="10"/>
        <v>#N/A</v>
      </c>
      <c r="AC87" s="179" t="e">
        <f t="shared" si="10"/>
        <v>#N/A</v>
      </c>
      <c r="AD87" s="179" t="e">
        <f t="shared" si="10"/>
        <v>#N/A</v>
      </c>
      <c r="AE87" s="179" t="e">
        <f t="shared" si="10"/>
        <v>#N/A</v>
      </c>
      <c r="AF87" s="179" t="e">
        <f t="shared" si="10"/>
        <v>#N/A</v>
      </c>
    </row>
    <row r="88" spans="2:32">
      <c r="B88" s="122">
        <f t="shared" si="6"/>
        <v>68821734</v>
      </c>
      <c r="C88" s="122" t="str">
        <f>VLOOKUP($B88,'Tech Litons'!$A:$I,3,0)</f>
        <v>48oz</v>
      </c>
      <c r="D88" s="122" t="str">
        <f>VLOOKUP($B88,'Tech Litons'!$A:$I,4,0)</f>
        <v>48oz</v>
      </c>
      <c r="E88" s="598" t="s">
        <v>370</v>
      </c>
      <c r="F88" s="598">
        <v>68821734</v>
      </c>
      <c r="G88" s="599">
        <v>44423.520414002203</v>
      </c>
      <c r="H88" s="599">
        <v>42988.712859260799</v>
      </c>
      <c r="I88" s="599">
        <v>48938.568481964401</v>
      </c>
      <c r="J88" s="599">
        <v>56997.734436184503</v>
      </c>
      <c r="K88" s="599">
        <v>52568.018126625197</v>
      </c>
      <c r="L88" s="599">
        <v>63515.802126038703</v>
      </c>
      <c r="M88" s="599">
        <v>52787.1529973082</v>
      </c>
      <c r="N88" s="599">
        <v>49207.275289949197</v>
      </c>
      <c r="O88" s="599">
        <v>36841.159490525497</v>
      </c>
      <c r="P88" s="599">
        <v>41936.3333409236</v>
      </c>
      <c r="Q88" s="599">
        <v>47561.667354763304</v>
      </c>
      <c r="R88" s="599">
        <v>39727.871020178798</v>
      </c>
      <c r="S88" s="169">
        <f t="shared" si="9"/>
        <v>577493.81593772431</v>
      </c>
      <c r="T88" s="122">
        <f>VLOOKUP($B88,'Tech Litons'!$A:$I,9,0)</f>
        <v>176</v>
      </c>
      <c r="U88" s="179">
        <f t="shared" si="8"/>
        <v>252.40636598864887</v>
      </c>
      <c r="V88" s="179">
        <f t="shared" si="8"/>
        <v>244.25405033670907</v>
      </c>
      <c r="W88" s="179">
        <f t="shared" si="8"/>
        <v>278.06004819297954</v>
      </c>
      <c r="X88" s="179">
        <f t="shared" si="8"/>
        <v>323.85076384195742</v>
      </c>
      <c r="Y88" s="179">
        <f t="shared" si="8"/>
        <v>298.68192117400679</v>
      </c>
      <c r="Z88" s="179">
        <f t="shared" si="8"/>
        <v>360.88523935249265</v>
      </c>
      <c r="AA88" s="179">
        <f t="shared" si="10"/>
        <v>299.92700566652388</v>
      </c>
      <c r="AB88" s="179">
        <f t="shared" si="10"/>
        <v>279.58679142016587</v>
      </c>
      <c r="AC88" s="179">
        <f t="shared" si="10"/>
        <v>209.32476983253125</v>
      </c>
      <c r="AD88" s="179">
        <f t="shared" si="10"/>
        <v>238.27462125524772</v>
      </c>
      <c r="AE88" s="179">
        <f t="shared" si="10"/>
        <v>270.23674633388242</v>
      </c>
      <c r="AF88" s="179">
        <f t="shared" si="10"/>
        <v>225.72653988737954</v>
      </c>
    </row>
    <row r="89" spans="2:32">
      <c r="B89" s="122">
        <f t="shared" si="6"/>
        <v>68188183</v>
      </c>
      <c r="C89" s="122" t="e">
        <f>VLOOKUP($B89,'Tech Litons'!$A:$I,3,0)</f>
        <v>#N/A</v>
      </c>
      <c r="D89" s="122" t="e">
        <f>VLOOKUP($B89,'Tech Litons'!$A:$I,4,0)</f>
        <v>#N/A</v>
      </c>
      <c r="E89" s="598" t="s">
        <v>285</v>
      </c>
      <c r="F89" s="598">
        <v>68188183</v>
      </c>
      <c r="G89" s="599">
        <v>39063.885079629799</v>
      </c>
      <c r="H89" s="599">
        <v>43550.6236691464</v>
      </c>
      <c r="I89" s="599">
        <v>51220.929284013902</v>
      </c>
      <c r="J89" s="599">
        <v>44529.801468370097</v>
      </c>
      <c r="K89" s="599">
        <v>73182.668390111197</v>
      </c>
      <c r="L89" s="599">
        <v>77563.281475492506</v>
      </c>
      <c r="M89" s="599">
        <v>65792.220175481096</v>
      </c>
      <c r="N89" s="599">
        <v>47299.680281751302</v>
      </c>
      <c r="O89" s="599">
        <v>37953.352582109401</v>
      </c>
      <c r="P89" s="599">
        <v>33728.299971593602</v>
      </c>
      <c r="Q89" s="599">
        <v>32847.839133158799</v>
      </c>
      <c r="R89" s="599">
        <v>29841.969705167001</v>
      </c>
      <c r="S89" s="169">
        <f t="shared" si="9"/>
        <v>576574.55121602514</v>
      </c>
      <c r="T89" s="122" t="e">
        <f>VLOOKUP($B89,'Tech Litons'!$A:$I,9,0)</f>
        <v>#N/A</v>
      </c>
      <c r="U89" s="179" t="e">
        <f t="shared" si="8"/>
        <v>#N/A</v>
      </c>
      <c r="V89" s="179" t="e">
        <f t="shared" si="8"/>
        <v>#N/A</v>
      </c>
      <c r="W89" s="179" t="e">
        <f t="shared" si="8"/>
        <v>#N/A</v>
      </c>
      <c r="X89" s="179" t="e">
        <f t="shared" si="8"/>
        <v>#N/A</v>
      </c>
      <c r="Y89" s="179" t="e">
        <f t="shared" si="8"/>
        <v>#N/A</v>
      </c>
      <c r="Z89" s="179" t="e">
        <f t="shared" si="8"/>
        <v>#N/A</v>
      </c>
      <c r="AA89" s="179" t="e">
        <f t="shared" si="10"/>
        <v>#N/A</v>
      </c>
      <c r="AB89" s="179" t="e">
        <f t="shared" si="10"/>
        <v>#N/A</v>
      </c>
      <c r="AC89" s="179" t="e">
        <f t="shared" si="10"/>
        <v>#N/A</v>
      </c>
      <c r="AD89" s="179" t="e">
        <f t="shared" si="10"/>
        <v>#N/A</v>
      </c>
      <c r="AE89" s="179" t="e">
        <f t="shared" si="10"/>
        <v>#N/A</v>
      </c>
      <c r="AF89" s="179" t="e">
        <f t="shared" si="10"/>
        <v>#N/A</v>
      </c>
    </row>
    <row r="90" spans="2:32">
      <c r="B90" s="122">
        <f t="shared" si="6"/>
        <v>69571484</v>
      </c>
      <c r="C90" s="122" t="str">
        <f>VLOOKUP($B90,'Tech Litons'!$A:$I,3,0)</f>
        <v>MG Sticks</v>
      </c>
      <c r="D90" s="122" t="str">
        <f>VLOOKUP($B90,'Tech Litons'!$A:$I,4,0)</f>
        <v>MG Sticks</v>
      </c>
      <c r="E90" s="598" t="s">
        <v>890</v>
      </c>
      <c r="F90" s="598">
        <v>69571484</v>
      </c>
      <c r="G90" s="600">
        <v>18807.657730478099</v>
      </c>
      <c r="H90" s="599">
        <v>31784.429405922099</v>
      </c>
      <c r="I90" s="599">
        <v>43280.778482817601</v>
      </c>
      <c r="J90" s="599">
        <v>59131.115861418097</v>
      </c>
      <c r="K90" s="599">
        <v>55237.049136605703</v>
      </c>
      <c r="L90" s="599">
        <v>90599.489290557001</v>
      </c>
      <c r="M90" s="599">
        <v>60262.599929484997</v>
      </c>
      <c r="N90" s="599">
        <v>54695.893363715099</v>
      </c>
      <c r="O90" s="599">
        <v>47282.702040389799</v>
      </c>
      <c r="P90" s="599">
        <v>43118.672331105299</v>
      </c>
      <c r="Q90" s="599">
        <v>35113.422050706598</v>
      </c>
      <c r="R90" s="599">
        <v>34881.349072980702</v>
      </c>
      <c r="S90" s="169">
        <f t="shared" si="9"/>
        <v>574195.15869618114</v>
      </c>
      <c r="T90" s="122">
        <f>VLOOKUP($B90,'Tech Litons'!$A:$I,9,0)</f>
        <v>493</v>
      </c>
      <c r="U90" s="179">
        <f t="shared" si="8"/>
        <v>38.149407161213183</v>
      </c>
      <c r="V90" s="179">
        <f t="shared" si="8"/>
        <v>64.471459241221297</v>
      </c>
      <c r="W90" s="179">
        <f t="shared" si="8"/>
        <v>87.790625725796346</v>
      </c>
      <c r="X90" s="179">
        <f t="shared" si="8"/>
        <v>119.94141148360669</v>
      </c>
      <c r="Y90" s="179">
        <f t="shared" si="8"/>
        <v>112.04269601745578</v>
      </c>
      <c r="Z90" s="179">
        <f t="shared" si="8"/>
        <v>183.77178355082557</v>
      </c>
      <c r="AA90" s="179">
        <f t="shared" si="10"/>
        <v>122.23651101315416</v>
      </c>
      <c r="AB90" s="179">
        <f t="shared" si="10"/>
        <v>110.94501696493934</v>
      </c>
      <c r="AC90" s="179">
        <f t="shared" si="10"/>
        <v>95.908117728985388</v>
      </c>
      <c r="AD90" s="179">
        <f t="shared" si="10"/>
        <v>87.46181000224199</v>
      </c>
      <c r="AE90" s="179">
        <f t="shared" si="10"/>
        <v>71.223979818877481</v>
      </c>
      <c r="AF90" s="179">
        <f t="shared" si="10"/>
        <v>70.75324355574179</v>
      </c>
    </row>
    <row r="91" spans="2:32">
      <c r="B91" s="122">
        <f t="shared" si="6"/>
        <v>68741714</v>
      </c>
      <c r="C91" s="122" t="str">
        <f>VLOOKUP($B91,'Tech Litons'!$A:$I,3,0)</f>
        <v>MBG</v>
      </c>
      <c r="D91" s="122" t="str">
        <f>VLOOKUP($B91,'Tech Litons'!$A:$I,4,0)</f>
        <v>MBG</v>
      </c>
      <c r="E91" s="598" t="s">
        <v>923</v>
      </c>
      <c r="F91" s="598">
        <v>68741714</v>
      </c>
      <c r="G91" s="599">
        <v>29808.212713187098</v>
      </c>
      <c r="H91" s="599">
        <v>31520.448290255499</v>
      </c>
      <c r="I91" s="599">
        <v>43030.556778018297</v>
      </c>
      <c r="J91" s="599">
        <v>59656.443790175101</v>
      </c>
      <c r="K91" s="599">
        <v>79263.641596954199</v>
      </c>
      <c r="L91" s="599">
        <v>80583.580784016202</v>
      </c>
      <c r="M91" s="599">
        <v>72241.355389674805</v>
      </c>
      <c r="N91" s="599">
        <v>55786.9696193415</v>
      </c>
      <c r="O91" s="599">
        <v>39076.124658835201</v>
      </c>
      <c r="P91" s="599">
        <v>31908.969150289398</v>
      </c>
      <c r="Q91" s="599">
        <v>22163.560304709001</v>
      </c>
      <c r="R91" s="599">
        <v>27674.345583573398</v>
      </c>
      <c r="S91" s="169">
        <f t="shared" si="9"/>
        <v>572714.2086590298</v>
      </c>
      <c r="T91" s="122">
        <f>VLOOKUP($B91,'Tech Litons'!$A:$I,9,0)</f>
        <v>225</v>
      </c>
      <c r="U91" s="179">
        <f t="shared" si="8"/>
        <v>132.48094539194267</v>
      </c>
      <c r="V91" s="179">
        <f t="shared" si="8"/>
        <v>140.09088129002444</v>
      </c>
      <c r="W91" s="179">
        <f t="shared" si="8"/>
        <v>191.24691901341467</v>
      </c>
      <c r="X91" s="179">
        <f t="shared" si="8"/>
        <v>265.13975017855603</v>
      </c>
      <c r="Y91" s="179">
        <f t="shared" si="8"/>
        <v>352.28285154201865</v>
      </c>
      <c r="Z91" s="179">
        <f t="shared" si="8"/>
        <v>358.1492479289609</v>
      </c>
      <c r="AA91" s="179">
        <f t="shared" si="10"/>
        <v>321.07269062077694</v>
      </c>
      <c r="AB91" s="179">
        <f t="shared" si="10"/>
        <v>247.94208719707333</v>
      </c>
      <c r="AC91" s="179">
        <f t="shared" si="10"/>
        <v>173.67166515037866</v>
      </c>
      <c r="AD91" s="179">
        <f t="shared" si="10"/>
        <v>141.81764066795287</v>
      </c>
      <c r="AE91" s="179">
        <f t="shared" si="10"/>
        <v>98.504712465373331</v>
      </c>
      <c r="AF91" s="179">
        <f t="shared" si="10"/>
        <v>122.99709148254844</v>
      </c>
    </row>
    <row r="92" spans="2:32">
      <c r="B92" s="122">
        <f t="shared" si="6"/>
        <v>69568964</v>
      </c>
      <c r="C92" s="122" t="str">
        <f>VLOOKUP($B92,'Tech Litons'!$A:$I,3,0)</f>
        <v>48oz</v>
      </c>
      <c r="D92" s="122" t="str">
        <f>VLOOKUP($B92,'Tech Litons'!$A:$I,4,0)</f>
        <v>48oz</v>
      </c>
      <c r="E92" s="598" t="s">
        <v>1003</v>
      </c>
      <c r="F92" s="598">
        <v>69568964</v>
      </c>
      <c r="G92" s="600">
        <v>36773.015033962802</v>
      </c>
      <c r="H92" s="599">
        <v>40189.3446327079</v>
      </c>
      <c r="I92" s="599">
        <v>51314.506354543802</v>
      </c>
      <c r="J92" s="599">
        <v>58602.289940902498</v>
      </c>
      <c r="K92" s="599">
        <v>49807.689659238204</v>
      </c>
      <c r="L92" s="599">
        <v>61659.104748336998</v>
      </c>
      <c r="M92" s="599">
        <v>52001.766252633497</v>
      </c>
      <c r="N92" s="599">
        <v>48866.452474915</v>
      </c>
      <c r="O92" s="599">
        <v>39755.980662045797</v>
      </c>
      <c r="P92" s="599">
        <v>42334.774409242898</v>
      </c>
      <c r="Q92" s="599">
        <v>43268.608683368002</v>
      </c>
      <c r="R92" s="599">
        <v>40531.022293506699</v>
      </c>
      <c r="S92" s="169">
        <f t="shared" si="9"/>
        <v>565104.55514540407</v>
      </c>
      <c r="T92" s="122">
        <f>VLOOKUP($B92,'Tech Litons'!$A:$I,9,0)</f>
        <v>176</v>
      </c>
      <c r="U92" s="179">
        <f t="shared" si="8"/>
        <v>208.93758542024318</v>
      </c>
      <c r="V92" s="179">
        <f t="shared" si="8"/>
        <v>228.3485490494767</v>
      </c>
      <c r="W92" s="179">
        <f t="shared" si="8"/>
        <v>291.5596951962716</v>
      </c>
      <c r="X92" s="179">
        <f t="shared" si="8"/>
        <v>332.96755648240054</v>
      </c>
      <c r="Y92" s="179">
        <f t="shared" si="8"/>
        <v>282.99823670021709</v>
      </c>
      <c r="Z92" s="179">
        <f t="shared" si="8"/>
        <v>350.33582243373297</v>
      </c>
      <c r="AA92" s="179">
        <f t="shared" si="10"/>
        <v>295.46458098087214</v>
      </c>
      <c r="AB92" s="179">
        <f t="shared" si="10"/>
        <v>277.65029815292615</v>
      </c>
      <c r="AC92" s="179">
        <f t="shared" si="10"/>
        <v>225.88625376162383</v>
      </c>
      <c r="AD92" s="179">
        <f t="shared" si="10"/>
        <v>240.53849096160738</v>
      </c>
      <c r="AE92" s="179">
        <f t="shared" si="10"/>
        <v>245.84436751913637</v>
      </c>
      <c r="AF92" s="179">
        <f t="shared" si="10"/>
        <v>230.28989939492442</v>
      </c>
    </row>
    <row r="93" spans="2:32">
      <c r="B93" s="122">
        <f t="shared" si="6"/>
        <v>68300738</v>
      </c>
      <c r="C93" s="122" t="str">
        <f>VLOOKUP($B93,'Tech Litons'!$A:$I,3,0)</f>
        <v>EDF</v>
      </c>
      <c r="D93" s="122" t="str">
        <f>VLOOKUP($B93,'Tech Litons'!$A:$I,4,0)</f>
        <v>EDF</v>
      </c>
      <c r="E93" s="598" t="s">
        <v>325</v>
      </c>
      <c r="F93" s="598">
        <v>68300738</v>
      </c>
      <c r="G93" s="599">
        <v>33538.986938533802</v>
      </c>
      <c r="H93" s="599">
        <v>33083.809912277298</v>
      </c>
      <c r="I93" s="599">
        <v>54078.605743825901</v>
      </c>
      <c r="J93" s="599">
        <v>49822.894916956197</v>
      </c>
      <c r="K93" s="599">
        <v>57603.1237155134</v>
      </c>
      <c r="L93" s="599">
        <v>72017.141368669007</v>
      </c>
      <c r="M93" s="599">
        <v>60066.804514893804</v>
      </c>
      <c r="N93" s="599">
        <v>53949.345940110499</v>
      </c>
      <c r="O93" s="599">
        <v>41296.909555599399</v>
      </c>
      <c r="P93" s="599">
        <v>37276.435100011498</v>
      </c>
      <c r="Q93" s="599">
        <v>36284.482208009496</v>
      </c>
      <c r="R93" s="599">
        <v>31258.316192908202</v>
      </c>
      <c r="S93" s="169">
        <f t="shared" si="9"/>
        <v>560276.85610730841</v>
      </c>
      <c r="T93" s="122">
        <f>VLOOKUP($B93,'Tech Litons'!$A:$I,9,0)</f>
        <v>132</v>
      </c>
      <c r="U93" s="179">
        <f t="shared" si="8"/>
        <v>254.08323438283185</v>
      </c>
      <c r="V93" s="179">
        <f t="shared" si="8"/>
        <v>250.63492357785833</v>
      </c>
      <c r="W93" s="179">
        <f t="shared" si="8"/>
        <v>409.6864071501962</v>
      </c>
      <c r="X93" s="179">
        <f t="shared" si="8"/>
        <v>377.4461736133045</v>
      </c>
      <c r="Y93" s="179">
        <f t="shared" si="8"/>
        <v>436.38730087510152</v>
      </c>
      <c r="Z93" s="179">
        <f t="shared" si="8"/>
        <v>545.58440430809856</v>
      </c>
      <c r="AA93" s="179">
        <f t="shared" si="10"/>
        <v>455.0515493552561</v>
      </c>
      <c r="AB93" s="179">
        <f t="shared" si="10"/>
        <v>408.70716621295833</v>
      </c>
      <c r="AC93" s="179">
        <f t="shared" si="10"/>
        <v>312.85537542120755</v>
      </c>
      <c r="AD93" s="179">
        <f t="shared" si="10"/>
        <v>282.39723560614772</v>
      </c>
      <c r="AE93" s="179">
        <f t="shared" si="10"/>
        <v>274.88244096976894</v>
      </c>
      <c r="AF93" s="179">
        <f t="shared" si="10"/>
        <v>236.80542570385001</v>
      </c>
    </row>
    <row r="94" spans="2:32">
      <c r="B94" s="122">
        <f t="shared" si="6"/>
        <v>64325509</v>
      </c>
      <c r="C94" s="122" t="str">
        <f>VLOOKUP($B94,'Tech Litons'!$A:$I,3,0)</f>
        <v>Yasso Sticks</v>
      </c>
      <c r="D94" s="122" t="str">
        <f>VLOOKUP($B94,'Tech Litons'!$A:$I,4,0)</f>
        <v>Yasso Sticks</v>
      </c>
      <c r="E94" s="598" t="s">
        <v>232</v>
      </c>
      <c r="F94" s="598">
        <v>64325509</v>
      </c>
      <c r="G94" s="599">
        <v>24115.874767201101</v>
      </c>
      <c r="H94" s="599">
        <v>27971.339288417599</v>
      </c>
      <c r="I94" s="599">
        <v>44409.887654138198</v>
      </c>
      <c r="J94" s="599">
        <v>41459.545671393098</v>
      </c>
      <c r="K94" s="599">
        <v>52188.292216361602</v>
      </c>
      <c r="L94" s="599">
        <v>61205.431598431001</v>
      </c>
      <c r="M94" s="599">
        <v>68767.427983138201</v>
      </c>
      <c r="N94" s="599">
        <v>60679.978496527001</v>
      </c>
      <c r="O94" s="599">
        <v>56615.865455192601</v>
      </c>
      <c r="P94" s="599">
        <v>41639.063161806298</v>
      </c>
      <c r="Q94" s="599">
        <v>38183.8701958905</v>
      </c>
      <c r="R94" s="599">
        <v>40577.699227259902</v>
      </c>
      <c r="S94" s="169">
        <f t="shared" si="9"/>
        <v>557814.27571575716</v>
      </c>
      <c r="T94" s="122">
        <f>VLOOKUP($B94,'Tech Litons'!$A:$I,9,0)</f>
        <v>187</v>
      </c>
      <c r="U94" s="179">
        <f t="shared" si="8"/>
        <v>128.96189715080803</v>
      </c>
      <c r="V94" s="179">
        <f t="shared" si="8"/>
        <v>149.57935448351657</v>
      </c>
      <c r="W94" s="179">
        <f t="shared" si="8"/>
        <v>237.48603023603314</v>
      </c>
      <c r="X94" s="179">
        <f t="shared" si="8"/>
        <v>221.70880038178126</v>
      </c>
      <c r="Y94" s="179">
        <f t="shared" si="8"/>
        <v>279.08177655808345</v>
      </c>
      <c r="Z94" s="179">
        <f t="shared" si="8"/>
        <v>327.30177325364173</v>
      </c>
      <c r="AA94" s="179">
        <f t="shared" si="10"/>
        <v>367.74025659432192</v>
      </c>
      <c r="AB94" s="179">
        <f t="shared" si="10"/>
        <v>324.49186361779147</v>
      </c>
      <c r="AC94" s="179">
        <f t="shared" si="10"/>
        <v>302.75863879782139</v>
      </c>
      <c r="AD94" s="179">
        <f t="shared" si="10"/>
        <v>222.668786961531</v>
      </c>
      <c r="AE94" s="179">
        <f t="shared" si="10"/>
        <v>204.19181922936096</v>
      </c>
      <c r="AF94" s="179">
        <f t="shared" si="10"/>
        <v>216.99304399604225</v>
      </c>
    </row>
    <row r="95" spans="2:32">
      <c r="B95" s="122">
        <f t="shared" si="6"/>
        <v>67789313</v>
      </c>
      <c r="C95" s="122" t="e">
        <f>VLOOKUP($B95,'Tech Litons'!$A:$I,3,0)</f>
        <v>#N/A</v>
      </c>
      <c r="D95" s="122" t="e">
        <f>VLOOKUP($B95,'Tech Litons'!$A:$I,4,0)</f>
        <v>#N/A</v>
      </c>
      <c r="E95" s="598" t="s">
        <v>335</v>
      </c>
      <c r="F95" s="598">
        <v>67789313</v>
      </c>
      <c r="G95" s="599">
        <v>33582.908929413097</v>
      </c>
      <c r="H95" s="599">
        <v>51445.713131685203</v>
      </c>
      <c r="I95" s="599">
        <v>53911.772547299202</v>
      </c>
      <c r="J95" s="599">
        <v>46180.107505272601</v>
      </c>
      <c r="K95" s="599">
        <v>45704.064222439498</v>
      </c>
      <c r="L95" s="599">
        <v>58286.836084418697</v>
      </c>
      <c r="M95" s="599">
        <v>44352.292217743903</v>
      </c>
      <c r="N95" s="599">
        <v>48886.967800653001</v>
      </c>
      <c r="O95" s="599">
        <v>43167.062468899501</v>
      </c>
      <c r="P95" s="599">
        <v>44808.0005569356</v>
      </c>
      <c r="Q95" s="599">
        <v>39756.044268117497</v>
      </c>
      <c r="R95" s="599">
        <v>34000.048327420198</v>
      </c>
      <c r="S95" s="169">
        <f t="shared" si="9"/>
        <v>544081.81806029798</v>
      </c>
      <c r="T95" s="122" t="e">
        <f>VLOOKUP($B95,'Tech Litons'!$A:$I,9,0)</f>
        <v>#N/A</v>
      </c>
      <c r="U95" s="179" t="e">
        <f t="shared" si="8"/>
        <v>#N/A</v>
      </c>
      <c r="V95" s="179" t="e">
        <f t="shared" si="8"/>
        <v>#N/A</v>
      </c>
      <c r="W95" s="179" t="e">
        <f t="shared" si="8"/>
        <v>#N/A</v>
      </c>
      <c r="X95" s="179" t="e">
        <f t="shared" si="8"/>
        <v>#N/A</v>
      </c>
      <c r="Y95" s="179" t="e">
        <f t="shared" si="8"/>
        <v>#N/A</v>
      </c>
      <c r="Z95" s="179" t="e">
        <f t="shared" si="8"/>
        <v>#N/A</v>
      </c>
      <c r="AA95" s="179" t="e">
        <f t="shared" si="10"/>
        <v>#N/A</v>
      </c>
      <c r="AB95" s="179" t="e">
        <f t="shared" si="10"/>
        <v>#N/A</v>
      </c>
      <c r="AC95" s="179" t="e">
        <f t="shared" si="10"/>
        <v>#N/A</v>
      </c>
      <c r="AD95" s="179" t="e">
        <f t="shared" si="10"/>
        <v>#N/A</v>
      </c>
      <c r="AE95" s="179" t="e">
        <f t="shared" si="10"/>
        <v>#N/A</v>
      </c>
      <c r="AF95" s="179" t="e">
        <f t="shared" si="10"/>
        <v>#N/A</v>
      </c>
    </row>
    <row r="96" spans="2:32">
      <c r="B96" s="122">
        <f t="shared" ref="B96:B159" si="11">F96</f>
        <v>64356482</v>
      </c>
      <c r="C96" s="122" t="str">
        <f>VLOOKUP($B96,'Tech Litons'!$A:$I,3,0)</f>
        <v>Repack MG Sticks</v>
      </c>
      <c r="D96" s="122" t="str">
        <f>VLOOKUP($B96,'Tech Litons'!$A:$I,4,0)</f>
        <v>Other</v>
      </c>
      <c r="E96" s="286" t="s">
        <v>604</v>
      </c>
      <c r="F96" s="598">
        <v>64356482</v>
      </c>
      <c r="G96" s="599">
        <v>24015</v>
      </c>
      <c r="H96" s="599">
        <v>18000</v>
      </c>
      <c r="I96" s="599">
        <v>6020</v>
      </c>
      <c r="J96" s="599">
        <v>38924</v>
      </c>
      <c r="K96" s="599">
        <v>172556</v>
      </c>
      <c r="L96" s="599">
        <v>151172</v>
      </c>
      <c r="M96" s="599">
        <v>55491</v>
      </c>
      <c r="N96" s="599">
        <v>0</v>
      </c>
      <c r="O96" s="599">
        <v>0</v>
      </c>
      <c r="P96" s="599">
        <v>0</v>
      </c>
      <c r="Q96" s="599">
        <v>60000</v>
      </c>
      <c r="R96" s="599">
        <v>12000</v>
      </c>
      <c r="S96" s="425">
        <f t="shared" si="9"/>
        <v>538178</v>
      </c>
      <c r="T96" s="122">
        <f>VLOOKUP($B96,'Tech Litons'!$A:$I,9,0)</f>
        <v>296</v>
      </c>
      <c r="U96" s="179">
        <f t="shared" si="8"/>
        <v>81.131756756756758</v>
      </c>
      <c r="V96" s="179">
        <f t="shared" si="8"/>
        <v>60.810810810810814</v>
      </c>
      <c r="W96" s="179">
        <f t="shared" si="8"/>
        <v>20.337837837837839</v>
      </c>
      <c r="X96" s="179">
        <f t="shared" si="8"/>
        <v>131.5</v>
      </c>
      <c r="Y96" s="179">
        <f t="shared" si="8"/>
        <v>582.95945945945948</v>
      </c>
      <c r="Z96" s="179">
        <f t="shared" si="8"/>
        <v>510.7162162162162</v>
      </c>
      <c r="AA96" s="179">
        <f t="shared" si="10"/>
        <v>187.46959459459458</v>
      </c>
      <c r="AB96" s="179">
        <f t="shared" si="10"/>
        <v>0</v>
      </c>
      <c r="AC96" s="179">
        <f t="shared" si="10"/>
        <v>0</v>
      </c>
      <c r="AD96" s="179">
        <f t="shared" si="10"/>
        <v>0</v>
      </c>
      <c r="AE96" s="179">
        <f t="shared" si="10"/>
        <v>202.70270270270271</v>
      </c>
      <c r="AF96" s="179">
        <f t="shared" si="10"/>
        <v>40.54054054054054</v>
      </c>
    </row>
    <row r="97" spans="2:32">
      <c r="B97" s="122">
        <f t="shared" si="11"/>
        <v>69691840</v>
      </c>
      <c r="C97" s="122" t="e">
        <f>VLOOKUP($B97,'Tech Litons'!$A:$I,3,0)</f>
        <v>#N/A</v>
      </c>
      <c r="D97" s="122" t="e">
        <f>VLOOKUP($B97,'Tech Litons'!$A:$I,4,0)</f>
        <v>#N/A</v>
      </c>
      <c r="E97" s="598" t="s">
        <v>973</v>
      </c>
      <c r="F97" s="598">
        <v>69691840</v>
      </c>
      <c r="G97" s="599">
        <v>38920.562501435401</v>
      </c>
      <c r="H97" s="599">
        <v>40330.151932509099</v>
      </c>
      <c r="I97" s="599">
        <v>47047.756229717699</v>
      </c>
      <c r="J97" s="599">
        <v>44866.975423000702</v>
      </c>
      <c r="K97" s="599">
        <v>49968.522195009202</v>
      </c>
      <c r="L97" s="599">
        <v>58238.027747181899</v>
      </c>
      <c r="M97" s="599">
        <v>46519.554055017397</v>
      </c>
      <c r="N97" s="599">
        <v>46965.2151760497</v>
      </c>
      <c r="O97" s="599">
        <v>41599.628283432503</v>
      </c>
      <c r="P97" s="599">
        <v>41816.763988354302</v>
      </c>
      <c r="Q97" s="599">
        <v>33336.176597425998</v>
      </c>
      <c r="R97" s="599">
        <v>32466.430925836499</v>
      </c>
      <c r="S97" s="169">
        <f t="shared" si="9"/>
        <v>522075.7650549704</v>
      </c>
      <c r="T97" s="122" t="e">
        <f>VLOOKUP($B97,'Tech Litons'!$A:$I,9,0)</f>
        <v>#N/A</v>
      </c>
      <c r="U97" s="179" t="e">
        <f t="shared" si="8"/>
        <v>#N/A</v>
      </c>
      <c r="V97" s="179" t="e">
        <f t="shared" si="8"/>
        <v>#N/A</v>
      </c>
      <c r="W97" s="179" t="e">
        <f t="shared" si="8"/>
        <v>#N/A</v>
      </c>
      <c r="X97" s="179" t="e">
        <f t="shared" si="8"/>
        <v>#N/A</v>
      </c>
      <c r="Y97" s="179" t="e">
        <f t="shared" si="8"/>
        <v>#N/A</v>
      </c>
      <c r="Z97" s="179" t="e">
        <f t="shared" si="8"/>
        <v>#N/A</v>
      </c>
      <c r="AA97" s="179" t="e">
        <f t="shared" si="10"/>
        <v>#N/A</v>
      </c>
      <c r="AB97" s="179" t="e">
        <f t="shared" si="10"/>
        <v>#N/A</v>
      </c>
      <c r="AC97" s="179" t="e">
        <f t="shared" si="10"/>
        <v>#N/A</v>
      </c>
      <c r="AD97" s="179" t="e">
        <f t="shared" si="10"/>
        <v>#N/A</v>
      </c>
      <c r="AE97" s="179" t="e">
        <f t="shared" si="10"/>
        <v>#N/A</v>
      </c>
      <c r="AF97" s="179" t="e">
        <f t="shared" si="10"/>
        <v>#N/A</v>
      </c>
    </row>
    <row r="98" spans="2:32">
      <c r="B98" s="122">
        <f t="shared" si="11"/>
        <v>84164936</v>
      </c>
      <c r="C98" s="122" t="str">
        <f>VLOOKUP($B98,'Tech Litons'!$A:$I,3,0)</f>
        <v>BJ PTS</v>
      </c>
      <c r="D98" s="122" t="str">
        <f>VLOOKUP($B98,'Tech Litons'!$A:$I,4,0)</f>
        <v>BJ PTS</v>
      </c>
      <c r="E98" s="598" t="s">
        <v>420</v>
      </c>
      <c r="F98" s="598">
        <v>84164936</v>
      </c>
      <c r="G98" s="599">
        <v>30851.740381438001</v>
      </c>
      <c r="H98" s="599">
        <v>44504.0339007613</v>
      </c>
      <c r="I98" s="599">
        <v>49396.688800402197</v>
      </c>
      <c r="J98" s="599">
        <v>44210.200853492002</v>
      </c>
      <c r="K98" s="599">
        <v>43491.404827820901</v>
      </c>
      <c r="L98" s="599">
        <v>53755.649809574003</v>
      </c>
      <c r="M98" s="599">
        <v>43214.8872497517</v>
      </c>
      <c r="N98" s="599">
        <v>48718.326877586303</v>
      </c>
      <c r="O98" s="599">
        <v>40475.871593071803</v>
      </c>
      <c r="P98" s="599">
        <v>42856.392195728396</v>
      </c>
      <c r="Q98" s="599">
        <v>41603.347372803197</v>
      </c>
      <c r="R98" s="599">
        <v>35386.412349612903</v>
      </c>
      <c r="S98" s="169">
        <f t="shared" si="9"/>
        <v>518464.95621204271</v>
      </c>
      <c r="T98" s="122">
        <f>VLOOKUP($B98,'Tech Litons'!$A:$I,9,0)</f>
        <v>240</v>
      </c>
      <c r="U98" s="179">
        <f t="shared" si="8"/>
        <v>128.54891825599168</v>
      </c>
      <c r="V98" s="179">
        <f t="shared" si="8"/>
        <v>185.43347458650541</v>
      </c>
      <c r="W98" s="179">
        <f t="shared" si="8"/>
        <v>205.81953666834249</v>
      </c>
      <c r="X98" s="179">
        <f t="shared" ref="X98:AC147" si="12">J98/$T98</f>
        <v>184.20917022288333</v>
      </c>
      <c r="Y98" s="179">
        <f t="shared" si="12"/>
        <v>181.21418678258709</v>
      </c>
      <c r="Z98" s="179">
        <f t="shared" si="12"/>
        <v>223.98187420655833</v>
      </c>
      <c r="AA98" s="179">
        <f t="shared" si="10"/>
        <v>180.06203020729876</v>
      </c>
      <c r="AB98" s="179">
        <f t="shared" si="10"/>
        <v>202.9930286566096</v>
      </c>
      <c r="AC98" s="179">
        <f t="shared" si="10"/>
        <v>168.64946497113252</v>
      </c>
      <c r="AD98" s="179">
        <f t="shared" si="10"/>
        <v>178.568300815535</v>
      </c>
      <c r="AE98" s="179">
        <f t="shared" si="10"/>
        <v>173.34728072001332</v>
      </c>
      <c r="AF98" s="179">
        <f t="shared" si="10"/>
        <v>147.44338479005376</v>
      </c>
    </row>
    <row r="99" spans="2:32">
      <c r="B99" s="122">
        <f t="shared" si="11"/>
        <v>68730234</v>
      </c>
      <c r="C99" s="122" t="str">
        <f>VLOOKUP($B99,'Tech Litons'!$A:$I,3,0)</f>
        <v>TALENTI</v>
      </c>
      <c r="D99" s="122" t="str">
        <f>VLOOKUP($B99,'Tech Litons'!$A:$I,4,0)</f>
        <v>TALENTI</v>
      </c>
      <c r="E99" s="598" t="s">
        <v>411</v>
      </c>
      <c r="F99" s="598">
        <v>68730234</v>
      </c>
      <c r="G99" s="600">
        <v>41484.4354251201</v>
      </c>
      <c r="H99" s="599">
        <v>39542.116210724598</v>
      </c>
      <c r="I99" s="599">
        <v>43386.380535143297</v>
      </c>
      <c r="J99" s="599">
        <v>43729.879484047698</v>
      </c>
      <c r="K99" s="599">
        <v>50209.901236213402</v>
      </c>
      <c r="L99" s="599">
        <v>55162.0665254509</v>
      </c>
      <c r="M99" s="599">
        <v>46352.263693832203</v>
      </c>
      <c r="N99" s="599">
        <v>44343.850548457798</v>
      </c>
      <c r="O99" s="599">
        <v>40523.8596687959</v>
      </c>
      <c r="P99" s="599">
        <v>41453.805914650802</v>
      </c>
      <c r="Q99" s="599">
        <v>34634.869832552104</v>
      </c>
      <c r="R99" s="599">
        <v>31987.789133864298</v>
      </c>
      <c r="S99" s="169">
        <f t="shared" si="9"/>
        <v>512811.21820885304</v>
      </c>
      <c r="T99" s="122">
        <f>VLOOKUP($B99,'Tech Litons'!$A:$I,9,0)</f>
        <v>255</v>
      </c>
      <c r="U99" s="179">
        <f t="shared" ref="U99:Z159" si="13">G99/$T99</f>
        <v>162.68406049066706</v>
      </c>
      <c r="V99" s="179">
        <f t="shared" si="13"/>
        <v>155.06712239499842</v>
      </c>
      <c r="W99" s="179">
        <f t="shared" si="13"/>
        <v>170.14266876526784</v>
      </c>
      <c r="X99" s="179">
        <f t="shared" si="12"/>
        <v>171.48972346685372</v>
      </c>
      <c r="Y99" s="179">
        <f t="shared" si="12"/>
        <v>196.90157347534668</v>
      </c>
      <c r="Z99" s="179">
        <f t="shared" si="12"/>
        <v>216.32182951157216</v>
      </c>
      <c r="AA99" s="179">
        <f t="shared" si="10"/>
        <v>181.77358311306747</v>
      </c>
      <c r="AB99" s="179">
        <f t="shared" si="10"/>
        <v>173.89745313120704</v>
      </c>
      <c r="AC99" s="179">
        <f t="shared" si="10"/>
        <v>158.91709674037608</v>
      </c>
      <c r="AD99" s="179">
        <f t="shared" si="10"/>
        <v>162.56394476333648</v>
      </c>
      <c r="AE99" s="179">
        <f t="shared" si="10"/>
        <v>135.82301895118471</v>
      </c>
      <c r="AF99" s="179">
        <f t="shared" si="10"/>
        <v>125.4423103288796</v>
      </c>
    </row>
    <row r="100" spans="2:32">
      <c r="B100" s="122">
        <f t="shared" si="11"/>
        <v>69568829</v>
      </c>
      <c r="C100" s="122" t="str">
        <f>VLOOKUP($B100,'Tech Litons'!$A:$I,3,0)</f>
        <v>48oz</v>
      </c>
      <c r="D100" s="122" t="str">
        <f>VLOOKUP($B100,'Tech Litons'!$A:$I,4,0)</f>
        <v>48oz</v>
      </c>
      <c r="E100" s="598" t="s">
        <v>487</v>
      </c>
      <c r="F100" s="598">
        <v>69568829</v>
      </c>
      <c r="G100" s="599">
        <v>32767.4122442351</v>
      </c>
      <c r="H100" s="599">
        <v>36917.333448181402</v>
      </c>
      <c r="I100" s="599">
        <v>45174.913065744098</v>
      </c>
      <c r="J100" s="599">
        <v>52927.539867939697</v>
      </c>
      <c r="K100" s="599">
        <v>42994.313743199898</v>
      </c>
      <c r="L100" s="599">
        <v>52660.146595245998</v>
      </c>
      <c r="M100" s="599">
        <v>46525.580520283896</v>
      </c>
      <c r="N100" s="599">
        <v>44720.306975113999</v>
      </c>
      <c r="O100" s="599">
        <v>37500.3973712769</v>
      </c>
      <c r="P100" s="599">
        <v>40424.030110414002</v>
      </c>
      <c r="Q100" s="599">
        <v>41211.337629111396</v>
      </c>
      <c r="R100" s="599">
        <v>34889.527323812101</v>
      </c>
      <c r="S100" s="169">
        <f t="shared" si="9"/>
        <v>508712.83889455849</v>
      </c>
      <c r="T100" s="122">
        <f>VLOOKUP($B100,'Tech Litons'!$A:$I,9,0)</f>
        <v>176</v>
      </c>
      <c r="U100" s="179">
        <f t="shared" si="13"/>
        <v>186.17847866042669</v>
      </c>
      <c r="V100" s="179">
        <f t="shared" si="13"/>
        <v>209.7575764101216</v>
      </c>
      <c r="W100" s="179">
        <f t="shared" si="13"/>
        <v>256.67564241900055</v>
      </c>
      <c r="X100" s="179">
        <f t="shared" si="12"/>
        <v>300.72465834056646</v>
      </c>
      <c r="Y100" s="179">
        <f t="shared" si="12"/>
        <v>244.28587354090851</v>
      </c>
      <c r="Z100" s="179">
        <f t="shared" si="12"/>
        <v>299.20537838207952</v>
      </c>
      <c r="AA100" s="179">
        <f t="shared" si="10"/>
        <v>264.34988931979484</v>
      </c>
      <c r="AB100" s="179">
        <f t="shared" si="10"/>
        <v>254.09265326769318</v>
      </c>
      <c r="AC100" s="179">
        <f t="shared" si="10"/>
        <v>213.07043960952785</v>
      </c>
      <c r="AD100" s="179">
        <f t="shared" si="10"/>
        <v>229.68198926371591</v>
      </c>
      <c r="AE100" s="179">
        <f t="shared" si="10"/>
        <v>234.15532743813293</v>
      </c>
      <c r="AF100" s="179">
        <f t="shared" si="10"/>
        <v>198.23595070347784</v>
      </c>
    </row>
    <row r="101" spans="2:32">
      <c r="B101" s="122">
        <f t="shared" si="11"/>
        <v>68709233</v>
      </c>
      <c r="C101" s="122" t="str">
        <f>VLOOKUP($B101,'Tech Litons'!$A:$I,3,0)</f>
        <v>EDF</v>
      </c>
      <c r="D101" s="122" t="str">
        <f>VLOOKUP($B101,'Tech Litons'!$A:$I,4,0)</f>
        <v>EDF</v>
      </c>
      <c r="E101" s="598" t="s">
        <v>988</v>
      </c>
      <c r="F101" s="598">
        <v>68709233</v>
      </c>
      <c r="G101" s="599">
        <v>32337.930184325902</v>
      </c>
      <c r="H101" s="599">
        <v>31291.646716435502</v>
      </c>
      <c r="I101" s="599">
        <v>45008.944746638299</v>
      </c>
      <c r="J101" s="599">
        <v>39444.216417415002</v>
      </c>
      <c r="K101" s="599">
        <v>45496.180978939803</v>
      </c>
      <c r="L101" s="599">
        <v>63221.6441342135</v>
      </c>
      <c r="M101" s="599">
        <v>58240.578940230902</v>
      </c>
      <c r="N101" s="599">
        <v>51553.6540766256</v>
      </c>
      <c r="O101" s="599">
        <v>40887.164912368498</v>
      </c>
      <c r="P101" s="599">
        <v>35565.620587862402</v>
      </c>
      <c r="Q101" s="599">
        <v>31899.234636466699</v>
      </c>
      <c r="R101" s="599">
        <v>32965.206167474797</v>
      </c>
      <c r="S101" s="169">
        <f t="shared" si="9"/>
        <v>507912.02249899693</v>
      </c>
      <c r="T101" s="122">
        <f>VLOOKUP($B101,'Tech Litons'!$A:$I,9,0)</f>
        <v>132</v>
      </c>
      <c r="U101" s="179">
        <f t="shared" si="13"/>
        <v>244.98431957822652</v>
      </c>
      <c r="V101" s="179">
        <f t="shared" si="13"/>
        <v>237.05792966996592</v>
      </c>
      <c r="W101" s="179">
        <f t="shared" si="13"/>
        <v>340.97685414119923</v>
      </c>
      <c r="X101" s="179">
        <f t="shared" si="12"/>
        <v>298.81982134405303</v>
      </c>
      <c r="Y101" s="179">
        <f t="shared" si="12"/>
        <v>344.66803771924094</v>
      </c>
      <c r="Z101" s="179">
        <f t="shared" si="12"/>
        <v>478.9518495016174</v>
      </c>
      <c r="AA101" s="179">
        <f t="shared" si="10"/>
        <v>441.21650712296139</v>
      </c>
      <c r="AB101" s="179">
        <f t="shared" si="10"/>
        <v>390.55798542898179</v>
      </c>
      <c r="AC101" s="179">
        <f t="shared" si="10"/>
        <v>309.751249336125</v>
      </c>
      <c r="AD101" s="179">
        <f t="shared" si="10"/>
        <v>269.43651960501819</v>
      </c>
      <c r="AE101" s="179">
        <f t="shared" si="10"/>
        <v>241.66086845808104</v>
      </c>
      <c r="AF101" s="179">
        <f t="shared" si="10"/>
        <v>249.73641035965755</v>
      </c>
    </row>
    <row r="102" spans="2:32">
      <c r="B102" s="122">
        <f t="shared" si="11"/>
        <v>64324876</v>
      </c>
      <c r="C102" s="122" t="str">
        <f>VLOOKUP($B102,'Tech Litons'!$A:$I,3,0)</f>
        <v>Yasso Sticks</v>
      </c>
      <c r="D102" s="122" t="str">
        <f>VLOOKUP($B102,'Tech Litons'!$A:$I,4,0)</f>
        <v>Yasso Sticks</v>
      </c>
      <c r="E102" s="598" t="s">
        <v>238</v>
      </c>
      <c r="F102" s="598">
        <v>64324876</v>
      </c>
      <c r="G102" s="599">
        <v>31267.284715746198</v>
      </c>
      <c r="H102" s="599">
        <v>37880.955059687098</v>
      </c>
      <c r="I102" s="599">
        <v>42392.419045025403</v>
      </c>
      <c r="J102" s="599">
        <v>38342.570458449598</v>
      </c>
      <c r="K102" s="599">
        <v>45602.754943940497</v>
      </c>
      <c r="L102" s="599">
        <v>53161.292154818999</v>
      </c>
      <c r="M102" s="599">
        <v>55003.407460827402</v>
      </c>
      <c r="N102" s="599">
        <v>50220.350186826501</v>
      </c>
      <c r="O102" s="599">
        <v>41191.937714866901</v>
      </c>
      <c r="P102" s="599">
        <v>41356.057772095803</v>
      </c>
      <c r="Q102" s="599">
        <v>35384.967449438598</v>
      </c>
      <c r="R102" s="599">
        <v>34655.754267647098</v>
      </c>
      <c r="S102" s="169">
        <f t="shared" si="9"/>
        <v>506459.75122937001</v>
      </c>
      <c r="T102" s="122">
        <f>VLOOKUP($B102,'Tech Litons'!$A:$I,9,0)</f>
        <v>187</v>
      </c>
      <c r="U102" s="179">
        <f t="shared" si="13"/>
        <v>167.20473110024705</v>
      </c>
      <c r="V102" s="179">
        <f t="shared" si="13"/>
        <v>202.57195219084011</v>
      </c>
      <c r="W102" s="179">
        <f t="shared" si="13"/>
        <v>226.69742804826419</v>
      </c>
      <c r="X102" s="179">
        <f t="shared" si="12"/>
        <v>205.04048373502459</v>
      </c>
      <c r="Y102" s="179">
        <f t="shared" si="12"/>
        <v>243.86499970021657</v>
      </c>
      <c r="Z102" s="179">
        <f t="shared" si="12"/>
        <v>284.28498478512836</v>
      </c>
      <c r="AA102" s="179">
        <f t="shared" si="10"/>
        <v>294.13586877447807</v>
      </c>
      <c r="AB102" s="179">
        <f t="shared" si="10"/>
        <v>268.55802238944653</v>
      </c>
      <c r="AC102" s="179">
        <f t="shared" si="10"/>
        <v>220.27774179073208</v>
      </c>
      <c r="AD102" s="179">
        <f t="shared" si="10"/>
        <v>221.15538915559253</v>
      </c>
      <c r="AE102" s="179">
        <f t="shared" si="10"/>
        <v>189.224424863308</v>
      </c>
      <c r="AF102" s="179">
        <f t="shared" si="10"/>
        <v>185.32488913180268</v>
      </c>
    </row>
    <row r="103" spans="2:32">
      <c r="B103" s="122">
        <f t="shared" si="11"/>
        <v>64373718</v>
      </c>
      <c r="C103" s="122" t="str">
        <f>VLOOKUP($B103,'Tech Litons'!$A:$I,3,0)</f>
        <v>48oz</v>
      </c>
      <c r="D103" s="122" t="str">
        <f>VLOOKUP($B103,'Tech Litons'!$A:$I,4,0)</f>
        <v>48oz</v>
      </c>
      <c r="E103" s="598" t="s">
        <v>1083</v>
      </c>
      <c r="F103" s="598">
        <v>64373718</v>
      </c>
      <c r="G103" s="600">
        <v>35690.5672858982</v>
      </c>
      <c r="H103" s="599">
        <v>37545.4160713643</v>
      </c>
      <c r="I103" s="599">
        <v>46047.9646226353</v>
      </c>
      <c r="J103" s="599">
        <v>52710.485415303701</v>
      </c>
      <c r="K103" s="599">
        <v>42060.3587280543</v>
      </c>
      <c r="L103" s="599">
        <v>51474.5044763923</v>
      </c>
      <c r="M103" s="599">
        <v>45916.453968664297</v>
      </c>
      <c r="N103" s="599">
        <v>43326.9168343813</v>
      </c>
      <c r="O103" s="599">
        <v>34036.588019107498</v>
      </c>
      <c r="P103" s="599">
        <v>37759.078358397499</v>
      </c>
      <c r="Q103" s="599">
        <v>41957.448242424703</v>
      </c>
      <c r="R103" s="599">
        <v>35539.322454736801</v>
      </c>
      <c r="S103" s="169">
        <f t="shared" si="9"/>
        <v>504065.1044773602</v>
      </c>
      <c r="T103" s="122">
        <f>VLOOKUP($B103,'Tech Litons'!$A:$I,9,0)</f>
        <v>176</v>
      </c>
      <c r="U103" s="179">
        <f t="shared" si="13"/>
        <v>202.78731412442158</v>
      </c>
      <c r="V103" s="179">
        <f t="shared" si="13"/>
        <v>213.32622767820624</v>
      </c>
      <c r="W103" s="179">
        <f t="shared" si="13"/>
        <v>261.63616262860967</v>
      </c>
      <c r="X103" s="179">
        <f t="shared" si="12"/>
        <v>299.49139440513466</v>
      </c>
      <c r="Y103" s="179">
        <f t="shared" si="12"/>
        <v>238.97931095485399</v>
      </c>
      <c r="Z103" s="179">
        <f t="shared" si="12"/>
        <v>292.46877543404713</v>
      </c>
      <c r="AA103" s="179">
        <f t="shared" si="10"/>
        <v>260.88894300377439</v>
      </c>
      <c r="AB103" s="179">
        <f t="shared" si="10"/>
        <v>246.17566383171194</v>
      </c>
      <c r="AC103" s="179">
        <f t="shared" si="10"/>
        <v>193.38970465401988</v>
      </c>
      <c r="AD103" s="179">
        <f t="shared" si="10"/>
        <v>214.54021794544033</v>
      </c>
      <c r="AE103" s="179">
        <f t="shared" si="10"/>
        <v>238.39459228650401</v>
      </c>
      <c r="AF103" s="179">
        <f t="shared" si="10"/>
        <v>201.92796849282274</v>
      </c>
    </row>
    <row r="104" spans="2:32">
      <c r="B104" s="122">
        <f t="shared" si="11"/>
        <v>69691903</v>
      </c>
      <c r="C104" s="122" t="e">
        <f>VLOOKUP($B104,'Tech Litons'!$A:$I,3,0)</f>
        <v>#N/A</v>
      </c>
      <c r="D104" s="122" t="e">
        <f>VLOOKUP($B104,'Tech Litons'!$A:$I,4,0)</f>
        <v>#N/A</v>
      </c>
      <c r="E104" s="598" t="s">
        <v>453</v>
      </c>
      <c r="F104" s="598">
        <v>69691903</v>
      </c>
      <c r="G104" s="599">
        <v>39838.355958423897</v>
      </c>
      <c r="H104" s="599">
        <v>38816.6647373796</v>
      </c>
      <c r="I104" s="599">
        <v>45312.474040614601</v>
      </c>
      <c r="J104" s="599">
        <v>44691.955917988002</v>
      </c>
      <c r="K104" s="599">
        <v>50595.573776507001</v>
      </c>
      <c r="L104" s="599">
        <v>53568.758760957098</v>
      </c>
      <c r="M104" s="599">
        <v>44619.111327400897</v>
      </c>
      <c r="N104" s="599">
        <v>43108.316478954803</v>
      </c>
      <c r="O104" s="599">
        <v>40420.010404624503</v>
      </c>
      <c r="P104" s="599">
        <v>39693.094767228402</v>
      </c>
      <c r="Q104" s="599">
        <v>30277.462308471098</v>
      </c>
      <c r="R104" s="599">
        <v>27711.418708993398</v>
      </c>
      <c r="S104" s="169">
        <f t="shared" si="9"/>
        <v>498653.19718754332</v>
      </c>
      <c r="T104" s="122" t="e">
        <f>VLOOKUP($B104,'Tech Litons'!$A:$I,9,0)</f>
        <v>#N/A</v>
      </c>
      <c r="U104" s="179" t="e">
        <f t="shared" si="13"/>
        <v>#N/A</v>
      </c>
      <c r="V104" s="179" t="e">
        <f t="shared" si="13"/>
        <v>#N/A</v>
      </c>
      <c r="W104" s="179" t="e">
        <f t="shared" si="13"/>
        <v>#N/A</v>
      </c>
      <c r="X104" s="179" t="e">
        <f t="shared" si="12"/>
        <v>#N/A</v>
      </c>
      <c r="Y104" s="179" t="e">
        <f t="shared" si="12"/>
        <v>#N/A</v>
      </c>
      <c r="Z104" s="179" t="e">
        <f t="shared" si="12"/>
        <v>#N/A</v>
      </c>
      <c r="AA104" s="179" t="e">
        <f t="shared" si="10"/>
        <v>#N/A</v>
      </c>
      <c r="AB104" s="179" t="e">
        <f t="shared" si="10"/>
        <v>#N/A</v>
      </c>
      <c r="AC104" s="179" t="e">
        <f t="shared" si="10"/>
        <v>#N/A</v>
      </c>
      <c r="AD104" s="179" t="e">
        <f t="shared" si="10"/>
        <v>#N/A</v>
      </c>
      <c r="AE104" s="179" t="e">
        <f t="shared" si="10"/>
        <v>#N/A</v>
      </c>
      <c r="AF104" s="179" t="e">
        <f t="shared" si="10"/>
        <v>#N/A</v>
      </c>
    </row>
    <row r="105" spans="2:32">
      <c r="B105" s="122">
        <f t="shared" si="11"/>
        <v>68730257</v>
      </c>
      <c r="C105" s="122" t="str">
        <f>VLOOKUP($B105,'Tech Litons'!$A:$I,3,0)</f>
        <v>TALENTI</v>
      </c>
      <c r="D105" s="122" t="str">
        <f>VLOOKUP($B105,'Tech Litons'!$A:$I,4,0)</f>
        <v>TALENTI</v>
      </c>
      <c r="E105" s="598" t="s">
        <v>525</v>
      </c>
      <c r="F105" s="598">
        <v>68730257</v>
      </c>
      <c r="G105" s="599">
        <v>37876.380684119402</v>
      </c>
      <c r="H105" s="599">
        <v>37888.8555177909</v>
      </c>
      <c r="I105" s="599">
        <v>44729.793713628802</v>
      </c>
      <c r="J105" s="599">
        <v>42512.6271721308</v>
      </c>
      <c r="K105" s="599">
        <v>48641.783516104602</v>
      </c>
      <c r="L105" s="599">
        <v>54803.941670573498</v>
      </c>
      <c r="M105" s="599">
        <v>43979.191046229003</v>
      </c>
      <c r="N105" s="599">
        <v>43001.802036851201</v>
      </c>
      <c r="O105" s="599">
        <v>40332.775310814402</v>
      </c>
      <c r="P105" s="599">
        <v>38825.856112246598</v>
      </c>
      <c r="Q105" s="599">
        <v>30272.334807106701</v>
      </c>
      <c r="R105" s="599">
        <v>29225.260997355799</v>
      </c>
      <c r="S105" s="169">
        <f t="shared" si="9"/>
        <v>492090.60258495162</v>
      </c>
      <c r="T105" s="122">
        <f>VLOOKUP($B105,'Tech Litons'!$A:$I,9,0)</f>
        <v>255</v>
      </c>
      <c r="U105" s="179">
        <f t="shared" si="13"/>
        <v>148.53482621223296</v>
      </c>
      <c r="V105" s="179">
        <f t="shared" si="13"/>
        <v>148.58374712859177</v>
      </c>
      <c r="W105" s="179">
        <f t="shared" si="13"/>
        <v>175.41095573972081</v>
      </c>
      <c r="X105" s="179">
        <f t="shared" si="12"/>
        <v>166.71618498874824</v>
      </c>
      <c r="Y105" s="179">
        <f t="shared" si="12"/>
        <v>190.75209222001806</v>
      </c>
      <c r="Z105" s="179">
        <f t="shared" si="12"/>
        <v>214.91741831597452</v>
      </c>
      <c r="AA105" s="179">
        <f t="shared" si="10"/>
        <v>172.46741586756471</v>
      </c>
      <c r="AB105" s="179">
        <f t="shared" si="10"/>
        <v>168.63451779157333</v>
      </c>
      <c r="AC105" s="179">
        <f t="shared" si="10"/>
        <v>158.16774631691922</v>
      </c>
      <c r="AD105" s="179">
        <f t="shared" si="10"/>
        <v>152.25825926371215</v>
      </c>
      <c r="AE105" s="179">
        <f t="shared" si="10"/>
        <v>118.71503845924197</v>
      </c>
      <c r="AF105" s="179">
        <f t="shared" si="10"/>
        <v>114.60886665629725</v>
      </c>
    </row>
    <row r="106" spans="2:32">
      <c r="B106" s="122">
        <f t="shared" si="11"/>
        <v>69704149</v>
      </c>
      <c r="C106" s="122" t="e">
        <f>VLOOKUP($B106,'Tech Litons'!$A:$I,3,0)</f>
        <v>#N/A</v>
      </c>
      <c r="D106" s="122" t="e">
        <f>VLOOKUP($B106,'Tech Litons'!$A:$I,4,0)</f>
        <v>#N/A</v>
      </c>
      <c r="E106" s="598" t="s">
        <v>616</v>
      </c>
      <c r="F106" s="598">
        <v>69704149</v>
      </c>
      <c r="G106" s="599">
        <v>17489.293833600299</v>
      </c>
      <c r="H106" s="599">
        <v>21217.741861708499</v>
      </c>
      <c r="I106" s="599">
        <v>49252.126039146096</v>
      </c>
      <c r="J106" s="599">
        <v>51995.252639991602</v>
      </c>
      <c r="K106" s="599">
        <v>56602.502989952598</v>
      </c>
      <c r="L106" s="599">
        <v>67591.3865674884</v>
      </c>
      <c r="M106" s="599">
        <v>61071.747656022599</v>
      </c>
      <c r="N106" s="599">
        <v>46063.549547574999</v>
      </c>
      <c r="O106" s="599">
        <v>38336.121323673797</v>
      </c>
      <c r="P106" s="599">
        <v>28253.549456486599</v>
      </c>
      <c r="Q106" s="599">
        <v>22078.090593295499</v>
      </c>
      <c r="R106" s="599">
        <v>18126.434302863701</v>
      </c>
      <c r="S106" s="169">
        <f t="shared" si="9"/>
        <v>478077.79681180476</v>
      </c>
      <c r="T106" s="122" t="e">
        <f>VLOOKUP($B106,'Tech Litons'!$A:$I,9,0)</f>
        <v>#N/A</v>
      </c>
      <c r="U106" s="179" t="e">
        <f t="shared" si="13"/>
        <v>#N/A</v>
      </c>
      <c r="V106" s="179" t="e">
        <f t="shared" si="13"/>
        <v>#N/A</v>
      </c>
      <c r="W106" s="179" t="e">
        <f t="shared" si="13"/>
        <v>#N/A</v>
      </c>
      <c r="X106" s="179" t="e">
        <f t="shared" si="12"/>
        <v>#N/A</v>
      </c>
      <c r="Y106" s="179" t="e">
        <f t="shared" si="12"/>
        <v>#N/A</v>
      </c>
      <c r="Z106" s="179" t="e">
        <f t="shared" si="12"/>
        <v>#N/A</v>
      </c>
      <c r="AA106" s="179" t="e">
        <f t="shared" si="10"/>
        <v>#N/A</v>
      </c>
      <c r="AB106" s="179" t="e">
        <f t="shared" si="10"/>
        <v>#N/A</v>
      </c>
      <c r="AC106" s="179" t="e">
        <f t="shared" si="10"/>
        <v>#N/A</v>
      </c>
      <c r="AD106" s="179" t="e">
        <f t="shared" si="10"/>
        <v>#N/A</v>
      </c>
      <c r="AE106" s="179" t="e">
        <f t="shared" si="10"/>
        <v>#N/A</v>
      </c>
      <c r="AF106" s="179" t="e">
        <f t="shared" si="10"/>
        <v>#N/A</v>
      </c>
    </row>
    <row r="107" spans="2:32">
      <c r="B107" s="122">
        <f t="shared" si="11"/>
        <v>64327161</v>
      </c>
      <c r="C107" s="122" t="str">
        <f>VLOOKUP($B107,'Tech Litons'!$A:$I,3,0)</f>
        <v>Yasso Club</v>
      </c>
      <c r="D107" s="122" t="str">
        <f>VLOOKUP($B107,'Tech Litons'!$A:$I,4,0)</f>
        <v>Yasso Club</v>
      </c>
      <c r="E107" s="598" t="s">
        <v>563</v>
      </c>
      <c r="F107" s="598">
        <v>64327161</v>
      </c>
      <c r="G107" s="599">
        <v>23040</v>
      </c>
      <c r="H107" s="599">
        <v>13679</v>
      </c>
      <c r="I107" s="599">
        <v>26880</v>
      </c>
      <c r="J107" s="599">
        <v>77040</v>
      </c>
      <c r="K107" s="599">
        <v>126720</v>
      </c>
      <c r="L107" s="599">
        <v>129600</v>
      </c>
      <c r="M107" s="599">
        <v>5500</v>
      </c>
      <c r="N107" s="599">
        <v>72000</v>
      </c>
      <c r="O107" s="599">
        <v>0</v>
      </c>
      <c r="P107" s="599">
        <v>0</v>
      </c>
      <c r="Q107" s="599">
        <v>0</v>
      </c>
      <c r="R107" s="599">
        <v>0</v>
      </c>
      <c r="S107" s="169">
        <f t="shared" si="9"/>
        <v>474459</v>
      </c>
      <c r="T107" s="122">
        <f>VLOOKUP($B107,'Tech Litons'!$A:$I,9,0)</f>
        <v>240</v>
      </c>
      <c r="U107" s="179">
        <f t="shared" si="13"/>
        <v>96</v>
      </c>
      <c r="V107" s="179">
        <f t="shared" si="13"/>
        <v>56.99583333333333</v>
      </c>
      <c r="W107" s="179">
        <f t="shared" si="13"/>
        <v>112</v>
      </c>
      <c r="X107" s="179">
        <f t="shared" si="12"/>
        <v>321</v>
      </c>
      <c r="Y107" s="179">
        <f t="shared" si="12"/>
        <v>528</v>
      </c>
      <c r="Z107" s="179">
        <f t="shared" si="12"/>
        <v>540</v>
      </c>
      <c r="AA107" s="179">
        <f t="shared" si="10"/>
        <v>22.916666666666668</v>
      </c>
      <c r="AB107" s="179">
        <f t="shared" si="10"/>
        <v>300</v>
      </c>
      <c r="AC107" s="179">
        <f t="shared" si="10"/>
        <v>0</v>
      </c>
      <c r="AD107" s="179">
        <f t="shared" si="10"/>
        <v>0</v>
      </c>
      <c r="AE107" s="179">
        <f t="shared" si="10"/>
        <v>0</v>
      </c>
      <c r="AF107" s="179">
        <f t="shared" si="10"/>
        <v>0</v>
      </c>
    </row>
    <row r="108" spans="2:32">
      <c r="B108" s="122">
        <f t="shared" si="11"/>
        <v>69572659</v>
      </c>
      <c r="C108" s="122" t="e">
        <f>VLOOKUP($B108,'Tech Litons'!$A:$I,3,0)</f>
        <v>#N/A</v>
      </c>
      <c r="D108" s="122" t="e">
        <f>VLOOKUP($B108,'Tech Litons'!$A:$I,4,0)</f>
        <v>#N/A</v>
      </c>
      <c r="E108" s="598" t="s">
        <v>914</v>
      </c>
      <c r="F108" s="598">
        <v>69572659</v>
      </c>
      <c r="G108" s="600">
        <v>29027.267929633599</v>
      </c>
      <c r="H108" s="599">
        <v>35669.102101086602</v>
      </c>
      <c r="I108" s="599">
        <v>46392.137397601196</v>
      </c>
      <c r="J108" s="599">
        <v>42605.978938934801</v>
      </c>
      <c r="K108" s="599">
        <v>51795.129007115502</v>
      </c>
      <c r="L108" s="599">
        <v>46960.551164228396</v>
      </c>
      <c r="M108" s="599">
        <v>45546.104861212298</v>
      </c>
      <c r="N108" s="599">
        <v>42957.710445946701</v>
      </c>
      <c r="O108" s="599">
        <v>36902.304780138198</v>
      </c>
      <c r="P108" s="599">
        <v>40781.326976385302</v>
      </c>
      <c r="Q108" s="599">
        <v>25270.654021489099</v>
      </c>
      <c r="R108" s="599">
        <v>26339.115944956899</v>
      </c>
      <c r="S108" s="169">
        <f t="shared" si="9"/>
        <v>470247.38356872863</v>
      </c>
      <c r="T108" s="122" t="e">
        <f>VLOOKUP($B108,'Tech Litons'!$A:$I,9,0)</f>
        <v>#N/A</v>
      </c>
      <c r="U108" s="179" t="e">
        <f t="shared" si="13"/>
        <v>#N/A</v>
      </c>
      <c r="V108" s="179" t="e">
        <f t="shared" si="13"/>
        <v>#N/A</v>
      </c>
      <c r="W108" s="179" t="e">
        <f t="shared" si="13"/>
        <v>#N/A</v>
      </c>
      <c r="X108" s="179" t="e">
        <f t="shared" si="12"/>
        <v>#N/A</v>
      </c>
      <c r="Y108" s="179" t="e">
        <f t="shared" si="12"/>
        <v>#N/A</v>
      </c>
      <c r="Z108" s="179" t="e">
        <f t="shared" si="12"/>
        <v>#N/A</v>
      </c>
      <c r="AA108" s="179" t="e">
        <f t="shared" si="10"/>
        <v>#N/A</v>
      </c>
      <c r="AB108" s="179" t="e">
        <f t="shared" si="10"/>
        <v>#N/A</v>
      </c>
      <c r="AC108" s="179" t="e">
        <f t="shared" si="10"/>
        <v>#N/A</v>
      </c>
      <c r="AD108" s="179" t="e">
        <f t="shared" si="10"/>
        <v>#N/A</v>
      </c>
      <c r="AE108" s="179" t="e">
        <f t="shared" si="10"/>
        <v>#N/A</v>
      </c>
      <c r="AF108" s="179" t="e">
        <f t="shared" si="10"/>
        <v>#N/A</v>
      </c>
    </row>
    <row r="109" spans="2:32">
      <c r="B109" s="122">
        <f t="shared" si="11"/>
        <v>67430513</v>
      </c>
      <c r="C109" s="122" t="str">
        <f>VLOOKUP($B109,'Tech Litons'!$A:$I,3,0)</f>
        <v>BJ PTS</v>
      </c>
      <c r="D109" s="122" t="str">
        <f>VLOOKUP($B109,'Tech Litons'!$A:$I,4,0)</f>
        <v>BJ PTS</v>
      </c>
      <c r="E109" s="598" t="s">
        <v>308</v>
      </c>
      <c r="F109" s="598">
        <v>67430513</v>
      </c>
      <c r="G109" s="599">
        <v>25075.368505483701</v>
      </c>
      <c r="H109" s="599">
        <v>38061.836652336999</v>
      </c>
      <c r="I109" s="599">
        <v>42385.1242508465</v>
      </c>
      <c r="J109" s="599">
        <v>38915.521878625201</v>
      </c>
      <c r="K109" s="599">
        <v>35921.381342024302</v>
      </c>
      <c r="L109" s="599">
        <v>47388.423903320603</v>
      </c>
      <c r="M109" s="599">
        <v>38285.660032459498</v>
      </c>
      <c r="N109" s="599">
        <v>39605.215484623601</v>
      </c>
      <c r="O109" s="599">
        <v>36515.337223013303</v>
      </c>
      <c r="P109" s="599">
        <v>39748.320867062903</v>
      </c>
      <c r="Q109" s="599">
        <v>34568.4218865484</v>
      </c>
      <c r="R109" s="599">
        <v>32891.883772520297</v>
      </c>
      <c r="S109" s="169">
        <f t="shared" si="9"/>
        <v>449362.49579886527</v>
      </c>
      <c r="T109" s="122">
        <f>VLOOKUP($B109,'Tech Litons'!$A:$I,9,0)</f>
        <v>240</v>
      </c>
      <c r="U109" s="179">
        <f t="shared" si="13"/>
        <v>104.48070210618208</v>
      </c>
      <c r="V109" s="179">
        <f t="shared" si="13"/>
        <v>158.59098605140417</v>
      </c>
      <c r="W109" s="179">
        <f t="shared" si="13"/>
        <v>176.60468437852708</v>
      </c>
      <c r="X109" s="179">
        <f t="shared" si="12"/>
        <v>162.148007827605</v>
      </c>
      <c r="Y109" s="179">
        <f t="shared" si="12"/>
        <v>149.67242225843458</v>
      </c>
      <c r="Z109" s="179">
        <f t="shared" si="12"/>
        <v>197.45176626383585</v>
      </c>
      <c r="AA109" s="179">
        <f t="shared" si="10"/>
        <v>159.52358346858125</v>
      </c>
      <c r="AB109" s="179">
        <f t="shared" si="10"/>
        <v>165.02173118593166</v>
      </c>
      <c r="AC109" s="179">
        <f t="shared" si="10"/>
        <v>152.14723842922209</v>
      </c>
      <c r="AD109" s="179">
        <f t="shared" si="10"/>
        <v>165.6180036127621</v>
      </c>
      <c r="AE109" s="179">
        <f t="shared" si="10"/>
        <v>144.03509119395167</v>
      </c>
      <c r="AF109" s="179">
        <f t="shared" si="10"/>
        <v>137.04951571883458</v>
      </c>
    </row>
    <row r="110" spans="2:32">
      <c r="B110" s="122">
        <f t="shared" si="11"/>
        <v>69591667</v>
      </c>
      <c r="C110" s="122" t="str">
        <f>VLOOKUP($B110,'Tech Litons'!$A:$I,3,0)</f>
        <v>MG Sticks</v>
      </c>
      <c r="D110" s="122" t="str">
        <f>VLOOKUP($B110,'Tech Litons'!$A:$I,4,0)</f>
        <v>MG Sticks</v>
      </c>
      <c r="E110" s="598" t="s">
        <v>509</v>
      </c>
      <c r="F110" s="598">
        <v>69591667</v>
      </c>
      <c r="G110" s="599">
        <v>32763.742869877198</v>
      </c>
      <c r="H110" s="599">
        <v>31063.862455017901</v>
      </c>
      <c r="I110" s="599">
        <v>39207.681402312097</v>
      </c>
      <c r="J110" s="599">
        <v>41734.117744943898</v>
      </c>
      <c r="K110" s="599">
        <v>42702.732082805902</v>
      </c>
      <c r="L110" s="599">
        <v>38776.269029042996</v>
      </c>
      <c r="M110" s="599">
        <v>43287.199180715797</v>
      </c>
      <c r="N110" s="599">
        <v>37932.346162304697</v>
      </c>
      <c r="O110" s="599">
        <v>38068.423062499103</v>
      </c>
      <c r="P110" s="599">
        <v>35394.7969092899</v>
      </c>
      <c r="Q110" s="599">
        <v>30502.0170212335</v>
      </c>
      <c r="R110" s="599">
        <v>23454.067721965199</v>
      </c>
      <c r="S110" s="169">
        <f t="shared" si="9"/>
        <v>434887.25564200815</v>
      </c>
      <c r="T110" s="122">
        <f>VLOOKUP($B110,'Tech Litons'!$A:$I,9,0)</f>
        <v>143</v>
      </c>
      <c r="U110" s="179">
        <f t="shared" si="13"/>
        <v>229.11708300613427</v>
      </c>
      <c r="V110" s="179">
        <f t="shared" si="13"/>
        <v>217.22980737774756</v>
      </c>
      <c r="W110" s="179">
        <f t="shared" si="13"/>
        <v>274.17959022595875</v>
      </c>
      <c r="X110" s="179">
        <f t="shared" si="12"/>
        <v>291.84697723736991</v>
      </c>
      <c r="Y110" s="179">
        <f t="shared" si="12"/>
        <v>298.62050407556575</v>
      </c>
      <c r="Z110" s="179">
        <f t="shared" si="12"/>
        <v>271.16272048281814</v>
      </c>
      <c r="AA110" s="179">
        <f t="shared" si="10"/>
        <v>302.70768657843217</v>
      </c>
      <c r="AB110" s="179">
        <f t="shared" si="10"/>
        <v>265.26116197415871</v>
      </c>
      <c r="AC110" s="179">
        <f t="shared" si="10"/>
        <v>266.21274868880494</v>
      </c>
      <c r="AD110" s="179">
        <f t="shared" si="10"/>
        <v>247.51606230272657</v>
      </c>
      <c r="AE110" s="179">
        <f t="shared" si="10"/>
        <v>213.3008183303042</v>
      </c>
      <c r="AF110" s="179">
        <f t="shared" si="10"/>
        <v>164.01445959416222</v>
      </c>
    </row>
    <row r="111" spans="2:32">
      <c r="B111" s="122">
        <f t="shared" si="11"/>
        <v>69645145</v>
      </c>
      <c r="C111" s="122" t="str">
        <f>VLOOKUP($B111,'Tech Litons'!$A:$I,3,0)</f>
        <v>Other</v>
      </c>
      <c r="D111" s="122" t="str">
        <f>VLOOKUP($B111,'Tech Litons'!$A:$I,4,0)</f>
        <v>Other</v>
      </c>
      <c r="E111" s="286" t="s">
        <v>919</v>
      </c>
      <c r="F111" s="598">
        <v>69645145</v>
      </c>
      <c r="G111" s="599">
        <v>11301.711276428299</v>
      </c>
      <c r="H111" s="599">
        <v>19707.973103013999</v>
      </c>
      <c r="I111" s="599">
        <v>37170.502214419699</v>
      </c>
      <c r="J111" s="599">
        <v>44546.120989870702</v>
      </c>
      <c r="K111" s="599">
        <v>49402.712286410097</v>
      </c>
      <c r="L111" s="599">
        <v>60377.4004404113</v>
      </c>
      <c r="M111" s="599">
        <v>51789.340653915897</v>
      </c>
      <c r="N111" s="599">
        <v>42279.0844549537</v>
      </c>
      <c r="O111" s="599">
        <v>38524.319874369801</v>
      </c>
      <c r="P111" s="599">
        <v>28625.107244947001</v>
      </c>
      <c r="Q111" s="599">
        <v>25820.6926940062</v>
      </c>
      <c r="R111" s="599">
        <v>24114.055622333901</v>
      </c>
      <c r="S111" s="169">
        <f t="shared" si="9"/>
        <v>433659.02085508051</v>
      </c>
      <c r="T111" s="122">
        <f>VLOOKUP($B111,'Tech Litons'!$A:$I,9,0)</f>
        <v>240</v>
      </c>
      <c r="U111" s="179">
        <f t="shared" si="13"/>
        <v>47.090463651784582</v>
      </c>
      <c r="V111" s="179">
        <f t="shared" si="13"/>
        <v>82.116554595891657</v>
      </c>
      <c r="W111" s="179">
        <f t="shared" si="13"/>
        <v>154.87709256008208</v>
      </c>
      <c r="X111" s="179">
        <f t="shared" si="12"/>
        <v>185.60883745779458</v>
      </c>
      <c r="Y111" s="179">
        <f t="shared" si="12"/>
        <v>205.84463452670875</v>
      </c>
      <c r="Z111" s="179">
        <f t="shared" si="12"/>
        <v>251.57250183504709</v>
      </c>
      <c r="AA111" s="179">
        <f t="shared" si="10"/>
        <v>215.78891939131623</v>
      </c>
      <c r="AB111" s="179">
        <f t="shared" si="10"/>
        <v>176.16285189564042</v>
      </c>
      <c r="AC111" s="179">
        <f t="shared" si="10"/>
        <v>160.51799947654084</v>
      </c>
      <c r="AD111" s="179">
        <f t="shared" ref="AD111:AF171" si="14">P111/$T111</f>
        <v>119.27128018727917</v>
      </c>
      <c r="AE111" s="179">
        <f t="shared" si="14"/>
        <v>107.58621955835916</v>
      </c>
      <c r="AF111" s="179">
        <f t="shared" si="14"/>
        <v>100.47523175972459</v>
      </c>
    </row>
    <row r="112" spans="2:32">
      <c r="B112" s="122">
        <f t="shared" si="11"/>
        <v>67908208</v>
      </c>
      <c r="C112" s="122" t="e">
        <f>VLOOKUP($B112,'Tech Litons'!$A:$I,3,0)</f>
        <v>#N/A</v>
      </c>
      <c r="D112" s="122" t="e">
        <f>VLOOKUP($B112,'Tech Litons'!$A:$I,4,0)</f>
        <v>#N/A</v>
      </c>
      <c r="E112" s="598" t="s">
        <v>412</v>
      </c>
      <c r="F112" s="598">
        <v>67908208</v>
      </c>
      <c r="G112" s="600">
        <v>25878.7399264694</v>
      </c>
      <c r="H112" s="599">
        <v>25700.351571896201</v>
      </c>
      <c r="I112" s="599">
        <v>35199.022957803099</v>
      </c>
      <c r="J112" s="599">
        <v>40990.921833630498</v>
      </c>
      <c r="K112" s="599">
        <v>52003.864272797699</v>
      </c>
      <c r="L112" s="599">
        <v>47970.829935254602</v>
      </c>
      <c r="M112" s="599">
        <v>53250.476434664597</v>
      </c>
      <c r="N112" s="599">
        <v>43263.8577245247</v>
      </c>
      <c r="O112" s="599">
        <v>31597.6694347548</v>
      </c>
      <c r="P112" s="599">
        <v>27403.40956606</v>
      </c>
      <c r="Q112" s="599">
        <v>23826.256791629301</v>
      </c>
      <c r="R112" s="599">
        <v>25058.386841426101</v>
      </c>
      <c r="S112" s="169">
        <f t="shared" si="9"/>
        <v>432143.78729091096</v>
      </c>
      <c r="T112" s="122" t="e">
        <f>VLOOKUP($B112,'Tech Litons'!$A:$I,9,0)</f>
        <v>#N/A</v>
      </c>
      <c r="U112" s="179" t="e">
        <f t="shared" si="13"/>
        <v>#N/A</v>
      </c>
      <c r="V112" s="179" t="e">
        <f t="shared" si="13"/>
        <v>#N/A</v>
      </c>
      <c r="W112" s="179" t="e">
        <f t="shared" si="13"/>
        <v>#N/A</v>
      </c>
      <c r="X112" s="179" t="e">
        <f t="shared" si="12"/>
        <v>#N/A</v>
      </c>
      <c r="Y112" s="179" t="e">
        <f t="shared" si="12"/>
        <v>#N/A</v>
      </c>
      <c r="Z112" s="179" t="e">
        <f t="shared" si="12"/>
        <v>#N/A</v>
      </c>
      <c r="AA112" s="179" t="e">
        <f t="shared" si="12"/>
        <v>#N/A</v>
      </c>
      <c r="AB112" s="179" t="e">
        <f t="shared" si="12"/>
        <v>#N/A</v>
      </c>
      <c r="AC112" s="179" t="e">
        <f t="shared" si="12"/>
        <v>#N/A</v>
      </c>
      <c r="AD112" s="179" t="e">
        <f t="shared" si="14"/>
        <v>#N/A</v>
      </c>
      <c r="AE112" s="179" t="e">
        <f t="shared" si="14"/>
        <v>#N/A</v>
      </c>
      <c r="AF112" s="179" t="e">
        <f t="shared" si="14"/>
        <v>#N/A</v>
      </c>
    </row>
    <row r="113" spans="2:32">
      <c r="B113" s="122">
        <f t="shared" si="11"/>
        <v>69572544</v>
      </c>
      <c r="C113" s="122" t="e">
        <f>VLOOKUP($B113,'Tech Litons'!$A:$I,3,0)</f>
        <v>#N/A</v>
      </c>
      <c r="D113" s="122" t="e">
        <f>VLOOKUP($B113,'Tech Litons'!$A:$I,4,0)</f>
        <v>#N/A</v>
      </c>
      <c r="E113" s="598" t="s">
        <v>558</v>
      </c>
      <c r="F113" s="598">
        <v>69572544</v>
      </c>
      <c r="G113" s="599">
        <v>30551.099999644699</v>
      </c>
      <c r="H113" s="599">
        <v>35969.950896140799</v>
      </c>
      <c r="I113" s="599">
        <v>39014.365196493898</v>
      </c>
      <c r="J113" s="599">
        <v>34699.694032496198</v>
      </c>
      <c r="K113" s="599">
        <v>39660.042679922</v>
      </c>
      <c r="L113" s="599">
        <v>40224.997466022403</v>
      </c>
      <c r="M113" s="599">
        <v>40535.824884722897</v>
      </c>
      <c r="N113" s="599">
        <v>42217.305290724697</v>
      </c>
      <c r="O113" s="599">
        <v>34964.420577990997</v>
      </c>
      <c r="P113" s="599">
        <v>34714.558197643397</v>
      </c>
      <c r="Q113" s="599">
        <v>25467.673794026301</v>
      </c>
      <c r="R113" s="599">
        <v>26317.331776925199</v>
      </c>
      <c r="S113" s="169">
        <f t="shared" si="9"/>
        <v>424337.26479275344</v>
      </c>
      <c r="T113" s="122" t="e">
        <f>VLOOKUP($B113,'Tech Litons'!$A:$I,9,0)</f>
        <v>#N/A</v>
      </c>
      <c r="U113" s="179" t="e">
        <f t="shared" si="13"/>
        <v>#N/A</v>
      </c>
      <c r="V113" s="179" t="e">
        <f t="shared" si="13"/>
        <v>#N/A</v>
      </c>
      <c r="W113" s="179" t="e">
        <f t="shared" si="13"/>
        <v>#N/A</v>
      </c>
      <c r="X113" s="179" t="e">
        <f t="shared" si="12"/>
        <v>#N/A</v>
      </c>
      <c r="Y113" s="179" t="e">
        <f t="shared" si="12"/>
        <v>#N/A</v>
      </c>
      <c r="Z113" s="179" t="e">
        <f t="shared" si="12"/>
        <v>#N/A</v>
      </c>
      <c r="AA113" s="179" t="e">
        <f t="shared" si="12"/>
        <v>#N/A</v>
      </c>
      <c r="AB113" s="179" t="e">
        <f t="shared" si="12"/>
        <v>#N/A</v>
      </c>
      <c r="AC113" s="179" t="e">
        <f t="shared" si="12"/>
        <v>#N/A</v>
      </c>
      <c r="AD113" s="179" t="e">
        <f t="shared" si="14"/>
        <v>#N/A</v>
      </c>
      <c r="AE113" s="179" t="e">
        <f t="shared" si="14"/>
        <v>#N/A</v>
      </c>
      <c r="AF113" s="179" t="e">
        <f t="shared" si="14"/>
        <v>#N/A</v>
      </c>
    </row>
    <row r="114" spans="2:32">
      <c r="B114" s="122">
        <f t="shared" si="11"/>
        <v>68896054</v>
      </c>
      <c r="C114" s="122" t="str">
        <f>VLOOKUP($B114,'Tech Litons'!$A:$I,3,0)</f>
        <v>48oz</v>
      </c>
      <c r="D114" s="122" t="str">
        <f>VLOOKUP($B114,'Tech Litons'!$A:$I,4,0)</f>
        <v>48oz</v>
      </c>
      <c r="E114" s="598" t="s">
        <v>989</v>
      </c>
      <c r="F114" s="598">
        <v>68896054</v>
      </c>
      <c r="G114" s="599">
        <v>33432.837226659998</v>
      </c>
      <c r="H114" s="599">
        <v>33589.840343835698</v>
      </c>
      <c r="I114" s="599">
        <v>35399.780067312298</v>
      </c>
      <c r="J114" s="599">
        <v>43014.185015653798</v>
      </c>
      <c r="K114" s="599">
        <v>38627.435015689502</v>
      </c>
      <c r="L114" s="599">
        <v>46142.247778435602</v>
      </c>
      <c r="M114" s="599">
        <v>34876.967557426899</v>
      </c>
      <c r="N114" s="599">
        <v>33947.804598876202</v>
      </c>
      <c r="O114" s="599">
        <v>24218.0680859559</v>
      </c>
      <c r="P114" s="599">
        <v>28011.021204912999</v>
      </c>
      <c r="Q114" s="599">
        <v>33472.493092373101</v>
      </c>
      <c r="R114" s="599">
        <v>28785.937833521501</v>
      </c>
      <c r="S114" s="169">
        <f t="shared" si="9"/>
        <v>413518.61782065348</v>
      </c>
      <c r="T114" s="122">
        <f>VLOOKUP($B114,'Tech Litons'!$A:$I,9,0)</f>
        <v>176</v>
      </c>
      <c r="U114" s="179">
        <f t="shared" si="13"/>
        <v>189.95930242420454</v>
      </c>
      <c r="V114" s="179">
        <f t="shared" si="13"/>
        <v>190.85136558997556</v>
      </c>
      <c r="W114" s="179">
        <f t="shared" si="13"/>
        <v>201.13511401881988</v>
      </c>
      <c r="X114" s="179">
        <f t="shared" si="12"/>
        <v>244.39877849803295</v>
      </c>
      <c r="Y114" s="179">
        <f t="shared" si="12"/>
        <v>219.47406258914489</v>
      </c>
      <c r="Z114" s="179">
        <f t="shared" si="12"/>
        <v>262.17186237747501</v>
      </c>
      <c r="AA114" s="179">
        <f t="shared" si="12"/>
        <v>198.16458839447102</v>
      </c>
      <c r="AB114" s="179">
        <f t="shared" si="12"/>
        <v>192.8852534027057</v>
      </c>
      <c r="AC114" s="179">
        <f t="shared" si="12"/>
        <v>137.60265957929488</v>
      </c>
      <c r="AD114" s="179">
        <f t="shared" si="14"/>
        <v>159.1535295733693</v>
      </c>
      <c r="AE114" s="179">
        <f t="shared" si="14"/>
        <v>190.18461984302897</v>
      </c>
      <c r="AF114" s="179">
        <f t="shared" si="14"/>
        <v>163.55646496319034</v>
      </c>
    </row>
    <row r="115" spans="2:32">
      <c r="B115" s="122">
        <f t="shared" si="11"/>
        <v>84161610</v>
      </c>
      <c r="C115" s="122" t="str">
        <f>VLOOKUP($B115,'Tech Litons'!$A:$I,3,0)</f>
        <v>BJ PTS</v>
      </c>
      <c r="D115" s="122" t="str">
        <f>VLOOKUP($B115,'Tech Litons'!$A:$I,4,0)</f>
        <v>BJ PTS</v>
      </c>
      <c r="E115" s="598" t="s">
        <v>309</v>
      </c>
      <c r="F115" s="598">
        <v>84161610</v>
      </c>
      <c r="G115" s="599">
        <v>25526.6426257848</v>
      </c>
      <c r="H115" s="599">
        <v>36980.356011467498</v>
      </c>
      <c r="I115" s="599">
        <v>41349.103963284397</v>
      </c>
      <c r="J115" s="599">
        <v>33564.981549353499</v>
      </c>
      <c r="K115" s="599">
        <v>32953.322867401897</v>
      </c>
      <c r="L115" s="599">
        <v>43502.529382545101</v>
      </c>
      <c r="M115" s="599">
        <v>30749.666690238901</v>
      </c>
      <c r="N115" s="599">
        <v>37353.801046601198</v>
      </c>
      <c r="O115" s="599">
        <v>31911.534485816301</v>
      </c>
      <c r="P115" s="599">
        <v>35085.458719907903</v>
      </c>
      <c r="Q115" s="599">
        <v>29037.922910077399</v>
      </c>
      <c r="R115" s="599">
        <v>26631.4678860598</v>
      </c>
      <c r="S115" s="169">
        <f t="shared" si="9"/>
        <v>404646.78813853866</v>
      </c>
      <c r="T115" s="122">
        <f>VLOOKUP($B115,'Tech Litons'!$A:$I,9,0)</f>
        <v>240</v>
      </c>
      <c r="U115" s="179">
        <f t="shared" si="13"/>
        <v>106.36101094077</v>
      </c>
      <c r="V115" s="179">
        <f t="shared" si="13"/>
        <v>154.0848167144479</v>
      </c>
      <c r="W115" s="179">
        <f t="shared" si="13"/>
        <v>172.28793318035164</v>
      </c>
      <c r="X115" s="179">
        <f t="shared" si="12"/>
        <v>139.85408978897291</v>
      </c>
      <c r="Y115" s="179">
        <f t="shared" si="12"/>
        <v>137.30551194750791</v>
      </c>
      <c r="Z115" s="179">
        <f t="shared" si="12"/>
        <v>181.26053909393792</v>
      </c>
      <c r="AA115" s="179">
        <f t="shared" si="12"/>
        <v>128.12361120932874</v>
      </c>
      <c r="AB115" s="179">
        <f t="shared" si="12"/>
        <v>155.64083769417167</v>
      </c>
      <c r="AC115" s="179">
        <f t="shared" si="12"/>
        <v>132.96472702423458</v>
      </c>
      <c r="AD115" s="179">
        <f t="shared" si="14"/>
        <v>146.18941133294959</v>
      </c>
      <c r="AE115" s="179">
        <f t="shared" si="14"/>
        <v>120.99134545865583</v>
      </c>
      <c r="AF115" s="179">
        <f t="shared" si="14"/>
        <v>110.96444952524917</v>
      </c>
    </row>
    <row r="116" spans="2:32">
      <c r="B116" s="122">
        <f t="shared" si="11"/>
        <v>69591655</v>
      </c>
      <c r="C116" s="122" t="str">
        <f>VLOOKUP($B116,'Tech Litons'!$A:$I,3,0)</f>
        <v>MG Sticks</v>
      </c>
      <c r="D116" s="122" t="str">
        <f>VLOOKUP($B116,'Tech Litons'!$A:$I,4,0)</f>
        <v>MG Sticks</v>
      </c>
      <c r="E116" s="598" t="s">
        <v>362</v>
      </c>
      <c r="F116" s="598">
        <v>69591655</v>
      </c>
      <c r="G116" s="599">
        <v>29084.535444382898</v>
      </c>
      <c r="H116" s="599">
        <v>29785.759731915001</v>
      </c>
      <c r="I116" s="599">
        <v>33545.7930851766</v>
      </c>
      <c r="J116" s="599">
        <v>33558.5236841554</v>
      </c>
      <c r="K116" s="599">
        <v>39707.952023477897</v>
      </c>
      <c r="L116" s="599">
        <v>36113.060787704198</v>
      </c>
      <c r="M116" s="599">
        <v>41996.860857242398</v>
      </c>
      <c r="N116" s="599">
        <v>39711.584666763498</v>
      </c>
      <c r="O116" s="599">
        <v>33356.977560382198</v>
      </c>
      <c r="P116" s="599">
        <v>30799.327360915198</v>
      </c>
      <c r="Q116" s="599">
        <v>28534.394650500199</v>
      </c>
      <c r="R116" s="599">
        <v>22865.309402372299</v>
      </c>
      <c r="S116" s="169">
        <f t="shared" si="9"/>
        <v>399060.07925498782</v>
      </c>
      <c r="T116" s="122">
        <f>VLOOKUP($B116,'Tech Litons'!$A:$I,9,0)</f>
        <v>143</v>
      </c>
      <c r="U116" s="179">
        <f t="shared" si="13"/>
        <v>203.38835975092937</v>
      </c>
      <c r="V116" s="179">
        <f t="shared" si="13"/>
        <v>208.29202609730771</v>
      </c>
      <c r="W116" s="179">
        <f t="shared" si="13"/>
        <v>234.58596563060559</v>
      </c>
      <c r="X116" s="179">
        <f t="shared" si="12"/>
        <v>234.67499079828951</v>
      </c>
      <c r="Y116" s="179">
        <f t="shared" si="12"/>
        <v>277.67798617816709</v>
      </c>
      <c r="Z116" s="179">
        <f t="shared" si="12"/>
        <v>252.53888662730208</v>
      </c>
      <c r="AA116" s="179">
        <f t="shared" si="12"/>
        <v>293.68434165903773</v>
      </c>
      <c r="AB116" s="179">
        <f t="shared" si="12"/>
        <v>277.70338927806642</v>
      </c>
      <c r="AC116" s="179">
        <f t="shared" si="12"/>
        <v>233.26557734533006</v>
      </c>
      <c r="AD116" s="179">
        <f t="shared" si="14"/>
        <v>215.37991161479161</v>
      </c>
      <c r="AE116" s="179">
        <f t="shared" si="14"/>
        <v>199.54122133216921</v>
      </c>
      <c r="AF116" s="179">
        <f t="shared" si="14"/>
        <v>159.89726854805804</v>
      </c>
    </row>
    <row r="117" spans="2:32">
      <c r="B117" s="122">
        <f t="shared" si="11"/>
        <v>68930545</v>
      </c>
      <c r="C117" s="122" t="str">
        <f>VLOOKUP($B117,'Tech Litons'!$A:$I,3,0)</f>
        <v>48oz</v>
      </c>
      <c r="D117" s="122" t="str">
        <f>VLOOKUP($B117,'Tech Litons'!$A:$I,4,0)</f>
        <v>48oz</v>
      </c>
      <c r="E117" s="598" t="s">
        <v>349</v>
      </c>
      <c r="F117" s="598">
        <v>68930545</v>
      </c>
      <c r="G117" s="599">
        <v>24884.604156439698</v>
      </c>
      <c r="H117" s="599">
        <v>28463.082847767801</v>
      </c>
      <c r="I117" s="599">
        <v>33643.340448748197</v>
      </c>
      <c r="J117" s="599">
        <v>41815.532451784296</v>
      </c>
      <c r="K117" s="599">
        <v>33628.091639340899</v>
      </c>
      <c r="L117" s="599">
        <v>42896.425180115497</v>
      </c>
      <c r="M117" s="599">
        <v>39435.264587379999</v>
      </c>
      <c r="N117" s="599">
        <v>33667.584343832001</v>
      </c>
      <c r="O117" s="599">
        <v>27659.992829733001</v>
      </c>
      <c r="P117" s="599">
        <v>31335.4328265492</v>
      </c>
      <c r="Q117" s="599">
        <v>31701.404864771001</v>
      </c>
      <c r="R117" s="599">
        <v>25409.546701782499</v>
      </c>
      <c r="S117" s="169">
        <f t="shared" si="9"/>
        <v>394540.30287824408</v>
      </c>
      <c r="T117" s="122">
        <f>VLOOKUP($B117,'Tech Litons'!$A:$I,9,0)</f>
        <v>176</v>
      </c>
      <c r="U117" s="179">
        <f t="shared" si="13"/>
        <v>141.38979634340737</v>
      </c>
      <c r="V117" s="179">
        <f t="shared" si="13"/>
        <v>161.72206163504433</v>
      </c>
      <c r="W117" s="179">
        <f t="shared" si="13"/>
        <v>191.15534345879658</v>
      </c>
      <c r="X117" s="179">
        <f t="shared" si="12"/>
        <v>237.58825256695624</v>
      </c>
      <c r="Y117" s="179">
        <f t="shared" si="12"/>
        <v>191.0687024962551</v>
      </c>
      <c r="Z117" s="179">
        <f t="shared" si="12"/>
        <v>243.72968852338352</v>
      </c>
      <c r="AA117" s="179">
        <f t="shared" si="12"/>
        <v>224.06400333738637</v>
      </c>
      <c r="AB117" s="179">
        <f t="shared" si="12"/>
        <v>191.29309286268182</v>
      </c>
      <c r="AC117" s="179">
        <f t="shared" si="12"/>
        <v>157.15905016893751</v>
      </c>
      <c r="AD117" s="179">
        <f t="shared" si="14"/>
        <v>178.04223196902956</v>
      </c>
      <c r="AE117" s="179">
        <f t="shared" si="14"/>
        <v>180.12161854983523</v>
      </c>
      <c r="AF117" s="179">
        <f t="shared" si="14"/>
        <v>144.37242444194601</v>
      </c>
    </row>
    <row r="118" spans="2:32">
      <c r="B118" s="122">
        <f t="shared" si="11"/>
        <v>68728342</v>
      </c>
      <c r="C118" s="122" t="e">
        <f>VLOOKUP($B118,'Tech Litons'!$A:$I,3,0)</f>
        <v>#N/A</v>
      </c>
      <c r="D118" s="122" t="e">
        <f>VLOOKUP($B118,'Tech Litons'!$A:$I,4,0)</f>
        <v>#N/A</v>
      </c>
      <c r="E118" s="598" t="s">
        <v>306</v>
      </c>
      <c r="F118" s="598">
        <v>68728342</v>
      </c>
      <c r="G118" s="599">
        <v>35310.951689565598</v>
      </c>
      <c r="H118" s="599">
        <v>32812.413342868902</v>
      </c>
      <c r="I118" s="599">
        <v>39794.705868115801</v>
      </c>
      <c r="J118" s="599">
        <v>34884.951927017202</v>
      </c>
      <c r="K118" s="599">
        <v>43499.7262545142</v>
      </c>
      <c r="L118" s="599">
        <v>40572.9073858868</v>
      </c>
      <c r="M118" s="599">
        <v>27486.084892204199</v>
      </c>
      <c r="N118" s="599">
        <v>29274.525960306499</v>
      </c>
      <c r="O118" s="599">
        <v>31521.524856413602</v>
      </c>
      <c r="P118" s="599">
        <v>31900.767557330499</v>
      </c>
      <c r="Q118" s="599">
        <v>24387.2851780987</v>
      </c>
      <c r="R118" s="599">
        <v>22170.0322794489</v>
      </c>
      <c r="S118" s="169">
        <f t="shared" si="9"/>
        <v>393615.87719177082</v>
      </c>
      <c r="T118" s="122" t="e">
        <f>VLOOKUP($B118,'Tech Litons'!$A:$I,9,0)</f>
        <v>#N/A</v>
      </c>
      <c r="U118" s="179" t="e">
        <f t="shared" si="13"/>
        <v>#N/A</v>
      </c>
      <c r="V118" s="179" t="e">
        <f t="shared" si="13"/>
        <v>#N/A</v>
      </c>
      <c r="W118" s="179" t="e">
        <f t="shared" si="13"/>
        <v>#N/A</v>
      </c>
      <c r="X118" s="179" t="e">
        <f t="shared" si="12"/>
        <v>#N/A</v>
      </c>
      <c r="Y118" s="179" t="e">
        <f t="shared" si="12"/>
        <v>#N/A</v>
      </c>
      <c r="Z118" s="179" t="e">
        <f t="shared" si="12"/>
        <v>#N/A</v>
      </c>
      <c r="AA118" s="179" t="e">
        <f t="shared" si="12"/>
        <v>#N/A</v>
      </c>
      <c r="AB118" s="179" t="e">
        <f t="shared" si="12"/>
        <v>#N/A</v>
      </c>
      <c r="AC118" s="179" t="e">
        <f t="shared" si="12"/>
        <v>#N/A</v>
      </c>
      <c r="AD118" s="179" t="e">
        <f t="shared" si="14"/>
        <v>#N/A</v>
      </c>
      <c r="AE118" s="179" t="e">
        <f t="shared" si="14"/>
        <v>#N/A</v>
      </c>
      <c r="AF118" s="179" t="e">
        <f t="shared" si="14"/>
        <v>#N/A</v>
      </c>
    </row>
    <row r="119" spans="2:32">
      <c r="B119" s="122">
        <f t="shared" si="11"/>
        <v>64987234</v>
      </c>
      <c r="C119" s="122" t="str">
        <f>VLOOKUP($B119,'Tech Litons'!$A:$I,3,0)</f>
        <v>BJ Bars</v>
      </c>
      <c r="D119" s="122" t="str">
        <f>VLOOKUP($B119,'Tech Litons'!$A:$I,4,0)</f>
        <v>BJ Bars</v>
      </c>
      <c r="E119" s="598" t="s">
        <v>598</v>
      </c>
      <c r="F119" s="598">
        <v>64987234</v>
      </c>
      <c r="G119" s="599">
        <v>23233.999999999902</v>
      </c>
      <c r="H119" s="599">
        <v>15930</v>
      </c>
      <c r="I119" s="599">
        <v>30648</v>
      </c>
      <c r="J119" s="599">
        <v>32164</v>
      </c>
      <c r="K119" s="599">
        <v>38576</v>
      </c>
      <c r="L119" s="599">
        <v>39115</v>
      </c>
      <c r="M119" s="599">
        <v>36563</v>
      </c>
      <c r="N119" s="599">
        <v>39012</v>
      </c>
      <c r="O119" s="599">
        <v>35985</v>
      </c>
      <c r="P119" s="599">
        <v>36364</v>
      </c>
      <c r="Q119" s="599">
        <v>31660</v>
      </c>
      <c r="R119" s="599">
        <v>33065</v>
      </c>
      <c r="S119" s="169">
        <f t="shared" si="9"/>
        <v>392315.99999999988</v>
      </c>
      <c r="T119" s="122">
        <f>VLOOKUP($B119,'Tech Litons'!$A:$I,9,0)</f>
        <v>165</v>
      </c>
      <c r="U119" s="179">
        <f t="shared" si="13"/>
        <v>140.81212121212062</v>
      </c>
      <c r="V119" s="179">
        <f t="shared" si="13"/>
        <v>96.545454545454547</v>
      </c>
      <c r="W119" s="179">
        <f t="shared" si="13"/>
        <v>185.74545454545455</v>
      </c>
      <c r="X119" s="179">
        <f t="shared" si="12"/>
        <v>194.93333333333334</v>
      </c>
      <c r="Y119" s="179">
        <f t="shared" si="12"/>
        <v>233.79393939393938</v>
      </c>
      <c r="Z119" s="179">
        <f t="shared" si="12"/>
        <v>237.06060606060606</v>
      </c>
      <c r="AA119" s="179">
        <f t="shared" si="12"/>
        <v>221.59393939393939</v>
      </c>
      <c r="AB119" s="179">
        <f t="shared" si="12"/>
        <v>236.43636363636364</v>
      </c>
      <c r="AC119" s="179">
        <f t="shared" si="12"/>
        <v>218.09090909090909</v>
      </c>
      <c r="AD119" s="179">
        <f t="shared" si="14"/>
        <v>220.38787878787878</v>
      </c>
      <c r="AE119" s="179">
        <f t="shared" si="14"/>
        <v>191.87878787878788</v>
      </c>
      <c r="AF119" s="179">
        <f t="shared" si="14"/>
        <v>200.39393939393941</v>
      </c>
    </row>
    <row r="120" spans="2:32">
      <c r="B120" s="122">
        <f t="shared" si="11"/>
        <v>69591665</v>
      </c>
      <c r="C120" s="122" t="str">
        <f>VLOOKUP($B120,'Tech Litons'!$A:$I,3,0)</f>
        <v>MG Sticks</v>
      </c>
      <c r="D120" s="122" t="str">
        <f>VLOOKUP($B120,'Tech Litons'!$A:$I,4,0)</f>
        <v>MG Sticks</v>
      </c>
      <c r="E120" s="598" t="s">
        <v>388</v>
      </c>
      <c r="F120" s="598">
        <v>69591665</v>
      </c>
      <c r="G120" s="599">
        <v>28704.643352390201</v>
      </c>
      <c r="H120" s="599">
        <v>27814.0372935745</v>
      </c>
      <c r="I120" s="599">
        <v>30811.012385960101</v>
      </c>
      <c r="J120" s="599">
        <v>36749.6982986406</v>
      </c>
      <c r="K120" s="599">
        <v>38579.378200172003</v>
      </c>
      <c r="L120" s="599">
        <v>35949.775752017398</v>
      </c>
      <c r="M120" s="599">
        <v>41679.4141817208</v>
      </c>
      <c r="N120" s="599">
        <v>38966.130214893798</v>
      </c>
      <c r="O120" s="599">
        <v>32448.8989002581</v>
      </c>
      <c r="P120" s="599">
        <v>30193.492415844401</v>
      </c>
      <c r="Q120" s="599">
        <v>24453.351224733098</v>
      </c>
      <c r="R120" s="599">
        <v>21416.1009393444</v>
      </c>
      <c r="S120" s="169">
        <f t="shared" si="9"/>
        <v>387765.93315954943</v>
      </c>
      <c r="T120" s="122">
        <f>VLOOKUP($B120,'Tech Litons'!$A:$I,9,0)</f>
        <v>143</v>
      </c>
      <c r="U120" s="179">
        <f t="shared" si="13"/>
        <v>200.73177169503637</v>
      </c>
      <c r="V120" s="179">
        <f t="shared" si="13"/>
        <v>194.50375729772378</v>
      </c>
      <c r="W120" s="179">
        <f t="shared" si="13"/>
        <v>215.46162507664405</v>
      </c>
      <c r="X120" s="179">
        <f t="shared" si="12"/>
        <v>256.99089719329089</v>
      </c>
      <c r="Y120" s="179">
        <f t="shared" si="12"/>
        <v>269.78586153966438</v>
      </c>
      <c r="Z120" s="179">
        <f t="shared" si="12"/>
        <v>251.39703323089088</v>
      </c>
      <c r="AA120" s="179">
        <f t="shared" si="12"/>
        <v>291.46443483720839</v>
      </c>
      <c r="AB120" s="179">
        <f t="shared" si="12"/>
        <v>272.49042108317343</v>
      </c>
      <c r="AC120" s="179">
        <f t="shared" si="12"/>
        <v>226.91537692488183</v>
      </c>
      <c r="AD120" s="179">
        <f t="shared" si="14"/>
        <v>211.14330360730349</v>
      </c>
      <c r="AE120" s="179">
        <f t="shared" si="14"/>
        <v>171.00245611701467</v>
      </c>
      <c r="AF120" s="179">
        <f t="shared" si="14"/>
        <v>149.76294363177902</v>
      </c>
    </row>
    <row r="121" spans="2:32">
      <c r="B121" s="122">
        <f t="shared" si="11"/>
        <v>64975616</v>
      </c>
      <c r="C121" s="122" t="str">
        <f>VLOOKUP($B121,'Tech Litons'!$A:$I,3,0)</f>
        <v>YS PTS</v>
      </c>
      <c r="D121" s="122" t="str">
        <f>VLOOKUP($B121,'Tech Litons'!$A:$I,4,0)</f>
        <v>YS PTS</v>
      </c>
      <c r="E121" s="598" t="s">
        <v>1054</v>
      </c>
      <c r="F121" s="598">
        <v>64975616</v>
      </c>
      <c r="G121" s="599">
        <v>14577.9999999999</v>
      </c>
      <c r="H121" s="599">
        <v>19526.999999999902</v>
      </c>
      <c r="I121" s="599">
        <v>27347</v>
      </c>
      <c r="J121" s="599">
        <v>29382.999999999902</v>
      </c>
      <c r="K121" s="599">
        <v>36179</v>
      </c>
      <c r="L121" s="599">
        <v>45297</v>
      </c>
      <c r="M121" s="599">
        <v>40754</v>
      </c>
      <c r="N121" s="599">
        <v>42018</v>
      </c>
      <c r="O121" s="599">
        <v>39648.999999999898</v>
      </c>
      <c r="P121" s="599">
        <v>32609.999999999902</v>
      </c>
      <c r="Q121" s="599">
        <v>30894.999999999902</v>
      </c>
      <c r="R121" s="599">
        <v>28483.999999999902</v>
      </c>
      <c r="S121" s="169">
        <f t="shared" si="9"/>
        <v>386720.99999999924</v>
      </c>
      <c r="T121" s="122">
        <f>VLOOKUP($B121,'Tech Litons'!$A:$I,9,0)</f>
        <v>240</v>
      </c>
      <c r="U121" s="179">
        <f t="shared" si="13"/>
        <v>60.741666666666248</v>
      </c>
      <c r="V121" s="179">
        <f t="shared" si="13"/>
        <v>81.362499999999585</v>
      </c>
      <c r="W121" s="179">
        <f t="shared" si="13"/>
        <v>113.94583333333334</v>
      </c>
      <c r="X121" s="179">
        <f t="shared" si="12"/>
        <v>122.42916666666626</v>
      </c>
      <c r="Y121" s="179">
        <f t="shared" si="12"/>
        <v>150.74583333333334</v>
      </c>
      <c r="Z121" s="179">
        <f t="shared" si="12"/>
        <v>188.73750000000001</v>
      </c>
      <c r="AA121" s="179">
        <f t="shared" si="12"/>
        <v>169.80833333333334</v>
      </c>
      <c r="AB121" s="179">
        <f t="shared" si="12"/>
        <v>175.07499999999999</v>
      </c>
      <c r="AC121" s="179">
        <f t="shared" si="12"/>
        <v>165.20416666666625</v>
      </c>
      <c r="AD121" s="179">
        <f t="shared" si="14"/>
        <v>135.8749999999996</v>
      </c>
      <c r="AE121" s="179">
        <f t="shared" si="14"/>
        <v>128.72916666666626</v>
      </c>
      <c r="AF121" s="179">
        <f t="shared" si="14"/>
        <v>118.68333333333293</v>
      </c>
    </row>
    <row r="122" spans="2:32">
      <c r="B122" s="122">
        <f t="shared" si="11"/>
        <v>68899821</v>
      </c>
      <c r="C122" s="122" t="str">
        <f>VLOOKUP($B122,'Tech Litons'!$A:$I,3,0)</f>
        <v>48oz</v>
      </c>
      <c r="D122" s="122" t="str">
        <f>VLOOKUP($B122,'Tech Litons'!$A:$I,4,0)</f>
        <v>48oz</v>
      </c>
      <c r="E122" s="598" t="s">
        <v>997</v>
      </c>
      <c r="F122" s="598">
        <v>68899821</v>
      </c>
      <c r="G122" s="599">
        <v>34681.6712271461</v>
      </c>
      <c r="H122" s="599">
        <v>28238.521665349199</v>
      </c>
      <c r="I122" s="599">
        <v>31886.2311315636</v>
      </c>
      <c r="J122" s="599">
        <v>36359.988906694802</v>
      </c>
      <c r="K122" s="599">
        <v>33097.969100455601</v>
      </c>
      <c r="L122" s="599">
        <v>41908.003120598398</v>
      </c>
      <c r="M122" s="599">
        <v>33574.2312706636</v>
      </c>
      <c r="N122" s="599">
        <v>31763.5237956817</v>
      </c>
      <c r="O122" s="599">
        <v>20656.457986343201</v>
      </c>
      <c r="P122" s="599">
        <v>25899.063788628599</v>
      </c>
      <c r="Q122" s="599">
        <v>34045.038137402298</v>
      </c>
      <c r="R122" s="599">
        <v>27296.013553180299</v>
      </c>
      <c r="S122" s="169">
        <f t="shared" si="9"/>
        <v>379406.71368370746</v>
      </c>
      <c r="T122" s="122">
        <f>VLOOKUP($B122,'Tech Litons'!$A:$I,9,0)</f>
        <v>176</v>
      </c>
      <c r="U122" s="179">
        <f t="shared" si="13"/>
        <v>197.05495015423921</v>
      </c>
      <c r="V122" s="179">
        <f t="shared" si="13"/>
        <v>160.44614582584771</v>
      </c>
      <c r="W122" s="179">
        <f t="shared" si="13"/>
        <v>181.171767792975</v>
      </c>
      <c r="X122" s="179">
        <f t="shared" si="12"/>
        <v>206.59084606076593</v>
      </c>
      <c r="Y122" s="179">
        <f t="shared" si="12"/>
        <v>188.05664261622499</v>
      </c>
      <c r="Z122" s="179">
        <f t="shared" si="12"/>
        <v>238.11365409430908</v>
      </c>
      <c r="AA122" s="179">
        <f t="shared" si="12"/>
        <v>190.76267767422499</v>
      </c>
      <c r="AB122" s="179">
        <f t="shared" si="12"/>
        <v>180.47456702091876</v>
      </c>
      <c r="AC122" s="179">
        <f t="shared" si="12"/>
        <v>117.36623855876819</v>
      </c>
      <c r="AD122" s="179">
        <f t="shared" si="14"/>
        <v>147.15377152629887</v>
      </c>
      <c r="AE122" s="179">
        <f t="shared" si="14"/>
        <v>193.43771668978579</v>
      </c>
      <c r="AF122" s="179">
        <f t="shared" si="14"/>
        <v>155.09098609761534</v>
      </c>
    </row>
    <row r="123" spans="2:32">
      <c r="B123" s="122">
        <f t="shared" si="11"/>
        <v>68729679</v>
      </c>
      <c r="C123" s="122" t="e">
        <f>VLOOKUP($B123,'Tech Litons'!$A:$I,3,0)</f>
        <v>#N/A</v>
      </c>
      <c r="D123" s="122" t="e">
        <f>VLOOKUP($B123,'Tech Litons'!$A:$I,4,0)</f>
        <v>#N/A</v>
      </c>
      <c r="E123" s="598" t="s">
        <v>401</v>
      </c>
      <c r="F123" s="598">
        <v>68729679</v>
      </c>
      <c r="G123" s="599">
        <v>30977.582518367799</v>
      </c>
      <c r="H123" s="599">
        <v>30739.162651391802</v>
      </c>
      <c r="I123" s="599">
        <v>36372.087369979301</v>
      </c>
      <c r="J123" s="599">
        <v>32881.781285219397</v>
      </c>
      <c r="K123" s="599">
        <v>39498.098000203398</v>
      </c>
      <c r="L123" s="599">
        <v>40666.436642040899</v>
      </c>
      <c r="M123" s="599">
        <v>33188.705987523601</v>
      </c>
      <c r="N123" s="599">
        <v>31826.055601367301</v>
      </c>
      <c r="O123" s="599">
        <v>29747.271291036199</v>
      </c>
      <c r="P123" s="599">
        <v>29473.7204160521</v>
      </c>
      <c r="Q123" s="599">
        <v>22676.308910855001</v>
      </c>
      <c r="R123" s="599">
        <v>19979.5383945389</v>
      </c>
      <c r="S123" s="169">
        <f t="shared" si="9"/>
        <v>378026.74906857574</v>
      </c>
      <c r="T123" s="122" t="e">
        <f>VLOOKUP($B123,'Tech Litons'!$A:$I,9,0)</f>
        <v>#N/A</v>
      </c>
      <c r="U123" s="179" t="e">
        <f t="shared" si="13"/>
        <v>#N/A</v>
      </c>
      <c r="V123" s="179" t="e">
        <f t="shared" si="13"/>
        <v>#N/A</v>
      </c>
      <c r="W123" s="179" t="e">
        <f t="shared" si="13"/>
        <v>#N/A</v>
      </c>
      <c r="X123" s="179" t="e">
        <f t="shared" si="12"/>
        <v>#N/A</v>
      </c>
      <c r="Y123" s="179" t="e">
        <f t="shared" si="12"/>
        <v>#N/A</v>
      </c>
      <c r="Z123" s="179" t="e">
        <f t="shared" si="12"/>
        <v>#N/A</v>
      </c>
      <c r="AA123" s="179" t="e">
        <f t="shared" si="12"/>
        <v>#N/A</v>
      </c>
      <c r="AB123" s="179" t="e">
        <f t="shared" si="12"/>
        <v>#N/A</v>
      </c>
      <c r="AC123" s="179" t="e">
        <f t="shared" si="12"/>
        <v>#N/A</v>
      </c>
      <c r="AD123" s="179" t="e">
        <f t="shared" si="14"/>
        <v>#N/A</v>
      </c>
      <c r="AE123" s="179" t="e">
        <f t="shared" si="14"/>
        <v>#N/A</v>
      </c>
      <c r="AF123" s="179" t="e">
        <f t="shared" si="14"/>
        <v>#N/A</v>
      </c>
    </row>
    <row r="124" spans="2:32">
      <c r="B124" s="122">
        <f t="shared" si="11"/>
        <v>64365613</v>
      </c>
      <c r="C124" s="122" t="str">
        <f>VLOOKUP($B124,'Tech Litons'!$A:$I,3,0)</f>
        <v>Facepieces</v>
      </c>
      <c r="D124" s="122" t="str">
        <f>VLOOKUP($B124,'Tech Litons'!$A:$I,4,0)</f>
        <v>Facepieces</v>
      </c>
      <c r="E124" s="598" t="s">
        <v>1084</v>
      </c>
      <c r="F124" s="598">
        <v>64365613</v>
      </c>
      <c r="G124" s="599">
        <v>25252.136809720701</v>
      </c>
      <c r="H124" s="599">
        <v>22702.0178761977</v>
      </c>
      <c r="I124" s="599">
        <v>30582.870506604399</v>
      </c>
      <c r="J124" s="599">
        <v>38746.390006853297</v>
      </c>
      <c r="K124" s="599">
        <v>28059.218291703601</v>
      </c>
      <c r="L124" s="599">
        <v>45150.820629526999</v>
      </c>
      <c r="M124" s="599">
        <v>41232.394388622699</v>
      </c>
      <c r="N124" s="599">
        <v>26434.742439150399</v>
      </c>
      <c r="O124" s="599">
        <v>32975.764143556997</v>
      </c>
      <c r="P124" s="599">
        <v>25122.394793163901</v>
      </c>
      <c r="Q124" s="599">
        <v>27918.433449537999</v>
      </c>
      <c r="R124" s="599">
        <v>33323.247284941397</v>
      </c>
      <c r="S124" s="169">
        <f t="shared" si="9"/>
        <v>377500.43061958009</v>
      </c>
      <c r="T124" s="122">
        <f>VLOOKUP($B124,'Tech Litons'!$A:$I,9,0)</f>
        <v>195</v>
      </c>
      <c r="U124" s="179">
        <f t="shared" si="13"/>
        <v>129.49813748574718</v>
      </c>
      <c r="V124" s="179">
        <f t="shared" si="13"/>
        <v>116.42060449332153</v>
      </c>
      <c r="W124" s="179">
        <f t="shared" si="13"/>
        <v>156.83523336720205</v>
      </c>
      <c r="X124" s="179">
        <f t="shared" si="12"/>
        <v>198.699435932581</v>
      </c>
      <c r="Y124" s="179">
        <f t="shared" si="12"/>
        <v>143.89342713694154</v>
      </c>
      <c r="Z124" s="179">
        <f t="shared" si="12"/>
        <v>231.54266989501025</v>
      </c>
      <c r="AA124" s="179">
        <f t="shared" si="12"/>
        <v>211.44817635191129</v>
      </c>
      <c r="AB124" s="179">
        <f t="shared" si="12"/>
        <v>135.5627817392328</v>
      </c>
      <c r="AC124" s="179">
        <f t="shared" si="12"/>
        <v>169.10648278747178</v>
      </c>
      <c r="AD124" s="179">
        <f t="shared" si="14"/>
        <v>128.83279381109693</v>
      </c>
      <c r="AE124" s="179">
        <f t="shared" si="14"/>
        <v>143.17145358737434</v>
      </c>
      <c r="AF124" s="179">
        <f t="shared" si="14"/>
        <v>170.88844761508409</v>
      </c>
    </row>
    <row r="125" spans="2:32">
      <c r="B125" s="122">
        <f t="shared" si="11"/>
        <v>64325513</v>
      </c>
      <c r="C125" s="122" t="str">
        <f>VLOOKUP($B125,'Tech Litons'!$A:$I,3,0)</f>
        <v>Yasso Sticks</v>
      </c>
      <c r="D125" s="122" t="str">
        <f>VLOOKUP($B125,'Tech Litons'!$A:$I,4,0)</f>
        <v>Yasso Sticks</v>
      </c>
      <c r="E125" s="598" t="s">
        <v>587</v>
      </c>
      <c r="F125" s="598">
        <v>64325513</v>
      </c>
      <c r="G125" s="599">
        <v>26232.548442865202</v>
      </c>
      <c r="H125" s="599">
        <v>25071.169205849299</v>
      </c>
      <c r="I125" s="599">
        <v>25603.176093420199</v>
      </c>
      <c r="J125" s="599">
        <v>26792.294335564999</v>
      </c>
      <c r="K125" s="599">
        <v>34534.523651888303</v>
      </c>
      <c r="L125" s="599">
        <v>36470.475136154702</v>
      </c>
      <c r="M125" s="599">
        <v>41225.891554815797</v>
      </c>
      <c r="N125" s="599">
        <v>39156.435621810902</v>
      </c>
      <c r="O125" s="599">
        <v>37011.4097257951</v>
      </c>
      <c r="P125" s="599">
        <v>26914.764557426901</v>
      </c>
      <c r="Q125" s="599">
        <v>28391.1888739715</v>
      </c>
      <c r="R125" s="599">
        <v>24240.3712166675</v>
      </c>
      <c r="S125" s="169">
        <f t="shared" si="9"/>
        <v>371644.24841623049</v>
      </c>
      <c r="T125" s="122">
        <f>VLOOKUP($B125,'Tech Litons'!$A:$I,9,0)</f>
        <v>187</v>
      </c>
      <c r="U125" s="179">
        <f t="shared" si="13"/>
        <v>140.2810077158567</v>
      </c>
      <c r="V125" s="179">
        <f t="shared" si="13"/>
        <v>134.07042356069144</v>
      </c>
      <c r="W125" s="179">
        <f t="shared" si="13"/>
        <v>136.91538017871764</v>
      </c>
      <c r="X125" s="179">
        <f t="shared" si="12"/>
        <v>143.27430125970588</v>
      </c>
      <c r="Y125" s="179">
        <f t="shared" si="12"/>
        <v>184.67659706892141</v>
      </c>
      <c r="Z125" s="179">
        <f t="shared" si="12"/>
        <v>195.02927880296633</v>
      </c>
      <c r="AA125" s="179">
        <f t="shared" si="12"/>
        <v>220.45931312735721</v>
      </c>
      <c r="AB125" s="179">
        <f t="shared" si="12"/>
        <v>209.39270385995135</v>
      </c>
      <c r="AC125" s="179">
        <f t="shared" si="12"/>
        <v>197.9219771432893</v>
      </c>
      <c r="AD125" s="179">
        <f t="shared" si="14"/>
        <v>143.92922223222942</v>
      </c>
      <c r="AE125" s="179">
        <f t="shared" si="14"/>
        <v>151.82453943300268</v>
      </c>
      <c r="AF125" s="179">
        <f t="shared" si="14"/>
        <v>129.62765356506685</v>
      </c>
    </row>
    <row r="126" spans="2:32">
      <c r="B126" s="122">
        <f t="shared" si="11"/>
        <v>64975613</v>
      </c>
      <c r="C126" s="122" t="str">
        <f>VLOOKUP($B126,'Tech Litons'!$A:$I,3,0)</f>
        <v>YS PTS</v>
      </c>
      <c r="D126" s="122" t="str">
        <f>VLOOKUP($B126,'Tech Litons'!$A:$I,4,0)</f>
        <v>YS PTS</v>
      </c>
      <c r="E126" s="598" t="s">
        <v>1052</v>
      </c>
      <c r="F126" s="598">
        <v>64975613</v>
      </c>
      <c r="G126" s="599">
        <v>14545</v>
      </c>
      <c r="H126" s="599">
        <v>19183</v>
      </c>
      <c r="I126" s="599">
        <v>26372</v>
      </c>
      <c r="J126" s="599">
        <v>28077</v>
      </c>
      <c r="K126" s="599">
        <v>34515</v>
      </c>
      <c r="L126" s="599">
        <v>43204</v>
      </c>
      <c r="M126" s="599">
        <v>38870</v>
      </c>
      <c r="N126" s="599">
        <v>40074</v>
      </c>
      <c r="O126" s="599">
        <v>37814.999999999898</v>
      </c>
      <c r="P126" s="599">
        <v>31101</v>
      </c>
      <c r="Q126" s="599">
        <v>29466.999999999902</v>
      </c>
      <c r="R126" s="599">
        <v>27167.999999999902</v>
      </c>
      <c r="S126" s="169">
        <f t="shared" si="9"/>
        <v>370390.99999999965</v>
      </c>
      <c r="T126" s="122">
        <f>VLOOKUP($B126,'Tech Litons'!$A:$I,9,0)</f>
        <v>240</v>
      </c>
      <c r="U126" s="179">
        <f t="shared" si="13"/>
        <v>60.604166666666664</v>
      </c>
      <c r="V126" s="179">
        <f t="shared" si="13"/>
        <v>79.92916666666666</v>
      </c>
      <c r="W126" s="179">
        <f t="shared" si="13"/>
        <v>109.88333333333334</v>
      </c>
      <c r="X126" s="179">
        <f t="shared" si="12"/>
        <v>116.9875</v>
      </c>
      <c r="Y126" s="179">
        <f t="shared" si="12"/>
        <v>143.8125</v>
      </c>
      <c r="Z126" s="179">
        <f t="shared" si="12"/>
        <v>180.01666666666668</v>
      </c>
      <c r="AA126" s="179">
        <f t="shared" si="12"/>
        <v>161.95833333333334</v>
      </c>
      <c r="AB126" s="179">
        <f t="shared" si="12"/>
        <v>166.97499999999999</v>
      </c>
      <c r="AC126" s="179">
        <f t="shared" si="12"/>
        <v>157.56249999999957</v>
      </c>
      <c r="AD126" s="179">
        <f t="shared" si="14"/>
        <v>129.58750000000001</v>
      </c>
      <c r="AE126" s="179">
        <f t="shared" si="14"/>
        <v>122.77916666666626</v>
      </c>
      <c r="AF126" s="179">
        <f t="shared" si="14"/>
        <v>113.19999999999959</v>
      </c>
    </row>
    <row r="127" spans="2:32">
      <c r="B127" s="122">
        <f t="shared" si="11"/>
        <v>68354588</v>
      </c>
      <c r="C127" s="122" t="str">
        <f>VLOOKUP($B127,'Tech Litons'!$A:$I,3,0)</f>
        <v>Topped</v>
      </c>
      <c r="D127" s="122" t="str">
        <f>VLOOKUP($B127,'Tech Litons'!$A:$I,4,0)</f>
        <v>SP1</v>
      </c>
      <c r="E127" s="598" t="s">
        <v>332</v>
      </c>
      <c r="F127" s="598">
        <v>68354588</v>
      </c>
      <c r="G127" s="599">
        <v>22288.457681992099</v>
      </c>
      <c r="H127" s="599">
        <v>34712.184542263101</v>
      </c>
      <c r="I127" s="599">
        <v>37223.302100800902</v>
      </c>
      <c r="J127" s="599">
        <v>31856.317402541499</v>
      </c>
      <c r="K127" s="599">
        <v>30077.611661628202</v>
      </c>
      <c r="L127" s="599">
        <v>38260.182314477701</v>
      </c>
      <c r="M127" s="599">
        <v>29606.100686006299</v>
      </c>
      <c r="N127" s="599">
        <v>33354.036111109002</v>
      </c>
      <c r="O127" s="599">
        <v>28380.448034644</v>
      </c>
      <c r="P127" s="599">
        <v>31610.4930714359</v>
      </c>
      <c r="Q127" s="599">
        <v>27891.684227101501</v>
      </c>
      <c r="R127" s="599">
        <v>24222.265603753</v>
      </c>
      <c r="S127" s="169">
        <f t="shared" si="9"/>
        <v>369483.0834377532</v>
      </c>
      <c r="T127" s="122">
        <f>VLOOKUP($B127,'Tech Litons'!$A:$I,9,0)</f>
        <v>240</v>
      </c>
      <c r="U127" s="179">
        <f t="shared" si="13"/>
        <v>92.868573674967081</v>
      </c>
      <c r="V127" s="179">
        <f t="shared" si="13"/>
        <v>144.6341022594296</v>
      </c>
      <c r="W127" s="179">
        <f t="shared" si="13"/>
        <v>155.09709208667041</v>
      </c>
      <c r="X127" s="179">
        <f t="shared" si="12"/>
        <v>132.73465584392292</v>
      </c>
      <c r="Y127" s="179">
        <f t="shared" si="12"/>
        <v>125.32338192345084</v>
      </c>
      <c r="Z127" s="179">
        <f t="shared" si="12"/>
        <v>159.41742631032375</v>
      </c>
      <c r="AA127" s="179">
        <f t="shared" si="12"/>
        <v>123.35875285835958</v>
      </c>
      <c r="AB127" s="179">
        <f t="shared" si="12"/>
        <v>138.97515046295419</v>
      </c>
      <c r="AC127" s="179">
        <f t="shared" si="12"/>
        <v>118.25186681101667</v>
      </c>
      <c r="AD127" s="179">
        <f t="shared" si="14"/>
        <v>131.71038779764959</v>
      </c>
      <c r="AE127" s="179">
        <f t="shared" si="14"/>
        <v>116.21535094625625</v>
      </c>
      <c r="AF127" s="179">
        <f t="shared" si="14"/>
        <v>100.92610668230417</v>
      </c>
    </row>
    <row r="128" spans="2:32">
      <c r="B128" s="122">
        <f t="shared" si="11"/>
        <v>68817801</v>
      </c>
      <c r="C128" s="122" t="str">
        <f>VLOOKUP($B128,'Tech Litons'!$A:$I,3,0)</f>
        <v>48oz</v>
      </c>
      <c r="D128" s="122" t="str">
        <f>VLOOKUP($B128,'Tech Litons'!$A:$I,4,0)</f>
        <v>48oz</v>
      </c>
      <c r="E128" s="598" t="s">
        <v>1005</v>
      </c>
      <c r="F128" s="598">
        <v>68817801</v>
      </c>
      <c r="G128" s="599">
        <v>28960.320580651201</v>
      </c>
      <c r="H128" s="599">
        <v>27609.583780464101</v>
      </c>
      <c r="I128" s="599">
        <v>31221.628514700398</v>
      </c>
      <c r="J128" s="599">
        <v>38163.123432222601</v>
      </c>
      <c r="K128" s="599">
        <v>32050.229868086699</v>
      </c>
      <c r="L128" s="599">
        <v>40815.286455762202</v>
      </c>
      <c r="M128" s="599">
        <v>32610.547712236399</v>
      </c>
      <c r="N128" s="599">
        <v>31727.770881691999</v>
      </c>
      <c r="O128" s="599">
        <v>22458.538397937598</v>
      </c>
      <c r="P128" s="599">
        <v>25795.7875612028</v>
      </c>
      <c r="Q128" s="599">
        <v>29984.1613048613</v>
      </c>
      <c r="R128" s="599">
        <v>26612.5425615233</v>
      </c>
      <c r="S128" s="169">
        <f t="shared" si="9"/>
        <v>368009.52105134068</v>
      </c>
      <c r="T128" s="122">
        <f>VLOOKUP($B128,'Tech Litons'!$A:$I,9,0)</f>
        <v>176</v>
      </c>
      <c r="U128" s="179">
        <f t="shared" si="13"/>
        <v>164.54727602642728</v>
      </c>
      <c r="V128" s="179">
        <f t="shared" si="13"/>
        <v>156.8726351162733</v>
      </c>
      <c r="W128" s="179">
        <f t="shared" si="13"/>
        <v>177.39561656079772</v>
      </c>
      <c r="X128" s="179">
        <f t="shared" si="12"/>
        <v>216.83592859217387</v>
      </c>
      <c r="Y128" s="179">
        <f t="shared" si="12"/>
        <v>182.10357879594716</v>
      </c>
      <c r="Z128" s="179">
        <f t="shared" si="12"/>
        <v>231.90503668046705</v>
      </c>
      <c r="AA128" s="179">
        <f t="shared" si="12"/>
        <v>185.28720291043408</v>
      </c>
      <c r="AB128" s="179">
        <f t="shared" si="12"/>
        <v>180.27142546415908</v>
      </c>
      <c r="AC128" s="179">
        <f t="shared" si="12"/>
        <v>127.60533180646362</v>
      </c>
      <c r="AD128" s="179">
        <f t="shared" si="14"/>
        <v>146.56697477956138</v>
      </c>
      <c r="AE128" s="179">
        <f t="shared" si="14"/>
        <v>170.36455286853013</v>
      </c>
      <c r="AF128" s="179">
        <f t="shared" si="14"/>
        <v>151.20762819047329</v>
      </c>
    </row>
    <row r="129" spans="2:32">
      <c r="B129" s="122">
        <f t="shared" si="11"/>
        <v>64325563</v>
      </c>
      <c r="C129" s="122" t="str">
        <f>VLOOKUP($B129,'Tech Litons'!$A:$I,3,0)</f>
        <v>Yasso Sticks</v>
      </c>
      <c r="D129" s="122" t="str">
        <f>VLOOKUP($B129,'Tech Litons'!$A:$I,4,0)</f>
        <v>Yasso Sticks</v>
      </c>
      <c r="E129" s="598" t="s">
        <v>1032</v>
      </c>
      <c r="F129" s="598">
        <v>64325563</v>
      </c>
      <c r="G129" s="600">
        <v>19938.631096488101</v>
      </c>
      <c r="H129" s="599">
        <v>23945.714761392101</v>
      </c>
      <c r="I129" s="599">
        <v>30637.215694846502</v>
      </c>
      <c r="J129" s="599">
        <v>31917.977208463799</v>
      </c>
      <c r="K129" s="599">
        <v>33030.3124561242</v>
      </c>
      <c r="L129" s="599">
        <v>35420.886114520603</v>
      </c>
      <c r="M129" s="599">
        <v>36684.408495822099</v>
      </c>
      <c r="N129" s="599">
        <v>34481.910049248698</v>
      </c>
      <c r="O129" s="599">
        <v>35871.939101811702</v>
      </c>
      <c r="P129" s="599">
        <v>30063.121222666799</v>
      </c>
      <c r="Q129" s="599">
        <v>27840.8688541552</v>
      </c>
      <c r="R129" s="599">
        <v>24845.434476504699</v>
      </c>
      <c r="S129" s="169">
        <f t="shared" si="9"/>
        <v>364678.4195320445</v>
      </c>
      <c r="T129" s="122">
        <f>VLOOKUP($B129,'Tech Litons'!$A:$I,9,0)</f>
        <v>187</v>
      </c>
      <c r="U129" s="179">
        <f t="shared" si="13"/>
        <v>106.62369570314493</v>
      </c>
      <c r="V129" s="179">
        <f t="shared" si="13"/>
        <v>128.05195059567967</v>
      </c>
      <c r="W129" s="179">
        <f t="shared" si="13"/>
        <v>163.8353780473075</v>
      </c>
      <c r="X129" s="179">
        <f t="shared" si="12"/>
        <v>170.68437009873691</v>
      </c>
      <c r="Y129" s="179">
        <f t="shared" si="12"/>
        <v>176.63268693114546</v>
      </c>
      <c r="Z129" s="179">
        <f t="shared" si="12"/>
        <v>189.41650328620642</v>
      </c>
      <c r="AA129" s="179">
        <f t="shared" si="12"/>
        <v>196.17330746428931</v>
      </c>
      <c r="AB129" s="179">
        <f t="shared" si="12"/>
        <v>184.39524090507325</v>
      </c>
      <c r="AC129" s="179">
        <f t="shared" si="12"/>
        <v>191.82855134658664</v>
      </c>
      <c r="AD129" s="179">
        <f t="shared" si="14"/>
        <v>160.76535413190803</v>
      </c>
      <c r="AE129" s="179">
        <f t="shared" si="14"/>
        <v>148.88165162649841</v>
      </c>
      <c r="AF129" s="179">
        <f t="shared" si="14"/>
        <v>132.86328597061336</v>
      </c>
    </row>
    <row r="130" spans="2:32">
      <c r="B130" s="122">
        <f t="shared" si="11"/>
        <v>84135770</v>
      </c>
      <c r="C130" s="122" t="str">
        <f>VLOOKUP($B130,'Tech Litons'!$A:$I,3,0)</f>
        <v>BJ PTS</v>
      </c>
      <c r="D130" s="122" t="str">
        <f>VLOOKUP($B130,'Tech Litons'!$A:$I,4,0)</f>
        <v>BJ PTS</v>
      </c>
      <c r="E130" s="598" t="s">
        <v>415</v>
      </c>
      <c r="F130" s="598">
        <v>84135770</v>
      </c>
      <c r="G130" s="599">
        <v>20884.6266870748</v>
      </c>
      <c r="H130" s="599">
        <v>32910.983724813501</v>
      </c>
      <c r="I130" s="599">
        <v>35324.439852495198</v>
      </c>
      <c r="J130" s="599">
        <v>31351.048963038498</v>
      </c>
      <c r="K130" s="599">
        <v>33023.284570310199</v>
      </c>
      <c r="L130" s="599">
        <v>41414.389184901403</v>
      </c>
      <c r="M130" s="599">
        <v>26208.428536028201</v>
      </c>
      <c r="N130" s="599">
        <v>32456.662249081401</v>
      </c>
      <c r="O130" s="599">
        <v>26431.668374953799</v>
      </c>
      <c r="P130" s="599">
        <v>28993.333579076199</v>
      </c>
      <c r="Q130" s="599">
        <v>25405.824798698901</v>
      </c>
      <c r="R130" s="599">
        <v>22485.812292058599</v>
      </c>
      <c r="S130" s="169">
        <f t="shared" si="9"/>
        <v>356890.50281253067</v>
      </c>
      <c r="T130" s="122">
        <f>VLOOKUP($B130,'Tech Litons'!$A:$I,9,0)</f>
        <v>240</v>
      </c>
      <c r="U130" s="179">
        <f t="shared" si="13"/>
        <v>87.019277862811663</v>
      </c>
      <c r="V130" s="179">
        <f t="shared" si="13"/>
        <v>137.12909885338959</v>
      </c>
      <c r="W130" s="179">
        <f t="shared" si="13"/>
        <v>147.18516605206332</v>
      </c>
      <c r="X130" s="179">
        <f t="shared" si="12"/>
        <v>130.62937067932708</v>
      </c>
      <c r="Y130" s="179">
        <f t="shared" si="12"/>
        <v>137.59701904295918</v>
      </c>
      <c r="Z130" s="179">
        <f t="shared" si="12"/>
        <v>172.55995493708917</v>
      </c>
      <c r="AA130" s="179">
        <f t="shared" si="12"/>
        <v>109.20178556678417</v>
      </c>
      <c r="AB130" s="179">
        <f t="shared" si="12"/>
        <v>135.23609270450584</v>
      </c>
      <c r="AC130" s="179">
        <f t="shared" si="12"/>
        <v>110.13195156230749</v>
      </c>
      <c r="AD130" s="179">
        <f t="shared" si="14"/>
        <v>120.80555657948416</v>
      </c>
      <c r="AE130" s="179">
        <f t="shared" si="14"/>
        <v>105.85760332791209</v>
      </c>
      <c r="AF130" s="179">
        <f t="shared" si="14"/>
        <v>93.690884550244164</v>
      </c>
    </row>
    <row r="131" spans="2:32">
      <c r="B131" s="122">
        <f t="shared" si="11"/>
        <v>69568962</v>
      </c>
      <c r="C131" s="122" t="str">
        <f>VLOOKUP($B131,'Tech Litons'!$A:$I,3,0)</f>
        <v>48oz</v>
      </c>
      <c r="D131" s="122" t="str">
        <f>VLOOKUP($B131,'Tech Litons'!$A:$I,4,0)</f>
        <v>48oz</v>
      </c>
      <c r="E131" s="598" t="s">
        <v>528</v>
      </c>
      <c r="F131" s="598">
        <v>69568962</v>
      </c>
      <c r="G131" s="599">
        <v>23927.571922332401</v>
      </c>
      <c r="H131" s="599">
        <v>24125.809539319402</v>
      </c>
      <c r="I131" s="599">
        <v>31151.126204749798</v>
      </c>
      <c r="J131" s="599">
        <v>36702.863127905599</v>
      </c>
      <c r="K131" s="599">
        <v>34677.8873456293</v>
      </c>
      <c r="L131" s="599">
        <v>40675.6065074168</v>
      </c>
      <c r="M131" s="599">
        <v>32560.2602981983</v>
      </c>
      <c r="N131" s="599">
        <v>30064.213385753599</v>
      </c>
      <c r="O131" s="599">
        <v>23534.910129604399</v>
      </c>
      <c r="P131" s="599">
        <v>26125.1922514906</v>
      </c>
      <c r="Q131" s="599">
        <v>25983.650434968898</v>
      </c>
      <c r="R131" s="599">
        <v>22503.7467553813</v>
      </c>
      <c r="S131" s="169">
        <f t="shared" si="9"/>
        <v>352032.83790275035</v>
      </c>
      <c r="T131" s="122">
        <f>VLOOKUP($B131,'Tech Litons'!$A:$I,9,0)</f>
        <v>176</v>
      </c>
      <c r="U131" s="179">
        <f t="shared" si="13"/>
        <v>135.95211319507047</v>
      </c>
      <c r="V131" s="179">
        <f t="shared" si="13"/>
        <v>137.0784632915875</v>
      </c>
      <c r="W131" s="179">
        <f t="shared" si="13"/>
        <v>176.99503525426022</v>
      </c>
      <c r="X131" s="179">
        <f t="shared" si="12"/>
        <v>208.53899504491818</v>
      </c>
      <c r="Y131" s="179">
        <f t="shared" si="12"/>
        <v>197.0334508274392</v>
      </c>
      <c r="Z131" s="179">
        <f t="shared" si="12"/>
        <v>231.11140061032273</v>
      </c>
      <c r="AA131" s="179">
        <f t="shared" si="12"/>
        <v>185.00147896703581</v>
      </c>
      <c r="AB131" s="179">
        <f t="shared" si="12"/>
        <v>170.81939423723637</v>
      </c>
      <c r="AC131" s="179">
        <f t="shared" si="12"/>
        <v>133.72108028184317</v>
      </c>
      <c r="AD131" s="179">
        <f t="shared" si="14"/>
        <v>148.43859233801479</v>
      </c>
      <c r="AE131" s="179">
        <f t="shared" si="14"/>
        <v>147.63437747141418</v>
      </c>
      <c r="AF131" s="179">
        <f t="shared" si="14"/>
        <v>127.86219747375739</v>
      </c>
    </row>
    <row r="132" spans="2:32">
      <c r="B132" s="122">
        <f t="shared" si="11"/>
        <v>67789314</v>
      </c>
      <c r="C132" s="122" t="str">
        <f>VLOOKUP($B132,'Tech Litons'!$A:$I,3,0)</f>
        <v>BJ PTS</v>
      </c>
      <c r="D132" s="122" t="str">
        <f>VLOOKUP($B132,'Tech Litons'!$A:$I,4,0)</f>
        <v>BJ PTS</v>
      </c>
      <c r="E132" s="598" t="s">
        <v>344</v>
      </c>
      <c r="F132" s="598">
        <v>67789314</v>
      </c>
      <c r="G132" s="599">
        <v>22575.515316081</v>
      </c>
      <c r="H132" s="599">
        <v>32922.052567139697</v>
      </c>
      <c r="I132" s="599">
        <v>33216.468921157597</v>
      </c>
      <c r="J132" s="599">
        <v>28713.287661624901</v>
      </c>
      <c r="K132" s="599">
        <v>27322.778052810601</v>
      </c>
      <c r="L132" s="599">
        <v>36745.713708707102</v>
      </c>
      <c r="M132" s="599">
        <v>33278.0795915423</v>
      </c>
      <c r="N132" s="599">
        <v>32255.382621647401</v>
      </c>
      <c r="O132" s="599">
        <v>29669.999192092899</v>
      </c>
      <c r="P132" s="599">
        <v>28297.783167358</v>
      </c>
      <c r="Q132" s="599">
        <v>24244.680476445199</v>
      </c>
      <c r="R132" s="599">
        <v>20153.494412718301</v>
      </c>
      <c r="S132" s="425">
        <f t="shared" ref="S132:S195" si="15">SUM(G132:R132)</f>
        <v>349395.23568932503</v>
      </c>
      <c r="T132" s="122">
        <f>VLOOKUP($B132,'Tech Litons'!$A:$I,9,0)</f>
        <v>240</v>
      </c>
      <c r="U132" s="179">
        <f t="shared" si="13"/>
        <v>94.064647150337507</v>
      </c>
      <c r="V132" s="179">
        <f t="shared" si="13"/>
        <v>137.17521902974875</v>
      </c>
      <c r="W132" s="179">
        <f t="shared" si="13"/>
        <v>138.40195383815666</v>
      </c>
      <c r="X132" s="179">
        <f t="shared" si="12"/>
        <v>119.63869859010376</v>
      </c>
      <c r="Y132" s="179">
        <f t="shared" si="12"/>
        <v>113.84490855337751</v>
      </c>
      <c r="Z132" s="179">
        <f t="shared" si="12"/>
        <v>153.10714045294625</v>
      </c>
      <c r="AA132" s="179">
        <f t="shared" si="12"/>
        <v>138.65866496475959</v>
      </c>
      <c r="AB132" s="179">
        <f t="shared" si="12"/>
        <v>134.39742759019751</v>
      </c>
      <c r="AC132" s="179">
        <f t="shared" si="12"/>
        <v>123.62499663372041</v>
      </c>
      <c r="AD132" s="179">
        <f t="shared" si="14"/>
        <v>117.90742986399167</v>
      </c>
      <c r="AE132" s="179">
        <f t="shared" si="14"/>
        <v>101.01950198518833</v>
      </c>
      <c r="AF132" s="179">
        <f t="shared" si="14"/>
        <v>83.972893386326248</v>
      </c>
    </row>
    <row r="133" spans="2:32">
      <c r="B133" s="122">
        <f t="shared" si="11"/>
        <v>68821728</v>
      </c>
      <c r="C133" s="122" t="str">
        <f>VLOOKUP($B133,'Tech Litons'!$A:$I,3,0)</f>
        <v>48oz</v>
      </c>
      <c r="D133" s="122" t="str">
        <f>VLOOKUP($B133,'Tech Litons'!$A:$I,4,0)</f>
        <v>48oz</v>
      </c>
      <c r="E133" s="598" t="s">
        <v>1004</v>
      </c>
      <c r="F133" s="598">
        <v>68821728</v>
      </c>
      <c r="G133" s="599">
        <v>26651.4849323288</v>
      </c>
      <c r="H133" s="599">
        <v>24920.8412062387</v>
      </c>
      <c r="I133" s="599">
        <v>29574.7368326502</v>
      </c>
      <c r="J133" s="599">
        <v>38110.615100998599</v>
      </c>
      <c r="K133" s="599">
        <v>33209.597630362397</v>
      </c>
      <c r="L133" s="599">
        <v>35678.177102353497</v>
      </c>
      <c r="M133" s="599">
        <v>32139.239367707301</v>
      </c>
      <c r="N133" s="599">
        <v>31159.1910850438</v>
      </c>
      <c r="O133" s="599">
        <v>20024.421738648201</v>
      </c>
      <c r="P133" s="599">
        <v>23589.014279445899</v>
      </c>
      <c r="Q133" s="599">
        <v>29395.625500545499</v>
      </c>
      <c r="R133" s="599">
        <v>24429.7408420883</v>
      </c>
      <c r="S133" s="169">
        <f t="shared" si="15"/>
        <v>348882.68561841123</v>
      </c>
      <c r="T133" s="122">
        <f>VLOOKUP($B133,'Tech Litons'!$A:$I,9,0)</f>
        <v>176</v>
      </c>
      <c r="U133" s="179">
        <f t="shared" si="13"/>
        <v>151.4288916609591</v>
      </c>
      <c r="V133" s="179">
        <f t="shared" si="13"/>
        <v>141.59568867181079</v>
      </c>
      <c r="W133" s="179">
        <f t="shared" si="13"/>
        <v>168.03827745823978</v>
      </c>
      <c r="X133" s="179">
        <f t="shared" si="12"/>
        <v>216.53758580112842</v>
      </c>
      <c r="Y133" s="179">
        <f t="shared" si="12"/>
        <v>188.69089562705906</v>
      </c>
      <c r="Z133" s="179">
        <f t="shared" si="12"/>
        <v>202.71691535428124</v>
      </c>
      <c r="AA133" s="179">
        <f t="shared" si="12"/>
        <v>182.60931458924603</v>
      </c>
      <c r="AB133" s="179">
        <f t="shared" si="12"/>
        <v>177.04085843774885</v>
      </c>
      <c r="AC133" s="179">
        <f t="shared" si="12"/>
        <v>113.7751235150466</v>
      </c>
      <c r="AD133" s="179">
        <f t="shared" si="14"/>
        <v>134.02849022412443</v>
      </c>
      <c r="AE133" s="179">
        <f t="shared" si="14"/>
        <v>167.02059943491761</v>
      </c>
      <c r="AF133" s="179">
        <f t="shared" si="14"/>
        <v>138.80534569368353</v>
      </c>
    </row>
    <row r="134" spans="2:32">
      <c r="B134" s="122">
        <f t="shared" si="11"/>
        <v>84144598</v>
      </c>
      <c r="C134" s="122" t="str">
        <f>VLOOKUP($B134,'Tech Litons'!$A:$I,3,0)</f>
        <v>BJ PTS</v>
      </c>
      <c r="D134" s="122" t="str">
        <f>VLOOKUP($B134,'Tech Litons'!$A:$I,4,0)</f>
        <v>BJ PTS</v>
      </c>
      <c r="E134" s="598" t="s">
        <v>364</v>
      </c>
      <c r="F134" s="598">
        <v>84144598</v>
      </c>
      <c r="G134" s="599">
        <v>19378.288727107702</v>
      </c>
      <c r="H134" s="599">
        <v>29926.609697325799</v>
      </c>
      <c r="I134" s="599">
        <v>32971.283278887197</v>
      </c>
      <c r="J134" s="599">
        <v>31206.002953960098</v>
      </c>
      <c r="K134" s="599">
        <v>29615.893319356299</v>
      </c>
      <c r="L134" s="599">
        <v>39183.909327676702</v>
      </c>
      <c r="M134" s="599">
        <v>25358.182963464998</v>
      </c>
      <c r="N134" s="599">
        <v>33289.667220572599</v>
      </c>
      <c r="O134" s="599">
        <v>25288.137177177901</v>
      </c>
      <c r="P134" s="599">
        <v>29592.1705101677</v>
      </c>
      <c r="Q134" s="599">
        <v>24337.8621515167</v>
      </c>
      <c r="R134" s="599">
        <v>23311.325583849601</v>
      </c>
      <c r="S134" s="169">
        <f t="shared" si="15"/>
        <v>343459.33291106333</v>
      </c>
      <c r="T134" s="122">
        <f>VLOOKUP($B134,'Tech Litons'!$A:$I,9,0)</f>
        <v>240</v>
      </c>
      <c r="U134" s="179">
        <f t="shared" si="13"/>
        <v>80.742869696282085</v>
      </c>
      <c r="V134" s="179">
        <f t="shared" si="13"/>
        <v>124.69420707219084</v>
      </c>
      <c r="W134" s="179">
        <f t="shared" si="13"/>
        <v>137.38034699536331</v>
      </c>
      <c r="X134" s="179">
        <f t="shared" si="12"/>
        <v>130.02501230816708</v>
      </c>
      <c r="Y134" s="179">
        <f t="shared" si="12"/>
        <v>123.39955549731791</v>
      </c>
      <c r="Z134" s="179">
        <f t="shared" si="12"/>
        <v>163.26628886531958</v>
      </c>
      <c r="AA134" s="179">
        <f t="shared" si="12"/>
        <v>105.65909568110416</v>
      </c>
      <c r="AB134" s="179">
        <f t="shared" si="12"/>
        <v>138.70694675238582</v>
      </c>
      <c r="AC134" s="179">
        <f t="shared" si="12"/>
        <v>105.36723823824126</v>
      </c>
      <c r="AD134" s="179">
        <f t="shared" si="14"/>
        <v>123.30071045903209</v>
      </c>
      <c r="AE134" s="179">
        <f t="shared" si="14"/>
        <v>101.40775896465291</v>
      </c>
      <c r="AF134" s="179">
        <f t="shared" si="14"/>
        <v>97.130523266040001</v>
      </c>
    </row>
    <row r="135" spans="2:32">
      <c r="B135" s="122">
        <f t="shared" si="11"/>
        <v>67476560</v>
      </c>
      <c r="C135" s="122" t="e">
        <f>VLOOKUP($B135,'Tech Litons'!$A:$I,3,0)</f>
        <v>#N/A</v>
      </c>
      <c r="D135" s="122" t="e">
        <f>VLOOKUP($B135,'Tech Litons'!$A:$I,4,0)</f>
        <v>#N/A</v>
      </c>
      <c r="E135" s="598" t="s">
        <v>980</v>
      </c>
      <c r="F135" s="598">
        <v>67476560</v>
      </c>
      <c r="G135" s="600">
        <v>16026.826131301999</v>
      </c>
      <c r="H135" s="599">
        <v>15111.022918195</v>
      </c>
      <c r="I135" s="599">
        <v>21806.853330367099</v>
      </c>
      <c r="J135" s="599">
        <v>23190.4723334187</v>
      </c>
      <c r="K135" s="599">
        <v>50624.449671597198</v>
      </c>
      <c r="L135" s="599">
        <v>70130.306372963503</v>
      </c>
      <c r="M135" s="599">
        <v>47083.960174935703</v>
      </c>
      <c r="N135" s="599">
        <v>46229.837658639903</v>
      </c>
      <c r="O135" s="599">
        <v>15298.5012430098</v>
      </c>
      <c r="P135" s="599">
        <v>13437.3322249926</v>
      </c>
      <c r="Q135" s="599">
        <v>11996.360364767599</v>
      </c>
      <c r="R135" s="599">
        <v>10227.8637451297</v>
      </c>
      <c r="S135" s="169">
        <f t="shared" si="15"/>
        <v>341163.78616931889</v>
      </c>
      <c r="T135" s="122" t="e">
        <f>VLOOKUP($B135,'Tech Litons'!$A:$I,9,0)</f>
        <v>#N/A</v>
      </c>
      <c r="U135" s="179" t="e">
        <f t="shared" si="13"/>
        <v>#N/A</v>
      </c>
      <c r="V135" s="179" t="e">
        <f t="shared" si="13"/>
        <v>#N/A</v>
      </c>
      <c r="W135" s="179" t="e">
        <f t="shared" si="13"/>
        <v>#N/A</v>
      </c>
      <c r="X135" s="179" t="e">
        <f t="shared" si="12"/>
        <v>#N/A</v>
      </c>
      <c r="Y135" s="179" t="e">
        <f t="shared" si="12"/>
        <v>#N/A</v>
      </c>
      <c r="Z135" s="179" t="e">
        <f t="shared" si="12"/>
        <v>#N/A</v>
      </c>
      <c r="AA135" s="179" t="e">
        <f t="shared" si="12"/>
        <v>#N/A</v>
      </c>
      <c r="AB135" s="179" t="e">
        <f t="shared" si="12"/>
        <v>#N/A</v>
      </c>
      <c r="AC135" s="179" t="e">
        <f t="shared" si="12"/>
        <v>#N/A</v>
      </c>
      <c r="AD135" s="179" t="e">
        <f t="shared" si="14"/>
        <v>#N/A</v>
      </c>
      <c r="AE135" s="179" t="e">
        <f t="shared" si="14"/>
        <v>#N/A</v>
      </c>
      <c r="AF135" s="179" t="e">
        <f t="shared" si="14"/>
        <v>#N/A</v>
      </c>
    </row>
    <row r="136" spans="2:32">
      <c r="B136" s="122">
        <f t="shared" si="11"/>
        <v>64975614</v>
      </c>
      <c r="C136" s="122" t="str">
        <f>VLOOKUP($B136,'Tech Litons'!$A:$I,3,0)</f>
        <v>YS PTS</v>
      </c>
      <c r="D136" s="122" t="str">
        <f>VLOOKUP($B136,'Tech Litons'!$A:$I,4,0)</f>
        <v>YS PTS</v>
      </c>
      <c r="E136" s="598" t="s">
        <v>1053</v>
      </c>
      <c r="F136" s="598">
        <v>64975614</v>
      </c>
      <c r="G136" s="599">
        <v>13644.9999999999</v>
      </c>
      <c r="H136" s="599">
        <v>17732</v>
      </c>
      <c r="I136" s="599">
        <v>24125.999999999902</v>
      </c>
      <c r="J136" s="599">
        <v>25728.999999999902</v>
      </c>
      <c r="K136" s="599">
        <v>31841</v>
      </c>
      <c r="L136" s="599">
        <v>39924</v>
      </c>
      <c r="M136" s="599">
        <v>35919</v>
      </c>
      <c r="N136" s="599">
        <v>37034</v>
      </c>
      <c r="O136" s="599">
        <v>34946</v>
      </c>
      <c r="P136" s="599">
        <v>28742</v>
      </c>
      <c r="Q136" s="599">
        <v>27230</v>
      </c>
      <c r="R136" s="599">
        <v>23415</v>
      </c>
      <c r="S136" s="169">
        <f t="shared" si="15"/>
        <v>340282.99999999971</v>
      </c>
      <c r="T136" s="122">
        <f>VLOOKUP($B136,'Tech Litons'!$A:$I,9,0)</f>
        <v>240</v>
      </c>
      <c r="U136" s="179">
        <f t="shared" si="13"/>
        <v>56.854166666666252</v>
      </c>
      <c r="V136" s="179">
        <f t="shared" si="13"/>
        <v>73.88333333333334</v>
      </c>
      <c r="W136" s="179">
        <f t="shared" si="13"/>
        <v>100.52499999999959</v>
      </c>
      <c r="X136" s="179">
        <f t="shared" si="12"/>
        <v>107.20416666666625</v>
      </c>
      <c r="Y136" s="179">
        <f t="shared" si="12"/>
        <v>132.67083333333332</v>
      </c>
      <c r="Z136" s="179">
        <f t="shared" si="12"/>
        <v>166.35</v>
      </c>
      <c r="AA136" s="179">
        <f t="shared" si="12"/>
        <v>149.66249999999999</v>
      </c>
      <c r="AB136" s="179">
        <f t="shared" si="12"/>
        <v>154.30833333333334</v>
      </c>
      <c r="AC136" s="179">
        <f t="shared" si="12"/>
        <v>145.60833333333332</v>
      </c>
      <c r="AD136" s="179">
        <f t="shared" si="14"/>
        <v>119.75833333333334</v>
      </c>
      <c r="AE136" s="179">
        <f t="shared" si="14"/>
        <v>113.45833333333333</v>
      </c>
      <c r="AF136" s="179">
        <f t="shared" si="14"/>
        <v>97.5625</v>
      </c>
    </row>
    <row r="137" spans="2:32">
      <c r="B137" s="122">
        <f t="shared" si="11"/>
        <v>69552658</v>
      </c>
      <c r="C137" s="122" t="e">
        <f>VLOOKUP($B137,'Tech Litons'!$A:$I,3,0)</f>
        <v>#N/A</v>
      </c>
      <c r="D137" s="122" t="e">
        <f>VLOOKUP($B137,'Tech Litons'!$A:$I,4,0)</f>
        <v>#N/A</v>
      </c>
      <c r="E137" s="598" t="s">
        <v>324</v>
      </c>
      <c r="F137" s="598">
        <v>69552658</v>
      </c>
      <c r="G137" s="599">
        <v>18226.1667883956</v>
      </c>
      <c r="H137" s="599">
        <v>19218.269570896999</v>
      </c>
      <c r="I137" s="599">
        <v>28747.200005230901</v>
      </c>
      <c r="J137" s="599">
        <v>25863.312512626399</v>
      </c>
      <c r="K137" s="599">
        <v>36689.766049444297</v>
      </c>
      <c r="L137" s="599">
        <v>46667.321867541403</v>
      </c>
      <c r="M137" s="599">
        <v>28789.303407746302</v>
      </c>
      <c r="N137" s="599">
        <v>29711.905892839401</v>
      </c>
      <c r="O137" s="599">
        <v>27786.6427062779</v>
      </c>
      <c r="P137" s="599">
        <v>25560.405790892299</v>
      </c>
      <c r="Q137" s="599">
        <v>24578.296336670199</v>
      </c>
      <c r="R137" s="599">
        <v>24122.968116149499</v>
      </c>
      <c r="S137" s="169">
        <f t="shared" si="15"/>
        <v>335961.55904471118</v>
      </c>
      <c r="T137" s="122" t="e">
        <f>VLOOKUP($B137,'Tech Litons'!$A:$I,9,0)</f>
        <v>#N/A</v>
      </c>
      <c r="U137" s="179" t="e">
        <f t="shared" si="13"/>
        <v>#N/A</v>
      </c>
      <c r="V137" s="179" t="e">
        <f t="shared" si="13"/>
        <v>#N/A</v>
      </c>
      <c r="W137" s="179" t="e">
        <f t="shared" si="13"/>
        <v>#N/A</v>
      </c>
      <c r="X137" s="179" t="e">
        <f t="shared" si="12"/>
        <v>#N/A</v>
      </c>
      <c r="Y137" s="179" t="e">
        <f t="shared" si="12"/>
        <v>#N/A</v>
      </c>
      <c r="Z137" s="179" t="e">
        <f t="shared" si="12"/>
        <v>#N/A</v>
      </c>
      <c r="AA137" s="179" t="e">
        <f t="shared" si="12"/>
        <v>#N/A</v>
      </c>
      <c r="AB137" s="179" t="e">
        <f t="shared" si="12"/>
        <v>#N/A</v>
      </c>
      <c r="AC137" s="179" t="e">
        <f t="shared" si="12"/>
        <v>#N/A</v>
      </c>
      <c r="AD137" s="179" t="e">
        <f t="shared" si="14"/>
        <v>#N/A</v>
      </c>
      <c r="AE137" s="179" t="e">
        <f t="shared" si="14"/>
        <v>#N/A</v>
      </c>
      <c r="AF137" s="179" t="e">
        <f t="shared" si="14"/>
        <v>#N/A</v>
      </c>
    </row>
    <row r="138" spans="2:32">
      <c r="B138" s="122">
        <f t="shared" si="11"/>
        <v>64401837</v>
      </c>
      <c r="C138" s="122" t="str">
        <f>VLOOKUP($B138,'Tech Litons'!$A:$I,3,0)</f>
        <v>Facepieces</v>
      </c>
      <c r="D138" s="122" t="str">
        <f>VLOOKUP($B138,'Tech Litons'!$A:$I,4,0)</f>
        <v>Facepieces</v>
      </c>
      <c r="E138" s="598" t="s">
        <v>1085</v>
      </c>
      <c r="F138" s="598">
        <v>64401837</v>
      </c>
      <c r="G138" s="599">
        <v>16334.2341317558</v>
      </c>
      <c r="H138" s="599">
        <v>10900.9470896863</v>
      </c>
      <c r="I138" s="599">
        <v>23685.401937553801</v>
      </c>
      <c r="J138" s="599">
        <v>26573.207524496</v>
      </c>
      <c r="K138" s="599">
        <v>32401.440273006901</v>
      </c>
      <c r="L138" s="599">
        <v>45684.072774185501</v>
      </c>
      <c r="M138" s="599">
        <v>46777.662986990697</v>
      </c>
      <c r="N138" s="599">
        <v>33862.5081272678</v>
      </c>
      <c r="O138" s="599">
        <v>31187.264819377699</v>
      </c>
      <c r="P138" s="599">
        <v>23020.395780140901</v>
      </c>
      <c r="Q138" s="599">
        <v>20773.8424867498</v>
      </c>
      <c r="R138" s="599">
        <v>21005.285818473902</v>
      </c>
      <c r="S138" s="169">
        <f t="shared" si="15"/>
        <v>332206.26374968508</v>
      </c>
      <c r="T138" s="122">
        <f>VLOOKUP($B138,'Tech Litons'!$A:$I,9,0)</f>
        <v>150</v>
      </c>
      <c r="U138" s="179">
        <f t="shared" si="13"/>
        <v>108.89489421170533</v>
      </c>
      <c r="V138" s="179">
        <f t="shared" si="13"/>
        <v>72.672980597908676</v>
      </c>
      <c r="W138" s="179">
        <f t="shared" si="13"/>
        <v>157.90267958369202</v>
      </c>
      <c r="X138" s="179">
        <f t="shared" si="12"/>
        <v>177.15471682997332</v>
      </c>
      <c r="Y138" s="179">
        <f t="shared" si="12"/>
        <v>216.00960182004602</v>
      </c>
      <c r="Z138" s="179">
        <f t="shared" si="12"/>
        <v>304.56048516123667</v>
      </c>
      <c r="AA138" s="179">
        <f t="shared" si="12"/>
        <v>311.851086579938</v>
      </c>
      <c r="AB138" s="179">
        <f t="shared" si="12"/>
        <v>225.75005418178534</v>
      </c>
      <c r="AC138" s="179">
        <f t="shared" si="12"/>
        <v>207.91509879585132</v>
      </c>
      <c r="AD138" s="179">
        <f t="shared" si="14"/>
        <v>153.46930520093935</v>
      </c>
      <c r="AE138" s="179">
        <f t="shared" si="14"/>
        <v>138.49228324499867</v>
      </c>
      <c r="AF138" s="179">
        <f t="shared" si="14"/>
        <v>140.03523878982602</v>
      </c>
    </row>
    <row r="139" spans="2:32">
      <c r="B139" s="122">
        <f t="shared" si="11"/>
        <v>64327184</v>
      </c>
      <c r="C139" s="122" t="str">
        <f>VLOOKUP($B139,'Tech Litons'!$A:$I,3,0)</f>
        <v>Yasso Club</v>
      </c>
      <c r="D139" s="122" t="str">
        <f>VLOOKUP($B139,'Tech Litons'!$A:$I,4,0)</f>
        <v>Yasso Club</v>
      </c>
      <c r="E139" s="598" t="s">
        <v>1036</v>
      </c>
      <c r="F139" s="598">
        <v>64327184</v>
      </c>
      <c r="G139" s="599">
        <v>21599.86</v>
      </c>
      <c r="H139" s="599">
        <v>26399.71</v>
      </c>
      <c r="I139" s="599">
        <v>23999.99</v>
      </c>
      <c r="J139" s="599">
        <v>39839.57</v>
      </c>
      <c r="K139" s="599">
        <v>21839.86</v>
      </c>
      <c r="L139" s="599">
        <v>36480.44</v>
      </c>
      <c r="M139" s="599">
        <v>24173.57</v>
      </c>
      <c r="N139" s="599">
        <v>28105.01</v>
      </c>
      <c r="O139" s="599">
        <v>24620.44</v>
      </c>
      <c r="P139" s="599">
        <v>28791.14</v>
      </c>
      <c r="Q139" s="599">
        <v>30860.29</v>
      </c>
      <c r="R139" s="599">
        <v>24566.28</v>
      </c>
      <c r="S139" s="169">
        <f t="shared" si="15"/>
        <v>331276.16000000003</v>
      </c>
      <c r="T139" s="122">
        <f>VLOOKUP($B139,'Tech Litons'!$A:$I,9,0)</f>
        <v>240</v>
      </c>
      <c r="U139" s="179">
        <f t="shared" si="13"/>
        <v>89.999416666666676</v>
      </c>
      <c r="V139" s="179">
        <f t="shared" si="13"/>
        <v>109.99879166666666</v>
      </c>
      <c r="W139" s="179">
        <f t="shared" si="13"/>
        <v>99.999958333333339</v>
      </c>
      <c r="X139" s="179">
        <f t="shared" si="12"/>
        <v>165.99820833333334</v>
      </c>
      <c r="Y139" s="179">
        <f t="shared" si="12"/>
        <v>90.999416666666676</v>
      </c>
      <c r="Z139" s="179">
        <f t="shared" si="12"/>
        <v>152.00183333333334</v>
      </c>
      <c r="AA139" s="179">
        <f t="shared" si="12"/>
        <v>100.72320833333333</v>
      </c>
      <c r="AB139" s="179">
        <f t="shared" si="12"/>
        <v>117.10420833333333</v>
      </c>
      <c r="AC139" s="179">
        <f t="shared" si="12"/>
        <v>102.58516666666667</v>
      </c>
      <c r="AD139" s="179">
        <f t="shared" si="14"/>
        <v>119.96308333333333</v>
      </c>
      <c r="AE139" s="179">
        <f t="shared" si="14"/>
        <v>128.58454166666667</v>
      </c>
      <c r="AF139" s="179">
        <f t="shared" si="14"/>
        <v>102.3595</v>
      </c>
    </row>
    <row r="140" spans="2:32">
      <c r="B140" s="122">
        <f t="shared" si="11"/>
        <v>64977530</v>
      </c>
      <c r="C140" s="122" t="str">
        <f>VLOOKUP($B140,'Tech Litons'!$A:$I,3,0)</f>
        <v>48oz</v>
      </c>
      <c r="D140" s="122" t="str">
        <f>VLOOKUP($B140,'Tech Litons'!$A:$I,4,0)</f>
        <v>48oz</v>
      </c>
      <c r="E140" s="598" t="s">
        <v>310</v>
      </c>
      <c r="F140" s="598">
        <v>64977530</v>
      </c>
      <c r="G140" s="599">
        <v>19768</v>
      </c>
      <c r="H140" s="599">
        <v>17711</v>
      </c>
      <c r="I140" s="599">
        <v>20130</v>
      </c>
      <c r="J140" s="599">
        <v>29188.999999999902</v>
      </c>
      <c r="K140" s="599">
        <v>29351</v>
      </c>
      <c r="L140" s="599">
        <v>30040</v>
      </c>
      <c r="M140" s="599">
        <v>30982</v>
      </c>
      <c r="N140" s="599">
        <v>30924.999999999902</v>
      </c>
      <c r="O140" s="599">
        <v>30040</v>
      </c>
      <c r="P140" s="599">
        <v>30924.999999999902</v>
      </c>
      <c r="Q140" s="599">
        <v>30040</v>
      </c>
      <c r="R140" s="599">
        <v>29211</v>
      </c>
      <c r="S140" s="169">
        <f t="shared" si="15"/>
        <v>328311.99999999971</v>
      </c>
      <c r="T140" s="122">
        <f>VLOOKUP($B140,'Tech Litons'!$A:$I,9,0)</f>
        <v>176</v>
      </c>
      <c r="U140" s="179">
        <f t="shared" si="13"/>
        <v>112.31818181818181</v>
      </c>
      <c r="V140" s="179">
        <f t="shared" si="13"/>
        <v>100.63068181818181</v>
      </c>
      <c r="W140" s="179">
        <f t="shared" si="13"/>
        <v>114.375</v>
      </c>
      <c r="X140" s="179">
        <f t="shared" si="12"/>
        <v>165.84659090909034</v>
      </c>
      <c r="Y140" s="179">
        <f t="shared" si="12"/>
        <v>166.76704545454547</v>
      </c>
      <c r="Z140" s="179">
        <f t="shared" si="12"/>
        <v>170.68181818181819</v>
      </c>
      <c r="AA140" s="179">
        <f t="shared" si="12"/>
        <v>176.03409090909091</v>
      </c>
      <c r="AB140" s="179">
        <f t="shared" si="12"/>
        <v>175.71022727272671</v>
      </c>
      <c r="AC140" s="179">
        <f t="shared" si="12"/>
        <v>170.68181818181819</v>
      </c>
      <c r="AD140" s="179">
        <f t="shared" si="14"/>
        <v>175.71022727272671</v>
      </c>
      <c r="AE140" s="179">
        <f t="shared" si="14"/>
        <v>170.68181818181819</v>
      </c>
      <c r="AF140" s="179">
        <f t="shared" si="14"/>
        <v>165.97159090909091</v>
      </c>
    </row>
    <row r="141" spans="2:32">
      <c r="B141" s="122">
        <f t="shared" si="11"/>
        <v>68746232</v>
      </c>
      <c r="C141" s="122" t="str">
        <f>VLOOKUP($B141,'Tech Litons'!$A:$I,3,0)</f>
        <v>EDF</v>
      </c>
      <c r="D141" s="122" t="str">
        <f>VLOOKUP($B141,'Tech Litons'!$A:$I,4,0)</f>
        <v>EDF</v>
      </c>
      <c r="E141" s="598" t="s">
        <v>1008</v>
      </c>
      <c r="F141" s="598">
        <v>68746232</v>
      </c>
      <c r="G141" s="599">
        <v>22733.651035924599</v>
      </c>
      <c r="H141" s="599">
        <v>18936.4121984823</v>
      </c>
      <c r="I141" s="599">
        <v>33956.724670905598</v>
      </c>
      <c r="J141" s="599">
        <v>25547.872948231499</v>
      </c>
      <c r="K141" s="599">
        <v>35572.6760515243</v>
      </c>
      <c r="L141" s="599">
        <v>41162.560630653097</v>
      </c>
      <c r="M141" s="599">
        <v>34395.269473666202</v>
      </c>
      <c r="N141" s="599">
        <v>31194.491878776898</v>
      </c>
      <c r="O141" s="599">
        <v>23360.896324368299</v>
      </c>
      <c r="P141" s="599">
        <v>21558.135518312301</v>
      </c>
      <c r="Q141" s="599">
        <v>20199.070293540299</v>
      </c>
      <c r="R141" s="599">
        <v>19066.6246811479</v>
      </c>
      <c r="S141" s="169">
        <f t="shared" si="15"/>
        <v>327684.38570553326</v>
      </c>
      <c r="T141" s="122">
        <f>VLOOKUP($B141,'Tech Litons'!$A:$I,9,0)</f>
        <v>132</v>
      </c>
      <c r="U141" s="179">
        <f t="shared" si="13"/>
        <v>172.22462906003483</v>
      </c>
      <c r="V141" s="179">
        <f t="shared" si="13"/>
        <v>143.45766817032046</v>
      </c>
      <c r="W141" s="179">
        <f t="shared" si="13"/>
        <v>257.24791417352725</v>
      </c>
      <c r="X141" s="179">
        <f t="shared" si="12"/>
        <v>193.54449203205681</v>
      </c>
      <c r="Y141" s="179">
        <f t="shared" si="12"/>
        <v>269.48997008730532</v>
      </c>
      <c r="Z141" s="179">
        <f t="shared" si="12"/>
        <v>311.83758053525071</v>
      </c>
      <c r="AA141" s="179">
        <f t="shared" si="12"/>
        <v>260.57022328535004</v>
      </c>
      <c r="AB141" s="179">
        <f t="shared" si="12"/>
        <v>236.32190817255227</v>
      </c>
      <c r="AC141" s="179">
        <f t="shared" si="12"/>
        <v>176.97648730582046</v>
      </c>
      <c r="AD141" s="179">
        <f t="shared" si="14"/>
        <v>163.31920847206288</v>
      </c>
      <c r="AE141" s="179">
        <f t="shared" si="14"/>
        <v>153.02325979954773</v>
      </c>
      <c r="AF141" s="179">
        <f t="shared" si="14"/>
        <v>144.44412637233256</v>
      </c>
    </row>
    <row r="142" spans="2:32">
      <c r="B142" s="122">
        <f t="shared" si="11"/>
        <v>68914406</v>
      </c>
      <c r="C142" s="122" t="e">
        <f>VLOOKUP($B142,'Tech Litons'!$A:$I,3,0)</f>
        <v>#N/A</v>
      </c>
      <c r="D142" s="122" t="e">
        <f>VLOOKUP($B142,'Tech Litons'!$A:$I,4,0)</f>
        <v>#N/A</v>
      </c>
      <c r="E142" s="598" t="s">
        <v>911</v>
      </c>
      <c r="F142" s="598">
        <v>68914406</v>
      </c>
      <c r="G142" s="599">
        <v>0</v>
      </c>
      <c r="H142" s="599">
        <v>0</v>
      </c>
      <c r="I142" s="599">
        <v>26330</v>
      </c>
      <c r="J142" s="599">
        <v>26457</v>
      </c>
      <c r="K142" s="599">
        <v>36930</v>
      </c>
      <c r="L142" s="599">
        <v>53851.999999999898</v>
      </c>
      <c r="M142" s="599">
        <v>46642.999999999898</v>
      </c>
      <c r="N142" s="599">
        <v>45216</v>
      </c>
      <c r="O142" s="599">
        <v>26619</v>
      </c>
      <c r="P142" s="599">
        <v>23708</v>
      </c>
      <c r="Q142" s="599">
        <v>21575</v>
      </c>
      <c r="R142" s="599">
        <v>19718</v>
      </c>
      <c r="S142" s="169">
        <f t="shared" si="15"/>
        <v>327047.99999999977</v>
      </c>
      <c r="T142" s="122" t="e">
        <f>VLOOKUP($B142,'Tech Litons'!$A:$I,9,0)</f>
        <v>#N/A</v>
      </c>
      <c r="U142" s="179" t="e">
        <f t="shared" si="13"/>
        <v>#N/A</v>
      </c>
      <c r="V142" s="179" t="e">
        <f t="shared" si="13"/>
        <v>#N/A</v>
      </c>
      <c r="W142" s="179" t="e">
        <f t="shared" si="13"/>
        <v>#N/A</v>
      </c>
      <c r="X142" s="179" t="e">
        <f t="shared" si="12"/>
        <v>#N/A</v>
      </c>
      <c r="Y142" s="179" t="e">
        <f t="shared" si="12"/>
        <v>#N/A</v>
      </c>
      <c r="Z142" s="179" t="e">
        <f t="shared" si="12"/>
        <v>#N/A</v>
      </c>
      <c r="AA142" s="179" t="e">
        <f t="shared" si="12"/>
        <v>#N/A</v>
      </c>
      <c r="AB142" s="179" t="e">
        <f t="shared" si="12"/>
        <v>#N/A</v>
      </c>
      <c r="AC142" s="179" t="e">
        <f t="shared" si="12"/>
        <v>#N/A</v>
      </c>
      <c r="AD142" s="179" t="e">
        <f t="shared" si="14"/>
        <v>#N/A</v>
      </c>
      <c r="AE142" s="179" t="e">
        <f t="shared" si="14"/>
        <v>#N/A</v>
      </c>
      <c r="AF142" s="179" t="e">
        <f t="shared" si="14"/>
        <v>#N/A</v>
      </c>
    </row>
    <row r="143" spans="2:32">
      <c r="B143" s="122">
        <f t="shared" si="11"/>
        <v>68881269</v>
      </c>
      <c r="C143" s="122" t="str">
        <f>VLOOKUP($B143,'Tech Litons'!$A:$I,3,0)</f>
        <v>48oz</v>
      </c>
      <c r="D143" s="122" t="str">
        <f>VLOOKUP($B143,'Tech Litons'!$A:$I,4,0)</f>
        <v>48oz</v>
      </c>
      <c r="E143" s="598" t="s">
        <v>429</v>
      </c>
      <c r="F143" s="598">
        <v>68881269</v>
      </c>
      <c r="G143" s="599">
        <v>20956.403222404701</v>
      </c>
      <c r="H143" s="599">
        <v>21778.593444332098</v>
      </c>
      <c r="I143" s="599">
        <v>28045.097507516901</v>
      </c>
      <c r="J143" s="599">
        <v>35171.532504834497</v>
      </c>
      <c r="K143" s="599">
        <v>29671.570879222199</v>
      </c>
      <c r="L143" s="599">
        <v>35271.660170697898</v>
      </c>
      <c r="M143" s="599">
        <v>27328.970327762501</v>
      </c>
      <c r="N143" s="599">
        <v>29057.170487034899</v>
      </c>
      <c r="O143" s="599">
        <v>23337.3159565155</v>
      </c>
      <c r="P143" s="599">
        <v>25266.884284094001</v>
      </c>
      <c r="Q143" s="599">
        <v>26060.0875865034</v>
      </c>
      <c r="R143" s="599">
        <v>22199.319453372998</v>
      </c>
      <c r="S143" s="169">
        <f t="shared" si="15"/>
        <v>324144.60582429159</v>
      </c>
      <c r="T143" s="122">
        <f>VLOOKUP($B143,'Tech Litons'!$A:$I,9,0)</f>
        <v>176</v>
      </c>
      <c r="U143" s="179">
        <f t="shared" si="13"/>
        <v>119.07047285457216</v>
      </c>
      <c r="V143" s="179">
        <f t="shared" si="13"/>
        <v>123.74200820643237</v>
      </c>
      <c r="W143" s="179">
        <f t="shared" si="13"/>
        <v>159.34714492907329</v>
      </c>
      <c r="X143" s="179">
        <f t="shared" si="12"/>
        <v>199.83825286837782</v>
      </c>
      <c r="Y143" s="179">
        <f t="shared" si="12"/>
        <v>168.5884709046716</v>
      </c>
      <c r="Z143" s="179">
        <f t="shared" si="12"/>
        <v>200.40716006078353</v>
      </c>
      <c r="AA143" s="179">
        <f t="shared" si="12"/>
        <v>155.27824049865058</v>
      </c>
      <c r="AB143" s="179">
        <f t="shared" si="12"/>
        <v>165.09755958542556</v>
      </c>
      <c r="AC143" s="179">
        <f t="shared" si="12"/>
        <v>132.59838611656534</v>
      </c>
      <c r="AD143" s="179">
        <f t="shared" si="14"/>
        <v>143.56184252326136</v>
      </c>
      <c r="AE143" s="179">
        <f t="shared" si="14"/>
        <v>148.06867946876932</v>
      </c>
      <c r="AF143" s="179">
        <f t="shared" si="14"/>
        <v>126.13249689416476</v>
      </c>
    </row>
    <row r="144" spans="2:32">
      <c r="B144" s="122">
        <f t="shared" si="11"/>
        <v>68817794</v>
      </c>
      <c r="C144" s="122" t="e">
        <f>VLOOKUP($B144,'Tech Litons'!$A:$I,3,0)</f>
        <v>#N/A</v>
      </c>
      <c r="D144" s="122" t="e">
        <f>VLOOKUP($B144,'Tech Litons'!$A:$I,4,0)</f>
        <v>#N/A</v>
      </c>
      <c r="E144" s="598" t="s">
        <v>992</v>
      </c>
      <c r="F144" s="598">
        <v>68817794</v>
      </c>
      <c r="G144" s="599">
        <v>24279.992456001499</v>
      </c>
      <c r="H144" s="599">
        <v>26493.270479140901</v>
      </c>
      <c r="I144" s="599">
        <v>27725.359274656301</v>
      </c>
      <c r="J144" s="599">
        <v>34604.966467203601</v>
      </c>
      <c r="K144" s="599">
        <v>28623.899320858502</v>
      </c>
      <c r="L144" s="599">
        <v>35325.943943031998</v>
      </c>
      <c r="M144" s="599">
        <v>27774.831869952399</v>
      </c>
      <c r="N144" s="599">
        <v>26678.855838097399</v>
      </c>
      <c r="O144" s="599">
        <v>19677.645315308699</v>
      </c>
      <c r="P144" s="599">
        <v>22558.424032369101</v>
      </c>
      <c r="Q144" s="599">
        <v>27031.397539768699</v>
      </c>
      <c r="R144" s="599">
        <v>22920.496423827099</v>
      </c>
      <c r="S144" s="169">
        <f t="shared" si="15"/>
        <v>323695.08296021621</v>
      </c>
      <c r="T144" s="122" t="e">
        <f>VLOOKUP($B144,'Tech Litons'!$A:$I,9,0)</f>
        <v>#N/A</v>
      </c>
      <c r="U144" s="179" t="e">
        <f t="shared" si="13"/>
        <v>#N/A</v>
      </c>
      <c r="V144" s="179" t="e">
        <f t="shared" si="13"/>
        <v>#N/A</v>
      </c>
      <c r="W144" s="179" t="e">
        <f t="shared" si="13"/>
        <v>#N/A</v>
      </c>
      <c r="X144" s="179" t="e">
        <f t="shared" si="12"/>
        <v>#N/A</v>
      </c>
      <c r="Y144" s="179" t="e">
        <f t="shared" si="12"/>
        <v>#N/A</v>
      </c>
      <c r="Z144" s="179" t="e">
        <f t="shared" si="12"/>
        <v>#N/A</v>
      </c>
      <c r="AA144" s="179" t="e">
        <f t="shared" si="12"/>
        <v>#N/A</v>
      </c>
      <c r="AB144" s="179" t="e">
        <f t="shared" si="12"/>
        <v>#N/A</v>
      </c>
      <c r="AC144" s="179" t="e">
        <f t="shared" si="12"/>
        <v>#N/A</v>
      </c>
      <c r="AD144" s="179" t="e">
        <f t="shared" si="14"/>
        <v>#N/A</v>
      </c>
      <c r="AE144" s="179" t="e">
        <f t="shared" si="14"/>
        <v>#N/A</v>
      </c>
      <c r="AF144" s="179" t="e">
        <f t="shared" si="14"/>
        <v>#N/A</v>
      </c>
    </row>
    <row r="145" spans="2:32">
      <c r="B145" s="122">
        <f t="shared" si="11"/>
        <v>68922011</v>
      </c>
      <c r="C145" s="122" t="e">
        <f>VLOOKUP($B145,'Tech Litons'!$A:$I,3,0)</f>
        <v>#N/A</v>
      </c>
      <c r="D145" s="122" t="e">
        <f>VLOOKUP($B145,'Tech Litons'!$A:$I,4,0)</f>
        <v>#N/A</v>
      </c>
      <c r="E145" s="598" t="s">
        <v>452</v>
      </c>
      <c r="F145" s="598">
        <v>68922011</v>
      </c>
      <c r="G145" s="599">
        <v>30737.924727603498</v>
      </c>
      <c r="H145" s="599">
        <v>27333.3821997341</v>
      </c>
      <c r="I145" s="599">
        <v>30473.235137098301</v>
      </c>
      <c r="J145" s="599">
        <v>28602.300355095402</v>
      </c>
      <c r="K145" s="599">
        <v>30364.080812218999</v>
      </c>
      <c r="L145" s="599">
        <v>33144.048943484297</v>
      </c>
      <c r="M145" s="599">
        <v>26220.437536170801</v>
      </c>
      <c r="N145" s="599">
        <v>24836.4027750735</v>
      </c>
      <c r="O145" s="599">
        <v>24918.8110582675</v>
      </c>
      <c r="P145" s="599">
        <v>24925.897372708001</v>
      </c>
      <c r="Q145" s="599">
        <v>20919.280353095</v>
      </c>
      <c r="R145" s="599">
        <v>20772.667923992001</v>
      </c>
      <c r="S145" s="169">
        <f t="shared" si="15"/>
        <v>323248.46919454134</v>
      </c>
      <c r="T145" s="122" t="e">
        <f>VLOOKUP($B145,'Tech Litons'!$A:$I,9,0)</f>
        <v>#N/A</v>
      </c>
      <c r="U145" s="179" t="e">
        <f t="shared" si="13"/>
        <v>#N/A</v>
      </c>
      <c r="V145" s="179" t="e">
        <f t="shared" si="13"/>
        <v>#N/A</v>
      </c>
      <c r="W145" s="179" t="e">
        <f t="shared" si="13"/>
        <v>#N/A</v>
      </c>
      <c r="X145" s="179" t="e">
        <f t="shared" si="12"/>
        <v>#N/A</v>
      </c>
      <c r="Y145" s="179" t="e">
        <f t="shared" si="12"/>
        <v>#N/A</v>
      </c>
      <c r="Z145" s="179" t="e">
        <f t="shared" si="12"/>
        <v>#N/A</v>
      </c>
      <c r="AA145" s="179" t="e">
        <f t="shared" si="12"/>
        <v>#N/A</v>
      </c>
      <c r="AB145" s="179" t="e">
        <f t="shared" si="12"/>
        <v>#N/A</v>
      </c>
      <c r="AC145" s="179" t="e">
        <f t="shared" si="12"/>
        <v>#N/A</v>
      </c>
      <c r="AD145" s="179" t="e">
        <f t="shared" si="14"/>
        <v>#N/A</v>
      </c>
      <c r="AE145" s="179" t="e">
        <f t="shared" si="14"/>
        <v>#N/A</v>
      </c>
      <c r="AF145" s="179" t="e">
        <f t="shared" si="14"/>
        <v>#N/A</v>
      </c>
    </row>
    <row r="146" spans="2:32">
      <c r="B146" s="122">
        <f t="shared" si="11"/>
        <v>64987232</v>
      </c>
      <c r="C146" s="122" t="str">
        <f>VLOOKUP($B146,'Tech Litons'!$A:$I,3,0)</f>
        <v>BJ Bars</v>
      </c>
      <c r="D146" s="122" t="str">
        <f>VLOOKUP($B146,'Tech Litons'!$A:$I,4,0)</f>
        <v>BJ Bars</v>
      </c>
      <c r="E146" s="598" t="s">
        <v>596</v>
      </c>
      <c r="F146" s="598">
        <v>64987232</v>
      </c>
      <c r="G146" s="599">
        <v>19601</v>
      </c>
      <c r="H146" s="599">
        <v>13707.9999999999</v>
      </c>
      <c r="I146" s="599">
        <v>24091</v>
      </c>
      <c r="J146" s="599">
        <v>26004</v>
      </c>
      <c r="K146" s="599">
        <v>31768</v>
      </c>
      <c r="L146" s="599">
        <v>32159</v>
      </c>
      <c r="M146" s="599">
        <v>29965</v>
      </c>
      <c r="N146" s="599">
        <v>31972</v>
      </c>
      <c r="O146" s="599">
        <v>29491</v>
      </c>
      <c r="P146" s="599">
        <v>29801</v>
      </c>
      <c r="Q146" s="599">
        <v>25948</v>
      </c>
      <c r="R146" s="599">
        <v>27097</v>
      </c>
      <c r="S146" s="169">
        <f t="shared" si="15"/>
        <v>321604.99999999988</v>
      </c>
      <c r="T146" s="122">
        <f>VLOOKUP($B146,'Tech Litons'!$A:$I,9,0)</f>
        <v>165</v>
      </c>
      <c r="U146" s="179">
        <f t="shared" si="13"/>
        <v>118.7939393939394</v>
      </c>
      <c r="V146" s="179">
        <f t="shared" si="13"/>
        <v>83.078787878787267</v>
      </c>
      <c r="W146" s="179">
        <f t="shared" si="13"/>
        <v>146.0060606060606</v>
      </c>
      <c r="X146" s="179">
        <f t="shared" si="12"/>
        <v>157.6</v>
      </c>
      <c r="Y146" s="179">
        <f t="shared" si="12"/>
        <v>192.53333333333333</v>
      </c>
      <c r="Z146" s="179">
        <f t="shared" si="12"/>
        <v>194.90303030303031</v>
      </c>
      <c r="AA146" s="179">
        <f t="shared" si="12"/>
        <v>181.60606060606059</v>
      </c>
      <c r="AB146" s="179">
        <f t="shared" si="12"/>
        <v>193.76969696969698</v>
      </c>
      <c r="AC146" s="179">
        <f t="shared" si="12"/>
        <v>178.73333333333332</v>
      </c>
      <c r="AD146" s="179">
        <f t="shared" si="14"/>
        <v>180.61212121212122</v>
      </c>
      <c r="AE146" s="179">
        <f t="shared" si="14"/>
        <v>157.26060606060605</v>
      </c>
      <c r="AF146" s="179">
        <f t="shared" si="14"/>
        <v>164.22424242424242</v>
      </c>
    </row>
    <row r="147" spans="2:32">
      <c r="B147" s="122">
        <f t="shared" si="11"/>
        <v>69792953</v>
      </c>
      <c r="C147" s="122" t="str">
        <f>VLOOKUP($B147,'Tech Litons'!$A:$I,3,0)</f>
        <v>TALENTI</v>
      </c>
      <c r="D147" s="122" t="str">
        <f>VLOOKUP($B147,'Tech Litons'!$A:$I,4,0)</f>
        <v>TALENTI</v>
      </c>
      <c r="E147" s="598" t="s">
        <v>948</v>
      </c>
      <c r="F147" s="598">
        <v>69792953</v>
      </c>
      <c r="G147" s="599">
        <v>23633.4779492003</v>
      </c>
      <c r="H147" s="599">
        <v>22493.702101183899</v>
      </c>
      <c r="I147" s="599">
        <v>30800.478282784599</v>
      </c>
      <c r="J147" s="599">
        <v>27905.310063728601</v>
      </c>
      <c r="K147" s="599">
        <v>35339.198297614297</v>
      </c>
      <c r="L147" s="599">
        <v>37618.170354951297</v>
      </c>
      <c r="M147" s="599">
        <v>30812.590089858699</v>
      </c>
      <c r="N147" s="599">
        <v>27929.527967338599</v>
      </c>
      <c r="O147" s="599">
        <v>24553.7843340326</v>
      </c>
      <c r="P147" s="599">
        <v>25279.302875381902</v>
      </c>
      <c r="Q147" s="599">
        <v>17934.283166376699</v>
      </c>
      <c r="R147" s="599">
        <v>16901.502749057901</v>
      </c>
      <c r="S147" s="169">
        <f t="shared" si="15"/>
        <v>321201.32823150937</v>
      </c>
      <c r="T147" s="122">
        <f>VLOOKUP($B147,'Tech Litons'!$A:$I,9,0)</f>
        <v>255</v>
      </c>
      <c r="U147" s="179">
        <f t="shared" si="13"/>
        <v>92.680305683138428</v>
      </c>
      <c r="V147" s="179">
        <f t="shared" si="13"/>
        <v>88.210596475230972</v>
      </c>
      <c r="W147" s="179">
        <f t="shared" si="13"/>
        <v>120.78618934425333</v>
      </c>
      <c r="X147" s="179">
        <f t="shared" si="12"/>
        <v>109.4325884852102</v>
      </c>
      <c r="Y147" s="179">
        <f t="shared" si="12"/>
        <v>138.58509136319333</v>
      </c>
      <c r="Z147" s="179">
        <f t="shared" si="12"/>
        <v>147.52223668608352</v>
      </c>
      <c r="AA147" s="179">
        <f t="shared" ref="AA147:AF201" si="16">M147/$T147</f>
        <v>120.83368662689686</v>
      </c>
      <c r="AB147" s="179">
        <f t="shared" si="16"/>
        <v>109.5275606562298</v>
      </c>
      <c r="AC147" s="179">
        <f t="shared" si="16"/>
        <v>96.289350329539602</v>
      </c>
      <c r="AD147" s="179">
        <f t="shared" si="14"/>
        <v>99.13452107992903</v>
      </c>
      <c r="AE147" s="179">
        <f t="shared" si="14"/>
        <v>70.33052222108509</v>
      </c>
      <c r="AF147" s="179">
        <f t="shared" si="14"/>
        <v>66.280402937481966</v>
      </c>
    </row>
    <row r="148" spans="2:32">
      <c r="B148" s="122">
        <f t="shared" si="11"/>
        <v>64325492</v>
      </c>
      <c r="C148" s="122" t="str">
        <f>VLOOKUP($B148,'Tech Litons'!$A:$I,3,0)</f>
        <v>Yasso Sticks</v>
      </c>
      <c r="D148" s="122" t="str">
        <f>VLOOKUP($B148,'Tech Litons'!$A:$I,4,0)</f>
        <v>Yasso Sticks</v>
      </c>
      <c r="E148" s="598" t="s">
        <v>603</v>
      </c>
      <c r="F148" s="598">
        <v>64325492</v>
      </c>
      <c r="G148" s="599">
        <v>14667.584570257501</v>
      </c>
      <c r="H148" s="599">
        <v>16947.5032722373</v>
      </c>
      <c r="I148" s="599">
        <v>27276.473099366201</v>
      </c>
      <c r="J148" s="599">
        <v>27039.774693262301</v>
      </c>
      <c r="K148" s="599">
        <v>29196.860200007999</v>
      </c>
      <c r="L148" s="599">
        <v>33637.093756187503</v>
      </c>
      <c r="M148" s="599">
        <v>35630.589391940601</v>
      </c>
      <c r="N148" s="599">
        <v>31814.447766732301</v>
      </c>
      <c r="O148" s="599">
        <v>30517.116601626702</v>
      </c>
      <c r="P148" s="599">
        <v>25076.6601928249</v>
      </c>
      <c r="Q148" s="599">
        <v>23214.081639166699</v>
      </c>
      <c r="R148" s="599">
        <v>23681.206886927899</v>
      </c>
      <c r="S148" s="169">
        <f t="shared" si="15"/>
        <v>318699.3920705379</v>
      </c>
      <c r="T148" s="122">
        <f>VLOOKUP($B148,'Tech Litons'!$A:$I,9,0)</f>
        <v>187</v>
      </c>
      <c r="U148" s="179">
        <f t="shared" si="13"/>
        <v>78.436281124371661</v>
      </c>
      <c r="V148" s="179">
        <f t="shared" si="13"/>
        <v>90.628359744584486</v>
      </c>
      <c r="W148" s="179">
        <f t="shared" si="13"/>
        <v>145.86349250997969</v>
      </c>
      <c r="X148" s="179">
        <f t="shared" si="13"/>
        <v>144.59772563241873</v>
      </c>
      <c r="Y148" s="179">
        <f t="shared" si="13"/>
        <v>156.13294224603209</v>
      </c>
      <c r="Z148" s="179">
        <f t="shared" si="13"/>
        <v>179.87750671758025</v>
      </c>
      <c r="AA148" s="179">
        <f t="shared" si="16"/>
        <v>190.53791118684813</v>
      </c>
      <c r="AB148" s="179">
        <f t="shared" si="16"/>
        <v>170.13073672049359</v>
      </c>
      <c r="AC148" s="179">
        <f t="shared" si="16"/>
        <v>163.19313690709467</v>
      </c>
      <c r="AD148" s="179">
        <f t="shared" si="14"/>
        <v>134.09978712740588</v>
      </c>
      <c r="AE148" s="179">
        <f t="shared" si="14"/>
        <v>124.13947400623904</v>
      </c>
      <c r="AF148" s="179">
        <f t="shared" si="14"/>
        <v>126.63746998357165</v>
      </c>
    </row>
    <row r="149" spans="2:32">
      <c r="B149" s="122">
        <f t="shared" si="11"/>
        <v>64325518</v>
      </c>
      <c r="C149" s="122" t="str">
        <f>VLOOKUP($B149,'Tech Litons'!$A:$I,3,0)</f>
        <v>Yasso Sticks</v>
      </c>
      <c r="D149" s="122" t="str">
        <f>VLOOKUP($B149,'Tech Litons'!$A:$I,4,0)</f>
        <v>Yasso Sticks</v>
      </c>
      <c r="E149" s="598" t="s">
        <v>588</v>
      </c>
      <c r="F149" s="598">
        <v>64325518</v>
      </c>
      <c r="G149" s="599">
        <v>21532.274676572299</v>
      </c>
      <c r="H149" s="599">
        <v>21227.684385690201</v>
      </c>
      <c r="I149" s="599">
        <v>27452.1461656764</v>
      </c>
      <c r="J149" s="599">
        <v>21375.539703633702</v>
      </c>
      <c r="K149" s="599">
        <v>28844.587878213199</v>
      </c>
      <c r="L149" s="599">
        <v>32501.5269408604</v>
      </c>
      <c r="M149" s="599">
        <v>37311.160502135899</v>
      </c>
      <c r="N149" s="599">
        <v>30943.2248363131</v>
      </c>
      <c r="O149" s="599">
        <v>27865.024989368401</v>
      </c>
      <c r="P149" s="599">
        <v>25335.7353166299</v>
      </c>
      <c r="Q149" s="599">
        <v>21690.478881824802</v>
      </c>
      <c r="R149" s="599">
        <v>20534.178453569799</v>
      </c>
      <c r="S149" s="169">
        <f t="shared" si="15"/>
        <v>316613.56273048813</v>
      </c>
      <c r="T149" s="122">
        <f>VLOOKUP($B149,'Tech Litons'!$A:$I,9,0)</f>
        <v>187</v>
      </c>
      <c r="U149" s="179">
        <f t="shared" si="13"/>
        <v>115.14585388541336</v>
      </c>
      <c r="V149" s="179">
        <f t="shared" si="13"/>
        <v>113.51702880048236</v>
      </c>
      <c r="W149" s="179">
        <f t="shared" si="13"/>
        <v>146.80292067206631</v>
      </c>
      <c r="X149" s="179">
        <f t="shared" si="13"/>
        <v>114.30769894991285</v>
      </c>
      <c r="Y149" s="179">
        <f t="shared" si="13"/>
        <v>154.24913303857326</v>
      </c>
      <c r="Z149" s="179">
        <f t="shared" si="13"/>
        <v>173.80495690299679</v>
      </c>
      <c r="AA149" s="179">
        <f t="shared" si="16"/>
        <v>199.52492247131497</v>
      </c>
      <c r="AB149" s="179">
        <f t="shared" si="16"/>
        <v>165.47179056851925</v>
      </c>
      <c r="AC149" s="179">
        <f t="shared" si="16"/>
        <v>149.01082882015189</v>
      </c>
      <c r="AD149" s="179">
        <f t="shared" si="14"/>
        <v>135.48521559695135</v>
      </c>
      <c r="AE149" s="179">
        <f t="shared" si="14"/>
        <v>115.99186567820749</v>
      </c>
      <c r="AF149" s="179">
        <f t="shared" si="14"/>
        <v>109.80844092818074</v>
      </c>
    </row>
    <row r="150" spans="2:32">
      <c r="B150" s="122">
        <f t="shared" si="11"/>
        <v>69792955</v>
      </c>
      <c r="C150" s="122" t="e">
        <f>VLOOKUP($B150,'Tech Litons'!$A:$I,3,0)</f>
        <v>#N/A</v>
      </c>
      <c r="D150" s="122" t="e">
        <f>VLOOKUP($B150,'Tech Litons'!$A:$I,4,0)</f>
        <v>#N/A</v>
      </c>
      <c r="E150" s="598" t="s">
        <v>380</v>
      </c>
      <c r="F150" s="598">
        <v>69792955</v>
      </c>
      <c r="G150" s="599">
        <v>15551.9225254509</v>
      </c>
      <c r="H150" s="599">
        <v>20605.2290250595</v>
      </c>
      <c r="I150" s="599">
        <v>28458.808431515401</v>
      </c>
      <c r="J150" s="599">
        <v>34090.355000233802</v>
      </c>
      <c r="K150" s="599">
        <v>26725.056409673402</v>
      </c>
      <c r="L150" s="599">
        <v>36160.046152230098</v>
      </c>
      <c r="M150" s="599">
        <v>29380.7539120254</v>
      </c>
      <c r="N150" s="599">
        <v>26076.3313922706</v>
      </c>
      <c r="O150" s="599">
        <v>23700.017677833199</v>
      </c>
      <c r="P150" s="599">
        <v>26772.018168602899</v>
      </c>
      <c r="Q150" s="599">
        <v>26132.630227940899</v>
      </c>
      <c r="R150" s="599">
        <v>21701.7572328356</v>
      </c>
      <c r="S150" s="169">
        <f t="shared" si="15"/>
        <v>315354.92615567171</v>
      </c>
      <c r="T150" s="122" t="e">
        <f>VLOOKUP($B150,'Tech Litons'!$A:$I,9,0)</f>
        <v>#N/A</v>
      </c>
      <c r="U150" s="179" t="e">
        <f t="shared" si="13"/>
        <v>#N/A</v>
      </c>
      <c r="V150" s="179" t="e">
        <f t="shared" si="13"/>
        <v>#N/A</v>
      </c>
      <c r="W150" s="179" t="e">
        <f t="shared" si="13"/>
        <v>#N/A</v>
      </c>
      <c r="X150" s="179" t="e">
        <f t="shared" si="13"/>
        <v>#N/A</v>
      </c>
      <c r="Y150" s="179" t="e">
        <f t="shared" si="13"/>
        <v>#N/A</v>
      </c>
      <c r="Z150" s="179" t="e">
        <f t="shared" si="13"/>
        <v>#N/A</v>
      </c>
      <c r="AA150" s="179" t="e">
        <f t="shared" si="16"/>
        <v>#N/A</v>
      </c>
      <c r="AB150" s="179" t="e">
        <f t="shared" si="16"/>
        <v>#N/A</v>
      </c>
      <c r="AC150" s="179" t="e">
        <f t="shared" si="16"/>
        <v>#N/A</v>
      </c>
      <c r="AD150" s="179" t="e">
        <f t="shared" si="14"/>
        <v>#N/A</v>
      </c>
      <c r="AE150" s="179" t="e">
        <f t="shared" si="14"/>
        <v>#N/A</v>
      </c>
      <c r="AF150" s="179" t="e">
        <f t="shared" si="14"/>
        <v>#N/A</v>
      </c>
    </row>
    <row r="151" spans="2:32">
      <c r="B151" s="122">
        <f t="shared" si="11"/>
        <v>64977526</v>
      </c>
      <c r="C151" s="122" t="str">
        <f>VLOOKUP($B151,'Tech Litons'!$A:$I,3,0)</f>
        <v>48oz</v>
      </c>
      <c r="D151" s="122" t="str">
        <f>VLOOKUP($B151,'Tech Litons'!$A:$I,4,0)</f>
        <v>48oz</v>
      </c>
      <c r="E151" s="598" t="s">
        <v>323</v>
      </c>
      <c r="F151" s="598">
        <v>64977526</v>
      </c>
      <c r="G151" s="599">
        <v>19510</v>
      </c>
      <c r="H151" s="599">
        <v>16644</v>
      </c>
      <c r="I151" s="599">
        <v>18557</v>
      </c>
      <c r="J151" s="599">
        <v>27208</v>
      </c>
      <c r="K151" s="599">
        <v>27527.999999999902</v>
      </c>
      <c r="L151" s="599">
        <v>28171.999999999902</v>
      </c>
      <c r="M151" s="599">
        <v>29051.999999999902</v>
      </c>
      <c r="N151" s="599">
        <v>28994.999999999902</v>
      </c>
      <c r="O151" s="599">
        <v>28171.999999999902</v>
      </c>
      <c r="P151" s="599">
        <v>28994.999999999902</v>
      </c>
      <c r="Q151" s="599">
        <v>28171.999999999902</v>
      </c>
      <c r="R151" s="599">
        <v>27281</v>
      </c>
      <c r="S151" s="169">
        <f t="shared" si="15"/>
        <v>308285.99999999936</v>
      </c>
      <c r="T151" s="122">
        <f>VLOOKUP($B151,'Tech Litons'!$A:$I,9,0)</f>
        <v>176</v>
      </c>
      <c r="U151" s="179">
        <f t="shared" si="13"/>
        <v>110.85227272727273</v>
      </c>
      <c r="V151" s="179">
        <f t="shared" si="13"/>
        <v>94.568181818181813</v>
      </c>
      <c r="W151" s="179">
        <f t="shared" si="13"/>
        <v>105.4375</v>
      </c>
      <c r="X151" s="179">
        <f t="shared" si="13"/>
        <v>154.59090909090909</v>
      </c>
      <c r="Y151" s="179">
        <f t="shared" si="13"/>
        <v>156.40909090909034</v>
      </c>
      <c r="Z151" s="179">
        <f t="shared" si="13"/>
        <v>160.06818181818127</v>
      </c>
      <c r="AA151" s="179">
        <f t="shared" si="16"/>
        <v>165.06818181818127</v>
      </c>
      <c r="AB151" s="179">
        <f t="shared" si="16"/>
        <v>164.74431818181762</v>
      </c>
      <c r="AC151" s="179">
        <f t="shared" si="16"/>
        <v>160.06818181818127</v>
      </c>
      <c r="AD151" s="179">
        <f t="shared" si="14"/>
        <v>164.74431818181762</v>
      </c>
      <c r="AE151" s="179">
        <f t="shared" si="14"/>
        <v>160.06818181818127</v>
      </c>
      <c r="AF151" s="179">
        <f t="shared" si="14"/>
        <v>155.00568181818181</v>
      </c>
    </row>
    <row r="152" spans="2:32">
      <c r="B152" s="122">
        <f t="shared" si="11"/>
        <v>84136704</v>
      </c>
      <c r="C152" s="122" t="str">
        <f>VLOOKUP($B152,'Tech Litons'!$A:$I,3,0)</f>
        <v>BJ PTS</v>
      </c>
      <c r="D152" s="122" t="str">
        <f>VLOOKUP($B152,'Tech Litons'!$A:$I,4,0)</f>
        <v>BJ PTS</v>
      </c>
      <c r="E152" s="598" t="s">
        <v>416</v>
      </c>
      <c r="F152" s="598">
        <v>84136704</v>
      </c>
      <c r="G152" s="599">
        <v>16095.8468229017</v>
      </c>
      <c r="H152" s="599">
        <v>27500.036995734001</v>
      </c>
      <c r="I152" s="599">
        <v>29818.423108994099</v>
      </c>
      <c r="J152" s="599">
        <v>25662.545085215999</v>
      </c>
      <c r="K152" s="599">
        <v>25537.633415438399</v>
      </c>
      <c r="L152" s="599">
        <v>33667.6259303439</v>
      </c>
      <c r="M152" s="599">
        <v>25680.656283963799</v>
      </c>
      <c r="N152" s="599">
        <v>30656.9186082901</v>
      </c>
      <c r="O152" s="599">
        <v>25394.9453756601</v>
      </c>
      <c r="P152" s="599">
        <v>26432.594235226701</v>
      </c>
      <c r="Q152" s="599">
        <v>22268.912389871799</v>
      </c>
      <c r="R152" s="599">
        <v>19426.976431764499</v>
      </c>
      <c r="S152" s="169">
        <f t="shared" si="15"/>
        <v>308143.11468340503</v>
      </c>
      <c r="T152" s="122">
        <f>VLOOKUP($B152,'Tech Litons'!$A:$I,9,0)</f>
        <v>240</v>
      </c>
      <c r="U152" s="179">
        <f t="shared" si="13"/>
        <v>67.066028428757079</v>
      </c>
      <c r="V152" s="179">
        <f t="shared" si="13"/>
        <v>114.58348748222501</v>
      </c>
      <c r="W152" s="179">
        <f t="shared" si="13"/>
        <v>124.24342962080874</v>
      </c>
      <c r="X152" s="179">
        <f t="shared" si="13"/>
        <v>106.9272711884</v>
      </c>
      <c r="Y152" s="179">
        <f t="shared" si="13"/>
        <v>106.40680589765999</v>
      </c>
      <c r="Z152" s="179">
        <f t="shared" si="13"/>
        <v>140.28177470976624</v>
      </c>
      <c r="AA152" s="179">
        <f t="shared" si="16"/>
        <v>107.00273451651583</v>
      </c>
      <c r="AB152" s="179">
        <f t="shared" si="16"/>
        <v>127.73716086787542</v>
      </c>
      <c r="AC152" s="179">
        <f t="shared" si="16"/>
        <v>105.81227239858374</v>
      </c>
      <c r="AD152" s="179">
        <f t="shared" si="14"/>
        <v>110.13580931344458</v>
      </c>
      <c r="AE152" s="179">
        <f t="shared" si="14"/>
        <v>92.787134957799168</v>
      </c>
      <c r="AF152" s="179">
        <f t="shared" si="14"/>
        <v>80.945735132352084</v>
      </c>
    </row>
    <row r="153" spans="2:32">
      <c r="B153" s="122">
        <f t="shared" si="11"/>
        <v>84135758</v>
      </c>
      <c r="C153" s="122" t="e">
        <f>VLOOKUP($B153,'Tech Litons'!$A:$I,3,0)</f>
        <v>#N/A</v>
      </c>
      <c r="D153" s="122" t="e">
        <f>VLOOKUP($B153,'Tech Litons'!$A:$I,4,0)</f>
        <v>#N/A</v>
      </c>
      <c r="E153" s="598" t="s">
        <v>569</v>
      </c>
      <c r="F153" s="598">
        <v>84135758</v>
      </c>
      <c r="G153" s="599">
        <v>18590.5381350227</v>
      </c>
      <c r="H153" s="599">
        <v>27824.0469948432</v>
      </c>
      <c r="I153" s="599">
        <v>25697.319968254102</v>
      </c>
      <c r="J153" s="599">
        <v>26775.817975219499</v>
      </c>
      <c r="K153" s="599">
        <v>26602.070152900898</v>
      </c>
      <c r="L153" s="599">
        <v>23229.056301815101</v>
      </c>
      <c r="M153" s="599">
        <v>29944.247922262799</v>
      </c>
      <c r="N153" s="599">
        <v>29902.980052766899</v>
      </c>
      <c r="O153" s="599">
        <v>28352.954656761602</v>
      </c>
      <c r="P153" s="599">
        <v>24684.638530532</v>
      </c>
      <c r="Q153" s="599">
        <v>23110.983315802299</v>
      </c>
      <c r="R153" s="599">
        <v>22073.265197434699</v>
      </c>
      <c r="S153" s="169">
        <f t="shared" si="15"/>
        <v>306787.91920361581</v>
      </c>
      <c r="T153" s="122" t="e">
        <f>VLOOKUP($B153,'Tech Litons'!$A:$I,9,0)</f>
        <v>#N/A</v>
      </c>
      <c r="U153" s="179" t="e">
        <f t="shared" si="13"/>
        <v>#N/A</v>
      </c>
      <c r="V153" s="179" t="e">
        <f t="shared" si="13"/>
        <v>#N/A</v>
      </c>
      <c r="W153" s="179" t="e">
        <f t="shared" si="13"/>
        <v>#N/A</v>
      </c>
      <c r="X153" s="179" t="e">
        <f t="shared" si="13"/>
        <v>#N/A</v>
      </c>
      <c r="Y153" s="179" t="e">
        <f t="shared" si="13"/>
        <v>#N/A</v>
      </c>
      <c r="Z153" s="179" t="e">
        <f t="shared" si="13"/>
        <v>#N/A</v>
      </c>
      <c r="AA153" s="179" t="e">
        <f t="shared" si="16"/>
        <v>#N/A</v>
      </c>
      <c r="AB153" s="179" t="e">
        <f t="shared" si="16"/>
        <v>#N/A</v>
      </c>
      <c r="AC153" s="179" t="e">
        <f t="shared" si="16"/>
        <v>#N/A</v>
      </c>
      <c r="AD153" s="179" t="e">
        <f t="shared" si="14"/>
        <v>#N/A</v>
      </c>
      <c r="AE153" s="179" t="e">
        <f t="shared" si="14"/>
        <v>#N/A</v>
      </c>
      <c r="AF153" s="179" t="e">
        <f t="shared" si="14"/>
        <v>#N/A</v>
      </c>
    </row>
    <row r="154" spans="2:32">
      <c r="B154" s="122">
        <f t="shared" si="11"/>
        <v>69691816</v>
      </c>
      <c r="C154" s="122" t="e">
        <f>VLOOKUP($B154,'Tech Litons'!$A:$I,3,0)</f>
        <v>#N/A</v>
      </c>
      <c r="D154" s="122" t="e">
        <f>VLOOKUP($B154,'Tech Litons'!$A:$I,4,0)</f>
        <v>#N/A</v>
      </c>
      <c r="E154" s="598" t="s">
        <v>503</v>
      </c>
      <c r="F154" s="598">
        <v>69691816</v>
      </c>
      <c r="G154" s="599">
        <v>24334.044770423199</v>
      </c>
      <c r="H154" s="599">
        <v>21881.810962638101</v>
      </c>
      <c r="I154" s="599">
        <v>28431.984785975201</v>
      </c>
      <c r="J154" s="599">
        <v>26325.032287647999</v>
      </c>
      <c r="K154" s="599">
        <v>30595.936681261701</v>
      </c>
      <c r="L154" s="599">
        <v>34200.588659028501</v>
      </c>
      <c r="M154" s="599">
        <v>27323.4227599601</v>
      </c>
      <c r="N154" s="599">
        <v>27549.248818234901</v>
      </c>
      <c r="O154" s="599">
        <v>24291.474646563202</v>
      </c>
      <c r="P154" s="599">
        <v>24327.570213080598</v>
      </c>
      <c r="Q154" s="599">
        <v>17951.131673943</v>
      </c>
      <c r="R154" s="599">
        <v>17261.9813054693</v>
      </c>
      <c r="S154" s="169">
        <f t="shared" si="15"/>
        <v>304474.22756422579</v>
      </c>
      <c r="T154" s="122" t="e">
        <f>VLOOKUP($B154,'Tech Litons'!$A:$I,9,0)</f>
        <v>#N/A</v>
      </c>
      <c r="U154" s="179" t="e">
        <f t="shared" si="13"/>
        <v>#N/A</v>
      </c>
      <c r="V154" s="179" t="e">
        <f t="shared" si="13"/>
        <v>#N/A</v>
      </c>
      <c r="W154" s="179" t="e">
        <f t="shared" si="13"/>
        <v>#N/A</v>
      </c>
      <c r="X154" s="179" t="e">
        <f t="shared" si="13"/>
        <v>#N/A</v>
      </c>
      <c r="Y154" s="179" t="e">
        <f t="shared" si="13"/>
        <v>#N/A</v>
      </c>
      <c r="Z154" s="179" t="e">
        <f t="shared" si="13"/>
        <v>#N/A</v>
      </c>
      <c r="AA154" s="179" t="e">
        <f t="shared" si="16"/>
        <v>#N/A</v>
      </c>
      <c r="AB154" s="179" t="e">
        <f t="shared" si="16"/>
        <v>#N/A</v>
      </c>
      <c r="AC154" s="179" t="e">
        <f t="shared" si="16"/>
        <v>#N/A</v>
      </c>
      <c r="AD154" s="179" t="e">
        <f t="shared" si="14"/>
        <v>#N/A</v>
      </c>
      <c r="AE154" s="179" t="e">
        <f t="shared" si="14"/>
        <v>#N/A</v>
      </c>
      <c r="AF154" s="179" t="e">
        <f t="shared" si="14"/>
        <v>#N/A</v>
      </c>
    </row>
    <row r="155" spans="2:32">
      <c r="B155" s="122">
        <f t="shared" si="11"/>
        <v>64999073</v>
      </c>
      <c r="C155" s="122" t="str">
        <f>VLOOKUP($B155,'Tech Litons'!$A:$I,3,0)</f>
        <v>YS PTS</v>
      </c>
      <c r="D155" s="122" t="str">
        <f>VLOOKUP($B155,'Tech Litons'!$A:$I,4,0)</f>
        <v>YS PTS</v>
      </c>
      <c r="E155" s="598" t="s">
        <v>595</v>
      </c>
      <c r="F155" s="598">
        <v>64999073</v>
      </c>
      <c r="G155" s="599">
        <v>10900</v>
      </c>
      <c r="H155" s="599">
        <v>16058</v>
      </c>
      <c r="I155" s="599">
        <v>20813</v>
      </c>
      <c r="J155" s="599">
        <v>22466</v>
      </c>
      <c r="K155" s="599">
        <v>28210</v>
      </c>
      <c r="L155" s="599">
        <v>35531</v>
      </c>
      <c r="M155" s="599">
        <v>31967</v>
      </c>
      <c r="N155" s="599">
        <v>32960</v>
      </c>
      <c r="O155" s="599">
        <v>31099.999999999902</v>
      </c>
      <c r="P155" s="599">
        <v>25578</v>
      </c>
      <c r="Q155" s="599">
        <v>24234</v>
      </c>
      <c r="R155" s="599">
        <v>22343</v>
      </c>
      <c r="S155" s="169">
        <f t="shared" si="15"/>
        <v>302159.99999999988</v>
      </c>
      <c r="T155" s="122">
        <f>VLOOKUP($B155,'Tech Litons'!$A:$I,9,0)</f>
        <v>240</v>
      </c>
      <c r="U155" s="179">
        <f t="shared" si="13"/>
        <v>45.416666666666664</v>
      </c>
      <c r="V155" s="179">
        <f t="shared" si="13"/>
        <v>66.908333333333331</v>
      </c>
      <c r="W155" s="179">
        <f t="shared" si="13"/>
        <v>86.720833333333331</v>
      </c>
      <c r="X155" s="179">
        <f t="shared" si="13"/>
        <v>93.608333333333334</v>
      </c>
      <c r="Y155" s="179">
        <f t="shared" si="13"/>
        <v>117.54166666666667</v>
      </c>
      <c r="Z155" s="179">
        <f t="shared" si="13"/>
        <v>148.04583333333332</v>
      </c>
      <c r="AA155" s="179">
        <f t="shared" si="16"/>
        <v>133.19583333333333</v>
      </c>
      <c r="AB155" s="179">
        <f t="shared" si="16"/>
        <v>137.33333333333334</v>
      </c>
      <c r="AC155" s="179">
        <f t="shared" si="16"/>
        <v>129.58333333333292</v>
      </c>
      <c r="AD155" s="179">
        <f t="shared" si="14"/>
        <v>106.575</v>
      </c>
      <c r="AE155" s="179">
        <f t="shared" si="14"/>
        <v>100.97499999999999</v>
      </c>
      <c r="AF155" s="179">
        <f t="shared" si="14"/>
        <v>93.095833333333331</v>
      </c>
    </row>
    <row r="156" spans="2:32">
      <c r="B156" s="122">
        <f t="shared" si="11"/>
        <v>68921994</v>
      </c>
      <c r="C156" s="122" t="str">
        <f>VLOOKUP($B156,'Tech Litons'!$A:$I,3,0)</f>
        <v>EDF</v>
      </c>
      <c r="D156" s="122" t="str">
        <f>VLOOKUP($B156,'Tech Litons'!$A:$I,4,0)</f>
        <v>EDF</v>
      </c>
      <c r="E156" s="598" t="s">
        <v>1021</v>
      </c>
      <c r="F156" s="598">
        <v>68921994</v>
      </c>
      <c r="G156" s="599">
        <v>19997.064249114199</v>
      </c>
      <c r="H156" s="599">
        <v>16708.688535645801</v>
      </c>
      <c r="I156" s="599">
        <v>29120.0164478474</v>
      </c>
      <c r="J156" s="599">
        <v>23378.8349644593</v>
      </c>
      <c r="K156" s="599">
        <v>32194.330668861101</v>
      </c>
      <c r="L156" s="599">
        <v>38394.608093560397</v>
      </c>
      <c r="M156" s="599">
        <v>32969.524154133796</v>
      </c>
      <c r="N156" s="599">
        <v>30582.819112509202</v>
      </c>
      <c r="O156" s="599">
        <v>21231.889369385299</v>
      </c>
      <c r="P156" s="599">
        <v>20533.641253202099</v>
      </c>
      <c r="Q156" s="599">
        <v>17330.117740326299</v>
      </c>
      <c r="R156" s="599">
        <v>16606.834661369001</v>
      </c>
      <c r="S156" s="169">
        <f t="shared" si="15"/>
        <v>299048.36925041385</v>
      </c>
      <c r="T156" s="122">
        <f>VLOOKUP($B156,'Tech Litons'!$A:$I,9,0)</f>
        <v>132</v>
      </c>
      <c r="U156" s="179">
        <f t="shared" si="13"/>
        <v>151.49291097813787</v>
      </c>
      <c r="V156" s="179">
        <f t="shared" si="13"/>
        <v>126.58097375489243</v>
      </c>
      <c r="W156" s="179">
        <f t="shared" si="13"/>
        <v>220.60618521096515</v>
      </c>
      <c r="X156" s="179">
        <f t="shared" si="13"/>
        <v>177.11238609438863</v>
      </c>
      <c r="Y156" s="179">
        <f t="shared" si="13"/>
        <v>243.89644446106894</v>
      </c>
      <c r="Z156" s="179">
        <f t="shared" si="13"/>
        <v>290.86824313303333</v>
      </c>
      <c r="AA156" s="179">
        <f t="shared" si="16"/>
        <v>249.7691223798015</v>
      </c>
      <c r="AB156" s="179">
        <f t="shared" si="16"/>
        <v>231.68802357961516</v>
      </c>
      <c r="AC156" s="179">
        <f t="shared" si="16"/>
        <v>160.84764673776741</v>
      </c>
      <c r="AD156" s="179">
        <f t="shared" si="14"/>
        <v>155.55788828183407</v>
      </c>
      <c r="AE156" s="179">
        <f t="shared" si="14"/>
        <v>131.28877076004773</v>
      </c>
      <c r="AF156" s="179">
        <f t="shared" si="14"/>
        <v>125.80935349521971</v>
      </c>
    </row>
    <row r="157" spans="2:32">
      <c r="B157" s="122">
        <f t="shared" si="11"/>
        <v>84135781</v>
      </c>
      <c r="C157" s="122" t="str">
        <f>VLOOKUP($B157,'Tech Litons'!$A:$I,3,0)</f>
        <v>BJ PTS</v>
      </c>
      <c r="D157" s="122" t="str">
        <f>VLOOKUP($B157,'Tech Litons'!$A:$I,4,0)</f>
        <v>BJ PTS</v>
      </c>
      <c r="E157" s="598" t="s">
        <v>302</v>
      </c>
      <c r="F157" s="598">
        <v>84135781</v>
      </c>
      <c r="G157" s="599">
        <v>16221.8148372454</v>
      </c>
      <c r="H157" s="599">
        <v>23547.979380091401</v>
      </c>
      <c r="I157" s="599">
        <v>26651.958261812899</v>
      </c>
      <c r="J157" s="599">
        <v>26416.369667741699</v>
      </c>
      <c r="K157" s="599">
        <v>23767.313108284601</v>
      </c>
      <c r="L157" s="599">
        <v>35046.100225502698</v>
      </c>
      <c r="M157" s="599">
        <v>20614.213731368101</v>
      </c>
      <c r="N157" s="599">
        <v>28071.2225502685</v>
      </c>
      <c r="O157" s="599">
        <v>24197.797122147898</v>
      </c>
      <c r="P157" s="599">
        <v>26563.875112078698</v>
      </c>
      <c r="Q157" s="599">
        <v>22891.748767351099</v>
      </c>
      <c r="R157" s="599">
        <v>23242.118348233598</v>
      </c>
      <c r="S157" s="169">
        <f t="shared" si="15"/>
        <v>297232.51111212658</v>
      </c>
      <c r="T157" s="122">
        <f>VLOOKUP($B157,'Tech Litons'!$A:$I,9,0)</f>
        <v>240</v>
      </c>
      <c r="U157" s="179">
        <f t="shared" si="13"/>
        <v>67.590895155189159</v>
      </c>
      <c r="V157" s="179">
        <f t="shared" si="13"/>
        <v>98.116580750380834</v>
      </c>
      <c r="W157" s="179">
        <f t="shared" si="13"/>
        <v>111.04982609088708</v>
      </c>
      <c r="X157" s="179">
        <f t="shared" si="13"/>
        <v>110.06820694892374</v>
      </c>
      <c r="Y157" s="179">
        <f t="shared" si="13"/>
        <v>99.030471284519166</v>
      </c>
      <c r="Z157" s="179">
        <f t="shared" si="13"/>
        <v>146.02541760626124</v>
      </c>
      <c r="AA157" s="179">
        <f t="shared" si="16"/>
        <v>85.892557214033758</v>
      </c>
      <c r="AB157" s="179">
        <f t="shared" si="16"/>
        <v>116.96342729278541</v>
      </c>
      <c r="AC157" s="179">
        <f t="shared" si="16"/>
        <v>100.82415467561624</v>
      </c>
      <c r="AD157" s="179">
        <f t="shared" si="14"/>
        <v>110.68281296699458</v>
      </c>
      <c r="AE157" s="179">
        <f t="shared" si="14"/>
        <v>95.382286530629571</v>
      </c>
      <c r="AF157" s="179">
        <f t="shared" si="14"/>
        <v>96.842159784306659</v>
      </c>
    </row>
    <row r="158" spans="2:32">
      <c r="B158" s="122">
        <f t="shared" si="11"/>
        <v>68821733</v>
      </c>
      <c r="C158" s="122" t="e">
        <f>VLOOKUP($B158,'Tech Litons'!$A:$I,3,0)</f>
        <v>#N/A</v>
      </c>
      <c r="D158" s="122" t="e">
        <f>VLOOKUP($B158,'Tech Litons'!$A:$I,4,0)</f>
        <v>#N/A</v>
      </c>
      <c r="E158" s="598" t="s">
        <v>443</v>
      </c>
      <c r="F158" s="598">
        <v>68821733</v>
      </c>
      <c r="G158" s="599">
        <v>25265.303434350801</v>
      </c>
      <c r="H158" s="599">
        <v>23635.860031139699</v>
      </c>
      <c r="I158" s="599">
        <v>23796.6945486531</v>
      </c>
      <c r="J158" s="599">
        <v>30712.2273450588</v>
      </c>
      <c r="K158" s="599">
        <v>27159.084187845499</v>
      </c>
      <c r="L158" s="599">
        <v>30914.815711108698</v>
      </c>
      <c r="M158" s="599">
        <v>25288.8919163879</v>
      </c>
      <c r="N158" s="599">
        <v>25833.629998933298</v>
      </c>
      <c r="O158" s="599">
        <v>16536.889950130899</v>
      </c>
      <c r="P158" s="599">
        <v>20144.589524167401</v>
      </c>
      <c r="Q158" s="599">
        <v>26246.357092664399</v>
      </c>
      <c r="R158" s="599">
        <v>21334.595273343701</v>
      </c>
      <c r="S158" s="169">
        <f t="shared" si="15"/>
        <v>296868.93901378417</v>
      </c>
      <c r="T158" s="122" t="e">
        <f>VLOOKUP($B158,'Tech Litons'!$A:$I,9,0)</f>
        <v>#N/A</v>
      </c>
      <c r="U158" s="179" t="e">
        <f t="shared" si="13"/>
        <v>#N/A</v>
      </c>
      <c r="V158" s="179" t="e">
        <f t="shared" si="13"/>
        <v>#N/A</v>
      </c>
      <c r="W158" s="179" t="e">
        <f t="shared" si="13"/>
        <v>#N/A</v>
      </c>
      <c r="X158" s="179" t="e">
        <f t="shared" si="13"/>
        <v>#N/A</v>
      </c>
      <c r="Y158" s="179" t="e">
        <f t="shared" si="13"/>
        <v>#N/A</v>
      </c>
      <c r="Z158" s="179" t="e">
        <f t="shared" si="13"/>
        <v>#N/A</v>
      </c>
      <c r="AA158" s="179" t="e">
        <f t="shared" si="16"/>
        <v>#N/A</v>
      </c>
      <c r="AB158" s="179" t="e">
        <f t="shared" si="16"/>
        <v>#N/A</v>
      </c>
      <c r="AC158" s="179" t="e">
        <f t="shared" si="16"/>
        <v>#N/A</v>
      </c>
      <c r="AD158" s="179" t="e">
        <f t="shared" si="14"/>
        <v>#N/A</v>
      </c>
      <c r="AE158" s="179" t="e">
        <f t="shared" si="14"/>
        <v>#N/A</v>
      </c>
      <c r="AF158" s="179" t="e">
        <f t="shared" si="14"/>
        <v>#N/A</v>
      </c>
    </row>
    <row r="159" spans="2:32">
      <c r="B159" s="122">
        <f t="shared" si="11"/>
        <v>69986506</v>
      </c>
      <c r="C159" s="122" t="str">
        <f>VLOOKUP($B159,'Tech Litons'!$A:$I,3,0)</f>
        <v>BJ PTS</v>
      </c>
      <c r="D159" s="122" t="str">
        <f>VLOOKUP($B159,'Tech Litons'!$A:$I,4,0)</f>
        <v>BJ PTS</v>
      </c>
      <c r="E159" s="598" t="s">
        <v>936</v>
      </c>
      <c r="F159" s="598">
        <v>69986506</v>
      </c>
      <c r="G159" s="599">
        <v>15396.7015703463</v>
      </c>
      <c r="H159" s="599">
        <v>25646.121168938698</v>
      </c>
      <c r="I159" s="599">
        <v>26977.692052509101</v>
      </c>
      <c r="J159" s="599">
        <v>26663.207278101501</v>
      </c>
      <c r="K159" s="599">
        <v>26174.367146612902</v>
      </c>
      <c r="L159" s="599">
        <v>31991.4663644951</v>
      </c>
      <c r="M159" s="599">
        <v>23438.325645205099</v>
      </c>
      <c r="N159" s="599">
        <v>28685.8965740454</v>
      </c>
      <c r="O159" s="599">
        <v>21069.660007203802</v>
      </c>
      <c r="P159" s="599">
        <v>24850.249554578601</v>
      </c>
      <c r="Q159" s="599">
        <v>20639.556411025002</v>
      </c>
      <c r="R159" s="599">
        <v>18106.626348990299</v>
      </c>
      <c r="S159" s="169">
        <f t="shared" si="15"/>
        <v>289639.87012205186</v>
      </c>
      <c r="T159" s="122">
        <f>VLOOKUP($B159,'Tech Litons'!$A:$I,9,0)</f>
        <v>240</v>
      </c>
      <c r="U159" s="179">
        <f t="shared" si="13"/>
        <v>64.152923209776247</v>
      </c>
      <c r="V159" s="179">
        <f t="shared" si="13"/>
        <v>106.85883820391125</v>
      </c>
      <c r="W159" s="179">
        <f t="shared" si="13"/>
        <v>112.40705021878792</v>
      </c>
      <c r="X159" s="179">
        <f t="shared" si="13"/>
        <v>111.09669699208959</v>
      </c>
      <c r="Y159" s="179">
        <f t="shared" si="13"/>
        <v>109.05986311088709</v>
      </c>
      <c r="Z159" s="179">
        <f t="shared" si="13"/>
        <v>133.29777651872959</v>
      </c>
      <c r="AA159" s="179">
        <f t="shared" si="16"/>
        <v>97.659690188354574</v>
      </c>
      <c r="AB159" s="179">
        <f t="shared" si="16"/>
        <v>119.5245690585225</v>
      </c>
      <c r="AC159" s="179">
        <f t="shared" si="16"/>
        <v>87.790250030015841</v>
      </c>
      <c r="AD159" s="179">
        <f t="shared" si="14"/>
        <v>103.54270647741083</v>
      </c>
      <c r="AE159" s="179">
        <f t="shared" si="14"/>
        <v>85.998151712604169</v>
      </c>
      <c r="AF159" s="179">
        <f t="shared" si="14"/>
        <v>75.444276454126253</v>
      </c>
    </row>
    <row r="160" spans="2:32">
      <c r="B160" s="122">
        <f t="shared" ref="B160:B223" si="17">F160</f>
        <v>68896055</v>
      </c>
      <c r="C160" s="122" t="str">
        <f>VLOOKUP($B160,'Tech Litons'!$A:$I,3,0)</f>
        <v>48oz</v>
      </c>
      <c r="D160" s="122" t="str">
        <f>VLOOKUP($B160,'Tech Litons'!$A:$I,4,0)</f>
        <v>48oz</v>
      </c>
      <c r="E160" s="598" t="s">
        <v>1010</v>
      </c>
      <c r="F160" s="598">
        <v>68896055</v>
      </c>
      <c r="G160" s="599">
        <v>19448.339121769699</v>
      </c>
      <c r="H160" s="599">
        <v>21111.224656924202</v>
      </c>
      <c r="I160" s="599">
        <v>25680.039749179301</v>
      </c>
      <c r="J160" s="599">
        <v>34280.7621172172</v>
      </c>
      <c r="K160" s="599">
        <v>25973.469824036802</v>
      </c>
      <c r="L160" s="599">
        <v>30727.356367098499</v>
      </c>
      <c r="M160" s="599">
        <v>25020.247253945399</v>
      </c>
      <c r="N160" s="599">
        <v>26052.066311019102</v>
      </c>
      <c r="O160" s="599">
        <v>19077.557911288899</v>
      </c>
      <c r="P160" s="599">
        <v>19916.583492603098</v>
      </c>
      <c r="Q160" s="599">
        <v>22663.432685020001</v>
      </c>
      <c r="R160" s="599">
        <v>19091.0443786783</v>
      </c>
      <c r="S160" s="425">
        <f t="shared" si="15"/>
        <v>289042.1238687805</v>
      </c>
      <c r="T160" s="122">
        <f>VLOOKUP($B160,'Tech Litons'!$A:$I,9,0)</f>
        <v>154</v>
      </c>
      <c r="U160" s="179">
        <f t="shared" ref="U160:Z202" si="18">G160/$T160</f>
        <v>126.28791637512792</v>
      </c>
      <c r="V160" s="179">
        <f t="shared" si="18"/>
        <v>137.08587439561171</v>
      </c>
      <c r="W160" s="179">
        <f t="shared" si="18"/>
        <v>166.75350486480065</v>
      </c>
      <c r="X160" s="179">
        <f t="shared" si="18"/>
        <v>222.60235141050131</v>
      </c>
      <c r="Y160" s="179">
        <f t="shared" si="18"/>
        <v>168.65889496127792</v>
      </c>
      <c r="Z160" s="179">
        <f t="shared" si="18"/>
        <v>199.5282880980422</v>
      </c>
      <c r="AA160" s="179">
        <f t="shared" si="16"/>
        <v>162.46913801263247</v>
      </c>
      <c r="AB160" s="179">
        <f t="shared" si="16"/>
        <v>169.1692617598643</v>
      </c>
      <c r="AC160" s="179">
        <f t="shared" si="16"/>
        <v>123.88024617720065</v>
      </c>
      <c r="AD160" s="179">
        <f t="shared" si="14"/>
        <v>129.32846423768245</v>
      </c>
      <c r="AE160" s="179">
        <f t="shared" si="14"/>
        <v>147.16514730532469</v>
      </c>
      <c r="AF160" s="179">
        <f t="shared" si="14"/>
        <v>123.96782064076818</v>
      </c>
    </row>
    <row r="161" spans="2:32">
      <c r="B161" s="122">
        <f t="shared" si="17"/>
        <v>64403162</v>
      </c>
      <c r="C161" s="122" t="str">
        <f>VLOOKUP($B161,'Tech Litons'!$A:$I,3,0)</f>
        <v>Facepieces</v>
      </c>
      <c r="D161" s="122" t="str">
        <f>VLOOKUP($B161,'Tech Litons'!$A:$I,4,0)</f>
        <v>Facepieces</v>
      </c>
      <c r="E161" s="598" t="s">
        <v>1086</v>
      </c>
      <c r="F161" s="598">
        <v>64403162</v>
      </c>
      <c r="G161" s="599">
        <v>16343.5393162932</v>
      </c>
      <c r="H161" s="599">
        <v>9982.3815301591294</v>
      </c>
      <c r="I161" s="599">
        <v>20580.314315574498</v>
      </c>
      <c r="J161" s="599">
        <v>22499.914338122799</v>
      </c>
      <c r="K161" s="599">
        <v>27203.027105598099</v>
      </c>
      <c r="L161" s="599">
        <v>39330.166795029101</v>
      </c>
      <c r="M161" s="599">
        <v>40167.354363883998</v>
      </c>
      <c r="N161" s="599">
        <v>28506.282182619801</v>
      </c>
      <c r="O161" s="599">
        <v>26056.651888393899</v>
      </c>
      <c r="P161" s="599">
        <v>19859.597236768001</v>
      </c>
      <c r="Q161" s="599">
        <v>17654.604969080599</v>
      </c>
      <c r="R161" s="599">
        <v>17745.8334013967</v>
      </c>
      <c r="S161" s="169">
        <f t="shared" si="15"/>
        <v>285929.6674429198</v>
      </c>
      <c r="T161" s="122">
        <f>VLOOKUP($B161,'Tech Litons'!$A:$I,9,0)</f>
        <v>195</v>
      </c>
      <c r="U161" s="179">
        <f t="shared" si="18"/>
        <v>83.813022134836928</v>
      </c>
      <c r="V161" s="179">
        <f t="shared" si="18"/>
        <v>51.1917001546622</v>
      </c>
      <c r="W161" s="179">
        <f t="shared" si="18"/>
        <v>105.54007341320255</v>
      </c>
      <c r="X161" s="179">
        <f t="shared" si="18"/>
        <v>115.38417609293742</v>
      </c>
      <c r="Y161" s="179">
        <f t="shared" si="18"/>
        <v>139.50270310563127</v>
      </c>
      <c r="Z161" s="179">
        <f t="shared" si="18"/>
        <v>201.6931630514313</v>
      </c>
      <c r="AA161" s="179">
        <f t="shared" si="16"/>
        <v>205.98643263530255</v>
      </c>
      <c r="AB161" s="179">
        <f t="shared" si="16"/>
        <v>146.18606247497334</v>
      </c>
      <c r="AC161" s="179">
        <f t="shared" si="16"/>
        <v>133.62385583791743</v>
      </c>
      <c r="AD161" s="179">
        <f t="shared" si="14"/>
        <v>101.84408839368206</v>
      </c>
      <c r="AE161" s="179">
        <f t="shared" si="14"/>
        <v>90.536435738874872</v>
      </c>
      <c r="AF161" s="179">
        <f t="shared" si="14"/>
        <v>91.004273853316406</v>
      </c>
    </row>
    <row r="162" spans="2:32">
      <c r="B162" s="122">
        <f t="shared" si="17"/>
        <v>68922018</v>
      </c>
      <c r="C162" s="122" t="e">
        <f>VLOOKUP($B162,'Tech Litons'!$A:$I,3,0)</f>
        <v>#N/A</v>
      </c>
      <c r="D162" s="122" t="e">
        <f>VLOOKUP($B162,'Tech Litons'!$A:$I,4,0)</f>
        <v>#N/A</v>
      </c>
      <c r="E162" s="598" t="s">
        <v>423</v>
      </c>
      <c r="F162" s="598">
        <v>68922018</v>
      </c>
      <c r="G162" s="599">
        <v>23948.4891752318</v>
      </c>
      <c r="H162" s="599">
        <v>23456.6719468593</v>
      </c>
      <c r="I162" s="599">
        <v>26309.778825715901</v>
      </c>
      <c r="J162" s="599">
        <v>23828.9212291734</v>
      </c>
      <c r="K162" s="599">
        <v>28380.158374353399</v>
      </c>
      <c r="L162" s="599">
        <v>29106.773865761301</v>
      </c>
      <c r="M162" s="599">
        <v>26192.173306254401</v>
      </c>
      <c r="N162" s="599">
        <v>25065.445395577401</v>
      </c>
      <c r="O162" s="599">
        <v>22353.162263691502</v>
      </c>
      <c r="P162" s="599">
        <v>23914.823921154999</v>
      </c>
      <c r="Q162" s="599">
        <v>17202.116187100899</v>
      </c>
      <c r="R162" s="599">
        <v>16049.548371008699</v>
      </c>
      <c r="S162" s="169">
        <f t="shared" si="15"/>
        <v>285808.06286188302</v>
      </c>
      <c r="T162" s="122" t="e">
        <f>VLOOKUP($B162,'Tech Litons'!$A:$I,9,0)</f>
        <v>#N/A</v>
      </c>
      <c r="U162" s="179" t="e">
        <f t="shared" si="18"/>
        <v>#N/A</v>
      </c>
      <c r="V162" s="179" t="e">
        <f t="shared" si="18"/>
        <v>#N/A</v>
      </c>
      <c r="W162" s="179" t="e">
        <f t="shared" si="18"/>
        <v>#N/A</v>
      </c>
      <c r="X162" s="179" t="e">
        <f t="shared" si="18"/>
        <v>#N/A</v>
      </c>
      <c r="Y162" s="179" t="e">
        <f t="shared" si="18"/>
        <v>#N/A</v>
      </c>
      <c r="Z162" s="179" t="e">
        <f t="shared" si="18"/>
        <v>#N/A</v>
      </c>
      <c r="AA162" s="179" t="e">
        <f t="shared" si="16"/>
        <v>#N/A</v>
      </c>
      <c r="AB162" s="179" t="e">
        <f t="shared" si="16"/>
        <v>#N/A</v>
      </c>
      <c r="AC162" s="179" t="e">
        <f t="shared" si="16"/>
        <v>#N/A</v>
      </c>
      <c r="AD162" s="179" t="e">
        <f t="shared" si="14"/>
        <v>#N/A</v>
      </c>
      <c r="AE162" s="179" t="e">
        <f t="shared" si="14"/>
        <v>#N/A</v>
      </c>
      <c r="AF162" s="179" t="e">
        <f t="shared" si="14"/>
        <v>#N/A</v>
      </c>
    </row>
    <row r="163" spans="2:32">
      <c r="B163" s="122">
        <f t="shared" si="17"/>
        <v>69797468</v>
      </c>
      <c r="C163" s="122" t="str">
        <f>VLOOKUP($B163,'Tech Litons'!$A:$I,3,0)</f>
        <v>MG Sticks</v>
      </c>
      <c r="D163" s="122" t="str">
        <f>VLOOKUP($B163,'Tech Litons'!$A:$I,4,0)</f>
        <v>MG Sticks</v>
      </c>
      <c r="E163" s="598" t="s">
        <v>545</v>
      </c>
      <c r="F163" s="598">
        <v>69797468</v>
      </c>
      <c r="G163" s="599">
        <v>19046.206413934899</v>
      </c>
      <c r="H163" s="599">
        <v>17697.644305014499</v>
      </c>
      <c r="I163" s="599">
        <v>25178.888476222299</v>
      </c>
      <c r="J163" s="599">
        <v>26366.624929698999</v>
      </c>
      <c r="K163" s="599">
        <v>28934.2222879291</v>
      </c>
      <c r="L163" s="599">
        <v>25286.232693909998</v>
      </c>
      <c r="M163" s="599">
        <v>29275.621816219402</v>
      </c>
      <c r="N163" s="599">
        <v>26184.685749189801</v>
      </c>
      <c r="O163" s="599">
        <v>26480.016679793302</v>
      </c>
      <c r="P163" s="599">
        <v>24434.569049842699</v>
      </c>
      <c r="Q163" s="599">
        <v>21423.470297235301</v>
      </c>
      <c r="R163" s="599">
        <v>14431.731950818699</v>
      </c>
      <c r="S163" s="169">
        <f t="shared" si="15"/>
        <v>284739.91464980901</v>
      </c>
      <c r="T163" s="122">
        <f>VLOOKUP($B163,'Tech Litons'!$A:$I,9,0)</f>
        <v>143</v>
      </c>
      <c r="U163" s="179">
        <f t="shared" si="18"/>
        <v>133.19025464290138</v>
      </c>
      <c r="V163" s="179">
        <f t="shared" si="18"/>
        <v>123.75975038471678</v>
      </c>
      <c r="W163" s="179">
        <f t="shared" si="18"/>
        <v>176.07614319036571</v>
      </c>
      <c r="X163" s="179">
        <f t="shared" si="18"/>
        <v>184.38199251537762</v>
      </c>
      <c r="Y163" s="179">
        <f t="shared" si="18"/>
        <v>202.33721879670699</v>
      </c>
      <c r="Z163" s="179">
        <f t="shared" si="18"/>
        <v>176.82680205531469</v>
      </c>
      <c r="AA163" s="179">
        <f t="shared" si="16"/>
        <v>204.72462808545035</v>
      </c>
      <c r="AB163" s="179">
        <f t="shared" si="16"/>
        <v>183.10969055377484</v>
      </c>
      <c r="AC163" s="179">
        <f t="shared" si="16"/>
        <v>185.17494181673638</v>
      </c>
      <c r="AD163" s="179">
        <f t="shared" si="14"/>
        <v>170.87111223666224</v>
      </c>
      <c r="AE163" s="179">
        <f t="shared" si="14"/>
        <v>149.81447760304405</v>
      </c>
      <c r="AF163" s="179">
        <f t="shared" si="14"/>
        <v>100.92120245327762</v>
      </c>
    </row>
    <row r="164" spans="2:32">
      <c r="B164" s="122">
        <f t="shared" si="17"/>
        <v>68840562</v>
      </c>
      <c r="C164" s="122" t="e">
        <f>VLOOKUP($B164,'Tech Litons'!$A:$I,3,0)</f>
        <v>#N/A</v>
      </c>
      <c r="D164" s="122" t="e">
        <f>VLOOKUP($B164,'Tech Litons'!$A:$I,4,0)</f>
        <v>#N/A</v>
      </c>
      <c r="E164" s="598" t="s">
        <v>903</v>
      </c>
      <c r="F164" s="598">
        <v>68840562</v>
      </c>
      <c r="G164" s="599">
        <v>18694.258059833999</v>
      </c>
      <c r="H164" s="599">
        <v>22886.021286298899</v>
      </c>
      <c r="I164" s="599">
        <v>26890.415758212399</v>
      </c>
      <c r="J164" s="599">
        <v>23597.079475370901</v>
      </c>
      <c r="K164" s="599">
        <v>24077.530873898901</v>
      </c>
      <c r="L164" s="599">
        <v>25978.756475805301</v>
      </c>
      <c r="M164" s="599">
        <v>32935.072341829997</v>
      </c>
      <c r="N164" s="599">
        <v>26660.358973174199</v>
      </c>
      <c r="O164" s="599">
        <v>23279.467155270198</v>
      </c>
      <c r="P164" s="599">
        <v>24886.912593409299</v>
      </c>
      <c r="Q164" s="599">
        <v>17266.881036045801</v>
      </c>
      <c r="R164" s="599">
        <v>16119.6567325509</v>
      </c>
      <c r="S164" s="169">
        <f t="shared" si="15"/>
        <v>283272.41076170077</v>
      </c>
      <c r="T164" s="122" t="e">
        <f>VLOOKUP($B164,'Tech Litons'!$A:$I,9,0)</f>
        <v>#N/A</v>
      </c>
      <c r="U164" s="179" t="e">
        <f t="shared" si="18"/>
        <v>#N/A</v>
      </c>
      <c r="V164" s="179" t="e">
        <f t="shared" si="18"/>
        <v>#N/A</v>
      </c>
      <c r="W164" s="179" t="e">
        <f t="shared" si="18"/>
        <v>#N/A</v>
      </c>
      <c r="X164" s="179" t="e">
        <f t="shared" si="18"/>
        <v>#N/A</v>
      </c>
      <c r="Y164" s="179" t="e">
        <f t="shared" si="18"/>
        <v>#N/A</v>
      </c>
      <c r="Z164" s="179" t="e">
        <f t="shared" si="18"/>
        <v>#N/A</v>
      </c>
      <c r="AA164" s="179" t="e">
        <f t="shared" si="16"/>
        <v>#N/A</v>
      </c>
      <c r="AB164" s="179" t="e">
        <f t="shared" si="16"/>
        <v>#N/A</v>
      </c>
      <c r="AC164" s="179" t="e">
        <f t="shared" si="16"/>
        <v>#N/A</v>
      </c>
      <c r="AD164" s="179" t="e">
        <f t="shared" si="14"/>
        <v>#N/A</v>
      </c>
      <c r="AE164" s="179" t="e">
        <f t="shared" si="14"/>
        <v>#N/A</v>
      </c>
      <c r="AF164" s="179" t="e">
        <f t="shared" si="14"/>
        <v>#N/A</v>
      </c>
    </row>
    <row r="165" spans="2:32">
      <c r="B165" s="122">
        <f t="shared" si="17"/>
        <v>64999042</v>
      </c>
      <c r="C165" s="122" t="str">
        <f>VLOOKUP($B165,'Tech Litons'!$A:$I,3,0)</f>
        <v>YS PTS</v>
      </c>
      <c r="D165" s="122" t="str">
        <f>VLOOKUP($B165,'Tech Litons'!$A:$I,4,0)</f>
        <v>YS PTS</v>
      </c>
      <c r="E165" s="598" t="s">
        <v>489</v>
      </c>
      <c r="F165" s="598">
        <v>64999042</v>
      </c>
      <c r="G165" s="599">
        <v>10335</v>
      </c>
      <c r="H165" s="599">
        <v>15151.9999999999</v>
      </c>
      <c r="I165" s="599">
        <v>19311</v>
      </c>
      <c r="J165" s="599">
        <v>20813</v>
      </c>
      <c r="K165" s="599">
        <v>26275</v>
      </c>
      <c r="L165" s="599">
        <v>33137</v>
      </c>
      <c r="M165" s="599">
        <v>29813</v>
      </c>
      <c r="N165" s="599">
        <v>30735.999999999902</v>
      </c>
      <c r="O165" s="599">
        <v>29004</v>
      </c>
      <c r="P165" s="599">
        <v>23855</v>
      </c>
      <c r="Q165" s="599">
        <v>22600</v>
      </c>
      <c r="R165" s="599">
        <v>19355</v>
      </c>
      <c r="S165" s="169">
        <f t="shared" si="15"/>
        <v>280385.99999999977</v>
      </c>
      <c r="T165" s="122">
        <f>VLOOKUP($B165,'Tech Litons'!$A:$I,9,0)</f>
        <v>240</v>
      </c>
      <c r="U165" s="179">
        <f t="shared" si="18"/>
        <v>43.0625</v>
      </c>
      <c r="V165" s="179">
        <f t="shared" si="18"/>
        <v>63.133333333332914</v>
      </c>
      <c r="W165" s="179">
        <f t="shared" si="18"/>
        <v>80.462500000000006</v>
      </c>
      <c r="X165" s="179">
        <f t="shared" si="18"/>
        <v>86.720833333333331</v>
      </c>
      <c r="Y165" s="179">
        <f t="shared" si="18"/>
        <v>109.47916666666667</v>
      </c>
      <c r="Z165" s="179">
        <f t="shared" si="18"/>
        <v>138.07083333333333</v>
      </c>
      <c r="AA165" s="179">
        <f t="shared" si="16"/>
        <v>124.22083333333333</v>
      </c>
      <c r="AB165" s="179">
        <f t="shared" si="16"/>
        <v>128.06666666666626</v>
      </c>
      <c r="AC165" s="179">
        <f t="shared" si="16"/>
        <v>120.85</v>
      </c>
      <c r="AD165" s="179">
        <f t="shared" si="14"/>
        <v>99.395833333333329</v>
      </c>
      <c r="AE165" s="179">
        <f t="shared" si="14"/>
        <v>94.166666666666671</v>
      </c>
      <c r="AF165" s="179">
        <f t="shared" si="14"/>
        <v>80.645833333333329</v>
      </c>
    </row>
    <row r="166" spans="2:32">
      <c r="B166" s="122">
        <f t="shared" si="17"/>
        <v>84137694</v>
      </c>
      <c r="C166" s="122" t="str">
        <f>VLOOKUP($B166,'Tech Litons'!$A:$I,3,0)</f>
        <v>BJ PTS</v>
      </c>
      <c r="D166" s="122" t="str">
        <f>VLOOKUP($B166,'Tech Litons'!$A:$I,4,0)</f>
        <v>BJ PTS</v>
      </c>
      <c r="E166" s="598" t="s">
        <v>417</v>
      </c>
      <c r="F166" s="598">
        <v>84137694</v>
      </c>
      <c r="G166" s="599">
        <v>15399.3954238399</v>
      </c>
      <c r="H166" s="599">
        <v>24482.694949683399</v>
      </c>
      <c r="I166" s="599">
        <v>25995.564249625499</v>
      </c>
      <c r="J166" s="599">
        <v>24381.317033713502</v>
      </c>
      <c r="K166" s="599">
        <v>22811.0376752255</v>
      </c>
      <c r="L166" s="599">
        <v>31206.802601921801</v>
      </c>
      <c r="M166" s="599">
        <v>22047.706572603001</v>
      </c>
      <c r="N166" s="599">
        <v>26679.698145354501</v>
      </c>
      <c r="O166" s="599">
        <v>20494.4951433237</v>
      </c>
      <c r="P166" s="599">
        <v>23221.9261494825</v>
      </c>
      <c r="Q166" s="599">
        <v>19929.6638089839</v>
      </c>
      <c r="R166" s="599">
        <v>17019.0267041222</v>
      </c>
      <c r="S166" s="169">
        <f t="shared" si="15"/>
        <v>273669.32845787937</v>
      </c>
      <c r="T166" s="122">
        <f>VLOOKUP($B166,'Tech Litons'!$A:$I,9,0)</f>
        <v>240</v>
      </c>
      <c r="U166" s="179">
        <f t="shared" si="18"/>
        <v>64.164147599332921</v>
      </c>
      <c r="V166" s="179">
        <f t="shared" si="18"/>
        <v>102.01122895701415</v>
      </c>
      <c r="W166" s="179">
        <f t="shared" si="18"/>
        <v>108.31485104010625</v>
      </c>
      <c r="X166" s="179">
        <f t="shared" si="18"/>
        <v>101.58882097380625</v>
      </c>
      <c r="Y166" s="179">
        <f t="shared" si="18"/>
        <v>95.045990313439589</v>
      </c>
      <c r="Z166" s="179">
        <f t="shared" si="18"/>
        <v>130.02834417467417</v>
      </c>
      <c r="AA166" s="179">
        <f t="shared" si="16"/>
        <v>91.865444052512501</v>
      </c>
      <c r="AB166" s="179">
        <f t="shared" si="16"/>
        <v>111.16540893897709</v>
      </c>
      <c r="AC166" s="179">
        <f t="shared" si="16"/>
        <v>85.393729763848754</v>
      </c>
      <c r="AD166" s="179">
        <f t="shared" si="14"/>
        <v>96.758025622843746</v>
      </c>
      <c r="AE166" s="179">
        <f t="shared" si="14"/>
        <v>83.040265870766248</v>
      </c>
      <c r="AF166" s="179">
        <f t="shared" si="14"/>
        <v>70.912611267175834</v>
      </c>
    </row>
    <row r="167" spans="2:32">
      <c r="B167" s="122">
        <f t="shared" si="17"/>
        <v>69792952</v>
      </c>
      <c r="C167" s="122" t="e">
        <f>VLOOKUP($B167,'Tech Litons'!$A:$I,3,0)</f>
        <v>#N/A</v>
      </c>
      <c r="D167" s="122" t="e">
        <f>VLOOKUP($B167,'Tech Litons'!$A:$I,4,0)</f>
        <v>#N/A</v>
      </c>
      <c r="E167" s="598" t="s">
        <v>947</v>
      </c>
      <c r="F167" s="598">
        <v>69792952</v>
      </c>
      <c r="G167" s="599">
        <v>17823.083888951001</v>
      </c>
      <c r="H167" s="599">
        <v>18268.2002763772</v>
      </c>
      <c r="I167" s="599">
        <v>24769.959003746299</v>
      </c>
      <c r="J167" s="599">
        <v>20864.520262760299</v>
      </c>
      <c r="K167" s="599">
        <v>30037.929867848699</v>
      </c>
      <c r="L167" s="599">
        <v>32567.885137114899</v>
      </c>
      <c r="M167" s="599">
        <v>25849.238722025799</v>
      </c>
      <c r="N167" s="599">
        <v>24420.186288067802</v>
      </c>
      <c r="O167" s="599">
        <v>20831.946874150701</v>
      </c>
      <c r="P167" s="599">
        <v>22158.332922845901</v>
      </c>
      <c r="Q167" s="599">
        <v>15772.6425375128</v>
      </c>
      <c r="R167" s="599">
        <v>15310.012443546801</v>
      </c>
      <c r="S167" s="169">
        <f t="shared" si="15"/>
        <v>268673.93822494819</v>
      </c>
      <c r="T167" s="122" t="e">
        <f>VLOOKUP($B167,'Tech Litons'!$A:$I,9,0)</f>
        <v>#N/A</v>
      </c>
      <c r="U167" s="179" t="e">
        <f t="shared" si="18"/>
        <v>#N/A</v>
      </c>
      <c r="V167" s="179" t="e">
        <f t="shared" si="18"/>
        <v>#N/A</v>
      </c>
      <c r="W167" s="179" t="e">
        <f t="shared" si="18"/>
        <v>#N/A</v>
      </c>
      <c r="X167" s="179" t="e">
        <f t="shared" si="18"/>
        <v>#N/A</v>
      </c>
      <c r="Y167" s="179" t="e">
        <f t="shared" si="18"/>
        <v>#N/A</v>
      </c>
      <c r="Z167" s="179" t="e">
        <f t="shared" si="18"/>
        <v>#N/A</v>
      </c>
      <c r="AA167" s="179" t="e">
        <f t="shared" si="16"/>
        <v>#N/A</v>
      </c>
      <c r="AB167" s="179" t="e">
        <f t="shared" si="16"/>
        <v>#N/A</v>
      </c>
      <c r="AC167" s="179" t="e">
        <f t="shared" si="16"/>
        <v>#N/A</v>
      </c>
      <c r="AD167" s="179" t="e">
        <f t="shared" si="14"/>
        <v>#N/A</v>
      </c>
      <c r="AE167" s="179" t="e">
        <f t="shared" si="14"/>
        <v>#N/A</v>
      </c>
      <c r="AF167" s="179" t="e">
        <f t="shared" si="14"/>
        <v>#N/A</v>
      </c>
    </row>
    <row r="168" spans="2:32">
      <c r="B168" s="122">
        <f t="shared" si="17"/>
        <v>64367657</v>
      </c>
      <c r="C168" s="122" t="str">
        <f>VLOOKUP($B168,'Tech Litons'!$A:$I,3,0)</f>
        <v>Talenti</v>
      </c>
      <c r="D168" s="122" t="str">
        <f>VLOOKUP($B168,'Tech Litons'!$A:$I,4,0)</f>
        <v>Talenti</v>
      </c>
      <c r="E168" s="598" t="s">
        <v>1087</v>
      </c>
      <c r="F168" s="598">
        <v>64367657</v>
      </c>
      <c r="G168" s="600">
        <v>13020.724727847601</v>
      </c>
      <c r="H168" s="599">
        <v>12848.637440337199</v>
      </c>
      <c r="I168" s="599">
        <v>19739.8131586485</v>
      </c>
      <c r="J168" s="599">
        <v>24281.016180995699</v>
      </c>
      <c r="K168" s="599">
        <v>21113.001529134599</v>
      </c>
      <c r="L168" s="599">
        <v>35876.835133588298</v>
      </c>
      <c r="M168" s="599">
        <v>29309.713681720601</v>
      </c>
      <c r="N168" s="599">
        <v>27693.282997570001</v>
      </c>
      <c r="O168" s="599">
        <v>23104.4979245621</v>
      </c>
      <c r="P168" s="599">
        <v>25139.414275219999</v>
      </c>
      <c r="Q168" s="599">
        <v>15675.186794404401</v>
      </c>
      <c r="R168" s="599">
        <v>19910.3712851091</v>
      </c>
      <c r="S168" s="169">
        <f t="shared" si="15"/>
        <v>267712.49512913811</v>
      </c>
      <c r="T168" s="122">
        <f>VLOOKUP($B168,'Tech Litons'!$A:$I,9,0)</f>
        <v>255</v>
      </c>
      <c r="U168" s="179">
        <f t="shared" si="18"/>
        <v>51.061665599402353</v>
      </c>
      <c r="V168" s="179">
        <f t="shared" si="18"/>
        <v>50.386813491518431</v>
      </c>
      <c r="W168" s="179">
        <f t="shared" si="18"/>
        <v>77.411031994699997</v>
      </c>
      <c r="X168" s="179">
        <f t="shared" si="18"/>
        <v>95.219671298022348</v>
      </c>
      <c r="Y168" s="179">
        <f t="shared" si="18"/>
        <v>82.796084427978826</v>
      </c>
      <c r="Z168" s="179">
        <f t="shared" si="18"/>
        <v>140.69347111211098</v>
      </c>
      <c r="AA168" s="179">
        <f t="shared" si="16"/>
        <v>114.94005365380627</v>
      </c>
      <c r="AB168" s="179">
        <f t="shared" si="16"/>
        <v>108.60110979439216</v>
      </c>
      <c r="AC168" s="179">
        <f t="shared" si="16"/>
        <v>90.605874213969017</v>
      </c>
      <c r="AD168" s="179">
        <f t="shared" si="14"/>
        <v>98.585938334196072</v>
      </c>
      <c r="AE168" s="179">
        <f t="shared" si="14"/>
        <v>61.471320762370198</v>
      </c>
      <c r="AF168" s="179">
        <f t="shared" si="14"/>
        <v>78.079887392584709</v>
      </c>
    </row>
    <row r="169" spans="2:32">
      <c r="B169" s="122">
        <f t="shared" si="17"/>
        <v>67881628</v>
      </c>
      <c r="C169" s="122" t="str">
        <f>VLOOKUP($B169,'Tech Litons'!$A:$I,3,0)</f>
        <v>BJ PTS</v>
      </c>
      <c r="D169" s="122" t="str">
        <f>VLOOKUP($B169,'Tech Litons'!$A:$I,4,0)</f>
        <v>BJ PTS</v>
      </c>
      <c r="E169" s="598" t="s">
        <v>345</v>
      </c>
      <c r="F169" s="598">
        <v>67881628</v>
      </c>
      <c r="G169" s="599">
        <v>17649.9794220529</v>
      </c>
      <c r="H169" s="599">
        <v>24961.286561535799</v>
      </c>
      <c r="I169" s="599">
        <v>24698.214145139402</v>
      </c>
      <c r="J169" s="599">
        <v>20764.008159309898</v>
      </c>
      <c r="K169" s="599">
        <v>21443.887330326499</v>
      </c>
      <c r="L169" s="599">
        <v>25323.558684634801</v>
      </c>
      <c r="M169" s="599">
        <v>25800.172907415399</v>
      </c>
      <c r="N169" s="599">
        <v>23799.3508513417</v>
      </c>
      <c r="O169" s="599">
        <v>22212.444601222101</v>
      </c>
      <c r="P169" s="599">
        <v>21561.265706174399</v>
      </c>
      <c r="Q169" s="599">
        <v>19477.238356070498</v>
      </c>
      <c r="R169" s="599">
        <v>16708.587401036901</v>
      </c>
      <c r="S169" s="169">
        <f t="shared" si="15"/>
        <v>264399.99412626028</v>
      </c>
      <c r="T169" s="122">
        <f>VLOOKUP($B169,'Tech Litons'!$A:$I,9,0)</f>
        <v>240</v>
      </c>
      <c r="U169" s="179">
        <f t="shared" si="18"/>
        <v>73.541580925220416</v>
      </c>
      <c r="V169" s="179">
        <f t="shared" si="18"/>
        <v>104.00536067306582</v>
      </c>
      <c r="W169" s="179">
        <f t="shared" si="18"/>
        <v>102.9092256047475</v>
      </c>
      <c r="X169" s="179">
        <f t="shared" si="18"/>
        <v>86.516700663791241</v>
      </c>
      <c r="Y169" s="179">
        <f t="shared" si="18"/>
        <v>89.349530543027086</v>
      </c>
      <c r="Z169" s="179">
        <f t="shared" si="18"/>
        <v>105.51482785264501</v>
      </c>
      <c r="AA169" s="179">
        <f t="shared" si="16"/>
        <v>107.50072044756416</v>
      </c>
      <c r="AB169" s="179">
        <f t="shared" si="16"/>
        <v>99.163961880590421</v>
      </c>
      <c r="AC169" s="179">
        <f t="shared" si="16"/>
        <v>92.551852505092086</v>
      </c>
      <c r="AD169" s="179">
        <f t="shared" si="14"/>
        <v>89.838607109059993</v>
      </c>
      <c r="AE169" s="179">
        <f t="shared" si="14"/>
        <v>81.155159816960406</v>
      </c>
      <c r="AF169" s="179">
        <f t="shared" si="14"/>
        <v>69.619114170987089</v>
      </c>
    </row>
    <row r="170" spans="2:32">
      <c r="B170" s="122">
        <f t="shared" si="17"/>
        <v>69671652</v>
      </c>
      <c r="C170" s="122" t="str">
        <f>VLOOKUP($B170,'Tech Litons'!$A:$I,3,0)</f>
        <v>MBG</v>
      </c>
      <c r="D170" s="122" t="str">
        <f>VLOOKUP($B170,'Tech Litons'!$A:$I,4,0)</f>
        <v>MBG</v>
      </c>
      <c r="E170" s="598" t="s">
        <v>921</v>
      </c>
      <c r="F170" s="598">
        <v>69671652</v>
      </c>
      <c r="G170" s="600">
        <v>12443.581644064199</v>
      </c>
      <c r="H170" s="599">
        <v>11979.304448159101</v>
      </c>
      <c r="I170" s="599">
        <v>18167.230537395099</v>
      </c>
      <c r="J170" s="599">
        <v>27693.718062716802</v>
      </c>
      <c r="K170" s="599">
        <v>37528.944730006799</v>
      </c>
      <c r="L170" s="599">
        <v>38254.567914613501</v>
      </c>
      <c r="M170" s="599">
        <v>33715.7294872887</v>
      </c>
      <c r="N170" s="599">
        <v>27342.429533058901</v>
      </c>
      <c r="O170" s="599">
        <v>18126.7304341983</v>
      </c>
      <c r="P170" s="599">
        <v>14906.5130213922</v>
      </c>
      <c r="Q170" s="599">
        <v>10188.658262311499</v>
      </c>
      <c r="R170" s="599">
        <v>11854.9543568724</v>
      </c>
      <c r="S170" s="169">
        <f t="shared" si="15"/>
        <v>262202.36243207747</v>
      </c>
      <c r="T170" s="122">
        <f>VLOOKUP($B170,'Tech Litons'!$A:$I,9,0)</f>
        <v>225</v>
      </c>
      <c r="U170" s="179">
        <f t="shared" si="18"/>
        <v>55.304807306952</v>
      </c>
      <c r="V170" s="179">
        <f t="shared" si="18"/>
        <v>53.241353102929338</v>
      </c>
      <c r="W170" s="179">
        <f t="shared" si="18"/>
        <v>80.743246832867101</v>
      </c>
      <c r="X170" s="179">
        <f t="shared" si="18"/>
        <v>123.08319138985246</v>
      </c>
      <c r="Y170" s="179">
        <f t="shared" si="18"/>
        <v>166.79530991114132</v>
      </c>
      <c r="Z170" s="179">
        <f t="shared" si="18"/>
        <v>170.02030184272667</v>
      </c>
      <c r="AA170" s="179">
        <f t="shared" si="16"/>
        <v>149.84768661017199</v>
      </c>
      <c r="AB170" s="179">
        <f t="shared" si="16"/>
        <v>121.52190903581734</v>
      </c>
      <c r="AC170" s="179">
        <f t="shared" si="16"/>
        <v>80.563246374214671</v>
      </c>
      <c r="AD170" s="179">
        <f t="shared" si="14"/>
        <v>66.251168983965329</v>
      </c>
      <c r="AE170" s="179">
        <f t="shared" si="14"/>
        <v>45.282925610273331</v>
      </c>
      <c r="AF170" s="179">
        <f t="shared" si="14"/>
        <v>52.688686030543998</v>
      </c>
    </row>
    <row r="171" spans="2:32">
      <c r="B171" s="122">
        <f t="shared" si="17"/>
        <v>64388735</v>
      </c>
      <c r="C171" s="122" t="str">
        <f>VLOOKUP($B171,'Tech Litons'!$A:$I,3,0)</f>
        <v>Yasso Sticks</v>
      </c>
      <c r="D171" s="122" t="str">
        <f>VLOOKUP($B171,'Tech Litons'!$A:$I,4,0)</f>
        <v>Yasso Sticks</v>
      </c>
      <c r="E171" s="598" t="s">
        <v>239</v>
      </c>
      <c r="F171" s="598">
        <v>64388735</v>
      </c>
      <c r="G171" s="599">
        <v>14529.4097647948</v>
      </c>
      <c r="H171" s="599">
        <v>15304.677856275601</v>
      </c>
      <c r="I171" s="599">
        <v>21671.935040905599</v>
      </c>
      <c r="J171" s="599">
        <v>20943.233995091199</v>
      </c>
      <c r="K171" s="599">
        <v>22653.4686087464</v>
      </c>
      <c r="L171" s="599">
        <v>25985.734319362298</v>
      </c>
      <c r="M171" s="599">
        <v>28630.052742404201</v>
      </c>
      <c r="N171" s="599">
        <v>26075.2421258506</v>
      </c>
      <c r="O171" s="599">
        <v>23769.5829130128</v>
      </c>
      <c r="P171" s="599">
        <v>20721.269953185001</v>
      </c>
      <c r="Q171" s="599">
        <v>19430.396847107899</v>
      </c>
      <c r="R171" s="599">
        <v>18998.471082737899</v>
      </c>
      <c r="S171" s="169">
        <f t="shared" si="15"/>
        <v>258713.47524947429</v>
      </c>
      <c r="T171" s="122">
        <f>VLOOKUP($B171,'Tech Litons'!$A:$I,9,0)</f>
        <v>187</v>
      </c>
      <c r="U171" s="179">
        <f t="shared" si="18"/>
        <v>77.697378421362572</v>
      </c>
      <c r="V171" s="179">
        <f t="shared" si="18"/>
        <v>81.843197092382894</v>
      </c>
      <c r="W171" s="179">
        <f t="shared" si="18"/>
        <v>115.89270075350588</v>
      </c>
      <c r="X171" s="179">
        <f t="shared" si="18"/>
        <v>111.99590371706523</v>
      </c>
      <c r="Y171" s="179">
        <f t="shared" si="18"/>
        <v>121.14154336228022</v>
      </c>
      <c r="Z171" s="179">
        <f t="shared" si="18"/>
        <v>138.96114609284652</v>
      </c>
      <c r="AA171" s="179">
        <f t="shared" si="16"/>
        <v>153.10188632301711</v>
      </c>
      <c r="AB171" s="179">
        <f t="shared" si="16"/>
        <v>139.43979746444171</v>
      </c>
      <c r="AC171" s="179">
        <f t="shared" si="16"/>
        <v>127.11006905354439</v>
      </c>
      <c r="AD171" s="179">
        <f t="shared" si="14"/>
        <v>110.80893023093583</v>
      </c>
      <c r="AE171" s="179">
        <f t="shared" si="14"/>
        <v>103.90586549255561</v>
      </c>
      <c r="AF171" s="179">
        <f t="shared" si="14"/>
        <v>101.59610204672673</v>
      </c>
    </row>
    <row r="172" spans="2:32">
      <c r="B172" s="122">
        <f t="shared" si="17"/>
        <v>64986251</v>
      </c>
      <c r="C172" s="122" t="str">
        <f>VLOOKUP($B172,'Tech Litons'!$A:$I,3,0)</f>
        <v>Sundaes</v>
      </c>
      <c r="D172" s="122" t="str">
        <f>VLOOKUP($B172,'Tech Litons'!$A:$I,4,0)</f>
        <v>SP1</v>
      </c>
      <c r="E172" s="598" t="s">
        <v>313</v>
      </c>
      <c r="F172" s="598">
        <v>64986251</v>
      </c>
      <c r="G172" s="599">
        <v>14628</v>
      </c>
      <c r="H172" s="599">
        <v>16712.999999999902</v>
      </c>
      <c r="I172" s="599">
        <v>13669</v>
      </c>
      <c r="J172" s="599">
        <v>18848</v>
      </c>
      <c r="K172" s="599">
        <v>25239</v>
      </c>
      <c r="L172" s="599">
        <v>26270</v>
      </c>
      <c r="M172" s="599">
        <v>23957</v>
      </c>
      <c r="N172" s="599">
        <v>25562</v>
      </c>
      <c r="O172" s="599">
        <v>23580</v>
      </c>
      <c r="P172" s="599">
        <v>23826</v>
      </c>
      <c r="Q172" s="599">
        <v>20747</v>
      </c>
      <c r="R172" s="599">
        <v>21665</v>
      </c>
      <c r="S172" s="169">
        <f t="shared" si="15"/>
        <v>254703.99999999988</v>
      </c>
      <c r="T172" s="122">
        <f>VLOOKUP($B172,'Tech Litons'!$A:$I,9,0)</f>
        <v>240</v>
      </c>
      <c r="U172" s="179">
        <f t="shared" si="18"/>
        <v>60.95</v>
      </c>
      <c r="V172" s="179">
        <f t="shared" si="18"/>
        <v>69.637499999999591</v>
      </c>
      <c r="W172" s="179">
        <f t="shared" si="18"/>
        <v>56.954166666666666</v>
      </c>
      <c r="X172" s="179">
        <f t="shared" si="18"/>
        <v>78.533333333333331</v>
      </c>
      <c r="Y172" s="179">
        <f t="shared" si="18"/>
        <v>105.16249999999999</v>
      </c>
      <c r="Z172" s="179">
        <f t="shared" si="18"/>
        <v>109.45833333333333</v>
      </c>
      <c r="AA172" s="179">
        <f t="shared" si="16"/>
        <v>99.82083333333334</v>
      </c>
      <c r="AB172" s="179">
        <f t="shared" si="16"/>
        <v>106.50833333333334</v>
      </c>
      <c r="AC172" s="179">
        <f t="shared" si="16"/>
        <v>98.25</v>
      </c>
      <c r="AD172" s="179">
        <f t="shared" si="16"/>
        <v>99.275000000000006</v>
      </c>
      <c r="AE172" s="179">
        <f t="shared" si="16"/>
        <v>86.44583333333334</v>
      </c>
      <c r="AF172" s="179">
        <f t="shared" si="16"/>
        <v>90.270833333333329</v>
      </c>
    </row>
    <row r="173" spans="2:32">
      <c r="B173" s="122">
        <f t="shared" si="17"/>
        <v>69792954</v>
      </c>
      <c r="C173" s="122" t="e">
        <f>VLOOKUP($B173,'Tech Litons'!$A:$I,3,0)</f>
        <v>#N/A</v>
      </c>
      <c r="D173" s="122" t="e">
        <f>VLOOKUP($B173,'Tech Litons'!$A:$I,4,0)</f>
        <v>#N/A</v>
      </c>
      <c r="E173" s="598" t="s">
        <v>478</v>
      </c>
      <c r="F173" s="598">
        <v>69792954</v>
      </c>
      <c r="G173" s="599">
        <v>15787.527866480799</v>
      </c>
      <c r="H173" s="599">
        <v>15925.237833293701</v>
      </c>
      <c r="I173" s="599">
        <v>21671.932179561602</v>
      </c>
      <c r="J173" s="599">
        <v>25571.609384959698</v>
      </c>
      <c r="K173" s="599">
        <v>24402.486980572699</v>
      </c>
      <c r="L173" s="599">
        <v>29228.634133307201</v>
      </c>
      <c r="M173" s="599">
        <v>23057.5549923332</v>
      </c>
      <c r="N173" s="599">
        <v>21897.347949655199</v>
      </c>
      <c r="O173" s="599">
        <v>19378.661476503999</v>
      </c>
      <c r="P173" s="599">
        <v>19761.513549616098</v>
      </c>
      <c r="Q173" s="599">
        <v>18797.376284892402</v>
      </c>
      <c r="R173" s="599">
        <v>18205.247318014899</v>
      </c>
      <c r="S173" s="169">
        <f t="shared" si="15"/>
        <v>253685.12994919153</v>
      </c>
      <c r="T173" s="122" t="e">
        <f>VLOOKUP($B173,'Tech Litons'!$A:$I,9,0)</f>
        <v>#N/A</v>
      </c>
      <c r="U173" s="179" t="e">
        <f t="shared" si="18"/>
        <v>#N/A</v>
      </c>
      <c r="V173" s="179" t="e">
        <f t="shared" si="18"/>
        <v>#N/A</v>
      </c>
      <c r="W173" s="179" t="e">
        <f t="shared" si="18"/>
        <v>#N/A</v>
      </c>
      <c r="X173" s="179" t="e">
        <f t="shared" si="18"/>
        <v>#N/A</v>
      </c>
      <c r="Y173" s="179" t="e">
        <f t="shared" si="18"/>
        <v>#N/A</v>
      </c>
      <c r="Z173" s="179" t="e">
        <f t="shared" si="18"/>
        <v>#N/A</v>
      </c>
      <c r="AA173" s="179" t="e">
        <f t="shared" si="16"/>
        <v>#N/A</v>
      </c>
      <c r="AB173" s="179" t="e">
        <f t="shared" si="16"/>
        <v>#N/A</v>
      </c>
      <c r="AC173" s="179" t="e">
        <f t="shared" si="16"/>
        <v>#N/A</v>
      </c>
      <c r="AD173" s="179" t="e">
        <f t="shared" si="16"/>
        <v>#N/A</v>
      </c>
      <c r="AE173" s="179" t="e">
        <f t="shared" si="16"/>
        <v>#N/A</v>
      </c>
      <c r="AF173" s="179" t="e">
        <f t="shared" si="16"/>
        <v>#N/A</v>
      </c>
    </row>
    <row r="174" spans="2:32">
      <c r="B174" s="122">
        <f t="shared" si="17"/>
        <v>68710285</v>
      </c>
      <c r="C174" s="122" t="str">
        <f>VLOOKUP($B174,'Tech Litons'!$A:$I,3,0)</f>
        <v>EDF</v>
      </c>
      <c r="D174" s="122" t="str">
        <f>VLOOKUP($B174,'Tech Litons'!$A:$I,4,0)</f>
        <v>EDF</v>
      </c>
      <c r="E174" s="598" t="s">
        <v>1022</v>
      </c>
      <c r="F174" s="598">
        <v>68710285</v>
      </c>
      <c r="G174" s="599">
        <v>17737.9700790854</v>
      </c>
      <c r="H174" s="599">
        <v>16584.360901768701</v>
      </c>
      <c r="I174" s="599">
        <v>26067.3315187851</v>
      </c>
      <c r="J174" s="599">
        <v>20187.150913999201</v>
      </c>
      <c r="K174" s="599">
        <v>24191.574508756199</v>
      </c>
      <c r="L174" s="599">
        <v>30120.221411291601</v>
      </c>
      <c r="M174" s="599">
        <v>28527.047599082802</v>
      </c>
      <c r="N174" s="599">
        <v>25327.159679815799</v>
      </c>
      <c r="O174" s="599">
        <v>17116.285075899199</v>
      </c>
      <c r="P174" s="599">
        <v>16610.217406033698</v>
      </c>
      <c r="Q174" s="599">
        <v>15087.9465673505</v>
      </c>
      <c r="R174" s="599">
        <v>13397.0300821242</v>
      </c>
      <c r="S174" s="169">
        <f t="shared" si="15"/>
        <v>250954.29574399244</v>
      </c>
      <c r="T174" s="122">
        <f>VLOOKUP($B174,'Tech Litons'!$A:$I,9,0)</f>
        <v>132</v>
      </c>
      <c r="U174" s="179">
        <f t="shared" si="18"/>
        <v>134.37856120519243</v>
      </c>
      <c r="V174" s="179">
        <f t="shared" si="18"/>
        <v>125.63909774067199</v>
      </c>
      <c r="W174" s="179">
        <f t="shared" si="18"/>
        <v>197.47978423322047</v>
      </c>
      <c r="X174" s="179">
        <f t="shared" si="18"/>
        <v>152.93296146969092</v>
      </c>
      <c r="Y174" s="179">
        <f t="shared" si="18"/>
        <v>183.26950385421364</v>
      </c>
      <c r="Z174" s="179">
        <f t="shared" si="18"/>
        <v>228.18349554008788</v>
      </c>
      <c r="AA174" s="179">
        <f t="shared" si="16"/>
        <v>216.1139969627485</v>
      </c>
      <c r="AB174" s="179">
        <f t="shared" si="16"/>
        <v>191.87242181678636</v>
      </c>
      <c r="AC174" s="179">
        <f t="shared" si="16"/>
        <v>129.66882633256969</v>
      </c>
      <c r="AD174" s="179">
        <f t="shared" si="16"/>
        <v>125.83498034874015</v>
      </c>
      <c r="AE174" s="179">
        <f t="shared" si="16"/>
        <v>114.30262551023107</v>
      </c>
      <c r="AF174" s="179">
        <f t="shared" si="16"/>
        <v>101.49265213730455</v>
      </c>
    </row>
    <row r="175" spans="2:32">
      <c r="B175" s="122">
        <f t="shared" si="17"/>
        <v>84150840</v>
      </c>
      <c r="C175" s="122" t="e">
        <f>VLOOKUP($B175,'Tech Litons'!$A:$I,3,0)</f>
        <v>#N/A</v>
      </c>
      <c r="D175" s="122" t="e">
        <f>VLOOKUP($B175,'Tech Litons'!$A:$I,4,0)</f>
        <v>#N/A</v>
      </c>
      <c r="E175" s="598" t="s">
        <v>567</v>
      </c>
      <c r="F175" s="598">
        <v>84150840</v>
      </c>
      <c r="G175" s="599">
        <v>14600.0869447772</v>
      </c>
      <c r="H175" s="599">
        <v>23639.966434512698</v>
      </c>
      <c r="I175" s="599">
        <v>20638.3296850564</v>
      </c>
      <c r="J175" s="599">
        <v>23090.6935133636</v>
      </c>
      <c r="K175" s="599">
        <v>22105.074020260901</v>
      </c>
      <c r="L175" s="599">
        <v>18095.290570822301</v>
      </c>
      <c r="M175" s="599">
        <v>25637.907911160801</v>
      </c>
      <c r="N175" s="599">
        <v>24103.048599978501</v>
      </c>
      <c r="O175" s="599">
        <v>22991.160905344401</v>
      </c>
      <c r="P175" s="599">
        <v>20301.953325513001</v>
      </c>
      <c r="Q175" s="599">
        <v>18594.292037373201</v>
      </c>
      <c r="R175" s="599">
        <v>16707.626912555399</v>
      </c>
      <c r="S175" s="169">
        <f t="shared" si="15"/>
        <v>250505.43086071842</v>
      </c>
      <c r="T175" s="122" t="e">
        <f>VLOOKUP($B175,'Tech Litons'!$A:$I,9,0)</f>
        <v>#N/A</v>
      </c>
      <c r="U175" s="179" t="e">
        <f t="shared" si="18"/>
        <v>#N/A</v>
      </c>
      <c r="V175" s="179" t="e">
        <f t="shared" si="18"/>
        <v>#N/A</v>
      </c>
      <c r="W175" s="179" t="e">
        <f t="shared" si="18"/>
        <v>#N/A</v>
      </c>
      <c r="X175" s="179" t="e">
        <f t="shared" si="18"/>
        <v>#N/A</v>
      </c>
      <c r="Y175" s="179" t="e">
        <f t="shared" si="18"/>
        <v>#N/A</v>
      </c>
      <c r="Z175" s="179" t="e">
        <f t="shared" si="18"/>
        <v>#N/A</v>
      </c>
      <c r="AA175" s="179" t="e">
        <f t="shared" si="16"/>
        <v>#N/A</v>
      </c>
      <c r="AB175" s="179" t="e">
        <f t="shared" si="16"/>
        <v>#N/A</v>
      </c>
      <c r="AC175" s="179" t="e">
        <f t="shared" si="16"/>
        <v>#N/A</v>
      </c>
      <c r="AD175" s="179" t="e">
        <f t="shared" si="16"/>
        <v>#N/A</v>
      </c>
      <c r="AE175" s="179" t="e">
        <f t="shared" si="16"/>
        <v>#N/A</v>
      </c>
      <c r="AF175" s="179" t="e">
        <f t="shared" si="16"/>
        <v>#N/A</v>
      </c>
    </row>
    <row r="176" spans="2:32">
      <c r="B176" s="122">
        <f t="shared" si="17"/>
        <v>69986507</v>
      </c>
      <c r="C176" s="122" t="str">
        <f>VLOOKUP($B176,'Tech Litons'!$A:$I,3,0)</f>
        <v>BJ PTS</v>
      </c>
      <c r="D176" s="122" t="str">
        <f>VLOOKUP($B176,'Tech Litons'!$A:$I,4,0)</f>
        <v>BJ PTS</v>
      </c>
      <c r="E176" s="598" t="s">
        <v>937</v>
      </c>
      <c r="F176" s="598">
        <v>69986507</v>
      </c>
      <c r="G176" s="599">
        <v>15016.603207114</v>
      </c>
      <c r="H176" s="599">
        <v>22685.7249174887</v>
      </c>
      <c r="I176" s="599">
        <v>23561.049798120901</v>
      </c>
      <c r="J176" s="599">
        <v>22746.096021003599</v>
      </c>
      <c r="K176" s="599">
        <v>22724.352690010001</v>
      </c>
      <c r="L176" s="599">
        <v>23960.674095877901</v>
      </c>
      <c r="M176" s="599">
        <v>23210.231040911302</v>
      </c>
      <c r="N176" s="599">
        <v>22267.012141570998</v>
      </c>
      <c r="O176" s="599">
        <v>19671.478858380899</v>
      </c>
      <c r="P176" s="599">
        <v>20249.5050739648</v>
      </c>
      <c r="Q176" s="599">
        <v>17350.419429482801</v>
      </c>
      <c r="R176" s="599">
        <v>16248.8554809702</v>
      </c>
      <c r="S176" s="425">
        <f t="shared" si="15"/>
        <v>249692.00275489612</v>
      </c>
      <c r="T176" s="122">
        <f>VLOOKUP($B176,'Tech Litons'!$A:$I,9,0)</f>
        <v>240</v>
      </c>
      <c r="U176" s="179">
        <f t="shared" si="18"/>
        <v>62.569180029641664</v>
      </c>
      <c r="V176" s="179">
        <f t="shared" si="18"/>
        <v>94.523853822869583</v>
      </c>
      <c r="W176" s="179">
        <f t="shared" si="18"/>
        <v>98.171040825503752</v>
      </c>
      <c r="X176" s="179">
        <f t="shared" si="18"/>
        <v>94.775400087514996</v>
      </c>
      <c r="Y176" s="179">
        <f t="shared" si="18"/>
        <v>94.684802875041669</v>
      </c>
      <c r="Z176" s="179">
        <f t="shared" si="18"/>
        <v>99.836142066157919</v>
      </c>
      <c r="AA176" s="179">
        <f t="shared" si="16"/>
        <v>96.709296003797093</v>
      </c>
      <c r="AB176" s="179">
        <f t="shared" si="16"/>
        <v>92.77921725654582</v>
      </c>
      <c r="AC176" s="179">
        <f t="shared" si="16"/>
        <v>81.964495243253751</v>
      </c>
      <c r="AD176" s="179">
        <f t="shared" si="16"/>
        <v>84.372937808186663</v>
      </c>
      <c r="AE176" s="179">
        <f t="shared" si="16"/>
        <v>72.293414289511674</v>
      </c>
      <c r="AF176" s="179">
        <f t="shared" si="16"/>
        <v>67.703564504042504</v>
      </c>
    </row>
    <row r="177" spans="2:32">
      <c r="B177" s="122">
        <f t="shared" si="17"/>
        <v>64393719</v>
      </c>
      <c r="C177" s="122" t="str">
        <f>VLOOKUP($B177,'Tech Litons'!$A:$I,3,0)</f>
        <v>MG Sticks</v>
      </c>
      <c r="D177" s="122" t="str">
        <f>VLOOKUP($B177,'Tech Litons'!$A:$I,4,0)</f>
        <v>MG Sticks</v>
      </c>
      <c r="E177" s="598" t="s">
        <v>331</v>
      </c>
      <c r="F177" s="598">
        <v>64393719</v>
      </c>
      <c r="G177" s="599">
        <v>19031.511919414599</v>
      </c>
      <c r="H177" s="599">
        <v>16847.956214477901</v>
      </c>
      <c r="I177" s="599">
        <v>18821.524650328702</v>
      </c>
      <c r="J177" s="599">
        <v>21507.865342560799</v>
      </c>
      <c r="K177" s="599">
        <v>21165.235405614902</v>
      </c>
      <c r="L177" s="599">
        <v>23882.501737325099</v>
      </c>
      <c r="M177" s="599">
        <v>23241.413964101401</v>
      </c>
      <c r="N177" s="599">
        <v>25098.713206847999</v>
      </c>
      <c r="O177" s="599">
        <v>20197.683797066999</v>
      </c>
      <c r="P177" s="599">
        <v>19997.5142641075</v>
      </c>
      <c r="Q177" s="599">
        <v>19292.946806297601</v>
      </c>
      <c r="R177" s="599">
        <v>19009.029985499201</v>
      </c>
      <c r="S177" s="169">
        <f t="shared" si="15"/>
        <v>248093.89729364272</v>
      </c>
      <c r="T177" s="122">
        <f>VLOOKUP($B177,'Tech Litons'!$A:$I,9,0)</f>
        <v>143</v>
      </c>
      <c r="U177" s="179">
        <f t="shared" si="18"/>
        <v>133.08749593996222</v>
      </c>
      <c r="V177" s="179">
        <f t="shared" si="18"/>
        <v>117.81787562571959</v>
      </c>
      <c r="W177" s="179">
        <f t="shared" si="18"/>
        <v>131.61905349880212</v>
      </c>
      <c r="X177" s="179">
        <f t="shared" si="18"/>
        <v>150.40465274518041</v>
      </c>
      <c r="Y177" s="179">
        <f t="shared" si="18"/>
        <v>148.0086392001042</v>
      </c>
      <c r="Z177" s="179">
        <f t="shared" si="18"/>
        <v>167.01050165961607</v>
      </c>
      <c r="AA177" s="179">
        <f t="shared" si="16"/>
        <v>162.52737037833148</v>
      </c>
      <c r="AB177" s="179">
        <f t="shared" si="16"/>
        <v>175.51547697096504</v>
      </c>
      <c r="AC177" s="179">
        <f t="shared" si="16"/>
        <v>141.24254403543355</v>
      </c>
      <c r="AD177" s="179">
        <f t="shared" si="16"/>
        <v>139.84275709166084</v>
      </c>
      <c r="AE177" s="179">
        <f t="shared" si="16"/>
        <v>134.91571193215105</v>
      </c>
      <c r="AF177" s="179">
        <f t="shared" si="16"/>
        <v>132.93027961887552</v>
      </c>
    </row>
    <row r="178" spans="2:32">
      <c r="B178" s="122">
        <f t="shared" si="17"/>
        <v>84139090</v>
      </c>
      <c r="C178" s="122" t="str">
        <f>VLOOKUP($B178,'Tech Litons'!$A:$I,3,0)</f>
        <v>BJ PTS</v>
      </c>
      <c r="D178" s="122" t="str">
        <f>VLOOKUP($B178,'Tech Litons'!$A:$I,4,0)</f>
        <v>BJ PTS</v>
      </c>
      <c r="E178" s="598" t="s">
        <v>477</v>
      </c>
      <c r="F178" s="598">
        <v>84139090</v>
      </c>
      <c r="G178" s="599">
        <v>14148.7639688823</v>
      </c>
      <c r="H178" s="599">
        <v>20977.008514209501</v>
      </c>
      <c r="I178" s="599">
        <v>23205.999426659801</v>
      </c>
      <c r="J178" s="599">
        <v>20934.028169368401</v>
      </c>
      <c r="K178" s="599">
        <v>22201.068810209901</v>
      </c>
      <c r="L178" s="599">
        <v>27316.9926190814</v>
      </c>
      <c r="M178" s="599">
        <v>21308.2408331763</v>
      </c>
      <c r="N178" s="599">
        <v>23065.232841412901</v>
      </c>
      <c r="O178" s="599">
        <v>20932.739160667901</v>
      </c>
      <c r="P178" s="599">
        <v>20478.9311152726</v>
      </c>
      <c r="Q178" s="599">
        <v>17450.538561373</v>
      </c>
      <c r="R178" s="599">
        <v>15986.152947603199</v>
      </c>
      <c r="S178" s="169">
        <f t="shared" si="15"/>
        <v>248005.69696791717</v>
      </c>
      <c r="T178" s="122">
        <f>VLOOKUP($B178,'Tech Litons'!$A:$I,9,0)</f>
        <v>240</v>
      </c>
      <c r="U178" s="179">
        <f t="shared" si="18"/>
        <v>58.953183203676254</v>
      </c>
      <c r="V178" s="179">
        <f t="shared" si="18"/>
        <v>87.404202142539589</v>
      </c>
      <c r="W178" s="179">
        <f t="shared" si="18"/>
        <v>96.691664277749169</v>
      </c>
      <c r="X178" s="179">
        <f t="shared" si="18"/>
        <v>87.225117372368331</v>
      </c>
      <c r="Y178" s="179">
        <f t="shared" si="18"/>
        <v>92.50445337587459</v>
      </c>
      <c r="Z178" s="179">
        <f t="shared" si="18"/>
        <v>113.82080257950584</v>
      </c>
      <c r="AA178" s="179">
        <f t="shared" si="16"/>
        <v>88.784336804901244</v>
      </c>
      <c r="AB178" s="179">
        <f t="shared" si="16"/>
        <v>96.105136839220421</v>
      </c>
      <c r="AC178" s="179">
        <f t="shared" si="16"/>
        <v>87.219746502782925</v>
      </c>
      <c r="AD178" s="179">
        <f t="shared" si="16"/>
        <v>85.32887964696917</v>
      </c>
      <c r="AE178" s="179">
        <f t="shared" si="16"/>
        <v>72.710577339054169</v>
      </c>
      <c r="AF178" s="179">
        <f t="shared" si="16"/>
        <v>66.608970615013334</v>
      </c>
    </row>
    <row r="179" spans="2:32">
      <c r="B179" s="122">
        <f t="shared" si="17"/>
        <v>69793718</v>
      </c>
      <c r="C179" s="122" t="e">
        <f>VLOOKUP($B179,'Tech Litons'!$A:$I,3,0)</f>
        <v>#N/A</v>
      </c>
      <c r="D179" s="122" t="e">
        <f>VLOOKUP($B179,'Tech Litons'!$A:$I,4,0)</f>
        <v>#N/A</v>
      </c>
      <c r="E179" s="598" t="s">
        <v>1088</v>
      </c>
      <c r="F179" s="598">
        <v>69793718</v>
      </c>
      <c r="G179" s="599">
        <v>17016</v>
      </c>
      <c r="H179" s="599">
        <v>17653</v>
      </c>
      <c r="I179" s="599">
        <v>30801</v>
      </c>
      <c r="J179" s="599">
        <v>26098</v>
      </c>
      <c r="K179" s="599">
        <v>22851</v>
      </c>
      <c r="L179" s="599">
        <v>26372</v>
      </c>
      <c r="M179" s="599">
        <v>26123</v>
      </c>
      <c r="N179" s="599">
        <v>19262</v>
      </c>
      <c r="O179" s="599">
        <v>13699</v>
      </c>
      <c r="P179" s="599">
        <v>17318</v>
      </c>
      <c r="Q179" s="599">
        <v>15329</v>
      </c>
      <c r="R179" s="599">
        <v>15215</v>
      </c>
      <c r="S179" s="169">
        <f t="shared" si="15"/>
        <v>247737</v>
      </c>
      <c r="T179" s="122" t="e">
        <f>VLOOKUP($B179,'Tech Litons'!$A:$I,9,0)</f>
        <v>#N/A</v>
      </c>
      <c r="U179" s="179" t="e">
        <f t="shared" si="18"/>
        <v>#N/A</v>
      </c>
      <c r="V179" s="179" t="e">
        <f t="shared" si="18"/>
        <v>#N/A</v>
      </c>
      <c r="W179" s="179" t="e">
        <f t="shared" si="18"/>
        <v>#N/A</v>
      </c>
      <c r="X179" s="179" t="e">
        <f t="shared" si="18"/>
        <v>#N/A</v>
      </c>
      <c r="Y179" s="179" t="e">
        <f t="shared" si="18"/>
        <v>#N/A</v>
      </c>
      <c r="Z179" s="179" t="e">
        <f t="shared" si="18"/>
        <v>#N/A</v>
      </c>
      <c r="AA179" s="179" t="e">
        <f t="shared" si="16"/>
        <v>#N/A</v>
      </c>
      <c r="AB179" s="179" t="e">
        <f t="shared" si="16"/>
        <v>#N/A</v>
      </c>
      <c r="AC179" s="179" t="e">
        <f t="shared" si="16"/>
        <v>#N/A</v>
      </c>
      <c r="AD179" s="179" t="e">
        <f t="shared" si="16"/>
        <v>#N/A</v>
      </c>
      <c r="AE179" s="179" t="e">
        <f t="shared" si="16"/>
        <v>#N/A</v>
      </c>
      <c r="AF179" s="179" t="e">
        <f t="shared" si="16"/>
        <v>#N/A</v>
      </c>
    </row>
    <row r="180" spans="2:32">
      <c r="B180" s="122">
        <f t="shared" si="17"/>
        <v>68899826</v>
      </c>
      <c r="C180" s="122" t="str">
        <f>VLOOKUP($B180,'Tech Litons'!$A:$I,3,0)</f>
        <v>48oz</v>
      </c>
      <c r="D180" s="122" t="str">
        <f>VLOOKUP($B180,'Tech Litons'!$A:$I,4,0)</f>
        <v>48oz</v>
      </c>
      <c r="E180" s="598" t="s">
        <v>990</v>
      </c>
      <c r="F180" s="598">
        <v>68899826</v>
      </c>
      <c r="G180" s="599">
        <v>20522.272566762698</v>
      </c>
      <c r="H180" s="599">
        <v>18003.863822175699</v>
      </c>
      <c r="I180" s="599">
        <v>19506.307136128198</v>
      </c>
      <c r="J180" s="599">
        <v>24681.206931719302</v>
      </c>
      <c r="K180" s="599">
        <v>22385.397268744899</v>
      </c>
      <c r="L180" s="599">
        <v>28418.8564279454</v>
      </c>
      <c r="M180" s="599">
        <v>22220.036070600701</v>
      </c>
      <c r="N180" s="599">
        <v>22169.913106170301</v>
      </c>
      <c r="O180" s="599">
        <v>13673.8254009473</v>
      </c>
      <c r="P180" s="599">
        <v>16014.376508188299</v>
      </c>
      <c r="Q180" s="599">
        <v>21406.962137062299</v>
      </c>
      <c r="R180" s="599">
        <v>17214.928733144101</v>
      </c>
      <c r="S180" s="169">
        <f t="shared" si="15"/>
        <v>246217.94610958919</v>
      </c>
      <c r="T180" s="122">
        <f>VLOOKUP($B180,'Tech Litons'!$A:$I,9,0)</f>
        <v>176</v>
      </c>
      <c r="U180" s="179">
        <f t="shared" si="18"/>
        <v>116.60382140206079</v>
      </c>
      <c r="V180" s="179">
        <f t="shared" si="18"/>
        <v>102.29468080781648</v>
      </c>
      <c r="W180" s="179">
        <f t="shared" si="18"/>
        <v>110.83129054618294</v>
      </c>
      <c r="X180" s="179">
        <f t="shared" si="18"/>
        <v>140.23413029385966</v>
      </c>
      <c r="Y180" s="179">
        <f t="shared" si="18"/>
        <v>127.18975720877783</v>
      </c>
      <c r="Z180" s="179">
        <f t="shared" si="18"/>
        <v>161.4707751587807</v>
      </c>
      <c r="AA180" s="179">
        <f t="shared" si="16"/>
        <v>126.25020494659489</v>
      </c>
      <c r="AB180" s="179">
        <f t="shared" si="16"/>
        <v>125.96541537596762</v>
      </c>
      <c r="AC180" s="179">
        <f t="shared" si="16"/>
        <v>77.692189778109665</v>
      </c>
      <c r="AD180" s="179">
        <f t="shared" si="16"/>
        <v>90.990775614706251</v>
      </c>
      <c r="AE180" s="179">
        <f t="shared" si="16"/>
        <v>121.63046668785397</v>
      </c>
      <c r="AF180" s="179">
        <f t="shared" si="16"/>
        <v>97.812095074682389</v>
      </c>
    </row>
    <row r="181" spans="2:32">
      <c r="B181" s="122">
        <f t="shared" si="17"/>
        <v>64979407</v>
      </c>
      <c r="C181" s="122" t="str">
        <f>VLOOKUP($B181,'Tech Litons'!$A:$I,3,0)</f>
        <v>MG Sticks</v>
      </c>
      <c r="D181" s="122" t="str">
        <f>VLOOKUP($B181,'Tech Litons'!$A:$I,4,0)</f>
        <v>MG Sticks</v>
      </c>
      <c r="E181" s="598" t="s">
        <v>284</v>
      </c>
      <c r="F181" s="598">
        <v>64979407</v>
      </c>
      <c r="G181" s="599">
        <v>18919</v>
      </c>
      <c r="H181" s="599">
        <v>9949.9999999999909</v>
      </c>
      <c r="I181" s="599">
        <v>18940</v>
      </c>
      <c r="J181" s="599">
        <v>21320</v>
      </c>
      <c r="K181" s="599">
        <v>26018</v>
      </c>
      <c r="L181" s="599">
        <v>24329</v>
      </c>
      <c r="M181" s="599">
        <v>25888</v>
      </c>
      <c r="N181" s="599">
        <v>24065</v>
      </c>
      <c r="O181" s="599">
        <v>21192</v>
      </c>
      <c r="P181" s="599">
        <v>20435</v>
      </c>
      <c r="Q181" s="599">
        <v>17530.999999999902</v>
      </c>
      <c r="R181" s="599">
        <v>16911</v>
      </c>
      <c r="S181" s="169">
        <f t="shared" si="15"/>
        <v>245497.99999999991</v>
      </c>
      <c r="T181" s="122">
        <f>VLOOKUP($B181,'Tech Litons'!$A:$I,9,0)</f>
        <v>143</v>
      </c>
      <c r="U181" s="179">
        <f t="shared" si="18"/>
        <v>132.30069930069931</v>
      </c>
      <c r="V181" s="179">
        <f t="shared" si="18"/>
        <v>69.580419580419516</v>
      </c>
      <c r="W181" s="179">
        <f t="shared" si="18"/>
        <v>132.44755244755245</v>
      </c>
      <c r="X181" s="179">
        <f t="shared" si="18"/>
        <v>149.09090909090909</v>
      </c>
      <c r="Y181" s="179">
        <f t="shared" si="18"/>
        <v>181.94405594405595</v>
      </c>
      <c r="Z181" s="179">
        <f t="shared" si="18"/>
        <v>170.13286713286712</v>
      </c>
      <c r="AA181" s="179">
        <f t="shared" si="16"/>
        <v>181.03496503496504</v>
      </c>
      <c r="AB181" s="179">
        <f t="shared" si="16"/>
        <v>168.28671328671328</v>
      </c>
      <c r="AC181" s="179">
        <f t="shared" si="16"/>
        <v>148.19580419580419</v>
      </c>
      <c r="AD181" s="179">
        <f t="shared" si="16"/>
        <v>142.90209790209789</v>
      </c>
      <c r="AE181" s="179">
        <f t="shared" si="16"/>
        <v>122.5944055944049</v>
      </c>
      <c r="AF181" s="179">
        <f t="shared" si="16"/>
        <v>118.25874125874125</v>
      </c>
    </row>
    <row r="182" spans="2:32">
      <c r="B182" s="122">
        <f t="shared" si="17"/>
        <v>84163605</v>
      </c>
      <c r="C182" s="122" t="str">
        <f>VLOOKUP($B182,'Tech Litons'!$A:$I,3,0)</f>
        <v>BJ PTS</v>
      </c>
      <c r="D182" s="122" t="str">
        <f>VLOOKUP($B182,'Tech Litons'!$A:$I,4,0)</f>
        <v>BJ PTS</v>
      </c>
      <c r="E182" s="598" t="s">
        <v>419</v>
      </c>
      <c r="F182" s="598">
        <v>84163605</v>
      </c>
      <c r="G182" s="599">
        <v>13339.7682261555</v>
      </c>
      <c r="H182" s="599">
        <v>22221.255433566301</v>
      </c>
      <c r="I182" s="599">
        <v>24417.360857469601</v>
      </c>
      <c r="J182" s="599">
        <v>21206.750944004401</v>
      </c>
      <c r="K182" s="599">
        <v>20919.355844347501</v>
      </c>
      <c r="L182" s="599">
        <v>27120.1881181877</v>
      </c>
      <c r="M182" s="599">
        <v>22267.3631126582</v>
      </c>
      <c r="N182" s="599">
        <v>22090.892720449301</v>
      </c>
      <c r="O182" s="599">
        <v>21148.187558866699</v>
      </c>
      <c r="P182" s="599">
        <v>20044.126187497299</v>
      </c>
      <c r="Q182" s="599">
        <v>16650.303093276001</v>
      </c>
      <c r="R182" s="599">
        <v>13893.056339446901</v>
      </c>
      <c r="S182" s="169">
        <f t="shared" si="15"/>
        <v>245318.60843592536</v>
      </c>
      <c r="T182" s="122">
        <f>VLOOKUP($B182,'Tech Litons'!$A:$I,9,0)</f>
        <v>240</v>
      </c>
      <c r="U182" s="179">
        <f t="shared" si="18"/>
        <v>55.582367608981251</v>
      </c>
      <c r="V182" s="179">
        <f t="shared" si="18"/>
        <v>92.588564306526251</v>
      </c>
      <c r="W182" s="179">
        <f t="shared" si="18"/>
        <v>101.73900357279</v>
      </c>
      <c r="X182" s="179">
        <f t="shared" si="18"/>
        <v>88.36146226668501</v>
      </c>
      <c r="Y182" s="179">
        <f t="shared" si="18"/>
        <v>87.16398268478126</v>
      </c>
      <c r="Z182" s="179">
        <f t="shared" si="18"/>
        <v>113.00078382578208</v>
      </c>
      <c r="AA182" s="179">
        <f t="shared" si="16"/>
        <v>92.780679636075831</v>
      </c>
      <c r="AB182" s="179">
        <f t="shared" si="16"/>
        <v>92.045386335205421</v>
      </c>
      <c r="AC182" s="179">
        <f t="shared" si="16"/>
        <v>88.11744816194458</v>
      </c>
      <c r="AD182" s="179">
        <f t="shared" si="16"/>
        <v>83.517192447905416</v>
      </c>
      <c r="AE182" s="179">
        <f t="shared" si="16"/>
        <v>69.376262888650004</v>
      </c>
      <c r="AF182" s="179">
        <f t="shared" si="16"/>
        <v>57.887734747695418</v>
      </c>
    </row>
    <row r="183" spans="2:32">
      <c r="B183" s="122">
        <f t="shared" si="17"/>
        <v>64394583</v>
      </c>
      <c r="C183" s="122" t="str">
        <f>VLOOKUP($B183,'Tech Litons'!$A:$I,3,0)</f>
        <v>Sundaes</v>
      </c>
      <c r="D183" s="122" t="str">
        <f>VLOOKUP($B183,'Tech Litons'!$A:$I,4,0)</f>
        <v>SP1</v>
      </c>
      <c r="E183" s="598" t="s">
        <v>462</v>
      </c>
      <c r="F183" s="598">
        <v>64394583</v>
      </c>
      <c r="G183" s="599">
        <v>17111.160811139802</v>
      </c>
      <c r="H183" s="599">
        <v>23270.9936699014</v>
      </c>
      <c r="I183" s="599">
        <v>23860.648789394902</v>
      </c>
      <c r="J183" s="599">
        <v>23149.270984721199</v>
      </c>
      <c r="K183" s="599">
        <v>21954.487844462401</v>
      </c>
      <c r="L183" s="599">
        <v>31841.376337444901</v>
      </c>
      <c r="M183" s="599">
        <v>17273.902271905201</v>
      </c>
      <c r="N183" s="599">
        <v>18852.683326866201</v>
      </c>
      <c r="O183" s="599">
        <v>17533.184170166998</v>
      </c>
      <c r="P183" s="599">
        <v>19017.552781189101</v>
      </c>
      <c r="Q183" s="599">
        <v>16296.064861357399</v>
      </c>
      <c r="R183" s="599">
        <v>15098.429368991399</v>
      </c>
      <c r="S183" s="169">
        <f t="shared" si="15"/>
        <v>245259.75521754086</v>
      </c>
      <c r="T183" s="122">
        <f>VLOOKUP($B183,'Tech Litons'!$A:$I,9,0)</f>
        <v>240</v>
      </c>
      <c r="U183" s="179">
        <f t="shared" si="18"/>
        <v>71.296503379749169</v>
      </c>
      <c r="V183" s="179">
        <f t="shared" si="18"/>
        <v>96.962473624589165</v>
      </c>
      <c r="W183" s="179">
        <f t="shared" si="18"/>
        <v>99.419369955812087</v>
      </c>
      <c r="X183" s="179">
        <f t="shared" si="18"/>
        <v>96.455295769671665</v>
      </c>
      <c r="Y183" s="179">
        <f t="shared" si="18"/>
        <v>91.477032685259999</v>
      </c>
      <c r="Z183" s="179">
        <f t="shared" si="18"/>
        <v>132.67240140602041</v>
      </c>
      <c r="AA183" s="179">
        <f t="shared" si="16"/>
        <v>71.974592799605006</v>
      </c>
      <c r="AB183" s="179">
        <f t="shared" si="16"/>
        <v>78.552847195275845</v>
      </c>
      <c r="AC183" s="179">
        <f t="shared" si="16"/>
        <v>73.05493404236249</v>
      </c>
      <c r="AD183" s="179">
        <f t="shared" si="16"/>
        <v>79.23980325495458</v>
      </c>
      <c r="AE183" s="179">
        <f t="shared" si="16"/>
        <v>67.900270255655826</v>
      </c>
      <c r="AF183" s="179">
        <f t="shared" si="16"/>
        <v>62.910122370797495</v>
      </c>
    </row>
    <row r="184" spans="2:32">
      <c r="B184" s="122">
        <f t="shared" si="17"/>
        <v>67546042</v>
      </c>
      <c r="C184" s="122" t="str">
        <f>VLOOKUP($B184,'Tech Litons'!$A:$I,3,0)</f>
        <v>BJ PTS</v>
      </c>
      <c r="D184" s="122" t="str">
        <f>VLOOKUP($B184,'Tech Litons'!$A:$I,4,0)</f>
        <v>BJ PTS</v>
      </c>
      <c r="E184" s="598" t="s">
        <v>397</v>
      </c>
      <c r="F184" s="598">
        <v>67546042</v>
      </c>
      <c r="G184" s="599">
        <v>16411.572394725801</v>
      </c>
      <c r="H184" s="599">
        <v>23781.501879406798</v>
      </c>
      <c r="I184" s="599">
        <v>24753.477593422202</v>
      </c>
      <c r="J184" s="599">
        <v>21150.022654555502</v>
      </c>
      <c r="K184" s="599">
        <v>20223.952887273899</v>
      </c>
      <c r="L184" s="599">
        <v>25887.571422717901</v>
      </c>
      <c r="M184" s="599">
        <v>22780.743945968701</v>
      </c>
      <c r="N184" s="599">
        <v>21691.251846450301</v>
      </c>
      <c r="O184" s="599">
        <v>20263.826216898</v>
      </c>
      <c r="P184" s="599">
        <v>17380.148262974901</v>
      </c>
      <c r="Q184" s="599">
        <v>14922.5350112294</v>
      </c>
      <c r="R184" s="599">
        <v>15270.1220032368</v>
      </c>
      <c r="S184" s="169">
        <f t="shared" si="15"/>
        <v>244516.72611886024</v>
      </c>
      <c r="T184" s="122">
        <f>VLOOKUP($B184,'Tech Litons'!$A:$I,9,0)</f>
        <v>240</v>
      </c>
      <c r="U184" s="179">
        <f t="shared" si="18"/>
        <v>68.381551644690845</v>
      </c>
      <c r="V184" s="179">
        <f t="shared" si="18"/>
        <v>99.089591164194999</v>
      </c>
      <c r="W184" s="179">
        <f t="shared" si="18"/>
        <v>103.1394899725925</v>
      </c>
      <c r="X184" s="179">
        <f t="shared" si="18"/>
        <v>88.125094393981257</v>
      </c>
      <c r="Y184" s="179">
        <f t="shared" si="18"/>
        <v>84.266470363641247</v>
      </c>
      <c r="Z184" s="179">
        <f t="shared" si="18"/>
        <v>107.86488092799125</v>
      </c>
      <c r="AA184" s="179">
        <f t="shared" si="16"/>
        <v>94.919766441536254</v>
      </c>
      <c r="AB184" s="179">
        <f t="shared" si="16"/>
        <v>90.380216026876255</v>
      </c>
      <c r="AC184" s="179">
        <f t="shared" si="16"/>
        <v>84.432609237074999</v>
      </c>
      <c r="AD184" s="179">
        <f t="shared" si="16"/>
        <v>72.417284429062093</v>
      </c>
      <c r="AE184" s="179">
        <f t="shared" si="16"/>
        <v>62.177229213455831</v>
      </c>
      <c r="AF184" s="179">
        <f t="shared" si="16"/>
        <v>63.625508346819998</v>
      </c>
    </row>
    <row r="185" spans="2:32">
      <c r="B185" s="122">
        <f t="shared" si="17"/>
        <v>69564623</v>
      </c>
      <c r="C185" s="122" t="str">
        <f>VLOOKUP($B185,'Tech Litons'!$A:$I,3,0)</f>
        <v>48oz</v>
      </c>
      <c r="D185" s="122" t="str">
        <f>VLOOKUP($B185,'Tech Litons'!$A:$I,4,0)</f>
        <v>48oz</v>
      </c>
      <c r="E185" s="598" t="s">
        <v>1089</v>
      </c>
      <c r="F185" s="598">
        <v>69564623</v>
      </c>
      <c r="G185" s="599">
        <v>17919.126218822199</v>
      </c>
      <c r="H185" s="599">
        <v>17309.834392163601</v>
      </c>
      <c r="I185" s="599">
        <v>18187.571325519999</v>
      </c>
      <c r="J185" s="599">
        <v>26734.869978953098</v>
      </c>
      <c r="K185" s="599">
        <v>20198.468797920301</v>
      </c>
      <c r="L185" s="599">
        <v>19573.4397333989</v>
      </c>
      <c r="M185" s="599">
        <v>20885.315165982302</v>
      </c>
      <c r="N185" s="599">
        <v>18699.7311608155</v>
      </c>
      <c r="O185" s="599">
        <v>18427.331708294299</v>
      </c>
      <c r="P185" s="599">
        <v>23007.797804302099</v>
      </c>
      <c r="Q185" s="599">
        <v>22277.8306935619</v>
      </c>
      <c r="R185" s="599">
        <v>20370.958116903399</v>
      </c>
      <c r="S185" s="169">
        <f t="shared" si="15"/>
        <v>243592.2750966376</v>
      </c>
      <c r="T185" s="122">
        <f>VLOOKUP($B185,'Tech Litons'!$A:$I,9,0)</f>
        <v>176</v>
      </c>
      <c r="U185" s="179">
        <f t="shared" si="18"/>
        <v>101.81321715239886</v>
      </c>
      <c r="V185" s="179">
        <f t="shared" si="18"/>
        <v>98.351331773656824</v>
      </c>
      <c r="W185" s="179">
        <f t="shared" si="18"/>
        <v>103.33847344045454</v>
      </c>
      <c r="X185" s="179">
        <f t="shared" si="18"/>
        <v>151.90267033496079</v>
      </c>
      <c r="Y185" s="179">
        <f t="shared" si="18"/>
        <v>114.76402726091079</v>
      </c>
      <c r="Z185" s="179">
        <f t="shared" si="18"/>
        <v>111.21272575794829</v>
      </c>
      <c r="AA185" s="179">
        <f t="shared" si="16"/>
        <v>118.66656344308126</v>
      </c>
      <c r="AB185" s="179">
        <f t="shared" si="16"/>
        <v>106.24847250463353</v>
      </c>
      <c r="AC185" s="179">
        <f t="shared" si="16"/>
        <v>104.70074834258125</v>
      </c>
      <c r="AD185" s="179">
        <f t="shared" si="16"/>
        <v>130.72612388808011</v>
      </c>
      <c r="AE185" s="179">
        <f t="shared" si="16"/>
        <v>126.57858348614717</v>
      </c>
      <c r="AF185" s="179">
        <f t="shared" si="16"/>
        <v>115.7440802096784</v>
      </c>
    </row>
    <row r="186" spans="2:32">
      <c r="B186" s="122">
        <f t="shared" si="17"/>
        <v>68354586</v>
      </c>
      <c r="C186" s="122" t="str">
        <f>VLOOKUP($B186,'Tech Litons'!$A:$I,3,0)</f>
        <v>Topped</v>
      </c>
      <c r="D186" s="122" t="str">
        <f>VLOOKUP($B186,'Tech Litons'!$A:$I,4,0)</f>
        <v>SP1</v>
      </c>
      <c r="E186" s="598" t="s">
        <v>361</v>
      </c>
      <c r="F186" s="598">
        <v>68354586</v>
      </c>
      <c r="G186" s="599">
        <v>14611.9668204277</v>
      </c>
      <c r="H186" s="599">
        <v>21502.6354658481</v>
      </c>
      <c r="I186" s="599">
        <v>22588.105343642801</v>
      </c>
      <c r="J186" s="599">
        <v>19248.6933373785</v>
      </c>
      <c r="K186" s="599">
        <v>19891.795207468898</v>
      </c>
      <c r="L186" s="599">
        <v>24339.318635506399</v>
      </c>
      <c r="M186" s="599">
        <v>17471.902449149999</v>
      </c>
      <c r="N186" s="599">
        <v>22292.830879131299</v>
      </c>
      <c r="O186" s="599">
        <v>18345.4106035814</v>
      </c>
      <c r="P186" s="599">
        <v>20704.101503833299</v>
      </c>
      <c r="Q186" s="599">
        <v>17087.746325583099</v>
      </c>
      <c r="R186" s="599">
        <v>16728.023715196599</v>
      </c>
      <c r="S186" s="425">
        <f t="shared" si="15"/>
        <v>234812.53028674814</v>
      </c>
      <c r="T186" s="122">
        <f>VLOOKUP($B186,'Tech Litons'!$A:$I,9,0)</f>
        <v>240</v>
      </c>
      <c r="U186" s="179">
        <f t="shared" si="18"/>
        <v>60.883195085115418</v>
      </c>
      <c r="V186" s="179">
        <f t="shared" si="18"/>
        <v>89.594314441033745</v>
      </c>
      <c r="W186" s="179">
        <f t="shared" si="18"/>
        <v>94.117105598511671</v>
      </c>
      <c r="X186" s="179">
        <f t="shared" si="18"/>
        <v>80.202888905743748</v>
      </c>
      <c r="Y186" s="179">
        <f t="shared" si="18"/>
        <v>82.882480031120409</v>
      </c>
      <c r="Z186" s="179">
        <f t="shared" si="18"/>
        <v>101.41382764794334</v>
      </c>
      <c r="AA186" s="179">
        <f t="shared" si="16"/>
        <v>72.799593538124995</v>
      </c>
      <c r="AB186" s="179">
        <f t="shared" si="16"/>
        <v>92.886795329713749</v>
      </c>
      <c r="AC186" s="179">
        <f t="shared" si="16"/>
        <v>76.43921084825584</v>
      </c>
      <c r="AD186" s="179">
        <f t="shared" si="16"/>
        <v>86.267089599305407</v>
      </c>
      <c r="AE186" s="179">
        <f t="shared" si="16"/>
        <v>71.198943023262913</v>
      </c>
      <c r="AF186" s="179">
        <f t="shared" si="16"/>
        <v>69.700098813319158</v>
      </c>
    </row>
    <row r="187" spans="2:32">
      <c r="B187" s="122">
        <f t="shared" si="17"/>
        <v>64341107</v>
      </c>
      <c r="C187" s="122" t="str">
        <f>VLOOKUP($B187,'Tech Litons'!$A:$I,3,0)</f>
        <v>PG</v>
      </c>
      <c r="D187" s="122" t="str">
        <f>VLOOKUP($B187,'Tech Litons'!$A:$I,4,0)</f>
        <v>PG</v>
      </c>
      <c r="E187" s="598" t="s">
        <v>1090</v>
      </c>
      <c r="F187" s="598">
        <v>64341107</v>
      </c>
      <c r="G187" s="599">
        <v>12911.5167887521</v>
      </c>
      <c r="H187" s="599">
        <v>19083.748712397301</v>
      </c>
      <c r="I187" s="599">
        <v>15567.496642874899</v>
      </c>
      <c r="J187" s="599">
        <v>16365.0779898814</v>
      </c>
      <c r="K187" s="599">
        <v>33697.335626232598</v>
      </c>
      <c r="L187" s="599">
        <v>30060.485334685502</v>
      </c>
      <c r="M187" s="599">
        <v>34945.033352771301</v>
      </c>
      <c r="N187" s="599">
        <v>19362.0909753464</v>
      </c>
      <c r="O187" s="599">
        <v>17201.741716281998</v>
      </c>
      <c r="P187" s="599">
        <v>9581.0560222267195</v>
      </c>
      <c r="Q187" s="599">
        <v>13972.6106407272</v>
      </c>
      <c r="R187" s="599">
        <v>12037.792546811699</v>
      </c>
      <c r="S187" s="169">
        <f t="shared" si="15"/>
        <v>234785.9863489891</v>
      </c>
      <c r="T187" s="122">
        <f>VLOOKUP($B187,'Tech Litons'!$A:$I,9,0)</f>
        <v>130</v>
      </c>
      <c r="U187" s="179">
        <f t="shared" si="18"/>
        <v>99.319359913477697</v>
      </c>
      <c r="V187" s="179">
        <f t="shared" si="18"/>
        <v>146.79806701844078</v>
      </c>
      <c r="W187" s="179">
        <f t="shared" si="18"/>
        <v>119.74997417596076</v>
      </c>
      <c r="X187" s="179">
        <f t="shared" si="18"/>
        <v>125.88521530678</v>
      </c>
      <c r="Y187" s="179">
        <f t="shared" si="18"/>
        <v>259.21027404794307</v>
      </c>
      <c r="Z187" s="179">
        <f t="shared" si="18"/>
        <v>231.23450257450386</v>
      </c>
      <c r="AA187" s="179">
        <f t="shared" si="16"/>
        <v>268.80794886747157</v>
      </c>
      <c r="AB187" s="179">
        <f t="shared" si="16"/>
        <v>148.93916134881846</v>
      </c>
      <c r="AC187" s="179">
        <f t="shared" si="16"/>
        <v>132.32109012524614</v>
      </c>
      <c r="AD187" s="179">
        <f t="shared" si="16"/>
        <v>73.700430940205536</v>
      </c>
      <c r="AE187" s="179">
        <f t="shared" si="16"/>
        <v>107.48162031328616</v>
      </c>
      <c r="AF187" s="179">
        <f t="shared" si="16"/>
        <v>92.598404206243842</v>
      </c>
    </row>
    <row r="188" spans="2:32">
      <c r="B188" s="122">
        <f t="shared" si="17"/>
        <v>64325568</v>
      </c>
      <c r="C188" s="122" t="str">
        <f>VLOOKUP($B188,'Tech Litons'!$A:$I,3,0)</f>
        <v>Yasso Sticks</v>
      </c>
      <c r="D188" s="122" t="str">
        <f>VLOOKUP($B188,'Tech Litons'!$A:$I,4,0)</f>
        <v>Yasso Sticks</v>
      </c>
      <c r="E188" s="598" t="s">
        <v>1033</v>
      </c>
      <c r="F188" s="598">
        <v>64325568</v>
      </c>
      <c r="G188" s="599">
        <v>15680.836282336901</v>
      </c>
      <c r="H188" s="599">
        <v>16106.219775609001</v>
      </c>
      <c r="I188" s="599">
        <v>21980.6770676222</v>
      </c>
      <c r="J188" s="599">
        <v>18662.0051077358</v>
      </c>
      <c r="K188" s="599">
        <v>20747.3701077681</v>
      </c>
      <c r="L188" s="599">
        <v>23960.2146626207</v>
      </c>
      <c r="M188" s="599">
        <v>27070.676985305501</v>
      </c>
      <c r="N188" s="599">
        <v>22752.4594843632</v>
      </c>
      <c r="O188" s="599">
        <v>22898.295299158199</v>
      </c>
      <c r="P188" s="599">
        <v>16818.3320125828</v>
      </c>
      <c r="Q188" s="599">
        <v>15001.4439459183</v>
      </c>
      <c r="R188" s="599">
        <v>12840.6863572404</v>
      </c>
      <c r="S188" s="169">
        <f t="shared" si="15"/>
        <v>234519.21708826112</v>
      </c>
      <c r="T188" s="122">
        <f>VLOOKUP($B188,'Tech Litons'!$A:$I,9,0)</f>
        <v>187</v>
      </c>
      <c r="U188" s="179">
        <f t="shared" si="18"/>
        <v>83.854739477737439</v>
      </c>
      <c r="V188" s="179">
        <f t="shared" si="18"/>
        <v>86.129517516625668</v>
      </c>
      <c r="W188" s="179">
        <f t="shared" si="18"/>
        <v>117.54372763434331</v>
      </c>
      <c r="X188" s="179">
        <f t="shared" si="18"/>
        <v>99.796818757945459</v>
      </c>
      <c r="Y188" s="179">
        <f t="shared" si="18"/>
        <v>110.94850325009679</v>
      </c>
      <c r="Z188" s="179">
        <f t="shared" si="18"/>
        <v>128.12949017444225</v>
      </c>
      <c r="AA188" s="179">
        <f t="shared" si="16"/>
        <v>144.76297853104546</v>
      </c>
      <c r="AB188" s="179">
        <f t="shared" si="16"/>
        <v>121.67090633349305</v>
      </c>
      <c r="AC188" s="179">
        <f t="shared" si="16"/>
        <v>122.45077700084599</v>
      </c>
      <c r="AD188" s="179">
        <f t="shared" si="16"/>
        <v>89.937604345362558</v>
      </c>
      <c r="AE188" s="179">
        <f t="shared" si="16"/>
        <v>80.221625379242241</v>
      </c>
      <c r="AF188" s="179">
        <f t="shared" si="16"/>
        <v>68.666771963852412</v>
      </c>
    </row>
    <row r="189" spans="2:32">
      <c r="B189" s="122">
        <f t="shared" si="17"/>
        <v>68776425</v>
      </c>
      <c r="C189" s="122" t="e">
        <f>VLOOKUP($B189,'Tech Litons'!$A:$I,3,0)</f>
        <v>#N/A</v>
      </c>
      <c r="D189" s="122" t="e">
        <f>VLOOKUP($B189,'Tech Litons'!$A:$I,4,0)</f>
        <v>#N/A</v>
      </c>
      <c r="E189" s="598" t="s">
        <v>891</v>
      </c>
      <c r="F189" s="598">
        <v>68776425</v>
      </c>
      <c r="G189" s="599">
        <v>8009.7735116777003</v>
      </c>
      <c r="H189" s="599">
        <v>11815.484317133099</v>
      </c>
      <c r="I189" s="599">
        <v>15636.502142851999</v>
      </c>
      <c r="J189" s="599">
        <v>21870.9460907416</v>
      </c>
      <c r="K189" s="599">
        <v>22057.348226614002</v>
      </c>
      <c r="L189" s="599">
        <v>34278.717376504501</v>
      </c>
      <c r="M189" s="599">
        <v>27088.194805250601</v>
      </c>
      <c r="N189" s="599">
        <v>24263.2302845146</v>
      </c>
      <c r="O189" s="599">
        <v>20434.6517603063</v>
      </c>
      <c r="P189" s="599">
        <v>19079.513991624201</v>
      </c>
      <c r="Q189" s="599">
        <v>14788.820497946001</v>
      </c>
      <c r="R189" s="599">
        <v>14300.755126644999</v>
      </c>
      <c r="S189" s="169">
        <f t="shared" si="15"/>
        <v>233623.93813180961</v>
      </c>
      <c r="T189" s="122" t="e">
        <f>VLOOKUP($B189,'Tech Litons'!$A:$I,9,0)</f>
        <v>#N/A</v>
      </c>
      <c r="U189" s="179" t="e">
        <f t="shared" si="18"/>
        <v>#N/A</v>
      </c>
      <c r="V189" s="179" t="e">
        <f t="shared" si="18"/>
        <v>#N/A</v>
      </c>
      <c r="W189" s="179" t="e">
        <f t="shared" si="18"/>
        <v>#N/A</v>
      </c>
      <c r="X189" s="179" t="e">
        <f t="shared" si="18"/>
        <v>#N/A</v>
      </c>
      <c r="Y189" s="179" t="e">
        <f t="shared" si="18"/>
        <v>#N/A</v>
      </c>
      <c r="Z189" s="179" t="e">
        <f t="shared" si="18"/>
        <v>#N/A</v>
      </c>
      <c r="AA189" s="179" t="e">
        <f t="shared" si="16"/>
        <v>#N/A</v>
      </c>
      <c r="AB189" s="179" t="e">
        <f t="shared" si="16"/>
        <v>#N/A</v>
      </c>
      <c r="AC189" s="179" t="e">
        <f t="shared" si="16"/>
        <v>#N/A</v>
      </c>
      <c r="AD189" s="179" t="e">
        <f t="shared" si="16"/>
        <v>#N/A</v>
      </c>
      <c r="AE189" s="179" t="e">
        <f t="shared" si="16"/>
        <v>#N/A</v>
      </c>
      <c r="AF189" s="179" t="e">
        <f t="shared" si="16"/>
        <v>#N/A</v>
      </c>
    </row>
    <row r="190" spans="2:32">
      <c r="B190" s="122">
        <f t="shared" si="17"/>
        <v>68782716</v>
      </c>
      <c r="C190" s="122" t="e">
        <f>VLOOKUP($B190,'Tech Litons'!$A:$I,3,0)</f>
        <v>#N/A</v>
      </c>
      <c r="D190" s="122" t="e">
        <f>VLOOKUP($B190,'Tech Litons'!$A:$I,4,0)</f>
        <v>#N/A</v>
      </c>
      <c r="E190" s="598" t="s">
        <v>387</v>
      </c>
      <c r="F190" s="598">
        <v>68782716</v>
      </c>
      <c r="G190" s="599">
        <v>16648.835384968199</v>
      </c>
      <c r="H190" s="599">
        <v>15984.289446512101</v>
      </c>
      <c r="I190" s="599">
        <v>19954.526244181001</v>
      </c>
      <c r="J190" s="599">
        <v>19987.809036775601</v>
      </c>
      <c r="K190" s="599">
        <v>21700.630236545599</v>
      </c>
      <c r="L190" s="599">
        <v>27716.790960767601</v>
      </c>
      <c r="M190" s="599">
        <v>21279.3837382362</v>
      </c>
      <c r="N190" s="599">
        <v>22072.7251638089</v>
      </c>
      <c r="O190" s="599">
        <v>18424.156285458499</v>
      </c>
      <c r="P190" s="599">
        <v>18513.9551345578</v>
      </c>
      <c r="Q190" s="599">
        <v>14014.079088435699</v>
      </c>
      <c r="R190" s="599">
        <v>12476.946396883401</v>
      </c>
      <c r="S190" s="169">
        <f t="shared" si="15"/>
        <v>228774.12711713064</v>
      </c>
      <c r="T190" s="122" t="e">
        <f>VLOOKUP($B190,'Tech Litons'!$A:$I,9,0)</f>
        <v>#N/A</v>
      </c>
      <c r="U190" s="179" t="e">
        <f t="shared" si="18"/>
        <v>#N/A</v>
      </c>
      <c r="V190" s="179" t="e">
        <f t="shared" si="18"/>
        <v>#N/A</v>
      </c>
      <c r="W190" s="179" t="e">
        <f t="shared" si="18"/>
        <v>#N/A</v>
      </c>
      <c r="X190" s="179" t="e">
        <f t="shared" si="18"/>
        <v>#N/A</v>
      </c>
      <c r="Y190" s="179" t="e">
        <f t="shared" si="18"/>
        <v>#N/A</v>
      </c>
      <c r="Z190" s="179" t="e">
        <f t="shared" si="18"/>
        <v>#N/A</v>
      </c>
      <c r="AA190" s="179" t="e">
        <f t="shared" si="16"/>
        <v>#N/A</v>
      </c>
      <c r="AB190" s="179" t="e">
        <f t="shared" si="16"/>
        <v>#N/A</v>
      </c>
      <c r="AC190" s="179" t="e">
        <f t="shared" si="16"/>
        <v>#N/A</v>
      </c>
      <c r="AD190" s="179" t="e">
        <f t="shared" si="16"/>
        <v>#N/A</v>
      </c>
      <c r="AE190" s="179" t="e">
        <f t="shared" si="16"/>
        <v>#N/A</v>
      </c>
      <c r="AF190" s="179" t="e">
        <f t="shared" si="16"/>
        <v>#N/A</v>
      </c>
    </row>
    <row r="191" spans="2:32">
      <c r="B191" s="122">
        <f t="shared" si="17"/>
        <v>68817800</v>
      </c>
      <c r="C191" s="122" t="str">
        <f>VLOOKUP($B191,'Tech Litons'!$A:$I,3,0)</f>
        <v>48oz</v>
      </c>
      <c r="D191" s="122" t="str">
        <f>VLOOKUP($B191,'Tech Litons'!$A:$I,4,0)</f>
        <v>48oz</v>
      </c>
      <c r="E191" s="598" t="s">
        <v>996</v>
      </c>
      <c r="F191" s="598">
        <v>68817800</v>
      </c>
      <c r="G191" s="599">
        <v>18347.820956014199</v>
      </c>
      <c r="H191" s="599">
        <v>16296.519624831801</v>
      </c>
      <c r="I191" s="599">
        <v>18106.186931591401</v>
      </c>
      <c r="J191" s="599">
        <v>23329.8607296585</v>
      </c>
      <c r="K191" s="599">
        <v>20422.8980340015</v>
      </c>
      <c r="L191" s="599">
        <v>27447.1175764418</v>
      </c>
      <c r="M191" s="599">
        <v>20468.3959895027</v>
      </c>
      <c r="N191" s="599">
        <v>19521.7821481633</v>
      </c>
      <c r="O191" s="599">
        <v>12782.911614423199</v>
      </c>
      <c r="P191" s="599">
        <v>15941.6730576764</v>
      </c>
      <c r="Q191" s="599">
        <v>19318.771862202801</v>
      </c>
      <c r="R191" s="599">
        <v>16043.257105896801</v>
      </c>
      <c r="S191" s="169">
        <f t="shared" si="15"/>
        <v>228027.1956304044</v>
      </c>
      <c r="T191" s="122">
        <f>VLOOKUP($B191,'Tech Litons'!$A:$I,9,0)</f>
        <v>176</v>
      </c>
      <c r="U191" s="179">
        <f t="shared" si="18"/>
        <v>104.24898270462613</v>
      </c>
      <c r="V191" s="179">
        <f t="shared" si="18"/>
        <v>92.593861504726135</v>
      </c>
      <c r="W191" s="179">
        <f t="shared" si="18"/>
        <v>102.87606211131478</v>
      </c>
      <c r="X191" s="179">
        <f t="shared" si="18"/>
        <v>132.55602687305966</v>
      </c>
      <c r="Y191" s="179">
        <f t="shared" si="18"/>
        <v>116.03919337500852</v>
      </c>
      <c r="Z191" s="179">
        <f t="shared" si="18"/>
        <v>155.94953168432841</v>
      </c>
      <c r="AA191" s="179">
        <f t="shared" si="16"/>
        <v>116.2977044858108</v>
      </c>
      <c r="AB191" s="179">
        <f t="shared" si="16"/>
        <v>110.91921675092784</v>
      </c>
      <c r="AC191" s="179">
        <f t="shared" si="16"/>
        <v>72.630179627404544</v>
      </c>
      <c r="AD191" s="179">
        <f t="shared" si="16"/>
        <v>90.577687827706825</v>
      </c>
      <c r="AE191" s="179">
        <f t="shared" si="16"/>
        <v>109.76574921706137</v>
      </c>
      <c r="AF191" s="179">
        <f t="shared" si="16"/>
        <v>91.15486991986819</v>
      </c>
    </row>
    <row r="192" spans="2:32">
      <c r="B192" s="122">
        <f t="shared" si="17"/>
        <v>69986508</v>
      </c>
      <c r="C192" s="122" t="str">
        <f>VLOOKUP($B192,'Tech Litons'!$A:$I,3,0)</f>
        <v>BJ PTS</v>
      </c>
      <c r="D192" s="122" t="str">
        <f>VLOOKUP($B192,'Tech Litons'!$A:$I,4,0)</f>
        <v>BJ PTS</v>
      </c>
      <c r="E192" s="598" t="s">
        <v>935</v>
      </c>
      <c r="F192" s="598">
        <v>69986508</v>
      </c>
      <c r="G192" s="600">
        <v>13793.499748763001</v>
      </c>
      <c r="H192" s="599">
        <v>19687.277579365302</v>
      </c>
      <c r="I192" s="599">
        <v>22047.1527792468</v>
      </c>
      <c r="J192" s="599">
        <v>19300.4094512872</v>
      </c>
      <c r="K192" s="599">
        <v>20592.948619479001</v>
      </c>
      <c r="L192" s="599">
        <v>22506.8277449249</v>
      </c>
      <c r="M192" s="599">
        <v>19132.5245867101</v>
      </c>
      <c r="N192" s="599">
        <v>21610.260082344299</v>
      </c>
      <c r="O192" s="599">
        <v>18696.334260608801</v>
      </c>
      <c r="P192" s="599">
        <v>19515.894487435999</v>
      </c>
      <c r="Q192" s="599">
        <v>15908.9552521603</v>
      </c>
      <c r="R192" s="599">
        <v>15105.592862138699</v>
      </c>
      <c r="S192" s="169">
        <f t="shared" si="15"/>
        <v>227897.67745446434</v>
      </c>
      <c r="T192" s="122">
        <f>VLOOKUP($B192,'Tech Litons'!$A:$I,9,0)</f>
        <v>240</v>
      </c>
      <c r="U192" s="179">
        <f t="shared" si="18"/>
        <v>57.472915619845836</v>
      </c>
      <c r="V192" s="179">
        <f t="shared" si="18"/>
        <v>82.030323247355426</v>
      </c>
      <c r="W192" s="179">
        <f t="shared" si="18"/>
        <v>91.863136580195004</v>
      </c>
      <c r="X192" s="179">
        <f t="shared" si="18"/>
        <v>80.41837271369667</v>
      </c>
      <c r="Y192" s="179">
        <f t="shared" si="18"/>
        <v>85.803952581162505</v>
      </c>
      <c r="Z192" s="179">
        <f t="shared" si="18"/>
        <v>93.778448937187079</v>
      </c>
      <c r="AA192" s="179">
        <f t="shared" si="16"/>
        <v>79.718852444625412</v>
      </c>
      <c r="AB192" s="179">
        <f t="shared" si="16"/>
        <v>90.042750343101247</v>
      </c>
      <c r="AC192" s="179">
        <f t="shared" si="16"/>
        <v>77.901392752536665</v>
      </c>
      <c r="AD192" s="179">
        <f t="shared" si="16"/>
        <v>81.316227030983327</v>
      </c>
      <c r="AE192" s="179">
        <f t="shared" si="16"/>
        <v>66.287313550667918</v>
      </c>
      <c r="AF192" s="179">
        <f t="shared" si="16"/>
        <v>62.939970258911245</v>
      </c>
    </row>
    <row r="193" spans="2:32">
      <c r="B193" s="122">
        <f t="shared" si="17"/>
        <v>68917388</v>
      </c>
      <c r="C193" s="122" t="str">
        <f>VLOOKUP($B193,'Tech Litons'!$A:$I,3,0)</f>
        <v>EFW</v>
      </c>
      <c r="D193" s="122" t="str">
        <f>VLOOKUP($B193,'Tech Litons'!$A:$I,4,0)</f>
        <v>EFW</v>
      </c>
      <c r="E193" s="598" t="s">
        <v>561</v>
      </c>
      <c r="F193" s="598">
        <v>68917388</v>
      </c>
      <c r="G193" s="599">
        <v>7608.5999999999904</v>
      </c>
      <c r="H193" s="599">
        <v>9870.2900000000009</v>
      </c>
      <c r="I193" s="599">
        <v>19249.87</v>
      </c>
      <c r="J193" s="599">
        <v>19854.439999999999</v>
      </c>
      <c r="K193" s="599">
        <v>26141.45</v>
      </c>
      <c r="L193" s="599">
        <v>28128.61</v>
      </c>
      <c r="M193" s="599">
        <v>25257.34</v>
      </c>
      <c r="N193" s="599">
        <v>25318.31</v>
      </c>
      <c r="O193" s="599">
        <v>18457.88</v>
      </c>
      <c r="P193" s="599">
        <v>16072.87</v>
      </c>
      <c r="Q193" s="599">
        <v>15789.34</v>
      </c>
      <c r="R193" s="599">
        <v>15467.1899999999</v>
      </c>
      <c r="S193" s="169">
        <f t="shared" si="15"/>
        <v>227216.18999999989</v>
      </c>
      <c r="T193" s="122">
        <f>VLOOKUP($B193,'Tech Litons'!$A:$I,9,0)</f>
        <v>322</v>
      </c>
      <c r="U193" s="179">
        <f t="shared" si="18"/>
        <v>23.62919254658382</v>
      </c>
      <c r="V193" s="179">
        <f t="shared" si="18"/>
        <v>30.653074534161494</v>
      </c>
      <c r="W193" s="179">
        <f t="shared" si="18"/>
        <v>59.782204968944093</v>
      </c>
      <c r="X193" s="179">
        <f t="shared" si="18"/>
        <v>61.659751552795029</v>
      </c>
      <c r="Y193" s="179">
        <f t="shared" si="18"/>
        <v>81.184627329192551</v>
      </c>
      <c r="Z193" s="179">
        <f t="shared" si="18"/>
        <v>87.355931677018631</v>
      </c>
      <c r="AA193" s="179">
        <f t="shared" si="16"/>
        <v>78.438944099378887</v>
      </c>
      <c r="AB193" s="179">
        <f t="shared" si="16"/>
        <v>78.628291925465845</v>
      </c>
      <c r="AC193" s="179">
        <f t="shared" si="16"/>
        <v>57.322608695652178</v>
      </c>
      <c r="AD193" s="179">
        <f t="shared" si="16"/>
        <v>49.915745341614908</v>
      </c>
      <c r="AE193" s="179">
        <f t="shared" si="16"/>
        <v>49.03521739130435</v>
      </c>
      <c r="AF193" s="179">
        <f t="shared" si="16"/>
        <v>48.034751552794724</v>
      </c>
    </row>
    <row r="194" spans="2:32">
      <c r="B194" s="122">
        <f t="shared" si="17"/>
        <v>69665113</v>
      </c>
      <c r="C194" s="122" t="str">
        <f>VLOOKUP($B194,'Tech Litons'!$A:$I,3,0)</f>
        <v>Dough Bites</v>
      </c>
      <c r="D194" s="122" t="str">
        <f>VLOOKUP($B194,'Tech Litons'!$A:$I,4,0)</f>
        <v>Dough Bites</v>
      </c>
      <c r="E194" s="598" t="s">
        <v>896</v>
      </c>
      <c r="F194" s="598">
        <v>69665113</v>
      </c>
      <c r="G194" s="599">
        <v>16784.806964575298</v>
      </c>
      <c r="H194" s="599">
        <v>17325.892158111401</v>
      </c>
      <c r="I194" s="599">
        <v>22707.1148426072</v>
      </c>
      <c r="J194" s="599">
        <v>23193.553108742701</v>
      </c>
      <c r="K194" s="599">
        <v>21417.0524751349</v>
      </c>
      <c r="L194" s="599">
        <v>20781.468776774102</v>
      </c>
      <c r="M194" s="599">
        <v>20598.195650029698</v>
      </c>
      <c r="N194" s="599">
        <v>16899.123230264198</v>
      </c>
      <c r="O194" s="599">
        <v>13843.004536951399</v>
      </c>
      <c r="P194" s="599">
        <v>18351.053210681101</v>
      </c>
      <c r="Q194" s="599">
        <v>15915.32</v>
      </c>
      <c r="R194" s="599">
        <v>17101.78</v>
      </c>
      <c r="S194" s="169">
        <f t="shared" si="15"/>
        <v>224918.36495387199</v>
      </c>
      <c r="T194" s="122">
        <f>VLOOKUP($B194,'Tech Litons'!$A:$I,9,0)</f>
        <v>256</v>
      </c>
      <c r="U194" s="179">
        <f t="shared" si="18"/>
        <v>65.56565220537226</v>
      </c>
      <c r="V194" s="179">
        <f t="shared" si="18"/>
        <v>67.67926624262266</v>
      </c>
      <c r="W194" s="179">
        <f t="shared" si="18"/>
        <v>88.699667353934373</v>
      </c>
      <c r="X194" s="179">
        <f t="shared" si="18"/>
        <v>90.599816831026175</v>
      </c>
      <c r="Y194" s="179">
        <f t="shared" si="18"/>
        <v>83.660361230995704</v>
      </c>
      <c r="Z194" s="179">
        <f t="shared" si="18"/>
        <v>81.177612409273834</v>
      </c>
      <c r="AA194" s="179">
        <f t="shared" si="16"/>
        <v>80.461701757928509</v>
      </c>
      <c r="AB194" s="179">
        <f t="shared" si="16"/>
        <v>66.012200118219525</v>
      </c>
      <c r="AC194" s="179">
        <f t="shared" si="16"/>
        <v>54.074236472466403</v>
      </c>
      <c r="AD194" s="179">
        <f t="shared" si="16"/>
        <v>71.683801604223049</v>
      </c>
      <c r="AE194" s="179">
        <f t="shared" si="16"/>
        <v>62.169218749999999</v>
      </c>
      <c r="AF194" s="179">
        <f t="shared" si="16"/>
        <v>66.803828124999995</v>
      </c>
    </row>
    <row r="195" spans="2:32">
      <c r="B195" s="122">
        <f t="shared" si="17"/>
        <v>64325625</v>
      </c>
      <c r="C195" s="122" t="str">
        <f>VLOOKUP($B195,'Tech Litons'!$A:$I,3,0)</f>
        <v>Yasso Poppables</v>
      </c>
      <c r="D195" s="122" t="str">
        <f>VLOOKUP($B195,'Tech Litons'!$A:$I,4,0)</f>
        <v>Yasso Poppables</v>
      </c>
      <c r="E195" s="598" t="s">
        <v>578</v>
      </c>
      <c r="F195" s="598">
        <v>64325625</v>
      </c>
      <c r="G195" s="599">
        <v>15318.456827542101</v>
      </c>
      <c r="H195" s="599">
        <v>16325.494385312601</v>
      </c>
      <c r="I195" s="599">
        <v>18789.9880805502</v>
      </c>
      <c r="J195" s="599">
        <v>21987.371314954202</v>
      </c>
      <c r="K195" s="599">
        <v>16173.7963224095</v>
      </c>
      <c r="L195" s="599">
        <v>19442.834106951301</v>
      </c>
      <c r="M195" s="599">
        <v>26886.641966093299</v>
      </c>
      <c r="N195" s="599">
        <v>23151.126440181</v>
      </c>
      <c r="O195" s="599">
        <v>19301.587322599298</v>
      </c>
      <c r="P195" s="599">
        <v>15285.4254388876</v>
      </c>
      <c r="Q195" s="599">
        <v>15873.5598157933</v>
      </c>
      <c r="R195" s="599">
        <v>16351.8555574611</v>
      </c>
      <c r="S195" s="169">
        <f t="shared" si="15"/>
        <v>224888.13757873548</v>
      </c>
      <c r="T195" s="122">
        <f>VLOOKUP($B195,'Tech Litons'!$A:$I,9,0)</f>
        <v>200</v>
      </c>
      <c r="U195" s="179">
        <f t="shared" si="18"/>
        <v>76.592284137710507</v>
      </c>
      <c r="V195" s="179">
        <f t="shared" si="18"/>
        <v>81.627471926563004</v>
      </c>
      <c r="W195" s="179">
        <f t="shared" si="18"/>
        <v>93.949940402750997</v>
      </c>
      <c r="X195" s="179">
        <f t="shared" si="18"/>
        <v>109.93685657477101</v>
      </c>
      <c r="Y195" s="179">
        <f t="shared" si="18"/>
        <v>80.868981612047506</v>
      </c>
      <c r="Z195" s="179">
        <f t="shared" si="18"/>
        <v>97.214170534756505</v>
      </c>
      <c r="AA195" s="179">
        <f t="shared" si="16"/>
        <v>134.4332098304665</v>
      </c>
      <c r="AB195" s="179">
        <f t="shared" si="16"/>
        <v>115.755632200905</v>
      </c>
      <c r="AC195" s="179">
        <f t="shared" si="16"/>
        <v>96.507936612996488</v>
      </c>
      <c r="AD195" s="179">
        <f t="shared" si="16"/>
        <v>76.427127194438</v>
      </c>
      <c r="AE195" s="179">
        <f t="shared" si="16"/>
        <v>79.367799078966499</v>
      </c>
      <c r="AF195" s="179">
        <f t="shared" si="16"/>
        <v>81.759277787305507</v>
      </c>
    </row>
    <row r="196" spans="2:32">
      <c r="B196" s="122">
        <f t="shared" si="17"/>
        <v>69572658</v>
      </c>
      <c r="C196" s="122" t="str">
        <f>VLOOKUP($B196,'Tech Litons'!$A:$I,3,0)</f>
        <v>MG Sticks</v>
      </c>
      <c r="D196" s="122" t="str">
        <f>VLOOKUP($B196,'Tech Litons'!$A:$I,4,0)</f>
        <v>MG Sticks</v>
      </c>
      <c r="E196" s="598" t="s">
        <v>917</v>
      </c>
      <c r="F196" s="598">
        <v>69572658</v>
      </c>
      <c r="G196" s="599">
        <v>15969.2373552016</v>
      </c>
      <c r="H196" s="599">
        <v>16407.7834879437</v>
      </c>
      <c r="I196" s="599">
        <v>23189.559027392799</v>
      </c>
      <c r="J196" s="599">
        <v>18781.864262619401</v>
      </c>
      <c r="K196" s="599">
        <v>22101.2514063833</v>
      </c>
      <c r="L196" s="599">
        <v>22983.0334380038</v>
      </c>
      <c r="M196" s="599">
        <v>23636.0315775489</v>
      </c>
      <c r="N196" s="599">
        <v>18976.937505797599</v>
      </c>
      <c r="O196" s="599">
        <v>16014.442099942</v>
      </c>
      <c r="P196" s="599">
        <v>20346.4151876668</v>
      </c>
      <c r="Q196" s="599">
        <v>13166.130912239199</v>
      </c>
      <c r="R196" s="599">
        <v>11933.775923355401</v>
      </c>
      <c r="S196" s="169">
        <f t="shared" ref="S196:S259" si="19">SUM(G196:R196)</f>
        <v>223506.46218409453</v>
      </c>
      <c r="T196" s="122">
        <f>VLOOKUP($B196,'Tech Litons'!$A:$I,9,0)</f>
        <v>210</v>
      </c>
      <c r="U196" s="179">
        <f t="shared" si="18"/>
        <v>76.043987405721907</v>
      </c>
      <c r="V196" s="179">
        <f t="shared" si="18"/>
        <v>78.132302323541424</v>
      </c>
      <c r="W196" s="179">
        <f t="shared" si="18"/>
        <v>110.42647155901334</v>
      </c>
      <c r="X196" s="179">
        <f t="shared" si="18"/>
        <v>89.43744886961619</v>
      </c>
      <c r="Y196" s="179">
        <f t="shared" si="18"/>
        <v>105.24405431611096</v>
      </c>
      <c r="Z196" s="179">
        <f t="shared" si="18"/>
        <v>109.44301637144667</v>
      </c>
      <c r="AA196" s="179">
        <f t="shared" si="16"/>
        <v>112.55253132166143</v>
      </c>
      <c r="AB196" s="179">
        <f t="shared" si="16"/>
        <v>90.366369075226658</v>
      </c>
      <c r="AC196" s="179">
        <f t="shared" si="16"/>
        <v>76.259248094961904</v>
      </c>
      <c r="AD196" s="179">
        <f t="shared" si="16"/>
        <v>96.887691369841903</v>
      </c>
      <c r="AE196" s="179">
        <f t="shared" si="16"/>
        <v>62.695861486853332</v>
      </c>
      <c r="AF196" s="179">
        <f t="shared" si="16"/>
        <v>56.827504396930479</v>
      </c>
    </row>
    <row r="197" spans="2:32">
      <c r="B197" s="122">
        <f t="shared" si="17"/>
        <v>64987233</v>
      </c>
      <c r="C197" s="122" t="str">
        <f>VLOOKUP($B197,'Tech Litons'!$A:$I,3,0)</f>
        <v>BJ Bars</v>
      </c>
      <c r="D197" s="122" t="str">
        <f>VLOOKUP($B197,'Tech Litons'!$A:$I,4,0)</f>
        <v>BJ Bars</v>
      </c>
      <c r="E197" s="598" t="s">
        <v>597</v>
      </c>
      <c r="F197" s="598">
        <v>64987233</v>
      </c>
      <c r="G197" s="599">
        <v>15435</v>
      </c>
      <c r="H197" s="599">
        <v>9372</v>
      </c>
      <c r="I197" s="599">
        <v>14632.9999999999</v>
      </c>
      <c r="J197" s="599">
        <v>17891</v>
      </c>
      <c r="K197" s="599">
        <v>22727.999999999902</v>
      </c>
      <c r="L197" s="599">
        <v>22727.999999999902</v>
      </c>
      <c r="M197" s="599">
        <v>20730</v>
      </c>
      <c r="N197" s="599">
        <v>22116.999999999902</v>
      </c>
      <c r="O197" s="599">
        <v>20403</v>
      </c>
      <c r="P197" s="599">
        <v>20616</v>
      </c>
      <c r="Q197" s="599">
        <v>17950</v>
      </c>
      <c r="R197" s="599">
        <v>18745</v>
      </c>
      <c r="S197" s="169">
        <f t="shared" si="19"/>
        <v>223347.99999999959</v>
      </c>
      <c r="T197" s="122">
        <f>VLOOKUP($B197,'Tech Litons'!$A:$I,9,0)</f>
        <v>165</v>
      </c>
      <c r="U197" s="179">
        <f t="shared" si="18"/>
        <v>93.545454545454547</v>
      </c>
      <c r="V197" s="179">
        <f t="shared" si="18"/>
        <v>56.8</v>
      </c>
      <c r="W197" s="179">
        <f t="shared" si="18"/>
        <v>88.684848484847876</v>
      </c>
      <c r="X197" s="179">
        <f t="shared" si="18"/>
        <v>108.43030303030304</v>
      </c>
      <c r="Y197" s="179">
        <f t="shared" si="18"/>
        <v>137.74545454545395</v>
      </c>
      <c r="Z197" s="179">
        <f t="shared" si="18"/>
        <v>137.74545454545395</v>
      </c>
      <c r="AA197" s="179">
        <f t="shared" si="16"/>
        <v>125.63636363636364</v>
      </c>
      <c r="AB197" s="179">
        <f t="shared" si="16"/>
        <v>134.04242424242364</v>
      </c>
      <c r="AC197" s="179">
        <f t="shared" si="16"/>
        <v>123.65454545454546</v>
      </c>
      <c r="AD197" s="179">
        <f t="shared" si="16"/>
        <v>124.94545454545455</v>
      </c>
      <c r="AE197" s="179">
        <f t="shared" si="16"/>
        <v>108.78787878787878</v>
      </c>
      <c r="AF197" s="179">
        <f t="shared" si="16"/>
        <v>113.60606060606061</v>
      </c>
    </row>
    <row r="198" spans="2:32">
      <c r="B198" s="122">
        <f t="shared" si="17"/>
        <v>69548143</v>
      </c>
      <c r="C198" s="122" t="str">
        <f>VLOOKUP($B198,'Tech Litons'!$A:$I,3,0)</f>
        <v>EFW</v>
      </c>
      <c r="D198" s="122" t="str">
        <f>VLOOKUP($B198,'Tech Litons'!$A:$I,4,0)</f>
        <v>EFW</v>
      </c>
      <c r="E198" s="598" t="s">
        <v>929</v>
      </c>
      <c r="F198" s="598">
        <v>69548143</v>
      </c>
      <c r="G198" s="599">
        <v>14590.86</v>
      </c>
      <c r="H198" s="599">
        <v>19297.3</v>
      </c>
      <c r="I198" s="599">
        <v>26218.400000000001</v>
      </c>
      <c r="J198" s="599">
        <v>15617.73</v>
      </c>
      <c r="K198" s="599">
        <v>18403.71</v>
      </c>
      <c r="L198" s="599">
        <v>18675.849999999999</v>
      </c>
      <c r="M198" s="599">
        <v>21064.85</v>
      </c>
      <c r="N198" s="599">
        <v>26446.3</v>
      </c>
      <c r="O198" s="599">
        <v>21166.01</v>
      </c>
      <c r="P198" s="599">
        <v>15663.45</v>
      </c>
      <c r="Q198" s="599">
        <v>13247.58</v>
      </c>
      <c r="R198" s="599">
        <v>10157</v>
      </c>
      <c r="S198" s="169">
        <f t="shared" si="19"/>
        <v>220549.04</v>
      </c>
      <c r="T198" s="122">
        <f>VLOOKUP($B198,'Tech Litons'!$A:$I,9,0)</f>
        <v>345</v>
      </c>
      <c r="U198" s="179">
        <f t="shared" si="18"/>
        <v>42.29234782608696</v>
      </c>
      <c r="V198" s="179">
        <f t="shared" si="18"/>
        <v>55.934202898550723</v>
      </c>
      <c r="W198" s="179">
        <f t="shared" si="18"/>
        <v>75.995362318840577</v>
      </c>
      <c r="X198" s="179">
        <f t="shared" si="18"/>
        <v>45.268782608695652</v>
      </c>
      <c r="Y198" s="179">
        <f t="shared" si="18"/>
        <v>53.344086956521735</v>
      </c>
      <c r="Z198" s="179">
        <f t="shared" si="18"/>
        <v>54.132898550724633</v>
      </c>
      <c r="AA198" s="179">
        <f t="shared" si="16"/>
        <v>61.05753623188405</v>
      </c>
      <c r="AB198" s="179">
        <f t="shared" si="16"/>
        <v>76.655942028985507</v>
      </c>
      <c r="AC198" s="179">
        <f t="shared" si="16"/>
        <v>61.350753623188403</v>
      </c>
      <c r="AD198" s="179">
        <f t="shared" si="16"/>
        <v>45.401304347826091</v>
      </c>
      <c r="AE198" s="179">
        <f t="shared" si="16"/>
        <v>38.398782608695655</v>
      </c>
      <c r="AF198" s="179">
        <f t="shared" si="16"/>
        <v>29.440579710144927</v>
      </c>
    </row>
    <row r="199" spans="2:32">
      <c r="B199" s="122">
        <f t="shared" si="17"/>
        <v>64984152</v>
      </c>
      <c r="C199" s="122" t="str">
        <f>VLOOKUP($B199,'Tech Litons'!$A:$I,3,0)</f>
        <v>Sundaes</v>
      </c>
      <c r="D199" s="122" t="str">
        <f>VLOOKUP($B199,'Tech Litons'!$A:$I,4,0)</f>
        <v>SP1</v>
      </c>
      <c r="E199" s="598" t="s">
        <v>396</v>
      </c>
      <c r="F199" s="598">
        <v>64984152</v>
      </c>
      <c r="G199" s="599">
        <v>14612</v>
      </c>
      <c r="H199" s="599">
        <v>16026.9999999999</v>
      </c>
      <c r="I199" s="599">
        <v>11528</v>
      </c>
      <c r="J199" s="599">
        <v>16078</v>
      </c>
      <c r="K199" s="599">
        <v>21426</v>
      </c>
      <c r="L199" s="599">
        <v>22337</v>
      </c>
      <c r="M199" s="599">
        <v>20371</v>
      </c>
      <c r="N199" s="599">
        <v>21736</v>
      </c>
      <c r="O199" s="599">
        <v>20049</v>
      </c>
      <c r="P199" s="599">
        <v>20260</v>
      </c>
      <c r="Q199" s="599">
        <v>17641</v>
      </c>
      <c r="R199" s="599">
        <v>18422</v>
      </c>
      <c r="S199" s="169">
        <f t="shared" si="19"/>
        <v>220486.99999999988</v>
      </c>
      <c r="T199" s="122">
        <f>VLOOKUP($B199,'Tech Litons'!$A:$I,9,0)</f>
        <v>240</v>
      </c>
      <c r="U199" s="179">
        <f t="shared" si="18"/>
        <v>60.883333333333333</v>
      </c>
      <c r="V199" s="179">
        <f t="shared" si="18"/>
        <v>66.779166666666256</v>
      </c>
      <c r="W199" s="179">
        <f t="shared" si="18"/>
        <v>48.033333333333331</v>
      </c>
      <c r="X199" s="179">
        <f t="shared" si="18"/>
        <v>66.99166666666666</v>
      </c>
      <c r="Y199" s="179">
        <f t="shared" si="18"/>
        <v>89.275000000000006</v>
      </c>
      <c r="Z199" s="179">
        <f t="shared" si="18"/>
        <v>93.07083333333334</v>
      </c>
      <c r="AA199" s="179">
        <f t="shared" si="16"/>
        <v>84.879166666666663</v>
      </c>
      <c r="AB199" s="179">
        <f t="shared" si="16"/>
        <v>90.566666666666663</v>
      </c>
      <c r="AC199" s="179">
        <f t="shared" si="16"/>
        <v>83.537499999999994</v>
      </c>
      <c r="AD199" s="179">
        <f t="shared" si="16"/>
        <v>84.416666666666671</v>
      </c>
      <c r="AE199" s="179">
        <f t="shared" si="16"/>
        <v>73.504166666666663</v>
      </c>
      <c r="AF199" s="179">
        <f t="shared" si="16"/>
        <v>76.75833333333334</v>
      </c>
    </row>
    <row r="200" spans="2:32">
      <c r="B200" s="122">
        <f t="shared" si="17"/>
        <v>64326314</v>
      </c>
      <c r="C200" s="122" t="str">
        <f>VLOOKUP($B200,'Tech Litons'!$A:$I,3,0)</f>
        <v>Yasso Sticks</v>
      </c>
      <c r="D200" s="122" t="str">
        <f>VLOOKUP($B200,'Tech Litons'!$A:$I,4,0)</f>
        <v>Yasso Sticks</v>
      </c>
      <c r="E200" s="598" t="s">
        <v>585</v>
      </c>
      <c r="F200" s="598">
        <v>64326314</v>
      </c>
      <c r="G200" s="599">
        <v>15270.649278987899</v>
      </c>
      <c r="H200" s="599">
        <v>14194.6825540472</v>
      </c>
      <c r="I200" s="599">
        <v>20292.168210835101</v>
      </c>
      <c r="J200" s="599">
        <v>15593.3276057358</v>
      </c>
      <c r="K200" s="599">
        <v>20700.429618763199</v>
      </c>
      <c r="L200" s="599">
        <v>22197.2785260194</v>
      </c>
      <c r="M200" s="599">
        <v>24043.803987052299</v>
      </c>
      <c r="N200" s="599">
        <v>20144.9184599318</v>
      </c>
      <c r="O200" s="599">
        <v>21660.5784079677</v>
      </c>
      <c r="P200" s="599">
        <v>17170.677987245701</v>
      </c>
      <c r="Q200" s="599">
        <v>15858.4280812662</v>
      </c>
      <c r="R200" s="599">
        <v>13248.502448138001</v>
      </c>
      <c r="S200" s="169">
        <f t="shared" si="19"/>
        <v>220375.44516599027</v>
      </c>
      <c r="T200" s="122">
        <f>VLOOKUP($B200,'Tech Litons'!$A:$I,9,0)</f>
        <v>187</v>
      </c>
      <c r="U200" s="179">
        <f t="shared" si="18"/>
        <v>81.66122609084438</v>
      </c>
      <c r="V200" s="179">
        <f t="shared" si="18"/>
        <v>75.907393337150808</v>
      </c>
      <c r="W200" s="179">
        <f t="shared" si="18"/>
        <v>108.51426850713958</v>
      </c>
      <c r="X200" s="179">
        <f t="shared" si="18"/>
        <v>83.386778640298388</v>
      </c>
      <c r="Y200" s="179">
        <f t="shared" si="18"/>
        <v>110.69748459231657</v>
      </c>
      <c r="Z200" s="179">
        <f t="shared" si="18"/>
        <v>118.70202420331229</v>
      </c>
      <c r="AA200" s="179">
        <f t="shared" si="16"/>
        <v>128.57649190937059</v>
      </c>
      <c r="AB200" s="179">
        <f t="shared" si="16"/>
        <v>107.72683668412726</v>
      </c>
      <c r="AC200" s="179">
        <f t="shared" si="16"/>
        <v>115.83197009608395</v>
      </c>
      <c r="AD200" s="179">
        <f t="shared" si="16"/>
        <v>91.821807418426204</v>
      </c>
      <c r="AE200" s="179">
        <f t="shared" si="16"/>
        <v>84.804428242065242</v>
      </c>
      <c r="AF200" s="179">
        <f t="shared" si="16"/>
        <v>70.847606674534759</v>
      </c>
    </row>
    <row r="201" spans="2:32">
      <c r="B201" s="122">
        <f t="shared" si="17"/>
        <v>68729723</v>
      </c>
      <c r="C201" s="122" t="e">
        <f>VLOOKUP($B201,'Tech Litons'!$A:$I,3,0)</f>
        <v>#N/A</v>
      </c>
      <c r="D201" s="122" t="e">
        <f>VLOOKUP($B201,'Tech Litons'!$A:$I,4,0)</f>
        <v>#N/A</v>
      </c>
      <c r="E201" s="598" t="s">
        <v>972</v>
      </c>
      <c r="F201" s="598">
        <v>68729723</v>
      </c>
      <c r="G201" s="599">
        <v>17834.285625944802</v>
      </c>
      <c r="H201" s="599">
        <v>17141.940818645799</v>
      </c>
      <c r="I201" s="599">
        <v>19491.117390639502</v>
      </c>
      <c r="J201" s="599">
        <v>18588.3148441786</v>
      </c>
      <c r="K201" s="599">
        <v>19409.2353052484</v>
      </c>
      <c r="L201" s="599">
        <v>24201.4842921374</v>
      </c>
      <c r="M201" s="599">
        <v>19288.5051744269</v>
      </c>
      <c r="N201" s="599">
        <v>18794.002941545699</v>
      </c>
      <c r="O201" s="599">
        <v>17354.308421485701</v>
      </c>
      <c r="P201" s="599">
        <v>18093.809247133599</v>
      </c>
      <c r="Q201" s="599">
        <v>14016.750846803599</v>
      </c>
      <c r="R201" s="599">
        <v>12861.749561545201</v>
      </c>
      <c r="S201" s="169">
        <f t="shared" si="19"/>
        <v>217075.5044697352</v>
      </c>
      <c r="T201" s="122" t="e">
        <f>VLOOKUP($B201,'Tech Litons'!$A:$I,9,0)</f>
        <v>#N/A</v>
      </c>
      <c r="U201" s="179" t="e">
        <f t="shared" si="18"/>
        <v>#N/A</v>
      </c>
      <c r="V201" s="179" t="e">
        <f t="shared" si="18"/>
        <v>#N/A</v>
      </c>
      <c r="W201" s="179" t="e">
        <f t="shared" si="18"/>
        <v>#N/A</v>
      </c>
      <c r="X201" s="179" t="e">
        <f t="shared" si="18"/>
        <v>#N/A</v>
      </c>
      <c r="Y201" s="179" t="e">
        <f t="shared" si="18"/>
        <v>#N/A</v>
      </c>
      <c r="Z201" s="179" t="e">
        <f t="shared" si="18"/>
        <v>#N/A</v>
      </c>
      <c r="AA201" s="179" t="e">
        <f t="shared" si="16"/>
        <v>#N/A</v>
      </c>
      <c r="AB201" s="179" t="e">
        <f t="shared" si="16"/>
        <v>#N/A</v>
      </c>
      <c r="AC201" s="179" t="e">
        <f t="shared" si="16"/>
        <v>#N/A</v>
      </c>
      <c r="AD201" s="179" t="e">
        <f t="shared" si="16"/>
        <v>#N/A</v>
      </c>
      <c r="AE201" s="179" t="e">
        <f t="shared" si="16"/>
        <v>#N/A</v>
      </c>
      <c r="AF201" s="179" t="e">
        <f t="shared" si="16"/>
        <v>#N/A</v>
      </c>
    </row>
    <row r="202" spans="2:32">
      <c r="B202" s="122">
        <f t="shared" si="17"/>
        <v>69797296</v>
      </c>
      <c r="C202" s="122" t="str">
        <f>VLOOKUP($B202,'Tech Litons'!$A:$I,3,0)</f>
        <v>BJ PTS</v>
      </c>
      <c r="D202" s="122" t="str">
        <f>VLOOKUP($B202,'Tech Litons'!$A:$I,4,0)</f>
        <v>BJ PTS</v>
      </c>
      <c r="E202" s="598" t="s">
        <v>1091</v>
      </c>
      <c r="F202" s="598">
        <v>69797296</v>
      </c>
      <c r="G202" s="599">
        <v>11841.8969133511</v>
      </c>
      <c r="H202" s="599">
        <v>21256.075431619</v>
      </c>
      <c r="I202" s="599">
        <v>21663.6137947645</v>
      </c>
      <c r="J202" s="599">
        <v>18860.1072064654</v>
      </c>
      <c r="K202" s="599">
        <v>15564.137948453999</v>
      </c>
      <c r="L202" s="599">
        <v>21982.941864091201</v>
      </c>
      <c r="M202" s="599">
        <v>20641.621275674301</v>
      </c>
      <c r="N202" s="599">
        <v>22471.400820624302</v>
      </c>
      <c r="O202" s="599">
        <v>19274.241132222</v>
      </c>
      <c r="P202" s="599">
        <v>16023.523036238499</v>
      </c>
      <c r="Q202" s="599">
        <v>13815.479412648499</v>
      </c>
      <c r="R202" s="599">
        <v>10521.9951069661</v>
      </c>
      <c r="S202" s="169">
        <f t="shared" si="19"/>
        <v>213917.03394311888</v>
      </c>
      <c r="T202" s="122">
        <f>VLOOKUP($B202,'Tech Litons'!$A:$I,9,0)</f>
        <v>240</v>
      </c>
      <c r="U202" s="179">
        <f t="shared" si="18"/>
        <v>49.341237138962917</v>
      </c>
      <c r="V202" s="179">
        <f t="shared" si="18"/>
        <v>88.566980965079168</v>
      </c>
      <c r="W202" s="179">
        <f t="shared" si="18"/>
        <v>90.265057478185412</v>
      </c>
      <c r="X202" s="179">
        <f t="shared" ref="X202:AF230" si="20">J202/$T202</f>
        <v>78.583780026939166</v>
      </c>
      <c r="Y202" s="179">
        <f t="shared" si="20"/>
        <v>64.850574785224993</v>
      </c>
      <c r="Z202" s="179">
        <f t="shared" si="20"/>
        <v>91.595591100380005</v>
      </c>
      <c r="AA202" s="179">
        <f t="shared" si="20"/>
        <v>86.00675531530959</v>
      </c>
      <c r="AB202" s="179">
        <f t="shared" si="20"/>
        <v>93.630836752601255</v>
      </c>
      <c r="AC202" s="179">
        <f t="shared" si="20"/>
        <v>80.309338050924993</v>
      </c>
      <c r="AD202" s="179">
        <f t="shared" si="20"/>
        <v>66.764679317660409</v>
      </c>
      <c r="AE202" s="179">
        <f t="shared" si="20"/>
        <v>57.564497552702079</v>
      </c>
      <c r="AF202" s="179">
        <f t="shared" si="20"/>
        <v>43.841646279025419</v>
      </c>
    </row>
    <row r="203" spans="2:32">
      <c r="B203" s="122">
        <f t="shared" si="17"/>
        <v>68899825</v>
      </c>
      <c r="C203" s="122" t="str">
        <f>VLOOKUP($B203,'Tech Litons'!$A:$I,3,0)</f>
        <v>48oz</v>
      </c>
      <c r="D203" s="122" t="str">
        <f>VLOOKUP($B203,'Tech Litons'!$A:$I,4,0)</f>
        <v>48oz</v>
      </c>
      <c r="E203" s="598" t="s">
        <v>991</v>
      </c>
      <c r="F203" s="598">
        <v>68899825</v>
      </c>
      <c r="G203" s="599">
        <v>17579.2589299426</v>
      </c>
      <c r="H203" s="599">
        <v>15765.1418926511</v>
      </c>
      <c r="I203" s="599">
        <v>15893.9292807729</v>
      </c>
      <c r="J203" s="599">
        <v>20679.414417002299</v>
      </c>
      <c r="K203" s="599">
        <v>19495.111069185299</v>
      </c>
      <c r="L203" s="599">
        <v>25141.970233607299</v>
      </c>
      <c r="M203" s="599">
        <v>18953.263054025101</v>
      </c>
      <c r="N203" s="599">
        <v>18054.549247834599</v>
      </c>
      <c r="O203" s="599">
        <v>11896.4609302154</v>
      </c>
      <c r="P203" s="599">
        <v>15804.794526293101</v>
      </c>
      <c r="Q203" s="599">
        <v>19333.767279419601</v>
      </c>
      <c r="R203" s="599">
        <v>15213.687150301799</v>
      </c>
      <c r="S203" s="169">
        <f t="shared" si="19"/>
        <v>213811.34801125107</v>
      </c>
      <c r="T203" s="122">
        <f>VLOOKUP($B203,'Tech Litons'!$A:$I,9,0)</f>
        <v>176</v>
      </c>
      <c r="U203" s="179">
        <f t="shared" ref="U203:Z259" si="21">G203/$T203</f>
        <v>99.882153011037502</v>
      </c>
      <c r="V203" s="179">
        <f t="shared" si="21"/>
        <v>89.574669844608522</v>
      </c>
      <c r="W203" s="179">
        <f t="shared" si="21"/>
        <v>90.30641636802784</v>
      </c>
      <c r="X203" s="179">
        <f t="shared" si="20"/>
        <v>117.49667282387669</v>
      </c>
      <c r="Y203" s="179">
        <f t="shared" si="20"/>
        <v>110.76767652946192</v>
      </c>
      <c r="Z203" s="179">
        <f t="shared" si="20"/>
        <v>142.85210360004146</v>
      </c>
      <c r="AA203" s="179">
        <f t="shared" si="20"/>
        <v>107.68899462514263</v>
      </c>
      <c r="AB203" s="179">
        <f t="shared" si="20"/>
        <v>102.58266618087841</v>
      </c>
      <c r="AC203" s="179">
        <f t="shared" si="20"/>
        <v>67.593528012587498</v>
      </c>
      <c r="AD203" s="179">
        <f t="shared" si="20"/>
        <v>89.799968899392624</v>
      </c>
      <c r="AE203" s="179">
        <f t="shared" si="20"/>
        <v>109.85095045124773</v>
      </c>
      <c r="AF203" s="179">
        <f t="shared" si="20"/>
        <v>86.441404263078411</v>
      </c>
    </row>
    <row r="204" spans="2:32">
      <c r="B204" s="122">
        <f t="shared" si="17"/>
        <v>64325488</v>
      </c>
      <c r="C204" s="122" t="str">
        <f>VLOOKUP($B204,'Tech Litons'!$A:$I,3,0)</f>
        <v>Yasso Sticks</v>
      </c>
      <c r="D204" s="122" t="str">
        <f>VLOOKUP($B204,'Tech Litons'!$A:$I,4,0)</f>
        <v>Yasso Sticks</v>
      </c>
      <c r="E204" s="598" t="s">
        <v>591</v>
      </c>
      <c r="F204" s="598">
        <v>64325488</v>
      </c>
      <c r="G204" s="599">
        <v>15375.620096463899</v>
      </c>
      <c r="H204" s="599">
        <v>13103.487877560599</v>
      </c>
      <c r="I204" s="599">
        <v>22392.0334402179</v>
      </c>
      <c r="J204" s="599">
        <v>17202.413131049401</v>
      </c>
      <c r="K204" s="599">
        <v>19621.126144953301</v>
      </c>
      <c r="L204" s="599">
        <v>18416.748519000099</v>
      </c>
      <c r="M204" s="599">
        <v>21950.306071080999</v>
      </c>
      <c r="N204" s="599">
        <v>18758.5004478665</v>
      </c>
      <c r="O204" s="599">
        <v>17996.161231950198</v>
      </c>
      <c r="P204" s="599">
        <v>17300.051531598099</v>
      </c>
      <c r="Q204" s="599">
        <v>15766.6157408365</v>
      </c>
      <c r="R204" s="599">
        <v>12450.6278047009</v>
      </c>
      <c r="S204" s="169">
        <f t="shared" si="19"/>
        <v>210333.69203727838</v>
      </c>
      <c r="T204" s="122">
        <f>VLOOKUP($B204,'Tech Litons'!$A:$I,9,0)</f>
        <v>187</v>
      </c>
      <c r="U204" s="179">
        <f t="shared" si="21"/>
        <v>82.222567360769517</v>
      </c>
      <c r="V204" s="179">
        <f t="shared" si="21"/>
        <v>70.072127687489839</v>
      </c>
      <c r="W204" s="179">
        <f t="shared" si="21"/>
        <v>119.74349433271604</v>
      </c>
      <c r="X204" s="179">
        <f t="shared" si="20"/>
        <v>91.991514069782895</v>
      </c>
      <c r="Y204" s="179">
        <f t="shared" si="20"/>
        <v>104.92580826178236</v>
      </c>
      <c r="Z204" s="179">
        <f t="shared" si="20"/>
        <v>98.485286197861498</v>
      </c>
      <c r="AA204" s="179">
        <f t="shared" si="20"/>
        <v>117.38131588813368</v>
      </c>
      <c r="AB204" s="179">
        <f t="shared" si="20"/>
        <v>100.31283661960695</v>
      </c>
      <c r="AC204" s="179">
        <f t="shared" si="20"/>
        <v>96.236156320589302</v>
      </c>
      <c r="AD204" s="179">
        <f t="shared" si="20"/>
        <v>92.513644554000535</v>
      </c>
      <c r="AE204" s="179">
        <f t="shared" si="20"/>
        <v>84.313453159553475</v>
      </c>
      <c r="AF204" s="179">
        <f t="shared" si="20"/>
        <v>66.580897351341704</v>
      </c>
    </row>
    <row r="205" spans="2:32">
      <c r="B205" s="122">
        <f t="shared" si="17"/>
        <v>69554197</v>
      </c>
      <c r="C205" s="122" t="str">
        <f>VLOOKUP($B205,'Tech Litons'!$A:$I,3,0)</f>
        <v>PTS</v>
      </c>
      <c r="D205" s="122" t="str">
        <f>VLOOKUP($B205,'Tech Litons'!$A:$I,4,0)</f>
        <v>SP1</v>
      </c>
      <c r="E205" s="598" t="s">
        <v>244</v>
      </c>
      <c r="F205" s="598">
        <v>69554197</v>
      </c>
      <c r="G205" s="599">
        <v>14872.547892251199</v>
      </c>
      <c r="H205" s="599">
        <v>14595.954800661</v>
      </c>
      <c r="I205" s="599">
        <v>19041.070768078</v>
      </c>
      <c r="J205" s="599">
        <v>20269.0936399366</v>
      </c>
      <c r="K205" s="599">
        <v>18911.0995165288</v>
      </c>
      <c r="L205" s="599">
        <v>23454.050916022199</v>
      </c>
      <c r="M205" s="599">
        <v>18004.465750078802</v>
      </c>
      <c r="N205" s="599">
        <v>18268.247831662102</v>
      </c>
      <c r="O205" s="599">
        <v>17715.337719425501</v>
      </c>
      <c r="P205" s="599">
        <v>15465.604379939199</v>
      </c>
      <c r="Q205" s="599">
        <v>15259.543400021401</v>
      </c>
      <c r="R205" s="599">
        <v>14042.477896844999</v>
      </c>
      <c r="S205" s="169">
        <f t="shared" si="19"/>
        <v>209899.4945114498</v>
      </c>
      <c r="T205" s="122">
        <f>VLOOKUP($B205,'Tech Litons'!$A:$I,9,0)</f>
        <v>240</v>
      </c>
      <c r="U205" s="179">
        <f t="shared" si="21"/>
        <v>61.968949551046663</v>
      </c>
      <c r="V205" s="179">
        <f t="shared" si="21"/>
        <v>60.816478336087499</v>
      </c>
      <c r="W205" s="179">
        <f t="shared" si="21"/>
        <v>79.337794866991672</v>
      </c>
      <c r="X205" s="179">
        <f t="shared" si="20"/>
        <v>84.454556833069162</v>
      </c>
      <c r="Y205" s="179">
        <f t="shared" si="20"/>
        <v>78.796247985536667</v>
      </c>
      <c r="Z205" s="179">
        <f t="shared" si="20"/>
        <v>97.725212150092503</v>
      </c>
      <c r="AA205" s="179">
        <f t="shared" si="20"/>
        <v>75.018607291995011</v>
      </c>
      <c r="AB205" s="179">
        <f t="shared" si="20"/>
        <v>76.117699298592086</v>
      </c>
      <c r="AC205" s="179">
        <f t="shared" si="20"/>
        <v>73.813907164272919</v>
      </c>
      <c r="AD205" s="179">
        <f t="shared" si="20"/>
        <v>64.440018249746657</v>
      </c>
      <c r="AE205" s="179">
        <f t="shared" si="20"/>
        <v>63.581430833422502</v>
      </c>
      <c r="AF205" s="179">
        <f t="shared" si="20"/>
        <v>58.5103245701875</v>
      </c>
    </row>
    <row r="206" spans="2:32">
      <c r="B206" s="122">
        <f t="shared" si="17"/>
        <v>64389650</v>
      </c>
      <c r="C206" s="122" t="str">
        <f>VLOOKUP($B206,'Tech Litons'!$A:$I,3,0)</f>
        <v>48oz</v>
      </c>
      <c r="D206" s="122" t="str">
        <f>VLOOKUP($B206,'Tech Litons'!$A:$I,4,0)</f>
        <v>48oz</v>
      </c>
      <c r="E206" s="598" t="s">
        <v>330</v>
      </c>
      <c r="F206" s="598">
        <v>64389650</v>
      </c>
      <c r="G206" s="599">
        <v>15183.603626423101</v>
      </c>
      <c r="H206" s="599">
        <v>14518.228186460699</v>
      </c>
      <c r="I206" s="599">
        <v>17715.1078295074</v>
      </c>
      <c r="J206" s="599">
        <v>20271.1700592216</v>
      </c>
      <c r="K206" s="599">
        <v>20116.9371854237</v>
      </c>
      <c r="L206" s="599">
        <v>23173.210185385298</v>
      </c>
      <c r="M206" s="599">
        <v>18637.867426524499</v>
      </c>
      <c r="N206" s="599">
        <v>18232.097862141502</v>
      </c>
      <c r="O206" s="599">
        <v>14076.265148584</v>
      </c>
      <c r="P206" s="599">
        <v>16097.6906974823</v>
      </c>
      <c r="Q206" s="599">
        <v>17057.381018995398</v>
      </c>
      <c r="R206" s="599">
        <v>14149.7553930984</v>
      </c>
      <c r="S206" s="169">
        <f t="shared" si="19"/>
        <v>209229.31461924786</v>
      </c>
      <c r="T206" s="122">
        <f>VLOOKUP($B206,'Tech Litons'!$A:$I,9,0)</f>
        <v>176</v>
      </c>
      <c r="U206" s="179">
        <f t="shared" si="21"/>
        <v>86.270475150131247</v>
      </c>
      <c r="V206" s="179">
        <f t="shared" si="21"/>
        <v>82.489932877617605</v>
      </c>
      <c r="W206" s="179">
        <f t="shared" si="21"/>
        <v>100.65402175856478</v>
      </c>
      <c r="X206" s="179">
        <f t="shared" si="20"/>
        <v>115.17710260921363</v>
      </c>
      <c r="Y206" s="179">
        <f t="shared" si="20"/>
        <v>114.30077946263465</v>
      </c>
      <c r="Z206" s="179">
        <f t="shared" si="20"/>
        <v>131.66596696241646</v>
      </c>
      <c r="AA206" s="179">
        <f t="shared" si="20"/>
        <v>105.89697401434374</v>
      </c>
      <c r="AB206" s="179">
        <f t="shared" si="20"/>
        <v>103.59146512580399</v>
      </c>
      <c r="AC206" s="179">
        <f t="shared" si="20"/>
        <v>79.97877925331818</v>
      </c>
      <c r="AD206" s="179">
        <f t="shared" si="20"/>
        <v>91.464151690240342</v>
      </c>
      <c r="AE206" s="179">
        <f t="shared" si="20"/>
        <v>96.916937607928404</v>
      </c>
      <c r="AF206" s="179">
        <f t="shared" si="20"/>
        <v>80.396337460786356</v>
      </c>
    </row>
    <row r="207" spans="2:32">
      <c r="B207" s="122">
        <f t="shared" si="17"/>
        <v>69964643</v>
      </c>
      <c r="C207" s="122" t="e">
        <f>VLOOKUP($B207,'Tech Litons'!$A:$I,3,0)</f>
        <v>#N/A</v>
      </c>
      <c r="D207" s="122" t="e">
        <f>VLOOKUP($B207,'Tech Litons'!$A:$I,4,0)</f>
        <v>#N/A</v>
      </c>
      <c r="E207" s="598" t="s">
        <v>620</v>
      </c>
      <c r="F207" s="598">
        <v>69964643</v>
      </c>
      <c r="G207" s="599">
        <v>16184.190148063601</v>
      </c>
      <c r="H207" s="599">
        <v>12963.0198711701</v>
      </c>
      <c r="I207" s="599">
        <v>13445.351236280199</v>
      </c>
      <c r="J207" s="599">
        <v>15237.5584236901</v>
      </c>
      <c r="K207" s="599">
        <v>25141.457995721201</v>
      </c>
      <c r="L207" s="599">
        <v>26912.092699876499</v>
      </c>
      <c r="M207" s="599">
        <v>22804.254413364299</v>
      </c>
      <c r="N207" s="599">
        <v>17355.024864035899</v>
      </c>
      <c r="O207" s="599">
        <v>12268.6706782113</v>
      </c>
      <c r="P207" s="599">
        <v>16832.0192005924</v>
      </c>
      <c r="Q207" s="599">
        <v>14599.074647311199</v>
      </c>
      <c r="R207" s="599">
        <v>15383.2199896522</v>
      </c>
      <c r="S207" s="169">
        <f t="shared" si="19"/>
        <v>209125.93416796898</v>
      </c>
      <c r="T207" s="122" t="e">
        <f>VLOOKUP($B207,'Tech Litons'!$A:$I,9,0)</f>
        <v>#N/A</v>
      </c>
      <c r="U207" s="179" t="e">
        <f t="shared" si="21"/>
        <v>#N/A</v>
      </c>
      <c r="V207" s="179" t="e">
        <f t="shared" si="21"/>
        <v>#N/A</v>
      </c>
      <c r="W207" s="179" t="e">
        <f t="shared" si="21"/>
        <v>#N/A</v>
      </c>
      <c r="X207" s="179" t="e">
        <f t="shared" si="20"/>
        <v>#N/A</v>
      </c>
      <c r="Y207" s="179" t="e">
        <f t="shared" si="20"/>
        <v>#N/A</v>
      </c>
      <c r="Z207" s="179" t="e">
        <f t="shared" si="20"/>
        <v>#N/A</v>
      </c>
      <c r="AA207" s="179" t="e">
        <f t="shared" si="20"/>
        <v>#N/A</v>
      </c>
      <c r="AB207" s="179" t="e">
        <f t="shared" si="20"/>
        <v>#N/A</v>
      </c>
      <c r="AC207" s="179" t="e">
        <f t="shared" si="20"/>
        <v>#N/A</v>
      </c>
      <c r="AD207" s="179" t="e">
        <f t="shared" si="20"/>
        <v>#N/A</v>
      </c>
      <c r="AE207" s="179" t="e">
        <f t="shared" si="20"/>
        <v>#N/A</v>
      </c>
      <c r="AF207" s="179" t="e">
        <f t="shared" si="20"/>
        <v>#N/A</v>
      </c>
    </row>
    <row r="208" spans="2:32">
      <c r="B208" s="122">
        <f t="shared" si="17"/>
        <v>68940228</v>
      </c>
      <c r="C208" s="122" t="e">
        <f>VLOOKUP($B208,'Tech Litons'!$A:$I,3,0)</f>
        <v>#N/A</v>
      </c>
      <c r="D208" s="122" t="e">
        <f>VLOOKUP($B208,'Tech Litons'!$A:$I,4,0)</f>
        <v>#N/A</v>
      </c>
      <c r="E208" s="598" t="s">
        <v>1092</v>
      </c>
      <c r="F208" s="598">
        <v>68940228</v>
      </c>
      <c r="G208" s="599">
        <v>11779.3955150354</v>
      </c>
      <c r="H208" s="599">
        <v>18126.128528212899</v>
      </c>
      <c r="I208" s="599">
        <v>18653.6282222585</v>
      </c>
      <c r="J208" s="599">
        <v>17473.06896846</v>
      </c>
      <c r="K208" s="599">
        <v>16576.5313775096</v>
      </c>
      <c r="L208" s="599">
        <v>21414.506909978001</v>
      </c>
      <c r="M208" s="599">
        <v>17291.391459895101</v>
      </c>
      <c r="N208" s="599">
        <v>18060.7370969435</v>
      </c>
      <c r="O208" s="599">
        <v>17174.864528792401</v>
      </c>
      <c r="P208" s="599">
        <v>15828.8486078283</v>
      </c>
      <c r="Q208" s="599">
        <v>14233.881893113999</v>
      </c>
      <c r="R208" s="599">
        <v>13330.9107824243</v>
      </c>
      <c r="S208" s="169">
        <f t="shared" si="19"/>
        <v>199943.89389045199</v>
      </c>
      <c r="T208" s="122" t="e">
        <f>VLOOKUP($B208,'Tech Litons'!$A:$I,9,0)</f>
        <v>#N/A</v>
      </c>
      <c r="U208" s="179" t="e">
        <f t="shared" si="21"/>
        <v>#N/A</v>
      </c>
      <c r="V208" s="179" t="e">
        <f t="shared" si="21"/>
        <v>#N/A</v>
      </c>
      <c r="W208" s="179" t="e">
        <f t="shared" si="21"/>
        <v>#N/A</v>
      </c>
      <c r="X208" s="179" t="e">
        <f t="shared" si="20"/>
        <v>#N/A</v>
      </c>
      <c r="Y208" s="179" t="e">
        <f t="shared" si="20"/>
        <v>#N/A</v>
      </c>
      <c r="Z208" s="179" t="e">
        <f t="shared" si="20"/>
        <v>#N/A</v>
      </c>
      <c r="AA208" s="179" t="e">
        <f t="shared" si="20"/>
        <v>#N/A</v>
      </c>
      <c r="AB208" s="179" t="e">
        <f t="shared" si="20"/>
        <v>#N/A</v>
      </c>
      <c r="AC208" s="179" t="e">
        <f t="shared" si="20"/>
        <v>#N/A</v>
      </c>
      <c r="AD208" s="179" t="e">
        <f t="shared" si="20"/>
        <v>#N/A</v>
      </c>
      <c r="AE208" s="179" t="e">
        <f t="shared" si="20"/>
        <v>#N/A</v>
      </c>
      <c r="AF208" s="179" t="e">
        <f t="shared" si="20"/>
        <v>#N/A</v>
      </c>
    </row>
    <row r="209" spans="2:32">
      <c r="B209" s="122">
        <f t="shared" si="17"/>
        <v>69798154</v>
      </c>
      <c r="C209" s="122" t="e">
        <f>VLOOKUP($B209,'Tech Litons'!$A:$I,3,0)</f>
        <v>#N/A</v>
      </c>
      <c r="D209" s="122" t="e">
        <f>VLOOKUP($B209,'Tech Litons'!$A:$I,4,0)</f>
        <v>#N/A</v>
      </c>
      <c r="E209" s="598" t="s">
        <v>960</v>
      </c>
      <c r="F209" s="598">
        <v>69798154</v>
      </c>
      <c r="G209" s="600">
        <v>8292.3515156142694</v>
      </c>
      <c r="H209" s="599">
        <v>13021.0379584948</v>
      </c>
      <c r="I209" s="599">
        <v>16141.469379236099</v>
      </c>
      <c r="J209" s="599">
        <v>18480.850425282901</v>
      </c>
      <c r="K209" s="599">
        <v>20407.047581492701</v>
      </c>
      <c r="L209" s="599">
        <v>23436.471617372899</v>
      </c>
      <c r="M209" s="599">
        <v>20157.561293441999</v>
      </c>
      <c r="N209" s="599">
        <v>20669.284168871302</v>
      </c>
      <c r="O209" s="599">
        <v>17800.9366644691</v>
      </c>
      <c r="P209" s="599">
        <v>16016.302649909299</v>
      </c>
      <c r="Q209" s="599">
        <v>12295.5070410309</v>
      </c>
      <c r="R209" s="599">
        <v>9919.7346856911299</v>
      </c>
      <c r="S209" s="169">
        <f t="shared" si="19"/>
        <v>196638.55498090741</v>
      </c>
      <c r="T209" s="122" t="e">
        <f>VLOOKUP($B209,'Tech Litons'!$A:$I,9,0)</f>
        <v>#N/A</v>
      </c>
      <c r="U209" s="179" t="e">
        <f t="shared" si="21"/>
        <v>#N/A</v>
      </c>
      <c r="V209" s="179" t="e">
        <f t="shared" si="21"/>
        <v>#N/A</v>
      </c>
      <c r="W209" s="179" t="e">
        <f t="shared" si="21"/>
        <v>#N/A</v>
      </c>
      <c r="X209" s="179" t="e">
        <f t="shared" si="20"/>
        <v>#N/A</v>
      </c>
      <c r="Y209" s="179" t="e">
        <f t="shared" si="20"/>
        <v>#N/A</v>
      </c>
      <c r="Z209" s="179" t="e">
        <f t="shared" si="20"/>
        <v>#N/A</v>
      </c>
      <c r="AA209" s="179" t="e">
        <f t="shared" si="20"/>
        <v>#N/A</v>
      </c>
      <c r="AB209" s="179" t="e">
        <f t="shared" si="20"/>
        <v>#N/A</v>
      </c>
      <c r="AC209" s="179" t="e">
        <f t="shared" si="20"/>
        <v>#N/A</v>
      </c>
      <c r="AD209" s="179" t="e">
        <f t="shared" si="20"/>
        <v>#N/A</v>
      </c>
      <c r="AE209" s="179" t="e">
        <f t="shared" si="20"/>
        <v>#N/A</v>
      </c>
      <c r="AF209" s="179" t="e">
        <f t="shared" si="20"/>
        <v>#N/A</v>
      </c>
    </row>
    <row r="210" spans="2:32">
      <c r="B210" s="122">
        <f t="shared" si="17"/>
        <v>64956417</v>
      </c>
      <c r="C210" s="122" t="str">
        <f>VLOOKUP($B210,'Tech Litons'!$A:$I,3,0)</f>
        <v>Facepieces</v>
      </c>
      <c r="D210" s="122" t="str">
        <f>VLOOKUP($B210,'Tech Litons'!$A:$I,4,0)</f>
        <v>Facepieces</v>
      </c>
      <c r="E210" s="598" t="s">
        <v>621</v>
      </c>
      <c r="F210" s="598">
        <v>64956417</v>
      </c>
      <c r="G210" s="599">
        <v>9715</v>
      </c>
      <c r="H210" s="599">
        <v>9760.8888888888796</v>
      </c>
      <c r="I210" s="599">
        <v>12512</v>
      </c>
      <c r="J210" s="599">
        <v>21918.333333333299</v>
      </c>
      <c r="K210" s="599">
        <v>25712.5555555555</v>
      </c>
      <c r="L210" s="599">
        <v>30111.444444444402</v>
      </c>
      <c r="M210" s="599">
        <v>18891.111111111099</v>
      </c>
      <c r="N210" s="599">
        <v>16975.111111111099</v>
      </c>
      <c r="O210" s="599">
        <v>18439.777777777701</v>
      </c>
      <c r="P210" s="599">
        <v>7419.1111111111104</v>
      </c>
      <c r="Q210" s="599">
        <v>11614.4444444444</v>
      </c>
      <c r="R210" s="599">
        <v>13250</v>
      </c>
      <c r="S210" s="169">
        <f t="shared" si="19"/>
        <v>196319.77777777749</v>
      </c>
      <c r="T210" s="122">
        <f>VLOOKUP($B210,'Tech Litons'!$A:$I,9,0)</f>
        <v>143</v>
      </c>
      <c r="U210" s="179">
        <f t="shared" si="21"/>
        <v>67.937062937062933</v>
      </c>
      <c r="V210" s="179">
        <f t="shared" si="21"/>
        <v>68.25796425796419</v>
      </c>
      <c r="W210" s="179">
        <f t="shared" si="21"/>
        <v>87.496503496503493</v>
      </c>
      <c r="X210" s="179">
        <f t="shared" si="20"/>
        <v>153.27505827505803</v>
      </c>
      <c r="Y210" s="179">
        <f t="shared" si="20"/>
        <v>179.80808080808043</v>
      </c>
      <c r="Z210" s="179">
        <f t="shared" si="20"/>
        <v>210.56954156954126</v>
      </c>
      <c r="AA210" s="179">
        <f t="shared" si="20"/>
        <v>132.10567210567203</v>
      </c>
      <c r="AB210" s="179">
        <f t="shared" si="20"/>
        <v>118.70707070707061</v>
      </c>
      <c r="AC210" s="179">
        <f t="shared" si="20"/>
        <v>128.94949494949441</v>
      </c>
      <c r="AD210" s="179">
        <f t="shared" si="20"/>
        <v>51.881895881895879</v>
      </c>
      <c r="AE210" s="179">
        <f t="shared" si="20"/>
        <v>81.219891219890911</v>
      </c>
      <c r="AF210" s="179">
        <f t="shared" si="20"/>
        <v>92.657342657342653</v>
      </c>
    </row>
    <row r="211" spans="2:32">
      <c r="B211" s="122">
        <f t="shared" si="17"/>
        <v>64325624</v>
      </c>
      <c r="C211" s="122" t="str">
        <f>VLOOKUP($B211,'Tech Litons'!$A:$I,3,0)</f>
        <v>Yasso Poppables</v>
      </c>
      <c r="D211" s="122" t="str">
        <f>VLOOKUP($B211,'Tech Litons'!$A:$I,4,0)</f>
        <v>Yasso Poppables</v>
      </c>
      <c r="E211" s="598" t="s">
        <v>577</v>
      </c>
      <c r="F211" s="598">
        <v>64325624</v>
      </c>
      <c r="G211" s="599">
        <v>12784.276610717199</v>
      </c>
      <c r="H211" s="599">
        <v>12815.032178219801</v>
      </c>
      <c r="I211" s="599">
        <v>14471.895931581699</v>
      </c>
      <c r="J211" s="599">
        <v>17808.163748804101</v>
      </c>
      <c r="K211" s="599">
        <v>13705.4756356855</v>
      </c>
      <c r="L211" s="599">
        <v>12800.319534947301</v>
      </c>
      <c r="M211" s="599">
        <v>23214.2455225005</v>
      </c>
      <c r="N211" s="599">
        <v>18710.221161577199</v>
      </c>
      <c r="O211" s="599">
        <v>18943.427899148399</v>
      </c>
      <c r="P211" s="599">
        <v>16651.050174474101</v>
      </c>
      <c r="Q211" s="599">
        <v>15480.458410060701</v>
      </c>
      <c r="R211" s="599">
        <v>17588.148414741299</v>
      </c>
      <c r="S211" s="425">
        <f t="shared" si="19"/>
        <v>194972.71522245777</v>
      </c>
      <c r="T211" s="122">
        <f>VLOOKUP($B211,'Tech Litons'!$A:$I,9,0)</f>
        <v>200</v>
      </c>
      <c r="U211" s="179">
        <f t="shared" si="21"/>
        <v>63.921383053585998</v>
      </c>
      <c r="V211" s="179">
        <f t="shared" si="21"/>
        <v>64.075160891099003</v>
      </c>
      <c r="W211" s="179">
        <f t="shared" si="21"/>
        <v>72.359479657908494</v>
      </c>
      <c r="X211" s="179">
        <f t="shared" si="20"/>
        <v>89.040818744020513</v>
      </c>
      <c r="Y211" s="179">
        <f t="shared" si="20"/>
        <v>68.527378178427497</v>
      </c>
      <c r="Z211" s="179">
        <f t="shared" si="20"/>
        <v>64.001597674736502</v>
      </c>
      <c r="AA211" s="179">
        <f t="shared" si="20"/>
        <v>116.0712276125025</v>
      </c>
      <c r="AB211" s="179">
        <f t="shared" si="20"/>
        <v>93.551105807886003</v>
      </c>
      <c r="AC211" s="179">
        <f t="shared" si="20"/>
        <v>94.717139495741989</v>
      </c>
      <c r="AD211" s="179">
        <f t="shared" si="20"/>
        <v>83.25525087237051</v>
      </c>
      <c r="AE211" s="179">
        <f t="shared" si="20"/>
        <v>77.402292050303501</v>
      </c>
      <c r="AF211" s="179">
        <f t="shared" si="20"/>
        <v>87.940742073706502</v>
      </c>
    </row>
    <row r="212" spans="2:32">
      <c r="B212" s="122">
        <f t="shared" si="17"/>
        <v>84136043</v>
      </c>
      <c r="C212" s="122" t="str">
        <f>VLOOKUP($B212,'Tech Litons'!$A:$I,3,0)</f>
        <v>BJ PTS</v>
      </c>
      <c r="D212" s="122" t="str">
        <f>VLOOKUP($B212,'Tech Litons'!$A:$I,4,0)</f>
        <v>BJ PTS</v>
      </c>
      <c r="E212" s="598" t="s">
        <v>390</v>
      </c>
      <c r="F212" s="598">
        <v>84136043</v>
      </c>
      <c r="G212" s="599">
        <v>11637.573568281499</v>
      </c>
      <c r="H212" s="599">
        <v>17838.096250297102</v>
      </c>
      <c r="I212" s="599">
        <v>18783.390069776298</v>
      </c>
      <c r="J212" s="599">
        <v>14871.961973314499</v>
      </c>
      <c r="K212" s="599">
        <v>15929.9361498578</v>
      </c>
      <c r="L212" s="599">
        <v>20750.556359203201</v>
      </c>
      <c r="M212" s="599">
        <v>18144.363567067699</v>
      </c>
      <c r="N212" s="599">
        <v>17603.377978526001</v>
      </c>
      <c r="O212" s="599">
        <v>15859.807475708199</v>
      </c>
      <c r="P212" s="599">
        <v>16196.8489687777</v>
      </c>
      <c r="Q212" s="599">
        <v>14015.2514455582</v>
      </c>
      <c r="R212" s="599">
        <v>12817.564847564199</v>
      </c>
      <c r="S212" s="169">
        <f t="shared" si="19"/>
        <v>194448.7286539324</v>
      </c>
      <c r="T212" s="122">
        <f>VLOOKUP($B212,'Tech Litons'!$A:$I,9,0)</f>
        <v>240</v>
      </c>
      <c r="U212" s="179">
        <f t="shared" si="21"/>
        <v>48.48988986783958</v>
      </c>
      <c r="V212" s="179">
        <f t="shared" si="21"/>
        <v>74.325401042904588</v>
      </c>
      <c r="W212" s="179">
        <f t="shared" si="21"/>
        <v>78.264125290734583</v>
      </c>
      <c r="X212" s="179">
        <f t="shared" si="20"/>
        <v>61.966508222143744</v>
      </c>
      <c r="Y212" s="179">
        <f t="shared" si="20"/>
        <v>66.37473395774083</v>
      </c>
      <c r="Z212" s="179">
        <f t="shared" si="20"/>
        <v>86.460651496680001</v>
      </c>
      <c r="AA212" s="179">
        <f t="shared" si="20"/>
        <v>75.601514862782082</v>
      </c>
      <c r="AB212" s="179">
        <f t="shared" si="20"/>
        <v>73.347408243858339</v>
      </c>
      <c r="AC212" s="179">
        <f t="shared" si="20"/>
        <v>66.08253114878417</v>
      </c>
      <c r="AD212" s="179">
        <f t="shared" si="20"/>
        <v>67.486870703240413</v>
      </c>
      <c r="AE212" s="179">
        <f t="shared" si="20"/>
        <v>58.396881023159168</v>
      </c>
      <c r="AF212" s="179">
        <f t="shared" si="20"/>
        <v>53.406520198184161</v>
      </c>
    </row>
    <row r="213" spans="2:32">
      <c r="B213" s="122">
        <f t="shared" si="17"/>
        <v>69687232</v>
      </c>
      <c r="C213" s="122" t="str">
        <f>VLOOKUP($B213,'Tech Litons'!$A:$I,3,0)</f>
        <v>Other</v>
      </c>
      <c r="D213" s="122" t="str">
        <f>VLOOKUP($B213,'Tech Litons'!$A:$I,4,0)</f>
        <v>Other</v>
      </c>
      <c r="E213" s="286" t="s">
        <v>926</v>
      </c>
      <c r="F213" s="598">
        <v>69687232</v>
      </c>
      <c r="G213" s="599">
        <v>5134.0087235716401</v>
      </c>
      <c r="H213" s="599">
        <v>7705.2068969859802</v>
      </c>
      <c r="I213" s="599">
        <v>16197.657785580201</v>
      </c>
      <c r="J213" s="599">
        <v>19614.069010129198</v>
      </c>
      <c r="K213" s="599">
        <v>22377.577713589799</v>
      </c>
      <c r="L213" s="599">
        <v>26195.6295595886</v>
      </c>
      <c r="M213" s="599">
        <v>21882.839346084002</v>
      </c>
      <c r="N213" s="599">
        <v>18947.915545046199</v>
      </c>
      <c r="O213" s="599">
        <v>17460.880125630101</v>
      </c>
      <c r="P213" s="599">
        <v>13172.652755052901</v>
      </c>
      <c r="Q213" s="599">
        <v>12397.217305993699</v>
      </c>
      <c r="R213" s="599">
        <v>10825.534377665999</v>
      </c>
      <c r="S213" s="169">
        <f t="shared" si="19"/>
        <v>191911.18914491829</v>
      </c>
      <c r="T213" s="122">
        <f>VLOOKUP($B213,'Tech Litons'!$A:$I,9,0)</f>
        <v>240</v>
      </c>
      <c r="U213" s="179">
        <f t="shared" si="21"/>
        <v>21.391703014881834</v>
      </c>
      <c r="V213" s="179">
        <f t="shared" si="21"/>
        <v>32.105028737441586</v>
      </c>
      <c r="W213" s="179">
        <f t="shared" si="21"/>
        <v>67.490240773250832</v>
      </c>
      <c r="X213" s="179">
        <f t="shared" si="20"/>
        <v>81.725287542204995</v>
      </c>
      <c r="Y213" s="179">
        <f t="shared" si="20"/>
        <v>93.239907139957495</v>
      </c>
      <c r="Z213" s="179">
        <f t="shared" si="20"/>
        <v>109.14845649828584</v>
      </c>
      <c r="AA213" s="179">
        <f t="shared" si="20"/>
        <v>91.178497275350011</v>
      </c>
      <c r="AB213" s="179">
        <f t="shared" si="20"/>
        <v>78.949648104359156</v>
      </c>
      <c r="AC213" s="179">
        <f t="shared" si="20"/>
        <v>72.753667190125427</v>
      </c>
      <c r="AD213" s="179">
        <f t="shared" si="20"/>
        <v>54.886053146053754</v>
      </c>
      <c r="AE213" s="179">
        <f t="shared" si="20"/>
        <v>51.655072108307081</v>
      </c>
      <c r="AF213" s="179">
        <f t="shared" si="20"/>
        <v>45.106393240274997</v>
      </c>
    </row>
    <row r="214" spans="2:32">
      <c r="B214" s="122">
        <f t="shared" si="17"/>
        <v>68871220</v>
      </c>
      <c r="C214" s="122" t="e">
        <f>VLOOKUP($B214,'Tech Litons'!$A:$I,3,0)</f>
        <v>#N/A</v>
      </c>
      <c r="D214" s="122" t="e">
        <f>VLOOKUP($B214,'Tech Litons'!$A:$I,4,0)</f>
        <v>#N/A</v>
      </c>
      <c r="E214" s="598" t="s">
        <v>967</v>
      </c>
      <c r="F214" s="598">
        <v>68871220</v>
      </c>
      <c r="G214" s="599">
        <v>13792.2606127176</v>
      </c>
      <c r="H214" s="599">
        <v>13048.116716001799</v>
      </c>
      <c r="I214" s="599">
        <v>16928.701020951499</v>
      </c>
      <c r="J214" s="599">
        <v>18650.322062045299</v>
      </c>
      <c r="K214" s="599">
        <v>17435.036219273599</v>
      </c>
      <c r="L214" s="599">
        <v>21662.364317309301</v>
      </c>
      <c r="M214" s="599">
        <v>15748.6935663844</v>
      </c>
      <c r="N214" s="599">
        <v>15886.797614909799</v>
      </c>
      <c r="O214" s="599">
        <v>15855.971854802599</v>
      </c>
      <c r="P214" s="599">
        <v>12351.6357034216</v>
      </c>
      <c r="Q214" s="599">
        <v>14688.630274724699</v>
      </c>
      <c r="R214" s="599">
        <v>13013.763200817801</v>
      </c>
      <c r="S214" s="169">
        <f t="shared" si="19"/>
        <v>189062.29316336004</v>
      </c>
      <c r="T214" s="122" t="e">
        <f>VLOOKUP($B214,'Tech Litons'!$A:$I,9,0)</f>
        <v>#N/A</v>
      </c>
      <c r="U214" s="179" t="e">
        <f t="shared" si="21"/>
        <v>#N/A</v>
      </c>
      <c r="V214" s="179" t="e">
        <f t="shared" si="21"/>
        <v>#N/A</v>
      </c>
      <c r="W214" s="179" t="e">
        <f t="shared" si="21"/>
        <v>#N/A</v>
      </c>
      <c r="X214" s="179" t="e">
        <f t="shared" si="20"/>
        <v>#N/A</v>
      </c>
      <c r="Y214" s="179" t="e">
        <f t="shared" si="20"/>
        <v>#N/A</v>
      </c>
      <c r="Z214" s="179" t="e">
        <f t="shared" si="20"/>
        <v>#N/A</v>
      </c>
      <c r="AA214" s="179" t="e">
        <f t="shared" si="20"/>
        <v>#N/A</v>
      </c>
      <c r="AB214" s="179" t="e">
        <f t="shared" si="20"/>
        <v>#N/A</v>
      </c>
      <c r="AC214" s="179" t="e">
        <f t="shared" si="20"/>
        <v>#N/A</v>
      </c>
      <c r="AD214" s="179" t="e">
        <f t="shared" si="20"/>
        <v>#N/A</v>
      </c>
      <c r="AE214" s="179" t="e">
        <f t="shared" si="20"/>
        <v>#N/A</v>
      </c>
      <c r="AF214" s="179" t="e">
        <f t="shared" si="20"/>
        <v>#N/A</v>
      </c>
    </row>
    <row r="215" spans="2:32">
      <c r="B215" s="122">
        <f t="shared" si="17"/>
        <v>64977528</v>
      </c>
      <c r="C215" s="122" t="str">
        <f>VLOOKUP($B215,'Tech Litons'!$A:$I,3,0)</f>
        <v>48oz</v>
      </c>
      <c r="D215" s="122" t="str">
        <f>VLOOKUP($B215,'Tech Litons'!$A:$I,4,0)</f>
        <v>48oz</v>
      </c>
      <c r="E215" s="598" t="s">
        <v>425</v>
      </c>
      <c r="F215" s="598">
        <v>64977528</v>
      </c>
      <c r="G215" s="599">
        <v>11537</v>
      </c>
      <c r="H215" s="599">
        <v>12353</v>
      </c>
      <c r="I215" s="599">
        <v>10422</v>
      </c>
      <c r="J215" s="599">
        <v>16087.9999999999</v>
      </c>
      <c r="K215" s="599">
        <v>16484</v>
      </c>
      <c r="L215" s="599">
        <v>17288</v>
      </c>
      <c r="M215" s="599">
        <v>17822</v>
      </c>
      <c r="N215" s="599">
        <v>17781</v>
      </c>
      <c r="O215" s="599">
        <v>17288</v>
      </c>
      <c r="P215" s="599">
        <v>17781</v>
      </c>
      <c r="Q215" s="599">
        <v>17288</v>
      </c>
      <c r="R215" s="599">
        <v>16563</v>
      </c>
      <c r="S215" s="169">
        <f t="shared" si="19"/>
        <v>188694.99999999988</v>
      </c>
      <c r="T215" s="122">
        <f>VLOOKUP($B215,'Tech Litons'!$A:$I,9,0)</f>
        <v>176</v>
      </c>
      <c r="U215" s="179">
        <f t="shared" si="21"/>
        <v>65.55113636363636</v>
      </c>
      <c r="V215" s="179">
        <f t="shared" si="21"/>
        <v>70.1875</v>
      </c>
      <c r="W215" s="179">
        <f t="shared" si="21"/>
        <v>59.215909090909093</v>
      </c>
      <c r="X215" s="179">
        <f t="shared" si="20"/>
        <v>91.409090909090338</v>
      </c>
      <c r="Y215" s="179">
        <f t="shared" si="20"/>
        <v>93.659090909090907</v>
      </c>
      <c r="Z215" s="179">
        <f t="shared" si="20"/>
        <v>98.227272727272734</v>
      </c>
      <c r="AA215" s="179">
        <f t="shared" si="20"/>
        <v>101.26136363636364</v>
      </c>
      <c r="AB215" s="179">
        <f t="shared" si="20"/>
        <v>101.02840909090909</v>
      </c>
      <c r="AC215" s="179">
        <f t="shared" si="20"/>
        <v>98.227272727272734</v>
      </c>
      <c r="AD215" s="179">
        <f t="shared" si="20"/>
        <v>101.02840909090909</v>
      </c>
      <c r="AE215" s="179">
        <f t="shared" si="20"/>
        <v>98.227272727272734</v>
      </c>
      <c r="AF215" s="179">
        <f t="shared" si="20"/>
        <v>94.107954545454547</v>
      </c>
    </row>
    <row r="216" spans="2:32">
      <c r="B216" s="122">
        <f t="shared" si="17"/>
        <v>68649097</v>
      </c>
      <c r="C216" s="122" t="str">
        <f>VLOOKUP($B216,'Tech Litons'!$A:$I,3,0)</f>
        <v>Topped</v>
      </c>
      <c r="D216" s="122" t="str">
        <f>VLOOKUP($B216,'Tech Litons'!$A:$I,4,0)</f>
        <v>SP1</v>
      </c>
      <c r="E216" s="598" t="s">
        <v>534</v>
      </c>
      <c r="F216" s="598">
        <v>68649097</v>
      </c>
      <c r="G216" s="599">
        <v>13035.8512790477</v>
      </c>
      <c r="H216" s="599">
        <v>15370.367515355199</v>
      </c>
      <c r="I216" s="599">
        <v>18018.993013196399</v>
      </c>
      <c r="J216" s="599">
        <v>16762.654647028899</v>
      </c>
      <c r="K216" s="599">
        <v>15648.0220718085</v>
      </c>
      <c r="L216" s="599">
        <v>19396.262096774601</v>
      </c>
      <c r="M216" s="599">
        <v>15362.890600859</v>
      </c>
      <c r="N216" s="599">
        <v>17046.073637147299</v>
      </c>
      <c r="O216" s="599">
        <v>14777.779129250601</v>
      </c>
      <c r="P216" s="599">
        <v>15646.0538279924</v>
      </c>
      <c r="Q216" s="599">
        <v>13220.974161947301</v>
      </c>
      <c r="R216" s="599">
        <v>11671.4236259358</v>
      </c>
      <c r="S216" s="169">
        <f t="shared" si="19"/>
        <v>185957.3456063437</v>
      </c>
      <c r="T216" s="122">
        <f>VLOOKUP($B216,'Tech Litons'!$A:$I,9,0)</f>
        <v>240</v>
      </c>
      <c r="U216" s="179">
        <f t="shared" si="21"/>
        <v>54.316046996032085</v>
      </c>
      <c r="V216" s="179">
        <f t="shared" si="21"/>
        <v>64.043197980646667</v>
      </c>
      <c r="W216" s="179">
        <f t="shared" si="21"/>
        <v>75.079137554984996</v>
      </c>
      <c r="X216" s="179">
        <f t="shared" si="20"/>
        <v>69.84439436262042</v>
      </c>
      <c r="Y216" s="179">
        <f t="shared" si="20"/>
        <v>65.200091965868751</v>
      </c>
      <c r="Z216" s="179">
        <f t="shared" si="20"/>
        <v>80.817758736560833</v>
      </c>
      <c r="AA216" s="179">
        <f t="shared" si="20"/>
        <v>64.012044170245829</v>
      </c>
      <c r="AB216" s="179">
        <f t="shared" si="20"/>
        <v>71.025306821447074</v>
      </c>
      <c r="AC216" s="179">
        <f t="shared" si="20"/>
        <v>61.574079705210835</v>
      </c>
      <c r="AD216" s="179">
        <f t="shared" si="20"/>
        <v>65.191890949968339</v>
      </c>
      <c r="AE216" s="179">
        <f t="shared" si="20"/>
        <v>55.087392341447085</v>
      </c>
      <c r="AF216" s="179">
        <f t="shared" si="20"/>
        <v>48.630931774732503</v>
      </c>
    </row>
    <row r="217" spans="2:32">
      <c r="B217" s="122">
        <f t="shared" si="17"/>
        <v>69691790</v>
      </c>
      <c r="C217" s="122" t="e">
        <f>VLOOKUP($B217,'Tech Litons'!$A:$I,3,0)</f>
        <v>#N/A</v>
      </c>
      <c r="D217" s="122" t="e">
        <f>VLOOKUP($B217,'Tech Litons'!$A:$I,4,0)</f>
        <v>#N/A</v>
      </c>
      <c r="E217" s="598" t="s">
        <v>433</v>
      </c>
      <c r="F217" s="598">
        <v>69691790</v>
      </c>
      <c r="G217" s="600">
        <v>14284.9001848883</v>
      </c>
      <c r="H217" s="599">
        <v>14279.052435112901</v>
      </c>
      <c r="I217" s="599">
        <v>16690.251212484302</v>
      </c>
      <c r="J217" s="599">
        <v>16017.5876861459</v>
      </c>
      <c r="K217" s="599">
        <v>15578.1538890919</v>
      </c>
      <c r="L217" s="599">
        <v>21884.2635561682</v>
      </c>
      <c r="M217" s="599">
        <v>16849.037609864801</v>
      </c>
      <c r="N217" s="599">
        <v>16791.067776232201</v>
      </c>
      <c r="O217" s="599">
        <v>15048.4501116924</v>
      </c>
      <c r="P217" s="599">
        <v>15654.7183167368</v>
      </c>
      <c r="Q217" s="599">
        <v>11830.124505464501</v>
      </c>
      <c r="R217" s="599">
        <v>10736.004250591501</v>
      </c>
      <c r="S217" s="169">
        <f t="shared" si="19"/>
        <v>185643.61153447372</v>
      </c>
      <c r="T217" s="122" t="e">
        <f>VLOOKUP($B217,'Tech Litons'!$A:$I,9,0)</f>
        <v>#N/A</v>
      </c>
      <c r="U217" s="179" t="e">
        <f t="shared" si="21"/>
        <v>#N/A</v>
      </c>
      <c r="V217" s="179" t="e">
        <f t="shared" si="21"/>
        <v>#N/A</v>
      </c>
      <c r="W217" s="179" t="e">
        <f t="shared" si="21"/>
        <v>#N/A</v>
      </c>
      <c r="X217" s="179" t="e">
        <f t="shared" si="20"/>
        <v>#N/A</v>
      </c>
      <c r="Y217" s="179" t="e">
        <f t="shared" si="20"/>
        <v>#N/A</v>
      </c>
      <c r="Z217" s="179" t="e">
        <f t="shared" si="20"/>
        <v>#N/A</v>
      </c>
      <c r="AA217" s="179" t="e">
        <f t="shared" si="20"/>
        <v>#N/A</v>
      </c>
      <c r="AB217" s="179" t="e">
        <f t="shared" si="20"/>
        <v>#N/A</v>
      </c>
      <c r="AC217" s="179" t="e">
        <f t="shared" si="20"/>
        <v>#N/A</v>
      </c>
      <c r="AD217" s="179" t="e">
        <f t="shared" si="20"/>
        <v>#N/A</v>
      </c>
      <c r="AE217" s="179" t="e">
        <f t="shared" si="20"/>
        <v>#N/A</v>
      </c>
      <c r="AF217" s="179" t="e">
        <f t="shared" si="20"/>
        <v>#N/A</v>
      </c>
    </row>
    <row r="218" spans="2:32">
      <c r="B218" s="122">
        <f t="shared" si="17"/>
        <v>69551489</v>
      </c>
      <c r="C218" s="122" t="str">
        <f>VLOOKUP($B218,'Tech Litons'!$A:$I,3,0)</f>
        <v>MBG</v>
      </c>
      <c r="D218" s="122" t="str">
        <f>VLOOKUP($B218,'Tech Litons'!$A:$I,4,0)</f>
        <v>MBG</v>
      </c>
      <c r="E218" s="598" t="s">
        <v>887</v>
      </c>
      <c r="F218" s="598">
        <v>69551489</v>
      </c>
      <c r="G218" s="599">
        <v>12740.5832695436</v>
      </c>
      <c r="H218" s="599">
        <v>11397.549180898601</v>
      </c>
      <c r="I218" s="599">
        <v>15965.8434979702</v>
      </c>
      <c r="J218" s="599">
        <v>15252.2827758283</v>
      </c>
      <c r="K218" s="599">
        <v>18603.852333336501</v>
      </c>
      <c r="L218" s="599">
        <v>20224.531078633601</v>
      </c>
      <c r="M218" s="599">
        <v>19770.599247912702</v>
      </c>
      <c r="N218" s="599">
        <v>19389.965723419002</v>
      </c>
      <c r="O218" s="599">
        <v>14450.6933979472</v>
      </c>
      <c r="P218" s="599">
        <v>12869.652666821499</v>
      </c>
      <c r="Q218" s="599">
        <v>12536.256105312699</v>
      </c>
      <c r="R218" s="599">
        <v>12316.9233012724</v>
      </c>
      <c r="S218" s="169">
        <f t="shared" si="19"/>
        <v>185518.73257889634</v>
      </c>
      <c r="T218" s="122">
        <f>VLOOKUP($B218,'Tech Litons'!$A:$I,9,0)</f>
        <v>154</v>
      </c>
      <c r="U218" s="179">
        <f t="shared" si="21"/>
        <v>82.731060191841564</v>
      </c>
      <c r="V218" s="179">
        <f t="shared" si="21"/>
        <v>74.01005961622468</v>
      </c>
      <c r="W218" s="179">
        <f t="shared" si="21"/>
        <v>103.67430842837793</v>
      </c>
      <c r="X218" s="179">
        <f t="shared" si="20"/>
        <v>99.040797245638316</v>
      </c>
      <c r="Y218" s="179">
        <f t="shared" si="20"/>
        <v>120.80423593075651</v>
      </c>
      <c r="Z218" s="179">
        <f t="shared" si="20"/>
        <v>131.32812388723119</v>
      </c>
      <c r="AA218" s="179">
        <f t="shared" si="20"/>
        <v>128.38051459683572</v>
      </c>
      <c r="AB218" s="179">
        <f t="shared" si="20"/>
        <v>125.90886833388961</v>
      </c>
      <c r="AC218" s="179">
        <f t="shared" si="20"/>
        <v>93.835671415241549</v>
      </c>
      <c r="AD218" s="179">
        <f t="shared" si="20"/>
        <v>83.569173161178568</v>
      </c>
      <c r="AE218" s="179">
        <f t="shared" si="20"/>
        <v>81.404260424108443</v>
      </c>
      <c r="AF218" s="179">
        <f t="shared" si="20"/>
        <v>79.980021436833766</v>
      </c>
    </row>
    <row r="219" spans="2:32">
      <c r="B219" s="122">
        <f t="shared" si="17"/>
        <v>69986511</v>
      </c>
      <c r="C219" s="122" t="str">
        <f>VLOOKUP($B219,'Tech Litons'!$A:$I,3,0)</f>
        <v>BJ PTS</v>
      </c>
      <c r="D219" s="122" t="str">
        <f>VLOOKUP($B219,'Tech Litons'!$A:$I,4,0)</f>
        <v>BJ PTS</v>
      </c>
      <c r="E219" s="598" t="s">
        <v>964</v>
      </c>
      <c r="F219" s="598">
        <v>69986511</v>
      </c>
      <c r="G219" s="600">
        <v>8555.3504332203393</v>
      </c>
      <c r="H219" s="599">
        <v>16695.365138337798</v>
      </c>
      <c r="I219" s="599">
        <v>18228.813539746901</v>
      </c>
      <c r="J219" s="599">
        <v>16985.867135246899</v>
      </c>
      <c r="K219" s="599">
        <v>17302.836717016799</v>
      </c>
      <c r="L219" s="599">
        <v>20172.8624628139</v>
      </c>
      <c r="M219" s="599">
        <v>15973.6307857264</v>
      </c>
      <c r="N219" s="599">
        <v>18577.043505633301</v>
      </c>
      <c r="O219" s="599">
        <v>15256.609516951699</v>
      </c>
      <c r="P219" s="599">
        <v>13491.253474163301</v>
      </c>
      <c r="Q219" s="599">
        <v>12372.3363205146</v>
      </c>
      <c r="R219" s="599">
        <v>11754.6816802461</v>
      </c>
      <c r="S219" s="169">
        <f t="shared" si="19"/>
        <v>185366.65070961803</v>
      </c>
      <c r="T219" s="122">
        <f>VLOOKUP($B219,'Tech Litons'!$A:$I,9,0)</f>
        <v>240</v>
      </c>
      <c r="U219" s="179">
        <f t="shared" si="21"/>
        <v>35.647293471751411</v>
      </c>
      <c r="V219" s="179">
        <f t="shared" si="21"/>
        <v>69.564021409740832</v>
      </c>
      <c r="W219" s="179">
        <f t="shared" si="21"/>
        <v>75.953389748945426</v>
      </c>
      <c r="X219" s="179">
        <f t="shared" si="20"/>
        <v>70.774446396862075</v>
      </c>
      <c r="Y219" s="179">
        <f t="shared" si="20"/>
        <v>72.095152987569989</v>
      </c>
      <c r="Z219" s="179">
        <f t="shared" si="20"/>
        <v>84.053593595057919</v>
      </c>
      <c r="AA219" s="179">
        <f t="shared" si="20"/>
        <v>66.556794940526672</v>
      </c>
      <c r="AB219" s="179">
        <f t="shared" si="20"/>
        <v>77.404347940138749</v>
      </c>
      <c r="AC219" s="179">
        <f t="shared" si="20"/>
        <v>63.569206320632084</v>
      </c>
      <c r="AD219" s="179">
        <f t="shared" si="20"/>
        <v>56.213556142347088</v>
      </c>
      <c r="AE219" s="179">
        <f t="shared" si="20"/>
        <v>51.5514013354775</v>
      </c>
      <c r="AF219" s="179">
        <f t="shared" si="20"/>
        <v>48.977840334358753</v>
      </c>
    </row>
    <row r="220" spans="2:32">
      <c r="B220" s="122">
        <f t="shared" si="17"/>
        <v>69549032</v>
      </c>
      <c r="C220" s="122" t="str">
        <f>VLOOKUP($B220,'Tech Litons'!$A:$I,3,0)</f>
        <v>EFW</v>
      </c>
      <c r="D220" s="122" t="str">
        <f>VLOOKUP($B220,'Tech Litons'!$A:$I,4,0)</f>
        <v>EFW</v>
      </c>
      <c r="E220" s="598" t="s">
        <v>556</v>
      </c>
      <c r="F220" s="598">
        <v>69549032</v>
      </c>
      <c r="G220" s="600">
        <v>8062.74999999999</v>
      </c>
      <c r="H220" s="599">
        <v>7837.0199999999904</v>
      </c>
      <c r="I220" s="599">
        <v>14825.01</v>
      </c>
      <c r="J220" s="599">
        <v>15415.4399999999</v>
      </c>
      <c r="K220" s="599">
        <v>21646.3</v>
      </c>
      <c r="L220" s="599">
        <v>27464.6</v>
      </c>
      <c r="M220" s="599">
        <v>25840.43</v>
      </c>
      <c r="N220" s="599">
        <v>19539.189999999999</v>
      </c>
      <c r="O220" s="599">
        <v>16885.169999999998</v>
      </c>
      <c r="P220" s="599">
        <v>11922.71</v>
      </c>
      <c r="Q220" s="599">
        <v>6884.03</v>
      </c>
      <c r="R220" s="599">
        <v>7672.73</v>
      </c>
      <c r="S220" s="169">
        <f t="shared" si="19"/>
        <v>183995.37999999986</v>
      </c>
      <c r="T220" s="122">
        <f>VLOOKUP($B220,'Tech Litons'!$A:$I,9,0)</f>
        <v>322</v>
      </c>
      <c r="U220" s="179">
        <f t="shared" si="21"/>
        <v>25.039596273291895</v>
      </c>
      <c r="V220" s="179">
        <f t="shared" si="21"/>
        <v>24.338571428571399</v>
      </c>
      <c r="W220" s="179">
        <f t="shared" si="21"/>
        <v>46.040403726708078</v>
      </c>
      <c r="X220" s="179">
        <f t="shared" si="20"/>
        <v>47.874037267080439</v>
      </c>
      <c r="Y220" s="179">
        <f t="shared" si="20"/>
        <v>67.224534161490681</v>
      </c>
      <c r="Z220" s="179">
        <f t="shared" si="20"/>
        <v>85.293788819875772</v>
      </c>
      <c r="AA220" s="179">
        <f t="shared" si="20"/>
        <v>80.249782608695654</v>
      </c>
      <c r="AB220" s="179">
        <f t="shared" si="20"/>
        <v>60.680714285714281</v>
      </c>
      <c r="AC220" s="179">
        <f t="shared" si="20"/>
        <v>52.438416149068317</v>
      </c>
      <c r="AD220" s="179">
        <f t="shared" si="20"/>
        <v>37.027049689440993</v>
      </c>
      <c r="AE220" s="179">
        <f t="shared" si="20"/>
        <v>21.378975155279502</v>
      </c>
      <c r="AF220" s="179">
        <f t="shared" si="20"/>
        <v>23.828354037267079</v>
      </c>
    </row>
    <row r="221" spans="2:32">
      <c r="B221" s="122">
        <f t="shared" si="17"/>
        <v>64371463</v>
      </c>
      <c r="C221" s="122" t="str">
        <f>VLOOKUP($B221,'Tech Litons'!$A:$I,3,0)</f>
        <v>Talenti</v>
      </c>
      <c r="D221" s="122" t="str">
        <f>VLOOKUP($B221,'Tech Litons'!$A:$I,4,0)</f>
        <v>Talenti</v>
      </c>
      <c r="E221" s="598" t="s">
        <v>1027</v>
      </c>
      <c r="F221" s="598">
        <v>64371463</v>
      </c>
      <c r="G221" s="599">
        <v>12242.4881091593</v>
      </c>
      <c r="H221" s="599">
        <v>13771.810120613</v>
      </c>
      <c r="I221" s="599">
        <v>15417.148152078</v>
      </c>
      <c r="J221" s="599">
        <v>17715.673831091699</v>
      </c>
      <c r="K221" s="599">
        <v>18089.273771611301</v>
      </c>
      <c r="L221" s="599">
        <v>21834.5504999326</v>
      </c>
      <c r="M221" s="599">
        <v>16833.854151129199</v>
      </c>
      <c r="N221" s="599">
        <v>16194.6185139723</v>
      </c>
      <c r="O221" s="599">
        <v>13955.8715382722</v>
      </c>
      <c r="P221" s="599">
        <v>14917.936880246099</v>
      </c>
      <c r="Q221" s="599">
        <v>10236.277477282099</v>
      </c>
      <c r="R221" s="599">
        <v>12270.8100121263</v>
      </c>
      <c r="S221" s="169">
        <f t="shared" si="19"/>
        <v>183480.31305751411</v>
      </c>
      <c r="T221" s="122">
        <f>VLOOKUP($B221,'Tech Litons'!$A:$I,9,0)</f>
        <v>255</v>
      </c>
      <c r="U221" s="179">
        <f t="shared" si="21"/>
        <v>48.009757290820787</v>
      </c>
      <c r="V221" s="179">
        <f t="shared" si="21"/>
        <v>54.00709851220784</v>
      </c>
      <c r="W221" s="179">
        <f t="shared" si="21"/>
        <v>60.45940451795294</v>
      </c>
      <c r="X221" s="179">
        <f t="shared" si="20"/>
        <v>69.47323071016352</v>
      </c>
      <c r="Y221" s="179">
        <f t="shared" si="20"/>
        <v>70.938328516122752</v>
      </c>
      <c r="Z221" s="179">
        <f t="shared" si="20"/>
        <v>85.625688235029799</v>
      </c>
      <c r="AA221" s="179">
        <f t="shared" si="20"/>
        <v>66.015114318153721</v>
      </c>
      <c r="AB221" s="179">
        <f t="shared" si="20"/>
        <v>63.508307897930592</v>
      </c>
      <c r="AC221" s="179">
        <f t="shared" si="20"/>
        <v>54.728907993224318</v>
      </c>
      <c r="AD221" s="179">
        <f t="shared" si="20"/>
        <v>58.50171325586706</v>
      </c>
      <c r="AE221" s="179">
        <f t="shared" si="20"/>
        <v>40.142264616792545</v>
      </c>
      <c r="AF221" s="179">
        <f t="shared" si="20"/>
        <v>48.120823576965883</v>
      </c>
    </row>
    <row r="222" spans="2:32">
      <c r="B222" s="122">
        <f t="shared" si="17"/>
        <v>68881265</v>
      </c>
      <c r="C222" s="122" t="str">
        <f>VLOOKUP($B222,'Tech Litons'!$A:$I,3,0)</f>
        <v>48oz</v>
      </c>
      <c r="D222" s="122" t="str">
        <f>VLOOKUP($B222,'Tech Litons'!$A:$I,4,0)</f>
        <v>48oz</v>
      </c>
      <c r="E222" s="598" t="s">
        <v>486</v>
      </c>
      <c r="F222" s="598">
        <v>68881265</v>
      </c>
      <c r="G222" s="599">
        <v>8693.1501500677805</v>
      </c>
      <c r="H222" s="599">
        <v>13083.405209059099</v>
      </c>
      <c r="I222" s="599">
        <v>16493.960578235099</v>
      </c>
      <c r="J222" s="599">
        <v>20451.7228996864</v>
      </c>
      <c r="K222" s="599">
        <v>15484.1335000126</v>
      </c>
      <c r="L222" s="599">
        <v>19038.117588281901</v>
      </c>
      <c r="M222" s="599">
        <v>17638.355651392001</v>
      </c>
      <c r="N222" s="599">
        <v>15116.775256655401</v>
      </c>
      <c r="O222" s="599">
        <v>14056.437603918301</v>
      </c>
      <c r="P222" s="599">
        <v>15705.1648777051</v>
      </c>
      <c r="Q222" s="599">
        <v>14823.744845172199</v>
      </c>
      <c r="R222" s="599">
        <v>11693.477128205101</v>
      </c>
      <c r="S222" s="169">
        <f t="shared" si="19"/>
        <v>182278.44528839097</v>
      </c>
      <c r="T222" s="122">
        <f>VLOOKUP($B222,'Tech Litons'!$A:$I,9,0)</f>
        <v>176</v>
      </c>
      <c r="U222" s="179">
        <f t="shared" si="21"/>
        <v>49.392898579930574</v>
      </c>
      <c r="V222" s="179">
        <f t="shared" si="21"/>
        <v>74.3375295969267</v>
      </c>
      <c r="W222" s="179">
        <f t="shared" si="21"/>
        <v>93.715685103608521</v>
      </c>
      <c r="X222" s="179">
        <f t="shared" si="20"/>
        <v>116.20297102094545</v>
      </c>
      <c r="Y222" s="179">
        <f t="shared" si="20"/>
        <v>87.978031250071595</v>
      </c>
      <c r="Z222" s="179">
        <f t="shared" si="20"/>
        <v>108.17112266069262</v>
      </c>
      <c r="AA222" s="179">
        <f t="shared" si="20"/>
        <v>100.21792983745455</v>
      </c>
      <c r="AB222" s="179">
        <f t="shared" si="20"/>
        <v>85.890768503723862</v>
      </c>
      <c r="AC222" s="179">
        <f t="shared" si="20"/>
        <v>79.866122749535805</v>
      </c>
      <c r="AD222" s="179">
        <f t="shared" si="20"/>
        <v>89.233891350597162</v>
      </c>
      <c r="AE222" s="179">
        <f t="shared" si="20"/>
        <v>84.225822983932957</v>
      </c>
      <c r="AF222" s="179">
        <f t="shared" si="20"/>
        <v>66.440210955710796</v>
      </c>
    </row>
    <row r="223" spans="2:32">
      <c r="B223" s="122">
        <f t="shared" si="17"/>
        <v>64988054</v>
      </c>
      <c r="C223" s="122" t="str">
        <f>VLOOKUP($B223,'Tech Litons'!$A:$I,3,0)</f>
        <v>BJ Bars</v>
      </c>
      <c r="D223" s="122" t="str">
        <f>VLOOKUP($B223,'Tech Litons'!$A:$I,4,0)</f>
        <v>BJ Bars</v>
      </c>
      <c r="E223" s="598" t="s">
        <v>600</v>
      </c>
      <c r="F223" s="598">
        <v>64988054</v>
      </c>
      <c r="G223" s="599">
        <v>13917</v>
      </c>
      <c r="H223" s="599">
        <v>8289</v>
      </c>
      <c r="I223" s="599">
        <v>11713.9999999999</v>
      </c>
      <c r="J223" s="599">
        <v>14488</v>
      </c>
      <c r="K223" s="599">
        <v>18245.999999999902</v>
      </c>
      <c r="L223" s="599">
        <v>18215</v>
      </c>
      <c r="M223" s="599">
        <v>16612</v>
      </c>
      <c r="N223" s="599">
        <v>17725</v>
      </c>
      <c r="O223" s="599">
        <v>16350</v>
      </c>
      <c r="P223" s="599">
        <v>16522</v>
      </c>
      <c r="Q223" s="599">
        <v>14385.9999999999</v>
      </c>
      <c r="R223" s="599">
        <v>15023.9999999999</v>
      </c>
      <c r="S223" s="169">
        <f t="shared" si="19"/>
        <v>181487.99999999962</v>
      </c>
      <c r="T223" s="122">
        <f>VLOOKUP($B223,'Tech Litons'!$A:$I,9,0)</f>
        <v>165</v>
      </c>
      <c r="U223" s="179">
        <f t="shared" si="21"/>
        <v>84.345454545454544</v>
      </c>
      <c r="V223" s="179">
        <f t="shared" si="21"/>
        <v>50.236363636363635</v>
      </c>
      <c r="W223" s="179">
        <f t="shared" si="21"/>
        <v>70.993939393938788</v>
      </c>
      <c r="X223" s="179">
        <f t="shared" si="20"/>
        <v>87.806060606060612</v>
      </c>
      <c r="Y223" s="179">
        <f t="shared" si="20"/>
        <v>110.58181818181758</v>
      </c>
      <c r="Z223" s="179">
        <f t="shared" si="20"/>
        <v>110.39393939393939</v>
      </c>
      <c r="AA223" s="179">
        <f t="shared" si="20"/>
        <v>100.67878787878787</v>
      </c>
      <c r="AB223" s="179">
        <f t="shared" si="20"/>
        <v>107.42424242424242</v>
      </c>
      <c r="AC223" s="179">
        <f t="shared" si="20"/>
        <v>99.090909090909093</v>
      </c>
      <c r="AD223" s="179">
        <f t="shared" si="20"/>
        <v>100.13333333333334</v>
      </c>
      <c r="AE223" s="179">
        <f t="shared" si="20"/>
        <v>87.187878787878176</v>
      </c>
      <c r="AF223" s="179">
        <f t="shared" si="20"/>
        <v>91.054545454544851</v>
      </c>
    </row>
    <row r="224" spans="2:32">
      <c r="B224" s="122">
        <f t="shared" ref="B224:B287" si="22">F224</f>
        <v>64394585</v>
      </c>
      <c r="C224" s="122" t="str">
        <f>VLOOKUP($B224,'Tech Litons'!$A:$I,3,0)</f>
        <v>Sundaes</v>
      </c>
      <c r="D224" s="122" t="str">
        <f>VLOOKUP($B224,'Tech Litons'!$A:$I,4,0)</f>
        <v>SP1</v>
      </c>
      <c r="E224" s="598" t="s">
        <v>523</v>
      </c>
      <c r="F224" s="598">
        <v>64394585</v>
      </c>
      <c r="G224" s="599">
        <v>14292.1567012695</v>
      </c>
      <c r="H224" s="599">
        <v>17483.757507832601</v>
      </c>
      <c r="I224" s="599">
        <v>17350.934164703202</v>
      </c>
      <c r="J224" s="599">
        <v>17851.099547327201</v>
      </c>
      <c r="K224" s="599">
        <v>17723.9106233448</v>
      </c>
      <c r="L224" s="599">
        <v>20345.519689519599</v>
      </c>
      <c r="M224" s="599">
        <v>18120.534721514101</v>
      </c>
      <c r="N224" s="599">
        <v>12147.4153560617</v>
      </c>
      <c r="O224" s="599">
        <v>12348.294058375701</v>
      </c>
      <c r="P224" s="599">
        <v>11886.783547594599</v>
      </c>
      <c r="Q224" s="599">
        <v>11450.745470088301</v>
      </c>
      <c r="R224" s="599">
        <v>10484.975229330899</v>
      </c>
      <c r="S224" s="169">
        <f t="shared" si="19"/>
        <v>181486.1266169622</v>
      </c>
      <c r="T224" s="122">
        <f>VLOOKUP($B224,'Tech Litons'!$A:$I,9,0)</f>
        <v>240</v>
      </c>
      <c r="U224" s="179">
        <f t="shared" si="21"/>
        <v>59.550652921956249</v>
      </c>
      <c r="V224" s="179">
        <f t="shared" si="21"/>
        <v>72.848989615969174</v>
      </c>
      <c r="W224" s="179">
        <f t="shared" si="21"/>
        <v>72.295559019596666</v>
      </c>
      <c r="X224" s="179">
        <f t="shared" si="20"/>
        <v>74.379581447196671</v>
      </c>
      <c r="Y224" s="179">
        <f t="shared" si="20"/>
        <v>73.84962759727</v>
      </c>
      <c r="Z224" s="179">
        <f t="shared" si="20"/>
        <v>84.772998706331663</v>
      </c>
      <c r="AA224" s="179">
        <f t="shared" si="20"/>
        <v>75.502228006308755</v>
      </c>
      <c r="AB224" s="179">
        <f t="shared" si="20"/>
        <v>50.614230650257085</v>
      </c>
      <c r="AC224" s="179">
        <f t="shared" si="20"/>
        <v>51.451225243232088</v>
      </c>
      <c r="AD224" s="179">
        <f t="shared" si="20"/>
        <v>49.528264781644161</v>
      </c>
      <c r="AE224" s="179">
        <f t="shared" si="20"/>
        <v>47.711439458701257</v>
      </c>
      <c r="AF224" s="179">
        <f t="shared" si="20"/>
        <v>43.68739678887875</v>
      </c>
    </row>
    <row r="225" spans="2:32">
      <c r="B225" s="122">
        <f t="shared" si="22"/>
        <v>64388734</v>
      </c>
      <c r="C225" s="122" t="str">
        <f>VLOOKUP($B225,'Tech Litons'!$A:$I,3,0)</f>
        <v>Yasso Sticks</v>
      </c>
      <c r="D225" s="122" t="str">
        <f>VLOOKUP($B225,'Tech Litons'!$A:$I,4,0)</f>
        <v>Yasso Sticks</v>
      </c>
      <c r="E225" s="598" t="s">
        <v>583</v>
      </c>
      <c r="F225" s="598">
        <v>64388734</v>
      </c>
      <c r="G225" s="599">
        <v>8981.2501356850007</v>
      </c>
      <c r="H225" s="599">
        <v>11824.6373312781</v>
      </c>
      <c r="I225" s="599">
        <v>12402.2352990401</v>
      </c>
      <c r="J225" s="599">
        <v>13927.9082885196</v>
      </c>
      <c r="K225" s="599">
        <v>15182.3797684703</v>
      </c>
      <c r="L225" s="599">
        <v>19593.764820496101</v>
      </c>
      <c r="M225" s="599">
        <v>21921.8054483462</v>
      </c>
      <c r="N225" s="599">
        <v>19475.631008250799</v>
      </c>
      <c r="O225" s="599">
        <v>16520.536556556901</v>
      </c>
      <c r="P225" s="599">
        <v>13772.103723002399</v>
      </c>
      <c r="Q225" s="599">
        <v>13554.2060010409</v>
      </c>
      <c r="R225" s="599">
        <v>14232.0293661541</v>
      </c>
      <c r="S225" s="169">
        <f t="shared" si="19"/>
        <v>181388.48774684052</v>
      </c>
      <c r="T225" s="122">
        <f>VLOOKUP($B225,'Tech Litons'!$A:$I,9,0)</f>
        <v>187</v>
      </c>
      <c r="U225" s="179">
        <f t="shared" si="21"/>
        <v>48.0280755918984</v>
      </c>
      <c r="V225" s="179">
        <f t="shared" si="21"/>
        <v>63.233354712717109</v>
      </c>
      <c r="W225" s="179">
        <f t="shared" si="21"/>
        <v>66.322113898610155</v>
      </c>
      <c r="X225" s="179">
        <f t="shared" si="20"/>
        <v>74.480792986735835</v>
      </c>
      <c r="Y225" s="179">
        <f t="shared" si="20"/>
        <v>81.189196622835837</v>
      </c>
      <c r="Z225" s="179">
        <f t="shared" si="20"/>
        <v>104.77949101869572</v>
      </c>
      <c r="AA225" s="179">
        <f t="shared" si="20"/>
        <v>117.22890614088877</v>
      </c>
      <c r="AB225" s="179">
        <f t="shared" si="20"/>
        <v>104.14775940241068</v>
      </c>
      <c r="AC225" s="179">
        <f t="shared" si="20"/>
        <v>88.345115275705353</v>
      </c>
      <c r="AD225" s="179">
        <f t="shared" si="20"/>
        <v>73.647613491991436</v>
      </c>
      <c r="AE225" s="179">
        <f t="shared" si="20"/>
        <v>72.482385032304279</v>
      </c>
      <c r="AF225" s="179">
        <f t="shared" si="20"/>
        <v>76.10710890991497</v>
      </c>
    </row>
    <row r="226" spans="2:32">
      <c r="B226" s="122">
        <f t="shared" si="22"/>
        <v>84164937</v>
      </c>
      <c r="C226" s="122" t="str">
        <f>VLOOKUP($B226,'Tech Litons'!$A:$I,3,0)</f>
        <v>BJ PTS</v>
      </c>
      <c r="D226" s="122" t="str">
        <f>VLOOKUP($B226,'Tech Litons'!$A:$I,4,0)</f>
        <v>BJ PTS</v>
      </c>
      <c r="E226" s="598" t="s">
        <v>371</v>
      </c>
      <c r="F226" s="598">
        <v>84164937</v>
      </c>
      <c r="G226" s="599">
        <v>11171.4707705487</v>
      </c>
      <c r="H226" s="599">
        <v>14489.1148225589</v>
      </c>
      <c r="I226" s="599">
        <v>17768.853260530701</v>
      </c>
      <c r="J226" s="599">
        <v>15512.9451689092</v>
      </c>
      <c r="K226" s="599">
        <v>14645.858610228899</v>
      </c>
      <c r="L226" s="599">
        <v>19977.203336905601</v>
      </c>
      <c r="M226" s="599">
        <v>15173.4254250947</v>
      </c>
      <c r="N226" s="599">
        <v>15123.742287089901</v>
      </c>
      <c r="O226" s="599">
        <v>16244.6741592454</v>
      </c>
      <c r="P226" s="599">
        <v>14617.948695561399</v>
      </c>
      <c r="Q226" s="599">
        <v>13390.1652138348</v>
      </c>
      <c r="R226" s="599">
        <v>11593.8053036163</v>
      </c>
      <c r="S226" s="169">
        <f t="shared" si="19"/>
        <v>179709.20705412453</v>
      </c>
      <c r="T226" s="122">
        <f>VLOOKUP($B226,'Tech Litons'!$A:$I,9,0)</f>
        <v>240</v>
      </c>
      <c r="U226" s="179">
        <f t="shared" si="21"/>
        <v>46.54779487728625</v>
      </c>
      <c r="V226" s="179">
        <f t="shared" si="21"/>
        <v>60.371311760662088</v>
      </c>
      <c r="W226" s="179">
        <f t="shared" si="21"/>
        <v>74.036888585544588</v>
      </c>
      <c r="X226" s="179">
        <f t="shared" si="20"/>
        <v>64.637271537121663</v>
      </c>
      <c r="Y226" s="179">
        <f t="shared" si="20"/>
        <v>61.024410875953748</v>
      </c>
      <c r="Z226" s="179">
        <f t="shared" si="20"/>
        <v>83.238347237106666</v>
      </c>
      <c r="AA226" s="179">
        <f t="shared" si="20"/>
        <v>63.222605937894585</v>
      </c>
      <c r="AB226" s="179">
        <f t="shared" si="20"/>
        <v>63.015592862874584</v>
      </c>
      <c r="AC226" s="179">
        <f t="shared" si="20"/>
        <v>67.68614233018917</v>
      </c>
      <c r="AD226" s="179">
        <f t="shared" si="20"/>
        <v>60.908119564839161</v>
      </c>
      <c r="AE226" s="179">
        <f t="shared" si="20"/>
        <v>55.792355057644997</v>
      </c>
      <c r="AF226" s="179">
        <f t="shared" si="20"/>
        <v>48.30752209840125</v>
      </c>
    </row>
    <row r="227" spans="2:32">
      <c r="B227" s="122">
        <f t="shared" si="22"/>
        <v>64396550</v>
      </c>
      <c r="C227" s="122" t="str">
        <f>VLOOKUP($B227,'Tech Litons'!$A:$I,3,0)</f>
        <v>MG Sticks</v>
      </c>
      <c r="D227" s="122" t="str">
        <f>VLOOKUP($B227,'Tech Litons'!$A:$I,4,0)</f>
        <v>MG Sticks</v>
      </c>
      <c r="E227" s="598" t="s">
        <v>548</v>
      </c>
      <c r="F227" s="598">
        <v>64396550</v>
      </c>
      <c r="G227" s="599">
        <v>6754.0241301453098</v>
      </c>
      <c r="H227" s="599">
        <v>8106.8434649713499</v>
      </c>
      <c r="I227" s="599">
        <v>13558.739318173801</v>
      </c>
      <c r="J227" s="599">
        <v>16947.2151172862</v>
      </c>
      <c r="K227" s="599">
        <v>18453.9372532616</v>
      </c>
      <c r="L227" s="599">
        <v>32149.7903607964</v>
      </c>
      <c r="M227" s="599">
        <v>19589.922345128402</v>
      </c>
      <c r="N227" s="599">
        <v>16871.633862167098</v>
      </c>
      <c r="O227" s="599">
        <v>14677.5363490543</v>
      </c>
      <c r="P227" s="599">
        <v>13339.670644821599</v>
      </c>
      <c r="Q227" s="599">
        <v>10657.937994193</v>
      </c>
      <c r="R227" s="599">
        <v>8166.0537225852004</v>
      </c>
      <c r="S227" s="169">
        <f t="shared" si="19"/>
        <v>179273.30456258426</v>
      </c>
      <c r="T227" s="122">
        <f>VLOOKUP($B227,'Tech Litons'!$A:$I,9,0)</f>
        <v>493</v>
      </c>
      <c r="U227" s="179">
        <f t="shared" si="21"/>
        <v>13.699846105771419</v>
      </c>
      <c r="V227" s="179">
        <f t="shared" si="21"/>
        <v>16.443901551666023</v>
      </c>
      <c r="W227" s="179">
        <f t="shared" si="21"/>
        <v>27.502513829967143</v>
      </c>
      <c r="X227" s="179">
        <f t="shared" si="20"/>
        <v>34.375689893075453</v>
      </c>
      <c r="Y227" s="179">
        <f t="shared" si="20"/>
        <v>37.431921406210144</v>
      </c>
      <c r="Z227" s="179">
        <f t="shared" si="20"/>
        <v>65.212556512771599</v>
      </c>
      <c r="AA227" s="179">
        <f t="shared" si="20"/>
        <v>39.736150801477486</v>
      </c>
      <c r="AB227" s="179">
        <f t="shared" si="20"/>
        <v>34.222381059162473</v>
      </c>
      <c r="AC227" s="179">
        <f t="shared" si="20"/>
        <v>29.771879004166937</v>
      </c>
      <c r="AD227" s="179">
        <f t="shared" si="20"/>
        <v>27.058155466169573</v>
      </c>
      <c r="AE227" s="179">
        <f t="shared" si="20"/>
        <v>21.618535485178498</v>
      </c>
      <c r="AF227" s="179">
        <f t="shared" si="20"/>
        <v>16.564003494087629</v>
      </c>
    </row>
    <row r="228" spans="2:32">
      <c r="B228" s="122">
        <f t="shared" si="22"/>
        <v>64977529</v>
      </c>
      <c r="C228" s="122" t="str">
        <f>VLOOKUP($B228,'Tech Litons'!$A:$I,3,0)</f>
        <v>48oz</v>
      </c>
      <c r="D228" s="122" t="str">
        <f>VLOOKUP($B228,'Tech Litons'!$A:$I,4,0)</f>
        <v>48oz</v>
      </c>
      <c r="E228" s="598" t="s">
        <v>406</v>
      </c>
      <c r="F228" s="598">
        <v>64977529</v>
      </c>
      <c r="G228" s="599">
        <v>14096</v>
      </c>
      <c r="H228" s="599">
        <v>9190</v>
      </c>
      <c r="I228" s="599">
        <v>10697</v>
      </c>
      <c r="J228" s="599">
        <v>15833</v>
      </c>
      <c r="K228" s="599">
        <v>16018.9999999999</v>
      </c>
      <c r="L228" s="599">
        <v>15802.9999999999</v>
      </c>
      <c r="M228" s="599">
        <v>16281</v>
      </c>
      <c r="N228" s="599">
        <v>16234</v>
      </c>
      <c r="O228" s="599">
        <v>15802.9999999999</v>
      </c>
      <c r="P228" s="599">
        <v>16234</v>
      </c>
      <c r="Q228" s="599">
        <v>15802.9999999999</v>
      </c>
      <c r="R228" s="599">
        <v>14835</v>
      </c>
      <c r="S228" s="169">
        <f t="shared" si="19"/>
        <v>176827.99999999962</v>
      </c>
      <c r="T228" s="122">
        <f>VLOOKUP($B228,'Tech Litons'!$A:$I,9,0)</f>
        <v>176</v>
      </c>
      <c r="U228" s="179">
        <f t="shared" si="21"/>
        <v>80.090909090909093</v>
      </c>
      <c r="V228" s="179">
        <f t="shared" si="21"/>
        <v>52.215909090909093</v>
      </c>
      <c r="W228" s="179">
        <f t="shared" si="21"/>
        <v>60.778409090909093</v>
      </c>
      <c r="X228" s="179">
        <f t="shared" si="20"/>
        <v>89.960227272727266</v>
      </c>
      <c r="Y228" s="179">
        <f t="shared" si="20"/>
        <v>91.017045454544885</v>
      </c>
      <c r="Z228" s="179">
        <f t="shared" si="20"/>
        <v>89.789772727272165</v>
      </c>
      <c r="AA228" s="179">
        <f t="shared" si="20"/>
        <v>92.505681818181813</v>
      </c>
      <c r="AB228" s="179">
        <f t="shared" si="20"/>
        <v>92.23863636363636</v>
      </c>
      <c r="AC228" s="179">
        <f t="shared" si="20"/>
        <v>89.789772727272165</v>
      </c>
      <c r="AD228" s="179">
        <f t="shared" si="20"/>
        <v>92.23863636363636</v>
      </c>
      <c r="AE228" s="179">
        <f t="shared" si="20"/>
        <v>89.789772727272165</v>
      </c>
      <c r="AF228" s="179">
        <f t="shared" si="20"/>
        <v>84.289772727272734</v>
      </c>
    </row>
    <row r="229" spans="2:32">
      <c r="B229" s="122">
        <f t="shared" si="22"/>
        <v>64978650</v>
      </c>
      <c r="C229" s="122" t="e">
        <f>VLOOKUP($B229,'Tech Litons'!$A:$I,3,0)</f>
        <v>#N/A</v>
      </c>
      <c r="D229" s="122" t="e">
        <f>VLOOKUP($B229,'Tech Litons'!$A:$I,4,0)</f>
        <v>#N/A</v>
      </c>
      <c r="E229" s="598" t="s">
        <v>1055</v>
      </c>
      <c r="F229" s="598">
        <v>64978650</v>
      </c>
      <c r="G229" s="599">
        <v>12134.9999999999</v>
      </c>
      <c r="H229" s="599">
        <v>7536.99999999999</v>
      </c>
      <c r="I229" s="599">
        <v>12278</v>
      </c>
      <c r="J229" s="599">
        <v>12414.9999999999</v>
      </c>
      <c r="K229" s="599">
        <v>17600.999999999902</v>
      </c>
      <c r="L229" s="599">
        <v>18037</v>
      </c>
      <c r="M229" s="599">
        <v>17747.999999999902</v>
      </c>
      <c r="N229" s="599">
        <v>17073</v>
      </c>
      <c r="O229" s="599">
        <v>15751.9999999999</v>
      </c>
      <c r="P229" s="599">
        <v>16401</v>
      </c>
      <c r="Q229" s="599">
        <v>14395.9999999999</v>
      </c>
      <c r="R229" s="599">
        <v>15199.9999999999</v>
      </c>
      <c r="S229" s="169">
        <f t="shared" si="19"/>
        <v>176572.9999999993</v>
      </c>
      <c r="T229" s="122" t="e">
        <f>VLOOKUP($B229,'Tech Litons'!$A:$I,9,0)</f>
        <v>#N/A</v>
      </c>
      <c r="U229" s="179" t="e">
        <f t="shared" si="21"/>
        <v>#N/A</v>
      </c>
      <c r="V229" s="179" t="e">
        <f t="shared" si="21"/>
        <v>#N/A</v>
      </c>
      <c r="W229" s="179" t="e">
        <f t="shared" si="21"/>
        <v>#N/A</v>
      </c>
      <c r="X229" s="179" t="e">
        <f t="shared" si="20"/>
        <v>#N/A</v>
      </c>
      <c r="Y229" s="179" t="e">
        <f t="shared" si="20"/>
        <v>#N/A</v>
      </c>
      <c r="Z229" s="179" t="e">
        <f t="shared" si="20"/>
        <v>#N/A</v>
      </c>
      <c r="AA229" s="179" t="e">
        <f t="shared" si="20"/>
        <v>#N/A</v>
      </c>
      <c r="AB229" s="179" t="e">
        <f t="shared" si="20"/>
        <v>#N/A</v>
      </c>
      <c r="AC229" s="179" t="e">
        <f t="shared" si="20"/>
        <v>#N/A</v>
      </c>
      <c r="AD229" s="179" t="e">
        <f t="shared" si="20"/>
        <v>#N/A</v>
      </c>
      <c r="AE229" s="179" t="e">
        <f t="shared" si="20"/>
        <v>#N/A</v>
      </c>
      <c r="AF229" s="179" t="e">
        <f t="shared" si="20"/>
        <v>#N/A</v>
      </c>
    </row>
    <row r="230" spans="2:32">
      <c r="B230" s="122">
        <f t="shared" si="22"/>
        <v>84137701</v>
      </c>
      <c r="C230" s="122" t="e">
        <f>VLOOKUP($B230,'Tech Litons'!$A:$I,3,0)</f>
        <v>#N/A</v>
      </c>
      <c r="D230" s="122" t="e">
        <f>VLOOKUP($B230,'Tech Litons'!$A:$I,4,0)</f>
        <v>#N/A</v>
      </c>
      <c r="E230" s="598" t="s">
        <v>566</v>
      </c>
      <c r="F230" s="598">
        <v>84137701</v>
      </c>
      <c r="G230" s="599">
        <v>11490.5258174792</v>
      </c>
      <c r="H230" s="599">
        <v>13998.842380383099</v>
      </c>
      <c r="I230" s="599">
        <v>14237.8318343016</v>
      </c>
      <c r="J230" s="599">
        <v>14738.688252288101</v>
      </c>
      <c r="K230" s="599">
        <v>14732.888866057499</v>
      </c>
      <c r="L230" s="599">
        <v>14855.8305492938</v>
      </c>
      <c r="M230" s="599">
        <v>17420.9136716967</v>
      </c>
      <c r="N230" s="599">
        <v>17369.436055008398</v>
      </c>
      <c r="O230" s="599">
        <v>16744.698705076298</v>
      </c>
      <c r="P230" s="599">
        <v>14191.9802246857</v>
      </c>
      <c r="Q230" s="599">
        <v>12955.481023161299</v>
      </c>
      <c r="R230" s="599">
        <v>12344.962813141199</v>
      </c>
      <c r="S230" s="169">
        <f t="shared" si="19"/>
        <v>175082.0801925729</v>
      </c>
      <c r="T230" s="122" t="e">
        <f>VLOOKUP($B230,'Tech Litons'!$A:$I,9,0)</f>
        <v>#N/A</v>
      </c>
      <c r="U230" s="179" t="e">
        <f t="shared" si="21"/>
        <v>#N/A</v>
      </c>
      <c r="V230" s="179" t="e">
        <f t="shared" si="21"/>
        <v>#N/A</v>
      </c>
      <c r="W230" s="179" t="e">
        <f t="shared" si="21"/>
        <v>#N/A</v>
      </c>
      <c r="X230" s="179" t="e">
        <f t="shared" si="20"/>
        <v>#N/A</v>
      </c>
      <c r="Y230" s="179" t="e">
        <f t="shared" si="20"/>
        <v>#N/A</v>
      </c>
      <c r="Z230" s="179" t="e">
        <f t="shared" si="20"/>
        <v>#N/A</v>
      </c>
      <c r="AA230" s="179" t="e">
        <f t="shared" ref="AA230:AF272" si="23">M230/$T230</f>
        <v>#N/A</v>
      </c>
      <c r="AB230" s="179" t="e">
        <f t="shared" si="23"/>
        <v>#N/A</v>
      </c>
      <c r="AC230" s="179" t="e">
        <f t="shared" si="23"/>
        <v>#N/A</v>
      </c>
      <c r="AD230" s="179" t="e">
        <f t="shared" si="23"/>
        <v>#N/A</v>
      </c>
      <c r="AE230" s="179" t="e">
        <f t="shared" si="23"/>
        <v>#N/A</v>
      </c>
      <c r="AF230" s="179" t="e">
        <f t="shared" si="23"/>
        <v>#N/A</v>
      </c>
    </row>
    <row r="231" spans="2:32">
      <c r="B231" s="122">
        <f t="shared" si="22"/>
        <v>68919013</v>
      </c>
      <c r="C231" s="122" t="e">
        <f>VLOOKUP($B231,'Tech Litons'!$A:$I,3,0)</f>
        <v>#N/A</v>
      </c>
      <c r="D231" s="122" t="e">
        <f>VLOOKUP($B231,'Tech Litons'!$A:$I,4,0)</f>
        <v>#N/A</v>
      </c>
      <c r="E231" s="598" t="s">
        <v>944</v>
      </c>
      <c r="F231" s="598">
        <v>68919013</v>
      </c>
      <c r="G231" s="599">
        <v>12903.030156753801</v>
      </c>
      <c r="H231" s="599">
        <v>12375.2533943786</v>
      </c>
      <c r="I231" s="599">
        <v>15029.801593308101</v>
      </c>
      <c r="J231" s="599">
        <v>16480.2357737247</v>
      </c>
      <c r="K231" s="599">
        <v>15805.7972137337</v>
      </c>
      <c r="L231" s="599">
        <v>19668.066096775801</v>
      </c>
      <c r="M231" s="599">
        <v>13787.2902560776</v>
      </c>
      <c r="N231" s="599">
        <v>14329.331484328201</v>
      </c>
      <c r="O231" s="599">
        <v>15559.9711402962</v>
      </c>
      <c r="P231" s="599">
        <v>13009.525931972899</v>
      </c>
      <c r="Q231" s="599">
        <v>13813.405486690501</v>
      </c>
      <c r="R231" s="599">
        <v>11985.8517271645</v>
      </c>
      <c r="S231" s="169">
        <f t="shared" si="19"/>
        <v>174747.56025520459</v>
      </c>
      <c r="T231" s="122" t="e">
        <f>VLOOKUP($B231,'Tech Litons'!$A:$I,9,0)</f>
        <v>#N/A</v>
      </c>
      <c r="U231" s="179" t="e">
        <f t="shared" si="21"/>
        <v>#N/A</v>
      </c>
      <c r="V231" s="179" t="e">
        <f t="shared" si="21"/>
        <v>#N/A</v>
      </c>
      <c r="W231" s="179" t="e">
        <f t="shared" si="21"/>
        <v>#N/A</v>
      </c>
      <c r="X231" s="179" t="e">
        <f t="shared" si="21"/>
        <v>#N/A</v>
      </c>
      <c r="Y231" s="179" t="e">
        <f t="shared" si="21"/>
        <v>#N/A</v>
      </c>
      <c r="Z231" s="179" t="e">
        <f t="shared" si="21"/>
        <v>#N/A</v>
      </c>
      <c r="AA231" s="179" t="e">
        <f t="shared" si="23"/>
        <v>#N/A</v>
      </c>
      <c r="AB231" s="179" t="e">
        <f t="shared" si="23"/>
        <v>#N/A</v>
      </c>
      <c r="AC231" s="179" t="e">
        <f t="shared" si="23"/>
        <v>#N/A</v>
      </c>
      <c r="AD231" s="179" t="e">
        <f t="shared" si="23"/>
        <v>#N/A</v>
      </c>
      <c r="AE231" s="179" t="e">
        <f t="shared" si="23"/>
        <v>#N/A</v>
      </c>
      <c r="AF231" s="179" t="e">
        <f t="shared" si="23"/>
        <v>#N/A</v>
      </c>
    </row>
    <row r="232" spans="2:32">
      <c r="B232" s="122">
        <f t="shared" si="22"/>
        <v>68726715</v>
      </c>
      <c r="C232" s="122" t="e">
        <f>VLOOKUP($B232,'Tech Litons'!$A:$I,3,0)</f>
        <v>#N/A</v>
      </c>
      <c r="D232" s="122" t="e">
        <f>VLOOKUP($B232,'Tech Litons'!$A:$I,4,0)</f>
        <v>#N/A</v>
      </c>
      <c r="E232" s="598" t="s">
        <v>502</v>
      </c>
      <c r="F232" s="598">
        <v>68726715</v>
      </c>
      <c r="G232" s="600">
        <v>14032.512526029301</v>
      </c>
      <c r="H232" s="599">
        <v>13555.860849335</v>
      </c>
      <c r="I232" s="599">
        <v>15922.826180456799</v>
      </c>
      <c r="J232" s="599">
        <v>15810.8125082682</v>
      </c>
      <c r="K232" s="599">
        <v>15724.165933361401</v>
      </c>
      <c r="L232" s="599">
        <v>19403.785922262701</v>
      </c>
      <c r="M232" s="599">
        <v>16172.5052139984</v>
      </c>
      <c r="N232" s="599">
        <v>15253.244309039401</v>
      </c>
      <c r="O232" s="599">
        <v>14321.0270966431</v>
      </c>
      <c r="P232" s="599">
        <v>13659.5617196154</v>
      </c>
      <c r="Q232" s="599">
        <v>10529.395726013699</v>
      </c>
      <c r="R232" s="599">
        <v>10054.0079813798</v>
      </c>
      <c r="S232" s="169">
        <f t="shared" si="19"/>
        <v>174439.70596640321</v>
      </c>
      <c r="T232" s="122" t="e">
        <f>VLOOKUP($B232,'Tech Litons'!$A:$I,9,0)</f>
        <v>#N/A</v>
      </c>
      <c r="U232" s="179" t="e">
        <f t="shared" si="21"/>
        <v>#N/A</v>
      </c>
      <c r="V232" s="179" t="e">
        <f t="shared" si="21"/>
        <v>#N/A</v>
      </c>
      <c r="W232" s="179" t="e">
        <f t="shared" si="21"/>
        <v>#N/A</v>
      </c>
      <c r="X232" s="179" t="e">
        <f t="shared" si="21"/>
        <v>#N/A</v>
      </c>
      <c r="Y232" s="179" t="e">
        <f t="shared" si="21"/>
        <v>#N/A</v>
      </c>
      <c r="Z232" s="179" t="e">
        <f t="shared" si="21"/>
        <v>#N/A</v>
      </c>
      <c r="AA232" s="179" t="e">
        <f t="shared" si="23"/>
        <v>#N/A</v>
      </c>
      <c r="AB232" s="179" t="e">
        <f t="shared" si="23"/>
        <v>#N/A</v>
      </c>
      <c r="AC232" s="179" t="e">
        <f t="shared" si="23"/>
        <v>#N/A</v>
      </c>
      <c r="AD232" s="179" t="e">
        <f t="shared" si="23"/>
        <v>#N/A</v>
      </c>
      <c r="AE232" s="179" t="e">
        <f t="shared" si="23"/>
        <v>#N/A</v>
      </c>
      <c r="AF232" s="179" t="e">
        <f t="shared" si="23"/>
        <v>#N/A</v>
      </c>
    </row>
    <row r="233" spans="2:32">
      <c r="B233" s="122">
        <f t="shared" si="22"/>
        <v>69671641</v>
      </c>
      <c r="C233" s="122" t="e">
        <f>VLOOKUP($B233,'Tech Litons'!$A:$I,3,0)</f>
        <v>#N/A</v>
      </c>
      <c r="D233" s="122" t="e">
        <f>VLOOKUP($B233,'Tech Litons'!$A:$I,4,0)</f>
        <v>#N/A</v>
      </c>
      <c r="E233" s="598" t="s">
        <v>1093</v>
      </c>
      <c r="F233" s="598">
        <v>69671641</v>
      </c>
      <c r="G233" s="599">
        <v>10868.451608946199</v>
      </c>
      <c r="H233" s="599">
        <v>9466.0751844816095</v>
      </c>
      <c r="I233" s="599">
        <v>14260.4789730748</v>
      </c>
      <c r="J233" s="599">
        <v>17811.615668329501</v>
      </c>
      <c r="K233" s="599">
        <v>19468.709421499701</v>
      </c>
      <c r="L233" s="599">
        <v>18035.199219724698</v>
      </c>
      <c r="M233" s="599">
        <v>22586.719475179201</v>
      </c>
      <c r="N233" s="599">
        <v>15631.722307379099</v>
      </c>
      <c r="O233" s="599">
        <v>12004.232773776501</v>
      </c>
      <c r="P233" s="599">
        <v>11959.185089479701</v>
      </c>
      <c r="Q233" s="599">
        <v>10992.6286246296</v>
      </c>
      <c r="R233" s="599">
        <v>11159.3418992153</v>
      </c>
      <c r="S233" s="169">
        <f t="shared" si="19"/>
        <v>174244.36024571591</v>
      </c>
      <c r="T233" s="122" t="e">
        <f>VLOOKUP($B233,'Tech Litons'!$A:$I,9,0)</f>
        <v>#N/A</v>
      </c>
      <c r="U233" s="179" t="e">
        <f t="shared" si="21"/>
        <v>#N/A</v>
      </c>
      <c r="V233" s="179" t="e">
        <f t="shared" si="21"/>
        <v>#N/A</v>
      </c>
      <c r="W233" s="179" t="e">
        <f t="shared" si="21"/>
        <v>#N/A</v>
      </c>
      <c r="X233" s="179" t="e">
        <f t="shared" si="21"/>
        <v>#N/A</v>
      </c>
      <c r="Y233" s="179" t="e">
        <f t="shared" si="21"/>
        <v>#N/A</v>
      </c>
      <c r="Z233" s="179" t="e">
        <f t="shared" si="21"/>
        <v>#N/A</v>
      </c>
      <c r="AA233" s="179" t="e">
        <f t="shared" si="23"/>
        <v>#N/A</v>
      </c>
      <c r="AB233" s="179" t="e">
        <f t="shared" si="23"/>
        <v>#N/A</v>
      </c>
      <c r="AC233" s="179" t="e">
        <f t="shared" si="23"/>
        <v>#N/A</v>
      </c>
      <c r="AD233" s="179" t="e">
        <f t="shared" si="23"/>
        <v>#N/A</v>
      </c>
      <c r="AE233" s="179" t="e">
        <f t="shared" si="23"/>
        <v>#N/A</v>
      </c>
      <c r="AF233" s="179" t="e">
        <f t="shared" si="23"/>
        <v>#N/A</v>
      </c>
    </row>
    <row r="234" spans="2:32">
      <c r="B234" s="122">
        <f t="shared" si="22"/>
        <v>64394598</v>
      </c>
      <c r="C234" s="122" t="str">
        <f>VLOOKUP($B234,'Tech Litons'!$A:$I,3,0)</f>
        <v>Sundaes</v>
      </c>
      <c r="D234" s="122" t="str">
        <f>VLOOKUP($B234,'Tech Litons'!$A:$I,4,0)</f>
        <v>SP1</v>
      </c>
      <c r="E234" s="598" t="s">
        <v>451</v>
      </c>
      <c r="F234" s="598">
        <v>64394598</v>
      </c>
      <c r="G234" s="599">
        <v>13679.5240617655</v>
      </c>
      <c r="H234" s="599">
        <v>16765.163062515101</v>
      </c>
      <c r="I234" s="599">
        <v>16670.016580275402</v>
      </c>
      <c r="J234" s="599">
        <v>17143.0319876553</v>
      </c>
      <c r="K234" s="599">
        <v>16981.7832519857</v>
      </c>
      <c r="L234" s="599">
        <v>19679.759689367002</v>
      </c>
      <c r="M234" s="599">
        <v>17526.761317127599</v>
      </c>
      <c r="N234" s="599">
        <v>11540.6610221193</v>
      </c>
      <c r="O234" s="599">
        <v>11823.642522140601</v>
      </c>
      <c r="P234" s="599">
        <v>11335.0464886469</v>
      </c>
      <c r="Q234" s="599">
        <v>10944.064658474301</v>
      </c>
      <c r="R234" s="599">
        <v>9973.2145134061702</v>
      </c>
      <c r="S234" s="169">
        <f t="shared" si="19"/>
        <v>174062.66915547886</v>
      </c>
      <c r="T234" s="122">
        <f>VLOOKUP($B234,'Tech Litons'!$A:$I,9,0)</f>
        <v>240</v>
      </c>
      <c r="U234" s="179">
        <f t="shared" si="21"/>
        <v>56.998016924022913</v>
      </c>
      <c r="V234" s="179">
        <f t="shared" si="21"/>
        <v>69.854846093812924</v>
      </c>
      <c r="W234" s="179">
        <f t="shared" si="21"/>
        <v>69.45840241781417</v>
      </c>
      <c r="X234" s="179">
        <f t="shared" si="21"/>
        <v>71.429299948563752</v>
      </c>
      <c r="Y234" s="179">
        <f t="shared" si="21"/>
        <v>70.757430216607091</v>
      </c>
      <c r="Z234" s="179">
        <f t="shared" si="21"/>
        <v>81.99899870569584</v>
      </c>
      <c r="AA234" s="179">
        <f t="shared" si="23"/>
        <v>73.028172154698325</v>
      </c>
      <c r="AB234" s="179">
        <f t="shared" si="23"/>
        <v>48.08608759216375</v>
      </c>
      <c r="AC234" s="179">
        <f t="shared" si="23"/>
        <v>49.265177175585833</v>
      </c>
      <c r="AD234" s="179">
        <f t="shared" si="23"/>
        <v>47.229360369362084</v>
      </c>
      <c r="AE234" s="179">
        <f t="shared" si="23"/>
        <v>45.600269410309586</v>
      </c>
      <c r="AF234" s="179">
        <f t="shared" si="23"/>
        <v>41.55506047252571</v>
      </c>
    </row>
    <row r="235" spans="2:32">
      <c r="B235" s="122">
        <f t="shared" si="22"/>
        <v>69700048</v>
      </c>
      <c r="C235" s="122" t="str">
        <f>VLOOKUP($B235,'Tech Litons'!$A:$I,3,0)</f>
        <v>MBG</v>
      </c>
      <c r="D235" s="122" t="str">
        <f>VLOOKUP($B235,'Tech Litons'!$A:$I,4,0)</f>
        <v>MBG</v>
      </c>
      <c r="E235" s="598" t="s">
        <v>918</v>
      </c>
      <c r="F235" s="598">
        <v>69700048</v>
      </c>
      <c r="G235" s="599">
        <v>7126.7097599996396</v>
      </c>
      <c r="H235" s="599">
        <v>7795.9908895946301</v>
      </c>
      <c r="I235" s="599">
        <v>12714.9753394984</v>
      </c>
      <c r="J235" s="599">
        <v>18554.014408418399</v>
      </c>
      <c r="K235" s="599">
        <v>24664.544142621999</v>
      </c>
      <c r="L235" s="599">
        <v>23537.933392782299</v>
      </c>
      <c r="M235" s="599">
        <v>22193.601496440799</v>
      </c>
      <c r="N235" s="599">
        <v>16512.931715537099</v>
      </c>
      <c r="O235" s="599">
        <v>12799.4024178728</v>
      </c>
      <c r="P235" s="599">
        <v>10455.6672507479</v>
      </c>
      <c r="Q235" s="599">
        <v>8009.4631705379597</v>
      </c>
      <c r="R235" s="599">
        <v>8958.5153233957899</v>
      </c>
      <c r="S235" s="169">
        <f t="shared" si="19"/>
        <v>173323.74930744772</v>
      </c>
      <c r="T235" s="122">
        <f>VLOOKUP($B235,'Tech Litons'!$A:$I,9,0)</f>
        <v>225</v>
      </c>
      <c r="U235" s="179">
        <f t="shared" si="21"/>
        <v>31.6742655999984</v>
      </c>
      <c r="V235" s="179">
        <f t="shared" si="21"/>
        <v>34.648848398198353</v>
      </c>
      <c r="W235" s="179">
        <f t="shared" si="21"/>
        <v>56.511001508881776</v>
      </c>
      <c r="X235" s="179">
        <f t="shared" si="21"/>
        <v>82.462286259637324</v>
      </c>
      <c r="Y235" s="179">
        <f t="shared" si="21"/>
        <v>109.6201961894311</v>
      </c>
      <c r="Z235" s="179">
        <f t="shared" si="21"/>
        <v>104.61303730125466</v>
      </c>
      <c r="AA235" s="179">
        <f t="shared" si="23"/>
        <v>98.638228873070219</v>
      </c>
      <c r="AB235" s="179">
        <f t="shared" si="23"/>
        <v>73.390807624609323</v>
      </c>
      <c r="AC235" s="179">
        <f t="shared" si="23"/>
        <v>56.886232968323554</v>
      </c>
      <c r="AD235" s="179">
        <f t="shared" si="23"/>
        <v>46.469632225546221</v>
      </c>
      <c r="AE235" s="179">
        <f t="shared" si="23"/>
        <v>35.597614091279823</v>
      </c>
      <c r="AF235" s="179">
        <f t="shared" si="23"/>
        <v>39.815623659536847</v>
      </c>
    </row>
    <row r="236" spans="2:32">
      <c r="B236" s="122">
        <f t="shared" si="22"/>
        <v>68730252</v>
      </c>
      <c r="C236" s="122" t="str">
        <f>VLOOKUP($B236,'Tech Litons'!$A:$I,3,0)</f>
        <v>TALENTI</v>
      </c>
      <c r="D236" s="122" t="str">
        <f>VLOOKUP($B236,'Tech Litons'!$A:$I,4,0)</f>
        <v>TALENTI</v>
      </c>
      <c r="E236" s="598" t="s">
        <v>458</v>
      </c>
      <c r="F236" s="598">
        <v>68730252</v>
      </c>
      <c r="G236" s="599">
        <v>13390.930182852</v>
      </c>
      <c r="H236" s="599">
        <v>14370.787075141699</v>
      </c>
      <c r="I236" s="599">
        <v>14902.7818177554</v>
      </c>
      <c r="J236" s="599">
        <v>15766.2001569641</v>
      </c>
      <c r="K236" s="599">
        <v>14600.3164008145</v>
      </c>
      <c r="L236" s="599">
        <v>20851.8829589833</v>
      </c>
      <c r="M236" s="599">
        <v>15615.6740702431</v>
      </c>
      <c r="N236" s="599">
        <v>14682.9074951619</v>
      </c>
      <c r="O236" s="599">
        <v>13329.912465519301</v>
      </c>
      <c r="P236" s="599">
        <v>13513.538660546399</v>
      </c>
      <c r="Q236" s="599">
        <v>9756.5085622715796</v>
      </c>
      <c r="R236" s="599">
        <v>9442.4111843200299</v>
      </c>
      <c r="S236" s="169">
        <f t="shared" si="19"/>
        <v>170223.85103057328</v>
      </c>
      <c r="T236" s="122">
        <f>VLOOKUP($B236,'Tech Litons'!$A:$I,9,0)</f>
        <v>255</v>
      </c>
      <c r="U236" s="179">
        <f t="shared" si="21"/>
        <v>52.513451697458827</v>
      </c>
      <c r="V236" s="179">
        <f t="shared" si="21"/>
        <v>56.356027745653726</v>
      </c>
      <c r="W236" s="179">
        <f t="shared" si="21"/>
        <v>58.442281638256468</v>
      </c>
      <c r="X236" s="179">
        <f t="shared" si="21"/>
        <v>61.828235909663135</v>
      </c>
      <c r="Y236" s="179">
        <f t="shared" si="21"/>
        <v>57.256142748292156</v>
      </c>
      <c r="Z236" s="179">
        <f t="shared" si="21"/>
        <v>81.772090035228629</v>
      </c>
      <c r="AA236" s="179">
        <f t="shared" si="23"/>
        <v>61.237937530365095</v>
      </c>
      <c r="AB236" s="179">
        <f t="shared" si="23"/>
        <v>57.580029392791765</v>
      </c>
      <c r="AC236" s="179">
        <f t="shared" si="23"/>
        <v>52.274166531448238</v>
      </c>
      <c r="AD236" s="179">
        <f t="shared" si="23"/>
        <v>52.994269257044699</v>
      </c>
      <c r="AE236" s="179">
        <f t="shared" si="23"/>
        <v>38.260817891261098</v>
      </c>
      <c r="AF236" s="179">
        <f t="shared" si="23"/>
        <v>37.029063467921688</v>
      </c>
    </row>
    <row r="237" spans="2:32">
      <c r="B237" s="122">
        <f t="shared" si="22"/>
        <v>68709237</v>
      </c>
      <c r="C237" s="122" t="str">
        <f>VLOOKUP($B237,'Tech Litons'!$A:$I,3,0)</f>
        <v>EDF</v>
      </c>
      <c r="D237" s="122" t="str">
        <f>VLOOKUP($B237,'Tech Litons'!$A:$I,4,0)</f>
        <v>EDF</v>
      </c>
      <c r="E237" s="598" t="s">
        <v>1020</v>
      </c>
      <c r="F237" s="598">
        <v>68709237</v>
      </c>
      <c r="G237" s="600">
        <v>11886.3003118173</v>
      </c>
      <c r="H237" s="599">
        <v>9984.4748436973696</v>
      </c>
      <c r="I237" s="599">
        <v>16686.1543091288</v>
      </c>
      <c r="J237" s="599">
        <v>12422.928598037601</v>
      </c>
      <c r="K237" s="599">
        <v>15448.077470714799</v>
      </c>
      <c r="L237" s="599">
        <v>18987.240335387101</v>
      </c>
      <c r="M237" s="599">
        <v>21090.903730268899</v>
      </c>
      <c r="N237" s="599">
        <v>16493.367013710598</v>
      </c>
      <c r="O237" s="599">
        <v>12513.709315845101</v>
      </c>
      <c r="P237" s="599">
        <v>12358.9621938991</v>
      </c>
      <c r="Q237" s="599">
        <v>10042.0821668476</v>
      </c>
      <c r="R237" s="599">
        <v>9340.8643483318992</v>
      </c>
      <c r="S237" s="169">
        <f t="shared" si="19"/>
        <v>167255.06463768616</v>
      </c>
      <c r="T237" s="122">
        <f>VLOOKUP($B237,'Tech Litons'!$A:$I,9,0)</f>
        <v>132</v>
      </c>
      <c r="U237" s="179">
        <f t="shared" si="21"/>
        <v>90.047729634979547</v>
      </c>
      <c r="V237" s="179">
        <f t="shared" si="21"/>
        <v>75.639960937101279</v>
      </c>
      <c r="W237" s="179">
        <f t="shared" si="21"/>
        <v>126.41025991764242</v>
      </c>
      <c r="X237" s="179">
        <f t="shared" si="21"/>
        <v>94.113095439678787</v>
      </c>
      <c r="Y237" s="179">
        <f t="shared" si="21"/>
        <v>117.03088992965758</v>
      </c>
      <c r="Z237" s="179">
        <f t="shared" si="21"/>
        <v>143.84272981353865</v>
      </c>
      <c r="AA237" s="179">
        <f t="shared" si="23"/>
        <v>159.77957371415832</v>
      </c>
      <c r="AB237" s="179">
        <f t="shared" si="23"/>
        <v>124.94975010386817</v>
      </c>
      <c r="AC237" s="179">
        <f t="shared" si="23"/>
        <v>94.800828150341673</v>
      </c>
      <c r="AD237" s="179">
        <f t="shared" si="23"/>
        <v>93.628501468932583</v>
      </c>
      <c r="AE237" s="179">
        <f t="shared" si="23"/>
        <v>76.076380051875759</v>
      </c>
      <c r="AF237" s="179">
        <f t="shared" si="23"/>
        <v>70.764123850999241</v>
      </c>
    </row>
    <row r="238" spans="2:32">
      <c r="B238" s="122">
        <f t="shared" si="22"/>
        <v>68726896</v>
      </c>
      <c r="C238" s="122" t="e">
        <f>VLOOKUP($B238,'Tech Litons'!$A:$I,3,0)</f>
        <v>#N/A</v>
      </c>
      <c r="D238" s="122" t="e">
        <f>VLOOKUP($B238,'Tech Litons'!$A:$I,4,0)</f>
        <v>#N/A</v>
      </c>
      <c r="E238" s="598" t="s">
        <v>434</v>
      </c>
      <c r="F238" s="598">
        <v>68726896</v>
      </c>
      <c r="G238" s="599">
        <v>14821.926891933201</v>
      </c>
      <c r="H238" s="599">
        <v>12846.2040736689</v>
      </c>
      <c r="I238" s="599">
        <v>14936.8531297974</v>
      </c>
      <c r="J238" s="599">
        <v>14681.9759914521</v>
      </c>
      <c r="K238" s="599">
        <v>14737.705447698099</v>
      </c>
      <c r="L238" s="599">
        <v>19547.8707067</v>
      </c>
      <c r="M238" s="599">
        <v>15333.733138465401</v>
      </c>
      <c r="N238" s="599">
        <v>14027.476689751</v>
      </c>
      <c r="O238" s="599">
        <v>13756.513189734</v>
      </c>
      <c r="P238" s="599">
        <v>13595.693946357</v>
      </c>
      <c r="Q238" s="599">
        <v>9251.5709566140395</v>
      </c>
      <c r="R238" s="599">
        <v>8948.68223316695</v>
      </c>
      <c r="S238" s="425">
        <f t="shared" si="19"/>
        <v>166486.20639533809</v>
      </c>
      <c r="T238" s="122" t="e">
        <f>VLOOKUP($B238,'Tech Litons'!$A:$I,9,0)</f>
        <v>#N/A</v>
      </c>
      <c r="U238" s="179" t="e">
        <f t="shared" si="21"/>
        <v>#N/A</v>
      </c>
      <c r="V238" s="179" t="e">
        <f t="shared" si="21"/>
        <v>#N/A</v>
      </c>
      <c r="W238" s="179" t="e">
        <f t="shared" si="21"/>
        <v>#N/A</v>
      </c>
      <c r="X238" s="179" t="e">
        <f t="shared" si="21"/>
        <v>#N/A</v>
      </c>
      <c r="Y238" s="179" t="e">
        <f t="shared" si="21"/>
        <v>#N/A</v>
      </c>
      <c r="Z238" s="179" t="e">
        <f t="shared" si="21"/>
        <v>#N/A</v>
      </c>
      <c r="AA238" s="179" t="e">
        <f t="shared" si="23"/>
        <v>#N/A</v>
      </c>
      <c r="AB238" s="179" t="e">
        <f t="shared" si="23"/>
        <v>#N/A</v>
      </c>
      <c r="AC238" s="179" t="e">
        <f t="shared" si="23"/>
        <v>#N/A</v>
      </c>
      <c r="AD238" s="179" t="e">
        <f t="shared" si="23"/>
        <v>#N/A</v>
      </c>
      <c r="AE238" s="179" t="e">
        <f t="shared" si="23"/>
        <v>#N/A</v>
      </c>
      <c r="AF238" s="179" t="e">
        <f t="shared" si="23"/>
        <v>#N/A</v>
      </c>
    </row>
    <row r="239" spans="2:32">
      <c r="B239" s="122">
        <f t="shared" si="22"/>
        <v>69577493</v>
      </c>
      <c r="C239" s="122" t="str">
        <f>VLOOKUP($B239,'Tech Litons'!$A:$I,3,0)</f>
        <v>MG Sticks</v>
      </c>
      <c r="D239" s="122" t="str">
        <f>VLOOKUP($B239,'Tech Litons'!$A:$I,4,0)</f>
        <v>MG Sticks</v>
      </c>
      <c r="E239" s="598" t="s">
        <v>334</v>
      </c>
      <c r="F239" s="598">
        <v>69577493</v>
      </c>
      <c r="G239" s="599">
        <v>8400.2727799942804</v>
      </c>
      <c r="H239" s="599">
        <v>12751.181357895</v>
      </c>
      <c r="I239" s="599">
        <v>15634.413151025499</v>
      </c>
      <c r="J239" s="599">
        <v>14944.7530231536</v>
      </c>
      <c r="K239" s="599">
        <v>18607.107868368999</v>
      </c>
      <c r="L239" s="599">
        <v>17510.9726245561</v>
      </c>
      <c r="M239" s="599">
        <v>16104.364352835901</v>
      </c>
      <c r="N239" s="599">
        <v>15502.673818557099</v>
      </c>
      <c r="O239" s="599">
        <v>13755.619217932601</v>
      </c>
      <c r="P239" s="599">
        <v>12973.094862498199</v>
      </c>
      <c r="Q239" s="599">
        <v>10331.5688512836</v>
      </c>
      <c r="R239" s="599">
        <v>9104.5945202702296</v>
      </c>
      <c r="S239" s="169">
        <f t="shared" si="19"/>
        <v>165620.61642837111</v>
      </c>
      <c r="T239" s="122">
        <f>VLOOKUP($B239,'Tech Litons'!$A:$I,9,0)</f>
        <v>210</v>
      </c>
      <c r="U239" s="179">
        <f t="shared" si="21"/>
        <v>40.001298952353714</v>
      </c>
      <c r="V239" s="179">
        <f t="shared" si="21"/>
        <v>60.719911228071432</v>
      </c>
      <c r="W239" s="179">
        <f t="shared" si="21"/>
        <v>74.449586433454755</v>
      </c>
      <c r="X239" s="179">
        <f t="shared" si="21"/>
        <v>71.165490586445713</v>
      </c>
      <c r="Y239" s="179">
        <f t="shared" si="21"/>
        <v>88.605275563661905</v>
      </c>
      <c r="Z239" s="179">
        <f t="shared" si="21"/>
        <v>83.385583926457613</v>
      </c>
      <c r="AA239" s="179">
        <f t="shared" si="23"/>
        <v>76.687449299218571</v>
      </c>
      <c r="AB239" s="179">
        <f t="shared" si="23"/>
        <v>73.822256278843327</v>
      </c>
      <c r="AC239" s="179">
        <f t="shared" si="23"/>
        <v>65.502948656821914</v>
      </c>
      <c r="AD239" s="179">
        <f t="shared" si="23"/>
        <v>61.776642202372379</v>
      </c>
      <c r="AE239" s="179">
        <f t="shared" si="23"/>
        <v>49.197946910874286</v>
      </c>
      <c r="AF239" s="179">
        <f t="shared" si="23"/>
        <v>43.355212001286809</v>
      </c>
    </row>
    <row r="240" spans="2:32">
      <c r="B240" s="122">
        <f t="shared" si="22"/>
        <v>67420264</v>
      </c>
      <c r="C240" s="122" t="e">
        <f>VLOOKUP($B240,'Tech Litons'!$A:$I,3,0)</f>
        <v>#N/A</v>
      </c>
      <c r="D240" s="122" t="e">
        <f>VLOOKUP($B240,'Tech Litons'!$A:$I,4,0)</f>
        <v>#N/A</v>
      </c>
      <c r="E240" s="598" t="s">
        <v>568</v>
      </c>
      <c r="F240" s="598">
        <v>67420264</v>
      </c>
      <c r="G240" s="599">
        <v>9786.6391027207192</v>
      </c>
      <c r="H240" s="599">
        <v>14015.0641902608</v>
      </c>
      <c r="I240" s="599">
        <v>14085.2885123877</v>
      </c>
      <c r="J240" s="599">
        <v>15622.6202591286</v>
      </c>
      <c r="K240" s="599">
        <v>14103.3269607805</v>
      </c>
      <c r="L240" s="599">
        <v>11694.2225780687</v>
      </c>
      <c r="M240" s="599">
        <v>16166.7704948795</v>
      </c>
      <c r="N240" s="599">
        <v>15779.1652922459</v>
      </c>
      <c r="O240" s="599">
        <v>14998.345732817501</v>
      </c>
      <c r="P240" s="599">
        <v>13306.1979192692</v>
      </c>
      <c r="Q240" s="599">
        <v>12365.413623663</v>
      </c>
      <c r="R240" s="599">
        <v>12051.565076868599</v>
      </c>
      <c r="S240" s="169">
        <f t="shared" si="19"/>
        <v>163974.61974309073</v>
      </c>
      <c r="T240" s="122" t="e">
        <f>VLOOKUP($B240,'Tech Litons'!$A:$I,9,0)</f>
        <v>#N/A</v>
      </c>
      <c r="U240" s="179" t="e">
        <f t="shared" si="21"/>
        <v>#N/A</v>
      </c>
      <c r="V240" s="179" t="e">
        <f t="shared" si="21"/>
        <v>#N/A</v>
      </c>
      <c r="W240" s="179" t="e">
        <f t="shared" si="21"/>
        <v>#N/A</v>
      </c>
      <c r="X240" s="179" t="e">
        <f t="shared" si="21"/>
        <v>#N/A</v>
      </c>
      <c r="Y240" s="179" t="e">
        <f t="shared" si="21"/>
        <v>#N/A</v>
      </c>
      <c r="Z240" s="179" t="e">
        <f t="shared" si="21"/>
        <v>#N/A</v>
      </c>
      <c r="AA240" s="179" t="e">
        <f t="shared" si="23"/>
        <v>#N/A</v>
      </c>
      <c r="AB240" s="179" t="e">
        <f t="shared" si="23"/>
        <v>#N/A</v>
      </c>
      <c r="AC240" s="179" t="e">
        <f t="shared" si="23"/>
        <v>#N/A</v>
      </c>
      <c r="AD240" s="179" t="e">
        <f t="shared" si="23"/>
        <v>#N/A</v>
      </c>
      <c r="AE240" s="179" t="e">
        <f t="shared" si="23"/>
        <v>#N/A</v>
      </c>
      <c r="AF240" s="179" t="e">
        <f t="shared" si="23"/>
        <v>#N/A</v>
      </c>
    </row>
    <row r="241" spans="2:32">
      <c r="B241" s="122">
        <f t="shared" si="22"/>
        <v>68769686</v>
      </c>
      <c r="C241" s="122" t="str">
        <f>VLOOKUP($B241,'Tech Litons'!$A:$I,3,0)</f>
        <v>48oz</v>
      </c>
      <c r="D241" s="122" t="str">
        <f>VLOOKUP($B241,'Tech Litons'!$A:$I,4,0)</f>
        <v>48oz</v>
      </c>
      <c r="E241" s="598" t="s">
        <v>409</v>
      </c>
      <c r="F241" s="598">
        <v>68769686</v>
      </c>
      <c r="G241" s="599">
        <v>11283.287944555101</v>
      </c>
      <c r="H241" s="599">
        <v>12329.6171829907</v>
      </c>
      <c r="I241" s="599">
        <v>13419.8206393171</v>
      </c>
      <c r="J241" s="599">
        <v>15963.867171793499</v>
      </c>
      <c r="K241" s="599">
        <v>15134.6825864168</v>
      </c>
      <c r="L241" s="599">
        <v>17436.779214460999</v>
      </c>
      <c r="M241" s="599">
        <v>14620.5971623488</v>
      </c>
      <c r="N241" s="599">
        <v>13624.448119807201</v>
      </c>
      <c r="O241" s="599">
        <v>10856.3914770351</v>
      </c>
      <c r="P241" s="599">
        <v>12636.569186623699</v>
      </c>
      <c r="Q241" s="599">
        <v>13672.269898336899</v>
      </c>
      <c r="R241" s="599">
        <v>11367.8832474467</v>
      </c>
      <c r="S241" s="169">
        <f t="shared" si="19"/>
        <v>162346.2138311326</v>
      </c>
      <c r="T241" s="122">
        <f>VLOOKUP($B241,'Tech Litons'!$A:$I,9,0)</f>
        <v>154</v>
      </c>
      <c r="U241" s="179">
        <f t="shared" si="21"/>
        <v>73.268103536072076</v>
      </c>
      <c r="V241" s="179">
        <f t="shared" si="21"/>
        <v>80.062449240199356</v>
      </c>
      <c r="W241" s="179">
        <f t="shared" si="21"/>
        <v>87.141692463098053</v>
      </c>
      <c r="X241" s="179">
        <f t="shared" si="21"/>
        <v>103.66147514151623</v>
      </c>
      <c r="Y241" s="179">
        <f t="shared" si="21"/>
        <v>98.277159652057151</v>
      </c>
      <c r="Z241" s="179">
        <f t="shared" si="21"/>
        <v>113.22583905494156</v>
      </c>
      <c r="AA241" s="179">
        <f t="shared" si="23"/>
        <v>94.938942612654543</v>
      </c>
      <c r="AB241" s="179">
        <f t="shared" si="23"/>
        <v>88.4704423364104</v>
      </c>
      <c r="AC241" s="179">
        <f t="shared" si="23"/>
        <v>70.496048552175978</v>
      </c>
      <c r="AD241" s="179">
        <f t="shared" si="23"/>
        <v>82.05564406898506</v>
      </c>
      <c r="AE241" s="179">
        <f t="shared" si="23"/>
        <v>88.780973365824025</v>
      </c>
      <c r="AF241" s="179">
        <f t="shared" si="23"/>
        <v>73.817423684718833</v>
      </c>
    </row>
    <row r="242" spans="2:32">
      <c r="B242" s="122">
        <f t="shared" si="22"/>
        <v>68889812</v>
      </c>
      <c r="C242" s="122" t="e">
        <f>VLOOKUP($B242,'Tech Litons'!$A:$I,3,0)</f>
        <v>#N/A</v>
      </c>
      <c r="D242" s="122" t="e">
        <f>VLOOKUP($B242,'Tech Litons'!$A:$I,4,0)</f>
        <v>#N/A</v>
      </c>
      <c r="E242" s="598" t="s">
        <v>928</v>
      </c>
      <c r="F242" s="598">
        <v>68889812</v>
      </c>
      <c r="G242" s="599">
        <v>4545.30807733655</v>
      </c>
      <c r="H242" s="599">
        <v>7879.7734607519697</v>
      </c>
      <c r="I242" s="599">
        <v>13939.787640442501</v>
      </c>
      <c r="J242" s="599">
        <v>16007.1197563891</v>
      </c>
      <c r="K242" s="599">
        <v>20817.849547628099</v>
      </c>
      <c r="L242" s="599">
        <v>30405.689824532801</v>
      </c>
      <c r="M242" s="599">
        <v>14388.1596620405</v>
      </c>
      <c r="N242" s="599">
        <v>14821.1383373627</v>
      </c>
      <c r="O242" s="599">
        <v>11183.543873705399</v>
      </c>
      <c r="P242" s="599">
        <v>8520.0942610719503</v>
      </c>
      <c r="Q242" s="599">
        <v>7122.9537388674598</v>
      </c>
      <c r="R242" s="599">
        <v>8910.4344563517898</v>
      </c>
      <c r="S242" s="169">
        <f t="shared" si="19"/>
        <v>158541.85263648085</v>
      </c>
      <c r="T242" s="122" t="e">
        <f>VLOOKUP($B242,'Tech Litons'!$A:$I,9,0)</f>
        <v>#N/A</v>
      </c>
      <c r="U242" s="179" t="e">
        <f t="shared" si="21"/>
        <v>#N/A</v>
      </c>
      <c r="V242" s="179" t="e">
        <f t="shared" si="21"/>
        <v>#N/A</v>
      </c>
      <c r="W242" s="179" t="e">
        <f t="shared" si="21"/>
        <v>#N/A</v>
      </c>
      <c r="X242" s="179" t="e">
        <f t="shared" si="21"/>
        <v>#N/A</v>
      </c>
      <c r="Y242" s="179" t="e">
        <f t="shared" si="21"/>
        <v>#N/A</v>
      </c>
      <c r="Z242" s="179" t="e">
        <f t="shared" si="21"/>
        <v>#N/A</v>
      </c>
      <c r="AA242" s="179" t="e">
        <f t="shared" si="23"/>
        <v>#N/A</v>
      </c>
      <c r="AB242" s="179" t="e">
        <f t="shared" si="23"/>
        <v>#N/A</v>
      </c>
      <c r="AC242" s="179" t="e">
        <f t="shared" si="23"/>
        <v>#N/A</v>
      </c>
      <c r="AD242" s="179" t="e">
        <f t="shared" si="23"/>
        <v>#N/A</v>
      </c>
      <c r="AE242" s="179" t="e">
        <f t="shared" si="23"/>
        <v>#N/A</v>
      </c>
      <c r="AF242" s="179" t="e">
        <f t="shared" si="23"/>
        <v>#N/A</v>
      </c>
    </row>
    <row r="243" spans="2:32">
      <c r="B243" s="122">
        <f t="shared" si="22"/>
        <v>69653140</v>
      </c>
      <c r="C243" s="122" t="str">
        <f>VLOOKUP($B243,'Tech Litons'!$A:$I,3,0)</f>
        <v>BR Minicups</v>
      </c>
      <c r="D243" s="122" t="str">
        <f>VLOOKUP($B243,'Tech Litons'!$A:$I,4,0)</f>
        <v>Other</v>
      </c>
      <c r="E243" s="286" t="s">
        <v>889</v>
      </c>
      <c r="F243" s="598">
        <v>69653140</v>
      </c>
      <c r="G243" s="600">
        <v>14805.353209765201</v>
      </c>
      <c r="H243" s="599">
        <v>15026.655112389401</v>
      </c>
      <c r="I243" s="599">
        <v>10792.704377147</v>
      </c>
      <c r="J243" s="599">
        <v>15907.5279313383</v>
      </c>
      <c r="K243" s="599">
        <v>14983.837584619399</v>
      </c>
      <c r="L243" s="599">
        <v>16516.753545289401</v>
      </c>
      <c r="M243" s="599">
        <v>12227.649811302899</v>
      </c>
      <c r="N243" s="599">
        <v>13540.2026289073</v>
      </c>
      <c r="O243" s="599">
        <v>8828.4955196525407</v>
      </c>
      <c r="P243" s="599">
        <v>9555.5472302574199</v>
      </c>
      <c r="Q243" s="599">
        <v>14430.555313126901</v>
      </c>
      <c r="R243" s="599">
        <v>10263.476867503299</v>
      </c>
      <c r="S243" s="169">
        <f t="shared" si="19"/>
        <v>156878.75913129907</v>
      </c>
      <c r="T243" s="122">
        <f>VLOOKUP($B243,'Tech Litons'!$A:$I,9,0)</f>
        <v>120</v>
      </c>
      <c r="U243" s="179">
        <f t="shared" si="21"/>
        <v>123.37794341471</v>
      </c>
      <c r="V243" s="179">
        <f t="shared" si="21"/>
        <v>125.22212593657834</v>
      </c>
      <c r="W243" s="179">
        <f t="shared" si="21"/>
        <v>89.939203142891671</v>
      </c>
      <c r="X243" s="179">
        <f t="shared" si="21"/>
        <v>132.56273276115249</v>
      </c>
      <c r="Y243" s="179">
        <f t="shared" si="21"/>
        <v>124.86531320516166</v>
      </c>
      <c r="Z243" s="179">
        <f t="shared" si="21"/>
        <v>137.63961287741168</v>
      </c>
      <c r="AA243" s="179">
        <f t="shared" si="23"/>
        <v>101.89708176085749</v>
      </c>
      <c r="AB243" s="179">
        <f t="shared" si="23"/>
        <v>112.83502190756083</v>
      </c>
      <c r="AC243" s="179">
        <f t="shared" si="23"/>
        <v>73.570795997104511</v>
      </c>
      <c r="AD243" s="179">
        <f t="shared" si="23"/>
        <v>79.629560252145168</v>
      </c>
      <c r="AE243" s="179">
        <f t="shared" si="23"/>
        <v>120.25462760939084</v>
      </c>
      <c r="AF243" s="179">
        <f t="shared" si="23"/>
        <v>85.52897389586083</v>
      </c>
    </row>
    <row r="244" spans="2:32">
      <c r="B244" s="122">
        <f t="shared" si="22"/>
        <v>69565377</v>
      </c>
      <c r="C244" s="122" t="e">
        <f>VLOOKUP($B244,'Tech Litons'!$A:$I,3,0)</f>
        <v>#N/A</v>
      </c>
      <c r="D244" s="122" t="e">
        <f>VLOOKUP($B244,'Tech Litons'!$A:$I,4,0)</f>
        <v>#N/A</v>
      </c>
      <c r="E244" s="598" t="s">
        <v>298</v>
      </c>
      <c r="F244" s="598">
        <v>69565377</v>
      </c>
      <c r="G244" s="599">
        <v>11060.7655223118</v>
      </c>
      <c r="H244" s="599">
        <v>13740.343854495501</v>
      </c>
      <c r="I244" s="599">
        <v>15976.234780271099</v>
      </c>
      <c r="J244" s="599">
        <v>13702.625793379701</v>
      </c>
      <c r="K244" s="599">
        <v>12425.309899596499</v>
      </c>
      <c r="L244" s="599">
        <v>15157.6257710639</v>
      </c>
      <c r="M244" s="599">
        <v>14749.2069321584</v>
      </c>
      <c r="N244" s="599">
        <v>14501.811112831299</v>
      </c>
      <c r="O244" s="599">
        <v>12655.676723929901</v>
      </c>
      <c r="P244" s="599">
        <v>12276.416525905301</v>
      </c>
      <c r="Q244" s="599">
        <v>11233.612895055399</v>
      </c>
      <c r="R244" s="599">
        <v>9059.2545865751908</v>
      </c>
      <c r="S244" s="169">
        <f t="shared" si="19"/>
        <v>156538.88439757403</v>
      </c>
      <c r="T244" s="122" t="e">
        <f>VLOOKUP($B244,'Tech Litons'!$A:$I,9,0)</f>
        <v>#N/A</v>
      </c>
      <c r="U244" s="179" t="e">
        <f t="shared" si="21"/>
        <v>#N/A</v>
      </c>
      <c r="V244" s="179" t="e">
        <f t="shared" si="21"/>
        <v>#N/A</v>
      </c>
      <c r="W244" s="179" t="e">
        <f t="shared" si="21"/>
        <v>#N/A</v>
      </c>
      <c r="X244" s="179" t="e">
        <f t="shared" si="21"/>
        <v>#N/A</v>
      </c>
      <c r="Y244" s="179" t="e">
        <f t="shared" si="21"/>
        <v>#N/A</v>
      </c>
      <c r="Z244" s="179" t="e">
        <f t="shared" si="21"/>
        <v>#N/A</v>
      </c>
      <c r="AA244" s="179" t="e">
        <f t="shared" si="23"/>
        <v>#N/A</v>
      </c>
      <c r="AB244" s="179" t="e">
        <f t="shared" si="23"/>
        <v>#N/A</v>
      </c>
      <c r="AC244" s="179" t="e">
        <f t="shared" si="23"/>
        <v>#N/A</v>
      </c>
      <c r="AD244" s="179" t="e">
        <f t="shared" si="23"/>
        <v>#N/A</v>
      </c>
      <c r="AE244" s="179" t="e">
        <f t="shared" si="23"/>
        <v>#N/A</v>
      </c>
      <c r="AF244" s="179" t="e">
        <f t="shared" si="23"/>
        <v>#N/A</v>
      </c>
    </row>
    <row r="245" spans="2:32">
      <c r="B245" s="122">
        <f t="shared" si="22"/>
        <v>68354590</v>
      </c>
      <c r="C245" s="122" t="str">
        <f>VLOOKUP($B245,'Tech Litons'!$A:$I,3,0)</f>
        <v>Topped</v>
      </c>
      <c r="D245" s="122" t="str">
        <f>VLOOKUP($B245,'Tech Litons'!$A:$I,4,0)</f>
        <v>SP1</v>
      </c>
      <c r="E245" s="598" t="s">
        <v>376</v>
      </c>
      <c r="F245" s="598">
        <v>68354590</v>
      </c>
      <c r="G245" s="600">
        <v>9091.8413089208298</v>
      </c>
      <c r="H245" s="599">
        <v>13984.6091006892</v>
      </c>
      <c r="I245" s="599">
        <v>15350.344020828899</v>
      </c>
      <c r="J245" s="599">
        <v>11422.2983134267</v>
      </c>
      <c r="K245" s="599">
        <v>11783.0320373057</v>
      </c>
      <c r="L245" s="599">
        <v>15710.095757917001</v>
      </c>
      <c r="M245" s="599">
        <v>14815.802509561099</v>
      </c>
      <c r="N245" s="599">
        <v>13872.603298739201</v>
      </c>
      <c r="O245" s="599">
        <v>14093.607288410099</v>
      </c>
      <c r="P245" s="599">
        <v>12509.876988472901</v>
      </c>
      <c r="Q245" s="599">
        <v>10949.040614235701</v>
      </c>
      <c r="R245" s="599">
        <v>8758.7680749819992</v>
      </c>
      <c r="S245" s="169">
        <f t="shared" si="19"/>
        <v>152341.91931348934</v>
      </c>
      <c r="T245" s="122">
        <f>VLOOKUP($B245,'Tech Litons'!$A:$I,9,0)</f>
        <v>240</v>
      </c>
      <c r="U245" s="179">
        <f t="shared" si="21"/>
        <v>37.882672120503457</v>
      </c>
      <c r="V245" s="179">
        <f t="shared" si="21"/>
        <v>58.269204586204999</v>
      </c>
      <c r="W245" s="179">
        <f t="shared" si="21"/>
        <v>63.959766753453749</v>
      </c>
      <c r="X245" s="179">
        <f t="shared" si="21"/>
        <v>47.592909639277913</v>
      </c>
      <c r="Y245" s="179">
        <f t="shared" si="21"/>
        <v>49.095966822107087</v>
      </c>
      <c r="Z245" s="179">
        <f t="shared" si="21"/>
        <v>65.458732324654164</v>
      </c>
      <c r="AA245" s="179">
        <f t="shared" si="23"/>
        <v>61.732510456504578</v>
      </c>
      <c r="AB245" s="179">
        <f t="shared" si="23"/>
        <v>57.802513744746669</v>
      </c>
      <c r="AC245" s="179">
        <f t="shared" si="23"/>
        <v>58.723363701708749</v>
      </c>
      <c r="AD245" s="179">
        <f t="shared" si="23"/>
        <v>52.124487451970417</v>
      </c>
      <c r="AE245" s="179">
        <f t="shared" si="23"/>
        <v>45.621002559315421</v>
      </c>
      <c r="AF245" s="179">
        <f t="shared" si="23"/>
        <v>36.494866979091661</v>
      </c>
    </row>
    <row r="246" spans="2:32">
      <c r="B246" s="122">
        <f t="shared" si="22"/>
        <v>69797288</v>
      </c>
      <c r="C246" s="122" t="str">
        <f>VLOOKUP($B246,'Tech Litons'!$A:$I,3,0)</f>
        <v>BJ PTS</v>
      </c>
      <c r="D246" s="122" t="str">
        <f>VLOOKUP($B246,'Tech Litons'!$A:$I,4,0)</f>
        <v>BJ PTS</v>
      </c>
      <c r="E246" s="598" t="s">
        <v>454</v>
      </c>
      <c r="F246" s="598">
        <v>69797288</v>
      </c>
      <c r="G246" s="599">
        <v>8547.6989047316893</v>
      </c>
      <c r="H246" s="599">
        <v>13490.574736864201</v>
      </c>
      <c r="I246" s="599">
        <v>12530.8001746419</v>
      </c>
      <c r="J246" s="599">
        <v>12876.3295834488</v>
      </c>
      <c r="K246" s="599">
        <v>17025.7248888783</v>
      </c>
      <c r="L246" s="599">
        <v>17127.618084678699</v>
      </c>
      <c r="M246" s="599">
        <v>13634.567660987101</v>
      </c>
      <c r="N246" s="599">
        <v>13636.1164590843</v>
      </c>
      <c r="O246" s="599">
        <v>11967.537881066901</v>
      </c>
      <c r="P246" s="599">
        <v>10893.3244571264</v>
      </c>
      <c r="Q246" s="599">
        <v>11120.675058971099</v>
      </c>
      <c r="R246" s="599">
        <v>9312.6857489355498</v>
      </c>
      <c r="S246" s="169">
        <f t="shared" si="19"/>
        <v>152163.65363941496</v>
      </c>
      <c r="T246" s="122">
        <f>VLOOKUP($B246,'Tech Litons'!$A:$I,9,0)</f>
        <v>240</v>
      </c>
      <c r="U246" s="179">
        <f t="shared" si="21"/>
        <v>35.615412103048705</v>
      </c>
      <c r="V246" s="179">
        <f t="shared" si="21"/>
        <v>56.2107280702675</v>
      </c>
      <c r="W246" s="179">
        <f t="shared" si="21"/>
        <v>52.211667394341248</v>
      </c>
      <c r="X246" s="179">
        <f t="shared" si="21"/>
        <v>53.651373264370001</v>
      </c>
      <c r="Y246" s="179">
        <f t="shared" si="21"/>
        <v>70.940520370326254</v>
      </c>
      <c r="Z246" s="179">
        <f t="shared" si="21"/>
        <v>71.365075352827915</v>
      </c>
      <c r="AA246" s="179">
        <f t="shared" si="23"/>
        <v>56.810698587446254</v>
      </c>
      <c r="AB246" s="179">
        <f t="shared" si="23"/>
        <v>56.817151912851251</v>
      </c>
      <c r="AC246" s="179">
        <f t="shared" si="23"/>
        <v>49.864741171112087</v>
      </c>
      <c r="AD246" s="179">
        <f t="shared" si="23"/>
        <v>45.388851904693333</v>
      </c>
      <c r="AE246" s="179">
        <f t="shared" si="23"/>
        <v>46.336146079046244</v>
      </c>
      <c r="AF246" s="179">
        <f t="shared" si="23"/>
        <v>38.802857287231454</v>
      </c>
    </row>
    <row r="247" spans="2:32">
      <c r="B247" s="122">
        <f t="shared" si="22"/>
        <v>68188511</v>
      </c>
      <c r="C247" s="122" t="e">
        <f>VLOOKUP($B247,'Tech Litons'!$A:$I,3,0)</f>
        <v>#N/A</v>
      </c>
      <c r="D247" s="122" t="e">
        <f>VLOOKUP($B247,'Tech Litons'!$A:$I,4,0)</f>
        <v>#N/A</v>
      </c>
      <c r="E247" s="598" t="s">
        <v>966</v>
      </c>
      <c r="F247" s="598">
        <v>68188511</v>
      </c>
      <c r="G247" s="599">
        <v>8878.6143787235706</v>
      </c>
      <c r="H247" s="599">
        <v>14059.039974085799</v>
      </c>
      <c r="I247" s="599">
        <v>12968.595416045</v>
      </c>
      <c r="J247" s="599">
        <v>14930.577704392501</v>
      </c>
      <c r="K247" s="599">
        <v>13929.747487521799</v>
      </c>
      <c r="L247" s="599">
        <v>18393.209478654098</v>
      </c>
      <c r="M247" s="599">
        <v>10095.404996552999</v>
      </c>
      <c r="N247" s="599">
        <v>12592.2958658344</v>
      </c>
      <c r="O247" s="599">
        <v>11927.349906061299</v>
      </c>
      <c r="P247" s="599">
        <v>11755.721501296701</v>
      </c>
      <c r="Q247" s="599">
        <v>9972.7479608155409</v>
      </c>
      <c r="R247" s="599">
        <v>9993.5821707117993</v>
      </c>
      <c r="S247" s="169">
        <f t="shared" si="19"/>
        <v>149496.88684069552</v>
      </c>
      <c r="T247" s="122" t="e">
        <f>VLOOKUP($B247,'Tech Litons'!$A:$I,9,0)</f>
        <v>#N/A</v>
      </c>
      <c r="U247" s="179" t="e">
        <f t="shared" si="21"/>
        <v>#N/A</v>
      </c>
      <c r="V247" s="179" t="e">
        <f t="shared" si="21"/>
        <v>#N/A</v>
      </c>
      <c r="W247" s="179" t="e">
        <f t="shared" si="21"/>
        <v>#N/A</v>
      </c>
      <c r="X247" s="179" t="e">
        <f t="shared" si="21"/>
        <v>#N/A</v>
      </c>
      <c r="Y247" s="179" t="e">
        <f t="shared" si="21"/>
        <v>#N/A</v>
      </c>
      <c r="Z247" s="179" t="e">
        <f t="shared" si="21"/>
        <v>#N/A</v>
      </c>
      <c r="AA247" s="179" t="e">
        <f t="shared" si="23"/>
        <v>#N/A</v>
      </c>
      <c r="AB247" s="179" t="e">
        <f t="shared" si="23"/>
        <v>#N/A</v>
      </c>
      <c r="AC247" s="179" t="e">
        <f t="shared" si="23"/>
        <v>#N/A</v>
      </c>
      <c r="AD247" s="179" t="e">
        <f t="shared" si="23"/>
        <v>#N/A</v>
      </c>
      <c r="AE247" s="179" t="e">
        <f t="shared" si="23"/>
        <v>#N/A</v>
      </c>
      <c r="AF247" s="179" t="e">
        <f t="shared" si="23"/>
        <v>#N/A</v>
      </c>
    </row>
    <row r="248" spans="2:32">
      <c r="B248" s="122">
        <f t="shared" si="22"/>
        <v>68659823</v>
      </c>
      <c r="C248" s="122" t="e">
        <f>VLOOKUP($B248,'Tech Litons'!$A:$I,3,0)</f>
        <v>#N/A</v>
      </c>
      <c r="D248" s="122" t="e">
        <f>VLOOKUP($B248,'Tech Litons'!$A:$I,4,0)</f>
        <v>#N/A</v>
      </c>
      <c r="E248" s="598" t="s">
        <v>901</v>
      </c>
      <c r="F248" s="598">
        <v>68659823</v>
      </c>
      <c r="G248" s="599">
        <v>9712.1396862861293</v>
      </c>
      <c r="H248" s="599">
        <v>12222.2900586418</v>
      </c>
      <c r="I248" s="599">
        <v>17014.685919827902</v>
      </c>
      <c r="J248" s="599">
        <v>11760.249191758199</v>
      </c>
      <c r="K248" s="599">
        <v>11965.1699576214</v>
      </c>
      <c r="L248" s="599">
        <v>11883.103443415601</v>
      </c>
      <c r="M248" s="599">
        <v>17091.212771475399</v>
      </c>
      <c r="N248" s="599">
        <v>16007.5689455467</v>
      </c>
      <c r="O248" s="599">
        <v>11436.088547343301</v>
      </c>
      <c r="P248" s="599">
        <v>13371.3145525277</v>
      </c>
      <c r="Q248" s="599">
        <v>8509.4900671103296</v>
      </c>
      <c r="R248" s="599">
        <v>8284.3945079401201</v>
      </c>
      <c r="S248" s="169">
        <f t="shared" si="19"/>
        <v>149257.70764949461</v>
      </c>
      <c r="T248" s="122" t="e">
        <f>VLOOKUP($B248,'Tech Litons'!$A:$I,9,0)</f>
        <v>#N/A</v>
      </c>
      <c r="U248" s="179" t="e">
        <f t="shared" si="21"/>
        <v>#N/A</v>
      </c>
      <c r="V248" s="179" t="e">
        <f t="shared" si="21"/>
        <v>#N/A</v>
      </c>
      <c r="W248" s="179" t="e">
        <f t="shared" si="21"/>
        <v>#N/A</v>
      </c>
      <c r="X248" s="179" t="e">
        <f t="shared" si="21"/>
        <v>#N/A</v>
      </c>
      <c r="Y248" s="179" t="e">
        <f t="shared" si="21"/>
        <v>#N/A</v>
      </c>
      <c r="Z248" s="179" t="e">
        <f t="shared" si="21"/>
        <v>#N/A</v>
      </c>
      <c r="AA248" s="179" t="e">
        <f t="shared" si="23"/>
        <v>#N/A</v>
      </c>
      <c r="AB248" s="179" t="e">
        <f t="shared" si="23"/>
        <v>#N/A</v>
      </c>
      <c r="AC248" s="179" t="e">
        <f t="shared" si="23"/>
        <v>#N/A</v>
      </c>
      <c r="AD248" s="179" t="e">
        <f t="shared" si="23"/>
        <v>#N/A</v>
      </c>
      <c r="AE248" s="179" t="e">
        <f t="shared" si="23"/>
        <v>#N/A</v>
      </c>
      <c r="AF248" s="179" t="e">
        <f t="shared" si="23"/>
        <v>#N/A</v>
      </c>
    </row>
    <row r="249" spans="2:32">
      <c r="B249" s="122">
        <f t="shared" si="22"/>
        <v>69587863</v>
      </c>
      <c r="C249" s="122" t="str">
        <f>VLOOKUP($B249,'Tech Litons'!$A:$I,3,0)</f>
        <v>48oz</v>
      </c>
      <c r="D249" s="122" t="str">
        <f>VLOOKUP($B249,'Tech Litons'!$A:$I,4,0)</f>
        <v>48oz</v>
      </c>
      <c r="E249" s="598" t="s">
        <v>1014</v>
      </c>
      <c r="F249" s="598">
        <v>69587863</v>
      </c>
      <c r="G249" s="599">
        <v>9609.4942091288995</v>
      </c>
      <c r="H249" s="599">
        <v>9503.78188464097</v>
      </c>
      <c r="I249" s="599">
        <v>12052.1242924202</v>
      </c>
      <c r="J249" s="599">
        <v>16012.782708477</v>
      </c>
      <c r="K249" s="599">
        <v>13979.3531490675</v>
      </c>
      <c r="L249" s="599">
        <v>10690.4306990642</v>
      </c>
      <c r="M249" s="599">
        <v>13019.214104524401</v>
      </c>
      <c r="N249" s="599">
        <v>11787.204529999501</v>
      </c>
      <c r="O249" s="599">
        <v>13044.288581798301</v>
      </c>
      <c r="P249" s="599">
        <v>13961.608217463699</v>
      </c>
      <c r="Q249" s="599">
        <v>13102.972749794</v>
      </c>
      <c r="R249" s="599">
        <v>12468.9387000813</v>
      </c>
      <c r="S249" s="169">
        <f t="shared" si="19"/>
        <v>149232.19382645999</v>
      </c>
      <c r="T249" s="122">
        <f>VLOOKUP($B249,'Tech Litons'!$A:$I,9,0)</f>
        <v>176</v>
      </c>
      <c r="U249" s="179">
        <f t="shared" si="21"/>
        <v>54.599398915505112</v>
      </c>
      <c r="V249" s="179">
        <f t="shared" si="21"/>
        <v>53.998760708187326</v>
      </c>
      <c r="W249" s="179">
        <f t="shared" si="21"/>
        <v>68.47797893420568</v>
      </c>
      <c r="X249" s="179">
        <f t="shared" si="21"/>
        <v>90.981719934528414</v>
      </c>
      <c r="Y249" s="179">
        <f t="shared" si="21"/>
        <v>79.42814289242898</v>
      </c>
      <c r="Z249" s="179">
        <f t="shared" si="21"/>
        <v>60.741083517410225</v>
      </c>
      <c r="AA249" s="179">
        <f t="shared" si="23"/>
        <v>73.972807412070452</v>
      </c>
      <c r="AB249" s="179">
        <f t="shared" si="23"/>
        <v>66.972753011360794</v>
      </c>
      <c r="AC249" s="179">
        <f t="shared" si="23"/>
        <v>74.115276032944891</v>
      </c>
      <c r="AD249" s="179">
        <f t="shared" si="23"/>
        <v>79.327319417407381</v>
      </c>
      <c r="AE249" s="179">
        <f t="shared" si="23"/>
        <v>74.448708805647726</v>
      </c>
      <c r="AF249" s="179">
        <f t="shared" si="23"/>
        <v>70.846242614098301</v>
      </c>
    </row>
    <row r="250" spans="2:32">
      <c r="B250" s="122">
        <f t="shared" si="22"/>
        <v>64325487</v>
      </c>
      <c r="C250" s="122" t="str">
        <f>VLOOKUP($B250,'Tech Litons'!$A:$I,3,0)</f>
        <v>Yasso Sticks</v>
      </c>
      <c r="D250" s="122" t="str">
        <f>VLOOKUP($B250,'Tech Litons'!$A:$I,4,0)</f>
        <v>Yasso Sticks</v>
      </c>
      <c r="E250" s="598" t="s">
        <v>233</v>
      </c>
      <c r="F250" s="598">
        <v>64325487</v>
      </c>
      <c r="G250" s="599">
        <v>7535.3851914060197</v>
      </c>
      <c r="H250" s="599">
        <v>7905.8630561059699</v>
      </c>
      <c r="I250" s="599">
        <v>13504.558496886601</v>
      </c>
      <c r="J250" s="599">
        <v>10548.905901709601</v>
      </c>
      <c r="K250" s="599">
        <v>11783.499099222299</v>
      </c>
      <c r="L250" s="599">
        <v>16222.95428686</v>
      </c>
      <c r="M250" s="599">
        <v>18094.293615929899</v>
      </c>
      <c r="N250" s="599">
        <v>14910.162628186699</v>
      </c>
      <c r="O250" s="599">
        <v>13792.405088461701</v>
      </c>
      <c r="P250" s="599">
        <v>11195.340772240201</v>
      </c>
      <c r="Q250" s="599">
        <v>10958.2515731608</v>
      </c>
      <c r="R250" s="599">
        <v>10582.786634835</v>
      </c>
      <c r="S250" s="169">
        <f t="shared" si="19"/>
        <v>147034.4063450048</v>
      </c>
      <c r="T250" s="122">
        <f>VLOOKUP($B250,'Tech Litons'!$A:$I,9,0)</f>
        <v>187</v>
      </c>
      <c r="U250" s="179">
        <f t="shared" si="21"/>
        <v>40.296177494149838</v>
      </c>
      <c r="V250" s="179">
        <f t="shared" si="21"/>
        <v>42.277342546021231</v>
      </c>
      <c r="W250" s="179">
        <f t="shared" si="21"/>
        <v>72.21689035768236</v>
      </c>
      <c r="X250" s="179">
        <f t="shared" si="21"/>
        <v>56.411261506468449</v>
      </c>
      <c r="Y250" s="179">
        <f t="shared" si="21"/>
        <v>63.013364166964166</v>
      </c>
      <c r="Z250" s="179">
        <f t="shared" si="21"/>
        <v>86.753766239893054</v>
      </c>
      <c r="AA250" s="179">
        <f t="shared" si="23"/>
        <v>96.760928427432617</v>
      </c>
      <c r="AB250" s="179">
        <f t="shared" si="23"/>
        <v>79.733489990303198</v>
      </c>
      <c r="AC250" s="179">
        <f t="shared" si="23"/>
        <v>73.756176943645457</v>
      </c>
      <c r="AD250" s="179">
        <f t="shared" si="23"/>
        <v>59.868132471872734</v>
      </c>
      <c r="AE250" s="179">
        <f t="shared" si="23"/>
        <v>58.600275792303741</v>
      </c>
      <c r="AF250" s="179">
        <f t="shared" si="23"/>
        <v>56.592441897513368</v>
      </c>
    </row>
    <row r="251" spans="2:32">
      <c r="B251" s="122">
        <f t="shared" si="22"/>
        <v>68414643</v>
      </c>
      <c r="C251" s="122" t="e">
        <f>VLOOKUP($B251,'Tech Litons'!$A:$I,3,0)</f>
        <v>#N/A</v>
      </c>
      <c r="D251" s="122" t="e">
        <f>VLOOKUP($B251,'Tech Litons'!$A:$I,4,0)</f>
        <v>#N/A</v>
      </c>
      <c r="E251" s="598" t="s">
        <v>571</v>
      </c>
      <c r="F251" s="598">
        <v>68414643</v>
      </c>
      <c r="G251" s="599">
        <v>9664.6170475239705</v>
      </c>
      <c r="H251" s="599">
        <v>10806.1589474025</v>
      </c>
      <c r="I251" s="599">
        <v>12888.878943565</v>
      </c>
      <c r="J251" s="599">
        <v>14018.863490395301</v>
      </c>
      <c r="K251" s="599">
        <v>13806.723055242201</v>
      </c>
      <c r="L251" s="599">
        <v>13675.3436021158</v>
      </c>
      <c r="M251" s="599">
        <v>13553.277528943499</v>
      </c>
      <c r="N251" s="599">
        <v>14101.6563620672</v>
      </c>
      <c r="O251" s="599">
        <v>10984.958685068899</v>
      </c>
      <c r="P251" s="599">
        <v>11384.245836177901</v>
      </c>
      <c r="Q251" s="599">
        <v>10491.03</v>
      </c>
      <c r="R251" s="599">
        <v>11349.48</v>
      </c>
      <c r="S251" s="169">
        <f t="shared" si="19"/>
        <v>146725.23349850226</v>
      </c>
      <c r="T251" s="122" t="e">
        <f>VLOOKUP($B251,'Tech Litons'!$A:$I,9,0)</f>
        <v>#N/A</v>
      </c>
      <c r="U251" s="179" t="e">
        <f t="shared" si="21"/>
        <v>#N/A</v>
      </c>
      <c r="V251" s="179" t="e">
        <f t="shared" si="21"/>
        <v>#N/A</v>
      </c>
      <c r="W251" s="179" t="e">
        <f t="shared" si="21"/>
        <v>#N/A</v>
      </c>
      <c r="X251" s="179" t="e">
        <f t="shared" si="21"/>
        <v>#N/A</v>
      </c>
      <c r="Y251" s="179" t="e">
        <f t="shared" si="21"/>
        <v>#N/A</v>
      </c>
      <c r="Z251" s="179" t="e">
        <f t="shared" si="21"/>
        <v>#N/A</v>
      </c>
      <c r="AA251" s="179" t="e">
        <f t="shared" si="23"/>
        <v>#N/A</v>
      </c>
      <c r="AB251" s="179" t="e">
        <f t="shared" si="23"/>
        <v>#N/A</v>
      </c>
      <c r="AC251" s="179" t="e">
        <f t="shared" si="23"/>
        <v>#N/A</v>
      </c>
      <c r="AD251" s="179" t="e">
        <f t="shared" si="23"/>
        <v>#N/A</v>
      </c>
      <c r="AE251" s="179" t="e">
        <f t="shared" si="23"/>
        <v>#N/A</v>
      </c>
      <c r="AF251" s="179" t="e">
        <f t="shared" si="23"/>
        <v>#N/A</v>
      </c>
    </row>
    <row r="252" spans="2:32">
      <c r="B252" s="122">
        <f t="shared" si="22"/>
        <v>64387483</v>
      </c>
      <c r="C252" s="122" t="str">
        <f>VLOOKUP($B252,'Tech Litons'!$A:$I,3,0)</f>
        <v>BJ PTS</v>
      </c>
      <c r="D252" s="122" t="str">
        <f>VLOOKUP($B252,'Tech Litons'!$A:$I,4,0)</f>
        <v>BJ PTS</v>
      </c>
      <c r="E252" s="598" t="s">
        <v>493</v>
      </c>
      <c r="F252" s="598">
        <v>64387483</v>
      </c>
      <c r="G252" s="599">
        <v>11851.3937412083</v>
      </c>
      <c r="H252" s="599">
        <v>13363.880187298</v>
      </c>
      <c r="I252" s="599">
        <v>11995.825648936399</v>
      </c>
      <c r="J252" s="599">
        <v>12006.8312375192</v>
      </c>
      <c r="K252" s="599">
        <v>11574.922769131201</v>
      </c>
      <c r="L252" s="599">
        <v>12595.791245407599</v>
      </c>
      <c r="M252" s="599">
        <v>12725.4224191261</v>
      </c>
      <c r="N252" s="599">
        <v>12137.869429157599</v>
      </c>
      <c r="O252" s="599">
        <v>11714.428180221799</v>
      </c>
      <c r="P252" s="599">
        <v>12736.522780421399</v>
      </c>
      <c r="Q252" s="599">
        <v>12300.5823969211</v>
      </c>
      <c r="R252" s="599">
        <v>11478.9423660626</v>
      </c>
      <c r="S252" s="169">
        <f t="shared" si="19"/>
        <v>146482.4124014113</v>
      </c>
      <c r="T252" s="122">
        <f>VLOOKUP($B252,'Tech Litons'!$A:$I,9,0)</f>
        <v>240</v>
      </c>
      <c r="U252" s="179">
        <f t="shared" si="21"/>
        <v>49.380807255034583</v>
      </c>
      <c r="V252" s="179">
        <f t="shared" si="21"/>
        <v>55.68283411374167</v>
      </c>
      <c r="W252" s="179">
        <f t="shared" si="21"/>
        <v>49.982606870568333</v>
      </c>
      <c r="X252" s="179">
        <f t="shared" si="21"/>
        <v>50.028463489663331</v>
      </c>
      <c r="Y252" s="179">
        <f t="shared" si="21"/>
        <v>48.228844871380005</v>
      </c>
      <c r="Z252" s="179">
        <f t="shared" si="21"/>
        <v>52.482463522531667</v>
      </c>
      <c r="AA252" s="179">
        <f t="shared" si="23"/>
        <v>53.022593413025419</v>
      </c>
      <c r="AB252" s="179">
        <f t="shared" si="23"/>
        <v>50.574455954823328</v>
      </c>
      <c r="AC252" s="179">
        <f t="shared" si="23"/>
        <v>48.810117417590831</v>
      </c>
      <c r="AD252" s="179">
        <f t="shared" si="23"/>
        <v>53.068844918422499</v>
      </c>
      <c r="AE252" s="179">
        <f t="shared" si="23"/>
        <v>51.252426653837915</v>
      </c>
      <c r="AF252" s="179">
        <f t="shared" si="23"/>
        <v>47.828926525260833</v>
      </c>
    </row>
    <row r="253" spans="2:32">
      <c r="B253" s="122">
        <f t="shared" si="22"/>
        <v>64394596</v>
      </c>
      <c r="C253" s="122" t="str">
        <f>VLOOKUP($B253,'Tech Litons'!$A:$I,3,0)</f>
        <v>Sundaes</v>
      </c>
      <c r="D253" s="122" t="str">
        <f>VLOOKUP($B253,'Tech Litons'!$A:$I,4,0)</f>
        <v>SP1</v>
      </c>
      <c r="E253" s="598" t="s">
        <v>550</v>
      </c>
      <c r="F253" s="598">
        <v>64394596</v>
      </c>
      <c r="G253" s="599">
        <v>11588.3285982325</v>
      </c>
      <c r="H253" s="599">
        <v>13472.7044433514</v>
      </c>
      <c r="I253" s="599">
        <v>13164.085844502701</v>
      </c>
      <c r="J253" s="599">
        <v>14365.957552935501</v>
      </c>
      <c r="K253" s="599">
        <v>14231.201088906</v>
      </c>
      <c r="L253" s="599">
        <v>15444.2095960357</v>
      </c>
      <c r="M253" s="599">
        <v>14472.199910187601</v>
      </c>
      <c r="N253" s="599">
        <v>8636.3192151769908</v>
      </c>
      <c r="O253" s="599">
        <v>8630.7033930819198</v>
      </c>
      <c r="P253" s="599">
        <v>8396.1721582019509</v>
      </c>
      <c r="Q253" s="599">
        <v>8090.2286916135199</v>
      </c>
      <c r="R253" s="599">
        <v>7654.5260992757603</v>
      </c>
      <c r="S253" s="169">
        <f t="shared" si="19"/>
        <v>138146.63659150153</v>
      </c>
      <c r="T253" s="122">
        <f>VLOOKUP($B253,'Tech Litons'!$A:$I,9,0)</f>
        <v>240</v>
      </c>
      <c r="U253" s="179">
        <f t="shared" si="21"/>
        <v>48.284702492635418</v>
      </c>
      <c r="V253" s="179">
        <f t="shared" si="21"/>
        <v>56.136268513964168</v>
      </c>
      <c r="W253" s="179">
        <f t="shared" si="21"/>
        <v>54.850357685427916</v>
      </c>
      <c r="X253" s="179">
        <f t="shared" si="21"/>
        <v>59.858156470564587</v>
      </c>
      <c r="Y253" s="179">
        <f t="shared" si="21"/>
        <v>59.296671203774999</v>
      </c>
      <c r="Z253" s="179">
        <f t="shared" si="21"/>
        <v>64.350873316815424</v>
      </c>
      <c r="AA253" s="179">
        <f t="shared" si="23"/>
        <v>60.300832959115006</v>
      </c>
      <c r="AB253" s="179">
        <f t="shared" si="23"/>
        <v>35.984663396570795</v>
      </c>
      <c r="AC253" s="179">
        <f t="shared" si="23"/>
        <v>35.961264137841333</v>
      </c>
      <c r="AD253" s="179">
        <f t="shared" si="23"/>
        <v>34.984050659174798</v>
      </c>
      <c r="AE253" s="179">
        <f t="shared" si="23"/>
        <v>33.709286215056331</v>
      </c>
      <c r="AF253" s="179">
        <f t="shared" si="23"/>
        <v>31.893858746982335</v>
      </c>
    </row>
    <row r="254" spans="2:32">
      <c r="B254" s="122">
        <f t="shared" si="22"/>
        <v>69552657</v>
      </c>
      <c r="C254" s="122" t="str">
        <f>VLOOKUP($B254,'Tech Litons'!$A:$I,3,0)</f>
        <v>KL Mini Cones</v>
      </c>
      <c r="D254" s="122" t="str">
        <f>VLOOKUP($B254,'Tech Litons'!$A:$I,4,0)</f>
        <v>KL Mini Cones</v>
      </c>
      <c r="E254" s="598" t="s">
        <v>625</v>
      </c>
      <c r="F254" s="598">
        <v>69552657</v>
      </c>
      <c r="G254" s="600">
        <v>12286.498813157201</v>
      </c>
      <c r="H254" s="599">
        <v>7194.93238605227</v>
      </c>
      <c r="I254" s="599">
        <v>15874.322080718999</v>
      </c>
      <c r="J254" s="599">
        <v>15379.0977013952</v>
      </c>
      <c r="K254" s="599">
        <v>18001.574074693301</v>
      </c>
      <c r="L254" s="599">
        <v>13840.9752227059</v>
      </c>
      <c r="M254" s="599">
        <v>14215.4200909503</v>
      </c>
      <c r="N254" s="599">
        <v>11970.354201264599</v>
      </c>
      <c r="O254" s="599">
        <v>8652.2929785216002</v>
      </c>
      <c r="P254" s="599">
        <v>7263.4499577773704</v>
      </c>
      <c r="Q254" s="599">
        <v>5751.2907233004698</v>
      </c>
      <c r="R254" s="599">
        <v>5406.5472383201904</v>
      </c>
      <c r="S254" s="169">
        <f t="shared" si="19"/>
        <v>135836.75546885739</v>
      </c>
      <c r="T254" s="122">
        <f>VLOOKUP($B254,'Tech Litons'!$A:$I,9,0)</f>
        <v>108</v>
      </c>
      <c r="U254" s="179">
        <f t="shared" si="21"/>
        <v>113.76387789960371</v>
      </c>
      <c r="V254" s="179">
        <f t="shared" si="21"/>
        <v>66.619744315298803</v>
      </c>
      <c r="W254" s="179">
        <f t="shared" si="21"/>
        <v>146.9844637103611</v>
      </c>
      <c r="X254" s="179">
        <f t="shared" si="21"/>
        <v>142.39905279069629</v>
      </c>
      <c r="Y254" s="179">
        <f t="shared" si="21"/>
        <v>166.68124143234539</v>
      </c>
      <c r="Z254" s="179">
        <f t="shared" si="21"/>
        <v>128.15717798801759</v>
      </c>
      <c r="AA254" s="179">
        <f t="shared" si="23"/>
        <v>131.62426010139166</v>
      </c>
      <c r="AB254" s="179">
        <f t="shared" si="23"/>
        <v>110.83661297467222</v>
      </c>
      <c r="AC254" s="179">
        <f t="shared" si="23"/>
        <v>80.113823875199998</v>
      </c>
      <c r="AD254" s="179">
        <f t="shared" si="23"/>
        <v>67.254166275716386</v>
      </c>
      <c r="AE254" s="179">
        <f t="shared" si="23"/>
        <v>53.25269188241176</v>
      </c>
      <c r="AF254" s="179">
        <f t="shared" si="23"/>
        <v>50.060622577038799</v>
      </c>
    </row>
    <row r="255" spans="2:32">
      <c r="B255" s="122">
        <f t="shared" si="22"/>
        <v>68354587</v>
      </c>
      <c r="C255" s="122" t="str">
        <f>VLOOKUP($B255,'Tech Litons'!$A:$I,3,0)</f>
        <v>Topped</v>
      </c>
      <c r="D255" s="122" t="str">
        <f>VLOOKUP($B255,'Tech Litons'!$A:$I,4,0)</f>
        <v>SP1</v>
      </c>
      <c r="E255" s="598" t="s">
        <v>490</v>
      </c>
      <c r="F255" s="598">
        <v>68354587</v>
      </c>
      <c r="G255" s="599">
        <v>7952.2391885048701</v>
      </c>
      <c r="H255" s="599">
        <v>13100.4476958369</v>
      </c>
      <c r="I255" s="599">
        <v>14704.6949076981</v>
      </c>
      <c r="J255" s="599">
        <v>11957.6491952208</v>
      </c>
      <c r="K255" s="599">
        <v>10731.7879308012</v>
      </c>
      <c r="L255" s="599">
        <v>13405.0265787972</v>
      </c>
      <c r="M255" s="599">
        <v>13212.2879355025</v>
      </c>
      <c r="N255" s="599">
        <v>12574.284676967</v>
      </c>
      <c r="O255" s="599">
        <v>11805.866598659901</v>
      </c>
      <c r="P255" s="599">
        <v>9896.4711081263395</v>
      </c>
      <c r="Q255" s="599">
        <v>8636.9915919528394</v>
      </c>
      <c r="R255" s="599">
        <v>6933.1404572594602</v>
      </c>
      <c r="S255" s="169">
        <f t="shared" si="19"/>
        <v>134910.88786532709</v>
      </c>
      <c r="T255" s="122">
        <f>VLOOKUP($B255,'Tech Litons'!$A:$I,9,0)</f>
        <v>240</v>
      </c>
      <c r="U255" s="179">
        <f t="shared" si="21"/>
        <v>33.134329952103627</v>
      </c>
      <c r="V255" s="179">
        <f t="shared" si="21"/>
        <v>54.585198732653751</v>
      </c>
      <c r="W255" s="179">
        <f t="shared" si="21"/>
        <v>61.269562115408753</v>
      </c>
      <c r="X255" s="179">
        <f t="shared" si="21"/>
        <v>49.823538313420002</v>
      </c>
      <c r="Y255" s="179">
        <f t="shared" si="21"/>
        <v>44.715783045004997</v>
      </c>
      <c r="Z255" s="179">
        <f t="shared" si="21"/>
        <v>55.854277411654998</v>
      </c>
      <c r="AA255" s="179">
        <f t="shared" si="23"/>
        <v>55.051199731260418</v>
      </c>
      <c r="AB255" s="179">
        <f t="shared" si="23"/>
        <v>52.392852820695829</v>
      </c>
      <c r="AC255" s="179">
        <f t="shared" si="23"/>
        <v>49.19111082774959</v>
      </c>
      <c r="AD255" s="179">
        <f t="shared" si="23"/>
        <v>41.235296283859746</v>
      </c>
      <c r="AE255" s="179">
        <f t="shared" si="23"/>
        <v>35.987464966470164</v>
      </c>
      <c r="AF255" s="179">
        <f t="shared" si="23"/>
        <v>28.888085238581084</v>
      </c>
    </row>
    <row r="256" spans="2:32">
      <c r="B256" s="122">
        <f t="shared" si="22"/>
        <v>68710277</v>
      </c>
      <c r="C256" s="122" t="str">
        <f>VLOOKUP($B256,'Tech Litons'!$A:$I,3,0)</f>
        <v>EDF</v>
      </c>
      <c r="D256" s="122" t="str">
        <f>VLOOKUP($B256,'Tech Litons'!$A:$I,4,0)</f>
        <v>EDF</v>
      </c>
      <c r="E256" s="598" t="s">
        <v>987</v>
      </c>
      <c r="F256" s="598">
        <v>68710277</v>
      </c>
      <c r="G256" s="599">
        <v>10909.541146408699</v>
      </c>
      <c r="H256" s="599">
        <v>7970.9081498160804</v>
      </c>
      <c r="I256" s="599">
        <v>12982.272975558401</v>
      </c>
      <c r="J256" s="599">
        <v>11014.5315614268</v>
      </c>
      <c r="K256" s="599">
        <v>11857.3746429899</v>
      </c>
      <c r="L256" s="599">
        <v>14128.6260947217</v>
      </c>
      <c r="M256" s="599">
        <v>17049.823885166599</v>
      </c>
      <c r="N256" s="599">
        <v>14242.926965565501</v>
      </c>
      <c r="O256" s="599">
        <v>9413.68679542465</v>
      </c>
      <c r="P256" s="599">
        <v>8526.5489882408601</v>
      </c>
      <c r="Q256" s="599">
        <v>8228.1640014034292</v>
      </c>
      <c r="R256" s="599">
        <v>7404.6546663572299</v>
      </c>
      <c r="S256" s="169">
        <f t="shared" si="19"/>
        <v>133729.05987307985</v>
      </c>
      <c r="T256" s="122">
        <f>VLOOKUP($B256,'Tech Litons'!$A:$I,9,0)</f>
        <v>132</v>
      </c>
      <c r="U256" s="179">
        <f t="shared" si="21"/>
        <v>82.648038987944688</v>
      </c>
      <c r="V256" s="179">
        <f t="shared" si="21"/>
        <v>60.38566780163697</v>
      </c>
      <c r="W256" s="179">
        <f t="shared" si="21"/>
        <v>98.350552845139404</v>
      </c>
      <c r="X256" s="179">
        <f t="shared" si="21"/>
        <v>83.443420919900007</v>
      </c>
      <c r="Y256" s="179">
        <f t="shared" si="21"/>
        <v>89.828595780226522</v>
      </c>
      <c r="Z256" s="179">
        <f t="shared" si="21"/>
        <v>107.03504617213409</v>
      </c>
      <c r="AA256" s="179">
        <f t="shared" si="23"/>
        <v>129.16533246338332</v>
      </c>
      <c r="AB256" s="179">
        <f t="shared" si="23"/>
        <v>107.90096186034471</v>
      </c>
      <c r="AC256" s="179">
        <f t="shared" si="23"/>
        <v>71.315809056247346</v>
      </c>
      <c r="AD256" s="179">
        <f t="shared" si="23"/>
        <v>64.595068092733783</v>
      </c>
      <c r="AE256" s="179">
        <f t="shared" si="23"/>
        <v>62.334575768207799</v>
      </c>
      <c r="AF256" s="179">
        <f t="shared" si="23"/>
        <v>56.095868684524469</v>
      </c>
    </row>
    <row r="257" spans="2:32">
      <c r="B257" s="122">
        <f t="shared" si="22"/>
        <v>68354589</v>
      </c>
      <c r="C257" s="122" t="str">
        <f>VLOOKUP($B257,'Tech Litons'!$A:$I,3,0)</f>
        <v>Topped</v>
      </c>
      <c r="D257" s="122" t="str">
        <f>VLOOKUP($B257,'Tech Litons'!$A:$I,4,0)</f>
        <v>SP1</v>
      </c>
      <c r="E257" s="598" t="s">
        <v>524</v>
      </c>
      <c r="F257" s="598">
        <v>68354589</v>
      </c>
      <c r="G257" s="599">
        <v>8555.7463780881099</v>
      </c>
      <c r="H257" s="599">
        <v>11933.4116214889</v>
      </c>
      <c r="I257" s="599">
        <v>11993.9593742262</v>
      </c>
      <c r="J257" s="599">
        <v>10989.337424621301</v>
      </c>
      <c r="K257" s="599">
        <v>10695.9339065597</v>
      </c>
      <c r="L257" s="599">
        <v>13240.0121417298</v>
      </c>
      <c r="M257" s="599">
        <v>11102.565594060001</v>
      </c>
      <c r="N257" s="599">
        <v>11689.792980430801</v>
      </c>
      <c r="O257" s="599">
        <v>11404.857865211599</v>
      </c>
      <c r="P257" s="599">
        <v>11667.852010730499</v>
      </c>
      <c r="Q257" s="599">
        <v>10571.274683249299</v>
      </c>
      <c r="R257" s="599">
        <v>9529.7975161485501</v>
      </c>
      <c r="S257" s="169">
        <f t="shared" si="19"/>
        <v>133374.54149654473</v>
      </c>
      <c r="T257" s="122">
        <f>VLOOKUP($B257,'Tech Litons'!$A:$I,9,0)</f>
        <v>240</v>
      </c>
      <c r="U257" s="179">
        <f t="shared" si="21"/>
        <v>35.648943242033788</v>
      </c>
      <c r="V257" s="179">
        <f t="shared" si="21"/>
        <v>49.722548422870418</v>
      </c>
      <c r="W257" s="179">
        <f t="shared" si="21"/>
        <v>49.974830725942503</v>
      </c>
      <c r="X257" s="179">
        <f t="shared" si="21"/>
        <v>45.788905935922088</v>
      </c>
      <c r="Y257" s="179">
        <f t="shared" si="21"/>
        <v>44.56639127733208</v>
      </c>
      <c r="Z257" s="179">
        <f t="shared" si="21"/>
        <v>55.166717257207502</v>
      </c>
      <c r="AA257" s="179">
        <f t="shared" si="23"/>
        <v>46.260689975250003</v>
      </c>
      <c r="AB257" s="179">
        <f t="shared" si="23"/>
        <v>48.707470751795</v>
      </c>
      <c r="AC257" s="179">
        <f t="shared" si="23"/>
        <v>47.520241105048328</v>
      </c>
      <c r="AD257" s="179">
        <f t="shared" si="23"/>
        <v>48.616050044710413</v>
      </c>
      <c r="AE257" s="179">
        <f t="shared" si="23"/>
        <v>44.046977846872082</v>
      </c>
      <c r="AF257" s="179">
        <f t="shared" si="23"/>
        <v>39.70748965061896</v>
      </c>
    </row>
    <row r="258" spans="2:32">
      <c r="B258" s="122">
        <f t="shared" si="22"/>
        <v>64957257</v>
      </c>
      <c r="C258" s="122" t="str">
        <f>VLOOKUP($B258,'Tech Litons'!$A:$I,3,0)</f>
        <v>Yasso Sandwich</v>
      </c>
      <c r="D258" s="122" t="str">
        <f>VLOOKUP($B258,'Tech Litons'!$A:$I,4,0)</f>
        <v>Yasso Sandwich</v>
      </c>
      <c r="E258" s="598" t="s">
        <v>609</v>
      </c>
      <c r="F258" s="598">
        <v>64957257</v>
      </c>
      <c r="G258" s="599">
        <v>7858.16</v>
      </c>
      <c r="H258" s="599">
        <v>9568.3899999999903</v>
      </c>
      <c r="I258" s="599">
        <v>13591.4399999999</v>
      </c>
      <c r="J258" s="599">
        <v>12826.16</v>
      </c>
      <c r="K258" s="599">
        <v>14338.039999999901</v>
      </c>
      <c r="L258" s="599">
        <v>13605.92</v>
      </c>
      <c r="M258" s="599">
        <v>14333.21</v>
      </c>
      <c r="N258" s="599">
        <v>11281.81</v>
      </c>
      <c r="O258" s="599">
        <v>10388.57</v>
      </c>
      <c r="P258" s="599">
        <v>9335.6</v>
      </c>
      <c r="Q258" s="599">
        <v>8052.0899999999901</v>
      </c>
      <c r="R258" s="599">
        <v>7153.79</v>
      </c>
      <c r="S258" s="169">
        <f t="shared" si="19"/>
        <v>132333.17999999982</v>
      </c>
      <c r="T258" s="122">
        <f>VLOOKUP($B258,'Tech Litons'!$A:$I,9,0)</f>
        <v>180</v>
      </c>
      <c r="U258" s="179">
        <f t="shared" si="21"/>
        <v>43.656444444444446</v>
      </c>
      <c r="V258" s="179">
        <f t="shared" si="21"/>
        <v>53.157722222222169</v>
      </c>
      <c r="W258" s="179">
        <f t="shared" si="21"/>
        <v>75.507999999999441</v>
      </c>
      <c r="X258" s="179">
        <f t="shared" si="21"/>
        <v>71.25644444444444</v>
      </c>
      <c r="Y258" s="179">
        <f t="shared" si="21"/>
        <v>79.655777777777232</v>
      </c>
      <c r="Z258" s="179">
        <f t="shared" si="21"/>
        <v>75.588444444444448</v>
      </c>
      <c r="AA258" s="179">
        <f t="shared" si="23"/>
        <v>79.628944444444443</v>
      </c>
      <c r="AB258" s="179">
        <f t="shared" si="23"/>
        <v>62.676722222222217</v>
      </c>
      <c r="AC258" s="179">
        <f t="shared" si="23"/>
        <v>57.714277777777774</v>
      </c>
      <c r="AD258" s="179">
        <f t="shared" si="23"/>
        <v>51.864444444444445</v>
      </c>
      <c r="AE258" s="179">
        <f t="shared" si="23"/>
        <v>44.73383333333328</v>
      </c>
      <c r="AF258" s="179">
        <f t="shared" si="23"/>
        <v>39.743277777777777</v>
      </c>
    </row>
    <row r="259" spans="2:32">
      <c r="B259" s="122">
        <f t="shared" si="22"/>
        <v>69796888</v>
      </c>
      <c r="C259" s="122" t="str">
        <f>VLOOKUP($B259,'Tech Litons'!$A:$I,3,0)</f>
        <v>Quarts</v>
      </c>
      <c r="D259" s="122" t="str">
        <f>VLOOKUP($B259,'Tech Litons'!$A:$I,4,0)</f>
        <v>Other</v>
      </c>
      <c r="E259" s="286" t="s">
        <v>1094</v>
      </c>
      <c r="F259" s="598">
        <v>69796888</v>
      </c>
      <c r="G259" s="599">
        <v>11006.125023373501</v>
      </c>
      <c r="H259" s="599">
        <v>11006.125023373501</v>
      </c>
      <c r="I259" s="599">
        <v>11006.125023373501</v>
      </c>
      <c r="J259" s="599">
        <v>11006.125023373501</v>
      </c>
      <c r="K259" s="599">
        <v>11006.125023373501</v>
      </c>
      <c r="L259" s="599">
        <v>11006.125023373501</v>
      </c>
      <c r="M259" s="599">
        <v>11006.125023373501</v>
      </c>
      <c r="N259" s="599">
        <v>11006.125023373501</v>
      </c>
      <c r="O259" s="599">
        <v>11006.125023373501</v>
      </c>
      <c r="P259" s="599">
        <v>11006.125023373501</v>
      </c>
      <c r="Q259" s="599">
        <v>11006.125023373501</v>
      </c>
      <c r="R259" s="599">
        <v>11006.125023373501</v>
      </c>
      <c r="S259" s="169">
        <f t="shared" si="19"/>
        <v>132073.50028048203</v>
      </c>
      <c r="T259" s="122">
        <f>VLOOKUP($B259,'Tech Litons'!$A:$I,9,0)</f>
        <v>182</v>
      </c>
      <c r="U259" s="179">
        <f t="shared" si="21"/>
        <v>60.473214414140116</v>
      </c>
      <c r="V259" s="179">
        <f t="shared" si="21"/>
        <v>60.473214414140116</v>
      </c>
      <c r="W259" s="179">
        <f t="shared" si="21"/>
        <v>60.473214414140116</v>
      </c>
      <c r="X259" s="179">
        <f t="shared" ref="X259:AC308" si="24">J259/$T259</f>
        <v>60.473214414140116</v>
      </c>
      <c r="Y259" s="179">
        <f t="shared" si="24"/>
        <v>60.473214414140116</v>
      </c>
      <c r="Z259" s="179">
        <f t="shared" si="24"/>
        <v>60.473214414140116</v>
      </c>
      <c r="AA259" s="179">
        <f t="shared" si="23"/>
        <v>60.473214414140116</v>
      </c>
      <c r="AB259" s="179">
        <f t="shared" si="23"/>
        <v>60.473214414140116</v>
      </c>
      <c r="AC259" s="179">
        <f t="shared" si="23"/>
        <v>60.473214414140116</v>
      </c>
      <c r="AD259" s="179">
        <f t="shared" si="23"/>
        <v>60.473214414140116</v>
      </c>
      <c r="AE259" s="179">
        <f t="shared" si="23"/>
        <v>60.473214414140116</v>
      </c>
      <c r="AF259" s="179">
        <f t="shared" si="23"/>
        <v>60.473214414140116</v>
      </c>
    </row>
    <row r="260" spans="2:32">
      <c r="B260" s="122">
        <f t="shared" si="22"/>
        <v>64978652</v>
      </c>
      <c r="C260" s="122" t="e">
        <f>VLOOKUP($B260,'Tech Litons'!$A:$I,3,0)</f>
        <v>#N/A</v>
      </c>
      <c r="D260" s="122" t="e">
        <f>VLOOKUP($B260,'Tech Litons'!$A:$I,4,0)</f>
        <v>#N/A</v>
      </c>
      <c r="E260" s="598" t="s">
        <v>1056</v>
      </c>
      <c r="F260" s="598">
        <v>64978652</v>
      </c>
      <c r="G260" s="599">
        <v>8791</v>
      </c>
      <c r="H260" s="599">
        <v>5072.99999999999</v>
      </c>
      <c r="I260" s="599">
        <v>8746</v>
      </c>
      <c r="J260" s="599">
        <v>8814.9999999999909</v>
      </c>
      <c r="K260" s="599">
        <v>13004</v>
      </c>
      <c r="L260" s="599">
        <v>13455.9999999999</v>
      </c>
      <c r="M260" s="599">
        <v>13239.9999999999</v>
      </c>
      <c r="N260" s="599">
        <v>12735.9999999999</v>
      </c>
      <c r="O260" s="599">
        <v>11751</v>
      </c>
      <c r="P260" s="599">
        <v>12236</v>
      </c>
      <c r="Q260" s="599">
        <v>10739</v>
      </c>
      <c r="R260" s="599">
        <v>11339</v>
      </c>
      <c r="S260" s="169">
        <f t="shared" ref="S260:S323" si="25">SUM(G260:R260)</f>
        <v>129925.99999999968</v>
      </c>
      <c r="T260" s="122" t="e">
        <f>VLOOKUP($B260,'Tech Litons'!$A:$I,9,0)</f>
        <v>#N/A</v>
      </c>
      <c r="U260" s="179" t="e">
        <f t="shared" ref="U260:Z318" si="26">G260/$T260</f>
        <v>#N/A</v>
      </c>
      <c r="V260" s="179" t="e">
        <f t="shared" si="26"/>
        <v>#N/A</v>
      </c>
      <c r="W260" s="179" t="e">
        <f t="shared" si="26"/>
        <v>#N/A</v>
      </c>
      <c r="X260" s="179" t="e">
        <f t="shared" si="24"/>
        <v>#N/A</v>
      </c>
      <c r="Y260" s="179" t="e">
        <f t="shared" si="24"/>
        <v>#N/A</v>
      </c>
      <c r="Z260" s="179" t="e">
        <f t="shared" si="24"/>
        <v>#N/A</v>
      </c>
      <c r="AA260" s="179" t="e">
        <f t="shared" si="23"/>
        <v>#N/A</v>
      </c>
      <c r="AB260" s="179" t="e">
        <f t="shared" si="23"/>
        <v>#N/A</v>
      </c>
      <c r="AC260" s="179" t="e">
        <f t="shared" si="23"/>
        <v>#N/A</v>
      </c>
      <c r="AD260" s="179" t="e">
        <f t="shared" si="23"/>
        <v>#N/A</v>
      </c>
      <c r="AE260" s="179" t="e">
        <f t="shared" si="23"/>
        <v>#N/A</v>
      </c>
      <c r="AF260" s="179" t="e">
        <f t="shared" si="23"/>
        <v>#N/A</v>
      </c>
    </row>
    <row r="261" spans="2:32">
      <c r="B261" s="122">
        <f t="shared" si="22"/>
        <v>64369046</v>
      </c>
      <c r="C261" s="122" t="str">
        <f>VLOOKUP($B261,'Tech Litons'!$A:$I,3,0)</f>
        <v>Talenti</v>
      </c>
      <c r="D261" s="122" t="str">
        <f>VLOOKUP($B261,'Tech Litons'!$A:$I,4,0)</f>
        <v>Talenti</v>
      </c>
      <c r="E261" s="598" t="s">
        <v>1095</v>
      </c>
      <c r="F261" s="598">
        <v>64369046</v>
      </c>
      <c r="G261" s="599">
        <v>9370.7969518956997</v>
      </c>
      <c r="H261" s="599">
        <v>9100.8779389290594</v>
      </c>
      <c r="I261" s="599">
        <v>9891.8071122621695</v>
      </c>
      <c r="J261" s="599">
        <v>11278.3994325575</v>
      </c>
      <c r="K261" s="599">
        <v>12625.2392120437</v>
      </c>
      <c r="L261" s="599">
        <v>15816.258403993599</v>
      </c>
      <c r="M261" s="599">
        <v>13057.430498100999</v>
      </c>
      <c r="N261" s="599">
        <v>11717.104422448499</v>
      </c>
      <c r="O261" s="599">
        <v>9558.0071982334794</v>
      </c>
      <c r="P261" s="599">
        <v>10859.0407748833</v>
      </c>
      <c r="Q261" s="599">
        <v>7012.94230743559</v>
      </c>
      <c r="R261" s="599">
        <v>8801.5046949308307</v>
      </c>
      <c r="S261" s="169">
        <f t="shared" si="25"/>
        <v>129089.40894771443</v>
      </c>
      <c r="T261" s="122">
        <f>VLOOKUP($B261,'Tech Litons'!$A:$I,9,0)</f>
        <v>255</v>
      </c>
      <c r="U261" s="179">
        <f t="shared" si="26"/>
        <v>36.748223340767453</v>
      </c>
      <c r="V261" s="179">
        <f t="shared" si="26"/>
        <v>35.689717407564942</v>
      </c>
      <c r="W261" s="179">
        <f t="shared" si="26"/>
        <v>38.791400440243805</v>
      </c>
      <c r="X261" s="179">
        <f t="shared" si="24"/>
        <v>44.229017382578434</v>
      </c>
      <c r="Y261" s="179">
        <f t="shared" si="24"/>
        <v>49.51074200801451</v>
      </c>
      <c r="Z261" s="179">
        <f t="shared" si="24"/>
        <v>62.024542760759211</v>
      </c>
      <c r="AA261" s="179">
        <f t="shared" si="23"/>
        <v>51.205609796474505</v>
      </c>
      <c r="AB261" s="179">
        <f t="shared" si="23"/>
        <v>45.949429107641173</v>
      </c>
      <c r="AC261" s="179">
        <f t="shared" si="23"/>
        <v>37.482381169543054</v>
      </c>
      <c r="AD261" s="179">
        <f t="shared" si="23"/>
        <v>42.584473626993336</v>
      </c>
      <c r="AE261" s="179">
        <f t="shared" si="23"/>
        <v>27.501734538963099</v>
      </c>
      <c r="AF261" s="179">
        <f t="shared" si="23"/>
        <v>34.515704686003261</v>
      </c>
    </row>
    <row r="262" spans="2:32">
      <c r="B262" s="122">
        <f t="shared" si="22"/>
        <v>69645143</v>
      </c>
      <c r="C262" s="122" t="e">
        <f>VLOOKUP($B262,'Tech Litons'!$A:$I,3,0)</f>
        <v>#N/A</v>
      </c>
      <c r="D262" s="122" t="e">
        <f>VLOOKUP($B262,'Tech Litons'!$A:$I,4,0)</f>
        <v>#N/A</v>
      </c>
      <c r="E262" s="598" t="s">
        <v>902</v>
      </c>
      <c r="F262" s="598">
        <v>69645143</v>
      </c>
      <c r="G262" s="599">
        <v>9205.6652186785705</v>
      </c>
      <c r="H262" s="599">
        <v>11272.8924215549</v>
      </c>
      <c r="I262" s="599">
        <v>10628.3751903008</v>
      </c>
      <c r="J262" s="599">
        <v>10974.258410836501</v>
      </c>
      <c r="K262" s="599">
        <v>12210.5032998516</v>
      </c>
      <c r="L262" s="599">
        <v>12666.2496624593</v>
      </c>
      <c r="M262" s="599">
        <v>11754.817858692901</v>
      </c>
      <c r="N262" s="599">
        <v>13087.3332630687</v>
      </c>
      <c r="O262" s="599">
        <v>10915.2481184684</v>
      </c>
      <c r="P262" s="599">
        <v>8857.07776949051</v>
      </c>
      <c r="Q262" s="599">
        <v>6667.4730580651003</v>
      </c>
      <c r="R262" s="599">
        <v>7353.5319273630503</v>
      </c>
      <c r="S262" s="169">
        <f t="shared" si="25"/>
        <v>125593.42619883033</v>
      </c>
      <c r="T262" s="122" t="e">
        <f>VLOOKUP($B262,'Tech Litons'!$A:$I,9,0)</f>
        <v>#N/A</v>
      </c>
      <c r="U262" s="179" t="e">
        <f t="shared" si="26"/>
        <v>#N/A</v>
      </c>
      <c r="V262" s="179" t="e">
        <f t="shared" si="26"/>
        <v>#N/A</v>
      </c>
      <c r="W262" s="179" t="e">
        <f t="shared" si="26"/>
        <v>#N/A</v>
      </c>
      <c r="X262" s="179" t="e">
        <f t="shared" si="24"/>
        <v>#N/A</v>
      </c>
      <c r="Y262" s="179" t="e">
        <f t="shared" si="24"/>
        <v>#N/A</v>
      </c>
      <c r="Z262" s="179" t="e">
        <f t="shared" si="24"/>
        <v>#N/A</v>
      </c>
      <c r="AA262" s="179" t="e">
        <f t="shared" si="23"/>
        <v>#N/A</v>
      </c>
      <c r="AB262" s="179" t="e">
        <f t="shared" si="23"/>
        <v>#N/A</v>
      </c>
      <c r="AC262" s="179" t="e">
        <f t="shared" si="23"/>
        <v>#N/A</v>
      </c>
      <c r="AD262" s="179" t="e">
        <f t="shared" si="23"/>
        <v>#N/A</v>
      </c>
      <c r="AE262" s="179" t="e">
        <f t="shared" si="23"/>
        <v>#N/A</v>
      </c>
      <c r="AF262" s="179" t="e">
        <f t="shared" si="23"/>
        <v>#N/A</v>
      </c>
    </row>
    <row r="263" spans="2:32">
      <c r="B263" s="122">
        <f t="shared" si="22"/>
        <v>64409312</v>
      </c>
      <c r="C263" s="122" t="str">
        <f>VLOOKUP($B263,'Tech Litons'!$A:$I,3,0)</f>
        <v>Other</v>
      </c>
      <c r="D263" s="122" t="str">
        <f>VLOOKUP($B263,'Tech Litons'!$A:$I,4,0)</f>
        <v>Other</v>
      </c>
      <c r="E263" s="286" t="s">
        <v>623</v>
      </c>
      <c r="F263" s="598">
        <v>64409312</v>
      </c>
      <c r="G263" s="599">
        <v>7147</v>
      </c>
      <c r="H263" s="599">
        <v>7764</v>
      </c>
      <c r="I263" s="599">
        <v>10642</v>
      </c>
      <c r="J263" s="599">
        <v>11976</v>
      </c>
      <c r="K263" s="599">
        <v>14902</v>
      </c>
      <c r="L263" s="599">
        <v>14023</v>
      </c>
      <c r="M263" s="599">
        <v>14732</v>
      </c>
      <c r="N263" s="599">
        <v>11919</v>
      </c>
      <c r="O263" s="599">
        <v>10561</v>
      </c>
      <c r="P263" s="599">
        <v>6544</v>
      </c>
      <c r="Q263" s="599">
        <v>6925</v>
      </c>
      <c r="R263" s="599">
        <v>6640</v>
      </c>
      <c r="S263" s="169">
        <f t="shared" si="25"/>
        <v>123775</v>
      </c>
      <c r="T263" s="122">
        <f>VLOOKUP($B263,'Tech Litons'!$A:$I,9,0)</f>
        <v>135</v>
      </c>
      <c r="U263" s="179">
        <f t="shared" si="26"/>
        <v>52.940740740740743</v>
      </c>
      <c r="V263" s="179">
        <f t="shared" si="26"/>
        <v>57.511111111111113</v>
      </c>
      <c r="W263" s="179">
        <f t="shared" si="26"/>
        <v>78.829629629629636</v>
      </c>
      <c r="X263" s="179">
        <f t="shared" si="24"/>
        <v>88.711111111111109</v>
      </c>
      <c r="Y263" s="179">
        <f t="shared" si="24"/>
        <v>110.38518518518518</v>
      </c>
      <c r="Z263" s="179">
        <f t="shared" si="24"/>
        <v>103.87407407407407</v>
      </c>
      <c r="AA263" s="179">
        <f t="shared" si="23"/>
        <v>109.12592592592593</v>
      </c>
      <c r="AB263" s="179">
        <f t="shared" si="23"/>
        <v>88.288888888888891</v>
      </c>
      <c r="AC263" s="179">
        <f t="shared" si="23"/>
        <v>78.229629629629628</v>
      </c>
      <c r="AD263" s="179">
        <f t="shared" si="23"/>
        <v>48.474074074074075</v>
      </c>
      <c r="AE263" s="179">
        <f t="shared" si="23"/>
        <v>51.296296296296298</v>
      </c>
      <c r="AF263" s="179">
        <f t="shared" si="23"/>
        <v>49.185185185185183</v>
      </c>
    </row>
    <row r="264" spans="2:32">
      <c r="B264" s="122">
        <f t="shared" si="22"/>
        <v>68842352</v>
      </c>
      <c r="C264" s="122" t="str">
        <f>VLOOKUP($B264,'Tech Litons'!$A:$I,3,0)</f>
        <v>KL Mini Cones</v>
      </c>
      <c r="D264" s="122" t="str">
        <f>VLOOKUP($B264,'Tech Litons'!$A:$I,4,0)</f>
        <v>KL Mini Cones</v>
      </c>
      <c r="E264" s="598" t="s">
        <v>628</v>
      </c>
      <c r="F264" s="598">
        <v>68842352</v>
      </c>
      <c r="G264" s="600">
        <v>5197.34927296163</v>
      </c>
      <c r="H264" s="599">
        <v>8817.3360903514895</v>
      </c>
      <c r="I264" s="599">
        <v>9540.34244940403</v>
      </c>
      <c r="J264" s="599">
        <v>8482.4854195057105</v>
      </c>
      <c r="K264" s="599">
        <v>13445.353850855099</v>
      </c>
      <c r="L264" s="599">
        <v>15685.03538825</v>
      </c>
      <c r="M264" s="599">
        <v>13207.0150683269</v>
      </c>
      <c r="N264" s="599">
        <v>14126.962047237899</v>
      </c>
      <c r="O264" s="599">
        <v>9857.8991367349408</v>
      </c>
      <c r="P264" s="599">
        <v>8438.8537209844908</v>
      </c>
      <c r="Q264" s="599">
        <v>8043.2981006308801</v>
      </c>
      <c r="R264" s="599">
        <v>8798.6503654324406</v>
      </c>
      <c r="S264" s="169">
        <f t="shared" si="25"/>
        <v>123640.58091067552</v>
      </c>
      <c r="T264" s="122">
        <f>VLOOKUP($B264,'Tech Litons'!$A:$I,9,0)</f>
        <v>220</v>
      </c>
      <c r="U264" s="179">
        <f t="shared" si="26"/>
        <v>23.624314877098318</v>
      </c>
      <c r="V264" s="179">
        <f t="shared" si="26"/>
        <v>40.078800410688586</v>
      </c>
      <c r="W264" s="179">
        <f t="shared" si="26"/>
        <v>43.365192951836498</v>
      </c>
      <c r="X264" s="179">
        <f t="shared" si="24"/>
        <v>38.556751906844141</v>
      </c>
      <c r="Y264" s="179">
        <f t="shared" si="24"/>
        <v>61.115244776614084</v>
      </c>
      <c r="Z264" s="179">
        <f t="shared" si="24"/>
        <v>71.295615401136359</v>
      </c>
      <c r="AA264" s="179">
        <f t="shared" si="23"/>
        <v>60.031886674213183</v>
      </c>
      <c r="AB264" s="179">
        <f t="shared" si="23"/>
        <v>64.213463851081357</v>
      </c>
      <c r="AC264" s="179">
        <f t="shared" si="23"/>
        <v>44.808632439704276</v>
      </c>
      <c r="AD264" s="179">
        <f t="shared" si="23"/>
        <v>38.358426004474957</v>
      </c>
      <c r="AE264" s="179">
        <f t="shared" si="23"/>
        <v>36.560445911958546</v>
      </c>
      <c r="AF264" s="179">
        <f t="shared" si="23"/>
        <v>39.993865297420186</v>
      </c>
    </row>
    <row r="265" spans="2:32">
      <c r="B265" s="122">
        <f t="shared" si="22"/>
        <v>69798161</v>
      </c>
      <c r="C265" s="122" t="str">
        <f>VLOOKUP($B265,'Tech Litons'!$A:$I,3,0)</f>
        <v>Quarts</v>
      </c>
      <c r="D265" s="122" t="str">
        <f>VLOOKUP($B265,'Tech Litons'!$A:$I,4,0)</f>
        <v>Other</v>
      </c>
      <c r="E265" s="286" t="s">
        <v>1096</v>
      </c>
      <c r="F265" s="598">
        <v>69798161</v>
      </c>
      <c r="G265" s="599">
        <v>10280.5931519275</v>
      </c>
      <c r="H265" s="599">
        <v>10280.5931519275</v>
      </c>
      <c r="I265" s="599">
        <v>10280.5931519275</v>
      </c>
      <c r="J265" s="599">
        <v>10280.5931519275</v>
      </c>
      <c r="K265" s="599">
        <v>10280.5931519275</v>
      </c>
      <c r="L265" s="599">
        <v>10280.5931519275</v>
      </c>
      <c r="M265" s="599">
        <v>10280.5931519275</v>
      </c>
      <c r="N265" s="599">
        <v>10280.5931519275</v>
      </c>
      <c r="O265" s="599">
        <v>10280.5931519275</v>
      </c>
      <c r="P265" s="599">
        <v>10280.5931519275</v>
      </c>
      <c r="Q265" s="599">
        <v>10280.5931519275</v>
      </c>
      <c r="R265" s="599">
        <v>10280.5931519275</v>
      </c>
      <c r="S265" s="169">
        <f t="shared" si="25"/>
        <v>123367.11782313003</v>
      </c>
      <c r="T265" s="122">
        <f>VLOOKUP($B265,'Tech Litons'!$A:$I,9,0)</f>
        <v>182</v>
      </c>
      <c r="U265" s="179">
        <f t="shared" si="26"/>
        <v>56.48677556004121</v>
      </c>
      <c r="V265" s="179">
        <f t="shared" si="26"/>
        <v>56.48677556004121</v>
      </c>
      <c r="W265" s="179">
        <f t="shared" si="26"/>
        <v>56.48677556004121</v>
      </c>
      <c r="X265" s="179">
        <f t="shared" si="24"/>
        <v>56.48677556004121</v>
      </c>
      <c r="Y265" s="179">
        <f t="shared" si="24"/>
        <v>56.48677556004121</v>
      </c>
      <c r="Z265" s="179">
        <f t="shared" si="24"/>
        <v>56.48677556004121</v>
      </c>
      <c r="AA265" s="179">
        <f t="shared" si="23"/>
        <v>56.48677556004121</v>
      </c>
      <c r="AB265" s="179">
        <f t="shared" si="23"/>
        <v>56.48677556004121</v>
      </c>
      <c r="AC265" s="179">
        <f t="shared" si="23"/>
        <v>56.48677556004121</v>
      </c>
      <c r="AD265" s="179">
        <f t="shared" si="23"/>
        <v>56.48677556004121</v>
      </c>
      <c r="AE265" s="179">
        <f t="shared" si="23"/>
        <v>56.48677556004121</v>
      </c>
      <c r="AF265" s="179">
        <f t="shared" si="23"/>
        <v>56.48677556004121</v>
      </c>
    </row>
    <row r="266" spans="2:32">
      <c r="B266" s="122">
        <f t="shared" si="22"/>
        <v>64795394</v>
      </c>
      <c r="C266" s="122" t="str">
        <f>VLOOKUP($B266,'Tech Litons'!$A:$I,3,0)</f>
        <v>MBG</v>
      </c>
      <c r="D266" s="122" t="str">
        <f>VLOOKUP($B266,'Tech Litons'!$A:$I,4,0)</f>
        <v>MBG</v>
      </c>
      <c r="E266" s="598" t="s">
        <v>553</v>
      </c>
      <c r="F266" s="598">
        <v>64795394</v>
      </c>
      <c r="G266" s="599">
        <v>7867.99999999999</v>
      </c>
      <c r="H266" s="599">
        <v>7416</v>
      </c>
      <c r="I266" s="599">
        <v>10416</v>
      </c>
      <c r="J266" s="599">
        <v>10967</v>
      </c>
      <c r="K266" s="599">
        <v>13783</v>
      </c>
      <c r="L266" s="599">
        <v>15251</v>
      </c>
      <c r="M266" s="599">
        <v>12343.9999999999</v>
      </c>
      <c r="N266" s="599">
        <v>11582</v>
      </c>
      <c r="O266" s="599">
        <v>9812</v>
      </c>
      <c r="P266" s="599">
        <v>8377.9999999999909</v>
      </c>
      <c r="Q266" s="599">
        <v>7910</v>
      </c>
      <c r="R266" s="599">
        <v>7628.99999999999</v>
      </c>
      <c r="S266" s="169">
        <f t="shared" si="25"/>
        <v>123355.99999999985</v>
      </c>
      <c r="T266" s="122">
        <f>VLOOKUP($B266,'Tech Litons'!$A:$I,9,0)</f>
        <v>225</v>
      </c>
      <c r="U266" s="179">
        <f t="shared" si="26"/>
        <v>34.968888888888841</v>
      </c>
      <c r="V266" s="179">
        <f t="shared" si="26"/>
        <v>32.96</v>
      </c>
      <c r="W266" s="179">
        <f t="shared" si="26"/>
        <v>46.293333333333337</v>
      </c>
      <c r="X266" s="179">
        <f t="shared" si="24"/>
        <v>48.742222222222225</v>
      </c>
      <c r="Y266" s="179">
        <f t="shared" si="24"/>
        <v>61.257777777777775</v>
      </c>
      <c r="Z266" s="179">
        <f t="shared" si="24"/>
        <v>67.782222222222217</v>
      </c>
      <c r="AA266" s="179">
        <f t="shared" si="23"/>
        <v>54.862222222221774</v>
      </c>
      <c r="AB266" s="179">
        <f t="shared" si="23"/>
        <v>51.475555555555559</v>
      </c>
      <c r="AC266" s="179">
        <f t="shared" si="23"/>
        <v>43.608888888888892</v>
      </c>
      <c r="AD266" s="179">
        <f t="shared" si="23"/>
        <v>37.235555555555514</v>
      </c>
      <c r="AE266" s="179">
        <f t="shared" si="23"/>
        <v>35.155555555555559</v>
      </c>
      <c r="AF266" s="179">
        <f t="shared" si="23"/>
        <v>33.906666666666624</v>
      </c>
    </row>
    <row r="267" spans="2:32">
      <c r="B267" s="122">
        <f t="shared" si="22"/>
        <v>68729634</v>
      </c>
      <c r="C267" s="122" t="str">
        <f>VLOOKUP($B267,'Tech Litons'!$A:$I,3,0)</f>
        <v>TALENTI</v>
      </c>
      <c r="D267" s="122" t="str">
        <f>VLOOKUP($B267,'Tech Litons'!$A:$I,4,0)</f>
        <v>TALENTI</v>
      </c>
      <c r="E267" s="598" t="s">
        <v>516</v>
      </c>
      <c r="F267" s="598">
        <v>68729634</v>
      </c>
      <c r="G267" s="599">
        <v>12908.500669599</v>
      </c>
      <c r="H267" s="599">
        <v>10862.7377486846</v>
      </c>
      <c r="I267" s="599">
        <v>11659.5525793938</v>
      </c>
      <c r="J267" s="599">
        <v>10553.8218840379</v>
      </c>
      <c r="K267" s="599">
        <v>10913.1956798183</v>
      </c>
      <c r="L267" s="599">
        <v>12784.177964017001</v>
      </c>
      <c r="M267" s="599">
        <v>10387.0064370011</v>
      </c>
      <c r="N267" s="599">
        <v>8892.7607903419994</v>
      </c>
      <c r="O267" s="599">
        <v>9647.4682796915495</v>
      </c>
      <c r="P267" s="599">
        <v>8608.5715627843692</v>
      </c>
      <c r="Q267" s="599">
        <v>7882.2127122310003</v>
      </c>
      <c r="R267" s="599">
        <v>6766.4647900396003</v>
      </c>
      <c r="S267" s="169">
        <f t="shared" si="25"/>
        <v>121866.47109764021</v>
      </c>
      <c r="T267" s="122">
        <f>VLOOKUP($B267,'Tech Litons'!$A:$I,9,0)</f>
        <v>255</v>
      </c>
      <c r="U267" s="179">
        <f t="shared" si="26"/>
        <v>50.621571253329407</v>
      </c>
      <c r="V267" s="179">
        <f t="shared" si="26"/>
        <v>42.598971563469021</v>
      </c>
      <c r="W267" s="179">
        <f t="shared" si="26"/>
        <v>45.723735605465883</v>
      </c>
      <c r="X267" s="179">
        <f t="shared" si="24"/>
        <v>41.387536800148624</v>
      </c>
      <c r="Y267" s="179">
        <f t="shared" si="24"/>
        <v>42.796845803209017</v>
      </c>
      <c r="Z267" s="179">
        <f t="shared" si="24"/>
        <v>50.134031231439216</v>
      </c>
      <c r="AA267" s="179">
        <f t="shared" si="23"/>
        <v>40.733358576474906</v>
      </c>
      <c r="AB267" s="179">
        <f t="shared" si="23"/>
        <v>34.873571726831372</v>
      </c>
      <c r="AC267" s="179">
        <f t="shared" si="23"/>
        <v>37.833208939966859</v>
      </c>
      <c r="AD267" s="179">
        <f t="shared" si="23"/>
        <v>33.759104167781842</v>
      </c>
      <c r="AE267" s="179">
        <f t="shared" si="23"/>
        <v>30.910638087180395</v>
      </c>
      <c r="AF267" s="179">
        <f t="shared" si="23"/>
        <v>26.535156039370982</v>
      </c>
    </row>
    <row r="268" spans="2:32">
      <c r="B268" s="122">
        <f t="shared" si="22"/>
        <v>64388736</v>
      </c>
      <c r="C268" s="122" t="str">
        <f>VLOOKUP($B268,'Tech Litons'!$A:$I,3,0)</f>
        <v>Yasso Poppables</v>
      </c>
      <c r="D268" s="122" t="str">
        <f>VLOOKUP($B268,'Tech Litons'!$A:$I,4,0)</f>
        <v>Yasso Poppables</v>
      </c>
      <c r="E268" s="598" t="s">
        <v>580</v>
      </c>
      <c r="F268" s="598">
        <v>64388736</v>
      </c>
      <c r="G268" s="599">
        <v>6507.4805666167003</v>
      </c>
      <c r="H268" s="599">
        <v>5095.45400569912</v>
      </c>
      <c r="I268" s="599">
        <v>6413.2071392849402</v>
      </c>
      <c r="J268" s="599">
        <v>14535.671303110799</v>
      </c>
      <c r="K268" s="599">
        <v>9484.7901609044093</v>
      </c>
      <c r="L268" s="599">
        <v>12502.079302418701</v>
      </c>
      <c r="M268" s="599">
        <v>13464.562388158</v>
      </c>
      <c r="N268" s="599">
        <v>13032.888240717901</v>
      </c>
      <c r="O268" s="599">
        <v>11303.0540427867</v>
      </c>
      <c r="P268" s="599">
        <v>9477.73038910785</v>
      </c>
      <c r="Q268" s="599">
        <v>8017.0548269068804</v>
      </c>
      <c r="R268" s="599">
        <v>9940.5806466965605</v>
      </c>
      <c r="S268" s="169">
        <f t="shared" si="25"/>
        <v>119774.55301240855</v>
      </c>
      <c r="T268" s="122">
        <f>VLOOKUP($B268,'Tech Litons'!$A:$I,9,0)</f>
        <v>200</v>
      </c>
      <c r="U268" s="179">
        <f t="shared" si="26"/>
        <v>32.537402833083505</v>
      </c>
      <c r="V268" s="179">
        <f t="shared" si="26"/>
        <v>25.4772700284956</v>
      </c>
      <c r="W268" s="179">
        <f t="shared" si="26"/>
        <v>32.066035696424699</v>
      </c>
      <c r="X268" s="179">
        <f t="shared" si="24"/>
        <v>72.678356515554</v>
      </c>
      <c r="Y268" s="179">
        <f t="shared" si="24"/>
        <v>47.423950804522043</v>
      </c>
      <c r="Z268" s="179">
        <f t="shared" si="24"/>
        <v>62.5103965120935</v>
      </c>
      <c r="AA268" s="179">
        <f t="shared" si="23"/>
        <v>67.322811940790004</v>
      </c>
      <c r="AB268" s="179">
        <f t="shared" si="23"/>
        <v>65.164441203589504</v>
      </c>
      <c r="AC268" s="179">
        <f t="shared" si="23"/>
        <v>56.515270213933498</v>
      </c>
      <c r="AD268" s="179">
        <f t="shared" si="23"/>
        <v>47.388651945539252</v>
      </c>
      <c r="AE268" s="179">
        <f t="shared" si="23"/>
        <v>40.085274134534401</v>
      </c>
      <c r="AF268" s="179">
        <f t="shared" si="23"/>
        <v>49.7029032334828</v>
      </c>
    </row>
    <row r="269" spans="2:32">
      <c r="B269" s="122">
        <f t="shared" si="22"/>
        <v>69798156</v>
      </c>
      <c r="C269" s="122" t="str">
        <f>VLOOKUP($B269,'Tech Litons'!$A:$I,3,0)</f>
        <v>Quarts</v>
      </c>
      <c r="D269" s="122" t="str">
        <f>VLOOKUP($B269,'Tech Litons'!$A:$I,4,0)</f>
        <v>Other</v>
      </c>
      <c r="E269" s="286" t="s">
        <v>1097</v>
      </c>
      <c r="F269" s="598">
        <v>69798156</v>
      </c>
      <c r="G269" s="599">
        <v>9969.28182469895</v>
      </c>
      <c r="H269" s="599">
        <v>9969.28182469895</v>
      </c>
      <c r="I269" s="599">
        <v>9969.28182469895</v>
      </c>
      <c r="J269" s="599">
        <v>9969.28182469895</v>
      </c>
      <c r="K269" s="599">
        <v>9969.28182469895</v>
      </c>
      <c r="L269" s="599">
        <v>9969.28182469895</v>
      </c>
      <c r="M269" s="599">
        <v>9969.28182469895</v>
      </c>
      <c r="N269" s="599">
        <v>9969.28182469895</v>
      </c>
      <c r="O269" s="599">
        <v>9969.28182469895</v>
      </c>
      <c r="P269" s="599">
        <v>9969.28182469895</v>
      </c>
      <c r="Q269" s="599">
        <v>9969.28182469895</v>
      </c>
      <c r="R269" s="599">
        <v>9969.28182469895</v>
      </c>
      <c r="S269" s="169">
        <f t="shared" si="25"/>
        <v>119631.38189638739</v>
      </c>
      <c r="T269" s="122">
        <f>VLOOKUP($B269,'Tech Litons'!$A:$I,9,0)</f>
        <v>182</v>
      </c>
      <c r="U269" s="179">
        <f t="shared" si="26"/>
        <v>54.776273762082141</v>
      </c>
      <c r="V269" s="179">
        <f t="shared" si="26"/>
        <v>54.776273762082141</v>
      </c>
      <c r="W269" s="179">
        <f t="shared" si="26"/>
        <v>54.776273762082141</v>
      </c>
      <c r="X269" s="179">
        <f t="shared" si="24"/>
        <v>54.776273762082141</v>
      </c>
      <c r="Y269" s="179">
        <f t="shared" si="24"/>
        <v>54.776273762082141</v>
      </c>
      <c r="Z269" s="179">
        <f t="shared" si="24"/>
        <v>54.776273762082141</v>
      </c>
      <c r="AA269" s="179">
        <f t="shared" si="23"/>
        <v>54.776273762082141</v>
      </c>
      <c r="AB269" s="179">
        <f t="shared" si="23"/>
        <v>54.776273762082141</v>
      </c>
      <c r="AC269" s="179">
        <f t="shared" si="23"/>
        <v>54.776273762082141</v>
      </c>
      <c r="AD269" s="179">
        <f t="shared" si="23"/>
        <v>54.776273762082141</v>
      </c>
      <c r="AE269" s="179">
        <f t="shared" si="23"/>
        <v>54.776273762082141</v>
      </c>
      <c r="AF269" s="179">
        <f t="shared" si="23"/>
        <v>54.776273762082141</v>
      </c>
    </row>
    <row r="270" spans="2:32">
      <c r="B270" s="122">
        <f t="shared" si="22"/>
        <v>64984153</v>
      </c>
      <c r="C270" s="122" t="str">
        <f>VLOOKUP($B270,'Tech Litons'!$A:$I,3,0)</f>
        <v>Sundaes</v>
      </c>
      <c r="D270" s="122" t="str">
        <f>VLOOKUP($B270,'Tech Litons'!$A:$I,4,0)</f>
        <v>SP1</v>
      </c>
      <c r="E270" s="598" t="s">
        <v>350</v>
      </c>
      <c r="F270" s="598">
        <v>64984153</v>
      </c>
      <c r="G270" s="599">
        <v>11531</v>
      </c>
      <c r="H270" s="599">
        <v>9150</v>
      </c>
      <c r="I270" s="599">
        <v>6500</v>
      </c>
      <c r="J270" s="599">
        <v>8811</v>
      </c>
      <c r="K270" s="599">
        <v>11395</v>
      </c>
      <c r="L270" s="599">
        <v>11396</v>
      </c>
      <c r="M270" s="599">
        <v>10394</v>
      </c>
      <c r="N270" s="599">
        <v>11089</v>
      </c>
      <c r="O270" s="599">
        <v>10229</v>
      </c>
      <c r="P270" s="599">
        <v>10336</v>
      </c>
      <c r="Q270" s="599">
        <v>9000</v>
      </c>
      <c r="R270" s="599">
        <v>9399</v>
      </c>
      <c r="S270" s="169">
        <f t="shared" si="25"/>
        <v>119230</v>
      </c>
      <c r="T270" s="122">
        <f>VLOOKUP($B270,'Tech Litons'!$A:$I,9,0)</f>
        <v>240</v>
      </c>
      <c r="U270" s="179">
        <f t="shared" si="26"/>
        <v>48.045833333333334</v>
      </c>
      <c r="V270" s="179">
        <f t="shared" si="26"/>
        <v>38.125</v>
      </c>
      <c r="W270" s="179">
        <f t="shared" si="26"/>
        <v>27.083333333333332</v>
      </c>
      <c r="X270" s="179">
        <f t="shared" si="24"/>
        <v>36.712499999999999</v>
      </c>
      <c r="Y270" s="179">
        <f t="shared" si="24"/>
        <v>47.479166666666664</v>
      </c>
      <c r="Z270" s="179">
        <f t="shared" si="24"/>
        <v>47.483333333333334</v>
      </c>
      <c r="AA270" s="179">
        <f t="shared" si="23"/>
        <v>43.30833333333333</v>
      </c>
      <c r="AB270" s="179">
        <f t="shared" si="23"/>
        <v>46.204166666666666</v>
      </c>
      <c r="AC270" s="179">
        <f t="shared" si="23"/>
        <v>42.62083333333333</v>
      </c>
      <c r="AD270" s="179">
        <f t="shared" si="23"/>
        <v>43.06666666666667</v>
      </c>
      <c r="AE270" s="179">
        <f t="shared" si="23"/>
        <v>37.5</v>
      </c>
      <c r="AF270" s="179">
        <f t="shared" si="23"/>
        <v>39.162500000000001</v>
      </c>
    </row>
    <row r="271" spans="2:32">
      <c r="B271" s="122">
        <f t="shared" si="22"/>
        <v>68938272</v>
      </c>
      <c r="C271" s="122" t="str">
        <f>VLOOKUP($B271,'Tech Litons'!$A:$I,3,0)</f>
        <v>Topped</v>
      </c>
      <c r="D271" s="122" t="str">
        <f>VLOOKUP($B271,'Tech Litons'!$A:$I,4,0)</f>
        <v>SP1</v>
      </c>
      <c r="E271" s="598" t="s">
        <v>483</v>
      </c>
      <c r="F271" s="598">
        <v>68938272</v>
      </c>
      <c r="G271" s="599">
        <v>6817.1952768301999</v>
      </c>
      <c r="H271" s="599">
        <v>10855.6810316557</v>
      </c>
      <c r="I271" s="599">
        <v>11353.1083637706</v>
      </c>
      <c r="J271" s="599">
        <v>10322.3328836009</v>
      </c>
      <c r="K271" s="599">
        <v>9756.7944866430807</v>
      </c>
      <c r="L271" s="599">
        <v>12085.1073658032</v>
      </c>
      <c r="M271" s="599">
        <v>10286.0724831999</v>
      </c>
      <c r="N271" s="599">
        <v>10920.196551016001</v>
      </c>
      <c r="O271" s="599">
        <v>9689.3683589707707</v>
      </c>
      <c r="P271" s="599">
        <v>10082.8311319069</v>
      </c>
      <c r="Q271" s="599">
        <v>7885.2775719563297</v>
      </c>
      <c r="R271" s="599">
        <v>7054.49427824345</v>
      </c>
      <c r="S271" s="169">
        <f t="shared" si="25"/>
        <v>117108.45978359702</v>
      </c>
      <c r="T271" s="122">
        <f>VLOOKUP($B271,'Tech Litons'!$A:$I,9,0)</f>
        <v>240</v>
      </c>
      <c r="U271" s="179">
        <f t="shared" si="26"/>
        <v>28.404980320125834</v>
      </c>
      <c r="V271" s="179">
        <f t="shared" si="26"/>
        <v>45.232004298565421</v>
      </c>
      <c r="W271" s="179">
        <f t="shared" si="26"/>
        <v>47.304618182377496</v>
      </c>
      <c r="X271" s="179">
        <f t="shared" si="24"/>
        <v>43.009720348337083</v>
      </c>
      <c r="Y271" s="179">
        <f t="shared" si="24"/>
        <v>40.653310361012835</v>
      </c>
      <c r="Z271" s="179">
        <f t="shared" si="24"/>
        <v>50.354614024180002</v>
      </c>
      <c r="AA271" s="179">
        <f t="shared" si="23"/>
        <v>42.858635346666247</v>
      </c>
      <c r="AB271" s="179">
        <f t="shared" si="23"/>
        <v>45.500818962566669</v>
      </c>
      <c r="AC271" s="179">
        <f t="shared" si="23"/>
        <v>40.372368162378208</v>
      </c>
      <c r="AD271" s="179">
        <f t="shared" si="23"/>
        <v>42.011796382945413</v>
      </c>
      <c r="AE271" s="179">
        <f t="shared" si="23"/>
        <v>32.855323216484706</v>
      </c>
      <c r="AF271" s="179">
        <f t="shared" si="23"/>
        <v>29.393726159347707</v>
      </c>
    </row>
    <row r="272" spans="2:32">
      <c r="B272" s="122">
        <f t="shared" si="22"/>
        <v>64326313</v>
      </c>
      <c r="C272" s="122" t="str">
        <f>VLOOKUP($B272,'Tech Litons'!$A:$I,3,0)</f>
        <v>Yasso Sticks</v>
      </c>
      <c r="D272" s="122" t="str">
        <f>VLOOKUP($B272,'Tech Litons'!$A:$I,4,0)</f>
        <v>Yasso Sticks</v>
      </c>
      <c r="E272" s="598" t="s">
        <v>584</v>
      </c>
      <c r="F272" s="598">
        <v>64326313</v>
      </c>
      <c r="G272" s="599">
        <v>9253.3093295231702</v>
      </c>
      <c r="H272" s="599">
        <v>7274.1453995383299</v>
      </c>
      <c r="I272" s="599">
        <v>10259.661182326399</v>
      </c>
      <c r="J272" s="599">
        <v>10610.228863787999</v>
      </c>
      <c r="K272" s="599">
        <v>10248.3041513022</v>
      </c>
      <c r="L272" s="599">
        <v>12204.388061481701</v>
      </c>
      <c r="M272" s="599">
        <v>14730.93542132</v>
      </c>
      <c r="N272" s="599">
        <v>8286.8449940837909</v>
      </c>
      <c r="O272" s="599">
        <v>10109.0577959722</v>
      </c>
      <c r="P272" s="599">
        <v>9777.8472128927606</v>
      </c>
      <c r="Q272" s="599">
        <v>9513.2198602153294</v>
      </c>
      <c r="R272" s="599">
        <v>4766.1264497232796</v>
      </c>
      <c r="S272" s="169">
        <f t="shared" si="25"/>
        <v>117034.06872216715</v>
      </c>
      <c r="T272" s="122">
        <f>VLOOKUP($B272,'Tech Litons'!$A:$I,9,0)</f>
        <v>187</v>
      </c>
      <c r="U272" s="179">
        <f t="shared" si="26"/>
        <v>49.482937591032993</v>
      </c>
      <c r="V272" s="179">
        <f t="shared" si="26"/>
        <v>38.899173259563263</v>
      </c>
      <c r="W272" s="179">
        <f t="shared" si="26"/>
        <v>54.864498301210695</v>
      </c>
      <c r="X272" s="179">
        <f t="shared" si="24"/>
        <v>56.739191784962564</v>
      </c>
      <c r="Y272" s="179">
        <f t="shared" si="24"/>
        <v>54.803765514985024</v>
      </c>
      <c r="Z272" s="179">
        <f t="shared" si="24"/>
        <v>65.264107280650805</v>
      </c>
      <c r="AA272" s="179">
        <f t="shared" si="23"/>
        <v>78.775055728983958</v>
      </c>
      <c r="AB272" s="179">
        <f t="shared" si="23"/>
        <v>44.314679112747548</v>
      </c>
      <c r="AC272" s="179">
        <f t="shared" si="23"/>
        <v>54.059132598781815</v>
      </c>
      <c r="AD272" s="179">
        <f t="shared" ref="AD272:AF330" si="27">P272/$T272</f>
        <v>52.287953010121711</v>
      </c>
      <c r="AE272" s="179">
        <f t="shared" si="27"/>
        <v>50.872833477087326</v>
      </c>
      <c r="AF272" s="179">
        <f t="shared" si="27"/>
        <v>25.487307217771548</v>
      </c>
    </row>
    <row r="273" spans="2:32">
      <c r="B273" s="122">
        <f t="shared" si="22"/>
        <v>64780901</v>
      </c>
      <c r="C273" s="122" t="str">
        <f>VLOOKUP($B273,'Tech Litons'!$A:$I,3,0)</f>
        <v>PTS</v>
      </c>
      <c r="D273" s="122" t="str">
        <f>VLOOKUP($B273,'Tech Litons'!$A:$I,4,0)</f>
        <v>SP1</v>
      </c>
      <c r="E273" s="598" t="s">
        <v>1098</v>
      </c>
      <c r="F273" s="598">
        <v>64780901</v>
      </c>
      <c r="G273" s="599">
        <v>8153.3018738487299</v>
      </c>
      <c r="H273" s="599">
        <v>7742.6326495066296</v>
      </c>
      <c r="I273" s="599">
        <v>9778.0912351011993</v>
      </c>
      <c r="J273" s="599">
        <v>10217.755225837</v>
      </c>
      <c r="K273" s="599">
        <v>10274.991728785501</v>
      </c>
      <c r="L273" s="599">
        <v>11378.3993980787</v>
      </c>
      <c r="M273" s="599">
        <v>9511.2261543181994</v>
      </c>
      <c r="N273" s="599">
        <v>9609.0033064904292</v>
      </c>
      <c r="O273" s="599">
        <v>9527.5442316041099</v>
      </c>
      <c r="P273" s="599">
        <v>8725.9414841410908</v>
      </c>
      <c r="Q273" s="599">
        <v>9023.6923054133404</v>
      </c>
      <c r="R273" s="599">
        <v>8607.9903276223195</v>
      </c>
      <c r="S273" s="169">
        <f t="shared" si="25"/>
        <v>112550.56992074725</v>
      </c>
      <c r="T273" s="122">
        <f>VLOOKUP($B273,'Tech Litons'!$A:$I,9,0)</f>
        <v>240</v>
      </c>
      <c r="U273" s="179">
        <f t="shared" si="26"/>
        <v>33.972091141036373</v>
      </c>
      <c r="V273" s="179">
        <f t="shared" si="26"/>
        <v>32.260969372944288</v>
      </c>
      <c r="W273" s="179">
        <f t="shared" si="26"/>
        <v>40.742046812921664</v>
      </c>
      <c r="X273" s="179">
        <f t="shared" si="24"/>
        <v>42.573980107654165</v>
      </c>
      <c r="Y273" s="179">
        <f t="shared" si="24"/>
        <v>42.812465536606254</v>
      </c>
      <c r="Z273" s="179">
        <f t="shared" si="24"/>
        <v>47.409997491994581</v>
      </c>
      <c r="AA273" s="179">
        <f t="shared" si="24"/>
        <v>39.630108976325829</v>
      </c>
      <c r="AB273" s="179">
        <f t="shared" si="24"/>
        <v>40.037513777043458</v>
      </c>
      <c r="AC273" s="179">
        <f t="shared" si="24"/>
        <v>39.698100965017126</v>
      </c>
      <c r="AD273" s="179">
        <f t="shared" si="27"/>
        <v>36.358089517254548</v>
      </c>
      <c r="AE273" s="179">
        <f t="shared" si="27"/>
        <v>37.598717939222254</v>
      </c>
      <c r="AF273" s="179">
        <f t="shared" si="27"/>
        <v>35.866626365092998</v>
      </c>
    </row>
    <row r="274" spans="2:32">
      <c r="B274" s="122">
        <f t="shared" si="22"/>
        <v>64988053</v>
      </c>
      <c r="C274" s="122" t="str">
        <f>VLOOKUP($B274,'Tech Litons'!$A:$I,3,0)</f>
        <v>BJ Bars</v>
      </c>
      <c r="D274" s="122" t="str">
        <f>VLOOKUP($B274,'Tech Litons'!$A:$I,4,0)</f>
        <v>BJ Bars</v>
      </c>
      <c r="E274" s="598" t="s">
        <v>599</v>
      </c>
      <c r="F274" s="598">
        <v>64988053</v>
      </c>
      <c r="G274" s="599">
        <v>11076</v>
      </c>
      <c r="H274" s="599">
        <v>5215.99999999999</v>
      </c>
      <c r="I274" s="599">
        <v>7496</v>
      </c>
      <c r="J274" s="599">
        <v>8677.9999999999909</v>
      </c>
      <c r="K274" s="599">
        <v>10743</v>
      </c>
      <c r="L274" s="599">
        <v>10738</v>
      </c>
      <c r="M274" s="599">
        <v>9792</v>
      </c>
      <c r="N274" s="599">
        <v>10448</v>
      </c>
      <c r="O274" s="599">
        <v>9638</v>
      </c>
      <c r="P274" s="599">
        <v>9738</v>
      </c>
      <c r="Q274" s="599">
        <v>8480</v>
      </c>
      <c r="R274" s="599">
        <v>8856</v>
      </c>
      <c r="S274" s="169">
        <f t="shared" si="25"/>
        <v>110898.99999999997</v>
      </c>
      <c r="T274" s="122">
        <f>VLOOKUP($B274,'Tech Litons'!$A:$I,9,0)</f>
        <v>165</v>
      </c>
      <c r="U274" s="179">
        <f t="shared" si="26"/>
        <v>67.127272727272725</v>
      </c>
      <c r="V274" s="179">
        <f t="shared" si="26"/>
        <v>31.612121212121153</v>
      </c>
      <c r="W274" s="179">
        <f t="shared" si="26"/>
        <v>45.43030303030303</v>
      </c>
      <c r="X274" s="179">
        <f t="shared" si="24"/>
        <v>52.593939393939337</v>
      </c>
      <c r="Y274" s="179">
        <f t="shared" si="24"/>
        <v>65.109090909090909</v>
      </c>
      <c r="Z274" s="179">
        <f t="shared" si="24"/>
        <v>65.078787878787878</v>
      </c>
      <c r="AA274" s="179">
        <f t="shared" si="24"/>
        <v>59.345454545454544</v>
      </c>
      <c r="AB274" s="179">
        <f t="shared" si="24"/>
        <v>63.32121212121212</v>
      </c>
      <c r="AC274" s="179">
        <f t="shared" si="24"/>
        <v>58.412121212121214</v>
      </c>
      <c r="AD274" s="179">
        <f t="shared" si="27"/>
        <v>59.018181818181816</v>
      </c>
      <c r="AE274" s="179">
        <f t="shared" si="27"/>
        <v>51.393939393939391</v>
      </c>
      <c r="AF274" s="179">
        <f t="shared" si="27"/>
        <v>53.672727272727272</v>
      </c>
    </row>
    <row r="275" spans="2:32">
      <c r="B275" s="122">
        <f t="shared" si="22"/>
        <v>64409314</v>
      </c>
      <c r="C275" s="122" t="str">
        <f>VLOOKUP($B275,'Tech Litons'!$A:$I,3,0)</f>
        <v>Other</v>
      </c>
      <c r="D275" s="122" t="str">
        <f>VLOOKUP($B275,'Tech Litons'!$A:$I,4,0)</f>
        <v>Other</v>
      </c>
      <c r="E275" s="286" t="s">
        <v>624</v>
      </c>
      <c r="F275" s="598">
        <v>64409314</v>
      </c>
      <c r="G275" s="599">
        <v>6340</v>
      </c>
      <c r="H275" s="599">
        <v>6887</v>
      </c>
      <c r="I275" s="599">
        <v>9439</v>
      </c>
      <c r="J275" s="599">
        <v>10622</v>
      </c>
      <c r="K275" s="599">
        <v>13217</v>
      </c>
      <c r="L275" s="599">
        <v>12437.9999999999</v>
      </c>
      <c r="M275" s="599">
        <v>13065.9999999999</v>
      </c>
      <c r="N275" s="599">
        <v>10572</v>
      </c>
      <c r="O275" s="599">
        <v>9367</v>
      </c>
      <c r="P275" s="599">
        <v>5804</v>
      </c>
      <c r="Q275" s="599">
        <v>6142</v>
      </c>
      <c r="R275" s="599">
        <v>5889</v>
      </c>
      <c r="S275" s="169">
        <f t="shared" si="25"/>
        <v>109782.9999999998</v>
      </c>
      <c r="T275" s="122">
        <f>VLOOKUP($B275,'Tech Litons'!$A:$I,9,0)</f>
        <v>135</v>
      </c>
      <c r="U275" s="179">
        <f t="shared" si="26"/>
        <v>46.962962962962962</v>
      </c>
      <c r="V275" s="179">
        <f t="shared" si="26"/>
        <v>51.014814814814812</v>
      </c>
      <c r="W275" s="179">
        <f t="shared" si="26"/>
        <v>69.918518518518525</v>
      </c>
      <c r="X275" s="179">
        <f t="shared" si="24"/>
        <v>78.681481481481484</v>
      </c>
      <c r="Y275" s="179">
        <f t="shared" si="24"/>
        <v>97.903703703703698</v>
      </c>
      <c r="Z275" s="179">
        <f t="shared" si="24"/>
        <v>92.133333333332587</v>
      </c>
      <c r="AA275" s="179">
        <f t="shared" si="24"/>
        <v>96.785185185184446</v>
      </c>
      <c r="AB275" s="179">
        <f t="shared" si="24"/>
        <v>78.311111111111117</v>
      </c>
      <c r="AC275" s="179">
        <f t="shared" si="24"/>
        <v>69.385185185185179</v>
      </c>
      <c r="AD275" s="179">
        <f t="shared" si="27"/>
        <v>42.992592592592594</v>
      </c>
      <c r="AE275" s="179">
        <f t="shared" si="27"/>
        <v>45.496296296296293</v>
      </c>
      <c r="AF275" s="179">
        <f t="shared" si="27"/>
        <v>43.62222222222222</v>
      </c>
    </row>
    <row r="276" spans="2:32">
      <c r="B276" s="122">
        <f t="shared" si="22"/>
        <v>69586720</v>
      </c>
      <c r="C276" s="122" t="str">
        <f>VLOOKUP($B276,'Tech Litons'!$A:$I,3,0)</f>
        <v>KL Mini Cones</v>
      </c>
      <c r="D276" s="122" t="str">
        <f>VLOOKUP($B276,'Tech Litons'!$A:$I,4,0)</f>
        <v>KL Mini Cones</v>
      </c>
      <c r="E276" s="598" t="s">
        <v>630</v>
      </c>
      <c r="F276" s="598">
        <v>69586720</v>
      </c>
      <c r="G276" s="599">
        <v>4818.1007270383598</v>
      </c>
      <c r="H276" s="599">
        <v>7601.9039096485003</v>
      </c>
      <c r="I276" s="599">
        <v>8335.5675505959607</v>
      </c>
      <c r="J276" s="599">
        <v>7358.9445804942798</v>
      </c>
      <c r="K276" s="599">
        <v>12095.2861491448</v>
      </c>
      <c r="L276" s="599">
        <v>13712.7346117499</v>
      </c>
      <c r="M276" s="599">
        <v>13565.644931673</v>
      </c>
      <c r="N276" s="599">
        <v>11509.097952762</v>
      </c>
      <c r="O276" s="599">
        <v>8129.8608632650503</v>
      </c>
      <c r="P276" s="599">
        <v>7971.9562790154996</v>
      </c>
      <c r="Q276" s="599">
        <v>7222.3818993691102</v>
      </c>
      <c r="R276" s="599">
        <v>7379.5596345675503</v>
      </c>
      <c r="S276" s="169">
        <f t="shared" si="25"/>
        <v>109701.03908932403</v>
      </c>
      <c r="T276" s="122">
        <f>VLOOKUP($B276,'Tech Litons'!$A:$I,9,0)</f>
        <v>220</v>
      </c>
      <c r="U276" s="179">
        <f t="shared" si="26"/>
        <v>21.900457850174362</v>
      </c>
      <c r="V276" s="179">
        <f t="shared" si="26"/>
        <v>34.554108680220459</v>
      </c>
      <c r="W276" s="179">
        <f t="shared" si="26"/>
        <v>37.888943411799822</v>
      </c>
      <c r="X276" s="179">
        <f t="shared" si="24"/>
        <v>33.449748093155819</v>
      </c>
      <c r="Y276" s="179">
        <f t="shared" si="24"/>
        <v>54.97857340520364</v>
      </c>
      <c r="Z276" s="179">
        <f t="shared" si="24"/>
        <v>62.330611871590456</v>
      </c>
      <c r="AA276" s="179">
        <f t="shared" si="24"/>
        <v>61.66202241669545</v>
      </c>
      <c r="AB276" s="179">
        <f t="shared" si="24"/>
        <v>52.314081603463634</v>
      </c>
      <c r="AC276" s="179">
        <f t="shared" si="24"/>
        <v>36.953913014841135</v>
      </c>
      <c r="AD276" s="179">
        <f t="shared" si="27"/>
        <v>36.236164904615904</v>
      </c>
      <c r="AE276" s="179">
        <f t="shared" si="27"/>
        <v>32.829008633495953</v>
      </c>
      <c r="AF276" s="179">
        <f t="shared" si="27"/>
        <v>33.543452884397958</v>
      </c>
    </row>
    <row r="277" spans="2:32">
      <c r="B277" s="122">
        <f t="shared" si="22"/>
        <v>69549036</v>
      </c>
      <c r="C277" s="122" t="e">
        <f>VLOOKUP($B277,'Tech Litons'!$A:$I,3,0)</f>
        <v>#N/A</v>
      </c>
      <c r="D277" s="122" t="e">
        <f>VLOOKUP($B277,'Tech Litons'!$A:$I,4,0)</f>
        <v>#N/A</v>
      </c>
      <c r="E277" s="598" t="s">
        <v>457</v>
      </c>
      <c r="F277" s="598">
        <v>69549036</v>
      </c>
      <c r="G277" s="599">
        <v>7756.7437131371398</v>
      </c>
      <c r="H277" s="599">
        <v>7667.6956910241897</v>
      </c>
      <c r="I277" s="599">
        <v>9904.2332120514293</v>
      </c>
      <c r="J277" s="599">
        <v>9301.0584940948193</v>
      </c>
      <c r="K277" s="599">
        <v>12221.6968845628</v>
      </c>
      <c r="L277" s="599">
        <v>10085.848943901799</v>
      </c>
      <c r="M277" s="599">
        <v>9845.6594503257602</v>
      </c>
      <c r="N277" s="599">
        <v>9183.5439161356808</v>
      </c>
      <c r="O277" s="599">
        <v>7805.6772994212897</v>
      </c>
      <c r="P277" s="599">
        <v>8112.7120756746099</v>
      </c>
      <c r="Q277" s="599">
        <v>6828.1847921225299</v>
      </c>
      <c r="R277" s="599">
        <v>6524.8918386997802</v>
      </c>
      <c r="S277" s="169">
        <f t="shared" si="25"/>
        <v>105237.94631115184</v>
      </c>
      <c r="T277" s="122" t="e">
        <f>VLOOKUP($B277,'Tech Litons'!$A:$I,9,0)</f>
        <v>#N/A</v>
      </c>
      <c r="U277" s="179" t="e">
        <f t="shared" si="26"/>
        <v>#N/A</v>
      </c>
      <c r="V277" s="179" t="e">
        <f t="shared" si="26"/>
        <v>#N/A</v>
      </c>
      <c r="W277" s="179" t="e">
        <f t="shared" si="26"/>
        <v>#N/A</v>
      </c>
      <c r="X277" s="179" t="e">
        <f t="shared" si="24"/>
        <v>#N/A</v>
      </c>
      <c r="Y277" s="179" t="e">
        <f t="shared" si="24"/>
        <v>#N/A</v>
      </c>
      <c r="Z277" s="179" t="e">
        <f t="shared" si="24"/>
        <v>#N/A</v>
      </c>
      <c r="AA277" s="179" t="e">
        <f t="shared" si="24"/>
        <v>#N/A</v>
      </c>
      <c r="AB277" s="179" t="e">
        <f t="shared" si="24"/>
        <v>#N/A</v>
      </c>
      <c r="AC277" s="179" t="e">
        <f t="shared" si="24"/>
        <v>#N/A</v>
      </c>
      <c r="AD277" s="179" t="e">
        <f t="shared" si="27"/>
        <v>#N/A</v>
      </c>
      <c r="AE277" s="179" t="e">
        <f t="shared" si="27"/>
        <v>#N/A</v>
      </c>
      <c r="AF277" s="179" t="e">
        <f t="shared" si="27"/>
        <v>#N/A</v>
      </c>
    </row>
    <row r="278" spans="2:32">
      <c r="B278" s="122">
        <f t="shared" si="22"/>
        <v>69691809</v>
      </c>
      <c r="C278" s="122" t="str">
        <f>VLOOKUP($B278,'Tech Litons'!$A:$I,3,0)</f>
        <v>TALENTI</v>
      </c>
      <c r="D278" s="122" t="str">
        <f>VLOOKUP($B278,'Tech Litons'!$A:$I,4,0)</f>
        <v>TALENTI</v>
      </c>
      <c r="E278" s="598" t="s">
        <v>971</v>
      </c>
      <c r="F278" s="598">
        <v>69691809</v>
      </c>
      <c r="G278" s="599">
        <v>8702.3103931085898</v>
      </c>
      <c r="H278" s="599">
        <v>8513.6779846404097</v>
      </c>
      <c r="I278" s="599">
        <v>10003.2111465129</v>
      </c>
      <c r="J278" s="599">
        <v>9391.4275809286901</v>
      </c>
      <c r="K278" s="599">
        <v>9193.2288629476298</v>
      </c>
      <c r="L278" s="599">
        <v>11736.9930795903</v>
      </c>
      <c r="M278" s="599">
        <v>9321.3553603639102</v>
      </c>
      <c r="N278" s="599">
        <v>9095.4686338949396</v>
      </c>
      <c r="O278" s="599">
        <v>8468.8418094747394</v>
      </c>
      <c r="P278" s="599">
        <v>8707.8788442754794</v>
      </c>
      <c r="Q278" s="599">
        <v>5332.2097052496601</v>
      </c>
      <c r="R278" s="599">
        <v>5157.4347152533701</v>
      </c>
      <c r="S278" s="169">
        <f t="shared" si="25"/>
        <v>103624.03811624063</v>
      </c>
      <c r="T278" s="122">
        <f>VLOOKUP($B278,'Tech Litons'!$A:$I,9,0)</f>
        <v>255</v>
      </c>
      <c r="U278" s="179">
        <f t="shared" si="26"/>
        <v>34.126707423955253</v>
      </c>
      <c r="V278" s="179">
        <f t="shared" si="26"/>
        <v>33.386972488785922</v>
      </c>
      <c r="W278" s="179">
        <f t="shared" si="26"/>
        <v>39.22827900593294</v>
      </c>
      <c r="X278" s="179">
        <f t="shared" si="24"/>
        <v>36.829127768347803</v>
      </c>
      <c r="Y278" s="179">
        <f t="shared" si="24"/>
        <v>36.051877893912277</v>
      </c>
      <c r="Z278" s="179">
        <f t="shared" si="24"/>
        <v>46.027423841530592</v>
      </c>
      <c r="AA278" s="179">
        <f t="shared" si="24"/>
        <v>36.554334746525136</v>
      </c>
      <c r="AB278" s="179">
        <f t="shared" si="24"/>
        <v>35.668504446646821</v>
      </c>
      <c r="AC278" s="179">
        <f t="shared" si="24"/>
        <v>33.211144350881334</v>
      </c>
      <c r="AD278" s="179">
        <f t="shared" si="27"/>
        <v>34.148544487354819</v>
      </c>
      <c r="AE278" s="179">
        <f t="shared" si="27"/>
        <v>20.910626295096705</v>
      </c>
      <c r="AF278" s="179">
        <f t="shared" si="27"/>
        <v>20.225234177464195</v>
      </c>
    </row>
    <row r="279" spans="2:32">
      <c r="B279" s="122">
        <f t="shared" si="22"/>
        <v>67736698</v>
      </c>
      <c r="C279" s="122" t="e">
        <f>VLOOKUP($B279,'Tech Litons'!$A:$I,3,0)</f>
        <v>#N/A</v>
      </c>
      <c r="D279" s="122" t="e">
        <f>VLOOKUP($B279,'Tech Litons'!$A:$I,4,0)</f>
        <v>#N/A</v>
      </c>
      <c r="E279" s="598" t="s">
        <v>942</v>
      </c>
      <c r="F279" s="598">
        <v>67736698</v>
      </c>
      <c r="G279" s="600">
        <v>5164.2881076952599</v>
      </c>
      <c r="H279" s="599">
        <v>8781.0287901191095</v>
      </c>
      <c r="I279" s="599">
        <v>10660.2856963165</v>
      </c>
      <c r="J279" s="599">
        <v>9119.0127505401997</v>
      </c>
      <c r="K279" s="599">
        <v>8698.2212967004907</v>
      </c>
      <c r="L279" s="599">
        <v>8900.1685317293504</v>
      </c>
      <c r="M279" s="599">
        <v>10000.1930014756</v>
      </c>
      <c r="N279" s="599">
        <v>10702.558825093</v>
      </c>
      <c r="O279" s="599">
        <v>8100.7022456356799</v>
      </c>
      <c r="P279" s="599">
        <v>8610.2647401969607</v>
      </c>
      <c r="Q279" s="599">
        <v>7879.80061816748</v>
      </c>
      <c r="R279" s="599">
        <v>6762.81902927797</v>
      </c>
      <c r="S279" s="169">
        <f t="shared" si="25"/>
        <v>103379.34363294761</v>
      </c>
      <c r="T279" s="122" t="e">
        <f>VLOOKUP($B279,'Tech Litons'!$A:$I,9,0)</f>
        <v>#N/A</v>
      </c>
      <c r="U279" s="179" t="e">
        <f t="shared" si="26"/>
        <v>#N/A</v>
      </c>
      <c r="V279" s="179" t="e">
        <f t="shared" si="26"/>
        <v>#N/A</v>
      </c>
      <c r="W279" s="179" t="e">
        <f t="shared" si="26"/>
        <v>#N/A</v>
      </c>
      <c r="X279" s="179" t="e">
        <f t="shared" si="24"/>
        <v>#N/A</v>
      </c>
      <c r="Y279" s="179" t="e">
        <f t="shared" si="24"/>
        <v>#N/A</v>
      </c>
      <c r="Z279" s="179" t="e">
        <f t="shared" si="24"/>
        <v>#N/A</v>
      </c>
      <c r="AA279" s="179" t="e">
        <f t="shared" si="24"/>
        <v>#N/A</v>
      </c>
      <c r="AB279" s="179" t="e">
        <f t="shared" si="24"/>
        <v>#N/A</v>
      </c>
      <c r="AC279" s="179" t="e">
        <f t="shared" si="24"/>
        <v>#N/A</v>
      </c>
      <c r="AD279" s="179" t="e">
        <f t="shared" si="27"/>
        <v>#N/A</v>
      </c>
      <c r="AE279" s="179" t="e">
        <f t="shared" si="27"/>
        <v>#N/A</v>
      </c>
      <c r="AF279" s="179" t="e">
        <f t="shared" si="27"/>
        <v>#N/A</v>
      </c>
    </row>
    <row r="280" spans="2:32">
      <c r="B280" s="122">
        <f t="shared" si="22"/>
        <v>68414647</v>
      </c>
      <c r="C280" s="122" t="e">
        <f>VLOOKUP($B280,'Tech Litons'!$A:$I,3,0)</f>
        <v>#N/A</v>
      </c>
      <c r="D280" s="122" t="e">
        <f>VLOOKUP($B280,'Tech Litons'!$A:$I,4,0)</f>
        <v>#N/A</v>
      </c>
      <c r="E280" s="598" t="s">
        <v>572</v>
      </c>
      <c r="F280" s="598">
        <v>68414647</v>
      </c>
      <c r="G280" s="599">
        <v>6836.3029524760204</v>
      </c>
      <c r="H280" s="599">
        <v>6706.7510525974603</v>
      </c>
      <c r="I280" s="599">
        <v>8004.5010564349896</v>
      </c>
      <c r="J280" s="599">
        <v>9300.8865096046193</v>
      </c>
      <c r="K280" s="599">
        <v>8950.2069447577596</v>
      </c>
      <c r="L280" s="599">
        <v>9821.8563978841794</v>
      </c>
      <c r="M280" s="599">
        <v>9510.0824710564902</v>
      </c>
      <c r="N280" s="599">
        <v>10312.2736379327</v>
      </c>
      <c r="O280" s="599">
        <v>7217.7413149310596</v>
      </c>
      <c r="P280" s="599">
        <v>8537.9841638220896</v>
      </c>
      <c r="Q280" s="599">
        <v>7719.19</v>
      </c>
      <c r="R280" s="599">
        <v>7510.61</v>
      </c>
      <c r="S280" s="169">
        <f t="shared" si="25"/>
        <v>100428.38650149737</v>
      </c>
      <c r="T280" s="122" t="e">
        <f>VLOOKUP($B280,'Tech Litons'!$A:$I,9,0)</f>
        <v>#N/A</v>
      </c>
      <c r="U280" s="179" t="e">
        <f t="shared" si="26"/>
        <v>#N/A</v>
      </c>
      <c r="V280" s="179" t="e">
        <f t="shared" si="26"/>
        <v>#N/A</v>
      </c>
      <c r="W280" s="179" t="e">
        <f t="shared" si="26"/>
        <v>#N/A</v>
      </c>
      <c r="X280" s="179" t="e">
        <f t="shared" si="24"/>
        <v>#N/A</v>
      </c>
      <c r="Y280" s="179" t="e">
        <f t="shared" si="24"/>
        <v>#N/A</v>
      </c>
      <c r="Z280" s="179" t="e">
        <f t="shared" si="24"/>
        <v>#N/A</v>
      </c>
      <c r="AA280" s="179" t="e">
        <f t="shared" si="24"/>
        <v>#N/A</v>
      </c>
      <c r="AB280" s="179" t="e">
        <f t="shared" si="24"/>
        <v>#N/A</v>
      </c>
      <c r="AC280" s="179" t="e">
        <f t="shared" si="24"/>
        <v>#N/A</v>
      </c>
      <c r="AD280" s="179" t="e">
        <f t="shared" si="27"/>
        <v>#N/A</v>
      </c>
      <c r="AE280" s="179" t="e">
        <f t="shared" si="27"/>
        <v>#N/A</v>
      </c>
      <c r="AF280" s="179" t="e">
        <f t="shared" si="27"/>
        <v>#N/A</v>
      </c>
    </row>
    <row r="281" spans="2:32">
      <c r="B281" s="122">
        <f t="shared" si="22"/>
        <v>69798155</v>
      </c>
      <c r="C281" s="122" t="str">
        <f>VLOOKUP($B281,'Tech Litons'!$A:$I,3,0)</f>
        <v>Quarts</v>
      </c>
      <c r="D281" s="122" t="str">
        <f>VLOOKUP($B281,'Tech Litons'!$A:$I,4,0)</f>
        <v>Other</v>
      </c>
      <c r="E281" s="286" t="s">
        <v>1099</v>
      </c>
      <c r="F281" s="598">
        <v>69798155</v>
      </c>
      <c r="G281" s="599">
        <v>8280</v>
      </c>
      <c r="H281" s="599">
        <v>8280</v>
      </c>
      <c r="I281" s="599">
        <v>8280</v>
      </c>
      <c r="J281" s="599">
        <v>8280</v>
      </c>
      <c r="K281" s="599">
        <v>8280</v>
      </c>
      <c r="L281" s="599">
        <v>8280</v>
      </c>
      <c r="M281" s="599">
        <v>8280</v>
      </c>
      <c r="N281" s="599">
        <v>8280</v>
      </c>
      <c r="O281" s="599">
        <v>8280</v>
      </c>
      <c r="P281" s="599">
        <v>8280</v>
      </c>
      <c r="Q281" s="599">
        <v>8280</v>
      </c>
      <c r="R281" s="599">
        <v>8280</v>
      </c>
      <c r="S281" s="169">
        <f t="shared" si="25"/>
        <v>99360</v>
      </c>
      <c r="T281" s="122">
        <f>VLOOKUP($B281,'Tech Litons'!$A:$I,9,0)</f>
        <v>182</v>
      </c>
      <c r="U281" s="179">
        <f t="shared" si="26"/>
        <v>45.494505494505496</v>
      </c>
      <c r="V281" s="179">
        <f t="shared" si="26"/>
        <v>45.494505494505496</v>
      </c>
      <c r="W281" s="179">
        <f t="shared" si="26"/>
        <v>45.494505494505496</v>
      </c>
      <c r="X281" s="179">
        <f t="shared" si="24"/>
        <v>45.494505494505496</v>
      </c>
      <c r="Y281" s="179">
        <f t="shared" si="24"/>
        <v>45.494505494505496</v>
      </c>
      <c r="Z281" s="179">
        <f t="shared" si="24"/>
        <v>45.494505494505496</v>
      </c>
      <c r="AA281" s="179">
        <f t="shared" si="24"/>
        <v>45.494505494505496</v>
      </c>
      <c r="AB281" s="179">
        <f t="shared" si="24"/>
        <v>45.494505494505496</v>
      </c>
      <c r="AC281" s="179">
        <f t="shared" si="24"/>
        <v>45.494505494505496</v>
      </c>
      <c r="AD281" s="179">
        <f t="shared" si="27"/>
        <v>45.494505494505496</v>
      </c>
      <c r="AE281" s="179">
        <f t="shared" si="27"/>
        <v>45.494505494505496</v>
      </c>
      <c r="AF281" s="179">
        <f t="shared" si="27"/>
        <v>45.494505494505496</v>
      </c>
    </row>
    <row r="282" spans="2:32">
      <c r="B282" s="122">
        <f t="shared" si="22"/>
        <v>69964646</v>
      </c>
      <c r="C282" s="122" t="str">
        <f>VLOOKUP($B282,'Tech Litons'!$A:$I,3,0)</f>
        <v>KL Mini Cones</v>
      </c>
      <c r="D282" s="122" t="str">
        <f>VLOOKUP($B282,'Tech Litons'!$A:$I,4,0)</f>
        <v>KL Mini Cones</v>
      </c>
      <c r="E282" s="598" t="s">
        <v>632</v>
      </c>
      <c r="F282" s="598">
        <v>69964646</v>
      </c>
      <c r="G282" s="599">
        <v>2354.16</v>
      </c>
      <c r="H282" s="599">
        <v>4330.45</v>
      </c>
      <c r="I282" s="599">
        <v>7290.45</v>
      </c>
      <c r="J282" s="599">
        <v>8909.4500000000007</v>
      </c>
      <c r="K282" s="599">
        <v>11683.279999999901</v>
      </c>
      <c r="L282" s="599">
        <v>10349.59</v>
      </c>
      <c r="M282" s="599">
        <v>11523.44</v>
      </c>
      <c r="N282" s="599">
        <v>9816.58</v>
      </c>
      <c r="O282" s="599">
        <v>9051.59</v>
      </c>
      <c r="P282" s="599">
        <v>8676.8799999999992</v>
      </c>
      <c r="Q282" s="599">
        <v>6193.17</v>
      </c>
      <c r="R282" s="599">
        <v>5800.32</v>
      </c>
      <c r="S282" s="169">
        <f t="shared" si="25"/>
        <v>95979.359999999899</v>
      </c>
      <c r="T282" s="122">
        <f>VLOOKUP($B282,'Tech Litons'!$A:$I,9,0)</f>
        <v>180</v>
      </c>
      <c r="U282" s="179">
        <f t="shared" si="26"/>
        <v>13.078666666666665</v>
      </c>
      <c r="V282" s="179">
        <f t="shared" si="26"/>
        <v>24.058055555555555</v>
      </c>
      <c r="W282" s="179">
        <f t="shared" si="26"/>
        <v>40.502499999999998</v>
      </c>
      <c r="X282" s="179">
        <f t="shared" si="24"/>
        <v>49.496944444444452</v>
      </c>
      <c r="Y282" s="179">
        <f t="shared" si="24"/>
        <v>64.907111111110552</v>
      </c>
      <c r="Z282" s="179">
        <f t="shared" si="24"/>
        <v>57.497722222222222</v>
      </c>
      <c r="AA282" s="179">
        <f t="shared" si="24"/>
        <v>64.019111111111116</v>
      </c>
      <c r="AB282" s="179">
        <f t="shared" si="24"/>
        <v>54.536555555555552</v>
      </c>
      <c r="AC282" s="179">
        <f t="shared" si="24"/>
        <v>50.286611111111114</v>
      </c>
      <c r="AD282" s="179">
        <f t="shared" si="27"/>
        <v>48.204888888888881</v>
      </c>
      <c r="AE282" s="179">
        <f t="shared" si="27"/>
        <v>34.406500000000001</v>
      </c>
      <c r="AF282" s="179">
        <f t="shared" si="27"/>
        <v>32.223999999999997</v>
      </c>
    </row>
    <row r="283" spans="2:32">
      <c r="B283" s="122">
        <f t="shared" si="22"/>
        <v>69549035</v>
      </c>
      <c r="C283" s="122" t="str">
        <f>VLOOKUP($B283,'Tech Litons'!$A:$I,3,0)</f>
        <v>TALENTI</v>
      </c>
      <c r="D283" s="122" t="str">
        <f>VLOOKUP($B283,'Tech Litons'!$A:$I,4,0)</f>
        <v>TALENTI</v>
      </c>
      <c r="E283" s="598" t="s">
        <v>522</v>
      </c>
      <c r="F283" s="598">
        <v>69549035</v>
      </c>
      <c r="G283" s="599">
        <v>7267.8713167986298</v>
      </c>
      <c r="H283" s="599">
        <v>8228.7186601322592</v>
      </c>
      <c r="I283" s="599">
        <v>9619.7892558122403</v>
      </c>
      <c r="J283" s="599">
        <v>5304.16249610468</v>
      </c>
      <c r="K283" s="599">
        <v>9393.4537444611597</v>
      </c>
      <c r="L283" s="599">
        <v>8469.2844501102409</v>
      </c>
      <c r="M283" s="599">
        <v>7250.1395637326596</v>
      </c>
      <c r="N283" s="599">
        <v>7369.0642130940396</v>
      </c>
      <c r="O283" s="599">
        <v>7480.7049565758798</v>
      </c>
      <c r="P283" s="599">
        <v>8319.1668098431001</v>
      </c>
      <c r="Q283" s="599">
        <v>6434.6348145488</v>
      </c>
      <c r="R283" s="599">
        <v>5921.4538646706296</v>
      </c>
      <c r="S283" s="169">
        <f t="shared" si="25"/>
        <v>91058.444145884321</v>
      </c>
      <c r="T283" s="122">
        <f>VLOOKUP($B283,'Tech Litons'!$A:$I,9,0)</f>
        <v>255</v>
      </c>
      <c r="U283" s="179">
        <f t="shared" si="26"/>
        <v>28.501456144308353</v>
      </c>
      <c r="V283" s="179">
        <f t="shared" si="26"/>
        <v>32.269484941695133</v>
      </c>
      <c r="W283" s="179">
        <f t="shared" si="26"/>
        <v>37.724663748283298</v>
      </c>
      <c r="X283" s="179">
        <f t="shared" si="24"/>
        <v>20.800637239626194</v>
      </c>
      <c r="Y283" s="179">
        <f t="shared" si="24"/>
        <v>36.837073507690825</v>
      </c>
      <c r="Z283" s="179">
        <f t="shared" si="24"/>
        <v>33.212880196510746</v>
      </c>
      <c r="AA283" s="179">
        <f t="shared" si="24"/>
        <v>28.431919857775135</v>
      </c>
      <c r="AB283" s="179">
        <f t="shared" si="24"/>
        <v>28.89829103174133</v>
      </c>
      <c r="AC283" s="179">
        <f t="shared" si="24"/>
        <v>29.33609786892502</v>
      </c>
      <c r="AD283" s="179">
        <f t="shared" si="27"/>
        <v>32.624183568012157</v>
      </c>
      <c r="AE283" s="179">
        <f t="shared" si="27"/>
        <v>25.233862017838433</v>
      </c>
      <c r="AF283" s="179">
        <f t="shared" si="27"/>
        <v>23.221387704590704</v>
      </c>
    </row>
    <row r="284" spans="2:32">
      <c r="B284" s="122">
        <f t="shared" si="22"/>
        <v>68889813</v>
      </c>
      <c r="C284" s="122" t="e">
        <f>VLOOKUP($B284,'Tech Litons'!$A:$I,3,0)</f>
        <v>#N/A</v>
      </c>
      <c r="D284" s="122" t="e">
        <f>VLOOKUP($B284,'Tech Litons'!$A:$I,4,0)</f>
        <v>#N/A</v>
      </c>
      <c r="E284" s="598" t="s">
        <v>925</v>
      </c>
      <c r="F284" s="598">
        <v>68889813</v>
      </c>
      <c r="G284" s="599">
        <v>6651.1134976044004</v>
      </c>
      <c r="H284" s="599">
        <v>5837.1216291029295</v>
      </c>
      <c r="I284" s="599">
        <v>8535.3159947690401</v>
      </c>
      <c r="J284" s="599">
        <v>8778.2210873735603</v>
      </c>
      <c r="K284" s="599">
        <v>11853.4311505556</v>
      </c>
      <c r="L284" s="599">
        <v>14455.790032458401</v>
      </c>
      <c r="M284" s="599">
        <v>12202.4723922536</v>
      </c>
      <c r="N284" s="599">
        <v>9587.1429071605708</v>
      </c>
      <c r="O284" s="599">
        <v>3592.4850937220299</v>
      </c>
      <c r="P284" s="599">
        <v>5032.1742091076103</v>
      </c>
      <c r="Q284" s="599">
        <v>1996.29366332978</v>
      </c>
      <c r="R284" s="599">
        <v>2492.2518838504302</v>
      </c>
      <c r="S284" s="169">
        <f t="shared" si="25"/>
        <v>91013.813541287949</v>
      </c>
      <c r="T284" s="122" t="e">
        <f>VLOOKUP($B284,'Tech Litons'!$A:$I,9,0)</f>
        <v>#N/A</v>
      </c>
      <c r="U284" s="179" t="e">
        <f t="shared" si="26"/>
        <v>#N/A</v>
      </c>
      <c r="V284" s="179" t="e">
        <f t="shared" si="26"/>
        <v>#N/A</v>
      </c>
      <c r="W284" s="179" t="e">
        <f t="shared" si="26"/>
        <v>#N/A</v>
      </c>
      <c r="X284" s="179" t="e">
        <f t="shared" si="24"/>
        <v>#N/A</v>
      </c>
      <c r="Y284" s="179" t="e">
        <f t="shared" si="24"/>
        <v>#N/A</v>
      </c>
      <c r="Z284" s="179" t="e">
        <f t="shared" si="24"/>
        <v>#N/A</v>
      </c>
      <c r="AA284" s="179" t="e">
        <f t="shared" si="24"/>
        <v>#N/A</v>
      </c>
      <c r="AB284" s="179" t="e">
        <f t="shared" si="24"/>
        <v>#N/A</v>
      </c>
      <c r="AC284" s="179" t="e">
        <f t="shared" si="24"/>
        <v>#N/A</v>
      </c>
      <c r="AD284" s="179" t="e">
        <f t="shared" si="27"/>
        <v>#N/A</v>
      </c>
      <c r="AE284" s="179" t="e">
        <f t="shared" si="27"/>
        <v>#N/A</v>
      </c>
      <c r="AF284" s="179" t="e">
        <f t="shared" si="27"/>
        <v>#N/A</v>
      </c>
    </row>
    <row r="285" spans="2:32">
      <c r="B285" s="122">
        <f t="shared" si="22"/>
        <v>68940226</v>
      </c>
      <c r="C285" s="122" t="str">
        <f>VLOOKUP($B285,'Tech Litons'!$A:$I,3,0)</f>
        <v>BJ PTS</v>
      </c>
      <c r="D285" s="122" t="str">
        <f>VLOOKUP($B285,'Tech Litons'!$A:$I,4,0)</f>
        <v>BJ PTS</v>
      </c>
      <c r="E285" s="598" t="s">
        <v>472</v>
      </c>
      <c r="F285" s="598">
        <v>68940226</v>
      </c>
      <c r="G285" s="600">
        <v>4676.5072898839999</v>
      </c>
      <c r="H285" s="599">
        <v>8828.4241410781397</v>
      </c>
      <c r="I285" s="599">
        <v>8806.2040812498399</v>
      </c>
      <c r="J285" s="599">
        <v>7608.0890356670698</v>
      </c>
      <c r="K285" s="599">
        <v>6317.2735962587903</v>
      </c>
      <c r="L285" s="599">
        <v>9202.5586583702097</v>
      </c>
      <c r="M285" s="599">
        <v>8756.6849144255593</v>
      </c>
      <c r="N285" s="599">
        <v>8301.2163738121399</v>
      </c>
      <c r="O285" s="599">
        <v>8075.6737294916102</v>
      </c>
      <c r="P285" s="599">
        <v>7253.1064118060804</v>
      </c>
      <c r="Q285" s="599">
        <v>6513.9920079865897</v>
      </c>
      <c r="R285" s="599">
        <v>5563.7721178538204</v>
      </c>
      <c r="S285" s="169">
        <f t="shared" si="25"/>
        <v>89903.502357883845</v>
      </c>
      <c r="T285" s="122">
        <f>VLOOKUP($B285,'Tech Litons'!$A:$I,9,0)</f>
        <v>240</v>
      </c>
      <c r="U285" s="179">
        <f t="shared" si="26"/>
        <v>19.485447041183331</v>
      </c>
      <c r="V285" s="179">
        <f t="shared" si="26"/>
        <v>36.785100587825582</v>
      </c>
      <c r="W285" s="179">
        <f t="shared" si="26"/>
        <v>36.692517005207669</v>
      </c>
      <c r="X285" s="179">
        <f t="shared" si="24"/>
        <v>31.700370981946126</v>
      </c>
      <c r="Y285" s="179">
        <f t="shared" si="24"/>
        <v>26.321973317744959</v>
      </c>
      <c r="Z285" s="179">
        <f t="shared" si="24"/>
        <v>38.343994409875876</v>
      </c>
      <c r="AA285" s="179">
        <f t="shared" si="24"/>
        <v>36.486187143439828</v>
      </c>
      <c r="AB285" s="179">
        <f t="shared" si="24"/>
        <v>34.588401557550583</v>
      </c>
      <c r="AC285" s="179">
        <f t="shared" si="24"/>
        <v>33.648640539548374</v>
      </c>
      <c r="AD285" s="179">
        <f t="shared" si="27"/>
        <v>30.221276715858668</v>
      </c>
      <c r="AE285" s="179">
        <f t="shared" si="27"/>
        <v>27.14163336661079</v>
      </c>
      <c r="AF285" s="179">
        <f t="shared" si="27"/>
        <v>23.182383824390918</v>
      </c>
    </row>
    <row r="286" spans="2:32">
      <c r="B286" s="122">
        <f t="shared" si="22"/>
        <v>69986509</v>
      </c>
      <c r="C286" s="122" t="str">
        <f>VLOOKUP($B286,'Tech Litons'!$A:$I,3,0)</f>
        <v>BJ PTS</v>
      </c>
      <c r="D286" s="122" t="str">
        <f>VLOOKUP($B286,'Tech Litons'!$A:$I,4,0)</f>
        <v>BJ PTS</v>
      </c>
      <c r="E286" s="598" t="s">
        <v>941</v>
      </c>
      <c r="F286" s="598">
        <v>69986509</v>
      </c>
      <c r="G286" s="599">
        <v>2638.5721881944801</v>
      </c>
      <c r="H286" s="599">
        <v>7167.9697342222298</v>
      </c>
      <c r="I286" s="599">
        <v>9238.9053499280708</v>
      </c>
      <c r="J286" s="599">
        <v>7606.3182389724798</v>
      </c>
      <c r="K286" s="599">
        <v>8111.4526263364296</v>
      </c>
      <c r="L286" s="599">
        <v>7483.2511265736603</v>
      </c>
      <c r="M286" s="599">
        <v>8262.6206961561802</v>
      </c>
      <c r="N286" s="599">
        <v>9704.6602096036404</v>
      </c>
      <c r="O286" s="599">
        <v>7548.8135273883299</v>
      </c>
      <c r="P286" s="599">
        <v>7215.9102444513301</v>
      </c>
      <c r="Q286" s="599">
        <v>6035.1246636907599</v>
      </c>
      <c r="R286" s="599">
        <v>5568.2514805320097</v>
      </c>
      <c r="S286" s="169">
        <f t="shared" si="25"/>
        <v>86581.850086049584</v>
      </c>
      <c r="T286" s="122">
        <f>VLOOKUP($B286,'Tech Litons'!$A:$I,9,0)</f>
        <v>240</v>
      </c>
      <c r="U286" s="179">
        <f t="shared" si="26"/>
        <v>10.994050784143667</v>
      </c>
      <c r="V286" s="179">
        <f t="shared" si="26"/>
        <v>29.866540559259292</v>
      </c>
      <c r="W286" s="179">
        <f t="shared" si="26"/>
        <v>38.495438958033631</v>
      </c>
      <c r="X286" s="179">
        <f t="shared" si="24"/>
        <v>31.692992662385333</v>
      </c>
      <c r="Y286" s="179">
        <f t="shared" si="24"/>
        <v>33.797719276401793</v>
      </c>
      <c r="Z286" s="179">
        <f t="shared" si="24"/>
        <v>31.180213027390252</v>
      </c>
      <c r="AA286" s="179">
        <f t="shared" si="24"/>
        <v>34.427586233984087</v>
      </c>
      <c r="AB286" s="179">
        <f t="shared" si="24"/>
        <v>40.436084206681834</v>
      </c>
      <c r="AC286" s="179">
        <f t="shared" si="24"/>
        <v>31.453389697451374</v>
      </c>
      <c r="AD286" s="179">
        <f t="shared" si="27"/>
        <v>30.066292685213874</v>
      </c>
      <c r="AE286" s="179">
        <f t="shared" si="27"/>
        <v>25.146352765378165</v>
      </c>
      <c r="AF286" s="179">
        <f t="shared" si="27"/>
        <v>23.201047835550039</v>
      </c>
    </row>
    <row r="287" spans="2:32">
      <c r="B287" s="122">
        <f t="shared" si="22"/>
        <v>69797289</v>
      </c>
      <c r="C287" s="122" t="str">
        <f>VLOOKUP($B287,'Tech Litons'!$A:$I,3,0)</f>
        <v>BJ PTS</v>
      </c>
      <c r="D287" s="122" t="str">
        <f>VLOOKUP($B287,'Tech Litons'!$A:$I,4,0)</f>
        <v>BJ PTS</v>
      </c>
      <c r="E287" s="598" t="s">
        <v>473</v>
      </c>
      <c r="F287" s="598">
        <v>69797289</v>
      </c>
      <c r="G287" s="599">
        <v>4035.8660948206002</v>
      </c>
      <c r="H287" s="599">
        <v>7202.2393905300196</v>
      </c>
      <c r="I287" s="599">
        <v>8116.6211949076096</v>
      </c>
      <c r="J287" s="599">
        <v>8743.6993455957399</v>
      </c>
      <c r="K287" s="599">
        <v>7194.2290056370903</v>
      </c>
      <c r="L287" s="599">
        <v>10124.8794086452</v>
      </c>
      <c r="M287" s="599">
        <v>5259.9353308634099</v>
      </c>
      <c r="N287" s="599">
        <v>8139.1819204317899</v>
      </c>
      <c r="O287" s="599">
        <v>6535.2445400230299</v>
      </c>
      <c r="P287" s="599">
        <v>7801.5967701231402</v>
      </c>
      <c r="Q287" s="599">
        <v>6534.6176382275198</v>
      </c>
      <c r="R287" s="599">
        <v>6206.0285558453097</v>
      </c>
      <c r="S287" s="169">
        <f t="shared" si="25"/>
        <v>85894.139195650452</v>
      </c>
      <c r="T287" s="122">
        <f>VLOOKUP($B287,'Tech Litons'!$A:$I,9,0)</f>
        <v>240</v>
      </c>
      <c r="U287" s="179">
        <f t="shared" si="26"/>
        <v>16.816108728419167</v>
      </c>
      <c r="V287" s="179">
        <f t="shared" si="26"/>
        <v>30.009330793875083</v>
      </c>
      <c r="W287" s="179">
        <f t="shared" si="26"/>
        <v>33.819254978781707</v>
      </c>
      <c r="X287" s="179">
        <f t="shared" si="24"/>
        <v>36.432080606648917</v>
      </c>
      <c r="Y287" s="179">
        <f t="shared" si="24"/>
        <v>29.975954190154543</v>
      </c>
      <c r="Z287" s="179">
        <f t="shared" si="24"/>
        <v>42.186997536021664</v>
      </c>
      <c r="AA287" s="179">
        <f t="shared" si="24"/>
        <v>21.916397211930875</v>
      </c>
      <c r="AB287" s="179">
        <f t="shared" si="24"/>
        <v>33.913258001799122</v>
      </c>
      <c r="AC287" s="179">
        <f t="shared" si="24"/>
        <v>27.230185583429293</v>
      </c>
      <c r="AD287" s="179">
        <f t="shared" si="27"/>
        <v>32.506653208846416</v>
      </c>
      <c r="AE287" s="179">
        <f t="shared" si="27"/>
        <v>27.227573492614667</v>
      </c>
      <c r="AF287" s="179">
        <f t="shared" si="27"/>
        <v>25.858452316022124</v>
      </c>
    </row>
    <row r="288" spans="2:32">
      <c r="B288" s="122">
        <f t="shared" ref="B288:B351" si="28">F288</f>
        <v>68852583</v>
      </c>
      <c r="C288" s="122" t="str">
        <f>VLOOKUP($B288,'Tech Litons'!$A:$I,3,0)</f>
        <v>EDF</v>
      </c>
      <c r="D288" s="122" t="str">
        <f>VLOOKUP($B288,'Tech Litons'!$A:$I,4,0)</f>
        <v>EDF</v>
      </c>
      <c r="E288" s="598" t="s">
        <v>1009</v>
      </c>
      <c r="F288" s="598">
        <v>68852583</v>
      </c>
      <c r="G288" s="599">
        <v>6139.7157291821804</v>
      </c>
      <c r="H288" s="599">
        <v>4527.3125450446796</v>
      </c>
      <c r="I288" s="599">
        <v>8535.0260357388197</v>
      </c>
      <c r="J288" s="599">
        <v>6909.4905466596001</v>
      </c>
      <c r="K288" s="599">
        <v>9207.4458088518695</v>
      </c>
      <c r="L288" s="599">
        <v>11739.891755017899</v>
      </c>
      <c r="M288" s="599">
        <v>8937.8342393693092</v>
      </c>
      <c r="N288" s="599">
        <v>8187.4311126021303</v>
      </c>
      <c r="O288" s="599">
        <v>5131.9984182702901</v>
      </c>
      <c r="P288" s="599">
        <v>6132.2496485064803</v>
      </c>
      <c r="Q288" s="599">
        <v>3169.6884172127802</v>
      </c>
      <c r="R288" s="599">
        <v>3035.1840442256298</v>
      </c>
      <c r="S288" s="169">
        <f t="shared" si="25"/>
        <v>81653.268300681666</v>
      </c>
      <c r="T288" s="122">
        <f>VLOOKUP($B288,'Tech Litons'!$A:$I,9,0)</f>
        <v>132</v>
      </c>
      <c r="U288" s="179">
        <f t="shared" si="26"/>
        <v>46.512997948349849</v>
      </c>
      <c r="V288" s="179">
        <f t="shared" si="26"/>
        <v>34.297822310944539</v>
      </c>
      <c r="W288" s="179">
        <f t="shared" si="26"/>
        <v>64.659288149536508</v>
      </c>
      <c r="X288" s="179">
        <f t="shared" si="24"/>
        <v>52.344625353481817</v>
      </c>
      <c r="Y288" s="179">
        <f t="shared" si="24"/>
        <v>69.753377339786894</v>
      </c>
      <c r="Z288" s="179">
        <f t="shared" si="24"/>
        <v>88.938573901650756</v>
      </c>
      <c r="AA288" s="179">
        <f t="shared" si="24"/>
        <v>67.710865449767496</v>
      </c>
      <c r="AB288" s="179">
        <f t="shared" si="24"/>
        <v>62.025993277288869</v>
      </c>
      <c r="AC288" s="179">
        <f t="shared" si="24"/>
        <v>38.878775895987047</v>
      </c>
      <c r="AD288" s="179">
        <f t="shared" si="27"/>
        <v>46.456436731109697</v>
      </c>
      <c r="AE288" s="179">
        <f t="shared" si="27"/>
        <v>24.012791039490761</v>
      </c>
      <c r="AF288" s="179">
        <f t="shared" si="27"/>
        <v>22.993818516860831</v>
      </c>
    </row>
    <row r="289" spans="2:32">
      <c r="B289" s="122">
        <f t="shared" si="28"/>
        <v>69970070</v>
      </c>
      <c r="C289" s="122" t="str">
        <f>VLOOKUP($B289,'Tech Litons'!$A:$I,3,0)</f>
        <v>MG Sticks</v>
      </c>
      <c r="D289" s="122" t="str">
        <f>VLOOKUP($B289,'Tech Litons'!$A:$I,4,0)</f>
        <v>MG Sticks</v>
      </c>
      <c r="E289" s="598" t="s">
        <v>518</v>
      </c>
      <c r="F289" s="598">
        <v>69970070</v>
      </c>
      <c r="G289" s="599">
        <v>5745.3770355564302</v>
      </c>
      <c r="H289" s="599">
        <v>5607.6453373634704</v>
      </c>
      <c r="I289" s="599">
        <v>8290.0779351648107</v>
      </c>
      <c r="J289" s="599">
        <v>5178.5288895379999</v>
      </c>
      <c r="K289" s="599">
        <v>5642.4531887059602</v>
      </c>
      <c r="L289" s="599">
        <v>8091.4829522971204</v>
      </c>
      <c r="M289" s="599">
        <v>8787.3221432786304</v>
      </c>
      <c r="N289" s="599">
        <v>8962.0935274854692</v>
      </c>
      <c r="O289" s="599">
        <v>6707.4956009268099</v>
      </c>
      <c r="P289" s="599">
        <v>7882.5868869290198</v>
      </c>
      <c r="Q289" s="599">
        <v>4896.7320447522898</v>
      </c>
      <c r="R289" s="599">
        <v>5433.4750552206997</v>
      </c>
      <c r="S289" s="169">
        <f t="shared" si="25"/>
        <v>81225.27059721871</v>
      </c>
      <c r="T289" s="122">
        <f>VLOOKUP($B289,'Tech Litons'!$A:$I,9,0)</f>
        <v>176</v>
      </c>
      <c r="U289" s="179">
        <f t="shared" si="26"/>
        <v>32.644187702025171</v>
      </c>
      <c r="V289" s="179">
        <f t="shared" si="26"/>
        <v>31.861621235019719</v>
      </c>
      <c r="W289" s="179">
        <f t="shared" si="26"/>
        <v>47.102715540709148</v>
      </c>
      <c r="X289" s="179">
        <f t="shared" si="24"/>
        <v>29.423459599647728</v>
      </c>
      <c r="Y289" s="179">
        <f t="shared" si="24"/>
        <v>32.059393117647502</v>
      </c>
      <c r="Z289" s="179">
        <f t="shared" si="24"/>
        <v>45.974334956233641</v>
      </c>
      <c r="AA289" s="179">
        <f t="shared" si="24"/>
        <v>49.927966723174038</v>
      </c>
      <c r="AB289" s="179">
        <f t="shared" si="24"/>
        <v>50.920985951621986</v>
      </c>
      <c r="AC289" s="179">
        <f t="shared" si="24"/>
        <v>38.11077045981142</v>
      </c>
      <c r="AD289" s="179">
        <f t="shared" si="27"/>
        <v>44.787425493914888</v>
      </c>
      <c r="AE289" s="179">
        <f t="shared" si="27"/>
        <v>27.822341163365284</v>
      </c>
      <c r="AF289" s="179">
        <f t="shared" si="27"/>
        <v>30.87201735920852</v>
      </c>
    </row>
    <row r="290" spans="2:32">
      <c r="B290" s="122">
        <f t="shared" si="28"/>
        <v>68188513</v>
      </c>
      <c r="C290" s="122" t="e">
        <f>VLOOKUP($B290,'Tech Litons'!$A:$I,3,0)</f>
        <v>#N/A</v>
      </c>
      <c r="D290" s="122" t="e">
        <f>VLOOKUP($B290,'Tech Litons'!$A:$I,4,0)</f>
        <v>#N/A</v>
      </c>
      <c r="E290" s="598" t="s">
        <v>962</v>
      </c>
      <c r="F290" s="598">
        <v>68188513</v>
      </c>
      <c r="G290" s="600">
        <v>5411.1073998286402</v>
      </c>
      <c r="H290" s="599">
        <v>7415.0096864282305</v>
      </c>
      <c r="I290" s="599">
        <v>6849.8885719667196</v>
      </c>
      <c r="J290" s="599">
        <v>7012.4915366198802</v>
      </c>
      <c r="K290" s="599">
        <v>6353.0828717911199</v>
      </c>
      <c r="L290" s="599">
        <v>8160.1080399595503</v>
      </c>
      <c r="M290" s="599">
        <v>7011.8174401390497</v>
      </c>
      <c r="N290" s="599">
        <v>6861.64524880719</v>
      </c>
      <c r="O290" s="599">
        <v>6405.6162029428797</v>
      </c>
      <c r="P290" s="599">
        <v>5598.8476413627004</v>
      </c>
      <c r="Q290" s="599">
        <v>5413.1966138326097</v>
      </c>
      <c r="R290" s="599">
        <v>5172.4224976230298</v>
      </c>
      <c r="S290" s="169">
        <f t="shared" si="25"/>
        <v>77665.23375130161</v>
      </c>
      <c r="T290" s="122" t="e">
        <f>VLOOKUP($B290,'Tech Litons'!$A:$I,9,0)</f>
        <v>#N/A</v>
      </c>
      <c r="U290" s="179" t="e">
        <f t="shared" si="26"/>
        <v>#N/A</v>
      </c>
      <c r="V290" s="179" t="e">
        <f t="shared" si="26"/>
        <v>#N/A</v>
      </c>
      <c r="W290" s="179" t="e">
        <f t="shared" si="26"/>
        <v>#N/A</v>
      </c>
      <c r="X290" s="179" t="e">
        <f t="shared" si="24"/>
        <v>#N/A</v>
      </c>
      <c r="Y290" s="179" t="e">
        <f t="shared" si="24"/>
        <v>#N/A</v>
      </c>
      <c r="Z290" s="179" t="e">
        <f t="shared" si="24"/>
        <v>#N/A</v>
      </c>
      <c r="AA290" s="179" t="e">
        <f t="shared" si="24"/>
        <v>#N/A</v>
      </c>
      <c r="AB290" s="179" t="e">
        <f t="shared" si="24"/>
        <v>#N/A</v>
      </c>
      <c r="AC290" s="179" t="e">
        <f t="shared" si="24"/>
        <v>#N/A</v>
      </c>
      <c r="AD290" s="179" t="e">
        <f t="shared" si="27"/>
        <v>#N/A</v>
      </c>
      <c r="AE290" s="179" t="e">
        <f t="shared" si="27"/>
        <v>#N/A</v>
      </c>
      <c r="AF290" s="179" t="e">
        <f t="shared" si="27"/>
        <v>#N/A</v>
      </c>
    </row>
    <row r="291" spans="2:32">
      <c r="B291" s="122">
        <f t="shared" si="28"/>
        <v>64360314</v>
      </c>
      <c r="C291" s="122" t="str">
        <f>VLOOKUP($B291,'Tech Litons'!$A:$I,3,0)</f>
        <v>MG Sticks</v>
      </c>
      <c r="D291" s="122" t="str">
        <f>VLOOKUP($B291,'Tech Litons'!$A:$I,4,0)</f>
        <v>MG Sticks</v>
      </c>
      <c r="E291" s="598" t="s">
        <v>536</v>
      </c>
      <c r="F291" s="598">
        <v>64360314</v>
      </c>
      <c r="G291" s="599">
        <v>4154</v>
      </c>
      <c r="H291" s="599">
        <v>5458</v>
      </c>
      <c r="I291" s="599">
        <v>6050</v>
      </c>
      <c r="J291" s="599">
        <v>6237</v>
      </c>
      <c r="K291" s="599">
        <v>7346</v>
      </c>
      <c r="L291" s="599">
        <v>6937</v>
      </c>
      <c r="M291" s="599">
        <v>6296.99999999999</v>
      </c>
      <c r="N291" s="599">
        <v>6390</v>
      </c>
      <c r="O291" s="599">
        <v>6387.99999999999</v>
      </c>
      <c r="P291" s="599">
        <v>7527</v>
      </c>
      <c r="Q291" s="599">
        <v>5472</v>
      </c>
      <c r="R291" s="599">
        <v>5537</v>
      </c>
      <c r="S291" s="169">
        <f t="shared" si="25"/>
        <v>73792.999999999985</v>
      </c>
      <c r="T291" s="122">
        <f>VLOOKUP($B291,'Tech Litons'!$A:$I,9,0)</f>
        <v>195</v>
      </c>
      <c r="U291" s="179">
        <f t="shared" si="26"/>
        <v>21.302564102564101</v>
      </c>
      <c r="V291" s="179">
        <f t="shared" si="26"/>
        <v>27.98974358974359</v>
      </c>
      <c r="W291" s="179">
        <f t="shared" si="26"/>
        <v>31.025641025641026</v>
      </c>
      <c r="X291" s="179">
        <f t="shared" si="24"/>
        <v>31.984615384615385</v>
      </c>
      <c r="Y291" s="179">
        <f t="shared" si="24"/>
        <v>37.671794871794873</v>
      </c>
      <c r="Z291" s="179">
        <f t="shared" si="24"/>
        <v>35.574358974358972</v>
      </c>
      <c r="AA291" s="179">
        <f t="shared" si="24"/>
        <v>32.292307692307638</v>
      </c>
      <c r="AB291" s="179">
        <f t="shared" si="24"/>
        <v>32.769230769230766</v>
      </c>
      <c r="AC291" s="179">
        <f t="shared" si="24"/>
        <v>32.758974358974307</v>
      </c>
      <c r="AD291" s="179">
        <f t="shared" si="27"/>
        <v>38.6</v>
      </c>
      <c r="AE291" s="179">
        <f t="shared" si="27"/>
        <v>28.061538461538461</v>
      </c>
      <c r="AF291" s="179">
        <f t="shared" si="27"/>
        <v>28.394871794871793</v>
      </c>
    </row>
    <row r="292" spans="2:32">
      <c r="B292" s="122">
        <f t="shared" si="28"/>
        <v>69629469</v>
      </c>
      <c r="C292" s="122" t="str">
        <f>VLOOKUP($B292,'Tech Litons'!$A:$I,3,0)</f>
        <v>KL Mini Cones</v>
      </c>
      <c r="D292" s="122" t="str">
        <f>VLOOKUP($B292,'Tech Litons'!$A:$I,4,0)</f>
        <v>KL Mini Cones</v>
      </c>
      <c r="E292" s="598" t="s">
        <v>983</v>
      </c>
      <c r="F292" s="598">
        <v>69629469</v>
      </c>
      <c r="G292" s="599">
        <v>6708.2910710634696</v>
      </c>
      <c r="H292" s="599">
        <v>6082.2654126882599</v>
      </c>
      <c r="I292" s="599">
        <v>7256.5416625235202</v>
      </c>
      <c r="J292" s="599">
        <v>5776.6638456870796</v>
      </c>
      <c r="K292" s="599">
        <v>4610.6523646709802</v>
      </c>
      <c r="L292" s="599">
        <v>8140.2949462025299</v>
      </c>
      <c r="M292" s="599">
        <v>9751.2761262136701</v>
      </c>
      <c r="N292" s="599">
        <v>6279.9964362303699</v>
      </c>
      <c r="O292" s="599">
        <v>11017.654000385401</v>
      </c>
      <c r="P292" s="599">
        <v>8830.4816481200105</v>
      </c>
      <c r="Q292" s="599">
        <v>1592.5918920035399</v>
      </c>
      <c r="R292" s="599">
        <v>0</v>
      </c>
      <c r="S292" s="169">
        <f t="shared" si="25"/>
        <v>76046.709405788817</v>
      </c>
      <c r="T292" s="122">
        <f>VLOOKUP($B292,'Tech Litons'!$A:$I,9,0)</f>
        <v>120</v>
      </c>
      <c r="U292" s="179">
        <f t="shared" si="26"/>
        <v>55.902425592195577</v>
      </c>
      <c r="V292" s="179">
        <f t="shared" si="26"/>
        <v>50.6855451057355</v>
      </c>
      <c r="W292" s="179">
        <f t="shared" si="26"/>
        <v>60.471180521029332</v>
      </c>
      <c r="X292" s="179">
        <f t="shared" si="24"/>
        <v>48.138865380725662</v>
      </c>
      <c r="Y292" s="179">
        <f t="shared" si="24"/>
        <v>38.422103038924838</v>
      </c>
      <c r="Z292" s="179">
        <f t="shared" si="24"/>
        <v>67.835791218354416</v>
      </c>
      <c r="AA292" s="179">
        <f t="shared" si="24"/>
        <v>81.260634385113917</v>
      </c>
      <c r="AB292" s="179">
        <f t="shared" si="24"/>
        <v>52.333303635253081</v>
      </c>
      <c r="AC292" s="179">
        <f t="shared" si="24"/>
        <v>91.813783336545001</v>
      </c>
      <c r="AD292" s="179">
        <f t="shared" si="27"/>
        <v>73.587347067666755</v>
      </c>
      <c r="AE292" s="179">
        <f t="shared" si="27"/>
        <v>13.271599100029499</v>
      </c>
      <c r="AF292" s="179">
        <f t="shared" si="27"/>
        <v>0</v>
      </c>
    </row>
    <row r="293" spans="2:32">
      <c r="B293" s="122">
        <f t="shared" si="28"/>
        <v>69673010</v>
      </c>
      <c r="C293" s="122" t="str">
        <f>VLOOKUP($B293,'Tech Litons'!$A:$I,3,0)</f>
        <v>MG Sticks</v>
      </c>
      <c r="D293" s="122" t="str">
        <f>VLOOKUP($B293,'Tech Litons'!$A:$I,4,0)</f>
        <v>MG Sticks</v>
      </c>
      <c r="E293" s="598" t="s">
        <v>907</v>
      </c>
      <c r="F293" s="598">
        <v>69673010</v>
      </c>
      <c r="G293" s="599">
        <v>4496.2</v>
      </c>
      <c r="H293" s="599">
        <v>4601.6599999999899</v>
      </c>
      <c r="I293" s="599">
        <v>6828.48</v>
      </c>
      <c r="J293" s="599">
        <v>6956.05</v>
      </c>
      <c r="K293" s="599">
        <v>6910.5</v>
      </c>
      <c r="L293" s="599">
        <v>7318.35</v>
      </c>
      <c r="M293" s="599">
        <v>7845.0999999999904</v>
      </c>
      <c r="N293" s="599">
        <v>7159.37</v>
      </c>
      <c r="O293" s="599">
        <v>6483.79</v>
      </c>
      <c r="P293" s="599">
        <v>5230.78</v>
      </c>
      <c r="Q293" s="599">
        <v>4727.3599999999997</v>
      </c>
      <c r="R293" s="599">
        <v>4484.1999999999898</v>
      </c>
      <c r="S293" s="169">
        <f t="shared" si="25"/>
        <v>73041.839999999967</v>
      </c>
      <c r="T293" s="122">
        <f>VLOOKUP($B293,'Tech Litons'!$A:$I,9,0)</f>
        <v>143</v>
      </c>
      <c r="U293" s="179">
        <f t="shared" si="26"/>
        <v>31.441958041958042</v>
      </c>
      <c r="V293" s="179">
        <f t="shared" si="26"/>
        <v>32.179440559440486</v>
      </c>
      <c r="W293" s="179">
        <f t="shared" si="26"/>
        <v>47.751608391608386</v>
      </c>
      <c r="X293" s="179">
        <f t="shared" si="24"/>
        <v>48.643706293706295</v>
      </c>
      <c r="Y293" s="179">
        <f t="shared" si="24"/>
        <v>48.325174825174827</v>
      </c>
      <c r="Z293" s="179">
        <f t="shared" si="24"/>
        <v>51.177272727272729</v>
      </c>
      <c r="AA293" s="179">
        <f t="shared" si="24"/>
        <v>54.860839160839092</v>
      </c>
      <c r="AB293" s="179">
        <f t="shared" si="24"/>
        <v>50.065524475524477</v>
      </c>
      <c r="AC293" s="179">
        <f t="shared" si="24"/>
        <v>45.341188811188808</v>
      </c>
      <c r="AD293" s="179">
        <f t="shared" si="27"/>
        <v>36.578881118881114</v>
      </c>
      <c r="AE293" s="179">
        <f t="shared" si="27"/>
        <v>33.058461538461536</v>
      </c>
      <c r="AF293" s="179">
        <f t="shared" si="27"/>
        <v>31.358041958041888</v>
      </c>
    </row>
    <row r="294" spans="2:32">
      <c r="B294" s="122">
        <f t="shared" si="28"/>
        <v>84138392</v>
      </c>
      <c r="C294" s="122" t="str">
        <f>VLOOKUP($B294,'Tech Litons'!$A:$I,3,0)</f>
        <v>BJ PTS</v>
      </c>
      <c r="D294" s="122" t="str">
        <f>VLOOKUP($B294,'Tech Litons'!$A:$I,4,0)</f>
        <v>BJ PTS</v>
      </c>
      <c r="E294" s="598" t="s">
        <v>418</v>
      </c>
      <c r="F294" s="598">
        <v>84138392</v>
      </c>
      <c r="G294" s="599">
        <v>2891.4835102486099</v>
      </c>
      <c r="H294" s="599">
        <v>6112.1823907558201</v>
      </c>
      <c r="I294" s="599">
        <v>8463.1851614782408</v>
      </c>
      <c r="J294" s="599">
        <v>5206.2818824248798</v>
      </c>
      <c r="K294" s="599">
        <v>5407.1712043726602</v>
      </c>
      <c r="L294" s="599">
        <v>8287.4108065807795</v>
      </c>
      <c r="M294" s="599">
        <v>5542.4420042283</v>
      </c>
      <c r="N294" s="599">
        <v>6186.9506339362397</v>
      </c>
      <c r="O294" s="599">
        <v>6089.81140871969</v>
      </c>
      <c r="P294" s="599">
        <v>5920.3705177811398</v>
      </c>
      <c r="Q294" s="599">
        <v>5574.0964409918997</v>
      </c>
      <c r="R294" s="599">
        <v>5285.8250394183997</v>
      </c>
      <c r="S294" s="169">
        <f t="shared" si="25"/>
        <v>70967.211000936659</v>
      </c>
      <c r="T294" s="122">
        <f>VLOOKUP($B294,'Tech Litons'!$A:$I,9,0)</f>
        <v>240</v>
      </c>
      <c r="U294" s="179">
        <f t="shared" si="26"/>
        <v>12.047847959369209</v>
      </c>
      <c r="V294" s="179">
        <f t="shared" si="26"/>
        <v>25.467426628149251</v>
      </c>
      <c r="W294" s="179">
        <f t="shared" si="26"/>
        <v>35.263271506159334</v>
      </c>
      <c r="X294" s="179">
        <f t="shared" si="24"/>
        <v>21.692841176770333</v>
      </c>
      <c r="Y294" s="179">
        <f t="shared" si="24"/>
        <v>22.529880018219419</v>
      </c>
      <c r="Z294" s="179">
        <f t="shared" si="24"/>
        <v>34.530878360753249</v>
      </c>
      <c r="AA294" s="179">
        <f t="shared" si="24"/>
        <v>23.09350835095125</v>
      </c>
      <c r="AB294" s="179">
        <f t="shared" si="24"/>
        <v>25.778960974734332</v>
      </c>
      <c r="AC294" s="179">
        <f t="shared" si="24"/>
        <v>25.374214202998708</v>
      </c>
      <c r="AD294" s="179">
        <f t="shared" si="27"/>
        <v>24.668210490754749</v>
      </c>
      <c r="AE294" s="179">
        <f t="shared" si="27"/>
        <v>23.225401837466247</v>
      </c>
      <c r="AF294" s="179">
        <f t="shared" si="27"/>
        <v>22.024270997576664</v>
      </c>
    </row>
    <row r="295" spans="2:32">
      <c r="B295" s="122">
        <f t="shared" si="28"/>
        <v>69549034</v>
      </c>
      <c r="C295" s="122" t="e">
        <f>VLOOKUP($B295,'Tech Litons'!$A:$I,3,0)</f>
        <v>#N/A</v>
      </c>
      <c r="D295" s="122" t="e">
        <f>VLOOKUP($B295,'Tech Litons'!$A:$I,4,0)</f>
        <v>#N/A</v>
      </c>
      <c r="E295" s="598" t="s">
        <v>329</v>
      </c>
      <c r="F295" s="598">
        <v>69549034</v>
      </c>
      <c r="G295" s="599">
        <v>7603.7313544092203</v>
      </c>
      <c r="H295" s="599">
        <v>5032.8505417618999</v>
      </c>
      <c r="I295" s="599">
        <v>7868.1543381928204</v>
      </c>
      <c r="J295" s="599">
        <v>6263.3314485381998</v>
      </c>
      <c r="K295" s="599">
        <v>5934.51588996994</v>
      </c>
      <c r="L295" s="599">
        <v>7888.2057192298098</v>
      </c>
      <c r="M295" s="599">
        <v>5761.1104263098696</v>
      </c>
      <c r="N295" s="599">
        <v>5436.8368970151996</v>
      </c>
      <c r="O295" s="599">
        <v>6086.0803369013502</v>
      </c>
      <c r="P295" s="599">
        <v>4938.3391062243099</v>
      </c>
      <c r="Q295" s="599">
        <v>3835.0780997250799</v>
      </c>
      <c r="R295" s="599">
        <v>2782.8168428782801</v>
      </c>
      <c r="S295" s="169">
        <f t="shared" si="25"/>
        <v>69431.051001155982</v>
      </c>
      <c r="T295" s="122" t="e">
        <f>VLOOKUP($B295,'Tech Litons'!$A:$I,9,0)</f>
        <v>#N/A</v>
      </c>
      <c r="U295" s="179" t="e">
        <f t="shared" si="26"/>
        <v>#N/A</v>
      </c>
      <c r="V295" s="179" t="e">
        <f t="shared" si="26"/>
        <v>#N/A</v>
      </c>
      <c r="W295" s="179" t="e">
        <f t="shared" si="26"/>
        <v>#N/A</v>
      </c>
      <c r="X295" s="179" t="e">
        <f t="shared" si="24"/>
        <v>#N/A</v>
      </c>
      <c r="Y295" s="179" t="e">
        <f t="shared" si="24"/>
        <v>#N/A</v>
      </c>
      <c r="Z295" s="179" t="e">
        <f t="shared" si="24"/>
        <v>#N/A</v>
      </c>
      <c r="AA295" s="179" t="e">
        <f t="shared" si="24"/>
        <v>#N/A</v>
      </c>
      <c r="AB295" s="179" t="e">
        <f t="shared" si="24"/>
        <v>#N/A</v>
      </c>
      <c r="AC295" s="179" t="e">
        <f t="shared" si="24"/>
        <v>#N/A</v>
      </c>
      <c r="AD295" s="179" t="e">
        <f t="shared" si="27"/>
        <v>#N/A</v>
      </c>
      <c r="AE295" s="179" t="e">
        <f t="shared" si="27"/>
        <v>#N/A</v>
      </c>
      <c r="AF295" s="179" t="e">
        <f t="shared" si="27"/>
        <v>#N/A</v>
      </c>
    </row>
    <row r="296" spans="2:32">
      <c r="B296" s="122">
        <f t="shared" si="28"/>
        <v>68264519</v>
      </c>
      <c r="C296" s="122" t="str">
        <f>VLOOKUP($B296,'Tech Litons'!$A:$I,3,0)</f>
        <v>Dough Bites</v>
      </c>
      <c r="D296" s="122" t="str">
        <f>VLOOKUP($B296,'Tech Litons'!$A:$I,4,0)</f>
        <v>Dough Bites</v>
      </c>
      <c r="E296" s="598" t="s">
        <v>894</v>
      </c>
      <c r="F296" s="598">
        <v>68264519</v>
      </c>
      <c r="G296" s="599">
        <v>5304.6423327473103</v>
      </c>
      <c r="H296" s="599">
        <v>5495.5198513571604</v>
      </c>
      <c r="I296" s="599">
        <v>8373.5746589436494</v>
      </c>
      <c r="J296" s="599">
        <v>8417.7015545500508</v>
      </c>
      <c r="K296" s="599">
        <v>5182.39017701595</v>
      </c>
      <c r="L296" s="599">
        <v>3837.1233048111199</v>
      </c>
      <c r="M296" s="599">
        <v>4615.6948931504703</v>
      </c>
      <c r="N296" s="599">
        <v>4003.7625286942498</v>
      </c>
      <c r="O296" s="599">
        <v>3111.1605020766301</v>
      </c>
      <c r="P296" s="599">
        <v>5610.3774354593097</v>
      </c>
      <c r="Q296" s="599">
        <v>4652.8999999999996</v>
      </c>
      <c r="R296" s="599">
        <v>4449.3500000000004</v>
      </c>
      <c r="S296" s="169">
        <f t="shared" si="25"/>
        <v>63054.1972388059</v>
      </c>
      <c r="T296" s="122">
        <f>VLOOKUP($B296,'Tech Litons'!$A:$I,9,0)</f>
        <v>256</v>
      </c>
      <c r="U296" s="179">
        <f t="shared" si="26"/>
        <v>20.721259112294181</v>
      </c>
      <c r="V296" s="179">
        <f t="shared" si="26"/>
        <v>21.466874419363908</v>
      </c>
      <c r="W296" s="179">
        <f t="shared" si="26"/>
        <v>32.709276011498631</v>
      </c>
      <c r="X296" s="179">
        <f t="shared" si="24"/>
        <v>32.881646697461136</v>
      </c>
      <c r="Y296" s="179">
        <f t="shared" si="24"/>
        <v>20.243711628968555</v>
      </c>
      <c r="Z296" s="179">
        <f t="shared" si="24"/>
        <v>14.988762909418437</v>
      </c>
      <c r="AA296" s="179">
        <f t="shared" si="24"/>
        <v>18.030058176369025</v>
      </c>
      <c r="AB296" s="179">
        <f t="shared" si="24"/>
        <v>15.639697377711913</v>
      </c>
      <c r="AC296" s="179">
        <f t="shared" si="24"/>
        <v>12.152970711236836</v>
      </c>
      <c r="AD296" s="179">
        <f t="shared" si="27"/>
        <v>21.915536857262929</v>
      </c>
      <c r="AE296" s="179">
        <f t="shared" si="27"/>
        <v>18.175390624999999</v>
      </c>
      <c r="AF296" s="179">
        <f t="shared" si="27"/>
        <v>17.380273437500001</v>
      </c>
    </row>
    <row r="297" spans="2:32">
      <c r="B297" s="122">
        <f t="shared" si="28"/>
        <v>68709181</v>
      </c>
      <c r="C297" s="122" t="str">
        <f>VLOOKUP($B297,'Tech Litons'!$A:$I,3,0)</f>
        <v>MBG</v>
      </c>
      <c r="D297" s="122" t="str">
        <f>VLOOKUP($B297,'Tech Litons'!$A:$I,4,0)</f>
        <v>MBG</v>
      </c>
      <c r="E297" s="598" t="s">
        <v>979</v>
      </c>
      <c r="F297" s="598">
        <v>68709181</v>
      </c>
      <c r="G297" s="599">
        <v>3896.6889164562699</v>
      </c>
      <c r="H297" s="599">
        <v>3792.9128449283598</v>
      </c>
      <c r="I297" s="599">
        <v>4701.9347244853097</v>
      </c>
      <c r="J297" s="599">
        <v>3566.4136346294299</v>
      </c>
      <c r="K297" s="599">
        <v>9772.3626558822998</v>
      </c>
      <c r="L297" s="599">
        <v>8051.9434607851299</v>
      </c>
      <c r="M297" s="599">
        <v>7236.6213566003098</v>
      </c>
      <c r="N297" s="599">
        <v>6562.7046675060801</v>
      </c>
      <c r="O297" s="599">
        <v>4529.8369569839097</v>
      </c>
      <c r="P297" s="599">
        <v>3748.3670193369999</v>
      </c>
      <c r="Q297" s="599">
        <v>3094.1046480373502</v>
      </c>
      <c r="R297" s="599">
        <v>3772.6499321247702</v>
      </c>
      <c r="S297" s="169">
        <f t="shared" si="25"/>
        <v>62726.540817756206</v>
      </c>
      <c r="T297" s="122">
        <f>VLOOKUP($B297,'Tech Litons'!$A:$I,9,0)</f>
        <v>154</v>
      </c>
      <c r="U297" s="179">
        <f t="shared" si="26"/>
        <v>25.303174782183572</v>
      </c>
      <c r="V297" s="179">
        <f t="shared" si="26"/>
        <v>24.629304187846493</v>
      </c>
      <c r="W297" s="179">
        <f t="shared" si="26"/>
        <v>30.532043665489024</v>
      </c>
      <c r="X297" s="179">
        <f t="shared" si="24"/>
        <v>23.158530094996298</v>
      </c>
      <c r="Y297" s="179">
        <f t="shared" si="24"/>
        <v>63.456900362872076</v>
      </c>
      <c r="Z297" s="179">
        <f t="shared" si="24"/>
        <v>52.285347147955392</v>
      </c>
      <c r="AA297" s="179">
        <f t="shared" si="24"/>
        <v>46.991047770131885</v>
      </c>
      <c r="AB297" s="179">
        <f t="shared" si="24"/>
        <v>42.614965373416105</v>
      </c>
      <c r="AC297" s="179">
        <f t="shared" si="24"/>
        <v>29.414525694700711</v>
      </c>
      <c r="AD297" s="179">
        <f t="shared" si="27"/>
        <v>24.340045580110388</v>
      </c>
      <c r="AE297" s="179">
        <f t="shared" si="27"/>
        <v>20.091588623619156</v>
      </c>
      <c r="AF297" s="179">
        <f t="shared" si="27"/>
        <v>24.497726831979026</v>
      </c>
    </row>
    <row r="298" spans="2:32">
      <c r="B298" s="122">
        <f t="shared" si="28"/>
        <v>67491117</v>
      </c>
      <c r="C298" s="122" t="e">
        <f>VLOOKUP($B298,'Tech Litons'!$A:$I,3,0)</f>
        <v>#N/A</v>
      </c>
      <c r="D298" s="122" t="e">
        <f>VLOOKUP($B298,'Tech Litons'!$A:$I,4,0)</f>
        <v>#N/A</v>
      </c>
      <c r="E298" s="598" t="s">
        <v>963</v>
      </c>
      <c r="F298" s="598">
        <v>67491117</v>
      </c>
      <c r="G298" s="599">
        <v>4416.4026559849399</v>
      </c>
      <c r="H298" s="599">
        <v>5604.15393720882</v>
      </c>
      <c r="I298" s="599">
        <v>5553.25804668604</v>
      </c>
      <c r="J298" s="599">
        <v>5287.4736376903302</v>
      </c>
      <c r="K298" s="599">
        <v>5150.7212901228004</v>
      </c>
      <c r="L298" s="599">
        <v>6114.7042375768697</v>
      </c>
      <c r="M298" s="599">
        <v>5829.7239341673903</v>
      </c>
      <c r="N298" s="599">
        <v>5328.5834355834004</v>
      </c>
      <c r="O298" s="599">
        <v>5393.5655072069203</v>
      </c>
      <c r="P298" s="599">
        <v>4642.8889912783397</v>
      </c>
      <c r="Q298" s="599">
        <v>4520.8047895884201</v>
      </c>
      <c r="R298" s="599">
        <v>4146.6277479809496</v>
      </c>
      <c r="S298" s="169">
        <f t="shared" si="25"/>
        <v>61988.908211075228</v>
      </c>
      <c r="T298" s="122" t="e">
        <f>VLOOKUP($B298,'Tech Litons'!$A:$I,9,0)</f>
        <v>#N/A</v>
      </c>
      <c r="U298" s="179" t="e">
        <f t="shared" si="26"/>
        <v>#N/A</v>
      </c>
      <c r="V298" s="179" t="e">
        <f t="shared" si="26"/>
        <v>#N/A</v>
      </c>
      <c r="W298" s="179" t="e">
        <f t="shared" si="26"/>
        <v>#N/A</v>
      </c>
      <c r="X298" s="179" t="e">
        <f t="shared" si="24"/>
        <v>#N/A</v>
      </c>
      <c r="Y298" s="179" t="e">
        <f t="shared" si="24"/>
        <v>#N/A</v>
      </c>
      <c r="Z298" s="179" t="e">
        <f t="shared" si="24"/>
        <v>#N/A</v>
      </c>
      <c r="AA298" s="179" t="e">
        <f t="shared" si="24"/>
        <v>#N/A</v>
      </c>
      <c r="AB298" s="179" t="e">
        <f t="shared" si="24"/>
        <v>#N/A</v>
      </c>
      <c r="AC298" s="179" t="e">
        <f t="shared" si="24"/>
        <v>#N/A</v>
      </c>
      <c r="AD298" s="179" t="e">
        <f t="shared" si="27"/>
        <v>#N/A</v>
      </c>
      <c r="AE298" s="179" t="e">
        <f t="shared" si="27"/>
        <v>#N/A</v>
      </c>
      <c r="AF298" s="179" t="e">
        <f t="shared" si="27"/>
        <v>#N/A</v>
      </c>
    </row>
    <row r="299" spans="2:32">
      <c r="B299" s="122">
        <f t="shared" si="28"/>
        <v>64399865</v>
      </c>
      <c r="C299" s="122" t="str">
        <f>VLOOKUP($B299,'Tech Litons'!$A:$I,3,0)</f>
        <v>MBG</v>
      </c>
      <c r="D299" s="122" t="str">
        <f>VLOOKUP($B299,'Tech Litons'!$A:$I,4,0)</f>
        <v>MBG</v>
      </c>
      <c r="E299" s="598" t="s">
        <v>1100</v>
      </c>
      <c r="F299" s="598">
        <v>64399865</v>
      </c>
      <c r="G299" s="599">
        <v>6614.99999999999</v>
      </c>
      <c r="H299" s="599">
        <v>6623.99999999999</v>
      </c>
      <c r="I299" s="599">
        <v>8168</v>
      </c>
      <c r="J299" s="599">
        <v>8406</v>
      </c>
      <c r="K299" s="599">
        <v>9471.9999999999909</v>
      </c>
      <c r="L299" s="599">
        <v>2515</v>
      </c>
      <c r="M299" s="599">
        <v>3632.99999999999</v>
      </c>
      <c r="N299" s="599">
        <v>1940.99999999999</v>
      </c>
      <c r="O299" s="599">
        <v>0</v>
      </c>
      <c r="P299" s="599">
        <v>3318.99999999999</v>
      </c>
      <c r="Q299" s="599">
        <v>5813.99999999999</v>
      </c>
      <c r="R299" s="599">
        <v>6253</v>
      </c>
      <c r="S299" s="169">
        <f t="shared" si="25"/>
        <v>62759.999999999942</v>
      </c>
      <c r="T299" s="122">
        <f>VLOOKUP($B299,'Tech Litons'!$A:$I,9,0)</f>
        <v>154</v>
      </c>
      <c r="U299" s="179">
        <f t="shared" si="26"/>
        <v>42.954545454545389</v>
      </c>
      <c r="V299" s="179">
        <f t="shared" si="26"/>
        <v>43.012987012986947</v>
      </c>
      <c r="W299" s="179">
        <f t="shared" si="26"/>
        <v>53.038961038961041</v>
      </c>
      <c r="X299" s="179">
        <f t="shared" si="24"/>
        <v>54.584415584415588</v>
      </c>
      <c r="Y299" s="179">
        <f t="shared" si="24"/>
        <v>61.506493506493449</v>
      </c>
      <c r="Z299" s="179">
        <f t="shared" si="24"/>
        <v>16.331168831168831</v>
      </c>
      <c r="AA299" s="179">
        <f t="shared" si="24"/>
        <v>23.590909090909026</v>
      </c>
      <c r="AB299" s="179">
        <f t="shared" si="24"/>
        <v>12.603896103896039</v>
      </c>
      <c r="AC299" s="179">
        <f t="shared" si="24"/>
        <v>0</v>
      </c>
      <c r="AD299" s="179">
        <f t="shared" si="27"/>
        <v>21.551948051947988</v>
      </c>
      <c r="AE299" s="179">
        <f t="shared" si="27"/>
        <v>37.753246753246685</v>
      </c>
      <c r="AF299" s="179">
        <f t="shared" si="27"/>
        <v>40.603896103896105</v>
      </c>
    </row>
    <row r="300" spans="2:32">
      <c r="B300" s="122">
        <f t="shared" si="28"/>
        <v>69586716</v>
      </c>
      <c r="C300" s="122" t="str">
        <f>VLOOKUP($B300,'Tech Litons'!$A:$I,3,0)</f>
        <v>MG Sticks</v>
      </c>
      <c r="D300" s="122" t="str">
        <f>VLOOKUP($B300,'Tech Litons'!$A:$I,4,0)</f>
        <v>MG Sticks</v>
      </c>
      <c r="E300" s="598" t="s">
        <v>379</v>
      </c>
      <c r="F300" s="598">
        <v>69586716</v>
      </c>
      <c r="G300" s="599">
        <v>4177.8330560635904</v>
      </c>
      <c r="H300" s="599">
        <v>5097.2099712633399</v>
      </c>
      <c r="I300" s="599">
        <v>5352.1613650875397</v>
      </c>
      <c r="J300" s="599">
        <v>5391.37490087888</v>
      </c>
      <c r="K300" s="599">
        <v>7304.6398196372302</v>
      </c>
      <c r="L300" s="599">
        <v>6125.4245393369602</v>
      </c>
      <c r="M300" s="599">
        <v>6076.5502940827801</v>
      </c>
      <c r="N300" s="599">
        <v>6781.5453270373901</v>
      </c>
      <c r="O300" s="599">
        <v>4745.3152672721799</v>
      </c>
      <c r="P300" s="599">
        <v>4131.9541305987304</v>
      </c>
      <c r="Q300" s="599">
        <v>3278.9717727172001</v>
      </c>
      <c r="R300" s="599">
        <v>2827.3863625252202</v>
      </c>
      <c r="S300" s="169">
        <f t="shared" si="25"/>
        <v>61290.366806501035</v>
      </c>
      <c r="T300" s="122">
        <f>VLOOKUP($B300,'Tech Litons'!$A:$I,9,0)</f>
        <v>210</v>
      </c>
      <c r="U300" s="179">
        <f t="shared" si="26"/>
        <v>19.894443124112335</v>
      </c>
      <c r="V300" s="179">
        <f t="shared" si="26"/>
        <v>24.272428434587333</v>
      </c>
      <c r="W300" s="179">
        <f t="shared" si="26"/>
        <v>25.486482690893045</v>
      </c>
      <c r="X300" s="179">
        <f t="shared" si="24"/>
        <v>25.673213813708951</v>
      </c>
      <c r="Y300" s="179">
        <f t="shared" si="24"/>
        <v>34.783999141129669</v>
      </c>
      <c r="Z300" s="179">
        <f t="shared" si="24"/>
        <v>29.168688282556953</v>
      </c>
      <c r="AA300" s="179">
        <f t="shared" si="24"/>
        <v>28.935953781346573</v>
      </c>
      <c r="AB300" s="179">
        <f t="shared" si="24"/>
        <v>32.293072985892337</v>
      </c>
      <c r="AC300" s="179">
        <f t="shared" si="24"/>
        <v>22.596739367962762</v>
      </c>
      <c r="AD300" s="179">
        <f t="shared" si="27"/>
        <v>19.675972050470143</v>
      </c>
      <c r="AE300" s="179">
        <f t="shared" si="27"/>
        <v>15.614151298653335</v>
      </c>
      <c r="AF300" s="179">
        <f t="shared" si="27"/>
        <v>13.46374458345343</v>
      </c>
    </row>
    <row r="301" spans="2:32">
      <c r="B301" s="122">
        <f t="shared" si="28"/>
        <v>67794170</v>
      </c>
      <c r="C301" s="122" t="str">
        <f>VLOOKUP($B301,'Tech Litons'!$A:$I,3,0)</f>
        <v>BJ PTS</v>
      </c>
      <c r="D301" s="122" t="str">
        <f>VLOOKUP($B301,'Tech Litons'!$A:$I,4,0)</f>
        <v>BJ PTS</v>
      </c>
      <c r="E301" s="598" t="s">
        <v>414</v>
      </c>
      <c r="F301" s="598">
        <v>67794170</v>
      </c>
      <c r="G301" s="599">
        <v>3867.4899624827199</v>
      </c>
      <c r="H301" s="599">
        <v>6033.2364965246097</v>
      </c>
      <c r="I301" s="599">
        <v>5425.8760430594302</v>
      </c>
      <c r="J301" s="599">
        <v>5881.8277843127898</v>
      </c>
      <c r="K301" s="599">
        <v>5680.75139508138</v>
      </c>
      <c r="L301" s="599">
        <v>5087.5118317675497</v>
      </c>
      <c r="M301" s="599">
        <v>5371.4003828423902</v>
      </c>
      <c r="N301" s="599">
        <v>5282.4647644306197</v>
      </c>
      <c r="O301" s="599">
        <v>4182.6768382591499</v>
      </c>
      <c r="P301" s="599">
        <v>4425.4068911654504</v>
      </c>
      <c r="Q301" s="599">
        <v>4004.6698763076802</v>
      </c>
      <c r="R301" s="599">
        <v>4060.9413382675002</v>
      </c>
      <c r="S301" s="169">
        <f t="shared" si="25"/>
        <v>59304.25360450126</v>
      </c>
      <c r="T301" s="122">
        <f>VLOOKUP($B301,'Tech Litons'!$A:$I,9,0)</f>
        <v>240</v>
      </c>
      <c r="U301" s="179">
        <f t="shared" si="26"/>
        <v>16.114541510344665</v>
      </c>
      <c r="V301" s="179">
        <f t="shared" si="26"/>
        <v>25.138485402185875</v>
      </c>
      <c r="W301" s="179">
        <f t="shared" si="26"/>
        <v>22.607816846080958</v>
      </c>
      <c r="X301" s="179">
        <f t="shared" si="24"/>
        <v>24.507615767969959</v>
      </c>
      <c r="Y301" s="179">
        <f t="shared" si="24"/>
        <v>23.66979747950575</v>
      </c>
      <c r="Z301" s="179">
        <f t="shared" si="24"/>
        <v>21.197965965698124</v>
      </c>
      <c r="AA301" s="179">
        <f t="shared" si="24"/>
        <v>22.380834928509959</v>
      </c>
      <c r="AB301" s="179">
        <f t="shared" si="24"/>
        <v>22.010269851794249</v>
      </c>
      <c r="AC301" s="179">
        <f t="shared" si="24"/>
        <v>17.427820159413123</v>
      </c>
      <c r="AD301" s="179">
        <f t="shared" si="27"/>
        <v>18.439195379856042</v>
      </c>
      <c r="AE301" s="179">
        <f t="shared" si="27"/>
        <v>16.686124484615334</v>
      </c>
      <c r="AF301" s="179">
        <f t="shared" si="27"/>
        <v>16.920588909447918</v>
      </c>
    </row>
    <row r="302" spans="2:32">
      <c r="B302" s="122">
        <f t="shared" si="28"/>
        <v>69557443</v>
      </c>
      <c r="C302" s="122" t="str">
        <f>VLOOKUP($B302,'Tech Litons'!$A:$I,3,0)</f>
        <v>KL Mini Cones</v>
      </c>
      <c r="D302" s="122" t="str">
        <f>VLOOKUP($B302,'Tech Litons'!$A:$I,4,0)</f>
        <v>KL Mini Cones</v>
      </c>
      <c r="E302" s="598" t="s">
        <v>629</v>
      </c>
      <c r="F302" s="598">
        <v>69557443</v>
      </c>
      <c r="G302" s="599">
        <v>4123.3094930202997</v>
      </c>
      <c r="H302" s="599">
        <v>3570.0747672248099</v>
      </c>
      <c r="I302" s="599">
        <v>1692.57325572901</v>
      </c>
      <c r="J302" s="599">
        <v>1291.17160883109</v>
      </c>
      <c r="K302" s="599">
        <v>7348.5242218262301</v>
      </c>
      <c r="L302" s="599">
        <v>2270.0165096181499</v>
      </c>
      <c r="M302" s="599">
        <v>10172.152423305601</v>
      </c>
      <c r="N302" s="599">
        <v>7580.2598210803899</v>
      </c>
      <c r="O302" s="599">
        <v>7067.8914226434299</v>
      </c>
      <c r="P302" s="599">
        <v>5222.2822684860503</v>
      </c>
      <c r="Q302" s="599">
        <v>2770.3773609937398</v>
      </c>
      <c r="R302" s="599">
        <v>5314.3593597564004</v>
      </c>
      <c r="S302" s="169">
        <f t="shared" si="25"/>
        <v>58422.9925125152</v>
      </c>
      <c r="T302" s="122">
        <f>VLOOKUP($B302,'Tech Litons'!$A:$I,9,0)</f>
        <v>120</v>
      </c>
      <c r="U302" s="179">
        <f t="shared" si="26"/>
        <v>34.360912441835829</v>
      </c>
      <c r="V302" s="179">
        <f t="shared" si="26"/>
        <v>29.750623060206749</v>
      </c>
      <c r="W302" s="179">
        <f t="shared" si="26"/>
        <v>14.104777131075084</v>
      </c>
      <c r="X302" s="179">
        <f t="shared" si="24"/>
        <v>10.75976340692575</v>
      </c>
      <c r="Y302" s="179">
        <f t="shared" si="24"/>
        <v>61.237701848551914</v>
      </c>
      <c r="Z302" s="179">
        <f t="shared" si="24"/>
        <v>18.916804246817915</v>
      </c>
      <c r="AA302" s="179">
        <f t="shared" si="24"/>
        <v>84.767936860879999</v>
      </c>
      <c r="AB302" s="179">
        <f t="shared" si="24"/>
        <v>63.16883184233658</v>
      </c>
      <c r="AC302" s="179">
        <f t="shared" si="24"/>
        <v>58.899095188695249</v>
      </c>
      <c r="AD302" s="179">
        <f t="shared" si="27"/>
        <v>43.519018904050419</v>
      </c>
      <c r="AE302" s="179">
        <f t="shared" si="27"/>
        <v>23.086478008281166</v>
      </c>
      <c r="AF302" s="179">
        <f t="shared" si="27"/>
        <v>44.286327997970005</v>
      </c>
    </row>
    <row r="303" spans="2:32">
      <c r="B303" s="122">
        <f t="shared" si="28"/>
        <v>68915160</v>
      </c>
      <c r="C303" s="122" t="e">
        <f>VLOOKUP($B303,'Tech Litons'!$A:$I,3,0)</f>
        <v>#N/A</v>
      </c>
      <c r="D303" s="122" t="e">
        <f>VLOOKUP($B303,'Tech Litons'!$A:$I,4,0)</f>
        <v>#N/A</v>
      </c>
      <c r="E303" s="598" t="s">
        <v>915</v>
      </c>
      <c r="F303" s="598">
        <v>68915160</v>
      </c>
      <c r="G303" s="599">
        <v>3030.0668457174502</v>
      </c>
      <c r="H303" s="599">
        <v>3770.48491291644</v>
      </c>
      <c r="I303" s="599">
        <v>4683.9406473435401</v>
      </c>
      <c r="J303" s="599">
        <v>5220.44056237525</v>
      </c>
      <c r="K303" s="599">
        <v>6705.2859619977598</v>
      </c>
      <c r="L303" s="599">
        <v>5627.3937537023203</v>
      </c>
      <c r="M303" s="599">
        <v>5107.8369964461899</v>
      </c>
      <c r="N303" s="599">
        <v>6450.4202477517101</v>
      </c>
      <c r="O303" s="599">
        <v>3720.2844701966001</v>
      </c>
      <c r="P303" s="599">
        <v>4480.3862395411397</v>
      </c>
      <c r="Q303" s="599">
        <v>2921.2733644746399</v>
      </c>
      <c r="R303" s="599">
        <v>3286.2280256676599</v>
      </c>
      <c r="S303" s="169">
        <f t="shared" si="25"/>
        <v>55004.042028130709</v>
      </c>
      <c r="T303" s="122" t="e">
        <f>VLOOKUP($B303,'Tech Litons'!$A:$I,9,0)</f>
        <v>#N/A</v>
      </c>
      <c r="U303" s="179" t="e">
        <f t="shared" si="26"/>
        <v>#N/A</v>
      </c>
      <c r="V303" s="179" t="e">
        <f t="shared" si="26"/>
        <v>#N/A</v>
      </c>
      <c r="W303" s="179" t="e">
        <f t="shared" si="26"/>
        <v>#N/A</v>
      </c>
      <c r="X303" s="179" t="e">
        <f t="shared" si="24"/>
        <v>#N/A</v>
      </c>
      <c r="Y303" s="179" t="e">
        <f t="shared" si="24"/>
        <v>#N/A</v>
      </c>
      <c r="Z303" s="179" t="e">
        <f t="shared" si="24"/>
        <v>#N/A</v>
      </c>
      <c r="AA303" s="179" t="e">
        <f t="shared" si="24"/>
        <v>#N/A</v>
      </c>
      <c r="AB303" s="179" t="e">
        <f t="shared" si="24"/>
        <v>#N/A</v>
      </c>
      <c r="AC303" s="179" t="e">
        <f t="shared" si="24"/>
        <v>#N/A</v>
      </c>
      <c r="AD303" s="179" t="e">
        <f t="shared" si="27"/>
        <v>#N/A</v>
      </c>
      <c r="AE303" s="179" t="e">
        <f t="shared" si="27"/>
        <v>#N/A</v>
      </c>
      <c r="AF303" s="179" t="e">
        <f t="shared" si="27"/>
        <v>#N/A</v>
      </c>
    </row>
    <row r="304" spans="2:32">
      <c r="B304" s="122">
        <f t="shared" si="28"/>
        <v>68732328</v>
      </c>
      <c r="C304" s="122" t="e">
        <f>VLOOKUP($B304,'Tech Litons'!$A:$I,3,0)</f>
        <v>#N/A</v>
      </c>
      <c r="D304" s="122" t="e">
        <f>VLOOKUP($B304,'Tech Litons'!$A:$I,4,0)</f>
        <v>#N/A</v>
      </c>
      <c r="E304" s="598" t="s">
        <v>543</v>
      </c>
      <c r="F304" s="598">
        <v>68732328</v>
      </c>
      <c r="G304" s="599">
        <v>4171.6245115605498</v>
      </c>
      <c r="H304" s="599">
        <v>3858.5271228155498</v>
      </c>
      <c r="I304" s="599">
        <v>4411.7853620884798</v>
      </c>
      <c r="J304" s="599">
        <v>4353.6892781743099</v>
      </c>
      <c r="K304" s="599">
        <v>6957.74876806457</v>
      </c>
      <c r="L304" s="599">
        <v>5206.2755864443798</v>
      </c>
      <c r="M304" s="599">
        <v>4757.0802239303403</v>
      </c>
      <c r="N304" s="599">
        <v>4155.5118991750796</v>
      </c>
      <c r="O304" s="599">
        <v>5049.8319096760097</v>
      </c>
      <c r="P304" s="599">
        <v>5276.6829348881902</v>
      </c>
      <c r="Q304" s="599">
        <v>3686.9448452239099</v>
      </c>
      <c r="R304" s="599">
        <v>2233.8884769090701</v>
      </c>
      <c r="S304" s="169">
        <f t="shared" si="25"/>
        <v>54119.590918950438</v>
      </c>
      <c r="T304" s="122" t="e">
        <f>VLOOKUP($B304,'Tech Litons'!$A:$I,9,0)</f>
        <v>#N/A</v>
      </c>
      <c r="U304" s="179" t="e">
        <f t="shared" si="26"/>
        <v>#N/A</v>
      </c>
      <c r="V304" s="179" t="e">
        <f t="shared" si="26"/>
        <v>#N/A</v>
      </c>
      <c r="W304" s="179" t="e">
        <f t="shared" si="26"/>
        <v>#N/A</v>
      </c>
      <c r="X304" s="179" t="e">
        <f t="shared" si="24"/>
        <v>#N/A</v>
      </c>
      <c r="Y304" s="179" t="e">
        <f t="shared" si="24"/>
        <v>#N/A</v>
      </c>
      <c r="Z304" s="179" t="e">
        <f t="shared" si="24"/>
        <v>#N/A</v>
      </c>
      <c r="AA304" s="179" t="e">
        <f t="shared" si="24"/>
        <v>#N/A</v>
      </c>
      <c r="AB304" s="179" t="e">
        <f t="shared" si="24"/>
        <v>#N/A</v>
      </c>
      <c r="AC304" s="179" t="e">
        <f t="shared" si="24"/>
        <v>#N/A</v>
      </c>
      <c r="AD304" s="179" t="e">
        <f t="shared" si="27"/>
        <v>#N/A</v>
      </c>
      <c r="AE304" s="179" t="e">
        <f t="shared" si="27"/>
        <v>#N/A</v>
      </c>
      <c r="AF304" s="179" t="e">
        <f t="shared" si="27"/>
        <v>#N/A</v>
      </c>
    </row>
    <row r="305" spans="2:32">
      <c r="B305" s="122">
        <f t="shared" si="28"/>
        <v>68654238</v>
      </c>
      <c r="C305" s="122" t="str">
        <f>VLOOKUP($B305,'Tech Litons'!$A:$I,3,0)</f>
        <v>BJ PTS</v>
      </c>
      <c r="D305" s="122" t="str">
        <f>VLOOKUP($B305,'Tech Litons'!$A:$I,4,0)</f>
        <v>BJ PTS</v>
      </c>
      <c r="E305" s="598" t="s">
        <v>551</v>
      </c>
      <c r="F305" s="598">
        <v>68654238</v>
      </c>
      <c r="G305" s="599">
        <v>2619.46309569394</v>
      </c>
      <c r="H305" s="599">
        <v>4457.1067621922602</v>
      </c>
      <c r="I305" s="599">
        <v>5194.7109671859198</v>
      </c>
      <c r="J305" s="599">
        <v>4158.3697215005895</v>
      </c>
      <c r="K305" s="599">
        <v>4121.1916677902</v>
      </c>
      <c r="L305" s="599">
        <v>6315.5824783212402</v>
      </c>
      <c r="M305" s="599">
        <v>4036.0264523172</v>
      </c>
      <c r="N305" s="599">
        <v>4720.1422595030599</v>
      </c>
      <c r="O305" s="599">
        <v>4424.2276809565501</v>
      </c>
      <c r="P305" s="599">
        <v>4292.5078292400804</v>
      </c>
      <c r="Q305" s="599">
        <v>3847.7726659698701</v>
      </c>
      <c r="R305" s="599">
        <v>3179.77206774974</v>
      </c>
      <c r="S305" s="169">
        <f t="shared" si="25"/>
        <v>51366.873648420653</v>
      </c>
      <c r="T305" s="122">
        <f>VLOOKUP($B305,'Tech Litons'!$A:$I,9,0)</f>
        <v>240</v>
      </c>
      <c r="U305" s="179">
        <f t="shared" si="26"/>
        <v>10.914429565391417</v>
      </c>
      <c r="V305" s="179">
        <f t="shared" si="26"/>
        <v>18.571278175801083</v>
      </c>
      <c r="W305" s="179">
        <f t="shared" si="26"/>
        <v>21.644629029941331</v>
      </c>
      <c r="X305" s="179">
        <f t="shared" si="24"/>
        <v>17.326540506252456</v>
      </c>
      <c r="Y305" s="179">
        <f t="shared" si="24"/>
        <v>17.171631949125832</v>
      </c>
      <c r="Z305" s="179">
        <f t="shared" si="24"/>
        <v>26.314926993005166</v>
      </c>
      <c r="AA305" s="179">
        <f t="shared" si="24"/>
        <v>16.816776884654999</v>
      </c>
      <c r="AB305" s="179">
        <f t="shared" si="24"/>
        <v>19.667259414596082</v>
      </c>
      <c r="AC305" s="179">
        <f t="shared" si="24"/>
        <v>18.434282003985626</v>
      </c>
      <c r="AD305" s="179">
        <f t="shared" si="27"/>
        <v>17.885449288500336</v>
      </c>
      <c r="AE305" s="179">
        <f t="shared" si="27"/>
        <v>16.032386108207792</v>
      </c>
      <c r="AF305" s="179">
        <f t="shared" si="27"/>
        <v>13.249050282290584</v>
      </c>
    </row>
    <row r="306" spans="2:32">
      <c r="B306" s="122">
        <f t="shared" si="28"/>
        <v>64782365</v>
      </c>
      <c r="C306" s="122" t="str">
        <f>VLOOKUP($B306,'Tech Litons'!$A:$I,3,0)</f>
        <v>MG Sticks</v>
      </c>
      <c r="D306" s="122" t="str">
        <f>VLOOKUP($B306,'Tech Litons'!$A:$I,4,0)</f>
        <v>MG Sticks</v>
      </c>
      <c r="E306" s="598" t="s">
        <v>1028</v>
      </c>
      <c r="F306" s="598">
        <v>64782365</v>
      </c>
      <c r="G306" s="599">
        <v>2888.8923504681102</v>
      </c>
      <c r="H306" s="599">
        <v>3220.2484057482402</v>
      </c>
      <c r="I306" s="599">
        <v>4904.49347668676</v>
      </c>
      <c r="J306" s="599">
        <v>4960.8974567332798</v>
      </c>
      <c r="K306" s="599">
        <v>6791.5160222818704</v>
      </c>
      <c r="L306" s="599">
        <v>5421.2112642392503</v>
      </c>
      <c r="M306" s="599">
        <v>4989.0687792084</v>
      </c>
      <c r="N306" s="599">
        <v>4816.8731592231197</v>
      </c>
      <c r="O306" s="599">
        <v>3744.4553515181401</v>
      </c>
      <c r="P306" s="599">
        <v>4030.5650602442302</v>
      </c>
      <c r="Q306" s="599">
        <v>2455.8663610358499</v>
      </c>
      <c r="R306" s="599">
        <v>2427.38697553372</v>
      </c>
      <c r="S306" s="169">
        <f t="shared" si="25"/>
        <v>50651.474662920977</v>
      </c>
      <c r="T306" s="122">
        <f>VLOOKUP($B306,'Tech Litons'!$A:$I,9,0)</f>
        <v>210</v>
      </c>
      <c r="U306" s="179">
        <f t="shared" si="26"/>
        <v>13.756630240324334</v>
      </c>
      <c r="V306" s="179">
        <f t="shared" si="26"/>
        <v>15.334516217848764</v>
      </c>
      <c r="W306" s="179">
        <f t="shared" si="26"/>
        <v>23.354730841365523</v>
      </c>
      <c r="X306" s="179">
        <f t="shared" si="24"/>
        <v>23.623321222539428</v>
      </c>
      <c r="Y306" s="179">
        <f t="shared" si="24"/>
        <v>32.340552487056527</v>
      </c>
      <c r="Z306" s="179">
        <f t="shared" si="24"/>
        <v>25.81529173447262</v>
      </c>
      <c r="AA306" s="179">
        <f t="shared" si="24"/>
        <v>23.757470377182855</v>
      </c>
      <c r="AB306" s="179">
        <f t="shared" si="24"/>
        <v>22.937491234395807</v>
      </c>
      <c r="AC306" s="179">
        <f t="shared" si="24"/>
        <v>17.830739769134002</v>
      </c>
      <c r="AD306" s="179">
        <f t="shared" si="27"/>
        <v>19.193166953543955</v>
      </c>
      <c r="AE306" s="179">
        <f t="shared" si="27"/>
        <v>11.694601719218333</v>
      </c>
      <c r="AF306" s="179">
        <f t="shared" si="27"/>
        <v>11.558985597779619</v>
      </c>
    </row>
    <row r="307" spans="2:32">
      <c r="B307" s="122">
        <f t="shared" si="28"/>
        <v>64403187</v>
      </c>
      <c r="C307" s="122" t="str">
        <f>VLOOKUP($B307,'Tech Litons'!$A:$I,3,0)</f>
        <v>48oz</v>
      </c>
      <c r="D307" s="122" t="str">
        <f>VLOOKUP($B307,'Tech Litons'!$A:$I,4,0)</f>
        <v>48oz</v>
      </c>
      <c r="E307" s="598" t="s">
        <v>1030</v>
      </c>
      <c r="F307" s="598">
        <v>64403187</v>
      </c>
      <c r="G307" s="599">
        <v>3597.55957204884</v>
      </c>
      <c r="H307" s="599">
        <v>3371.7737231953702</v>
      </c>
      <c r="I307" s="599">
        <v>3922.20438205966</v>
      </c>
      <c r="J307" s="599">
        <v>5182.5973125698201</v>
      </c>
      <c r="K307" s="599">
        <v>4572.9380530120998</v>
      </c>
      <c r="L307" s="599">
        <v>4183.3795675368001</v>
      </c>
      <c r="M307" s="599">
        <v>3884.3307294931801</v>
      </c>
      <c r="N307" s="599">
        <v>4047.43430918485</v>
      </c>
      <c r="O307" s="599">
        <v>3503.4597099072598</v>
      </c>
      <c r="P307" s="599">
        <v>4291.8039782340402</v>
      </c>
      <c r="Q307" s="599">
        <v>4083.7265566440001</v>
      </c>
      <c r="R307" s="599">
        <v>3502.70318301519</v>
      </c>
      <c r="S307" s="169">
        <f t="shared" si="25"/>
        <v>48143.911076901109</v>
      </c>
      <c r="T307" s="122">
        <f>VLOOKUP($B307,'Tech Litons'!$A:$I,9,0)</f>
        <v>176</v>
      </c>
      <c r="U307" s="179">
        <f t="shared" si="26"/>
        <v>20.440679386641136</v>
      </c>
      <c r="V307" s="179">
        <f t="shared" si="26"/>
        <v>19.157805245428239</v>
      </c>
      <c r="W307" s="179">
        <f t="shared" si="26"/>
        <v>22.285252170793523</v>
      </c>
      <c r="X307" s="179">
        <f t="shared" si="24"/>
        <v>29.446575639601249</v>
      </c>
      <c r="Y307" s="179">
        <f t="shared" si="24"/>
        <v>25.982602573932386</v>
      </c>
      <c r="Z307" s="179">
        <f t="shared" si="24"/>
        <v>23.769202088277272</v>
      </c>
      <c r="AA307" s="179">
        <f t="shared" si="24"/>
        <v>22.070060963029434</v>
      </c>
      <c r="AB307" s="179">
        <f t="shared" si="24"/>
        <v>22.996785847641192</v>
      </c>
      <c r="AC307" s="179">
        <f t="shared" si="24"/>
        <v>19.906021079018522</v>
      </c>
      <c r="AD307" s="179">
        <f t="shared" si="27"/>
        <v>24.385249876329773</v>
      </c>
      <c r="AE307" s="179">
        <f t="shared" si="27"/>
        <v>23.202991799113637</v>
      </c>
      <c r="AF307" s="179">
        <f t="shared" si="27"/>
        <v>19.901722630768123</v>
      </c>
    </row>
    <row r="308" spans="2:32">
      <c r="B308" s="122">
        <f t="shared" si="28"/>
        <v>68726871</v>
      </c>
      <c r="C308" s="122" t="str">
        <f>VLOOKUP($B308,'Tech Litons'!$A:$I,3,0)</f>
        <v>MBG</v>
      </c>
      <c r="D308" s="122" t="str">
        <f>VLOOKUP($B308,'Tech Litons'!$A:$I,4,0)</f>
        <v>MBG</v>
      </c>
      <c r="E308" s="598" t="s">
        <v>920</v>
      </c>
      <c r="F308" s="598">
        <v>68726871</v>
      </c>
      <c r="G308" s="599">
        <v>1697.5564803274201</v>
      </c>
      <c r="H308" s="599">
        <v>1603.4815806977199</v>
      </c>
      <c r="I308" s="599">
        <v>3320.7373130034798</v>
      </c>
      <c r="J308" s="599">
        <v>4768.2002202879903</v>
      </c>
      <c r="K308" s="599">
        <v>7802.98529341228</v>
      </c>
      <c r="L308" s="599">
        <v>7467.9124062360097</v>
      </c>
      <c r="M308" s="599">
        <v>6561.5506560051699</v>
      </c>
      <c r="N308" s="599">
        <v>4787.6733078683501</v>
      </c>
      <c r="O308" s="599">
        <v>3676.5481174240199</v>
      </c>
      <c r="P308" s="599">
        <v>1801.21927335602</v>
      </c>
      <c r="Q308" s="599">
        <v>1164.8122676860401</v>
      </c>
      <c r="R308" s="599">
        <v>1476.5793529272601</v>
      </c>
      <c r="S308" s="169">
        <f t="shared" si="25"/>
        <v>46129.256269231766</v>
      </c>
      <c r="T308" s="122">
        <f>VLOOKUP($B308,'Tech Litons'!$A:$I,9,0)</f>
        <v>225</v>
      </c>
      <c r="U308" s="179">
        <f t="shared" si="26"/>
        <v>7.5446954681218674</v>
      </c>
      <c r="V308" s="179">
        <f t="shared" si="26"/>
        <v>7.1265848031009771</v>
      </c>
      <c r="W308" s="179">
        <f t="shared" si="26"/>
        <v>14.758832502237688</v>
      </c>
      <c r="X308" s="179">
        <f t="shared" si="24"/>
        <v>21.192000979057735</v>
      </c>
      <c r="Y308" s="179">
        <f t="shared" si="24"/>
        <v>34.679934637387909</v>
      </c>
      <c r="Z308" s="179">
        <f t="shared" si="24"/>
        <v>33.190721805493375</v>
      </c>
      <c r="AA308" s="179">
        <f t="shared" ref="AA308:AF361" si="29">M308/$T308</f>
        <v>29.162447360022977</v>
      </c>
      <c r="AB308" s="179">
        <f t="shared" si="29"/>
        <v>21.278548034970445</v>
      </c>
      <c r="AC308" s="179">
        <f t="shared" si="29"/>
        <v>16.340213855217865</v>
      </c>
      <c r="AD308" s="179">
        <f t="shared" si="27"/>
        <v>8.0054189926934232</v>
      </c>
      <c r="AE308" s="179">
        <f t="shared" si="27"/>
        <v>5.1769434119379554</v>
      </c>
      <c r="AF308" s="179">
        <f t="shared" si="27"/>
        <v>6.5625749018989339</v>
      </c>
    </row>
    <row r="309" spans="2:32">
      <c r="B309" s="122">
        <f t="shared" si="28"/>
        <v>68728263</v>
      </c>
      <c r="C309" s="122" t="e">
        <f>VLOOKUP($B309,'Tech Litons'!$A:$I,3,0)</f>
        <v>#N/A</v>
      </c>
      <c r="D309" s="122" t="e">
        <f>VLOOKUP($B309,'Tech Litons'!$A:$I,4,0)</f>
        <v>#N/A</v>
      </c>
      <c r="E309" s="598" t="s">
        <v>975</v>
      </c>
      <c r="F309" s="598">
        <v>68728263</v>
      </c>
      <c r="G309" s="599">
        <v>4587.8245415322299</v>
      </c>
      <c r="H309" s="599">
        <v>3710.8746018883799</v>
      </c>
      <c r="I309" s="599">
        <v>4671.0396345624704</v>
      </c>
      <c r="J309" s="599">
        <v>4161.1520164214098</v>
      </c>
      <c r="K309" s="599">
        <v>4161.31301358377</v>
      </c>
      <c r="L309" s="599">
        <v>4774.9054959342302</v>
      </c>
      <c r="M309" s="599">
        <v>3801.7894881321199</v>
      </c>
      <c r="N309" s="599">
        <v>3328.33724620055</v>
      </c>
      <c r="O309" s="599">
        <v>3337.53915268013</v>
      </c>
      <c r="P309" s="599">
        <v>3067.3143358576299</v>
      </c>
      <c r="Q309" s="599">
        <v>2458.8148143346998</v>
      </c>
      <c r="R309" s="599">
        <v>2473.2945635504602</v>
      </c>
      <c r="S309" s="169">
        <f t="shared" si="25"/>
        <v>44534.19890467808</v>
      </c>
      <c r="T309" s="122" t="e">
        <f>VLOOKUP($B309,'Tech Litons'!$A:$I,9,0)</f>
        <v>#N/A</v>
      </c>
      <c r="U309" s="179" t="e">
        <f t="shared" si="26"/>
        <v>#N/A</v>
      </c>
      <c r="V309" s="179" t="e">
        <f t="shared" si="26"/>
        <v>#N/A</v>
      </c>
      <c r="W309" s="179" t="e">
        <f t="shared" si="26"/>
        <v>#N/A</v>
      </c>
      <c r="X309" s="179" t="e">
        <f t="shared" si="26"/>
        <v>#N/A</v>
      </c>
      <c r="Y309" s="179" t="e">
        <f t="shared" si="26"/>
        <v>#N/A</v>
      </c>
      <c r="Z309" s="179" t="e">
        <f t="shared" si="26"/>
        <v>#N/A</v>
      </c>
      <c r="AA309" s="179" t="e">
        <f t="shared" si="29"/>
        <v>#N/A</v>
      </c>
      <c r="AB309" s="179" t="e">
        <f t="shared" si="29"/>
        <v>#N/A</v>
      </c>
      <c r="AC309" s="179" t="e">
        <f t="shared" si="29"/>
        <v>#N/A</v>
      </c>
      <c r="AD309" s="179" t="e">
        <f t="shared" si="27"/>
        <v>#N/A</v>
      </c>
      <c r="AE309" s="179" t="e">
        <f t="shared" si="27"/>
        <v>#N/A</v>
      </c>
      <c r="AF309" s="179" t="e">
        <f t="shared" si="27"/>
        <v>#N/A</v>
      </c>
    </row>
    <row r="310" spans="2:32">
      <c r="B310" s="122">
        <f t="shared" si="28"/>
        <v>68649096</v>
      </c>
      <c r="C310" s="122" t="str">
        <f>VLOOKUP($B310,'Tech Litons'!$A:$I,3,0)</f>
        <v>Topped</v>
      </c>
      <c r="D310" s="122" t="str">
        <f>VLOOKUP($B310,'Tech Litons'!$A:$I,4,0)</f>
        <v>SP1</v>
      </c>
      <c r="E310" s="598" t="s">
        <v>1101</v>
      </c>
      <c r="F310" s="598">
        <v>68649096</v>
      </c>
      <c r="G310" s="599">
        <v>2278.3556059774601</v>
      </c>
      <c r="H310" s="599">
        <v>3910.4150874850702</v>
      </c>
      <c r="I310" s="599">
        <v>4453.0531970964103</v>
      </c>
      <c r="J310" s="599">
        <v>3815.98800248716</v>
      </c>
      <c r="K310" s="599">
        <v>3144.7556082655201</v>
      </c>
      <c r="L310" s="599">
        <v>5633.5897646373096</v>
      </c>
      <c r="M310" s="599">
        <v>3394.9580178932702</v>
      </c>
      <c r="N310" s="599">
        <v>3585.2514014656799</v>
      </c>
      <c r="O310" s="599">
        <v>4530.8569412240004</v>
      </c>
      <c r="P310" s="599">
        <v>3882.30048905375</v>
      </c>
      <c r="Q310" s="599">
        <v>2818.3042889590502</v>
      </c>
      <c r="R310" s="599">
        <v>3012.6429491874401</v>
      </c>
      <c r="S310" s="169">
        <f t="shared" si="25"/>
        <v>44460.471353732115</v>
      </c>
      <c r="T310" s="122">
        <f>VLOOKUP($B310,'Tech Litons'!$A:$I,9,0)</f>
        <v>240</v>
      </c>
      <c r="U310" s="179">
        <f t="shared" si="26"/>
        <v>9.4931483582394165</v>
      </c>
      <c r="V310" s="179">
        <f t="shared" si="26"/>
        <v>16.293396197854459</v>
      </c>
      <c r="W310" s="179">
        <f t="shared" si="26"/>
        <v>18.554388321235042</v>
      </c>
      <c r="X310" s="179">
        <f t="shared" si="26"/>
        <v>15.899950010363167</v>
      </c>
      <c r="Y310" s="179">
        <f t="shared" si="26"/>
        <v>13.103148367773001</v>
      </c>
      <c r="Z310" s="179">
        <f t="shared" si="26"/>
        <v>23.47329068598879</v>
      </c>
      <c r="AA310" s="179">
        <f t="shared" si="29"/>
        <v>14.145658407888625</v>
      </c>
      <c r="AB310" s="179">
        <f t="shared" si="29"/>
        <v>14.938547506107</v>
      </c>
      <c r="AC310" s="179">
        <f t="shared" si="29"/>
        <v>18.878570588433334</v>
      </c>
      <c r="AD310" s="179">
        <f t="shared" si="27"/>
        <v>16.176252037723959</v>
      </c>
      <c r="AE310" s="179">
        <f t="shared" si="27"/>
        <v>11.742934537329376</v>
      </c>
      <c r="AF310" s="179">
        <f t="shared" si="27"/>
        <v>12.552678954947668</v>
      </c>
    </row>
    <row r="311" spans="2:32">
      <c r="B311" s="122">
        <f t="shared" si="28"/>
        <v>68654218</v>
      </c>
      <c r="C311" s="122" t="str">
        <f>VLOOKUP($B311,'Tech Litons'!$A:$I,3,0)</f>
        <v>Dough Bites</v>
      </c>
      <c r="D311" s="122" t="str">
        <f>VLOOKUP($B311,'Tech Litons'!$A:$I,4,0)</f>
        <v>Dough Bites</v>
      </c>
      <c r="E311" s="598" t="s">
        <v>897</v>
      </c>
      <c r="F311" s="598">
        <v>68654218</v>
      </c>
      <c r="G311" s="599">
        <v>3427.8537665991198</v>
      </c>
      <c r="H311" s="599">
        <v>3413.8569247862401</v>
      </c>
      <c r="I311" s="599">
        <v>3430.9024055045702</v>
      </c>
      <c r="J311" s="599">
        <v>4316.4078434155199</v>
      </c>
      <c r="K311" s="599">
        <v>5128.3629470640999</v>
      </c>
      <c r="L311" s="599">
        <v>5300.0761386774602</v>
      </c>
      <c r="M311" s="599">
        <v>5095.9444606258903</v>
      </c>
      <c r="N311" s="599">
        <v>5935.9664087287501</v>
      </c>
      <c r="O311" s="599">
        <v>1871.6021843339299</v>
      </c>
      <c r="P311" s="599">
        <v>2313.0870389384299</v>
      </c>
      <c r="Q311" s="599">
        <v>2181.9299999999998</v>
      </c>
      <c r="R311" s="599">
        <v>2032.95999999999</v>
      </c>
      <c r="S311" s="169">
        <f t="shared" si="25"/>
        <v>44448.950118674009</v>
      </c>
      <c r="T311" s="122">
        <f>VLOOKUP($B311,'Tech Litons'!$A:$I,9,0)</f>
        <v>256</v>
      </c>
      <c r="U311" s="179">
        <f t="shared" si="26"/>
        <v>13.390053775777812</v>
      </c>
      <c r="V311" s="179">
        <f t="shared" si="26"/>
        <v>13.335378612446251</v>
      </c>
      <c r="W311" s="179">
        <f t="shared" si="26"/>
        <v>13.401962521502227</v>
      </c>
      <c r="X311" s="179">
        <f t="shared" si="26"/>
        <v>16.860968138341875</v>
      </c>
      <c r="Y311" s="179">
        <f t="shared" si="26"/>
        <v>20.03266776196914</v>
      </c>
      <c r="Z311" s="179">
        <f t="shared" si="26"/>
        <v>20.703422416708829</v>
      </c>
      <c r="AA311" s="179">
        <f t="shared" si="29"/>
        <v>19.906033049319884</v>
      </c>
      <c r="AB311" s="179">
        <f t="shared" si="29"/>
        <v>23.18736878409668</v>
      </c>
      <c r="AC311" s="179">
        <f t="shared" si="29"/>
        <v>7.3109460325544138</v>
      </c>
      <c r="AD311" s="179">
        <f t="shared" si="27"/>
        <v>9.035496245853242</v>
      </c>
      <c r="AE311" s="179">
        <f t="shared" si="27"/>
        <v>8.5231640624999994</v>
      </c>
      <c r="AF311" s="179">
        <f t="shared" si="27"/>
        <v>7.9412499999999611</v>
      </c>
    </row>
    <row r="312" spans="2:32">
      <c r="B312" s="122">
        <f t="shared" si="28"/>
        <v>64410857</v>
      </c>
      <c r="C312" s="122" t="str">
        <f>VLOOKUP($B312,'Tech Litons'!$A:$I,3,0)</f>
        <v>Other</v>
      </c>
      <c r="D312" s="122" t="str">
        <f>VLOOKUP($B312,'Tech Litons'!$A:$I,4,0)</f>
        <v>Other</v>
      </c>
      <c r="E312" s="286" t="s">
        <v>1029</v>
      </c>
      <c r="F312" s="598">
        <v>64410857</v>
      </c>
      <c r="G312" s="599">
        <v>2489</v>
      </c>
      <c r="H312" s="599">
        <v>2703</v>
      </c>
      <c r="I312" s="599">
        <v>3705</v>
      </c>
      <c r="J312" s="599">
        <v>4170</v>
      </c>
      <c r="K312" s="599">
        <v>5189</v>
      </c>
      <c r="L312" s="599">
        <v>4883</v>
      </c>
      <c r="M312" s="599">
        <v>5129</v>
      </c>
      <c r="N312" s="599">
        <v>4150</v>
      </c>
      <c r="O312" s="599">
        <v>3677</v>
      </c>
      <c r="P312" s="599">
        <v>2279</v>
      </c>
      <c r="Q312" s="599">
        <v>2411</v>
      </c>
      <c r="R312" s="599">
        <v>2312</v>
      </c>
      <c r="S312" s="169">
        <f t="shared" si="25"/>
        <v>43097</v>
      </c>
      <c r="T312" s="122">
        <f>VLOOKUP($B312,'Tech Litons'!$A:$I,9,0)</f>
        <v>135</v>
      </c>
      <c r="U312" s="179">
        <f t="shared" si="26"/>
        <v>18.437037037037037</v>
      </c>
      <c r="V312" s="179">
        <f t="shared" si="26"/>
        <v>20.022222222222222</v>
      </c>
      <c r="W312" s="179">
        <f t="shared" si="26"/>
        <v>27.444444444444443</v>
      </c>
      <c r="X312" s="179">
        <f t="shared" si="26"/>
        <v>30.888888888888889</v>
      </c>
      <c r="Y312" s="179">
        <f t="shared" si="26"/>
        <v>38.437037037037037</v>
      </c>
      <c r="Z312" s="179">
        <f t="shared" si="26"/>
        <v>36.170370370370371</v>
      </c>
      <c r="AA312" s="179">
        <f t="shared" si="29"/>
        <v>37.992592592592594</v>
      </c>
      <c r="AB312" s="179">
        <f t="shared" si="29"/>
        <v>30.74074074074074</v>
      </c>
      <c r="AC312" s="179">
        <f t="shared" si="29"/>
        <v>27.237037037037037</v>
      </c>
      <c r="AD312" s="179">
        <f t="shared" si="27"/>
        <v>16.881481481481483</v>
      </c>
      <c r="AE312" s="179">
        <f t="shared" si="27"/>
        <v>17.859259259259261</v>
      </c>
      <c r="AF312" s="179">
        <f t="shared" si="27"/>
        <v>17.125925925925927</v>
      </c>
    </row>
    <row r="313" spans="2:32">
      <c r="B313" s="122">
        <f t="shared" si="28"/>
        <v>69653125</v>
      </c>
      <c r="C313" s="122" t="str">
        <f>VLOOKUP($B313,'Tech Litons'!$A:$I,3,0)</f>
        <v>BR Minicups</v>
      </c>
      <c r="D313" s="122" t="str">
        <f>VLOOKUP($B313,'Tech Litons'!$A:$I,4,0)</f>
        <v>Other</v>
      </c>
      <c r="E313" s="286" t="s">
        <v>888</v>
      </c>
      <c r="F313" s="598">
        <v>69653125</v>
      </c>
      <c r="G313" s="599">
        <v>3437.0367902347002</v>
      </c>
      <c r="H313" s="599">
        <v>3423.2948876105302</v>
      </c>
      <c r="I313" s="599">
        <v>3171.9056228529598</v>
      </c>
      <c r="J313" s="599">
        <v>3255.63206866163</v>
      </c>
      <c r="K313" s="599">
        <v>4541.3324153804997</v>
      </c>
      <c r="L313" s="599">
        <v>3857.11645471058</v>
      </c>
      <c r="M313" s="599">
        <v>3894.5401886970899</v>
      </c>
      <c r="N313" s="599">
        <v>3423.2973710926499</v>
      </c>
      <c r="O313" s="599">
        <v>3370.97448034745</v>
      </c>
      <c r="P313" s="599">
        <v>3148.09276974257</v>
      </c>
      <c r="Q313" s="599">
        <v>2994.60468687307</v>
      </c>
      <c r="R313" s="599">
        <v>2305.55313249664</v>
      </c>
      <c r="S313" s="169">
        <f t="shared" si="25"/>
        <v>40823.380868700377</v>
      </c>
      <c r="T313" s="122">
        <f>VLOOKUP($B313,'Tech Litons'!$A:$I,9,0)</f>
        <v>120</v>
      </c>
      <c r="U313" s="179">
        <f t="shared" si="26"/>
        <v>28.641973251955836</v>
      </c>
      <c r="V313" s="179">
        <f t="shared" si="26"/>
        <v>28.527457396754418</v>
      </c>
      <c r="W313" s="179">
        <f t="shared" si="26"/>
        <v>26.432546857107997</v>
      </c>
      <c r="X313" s="179">
        <f t="shared" si="26"/>
        <v>27.130267238846915</v>
      </c>
      <c r="Y313" s="179">
        <f t="shared" si="26"/>
        <v>37.844436794837499</v>
      </c>
      <c r="Z313" s="179">
        <f t="shared" si="26"/>
        <v>32.14263712258817</v>
      </c>
      <c r="AA313" s="179">
        <f t="shared" si="29"/>
        <v>32.454501572475749</v>
      </c>
      <c r="AB313" s="179">
        <f t="shared" si="29"/>
        <v>28.527478092438749</v>
      </c>
      <c r="AC313" s="179">
        <f t="shared" si="29"/>
        <v>28.091454002895418</v>
      </c>
      <c r="AD313" s="179">
        <f t="shared" si="27"/>
        <v>26.234106414521417</v>
      </c>
      <c r="AE313" s="179">
        <f t="shared" si="27"/>
        <v>24.955039057275584</v>
      </c>
      <c r="AF313" s="179">
        <f t="shared" si="27"/>
        <v>19.212942770805334</v>
      </c>
    </row>
    <row r="314" spans="2:32">
      <c r="B314" s="122">
        <f t="shared" si="28"/>
        <v>64392287</v>
      </c>
      <c r="C314" s="122" t="str">
        <f>VLOOKUP($B314,'Tech Litons'!$A:$I,3,0)</f>
        <v>ESS</v>
      </c>
      <c r="D314" s="122" t="str">
        <f>VLOOKUP($B314,'Tech Litons'!$A:$I,4,0)</f>
        <v>ESS</v>
      </c>
      <c r="E314" s="598" t="s">
        <v>1102</v>
      </c>
      <c r="F314" s="598">
        <v>64392287</v>
      </c>
      <c r="G314" s="599">
        <v>841.31192266344203</v>
      </c>
      <c r="H314" s="599">
        <v>3010.2565392480201</v>
      </c>
      <c r="I314" s="599">
        <v>4848.0823595574802</v>
      </c>
      <c r="J314" s="599">
        <v>5139.0602436108602</v>
      </c>
      <c r="K314" s="599">
        <v>4188.0304523718996</v>
      </c>
      <c r="L314" s="599">
        <v>3153.1601754671201</v>
      </c>
      <c r="M314" s="599">
        <v>4097.1403379594703</v>
      </c>
      <c r="N314" s="599">
        <v>3913.7316626372099</v>
      </c>
      <c r="O314" s="599">
        <v>3266.31612629455</v>
      </c>
      <c r="P314" s="599">
        <v>2577.7857389280398</v>
      </c>
      <c r="Q314" s="599">
        <v>1122.20626113253</v>
      </c>
      <c r="R314" s="599">
        <v>3415.1355436481999</v>
      </c>
      <c r="S314" s="169">
        <f t="shared" si="25"/>
        <v>39572.217363518816</v>
      </c>
      <c r="T314" s="122">
        <f>VLOOKUP($B314,'Tech Litons'!$A:$I,9,0)</f>
        <v>132</v>
      </c>
      <c r="U314" s="179">
        <f t="shared" si="26"/>
        <v>6.3735751716927425</v>
      </c>
      <c r="V314" s="179">
        <f t="shared" si="26"/>
        <v>22.804973782181971</v>
      </c>
      <c r="W314" s="179">
        <f t="shared" si="26"/>
        <v>36.727896663314247</v>
      </c>
      <c r="X314" s="179">
        <f t="shared" si="26"/>
        <v>38.932274572809547</v>
      </c>
      <c r="Y314" s="179">
        <f t="shared" si="26"/>
        <v>31.727503427059844</v>
      </c>
      <c r="Z314" s="179">
        <f t="shared" si="26"/>
        <v>23.88757708687212</v>
      </c>
      <c r="AA314" s="179">
        <f t="shared" si="29"/>
        <v>31.03894195423841</v>
      </c>
      <c r="AB314" s="179">
        <f t="shared" si="29"/>
        <v>29.649482292706136</v>
      </c>
      <c r="AC314" s="179">
        <f t="shared" si="29"/>
        <v>24.744819138595076</v>
      </c>
      <c r="AD314" s="179">
        <f t="shared" si="27"/>
        <v>19.528679840363939</v>
      </c>
      <c r="AE314" s="179">
        <f t="shared" si="27"/>
        <v>8.5015625843373481</v>
      </c>
      <c r="AF314" s="179">
        <f t="shared" si="27"/>
        <v>25.872238967031819</v>
      </c>
    </row>
    <row r="315" spans="2:32">
      <c r="B315" s="122">
        <f t="shared" si="28"/>
        <v>67995090</v>
      </c>
      <c r="C315" s="122" t="str">
        <f>VLOOKUP($B315,'Tech Litons'!$A:$I,3,0)</f>
        <v>BJ PTS</v>
      </c>
      <c r="D315" s="122" t="str">
        <f>VLOOKUP($B315,'Tech Litons'!$A:$I,4,0)</f>
        <v>BJ PTS</v>
      </c>
      <c r="E315" s="598" t="s">
        <v>557</v>
      </c>
      <c r="F315" s="598">
        <v>67995090</v>
      </c>
      <c r="G315" s="600">
        <v>2242.72714985739</v>
      </c>
      <c r="H315" s="599">
        <v>3215.4736505134301</v>
      </c>
      <c r="I315" s="599">
        <v>3494.76559089068</v>
      </c>
      <c r="J315" s="599">
        <v>3701.4903774086501</v>
      </c>
      <c r="K315" s="599">
        <v>3651.1699188080702</v>
      </c>
      <c r="L315" s="599">
        <v>4798.9474707858399</v>
      </c>
      <c r="M315" s="599">
        <v>3163.9736506725799</v>
      </c>
      <c r="N315" s="599">
        <v>4035.3298127981202</v>
      </c>
      <c r="O315" s="599">
        <v>2854.7370870688001</v>
      </c>
      <c r="P315" s="599">
        <v>3037.74781728275</v>
      </c>
      <c r="Q315" s="599">
        <v>2310.2335485410299</v>
      </c>
      <c r="R315" s="599">
        <v>1990.2011217522199</v>
      </c>
      <c r="S315" s="169">
        <f t="shared" si="25"/>
        <v>38496.797196379557</v>
      </c>
      <c r="T315" s="122">
        <f>VLOOKUP($B315,'Tech Litons'!$A:$I,9,0)</f>
        <v>240</v>
      </c>
      <c r="U315" s="179">
        <f t="shared" si="26"/>
        <v>9.3446964577391256</v>
      </c>
      <c r="V315" s="179">
        <f t="shared" si="26"/>
        <v>13.397806877139292</v>
      </c>
      <c r="W315" s="179">
        <f t="shared" si="26"/>
        <v>14.561523295377834</v>
      </c>
      <c r="X315" s="179">
        <f t="shared" si="26"/>
        <v>15.422876572536042</v>
      </c>
      <c r="Y315" s="179">
        <f t="shared" si="26"/>
        <v>15.213207995033626</v>
      </c>
      <c r="Z315" s="179">
        <f t="shared" si="26"/>
        <v>19.995614461607666</v>
      </c>
      <c r="AA315" s="179">
        <f t="shared" si="29"/>
        <v>13.183223544469083</v>
      </c>
      <c r="AB315" s="179">
        <f t="shared" si="29"/>
        <v>16.813874219992169</v>
      </c>
      <c r="AC315" s="179">
        <f t="shared" si="29"/>
        <v>11.894737862786666</v>
      </c>
      <c r="AD315" s="179">
        <f t="shared" si="27"/>
        <v>12.657282572011459</v>
      </c>
      <c r="AE315" s="179">
        <f t="shared" si="27"/>
        <v>9.6259731189209585</v>
      </c>
      <c r="AF315" s="179">
        <f t="shared" si="27"/>
        <v>8.2925046739675832</v>
      </c>
    </row>
    <row r="316" spans="2:32">
      <c r="B316" s="122">
        <f t="shared" si="28"/>
        <v>69549033</v>
      </c>
      <c r="C316" s="122" t="str">
        <f>VLOOKUP($B316,'Tech Litons'!$A:$I,3,0)</f>
        <v>TALENTI</v>
      </c>
      <c r="D316" s="122" t="str">
        <f>VLOOKUP($B316,'Tech Litons'!$A:$I,4,0)</f>
        <v>TALENTI</v>
      </c>
      <c r="E316" s="598" t="s">
        <v>479</v>
      </c>
      <c r="F316" s="598">
        <v>69549033</v>
      </c>
      <c r="G316" s="599">
        <v>3793.7081624039001</v>
      </c>
      <c r="H316" s="599">
        <v>2898.9804453348702</v>
      </c>
      <c r="I316" s="599">
        <v>3553.9884669186799</v>
      </c>
      <c r="J316" s="599">
        <v>2930.6910964036501</v>
      </c>
      <c r="K316" s="599">
        <v>3944.81835111992</v>
      </c>
      <c r="L316" s="599">
        <v>4155.4787925767796</v>
      </c>
      <c r="M316" s="599">
        <v>3126.5904710478999</v>
      </c>
      <c r="N316" s="599">
        <v>2986.3884993173501</v>
      </c>
      <c r="O316" s="599">
        <v>3056.49195444619</v>
      </c>
      <c r="P316" s="599">
        <v>3040.2894191167402</v>
      </c>
      <c r="Q316" s="599">
        <v>2340.8692746407501</v>
      </c>
      <c r="R316" s="599">
        <v>2129.3582014746498</v>
      </c>
      <c r="S316" s="169">
        <f t="shared" si="25"/>
        <v>37957.653134801374</v>
      </c>
      <c r="T316" s="122">
        <f>VLOOKUP($B316,'Tech Litons'!$A:$I,9,0)</f>
        <v>255</v>
      </c>
      <c r="U316" s="179">
        <f t="shared" si="26"/>
        <v>14.877286911387843</v>
      </c>
      <c r="V316" s="179">
        <f t="shared" si="26"/>
        <v>11.3685507660191</v>
      </c>
      <c r="W316" s="179">
        <f t="shared" si="26"/>
        <v>13.937209674190902</v>
      </c>
      <c r="X316" s="179">
        <f t="shared" si="26"/>
        <v>11.492906260406471</v>
      </c>
      <c r="Y316" s="179">
        <f t="shared" si="26"/>
        <v>15.469875886744784</v>
      </c>
      <c r="Z316" s="179">
        <f t="shared" si="26"/>
        <v>16.295995265006979</v>
      </c>
      <c r="AA316" s="179">
        <f t="shared" si="29"/>
        <v>12.261139102148627</v>
      </c>
      <c r="AB316" s="179">
        <f t="shared" si="29"/>
        <v>11.711327448303333</v>
      </c>
      <c r="AC316" s="179">
        <f t="shared" si="29"/>
        <v>11.986242958612509</v>
      </c>
      <c r="AD316" s="179">
        <f t="shared" si="27"/>
        <v>11.922703604379373</v>
      </c>
      <c r="AE316" s="179">
        <f t="shared" si="27"/>
        <v>9.1798795083950981</v>
      </c>
      <c r="AF316" s="179">
        <f t="shared" si="27"/>
        <v>8.3504243195084307</v>
      </c>
    </row>
    <row r="317" spans="2:32">
      <c r="B317" s="122">
        <f t="shared" si="28"/>
        <v>64960652</v>
      </c>
      <c r="C317" s="122" t="str">
        <f>VLOOKUP($B317,'Tech Litons'!$A:$I,3,0)</f>
        <v>Yasso Sandwich</v>
      </c>
      <c r="D317" s="122" t="str">
        <f>VLOOKUP($B317,'Tech Litons'!$A:$I,4,0)</f>
        <v>Yasso Sandwich</v>
      </c>
      <c r="E317" s="598" t="s">
        <v>610</v>
      </c>
      <c r="F317" s="598">
        <v>64960652</v>
      </c>
      <c r="G317" s="600">
        <v>3028</v>
      </c>
      <c r="H317" s="599">
        <v>3205</v>
      </c>
      <c r="I317" s="599">
        <v>2844</v>
      </c>
      <c r="J317" s="599">
        <v>3135.5</v>
      </c>
      <c r="K317" s="599">
        <v>4682.5</v>
      </c>
      <c r="L317" s="599">
        <v>4789.5</v>
      </c>
      <c r="M317" s="599">
        <v>4138</v>
      </c>
      <c r="N317" s="599">
        <v>3431.5</v>
      </c>
      <c r="O317" s="599">
        <v>2626.5</v>
      </c>
      <c r="P317" s="599">
        <v>2455.5</v>
      </c>
      <c r="Q317" s="599">
        <v>1603.5</v>
      </c>
      <c r="R317" s="599">
        <v>1559</v>
      </c>
      <c r="S317" s="169">
        <f t="shared" si="25"/>
        <v>37498.5</v>
      </c>
      <c r="T317" s="122">
        <f>VLOOKUP($B317,'Tech Litons'!$A:$I,9,0)</f>
        <v>180</v>
      </c>
      <c r="U317" s="179">
        <f t="shared" si="26"/>
        <v>16.822222222222223</v>
      </c>
      <c r="V317" s="179">
        <f t="shared" si="26"/>
        <v>17.805555555555557</v>
      </c>
      <c r="W317" s="179">
        <f t="shared" si="26"/>
        <v>15.8</v>
      </c>
      <c r="X317" s="179">
        <f t="shared" si="26"/>
        <v>17.419444444444444</v>
      </c>
      <c r="Y317" s="179">
        <f t="shared" si="26"/>
        <v>26.013888888888889</v>
      </c>
      <c r="Z317" s="179">
        <f t="shared" si="26"/>
        <v>26.608333333333334</v>
      </c>
      <c r="AA317" s="179">
        <f t="shared" si="29"/>
        <v>22.988888888888887</v>
      </c>
      <c r="AB317" s="179">
        <f t="shared" si="29"/>
        <v>19.06388888888889</v>
      </c>
      <c r="AC317" s="179">
        <f t="shared" si="29"/>
        <v>14.591666666666667</v>
      </c>
      <c r="AD317" s="179">
        <f t="shared" si="27"/>
        <v>13.641666666666667</v>
      </c>
      <c r="AE317" s="179">
        <f t="shared" si="27"/>
        <v>8.9083333333333332</v>
      </c>
      <c r="AF317" s="179">
        <f t="shared" si="27"/>
        <v>8.6611111111111114</v>
      </c>
    </row>
    <row r="318" spans="2:32">
      <c r="B318" s="122">
        <f t="shared" si="28"/>
        <v>69565376</v>
      </c>
      <c r="C318" s="122" t="e">
        <f>VLOOKUP($B318,'Tech Litons'!$A:$I,3,0)</f>
        <v>#N/A</v>
      </c>
      <c r="D318" s="122" t="e">
        <f>VLOOKUP($B318,'Tech Litons'!$A:$I,4,0)</f>
        <v>#N/A</v>
      </c>
      <c r="E318" s="598" t="s">
        <v>939</v>
      </c>
      <c r="F318" s="598">
        <v>69565376</v>
      </c>
      <c r="G318" s="599">
        <v>2372.4752976903501</v>
      </c>
      <c r="H318" s="599">
        <v>3347.76095971317</v>
      </c>
      <c r="I318" s="599">
        <v>3091.0231845192998</v>
      </c>
      <c r="J318" s="599">
        <v>2998.8320070537702</v>
      </c>
      <c r="K318" s="599">
        <v>3134.00999794056</v>
      </c>
      <c r="L318" s="599">
        <v>3613.4652715821298</v>
      </c>
      <c r="M318" s="599">
        <v>3242.83655442998</v>
      </c>
      <c r="N318" s="599">
        <v>3064.5313841161501</v>
      </c>
      <c r="O318" s="599">
        <v>2885.5393145060698</v>
      </c>
      <c r="P318" s="599">
        <v>3130.2452902894001</v>
      </c>
      <c r="Q318" s="599">
        <v>2389.5676736492701</v>
      </c>
      <c r="R318" s="599">
        <v>2383.7561986534602</v>
      </c>
      <c r="S318" s="169">
        <f t="shared" si="25"/>
        <v>35654.043134143605</v>
      </c>
      <c r="T318" s="122" t="e">
        <f>VLOOKUP($B318,'Tech Litons'!$A:$I,9,0)</f>
        <v>#N/A</v>
      </c>
      <c r="U318" s="179" t="e">
        <f t="shared" si="26"/>
        <v>#N/A</v>
      </c>
      <c r="V318" s="179" t="e">
        <f t="shared" si="26"/>
        <v>#N/A</v>
      </c>
      <c r="W318" s="179" t="e">
        <f t="shared" si="26"/>
        <v>#N/A</v>
      </c>
      <c r="X318" s="179" t="e">
        <f t="shared" si="26"/>
        <v>#N/A</v>
      </c>
      <c r="Y318" s="179" t="e">
        <f t="shared" si="26"/>
        <v>#N/A</v>
      </c>
      <c r="Z318" s="179" t="e">
        <f t="shared" si="26"/>
        <v>#N/A</v>
      </c>
      <c r="AA318" s="179" t="e">
        <f t="shared" si="29"/>
        <v>#N/A</v>
      </c>
      <c r="AB318" s="179" t="e">
        <f t="shared" si="29"/>
        <v>#N/A</v>
      </c>
      <c r="AC318" s="179" t="e">
        <f t="shared" si="29"/>
        <v>#N/A</v>
      </c>
      <c r="AD318" s="179" t="e">
        <f t="shared" si="27"/>
        <v>#N/A</v>
      </c>
      <c r="AE318" s="179" t="e">
        <f t="shared" si="27"/>
        <v>#N/A</v>
      </c>
      <c r="AF318" s="179" t="e">
        <f t="shared" si="27"/>
        <v>#N/A</v>
      </c>
    </row>
    <row r="319" spans="2:32">
      <c r="B319" s="122">
        <f t="shared" si="28"/>
        <v>84135799</v>
      </c>
      <c r="C319" s="122" t="str">
        <f>VLOOKUP($B319,'Tech Litons'!$A:$I,3,0)</f>
        <v>2.4 Gal</v>
      </c>
      <c r="D319" s="122" t="str">
        <f>VLOOKUP($B319,'Tech Litons'!$A:$I,4,0)</f>
        <v>2.4 Gal</v>
      </c>
      <c r="E319" s="598" t="s">
        <v>498</v>
      </c>
      <c r="F319" s="598">
        <v>84135799</v>
      </c>
      <c r="G319" s="599">
        <v>1744.2145908293801</v>
      </c>
      <c r="H319" s="599">
        <v>1636.7410189074201</v>
      </c>
      <c r="I319" s="599">
        <v>4593.8633825473298</v>
      </c>
      <c r="J319" s="599">
        <v>3554.80223458718</v>
      </c>
      <c r="K319" s="599">
        <v>3667.69342179762</v>
      </c>
      <c r="L319" s="599">
        <v>4561.6898830398104</v>
      </c>
      <c r="M319" s="599">
        <v>5100.2649599989099</v>
      </c>
      <c r="N319" s="599">
        <v>4928.3161478099901</v>
      </c>
      <c r="O319" s="599">
        <v>2579.5461281297098</v>
      </c>
      <c r="P319" s="599">
        <v>1189.9000087890199</v>
      </c>
      <c r="Q319" s="599">
        <v>996.68227413779005</v>
      </c>
      <c r="R319" s="599">
        <v>915.26475793112002</v>
      </c>
      <c r="S319" s="169">
        <f t="shared" si="25"/>
        <v>35468.978808505286</v>
      </c>
      <c r="T319" s="122">
        <f>VLOOKUP($B319,'Tech Litons'!$A:$I,9,0)</f>
        <v>125</v>
      </c>
      <c r="U319" s="179">
        <f t="shared" ref="U319:Z361" si="30">G319/$T319</f>
        <v>13.95371672663504</v>
      </c>
      <c r="V319" s="179">
        <f t="shared" si="30"/>
        <v>13.093928151259361</v>
      </c>
      <c r="W319" s="179">
        <f t="shared" si="30"/>
        <v>36.750907060378637</v>
      </c>
      <c r="X319" s="179">
        <f t="shared" si="30"/>
        <v>28.438417876697439</v>
      </c>
      <c r="Y319" s="179">
        <f t="shared" si="30"/>
        <v>29.341547374380959</v>
      </c>
      <c r="Z319" s="179">
        <f t="shared" si="30"/>
        <v>36.493519064318484</v>
      </c>
      <c r="AA319" s="179">
        <f t="shared" si="29"/>
        <v>40.802119679991279</v>
      </c>
      <c r="AB319" s="179">
        <f t="shared" si="29"/>
        <v>39.426529182479918</v>
      </c>
      <c r="AC319" s="179">
        <f t="shared" si="29"/>
        <v>20.636369025037677</v>
      </c>
      <c r="AD319" s="179">
        <f t="shared" si="27"/>
        <v>9.5192000703121593</v>
      </c>
      <c r="AE319" s="179">
        <f t="shared" si="27"/>
        <v>7.9734581931023207</v>
      </c>
      <c r="AF319" s="179">
        <f t="shared" si="27"/>
        <v>7.3221180634489604</v>
      </c>
    </row>
    <row r="320" spans="2:32">
      <c r="B320" s="122">
        <f t="shared" si="28"/>
        <v>68938274</v>
      </c>
      <c r="C320" s="122" t="e">
        <f>VLOOKUP($B320,'Tech Litons'!$A:$I,3,0)</f>
        <v>#N/A</v>
      </c>
      <c r="D320" s="122" t="e">
        <f>VLOOKUP($B320,'Tech Litons'!$A:$I,4,0)</f>
        <v>#N/A</v>
      </c>
      <c r="E320" s="598" t="s">
        <v>940</v>
      </c>
      <c r="F320" s="598">
        <v>68938274</v>
      </c>
      <c r="G320" s="599">
        <v>1935.61873071081</v>
      </c>
      <c r="H320" s="599">
        <v>2939.9768663202599</v>
      </c>
      <c r="I320" s="599">
        <v>3000.9378934026199</v>
      </c>
      <c r="J320" s="599">
        <v>2735.7881332346801</v>
      </c>
      <c r="K320" s="599">
        <v>2757.1793865323002</v>
      </c>
      <c r="L320" s="599">
        <v>3746.8412279858399</v>
      </c>
      <c r="M320" s="599">
        <v>3458.3212354832499</v>
      </c>
      <c r="N320" s="599">
        <v>3033.9400136050099</v>
      </c>
      <c r="O320" s="599">
        <v>3193.6779592233001</v>
      </c>
      <c r="P320" s="599">
        <v>2773.49931695646</v>
      </c>
      <c r="Q320" s="599">
        <v>2637.5262264954999</v>
      </c>
      <c r="R320" s="599">
        <v>2652.2700448263699</v>
      </c>
      <c r="S320" s="169">
        <f t="shared" si="25"/>
        <v>34865.577034776397</v>
      </c>
      <c r="T320" s="122" t="e">
        <f>VLOOKUP($B320,'Tech Litons'!$A:$I,9,0)</f>
        <v>#N/A</v>
      </c>
      <c r="U320" s="179" t="e">
        <f t="shared" si="30"/>
        <v>#N/A</v>
      </c>
      <c r="V320" s="179" t="e">
        <f t="shared" si="30"/>
        <v>#N/A</v>
      </c>
      <c r="W320" s="179" t="e">
        <f t="shared" si="30"/>
        <v>#N/A</v>
      </c>
      <c r="X320" s="179" t="e">
        <f t="shared" si="30"/>
        <v>#N/A</v>
      </c>
      <c r="Y320" s="179" t="e">
        <f t="shared" si="30"/>
        <v>#N/A</v>
      </c>
      <c r="Z320" s="179" t="e">
        <f t="shared" si="30"/>
        <v>#N/A</v>
      </c>
      <c r="AA320" s="179" t="e">
        <f t="shared" si="29"/>
        <v>#N/A</v>
      </c>
      <c r="AB320" s="179" t="e">
        <f t="shared" si="29"/>
        <v>#N/A</v>
      </c>
      <c r="AC320" s="179" t="e">
        <f t="shared" si="29"/>
        <v>#N/A</v>
      </c>
      <c r="AD320" s="179" t="e">
        <f t="shared" si="27"/>
        <v>#N/A</v>
      </c>
      <c r="AE320" s="179" t="e">
        <f t="shared" si="27"/>
        <v>#N/A</v>
      </c>
      <c r="AF320" s="179" t="e">
        <f t="shared" si="27"/>
        <v>#N/A</v>
      </c>
    </row>
    <row r="321" spans="2:32">
      <c r="B321" s="122">
        <f t="shared" si="28"/>
        <v>84135795</v>
      </c>
      <c r="C321" s="122" t="str">
        <f>VLOOKUP($B321,'Tech Litons'!$A:$I,3,0)</f>
        <v>2.4 Gal</v>
      </c>
      <c r="D321" s="122" t="str">
        <f>VLOOKUP($B321,'Tech Litons'!$A:$I,4,0)</f>
        <v>2.4 Gal</v>
      </c>
      <c r="E321" s="598" t="s">
        <v>497</v>
      </c>
      <c r="F321" s="598">
        <v>84135795</v>
      </c>
      <c r="G321" s="599">
        <v>1815.47390264111</v>
      </c>
      <c r="H321" s="599">
        <v>1514.83846479101</v>
      </c>
      <c r="I321" s="599">
        <v>4242.3718277703001</v>
      </c>
      <c r="J321" s="599">
        <v>3203.9206426762798</v>
      </c>
      <c r="K321" s="599">
        <v>3448.1271974647798</v>
      </c>
      <c r="L321" s="599">
        <v>4196.7668261993103</v>
      </c>
      <c r="M321" s="599">
        <v>4995.8972248814598</v>
      </c>
      <c r="N321" s="599">
        <v>4514.5017040092098</v>
      </c>
      <c r="O321" s="599">
        <v>2246.89704354891</v>
      </c>
      <c r="P321" s="599">
        <v>1515.7609626364599</v>
      </c>
      <c r="Q321" s="599">
        <v>1078.33497454038</v>
      </c>
      <c r="R321" s="599">
        <v>1084.4461439601</v>
      </c>
      <c r="S321" s="169">
        <f t="shared" si="25"/>
        <v>33857.336915119311</v>
      </c>
      <c r="T321" s="122">
        <f>VLOOKUP($B321,'Tech Litons'!$A:$I,9,0)</f>
        <v>125</v>
      </c>
      <c r="U321" s="179">
        <f t="shared" si="30"/>
        <v>14.52379122112888</v>
      </c>
      <c r="V321" s="179">
        <f t="shared" si="30"/>
        <v>12.11870771832808</v>
      </c>
      <c r="W321" s="179">
        <f t="shared" si="30"/>
        <v>33.938974622162398</v>
      </c>
      <c r="X321" s="179">
        <f t="shared" si="30"/>
        <v>25.631365141410239</v>
      </c>
      <c r="Y321" s="179">
        <f t="shared" si="30"/>
        <v>27.585017579718237</v>
      </c>
      <c r="Z321" s="179">
        <f t="shared" si="30"/>
        <v>33.574134609594481</v>
      </c>
      <c r="AA321" s="179">
        <f t="shared" si="29"/>
        <v>39.967177799051676</v>
      </c>
      <c r="AB321" s="179">
        <f t="shared" si="29"/>
        <v>36.116013632073681</v>
      </c>
      <c r="AC321" s="179">
        <f t="shared" si="29"/>
        <v>17.97517634839128</v>
      </c>
      <c r="AD321" s="179">
        <f t="shared" si="27"/>
        <v>12.126087701091679</v>
      </c>
      <c r="AE321" s="179">
        <f t="shared" si="27"/>
        <v>8.6266797963230406</v>
      </c>
      <c r="AF321" s="179">
        <f t="shared" si="27"/>
        <v>8.6755691516808007</v>
      </c>
    </row>
    <row r="322" spans="2:32">
      <c r="B322" s="122">
        <f t="shared" si="28"/>
        <v>64378129</v>
      </c>
      <c r="C322" s="122" t="str">
        <f>VLOOKUP($B322,'Tech Litons'!$A:$I,3,0)</f>
        <v>Other</v>
      </c>
      <c r="D322" s="122" t="str">
        <f>VLOOKUP($B322,'Tech Litons'!$A:$I,4,0)</f>
        <v>Other</v>
      </c>
      <c r="E322" s="286" t="s">
        <v>627</v>
      </c>
      <c r="F322" s="598">
        <v>64378129</v>
      </c>
      <c r="G322" s="599">
        <v>1714.5871251565</v>
      </c>
      <c r="H322" s="599">
        <v>2018.37430640056</v>
      </c>
      <c r="I322" s="599">
        <v>3106.9865095816299</v>
      </c>
      <c r="J322" s="599">
        <v>3347.2276666492899</v>
      </c>
      <c r="K322" s="599">
        <v>4144.54636162718</v>
      </c>
      <c r="L322" s="599">
        <v>4097.9980541164596</v>
      </c>
      <c r="M322" s="599">
        <v>4281.2907752316096</v>
      </c>
      <c r="N322" s="599">
        <v>3193.4487831945498</v>
      </c>
      <c r="O322" s="599">
        <v>2713.5863223104502</v>
      </c>
      <c r="P322" s="599">
        <v>1419.63380038076</v>
      </c>
      <c r="Q322" s="599">
        <v>1597.37120796298</v>
      </c>
      <c r="R322" s="599">
        <v>1540.18246065532</v>
      </c>
      <c r="S322" s="169">
        <f t="shared" si="25"/>
        <v>33175.233373267292</v>
      </c>
      <c r="T322" s="122">
        <f>VLOOKUP($B322,'Tech Litons'!$A:$I,9,0)</f>
        <v>110</v>
      </c>
      <c r="U322" s="179">
        <f t="shared" si="30"/>
        <v>15.587155683240908</v>
      </c>
      <c r="V322" s="179">
        <f t="shared" si="30"/>
        <v>18.348857330914182</v>
      </c>
      <c r="W322" s="179">
        <f t="shared" si="30"/>
        <v>28.245331905287543</v>
      </c>
      <c r="X322" s="179">
        <f t="shared" si="30"/>
        <v>30.429342424084453</v>
      </c>
      <c r="Y322" s="179">
        <f t="shared" si="30"/>
        <v>37.67769419661073</v>
      </c>
      <c r="Z322" s="179">
        <f t="shared" si="30"/>
        <v>37.254527764695084</v>
      </c>
      <c r="AA322" s="179">
        <f t="shared" si="29"/>
        <v>38.920825229378266</v>
      </c>
      <c r="AB322" s="179">
        <f t="shared" si="29"/>
        <v>29.031352574495909</v>
      </c>
      <c r="AC322" s="179">
        <f t="shared" si="29"/>
        <v>24.668966566458639</v>
      </c>
      <c r="AD322" s="179">
        <f t="shared" si="27"/>
        <v>12.905761821643273</v>
      </c>
      <c r="AE322" s="179">
        <f t="shared" si="27"/>
        <v>14.52155643602709</v>
      </c>
      <c r="AF322" s="179">
        <f t="shared" si="27"/>
        <v>14.001658733230181</v>
      </c>
    </row>
    <row r="323" spans="2:32">
      <c r="B323" s="122">
        <f t="shared" si="28"/>
        <v>68654232</v>
      </c>
      <c r="C323" s="122" t="str">
        <f>VLOOKUP($B323,'Tech Litons'!$A:$I,3,0)</f>
        <v>Dough Bites</v>
      </c>
      <c r="D323" s="122" t="str">
        <f>VLOOKUP($B323,'Tech Litons'!$A:$I,4,0)</f>
        <v>Dough Bites</v>
      </c>
      <c r="E323" s="598" t="s">
        <v>899</v>
      </c>
      <c r="F323" s="598">
        <v>68654232</v>
      </c>
      <c r="G323" s="600">
        <v>2914.79153796029</v>
      </c>
      <c r="H323" s="599">
        <v>2340.2151886505098</v>
      </c>
      <c r="I323" s="599">
        <v>2488.43357390337</v>
      </c>
      <c r="J323" s="599">
        <v>4117.1129441188205</v>
      </c>
      <c r="K323" s="599">
        <v>2823.8187478832401</v>
      </c>
      <c r="L323" s="599">
        <v>2755.1787552185701</v>
      </c>
      <c r="M323" s="599">
        <v>2845.23745530519</v>
      </c>
      <c r="N323" s="599">
        <v>2454.5787991134798</v>
      </c>
      <c r="O323" s="599">
        <v>2203.8435694957102</v>
      </c>
      <c r="P323" s="599">
        <v>2820.2326554646402</v>
      </c>
      <c r="Q323" s="599">
        <v>2578.86</v>
      </c>
      <c r="R323" s="599">
        <v>2673.21</v>
      </c>
      <c r="S323" s="169">
        <f t="shared" si="25"/>
        <v>33015.513227113821</v>
      </c>
      <c r="T323" s="122">
        <f>VLOOKUP($B323,'Tech Litons'!$A:$I,9,0)</f>
        <v>256</v>
      </c>
      <c r="U323" s="179">
        <f t="shared" si="30"/>
        <v>11.385904445157383</v>
      </c>
      <c r="V323" s="179">
        <f t="shared" si="30"/>
        <v>9.1414655806660541</v>
      </c>
      <c r="W323" s="179">
        <f t="shared" si="30"/>
        <v>9.7204436480600389</v>
      </c>
      <c r="X323" s="179">
        <f t="shared" si="30"/>
        <v>16.082472437964142</v>
      </c>
      <c r="Y323" s="179">
        <f t="shared" si="30"/>
        <v>11.030541983918907</v>
      </c>
      <c r="Z323" s="179">
        <f t="shared" si="30"/>
        <v>10.76241701257254</v>
      </c>
      <c r="AA323" s="179">
        <f t="shared" si="29"/>
        <v>11.114208809785898</v>
      </c>
      <c r="AB323" s="179">
        <f t="shared" si="29"/>
        <v>9.5881984340370305</v>
      </c>
      <c r="AC323" s="179">
        <f t="shared" si="29"/>
        <v>8.608763943342618</v>
      </c>
      <c r="AD323" s="179">
        <f t="shared" si="27"/>
        <v>11.016533810408751</v>
      </c>
      <c r="AE323" s="179">
        <f t="shared" si="27"/>
        <v>10.073671875</v>
      </c>
      <c r="AF323" s="179">
        <f t="shared" si="27"/>
        <v>10.4422265625</v>
      </c>
    </row>
    <row r="324" spans="2:32">
      <c r="B324" s="122">
        <f t="shared" si="28"/>
        <v>84163503</v>
      </c>
      <c r="C324" s="122" t="str">
        <f>VLOOKUP($B324,'Tech Litons'!$A:$I,3,0)</f>
        <v>BJ PTS</v>
      </c>
      <c r="D324" s="122" t="str">
        <f>VLOOKUP($B324,'Tech Litons'!$A:$I,4,0)</f>
        <v>BJ PTS</v>
      </c>
      <c r="E324" s="598" t="s">
        <v>517</v>
      </c>
      <c r="F324" s="598">
        <v>84163503</v>
      </c>
      <c r="G324" s="599">
        <v>1611.1727383622699</v>
      </c>
      <c r="H324" s="599">
        <v>2784.5101916660701</v>
      </c>
      <c r="I324" s="599">
        <v>2960.8744896522498</v>
      </c>
      <c r="J324" s="599">
        <v>2882.3908834774502</v>
      </c>
      <c r="K324" s="599">
        <v>2961.0658310634099</v>
      </c>
      <c r="L324" s="599">
        <v>4375.1624054027197</v>
      </c>
      <c r="M324" s="599">
        <v>2638.0474665029401</v>
      </c>
      <c r="N324" s="599">
        <v>2765.5242920213</v>
      </c>
      <c r="O324" s="599">
        <v>2291.8577717394901</v>
      </c>
      <c r="P324" s="599">
        <v>2237.4288346147</v>
      </c>
      <c r="Q324" s="599">
        <v>1775.4596839764599</v>
      </c>
      <c r="R324" s="599">
        <v>1758.2106886531201</v>
      </c>
      <c r="S324" s="169">
        <f t="shared" ref="S324:S372" si="31">SUM(G324:R324)</f>
        <v>31041.705277132176</v>
      </c>
      <c r="T324" s="122">
        <f>VLOOKUP($B324,'Tech Litons'!$A:$I,9,0)</f>
        <v>240</v>
      </c>
      <c r="U324" s="179">
        <f t="shared" si="30"/>
        <v>6.7132197431761247</v>
      </c>
      <c r="V324" s="179">
        <f t="shared" si="30"/>
        <v>11.602125798608625</v>
      </c>
      <c r="W324" s="179">
        <f t="shared" si="30"/>
        <v>12.336977040217707</v>
      </c>
      <c r="X324" s="179">
        <f t="shared" si="30"/>
        <v>12.009962014489377</v>
      </c>
      <c r="Y324" s="179">
        <f t="shared" si="30"/>
        <v>12.337774296097541</v>
      </c>
      <c r="Z324" s="179">
        <f t="shared" si="30"/>
        <v>18.229843355844665</v>
      </c>
      <c r="AA324" s="179">
        <f t="shared" si="29"/>
        <v>10.99186444376225</v>
      </c>
      <c r="AB324" s="179">
        <f t="shared" si="29"/>
        <v>11.523017883422083</v>
      </c>
      <c r="AC324" s="179">
        <f t="shared" si="29"/>
        <v>9.5494073822478747</v>
      </c>
      <c r="AD324" s="179">
        <f t="shared" si="27"/>
        <v>9.3226201442279173</v>
      </c>
      <c r="AE324" s="179">
        <f t="shared" si="27"/>
        <v>7.3977486832352497</v>
      </c>
      <c r="AF324" s="179">
        <f t="shared" si="27"/>
        <v>7.325877869388</v>
      </c>
    </row>
    <row r="325" spans="2:32">
      <c r="B325" s="122">
        <f t="shared" si="28"/>
        <v>68188512</v>
      </c>
      <c r="C325" s="122" t="e">
        <f>VLOOKUP($B325,'Tech Litons'!$A:$I,3,0)</f>
        <v>#N/A</v>
      </c>
      <c r="D325" s="122" t="e">
        <f>VLOOKUP($B325,'Tech Litons'!$A:$I,4,0)</f>
        <v>#N/A</v>
      </c>
      <c r="E325" s="598" t="s">
        <v>938</v>
      </c>
      <c r="F325" s="598">
        <v>68188512</v>
      </c>
      <c r="G325" s="599">
        <v>2299.8997292212798</v>
      </c>
      <c r="H325" s="599">
        <v>2453.6978004228499</v>
      </c>
      <c r="I325" s="599">
        <v>2847.2460721862999</v>
      </c>
      <c r="J325" s="599">
        <v>2545.7568696334702</v>
      </c>
      <c r="K325" s="599">
        <v>2697.31024036703</v>
      </c>
      <c r="L325" s="599">
        <v>3271.5844191789902</v>
      </c>
      <c r="M325" s="599">
        <v>2569.3335090579699</v>
      </c>
      <c r="N325" s="599">
        <v>2411.9129031194402</v>
      </c>
      <c r="O325" s="599">
        <v>2368.3749895361798</v>
      </c>
      <c r="P325" s="599">
        <v>2238.9804645138802</v>
      </c>
      <c r="Q325" s="599">
        <v>2149.1648426575298</v>
      </c>
      <c r="R325" s="599">
        <v>2253.4149109002901</v>
      </c>
      <c r="S325" s="169">
        <f t="shared" si="31"/>
        <v>30106.67675079521</v>
      </c>
      <c r="T325" s="122" t="e">
        <f>VLOOKUP($B325,'Tech Litons'!$A:$I,9,0)</f>
        <v>#N/A</v>
      </c>
      <c r="U325" s="179" t="e">
        <f t="shared" si="30"/>
        <v>#N/A</v>
      </c>
      <c r="V325" s="179" t="e">
        <f t="shared" si="30"/>
        <v>#N/A</v>
      </c>
      <c r="W325" s="179" t="e">
        <f t="shared" si="30"/>
        <v>#N/A</v>
      </c>
      <c r="X325" s="179" t="e">
        <f t="shared" si="30"/>
        <v>#N/A</v>
      </c>
      <c r="Y325" s="179" t="e">
        <f t="shared" si="30"/>
        <v>#N/A</v>
      </c>
      <c r="Z325" s="179" t="e">
        <f t="shared" si="30"/>
        <v>#N/A</v>
      </c>
      <c r="AA325" s="179" t="e">
        <f t="shared" si="29"/>
        <v>#N/A</v>
      </c>
      <c r="AB325" s="179" t="e">
        <f t="shared" si="29"/>
        <v>#N/A</v>
      </c>
      <c r="AC325" s="179" t="e">
        <f t="shared" si="29"/>
        <v>#N/A</v>
      </c>
      <c r="AD325" s="179" t="e">
        <f t="shared" si="27"/>
        <v>#N/A</v>
      </c>
      <c r="AE325" s="179" t="e">
        <f t="shared" si="27"/>
        <v>#N/A</v>
      </c>
      <c r="AF325" s="179" t="e">
        <f t="shared" si="27"/>
        <v>#N/A</v>
      </c>
    </row>
    <row r="326" spans="2:32">
      <c r="B326" s="122">
        <f t="shared" si="28"/>
        <v>64326407</v>
      </c>
      <c r="C326" s="122" t="str">
        <f>VLOOKUP($B326,'Tech Litons'!$A:$I,3,0)</f>
        <v>Yasso Poppables</v>
      </c>
      <c r="D326" s="122" t="str">
        <f>VLOOKUP($B326,'Tech Litons'!$A:$I,4,0)</f>
        <v>Yasso Poppables</v>
      </c>
      <c r="E326" s="598" t="s">
        <v>579</v>
      </c>
      <c r="F326" s="598">
        <v>64326407</v>
      </c>
      <c r="G326" s="599">
        <v>1654.2505151238699</v>
      </c>
      <c r="H326" s="599">
        <v>1739.55057976837</v>
      </c>
      <c r="I326" s="599">
        <v>2508.4067815830299</v>
      </c>
      <c r="J326" s="599">
        <v>3496.6292931308299</v>
      </c>
      <c r="K326" s="599">
        <v>2607.6248510004898</v>
      </c>
      <c r="L326" s="599">
        <v>2295.10083568251</v>
      </c>
      <c r="M326" s="599">
        <v>3412.72884324805</v>
      </c>
      <c r="N326" s="599">
        <v>2860.9330475237098</v>
      </c>
      <c r="O326" s="599">
        <v>2880.8417054655301</v>
      </c>
      <c r="P326" s="599">
        <v>1765.1022875303599</v>
      </c>
      <c r="Q326" s="599">
        <v>1708.38420723897</v>
      </c>
      <c r="R326" s="599">
        <v>1742.2094811008601</v>
      </c>
      <c r="S326" s="169">
        <f t="shared" si="31"/>
        <v>28671.762428396582</v>
      </c>
      <c r="T326" s="122">
        <f>VLOOKUP($B326,'Tech Litons'!$A:$I,9,0)</f>
        <v>200</v>
      </c>
      <c r="U326" s="179">
        <f t="shared" si="30"/>
        <v>8.27125257561935</v>
      </c>
      <c r="V326" s="179">
        <f t="shared" si="30"/>
        <v>8.6977528988418502</v>
      </c>
      <c r="W326" s="179">
        <f t="shared" si="30"/>
        <v>12.542033907915149</v>
      </c>
      <c r="X326" s="179">
        <f t="shared" si="30"/>
        <v>17.483146465654148</v>
      </c>
      <c r="Y326" s="179">
        <f t="shared" si="30"/>
        <v>13.038124255002449</v>
      </c>
      <c r="Z326" s="179">
        <f t="shared" si="30"/>
        <v>11.47550417841255</v>
      </c>
      <c r="AA326" s="179">
        <f t="shared" si="29"/>
        <v>17.063644216240249</v>
      </c>
      <c r="AB326" s="179">
        <f t="shared" si="29"/>
        <v>14.304665237618549</v>
      </c>
      <c r="AC326" s="179">
        <f t="shared" si="29"/>
        <v>14.404208527327651</v>
      </c>
      <c r="AD326" s="179">
        <f t="shared" si="27"/>
        <v>8.8255114376517998</v>
      </c>
      <c r="AE326" s="179">
        <f t="shared" si="27"/>
        <v>8.5419210361948501</v>
      </c>
      <c r="AF326" s="179">
        <f t="shared" si="27"/>
        <v>8.711047405504301</v>
      </c>
    </row>
    <row r="327" spans="2:32">
      <c r="B327" s="122">
        <f t="shared" si="28"/>
        <v>84164939</v>
      </c>
      <c r="C327" s="122" t="str">
        <f>VLOOKUP($B327,'Tech Litons'!$A:$I,3,0)</f>
        <v>2.4 Gal</v>
      </c>
      <c r="D327" s="122" t="str">
        <f>VLOOKUP($B327,'Tech Litons'!$A:$I,4,0)</f>
        <v>2.4 Gal</v>
      </c>
      <c r="E327" s="598" t="s">
        <v>399</v>
      </c>
      <c r="F327" s="598">
        <v>84164939</v>
      </c>
      <c r="G327" s="599">
        <v>1474.72558910157</v>
      </c>
      <c r="H327" s="599">
        <v>1161.1463587205401</v>
      </c>
      <c r="I327" s="599">
        <v>3343.0221985958201</v>
      </c>
      <c r="J327" s="599">
        <v>2859.9156692740798</v>
      </c>
      <c r="K327" s="599">
        <v>3020.3620222680102</v>
      </c>
      <c r="L327" s="599">
        <v>3545.8006682765499</v>
      </c>
      <c r="M327" s="599">
        <v>3919.55656487841</v>
      </c>
      <c r="N327" s="599">
        <v>3560.1698070318598</v>
      </c>
      <c r="O327" s="599">
        <v>1520.5097979727</v>
      </c>
      <c r="P327" s="599">
        <v>1114.0529485004299</v>
      </c>
      <c r="Q327" s="599">
        <v>890.16893752602698</v>
      </c>
      <c r="R327" s="599">
        <v>751.57180505593794</v>
      </c>
      <c r="S327" s="169">
        <f t="shared" si="31"/>
        <v>27161.002367201934</v>
      </c>
      <c r="T327" s="122">
        <f>VLOOKUP($B327,'Tech Litons'!$A:$I,9,0)</f>
        <v>125</v>
      </c>
      <c r="U327" s="179">
        <f t="shared" si="30"/>
        <v>11.79780471281256</v>
      </c>
      <c r="V327" s="179">
        <f t="shared" si="30"/>
        <v>9.2891708697643214</v>
      </c>
      <c r="W327" s="179">
        <f t="shared" si="30"/>
        <v>26.744177588766561</v>
      </c>
      <c r="X327" s="179">
        <f t="shared" si="30"/>
        <v>22.879325354192638</v>
      </c>
      <c r="Y327" s="179">
        <f t="shared" si="30"/>
        <v>24.162896178144081</v>
      </c>
      <c r="Z327" s="179">
        <f t="shared" si="30"/>
        <v>28.3664053462124</v>
      </c>
      <c r="AA327" s="179">
        <f t="shared" si="29"/>
        <v>31.356452519027279</v>
      </c>
      <c r="AB327" s="179">
        <f t="shared" si="29"/>
        <v>28.481358456254878</v>
      </c>
      <c r="AC327" s="179">
        <f t="shared" si="29"/>
        <v>12.1640783837816</v>
      </c>
      <c r="AD327" s="179">
        <f t="shared" si="27"/>
        <v>8.9124235880034401</v>
      </c>
      <c r="AE327" s="179">
        <f t="shared" si="27"/>
        <v>7.1213515002082159</v>
      </c>
      <c r="AF327" s="179">
        <f t="shared" si="27"/>
        <v>6.0125744404475032</v>
      </c>
    </row>
    <row r="328" spans="2:32">
      <c r="B328" s="122">
        <f t="shared" si="28"/>
        <v>84135794</v>
      </c>
      <c r="C328" s="122" t="str">
        <f>VLOOKUP($B328,'Tech Litons'!$A:$I,3,0)</f>
        <v>2.4 Gal</v>
      </c>
      <c r="D328" s="122" t="str">
        <f>VLOOKUP($B328,'Tech Litons'!$A:$I,4,0)</f>
        <v>2.4 Gal</v>
      </c>
      <c r="E328" s="598" t="s">
        <v>532</v>
      </c>
      <c r="F328" s="598">
        <v>84135794</v>
      </c>
      <c r="G328" s="599">
        <v>1321.21442175061</v>
      </c>
      <c r="H328" s="599">
        <v>1108.59237273544</v>
      </c>
      <c r="I328" s="599">
        <v>3489.5427266079801</v>
      </c>
      <c r="J328" s="599">
        <v>2630.4085851090899</v>
      </c>
      <c r="K328" s="599">
        <v>2576.1542318903698</v>
      </c>
      <c r="L328" s="599">
        <v>3271.27691022419</v>
      </c>
      <c r="M328" s="599">
        <v>3857.56450708583</v>
      </c>
      <c r="N328" s="599">
        <v>3520.61134397252</v>
      </c>
      <c r="O328" s="599">
        <v>1759.8279117879399</v>
      </c>
      <c r="P328" s="599">
        <v>1103.4971334078</v>
      </c>
      <c r="Q328" s="599">
        <v>745.21568544419904</v>
      </c>
      <c r="R328" s="599">
        <v>743.34531558559195</v>
      </c>
      <c r="S328" s="169">
        <f t="shared" si="31"/>
        <v>26127.251145601564</v>
      </c>
      <c r="T328" s="122">
        <f>VLOOKUP($B328,'Tech Litons'!$A:$I,9,0)</f>
        <v>125</v>
      </c>
      <c r="U328" s="179">
        <f t="shared" si="30"/>
        <v>10.569715374004879</v>
      </c>
      <c r="V328" s="179">
        <f t="shared" si="30"/>
        <v>8.8687389818835207</v>
      </c>
      <c r="W328" s="179">
        <f t="shared" si="30"/>
        <v>27.916341812863841</v>
      </c>
      <c r="X328" s="179">
        <f t="shared" si="30"/>
        <v>21.043268680872721</v>
      </c>
      <c r="Y328" s="179">
        <f t="shared" si="30"/>
        <v>20.609233855122959</v>
      </c>
      <c r="Z328" s="179">
        <f t="shared" si="30"/>
        <v>26.170215281793521</v>
      </c>
      <c r="AA328" s="179">
        <f t="shared" si="29"/>
        <v>30.860516056686638</v>
      </c>
      <c r="AB328" s="179">
        <f t="shared" si="29"/>
        <v>28.16489075178016</v>
      </c>
      <c r="AC328" s="179">
        <f t="shared" si="29"/>
        <v>14.078623294303519</v>
      </c>
      <c r="AD328" s="179">
        <f t="shared" si="27"/>
        <v>8.8279770672624007</v>
      </c>
      <c r="AE328" s="179">
        <f t="shared" si="27"/>
        <v>5.9617254835535922</v>
      </c>
      <c r="AF328" s="179">
        <f t="shared" si="27"/>
        <v>5.9467625246847353</v>
      </c>
    </row>
    <row r="329" spans="2:32">
      <c r="B329" s="122">
        <f t="shared" si="28"/>
        <v>84141037</v>
      </c>
      <c r="C329" s="122" t="str">
        <f>VLOOKUP($B329,'Tech Litons'!$A:$I,3,0)</f>
        <v>2.4 Gal</v>
      </c>
      <c r="D329" s="122" t="str">
        <f>VLOOKUP($B329,'Tech Litons'!$A:$I,4,0)</f>
        <v>2.4 Gal</v>
      </c>
      <c r="E329" s="598" t="s">
        <v>377</v>
      </c>
      <c r="F329" s="598">
        <v>84141037</v>
      </c>
      <c r="G329" s="599">
        <v>1439.90637023054</v>
      </c>
      <c r="H329" s="599">
        <v>1183.3915673802401</v>
      </c>
      <c r="I329" s="599">
        <v>3423.2549012259301</v>
      </c>
      <c r="J329" s="599">
        <v>2753.8206064248502</v>
      </c>
      <c r="K329" s="599">
        <v>2447.3682997912201</v>
      </c>
      <c r="L329" s="599">
        <v>3387.29436226189</v>
      </c>
      <c r="M329" s="599">
        <v>3687.4710318799098</v>
      </c>
      <c r="N329" s="599">
        <v>3729.5071808901098</v>
      </c>
      <c r="O329" s="599">
        <v>1777.01641885347</v>
      </c>
      <c r="P329" s="599">
        <v>930.71058364160103</v>
      </c>
      <c r="Q329" s="599">
        <v>733.65823281206406</v>
      </c>
      <c r="R329" s="599">
        <v>623.03558492898003</v>
      </c>
      <c r="S329" s="169">
        <f t="shared" si="31"/>
        <v>26116.435140320806</v>
      </c>
      <c r="T329" s="122">
        <f>VLOOKUP($B329,'Tech Litons'!$A:$I,9,0)</f>
        <v>125</v>
      </c>
      <c r="U329" s="179">
        <f t="shared" si="30"/>
        <v>11.519250961844319</v>
      </c>
      <c r="V329" s="179">
        <f t="shared" si="30"/>
        <v>9.4671325390419199</v>
      </c>
      <c r="W329" s="179">
        <f t="shared" si="30"/>
        <v>27.386039209807439</v>
      </c>
      <c r="X329" s="179">
        <f t="shared" si="30"/>
        <v>22.0305648513988</v>
      </c>
      <c r="Y329" s="179">
        <f t="shared" si="30"/>
        <v>19.578946398329762</v>
      </c>
      <c r="Z329" s="179">
        <f t="shared" si="30"/>
        <v>27.098354898095121</v>
      </c>
      <c r="AA329" s="179">
        <f t="shared" si="29"/>
        <v>29.499768255039278</v>
      </c>
      <c r="AB329" s="179">
        <f t="shared" si="29"/>
        <v>29.836057447120879</v>
      </c>
      <c r="AC329" s="179">
        <f t="shared" si="29"/>
        <v>14.21613135082776</v>
      </c>
      <c r="AD329" s="179">
        <f t="shared" si="27"/>
        <v>7.4456846691328087</v>
      </c>
      <c r="AE329" s="179">
        <f t="shared" si="27"/>
        <v>5.8692658624965128</v>
      </c>
      <c r="AF329" s="179">
        <f t="shared" si="27"/>
        <v>4.9842846794318403</v>
      </c>
    </row>
    <row r="330" spans="2:32">
      <c r="B330" s="122">
        <f t="shared" si="28"/>
        <v>69665114</v>
      </c>
      <c r="C330" s="122" t="str">
        <f>VLOOKUP($B330,'Tech Litons'!$A:$I,3,0)</f>
        <v>Dough Bites</v>
      </c>
      <c r="D330" s="122" t="str">
        <f>VLOOKUP($B330,'Tech Litons'!$A:$I,4,0)</f>
        <v>Dough Bites</v>
      </c>
      <c r="E330" s="598" t="s">
        <v>898</v>
      </c>
      <c r="F330" s="598">
        <v>69665114</v>
      </c>
      <c r="G330" s="599">
        <v>1732.14539811789</v>
      </c>
      <c r="H330" s="599">
        <v>1791.8858770945999</v>
      </c>
      <c r="I330" s="599">
        <v>2255.2645190411199</v>
      </c>
      <c r="J330" s="599">
        <v>2982.2245491728099</v>
      </c>
      <c r="K330" s="599">
        <v>1669.00565290175</v>
      </c>
      <c r="L330" s="599">
        <v>1857.7830245187299</v>
      </c>
      <c r="M330" s="599">
        <v>2200.06754088871</v>
      </c>
      <c r="N330" s="599">
        <v>2415.4290331992702</v>
      </c>
      <c r="O330" s="599">
        <v>1990.58920714225</v>
      </c>
      <c r="P330" s="599">
        <v>2456.0896594564201</v>
      </c>
      <c r="Q330" s="599">
        <v>2548.02</v>
      </c>
      <c r="R330" s="599">
        <v>2215.87</v>
      </c>
      <c r="S330" s="169">
        <f t="shared" si="31"/>
        <v>26114.374461533553</v>
      </c>
      <c r="T330" s="122">
        <f>VLOOKUP($B330,'Tech Litons'!$A:$I,9,0)</f>
        <v>256</v>
      </c>
      <c r="U330" s="179">
        <f t="shared" si="30"/>
        <v>6.7661929613980076</v>
      </c>
      <c r="V330" s="179">
        <f t="shared" si="30"/>
        <v>6.9995542074007808</v>
      </c>
      <c r="W330" s="179">
        <f t="shared" si="30"/>
        <v>8.8096270275043747</v>
      </c>
      <c r="X330" s="179">
        <f t="shared" si="30"/>
        <v>11.649314645206289</v>
      </c>
      <c r="Y330" s="179">
        <f t="shared" si="30"/>
        <v>6.5195533316474608</v>
      </c>
      <c r="Z330" s="179">
        <f t="shared" si="30"/>
        <v>7.2569649395262887</v>
      </c>
      <c r="AA330" s="179">
        <f t="shared" si="29"/>
        <v>8.5940138315965235</v>
      </c>
      <c r="AB330" s="179">
        <f t="shared" si="29"/>
        <v>9.4352696609346491</v>
      </c>
      <c r="AC330" s="179">
        <f t="shared" si="29"/>
        <v>7.7757390903994139</v>
      </c>
      <c r="AD330" s="179">
        <f t="shared" si="27"/>
        <v>9.5941002322516411</v>
      </c>
      <c r="AE330" s="179">
        <f t="shared" si="27"/>
        <v>9.9532031249999999</v>
      </c>
      <c r="AF330" s="179">
        <f t="shared" si="27"/>
        <v>8.6557421874999996</v>
      </c>
    </row>
    <row r="331" spans="2:32">
      <c r="B331" s="122">
        <f t="shared" si="28"/>
        <v>69705264</v>
      </c>
      <c r="C331" s="122" t="e">
        <f>VLOOKUP($B331,'Tech Litons'!$A:$I,3,0)</f>
        <v>#N/A</v>
      </c>
      <c r="D331" s="122" t="e">
        <f>VLOOKUP($B331,'Tech Litons'!$A:$I,4,0)</f>
        <v>#N/A</v>
      </c>
      <c r="E331" s="286" t="s">
        <v>605</v>
      </c>
      <c r="F331" s="598">
        <v>69705264</v>
      </c>
      <c r="G331" s="599">
        <v>1899.45</v>
      </c>
      <c r="H331" s="599">
        <v>1930.88</v>
      </c>
      <c r="I331" s="599">
        <v>1871.44</v>
      </c>
      <c r="J331" s="599">
        <v>1897.88</v>
      </c>
      <c r="K331" s="599">
        <v>3583.12</v>
      </c>
      <c r="L331" s="599">
        <v>2329.71</v>
      </c>
      <c r="M331" s="599">
        <v>3365.84</v>
      </c>
      <c r="N331" s="599">
        <v>2061.16</v>
      </c>
      <c r="O331" s="599">
        <v>1553.87</v>
      </c>
      <c r="P331" s="599">
        <v>2336.16</v>
      </c>
      <c r="Q331" s="599">
        <v>1637.45</v>
      </c>
      <c r="R331" s="599">
        <v>1464.6</v>
      </c>
      <c r="S331" s="169">
        <f t="shared" si="31"/>
        <v>25931.559999999998</v>
      </c>
      <c r="T331" s="122" t="e">
        <f>VLOOKUP($B331,'Tech Litons'!$A:$I,9,0)</f>
        <v>#N/A</v>
      </c>
      <c r="U331" s="179" t="e">
        <f t="shared" si="30"/>
        <v>#N/A</v>
      </c>
      <c r="V331" s="179" t="e">
        <f t="shared" si="30"/>
        <v>#N/A</v>
      </c>
      <c r="W331" s="179" t="e">
        <f t="shared" si="30"/>
        <v>#N/A</v>
      </c>
      <c r="X331" s="179" t="e">
        <f t="shared" si="30"/>
        <v>#N/A</v>
      </c>
      <c r="Y331" s="179" t="e">
        <f t="shared" si="30"/>
        <v>#N/A</v>
      </c>
      <c r="Z331" s="179" t="e">
        <f t="shared" si="30"/>
        <v>#N/A</v>
      </c>
      <c r="AA331" s="179" t="e">
        <f t="shared" si="29"/>
        <v>#N/A</v>
      </c>
      <c r="AB331" s="179" t="e">
        <f t="shared" si="29"/>
        <v>#N/A</v>
      </c>
      <c r="AC331" s="179" t="e">
        <f t="shared" si="29"/>
        <v>#N/A</v>
      </c>
      <c r="AD331" s="179" t="e">
        <f t="shared" si="29"/>
        <v>#N/A</v>
      </c>
      <c r="AE331" s="179" t="e">
        <f t="shared" si="29"/>
        <v>#N/A</v>
      </c>
      <c r="AF331" s="179" t="e">
        <f t="shared" si="29"/>
        <v>#N/A</v>
      </c>
    </row>
    <row r="332" spans="2:32">
      <c r="B332" s="122">
        <f t="shared" si="28"/>
        <v>64369052</v>
      </c>
      <c r="C332" s="122" t="str">
        <f>VLOOKUP($B332,'Tech Litons'!$A:$I,3,0)</f>
        <v>KL Mini Cones</v>
      </c>
      <c r="D332" s="122" t="str">
        <f>VLOOKUP($B332,'Tech Litons'!$A:$I,4,0)</f>
        <v>KL Mini Cones</v>
      </c>
      <c r="E332" s="598" t="s">
        <v>1103</v>
      </c>
      <c r="F332" s="598">
        <v>64369052</v>
      </c>
      <c r="G332" s="599">
        <v>4531.0000126123005</v>
      </c>
      <c r="H332" s="599">
        <v>0</v>
      </c>
      <c r="I332" s="599">
        <v>1700.49034053685</v>
      </c>
      <c r="J332" s="599">
        <v>0</v>
      </c>
      <c r="K332" s="599">
        <v>1864.33304487036</v>
      </c>
      <c r="L332" s="599">
        <v>5283.3078724652596</v>
      </c>
      <c r="M332" s="599">
        <v>4073.4461367105901</v>
      </c>
      <c r="N332" s="599">
        <v>2276.4454519005099</v>
      </c>
      <c r="O332" s="599">
        <v>2213.9526800183999</v>
      </c>
      <c r="P332" s="599">
        <v>1100.4520798342701</v>
      </c>
      <c r="Q332" s="599">
        <v>263.62775158113999</v>
      </c>
      <c r="R332" s="599">
        <v>552.23329551125698</v>
      </c>
      <c r="S332" s="169">
        <f t="shared" si="31"/>
        <v>23859.288666040939</v>
      </c>
      <c r="T332" s="122">
        <f>VLOOKUP($B332,'Tech Litons'!$A:$I,9,0)</f>
        <v>120</v>
      </c>
      <c r="U332" s="179">
        <f t="shared" si="30"/>
        <v>37.758333438435834</v>
      </c>
      <c r="V332" s="179">
        <f t="shared" si="30"/>
        <v>0</v>
      </c>
      <c r="W332" s="179">
        <f t="shared" si="30"/>
        <v>14.170752837807083</v>
      </c>
      <c r="X332" s="179">
        <f t="shared" si="30"/>
        <v>0</v>
      </c>
      <c r="Y332" s="179">
        <f t="shared" si="30"/>
        <v>15.536108707253</v>
      </c>
      <c r="Z332" s="179">
        <f t="shared" si="30"/>
        <v>44.027565603877164</v>
      </c>
      <c r="AA332" s="179">
        <f t="shared" si="29"/>
        <v>33.945384472588252</v>
      </c>
      <c r="AB332" s="179">
        <f t="shared" si="29"/>
        <v>18.970378765837584</v>
      </c>
      <c r="AC332" s="179">
        <f t="shared" si="29"/>
        <v>18.449605666819998</v>
      </c>
      <c r="AD332" s="179">
        <f t="shared" si="29"/>
        <v>9.1704339986189165</v>
      </c>
      <c r="AE332" s="179">
        <f t="shared" si="29"/>
        <v>2.1968979298428333</v>
      </c>
      <c r="AF332" s="179">
        <f t="shared" si="29"/>
        <v>4.6019441292604748</v>
      </c>
    </row>
    <row r="333" spans="2:32">
      <c r="B333" s="122">
        <f t="shared" si="28"/>
        <v>64403170</v>
      </c>
      <c r="C333" s="122" t="str">
        <f>VLOOKUP($B333,'Tech Litons'!$A:$I,3,0)</f>
        <v>Facepieces</v>
      </c>
      <c r="D333" s="122" t="str">
        <f>VLOOKUP($B333,'Tech Litons'!$A:$I,4,0)</f>
        <v>Facepieces</v>
      </c>
      <c r="E333" s="598" t="s">
        <v>1104</v>
      </c>
      <c r="F333" s="598">
        <v>64403170</v>
      </c>
      <c r="G333" s="599">
        <v>748.00453733877498</v>
      </c>
      <c r="H333" s="599">
        <v>936.16961035124802</v>
      </c>
      <c r="I333" s="599">
        <v>1298.5505998501701</v>
      </c>
      <c r="J333" s="599">
        <v>1761.8688822859999</v>
      </c>
      <c r="K333" s="599">
        <v>1977.18923666617</v>
      </c>
      <c r="L333" s="599">
        <v>3440.1058877986202</v>
      </c>
      <c r="M333" s="599">
        <v>2731.7705848693299</v>
      </c>
      <c r="N333" s="599">
        <v>1887.2358918027201</v>
      </c>
      <c r="O333" s="599">
        <v>2035.5030266061401</v>
      </c>
      <c r="P333" s="599">
        <v>1470.81278143145</v>
      </c>
      <c r="Q333" s="599">
        <v>1568.5409279876001</v>
      </c>
      <c r="R333" s="599">
        <v>1619.58087562828</v>
      </c>
      <c r="S333" s="169">
        <f t="shared" si="31"/>
        <v>21475.332842616503</v>
      </c>
      <c r="T333" s="122">
        <f>VLOOKUP($B333,'Tech Litons'!$A:$I,9,0)</f>
        <v>195</v>
      </c>
      <c r="U333" s="179">
        <f t="shared" si="30"/>
        <v>3.8359207043014103</v>
      </c>
      <c r="V333" s="179">
        <f t="shared" si="30"/>
        <v>4.8008697966730667</v>
      </c>
      <c r="W333" s="179">
        <f t="shared" si="30"/>
        <v>6.6592338453854873</v>
      </c>
      <c r="X333" s="179">
        <f t="shared" si="30"/>
        <v>9.0352250373641017</v>
      </c>
      <c r="Y333" s="179">
        <f t="shared" si="30"/>
        <v>10.139431982903435</v>
      </c>
      <c r="Z333" s="179">
        <f t="shared" si="30"/>
        <v>17.64156865537754</v>
      </c>
      <c r="AA333" s="179">
        <f t="shared" si="29"/>
        <v>14.009079922406821</v>
      </c>
      <c r="AB333" s="179">
        <f t="shared" si="29"/>
        <v>9.6781327784754883</v>
      </c>
      <c r="AC333" s="179">
        <f t="shared" si="29"/>
        <v>10.438477059518668</v>
      </c>
      <c r="AD333" s="179">
        <f t="shared" si="29"/>
        <v>7.5426296483664101</v>
      </c>
      <c r="AE333" s="179">
        <f t="shared" si="29"/>
        <v>8.0437996307056405</v>
      </c>
      <c r="AF333" s="179">
        <f t="shared" si="29"/>
        <v>8.3055429519398967</v>
      </c>
    </row>
    <row r="334" spans="2:32">
      <c r="B334" s="122">
        <f t="shared" si="28"/>
        <v>84139971</v>
      </c>
      <c r="C334" s="122" t="str">
        <f>VLOOKUP($B334,'Tech Litons'!$A:$I,3,0)</f>
        <v>2.4 Gal</v>
      </c>
      <c r="D334" s="122" t="str">
        <f>VLOOKUP($B334,'Tech Litons'!$A:$I,4,0)</f>
        <v>2.4 Gal</v>
      </c>
      <c r="E334" s="598" t="s">
        <v>391</v>
      </c>
      <c r="F334" s="598">
        <v>84139971</v>
      </c>
      <c r="G334" s="599">
        <v>1131.9090652330999</v>
      </c>
      <c r="H334" s="599">
        <v>922.95350028367</v>
      </c>
      <c r="I334" s="599">
        <v>2662.1106530130701</v>
      </c>
      <c r="J334" s="599">
        <v>1967.13472650838</v>
      </c>
      <c r="K334" s="599">
        <v>1890.27425098667</v>
      </c>
      <c r="L334" s="599">
        <v>2531.7540198914598</v>
      </c>
      <c r="M334" s="599">
        <v>3278.40662927725</v>
      </c>
      <c r="N334" s="599">
        <v>2686.67597195485</v>
      </c>
      <c r="O334" s="599">
        <v>1496.98171622471</v>
      </c>
      <c r="P334" s="599">
        <v>894.38744601628002</v>
      </c>
      <c r="Q334" s="599">
        <v>711.61823358164804</v>
      </c>
      <c r="R334" s="599">
        <v>651.78545302910698</v>
      </c>
      <c r="S334" s="169">
        <f t="shared" si="31"/>
        <v>20825.991666000195</v>
      </c>
      <c r="T334" s="122">
        <f>VLOOKUP($B334,'Tech Litons'!$A:$I,9,0)</f>
        <v>125</v>
      </c>
      <c r="U334" s="179">
        <f t="shared" si="30"/>
        <v>9.0552725218647989</v>
      </c>
      <c r="V334" s="179">
        <f t="shared" si="30"/>
        <v>7.3836280022693597</v>
      </c>
      <c r="W334" s="179">
        <f t="shared" si="30"/>
        <v>21.29688522410456</v>
      </c>
      <c r="X334" s="179">
        <f t="shared" si="30"/>
        <v>15.73707781206704</v>
      </c>
      <c r="Y334" s="179">
        <f t="shared" si="30"/>
        <v>15.122194007893361</v>
      </c>
      <c r="Z334" s="179">
        <f t="shared" si="30"/>
        <v>20.254032159131679</v>
      </c>
      <c r="AA334" s="179">
        <f t="shared" si="29"/>
        <v>26.227253034217998</v>
      </c>
      <c r="AB334" s="179">
        <f t="shared" si="29"/>
        <v>21.493407775638801</v>
      </c>
      <c r="AC334" s="179">
        <f t="shared" si="29"/>
        <v>11.975853729797681</v>
      </c>
      <c r="AD334" s="179">
        <f t="shared" si="29"/>
        <v>7.1550995681302405</v>
      </c>
      <c r="AE334" s="179">
        <f t="shared" si="29"/>
        <v>5.692945868653184</v>
      </c>
      <c r="AF334" s="179">
        <f t="shared" si="29"/>
        <v>5.2142836242328556</v>
      </c>
    </row>
    <row r="335" spans="2:32">
      <c r="B335" s="122">
        <f t="shared" si="28"/>
        <v>67794168</v>
      </c>
      <c r="C335" s="122" t="str">
        <f>VLOOKUP($B335,'Tech Litons'!$A:$I,3,0)</f>
        <v>BJ PTS</v>
      </c>
      <c r="D335" s="122" t="str">
        <f>VLOOKUP($B335,'Tech Litons'!$A:$I,4,0)</f>
        <v>BJ PTS</v>
      </c>
      <c r="E335" s="598" t="s">
        <v>413</v>
      </c>
      <c r="F335" s="598">
        <v>67794168</v>
      </c>
      <c r="G335" s="599">
        <v>660.196737854189</v>
      </c>
      <c r="H335" s="599">
        <v>1116.172674445</v>
      </c>
      <c r="I335" s="599">
        <v>1056.96492735985</v>
      </c>
      <c r="J335" s="599">
        <v>1616.6699813672501</v>
      </c>
      <c r="K335" s="599">
        <v>1366.29167730739</v>
      </c>
      <c r="L335" s="599">
        <v>1400.22456312142</v>
      </c>
      <c r="M335" s="599">
        <v>1453.1950187156999</v>
      </c>
      <c r="N335" s="599">
        <v>1422.38319736162</v>
      </c>
      <c r="O335" s="599">
        <v>1597.7132641178</v>
      </c>
      <c r="P335" s="599">
        <v>3802.4796595252601</v>
      </c>
      <c r="Q335" s="599">
        <v>3368.7626372487198</v>
      </c>
      <c r="R335" s="599">
        <v>1749.6200735605701</v>
      </c>
      <c r="S335" s="169">
        <f t="shared" si="31"/>
        <v>20610.674411984772</v>
      </c>
      <c r="T335" s="122">
        <f>VLOOKUP($B335,'Tech Litons'!$A:$I,9,0)</f>
        <v>240</v>
      </c>
      <c r="U335" s="179">
        <f t="shared" si="30"/>
        <v>2.7508197410591206</v>
      </c>
      <c r="V335" s="179">
        <f t="shared" si="30"/>
        <v>4.6507194768541664</v>
      </c>
      <c r="W335" s="179">
        <f t="shared" si="30"/>
        <v>4.4040205306660418</v>
      </c>
      <c r="X335" s="179">
        <f t="shared" si="30"/>
        <v>6.7361249223635422</v>
      </c>
      <c r="Y335" s="179">
        <f t="shared" si="30"/>
        <v>5.6928819887807922</v>
      </c>
      <c r="Z335" s="179">
        <f t="shared" si="30"/>
        <v>5.8342690130059172</v>
      </c>
      <c r="AA335" s="179">
        <f t="shared" si="29"/>
        <v>6.0549792446487496</v>
      </c>
      <c r="AB335" s="179">
        <f t="shared" si="29"/>
        <v>5.9265966556734169</v>
      </c>
      <c r="AC335" s="179">
        <f t="shared" si="29"/>
        <v>6.6571386004908337</v>
      </c>
      <c r="AD335" s="179">
        <f t="shared" si="29"/>
        <v>15.843665248021917</v>
      </c>
      <c r="AE335" s="179">
        <f t="shared" si="29"/>
        <v>14.036510988536332</v>
      </c>
      <c r="AF335" s="179">
        <f t="shared" si="29"/>
        <v>7.290083639835709</v>
      </c>
    </row>
    <row r="336" spans="2:32">
      <c r="B336" s="122">
        <f t="shared" si="28"/>
        <v>68354578</v>
      </c>
      <c r="C336" s="122" t="str">
        <f>VLOOKUP($B336,'Tech Litons'!$A:$I,3,0)</f>
        <v>2.4 Gal</v>
      </c>
      <c r="D336" s="122" t="str">
        <f>VLOOKUP($B336,'Tech Litons'!$A:$I,4,0)</f>
        <v>2.4 Gal</v>
      </c>
      <c r="E336" s="598" t="s">
        <v>398</v>
      </c>
      <c r="F336" s="598">
        <v>68354578</v>
      </c>
      <c r="G336" s="599">
        <v>1159.2928800105699</v>
      </c>
      <c r="H336" s="599">
        <v>890.65120802636704</v>
      </c>
      <c r="I336" s="599">
        <v>2827.8929218171002</v>
      </c>
      <c r="J336" s="599">
        <v>2101.6302945806301</v>
      </c>
      <c r="K336" s="599">
        <v>1980.5381158519999</v>
      </c>
      <c r="L336" s="599">
        <v>2605.9968083806102</v>
      </c>
      <c r="M336" s="599">
        <v>2834.1531312065199</v>
      </c>
      <c r="N336" s="599">
        <v>2655.2342922847502</v>
      </c>
      <c r="O336" s="599">
        <v>1492.9578856548001</v>
      </c>
      <c r="P336" s="599">
        <v>869.20485865296098</v>
      </c>
      <c r="Q336" s="599">
        <v>603.78215851896402</v>
      </c>
      <c r="R336" s="599">
        <v>572.93281364184395</v>
      </c>
      <c r="S336" s="169">
        <f t="shared" si="31"/>
        <v>20594.267368627116</v>
      </c>
      <c r="T336" s="122">
        <f>VLOOKUP($B336,'Tech Litons'!$A:$I,9,0)</f>
        <v>125</v>
      </c>
      <c r="U336" s="179">
        <f t="shared" si="30"/>
        <v>9.2743430400845597</v>
      </c>
      <c r="V336" s="179">
        <f t="shared" si="30"/>
        <v>7.1252096642109359</v>
      </c>
      <c r="W336" s="179">
        <f t="shared" si="30"/>
        <v>22.623143374536802</v>
      </c>
      <c r="X336" s="179">
        <f t="shared" si="30"/>
        <v>16.813042356645042</v>
      </c>
      <c r="Y336" s="179">
        <f t="shared" si="30"/>
        <v>15.844304926815999</v>
      </c>
      <c r="Z336" s="179">
        <f t="shared" si="30"/>
        <v>20.847974467044882</v>
      </c>
      <c r="AA336" s="179">
        <f t="shared" si="29"/>
        <v>22.67322504965216</v>
      </c>
      <c r="AB336" s="179">
        <f t="shared" si="29"/>
        <v>21.241874338278002</v>
      </c>
      <c r="AC336" s="179">
        <f t="shared" si="29"/>
        <v>11.9436630852384</v>
      </c>
      <c r="AD336" s="179">
        <f t="shared" si="29"/>
        <v>6.9536388692236875</v>
      </c>
      <c r="AE336" s="179">
        <f t="shared" si="29"/>
        <v>4.830257268151712</v>
      </c>
      <c r="AF336" s="179">
        <f t="shared" si="29"/>
        <v>4.5834625091347512</v>
      </c>
    </row>
    <row r="337" spans="2:32">
      <c r="B337" s="122">
        <f t="shared" si="28"/>
        <v>68728278</v>
      </c>
      <c r="C337" s="122" t="e">
        <f>VLOOKUP($B337,'Tech Litons'!$A:$I,3,0)</f>
        <v>#N/A</v>
      </c>
      <c r="D337" s="122" t="e">
        <f>VLOOKUP($B337,'Tech Litons'!$A:$I,4,0)</f>
        <v>#N/A</v>
      </c>
      <c r="E337" s="598" t="s">
        <v>930</v>
      </c>
      <c r="F337" s="598">
        <v>68728278</v>
      </c>
      <c r="G337" s="599">
        <v>1437.3698556956199</v>
      </c>
      <c r="H337" s="599">
        <v>1084.81432625818</v>
      </c>
      <c r="I337" s="599">
        <v>1534.7179904864799</v>
      </c>
      <c r="J337" s="599">
        <v>912.71416268896201</v>
      </c>
      <c r="K337" s="599">
        <v>2383.0855773274898</v>
      </c>
      <c r="L337" s="599">
        <v>844.79048927358099</v>
      </c>
      <c r="M337" s="599">
        <v>1383.1005437782601</v>
      </c>
      <c r="N337" s="599">
        <v>1739.4063897497199</v>
      </c>
      <c r="O337" s="599">
        <v>2052.1793929097298</v>
      </c>
      <c r="P337" s="599">
        <v>2661.1463036022601</v>
      </c>
      <c r="Q337" s="599">
        <v>1656.6948750926399</v>
      </c>
      <c r="R337" s="599">
        <v>1479.93788118765</v>
      </c>
      <c r="S337" s="169">
        <f t="shared" si="31"/>
        <v>19169.957788050571</v>
      </c>
      <c r="T337" s="122" t="e">
        <f>VLOOKUP($B337,'Tech Litons'!$A:$I,9,0)</f>
        <v>#N/A</v>
      </c>
      <c r="U337" s="179" t="e">
        <f t="shared" si="30"/>
        <v>#N/A</v>
      </c>
      <c r="V337" s="179" t="e">
        <f t="shared" si="30"/>
        <v>#N/A</v>
      </c>
      <c r="W337" s="179" t="e">
        <f t="shared" si="30"/>
        <v>#N/A</v>
      </c>
      <c r="X337" s="179" t="e">
        <f t="shared" si="30"/>
        <v>#N/A</v>
      </c>
      <c r="Y337" s="179" t="e">
        <f t="shared" si="30"/>
        <v>#N/A</v>
      </c>
      <c r="Z337" s="179" t="e">
        <f t="shared" si="30"/>
        <v>#N/A</v>
      </c>
      <c r="AA337" s="179" t="e">
        <f t="shared" si="29"/>
        <v>#N/A</v>
      </c>
      <c r="AB337" s="179" t="e">
        <f t="shared" si="29"/>
        <v>#N/A</v>
      </c>
      <c r="AC337" s="179" t="e">
        <f t="shared" si="29"/>
        <v>#N/A</v>
      </c>
      <c r="AD337" s="179" t="e">
        <f t="shared" si="29"/>
        <v>#N/A</v>
      </c>
      <c r="AE337" s="179" t="e">
        <f t="shared" si="29"/>
        <v>#N/A</v>
      </c>
      <c r="AF337" s="179" t="e">
        <f t="shared" si="29"/>
        <v>#N/A</v>
      </c>
    </row>
    <row r="338" spans="2:32">
      <c r="B338" s="122">
        <f t="shared" si="28"/>
        <v>67736697</v>
      </c>
      <c r="C338" s="122" t="e">
        <f>VLOOKUP($B338,'Tech Litons'!$A:$I,3,0)</f>
        <v>#N/A</v>
      </c>
      <c r="D338" s="122" t="e">
        <f>VLOOKUP($B338,'Tech Litons'!$A:$I,4,0)</f>
        <v>#N/A</v>
      </c>
      <c r="E338" s="598" t="s">
        <v>965</v>
      </c>
      <c r="F338" s="598">
        <v>67736697</v>
      </c>
      <c r="G338" s="599">
        <v>1431.21729635012</v>
      </c>
      <c r="H338" s="599">
        <v>1509.3593602052599</v>
      </c>
      <c r="I338" s="599">
        <v>1969.32488349555</v>
      </c>
      <c r="J338" s="599">
        <v>1771.13183215458</v>
      </c>
      <c r="K338" s="599">
        <v>1638.0315219950601</v>
      </c>
      <c r="L338" s="599">
        <v>2019.81873999258</v>
      </c>
      <c r="M338" s="599">
        <v>1616.77413573013</v>
      </c>
      <c r="N338" s="599">
        <v>1525.4131974967399</v>
      </c>
      <c r="O338" s="599">
        <v>1338.46555125187</v>
      </c>
      <c r="P338" s="599">
        <v>1495.1520373006699</v>
      </c>
      <c r="Q338" s="599">
        <v>1251.57828466972</v>
      </c>
      <c r="R338" s="599">
        <v>1285.61285863423</v>
      </c>
      <c r="S338" s="169">
        <f t="shared" si="31"/>
        <v>18851.879699276509</v>
      </c>
      <c r="T338" s="122" t="e">
        <f>VLOOKUP($B338,'Tech Litons'!$A:$I,9,0)</f>
        <v>#N/A</v>
      </c>
      <c r="U338" s="179" t="e">
        <f t="shared" si="30"/>
        <v>#N/A</v>
      </c>
      <c r="V338" s="179" t="e">
        <f t="shared" si="30"/>
        <v>#N/A</v>
      </c>
      <c r="W338" s="179" t="e">
        <f t="shared" si="30"/>
        <v>#N/A</v>
      </c>
      <c r="X338" s="179" t="e">
        <f t="shared" si="30"/>
        <v>#N/A</v>
      </c>
      <c r="Y338" s="179" t="e">
        <f t="shared" si="30"/>
        <v>#N/A</v>
      </c>
      <c r="Z338" s="179" t="e">
        <f t="shared" si="30"/>
        <v>#N/A</v>
      </c>
      <c r="AA338" s="179" t="e">
        <f t="shared" si="29"/>
        <v>#N/A</v>
      </c>
      <c r="AB338" s="179" t="e">
        <f t="shared" si="29"/>
        <v>#N/A</v>
      </c>
      <c r="AC338" s="179" t="e">
        <f t="shared" si="29"/>
        <v>#N/A</v>
      </c>
      <c r="AD338" s="179" t="e">
        <f t="shared" si="29"/>
        <v>#N/A</v>
      </c>
      <c r="AE338" s="179" t="e">
        <f t="shared" si="29"/>
        <v>#N/A</v>
      </c>
      <c r="AF338" s="179" t="e">
        <f t="shared" si="29"/>
        <v>#N/A</v>
      </c>
    </row>
    <row r="339" spans="2:32">
      <c r="B339" s="122">
        <f t="shared" si="28"/>
        <v>68499787</v>
      </c>
      <c r="C339" s="122" t="str">
        <f>VLOOKUP($B339,'Tech Litons'!$A:$I,3,0)</f>
        <v>2.4 Gal</v>
      </c>
      <c r="D339" s="122" t="str">
        <f>VLOOKUP($B339,'Tech Litons'!$A:$I,4,0)</f>
        <v>2.4 Gal</v>
      </c>
      <c r="E339" s="598" t="s">
        <v>394</v>
      </c>
      <c r="F339" s="598">
        <v>68499787</v>
      </c>
      <c r="G339" s="599">
        <v>950.16567905594695</v>
      </c>
      <c r="H339" s="599">
        <v>911.13684343192699</v>
      </c>
      <c r="I339" s="599">
        <v>2658.1211100553401</v>
      </c>
      <c r="J339" s="599">
        <v>1893.36239791652</v>
      </c>
      <c r="K339" s="599">
        <v>1807.5144757155499</v>
      </c>
      <c r="L339" s="599">
        <v>2328.5964810164601</v>
      </c>
      <c r="M339" s="599">
        <v>2399.6484062162699</v>
      </c>
      <c r="N339" s="599">
        <v>2296.16906651411</v>
      </c>
      <c r="O339" s="599">
        <v>1288.90173580845</v>
      </c>
      <c r="P339" s="599">
        <v>915.23614597991502</v>
      </c>
      <c r="Q339" s="599">
        <v>631.10505482614599</v>
      </c>
      <c r="R339" s="599">
        <v>553.52374842543395</v>
      </c>
      <c r="S339" s="169">
        <f t="shared" si="31"/>
        <v>18633.481144962068</v>
      </c>
      <c r="T339" s="122">
        <f>VLOOKUP($B339,'Tech Litons'!$A:$I,9,0)</f>
        <v>125</v>
      </c>
      <c r="U339" s="179">
        <f t="shared" si="30"/>
        <v>7.6013254324475756</v>
      </c>
      <c r="V339" s="179">
        <f t="shared" si="30"/>
        <v>7.2890947474554162</v>
      </c>
      <c r="W339" s="179">
        <f t="shared" si="30"/>
        <v>21.264968880442719</v>
      </c>
      <c r="X339" s="179">
        <f t="shared" si="30"/>
        <v>15.14689918333216</v>
      </c>
      <c r="Y339" s="179">
        <f t="shared" si="30"/>
        <v>14.460115805724399</v>
      </c>
      <c r="Z339" s="179">
        <f t="shared" si="30"/>
        <v>18.628771848131681</v>
      </c>
      <c r="AA339" s="179">
        <f t="shared" si="29"/>
        <v>19.19718724973016</v>
      </c>
      <c r="AB339" s="179">
        <f t="shared" si="29"/>
        <v>18.369352532112881</v>
      </c>
      <c r="AC339" s="179">
        <f t="shared" si="29"/>
        <v>10.3112138864676</v>
      </c>
      <c r="AD339" s="179">
        <f t="shared" si="29"/>
        <v>7.3218891678393199</v>
      </c>
      <c r="AE339" s="179">
        <f t="shared" si="29"/>
        <v>5.0488404386091679</v>
      </c>
      <c r="AF339" s="179">
        <f t="shared" si="29"/>
        <v>4.4281899874034716</v>
      </c>
    </row>
    <row r="340" spans="2:32">
      <c r="B340" s="122">
        <f t="shared" si="28"/>
        <v>84138347</v>
      </c>
      <c r="C340" s="122" t="str">
        <f>VLOOKUP($B340,'Tech Litons'!$A:$I,3,0)</f>
        <v>2.4 Gal</v>
      </c>
      <c r="D340" s="122" t="str">
        <f>VLOOKUP($B340,'Tech Litons'!$A:$I,4,0)</f>
        <v>2.4 Gal</v>
      </c>
      <c r="E340" s="598" t="s">
        <v>476</v>
      </c>
      <c r="F340" s="598">
        <v>84138347</v>
      </c>
      <c r="G340" s="599">
        <v>1034.09521891344</v>
      </c>
      <c r="H340" s="599">
        <v>892.82430088614399</v>
      </c>
      <c r="I340" s="599">
        <v>2316.2499590622801</v>
      </c>
      <c r="J340" s="599">
        <v>1738.73415123276</v>
      </c>
      <c r="K340" s="599">
        <v>1715.9678140961</v>
      </c>
      <c r="L340" s="599">
        <v>2188.69612311536</v>
      </c>
      <c r="M340" s="599">
        <v>2676.2072697072399</v>
      </c>
      <c r="N340" s="599">
        <v>2359.9568327777301</v>
      </c>
      <c r="O340" s="599">
        <v>1296.3108242138601</v>
      </c>
      <c r="P340" s="599">
        <v>802.58017891941904</v>
      </c>
      <c r="Q340" s="599">
        <v>652.72995637015197</v>
      </c>
      <c r="R340" s="599">
        <v>563.96278047633598</v>
      </c>
      <c r="S340" s="169">
        <f t="shared" si="31"/>
        <v>18238.315409770825</v>
      </c>
      <c r="T340" s="122">
        <f>VLOOKUP($B340,'Tech Litons'!$A:$I,9,0)</f>
        <v>125</v>
      </c>
      <c r="U340" s="179">
        <f t="shared" si="30"/>
        <v>8.2727617513075202</v>
      </c>
      <c r="V340" s="179">
        <f t="shared" si="30"/>
        <v>7.1425944070891516</v>
      </c>
      <c r="W340" s="179">
        <f t="shared" si="30"/>
        <v>18.529999672498242</v>
      </c>
      <c r="X340" s="179">
        <f t="shared" si="30"/>
        <v>13.909873209862081</v>
      </c>
      <c r="Y340" s="179">
        <f t="shared" si="30"/>
        <v>13.727742512768801</v>
      </c>
      <c r="Z340" s="179">
        <f t="shared" si="30"/>
        <v>17.509568984922879</v>
      </c>
      <c r="AA340" s="179">
        <f t="shared" si="29"/>
        <v>21.409658157657919</v>
      </c>
      <c r="AB340" s="179">
        <f t="shared" si="29"/>
        <v>18.879654662221842</v>
      </c>
      <c r="AC340" s="179">
        <f t="shared" si="29"/>
        <v>10.370486593710881</v>
      </c>
      <c r="AD340" s="179">
        <f t="shared" si="29"/>
        <v>6.4206414313553521</v>
      </c>
      <c r="AE340" s="179">
        <f t="shared" si="29"/>
        <v>5.2218396509612157</v>
      </c>
      <c r="AF340" s="179">
        <f t="shared" si="29"/>
        <v>4.5117022438106877</v>
      </c>
    </row>
    <row r="341" spans="2:32">
      <c r="B341" s="122">
        <f t="shared" si="28"/>
        <v>84137721</v>
      </c>
      <c r="C341" s="122" t="str">
        <f>VLOOKUP($B341,'Tech Litons'!$A:$I,3,0)</f>
        <v>2.4 Gal</v>
      </c>
      <c r="D341" s="122" t="str">
        <f>VLOOKUP($B341,'Tech Litons'!$A:$I,4,0)</f>
        <v>2.4 Gal</v>
      </c>
      <c r="E341" s="598" t="s">
        <v>475</v>
      </c>
      <c r="F341" s="598">
        <v>84137721</v>
      </c>
      <c r="G341" s="599">
        <v>920.06318884154905</v>
      </c>
      <c r="H341" s="599">
        <v>939.61437291121899</v>
      </c>
      <c r="I341" s="599">
        <v>2241.8397205996698</v>
      </c>
      <c r="J341" s="599">
        <v>1800.7758660956999</v>
      </c>
      <c r="K341" s="599">
        <v>1637.51361920305</v>
      </c>
      <c r="L341" s="599">
        <v>2219.59827232629</v>
      </c>
      <c r="M341" s="599">
        <v>2612.2726858504602</v>
      </c>
      <c r="N341" s="599">
        <v>2395.62117139473</v>
      </c>
      <c r="O341" s="599">
        <v>1269.01615683357</v>
      </c>
      <c r="P341" s="599">
        <v>746.268725515965</v>
      </c>
      <c r="Q341" s="599">
        <v>611.16513091754405</v>
      </c>
      <c r="R341" s="599">
        <v>580.00510416383497</v>
      </c>
      <c r="S341" s="169">
        <f t="shared" si="31"/>
        <v>17973.754014653579</v>
      </c>
      <c r="T341" s="122">
        <f>VLOOKUP($B341,'Tech Litons'!$A:$I,9,0)</f>
        <v>125</v>
      </c>
      <c r="U341" s="179">
        <f t="shared" si="30"/>
        <v>7.3605055107323922</v>
      </c>
      <c r="V341" s="179">
        <f t="shared" si="30"/>
        <v>7.5169149832897517</v>
      </c>
      <c r="W341" s="179">
        <f t="shared" si="30"/>
        <v>17.934717764797359</v>
      </c>
      <c r="X341" s="179">
        <f t="shared" si="30"/>
        <v>14.406206928765599</v>
      </c>
      <c r="Y341" s="179">
        <f t="shared" si="30"/>
        <v>13.1001089536244</v>
      </c>
      <c r="Z341" s="179">
        <f t="shared" si="30"/>
        <v>17.756786178610319</v>
      </c>
      <c r="AA341" s="179">
        <f t="shared" si="29"/>
        <v>20.898181486803683</v>
      </c>
      <c r="AB341" s="179">
        <f t="shared" si="29"/>
        <v>19.164969371157841</v>
      </c>
      <c r="AC341" s="179">
        <f t="shared" si="29"/>
        <v>10.15212925466856</v>
      </c>
      <c r="AD341" s="179">
        <f t="shared" si="29"/>
        <v>5.9701498041277201</v>
      </c>
      <c r="AE341" s="179">
        <f t="shared" si="29"/>
        <v>4.8893210473403528</v>
      </c>
      <c r="AF341" s="179">
        <f t="shared" si="29"/>
        <v>4.64004083331068</v>
      </c>
    </row>
    <row r="342" spans="2:32">
      <c r="B342" s="122">
        <f t="shared" si="28"/>
        <v>84139000</v>
      </c>
      <c r="C342" s="122" t="str">
        <f>VLOOKUP($B342,'Tech Litons'!$A:$I,3,0)</f>
        <v>2.4 Gal</v>
      </c>
      <c r="D342" s="122" t="str">
        <f>VLOOKUP($B342,'Tech Litons'!$A:$I,4,0)</f>
        <v>2.4 Gal</v>
      </c>
      <c r="E342" s="598" t="s">
        <v>373</v>
      </c>
      <c r="F342" s="598">
        <v>84139000</v>
      </c>
      <c r="G342" s="599">
        <v>991.45659577285903</v>
      </c>
      <c r="H342" s="599">
        <v>869.12646623722299</v>
      </c>
      <c r="I342" s="599">
        <v>2322.7710404895302</v>
      </c>
      <c r="J342" s="599">
        <v>1724.37386593216</v>
      </c>
      <c r="K342" s="599">
        <v>1686.5548128722901</v>
      </c>
      <c r="L342" s="599">
        <v>2176.9931404382901</v>
      </c>
      <c r="M342" s="599">
        <v>2408.2751609325701</v>
      </c>
      <c r="N342" s="599">
        <v>2207.3549612204301</v>
      </c>
      <c r="O342" s="599">
        <v>1320.7136638115401</v>
      </c>
      <c r="P342" s="599">
        <v>834.87515534591705</v>
      </c>
      <c r="Q342" s="599">
        <v>664.21206498878905</v>
      </c>
      <c r="R342" s="599">
        <v>560.45336978030502</v>
      </c>
      <c r="S342" s="169">
        <f t="shared" si="31"/>
        <v>17767.160297821902</v>
      </c>
      <c r="T342" s="122">
        <f>VLOOKUP($B342,'Tech Litons'!$A:$I,9,0)</f>
        <v>125</v>
      </c>
      <c r="U342" s="179">
        <f t="shared" si="30"/>
        <v>7.9316527661828724</v>
      </c>
      <c r="V342" s="179">
        <f t="shared" si="30"/>
        <v>6.953011729897784</v>
      </c>
      <c r="W342" s="179">
        <f t="shared" si="30"/>
        <v>18.582168323916243</v>
      </c>
      <c r="X342" s="179">
        <f t="shared" si="30"/>
        <v>13.794990927457279</v>
      </c>
      <c r="Y342" s="179">
        <f t="shared" si="30"/>
        <v>13.49243850297832</v>
      </c>
      <c r="Z342" s="179">
        <f t="shared" si="30"/>
        <v>17.415945123506322</v>
      </c>
      <c r="AA342" s="179">
        <f t="shared" si="29"/>
        <v>19.266201287460561</v>
      </c>
      <c r="AB342" s="179">
        <f t="shared" si="29"/>
        <v>17.65883968976344</v>
      </c>
      <c r="AC342" s="179">
        <f t="shared" si="29"/>
        <v>10.56570931049232</v>
      </c>
      <c r="AD342" s="179">
        <f t="shared" si="29"/>
        <v>6.6790012427673364</v>
      </c>
      <c r="AE342" s="179">
        <f t="shared" si="29"/>
        <v>5.3136965199103123</v>
      </c>
      <c r="AF342" s="179">
        <f t="shared" si="29"/>
        <v>4.4836269582424402</v>
      </c>
    </row>
    <row r="343" spans="2:32">
      <c r="B343" s="122">
        <f t="shared" si="28"/>
        <v>67825198</v>
      </c>
      <c r="C343" s="122" t="str">
        <f>VLOOKUP($B343,'Tech Litons'!$A:$I,3,0)</f>
        <v>2.4 Gal</v>
      </c>
      <c r="D343" s="122" t="str">
        <f>VLOOKUP($B343,'Tech Litons'!$A:$I,4,0)</f>
        <v>2.4 Gal</v>
      </c>
      <c r="E343" s="598" t="s">
        <v>470</v>
      </c>
      <c r="F343" s="598">
        <v>67825198</v>
      </c>
      <c r="G343" s="599">
        <v>1114.8670426097899</v>
      </c>
      <c r="H343" s="599">
        <v>915.33134860513906</v>
      </c>
      <c r="I343" s="599">
        <v>2229.9991768199802</v>
      </c>
      <c r="J343" s="599">
        <v>1657.3618595145699</v>
      </c>
      <c r="K343" s="599">
        <v>1571.9071497693701</v>
      </c>
      <c r="L343" s="599">
        <v>2062.8720413395899</v>
      </c>
      <c r="M343" s="599">
        <v>2510.1094492174402</v>
      </c>
      <c r="N343" s="599">
        <v>2174.2008017387702</v>
      </c>
      <c r="O343" s="599">
        <v>1107.15024865805</v>
      </c>
      <c r="P343" s="599">
        <v>878.48466757392305</v>
      </c>
      <c r="Q343" s="599">
        <v>653.45286359723298</v>
      </c>
      <c r="R343" s="599">
        <v>662.40885972638205</v>
      </c>
      <c r="S343" s="169">
        <f t="shared" si="31"/>
        <v>17538.145509170241</v>
      </c>
      <c r="T343" s="122">
        <f>VLOOKUP($B343,'Tech Litons'!$A:$I,9,0)</f>
        <v>125</v>
      </c>
      <c r="U343" s="179">
        <f t="shared" si="30"/>
        <v>8.9189363408783198</v>
      </c>
      <c r="V343" s="179">
        <f t="shared" si="30"/>
        <v>7.3226507888411128</v>
      </c>
      <c r="W343" s="179">
        <f t="shared" si="30"/>
        <v>17.839993414559842</v>
      </c>
      <c r="X343" s="179">
        <f t="shared" si="30"/>
        <v>13.258894876116559</v>
      </c>
      <c r="Y343" s="179">
        <f t="shared" si="30"/>
        <v>12.575257198154961</v>
      </c>
      <c r="Z343" s="179">
        <f t="shared" si="30"/>
        <v>16.50297633071672</v>
      </c>
      <c r="AA343" s="179">
        <f t="shared" si="29"/>
        <v>20.08087559373952</v>
      </c>
      <c r="AB343" s="179">
        <f t="shared" si="29"/>
        <v>17.393606413910163</v>
      </c>
      <c r="AC343" s="179">
        <f t="shared" si="29"/>
        <v>8.8572019892644001</v>
      </c>
      <c r="AD343" s="179">
        <f t="shared" si="29"/>
        <v>7.0278773405913846</v>
      </c>
      <c r="AE343" s="179">
        <f t="shared" si="29"/>
        <v>5.2276229087778638</v>
      </c>
      <c r="AF343" s="179">
        <f t="shared" si="29"/>
        <v>5.2992708778110567</v>
      </c>
    </row>
    <row r="344" spans="2:32">
      <c r="B344" s="122">
        <f t="shared" si="28"/>
        <v>84141036</v>
      </c>
      <c r="C344" s="122" t="e">
        <f>VLOOKUP($B344,'Tech Litons'!$A:$I,3,0)</f>
        <v>#N/A</v>
      </c>
      <c r="D344" s="122" t="e">
        <f>VLOOKUP($B344,'Tech Litons'!$A:$I,4,0)</f>
        <v>#N/A</v>
      </c>
      <c r="E344" s="598" t="s">
        <v>372</v>
      </c>
      <c r="F344" s="598">
        <v>84141036</v>
      </c>
      <c r="G344" s="599">
        <v>833.58317241621705</v>
      </c>
      <c r="H344" s="599">
        <v>786.49915765911305</v>
      </c>
      <c r="I344" s="599">
        <v>2104.1395596181701</v>
      </c>
      <c r="J344" s="599">
        <v>1499.1505654202799</v>
      </c>
      <c r="K344" s="599">
        <v>1676.5777664362399</v>
      </c>
      <c r="L344" s="599">
        <v>1926.95984645724</v>
      </c>
      <c r="M344" s="599">
        <v>2094.87959681241</v>
      </c>
      <c r="N344" s="599">
        <v>2370.7325549239799</v>
      </c>
      <c r="O344" s="599">
        <v>1177.1463671489801</v>
      </c>
      <c r="P344" s="599">
        <v>749.51801897019402</v>
      </c>
      <c r="Q344" s="599">
        <v>607.15165078615701</v>
      </c>
      <c r="R344" s="599">
        <v>507.55970158185897</v>
      </c>
      <c r="S344" s="169">
        <f t="shared" si="31"/>
        <v>16333.897958230837</v>
      </c>
      <c r="T344" s="122" t="e">
        <f>VLOOKUP($B344,'Tech Litons'!$A:$I,9,0)</f>
        <v>#N/A</v>
      </c>
      <c r="U344" s="179" t="e">
        <f t="shared" si="30"/>
        <v>#N/A</v>
      </c>
      <c r="V344" s="179" t="e">
        <f t="shared" si="30"/>
        <v>#N/A</v>
      </c>
      <c r="W344" s="179" t="e">
        <f t="shared" si="30"/>
        <v>#N/A</v>
      </c>
      <c r="X344" s="179" t="e">
        <f t="shared" si="30"/>
        <v>#N/A</v>
      </c>
      <c r="Y344" s="179" t="e">
        <f t="shared" si="30"/>
        <v>#N/A</v>
      </c>
      <c r="Z344" s="179" t="e">
        <f t="shared" si="30"/>
        <v>#N/A</v>
      </c>
      <c r="AA344" s="179" t="e">
        <f t="shared" si="29"/>
        <v>#N/A</v>
      </c>
      <c r="AB344" s="179" t="e">
        <f t="shared" si="29"/>
        <v>#N/A</v>
      </c>
      <c r="AC344" s="179" t="e">
        <f t="shared" si="29"/>
        <v>#N/A</v>
      </c>
      <c r="AD344" s="179" t="e">
        <f t="shared" si="29"/>
        <v>#N/A</v>
      </c>
      <c r="AE344" s="179" t="e">
        <f t="shared" si="29"/>
        <v>#N/A</v>
      </c>
      <c r="AF344" s="179" t="e">
        <f t="shared" si="29"/>
        <v>#N/A</v>
      </c>
    </row>
    <row r="345" spans="2:32">
      <c r="B345" s="122">
        <f t="shared" si="28"/>
        <v>84141418</v>
      </c>
      <c r="C345" s="122" t="str">
        <f>VLOOKUP($B345,'Tech Litons'!$A:$I,3,0)</f>
        <v>2.4 Gal</v>
      </c>
      <c r="D345" s="122" t="str">
        <f>VLOOKUP($B345,'Tech Litons'!$A:$I,4,0)</f>
        <v>2.4 Gal</v>
      </c>
      <c r="E345" s="598" t="s">
        <v>369</v>
      </c>
      <c r="F345" s="598">
        <v>84141418</v>
      </c>
      <c r="G345" s="599">
        <v>825.04869450983801</v>
      </c>
      <c r="H345" s="599">
        <v>732.57496920622896</v>
      </c>
      <c r="I345" s="599">
        <v>2126.7539395782401</v>
      </c>
      <c r="J345" s="599">
        <v>1624.2615723664901</v>
      </c>
      <c r="K345" s="599">
        <v>1463.02205029724</v>
      </c>
      <c r="L345" s="599">
        <v>1882.17545548421</v>
      </c>
      <c r="M345" s="599">
        <v>2202.42665512333</v>
      </c>
      <c r="N345" s="599">
        <v>2089.7373203802199</v>
      </c>
      <c r="O345" s="599">
        <v>1378.6130183467301</v>
      </c>
      <c r="P345" s="599">
        <v>692.12182319601402</v>
      </c>
      <c r="Q345" s="599">
        <v>500.79977674855598</v>
      </c>
      <c r="R345" s="599">
        <v>479.11382858209902</v>
      </c>
      <c r="S345" s="169">
        <f t="shared" si="31"/>
        <v>15996.649103819198</v>
      </c>
      <c r="T345" s="122">
        <f>VLOOKUP($B345,'Tech Litons'!$A:$I,9,0)</f>
        <v>125</v>
      </c>
      <c r="U345" s="179">
        <f t="shared" si="30"/>
        <v>6.6003895560787038</v>
      </c>
      <c r="V345" s="179">
        <f t="shared" si="30"/>
        <v>5.860599753649832</v>
      </c>
      <c r="W345" s="179">
        <f t="shared" si="30"/>
        <v>17.01403151662592</v>
      </c>
      <c r="X345" s="179">
        <f t="shared" si="30"/>
        <v>12.994092578931921</v>
      </c>
      <c r="Y345" s="179">
        <f t="shared" si="30"/>
        <v>11.70417640237792</v>
      </c>
      <c r="Z345" s="179">
        <f t="shared" si="30"/>
        <v>15.05740364387368</v>
      </c>
      <c r="AA345" s="179">
        <f t="shared" si="29"/>
        <v>17.619413240986638</v>
      </c>
      <c r="AB345" s="179">
        <f t="shared" si="29"/>
        <v>16.717898563041761</v>
      </c>
      <c r="AC345" s="179">
        <f t="shared" si="29"/>
        <v>11.02890414677384</v>
      </c>
      <c r="AD345" s="179">
        <f t="shared" si="29"/>
        <v>5.5369745855681121</v>
      </c>
      <c r="AE345" s="179">
        <f t="shared" si="29"/>
        <v>4.0063982139884482</v>
      </c>
      <c r="AF345" s="179">
        <f t="shared" si="29"/>
        <v>3.832910628656792</v>
      </c>
    </row>
    <row r="346" spans="2:32">
      <c r="B346" s="122">
        <f t="shared" si="28"/>
        <v>68297196</v>
      </c>
      <c r="C346" s="122" t="e">
        <f>VLOOKUP($B346,'Tech Litons'!$A:$I,3,0)</f>
        <v>#N/A</v>
      </c>
      <c r="D346" s="122" t="e">
        <f>VLOOKUP($B346,'Tech Litons'!$A:$I,4,0)</f>
        <v>#N/A</v>
      </c>
      <c r="E346" s="598" t="s">
        <v>1105</v>
      </c>
      <c r="F346" s="598">
        <v>68297196</v>
      </c>
      <c r="G346" s="599">
        <v>1107.33309822968</v>
      </c>
      <c r="H346" s="599">
        <v>1328.7077421434799</v>
      </c>
      <c r="I346" s="599">
        <v>1356.0828027617499</v>
      </c>
      <c r="J346" s="599">
        <v>1049.41186724349</v>
      </c>
      <c r="K346" s="599">
        <v>1209.69146233173</v>
      </c>
      <c r="L346" s="599">
        <v>1271.75388710731</v>
      </c>
      <c r="M346" s="599">
        <v>1269.9967301214799</v>
      </c>
      <c r="N346" s="599">
        <v>1358.5320804102601</v>
      </c>
      <c r="O346" s="599">
        <v>1193.9938094935801</v>
      </c>
      <c r="P346" s="599">
        <v>1156.0085189081799</v>
      </c>
      <c r="Q346" s="599">
        <v>1158.29360890302</v>
      </c>
      <c r="R346" s="599">
        <v>1180.0606020617599</v>
      </c>
      <c r="S346" s="169">
        <f t="shared" si="31"/>
        <v>14639.866209715718</v>
      </c>
      <c r="T346" s="122" t="e">
        <f>VLOOKUP($B346,'Tech Litons'!$A:$I,9,0)</f>
        <v>#N/A</v>
      </c>
      <c r="U346" s="179" t="e">
        <f t="shared" si="30"/>
        <v>#N/A</v>
      </c>
      <c r="V346" s="179" t="e">
        <f t="shared" si="30"/>
        <v>#N/A</v>
      </c>
      <c r="W346" s="179" t="e">
        <f t="shared" si="30"/>
        <v>#N/A</v>
      </c>
      <c r="X346" s="179" t="e">
        <f t="shared" si="30"/>
        <v>#N/A</v>
      </c>
      <c r="Y346" s="179" t="e">
        <f t="shared" si="30"/>
        <v>#N/A</v>
      </c>
      <c r="Z346" s="179" t="e">
        <f t="shared" si="30"/>
        <v>#N/A</v>
      </c>
      <c r="AA346" s="179" t="e">
        <f t="shared" si="29"/>
        <v>#N/A</v>
      </c>
      <c r="AB346" s="179" t="e">
        <f t="shared" si="29"/>
        <v>#N/A</v>
      </c>
      <c r="AC346" s="179" t="e">
        <f t="shared" si="29"/>
        <v>#N/A</v>
      </c>
      <c r="AD346" s="179" t="e">
        <f t="shared" si="29"/>
        <v>#N/A</v>
      </c>
      <c r="AE346" s="179" t="e">
        <f t="shared" si="29"/>
        <v>#N/A</v>
      </c>
      <c r="AF346" s="179" t="e">
        <f t="shared" si="29"/>
        <v>#N/A</v>
      </c>
    </row>
    <row r="347" spans="2:32">
      <c r="B347" s="122">
        <f t="shared" si="28"/>
        <v>69691774</v>
      </c>
      <c r="C347" s="122" t="e">
        <f>VLOOKUP($B347,'Tech Litons'!$A:$I,3,0)</f>
        <v>#N/A</v>
      </c>
      <c r="D347" s="122" t="e">
        <f>VLOOKUP($B347,'Tech Litons'!$A:$I,4,0)</f>
        <v>#N/A</v>
      </c>
      <c r="E347" s="598" t="s">
        <v>945</v>
      </c>
      <c r="F347" s="598">
        <v>69691774</v>
      </c>
      <c r="G347" s="599">
        <v>2580.8423323023198</v>
      </c>
      <c r="H347" s="599">
        <v>903.56870979306495</v>
      </c>
      <c r="I347" s="599">
        <v>1973.6573245975201</v>
      </c>
      <c r="J347" s="599">
        <v>1246.85681872389</v>
      </c>
      <c r="K347" s="599">
        <v>1735.7634378524399</v>
      </c>
      <c r="L347" s="599">
        <v>1595.62659438065</v>
      </c>
      <c r="M347" s="599">
        <v>1785.5494704487501</v>
      </c>
      <c r="N347" s="599">
        <v>1349.37876366766</v>
      </c>
      <c r="O347" s="599">
        <v>339.49689728159302</v>
      </c>
      <c r="P347" s="599">
        <v>663.91852249084195</v>
      </c>
      <c r="Q347" s="599">
        <v>0</v>
      </c>
      <c r="R347" s="599">
        <v>198.357062264262</v>
      </c>
      <c r="S347" s="169">
        <f t="shared" si="31"/>
        <v>14373.015933802992</v>
      </c>
      <c r="T347" s="122" t="e">
        <f>VLOOKUP($B347,'Tech Litons'!$A:$I,9,0)</f>
        <v>#N/A</v>
      </c>
      <c r="U347" s="179" t="e">
        <f t="shared" si="30"/>
        <v>#N/A</v>
      </c>
      <c r="V347" s="179" t="e">
        <f t="shared" si="30"/>
        <v>#N/A</v>
      </c>
      <c r="W347" s="179" t="e">
        <f t="shared" si="30"/>
        <v>#N/A</v>
      </c>
      <c r="X347" s="179" t="e">
        <f t="shared" si="30"/>
        <v>#N/A</v>
      </c>
      <c r="Y347" s="179" t="e">
        <f t="shared" si="30"/>
        <v>#N/A</v>
      </c>
      <c r="Z347" s="179" t="e">
        <f t="shared" si="30"/>
        <v>#N/A</v>
      </c>
      <c r="AA347" s="179" t="e">
        <f t="shared" si="29"/>
        <v>#N/A</v>
      </c>
      <c r="AB347" s="179" t="e">
        <f t="shared" si="29"/>
        <v>#N/A</v>
      </c>
      <c r="AC347" s="179" t="e">
        <f t="shared" si="29"/>
        <v>#N/A</v>
      </c>
      <c r="AD347" s="179" t="e">
        <f t="shared" si="29"/>
        <v>#N/A</v>
      </c>
      <c r="AE347" s="179" t="e">
        <f t="shared" si="29"/>
        <v>#N/A</v>
      </c>
      <c r="AF347" s="179" t="e">
        <f t="shared" si="29"/>
        <v>#N/A</v>
      </c>
    </row>
    <row r="348" spans="2:32">
      <c r="B348" s="122">
        <f t="shared" si="28"/>
        <v>67825196</v>
      </c>
      <c r="C348" s="122" t="str">
        <f>VLOOKUP($B348,'Tech Litons'!$A:$I,3,0)</f>
        <v>2.4 Gal</v>
      </c>
      <c r="D348" s="122" t="str">
        <f>VLOOKUP($B348,'Tech Litons'!$A:$I,4,0)</f>
        <v>2.4 Gal</v>
      </c>
      <c r="E348" s="598" t="s">
        <v>529</v>
      </c>
      <c r="F348" s="598">
        <v>67825196</v>
      </c>
      <c r="G348" s="599">
        <v>782.591049041838</v>
      </c>
      <c r="H348" s="599">
        <v>652.93556651494498</v>
      </c>
      <c r="I348" s="599">
        <v>1783.2260454045399</v>
      </c>
      <c r="J348" s="599">
        <v>1271.0023157277201</v>
      </c>
      <c r="K348" s="599">
        <v>1176.6185060508101</v>
      </c>
      <c r="L348" s="599">
        <v>1538.9213802330601</v>
      </c>
      <c r="M348" s="599">
        <v>1811.3231094215</v>
      </c>
      <c r="N348" s="599">
        <v>1610.57684369038</v>
      </c>
      <c r="O348" s="599">
        <v>762.19433649384803</v>
      </c>
      <c r="P348" s="599">
        <v>575.60805169314597</v>
      </c>
      <c r="Q348" s="599">
        <v>441.82854834688197</v>
      </c>
      <c r="R348" s="599">
        <v>368.276584958424</v>
      </c>
      <c r="S348" s="169">
        <f t="shared" si="31"/>
        <v>12775.102337577095</v>
      </c>
      <c r="T348" s="122">
        <f>VLOOKUP($B348,'Tech Litons'!$A:$I,9,0)</f>
        <v>125</v>
      </c>
      <c r="U348" s="179">
        <f t="shared" si="30"/>
        <v>6.2607283923347037</v>
      </c>
      <c r="V348" s="179">
        <f t="shared" si="30"/>
        <v>5.22348453211956</v>
      </c>
      <c r="W348" s="179">
        <f t="shared" si="30"/>
        <v>14.265808363236319</v>
      </c>
      <c r="X348" s="179">
        <f t="shared" si="30"/>
        <v>10.168018525821761</v>
      </c>
      <c r="Y348" s="179">
        <f t="shared" si="30"/>
        <v>9.4129480484064807</v>
      </c>
      <c r="Z348" s="179">
        <f t="shared" si="30"/>
        <v>12.311371041864481</v>
      </c>
      <c r="AA348" s="179">
        <f t="shared" si="29"/>
        <v>14.490584875372001</v>
      </c>
      <c r="AB348" s="179">
        <f t="shared" si="29"/>
        <v>12.88461474952304</v>
      </c>
      <c r="AC348" s="179">
        <f t="shared" si="29"/>
        <v>6.0975546919507844</v>
      </c>
      <c r="AD348" s="179">
        <f t="shared" si="29"/>
        <v>4.604864413545168</v>
      </c>
      <c r="AE348" s="179">
        <f t="shared" si="29"/>
        <v>3.5346283867750556</v>
      </c>
      <c r="AF348" s="179">
        <f t="shared" si="29"/>
        <v>2.9462126796673918</v>
      </c>
    </row>
    <row r="349" spans="2:32">
      <c r="B349" s="122">
        <f t="shared" si="28"/>
        <v>84138346</v>
      </c>
      <c r="C349" s="122" t="str">
        <f>VLOOKUP($B349,'Tech Litons'!$A:$I,3,0)</f>
        <v>2.4 Gal</v>
      </c>
      <c r="D349" s="122" t="str">
        <f>VLOOKUP($B349,'Tech Litons'!$A:$I,4,0)</f>
        <v>2.4 Gal</v>
      </c>
      <c r="E349" s="598" t="s">
        <v>499</v>
      </c>
      <c r="F349" s="598">
        <v>84138346</v>
      </c>
      <c r="G349" s="599">
        <v>713.49270780453003</v>
      </c>
      <c r="H349" s="599">
        <v>692.08238651440399</v>
      </c>
      <c r="I349" s="599">
        <v>1597.3097388390399</v>
      </c>
      <c r="J349" s="599">
        <v>1214.0142691582701</v>
      </c>
      <c r="K349" s="599">
        <v>1118.49868700455</v>
      </c>
      <c r="L349" s="599">
        <v>1468.98428842712</v>
      </c>
      <c r="M349" s="599">
        <v>1707.2692585668999</v>
      </c>
      <c r="N349" s="599">
        <v>1657.0271110272399</v>
      </c>
      <c r="O349" s="599">
        <v>894.30312744577498</v>
      </c>
      <c r="P349" s="599">
        <v>624.68348121612098</v>
      </c>
      <c r="Q349" s="599">
        <v>486.90993463082702</v>
      </c>
      <c r="R349" s="599">
        <v>450.94786990827401</v>
      </c>
      <c r="S349" s="169">
        <f t="shared" si="31"/>
        <v>12625.522860543051</v>
      </c>
      <c r="T349" s="122">
        <f>VLOOKUP($B349,'Tech Litons'!$A:$I,9,0)</f>
        <v>125</v>
      </c>
      <c r="U349" s="179">
        <f t="shared" si="30"/>
        <v>5.70794166243624</v>
      </c>
      <c r="V349" s="179">
        <f t="shared" si="30"/>
        <v>5.5366590921152321</v>
      </c>
      <c r="W349" s="179">
        <f t="shared" si="30"/>
        <v>12.77847791071232</v>
      </c>
      <c r="X349" s="179">
        <f t="shared" si="30"/>
        <v>9.7121141532661603</v>
      </c>
      <c r="Y349" s="179">
        <f t="shared" si="30"/>
        <v>8.9479894960363993</v>
      </c>
      <c r="Z349" s="179">
        <f t="shared" si="30"/>
        <v>11.75187430741696</v>
      </c>
      <c r="AA349" s="179">
        <f t="shared" si="29"/>
        <v>13.658154068535199</v>
      </c>
      <c r="AB349" s="179">
        <f t="shared" si="29"/>
        <v>13.256216888217919</v>
      </c>
      <c r="AC349" s="179">
        <f t="shared" si="29"/>
        <v>7.1544250195662</v>
      </c>
      <c r="AD349" s="179">
        <f t="shared" si="29"/>
        <v>4.9974678497289675</v>
      </c>
      <c r="AE349" s="179">
        <f t="shared" si="29"/>
        <v>3.8952794770466164</v>
      </c>
      <c r="AF349" s="179">
        <f t="shared" si="29"/>
        <v>3.6075829592661921</v>
      </c>
    </row>
    <row r="350" spans="2:32">
      <c r="B350" s="122">
        <f t="shared" si="28"/>
        <v>62689431</v>
      </c>
      <c r="C350" s="122" t="str">
        <f>VLOOKUP($B350,'Tech Litons'!$A:$I,3,0)</f>
        <v>2.4 Gal</v>
      </c>
      <c r="D350" s="122" t="str">
        <f>VLOOKUP($B350,'Tech Litons'!$A:$I,4,0)</f>
        <v>2.4 Gal</v>
      </c>
      <c r="E350" s="598" t="s">
        <v>466</v>
      </c>
      <c r="F350" s="598">
        <v>62689431</v>
      </c>
      <c r="G350" s="599">
        <v>623.25030772999901</v>
      </c>
      <c r="H350" s="599">
        <v>532.27419786870598</v>
      </c>
      <c r="I350" s="599">
        <v>1622.77345560648</v>
      </c>
      <c r="J350" s="599">
        <v>1204.5511829356301</v>
      </c>
      <c r="K350" s="599">
        <v>1075.8931754324999</v>
      </c>
      <c r="L350" s="599">
        <v>1463.65611097497</v>
      </c>
      <c r="M350" s="599">
        <v>1568.5835912546099</v>
      </c>
      <c r="N350" s="599">
        <v>1345.71693488697</v>
      </c>
      <c r="O350" s="599">
        <v>772.85869684887905</v>
      </c>
      <c r="P350" s="599">
        <v>480.23675453194801</v>
      </c>
      <c r="Q350" s="599">
        <v>305.75157832939902</v>
      </c>
      <c r="R350" s="599">
        <v>514.57540008719502</v>
      </c>
      <c r="S350" s="169">
        <f t="shared" si="31"/>
        <v>11510.121386487286</v>
      </c>
      <c r="T350" s="122">
        <f>VLOOKUP($B350,'Tech Litons'!$A:$I,9,0)</f>
        <v>125</v>
      </c>
      <c r="U350" s="179">
        <f t="shared" si="30"/>
        <v>4.9860024618399921</v>
      </c>
      <c r="V350" s="179">
        <f t="shared" si="30"/>
        <v>4.258193582949648</v>
      </c>
      <c r="W350" s="179">
        <f t="shared" si="30"/>
        <v>12.982187644851839</v>
      </c>
      <c r="X350" s="179">
        <f t="shared" si="30"/>
        <v>9.636409463485041</v>
      </c>
      <c r="Y350" s="179">
        <f t="shared" si="30"/>
        <v>8.6071454034599988</v>
      </c>
      <c r="Z350" s="179">
        <f t="shared" si="30"/>
        <v>11.70924888779976</v>
      </c>
      <c r="AA350" s="179">
        <f t="shared" si="29"/>
        <v>12.54866873003688</v>
      </c>
      <c r="AB350" s="179">
        <f t="shared" si="29"/>
        <v>10.76573547909576</v>
      </c>
      <c r="AC350" s="179">
        <f t="shared" si="29"/>
        <v>6.1828695747910327</v>
      </c>
      <c r="AD350" s="179">
        <f t="shared" si="29"/>
        <v>3.8418940362555842</v>
      </c>
      <c r="AE350" s="179">
        <f t="shared" si="29"/>
        <v>2.4460126266351923</v>
      </c>
      <c r="AF350" s="179">
        <f t="shared" si="29"/>
        <v>4.1166032006975604</v>
      </c>
    </row>
    <row r="351" spans="2:32">
      <c r="B351" s="122">
        <f t="shared" si="28"/>
        <v>67278365</v>
      </c>
      <c r="C351" s="122" t="e">
        <f>VLOOKUP($B351,'Tech Litons'!$A:$I,3,0)</f>
        <v>#N/A</v>
      </c>
      <c r="D351" s="122" t="e">
        <f>VLOOKUP($B351,'Tech Litons'!$A:$I,4,0)</f>
        <v>#N/A</v>
      </c>
      <c r="E351" s="598" t="s">
        <v>467</v>
      </c>
      <c r="F351" s="598">
        <v>67278365</v>
      </c>
      <c r="G351" s="599">
        <v>590.59483334467996</v>
      </c>
      <c r="H351" s="599">
        <v>470.85563520939701</v>
      </c>
      <c r="I351" s="599">
        <v>1433.2589863067899</v>
      </c>
      <c r="J351" s="599">
        <v>1128.5871856895401</v>
      </c>
      <c r="K351" s="599">
        <v>1141.4390814457299</v>
      </c>
      <c r="L351" s="599">
        <v>1541.66050386597</v>
      </c>
      <c r="M351" s="599">
        <v>1611.15025552475</v>
      </c>
      <c r="N351" s="599">
        <v>1531.42987074998</v>
      </c>
      <c r="O351" s="599">
        <v>746.85442822013897</v>
      </c>
      <c r="P351" s="599">
        <v>501.51421219410202</v>
      </c>
      <c r="Q351" s="599">
        <v>426.84114056300501</v>
      </c>
      <c r="R351" s="599">
        <v>327.21565495339399</v>
      </c>
      <c r="S351" s="169">
        <f t="shared" si="31"/>
        <v>11451.401788067476</v>
      </c>
      <c r="T351" s="122" t="e">
        <f>VLOOKUP($B351,'Tech Litons'!$A:$I,9,0)</f>
        <v>#N/A</v>
      </c>
      <c r="U351" s="179" t="e">
        <f t="shared" si="30"/>
        <v>#N/A</v>
      </c>
      <c r="V351" s="179" t="e">
        <f t="shared" si="30"/>
        <v>#N/A</v>
      </c>
      <c r="W351" s="179" t="e">
        <f t="shared" si="30"/>
        <v>#N/A</v>
      </c>
      <c r="X351" s="179" t="e">
        <f t="shared" si="30"/>
        <v>#N/A</v>
      </c>
      <c r="Y351" s="179" t="e">
        <f t="shared" si="30"/>
        <v>#N/A</v>
      </c>
      <c r="Z351" s="179" t="e">
        <f t="shared" si="30"/>
        <v>#N/A</v>
      </c>
      <c r="AA351" s="179" t="e">
        <f t="shared" si="29"/>
        <v>#N/A</v>
      </c>
      <c r="AB351" s="179" t="e">
        <f t="shared" si="29"/>
        <v>#N/A</v>
      </c>
      <c r="AC351" s="179" t="e">
        <f t="shared" si="29"/>
        <v>#N/A</v>
      </c>
      <c r="AD351" s="179" t="e">
        <f t="shared" si="29"/>
        <v>#N/A</v>
      </c>
      <c r="AE351" s="179" t="e">
        <f t="shared" si="29"/>
        <v>#N/A</v>
      </c>
      <c r="AF351" s="179" t="e">
        <f t="shared" si="29"/>
        <v>#N/A</v>
      </c>
    </row>
    <row r="352" spans="2:32">
      <c r="B352" s="122">
        <f t="shared" ref="B352:B372" si="32">F352</f>
        <v>67825197</v>
      </c>
      <c r="C352" s="122" t="str">
        <f>VLOOKUP($B352,'Tech Litons'!$A:$I,3,0)</f>
        <v>2.4 Gal</v>
      </c>
      <c r="D352" s="122" t="str">
        <f>VLOOKUP($B352,'Tech Litons'!$A:$I,4,0)</f>
        <v>2.4 Gal</v>
      </c>
      <c r="E352" s="598" t="s">
        <v>496</v>
      </c>
      <c r="F352" s="598">
        <v>67825197</v>
      </c>
      <c r="G352" s="599">
        <v>649.643469870074</v>
      </c>
      <c r="H352" s="599">
        <v>576.11641256001406</v>
      </c>
      <c r="I352" s="599">
        <v>1381.98385334727</v>
      </c>
      <c r="J352" s="599">
        <v>1016.38057342737</v>
      </c>
      <c r="K352" s="599">
        <v>1021.4786214475801</v>
      </c>
      <c r="L352" s="599">
        <v>1372.01051606542</v>
      </c>
      <c r="M352" s="599">
        <v>1460.3775359930701</v>
      </c>
      <c r="N352" s="599">
        <v>1352.9337407385699</v>
      </c>
      <c r="O352" s="599">
        <v>782.05514932763106</v>
      </c>
      <c r="P352" s="599">
        <v>525.95752143621201</v>
      </c>
      <c r="Q352" s="599">
        <v>425.24441989033198</v>
      </c>
      <c r="R352" s="599">
        <v>344.34879187968602</v>
      </c>
      <c r="S352" s="169">
        <f t="shared" si="31"/>
        <v>10908.530605983229</v>
      </c>
      <c r="T352" s="122">
        <f>VLOOKUP($B352,'Tech Litons'!$A:$I,9,0)</f>
        <v>125</v>
      </c>
      <c r="U352" s="179">
        <f t="shared" si="30"/>
        <v>5.1971477589605923</v>
      </c>
      <c r="V352" s="179">
        <f t="shared" si="30"/>
        <v>4.608931300480112</v>
      </c>
      <c r="W352" s="179">
        <f t="shared" si="30"/>
        <v>11.055870826778161</v>
      </c>
      <c r="X352" s="179">
        <f t="shared" si="30"/>
        <v>8.1310445874189607</v>
      </c>
      <c r="Y352" s="179">
        <f t="shared" si="30"/>
        <v>8.1718289715806396</v>
      </c>
      <c r="Z352" s="179">
        <f t="shared" si="30"/>
        <v>10.976084128523359</v>
      </c>
      <c r="AA352" s="179">
        <f t="shared" si="29"/>
        <v>11.68302028794456</v>
      </c>
      <c r="AB352" s="179">
        <f t="shared" si="29"/>
        <v>10.82346992590856</v>
      </c>
      <c r="AC352" s="179">
        <f t="shared" si="29"/>
        <v>6.2564411946210488</v>
      </c>
      <c r="AD352" s="179">
        <f t="shared" si="29"/>
        <v>4.207660171489696</v>
      </c>
      <c r="AE352" s="179">
        <f t="shared" si="29"/>
        <v>3.4019553591226557</v>
      </c>
      <c r="AF352" s="179">
        <f t="shared" si="29"/>
        <v>2.7547903350374883</v>
      </c>
    </row>
    <row r="353" spans="2:32">
      <c r="B353" s="122">
        <f t="shared" si="32"/>
        <v>68729649</v>
      </c>
      <c r="C353" s="122" t="str">
        <f>VLOOKUP($B353,'Tech Litons'!$A:$I,3,0)</f>
        <v>TALENTI</v>
      </c>
      <c r="D353" s="122" t="str">
        <f>VLOOKUP($B353,'Tech Litons'!$A:$I,4,0)</f>
        <v>TALENTI</v>
      </c>
      <c r="E353" s="598" t="s">
        <v>974</v>
      </c>
      <c r="F353" s="598">
        <v>68729649</v>
      </c>
      <c r="G353" s="599">
        <v>1261.8325290253099</v>
      </c>
      <c r="H353" s="599">
        <v>835.15065456499701</v>
      </c>
      <c r="I353" s="599">
        <v>1341.36047452199</v>
      </c>
      <c r="J353" s="599">
        <v>1156.1848400066399</v>
      </c>
      <c r="K353" s="599">
        <v>993.48957602011399</v>
      </c>
      <c r="L353" s="599">
        <v>1240.7634658633999</v>
      </c>
      <c r="M353" s="599">
        <v>574.43688495977096</v>
      </c>
      <c r="N353" s="599">
        <v>903.34073776864295</v>
      </c>
      <c r="O353" s="599">
        <v>686.97726314342799</v>
      </c>
      <c r="P353" s="599">
        <v>563.026422307345</v>
      </c>
      <c r="Q353" s="599">
        <v>549.20556877347099</v>
      </c>
      <c r="R353" s="599">
        <v>660.67035460163902</v>
      </c>
      <c r="S353" s="169">
        <f t="shared" si="31"/>
        <v>10766.43877155675</v>
      </c>
      <c r="T353" s="122">
        <f>VLOOKUP($B353,'Tech Litons'!$A:$I,9,0)</f>
        <v>255</v>
      </c>
      <c r="U353" s="179">
        <f t="shared" si="30"/>
        <v>4.9483628589227839</v>
      </c>
      <c r="V353" s="179">
        <f t="shared" si="30"/>
        <v>3.2751006061372432</v>
      </c>
      <c r="W353" s="179">
        <f t="shared" si="30"/>
        <v>5.2602371549881957</v>
      </c>
      <c r="X353" s="179">
        <f t="shared" si="30"/>
        <v>4.5340581961044704</v>
      </c>
      <c r="Y353" s="179">
        <f t="shared" si="30"/>
        <v>3.8960375530200548</v>
      </c>
      <c r="Z353" s="179">
        <f t="shared" si="30"/>
        <v>4.8657390818172548</v>
      </c>
      <c r="AA353" s="179">
        <f t="shared" si="29"/>
        <v>2.2526936665089057</v>
      </c>
      <c r="AB353" s="179">
        <f t="shared" si="29"/>
        <v>3.542512697131933</v>
      </c>
      <c r="AC353" s="179">
        <f t="shared" si="29"/>
        <v>2.694028482915404</v>
      </c>
      <c r="AD353" s="179">
        <f t="shared" si="29"/>
        <v>2.2079467541464508</v>
      </c>
      <c r="AE353" s="179">
        <f t="shared" si="29"/>
        <v>2.1537473285234157</v>
      </c>
      <c r="AF353" s="179">
        <f t="shared" si="29"/>
        <v>2.5908641356927022</v>
      </c>
    </row>
    <row r="354" spans="2:32">
      <c r="B354" s="122">
        <f t="shared" si="32"/>
        <v>84139972</v>
      </c>
      <c r="C354" s="122" t="str">
        <f>VLOOKUP($B354,'Tech Litons'!$A:$I,3,0)</f>
        <v>2.4 Gal</v>
      </c>
      <c r="D354" s="122" t="str">
        <f>VLOOKUP($B354,'Tech Litons'!$A:$I,4,0)</f>
        <v>2.4 Gal</v>
      </c>
      <c r="E354" s="598" t="s">
        <v>540</v>
      </c>
      <c r="F354" s="598">
        <v>84139972</v>
      </c>
      <c r="G354" s="599">
        <v>636.44000000000005</v>
      </c>
      <c r="H354" s="599">
        <v>654.72</v>
      </c>
      <c r="I354" s="599">
        <v>1054.01</v>
      </c>
      <c r="J354" s="599">
        <v>975.45</v>
      </c>
      <c r="K354" s="599">
        <v>1021.16</v>
      </c>
      <c r="L354" s="599">
        <v>1112.8699999999999</v>
      </c>
      <c r="M354" s="599">
        <v>1292.73</v>
      </c>
      <c r="N354" s="599">
        <v>1223.5999999999999</v>
      </c>
      <c r="O354" s="599">
        <v>856.85</v>
      </c>
      <c r="P354" s="599">
        <v>694.14</v>
      </c>
      <c r="Q354" s="599">
        <v>610.42999999999995</v>
      </c>
      <c r="R354" s="599">
        <v>521.03</v>
      </c>
      <c r="S354" s="169">
        <f t="shared" si="31"/>
        <v>10653.43</v>
      </c>
      <c r="T354" s="122">
        <f>VLOOKUP($B354,'Tech Litons'!$A:$I,9,0)</f>
        <v>125</v>
      </c>
      <c r="U354" s="179">
        <f t="shared" si="30"/>
        <v>5.09152</v>
      </c>
      <c r="V354" s="179">
        <f t="shared" si="30"/>
        <v>5.2377600000000006</v>
      </c>
      <c r="W354" s="179">
        <f t="shared" si="30"/>
        <v>8.4320799999999991</v>
      </c>
      <c r="X354" s="179">
        <f t="shared" si="30"/>
        <v>7.8036000000000003</v>
      </c>
      <c r="Y354" s="179">
        <f t="shared" si="30"/>
        <v>8.1692800000000005</v>
      </c>
      <c r="Z354" s="179">
        <f t="shared" si="30"/>
        <v>8.9029599999999984</v>
      </c>
      <c r="AA354" s="179">
        <f t="shared" si="29"/>
        <v>10.341839999999999</v>
      </c>
      <c r="AB354" s="179">
        <f t="shared" si="29"/>
        <v>9.7887999999999984</v>
      </c>
      <c r="AC354" s="179">
        <f t="shared" si="29"/>
        <v>6.8548</v>
      </c>
      <c r="AD354" s="179">
        <f t="shared" si="29"/>
        <v>5.5531199999999998</v>
      </c>
      <c r="AE354" s="179">
        <f t="shared" si="29"/>
        <v>4.8834399999999993</v>
      </c>
      <c r="AF354" s="179">
        <f t="shared" si="29"/>
        <v>4.1682399999999999</v>
      </c>
    </row>
    <row r="355" spans="2:32">
      <c r="B355" s="122">
        <f t="shared" si="32"/>
        <v>64325622</v>
      </c>
      <c r="C355" s="122" t="str">
        <f>VLOOKUP($B355,'Tech Litons'!$A:$I,3,0)</f>
        <v>Yasso Sandwich</v>
      </c>
      <c r="D355" s="122" t="str">
        <f>VLOOKUP($B355,'Tech Litons'!$A:$I,4,0)</f>
        <v>Yasso Sandwich</v>
      </c>
      <c r="E355" s="598" t="s">
        <v>1035</v>
      </c>
      <c r="F355" s="598">
        <v>64325622</v>
      </c>
      <c r="G355" s="599">
        <v>1091.1777536500001</v>
      </c>
      <c r="H355" s="599">
        <v>969.82234805521898</v>
      </c>
      <c r="I355" s="599">
        <v>762.17149694901104</v>
      </c>
      <c r="J355" s="599">
        <v>721.37983935118996</v>
      </c>
      <c r="K355" s="599">
        <v>537.532830575763</v>
      </c>
      <c r="L355" s="599">
        <v>1149.39775380421</v>
      </c>
      <c r="M355" s="599">
        <v>768.70877152547098</v>
      </c>
      <c r="N355" s="599">
        <v>950.99837020114398</v>
      </c>
      <c r="O355" s="599">
        <v>774.64384363468105</v>
      </c>
      <c r="P355" s="599">
        <v>742.00266355102497</v>
      </c>
      <c r="Q355" s="599">
        <v>671.87329290946002</v>
      </c>
      <c r="R355" s="599">
        <v>682.73945767066095</v>
      </c>
      <c r="S355" s="169">
        <f t="shared" si="31"/>
        <v>9822.4484218778362</v>
      </c>
      <c r="T355" s="122">
        <f>VLOOKUP($B355,'Tech Litons'!$A:$I,9,0)</f>
        <v>189</v>
      </c>
      <c r="U355" s="179">
        <f t="shared" si="30"/>
        <v>5.773427267989419</v>
      </c>
      <c r="V355" s="179">
        <f t="shared" si="30"/>
        <v>5.1313351748953382</v>
      </c>
      <c r="W355" s="179">
        <f t="shared" si="30"/>
        <v>4.0326534230106406</v>
      </c>
      <c r="X355" s="179">
        <f t="shared" si="30"/>
        <v>3.8168245468316928</v>
      </c>
      <c r="Y355" s="179">
        <f t="shared" si="30"/>
        <v>2.8440890506654126</v>
      </c>
      <c r="Z355" s="179">
        <f t="shared" si="30"/>
        <v>6.081469596847672</v>
      </c>
      <c r="AA355" s="179">
        <f t="shared" si="29"/>
        <v>4.0672421773834442</v>
      </c>
      <c r="AB355" s="179">
        <f t="shared" si="29"/>
        <v>5.0317374084716615</v>
      </c>
      <c r="AC355" s="179">
        <f t="shared" si="29"/>
        <v>4.0986446753157724</v>
      </c>
      <c r="AD355" s="179">
        <f t="shared" si="29"/>
        <v>3.9259400187884919</v>
      </c>
      <c r="AE355" s="179">
        <f t="shared" si="29"/>
        <v>3.5548851476691006</v>
      </c>
      <c r="AF355" s="179">
        <f t="shared" si="29"/>
        <v>3.6123780829135499</v>
      </c>
    </row>
    <row r="356" spans="2:32">
      <c r="B356" s="122">
        <f t="shared" si="32"/>
        <v>64799254</v>
      </c>
      <c r="C356" s="122" t="str">
        <f>VLOOKUP($B356,'Tech Litons'!$A:$I,3,0)</f>
        <v>2.4 Gal</v>
      </c>
      <c r="D356" s="122" t="str">
        <f>VLOOKUP($B356,'Tech Litons'!$A:$I,4,0)</f>
        <v>2.4 Gal</v>
      </c>
      <c r="E356" s="598" t="s">
        <v>1038</v>
      </c>
      <c r="F356" s="598">
        <v>64799254</v>
      </c>
      <c r="G356" s="599">
        <v>707.58386299655501</v>
      </c>
      <c r="H356" s="599">
        <v>627.32915525224701</v>
      </c>
      <c r="I356" s="599">
        <v>1018.11246355138</v>
      </c>
      <c r="J356" s="599">
        <v>780.08202324632896</v>
      </c>
      <c r="K356" s="599">
        <v>742.23273848073597</v>
      </c>
      <c r="L356" s="599">
        <v>876.20542701097395</v>
      </c>
      <c r="M356" s="599">
        <v>813.75299589452197</v>
      </c>
      <c r="N356" s="599">
        <v>873.60509446982599</v>
      </c>
      <c r="O356" s="599">
        <v>632.55204539899705</v>
      </c>
      <c r="P356" s="599">
        <v>609.54910368884498</v>
      </c>
      <c r="Q356" s="599">
        <v>553.05298984613398</v>
      </c>
      <c r="R356" s="599">
        <v>507.00265629692097</v>
      </c>
      <c r="S356" s="169">
        <f t="shared" si="31"/>
        <v>8741.0605561334669</v>
      </c>
      <c r="T356" s="122">
        <f>VLOOKUP($B356,'Tech Litons'!$A:$I,9,0)</f>
        <v>125</v>
      </c>
      <c r="U356" s="179">
        <f t="shared" si="30"/>
        <v>5.6606709039724397</v>
      </c>
      <c r="V356" s="179">
        <f t="shared" si="30"/>
        <v>5.0186332420179758</v>
      </c>
      <c r="W356" s="179">
        <f t="shared" si="30"/>
        <v>8.1448997084110388</v>
      </c>
      <c r="X356" s="179">
        <f t="shared" si="30"/>
        <v>6.2406561859706313</v>
      </c>
      <c r="Y356" s="179">
        <f t="shared" si="30"/>
        <v>5.9378619078458881</v>
      </c>
      <c r="Z356" s="179">
        <f t="shared" si="30"/>
        <v>7.0096434160877914</v>
      </c>
      <c r="AA356" s="179">
        <f t="shared" si="29"/>
        <v>6.5100239671561759</v>
      </c>
      <c r="AB356" s="179">
        <f t="shared" si="29"/>
        <v>6.9888407557586083</v>
      </c>
      <c r="AC356" s="179">
        <f t="shared" si="29"/>
        <v>5.0604163631919761</v>
      </c>
      <c r="AD356" s="179">
        <f t="shared" si="29"/>
        <v>4.8763928295107597</v>
      </c>
      <c r="AE356" s="179">
        <f t="shared" si="29"/>
        <v>4.4244239187690715</v>
      </c>
      <c r="AF356" s="179">
        <f t="shared" si="29"/>
        <v>4.0560212503753679</v>
      </c>
    </row>
    <row r="357" spans="2:32">
      <c r="B357" s="122">
        <f t="shared" si="32"/>
        <v>84141035</v>
      </c>
      <c r="C357" s="122" t="str">
        <f>VLOOKUP($B357,'Tech Litons'!$A:$I,3,0)</f>
        <v>2.4 Gal</v>
      </c>
      <c r="D357" s="122" t="str">
        <f>VLOOKUP($B357,'Tech Litons'!$A:$I,4,0)</f>
        <v>2.4 Gal</v>
      </c>
      <c r="E357" s="598" t="s">
        <v>392</v>
      </c>
      <c r="F357" s="598">
        <v>84141035</v>
      </c>
      <c r="G357" s="599">
        <v>480.87850969015</v>
      </c>
      <c r="H357" s="599">
        <v>398.01573599041501</v>
      </c>
      <c r="I357" s="599">
        <v>1213.81894284791</v>
      </c>
      <c r="J357" s="599">
        <v>765.73359077808504</v>
      </c>
      <c r="K357" s="599">
        <v>689.68467811936205</v>
      </c>
      <c r="L357" s="599">
        <v>1027.88872128247</v>
      </c>
      <c r="M357" s="599">
        <v>1042.27308735939</v>
      </c>
      <c r="N357" s="599">
        <v>953.13711659599801</v>
      </c>
      <c r="O357" s="599">
        <v>507.66750608718502</v>
      </c>
      <c r="P357" s="599">
        <v>466.72715693757999</v>
      </c>
      <c r="Q357" s="599">
        <v>404.40579699719598</v>
      </c>
      <c r="R357" s="599">
        <v>335.08797725035299</v>
      </c>
      <c r="S357" s="169">
        <f t="shared" si="31"/>
        <v>8285.3188199360939</v>
      </c>
      <c r="T357" s="122">
        <f>VLOOKUP($B357,'Tech Litons'!$A:$I,9,0)</f>
        <v>125</v>
      </c>
      <c r="U357" s="179">
        <f t="shared" si="30"/>
        <v>3.8470280775212</v>
      </c>
      <c r="V357" s="179">
        <f t="shared" si="30"/>
        <v>3.1841258879233201</v>
      </c>
      <c r="W357" s="179">
        <f t="shared" si="30"/>
        <v>9.7105515427832803</v>
      </c>
      <c r="X357" s="179">
        <f t="shared" si="30"/>
        <v>6.12586872622468</v>
      </c>
      <c r="Y357" s="179">
        <f t="shared" si="30"/>
        <v>5.5174774249548966</v>
      </c>
      <c r="Z357" s="179">
        <f t="shared" si="30"/>
        <v>8.2231097702597591</v>
      </c>
      <c r="AA357" s="179">
        <f t="shared" si="29"/>
        <v>8.3381846988751196</v>
      </c>
      <c r="AB357" s="179">
        <f t="shared" si="29"/>
        <v>7.6250969327679838</v>
      </c>
      <c r="AC357" s="179">
        <f t="shared" si="29"/>
        <v>4.0613400486974802</v>
      </c>
      <c r="AD357" s="179">
        <f t="shared" si="29"/>
        <v>3.7338172555006399</v>
      </c>
      <c r="AE357" s="179">
        <f t="shared" si="29"/>
        <v>3.2352463759775678</v>
      </c>
      <c r="AF357" s="179">
        <f t="shared" si="29"/>
        <v>2.680703818002824</v>
      </c>
    </row>
    <row r="358" spans="2:32">
      <c r="B358" s="122">
        <f t="shared" si="32"/>
        <v>67568055</v>
      </c>
      <c r="C358" s="122" t="e">
        <f>VLOOKUP($B358,'Tech Litons'!$A:$I,3,0)</f>
        <v>#N/A</v>
      </c>
      <c r="D358" s="122" t="e">
        <f>VLOOKUP($B358,'Tech Litons'!$A:$I,4,0)</f>
        <v>#N/A</v>
      </c>
      <c r="E358" s="598" t="s">
        <v>1017</v>
      </c>
      <c r="F358" s="598">
        <v>67568055</v>
      </c>
      <c r="G358" s="599">
        <v>396.328519315569</v>
      </c>
      <c r="H358" s="599">
        <v>304.739008223312</v>
      </c>
      <c r="I358" s="599">
        <v>966.09842210732097</v>
      </c>
      <c r="J358" s="599">
        <v>702.01262487716997</v>
      </c>
      <c r="K358" s="599">
        <v>739.69848270322598</v>
      </c>
      <c r="L358" s="599">
        <v>936.45118911810403</v>
      </c>
      <c r="M358" s="599">
        <v>971.98242252457305</v>
      </c>
      <c r="N358" s="599">
        <v>953.31029385424495</v>
      </c>
      <c r="O358" s="599">
        <v>489.27943888149002</v>
      </c>
      <c r="P358" s="599">
        <v>451.55690385504698</v>
      </c>
      <c r="Q358" s="599">
        <v>283.32369222488398</v>
      </c>
      <c r="R358" s="599">
        <v>233.551341911078</v>
      </c>
      <c r="S358" s="169">
        <f t="shared" si="31"/>
        <v>7428.3323395960197</v>
      </c>
      <c r="T358" s="122" t="e">
        <f>VLOOKUP($B358,'Tech Litons'!$A:$I,9,0)</f>
        <v>#N/A</v>
      </c>
      <c r="U358" s="179" t="e">
        <f t="shared" si="30"/>
        <v>#N/A</v>
      </c>
      <c r="V358" s="179" t="e">
        <f t="shared" si="30"/>
        <v>#N/A</v>
      </c>
      <c r="W358" s="179" t="e">
        <f t="shared" si="30"/>
        <v>#N/A</v>
      </c>
      <c r="X358" s="179" t="e">
        <f t="shared" si="30"/>
        <v>#N/A</v>
      </c>
      <c r="Y358" s="179" t="e">
        <f t="shared" si="30"/>
        <v>#N/A</v>
      </c>
      <c r="Z358" s="179" t="e">
        <f t="shared" si="30"/>
        <v>#N/A</v>
      </c>
      <c r="AA358" s="179" t="e">
        <f t="shared" si="29"/>
        <v>#N/A</v>
      </c>
      <c r="AB358" s="179" t="e">
        <f t="shared" si="29"/>
        <v>#N/A</v>
      </c>
      <c r="AC358" s="179" t="e">
        <f t="shared" si="29"/>
        <v>#N/A</v>
      </c>
      <c r="AD358" s="179" t="e">
        <f t="shared" si="29"/>
        <v>#N/A</v>
      </c>
      <c r="AE358" s="179" t="e">
        <f t="shared" si="29"/>
        <v>#N/A</v>
      </c>
      <c r="AF358" s="179" t="e">
        <f t="shared" si="29"/>
        <v>#N/A</v>
      </c>
    </row>
    <row r="359" spans="2:32">
      <c r="B359" s="122">
        <f t="shared" si="32"/>
        <v>67278370</v>
      </c>
      <c r="C359" s="122" t="str">
        <f>VLOOKUP($B359,'Tech Litons'!$A:$I,3,0)</f>
        <v>2.4 Gal</v>
      </c>
      <c r="D359" s="122" t="str">
        <f>VLOOKUP($B359,'Tech Litons'!$A:$I,4,0)</f>
        <v>2.4 Gal</v>
      </c>
      <c r="E359" s="598" t="s">
        <v>1106</v>
      </c>
      <c r="F359" s="598">
        <v>67278370</v>
      </c>
      <c r="G359" s="599">
        <v>348.60216014407399</v>
      </c>
      <c r="H359" s="599">
        <v>248.30565837842499</v>
      </c>
      <c r="I359" s="599">
        <v>854.10856908055996</v>
      </c>
      <c r="J359" s="599">
        <v>732.328365837663</v>
      </c>
      <c r="K359" s="599">
        <v>719.58786666654703</v>
      </c>
      <c r="L359" s="599">
        <v>986.12154781950505</v>
      </c>
      <c r="M359" s="599">
        <v>1053.00733016193</v>
      </c>
      <c r="N359" s="599">
        <v>1009.57952879248</v>
      </c>
      <c r="O359" s="599">
        <v>611.64757693697595</v>
      </c>
      <c r="P359" s="599">
        <v>343.43125477484801</v>
      </c>
      <c r="Q359" s="599">
        <v>228.84901232447899</v>
      </c>
      <c r="R359" s="599">
        <v>195.36060699121299</v>
      </c>
      <c r="S359" s="169">
        <f t="shared" si="31"/>
        <v>7330.9294779087004</v>
      </c>
      <c r="T359" s="122">
        <f>VLOOKUP($B359,'Tech Litons'!$A:$I,9,0)</f>
        <v>125</v>
      </c>
      <c r="U359" s="179">
        <f t="shared" si="30"/>
        <v>2.7888172811525918</v>
      </c>
      <c r="V359" s="179">
        <f t="shared" si="30"/>
        <v>1.9864452670274</v>
      </c>
      <c r="W359" s="179">
        <f t="shared" si="30"/>
        <v>6.8328685526444799</v>
      </c>
      <c r="X359" s="179">
        <f t="shared" si="30"/>
        <v>5.8586269267013042</v>
      </c>
      <c r="Y359" s="179">
        <f t="shared" si="30"/>
        <v>5.7567029333323765</v>
      </c>
      <c r="Z359" s="179">
        <f t="shared" si="30"/>
        <v>7.8889723825560401</v>
      </c>
      <c r="AA359" s="179">
        <f t="shared" si="29"/>
        <v>8.4240586412954404</v>
      </c>
      <c r="AB359" s="179">
        <f t="shared" si="29"/>
        <v>8.0766362303398402</v>
      </c>
      <c r="AC359" s="179">
        <f t="shared" si="29"/>
        <v>4.8931806154958073</v>
      </c>
      <c r="AD359" s="179">
        <f t="shared" si="29"/>
        <v>2.7474500381987843</v>
      </c>
      <c r="AE359" s="179">
        <f t="shared" si="29"/>
        <v>1.8307920985958319</v>
      </c>
      <c r="AF359" s="179">
        <f t="shared" si="29"/>
        <v>1.5628848559297039</v>
      </c>
    </row>
    <row r="360" spans="2:32">
      <c r="B360" s="122">
        <f t="shared" si="32"/>
        <v>69600859</v>
      </c>
      <c r="C360" s="122" t="str">
        <f>VLOOKUP($B360,'Tech Litons'!$A:$I,3,0)</f>
        <v>2.4 Gal</v>
      </c>
      <c r="D360" s="122" t="str">
        <f>VLOOKUP($B360,'Tech Litons'!$A:$I,4,0)</f>
        <v>2.4 Gal</v>
      </c>
      <c r="E360" s="598" t="s">
        <v>365</v>
      </c>
      <c r="F360" s="598">
        <v>69600859</v>
      </c>
      <c r="G360" s="599">
        <v>351.89057035149398</v>
      </c>
      <c r="H360" s="599">
        <v>285.80703950644602</v>
      </c>
      <c r="I360" s="599">
        <v>955.65489961402795</v>
      </c>
      <c r="J360" s="599">
        <v>770.851901732427</v>
      </c>
      <c r="K360" s="599">
        <v>606.29813185452099</v>
      </c>
      <c r="L360" s="599">
        <v>876.81829910291503</v>
      </c>
      <c r="M360" s="599">
        <v>941.29617734312899</v>
      </c>
      <c r="N360" s="599">
        <v>964.15887979832598</v>
      </c>
      <c r="O360" s="599">
        <v>410.29390734045</v>
      </c>
      <c r="P360" s="599">
        <v>326.78365964600903</v>
      </c>
      <c r="Q360" s="599">
        <v>204.68337013946999</v>
      </c>
      <c r="R360" s="599">
        <v>234.476816300938</v>
      </c>
      <c r="S360" s="169">
        <f t="shared" si="31"/>
        <v>6929.0136527301529</v>
      </c>
      <c r="T360" s="122">
        <f>VLOOKUP($B360,'Tech Litons'!$A:$I,9,0)</f>
        <v>125</v>
      </c>
      <c r="U360" s="179">
        <f t="shared" si="30"/>
        <v>2.8151245628119517</v>
      </c>
      <c r="V360" s="179">
        <f t="shared" si="30"/>
        <v>2.2864563160515683</v>
      </c>
      <c r="W360" s="179">
        <f t="shared" si="30"/>
        <v>7.6452391969122235</v>
      </c>
      <c r="X360" s="179">
        <f t="shared" si="30"/>
        <v>6.1668152138594161</v>
      </c>
      <c r="Y360" s="179">
        <f t="shared" si="30"/>
        <v>4.8503850548361678</v>
      </c>
      <c r="Z360" s="179">
        <f t="shared" si="30"/>
        <v>7.0145463928233207</v>
      </c>
      <c r="AA360" s="179">
        <f t="shared" si="29"/>
        <v>7.5303694187450319</v>
      </c>
      <c r="AB360" s="179">
        <f t="shared" si="29"/>
        <v>7.7132710383866074</v>
      </c>
      <c r="AC360" s="179">
        <f t="shared" si="29"/>
        <v>3.2823512587236001</v>
      </c>
      <c r="AD360" s="179">
        <f t="shared" si="29"/>
        <v>2.6142692771680722</v>
      </c>
      <c r="AE360" s="179">
        <f t="shared" si="29"/>
        <v>1.63746696111576</v>
      </c>
      <c r="AF360" s="179">
        <f t="shared" si="29"/>
        <v>1.875814530407504</v>
      </c>
    </row>
    <row r="361" spans="2:32">
      <c r="B361" s="122">
        <f t="shared" si="32"/>
        <v>64799252</v>
      </c>
      <c r="C361" s="122" t="str">
        <f>VLOOKUP($B361,'Tech Litons'!$A:$I,3,0)</f>
        <v>2.4 Gal</v>
      </c>
      <c r="D361" s="122" t="str">
        <f>VLOOKUP($B361,'Tech Litons'!$A:$I,4,0)</f>
        <v>2.4 Gal</v>
      </c>
      <c r="E361" s="598" t="s">
        <v>439</v>
      </c>
      <c r="F361" s="598">
        <v>64799252</v>
      </c>
      <c r="G361" s="599">
        <v>484.82237939051799</v>
      </c>
      <c r="H361" s="599">
        <v>426.09112671459002</v>
      </c>
      <c r="I361" s="599">
        <v>712.07052737946299</v>
      </c>
      <c r="J361" s="599">
        <v>537.87730772861903</v>
      </c>
      <c r="K361" s="599">
        <v>510.17879670477299</v>
      </c>
      <c r="L361" s="599">
        <v>608.221441714604</v>
      </c>
      <c r="M361" s="599">
        <v>562.51808529827599</v>
      </c>
      <c r="N361" s="599">
        <v>606.31849057556099</v>
      </c>
      <c r="O361" s="599">
        <v>429.91329353232499</v>
      </c>
      <c r="P361" s="599">
        <v>413.07949499463899</v>
      </c>
      <c r="Q361" s="599">
        <v>371.73503520449401</v>
      </c>
      <c r="R361" s="599">
        <v>338.03490904982101</v>
      </c>
      <c r="S361" s="169">
        <f t="shared" si="31"/>
        <v>6000.8608882876833</v>
      </c>
      <c r="T361" s="122">
        <f>VLOOKUP($B361,'Tech Litons'!$A:$I,9,0)</f>
        <v>125</v>
      </c>
      <c r="U361" s="179">
        <f t="shared" si="30"/>
        <v>3.8785790351241438</v>
      </c>
      <c r="V361" s="179">
        <f t="shared" si="30"/>
        <v>3.4087290137167203</v>
      </c>
      <c r="W361" s="179">
        <f t="shared" si="30"/>
        <v>5.6965642190357038</v>
      </c>
      <c r="X361" s="179">
        <f t="shared" ref="X361:AF372" si="33">J361/$T361</f>
        <v>4.3030184618289526</v>
      </c>
      <c r="Y361" s="179">
        <f t="shared" si="33"/>
        <v>4.0814303736381836</v>
      </c>
      <c r="Z361" s="179">
        <f t="shared" si="33"/>
        <v>4.8657715337168321</v>
      </c>
      <c r="AA361" s="179">
        <f t="shared" si="29"/>
        <v>4.5001446823862077</v>
      </c>
      <c r="AB361" s="179">
        <f t="shared" si="29"/>
        <v>4.8505479246044878</v>
      </c>
      <c r="AC361" s="179">
        <f t="shared" si="29"/>
        <v>3.4393063482585999</v>
      </c>
      <c r="AD361" s="179">
        <f t="shared" si="29"/>
        <v>3.3046359599571118</v>
      </c>
      <c r="AE361" s="179">
        <f t="shared" si="29"/>
        <v>2.9738802816359522</v>
      </c>
      <c r="AF361" s="179">
        <f t="shared" si="29"/>
        <v>2.7042792723985682</v>
      </c>
    </row>
    <row r="362" spans="2:32">
      <c r="B362" s="122">
        <f t="shared" si="32"/>
        <v>64799253</v>
      </c>
      <c r="C362" s="122" t="str">
        <f>VLOOKUP($B362,'Tech Litons'!$A:$I,3,0)</f>
        <v>2.4 Gal</v>
      </c>
      <c r="D362" s="122" t="str">
        <f>VLOOKUP($B362,'Tech Litons'!$A:$I,4,0)</f>
        <v>2.4 Gal</v>
      </c>
      <c r="E362" s="598" t="s">
        <v>447</v>
      </c>
      <c r="F362" s="598">
        <v>64799253</v>
      </c>
      <c r="G362" s="599">
        <v>460.34084264490502</v>
      </c>
      <c r="H362" s="599">
        <v>375.43622667538</v>
      </c>
      <c r="I362" s="599">
        <v>788.86127862557396</v>
      </c>
      <c r="J362" s="599">
        <v>537.03950154620304</v>
      </c>
      <c r="K362" s="599">
        <v>496.99725258577701</v>
      </c>
      <c r="L362" s="599">
        <v>638.73223598768595</v>
      </c>
      <c r="M362" s="599">
        <v>572.66134956443398</v>
      </c>
      <c r="N362" s="599">
        <v>635.98124178429805</v>
      </c>
      <c r="O362" s="599">
        <v>380.96172785312501</v>
      </c>
      <c r="P362" s="599">
        <v>356.62600990007701</v>
      </c>
      <c r="Q362" s="599">
        <v>296.85654609655103</v>
      </c>
      <c r="R362" s="599">
        <v>248.13808464851601</v>
      </c>
      <c r="S362" s="169">
        <f t="shared" si="31"/>
        <v>5788.6322979125271</v>
      </c>
      <c r="T362" s="122">
        <f>VLOOKUP($B362,'Tech Litons'!$A:$I,9,0)</f>
        <v>125</v>
      </c>
      <c r="U362" s="179">
        <f t="shared" ref="U362:W372" si="34">G362/$T362</f>
        <v>3.6827267411592404</v>
      </c>
      <c r="V362" s="179">
        <f t="shared" si="34"/>
        <v>3.0034898134030401</v>
      </c>
      <c r="W362" s="179">
        <f t="shared" si="34"/>
        <v>6.3108902290045918</v>
      </c>
      <c r="X362" s="179">
        <f t="shared" si="33"/>
        <v>4.2963160123696245</v>
      </c>
      <c r="Y362" s="179">
        <f t="shared" si="33"/>
        <v>3.9759780206862159</v>
      </c>
      <c r="Z362" s="179">
        <f t="shared" si="33"/>
        <v>5.1098578879014873</v>
      </c>
      <c r="AA362" s="179">
        <f t="shared" si="33"/>
        <v>4.5812907965154714</v>
      </c>
      <c r="AB362" s="179">
        <f t="shared" si="33"/>
        <v>5.0878499342743844</v>
      </c>
      <c r="AC362" s="179">
        <f t="shared" si="33"/>
        <v>3.0476938228249999</v>
      </c>
      <c r="AD362" s="179">
        <f t="shared" si="33"/>
        <v>2.8530080792006163</v>
      </c>
      <c r="AE362" s="179">
        <f t="shared" si="33"/>
        <v>2.3748523687724084</v>
      </c>
      <c r="AF362" s="179">
        <f t="shared" si="33"/>
        <v>1.985104677188128</v>
      </c>
    </row>
    <row r="363" spans="2:32">
      <c r="B363" s="122">
        <f t="shared" si="32"/>
        <v>64343267</v>
      </c>
      <c r="C363" s="122" t="str">
        <f>VLOOKUP($B363,'Tech Litons'!$A:$I,3,0)</f>
        <v>B&amp;J Cups</v>
      </c>
      <c r="D363" s="122" t="str">
        <f>VLOOKUP($B363,'Tech Litons'!$A:$I,4,0)</f>
        <v>B&amp;J Cups</v>
      </c>
      <c r="E363" s="598" t="s">
        <v>1107</v>
      </c>
      <c r="F363" s="598">
        <v>64343267</v>
      </c>
      <c r="G363" s="599">
        <v>127.74</v>
      </c>
      <c r="H363" s="599">
        <v>172.44</v>
      </c>
      <c r="I363" s="599">
        <v>399.55</v>
      </c>
      <c r="J363" s="599">
        <v>541.30999999999995</v>
      </c>
      <c r="K363" s="599">
        <v>357.76</v>
      </c>
      <c r="L363" s="599">
        <v>244.35</v>
      </c>
      <c r="M363" s="599">
        <v>274.45</v>
      </c>
      <c r="N363" s="599">
        <v>463.14</v>
      </c>
      <c r="O363" s="599">
        <v>418.16</v>
      </c>
      <c r="P363" s="599">
        <v>281.58999999999997</v>
      </c>
      <c r="Q363" s="599">
        <v>165.17</v>
      </c>
      <c r="R363" s="599">
        <v>151.86000000000001</v>
      </c>
      <c r="S363" s="169">
        <f t="shared" si="31"/>
        <v>3597.52</v>
      </c>
      <c r="T363" s="122">
        <f>VLOOKUP($B363,'Tech Litons'!$A:$I,9,0)</f>
        <v>50</v>
      </c>
      <c r="U363" s="179">
        <f t="shared" si="34"/>
        <v>2.5547999999999997</v>
      </c>
      <c r="V363" s="179">
        <f t="shared" si="34"/>
        <v>3.4487999999999999</v>
      </c>
      <c r="W363" s="179">
        <f t="shared" si="34"/>
        <v>7.9910000000000005</v>
      </c>
      <c r="X363" s="179">
        <f t="shared" si="33"/>
        <v>10.826199999999998</v>
      </c>
      <c r="Y363" s="179">
        <f t="shared" si="33"/>
        <v>7.1551999999999998</v>
      </c>
      <c r="Z363" s="179">
        <f t="shared" si="33"/>
        <v>4.8869999999999996</v>
      </c>
      <c r="AA363" s="179">
        <f t="shared" si="33"/>
        <v>5.4889999999999999</v>
      </c>
      <c r="AB363" s="179">
        <f t="shared" si="33"/>
        <v>9.2628000000000004</v>
      </c>
      <c r="AC363" s="179">
        <f t="shared" si="33"/>
        <v>8.3632000000000009</v>
      </c>
      <c r="AD363" s="179">
        <f t="shared" si="33"/>
        <v>5.6317999999999993</v>
      </c>
      <c r="AE363" s="179">
        <f t="shared" si="33"/>
        <v>3.3033999999999999</v>
      </c>
      <c r="AF363" s="179">
        <f t="shared" si="33"/>
        <v>3.0372000000000003</v>
      </c>
    </row>
    <row r="364" spans="2:32">
      <c r="B364" s="122">
        <f t="shared" si="32"/>
        <v>64343704</v>
      </c>
      <c r="C364" s="122" t="str">
        <f>VLOOKUP($B364,'Tech Litons'!$A:$I,3,0)</f>
        <v>B&amp;J Cups</v>
      </c>
      <c r="D364" s="122" t="str">
        <f>VLOOKUP($B364,'Tech Litons'!$A:$I,4,0)</f>
        <v>B&amp;J Cups</v>
      </c>
      <c r="E364" s="598" t="s">
        <v>573</v>
      </c>
      <c r="F364" s="598">
        <v>64343704</v>
      </c>
      <c r="G364" s="599">
        <v>183.45</v>
      </c>
      <c r="H364" s="599">
        <v>257.32</v>
      </c>
      <c r="I364" s="599">
        <v>357.15</v>
      </c>
      <c r="J364" s="599">
        <v>487.58</v>
      </c>
      <c r="K364" s="599">
        <v>316.88</v>
      </c>
      <c r="L364" s="599">
        <v>281.13</v>
      </c>
      <c r="M364" s="599">
        <v>299.58</v>
      </c>
      <c r="N364" s="599">
        <v>368.58</v>
      </c>
      <c r="O364" s="599">
        <v>258.89</v>
      </c>
      <c r="P364" s="599">
        <v>179.75</v>
      </c>
      <c r="Q364" s="599">
        <v>201.87</v>
      </c>
      <c r="R364" s="599">
        <v>187.88</v>
      </c>
      <c r="S364" s="169">
        <f t="shared" si="31"/>
        <v>3380.06</v>
      </c>
      <c r="T364" s="122">
        <f>VLOOKUP($B364,'Tech Litons'!$A:$I,9,0)</f>
        <v>50</v>
      </c>
      <c r="U364" s="179">
        <f t="shared" si="34"/>
        <v>3.6689999999999996</v>
      </c>
      <c r="V364" s="179">
        <f t="shared" si="34"/>
        <v>5.1463999999999999</v>
      </c>
      <c r="W364" s="179">
        <f t="shared" si="34"/>
        <v>7.1429999999999998</v>
      </c>
      <c r="X364" s="179">
        <f t="shared" si="33"/>
        <v>9.7515999999999998</v>
      </c>
      <c r="Y364" s="179">
        <f t="shared" si="33"/>
        <v>6.3376000000000001</v>
      </c>
      <c r="Z364" s="179">
        <f t="shared" si="33"/>
        <v>5.6226000000000003</v>
      </c>
      <c r="AA364" s="179">
        <f t="shared" si="33"/>
        <v>5.9916</v>
      </c>
      <c r="AB364" s="179">
        <f t="shared" si="33"/>
        <v>7.3715999999999999</v>
      </c>
      <c r="AC364" s="179">
        <f t="shared" si="33"/>
        <v>5.1777999999999995</v>
      </c>
      <c r="AD364" s="179">
        <f t="shared" si="33"/>
        <v>3.5950000000000002</v>
      </c>
      <c r="AE364" s="179">
        <f t="shared" si="33"/>
        <v>4.0373999999999999</v>
      </c>
      <c r="AF364" s="179">
        <f t="shared" si="33"/>
        <v>3.7576000000000001</v>
      </c>
    </row>
    <row r="365" spans="2:32">
      <c r="B365" s="122">
        <f t="shared" si="32"/>
        <v>69779642</v>
      </c>
      <c r="C365" s="122" t="e">
        <f>VLOOKUP($B365,'Tech Litons'!$A:$I,3,0)</f>
        <v>#N/A</v>
      </c>
      <c r="D365" s="122" t="e">
        <f>VLOOKUP($B365,'Tech Litons'!$A:$I,4,0)</f>
        <v>#N/A</v>
      </c>
      <c r="E365" s="598" t="s">
        <v>1041</v>
      </c>
      <c r="F365" s="598">
        <v>69779642</v>
      </c>
      <c r="G365" s="599">
        <v>0</v>
      </c>
      <c r="H365" s="599">
        <v>0</v>
      </c>
      <c r="I365" s="599">
        <v>1695.4722319832099</v>
      </c>
      <c r="J365" s="599">
        <v>1751.07680486454</v>
      </c>
      <c r="K365" s="599">
        <v>587.65801459800298</v>
      </c>
      <c r="L365" s="599">
        <v>1784.77077320134</v>
      </c>
      <c r="M365" s="599">
        <v>2045.0596327329699</v>
      </c>
      <c r="N365" s="599">
        <v>473.19670360507803</v>
      </c>
      <c r="O365" s="599">
        <v>0</v>
      </c>
      <c r="P365" s="599">
        <v>0</v>
      </c>
      <c r="Q365" s="599">
        <v>0</v>
      </c>
      <c r="R365" s="599">
        <v>0</v>
      </c>
      <c r="S365" s="169">
        <f t="shared" si="31"/>
        <v>8337.2341609851392</v>
      </c>
      <c r="T365" s="122" t="e">
        <f>VLOOKUP($B365,'Tech Litons'!$A:$I,9,0)</f>
        <v>#N/A</v>
      </c>
      <c r="U365" s="179" t="e">
        <f t="shared" si="34"/>
        <v>#N/A</v>
      </c>
      <c r="V365" s="179" t="e">
        <f t="shared" si="34"/>
        <v>#N/A</v>
      </c>
      <c r="W365" s="179" t="e">
        <f t="shared" si="34"/>
        <v>#N/A</v>
      </c>
      <c r="X365" s="179" t="e">
        <f t="shared" si="33"/>
        <v>#N/A</v>
      </c>
      <c r="Y365" s="179" t="e">
        <f t="shared" si="33"/>
        <v>#N/A</v>
      </c>
      <c r="Z365" s="179" t="e">
        <f t="shared" si="33"/>
        <v>#N/A</v>
      </c>
      <c r="AA365" s="179" t="e">
        <f t="shared" si="33"/>
        <v>#N/A</v>
      </c>
      <c r="AB365" s="179" t="e">
        <f t="shared" si="33"/>
        <v>#N/A</v>
      </c>
      <c r="AC365" s="179" t="e">
        <f t="shared" si="33"/>
        <v>#N/A</v>
      </c>
      <c r="AD365" s="179" t="e">
        <f t="shared" si="33"/>
        <v>#N/A</v>
      </c>
      <c r="AE365" s="179" t="e">
        <f t="shared" si="33"/>
        <v>#N/A</v>
      </c>
      <c r="AF365" s="179" t="e">
        <f t="shared" si="33"/>
        <v>#N/A</v>
      </c>
    </row>
    <row r="366" spans="2:32">
      <c r="B366" s="122">
        <f t="shared" si="32"/>
        <v>17093</v>
      </c>
      <c r="C366" s="122" t="str">
        <f>VLOOKUP($B366,'Tech Litons'!$A:$I,3,0)</f>
        <v>2.4 Gal</v>
      </c>
      <c r="D366" s="122" t="str">
        <f>VLOOKUP($B366,'Tech Litons'!$A:$I,4,0)</f>
        <v>2.4 Gal</v>
      </c>
      <c r="E366" s="598" t="s">
        <v>1025</v>
      </c>
      <c r="F366" s="598">
        <v>17093</v>
      </c>
      <c r="G366" s="599">
        <v>134.13999999999999</v>
      </c>
      <c r="H366" s="599">
        <v>135.15</v>
      </c>
      <c r="I366" s="599">
        <v>194.45</v>
      </c>
      <c r="J366" s="599">
        <v>175.17</v>
      </c>
      <c r="K366" s="599">
        <v>194.16</v>
      </c>
      <c r="L366" s="599">
        <v>188.59</v>
      </c>
      <c r="M366" s="599">
        <v>176.87</v>
      </c>
      <c r="N366" s="599">
        <v>182.02</v>
      </c>
      <c r="O366" s="599">
        <v>155.44</v>
      </c>
      <c r="P366" s="599">
        <v>146.59</v>
      </c>
      <c r="Q366" s="599">
        <v>113.71</v>
      </c>
      <c r="R366" s="599">
        <v>129.13999999999999</v>
      </c>
      <c r="S366" s="169">
        <f t="shared" si="31"/>
        <v>1925.4299999999998</v>
      </c>
      <c r="T366" s="122">
        <f>VLOOKUP($B366,'Tech Litons'!$A:$I,9,0)</f>
        <v>50</v>
      </c>
      <c r="U366" s="179">
        <f t="shared" si="34"/>
        <v>2.6827999999999999</v>
      </c>
      <c r="V366" s="179">
        <f t="shared" si="34"/>
        <v>2.7030000000000003</v>
      </c>
      <c r="W366" s="179">
        <f t="shared" si="34"/>
        <v>3.8889999999999998</v>
      </c>
      <c r="X366" s="179">
        <f t="shared" si="33"/>
        <v>3.5033999999999996</v>
      </c>
      <c r="Y366" s="179">
        <f t="shared" si="33"/>
        <v>3.8832</v>
      </c>
      <c r="Z366" s="179">
        <f t="shared" si="33"/>
        <v>3.7718000000000003</v>
      </c>
      <c r="AA366" s="179">
        <f t="shared" si="33"/>
        <v>3.5373999999999999</v>
      </c>
      <c r="AB366" s="179">
        <f t="shared" si="33"/>
        <v>3.6404000000000001</v>
      </c>
      <c r="AC366" s="179">
        <f t="shared" si="33"/>
        <v>3.1088</v>
      </c>
      <c r="AD366" s="179">
        <f t="shared" si="33"/>
        <v>2.9318</v>
      </c>
      <c r="AE366" s="179">
        <f t="shared" si="33"/>
        <v>2.2742</v>
      </c>
      <c r="AF366" s="179">
        <f t="shared" si="33"/>
        <v>2.5827999999999998</v>
      </c>
    </row>
    <row r="367" spans="2:32">
      <c r="B367" s="122">
        <f t="shared" si="32"/>
        <v>17090</v>
      </c>
      <c r="C367" s="122" t="str">
        <f>VLOOKUP($B367,'Tech Litons'!$A:$I,3,0)</f>
        <v>2.4 Gal</v>
      </c>
      <c r="D367" s="122" t="str">
        <f>VLOOKUP($B367,'Tech Litons'!$A:$I,4,0)</f>
        <v>2.4 Gal</v>
      </c>
      <c r="E367" s="598" t="s">
        <v>1024</v>
      </c>
      <c r="F367" s="598">
        <v>17090</v>
      </c>
      <c r="G367" s="599">
        <v>79.010000000000005</v>
      </c>
      <c r="H367" s="599">
        <v>66.150000000000006</v>
      </c>
      <c r="I367" s="599">
        <v>108.89</v>
      </c>
      <c r="J367" s="599">
        <v>96.88</v>
      </c>
      <c r="K367" s="599">
        <v>129.59</v>
      </c>
      <c r="L367" s="599">
        <v>98.31</v>
      </c>
      <c r="M367" s="599">
        <v>103.16</v>
      </c>
      <c r="N367" s="599">
        <v>100.75</v>
      </c>
      <c r="O367" s="599">
        <v>73.88</v>
      </c>
      <c r="P367" s="599">
        <v>83.72</v>
      </c>
      <c r="Q367" s="599">
        <v>68.03</v>
      </c>
      <c r="R367" s="599">
        <v>68.89</v>
      </c>
      <c r="S367" s="169">
        <f t="shared" si="31"/>
        <v>1077.26</v>
      </c>
      <c r="T367" s="122">
        <f>VLOOKUP($B367,'Tech Litons'!$A:$I,9,0)</f>
        <v>50</v>
      </c>
      <c r="U367" s="179">
        <f t="shared" si="34"/>
        <v>1.5802</v>
      </c>
      <c r="V367" s="179">
        <f t="shared" si="34"/>
        <v>1.3230000000000002</v>
      </c>
      <c r="W367" s="179">
        <f t="shared" si="34"/>
        <v>2.1778</v>
      </c>
      <c r="X367" s="179">
        <f t="shared" si="33"/>
        <v>1.9376</v>
      </c>
      <c r="Y367" s="179">
        <f t="shared" si="33"/>
        <v>2.5918000000000001</v>
      </c>
      <c r="Z367" s="179">
        <f t="shared" si="33"/>
        <v>1.9661999999999999</v>
      </c>
      <c r="AA367" s="179">
        <f t="shared" si="33"/>
        <v>2.0632000000000001</v>
      </c>
      <c r="AB367" s="179">
        <f t="shared" si="33"/>
        <v>2.0150000000000001</v>
      </c>
      <c r="AC367" s="179">
        <f t="shared" si="33"/>
        <v>1.4775999999999998</v>
      </c>
      <c r="AD367" s="179">
        <f t="shared" si="33"/>
        <v>1.6743999999999999</v>
      </c>
      <c r="AE367" s="179">
        <f t="shared" si="33"/>
        <v>1.3606</v>
      </c>
      <c r="AF367" s="179">
        <f t="shared" si="33"/>
        <v>1.3777999999999999</v>
      </c>
    </row>
    <row r="368" spans="2:32">
      <c r="B368" s="122">
        <f t="shared" si="32"/>
        <v>68730253</v>
      </c>
      <c r="C368" s="122" t="e">
        <f>VLOOKUP($B368,'Tech Litons'!$A:$I,3,0)</f>
        <v>#N/A</v>
      </c>
      <c r="D368" s="122" t="e">
        <f>VLOOKUP($B368,'Tech Litons'!$A:$I,4,0)</f>
        <v>#N/A</v>
      </c>
      <c r="E368" s="598" t="s">
        <v>559</v>
      </c>
      <c r="F368" s="598">
        <v>68730253</v>
      </c>
      <c r="G368" s="600">
        <v>26.289810838646801</v>
      </c>
      <c r="H368" s="599">
        <v>5.5879924806081096</v>
      </c>
      <c r="I368" s="599">
        <v>32.686021113759999</v>
      </c>
      <c r="J368" s="599">
        <v>51.3553378461975</v>
      </c>
      <c r="K368" s="599">
        <v>33.023680080876403</v>
      </c>
      <c r="L368" s="599">
        <v>214.47672798859799</v>
      </c>
      <c r="M368" s="599">
        <v>135.99028356036399</v>
      </c>
      <c r="N368" s="599">
        <v>151.606261736455</v>
      </c>
      <c r="O368" s="599">
        <v>127.516465864267</v>
      </c>
      <c r="P368" s="599">
        <v>114.099928324304</v>
      </c>
      <c r="Q368" s="599">
        <v>80.302561163352905</v>
      </c>
      <c r="R368" s="599">
        <v>14.317994761495299</v>
      </c>
      <c r="S368" s="169">
        <f t="shared" si="31"/>
        <v>987.253065758925</v>
      </c>
      <c r="T368" s="122" t="e">
        <f>VLOOKUP($B368,'Tech Litons'!$A:$I,9,0)</f>
        <v>#N/A</v>
      </c>
      <c r="U368" s="179" t="e">
        <f t="shared" si="34"/>
        <v>#N/A</v>
      </c>
      <c r="V368" s="179" t="e">
        <f t="shared" si="34"/>
        <v>#N/A</v>
      </c>
      <c r="W368" s="179" t="e">
        <f t="shared" si="34"/>
        <v>#N/A</v>
      </c>
      <c r="X368" s="179" t="e">
        <f t="shared" si="33"/>
        <v>#N/A</v>
      </c>
      <c r="Y368" s="179" t="e">
        <f t="shared" si="33"/>
        <v>#N/A</v>
      </c>
      <c r="Z368" s="179" t="e">
        <f t="shared" si="33"/>
        <v>#N/A</v>
      </c>
      <c r="AA368" s="179" t="e">
        <f t="shared" si="33"/>
        <v>#N/A</v>
      </c>
      <c r="AB368" s="179" t="e">
        <f t="shared" si="33"/>
        <v>#N/A</v>
      </c>
      <c r="AC368" s="179" t="e">
        <f t="shared" si="33"/>
        <v>#N/A</v>
      </c>
      <c r="AD368" s="179" t="e">
        <f t="shared" si="33"/>
        <v>#N/A</v>
      </c>
      <c r="AE368" s="179" t="e">
        <f t="shared" si="33"/>
        <v>#N/A</v>
      </c>
      <c r="AF368" s="179" t="e">
        <f t="shared" si="33"/>
        <v>#N/A</v>
      </c>
    </row>
    <row r="369" spans="2:32">
      <c r="B369" s="122">
        <f t="shared" si="32"/>
        <v>84143543</v>
      </c>
      <c r="C369" s="122" t="e">
        <f>VLOOKUP($B369,'Tech Litons'!$A:$I,3,0)</f>
        <v>#N/A</v>
      </c>
      <c r="D369" s="122" t="e">
        <f>VLOOKUP($B369,'Tech Litons'!$A:$I,4,0)</f>
        <v>#N/A</v>
      </c>
      <c r="E369" s="598" t="s">
        <v>1016</v>
      </c>
      <c r="F369" s="598">
        <v>84143543</v>
      </c>
      <c r="G369" s="599">
        <v>33.602506098396297</v>
      </c>
      <c r="H369" s="599">
        <v>0</v>
      </c>
      <c r="I369" s="599">
        <v>252.889855564437</v>
      </c>
      <c r="J369" s="599">
        <v>84.798851214215603</v>
      </c>
      <c r="K369" s="599">
        <v>58.070655097649002</v>
      </c>
      <c r="L369" s="599">
        <v>152.67873859187301</v>
      </c>
      <c r="M369" s="599">
        <v>108.57643026095499</v>
      </c>
      <c r="N369" s="599">
        <v>150.84245030905501</v>
      </c>
      <c r="O369" s="599">
        <v>0</v>
      </c>
      <c r="P369" s="599">
        <v>0</v>
      </c>
      <c r="Q369" s="599">
        <v>0</v>
      </c>
      <c r="R369" s="599">
        <v>0</v>
      </c>
      <c r="S369" s="169">
        <f t="shared" si="31"/>
        <v>841.45948713658095</v>
      </c>
      <c r="T369" s="122" t="e">
        <f>VLOOKUP($B369,'Tech Litons'!$A:$I,9,0)</f>
        <v>#N/A</v>
      </c>
      <c r="U369" s="179" t="e">
        <f t="shared" si="34"/>
        <v>#N/A</v>
      </c>
      <c r="V369" s="179" t="e">
        <f t="shared" si="34"/>
        <v>#N/A</v>
      </c>
      <c r="W369" s="179" t="e">
        <f t="shared" si="34"/>
        <v>#N/A</v>
      </c>
      <c r="X369" s="179" t="e">
        <f t="shared" si="33"/>
        <v>#N/A</v>
      </c>
      <c r="Y369" s="179" t="e">
        <f t="shared" si="33"/>
        <v>#N/A</v>
      </c>
      <c r="Z369" s="179" t="e">
        <f t="shared" si="33"/>
        <v>#N/A</v>
      </c>
      <c r="AA369" s="179" t="e">
        <f t="shared" si="33"/>
        <v>#N/A</v>
      </c>
      <c r="AB369" s="179" t="e">
        <f t="shared" si="33"/>
        <v>#N/A</v>
      </c>
      <c r="AC369" s="179" t="e">
        <f t="shared" si="33"/>
        <v>#N/A</v>
      </c>
      <c r="AD369" s="179" t="e">
        <f t="shared" si="33"/>
        <v>#N/A</v>
      </c>
      <c r="AE369" s="179" t="e">
        <f t="shared" si="33"/>
        <v>#N/A</v>
      </c>
      <c r="AF369" s="179" t="e">
        <f t="shared" si="33"/>
        <v>#N/A</v>
      </c>
    </row>
    <row r="370" spans="2:32">
      <c r="B370" s="122">
        <f t="shared" si="32"/>
        <v>84163646</v>
      </c>
      <c r="C370" s="122" t="e">
        <f>VLOOKUP($B370,'Tech Litons'!$A:$I,3,0)</f>
        <v>#N/A</v>
      </c>
      <c r="D370" s="122" t="e">
        <f>VLOOKUP($B370,'Tech Litons'!$A:$I,4,0)</f>
        <v>#N/A</v>
      </c>
      <c r="E370" s="598" t="s">
        <v>1015</v>
      </c>
      <c r="F370" s="598">
        <v>84163646</v>
      </c>
      <c r="G370" s="599">
        <v>25.101254339255298</v>
      </c>
      <c r="H370" s="599">
        <v>0</v>
      </c>
      <c r="I370" s="599">
        <v>188.91009396002801</v>
      </c>
      <c r="J370" s="599">
        <v>63.345201865948802</v>
      </c>
      <c r="K370" s="599">
        <v>43.379094374238498</v>
      </c>
      <c r="L370" s="599">
        <v>114.05184596556499</v>
      </c>
      <c r="M370" s="599">
        <v>81.107182400265401</v>
      </c>
      <c r="N370" s="599">
        <v>112.68012865697401</v>
      </c>
      <c r="O370" s="599">
        <v>0</v>
      </c>
      <c r="P370" s="599">
        <v>0</v>
      </c>
      <c r="Q370" s="599">
        <v>0</v>
      </c>
      <c r="R370" s="599">
        <v>0</v>
      </c>
      <c r="S370" s="169">
        <f t="shared" si="31"/>
        <v>628.57480156227496</v>
      </c>
      <c r="T370" s="122" t="e">
        <f>VLOOKUP($B370,'Tech Litons'!$A:$I,9,0)</f>
        <v>#N/A</v>
      </c>
      <c r="U370" s="179" t="e">
        <f t="shared" si="34"/>
        <v>#N/A</v>
      </c>
      <c r="V370" s="179" t="e">
        <f t="shared" si="34"/>
        <v>#N/A</v>
      </c>
      <c r="W370" s="179" t="e">
        <f t="shared" si="34"/>
        <v>#N/A</v>
      </c>
      <c r="X370" s="179" t="e">
        <f t="shared" si="33"/>
        <v>#N/A</v>
      </c>
      <c r="Y370" s="179" t="e">
        <f t="shared" si="33"/>
        <v>#N/A</v>
      </c>
      <c r="Z370" s="179" t="e">
        <f t="shared" si="33"/>
        <v>#N/A</v>
      </c>
      <c r="AA370" s="179" t="e">
        <f t="shared" si="33"/>
        <v>#N/A</v>
      </c>
      <c r="AB370" s="179" t="e">
        <f t="shared" si="33"/>
        <v>#N/A</v>
      </c>
      <c r="AC370" s="179" t="e">
        <f t="shared" si="33"/>
        <v>#N/A</v>
      </c>
      <c r="AD370" s="179" t="e">
        <f t="shared" si="33"/>
        <v>#N/A</v>
      </c>
      <c r="AE370" s="179" t="e">
        <f t="shared" si="33"/>
        <v>#N/A</v>
      </c>
      <c r="AF370" s="179" t="e">
        <f t="shared" si="33"/>
        <v>#N/A</v>
      </c>
    </row>
    <row r="371" spans="2:32">
      <c r="B371" s="122">
        <f t="shared" si="32"/>
        <v>68655558</v>
      </c>
      <c r="C371" s="122" t="e">
        <f>VLOOKUP($B371,'Tech Litons'!$A:$I,3,0)</f>
        <v>#N/A</v>
      </c>
      <c r="D371" s="122" t="e">
        <f>VLOOKUP($B371,'Tech Litons'!$A:$I,4,0)</f>
        <v>#N/A</v>
      </c>
      <c r="E371" s="598" t="s">
        <v>1018</v>
      </c>
      <c r="F371" s="598">
        <v>68655558</v>
      </c>
      <c r="G371" s="599">
        <v>15.2359732176146</v>
      </c>
      <c r="H371" s="599">
        <v>0</v>
      </c>
      <c r="I371" s="599">
        <v>114.66475313191199</v>
      </c>
      <c r="J371" s="599">
        <v>38.4493056024155</v>
      </c>
      <c r="K371" s="599">
        <v>26.330266653514201</v>
      </c>
      <c r="L371" s="599">
        <v>69.227252433888296</v>
      </c>
      <c r="M371" s="599">
        <v>49.230482353786897</v>
      </c>
      <c r="N371" s="599">
        <v>68.394646704574498</v>
      </c>
      <c r="O371" s="599">
        <v>0</v>
      </c>
      <c r="P371" s="599">
        <v>0</v>
      </c>
      <c r="Q371" s="599">
        <v>0</v>
      </c>
      <c r="R371" s="599">
        <v>0</v>
      </c>
      <c r="S371" s="169">
        <f t="shared" si="31"/>
        <v>381.53268009770596</v>
      </c>
      <c r="T371" s="122" t="e">
        <f>VLOOKUP($B371,'Tech Litons'!$A:$I,9,0)</f>
        <v>#N/A</v>
      </c>
      <c r="U371" s="179" t="e">
        <f t="shared" si="34"/>
        <v>#N/A</v>
      </c>
      <c r="V371" s="179" t="e">
        <f t="shared" si="34"/>
        <v>#N/A</v>
      </c>
      <c r="W371" s="179" t="e">
        <f t="shared" si="34"/>
        <v>#N/A</v>
      </c>
      <c r="X371" s="179" t="e">
        <f t="shared" si="33"/>
        <v>#N/A</v>
      </c>
      <c r="Y371" s="179" t="e">
        <f t="shared" si="33"/>
        <v>#N/A</v>
      </c>
      <c r="Z371" s="179" t="e">
        <f t="shared" si="33"/>
        <v>#N/A</v>
      </c>
      <c r="AA371" s="179" t="e">
        <f t="shared" si="33"/>
        <v>#N/A</v>
      </c>
      <c r="AB371" s="179" t="e">
        <f t="shared" si="33"/>
        <v>#N/A</v>
      </c>
      <c r="AC371" s="179" t="e">
        <f t="shared" si="33"/>
        <v>#N/A</v>
      </c>
      <c r="AD371" s="179" t="e">
        <f t="shared" si="33"/>
        <v>#N/A</v>
      </c>
      <c r="AE371" s="179" t="e">
        <f t="shared" si="33"/>
        <v>#N/A</v>
      </c>
      <c r="AF371" s="179" t="e">
        <f t="shared" si="33"/>
        <v>#N/A</v>
      </c>
    </row>
    <row r="372" spans="2:32">
      <c r="B372" s="122">
        <f t="shared" si="32"/>
        <v>64775322</v>
      </c>
      <c r="C372" s="122" t="str">
        <f>VLOOKUP($B372,'Tech Litons'!$A:$I,3,0)</f>
        <v>2.4 Gal</v>
      </c>
      <c r="D372" s="122" t="str">
        <f>VLOOKUP($B372,'Tech Litons'!$A:$I,4,0)</f>
        <v>2.4 Gal</v>
      </c>
      <c r="E372" s="598" t="s">
        <v>1037</v>
      </c>
      <c r="F372" s="598">
        <v>64775322</v>
      </c>
      <c r="G372" s="599">
        <v>14.814522087352</v>
      </c>
      <c r="H372" s="599">
        <v>0</v>
      </c>
      <c r="I372" s="599">
        <v>111.49294460229</v>
      </c>
      <c r="J372" s="599">
        <v>37.385736963084099</v>
      </c>
      <c r="K372" s="599">
        <v>25.601929809996498</v>
      </c>
      <c r="L372" s="599">
        <v>67.312317078823398</v>
      </c>
      <c r="M372" s="599">
        <v>47.868689304204402</v>
      </c>
      <c r="N372" s="599">
        <v>66.502742541588404</v>
      </c>
      <c r="O372" s="599">
        <v>0</v>
      </c>
      <c r="P372" s="599">
        <v>0</v>
      </c>
      <c r="Q372" s="599">
        <v>0</v>
      </c>
      <c r="R372" s="599">
        <v>0</v>
      </c>
      <c r="S372" s="169">
        <f t="shared" si="31"/>
        <v>370.97888238733879</v>
      </c>
      <c r="T372" s="122">
        <f>VLOOKUP($B372,'Tech Litons'!$A:$I,9,0)</f>
        <v>125</v>
      </c>
      <c r="U372" s="179">
        <f t="shared" si="34"/>
        <v>0.11851617669881599</v>
      </c>
      <c r="V372" s="179">
        <f t="shared" si="34"/>
        <v>0</v>
      </c>
      <c r="W372" s="179">
        <f t="shared" si="34"/>
        <v>0.89194355681831994</v>
      </c>
      <c r="X372" s="179">
        <f t="shared" si="33"/>
        <v>0.29908589570467281</v>
      </c>
      <c r="Y372" s="179">
        <f t="shared" si="33"/>
        <v>0.204815438479972</v>
      </c>
      <c r="Z372" s="179">
        <f t="shared" si="33"/>
        <v>0.53849853663058722</v>
      </c>
      <c r="AA372" s="179">
        <f t="shared" si="33"/>
        <v>0.38294951443363523</v>
      </c>
      <c r="AB372" s="179">
        <f t="shared" si="33"/>
        <v>0.53202194033270722</v>
      </c>
      <c r="AC372" s="179">
        <f t="shared" si="33"/>
        <v>0</v>
      </c>
      <c r="AD372" s="179">
        <f t="shared" si="33"/>
        <v>0</v>
      </c>
      <c r="AE372" s="179">
        <f t="shared" si="33"/>
        <v>0</v>
      </c>
      <c r="AF372" s="179">
        <f t="shared" si="33"/>
        <v>0</v>
      </c>
    </row>
  </sheetData>
  <autoFilter ref="A3:AF372" xr:uid="{5C604139-D7F1-4F01-9E73-4221508B2B82}"/>
  <mergeCells count="1">
    <mergeCell ref="G1:R1"/>
  </mergeCells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2FAE-396C-4982-B949-853E63193A59}">
  <sheetPr codeName="Sheet15"/>
  <dimension ref="A1:AC121"/>
  <sheetViews>
    <sheetView zoomScale="60" zoomScaleNormal="60" workbookViewId="0">
      <selection activeCell="D11" sqref="D11"/>
    </sheetView>
  </sheetViews>
  <sheetFormatPr defaultRowHeight="15"/>
  <cols>
    <col min="1" max="1" width="36.5703125" bestFit="1" customWidth="1"/>
    <col min="2" max="2" width="17.42578125" bestFit="1" customWidth="1"/>
    <col min="3" max="4" width="7.42578125" bestFit="1" customWidth="1"/>
    <col min="5" max="5" width="10.5703125" bestFit="1" customWidth="1"/>
    <col min="6" max="6" width="6.5703125" bestFit="1" customWidth="1"/>
    <col min="7" max="7" width="8" bestFit="1" customWidth="1"/>
    <col min="8" max="14" width="6.5703125" bestFit="1" customWidth="1"/>
    <col min="15" max="15" width="10.5703125" bestFit="1" customWidth="1"/>
    <col min="17" max="18" width="13.5703125" bestFit="1" customWidth="1"/>
    <col min="19" max="19" width="12.5703125" bestFit="1" customWidth="1"/>
    <col min="20" max="28" width="13.5703125" bestFit="1" customWidth="1"/>
    <col min="29" max="29" width="14.5703125" bestFit="1" customWidth="1"/>
  </cols>
  <sheetData>
    <row r="1" spans="1:29">
      <c r="A1" s="57" t="s">
        <v>170</v>
      </c>
      <c r="B1" s="58">
        <v>2904</v>
      </c>
    </row>
    <row r="2" spans="1:29">
      <c r="A2" s="57" t="s">
        <v>639</v>
      </c>
      <c r="B2" t="s">
        <v>1111</v>
      </c>
    </row>
    <row r="4" spans="1:29">
      <c r="A4" s="57" t="s">
        <v>1112</v>
      </c>
      <c r="B4" s="57" t="s">
        <v>14</v>
      </c>
    </row>
    <row r="5" spans="1:29">
      <c r="A5" s="57" t="s">
        <v>17</v>
      </c>
      <c r="B5" t="s">
        <v>68</v>
      </c>
      <c r="C5" t="s">
        <v>69</v>
      </c>
      <c r="D5" t="s">
        <v>70</v>
      </c>
      <c r="E5" t="s">
        <v>47</v>
      </c>
    </row>
    <row r="6" spans="1:29">
      <c r="A6" s="58" t="s">
        <v>231</v>
      </c>
      <c r="B6">
        <v>88037</v>
      </c>
      <c r="C6">
        <v>102223</v>
      </c>
      <c r="D6">
        <v>92219</v>
      </c>
      <c r="E6" s="50">
        <v>282479</v>
      </c>
      <c r="Q6" s="105" t="s">
        <v>68</v>
      </c>
      <c r="R6" s="105" t="s">
        <v>69</v>
      </c>
      <c r="S6" s="105" t="s">
        <v>70</v>
      </c>
      <c r="T6" s="105" t="s">
        <v>71</v>
      </c>
      <c r="U6" s="105" t="s">
        <v>72</v>
      </c>
      <c r="V6" s="105" t="s">
        <v>73</v>
      </c>
      <c r="W6" s="105" t="s">
        <v>74</v>
      </c>
      <c r="X6" s="105" t="s">
        <v>75</v>
      </c>
      <c r="Y6" s="105" t="s">
        <v>76</v>
      </c>
      <c r="Z6" s="105" t="s">
        <v>77</v>
      </c>
      <c r="AA6" s="105" t="s">
        <v>78</v>
      </c>
      <c r="AB6" s="105" t="s">
        <v>79</v>
      </c>
      <c r="AC6" s="106" t="s">
        <v>1113</v>
      </c>
    </row>
    <row r="7" spans="1:29">
      <c r="A7" s="69" t="s">
        <v>362</v>
      </c>
      <c r="B7">
        <v>0</v>
      </c>
      <c r="C7">
        <v>53411</v>
      </c>
      <c r="D7">
        <v>0</v>
      </c>
      <c r="E7" s="50">
        <v>53411</v>
      </c>
      <c r="O7">
        <v>48</v>
      </c>
      <c r="Q7" s="56">
        <f>B7*$O7</f>
        <v>0</v>
      </c>
      <c r="R7" s="56">
        <f t="shared" ref="R7:AB10" si="0">C7*$O7</f>
        <v>2563728</v>
      </c>
      <c r="S7" s="56">
        <f t="shared" si="0"/>
        <v>0</v>
      </c>
      <c r="T7" s="56">
        <f t="shared" si="0"/>
        <v>2563728</v>
      </c>
      <c r="U7" s="56">
        <f t="shared" si="0"/>
        <v>0</v>
      </c>
      <c r="V7" s="56">
        <f t="shared" si="0"/>
        <v>0</v>
      </c>
      <c r="W7" s="56">
        <f t="shared" si="0"/>
        <v>0</v>
      </c>
      <c r="X7" s="56">
        <f t="shared" si="0"/>
        <v>0</v>
      </c>
      <c r="Y7" s="56">
        <f t="shared" si="0"/>
        <v>0</v>
      </c>
      <c r="Z7" s="56">
        <f t="shared" si="0"/>
        <v>0</v>
      </c>
      <c r="AA7" s="56">
        <f t="shared" si="0"/>
        <v>0</v>
      </c>
      <c r="AB7" s="56">
        <f t="shared" si="0"/>
        <v>0</v>
      </c>
      <c r="AC7" s="56">
        <f>SUM(Q7:AB7)</f>
        <v>5127456</v>
      </c>
    </row>
    <row r="8" spans="1:29">
      <c r="A8" s="69" t="s">
        <v>509</v>
      </c>
      <c r="B8">
        <v>19049</v>
      </c>
      <c r="D8">
        <v>50600</v>
      </c>
      <c r="E8" s="50">
        <v>69649</v>
      </c>
      <c r="O8">
        <v>48</v>
      </c>
      <c r="Q8" s="56">
        <f t="shared" ref="Q8:Q10" si="1">B8*$O8</f>
        <v>914352</v>
      </c>
      <c r="R8" s="56">
        <f t="shared" si="0"/>
        <v>0</v>
      </c>
      <c r="S8" s="56">
        <f t="shared" si="0"/>
        <v>2428800</v>
      </c>
      <c r="T8" s="56">
        <f t="shared" si="0"/>
        <v>3343152</v>
      </c>
      <c r="U8" s="56">
        <f t="shared" si="0"/>
        <v>0</v>
      </c>
      <c r="V8" s="56">
        <f t="shared" si="0"/>
        <v>0</v>
      </c>
      <c r="W8" s="56">
        <f t="shared" si="0"/>
        <v>0</v>
      </c>
      <c r="X8" s="56">
        <f t="shared" si="0"/>
        <v>0</v>
      </c>
      <c r="Y8" s="56">
        <f t="shared" si="0"/>
        <v>0</v>
      </c>
      <c r="Z8" s="56">
        <f t="shared" si="0"/>
        <v>0</v>
      </c>
      <c r="AA8" s="56">
        <f t="shared" si="0"/>
        <v>0</v>
      </c>
      <c r="AB8" s="56">
        <f t="shared" si="0"/>
        <v>0</v>
      </c>
      <c r="AC8" s="56">
        <f t="shared" ref="AC8:AC40" si="2">SUM(Q8:AB8)</f>
        <v>6686304</v>
      </c>
    </row>
    <row r="9" spans="1:29">
      <c r="A9" s="69" t="s">
        <v>388</v>
      </c>
      <c r="B9">
        <v>68988</v>
      </c>
      <c r="C9">
        <v>48812</v>
      </c>
      <c r="D9">
        <v>41619</v>
      </c>
      <c r="E9" s="50">
        <v>159419</v>
      </c>
      <c r="O9">
        <v>48</v>
      </c>
      <c r="Q9" s="56">
        <f t="shared" si="1"/>
        <v>3311424</v>
      </c>
      <c r="R9" s="56">
        <f t="shared" si="0"/>
        <v>2342976</v>
      </c>
      <c r="S9" s="56">
        <f t="shared" si="0"/>
        <v>1997712</v>
      </c>
      <c r="T9" s="56">
        <f t="shared" si="0"/>
        <v>7652112</v>
      </c>
      <c r="U9" s="56">
        <f t="shared" si="0"/>
        <v>0</v>
      </c>
      <c r="V9" s="56">
        <f t="shared" si="0"/>
        <v>0</v>
      </c>
      <c r="W9" s="56">
        <f t="shared" si="0"/>
        <v>0</v>
      </c>
      <c r="X9" s="56">
        <f t="shared" si="0"/>
        <v>0</v>
      </c>
      <c r="Y9" s="56">
        <f t="shared" si="0"/>
        <v>0</v>
      </c>
      <c r="Z9" s="56">
        <f t="shared" si="0"/>
        <v>0</v>
      </c>
      <c r="AA9" s="56">
        <f t="shared" si="0"/>
        <v>0</v>
      </c>
      <c r="AB9" s="56">
        <f t="shared" si="0"/>
        <v>0</v>
      </c>
      <c r="AC9" s="56">
        <f t="shared" si="2"/>
        <v>15304224</v>
      </c>
    </row>
    <row r="10" spans="1:29">
      <c r="A10" s="58" t="s">
        <v>283</v>
      </c>
      <c r="B10">
        <v>186372</v>
      </c>
      <c r="C10">
        <v>173769</v>
      </c>
      <c r="D10">
        <v>288940</v>
      </c>
      <c r="E10" s="50">
        <v>649081</v>
      </c>
      <c r="O10">
        <v>36</v>
      </c>
      <c r="Q10" s="56">
        <f t="shared" si="1"/>
        <v>6709392</v>
      </c>
      <c r="R10" s="56">
        <f t="shared" si="0"/>
        <v>6255684</v>
      </c>
      <c r="S10" s="56">
        <f t="shared" si="0"/>
        <v>10401840</v>
      </c>
      <c r="T10" s="56">
        <f t="shared" si="0"/>
        <v>23366916</v>
      </c>
      <c r="U10" s="56">
        <f t="shared" si="0"/>
        <v>0</v>
      </c>
      <c r="V10" s="56">
        <f t="shared" si="0"/>
        <v>0</v>
      </c>
      <c r="W10" s="56">
        <f t="shared" si="0"/>
        <v>0</v>
      </c>
      <c r="X10" s="56">
        <f t="shared" si="0"/>
        <v>0</v>
      </c>
      <c r="Y10" s="56">
        <f t="shared" si="0"/>
        <v>0</v>
      </c>
      <c r="Z10" s="56">
        <f t="shared" si="0"/>
        <v>0</v>
      </c>
      <c r="AA10" s="56">
        <f t="shared" si="0"/>
        <v>0</v>
      </c>
      <c r="AB10" s="56">
        <f t="shared" si="0"/>
        <v>0</v>
      </c>
      <c r="AC10" s="56">
        <f t="shared" si="2"/>
        <v>46733832</v>
      </c>
    </row>
    <row r="11" spans="1:29">
      <c r="A11" s="69" t="s">
        <v>379</v>
      </c>
      <c r="B11">
        <v>8029</v>
      </c>
      <c r="C11">
        <v>0</v>
      </c>
      <c r="D11">
        <v>28174</v>
      </c>
      <c r="E11" s="50">
        <v>36203</v>
      </c>
      <c r="P11" t="s">
        <v>231</v>
      </c>
      <c r="Q11" s="107">
        <f>SUM(Q7:Q10)</f>
        <v>10935168</v>
      </c>
      <c r="R11" s="107">
        <f t="shared" ref="R11:AB11" si="3">SUM(R7:R10)</f>
        <v>11162388</v>
      </c>
      <c r="S11" s="107">
        <f t="shared" si="3"/>
        <v>14828352</v>
      </c>
      <c r="T11" s="107">
        <f t="shared" si="3"/>
        <v>36925908</v>
      </c>
      <c r="U11" s="107">
        <f t="shared" si="3"/>
        <v>0</v>
      </c>
      <c r="V11" s="107">
        <f t="shared" si="3"/>
        <v>0</v>
      </c>
      <c r="W11" s="107">
        <f t="shared" si="3"/>
        <v>0</v>
      </c>
      <c r="X11" s="107">
        <f t="shared" si="3"/>
        <v>0</v>
      </c>
      <c r="Y11" s="107">
        <f t="shared" si="3"/>
        <v>0</v>
      </c>
      <c r="Z11" s="107">
        <f t="shared" si="3"/>
        <v>0</v>
      </c>
      <c r="AA11" s="107">
        <f t="shared" si="3"/>
        <v>0</v>
      </c>
      <c r="AB11" s="107">
        <f t="shared" si="3"/>
        <v>0</v>
      </c>
      <c r="AC11" s="107">
        <f t="shared" si="2"/>
        <v>73851816</v>
      </c>
    </row>
    <row r="12" spans="1:29">
      <c r="A12" s="69" t="s">
        <v>334</v>
      </c>
      <c r="C12">
        <v>27998</v>
      </c>
      <c r="E12" s="50">
        <v>27998</v>
      </c>
      <c r="O12">
        <v>24</v>
      </c>
      <c r="Q12" s="56">
        <f t="shared" ref="Q12:Q31" si="4">B12*$O12</f>
        <v>0</v>
      </c>
      <c r="R12" s="56">
        <f t="shared" ref="R12:R31" si="5">C12*$O12</f>
        <v>671952</v>
      </c>
      <c r="S12" s="56">
        <f t="shared" ref="S12:S31" si="6">D12*$O12</f>
        <v>0</v>
      </c>
      <c r="T12" s="56">
        <f t="shared" ref="T12:T31" si="7">E12*$O12</f>
        <v>671952</v>
      </c>
      <c r="U12" s="56">
        <f t="shared" ref="U12:U31" si="8">F12*$O12</f>
        <v>0</v>
      </c>
      <c r="V12" s="56">
        <f t="shared" ref="V12:V31" si="9">G12*$O12</f>
        <v>0</v>
      </c>
      <c r="W12" s="56">
        <f t="shared" ref="W12:W31" si="10">H12*$O12</f>
        <v>0</v>
      </c>
      <c r="X12" s="56">
        <f t="shared" ref="X12:X31" si="11">I12*$O12</f>
        <v>0</v>
      </c>
      <c r="Y12" s="56">
        <f t="shared" ref="Y12:Y31" si="12">J12*$O12</f>
        <v>0</v>
      </c>
      <c r="Z12" s="56">
        <f t="shared" ref="Z12:Z31" si="13">K12*$O12</f>
        <v>0</v>
      </c>
      <c r="AA12" s="56">
        <f t="shared" ref="AA12:AA31" si="14">L12*$O12</f>
        <v>0</v>
      </c>
      <c r="AB12" s="56">
        <f t="shared" ref="AB12:AB31" si="15">M12*$O12</f>
        <v>0</v>
      </c>
      <c r="AC12" s="56">
        <f t="shared" si="2"/>
        <v>1343904</v>
      </c>
    </row>
    <row r="13" spans="1:29">
      <c r="A13" s="69" t="s">
        <v>909</v>
      </c>
      <c r="B13">
        <v>16551</v>
      </c>
      <c r="C13">
        <v>0</v>
      </c>
      <c r="E13" s="50">
        <v>16551</v>
      </c>
      <c r="O13">
        <v>12</v>
      </c>
      <c r="Q13" s="56">
        <f t="shared" si="4"/>
        <v>198612</v>
      </c>
      <c r="R13" s="56">
        <f t="shared" si="5"/>
        <v>0</v>
      </c>
      <c r="S13" s="56">
        <f t="shared" si="6"/>
        <v>0</v>
      </c>
      <c r="T13" s="56">
        <f t="shared" si="7"/>
        <v>198612</v>
      </c>
      <c r="U13" s="56">
        <f t="shared" si="8"/>
        <v>0</v>
      </c>
      <c r="V13" s="56">
        <f t="shared" si="9"/>
        <v>0</v>
      </c>
      <c r="W13" s="56">
        <f t="shared" si="10"/>
        <v>0</v>
      </c>
      <c r="X13" s="56">
        <f t="shared" si="11"/>
        <v>0</v>
      </c>
      <c r="Y13" s="56">
        <f t="shared" si="12"/>
        <v>0</v>
      </c>
      <c r="Z13" s="56">
        <f t="shared" si="13"/>
        <v>0</v>
      </c>
      <c r="AA13" s="56">
        <f t="shared" si="14"/>
        <v>0</v>
      </c>
      <c r="AB13" s="56">
        <f t="shared" si="15"/>
        <v>0</v>
      </c>
      <c r="AC13" s="56">
        <f t="shared" si="2"/>
        <v>397224</v>
      </c>
    </row>
    <row r="14" spans="1:29">
      <c r="A14" s="69" t="s">
        <v>893</v>
      </c>
      <c r="B14">
        <v>86132</v>
      </c>
      <c r="C14">
        <v>63924</v>
      </c>
      <c r="E14" s="50">
        <v>150056</v>
      </c>
      <c r="O14">
        <v>24</v>
      </c>
      <c r="Q14" s="56">
        <f t="shared" si="4"/>
        <v>2067168</v>
      </c>
      <c r="R14" s="56">
        <f t="shared" si="5"/>
        <v>1534176</v>
      </c>
      <c r="S14" s="56">
        <f t="shared" si="6"/>
        <v>0</v>
      </c>
      <c r="T14" s="56">
        <f t="shared" si="7"/>
        <v>3601344</v>
      </c>
      <c r="U14" s="56">
        <f t="shared" si="8"/>
        <v>0</v>
      </c>
      <c r="V14" s="56">
        <f t="shared" si="9"/>
        <v>0</v>
      </c>
      <c r="W14" s="56">
        <f t="shared" si="10"/>
        <v>0</v>
      </c>
      <c r="X14" s="56">
        <f t="shared" si="11"/>
        <v>0</v>
      </c>
      <c r="Y14" s="56">
        <f t="shared" si="12"/>
        <v>0</v>
      </c>
      <c r="Z14" s="56">
        <f t="shared" si="13"/>
        <v>0</v>
      </c>
      <c r="AA14" s="56">
        <f t="shared" si="14"/>
        <v>0</v>
      </c>
      <c r="AB14" s="56">
        <f t="shared" si="15"/>
        <v>0</v>
      </c>
      <c r="AC14" s="56">
        <f t="shared" si="2"/>
        <v>7202688</v>
      </c>
    </row>
    <row r="15" spans="1:29">
      <c r="A15" s="69" t="s">
        <v>1023</v>
      </c>
      <c r="C15">
        <v>0</v>
      </c>
      <c r="D15">
        <v>90510</v>
      </c>
      <c r="E15" s="50">
        <v>90510</v>
      </c>
      <c r="O15">
        <v>24</v>
      </c>
      <c r="Q15" s="56">
        <f t="shared" si="4"/>
        <v>0</v>
      </c>
      <c r="R15" s="56">
        <f t="shared" si="5"/>
        <v>0</v>
      </c>
      <c r="S15" s="56">
        <f t="shared" si="6"/>
        <v>2172240</v>
      </c>
      <c r="T15" s="56">
        <f t="shared" si="7"/>
        <v>2172240</v>
      </c>
      <c r="U15" s="56">
        <f t="shared" si="8"/>
        <v>0</v>
      </c>
      <c r="V15" s="56">
        <f t="shared" si="9"/>
        <v>0</v>
      </c>
      <c r="W15" s="56">
        <f t="shared" si="10"/>
        <v>0</v>
      </c>
      <c r="X15" s="56">
        <f t="shared" si="11"/>
        <v>0</v>
      </c>
      <c r="Y15" s="56">
        <f t="shared" si="12"/>
        <v>0</v>
      </c>
      <c r="Z15" s="56">
        <f t="shared" si="13"/>
        <v>0</v>
      </c>
      <c r="AA15" s="56">
        <f t="shared" si="14"/>
        <v>0</v>
      </c>
      <c r="AB15" s="56">
        <f t="shared" si="15"/>
        <v>0</v>
      </c>
      <c r="AC15" s="56">
        <f t="shared" si="2"/>
        <v>4344480</v>
      </c>
    </row>
    <row r="16" spans="1:29">
      <c r="A16" s="69" t="s">
        <v>913</v>
      </c>
      <c r="B16">
        <v>22414</v>
      </c>
      <c r="C16">
        <v>5978</v>
      </c>
      <c r="D16">
        <v>20299</v>
      </c>
      <c r="E16" s="50">
        <v>48691</v>
      </c>
      <c r="O16">
        <v>12</v>
      </c>
      <c r="Q16" s="56">
        <f t="shared" si="4"/>
        <v>268968</v>
      </c>
      <c r="R16" s="56">
        <f t="shared" si="5"/>
        <v>71736</v>
      </c>
      <c r="S16" s="56">
        <f t="shared" si="6"/>
        <v>243588</v>
      </c>
      <c r="T16" s="56">
        <f t="shared" si="7"/>
        <v>584292</v>
      </c>
      <c r="U16" s="56">
        <f t="shared" si="8"/>
        <v>0</v>
      </c>
      <c r="V16" s="56">
        <f t="shared" si="9"/>
        <v>0</v>
      </c>
      <c r="W16" s="56">
        <f t="shared" si="10"/>
        <v>0</v>
      </c>
      <c r="X16" s="56">
        <f t="shared" si="11"/>
        <v>0</v>
      </c>
      <c r="Y16" s="56">
        <f t="shared" si="12"/>
        <v>0</v>
      </c>
      <c r="Z16" s="56">
        <f t="shared" si="13"/>
        <v>0</v>
      </c>
      <c r="AA16" s="56">
        <f t="shared" si="14"/>
        <v>0</v>
      </c>
      <c r="AB16" s="56">
        <f t="shared" si="15"/>
        <v>0</v>
      </c>
      <c r="AC16" s="56">
        <f t="shared" si="2"/>
        <v>1168584</v>
      </c>
    </row>
    <row r="17" spans="1:29">
      <c r="A17" s="69" t="s">
        <v>917</v>
      </c>
      <c r="B17">
        <v>6965</v>
      </c>
      <c r="C17">
        <v>11855</v>
      </c>
      <c r="E17" s="50">
        <v>18820</v>
      </c>
      <c r="O17">
        <v>24</v>
      </c>
      <c r="Q17" s="56">
        <f t="shared" si="4"/>
        <v>167160</v>
      </c>
      <c r="R17" s="56">
        <f t="shared" si="5"/>
        <v>284520</v>
      </c>
      <c r="S17" s="56">
        <f t="shared" si="6"/>
        <v>0</v>
      </c>
      <c r="T17" s="56">
        <f t="shared" si="7"/>
        <v>451680</v>
      </c>
      <c r="U17" s="56">
        <f t="shared" si="8"/>
        <v>0</v>
      </c>
      <c r="V17" s="56">
        <f t="shared" si="9"/>
        <v>0</v>
      </c>
      <c r="W17" s="56">
        <f t="shared" si="10"/>
        <v>0</v>
      </c>
      <c r="X17" s="56">
        <f t="shared" si="11"/>
        <v>0</v>
      </c>
      <c r="Y17" s="56">
        <f t="shared" si="12"/>
        <v>0</v>
      </c>
      <c r="Z17" s="56">
        <f t="shared" si="13"/>
        <v>0</v>
      </c>
      <c r="AA17" s="56">
        <f t="shared" si="14"/>
        <v>0</v>
      </c>
      <c r="AB17" s="56">
        <f t="shared" si="15"/>
        <v>0</v>
      </c>
      <c r="AC17" s="56">
        <f t="shared" si="2"/>
        <v>903360</v>
      </c>
    </row>
    <row r="18" spans="1:29">
      <c r="A18" s="69" t="s">
        <v>886</v>
      </c>
      <c r="B18">
        <v>33597</v>
      </c>
      <c r="C18">
        <v>0</v>
      </c>
      <c r="E18" s="50">
        <v>33597</v>
      </c>
      <c r="O18">
        <v>12</v>
      </c>
      <c r="Q18" s="56">
        <f t="shared" si="4"/>
        <v>403164</v>
      </c>
      <c r="R18" s="56">
        <f t="shared" si="5"/>
        <v>0</v>
      </c>
      <c r="S18" s="56">
        <f t="shared" si="6"/>
        <v>0</v>
      </c>
      <c r="T18" s="56">
        <f t="shared" si="7"/>
        <v>403164</v>
      </c>
      <c r="U18" s="56">
        <f t="shared" si="8"/>
        <v>0</v>
      </c>
      <c r="V18" s="56">
        <f t="shared" si="9"/>
        <v>0</v>
      </c>
      <c r="W18" s="56">
        <f t="shared" si="10"/>
        <v>0</v>
      </c>
      <c r="X18" s="56">
        <f t="shared" si="11"/>
        <v>0</v>
      </c>
      <c r="Y18" s="56">
        <f t="shared" si="12"/>
        <v>0</v>
      </c>
      <c r="Z18" s="56">
        <f t="shared" si="13"/>
        <v>0</v>
      </c>
      <c r="AA18" s="56">
        <f t="shared" si="14"/>
        <v>0</v>
      </c>
      <c r="AB18" s="56">
        <f t="shared" si="15"/>
        <v>0</v>
      </c>
      <c r="AC18" s="56">
        <f t="shared" si="2"/>
        <v>806328</v>
      </c>
    </row>
    <row r="19" spans="1:29">
      <c r="A19" s="69" t="s">
        <v>910</v>
      </c>
      <c r="B19">
        <v>0</v>
      </c>
      <c r="E19" s="50">
        <v>0</v>
      </c>
      <c r="O19">
        <v>12</v>
      </c>
      <c r="Q19" s="56">
        <f t="shared" si="4"/>
        <v>0</v>
      </c>
      <c r="R19" s="56">
        <f t="shared" si="5"/>
        <v>0</v>
      </c>
      <c r="S19" s="56">
        <f t="shared" si="6"/>
        <v>0</v>
      </c>
      <c r="T19" s="56">
        <f t="shared" si="7"/>
        <v>0</v>
      </c>
      <c r="U19" s="56">
        <f t="shared" si="8"/>
        <v>0</v>
      </c>
      <c r="V19" s="56">
        <f t="shared" si="9"/>
        <v>0</v>
      </c>
      <c r="W19" s="56">
        <f t="shared" si="10"/>
        <v>0</v>
      </c>
      <c r="X19" s="56">
        <f t="shared" si="11"/>
        <v>0</v>
      </c>
      <c r="Y19" s="56">
        <f t="shared" si="12"/>
        <v>0</v>
      </c>
      <c r="Z19" s="56">
        <f t="shared" si="13"/>
        <v>0</v>
      </c>
      <c r="AA19" s="56">
        <f t="shared" si="14"/>
        <v>0</v>
      </c>
      <c r="AB19" s="56">
        <f t="shared" si="15"/>
        <v>0</v>
      </c>
      <c r="AC19" s="56">
        <f t="shared" si="2"/>
        <v>0</v>
      </c>
    </row>
    <row r="20" spans="1:29">
      <c r="A20" s="69" t="s">
        <v>914</v>
      </c>
      <c r="B20">
        <v>12684</v>
      </c>
      <c r="C20">
        <v>64014</v>
      </c>
      <c r="D20">
        <v>97377</v>
      </c>
      <c r="E20" s="50">
        <v>174075</v>
      </c>
      <c r="O20">
        <v>24</v>
      </c>
      <c r="Q20" s="56">
        <f t="shared" si="4"/>
        <v>304416</v>
      </c>
      <c r="R20" s="56">
        <f t="shared" si="5"/>
        <v>1536336</v>
      </c>
      <c r="S20" s="56">
        <f t="shared" si="6"/>
        <v>2337048</v>
      </c>
      <c r="T20" s="56">
        <f t="shared" si="7"/>
        <v>4177800</v>
      </c>
      <c r="U20" s="56">
        <f t="shared" si="8"/>
        <v>0</v>
      </c>
      <c r="V20" s="56">
        <f t="shared" si="9"/>
        <v>0</v>
      </c>
      <c r="W20" s="56">
        <f t="shared" si="10"/>
        <v>0</v>
      </c>
      <c r="X20" s="56">
        <f t="shared" si="11"/>
        <v>0</v>
      </c>
      <c r="Y20" s="56">
        <f t="shared" si="12"/>
        <v>0</v>
      </c>
      <c r="Z20" s="56">
        <f t="shared" si="13"/>
        <v>0</v>
      </c>
      <c r="AA20" s="56">
        <f t="shared" si="14"/>
        <v>0</v>
      </c>
      <c r="AB20" s="56">
        <f t="shared" si="15"/>
        <v>0</v>
      </c>
      <c r="AC20" s="56">
        <f t="shared" si="2"/>
        <v>8355600</v>
      </c>
    </row>
    <row r="21" spans="1:29">
      <c r="A21" s="69" t="s">
        <v>558</v>
      </c>
      <c r="C21">
        <v>0</v>
      </c>
      <c r="E21" s="50">
        <v>0</v>
      </c>
      <c r="O21">
        <v>24</v>
      </c>
      <c r="Q21" s="56">
        <f t="shared" si="4"/>
        <v>0</v>
      </c>
      <c r="R21" s="56">
        <f t="shared" si="5"/>
        <v>0</v>
      </c>
      <c r="S21" s="56">
        <f t="shared" si="6"/>
        <v>0</v>
      </c>
      <c r="T21" s="56">
        <f t="shared" si="7"/>
        <v>0</v>
      </c>
      <c r="U21" s="56">
        <f t="shared" si="8"/>
        <v>0</v>
      </c>
      <c r="V21" s="56">
        <f t="shared" si="9"/>
        <v>0</v>
      </c>
      <c r="W21" s="56">
        <f t="shared" si="10"/>
        <v>0</v>
      </c>
      <c r="X21" s="56">
        <f t="shared" si="11"/>
        <v>0</v>
      </c>
      <c r="Y21" s="56">
        <f t="shared" si="12"/>
        <v>0</v>
      </c>
      <c r="Z21" s="56">
        <f t="shared" si="13"/>
        <v>0</v>
      </c>
      <c r="AA21" s="56">
        <f t="shared" si="14"/>
        <v>0</v>
      </c>
      <c r="AB21" s="56">
        <f t="shared" si="15"/>
        <v>0</v>
      </c>
      <c r="AC21" s="56">
        <f t="shared" si="2"/>
        <v>0</v>
      </c>
    </row>
    <row r="22" spans="1:29">
      <c r="A22" s="69" t="s">
        <v>912</v>
      </c>
      <c r="D22">
        <v>52580</v>
      </c>
      <c r="E22" s="50">
        <v>52580</v>
      </c>
      <c r="O22">
        <v>24</v>
      </c>
      <c r="Q22" s="56">
        <f t="shared" si="4"/>
        <v>0</v>
      </c>
      <c r="R22" s="56">
        <f t="shared" si="5"/>
        <v>0</v>
      </c>
      <c r="S22" s="56">
        <f t="shared" si="6"/>
        <v>1261920</v>
      </c>
      <c r="T22" s="56">
        <f t="shared" si="7"/>
        <v>1261920</v>
      </c>
      <c r="U22" s="56">
        <f t="shared" si="8"/>
        <v>0</v>
      </c>
      <c r="V22" s="56">
        <f t="shared" si="9"/>
        <v>0</v>
      </c>
      <c r="W22" s="56">
        <f t="shared" si="10"/>
        <v>0</v>
      </c>
      <c r="X22" s="56">
        <f t="shared" si="11"/>
        <v>0</v>
      </c>
      <c r="Y22" s="56">
        <f t="shared" si="12"/>
        <v>0</v>
      </c>
      <c r="Z22" s="56">
        <f t="shared" si="13"/>
        <v>0</v>
      </c>
      <c r="AA22" s="56">
        <f t="shared" si="14"/>
        <v>0</v>
      </c>
      <c r="AB22" s="56">
        <f t="shared" si="15"/>
        <v>0</v>
      </c>
      <c r="AC22" s="56">
        <f t="shared" si="2"/>
        <v>2523840</v>
      </c>
    </row>
    <row r="23" spans="1:29">
      <c r="A23" s="58" t="s">
        <v>281</v>
      </c>
      <c r="B23">
        <v>69423</v>
      </c>
      <c r="C23">
        <v>73360</v>
      </c>
      <c r="D23">
        <v>0</v>
      </c>
      <c r="E23" s="50">
        <v>142783</v>
      </c>
      <c r="O23">
        <v>24</v>
      </c>
      <c r="Q23" s="56">
        <f t="shared" si="4"/>
        <v>1666152</v>
      </c>
      <c r="R23" s="56">
        <f t="shared" si="5"/>
        <v>1760640</v>
      </c>
      <c r="S23" s="56">
        <f t="shared" si="6"/>
        <v>0</v>
      </c>
      <c r="T23" s="56">
        <f t="shared" si="7"/>
        <v>3426792</v>
      </c>
      <c r="U23" s="56">
        <f t="shared" si="8"/>
        <v>0</v>
      </c>
      <c r="V23" s="56">
        <f t="shared" si="9"/>
        <v>0</v>
      </c>
      <c r="W23" s="56">
        <f t="shared" si="10"/>
        <v>0</v>
      </c>
      <c r="X23" s="56">
        <f t="shared" si="11"/>
        <v>0</v>
      </c>
      <c r="Y23" s="56">
        <f t="shared" si="12"/>
        <v>0</v>
      </c>
      <c r="Z23" s="56">
        <f t="shared" si="13"/>
        <v>0</v>
      </c>
      <c r="AA23" s="56">
        <f t="shared" si="14"/>
        <v>0</v>
      </c>
      <c r="AB23" s="56">
        <f t="shared" si="15"/>
        <v>0</v>
      </c>
      <c r="AC23" s="56">
        <f t="shared" si="2"/>
        <v>6853584</v>
      </c>
    </row>
    <row r="24" spans="1:29">
      <c r="A24" s="69" t="s">
        <v>362</v>
      </c>
      <c r="B24">
        <v>19900</v>
      </c>
      <c r="E24" s="50">
        <v>19900</v>
      </c>
      <c r="O24">
        <v>12</v>
      </c>
      <c r="Q24" s="56">
        <f t="shared" si="4"/>
        <v>238800</v>
      </c>
      <c r="R24" s="56">
        <f t="shared" si="5"/>
        <v>0</v>
      </c>
      <c r="S24" s="56">
        <f t="shared" si="6"/>
        <v>0</v>
      </c>
      <c r="T24" s="56">
        <f t="shared" si="7"/>
        <v>238800</v>
      </c>
      <c r="U24" s="56">
        <f t="shared" si="8"/>
        <v>0</v>
      </c>
      <c r="V24" s="56">
        <f t="shared" si="9"/>
        <v>0</v>
      </c>
      <c r="W24" s="56">
        <f t="shared" si="10"/>
        <v>0</v>
      </c>
      <c r="X24" s="56">
        <f t="shared" si="11"/>
        <v>0</v>
      </c>
      <c r="Y24" s="56">
        <f t="shared" si="12"/>
        <v>0</v>
      </c>
      <c r="Z24" s="56">
        <f t="shared" si="13"/>
        <v>0</v>
      </c>
      <c r="AA24" s="56">
        <f t="shared" si="14"/>
        <v>0</v>
      </c>
      <c r="AB24" s="56">
        <f t="shared" si="15"/>
        <v>0</v>
      </c>
      <c r="AC24" s="56">
        <f t="shared" si="2"/>
        <v>477600</v>
      </c>
    </row>
    <row r="25" spans="1:29">
      <c r="A25" s="69" t="s">
        <v>388</v>
      </c>
      <c r="C25">
        <v>42253</v>
      </c>
      <c r="E25" s="50">
        <v>42253</v>
      </c>
      <c r="O25">
        <v>24</v>
      </c>
      <c r="Q25" s="56">
        <f t="shared" si="4"/>
        <v>0</v>
      </c>
      <c r="R25" s="56">
        <f t="shared" si="5"/>
        <v>1014072</v>
      </c>
      <c r="S25" s="56">
        <f t="shared" si="6"/>
        <v>0</v>
      </c>
      <c r="T25" s="56">
        <f t="shared" si="7"/>
        <v>1014072</v>
      </c>
      <c r="U25" s="56">
        <f t="shared" si="8"/>
        <v>0</v>
      </c>
      <c r="V25" s="56">
        <f t="shared" si="9"/>
        <v>0</v>
      </c>
      <c r="W25" s="56">
        <f t="shared" si="10"/>
        <v>0</v>
      </c>
      <c r="X25" s="56">
        <f t="shared" si="11"/>
        <v>0</v>
      </c>
      <c r="Y25" s="56">
        <f t="shared" si="12"/>
        <v>0</v>
      </c>
      <c r="Z25" s="56">
        <f t="shared" si="13"/>
        <v>0</v>
      </c>
      <c r="AA25" s="56">
        <f t="shared" si="14"/>
        <v>0</v>
      </c>
      <c r="AB25" s="56">
        <f t="shared" si="15"/>
        <v>0</v>
      </c>
      <c r="AC25" s="56">
        <f t="shared" si="2"/>
        <v>2028144</v>
      </c>
    </row>
    <row r="26" spans="1:29">
      <c r="A26" s="69" t="s">
        <v>904</v>
      </c>
      <c r="B26">
        <v>12504</v>
      </c>
      <c r="E26" s="50">
        <v>12504</v>
      </c>
      <c r="O26">
        <v>24</v>
      </c>
      <c r="Q26" s="56">
        <f t="shared" si="4"/>
        <v>300096</v>
      </c>
      <c r="R26" s="56">
        <f t="shared" si="5"/>
        <v>0</v>
      </c>
      <c r="S26" s="56">
        <f t="shared" si="6"/>
        <v>0</v>
      </c>
      <c r="T26" s="56">
        <f t="shared" si="7"/>
        <v>300096</v>
      </c>
      <c r="U26" s="56">
        <f t="shared" si="8"/>
        <v>0</v>
      </c>
      <c r="V26" s="56">
        <f t="shared" si="9"/>
        <v>0</v>
      </c>
      <c r="W26" s="56">
        <f t="shared" si="10"/>
        <v>0</v>
      </c>
      <c r="X26" s="56">
        <f t="shared" si="11"/>
        <v>0</v>
      </c>
      <c r="Y26" s="56">
        <f t="shared" si="12"/>
        <v>0</v>
      </c>
      <c r="Z26" s="56">
        <f t="shared" si="13"/>
        <v>0</v>
      </c>
      <c r="AA26" s="56">
        <f t="shared" si="14"/>
        <v>0</v>
      </c>
      <c r="AB26" s="56">
        <f t="shared" si="15"/>
        <v>0</v>
      </c>
      <c r="AC26" s="56">
        <f t="shared" si="2"/>
        <v>600192</v>
      </c>
    </row>
    <row r="27" spans="1:29">
      <c r="A27" s="69" t="s">
        <v>558</v>
      </c>
      <c r="B27">
        <v>37019</v>
      </c>
      <c r="C27">
        <v>21610</v>
      </c>
      <c r="E27" s="50">
        <v>58629</v>
      </c>
      <c r="O27">
        <v>36</v>
      </c>
      <c r="Q27" s="56">
        <f t="shared" si="4"/>
        <v>1332684</v>
      </c>
      <c r="R27" s="56">
        <f t="shared" si="5"/>
        <v>777960</v>
      </c>
      <c r="S27" s="56">
        <f t="shared" si="6"/>
        <v>0</v>
      </c>
      <c r="T27" s="56">
        <f t="shared" si="7"/>
        <v>2110644</v>
      </c>
      <c r="U27" s="56">
        <f t="shared" si="8"/>
        <v>0</v>
      </c>
      <c r="V27" s="56">
        <f t="shared" si="9"/>
        <v>0</v>
      </c>
      <c r="W27" s="56">
        <f t="shared" si="10"/>
        <v>0</v>
      </c>
      <c r="X27" s="56">
        <f t="shared" si="11"/>
        <v>0</v>
      </c>
      <c r="Y27" s="56">
        <f t="shared" si="12"/>
        <v>0</v>
      </c>
      <c r="Z27" s="56">
        <f t="shared" si="13"/>
        <v>0</v>
      </c>
      <c r="AA27" s="56">
        <f t="shared" si="14"/>
        <v>0</v>
      </c>
      <c r="AB27" s="56">
        <f t="shared" si="15"/>
        <v>0</v>
      </c>
      <c r="AC27" s="56">
        <f t="shared" si="2"/>
        <v>4221288</v>
      </c>
    </row>
    <row r="28" spans="1:29">
      <c r="A28" s="69" t="s">
        <v>900</v>
      </c>
      <c r="B28">
        <v>0</v>
      </c>
      <c r="C28">
        <v>9497</v>
      </c>
      <c r="D28">
        <v>0</v>
      </c>
      <c r="E28" s="50">
        <v>9497</v>
      </c>
      <c r="O28">
        <v>36</v>
      </c>
      <c r="Q28" s="56">
        <f t="shared" si="4"/>
        <v>0</v>
      </c>
      <c r="R28" s="56">
        <f t="shared" si="5"/>
        <v>341892</v>
      </c>
      <c r="S28" s="56">
        <f t="shared" si="6"/>
        <v>0</v>
      </c>
      <c r="T28" s="56">
        <f t="shared" si="7"/>
        <v>341892</v>
      </c>
      <c r="U28" s="56">
        <f t="shared" si="8"/>
        <v>0</v>
      </c>
      <c r="V28" s="56">
        <f t="shared" si="9"/>
        <v>0</v>
      </c>
      <c r="W28" s="56">
        <f t="shared" si="10"/>
        <v>0</v>
      </c>
      <c r="X28" s="56">
        <f t="shared" si="11"/>
        <v>0</v>
      </c>
      <c r="Y28" s="56">
        <f t="shared" si="12"/>
        <v>0</v>
      </c>
      <c r="Z28" s="56">
        <f t="shared" si="13"/>
        <v>0</v>
      </c>
      <c r="AA28" s="56">
        <f t="shared" si="14"/>
        <v>0</v>
      </c>
      <c r="AB28" s="56">
        <f t="shared" si="15"/>
        <v>0</v>
      </c>
      <c r="AC28" s="56">
        <f t="shared" si="2"/>
        <v>683784</v>
      </c>
    </row>
    <row r="29" spans="1:29">
      <c r="A29" s="58" t="s">
        <v>47</v>
      </c>
      <c r="B29">
        <v>343832</v>
      </c>
      <c r="C29">
        <v>349352</v>
      </c>
      <c r="D29">
        <v>381159</v>
      </c>
      <c r="E29" s="50">
        <v>1074343</v>
      </c>
      <c r="O29">
        <v>36</v>
      </c>
      <c r="Q29" s="56">
        <f t="shared" si="4"/>
        <v>12377952</v>
      </c>
      <c r="R29" s="56">
        <f t="shared" si="5"/>
        <v>12576672</v>
      </c>
      <c r="S29" s="56">
        <f t="shared" si="6"/>
        <v>13721724</v>
      </c>
      <c r="T29" s="56">
        <f t="shared" si="7"/>
        <v>38676348</v>
      </c>
      <c r="U29" s="56">
        <f t="shared" si="8"/>
        <v>0</v>
      </c>
      <c r="V29" s="56">
        <f t="shared" si="9"/>
        <v>0</v>
      </c>
      <c r="W29" s="56">
        <f t="shared" si="10"/>
        <v>0</v>
      </c>
      <c r="X29" s="56">
        <f t="shared" si="11"/>
        <v>0</v>
      </c>
      <c r="Y29" s="56">
        <f t="shared" si="12"/>
        <v>0</v>
      </c>
      <c r="Z29" s="56">
        <f t="shared" si="13"/>
        <v>0</v>
      </c>
      <c r="AA29" s="56">
        <f t="shared" si="14"/>
        <v>0</v>
      </c>
      <c r="AB29" s="56">
        <f t="shared" si="15"/>
        <v>0</v>
      </c>
      <c r="AC29" s="56">
        <f t="shared" si="2"/>
        <v>77352696</v>
      </c>
    </row>
    <row r="30" spans="1:29">
      <c r="O30">
        <v>36</v>
      </c>
      <c r="Q30" s="56">
        <f t="shared" si="4"/>
        <v>0</v>
      </c>
      <c r="R30" s="56">
        <f t="shared" si="5"/>
        <v>0</v>
      </c>
      <c r="S30" s="56">
        <f t="shared" si="6"/>
        <v>0</v>
      </c>
      <c r="T30" s="56">
        <f t="shared" si="7"/>
        <v>0</v>
      </c>
      <c r="U30" s="56">
        <f t="shared" si="8"/>
        <v>0</v>
      </c>
      <c r="V30" s="56">
        <f t="shared" si="9"/>
        <v>0</v>
      </c>
      <c r="W30" s="56">
        <f t="shared" si="10"/>
        <v>0</v>
      </c>
      <c r="X30" s="56">
        <f t="shared" si="11"/>
        <v>0</v>
      </c>
      <c r="Y30" s="56">
        <f t="shared" si="12"/>
        <v>0</v>
      </c>
      <c r="Z30" s="56">
        <f t="shared" si="13"/>
        <v>0</v>
      </c>
      <c r="AA30" s="56">
        <f t="shared" si="14"/>
        <v>0</v>
      </c>
      <c r="AB30" s="56">
        <f t="shared" si="15"/>
        <v>0</v>
      </c>
      <c r="AC30" s="56">
        <f t="shared" si="2"/>
        <v>0</v>
      </c>
    </row>
    <row r="31" spans="1:29">
      <c r="O31">
        <v>24</v>
      </c>
      <c r="Q31" s="56">
        <f t="shared" si="4"/>
        <v>0</v>
      </c>
      <c r="R31" s="56">
        <f t="shared" si="5"/>
        <v>0</v>
      </c>
      <c r="S31" s="56">
        <f t="shared" si="6"/>
        <v>0</v>
      </c>
      <c r="T31" s="56">
        <f t="shared" si="7"/>
        <v>0</v>
      </c>
      <c r="U31" s="56">
        <f t="shared" si="8"/>
        <v>0</v>
      </c>
      <c r="V31" s="56">
        <f t="shared" si="9"/>
        <v>0</v>
      </c>
      <c r="W31" s="56">
        <f t="shared" si="10"/>
        <v>0</v>
      </c>
      <c r="X31" s="56">
        <f t="shared" si="11"/>
        <v>0</v>
      </c>
      <c r="Y31" s="56">
        <f t="shared" si="12"/>
        <v>0</v>
      </c>
      <c r="Z31" s="56">
        <f t="shared" si="13"/>
        <v>0</v>
      </c>
      <c r="AA31" s="56">
        <f t="shared" si="14"/>
        <v>0</v>
      </c>
      <c r="AB31" s="56">
        <f t="shared" si="15"/>
        <v>0</v>
      </c>
      <c r="AC31" s="56">
        <f t="shared" si="2"/>
        <v>0</v>
      </c>
    </row>
    <row r="32" spans="1:29">
      <c r="P32" t="s">
        <v>283</v>
      </c>
      <c r="Q32" s="107">
        <f>SUM(Q12:Q31)</f>
        <v>19325172</v>
      </c>
      <c r="R32" s="107">
        <f t="shared" ref="R32:AB32" si="16">SUM(R12:R31)</f>
        <v>20569956</v>
      </c>
      <c r="S32" s="107">
        <f t="shared" si="16"/>
        <v>19736520</v>
      </c>
      <c r="T32" s="107">
        <f t="shared" si="16"/>
        <v>59631648</v>
      </c>
      <c r="U32" s="107">
        <f t="shared" si="16"/>
        <v>0</v>
      </c>
      <c r="V32" s="107">
        <f t="shared" si="16"/>
        <v>0</v>
      </c>
      <c r="W32" s="107">
        <f t="shared" si="16"/>
        <v>0</v>
      </c>
      <c r="X32" s="107">
        <f t="shared" si="16"/>
        <v>0</v>
      </c>
      <c r="Y32" s="107">
        <f t="shared" si="16"/>
        <v>0</v>
      </c>
      <c r="Z32" s="107">
        <f t="shared" si="16"/>
        <v>0</v>
      </c>
      <c r="AA32" s="107">
        <f t="shared" si="16"/>
        <v>0</v>
      </c>
      <c r="AB32" s="107">
        <f t="shared" si="16"/>
        <v>0</v>
      </c>
      <c r="AC32" s="107">
        <f t="shared" si="2"/>
        <v>119263296</v>
      </c>
    </row>
    <row r="33" spans="15:29">
      <c r="O33">
        <v>48</v>
      </c>
      <c r="Q33" s="56">
        <f>B33*$O33</f>
        <v>0</v>
      </c>
      <c r="R33" s="56">
        <f t="shared" ref="R33:AB39" si="17">C33*$O33</f>
        <v>0</v>
      </c>
      <c r="S33" s="56">
        <f t="shared" si="17"/>
        <v>0</v>
      </c>
      <c r="T33" s="56">
        <f t="shared" si="17"/>
        <v>0</v>
      </c>
      <c r="U33" s="56">
        <f t="shared" si="17"/>
        <v>0</v>
      </c>
      <c r="V33" s="56">
        <f t="shared" si="17"/>
        <v>0</v>
      </c>
      <c r="W33" s="56">
        <f t="shared" si="17"/>
        <v>0</v>
      </c>
      <c r="X33" s="56">
        <f t="shared" si="17"/>
        <v>0</v>
      </c>
      <c r="Y33" s="56">
        <f t="shared" si="17"/>
        <v>0</v>
      </c>
      <c r="Z33" s="56">
        <f t="shared" si="17"/>
        <v>0</v>
      </c>
      <c r="AA33" s="56">
        <f t="shared" si="17"/>
        <v>0</v>
      </c>
      <c r="AB33" s="56">
        <f t="shared" si="17"/>
        <v>0</v>
      </c>
      <c r="AC33" s="56">
        <f t="shared" si="2"/>
        <v>0</v>
      </c>
    </row>
    <row r="34" spans="15:29">
      <c r="O34">
        <v>48</v>
      </c>
      <c r="Q34" s="56">
        <f t="shared" ref="Q34:Q39" si="18">B34*$O34</f>
        <v>0</v>
      </c>
      <c r="R34" s="56">
        <f t="shared" si="17"/>
        <v>0</v>
      </c>
      <c r="S34" s="56">
        <f t="shared" si="17"/>
        <v>0</v>
      </c>
      <c r="T34" s="56">
        <f t="shared" si="17"/>
        <v>0</v>
      </c>
      <c r="U34" s="56">
        <f t="shared" si="17"/>
        <v>0</v>
      </c>
      <c r="V34" s="56">
        <f t="shared" si="17"/>
        <v>0</v>
      </c>
      <c r="W34" s="56">
        <f t="shared" si="17"/>
        <v>0</v>
      </c>
      <c r="X34" s="56">
        <f t="shared" si="17"/>
        <v>0</v>
      </c>
      <c r="Y34" s="56">
        <f t="shared" si="17"/>
        <v>0</v>
      </c>
      <c r="Z34" s="56">
        <f t="shared" si="17"/>
        <v>0</v>
      </c>
      <c r="AA34" s="56">
        <f t="shared" si="17"/>
        <v>0</v>
      </c>
      <c r="AB34" s="56">
        <f t="shared" si="17"/>
        <v>0</v>
      </c>
      <c r="AC34" s="56">
        <f t="shared" si="2"/>
        <v>0</v>
      </c>
    </row>
    <row r="35" spans="15:29">
      <c r="O35">
        <v>36</v>
      </c>
      <c r="Q35" s="56">
        <f t="shared" si="18"/>
        <v>0</v>
      </c>
      <c r="R35" s="56">
        <f t="shared" si="17"/>
        <v>0</v>
      </c>
      <c r="S35" s="56">
        <f t="shared" si="17"/>
        <v>0</v>
      </c>
      <c r="T35" s="56">
        <f t="shared" si="17"/>
        <v>0</v>
      </c>
      <c r="U35" s="56">
        <f t="shared" si="17"/>
        <v>0</v>
      </c>
      <c r="V35" s="56">
        <f t="shared" si="17"/>
        <v>0</v>
      </c>
      <c r="W35" s="56">
        <f t="shared" si="17"/>
        <v>0</v>
      </c>
      <c r="X35" s="56">
        <f t="shared" si="17"/>
        <v>0</v>
      </c>
      <c r="Y35" s="56">
        <f t="shared" si="17"/>
        <v>0</v>
      </c>
      <c r="Z35" s="56">
        <f t="shared" si="17"/>
        <v>0</v>
      </c>
      <c r="AA35" s="56">
        <f t="shared" si="17"/>
        <v>0</v>
      </c>
      <c r="AB35" s="56">
        <f t="shared" si="17"/>
        <v>0</v>
      </c>
      <c r="AC35" s="56">
        <f t="shared" si="2"/>
        <v>0</v>
      </c>
    </row>
    <row r="36" spans="15:29">
      <c r="O36">
        <v>36</v>
      </c>
      <c r="Q36" s="56">
        <f t="shared" si="18"/>
        <v>0</v>
      </c>
      <c r="R36" s="56">
        <f t="shared" si="17"/>
        <v>0</v>
      </c>
      <c r="S36" s="56">
        <f t="shared" si="17"/>
        <v>0</v>
      </c>
      <c r="T36" s="56">
        <f t="shared" si="17"/>
        <v>0</v>
      </c>
      <c r="U36" s="56">
        <f t="shared" si="17"/>
        <v>0</v>
      </c>
      <c r="V36" s="56">
        <f t="shared" si="17"/>
        <v>0</v>
      </c>
      <c r="W36" s="56">
        <f t="shared" si="17"/>
        <v>0</v>
      </c>
      <c r="X36" s="56">
        <f t="shared" si="17"/>
        <v>0</v>
      </c>
      <c r="Y36" s="56">
        <f t="shared" si="17"/>
        <v>0</v>
      </c>
      <c r="Z36" s="56">
        <f t="shared" si="17"/>
        <v>0</v>
      </c>
      <c r="AA36" s="56">
        <f t="shared" si="17"/>
        <v>0</v>
      </c>
      <c r="AB36" s="56">
        <f t="shared" si="17"/>
        <v>0</v>
      </c>
      <c r="AC36" s="56">
        <f t="shared" si="2"/>
        <v>0</v>
      </c>
    </row>
    <row r="37" spans="15:29">
      <c r="O37">
        <v>36</v>
      </c>
      <c r="Q37" s="56">
        <f t="shared" si="18"/>
        <v>0</v>
      </c>
      <c r="R37" s="56">
        <f t="shared" si="17"/>
        <v>0</v>
      </c>
      <c r="S37" s="56">
        <f t="shared" si="17"/>
        <v>0</v>
      </c>
      <c r="T37" s="56">
        <f t="shared" si="17"/>
        <v>0</v>
      </c>
      <c r="U37" s="56">
        <f t="shared" si="17"/>
        <v>0</v>
      </c>
      <c r="V37" s="56">
        <f t="shared" si="17"/>
        <v>0</v>
      </c>
      <c r="W37" s="56">
        <f t="shared" si="17"/>
        <v>0</v>
      </c>
      <c r="X37" s="56">
        <f t="shared" si="17"/>
        <v>0</v>
      </c>
      <c r="Y37" s="56">
        <f t="shared" si="17"/>
        <v>0</v>
      </c>
      <c r="Z37" s="56">
        <f t="shared" si="17"/>
        <v>0</v>
      </c>
      <c r="AA37" s="56">
        <f t="shared" si="17"/>
        <v>0</v>
      </c>
      <c r="AB37" s="56">
        <f t="shared" si="17"/>
        <v>0</v>
      </c>
      <c r="AC37" s="56">
        <f t="shared" si="2"/>
        <v>0</v>
      </c>
    </row>
    <row r="38" spans="15:29">
      <c r="O38">
        <v>36</v>
      </c>
      <c r="Q38" s="56">
        <f t="shared" si="18"/>
        <v>0</v>
      </c>
      <c r="R38" s="56">
        <f t="shared" si="17"/>
        <v>0</v>
      </c>
      <c r="S38" s="56">
        <f t="shared" si="17"/>
        <v>0</v>
      </c>
      <c r="T38" s="56">
        <f t="shared" si="17"/>
        <v>0</v>
      </c>
      <c r="U38" s="56">
        <f t="shared" si="17"/>
        <v>0</v>
      </c>
      <c r="V38" s="56">
        <f t="shared" si="17"/>
        <v>0</v>
      </c>
      <c r="W38" s="56">
        <f t="shared" si="17"/>
        <v>0</v>
      </c>
      <c r="X38" s="56">
        <f t="shared" si="17"/>
        <v>0</v>
      </c>
      <c r="Y38" s="56">
        <f t="shared" si="17"/>
        <v>0</v>
      </c>
      <c r="Z38" s="56">
        <f t="shared" si="17"/>
        <v>0</v>
      </c>
      <c r="AA38" s="56">
        <f t="shared" si="17"/>
        <v>0</v>
      </c>
      <c r="AB38" s="56">
        <f t="shared" si="17"/>
        <v>0</v>
      </c>
      <c r="AC38" s="56">
        <f t="shared" si="2"/>
        <v>0</v>
      </c>
    </row>
    <row r="39" spans="15:29">
      <c r="O39">
        <v>36</v>
      </c>
      <c r="Q39" s="56">
        <f t="shared" si="18"/>
        <v>0</v>
      </c>
      <c r="R39" s="56">
        <f t="shared" si="17"/>
        <v>0</v>
      </c>
      <c r="S39" s="56">
        <f t="shared" si="17"/>
        <v>0</v>
      </c>
      <c r="T39" s="56">
        <f t="shared" si="17"/>
        <v>0</v>
      </c>
      <c r="U39" s="56">
        <f t="shared" si="17"/>
        <v>0</v>
      </c>
      <c r="V39" s="56">
        <f t="shared" si="17"/>
        <v>0</v>
      </c>
      <c r="W39" s="56">
        <f t="shared" si="17"/>
        <v>0</v>
      </c>
      <c r="X39" s="56">
        <f t="shared" si="17"/>
        <v>0</v>
      </c>
      <c r="Y39" s="56">
        <f t="shared" si="17"/>
        <v>0</v>
      </c>
      <c r="Z39" s="56">
        <f t="shared" si="17"/>
        <v>0</v>
      </c>
      <c r="AA39" s="56">
        <f t="shared" si="17"/>
        <v>0</v>
      </c>
      <c r="AB39" s="56">
        <f t="shared" si="17"/>
        <v>0</v>
      </c>
      <c r="AC39" s="56">
        <f t="shared" si="2"/>
        <v>0</v>
      </c>
    </row>
    <row r="40" spans="15:29">
      <c r="P40" t="s">
        <v>281</v>
      </c>
      <c r="Q40" s="107">
        <f>SUM(Q33:Q39)</f>
        <v>0</v>
      </c>
      <c r="R40" s="107">
        <f t="shared" ref="R40:AB40" si="19">SUM(R33:R39)</f>
        <v>0</v>
      </c>
      <c r="S40" s="107">
        <f t="shared" si="19"/>
        <v>0</v>
      </c>
      <c r="T40" s="107">
        <f t="shared" si="19"/>
        <v>0</v>
      </c>
      <c r="U40" s="107">
        <f t="shared" si="19"/>
        <v>0</v>
      </c>
      <c r="V40" s="107">
        <f t="shared" si="19"/>
        <v>0</v>
      </c>
      <c r="W40" s="107">
        <f t="shared" si="19"/>
        <v>0</v>
      </c>
      <c r="X40" s="107">
        <f t="shared" si="19"/>
        <v>0</v>
      </c>
      <c r="Y40" s="107">
        <f t="shared" si="19"/>
        <v>0</v>
      </c>
      <c r="Z40" s="107">
        <f t="shared" si="19"/>
        <v>0</v>
      </c>
      <c r="AA40" s="107">
        <f t="shared" si="19"/>
        <v>0</v>
      </c>
      <c r="AB40" s="107">
        <f t="shared" si="19"/>
        <v>0</v>
      </c>
      <c r="AC40" s="107">
        <f t="shared" si="2"/>
        <v>0</v>
      </c>
    </row>
    <row r="41" spans="15:29"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spans="15:29"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spans="15:29">
      <c r="P43" t="s">
        <v>733</v>
      </c>
      <c r="Q43" s="107">
        <f>SUM(Q40,Q32,Q11)</f>
        <v>30260340</v>
      </c>
      <c r="R43" s="107">
        <f t="shared" ref="R43:AC43" si="20">SUM(R40,R32,R11)</f>
        <v>31732344</v>
      </c>
      <c r="S43" s="107">
        <f t="shared" si="20"/>
        <v>34564872</v>
      </c>
      <c r="T43" s="107">
        <f t="shared" si="20"/>
        <v>96557556</v>
      </c>
      <c r="U43" s="107">
        <f t="shared" si="20"/>
        <v>0</v>
      </c>
      <c r="V43" s="107">
        <f t="shared" si="20"/>
        <v>0</v>
      </c>
      <c r="W43" s="107">
        <f t="shared" si="20"/>
        <v>0</v>
      </c>
      <c r="X43" s="107">
        <f t="shared" si="20"/>
        <v>0</v>
      </c>
      <c r="Y43" s="107">
        <f t="shared" si="20"/>
        <v>0</v>
      </c>
      <c r="Z43" s="107">
        <f t="shared" si="20"/>
        <v>0</v>
      </c>
      <c r="AA43" s="107">
        <f t="shared" si="20"/>
        <v>0</v>
      </c>
      <c r="AB43" s="107">
        <f t="shared" si="20"/>
        <v>0</v>
      </c>
      <c r="AC43" s="107">
        <f t="shared" si="20"/>
        <v>193115112</v>
      </c>
    </row>
    <row r="52" spans="1:15">
      <c r="A52" s="57" t="s">
        <v>1114</v>
      </c>
      <c r="B52" s="57" t="s">
        <v>14</v>
      </c>
    </row>
    <row r="53" spans="1:15">
      <c r="A53" s="57" t="s">
        <v>17</v>
      </c>
      <c r="B53" t="s">
        <v>68</v>
      </c>
      <c r="C53" t="s">
        <v>69</v>
      </c>
      <c r="D53" t="s">
        <v>70</v>
      </c>
      <c r="E53" t="s">
        <v>71</v>
      </c>
      <c r="F53" t="s">
        <v>72</v>
      </c>
      <c r="G53" t="s">
        <v>73</v>
      </c>
      <c r="H53" t="s">
        <v>74</v>
      </c>
      <c r="I53" t="s">
        <v>75</v>
      </c>
      <c r="J53" t="s">
        <v>76</v>
      </c>
      <c r="K53" t="s">
        <v>77</v>
      </c>
      <c r="L53" t="s">
        <v>78</v>
      </c>
      <c r="M53" t="s">
        <v>79</v>
      </c>
      <c r="N53" t="s">
        <v>228</v>
      </c>
      <c r="O53" t="s">
        <v>47</v>
      </c>
    </row>
    <row r="54" spans="1:15" s="99" customFormat="1">
      <c r="A54" s="119" t="s">
        <v>1115</v>
      </c>
      <c r="B54" s="120">
        <v>5594.7759740259735</v>
      </c>
      <c r="C54" s="120">
        <v>5800.807629870128</v>
      </c>
      <c r="D54" s="120">
        <v>7038.1136363636379</v>
      </c>
      <c r="E54" s="120">
        <v>5116.8433441558464</v>
      </c>
      <c r="F54" s="120">
        <v>6497.681818181818</v>
      </c>
      <c r="G54" s="120">
        <v>6989.933441558439</v>
      </c>
      <c r="H54" s="120">
        <v>5871.2159090909081</v>
      </c>
      <c r="I54" s="120">
        <v>5216.5178571428578</v>
      </c>
      <c r="J54" s="120">
        <v>4776.3717532467535</v>
      </c>
      <c r="K54" s="120">
        <v>6042.7587662337655</v>
      </c>
      <c r="L54" s="120">
        <v>4276.7735389610389</v>
      </c>
      <c r="M54" s="120">
        <v>5236.5665584415583</v>
      </c>
      <c r="N54" s="120"/>
      <c r="O54" s="120">
        <v>68458.360227272715</v>
      </c>
    </row>
    <row r="55" spans="1:15" s="99" customFormat="1">
      <c r="A55" s="119" t="s">
        <v>1116</v>
      </c>
      <c r="B55" s="120"/>
      <c r="C55" s="120"/>
      <c r="D55" s="120"/>
      <c r="E55" s="120"/>
      <c r="F55" s="120"/>
      <c r="G55" s="120"/>
      <c r="H55" s="120">
        <v>320</v>
      </c>
      <c r="I55" s="120"/>
      <c r="J55" s="120"/>
      <c r="K55" s="120">
        <v>320</v>
      </c>
      <c r="L55" s="120"/>
      <c r="M55" s="120"/>
      <c r="N55" s="120"/>
      <c r="O55" s="120">
        <v>640</v>
      </c>
    </row>
    <row r="56" spans="1:15">
      <c r="A56" s="119" t="s">
        <v>1117</v>
      </c>
      <c r="B56" s="120">
        <v>2150.848484848485</v>
      </c>
      <c r="C56" s="120">
        <v>2714.8181818181824</v>
      </c>
      <c r="D56" s="120">
        <v>3233.4545454545446</v>
      </c>
      <c r="E56" s="120">
        <v>2848.310606060606</v>
      </c>
      <c r="F56" s="120">
        <v>2752.215227272728</v>
      </c>
      <c r="G56" s="120">
        <v>2416.9924999999994</v>
      </c>
      <c r="H56" s="120">
        <v>1992.2290909090912</v>
      </c>
      <c r="I56" s="120">
        <v>2724.4138636363641</v>
      </c>
      <c r="J56" s="120">
        <v>2268.9252272727276</v>
      </c>
      <c r="K56" s="120">
        <v>3067.0625</v>
      </c>
      <c r="L56" s="120">
        <v>2574.5218181818182</v>
      </c>
      <c r="M56" s="120">
        <v>2389.818181818182</v>
      </c>
      <c r="N56" s="120"/>
      <c r="O56" s="120">
        <v>31133.610227272729</v>
      </c>
    </row>
    <row r="57" spans="1:15">
      <c r="A57" s="119" t="s">
        <v>1118</v>
      </c>
      <c r="B57" s="120">
        <v>92.265507246376814</v>
      </c>
      <c r="C57" s="120">
        <v>215.51892339544517</v>
      </c>
      <c r="D57" s="120">
        <v>307.98521739130427</v>
      </c>
      <c r="E57" s="120">
        <v>203.51801242236024</v>
      </c>
      <c r="F57" s="120">
        <v>145.84801242236026</v>
      </c>
      <c r="G57" s="120">
        <v>261.26900000000001</v>
      </c>
      <c r="H57" s="120">
        <v>384.37574327122161</v>
      </c>
      <c r="I57" s="120">
        <v>505.76937888198756</v>
      </c>
      <c r="J57" s="120">
        <v>295.88428571428574</v>
      </c>
      <c r="K57" s="120">
        <v>440.96981987577641</v>
      </c>
      <c r="L57" s="120">
        <v>258.97826086956519</v>
      </c>
      <c r="M57" s="120"/>
      <c r="N57" s="120"/>
      <c r="O57" s="120">
        <v>3112.3821614906833</v>
      </c>
    </row>
    <row r="58" spans="1:15">
      <c r="A58" s="119" t="s">
        <v>1119</v>
      </c>
      <c r="B58" s="120">
        <v>1118.2345165945164</v>
      </c>
      <c r="C58" s="120">
        <v>1283.836479076479</v>
      </c>
      <c r="D58" s="120">
        <v>1194.4438672438671</v>
      </c>
      <c r="E58" s="120">
        <v>1377.7535353535354</v>
      </c>
      <c r="F58" s="120">
        <v>828.55494949494982</v>
      </c>
      <c r="G58" s="120">
        <v>763.47584415584402</v>
      </c>
      <c r="H58" s="120">
        <v>845.77558441558449</v>
      </c>
      <c r="I58" s="120">
        <v>1121.102337662338</v>
      </c>
      <c r="J58" s="120">
        <v>1221.8867532467532</v>
      </c>
      <c r="K58" s="120">
        <v>1544.487272727273</v>
      </c>
      <c r="L58" s="120">
        <v>824.80519480519479</v>
      </c>
      <c r="M58" s="120">
        <v>848.99958095238094</v>
      </c>
      <c r="N58" s="120"/>
      <c r="O58" s="120">
        <v>12973.355915728715</v>
      </c>
    </row>
    <row r="59" spans="1:15">
      <c r="A59" s="119" t="s">
        <v>1120</v>
      </c>
      <c r="B59" s="120">
        <v>3644.2008760683757</v>
      </c>
      <c r="C59" s="120">
        <v>3903.9693732193737</v>
      </c>
      <c r="D59" s="120">
        <v>4275.5225071225095</v>
      </c>
      <c r="E59" s="120">
        <v>3468.6974358974367</v>
      </c>
      <c r="F59" s="120">
        <v>4063.805384615388</v>
      </c>
      <c r="G59" s="120">
        <v>4209.8292307692382</v>
      </c>
      <c r="H59" s="120">
        <v>4332.8676923076919</v>
      </c>
      <c r="I59" s="120">
        <v>3914.1676923076925</v>
      </c>
      <c r="J59" s="120">
        <v>3429.3645000000006</v>
      </c>
      <c r="K59" s="120">
        <v>4479.6807692307675</v>
      </c>
      <c r="L59" s="120">
        <v>3755.0976923076933</v>
      </c>
      <c r="M59" s="120">
        <v>3756.3923076923083</v>
      </c>
      <c r="N59" s="120"/>
      <c r="O59" s="120">
        <v>47233.595461538484</v>
      </c>
    </row>
    <row r="60" spans="1:15" s="99" customFormat="1">
      <c r="A60" s="119" t="s">
        <v>1121</v>
      </c>
      <c r="B60" s="120">
        <v>6055.7605519480549</v>
      </c>
      <c r="C60" s="120">
        <v>7256.2646103896086</v>
      </c>
      <c r="D60" s="120">
        <v>7216.6412337662323</v>
      </c>
      <c r="E60" s="120">
        <v>7671.5852272727288</v>
      </c>
      <c r="F60" s="120">
        <v>7144.8739853896141</v>
      </c>
      <c r="G60" s="120">
        <v>7126.7349837662323</v>
      </c>
      <c r="H60" s="120">
        <v>6303.890016233765</v>
      </c>
      <c r="I60" s="120">
        <v>7041.0267857142853</v>
      </c>
      <c r="J60" s="120">
        <v>6732.9707792207791</v>
      </c>
      <c r="K60" s="120">
        <v>6986.676298701298</v>
      </c>
      <c r="L60" s="120">
        <v>5063.8392857142844</v>
      </c>
      <c r="M60" s="120">
        <v>4955.5824675324666</v>
      </c>
      <c r="N60" s="120"/>
      <c r="O60" s="120">
        <v>79555.846225649351</v>
      </c>
    </row>
    <row r="61" spans="1:15" s="99" customFormat="1">
      <c r="A61" s="119" t="s">
        <v>1122</v>
      </c>
      <c r="B61" s="120"/>
      <c r="C61" s="120"/>
      <c r="D61" s="120"/>
      <c r="E61" s="120"/>
      <c r="F61" s="120"/>
      <c r="G61" s="120"/>
      <c r="H61" s="120"/>
      <c r="I61" s="120">
        <v>518.70000000000005</v>
      </c>
      <c r="J61" s="120"/>
      <c r="K61" s="120"/>
      <c r="L61" s="120"/>
      <c r="M61" s="120"/>
      <c r="N61" s="120"/>
      <c r="O61" s="120">
        <v>518.70000000000005</v>
      </c>
    </row>
    <row r="62" spans="1:15" s="99" customFormat="1">
      <c r="A62" s="119" t="s">
        <v>1123</v>
      </c>
      <c r="B62" s="120">
        <v>642.34848484848487</v>
      </c>
      <c r="C62" s="120">
        <v>745.56060606060601</v>
      </c>
      <c r="D62" s="120">
        <v>762.62878787878765</v>
      </c>
      <c r="E62" s="120">
        <v>637.03787878787887</v>
      </c>
      <c r="F62" s="120">
        <v>732.74136363636387</v>
      </c>
      <c r="G62" s="120">
        <v>775.29590909090939</v>
      </c>
      <c r="H62" s="120">
        <v>969.45454545454561</v>
      </c>
      <c r="I62" s="120">
        <v>648.18181818181813</v>
      </c>
      <c r="J62" s="120">
        <v>766.54545454545462</v>
      </c>
      <c r="K62" s="120">
        <v>986.36363636363637</v>
      </c>
      <c r="L62" s="120">
        <v>698.90909090909099</v>
      </c>
      <c r="M62" s="120">
        <v>467.81818181818181</v>
      </c>
      <c r="N62" s="120"/>
      <c r="O62" s="120">
        <v>8832.8857575757593</v>
      </c>
    </row>
    <row r="63" spans="1:15" s="99" customFormat="1">
      <c r="A63" s="119" t="s">
        <v>1124</v>
      </c>
      <c r="B63" s="120">
        <v>765.20215909090916</v>
      </c>
      <c r="C63" s="120">
        <v>964.08946969696967</v>
      </c>
      <c r="D63" s="120">
        <v>820.53859848484842</v>
      </c>
      <c r="E63" s="120">
        <v>695.00583333333338</v>
      </c>
      <c r="F63" s="120">
        <v>537.13363446969686</v>
      </c>
      <c r="G63" s="120">
        <v>205.83333333333331</v>
      </c>
      <c r="H63" s="120">
        <v>449.89696969696956</v>
      </c>
      <c r="I63" s="120">
        <v>1022.8045454545455</v>
      </c>
      <c r="J63" s="120">
        <v>605.625</v>
      </c>
      <c r="K63" s="120">
        <v>891.81969696969691</v>
      </c>
      <c r="L63" s="120">
        <v>635.80909090909086</v>
      </c>
      <c r="M63" s="120">
        <v>617.5</v>
      </c>
      <c r="N63" s="120"/>
      <c r="O63" s="120">
        <v>8211.2583314393924</v>
      </c>
    </row>
    <row r="64" spans="1:15" s="99" customFormat="1">
      <c r="A64" s="119" t="s">
        <v>1125</v>
      </c>
      <c r="B64" s="120">
        <v>623.2012987012987</v>
      </c>
      <c r="C64" s="120">
        <v>646.18181818181813</v>
      </c>
      <c r="D64" s="120">
        <v>629.39610389610391</v>
      </c>
      <c r="E64" s="120">
        <v>606.12987012987003</v>
      </c>
      <c r="F64" s="120">
        <v>685.4480519480519</v>
      </c>
      <c r="G64" s="120">
        <v>732.15584415584397</v>
      </c>
      <c r="H64" s="120">
        <v>732.15584415584408</v>
      </c>
      <c r="I64" s="120">
        <v>915.19480519480521</v>
      </c>
      <c r="J64" s="120">
        <v>701.64935064935059</v>
      </c>
      <c r="K64" s="120">
        <v>640.63636363636363</v>
      </c>
      <c r="L64" s="120">
        <v>625.38311688311694</v>
      </c>
      <c r="M64" s="120">
        <v>549.11688311688317</v>
      </c>
      <c r="N64" s="120"/>
      <c r="O64" s="120">
        <v>8086.6493506493507</v>
      </c>
    </row>
    <row r="65" spans="1:15" s="99" customFormat="1">
      <c r="A65" s="119" t="s">
        <v>1111</v>
      </c>
      <c r="B65" s="120">
        <v>1605.1476516975251</v>
      </c>
      <c r="C65" s="120">
        <v>1839.8007110789815</v>
      </c>
      <c r="D65" s="120">
        <v>1773.3831374845572</v>
      </c>
      <c r="E65" s="120">
        <v>1914.2807836864886</v>
      </c>
      <c r="F65" s="120">
        <v>1485.2979140534917</v>
      </c>
      <c r="G65" s="120">
        <v>2056.4765192971322</v>
      </c>
      <c r="H65" s="120">
        <v>2592.7960574656076</v>
      </c>
      <c r="I65" s="120">
        <v>1945.2592184691575</v>
      </c>
      <c r="J65" s="120">
        <v>2189.2573035483783</v>
      </c>
      <c r="K65" s="120">
        <v>2362.2149202964883</v>
      </c>
      <c r="L65" s="120">
        <v>1709.7124060523652</v>
      </c>
      <c r="M65" s="120">
        <v>1531.6635851648352</v>
      </c>
      <c r="N65" s="120"/>
      <c r="O65" s="120">
        <v>23005.290208295006</v>
      </c>
    </row>
    <row r="66" spans="1:15" s="99" customFormat="1">
      <c r="A66" s="119" t="s">
        <v>1126</v>
      </c>
      <c r="B66" s="120">
        <v>1326.37792022792</v>
      </c>
      <c r="C66" s="120">
        <v>1843.4820512820515</v>
      </c>
      <c r="D66" s="120">
        <v>2079.5772079772082</v>
      </c>
      <c r="E66" s="120">
        <v>1871.0947293447293</v>
      </c>
      <c r="F66" s="120">
        <v>1984.3500000000006</v>
      </c>
      <c r="G66" s="120">
        <v>2501.3076923076924</v>
      </c>
      <c r="H66" s="120">
        <v>2080.0384615384619</v>
      </c>
      <c r="I66" s="120">
        <v>1981.3846153846155</v>
      </c>
      <c r="J66" s="120">
        <v>1811.0769230769233</v>
      </c>
      <c r="K66" s="120">
        <v>2336.5384615384619</v>
      </c>
      <c r="L66" s="120">
        <v>1588.8544871794877</v>
      </c>
      <c r="M66" s="120">
        <v>1401.9230769230771</v>
      </c>
      <c r="N66" s="120"/>
      <c r="O66" s="120">
        <v>22806.005626780629</v>
      </c>
    </row>
    <row r="67" spans="1:15" s="99" customFormat="1">
      <c r="A67" s="119" t="s">
        <v>1127</v>
      </c>
      <c r="B67" s="120">
        <v>259.36666666666667</v>
      </c>
      <c r="C67" s="120">
        <v>183.45000000000002</v>
      </c>
      <c r="D67" s="120">
        <v>43.716666666666669</v>
      </c>
      <c r="E67" s="120"/>
      <c r="F67" s="120">
        <v>249.74583333333334</v>
      </c>
      <c r="G67" s="120">
        <v>300.83333333333331</v>
      </c>
      <c r="H67" s="120">
        <v>815.22666666666669</v>
      </c>
      <c r="I67" s="120">
        <v>586.625</v>
      </c>
      <c r="J67" s="120">
        <v>270.75</v>
      </c>
      <c r="K67" s="120">
        <v>406.125</v>
      </c>
      <c r="L67" s="120">
        <v>180.5</v>
      </c>
      <c r="M67" s="120">
        <v>225.625</v>
      </c>
      <c r="N67" s="120"/>
      <c r="O67" s="120">
        <v>3521.9641666666666</v>
      </c>
    </row>
    <row r="68" spans="1:15" s="99" customFormat="1">
      <c r="A68" s="119" t="s">
        <v>1128</v>
      </c>
      <c r="B68" s="120">
        <v>13.914772727272728</v>
      </c>
      <c r="C68" s="120">
        <v>321.61931818181819</v>
      </c>
      <c r="D68" s="120">
        <v>766.20454545454561</v>
      </c>
      <c r="E68" s="120">
        <v>595.29545454545462</v>
      </c>
      <c r="F68" s="120">
        <v>676.78977272727252</v>
      </c>
      <c r="G68" s="120">
        <v>793.63636363636351</v>
      </c>
      <c r="H68" s="120">
        <v>663.0170454545455</v>
      </c>
      <c r="I68" s="120">
        <v>792.80965909090901</v>
      </c>
      <c r="J68" s="120">
        <v>613.96590909090901</v>
      </c>
      <c r="K68" s="120">
        <v>1031.1761363636363</v>
      </c>
      <c r="L68" s="120">
        <v>585.8579545454545</v>
      </c>
      <c r="M68" s="120">
        <v>393.51136363636363</v>
      </c>
      <c r="N68" s="120"/>
      <c r="O68" s="120">
        <v>7247.798295454546</v>
      </c>
    </row>
    <row r="69" spans="1:15">
      <c r="A69" s="119" t="s">
        <v>1129</v>
      </c>
      <c r="B69" s="120">
        <v>3147.0549019607852</v>
      </c>
      <c r="C69" s="120">
        <v>2985.149019607843</v>
      </c>
      <c r="D69" s="120">
        <v>4133.474509803922</v>
      </c>
      <c r="E69" s="120">
        <v>3491.1019607843141</v>
      </c>
      <c r="F69" s="120">
        <v>3857.0799215686279</v>
      </c>
      <c r="G69" s="120">
        <v>3503.778117647058</v>
      </c>
      <c r="H69" s="120">
        <v>3330.8291764705878</v>
      </c>
      <c r="I69" s="120">
        <v>3974.7660392156859</v>
      </c>
      <c r="J69" s="120">
        <v>2649.8415686274507</v>
      </c>
      <c r="K69" s="120">
        <v>3047.3178039215677</v>
      </c>
      <c r="L69" s="120">
        <v>2914.8257254901955</v>
      </c>
      <c r="M69" s="120">
        <v>1987.3811764705881</v>
      </c>
      <c r="N69" s="120"/>
      <c r="O69" s="120">
        <v>39022.599921568632</v>
      </c>
    </row>
    <row r="70" spans="1:15" s="99" customFormat="1">
      <c r="A70" s="119" t="s">
        <v>1130</v>
      </c>
      <c r="B70" s="120">
        <v>0</v>
      </c>
      <c r="C70" s="120">
        <v>497.04999999999995</v>
      </c>
      <c r="D70" s="120">
        <v>1097.875</v>
      </c>
      <c r="E70" s="120">
        <v>793.90000000000009</v>
      </c>
      <c r="F70" s="120">
        <v>1078.0291666666667</v>
      </c>
      <c r="G70" s="120">
        <v>871.70416666666665</v>
      </c>
      <c r="H70" s="120">
        <v>864.50379166666664</v>
      </c>
      <c r="I70" s="120">
        <v>1152.6666666666667</v>
      </c>
      <c r="J70" s="120">
        <v>1037.4000000000001</v>
      </c>
      <c r="K70" s="120">
        <v>1167.075</v>
      </c>
      <c r="L70" s="120">
        <v>432.25</v>
      </c>
      <c r="M70" s="120">
        <v>648.375</v>
      </c>
      <c r="N70" s="120"/>
      <c r="O70" s="120">
        <v>9640.8287916666686</v>
      </c>
    </row>
    <row r="71" spans="1:15" s="99" customFormat="1">
      <c r="A71" s="58" t="s">
        <v>1131</v>
      </c>
      <c r="B71" s="50">
        <v>166.010582010582</v>
      </c>
      <c r="C71" s="50"/>
      <c r="D71" s="50">
        <v>113.15343915343915</v>
      </c>
      <c r="E71" s="50">
        <v>180.04761904761904</v>
      </c>
      <c r="F71" s="50">
        <v>248.36190476190478</v>
      </c>
      <c r="G71" s="50">
        <v>253.6952380952381</v>
      </c>
      <c r="H71" s="50">
        <v>244.28571428571428</v>
      </c>
      <c r="I71" s="50">
        <v>153.08571428571429</v>
      </c>
      <c r="J71" s="50">
        <v>167.38095238095235</v>
      </c>
      <c r="K71" s="50">
        <v>352.85714285714289</v>
      </c>
      <c r="L71" s="50">
        <v>352.85714285714289</v>
      </c>
      <c r="M71" s="50"/>
      <c r="N71" s="50"/>
      <c r="O71" s="50">
        <v>2231.7354497354499</v>
      </c>
    </row>
    <row r="72" spans="1:15" s="99" customFormat="1">
      <c r="A72" s="58" t="s">
        <v>1132</v>
      </c>
      <c r="B72" s="50"/>
      <c r="C72" s="50">
        <v>135.29090909090908</v>
      </c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>
        <v>135.29090909090908</v>
      </c>
    </row>
    <row r="73" spans="1:15">
      <c r="A73" s="58" t="s">
        <v>1133</v>
      </c>
      <c r="B73" s="50">
        <v>76.479166666666671</v>
      </c>
      <c r="C73" s="50">
        <v>27.375</v>
      </c>
      <c r="D73" s="50">
        <v>31.137499999999999</v>
      </c>
      <c r="E73" s="50">
        <v>37.24583333333333</v>
      </c>
      <c r="F73" s="50">
        <v>177.98333333333332</v>
      </c>
      <c r="G73" s="50">
        <v>160.875</v>
      </c>
      <c r="H73" s="50">
        <v>55.6875</v>
      </c>
      <c r="I73" s="50">
        <v>136.125</v>
      </c>
      <c r="J73" s="50">
        <v>161.25</v>
      </c>
      <c r="K73" s="50">
        <v>173.25</v>
      </c>
      <c r="L73" s="50">
        <v>241.3125</v>
      </c>
      <c r="M73" s="50">
        <v>80.4375</v>
      </c>
      <c r="N73" s="50"/>
      <c r="O73" s="50">
        <v>1359.1583333333333</v>
      </c>
    </row>
    <row r="74" spans="1:15">
      <c r="A74" s="58" t="s">
        <v>1134</v>
      </c>
      <c r="B74" s="50">
        <v>315.17599999999999</v>
      </c>
      <c r="C74" s="50">
        <v>491.94399999999996</v>
      </c>
      <c r="D74" s="50">
        <v>574.50400000000002</v>
      </c>
      <c r="E74" s="50">
        <v>206.816</v>
      </c>
      <c r="F74" s="50">
        <v>444.36000000000007</v>
      </c>
      <c r="G74" s="50">
        <v>615.26400000000012</v>
      </c>
      <c r="H74" s="50">
        <v>583.44000000000005</v>
      </c>
      <c r="I74" s="50">
        <v>505.64799999999997</v>
      </c>
      <c r="J74" s="50">
        <v>506.73599999999999</v>
      </c>
      <c r="K74" s="50">
        <v>339.45600000000007</v>
      </c>
      <c r="L74" s="50">
        <v>342.99200000000002</v>
      </c>
      <c r="M74" s="50">
        <v>297.03080000000006</v>
      </c>
      <c r="N74" s="50"/>
      <c r="O74" s="50">
        <v>5223.3668000000016</v>
      </c>
    </row>
    <row r="75" spans="1:15">
      <c r="A75" s="58" t="s">
        <v>1135</v>
      </c>
      <c r="B75" s="50">
        <v>44.141666666666666</v>
      </c>
      <c r="C75" s="50">
        <v>75.75833333333334</v>
      </c>
      <c r="D75" s="50">
        <v>34.958333333333336</v>
      </c>
      <c r="E75" s="50">
        <v>124.85833333333333</v>
      </c>
      <c r="F75" s="50"/>
      <c r="G75" s="50"/>
      <c r="H75" s="50"/>
      <c r="I75" s="50"/>
      <c r="J75" s="50"/>
      <c r="K75" s="50"/>
      <c r="L75" s="50"/>
      <c r="M75" s="50"/>
      <c r="N75" s="50"/>
      <c r="O75" s="50">
        <v>279.7166666666667</v>
      </c>
    </row>
    <row r="76" spans="1:15">
      <c r="A76" s="58" t="s">
        <v>1136</v>
      </c>
      <c r="B76" s="50">
        <v>179.20980392156864</v>
      </c>
      <c r="C76" s="50">
        <v>78.021568627450989</v>
      </c>
      <c r="D76" s="50">
        <v>155.8235294117647</v>
      </c>
      <c r="E76" s="50">
        <v>136.63529411764705</v>
      </c>
      <c r="F76" s="50">
        <v>360.43235294117648</v>
      </c>
      <c r="G76" s="50">
        <v>323.04999999999995</v>
      </c>
      <c r="H76" s="50">
        <v>318.5</v>
      </c>
      <c r="I76" s="50">
        <v>160.19999999999999</v>
      </c>
      <c r="J76" s="50">
        <v>71.2</v>
      </c>
      <c r="K76" s="50">
        <v>249.20000000000002</v>
      </c>
      <c r="L76" s="50">
        <v>89</v>
      </c>
      <c r="M76" s="50">
        <v>142.4</v>
      </c>
      <c r="N76" s="50"/>
      <c r="O76" s="50">
        <v>2263.6725490196081</v>
      </c>
    </row>
    <row r="77" spans="1:15">
      <c r="A77" s="58" t="s">
        <v>1137</v>
      </c>
      <c r="B77" s="50">
        <v>176.17450980392158</v>
      </c>
      <c r="C77" s="50">
        <v>0</v>
      </c>
      <c r="D77" s="50">
        <v>204.39411764705881</v>
      </c>
      <c r="E77" s="50"/>
      <c r="F77" s="50">
        <v>164.42352941176472</v>
      </c>
      <c r="G77" s="50"/>
      <c r="H77" s="50">
        <v>163.0333333333333</v>
      </c>
      <c r="I77" s="50">
        <v>53.4</v>
      </c>
      <c r="J77" s="50">
        <v>53.4</v>
      </c>
      <c r="K77" s="50">
        <v>106.8</v>
      </c>
      <c r="L77" s="50"/>
      <c r="M77" s="50">
        <v>175.03333333333333</v>
      </c>
      <c r="N77" s="50"/>
      <c r="O77" s="50">
        <v>1096.6588235294116</v>
      </c>
    </row>
    <row r="78" spans="1:15">
      <c r="A78" s="58" t="s">
        <v>1138</v>
      </c>
      <c r="B78" s="50">
        <v>78.67647058823529</v>
      </c>
      <c r="C78" s="50">
        <v>80.235294117647058</v>
      </c>
      <c r="D78" s="50">
        <v>32.819607843137256</v>
      </c>
      <c r="E78" s="50">
        <v>19.178431372549021</v>
      </c>
      <c r="F78" s="50">
        <v>25.823529411764703</v>
      </c>
      <c r="G78" s="50">
        <v>70.099999999999994</v>
      </c>
      <c r="H78" s="50">
        <v>91</v>
      </c>
      <c r="I78" s="50">
        <v>80.099999999999994</v>
      </c>
      <c r="J78" s="50">
        <v>106.8</v>
      </c>
      <c r="K78" s="50">
        <v>91.966666666666669</v>
      </c>
      <c r="L78" s="50">
        <v>57.85</v>
      </c>
      <c r="M78" s="50">
        <v>50.433333333333337</v>
      </c>
      <c r="N78" s="50"/>
      <c r="O78" s="50">
        <v>784.98333333333335</v>
      </c>
    </row>
    <row r="79" spans="1:15">
      <c r="A79" s="58" t="s">
        <v>1139</v>
      </c>
      <c r="B79" s="50">
        <v>254.39583333333334</v>
      </c>
      <c r="C79" s="50">
        <v>28.683333333333334</v>
      </c>
      <c r="D79" s="50">
        <v>127.6</v>
      </c>
      <c r="E79" s="50">
        <v>435.42916666666667</v>
      </c>
      <c r="F79" s="50">
        <v>136.37916666666666</v>
      </c>
      <c r="G79" s="50">
        <v>150.1875</v>
      </c>
      <c r="H79" s="50">
        <v>261</v>
      </c>
      <c r="I79" s="50">
        <v>268.95000000000005</v>
      </c>
      <c r="J79" s="50">
        <v>246.54375000000005</v>
      </c>
      <c r="K79" s="50">
        <v>250.20000000000005</v>
      </c>
      <c r="L79" s="50">
        <v>260.92500000000001</v>
      </c>
      <c r="M79" s="50">
        <v>166.53749999999997</v>
      </c>
      <c r="N79" s="50"/>
      <c r="O79" s="50">
        <v>2586.8312500000002</v>
      </c>
    </row>
    <row r="80" spans="1:15">
      <c r="A80" s="58" t="s">
        <v>1140</v>
      </c>
      <c r="B80" s="50">
        <v>147.39999999999998</v>
      </c>
      <c r="C80" s="50">
        <v>259.85000000000002</v>
      </c>
      <c r="D80" s="50">
        <v>176.50833333333333</v>
      </c>
      <c r="E80" s="50">
        <v>335.50833333333333</v>
      </c>
      <c r="F80" s="50">
        <v>177.57499999999999</v>
      </c>
      <c r="G80" s="50">
        <v>488.35</v>
      </c>
      <c r="H80" s="50">
        <v>120.83333333333333</v>
      </c>
      <c r="I80" s="50">
        <v>375</v>
      </c>
      <c r="J80" s="50">
        <v>250</v>
      </c>
      <c r="K80" s="50">
        <v>250</v>
      </c>
      <c r="L80" s="50">
        <v>437.5</v>
      </c>
      <c r="M80" s="50">
        <v>125</v>
      </c>
      <c r="N80" s="50"/>
      <c r="O80" s="50">
        <v>3143.5249999999996</v>
      </c>
    </row>
    <row r="81" spans="1:15">
      <c r="A81" s="58" t="s">
        <v>1141</v>
      </c>
      <c r="B81" s="50"/>
      <c r="C81" s="50">
        <v>7.569230769230769</v>
      </c>
      <c r="D81" s="50">
        <v>370.82692307692309</v>
      </c>
      <c r="E81" s="50">
        <v>529.91923076923081</v>
      </c>
      <c r="F81" s="50">
        <v>566.15</v>
      </c>
      <c r="G81" s="50">
        <v>362.68846153846152</v>
      </c>
      <c r="H81" s="50">
        <v>461.53846153846155</v>
      </c>
      <c r="I81" s="50">
        <v>115.38461538461539</v>
      </c>
      <c r="J81" s="50">
        <v>230.76923076923077</v>
      </c>
      <c r="K81" s="50">
        <v>230.76923076923077</v>
      </c>
      <c r="L81" s="50">
        <v>115.38461538461539</v>
      </c>
      <c r="M81" s="50">
        <v>115.38461538461539</v>
      </c>
      <c r="N81" s="50"/>
      <c r="O81" s="50">
        <v>3106.3846153846152</v>
      </c>
    </row>
    <row r="82" spans="1:15">
      <c r="A82" s="58" t="s">
        <v>1142</v>
      </c>
      <c r="B82" s="50">
        <v>354.39351851851853</v>
      </c>
      <c r="C82" s="50">
        <v>414.22222222222217</v>
      </c>
      <c r="D82" s="50">
        <v>89.921296296296291</v>
      </c>
      <c r="E82" s="50">
        <v>324.13425925925924</v>
      </c>
      <c r="F82" s="50">
        <v>294.44907407407408</v>
      </c>
      <c r="G82" s="50">
        <v>439.81481481481484</v>
      </c>
      <c r="H82" s="50">
        <v>219.90740740740742</v>
      </c>
      <c r="I82" s="50">
        <v>439.81481481481484</v>
      </c>
      <c r="J82" s="50">
        <v>0</v>
      </c>
      <c r="K82" s="50">
        <v>329.86111111111109</v>
      </c>
      <c r="L82" s="50">
        <v>219.90740740740742</v>
      </c>
      <c r="M82" s="50">
        <v>219.90740740740742</v>
      </c>
      <c r="N82" s="50"/>
      <c r="O82" s="50">
        <v>3346.333333333333</v>
      </c>
    </row>
    <row r="83" spans="1:15">
      <c r="A83" s="58" t="s">
        <v>1143</v>
      </c>
      <c r="B83" s="50">
        <v>1391.5497474747476</v>
      </c>
      <c r="C83" s="50">
        <v>1136.561725</v>
      </c>
      <c r="D83" s="50">
        <v>1648.2393939393939</v>
      </c>
      <c r="E83" s="50">
        <v>1083.7055303030304</v>
      </c>
      <c r="F83" s="50">
        <v>359.57452020202021</v>
      </c>
      <c r="G83" s="50">
        <v>581.29319444444457</v>
      </c>
      <c r="H83" s="50">
        <v>455.85749999999996</v>
      </c>
      <c r="I83" s="50">
        <v>379.45111111111106</v>
      </c>
      <c r="J83" s="50">
        <v>1044.0658333333333</v>
      </c>
      <c r="K83" s="50">
        <v>1043.0999999999999</v>
      </c>
      <c r="L83" s="50"/>
      <c r="M83" s="50"/>
      <c r="N83" s="50"/>
      <c r="O83" s="50">
        <v>9123.3985558080803</v>
      </c>
    </row>
    <row r="84" spans="1:15">
      <c r="A84" s="119" t="s">
        <v>1144</v>
      </c>
      <c r="B84" s="120"/>
      <c r="C84" s="120"/>
      <c r="D84" s="120"/>
      <c r="E84" s="120"/>
      <c r="F84" s="120">
        <v>1059.0841818181814</v>
      </c>
      <c r="G84" s="120">
        <v>1556.1967272727272</v>
      </c>
      <c r="H84" s="120">
        <v>1593.3572727272729</v>
      </c>
      <c r="I84" s="120">
        <v>669.75345454545447</v>
      </c>
      <c r="J84" s="120">
        <v>197.33745454545453</v>
      </c>
      <c r="K84" s="120">
        <v>755.86490909090912</v>
      </c>
      <c r="L84" s="120">
        <v>200.79545454545453</v>
      </c>
      <c r="M84" s="120">
        <v>609.72727272727275</v>
      </c>
      <c r="N84" s="120"/>
      <c r="O84" s="120">
        <v>6642.116727272728</v>
      </c>
    </row>
    <row r="85" spans="1:15">
      <c r="A85" s="58" t="s">
        <v>1145</v>
      </c>
      <c r="B85" s="50"/>
      <c r="C85" s="50">
        <v>0</v>
      </c>
      <c r="D85" s="50"/>
      <c r="E85" s="50">
        <v>139.96618357487924</v>
      </c>
      <c r="F85" s="50">
        <v>140.00483091787439</v>
      </c>
      <c r="G85" s="50">
        <v>30.169082125603865</v>
      </c>
      <c r="H85" s="50">
        <v>142.55072463768116</v>
      </c>
      <c r="I85" s="50"/>
      <c r="J85" s="50"/>
      <c r="K85" s="50"/>
      <c r="L85" s="50"/>
      <c r="M85" s="50"/>
      <c r="N85" s="50"/>
      <c r="O85" s="50">
        <v>452.69082125603859</v>
      </c>
    </row>
    <row r="86" spans="1:15">
      <c r="A86" s="58" t="s">
        <v>1146</v>
      </c>
      <c r="B86" s="50"/>
      <c r="C86" s="50"/>
      <c r="D86" s="50"/>
      <c r="E86" s="50"/>
      <c r="F86" s="50"/>
      <c r="G86" s="50">
        <v>54</v>
      </c>
      <c r="H86" s="50">
        <v>5.9909090909090912</v>
      </c>
      <c r="I86" s="50"/>
      <c r="J86" s="50"/>
      <c r="K86" s="50"/>
      <c r="L86" s="50"/>
      <c r="M86" s="50"/>
      <c r="N86" s="50"/>
      <c r="O86" s="50">
        <v>59.990909090909092</v>
      </c>
    </row>
    <row r="87" spans="1:15">
      <c r="A87" s="58" t="s">
        <v>1147</v>
      </c>
      <c r="B87" s="50">
        <v>59.107574074074073</v>
      </c>
      <c r="C87" s="50">
        <v>206.76851851851853</v>
      </c>
      <c r="D87" s="50">
        <v>581.48148148148152</v>
      </c>
      <c r="E87" s="50">
        <v>266.34259259259261</v>
      </c>
      <c r="F87" s="50">
        <v>390.41481481481475</v>
      </c>
      <c r="G87" s="50">
        <v>332.68648148148156</v>
      </c>
      <c r="H87" s="50">
        <v>169.22314814814814</v>
      </c>
      <c r="I87" s="50">
        <v>365.75</v>
      </c>
      <c r="J87" s="50">
        <v>169.22314814814814</v>
      </c>
      <c r="K87" s="50">
        <v>244.03564814814814</v>
      </c>
      <c r="L87" s="50">
        <v>63.333333333333336</v>
      </c>
      <c r="M87" s="50"/>
      <c r="N87" s="50"/>
      <c r="O87" s="50">
        <v>2848.3667407407406</v>
      </c>
    </row>
    <row r="88" spans="1:15">
      <c r="A88" s="58" t="s">
        <v>1148</v>
      </c>
      <c r="B88" s="50">
        <v>478.38888888888891</v>
      </c>
      <c r="C88" s="50">
        <v>8.8888888888888893</v>
      </c>
      <c r="D88" s="50">
        <v>255.52777777777777</v>
      </c>
      <c r="E88" s="50">
        <v>6</v>
      </c>
      <c r="F88" s="50"/>
      <c r="G88" s="50">
        <v>44.861666666666672</v>
      </c>
      <c r="H88" s="50">
        <v>175.83500000000001</v>
      </c>
      <c r="I88" s="50">
        <v>175.84416666666664</v>
      </c>
      <c r="J88" s="50">
        <v>189.36500000000001</v>
      </c>
      <c r="K88" s="50">
        <v>142.02833333333331</v>
      </c>
      <c r="L88" s="50"/>
      <c r="M88" s="50"/>
      <c r="N88" s="50"/>
      <c r="O88" s="50">
        <v>1476.7397222222226</v>
      </c>
    </row>
    <row r="89" spans="1:15">
      <c r="A89" s="58" t="s">
        <v>1149</v>
      </c>
      <c r="B89" s="50">
        <v>29.981249999999999</v>
      </c>
      <c r="C89" s="50"/>
      <c r="D89" s="50">
        <v>152.19953093306287</v>
      </c>
      <c r="E89" s="50">
        <v>29.074999999999999</v>
      </c>
      <c r="F89" s="50"/>
      <c r="G89" s="50">
        <v>61.591991071428573</v>
      </c>
      <c r="H89" s="50">
        <v>480.82434850405684</v>
      </c>
      <c r="I89" s="50">
        <v>236.65593750000002</v>
      </c>
      <c r="J89" s="50">
        <v>210.842625</v>
      </c>
      <c r="K89" s="50">
        <v>60.063286004056806</v>
      </c>
      <c r="L89" s="50">
        <v>15.015821501014202</v>
      </c>
      <c r="M89" s="50">
        <v>145.3125</v>
      </c>
      <c r="N89" s="50"/>
      <c r="O89" s="50">
        <v>1421.5622905136192</v>
      </c>
    </row>
    <row r="90" spans="1:15">
      <c r="A90" s="58" t="s">
        <v>228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 spans="1:15">
      <c r="A91" s="119" t="s">
        <v>1150</v>
      </c>
      <c r="B91" s="120">
        <v>669.47083333333342</v>
      </c>
      <c r="C91" s="120">
        <v>524.23749999999995</v>
      </c>
      <c r="D91" s="120">
        <v>522.27499999999998</v>
      </c>
      <c r="E91" s="120">
        <v>725.25833333333333</v>
      </c>
      <c r="F91" s="120">
        <v>322.3125</v>
      </c>
      <c r="G91" s="120">
        <v>292.125</v>
      </c>
      <c r="H91" s="120">
        <v>342</v>
      </c>
      <c r="I91" s="120">
        <v>171.00375</v>
      </c>
      <c r="J91" s="120">
        <v>513</v>
      </c>
      <c r="K91" s="120">
        <v>684</v>
      </c>
      <c r="L91" s="120">
        <v>342</v>
      </c>
      <c r="M91" s="120">
        <v>427.5</v>
      </c>
      <c r="N91" s="120"/>
      <c r="O91" s="120">
        <v>5535.1829166666666</v>
      </c>
    </row>
    <row r="92" spans="1:15">
      <c r="A92" s="58" t="s">
        <v>1151</v>
      </c>
      <c r="B92" s="50">
        <v>1518.7250000000001</v>
      </c>
      <c r="C92" s="50">
        <v>2777.3041666666668</v>
      </c>
      <c r="D92" s="50">
        <v>3016.8083333333334</v>
      </c>
      <c r="E92" s="50">
        <v>3166.8083333333329</v>
      </c>
      <c r="F92" s="50">
        <v>3357.1041666666665</v>
      </c>
      <c r="G92" s="50">
        <v>3149.4375</v>
      </c>
      <c r="H92" s="50">
        <v>3130.875</v>
      </c>
      <c r="I92" s="50">
        <v>2938.5</v>
      </c>
      <c r="J92" s="50">
        <v>2376</v>
      </c>
      <c r="K92" s="50">
        <v>2376</v>
      </c>
      <c r="L92" s="50">
        <v>1584</v>
      </c>
      <c r="M92" s="50">
        <v>1980</v>
      </c>
      <c r="N92" s="50"/>
      <c r="O92" s="50">
        <v>31371.5625</v>
      </c>
    </row>
    <row r="93" spans="1:15">
      <c r="A93" s="58" t="s">
        <v>1152</v>
      </c>
      <c r="B93" s="50">
        <v>4982.05</v>
      </c>
      <c r="C93" s="50">
        <v>5092.5</v>
      </c>
      <c r="D93" s="50">
        <v>6784.3333333333358</v>
      </c>
      <c r="E93" s="50">
        <v>7005.6791666666677</v>
      </c>
      <c r="F93" s="50">
        <v>6306.7458333333325</v>
      </c>
      <c r="G93" s="50">
        <v>5282.5500000000011</v>
      </c>
      <c r="H93" s="50">
        <v>5732.8499999999985</v>
      </c>
      <c r="I93" s="50">
        <v>4785.2999999999984</v>
      </c>
      <c r="J93" s="50">
        <v>4649.25</v>
      </c>
      <c r="K93" s="50">
        <v>4492.5</v>
      </c>
      <c r="L93" s="50">
        <v>4022.0999999999995</v>
      </c>
      <c r="M93" s="50">
        <v>3458.0999999999995</v>
      </c>
      <c r="N93" s="50"/>
      <c r="O93" s="50">
        <v>62593.958333333328</v>
      </c>
    </row>
    <row r="94" spans="1:15">
      <c r="A94" s="58" t="s">
        <v>1153</v>
      </c>
      <c r="B94" s="50"/>
      <c r="C94" s="50"/>
      <c r="D94" s="50"/>
      <c r="E94" s="50">
        <v>17.574074074074073</v>
      </c>
      <c r="F94" s="50"/>
      <c r="G94" s="50">
        <v>93</v>
      </c>
      <c r="H94" s="50"/>
      <c r="I94" s="50"/>
      <c r="J94" s="50"/>
      <c r="K94" s="50"/>
      <c r="L94" s="50">
        <v>92.592592592592595</v>
      </c>
      <c r="M94" s="50"/>
      <c r="N94" s="50"/>
      <c r="O94" s="50">
        <v>203.16666666666669</v>
      </c>
    </row>
    <row r="95" spans="1:15">
      <c r="A95" s="58" t="s">
        <v>1154</v>
      </c>
      <c r="B95" s="50">
        <v>39.917647058823533</v>
      </c>
      <c r="C95" s="50">
        <v>79.529411764705884</v>
      </c>
      <c r="D95" s="50"/>
      <c r="E95" s="50"/>
      <c r="F95" s="50">
        <v>41</v>
      </c>
      <c r="G95" s="50">
        <v>319.01176470588234</v>
      </c>
      <c r="H95" s="50">
        <v>11.505882352941176</v>
      </c>
      <c r="I95" s="50"/>
      <c r="J95" s="50"/>
      <c r="K95" s="50"/>
      <c r="L95" s="50"/>
      <c r="M95" s="50"/>
      <c r="N95" s="50"/>
      <c r="O95" s="50">
        <v>490.96470588235292</v>
      </c>
    </row>
    <row r="96" spans="1:15" s="99" customFormat="1">
      <c r="A96" s="58" t="s">
        <v>1155</v>
      </c>
      <c r="B96" s="50">
        <v>152.72689075630254</v>
      </c>
      <c r="C96" s="50">
        <v>150.62605042016807</v>
      </c>
      <c r="D96" s="50">
        <v>44.252100840336141</v>
      </c>
      <c r="E96" s="50">
        <v>94.151260504201687</v>
      </c>
      <c r="F96" s="50">
        <v>107.03781512605042</v>
      </c>
      <c r="G96" s="50">
        <v>64.705882352941174</v>
      </c>
      <c r="H96" s="50">
        <v>70.588235294117652</v>
      </c>
      <c r="I96" s="50">
        <v>158.8235294117647</v>
      </c>
      <c r="J96" s="50">
        <v>123.52941176470588</v>
      </c>
      <c r="K96" s="50">
        <v>76.470588235294116</v>
      </c>
      <c r="L96" s="50">
        <v>64.705882352941174</v>
      </c>
      <c r="M96" s="50">
        <v>94.117647058823536</v>
      </c>
      <c r="N96" s="50"/>
      <c r="O96" s="50">
        <v>1201.7352941176473</v>
      </c>
    </row>
    <row r="97" spans="1:15">
      <c r="A97" s="58" t="s">
        <v>1156</v>
      </c>
      <c r="B97" s="50">
        <v>1091.7208333333333</v>
      </c>
      <c r="C97" s="50">
        <v>111.38333333333333</v>
      </c>
      <c r="D97" s="50">
        <v>1</v>
      </c>
      <c r="E97" s="50"/>
      <c r="F97" s="50"/>
      <c r="G97" s="50"/>
      <c r="H97" s="50">
        <v>7.9550000000000001</v>
      </c>
      <c r="I97" s="50"/>
      <c r="J97" s="50"/>
      <c r="K97" s="50"/>
      <c r="L97" s="50"/>
      <c r="M97" s="50"/>
      <c r="N97" s="50"/>
      <c r="O97" s="50">
        <v>1212.0591666666664</v>
      </c>
    </row>
    <row r="98" spans="1:15">
      <c r="A98" s="58" t="s">
        <v>1157</v>
      </c>
      <c r="B98" s="50">
        <v>104.01609819819819</v>
      </c>
      <c r="C98" s="50">
        <v>7.9745567567567566</v>
      </c>
      <c r="D98" s="50"/>
      <c r="E98" s="50"/>
      <c r="F98" s="50">
        <v>73.966666666666669</v>
      </c>
      <c r="G98" s="50">
        <v>169.95</v>
      </c>
      <c r="H98" s="50">
        <v>145.19999999999999</v>
      </c>
      <c r="I98" s="50">
        <v>110.55</v>
      </c>
      <c r="J98" s="50">
        <v>123.75</v>
      </c>
      <c r="K98" s="50">
        <v>145.19999999999999</v>
      </c>
      <c r="L98" s="50">
        <v>74.25</v>
      </c>
      <c r="M98" s="50">
        <v>86.625</v>
      </c>
      <c r="N98" s="50"/>
      <c r="O98" s="50">
        <v>1041.4823216216216</v>
      </c>
    </row>
    <row r="99" spans="1:15">
      <c r="A99" s="58" t="s">
        <v>1158</v>
      </c>
      <c r="B99" s="50">
        <v>53.012361519607843</v>
      </c>
      <c r="C99" s="50">
        <v>48.952205882352942</v>
      </c>
      <c r="D99" s="50">
        <v>58.617647058823529</v>
      </c>
      <c r="E99" s="50"/>
      <c r="F99" s="50">
        <v>56.941176470588232</v>
      </c>
      <c r="G99" s="50">
        <v>186.14073529411763</v>
      </c>
      <c r="H99" s="50">
        <v>274.31930147058819</v>
      </c>
      <c r="I99" s="50">
        <v>213.1622794117647</v>
      </c>
      <c r="J99" s="50">
        <v>192.42698529411763</v>
      </c>
      <c r="K99" s="50">
        <v>155.2105882352941</v>
      </c>
      <c r="L99" s="50">
        <v>102.57404411764705</v>
      </c>
      <c r="M99" s="50">
        <v>173.18117647058824</v>
      </c>
      <c r="N99" s="50"/>
      <c r="O99" s="50">
        <v>1514.5385012254901</v>
      </c>
    </row>
    <row r="100" spans="1:15">
      <c r="A100" s="58" t="s">
        <v>1159</v>
      </c>
      <c r="B100" s="50">
        <v>19.071428571428573</v>
      </c>
      <c r="C100" s="50"/>
      <c r="D100" s="50"/>
      <c r="E100" s="50">
        <v>1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>
        <v>20.071428571428573</v>
      </c>
    </row>
    <row r="101" spans="1:15">
      <c r="A101" s="58" t="s">
        <v>1160</v>
      </c>
      <c r="B101" s="50">
        <v>245.99358974358975</v>
      </c>
      <c r="C101" s="50">
        <v>257.02564102564099</v>
      </c>
      <c r="D101" s="50">
        <v>261.98076923076917</v>
      </c>
      <c r="E101" s="50">
        <v>134.98076923076923</v>
      </c>
      <c r="F101" s="50">
        <v>89.365384615384613</v>
      </c>
      <c r="G101" s="50">
        <v>369.93365384615379</v>
      </c>
      <c r="H101" s="50">
        <v>608.97435897435889</v>
      </c>
      <c r="I101" s="50">
        <v>608.97435897435889</v>
      </c>
      <c r="J101" s="50">
        <v>761.21794871794862</v>
      </c>
      <c r="K101" s="50">
        <v>0</v>
      </c>
      <c r="L101" s="50">
        <v>0</v>
      </c>
      <c r="M101" s="50">
        <v>0</v>
      </c>
      <c r="N101" s="50"/>
      <c r="O101" s="50">
        <v>3338.4464743589738</v>
      </c>
    </row>
    <row r="102" spans="1:15">
      <c r="A102" s="58" t="s">
        <v>1161</v>
      </c>
      <c r="B102" s="50">
        <v>0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>
        <v>0</v>
      </c>
    </row>
    <row r="103" spans="1:15">
      <c r="A103" s="58" t="s">
        <v>1162</v>
      </c>
      <c r="B103" s="50">
        <v>65.884615384615387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>
        <v>65.884615384615387</v>
      </c>
    </row>
    <row r="104" spans="1:15">
      <c r="A104" s="58" t="s">
        <v>1163</v>
      </c>
      <c r="B104" s="50">
        <v>0</v>
      </c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>
        <v>0</v>
      </c>
    </row>
    <row r="105" spans="1:15">
      <c r="A105" s="58" t="s">
        <v>1164</v>
      </c>
      <c r="B105" s="50">
        <v>2.3041666666666667</v>
      </c>
      <c r="C105" s="50">
        <v>297.85000000000008</v>
      </c>
      <c r="D105" s="50">
        <v>15.0625</v>
      </c>
      <c r="E105" s="50">
        <v>204.79583333333332</v>
      </c>
      <c r="F105" s="50">
        <v>301.75833333333333</v>
      </c>
      <c r="G105" s="50">
        <v>225.625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/>
      <c r="O105" s="50">
        <v>1047.3958333333335</v>
      </c>
    </row>
    <row r="106" spans="1:15">
      <c r="A106" s="58" t="s">
        <v>1165</v>
      </c>
      <c r="B106" s="50"/>
      <c r="C106" s="50">
        <v>19.972222222222221</v>
      </c>
      <c r="D106" s="50"/>
      <c r="E106" s="50"/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/>
      <c r="O106" s="50">
        <v>19.972222222222221</v>
      </c>
    </row>
    <row r="107" spans="1:15">
      <c r="A107" s="58" t="s">
        <v>1166</v>
      </c>
      <c r="B107" s="50"/>
      <c r="C107" s="50"/>
      <c r="D107" s="50"/>
      <c r="E107" s="50"/>
      <c r="F107" s="50">
        <v>0</v>
      </c>
      <c r="G107" s="50">
        <v>31.681481481481477</v>
      </c>
      <c r="H107" s="50">
        <v>63.362962962962953</v>
      </c>
      <c r="I107" s="50">
        <v>79.203703703703695</v>
      </c>
      <c r="J107" s="50">
        <v>63.362962962962953</v>
      </c>
      <c r="K107" s="50">
        <v>0</v>
      </c>
      <c r="L107" s="50">
        <v>0</v>
      </c>
      <c r="M107" s="50">
        <v>0</v>
      </c>
      <c r="N107" s="50"/>
      <c r="O107" s="50">
        <v>237.61111111111109</v>
      </c>
    </row>
    <row r="108" spans="1:15">
      <c r="A108" s="58" t="s">
        <v>1167</v>
      </c>
      <c r="B108" s="50"/>
      <c r="C108" s="50"/>
      <c r="D108" s="50"/>
      <c r="E108" s="50">
        <v>73.773284313725497</v>
      </c>
      <c r="F108" s="50">
        <v>49.890735294117647</v>
      </c>
      <c r="G108" s="50"/>
      <c r="H108" s="50"/>
      <c r="I108" s="50"/>
      <c r="J108" s="50"/>
      <c r="K108" s="50"/>
      <c r="L108" s="50"/>
      <c r="M108" s="50"/>
      <c r="N108" s="50"/>
      <c r="O108" s="50">
        <v>123.66401960784314</v>
      </c>
    </row>
    <row r="109" spans="1:15">
      <c r="A109" s="58" t="s">
        <v>1168</v>
      </c>
      <c r="B109" s="50"/>
      <c r="C109" s="50"/>
      <c r="D109" s="50"/>
      <c r="E109" s="50"/>
      <c r="F109" s="50" t="e">
        <v>#N/A</v>
      </c>
      <c r="G109" s="50"/>
      <c r="H109" s="50" t="e">
        <v>#N/A</v>
      </c>
      <c r="I109" s="50" t="e">
        <v>#N/A</v>
      </c>
      <c r="J109" s="50" t="e">
        <v>#N/A</v>
      </c>
      <c r="K109" s="50" t="e">
        <v>#N/A</v>
      </c>
      <c r="L109" s="50" t="e">
        <v>#N/A</v>
      </c>
      <c r="M109" s="50" t="e">
        <v>#N/A</v>
      </c>
      <c r="N109" s="50"/>
      <c r="O109" s="50" t="e">
        <v>#N/A</v>
      </c>
    </row>
    <row r="110" spans="1:15">
      <c r="A110" s="58" t="s">
        <v>1169</v>
      </c>
      <c r="B110" s="50"/>
      <c r="C110" s="50"/>
      <c r="D110" s="50"/>
      <c r="E110" s="50"/>
      <c r="F110" s="50">
        <v>403.75879629629628</v>
      </c>
      <c r="G110" s="50">
        <v>54.273148148148145</v>
      </c>
      <c r="H110" s="50"/>
      <c r="I110" s="50"/>
      <c r="J110" s="50"/>
      <c r="K110" s="50"/>
      <c r="L110" s="50"/>
      <c r="M110" s="50"/>
      <c r="N110" s="50"/>
      <c r="O110" s="50">
        <v>458.03194444444443</v>
      </c>
    </row>
    <row r="111" spans="1:15">
      <c r="A111" s="58" t="s">
        <v>1170</v>
      </c>
      <c r="B111" s="50"/>
      <c r="C111" s="50"/>
      <c r="D111" s="50"/>
      <c r="E111" s="50"/>
      <c r="F111" s="50"/>
      <c r="G111" s="50">
        <v>727.65529882154885</v>
      </c>
      <c r="H111" s="50"/>
      <c r="I111" s="50"/>
      <c r="J111" s="50"/>
      <c r="K111" s="50"/>
      <c r="L111" s="50"/>
      <c r="M111" s="50"/>
      <c r="N111" s="50"/>
      <c r="O111" s="50">
        <v>727.65529882154885</v>
      </c>
    </row>
    <row r="112" spans="1:15">
      <c r="A112" s="58" t="s">
        <v>1171</v>
      </c>
      <c r="B112" s="50"/>
      <c r="C112" s="50"/>
      <c r="D112" s="50"/>
      <c r="E112" s="50"/>
      <c r="F112" s="50"/>
      <c r="G112" s="50">
        <v>453.53703703703707</v>
      </c>
      <c r="H112" s="50"/>
      <c r="I112" s="50"/>
      <c r="J112" s="50"/>
      <c r="K112" s="50"/>
      <c r="L112" s="50"/>
      <c r="M112" s="50"/>
      <c r="N112" s="50"/>
      <c r="O112" s="50">
        <v>453.53703703703707</v>
      </c>
    </row>
    <row r="113" spans="1:15">
      <c r="A113" s="58" t="s">
        <v>1172</v>
      </c>
      <c r="B113" s="50"/>
      <c r="C113" s="50"/>
      <c r="D113" s="50"/>
      <c r="E113" s="50"/>
      <c r="F113" s="50"/>
      <c r="G113" s="50">
        <v>0</v>
      </c>
      <c r="H113" s="50"/>
      <c r="I113" s="50"/>
      <c r="J113" s="50"/>
      <c r="K113" s="50"/>
      <c r="L113" s="50"/>
      <c r="M113" s="50"/>
      <c r="N113" s="50"/>
      <c r="O113" s="50">
        <v>0</v>
      </c>
    </row>
    <row r="114" spans="1:15">
      <c r="A114" s="58" t="s">
        <v>1173</v>
      </c>
      <c r="B114" s="50"/>
      <c r="C114" s="50"/>
      <c r="D114" s="50"/>
      <c r="E114" s="50"/>
      <c r="F114" s="50"/>
      <c r="G114" s="50">
        <v>0</v>
      </c>
      <c r="H114" s="50"/>
      <c r="I114" s="50"/>
      <c r="J114" s="50"/>
      <c r="K114" s="50"/>
      <c r="L114" s="50"/>
      <c r="M114" s="50"/>
      <c r="N114" s="50"/>
      <c r="O114" s="50">
        <v>0</v>
      </c>
    </row>
    <row r="115" spans="1:15">
      <c r="A115" s="58" t="s">
        <v>1174</v>
      </c>
      <c r="B115" s="50"/>
      <c r="C115" s="50"/>
      <c r="D115" s="50"/>
      <c r="E115" s="50"/>
      <c r="F115" s="50"/>
      <c r="G115" s="50">
        <v>0</v>
      </c>
      <c r="H115" s="50"/>
      <c r="I115" s="50"/>
      <c r="J115" s="50"/>
      <c r="K115" s="50"/>
      <c r="L115" s="50"/>
      <c r="M115" s="50"/>
      <c r="N115" s="50"/>
      <c r="O115" s="50">
        <v>0</v>
      </c>
    </row>
    <row r="116" spans="1:15">
      <c r="A116" s="58" t="s">
        <v>1175</v>
      </c>
      <c r="B116" s="50"/>
      <c r="C116" s="50"/>
      <c r="D116" s="50"/>
      <c r="E116" s="50"/>
      <c r="F116" s="50"/>
      <c r="G116" s="50">
        <v>29.854629629629631</v>
      </c>
      <c r="H116" s="50"/>
      <c r="I116" s="50"/>
      <c r="J116" s="50"/>
      <c r="K116" s="50"/>
      <c r="L116" s="50"/>
      <c r="M116" s="50"/>
      <c r="N116" s="50"/>
      <c r="O116" s="50">
        <v>29.854629629629631</v>
      </c>
    </row>
    <row r="117" spans="1:15">
      <c r="A117" s="58" t="s">
        <v>1176</v>
      </c>
      <c r="B117" s="50"/>
      <c r="C117" s="50"/>
      <c r="D117" s="50"/>
      <c r="E117" s="50"/>
      <c r="F117" s="50"/>
      <c r="G117" s="50">
        <v>69.995999999999995</v>
      </c>
      <c r="H117" s="50"/>
      <c r="I117" s="50"/>
      <c r="J117" s="50"/>
      <c r="K117" s="50"/>
      <c r="L117" s="50"/>
      <c r="M117" s="50"/>
      <c r="N117" s="50"/>
      <c r="O117" s="50">
        <v>69.995999999999995</v>
      </c>
    </row>
    <row r="118" spans="1:15">
      <c r="A118" s="58" t="s">
        <v>1177</v>
      </c>
      <c r="B118" s="50"/>
      <c r="C118" s="50"/>
      <c r="D118" s="50"/>
      <c r="E118" s="50"/>
      <c r="F118" s="50"/>
      <c r="G118" s="50">
        <v>15.323529411764707</v>
      </c>
      <c r="H118" s="50"/>
      <c r="I118" s="50"/>
      <c r="J118" s="50"/>
      <c r="K118" s="50"/>
      <c r="L118" s="50"/>
      <c r="M118" s="50"/>
      <c r="N118" s="50"/>
      <c r="O118" s="50">
        <v>15.323529411764707</v>
      </c>
    </row>
    <row r="119" spans="1:15">
      <c r="A119" s="58" t="s">
        <v>1178</v>
      </c>
      <c r="B119" s="50"/>
      <c r="C119" s="50"/>
      <c r="D119" s="50"/>
      <c r="E119" s="50"/>
      <c r="F119" s="50"/>
      <c r="G119" s="50">
        <v>30.127090909090903</v>
      </c>
      <c r="H119" s="50"/>
      <c r="I119" s="50"/>
      <c r="J119" s="50"/>
      <c r="K119" s="50"/>
      <c r="L119" s="50"/>
      <c r="M119" s="50"/>
      <c r="N119" s="50"/>
      <c r="O119" s="50">
        <v>30.127090909090903</v>
      </c>
    </row>
    <row r="120" spans="1:15">
      <c r="A120" s="58" t="s">
        <v>135</v>
      </c>
      <c r="B120" s="50"/>
      <c r="C120" s="50"/>
      <c r="D120" s="50"/>
      <c r="E120" s="50"/>
      <c r="F120" s="50">
        <v>20</v>
      </c>
      <c r="G120" s="50"/>
      <c r="H120" s="50"/>
      <c r="I120" s="50"/>
      <c r="J120" s="50"/>
      <c r="K120" s="50"/>
      <c r="L120" s="50"/>
      <c r="M120" s="50"/>
      <c r="N120" s="50"/>
      <c r="O120" s="50">
        <v>20</v>
      </c>
    </row>
    <row r="121" spans="1:15">
      <c r="A121" s="58" t="s">
        <v>47</v>
      </c>
      <c r="B121" s="50">
        <v>39734.678243165741</v>
      </c>
      <c r="C121" s="50">
        <v>43520.122303832686</v>
      </c>
      <c r="D121" s="50">
        <v>50626.380513012329</v>
      </c>
      <c r="E121" s="50">
        <v>46569.437534267483</v>
      </c>
      <c r="F121" s="50" t="e">
        <v>#N/A</v>
      </c>
      <c r="G121" s="50">
        <v>50599.008188866734</v>
      </c>
      <c r="H121" s="50" t="e">
        <v>#N/A</v>
      </c>
      <c r="I121" s="50" t="e">
        <v>#N/A</v>
      </c>
      <c r="J121" s="50" t="e">
        <v>#N/A</v>
      </c>
      <c r="K121" s="50" t="e">
        <v>#N/A</v>
      </c>
      <c r="L121" s="50" t="e">
        <v>#N/A</v>
      </c>
      <c r="M121" s="50" t="e">
        <v>#N/A</v>
      </c>
      <c r="N121" s="50"/>
      <c r="O121" s="50" t="e"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fd69675-1776-4004-a5ab-34cb9df035c0">
      <UserInfo>
        <DisplayName>Zhang, Qi</DisplayName>
        <AccountId>321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8AFE03B262848B5DCCF5F79019E0A" ma:contentTypeVersion="15" ma:contentTypeDescription="Create a new document." ma:contentTypeScope="" ma:versionID="fedfb62ff16dc6afab06bd560fe315d6">
  <xsd:schema xmlns:xsd="http://www.w3.org/2001/XMLSchema" xmlns:xs="http://www.w3.org/2001/XMLSchema" xmlns:p="http://schemas.microsoft.com/office/2006/metadata/properties" xmlns:ns2="62d6d525-efa1-40a8-8ea4-544eaff24901" xmlns:ns3="2fd69675-1776-4004-a5ab-34cb9df035c0" targetNamespace="http://schemas.microsoft.com/office/2006/metadata/properties" ma:root="true" ma:fieldsID="1a2e204f7516a7bbfb1719bd0206a633" ns2:_="" ns3:_="">
    <xsd:import namespace="62d6d525-efa1-40a8-8ea4-544eaff24901"/>
    <xsd:import namespace="2fd69675-1776-4004-a5ab-34cb9df03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6d525-efa1-40a8-8ea4-544eaff24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69675-1776-4004-a5ab-34cb9df03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5DE33-85BB-479A-BA0B-B9D2E9F42A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595C1E-BF90-47E7-8D71-72316756CEB8}">
  <ds:schemaRefs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62d6d525-efa1-40a8-8ea4-544eaff24901"/>
    <ds:schemaRef ds:uri="http://schemas.microsoft.com/office/infopath/2007/PartnerControls"/>
    <ds:schemaRef ds:uri="2fd69675-1776-4004-a5ab-34cb9df035c0"/>
  </ds:schemaRefs>
</ds:datastoreItem>
</file>

<file path=customXml/itemProps3.xml><?xml version="1.0" encoding="utf-8"?>
<ds:datastoreItem xmlns:ds="http://schemas.openxmlformats.org/officeDocument/2006/customXml" ds:itemID="{F0F8B776-1C67-4660-962A-5E0831E31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d6d525-efa1-40a8-8ea4-544eaff24901"/>
    <ds:schemaRef ds:uri="2fd69675-1776-4004-a5ab-34cb9df03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Recap</vt:lpstr>
      <vt:lpstr>Sup-Dmd</vt:lpstr>
      <vt:lpstr>Recap2</vt:lpstr>
      <vt:lpstr>Cases post Attain</vt:lpstr>
      <vt:lpstr>Litons Post Attain</vt:lpstr>
      <vt:lpstr>Pallets post Attain</vt:lpstr>
      <vt:lpstr>Holidays</vt:lpstr>
      <vt:lpstr>26 Pivot</vt:lpstr>
      <vt:lpstr>2026</vt:lpstr>
      <vt:lpstr>YTG Shutdown</vt:lpstr>
      <vt:lpstr>Inv By Tech Post Attain</vt:lpstr>
      <vt:lpstr>Sheet2</vt:lpstr>
      <vt:lpstr>In-Out</vt:lpstr>
      <vt:lpstr>Staffing Changes</vt:lpstr>
      <vt:lpstr>Tech Litons</vt:lpstr>
      <vt:lpstr>Attain %</vt:lpstr>
      <vt:lpstr>MRF3 Demand</vt:lpstr>
      <vt:lpstr>Phasing MAT DI</vt:lpstr>
      <vt:lpstr>Vs Target</vt:lpstr>
      <vt:lpstr>Vs PM</vt:lpstr>
      <vt:lpstr>Club Info</vt:lpstr>
      <vt:lpstr>BW</vt:lpstr>
      <vt:lpstr>MR7_2026 Demand (2)</vt:lpstr>
      <vt:lpstr>MG Pivot</vt:lpstr>
    </vt:vector>
  </TitlesOfParts>
  <Manager/>
  <Company>Unilever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jeff.sullivan</dc:creator>
  <cp:keywords/>
  <dc:description/>
  <cp:lastModifiedBy>Chedid, John</cp:lastModifiedBy>
  <cp:revision/>
  <dcterms:created xsi:type="dcterms:W3CDTF">2013-11-14T13:48:14Z</dcterms:created>
  <dcterms:modified xsi:type="dcterms:W3CDTF">2026-03-29T13:21:31Z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0x01010053F8AFE03B262848B5DCCF5F79019E0A</vt:lpwstr>
  </property>
</Properties>
</file>